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sasky-my.sharepoint.com/personal/mira_viitanen_sasky_fi/Documents/avoin/Viestintään/"/>
    </mc:Choice>
  </mc:AlternateContent>
  <xr:revisionPtr revIDLastSave="1108" documentId="8_{9098B024-1406-478F-8B74-DFCB9A1E2B27}" xr6:coauthVersionLast="47" xr6:coauthVersionMax="47" xr10:uidLastSave="{33758674-8A5D-4DA3-A8E6-264829B8CA86}"/>
  <bookViews>
    <workbookView xWindow="29430" yWindow="510" windowWidth="27330" windowHeight="14430" xr2:uid="{00000000-000D-0000-FFFF-FFFF00000000}"/>
  </bookViews>
  <sheets>
    <sheet name="orlalu2023" sheetId="1" r:id="rId1"/>
  </sheets>
  <definedNames>
    <definedName name="_xlnm._FilterDatabase" localSheetId="0" hidden="1">orlalu2023!$A$1:$P$25992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9014" i="1" l="1"/>
  <c r="N12341" i="1"/>
  <c r="N6164" i="1"/>
  <c r="N6165" i="1"/>
  <c r="N23799" i="1"/>
  <c r="N24089" i="1"/>
  <c r="N16212" i="1"/>
  <c r="N1686" i="1"/>
  <c r="N4207" i="1"/>
  <c r="N15731" i="1"/>
  <c r="N19085" i="1"/>
  <c r="N19362" i="1"/>
  <c r="N15052" i="1"/>
  <c r="N19084" i="1"/>
  <c r="N19083" i="1"/>
  <c r="N23661" i="1"/>
  <c r="N13303" i="1"/>
  <c r="N13302" i="1"/>
  <c r="N15050" i="1"/>
  <c r="N24622" i="1"/>
  <c r="N1685" i="1"/>
  <c r="N1684" i="1"/>
  <c r="N4206" i="1"/>
  <c r="N1683" i="1"/>
  <c r="N1682" i="1"/>
  <c r="N1681" i="1"/>
  <c r="N1680" i="1"/>
  <c r="N1953" i="1"/>
  <c r="N6742" i="1"/>
  <c r="N15007" i="1"/>
  <c r="N15730" i="1"/>
  <c r="N15729" i="1"/>
  <c r="N15728" i="1"/>
  <c r="N15727" i="1"/>
  <c r="N18632" i="1"/>
  <c r="N15062" i="1"/>
  <c r="N23821" i="1"/>
  <c r="N23798" i="1"/>
  <c r="N1679" i="1"/>
  <c r="N19361" i="1"/>
  <c r="N1678" i="1"/>
  <c r="N1677" i="1"/>
  <c r="N10190" i="1"/>
  <c r="N19049" i="1"/>
  <c r="N18662" i="1"/>
  <c r="N23660" i="1"/>
  <c r="N19360" i="1"/>
  <c r="N23820" i="1"/>
  <c r="N10282" i="1"/>
  <c r="N19088" i="1"/>
  <c r="N1676" i="1"/>
  <c r="N6800" i="1"/>
  <c r="N6709" i="1"/>
  <c r="N18981" i="1"/>
  <c r="N18980" i="1"/>
  <c r="N18979" i="1"/>
  <c r="N18978" i="1"/>
  <c r="N18977" i="1"/>
  <c r="N19642" i="1"/>
  <c r="N14578" i="1"/>
  <c r="N19654" i="1"/>
  <c r="N18075" i="1"/>
  <c r="N18074" i="1"/>
  <c r="N4205" i="1"/>
  <c r="N4204" i="1"/>
  <c r="N18954" i="1"/>
  <c r="N10311" i="1"/>
  <c r="N23797" i="1"/>
  <c r="N12210" i="1"/>
  <c r="N12209" i="1"/>
  <c r="N19294" i="1"/>
  <c r="N3887" i="1"/>
  <c r="N3886" i="1"/>
  <c r="N3885" i="1"/>
  <c r="N3884" i="1"/>
  <c r="N3883" i="1"/>
  <c r="N3882" i="1"/>
  <c r="N18614" i="1"/>
  <c r="N18613" i="1"/>
  <c r="N18612" i="1"/>
  <c r="N18611" i="1"/>
  <c r="N18621" i="1"/>
  <c r="N18610" i="1"/>
  <c r="N18609" i="1"/>
  <c r="N18608" i="1"/>
  <c r="N18607" i="1"/>
  <c r="N18606" i="1"/>
  <c r="N18605" i="1"/>
  <c r="N18604" i="1"/>
  <c r="N18603" i="1"/>
  <c r="N14302" i="1"/>
  <c r="N18730" i="1"/>
  <c r="N18732" i="1"/>
  <c r="N18731" i="1"/>
  <c r="N18726" i="1"/>
  <c r="N14595" i="1"/>
  <c r="N16025" i="1"/>
  <c r="N12206" i="1"/>
  <c r="N18419" i="1"/>
  <c r="N18420" i="1"/>
  <c r="N3395" i="1"/>
  <c r="N3393" i="1"/>
  <c r="N3400" i="1"/>
  <c r="N4927" i="1"/>
  <c r="N18976" i="1"/>
  <c r="N1252" i="1"/>
  <c r="N6168" i="1"/>
  <c r="N24299" i="1"/>
  <c r="N24773" i="1"/>
  <c r="N6167" i="1"/>
  <c r="N6166" i="1"/>
  <c r="N23807" i="1"/>
  <c r="N19013" i="1"/>
  <c r="N4493" i="1"/>
  <c r="N19047" i="1"/>
  <c r="N12457" i="1"/>
  <c r="N18975" i="1"/>
  <c r="N18597" i="1"/>
  <c r="N18941" i="1"/>
  <c r="N19012" i="1"/>
  <c r="N24772" i="1"/>
  <c r="N18969" i="1"/>
  <c r="N24771" i="1"/>
  <c r="N23819" i="1"/>
  <c r="N19289" i="1"/>
  <c r="N13819" i="1"/>
  <c r="N23877" i="1"/>
  <c r="N10363" i="1"/>
  <c r="N19011" i="1"/>
  <c r="N19010" i="1"/>
  <c r="N19015" i="1"/>
  <c r="N19009" i="1"/>
  <c r="N19008" i="1"/>
  <c r="N18974" i="1"/>
  <c r="N19602" i="1"/>
  <c r="N12456" i="1"/>
  <c r="N23659" i="1"/>
  <c r="N3939" i="1"/>
  <c r="N12208" i="1"/>
  <c r="N18631" i="1"/>
  <c r="N19653" i="1"/>
  <c r="N19751" i="1"/>
  <c r="N19750" i="1"/>
  <c r="N15726" i="1"/>
  <c r="N9104" i="1"/>
  <c r="N3931" i="1"/>
  <c r="N23796" i="1"/>
  <c r="N19610" i="1"/>
  <c r="N18989" i="1"/>
  <c r="N14594" i="1"/>
  <c r="N3394" i="1"/>
  <c r="N3392" i="1"/>
  <c r="N3399" i="1"/>
  <c r="N1251" i="1"/>
  <c r="N3938" i="1"/>
  <c r="N3937" i="1"/>
  <c r="N3936" i="1"/>
  <c r="N3935" i="1"/>
  <c r="N23818" i="1"/>
  <c r="N1675" i="1"/>
  <c r="N23621" i="1"/>
  <c r="N5047" i="1"/>
  <c r="N5043" i="1"/>
  <c r="N5042" i="1"/>
  <c r="N19007" i="1"/>
  <c r="N19006" i="1"/>
  <c r="N12207" i="1"/>
  <c r="N10416" i="1"/>
  <c r="N14308" i="1"/>
  <c r="N24320" i="1"/>
  <c r="N15530" i="1"/>
  <c r="N15529" i="1"/>
  <c r="N1674" i="1"/>
  <c r="N1673" i="1"/>
  <c r="N1672" i="1"/>
  <c r="N1671" i="1"/>
  <c r="N14301" i="1"/>
  <c r="N19359" i="1"/>
  <c r="N19358" i="1"/>
  <c r="N19357" i="1"/>
  <c r="N23806" i="1"/>
  <c r="N5006" i="1"/>
  <c r="N3881" i="1"/>
  <c r="N3880" i="1"/>
  <c r="N3879" i="1"/>
  <c r="N3878" i="1"/>
  <c r="N3877" i="1"/>
  <c r="N3876" i="1"/>
  <c r="N18602" i="1"/>
  <c r="N18601" i="1"/>
  <c r="N23805" i="1"/>
  <c r="N23817" i="1"/>
  <c r="N19005" i="1"/>
  <c r="N19004" i="1"/>
  <c r="N8010" i="1"/>
  <c r="N6799" i="1"/>
  <c r="N15725" i="1"/>
  <c r="N15724" i="1"/>
  <c r="N15723" i="1"/>
  <c r="N15722" i="1"/>
  <c r="N14347" i="1"/>
  <c r="N18943" i="1"/>
  <c r="N19652" i="1"/>
  <c r="N1670" i="1"/>
  <c r="N1669" i="1"/>
  <c r="N15178" i="1"/>
  <c r="N18685" i="1"/>
  <c r="N19295" i="1"/>
  <c r="N19082" i="1"/>
  <c r="N19003" i="1"/>
  <c r="N24091" i="1"/>
  <c r="N24090" i="1"/>
  <c r="N19002" i="1"/>
  <c r="N3398" i="1"/>
  <c r="N19001" i="1"/>
  <c r="N18946" i="1"/>
  <c r="N19000" i="1"/>
  <c r="N23795" i="1"/>
  <c r="N19450" i="1"/>
  <c r="N19449" i="1"/>
  <c r="N23658" i="1"/>
  <c r="N18426" i="1"/>
  <c r="N5007" i="1"/>
  <c r="N18968" i="1"/>
  <c r="N8360" i="1"/>
  <c r="N8359" i="1"/>
  <c r="N19552" i="1"/>
  <c r="N19553" i="1"/>
  <c r="N19551" i="1"/>
  <c r="N14307" i="1"/>
  <c r="N24298" i="1"/>
  <c r="N24301" i="1"/>
  <c r="N10417" i="1"/>
  <c r="N18620" i="1"/>
  <c r="N16647" i="1"/>
  <c r="N10310" i="1"/>
  <c r="N1668" i="1"/>
  <c r="N11346" i="1"/>
  <c r="N11345" i="1"/>
  <c r="N1827" i="1"/>
  <c r="N24297" i="1"/>
  <c r="N24300" i="1"/>
  <c r="N24296" i="1"/>
  <c r="N4203" i="1"/>
  <c r="N18600" i="1"/>
  <c r="N18999" i="1"/>
  <c r="N13816" i="1"/>
  <c r="N1667" i="1"/>
  <c r="N18998" i="1"/>
  <c r="N13909" i="1"/>
  <c r="N13908" i="1"/>
  <c r="N18997" i="1"/>
  <c r="N18990" i="1"/>
  <c r="N23794" i="1"/>
  <c r="N24088" i="1"/>
  <c r="N24087" i="1"/>
  <c r="N18988" i="1"/>
  <c r="N18987" i="1"/>
  <c r="N18973" i="1"/>
  <c r="N11763" i="1"/>
  <c r="N11762" i="1"/>
  <c r="N11761" i="1"/>
  <c r="N11760" i="1"/>
  <c r="N11759" i="1"/>
  <c r="N10950" i="1"/>
  <c r="N18996" i="1"/>
  <c r="N24295" i="1"/>
  <c r="N19651" i="1"/>
  <c r="N10415" i="1"/>
  <c r="N10949" i="1"/>
  <c r="N18721" i="1"/>
  <c r="N18720" i="1"/>
  <c r="N18719" i="1"/>
  <c r="N23657" i="1"/>
  <c r="N9103" i="1"/>
  <c r="N18942" i="1"/>
  <c r="N5008" i="1"/>
  <c r="N10589" i="1"/>
  <c r="N2247" i="1"/>
  <c r="N2246" i="1"/>
  <c r="N15721" i="1"/>
  <c r="N19087" i="1"/>
  <c r="N15720" i="1"/>
  <c r="N15719" i="1"/>
  <c r="N15718" i="1"/>
  <c r="N15717" i="1"/>
  <c r="N15716" i="1"/>
  <c r="N19356" i="1"/>
  <c r="N19067" i="1"/>
  <c r="N12212" i="1"/>
  <c r="N6348" i="1"/>
  <c r="N6343" i="1"/>
  <c r="N6354" i="1"/>
  <c r="N4302" i="1"/>
  <c r="N19081" i="1"/>
  <c r="N23656" i="1"/>
  <c r="N23655" i="1"/>
  <c r="N24238" i="1"/>
  <c r="N23808" i="1"/>
  <c r="N6741" i="1"/>
  <c r="N19080" i="1"/>
  <c r="N15715" i="1"/>
  <c r="N19079" i="1"/>
  <c r="N18733" i="1"/>
  <c r="N15010" i="1"/>
  <c r="N24624" i="1"/>
  <c r="N24623" i="1"/>
  <c r="N13301" i="1"/>
  <c r="N13300" i="1"/>
  <c r="N18995" i="1"/>
  <c r="N6740" i="1"/>
  <c r="N13299" i="1"/>
  <c r="N13298" i="1"/>
  <c r="N13297" i="1"/>
  <c r="N13296" i="1"/>
  <c r="N13295" i="1"/>
  <c r="N19650" i="1"/>
  <c r="N19649" i="1"/>
  <c r="N10634" i="1"/>
  <c r="N23654" i="1"/>
  <c r="N3875" i="1"/>
  <c r="N3874" i="1"/>
  <c r="N3873" i="1"/>
  <c r="N3872" i="1"/>
  <c r="N3871" i="1"/>
  <c r="N3870" i="1"/>
  <c r="N1666" i="1"/>
  <c r="N1665" i="1"/>
  <c r="N1664" i="1"/>
  <c r="N1952" i="1"/>
  <c r="N1663" i="1"/>
  <c r="N1662" i="1"/>
  <c r="N1661" i="1"/>
  <c r="N1660" i="1"/>
  <c r="N1659" i="1"/>
  <c r="N15033" i="1"/>
  <c r="N1442" i="1"/>
  <c r="N18629" i="1"/>
  <c r="N18628" i="1"/>
  <c r="N15006" i="1"/>
  <c r="N18090" i="1"/>
  <c r="N18089" i="1"/>
  <c r="N1441" i="1"/>
  <c r="N1951" i="1"/>
  <c r="N23793" i="1"/>
  <c r="N18622" i="1"/>
  <c r="N8009" i="1"/>
  <c r="N19078" i="1"/>
  <c r="N3934" i="1"/>
  <c r="N3933" i="1"/>
  <c r="N3940" i="1"/>
  <c r="N23816" i="1"/>
  <c r="N2096" i="1"/>
  <c r="N18944" i="1"/>
  <c r="N19355" i="1"/>
  <c r="N25914" i="1"/>
  <c r="N19648" i="1"/>
  <c r="N23653" i="1"/>
  <c r="N23804" i="1"/>
  <c r="N23803" i="1"/>
  <c r="N23802" i="1"/>
  <c r="N4202" i="1"/>
  <c r="N19048" i="1"/>
  <c r="N4650" i="1"/>
  <c r="N18596" i="1"/>
  <c r="N11765" i="1"/>
  <c r="N11769" i="1"/>
  <c r="N11767" i="1"/>
  <c r="N11764" i="1"/>
  <c r="N11768" i="1"/>
  <c r="N11766" i="1"/>
  <c r="N16150" i="1"/>
  <c r="N15061" i="1"/>
  <c r="N9336" i="1"/>
  <c r="N1431" i="1"/>
  <c r="N1430" i="1"/>
  <c r="N23652" i="1"/>
  <c r="N12205" i="1"/>
  <c r="N18619" i="1"/>
  <c r="N10189" i="1"/>
  <c r="N5046" i="1"/>
  <c r="N5044" i="1"/>
  <c r="N5045" i="1"/>
  <c r="N15051" i="1"/>
  <c r="N12340" i="1"/>
  <c r="N12211" i="1"/>
  <c r="N1752" i="1"/>
  <c r="N18994" i="1"/>
  <c r="N18113" i="1"/>
  <c r="N23815" i="1"/>
  <c r="N23651" i="1"/>
  <c r="N18618" i="1"/>
  <c r="N18729" i="1"/>
  <c r="N18993" i="1"/>
  <c r="N18992" i="1"/>
  <c r="N16193" i="1"/>
  <c r="N3084" i="1"/>
  <c r="N18617" i="1"/>
  <c r="N18616" i="1"/>
  <c r="N18615" i="1"/>
  <c r="N4624" i="1"/>
  <c r="N15714" i="1"/>
  <c r="N15049" i="1"/>
  <c r="N14577" i="1"/>
  <c r="N2916" i="1"/>
  <c r="N18991" i="1"/>
  <c r="N23814" i="1"/>
  <c r="N23813" i="1"/>
  <c r="N23812" i="1"/>
  <c r="N23811" i="1"/>
  <c r="N23810" i="1"/>
  <c r="N23809" i="1"/>
  <c r="N6353" i="1"/>
  <c r="N3552" i="1"/>
  <c r="N4494" i="1"/>
  <c r="N18418" i="1"/>
  <c r="N1250" i="1"/>
  <c r="N16574" i="1"/>
  <c r="N16573" i="1"/>
  <c r="N15713" i="1"/>
  <c r="N18953" i="1"/>
  <c r="N10633" i="1"/>
  <c r="N13918" i="1"/>
  <c r="N18952" i="1"/>
  <c r="N18951" i="1"/>
  <c r="N18950" i="1"/>
  <c r="N18949" i="1"/>
  <c r="N18948" i="1"/>
  <c r="N18955" i="1"/>
  <c r="N18947" i="1"/>
  <c r="N23650" i="1"/>
  <c r="N23792" i="1"/>
  <c r="N3086" i="1"/>
  <c r="N19077" i="1"/>
  <c r="N3085" i="1"/>
  <c r="N18982" i="1"/>
  <c r="N19293" i="1"/>
  <c r="N4201" i="1"/>
  <c r="N1658" i="1"/>
  <c r="N1657" i="1"/>
  <c r="N11954" i="1"/>
  <c r="N11953" i="1"/>
  <c r="N18088" i="1"/>
  <c r="N23649" i="1"/>
  <c r="N15712" i="1"/>
  <c r="N15711" i="1"/>
  <c r="N15710" i="1"/>
  <c r="N15709" i="1"/>
  <c r="N19076" i="1"/>
  <c r="N18683" i="1"/>
  <c r="N18682" i="1"/>
  <c r="N18681" i="1"/>
  <c r="N18680" i="1"/>
  <c r="N18679" i="1"/>
  <c r="N18678" i="1"/>
  <c r="N18677" i="1"/>
  <c r="N18676" i="1"/>
  <c r="N19075" i="1"/>
  <c r="N6848" i="1"/>
  <c r="N3869" i="1"/>
  <c r="N3868" i="1"/>
  <c r="N3867" i="1"/>
  <c r="N3866" i="1"/>
  <c r="N3865" i="1"/>
  <c r="N1656" i="1"/>
  <c r="N19292" i="1"/>
  <c r="N1443" i="1"/>
  <c r="N23648" i="1"/>
  <c r="N1655" i="1"/>
  <c r="N10414" i="1"/>
  <c r="N1249" i="1"/>
  <c r="N1654" i="1"/>
  <c r="N1653" i="1"/>
  <c r="N1652" i="1"/>
  <c r="N1651" i="1"/>
  <c r="N1650" i="1"/>
  <c r="N14306" i="1"/>
  <c r="N4495" i="1"/>
  <c r="N14305" i="1"/>
  <c r="N18599" i="1"/>
  <c r="N19647" i="1"/>
  <c r="N12743" i="1"/>
  <c r="N12746" i="1"/>
  <c r="N12742" i="1"/>
  <c r="N18722" i="1"/>
  <c r="N1247" i="1"/>
  <c r="N12251" i="1"/>
  <c r="N14300" i="1"/>
  <c r="N18986" i="1"/>
  <c r="N1826" i="1"/>
  <c r="N16224" i="1"/>
  <c r="N14304" i="1"/>
  <c r="N15708" i="1"/>
  <c r="N13818" i="1"/>
  <c r="N19646" i="1"/>
  <c r="N13510" i="1"/>
  <c r="N3932" i="1"/>
  <c r="N6746" i="1"/>
  <c r="N6745" i="1"/>
  <c r="N6744" i="1"/>
  <c r="N6816" i="1"/>
  <c r="N6743" i="1"/>
  <c r="N15707" i="1"/>
  <c r="N14482" i="1"/>
  <c r="N2095" i="1"/>
  <c r="N15005" i="1"/>
  <c r="N18598" i="1"/>
  <c r="N13817" i="1"/>
  <c r="N17228" i="1"/>
  <c r="N18972" i="1"/>
  <c r="N18971" i="1"/>
  <c r="N6739" i="1"/>
  <c r="N19291" i="1"/>
  <c r="N19645" i="1"/>
  <c r="N6738" i="1"/>
  <c r="N1762" i="1"/>
  <c r="N18945" i="1"/>
  <c r="N15706" i="1"/>
  <c r="N15705" i="1"/>
  <c r="N23791" i="1"/>
  <c r="N23801" i="1"/>
  <c r="N12741" i="1"/>
  <c r="N12745" i="1"/>
  <c r="N24086" i="1"/>
  <c r="N24085" i="1"/>
  <c r="N6347" i="1"/>
  <c r="N6342" i="1"/>
  <c r="N6352" i="1"/>
  <c r="N16149" i="1"/>
  <c r="N3397" i="1"/>
  <c r="N3396" i="1"/>
  <c r="N6346" i="1"/>
  <c r="N6341" i="1"/>
  <c r="N6351" i="1"/>
  <c r="N15704" i="1"/>
  <c r="N1649" i="1"/>
  <c r="N1648" i="1"/>
  <c r="N15703" i="1"/>
  <c r="N15702" i="1"/>
  <c r="N3483" i="1"/>
  <c r="N6345" i="1"/>
  <c r="N6340" i="1"/>
  <c r="N6350" i="1"/>
  <c r="N18630" i="1"/>
  <c r="N14303" i="1"/>
  <c r="N1186" i="1"/>
  <c r="N1185" i="1"/>
  <c r="N1184" i="1"/>
  <c r="N1248" i="1"/>
  <c r="N23647" i="1"/>
  <c r="N19644" i="1"/>
  <c r="N23878" i="1"/>
  <c r="N6795" i="1"/>
  <c r="N19290" i="1"/>
  <c r="N18970" i="1"/>
  <c r="N23800" i="1"/>
  <c r="N13158" i="1"/>
  <c r="N13820" i="1"/>
  <c r="N1647" i="1"/>
  <c r="N23646" i="1"/>
  <c r="N23645" i="1"/>
  <c r="N23790" i="1"/>
  <c r="N10413" i="1"/>
  <c r="N18985" i="1"/>
  <c r="N18984" i="1"/>
  <c r="N18983" i="1"/>
  <c r="N6344" i="1"/>
  <c r="N6339" i="1"/>
  <c r="N6349" i="1"/>
  <c r="N12740" i="1"/>
  <c r="N12739" i="1"/>
  <c r="N12744" i="1"/>
  <c r="N19122" i="1"/>
  <c r="N19643" i="1"/>
  <c r="N15060" i="1"/>
  <c r="N23077" i="1"/>
  <c r="N18728" i="1"/>
  <c r="N18727" i="1"/>
  <c r="N16567" i="1"/>
  <c r="N4610" i="1"/>
  <c r="N16178" i="1"/>
  <c r="N16155" i="1"/>
  <c r="N16153" i="1"/>
  <c r="N16156" i="1"/>
  <c r="N16179" i="1"/>
  <c r="N16177" i="1"/>
  <c r="N16176" i="1"/>
  <c r="N16154" i="1"/>
  <c r="N14560" i="1"/>
  <c r="N16131" i="1"/>
  <c r="N4968" i="1"/>
  <c r="N14870" i="1"/>
  <c r="N16130" i="1"/>
  <c r="N16345" i="1"/>
  <c r="N16337" i="1"/>
  <c r="N16332" i="1"/>
  <c r="N16344" i="1"/>
  <c r="N16336" i="1"/>
  <c r="N16331" i="1"/>
  <c r="N16343" i="1"/>
  <c r="N16335" i="1"/>
  <c r="N16330" i="1"/>
  <c r="N14559" i="1"/>
  <c r="N4609" i="1"/>
  <c r="N16192" i="1"/>
  <c r="N17102" i="1"/>
  <c r="N2874" i="1"/>
  <c r="N19518" i="1"/>
  <c r="N19749" i="1"/>
  <c r="N19739" i="1"/>
  <c r="N19692" i="1"/>
  <c r="N19676" i="1"/>
  <c r="N19748" i="1"/>
  <c r="N19738" i="1"/>
  <c r="N19691" i="1"/>
  <c r="N19675" i="1"/>
  <c r="N17563" i="1"/>
  <c r="N17562" i="1"/>
  <c r="N17361" i="1"/>
  <c r="N17454" i="1"/>
  <c r="N17453" i="1"/>
  <c r="N17561" i="1"/>
  <c r="N17560" i="1"/>
  <c r="N17360" i="1"/>
  <c r="N17400" i="1"/>
  <c r="N17399" i="1"/>
  <c r="N17398" i="1"/>
  <c r="N17397" i="1"/>
  <c r="N17396" i="1"/>
  <c r="N17642" i="1"/>
  <c r="N19066" i="1"/>
  <c r="N19065" i="1"/>
  <c r="N4997" i="1"/>
  <c r="N16175" i="1"/>
  <c r="N16876" i="1"/>
  <c r="N17635" i="1"/>
  <c r="N17634" i="1"/>
  <c r="N17559" i="1"/>
  <c r="N17395" i="1"/>
  <c r="N17674" i="1"/>
  <c r="N17633" i="1"/>
  <c r="N17632" i="1"/>
  <c r="N17631" i="1"/>
  <c r="N17630" i="1"/>
  <c r="N17342" i="1"/>
  <c r="N17341" i="1"/>
  <c r="N17340" i="1"/>
  <c r="N2873" i="1"/>
  <c r="N17558" i="1"/>
  <c r="N17359" i="1"/>
  <c r="N17101" i="1"/>
  <c r="N17100" i="1"/>
  <c r="N16984" i="1"/>
  <c r="N16983" i="1"/>
  <c r="N16875" i="1"/>
  <c r="N16874" i="1"/>
  <c r="N16873" i="1"/>
  <c r="N16982" i="1"/>
  <c r="N16872" i="1"/>
  <c r="N16871" i="1"/>
  <c r="N16870" i="1"/>
  <c r="N16566" i="1"/>
  <c r="N16565" i="1"/>
  <c r="N16564" i="1"/>
  <c r="N23908" i="1"/>
  <c r="N16563" i="1"/>
  <c r="N16529" i="1"/>
  <c r="N4881" i="1"/>
  <c r="N4880" i="1"/>
  <c r="N1182" i="1"/>
  <c r="N16981" i="1"/>
  <c r="N16869" i="1"/>
  <c r="N16980" i="1"/>
  <c r="N16868" i="1"/>
  <c r="N16979" i="1"/>
  <c r="N16867" i="1"/>
  <c r="N17099" i="1"/>
  <c r="N16362" i="1"/>
  <c r="N16866" i="1"/>
  <c r="N17098" i="1"/>
  <c r="N17097" i="1"/>
  <c r="N17524" i="1"/>
  <c r="N17452" i="1"/>
  <c r="N17580" i="1"/>
  <c r="N17451" i="1"/>
  <c r="N17096" i="1"/>
  <c r="N16562" i="1"/>
  <c r="N16561" i="1"/>
  <c r="N16560" i="1"/>
  <c r="N16559" i="1"/>
  <c r="N16558" i="1"/>
  <c r="N16557" i="1"/>
  <c r="N16556" i="1"/>
  <c r="N16174" i="1"/>
  <c r="N16173" i="1"/>
  <c r="N17629" i="1"/>
  <c r="N17394" i="1"/>
  <c r="N17358" i="1"/>
  <c r="N16865" i="1"/>
  <c r="N16864" i="1"/>
  <c r="N16863" i="1"/>
  <c r="N16862" i="1"/>
  <c r="N17095" i="1"/>
  <c r="N17666" i="1"/>
  <c r="N17523" i="1"/>
  <c r="N17383" i="1"/>
  <c r="N16129" i="1"/>
  <c r="N6778" i="1"/>
  <c r="N4879" i="1"/>
  <c r="N11015" i="1"/>
  <c r="N23907" i="1"/>
  <c r="N14558" i="1"/>
  <c r="N14557" i="1"/>
  <c r="N14556" i="1"/>
  <c r="N1424" i="1"/>
  <c r="N14299" i="1"/>
  <c r="N16978" i="1"/>
  <c r="N16977" i="1"/>
  <c r="N16976" i="1"/>
  <c r="N16861" i="1"/>
  <c r="N16975" i="1"/>
  <c r="N16860" i="1"/>
  <c r="N16974" i="1"/>
  <c r="N16859" i="1"/>
  <c r="N16973" i="1"/>
  <c r="N16858" i="1"/>
  <c r="N16972" i="1"/>
  <c r="N16857" i="1"/>
  <c r="N16971" i="1"/>
  <c r="N16856" i="1"/>
  <c r="N17557" i="1"/>
  <c r="N17450" i="1"/>
  <c r="N17556" i="1"/>
  <c r="N17641" i="1"/>
  <c r="N13879" i="1"/>
  <c r="N14324" i="1"/>
  <c r="N16128" i="1"/>
  <c r="N16172" i="1"/>
  <c r="N16081" i="1"/>
  <c r="N16080" i="1"/>
  <c r="N16079" i="1"/>
  <c r="N15024" i="1"/>
  <c r="N4996" i="1"/>
  <c r="N23890" i="1"/>
  <c r="N6721" i="1"/>
  <c r="N14323" i="1"/>
  <c r="N14555" i="1"/>
  <c r="N14322" i="1"/>
  <c r="N19508" i="1"/>
  <c r="N19507" i="1"/>
  <c r="N19506" i="1"/>
  <c r="N19505" i="1"/>
  <c r="N19064" i="1"/>
  <c r="N19516" i="1"/>
  <c r="N19504" i="1"/>
  <c r="N19503" i="1"/>
  <c r="N19502" i="1"/>
  <c r="N19501" i="1"/>
  <c r="N19063" i="1"/>
  <c r="N7927" i="1"/>
  <c r="N14321" i="1"/>
  <c r="N14320" i="1"/>
  <c r="N19538" i="1"/>
  <c r="N19537" i="1"/>
  <c r="N16127" i="1"/>
  <c r="N4514" i="1"/>
  <c r="N4513" i="1"/>
  <c r="N12565" i="1"/>
  <c r="N8008" i="1"/>
  <c r="N19062" i="1"/>
  <c r="N19550" i="1"/>
  <c r="N19536" i="1"/>
  <c r="N19549" i="1"/>
  <c r="N19535" i="1"/>
  <c r="N19548" i="1"/>
  <c r="N19534" i="1"/>
  <c r="N14554" i="1"/>
  <c r="N8007" i="1"/>
  <c r="N8006" i="1"/>
  <c r="N4608" i="1"/>
  <c r="N6780" i="1"/>
  <c r="N16970" i="1"/>
  <c r="N16855" i="1"/>
  <c r="N23665" i="1"/>
  <c r="N23663" i="1"/>
  <c r="N23664" i="1"/>
  <c r="N23666" i="1"/>
  <c r="N23662" i="1"/>
  <c r="N13808" i="1"/>
  <c r="N13807" i="1"/>
  <c r="N13806" i="1"/>
  <c r="N10955" i="1"/>
  <c r="N17393" i="1"/>
  <c r="N17522" i="1"/>
  <c r="N17339" i="1"/>
  <c r="N17316" i="1"/>
  <c r="N17673" i="1"/>
  <c r="N17521" i="1"/>
  <c r="N6737" i="1"/>
  <c r="N17094" i="1"/>
  <c r="N17093" i="1"/>
  <c r="N17092" i="1"/>
  <c r="N17091" i="1"/>
  <c r="N16854" i="1"/>
  <c r="N16853" i="1"/>
  <c r="N16852" i="1"/>
  <c r="N16851" i="1"/>
  <c r="N16171" i="1"/>
  <c r="N16126" i="1"/>
  <c r="N16969" i="1"/>
  <c r="N16850" i="1"/>
  <c r="N16849" i="1"/>
  <c r="N17111" i="1"/>
  <c r="N16968" i="1"/>
  <c r="N16848" i="1"/>
  <c r="N16967" i="1"/>
  <c r="N16847" i="1"/>
  <c r="N17628" i="1"/>
  <c r="N17627" i="1"/>
  <c r="N17382" i="1"/>
  <c r="N17381" i="1"/>
  <c r="N17626" i="1"/>
  <c r="N17392" i="1"/>
  <c r="N17380" i="1"/>
  <c r="N17379" i="1"/>
  <c r="N17378" i="1"/>
  <c r="N17625" i="1"/>
  <c r="N17624" i="1"/>
  <c r="N2872" i="1"/>
  <c r="N19737" i="1"/>
  <c r="N19736" i="1"/>
  <c r="N19735" i="1"/>
  <c r="N19690" i="1"/>
  <c r="N19674" i="1"/>
  <c r="N19741" i="1"/>
  <c r="N19734" i="1"/>
  <c r="N19689" i="1"/>
  <c r="N19673" i="1"/>
  <c r="N19740" i="1"/>
  <c r="N16125" i="1"/>
  <c r="N2871" i="1"/>
  <c r="N4878" i="1"/>
  <c r="N17555" i="1"/>
  <c r="N17357" i="1"/>
  <c r="N16966" i="1"/>
  <c r="N16846" i="1"/>
  <c r="N17090" i="1"/>
  <c r="N16845" i="1"/>
  <c r="N16965" i="1"/>
  <c r="N16844" i="1"/>
  <c r="N17554" i="1"/>
  <c r="N17665" i="1"/>
  <c r="N17520" i="1"/>
  <c r="N17449" i="1"/>
  <c r="N17377" i="1"/>
  <c r="N17089" i="1"/>
  <c r="N10072" i="1"/>
  <c r="N16843" i="1"/>
  <c r="N16842" i="1"/>
  <c r="N16841" i="1"/>
  <c r="N17088" i="1"/>
  <c r="N16964" i="1"/>
  <c r="N16840" i="1"/>
  <c r="N16839" i="1"/>
  <c r="N16963" i="1"/>
  <c r="N16838" i="1"/>
  <c r="N16962" i="1"/>
  <c r="N16837" i="1"/>
  <c r="N17087" i="1"/>
  <c r="N17086" i="1"/>
  <c r="N17085" i="1"/>
  <c r="N17084" i="1"/>
  <c r="N16836" i="1"/>
  <c r="N16835" i="1"/>
  <c r="N16834" i="1"/>
  <c r="N16833" i="1"/>
  <c r="N16832" i="1"/>
  <c r="N16831" i="1"/>
  <c r="N16124" i="1"/>
  <c r="N16961" i="1"/>
  <c r="N16960" i="1"/>
  <c r="N16830" i="1"/>
  <c r="N16829" i="1"/>
  <c r="N19524" i="1"/>
  <c r="N19523" i="1"/>
  <c r="N23906" i="1"/>
  <c r="N11014" i="1"/>
  <c r="N17576" i="1"/>
  <c r="N17553" i="1"/>
  <c r="N17356" i="1"/>
  <c r="N17448" i="1"/>
  <c r="N17519" i="1"/>
  <c r="N1385" i="1"/>
  <c r="N6719" i="1"/>
  <c r="N17675" i="1"/>
  <c r="N17355" i="1"/>
  <c r="N17354" i="1"/>
  <c r="N17568" i="1"/>
  <c r="N17567" i="1"/>
  <c r="N17518" i="1"/>
  <c r="N4605" i="1"/>
  <c r="N16123" i="1"/>
  <c r="N16122" i="1"/>
  <c r="N16121" i="1"/>
  <c r="N16120" i="1"/>
  <c r="N14868" i="1"/>
  <c r="N16119" i="1"/>
  <c r="N4618" i="1"/>
  <c r="N4604" i="1"/>
  <c r="N4617" i="1"/>
  <c r="N4603" i="1"/>
  <c r="N4512" i="1"/>
  <c r="N14553" i="1"/>
  <c r="N4877" i="1"/>
  <c r="N14552" i="1"/>
  <c r="N2365" i="1"/>
  <c r="N14645" i="1"/>
  <c r="N14551" i="1"/>
  <c r="N4995" i="1"/>
  <c r="N8005" i="1"/>
  <c r="N6733" i="1"/>
  <c r="N4994" i="1"/>
  <c r="N14550" i="1"/>
  <c r="N4446" i="1"/>
  <c r="N4445" i="1"/>
  <c r="N4876" i="1"/>
  <c r="N4875" i="1"/>
  <c r="N4874" i="1"/>
  <c r="N4444" i="1"/>
  <c r="N19059" i="1"/>
  <c r="N4971" i="1"/>
  <c r="N7926" i="1"/>
  <c r="N4200" i="1"/>
  <c r="N4873" i="1"/>
  <c r="N4872" i="1"/>
  <c r="N4871" i="1"/>
  <c r="N4870" i="1"/>
  <c r="N16371" i="1"/>
  <c r="N16370" i="1"/>
  <c r="N10081" i="1"/>
  <c r="N19747" i="1"/>
  <c r="N19682" i="1"/>
  <c r="N19743" i="1"/>
  <c r="N19733" i="1"/>
  <c r="N19688" i="1"/>
  <c r="N19672" i="1"/>
  <c r="N19746" i="1"/>
  <c r="N19681" i="1"/>
  <c r="N19742" i="1"/>
  <c r="N19732" i="1"/>
  <c r="N19687" i="1"/>
  <c r="N19671" i="1"/>
  <c r="N16828" i="1"/>
  <c r="N16827" i="1"/>
  <c r="N17552" i="1"/>
  <c r="N17353" i="1"/>
  <c r="N17517" i="1"/>
  <c r="N17447" i="1"/>
  <c r="N17516" i="1"/>
  <c r="N17446" i="1"/>
  <c r="N17445" i="1"/>
  <c r="N17444" i="1"/>
  <c r="N16118" i="1"/>
  <c r="N16117" i="1"/>
  <c r="N17623" i="1"/>
  <c r="N17622" i="1"/>
  <c r="N17621" i="1"/>
  <c r="N17620" i="1"/>
  <c r="N17672" i="1"/>
  <c r="N17376" i="1"/>
  <c r="N17375" i="1"/>
  <c r="N17619" i="1"/>
  <c r="N16116" i="1"/>
  <c r="N2324" i="1"/>
  <c r="N2327" i="1"/>
  <c r="N16191" i="1"/>
  <c r="N16170" i="1"/>
  <c r="N16877" i="1"/>
  <c r="N17083" i="1"/>
  <c r="N17082" i="1"/>
  <c r="N16826" i="1"/>
  <c r="N16115" i="1"/>
  <c r="N2870" i="1"/>
  <c r="N17081" i="1"/>
  <c r="N17080" i="1"/>
  <c r="N17079" i="1"/>
  <c r="N16825" i="1"/>
  <c r="N16959" i="1"/>
  <c r="N16824" i="1"/>
  <c r="N17078" i="1"/>
  <c r="N17664" i="1"/>
  <c r="N17515" i="1"/>
  <c r="N17374" i="1"/>
  <c r="N4869" i="1"/>
  <c r="N4868" i="1"/>
  <c r="N14317" i="1"/>
  <c r="N14316" i="1"/>
  <c r="N14315" i="1"/>
  <c r="N1426" i="1"/>
  <c r="N16823" i="1"/>
  <c r="N17110" i="1"/>
  <c r="N17551" i="1"/>
  <c r="N17514" i="1"/>
  <c r="N17443" i="1"/>
  <c r="N17550" i="1"/>
  <c r="N17640" i="1"/>
  <c r="N17352" i="1"/>
  <c r="N17639" i="1"/>
  <c r="N17513" i="1"/>
  <c r="N17512" i="1"/>
  <c r="N17442" i="1"/>
  <c r="N2869" i="1"/>
  <c r="N17403" i="1"/>
  <c r="N17338" i="1"/>
  <c r="N16822" i="1"/>
  <c r="N16958" i="1"/>
  <c r="N16821" i="1"/>
  <c r="N17077" i="1"/>
  <c r="N17076" i="1"/>
  <c r="N10618" i="1"/>
  <c r="N10619" i="1"/>
  <c r="N10617" i="1"/>
  <c r="N10616" i="1"/>
  <c r="N10615" i="1"/>
  <c r="N14872" i="1"/>
  <c r="N13391" i="1"/>
  <c r="N16957" i="1"/>
  <c r="N16820" i="1"/>
  <c r="N17105" i="1"/>
  <c r="N16956" i="1"/>
  <c r="N16819" i="1"/>
  <c r="N16955" i="1"/>
  <c r="N16818" i="1"/>
  <c r="N16954" i="1"/>
  <c r="N16817" i="1"/>
  <c r="N16953" i="1"/>
  <c r="N16816" i="1"/>
  <c r="N16952" i="1"/>
  <c r="N16951" i="1"/>
  <c r="N16950" i="1"/>
  <c r="N16815" i="1"/>
  <c r="N16814" i="1"/>
  <c r="N16813" i="1"/>
  <c r="N16812" i="1"/>
  <c r="N17075" i="1"/>
  <c r="N16811" i="1"/>
  <c r="N16810" i="1"/>
  <c r="N16809" i="1"/>
  <c r="N16808" i="1"/>
  <c r="N16807" i="1"/>
  <c r="N17074" i="1"/>
  <c r="N16806" i="1"/>
  <c r="N17073" i="1"/>
  <c r="N17072" i="1"/>
  <c r="N17071" i="1"/>
  <c r="N19731" i="1"/>
  <c r="N19730" i="1"/>
  <c r="N17511" i="1"/>
  <c r="N17575" i="1"/>
  <c r="N14500" i="1"/>
  <c r="N17391" i="1"/>
  <c r="N17510" i="1"/>
  <c r="N17549" i="1"/>
  <c r="N17456" i="1"/>
  <c r="N17509" i="1"/>
  <c r="N17455" i="1"/>
  <c r="N11013" i="1"/>
  <c r="N11012" i="1"/>
  <c r="N11011" i="1"/>
  <c r="N4867" i="1"/>
  <c r="N23905" i="1"/>
  <c r="N2364" i="1"/>
  <c r="N14869" i="1"/>
  <c r="N10954" i="1"/>
  <c r="N4967" i="1"/>
  <c r="N14867" i="1"/>
  <c r="N10953" i="1"/>
  <c r="N4993" i="1"/>
  <c r="N4443" i="1"/>
  <c r="N4442" i="1"/>
  <c r="N4866" i="1"/>
  <c r="N4992" i="1"/>
  <c r="N4999" i="1"/>
  <c r="N4588" i="1"/>
  <c r="N14549" i="1"/>
  <c r="N14548" i="1"/>
  <c r="N14547" i="1"/>
  <c r="N14546" i="1"/>
  <c r="N18716" i="1"/>
  <c r="N18715" i="1"/>
  <c r="N18714" i="1"/>
  <c r="N16114" i="1"/>
  <c r="N8004" i="1"/>
  <c r="N6732" i="1"/>
  <c r="N18713" i="1"/>
  <c r="N23904" i="1"/>
  <c r="N16078" i="1"/>
  <c r="N4865" i="1"/>
  <c r="N10952" i="1"/>
  <c r="N17070" i="1"/>
  <c r="N17069" i="1"/>
  <c r="N16190" i="1"/>
  <c r="N16169" i="1"/>
  <c r="N16949" i="1"/>
  <c r="N16948" i="1"/>
  <c r="N16805" i="1"/>
  <c r="N16804" i="1"/>
  <c r="N16947" i="1"/>
  <c r="N16803" i="1"/>
  <c r="N17068" i="1"/>
  <c r="N17067" i="1"/>
  <c r="N16802" i="1"/>
  <c r="N17066" i="1"/>
  <c r="N13393" i="1"/>
  <c r="N13812" i="1"/>
  <c r="N17441" i="1"/>
  <c r="N17440" i="1"/>
  <c r="N16946" i="1"/>
  <c r="N16801" i="1"/>
  <c r="N17065" i="1"/>
  <c r="N16800" i="1"/>
  <c r="N16799" i="1"/>
  <c r="N16798" i="1"/>
  <c r="N16797" i="1"/>
  <c r="N17109" i="1"/>
  <c r="N16945" i="1"/>
  <c r="N16796" i="1"/>
  <c r="N16795" i="1"/>
  <c r="N16794" i="1"/>
  <c r="N17108" i="1"/>
  <c r="N17107" i="1"/>
  <c r="N16793" i="1"/>
  <c r="N16113" i="1"/>
  <c r="N16112" i="1"/>
  <c r="N2868" i="1"/>
  <c r="N17548" i="1"/>
  <c r="N17574" i="1"/>
  <c r="N17573" i="1"/>
  <c r="N17572" i="1"/>
  <c r="N17508" i="1"/>
  <c r="N17507" i="1"/>
  <c r="N17618" i="1"/>
  <c r="N17617" i="1"/>
  <c r="N17616" i="1"/>
  <c r="N17615" i="1"/>
  <c r="N17614" i="1"/>
  <c r="N17390" i="1"/>
  <c r="N17337" i="1"/>
  <c r="N17336" i="1"/>
  <c r="N19729" i="1"/>
  <c r="N19728" i="1"/>
  <c r="N19745" i="1"/>
  <c r="N19680" i="1"/>
  <c r="N19727" i="1"/>
  <c r="N19686" i="1"/>
  <c r="N19670" i="1"/>
  <c r="N19744" i="1"/>
  <c r="N19679" i="1"/>
  <c r="N19726" i="1"/>
  <c r="N19685" i="1"/>
  <c r="N19669" i="1"/>
  <c r="N17663" i="1"/>
  <c r="N17579" i="1"/>
  <c r="N17506" i="1"/>
  <c r="N17439" i="1"/>
  <c r="N17373" i="1"/>
  <c r="N17335" i="1"/>
  <c r="N19522" i="1"/>
  <c r="N4864" i="1"/>
  <c r="N2867" i="1"/>
  <c r="N17505" i="1"/>
  <c r="N17504" i="1"/>
  <c r="N17503" i="1"/>
  <c r="N17502" i="1"/>
  <c r="N17613" i="1"/>
  <c r="N17501" i="1"/>
  <c r="N17547" i="1"/>
  <c r="N17351" i="1"/>
  <c r="N10951" i="1"/>
  <c r="N17064" i="1"/>
  <c r="N17653" i="1"/>
  <c r="N19488" i="1"/>
  <c r="N19487" i="1"/>
  <c r="N16361" i="1"/>
  <c r="N16360" i="1"/>
  <c r="N16359" i="1"/>
  <c r="N17063" i="1"/>
  <c r="N17062" i="1"/>
  <c r="N16944" i="1"/>
  <c r="N16792" i="1"/>
  <c r="N10957" i="1"/>
  <c r="N16791" i="1"/>
  <c r="N17061" i="1"/>
  <c r="N16943" i="1"/>
  <c r="N16790" i="1"/>
  <c r="N16942" i="1"/>
  <c r="N16941" i="1"/>
  <c r="N16789" i="1"/>
  <c r="N16788" i="1"/>
  <c r="N16787" i="1"/>
  <c r="N16786" i="1"/>
  <c r="N16785" i="1"/>
  <c r="N16784" i="1"/>
  <c r="N17060" i="1"/>
  <c r="N4863" i="1"/>
  <c r="N11010" i="1"/>
  <c r="N11009" i="1"/>
  <c r="N16111" i="1"/>
  <c r="N13805" i="1"/>
  <c r="N13804" i="1"/>
  <c r="N13803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487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4441" i="1"/>
  <c r="N4440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4991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8003" i="1"/>
  <c r="N4990" i="1"/>
  <c r="N16354" i="1"/>
  <c r="N974" i="1"/>
  <c r="N973" i="1"/>
  <c r="N972" i="1"/>
  <c r="N971" i="1"/>
  <c r="N970" i="1"/>
  <c r="N969" i="1"/>
  <c r="N968" i="1"/>
  <c r="N23" i="1"/>
  <c r="N967" i="1"/>
  <c r="N966" i="1"/>
  <c r="N965" i="1"/>
  <c r="N964" i="1"/>
  <c r="N11008" i="1"/>
  <c r="N2363" i="1"/>
  <c r="N14545" i="1"/>
  <c r="N14544" i="1"/>
  <c r="N6731" i="1"/>
  <c r="N963" i="1"/>
  <c r="N962" i="1"/>
  <c r="N961" i="1"/>
  <c r="N960" i="1"/>
  <c r="N959" i="1"/>
  <c r="N958" i="1"/>
  <c r="N957" i="1"/>
  <c r="N956" i="1"/>
  <c r="N14543" i="1"/>
  <c r="N14542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13" i="1"/>
  <c r="N924" i="1"/>
  <c r="N923" i="1"/>
  <c r="N922" i="1"/>
  <c r="N921" i="1"/>
  <c r="N920" i="1"/>
  <c r="N919" i="1"/>
  <c r="N918" i="1"/>
  <c r="N12" i="1"/>
  <c r="N11" i="1"/>
  <c r="N10" i="1"/>
  <c r="N2866" i="1"/>
  <c r="N16783" i="1"/>
  <c r="N16782" i="1"/>
  <c r="N16781" i="1"/>
  <c r="N19547" i="1"/>
  <c r="N19533" i="1"/>
  <c r="N19546" i="1"/>
  <c r="N19532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17612" i="1"/>
  <c r="N17611" i="1"/>
  <c r="N17610" i="1"/>
  <c r="N17609" i="1"/>
  <c r="N17571" i="1"/>
  <c r="N17671" i="1"/>
  <c r="N17334" i="1"/>
  <c r="N17333" i="1"/>
  <c r="N4862" i="1"/>
  <c r="N16358" i="1"/>
  <c r="N19545" i="1"/>
  <c r="N19531" i="1"/>
  <c r="N16940" i="1"/>
  <c r="N16939" i="1"/>
  <c r="N16780" i="1"/>
  <c r="N16779" i="1"/>
  <c r="N16778" i="1"/>
  <c r="N16777" i="1"/>
  <c r="N16776" i="1"/>
  <c r="N17332" i="1"/>
  <c r="N17331" i="1"/>
  <c r="N17330" i="1"/>
  <c r="N17546" i="1"/>
  <c r="N17350" i="1"/>
  <c r="N17349" i="1"/>
  <c r="N16189" i="1"/>
  <c r="N16157" i="1"/>
  <c r="N16168" i="1"/>
  <c r="N17059" i="1"/>
  <c r="N17058" i="1"/>
  <c r="N16938" i="1"/>
  <c r="N16775" i="1"/>
  <c r="N16774" i="1"/>
  <c r="N16937" i="1"/>
  <c r="N16773" i="1"/>
  <c r="N16772" i="1"/>
  <c r="N17106" i="1"/>
  <c r="N16110" i="1"/>
  <c r="N16109" i="1"/>
  <c r="N16936" i="1"/>
  <c r="N16771" i="1"/>
  <c r="N16770" i="1"/>
  <c r="N6736" i="1"/>
  <c r="N4587" i="1"/>
  <c r="N16108" i="1"/>
  <c r="N17057" i="1"/>
  <c r="N19678" i="1"/>
  <c r="N19725" i="1"/>
  <c r="N19684" i="1"/>
  <c r="N19668" i="1"/>
  <c r="N19677" i="1"/>
  <c r="N19724" i="1"/>
  <c r="N19683" i="1"/>
  <c r="N19667" i="1"/>
  <c r="N17500" i="1"/>
  <c r="N17545" i="1"/>
  <c r="N17348" i="1"/>
  <c r="N17608" i="1"/>
  <c r="N17577" i="1"/>
  <c r="N17499" i="1"/>
  <c r="N17438" i="1"/>
  <c r="N17437" i="1"/>
  <c r="N17498" i="1"/>
  <c r="N17436" i="1"/>
  <c r="N17435" i="1"/>
  <c r="N17497" i="1"/>
  <c r="N17496" i="1"/>
  <c r="N16769" i="1"/>
  <c r="N17389" i="1"/>
  <c r="N16935" i="1"/>
  <c r="N16768" i="1"/>
  <c r="N17056" i="1"/>
  <c r="N17055" i="1"/>
  <c r="N16934" i="1"/>
  <c r="N16767" i="1"/>
  <c r="N17054" i="1"/>
  <c r="N17662" i="1"/>
  <c r="N17495" i="1"/>
  <c r="N17494" i="1"/>
  <c r="N17493" i="1"/>
  <c r="N17372" i="1"/>
  <c r="N16933" i="1"/>
  <c r="N16766" i="1"/>
  <c r="N17053" i="1"/>
  <c r="N16555" i="1"/>
  <c r="N11007" i="1"/>
  <c r="N11006" i="1"/>
  <c r="N11005" i="1"/>
  <c r="N19723" i="1"/>
  <c r="N19722" i="1"/>
  <c r="N17052" i="1"/>
  <c r="N16932" i="1"/>
  <c r="N16931" i="1"/>
  <c r="N16765" i="1"/>
  <c r="N16764" i="1"/>
  <c r="N16930" i="1"/>
  <c r="N17104" i="1"/>
  <c r="N16763" i="1"/>
  <c r="N16762" i="1"/>
  <c r="N16761" i="1"/>
  <c r="N16554" i="1"/>
  <c r="N4602" i="1"/>
  <c r="N4601" i="1"/>
  <c r="N4600" i="1"/>
  <c r="N16760" i="1"/>
  <c r="N16929" i="1"/>
  <c r="N16759" i="1"/>
  <c r="N16758" i="1"/>
  <c r="N17544" i="1"/>
  <c r="N17492" i="1"/>
  <c r="N17543" i="1"/>
  <c r="N17388" i="1"/>
  <c r="N17638" i="1"/>
  <c r="N17652" i="1"/>
  <c r="N16553" i="1"/>
  <c r="N16528" i="1"/>
  <c r="N16552" i="1"/>
  <c r="N16551" i="1"/>
  <c r="N16550" i="1"/>
  <c r="N16549" i="1"/>
  <c r="N16548" i="1"/>
  <c r="N16547" i="1"/>
  <c r="N16546" i="1"/>
  <c r="N16545" i="1"/>
  <c r="N16544" i="1"/>
  <c r="N16543" i="1"/>
  <c r="N4616" i="1"/>
  <c r="N4599" i="1"/>
  <c r="N4615" i="1"/>
  <c r="N4598" i="1"/>
  <c r="N4861" i="1"/>
  <c r="N4738" i="1"/>
  <c r="N11004" i="1"/>
  <c r="N11003" i="1"/>
  <c r="N4589" i="1"/>
  <c r="N19509" i="1"/>
  <c r="N11002" i="1"/>
  <c r="N11001" i="1"/>
  <c r="N23903" i="1"/>
  <c r="N8002" i="1"/>
  <c r="N2362" i="1"/>
  <c r="N14601" i="1"/>
  <c r="N11000" i="1"/>
  <c r="N10999" i="1"/>
  <c r="N10998" i="1"/>
  <c r="N4439" i="1"/>
  <c r="N4860" i="1"/>
  <c r="N4859" i="1"/>
  <c r="N23902" i="1"/>
  <c r="N4989" i="1"/>
  <c r="N4438" i="1"/>
  <c r="N14541" i="1"/>
  <c r="N4988" i="1"/>
  <c r="N14540" i="1"/>
  <c r="N16188" i="1"/>
  <c r="N14314" i="1"/>
  <c r="N10997" i="1"/>
  <c r="N10996" i="1"/>
  <c r="N10995" i="1"/>
  <c r="N10994" i="1"/>
  <c r="N14539" i="1"/>
  <c r="N14538" i="1"/>
  <c r="N6730" i="1"/>
  <c r="N4966" i="1"/>
  <c r="N17607" i="1"/>
  <c r="N4858" i="1"/>
  <c r="N4857" i="1"/>
  <c r="N4856" i="1"/>
  <c r="N4855" i="1"/>
  <c r="N9113" i="1"/>
  <c r="N10993" i="1"/>
  <c r="N23674" i="1"/>
  <c r="N17051" i="1"/>
  <c r="N16928" i="1"/>
  <c r="N16757" i="1"/>
  <c r="N17050" i="1"/>
  <c r="N19721" i="1"/>
  <c r="N19720" i="1"/>
  <c r="N17606" i="1"/>
  <c r="N17605" i="1"/>
  <c r="N17604" i="1"/>
  <c r="N17603" i="1"/>
  <c r="N17387" i="1"/>
  <c r="N17329" i="1"/>
  <c r="N17328" i="1"/>
  <c r="N17661" i="1"/>
  <c r="N17491" i="1"/>
  <c r="N17490" i="1"/>
  <c r="N17371" i="1"/>
  <c r="N2865" i="1"/>
  <c r="N17049" i="1"/>
  <c r="N17954" i="1"/>
  <c r="N17953" i="1"/>
  <c r="N2323" i="1"/>
  <c r="N2326" i="1"/>
  <c r="N17048" i="1"/>
  <c r="N16756" i="1"/>
  <c r="N17370" i="1"/>
  <c r="N17651" i="1"/>
  <c r="N16107" i="1"/>
  <c r="N16106" i="1"/>
  <c r="N19719" i="1"/>
  <c r="N19718" i="1"/>
  <c r="N4586" i="1"/>
  <c r="N16148" i="1"/>
  <c r="N16167" i="1"/>
  <c r="N17952" i="1"/>
  <c r="N17951" i="1"/>
  <c r="N16082" i="1"/>
  <c r="N14537" i="1"/>
  <c r="N14536" i="1"/>
  <c r="N19058" i="1"/>
  <c r="N16755" i="1"/>
  <c r="N16754" i="1"/>
  <c r="N8001" i="1"/>
  <c r="N14535" i="1"/>
  <c r="N14534" i="1"/>
  <c r="N10992" i="1"/>
  <c r="N2361" i="1"/>
  <c r="N16137" i="1"/>
  <c r="N16187" i="1"/>
  <c r="N6729" i="1"/>
  <c r="N4854" i="1"/>
  <c r="N4853" i="1"/>
  <c r="N17489" i="1"/>
  <c r="N10991" i="1"/>
  <c r="N10990" i="1"/>
  <c r="N10989" i="1"/>
  <c r="N10988" i="1"/>
  <c r="N10987" i="1"/>
  <c r="N4987" i="1"/>
  <c r="N4998" i="1"/>
  <c r="N4437" i="1"/>
  <c r="N4436" i="1"/>
  <c r="N23901" i="1"/>
  <c r="N17488" i="1"/>
  <c r="N17487" i="1"/>
  <c r="N17434" i="1"/>
  <c r="N17369" i="1"/>
  <c r="N10986" i="1"/>
  <c r="N10985" i="1"/>
  <c r="N17047" i="1"/>
  <c r="N17602" i="1"/>
  <c r="N17601" i="1"/>
  <c r="N17600" i="1"/>
  <c r="N17599" i="1"/>
  <c r="N17598" i="1"/>
  <c r="N17327" i="1"/>
  <c r="N17326" i="1"/>
  <c r="N17325" i="1"/>
  <c r="N13811" i="1"/>
  <c r="N2881" i="1"/>
  <c r="N16927" i="1"/>
  <c r="N17112" i="1"/>
  <c r="N16753" i="1"/>
  <c r="N17046" i="1"/>
  <c r="N16752" i="1"/>
  <c r="N17045" i="1"/>
  <c r="N16926" i="1"/>
  <c r="N17044" i="1"/>
  <c r="N16751" i="1"/>
  <c r="N16750" i="1"/>
  <c r="N19717" i="1"/>
  <c r="N19716" i="1"/>
  <c r="N19715" i="1"/>
  <c r="N19714" i="1"/>
  <c r="N17486" i="1"/>
  <c r="N17485" i="1"/>
  <c r="N17433" i="1"/>
  <c r="N17368" i="1"/>
  <c r="N16334" i="1"/>
  <c r="N16329" i="1"/>
  <c r="N16342" i="1"/>
  <c r="N16341" i="1"/>
  <c r="N16333" i="1"/>
  <c r="N16328" i="1"/>
  <c r="N16340" i="1"/>
  <c r="N16339" i="1"/>
  <c r="N16338" i="1"/>
  <c r="N19500" i="1"/>
  <c r="N19499" i="1"/>
  <c r="N19498" i="1"/>
  <c r="N19497" i="1"/>
  <c r="N19496" i="1"/>
  <c r="N19495" i="1"/>
  <c r="N19494" i="1"/>
  <c r="N19493" i="1"/>
  <c r="N19492" i="1"/>
  <c r="N19491" i="1"/>
  <c r="N19490" i="1"/>
  <c r="N19489" i="1"/>
  <c r="N16925" i="1"/>
  <c r="N16749" i="1"/>
  <c r="N17484" i="1"/>
  <c r="N17432" i="1"/>
  <c r="N17597" i="1"/>
  <c r="N17596" i="1"/>
  <c r="N17431" i="1"/>
  <c r="N17542" i="1"/>
  <c r="N17347" i="1"/>
  <c r="N17670" i="1"/>
  <c r="N17669" i="1"/>
  <c r="N17402" i="1"/>
  <c r="N17401" i="1"/>
  <c r="N17483" i="1"/>
  <c r="N17430" i="1"/>
  <c r="N14501" i="1"/>
  <c r="N19515" i="1"/>
  <c r="N16105" i="1"/>
  <c r="N4199" i="1"/>
  <c r="N4198" i="1"/>
  <c r="N17950" i="1"/>
  <c r="N17956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4986" i="1"/>
  <c r="N10984" i="1"/>
  <c r="N2360" i="1"/>
  <c r="N8000" i="1"/>
  <c r="N23889" i="1"/>
  <c r="N23888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4607" i="1"/>
  <c r="N4606" i="1"/>
  <c r="N16104" i="1"/>
  <c r="N16103" i="1"/>
  <c r="N19514" i="1"/>
  <c r="N19513" i="1"/>
  <c r="N19512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4435" i="1"/>
  <c r="N4434" i="1"/>
  <c r="N14533" i="1"/>
  <c r="N14532" i="1"/>
  <c r="N14531" i="1"/>
  <c r="N16136" i="1"/>
  <c r="N6728" i="1"/>
  <c r="N6720" i="1"/>
  <c r="N4985" i="1"/>
  <c r="N7999" i="1"/>
  <c r="N4984" i="1"/>
  <c r="N14530" i="1"/>
  <c r="N19544" i="1"/>
  <c r="N19530" i="1"/>
  <c r="N19543" i="1"/>
  <c r="N19529" i="1"/>
  <c r="N16135" i="1"/>
  <c r="N16102" i="1"/>
  <c r="N9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14529" i="1"/>
  <c r="N14528" i="1"/>
  <c r="N14527" i="1"/>
  <c r="N14526" i="1"/>
  <c r="N19542" i="1"/>
  <c r="N19528" i="1"/>
  <c r="N19267" i="1"/>
  <c r="N19266" i="1"/>
  <c r="N19265" i="1"/>
  <c r="N19264" i="1"/>
  <c r="N19263" i="1"/>
  <c r="N19262" i="1"/>
  <c r="N16186" i="1"/>
  <c r="N16166" i="1"/>
  <c r="N6779" i="1"/>
  <c r="N10983" i="1"/>
  <c r="N16034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14313" i="1"/>
  <c r="N7998" i="1"/>
  <c r="N4597" i="1"/>
  <c r="N4596" i="1"/>
  <c r="N4595" i="1"/>
  <c r="N17541" i="1"/>
  <c r="N17660" i="1"/>
  <c r="N17482" i="1"/>
  <c r="N17429" i="1"/>
  <c r="N17428" i="1"/>
  <c r="N17367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2880" i="1"/>
  <c r="N16101" i="1"/>
  <c r="N16878" i="1"/>
  <c r="N16924" i="1"/>
  <c r="N16748" i="1"/>
  <c r="N16923" i="1"/>
  <c r="N16922" i="1"/>
  <c r="N16747" i="1"/>
  <c r="N17043" i="1"/>
  <c r="N17042" i="1"/>
  <c r="N17041" i="1"/>
  <c r="N17040" i="1"/>
  <c r="N17039" i="1"/>
  <c r="N17038" i="1"/>
  <c r="N16921" i="1"/>
  <c r="N16746" i="1"/>
  <c r="N19713" i="1"/>
  <c r="N19712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10982" i="1"/>
  <c r="N10981" i="1"/>
  <c r="N10980" i="1"/>
  <c r="N4614" i="1"/>
  <c r="N4594" i="1"/>
  <c r="N6735" i="1"/>
  <c r="N4613" i="1"/>
  <c r="N4593" i="1"/>
  <c r="N19057" i="1"/>
  <c r="N14319" i="1"/>
  <c r="N19056" i="1"/>
  <c r="N16526" i="1"/>
  <c r="N16363" i="1"/>
  <c r="N16346" i="1"/>
  <c r="N16745" i="1"/>
  <c r="N17037" i="1"/>
  <c r="N16920" i="1"/>
  <c r="N16744" i="1"/>
  <c r="N17103" i="1"/>
  <c r="N16743" i="1"/>
  <c r="N17036" i="1"/>
  <c r="N17637" i="1"/>
  <c r="N17595" i="1"/>
  <c r="N17386" i="1"/>
  <c r="N17324" i="1"/>
  <c r="N17323" i="1"/>
  <c r="N17540" i="1"/>
  <c r="N17427" i="1"/>
  <c r="N10979" i="1"/>
  <c r="N16742" i="1"/>
  <c r="N16741" i="1"/>
  <c r="N16740" i="1"/>
  <c r="N19511" i="1"/>
  <c r="N12549" i="1"/>
  <c r="N16739" i="1"/>
  <c r="N16919" i="1"/>
  <c r="N16738" i="1"/>
  <c r="N16918" i="1"/>
  <c r="N16917" i="1"/>
  <c r="N16737" i="1"/>
  <c r="N16736" i="1"/>
  <c r="N16735" i="1"/>
  <c r="N16734" i="1"/>
  <c r="N16916" i="1"/>
  <c r="N16733" i="1"/>
  <c r="N17035" i="1"/>
  <c r="N17034" i="1"/>
  <c r="N17033" i="1"/>
  <c r="N16915" i="1"/>
  <c r="N16732" i="1"/>
  <c r="N17032" i="1"/>
  <c r="N17426" i="1"/>
  <c r="N16731" i="1"/>
  <c r="N16730" i="1"/>
  <c r="N16729" i="1"/>
  <c r="N16728" i="1"/>
  <c r="N17031" i="1"/>
  <c r="N17030" i="1"/>
  <c r="N17029" i="1"/>
  <c r="N9114" i="1"/>
  <c r="N17566" i="1"/>
  <c r="N17481" i="1"/>
  <c r="N17539" i="1"/>
  <c r="N19711" i="1"/>
  <c r="N19710" i="1"/>
  <c r="N12564" i="1"/>
  <c r="N16100" i="1"/>
  <c r="N16099" i="1"/>
  <c r="N16098" i="1"/>
  <c r="N17853" i="1"/>
  <c r="N17847" i="1"/>
  <c r="N17852" i="1"/>
  <c r="N17851" i="1"/>
  <c r="N17846" i="1"/>
  <c r="N17850" i="1"/>
  <c r="N17849" i="1"/>
  <c r="N17848" i="1"/>
  <c r="N17845" i="1"/>
  <c r="N19061" i="1"/>
  <c r="N19060" i="1"/>
  <c r="N17844" i="1"/>
  <c r="N17843" i="1"/>
  <c r="N17842" i="1"/>
  <c r="N19363" i="1"/>
  <c r="N19510" i="1"/>
  <c r="N23900" i="1"/>
  <c r="N7997" i="1"/>
  <c r="N7996" i="1"/>
  <c r="N16097" i="1"/>
  <c r="N16096" i="1"/>
  <c r="N16147" i="1"/>
  <c r="N14525" i="1"/>
  <c r="N16146" i="1"/>
  <c r="N16145" i="1"/>
  <c r="N10956" i="1"/>
  <c r="N10978" i="1"/>
  <c r="N7925" i="1"/>
  <c r="N16165" i="1"/>
  <c r="N19261" i="1"/>
  <c r="N16369" i="1"/>
  <c r="N14524" i="1"/>
  <c r="N19260" i="1"/>
  <c r="N4433" i="1"/>
  <c r="N4983" i="1"/>
  <c r="N16575" i="1"/>
  <c r="N14523" i="1"/>
  <c r="N14522" i="1"/>
  <c r="N7995" i="1"/>
  <c r="N4432" i="1"/>
  <c r="N6727" i="1"/>
  <c r="N4982" i="1"/>
  <c r="N11894" i="1"/>
  <c r="N16095" i="1"/>
  <c r="N16727" i="1"/>
  <c r="N16726" i="1"/>
  <c r="N16725" i="1"/>
  <c r="N16914" i="1"/>
  <c r="N16724" i="1"/>
  <c r="N2359" i="1"/>
  <c r="N13392" i="1"/>
  <c r="N17028" i="1"/>
  <c r="N16185" i="1"/>
  <c r="N16134" i="1"/>
  <c r="N10291" i="1"/>
  <c r="N10290" i="1"/>
  <c r="N10289" i="1"/>
  <c r="N10288" i="1"/>
  <c r="N16357" i="1"/>
  <c r="N16356" i="1"/>
  <c r="N16077" i="1"/>
  <c r="N16723" i="1"/>
  <c r="N16913" i="1"/>
  <c r="N16722" i="1"/>
  <c r="N16133" i="1"/>
  <c r="N17480" i="1"/>
  <c r="N17425" i="1"/>
  <c r="N17424" i="1"/>
  <c r="N17636" i="1"/>
  <c r="N17570" i="1"/>
  <c r="N17578" i="1"/>
  <c r="N17479" i="1"/>
  <c r="N17478" i="1"/>
  <c r="N17423" i="1"/>
  <c r="N17422" i="1"/>
  <c r="N17421" i="1"/>
  <c r="N17346" i="1"/>
  <c r="N17420" i="1"/>
  <c r="N17477" i="1"/>
  <c r="N16912" i="1"/>
  <c r="N16721" i="1"/>
  <c r="N19259" i="1"/>
  <c r="N19258" i="1"/>
  <c r="N16542" i="1"/>
  <c r="N16527" i="1"/>
  <c r="N17027" i="1"/>
  <c r="N16911" i="1"/>
  <c r="N16720" i="1"/>
  <c r="N16719" i="1"/>
  <c r="N16718" i="1"/>
  <c r="N16164" i="1"/>
  <c r="N17385" i="1"/>
  <c r="N17650" i="1"/>
  <c r="N17322" i="1"/>
  <c r="N2879" i="1"/>
  <c r="N17026" i="1"/>
  <c r="N17025" i="1"/>
  <c r="N17024" i="1"/>
  <c r="N16094" i="1"/>
  <c r="N16132" i="1"/>
  <c r="N2322" i="1"/>
  <c r="N2325" i="1"/>
  <c r="N19517" i="1"/>
  <c r="N16910" i="1"/>
  <c r="N16717" i="1"/>
  <c r="N17594" i="1"/>
  <c r="N17593" i="1"/>
  <c r="N17592" i="1"/>
  <c r="N17321" i="1"/>
  <c r="N17023" i="1"/>
  <c r="N16716" i="1"/>
  <c r="N16715" i="1"/>
  <c r="N16714" i="1"/>
  <c r="N16909" i="1"/>
  <c r="N16713" i="1"/>
  <c r="N19709" i="1"/>
  <c r="N19708" i="1"/>
  <c r="N19707" i="1"/>
  <c r="N19706" i="1"/>
  <c r="N19521" i="1"/>
  <c r="N16908" i="1"/>
  <c r="N16712" i="1"/>
  <c r="N16907" i="1"/>
  <c r="N16906" i="1"/>
  <c r="N16905" i="1"/>
  <c r="N16711" i="1"/>
  <c r="N16710" i="1"/>
  <c r="N16709" i="1"/>
  <c r="N17476" i="1"/>
  <c r="N17475" i="1"/>
  <c r="N17419" i="1"/>
  <c r="N17591" i="1"/>
  <c r="N17474" i="1"/>
  <c r="N17022" i="1"/>
  <c r="N17659" i="1"/>
  <c r="N17473" i="1"/>
  <c r="N17644" i="1"/>
  <c r="N17366" i="1"/>
  <c r="N17021" i="1"/>
  <c r="N16708" i="1"/>
  <c r="N16904" i="1"/>
  <c r="N16707" i="1"/>
  <c r="N17020" i="1"/>
  <c r="N10977" i="1"/>
  <c r="N16541" i="1"/>
  <c r="N17472" i="1"/>
  <c r="N17418" i="1"/>
  <c r="N17417" i="1"/>
  <c r="N17416" i="1"/>
  <c r="N17415" i="1"/>
  <c r="N16540" i="1"/>
  <c r="N16539" i="1"/>
  <c r="N14318" i="1"/>
  <c r="N16538" i="1"/>
  <c r="N16537" i="1"/>
  <c r="N16536" i="1"/>
  <c r="N16535" i="1"/>
  <c r="N16534" i="1"/>
  <c r="N16533" i="1"/>
  <c r="N16532" i="1"/>
  <c r="N16531" i="1"/>
  <c r="N16530" i="1"/>
  <c r="N1425" i="1"/>
  <c r="N16353" i="1"/>
  <c r="N16352" i="1"/>
  <c r="N16351" i="1"/>
  <c r="N10287" i="1"/>
  <c r="N16350" i="1"/>
  <c r="N10286" i="1"/>
  <c r="N14312" i="1"/>
  <c r="N23899" i="1"/>
  <c r="N16349" i="1"/>
  <c r="N14311" i="1"/>
  <c r="N10976" i="1"/>
  <c r="N4981" i="1"/>
  <c r="N14521" i="1"/>
  <c r="N14520" i="1"/>
  <c r="N7994" i="1"/>
  <c r="N16368" i="1"/>
  <c r="N16348" i="1"/>
  <c r="N16347" i="1"/>
  <c r="N16327" i="1"/>
  <c r="N16326" i="1"/>
  <c r="N4980" i="1"/>
  <c r="N16325" i="1"/>
  <c r="N14310" i="1"/>
  <c r="N10975" i="1"/>
  <c r="N16093" i="1"/>
  <c r="N11895" i="1"/>
  <c r="N16092" i="1"/>
  <c r="N16091" i="1"/>
  <c r="N7928" i="1"/>
  <c r="N4431" i="1"/>
  <c r="N6726" i="1"/>
  <c r="N14519" i="1"/>
  <c r="N14518" i="1"/>
  <c r="N4430" i="1"/>
  <c r="N7924" i="1"/>
  <c r="N7923" i="1"/>
  <c r="N7922" i="1"/>
  <c r="N10651" i="1"/>
  <c r="N2358" i="1"/>
  <c r="N4852" i="1"/>
  <c r="N16184" i="1"/>
  <c r="N16163" i="1"/>
  <c r="N16162" i="1"/>
  <c r="N16161" i="1"/>
  <c r="N2878" i="1"/>
  <c r="N16903" i="1"/>
  <c r="N16706" i="1"/>
  <c r="N17538" i="1"/>
  <c r="N17345" i="1"/>
  <c r="N17668" i="1"/>
  <c r="N17019" i="1"/>
  <c r="N16902" i="1"/>
  <c r="N16705" i="1"/>
  <c r="N16704" i="1"/>
  <c r="N16901" i="1"/>
  <c r="N16900" i="1"/>
  <c r="N16703" i="1"/>
  <c r="N16702" i="1"/>
  <c r="N17667" i="1"/>
  <c r="N17471" i="1"/>
  <c r="N17344" i="1"/>
  <c r="N16701" i="1"/>
  <c r="N16899" i="1"/>
  <c r="N16700" i="1"/>
  <c r="N16898" i="1"/>
  <c r="N16699" i="1"/>
  <c r="N17655" i="1"/>
  <c r="N17470" i="1"/>
  <c r="N17469" i="1"/>
  <c r="N17590" i="1"/>
  <c r="N17468" i="1"/>
  <c r="N17414" i="1"/>
  <c r="N17467" i="1"/>
  <c r="N17466" i="1"/>
  <c r="N17537" i="1"/>
  <c r="N17465" i="1"/>
  <c r="N19705" i="1"/>
  <c r="N19704" i="1"/>
  <c r="N16698" i="1"/>
  <c r="N16697" i="1"/>
  <c r="N17018" i="1"/>
  <c r="N17017" i="1"/>
  <c r="N17016" i="1"/>
  <c r="N16696" i="1"/>
  <c r="N10974" i="1"/>
  <c r="N16090" i="1"/>
  <c r="N16089" i="1"/>
  <c r="N16144" i="1"/>
  <c r="N10973" i="1"/>
  <c r="N17015" i="1"/>
  <c r="N17536" i="1"/>
  <c r="N17535" i="1"/>
  <c r="N17413" i="1"/>
  <c r="N17534" i="1"/>
  <c r="N17533" i="1"/>
  <c r="N17412" i="1"/>
  <c r="N17532" i="1"/>
  <c r="N17531" i="1"/>
  <c r="N17411" i="1"/>
  <c r="N17530" i="1"/>
  <c r="N17529" i="1"/>
  <c r="N17410" i="1"/>
  <c r="N17528" i="1"/>
  <c r="N17527" i="1"/>
  <c r="N17409" i="1"/>
  <c r="N17658" i="1"/>
  <c r="N17464" i="1"/>
  <c r="N17365" i="1"/>
  <c r="N17408" i="1"/>
  <c r="N16143" i="1"/>
  <c r="N16142" i="1"/>
  <c r="N13810" i="1"/>
  <c r="N16695" i="1"/>
  <c r="N17589" i="1"/>
  <c r="N17588" i="1"/>
  <c r="N17587" i="1"/>
  <c r="N17320" i="1"/>
  <c r="N16694" i="1"/>
  <c r="N16693" i="1"/>
  <c r="N16692" i="1"/>
  <c r="N10285" i="1"/>
  <c r="N16691" i="1"/>
  <c r="N16897" i="1"/>
  <c r="N16690" i="1"/>
  <c r="N16689" i="1"/>
  <c r="N17014" i="1"/>
  <c r="N4965" i="1"/>
  <c r="N19703" i="1"/>
  <c r="N19702" i="1"/>
  <c r="N17013" i="1"/>
  <c r="N17012" i="1"/>
  <c r="N17011" i="1"/>
  <c r="N23887" i="1"/>
  <c r="N19520" i="1"/>
  <c r="N11787" i="1"/>
  <c r="N16088" i="1"/>
  <c r="N16141" i="1"/>
  <c r="N16140" i="1"/>
  <c r="N23898" i="1"/>
  <c r="N14517" i="1"/>
  <c r="N14516" i="1"/>
  <c r="N15023" i="1"/>
  <c r="N14515" i="1"/>
  <c r="N15022" i="1"/>
  <c r="N4979" i="1"/>
  <c r="N14514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16367" i="1"/>
  <c r="N4978" i="1"/>
  <c r="N628" i="1"/>
  <c r="N627" i="1"/>
  <c r="N15021" i="1"/>
  <c r="N15020" i="1"/>
  <c r="N4429" i="1"/>
  <c r="N2357" i="1"/>
  <c r="N4428" i="1"/>
  <c r="N626" i="1"/>
  <c r="N625" i="1"/>
  <c r="N624" i="1"/>
  <c r="N623" i="1"/>
  <c r="N622" i="1"/>
  <c r="N621" i="1"/>
  <c r="N620" i="1"/>
  <c r="N619" i="1"/>
  <c r="N22" i="1"/>
  <c r="N10972" i="1"/>
  <c r="N10971" i="1"/>
  <c r="N16087" i="1"/>
  <c r="N6660" i="1"/>
  <c r="N16183" i="1"/>
  <c r="N7993" i="1"/>
  <c r="N16355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2877" i="1"/>
  <c r="N593" i="1"/>
  <c r="N592" i="1"/>
  <c r="N591" i="1"/>
  <c r="N590" i="1"/>
  <c r="N589" i="1"/>
  <c r="N588" i="1"/>
  <c r="N587" i="1"/>
  <c r="N586" i="1"/>
  <c r="N17526" i="1"/>
  <c r="N17407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19257" i="1"/>
  <c r="N19256" i="1"/>
  <c r="N19255" i="1"/>
  <c r="N6725" i="1"/>
  <c r="N17649" i="1"/>
  <c r="N573" i="1"/>
  <c r="N572" i="1"/>
  <c r="N571" i="1"/>
  <c r="N570" i="1"/>
  <c r="N16896" i="1"/>
  <c r="N16688" i="1"/>
  <c r="N16687" i="1"/>
  <c r="N16686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3350" i="1"/>
  <c r="N17364" i="1"/>
  <c r="N17463" i="1"/>
  <c r="N17406" i="1"/>
  <c r="N17319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19541" i="1"/>
  <c r="N19527" i="1"/>
  <c r="N19540" i="1"/>
  <c r="N19526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19539" i="1"/>
  <c r="N19525" i="1"/>
  <c r="N495" i="1"/>
  <c r="N494" i="1"/>
  <c r="N493" i="1"/>
  <c r="N492" i="1"/>
  <c r="N491" i="1"/>
  <c r="N490" i="1"/>
  <c r="N4851" i="1"/>
  <c r="N17657" i="1"/>
  <c r="N17462" i="1"/>
  <c r="N17461" i="1"/>
  <c r="N17405" i="1"/>
  <c r="N17404" i="1"/>
  <c r="N17643" i="1"/>
  <c r="N17363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8" i="1"/>
  <c r="N16685" i="1"/>
  <c r="N16895" i="1"/>
  <c r="N16684" i="1"/>
  <c r="N16894" i="1"/>
  <c r="N16683" i="1"/>
  <c r="N6734" i="1"/>
  <c r="N16893" i="1"/>
  <c r="N16682" i="1"/>
  <c r="N16892" i="1"/>
  <c r="N16681" i="1"/>
  <c r="N17010" i="1"/>
  <c r="N17009" i="1"/>
  <c r="N16086" i="1"/>
  <c r="N10970" i="1"/>
  <c r="N16680" i="1"/>
  <c r="N16679" i="1"/>
  <c r="N16678" i="1"/>
  <c r="N17586" i="1"/>
  <c r="N17585" i="1"/>
  <c r="N17584" i="1"/>
  <c r="N17583" i="1"/>
  <c r="N17318" i="1"/>
  <c r="N17008" i="1"/>
  <c r="N17007" i="1"/>
  <c r="N17006" i="1"/>
  <c r="N16891" i="1"/>
  <c r="N17005" i="1"/>
  <c r="N16677" i="1"/>
  <c r="N4969" i="1"/>
  <c r="N16676" i="1"/>
  <c r="N16675" i="1"/>
  <c r="N16674" i="1"/>
  <c r="N17004" i="1"/>
  <c r="N17003" i="1"/>
  <c r="N17002" i="1"/>
  <c r="N16890" i="1"/>
  <c r="N16673" i="1"/>
  <c r="N16672" i="1"/>
  <c r="N16889" i="1"/>
  <c r="N16671" i="1"/>
  <c r="N16888" i="1"/>
  <c r="N16670" i="1"/>
  <c r="N17001" i="1"/>
  <c r="N17000" i="1"/>
  <c r="N16669" i="1"/>
  <c r="N16887" i="1"/>
  <c r="N16668" i="1"/>
  <c r="N16160" i="1"/>
  <c r="N19701" i="1"/>
  <c r="N4720" i="1"/>
  <c r="N17569" i="1"/>
  <c r="N14309" i="1"/>
  <c r="N17654" i="1"/>
  <c r="N19700" i="1"/>
  <c r="N19699" i="1"/>
  <c r="N16047" i="1"/>
  <c r="N4612" i="1"/>
  <c r="N4592" i="1"/>
  <c r="N4611" i="1"/>
  <c r="N4591" i="1"/>
  <c r="N4590" i="1"/>
  <c r="N23897" i="1"/>
  <c r="N4977" i="1"/>
  <c r="N14513" i="1"/>
  <c r="N14512" i="1"/>
  <c r="N4427" i="1"/>
  <c r="N7992" i="1"/>
  <c r="N16085" i="1"/>
  <c r="N3796" i="1"/>
  <c r="N14511" i="1"/>
  <c r="N4731" i="1"/>
  <c r="N4730" i="1"/>
  <c r="N16084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426" i="1"/>
  <c r="N2356" i="1"/>
  <c r="N14510" i="1"/>
  <c r="N17857" i="1"/>
  <c r="N17856" i="1"/>
  <c r="N17855" i="1"/>
  <c r="N17854" i="1"/>
  <c r="N4964" i="1"/>
  <c r="N6724" i="1"/>
  <c r="N16366" i="1"/>
  <c r="N4976" i="1"/>
  <c r="N16139" i="1"/>
  <c r="N16182" i="1"/>
  <c r="N4729" i="1"/>
  <c r="N4728" i="1"/>
  <c r="N4727" i="1"/>
  <c r="N4726" i="1"/>
  <c r="N4725" i="1"/>
  <c r="N4724" i="1"/>
  <c r="N4723" i="1"/>
  <c r="N13828" i="1"/>
  <c r="N16999" i="1"/>
  <c r="N16998" i="1"/>
  <c r="N16997" i="1"/>
  <c r="N16996" i="1"/>
  <c r="N16995" i="1"/>
  <c r="N16994" i="1"/>
  <c r="N16667" i="1"/>
  <c r="N16666" i="1"/>
  <c r="N16665" i="1"/>
  <c r="N16664" i="1"/>
  <c r="N16663" i="1"/>
  <c r="N16662" i="1"/>
  <c r="N17315" i="1"/>
  <c r="N4515" i="1"/>
  <c r="N4970" i="1"/>
  <c r="N16159" i="1"/>
  <c r="N17656" i="1"/>
  <c r="N17460" i="1"/>
  <c r="N17459" i="1"/>
  <c r="N17362" i="1"/>
  <c r="N16993" i="1"/>
  <c r="N10969" i="1"/>
  <c r="N13841" i="1"/>
  <c r="N19519" i="1"/>
  <c r="N19698" i="1"/>
  <c r="N19697" i="1"/>
  <c r="N17343" i="1"/>
  <c r="N17648" i="1"/>
  <c r="N16661" i="1"/>
  <c r="N16886" i="1"/>
  <c r="N16660" i="1"/>
  <c r="N16992" i="1"/>
  <c r="N16885" i="1"/>
  <c r="N16659" i="1"/>
  <c r="N16884" i="1"/>
  <c r="N16658" i="1"/>
  <c r="N16657" i="1"/>
  <c r="N19696" i="1"/>
  <c r="N19695" i="1"/>
  <c r="N4722" i="1"/>
  <c r="N2876" i="1"/>
  <c r="N2321" i="1"/>
  <c r="N4721" i="1"/>
  <c r="N16656" i="1"/>
  <c r="N16655" i="1"/>
  <c r="N16883" i="1"/>
  <c r="N16654" i="1"/>
  <c r="N16882" i="1"/>
  <c r="N16653" i="1"/>
  <c r="N16881" i="1"/>
  <c r="N16991" i="1"/>
  <c r="N16652" i="1"/>
  <c r="N16990" i="1"/>
  <c r="N17949" i="1"/>
  <c r="N17948" i="1"/>
  <c r="N17565" i="1"/>
  <c r="N17564" i="1"/>
  <c r="N17582" i="1"/>
  <c r="N17384" i="1"/>
  <c r="N17581" i="1"/>
  <c r="N17317" i="1"/>
  <c r="N17647" i="1"/>
  <c r="N17646" i="1"/>
  <c r="N17458" i="1"/>
  <c r="N17525" i="1"/>
  <c r="N16651" i="1"/>
  <c r="N16650" i="1"/>
  <c r="N16880" i="1"/>
  <c r="N16649" i="1"/>
  <c r="N16989" i="1"/>
  <c r="N16988" i="1"/>
  <c r="N16987" i="1"/>
  <c r="N16986" i="1"/>
  <c r="N16985" i="1"/>
  <c r="N16879" i="1"/>
  <c r="N16648" i="1"/>
  <c r="N16083" i="1"/>
  <c r="N17457" i="1"/>
  <c r="N17645" i="1"/>
  <c r="N17947" i="1"/>
  <c r="N17955" i="1"/>
  <c r="N16158" i="1"/>
  <c r="N4511" i="1"/>
  <c r="N16138" i="1"/>
  <c r="N13880" i="1"/>
  <c r="N13878" i="1"/>
  <c r="N16181" i="1"/>
  <c r="N18717" i="1"/>
  <c r="N4425" i="1"/>
  <c r="N4424" i="1"/>
  <c r="N14509" i="1"/>
  <c r="N14508" i="1"/>
  <c r="N7991" i="1"/>
  <c r="N14507" i="1"/>
  <c r="N14506" i="1"/>
  <c r="N16365" i="1"/>
  <c r="N6723" i="1"/>
  <c r="N4975" i="1"/>
  <c r="N2355" i="1"/>
  <c r="N4974" i="1"/>
  <c r="N10968" i="1"/>
  <c r="N2875" i="1"/>
  <c r="N10967" i="1"/>
  <c r="N19694" i="1"/>
  <c r="N19693" i="1"/>
  <c r="N23896" i="1"/>
  <c r="N10966" i="1"/>
  <c r="N10965" i="1"/>
  <c r="N10964" i="1"/>
  <c r="N10963" i="1"/>
  <c r="N10962" i="1"/>
  <c r="N10961" i="1"/>
  <c r="N10960" i="1"/>
  <c r="N10959" i="1"/>
  <c r="N13809" i="1"/>
  <c r="N10958" i="1"/>
  <c r="N14276" i="1"/>
  <c r="N14505" i="1"/>
  <c r="N14504" i="1"/>
  <c r="N14503" i="1"/>
  <c r="N14502" i="1"/>
  <c r="N16180" i="1"/>
  <c r="N4973" i="1"/>
  <c r="N7990" i="1"/>
  <c r="N6722" i="1"/>
  <c r="N4972" i="1"/>
  <c r="N4817" i="1"/>
  <c r="N4423" i="1"/>
  <c r="N4422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N14254" i="1"/>
  <c r="N14253" i="1"/>
  <c r="N14252" i="1"/>
  <c r="N14251" i="1"/>
  <c r="N14250" i="1"/>
  <c r="N14249" i="1"/>
  <c r="N14248" i="1"/>
  <c r="N14247" i="1"/>
  <c r="N14246" i="1"/>
  <c r="N14245" i="1"/>
  <c r="N14244" i="1"/>
  <c r="N14243" i="1"/>
  <c r="N14242" i="1"/>
  <c r="N14241" i="1"/>
  <c r="N14240" i="1"/>
  <c r="N14239" i="1"/>
  <c r="N14238" i="1"/>
  <c r="N14237" i="1"/>
  <c r="N14236" i="1"/>
  <c r="N14235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14234" i="1"/>
  <c r="N14233" i="1"/>
  <c r="N14232" i="1"/>
  <c r="N14231" i="1"/>
  <c r="N14230" i="1"/>
  <c r="N14229" i="1"/>
  <c r="N14228" i="1"/>
  <c r="N14227" i="1"/>
  <c r="N14226" i="1"/>
  <c r="N14225" i="1"/>
  <c r="N14224" i="1"/>
  <c r="N14223" i="1"/>
  <c r="N14034" i="1"/>
  <c r="N14033" i="1"/>
  <c r="N14222" i="1"/>
  <c r="N14221" i="1"/>
  <c r="N14220" i="1"/>
  <c r="N14219" i="1"/>
  <c r="N14218" i="1"/>
  <c r="N14217" i="1"/>
  <c r="N14216" i="1"/>
  <c r="N14215" i="1"/>
  <c r="N14214" i="1"/>
  <c r="N14213" i="1"/>
  <c r="N14212" i="1"/>
  <c r="N14211" i="1"/>
  <c r="N14210" i="1"/>
  <c r="N14209" i="1"/>
  <c r="N14208" i="1"/>
  <c r="N14207" i="1"/>
  <c r="N14206" i="1"/>
  <c r="N14205" i="1"/>
  <c r="N14204" i="1"/>
  <c r="N14203" i="1"/>
  <c r="N14202" i="1"/>
  <c r="N14201" i="1"/>
  <c r="N14200" i="1"/>
  <c r="N14199" i="1"/>
  <c r="N14198" i="1"/>
  <c r="N14197" i="1"/>
  <c r="N14196" i="1"/>
  <c r="N14195" i="1"/>
  <c r="N14194" i="1"/>
  <c r="N14193" i="1"/>
  <c r="N14192" i="1"/>
  <c r="N14191" i="1"/>
  <c r="N14190" i="1"/>
  <c r="N14189" i="1"/>
  <c r="N14188" i="1"/>
  <c r="N14187" i="1"/>
  <c r="N14186" i="1"/>
  <c r="N14185" i="1"/>
  <c r="N14184" i="1"/>
  <c r="N14183" i="1"/>
  <c r="N14182" i="1"/>
  <c r="N14181" i="1"/>
  <c r="N14180" i="1"/>
  <c r="N14179" i="1"/>
  <c r="N14178" i="1"/>
  <c r="N4799" i="1"/>
  <c r="N4798" i="1"/>
  <c r="N4797" i="1"/>
  <c r="N4796" i="1"/>
  <c r="N4795" i="1"/>
  <c r="N4794" i="1"/>
  <c r="N4793" i="1"/>
  <c r="N14177" i="1"/>
  <c r="N14176" i="1"/>
  <c r="N14175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14174" i="1"/>
  <c r="N14173" i="1"/>
  <c r="N14172" i="1"/>
  <c r="N14171" i="1"/>
  <c r="N14170" i="1"/>
  <c r="N14169" i="1"/>
  <c r="N14168" i="1"/>
  <c r="N14167" i="1"/>
  <c r="N14166" i="1"/>
  <c r="N14165" i="1"/>
  <c r="N14164" i="1"/>
  <c r="N14163" i="1"/>
  <c r="N14162" i="1"/>
  <c r="N14161" i="1"/>
  <c r="N14160" i="1"/>
  <c r="N14159" i="1"/>
  <c r="N14158" i="1"/>
  <c r="N14157" i="1"/>
  <c r="N14156" i="1"/>
  <c r="N14155" i="1"/>
  <c r="N14154" i="1"/>
  <c r="N14153" i="1"/>
  <c r="N14152" i="1"/>
  <c r="N14151" i="1"/>
  <c r="N14150" i="1"/>
  <c r="N14149" i="1"/>
  <c r="N14148" i="1"/>
  <c r="N14147" i="1"/>
  <c r="N14146" i="1"/>
  <c r="N14145" i="1"/>
  <c r="N14144" i="1"/>
  <c r="N14143" i="1"/>
  <c r="N14142" i="1"/>
  <c r="N14141" i="1"/>
  <c r="N14140" i="1"/>
  <c r="N14139" i="1"/>
  <c r="N14138" i="1"/>
  <c r="N14137" i="1"/>
  <c r="N14136" i="1"/>
  <c r="N14135" i="1"/>
  <c r="N14134" i="1"/>
  <c r="N14133" i="1"/>
  <c r="N14132" i="1"/>
  <c r="N14131" i="1"/>
  <c r="N14130" i="1"/>
  <c r="N14129" i="1"/>
  <c r="N14128" i="1"/>
  <c r="N14127" i="1"/>
  <c r="N14126" i="1"/>
  <c r="N14125" i="1"/>
  <c r="N14124" i="1"/>
  <c r="N14123" i="1"/>
  <c r="N14122" i="1"/>
  <c r="N14121" i="1"/>
  <c r="N14120" i="1"/>
  <c r="N14119" i="1"/>
  <c r="N14118" i="1"/>
  <c r="N14117" i="1"/>
  <c r="N14116" i="1"/>
  <c r="N14115" i="1"/>
  <c r="N14114" i="1"/>
  <c r="N14113" i="1"/>
  <c r="N14112" i="1"/>
  <c r="N14111" i="1"/>
  <c r="N14110" i="1"/>
  <c r="N14109" i="1"/>
  <c r="N14108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14107" i="1"/>
  <c r="N14106" i="1"/>
  <c r="N14105" i="1"/>
  <c r="N14104" i="1"/>
  <c r="N14103" i="1"/>
  <c r="N14102" i="1"/>
  <c r="N14101" i="1"/>
  <c r="N14100" i="1"/>
  <c r="N14099" i="1"/>
  <c r="N14098" i="1"/>
  <c r="N14097" i="1"/>
  <c r="N14096" i="1"/>
  <c r="N14095" i="1"/>
  <c r="N14094" i="1"/>
  <c r="N14093" i="1"/>
  <c r="N14092" i="1"/>
  <c r="N14091" i="1"/>
  <c r="N14090" i="1"/>
  <c r="N14089" i="1"/>
  <c r="N14088" i="1"/>
  <c r="N14087" i="1"/>
  <c r="N14086" i="1"/>
  <c r="N14085" i="1"/>
  <c r="N14084" i="1"/>
  <c r="N14083" i="1"/>
  <c r="N14082" i="1"/>
  <c r="N14081" i="1"/>
  <c r="N14080" i="1"/>
  <c r="N14079" i="1"/>
  <c r="N14078" i="1"/>
  <c r="N14077" i="1"/>
  <c r="N14076" i="1"/>
  <c r="N14075" i="1"/>
  <c r="N14074" i="1"/>
  <c r="N14073" i="1"/>
  <c r="N14072" i="1"/>
  <c r="N14071" i="1"/>
  <c r="N14070" i="1"/>
  <c r="N14069" i="1"/>
  <c r="N14068" i="1"/>
  <c r="N14067" i="1"/>
  <c r="N14066" i="1"/>
  <c r="N14065" i="1"/>
  <c r="N4759" i="1"/>
  <c r="N4758" i="1"/>
  <c r="N4757" i="1"/>
  <c r="N4756" i="1"/>
  <c r="N4755" i="1"/>
  <c r="N4754" i="1"/>
  <c r="N4753" i="1"/>
  <c r="N4752" i="1"/>
  <c r="N14064" i="1"/>
  <c r="N14063" i="1"/>
  <c r="N14062" i="1"/>
  <c r="N14061" i="1"/>
  <c r="N14060" i="1"/>
  <c r="N14059" i="1"/>
  <c r="N14058" i="1"/>
  <c r="N14057" i="1"/>
  <c r="N14056" i="1"/>
  <c r="N14055" i="1"/>
  <c r="N14054" i="1"/>
  <c r="N14053" i="1"/>
  <c r="N14052" i="1"/>
  <c r="N14051" i="1"/>
  <c r="N14050" i="1"/>
  <c r="N14049" i="1"/>
  <c r="N14048" i="1"/>
  <c r="N14047" i="1"/>
  <c r="N14046" i="1"/>
  <c r="N14045" i="1"/>
  <c r="N14044" i="1"/>
  <c r="N14043" i="1"/>
  <c r="N14042" i="1"/>
  <c r="N14041" i="1"/>
  <c r="N14040" i="1"/>
  <c r="N14039" i="1"/>
  <c r="N14038" i="1"/>
  <c r="N14037" i="1"/>
  <c r="N14036" i="1"/>
  <c r="N14035" i="1"/>
  <c r="N16364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10186" i="1" l="1"/>
  <c r="N10258" i="1"/>
  <c r="N1245" i="1"/>
  <c r="N15978" i="1"/>
  <c r="N15977" i="1"/>
  <c r="N14662" i="1"/>
  <c r="N5475" i="1"/>
  <c r="N4636" i="1"/>
  <c r="N8346" i="1"/>
  <c r="N19331" i="1"/>
  <c r="N2094" i="1"/>
  <c r="N2093" i="1"/>
  <c r="N6095" i="1"/>
  <c r="N6094" i="1"/>
  <c r="N6093" i="1"/>
  <c r="N6092" i="1"/>
  <c r="N3081" i="1"/>
  <c r="N3080" i="1"/>
  <c r="N15526" i="1"/>
  <c r="N15525" i="1"/>
  <c r="N15803" i="1"/>
  <c r="N15954" i="1"/>
  <c r="N17863" i="1"/>
  <c r="N23596" i="1"/>
  <c r="N4963" i="1"/>
  <c r="N8345" i="1"/>
  <c r="N1221" i="1"/>
  <c r="N8344" i="1"/>
  <c r="N23911" i="1"/>
  <c r="N10113" i="1"/>
  <c r="N15989" i="1"/>
  <c r="N15988" i="1"/>
  <c r="N6772" i="1"/>
  <c r="N6771" i="1"/>
  <c r="N6770" i="1"/>
  <c r="N8343" i="1"/>
  <c r="N8342" i="1"/>
  <c r="N14481" i="1"/>
  <c r="N9356" i="1"/>
  <c r="N14949" i="1"/>
  <c r="N22819" i="1"/>
  <c r="N22818" i="1"/>
  <c r="N22817" i="1"/>
  <c r="N22816" i="1"/>
  <c r="N22815" i="1"/>
  <c r="N22814" i="1"/>
  <c r="N22813" i="1"/>
  <c r="N22812" i="1"/>
  <c r="N22811" i="1"/>
  <c r="N22810" i="1"/>
  <c r="N22809" i="1"/>
  <c r="N22808" i="1"/>
  <c r="N22807" i="1"/>
  <c r="N24021" i="1"/>
  <c r="N3648" i="1"/>
  <c r="N3647" i="1"/>
  <c r="N3646" i="1"/>
  <c r="N3645" i="1"/>
  <c r="N3793" i="1"/>
  <c r="N22806" i="1"/>
  <c r="N13826" i="1"/>
  <c r="N13825" i="1"/>
  <c r="N1292" i="1"/>
  <c r="N19448" i="1"/>
  <c r="N19447" i="1"/>
  <c r="N6091" i="1"/>
  <c r="N6090" i="1"/>
  <c r="N9274" i="1"/>
  <c r="N9273" i="1"/>
  <c r="N9272" i="1"/>
  <c r="N1428" i="1"/>
  <c r="N22805" i="1"/>
  <c r="N22804" i="1"/>
  <c r="N22803" i="1"/>
  <c r="N22802" i="1"/>
  <c r="N22801" i="1"/>
  <c r="N22800" i="1"/>
  <c r="N22799" i="1"/>
  <c r="N22798" i="1"/>
  <c r="N22797" i="1"/>
  <c r="N22796" i="1"/>
  <c r="N22795" i="1"/>
  <c r="N22794" i="1"/>
  <c r="N10246" i="1"/>
  <c r="N10245" i="1"/>
  <c r="N10244" i="1"/>
  <c r="N10243" i="1"/>
  <c r="N10112" i="1"/>
  <c r="N1479" i="1"/>
  <c r="N1478" i="1"/>
  <c r="N22793" i="1"/>
  <c r="N2112" i="1"/>
  <c r="N9208" i="1"/>
  <c r="N9207" i="1"/>
  <c r="N9206" i="1"/>
  <c r="N23763" i="1"/>
  <c r="N23762" i="1"/>
  <c r="N3500" i="1"/>
  <c r="N3492" i="1"/>
  <c r="N13177" i="1"/>
  <c r="N15332" i="1"/>
  <c r="N11711" i="1"/>
  <c r="N5041" i="1"/>
  <c r="N5025" i="1"/>
  <c r="N5040" i="1"/>
  <c r="N5024" i="1"/>
  <c r="N5039" i="1"/>
  <c r="N5023" i="1"/>
  <c r="N5038" i="1"/>
  <c r="N5022" i="1"/>
  <c r="N16195" i="1"/>
  <c r="N1522" i="1"/>
  <c r="N19446" i="1"/>
  <c r="N19445" i="1"/>
  <c r="N3114" i="1"/>
  <c r="N3804" i="1"/>
  <c r="N9632" i="1"/>
  <c r="N9631" i="1"/>
  <c r="N9630" i="1"/>
  <c r="N9629" i="1"/>
  <c r="N8036" i="1"/>
  <c r="N2523" i="1"/>
  <c r="N17894" i="1"/>
  <c r="N17893" i="1"/>
  <c r="N12268" i="1"/>
  <c r="N23595" i="1"/>
  <c r="N3783" i="1"/>
  <c r="N4478" i="1"/>
  <c r="N15497" i="1"/>
  <c r="N15520" i="1"/>
  <c r="N15496" i="1"/>
  <c r="N15519" i="1"/>
  <c r="N15495" i="1"/>
  <c r="N15469" i="1"/>
  <c r="N15494" i="1"/>
  <c r="N1121" i="1"/>
  <c r="N1120" i="1"/>
  <c r="N2740" i="1"/>
  <c r="N24600" i="1"/>
  <c r="N24599" i="1"/>
  <c r="N24598" i="1"/>
  <c r="N24597" i="1"/>
  <c r="N24596" i="1"/>
  <c r="N24595" i="1"/>
  <c r="N24594" i="1"/>
  <c r="N24593" i="1"/>
  <c r="N24592" i="1"/>
  <c r="N24591" i="1"/>
  <c r="N9205" i="1"/>
  <c r="N9204" i="1"/>
  <c r="N9203" i="1"/>
  <c r="N9202" i="1"/>
  <c r="N24183" i="1"/>
  <c r="N24212" i="1"/>
  <c r="N24182" i="1"/>
  <c r="N24211" i="1"/>
  <c r="N2520" i="1"/>
  <c r="N11710" i="1"/>
  <c r="N18327" i="1"/>
  <c r="N18326" i="1"/>
  <c r="N9628" i="1"/>
  <c r="N23005" i="1"/>
  <c r="N11256" i="1"/>
  <c r="N11709" i="1"/>
  <c r="N11255" i="1"/>
  <c r="N11708" i="1"/>
  <c r="N14886" i="1"/>
  <c r="N14948" i="1"/>
  <c r="N14947" i="1"/>
  <c r="N14946" i="1"/>
  <c r="N14885" i="1"/>
  <c r="N14945" i="1"/>
  <c r="N24020" i="1"/>
  <c r="N24019" i="1"/>
  <c r="N11707" i="1"/>
  <c r="N11706" i="1"/>
  <c r="N11705" i="1"/>
  <c r="N6487" i="1"/>
  <c r="N14884" i="1"/>
  <c r="N14944" i="1"/>
  <c r="N9101" i="1"/>
  <c r="N22792" i="1"/>
  <c r="N14359" i="1"/>
  <c r="N14943" i="1"/>
  <c r="N7621" i="1"/>
  <c r="N12752" i="1"/>
  <c r="N12751" i="1"/>
  <c r="N12750" i="1"/>
  <c r="N12466" i="1"/>
  <c r="N13465" i="1"/>
  <c r="N13464" i="1"/>
  <c r="N13463" i="1"/>
  <c r="N13406" i="1"/>
  <c r="N6089" i="1"/>
  <c r="N13462" i="1"/>
  <c r="N13461" i="1"/>
  <c r="N3079" i="1"/>
  <c r="N3078" i="1"/>
  <c r="N14942" i="1"/>
  <c r="N14941" i="1"/>
  <c r="N3077" i="1"/>
  <c r="N6088" i="1"/>
  <c r="N6087" i="1"/>
  <c r="N14940" i="1"/>
  <c r="N14939" i="1"/>
  <c r="N2107" i="1"/>
  <c r="N23453" i="1"/>
  <c r="N23194" i="1"/>
  <c r="N23452" i="1"/>
  <c r="N23451" i="1"/>
  <c r="N23450" i="1"/>
  <c r="N23449" i="1"/>
  <c r="N23117" i="1"/>
  <c r="N10650" i="1"/>
  <c r="N12453" i="1"/>
  <c r="N12452" i="1"/>
  <c r="N12451" i="1"/>
  <c r="N6086" i="1"/>
  <c r="N11254" i="1"/>
  <c r="N11704" i="1"/>
  <c r="N11253" i="1"/>
  <c r="N11703" i="1"/>
  <c r="N11252" i="1"/>
  <c r="N11702" i="1"/>
  <c r="N23761" i="1"/>
  <c r="N23760" i="1"/>
  <c r="N23759" i="1"/>
  <c r="N23758" i="1"/>
  <c r="N16218" i="1"/>
  <c r="N12222" i="1"/>
  <c r="N6643" i="1"/>
  <c r="N12696" i="1"/>
  <c r="N22791" i="1"/>
  <c r="N12069" i="1"/>
  <c r="N22790" i="1"/>
  <c r="N22789" i="1"/>
  <c r="N22788" i="1"/>
  <c r="N22787" i="1"/>
  <c r="N22786" i="1"/>
  <c r="N22785" i="1"/>
  <c r="N22784" i="1"/>
  <c r="N22783" i="1"/>
  <c r="N22782" i="1"/>
  <c r="N22781" i="1"/>
  <c r="N22780" i="1"/>
  <c r="N22779" i="1"/>
  <c r="N22778" i="1"/>
  <c r="N22777" i="1"/>
  <c r="N22776" i="1"/>
  <c r="N22775" i="1"/>
  <c r="N22774" i="1"/>
  <c r="N22773" i="1"/>
  <c r="N22772" i="1"/>
  <c r="N22771" i="1"/>
  <c r="N22770" i="1"/>
  <c r="N22769" i="1"/>
  <c r="N22768" i="1"/>
  <c r="N22767" i="1"/>
  <c r="N22766" i="1"/>
  <c r="N18513" i="1"/>
  <c r="N6239" i="1"/>
  <c r="N3076" i="1"/>
  <c r="N3075" i="1"/>
  <c r="N3074" i="1"/>
  <c r="N7620" i="1"/>
  <c r="N7619" i="1"/>
  <c r="N7618" i="1"/>
  <c r="N7617" i="1"/>
  <c r="N7616" i="1"/>
  <c r="N7615" i="1"/>
  <c r="N7614" i="1"/>
  <c r="N2861" i="1"/>
  <c r="N5474" i="1"/>
  <c r="N16523" i="1"/>
  <c r="N6085" i="1"/>
  <c r="N6084" i="1"/>
  <c r="N6083" i="1"/>
  <c r="N6082" i="1"/>
  <c r="N6081" i="1"/>
  <c r="N6080" i="1"/>
  <c r="N6296" i="1"/>
  <c r="N10938" i="1"/>
  <c r="N22765" i="1"/>
  <c r="N22764" i="1"/>
  <c r="N22763" i="1"/>
  <c r="N22762" i="1"/>
  <c r="N22761" i="1"/>
  <c r="N22760" i="1"/>
  <c r="N22759" i="1"/>
  <c r="N22758" i="1"/>
  <c r="N22757" i="1"/>
  <c r="N22756" i="1"/>
  <c r="N22755" i="1"/>
  <c r="N22754" i="1"/>
  <c r="N22753" i="1"/>
  <c r="N22752" i="1"/>
  <c r="N22751" i="1"/>
  <c r="N22750" i="1"/>
  <c r="N22749" i="1"/>
  <c r="N22748" i="1"/>
  <c r="N22747" i="1"/>
  <c r="N22746" i="1"/>
  <c r="N22745" i="1"/>
  <c r="N22744" i="1"/>
  <c r="N22743" i="1"/>
  <c r="N22742" i="1"/>
  <c r="N22741" i="1"/>
  <c r="N22740" i="1"/>
  <c r="N22739" i="1"/>
  <c r="N22738" i="1"/>
  <c r="N22737" i="1"/>
  <c r="N22736" i="1"/>
  <c r="N22735" i="1"/>
  <c r="N22734" i="1"/>
  <c r="N19444" i="1"/>
  <c r="N19443" i="1"/>
  <c r="N6079" i="1"/>
  <c r="N6078" i="1"/>
  <c r="N14938" i="1"/>
  <c r="N14937" i="1"/>
  <c r="N6077" i="1"/>
  <c r="N6076" i="1"/>
  <c r="N14936" i="1"/>
  <c r="N4627" i="1"/>
  <c r="N4626" i="1"/>
  <c r="N6075" i="1"/>
  <c r="N6074" i="1"/>
  <c r="N6073" i="1"/>
  <c r="N6072" i="1"/>
  <c r="N10484" i="1"/>
  <c r="N10483" i="1"/>
  <c r="N22733" i="1"/>
  <c r="N22732" i="1"/>
  <c r="N22731" i="1"/>
  <c r="N22730" i="1"/>
  <c r="N22729" i="1"/>
  <c r="N22728" i="1"/>
  <c r="N6071" i="1"/>
  <c r="N6070" i="1"/>
  <c r="N6069" i="1"/>
  <c r="N6068" i="1"/>
  <c r="N19277" i="1"/>
  <c r="N19442" i="1"/>
  <c r="N19441" i="1"/>
  <c r="N19440" i="1"/>
  <c r="N19439" i="1"/>
  <c r="N22727" i="1"/>
  <c r="N22726" i="1"/>
  <c r="N22725" i="1"/>
  <c r="N22724" i="1"/>
  <c r="N22723" i="1"/>
  <c r="N22722" i="1"/>
  <c r="N22721" i="1"/>
  <c r="N22720" i="1"/>
  <c r="N7613" i="1"/>
  <c r="N7612" i="1"/>
  <c r="N7611" i="1"/>
  <c r="N6067" i="1"/>
  <c r="N6066" i="1"/>
  <c r="N9087" i="1"/>
  <c r="N25960" i="1"/>
  <c r="N9954" i="1"/>
  <c r="N9953" i="1"/>
  <c r="N9952" i="1"/>
  <c r="N9951" i="1"/>
  <c r="N9950" i="1"/>
  <c r="N9949" i="1"/>
  <c r="N9948" i="1"/>
  <c r="N6200" i="1"/>
  <c r="N6199" i="1"/>
  <c r="N10582" i="1"/>
  <c r="N3313" i="1"/>
  <c r="N12666" i="1"/>
  <c r="N13329" i="1"/>
  <c r="N13328" i="1"/>
  <c r="N13344" i="1"/>
  <c r="N13327" i="1"/>
  <c r="N13326" i="1"/>
  <c r="N13325" i="1"/>
  <c r="N12450" i="1"/>
  <c r="N13144" i="1"/>
  <c r="N12665" i="1"/>
  <c r="N12664" i="1"/>
  <c r="N16601" i="1"/>
  <c r="N12663" i="1"/>
  <c r="N16600" i="1"/>
  <c r="N16599" i="1"/>
  <c r="N16598" i="1"/>
  <c r="N10482" i="1"/>
  <c r="N12662" i="1"/>
  <c r="N12661" i="1"/>
  <c r="N12660" i="1"/>
  <c r="N12659" i="1"/>
  <c r="N12658" i="1"/>
  <c r="N12657" i="1"/>
  <c r="N7852" i="1"/>
  <c r="N7610" i="1"/>
  <c r="N22719" i="1"/>
  <c r="N22718" i="1"/>
  <c r="N22717" i="1"/>
  <c r="N22716" i="1"/>
  <c r="N22715" i="1"/>
  <c r="N22714" i="1"/>
  <c r="N22713" i="1"/>
  <c r="N22712" i="1"/>
  <c r="N22711" i="1"/>
  <c r="N22710" i="1"/>
  <c r="N22709" i="1"/>
  <c r="N22708" i="1"/>
  <c r="N22707" i="1"/>
  <c r="N22706" i="1"/>
  <c r="N22705" i="1"/>
  <c r="N22704" i="1"/>
  <c r="N22703" i="1"/>
  <c r="N22702" i="1"/>
  <c r="N22701" i="1"/>
  <c r="N22700" i="1"/>
  <c r="N22699" i="1"/>
  <c r="N22698" i="1"/>
  <c r="N16324" i="1"/>
  <c r="N6617" i="1"/>
  <c r="N6065" i="1"/>
  <c r="N6064" i="1"/>
  <c r="N6063" i="1"/>
  <c r="N6062" i="1"/>
  <c r="N14935" i="1"/>
  <c r="N11701" i="1"/>
  <c r="N14934" i="1"/>
  <c r="N6061" i="1"/>
  <c r="N6060" i="1"/>
  <c r="N11700" i="1"/>
  <c r="N11699" i="1"/>
  <c r="N6059" i="1"/>
  <c r="N1236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6058" i="1"/>
  <c r="N6057" i="1"/>
  <c r="N25641" i="1"/>
  <c r="N15247" i="1"/>
  <c r="N15246" i="1"/>
  <c r="N15245" i="1"/>
  <c r="N15244" i="1"/>
  <c r="N15243" i="1"/>
  <c r="N15242" i="1"/>
  <c r="N15241" i="1"/>
  <c r="N23551" i="1"/>
  <c r="N1531" i="1"/>
  <c r="N13615" i="1"/>
  <c r="N13555" i="1"/>
  <c r="N3760" i="1"/>
  <c r="N15802" i="1"/>
  <c r="N15801" i="1"/>
  <c r="N15800" i="1"/>
  <c r="N15799" i="1"/>
  <c r="N11185" i="1"/>
  <c r="N17830" i="1"/>
  <c r="N6056" i="1"/>
  <c r="N6055" i="1"/>
  <c r="N6054" i="1"/>
  <c r="N5162" i="1"/>
  <c r="N5161" i="1"/>
  <c r="N5160" i="1"/>
  <c r="N5159" i="1"/>
  <c r="N5158" i="1"/>
  <c r="N5157" i="1"/>
  <c r="N5156" i="1"/>
  <c r="N5155" i="1"/>
  <c r="N5154" i="1"/>
  <c r="N17829" i="1"/>
  <c r="N19591" i="1"/>
  <c r="N23448" i="1"/>
  <c r="N23193" i="1"/>
  <c r="N23447" i="1"/>
  <c r="N23192" i="1"/>
  <c r="N23446" i="1"/>
  <c r="N23445" i="1"/>
  <c r="N23444" i="1"/>
  <c r="N23525" i="1"/>
  <c r="N23191" i="1"/>
  <c r="N23443" i="1"/>
  <c r="N23442" i="1"/>
  <c r="N23190" i="1"/>
  <c r="N11753" i="1"/>
  <c r="N11698" i="1"/>
  <c r="N11697" i="1"/>
  <c r="N22697" i="1"/>
  <c r="N22696" i="1"/>
  <c r="N22695" i="1"/>
  <c r="N11696" i="1"/>
  <c r="N6053" i="1"/>
  <c r="N6052" i="1"/>
  <c r="N11918" i="1"/>
  <c r="N11917" i="1"/>
  <c r="N22694" i="1"/>
  <c r="N22693" i="1"/>
  <c r="N6051" i="1"/>
  <c r="N11695" i="1"/>
  <c r="N11694" i="1"/>
  <c r="N11693" i="1"/>
  <c r="N22692" i="1"/>
  <c r="N22691" i="1"/>
  <c r="N22690" i="1"/>
  <c r="N22689" i="1"/>
  <c r="N22688" i="1"/>
  <c r="N22687" i="1"/>
  <c r="N22686" i="1"/>
  <c r="N6050" i="1"/>
  <c r="N22685" i="1"/>
  <c r="N23594" i="1"/>
  <c r="N23108" i="1"/>
  <c r="N6049" i="1"/>
  <c r="N22684" i="1"/>
  <c r="N22683" i="1"/>
  <c r="N22682" i="1"/>
  <c r="N22681" i="1"/>
  <c r="N22680" i="1"/>
  <c r="N22679" i="1"/>
  <c r="N22678" i="1"/>
  <c r="N22677" i="1"/>
  <c r="N22676" i="1"/>
  <c r="N22675" i="1"/>
  <c r="N22674" i="1"/>
  <c r="N22673" i="1"/>
  <c r="N22672" i="1"/>
  <c r="N22671" i="1"/>
  <c r="N22670" i="1"/>
  <c r="N22669" i="1"/>
  <c r="N22668" i="1"/>
  <c r="N22667" i="1"/>
  <c r="N22666" i="1"/>
  <c r="N22665" i="1"/>
  <c r="N22664" i="1"/>
  <c r="N22663" i="1"/>
  <c r="N22662" i="1"/>
  <c r="N22661" i="1"/>
  <c r="N22660" i="1"/>
  <c r="N22659" i="1"/>
  <c r="N22658" i="1"/>
  <c r="N2739" i="1"/>
  <c r="N2738" i="1"/>
  <c r="N8996" i="1"/>
  <c r="N2354" i="1"/>
  <c r="N8995" i="1"/>
  <c r="N8474" i="1"/>
  <c r="N23731" i="1"/>
  <c r="N23730" i="1"/>
  <c r="N23729" i="1"/>
  <c r="N11692" i="1"/>
  <c r="N11691" i="1"/>
  <c r="N11690" i="1"/>
  <c r="N11689" i="1"/>
  <c r="N11688" i="1"/>
  <c r="N11687" i="1"/>
  <c r="N25699" i="1"/>
  <c r="N15907" i="1"/>
  <c r="N2137" i="1"/>
  <c r="N11943" i="1"/>
  <c r="N3175" i="1"/>
  <c r="N11752" i="1"/>
  <c r="N11751" i="1"/>
  <c r="N12413" i="1"/>
  <c r="N11942" i="1"/>
  <c r="N18325" i="1"/>
  <c r="N7851" i="1"/>
  <c r="N7597" i="1"/>
  <c r="N22657" i="1"/>
  <c r="N22656" i="1"/>
  <c r="N22655" i="1"/>
  <c r="N22654" i="1"/>
  <c r="N22653" i="1"/>
  <c r="N24617" i="1"/>
  <c r="N7596" i="1"/>
  <c r="N7638" i="1"/>
  <c r="N7595" i="1"/>
  <c r="N8046" i="1"/>
  <c r="N17828" i="1"/>
  <c r="N4190" i="1"/>
  <c r="N10937" i="1"/>
  <c r="N2092" i="1"/>
  <c r="N2091" i="1"/>
  <c r="N16511" i="1"/>
  <c r="N16510" i="1"/>
  <c r="N2090" i="1"/>
  <c r="N2089" i="1"/>
  <c r="N3243" i="1"/>
  <c r="N11686" i="1"/>
  <c r="N3489" i="1"/>
  <c r="N3488" i="1"/>
  <c r="N11290" i="1"/>
  <c r="N10936" i="1"/>
  <c r="N3073" i="1"/>
  <c r="N3072" i="1"/>
  <c r="N3071" i="1"/>
  <c r="N18324" i="1"/>
  <c r="N10935" i="1"/>
  <c r="N10934" i="1"/>
  <c r="N3070" i="1"/>
  <c r="N3069" i="1"/>
  <c r="N3068" i="1"/>
  <c r="N22652" i="1"/>
  <c r="N22651" i="1"/>
  <c r="N22650" i="1"/>
  <c r="N22649" i="1"/>
  <c r="N22648" i="1"/>
  <c r="N22647" i="1"/>
  <c r="N22646" i="1"/>
  <c r="N22645" i="1"/>
  <c r="N22644" i="1"/>
  <c r="N22643" i="1"/>
  <c r="N22642" i="1"/>
  <c r="N10933" i="1"/>
  <c r="N10932" i="1"/>
  <c r="N10931" i="1"/>
  <c r="N23076" i="1"/>
  <c r="N10930" i="1"/>
  <c r="N10802" i="1"/>
  <c r="N10801" i="1"/>
  <c r="N2268" i="1"/>
  <c r="N22641" i="1"/>
  <c r="N10929" i="1"/>
  <c r="N22640" i="1"/>
  <c r="N17991" i="1"/>
  <c r="N10235" i="1"/>
  <c r="N18105" i="1"/>
  <c r="N16073" i="1"/>
  <c r="N2420" i="1"/>
  <c r="N16509" i="1"/>
  <c r="N3242" i="1"/>
  <c r="N3241" i="1"/>
  <c r="N3240" i="1"/>
  <c r="N3239" i="1"/>
  <c r="N16508" i="1"/>
  <c r="N2088" i="1"/>
  <c r="N2087" i="1"/>
  <c r="N23769" i="1"/>
  <c r="N16507" i="1"/>
  <c r="N15458" i="1"/>
  <c r="N3067" i="1"/>
  <c r="N9694" i="1"/>
  <c r="N17974" i="1"/>
  <c r="N14600" i="1"/>
  <c r="N14599" i="1"/>
  <c r="N24018" i="1"/>
  <c r="N24017" i="1"/>
  <c r="N24016" i="1"/>
  <c r="N24015" i="1"/>
  <c r="N24014" i="1"/>
  <c r="N4105" i="1"/>
  <c r="N24094" i="1"/>
  <c r="N13143" i="1"/>
  <c r="N12486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2086" i="1"/>
  <c r="N2085" i="1"/>
  <c r="N24013" i="1"/>
  <c r="N24012" i="1"/>
  <c r="N16506" i="1"/>
  <c r="N16505" i="1"/>
  <c r="N16504" i="1"/>
  <c r="N16503" i="1"/>
  <c r="N11265" i="1"/>
  <c r="N16323" i="1"/>
  <c r="N8994" i="1"/>
  <c r="N8993" i="1"/>
  <c r="N8992" i="1"/>
  <c r="N8991" i="1"/>
  <c r="N8990" i="1"/>
  <c r="N6670" i="1"/>
  <c r="N9947" i="1"/>
  <c r="N9946" i="1"/>
  <c r="N2525" i="1"/>
  <c r="N2524" i="1"/>
  <c r="N4189" i="1"/>
  <c r="N4583" i="1"/>
  <c r="N4582" i="1"/>
  <c r="N4581" i="1"/>
  <c r="N4580" i="1"/>
  <c r="N17990" i="1"/>
  <c r="N17291" i="1"/>
  <c r="N16513" i="1"/>
  <c r="N17290" i="1"/>
  <c r="N8125" i="1"/>
  <c r="N8102" i="1"/>
  <c r="N15354" i="1"/>
  <c r="N12552" i="1"/>
  <c r="N9472" i="1"/>
  <c r="N16383" i="1"/>
  <c r="N11685" i="1"/>
  <c r="N11684" i="1"/>
  <c r="N11683" i="1"/>
  <c r="N11682" i="1"/>
  <c r="N11681" i="1"/>
  <c r="N11680" i="1"/>
  <c r="N9945" i="1"/>
  <c r="N25640" i="1"/>
  <c r="N25639" i="1"/>
  <c r="N9685" i="1"/>
  <c r="N9684" i="1"/>
  <c r="N9683" i="1"/>
  <c r="N9682" i="1"/>
  <c r="N8341" i="1"/>
  <c r="N8340" i="1"/>
  <c r="N22639" i="1"/>
  <c r="N22638" i="1"/>
  <c r="N22637" i="1"/>
  <c r="N22636" i="1"/>
  <c r="N22635" i="1"/>
  <c r="N22634" i="1"/>
  <c r="N22633" i="1"/>
  <c r="N22632" i="1"/>
  <c r="N22631" i="1"/>
  <c r="N22630" i="1"/>
  <c r="N22629" i="1"/>
  <c r="N22628" i="1"/>
  <c r="N22627" i="1"/>
  <c r="N22626" i="1"/>
  <c r="N22625" i="1"/>
  <c r="N22624" i="1"/>
  <c r="N22623" i="1"/>
  <c r="N22622" i="1"/>
  <c r="N22621" i="1"/>
  <c r="N22620" i="1"/>
  <c r="N22619" i="1"/>
  <c r="N22618" i="1"/>
  <c r="N22617" i="1"/>
  <c r="N22616" i="1"/>
  <c r="N22615" i="1"/>
  <c r="N22614" i="1"/>
  <c r="N22613" i="1"/>
  <c r="N22612" i="1"/>
  <c r="N22611" i="1"/>
  <c r="N22610" i="1"/>
  <c r="N22609" i="1"/>
  <c r="N22608" i="1"/>
  <c r="N22607" i="1"/>
  <c r="N22606" i="1"/>
  <c r="N22605" i="1"/>
  <c r="N22604" i="1"/>
  <c r="N22603" i="1"/>
  <c r="N22602" i="1"/>
  <c r="N22601" i="1"/>
  <c r="N22600" i="1"/>
  <c r="N22599" i="1"/>
  <c r="N22598" i="1"/>
  <c r="N22597" i="1"/>
  <c r="N22596" i="1"/>
  <c r="N22595" i="1"/>
  <c r="N22594" i="1"/>
  <c r="N22593" i="1"/>
  <c r="N22592" i="1"/>
  <c r="N22591" i="1"/>
  <c r="N22590" i="1"/>
  <c r="N22589" i="1"/>
  <c r="N22588" i="1"/>
  <c r="N22587" i="1"/>
  <c r="N22586" i="1"/>
  <c r="N7594" i="1"/>
  <c r="N7593" i="1"/>
  <c r="N7592" i="1"/>
  <c r="N7591" i="1"/>
  <c r="N1510" i="1"/>
  <c r="N1504" i="1"/>
  <c r="N11184" i="1"/>
  <c r="N5473" i="1"/>
  <c r="N11714" i="1"/>
  <c r="N10928" i="1"/>
  <c r="N11289" i="1"/>
  <c r="N19438" i="1"/>
  <c r="N25917" i="1"/>
  <c r="N13142" i="1"/>
  <c r="N8989" i="1"/>
  <c r="N3380" i="1"/>
  <c r="N23728" i="1"/>
  <c r="N18411" i="1"/>
  <c r="N11679" i="1"/>
  <c r="N18323" i="1"/>
  <c r="N11678" i="1"/>
  <c r="N11677" i="1"/>
  <c r="N3264" i="1"/>
  <c r="N3102" i="1"/>
  <c r="N14032" i="1"/>
  <c r="N17827" i="1"/>
  <c r="N10800" i="1"/>
  <c r="N10799" i="1"/>
  <c r="N9271" i="1"/>
  <c r="N13763" i="1"/>
  <c r="N13762" i="1"/>
  <c r="N13761" i="1"/>
  <c r="N13760" i="1"/>
  <c r="N13759" i="1"/>
  <c r="N13758" i="1"/>
  <c r="N9270" i="1"/>
  <c r="N25925" i="1"/>
  <c r="N13757" i="1"/>
  <c r="N13785" i="1"/>
  <c r="N13683" i="1"/>
  <c r="N13756" i="1"/>
  <c r="N13796" i="1"/>
  <c r="N13784" i="1"/>
  <c r="N12515" i="1"/>
  <c r="N12507" i="1"/>
  <c r="N22863" i="1"/>
  <c r="N22862" i="1"/>
  <c r="N10203" i="1"/>
  <c r="N10202" i="1"/>
  <c r="N10201" i="1"/>
  <c r="N10200" i="1"/>
  <c r="N25944" i="1"/>
  <c r="N25943" i="1"/>
  <c r="N14960" i="1"/>
  <c r="N10351" i="1"/>
  <c r="N4188" i="1"/>
  <c r="N14613" i="1"/>
  <c r="N14637" i="1"/>
  <c r="N13531" i="1"/>
  <c r="N11782" i="1"/>
  <c r="N11781" i="1"/>
  <c r="N23514" i="1"/>
  <c r="N23441" i="1"/>
  <c r="N23189" i="1"/>
  <c r="N3299" i="1"/>
  <c r="N10234" i="1"/>
  <c r="N19175" i="1"/>
  <c r="N19174" i="1"/>
  <c r="N16152" i="1"/>
  <c r="N10658" i="1"/>
  <c r="N8050" i="1"/>
  <c r="N8100" i="1"/>
  <c r="N8096" i="1"/>
  <c r="N8049" i="1"/>
  <c r="N8099" i="1"/>
  <c r="N8095" i="1"/>
  <c r="N4101" i="1"/>
  <c r="N4100" i="1"/>
  <c r="N4099" i="1"/>
  <c r="N24616" i="1"/>
  <c r="N10111" i="1"/>
  <c r="N4032" i="1"/>
  <c r="N1390" i="1"/>
  <c r="N18456" i="1"/>
  <c r="N18455" i="1"/>
  <c r="N10798" i="1"/>
  <c r="N10797" i="1"/>
  <c r="N9425" i="1"/>
  <c r="N12356" i="1"/>
  <c r="N8339" i="1"/>
  <c r="N4233" i="1"/>
  <c r="N4216" i="1"/>
  <c r="N4227" i="1"/>
  <c r="N8135" i="1"/>
  <c r="N8133" i="1"/>
  <c r="N9627" i="1"/>
  <c r="N9944" i="1"/>
  <c r="N9626" i="1"/>
  <c r="N9943" i="1"/>
  <c r="N9942" i="1"/>
  <c r="N9941" i="1"/>
  <c r="N11183" i="1"/>
  <c r="N25638" i="1"/>
  <c r="N19248" i="1"/>
  <c r="N3834" i="1"/>
  <c r="N13506" i="1"/>
  <c r="N13505" i="1"/>
  <c r="N13504" i="1"/>
  <c r="N15068" i="1"/>
  <c r="N9940" i="1"/>
  <c r="N9681" i="1"/>
  <c r="N1570" i="1"/>
  <c r="N13503" i="1"/>
  <c r="N13502" i="1"/>
  <c r="N25429" i="1"/>
  <c r="N13501" i="1"/>
  <c r="N13500" i="1"/>
  <c r="N13499" i="1"/>
  <c r="N24824" i="1"/>
  <c r="N1569" i="1"/>
  <c r="N25428" i="1"/>
  <c r="N24141" i="1"/>
  <c r="N11182" i="1"/>
  <c r="N24140" i="1"/>
  <c r="N7590" i="1"/>
  <c r="N7589" i="1"/>
  <c r="N7588" i="1"/>
  <c r="N7587" i="1"/>
  <c r="N15981" i="1"/>
  <c r="N15982" i="1"/>
  <c r="N1761" i="1"/>
  <c r="N14854" i="1"/>
  <c r="N14853" i="1"/>
  <c r="N14852" i="1"/>
  <c r="N14851" i="1"/>
  <c r="N14850" i="1"/>
  <c r="N14849" i="1"/>
  <c r="N14848" i="1"/>
  <c r="N14847" i="1"/>
  <c r="N14846" i="1"/>
  <c r="N14845" i="1"/>
  <c r="N14844" i="1"/>
  <c r="N14688" i="1"/>
  <c r="N25100" i="1"/>
  <c r="N25099" i="1"/>
  <c r="N25098" i="1"/>
  <c r="N15953" i="1"/>
  <c r="N5472" i="1"/>
  <c r="N2737" i="1"/>
  <c r="N9381" i="1"/>
  <c r="N19637" i="1"/>
  <c r="N19636" i="1"/>
  <c r="N24478" i="1"/>
  <c r="N19302" i="1"/>
  <c r="N2785" i="1"/>
  <c r="N2784" i="1"/>
  <c r="N2783" i="1"/>
  <c r="N19635" i="1"/>
  <c r="N19634" i="1"/>
  <c r="N16313" i="1"/>
  <c r="N24477" i="1"/>
  <c r="N25913" i="1"/>
  <c r="N24448" i="1"/>
  <c r="N9566" i="1"/>
  <c r="N9565" i="1"/>
  <c r="N9564" i="1"/>
  <c r="N3833" i="1"/>
  <c r="N24484" i="1"/>
  <c r="N25097" i="1"/>
  <c r="N25096" i="1"/>
  <c r="N24867" i="1"/>
  <c r="N1241" i="1"/>
  <c r="N3832" i="1"/>
  <c r="N23440" i="1"/>
  <c r="N1383" i="1"/>
  <c r="N25637" i="1"/>
  <c r="N2736" i="1"/>
  <c r="N5471" i="1"/>
  <c r="N8124" i="1"/>
  <c r="N5470" i="1"/>
  <c r="N5271" i="1"/>
  <c r="N25636" i="1"/>
  <c r="N9424" i="1"/>
  <c r="N2860" i="1"/>
  <c r="N1289" i="1"/>
  <c r="N15952" i="1"/>
  <c r="N5270" i="1"/>
  <c r="N13498" i="1"/>
  <c r="N19173" i="1"/>
  <c r="N7910" i="1"/>
  <c r="N3970" i="1"/>
  <c r="N4098" i="1"/>
  <c r="N19172" i="1"/>
  <c r="N16020" i="1"/>
  <c r="N13497" i="1"/>
  <c r="N13496" i="1"/>
  <c r="N13495" i="1"/>
  <c r="N1533" i="1"/>
  <c r="N1532" i="1"/>
  <c r="N25635" i="1"/>
  <c r="N25427" i="1"/>
  <c r="N2735" i="1"/>
  <c r="N9423" i="1"/>
  <c r="N9422" i="1"/>
  <c r="N25634" i="1"/>
  <c r="N5469" i="1"/>
  <c r="N23593" i="1"/>
  <c r="N7586" i="1"/>
  <c r="N7850" i="1"/>
  <c r="N7585" i="1"/>
  <c r="N7849" i="1"/>
  <c r="N7584" i="1"/>
  <c r="N15641" i="1"/>
  <c r="N7583" i="1"/>
  <c r="N7848" i="1"/>
  <c r="N7582" i="1"/>
  <c r="N7847" i="1"/>
  <c r="N7581" i="1"/>
  <c r="N17289" i="1"/>
  <c r="N23643" i="1"/>
  <c r="N1457" i="1"/>
  <c r="N16644" i="1"/>
  <c r="N19327" i="1"/>
  <c r="N6715" i="1"/>
  <c r="N19171" i="1"/>
  <c r="N10263" i="1"/>
  <c r="N3445" i="1"/>
  <c r="N7980" i="1"/>
  <c r="N19170" i="1"/>
  <c r="N19247" i="1"/>
  <c r="N19239" i="1"/>
  <c r="N19169" i="1"/>
  <c r="N15640" i="1"/>
  <c r="N15639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18932" i="1"/>
  <c r="N18931" i="1"/>
  <c r="N3619" i="1"/>
  <c r="N7568" i="1"/>
  <c r="N10233" i="1"/>
  <c r="N19238" i="1"/>
  <c r="N18930" i="1"/>
  <c r="N18929" i="1"/>
  <c r="N18928" i="1"/>
  <c r="N15638" i="1"/>
  <c r="N10232" i="1"/>
  <c r="N9086" i="1"/>
  <c r="N9085" i="1"/>
  <c r="N10481" i="1"/>
  <c r="N10480" i="1"/>
  <c r="N17841" i="1"/>
  <c r="N17840" i="1"/>
  <c r="N6524" i="1"/>
  <c r="N2353" i="1"/>
  <c r="N23765" i="1"/>
  <c r="N7567" i="1"/>
  <c r="N7566" i="1"/>
  <c r="N7565" i="1"/>
  <c r="N7564" i="1"/>
  <c r="N14863" i="1"/>
  <c r="N23611" i="1"/>
  <c r="N13145" i="1"/>
  <c r="N6616" i="1"/>
  <c r="N13827" i="1"/>
  <c r="N7563" i="1"/>
  <c r="N7637" i="1"/>
  <c r="N7877" i="1"/>
  <c r="N7562" i="1"/>
  <c r="N1456" i="1"/>
  <c r="N7921" i="1"/>
  <c r="N22861" i="1"/>
  <c r="N22873" i="1"/>
  <c r="N1181" i="1"/>
  <c r="N1180" i="1"/>
  <c r="N4644" i="1"/>
  <c r="N7561" i="1"/>
  <c r="N7846" i="1"/>
  <c r="N7560" i="1"/>
  <c r="N14344" i="1"/>
  <c r="N17839" i="1"/>
  <c r="N17838" i="1"/>
  <c r="N1801" i="1"/>
  <c r="N1800" i="1"/>
  <c r="N8338" i="1"/>
  <c r="N8337" i="1"/>
  <c r="N22860" i="1"/>
  <c r="N17221" i="1"/>
  <c r="N17220" i="1"/>
  <c r="N10257" i="1"/>
  <c r="N10256" i="1"/>
  <c r="N1233" i="1"/>
  <c r="N417" i="1"/>
  <c r="N6048" i="1"/>
  <c r="N18927" i="1"/>
  <c r="N22859" i="1"/>
  <c r="N22872" i="1"/>
  <c r="N8336" i="1"/>
  <c r="N11676" i="1"/>
  <c r="N11750" i="1"/>
  <c r="N11749" i="1"/>
  <c r="N2734" i="1"/>
  <c r="N2539" i="1"/>
  <c r="N5468" i="1"/>
  <c r="N18672" i="1"/>
  <c r="N18671" i="1"/>
  <c r="N25633" i="1"/>
  <c r="N5467" i="1"/>
  <c r="N24866" i="1"/>
  <c r="N25632" i="1"/>
  <c r="N25912" i="1"/>
  <c r="N25095" i="1"/>
  <c r="N24854" i="1"/>
  <c r="N25094" i="1"/>
  <c r="N24853" i="1"/>
  <c r="N24852" i="1"/>
  <c r="N14015" i="1"/>
  <c r="N11675" i="1"/>
  <c r="N11674" i="1"/>
  <c r="N11251" i="1"/>
  <c r="N11673" i="1"/>
  <c r="N5466" i="1"/>
  <c r="N25911" i="1"/>
  <c r="N3649" i="1"/>
  <c r="N4501" i="1"/>
  <c r="N10110" i="1"/>
  <c r="N17938" i="1"/>
  <c r="N2408" i="1"/>
  <c r="N25926" i="1"/>
  <c r="N19321" i="1"/>
  <c r="N3581" i="1"/>
  <c r="N6198" i="1"/>
  <c r="N17960" i="1"/>
  <c r="N9421" i="1"/>
  <c r="N12044" i="1"/>
  <c r="N416" i="1"/>
  <c r="N21" i="1"/>
  <c r="N1521" i="1"/>
  <c r="N3333" i="1"/>
  <c r="N3331" i="1"/>
  <c r="N22585" i="1"/>
  <c r="N7559" i="1"/>
  <c r="N7845" i="1"/>
  <c r="N7844" i="1"/>
  <c r="N7558" i="1"/>
  <c r="N7843" i="1"/>
  <c r="N7557" i="1"/>
  <c r="N13922" i="1"/>
  <c r="N13524" i="1"/>
  <c r="N7979" i="1"/>
  <c r="N4208" i="1"/>
  <c r="N9099" i="1"/>
  <c r="N17227" i="1"/>
  <c r="N17219" i="1"/>
  <c r="N17218" i="1"/>
  <c r="N24735" i="1"/>
  <c r="N24734" i="1"/>
  <c r="N12002" i="1"/>
  <c r="N1751" i="1"/>
  <c r="N7556" i="1"/>
  <c r="N7555" i="1"/>
  <c r="N7554" i="1"/>
  <c r="N7553" i="1"/>
  <c r="N1455" i="1"/>
  <c r="N2382" i="1"/>
  <c r="N2393" i="1"/>
  <c r="N6615" i="1"/>
  <c r="N14979" i="1"/>
  <c r="N6614" i="1"/>
  <c r="N3839" i="1"/>
  <c r="N3838" i="1"/>
  <c r="N6613" i="1"/>
  <c r="N25287" i="1"/>
  <c r="N24801" i="1"/>
  <c r="N3419" i="1"/>
  <c r="N18072" i="1"/>
  <c r="N18071" i="1"/>
  <c r="N18057" i="1"/>
  <c r="N4311" i="1"/>
  <c r="N2435" i="1"/>
  <c r="N12467" i="1"/>
  <c r="N6194" i="1"/>
  <c r="N3790" i="1"/>
  <c r="N3330" i="1"/>
  <c r="N6193" i="1"/>
  <c r="N9499" i="1"/>
  <c r="N1819" i="1"/>
  <c r="N1818" i="1"/>
  <c r="N22858" i="1"/>
  <c r="N22871" i="1"/>
  <c r="N22857" i="1"/>
  <c r="N6612" i="1"/>
  <c r="N10179" i="1"/>
  <c r="N6537" i="1"/>
  <c r="N10142" i="1"/>
  <c r="N18357" i="1"/>
  <c r="N18356" i="1"/>
  <c r="N3391" i="1"/>
  <c r="N18322" i="1"/>
  <c r="N18926" i="1"/>
  <c r="N4419" i="1"/>
  <c r="N24677" i="1"/>
  <c r="N24733" i="1"/>
  <c r="N24732" i="1"/>
  <c r="N24731" i="1"/>
  <c r="N24730" i="1"/>
  <c r="N19031" i="1"/>
  <c r="N8382" i="1"/>
  <c r="N18321" i="1"/>
  <c r="N18320" i="1"/>
  <c r="N15177" i="1"/>
  <c r="N15176" i="1"/>
  <c r="N15175" i="1"/>
  <c r="N6192" i="1"/>
  <c r="N24815" i="1"/>
  <c r="N12656" i="1"/>
  <c r="N18371" i="1"/>
  <c r="N18355" i="1"/>
  <c r="N18354" i="1"/>
  <c r="N18319" i="1"/>
  <c r="N12348" i="1"/>
  <c r="N14422" i="1"/>
  <c r="N11672" i="1"/>
  <c r="N6494" i="1"/>
  <c r="N14421" i="1"/>
  <c r="N18318" i="1"/>
  <c r="N18317" i="1"/>
  <c r="N4418" i="1"/>
  <c r="N18316" i="1"/>
  <c r="N6191" i="1"/>
  <c r="N16275" i="1"/>
  <c r="N6190" i="1"/>
  <c r="N18315" i="1"/>
  <c r="N1799" i="1"/>
  <c r="N1798" i="1"/>
  <c r="N1477" i="1"/>
  <c r="N18314" i="1"/>
  <c r="N18313" i="1"/>
  <c r="N12655" i="1"/>
  <c r="N11047" i="1"/>
  <c r="N11046" i="1"/>
  <c r="N6338" i="1"/>
  <c r="N12541" i="1"/>
  <c r="N18512" i="1"/>
  <c r="N6189" i="1"/>
  <c r="N10939" i="1"/>
  <c r="N18312" i="1"/>
  <c r="N18711" i="1"/>
  <c r="N18311" i="1"/>
  <c r="N17293" i="1"/>
  <c r="N17310" i="1"/>
  <c r="N18370" i="1"/>
  <c r="N6188" i="1"/>
  <c r="N1411" i="1"/>
  <c r="N1410" i="1"/>
  <c r="N1409" i="1"/>
  <c r="N1408" i="1"/>
  <c r="N3462" i="1"/>
  <c r="N3347" i="1"/>
  <c r="N2400" i="1"/>
  <c r="N12573" i="1"/>
  <c r="N12362" i="1"/>
  <c r="N11995" i="1"/>
  <c r="N10479" i="1"/>
  <c r="N10478" i="1"/>
  <c r="N10247" i="1"/>
  <c r="N6811" i="1"/>
  <c r="N6810" i="1"/>
  <c r="N6716" i="1"/>
  <c r="N4417" i="1"/>
  <c r="N4416" i="1"/>
  <c r="N9680" i="1"/>
  <c r="N17309" i="1"/>
  <c r="N17308" i="1"/>
  <c r="N17312" i="1"/>
  <c r="N17311" i="1"/>
  <c r="N17275" i="1"/>
  <c r="N17274" i="1"/>
  <c r="N17273" i="1"/>
  <c r="N17272" i="1"/>
  <c r="N17271" i="1"/>
  <c r="N13141" i="1"/>
  <c r="N13140" i="1"/>
  <c r="N13139" i="1"/>
  <c r="N13138" i="1"/>
  <c r="N13137" i="1"/>
  <c r="N12361" i="1"/>
  <c r="N14679" i="1"/>
  <c r="N17826" i="1"/>
  <c r="N2399" i="1"/>
  <c r="N9036" i="1"/>
  <c r="N8988" i="1"/>
  <c r="N9035" i="1"/>
  <c r="N1777" i="1"/>
  <c r="N13136" i="1"/>
  <c r="N13135" i="1"/>
  <c r="N10195" i="1"/>
  <c r="N9034" i="1"/>
  <c r="N12274" i="1"/>
  <c r="N8987" i="1"/>
  <c r="N8986" i="1"/>
  <c r="N3587" i="1"/>
  <c r="N8471" i="1"/>
  <c r="N9033" i="1"/>
  <c r="N11991" i="1"/>
  <c r="N11990" i="1"/>
  <c r="N13153" i="1"/>
  <c r="N6238" i="1"/>
  <c r="N4109" i="1"/>
  <c r="N10141" i="1"/>
  <c r="N10140" i="1"/>
  <c r="N10139" i="1"/>
  <c r="N8985" i="1"/>
  <c r="N13554" i="1"/>
  <c r="N13553" i="1"/>
  <c r="N13552" i="1"/>
  <c r="N1765" i="1"/>
  <c r="N3586" i="1"/>
  <c r="N8470" i="1"/>
  <c r="N8984" i="1"/>
  <c r="N9380" i="1"/>
  <c r="N9355" i="1"/>
  <c r="N1776" i="1"/>
  <c r="N8983" i="1"/>
  <c r="N17882" i="1"/>
  <c r="N8982" i="1"/>
  <c r="N3585" i="1"/>
  <c r="N8981" i="1"/>
  <c r="N8469" i="1"/>
  <c r="N8980" i="1"/>
  <c r="N14861" i="1"/>
  <c r="N9032" i="1"/>
  <c r="N15337" i="1"/>
  <c r="N8979" i="1"/>
  <c r="N10138" i="1"/>
  <c r="N12654" i="1"/>
  <c r="N12653" i="1"/>
  <c r="N12652" i="1"/>
  <c r="N12651" i="1"/>
  <c r="N13671" i="1"/>
  <c r="N13670" i="1"/>
  <c r="N10276" i="1"/>
  <c r="N19106" i="1"/>
  <c r="N8978" i="1"/>
  <c r="N12650" i="1"/>
  <c r="N11189" i="1"/>
  <c r="N22856" i="1"/>
  <c r="N22855" i="1"/>
  <c r="N22854" i="1"/>
  <c r="N1309" i="1"/>
  <c r="N16042" i="1"/>
  <c r="N16041" i="1"/>
  <c r="N10194" i="1"/>
  <c r="N9939" i="1"/>
  <c r="N17229" i="1"/>
  <c r="N9098" i="1"/>
  <c r="N13134" i="1"/>
  <c r="N6507" i="1"/>
  <c r="N3929" i="1"/>
  <c r="N11994" i="1"/>
  <c r="N15074" i="1"/>
  <c r="N23094" i="1"/>
  <c r="N1889" i="1"/>
  <c r="N9420" i="1"/>
  <c r="N15073" i="1"/>
  <c r="N23712" i="1"/>
  <c r="N15019" i="1"/>
  <c r="N15018" i="1"/>
  <c r="N15072" i="1"/>
  <c r="N15315" i="1"/>
  <c r="N13390" i="1"/>
  <c r="N13389" i="1"/>
  <c r="N13388" i="1"/>
  <c r="N12043" i="1"/>
  <c r="N12042" i="1"/>
  <c r="N17217" i="1"/>
  <c r="N17216" i="1"/>
  <c r="N17215" i="1"/>
  <c r="N17214" i="1"/>
  <c r="N17213" i="1"/>
  <c r="N17212" i="1"/>
  <c r="N12041" i="1"/>
  <c r="N2859" i="1"/>
  <c r="N12067" i="1"/>
  <c r="N15951" i="1"/>
  <c r="N4334" i="1"/>
  <c r="N23439" i="1"/>
  <c r="N4716" i="1"/>
  <c r="N19055" i="1"/>
  <c r="N1341" i="1"/>
  <c r="N17881" i="1"/>
  <c r="N11987" i="1"/>
  <c r="N11986" i="1"/>
  <c r="N23438" i="1"/>
  <c r="N23243" i="1"/>
  <c r="N23188" i="1"/>
  <c r="N23437" i="1"/>
  <c r="N23436" i="1"/>
  <c r="N23435" i="1"/>
  <c r="N23434" i="1"/>
  <c r="N23187" i="1"/>
  <c r="N11985" i="1"/>
  <c r="N11984" i="1"/>
  <c r="N24757" i="1"/>
  <c r="N24756" i="1"/>
  <c r="N13669" i="1"/>
  <c r="N13668" i="1"/>
  <c r="N17915" i="1"/>
  <c r="N4667" i="1"/>
  <c r="N11983" i="1"/>
  <c r="N3524" i="1"/>
  <c r="N23711" i="1"/>
  <c r="N11982" i="1"/>
  <c r="N23865" i="1"/>
  <c r="N23116" i="1"/>
  <c r="N23115" i="1"/>
  <c r="N19840" i="1"/>
  <c r="N8038" i="1"/>
  <c r="N12403" i="1"/>
  <c r="N16512" i="1"/>
  <c r="N1750" i="1"/>
  <c r="N12597" i="1"/>
  <c r="N11981" i="1"/>
  <c r="N11980" i="1"/>
  <c r="N23592" i="1"/>
  <c r="N18511" i="1"/>
  <c r="N11979" i="1"/>
  <c r="N25987" i="1"/>
  <c r="N13255" i="1"/>
  <c r="N3555" i="1"/>
  <c r="N15950" i="1"/>
  <c r="N17288" i="1"/>
  <c r="N17287" i="1"/>
  <c r="N6761" i="1"/>
  <c r="N4195" i="1"/>
  <c r="N18417" i="1"/>
  <c r="N15949" i="1"/>
  <c r="N14865" i="1"/>
  <c r="N12088" i="1"/>
  <c r="N3580" i="1"/>
  <c r="N13175" i="1"/>
  <c r="N13173" i="1"/>
  <c r="N12097" i="1"/>
  <c r="N12040" i="1"/>
  <c r="N15083" i="1"/>
  <c r="N15741" i="1"/>
  <c r="N25924" i="1"/>
  <c r="N12764" i="1"/>
  <c r="N2148" i="1"/>
  <c r="N15351" i="1"/>
  <c r="N12763" i="1"/>
  <c r="N2910" i="1"/>
  <c r="N5188" i="1"/>
  <c r="N22853" i="1"/>
  <c r="N22852" i="1"/>
  <c r="N22851" i="1"/>
  <c r="N17286" i="1"/>
  <c r="N17285" i="1"/>
  <c r="N16581" i="1"/>
  <c r="N3113" i="1"/>
  <c r="N6704" i="1"/>
  <c r="N9938" i="1"/>
  <c r="N9625" i="1"/>
  <c r="N9937" i="1"/>
  <c r="N9936" i="1"/>
  <c r="N9935" i="1"/>
  <c r="N9934" i="1"/>
  <c r="N9933" i="1"/>
  <c r="N9932" i="1"/>
  <c r="N9931" i="1"/>
  <c r="N9930" i="1"/>
  <c r="N9929" i="1"/>
  <c r="N9928" i="1"/>
  <c r="N9624" i="1"/>
  <c r="N9927" i="1"/>
  <c r="N9623" i="1"/>
  <c r="N9926" i="1"/>
  <c r="N9593" i="1"/>
  <c r="N9622" i="1"/>
  <c r="N9621" i="1"/>
  <c r="N9925" i="1"/>
  <c r="N9924" i="1"/>
  <c r="N9923" i="1"/>
  <c r="N9922" i="1"/>
  <c r="N9921" i="1"/>
  <c r="N9920" i="1"/>
  <c r="N9592" i="1"/>
  <c r="N9620" i="1"/>
  <c r="N9919" i="1"/>
  <c r="N9591" i="1"/>
  <c r="N9918" i="1"/>
  <c r="N9590" i="1"/>
  <c r="N9917" i="1"/>
  <c r="N9916" i="1"/>
  <c r="N9915" i="1"/>
  <c r="N9914" i="1"/>
  <c r="N9589" i="1"/>
  <c r="N9913" i="1"/>
  <c r="N9912" i="1"/>
  <c r="N9911" i="1"/>
  <c r="N23615" i="1"/>
  <c r="N9910" i="1"/>
  <c r="N9909" i="1"/>
  <c r="N9908" i="1"/>
  <c r="N16274" i="1"/>
  <c r="N16273" i="1"/>
  <c r="N24447" i="1"/>
  <c r="N16571" i="1"/>
  <c r="N11748" i="1"/>
  <c r="N3584" i="1"/>
  <c r="N11772" i="1"/>
  <c r="N16643" i="1"/>
  <c r="N10350" i="1"/>
  <c r="N6047" i="1"/>
  <c r="N15906" i="1"/>
  <c r="N6337" i="1"/>
  <c r="N24446" i="1"/>
  <c r="N16217" i="1"/>
  <c r="N23065" i="1"/>
  <c r="N12649" i="1"/>
  <c r="N11941" i="1"/>
  <c r="N8375" i="1"/>
  <c r="N10567" i="1"/>
  <c r="N10566" i="1"/>
  <c r="N16216" i="1"/>
  <c r="N12648" i="1"/>
  <c r="N12647" i="1"/>
  <c r="N18038" i="1"/>
  <c r="N15369" i="1"/>
  <c r="N24445" i="1"/>
  <c r="N10477" i="1"/>
  <c r="N10476" i="1"/>
  <c r="N9354" i="1"/>
  <c r="N25093" i="1"/>
  <c r="N24444" i="1"/>
  <c r="N7916" i="1"/>
  <c r="N15905" i="1"/>
  <c r="N3607" i="1"/>
  <c r="N24443" i="1"/>
  <c r="N24442" i="1"/>
  <c r="N15904" i="1"/>
  <c r="N12646" i="1"/>
  <c r="N12645" i="1"/>
  <c r="N9476" i="1"/>
  <c r="N9475" i="1"/>
  <c r="N24441" i="1"/>
  <c r="N24440" i="1"/>
  <c r="N3583" i="1"/>
  <c r="N9100" i="1"/>
  <c r="N24439" i="1"/>
  <c r="N11264" i="1"/>
  <c r="N13919" i="1"/>
  <c r="N6295" i="1"/>
  <c r="N6294" i="1"/>
  <c r="N6293" i="1"/>
  <c r="N6237" i="1"/>
  <c r="N12554" i="1"/>
  <c r="N12204" i="1"/>
  <c r="N25092" i="1"/>
  <c r="N12324" i="1"/>
  <c r="N12323" i="1"/>
  <c r="N12322" i="1"/>
  <c r="N6236" i="1"/>
  <c r="N16029" i="1"/>
  <c r="N15532" i="1"/>
  <c r="N6292" i="1"/>
  <c r="N10610" i="1"/>
  <c r="N14447" i="1"/>
  <c r="N13133" i="1"/>
  <c r="N17284" i="1"/>
  <c r="N19053" i="1"/>
  <c r="N13254" i="1"/>
  <c r="N13132" i="1"/>
  <c r="N13131" i="1"/>
  <c r="N13130" i="1"/>
  <c r="N13129" i="1"/>
  <c r="N1153" i="1"/>
  <c r="N1152" i="1"/>
  <c r="N22584" i="1"/>
  <c r="N22583" i="1"/>
  <c r="N22582" i="1"/>
  <c r="N22581" i="1"/>
  <c r="N22580" i="1"/>
  <c r="N22579" i="1"/>
  <c r="N22578" i="1"/>
  <c r="N22577" i="1"/>
  <c r="N22576" i="1"/>
  <c r="N22575" i="1"/>
  <c r="N22574" i="1"/>
  <c r="N22573" i="1"/>
  <c r="N22572" i="1"/>
  <c r="N22571" i="1"/>
  <c r="N22570" i="1"/>
  <c r="N13910" i="1"/>
  <c r="N15067" i="1"/>
  <c r="N13872" i="1"/>
  <c r="N13128" i="1"/>
  <c r="N13127" i="1"/>
  <c r="N6114" i="1"/>
  <c r="N6113" i="1"/>
  <c r="N6112" i="1"/>
  <c r="N6111" i="1"/>
  <c r="N6110" i="1"/>
  <c r="N6109" i="1"/>
  <c r="N6108" i="1"/>
  <c r="N6107" i="1"/>
  <c r="N6106" i="1"/>
  <c r="N6105" i="1"/>
  <c r="N19590" i="1"/>
  <c r="N19589" i="1"/>
  <c r="N3941" i="1"/>
  <c r="N1937" i="1"/>
  <c r="N8381" i="1"/>
  <c r="N23757" i="1"/>
  <c r="N23756" i="1"/>
  <c r="N15948" i="1"/>
  <c r="N3174" i="1"/>
  <c r="N9031" i="1"/>
  <c r="N6140" i="1"/>
  <c r="N9432" i="1"/>
  <c r="N9431" i="1"/>
  <c r="N15518" i="1"/>
  <c r="N15493" i="1"/>
  <c r="N15492" i="1"/>
  <c r="N15491" i="1"/>
  <c r="N15517" i="1"/>
  <c r="N9051" i="1"/>
  <c r="N9050" i="1"/>
  <c r="N12547" i="1"/>
  <c r="N19253" i="1"/>
  <c r="N18967" i="1"/>
  <c r="N24755" i="1"/>
  <c r="N24754" i="1"/>
  <c r="N12588" i="1"/>
  <c r="N24319" i="1"/>
  <c r="N15059" i="1"/>
  <c r="N13126" i="1"/>
  <c r="N3487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12546" i="1"/>
  <c r="N12545" i="1"/>
  <c r="N23591" i="1"/>
  <c r="N23590" i="1"/>
  <c r="N415" i="1"/>
  <c r="N6673" i="1"/>
  <c r="N4904" i="1"/>
  <c r="N4903" i="1"/>
  <c r="N24156" i="1"/>
  <c r="N12591" i="1"/>
  <c r="N23635" i="1"/>
  <c r="N2320" i="1"/>
  <c r="N12371" i="1"/>
  <c r="N15798" i="1"/>
  <c r="N12370" i="1"/>
  <c r="N4310" i="1"/>
  <c r="N2106" i="1"/>
  <c r="N15544" i="1"/>
  <c r="N22569" i="1"/>
  <c r="N22568" i="1"/>
  <c r="N22567" i="1"/>
  <c r="N22566" i="1"/>
  <c r="N22565" i="1"/>
  <c r="N22564" i="1"/>
  <c r="N22563" i="1"/>
  <c r="N22562" i="1"/>
  <c r="N22561" i="1"/>
  <c r="N22560" i="1"/>
  <c r="N22559" i="1"/>
  <c r="N22558" i="1"/>
  <c r="N22557" i="1"/>
  <c r="N22556" i="1"/>
  <c r="N22555" i="1"/>
  <c r="N22554" i="1"/>
  <c r="N22553" i="1"/>
  <c r="N22552" i="1"/>
  <c r="N22551" i="1"/>
  <c r="N22550" i="1"/>
  <c r="N22549" i="1"/>
  <c r="N22548" i="1"/>
  <c r="N22547" i="1"/>
  <c r="N22546" i="1"/>
  <c r="N22545" i="1"/>
  <c r="N22544" i="1"/>
  <c r="N22543" i="1"/>
  <c r="N11757" i="1"/>
  <c r="N19276" i="1"/>
  <c r="N6046" i="1"/>
  <c r="N6045" i="1"/>
  <c r="N6044" i="1"/>
  <c r="N22542" i="1"/>
  <c r="N10255" i="1"/>
  <c r="N6043" i="1"/>
  <c r="N6042" i="1"/>
  <c r="N6041" i="1"/>
  <c r="N5193" i="1"/>
  <c r="N7540" i="1"/>
  <c r="N7539" i="1"/>
  <c r="N7842" i="1"/>
  <c r="N13405" i="1"/>
  <c r="N12176" i="1"/>
  <c r="N2733" i="1"/>
  <c r="N14380" i="1"/>
  <c r="N3066" i="1"/>
  <c r="N3065" i="1"/>
  <c r="N3064" i="1"/>
  <c r="N3063" i="1"/>
  <c r="N3062" i="1"/>
  <c r="N3061" i="1"/>
  <c r="N13460" i="1"/>
  <c r="N13459" i="1"/>
  <c r="N13458" i="1"/>
  <c r="N13457" i="1"/>
  <c r="N13456" i="1"/>
  <c r="N13455" i="1"/>
  <c r="N15240" i="1"/>
  <c r="N15239" i="1"/>
  <c r="N15238" i="1"/>
  <c r="N15237" i="1"/>
  <c r="N15236" i="1"/>
  <c r="N15235" i="1"/>
  <c r="N9049" i="1"/>
  <c r="N9048" i="1"/>
  <c r="N25698" i="1"/>
  <c r="N25426" i="1"/>
  <c r="N25425" i="1"/>
  <c r="N24590" i="1"/>
  <c r="N24589" i="1"/>
  <c r="N24588" i="1"/>
  <c r="N24587" i="1"/>
  <c r="N24586" i="1"/>
  <c r="N24585" i="1"/>
  <c r="N24584" i="1"/>
  <c r="N24583" i="1"/>
  <c r="N24582" i="1"/>
  <c r="N24581" i="1"/>
  <c r="N12178" i="1"/>
  <c r="N2084" i="1"/>
  <c r="N12175" i="1"/>
  <c r="N12174" i="1"/>
  <c r="N12173" i="1"/>
  <c r="N12172" i="1"/>
  <c r="N12171" i="1"/>
  <c r="N18539" i="1"/>
  <c r="N7909" i="1"/>
  <c r="N10349" i="1"/>
  <c r="N23764" i="1"/>
  <c r="N14420" i="1"/>
  <c r="N6291" i="1"/>
  <c r="N6235" i="1"/>
  <c r="N14961" i="1"/>
  <c r="N2123" i="1"/>
  <c r="N2122" i="1"/>
  <c r="N12071" i="1"/>
  <c r="N12458" i="1"/>
  <c r="N12459" i="1"/>
  <c r="N12070" i="1"/>
  <c r="N19100" i="1"/>
  <c r="N19105" i="1"/>
  <c r="N1151" i="1"/>
  <c r="N6040" i="1"/>
  <c r="N6039" i="1"/>
  <c r="N6038" i="1"/>
  <c r="N6250" i="1"/>
  <c r="N6304" i="1"/>
  <c r="N18940" i="1"/>
  <c r="N18936" i="1"/>
  <c r="N6037" i="1"/>
  <c r="N6036" i="1"/>
  <c r="N4961" i="1"/>
  <c r="N4960" i="1"/>
  <c r="N6035" i="1"/>
  <c r="N6034" i="1"/>
  <c r="N16522" i="1"/>
  <c r="N6033" i="1"/>
  <c r="N6032" i="1"/>
  <c r="N6031" i="1"/>
  <c r="N16502" i="1"/>
  <c r="N16501" i="1"/>
  <c r="N16500" i="1"/>
  <c r="N16499" i="1"/>
  <c r="N24816" i="1"/>
  <c r="N3481" i="1"/>
  <c r="N3482" i="1"/>
  <c r="N16498" i="1"/>
  <c r="N16497" i="1"/>
  <c r="N11181" i="1"/>
  <c r="N16496" i="1"/>
  <c r="N16495" i="1"/>
  <c r="N16494" i="1"/>
  <c r="N15903" i="1"/>
  <c r="N6611" i="1"/>
  <c r="N3238" i="1"/>
  <c r="N9201" i="1"/>
  <c r="N9200" i="1"/>
  <c r="N9199" i="1"/>
  <c r="N9198" i="1"/>
  <c r="N9197" i="1"/>
  <c r="N24181" i="1"/>
  <c r="N24210" i="1"/>
  <c r="N24180" i="1"/>
  <c r="N24209" i="1"/>
  <c r="N24208" i="1"/>
  <c r="N24179" i="1"/>
  <c r="N24207" i="1"/>
  <c r="N9196" i="1"/>
  <c r="N12321" i="1"/>
  <c r="N1881" i="1"/>
  <c r="N1775" i="1"/>
  <c r="N24121" i="1"/>
  <c r="N10284" i="1"/>
  <c r="N18537" i="1"/>
  <c r="N18536" i="1"/>
  <c r="N3439" i="1"/>
  <c r="N3438" i="1"/>
  <c r="N4415" i="1"/>
  <c r="N12762" i="1"/>
  <c r="N6659" i="1"/>
  <c r="N12761" i="1"/>
  <c r="N4414" i="1"/>
  <c r="N24802" i="1"/>
  <c r="N24814" i="1"/>
  <c r="N2732" i="1"/>
  <c r="N15438" i="1"/>
  <c r="N8129" i="1"/>
  <c r="N1281" i="1"/>
  <c r="N12760" i="1"/>
  <c r="N23681" i="1"/>
  <c r="N5465" i="1"/>
  <c r="N15637" i="1"/>
  <c r="N15636" i="1"/>
  <c r="N13526" i="1"/>
  <c r="N6115" i="1"/>
  <c r="N6116" i="1"/>
  <c r="N3988" i="1"/>
  <c r="N17283" i="1"/>
  <c r="N22850" i="1"/>
  <c r="N22849" i="1"/>
  <c r="N11288" i="1"/>
  <c r="N16642" i="1"/>
  <c r="N4413" i="1"/>
  <c r="N2519" i="1"/>
  <c r="N22848" i="1"/>
  <c r="N25091" i="1"/>
  <c r="N18544" i="1"/>
  <c r="N11250" i="1"/>
  <c r="N11671" i="1"/>
  <c r="N18651" i="1"/>
  <c r="N11670" i="1"/>
  <c r="N6475" i="1"/>
  <c r="N6474" i="1"/>
  <c r="N11669" i="1"/>
  <c r="N19354" i="1"/>
  <c r="N6844" i="1"/>
  <c r="N6839" i="1"/>
  <c r="N11668" i="1"/>
  <c r="N11667" i="1"/>
  <c r="N11666" i="1"/>
  <c r="N15697" i="1"/>
  <c r="N15696" i="1"/>
  <c r="N17892" i="1"/>
  <c r="N17890" i="1"/>
  <c r="N19353" i="1"/>
  <c r="N5187" i="1"/>
  <c r="N11249" i="1"/>
  <c r="N11665" i="1"/>
  <c r="N19352" i="1"/>
  <c r="N4259" i="1"/>
  <c r="N4249" i="1"/>
  <c r="N4412" i="1"/>
  <c r="N8335" i="1"/>
  <c r="N11248" i="1"/>
  <c r="N11664" i="1"/>
  <c r="N5464" i="1"/>
  <c r="N3437" i="1"/>
  <c r="N3409" i="1"/>
  <c r="N8977" i="1"/>
  <c r="N11287" i="1"/>
  <c r="N1634" i="1"/>
  <c r="N1888" i="1"/>
  <c r="N11663" i="1"/>
  <c r="N11662" i="1"/>
  <c r="N8976" i="1"/>
  <c r="N11661" i="1"/>
  <c r="N11660" i="1"/>
  <c r="N11659" i="1"/>
  <c r="N3498" i="1"/>
  <c r="N3493" i="1"/>
  <c r="N3191" i="1"/>
  <c r="N3190" i="1"/>
  <c r="N3189" i="1"/>
  <c r="N1134" i="1"/>
  <c r="N11658" i="1"/>
  <c r="N8975" i="1"/>
  <c r="N16022" i="1"/>
  <c r="N8045" i="1"/>
  <c r="N2136" i="1"/>
  <c r="N2731" i="1"/>
  <c r="N4519" i="1"/>
  <c r="N3152" i="1"/>
  <c r="N19599" i="1"/>
  <c r="N19600" i="1"/>
  <c r="N14014" i="1"/>
  <c r="N2730" i="1"/>
  <c r="N2729" i="1"/>
  <c r="N23727" i="1"/>
  <c r="N2858" i="1"/>
  <c r="N2857" i="1"/>
  <c r="N6030" i="1"/>
  <c r="N7841" i="1"/>
  <c r="N7538" i="1"/>
  <c r="N7537" i="1"/>
  <c r="N11940" i="1"/>
  <c r="N22541" i="1"/>
  <c r="N22540" i="1"/>
  <c r="N22539" i="1"/>
  <c r="N22538" i="1"/>
  <c r="N22537" i="1"/>
  <c r="N22536" i="1"/>
  <c r="N22535" i="1"/>
  <c r="N22534" i="1"/>
  <c r="N22533" i="1"/>
  <c r="N22532" i="1"/>
  <c r="N22531" i="1"/>
  <c r="N23075" i="1"/>
  <c r="N25910" i="1"/>
  <c r="N25346" i="1"/>
  <c r="N2782" i="1"/>
  <c r="N2728" i="1"/>
  <c r="N2727" i="1"/>
  <c r="N2726" i="1"/>
  <c r="N3644" i="1"/>
  <c r="N18310" i="1"/>
  <c r="N10359" i="1"/>
  <c r="N12017" i="1"/>
  <c r="N12001" i="1"/>
  <c r="N9430" i="1"/>
  <c r="N9429" i="1"/>
  <c r="N9428" i="1"/>
  <c r="N11835" i="1"/>
  <c r="N11834" i="1"/>
  <c r="N11833" i="1"/>
  <c r="N11832" i="1"/>
  <c r="N11831" i="1"/>
  <c r="N13944" i="1"/>
  <c r="N13943" i="1"/>
  <c r="N2725" i="1"/>
  <c r="N6134" i="1"/>
  <c r="N13294" i="1"/>
  <c r="N13293" i="1"/>
  <c r="N13292" i="1"/>
  <c r="N19839" i="1"/>
  <c r="N19838" i="1"/>
  <c r="N23513" i="1"/>
  <c r="N23433" i="1"/>
  <c r="N23186" i="1"/>
  <c r="N23432" i="1"/>
  <c r="N23431" i="1"/>
  <c r="N23195" i="1"/>
  <c r="N23430" i="1"/>
  <c r="N23429" i="1"/>
  <c r="N23242" i="1"/>
  <c r="N23428" i="1"/>
  <c r="N23427" i="1"/>
  <c r="N23185" i="1"/>
  <c r="N23184" i="1"/>
  <c r="N23426" i="1"/>
  <c r="N23425" i="1"/>
  <c r="N23424" i="1"/>
  <c r="N23423" i="1"/>
  <c r="N23183" i="1"/>
  <c r="N23182" i="1"/>
  <c r="N23459" i="1"/>
  <c r="N6506" i="1"/>
  <c r="N23422" i="1"/>
  <c r="N12449" i="1"/>
  <c r="N12272" i="1"/>
  <c r="N12267" i="1"/>
  <c r="N22530" i="1"/>
  <c r="N22529" i="1"/>
  <c r="N22528" i="1"/>
  <c r="N22527" i="1"/>
  <c r="N25090" i="1"/>
  <c r="N24084" i="1"/>
  <c r="N24083" i="1"/>
  <c r="N24082" i="1"/>
  <c r="N24081" i="1"/>
  <c r="N24080" i="1"/>
  <c r="N24079" i="1"/>
  <c r="N24078" i="1"/>
  <c r="N24077" i="1"/>
  <c r="N24076" i="1"/>
  <c r="N24075" i="1"/>
  <c r="N24074" i="1"/>
  <c r="N24073" i="1"/>
  <c r="N22526" i="1"/>
  <c r="N22525" i="1"/>
  <c r="N22524" i="1"/>
  <c r="N22523" i="1"/>
  <c r="N22522" i="1"/>
  <c r="N22521" i="1"/>
  <c r="N22520" i="1"/>
  <c r="N22519" i="1"/>
  <c r="N22518" i="1"/>
  <c r="N22517" i="1"/>
  <c r="N22516" i="1"/>
  <c r="N22515" i="1"/>
  <c r="N18710" i="1"/>
  <c r="N18709" i="1"/>
  <c r="N9195" i="1"/>
  <c r="N3461" i="1"/>
  <c r="N22514" i="1"/>
  <c r="N22513" i="1"/>
  <c r="N22512" i="1"/>
  <c r="N22511" i="1"/>
  <c r="N22510" i="1"/>
  <c r="N22509" i="1"/>
  <c r="N22508" i="1"/>
  <c r="N22507" i="1"/>
  <c r="N22506" i="1"/>
  <c r="N22505" i="1"/>
  <c r="N22504" i="1"/>
  <c r="N22503" i="1"/>
  <c r="N22502" i="1"/>
  <c r="N22501" i="1"/>
  <c r="N22500" i="1"/>
  <c r="N22499" i="1"/>
  <c r="N22498" i="1"/>
  <c r="N22497" i="1"/>
  <c r="N22496" i="1"/>
  <c r="N22495" i="1"/>
  <c r="N22494" i="1"/>
  <c r="N22493" i="1"/>
  <c r="N22492" i="1"/>
  <c r="N22491" i="1"/>
  <c r="N22490" i="1"/>
  <c r="N22489" i="1"/>
  <c r="N22488" i="1"/>
  <c r="N22487" i="1"/>
  <c r="N22486" i="1"/>
  <c r="N22485" i="1"/>
  <c r="N22484" i="1"/>
  <c r="N22483" i="1"/>
  <c r="N22482" i="1"/>
  <c r="N22481" i="1"/>
  <c r="N22480" i="1"/>
  <c r="N22479" i="1"/>
  <c r="N22478" i="1"/>
  <c r="N22477" i="1"/>
  <c r="N22476" i="1"/>
  <c r="N22475" i="1"/>
  <c r="N22474" i="1"/>
  <c r="N22473" i="1"/>
  <c r="N22472" i="1"/>
  <c r="N22471" i="1"/>
  <c r="N22470" i="1"/>
  <c r="N22469" i="1"/>
  <c r="N22468" i="1"/>
  <c r="N22467" i="1"/>
  <c r="N22466" i="1"/>
  <c r="N22465" i="1"/>
  <c r="N22464" i="1"/>
  <c r="N22463" i="1"/>
  <c r="N22462" i="1"/>
  <c r="N18087" i="1"/>
  <c r="N11916" i="1"/>
  <c r="N11915" i="1"/>
  <c r="N24139" i="1"/>
  <c r="N2352" i="1"/>
  <c r="N2351" i="1"/>
  <c r="N3446" i="1"/>
  <c r="N3729" i="1"/>
  <c r="N3728" i="1"/>
  <c r="N3727" i="1"/>
  <c r="N3726" i="1"/>
  <c r="N3725" i="1"/>
  <c r="N3724" i="1"/>
  <c r="N8023" i="1"/>
  <c r="N14591" i="1"/>
  <c r="N9269" i="1"/>
  <c r="N9268" i="1"/>
  <c r="N9362" i="1"/>
  <c r="N9361" i="1"/>
  <c r="N19017" i="1"/>
  <c r="N23421" i="1"/>
  <c r="N23181" i="1"/>
  <c r="N23420" i="1"/>
  <c r="N23419" i="1"/>
  <c r="N14568" i="1"/>
  <c r="N15756" i="1"/>
  <c r="N15797" i="1"/>
  <c r="N13614" i="1"/>
  <c r="N13620" i="1"/>
  <c r="N13613" i="1"/>
  <c r="N13612" i="1"/>
  <c r="N13611" i="1"/>
  <c r="N13610" i="1"/>
  <c r="N11657" i="1"/>
  <c r="N9112" i="1"/>
  <c r="N11119" i="1"/>
  <c r="N24813" i="1"/>
  <c r="N1760" i="1"/>
  <c r="N11656" i="1"/>
  <c r="N8334" i="1"/>
  <c r="N11655" i="1"/>
  <c r="N11654" i="1"/>
  <c r="N11653" i="1"/>
  <c r="N11652" i="1"/>
  <c r="N5463" i="1"/>
  <c r="N12150" i="1"/>
  <c r="N25345" i="1"/>
  <c r="N25631" i="1"/>
  <c r="N2518" i="1"/>
  <c r="N2517" i="1"/>
  <c r="N2856" i="1"/>
  <c r="N2904" i="1"/>
  <c r="N25424" i="1"/>
  <c r="N4959" i="1"/>
  <c r="N4958" i="1"/>
  <c r="N12203" i="1"/>
  <c r="N23093" i="1"/>
  <c r="N23092" i="1"/>
  <c r="N24738" i="1"/>
  <c r="N15675" i="1"/>
  <c r="N9267" i="1"/>
  <c r="N22461" i="1"/>
  <c r="N16312" i="1"/>
  <c r="N18309" i="1"/>
  <c r="N9266" i="1"/>
  <c r="N19351" i="1"/>
  <c r="N3060" i="1"/>
  <c r="N9444" i="1"/>
  <c r="N3541" i="1"/>
  <c r="N16322" i="1"/>
  <c r="N15174" i="1"/>
  <c r="N15173" i="1"/>
  <c r="N15172" i="1"/>
  <c r="N12158" i="1"/>
  <c r="N11651" i="1"/>
  <c r="N13898" i="1"/>
  <c r="N16272" i="1"/>
  <c r="N23726" i="1"/>
  <c r="N11650" i="1"/>
  <c r="N2269" i="1"/>
  <c r="N9521" i="1"/>
  <c r="N11649" i="1"/>
  <c r="N11648" i="1"/>
  <c r="N10927" i="1"/>
  <c r="N1846" i="1"/>
  <c r="N2855" i="1"/>
  <c r="N25909" i="1"/>
  <c r="N10796" i="1"/>
  <c r="N10795" i="1"/>
  <c r="N10475" i="1"/>
  <c r="N10474" i="1"/>
  <c r="N23768" i="1"/>
  <c r="N6029" i="1"/>
  <c r="N6028" i="1"/>
  <c r="N6027" i="1"/>
  <c r="N6026" i="1"/>
  <c r="N24865" i="1"/>
  <c r="N11647" i="1"/>
  <c r="N5462" i="1"/>
  <c r="N1887" i="1"/>
  <c r="N11646" i="1"/>
  <c r="N5461" i="1"/>
  <c r="N12102" i="1"/>
  <c r="N15635" i="1"/>
  <c r="N10348" i="1"/>
  <c r="N10347" i="1"/>
  <c r="N10109" i="1"/>
  <c r="N25089" i="1"/>
  <c r="N25088" i="1"/>
  <c r="N25087" i="1"/>
  <c r="N25086" i="1"/>
  <c r="N14864" i="1"/>
  <c r="N13755" i="1"/>
  <c r="N13754" i="1"/>
  <c r="N13753" i="1"/>
  <c r="N13752" i="1"/>
  <c r="N10794" i="1"/>
  <c r="N10793" i="1"/>
  <c r="N7536" i="1"/>
  <c r="N7840" i="1"/>
  <c r="N7535" i="1"/>
  <c r="N7839" i="1"/>
  <c r="N7534" i="1"/>
  <c r="N12448" i="1"/>
  <c r="N12447" i="1"/>
  <c r="N12446" i="1"/>
  <c r="N25085" i="1"/>
  <c r="N22460" i="1"/>
  <c r="N22459" i="1"/>
  <c r="N22458" i="1"/>
  <c r="N22457" i="1"/>
  <c r="N22456" i="1"/>
  <c r="N22455" i="1"/>
  <c r="N22454" i="1"/>
  <c r="N22453" i="1"/>
  <c r="N22452" i="1"/>
  <c r="N22451" i="1"/>
  <c r="N22450" i="1"/>
  <c r="N22449" i="1"/>
  <c r="N22448" i="1"/>
  <c r="N22447" i="1"/>
  <c r="N22446" i="1"/>
  <c r="N22445" i="1"/>
  <c r="N25084" i="1"/>
  <c r="N25083" i="1"/>
  <c r="N25082" i="1"/>
  <c r="N25081" i="1"/>
  <c r="N11645" i="1"/>
  <c r="N11644" i="1"/>
  <c r="N11643" i="1"/>
  <c r="N24676" i="1"/>
  <c r="N11642" i="1"/>
  <c r="N8974" i="1"/>
  <c r="N8973" i="1"/>
  <c r="N8972" i="1"/>
  <c r="N8971" i="1"/>
  <c r="N8970" i="1"/>
  <c r="N8969" i="1"/>
  <c r="N8968" i="1"/>
  <c r="N8967" i="1"/>
  <c r="N8966" i="1"/>
  <c r="N8965" i="1"/>
  <c r="N8964" i="1"/>
  <c r="N8468" i="1"/>
  <c r="N8963" i="1"/>
  <c r="N8467" i="1"/>
  <c r="N8962" i="1"/>
  <c r="N8961" i="1"/>
  <c r="N8466" i="1"/>
  <c r="N8960" i="1"/>
  <c r="N8959" i="1"/>
  <c r="N8958" i="1"/>
  <c r="N8957" i="1"/>
  <c r="N8956" i="1"/>
  <c r="N8955" i="1"/>
  <c r="N8954" i="1"/>
  <c r="N9030" i="1"/>
  <c r="N8953" i="1"/>
  <c r="N8952" i="1"/>
  <c r="N8951" i="1"/>
  <c r="N8950" i="1"/>
  <c r="N8949" i="1"/>
  <c r="N8948" i="1"/>
  <c r="N8947" i="1"/>
  <c r="N8465" i="1"/>
  <c r="N8946" i="1"/>
  <c r="N8945" i="1"/>
  <c r="N8464" i="1"/>
  <c r="N8463" i="1"/>
  <c r="N8462" i="1"/>
  <c r="N8461" i="1"/>
  <c r="N3579" i="1"/>
  <c r="N11641" i="1"/>
  <c r="N7908" i="1"/>
  <c r="N13172" i="1"/>
  <c r="N19437" i="1"/>
  <c r="N19436" i="1"/>
  <c r="N19435" i="1"/>
  <c r="N19434" i="1"/>
  <c r="N19433" i="1"/>
  <c r="N10458" i="1"/>
  <c r="N10457" i="1"/>
  <c r="N15837" i="1"/>
  <c r="N18308" i="1"/>
  <c r="N19633" i="1"/>
  <c r="N19632" i="1"/>
  <c r="N19631" i="1"/>
  <c r="N19630" i="1"/>
  <c r="N10456" i="1"/>
  <c r="N10455" i="1"/>
  <c r="N10546" i="1"/>
  <c r="N10545" i="1"/>
  <c r="N10544" i="1"/>
  <c r="N10543" i="1"/>
  <c r="N10424" i="1"/>
  <c r="N1749" i="1"/>
  <c r="N1748" i="1"/>
  <c r="N10542" i="1"/>
  <c r="N10541" i="1"/>
  <c r="N10473" i="1"/>
  <c r="N10472" i="1"/>
  <c r="N1747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12303" i="1"/>
  <c r="N12302" i="1"/>
  <c r="N10926" i="1"/>
  <c r="N10792" i="1"/>
  <c r="N12401" i="1"/>
  <c r="N13253" i="1"/>
  <c r="N11640" i="1"/>
  <c r="N24615" i="1"/>
  <c r="N23418" i="1"/>
  <c r="N23417" i="1"/>
  <c r="N23416" i="1"/>
  <c r="N9097" i="1"/>
  <c r="N10791" i="1"/>
  <c r="N3444" i="1"/>
  <c r="N7978" i="1"/>
  <c r="N1476" i="1"/>
  <c r="N2350" i="1"/>
  <c r="N4411" i="1"/>
  <c r="N4410" i="1"/>
  <c r="N12551" i="1"/>
  <c r="N13871" i="1"/>
  <c r="N13870" i="1"/>
  <c r="N9111" i="1"/>
  <c r="N3376" i="1"/>
  <c r="N8126" i="1"/>
  <c r="N14419" i="1"/>
  <c r="N6365" i="1"/>
  <c r="N10637" i="1"/>
  <c r="N10636" i="1"/>
  <c r="N10635" i="1"/>
  <c r="N9110" i="1"/>
  <c r="N15574" i="1"/>
  <c r="N13869" i="1"/>
  <c r="N9109" i="1"/>
  <c r="N13868" i="1"/>
  <c r="N1774" i="1"/>
  <c r="N9491" i="1"/>
  <c r="N16579" i="1"/>
  <c r="N12019" i="1"/>
  <c r="N13867" i="1"/>
  <c r="N12400" i="1"/>
  <c r="N12399" i="1"/>
  <c r="N1773" i="1"/>
  <c r="N13866" i="1"/>
  <c r="N19127" i="1"/>
  <c r="N4291" i="1"/>
  <c r="N3418" i="1"/>
  <c r="N3423" i="1"/>
  <c r="N25080" i="1"/>
  <c r="N6753" i="1"/>
  <c r="N17872" i="1"/>
  <c r="N11188" i="1"/>
  <c r="N25079" i="1"/>
  <c r="N25078" i="1"/>
  <c r="N10400" i="1"/>
  <c r="N5169" i="1"/>
  <c r="N5168" i="1"/>
  <c r="N15314" i="1"/>
  <c r="N6025" i="1"/>
  <c r="N6024" i="1"/>
  <c r="N6023" i="1"/>
  <c r="N6022" i="1"/>
  <c r="N6021" i="1"/>
  <c r="N6020" i="1"/>
  <c r="N6019" i="1"/>
  <c r="N14843" i="1"/>
  <c r="N14842" i="1"/>
  <c r="N14841" i="1"/>
  <c r="N14840" i="1"/>
  <c r="N14839" i="1"/>
  <c r="N14838" i="1"/>
  <c r="N14837" i="1"/>
  <c r="N14836" i="1"/>
  <c r="N14835" i="1"/>
  <c r="N14834" i="1"/>
  <c r="N14833" i="1"/>
  <c r="N14832" i="1"/>
  <c r="N14831" i="1"/>
  <c r="N14636" i="1"/>
  <c r="N18400" i="1"/>
  <c r="N18510" i="1"/>
  <c r="N19666" i="1"/>
  <c r="N12529" i="1"/>
  <c r="N5178" i="1"/>
  <c r="N11115" i="1"/>
  <c r="N11114" i="1"/>
  <c r="N17939" i="1"/>
  <c r="N2724" i="1"/>
  <c r="N10925" i="1"/>
  <c r="N12355" i="1"/>
  <c r="N1814" i="1"/>
  <c r="N5153" i="1"/>
  <c r="N5152" i="1"/>
  <c r="N5151" i="1"/>
  <c r="N5150" i="1"/>
  <c r="N5149" i="1"/>
  <c r="N5148" i="1"/>
  <c r="N5147" i="1"/>
  <c r="N5146" i="1"/>
  <c r="N5145" i="1"/>
  <c r="N2083" i="1"/>
  <c r="N2082" i="1"/>
  <c r="N2267" i="1"/>
  <c r="N3188" i="1"/>
  <c r="N4187" i="1"/>
  <c r="N4186" i="1"/>
  <c r="N4185" i="1"/>
  <c r="N22444" i="1"/>
  <c r="N22443" i="1"/>
  <c r="N3237" i="1"/>
  <c r="N3236" i="1"/>
  <c r="N3235" i="1"/>
  <c r="N3234" i="1"/>
  <c r="N8123" i="1"/>
  <c r="N12247" i="1"/>
  <c r="N15902" i="1"/>
  <c r="N9471" i="1"/>
  <c r="N9470" i="1"/>
  <c r="N6471" i="1"/>
  <c r="N6470" i="1"/>
  <c r="N6469" i="1"/>
  <c r="N6468" i="1"/>
  <c r="N6467" i="1"/>
  <c r="N6466" i="1"/>
  <c r="N6465" i="1"/>
  <c r="N6464" i="1"/>
  <c r="N6463" i="1"/>
  <c r="N15796" i="1"/>
  <c r="N13252" i="1"/>
  <c r="N13251" i="1"/>
  <c r="N14031" i="1"/>
  <c r="N24476" i="1"/>
  <c r="N23589" i="1"/>
  <c r="N23550" i="1"/>
  <c r="N3263" i="1"/>
  <c r="N1503" i="1"/>
  <c r="N14358" i="1"/>
  <c r="N22442" i="1"/>
  <c r="N22441" i="1"/>
  <c r="N22440" i="1"/>
  <c r="N22439" i="1"/>
  <c r="N22438" i="1"/>
  <c r="N22437" i="1"/>
  <c r="N22436" i="1"/>
  <c r="N22435" i="1"/>
  <c r="N22434" i="1"/>
  <c r="N22433" i="1"/>
  <c r="N2252" i="1"/>
  <c r="N2251" i="1"/>
  <c r="N2250" i="1"/>
  <c r="N9427" i="1"/>
  <c r="N9426" i="1"/>
  <c r="N24328" i="1"/>
  <c r="N15437" i="1"/>
  <c r="N15436" i="1"/>
  <c r="N15435" i="1"/>
  <c r="N10264" i="1"/>
  <c r="N18396" i="1"/>
  <c r="N18402" i="1"/>
  <c r="N17986" i="1"/>
  <c r="N7977" i="1"/>
  <c r="N1475" i="1"/>
  <c r="N13942" i="1"/>
  <c r="N13941" i="1"/>
  <c r="N24753" i="1"/>
  <c r="N19036" i="1"/>
  <c r="N3764" i="1"/>
  <c r="N8093" i="1"/>
  <c r="N8092" i="1"/>
  <c r="N8091" i="1"/>
  <c r="N18509" i="1"/>
  <c r="N2249" i="1"/>
  <c r="N2248" i="1"/>
  <c r="N19663" i="1"/>
  <c r="N1422" i="1"/>
  <c r="N13840" i="1"/>
  <c r="N4337" i="1"/>
  <c r="N18508" i="1"/>
  <c r="N18507" i="1"/>
  <c r="N15539" i="1"/>
  <c r="N3755" i="1"/>
  <c r="N6018" i="1"/>
  <c r="N6017" i="1"/>
  <c r="N6016" i="1"/>
  <c r="N6015" i="1"/>
  <c r="N6014" i="1"/>
  <c r="N6013" i="1"/>
  <c r="N22432" i="1"/>
  <c r="N22431" i="1"/>
  <c r="N22430" i="1"/>
  <c r="N22429" i="1"/>
  <c r="N22428" i="1"/>
  <c r="N22427" i="1"/>
  <c r="N22426" i="1"/>
  <c r="N22425" i="1"/>
  <c r="N22424" i="1"/>
  <c r="N22423" i="1"/>
  <c r="N22422" i="1"/>
  <c r="N22421" i="1"/>
  <c r="N22420" i="1"/>
  <c r="N22419" i="1"/>
  <c r="N22418" i="1"/>
  <c r="N22417" i="1"/>
  <c r="N22416" i="1"/>
  <c r="N22415" i="1"/>
  <c r="N22414" i="1"/>
  <c r="N22413" i="1"/>
  <c r="N22412" i="1"/>
  <c r="N22411" i="1"/>
  <c r="N22410" i="1"/>
  <c r="N22409" i="1"/>
  <c r="N22408" i="1"/>
  <c r="N2081" i="1"/>
  <c r="N2080" i="1"/>
  <c r="N10720" i="1"/>
  <c r="N10719" i="1"/>
  <c r="N10675" i="1"/>
  <c r="N10674" i="1"/>
  <c r="N10723" i="1"/>
  <c r="N10718" i="1"/>
  <c r="N10717" i="1"/>
  <c r="N10716" i="1"/>
  <c r="N10715" i="1"/>
  <c r="N10714" i="1"/>
  <c r="N10713" i="1"/>
  <c r="N10712" i="1"/>
  <c r="N10711" i="1"/>
  <c r="N10727" i="1"/>
  <c r="N22407" i="1"/>
  <c r="N22406" i="1"/>
  <c r="N6012" i="1"/>
  <c r="N18665" i="1"/>
  <c r="N10924" i="1"/>
  <c r="N23180" i="1"/>
  <c r="N23241" i="1"/>
  <c r="N23415" i="1"/>
  <c r="N4184" i="1"/>
  <c r="N22405" i="1"/>
  <c r="N22404" i="1"/>
  <c r="N22403" i="1"/>
  <c r="N7521" i="1"/>
  <c r="N7520" i="1"/>
  <c r="N7519" i="1"/>
  <c r="N7838" i="1"/>
  <c r="N7518" i="1"/>
  <c r="N7837" i="1"/>
  <c r="N7517" i="1"/>
  <c r="N7836" i="1"/>
  <c r="N7516" i="1"/>
  <c r="N6011" i="1"/>
  <c r="N6010" i="1"/>
  <c r="N24747" i="1"/>
  <c r="N25077" i="1"/>
  <c r="N25076" i="1"/>
  <c r="N25075" i="1"/>
  <c r="N3298" i="1"/>
  <c r="N3297" i="1"/>
  <c r="N22402" i="1"/>
  <c r="N22401" i="1"/>
  <c r="N22400" i="1"/>
  <c r="N22399" i="1"/>
  <c r="N22398" i="1"/>
  <c r="N22397" i="1"/>
  <c r="N22396" i="1"/>
  <c r="N22395" i="1"/>
  <c r="N22394" i="1"/>
  <c r="N22393" i="1"/>
  <c r="N22392" i="1"/>
  <c r="N22391" i="1"/>
  <c r="N22390" i="1"/>
  <c r="N22389" i="1"/>
  <c r="N22388" i="1"/>
  <c r="N22387" i="1"/>
  <c r="N3101" i="1"/>
  <c r="N6009" i="1"/>
  <c r="N6008" i="1"/>
  <c r="N22386" i="1"/>
  <c r="N22385" i="1"/>
  <c r="N22384" i="1"/>
  <c r="N22383" i="1"/>
  <c r="N22382" i="1"/>
  <c r="N22381" i="1"/>
  <c r="N7835" i="1"/>
  <c r="N7515" i="1"/>
  <c r="N10923" i="1"/>
  <c r="N22380" i="1"/>
  <c r="N22379" i="1"/>
  <c r="N10922" i="1"/>
  <c r="N10921" i="1"/>
  <c r="N10580" i="1"/>
  <c r="N6007" i="1"/>
  <c r="N6006" i="1"/>
  <c r="N6005" i="1"/>
  <c r="N22378" i="1"/>
  <c r="N25908" i="1"/>
  <c r="N22377" i="1"/>
  <c r="N22376" i="1"/>
  <c r="N22375" i="1"/>
  <c r="N22374" i="1"/>
  <c r="N22373" i="1"/>
  <c r="N3059" i="1"/>
  <c r="N3058" i="1"/>
  <c r="N3057" i="1"/>
  <c r="N18307" i="1"/>
  <c r="N2079" i="1"/>
  <c r="N2078" i="1"/>
  <c r="N25942" i="1"/>
  <c r="N8122" i="1"/>
  <c r="N18306" i="1"/>
  <c r="N6004" i="1"/>
  <c r="N3199" i="1"/>
  <c r="N22372" i="1"/>
  <c r="N22371" i="1"/>
  <c r="N22370" i="1"/>
  <c r="N22369" i="1"/>
  <c r="N22368" i="1"/>
  <c r="N22367" i="1"/>
  <c r="N22366" i="1"/>
  <c r="N22365" i="1"/>
  <c r="N22364" i="1"/>
  <c r="N2077" i="1"/>
  <c r="N2076" i="1"/>
  <c r="N25630" i="1"/>
  <c r="N15412" i="1"/>
  <c r="N15411" i="1"/>
  <c r="N15410" i="1"/>
  <c r="N11045" i="1"/>
  <c r="N2075" i="1"/>
  <c r="N2074" i="1"/>
  <c r="N8333" i="1"/>
  <c r="N22363" i="1"/>
  <c r="N22362" i="1"/>
  <c r="N12157" i="1"/>
  <c r="N24475" i="1"/>
  <c r="N6003" i="1"/>
  <c r="N6002" i="1"/>
  <c r="N6001" i="1"/>
  <c r="N6000" i="1"/>
  <c r="N5999" i="1"/>
  <c r="N5998" i="1"/>
  <c r="N5997" i="1"/>
  <c r="N18305" i="1"/>
  <c r="N22361" i="1"/>
  <c r="N22360" i="1"/>
  <c r="N22359" i="1"/>
  <c r="N22358" i="1"/>
  <c r="N22357" i="1"/>
  <c r="N22356" i="1"/>
  <c r="N22355" i="1"/>
  <c r="N22354" i="1"/>
  <c r="N22353" i="1"/>
  <c r="N22352" i="1"/>
  <c r="N22351" i="1"/>
  <c r="N22350" i="1"/>
  <c r="N22349" i="1"/>
  <c r="N22348" i="1"/>
  <c r="N22347" i="1"/>
  <c r="N22346" i="1"/>
  <c r="N22345" i="1"/>
  <c r="N22344" i="1"/>
  <c r="N22343" i="1"/>
  <c r="N22342" i="1"/>
  <c r="N22341" i="1"/>
  <c r="N22340" i="1"/>
  <c r="N22339" i="1"/>
  <c r="N22338" i="1"/>
  <c r="N2073" i="1"/>
  <c r="N2072" i="1"/>
  <c r="N8332" i="1"/>
  <c r="N10920" i="1"/>
  <c r="N5460" i="1"/>
  <c r="N1234" i="1"/>
  <c r="N25074" i="1"/>
  <c r="N8331" i="1"/>
  <c r="N10919" i="1"/>
  <c r="N10918" i="1"/>
  <c r="N19778" i="1"/>
  <c r="N19776" i="1"/>
  <c r="N4320" i="1"/>
  <c r="N25710" i="1"/>
  <c r="N25709" i="1"/>
  <c r="N25629" i="1"/>
  <c r="N25708" i="1"/>
  <c r="N18304" i="1"/>
  <c r="N2071" i="1"/>
  <c r="N2070" i="1"/>
  <c r="N17211" i="1"/>
  <c r="N17210" i="1"/>
  <c r="N19288" i="1"/>
  <c r="N6290" i="1"/>
  <c r="N6234" i="1"/>
  <c r="N6249" i="1"/>
  <c r="N6610" i="1"/>
  <c r="N25628" i="1"/>
  <c r="N3056" i="1"/>
  <c r="N3055" i="1"/>
  <c r="N3054" i="1"/>
  <c r="N6187" i="1"/>
  <c r="N10917" i="1"/>
  <c r="N15313" i="1"/>
  <c r="N15312" i="1"/>
  <c r="N7834" i="1"/>
  <c r="N7514" i="1"/>
  <c r="N12412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22337" i="1"/>
  <c r="N1622" i="1"/>
  <c r="N18303" i="1"/>
  <c r="N24628" i="1"/>
  <c r="N11180" i="1"/>
  <c r="N6609" i="1"/>
  <c r="N5459" i="1"/>
  <c r="N1813" i="1"/>
  <c r="N15976" i="1"/>
  <c r="N16271" i="1"/>
  <c r="N18648" i="1"/>
  <c r="N4715" i="1"/>
  <c r="N4714" i="1"/>
  <c r="N4623" i="1"/>
  <c r="N24011" i="1"/>
  <c r="N23114" i="1"/>
  <c r="N1698" i="1"/>
  <c r="N6608" i="1"/>
  <c r="N14361" i="1"/>
  <c r="N24302" i="1"/>
  <c r="N24303" i="1"/>
  <c r="N13387" i="1"/>
  <c r="N13386" i="1"/>
  <c r="N13385" i="1"/>
  <c r="N24010" i="1"/>
  <c r="N24009" i="1"/>
  <c r="N13343" i="1"/>
  <c r="N13324" i="1"/>
  <c r="N13342" i="1"/>
  <c r="N13323" i="1"/>
  <c r="N13341" i="1"/>
  <c r="N13322" i="1"/>
  <c r="N3157" i="1"/>
  <c r="N4064" i="1"/>
  <c r="N19168" i="1"/>
  <c r="N18535" i="1"/>
  <c r="N18534" i="1"/>
  <c r="N23588" i="1"/>
  <c r="N3829" i="1"/>
  <c r="N23709" i="1"/>
  <c r="N23414" i="1"/>
  <c r="N23413" i="1"/>
  <c r="N23412" i="1"/>
  <c r="N13903" i="1"/>
  <c r="N24826" i="1"/>
  <c r="N24823" i="1"/>
  <c r="N15805" i="1"/>
  <c r="N19178" i="1"/>
  <c r="N23123" i="1"/>
  <c r="N23587" i="1"/>
  <c r="N12695" i="1"/>
  <c r="N15901" i="1"/>
  <c r="N24008" i="1"/>
  <c r="N24007" i="1"/>
  <c r="N12644" i="1"/>
  <c r="N10299" i="1"/>
  <c r="N12643" i="1"/>
  <c r="N12642" i="1"/>
  <c r="N4713" i="1"/>
  <c r="N12694" i="1"/>
  <c r="N12519" i="1"/>
  <c r="N12506" i="1"/>
  <c r="N12520" i="1"/>
  <c r="N12641" i="1"/>
  <c r="N18117" i="1"/>
  <c r="N1414" i="1"/>
  <c r="N1415" i="1"/>
  <c r="N1416" i="1"/>
  <c r="N6607" i="1"/>
  <c r="N25431" i="1"/>
  <c r="N22847" i="1"/>
  <c r="N22846" i="1"/>
  <c r="N25627" i="1"/>
  <c r="N5458" i="1"/>
  <c r="N12156" i="1"/>
  <c r="N25423" i="1"/>
  <c r="N11113" i="1"/>
  <c r="N25907" i="1"/>
  <c r="N14687" i="1"/>
  <c r="N25626" i="1"/>
  <c r="N25625" i="1"/>
  <c r="N25906" i="1"/>
  <c r="N14013" i="1"/>
  <c r="N22845" i="1"/>
  <c r="N22870" i="1"/>
  <c r="N22844" i="1"/>
  <c r="N22869" i="1"/>
  <c r="N25422" i="1"/>
  <c r="N5269" i="1"/>
  <c r="N25624" i="1"/>
  <c r="N25623" i="1"/>
  <c r="N25622" i="1"/>
  <c r="N14672" i="1"/>
  <c r="N2781" i="1"/>
  <c r="N2723" i="1"/>
  <c r="N25421" i="1"/>
  <c r="N25962" i="1"/>
  <c r="N24006" i="1"/>
  <c r="N24005" i="1"/>
  <c r="N13751" i="1"/>
  <c r="N13750" i="1"/>
  <c r="N13783" i="1"/>
  <c r="N13682" i="1"/>
  <c r="N13749" i="1"/>
  <c r="N13795" i="1"/>
  <c r="N13782" i="1"/>
  <c r="N24004" i="1"/>
  <c r="N12221" i="1"/>
  <c r="N12228" i="1"/>
  <c r="N12220" i="1"/>
  <c r="N12213" i="1"/>
  <c r="N19167" i="1"/>
  <c r="N4622" i="1"/>
  <c r="N19166" i="1"/>
  <c r="N1880" i="1"/>
  <c r="N13873" i="1"/>
  <c r="N6289" i="1"/>
  <c r="N15490" i="1"/>
  <c r="N6622" i="1"/>
  <c r="N19165" i="1"/>
  <c r="N15573" i="1"/>
  <c r="N1439" i="1"/>
  <c r="N1438" i="1"/>
  <c r="N19164" i="1"/>
  <c r="N1440" i="1"/>
  <c r="N1150" i="1"/>
  <c r="N14498" i="1"/>
  <c r="N14492" i="1"/>
  <c r="N6336" i="1"/>
  <c r="N17976" i="1"/>
  <c r="N14336" i="1"/>
  <c r="N1413" i="1"/>
  <c r="N1926" i="1"/>
  <c r="N9498" i="1"/>
  <c r="N17825" i="1"/>
  <c r="N17824" i="1"/>
  <c r="N17823" i="1"/>
  <c r="N17822" i="1"/>
  <c r="N17821" i="1"/>
  <c r="N17820" i="1"/>
  <c r="N19588" i="1"/>
  <c r="N25956" i="1"/>
  <c r="N13125" i="1"/>
  <c r="N13124" i="1"/>
  <c r="N13123" i="1"/>
  <c r="N13122" i="1"/>
  <c r="N13121" i="1"/>
  <c r="N13120" i="1"/>
  <c r="N13119" i="1"/>
  <c r="N13118" i="1"/>
  <c r="N13117" i="1"/>
  <c r="N13116" i="1"/>
  <c r="N13115" i="1"/>
  <c r="N13114" i="1"/>
  <c r="N13113" i="1"/>
  <c r="N13112" i="1"/>
  <c r="N13111" i="1"/>
  <c r="N13110" i="1"/>
  <c r="N13109" i="1"/>
  <c r="N13108" i="1"/>
  <c r="N13107" i="1"/>
  <c r="N13106" i="1"/>
  <c r="N13105" i="1"/>
  <c r="N13104" i="1"/>
  <c r="N3799" i="1"/>
  <c r="N1589" i="1"/>
  <c r="N1149" i="1"/>
  <c r="N4467" i="1"/>
  <c r="N4466" i="1"/>
  <c r="N10382" i="1"/>
  <c r="N10381" i="1"/>
  <c r="N10380" i="1"/>
  <c r="N2466" i="1"/>
  <c r="N2465" i="1"/>
  <c r="N3928" i="1"/>
  <c r="N3927" i="1"/>
  <c r="N3926" i="1"/>
  <c r="N18925" i="1"/>
  <c r="N18924" i="1"/>
  <c r="N18736" i="1"/>
  <c r="N18923" i="1"/>
  <c r="N19825" i="1"/>
  <c r="N2419" i="1"/>
  <c r="N3173" i="1"/>
  <c r="N3172" i="1"/>
  <c r="N13799" i="1"/>
  <c r="N1423" i="1"/>
  <c r="N3744" i="1"/>
  <c r="N3743" i="1"/>
  <c r="N3742" i="1"/>
  <c r="N3741" i="1"/>
  <c r="N24265" i="1"/>
  <c r="N24025" i="1"/>
  <c r="N19554" i="1"/>
  <c r="N24347" i="1"/>
  <c r="N18454" i="1"/>
  <c r="N18453" i="1"/>
  <c r="N6651" i="1"/>
  <c r="N9563" i="1"/>
  <c r="N9562" i="1"/>
  <c r="N9561" i="1"/>
  <c r="N24729" i="1"/>
  <c r="N16270" i="1"/>
  <c r="N16269" i="1"/>
  <c r="N13250" i="1"/>
  <c r="N19246" i="1"/>
  <c r="N23886" i="1"/>
  <c r="N4063" i="1"/>
  <c r="N23411" i="1"/>
  <c r="N3953" i="1"/>
  <c r="N19030" i="1"/>
  <c r="N6484" i="1"/>
  <c r="N4031" i="1"/>
  <c r="N12596" i="1"/>
  <c r="N19237" i="1"/>
  <c r="N8330" i="1"/>
  <c r="N8329" i="1"/>
  <c r="N8328" i="1"/>
  <c r="N3540" i="1"/>
  <c r="N19236" i="1"/>
  <c r="N4097" i="1"/>
  <c r="N11044" i="1"/>
  <c r="N17819" i="1"/>
  <c r="N17818" i="1"/>
  <c r="N17817" i="1"/>
  <c r="N17816" i="1"/>
  <c r="N17815" i="1"/>
  <c r="N4096" i="1"/>
  <c r="N19235" i="1"/>
  <c r="N19234" i="1"/>
  <c r="N19233" i="1"/>
  <c r="N17973" i="1"/>
  <c r="N18584" i="1"/>
  <c r="N4051" i="1"/>
  <c r="N4050" i="1"/>
  <c r="N18108" i="1"/>
  <c r="N12640" i="1"/>
  <c r="N18369" i="1"/>
  <c r="N18353" i="1"/>
  <c r="N18352" i="1"/>
  <c r="N6718" i="1"/>
  <c r="N23130" i="1"/>
  <c r="N12639" i="1"/>
  <c r="N12638" i="1"/>
  <c r="N12637" i="1"/>
  <c r="N13249" i="1"/>
  <c r="N1327" i="1"/>
  <c r="N15465" i="1"/>
  <c r="N13248" i="1"/>
  <c r="N4649" i="1"/>
  <c r="N19332" i="1"/>
  <c r="N1474" i="1"/>
  <c r="N17963" i="1"/>
  <c r="N10710" i="1"/>
  <c r="N10709" i="1"/>
  <c r="N10708" i="1"/>
  <c r="N10707" i="1"/>
  <c r="N10706" i="1"/>
  <c r="N10730" i="1"/>
  <c r="N10668" i="1"/>
  <c r="N10667" i="1"/>
  <c r="N15900" i="1"/>
  <c r="N12266" i="1"/>
  <c r="N12265" i="1"/>
  <c r="N12264" i="1"/>
  <c r="N12636" i="1"/>
  <c r="N12693" i="1"/>
  <c r="N12635" i="1"/>
  <c r="N12634" i="1"/>
  <c r="N13247" i="1"/>
  <c r="N7918" i="1"/>
  <c r="N9490" i="1"/>
  <c r="N24769" i="1"/>
  <c r="N24768" i="1"/>
  <c r="N4500" i="1"/>
  <c r="N25621" i="1"/>
  <c r="N25073" i="1"/>
  <c r="N2780" i="1"/>
  <c r="N25905" i="1"/>
  <c r="N2722" i="1"/>
  <c r="N2721" i="1"/>
  <c r="N7501" i="1"/>
  <c r="N7500" i="1"/>
  <c r="N7833" i="1"/>
  <c r="N7499" i="1"/>
  <c r="N24235" i="1"/>
  <c r="N24234" i="1"/>
  <c r="N24233" i="1"/>
  <c r="N6798" i="1"/>
  <c r="N2292" i="1"/>
  <c r="N4579" i="1"/>
  <c r="N19820" i="1"/>
  <c r="N6808" i="1"/>
  <c r="N19819" i="1"/>
  <c r="N15947" i="1"/>
  <c r="N6151" i="1"/>
  <c r="N3795" i="1"/>
  <c r="N1772" i="1"/>
  <c r="N13667" i="1"/>
  <c r="N13666" i="1"/>
  <c r="N1771" i="1"/>
  <c r="N13246" i="1"/>
  <c r="N6606" i="1"/>
  <c r="N1427" i="1"/>
  <c r="N25904" i="1"/>
  <c r="N25620" i="1"/>
  <c r="N12540" i="1"/>
  <c r="N18684" i="1"/>
  <c r="N6288" i="1"/>
  <c r="N11051" i="1"/>
  <c r="N13923" i="1"/>
  <c r="N1280" i="1"/>
  <c r="N1260" i="1"/>
  <c r="N19660" i="1"/>
  <c r="N1616" i="1"/>
  <c r="N5457" i="1"/>
  <c r="N1511" i="1"/>
  <c r="N2488" i="1"/>
  <c r="N15190" i="1"/>
  <c r="N6335" i="1"/>
  <c r="N15553" i="1"/>
  <c r="N15561" i="1"/>
  <c r="N23673" i="1"/>
  <c r="N10583" i="1"/>
  <c r="N13897" i="1"/>
  <c r="N18098" i="1"/>
  <c r="N18104" i="1"/>
  <c r="N4476" i="1"/>
  <c r="N18076" i="1"/>
  <c r="N6364" i="1"/>
  <c r="N14487" i="1"/>
  <c r="N11786" i="1"/>
  <c r="N16024" i="1"/>
  <c r="N1300" i="1"/>
  <c r="N6328" i="1"/>
  <c r="N1936" i="1"/>
  <c r="N23586" i="1"/>
  <c r="N3801" i="1"/>
  <c r="N3800" i="1"/>
  <c r="N15634" i="1"/>
  <c r="N24120" i="1"/>
  <c r="N2387" i="1"/>
  <c r="N12039" i="1"/>
  <c r="N18922" i="1"/>
  <c r="N18921" i="1"/>
  <c r="N17933" i="1"/>
  <c r="N13665" i="1"/>
  <c r="N13664" i="1"/>
  <c r="N12096" i="1"/>
  <c r="N15856" i="1"/>
  <c r="N14680" i="1"/>
  <c r="N24872" i="1"/>
  <c r="N2741" i="1"/>
  <c r="N2854" i="1"/>
  <c r="N23786" i="1"/>
  <c r="N8327" i="1"/>
  <c r="N8326" i="1"/>
  <c r="N8325" i="1"/>
  <c r="N19318" i="1"/>
  <c r="N22843" i="1"/>
  <c r="N6605" i="1"/>
  <c r="N6536" i="1"/>
  <c r="N2720" i="1"/>
  <c r="N2853" i="1"/>
  <c r="N3548" i="1"/>
  <c r="N10392" i="1"/>
  <c r="N5186" i="1"/>
  <c r="N7976" i="1"/>
  <c r="N19054" i="1"/>
  <c r="N19052" i="1"/>
  <c r="N1618" i="1"/>
  <c r="N1617" i="1"/>
  <c r="N4712" i="1"/>
  <c r="N24119" i="1"/>
  <c r="N4711" i="1"/>
  <c r="N16072" i="1"/>
  <c r="N18103" i="1"/>
  <c r="N24062" i="1"/>
  <c r="N1591" i="1"/>
  <c r="N15347" i="1"/>
  <c r="N4326" i="1"/>
  <c r="N23047" i="1"/>
  <c r="N8944" i="1"/>
  <c r="N12567" i="1"/>
  <c r="N12566" i="1"/>
  <c r="N1232" i="1"/>
  <c r="N24097" i="1"/>
  <c r="N24104" i="1"/>
  <c r="N16299" i="1"/>
  <c r="N7920" i="1"/>
  <c r="N3535" i="1"/>
  <c r="N15795" i="1"/>
  <c r="N10236" i="1"/>
  <c r="N6535" i="1"/>
  <c r="N1148" i="1"/>
  <c r="N6141" i="1"/>
  <c r="N18302" i="1"/>
  <c r="N1817" i="1"/>
  <c r="N12476" i="1"/>
  <c r="N1147" i="1"/>
  <c r="N17307" i="1"/>
  <c r="N2917" i="1"/>
  <c r="N19325" i="1"/>
  <c r="N4409" i="1"/>
  <c r="N18708" i="1"/>
  <c r="N18707" i="1"/>
  <c r="N18706" i="1"/>
  <c r="N2719" i="1"/>
  <c r="N10271" i="1"/>
  <c r="N3827" i="1"/>
  <c r="N1337" i="1"/>
  <c r="N1336" i="1"/>
  <c r="N11017" i="1"/>
  <c r="N17209" i="1"/>
  <c r="N17208" i="1"/>
  <c r="N1286" i="1"/>
  <c r="N25619" i="1"/>
  <c r="N25618" i="1"/>
  <c r="N25645" i="1"/>
  <c r="N2718" i="1"/>
  <c r="N1146" i="1"/>
  <c r="N4095" i="1"/>
  <c r="N4094" i="1"/>
  <c r="N4093" i="1"/>
  <c r="N4092" i="1"/>
  <c r="N4091" i="1"/>
  <c r="N4090" i="1"/>
  <c r="N12753" i="1"/>
  <c r="N25072" i="1"/>
  <c r="N25071" i="1"/>
  <c r="N15336" i="1"/>
  <c r="N3332" i="1"/>
  <c r="N3329" i="1"/>
  <c r="N3328" i="1"/>
  <c r="N12692" i="1"/>
  <c r="N24155" i="1"/>
  <c r="N10196" i="1"/>
  <c r="N13163" i="1"/>
  <c r="N23713" i="1"/>
  <c r="N3576" i="1"/>
  <c r="N3572" i="1"/>
  <c r="N24728" i="1"/>
  <c r="N19271" i="1"/>
  <c r="N3571" i="1"/>
  <c r="N3794" i="1"/>
  <c r="N7915" i="1"/>
  <c r="N8943" i="1"/>
  <c r="N8460" i="1"/>
  <c r="N8942" i="1"/>
  <c r="N18478" i="1"/>
  <c r="N15747" i="1"/>
  <c r="N15794" i="1"/>
  <c r="N15793" i="1"/>
  <c r="N7914" i="1"/>
  <c r="N1831" i="1"/>
  <c r="N18427" i="1"/>
  <c r="N13103" i="1"/>
  <c r="N16382" i="1"/>
  <c r="N16381" i="1"/>
  <c r="N4448" i="1"/>
  <c r="N4465" i="1"/>
  <c r="N15899" i="1"/>
  <c r="N19024" i="1"/>
  <c r="N19022" i="1"/>
  <c r="N19025" i="1"/>
  <c r="N19023" i="1"/>
  <c r="N19021" i="1"/>
  <c r="N5456" i="1"/>
  <c r="N18301" i="1"/>
  <c r="N24264" i="1"/>
  <c r="N3622" i="1"/>
  <c r="N19026" i="1"/>
  <c r="N15017" i="1"/>
  <c r="N15016" i="1"/>
  <c r="N15015" i="1"/>
  <c r="N1797" i="1"/>
  <c r="N1796" i="1"/>
  <c r="N9419" i="1"/>
  <c r="N2779" i="1"/>
  <c r="N2852" i="1"/>
  <c r="N2314" i="1"/>
  <c r="N24240" i="1"/>
  <c r="N10565" i="1"/>
  <c r="N10564" i="1"/>
  <c r="N24054" i="1"/>
  <c r="N24632" i="1"/>
  <c r="N2778" i="1"/>
  <c r="N5455" i="1"/>
  <c r="N2777" i="1"/>
  <c r="N15975" i="1"/>
  <c r="N18920" i="1"/>
  <c r="N25286" i="1"/>
  <c r="N5177" i="1"/>
  <c r="N22865" i="1"/>
  <c r="N18026" i="1"/>
  <c r="N9418" i="1"/>
  <c r="N15946" i="1"/>
  <c r="N22842" i="1"/>
  <c r="N1770" i="1"/>
  <c r="N1769" i="1"/>
  <c r="N14641" i="1"/>
  <c r="N12633" i="1"/>
  <c r="N7832" i="1"/>
  <c r="N7498" i="1"/>
  <c r="N19796" i="1"/>
  <c r="N7497" i="1"/>
  <c r="N7831" i="1"/>
  <c r="N7496" i="1"/>
  <c r="N3983" i="1"/>
  <c r="N7495" i="1"/>
  <c r="N18056" i="1"/>
  <c r="N12632" i="1"/>
  <c r="N7830" i="1"/>
  <c r="N7494" i="1"/>
  <c r="N12485" i="1"/>
  <c r="N12478" i="1"/>
  <c r="N13245" i="1"/>
  <c r="N13244" i="1"/>
  <c r="N24251" i="1"/>
  <c r="N3539" i="1"/>
  <c r="N8035" i="1"/>
  <c r="N8941" i="1"/>
  <c r="N8940" i="1"/>
  <c r="N8939" i="1"/>
  <c r="N8938" i="1"/>
  <c r="N8937" i="1"/>
  <c r="N8459" i="1"/>
  <c r="N8936" i="1"/>
  <c r="N8935" i="1"/>
  <c r="N8934" i="1"/>
  <c r="N8933" i="1"/>
  <c r="N8932" i="1"/>
  <c r="N8931" i="1"/>
  <c r="N8930" i="1"/>
  <c r="N8458" i="1"/>
  <c r="N8929" i="1"/>
  <c r="N8928" i="1"/>
  <c r="N8927" i="1"/>
  <c r="N8926" i="1"/>
  <c r="N8925" i="1"/>
  <c r="N8924" i="1"/>
  <c r="N8923" i="1"/>
  <c r="N8922" i="1"/>
  <c r="N3561" i="1"/>
  <c r="N3562" i="1"/>
  <c r="N12631" i="1"/>
  <c r="N8921" i="1"/>
  <c r="N8920" i="1"/>
  <c r="N9029" i="1"/>
  <c r="N8457" i="1"/>
  <c r="N8919" i="1"/>
  <c r="N8918" i="1"/>
  <c r="N4408" i="1"/>
  <c r="N10064" i="1"/>
  <c r="N10063" i="1"/>
  <c r="N10062" i="1"/>
  <c r="N10061" i="1"/>
  <c r="N10060" i="1"/>
  <c r="N10059" i="1"/>
  <c r="N10058" i="1"/>
  <c r="N8917" i="1"/>
  <c r="N8916" i="1"/>
  <c r="N8915" i="1"/>
  <c r="N8914" i="1"/>
  <c r="N8456" i="1"/>
  <c r="N8913" i="1"/>
  <c r="N15171" i="1"/>
  <c r="N15170" i="1"/>
  <c r="N15169" i="1"/>
  <c r="N13102" i="1"/>
  <c r="N13101" i="1"/>
  <c r="N13100" i="1"/>
  <c r="N13099" i="1"/>
  <c r="N4407" i="1"/>
  <c r="N13098" i="1"/>
  <c r="N13097" i="1"/>
  <c r="N12630" i="1"/>
  <c r="N18300" i="1"/>
  <c r="N12629" i="1"/>
  <c r="N13096" i="1"/>
  <c r="N13095" i="1"/>
  <c r="N13094" i="1"/>
  <c r="N12038" i="1"/>
  <c r="N9417" i="1"/>
  <c r="N9402" i="1"/>
  <c r="N6656" i="1"/>
  <c r="N13384" i="1"/>
  <c r="N13383" i="1"/>
  <c r="N13382" i="1"/>
  <c r="N8140" i="1"/>
  <c r="N18523" i="1"/>
  <c r="N24727" i="1"/>
  <c r="N24675" i="1"/>
  <c r="N24674" i="1"/>
  <c r="N24673" i="1"/>
  <c r="N24672" i="1"/>
  <c r="N24671" i="1"/>
  <c r="N16028" i="1"/>
  <c r="N1473" i="1"/>
  <c r="N3346" i="1"/>
  <c r="N23585" i="1"/>
  <c r="N24048" i="1"/>
  <c r="N1844" i="1"/>
  <c r="N12691" i="1"/>
  <c r="N3523" i="1"/>
  <c r="N14346" i="1"/>
  <c r="N13821" i="1"/>
  <c r="N6830" i="1"/>
  <c r="N24627" i="1"/>
  <c r="N25070" i="1"/>
  <c r="N25069" i="1"/>
  <c r="N25617" i="1"/>
  <c r="N18958" i="1"/>
  <c r="N18299" i="1"/>
  <c r="N18298" i="1"/>
  <c r="N18297" i="1"/>
  <c r="N4921" i="1"/>
  <c r="N4883" i="1"/>
  <c r="N4926" i="1"/>
  <c r="N4920" i="1"/>
  <c r="N4882" i="1"/>
  <c r="N4925" i="1"/>
  <c r="N12170" i="1"/>
  <c r="N24851" i="1"/>
  <c r="N2717" i="1"/>
  <c r="N3405" i="1"/>
  <c r="N25068" i="1"/>
  <c r="N24850" i="1"/>
  <c r="N24871" i="1"/>
  <c r="N25067" i="1"/>
  <c r="N25066" i="1"/>
  <c r="N25065" i="1"/>
  <c r="N25064" i="1"/>
  <c r="N24870" i="1"/>
  <c r="N25063" i="1"/>
  <c r="N25062" i="1"/>
  <c r="N25061" i="1"/>
  <c r="N14012" i="1"/>
  <c r="N25060" i="1"/>
  <c r="N24864" i="1"/>
  <c r="N25903" i="1"/>
  <c r="N2776" i="1"/>
  <c r="N6604" i="1"/>
  <c r="N6603" i="1"/>
  <c r="N4578" i="1"/>
  <c r="N19095" i="1"/>
  <c r="N15004" i="1"/>
  <c r="N16641" i="1"/>
  <c r="N3440" i="1"/>
  <c r="N19028" i="1"/>
  <c r="N8051" i="1"/>
  <c r="N8048" i="1"/>
  <c r="N8094" i="1"/>
  <c r="N8047" i="1"/>
  <c r="N18296" i="1"/>
  <c r="N12283" i="1"/>
  <c r="N23066" i="1"/>
  <c r="N3807" i="1"/>
  <c r="N12243" i="1"/>
  <c r="N12242" i="1"/>
  <c r="N12241" i="1"/>
  <c r="N9416" i="1"/>
  <c r="N2451" i="1"/>
  <c r="N12149" i="1"/>
  <c r="N2851" i="1"/>
  <c r="N11639" i="1"/>
  <c r="N25902" i="1"/>
  <c r="N11747" i="1"/>
  <c r="N11746" i="1"/>
  <c r="N5454" i="1"/>
  <c r="N25616" i="1"/>
  <c r="N25901" i="1"/>
  <c r="N25420" i="1"/>
  <c r="N25615" i="1"/>
  <c r="N2313" i="1"/>
  <c r="N25614" i="1"/>
  <c r="N25900" i="1"/>
  <c r="N2850" i="1"/>
  <c r="N1551" i="1"/>
  <c r="N25613" i="1"/>
  <c r="N23584" i="1"/>
  <c r="N23549" i="1"/>
  <c r="N25612" i="1"/>
  <c r="N18582" i="1"/>
  <c r="N25419" i="1"/>
  <c r="N25899" i="1"/>
  <c r="N5453" i="1"/>
  <c r="N22841" i="1"/>
  <c r="N414" i="1"/>
  <c r="N413" i="1"/>
  <c r="N412" i="1"/>
  <c r="N2849" i="1"/>
  <c r="N2716" i="1"/>
  <c r="N2775" i="1"/>
  <c r="N2538" i="1"/>
  <c r="N15974" i="1"/>
  <c r="N2715" i="1"/>
  <c r="N2714" i="1"/>
  <c r="N7493" i="1"/>
  <c r="N7492" i="1"/>
  <c r="N7491" i="1"/>
  <c r="N7490" i="1"/>
  <c r="N3151" i="1"/>
  <c r="N3150" i="1"/>
  <c r="N18082" i="1"/>
  <c r="N11638" i="1"/>
  <c r="N22336" i="1"/>
  <c r="N22335" i="1"/>
  <c r="N22334" i="1"/>
  <c r="N18295" i="1"/>
  <c r="N13161" i="1"/>
  <c r="N19121" i="1"/>
  <c r="N3404" i="1"/>
  <c r="N3401" i="1"/>
  <c r="N15057" i="1"/>
  <c r="N4237" i="1"/>
  <c r="N18294" i="1"/>
  <c r="N12246" i="1"/>
  <c r="N12245" i="1"/>
  <c r="N18293" i="1"/>
  <c r="N18368" i="1"/>
  <c r="N25898" i="1"/>
  <c r="N18351" i="1"/>
  <c r="N18350" i="1"/>
  <c r="N25611" i="1"/>
  <c r="N9478" i="1"/>
  <c r="N15945" i="1"/>
  <c r="N5452" i="1"/>
  <c r="N15101" i="1"/>
  <c r="N1603" i="1"/>
  <c r="N24034" i="1"/>
  <c r="N17679" i="1"/>
  <c r="N25059" i="1"/>
  <c r="N19837" i="1"/>
  <c r="N16311" i="1"/>
  <c r="N3460" i="1"/>
  <c r="N7489" i="1"/>
  <c r="N7488" i="1"/>
  <c r="N7487" i="1"/>
  <c r="N7636" i="1"/>
  <c r="N7486" i="1"/>
  <c r="N7485" i="1"/>
  <c r="N7484" i="1"/>
  <c r="N7483" i="1"/>
  <c r="N7482" i="1"/>
  <c r="N22840" i="1"/>
  <c r="N11112" i="1"/>
  <c r="N7481" i="1"/>
  <c r="N7480" i="1"/>
  <c r="N7479" i="1"/>
  <c r="N7829" i="1"/>
  <c r="N7478" i="1"/>
  <c r="N7477" i="1"/>
  <c r="N7476" i="1"/>
  <c r="N7828" i="1"/>
  <c r="N7475" i="1"/>
  <c r="N7827" i="1"/>
  <c r="N7474" i="1"/>
  <c r="N7826" i="1"/>
  <c r="N7473" i="1"/>
  <c r="N5451" i="1"/>
  <c r="N7825" i="1"/>
  <c r="N7824" i="1"/>
  <c r="N7472" i="1"/>
  <c r="N7471" i="1"/>
  <c r="N7823" i="1"/>
  <c r="N7470" i="1"/>
  <c r="N9489" i="1"/>
  <c r="N24777" i="1"/>
  <c r="N24812" i="1"/>
  <c r="N11988" i="1"/>
  <c r="N17146" i="1"/>
  <c r="N17145" i="1"/>
  <c r="N17144" i="1"/>
  <c r="N1938" i="1"/>
  <c r="N17207" i="1"/>
  <c r="N17206" i="1"/>
  <c r="N7975" i="1"/>
  <c r="N10148" i="1"/>
  <c r="N10178" i="1"/>
  <c r="N10137" i="1"/>
  <c r="N9379" i="1"/>
  <c r="N9353" i="1"/>
  <c r="N2367" i="1"/>
  <c r="N2349" i="1"/>
  <c r="N12066" i="1"/>
  <c r="N12065" i="1"/>
  <c r="N3538" i="1"/>
  <c r="N17914" i="1"/>
  <c r="N8128" i="1"/>
  <c r="N2381" i="1"/>
  <c r="N25285" i="1"/>
  <c r="N8366" i="1"/>
  <c r="N19333" i="1"/>
  <c r="N13404" i="1"/>
  <c r="N18919" i="1"/>
  <c r="N15528" i="1"/>
  <c r="N4089" i="1"/>
  <c r="N23240" i="1"/>
  <c r="N23239" i="1"/>
  <c r="N23179" i="1"/>
  <c r="N23457" i="1"/>
  <c r="N23238" i="1"/>
  <c r="N23512" i="1"/>
  <c r="N23456" i="1"/>
  <c r="N14612" i="1"/>
  <c r="N14635" i="1"/>
  <c r="N8137" i="1"/>
  <c r="N23410" i="1"/>
  <c r="N23409" i="1"/>
  <c r="N23196" i="1"/>
  <c r="N23500" i="1"/>
  <c r="N23408" i="1"/>
  <c r="N23178" i="1"/>
  <c r="N23407" i="1"/>
  <c r="N23177" i="1"/>
  <c r="N17989" i="1"/>
  <c r="N14583" i="1"/>
  <c r="N12595" i="1"/>
  <c r="N4406" i="1"/>
  <c r="N3969" i="1"/>
  <c r="N4710" i="1"/>
  <c r="N4709" i="1"/>
  <c r="N1746" i="1"/>
  <c r="N4030" i="1"/>
  <c r="N3943" i="1"/>
  <c r="N3547" i="1"/>
  <c r="N11745" i="1"/>
  <c r="N4405" i="1"/>
  <c r="N12089" i="1"/>
  <c r="N1382" i="1"/>
  <c r="N1381" i="1"/>
  <c r="N1380" i="1"/>
  <c r="N1379" i="1"/>
  <c r="N4708" i="1"/>
  <c r="N15039" i="1"/>
  <c r="N4707" i="1"/>
  <c r="N4666" i="1"/>
  <c r="N4706" i="1"/>
  <c r="N12690" i="1"/>
  <c r="N12594" i="1"/>
  <c r="N24438" i="1"/>
  <c r="N24437" i="1"/>
  <c r="N14648" i="1"/>
  <c r="N24436" i="1"/>
  <c r="N11111" i="1"/>
  <c r="N24435" i="1"/>
  <c r="N1780" i="1"/>
  <c r="N16076" i="1"/>
  <c r="N23126" i="1"/>
  <c r="N24434" i="1"/>
  <c r="N24433" i="1"/>
  <c r="N9488" i="1"/>
  <c r="N24432" i="1"/>
  <c r="N24431" i="1"/>
  <c r="N15189" i="1"/>
  <c r="N1279" i="1"/>
  <c r="N12628" i="1"/>
  <c r="N24430" i="1"/>
  <c r="N12627" i="1"/>
  <c r="N13093" i="1"/>
  <c r="N14410" i="1"/>
  <c r="N14411" i="1"/>
  <c r="N6363" i="1"/>
  <c r="N8138" i="1"/>
  <c r="N13092" i="1"/>
  <c r="N13091" i="1"/>
  <c r="N15346" i="1"/>
  <c r="N13090" i="1"/>
  <c r="N12369" i="1"/>
  <c r="N10231" i="1"/>
  <c r="N10230" i="1"/>
  <c r="N25418" i="1"/>
  <c r="N15168" i="1"/>
  <c r="N15167" i="1"/>
  <c r="N15166" i="1"/>
  <c r="N15843" i="1"/>
  <c r="N6233" i="1"/>
  <c r="N13089" i="1"/>
  <c r="N13088" i="1"/>
  <c r="N13087" i="1"/>
  <c r="N13086" i="1"/>
  <c r="N4236" i="1"/>
  <c r="N5185" i="1"/>
  <c r="N5183" i="1"/>
  <c r="N5189" i="1"/>
  <c r="N24726" i="1"/>
  <c r="N24725" i="1"/>
  <c r="N24724" i="1"/>
  <c r="N24723" i="1"/>
  <c r="N1879" i="1"/>
  <c r="N15755" i="1"/>
  <c r="N15792" i="1"/>
  <c r="N15754" i="1"/>
  <c r="N15791" i="1"/>
  <c r="N1231" i="1"/>
  <c r="N11110" i="1"/>
  <c r="N12490" i="1"/>
  <c r="N10198" i="1"/>
  <c r="N10197" i="1"/>
  <c r="N10229" i="1"/>
  <c r="N10228" i="1"/>
  <c r="N10227" i="1"/>
  <c r="N10226" i="1"/>
  <c r="N10225" i="1"/>
  <c r="N124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4957" i="1"/>
  <c r="N13085" i="1"/>
  <c r="N13084" i="1"/>
  <c r="N19587" i="1"/>
  <c r="N16393" i="1"/>
  <c r="N12368" i="1"/>
  <c r="N15165" i="1"/>
  <c r="N15164" i="1"/>
  <c r="N15163" i="1"/>
  <c r="N8455" i="1"/>
  <c r="N12025" i="1"/>
  <c r="N10563" i="1"/>
  <c r="N8454" i="1"/>
  <c r="N12037" i="1"/>
  <c r="N10649" i="1"/>
  <c r="N2713" i="1"/>
  <c r="N24603" i="1"/>
  <c r="N3417" i="1"/>
  <c r="N3416" i="1"/>
  <c r="N4630" i="1"/>
  <c r="N4625" i="1"/>
  <c r="N4629" i="1"/>
  <c r="N12445" i="1"/>
  <c r="N12444" i="1"/>
  <c r="N12443" i="1"/>
  <c r="N12442" i="1"/>
  <c r="N6667" i="1"/>
  <c r="N8912" i="1"/>
  <c r="N5996" i="1"/>
  <c r="N5995" i="1"/>
  <c r="N5994" i="1"/>
  <c r="N5993" i="1"/>
  <c r="N5992" i="1"/>
  <c r="N9378" i="1"/>
  <c r="N9377" i="1"/>
  <c r="N15234" i="1"/>
  <c r="N15233" i="1"/>
  <c r="N15232" i="1"/>
  <c r="N15231" i="1"/>
  <c r="N15230" i="1"/>
  <c r="N15229" i="1"/>
  <c r="N15228" i="1"/>
  <c r="N15227" i="1"/>
  <c r="N12689" i="1"/>
  <c r="N16310" i="1"/>
  <c r="N3112" i="1"/>
  <c r="N12530" i="1"/>
  <c r="N12188" i="1"/>
  <c r="N4029" i="1"/>
  <c r="N10108" i="1"/>
  <c r="N22333" i="1"/>
  <c r="N22332" i="1"/>
  <c r="N22331" i="1"/>
  <c r="N14011" i="1"/>
  <c r="N22839" i="1"/>
  <c r="N22838" i="1"/>
  <c r="N22837" i="1"/>
  <c r="N14830" i="1"/>
  <c r="N11939" i="1"/>
  <c r="N1486" i="1"/>
  <c r="N1485" i="1"/>
  <c r="N1484" i="1"/>
  <c r="N15003" i="1"/>
  <c r="N14992" i="1"/>
  <c r="N19473" i="1"/>
  <c r="N19460" i="1"/>
  <c r="N23125" i="1"/>
  <c r="N1145" i="1"/>
  <c r="N18406" i="1"/>
  <c r="N15489" i="1"/>
  <c r="N15516" i="1"/>
  <c r="N15515" i="1"/>
  <c r="N15514" i="1"/>
  <c r="N15513" i="1"/>
  <c r="N15512" i="1"/>
  <c r="N15488" i="1"/>
  <c r="N15487" i="1"/>
  <c r="N15486" i="1"/>
  <c r="N15511" i="1"/>
  <c r="N15485" i="1"/>
  <c r="N12398" i="1"/>
  <c r="N12397" i="1"/>
  <c r="N10581" i="1"/>
  <c r="N15746" i="1"/>
  <c r="N11109" i="1"/>
  <c r="N14829" i="1"/>
  <c r="N14828" i="1"/>
  <c r="N14827" i="1"/>
  <c r="N14826" i="1"/>
  <c r="N14825" i="1"/>
  <c r="N14824" i="1"/>
  <c r="N14823" i="1"/>
  <c r="N14822" i="1"/>
  <c r="N14821" i="1"/>
  <c r="N14820" i="1"/>
  <c r="N14819" i="1"/>
  <c r="N14818" i="1"/>
  <c r="N14817" i="1"/>
  <c r="N24818" i="1"/>
  <c r="N1144" i="1"/>
  <c r="N14010" i="1"/>
  <c r="N14009" i="1"/>
  <c r="N1898" i="1"/>
  <c r="N22330" i="1"/>
  <c r="N22329" i="1"/>
  <c r="N22328" i="1"/>
  <c r="N22327" i="1"/>
  <c r="N22326" i="1"/>
  <c r="N22325" i="1"/>
  <c r="N22324" i="1"/>
  <c r="N22323" i="1"/>
  <c r="N22322" i="1"/>
  <c r="N22321" i="1"/>
  <c r="N22320" i="1"/>
  <c r="N22319" i="1"/>
  <c r="N22318" i="1"/>
  <c r="N22317" i="1"/>
  <c r="N22316" i="1"/>
  <c r="N22315" i="1"/>
  <c r="N22314" i="1"/>
  <c r="N22313" i="1"/>
  <c r="N22312" i="1"/>
  <c r="N12016" i="1"/>
  <c r="N5991" i="1"/>
  <c r="N5990" i="1"/>
  <c r="N5989" i="1"/>
  <c r="N10642" i="1"/>
  <c r="N5988" i="1"/>
  <c r="N5987" i="1"/>
  <c r="N5986" i="1"/>
  <c r="N9063" i="1"/>
  <c r="N5450" i="1"/>
  <c r="N23406" i="1"/>
  <c r="N17205" i="1"/>
  <c r="N17204" i="1"/>
  <c r="N23049" i="1"/>
  <c r="N3171" i="1"/>
  <c r="N24855" i="1"/>
  <c r="N25697" i="1"/>
  <c r="N24863" i="1"/>
  <c r="N2848" i="1"/>
  <c r="N5449" i="1"/>
  <c r="N12148" i="1"/>
  <c r="N18918" i="1"/>
  <c r="N22836" i="1"/>
  <c r="N22835" i="1"/>
  <c r="N22834" i="1"/>
  <c r="N8136" i="1"/>
  <c r="N14573" i="1"/>
  <c r="N3474" i="1"/>
  <c r="N22311" i="1"/>
  <c r="N22310" i="1"/>
  <c r="N22309" i="1"/>
  <c r="N22308" i="1"/>
  <c r="N1483" i="1"/>
  <c r="N11263" i="1"/>
  <c r="N15079" i="1"/>
  <c r="N15078" i="1"/>
  <c r="N23860" i="1"/>
  <c r="N23859" i="1"/>
  <c r="N19659" i="1"/>
  <c r="N16640" i="1"/>
  <c r="N24862" i="1"/>
  <c r="N25344" i="1"/>
  <c r="N9436" i="1"/>
  <c r="N2712" i="1"/>
  <c r="N15836" i="1"/>
  <c r="N8324" i="1"/>
  <c r="N12626" i="1"/>
  <c r="N12625" i="1"/>
  <c r="N18541" i="1"/>
  <c r="N15944" i="1"/>
  <c r="N25897" i="1"/>
  <c r="N6683" i="1"/>
  <c r="N3053" i="1"/>
  <c r="N3052" i="1"/>
  <c r="N7822" i="1"/>
  <c r="N7457" i="1"/>
  <c r="N22307" i="1"/>
  <c r="N22306" i="1"/>
  <c r="N22305" i="1"/>
  <c r="N22304" i="1"/>
  <c r="N22303" i="1"/>
  <c r="N22302" i="1"/>
  <c r="N22301" i="1"/>
  <c r="N22300" i="1"/>
  <c r="N22299" i="1"/>
  <c r="N22298" i="1"/>
  <c r="N22297" i="1"/>
  <c r="N22296" i="1"/>
  <c r="N22295" i="1"/>
  <c r="N22294" i="1"/>
  <c r="N22293" i="1"/>
  <c r="N22292" i="1"/>
  <c r="N22291" i="1"/>
  <c r="N22290" i="1"/>
  <c r="N22289" i="1"/>
  <c r="N22288" i="1"/>
  <c r="N22287" i="1"/>
  <c r="N22286" i="1"/>
  <c r="N22285" i="1"/>
  <c r="N22284" i="1"/>
  <c r="N22283" i="1"/>
  <c r="N22282" i="1"/>
  <c r="N3051" i="1"/>
  <c r="N19046" i="1"/>
  <c r="N5448" i="1"/>
  <c r="N11118" i="1"/>
  <c r="N1822" i="1"/>
  <c r="N1561" i="1"/>
  <c r="N1560" i="1"/>
  <c r="N1429" i="1"/>
  <c r="N4934" i="1"/>
  <c r="N16309" i="1"/>
  <c r="N16298" i="1"/>
  <c r="N13551" i="1"/>
  <c r="N13550" i="1"/>
  <c r="N14664" i="1"/>
  <c r="N14663" i="1"/>
  <c r="N18524" i="1"/>
  <c r="N25896" i="1"/>
  <c r="N2711" i="1"/>
  <c r="N11247" i="1"/>
  <c r="N5985" i="1"/>
  <c r="N5984" i="1"/>
  <c r="N5983" i="1"/>
  <c r="N5982" i="1"/>
  <c r="N5981" i="1"/>
  <c r="N11246" i="1"/>
  <c r="N11637" i="1"/>
  <c r="N11245" i="1"/>
  <c r="N11636" i="1"/>
  <c r="N14933" i="1"/>
  <c r="N22281" i="1"/>
  <c r="N22280" i="1"/>
  <c r="N22279" i="1"/>
  <c r="N22278" i="1"/>
  <c r="N22277" i="1"/>
  <c r="N22276" i="1"/>
  <c r="N22275" i="1"/>
  <c r="N22274" i="1"/>
  <c r="N22273" i="1"/>
  <c r="N22272" i="1"/>
  <c r="N22271" i="1"/>
  <c r="N22270" i="1"/>
  <c r="N22269" i="1"/>
  <c r="N22268" i="1"/>
  <c r="N22267" i="1"/>
  <c r="N22266" i="1"/>
  <c r="N22265" i="1"/>
  <c r="N22264" i="1"/>
  <c r="N22263" i="1"/>
  <c r="N22262" i="1"/>
  <c r="N22261" i="1"/>
  <c r="N22260" i="1"/>
  <c r="N22259" i="1"/>
  <c r="N22258" i="1"/>
  <c r="N22257" i="1"/>
  <c r="N22256" i="1"/>
  <c r="N22255" i="1"/>
  <c r="N5980" i="1"/>
  <c r="N5979" i="1"/>
  <c r="N11244" i="1"/>
  <c r="N11635" i="1"/>
  <c r="N3050" i="1"/>
  <c r="N3049" i="1"/>
  <c r="N3048" i="1"/>
  <c r="N3047" i="1"/>
  <c r="N3046" i="1"/>
  <c r="N3045" i="1"/>
  <c r="N5978" i="1"/>
  <c r="N5977" i="1"/>
  <c r="N5976" i="1"/>
  <c r="N5975" i="1"/>
  <c r="N5974" i="1"/>
  <c r="N11243" i="1"/>
  <c r="N11634" i="1"/>
  <c r="N3044" i="1"/>
  <c r="N3043" i="1"/>
  <c r="N3042" i="1"/>
  <c r="N8911" i="1"/>
  <c r="N15943" i="1"/>
  <c r="N14596" i="1"/>
  <c r="N3947" i="1"/>
  <c r="N4239" i="1"/>
  <c r="N13152" i="1"/>
  <c r="N13151" i="1"/>
  <c r="N3375" i="1"/>
  <c r="N11633" i="1"/>
  <c r="N11632" i="1"/>
  <c r="N11631" i="1"/>
  <c r="N24614" i="1"/>
  <c r="N17880" i="1"/>
  <c r="N14342" i="1"/>
  <c r="N14341" i="1"/>
  <c r="N14340" i="1"/>
  <c r="N9527" i="1"/>
  <c r="N3751" i="1"/>
  <c r="N3750" i="1"/>
  <c r="N14396" i="1"/>
  <c r="N14395" i="1"/>
  <c r="N19275" i="1"/>
  <c r="N23785" i="1"/>
  <c r="N11151" i="1"/>
  <c r="N4956" i="1"/>
  <c r="N2405" i="1"/>
  <c r="N8323" i="1"/>
  <c r="N14008" i="1"/>
  <c r="N14007" i="1"/>
  <c r="N15303" i="1"/>
  <c r="N5447" i="1"/>
  <c r="N11888" i="1"/>
  <c r="N25895" i="1"/>
  <c r="N2710" i="1"/>
  <c r="N18917" i="1"/>
  <c r="N18916" i="1"/>
  <c r="N2709" i="1"/>
  <c r="N2708" i="1"/>
  <c r="N25058" i="1"/>
  <c r="N25057" i="1"/>
  <c r="N25056" i="1"/>
  <c r="N25055" i="1"/>
  <c r="N25054" i="1"/>
  <c r="N25053" i="1"/>
  <c r="N25052" i="1"/>
  <c r="N25051" i="1"/>
  <c r="N25050" i="1"/>
  <c r="N25049" i="1"/>
  <c r="N25048" i="1"/>
  <c r="N25047" i="1"/>
  <c r="N25046" i="1"/>
  <c r="N25045" i="1"/>
  <c r="N25044" i="1"/>
  <c r="N25043" i="1"/>
  <c r="N25042" i="1"/>
  <c r="N25610" i="1"/>
  <c r="N22833" i="1"/>
  <c r="N6705" i="1"/>
  <c r="N2487" i="1"/>
  <c r="N2486" i="1"/>
  <c r="N10352" i="1"/>
  <c r="N10346" i="1"/>
  <c r="N11630" i="1"/>
  <c r="N1935" i="1"/>
  <c r="N18070" i="1"/>
  <c r="N18069" i="1"/>
  <c r="N18055" i="1"/>
  <c r="N23583" i="1"/>
  <c r="N24746" i="1"/>
  <c r="N3149" i="1"/>
  <c r="N11629" i="1"/>
  <c r="N24580" i="1"/>
  <c r="N24579" i="1"/>
  <c r="N24578" i="1"/>
  <c r="N24577" i="1"/>
  <c r="N24576" i="1"/>
  <c r="N24575" i="1"/>
  <c r="N24574" i="1"/>
  <c r="N24573" i="1"/>
  <c r="N24572" i="1"/>
  <c r="N24571" i="1"/>
  <c r="N8322" i="1"/>
  <c r="N8321" i="1"/>
  <c r="N5446" i="1"/>
  <c r="N22254" i="1"/>
  <c r="N22253" i="1"/>
  <c r="N22252" i="1"/>
  <c r="N22251" i="1"/>
  <c r="N22250" i="1"/>
  <c r="N22249" i="1"/>
  <c r="N22248" i="1"/>
  <c r="N22247" i="1"/>
  <c r="N22246" i="1"/>
  <c r="N22245" i="1"/>
  <c r="N22244" i="1"/>
  <c r="N22243" i="1"/>
  <c r="N22242" i="1"/>
  <c r="N22241" i="1"/>
  <c r="N22240" i="1"/>
  <c r="N22239" i="1"/>
  <c r="N22238" i="1"/>
  <c r="N22237" i="1"/>
  <c r="N22236" i="1"/>
  <c r="N22235" i="1"/>
  <c r="N22234" i="1"/>
  <c r="N3358" i="1"/>
  <c r="N9028" i="1"/>
  <c r="N6856" i="1"/>
  <c r="N23629" i="1"/>
  <c r="N9027" i="1"/>
  <c r="N8453" i="1"/>
  <c r="N13257" i="1"/>
  <c r="N13260" i="1"/>
  <c r="N13256" i="1"/>
  <c r="N13259" i="1"/>
  <c r="N16268" i="1"/>
  <c r="N16646" i="1"/>
  <c r="N14639" i="1"/>
  <c r="N14394" i="1"/>
  <c r="N6697" i="1"/>
  <c r="N12624" i="1"/>
  <c r="N15572" i="1"/>
  <c r="N13454" i="1"/>
  <c r="N13453" i="1"/>
  <c r="N13452" i="1"/>
  <c r="N4464" i="1"/>
  <c r="N4463" i="1"/>
  <c r="N14393" i="1"/>
  <c r="N13451" i="1"/>
  <c r="N13450" i="1"/>
  <c r="N6647" i="1"/>
  <c r="N11830" i="1"/>
  <c r="N11829" i="1"/>
  <c r="N11828" i="1"/>
  <c r="N11827" i="1"/>
  <c r="N11826" i="1"/>
  <c r="N14343" i="1"/>
  <c r="N15898" i="1"/>
  <c r="N9061" i="1"/>
  <c r="N12623" i="1"/>
  <c r="N23405" i="1"/>
  <c r="N23237" i="1"/>
  <c r="N23236" i="1"/>
  <c r="N23404" i="1"/>
  <c r="N23496" i="1"/>
  <c r="N23524" i="1"/>
  <c r="N23403" i="1"/>
  <c r="N23402" i="1"/>
  <c r="N19824" i="1"/>
  <c r="N19822" i="1"/>
  <c r="N24800" i="1"/>
  <c r="N11186" i="1"/>
  <c r="N25609" i="1"/>
  <c r="N14480" i="1"/>
  <c r="N23617" i="1"/>
  <c r="N23616" i="1"/>
  <c r="N11914" i="1"/>
  <c r="N11913" i="1"/>
  <c r="N17985" i="1"/>
  <c r="N12282" i="1"/>
  <c r="N16521" i="1"/>
  <c r="N15353" i="1"/>
  <c r="N12396" i="1"/>
  <c r="N12395" i="1"/>
  <c r="N11628" i="1"/>
  <c r="N11627" i="1"/>
  <c r="N11626" i="1"/>
  <c r="N11625" i="1"/>
  <c r="N11624" i="1"/>
  <c r="N12147" i="1"/>
  <c r="N25041" i="1"/>
  <c r="N25040" i="1"/>
  <c r="N2847" i="1"/>
  <c r="N25696" i="1"/>
  <c r="N25343" i="1"/>
  <c r="N11623" i="1"/>
  <c r="N14006" i="1"/>
  <c r="N14005" i="1"/>
  <c r="N11622" i="1"/>
  <c r="N2516" i="1"/>
  <c r="N2515" i="1"/>
  <c r="N13291" i="1"/>
  <c r="N13290" i="1"/>
  <c r="N13289" i="1"/>
  <c r="N6658" i="1"/>
  <c r="N25039" i="1"/>
  <c r="N8320" i="1"/>
  <c r="N8319" i="1"/>
  <c r="N25038" i="1"/>
  <c r="N25037" i="1"/>
  <c r="N25036" i="1"/>
  <c r="N25035" i="1"/>
  <c r="N25034" i="1"/>
  <c r="N25033" i="1"/>
  <c r="N25032" i="1"/>
  <c r="N25031" i="1"/>
  <c r="N25030" i="1"/>
  <c r="N25029" i="1"/>
  <c r="N25028" i="1"/>
  <c r="N25027" i="1"/>
  <c r="N2707" i="1"/>
  <c r="N12146" i="1"/>
  <c r="N2706" i="1"/>
  <c r="N8365" i="1"/>
  <c r="N23091" i="1"/>
  <c r="N25608" i="1"/>
  <c r="N25607" i="1"/>
  <c r="N5445" i="1"/>
  <c r="N2774" i="1"/>
  <c r="N14357" i="1"/>
  <c r="N25342" i="1"/>
  <c r="N8910" i="1"/>
  <c r="N8909" i="1"/>
  <c r="N8908" i="1"/>
  <c r="N8907" i="1"/>
  <c r="N8906" i="1"/>
  <c r="N8905" i="1"/>
  <c r="N8904" i="1"/>
  <c r="N8903" i="1"/>
  <c r="N8902" i="1"/>
  <c r="N18084" i="1"/>
  <c r="N8318" i="1"/>
  <c r="N15987" i="1"/>
  <c r="N22233" i="1"/>
  <c r="N22232" i="1"/>
  <c r="N22231" i="1"/>
  <c r="N22230" i="1"/>
  <c r="N22229" i="1"/>
  <c r="N22228" i="1"/>
  <c r="N22227" i="1"/>
  <c r="N22226" i="1"/>
  <c r="N22225" i="1"/>
  <c r="N22224" i="1"/>
  <c r="N22223" i="1"/>
  <c r="N22222" i="1"/>
  <c r="N22221" i="1"/>
  <c r="N22220" i="1"/>
  <c r="N22219" i="1"/>
  <c r="N22218" i="1"/>
  <c r="N22217" i="1"/>
  <c r="N22216" i="1"/>
  <c r="N22215" i="1"/>
  <c r="N22214" i="1"/>
  <c r="N22213" i="1"/>
  <c r="N22212" i="1"/>
  <c r="N18915" i="1"/>
  <c r="N22211" i="1"/>
  <c r="N22210" i="1"/>
  <c r="N22209" i="1"/>
  <c r="N22208" i="1"/>
  <c r="N22207" i="1"/>
  <c r="N22206" i="1"/>
  <c r="N5973" i="1"/>
  <c r="N22205" i="1"/>
  <c r="N22204" i="1"/>
  <c r="N22203" i="1"/>
  <c r="N22202" i="1"/>
  <c r="N22201" i="1"/>
  <c r="N22200" i="1"/>
  <c r="N22199" i="1"/>
  <c r="N22198" i="1"/>
  <c r="N22197" i="1"/>
  <c r="N22196" i="1"/>
  <c r="N22195" i="1"/>
  <c r="N22194" i="1"/>
  <c r="N5972" i="1"/>
  <c r="N8901" i="1"/>
  <c r="N8900" i="1"/>
  <c r="N8899" i="1"/>
  <c r="N8452" i="1"/>
  <c r="N8451" i="1"/>
  <c r="N8898" i="1"/>
  <c r="N8897" i="1"/>
  <c r="N5971" i="1"/>
  <c r="N19432" i="1"/>
  <c r="N19431" i="1"/>
  <c r="N5970" i="1"/>
  <c r="N5969" i="1"/>
  <c r="N8896" i="1"/>
  <c r="N8895" i="1"/>
  <c r="N8894" i="1"/>
  <c r="N8893" i="1"/>
  <c r="N8892" i="1"/>
  <c r="N8450" i="1"/>
  <c r="N8891" i="1"/>
  <c r="N8449" i="1"/>
  <c r="N8890" i="1"/>
  <c r="N8889" i="1"/>
  <c r="N8888" i="1"/>
  <c r="N15942" i="1"/>
  <c r="N3782" i="1"/>
  <c r="N5968" i="1"/>
  <c r="N5967" i="1"/>
  <c r="N5966" i="1"/>
  <c r="N5965" i="1"/>
  <c r="N5964" i="1"/>
  <c r="N25341" i="1"/>
  <c r="N18914" i="1"/>
  <c r="N18913" i="1"/>
  <c r="N18912" i="1"/>
  <c r="N18911" i="1"/>
  <c r="N5963" i="1"/>
  <c r="N5962" i="1"/>
  <c r="N5961" i="1"/>
  <c r="N5960" i="1"/>
  <c r="N5959" i="1"/>
  <c r="N5958" i="1"/>
  <c r="N5957" i="1"/>
  <c r="N5956" i="1"/>
  <c r="N5955" i="1"/>
  <c r="N5954" i="1"/>
  <c r="N5953" i="1"/>
  <c r="N4489" i="1"/>
  <c r="N8887" i="1"/>
  <c r="N23857" i="1"/>
  <c r="N8886" i="1"/>
  <c r="N10631" i="1"/>
  <c r="N10630" i="1"/>
  <c r="N10629" i="1"/>
  <c r="N8885" i="1"/>
  <c r="N8448" i="1"/>
  <c r="N8884" i="1"/>
  <c r="N8883" i="1"/>
  <c r="N8882" i="1"/>
  <c r="N18910" i="1"/>
  <c r="N8447" i="1"/>
  <c r="N15595" i="1"/>
  <c r="N15601" i="1"/>
  <c r="N8446" i="1"/>
  <c r="N10628" i="1"/>
  <c r="N10627" i="1"/>
  <c r="N10626" i="1"/>
  <c r="N8881" i="1"/>
  <c r="N14855" i="1"/>
  <c r="N8880" i="1"/>
  <c r="N16019" i="1"/>
  <c r="N8879" i="1"/>
  <c r="N8878" i="1"/>
  <c r="N8445" i="1"/>
  <c r="N16018" i="1"/>
  <c r="N8877" i="1"/>
  <c r="N10632" i="1"/>
  <c r="N10625" i="1"/>
  <c r="N10624" i="1"/>
  <c r="N10623" i="1"/>
  <c r="N10622" i="1"/>
  <c r="N10621" i="1"/>
  <c r="N10620" i="1"/>
  <c r="N8876" i="1"/>
  <c r="N8444" i="1"/>
  <c r="N18506" i="1"/>
  <c r="N8875" i="1"/>
  <c r="N16597" i="1"/>
  <c r="N16609" i="1"/>
  <c r="N11146" i="1"/>
  <c r="N1925" i="1"/>
  <c r="N15009" i="1"/>
  <c r="N3233" i="1"/>
  <c r="N3232" i="1"/>
  <c r="N3231" i="1"/>
  <c r="N3230" i="1"/>
  <c r="N3229" i="1"/>
  <c r="N11179" i="1"/>
  <c r="N11178" i="1"/>
  <c r="N25984" i="1"/>
  <c r="N25975" i="1"/>
  <c r="N25982" i="1"/>
  <c r="N25983" i="1"/>
  <c r="N25974" i="1"/>
  <c r="N25981" i="1"/>
  <c r="N23702" i="1"/>
  <c r="N23699" i="1"/>
  <c r="N2135" i="1"/>
  <c r="N2514" i="1"/>
  <c r="N14367" i="1"/>
  <c r="N14366" i="1"/>
  <c r="N11108" i="1"/>
  <c r="N11177" i="1"/>
  <c r="N15604" i="1"/>
  <c r="N15603" i="1"/>
  <c r="N11176" i="1"/>
  <c r="N1590" i="1"/>
  <c r="N1378" i="1"/>
  <c r="N14686" i="1"/>
  <c r="N7456" i="1"/>
  <c r="N7455" i="1"/>
  <c r="N7454" i="1"/>
  <c r="N7453" i="1"/>
  <c r="N7452" i="1"/>
  <c r="N10916" i="1"/>
  <c r="N19430" i="1"/>
  <c r="N19429" i="1"/>
  <c r="N12301" i="1"/>
  <c r="N12475" i="1"/>
  <c r="N24429" i="1"/>
  <c r="N24483" i="1"/>
  <c r="N24346" i="1"/>
  <c r="N3925" i="1"/>
  <c r="N3924" i="1"/>
  <c r="N3923" i="1"/>
  <c r="N10224" i="1"/>
  <c r="N10223" i="1"/>
  <c r="N10222" i="1"/>
  <c r="N19428" i="1"/>
  <c r="N19427" i="1"/>
  <c r="N19426" i="1"/>
  <c r="N1407" i="1"/>
  <c r="N16293" i="1"/>
  <c r="N12064" i="1"/>
  <c r="N12029" i="1"/>
  <c r="N23723" i="1"/>
  <c r="N23722" i="1"/>
  <c r="N18292" i="1"/>
  <c r="N16267" i="1"/>
  <c r="N16266" i="1"/>
  <c r="N18291" i="1"/>
  <c r="N18290" i="1"/>
  <c r="N3723" i="1"/>
  <c r="N3722" i="1"/>
  <c r="N3721" i="1"/>
  <c r="N3720" i="1"/>
  <c r="N3719" i="1"/>
  <c r="N3718" i="1"/>
  <c r="N18289" i="1"/>
  <c r="N11050" i="1"/>
  <c r="N3100" i="1"/>
  <c r="N19629" i="1"/>
  <c r="N19628" i="1"/>
  <c r="N23064" i="1"/>
  <c r="N23063" i="1"/>
  <c r="N12320" i="1"/>
  <c r="N24474" i="1"/>
  <c r="N23062" i="1"/>
  <c r="N23061" i="1"/>
  <c r="N6488" i="1"/>
  <c r="N19627" i="1"/>
  <c r="N19626" i="1"/>
  <c r="N3228" i="1"/>
  <c r="N1530" i="1"/>
  <c r="N1529" i="1"/>
  <c r="N24178" i="1"/>
  <c r="N24206" i="1"/>
  <c r="N24177" i="1"/>
  <c r="N24205" i="1"/>
  <c r="N24176" i="1"/>
  <c r="N24204" i="1"/>
  <c r="N24175" i="1"/>
  <c r="N24203" i="1"/>
  <c r="N4258" i="1"/>
  <c r="N4248" i="1"/>
  <c r="N10540" i="1"/>
  <c r="N10539" i="1"/>
  <c r="N10538" i="1"/>
  <c r="N10537" i="1"/>
  <c r="N24428" i="1"/>
  <c r="N9265" i="1"/>
  <c r="N7907" i="1"/>
  <c r="N8022" i="1"/>
  <c r="N24427" i="1"/>
  <c r="N9264" i="1"/>
  <c r="N9263" i="1"/>
  <c r="N9262" i="1"/>
  <c r="N9261" i="1"/>
  <c r="N24426" i="1"/>
  <c r="N24425" i="1"/>
  <c r="N10454" i="1"/>
  <c r="N10453" i="1"/>
  <c r="N6133" i="1"/>
  <c r="N9260" i="1"/>
  <c r="N10536" i="1"/>
  <c r="N10535" i="1"/>
  <c r="N24473" i="1"/>
  <c r="N14816" i="1"/>
  <c r="N9194" i="1"/>
  <c r="N13748" i="1"/>
  <c r="N13747" i="1"/>
  <c r="N13781" i="1"/>
  <c r="N13681" i="1"/>
  <c r="N13746" i="1"/>
  <c r="N13794" i="1"/>
  <c r="N13780" i="1"/>
  <c r="N1745" i="1"/>
  <c r="N13745" i="1"/>
  <c r="N13744" i="1"/>
  <c r="N13743" i="1"/>
  <c r="N13742" i="1"/>
  <c r="N13741" i="1"/>
  <c r="N9193" i="1"/>
  <c r="N9192" i="1"/>
  <c r="N9191" i="1"/>
  <c r="N9190" i="1"/>
  <c r="N9189" i="1"/>
  <c r="N9188" i="1"/>
  <c r="N9187" i="1"/>
  <c r="N9186" i="1"/>
  <c r="N10115" i="1"/>
  <c r="N10188" i="1"/>
  <c r="N10150" i="1"/>
  <c r="N10176" i="1"/>
  <c r="N10175" i="1"/>
  <c r="N12024" i="1"/>
  <c r="N6232" i="1"/>
  <c r="N13083" i="1"/>
  <c r="N15633" i="1"/>
  <c r="N15632" i="1"/>
  <c r="N15631" i="1"/>
  <c r="N13519" i="1"/>
  <c r="N12474" i="1"/>
  <c r="N3643" i="1"/>
  <c r="N3642" i="1"/>
  <c r="N11770" i="1"/>
  <c r="N11771" i="1"/>
  <c r="N12023" i="1"/>
  <c r="N12562" i="1"/>
  <c r="N23789" i="1"/>
  <c r="N23784" i="1"/>
  <c r="N25894" i="1"/>
  <c r="N11107" i="1"/>
  <c r="N11621" i="1"/>
  <c r="N11620" i="1"/>
  <c r="N11619" i="1"/>
  <c r="N11618" i="1"/>
  <c r="N11617" i="1"/>
  <c r="N6602" i="1"/>
  <c r="N6601" i="1"/>
  <c r="N6534" i="1"/>
  <c r="N6600" i="1"/>
  <c r="N6599" i="1"/>
  <c r="N3041" i="1"/>
  <c r="N5952" i="1"/>
  <c r="N1445" i="1"/>
  <c r="N1444" i="1"/>
  <c r="N1446" i="1"/>
  <c r="N3327" i="1"/>
  <c r="N23683" i="1"/>
  <c r="N1130" i="1"/>
  <c r="N24072" i="1"/>
  <c r="N24071" i="1"/>
  <c r="N24070" i="1"/>
  <c r="N24069" i="1"/>
  <c r="N24068" i="1"/>
  <c r="N24067" i="1"/>
  <c r="N24066" i="1"/>
  <c r="N18909" i="1"/>
  <c r="N18908" i="1"/>
  <c r="N18907" i="1"/>
  <c r="N18906" i="1"/>
  <c r="N19126" i="1"/>
  <c r="N25893" i="1"/>
  <c r="N22193" i="1"/>
  <c r="N22192" i="1"/>
  <c r="N22191" i="1"/>
  <c r="N22190" i="1"/>
  <c r="N22189" i="1"/>
  <c r="N22188" i="1"/>
  <c r="N22187" i="1"/>
  <c r="N22186" i="1"/>
  <c r="N22185" i="1"/>
  <c r="N22184" i="1"/>
  <c r="N22183" i="1"/>
  <c r="N22182" i="1"/>
  <c r="N22181" i="1"/>
  <c r="N22180" i="1"/>
  <c r="N22179" i="1"/>
  <c r="N22178" i="1"/>
  <c r="N22177" i="1"/>
  <c r="N22176" i="1"/>
  <c r="N22175" i="1"/>
  <c r="N22174" i="1"/>
  <c r="N22173" i="1"/>
  <c r="N22172" i="1"/>
  <c r="N22171" i="1"/>
  <c r="N22170" i="1"/>
  <c r="N22169" i="1"/>
  <c r="N22168" i="1"/>
  <c r="N22167" i="1"/>
  <c r="N22166" i="1"/>
  <c r="N22165" i="1"/>
  <c r="N22164" i="1"/>
  <c r="N22163" i="1"/>
  <c r="N22162" i="1"/>
  <c r="N22161" i="1"/>
  <c r="N22160" i="1"/>
  <c r="N22159" i="1"/>
  <c r="N22158" i="1"/>
  <c r="N22157" i="1"/>
  <c r="N2846" i="1"/>
  <c r="N1878" i="1"/>
  <c r="N2537" i="1"/>
  <c r="N25606" i="1"/>
  <c r="N11938" i="1"/>
  <c r="N6642" i="1"/>
  <c r="N5951" i="1"/>
  <c r="N22156" i="1"/>
  <c r="N22155" i="1"/>
  <c r="N22154" i="1"/>
  <c r="N22153" i="1"/>
  <c r="N22152" i="1"/>
  <c r="N22151" i="1"/>
  <c r="N22150" i="1"/>
  <c r="N22149" i="1"/>
  <c r="N22148" i="1"/>
  <c r="N22147" i="1"/>
  <c r="N22146" i="1"/>
  <c r="N22145" i="1"/>
  <c r="N22144" i="1"/>
  <c r="N22143" i="1"/>
  <c r="N22142" i="1"/>
  <c r="N22141" i="1"/>
  <c r="N22140" i="1"/>
  <c r="N22139" i="1"/>
  <c r="N22138" i="1"/>
  <c r="N22137" i="1"/>
  <c r="N22136" i="1"/>
  <c r="N22135" i="1"/>
  <c r="N22134" i="1"/>
  <c r="N22133" i="1"/>
  <c r="N22132" i="1"/>
  <c r="N22131" i="1"/>
  <c r="N22130" i="1"/>
  <c r="N22129" i="1"/>
  <c r="N22128" i="1"/>
  <c r="N22127" i="1"/>
  <c r="N22126" i="1"/>
  <c r="N22125" i="1"/>
  <c r="N22124" i="1"/>
  <c r="N22123" i="1"/>
  <c r="N22122" i="1"/>
  <c r="N22121" i="1"/>
  <c r="N22120" i="1"/>
  <c r="N22119" i="1"/>
  <c r="N22118" i="1"/>
  <c r="N22117" i="1"/>
  <c r="N22116" i="1"/>
  <c r="N22115" i="1"/>
  <c r="N22114" i="1"/>
  <c r="N22113" i="1"/>
  <c r="N22112" i="1"/>
  <c r="N22111" i="1"/>
  <c r="N22110" i="1"/>
  <c r="N22109" i="1"/>
  <c r="N22108" i="1"/>
  <c r="N22107" i="1"/>
  <c r="N22106" i="1"/>
  <c r="N22105" i="1"/>
  <c r="N22104" i="1"/>
  <c r="N22103" i="1"/>
  <c r="N22102" i="1"/>
  <c r="N22101" i="1"/>
  <c r="N22100" i="1"/>
  <c r="N22099" i="1"/>
  <c r="N22098" i="1"/>
  <c r="N22097" i="1"/>
  <c r="N22096" i="1"/>
  <c r="N22095" i="1"/>
  <c r="N22094" i="1"/>
  <c r="N22093" i="1"/>
  <c r="N22092" i="1"/>
  <c r="N22091" i="1"/>
  <c r="N22090" i="1"/>
  <c r="N22089" i="1"/>
  <c r="N2705" i="1"/>
  <c r="N2704" i="1"/>
  <c r="N5176" i="1"/>
  <c r="N5175" i="1"/>
  <c r="N5174" i="1"/>
  <c r="N9907" i="1"/>
  <c r="N9619" i="1"/>
  <c r="N25605" i="1"/>
  <c r="N5444" i="1"/>
  <c r="N5443" i="1"/>
  <c r="N8317" i="1"/>
  <c r="N9906" i="1"/>
  <c r="N23070" i="1"/>
  <c r="N2703" i="1"/>
  <c r="N2702" i="1"/>
  <c r="N2701" i="1"/>
  <c r="N9905" i="1"/>
  <c r="N5442" i="1"/>
  <c r="N25892" i="1"/>
  <c r="N25891" i="1"/>
  <c r="N25890" i="1"/>
  <c r="N2700" i="1"/>
  <c r="N24604" i="1"/>
  <c r="N1218" i="1"/>
  <c r="N25604" i="1"/>
  <c r="N25889" i="1"/>
  <c r="N25695" i="1"/>
  <c r="N9904" i="1"/>
  <c r="N9903" i="1"/>
  <c r="N9618" i="1"/>
  <c r="N9902" i="1"/>
  <c r="N25417" i="1"/>
  <c r="N2266" i="1"/>
  <c r="N14004" i="1"/>
  <c r="N17871" i="1"/>
  <c r="N25603" i="1"/>
  <c r="N8316" i="1"/>
  <c r="N9901" i="1"/>
  <c r="N5950" i="1"/>
  <c r="N5949" i="1"/>
  <c r="N9900" i="1"/>
  <c r="N4133" i="1"/>
  <c r="N9899" i="1"/>
  <c r="N8315" i="1"/>
  <c r="N25416" i="1"/>
  <c r="N25888" i="1"/>
  <c r="N5948" i="1"/>
  <c r="N5947" i="1"/>
  <c r="N5946" i="1"/>
  <c r="N5945" i="1"/>
  <c r="N5944" i="1"/>
  <c r="N3968" i="1"/>
  <c r="N2536" i="1"/>
  <c r="N15188" i="1"/>
  <c r="N5441" i="1"/>
  <c r="N3040" i="1"/>
  <c r="N24304" i="1"/>
  <c r="N16639" i="1"/>
  <c r="N9898" i="1"/>
  <c r="N5440" i="1"/>
  <c r="N5439" i="1"/>
  <c r="N9897" i="1"/>
  <c r="N25707" i="1"/>
  <c r="N25602" i="1"/>
  <c r="N25026" i="1"/>
  <c r="N25025" i="1"/>
  <c r="N25024" i="1"/>
  <c r="N2845" i="1"/>
  <c r="N7451" i="1"/>
  <c r="N7450" i="1"/>
  <c r="N7449" i="1"/>
  <c r="N7821" i="1"/>
  <c r="N7448" i="1"/>
  <c r="N7820" i="1"/>
  <c r="N7447" i="1"/>
  <c r="N10915" i="1"/>
  <c r="N23401" i="1"/>
  <c r="N22832" i="1"/>
  <c r="N22831" i="1"/>
  <c r="N7819" i="1"/>
  <c r="N7446" i="1"/>
  <c r="N7818" i="1"/>
  <c r="N7445" i="1"/>
  <c r="N7817" i="1"/>
  <c r="N7444" i="1"/>
  <c r="N7443" i="1"/>
  <c r="N7816" i="1"/>
  <c r="N7442" i="1"/>
  <c r="N2118" i="1"/>
  <c r="N2117" i="1"/>
  <c r="N6664" i="1"/>
  <c r="N10914" i="1"/>
  <c r="N7441" i="1"/>
  <c r="N7440" i="1"/>
  <c r="N7439" i="1"/>
  <c r="N7438" i="1"/>
  <c r="N7437" i="1"/>
  <c r="N7436" i="1"/>
  <c r="N2069" i="1"/>
  <c r="N2068" i="1"/>
  <c r="N2067" i="1"/>
  <c r="N2066" i="1"/>
  <c r="N7815" i="1"/>
  <c r="N7435" i="1"/>
  <c r="N6231" i="1"/>
  <c r="N2065" i="1"/>
  <c r="N2064" i="1"/>
  <c r="N10913" i="1"/>
  <c r="N15077" i="1"/>
  <c r="N10912" i="1"/>
  <c r="N10911" i="1"/>
  <c r="N10910" i="1"/>
  <c r="N7434" i="1"/>
  <c r="N7814" i="1"/>
  <c r="N7433" i="1"/>
  <c r="N7813" i="1"/>
  <c r="N7432" i="1"/>
  <c r="N7812" i="1"/>
  <c r="N7431" i="1"/>
  <c r="N4404" i="1"/>
  <c r="N25986" i="1"/>
  <c r="N23455" i="1"/>
  <c r="N10790" i="1"/>
  <c r="N10789" i="1"/>
  <c r="N17886" i="1"/>
  <c r="N25601" i="1"/>
  <c r="N25887" i="1"/>
  <c r="N2699" i="1"/>
  <c r="N24138" i="1"/>
  <c r="N11286" i="1"/>
  <c r="N2698" i="1"/>
  <c r="N10107" i="1"/>
  <c r="N24137" i="1"/>
  <c r="N24250" i="1"/>
  <c r="N16493" i="1"/>
  <c r="N16492" i="1"/>
  <c r="N16491" i="1"/>
  <c r="N2063" i="1"/>
  <c r="N2062" i="1"/>
  <c r="N16490" i="1"/>
  <c r="N7811" i="1"/>
  <c r="N7430" i="1"/>
  <c r="N7429" i="1"/>
  <c r="N1502" i="1"/>
  <c r="N12087" i="1"/>
  <c r="N10909" i="1"/>
  <c r="N12465" i="1"/>
  <c r="N4403" i="1"/>
  <c r="N5144" i="1"/>
  <c r="N5143" i="1"/>
  <c r="N5142" i="1"/>
  <c r="N5141" i="1"/>
  <c r="N5140" i="1"/>
  <c r="N5139" i="1"/>
  <c r="N5138" i="1"/>
  <c r="N5137" i="1"/>
  <c r="N5136" i="1"/>
  <c r="N4325" i="1"/>
  <c r="N24174" i="1"/>
  <c r="N13243" i="1"/>
  <c r="N13242" i="1"/>
  <c r="N24173" i="1"/>
  <c r="N4194" i="1"/>
  <c r="N8121" i="1"/>
  <c r="N10908" i="1"/>
  <c r="N10907" i="1"/>
  <c r="N10906" i="1"/>
  <c r="N24424" i="1"/>
  <c r="N25023" i="1"/>
  <c r="N25022" i="1"/>
  <c r="N25021" i="1"/>
  <c r="N25020" i="1"/>
  <c r="N25019" i="1"/>
  <c r="N25018" i="1"/>
  <c r="N25017" i="1"/>
  <c r="N25016" i="1"/>
  <c r="N25015" i="1"/>
  <c r="N24003" i="1"/>
  <c r="N24002" i="1"/>
  <c r="N24001" i="1"/>
  <c r="N15630" i="1"/>
  <c r="N24000" i="1"/>
  <c r="N23999" i="1"/>
  <c r="N12411" i="1"/>
  <c r="N23721" i="1"/>
  <c r="N13171" i="1"/>
  <c r="N3606" i="1"/>
  <c r="N10579" i="1"/>
  <c r="N16292" i="1"/>
  <c r="N15941" i="1"/>
  <c r="N18288" i="1"/>
  <c r="N18287" i="1"/>
  <c r="N11106" i="1"/>
  <c r="N6287" i="1"/>
  <c r="N23400" i="1"/>
  <c r="N23399" i="1"/>
  <c r="N23176" i="1"/>
  <c r="N15076" i="1"/>
  <c r="N6286" i="1"/>
  <c r="N6285" i="1"/>
  <c r="N6284" i="1"/>
  <c r="N6283" i="1"/>
  <c r="N6282" i="1"/>
  <c r="N6281" i="1"/>
  <c r="N6230" i="1"/>
  <c r="N16308" i="1"/>
  <c r="N6248" i="1"/>
  <c r="N19163" i="1"/>
  <c r="N3655" i="1"/>
  <c r="N3654" i="1"/>
  <c r="N19586" i="1"/>
  <c r="N11105" i="1"/>
  <c r="N4183" i="1"/>
  <c r="N16489" i="1"/>
  <c r="N16488" i="1"/>
  <c r="N4182" i="1"/>
  <c r="N4181" i="1"/>
  <c r="N23610" i="1"/>
  <c r="N16487" i="1"/>
  <c r="N16486" i="1"/>
  <c r="N3987" i="1"/>
  <c r="N10788" i="1"/>
  <c r="N10787" i="1"/>
  <c r="N24722" i="1"/>
  <c r="N10786" i="1"/>
  <c r="N10785" i="1"/>
  <c r="N10784" i="1"/>
  <c r="N25951" i="1"/>
  <c r="N25950" i="1"/>
  <c r="N16485" i="1"/>
  <c r="N16484" i="1"/>
  <c r="N10345" i="1"/>
  <c r="N1615" i="1"/>
  <c r="N6462" i="1"/>
  <c r="N6461" i="1"/>
  <c r="N6460" i="1"/>
  <c r="N6459" i="1"/>
  <c r="N6458" i="1"/>
  <c r="N6457" i="1"/>
  <c r="N6456" i="1"/>
  <c r="N6455" i="1"/>
  <c r="N6454" i="1"/>
  <c r="N15305" i="1"/>
  <c r="N16038" i="1"/>
  <c r="N16037" i="1"/>
  <c r="N15602" i="1"/>
  <c r="N15940" i="1"/>
  <c r="N13940" i="1"/>
  <c r="N13609" i="1"/>
  <c r="N13608" i="1"/>
  <c r="N13607" i="1"/>
  <c r="N13606" i="1"/>
  <c r="N13605" i="1"/>
  <c r="N13604" i="1"/>
  <c r="N13603" i="1"/>
  <c r="N10069" i="1"/>
  <c r="N10070" i="1"/>
  <c r="N10071" i="1"/>
  <c r="N6840" i="1"/>
  <c r="N22830" i="1"/>
  <c r="N22875" i="1"/>
  <c r="N22829" i="1"/>
  <c r="N22874" i="1"/>
  <c r="N19281" i="1"/>
  <c r="N19280" i="1"/>
  <c r="N18286" i="1"/>
  <c r="N1640" i="1"/>
  <c r="N1643" i="1"/>
  <c r="N18285" i="1"/>
  <c r="N12484" i="1"/>
  <c r="N24061" i="1"/>
  <c r="N14030" i="1"/>
  <c r="N13663" i="1"/>
  <c r="N13662" i="1"/>
  <c r="N15745" i="1"/>
  <c r="N15409" i="1"/>
  <c r="N4156" i="1"/>
  <c r="N16291" i="1"/>
  <c r="N3374" i="1"/>
  <c r="N23755" i="1"/>
  <c r="N23011" i="1"/>
  <c r="N12622" i="1"/>
  <c r="N13162" i="1"/>
  <c r="N3245" i="1"/>
  <c r="N12621" i="1"/>
  <c r="N16265" i="1"/>
  <c r="N18452" i="1"/>
  <c r="N18451" i="1"/>
  <c r="N3300" i="1"/>
  <c r="N11616" i="1"/>
  <c r="N11615" i="1"/>
  <c r="N10940" i="1"/>
  <c r="N11614" i="1"/>
  <c r="N11613" i="1"/>
  <c r="N24423" i="1"/>
  <c r="N11612" i="1"/>
  <c r="N11611" i="1"/>
  <c r="N11043" i="1"/>
  <c r="N10602" i="1"/>
  <c r="N10604" i="1"/>
  <c r="N10603" i="1"/>
  <c r="N12620" i="1"/>
  <c r="N12619" i="1"/>
  <c r="N24422" i="1"/>
  <c r="N24421" i="1"/>
  <c r="N8120" i="1"/>
  <c r="N1576" i="1"/>
  <c r="N1575" i="1"/>
  <c r="N11610" i="1"/>
  <c r="N24118" i="1"/>
  <c r="N4475" i="1"/>
  <c r="N19317" i="1"/>
  <c r="N11609" i="1"/>
  <c r="N15695" i="1"/>
  <c r="N15694" i="1"/>
  <c r="N10590" i="1"/>
  <c r="N13839" i="1"/>
  <c r="N2147" i="1"/>
  <c r="N8090" i="1"/>
  <c r="N8089" i="1"/>
  <c r="N8088" i="1"/>
  <c r="N11285" i="1"/>
  <c r="N18025" i="1"/>
  <c r="N18024" i="1"/>
  <c r="N11608" i="1"/>
  <c r="N12618" i="1"/>
  <c r="N9469" i="1"/>
  <c r="N11607" i="1"/>
  <c r="N11606" i="1"/>
  <c r="N19655" i="1"/>
  <c r="N11284" i="1"/>
  <c r="N9395" i="1"/>
  <c r="N4028" i="1"/>
  <c r="N12617" i="1"/>
  <c r="N23998" i="1"/>
  <c r="N23997" i="1"/>
  <c r="N12616" i="1"/>
  <c r="N25948" i="1"/>
  <c r="N24420" i="1"/>
  <c r="N9560" i="1"/>
  <c r="N9559" i="1"/>
  <c r="N9558" i="1"/>
  <c r="N6714" i="1"/>
  <c r="N18505" i="1"/>
  <c r="N23996" i="1"/>
  <c r="N23995" i="1"/>
  <c r="N24117" i="1"/>
  <c r="N6280" i="1"/>
  <c r="N13340" i="1"/>
  <c r="N13321" i="1"/>
  <c r="N8380" i="1"/>
  <c r="N12514" i="1"/>
  <c r="N12505" i="1"/>
  <c r="N13082" i="1"/>
  <c r="N23495" i="1"/>
  <c r="N23398" i="1"/>
  <c r="N23397" i="1"/>
  <c r="N23458" i="1"/>
  <c r="N23396" i="1"/>
  <c r="N23175" i="1"/>
  <c r="N23395" i="1"/>
  <c r="N23494" i="1"/>
  <c r="N23523" i="1"/>
  <c r="N12738" i="1"/>
  <c r="N23548" i="1"/>
  <c r="N6769" i="1"/>
  <c r="N6768" i="1"/>
  <c r="N23529" i="1"/>
  <c r="N23680" i="1"/>
  <c r="N17962" i="1"/>
  <c r="N18957" i="1"/>
  <c r="N19606" i="1"/>
  <c r="N10360" i="1"/>
  <c r="N11758" i="1"/>
  <c r="N9096" i="1"/>
  <c r="N9095" i="1"/>
  <c r="N7974" i="1"/>
  <c r="N7973" i="1"/>
  <c r="N9525" i="1"/>
  <c r="N9520" i="1"/>
  <c r="N12593" i="1"/>
  <c r="N18037" i="1"/>
  <c r="N23394" i="1"/>
  <c r="N23235" i="1"/>
  <c r="N23499" i="1"/>
  <c r="N23393" i="1"/>
  <c r="N24822" i="1"/>
  <c r="N1636" i="1"/>
  <c r="N13081" i="1"/>
  <c r="N13080" i="1"/>
  <c r="N1278" i="1"/>
  <c r="N17814" i="1"/>
  <c r="N17813" i="1"/>
  <c r="N17812" i="1"/>
  <c r="N17811" i="1"/>
  <c r="N17810" i="1"/>
  <c r="N10298" i="1"/>
  <c r="N6695" i="1"/>
  <c r="N13079" i="1"/>
  <c r="N4705" i="1"/>
  <c r="N13078" i="1"/>
  <c r="N4704" i="1"/>
  <c r="N18424" i="1"/>
  <c r="N18425" i="1"/>
  <c r="N3459" i="1"/>
  <c r="N4027" i="1"/>
  <c r="N12553" i="1"/>
  <c r="N19039" i="1"/>
  <c r="N17143" i="1"/>
  <c r="N17142" i="1"/>
  <c r="N19338" i="1"/>
  <c r="N4661" i="1"/>
  <c r="N3477" i="1"/>
  <c r="N13077" i="1"/>
  <c r="N6186" i="1"/>
  <c r="N1351" i="1"/>
  <c r="N16321" i="1"/>
  <c r="N13076" i="1"/>
  <c r="N4665" i="1"/>
  <c r="N19783" i="1"/>
  <c r="N3617" i="1"/>
  <c r="N23994" i="1"/>
  <c r="N16075" i="1"/>
  <c r="N17141" i="1"/>
  <c r="N17140" i="1"/>
  <c r="N17139" i="1"/>
  <c r="N17138" i="1"/>
  <c r="N19232" i="1"/>
  <c r="N19231" i="1"/>
  <c r="N6163" i="1"/>
  <c r="N22868" i="1"/>
  <c r="N12587" i="1"/>
  <c r="N14339" i="1"/>
  <c r="N6694" i="1"/>
  <c r="N1406" i="1"/>
  <c r="N5268" i="1"/>
  <c r="N17972" i="1"/>
  <c r="N23685" i="1"/>
  <c r="N5267" i="1"/>
  <c r="N14335" i="1"/>
  <c r="N23033" i="1"/>
  <c r="N24721" i="1"/>
  <c r="N17306" i="1"/>
  <c r="N10344" i="1"/>
  <c r="N10343" i="1"/>
  <c r="N10342" i="1"/>
  <c r="N10341" i="1"/>
  <c r="N14451" i="1"/>
  <c r="N16045" i="1"/>
  <c r="N7810" i="1"/>
  <c r="N7428" i="1"/>
  <c r="N7809" i="1"/>
  <c r="N7427" i="1"/>
  <c r="N7808" i="1"/>
  <c r="N7426" i="1"/>
  <c r="N24060" i="1"/>
  <c r="N4643" i="1"/>
  <c r="N12615" i="1"/>
  <c r="N1924" i="1"/>
  <c r="N14392" i="1"/>
  <c r="N16074" i="1"/>
  <c r="N19251" i="1"/>
  <c r="N14391" i="1"/>
  <c r="N14390" i="1"/>
  <c r="N6505" i="1"/>
  <c r="N10659" i="1"/>
  <c r="N1412" i="1"/>
  <c r="N1405" i="1"/>
  <c r="N25886" i="1"/>
  <c r="N16264" i="1"/>
  <c r="N10080" i="1"/>
  <c r="N10079" i="1"/>
  <c r="N2149" i="1"/>
  <c r="N10592" i="1"/>
  <c r="N3522" i="1"/>
  <c r="N15897" i="1"/>
  <c r="N23837" i="1"/>
  <c r="N23836" i="1"/>
  <c r="N6327" i="1"/>
  <c r="N6326" i="1"/>
  <c r="N1892" i="1"/>
  <c r="N1894" i="1"/>
  <c r="N13075" i="1"/>
  <c r="N13074" i="1"/>
  <c r="N13073" i="1"/>
  <c r="N18284" i="1"/>
  <c r="N25014" i="1"/>
  <c r="N25013" i="1"/>
  <c r="N25694" i="1"/>
  <c r="N25885" i="1"/>
  <c r="N1417" i="1"/>
  <c r="N15896" i="1"/>
  <c r="N18023" i="1"/>
  <c r="N4703" i="1"/>
  <c r="N12777" i="1"/>
  <c r="N9394" i="1"/>
  <c r="N5438" i="1"/>
  <c r="N25012" i="1"/>
  <c r="N25011" i="1"/>
  <c r="N24869" i="1"/>
  <c r="N25010" i="1"/>
  <c r="N24845" i="1"/>
  <c r="N25009" i="1"/>
  <c r="N6204" i="1"/>
  <c r="N6203" i="1"/>
  <c r="N5437" i="1"/>
  <c r="N6760" i="1"/>
  <c r="N16205" i="1"/>
  <c r="N16204" i="1"/>
  <c r="N19040" i="1"/>
  <c r="N18031" i="1"/>
  <c r="N4642" i="1"/>
  <c r="N2319" i="1"/>
  <c r="N2116" i="1"/>
  <c r="N1744" i="1"/>
  <c r="N1743" i="1"/>
  <c r="N19230" i="1"/>
  <c r="N12483" i="1"/>
  <c r="N24033" i="1"/>
  <c r="N2418" i="1"/>
  <c r="N17809" i="1"/>
  <c r="N17808" i="1"/>
  <c r="N17807" i="1"/>
  <c r="N17806" i="1"/>
  <c r="N17805" i="1"/>
  <c r="N17804" i="1"/>
  <c r="N15790" i="1"/>
  <c r="N4488" i="1"/>
  <c r="N3326" i="1"/>
  <c r="N24327" i="1"/>
  <c r="N25916" i="1"/>
  <c r="N10412" i="1"/>
  <c r="N12281" i="1"/>
  <c r="N4933" i="1"/>
  <c r="N4932" i="1"/>
  <c r="N19037" i="1"/>
  <c r="N23634" i="1"/>
  <c r="N18022" i="1"/>
  <c r="N9497" i="1"/>
  <c r="N24270" i="1"/>
  <c r="N15329" i="1"/>
  <c r="N4484" i="1"/>
  <c r="N15895" i="1"/>
  <c r="N4220" i="1"/>
  <c r="N4232" i="1"/>
  <c r="N4215" i="1"/>
  <c r="N4226" i="1"/>
  <c r="N15789" i="1"/>
  <c r="N14401" i="1"/>
  <c r="N14400" i="1"/>
  <c r="N10068" i="1"/>
  <c r="N9514" i="1"/>
  <c r="N23754" i="1"/>
  <c r="N23753" i="1"/>
  <c r="N25642" i="1"/>
  <c r="N12202" i="1"/>
  <c r="N15629" i="1"/>
  <c r="N15628" i="1"/>
  <c r="N24326" i="1"/>
  <c r="N14373" i="1"/>
  <c r="N2279" i="1"/>
  <c r="N1923" i="1"/>
  <c r="N19229" i="1"/>
  <c r="N19228" i="1"/>
  <c r="N19227" i="1"/>
  <c r="N10471" i="1"/>
  <c r="N1742" i="1"/>
  <c r="N19226" i="1"/>
  <c r="N19225" i="1"/>
  <c r="N1230" i="1"/>
  <c r="N15328" i="1"/>
  <c r="N12169" i="1"/>
  <c r="N25600" i="1"/>
  <c r="N5436" i="1"/>
  <c r="N2844" i="1"/>
  <c r="N10389" i="1"/>
  <c r="N10386" i="1"/>
  <c r="N10388" i="1"/>
  <c r="N10385" i="1"/>
  <c r="N10387" i="1"/>
  <c r="N23067" i="1"/>
  <c r="N25884" i="1"/>
  <c r="N17836" i="1"/>
  <c r="N13931" i="1"/>
  <c r="N7906" i="1"/>
  <c r="N25008" i="1"/>
  <c r="N2843" i="1"/>
  <c r="N12145" i="1"/>
  <c r="N24269" i="1"/>
  <c r="N23132" i="1"/>
  <c r="N12347" i="1"/>
  <c r="N25284" i="1"/>
  <c r="N15408" i="1"/>
  <c r="N12614" i="1"/>
  <c r="N12613" i="1"/>
  <c r="N1626" i="1"/>
  <c r="N9026" i="1"/>
  <c r="N12095" i="1"/>
  <c r="N15162" i="1"/>
  <c r="N15161" i="1"/>
  <c r="N15160" i="1"/>
  <c r="N15852" i="1"/>
  <c r="N9980" i="1"/>
  <c r="N13381" i="1"/>
  <c r="N13380" i="1"/>
  <c r="N13379" i="1"/>
  <c r="N17248" i="1"/>
  <c r="N17247" i="1"/>
  <c r="N17241" i="1"/>
  <c r="N25693" i="1"/>
  <c r="N25883" i="1"/>
  <c r="N14003" i="1"/>
  <c r="N14002" i="1"/>
  <c r="N2697" i="1"/>
  <c r="N15984" i="1"/>
  <c r="N15983" i="1"/>
  <c r="N14001" i="1"/>
  <c r="N14000" i="1"/>
  <c r="N13999" i="1"/>
  <c r="N8314" i="1"/>
  <c r="N2842" i="1"/>
  <c r="N2696" i="1"/>
  <c r="N25599" i="1"/>
  <c r="N8313" i="1"/>
  <c r="N2773" i="1"/>
  <c r="N2841" i="1"/>
  <c r="N5435" i="1"/>
  <c r="N11605" i="1"/>
  <c r="N11744" i="1"/>
  <c r="N11743" i="1"/>
  <c r="N25007" i="1"/>
  <c r="N2772" i="1"/>
  <c r="N25415" i="1"/>
  <c r="N9335" i="1"/>
  <c r="N9305" i="1"/>
  <c r="N9334" i="1"/>
  <c r="N9304" i="1"/>
  <c r="N9333" i="1"/>
  <c r="N9303" i="1"/>
  <c r="N9332" i="1"/>
  <c r="N9302" i="1"/>
  <c r="N9331" i="1"/>
  <c r="N9301" i="1"/>
  <c r="N9330" i="1"/>
  <c r="N9300" i="1"/>
  <c r="N14932" i="1"/>
  <c r="N14931" i="1"/>
  <c r="N14930" i="1"/>
  <c r="N9275" i="1"/>
  <c r="N18905" i="1"/>
  <c r="N23628" i="1"/>
  <c r="N23627" i="1"/>
  <c r="N1550" i="1"/>
  <c r="N3278" i="1"/>
  <c r="N18081" i="1"/>
  <c r="N23885" i="1"/>
  <c r="N23884" i="1"/>
  <c r="N18054" i="1"/>
  <c r="N18053" i="1"/>
  <c r="N22828" i="1"/>
  <c r="N22827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7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25882" i="1"/>
  <c r="N25881" i="1"/>
  <c r="N18504" i="1"/>
  <c r="N3390" i="1"/>
  <c r="N2771" i="1"/>
  <c r="N2770" i="1"/>
  <c r="N2769" i="1"/>
  <c r="N19818" i="1"/>
  <c r="N9329" i="1"/>
  <c r="N9299" i="1"/>
  <c r="N19817" i="1"/>
  <c r="N25006" i="1"/>
  <c r="N8312" i="1"/>
  <c r="N8311" i="1"/>
  <c r="N9328" i="1"/>
  <c r="N9298" i="1"/>
  <c r="N17240" i="1"/>
  <c r="N25598" i="1"/>
  <c r="N9415" i="1"/>
  <c r="N25597" i="1"/>
  <c r="N357" i="1"/>
  <c r="N356" i="1"/>
  <c r="N355" i="1"/>
  <c r="N354" i="1"/>
  <c r="N353" i="1"/>
  <c r="N352" i="1"/>
  <c r="N351" i="1"/>
  <c r="N350" i="1"/>
  <c r="N6" i="1"/>
  <c r="N5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2329" i="1"/>
  <c r="N25596" i="1"/>
  <c r="N25880" i="1"/>
  <c r="N25879" i="1"/>
  <c r="N25878" i="1"/>
  <c r="N25877" i="1"/>
  <c r="N335" i="1"/>
  <c r="N334" i="1"/>
  <c r="N25595" i="1"/>
  <c r="N12144" i="1"/>
  <c r="N25340" i="1"/>
  <c r="N11242" i="1"/>
  <c r="N11604" i="1"/>
  <c r="N11241" i="1"/>
  <c r="N11603" i="1"/>
  <c r="N2768" i="1"/>
  <c r="N11602" i="1"/>
  <c r="N11601" i="1"/>
  <c r="N11600" i="1"/>
  <c r="N11599" i="1"/>
  <c r="N11598" i="1"/>
  <c r="N333" i="1"/>
  <c r="N14929" i="1"/>
  <c r="N14928" i="1"/>
  <c r="N20" i="1"/>
  <c r="N3789" i="1"/>
  <c r="N3781" i="1"/>
  <c r="N19" i="1"/>
  <c r="N18" i="1"/>
  <c r="N17" i="1"/>
  <c r="N16" i="1"/>
  <c r="N15" i="1"/>
  <c r="N14" i="1"/>
  <c r="N18741" i="1"/>
  <c r="N22826" i="1"/>
  <c r="N22825" i="1"/>
  <c r="N18036" i="1"/>
  <c r="N18904" i="1"/>
  <c r="N18903" i="1"/>
  <c r="N18902" i="1"/>
  <c r="N18901" i="1"/>
  <c r="N18900" i="1"/>
  <c r="N18899" i="1"/>
  <c r="N2695" i="1"/>
  <c r="N14927" i="1"/>
  <c r="N16017" i="1"/>
  <c r="N18898" i="1"/>
  <c r="N18897" i="1"/>
  <c r="N4" i="1"/>
  <c r="N11597" i="1"/>
  <c r="N3627" i="1"/>
  <c r="N10946" i="1"/>
  <c r="N18522" i="1"/>
  <c r="N17932" i="1"/>
  <c r="N17931" i="1"/>
  <c r="N19038" i="1"/>
  <c r="N15992" i="1"/>
  <c r="N4402" i="1"/>
  <c r="N2428" i="1"/>
  <c r="N3780" i="1"/>
  <c r="N17945" i="1"/>
  <c r="N17940" i="1"/>
  <c r="N24331" i="1"/>
  <c r="N14860" i="1"/>
  <c r="N18938" i="1"/>
  <c r="N18937" i="1"/>
  <c r="N15939" i="1"/>
  <c r="N3605" i="1"/>
  <c r="N23910" i="1"/>
  <c r="N8310" i="1"/>
  <c r="N12539" i="1"/>
  <c r="N5434" i="1"/>
  <c r="N3779" i="1"/>
  <c r="N4401" i="1"/>
  <c r="N1271" i="1"/>
  <c r="N1259" i="1"/>
  <c r="N8874" i="1"/>
  <c r="N6598" i="1"/>
  <c r="N8873" i="1"/>
  <c r="N12063" i="1"/>
  <c r="N4479" i="1"/>
  <c r="N6597" i="1"/>
  <c r="N14418" i="1"/>
  <c r="N13241" i="1"/>
  <c r="N8872" i="1"/>
  <c r="N6596" i="1"/>
  <c r="N3436" i="1"/>
  <c r="N8871" i="1"/>
  <c r="N8443" i="1"/>
  <c r="N6641" i="1"/>
  <c r="N9025" i="1"/>
  <c r="N8870" i="1"/>
  <c r="N8869" i="1"/>
  <c r="N15995" i="1"/>
  <c r="N8868" i="1"/>
  <c r="N8442" i="1"/>
  <c r="N8867" i="1"/>
  <c r="N24281" i="1"/>
  <c r="N8866" i="1"/>
  <c r="N8865" i="1"/>
  <c r="N8864" i="1"/>
  <c r="N13661" i="1"/>
  <c r="N13660" i="1"/>
  <c r="N13240" i="1"/>
  <c r="N22824" i="1"/>
  <c r="N22867" i="1"/>
  <c r="N22823" i="1"/>
  <c r="N22822" i="1"/>
  <c r="N22821" i="1"/>
  <c r="N6595" i="1"/>
  <c r="N8863" i="1"/>
  <c r="N8034" i="1"/>
  <c r="N5275" i="1"/>
  <c r="N19601" i="1"/>
  <c r="N4235" i="1"/>
  <c r="N4238" i="1"/>
  <c r="N19270" i="1"/>
  <c r="N3922" i="1"/>
  <c r="N3921" i="1"/>
  <c r="N5274" i="1"/>
  <c r="N16638" i="1"/>
  <c r="N16219" i="1"/>
  <c r="N15103" i="1"/>
  <c r="N15102" i="1"/>
  <c r="N7635" i="1"/>
  <c r="N7425" i="1"/>
  <c r="N7424" i="1"/>
  <c r="N7807" i="1"/>
  <c r="N7423" i="1"/>
  <c r="N7422" i="1"/>
  <c r="N16637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6663" i="1"/>
  <c r="N4151" i="1"/>
  <c r="N6662" i="1"/>
  <c r="N12291" i="1"/>
  <c r="N24799" i="1"/>
  <c r="N3612" i="1"/>
  <c r="N3148" i="1"/>
  <c r="N3147" i="1"/>
  <c r="N7409" i="1"/>
  <c r="N7806" i="1"/>
  <c r="N7408" i="1"/>
  <c r="N6855" i="1"/>
  <c r="N3534" i="1"/>
  <c r="N3578" i="1"/>
  <c r="N3577" i="1"/>
  <c r="N7805" i="1"/>
  <c r="N7407" i="1"/>
  <c r="N7406" i="1"/>
  <c r="N7405" i="1"/>
  <c r="N7404" i="1"/>
  <c r="N3546" i="1"/>
  <c r="N17282" i="1"/>
  <c r="N17281" i="1"/>
  <c r="N12000" i="1"/>
  <c r="N10057" i="1"/>
  <c r="N12354" i="1"/>
  <c r="N10056" i="1"/>
  <c r="N2442" i="1"/>
  <c r="N2441" i="1"/>
  <c r="N10055" i="1"/>
  <c r="N3816" i="1"/>
  <c r="N3815" i="1"/>
  <c r="N3814" i="1"/>
  <c r="N24116" i="1"/>
  <c r="N10054" i="1"/>
  <c r="N10053" i="1"/>
  <c r="N10052" i="1"/>
  <c r="N2289" i="1"/>
  <c r="N14634" i="1"/>
  <c r="N10051" i="1"/>
  <c r="N14633" i="1"/>
  <c r="N2061" i="1"/>
  <c r="N1877" i="1"/>
  <c r="N18896" i="1"/>
  <c r="N18895" i="1"/>
  <c r="N11193" i="1"/>
  <c r="N24811" i="1"/>
  <c r="N1472" i="1"/>
  <c r="N25414" i="1"/>
  <c r="N23096" i="1"/>
  <c r="N10270" i="1"/>
  <c r="N6518" i="1"/>
  <c r="N6512" i="1"/>
  <c r="N6148" i="1"/>
  <c r="N6147" i="1"/>
  <c r="N1299" i="1"/>
  <c r="N12577" i="1"/>
  <c r="N19585" i="1"/>
  <c r="N19584" i="1"/>
  <c r="N6491" i="1"/>
  <c r="N10106" i="1"/>
  <c r="N11742" i="1"/>
  <c r="N2903" i="1"/>
  <c r="N18894" i="1"/>
  <c r="N15434" i="1"/>
  <c r="N15433" i="1"/>
  <c r="N15432" i="1"/>
  <c r="N18388" i="1"/>
  <c r="N18387" i="1"/>
  <c r="N18386" i="1"/>
  <c r="N18283" i="1"/>
  <c r="N23912" i="1"/>
  <c r="N3788" i="1"/>
  <c r="N3826" i="1"/>
  <c r="N5037" i="1"/>
  <c r="N5021" i="1"/>
  <c r="N5036" i="1"/>
  <c r="N5020" i="1"/>
  <c r="N10340" i="1"/>
  <c r="N18282" i="1"/>
  <c r="N18281" i="1"/>
  <c r="N12482" i="1"/>
  <c r="N17678" i="1"/>
  <c r="N18367" i="1"/>
  <c r="N18280" i="1"/>
  <c r="N17873" i="1"/>
  <c r="N18279" i="1"/>
  <c r="N18278" i="1"/>
  <c r="N1335" i="1"/>
  <c r="N1334" i="1"/>
  <c r="N9526" i="1"/>
  <c r="N7804" i="1"/>
  <c r="N7403" i="1"/>
  <c r="N7803" i="1"/>
  <c r="N7402" i="1"/>
  <c r="N18277" i="1"/>
  <c r="N18276" i="1"/>
  <c r="N18275" i="1"/>
  <c r="N17803" i="1"/>
  <c r="N17802" i="1"/>
  <c r="N17801" i="1"/>
  <c r="N17800" i="1"/>
  <c r="N17799" i="1"/>
  <c r="N17798" i="1"/>
  <c r="N17797" i="1"/>
  <c r="N4955" i="1"/>
  <c r="N4180" i="1"/>
  <c r="N24039" i="1"/>
  <c r="N24038" i="1"/>
  <c r="N12688" i="1"/>
  <c r="N10367" i="1"/>
  <c r="N12612" i="1"/>
  <c r="N12611" i="1"/>
  <c r="N12610" i="1"/>
  <c r="N6477" i="1"/>
  <c r="N12609" i="1"/>
  <c r="N13925" i="1"/>
  <c r="N6594" i="1"/>
  <c r="N15835" i="1"/>
  <c r="N15828" i="1"/>
  <c r="N17879" i="1"/>
  <c r="N1270" i="1"/>
  <c r="N1258" i="1"/>
  <c r="N1269" i="1"/>
  <c r="N1257" i="1"/>
  <c r="N9443" i="1"/>
  <c r="N13659" i="1"/>
  <c r="N13658" i="1"/>
  <c r="N1839" i="1"/>
  <c r="N4179" i="1"/>
  <c r="N24618" i="1"/>
  <c r="N1830" i="1"/>
  <c r="N24750" i="1"/>
  <c r="N4400" i="1"/>
  <c r="N4399" i="1"/>
  <c r="N4132" i="1"/>
  <c r="N4131" i="1"/>
  <c r="N8367" i="1"/>
  <c r="N14497" i="1"/>
  <c r="N14491" i="1"/>
  <c r="N4178" i="1"/>
  <c r="N24115" i="1"/>
  <c r="N13072" i="1"/>
  <c r="N23493" i="1"/>
  <c r="N23234" i="1"/>
  <c r="N12687" i="1"/>
  <c r="N12789" i="1"/>
  <c r="N12062" i="1"/>
  <c r="N12036" i="1"/>
  <c r="N13071" i="1"/>
  <c r="N18705" i="1"/>
  <c r="N13070" i="1"/>
  <c r="N13069" i="1"/>
  <c r="N18115" i="1"/>
  <c r="N13068" i="1"/>
  <c r="N17796" i="1"/>
  <c r="N13067" i="1"/>
  <c r="N13066" i="1"/>
  <c r="N13065" i="1"/>
  <c r="N3521" i="1"/>
  <c r="N14442" i="1"/>
  <c r="N17795" i="1"/>
  <c r="N22978" i="1"/>
  <c r="N22991" i="1"/>
  <c r="N19324" i="1"/>
  <c r="N19323" i="1"/>
  <c r="N18409" i="1"/>
  <c r="N18408" i="1"/>
  <c r="N24670" i="1"/>
  <c r="N24720" i="1"/>
  <c r="N24719" i="1"/>
  <c r="N2348" i="1"/>
  <c r="N19350" i="1"/>
  <c r="N22088" i="1"/>
  <c r="N22087" i="1"/>
  <c r="N22086" i="1"/>
  <c r="N22085" i="1"/>
  <c r="N22084" i="1"/>
  <c r="N22083" i="1"/>
  <c r="N22082" i="1"/>
  <c r="N22081" i="1"/>
  <c r="N22080" i="1"/>
  <c r="N22079" i="1"/>
  <c r="N22078" i="1"/>
  <c r="N17203" i="1"/>
  <c r="N17202" i="1"/>
  <c r="N4398" i="1"/>
  <c r="N23511" i="1"/>
  <c r="N15851" i="1"/>
  <c r="N15855" i="1"/>
  <c r="N6593" i="1"/>
  <c r="N10281" i="1"/>
  <c r="N23582" i="1"/>
  <c r="N9896" i="1"/>
  <c r="N9895" i="1"/>
  <c r="N19597" i="1"/>
  <c r="N4702" i="1"/>
  <c r="N25923" i="1"/>
  <c r="N18647" i="1"/>
  <c r="N4660" i="1"/>
  <c r="N3980" i="1"/>
  <c r="N4062" i="1"/>
  <c r="N4088" i="1"/>
  <c r="N17794" i="1"/>
  <c r="N17793" i="1"/>
  <c r="N17792" i="1"/>
  <c r="N17791" i="1"/>
  <c r="N17790" i="1"/>
  <c r="N17789" i="1"/>
  <c r="N4120" i="1"/>
  <c r="N25283" i="1"/>
  <c r="N13239" i="1"/>
  <c r="N1886" i="1"/>
  <c r="N6703" i="1"/>
  <c r="N6702" i="1"/>
  <c r="N6701" i="1"/>
  <c r="N12086" i="1"/>
  <c r="N13238" i="1"/>
  <c r="N8087" i="1"/>
  <c r="N8086" i="1"/>
  <c r="N8085" i="1"/>
  <c r="N1494" i="1"/>
  <c r="N3604" i="1"/>
  <c r="N1949" i="1"/>
  <c r="N13403" i="1"/>
  <c r="N22077" i="1"/>
  <c r="N22076" i="1"/>
  <c r="N22075" i="1"/>
  <c r="N22074" i="1"/>
  <c r="N22073" i="1"/>
  <c r="N22072" i="1"/>
  <c r="N22071" i="1"/>
  <c r="N22070" i="1"/>
  <c r="N22069" i="1"/>
  <c r="N22068" i="1"/>
  <c r="N22067" i="1"/>
  <c r="N22066" i="1"/>
  <c r="N22065" i="1"/>
  <c r="N22064" i="1"/>
  <c r="N22063" i="1"/>
  <c r="N22062" i="1"/>
  <c r="N22061" i="1"/>
  <c r="N22060" i="1"/>
  <c r="N22059" i="1"/>
  <c r="N12201" i="1"/>
  <c r="N8441" i="1"/>
  <c r="N15742" i="1"/>
  <c r="N24798" i="1"/>
  <c r="N4139" i="1"/>
  <c r="N4149" i="1"/>
  <c r="N7913" i="1"/>
  <c r="N9094" i="1"/>
  <c r="N11175" i="1"/>
  <c r="N12686" i="1"/>
  <c r="N13339" i="1"/>
  <c r="N13320" i="1"/>
  <c r="N17137" i="1"/>
  <c r="N17136" i="1"/>
  <c r="N17135" i="1"/>
  <c r="N25876" i="1"/>
  <c r="N10280" i="1"/>
  <c r="N23032" i="1"/>
  <c r="N1143" i="1"/>
  <c r="N1142" i="1"/>
  <c r="N24114" i="1"/>
  <c r="N15854" i="1"/>
  <c r="N22058" i="1"/>
  <c r="N22057" i="1"/>
  <c r="N22056" i="1"/>
  <c r="N22055" i="1"/>
  <c r="N22054" i="1"/>
  <c r="N22053" i="1"/>
  <c r="N22052" i="1"/>
  <c r="N22051" i="1"/>
  <c r="N22050" i="1"/>
  <c r="N22049" i="1"/>
  <c r="N22048" i="1"/>
  <c r="N22047" i="1"/>
  <c r="N8309" i="1"/>
  <c r="N10313" i="1"/>
  <c r="N10312" i="1"/>
  <c r="N10314" i="1"/>
  <c r="N8308" i="1"/>
  <c r="N10275" i="1"/>
  <c r="N23129" i="1"/>
  <c r="N18574" i="1"/>
  <c r="N19658" i="1"/>
  <c r="N9393" i="1"/>
  <c r="N9376" i="1"/>
  <c r="N9375" i="1"/>
  <c r="N9392" i="1"/>
  <c r="N23581" i="1"/>
  <c r="N8101" i="1"/>
  <c r="N12229" i="1"/>
  <c r="N6691" i="1"/>
  <c r="N6690" i="1"/>
  <c r="N22046" i="1"/>
  <c r="N22045" i="1"/>
  <c r="N22044" i="1"/>
  <c r="N22043" i="1"/>
  <c r="N22042" i="1"/>
  <c r="N22041" i="1"/>
  <c r="N22040" i="1"/>
  <c r="N22039" i="1"/>
  <c r="N22038" i="1"/>
  <c r="N22037" i="1"/>
  <c r="N22036" i="1"/>
  <c r="N22035" i="1"/>
  <c r="N22034" i="1"/>
  <c r="N22033" i="1"/>
  <c r="N22032" i="1"/>
  <c r="N22031" i="1"/>
  <c r="N22030" i="1"/>
  <c r="N22029" i="1"/>
  <c r="N9024" i="1"/>
  <c r="N8440" i="1"/>
  <c r="N9023" i="1"/>
  <c r="N8439" i="1"/>
  <c r="N2060" i="1"/>
  <c r="N9022" i="1"/>
  <c r="N8438" i="1"/>
  <c r="N2059" i="1"/>
  <c r="N9047" i="1"/>
  <c r="N3435" i="1"/>
  <c r="N6653" i="1"/>
  <c r="N6652" i="1"/>
  <c r="N15894" i="1"/>
  <c r="N17134" i="1"/>
  <c r="N17133" i="1"/>
  <c r="N13926" i="1"/>
  <c r="N332" i="1"/>
  <c r="N331" i="1"/>
  <c r="N10705" i="1"/>
  <c r="N3317" i="1"/>
  <c r="N3325" i="1"/>
  <c r="N3324" i="1"/>
  <c r="N24602" i="1"/>
  <c r="N330" i="1"/>
  <c r="N329" i="1"/>
  <c r="N328" i="1"/>
  <c r="N18349" i="1"/>
  <c r="N18348" i="1"/>
  <c r="N1741" i="1"/>
  <c r="N13164" i="1"/>
  <c r="N2694" i="1"/>
  <c r="N2693" i="1"/>
  <c r="N2692" i="1"/>
  <c r="N2840" i="1"/>
  <c r="N25594" i="1"/>
  <c r="N25593" i="1"/>
  <c r="N11240" i="1"/>
  <c r="N11596" i="1"/>
  <c r="N11239" i="1"/>
  <c r="N11595" i="1"/>
  <c r="N11238" i="1"/>
  <c r="N11594" i="1"/>
  <c r="N3803" i="1"/>
  <c r="N6640" i="1"/>
  <c r="N7802" i="1"/>
  <c r="N7401" i="1"/>
  <c r="N7400" i="1"/>
  <c r="N23392" i="1"/>
  <c r="N4049" i="1"/>
  <c r="N4048" i="1"/>
  <c r="N4047" i="1"/>
  <c r="N17832" i="1"/>
  <c r="N4316" i="1"/>
  <c r="N4319" i="1"/>
  <c r="N14987" i="1"/>
  <c r="N19018" i="1"/>
  <c r="N5035" i="1"/>
  <c r="N5019" i="1"/>
  <c r="N15663" i="1"/>
  <c r="N17913" i="1"/>
  <c r="N7905" i="1"/>
  <c r="N7904" i="1"/>
  <c r="N14959" i="1"/>
  <c r="N3952" i="1"/>
  <c r="N8084" i="1"/>
  <c r="N8083" i="1"/>
  <c r="N10945" i="1"/>
  <c r="N19099" i="1"/>
  <c r="N19104" i="1"/>
  <c r="N10944" i="1"/>
  <c r="N10279" i="1"/>
  <c r="N23894" i="1"/>
  <c r="N15739" i="1"/>
  <c r="N15738" i="1"/>
  <c r="N15464" i="1"/>
  <c r="N15463" i="1"/>
  <c r="N12489" i="1"/>
  <c r="N12488" i="1"/>
  <c r="N25973" i="1"/>
  <c r="N25980" i="1"/>
  <c r="N11937" i="1"/>
  <c r="N5943" i="1"/>
  <c r="N5942" i="1"/>
  <c r="N2058" i="1"/>
  <c r="N2057" i="1"/>
  <c r="N5941" i="1"/>
  <c r="N5940" i="1"/>
  <c r="N5939" i="1"/>
  <c r="N2056" i="1"/>
  <c r="N2055" i="1"/>
  <c r="N22028" i="1"/>
  <c r="N22027" i="1"/>
  <c r="N22026" i="1"/>
  <c r="N22025" i="1"/>
  <c r="N22024" i="1"/>
  <c r="N22023" i="1"/>
  <c r="N22022" i="1"/>
  <c r="N22021" i="1"/>
  <c r="N22020" i="1"/>
  <c r="N22019" i="1"/>
  <c r="N22018" i="1"/>
  <c r="N5034" i="1"/>
  <c r="N5018" i="1"/>
  <c r="N5938" i="1"/>
  <c r="N5937" i="1"/>
  <c r="N22017" i="1"/>
  <c r="N22016" i="1"/>
  <c r="N22015" i="1"/>
  <c r="N22014" i="1"/>
  <c r="N22013" i="1"/>
  <c r="N2054" i="1"/>
  <c r="N2053" i="1"/>
  <c r="N16483" i="1"/>
  <c r="N16482" i="1"/>
  <c r="N16481" i="1"/>
  <c r="N16480" i="1"/>
  <c r="N16479" i="1"/>
  <c r="N16478" i="1"/>
  <c r="N16477" i="1"/>
  <c r="N16476" i="1"/>
  <c r="N16475" i="1"/>
  <c r="N12441" i="1"/>
  <c r="N12440" i="1"/>
  <c r="N12439" i="1"/>
  <c r="N23993" i="1"/>
  <c r="N23992" i="1"/>
  <c r="N23991" i="1"/>
  <c r="N23990" i="1"/>
  <c r="N23989" i="1"/>
  <c r="N11860" i="1"/>
  <c r="N11859" i="1"/>
  <c r="N11858" i="1"/>
  <c r="N11857" i="1"/>
  <c r="N11856" i="1"/>
  <c r="N10578" i="1"/>
  <c r="N11855" i="1"/>
  <c r="N11854" i="1"/>
  <c r="N11853" i="1"/>
  <c r="N11852" i="1"/>
  <c r="N11851" i="1"/>
  <c r="N22012" i="1"/>
  <c r="N3458" i="1"/>
  <c r="N22011" i="1"/>
  <c r="N22010" i="1"/>
  <c r="N22009" i="1"/>
  <c r="N22008" i="1"/>
  <c r="N22007" i="1"/>
  <c r="N22006" i="1"/>
  <c r="N24136" i="1"/>
  <c r="N15327" i="1"/>
  <c r="N15326" i="1"/>
  <c r="N1333" i="1"/>
  <c r="N1332" i="1"/>
  <c r="N16198" i="1"/>
  <c r="N16197" i="1"/>
  <c r="N16196" i="1"/>
  <c r="N19583" i="1"/>
  <c r="N19582" i="1"/>
  <c r="N22005" i="1"/>
  <c r="N2134" i="1"/>
  <c r="N23691" i="1"/>
  <c r="N11936" i="1"/>
  <c r="N22004" i="1"/>
  <c r="N24419" i="1"/>
  <c r="N6137" i="1"/>
  <c r="N6136" i="1"/>
  <c r="N22003" i="1"/>
  <c r="N22002" i="1"/>
  <c r="N22001" i="1"/>
  <c r="N22000" i="1"/>
  <c r="N21999" i="1"/>
  <c r="N21998" i="1"/>
  <c r="N21997" i="1"/>
  <c r="N21996" i="1"/>
  <c r="N21995" i="1"/>
  <c r="N21994" i="1"/>
  <c r="N21993" i="1"/>
  <c r="N14499" i="1"/>
  <c r="N21992" i="1"/>
  <c r="N21991" i="1"/>
  <c r="N21990" i="1"/>
  <c r="N21989" i="1"/>
  <c r="N21988" i="1"/>
  <c r="N21987" i="1"/>
  <c r="N11593" i="1"/>
  <c r="N21986" i="1"/>
  <c r="N21985" i="1"/>
  <c r="N21984" i="1"/>
  <c r="N21983" i="1"/>
  <c r="N21982" i="1"/>
  <c r="N21981" i="1"/>
  <c r="N21980" i="1"/>
  <c r="N21979" i="1"/>
  <c r="N21978" i="1"/>
  <c r="N13917" i="1"/>
  <c r="N24244" i="1"/>
  <c r="N24797" i="1"/>
  <c r="N15593" i="1"/>
  <c r="N16636" i="1"/>
  <c r="N23580" i="1"/>
  <c r="N6146" i="1"/>
  <c r="N1697" i="1"/>
  <c r="N4397" i="1"/>
  <c r="N13845" i="1"/>
  <c r="N6279" i="1"/>
  <c r="N6229" i="1"/>
  <c r="N6206" i="1"/>
  <c r="N6303" i="1"/>
  <c r="N9021" i="1"/>
  <c r="N9102" i="1"/>
  <c r="N9020" i="1"/>
  <c r="N18704" i="1"/>
  <c r="N19287" i="1"/>
  <c r="N8437" i="1"/>
  <c r="N3389" i="1"/>
  <c r="N8862" i="1"/>
  <c r="N8861" i="1"/>
  <c r="N1123" i="1"/>
  <c r="N15159" i="1"/>
  <c r="N15158" i="1"/>
  <c r="N15157" i="1"/>
  <c r="N15819" i="1"/>
  <c r="N23233" i="1"/>
  <c r="N23391" i="1"/>
  <c r="N23390" i="1"/>
  <c r="N23492" i="1"/>
  <c r="N23389" i="1"/>
  <c r="N5433" i="1"/>
  <c r="N17835" i="1"/>
  <c r="N10274" i="1"/>
  <c r="N13525" i="1"/>
  <c r="N4290" i="1"/>
  <c r="N12608" i="1"/>
  <c r="N16608" i="1"/>
  <c r="N12232" i="1"/>
  <c r="N16263" i="1"/>
  <c r="N3967" i="1"/>
  <c r="N12061" i="1"/>
  <c r="N12060" i="1"/>
  <c r="N10562" i="1"/>
  <c r="N10561" i="1"/>
  <c r="N10136" i="1"/>
  <c r="N10185" i="1"/>
  <c r="N10154" i="1"/>
  <c r="N10146" i="1"/>
  <c r="N10187" i="1"/>
  <c r="N10151" i="1"/>
  <c r="N2691" i="1"/>
  <c r="N11592" i="1"/>
  <c r="N25592" i="1"/>
  <c r="N2690" i="1"/>
  <c r="N15335" i="1"/>
  <c r="N6825" i="1"/>
  <c r="N6827" i="1"/>
  <c r="N6824" i="1"/>
  <c r="N6826" i="1"/>
  <c r="N11591" i="1"/>
  <c r="N12186" i="1"/>
  <c r="N11590" i="1"/>
  <c r="N4347" i="1"/>
  <c r="N25591" i="1"/>
  <c r="N5266" i="1"/>
  <c r="N7399" i="1"/>
  <c r="N7801" i="1"/>
  <c r="N7398" i="1"/>
  <c r="N7800" i="1"/>
  <c r="N7397" i="1"/>
  <c r="N7799" i="1"/>
  <c r="N7396" i="1"/>
  <c r="N7798" i="1"/>
  <c r="N7395" i="1"/>
  <c r="N7797" i="1"/>
  <c r="N7394" i="1"/>
  <c r="N3146" i="1"/>
  <c r="N2689" i="1"/>
  <c r="N5167" i="1"/>
  <c r="N5179" i="1"/>
  <c r="N2688" i="1"/>
  <c r="N19027" i="1"/>
  <c r="N9414" i="1"/>
  <c r="N2687" i="1"/>
  <c r="N2686" i="1"/>
  <c r="N2685" i="1"/>
  <c r="N5265" i="1"/>
  <c r="N13998" i="1"/>
  <c r="N18021" i="1"/>
  <c r="N18020" i="1"/>
  <c r="N15187" i="1"/>
  <c r="N13916" i="1"/>
  <c r="N18703" i="1"/>
  <c r="N18690" i="1"/>
  <c r="N16030" i="1"/>
  <c r="N24810" i="1"/>
  <c r="N23579" i="1"/>
  <c r="N15893" i="1"/>
  <c r="N17201" i="1"/>
  <c r="N17200" i="1"/>
  <c r="N15818" i="1"/>
  <c r="N4585" i="1"/>
  <c r="N16596" i="1"/>
  <c r="N10390" i="1"/>
  <c r="N21977" i="1"/>
  <c r="N21976" i="1"/>
  <c r="N21975" i="1"/>
  <c r="N21974" i="1"/>
  <c r="N21973" i="1"/>
  <c r="N21972" i="1"/>
  <c r="N21971" i="1"/>
  <c r="N21970" i="1"/>
  <c r="N21969" i="1"/>
  <c r="N21968" i="1"/>
  <c r="N21967" i="1"/>
  <c r="N21966" i="1"/>
  <c r="N21965" i="1"/>
  <c r="N21964" i="1"/>
  <c r="N21963" i="1"/>
  <c r="N21962" i="1"/>
  <c r="N21961" i="1"/>
  <c r="N21960" i="1"/>
  <c r="N22864" i="1"/>
  <c r="N21959" i="1"/>
  <c r="N21958" i="1"/>
  <c r="N21957" i="1"/>
  <c r="N21956" i="1"/>
  <c r="N21955" i="1"/>
  <c r="N21954" i="1"/>
  <c r="N21953" i="1"/>
  <c r="N21952" i="1"/>
  <c r="N21951" i="1"/>
  <c r="N21950" i="1"/>
  <c r="N21949" i="1"/>
  <c r="N7393" i="1"/>
  <c r="N7796" i="1"/>
  <c r="N7392" i="1"/>
  <c r="N7795" i="1"/>
  <c r="N7391" i="1"/>
  <c r="N5936" i="1"/>
  <c r="N5935" i="1"/>
  <c r="N5934" i="1"/>
  <c r="N21948" i="1"/>
  <c r="N21947" i="1"/>
  <c r="N21946" i="1"/>
  <c r="N21945" i="1"/>
  <c r="N21944" i="1"/>
  <c r="N21943" i="1"/>
  <c r="N21942" i="1"/>
  <c r="N21941" i="1"/>
  <c r="N9894" i="1"/>
  <c r="N9893" i="1"/>
  <c r="N9892" i="1"/>
  <c r="N3039" i="1"/>
  <c r="N3038" i="1"/>
  <c r="N12685" i="1"/>
  <c r="N12737" i="1"/>
  <c r="N15100" i="1"/>
  <c r="N15099" i="1"/>
  <c r="N15098" i="1"/>
  <c r="N15097" i="1"/>
  <c r="N15096" i="1"/>
  <c r="N19119" i="1"/>
  <c r="N8119" i="1"/>
  <c r="N5264" i="1"/>
  <c r="N5432" i="1"/>
  <c r="N5431" i="1"/>
  <c r="N5263" i="1"/>
  <c r="N21940" i="1"/>
  <c r="N5262" i="1"/>
  <c r="N21939" i="1"/>
  <c r="N21938" i="1"/>
  <c r="N4462" i="1"/>
  <c r="N4461" i="1"/>
  <c r="N11283" i="1"/>
  <c r="N1141" i="1"/>
  <c r="N3717" i="1"/>
  <c r="N3716" i="1"/>
  <c r="N3715" i="1"/>
  <c r="N3714" i="1"/>
  <c r="N3713" i="1"/>
  <c r="N3712" i="1"/>
  <c r="N12776" i="1"/>
  <c r="N12775" i="1"/>
  <c r="N12774" i="1"/>
  <c r="N12773" i="1"/>
  <c r="N12772" i="1"/>
  <c r="N8021" i="1"/>
  <c r="N17961" i="1"/>
  <c r="N21937" i="1"/>
  <c r="N21936" i="1"/>
  <c r="N21935" i="1"/>
  <c r="N7390" i="1"/>
  <c r="N7389" i="1"/>
  <c r="N5261" i="1"/>
  <c r="N3111" i="1"/>
  <c r="N5933" i="1"/>
  <c r="N5932" i="1"/>
  <c r="N5931" i="1"/>
  <c r="N18073" i="1"/>
  <c r="N21934" i="1"/>
  <c r="N21933" i="1"/>
  <c r="N21932" i="1"/>
  <c r="N21931" i="1"/>
  <c r="N21930" i="1"/>
  <c r="N21929" i="1"/>
  <c r="N21928" i="1"/>
  <c r="N21927" i="1"/>
  <c r="N21926" i="1"/>
  <c r="N21925" i="1"/>
  <c r="N21924" i="1"/>
  <c r="N21923" i="1"/>
  <c r="N21922" i="1"/>
  <c r="N21921" i="1"/>
  <c r="N5260" i="1"/>
  <c r="N3476" i="1"/>
  <c r="N21920" i="1"/>
  <c r="N21919" i="1"/>
  <c r="N19425" i="1"/>
  <c r="N19424" i="1"/>
  <c r="N21918" i="1"/>
  <c r="N21917" i="1"/>
  <c r="N21916" i="1"/>
  <c r="N21915" i="1"/>
  <c r="N21914" i="1"/>
  <c r="N21913" i="1"/>
  <c r="N21912" i="1"/>
  <c r="N21911" i="1"/>
  <c r="N21910" i="1"/>
  <c r="N21909" i="1"/>
  <c r="N21908" i="1"/>
  <c r="N21907" i="1"/>
  <c r="N21906" i="1"/>
  <c r="N21905" i="1"/>
  <c r="N21904" i="1"/>
  <c r="N21903" i="1"/>
  <c r="N21902" i="1"/>
  <c r="N21901" i="1"/>
  <c r="N21900" i="1"/>
  <c r="N21899" i="1"/>
  <c r="N21898" i="1"/>
  <c r="N21897" i="1"/>
  <c r="N21896" i="1"/>
  <c r="N21895" i="1"/>
  <c r="N21894" i="1"/>
  <c r="N21893" i="1"/>
  <c r="N21892" i="1"/>
  <c r="N21891" i="1"/>
  <c r="N21890" i="1"/>
  <c r="N6592" i="1"/>
  <c r="N6591" i="1"/>
  <c r="N21889" i="1"/>
  <c r="N21888" i="1"/>
  <c r="N21887" i="1"/>
  <c r="N21886" i="1"/>
  <c r="N21885" i="1"/>
  <c r="N21884" i="1"/>
  <c r="N21883" i="1"/>
  <c r="N21882" i="1"/>
  <c r="N21881" i="1"/>
  <c r="N9413" i="1"/>
  <c r="N3505" i="1"/>
  <c r="N9891" i="1"/>
  <c r="N9617" i="1"/>
  <c r="N9616" i="1"/>
  <c r="N9679" i="1"/>
  <c r="N9678" i="1"/>
  <c r="N9677" i="1"/>
  <c r="N9676" i="1"/>
  <c r="N2767" i="1"/>
  <c r="N9615" i="1"/>
  <c r="N9614" i="1"/>
  <c r="N9890" i="1"/>
  <c r="N9889" i="1"/>
  <c r="N9613" i="1"/>
  <c r="N9612" i="1"/>
  <c r="N9611" i="1"/>
  <c r="N9610" i="1"/>
  <c r="N9888" i="1"/>
  <c r="N9609" i="1"/>
  <c r="N7903" i="1"/>
  <c r="N9524" i="1"/>
  <c r="N4460" i="1"/>
  <c r="N1140" i="1"/>
  <c r="N2911" i="1"/>
  <c r="N6195" i="1"/>
  <c r="N6833" i="1"/>
  <c r="N2430" i="1"/>
  <c r="N3556" i="1"/>
  <c r="N3920" i="1"/>
  <c r="N3919" i="1"/>
  <c r="N15345" i="1"/>
  <c r="N1377" i="1"/>
  <c r="N17891" i="1"/>
  <c r="N13906" i="1"/>
  <c r="N9060" i="1"/>
  <c r="N4621" i="1"/>
  <c r="N24669" i="1"/>
  <c r="N24668" i="1"/>
  <c r="N24667" i="1"/>
  <c r="N15892" i="1"/>
  <c r="N6162" i="1"/>
  <c r="N2540" i="1"/>
  <c r="N9019" i="1"/>
  <c r="N9046" i="1"/>
  <c r="N21880" i="1"/>
  <c r="N21879" i="1"/>
  <c r="N21878" i="1"/>
  <c r="N21877" i="1"/>
  <c r="N21876" i="1"/>
  <c r="N21875" i="1"/>
  <c r="N21874" i="1"/>
  <c r="N21873" i="1"/>
  <c r="N21872" i="1"/>
  <c r="N21871" i="1"/>
  <c r="N21870" i="1"/>
  <c r="N1321" i="1"/>
  <c r="N21869" i="1"/>
  <c r="N21868" i="1"/>
  <c r="N21867" i="1"/>
  <c r="N21866" i="1"/>
  <c r="N21865" i="1"/>
  <c r="N21864" i="1"/>
  <c r="N21863" i="1"/>
  <c r="N21862" i="1"/>
  <c r="N21861" i="1"/>
  <c r="N21860" i="1"/>
  <c r="N21859" i="1"/>
  <c r="N21858" i="1"/>
  <c r="N21857" i="1"/>
  <c r="N21856" i="1"/>
  <c r="N21855" i="1"/>
  <c r="N21854" i="1"/>
  <c r="N22820" i="1"/>
  <c r="N24292" i="1"/>
  <c r="N24293" i="1"/>
  <c r="N19472" i="1"/>
  <c r="N19459" i="1"/>
  <c r="N19471" i="1"/>
  <c r="N19458" i="1"/>
  <c r="N4492" i="1"/>
  <c r="N4491" i="1"/>
  <c r="N21853" i="1"/>
  <c r="N21852" i="1"/>
  <c r="N21851" i="1"/>
  <c r="N21850" i="1"/>
  <c r="N16036" i="1"/>
  <c r="N1922" i="1"/>
  <c r="N5430" i="1"/>
  <c r="N12094" i="1"/>
  <c r="N23031" i="1"/>
  <c r="N8307" i="1"/>
  <c r="N13997" i="1"/>
  <c r="N5429" i="1"/>
  <c r="N5428" i="1"/>
  <c r="N5427" i="1"/>
  <c r="N5259" i="1"/>
  <c r="N15226" i="1"/>
  <c r="N15225" i="1"/>
  <c r="N15224" i="1"/>
  <c r="N15223" i="1"/>
  <c r="N15222" i="1"/>
  <c r="N15221" i="1"/>
  <c r="N15220" i="1"/>
  <c r="N15219" i="1"/>
  <c r="N15218" i="1"/>
  <c r="N15217" i="1"/>
  <c r="N15216" i="1"/>
  <c r="N15215" i="1"/>
  <c r="N15214" i="1"/>
  <c r="N10419" i="1"/>
  <c r="N9468" i="1"/>
  <c r="N9467" i="1"/>
  <c r="N2684" i="1"/>
  <c r="N21849" i="1"/>
  <c r="N21848" i="1"/>
  <c r="N21847" i="1"/>
  <c r="N9887" i="1"/>
  <c r="N8306" i="1"/>
  <c r="N2839" i="1"/>
  <c r="N10250" i="1"/>
  <c r="N9886" i="1"/>
  <c r="N9885" i="1"/>
  <c r="N9884" i="1"/>
  <c r="N19423" i="1"/>
  <c r="N19422" i="1"/>
  <c r="N18086" i="1"/>
  <c r="N9466" i="1"/>
  <c r="N19421" i="1"/>
  <c r="N19420" i="1"/>
  <c r="N10486" i="1"/>
  <c r="N10485" i="1"/>
  <c r="N10534" i="1"/>
  <c r="N10533" i="1"/>
  <c r="N24570" i="1"/>
  <c r="N24569" i="1"/>
  <c r="N24568" i="1"/>
  <c r="N24567" i="1"/>
  <c r="N24566" i="1"/>
  <c r="N24565" i="1"/>
  <c r="N24564" i="1"/>
  <c r="N24563" i="1"/>
  <c r="N24562" i="1"/>
  <c r="N24561" i="1"/>
  <c r="N2513" i="1"/>
  <c r="N2512" i="1"/>
  <c r="N12471" i="1"/>
  <c r="N4577" i="1"/>
  <c r="N13288" i="1"/>
  <c r="N13287" i="1"/>
  <c r="N13286" i="1"/>
  <c r="N16520" i="1"/>
  <c r="N10532" i="1"/>
  <c r="N10531" i="1"/>
  <c r="N10530" i="1"/>
  <c r="N10529" i="1"/>
  <c r="N10452" i="1"/>
  <c r="N10451" i="1"/>
  <c r="N19625" i="1"/>
  <c r="N19624" i="1"/>
  <c r="N11912" i="1"/>
  <c r="N11911" i="1"/>
  <c r="N16244" i="1"/>
  <c r="N1568" i="1"/>
  <c r="N11589" i="1"/>
  <c r="N11588" i="1"/>
  <c r="N11587" i="1"/>
  <c r="N11586" i="1"/>
  <c r="N11585" i="1"/>
  <c r="N1795" i="1"/>
  <c r="N1794" i="1"/>
  <c r="N13237" i="1"/>
  <c r="N13657" i="1"/>
  <c r="N13656" i="1"/>
  <c r="N13236" i="1"/>
  <c r="N12538" i="1"/>
  <c r="N8860" i="1"/>
  <c r="N8859" i="1"/>
  <c r="N8858" i="1"/>
  <c r="N8857" i="1"/>
  <c r="N12607" i="1"/>
  <c r="N8856" i="1"/>
  <c r="N8855" i="1"/>
  <c r="N24284" i="1"/>
  <c r="N9259" i="1"/>
  <c r="N9258" i="1"/>
  <c r="N9257" i="1"/>
  <c r="N5930" i="1"/>
  <c r="N5929" i="1"/>
  <c r="N5928" i="1"/>
  <c r="N7794" i="1"/>
  <c r="N7388" i="1"/>
  <c r="N7793" i="1"/>
  <c r="N7387" i="1"/>
  <c r="N7792" i="1"/>
  <c r="N7386" i="1"/>
  <c r="N24172" i="1"/>
  <c r="N24202" i="1"/>
  <c r="N24201" i="1"/>
  <c r="N24171" i="1"/>
  <c r="N24200" i="1"/>
  <c r="N14589" i="1"/>
  <c r="N14471" i="1"/>
  <c r="N25590" i="1"/>
  <c r="N17305" i="1"/>
  <c r="N8436" i="1"/>
  <c r="N8854" i="1"/>
  <c r="N8853" i="1"/>
  <c r="N8852" i="1"/>
  <c r="N8851" i="1"/>
  <c r="N8435" i="1"/>
  <c r="N8850" i="1"/>
  <c r="N8849" i="1"/>
  <c r="N8848" i="1"/>
  <c r="N8847" i="1"/>
  <c r="N1268" i="1"/>
  <c r="N8846" i="1"/>
  <c r="N8845" i="1"/>
  <c r="N8844" i="1"/>
  <c r="N8843" i="1"/>
  <c r="N14640" i="1"/>
  <c r="N8842" i="1"/>
  <c r="N24283" i="1"/>
  <c r="N13996" i="1"/>
  <c r="N8841" i="1"/>
  <c r="N8840" i="1"/>
  <c r="N8839" i="1"/>
  <c r="N8838" i="1"/>
  <c r="N8837" i="1"/>
  <c r="N8836" i="1"/>
  <c r="N8835" i="1"/>
  <c r="N8834" i="1"/>
  <c r="N8833" i="1"/>
  <c r="N9018" i="1"/>
  <c r="N8832" i="1"/>
  <c r="N2276" i="1"/>
  <c r="N2275" i="1"/>
  <c r="N13064" i="1"/>
  <c r="N17246" i="1"/>
  <c r="N12606" i="1"/>
  <c r="N25339" i="1"/>
  <c r="N13063" i="1"/>
  <c r="N13062" i="1"/>
  <c r="N23701" i="1"/>
  <c r="N23698" i="1"/>
  <c r="N25005" i="1"/>
  <c r="N12240" i="1"/>
  <c r="N12239" i="1"/>
  <c r="N12238" i="1"/>
  <c r="N24666" i="1"/>
  <c r="N2864" i="1"/>
  <c r="N6671" i="1"/>
  <c r="N23030" i="1"/>
  <c r="N25430" i="1"/>
  <c r="N13995" i="1"/>
  <c r="N13994" i="1"/>
  <c r="N11584" i="1"/>
  <c r="N11583" i="1"/>
  <c r="N11582" i="1"/>
  <c r="N12605" i="1"/>
  <c r="N24064" i="1"/>
  <c r="N6781" i="1"/>
  <c r="N10905" i="1"/>
  <c r="N10904" i="1"/>
  <c r="N4576" i="1"/>
  <c r="N15484" i="1"/>
  <c r="N15510" i="1"/>
  <c r="N15483" i="1"/>
  <c r="N15482" i="1"/>
  <c r="N23174" i="1"/>
  <c r="N23388" i="1"/>
  <c r="N23387" i="1"/>
  <c r="N23491" i="1"/>
  <c r="N23232" i="1"/>
  <c r="N23386" i="1"/>
  <c r="N3457" i="1"/>
  <c r="N3456" i="1"/>
  <c r="N10903" i="1"/>
  <c r="N10902" i="1"/>
  <c r="N11825" i="1"/>
  <c r="N11824" i="1"/>
  <c r="N11823" i="1"/>
  <c r="N11822" i="1"/>
  <c r="N11821" i="1"/>
  <c r="N12280" i="1"/>
  <c r="N2385" i="1"/>
  <c r="N5927" i="1"/>
  <c r="N5926" i="1"/>
  <c r="N5925" i="1"/>
  <c r="N5924" i="1"/>
  <c r="N5923" i="1"/>
  <c r="N5922" i="1"/>
  <c r="N14290" i="1"/>
  <c r="N14298" i="1"/>
  <c r="N14289" i="1"/>
  <c r="N14297" i="1"/>
  <c r="N14288" i="1"/>
  <c r="N23752" i="1"/>
  <c r="N2838" i="1"/>
  <c r="N6453" i="1"/>
  <c r="N6452" i="1"/>
  <c r="N6451" i="1"/>
  <c r="N6450" i="1"/>
  <c r="N6449" i="1"/>
  <c r="N6448" i="1"/>
  <c r="N6447" i="1"/>
  <c r="N6446" i="1"/>
  <c r="N6445" i="1"/>
  <c r="N15891" i="1"/>
  <c r="N10783" i="1"/>
  <c r="N10782" i="1"/>
  <c r="N7791" i="1"/>
  <c r="N7385" i="1"/>
  <c r="N12604" i="1"/>
  <c r="N8305" i="1"/>
  <c r="N8304" i="1"/>
  <c r="N8303" i="1"/>
  <c r="N8302" i="1"/>
  <c r="N8301" i="1"/>
  <c r="N6278" i="1"/>
  <c r="N6277" i="1"/>
  <c r="N11581" i="1"/>
  <c r="N11580" i="1"/>
  <c r="N5426" i="1"/>
  <c r="N6698" i="1"/>
  <c r="N9883" i="1"/>
  <c r="N3520" i="1"/>
  <c r="N12603" i="1"/>
  <c r="N12602" i="1"/>
  <c r="N9084" i="1"/>
  <c r="N9083" i="1"/>
  <c r="N12410" i="1"/>
  <c r="N23783" i="1"/>
  <c r="N19419" i="1"/>
  <c r="N19418" i="1"/>
  <c r="N19417" i="1"/>
  <c r="N10600" i="1"/>
  <c r="N11579" i="1"/>
  <c r="N11578" i="1"/>
  <c r="N5921" i="1"/>
  <c r="N5920" i="1"/>
  <c r="N5919" i="1"/>
  <c r="N5918" i="1"/>
  <c r="N10599" i="1"/>
  <c r="N5917" i="1"/>
  <c r="N5916" i="1"/>
  <c r="N10901" i="1"/>
  <c r="N5915" i="1"/>
  <c r="N13235" i="1"/>
  <c r="N13234" i="1"/>
  <c r="N5914" i="1"/>
  <c r="N5913" i="1"/>
  <c r="N7902" i="1"/>
  <c r="N5912" i="1"/>
  <c r="N5911" i="1"/>
  <c r="N5910" i="1"/>
  <c r="N5909" i="1"/>
  <c r="N5908" i="1"/>
  <c r="N13146" i="1"/>
  <c r="N2766" i="1"/>
  <c r="N12525" i="1"/>
  <c r="N19337" i="1"/>
  <c r="N19035" i="1"/>
  <c r="N5258" i="1"/>
  <c r="N5257" i="1"/>
  <c r="N5425" i="1"/>
  <c r="N5256" i="1"/>
  <c r="N5255" i="1"/>
  <c r="N5424" i="1"/>
  <c r="N11123" i="1"/>
  <c r="N11104" i="1"/>
  <c r="N3296" i="1"/>
  <c r="N3295" i="1"/>
  <c r="N5135" i="1"/>
  <c r="N5134" i="1"/>
  <c r="N5133" i="1"/>
  <c r="N5132" i="1"/>
  <c r="N5131" i="1"/>
  <c r="N5130" i="1"/>
  <c r="N5129" i="1"/>
  <c r="N5128" i="1"/>
  <c r="N5127" i="1"/>
  <c r="N14685" i="1"/>
  <c r="N14815" i="1"/>
  <c r="N14814" i="1"/>
  <c r="N14813" i="1"/>
  <c r="N14812" i="1"/>
  <c r="N14811" i="1"/>
  <c r="N14810" i="1"/>
  <c r="N14809" i="1"/>
  <c r="N14808" i="1"/>
  <c r="N14807" i="1"/>
  <c r="N14806" i="1"/>
  <c r="N14805" i="1"/>
  <c r="N14804" i="1"/>
  <c r="N14803" i="1"/>
  <c r="N14802" i="1"/>
  <c r="N14801" i="1"/>
  <c r="N8831" i="1"/>
  <c r="N8830" i="1"/>
  <c r="N8829" i="1"/>
  <c r="N8828" i="1"/>
  <c r="N13896" i="1"/>
  <c r="N13887" i="1"/>
  <c r="N8300" i="1"/>
  <c r="N19836" i="1"/>
  <c r="N3537" i="1"/>
  <c r="N16307" i="1"/>
  <c r="N16306" i="1"/>
  <c r="N2837" i="1"/>
  <c r="N17132" i="1"/>
  <c r="N17131" i="1"/>
  <c r="N25589" i="1"/>
  <c r="N25004" i="1"/>
  <c r="N24418" i="1"/>
  <c r="N24417" i="1"/>
  <c r="N18274" i="1"/>
  <c r="N24472" i="1"/>
  <c r="N24416" i="1"/>
  <c r="N24471" i="1"/>
  <c r="N2312" i="1"/>
  <c r="N2311" i="1"/>
  <c r="N5423" i="1"/>
  <c r="N5422" i="1"/>
  <c r="N5421" i="1"/>
  <c r="N5420" i="1"/>
  <c r="N5907" i="1"/>
  <c r="N5906" i="1"/>
  <c r="N5905" i="1"/>
  <c r="N13740" i="1"/>
  <c r="N13739" i="1"/>
  <c r="N13793" i="1"/>
  <c r="N13779" i="1"/>
  <c r="N13680" i="1"/>
  <c r="N13738" i="1"/>
  <c r="N13792" i="1"/>
  <c r="N13778" i="1"/>
  <c r="N2265" i="1"/>
  <c r="N5904" i="1"/>
  <c r="N2683" i="1"/>
  <c r="N9882" i="1"/>
  <c r="N2743" i="1"/>
  <c r="N7384" i="1"/>
  <c r="N7383" i="1"/>
  <c r="N7790" i="1"/>
  <c r="N7634" i="1"/>
  <c r="N7382" i="1"/>
  <c r="N1163" i="1"/>
  <c r="N13233" i="1"/>
  <c r="N7912" i="1"/>
  <c r="N7381" i="1"/>
  <c r="N7380" i="1"/>
  <c r="N7379" i="1"/>
  <c r="N23873" i="1"/>
  <c r="N18102" i="1"/>
  <c r="N18101" i="1"/>
  <c r="N15842" i="1"/>
  <c r="N3170" i="1"/>
  <c r="N4026" i="1"/>
  <c r="N4046" i="1"/>
  <c r="N10339" i="1"/>
  <c r="N7876" i="1"/>
  <c r="N7378" i="1"/>
  <c r="N7377" i="1"/>
  <c r="N11174" i="1"/>
  <c r="N11142" i="1"/>
  <c r="N19120" i="1"/>
  <c r="N11577" i="1"/>
  <c r="N15649" i="1"/>
  <c r="N1556" i="1"/>
  <c r="N14029" i="1"/>
  <c r="N3348" i="1"/>
  <c r="N3349" i="1"/>
  <c r="N25941" i="1"/>
  <c r="N12504" i="1"/>
  <c r="N12513" i="1"/>
  <c r="N12503" i="1"/>
  <c r="N2347" i="1"/>
  <c r="N23173" i="1"/>
  <c r="N23250" i="1"/>
  <c r="N23244" i="1"/>
  <c r="N23252" i="1"/>
  <c r="N10297" i="1"/>
  <c r="N13538" i="1"/>
  <c r="N13534" i="1"/>
  <c r="N11893" i="1"/>
  <c r="N5903" i="1"/>
  <c r="N5902" i="1"/>
  <c r="N5901" i="1"/>
  <c r="N9969" i="1"/>
  <c r="N4954" i="1"/>
  <c r="N15662" i="1"/>
  <c r="N4473" i="1"/>
  <c r="N4472" i="1"/>
  <c r="N18273" i="1"/>
  <c r="N3434" i="1"/>
  <c r="N3433" i="1"/>
  <c r="N24415" i="1"/>
  <c r="N1621" i="1"/>
  <c r="N1452" i="1"/>
  <c r="N9256" i="1"/>
  <c r="N9255" i="1"/>
  <c r="N2146" i="1"/>
  <c r="N6132" i="1"/>
  <c r="N24745" i="1"/>
  <c r="N16021" i="1"/>
  <c r="N11173" i="1"/>
  <c r="N24844" i="1"/>
  <c r="N25003" i="1"/>
  <c r="N24843" i="1"/>
  <c r="N25002" i="1"/>
  <c r="N24345" i="1"/>
  <c r="N24482" i="1"/>
  <c r="N16290" i="1"/>
  <c r="N19316" i="1"/>
  <c r="N25588" i="1"/>
  <c r="N25692" i="1"/>
  <c r="N25413" i="1"/>
  <c r="N25587" i="1"/>
  <c r="N1602" i="1"/>
  <c r="N25875" i="1"/>
  <c r="N25586" i="1"/>
  <c r="N25874" i="1"/>
  <c r="N9881" i="1"/>
  <c r="N1608" i="1"/>
  <c r="N25873" i="1"/>
  <c r="N5900" i="1"/>
  <c r="N5899" i="1"/>
  <c r="N7633" i="1"/>
  <c r="N7376" i="1"/>
  <c r="N7375" i="1"/>
  <c r="N7632" i="1"/>
  <c r="N7374" i="1"/>
  <c r="N2511" i="1"/>
  <c r="N4150" i="1"/>
  <c r="N24267" i="1"/>
  <c r="N25282" i="1"/>
  <c r="N18272" i="1"/>
  <c r="N18271" i="1"/>
  <c r="N11145" i="1"/>
  <c r="N9357" i="1"/>
  <c r="N9352" i="1"/>
  <c r="N9185" i="1"/>
  <c r="N23578" i="1"/>
  <c r="N9184" i="1"/>
  <c r="N9183" i="1"/>
  <c r="N9182" i="1"/>
  <c r="N9181" i="1"/>
  <c r="N10105" i="1"/>
  <c r="N9180" i="1"/>
  <c r="N9179" i="1"/>
  <c r="N9178" i="1"/>
  <c r="N9177" i="1"/>
  <c r="N4335" i="1"/>
  <c r="N3154" i="1"/>
  <c r="N3169" i="1"/>
  <c r="N3168" i="1"/>
  <c r="N18960" i="1"/>
  <c r="N23036" i="1"/>
  <c r="N5419" i="1"/>
  <c r="N25585" i="1"/>
  <c r="N8134" i="1"/>
  <c r="N14356" i="1"/>
  <c r="N19485" i="1"/>
  <c r="N2682" i="1"/>
  <c r="N2681" i="1"/>
  <c r="N15938" i="1"/>
  <c r="N5898" i="1"/>
  <c r="N5897" i="1"/>
  <c r="N5896" i="1"/>
  <c r="N5895" i="1"/>
  <c r="N3037" i="1"/>
  <c r="N15937" i="1"/>
  <c r="N5894" i="1"/>
  <c r="N5893" i="1"/>
  <c r="N5892" i="1"/>
  <c r="N7789" i="1"/>
  <c r="N7373" i="1"/>
  <c r="N10781" i="1"/>
  <c r="N10780" i="1"/>
  <c r="N4234" i="1"/>
  <c r="N11576" i="1"/>
  <c r="N1768" i="1"/>
  <c r="N16577" i="1"/>
  <c r="N16576" i="1"/>
  <c r="N11575" i="1"/>
  <c r="N11574" i="1"/>
  <c r="N11573" i="1"/>
  <c r="N3942" i="1"/>
  <c r="N11572" i="1"/>
  <c r="N4490" i="1"/>
  <c r="N2346" i="1"/>
  <c r="N18270" i="1"/>
  <c r="N3036" i="1"/>
  <c r="N3035" i="1"/>
  <c r="N3034" i="1"/>
  <c r="N6791" i="1"/>
  <c r="N23385" i="1"/>
  <c r="N23988" i="1"/>
  <c r="N6807" i="1"/>
  <c r="N12360" i="1"/>
  <c r="N12359" i="1"/>
  <c r="N18269" i="1"/>
  <c r="N13905" i="1"/>
  <c r="N13904" i="1"/>
  <c r="N4289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88" i="1"/>
  <c r="N4270" i="1"/>
  <c r="N4269" i="1"/>
  <c r="N4268" i="1"/>
  <c r="N4267" i="1"/>
  <c r="N4287" i="1"/>
  <c r="N4266" i="1"/>
  <c r="N4265" i="1"/>
  <c r="N4264" i="1"/>
  <c r="N4263" i="1"/>
  <c r="N4262" i="1"/>
  <c r="N4261" i="1"/>
  <c r="N4260" i="1"/>
  <c r="N3831" i="1"/>
  <c r="N23231" i="1"/>
  <c r="N23230" i="1"/>
  <c r="N24263" i="1"/>
  <c r="N6817" i="1"/>
  <c r="N1350" i="1"/>
  <c r="N1349" i="1"/>
  <c r="N19125" i="1"/>
  <c r="N19124" i="1"/>
  <c r="N19123" i="1"/>
  <c r="N19282" i="1"/>
  <c r="N2923" i="1"/>
  <c r="N15890" i="1"/>
  <c r="N4459" i="1"/>
  <c r="N4458" i="1"/>
  <c r="N1229" i="1"/>
  <c r="N4902" i="1"/>
  <c r="N4901" i="1"/>
  <c r="N4900" i="1"/>
  <c r="N25972" i="1"/>
  <c r="N8082" i="1"/>
  <c r="N8081" i="1"/>
  <c r="N8080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24796" i="1"/>
  <c r="N1876" i="1"/>
  <c r="N11850" i="1"/>
  <c r="N11849" i="1"/>
  <c r="N11848" i="1"/>
  <c r="N11847" i="1"/>
  <c r="N12022" i="1"/>
  <c r="N3966" i="1"/>
  <c r="N3979" i="1"/>
  <c r="N12035" i="1"/>
  <c r="N18579" i="1"/>
  <c r="N12059" i="1"/>
  <c r="N12058" i="1"/>
  <c r="N2680" i="1"/>
  <c r="N25872" i="1"/>
  <c r="N25584" i="1"/>
  <c r="N25583" i="1"/>
  <c r="N25412" i="1"/>
  <c r="N25411" i="1"/>
  <c r="N24318" i="1"/>
  <c r="N5418" i="1"/>
  <c r="N5417" i="1"/>
  <c r="N8299" i="1"/>
  <c r="N25001" i="1"/>
  <c r="N24842" i="1"/>
  <c r="N25000" i="1"/>
  <c r="N24841" i="1"/>
  <c r="N24840" i="1"/>
  <c r="N24839" i="1"/>
  <c r="N25582" i="1"/>
  <c r="N25691" i="1"/>
  <c r="N2052" i="1"/>
  <c r="N2051" i="1"/>
  <c r="N9880" i="1"/>
  <c r="N9879" i="1"/>
  <c r="N15468" i="1"/>
  <c r="N17245" i="1"/>
  <c r="N17252" i="1"/>
  <c r="N10900" i="1"/>
  <c r="N9693" i="1"/>
  <c r="N23987" i="1"/>
  <c r="N23986" i="1"/>
  <c r="N10899" i="1"/>
  <c r="N10898" i="1"/>
  <c r="N10897" i="1"/>
  <c r="N10896" i="1"/>
  <c r="N10807" i="1"/>
  <c r="N11172" i="1"/>
  <c r="N25410" i="1"/>
  <c r="N25581" i="1"/>
  <c r="N18268" i="1"/>
  <c r="N4396" i="1"/>
  <c r="N2836" i="1"/>
  <c r="N14334" i="1"/>
  <c r="N24414" i="1"/>
  <c r="N24413" i="1"/>
  <c r="N24412" i="1"/>
  <c r="N13838" i="1"/>
  <c r="N2417" i="1"/>
  <c r="N13537" i="1"/>
  <c r="N13533" i="1"/>
  <c r="N15317" i="1"/>
  <c r="N12015" i="1"/>
  <c r="N23640" i="1"/>
  <c r="N11571" i="1"/>
  <c r="N10779" i="1"/>
  <c r="N10778" i="1"/>
  <c r="N11282" i="1"/>
  <c r="N5254" i="1"/>
  <c r="N3033" i="1"/>
  <c r="N3032" i="1"/>
  <c r="N3031" i="1"/>
  <c r="N25580" i="1"/>
  <c r="N5416" i="1"/>
  <c r="N3030" i="1"/>
  <c r="N3029" i="1"/>
  <c r="N3028" i="1"/>
  <c r="N11570" i="1"/>
  <c r="N13494" i="1"/>
  <c r="N13493" i="1"/>
  <c r="N13492" i="1"/>
  <c r="N13491" i="1"/>
  <c r="N13490" i="1"/>
  <c r="N13489" i="1"/>
  <c r="N13488" i="1"/>
  <c r="N10358" i="1"/>
  <c r="N18267" i="1"/>
  <c r="N18266" i="1"/>
  <c r="N13487" i="1"/>
  <c r="N13486" i="1"/>
  <c r="N13485" i="1"/>
  <c r="N25338" i="1"/>
  <c r="N13449" i="1"/>
  <c r="N13448" i="1"/>
  <c r="N3227" i="1"/>
  <c r="N3226" i="1"/>
  <c r="N3225" i="1"/>
  <c r="N12555" i="1"/>
  <c r="N10704" i="1"/>
  <c r="N10669" i="1"/>
  <c r="N10703" i="1"/>
  <c r="N10731" i="1"/>
  <c r="N10702" i="1"/>
  <c r="N18450" i="1"/>
  <c r="N5415" i="1"/>
  <c r="N4701" i="1"/>
  <c r="N4659" i="1"/>
  <c r="N4700" i="1"/>
  <c r="N7901" i="1"/>
  <c r="N2490" i="1"/>
  <c r="N3099" i="1"/>
  <c r="N13447" i="1"/>
  <c r="N13446" i="1"/>
  <c r="N13445" i="1"/>
  <c r="N3312" i="1"/>
  <c r="N9082" i="1"/>
  <c r="N9081" i="1"/>
  <c r="N16320" i="1"/>
  <c r="N18964" i="1"/>
  <c r="N18962" i="1"/>
  <c r="N18963" i="1"/>
  <c r="N18961" i="1"/>
  <c r="N18449" i="1"/>
  <c r="N18448" i="1"/>
  <c r="N14611" i="1"/>
  <c r="N14632" i="1"/>
  <c r="N16262" i="1"/>
  <c r="N13378" i="1"/>
  <c r="N13377" i="1"/>
  <c r="N13376" i="1"/>
  <c r="N13061" i="1"/>
  <c r="N12226" i="1"/>
  <c r="N13060" i="1"/>
  <c r="N24024" i="1"/>
  <c r="N19278" i="1"/>
  <c r="N11042" i="1"/>
  <c r="N12537" i="1"/>
  <c r="N4457" i="1"/>
  <c r="N4456" i="1"/>
  <c r="N7917" i="1"/>
  <c r="N19254" i="1"/>
  <c r="N4328" i="1"/>
  <c r="N4327" i="1"/>
  <c r="N15889" i="1"/>
  <c r="N10701" i="1"/>
  <c r="N10700" i="1"/>
  <c r="N10699" i="1"/>
  <c r="N10698" i="1"/>
  <c r="N10666" i="1"/>
  <c r="N14460" i="1"/>
  <c r="N8298" i="1"/>
  <c r="N18664" i="1"/>
  <c r="N5414" i="1"/>
  <c r="N12572" i="1"/>
  <c r="N1277" i="1"/>
  <c r="N13059" i="1"/>
  <c r="N13058" i="1"/>
  <c r="N5413" i="1"/>
  <c r="N13057" i="1"/>
  <c r="N17984" i="1"/>
  <c r="N13402" i="1"/>
  <c r="N19779" i="1"/>
  <c r="N8297" i="1"/>
  <c r="N15456" i="1"/>
  <c r="N4575" i="1"/>
  <c r="N1198" i="1"/>
  <c r="N13056" i="1"/>
  <c r="N18265" i="1"/>
  <c r="N18661" i="1"/>
  <c r="N11141" i="1"/>
  <c r="N11140" i="1"/>
  <c r="N5412" i="1"/>
  <c r="N22977" i="1"/>
  <c r="N22976" i="1"/>
  <c r="N22975" i="1"/>
  <c r="N12364" i="1"/>
  <c r="N12363" i="1"/>
  <c r="N13655" i="1"/>
  <c r="N13654" i="1"/>
  <c r="N6854" i="1"/>
  <c r="N4508" i="1"/>
  <c r="N13602" i="1"/>
  <c r="N13601" i="1"/>
  <c r="N13623" i="1"/>
  <c r="N13619" i="1"/>
  <c r="N13600" i="1"/>
  <c r="N13599" i="1"/>
  <c r="N13598" i="1"/>
  <c r="N13597" i="1"/>
  <c r="N13596" i="1"/>
  <c r="N1614" i="1"/>
  <c r="N25579" i="1"/>
  <c r="N25578" i="1"/>
  <c r="N2310" i="1"/>
  <c r="N2309" i="1"/>
  <c r="N2765" i="1"/>
  <c r="N2764" i="1"/>
  <c r="N18893" i="1"/>
  <c r="N18892" i="1"/>
  <c r="N1793" i="1"/>
  <c r="N1792" i="1"/>
  <c r="N10338" i="1"/>
  <c r="N2485" i="1"/>
  <c r="N8827" i="1"/>
  <c r="N23710" i="1"/>
  <c r="N15888" i="1"/>
  <c r="N2763" i="1"/>
  <c r="N8296" i="1"/>
  <c r="N8295" i="1"/>
  <c r="N8294" i="1"/>
  <c r="N4322" i="1"/>
  <c r="N1740" i="1"/>
  <c r="N1739" i="1"/>
  <c r="N9557" i="1"/>
  <c r="N9556" i="1"/>
  <c r="N9555" i="1"/>
  <c r="N6836" i="1"/>
  <c r="N8293" i="1"/>
  <c r="N8348" i="1"/>
  <c r="N3373" i="1"/>
  <c r="N6276" i="1"/>
  <c r="N8826" i="1"/>
  <c r="N8434" i="1"/>
  <c r="N8825" i="1"/>
  <c r="N8824" i="1"/>
  <c r="N8823" i="1"/>
  <c r="N8822" i="1"/>
  <c r="N8821" i="1"/>
  <c r="N7900" i="1"/>
  <c r="N6829" i="1"/>
  <c r="N3603" i="1"/>
  <c r="N8820" i="1"/>
  <c r="N8433" i="1"/>
  <c r="N3802" i="1"/>
  <c r="N9093" i="1"/>
  <c r="N13055" i="1"/>
  <c r="N13054" i="1"/>
  <c r="N13407" i="1"/>
  <c r="N15817" i="1"/>
  <c r="N4420" i="1"/>
  <c r="N10174" i="1"/>
  <c r="N10173" i="1"/>
  <c r="N10172" i="1"/>
  <c r="N10171" i="1"/>
  <c r="N9479" i="1"/>
  <c r="N1404" i="1"/>
  <c r="N1607" i="1"/>
  <c r="N25409" i="1"/>
  <c r="N25690" i="1"/>
  <c r="N25871" i="1"/>
  <c r="N2835" i="1"/>
  <c r="N15936" i="1"/>
  <c r="N19835" i="1"/>
  <c r="N23787" i="1"/>
  <c r="N25577" i="1"/>
  <c r="N25576" i="1"/>
  <c r="N5411" i="1"/>
  <c r="N23004" i="1"/>
  <c r="N4499" i="1"/>
  <c r="N4487" i="1"/>
  <c r="N1516" i="1"/>
  <c r="N15935" i="1"/>
  <c r="N18646" i="1"/>
  <c r="N24032" i="1"/>
  <c r="N6310" i="1"/>
  <c r="N23782" i="1"/>
  <c r="N6275" i="1"/>
  <c r="N24776" i="1"/>
  <c r="N23003" i="1"/>
  <c r="N19162" i="1"/>
  <c r="N15661" i="1"/>
  <c r="N15660" i="1"/>
  <c r="N11569" i="1"/>
  <c r="N4160" i="1"/>
  <c r="N4159" i="1"/>
  <c r="N19657" i="1"/>
  <c r="N10411" i="1"/>
  <c r="N15075" i="1"/>
  <c r="N5476" i="1"/>
  <c r="N3" i="1"/>
  <c r="N2" i="1"/>
  <c r="N5410" i="1"/>
  <c r="N9513" i="1"/>
  <c r="N2901" i="1"/>
  <c r="N6358" i="1"/>
  <c r="N16071" i="1"/>
  <c r="N16070" i="1"/>
  <c r="N18264" i="1"/>
  <c r="N18263" i="1"/>
  <c r="N25575" i="1"/>
  <c r="N1595" i="1"/>
  <c r="N5253" i="1"/>
  <c r="N5409" i="1"/>
  <c r="N4061" i="1"/>
  <c r="N24999" i="1"/>
  <c r="N24998" i="1"/>
  <c r="N2834" i="1"/>
  <c r="N2679" i="1"/>
  <c r="N24154" i="1"/>
  <c r="N24153" i="1"/>
  <c r="N24997" i="1"/>
  <c r="N3981" i="1"/>
  <c r="N12143" i="1"/>
  <c r="N2535" i="1"/>
  <c r="N2678" i="1"/>
  <c r="N2833" i="1"/>
  <c r="N25408" i="1"/>
  <c r="N5408" i="1"/>
  <c r="N5407" i="1"/>
  <c r="N3345" i="1"/>
  <c r="N24996" i="1"/>
  <c r="N24995" i="1"/>
  <c r="N2300" i="1"/>
  <c r="N2299" i="1"/>
  <c r="N12290" i="1"/>
  <c r="N25870" i="1"/>
  <c r="N25574" i="1"/>
  <c r="N6185" i="1"/>
  <c r="N1211" i="1"/>
  <c r="N23577" i="1"/>
  <c r="N23131" i="1"/>
  <c r="N15627" i="1"/>
  <c r="N9442" i="1"/>
  <c r="N15407" i="1"/>
  <c r="N15406" i="1"/>
  <c r="N6478" i="1"/>
  <c r="N6334" i="1"/>
  <c r="N6120" i="1"/>
  <c r="N6119" i="1"/>
  <c r="N12326" i="1"/>
  <c r="N18533" i="1"/>
  <c r="N3533" i="1"/>
  <c r="N22974" i="1"/>
  <c r="N22973" i="1"/>
  <c r="N14588" i="1"/>
  <c r="N12528" i="1"/>
  <c r="N8819" i="1"/>
  <c r="N9017" i="1"/>
  <c r="N8432" i="1"/>
  <c r="N8431" i="1"/>
  <c r="N17314" i="1"/>
  <c r="N2273" i="1"/>
  <c r="N17313" i="1"/>
  <c r="N1515" i="1"/>
  <c r="N1514" i="1"/>
  <c r="N4455" i="1"/>
  <c r="N4454" i="1"/>
  <c r="N15431" i="1"/>
  <c r="N15430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15887" i="1"/>
  <c r="N5406" i="1"/>
  <c r="N25407" i="1"/>
  <c r="N19349" i="1"/>
  <c r="N19045" i="1"/>
  <c r="N22972" i="1"/>
  <c r="N2832" i="1"/>
  <c r="N1393" i="1"/>
  <c r="N6184" i="1"/>
  <c r="N15071" i="1"/>
  <c r="N15070" i="1"/>
  <c r="N1228" i="1"/>
  <c r="N10647" i="1"/>
  <c r="N10645" i="1"/>
  <c r="N13232" i="1"/>
  <c r="N13231" i="1"/>
  <c r="N12085" i="1"/>
  <c r="N14978" i="1"/>
  <c r="N14977" i="1"/>
  <c r="N16289" i="1"/>
  <c r="N17971" i="1"/>
  <c r="N1738" i="1"/>
  <c r="N12481" i="1"/>
  <c r="N8818" i="1"/>
  <c r="N8817" i="1"/>
  <c r="N8430" i="1"/>
  <c r="N8816" i="1"/>
  <c r="N4510" i="1"/>
  <c r="N8815" i="1"/>
  <c r="N8814" i="1"/>
  <c r="N9002" i="1"/>
  <c r="N8813" i="1"/>
  <c r="N8812" i="1"/>
  <c r="N8811" i="1"/>
  <c r="N14986" i="1"/>
  <c r="N8810" i="1"/>
  <c r="N8809" i="1"/>
  <c r="N8808" i="1"/>
  <c r="N8807" i="1"/>
  <c r="N8806" i="1"/>
  <c r="N6183" i="1"/>
  <c r="N8805" i="1"/>
  <c r="N15886" i="1"/>
  <c r="N11122" i="1"/>
  <c r="N8804" i="1"/>
  <c r="N4395" i="1"/>
  <c r="N9016" i="1"/>
  <c r="N8803" i="1"/>
  <c r="N8802" i="1"/>
  <c r="N8801" i="1"/>
  <c r="N8800" i="1"/>
  <c r="N6182" i="1"/>
  <c r="N8799" i="1"/>
  <c r="N8798" i="1"/>
  <c r="N8797" i="1"/>
  <c r="N4394" i="1"/>
  <c r="N6181" i="1"/>
  <c r="N8429" i="1"/>
  <c r="N8796" i="1"/>
  <c r="N8795" i="1"/>
  <c r="N8794" i="1"/>
  <c r="N8793" i="1"/>
  <c r="N8792" i="1"/>
  <c r="N6180" i="1"/>
  <c r="N6145" i="1"/>
  <c r="N4309" i="1"/>
  <c r="N6150" i="1"/>
  <c r="N2922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3167" i="1"/>
  <c r="N3166" i="1"/>
  <c r="N4219" i="1"/>
  <c r="N4214" i="1"/>
  <c r="N4225" i="1"/>
  <c r="N5200" i="1"/>
  <c r="N5199" i="1"/>
  <c r="N2921" i="1"/>
  <c r="N11052" i="1"/>
  <c r="N14489" i="1"/>
  <c r="N5198" i="1"/>
  <c r="N5197" i="1"/>
  <c r="N2278" i="1"/>
  <c r="N9519" i="1"/>
  <c r="N15331" i="1"/>
  <c r="N10660" i="1"/>
  <c r="N18702" i="1"/>
  <c r="N4138" i="1"/>
  <c r="N4140" i="1"/>
  <c r="N4148" i="1"/>
  <c r="N4447" i="1"/>
  <c r="N4453" i="1"/>
  <c r="N23839" i="1"/>
  <c r="N23838" i="1"/>
  <c r="N24305" i="1"/>
  <c r="N12736" i="1"/>
  <c r="N12735" i="1"/>
  <c r="N6493" i="1"/>
  <c r="N18891" i="1"/>
  <c r="N18890" i="1"/>
  <c r="N18889" i="1"/>
  <c r="N18888" i="1"/>
  <c r="N18887" i="1"/>
  <c r="N18886" i="1"/>
  <c r="N1493" i="1"/>
  <c r="N24216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2226" i="1"/>
  <c r="N2225" i="1"/>
  <c r="N2224" i="1"/>
  <c r="N2831" i="1"/>
  <c r="N18885" i="1"/>
  <c r="N18884" i="1"/>
  <c r="N18883" i="1"/>
  <c r="N2830" i="1"/>
  <c r="N19816" i="1"/>
  <c r="N19815" i="1"/>
  <c r="N25869" i="1"/>
  <c r="N8428" i="1"/>
  <c r="N8118" i="1"/>
  <c r="N1197" i="1"/>
  <c r="N1196" i="1"/>
  <c r="N18882" i="1"/>
  <c r="N16400" i="1"/>
  <c r="N6161" i="1"/>
  <c r="N13653" i="1"/>
  <c r="N13652" i="1"/>
  <c r="N8117" i="1"/>
  <c r="N5405" i="1"/>
  <c r="N19224" i="1"/>
  <c r="N19223" i="1"/>
  <c r="N10221" i="1"/>
  <c r="N10220" i="1"/>
  <c r="N11103" i="1"/>
  <c r="N11171" i="1"/>
  <c r="N24994" i="1"/>
  <c r="N25868" i="1"/>
  <c r="N11102" i="1"/>
  <c r="N19222" i="1"/>
  <c r="N9465" i="1"/>
  <c r="N9464" i="1"/>
  <c r="N3165" i="1"/>
  <c r="N2223" i="1"/>
  <c r="N2222" i="1"/>
  <c r="N2287" i="1"/>
  <c r="N2286" i="1"/>
  <c r="N6831" i="1"/>
  <c r="N8116" i="1"/>
  <c r="N24993" i="1"/>
  <c r="N3455" i="1"/>
  <c r="N3454" i="1"/>
  <c r="N6837" i="1"/>
  <c r="N2521" i="1"/>
  <c r="N1555" i="1"/>
  <c r="N4574" i="1"/>
  <c r="N8292" i="1"/>
  <c r="N5252" i="1"/>
  <c r="N12142" i="1"/>
  <c r="N12141" i="1"/>
  <c r="N25573" i="1"/>
  <c r="N25337" i="1"/>
  <c r="N19336" i="1"/>
  <c r="N15973" i="1"/>
  <c r="N25689" i="1"/>
  <c r="N3830" i="1"/>
  <c r="N25281" i="1"/>
  <c r="N13814" i="1"/>
  <c r="N11946" i="1"/>
  <c r="N12057" i="1"/>
  <c r="N12056" i="1"/>
  <c r="N19769" i="1"/>
  <c r="N19768" i="1"/>
  <c r="N19767" i="1"/>
  <c r="N1885" i="1"/>
  <c r="N22971" i="1"/>
  <c r="N22970" i="1"/>
  <c r="N22969" i="1"/>
  <c r="N22968" i="1"/>
  <c r="N22967" i="1"/>
  <c r="N22966" i="1"/>
  <c r="N1829" i="1"/>
  <c r="N1828" i="1"/>
  <c r="N16055" i="1"/>
  <c r="N12684" i="1"/>
  <c r="N23576" i="1"/>
  <c r="N18526" i="1"/>
  <c r="N18423" i="1"/>
  <c r="N18422" i="1"/>
  <c r="N18421" i="1"/>
  <c r="N3536" i="1"/>
  <c r="N24992" i="1"/>
  <c r="N24991" i="1"/>
  <c r="N24990" i="1"/>
  <c r="N24989" i="1"/>
  <c r="N24988" i="1"/>
  <c r="N24987" i="1"/>
  <c r="N24986" i="1"/>
  <c r="N24985" i="1"/>
  <c r="N24984" i="1"/>
  <c r="N24983" i="1"/>
  <c r="N24982" i="1"/>
  <c r="N24981" i="1"/>
  <c r="N24980" i="1"/>
  <c r="N24979" i="1"/>
  <c r="N24978" i="1"/>
  <c r="N24977" i="1"/>
  <c r="N24976" i="1"/>
  <c r="N24975" i="1"/>
  <c r="N24974" i="1"/>
  <c r="N18881" i="1"/>
  <c r="N9968" i="1"/>
  <c r="N2221" i="1"/>
  <c r="N2220" i="1"/>
  <c r="N2219" i="1"/>
  <c r="N25572" i="1"/>
  <c r="N17885" i="1"/>
  <c r="N8998" i="1"/>
  <c r="N13865" i="1"/>
  <c r="N23090" i="1"/>
  <c r="N13864" i="1"/>
  <c r="N24973" i="1"/>
  <c r="N24972" i="1"/>
  <c r="N24971" i="1"/>
  <c r="N24970" i="1"/>
  <c r="N24969" i="1"/>
  <c r="N24968" i="1"/>
  <c r="N24967" i="1"/>
  <c r="N24966" i="1"/>
  <c r="N2677" i="1"/>
  <c r="N16016" i="1"/>
  <c r="N8291" i="1"/>
  <c r="N5404" i="1"/>
  <c r="N9441" i="1"/>
  <c r="N15531" i="1"/>
  <c r="N23876" i="1"/>
  <c r="N17304" i="1"/>
  <c r="N17303" i="1"/>
  <c r="N17302" i="1"/>
  <c r="N17301" i="1"/>
  <c r="N24965" i="1"/>
  <c r="N24964" i="1"/>
  <c r="N24849" i="1"/>
  <c r="N5251" i="1"/>
  <c r="N25406" i="1"/>
  <c r="N12185" i="1"/>
  <c r="N12184" i="1"/>
  <c r="N12183" i="1"/>
  <c r="N5250" i="1"/>
  <c r="N16027" i="1"/>
  <c r="N1403" i="1"/>
  <c r="N1402" i="1"/>
  <c r="N15816" i="1"/>
  <c r="N15815" i="1"/>
  <c r="N25867" i="1"/>
  <c r="N25866" i="1"/>
  <c r="N5403" i="1"/>
  <c r="N5402" i="1"/>
  <c r="N8290" i="1"/>
  <c r="N8289" i="1"/>
  <c r="N8288" i="1"/>
  <c r="N2534" i="1"/>
  <c r="N5401" i="1"/>
  <c r="N18966" i="1"/>
  <c r="N18965" i="1"/>
  <c r="N2332" i="1"/>
  <c r="N7788" i="1"/>
  <c r="N7348" i="1"/>
  <c r="N7347" i="1"/>
  <c r="N24718" i="1"/>
  <c r="N7787" i="1"/>
  <c r="N7346" i="1"/>
  <c r="N7786" i="1"/>
  <c r="N7345" i="1"/>
  <c r="N1875" i="1"/>
  <c r="N13802" i="1"/>
  <c r="N4393" i="1"/>
  <c r="N18262" i="1"/>
  <c r="N17944" i="1"/>
  <c r="N3859" i="1"/>
  <c r="N3858" i="1"/>
  <c r="N3857" i="1"/>
  <c r="N3856" i="1"/>
  <c r="N3855" i="1"/>
  <c r="N9055" i="1"/>
  <c r="N5249" i="1"/>
  <c r="N5400" i="1"/>
  <c r="N18261" i="1"/>
  <c r="N18532" i="1"/>
  <c r="N18531" i="1"/>
  <c r="N1492" i="1"/>
  <c r="N4257" i="1"/>
  <c r="N4247" i="1"/>
  <c r="N2829" i="1"/>
  <c r="N24831" i="1"/>
  <c r="N24963" i="1"/>
  <c r="N24962" i="1"/>
  <c r="N24961" i="1"/>
  <c r="N24960" i="1"/>
  <c r="N24959" i="1"/>
  <c r="N23697" i="1"/>
  <c r="N18645" i="1"/>
  <c r="N8033" i="1"/>
  <c r="N18260" i="1"/>
  <c r="N17983" i="1"/>
  <c r="N14441" i="1"/>
  <c r="N10078" i="1"/>
  <c r="N8791" i="1"/>
  <c r="N8427" i="1"/>
  <c r="N9001" i="1"/>
  <c r="N16635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15156" i="1"/>
  <c r="N15155" i="1"/>
  <c r="N15154" i="1"/>
  <c r="N13375" i="1"/>
  <c r="N13374" i="1"/>
  <c r="N13373" i="1"/>
  <c r="N22965" i="1"/>
  <c r="N22964" i="1"/>
  <c r="N22963" i="1"/>
  <c r="N22962" i="1"/>
  <c r="N19041" i="1"/>
  <c r="N2380" i="1"/>
  <c r="N4025" i="1"/>
  <c r="N3965" i="1"/>
  <c r="N4087" i="1"/>
  <c r="N14991" i="1"/>
  <c r="N15344" i="1"/>
  <c r="N3820" i="1"/>
  <c r="N16634" i="1"/>
  <c r="N1549" i="1"/>
  <c r="N13040" i="1"/>
  <c r="N13039" i="1"/>
  <c r="N13038" i="1"/>
  <c r="N13037" i="1"/>
  <c r="N13036" i="1"/>
  <c r="N13035" i="1"/>
  <c r="N7899" i="1"/>
  <c r="N11741" i="1"/>
  <c r="N11740" i="1"/>
  <c r="N5399" i="1"/>
  <c r="N25571" i="1"/>
  <c r="N25706" i="1"/>
  <c r="N1759" i="1"/>
  <c r="N13993" i="1"/>
  <c r="N11101" i="1"/>
  <c r="N7898" i="1"/>
  <c r="N5190" i="1"/>
  <c r="N5184" i="1"/>
  <c r="N5182" i="1"/>
  <c r="N25570" i="1"/>
  <c r="N25405" i="1"/>
  <c r="N4333" i="1"/>
  <c r="N11978" i="1"/>
  <c r="N18259" i="1"/>
  <c r="N18258" i="1"/>
  <c r="N11262" i="1"/>
  <c r="N3652" i="1"/>
  <c r="N3651" i="1"/>
  <c r="N13034" i="1"/>
  <c r="N15375" i="1"/>
  <c r="N15374" i="1"/>
  <c r="N1806" i="1"/>
  <c r="N1805" i="1"/>
  <c r="N8287" i="1"/>
  <c r="N6357" i="1"/>
  <c r="N1453" i="1"/>
  <c r="N1471" i="1"/>
  <c r="N18077" i="1"/>
  <c r="N16305" i="1"/>
  <c r="N25865" i="1"/>
  <c r="N25569" i="1"/>
  <c r="N11568" i="1"/>
  <c r="N13992" i="1"/>
  <c r="N12140" i="1"/>
  <c r="N11237" i="1"/>
  <c r="N11567" i="1"/>
  <c r="N11236" i="1"/>
  <c r="N11566" i="1"/>
  <c r="N11235" i="1"/>
  <c r="N11565" i="1"/>
  <c r="N18880" i="1"/>
  <c r="N18879" i="1"/>
  <c r="N15885" i="1"/>
  <c r="N2676" i="1"/>
  <c r="N24958" i="1"/>
  <c r="N24957" i="1"/>
  <c r="N24956" i="1"/>
  <c r="N24955" i="1"/>
  <c r="N24954" i="1"/>
  <c r="N24953" i="1"/>
  <c r="N24952" i="1"/>
  <c r="N24951" i="1"/>
  <c r="N2450" i="1"/>
  <c r="N24950" i="1"/>
  <c r="N5398" i="1"/>
  <c r="N5397" i="1"/>
  <c r="N5396" i="1"/>
  <c r="N5248" i="1"/>
  <c r="N24829" i="1"/>
  <c r="N24949" i="1"/>
  <c r="N24948" i="1"/>
  <c r="N24947" i="1"/>
  <c r="N11187" i="1"/>
  <c r="N7785" i="1"/>
  <c r="N7875" i="1"/>
  <c r="N7344" i="1"/>
  <c r="N4699" i="1"/>
  <c r="N4024" i="1"/>
  <c r="N4919" i="1"/>
  <c r="N4918" i="1"/>
  <c r="N4917" i="1"/>
  <c r="N4916" i="1"/>
  <c r="N4915" i="1"/>
  <c r="N4914" i="1"/>
  <c r="N18878" i="1"/>
  <c r="N25864" i="1"/>
  <c r="N7784" i="1"/>
  <c r="N7343" i="1"/>
  <c r="N7342" i="1"/>
  <c r="N7783" i="1"/>
  <c r="N7631" i="1"/>
  <c r="N7341" i="1"/>
  <c r="N23883" i="1"/>
  <c r="N18688" i="1"/>
  <c r="N18687" i="1"/>
  <c r="N7782" i="1"/>
  <c r="N7340" i="1"/>
  <c r="N7781" i="1"/>
  <c r="N7339" i="1"/>
  <c r="N7780" i="1"/>
  <c r="N7338" i="1"/>
  <c r="N7337" i="1"/>
  <c r="N18877" i="1"/>
  <c r="N18876" i="1"/>
  <c r="N15461" i="1"/>
  <c r="N10050" i="1"/>
  <c r="N23861" i="1"/>
  <c r="N23862" i="1"/>
  <c r="N10049" i="1"/>
  <c r="N25404" i="1"/>
  <c r="N10048" i="1"/>
  <c r="N10047" i="1"/>
  <c r="N3357" i="1"/>
  <c r="N10170" i="1"/>
  <c r="N10046" i="1"/>
  <c r="N10045" i="1"/>
  <c r="N18875" i="1"/>
  <c r="N18874" i="1"/>
  <c r="N10044" i="1"/>
  <c r="N15343" i="1"/>
  <c r="N13948" i="1"/>
  <c r="N1934" i="1"/>
  <c r="N14926" i="1"/>
  <c r="N14925" i="1"/>
  <c r="N18257" i="1"/>
  <c r="N14924" i="1"/>
  <c r="N11739" i="1"/>
  <c r="N25863" i="1"/>
  <c r="N18019" i="1"/>
  <c r="N18018" i="1"/>
  <c r="N23639" i="1"/>
  <c r="N24749" i="1"/>
  <c r="N12571" i="1"/>
  <c r="N12570" i="1"/>
  <c r="N25961" i="1"/>
  <c r="N12734" i="1"/>
  <c r="N2484" i="1"/>
  <c r="N2483" i="1"/>
  <c r="N23528" i="1"/>
  <c r="N4698" i="1"/>
  <c r="N4697" i="1"/>
  <c r="N23575" i="1"/>
  <c r="N25966" i="1"/>
  <c r="N18873" i="1"/>
  <c r="N2470" i="1"/>
  <c r="N2469" i="1"/>
  <c r="N25862" i="1"/>
  <c r="N8426" i="1"/>
  <c r="N24560" i="1"/>
  <c r="N24559" i="1"/>
  <c r="N24558" i="1"/>
  <c r="N24557" i="1"/>
  <c r="N24556" i="1"/>
  <c r="N24555" i="1"/>
  <c r="N24554" i="1"/>
  <c r="N24553" i="1"/>
  <c r="N24552" i="1"/>
  <c r="N24551" i="1"/>
  <c r="N12598" i="1"/>
  <c r="N12592" i="1"/>
  <c r="N3575" i="1"/>
  <c r="N12601" i="1"/>
  <c r="N15405" i="1"/>
  <c r="N14866" i="1"/>
  <c r="N6490" i="1"/>
  <c r="N11993" i="1"/>
  <c r="N11564" i="1"/>
  <c r="N13895" i="1"/>
  <c r="N3740" i="1"/>
  <c r="N3747" i="1"/>
  <c r="N13894" i="1"/>
  <c r="N2863" i="1"/>
  <c r="N6504" i="1"/>
  <c r="N1933" i="1"/>
  <c r="N15674" i="1"/>
  <c r="N15673" i="1"/>
  <c r="N15672" i="1"/>
  <c r="N25568" i="1"/>
  <c r="N23384" i="1"/>
  <c r="N23383" i="1"/>
  <c r="N23382" i="1"/>
  <c r="N23510" i="1"/>
  <c r="N23381" i="1"/>
  <c r="N23509" i="1"/>
  <c r="N1921" i="1"/>
  <c r="N5173" i="1"/>
  <c r="N25567" i="1"/>
  <c r="N25403" i="1"/>
  <c r="N2288" i="1"/>
  <c r="N22961" i="1"/>
  <c r="N22960" i="1"/>
  <c r="N22959" i="1"/>
  <c r="N22958" i="1"/>
  <c r="N22957" i="1"/>
  <c r="N3632" i="1"/>
  <c r="N1267" i="1"/>
  <c r="N1256" i="1"/>
  <c r="N1276" i="1"/>
  <c r="N14970" i="1"/>
  <c r="N14969" i="1"/>
  <c r="N3507" i="1"/>
  <c r="N1227" i="1"/>
  <c r="N1195" i="1"/>
  <c r="N1194" i="1"/>
  <c r="N1588" i="1"/>
  <c r="N1587" i="1"/>
  <c r="N5395" i="1"/>
  <c r="N5247" i="1"/>
  <c r="N5246" i="1"/>
  <c r="N5245" i="1"/>
  <c r="N8286" i="1"/>
  <c r="N8285" i="1"/>
  <c r="N2762" i="1"/>
  <c r="N8284" i="1"/>
  <c r="N4086" i="1"/>
  <c r="N24946" i="1"/>
  <c r="N24945" i="1"/>
  <c r="N24838" i="1"/>
  <c r="N24944" i="1"/>
  <c r="N25336" i="1"/>
  <c r="N25861" i="1"/>
  <c r="N13991" i="1"/>
  <c r="N25566" i="1"/>
  <c r="N9412" i="1"/>
  <c r="N25565" i="1"/>
  <c r="N5394" i="1"/>
  <c r="N11563" i="1"/>
  <c r="N25564" i="1"/>
  <c r="N11562" i="1"/>
  <c r="N25860" i="1"/>
  <c r="N25859" i="1"/>
  <c r="N11561" i="1"/>
  <c r="N5244" i="1"/>
  <c r="N11560" i="1"/>
  <c r="N25688" i="1"/>
  <c r="N25858" i="1"/>
  <c r="N11559" i="1"/>
  <c r="N11234" i="1"/>
  <c r="N11558" i="1"/>
  <c r="N11233" i="1"/>
  <c r="N11557" i="1"/>
  <c r="N25402" i="1"/>
  <c r="N25857" i="1"/>
  <c r="N12182" i="1"/>
  <c r="N25401" i="1"/>
  <c r="N4346" i="1"/>
  <c r="N2828" i="1"/>
  <c r="N5393" i="1"/>
  <c r="N5243" i="1"/>
  <c r="N25856" i="1"/>
  <c r="N25855" i="1"/>
  <c r="N25335" i="1"/>
  <c r="N8283" i="1"/>
  <c r="N16015" i="1"/>
  <c r="N24113" i="1"/>
  <c r="N23074" i="1"/>
  <c r="N11977" i="1"/>
  <c r="N11976" i="1"/>
  <c r="N11975" i="1"/>
  <c r="N11974" i="1"/>
  <c r="N11973" i="1"/>
  <c r="N11972" i="1"/>
  <c r="N1450" i="1"/>
  <c r="N25400" i="1"/>
  <c r="N8282" i="1"/>
  <c r="N8281" i="1"/>
  <c r="N8280" i="1"/>
  <c r="N23002" i="1"/>
  <c r="N15972" i="1"/>
  <c r="N15934" i="1"/>
  <c r="N25563" i="1"/>
  <c r="N6590" i="1"/>
  <c r="N18347" i="1"/>
  <c r="N18346" i="1"/>
  <c r="N19094" i="1"/>
  <c r="N19093" i="1"/>
  <c r="N19092" i="1"/>
  <c r="N1255" i="1"/>
  <c r="N1266" i="1"/>
  <c r="N15884" i="1"/>
  <c r="N15834" i="1"/>
  <c r="N15827" i="1"/>
  <c r="N4899" i="1"/>
  <c r="N4898" i="1"/>
  <c r="N4924" i="1"/>
  <c r="N6589" i="1"/>
  <c r="N6588" i="1"/>
  <c r="N6533" i="1"/>
  <c r="N24665" i="1"/>
  <c r="N24664" i="1"/>
  <c r="N24663" i="1"/>
  <c r="N11100" i="1"/>
  <c r="N24795" i="1"/>
  <c r="N24783" i="1"/>
  <c r="N24809" i="1"/>
  <c r="N25854" i="1"/>
  <c r="N1265" i="1"/>
  <c r="N1254" i="1"/>
  <c r="N1613" i="1"/>
  <c r="N13285" i="1"/>
  <c r="N13284" i="1"/>
  <c r="N13283" i="1"/>
  <c r="N7336" i="1"/>
  <c r="N7779" i="1"/>
  <c r="N7335" i="1"/>
  <c r="N7778" i="1"/>
  <c r="N7334" i="1"/>
  <c r="N7777" i="1"/>
  <c r="N7333" i="1"/>
  <c r="N7332" i="1"/>
  <c r="N7630" i="1"/>
  <c r="N7331" i="1"/>
  <c r="N11117" i="1"/>
  <c r="N7776" i="1"/>
  <c r="N7330" i="1"/>
  <c r="N7329" i="1"/>
  <c r="N21846" i="1"/>
  <c r="N16014" i="1"/>
  <c r="N3110" i="1"/>
  <c r="N2446" i="1"/>
  <c r="N10560" i="1"/>
  <c r="N14982" i="1"/>
  <c r="N11099" i="1"/>
  <c r="N24232" i="1"/>
  <c r="N24231" i="1"/>
  <c r="N24230" i="1"/>
  <c r="N11098" i="1"/>
  <c r="N17677" i="1"/>
  <c r="N18552" i="1"/>
  <c r="N4392" i="1"/>
  <c r="N6325" i="1"/>
  <c r="N18366" i="1"/>
  <c r="N9374" i="1"/>
  <c r="N9351" i="1"/>
  <c r="N9373" i="1"/>
  <c r="N16069" i="1"/>
  <c r="N2206" i="1"/>
  <c r="N2205" i="1"/>
  <c r="N2204" i="1"/>
  <c r="N2203" i="1"/>
  <c r="N2202" i="1"/>
  <c r="N7989" i="1"/>
  <c r="N9391" i="1"/>
  <c r="N23380" i="1"/>
  <c r="N17912" i="1"/>
  <c r="N8044" i="1"/>
  <c r="N4045" i="1"/>
  <c r="N24782" i="1"/>
  <c r="N8279" i="1"/>
  <c r="N15626" i="1"/>
  <c r="N15625" i="1"/>
  <c r="N15624" i="1"/>
  <c r="N10641" i="1"/>
  <c r="N15883" i="1"/>
  <c r="N14883" i="1"/>
  <c r="N14882" i="1"/>
  <c r="N14881" i="1"/>
  <c r="N14923" i="1"/>
  <c r="N14922" i="1"/>
  <c r="N14921" i="1"/>
  <c r="N14920" i="1"/>
  <c r="N14919" i="1"/>
  <c r="N14918" i="1"/>
  <c r="N14880" i="1"/>
  <c r="N14879" i="1"/>
  <c r="N14878" i="1"/>
  <c r="N14917" i="1"/>
  <c r="N14916" i="1"/>
  <c r="N11556" i="1"/>
  <c r="N11555" i="1"/>
  <c r="N11554" i="1"/>
  <c r="N14915" i="1"/>
  <c r="N14877" i="1"/>
  <c r="N14914" i="1"/>
  <c r="N18517" i="1"/>
  <c r="N18521" i="1"/>
  <c r="N18516" i="1"/>
  <c r="N18515" i="1"/>
  <c r="N23124" i="1"/>
  <c r="N10391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18686" i="1"/>
  <c r="N2459" i="1"/>
  <c r="N25853" i="1"/>
  <c r="N24943" i="1"/>
  <c r="N24868" i="1"/>
  <c r="N24942" i="1"/>
  <c r="N24941" i="1"/>
  <c r="N24940" i="1"/>
  <c r="N24939" i="1"/>
  <c r="N24938" i="1"/>
  <c r="N2675" i="1"/>
  <c r="N21845" i="1"/>
  <c r="N21844" i="1"/>
  <c r="N21843" i="1"/>
  <c r="N21842" i="1"/>
  <c r="N21841" i="1"/>
  <c r="N21840" i="1"/>
  <c r="N21839" i="1"/>
  <c r="N21838" i="1"/>
  <c r="N21837" i="1"/>
  <c r="N21836" i="1"/>
  <c r="N21835" i="1"/>
  <c r="N21834" i="1"/>
  <c r="N12244" i="1"/>
  <c r="N8278" i="1"/>
  <c r="N3473" i="1"/>
  <c r="N12771" i="1"/>
  <c r="N8020" i="1"/>
  <c r="N2427" i="1"/>
  <c r="N19245" i="1"/>
  <c r="N3372" i="1"/>
  <c r="N3083" i="1"/>
  <c r="N19051" i="1"/>
  <c r="N14567" i="1"/>
  <c r="N14566" i="1"/>
  <c r="N15066" i="1"/>
  <c r="N1320" i="1"/>
  <c r="N21833" i="1"/>
  <c r="N21832" i="1"/>
  <c r="N5392" i="1"/>
  <c r="N4573" i="1"/>
  <c r="N4572" i="1"/>
  <c r="N4571" i="1"/>
  <c r="N4570" i="1"/>
  <c r="N4569" i="1"/>
  <c r="N4568" i="1"/>
  <c r="N12438" i="1"/>
  <c r="N12437" i="1"/>
  <c r="N12436" i="1"/>
  <c r="N25852" i="1"/>
  <c r="N5391" i="1"/>
  <c r="N13990" i="1"/>
  <c r="N25562" i="1"/>
  <c r="N13989" i="1"/>
  <c r="N2440" i="1"/>
  <c r="N12294" i="1"/>
  <c r="N6752" i="1"/>
  <c r="N6751" i="1"/>
  <c r="N7316" i="1"/>
  <c r="N7315" i="1"/>
  <c r="N7314" i="1"/>
  <c r="N22956" i="1"/>
  <c r="N22955" i="1"/>
  <c r="N17270" i="1"/>
  <c r="N6587" i="1"/>
  <c r="N14416" i="1"/>
  <c r="N18052" i="1"/>
  <c r="N2201" i="1"/>
  <c r="N15537" i="1"/>
  <c r="N14656" i="1"/>
  <c r="N4658" i="1"/>
  <c r="N9372" i="1"/>
  <c r="N9350" i="1"/>
  <c r="N19118" i="1"/>
  <c r="N3315" i="1"/>
  <c r="N3314" i="1"/>
  <c r="N3570" i="1"/>
  <c r="N3569" i="1"/>
  <c r="N14409" i="1"/>
  <c r="N14408" i="1"/>
  <c r="N14407" i="1"/>
  <c r="N23882" i="1"/>
  <c r="N23881" i="1"/>
  <c r="N15740" i="1"/>
  <c r="N18939" i="1"/>
  <c r="N6812" i="1"/>
  <c r="N19221" i="1"/>
  <c r="N19220" i="1"/>
  <c r="N4391" i="1"/>
  <c r="N1920" i="1"/>
  <c r="N10337" i="1"/>
  <c r="N10336" i="1"/>
  <c r="N5390" i="1"/>
  <c r="N9878" i="1"/>
  <c r="N9877" i="1"/>
  <c r="N9876" i="1"/>
  <c r="N9108" i="1"/>
  <c r="N19219" i="1"/>
  <c r="N19218" i="1"/>
  <c r="N13844" i="1"/>
  <c r="N13843" i="1"/>
  <c r="N13842" i="1"/>
  <c r="N12394" i="1"/>
  <c r="N12393" i="1"/>
  <c r="N8790" i="1"/>
  <c r="N8789" i="1"/>
  <c r="N8425" i="1"/>
  <c r="N18068" i="1"/>
  <c r="N8424" i="1"/>
  <c r="N3618" i="1"/>
  <c r="N8788" i="1"/>
  <c r="N8787" i="1"/>
  <c r="N8786" i="1"/>
  <c r="N9045" i="1"/>
  <c r="N8785" i="1"/>
  <c r="N8784" i="1"/>
  <c r="N8423" i="1"/>
  <c r="N8783" i="1"/>
  <c r="N8782" i="1"/>
  <c r="N8422" i="1"/>
  <c r="N8781" i="1"/>
  <c r="N8421" i="1"/>
  <c r="N8780" i="1"/>
  <c r="N14610" i="1"/>
  <c r="N14631" i="1"/>
  <c r="N14638" i="1"/>
  <c r="N8779" i="1"/>
  <c r="N8778" i="1"/>
  <c r="N8777" i="1"/>
  <c r="N8776" i="1"/>
  <c r="N9015" i="1"/>
  <c r="N21831" i="1"/>
  <c r="N21830" i="1"/>
  <c r="N21829" i="1"/>
  <c r="N21828" i="1"/>
  <c r="N21827" i="1"/>
  <c r="N21826" i="1"/>
  <c r="N21825" i="1"/>
  <c r="N21824" i="1"/>
  <c r="N1512" i="1"/>
  <c r="N13033" i="1"/>
  <c r="N10577" i="1"/>
  <c r="N13032" i="1"/>
  <c r="N21823" i="1"/>
  <c r="N21822" i="1"/>
  <c r="N21821" i="1"/>
  <c r="N21820" i="1"/>
  <c r="N21819" i="1"/>
  <c r="N21818" i="1"/>
  <c r="N21817" i="1"/>
  <c r="N21816" i="1"/>
  <c r="N21815" i="1"/>
  <c r="N21814" i="1"/>
  <c r="N21813" i="1"/>
  <c r="N21812" i="1"/>
  <c r="N21811" i="1"/>
  <c r="N21810" i="1"/>
  <c r="N21809" i="1"/>
  <c r="N21808" i="1"/>
  <c r="N21807" i="1"/>
  <c r="N21806" i="1"/>
  <c r="N13031" i="1"/>
  <c r="N13030" i="1"/>
  <c r="N19581" i="1"/>
  <c r="N16304" i="1"/>
  <c r="N13029" i="1"/>
  <c r="N13028" i="1"/>
  <c r="N13027" i="1"/>
  <c r="N10357" i="1"/>
  <c r="N13026" i="1"/>
  <c r="N13025" i="1"/>
  <c r="N24744" i="1"/>
  <c r="N13024" i="1"/>
  <c r="N21805" i="1"/>
  <c r="N21804" i="1"/>
  <c r="N21803" i="1"/>
  <c r="N1567" i="1"/>
  <c r="N2458" i="1"/>
  <c r="N14800" i="1"/>
  <c r="N14799" i="1"/>
  <c r="N14798" i="1"/>
  <c r="N14797" i="1"/>
  <c r="N14796" i="1"/>
  <c r="N14795" i="1"/>
  <c r="N14794" i="1"/>
  <c r="N14793" i="1"/>
  <c r="N14792" i="1"/>
  <c r="N14791" i="1"/>
  <c r="N14790" i="1"/>
  <c r="N14789" i="1"/>
  <c r="N14788" i="1"/>
  <c r="N14787" i="1"/>
  <c r="N14786" i="1"/>
  <c r="N14684" i="1"/>
  <c r="N2457" i="1"/>
  <c r="N19274" i="1"/>
  <c r="N3519" i="1"/>
  <c r="N15841" i="1"/>
  <c r="N24717" i="1"/>
  <c r="N24716" i="1"/>
  <c r="N24715" i="1"/>
  <c r="N8372" i="1"/>
  <c r="N8371" i="1"/>
  <c r="N15882" i="1"/>
  <c r="N25687" i="1"/>
  <c r="N25334" i="1"/>
  <c r="N25851" i="1"/>
  <c r="N25850" i="1"/>
  <c r="N25849" i="1"/>
  <c r="N25333" i="1"/>
  <c r="N25332" i="1"/>
  <c r="N25848" i="1"/>
  <c r="N25331" i="1"/>
  <c r="N25847" i="1"/>
  <c r="N25846" i="1"/>
  <c r="N3918" i="1"/>
  <c r="N3917" i="1"/>
  <c r="N3916" i="1"/>
  <c r="N18051" i="1"/>
  <c r="N18050" i="1"/>
  <c r="N25920" i="1"/>
  <c r="N2862" i="1"/>
  <c r="N11553" i="1"/>
  <c r="N11552" i="1"/>
  <c r="N3027" i="1"/>
  <c r="N3026" i="1"/>
  <c r="N3025" i="1"/>
  <c r="N3024" i="1"/>
  <c r="N3023" i="1"/>
  <c r="N3022" i="1"/>
  <c r="N5126" i="1"/>
  <c r="N5125" i="1"/>
  <c r="N5124" i="1"/>
  <c r="N5123" i="1"/>
  <c r="N5122" i="1"/>
  <c r="N5121" i="1"/>
  <c r="N5120" i="1"/>
  <c r="N5119" i="1"/>
  <c r="N5118" i="1"/>
  <c r="N5117" i="1"/>
  <c r="N15881" i="1"/>
  <c r="N13230" i="1"/>
  <c r="N12409" i="1"/>
  <c r="N19821" i="1"/>
  <c r="N16054" i="1"/>
  <c r="N24481" i="1"/>
  <c r="N13444" i="1"/>
  <c r="N13443" i="1"/>
  <c r="N13442" i="1"/>
  <c r="N3560" i="1"/>
  <c r="N12683" i="1"/>
  <c r="N3828" i="1"/>
  <c r="N16297" i="1"/>
  <c r="N23379" i="1"/>
  <c r="N23378" i="1"/>
  <c r="N23172" i="1"/>
  <c r="N23229" i="1"/>
  <c r="N23490" i="1"/>
  <c r="N23377" i="1"/>
  <c r="N23376" i="1"/>
  <c r="N23251" i="1"/>
  <c r="N17269" i="1"/>
  <c r="N17268" i="1"/>
  <c r="N19791" i="1"/>
  <c r="N3602" i="1"/>
  <c r="N19217" i="1"/>
  <c r="N19177" i="1"/>
  <c r="N19216" i="1"/>
  <c r="N1285" i="1"/>
  <c r="N23751" i="1"/>
  <c r="N23750" i="1"/>
  <c r="N3753" i="1"/>
  <c r="N3752" i="1"/>
  <c r="N3756" i="1"/>
  <c r="N11551" i="1"/>
  <c r="N11550" i="1"/>
  <c r="N11549" i="1"/>
  <c r="N11548" i="1"/>
  <c r="N24217" i="1"/>
  <c r="N18644" i="1"/>
  <c r="N5242" i="1"/>
  <c r="N5389" i="1"/>
  <c r="N8277" i="1"/>
  <c r="N17267" i="1"/>
  <c r="N17266" i="1"/>
  <c r="N12084" i="1"/>
  <c r="N16474" i="1"/>
  <c r="N16473" i="1"/>
  <c r="N16472" i="1"/>
  <c r="N16471" i="1"/>
  <c r="N16470" i="1"/>
  <c r="N11846" i="1"/>
  <c r="N11845" i="1"/>
  <c r="N16469" i="1"/>
  <c r="N16468" i="1"/>
  <c r="N16467" i="1"/>
  <c r="N16466" i="1"/>
  <c r="N15880" i="1"/>
  <c r="N1319" i="1"/>
  <c r="N1318" i="1"/>
  <c r="N1317" i="1"/>
  <c r="N1316" i="1"/>
  <c r="N1315" i="1"/>
  <c r="N1314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11547" i="1"/>
  <c r="N11546" i="1"/>
  <c r="N11545" i="1"/>
  <c r="N2674" i="1"/>
  <c r="N13988" i="1"/>
  <c r="N4308" i="1"/>
  <c r="N25561" i="1"/>
  <c r="N13987" i="1"/>
  <c r="N25560" i="1"/>
  <c r="N25845" i="1"/>
  <c r="N2673" i="1"/>
  <c r="N6759" i="1"/>
  <c r="N2672" i="1"/>
  <c r="N25559" i="1"/>
  <c r="N18030" i="1"/>
  <c r="N10104" i="1"/>
  <c r="N16607" i="1"/>
  <c r="N16595" i="1"/>
  <c r="N3344" i="1"/>
  <c r="N14956" i="1"/>
  <c r="N14955" i="1"/>
  <c r="N14954" i="1"/>
  <c r="N16578" i="1"/>
  <c r="N6758" i="1"/>
  <c r="N1275" i="1"/>
  <c r="N21802" i="1"/>
  <c r="N21801" i="1"/>
  <c r="N21800" i="1"/>
  <c r="N21799" i="1"/>
  <c r="N21798" i="1"/>
  <c r="N21797" i="1"/>
  <c r="N21796" i="1"/>
  <c r="N15153" i="1"/>
  <c r="N15152" i="1"/>
  <c r="N15151" i="1"/>
  <c r="N2318" i="1"/>
  <c r="N23633" i="1"/>
  <c r="N3178" i="1"/>
  <c r="N24411" i="1"/>
  <c r="N24410" i="1"/>
  <c r="N24409" i="1"/>
  <c r="N18503" i="1"/>
  <c r="N24470" i="1"/>
  <c r="N24408" i="1"/>
  <c r="N17900" i="1"/>
  <c r="N24469" i="1"/>
  <c r="N24468" i="1"/>
  <c r="N3532" i="1"/>
  <c r="N8276" i="1"/>
  <c r="N8275" i="1"/>
  <c r="N25399" i="1"/>
  <c r="N24047" i="1"/>
  <c r="N9875" i="1"/>
  <c r="N9874" i="1"/>
  <c r="N9873" i="1"/>
  <c r="N25280" i="1"/>
  <c r="N12200" i="1"/>
  <c r="N21795" i="1"/>
  <c r="N21794" i="1"/>
  <c r="N21793" i="1"/>
  <c r="N21792" i="1"/>
  <c r="N21791" i="1"/>
  <c r="N21790" i="1"/>
  <c r="N21789" i="1"/>
  <c r="N21788" i="1"/>
  <c r="N21787" i="1"/>
  <c r="N21786" i="1"/>
  <c r="N21785" i="1"/>
  <c r="N5241" i="1"/>
  <c r="N5388" i="1"/>
  <c r="N5387" i="1"/>
  <c r="N5240" i="1"/>
  <c r="N5891" i="1"/>
  <c r="N9014" i="1"/>
  <c r="N4044" i="1"/>
  <c r="N5386" i="1"/>
  <c r="N16288" i="1"/>
  <c r="N14984" i="1"/>
  <c r="N15002" i="1"/>
  <c r="N7897" i="1"/>
  <c r="N7896" i="1"/>
  <c r="N2345" i="1"/>
  <c r="N14360" i="1"/>
  <c r="N5890" i="1"/>
  <c r="N14953" i="1"/>
  <c r="N10895" i="1"/>
  <c r="N1340" i="1"/>
  <c r="N1339" i="1"/>
  <c r="N9872" i="1"/>
  <c r="N6202" i="1"/>
  <c r="N21784" i="1"/>
  <c r="N21783" i="1"/>
  <c r="N21782" i="1"/>
  <c r="N21781" i="1"/>
  <c r="N21780" i="1"/>
  <c r="N21779" i="1"/>
  <c r="N21778" i="1"/>
  <c r="N21777" i="1"/>
  <c r="N21776" i="1"/>
  <c r="N21775" i="1"/>
  <c r="N21774" i="1"/>
  <c r="N21773" i="1"/>
  <c r="N21772" i="1"/>
  <c r="N21771" i="1"/>
  <c r="N21770" i="1"/>
  <c r="N21769" i="1"/>
  <c r="N21768" i="1"/>
  <c r="N21767" i="1"/>
  <c r="N21766" i="1"/>
  <c r="N19757" i="1"/>
  <c r="N17199" i="1"/>
  <c r="N17198" i="1"/>
  <c r="N17197" i="1"/>
  <c r="N17196" i="1"/>
  <c r="N1129" i="1"/>
  <c r="N10609" i="1"/>
  <c r="N4567" i="1"/>
  <c r="N25844" i="1"/>
  <c r="N5273" i="1"/>
  <c r="N1239" i="1"/>
  <c r="N5239" i="1"/>
  <c r="N5385" i="1"/>
  <c r="N5384" i="1"/>
  <c r="N2671" i="1"/>
  <c r="N25686" i="1"/>
  <c r="N2670" i="1"/>
  <c r="N2669" i="1"/>
  <c r="N2668" i="1"/>
  <c r="N17265" i="1"/>
  <c r="N16243" i="1"/>
  <c r="N24808" i="1"/>
  <c r="N24807" i="1"/>
  <c r="N9967" i="1"/>
  <c r="N8775" i="1"/>
  <c r="N9013" i="1"/>
  <c r="N8420" i="1"/>
  <c r="N9037" i="1"/>
  <c r="N21765" i="1"/>
  <c r="N21764" i="1"/>
  <c r="N21763" i="1"/>
  <c r="N21762" i="1"/>
  <c r="N1308" i="1"/>
  <c r="N1307" i="1"/>
  <c r="N1306" i="1"/>
  <c r="N1305" i="1"/>
  <c r="N1437" i="1"/>
  <c r="N22954" i="1"/>
  <c r="N5166" i="1"/>
  <c r="N22953" i="1"/>
  <c r="N22952" i="1"/>
  <c r="N9012" i="1"/>
  <c r="N8774" i="1"/>
  <c r="N10103" i="1"/>
  <c r="N15522" i="1"/>
  <c r="N10269" i="1"/>
  <c r="N3432" i="1"/>
  <c r="N1639" i="1"/>
  <c r="N1641" i="1"/>
  <c r="N17988" i="1"/>
  <c r="N19098" i="1"/>
  <c r="N19103" i="1"/>
  <c r="N12021" i="1"/>
  <c r="N5889" i="1"/>
  <c r="N5888" i="1"/>
  <c r="N2510" i="1"/>
  <c r="N13229" i="1"/>
  <c r="N13228" i="1"/>
  <c r="N10894" i="1"/>
  <c r="N10893" i="1"/>
  <c r="N10892" i="1"/>
  <c r="N10891" i="1"/>
  <c r="N10890" i="1"/>
  <c r="N2272" i="1"/>
  <c r="N2271" i="1"/>
  <c r="N2270" i="1"/>
  <c r="N18256" i="1"/>
  <c r="N7939" i="1"/>
  <c r="N17788" i="1"/>
  <c r="N17787" i="1"/>
  <c r="N17786" i="1"/>
  <c r="N17785" i="1"/>
  <c r="N17784" i="1"/>
  <c r="N18255" i="1"/>
  <c r="N18254" i="1"/>
  <c r="N18253" i="1"/>
  <c r="N18252" i="1"/>
  <c r="N18251" i="1"/>
  <c r="N18250" i="1"/>
  <c r="N18249" i="1"/>
  <c r="N3343" i="1"/>
  <c r="N9176" i="1"/>
  <c r="N9175" i="1"/>
  <c r="N12464" i="1"/>
  <c r="N3323" i="1"/>
  <c r="N3322" i="1"/>
  <c r="N3321" i="1"/>
  <c r="N3164" i="1"/>
  <c r="N19795" i="1"/>
  <c r="N9254" i="1"/>
  <c r="N9253" i="1"/>
  <c r="N24832" i="1"/>
  <c r="N10889" i="1"/>
  <c r="N8274" i="1"/>
  <c r="N25558" i="1"/>
  <c r="N5383" i="1"/>
  <c r="N5382" i="1"/>
  <c r="N25398" i="1"/>
  <c r="N13986" i="1"/>
  <c r="N4345" i="1"/>
  <c r="N3145" i="1"/>
  <c r="N3144" i="1"/>
  <c r="N3143" i="1"/>
  <c r="N2667" i="1"/>
  <c r="N2666" i="1"/>
  <c r="N1586" i="1"/>
  <c r="N25843" i="1"/>
  <c r="N25330" i="1"/>
  <c r="N18655" i="1"/>
  <c r="N1217" i="1"/>
  <c r="N24937" i="1"/>
  <c r="N24936" i="1"/>
  <c r="N24935" i="1"/>
  <c r="N24934" i="1"/>
  <c r="N8273" i="1"/>
  <c r="N8272" i="1"/>
  <c r="N8271" i="1"/>
  <c r="N19834" i="1"/>
  <c r="N19833" i="1"/>
  <c r="N19832" i="1"/>
  <c r="N5272" i="1"/>
  <c r="N15311" i="1"/>
  <c r="N5381" i="1"/>
  <c r="N5380" i="1"/>
  <c r="N9608" i="1"/>
  <c r="N9607" i="1"/>
  <c r="N9606" i="1"/>
  <c r="N9605" i="1"/>
  <c r="N9604" i="1"/>
  <c r="N9603" i="1"/>
  <c r="N8270" i="1"/>
  <c r="N8269" i="1"/>
  <c r="N8268" i="1"/>
  <c r="N21761" i="1"/>
  <c r="N21760" i="1"/>
  <c r="N21759" i="1"/>
  <c r="N21758" i="1"/>
  <c r="N21757" i="1"/>
  <c r="N21756" i="1"/>
  <c r="N21755" i="1"/>
  <c r="N21754" i="1"/>
  <c r="N12253" i="1"/>
  <c r="N19782" i="1"/>
  <c r="N19781" i="1"/>
  <c r="N1331" i="1"/>
  <c r="N1330" i="1"/>
  <c r="N25279" i="1"/>
  <c r="N10805" i="1"/>
  <c r="N25557" i="1"/>
  <c r="N4696" i="1"/>
  <c r="N10804" i="1"/>
  <c r="N6201" i="1"/>
  <c r="N1491" i="1"/>
  <c r="N1193" i="1"/>
  <c r="N21753" i="1"/>
  <c r="N21752" i="1"/>
  <c r="N21751" i="1"/>
  <c r="N21750" i="1"/>
  <c r="N21749" i="1"/>
  <c r="N21748" i="1"/>
  <c r="N21747" i="1"/>
  <c r="N21746" i="1"/>
  <c r="N21745" i="1"/>
  <c r="N21744" i="1"/>
  <c r="N21743" i="1"/>
  <c r="N21742" i="1"/>
  <c r="N21741" i="1"/>
  <c r="N21740" i="1"/>
  <c r="N21739" i="1"/>
  <c r="N21738" i="1"/>
  <c r="N21737" i="1"/>
  <c r="N21736" i="1"/>
  <c r="N21735" i="1"/>
  <c r="N21734" i="1"/>
  <c r="N21733" i="1"/>
  <c r="N21732" i="1"/>
  <c r="N21731" i="1"/>
  <c r="N21730" i="1"/>
  <c r="N5887" i="1"/>
  <c r="N4953" i="1"/>
  <c r="N4952" i="1"/>
  <c r="N4951" i="1"/>
  <c r="N10528" i="1"/>
  <c r="N10527" i="1"/>
  <c r="N10526" i="1"/>
  <c r="N10525" i="1"/>
  <c r="N6307" i="1"/>
  <c r="N10646" i="1"/>
  <c r="N19161" i="1"/>
  <c r="N1226" i="1"/>
  <c r="N7775" i="1"/>
  <c r="N7313" i="1"/>
  <c r="N7312" i="1"/>
  <c r="N18734" i="1"/>
  <c r="N21729" i="1"/>
  <c r="N21728" i="1"/>
  <c r="N21727" i="1"/>
  <c r="N21726" i="1"/>
  <c r="N21725" i="1"/>
  <c r="N21724" i="1"/>
  <c r="N21723" i="1"/>
  <c r="N21722" i="1"/>
  <c r="N21721" i="1"/>
  <c r="N21720" i="1"/>
  <c r="N21719" i="1"/>
  <c r="N21718" i="1"/>
  <c r="N21717" i="1"/>
  <c r="N21716" i="1"/>
  <c r="N21715" i="1"/>
  <c r="N21714" i="1"/>
  <c r="N21713" i="1"/>
  <c r="N25842" i="1"/>
  <c r="N8267" i="1"/>
  <c r="N8266" i="1"/>
  <c r="N8265" i="1"/>
  <c r="N8264" i="1"/>
  <c r="N8263" i="1"/>
  <c r="N8364" i="1"/>
  <c r="N1313" i="1"/>
  <c r="N3711" i="1"/>
  <c r="N3710" i="1"/>
  <c r="N3709" i="1"/>
  <c r="N3708" i="1"/>
  <c r="N3707" i="1"/>
  <c r="N3706" i="1"/>
  <c r="N3812" i="1"/>
  <c r="N3811" i="1"/>
  <c r="N3810" i="1"/>
  <c r="N3809" i="1"/>
  <c r="N3808" i="1"/>
  <c r="N2900" i="1"/>
  <c r="N23375" i="1"/>
  <c r="N23171" i="1"/>
  <c r="N23374" i="1"/>
  <c r="N23373" i="1"/>
  <c r="N23228" i="1"/>
  <c r="N23372" i="1"/>
  <c r="N23227" i="1"/>
  <c r="N23522" i="1"/>
  <c r="N23371" i="1"/>
  <c r="N23489" i="1"/>
  <c r="N23370" i="1"/>
  <c r="N23170" i="1"/>
  <c r="N23369" i="1"/>
  <c r="N23368" i="1"/>
  <c r="N23367" i="1"/>
  <c r="N23226" i="1"/>
  <c r="N23366" i="1"/>
  <c r="N23169" i="1"/>
  <c r="N13319" i="1"/>
  <c r="N13318" i="1"/>
  <c r="N13317" i="1"/>
  <c r="N13316" i="1"/>
  <c r="N13315" i="1"/>
  <c r="N25841" i="1"/>
  <c r="N6104" i="1"/>
  <c r="N6103" i="1"/>
  <c r="N6102" i="1"/>
  <c r="N6101" i="1"/>
  <c r="N6100" i="1"/>
  <c r="N6099" i="1"/>
  <c r="N6098" i="1"/>
  <c r="N15349" i="1"/>
  <c r="N5379" i="1"/>
  <c r="N11887" i="1"/>
  <c r="N11886" i="1"/>
  <c r="N5378" i="1"/>
  <c r="N5377" i="1"/>
  <c r="N5376" i="1"/>
  <c r="N5375" i="1"/>
  <c r="N5374" i="1"/>
  <c r="N5238" i="1"/>
  <c r="N23089" i="1"/>
  <c r="N5373" i="1"/>
  <c r="N5372" i="1"/>
  <c r="N9871" i="1"/>
  <c r="N9870" i="1"/>
  <c r="N18872" i="1"/>
  <c r="N18385" i="1"/>
  <c r="N18384" i="1"/>
  <c r="N18383" i="1"/>
  <c r="N1816" i="1"/>
  <c r="N1815" i="1"/>
  <c r="N11935" i="1"/>
  <c r="N15186" i="1"/>
  <c r="N18871" i="1"/>
  <c r="N11116" i="1"/>
  <c r="N21712" i="1"/>
  <c r="N21711" i="1"/>
  <c r="N21710" i="1"/>
  <c r="N21709" i="1"/>
  <c r="N21708" i="1"/>
  <c r="N21707" i="1"/>
  <c r="N21706" i="1"/>
  <c r="N21705" i="1"/>
  <c r="N21704" i="1"/>
  <c r="N21703" i="1"/>
  <c r="N21702" i="1"/>
  <c r="N21701" i="1"/>
  <c r="N21700" i="1"/>
  <c r="N21699" i="1"/>
  <c r="N21698" i="1"/>
  <c r="N21697" i="1"/>
  <c r="N21696" i="1"/>
  <c r="N21695" i="1"/>
  <c r="N21694" i="1"/>
  <c r="N21693" i="1"/>
  <c r="N21692" i="1"/>
  <c r="N21691" i="1"/>
  <c r="N21690" i="1"/>
  <c r="N21689" i="1"/>
  <c r="N21688" i="1"/>
  <c r="N21687" i="1"/>
  <c r="N21686" i="1"/>
  <c r="N21685" i="1"/>
  <c r="N21684" i="1"/>
  <c r="N21683" i="1"/>
  <c r="N21682" i="1"/>
  <c r="N21681" i="1"/>
  <c r="N21680" i="1"/>
  <c r="N21679" i="1"/>
  <c r="N21678" i="1"/>
  <c r="N21677" i="1"/>
  <c r="N21676" i="1"/>
  <c r="N21675" i="1"/>
  <c r="N21674" i="1"/>
  <c r="N21673" i="1"/>
  <c r="N21672" i="1"/>
  <c r="N21671" i="1"/>
  <c r="N21670" i="1"/>
  <c r="N21669" i="1"/>
  <c r="N21668" i="1"/>
  <c r="N21667" i="1"/>
  <c r="N21666" i="1"/>
  <c r="N21665" i="1"/>
  <c r="N21664" i="1"/>
  <c r="N21663" i="1"/>
  <c r="N21662" i="1"/>
  <c r="N21661" i="1"/>
  <c r="N21660" i="1"/>
  <c r="N21659" i="1"/>
  <c r="N21658" i="1"/>
  <c r="N21657" i="1"/>
  <c r="N21656" i="1"/>
  <c r="N21655" i="1"/>
  <c r="N21654" i="1"/>
  <c r="N21653" i="1"/>
  <c r="N21652" i="1"/>
  <c r="N21651" i="1"/>
  <c r="N21650" i="1"/>
  <c r="N21649" i="1"/>
  <c r="N21648" i="1"/>
  <c r="N21647" i="1"/>
  <c r="N21646" i="1"/>
  <c r="N21645" i="1"/>
  <c r="N21644" i="1"/>
  <c r="N21643" i="1"/>
  <c r="N21642" i="1"/>
  <c r="N21641" i="1"/>
  <c r="N21640" i="1"/>
  <c r="N21639" i="1"/>
  <c r="N21638" i="1"/>
  <c r="N21637" i="1"/>
  <c r="N21636" i="1"/>
  <c r="N21635" i="1"/>
  <c r="N21634" i="1"/>
  <c r="N21633" i="1"/>
  <c r="N21632" i="1"/>
  <c r="N21631" i="1"/>
  <c r="N21630" i="1"/>
  <c r="N10596" i="1"/>
  <c r="N21629" i="1"/>
  <c r="N21628" i="1"/>
  <c r="N21627" i="1"/>
  <c r="N5886" i="1"/>
  <c r="N5885" i="1"/>
  <c r="N5884" i="1"/>
  <c r="N24613" i="1"/>
  <c r="N16633" i="1"/>
  <c r="N5883" i="1"/>
  <c r="N5882" i="1"/>
  <c r="N5881" i="1"/>
  <c r="N4307" i="1"/>
  <c r="N5880" i="1"/>
  <c r="N5879" i="1"/>
  <c r="N5878" i="1"/>
  <c r="N5877" i="1"/>
  <c r="N1436" i="1"/>
  <c r="N12300" i="1"/>
  <c r="N19348" i="1"/>
  <c r="N5876" i="1"/>
  <c r="N5875" i="1"/>
  <c r="N6473" i="1"/>
  <c r="N5874" i="1"/>
  <c r="N5873" i="1"/>
  <c r="N5872" i="1"/>
  <c r="N5871" i="1"/>
  <c r="N5870" i="1"/>
  <c r="N12586" i="1"/>
  <c r="N7311" i="1"/>
  <c r="N7774" i="1"/>
  <c r="N7310" i="1"/>
  <c r="N7773" i="1"/>
  <c r="N7309" i="1"/>
  <c r="N25685" i="1"/>
  <c r="N11170" i="1"/>
  <c r="N10591" i="1"/>
  <c r="N7772" i="1"/>
  <c r="N7308" i="1"/>
  <c r="N7307" i="1"/>
  <c r="N7306" i="1"/>
  <c r="N7305" i="1"/>
  <c r="N24122" i="1"/>
  <c r="N12477" i="1"/>
  <c r="N2133" i="1"/>
  <c r="N11544" i="1"/>
  <c r="N11543" i="1"/>
  <c r="N23060" i="1"/>
  <c r="N4471" i="1"/>
  <c r="N10888" i="1"/>
  <c r="N10887" i="1"/>
  <c r="N6144" i="1"/>
  <c r="N6142" i="1"/>
  <c r="N6149" i="1"/>
  <c r="N3472" i="1"/>
  <c r="N3471" i="1"/>
  <c r="N10777" i="1"/>
  <c r="N10776" i="1"/>
  <c r="N2379" i="1"/>
  <c r="N2386" i="1"/>
  <c r="N2392" i="1"/>
  <c r="N15879" i="1"/>
  <c r="N16060" i="1"/>
  <c r="N16059" i="1"/>
  <c r="N2665" i="1"/>
  <c r="N9390" i="1"/>
  <c r="N25397" i="1"/>
  <c r="N15150" i="1"/>
  <c r="N15149" i="1"/>
  <c r="N15148" i="1"/>
  <c r="N13372" i="1"/>
  <c r="N13371" i="1"/>
  <c r="N13370" i="1"/>
  <c r="N8262" i="1"/>
  <c r="N8261" i="1"/>
  <c r="N12346" i="1"/>
  <c r="N11281" i="1"/>
  <c r="N22951" i="1"/>
  <c r="N15030" i="1"/>
  <c r="N15029" i="1"/>
  <c r="N23678" i="1"/>
  <c r="N23677" i="1"/>
  <c r="N3224" i="1"/>
  <c r="N14028" i="1"/>
  <c r="N24108" i="1"/>
  <c r="N3223" i="1"/>
  <c r="N3192" i="1"/>
  <c r="N3222" i="1"/>
  <c r="N3221" i="1"/>
  <c r="N4043" i="1"/>
  <c r="N18328" i="1"/>
  <c r="N4085" i="1"/>
  <c r="N4023" i="1"/>
  <c r="N4022" i="1"/>
  <c r="N4104" i="1"/>
  <c r="N4108" i="1"/>
  <c r="N3964" i="1"/>
  <c r="N3475" i="1"/>
  <c r="N10697" i="1"/>
  <c r="N18017" i="1"/>
  <c r="N18016" i="1"/>
  <c r="N3220" i="1"/>
  <c r="N3262" i="1"/>
  <c r="N17676" i="1"/>
  <c r="N3261" i="1"/>
  <c r="N12569" i="1"/>
  <c r="N12568" i="1"/>
  <c r="N13595" i="1"/>
  <c r="N13594" i="1"/>
  <c r="N13593" i="1"/>
  <c r="N13592" i="1"/>
  <c r="N13591" i="1"/>
  <c r="N13590" i="1"/>
  <c r="N25329" i="1"/>
  <c r="N4177" i="1"/>
  <c r="N2482" i="1"/>
  <c r="N15878" i="1"/>
  <c r="N23045" i="1"/>
  <c r="N15671" i="1"/>
  <c r="N3379" i="1"/>
  <c r="N6444" i="1"/>
  <c r="N6443" i="1"/>
  <c r="N6442" i="1"/>
  <c r="N6441" i="1"/>
  <c r="N6440" i="1"/>
  <c r="N6439" i="1"/>
  <c r="N6438" i="1"/>
  <c r="N6437" i="1"/>
  <c r="N6436" i="1"/>
  <c r="N23508" i="1"/>
  <c r="N23365" i="1"/>
  <c r="N23364" i="1"/>
  <c r="N23363" i="1"/>
  <c r="N15840" i="1"/>
  <c r="N17899" i="1"/>
  <c r="N17898" i="1"/>
  <c r="N13737" i="1"/>
  <c r="N13736" i="1"/>
  <c r="N13777" i="1"/>
  <c r="N13679" i="1"/>
  <c r="N13735" i="1"/>
  <c r="N13776" i="1"/>
  <c r="N22950" i="1"/>
  <c r="N22949" i="1"/>
  <c r="N16221" i="1"/>
  <c r="N13535" i="1"/>
  <c r="N13532" i="1"/>
  <c r="N10775" i="1"/>
  <c r="N10774" i="1"/>
  <c r="N24170" i="1"/>
  <c r="N24199" i="1"/>
  <c r="N23985" i="1"/>
  <c r="N23984" i="1"/>
  <c r="N12470" i="1"/>
  <c r="N1401" i="1"/>
  <c r="N13441" i="1"/>
  <c r="N13440" i="1"/>
  <c r="N11820" i="1"/>
  <c r="N11819" i="1"/>
  <c r="N11818" i="1"/>
  <c r="N11817" i="1"/>
  <c r="N11816" i="1"/>
  <c r="N3098" i="1"/>
  <c r="N7972" i="1"/>
  <c r="N15213" i="1"/>
  <c r="N15212" i="1"/>
  <c r="N15211" i="1"/>
  <c r="N15210" i="1"/>
  <c r="N15209" i="1"/>
  <c r="N15208" i="1"/>
  <c r="N12034" i="1"/>
  <c r="N14496" i="1"/>
  <c r="N14495" i="1"/>
  <c r="N14494" i="1"/>
  <c r="N9080" i="1"/>
  <c r="N12585" i="1"/>
  <c r="N6503" i="1"/>
  <c r="N23835" i="1"/>
  <c r="N23834" i="1"/>
  <c r="N23833" i="1"/>
  <c r="N23832" i="1"/>
  <c r="N23831" i="1"/>
  <c r="N23830" i="1"/>
  <c r="N23829" i="1"/>
  <c r="N23828" i="1"/>
  <c r="N2277" i="1"/>
  <c r="N23088" i="1"/>
  <c r="N24631" i="1"/>
  <c r="N13863" i="1"/>
  <c r="N13862" i="1"/>
  <c r="N13861" i="1"/>
  <c r="N13860" i="1"/>
  <c r="N15302" i="1"/>
  <c r="N18870" i="1"/>
  <c r="N11910" i="1"/>
  <c r="N11909" i="1"/>
  <c r="N4566" i="1"/>
  <c r="N4565" i="1"/>
  <c r="N18538" i="1"/>
  <c r="N17783" i="1"/>
  <c r="N17782" i="1"/>
  <c r="N17781" i="1"/>
  <c r="N17780" i="1"/>
  <c r="N17779" i="1"/>
  <c r="N17778" i="1"/>
  <c r="N25556" i="1"/>
  <c r="N25840" i="1"/>
  <c r="N25839" i="1"/>
  <c r="N5371" i="1"/>
  <c r="N16013" i="1"/>
  <c r="N16012" i="1"/>
  <c r="N5869" i="1"/>
  <c r="N5868" i="1"/>
  <c r="N5867" i="1"/>
  <c r="N5866" i="1"/>
  <c r="N5865" i="1"/>
  <c r="N19416" i="1"/>
  <c r="N19415" i="1"/>
  <c r="N19414" i="1"/>
  <c r="N19413" i="1"/>
  <c r="N19412" i="1"/>
  <c r="N5237" i="1"/>
  <c r="N15933" i="1"/>
  <c r="N2168" i="1"/>
  <c r="N10399" i="1"/>
  <c r="N10398" i="1"/>
  <c r="N10397" i="1"/>
  <c r="N5864" i="1"/>
  <c r="N5863" i="1"/>
  <c r="N5862" i="1"/>
  <c r="N5861" i="1"/>
  <c r="N5860" i="1"/>
  <c r="N5859" i="1"/>
  <c r="N4950" i="1"/>
  <c r="N13549" i="1"/>
  <c r="N13548" i="1"/>
  <c r="N13547" i="1"/>
  <c r="N15001" i="1"/>
  <c r="N23983" i="1"/>
  <c r="N10219" i="1"/>
  <c r="N4306" i="1"/>
  <c r="N4324" i="1"/>
  <c r="N4321" i="1"/>
  <c r="N4084" i="1"/>
  <c r="N4103" i="1"/>
  <c r="N5370" i="1"/>
  <c r="N18735" i="1"/>
  <c r="N11934" i="1"/>
  <c r="N24135" i="1"/>
  <c r="N2050" i="1"/>
  <c r="N2049" i="1"/>
  <c r="N2048" i="1"/>
  <c r="N2047" i="1"/>
  <c r="N24134" i="1"/>
  <c r="N21626" i="1"/>
  <c r="N2046" i="1"/>
  <c r="N2045" i="1"/>
  <c r="N5858" i="1"/>
  <c r="N5857" i="1"/>
  <c r="N5856" i="1"/>
  <c r="N5855" i="1"/>
  <c r="N6586" i="1"/>
  <c r="N18097" i="1"/>
  <c r="N24781" i="1"/>
  <c r="N1905" i="1"/>
  <c r="N5854" i="1"/>
  <c r="N5853" i="1"/>
  <c r="N2044" i="1"/>
  <c r="N2043" i="1"/>
  <c r="N5852" i="1"/>
  <c r="N2042" i="1"/>
  <c r="N2041" i="1"/>
  <c r="N2040" i="1"/>
  <c r="N2039" i="1"/>
  <c r="N5851" i="1"/>
  <c r="N5850" i="1"/>
  <c r="N2038" i="1"/>
  <c r="N2037" i="1"/>
  <c r="N5849" i="1"/>
  <c r="N5848" i="1"/>
  <c r="N5847" i="1"/>
  <c r="N5846" i="1"/>
  <c r="N11097" i="1"/>
  <c r="N5369" i="1"/>
  <c r="N5368" i="1"/>
  <c r="N10948" i="1"/>
  <c r="N3181" i="1"/>
  <c r="N3180" i="1"/>
  <c r="N24806" i="1"/>
  <c r="N18248" i="1"/>
  <c r="N18247" i="1"/>
  <c r="N18246" i="1"/>
  <c r="N14406" i="1"/>
  <c r="N19411" i="1"/>
  <c r="N19410" i="1"/>
  <c r="N9252" i="1"/>
  <c r="N23982" i="1"/>
  <c r="N12093" i="1"/>
  <c r="N23981" i="1"/>
  <c r="N23980" i="1"/>
  <c r="N23979" i="1"/>
  <c r="N23978" i="1"/>
  <c r="N23977" i="1"/>
  <c r="N23976" i="1"/>
  <c r="N23975" i="1"/>
  <c r="N12250" i="1"/>
  <c r="N15053" i="1"/>
  <c r="N6131" i="1"/>
  <c r="N9349" i="1"/>
  <c r="N10450" i="1"/>
  <c r="N10449" i="1"/>
  <c r="N10559" i="1"/>
  <c r="N10558" i="1"/>
  <c r="N25940" i="1"/>
  <c r="N25939" i="1"/>
  <c r="N25938" i="1"/>
  <c r="N14405" i="1"/>
  <c r="N14968" i="1"/>
  <c r="N3631" i="1"/>
  <c r="N3630" i="1"/>
  <c r="N25838" i="1"/>
  <c r="N25837" i="1"/>
  <c r="N25836" i="1"/>
  <c r="N25835" i="1"/>
  <c r="N25834" i="1"/>
  <c r="N12502" i="1"/>
  <c r="N12501" i="1"/>
  <c r="N12512" i="1"/>
  <c r="N12500" i="1"/>
  <c r="N12536" i="1"/>
  <c r="N4657" i="1"/>
  <c r="N8773" i="1"/>
  <c r="N8772" i="1"/>
  <c r="N19249" i="1"/>
  <c r="N10732" i="1"/>
  <c r="N2416" i="1"/>
  <c r="N9348" i="1"/>
  <c r="N3021" i="1"/>
  <c r="N1874" i="1"/>
  <c r="N2509" i="1"/>
  <c r="N2508" i="1"/>
  <c r="N12139" i="1"/>
  <c r="N5367" i="1"/>
  <c r="N2664" i="1"/>
  <c r="N5236" i="1"/>
  <c r="N24933" i="1"/>
  <c r="N24837" i="1"/>
  <c r="N24932" i="1"/>
  <c r="N24931" i="1"/>
  <c r="N9411" i="1"/>
  <c r="N2156" i="1"/>
  <c r="N19831" i="1"/>
  <c r="N19830" i="1"/>
  <c r="N2167" i="1"/>
  <c r="N2157" i="1"/>
  <c r="N2154" i="1"/>
  <c r="N2153" i="1"/>
  <c r="N2152" i="1"/>
  <c r="N2166" i="1"/>
  <c r="N2165" i="1"/>
  <c r="N5366" i="1"/>
  <c r="N5365" i="1"/>
  <c r="N18743" i="1"/>
  <c r="N16011" i="1"/>
  <c r="N5845" i="1"/>
  <c r="N5844" i="1"/>
  <c r="N5843" i="1"/>
  <c r="N12550" i="1"/>
  <c r="N11280" i="1"/>
  <c r="N15698" i="1"/>
  <c r="N19623" i="1"/>
  <c r="N19622" i="1"/>
  <c r="N1737" i="1"/>
  <c r="N1736" i="1"/>
  <c r="N10524" i="1"/>
  <c r="N10523" i="1"/>
  <c r="N9251" i="1"/>
  <c r="N9174" i="1"/>
  <c r="N9173" i="1"/>
  <c r="N9172" i="1"/>
  <c r="N9171" i="1"/>
  <c r="N13734" i="1"/>
  <c r="N13733" i="1"/>
  <c r="N13732" i="1"/>
  <c r="N1223" i="1"/>
  <c r="N12055" i="1"/>
  <c r="N18869" i="1"/>
  <c r="N1932" i="1"/>
  <c r="N18428" i="1"/>
  <c r="N5364" i="1"/>
  <c r="N5363" i="1"/>
  <c r="N5362" i="1"/>
  <c r="N9869" i="1"/>
  <c r="N9868" i="1"/>
  <c r="N9867" i="1"/>
  <c r="N12138" i="1"/>
  <c r="N9866" i="1"/>
  <c r="N2663" i="1"/>
  <c r="N5235" i="1"/>
  <c r="N8260" i="1"/>
  <c r="N18868" i="1"/>
  <c r="N18867" i="1"/>
  <c r="N21625" i="1"/>
  <c r="N21624" i="1"/>
  <c r="N21623" i="1"/>
  <c r="N21622" i="1"/>
  <c r="N21621" i="1"/>
  <c r="N21620" i="1"/>
  <c r="N21619" i="1"/>
  <c r="N21618" i="1"/>
  <c r="N21617" i="1"/>
  <c r="N21616" i="1"/>
  <c r="N21615" i="1"/>
  <c r="N21614" i="1"/>
  <c r="N21613" i="1"/>
  <c r="N21612" i="1"/>
  <c r="N21611" i="1"/>
  <c r="N21610" i="1"/>
  <c r="N21609" i="1"/>
  <c r="N21608" i="1"/>
  <c r="N21607" i="1"/>
  <c r="N21606" i="1"/>
  <c r="N21605" i="1"/>
  <c r="N21604" i="1"/>
  <c r="N21603" i="1"/>
  <c r="N21602" i="1"/>
  <c r="N21601" i="1"/>
  <c r="N21600" i="1"/>
  <c r="N21599" i="1"/>
  <c r="N5842" i="1"/>
  <c r="N6639" i="1"/>
  <c r="N5841" i="1"/>
  <c r="N8259" i="1"/>
  <c r="N10886" i="1"/>
  <c r="N18245" i="1"/>
  <c r="N16046" i="1"/>
  <c r="N15095" i="1"/>
  <c r="N24662" i="1"/>
  <c r="N24661" i="1"/>
  <c r="N24660" i="1"/>
  <c r="N16294" i="1"/>
  <c r="N11096" i="1"/>
  <c r="N11095" i="1"/>
  <c r="N25396" i="1"/>
  <c r="N25833" i="1"/>
  <c r="N25555" i="1"/>
  <c r="N25832" i="1"/>
  <c r="N25328" i="1"/>
  <c r="N25684" i="1"/>
  <c r="N25831" i="1"/>
  <c r="N1501" i="1"/>
  <c r="N7771" i="1"/>
  <c r="N7874" i="1"/>
  <c r="N7304" i="1"/>
  <c r="N7770" i="1"/>
  <c r="N7303" i="1"/>
  <c r="N11542" i="1"/>
  <c r="N11541" i="1"/>
  <c r="N11540" i="1"/>
  <c r="N11539" i="1"/>
  <c r="N11538" i="1"/>
  <c r="N11537" i="1"/>
  <c r="N11536" i="1"/>
  <c r="N11535" i="1"/>
  <c r="N10102" i="1"/>
  <c r="N9170" i="1"/>
  <c r="N2662" i="1"/>
  <c r="N15623" i="1"/>
  <c r="N15689" i="1"/>
  <c r="N3020" i="1"/>
  <c r="N12543" i="1"/>
  <c r="N12535" i="1"/>
  <c r="N23098" i="1"/>
  <c r="N12542" i="1"/>
  <c r="N12534" i="1"/>
  <c r="N10885" i="1"/>
  <c r="N18244" i="1"/>
  <c r="N4294" i="1"/>
  <c r="N13915" i="1"/>
  <c r="N13914" i="1"/>
  <c r="N13913" i="1"/>
  <c r="N13912" i="1"/>
  <c r="N9528" i="1"/>
  <c r="N18243" i="1"/>
  <c r="N18242" i="1"/>
  <c r="N18241" i="1"/>
  <c r="N18240" i="1"/>
  <c r="N18239" i="1"/>
  <c r="N18238" i="1"/>
  <c r="N14477" i="1"/>
  <c r="N10576" i="1"/>
  <c r="N18237" i="1"/>
  <c r="N18236" i="1"/>
  <c r="N18235" i="1"/>
  <c r="N6228" i="1"/>
  <c r="N10218" i="1"/>
  <c r="N6356" i="1"/>
  <c r="N6298" i="1"/>
  <c r="N24794" i="1"/>
  <c r="N25955" i="1"/>
  <c r="N13939" i="1"/>
  <c r="N25954" i="1"/>
  <c r="N13837" i="1"/>
  <c r="N19662" i="1"/>
  <c r="N17970" i="1"/>
  <c r="N24407" i="1"/>
  <c r="N12219" i="1"/>
  <c r="N12227" i="1"/>
  <c r="N12218" i="1"/>
  <c r="N6767" i="1"/>
  <c r="N6766" i="1"/>
  <c r="N6765" i="1"/>
  <c r="N6764" i="1"/>
  <c r="N6763" i="1"/>
  <c r="N6762" i="1"/>
  <c r="N25395" i="1"/>
  <c r="N25394" i="1"/>
  <c r="N11041" i="1"/>
  <c r="N11040" i="1"/>
  <c r="N4176" i="1"/>
  <c r="N24110" i="1"/>
  <c r="N4175" i="1"/>
  <c r="N6806" i="1"/>
  <c r="N15788" i="1"/>
  <c r="N1212" i="1"/>
  <c r="N16287" i="1"/>
  <c r="N16286" i="1"/>
  <c r="N13938" i="1"/>
  <c r="N13930" i="1"/>
  <c r="N13937" i="1"/>
  <c r="N13929" i="1"/>
  <c r="N1779" i="1"/>
  <c r="N25554" i="1"/>
  <c r="N25393" i="1"/>
  <c r="N15445" i="1"/>
  <c r="N15446" i="1"/>
  <c r="N15444" i="1"/>
  <c r="N15443" i="1"/>
  <c r="N15442" i="1"/>
  <c r="N2285" i="1"/>
  <c r="N2284" i="1"/>
  <c r="N2283" i="1"/>
  <c r="N2282" i="1"/>
  <c r="N2281" i="1"/>
  <c r="N3403" i="1"/>
  <c r="N3402" i="1"/>
  <c r="N14571" i="1"/>
  <c r="N6274" i="1"/>
  <c r="N2899" i="1"/>
  <c r="N2464" i="1"/>
  <c r="N13514" i="1"/>
  <c r="N23225" i="1"/>
  <c r="N23362" i="1"/>
  <c r="N23361" i="1"/>
  <c r="N23360" i="1"/>
  <c r="N23359" i="1"/>
  <c r="N23358" i="1"/>
  <c r="N15470" i="1"/>
  <c r="N15481" i="1"/>
  <c r="N15509" i="1"/>
  <c r="N12392" i="1"/>
  <c r="N1919" i="1"/>
  <c r="N10696" i="1"/>
  <c r="N10695" i="1"/>
  <c r="N10694" i="1"/>
  <c r="N3948" i="1"/>
  <c r="N2164" i="1"/>
  <c r="N25327" i="1"/>
  <c r="N25553" i="1"/>
  <c r="N2163" i="1"/>
  <c r="N2155" i="1"/>
  <c r="N14355" i="1"/>
  <c r="N2162" i="1"/>
  <c r="N2161" i="1"/>
  <c r="N15971" i="1"/>
  <c r="N15932" i="1"/>
  <c r="N5234" i="1"/>
  <c r="N13985" i="1"/>
  <c r="N2533" i="1"/>
  <c r="N2789" i="1"/>
  <c r="N2661" i="1"/>
  <c r="N2264" i="1"/>
  <c r="N2827" i="1"/>
  <c r="N5233" i="1"/>
  <c r="N9865" i="1"/>
  <c r="N3019" i="1"/>
  <c r="N3018" i="1"/>
  <c r="N3017" i="1"/>
  <c r="N3016" i="1"/>
  <c r="N3015" i="1"/>
  <c r="N3014" i="1"/>
  <c r="N2378" i="1"/>
  <c r="N6320" i="1"/>
  <c r="N9864" i="1"/>
  <c r="N9863" i="1"/>
  <c r="N2660" i="1"/>
  <c r="N9600" i="1"/>
  <c r="N2449" i="1"/>
  <c r="N2659" i="1"/>
  <c r="N9862" i="1"/>
  <c r="N2826" i="1"/>
  <c r="N9599" i="1"/>
  <c r="N2658" i="1"/>
  <c r="N9598" i="1"/>
  <c r="N13984" i="1"/>
  <c r="N24930" i="1"/>
  <c r="N25830" i="1"/>
  <c r="N15508" i="1"/>
  <c r="N15480" i="1"/>
  <c r="N9518" i="1"/>
  <c r="N10657" i="1"/>
  <c r="N2761" i="1"/>
  <c r="N1179" i="1"/>
  <c r="N7769" i="1"/>
  <c r="N7768" i="1"/>
  <c r="N7302" i="1"/>
  <c r="N7301" i="1"/>
  <c r="N7767" i="1"/>
  <c r="N7300" i="1"/>
  <c r="N24929" i="1"/>
  <c r="N11169" i="1"/>
  <c r="N5361" i="1"/>
  <c r="N5360" i="1"/>
  <c r="N25829" i="1"/>
  <c r="N25828" i="1"/>
  <c r="N25827" i="1"/>
  <c r="N11139" i="1"/>
  <c r="N11138" i="1"/>
  <c r="N11137" i="1"/>
  <c r="N10693" i="1"/>
  <c r="N10722" i="1"/>
  <c r="N10692" i="1"/>
  <c r="N16261" i="1"/>
  <c r="N1944" i="1"/>
  <c r="N13936" i="1"/>
  <c r="N10448" i="1"/>
  <c r="N10447" i="1"/>
  <c r="N25278" i="1"/>
  <c r="N3621" i="1"/>
  <c r="N24714" i="1"/>
  <c r="N24713" i="1"/>
  <c r="N13928" i="1"/>
  <c r="N19019" i="1"/>
  <c r="N8079" i="1"/>
  <c r="N8078" i="1"/>
  <c r="N5005" i="1"/>
  <c r="N1400" i="1"/>
  <c r="N12733" i="1"/>
  <c r="N12697" i="1"/>
  <c r="N25552" i="1"/>
  <c r="N1376" i="1"/>
  <c r="N1375" i="1"/>
  <c r="N12682" i="1"/>
  <c r="N23720" i="1"/>
  <c r="N14333" i="1"/>
  <c r="N15552" i="1"/>
  <c r="N15560" i="1"/>
  <c r="N15551" i="1"/>
  <c r="N15559" i="1"/>
  <c r="N25551" i="1"/>
  <c r="N12732" i="1"/>
  <c r="N16303" i="1"/>
  <c r="N3518" i="1"/>
  <c r="N12008" i="1"/>
  <c r="N19296" i="1"/>
  <c r="N23892" i="1"/>
  <c r="N4130" i="1"/>
  <c r="N4129" i="1"/>
  <c r="N15550" i="1"/>
  <c r="N15558" i="1"/>
  <c r="N14677" i="1"/>
  <c r="N3517" i="1"/>
  <c r="N19609" i="1"/>
  <c r="N9861" i="1"/>
  <c r="N2788" i="1"/>
  <c r="N9675" i="1"/>
  <c r="N14576" i="1"/>
  <c r="N2532" i="1"/>
  <c r="N5359" i="1"/>
  <c r="N9688" i="1"/>
  <c r="N9860" i="1"/>
  <c r="N9859" i="1"/>
  <c r="N9858" i="1"/>
  <c r="N5358" i="1"/>
  <c r="N9857" i="1"/>
  <c r="N9856" i="1"/>
  <c r="N5357" i="1"/>
  <c r="N5356" i="1"/>
  <c r="N5355" i="1"/>
  <c r="N5354" i="1"/>
  <c r="N13983" i="1"/>
  <c r="N5232" i="1"/>
  <c r="N5353" i="1"/>
  <c r="N2657" i="1"/>
  <c r="N25550" i="1"/>
  <c r="N7766" i="1"/>
  <c r="N7299" i="1"/>
  <c r="N7298" i="1"/>
  <c r="N7297" i="1"/>
  <c r="N7765" i="1"/>
  <c r="N7296" i="1"/>
  <c r="N7764" i="1"/>
  <c r="N7295" i="1"/>
  <c r="N2825" i="1"/>
  <c r="N23035" i="1"/>
  <c r="N8258" i="1"/>
  <c r="N24406" i="1"/>
  <c r="N24405" i="1"/>
  <c r="N18502" i="1"/>
  <c r="N18447" i="1"/>
  <c r="N18446" i="1"/>
  <c r="N18501" i="1"/>
  <c r="N24404" i="1"/>
  <c r="N18500" i="1"/>
  <c r="N18499" i="1"/>
  <c r="N24403" i="1"/>
  <c r="N2145" i="1"/>
  <c r="N3739" i="1"/>
  <c r="N3746" i="1"/>
  <c r="N13023" i="1"/>
  <c r="N13022" i="1"/>
  <c r="N13021" i="1"/>
  <c r="N13020" i="1"/>
  <c r="N1284" i="1"/>
  <c r="N16319" i="1"/>
  <c r="N13019" i="1"/>
  <c r="N13018" i="1"/>
  <c r="N14582" i="1"/>
  <c r="N13017" i="1"/>
  <c r="N13801" i="1"/>
  <c r="N23749" i="1"/>
  <c r="N13512" i="1"/>
  <c r="N1571" i="1"/>
  <c r="N25947" i="1"/>
  <c r="N15787" i="1"/>
  <c r="N13016" i="1"/>
  <c r="N13015" i="1"/>
  <c r="N13014" i="1"/>
  <c r="N18498" i="1"/>
  <c r="N23574" i="1"/>
  <c r="N19215" i="1"/>
  <c r="N24775" i="1"/>
  <c r="N19214" i="1"/>
  <c r="N19213" i="1"/>
  <c r="N4502" i="1"/>
  <c r="N15753" i="1"/>
  <c r="N12083" i="1"/>
  <c r="N10584" i="1"/>
  <c r="N15877" i="1"/>
  <c r="N16211" i="1"/>
  <c r="N16210" i="1"/>
  <c r="N16209" i="1"/>
  <c r="N9554" i="1"/>
  <c r="N9553" i="1"/>
  <c r="N9552" i="1"/>
  <c r="N6713" i="1"/>
  <c r="N1845" i="1"/>
  <c r="N12759" i="1"/>
  <c r="N12758" i="1"/>
  <c r="N14565" i="1"/>
  <c r="N14564" i="1"/>
  <c r="N17867" i="1"/>
  <c r="N19160" i="1"/>
  <c r="N23463" i="1"/>
  <c r="N23357" i="1"/>
  <c r="N23488" i="1"/>
  <c r="N23168" i="1"/>
  <c r="N19244" i="1"/>
  <c r="N19132" i="1"/>
  <c r="N24774" i="1"/>
  <c r="N15355" i="1"/>
  <c r="N1264" i="1"/>
  <c r="N1253" i="1"/>
  <c r="N3378" i="1"/>
  <c r="N9433" i="1"/>
  <c r="N6585" i="1"/>
  <c r="N6532" i="1"/>
  <c r="N15833" i="1"/>
  <c r="N15826" i="1"/>
  <c r="N23048" i="1"/>
  <c r="N25549" i="1"/>
  <c r="N25548" i="1"/>
  <c r="N25547" i="1"/>
  <c r="N25826" i="1"/>
  <c r="N25392" i="1"/>
  <c r="N6333" i="1"/>
  <c r="N17878" i="1"/>
  <c r="N17877" i="1"/>
  <c r="N9855" i="1"/>
  <c r="N9854" i="1"/>
  <c r="N9853" i="1"/>
  <c r="N9852" i="1"/>
  <c r="N8257" i="1"/>
  <c r="N7763" i="1"/>
  <c r="N7629" i="1"/>
  <c r="N7294" i="1"/>
  <c r="N7873" i="1"/>
  <c r="N7293" i="1"/>
  <c r="N7628" i="1"/>
  <c r="N7292" i="1"/>
  <c r="N19315" i="1"/>
  <c r="N1635" i="1"/>
  <c r="N2908" i="1"/>
  <c r="N1329" i="1"/>
  <c r="N1328" i="1"/>
  <c r="N19212" i="1"/>
  <c r="N24793" i="1"/>
  <c r="N5352" i="1"/>
  <c r="N4648" i="1"/>
  <c r="N4641" i="1"/>
  <c r="N18078" i="1"/>
  <c r="N5351" i="1"/>
  <c r="N11945" i="1"/>
  <c r="N23866" i="1"/>
  <c r="N4390" i="1"/>
  <c r="N4695" i="1"/>
  <c r="N24109" i="1"/>
  <c r="N25546" i="1"/>
  <c r="N8771" i="1"/>
  <c r="N8419" i="1"/>
  <c r="N25825" i="1"/>
  <c r="N4694" i="1"/>
  <c r="N4664" i="1"/>
  <c r="N25545" i="1"/>
  <c r="N13893" i="1"/>
  <c r="N12277" i="1"/>
  <c r="N19301" i="1"/>
  <c r="N25544" i="1"/>
  <c r="N25543" i="1"/>
  <c r="N25326" i="1"/>
  <c r="N18395" i="1"/>
  <c r="N18401" i="1"/>
  <c r="N25325" i="1"/>
  <c r="N25824" i="1"/>
  <c r="N22948" i="1"/>
  <c r="N22947" i="1"/>
  <c r="N22946" i="1"/>
  <c r="N18471" i="1"/>
  <c r="N18470" i="1"/>
  <c r="N18469" i="1"/>
  <c r="N13800" i="1"/>
  <c r="N9044" i="1"/>
  <c r="N9043" i="1"/>
  <c r="N9011" i="1"/>
  <c r="N19580" i="1"/>
  <c r="N10470" i="1"/>
  <c r="N1513" i="1"/>
  <c r="N23867" i="1"/>
  <c r="N1735" i="1"/>
  <c r="N3565" i="1"/>
  <c r="N5350" i="1"/>
  <c r="N5349" i="1"/>
  <c r="N23638" i="1"/>
  <c r="N8256" i="1"/>
  <c r="N6708" i="1"/>
  <c r="N8255" i="1"/>
  <c r="N1246" i="1"/>
  <c r="N1158" i="1"/>
  <c r="N18116" i="1"/>
  <c r="N23870" i="1"/>
  <c r="N25823" i="1"/>
  <c r="N10405" i="1"/>
  <c r="N4231" i="1"/>
  <c r="N4224" i="1"/>
  <c r="N1470" i="1"/>
  <c r="N23704" i="1"/>
  <c r="N24928" i="1"/>
  <c r="N24927" i="1"/>
  <c r="N8770" i="1"/>
  <c r="N8769" i="1"/>
  <c r="N12480" i="1"/>
  <c r="N8768" i="1"/>
  <c r="N19044" i="1"/>
  <c r="N8767" i="1"/>
  <c r="N8766" i="1"/>
  <c r="N13013" i="1"/>
  <c r="N13012" i="1"/>
  <c r="N13011" i="1"/>
  <c r="N13010" i="1"/>
  <c r="N13009" i="1"/>
  <c r="N10943" i="1"/>
  <c r="N13008" i="1"/>
  <c r="N13007" i="1"/>
  <c r="N13006" i="1"/>
  <c r="N13005" i="1"/>
  <c r="N13004" i="1"/>
  <c r="N13003" i="1"/>
  <c r="N13002" i="1"/>
  <c r="N12788" i="1"/>
  <c r="N14581" i="1"/>
  <c r="N14378" i="1"/>
  <c r="N14377" i="1"/>
  <c r="N14376" i="1"/>
  <c r="N25822" i="1"/>
  <c r="N8254" i="1"/>
  <c r="N8253" i="1"/>
  <c r="N1606" i="1"/>
  <c r="N13227" i="1"/>
  <c r="N13226" i="1"/>
  <c r="N2760" i="1"/>
  <c r="N24215" i="1"/>
  <c r="N24229" i="1"/>
  <c r="N18866" i="1"/>
  <c r="N4693" i="1"/>
  <c r="N2824" i="1"/>
  <c r="N2456" i="1"/>
  <c r="N2455" i="1"/>
  <c r="N25391" i="1"/>
  <c r="N2656" i="1"/>
  <c r="N8765" i="1"/>
  <c r="N9010" i="1"/>
  <c r="N8473" i="1"/>
  <c r="N8764" i="1"/>
  <c r="N8763" i="1"/>
  <c r="N8762" i="1"/>
  <c r="N8761" i="1"/>
  <c r="N8760" i="1"/>
  <c r="N8759" i="1"/>
  <c r="N8758" i="1"/>
  <c r="N8757" i="1"/>
  <c r="N8756" i="1"/>
  <c r="N8755" i="1"/>
  <c r="N9009" i="1"/>
  <c r="N8252" i="1"/>
  <c r="N8251" i="1"/>
  <c r="N8250" i="1"/>
  <c r="N5348" i="1"/>
  <c r="N5347" i="1"/>
  <c r="N5346" i="1"/>
  <c r="N5345" i="1"/>
  <c r="N5344" i="1"/>
  <c r="N13982" i="1"/>
  <c r="N1566" i="1"/>
  <c r="N5343" i="1"/>
  <c r="N5231" i="1"/>
  <c r="N2655" i="1"/>
  <c r="N5342" i="1"/>
  <c r="N5341" i="1"/>
  <c r="N8754" i="1"/>
  <c r="N8753" i="1"/>
  <c r="N12319" i="1"/>
  <c r="N12318" i="1"/>
  <c r="N16010" i="1"/>
  <c r="N19814" i="1"/>
  <c r="N19813" i="1"/>
  <c r="N9008" i="1"/>
  <c r="N15648" i="1"/>
  <c r="N11094" i="1"/>
  <c r="N6319" i="1"/>
  <c r="N10268" i="1"/>
  <c r="N25542" i="1"/>
  <c r="N6789" i="1"/>
  <c r="N6786" i="1"/>
  <c r="N2898" i="1"/>
  <c r="N17930" i="1"/>
  <c r="N13902" i="1"/>
  <c r="N10265" i="1"/>
  <c r="N10267" i="1"/>
  <c r="N18701" i="1"/>
  <c r="N8037" i="1"/>
  <c r="N15549" i="1"/>
  <c r="N15557" i="1"/>
  <c r="N10217" i="1"/>
  <c r="N16285" i="1"/>
  <c r="N25821" i="1"/>
  <c r="N3316" i="1"/>
  <c r="N1843" i="1"/>
  <c r="N1128" i="1"/>
  <c r="N16220" i="1"/>
  <c r="N15786" i="1"/>
  <c r="N9956" i="1"/>
  <c r="N25683" i="1"/>
  <c r="N18520" i="1"/>
  <c r="N1490" i="1"/>
  <c r="N1489" i="1"/>
  <c r="N25390" i="1"/>
  <c r="N1139" i="1"/>
  <c r="N14486" i="1"/>
  <c r="N14644" i="1"/>
  <c r="N2897" i="1"/>
  <c r="N7762" i="1"/>
  <c r="N7291" i="1"/>
  <c r="N7290" i="1"/>
  <c r="N1298" i="1"/>
  <c r="N25541" i="1"/>
  <c r="N25540" i="1"/>
  <c r="N3431" i="1"/>
  <c r="N3601" i="1"/>
  <c r="N10043" i="1"/>
  <c r="N10042" i="1"/>
  <c r="N10041" i="1"/>
  <c r="N10040" i="1"/>
  <c r="N10039" i="1"/>
  <c r="N10038" i="1"/>
  <c r="N25539" i="1"/>
  <c r="N7971" i="1"/>
  <c r="N12014" i="1"/>
  <c r="N3554" i="1"/>
  <c r="N18083" i="1"/>
  <c r="N2541" i="1"/>
  <c r="N11093" i="1"/>
  <c r="N10608" i="1"/>
  <c r="N25538" i="1"/>
  <c r="N25820" i="1"/>
  <c r="N25819" i="1"/>
  <c r="N11534" i="1"/>
  <c r="N2654" i="1"/>
  <c r="N14976" i="1"/>
  <c r="N14975" i="1"/>
  <c r="N8249" i="1"/>
  <c r="N1696" i="1"/>
  <c r="N1695" i="1"/>
  <c r="N18643" i="1"/>
  <c r="N22945" i="1"/>
  <c r="N22944" i="1"/>
  <c r="N22943" i="1"/>
  <c r="N25537" i="1"/>
  <c r="N18234" i="1"/>
  <c r="N4196" i="1"/>
  <c r="N2653" i="1"/>
  <c r="N5340" i="1"/>
  <c r="N5339" i="1"/>
  <c r="N23708" i="1"/>
  <c r="N7895" i="1"/>
  <c r="N7894" i="1"/>
  <c r="N2436" i="1"/>
  <c r="N11261" i="1"/>
  <c r="N9089" i="1"/>
  <c r="N1734" i="1"/>
  <c r="N4389" i="1"/>
  <c r="N10037" i="1"/>
  <c r="N14913" i="1"/>
  <c r="N13522" i="1"/>
  <c r="N13521" i="1"/>
  <c r="N6492" i="1"/>
  <c r="N6509" i="1"/>
  <c r="N9059" i="1"/>
  <c r="N12731" i="1"/>
  <c r="N18865" i="1"/>
  <c r="N8248" i="1"/>
  <c r="N22942" i="1"/>
  <c r="N4137" i="1"/>
  <c r="N4147" i="1"/>
  <c r="N8247" i="1"/>
  <c r="N13225" i="1"/>
  <c r="N13224" i="1"/>
  <c r="N9979" i="1"/>
  <c r="N5338" i="1"/>
  <c r="N5337" i="1"/>
  <c r="N5336" i="1"/>
  <c r="N5335" i="1"/>
  <c r="N5334" i="1"/>
  <c r="N5333" i="1"/>
  <c r="N5332" i="1"/>
  <c r="N2529" i="1"/>
  <c r="N8347" i="1"/>
  <c r="N2308" i="1"/>
  <c r="N2307" i="1"/>
  <c r="N2652" i="1"/>
  <c r="N3549" i="1"/>
  <c r="N5331" i="1"/>
  <c r="N2823" i="1"/>
  <c r="N1791" i="1"/>
  <c r="N1790" i="1"/>
  <c r="N8246" i="1"/>
  <c r="N8245" i="1"/>
  <c r="N8244" i="1"/>
  <c r="N8243" i="1"/>
  <c r="N8242" i="1"/>
  <c r="N8241" i="1"/>
  <c r="N8240" i="1"/>
  <c r="N6542" i="1"/>
  <c r="N6584" i="1"/>
  <c r="N5840" i="1"/>
  <c r="N5839" i="1"/>
  <c r="N5838" i="1"/>
  <c r="N5837" i="1"/>
  <c r="N18015" i="1"/>
  <c r="N18014" i="1"/>
  <c r="N15342" i="1"/>
  <c r="N6273" i="1"/>
  <c r="N6227" i="1"/>
  <c r="N23700" i="1"/>
  <c r="N14404" i="1"/>
  <c r="N25818" i="1"/>
  <c r="N11738" i="1"/>
  <c r="N14382" i="1"/>
  <c r="N19665" i="1"/>
  <c r="N2481" i="1"/>
  <c r="N2480" i="1"/>
  <c r="N1263" i="1"/>
  <c r="N1262" i="1"/>
  <c r="N16390" i="1"/>
  <c r="N16302" i="1"/>
  <c r="N25817" i="1"/>
  <c r="N6583" i="1"/>
  <c r="N2468" i="1"/>
  <c r="N2467" i="1"/>
  <c r="N3915" i="1"/>
  <c r="N3914" i="1"/>
  <c r="N3913" i="1"/>
  <c r="N25816" i="1"/>
  <c r="N18864" i="1"/>
  <c r="N19754" i="1"/>
  <c r="N19753" i="1"/>
  <c r="N6362" i="1"/>
  <c r="N19110" i="1"/>
  <c r="N23029" i="1"/>
  <c r="N18863" i="1"/>
  <c r="N23725" i="1"/>
  <c r="N12092" i="1"/>
  <c r="N13947" i="1"/>
  <c r="N22941" i="1"/>
  <c r="N12749" i="1"/>
  <c r="N12748" i="1"/>
  <c r="N6247" i="1"/>
  <c r="N6302" i="1"/>
  <c r="N6246" i="1"/>
  <c r="N24926" i="1"/>
  <c r="N24925" i="1"/>
  <c r="N24924" i="1"/>
  <c r="N24923" i="1"/>
  <c r="N24922" i="1"/>
  <c r="N24921" i="1"/>
  <c r="N24920" i="1"/>
  <c r="N24919" i="1"/>
  <c r="N24918" i="1"/>
  <c r="N18862" i="1"/>
  <c r="N18861" i="1"/>
  <c r="N18860" i="1"/>
  <c r="N3738" i="1"/>
  <c r="N3745" i="1"/>
  <c r="N25536" i="1"/>
  <c r="N25815" i="1"/>
  <c r="N25814" i="1"/>
  <c r="N2531" i="1"/>
  <c r="N5330" i="1"/>
  <c r="N5329" i="1"/>
  <c r="N5328" i="1"/>
  <c r="N19484" i="1"/>
  <c r="N1283" i="1"/>
  <c r="N4296" i="1"/>
  <c r="N25813" i="1"/>
  <c r="N15622" i="1"/>
  <c r="N25535" i="1"/>
  <c r="N25812" i="1"/>
  <c r="N25811" i="1"/>
  <c r="N15325" i="1"/>
  <c r="N25389" i="1"/>
  <c r="N19211" i="1"/>
  <c r="N18067" i="1"/>
  <c r="N18049" i="1"/>
  <c r="N18066" i="1"/>
  <c r="N4305" i="1"/>
  <c r="N23844" i="1"/>
  <c r="N9512" i="1"/>
  <c r="N9511" i="1"/>
  <c r="N9510" i="1"/>
  <c r="N9516" i="1"/>
  <c r="N11737" i="1"/>
  <c r="N11736" i="1"/>
  <c r="N2651" i="1"/>
  <c r="N15994" i="1"/>
  <c r="N1527" i="1"/>
  <c r="N14967" i="1"/>
  <c r="N14966" i="1"/>
  <c r="N15404" i="1"/>
  <c r="N24316" i="1"/>
  <c r="N5327" i="1"/>
  <c r="N5326" i="1"/>
  <c r="N12353" i="1"/>
  <c r="N4344" i="1"/>
  <c r="N11533" i="1"/>
  <c r="N11136" i="1"/>
  <c r="N18859" i="1"/>
  <c r="N15970" i="1"/>
  <c r="N2650" i="1"/>
  <c r="N6774" i="1"/>
  <c r="N6776" i="1"/>
  <c r="N19774" i="1"/>
  <c r="N12387" i="1"/>
  <c r="N22940" i="1"/>
  <c r="N22939" i="1"/>
  <c r="N8032" i="1"/>
  <c r="N1274" i="1"/>
  <c r="N24780" i="1"/>
  <c r="N6809" i="1"/>
  <c r="N10655" i="1"/>
  <c r="N4295" i="1"/>
  <c r="N13911" i="1"/>
  <c r="N18858" i="1"/>
  <c r="N18857" i="1"/>
  <c r="N18856" i="1"/>
  <c r="N18855" i="1"/>
  <c r="N18854" i="1"/>
  <c r="N25810" i="1"/>
  <c r="N1873" i="1"/>
  <c r="N1872" i="1"/>
  <c r="N25388" i="1"/>
  <c r="N16284" i="1"/>
  <c r="N15621" i="1"/>
  <c r="N25809" i="1"/>
  <c r="N15876" i="1"/>
  <c r="N15875" i="1"/>
  <c r="N11016" i="1"/>
  <c r="N16392" i="1"/>
  <c r="N8752" i="1"/>
  <c r="N8418" i="1"/>
  <c r="N25808" i="1"/>
  <c r="N25807" i="1"/>
  <c r="N25977" i="1"/>
  <c r="N18575" i="1"/>
  <c r="N25534" i="1"/>
  <c r="N25387" i="1"/>
  <c r="N25386" i="1"/>
  <c r="N25385" i="1"/>
  <c r="N25384" i="1"/>
  <c r="N2649" i="1"/>
  <c r="N11168" i="1"/>
  <c r="N11167" i="1"/>
  <c r="N11166" i="1"/>
  <c r="N24310" i="1"/>
  <c r="N4388" i="1"/>
  <c r="N3342" i="1"/>
  <c r="N5230" i="1"/>
  <c r="N5325" i="1"/>
  <c r="N2822" i="1"/>
  <c r="N5229" i="1"/>
  <c r="N6582" i="1"/>
  <c r="N7289" i="1"/>
  <c r="N7288" i="1"/>
  <c r="N7761" i="1"/>
  <c r="N7287" i="1"/>
  <c r="N25682" i="1"/>
  <c r="N25681" i="1"/>
  <c r="N6748" i="1"/>
  <c r="N6747" i="1"/>
  <c r="N15832" i="1"/>
  <c r="N25806" i="1"/>
  <c r="N18233" i="1"/>
  <c r="N6581" i="1"/>
  <c r="N25805" i="1"/>
  <c r="N25533" i="1"/>
  <c r="N6272" i="1"/>
  <c r="N24712" i="1"/>
  <c r="N25324" i="1"/>
  <c r="N15785" i="1"/>
  <c r="N23224" i="1"/>
  <c r="N23167" i="1"/>
  <c r="N23356" i="1"/>
  <c r="N23223" i="1"/>
  <c r="N23355" i="1"/>
  <c r="N23222" i="1"/>
  <c r="N25323" i="1"/>
  <c r="N14389" i="1"/>
  <c r="N1612" i="1"/>
  <c r="N16632" i="1"/>
  <c r="N6508" i="1"/>
  <c r="N25804" i="1"/>
  <c r="N25803" i="1"/>
  <c r="N25532" i="1"/>
  <c r="N9092" i="1"/>
  <c r="N10586" i="1"/>
  <c r="N9058" i="1"/>
  <c r="N25322" i="1"/>
  <c r="N25321" i="1"/>
  <c r="N25320" i="1"/>
  <c r="N25319" i="1"/>
  <c r="N14650" i="1"/>
  <c r="N21598" i="1"/>
  <c r="N21597" i="1"/>
  <c r="N21596" i="1"/>
  <c r="N21595" i="1"/>
  <c r="N21594" i="1"/>
  <c r="N21593" i="1"/>
  <c r="N21592" i="1"/>
  <c r="N21591" i="1"/>
  <c r="N18853" i="1"/>
  <c r="N18852" i="1"/>
  <c r="N18232" i="1"/>
  <c r="N18231" i="1"/>
  <c r="N6815" i="1"/>
  <c r="N11785" i="1"/>
  <c r="N11784" i="1"/>
  <c r="N11783" i="1"/>
  <c r="N5324" i="1"/>
  <c r="N5323" i="1"/>
  <c r="N5322" i="1"/>
  <c r="N5228" i="1"/>
  <c r="N12137" i="1"/>
  <c r="N5321" i="1"/>
  <c r="N24917" i="1"/>
  <c r="N24916" i="1"/>
  <c r="N13981" i="1"/>
  <c r="N9410" i="1"/>
  <c r="N14671" i="1"/>
  <c r="N11532" i="1"/>
  <c r="N5320" i="1"/>
  <c r="N13980" i="1"/>
  <c r="N19409" i="1"/>
  <c r="N19408" i="1"/>
  <c r="N25802" i="1"/>
  <c r="N25801" i="1"/>
  <c r="N25383" i="1"/>
  <c r="N25531" i="1"/>
  <c r="N25382" i="1"/>
  <c r="N18399" i="1"/>
  <c r="N25680" i="1"/>
  <c r="N15341" i="1"/>
  <c r="N24152" i="1"/>
  <c r="N24861" i="1"/>
  <c r="N24860" i="1"/>
  <c r="N24859" i="1"/>
  <c r="N24858" i="1"/>
  <c r="N18230" i="1"/>
  <c r="N18229" i="1"/>
  <c r="N24915" i="1"/>
  <c r="N24914" i="1"/>
  <c r="N24836" i="1"/>
  <c r="N2648" i="1"/>
  <c r="N2647" i="1"/>
  <c r="N23606" i="1"/>
  <c r="N12136" i="1"/>
  <c r="N8239" i="1"/>
  <c r="N5172" i="1"/>
  <c r="N1605" i="1"/>
  <c r="N2646" i="1"/>
  <c r="N24913" i="1"/>
  <c r="N24912" i="1"/>
  <c r="N24911" i="1"/>
  <c r="N18851" i="1"/>
  <c r="N18850" i="1"/>
  <c r="N18849" i="1"/>
  <c r="N18848" i="1"/>
  <c r="N11092" i="1"/>
  <c r="N8238" i="1"/>
  <c r="N19483" i="1"/>
  <c r="N19482" i="1"/>
  <c r="N16631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2111" i="1"/>
  <c r="N13001" i="1"/>
  <c r="N13000" i="1"/>
  <c r="N6580" i="1"/>
  <c r="N12999" i="1"/>
  <c r="N23626" i="1"/>
  <c r="N23625" i="1"/>
  <c r="N12998" i="1"/>
  <c r="N12091" i="1"/>
  <c r="N18847" i="1"/>
  <c r="N12997" i="1"/>
  <c r="N12996" i="1"/>
  <c r="N12995" i="1"/>
  <c r="N18080" i="1"/>
  <c r="N18079" i="1"/>
  <c r="N13369" i="1"/>
  <c r="N13368" i="1"/>
  <c r="N13367" i="1"/>
  <c r="N6679" i="1"/>
  <c r="N18228" i="1"/>
  <c r="N18227" i="1"/>
  <c r="N18226" i="1"/>
  <c r="N18225" i="1"/>
  <c r="N25530" i="1"/>
  <c r="N8237" i="1"/>
  <c r="N1192" i="1"/>
  <c r="N12479" i="1"/>
  <c r="N10404" i="1"/>
  <c r="N25800" i="1"/>
  <c r="N12994" i="1"/>
  <c r="N12993" i="1"/>
  <c r="N14952" i="1"/>
  <c r="N18224" i="1"/>
  <c r="N18223" i="1"/>
  <c r="N15462" i="1"/>
  <c r="N2645" i="1"/>
  <c r="N15874" i="1"/>
  <c r="N10273" i="1"/>
  <c r="N18398" i="1"/>
  <c r="N17911" i="1"/>
  <c r="N18846" i="1"/>
  <c r="N13223" i="1"/>
  <c r="N13222" i="1"/>
  <c r="N13221" i="1"/>
  <c r="N25318" i="1"/>
  <c r="N25799" i="1"/>
  <c r="N13258" i="1"/>
  <c r="N25798" i="1"/>
  <c r="N15056" i="1"/>
  <c r="N18048" i="1"/>
  <c r="N18047" i="1"/>
  <c r="N12365" i="1"/>
  <c r="N18845" i="1"/>
  <c r="N18345" i="1"/>
  <c r="N18344" i="1"/>
  <c r="N13220" i="1"/>
  <c r="N13219" i="1"/>
  <c r="N18365" i="1"/>
  <c r="N19131" i="1"/>
  <c r="N9851" i="1"/>
  <c r="N3453" i="1"/>
  <c r="N17910" i="1"/>
  <c r="N8236" i="1"/>
  <c r="N25797" i="1"/>
  <c r="N25796" i="1"/>
  <c r="N8751" i="1"/>
  <c r="N8750" i="1"/>
  <c r="N8749" i="1"/>
  <c r="N8417" i="1"/>
  <c r="N12730" i="1"/>
  <c r="N8748" i="1"/>
  <c r="N12992" i="1"/>
  <c r="N18472" i="1"/>
  <c r="N12991" i="1"/>
  <c r="N23669" i="1"/>
  <c r="N23668" i="1"/>
  <c r="N23667" i="1"/>
  <c r="N12990" i="1"/>
  <c r="N12787" i="1"/>
  <c r="N15620" i="1"/>
  <c r="N15619" i="1"/>
  <c r="N13218" i="1"/>
  <c r="N13217" i="1"/>
  <c r="N13216" i="1"/>
  <c r="N12989" i="1"/>
  <c r="N12988" i="1"/>
  <c r="N6121" i="1"/>
  <c r="N17876" i="1"/>
  <c r="N15592" i="1"/>
  <c r="N8235" i="1"/>
  <c r="N3271" i="1"/>
  <c r="N12987" i="1"/>
  <c r="N4520" i="1"/>
  <c r="N12391" i="1"/>
  <c r="N5836" i="1"/>
  <c r="N5835" i="1"/>
  <c r="N5834" i="1"/>
  <c r="N5833" i="1"/>
  <c r="N5832" i="1"/>
  <c r="N5831" i="1"/>
  <c r="N9107" i="1"/>
  <c r="N23354" i="1"/>
  <c r="N25795" i="1"/>
  <c r="N25794" i="1"/>
  <c r="N25793" i="1"/>
  <c r="N24123" i="1"/>
  <c r="N25529" i="1"/>
  <c r="N3371" i="1"/>
  <c r="N12135" i="1"/>
  <c r="N25792" i="1"/>
  <c r="N25791" i="1"/>
  <c r="N25790" i="1"/>
  <c r="N24050" i="1"/>
  <c r="N18844" i="1"/>
  <c r="N7760" i="1"/>
  <c r="N7271" i="1"/>
  <c r="N7270" i="1"/>
  <c r="N7759" i="1"/>
  <c r="N7627" i="1"/>
  <c r="N7269" i="1"/>
  <c r="N18843" i="1"/>
  <c r="N11531" i="1"/>
  <c r="N11530" i="1"/>
  <c r="N11529" i="1"/>
  <c r="N11528" i="1"/>
  <c r="N8234" i="1"/>
  <c r="N25789" i="1"/>
  <c r="N17777" i="1"/>
  <c r="N17776" i="1"/>
  <c r="N17775" i="1"/>
  <c r="N17774" i="1"/>
  <c r="N17773" i="1"/>
  <c r="N18842" i="1"/>
  <c r="N18841" i="1"/>
  <c r="N18840" i="1"/>
  <c r="N7758" i="1"/>
  <c r="N7268" i="1"/>
  <c r="N7757" i="1"/>
  <c r="N7267" i="1"/>
  <c r="N7756" i="1"/>
  <c r="N7266" i="1"/>
  <c r="N19210" i="1"/>
  <c r="N19209" i="1"/>
  <c r="N19208" i="1"/>
  <c r="N24910" i="1"/>
  <c r="N11527" i="1"/>
  <c r="N25381" i="1"/>
  <c r="N25528" i="1"/>
  <c r="N25788" i="1"/>
  <c r="N5194" i="1"/>
  <c r="N16242" i="1"/>
  <c r="N3600" i="1"/>
  <c r="N24103" i="1"/>
  <c r="N24095" i="1"/>
  <c r="N24099" i="1"/>
  <c r="N25317" i="1"/>
  <c r="N15591" i="1"/>
  <c r="N2644" i="1"/>
  <c r="N15969" i="1"/>
  <c r="N15968" i="1"/>
  <c r="N15931" i="1"/>
  <c r="N22938" i="1"/>
  <c r="N22990" i="1"/>
  <c r="N25527" i="1"/>
  <c r="N6541" i="1"/>
  <c r="N7919" i="1"/>
  <c r="N6700" i="1"/>
  <c r="N8233" i="1"/>
  <c r="N12332" i="1"/>
  <c r="N19159" i="1"/>
  <c r="N16068" i="1"/>
  <c r="N25787" i="1"/>
  <c r="N11232" i="1"/>
  <c r="N2643" i="1"/>
  <c r="N2036" i="1"/>
  <c r="N23028" i="1"/>
  <c r="N15350" i="1"/>
  <c r="N19286" i="1"/>
  <c r="N21590" i="1"/>
  <c r="N21589" i="1"/>
  <c r="N12279" i="1"/>
  <c r="N17772" i="1"/>
  <c r="N17771" i="1"/>
  <c r="N17770" i="1"/>
  <c r="N17769" i="1"/>
  <c r="N17768" i="1"/>
  <c r="N17767" i="1"/>
  <c r="N6784" i="1"/>
  <c r="N25786" i="1"/>
  <c r="N3963" i="1"/>
  <c r="N25785" i="1"/>
  <c r="N25784" i="1"/>
  <c r="N25783" i="1"/>
  <c r="N25782" i="1"/>
  <c r="N25316" i="1"/>
  <c r="N25315" i="1"/>
  <c r="N9602" i="1"/>
  <c r="N9601" i="1"/>
  <c r="N6226" i="1"/>
  <c r="N6225" i="1"/>
  <c r="N25781" i="1"/>
  <c r="N1804" i="1"/>
  <c r="N1803" i="1"/>
  <c r="N2445" i="1"/>
  <c r="N11526" i="1"/>
  <c r="N24151" i="1"/>
  <c r="N24150" i="1"/>
  <c r="N8232" i="1"/>
  <c r="N2151" i="1"/>
  <c r="N24909" i="1"/>
  <c r="N24835" i="1"/>
  <c r="N24908" i="1"/>
  <c r="N2642" i="1"/>
  <c r="N24907" i="1"/>
  <c r="N24906" i="1"/>
  <c r="N24905" i="1"/>
  <c r="N24834" i="1"/>
  <c r="N7755" i="1"/>
  <c r="N7626" i="1"/>
  <c r="N7872" i="1"/>
  <c r="N7639" i="1"/>
  <c r="N3955" i="1"/>
  <c r="N3951" i="1"/>
  <c r="N3950" i="1"/>
  <c r="N25780" i="1"/>
  <c r="N25380" i="1"/>
  <c r="N25314" i="1"/>
  <c r="N25313" i="1"/>
  <c r="N25779" i="1"/>
  <c r="N25778" i="1"/>
  <c r="N25777" i="1"/>
  <c r="N25526" i="1"/>
  <c r="N7754" i="1"/>
  <c r="N7871" i="1"/>
  <c r="N7265" i="1"/>
  <c r="N2444" i="1"/>
  <c r="N2454" i="1"/>
  <c r="N8379" i="1"/>
  <c r="N18091" i="1"/>
  <c r="N10607" i="1"/>
  <c r="N23788" i="1"/>
  <c r="N6297" i="1"/>
  <c r="N25776" i="1"/>
  <c r="N25775" i="1"/>
  <c r="N25774" i="1"/>
  <c r="N17897" i="1"/>
  <c r="N17896" i="1"/>
  <c r="N23053" i="1"/>
  <c r="N2915" i="1"/>
  <c r="N12033" i="1"/>
  <c r="N21588" i="1"/>
  <c r="N21587" i="1"/>
  <c r="N21586" i="1"/>
  <c r="N21585" i="1"/>
  <c r="N21584" i="1"/>
  <c r="N21583" i="1"/>
  <c r="N21582" i="1"/>
  <c r="N21581" i="1"/>
  <c r="N21580" i="1"/>
  <c r="N21579" i="1"/>
  <c r="N21578" i="1"/>
  <c r="N21577" i="1"/>
  <c r="N21576" i="1"/>
  <c r="N21575" i="1"/>
  <c r="N21574" i="1"/>
  <c r="N21573" i="1"/>
  <c r="N21572" i="1"/>
  <c r="N21571" i="1"/>
  <c r="N21570" i="1"/>
  <c r="N21569" i="1"/>
  <c r="N21568" i="1"/>
  <c r="N21567" i="1"/>
  <c r="N25773" i="1"/>
  <c r="N19050" i="1"/>
  <c r="N16283" i="1"/>
  <c r="N6130" i="1"/>
  <c r="N5830" i="1"/>
  <c r="N11525" i="1"/>
  <c r="N11524" i="1"/>
  <c r="N5227" i="1"/>
  <c r="N7264" i="1"/>
  <c r="N7753" i="1"/>
  <c r="N7263" i="1"/>
  <c r="N7752" i="1"/>
  <c r="N7262" i="1"/>
  <c r="N18839" i="1"/>
  <c r="N10101" i="1"/>
  <c r="N10100" i="1"/>
  <c r="N23353" i="1"/>
  <c r="N23166" i="1"/>
  <c r="N23352" i="1"/>
  <c r="N23351" i="1"/>
  <c r="N10588" i="1"/>
  <c r="N21566" i="1"/>
  <c r="N21565" i="1"/>
  <c r="N21564" i="1"/>
  <c r="N21563" i="1"/>
  <c r="N21562" i="1"/>
  <c r="N21561" i="1"/>
  <c r="N21560" i="1"/>
  <c r="N19579" i="1"/>
  <c r="N21559" i="1"/>
  <c r="N21558" i="1"/>
  <c r="N21557" i="1"/>
  <c r="N21556" i="1"/>
  <c r="N21555" i="1"/>
  <c r="N21554" i="1"/>
  <c r="N21553" i="1"/>
  <c r="N21552" i="1"/>
  <c r="N21551" i="1"/>
  <c r="N21550" i="1"/>
  <c r="N21549" i="1"/>
  <c r="N21548" i="1"/>
  <c r="N21547" i="1"/>
  <c r="N21546" i="1"/>
  <c r="N21545" i="1"/>
  <c r="N21544" i="1"/>
  <c r="N11908" i="1"/>
  <c r="N11907" i="1"/>
  <c r="N8127" i="1"/>
  <c r="N6783" i="1"/>
  <c r="N1210" i="1"/>
  <c r="N1191" i="1"/>
  <c r="N4256" i="1"/>
  <c r="N4246" i="1"/>
  <c r="N21543" i="1"/>
  <c r="N21542" i="1"/>
  <c r="N21541" i="1"/>
  <c r="N21540" i="1"/>
  <c r="N21539" i="1"/>
  <c r="N21538" i="1"/>
  <c r="N21537" i="1"/>
  <c r="N21536" i="1"/>
  <c r="N21535" i="1"/>
  <c r="N21534" i="1"/>
  <c r="N21533" i="1"/>
  <c r="N21532" i="1"/>
  <c r="N21531" i="1"/>
  <c r="N21530" i="1"/>
  <c r="N21529" i="1"/>
  <c r="N21528" i="1"/>
  <c r="N21527" i="1"/>
  <c r="N21526" i="1"/>
  <c r="N21525" i="1"/>
  <c r="N21524" i="1"/>
  <c r="N21523" i="1"/>
  <c r="N21522" i="1"/>
  <c r="N21521" i="1"/>
  <c r="N21520" i="1"/>
  <c r="N21519" i="1"/>
  <c r="N21518" i="1"/>
  <c r="N21517" i="1"/>
  <c r="N21516" i="1"/>
  <c r="N21515" i="1"/>
  <c r="N21514" i="1"/>
  <c r="N21513" i="1"/>
  <c r="N21512" i="1"/>
  <c r="N21511" i="1"/>
  <c r="N10099" i="1"/>
  <c r="N12032" i="1"/>
  <c r="N15147" i="1"/>
  <c r="N15146" i="1"/>
  <c r="N15145" i="1"/>
  <c r="N15144" i="1"/>
  <c r="N1548" i="1"/>
  <c r="N3320" i="1"/>
  <c r="N8231" i="1"/>
  <c r="N8230" i="1"/>
  <c r="N1948" i="1"/>
  <c r="N23027" i="1"/>
  <c r="N5829" i="1"/>
  <c r="N5828" i="1"/>
  <c r="N5827" i="1"/>
  <c r="N2344" i="1"/>
  <c r="N3502" i="1"/>
  <c r="N3501" i="1"/>
  <c r="N3499" i="1"/>
  <c r="N24904" i="1"/>
  <c r="N24833" i="1"/>
  <c r="N24903" i="1"/>
  <c r="N24857" i="1"/>
  <c r="N24856" i="1"/>
  <c r="N2641" i="1"/>
  <c r="N21510" i="1"/>
  <c r="N21509" i="1"/>
  <c r="N21508" i="1"/>
  <c r="N21507" i="1"/>
  <c r="N21506" i="1"/>
  <c r="N21505" i="1"/>
  <c r="N21504" i="1"/>
  <c r="N21503" i="1"/>
  <c r="N21502" i="1"/>
  <c r="N21501" i="1"/>
  <c r="N21500" i="1"/>
  <c r="N21499" i="1"/>
  <c r="N1282" i="1"/>
  <c r="N18838" i="1"/>
  <c r="N6472" i="1"/>
  <c r="N13215" i="1"/>
  <c r="N15207" i="1"/>
  <c r="N15206" i="1"/>
  <c r="N15205" i="1"/>
  <c r="N15204" i="1"/>
  <c r="N15203" i="1"/>
  <c r="N15202" i="1"/>
  <c r="N15201" i="1"/>
  <c r="N25312" i="1"/>
  <c r="N25772" i="1"/>
  <c r="N24315" i="1"/>
  <c r="N24314" i="1"/>
  <c r="N24313" i="1"/>
  <c r="N25771" i="1"/>
  <c r="N9079" i="1"/>
  <c r="N16282" i="1"/>
  <c r="N3705" i="1"/>
  <c r="N3704" i="1"/>
  <c r="N3703" i="1"/>
  <c r="N3702" i="1"/>
  <c r="N3701" i="1"/>
  <c r="N3700" i="1"/>
  <c r="N24291" i="1"/>
  <c r="N16281" i="1"/>
  <c r="N21498" i="1"/>
  <c r="N1199" i="1"/>
  <c r="N5826" i="1"/>
  <c r="N5825" i="1"/>
  <c r="N5824" i="1"/>
  <c r="N5823" i="1"/>
  <c r="N5822" i="1"/>
  <c r="N5821" i="1"/>
  <c r="N22937" i="1"/>
  <c r="N22936" i="1"/>
  <c r="N23001" i="1"/>
  <c r="N22935" i="1"/>
  <c r="N22934" i="1"/>
  <c r="N22933" i="1"/>
  <c r="N22932" i="1"/>
  <c r="N22931" i="1"/>
  <c r="N16058" i="1"/>
  <c r="N16057" i="1"/>
  <c r="N16056" i="1"/>
  <c r="N6135" i="1"/>
  <c r="N10410" i="1"/>
  <c r="N2640" i="1"/>
  <c r="N3142" i="1"/>
  <c r="N3141" i="1"/>
  <c r="N19481" i="1"/>
  <c r="N2453" i="1"/>
  <c r="N23037" i="1"/>
  <c r="N23719" i="1"/>
  <c r="N23718" i="1"/>
  <c r="N9250" i="1"/>
  <c r="N8229" i="1"/>
  <c r="N22930" i="1"/>
  <c r="N25770" i="1"/>
  <c r="N25769" i="1"/>
  <c r="N12367" i="1"/>
  <c r="N12366" i="1"/>
  <c r="N25768" i="1"/>
  <c r="N25767" i="1"/>
  <c r="N25766" i="1"/>
  <c r="N25765" i="1"/>
  <c r="N1451" i="1"/>
  <c r="N5820" i="1"/>
  <c r="N2639" i="1"/>
  <c r="N17934" i="1"/>
  <c r="N2638" i="1"/>
  <c r="N2637" i="1"/>
  <c r="N2636" i="1"/>
  <c r="N13282" i="1"/>
  <c r="N13281" i="1"/>
  <c r="N13280" i="1"/>
  <c r="N24902" i="1"/>
  <c r="N24848" i="1"/>
  <c r="N8228" i="1"/>
  <c r="N8227" i="1"/>
  <c r="N8226" i="1"/>
  <c r="N8225" i="1"/>
  <c r="N8224" i="1"/>
  <c r="N8223" i="1"/>
  <c r="N8222" i="1"/>
  <c r="N8221" i="1"/>
  <c r="N10469" i="1"/>
  <c r="N7261" i="1"/>
  <c r="N7260" i="1"/>
  <c r="N7259" i="1"/>
  <c r="N7258" i="1"/>
  <c r="N3140" i="1"/>
  <c r="N2635" i="1"/>
  <c r="N4343" i="1"/>
  <c r="N2634" i="1"/>
  <c r="N12134" i="1"/>
  <c r="N13979" i="1"/>
  <c r="N18837" i="1"/>
  <c r="N1392" i="1"/>
  <c r="N8220" i="1"/>
  <c r="N8219" i="1"/>
  <c r="N8218" i="1"/>
  <c r="N8217" i="1"/>
  <c r="N8216" i="1"/>
  <c r="N9636" i="1"/>
  <c r="N25525" i="1"/>
  <c r="N25764" i="1"/>
  <c r="N19250" i="1"/>
  <c r="N8215" i="1"/>
  <c r="N8214" i="1"/>
  <c r="N21497" i="1"/>
  <c r="N21496" i="1"/>
  <c r="N21495" i="1"/>
  <c r="N21494" i="1"/>
  <c r="N21493" i="1"/>
  <c r="N21492" i="1"/>
  <c r="N21491" i="1"/>
  <c r="N23000" i="1"/>
  <c r="N22929" i="1"/>
  <c r="N22999" i="1"/>
  <c r="N21490" i="1"/>
  <c r="N21489" i="1"/>
  <c r="N21488" i="1"/>
  <c r="N21487" i="1"/>
  <c r="N21486" i="1"/>
  <c r="N21485" i="1"/>
  <c r="N21484" i="1"/>
  <c r="N21483" i="1"/>
  <c r="N21482" i="1"/>
  <c r="N21481" i="1"/>
  <c r="N21480" i="1"/>
  <c r="N21479" i="1"/>
  <c r="N21478" i="1"/>
  <c r="N21477" i="1"/>
  <c r="N21476" i="1"/>
  <c r="N21475" i="1"/>
  <c r="N21474" i="1"/>
  <c r="N1871" i="1"/>
  <c r="N1870" i="1"/>
  <c r="N15179" i="1"/>
  <c r="N21473" i="1"/>
  <c r="N21472" i="1"/>
  <c r="N21471" i="1"/>
  <c r="N21470" i="1"/>
  <c r="N21469" i="1"/>
  <c r="N21468" i="1"/>
  <c r="N21467" i="1"/>
  <c r="N21466" i="1"/>
  <c r="N21465" i="1"/>
  <c r="N21464" i="1"/>
  <c r="N21463" i="1"/>
  <c r="N21462" i="1"/>
  <c r="N21461" i="1"/>
  <c r="N21460" i="1"/>
  <c r="N5819" i="1"/>
  <c r="N5818" i="1"/>
  <c r="N11933" i="1"/>
  <c r="N5817" i="1"/>
  <c r="N3109" i="1"/>
  <c r="N11932" i="1"/>
  <c r="N5816" i="1"/>
  <c r="N5815" i="1"/>
  <c r="N5814" i="1"/>
  <c r="N5813" i="1"/>
  <c r="N5812" i="1"/>
  <c r="N5811" i="1"/>
  <c r="N16009" i="1"/>
  <c r="N15993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12276" i="1"/>
  <c r="N25763" i="1"/>
  <c r="N14965" i="1"/>
  <c r="N14964" i="1"/>
  <c r="N4518" i="1"/>
  <c r="N13214" i="1"/>
  <c r="N13213" i="1"/>
  <c r="N15577" i="1"/>
  <c r="N13212" i="1"/>
  <c r="N13211" i="1"/>
  <c r="N18836" i="1"/>
  <c r="N1190" i="1"/>
  <c r="N13210" i="1"/>
  <c r="N10884" i="1"/>
  <c r="N3516" i="1"/>
  <c r="N2507" i="1"/>
  <c r="N25762" i="1"/>
  <c r="N16630" i="1"/>
  <c r="N15334" i="1"/>
  <c r="N11150" i="1"/>
  <c r="N2132" i="1"/>
  <c r="N14785" i="1"/>
  <c r="N14784" i="1"/>
  <c r="N14783" i="1"/>
  <c r="N14782" i="1"/>
  <c r="N14781" i="1"/>
  <c r="N14780" i="1"/>
  <c r="N14779" i="1"/>
  <c r="N14778" i="1"/>
  <c r="N14777" i="1"/>
  <c r="N14776" i="1"/>
  <c r="N14775" i="1"/>
  <c r="N14774" i="1"/>
  <c r="N14773" i="1"/>
  <c r="N14772" i="1"/>
  <c r="N14683" i="1"/>
  <c r="N1312" i="1"/>
  <c r="N6156" i="1"/>
  <c r="N24612" i="1"/>
  <c r="N25524" i="1"/>
  <c r="N18573" i="1"/>
  <c r="N18572" i="1"/>
  <c r="N18571" i="1"/>
  <c r="N18570" i="1"/>
  <c r="N18569" i="1"/>
  <c r="N18568" i="1"/>
  <c r="N18567" i="1"/>
  <c r="N18566" i="1"/>
  <c r="N18565" i="1"/>
  <c r="N18564" i="1"/>
  <c r="N18563" i="1"/>
  <c r="N25761" i="1"/>
  <c r="N24770" i="1"/>
  <c r="N3097" i="1"/>
  <c r="N3187" i="1"/>
  <c r="N3186" i="1"/>
  <c r="N24169" i="1"/>
  <c r="N24198" i="1"/>
  <c r="N24168" i="1"/>
  <c r="N24197" i="1"/>
  <c r="N25679" i="1"/>
  <c r="N14630" i="1"/>
  <c r="N4387" i="1"/>
  <c r="N4386" i="1"/>
  <c r="N4385" i="1"/>
  <c r="N10522" i="1"/>
  <c r="N10521" i="1"/>
  <c r="N10520" i="1"/>
  <c r="N10519" i="1"/>
  <c r="N1625" i="1"/>
  <c r="N12600" i="1"/>
  <c r="N14332" i="1"/>
  <c r="N12435" i="1"/>
  <c r="N12434" i="1"/>
  <c r="N12433" i="1"/>
  <c r="N1399" i="1"/>
  <c r="N12599" i="1"/>
  <c r="N12681" i="1"/>
  <c r="N13731" i="1"/>
  <c r="N13730" i="1"/>
  <c r="N13678" i="1"/>
  <c r="N13729" i="1"/>
  <c r="N13791" i="1"/>
  <c r="N13775" i="1"/>
  <c r="N1733" i="1"/>
  <c r="N13209" i="1"/>
  <c r="N13208" i="1"/>
  <c r="N24249" i="1"/>
  <c r="N9435" i="1"/>
  <c r="N9434" i="1"/>
  <c r="N12414" i="1"/>
  <c r="N25523" i="1"/>
  <c r="N16525" i="1"/>
  <c r="N16524" i="1"/>
  <c r="N19016" i="1"/>
  <c r="N4564" i="1"/>
  <c r="N2633" i="1"/>
  <c r="N2632" i="1"/>
  <c r="N2631" i="1"/>
  <c r="N2630" i="1"/>
  <c r="N14569" i="1"/>
  <c r="N14570" i="1"/>
  <c r="N2629" i="1"/>
  <c r="N11815" i="1"/>
  <c r="N11814" i="1"/>
  <c r="N11813" i="1"/>
  <c r="N11812" i="1"/>
  <c r="N11811" i="1"/>
  <c r="N1837" i="1"/>
  <c r="N1836" i="1"/>
  <c r="N3219" i="1"/>
  <c r="N3218" i="1"/>
  <c r="N3217" i="1"/>
  <c r="N19812" i="1"/>
  <c r="N19811" i="1"/>
  <c r="N23350" i="1"/>
  <c r="N23349" i="1"/>
  <c r="N23487" i="1"/>
  <c r="N17766" i="1"/>
  <c r="N17765" i="1"/>
  <c r="N17764" i="1"/>
  <c r="N17763" i="1"/>
  <c r="N17762" i="1"/>
  <c r="N17761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15850" i="1"/>
  <c r="N7257" i="1"/>
  <c r="N7256" i="1"/>
  <c r="N7255" i="1"/>
  <c r="N7254" i="1"/>
  <c r="N5116" i="1"/>
  <c r="N5115" i="1"/>
  <c r="N5114" i="1"/>
  <c r="N5113" i="1"/>
  <c r="N5112" i="1"/>
  <c r="N5111" i="1"/>
  <c r="N5110" i="1"/>
  <c r="N5109" i="1"/>
  <c r="N5108" i="1"/>
  <c r="N5107" i="1"/>
  <c r="N24711" i="1"/>
  <c r="N14476" i="1"/>
  <c r="N23547" i="1"/>
  <c r="N23546" i="1"/>
  <c r="N23605" i="1"/>
  <c r="N2263" i="1"/>
  <c r="N18835" i="1"/>
  <c r="N18739" i="1"/>
  <c r="N5798" i="1"/>
  <c r="N5797" i="1"/>
  <c r="N5796" i="1"/>
  <c r="N5795" i="1"/>
  <c r="N5794" i="1"/>
  <c r="N5793" i="1"/>
  <c r="N5792" i="1"/>
  <c r="N5791" i="1"/>
  <c r="N5790" i="1"/>
  <c r="N15429" i="1"/>
  <c r="N10883" i="1"/>
  <c r="N10882" i="1"/>
  <c r="N15428" i="1"/>
  <c r="N10881" i="1"/>
  <c r="N10880" i="1"/>
  <c r="N10879" i="1"/>
  <c r="N23078" i="1"/>
  <c r="N1950" i="1"/>
  <c r="N24402" i="1"/>
  <c r="N25760" i="1"/>
  <c r="N16391" i="1"/>
  <c r="N5789" i="1"/>
  <c r="N5788" i="1"/>
  <c r="N25971" i="1"/>
  <c r="N25979" i="1"/>
  <c r="N25970" i="1"/>
  <c r="N25978" i="1"/>
  <c r="N10773" i="1"/>
  <c r="N10772" i="1"/>
  <c r="N21459" i="1"/>
  <c r="N21458" i="1"/>
  <c r="N21457" i="1"/>
  <c r="N21456" i="1"/>
  <c r="N21455" i="1"/>
  <c r="N10878" i="1"/>
  <c r="N21454" i="1"/>
  <c r="N21453" i="1"/>
  <c r="N21452" i="1"/>
  <c r="N10877" i="1"/>
  <c r="N10876" i="1"/>
  <c r="N21451" i="1"/>
  <c r="N21450" i="1"/>
  <c r="N21449" i="1"/>
  <c r="N21448" i="1"/>
  <c r="N21447" i="1"/>
  <c r="N21446" i="1"/>
  <c r="N24550" i="1"/>
  <c r="N24549" i="1"/>
  <c r="N24548" i="1"/>
  <c r="N24547" i="1"/>
  <c r="N24546" i="1"/>
  <c r="N10771" i="1"/>
  <c r="N10770" i="1"/>
  <c r="N21445" i="1"/>
  <c r="N2787" i="1"/>
  <c r="N2786" i="1"/>
  <c r="N21444" i="1"/>
  <c r="N21443" i="1"/>
  <c r="N21442" i="1"/>
  <c r="N21441" i="1"/>
  <c r="N21440" i="1"/>
  <c r="N21439" i="1"/>
  <c r="N21438" i="1"/>
  <c r="N21437" i="1"/>
  <c r="N21436" i="1"/>
  <c r="N21435" i="1"/>
  <c r="N21434" i="1"/>
  <c r="N21433" i="1"/>
  <c r="N21432" i="1"/>
  <c r="N3013" i="1"/>
  <c r="N3012" i="1"/>
  <c r="N3011" i="1"/>
  <c r="N21431" i="1"/>
  <c r="N21430" i="1"/>
  <c r="N21429" i="1"/>
  <c r="N9850" i="1"/>
  <c r="N9849" i="1"/>
  <c r="N21428" i="1"/>
  <c r="N21427" i="1"/>
  <c r="N21426" i="1"/>
  <c r="N21425" i="1"/>
  <c r="N21424" i="1"/>
  <c r="N21423" i="1"/>
  <c r="N21422" i="1"/>
  <c r="N21421" i="1"/>
  <c r="N21420" i="1"/>
  <c r="N21419" i="1"/>
  <c r="N21418" i="1"/>
  <c r="N21417" i="1"/>
  <c r="N21416" i="1"/>
  <c r="N21415" i="1"/>
  <c r="N21414" i="1"/>
  <c r="N21413" i="1"/>
  <c r="N18445" i="1"/>
  <c r="N18444" i="1"/>
  <c r="N21412" i="1"/>
  <c r="N21411" i="1"/>
  <c r="N9509" i="1"/>
  <c r="N8213" i="1"/>
  <c r="N8212" i="1"/>
  <c r="N17130" i="1"/>
  <c r="N17129" i="1"/>
  <c r="N17128" i="1"/>
  <c r="N17127" i="1"/>
  <c r="N6435" i="1"/>
  <c r="N6434" i="1"/>
  <c r="N6433" i="1"/>
  <c r="N6432" i="1"/>
  <c r="N6431" i="1"/>
  <c r="N6430" i="1"/>
  <c r="N6429" i="1"/>
  <c r="N6428" i="1"/>
  <c r="N6427" i="1"/>
  <c r="N17959" i="1"/>
  <c r="N15784" i="1"/>
  <c r="N1945" i="1"/>
  <c r="N23781" i="1"/>
  <c r="N2035" i="1"/>
  <c r="N2034" i="1"/>
  <c r="N24901" i="1"/>
  <c r="N10575" i="1"/>
  <c r="N24900" i="1"/>
  <c r="N8211" i="1"/>
  <c r="N8210" i="1"/>
  <c r="N12082" i="1"/>
  <c r="N24899" i="1"/>
  <c r="N18583" i="1"/>
  <c r="N25759" i="1"/>
  <c r="N15373" i="1"/>
  <c r="N15372" i="1"/>
  <c r="N9848" i="1"/>
  <c r="N9847" i="1"/>
  <c r="N8209" i="1"/>
  <c r="N8208" i="1"/>
  <c r="N8207" i="1"/>
  <c r="N9846" i="1"/>
  <c r="N9845" i="1"/>
  <c r="N3260" i="1"/>
  <c r="N22979" i="1"/>
  <c r="N6682" i="1"/>
  <c r="N24876" i="1"/>
  <c r="N24875" i="1"/>
  <c r="N24898" i="1"/>
  <c r="N24874" i="1"/>
  <c r="N24897" i="1"/>
  <c r="N12524" i="1"/>
  <c r="N14963" i="1"/>
  <c r="N14647" i="1"/>
  <c r="N21410" i="1"/>
  <c r="N21409" i="1"/>
  <c r="N21408" i="1"/>
  <c r="N25379" i="1"/>
  <c r="N2033" i="1"/>
  <c r="N2032" i="1"/>
  <c r="N21407" i="1"/>
  <c r="N2443" i="1"/>
  <c r="N8019" i="1"/>
  <c r="N21406" i="1"/>
  <c r="N21405" i="1"/>
  <c r="N21404" i="1"/>
  <c r="N21403" i="1"/>
  <c r="N21402" i="1"/>
  <c r="N21401" i="1"/>
  <c r="N21400" i="1"/>
  <c r="N21399" i="1"/>
  <c r="N21398" i="1"/>
  <c r="N21397" i="1"/>
  <c r="N1869" i="1"/>
  <c r="N2506" i="1"/>
  <c r="N2505" i="1"/>
  <c r="N2031" i="1"/>
  <c r="N2030" i="1"/>
  <c r="N25378" i="1"/>
  <c r="N21396" i="1"/>
  <c r="N21395" i="1"/>
  <c r="N21394" i="1"/>
  <c r="N21393" i="1"/>
  <c r="N21392" i="1"/>
  <c r="N21391" i="1"/>
  <c r="N21390" i="1"/>
  <c r="N21389" i="1"/>
  <c r="N21388" i="1"/>
  <c r="N21387" i="1"/>
  <c r="N21386" i="1"/>
  <c r="N21385" i="1"/>
  <c r="N21384" i="1"/>
  <c r="N21383" i="1"/>
  <c r="N21382" i="1"/>
  <c r="N21381" i="1"/>
  <c r="N21380" i="1"/>
  <c r="N21379" i="1"/>
  <c r="N21378" i="1"/>
  <c r="N21377" i="1"/>
  <c r="N21376" i="1"/>
  <c r="N21375" i="1"/>
  <c r="N21374" i="1"/>
  <c r="N21373" i="1"/>
  <c r="N13439" i="1"/>
  <c r="N13438" i="1"/>
  <c r="N13437" i="1"/>
  <c r="N3010" i="1"/>
  <c r="N3009" i="1"/>
  <c r="N3008" i="1"/>
  <c r="N12168" i="1"/>
  <c r="N24401" i="1"/>
  <c r="N14912" i="1"/>
  <c r="N24400" i="1"/>
  <c r="N16465" i="1"/>
  <c r="N16464" i="1"/>
  <c r="N23974" i="1"/>
  <c r="N23973" i="1"/>
  <c r="N24467" i="1"/>
  <c r="N7751" i="1"/>
  <c r="N7253" i="1"/>
  <c r="N3007" i="1"/>
  <c r="N3006" i="1"/>
  <c r="N3005" i="1"/>
  <c r="N16463" i="1"/>
  <c r="N9844" i="1"/>
  <c r="N10769" i="1"/>
  <c r="N10768" i="1"/>
  <c r="N9551" i="1"/>
  <c r="N9550" i="1"/>
  <c r="N9549" i="1"/>
  <c r="N24133" i="1"/>
  <c r="N24399" i="1"/>
  <c r="N11165" i="1"/>
  <c r="N23348" i="1"/>
  <c r="N13436" i="1"/>
  <c r="N13435" i="1"/>
  <c r="N15527" i="1"/>
  <c r="N3415" i="1"/>
  <c r="N23972" i="1"/>
  <c r="N6271" i="1"/>
  <c r="N6638" i="1"/>
  <c r="N19407" i="1"/>
  <c r="N19406" i="1"/>
  <c r="N21372" i="1"/>
  <c r="N21371" i="1"/>
  <c r="N21370" i="1"/>
  <c r="N21369" i="1"/>
  <c r="N21368" i="1"/>
  <c r="N21367" i="1"/>
  <c r="N21366" i="1"/>
  <c r="N21365" i="1"/>
  <c r="N21364" i="1"/>
  <c r="N21363" i="1"/>
  <c r="N10875" i="1"/>
  <c r="N18834" i="1"/>
  <c r="N18833" i="1"/>
  <c r="N16462" i="1"/>
  <c r="N11091" i="1"/>
  <c r="N6531" i="1"/>
  <c r="N10874" i="1"/>
  <c r="N19621" i="1"/>
  <c r="N19620" i="1"/>
  <c r="N16461" i="1"/>
  <c r="N16460" i="1"/>
  <c r="N21362" i="1"/>
  <c r="N21361" i="1"/>
  <c r="N21360" i="1"/>
  <c r="N21359" i="1"/>
  <c r="N21358" i="1"/>
  <c r="N16459" i="1"/>
  <c r="N16458" i="1"/>
  <c r="N19405" i="1"/>
  <c r="N24466" i="1"/>
  <c r="N16457" i="1"/>
  <c r="N16456" i="1"/>
  <c r="N18832" i="1"/>
  <c r="N18831" i="1"/>
  <c r="N18830" i="1"/>
  <c r="N9401" i="1"/>
  <c r="N2821" i="1"/>
  <c r="N2115" i="1"/>
  <c r="N23971" i="1"/>
  <c r="N23970" i="1"/>
  <c r="N2029" i="1"/>
  <c r="N2028" i="1"/>
  <c r="N17760" i="1"/>
  <c r="N17759" i="1"/>
  <c r="N17758" i="1"/>
  <c r="N17757" i="1"/>
  <c r="N17756" i="1"/>
  <c r="N15357" i="1"/>
  <c r="N15356" i="1"/>
  <c r="N25522" i="1"/>
  <c r="N19314" i="1"/>
  <c r="N19306" i="1"/>
  <c r="N3749" i="1"/>
  <c r="N23780" i="1"/>
  <c r="N3004" i="1"/>
  <c r="N2628" i="1"/>
  <c r="N11523" i="1"/>
  <c r="N11522" i="1"/>
  <c r="N11279" i="1"/>
  <c r="N11521" i="1"/>
  <c r="N11278" i="1"/>
  <c r="N11520" i="1"/>
  <c r="N11519" i="1"/>
  <c r="N11518" i="1"/>
  <c r="N1338" i="1"/>
  <c r="N305" i="1"/>
  <c r="N304" i="1"/>
  <c r="N303" i="1"/>
  <c r="N302" i="1"/>
  <c r="N301" i="1"/>
  <c r="N300" i="1"/>
  <c r="N299" i="1"/>
  <c r="N8997" i="1"/>
  <c r="N23969" i="1"/>
  <c r="N19793" i="1"/>
  <c r="N13207" i="1"/>
  <c r="N13206" i="1"/>
  <c r="N13205" i="1"/>
  <c r="N13204" i="1"/>
  <c r="N13203" i="1"/>
  <c r="N298" i="1"/>
  <c r="N297" i="1"/>
  <c r="N296" i="1"/>
  <c r="N295" i="1"/>
  <c r="N294" i="1"/>
  <c r="N293" i="1"/>
  <c r="N292" i="1"/>
  <c r="N291" i="1"/>
  <c r="N290" i="1"/>
  <c r="N15752" i="1"/>
  <c r="N15853" i="1"/>
  <c r="N2820" i="1"/>
  <c r="N15804" i="1"/>
  <c r="N24821" i="1"/>
  <c r="N13728" i="1"/>
  <c r="N10098" i="1"/>
  <c r="N14643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14398" i="1"/>
  <c r="N10691" i="1"/>
  <c r="N10673" i="1"/>
  <c r="N14397" i="1"/>
  <c r="N10036" i="1"/>
  <c r="N10035" i="1"/>
  <c r="N10034" i="1"/>
  <c r="N10033" i="1"/>
  <c r="N10032" i="1"/>
  <c r="N10031" i="1"/>
  <c r="N10030" i="1"/>
  <c r="N18829" i="1"/>
  <c r="N24545" i="1"/>
  <c r="N24544" i="1"/>
  <c r="N24543" i="1"/>
  <c r="N24542" i="1"/>
  <c r="N24541" i="1"/>
  <c r="N24540" i="1"/>
  <c r="N24539" i="1"/>
  <c r="N24538" i="1"/>
  <c r="N24537" i="1"/>
  <c r="N24536" i="1"/>
  <c r="N17264" i="1"/>
  <c r="N14027" i="1"/>
  <c r="N14026" i="1"/>
  <c r="N24896" i="1"/>
  <c r="N24398" i="1"/>
  <c r="N3480" i="1"/>
  <c r="N8077" i="1"/>
  <c r="N8076" i="1"/>
  <c r="N12463" i="1"/>
  <c r="N13836" i="1"/>
  <c r="N1547" i="1"/>
  <c r="N1540" i="1"/>
  <c r="N1469" i="1"/>
  <c r="N1468" i="1"/>
  <c r="N2627" i="1"/>
  <c r="N24895" i="1"/>
  <c r="N24894" i="1"/>
  <c r="N24893" i="1"/>
  <c r="N11735" i="1"/>
  <c r="N11734" i="1"/>
  <c r="N1632" i="1"/>
  <c r="N9327" i="1"/>
  <c r="N9297" i="1"/>
  <c r="N9326" i="1"/>
  <c r="N9296" i="1"/>
  <c r="N9325" i="1"/>
  <c r="N9295" i="1"/>
  <c r="N9324" i="1"/>
  <c r="N9294" i="1"/>
  <c r="N9323" i="1"/>
  <c r="N9293" i="1"/>
  <c r="N11164" i="1"/>
  <c r="N275" i="1"/>
  <c r="N9249" i="1"/>
  <c r="N9248" i="1"/>
  <c r="N9247" i="1"/>
  <c r="N9246" i="1"/>
  <c r="N9245" i="1"/>
  <c r="N9244" i="1"/>
  <c r="N2144" i="1"/>
  <c r="N9169" i="1"/>
  <c r="N9168" i="1"/>
  <c r="N9167" i="1"/>
  <c r="N13727" i="1"/>
  <c r="N13726" i="1"/>
  <c r="N9166" i="1"/>
  <c r="N9213" i="1"/>
  <c r="N9212" i="1"/>
  <c r="N9211" i="1"/>
  <c r="N9210" i="1"/>
  <c r="N9209" i="1"/>
  <c r="N23767" i="1"/>
  <c r="N22928" i="1"/>
  <c r="N24397" i="1"/>
  <c r="N24396" i="1"/>
  <c r="N24395" i="1"/>
  <c r="N13279" i="1"/>
  <c r="N13278" i="1"/>
  <c r="N13277" i="1"/>
  <c r="N14911" i="1"/>
  <c r="N14910" i="1"/>
  <c r="N19578" i="1"/>
  <c r="N11517" i="1"/>
  <c r="N14354" i="1"/>
  <c r="N9843" i="1"/>
  <c r="N2626" i="1"/>
  <c r="N10446" i="1"/>
  <c r="N10445" i="1"/>
  <c r="N10518" i="1"/>
  <c r="N10517" i="1"/>
  <c r="N1732" i="1"/>
  <c r="N1731" i="1"/>
  <c r="N23249" i="1"/>
  <c r="N23248" i="1"/>
  <c r="N1730" i="1"/>
  <c r="N21357" i="1"/>
  <c r="N3003" i="1"/>
  <c r="N3002" i="1"/>
  <c r="N5226" i="1"/>
  <c r="N11516" i="1"/>
  <c r="N11515" i="1"/>
  <c r="N274" i="1"/>
  <c r="N273" i="1"/>
  <c r="N272" i="1"/>
  <c r="N271" i="1"/>
  <c r="N16260" i="1"/>
  <c r="N13202" i="1"/>
  <c r="N13201" i="1"/>
  <c r="N15451" i="1"/>
  <c r="N13200" i="1"/>
  <c r="N13199" i="1"/>
  <c r="N13198" i="1"/>
  <c r="N13197" i="1"/>
  <c r="N14652" i="1"/>
  <c r="N9966" i="1"/>
  <c r="N23462" i="1"/>
  <c r="N3962" i="1"/>
  <c r="N4021" i="1"/>
  <c r="N13196" i="1"/>
  <c r="N13195" i="1"/>
  <c r="N4020" i="1"/>
  <c r="N270" i="1"/>
  <c r="N269" i="1"/>
  <c r="N268" i="1"/>
  <c r="N267" i="1"/>
  <c r="N266" i="1"/>
  <c r="N13194" i="1"/>
  <c r="N11733" i="1"/>
  <c r="N21356" i="1"/>
  <c r="N21355" i="1"/>
  <c r="N21354" i="1"/>
  <c r="N21353" i="1"/>
  <c r="N21352" i="1"/>
  <c r="N21351" i="1"/>
  <c r="N21350" i="1"/>
  <c r="N21349" i="1"/>
  <c r="N21348" i="1"/>
  <c r="N21347" i="1"/>
  <c r="N5787" i="1"/>
  <c r="N13651" i="1"/>
  <c r="N13650" i="1"/>
  <c r="N1601" i="1"/>
  <c r="N2625" i="1"/>
  <c r="N2624" i="1"/>
  <c r="N265" i="1"/>
  <c r="N8075" i="1"/>
  <c r="N8074" i="1"/>
  <c r="N10585" i="1"/>
  <c r="N25969" i="1"/>
  <c r="N25976" i="1"/>
  <c r="N1585" i="1"/>
  <c r="N4342" i="1"/>
  <c r="N19480" i="1"/>
  <c r="N264" i="1"/>
  <c r="N1868" i="1"/>
  <c r="N2415" i="1"/>
  <c r="N4384" i="1"/>
  <c r="N16241" i="1"/>
  <c r="N3414" i="1"/>
  <c r="N3424" i="1"/>
  <c r="N15457" i="1"/>
  <c r="N15618" i="1"/>
  <c r="N17969" i="1"/>
  <c r="N16629" i="1"/>
  <c r="N11732" i="1"/>
  <c r="N263" i="1"/>
  <c r="N1584" i="1"/>
  <c r="N262" i="1"/>
  <c r="N261" i="1"/>
  <c r="N260" i="1"/>
  <c r="N2429" i="1"/>
  <c r="N518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5165" i="1"/>
  <c r="N21346" i="1"/>
  <c r="N4042" i="1"/>
  <c r="N2439" i="1"/>
  <c r="N3285" i="1"/>
  <c r="N3284" i="1"/>
  <c r="N3283" i="1"/>
  <c r="N23840" i="1"/>
  <c r="N25968" i="1"/>
  <c r="N24253" i="1"/>
  <c r="N24255" i="1"/>
  <c r="N23347" i="1"/>
  <c r="N23486" i="1"/>
  <c r="N3282" i="1"/>
  <c r="N19329" i="1"/>
  <c r="N3281" i="1"/>
  <c r="N9493" i="1"/>
  <c r="N13798" i="1"/>
  <c r="N3139" i="1"/>
  <c r="N3138" i="1"/>
  <c r="N247" i="1"/>
  <c r="N246" i="1"/>
  <c r="N245" i="1"/>
  <c r="N244" i="1"/>
  <c r="N243" i="1"/>
  <c r="N242" i="1"/>
  <c r="N241" i="1"/>
  <c r="N240" i="1"/>
  <c r="N17909" i="1"/>
  <c r="N14957" i="1"/>
  <c r="N18343" i="1"/>
  <c r="N18342" i="1"/>
  <c r="N13193" i="1"/>
  <c r="N13192" i="1"/>
  <c r="N13191" i="1"/>
  <c r="N13190" i="1"/>
  <c r="N13189" i="1"/>
  <c r="N3787" i="1"/>
  <c r="N11514" i="1"/>
  <c r="N11513" i="1"/>
  <c r="N17861" i="1"/>
  <c r="N1447" i="1"/>
  <c r="N8031" i="1"/>
  <c r="N6846" i="1"/>
  <c r="N6845" i="1"/>
  <c r="N9322" i="1"/>
  <c r="N9292" i="1"/>
  <c r="N9321" i="1"/>
  <c r="N9291" i="1"/>
  <c r="N239" i="1"/>
  <c r="N238" i="1"/>
  <c r="N237" i="1"/>
  <c r="N236" i="1"/>
  <c r="N235" i="1"/>
  <c r="N234" i="1"/>
  <c r="N233" i="1"/>
  <c r="N232" i="1"/>
  <c r="N231" i="1"/>
  <c r="N2377" i="1"/>
  <c r="N15617" i="1"/>
  <c r="N1867" i="1"/>
  <c r="N4383" i="1"/>
  <c r="N10648" i="1"/>
  <c r="N9106" i="1"/>
  <c r="N9105" i="1"/>
  <c r="N3792" i="1"/>
  <c r="N8472" i="1"/>
  <c r="N2914" i="1"/>
  <c r="N3786" i="1"/>
  <c r="N1202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19479" i="1"/>
  <c r="N17126" i="1"/>
  <c r="N17125" i="1"/>
  <c r="N19478" i="1"/>
  <c r="N19477" i="1"/>
  <c r="N4060" i="1"/>
  <c r="N4083" i="1"/>
  <c r="N1467" i="1"/>
  <c r="N16240" i="1"/>
  <c r="N16628" i="1"/>
  <c r="N14974" i="1"/>
  <c r="N14973" i="1"/>
  <c r="N15000" i="1"/>
  <c r="N14972" i="1"/>
  <c r="N13884" i="1"/>
  <c r="N3778" i="1"/>
  <c r="N8043" i="1"/>
  <c r="N16389" i="1"/>
  <c r="N24243" i="1"/>
  <c r="N11810" i="1"/>
  <c r="N11809" i="1"/>
  <c r="N11808" i="1"/>
  <c r="N9957" i="1"/>
  <c r="N6637" i="1"/>
  <c r="N4019" i="1"/>
  <c r="N4018" i="1"/>
  <c r="N3982" i="1"/>
  <c r="N7252" i="1"/>
  <c r="N7251" i="1"/>
  <c r="N3137" i="1"/>
  <c r="N2423" i="1"/>
  <c r="N22927" i="1"/>
  <c r="N11931" i="1"/>
  <c r="N1624" i="1"/>
  <c r="N13649" i="1"/>
  <c r="N13648" i="1"/>
  <c r="N2819" i="1"/>
  <c r="N22926" i="1"/>
  <c r="N10260" i="1"/>
  <c r="N3443" i="1"/>
  <c r="N24659" i="1"/>
  <c r="N24658" i="1"/>
  <c r="N1866" i="1"/>
  <c r="N19577" i="1"/>
  <c r="N4082" i="1"/>
  <c r="N15616" i="1"/>
  <c r="N14646" i="1"/>
  <c r="N4255" i="1"/>
  <c r="N4245" i="1"/>
  <c r="N3280" i="1"/>
  <c r="N12680" i="1"/>
  <c r="N6818" i="1"/>
  <c r="N6819" i="1"/>
  <c r="N18364" i="1"/>
  <c r="N1201" i="1"/>
  <c r="N1200" i="1"/>
  <c r="N2027" i="1"/>
  <c r="N13978" i="1"/>
  <c r="N2759" i="1"/>
  <c r="N9635" i="1"/>
  <c r="N8747" i="1"/>
  <c r="N6426" i="1"/>
  <c r="N6425" i="1"/>
  <c r="N6424" i="1"/>
  <c r="N6423" i="1"/>
  <c r="N6422" i="1"/>
  <c r="N6421" i="1"/>
  <c r="N6420" i="1"/>
  <c r="N6419" i="1"/>
  <c r="N6418" i="1"/>
  <c r="N1219" i="1"/>
  <c r="N1391" i="1"/>
  <c r="N9463" i="1"/>
  <c r="N18737" i="1"/>
  <c r="N2504" i="1"/>
  <c r="N2503" i="1"/>
  <c r="N15571" i="1"/>
  <c r="N24710" i="1"/>
  <c r="N9462" i="1"/>
  <c r="N9461" i="1"/>
  <c r="N1216" i="1"/>
  <c r="N22998" i="1"/>
  <c r="N22925" i="1"/>
  <c r="N4382" i="1"/>
  <c r="N3531" i="1"/>
  <c r="N9965" i="1"/>
  <c r="N19252" i="1"/>
  <c r="N12747" i="1"/>
  <c r="N9066" i="1"/>
  <c r="N2143" i="1"/>
  <c r="N3699" i="1"/>
  <c r="N3698" i="1"/>
  <c r="N3697" i="1"/>
  <c r="N3696" i="1"/>
  <c r="N3695" i="1"/>
  <c r="N3694" i="1"/>
  <c r="N13835" i="1"/>
  <c r="N9078" i="1"/>
  <c r="N9077" i="1"/>
  <c r="N6129" i="1"/>
  <c r="N8018" i="1"/>
  <c r="N16008" i="1"/>
  <c r="N24611" i="1"/>
  <c r="N3096" i="1"/>
  <c r="N1209" i="1"/>
  <c r="N11149" i="1"/>
  <c r="N4136" i="1"/>
  <c r="N4146" i="1"/>
  <c r="N15058" i="1"/>
  <c r="N11135" i="1"/>
  <c r="N11134" i="1"/>
  <c r="N11133" i="1"/>
  <c r="N11132" i="1"/>
  <c r="N24051" i="1"/>
  <c r="N14653" i="1"/>
  <c r="N10516" i="1"/>
  <c r="N10515" i="1"/>
  <c r="N10514" i="1"/>
  <c r="N10513" i="1"/>
  <c r="N10444" i="1"/>
  <c r="N10443" i="1"/>
  <c r="N10512" i="1"/>
  <c r="N10511" i="1"/>
  <c r="N2343" i="1"/>
  <c r="N3153" i="1"/>
  <c r="N23101" i="1"/>
  <c r="N19476" i="1"/>
  <c r="N1646" i="1"/>
  <c r="N8073" i="1"/>
  <c r="N8072" i="1"/>
  <c r="N8071" i="1"/>
  <c r="N14331" i="1"/>
  <c r="N14287" i="1"/>
  <c r="N14296" i="1"/>
  <c r="N14286" i="1"/>
  <c r="N14295" i="1"/>
  <c r="N14285" i="1"/>
  <c r="N19313" i="1"/>
  <c r="N10690" i="1"/>
  <c r="N10729" i="1"/>
  <c r="N10689" i="1"/>
  <c r="N1729" i="1"/>
  <c r="N1728" i="1"/>
  <c r="N1727" i="1"/>
  <c r="N15041" i="1"/>
  <c r="N15040" i="1"/>
  <c r="N2298" i="1"/>
  <c r="N2297" i="1"/>
  <c r="N19810" i="1"/>
  <c r="N19809" i="1"/>
  <c r="N19305" i="1"/>
  <c r="N9964" i="1"/>
  <c r="N13813" i="1"/>
  <c r="N11892" i="1"/>
  <c r="N1546" i="1"/>
  <c r="N1583" i="1"/>
  <c r="N8030" i="1"/>
  <c r="N13276" i="1"/>
  <c r="N13275" i="1"/>
  <c r="N13274" i="1"/>
  <c r="N10029" i="1"/>
  <c r="N10028" i="1"/>
  <c r="N10027" i="1"/>
  <c r="N10026" i="1"/>
  <c r="N10025" i="1"/>
  <c r="N10024" i="1"/>
  <c r="N10023" i="1"/>
  <c r="N3844" i="1"/>
  <c r="N3843" i="1"/>
  <c r="N2160" i="1"/>
  <c r="N2159" i="1"/>
  <c r="N2158" i="1"/>
  <c r="N3845" i="1"/>
  <c r="N3846" i="1"/>
  <c r="N3847" i="1"/>
  <c r="N3848" i="1"/>
  <c r="N3849" i="1"/>
  <c r="N3860" i="1"/>
  <c r="N3861" i="1"/>
  <c r="N3862" i="1"/>
  <c r="N3863" i="1"/>
  <c r="N3864" i="1"/>
  <c r="N15990" i="1"/>
  <c r="N2293" i="1"/>
  <c r="N2294" i="1"/>
  <c r="N2542" i="1"/>
  <c r="N11889" i="1"/>
  <c r="N10320" i="1"/>
  <c r="N11890" i="1"/>
  <c r="N1577" i="1"/>
  <c r="N9981" i="1"/>
  <c r="N9982" i="1"/>
  <c r="N9983" i="1"/>
  <c r="N9984" i="1"/>
  <c r="N9985" i="1"/>
  <c r="N9986" i="1"/>
  <c r="N9987" i="1"/>
  <c r="N8024" i="1"/>
  <c r="N13261" i="1"/>
  <c r="N13262" i="1"/>
  <c r="N23038" i="1"/>
  <c r="N15554" i="1"/>
  <c r="N15546" i="1"/>
  <c r="N23039" i="1"/>
  <c r="N23040" i="1"/>
  <c r="N17680" i="1"/>
  <c r="N17681" i="1"/>
  <c r="N17682" i="1"/>
  <c r="N17683" i="1"/>
  <c r="N17684" i="1"/>
  <c r="N17685" i="1"/>
  <c r="N1701" i="1"/>
  <c r="N14327" i="1"/>
  <c r="N13513" i="1"/>
  <c r="N17686" i="1"/>
  <c r="N17687" i="1"/>
  <c r="N17688" i="1"/>
  <c r="N17689" i="1"/>
  <c r="N17690" i="1"/>
  <c r="N13829" i="1"/>
  <c r="N19797" i="1"/>
  <c r="N8053" i="1"/>
  <c r="N8054" i="1"/>
  <c r="N8055" i="1"/>
  <c r="N1702" i="1"/>
  <c r="N1703" i="1"/>
  <c r="N15368" i="1"/>
  <c r="N19798" i="1"/>
  <c r="N3286" i="1"/>
  <c r="N3287" i="1"/>
  <c r="N19307" i="1"/>
  <c r="N15597" i="1"/>
  <c r="N25288" i="1"/>
  <c r="N14412" i="1"/>
  <c r="N23019" i="1"/>
  <c r="N15650" i="1"/>
  <c r="N15651" i="1"/>
  <c r="N3771" i="1"/>
  <c r="N12378" i="1"/>
  <c r="N12379" i="1"/>
  <c r="N12380" i="1"/>
  <c r="N12381" i="1"/>
  <c r="N12382" i="1"/>
  <c r="N12383" i="1"/>
  <c r="N12384" i="1"/>
  <c r="N16044" i="1"/>
  <c r="N1243" i="1"/>
  <c r="N24752" i="1"/>
  <c r="N13920" i="1"/>
  <c r="N12372" i="1"/>
  <c r="N12373" i="1"/>
  <c r="N6672" i="1"/>
  <c r="N14279" i="1"/>
  <c r="N14291" i="1"/>
  <c r="N14280" i="1"/>
  <c r="N14292" i="1"/>
  <c r="N14281" i="1"/>
  <c r="N3658" i="1"/>
  <c r="N3659" i="1"/>
  <c r="N3660" i="1"/>
  <c r="N3661" i="1"/>
  <c r="N3662" i="1"/>
  <c r="N3663" i="1"/>
  <c r="N16226" i="1"/>
  <c r="N2098" i="1"/>
  <c r="N2099" i="1"/>
  <c r="N2100" i="1"/>
  <c r="N2101" i="1"/>
  <c r="N10487" i="1"/>
  <c r="N10488" i="1"/>
  <c r="N3784" i="1"/>
  <c r="N9067" i="1"/>
  <c r="N9068" i="1"/>
  <c r="N13624" i="1"/>
  <c r="N13625" i="1"/>
  <c r="N24256" i="1"/>
  <c r="N2102" i="1"/>
  <c r="N8012" i="1"/>
  <c r="N1458" i="1"/>
  <c r="N9069" i="1"/>
  <c r="N23043" i="1"/>
  <c r="N24239" i="1"/>
  <c r="N24100" i="1"/>
  <c r="N15758" i="1"/>
  <c r="N24241" i="1"/>
  <c r="N14399" i="1"/>
  <c r="N10611" i="1"/>
  <c r="N1899" i="1"/>
  <c r="N11124" i="1"/>
  <c r="N19303" i="1"/>
  <c r="N2103" i="1"/>
  <c r="N2104" i="1"/>
  <c r="N2421" i="1"/>
  <c r="N2422" i="1"/>
  <c r="N9958" i="1"/>
  <c r="N9529" i="1"/>
  <c r="N6366" i="1"/>
  <c r="N6367" i="1"/>
  <c r="N6368" i="1"/>
  <c r="N6369" i="1"/>
  <c r="N6370" i="1"/>
  <c r="N6371" i="1"/>
  <c r="N6372" i="1"/>
  <c r="N6373" i="1"/>
  <c r="N6374" i="1"/>
  <c r="N6821" i="1"/>
  <c r="N8142" i="1"/>
  <c r="N8143" i="1"/>
  <c r="N15379" i="1"/>
  <c r="N15380" i="1"/>
  <c r="N15381" i="1"/>
  <c r="N4449" i="1"/>
  <c r="N4450" i="1"/>
  <c r="N3087" i="1"/>
  <c r="N16611" i="1"/>
  <c r="N13148" i="1"/>
  <c r="N1213" i="1"/>
  <c r="N3121" i="1"/>
  <c r="N19841" i="1"/>
  <c r="N25647" i="1"/>
  <c r="N12790" i="1"/>
  <c r="N12791" i="1"/>
  <c r="N2491" i="1"/>
  <c r="N16206" i="1"/>
  <c r="N16207" i="1"/>
  <c r="N16208" i="1"/>
  <c r="N7940" i="1"/>
  <c r="N3496" i="1"/>
  <c r="N15108" i="1"/>
  <c r="N15109" i="1"/>
  <c r="N15110" i="1"/>
  <c r="N9088" i="1"/>
  <c r="N9445" i="1"/>
  <c r="N9446" i="1"/>
  <c r="N9447" i="1"/>
  <c r="N4909" i="1"/>
  <c r="N22876" i="1"/>
  <c r="N22877" i="1"/>
  <c r="N3772" i="1"/>
  <c r="N15567" i="1"/>
  <c r="N8475" i="1"/>
  <c r="N15106" i="1"/>
  <c r="N12151" i="1"/>
  <c r="N25963" i="1"/>
  <c r="N12792" i="1"/>
  <c r="N12793" i="1"/>
  <c r="N9448" i="1"/>
  <c r="N9449" i="1"/>
  <c r="N17992" i="1"/>
  <c r="N17993" i="1"/>
  <c r="N18744" i="1"/>
  <c r="N18745" i="1"/>
  <c r="N18746" i="1"/>
  <c r="N9450" i="1"/>
  <c r="N9451" i="1"/>
  <c r="N9452" i="1"/>
  <c r="N14665" i="1"/>
  <c r="N2543" i="1"/>
  <c r="N2544" i="1"/>
  <c r="N24257" i="1"/>
  <c r="N2545" i="1"/>
  <c r="N12179" i="1"/>
  <c r="N25131" i="1"/>
  <c r="N25132" i="1"/>
  <c r="N25133" i="1"/>
  <c r="N25134" i="1"/>
  <c r="N25135" i="1"/>
  <c r="N2546" i="1"/>
  <c r="N15955" i="1"/>
  <c r="N2526" i="1"/>
  <c r="N10426" i="1"/>
  <c r="N10427" i="1"/>
  <c r="N10489" i="1"/>
  <c r="N10490" i="1"/>
  <c r="N10491" i="1"/>
  <c r="N17250" i="1"/>
  <c r="N17251" i="1"/>
  <c r="N25136" i="1"/>
  <c r="N5276" i="1"/>
  <c r="N5277" i="1"/>
  <c r="N6822" i="1"/>
  <c r="N23774" i="1"/>
  <c r="N23772" i="1"/>
  <c r="N2547" i="1"/>
  <c r="N2290" i="1"/>
  <c r="N25432" i="1"/>
  <c r="N19770" i="1"/>
  <c r="N19771" i="1"/>
  <c r="N3441" i="1"/>
  <c r="N18479" i="1"/>
  <c r="N2548" i="1"/>
  <c r="N25648" i="1"/>
  <c r="N25649" i="1"/>
  <c r="N25437" i="1"/>
  <c r="N14655" i="1"/>
  <c r="N4034" i="1"/>
  <c r="N3989" i="1"/>
  <c r="N3990" i="1"/>
  <c r="N22878" i="1"/>
  <c r="N22879" i="1"/>
  <c r="N11152" i="1"/>
  <c r="N19451" i="1"/>
  <c r="N19463" i="1"/>
  <c r="N5278" i="1"/>
  <c r="N5279" i="1"/>
  <c r="N24285" i="1"/>
  <c r="N10406" i="1"/>
  <c r="N14988" i="1"/>
  <c r="N14993" i="1"/>
  <c r="N14994" i="1"/>
  <c r="N23613" i="1"/>
  <c r="N23614" i="1"/>
  <c r="N16612" i="1"/>
  <c r="N12152" i="1"/>
  <c r="N3497" i="1"/>
  <c r="N6522" i="1"/>
  <c r="N2437" i="1"/>
  <c r="N2438" i="1"/>
  <c r="N23692" i="1"/>
  <c r="N25711" i="1"/>
  <c r="N4065" i="1"/>
  <c r="N25650" i="1"/>
  <c r="N15063" i="1"/>
  <c r="N8476" i="1"/>
  <c r="N18040" i="1"/>
  <c r="N18058" i="1"/>
  <c r="N18059" i="1"/>
  <c r="N4668" i="1"/>
  <c r="N19068" i="1"/>
  <c r="N17901" i="1"/>
  <c r="N11053" i="1"/>
  <c r="N8056" i="1"/>
  <c r="N9959" i="1"/>
  <c r="N25643" i="1"/>
  <c r="N25644" i="1"/>
  <c r="N3122" i="1"/>
  <c r="N25438" i="1"/>
  <c r="N14478" i="1"/>
  <c r="N24605" i="1"/>
  <c r="N3767" i="1"/>
  <c r="N24678" i="1"/>
  <c r="N24679" i="1"/>
  <c r="N1352" i="1"/>
  <c r="N1353" i="1"/>
  <c r="N23540" i="1"/>
  <c r="N2368" i="1"/>
  <c r="N24026" i="1"/>
  <c r="N3768" i="1"/>
  <c r="N23253" i="1"/>
  <c r="N9382" i="1"/>
  <c r="N9337" i="1"/>
  <c r="N5280" i="1"/>
  <c r="N8144" i="1"/>
  <c r="N8145" i="1"/>
  <c r="N8146" i="1"/>
  <c r="N8147" i="1"/>
  <c r="N10272" i="1"/>
  <c r="N12030" i="1"/>
  <c r="N6857" i="1"/>
  <c r="N6858" i="1"/>
  <c r="N6859" i="1"/>
  <c r="N6860" i="1"/>
  <c r="N6861" i="1"/>
  <c r="N6862" i="1"/>
  <c r="N6863" i="1"/>
  <c r="N15555" i="1"/>
  <c r="N15547" i="1"/>
  <c r="N17935" i="1"/>
  <c r="N15759" i="1"/>
  <c r="N15652" i="1"/>
  <c r="N15653" i="1"/>
  <c r="N6864" i="1"/>
  <c r="N7640" i="1"/>
  <c r="N1448" i="1"/>
  <c r="N2905" i="1"/>
  <c r="N18109" i="1"/>
  <c r="N17691" i="1"/>
  <c r="N3813" i="1"/>
  <c r="N2888" i="1"/>
  <c r="N24" i="1"/>
  <c r="N25" i="1"/>
  <c r="N26" i="1"/>
  <c r="N27" i="1"/>
  <c r="N28" i="1"/>
  <c r="N29" i="1"/>
  <c r="N30" i="1"/>
  <c r="N31" i="1"/>
  <c r="N32" i="1"/>
  <c r="N33" i="1"/>
  <c r="N34" i="1"/>
  <c r="N35" i="1"/>
  <c r="N2889" i="1"/>
  <c r="N23891" i="1"/>
  <c r="N25712" i="1"/>
  <c r="N25651" i="1"/>
  <c r="N24218" i="1"/>
  <c r="N18110" i="1"/>
  <c r="N22880" i="1"/>
  <c r="N2254" i="1"/>
  <c r="N25137" i="1"/>
  <c r="N6865" i="1"/>
  <c r="N7641" i="1"/>
  <c r="N25439" i="1"/>
  <c r="N25713" i="1"/>
  <c r="N25138" i="1"/>
  <c r="N25139" i="1"/>
  <c r="N25140" i="1"/>
  <c r="N3984" i="1"/>
  <c r="N17994" i="1"/>
  <c r="N17995" i="1"/>
  <c r="N12159" i="1"/>
  <c r="N12160" i="1"/>
  <c r="N18747" i="1"/>
  <c r="N24271" i="1"/>
  <c r="N12161" i="1"/>
  <c r="N12162" i="1"/>
  <c r="N36" i="1"/>
  <c r="N2274" i="1"/>
  <c r="N6123" i="1"/>
  <c r="N4066" i="1"/>
  <c r="N6312" i="1"/>
  <c r="N24286" i="1"/>
  <c r="N24287" i="1"/>
  <c r="N2369" i="1"/>
  <c r="N4035" i="1"/>
  <c r="N2745" i="1"/>
  <c r="N12045" i="1"/>
  <c r="N12046" i="1"/>
  <c r="N13154" i="1"/>
  <c r="N37" i="1"/>
  <c r="N38" i="1"/>
  <c r="N39" i="1"/>
  <c r="N13949" i="1"/>
  <c r="N5205" i="1"/>
  <c r="N15678" i="1"/>
  <c r="N18748" i="1"/>
  <c r="N24219" i="1"/>
  <c r="N24220" i="1"/>
  <c r="N5281" i="1"/>
  <c r="N6754" i="1"/>
  <c r="N25141" i="1"/>
  <c r="N25127" i="1"/>
  <c r="N40" i="1"/>
  <c r="N41" i="1"/>
  <c r="N42" i="1"/>
  <c r="N43" i="1"/>
  <c r="N44" i="1"/>
  <c r="N45" i="1"/>
  <c r="N46" i="1"/>
  <c r="N47" i="1"/>
  <c r="N48" i="1"/>
  <c r="N3508" i="1"/>
  <c r="N12794" i="1"/>
  <c r="N12795" i="1"/>
  <c r="N12796" i="1"/>
  <c r="N12797" i="1"/>
  <c r="N12778" i="1"/>
  <c r="N12798" i="1"/>
  <c r="N6240" i="1"/>
  <c r="N25289" i="1"/>
  <c r="N49" i="1"/>
  <c r="N50" i="1"/>
  <c r="N51" i="1"/>
  <c r="N52" i="1"/>
  <c r="N53" i="1"/>
  <c r="N54" i="1"/>
  <c r="N55" i="1"/>
  <c r="N56" i="1"/>
  <c r="N57" i="1"/>
  <c r="N58" i="1"/>
  <c r="N2527" i="1"/>
  <c r="N2528" i="1"/>
  <c r="N3334" i="1"/>
  <c r="N12004" i="1"/>
  <c r="N3551" i="1"/>
  <c r="N13875" i="1"/>
  <c r="N24828" i="1"/>
  <c r="N23541" i="1"/>
  <c r="N23552" i="1"/>
  <c r="N5206" i="1"/>
  <c r="N15910" i="1"/>
  <c r="N25714" i="1"/>
  <c r="N16276" i="1"/>
  <c r="N15042" i="1"/>
  <c r="N15043" i="1"/>
  <c r="N15044" i="1"/>
  <c r="N15045" i="1"/>
  <c r="N15046" i="1"/>
  <c r="N15047" i="1"/>
  <c r="N15048" i="1"/>
  <c r="N10073" i="1"/>
  <c r="N15450" i="1"/>
  <c r="N9453" i="1"/>
  <c r="N25116" i="1"/>
  <c r="N25117" i="1"/>
  <c r="N3806" i="1"/>
  <c r="N18119" i="1"/>
  <c r="N59" i="1"/>
  <c r="N60" i="1"/>
  <c r="N8148" i="1"/>
  <c r="N23693" i="1"/>
  <c r="N25964" i="1"/>
  <c r="N6866" i="1"/>
  <c r="N7642" i="1"/>
  <c r="N6867" i="1"/>
  <c r="N7643" i="1"/>
  <c r="N18749" i="1"/>
  <c r="N24288" i="1"/>
  <c r="N23050" i="1"/>
  <c r="N4651" i="1"/>
  <c r="N18120" i="1"/>
  <c r="N61" i="1"/>
  <c r="N62" i="1"/>
  <c r="N63" i="1"/>
  <c r="N2549" i="1"/>
  <c r="N2550" i="1"/>
  <c r="N25347" i="1"/>
  <c r="N25348" i="1"/>
  <c r="N8477" i="1"/>
  <c r="N25715" i="1"/>
  <c r="N8377" i="1"/>
  <c r="N5282" i="1"/>
  <c r="N25440" i="1"/>
  <c r="N17975" i="1"/>
  <c r="N3656" i="1"/>
  <c r="N17977" i="1"/>
  <c r="N15607" i="1"/>
  <c r="N6868" i="1"/>
  <c r="N7853" i="1"/>
  <c r="N7644" i="1"/>
  <c r="N6869" i="1"/>
  <c r="N18750" i="1"/>
  <c r="N18751" i="1"/>
  <c r="N18752" i="1"/>
  <c r="N64" i="1"/>
  <c r="N65" i="1"/>
  <c r="N66" i="1"/>
  <c r="N67" i="1"/>
  <c r="N68" i="1"/>
  <c r="N69" i="1"/>
  <c r="N15857" i="1"/>
  <c r="N23127" i="1"/>
  <c r="N10065" i="1"/>
  <c r="N10066" i="1"/>
  <c r="N6775" i="1"/>
  <c r="N6773" i="1"/>
  <c r="N25441" i="1"/>
  <c r="N4052" i="1"/>
  <c r="N15389" i="1"/>
  <c r="N25261" i="1"/>
  <c r="N25442" i="1"/>
  <c r="N17113" i="1"/>
  <c r="N17114" i="1"/>
  <c r="N15080" i="1"/>
  <c r="N23122" i="1"/>
  <c r="N1578" i="1"/>
  <c r="N6870" i="1"/>
  <c r="N7854" i="1"/>
  <c r="N7645" i="1"/>
  <c r="N6871" i="1"/>
  <c r="N18650" i="1"/>
  <c r="N18753" i="1"/>
  <c r="N5283" i="1"/>
  <c r="N2315" i="1"/>
  <c r="N25142" i="1"/>
  <c r="N15304" i="1"/>
  <c r="N25952" i="1"/>
  <c r="N1459" i="1"/>
  <c r="N1460" i="1"/>
  <c r="N11049" i="1"/>
  <c r="N16277" i="1"/>
  <c r="N23671" i="1"/>
  <c r="N23672" i="1"/>
  <c r="N14887" i="1"/>
  <c r="N6872" i="1"/>
  <c r="N6873" i="1"/>
  <c r="N6874" i="1"/>
  <c r="N6875" i="1"/>
  <c r="N25143" i="1"/>
  <c r="N18041" i="1"/>
  <c r="N18060" i="1"/>
  <c r="N6876" i="1"/>
  <c r="N7646" i="1"/>
  <c r="N6877" i="1"/>
  <c r="N7647" i="1"/>
  <c r="N6878" i="1"/>
  <c r="N7648" i="1"/>
  <c r="N22881" i="1"/>
  <c r="N22882" i="1"/>
  <c r="N22883" i="1"/>
  <c r="N11838" i="1"/>
  <c r="N11839" i="1"/>
  <c r="N11840" i="1"/>
  <c r="N11841" i="1"/>
  <c r="N11842" i="1"/>
  <c r="N17918" i="1"/>
  <c r="N12799" i="1"/>
  <c r="N12800" i="1"/>
  <c r="N12801" i="1"/>
  <c r="N12802" i="1"/>
  <c r="N12803" i="1"/>
  <c r="N12804" i="1"/>
  <c r="N25716" i="1"/>
  <c r="N25443" i="1"/>
  <c r="N16385" i="1"/>
  <c r="N14448" i="1"/>
  <c r="N1461" i="1"/>
  <c r="N14463" i="1"/>
  <c r="N14466" i="1"/>
  <c r="N12698" i="1"/>
  <c r="N1462" i="1"/>
  <c r="N12699" i="1"/>
  <c r="N12700" i="1"/>
  <c r="N4348" i="1"/>
  <c r="N25290" i="1"/>
  <c r="N12548" i="1"/>
  <c r="N25717" i="1"/>
  <c r="N3588" i="1"/>
  <c r="N17147" i="1"/>
  <c r="N17148" i="1"/>
  <c r="N25444" i="1"/>
  <c r="N17149" i="1"/>
  <c r="N17150" i="1"/>
  <c r="N6152" i="1"/>
  <c r="N15605" i="1"/>
  <c r="N1840" i="1"/>
  <c r="N25718" i="1"/>
  <c r="N15606" i="1"/>
  <c r="N23694" i="1"/>
  <c r="N3589" i="1"/>
  <c r="N14427" i="1"/>
  <c r="N14428" i="1"/>
  <c r="N25719" i="1"/>
  <c r="N14402" i="1"/>
  <c r="N9988" i="1"/>
  <c r="N9989" i="1"/>
  <c r="N9990" i="1"/>
  <c r="N9991" i="1"/>
  <c r="N9992" i="1"/>
  <c r="N9993" i="1"/>
  <c r="N1552" i="1"/>
  <c r="N9994" i="1"/>
  <c r="N12805" i="1"/>
  <c r="N12806" i="1"/>
  <c r="N12807" i="1"/>
  <c r="N12808" i="1"/>
  <c r="N12809" i="1"/>
  <c r="N12810" i="1"/>
  <c r="N12811" i="1"/>
  <c r="N12812" i="1"/>
  <c r="N12813" i="1"/>
  <c r="N12814" i="1"/>
  <c r="N17996" i="1"/>
  <c r="N17997" i="1"/>
  <c r="N70" i="1"/>
  <c r="N18754" i="1"/>
  <c r="N15743" i="1"/>
  <c r="N15760" i="1"/>
  <c r="N18397" i="1"/>
  <c r="N14642" i="1"/>
  <c r="N7878" i="1"/>
  <c r="N5284" i="1"/>
  <c r="N5285" i="1"/>
  <c r="N5286" i="1"/>
  <c r="N5207" i="1"/>
  <c r="N2790" i="1"/>
  <c r="N9403" i="1"/>
  <c r="N5287" i="1"/>
  <c r="N2301" i="1"/>
  <c r="N2302" i="1"/>
  <c r="N17919" i="1"/>
  <c r="N15679" i="1"/>
  <c r="N11054" i="1"/>
  <c r="N14403" i="1"/>
  <c r="N2551" i="1"/>
  <c r="N18358" i="1"/>
  <c r="N16613" i="1"/>
  <c r="N2552" i="1"/>
  <c r="N18121" i="1"/>
  <c r="N18122" i="1"/>
  <c r="N10143" i="1"/>
  <c r="N1704" i="1"/>
  <c r="N25445" i="1"/>
  <c r="N7934" i="1"/>
  <c r="N7935" i="1"/>
  <c r="N12047" i="1"/>
  <c r="N15111" i="1"/>
  <c r="N15112" i="1"/>
  <c r="N15113" i="1"/>
  <c r="N1244" i="1"/>
  <c r="N25349" i="1"/>
  <c r="N25720" i="1"/>
  <c r="N6879" i="1"/>
  <c r="N7649" i="1"/>
  <c r="N6880" i="1"/>
  <c r="N7650" i="1"/>
  <c r="N6881" i="1"/>
  <c r="N12072" i="1"/>
  <c r="N12073" i="1"/>
  <c r="N15608" i="1"/>
  <c r="N16227" i="1"/>
  <c r="N6157" i="1"/>
  <c r="N6158" i="1"/>
  <c r="N12765" i="1"/>
  <c r="N23054" i="1"/>
  <c r="N23055" i="1"/>
  <c r="N6793" i="1"/>
  <c r="N6794" i="1"/>
  <c r="N8478" i="1"/>
  <c r="N8479" i="1"/>
  <c r="N8480" i="1"/>
  <c r="N8481" i="1"/>
  <c r="N8482" i="1"/>
  <c r="N10116" i="1"/>
  <c r="N17946" i="1"/>
  <c r="N16295" i="1"/>
  <c r="N16228" i="1"/>
  <c r="N24289" i="1"/>
  <c r="N2791" i="1"/>
  <c r="N15911" i="1"/>
  <c r="N2792" i="1"/>
  <c r="N15413" i="1"/>
  <c r="N1579" i="1"/>
  <c r="N1580" i="1"/>
  <c r="N1581" i="1"/>
  <c r="N1582" i="1"/>
  <c r="N6676" i="1"/>
  <c r="N6677" i="1"/>
  <c r="N24055" i="1"/>
  <c r="N19069" i="1"/>
  <c r="N1131" i="1"/>
  <c r="N23598" i="1"/>
  <c r="N24784" i="1"/>
  <c r="N15985" i="1"/>
  <c r="N15986" i="1"/>
  <c r="N23134" i="1"/>
  <c r="N23254" i="1"/>
  <c r="N3559" i="1"/>
  <c r="N8483" i="1"/>
  <c r="N3425" i="1"/>
  <c r="N8484" i="1"/>
  <c r="N19297" i="1"/>
  <c r="N9052" i="1"/>
  <c r="N9053" i="1"/>
  <c r="N4735" i="1"/>
  <c r="N18755" i="1"/>
  <c r="N18756" i="1"/>
  <c r="N18757" i="1"/>
  <c r="N10074" i="1"/>
  <c r="N7879" i="1"/>
  <c r="N1908" i="1"/>
  <c r="N18123" i="1"/>
  <c r="N18124" i="1"/>
  <c r="N7880" i="1"/>
  <c r="N9480" i="1"/>
  <c r="N9481" i="1"/>
  <c r="N4301" i="1"/>
  <c r="N8485" i="1"/>
  <c r="N8486" i="1"/>
  <c r="N8487" i="1"/>
  <c r="N8488" i="1"/>
  <c r="N8489" i="1"/>
  <c r="N12105" i="1"/>
  <c r="N8490" i="1"/>
  <c r="N18094" i="1"/>
  <c r="N8387" i="1"/>
  <c r="N8491" i="1"/>
  <c r="N8492" i="1"/>
  <c r="N8388" i="1"/>
  <c r="N8493" i="1"/>
  <c r="N8494" i="1"/>
  <c r="N8495" i="1"/>
  <c r="N8496" i="1"/>
  <c r="N8497" i="1"/>
  <c r="N8498" i="1"/>
  <c r="N8499" i="1"/>
  <c r="N8500" i="1"/>
  <c r="N8501" i="1"/>
  <c r="N8502" i="1"/>
  <c r="N8503" i="1"/>
  <c r="N19020" i="1"/>
  <c r="N14426" i="1"/>
  <c r="N15358" i="1"/>
  <c r="N16586" i="1"/>
  <c r="N18758" i="1"/>
  <c r="N18759" i="1"/>
  <c r="N18760" i="1"/>
  <c r="N18761" i="1"/>
  <c r="N9276" i="1"/>
  <c r="N9306" i="1"/>
  <c r="N3272" i="1"/>
  <c r="N9277" i="1"/>
  <c r="N9307" i="1"/>
  <c r="N2793" i="1"/>
  <c r="N1940" i="1"/>
  <c r="N17874" i="1"/>
  <c r="N4297" i="1"/>
  <c r="N8504" i="1"/>
  <c r="N11773" i="1"/>
  <c r="N25915" i="1"/>
  <c r="N17941" i="1"/>
  <c r="N17942" i="1"/>
  <c r="N17943" i="1"/>
  <c r="N16031" i="1"/>
  <c r="N9633" i="1"/>
  <c r="N23779" i="1"/>
  <c r="N2794" i="1"/>
  <c r="N5288" i="1"/>
  <c r="N25118" i="1"/>
  <c r="N2553" i="1"/>
  <c r="N24258" i="1"/>
  <c r="N14983" i="1"/>
  <c r="N25350" i="1"/>
  <c r="N3773" i="1"/>
  <c r="N1832" i="1"/>
  <c r="N25721" i="1"/>
  <c r="N25446" i="1"/>
  <c r="N3590" i="1"/>
  <c r="N25652" i="1"/>
  <c r="N18042" i="1"/>
  <c r="N18043" i="1"/>
  <c r="N25262" i="1"/>
  <c r="N1783" i="1"/>
  <c r="N5289" i="1"/>
  <c r="N5290" i="1"/>
  <c r="N3309" i="1"/>
  <c r="N3308" i="1"/>
  <c r="N12815" i="1"/>
  <c r="N12816" i="1"/>
  <c r="N12779" i="1"/>
  <c r="N12817" i="1"/>
  <c r="N1627" i="1"/>
  <c r="N8025" i="1"/>
  <c r="N15390" i="1"/>
  <c r="N15391" i="1"/>
  <c r="N25144" i="1"/>
  <c r="N3273" i="1"/>
  <c r="N1906" i="1"/>
  <c r="N2333" i="1"/>
  <c r="N8149" i="1"/>
  <c r="N12468" i="1"/>
  <c r="N12755" i="1"/>
  <c r="N2924" i="1"/>
  <c r="N3447" i="1"/>
  <c r="N4122" i="1"/>
  <c r="N4123" i="1"/>
  <c r="N3889" i="1"/>
  <c r="N3890" i="1"/>
  <c r="N3891" i="1"/>
  <c r="N24736" i="1"/>
  <c r="N12357" i="1"/>
  <c r="N12358" i="1"/>
  <c r="N13167" i="1"/>
  <c r="N71" i="1"/>
  <c r="N7881" i="1"/>
  <c r="N8150" i="1"/>
  <c r="N23034" i="1"/>
  <c r="N10075" i="1"/>
  <c r="N25700" i="1"/>
  <c r="N25988" i="1"/>
  <c r="N25990" i="1"/>
  <c r="N15025" i="1"/>
  <c r="N25653" i="1"/>
  <c r="N15609" i="1"/>
  <c r="N15523" i="1"/>
  <c r="N14971" i="1"/>
  <c r="N4480" i="1"/>
  <c r="N13885" i="1"/>
  <c r="N13881" i="1"/>
  <c r="N13888" i="1"/>
  <c r="N2554" i="1"/>
  <c r="N15382" i="1"/>
  <c r="N3274" i="1"/>
  <c r="N3275" i="1"/>
  <c r="N15912" i="1"/>
  <c r="N1449" i="1"/>
  <c r="N2555" i="1"/>
  <c r="N2556" i="1"/>
  <c r="N2557" i="1"/>
  <c r="N2558" i="1"/>
  <c r="N16202" i="1"/>
  <c r="N15466" i="1"/>
  <c r="N16203" i="1"/>
  <c r="N3613" i="1"/>
  <c r="N13626" i="1"/>
  <c r="N13627" i="1"/>
  <c r="N3930" i="1"/>
  <c r="N16587" i="1"/>
  <c r="N25722" i="1"/>
  <c r="N9278" i="1"/>
  <c r="N9308" i="1"/>
  <c r="N9279" i="1"/>
  <c r="N9309" i="1"/>
  <c r="N9280" i="1"/>
  <c r="N9310" i="1"/>
  <c r="N9281" i="1"/>
  <c r="N9311" i="1"/>
  <c r="N9282" i="1"/>
  <c r="N9312" i="1"/>
  <c r="N5291" i="1"/>
  <c r="N5292" i="1"/>
  <c r="N5293" i="1"/>
  <c r="N5294" i="1"/>
  <c r="N5295" i="1"/>
  <c r="N5296" i="1"/>
  <c r="N4349" i="1"/>
  <c r="N19555" i="1"/>
  <c r="N7882" i="1"/>
  <c r="N8505" i="1"/>
  <c r="N8506" i="1"/>
  <c r="N3822" i="1"/>
  <c r="N9038" i="1"/>
  <c r="N10425" i="1"/>
  <c r="N23012" i="1"/>
  <c r="N8151" i="1"/>
  <c r="N8152" i="1"/>
  <c r="N8153" i="1"/>
  <c r="N13900" i="1"/>
  <c r="N5208" i="1"/>
  <c r="N5297" i="1"/>
  <c r="N5298" i="1"/>
  <c r="N15956" i="1"/>
  <c r="N5299" i="1"/>
  <c r="N25723" i="1"/>
  <c r="N12351" i="1"/>
  <c r="N1610" i="1"/>
  <c r="N13950" i="1"/>
  <c r="N18111" i="1"/>
  <c r="N7883" i="1"/>
  <c r="N10418" i="1"/>
  <c r="N19452" i="1"/>
  <c r="N19464" i="1"/>
  <c r="N4732" i="1"/>
  <c r="N19461" i="1"/>
  <c r="N19784" i="1"/>
  <c r="N23607" i="1"/>
  <c r="N25447" i="1"/>
  <c r="N25949" i="1"/>
  <c r="N22884" i="1"/>
  <c r="N25448" i="1"/>
  <c r="N25291" i="1"/>
  <c r="N3991" i="1"/>
  <c r="N10459" i="1"/>
  <c r="N10460" i="1"/>
  <c r="N10547" i="1"/>
  <c r="N10548" i="1"/>
  <c r="N25449" i="1"/>
  <c r="N5300" i="1"/>
  <c r="N13263" i="1"/>
  <c r="N13264" i="1"/>
  <c r="N4633" i="1"/>
  <c r="N17920" i="1"/>
  <c r="N2559" i="1"/>
  <c r="N18762" i="1"/>
  <c r="N17692" i="1"/>
  <c r="N17693" i="1"/>
  <c r="N17694" i="1"/>
  <c r="N17695" i="1"/>
  <c r="N17696" i="1"/>
  <c r="N25724" i="1"/>
  <c r="N11055" i="1"/>
  <c r="N11056" i="1"/>
  <c r="N17151" i="1"/>
  <c r="N17152" i="1"/>
  <c r="N15459" i="1"/>
  <c r="N15320" i="1"/>
  <c r="N15321" i="1"/>
  <c r="N3949" i="1"/>
  <c r="N25145" i="1"/>
  <c r="N16395" i="1"/>
  <c r="N19070" i="1"/>
  <c r="N17153" i="1"/>
  <c r="N17154" i="1"/>
  <c r="N19304" i="1"/>
  <c r="N15318" i="1"/>
  <c r="N15319" i="1"/>
  <c r="N22885" i="1"/>
  <c r="N22886" i="1"/>
  <c r="N22887" i="1"/>
  <c r="N19112" i="1"/>
  <c r="N5209" i="1"/>
  <c r="N5210" i="1"/>
  <c r="N5211" i="1"/>
  <c r="N12180" i="1"/>
  <c r="N12181" i="1"/>
  <c r="N13889" i="1"/>
  <c r="N14678" i="1"/>
  <c r="N6207" i="1"/>
  <c r="N2560" i="1"/>
  <c r="N10614" i="1"/>
  <c r="N2561" i="1"/>
  <c r="N2562" i="1"/>
  <c r="N2563" i="1"/>
  <c r="N12311" i="1"/>
  <c r="N12312" i="1"/>
  <c r="N2396" i="1"/>
  <c r="N2394" i="1"/>
  <c r="N2395" i="1"/>
  <c r="N25146" i="1"/>
  <c r="N25128" i="1"/>
  <c r="N25147" i="1"/>
  <c r="N25148" i="1"/>
  <c r="N2882" i="1"/>
  <c r="N18092" i="1"/>
  <c r="N13515" i="1"/>
  <c r="N13516" i="1"/>
  <c r="N15654" i="1"/>
  <c r="N15655" i="1"/>
  <c r="N13155" i="1"/>
  <c r="N16372" i="1"/>
  <c r="N16373" i="1"/>
  <c r="N13786" i="1"/>
  <c r="N24819" i="1"/>
  <c r="N12766" i="1"/>
  <c r="N16229" i="1"/>
  <c r="N2795" i="1"/>
  <c r="N3464" i="1"/>
  <c r="N9567" i="1"/>
  <c r="N9568" i="1"/>
  <c r="N9569" i="1"/>
  <c r="N15690" i="1"/>
  <c r="N15691" i="1"/>
  <c r="N17697" i="1"/>
  <c r="N17698" i="1"/>
  <c r="N17699" i="1"/>
  <c r="N17700" i="1"/>
  <c r="N17701" i="1"/>
  <c r="N17702" i="1"/>
  <c r="N24785" i="1"/>
  <c r="N11774" i="1"/>
  <c r="N11775" i="1"/>
  <c r="N12106" i="1"/>
  <c r="N15361" i="1"/>
  <c r="N15362" i="1"/>
  <c r="N19180" i="1"/>
  <c r="N19181" i="1"/>
  <c r="N12107" i="1"/>
  <c r="N19179" i="1"/>
  <c r="N14277" i="1"/>
  <c r="N14278" i="1"/>
  <c r="N8154" i="1"/>
  <c r="N25292" i="1"/>
  <c r="N15578" i="1"/>
  <c r="N1290" i="1"/>
  <c r="N23006" i="1"/>
  <c r="N2330" i="1"/>
  <c r="N2388" i="1"/>
  <c r="N2383" i="1"/>
  <c r="N2370" i="1"/>
  <c r="N2119" i="1"/>
  <c r="N2120" i="1"/>
  <c r="N18480" i="1"/>
  <c r="N4521" i="1"/>
  <c r="N13345" i="1"/>
  <c r="N13346" i="1"/>
  <c r="N13347" i="1"/>
  <c r="N4053" i="1"/>
  <c r="N16035" i="1"/>
  <c r="N6882" i="1"/>
  <c r="N7855" i="1"/>
  <c r="N7651" i="1"/>
  <c r="N6883" i="1"/>
  <c r="N7652" i="1"/>
  <c r="N6884" i="1"/>
  <c r="N7653" i="1"/>
  <c r="N6885" i="1"/>
  <c r="N7654" i="1"/>
  <c r="N6886" i="1"/>
  <c r="N7655" i="1"/>
  <c r="N6887" i="1"/>
  <c r="N25293" i="1"/>
  <c r="N12304" i="1"/>
  <c r="N15806" i="1"/>
  <c r="N15534" i="1"/>
  <c r="N15535" i="1"/>
  <c r="N15807" i="1"/>
  <c r="N2291" i="1"/>
  <c r="N23863" i="1"/>
  <c r="N23864" i="1"/>
  <c r="N12305" i="1"/>
  <c r="N6208" i="1"/>
  <c r="N6251" i="1"/>
  <c r="N6252" i="1"/>
  <c r="N4509" i="1"/>
  <c r="N3381" i="1"/>
  <c r="N3382" i="1"/>
  <c r="N2906" i="1"/>
  <c r="N15524" i="1"/>
  <c r="N15414" i="1"/>
  <c r="N12330" i="1"/>
  <c r="N9695" i="1"/>
  <c r="N4669" i="1"/>
  <c r="N9696" i="1"/>
  <c r="N9634" i="1"/>
  <c r="N9697" i="1"/>
  <c r="N9698" i="1"/>
  <c r="N9699" i="1"/>
  <c r="N9700" i="1"/>
  <c r="N1354" i="1"/>
  <c r="N1355" i="1"/>
  <c r="N9701" i="1"/>
  <c r="N9702" i="1"/>
  <c r="N23526" i="1"/>
  <c r="N8139" i="1"/>
  <c r="N19133" i="1"/>
  <c r="N6851" i="1"/>
  <c r="N13539" i="1"/>
  <c r="N13540" i="1"/>
  <c r="N25149" i="1"/>
  <c r="N25150" i="1"/>
  <c r="N25151" i="1"/>
  <c r="N25152" i="1"/>
  <c r="N3591" i="1"/>
  <c r="N6321" i="1"/>
  <c r="N17964" i="1"/>
  <c r="N23464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13179" i="1"/>
  <c r="N22888" i="1"/>
  <c r="N25725" i="1"/>
  <c r="N3362" i="1"/>
  <c r="N11266" i="1"/>
  <c r="N9338" i="1"/>
  <c r="N12701" i="1"/>
  <c r="N12702" i="1"/>
  <c r="N10293" i="1"/>
  <c r="N11291" i="1"/>
  <c r="N11057" i="1"/>
  <c r="N11292" i="1"/>
  <c r="N11293" i="1"/>
  <c r="N12703" i="1"/>
  <c r="N6209" i="1"/>
  <c r="N6253" i="1"/>
  <c r="N16245" i="1"/>
  <c r="N12343" i="1"/>
  <c r="N4638" i="1"/>
  <c r="N9064" i="1"/>
  <c r="N12005" i="1"/>
  <c r="N1633" i="1"/>
  <c r="N11023" i="1"/>
  <c r="N11024" i="1"/>
  <c r="N11025" i="1"/>
  <c r="N11026" i="1"/>
  <c r="N11027" i="1"/>
  <c r="N11028" i="1"/>
  <c r="N11029" i="1"/>
  <c r="N10353" i="1"/>
  <c r="N6888" i="1"/>
  <c r="N6889" i="1"/>
  <c r="N6890" i="1"/>
  <c r="N6891" i="1"/>
  <c r="N6892" i="1"/>
  <c r="N6893" i="1"/>
  <c r="N6894" i="1"/>
  <c r="N25918" i="1"/>
  <c r="N12521" i="1"/>
  <c r="N24680" i="1"/>
  <c r="N86" i="1"/>
  <c r="N87" i="1"/>
  <c r="N88" i="1"/>
  <c r="N89" i="1"/>
  <c r="N90" i="1"/>
  <c r="N91" i="1"/>
  <c r="N10204" i="1"/>
  <c r="N10205" i="1"/>
  <c r="N92" i="1"/>
  <c r="N93" i="1"/>
  <c r="N94" i="1"/>
  <c r="N95" i="1"/>
  <c r="N96" i="1"/>
  <c r="N97" i="1"/>
  <c r="N2109" i="1"/>
  <c r="N19114" i="1"/>
  <c r="N19115" i="1"/>
  <c r="N19116" i="1"/>
  <c r="N19117" i="1"/>
  <c r="N1326" i="1"/>
  <c r="N1766" i="1"/>
  <c r="N13180" i="1"/>
  <c r="N23135" i="1"/>
  <c r="N23136" i="1"/>
  <c r="N23255" i="1"/>
  <c r="N23256" i="1"/>
  <c r="N2883" i="1"/>
  <c r="N2884" i="1"/>
  <c r="N2885" i="1"/>
  <c r="N2886" i="1"/>
  <c r="N18330" i="1"/>
  <c r="N18331" i="1"/>
  <c r="N3769" i="1"/>
  <c r="N3770" i="1"/>
  <c r="N14614" i="1"/>
  <c r="N14615" i="1"/>
  <c r="N14616" i="1"/>
  <c r="N14617" i="1"/>
  <c r="N15761" i="1"/>
  <c r="N15762" i="1"/>
  <c r="N18763" i="1"/>
  <c r="N1705" i="1"/>
  <c r="N19593" i="1"/>
  <c r="N19594" i="1"/>
  <c r="N12818" i="1"/>
  <c r="N12819" i="1"/>
  <c r="N12820" i="1"/>
  <c r="N12821" i="1"/>
  <c r="N12822" i="1"/>
  <c r="N12823" i="1"/>
  <c r="N25992" i="1"/>
  <c r="N1342" i="1"/>
  <c r="N12824" i="1"/>
  <c r="N3509" i="1"/>
  <c r="N12825" i="1"/>
  <c r="N16314" i="1"/>
  <c r="N15114" i="1"/>
  <c r="N15115" i="1"/>
  <c r="N15116" i="1"/>
  <c r="N18764" i="1"/>
  <c r="N3525" i="1"/>
  <c r="N12826" i="1"/>
  <c r="N19799" i="1"/>
  <c r="N14483" i="1"/>
  <c r="N15306" i="1"/>
  <c r="N1394" i="1"/>
  <c r="N1395" i="1"/>
  <c r="N1396" i="1"/>
  <c r="N17155" i="1"/>
  <c r="N17156" i="1"/>
  <c r="N11125" i="1"/>
  <c r="N9500" i="1"/>
  <c r="N15180" i="1"/>
  <c r="N12108" i="1"/>
  <c r="N6801" i="1"/>
  <c r="N9482" i="1"/>
  <c r="N16246" i="1"/>
  <c r="N9214" i="1"/>
  <c r="N9215" i="1"/>
  <c r="N19800" i="1"/>
  <c r="N14383" i="1"/>
  <c r="N6495" i="1"/>
  <c r="N14384" i="1"/>
  <c r="N6496" i="1"/>
  <c r="N13156" i="1"/>
  <c r="N6359" i="1"/>
  <c r="N11030" i="1"/>
  <c r="N15467" i="1"/>
  <c r="N13517" i="1"/>
  <c r="N13518" i="1"/>
  <c r="N13890" i="1"/>
  <c r="N6828" i="1"/>
  <c r="N98" i="1"/>
  <c r="N99" i="1"/>
  <c r="N100" i="1"/>
  <c r="N9530" i="1"/>
  <c r="N6684" i="1"/>
  <c r="N8057" i="1"/>
  <c r="N8058" i="1"/>
  <c r="N8059" i="1"/>
  <c r="N7931" i="1"/>
  <c r="N7932" i="1"/>
  <c r="N7933" i="1"/>
  <c r="N16026" i="1"/>
  <c r="N17703" i="1"/>
  <c r="N18429" i="1"/>
  <c r="N18430" i="1"/>
  <c r="N9115" i="1"/>
  <c r="N3246" i="1"/>
  <c r="N12074" i="1"/>
  <c r="N23007" i="1"/>
  <c r="N17157" i="1"/>
  <c r="N17158" i="1"/>
  <c r="N19308" i="1"/>
  <c r="N11294" i="1"/>
  <c r="N11295" i="1"/>
  <c r="N2108" i="1"/>
  <c r="N11296" i="1"/>
  <c r="N11297" i="1"/>
  <c r="N11267" i="1"/>
  <c r="N8155" i="1"/>
  <c r="N11712" i="1"/>
  <c r="N11298" i="1"/>
  <c r="N11299" i="1"/>
  <c r="N11300" i="1"/>
  <c r="N11301" i="1"/>
  <c r="N15008" i="1"/>
  <c r="N6143" i="1"/>
  <c r="N1572" i="1"/>
  <c r="N24276" i="1"/>
  <c r="N17998" i="1"/>
  <c r="N17999" i="1"/>
  <c r="N2925" i="1"/>
  <c r="N2926" i="1"/>
  <c r="N2927" i="1"/>
  <c r="N5048" i="1"/>
  <c r="N5049" i="1"/>
  <c r="N5050" i="1"/>
  <c r="N5051" i="1"/>
  <c r="N5052" i="1"/>
  <c r="N5053" i="1"/>
  <c r="N5054" i="1"/>
  <c r="N5055" i="1"/>
  <c r="N5056" i="1"/>
  <c r="N5163" i="1"/>
  <c r="N11058" i="1"/>
  <c r="N6895" i="1"/>
  <c r="N7656" i="1"/>
  <c r="N11059" i="1"/>
  <c r="N1784" i="1"/>
  <c r="N6896" i="1"/>
  <c r="N7657" i="1"/>
  <c r="N11126" i="1"/>
  <c r="N1496" i="1"/>
  <c r="N1505" i="1"/>
  <c r="N6897" i="1"/>
  <c r="N6898" i="1"/>
  <c r="N7856" i="1"/>
  <c r="N6899" i="1"/>
  <c r="N6900" i="1"/>
  <c r="N6901" i="1"/>
  <c r="N7857" i="1"/>
  <c r="N7622" i="1"/>
  <c r="N6902" i="1"/>
  <c r="N6903" i="1"/>
  <c r="N25450" i="1"/>
  <c r="N23879" i="1"/>
  <c r="N11060" i="1"/>
  <c r="N10568" i="1"/>
  <c r="N18125" i="1"/>
  <c r="N18126" i="1"/>
  <c r="N25153" i="1"/>
  <c r="N25154" i="1"/>
  <c r="N25155" i="1"/>
  <c r="N25156" i="1"/>
  <c r="N25119" i="1"/>
  <c r="N19775" i="1"/>
  <c r="N19777" i="1"/>
  <c r="N13951" i="1"/>
  <c r="N6479" i="1"/>
  <c r="N6480" i="1"/>
  <c r="N11302" i="1"/>
  <c r="N13952" i="1"/>
  <c r="N11303" i="1"/>
  <c r="N11304" i="1"/>
  <c r="N11305" i="1"/>
  <c r="N11306" i="1"/>
  <c r="N11307" i="1"/>
  <c r="N10152" i="1"/>
  <c r="N10117" i="1"/>
  <c r="N25120" i="1"/>
  <c r="N25157" i="1"/>
  <c r="N25158" i="1"/>
  <c r="N25130" i="1"/>
  <c r="N25121" i="1"/>
  <c r="N5212" i="1"/>
  <c r="N5213" i="1"/>
  <c r="N25101" i="1"/>
  <c r="N25159" i="1"/>
  <c r="N25102" i="1"/>
  <c r="N25160" i="1"/>
  <c r="N13874" i="1"/>
  <c r="N2460" i="1"/>
  <c r="N11308" i="1"/>
  <c r="N11309" i="1"/>
  <c r="N11310" i="1"/>
  <c r="N11311" i="1"/>
  <c r="N9995" i="1"/>
  <c r="N9996" i="1"/>
  <c r="N9689" i="1"/>
  <c r="N9997" i="1"/>
  <c r="N9998" i="1"/>
  <c r="N18127" i="1"/>
  <c r="N17159" i="1"/>
  <c r="N17160" i="1"/>
  <c r="N17161" i="1"/>
  <c r="N17162" i="1"/>
  <c r="N1706" i="1"/>
  <c r="N11048" i="1"/>
  <c r="N12493" i="1"/>
  <c r="N12508" i="1"/>
  <c r="N23008" i="1"/>
  <c r="N12460" i="1"/>
  <c r="N3614" i="1"/>
  <c r="N15026" i="1"/>
  <c r="N3410" i="1"/>
  <c r="N3411" i="1"/>
  <c r="N3426" i="1"/>
  <c r="N24341" i="1"/>
  <c r="N18329" i="1"/>
  <c r="N11312" i="1"/>
  <c r="N19556" i="1"/>
  <c r="N15392" i="1"/>
  <c r="N15393" i="1"/>
  <c r="N15394" i="1"/>
  <c r="N15395" i="1"/>
  <c r="N10733" i="1"/>
  <c r="N18128" i="1"/>
  <c r="N18129" i="1"/>
  <c r="N10734" i="1"/>
  <c r="N10735" i="1"/>
  <c r="N10736" i="1"/>
  <c r="N14020" i="1"/>
  <c r="N23013" i="1"/>
  <c r="N10082" i="1"/>
  <c r="N19109" i="1"/>
  <c r="N1954" i="1"/>
  <c r="N1955" i="1"/>
  <c r="N24333" i="1"/>
  <c r="N10808" i="1"/>
  <c r="N10809" i="1"/>
  <c r="N25726" i="1"/>
  <c r="N10810" i="1"/>
  <c r="N25654" i="1"/>
  <c r="N6904" i="1"/>
  <c r="N7858" i="1"/>
  <c r="N7658" i="1"/>
  <c r="N6905" i="1"/>
  <c r="N6906" i="1"/>
  <c r="N7859" i="1"/>
  <c r="N7659" i="1"/>
  <c r="N6907" i="1"/>
  <c r="N25294" i="1"/>
  <c r="N25295" i="1"/>
  <c r="N16614" i="1"/>
  <c r="N2113" i="1"/>
  <c r="N24124" i="1"/>
  <c r="N18372" i="1"/>
  <c r="N18373" i="1"/>
  <c r="N18393" i="1"/>
  <c r="N19842" i="1"/>
  <c r="N19843" i="1"/>
  <c r="N25161" i="1"/>
  <c r="N25162" i="1"/>
  <c r="N25163" i="1"/>
  <c r="N25164" i="1"/>
  <c r="N25129" i="1"/>
  <c r="N19844" i="1"/>
  <c r="N19845" i="1"/>
  <c r="N19846" i="1"/>
  <c r="N19847" i="1"/>
  <c r="N19848" i="1"/>
  <c r="N19849" i="1"/>
  <c r="N25110" i="1"/>
  <c r="N19850" i="1"/>
  <c r="N19851" i="1"/>
  <c r="N19852" i="1"/>
  <c r="N19853" i="1"/>
  <c r="N19854" i="1"/>
  <c r="N19855" i="1"/>
  <c r="N19856" i="1"/>
  <c r="N19857" i="1"/>
  <c r="N19858" i="1"/>
  <c r="N19859" i="1"/>
  <c r="N19860" i="1"/>
  <c r="N19861" i="1"/>
  <c r="N19862" i="1"/>
  <c r="N19863" i="1"/>
  <c r="N19864" i="1"/>
  <c r="N19865" i="1"/>
  <c r="N19866" i="1"/>
  <c r="N19867" i="1"/>
  <c r="N19868" i="1"/>
  <c r="N19869" i="1"/>
  <c r="N19870" i="1"/>
  <c r="N19871" i="1"/>
  <c r="N19872" i="1"/>
  <c r="N19873" i="1"/>
  <c r="N19874" i="1"/>
  <c r="N19875" i="1"/>
  <c r="N19876" i="1"/>
  <c r="N19877" i="1"/>
  <c r="N19878" i="1"/>
  <c r="N19879" i="1"/>
  <c r="N19880" i="1"/>
  <c r="N19881" i="1"/>
  <c r="N19882" i="1"/>
  <c r="N19883" i="1"/>
  <c r="N19884" i="1"/>
  <c r="N25165" i="1"/>
  <c r="N6197" i="1"/>
  <c r="N2257" i="1"/>
  <c r="N11313" i="1"/>
  <c r="N9999" i="1"/>
  <c r="N10000" i="1"/>
  <c r="N10001" i="1"/>
  <c r="N8507" i="1"/>
  <c r="N8508" i="1"/>
  <c r="N8509" i="1"/>
  <c r="N1322" i="1"/>
  <c r="N18374" i="1"/>
  <c r="N18375" i="1"/>
  <c r="N18394" i="1"/>
  <c r="N24184" i="1"/>
  <c r="N24157" i="1"/>
  <c r="N9116" i="1"/>
  <c r="N9117" i="1"/>
  <c r="N9118" i="1"/>
  <c r="N9119" i="1"/>
  <c r="N9120" i="1"/>
  <c r="N9121" i="1"/>
  <c r="N9122" i="1"/>
  <c r="N9123" i="1"/>
  <c r="N10083" i="1"/>
  <c r="N3558" i="1"/>
  <c r="N23636" i="1"/>
  <c r="N23637" i="1"/>
  <c r="N6497" i="1"/>
  <c r="N101" i="1"/>
  <c r="N102" i="1"/>
  <c r="N103" i="1"/>
  <c r="N104" i="1"/>
  <c r="N105" i="1"/>
  <c r="N106" i="1"/>
  <c r="N107" i="1"/>
  <c r="N108" i="1"/>
  <c r="N109" i="1"/>
  <c r="N110" i="1"/>
  <c r="N13621" i="1"/>
  <c r="N13556" i="1"/>
  <c r="N13557" i="1"/>
  <c r="N13558" i="1"/>
  <c r="N13559" i="1"/>
  <c r="N13622" i="1"/>
  <c r="N13560" i="1"/>
  <c r="N3377" i="1"/>
  <c r="N3383" i="1"/>
  <c r="N3384" i="1"/>
  <c r="N15664" i="1"/>
  <c r="N15665" i="1"/>
  <c r="N6313" i="1"/>
  <c r="N23137" i="1"/>
  <c r="N23501" i="1"/>
  <c r="N23197" i="1"/>
  <c r="N23198" i="1"/>
  <c r="N23502" i="1"/>
  <c r="N23199" i="1"/>
  <c r="N23257" i="1"/>
  <c r="N23200" i="1"/>
  <c r="N19592" i="1"/>
  <c r="N10155" i="1"/>
  <c r="N23258" i="1"/>
  <c r="N23460" i="1"/>
  <c r="N23201" i="1"/>
  <c r="N23259" i="1"/>
  <c r="N23138" i="1"/>
  <c r="N23465" i="1"/>
  <c r="N23260" i="1"/>
  <c r="N23261" i="1"/>
  <c r="N23262" i="1"/>
  <c r="N23263" i="1"/>
  <c r="N23503" i="1"/>
  <c r="N3748" i="1"/>
  <c r="N15763" i="1"/>
  <c r="N6196" i="1"/>
  <c r="N8103" i="1"/>
  <c r="N10323" i="1"/>
  <c r="N17917" i="1"/>
  <c r="N17916" i="1"/>
  <c r="N17921" i="1"/>
  <c r="N19557" i="1"/>
  <c r="N25451" i="1"/>
  <c r="N25452" i="1"/>
  <c r="N18130" i="1"/>
  <c r="N18131" i="1"/>
  <c r="N6543" i="1"/>
  <c r="N13685" i="1"/>
  <c r="N13686" i="1"/>
  <c r="N13687" i="1"/>
  <c r="N13688" i="1"/>
  <c r="N13689" i="1"/>
  <c r="N13690" i="1"/>
  <c r="N19558" i="1"/>
  <c r="N12404" i="1"/>
  <c r="N10676" i="1"/>
  <c r="N10677" i="1"/>
  <c r="N10724" i="1"/>
  <c r="N10811" i="1"/>
  <c r="N10812" i="1"/>
  <c r="N10813" i="1"/>
  <c r="N10814" i="1"/>
  <c r="N10815" i="1"/>
  <c r="N10816" i="1"/>
  <c r="N2928" i="1"/>
  <c r="N8510" i="1"/>
  <c r="N8511" i="1"/>
  <c r="N8512" i="1"/>
  <c r="N8513" i="1"/>
  <c r="N8514" i="1"/>
  <c r="N8515" i="1"/>
  <c r="N12827" i="1"/>
  <c r="N12828" i="1"/>
  <c r="N16061" i="1"/>
  <c r="N12829" i="1"/>
  <c r="N12830" i="1"/>
  <c r="N24334" i="1"/>
  <c r="N12831" i="1"/>
  <c r="N12832" i="1"/>
  <c r="N3503" i="1"/>
  <c r="N12833" i="1"/>
  <c r="N11153" i="1"/>
  <c r="N8516" i="1"/>
  <c r="N8517" i="1"/>
  <c r="N8518" i="1"/>
  <c r="N8519" i="1"/>
  <c r="N8389" i="1"/>
  <c r="N8520" i="1"/>
  <c r="N8521" i="1"/>
  <c r="N8522" i="1"/>
  <c r="N8523" i="1"/>
  <c r="N8524" i="1"/>
  <c r="N8525" i="1"/>
  <c r="N8526" i="1"/>
  <c r="N19598" i="1"/>
  <c r="N8527" i="1"/>
  <c r="N10817" i="1"/>
  <c r="N23107" i="1"/>
  <c r="N8528" i="1"/>
  <c r="N6908" i="1"/>
  <c r="N6909" i="1"/>
  <c r="N6910" i="1"/>
  <c r="N6911" i="1"/>
  <c r="N8529" i="1"/>
  <c r="N8530" i="1"/>
  <c r="N8531" i="1"/>
  <c r="N8390" i="1"/>
  <c r="N8532" i="1"/>
  <c r="N8533" i="1"/>
  <c r="N23849" i="1"/>
  <c r="N23850" i="1"/>
  <c r="N24272" i="1"/>
  <c r="N6619" i="1"/>
  <c r="N6620" i="1"/>
  <c r="N6621" i="1"/>
  <c r="N19885" i="1"/>
  <c r="N19886" i="1"/>
  <c r="N19887" i="1"/>
  <c r="N19888" i="1"/>
  <c r="N19889" i="1"/>
  <c r="N19890" i="1"/>
  <c r="N19891" i="1"/>
  <c r="N19892" i="1"/>
  <c r="N19893" i="1"/>
  <c r="N19894" i="1"/>
  <c r="N19895" i="1"/>
  <c r="N19896" i="1"/>
  <c r="N19897" i="1"/>
  <c r="N19898" i="1"/>
  <c r="N19899" i="1"/>
  <c r="N19900" i="1"/>
  <c r="N19901" i="1"/>
  <c r="N19902" i="1"/>
  <c r="N19903" i="1"/>
  <c r="N19904" i="1"/>
  <c r="N19905" i="1"/>
  <c r="N19906" i="1"/>
  <c r="N19907" i="1"/>
  <c r="N19908" i="1"/>
  <c r="N19909" i="1"/>
  <c r="N19910" i="1"/>
  <c r="N19911" i="1"/>
  <c r="N19912" i="1"/>
  <c r="N19913" i="1"/>
  <c r="N19914" i="1"/>
  <c r="N19915" i="1"/>
  <c r="N19916" i="1"/>
  <c r="N15913" i="1"/>
  <c r="N24142" i="1"/>
  <c r="N24143" i="1"/>
  <c r="N25122" i="1"/>
  <c r="N3123" i="1"/>
  <c r="N17249" i="1"/>
  <c r="N12415" i="1"/>
  <c r="N18132" i="1"/>
  <c r="N8156" i="1"/>
  <c r="N14649" i="1"/>
  <c r="N11314" i="1"/>
  <c r="N11315" i="1"/>
  <c r="N11316" i="1"/>
  <c r="N10492" i="1"/>
  <c r="N2243" i="1"/>
  <c r="N1707" i="1"/>
  <c r="N24221" i="1"/>
  <c r="N24222" i="1"/>
  <c r="N9531" i="1"/>
  <c r="N13304" i="1"/>
  <c r="N13330" i="1"/>
  <c r="N13305" i="1"/>
  <c r="N13331" i="1"/>
  <c r="N13306" i="1"/>
  <c r="N13332" i="1"/>
  <c r="N5201" i="1"/>
  <c r="N5202" i="1"/>
  <c r="N5203" i="1"/>
  <c r="N5204" i="1"/>
  <c r="N1541" i="1"/>
  <c r="N10428" i="1"/>
  <c r="N10429" i="1"/>
  <c r="N23020" i="1"/>
  <c r="N24246" i="1"/>
  <c r="N3823" i="1"/>
  <c r="N4733" i="1"/>
  <c r="N4734" i="1"/>
  <c r="N12472" i="1"/>
  <c r="N25453" i="1"/>
  <c r="N12473" i="1"/>
  <c r="N23599" i="1"/>
  <c r="N25296" i="1"/>
  <c r="N10612" i="1"/>
  <c r="N12704" i="1"/>
  <c r="N12705" i="1"/>
  <c r="N12706" i="1"/>
  <c r="N12667" i="1"/>
  <c r="N23553" i="1"/>
  <c r="N4067" i="1"/>
  <c r="N3956" i="1"/>
  <c r="N23202" i="1"/>
  <c r="N23461" i="1"/>
  <c r="N23264" i="1"/>
  <c r="N23139" i="1"/>
  <c r="N23203" i="1"/>
  <c r="N23265" i="1"/>
  <c r="N4323" i="1"/>
  <c r="N25454" i="1"/>
  <c r="N25297" i="1"/>
  <c r="N9363" i="1"/>
  <c r="N10402" i="1"/>
  <c r="N2929" i="1"/>
  <c r="N2930" i="1"/>
  <c r="N2931" i="1"/>
  <c r="N10118" i="1"/>
  <c r="N1272" i="1"/>
  <c r="N6912" i="1"/>
  <c r="N6913" i="1"/>
  <c r="N7660" i="1"/>
  <c r="N11061" i="1"/>
  <c r="N11154" i="1"/>
  <c r="N15642" i="1"/>
  <c r="N11776" i="1"/>
  <c r="N4217" i="1"/>
  <c r="N8534" i="1"/>
  <c r="N6914" i="1"/>
  <c r="N7661" i="1"/>
  <c r="N6915" i="1"/>
  <c r="N7662" i="1"/>
  <c r="N11257" i="1"/>
  <c r="N6623" i="1"/>
  <c r="N11923" i="1"/>
  <c r="N4670" i="1"/>
  <c r="N19785" i="1"/>
  <c r="N4671" i="1"/>
  <c r="N4717" i="1"/>
  <c r="N4672" i="1"/>
  <c r="N25455" i="1"/>
  <c r="N19917" i="1"/>
  <c r="N19918" i="1"/>
  <c r="N19919" i="1"/>
  <c r="N19920" i="1"/>
  <c r="N19921" i="1"/>
  <c r="N19922" i="1"/>
  <c r="N19923" i="1"/>
  <c r="N19924" i="1"/>
  <c r="N19925" i="1"/>
  <c r="N19926" i="1"/>
  <c r="N19927" i="1"/>
  <c r="N19928" i="1"/>
  <c r="N19929" i="1"/>
  <c r="N19930" i="1"/>
  <c r="N19931" i="1"/>
  <c r="N19932" i="1"/>
  <c r="N19933" i="1"/>
  <c r="N19934" i="1"/>
  <c r="N19935" i="1"/>
  <c r="N19936" i="1"/>
  <c r="N19937" i="1"/>
  <c r="N19938" i="1"/>
  <c r="N19939" i="1"/>
  <c r="N19940" i="1"/>
  <c r="N18000" i="1"/>
  <c r="N18001" i="1"/>
  <c r="N19941" i="1"/>
  <c r="N19942" i="1"/>
  <c r="N19943" i="1"/>
  <c r="N19944" i="1"/>
  <c r="N19945" i="1"/>
  <c r="N10593" i="1"/>
  <c r="N15957" i="1"/>
  <c r="N15958" i="1"/>
  <c r="N15959" i="1"/>
  <c r="N1154" i="1"/>
  <c r="N1155" i="1"/>
  <c r="N5478" i="1"/>
  <c r="N5479" i="1"/>
  <c r="N5480" i="1"/>
  <c r="N6205" i="1"/>
  <c r="N14328" i="1"/>
  <c r="N1594" i="1"/>
  <c r="N1909" i="1"/>
  <c r="N6122" i="1"/>
  <c r="N19761" i="1"/>
  <c r="N19762" i="1"/>
  <c r="N19763" i="1"/>
  <c r="N18659" i="1"/>
  <c r="N18660" i="1"/>
  <c r="N6124" i="1"/>
  <c r="N8013" i="1"/>
  <c r="N6375" i="1"/>
  <c r="N6376" i="1"/>
  <c r="N6377" i="1"/>
  <c r="N6378" i="1"/>
  <c r="N6379" i="1"/>
  <c r="N6380" i="1"/>
  <c r="N6381" i="1"/>
  <c r="N6382" i="1"/>
  <c r="N6383" i="1"/>
  <c r="N1910" i="1"/>
  <c r="N12313" i="1"/>
  <c r="N8104" i="1"/>
  <c r="N3664" i="1"/>
  <c r="N3665" i="1"/>
  <c r="N3666" i="1"/>
  <c r="N3667" i="1"/>
  <c r="N3668" i="1"/>
  <c r="N3669" i="1"/>
  <c r="N18133" i="1"/>
  <c r="N12003" i="1"/>
  <c r="N25655" i="1"/>
  <c r="N16200" i="1"/>
  <c r="N18134" i="1"/>
  <c r="N25656" i="1"/>
  <c r="N17163" i="1"/>
  <c r="N17164" i="1"/>
  <c r="N17225" i="1"/>
  <c r="N18723" i="1"/>
  <c r="N14370" i="1"/>
  <c r="N14371" i="1"/>
  <c r="N18553" i="1"/>
  <c r="N18554" i="1"/>
  <c r="N18555" i="1"/>
  <c r="N18556" i="1"/>
  <c r="N18557" i="1"/>
  <c r="N18558" i="1"/>
  <c r="N18559" i="1"/>
  <c r="N18560" i="1"/>
  <c r="N18561" i="1"/>
  <c r="N18562" i="1"/>
  <c r="N17165" i="1"/>
  <c r="N17166" i="1"/>
  <c r="N17226" i="1"/>
  <c r="N13628" i="1"/>
  <c r="N13629" i="1"/>
  <c r="N24105" i="1"/>
  <c r="N4736" i="1"/>
  <c r="N4292" i="1"/>
  <c r="N5481" i="1"/>
  <c r="N5482" i="1"/>
  <c r="N25456" i="1"/>
  <c r="N10493" i="1"/>
  <c r="N10494" i="1"/>
  <c r="N18135" i="1"/>
  <c r="N2796" i="1"/>
  <c r="N5483" i="1"/>
  <c r="N5484" i="1"/>
  <c r="N5485" i="1"/>
  <c r="N5486" i="1"/>
  <c r="N5487" i="1"/>
  <c r="N6852" i="1"/>
  <c r="N19946" i="1"/>
  <c r="N19947" i="1"/>
  <c r="N19948" i="1"/>
  <c r="N19949" i="1"/>
  <c r="N19950" i="1"/>
  <c r="N19951" i="1"/>
  <c r="N19952" i="1"/>
  <c r="N19953" i="1"/>
  <c r="N19954" i="1"/>
  <c r="N19955" i="1"/>
  <c r="N19956" i="1"/>
  <c r="N19957" i="1"/>
  <c r="N19958" i="1"/>
  <c r="N24485" i="1"/>
  <c r="N11317" i="1"/>
  <c r="N11194" i="1"/>
  <c r="N11318" i="1"/>
  <c r="N11195" i="1"/>
  <c r="N11319" i="1"/>
  <c r="N11196" i="1"/>
  <c r="N11320" i="1"/>
  <c r="N11197" i="1"/>
  <c r="N11198" i="1"/>
  <c r="N15960" i="1"/>
  <c r="N23732" i="1"/>
  <c r="N19559" i="1"/>
  <c r="N3082" i="1"/>
  <c r="N3200" i="1"/>
  <c r="N3201" i="1"/>
  <c r="N3202" i="1"/>
  <c r="N18027" i="1"/>
  <c r="N19560" i="1"/>
  <c r="N16230" i="1"/>
  <c r="N12589" i="1"/>
  <c r="N12590" i="1"/>
  <c r="N5488" i="1"/>
  <c r="N5489" i="1"/>
  <c r="N5490" i="1"/>
  <c r="N11896" i="1"/>
  <c r="N11897" i="1"/>
  <c r="N5491" i="1"/>
  <c r="N18028" i="1"/>
  <c r="N23913" i="1"/>
  <c r="N23914" i="1"/>
  <c r="N23915" i="1"/>
  <c r="N23916" i="1"/>
  <c r="N23917" i="1"/>
  <c r="N1956" i="1"/>
  <c r="N1957" i="1"/>
  <c r="N9042" i="1"/>
  <c r="N1958" i="1"/>
  <c r="N1959" i="1"/>
  <c r="N1960" i="1"/>
  <c r="N1961" i="1"/>
  <c r="N1962" i="1"/>
  <c r="N25298" i="1"/>
  <c r="N16514" i="1"/>
  <c r="N5492" i="1"/>
  <c r="N5493" i="1"/>
  <c r="N5494" i="1"/>
  <c r="N5495" i="1"/>
  <c r="N5496" i="1"/>
  <c r="N5497" i="1"/>
  <c r="N15587" i="1"/>
  <c r="N19959" i="1"/>
  <c r="N19960" i="1"/>
  <c r="N19961" i="1"/>
  <c r="N19962" i="1"/>
  <c r="N19963" i="1"/>
  <c r="N19964" i="1"/>
  <c r="N19965" i="1"/>
  <c r="N19966" i="1"/>
  <c r="N19967" i="1"/>
  <c r="N19968" i="1"/>
  <c r="N19969" i="1"/>
  <c r="N19970" i="1"/>
  <c r="N19971" i="1"/>
  <c r="N19972" i="1"/>
  <c r="N19973" i="1"/>
  <c r="N19974" i="1"/>
  <c r="N19975" i="1"/>
  <c r="N19976" i="1"/>
  <c r="N19977" i="1"/>
  <c r="N19978" i="1"/>
  <c r="N19979" i="1"/>
  <c r="N19980" i="1"/>
  <c r="N19981" i="1"/>
  <c r="N22866" i="1"/>
  <c r="N19982" i="1"/>
  <c r="N19983" i="1"/>
  <c r="N4522" i="1"/>
  <c r="N4523" i="1"/>
  <c r="N5301" i="1"/>
  <c r="N2564" i="1"/>
  <c r="N2565" i="1"/>
  <c r="N2566" i="1"/>
  <c r="N25166" i="1"/>
  <c r="N25103" i="1"/>
  <c r="N25167" i="1"/>
  <c r="N25104" i="1"/>
  <c r="N2567" i="1"/>
  <c r="N25168" i="1"/>
  <c r="N18085" i="1"/>
  <c r="N25457" i="1"/>
  <c r="N25458" i="1"/>
  <c r="N11754" i="1"/>
  <c r="N11755" i="1"/>
  <c r="N6210" i="1"/>
  <c r="N1763" i="1"/>
  <c r="N25727" i="1"/>
  <c r="N25728" i="1"/>
  <c r="N25729" i="1"/>
  <c r="N3385" i="1"/>
  <c r="N2410" i="1"/>
  <c r="N13764" i="1"/>
  <c r="N13691" i="1"/>
  <c r="N13672" i="1"/>
  <c r="N13765" i="1"/>
  <c r="N13692" i="1"/>
  <c r="N13693" i="1"/>
  <c r="N12668" i="1"/>
  <c r="N12416" i="1"/>
  <c r="N12417" i="1"/>
  <c r="N12418" i="1"/>
  <c r="N6498" i="1"/>
  <c r="N15082" i="1"/>
  <c r="N15474" i="1"/>
  <c r="N23918" i="1"/>
  <c r="N23919" i="1"/>
  <c r="N3276" i="1"/>
  <c r="N13830" i="1"/>
  <c r="N9216" i="1"/>
  <c r="N9217" i="1"/>
  <c r="N19339" i="1"/>
  <c r="N11321" i="1"/>
  <c r="N11322" i="1"/>
  <c r="N10315" i="1"/>
  <c r="N10316" i="1"/>
  <c r="N10317" i="1"/>
  <c r="N10318" i="1"/>
  <c r="N10319" i="1"/>
  <c r="N19611" i="1"/>
  <c r="N19612" i="1"/>
  <c r="N6782" i="1"/>
  <c r="N10737" i="1"/>
  <c r="N10738" i="1"/>
  <c r="N13932" i="1"/>
  <c r="N13933" i="1"/>
  <c r="N18136" i="1"/>
  <c r="N10361" i="1"/>
  <c r="N10362" i="1"/>
  <c r="N3090" i="1"/>
  <c r="N18137" i="1"/>
  <c r="N14657" i="1"/>
  <c r="N12068" i="1"/>
  <c r="N12048" i="1"/>
  <c r="N25927" i="1"/>
  <c r="N3510" i="1"/>
  <c r="N8535" i="1"/>
  <c r="N8536" i="1"/>
  <c r="N3363" i="1"/>
  <c r="N8537" i="1"/>
  <c r="N15643" i="1"/>
  <c r="N15644" i="1"/>
  <c r="N15645" i="1"/>
  <c r="N10818" i="1"/>
  <c r="N8538" i="1"/>
  <c r="N16231" i="1"/>
  <c r="N16232" i="1"/>
  <c r="N3364" i="1"/>
  <c r="N12544" i="1"/>
  <c r="N15249" i="1"/>
  <c r="N15250" i="1"/>
  <c r="N15475" i="1"/>
  <c r="N10084" i="1"/>
  <c r="N4293" i="1"/>
  <c r="N11715" i="1"/>
  <c r="N25730" i="1"/>
  <c r="N4240" i="1"/>
  <c r="N4250" i="1"/>
  <c r="N23204" i="1"/>
  <c r="N23205" i="1"/>
  <c r="N23206" i="1"/>
  <c r="N23207" i="1"/>
  <c r="N23140" i="1"/>
  <c r="N23208" i="1"/>
  <c r="N23266" i="1"/>
  <c r="N3478" i="1"/>
  <c r="N12767" i="1"/>
  <c r="N9364" i="1"/>
  <c r="N9383" i="1"/>
  <c r="N1893" i="1"/>
  <c r="N8999" i="1"/>
  <c r="N4313" i="1"/>
  <c r="N17957" i="1"/>
  <c r="N4162" i="1"/>
  <c r="N25657" i="1"/>
  <c r="N11992" i="1"/>
  <c r="N24606" i="1"/>
  <c r="N19984" i="1"/>
  <c r="N19985" i="1"/>
  <c r="N19986" i="1"/>
  <c r="N19987" i="1"/>
  <c r="N19988" i="1"/>
  <c r="N19989" i="1"/>
  <c r="N19990" i="1"/>
  <c r="N19991" i="1"/>
  <c r="N6538" i="1"/>
  <c r="N6525" i="1"/>
  <c r="N5498" i="1"/>
  <c r="N5499" i="1"/>
  <c r="N19826" i="1"/>
  <c r="N11323" i="1"/>
  <c r="N11199" i="1"/>
  <c r="N11324" i="1"/>
  <c r="N11200" i="1"/>
  <c r="N12388" i="1"/>
  <c r="N12389" i="1"/>
  <c r="N19992" i="1"/>
  <c r="N19993" i="1"/>
  <c r="N19994" i="1"/>
  <c r="N19995" i="1"/>
  <c r="N19996" i="1"/>
  <c r="N2797" i="1"/>
  <c r="N5500" i="1"/>
  <c r="N5501" i="1"/>
  <c r="N5502" i="1"/>
  <c r="N5503" i="1"/>
  <c r="N5504" i="1"/>
  <c r="N5505" i="1"/>
  <c r="N8039" i="1"/>
  <c r="N9703" i="1"/>
  <c r="N11920" i="1"/>
  <c r="N12189" i="1"/>
  <c r="N2798" i="1"/>
  <c r="N5506" i="1"/>
  <c r="N19997" i="1"/>
  <c r="N19998" i="1"/>
  <c r="N19999" i="1"/>
  <c r="N20000" i="1"/>
  <c r="N20001" i="1"/>
  <c r="N20002" i="1"/>
  <c r="N20003" i="1"/>
  <c r="N20004" i="1"/>
  <c r="N20005" i="1"/>
  <c r="N20006" i="1"/>
  <c r="N20007" i="1"/>
  <c r="N20008" i="1"/>
  <c r="N20009" i="1"/>
  <c r="N20010" i="1"/>
  <c r="N20011" i="1"/>
  <c r="N12187" i="1"/>
  <c r="N22992" i="1"/>
  <c r="N3124" i="1"/>
  <c r="N2746" i="1"/>
  <c r="N11127" i="1"/>
  <c r="N8157" i="1"/>
  <c r="N11062" i="1"/>
  <c r="N17230" i="1"/>
  <c r="N2799" i="1"/>
  <c r="N22889" i="1"/>
  <c r="N22890" i="1"/>
  <c r="N3592" i="1"/>
  <c r="N25123" i="1"/>
  <c r="N15732" i="1"/>
  <c r="N1645" i="1"/>
  <c r="N4209" i="1"/>
  <c r="N11063" i="1"/>
  <c r="N2431" i="1"/>
  <c r="N13348" i="1"/>
  <c r="N13349" i="1"/>
  <c r="N13350" i="1"/>
  <c r="N20012" i="1"/>
  <c r="N11325" i="1"/>
  <c r="N2800" i="1"/>
  <c r="N4213" i="1"/>
  <c r="N20013" i="1"/>
  <c r="N20014" i="1"/>
  <c r="N20015" i="1"/>
  <c r="N20016" i="1"/>
  <c r="N20017" i="1"/>
  <c r="N20018" i="1"/>
  <c r="N20019" i="1"/>
  <c r="N20020" i="1"/>
  <c r="N20021" i="1"/>
  <c r="N20022" i="1"/>
  <c r="N20023" i="1"/>
  <c r="N20024" i="1"/>
  <c r="N20025" i="1"/>
  <c r="N20026" i="1"/>
  <c r="N20027" i="1"/>
  <c r="N20028" i="1"/>
  <c r="N20029" i="1"/>
  <c r="N13523" i="1"/>
  <c r="N5302" i="1"/>
  <c r="N5303" i="1"/>
  <c r="N1135" i="1"/>
  <c r="N1136" i="1"/>
  <c r="N20030" i="1"/>
  <c r="N20031" i="1"/>
  <c r="N20032" i="1"/>
  <c r="N20033" i="1"/>
  <c r="N20034" i="1"/>
  <c r="N20035" i="1"/>
  <c r="N20036" i="1"/>
  <c r="N20037" i="1"/>
  <c r="N20038" i="1"/>
  <c r="N20039" i="1"/>
  <c r="N20040" i="1"/>
  <c r="N20041" i="1"/>
  <c r="N20042" i="1"/>
  <c r="N20043" i="1"/>
  <c r="N14348" i="1"/>
  <c r="N4163" i="1"/>
  <c r="N4164" i="1"/>
  <c r="N5507" i="1"/>
  <c r="N5508" i="1"/>
  <c r="N5509" i="1"/>
  <c r="N1573" i="1"/>
  <c r="N5510" i="1"/>
  <c r="N5511" i="1"/>
  <c r="N5512" i="1"/>
  <c r="N5513" i="1"/>
  <c r="N5514" i="1"/>
  <c r="N5214" i="1"/>
  <c r="N2568" i="1"/>
  <c r="N24449" i="1"/>
  <c r="N24348" i="1"/>
  <c r="N24349" i="1"/>
  <c r="N24350" i="1"/>
  <c r="N24335" i="1"/>
  <c r="N24450" i="1"/>
  <c r="N13520" i="1"/>
  <c r="N23046" i="1"/>
  <c r="N19752" i="1"/>
  <c r="N19827" i="1"/>
  <c r="N2280" i="1"/>
  <c r="N10640" i="1"/>
  <c r="N6314" i="1"/>
  <c r="N15821" i="1"/>
  <c r="N6306" i="1"/>
  <c r="N6211" i="1"/>
  <c r="N19780" i="1"/>
  <c r="N6544" i="1"/>
  <c r="N6523" i="1"/>
  <c r="N6545" i="1"/>
  <c r="N6546" i="1"/>
  <c r="N11989" i="1"/>
  <c r="N1941" i="1"/>
  <c r="N1942" i="1"/>
  <c r="N25169" i="1"/>
  <c r="N25170" i="1"/>
  <c r="N25171" i="1"/>
  <c r="N25172" i="1"/>
  <c r="N25173" i="1"/>
  <c r="N25174" i="1"/>
  <c r="N25175" i="1"/>
  <c r="N25176" i="1"/>
  <c r="N2406" i="1"/>
  <c r="N13157" i="1"/>
  <c r="N24351" i="1"/>
  <c r="N19364" i="1"/>
  <c r="N19365" i="1"/>
  <c r="N19366" i="1"/>
  <c r="N24352" i="1"/>
  <c r="N24353" i="1"/>
  <c r="N18633" i="1"/>
  <c r="N12249" i="1"/>
  <c r="N22980" i="1"/>
  <c r="N15415" i="1"/>
  <c r="N20044" i="1"/>
  <c r="N20045" i="1"/>
  <c r="N20046" i="1"/>
  <c r="N20047" i="1"/>
  <c r="N20048" i="1"/>
  <c r="N20049" i="1"/>
  <c r="N20050" i="1"/>
  <c r="N20051" i="1"/>
  <c r="N20052" i="1"/>
  <c r="N20053" i="1"/>
  <c r="N20054" i="1"/>
  <c r="N20055" i="1"/>
  <c r="N25351" i="1"/>
  <c r="N25459" i="1"/>
  <c r="N10324" i="1"/>
  <c r="N10325" i="1"/>
  <c r="N13527" i="1"/>
  <c r="N13528" i="1"/>
  <c r="N24354" i="1"/>
  <c r="N24355" i="1"/>
  <c r="N24356" i="1"/>
  <c r="N24357" i="1"/>
  <c r="N24358" i="1"/>
  <c r="N15764" i="1"/>
  <c r="N25646" i="1"/>
  <c r="N8391" i="1"/>
  <c r="N19367" i="1"/>
  <c r="N19368" i="1"/>
  <c r="N23845" i="1"/>
  <c r="N2569" i="1"/>
  <c r="N23056" i="1"/>
  <c r="N23057" i="1"/>
  <c r="N25731" i="1"/>
  <c r="N10259" i="1"/>
  <c r="N25460" i="1"/>
  <c r="N15656" i="1"/>
  <c r="N24804" i="1"/>
  <c r="N2126" i="1"/>
  <c r="N3608" i="1"/>
  <c r="N25263" i="1"/>
  <c r="N12075" i="1"/>
  <c r="N12076" i="1"/>
  <c r="N3088" i="1"/>
  <c r="N3089" i="1"/>
  <c r="N1463" i="1"/>
  <c r="N18657" i="1"/>
  <c r="N18658" i="1"/>
  <c r="N3335" i="1"/>
  <c r="N2492" i="1"/>
  <c r="N15822" i="1"/>
  <c r="N8158" i="1"/>
  <c r="N12374" i="1"/>
  <c r="N12375" i="1"/>
  <c r="N12376" i="1"/>
  <c r="N12377" i="1"/>
  <c r="N24681" i="1"/>
  <c r="N24682" i="1"/>
  <c r="N25111" i="1"/>
  <c r="N18138" i="1"/>
  <c r="N18139" i="1"/>
  <c r="N18140" i="1"/>
  <c r="N3550" i="1"/>
  <c r="N9637" i="1"/>
  <c r="N2932" i="1"/>
  <c r="N2933" i="1"/>
  <c r="N9638" i="1"/>
  <c r="N13408" i="1"/>
  <c r="N13409" i="1"/>
  <c r="N2934" i="1"/>
  <c r="N2935" i="1"/>
  <c r="N2936" i="1"/>
  <c r="N3193" i="1"/>
  <c r="N3265" i="1"/>
  <c r="N3267" i="1"/>
  <c r="N3244" i="1"/>
  <c r="N3194" i="1"/>
  <c r="N3266" i="1"/>
  <c r="N17167" i="1"/>
  <c r="N17168" i="1"/>
  <c r="N23600" i="1"/>
  <c r="N23542" i="1"/>
  <c r="N23554" i="1"/>
  <c r="N24325" i="1"/>
  <c r="N13176" i="1"/>
  <c r="N13410" i="1"/>
  <c r="N13411" i="1"/>
  <c r="N13412" i="1"/>
  <c r="N1963" i="1"/>
  <c r="N9070" i="1"/>
  <c r="N8539" i="1"/>
  <c r="N8540" i="1"/>
  <c r="N8541" i="1"/>
  <c r="N8542" i="1"/>
  <c r="N8392" i="1"/>
  <c r="N8543" i="1"/>
  <c r="N8544" i="1"/>
  <c r="N8545" i="1"/>
  <c r="N8546" i="1"/>
  <c r="N8547" i="1"/>
  <c r="N1807" i="1"/>
  <c r="N1808" i="1"/>
  <c r="N18765" i="1"/>
  <c r="N18766" i="1"/>
  <c r="N25461" i="1"/>
  <c r="N3448" i="1"/>
  <c r="N12834" i="1"/>
  <c r="N12835" i="1"/>
  <c r="N25929" i="1"/>
  <c r="N25930" i="1"/>
  <c r="N17865" i="1"/>
  <c r="N14654" i="1"/>
  <c r="N1841" i="1"/>
  <c r="N19561" i="1"/>
  <c r="N19562" i="1"/>
  <c r="N12836" i="1"/>
  <c r="N12837" i="1"/>
  <c r="N17902" i="1"/>
  <c r="N12838" i="1"/>
  <c r="N1384" i="1"/>
  <c r="N12839" i="1"/>
  <c r="N15579" i="1"/>
  <c r="N10183" i="1"/>
  <c r="N12531" i="1"/>
  <c r="N10119" i="1"/>
  <c r="N25989" i="1"/>
  <c r="N25991" i="1"/>
  <c r="N8548" i="1"/>
  <c r="N8549" i="1"/>
  <c r="N8550" i="1"/>
  <c r="N23267" i="1"/>
  <c r="N23268" i="1"/>
  <c r="N8551" i="1"/>
  <c r="N8393" i="1"/>
  <c r="N8552" i="1"/>
  <c r="N16247" i="1"/>
  <c r="N8394" i="1"/>
  <c r="N8553" i="1"/>
  <c r="N8554" i="1"/>
  <c r="N8555" i="1"/>
  <c r="N8556" i="1"/>
  <c r="N8557" i="1"/>
  <c r="N8558" i="1"/>
  <c r="N18457" i="1"/>
  <c r="N18458" i="1"/>
  <c r="N18459" i="1"/>
  <c r="N6241" i="1"/>
  <c r="N16062" i="1"/>
  <c r="N24786" i="1"/>
  <c r="N10383" i="1"/>
  <c r="N6520" i="1"/>
  <c r="N6547" i="1"/>
  <c r="N23141" i="1"/>
  <c r="N23515" i="1"/>
  <c r="N25462" i="1"/>
  <c r="N3653" i="1"/>
  <c r="N25463" i="1"/>
  <c r="N18934" i="1"/>
  <c r="N18935" i="1"/>
  <c r="N16401" i="1"/>
  <c r="N16402" i="1"/>
  <c r="N16403" i="1"/>
  <c r="N16404" i="1"/>
  <c r="N16405" i="1"/>
  <c r="N16406" i="1"/>
  <c r="N16407" i="1"/>
  <c r="N16408" i="1"/>
  <c r="N24092" i="1"/>
  <c r="N3892" i="1"/>
  <c r="N3893" i="1"/>
  <c r="N3894" i="1"/>
  <c r="N12669" i="1"/>
  <c r="N12707" i="1"/>
  <c r="N16409" i="1"/>
  <c r="N1164" i="1"/>
  <c r="N1165" i="1"/>
  <c r="N25658" i="1"/>
  <c r="N12708" i="1"/>
  <c r="N15914" i="1"/>
  <c r="N15961" i="1"/>
  <c r="N15962" i="1"/>
  <c r="N15963" i="1"/>
  <c r="N15251" i="1"/>
  <c r="N15252" i="1"/>
  <c r="N15253" i="1"/>
  <c r="N15254" i="1"/>
  <c r="N15255" i="1"/>
  <c r="N15256" i="1"/>
  <c r="N15257" i="1"/>
  <c r="N6916" i="1"/>
  <c r="N6917" i="1"/>
  <c r="N6918" i="1"/>
  <c r="N6919" i="1"/>
  <c r="N6920" i="1"/>
  <c r="N6921" i="1"/>
  <c r="N6922" i="1"/>
  <c r="N13953" i="1"/>
  <c r="N13954" i="1"/>
  <c r="N3620" i="1"/>
  <c r="N25464" i="1"/>
  <c r="N25732" i="1"/>
  <c r="N25733" i="1"/>
  <c r="N25734" i="1"/>
  <c r="N25735" i="1"/>
  <c r="N25736" i="1"/>
  <c r="N1911" i="1"/>
  <c r="N22891" i="1"/>
  <c r="N4332" i="1"/>
  <c r="N4068" i="1"/>
  <c r="N3957" i="1"/>
  <c r="N16278" i="1"/>
  <c r="N12469" i="1"/>
  <c r="N8159" i="1"/>
  <c r="N8160" i="1"/>
  <c r="N8161" i="1"/>
  <c r="N8162" i="1"/>
  <c r="N8163" i="1"/>
  <c r="N6212" i="1"/>
  <c r="N6305" i="1"/>
  <c r="N6254" i="1"/>
  <c r="N5304" i="1"/>
  <c r="N5305" i="1"/>
  <c r="N5306" i="1"/>
  <c r="N10368" i="1"/>
  <c r="N10369" i="1"/>
  <c r="N10370" i="1"/>
  <c r="N3553" i="1"/>
  <c r="N8559" i="1"/>
  <c r="N5515" i="1"/>
  <c r="N5516" i="1"/>
  <c r="N5517" i="1"/>
  <c r="N16050" i="1"/>
  <c r="N2471" i="1"/>
  <c r="N15858" i="1"/>
  <c r="N24035" i="1"/>
  <c r="N4469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6923" i="1"/>
  <c r="N6924" i="1"/>
  <c r="N6925" i="1"/>
  <c r="N6926" i="1"/>
  <c r="N6927" i="1"/>
  <c r="N6928" i="1"/>
  <c r="N6929" i="1"/>
  <c r="N8560" i="1"/>
  <c r="N8561" i="1"/>
  <c r="N24036" i="1"/>
  <c r="N24037" i="1"/>
  <c r="N12194" i="1"/>
  <c r="N12756" i="1"/>
  <c r="N9532" i="1"/>
  <c r="N9533" i="1"/>
  <c r="N14579" i="1"/>
  <c r="N12670" i="1"/>
  <c r="N14618" i="1"/>
  <c r="N14619" i="1"/>
  <c r="N25737" i="1"/>
  <c r="N25465" i="1"/>
  <c r="N11064" i="1"/>
  <c r="N1900" i="1"/>
  <c r="N5518" i="1"/>
  <c r="N5519" i="1"/>
  <c r="N5520" i="1"/>
  <c r="N5521" i="1"/>
  <c r="N6499" i="1"/>
  <c r="N13168" i="1"/>
  <c r="N13169" i="1"/>
  <c r="N2124" i="1"/>
  <c r="N15598" i="1"/>
  <c r="N6213" i="1"/>
  <c r="N23142" i="1"/>
  <c r="N23269" i="1"/>
  <c r="N18359" i="1"/>
  <c r="N9056" i="1"/>
  <c r="N7936" i="1"/>
  <c r="N13394" i="1"/>
  <c r="N13395" i="1"/>
  <c r="N4054" i="1"/>
  <c r="N25352" i="1"/>
  <c r="N12709" i="1"/>
  <c r="N12710" i="1"/>
  <c r="N4055" i="1"/>
  <c r="N17704" i="1"/>
  <c r="N3593" i="1"/>
  <c r="N9339" i="1"/>
  <c r="N9365" i="1"/>
  <c r="N11996" i="1"/>
  <c r="N25738" i="1"/>
  <c r="N4935" i="1"/>
  <c r="N16515" i="1"/>
  <c r="N4936" i="1"/>
  <c r="N15054" i="1"/>
  <c r="N6749" i="1"/>
  <c r="N6750" i="1"/>
  <c r="N4524" i="1"/>
  <c r="N8026" i="1"/>
  <c r="N6930" i="1"/>
  <c r="N7860" i="1"/>
  <c r="N7663" i="1"/>
  <c r="N6931" i="1"/>
  <c r="N6932" i="1"/>
  <c r="N7664" i="1"/>
  <c r="N25299" i="1"/>
  <c r="N6933" i="1"/>
  <c r="N7861" i="1"/>
  <c r="N7623" i="1"/>
  <c r="N7665" i="1"/>
  <c r="N6934" i="1"/>
  <c r="N18767" i="1"/>
  <c r="N18768" i="1"/>
  <c r="N18769" i="1"/>
  <c r="N1785" i="1"/>
  <c r="N1786" i="1"/>
  <c r="N14019" i="1"/>
  <c r="N18666" i="1"/>
  <c r="N111" i="1"/>
  <c r="N16199" i="1"/>
  <c r="N9404" i="1"/>
  <c r="N5307" i="1"/>
  <c r="N24223" i="1"/>
  <c r="N2570" i="1"/>
  <c r="N2571" i="1"/>
  <c r="N2572" i="1"/>
  <c r="N2573" i="1"/>
  <c r="N2255" i="1"/>
  <c r="N2801" i="1"/>
  <c r="N2802" i="1"/>
  <c r="N5164" i="1"/>
  <c r="N4945" i="1"/>
  <c r="N20056" i="1"/>
  <c r="N20057" i="1"/>
  <c r="N20058" i="1"/>
  <c r="N20059" i="1"/>
  <c r="N6674" i="1"/>
  <c r="N6675" i="1"/>
  <c r="N12385" i="1"/>
  <c r="N25353" i="1"/>
  <c r="N8562" i="1"/>
  <c r="N25354" i="1"/>
  <c r="N3386" i="1"/>
  <c r="N1690" i="1"/>
  <c r="N25355" i="1"/>
  <c r="N3307" i="1"/>
  <c r="N13882" i="1"/>
  <c r="N1848" i="1"/>
  <c r="N10153" i="1"/>
  <c r="N10156" i="1"/>
  <c r="N4718" i="1"/>
  <c r="N4673" i="1"/>
  <c r="N4674" i="1"/>
  <c r="N1124" i="1"/>
  <c r="N3615" i="1"/>
  <c r="N24052" i="1"/>
  <c r="N16063" i="1"/>
  <c r="N14584" i="1"/>
  <c r="N18649" i="1"/>
  <c r="N18635" i="1"/>
  <c r="N18636" i="1"/>
  <c r="N18637" i="1"/>
  <c r="N13630" i="1"/>
  <c r="N13631" i="1"/>
  <c r="N12109" i="1"/>
  <c r="N1421" i="1"/>
  <c r="N18141" i="1"/>
  <c r="N12255" i="1"/>
  <c r="N4483" i="1"/>
  <c r="N23021" i="1"/>
  <c r="N12256" i="1"/>
  <c r="N12254" i="1"/>
  <c r="N12269" i="1"/>
  <c r="N12270" i="1"/>
  <c r="N3992" i="1"/>
  <c r="N14472" i="1"/>
  <c r="N12110" i="1"/>
  <c r="N12111" i="1"/>
  <c r="N12112" i="1"/>
  <c r="N15383" i="1"/>
  <c r="N15384" i="1"/>
  <c r="N25739" i="1"/>
  <c r="N8373" i="1"/>
  <c r="N12840" i="1"/>
  <c r="N12113" i="1"/>
  <c r="N6843" i="1"/>
  <c r="N16588" i="1"/>
  <c r="N18770" i="1"/>
  <c r="N18771" i="1"/>
  <c r="N18772" i="1"/>
  <c r="N16043" i="1"/>
  <c r="N12114" i="1"/>
  <c r="N24308" i="1"/>
  <c r="N24309" i="1"/>
  <c r="N24306" i="1"/>
  <c r="N11326" i="1"/>
  <c r="N23543" i="1"/>
  <c r="N25356" i="1"/>
  <c r="N18580" i="1"/>
  <c r="N15580" i="1"/>
  <c r="N10366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8142" i="1"/>
  <c r="N18143" i="1"/>
  <c r="N23841" i="1"/>
  <c r="N3288" i="1"/>
  <c r="N3289" i="1"/>
  <c r="N4191" i="1"/>
  <c r="N23909" i="1"/>
  <c r="N24778" i="1"/>
  <c r="N13529" i="1"/>
  <c r="N16615" i="1"/>
  <c r="N18773" i="1"/>
  <c r="N25177" i="1"/>
  <c r="N25178" i="1"/>
  <c r="N25179" i="1"/>
  <c r="N25180" i="1"/>
  <c r="N25181" i="1"/>
  <c r="N13815" i="1"/>
  <c r="N1927" i="1"/>
  <c r="N24294" i="1"/>
  <c r="N25182" i="1"/>
  <c r="N8164" i="1"/>
  <c r="N18144" i="1"/>
  <c r="N15844" i="1"/>
  <c r="N6832" i="1"/>
  <c r="N13955" i="1"/>
  <c r="N13956" i="1"/>
  <c r="N17222" i="1"/>
  <c r="N17223" i="1"/>
  <c r="N17224" i="1"/>
  <c r="N12153" i="1"/>
  <c r="N10120" i="1"/>
  <c r="N10121" i="1"/>
  <c r="N4675" i="1"/>
  <c r="N20060" i="1"/>
  <c r="N20061" i="1"/>
  <c r="N20062" i="1"/>
  <c r="N20063" i="1"/>
  <c r="N20064" i="1"/>
  <c r="N20065" i="1"/>
  <c r="N25183" i="1"/>
  <c r="N25184" i="1"/>
  <c r="N25185" i="1"/>
  <c r="N25186" i="1"/>
  <c r="N25187" i="1"/>
  <c r="N25188" i="1"/>
  <c r="N25189" i="1"/>
  <c r="N25190" i="1"/>
  <c r="N10549" i="1"/>
  <c r="N20066" i="1"/>
  <c r="N20067" i="1"/>
  <c r="N20068" i="1"/>
  <c r="N20069" i="1"/>
  <c r="N20070" i="1"/>
  <c r="N20071" i="1"/>
  <c r="N20072" i="1"/>
  <c r="N20073" i="1"/>
  <c r="N20074" i="1"/>
  <c r="N20075" i="1"/>
  <c r="N20076" i="1"/>
  <c r="N20077" i="1"/>
  <c r="N20078" i="1"/>
  <c r="N20079" i="1"/>
  <c r="N20080" i="1"/>
  <c r="N20081" i="1"/>
  <c r="N20082" i="1"/>
  <c r="N20083" i="1"/>
  <c r="N18673" i="1"/>
  <c r="N20084" i="1"/>
  <c r="N20085" i="1"/>
  <c r="N20086" i="1"/>
  <c r="N20087" i="1"/>
  <c r="N20088" i="1"/>
  <c r="N20089" i="1"/>
  <c r="N25357" i="1"/>
  <c r="N25466" i="1"/>
  <c r="N23270" i="1"/>
  <c r="N23143" i="1"/>
  <c r="N23271" i="1"/>
  <c r="N23144" i="1"/>
  <c r="N23272" i="1"/>
  <c r="N4946" i="1"/>
  <c r="N4947" i="1"/>
  <c r="N4948" i="1"/>
  <c r="N24633" i="1"/>
  <c r="N18145" i="1"/>
  <c r="N3354" i="1"/>
  <c r="N18146" i="1"/>
  <c r="N6935" i="1"/>
  <c r="N6936" i="1"/>
  <c r="N7666" i="1"/>
  <c r="N12522" i="1"/>
  <c r="N10461" i="1"/>
  <c r="N10462" i="1"/>
  <c r="N12578" i="1"/>
  <c r="N12574" i="1"/>
  <c r="N12579" i="1"/>
  <c r="N12580" i="1"/>
  <c r="N12581" i="1"/>
  <c r="N13846" i="1"/>
  <c r="N23612" i="1"/>
  <c r="N4652" i="1"/>
  <c r="N9340" i="1"/>
  <c r="N4662" i="1"/>
  <c r="N4676" i="1"/>
  <c r="N14374" i="1"/>
  <c r="N14375" i="1"/>
  <c r="N14379" i="1"/>
  <c r="N25467" i="1"/>
  <c r="N25468" i="1"/>
  <c r="N14484" i="1"/>
  <c r="N24683" i="1"/>
  <c r="N1708" i="1"/>
  <c r="N18332" i="1"/>
  <c r="N18333" i="1"/>
  <c r="N3103" i="1"/>
  <c r="N15765" i="1"/>
  <c r="N15766" i="1"/>
  <c r="N15767" i="1"/>
  <c r="N15768" i="1"/>
  <c r="N11788" i="1"/>
  <c r="N11789" i="1"/>
  <c r="N11790" i="1"/>
  <c r="N11791" i="1"/>
  <c r="N11792" i="1"/>
  <c r="N8361" i="1"/>
  <c r="N8362" i="1"/>
  <c r="N8363" i="1"/>
  <c r="N19486" i="1"/>
  <c r="N18718" i="1"/>
  <c r="N5522" i="1"/>
  <c r="N5523" i="1"/>
  <c r="N5524" i="1"/>
  <c r="N5525" i="1"/>
  <c r="N5526" i="1"/>
  <c r="N5527" i="1"/>
  <c r="N5528" i="1"/>
  <c r="N5529" i="1"/>
  <c r="N5530" i="1"/>
  <c r="N5531" i="1"/>
  <c r="N5532" i="1"/>
  <c r="N6680" i="1"/>
  <c r="N6681" i="1"/>
  <c r="N10076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3609" i="1"/>
  <c r="N24063" i="1"/>
  <c r="N24787" i="1"/>
  <c r="N4141" i="1"/>
  <c r="N13632" i="1"/>
  <c r="N13633" i="1"/>
  <c r="N6937" i="1"/>
  <c r="N7667" i="1"/>
  <c r="N19032" i="1"/>
  <c r="N3365" i="1"/>
  <c r="N1833" i="1"/>
  <c r="N10371" i="1"/>
  <c r="N10372" i="1"/>
  <c r="N10373" i="1"/>
  <c r="N23705" i="1"/>
  <c r="N23706" i="1"/>
  <c r="N23695" i="1"/>
  <c r="N10354" i="1"/>
  <c r="N18663" i="1"/>
  <c r="N6938" i="1"/>
  <c r="N6939" i="1"/>
  <c r="N6940" i="1"/>
  <c r="N15027" i="1"/>
  <c r="N15028" i="1"/>
  <c r="N10266" i="1"/>
  <c r="N25469" i="1"/>
  <c r="N16064" i="1"/>
  <c r="N1291" i="1"/>
  <c r="N16248" i="1"/>
  <c r="N14888" i="1"/>
  <c r="N18774" i="1"/>
  <c r="N15396" i="1"/>
  <c r="N15397" i="1"/>
  <c r="N4525" i="1"/>
  <c r="N15680" i="1"/>
  <c r="N3557" i="1"/>
  <c r="N15594" i="1"/>
  <c r="N2803" i="1"/>
  <c r="N11875" i="1"/>
  <c r="N11876" i="1"/>
  <c r="N17868" i="1"/>
  <c r="N8165" i="1"/>
  <c r="N15439" i="1"/>
  <c r="N19563" i="1"/>
  <c r="N4350" i="1"/>
  <c r="N17922" i="1"/>
  <c r="N11949" i="1"/>
  <c r="N11951" i="1"/>
  <c r="N11952" i="1"/>
  <c r="N1753" i="1"/>
  <c r="N1754" i="1"/>
  <c r="N1755" i="1"/>
  <c r="N1757" i="1"/>
  <c r="N1756" i="1"/>
  <c r="N8131" i="1"/>
  <c r="N1592" i="1"/>
  <c r="N18693" i="1"/>
  <c r="N18692" i="1"/>
  <c r="N18689" i="1"/>
  <c r="N18691" i="1"/>
  <c r="N18694" i="1"/>
  <c r="N16394" i="1"/>
  <c r="N4351" i="1"/>
  <c r="N1849" i="1"/>
  <c r="N14658" i="1"/>
  <c r="N6500" i="1"/>
  <c r="N3594" i="1"/>
  <c r="N1343" i="1"/>
  <c r="N19787" i="1"/>
  <c r="N19788" i="1"/>
  <c r="N10237" i="1"/>
  <c r="N13927" i="1"/>
  <c r="N1242" i="1"/>
  <c r="N1237" i="1"/>
  <c r="N22892" i="1"/>
  <c r="N2389" i="1"/>
  <c r="N2397" i="1"/>
  <c r="N15117" i="1"/>
  <c r="N15118" i="1"/>
  <c r="N15119" i="1"/>
  <c r="N6941" i="1"/>
  <c r="N7668" i="1"/>
  <c r="N6942" i="1"/>
  <c r="N7669" i="1"/>
  <c r="N6943" i="1"/>
  <c r="N16603" i="1"/>
  <c r="N25124" i="1"/>
  <c r="N25191" i="1"/>
  <c r="N25192" i="1"/>
  <c r="N25112" i="1"/>
  <c r="N24317" i="1"/>
  <c r="N24830" i="1"/>
  <c r="N1787" i="1"/>
  <c r="N8166" i="1"/>
  <c r="N5308" i="1"/>
  <c r="N5309" i="1"/>
  <c r="N14575" i="1"/>
  <c r="N2574" i="1"/>
  <c r="N25193" i="1"/>
  <c r="N6944" i="1"/>
  <c r="N7670" i="1"/>
  <c r="N6945" i="1"/>
  <c r="N6946" i="1"/>
  <c r="N6947" i="1"/>
  <c r="N6948" i="1"/>
  <c r="N6949" i="1"/>
  <c r="N25113" i="1"/>
  <c r="N24359" i="1"/>
  <c r="N9501" i="1"/>
  <c r="N9517" i="1"/>
  <c r="N9515" i="1"/>
  <c r="N9502" i="1"/>
  <c r="N3650" i="1"/>
  <c r="N9366" i="1"/>
  <c r="N18412" i="1"/>
  <c r="N17903" i="1"/>
  <c r="N19453" i="1"/>
  <c r="N19465" i="1"/>
  <c r="N18413" i="1"/>
  <c r="N3336" i="1"/>
  <c r="N8167" i="1"/>
  <c r="N19454" i="1"/>
  <c r="N19466" i="1"/>
  <c r="N4317" i="1"/>
  <c r="N4314" i="1"/>
  <c r="N4318" i="1"/>
  <c r="N4315" i="1"/>
  <c r="N25300" i="1"/>
  <c r="N25470" i="1"/>
  <c r="N25194" i="1"/>
  <c r="N3449" i="1"/>
  <c r="N2334" i="1"/>
  <c r="N19086" i="1"/>
  <c r="N23679" i="1"/>
  <c r="N23675" i="1"/>
  <c r="N13265" i="1"/>
  <c r="N13266" i="1"/>
  <c r="N10294" i="1"/>
  <c r="N2890" i="1"/>
  <c r="N2902" i="1"/>
  <c r="N2891" i="1"/>
  <c r="N19071" i="1"/>
  <c r="N4474" i="1"/>
  <c r="N16151" i="1"/>
  <c r="N9971" i="1"/>
  <c r="N3526" i="1"/>
  <c r="N16616" i="1"/>
  <c r="N3628" i="1"/>
  <c r="N23544" i="1"/>
  <c r="N12292" i="1"/>
  <c r="N12284" i="1"/>
  <c r="N12285" i="1"/>
  <c r="N25659" i="1"/>
  <c r="N5310" i="1"/>
  <c r="N22993" i="1"/>
  <c r="N22994" i="1"/>
  <c r="N22893" i="1"/>
  <c r="N6486" i="1"/>
  <c r="N1356" i="1"/>
  <c r="N3595" i="1"/>
  <c r="N8368" i="1"/>
  <c r="N25358" i="1"/>
  <c r="N25660" i="1"/>
  <c r="N15964" i="1"/>
  <c r="N24307" i="1"/>
  <c r="N8563" i="1"/>
  <c r="N9454" i="1"/>
  <c r="N2575" i="1"/>
  <c r="N10085" i="1"/>
  <c r="N6950" i="1"/>
  <c r="N7671" i="1"/>
  <c r="N6951" i="1"/>
  <c r="N7672" i="1"/>
  <c r="N6952" i="1"/>
  <c r="N13351" i="1"/>
  <c r="N13352" i="1"/>
  <c r="N13353" i="1"/>
  <c r="N4298" i="1"/>
  <c r="N1562" i="1"/>
  <c r="N9570" i="1"/>
  <c r="N9571" i="1"/>
  <c r="N9572" i="1"/>
  <c r="N11327" i="1"/>
  <c r="N11328" i="1"/>
  <c r="N3985" i="1"/>
  <c r="N2576" i="1"/>
  <c r="N8564" i="1"/>
  <c r="N10206" i="1"/>
  <c r="N11268" i="1"/>
  <c r="N23105" i="1"/>
  <c r="N23106" i="1"/>
  <c r="N4468" i="1"/>
  <c r="N16249" i="1"/>
  <c r="N9218" i="1"/>
  <c r="N17231" i="1"/>
  <c r="N3337" i="1"/>
  <c r="N6953" i="1"/>
  <c r="N6954" i="1"/>
  <c r="N6955" i="1"/>
  <c r="N6956" i="1"/>
  <c r="N6957" i="1"/>
  <c r="N6958" i="1"/>
  <c r="N6959" i="1"/>
  <c r="N7862" i="1"/>
  <c r="N10550" i="1"/>
  <c r="N10463" i="1"/>
  <c r="N10430" i="1"/>
  <c r="N19564" i="1"/>
  <c r="N19565" i="1"/>
  <c r="N11329" i="1"/>
  <c r="N11330" i="1"/>
  <c r="N1709" i="1"/>
  <c r="N10464" i="1"/>
  <c r="N10431" i="1"/>
  <c r="N15034" i="1"/>
  <c r="N10157" i="1"/>
  <c r="N13694" i="1"/>
  <c r="N13695" i="1"/>
  <c r="N13696" i="1"/>
  <c r="N13697" i="1"/>
  <c r="N3971" i="1"/>
  <c r="N3975" i="1"/>
  <c r="N3993" i="1"/>
  <c r="N3994" i="1"/>
  <c r="N10149" i="1"/>
  <c r="N10180" i="1"/>
  <c r="N10122" i="1"/>
  <c r="N23516" i="1"/>
  <c r="N23245" i="1"/>
  <c r="N23273" i="1"/>
  <c r="N23145" i="1"/>
  <c r="N23274" i="1"/>
  <c r="N1710" i="1"/>
  <c r="N11331" i="1"/>
  <c r="N11332" i="1"/>
  <c r="N10495" i="1"/>
  <c r="N8168" i="1"/>
  <c r="N8169" i="1"/>
  <c r="N16213" i="1"/>
  <c r="N1418" i="1"/>
  <c r="N15416" i="1"/>
  <c r="N13149" i="1"/>
  <c r="N3120" i="1"/>
  <c r="N2138" i="1"/>
  <c r="N17232" i="1"/>
  <c r="N18775" i="1"/>
  <c r="N18776" i="1"/>
  <c r="N2139" i="1"/>
  <c r="N22894" i="1"/>
  <c r="N22995" i="1"/>
  <c r="N22895" i="1"/>
  <c r="N2493" i="1"/>
  <c r="N2804" i="1"/>
  <c r="N14329" i="1"/>
  <c r="N10496" i="1"/>
  <c r="N10497" i="1"/>
  <c r="N10465" i="1"/>
  <c r="N10432" i="1"/>
  <c r="N1711" i="1"/>
  <c r="N1712" i="1"/>
  <c r="N19309" i="1"/>
  <c r="N3195" i="1"/>
  <c r="N19613" i="1"/>
  <c r="N19638" i="1"/>
  <c r="N1497" i="1"/>
  <c r="N1506" i="1"/>
  <c r="N8170" i="1"/>
  <c r="N1628" i="1"/>
  <c r="N24279" i="1"/>
  <c r="N25195" i="1"/>
  <c r="N25196" i="1"/>
  <c r="N25197" i="1"/>
  <c r="N25198" i="1"/>
  <c r="N25199" i="1"/>
  <c r="N25200" i="1"/>
  <c r="N25201" i="1"/>
  <c r="N25202" i="1"/>
  <c r="N25203" i="1"/>
  <c r="N25204" i="1"/>
  <c r="N11128" i="1"/>
  <c r="N1928" i="1"/>
  <c r="N1929" i="1"/>
  <c r="N3657" i="1"/>
  <c r="N24027" i="1"/>
  <c r="N4884" i="1"/>
  <c r="N4885" i="1"/>
  <c r="N4910" i="1"/>
  <c r="N12854" i="1"/>
  <c r="N3754" i="1"/>
  <c r="N16397" i="1"/>
  <c r="N8565" i="1"/>
  <c r="N1930" i="1"/>
  <c r="N8566" i="1"/>
  <c r="N19607" i="1"/>
  <c r="N24022" i="1"/>
  <c r="N4507" i="1"/>
  <c r="N24805" i="1"/>
  <c r="N1132" i="1"/>
  <c r="N4922" i="1"/>
  <c r="N4886" i="1"/>
  <c r="N4887" i="1"/>
  <c r="N3633" i="1"/>
  <c r="N3634" i="1"/>
  <c r="N3635" i="1"/>
  <c r="N3636" i="1"/>
  <c r="N12115" i="1"/>
  <c r="N3387" i="1"/>
  <c r="N18147" i="1"/>
  <c r="N25471" i="1"/>
  <c r="N19792" i="1"/>
  <c r="N25472" i="1"/>
  <c r="N16194" i="1"/>
  <c r="N18032" i="1"/>
  <c r="N16065" i="1"/>
  <c r="N15348" i="1"/>
  <c r="N12116" i="1"/>
  <c r="N12117" i="1"/>
  <c r="N16223" i="1"/>
  <c r="N24634" i="1"/>
  <c r="N15769" i="1"/>
  <c r="N3465" i="1"/>
  <c r="N10123" i="1"/>
  <c r="N24277" i="1"/>
  <c r="N14620" i="1"/>
  <c r="N4154" i="1"/>
  <c r="N24028" i="1"/>
  <c r="N16384" i="1"/>
  <c r="N1778" i="1"/>
  <c r="N23079" i="1"/>
  <c r="N8567" i="1"/>
  <c r="N13307" i="1"/>
  <c r="N13333" i="1"/>
  <c r="N13308" i="1"/>
  <c r="N13334" i="1"/>
  <c r="N8568" i="1"/>
  <c r="N12855" i="1"/>
  <c r="N12856" i="1"/>
  <c r="N12857" i="1"/>
  <c r="N12858" i="1"/>
  <c r="N3835" i="1"/>
  <c r="N24236" i="1"/>
  <c r="N24803" i="1"/>
  <c r="N24788" i="1"/>
  <c r="N24789" i="1"/>
  <c r="N15692" i="1"/>
  <c r="N15693" i="1"/>
  <c r="N3463" i="1"/>
  <c r="N17705" i="1"/>
  <c r="N17706" i="1"/>
  <c r="N17707" i="1"/>
  <c r="N17708" i="1"/>
  <c r="N17709" i="1"/>
  <c r="N17710" i="1"/>
  <c r="N6668" i="1"/>
  <c r="N6669" i="1"/>
  <c r="N23770" i="1"/>
  <c r="N12859" i="1"/>
  <c r="N12860" i="1"/>
  <c r="N12861" i="1"/>
  <c r="N8569" i="1"/>
  <c r="N8570" i="1"/>
  <c r="N12862" i="1"/>
  <c r="N8571" i="1"/>
  <c r="N12863" i="1"/>
  <c r="N16374" i="1"/>
  <c r="N15808" i="1"/>
  <c r="N16033" i="1"/>
  <c r="N23014" i="1"/>
  <c r="N9534" i="1"/>
  <c r="N24739" i="1"/>
  <c r="N24740" i="1"/>
  <c r="N23015" i="1"/>
  <c r="N12864" i="1"/>
  <c r="N12865" i="1"/>
  <c r="N12866" i="1"/>
  <c r="N12867" i="1"/>
  <c r="N12868" i="1"/>
  <c r="N12869" i="1"/>
  <c r="N12870" i="1"/>
  <c r="N6485" i="1"/>
  <c r="N2110" i="1"/>
  <c r="N8572" i="1"/>
  <c r="N8573" i="1"/>
  <c r="N8574" i="1"/>
  <c r="N8575" i="1"/>
  <c r="N8395" i="1"/>
  <c r="N6710" i="1"/>
  <c r="N8576" i="1"/>
  <c r="N8396" i="1"/>
  <c r="N6255" i="1"/>
  <c r="N6256" i="1"/>
  <c r="N8577" i="1"/>
  <c r="N8578" i="1"/>
  <c r="N19182" i="1"/>
  <c r="N19183" i="1"/>
  <c r="N19184" i="1"/>
  <c r="N19185" i="1"/>
  <c r="N19186" i="1"/>
  <c r="N8579" i="1"/>
  <c r="N1713" i="1"/>
  <c r="N1714" i="1"/>
  <c r="N8580" i="1"/>
  <c r="N6802" i="1"/>
  <c r="N15471" i="1"/>
  <c r="N8581" i="1"/>
  <c r="N12494" i="1"/>
  <c r="N12509" i="1"/>
  <c r="N13766" i="1"/>
  <c r="N13787" i="1"/>
  <c r="N13698" i="1"/>
  <c r="N13673" i="1"/>
  <c r="N13767" i="1"/>
  <c r="N13699" i="1"/>
  <c r="N12711" i="1"/>
  <c r="N23555" i="1"/>
  <c r="N8582" i="1"/>
  <c r="N16315" i="1"/>
  <c r="N8583" i="1"/>
  <c r="N8584" i="1"/>
  <c r="N8585" i="1"/>
  <c r="N23146" i="1"/>
  <c r="N23466" i="1"/>
  <c r="N23275" i="1"/>
  <c r="N23467" i="1"/>
  <c r="N23276" i="1"/>
  <c r="N23504" i="1"/>
  <c r="N23517" i="1"/>
  <c r="N23277" i="1"/>
  <c r="N23147" i="1"/>
  <c r="N23278" i="1"/>
  <c r="N8586" i="1"/>
  <c r="N8587" i="1"/>
  <c r="N8588" i="1"/>
  <c r="N16233" i="1"/>
  <c r="N11333" i="1"/>
  <c r="N11334" i="1"/>
  <c r="N11335" i="1"/>
  <c r="N11336" i="1"/>
  <c r="N23022" i="1"/>
  <c r="N11337" i="1"/>
  <c r="N11338" i="1"/>
  <c r="N11269" i="1"/>
  <c r="N23846" i="1"/>
  <c r="N11339" i="1"/>
  <c r="N11340" i="1"/>
  <c r="N11997" i="1"/>
  <c r="N25473" i="1"/>
  <c r="N10326" i="1"/>
  <c r="N25661" i="1"/>
  <c r="N10551" i="1"/>
  <c r="N25474" i="1"/>
  <c r="N7884" i="1"/>
  <c r="N13413" i="1"/>
  <c r="N13414" i="1"/>
  <c r="N4937" i="1"/>
  <c r="N18148" i="1"/>
  <c r="N3091" i="1"/>
  <c r="N3670" i="1"/>
  <c r="N3671" i="1"/>
  <c r="N3672" i="1"/>
  <c r="N3673" i="1"/>
  <c r="N3674" i="1"/>
  <c r="N3675" i="1"/>
  <c r="N9494" i="1"/>
  <c r="N23822" i="1"/>
  <c r="N3355" i="1"/>
  <c r="N23778" i="1"/>
  <c r="N23777" i="1"/>
  <c r="N11341" i="1"/>
  <c r="N18431" i="1"/>
  <c r="N18432" i="1"/>
  <c r="N18586" i="1"/>
  <c r="N18587" i="1"/>
  <c r="N18588" i="1"/>
  <c r="N18589" i="1"/>
  <c r="N18590" i="1"/>
  <c r="N18591" i="1"/>
  <c r="N18592" i="1"/>
  <c r="N18593" i="1"/>
  <c r="N18585" i="1"/>
  <c r="N18594" i="1"/>
  <c r="N18595" i="1"/>
  <c r="N18149" i="1"/>
  <c r="N18150" i="1"/>
  <c r="N4938" i="1"/>
  <c r="N25205" i="1"/>
  <c r="N25206" i="1"/>
  <c r="N25207" i="1"/>
  <c r="N1542" i="1"/>
  <c r="N18481" i="1"/>
  <c r="N25359" i="1"/>
  <c r="N25475" i="1"/>
  <c r="N12386" i="1"/>
  <c r="N4165" i="1"/>
  <c r="N19042" i="1"/>
  <c r="N6331" i="1"/>
  <c r="N6332" i="1"/>
  <c r="N6214" i="1"/>
  <c r="N24486" i="1"/>
  <c r="N24487" i="1"/>
  <c r="N24488" i="1"/>
  <c r="N24489" i="1"/>
  <c r="N24490" i="1"/>
  <c r="N24491" i="1"/>
  <c r="N24492" i="1"/>
  <c r="N24493" i="1"/>
  <c r="N24494" i="1"/>
  <c r="N24495" i="1"/>
  <c r="N12712" i="1"/>
  <c r="N12713" i="1"/>
  <c r="N19240" i="1"/>
  <c r="N4619" i="1"/>
  <c r="N15588" i="1"/>
  <c r="N25360" i="1"/>
  <c r="N25945" i="1"/>
  <c r="N20090" i="1"/>
  <c r="N10819" i="1"/>
  <c r="N6096" i="1"/>
  <c r="N19134" i="1"/>
  <c r="N1480" i="1"/>
  <c r="N6242" i="1"/>
  <c r="N19135" i="1"/>
  <c r="N19136" i="1"/>
  <c r="N5000" i="1"/>
  <c r="N5002" i="1"/>
  <c r="N5003" i="1"/>
  <c r="N19137" i="1"/>
  <c r="N19138" i="1"/>
  <c r="N17711" i="1"/>
  <c r="N17712" i="1"/>
  <c r="N17713" i="1"/>
  <c r="N17714" i="1"/>
  <c r="N17715" i="1"/>
  <c r="N19187" i="1"/>
  <c r="N1619" i="1"/>
  <c r="N1620" i="1"/>
  <c r="N1623" i="1"/>
  <c r="N11342" i="1"/>
  <c r="N8060" i="1"/>
  <c r="N8052" i="1"/>
  <c r="N8061" i="1"/>
  <c r="N8062" i="1"/>
  <c r="N11343" i="1"/>
  <c r="N13831" i="1"/>
  <c r="N17716" i="1"/>
  <c r="N3247" i="1"/>
  <c r="N24360" i="1"/>
  <c r="N24361" i="1"/>
  <c r="N24362" i="1"/>
  <c r="N3248" i="1"/>
  <c r="N3196" i="1"/>
  <c r="N3197" i="1"/>
  <c r="N24363" i="1"/>
  <c r="N10739" i="1"/>
  <c r="N10740" i="1"/>
  <c r="N12009" i="1"/>
  <c r="N14473" i="1"/>
  <c r="N18151" i="1"/>
  <c r="N24790" i="1"/>
  <c r="N18152" i="1"/>
  <c r="N16066" i="1"/>
  <c r="N13415" i="1"/>
  <c r="N13416" i="1"/>
  <c r="N13417" i="1"/>
  <c r="N7885" i="1"/>
  <c r="N10569" i="1"/>
  <c r="N3203" i="1"/>
  <c r="N14425" i="1"/>
  <c r="N18482" i="1"/>
  <c r="N18483" i="1"/>
  <c r="N18484" i="1"/>
  <c r="N18485" i="1"/>
  <c r="N18486" i="1"/>
  <c r="N23080" i="1"/>
  <c r="N10820" i="1"/>
  <c r="N17833" i="1"/>
  <c r="N24629" i="1"/>
  <c r="N19369" i="1"/>
  <c r="N18002" i="1"/>
  <c r="N18003" i="1"/>
  <c r="N17965" i="1"/>
  <c r="N25433" i="1"/>
  <c r="N25301" i="1"/>
  <c r="N9473" i="1"/>
  <c r="N2892" i="1"/>
  <c r="N19801" i="1"/>
  <c r="N19802" i="1"/>
  <c r="N24364" i="1"/>
  <c r="N15472" i="1"/>
  <c r="N15498" i="1"/>
  <c r="N23468" i="1"/>
  <c r="N23279" i="1"/>
  <c r="N23280" i="1"/>
  <c r="N23281" i="1"/>
  <c r="N23148" i="1"/>
  <c r="N23282" i="1"/>
  <c r="N1834" i="1"/>
  <c r="N24451" i="1"/>
  <c r="N24452" i="1"/>
  <c r="N24365" i="1"/>
  <c r="N24336" i="1"/>
  <c r="N24453" i="1"/>
  <c r="N24454" i="1"/>
  <c r="N4526" i="1"/>
  <c r="N19370" i="1"/>
  <c r="N19371" i="1"/>
  <c r="N10821" i="1"/>
  <c r="N10822" i="1"/>
  <c r="N12190" i="1"/>
  <c r="N17831" i="1"/>
  <c r="N14021" i="1"/>
  <c r="N25302" i="1"/>
  <c r="N11898" i="1"/>
  <c r="N11899" i="1"/>
  <c r="N6624" i="1"/>
  <c r="N19372" i="1"/>
  <c r="N6548" i="1"/>
  <c r="N20091" i="1"/>
  <c r="N20092" i="1"/>
  <c r="N20093" i="1"/>
  <c r="N20094" i="1"/>
  <c r="N20095" i="1"/>
  <c r="N20096" i="1"/>
  <c r="N20097" i="1"/>
  <c r="N20098" i="1"/>
  <c r="N20099" i="1"/>
  <c r="N20100" i="1"/>
  <c r="N20101" i="1"/>
  <c r="N2937" i="1"/>
  <c r="N2938" i="1"/>
  <c r="N2939" i="1"/>
  <c r="N20102" i="1"/>
  <c r="N20103" i="1"/>
  <c r="N20104" i="1"/>
  <c r="N20105" i="1"/>
  <c r="N20106" i="1"/>
  <c r="N20107" i="1"/>
  <c r="N20108" i="1"/>
  <c r="N20109" i="1"/>
  <c r="N20110" i="1"/>
  <c r="N20111" i="1"/>
  <c r="N4527" i="1"/>
  <c r="N4528" i="1"/>
  <c r="N20112" i="1"/>
  <c r="N20113" i="1"/>
  <c r="N20114" i="1"/>
  <c r="N20115" i="1"/>
  <c r="N8105" i="1"/>
  <c r="N6549" i="1"/>
  <c r="N17837" i="1"/>
  <c r="N8106" i="1"/>
  <c r="N20116" i="1"/>
  <c r="N20117" i="1"/>
  <c r="N6550" i="1"/>
  <c r="N24282" i="1"/>
  <c r="N20118" i="1"/>
  <c r="N20119" i="1"/>
  <c r="N20120" i="1"/>
  <c r="N20121" i="1"/>
  <c r="N20122" i="1"/>
  <c r="N20123" i="1"/>
  <c r="N20124" i="1"/>
  <c r="N20125" i="1"/>
  <c r="N20126" i="1"/>
  <c r="N20127" i="1"/>
  <c r="N6551" i="1"/>
  <c r="N11155" i="1"/>
  <c r="N20128" i="1"/>
  <c r="N20129" i="1"/>
  <c r="N20130" i="1"/>
  <c r="N20131" i="1"/>
  <c r="N20132" i="1"/>
  <c r="N20133" i="1"/>
  <c r="N6526" i="1"/>
  <c r="N6552" i="1"/>
  <c r="N6553" i="1"/>
  <c r="N18777" i="1"/>
  <c r="N20134" i="1"/>
  <c r="N20135" i="1"/>
  <c r="N20136" i="1"/>
  <c r="N20137" i="1"/>
  <c r="N20138" i="1"/>
  <c r="N20139" i="1"/>
  <c r="N20140" i="1"/>
  <c r="N20141" i="1"/>
  <c r="N20142" i="1"/>
  <c r="N20143" i="1"/>
  <c r="N20144" i="1"/>
  <c r="N20145" i="1"/>
  <c r="N8171" i="1"/>
  <c r="N8172" i="1"/>
  <c r="N5215" i="1"/>
  <c r="N2258" i="1"/>
  <c r="N6960" i="1"/>
  <c r="N6961" i="1"/>
  <c r="N6962" i="1"/>
  <c r="N6963" i="1"/>
  <c r="N6964" i="1"/>
  <c r="N6965" i="1"/>
  <c r="N6966" i="1"/>
  <c r="N24040" i="1"/>
  <c r="N24041" i="1"/>
  <c r="N24042" i="1"/>
  <c r="N19340" i="1"/>
  <c r="N15309" i="1"/>
  <c r="N14349" i="1"/>
  <c r="N11344" i="1"/>
  <c r="N11716" i="1"/>
  <c r="N11347" i="1"/>
  <c r="N11348" i="1"/>
  <c r="N9124" i="1"/>
  <c r="N9125" i="1"/>
  <c r="N9126" i="1"/>
  <c r="N9127" i="1"/>
  <c r="N9128" i="1"/>
  <c r="N9129" i="1"/>
  <c r="N10086" i="1"/>
  <c r="N9130" i="1"/>
  <c r="N9131" i="1"/>
  <c r="N10823" i="1"/>
  <c r="N1166" i="1"/>
  <c r="N1167" i="1"/>
  <c r="N25662" i="1"/>
  <c r="N10824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25361" i="1"/>
  <c r="N6967" i="1"/>
  <c r="N7673" i="1"/>
  <c r="N6968" i="1"/>
  <c r="N10825" i="1"/>
  <c r="N6969" i="1"/>
  <c r="N7863" i="1"/>
  <c r="N7674" i="1"/>
  <c r="N6970" i="1"/>
  <c r="N10826" i="1"/>
  <c r="N14715" i="1"/>
  <c r="N6971" i="1"/>
  <c r="N6972" i="1"/>
  <c r="N6973" i="1"/>
  <c r="N6974" i="1"/>
  <c r="N6975" i="1"/>
  <c r="N7675" i="1"/>
  <c r="N1964" i="1"/>
  <c r="N1965" i="1"/>
  <c r="N6976" i="1"/>
  <c r="N7676" i="1"/>
  <c r="N11143" i="1"/>
  <c r="N10827" i="1"/>
  <c r="N10828" i="1"/>
  <c r="N6977" i="1"/>
  <c r="N7677" i="1"/>
  <c r="N11129" i="1"/>
  <c r="N9219" i="1"/>
  <c r="N13150" i="1"/>
  <c r="N18778" i="1"/>
  <c r="N18779" i="1"/>
  <c r="N2940" i="1"/>
  <c r="N2941" i="1"/>
  <c r="N19072" i="1"/>
  <c r="N9220" i="1"/>
  <c r="N9221" i="1"/>
  <c r="N9222" i="1"/>
  <c r="N1574" i="1"/>
  <c r="N3204" i="1"/>
  <c r="N3420" i="1"/>
  <c r="N10087" i="1"/>
  <c r="N2942" i="1"/>
  <c r="N2943" i="1"/>
  <c r="N2944" i="1"/>
  <c r="N11065" i="1"/>
  <c r="N4166" i="1"/>
  <c r="N17875" i="1"/>
  <c r="N17883" i="1"/>
  <c r="N19139" i="1"/>
  <c r="N19140" i="1"/>
  <c r="N19141" i="1"/>
  <c r="N19142" i="1"/>
  <c r="N18153" i="1"/>
  <c r="N25740" i="1"/>
  <c r="N14716" i="1"/>
  <c r="N6978" i="1"/>
  <c r="N7678" i="1"/>
  <c r="N6979" i="1"/>
  <c r="N7679" i="1"/>
  <c r="N6980" i="1"/>
  <c r="N24125" i="1"/>
  <c r="N24126" i="1"/>
  <c r="N14429" i="1"/>
  <c r="N13957" i="1"/>
  <c r="N8173" i="1"/>
  <c r="N1214" i="1"/>
  <c r="N11349" i="1"/>
  <c r="N11201" i="1"/>
  <c r="N11202" i="1"/>
  <c r="N11350" i="1"/>
  <c r="N11351" i="1"/>
  <c r="N11352" i="1"/>
  <c r="N11353" i="1"/>
  <c r="N11354" i="1"/>
  <c r="N11355" i="1"/>
  <c r="N11356" i="1"/>
  <c r="N11203" i="1"/>
  <c r="N11357" i="1"/>
  <c r="N11358" i="1"/>
  <c r="N9405" i="1"/>
  <c r="N12163" i="1"/>
  <c r="N18638" i="1"/>
  <c r="N18639" i="1"/>
  <c r="N6489" i="1"/>
  <c r="N15181" i="1"/>
  <c r="N25476" i="1"/>
  <c r="N25477" i="1"/>
  <c r="N23505" i="1"/>
  <c r="N2335" i="1"/>
  <c r="N2371" i="1"/>
  <c r="N15084" i="1"/>
  <c r="N3895" i="1"/>
  <c r="N3896" i="1"/>
  <c r="N3897" i="1"/>
  <c r="N12419" i="1"/>
  <c r="N12420" i="1"/>
  <c r="N18640" i="1"/>
  <c r="N6125" i="1"/>
  <c r="N12049" i="1"/>
  <c r="N12050" i="1"/>
  <c r="N3183" i="1"/>
  <c r="N3184" i="1"/>
  <c r="N3185" i="1"/>
  <c r="N15909" i="1"/>
  <c r="N6301" i="1"/>
  <c r="N6215" i="1"/>
  <c r="N6216" i="1"/>
  <c r="N18154" i="1"/>
  <c r="N2744" i="1"/>
  <c r="N3360" i="1"/>
  <c r="N3361" i="1"/>
  <c r="N3359" i="1"/>
  <c r="N6384" i="1"/>
  <c r="N6385" i="1"/>
  <c r="N6386" i="1"/>
  <c r="N6387" i="1"/>
  <c r="N6388" i="1"/>
  <c r="N6389" i="1"/>
  <c r="N6390" i="1"/>
  <c r="N10124" i="1"/>
  <c r="N10158" i="1"/>
  <c r="N25303" i="1"/>
  <c r="N10741" i="1"/>
  <c r="N10742" i="1"/>
  <c r="N9523" i="1"/>
  <c r="N12532" i="1"/>
  <c r="N23775" i="1"/>
  <c r="N23773" i="1"/>
  <c r="N24247" i="1"/>
  <c r="N11717" i="1"/>
  <c r="N9455" i="1"/>
  <c r="N16583" i="1"/>
  <c r="N11924" i="1"/>
  <c r="N20146" i="1"/>
  <c r="N22896" i="1"/>
  <c r="N22897" i="1"/>
  <c r="N22898" i="1"/>
  <c r="N6554" i="1"/>
  <c r="N20147" i="1"/>
  <c r="N20148" i="1"/>
  <c r="N20149" i="1"/>
  <c r="N20150" i="1"/>
  <c r="N20151" i="1"/>
  <c r="N20152" i="1"/>
  <c r="N20153" i="1"/>
  <c r="N20154" i="1"/>
  <c r="N20155" i="1"/>
  <c r="N20156" i="1"/>
  <c r="N20157" i="1"/>
  <c r="N20158" i="1"/>
  <c r="N20159" i="1"/>
  <c r="N20160" i="1"/>
  <c r="N20161" i="1"/>
  <c r="N20162" i="1"/>
  <c r="N20163" i="1"/>
  <c r="N20164" i="1"/>
  <c r="N20165" i="1"/>
  <c r="N20166" i="1"/>
  <c r="N20167" i="1"/>
  <c r="N20168" i="1"/>
  <c r="N20169" i="1"/>
  <c r="N20170" i="1"/>
  <c r="N20171" i="1"/>
  <c r="N20172" i="1"/>
  <c r="N20173" i="1"/>
  <c r="N6527" i="1"/>
  <c r="N6555" i="1"/>
  <c r="N22985" i="1"/>
  <c r="N18652" i="1"/>
  <c r="N10393" i="1"/>
  <c r="N2577" i="1"/>
  <c r="N2747" i="1"/>
  <c r="N17242" i="1"/>
  <c r="N17243" i="1"/>
  <c r="N11718" i="1"/>
  <c r="N4911" i="1"/>
  <c r="N23920" i="1"/>
  <c r="N23023" i="1"/>
  <c r="N23921" i="1"/>
  <c r="N23922" i="1"/>
  <c r="N23923" i="1"/>
  <c r="N23924" i="1"/>
  <c r="N1966" i="1"/>
  <c r="N1967" i="1"/>
  <c r="N1968" i="1"/>
  <c r="N1969" i="1"/>
  <c r="N1970" i="1"/>
  <c r="N16410" i="1"/>
  <c r="N16411" i="1"/>
  <c r="N16412" i="1"/>
  <c r="N16413" i="1"/>
  <c r="N16414" i="1"/>
  <c r="N16415" i="1"/>
  <c r="N4470" i="1"/>
  <c r="N16416" i="1"/>
  <c r="N16417" i="1"/>
  <c r="N16418" i="1"/>
  <c r="N18780" i="1"/>
  <c r="N18781" i="1"/>
  <c r="N11359" i="1"/>
  <c r="N19073" i="1"/>
  <c r="N19074" i="1"/>
  <c r="N18044" i="1"/>
  <c r="N18061" i="1"/>
  <c r="N18062" i="1"/>
  <c r="N24185" i="1"/>
  <c r="N24158" i="1"/>
  <c r="N24186" i="1"/>
  <c r="N24187" i="1"/>
  <c r="N24159" i="1"/>
  <c r="N3484" i="1"/>
  <c r="N16589" i="1"/>
  <c r="N16604" i="1"/>
  <c r="N16590" i="1"/>
  <c r="N20174" i="1"/>
  <c r="N20175" i="1"/>
  <c r="N20176" i="1"/>
  <c r="N20177" i="1"/>
  <c r="N20178" i="1"/>
  <c r="N20179" i="1"/>
  <c r="N20180" i="1"/>
  <c r="N20181" i="1"/>
  <c r="N20182" i="1"/>
  <c r="N20183" i="1"/>
  <c r="N20184" i="1"/>
  <c r="N20185" i="1"/>
  <c r="N20186" i="1"/>
  <c r="N20187" i="1"/>
  <c r="N20188" i="1"/>
  <c r="N20189" i="1"/>
  <c r="N20190" i="1"/>
  <c r="N16617" i="1"/>
  <c r="N5311" i="1"/>
  <c r="N23703" i="1"/>
  <c r="N20191" i="1"/>
  <c r="N20192" i="1"/>
  <c r="N20193" i="1"/>
  <c r="N20194" i="1"/>
  <c r="N20195" i="1"/>
  <c r="N20196" i="1"/>
  <c r="N20197" i="1"/>
  <c r="N20198" i="1"/>
  <c r="N20199" i="1"/>
  <c r="N20200" i="1"/>
  <c r="N20201" i="1"/>
  <c r="N20202" i="1"/>
  <c r="N20203" i="1"/>
  <c r="N20204" i="1"/>
  <c r="N13561" i="1"/>
  <c r="N13562" i="1"/>
  <c r="N13563" i="1"/>
  <c r="N13564" i="1"/>
  <c r="N13565" i="1"/>
  <c r="N13616" i="1"/>
  <c r="N13566" i="1"/>
  <c r="N13567" i="1"/>
  <c r="N18093" i="1"/>
  <c r="N15363" i="1"/>
  <c r="N18959" i="1"/>
  <c r="N15364" i="1"/>
  <c r="N20205" i="1"/>
  <c r="N20206" i="1"/>
  <c r="N20207" i="1"/>
  <c r="N20208" i="1"/>
  <c r="N20209" i="1"/>
  <c r="N20210" i="1"/>
  <c r="N20211" i="1"/>
  <c r="N20212" i="1"/>
  <c r="N20213" i="1"/>
  <c r="N20214" i="1"/>
  <c r="N20215" i="1"/>
  <c r="N20216" i="1"/>
  <c r="N20217" i="1"/>
  <c r="N20218" i="1"/>
  <c r="N20219" i="1"/>
  <c r="N20220" i="1"/>
  <c r="N20221" i="1"/>
  <c r="N20222" i="1"/>
  <c r="N20223" i="1"/>
  <c r="N20224" i="1"/>
  <c r="N20225" i="1"/>
  <c r="N20226" i="1"/>
  <c r="N20227" i="1"/>
  <c r="N20228" i="1"/>
  <c r="N20229" i="1"/>
  <c r="N20230" i="1"/>
  <c r="N20231" i="1"/>
  <c r="N20232" i="1"/>
  <c r="N20233" i="1"/>
  <c r="N20234" i="1"/>
  <c r="N20235" i="1"/>
  <c r="N20236" i="1"/>
  <c r="N20237" i="1"/>
  <c r="N20238" i="1"/>
  <c r="N20239" i="1"/>
  <c r="N20240" i="1"/>
  <c r="N23925" i="1"/>
  <c r="N23926" i="1"/>
  <c r="N23927" i="1"/>
  <c r="N23928" i="1"/>
  <c r="N8358" i="1"/>
  <c r="N8174" i="1"/>
  <c r="N5533" i="1"/>
  <c r="N20241" i="1"/>
  <c r="N5534" i="1"/>
  <c r="N5535" i="1"/>
  <c r="N5536" i="1"/>
  <c r="N5537" i="1"/>
  <c r="N5538" i="1"/>
  <c r="N5539" i="1"/>
  <c r="N25478" i="1"/>
  <c r="N25479" i="1"/>
  <c r="N5540" i="1"/>
  <c r="N5541" i="1"/>
  <c r="N4677" i="1"/>
  <c r="N2432" i="1"/>
  <c r="N23929" i="1"/>
  <c r="N16618" i="1"/>
  <c r="N6692" i="1"/>
  <c r="N6685" i="1"/>
  <c r="N10652" i="1"/>
  <c r="N10653" i="1"/>
  <c r="N13847" i="1"/>
  <c r="N13848" i="1"/>
  <c r="N13849" i="1"/>
  <c r="N16516" i="1"/>
  <c r="N14016" i="1"/>
  <c r="N5542" i="1"/>
  <c r="N5543" i="1"/>
  <c r="N5544" i="1"/>
  <c r="N11957" i="1"/>
  <c r="N11958" i="1"/>
  <c r="N11959" i="1"/>
  <c r="N11960" i="1"/>
  <c r="N11961" i="1"/>
  <c r="N11962" i="1"/>
  <c r="N11963" i="1"/>
  <c r="N11964" i="1"/>
  <c r="N5312" i="1"/>
  <c r="N13267" i="1"/>
  <c r="N8014" i="1"/>
  <c r="N14436" i="1"/>
  <c r="N14437" i="1"/>
  <c r="N14438" i="1"/>
  <c r="N14439" i="1"/>
  <c r="N11031" i="1"/>
  <c r="N11032" i="1"/>
  <c r="N11033" i="1"/>
  <c r="N11034" i="1"/>
  <c r="N11035" i="1"/>
  <c r="N11036" i="1"/>
  <c r="N10829" i="1"/>
  <c r="N11258" i="1"/>
  <c r="N20242" i="1"/>
  <c r="N20243" i="1"/>
  <c r="N20244" i="1"/>
  <c r="N20245" i="1"/>
  <c r="N20246" i="1"/>
  <c r="N20247" i="1"/>
  <c r="N20248" i="1"/>
  <c r="N20249" i="1"/>
  <c r="N20250" i="1"/>
  <c r="N20251" i="1"/>
  <c r="N20252" i="1"/>
  <c r="N20253" i="1"/>
  <c r="N20254" i="1"/>
  <c r="N20255" i="1"/>
  <c r="N20256" i="1"/>
  <c r="N20257" i="1"/>
  <c r="N20258" i="1"/>
  <c r="N20259" i="1"/>
  <c r="N20260" i="1"/>
  <c r="N20261" i="1"/>
  <c r="N20262" i="1"/>
  <c r="N20263" i="1"/>
  <c r="N20264" i="1"/>
  <c r="N5545" i="1"/>
  <c r="N4352" i="1"/>
  <c r="N5546" i="1"/>
  <c r="N5547" i="1"/>
  <c r="N4653" i="1"/>
  <c r="N4678" i="1"/>
  <c r="N23051" i="1"/>
  <c r="N25208" i="1"/>
  <c r="N25105" i="1"/>
  <c r="N15666" i="1"/>
  <c r="N18155" i="1"/>
  <c r="N20265" i="1"/>
  <c r="N20266" i="1"/>
  <c r="N20267" i="1"/>
  <c r="N20268" i="1"/>
  <c r="N20269" i="1"/>
  <c r="N20270" i="1"/>
  <c r="N5548" i="1"/>
  <c r="N5549" i="1"/>
  <c r="N5550" i="1"/>
  <c r="N19272" i="1"/>
  <c r="N25741" i="1"/>
  <c r="N13634" i="1"/>
  <c r="N13635" i="1"/>
  <c r="N16039" i="1"/>
  <c r="N23930" i="1"/>
  <c r="N23931" i="1"/>
  <c r="N1971" i="1"/>
  <c r="N1972" i="1"/>
  <c r="N13636" i="1"/>
  <c r="N13637" i="1"/>
  <c r="N9406" i="1"/>
  <c r="N5551" i="1"/>
  <c r="N5552" i="1"/>
  <c r="N5553" i="1"/>
  <c r="N5554" i="1"/>
  <c r="N5555" i="1"/>
  <c r="N5556" i="1"/>
  <c r="N5557" i="1"/>
  <c r="N5558" i="1"/>
  <c r="N1973" i="1"/>
  <c r="N1974" i="1"/>
  <c r="N1975" i="1"/>
  <c r="N1976" i="1"/>
  <c r="N1977" i="1"/>
  <c r="N1978" i="1"/>
  <c r="N24093" i="1"/>
  <c r="N22899" i="1"/>
  <c r="N24237" i="1"/>
  <c r="N18782" i="1"/>
  <c r="N18783" i="1"/>
  <c r="N18784" i="1"/>
  <c r="N18785" i="1"/>
  <c r="N18740" i="1"/>
  <c r="N18786" i="1"/>
  <c r="N18787" i="1"/>
  <c r="N19188" i="1"/>
  <c r="N19189" i="1"/>
  <c r="N6308" i="1"/>
  <c r="N11360" i="1"/>
  <c r="N11361" i="1"/>
  <c r="N11362" i="1"/>
  <c r="N3490" i="1"/>
  <c r="N3504" i="1"/>
  <c r="N5009" i="1"/>
  <c r="N3544" i="1"/>
  <c r="N7937" i="1"/>
  <c r="N12118" i="1"/>
  <c r="N12119" i="1"/>
  <c r="N2409" i="1"/>
  <c r="N18487" i="1"/>
  <c r="N10327" i="1"/>
  <c r="N20271" i="1"/>
  <c r="N20272" i="1"/>
  <c r="N20273" i="1"/>
  <c r="N20274" i="1"/>
  <c r="N20275" i="1"/>
  <c r="N20276" i="1"/>
  <c r="N20277" i="1"/>
  <c r="N20278" i="1"/>
  <c r="N20279" i="1"/>
  <c r="N20280" i="1"/>
  <c r="N20281" i="1"/>
  <c r="N20282" i="1"/>
  <c r="N5559" i="1"/>
  <c r="N5560" i="1"/>
  <c r="N11363" i="1"/>
  <c r="N11066" i="1"/>
  <c r="N11067" i="1"/>
  <c r="N11068" i="1"/>
  <c r="N11364" i="1"/>
  <c r="N11204" i="1"/>
  <c r="N11365" i="1"/>
  <c r="N11205" i="1"/>
  <c r="N11366" i="1"/>
  <c r="N11206" i="1"/>
  <c r="N11367" i="1"/>
  <c r="N11207" i="1"/>
  <c r="N5313" i="1"/>
  <c r="N15915" i="1"/>
  <c r="N13958" i="1"/>
  <c r="N11919" i="1"/>
  <c r="N11921" i="1"/>
  <c r="N6118" i="1"/>
  <c r="N12461" i="1"/>
  <c r="N20283" i="1"/>
  <c r="N20284" i="1"/>
  <c r="N20285" i="1"/>
  <c r="N20286" i="1"/>
  <c r="N20287" i="1"/>
  <c r="N20288" i="1"/>
  <c r="N20289" i="1"/>
  <c r="N20290" i="1"/>
  <c r="N20291" i="1"/>
  <c r="N20292" i="1"/>
  <c r="N23081" i="1"/>
  <c r="N23082" i="1"/>
  <c r="N5561" i="1"/>
  <c r="N5562" i="1"/>
  <c r="N2494" i="1"/>
  <c r="N1224" i="1"/>
  <c r="N12164" i="1"/>
  <c r="N12165" i="1"/>
  <c r="N6169" i="1"/>
  <c r="N6170" i="1"/>
  <c r="N2424" i="1"/>
  <c r="N24607" i="1"/>
  <c r="N15120" i="1"/>
  <c r="N15121" i="1"/>
  <c r="N15122" i="1"/>
  <c r="N25362" i="1"/>
  <c r="N25480" i="1"/>
  <c r="N25481" i="1"/>
  <c r="N2578" i="1"/>
  <c r="N4069" i="1"/>
  <c r="N12780" i="1"/>
  <c r="N15398" i="1"/>
  <c r="N12781" i="1"/>
  <c r="N24106" i="1"/>
  <c r="N12871" i="1"/>
  <c r="N12872" i="1"/>
  <c r="N12873" i="1"/>
  <c r="N18360" i="1"/>
  <c r="N18334" i="1"/>
  <c r="N18335" i="1"/>
  <c r="N17233" i="1"/>
  <c r="N6322" i="1"/>
  <c r="N13850" i="1"/>
  <c r="N5563" i="1"/>
  <c r="N4221" i="1"/>
  <c r="N4228" i="1"/>
  <c r="N4218" i="1"/>
  <c r="N5564" i="1"/>
  <c r="N5565" i="1"/>
  <c r="N14989" i="1"/>
  <c r="N14995" i="1"/>
  <c r="N19467" i="1"/>
  <c r="N5216" i="1"/>
  <c r="N5217" i="1"/>
  <c r="N2579" i="1"/>
  <c r="N15330" i="1"/>
  <c r="N15316" i="1"/>
  <c r="N16591" i="1"/>
  <c r="N15770" i="1"/>
  <c r="N23733" i="1"/>
  <c r="N23734" i="1"/>
  <c r="N23735" i="1"/>
  <c r="N13959" i="1"/>
  <c r="N23851" i="1"/>
  <c r="N23852" i="1"/>
  <c r="N12874" i="1"/>
  <c r="N12875" i="1"/>
  <c r="N12876" i="1"/>
  <c r="N12877" i="1"/>
  <c r="N25742" i="1"/>
  <c r="N12878" i="1"/>
  <c r="N2742" i="1"/>
  <c r="N1543" i="1"/>
  <c r="N3850" i="1"/>
  <c r="N3851" i="1"/>
  <c r="N3852" i="1"/>
  <c r="N3853" i="1"/>
  <c r="N3854" i="1"/>
  <c r="N6981" i="1"/>
  <c r="N7680" i="1"/>
  <c r="N6982" i="1"/>
  <c r="N6983" i="1"/>
  <c r="N23895" i="1"/>
  <c r="N5057" i="1"/>
  <c r="N5058" i="1"/>
  <c r="N5059" i="1"/>
  <c r="N5060" i="1"/>
  <c r="N5061" i="1"/>
  <c r="N5062" i="1"/>
  <c r="N5063" i="1"/>
  <c r="N5064" i="1"/>
  <c r="N5065" i="1"/>
  <c r="N5066" i="1"/>
  <c r="N15352" i="1"/>
  <c r="N17904" i="1"/>
  <c r="N3616" i="1"/>
  <c r="N14017" i="1"/>
  <c r="N8040" i="1"/>
  <c r="N25304" i="1"/>
  <c r="N15599" i="1"/>
  <c r="N4110" i="1"/>
  <c r="N4111" i="1"/>
  <c r="N4112" i="1"/>
  <c r="N13797" i="1"/>
  <c r="N23109" i="1"/>
  <c r="N8589" i="1"/>
  <c r="N8590" i="1"/>
  <c r="N1912" i="1"/>
  <c r="N15360" i="1"/>
  <c r="N1913" i="1"/>
  <c r="N20293" i="1"/>
  <c r="N20294" i="1"/>
  <c r="N20295" i="1"/>
  <c r="N20296" i="1"/>
  <c r="N20297" i="1"/>
  <c r="N20298" i="1"/>
  <c r="N20299" i="1"/>
  <c r="N20300" i="1"/>
  <c r="N20301" i="1"/>
  <c r="N20302" i="1"/>
  <c r="N20303" i="1"/>
  <c r="N20304" i="1"/>
  <c r="N20305" i="1"/>
  <c r="N20306" i="1"/>
  <c r="N25209" i="1"/>
  <c r="N25210" i="1"/>
  <c r="N25211" i="1"/>
  <c r="N25212" i="1"/>
  <c r="N25213" i="1"/>
  <c r="N25214" i="1"/>
  <c r="N25215" i="1"/>
  <c r="N25216" i="1"/>
  <c r="N25217" i="1"/>
  <c r="N14413" i="1"/>
  <c r="N2150" i="1"/>
  <c r="N24496" i="1"/>
  <c r="N24497" i="1"/>
  <c r="N24498" i="1"/>
  <c r="N24499" i="1"/>
  <c r="N24500" i="1"/>
  <c r="N24501" i="1"/>
  <c r="N24502" i="1"/>
  <c r="N24503" i="1"/>
  <c r="N24504" i="1"/>
  <c r="N24505" i="1"/>
  <c r="N20307" i="1"/>
  <c r="N20308" i="1"/>
  <c r="N20309" i="1"/>
  <c r="N2945" i="1"/>
  <c r="N2946" i="1"/>
  <c r="N2947" i="1"/>
  <c r="N2948" i="1"/>
  <c r="N2949" i="1"/>
  <c r="N20310" i="1"/>
  <c r="N20311" i="1"/>
  <c r="N20312" i="1"/>
  <c r="N20313" i="1"/>
  <c r="N20314" i="1"/>
  <c r="N20315" i="1"/>
  <c r="N20316" i="1"/>
  <c r="N10743" i="1"/>
  <c r="N10744" i="1"/>
  <c r="N20317" i="1"/>
  <c r="N20318" i="1"/>
  <c r="N20319" i="1"/>
  <c r="N20320" i="1"/>
  <c r="N20321" i="1"/>
  <c r="N20322" i="1"/>
  <c r="N20323" i="1"/>
  <c r="N20324" i="1"/>
  <c r="N20325" i="1"/>
  <c r="N20326" i="1"/>
  <c r="N2950" i="1"/>
  <c r="N18540" i="1"/>
  <c r="N12405" i="1"/>
  <c r="N3125" i="1"/>
  <c r="N3511" i="1"/>
  <c r="N16234" i="1"/>
  <c r="N13960" i="1"/>
  <c r="N22900" i="1"/>
  <c r="N25218" i="1"/>
  <c r="N25219" i="1"/>
  <c r="N25220" i="1"/>
  <c r="N25221" i="1"/>
  <c r="N1520" i="1"/>
  <c r="N13961" i="1"/>
  <c r="N3366" i="1"/>
  <c r="N12120" i="1"/>
  <c r="N25663" i="1"/>
  <c r="N25482" i="1"/>
  <c r="N12121" i="1"/>
  <c r="N5566" i="1"/>
  <c r="N15845" i="1"/>
  <c r="N15823" i="1"/>
  <c r="N8175" i="1"/>
  <c r="N5567" i="1"/>
  <c r="N5568" i="1"/>
  <c r="N5569" i="1"/>
  <c r="N11777" i="1"/>
  <c r="N5570" i="1"/>
  <c r="N5571" i="1"/>
  <c r="N12286" i="1"/>
  <c r="N4241" i="1"/>
  <c r="N4251" i="1"/>
  <c r="N4070" i="1"/>
  <c r="N22901" i="1"/>
  <c r="N22902" i="1"/>
  <c r="N11069" i="1"/>
  <c r="N16040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5572" i="1"/>
  <c r="N5573" i="1"/>
  <c r="N11793" i="1"/>
  <c r="N11836" i="1"/>
  <c r="N11837" i="1"/>
  <c r="N12077" i="1"/>
  <c r="N18788" i="1"/>
  <c r="N18789" i="1"/>
  <c r="N25743" i="1"/>
  <c r="N6996" i="1"/>
  <c r="N7681" i="1"/>
  <c r="N6997" i="1"/>
  <c r="N6998" i="1"/>
  <c r="N7864" i="1"/>
  <c r="N7865" i="1"/>
  <c r="N7624" i="1"/>
  <c r="N7682" i="1"/>
  <c r="N7683" i="1"/>
  <c r="N6999" i="1"/>
  <c r="N7981" i="1"/>
  <c r="N23776" i="1"/>
  <c r="N18634" i="1"/>
  <c r="N13396" i="1"/>
  <c r="N6171" i="1"/>
  <c r="N1882" i="1"/>
  <c r="N18488" i="1"/>
  <c r="N13851" i="1"/>
  <c r="N13397" i="1"/>
  <c r="N18156" i="1"/>
  <c r="N8176" i="1"/>
  <c r="N8177" i="1"/>
  <c r="N17294" i="1"/>
  <c r="N17295" i="1"/>
  <c r="N3104" i="1"/>
  <c r="N1788" i="1"/>
  <c r="N2303" i="1"/>
  <c r="N2304" i="1"/>
  <c r="N18004" i="1"/>
  <c r="N18005" i="1"/>
  <c r="N6360" i="1"/>
  <c r="N11070" i="1"/>
  <c r="N10654" i="1"/>
  <c r="N10656" i="1"/>
  <c r="N8591" i="1"/>
  <c r="N10159" i="1"/>
  <c r="N7886" i="1"/>
  <c r="N17253" i="1"/>
  <c r="N17254" i="1"/>
  <c r="N1689" i="1"/>
  <c r="N2748" i="1"/>
  <c r="N12671" i="1"/>
  <c r="N12672" i="1"/>
  <c r="N15365" i="1"/>
  <c r="N19566" i="1"/>
  <c r="N23527" i="1"/>
  <c r="N23556" i="1"/>
  <c r="N3596" i="1"/>
  <c r="N23557" i="1"/>
  <c r="N1125" i="1"/>
  <c r="N4529" i="1"/>
  <c r="N4530" i="1"/>
  <c r="N4531" i="1"/>
  <c r="N10570" i="1"/>
  <c r="N15916" i="1"/>
  <c r="N15917" i="1"/>
  <c r="N15562" i="1"/>
  <c r="N15563" i="1"/>
  <c r="N25222" i="1"/>
  <c r="N24259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4142" i="1"/>
  <c r="N11778" i="1"/>
  <c r="N17255" i="1"/>
  <c r="N17256" i="1"/>
  <c r="N5574" i="1"/>
  <c r="N5575" i="1"/>
  <c r="N5576" i="1"/>
  <c r="N5577" i="1"/>
  <c r="N5578" i="1"/>
  <c r="N5579" i="1"/>
  <c r="N6706" i="1"/>
  <c r="N9062" i="1"/>
  <c r="N13962" i="1"/>
  <c r="N16235" i="1"/>
  <c r="N18790" i="1"/>
  <c r="N18791" i="1"/>
  <c r="N12714" i="1"/>
  <c r="N12715" i="1"/>
  <c r="N12716" i="1"/>
  <c r="N19298" i="1"/>
  <c r="N19300" i="1"/>
  <c r="N2127" i="1"/>
  <c r="N17257" i="1"/>
  <c r="N2336" i="1"/>
  <c r="N2366" i="1"/>
  <c r="N17923" i="1"/>
  <c r="N11877" i="1"/>
  <c r="N11878" i="1"/>
  <c r="N11879" i="1"/>
  <c r="N11880" i="1"/>
  <c r="N11881" i="1"/>
  <c r="N11882" i="1"/>
  <c r="N11883" i="1"/>
  <c r="N25664" i="1"/>
  <c r="N12078" i="1"/>
  <c r="N2105" i="1"/>
  <c r="N11944" i="1"/>
  <c r="N12526" i="1"/>
  <c r="N25744" i="1"/>
  <c r="N25483" i="1"/>
  <c r="N25665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12575" i="1"/>
  <c r="N15965" i="1"/>
  <c r="N4888" i="1"/>
  <c r="N4889" i="1"/>
  <c r="N4890" i="1"/>
  <c r="N3542" i="1"/>
  <c r="N24779" i="1"/>
  <c r="N15859" i="1"/>
  <c r="N24322" i="1"/>
  <c r="N24323" i="1"/>
  <c r="N25264" i="1"/>
  <c r="N9503" i="1"/>
  <c r="N19334" i="1"/>
  <c r="N12582" i="1"/>
  <c r="N11071" i="1"/>
  <c r="N11072" i="1"/>
  <c r="N1295" i="1"/>
  <c r="N12287" i="1"/>
  <c r="N2580" i="1"/>
  <c r="N15918" i="1"/>
  <c r="N20327" i="1"/>
  <c r="N20328" i="1"/>
  <c r="N20329" i="1"/>
  <c r="N20330" i="1"/>
  <c r="N20331" i="1"/>
  <c r="N20332" i="1"/>
  <c r="N20333" i="1"/>
  <c r="N20334" i="1"/>
  <c r="N20335" i="1"/>
  <c r="N20336" i="1"/>
  <c r="N20337" i="1"/>
  <c r="N20338" i="1"/>
  <c r="N20339" i="1"/>
  <c r="N20340" i="1"/>
  <c r="N20341" i="1"/>
  <c r="N20342" i="1"/>
  <c r="N20343" i="1"/>
  <c r="N20344" i="1"/>
  <c r="N2581" i="1"/>
  <c r="N25484" i="1"/>
  <c r="N12390" i="1"/>
  <c r="N12402" i="1"/>
  <c r="N10328" i="1"/>
  <c r="N7982" i="1"/>
  <c r="N25485" i="1"/>
  <c r="N7012" i="1"/>
  <c r="N7684" i="1"/>
  <c r="N25486" i="1"/>
  <c r="N5218" i="1"/>
  <c r="N25666" i="1"/>
  <c r="N17987" i="1"/>
  <c r="N25223" i="1"/>
  <c r="N25106" i="1"/>
  <c r="N25224" i="1"/>
  <c r="N23044" i="1"/>
  <c r="N6172" i="1"/>
  <c r="N14561" i="1"/>
  <c r="N14562" i="1"/>
  <c r="N6330" i="1"/>
  <c r="N12717" i="1"/>
  <c r="N17717" i="1"/>
  <c r="N17718" i="1"/>
  <c r="N3450" i="1"/>
  <c r="N3466" i="1"/>
  <c r="N17834" i="1"/>
  <c r="N1896" i="1"/>
  <c r="N13354" i="1"/>
  <c r="N13355" i="1"/>
  <c r="N13356" i="1"/>
  <c r="N7887" i="1"/>
  <c r="N7888" i="1"/>
  <c r="N12879" i="1"/>
  <c r="N12880" i="1"/>
  <c r="N12881" i="1"/>
  <c r="N12882" i="1"/>
  <c r="N12883" i="1"/>
  <c r="N12884" i="1"/>
  <c r="N12885" i="1"/>
  <c r="N15385" i="1"/>
  <c r="N15386" i="1"/>
  <c r="N7013" i="1"/>
  <c r="N7014" i="1"/>
  <c r="N7015" i="1"/>
  <c r="N7016" i="1"/>
  <c r="N7017" i="1"/>
  <c r="N7018" i="1"/>
  <c r="N7019" i="1"/>
  <c r="N7020" i="1"/>
  <c r="N7685" i="1"/>
  <c r="N7021" i="1"/>
  <c r="N7686" i="1"/>
  <c r="N7022" i="1"/>
  <c r="N15966" i="1"/>
  <c r="N9341" i="1"/>
  <c r="N19605" i="1"/>
  <c r="N23209" i="1"/>
  <c r="N4421" i="1"/>
  <c r="N14621" i="1"/>
  <c r="N14622" i="1"/>
  <c r="N12886" i="1"/>
  <c r="N10420" i="1"/>
  <c r="N10421" i="1"/>
  <c r="N12887" i="1"/>
  <c r="N1815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0160" i="1"/>
  <c r="N3126" i="1"/>
  <c r="N3127" i="1"/>
  <c r="N19341" i="1"/>
  <c r="N18792" i="1"/>
  <c r="N12491" i="1"/>
  <c r="N15064" i="1"/>
  <c r="N1301" i="1"/>
  <c r="N1302" i="1"/>
  <c r="N1303" i="1"/>
  <c r="N1304" i="1"/>
  <c r="N14337" i="1"/>
  <c r="N4338" i="1"/>
  <c r="N2805" i="1"/>
  <c r="N2582" i="1"/>
  <c r="N8178" i="1"/>
  <c r="N8349" i="1"/>
  <c r="N8179" i="1"/>
  <c r="N8180" i="1"/>
  <c r="N12166" i="1"/>
  <c r="N1691" i="1"/>
  <c r="N3818" i="1"/>
  <c r="N1850" i="1"/>
  <c r="N1851" i="1"/>
  <c r="N8181" i="1"/>
  <c r="N8182" i="1"/>
  <c r="N10125" i="1"/>
  <c r="N6311" i="1"/>
  <c r="N6315" i="1"/>
  <c r="N18793" i="1"/>
  <c r="N18794" i="1"/>
  <c r="N16201" i="1"/>
  <c r="N3412" i="1"/>
  <c r="N4353" i="1"/>
  <c r="N2907" i="1"/>
  <c r="N22986" i="1"/>
  <c r="N2749" i="1"/>
  <c r="N18158" i="1"/>
  <c r="N17296" i="1"/>
  <c r="N17297" i="1"/>
  <c r="N25114" i="1"/>
  <c r="N25225" i="1"/>
  <c r="N18795" i="1"/>
  <c r="N6842" i="1"/>
  <c r="N23842" i="1"/>
  <c r="N19283" i="1"/>
  <c r="N19284" i="1"/>
  <c r="N1611" i="1"/>
  <c r="N19755" i="1"/>
  <c r="N1901" i="1"/>
  <c r="N1902" i="1"/>
  <c r="N15123" i="1"/>
  <c r="N15124" i="1"/>
  <c r="N15125" i="1"/>
  <c r="N9456" i="1"/>
  <c r="N7023" i="1"/>
  <c r="N7024" i="1"/>
  <c r="N7687" i="1"/>
  <c r="N7025" i="1"/>
  <c r="N7688" i="1"/>
  <c r="N4679" i="1"/>
  <c r="N15447" i="1"/>
  <c r="N12154" i="1"/>
  <c r="N3898" i="1"/>
  <c r="N3899" i="1"/>
  <c r="N3900" i="1"/>
  <c r="N11073" i="1"/>
  <c r="N15448" i="1"/>
  <c r="N23558" i="1"/>
  <c r="N25363" i="1"/>
  <c r="N4680" i="1"/>
  <c r="N25487" i="1"/>
  <c r="N12718" i="1"/>
  <c r="N6849" i="1"/>
  <c r="N25667" i="1"/>
  <c r="N14996" i="1"/>
  <c r="N4071" i="1"/>
  <c r="N3958" i="1"/>
  <c r="N3451" i="1"/>
  <c r="N3467" i="1"/>
  <c r="N14997" i="1"/>
  <c r="N8369" i="1"/>
  <c r="N10355" i="1"/>
  <c r="N25701" i="1"/>
  <c r="N23622" i="1"/>
  <c r="N23623" i="1"/>
  <c r="N24791" i="1"/>
  <c r="N25488" i="1"/>
  <c r="N1273" i="1"/>
  <c r="N17276" i="1"/>
  <c r="N17277" i="1"/>
  <c r="N7026" i="1"/>
  <c r="N7689" i="1"/>
  <c r="N10002" i="1"/>
  <c r="N10003" i="1"/>
  <c r="N10004" i="1"/>
  <c r="N10005" i="1"/>
  <c r="N10006" i="1"/>
  <c r="N10007" i="1"/>
  <c r="N10008" i="1"/>
  <c r="N22903" i="1"/>
  <c r="N22904" i="1"/>
  <c r="N14479" i="1"/>
  <c r="N24273" i="1"/>
  <c r="N24274" i="1"/>
  <c r="N24275" i="1"/>
  <c r="N6847" i="1"/>
  <c r="N2583" i="1"/>
  <c r="N25226" i="1"/>
  <c r="N11884" i="1"/>
  <c r="N11885" i="1"/>
  <c r="N9398" i="1"/>
  <c r="N8183" i="1"/>
  <c r="N23736" i="1"/>
  <c r="N16048" i="1"/>
  <c r="N16049" i="1"/>
  <c r="N9483" i="1"/>
  <c r="N13963" i="1"/>
  <c r="N17234" i="1"/>
  <c r="N17235" i="1"/>
  <c r="N9974" i="1"/>
  <c r="N9975" i="1"/>
  <c r="N2372" i="1"/>
  <c r="N4124" i="1"/>
  <c r="N4125" i="1"/>
  <c r="N3623" i="1"/>
  <c r="N3624" i="1"/>
  <c r="N3625" i="1"/>
  <c r="N3626" i="1"/>
  <c r="N12306" i="1"/>
  <c r="N7027" i="1"/>
  <c r="N7028" i="1"/>
  <c r="N7029" i="1"/>
  <c r="N7030" i="1"/>
  <c r="N3179" i="1"/>
  <c r="N1168" i="1"/>
  <c r="N24268" i="1"/>
  <c r="N24260" i="1"/>
  <c r="N18159" i="1"/>
  <c r="N18160" i="1"/>
  <c r="N12327" i="1"/>
  <c r="N12328" i="1"/>
  <c r="N1397" i="1"/>
  <c r="N10161" i="1"/>
  <c r="N10126" i="1"/>
  <c r="N4354" i="1"/>
  <c r="N2584" i="1"/>
  <c r="N1852" i="1"/>
  <c r="N9457" i="1"/>
  <c r="N17924" i="1"/>
  <c r="N15646" i="1"/>
  <c r="N19033" i="1"/>
  <c r="N15270" i="1"/>
  <c r="N6785" i="1"/>
  <c r="N6787" i="1"/>
  <c r="N6788" i="1"/>
  <c r="N2337" i="1"/>
  <c r="N4532" i="1"/>
  <c r="N4533" i="1"/>
  <c r="N25265" i="1"/>
  <c r="N13638" i="1"/>
  <c r="N13639" i="1"/>
  <c r="N23024" i="1"/>
  <c r="N17719" i="1"/>
  <c r="N2585" i="1"/>
  <c r="N13852" i="1"/>
  <c r="N13853" i="1"/>
  <c r="N16619" i="1"/>
  <c r="N17936" i="1"/>
  <c r="N12051" i="1"/>
  <c r="N12052" i="1"/>
  <c r="N12028" i="1"/>
  <c r="N25489" i="1"/>
  <c r="N10261" i="1"/>
  <c r="N12523" i="1"/>
  <c r="N15417" i="1"/>
  <c r="N23642" i="1"/>
  <c r="N25434" i="1"/>
  <c r="N17978" i="1"/>
  <c r="N6173" i="1"/>
  <c r="N18161" i="1"/>
  <c r="N18162" i="1"/>
  <c r="N17115" i="1"/>
  <c r="N17116" i="1"/>
  <c r="N25490" i="1"/>
  <c r="N3545" i="1"/>
  <c r="N19335" i="1"/>
  <c r="N13964" i="1"/>
  <c r="N12352" i="1"/>
  <c r="N13965" i="1"/>
  <c r="N20345" i="1"/>
  <c r="N15611" i="1"/>
  <c r="N23283" i="1"/>
  <c r="N9495" i="1"/>
  <c r="N13541" i="1"/>
  <c r="N13542" i="1"/>
  <c r="N18163" i="1"/>
  <c r="N7941" i="1"/>
  <c r="N7942" i="1"/>
  <c r="N25745" i="1"/>
  <c r="N18164" i="1"/>
  <c r="N25668" i="1"/>
  <c r="N10407" i="1"/>
  <c r="N24029" i="1"/>
  <c r="N19455" i="1"/>
  <c r="N19468" i="1"/>
  <c r="N19456" i="1"/>
  <c r="N19469" i="1"/>
  <c r="N10127" i="1"/>
  <c r="N7031" i="1"/>
  <c r="N7032" i="1"/>
  <c r="N15271" i="1"/>
  <c r="N25227" i="1"/>
  <c r="N25228" i="1"/>
  <c r="N25229" i="1"/>
  <c r="N17869" i="1"/>
  <c r="N1122" i="1"/>
  <c r="N1126" i="1"/>
  <c r="N20346" i="1"/>
  <c r="N14453" i="1"/>
  <c r="N14454" i="1"/>
  <c r="N14461" i="1"/>
  <c r="N14462" i="1"/>
  <c r="N14455" i="1"/>
  <c r="N14456" i="1"/>
  <c r="N14457" i="1"/>
  <c r="N14458" i="1"/>
  <c r="N14459" i="1"/>
  <c r="N2495" i="1"/>
  <c r="N8184" i="1"/>
  <c r="N24261" i="1"/>
  <c r="N8027" i="1"/>
  <c r="N11120" i="1"/>
  <c r="N4106" i="1"/>
  <c r="N2887" i="1"/>
  <c r="N24280" i="1"/>
  <c r="N24792" i="1"/>
  <c r="N3512" i="1"/>
  <c r="N25746" i="1"/>
  <c r="N25491" i="1"/>
  <c r="N1419" i="1"/>
  <c r="N8185" i="1"/>
  <c r="N8370" i="1"/>
  <c r="N24278" i="1"/>
  <c r="N24817" i="1"/>
  <c r="N25747" i="1"/>
  <c r="N25492" i="1"/>
  <c r="N3527" i="1"/>
  <c r="N11074" i="1"/>
  <c r="N5314" i="1"/>
  <c r="N15771" i="1"/>
  <c r="N15772" i="1"/>
  <c r="N18796" i="1"/>
  <c r="N24144" i="1"/>
  <c r="N24145" i="1"/>
  <c r="N18006" i="1"/>
  <c r="N18007" i="1"/>
  <c r="N15860" i="1"/>
  <c r="N2489" i="1"/>
  <c r="N5219" i="1"/>
  <c r="N23871" i="1"/>
  <c r="N1820" i="1"/>
  <c r="N12331" i="1"/>
  <c r="N15757" i="1"/>
  <c r="N15773" i="1"/>
  <c r="N23016" i="1"/>
  <c r="N15919" i="1"/>
  <c r="N15920" i="1"/>
  <c r="N11075" i="1"/>
  <c r="N15921" i="1"/>
  <c r="N15922" i="1"/>
  <c r="N15923" i="1"/>
  <c r="N16605" i="1"/>
  <c r="N16585" i="1"/>
  <c r="N16606" i="1"/>
  <c r="N16602" i="1"/>
  <c r="N9484" i="1"/>
  <c r="N19608" i="1"/>
  <c r="N23724" i="1"/>
  <c r="N18933" i="1"/>
  <c r="N4737" i="1"/>
  <c r="N3563" i="1"/>
  <c r="N3564" i="1"/>
  <c r="N18545" i="1"/>
  <c r="N18546" i="1"/>
  <c r="N18547" i="1"/>
  <c r="N18548" i="1"/>
  <c r="N18549" i="1"/>
  <c r="N18550" i="1"/>
  <c r="N15556" i="1"/>
  <c r="N15548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0207" i="1"/>
  <c r="N10208" i="1"/>
  <c r="N9003" i="1"/>
  <c r="N8592" i="1"/>
  <c r="N8593" i="1"/>
  <c r="N8594" i="1"/>
  <c r="N8595" i="1"/>
  <c r="N8596" i="1"/>
  <c r="N8597" i="1"/>
  <c r="N8598" i="1"/>
  <c r="N8599" i="1"/>
  <c r="N8600" i="1"/>
  <c r="N8601" i="1"/>
  <c r="N8397" i="1"/>
  <c r="N8602" i="1"/>
  <c r="N8603" i="1"/>
  <c r="N8398" i="1"/>
  <c r="N8604" i="1"/>
  <c r="N8605" i="1"/>
  <c r="N8399" i="1"/>
  <c r="N8400" i="1"/>
  <c r="N8606" i="1"/>
  <c r="N8607" i="1"/>
  <c r="N8608" i="1"/>
  <c r="N8609" i="1"/>
  <c r="N8610" i="1"/>
  <c r="N8611" i="1"/>
  <c r="N8612" i="1"/>
  <c r="N8613" i="1"/>
  <c r="N8614" i="1"/>
  <c r="N8615" i="1"/>
  <c r="N10466" i="1"/>
  <c r="N25266" i="1"/>
  <c r="N6323" i="1"/>
  <c r="N12122" i="1"/>
  <c r="N1904" i="1"/>
  <c r="N15829" i="1"/>
  <c r="N18460" i="1"/>
  <c r="N18461" i="1"/>
  <c r="N18462" i="1"/>
  <c r="N1344" i="1"/>
  <c r="N1914" i="1"/>
  <c r="N24684" i="1"/>
  <c r="N24685" i="1"/>
  <c r="N24635" i="1"/>
  <c r="N24636" i="1"/>
  <c r="N24637" i="1"/>
  <c r="N24638" i="1"/>
  <c r="N24639" i="1"/>
  <c r="N11891" i="1"/>
  <c r="N24049" i="1"/>
  <c r="N8616" i="1"/>
  <c r="N8617" i="1"/>
  <c r="N2433" i="1"/>
  <c r="N6155" i="1"/>
  <c r="N1387" i="1"/>
  <c r="N1388" i="1"/>
  <c r="N17720" i="1"/>
  <c r="N17721" i="1"/>
  <c r="N17722" i="1"/>
  <c r="N17723" i="1"/>
  <c r="N17724" i="1"/>
  <c r="N2750" i="1"/>
  <c r="N11368" i="1"/>
  <c r="N11713" i="1"/>
  <c r="N11369" i="1"/>
  <c r="N11370" i="1"/>
  <c r="N25230" i="1"/>
  <c r="N25125" i="1"/>
  <c r="N10162" i="1"/>
  <c r="N10163" i="1"/>
  <c r="N10164" i="1"/>
  <c r="N4355" i="1"/>
  <c r="N10329" i="1"/>
  <c r="N11371" i="1"/>
  <c r="N11372" i="1"/>
  <c r="N17169" i="1"/>
  <c r="N17170" i="1"/>
  <c r="N17171" i="1"/>
  <c r="N17172" i="1"/>
  <c r="N9960" i="1"/>
  <c r="N2806" i="1"/>
  <c r="N4339" i="1"/>
  <c r="N17173" i="1"/>
  <c r="N17174" i="1"/>
  <c r="N11373" i="1"/>
  <c r="N25231" i="1"/>
  <c r="N12233" i="1"/>
  <c r="N12234" i="1"/>
  <c r="N12235" i="1"/>
  <c r="N11190" i="1"/>
  <c r="N19342" i="1"/>
  <c r="N17175" i="1"/>
  <c r="N17176" i="1"/>
  <c r="N15991" i="1"/>
  <c r="N1629" i="1"/>
  <c r="N2586" i="1"/>
  <c r="N14018" i="1"/>
  <c r="N17925" i="1"/>
  <c r="N17926" i="1"/>
  <c r="N17927" i="1"/>
  <c r="N19190" i="1"/>
  <c r="N19143" i="1"/>
  <c r="N19191" i="1"/>
  <c r="N19192" i="1"/>
  <c r="N15748" i="1"/>
  <c r="N15774" i="1"/>
  <c r="N15775" i="1"/>
  <c r="N15749" i="1"/>
  <c r="N15861" i="1"/>
  <c r="N2472" i="1"/>
  <c r="N8011" i="1"/>
  <c r="N3762" i="1"/>
  <c r="N3763" i="1"/>
  <c r="N8618" i="1"/>
  <c r="N24107" i="1"/>
  <c r="N19828" i="1"/>
  <c r="N18667" i="1"/>
  <c r="N5170" i="1"/>
  <c r="N10638" i="1"/>
  <c r="N12079" i="1"/>
  <c r="N14958" i="1"/>
  <c r="N22905" i="1"/>
  <c r="N13536" i="1"/>
  <c r="N3836" i="1"/>
  <c r="N10209" i="1"/>
  <c r="N19567" i="1"/>
  <c r="N1715" i="1"/>
  <c r="N25305" i="1"/>
  <c r="N25493" i="1"/>
  <c r="N2390" i="1"/>
  <c r="N2384" i="1"/>
  <c r="N2373" i="1"/>
  <c r="N4356" i="1"/>
  <c r="N1432" i="1"/>
  <c r="N4357" i="1"/>
  <c r="N4358" i="1"/>
  <c r="N19144" i="1"/>
  <c r="N19145" i="1"/>
  <c r="N19146" i="1"/>
  <c r="N12288" i="1"/>
  <c r="N14651" i="1"/>
  <c r="N19147" i="1"/>
  <c r="N2587" i="1"/>
  <c r="N22906" i="1"/>
  <c r="N22981" i="1"/>
  <c r="N10605" i="1"/>
  <c r="N25364" i="1"/>
  <c r="N25494" i="1"/>
  <c r="N15037" i="1"/>
  <c r="N15038" i="1"/>
  <c r="N4485" i="1"/>
  <c r="N14490" i="1"/>
  <c r="N14493" i="1"/>
  <c r="N15862" i="1"/>
  <c r="N17979" i="1"/>
  <c r="N23737" i="1"/>
  <c r="N18489" i="1"/>
  <c r="N1357" i="1"/>
  <c r="N7033" i="1"/>
  <c r="N7034" i="1"/>
  <c r="N7690" i="1"/>
  <c r="N4639" i="1"/>
  <c r="N23210" i="1"/>
  <c r="N23284" i="1"/>
  <c r="N13309" i="1"/>
  <c r="N13335" i="1"/>
  <c r="N13310" i="1"/>
  <c r="N22907" i="1"/>
  <c r="N14574" i="1"/>
  <c r="N2588" i="1"/>
  <c r="N17117" i="1"/>
  <c r="N17118" i="1"/>
  <c r="N19193" i="1"/>
  <c r="N19194" i="1"/>
  <c r="N7983" i="1"/>
  <c r="N7984" i="1"/>
  <c r="N15863" i="1"/>
  <c r="N7985" i="1"/>
  <c r="N17884" i="1"/>
  <c r="N7986" i="1"/>
  <c r="N12020" i="1"/>
  <c r="N16375" i="1"/>
  <c r="N1534" i="1"/>
  <c r="N1535" i="1"/>
  <c r="N16279" i="1"/>
  <c r="N3901" i="1"/>
  <c r="N3902" i="1"/>
  <c r="N3903" i="1"/>
  <c r="N23083" i="1"/>
  <c r="N2338" i="1"/>
  <c r="N9039" i="1"/>
  <c r="N9538" i="1"/>
  <c r="N9539" i="1"/>
  <c r="N9040" i="1"/>
  <c r="N9004" i="1"/>
  <c r="N23009" i="1"/>
  <c r="N3730" i="1"/>
  <c r="N3731" i="1"/>
  <c r="N3732" i="1"/>
  <c r="N3733" i="1"/>
  <c r="N14980" i="1"/>
  <c r="N12492" i="1"/>
  <c r="N15776" i="1"/>
  <c r="N3976" i="1"/>
  <c r="N23285" i="1"/>
  <c r="N19322" i="1"/>
  <c r="N3995" i="1"/>
  <c r="N8107" i="1"/>
  <c r="N19343" i="1"/>
  <c r="N18551" i="1"/>
  <c r="N1716" i="1"/>
  <c r="N25669" i="1"/>
  <c r="N1717" i="1"/>
  <c r="N6257" i="1"/>
  <c r="N3996" i="1"/>
  <c r="N14985" i="1"/>
  <c r="N13357" i="1"/>
  <c r="N13358" i="1"/>
  <c r="N13359" i="1"/>
  <c r="N4681" i="1"/>
  <c r="N9573" i="1"/>
  <c r="N9574" i="1"/>
  <c r="N9575" i="1"/>
  <c r="N2295" i="1"/>
  <c r="N2296" i="1"/>
  <c r="N17966" i="1"/>
  <c r="N18433" i="1"/>
  <c r="N18434" i="1"/>
  <c r="N18435" i="1"/>
  <c r="N11076" i="1"/>
  <c r="N23624" i="1"/>
  <c r="N25495" i="1"/>
  <c r="N1169" i="1"/>
  <c r="N1170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691" i="1"/>
  <c r="N7048" i="1"/>
  <c r="N7692" i="1"/>
  <c r="N7049" i="1"/>
  <c r="N20347" i="1"/>
  <c r="N11374" i="1"/>
  <c r="N11375" i="1"/>
  <c r="N11376" i="1"/>
  <c r="N9716" i="1"/>
  <c r="N2589" i="1"/>
  <c r="N11377" i="1"/>
  <c r="N24758" i="1"/>
  <c r="N24759" i="1"/>
  <c r="N9717" i="1"/>
  <c r="N9718" i="1"/>
  <c r="N14338" i="1"/>
  <c r="N9594" i="1"/>
  <c r="N9595" i="1"/>
  <c r="N9690" i="1"/>
  <c r="N1296" i="1"/>
  <c r="N10661" i="1"/>
  <c r="N3610" i="1"/>
  <c r="N24214" i="1"/>
  <c r="N14385" i="1"/>
  <c r="N12006" i="1"/>
  <c r="N3597" i="1"/>
  <c r="N3611" i="1"/>
  <c r="N14449" i="1"/>
  <c r="N23684" i="1"/>
  <c r="N9071" i="1"/>
  <c r="N9072" i="1"/>
  <c r="N3566" i="1"/>
  <c r="N23111" i="1"/>
  <c r="N23112" i="1"/>
  <c r="N6696" i="1"/>
  <c r="N16250" i="1"/>
  <c r="N12719" i="1"/>
  <c r="N12720" i="1"/>
  <c r="N4505" i="1"/>
  <c r="N12583" i="1"/>
  <c r="N12576" i="1"/>
  <c r="N3356" i="1"/>
  <c r="N19310" i="1"/>
  <c r="N6797" i="1"/>
  <c r="N6796" i="1"/>
  <c r="N16645" i="1"/>
  <c r="N6853" i="1"/>
  <c r="N24321" i="1"/>
  <c r="N23932" i="1"/>
  <c r="N23933" i="1"/>
  <c r="N24342" i="1"/>
  <c r="N7050" i="1"/>
  <c r="N7693" i="1"/>
  <c r="N7051" i="1"/>
  <c r="N7694" i="1"/>
  <c r="N24764" i="1"/>
  <c r="N24765" i="1"/>
  <c r="N11077" i="1"/>
  <c r="N16280" i="1"/>
  <c r="N12314" i="1"/>
  <c r="N12315" i="1"/>
  <c r="N3388" i="1"/>
  <c r="N25748" i="1"/>
  <c r="N25496" i="1"/>
  <c r="N13568" i="1"/>
  <c r="N13569" i="1"/>
  <c r="N13570" i="1"/>
  <c r="N13571" i="1"/>
  <c r="N13572" i="1"/>
  <c r="N13617" i="1"/>
  <c r="N13573" i="1"/>
  <c r="N16225" i="1"/>
  <c r="N6217" i="1"/>
  <c r="N23286" i="1"/>
  <c r="N6218" i="1"/>
  <c r="N6258" i="1"/>
  <c r="N6243" i="1"/>
  <c r="N16251" i="1"/>
  <c r="N15924" i="1"/>
  <c r="N23934" i="1"/>
  <c r="N18165" i="1"/>
  <c r="N1979" i="1"/>
  <c r="N1980" i="1"/>
  <c r="N22987" i="1"/>
  <c r="N22996" i="1"/>
  <c r="N22908" i="1"/>
  <c r="N22988" i="1"/>
  <c r="N22997" i="1"/>
  <c r="N22909" i="1"/>
  <c r="N6556" i="1"/>
  <c r="N3819" i="1"/>
  <c r="N6539" i="1"/>
  <c r="N20348" i="1"/>
  <c r="N20349" i="1"/>
  <c r="N20350" i="1"/>
  <c r="N20351" i="1"/>
  <c r="N20352" i="1"/>
  <c r="N20353" i="1"/>
  <c r="N4197" i="1"/>
  <c r="N11378" i="1"/>
  <c r="N14330" i="1"/>
  <c r="N12333" i="1"/>
  <c r="N12334" i="1"/>
  <c r="N18166" i="1"/>
  <c r="N19373" i="1"/>
  <c r="N19374" i="1"/>
  <c r="N19375" i="1"/>
  <c r="N19376" i="1"/>
  <c r="N19377" i="1"/>
  <c r="N1498" i="1"/>
  <c r="N1507" i="1"/>
  <c r="N20354" i="1"/>
  <c r="N20355" i="1"/>
  <c r="N20356" i="1"/>
  <c r="N20357" i="1"/>
  <c r="N20358" i="1"/>
  <c r="N20359" i="1"/>
  <c r="N20360" i="1"/>
  <c r="N20361" i="1"/>
  <c r="N20362" i="1"/>
  <c r="N20363" i="1"/>
  <c r="N20364" i="1"/>
  <c r="N20365" i="1"/>
  <c r="N20366" i="1"/>
  <c r="N20367" i="1"/>
  <c r="N20368" i="1"/>
  <c r="N20369" i="1"/>
  <c r="N20370" i="1"/>
  <c r="N20371" i="1"/>
  <c r="N9639" i="1"/>
  <c r="N9719" i="1"/>
  <c r="N9640" i="1"/>
  <c r="N9641" i="1"/>
  <c r="N9642" i="1"/>
  <c r="N9720" i="1"/>
  <c r="N9721" i="1"/>
  <c r="N9722" i="1"/>
  <c r="N9643" i="1"/>
  <c r="N9644" i="1"/>
  <c r="N9645" i="1"/>
  <c r="N9646" i="1"/>
  <c r="N9647" i="1"/>
  <c r="N9648" i="1"/>
  <c r="N9649" i="1"/>
  <c r="N9650" i="1"/>
  <c r="N9438" i="1"/>
  <c r="N9651" i="1"/>
  <c r="N9723" i="1"/>
  <c r="N9652" i="1"/>
  <c r="N9653" i="1"/>
  <c r="N24043" i="1"/>
  <c r="N24044" i="1"/>
  <c r="N9654" i="1"/>
  <c r="N9655" i="1"/>
  <c r="N9656" i="1"/>
  <c r="N9657" i="1"/>
  <c r="N9658" i="1"/>
  <c r="N13966" i="1"/>
  <c r="N13967" i="1"/>
  <c r="N7052" i="1"/>
  <c r="N7866" i="1"/>
  <c r="N7695" i="1"/>
  <c r="N7867" i="1"/>
  <c r="N7053" i="1"/>
  <c r="N7696" i="1"/>
  <c r="N7054" i="1"/>
  <c r="N7055" i="1"/>
  <c r="N2920" i="1"/>
  <c r="N6501" i="1"/>
  <c r="N24330" i="1"/>
  <c r="N4645" i="1"/>
  <c r="N24748" i="1"/>
  <c r="N15809" i="1"/>
  <c r="N11078" i="1"/>
  <c r="N23559" i="1"/>
  <c r="N23601" i="1"/>
  <c r="N23560" i="1"/>
  <c r="N11079" i="1"/>
  <c r="N10295" i="1"/>
  <c r="N17725" i="1"/>
  <c r="N9439" i="1"/>
  <c r="N1563" i="1"/>
  <c r="N23935" i="1"/>
  <c r="N23936" i="1"/>
  <c r="N9440" i="1"/>
  <c r="N24366" i="1"/>
  <c r="N23937" i="1"/>
  <c r="N23938" i="1"/>
  <c r="N23939" i="1"/>
  <c r="N3205" i="1"/>
  <c r="N18118" i="1"/>
  <c r="N23058" i="1"/>
  <c r="N14592" i="1"/>
  <c r="N3249" i="1"/>
  <c r="N3290" i="1"/>
  <c r="N3291" i="1"/>
  <c r="N16252" i="1"/>
  <c r="N25306" i="1"/>
  <c r="N16419" i="1"/>
  <c r="N16420" i="1"/>
  <c r="N16421" i="1"/>
  <c r="N10830" i="1"/>
  <c r="N16422" i="1"/>
  <c r="N16423" i="1"/>
  <c r="N16424" i="1"/>
  <c r="N16425" i="1"/>
  <c r="N16426" i="1"/>
  <c r="N16427" i="1"/>
  <c r="N16428" i="1"/>
  <c r="N10831" i="1"/>
  <c r="N3598" i="1"/>
  <c r="N1981" i="1"/>
  <c r="N1982" i="1"/>
  <c r="N1983" i="1"/>
  <c r="N1984" i="1"/>
  <c r="N1985" i="1"/>
  <c r="N7056" i="1"/>
  <c r="N7697" i="1"/>
  <c r="N23847" i="1"/>
  <c r="N24367" i="1"/>
  <c r="N24368" i="1"/>
  <c r="N24337" i="1"/>
  <c r="N24369" i="1"/>
  <c r="N24455" i="1"/>
  <c r="N24456" i="1"/>
  <c r="N5067" i="1"/>
  <c r="N5068" i="1"/>
  <c r="N5069" i="1"/>
  <c r="N5070" i="1"/>
  <c r="N5071" i="1"/>
  <c r="N5072" i="1"/>
  <c r="N5073" i="1"/>
  <c r="N5074" i="1"/>
  <c r="N5075" i="1"/>
  <c r="N507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986" i="1"/>
  <c r="N1987" i="1"/>
  <c r="N11379" i="1"/>
  <c r="N11208" i="1"/>
  <c r="N11380" i="1"/>
  <c r="N11381" i="1"/>
  <c r="N11209" i="1"/>
  <c r="N11382" i="1"/>
  <c r="N11210" i="1"/>
  <c r="N9659" i="1"/>
  <c r="N9686" i="1"/>
  <c r="N9724" i="1"/>
  <c r="N9691" i="1"/>
  <c r="N9725" i="1"/>
  <c r="N9660" i="1"/>
  <c r="N9726" i="1"/>
  <c r="N9727" i="1"/>
  <c r="N25931" i="1"/>
  <c r="N13968" i="1"/>
  <c r="N14731" i="1"/>
  <c r="N19344" i="1"/>
  <c r="N25115" i="1"/>
  <c r="N20372" i="1"/>
  <c r="N20373" i="1"/>
  <c r="N20374" i="1"/>
  <c r="N20375" i="1"/>
  <c r="N20376" i="1"/>
  <c r="N20377" i="1"/>
  <c r="N20378" i="1"/>
  <c r="N20379" i="1"/>
  <c r="N20380" i="1"/>
  <c r="N20381" i="1"/>
  <c r="N1809" i="1"/>
  <c r="N20382" i="1"/>
  <c r="N20383" i="1"/>
  <c r="N20384" i="1"/>
  <c r="N20385" i="1"/>
  <c r="N9073" i="1"/>
  <c r="N9065" i="1"/>
  <c r="N7057" i="1"/>
  <c r="N7698" i="1"/>
  <c r="N7058" i="1"/>
  <c r="N7059" i="1"/>
  <c r="N7699" i="1"/>
  <c r="N20386" i="1"/>
  <c r="N20387" i="1"/>
  <c r="N6835" i="1"/>
  <c r="N6834" i="1"/>
  <c r="N3954" i="1"/>
  <c r="N4072" i="1"/>
  <c r="N3491" i="1"/>
  <c r="N5010" i="1"/>
  <c r="N5026" i="1"/>
  <c r="N2951" i="1"/>
  <c r="N2952" i="1"/>
  <c r="N2953" i="1"/>
  <c r="N2954" i="1"/>
  <c r="N2955" i="1"/>
  <c r="N2956" i="1"/>
  <c r="N18518" i="1"/>
  <c r="N18514" i="1"/>
  <c r="N18167" i="1"/>
  <c r="N4222" i="1"/>
  <c r="N4229" i="1"/>
  <c r="N1183" i="1"/>
  <c r="N18168" i="1"/>
  <c r="N18169" i="1"/>
  <c r="N18170" i="1"/>
  <c r="N1903" i="1"/>
  <c r="N5011" i="1"/>
  <c r="N5027" i="1"/>
  <c r="N11156" i="1"/>
  <c r="N6557" i="1"/>
  <c r="N6558" i="1"/>
  <c r="N20388" i="1"/>
  <c r="N20389" i="1"/>
  <c r="N20390" i="1"/>
  <c r="N20391" i="1"/>
  <c r="N20392" i="1"/>
  <c r="N20393" i="1"/>
  <c r="N20394" i="1"/>
  <c r="N20395" i="1"/>
  <c r="N20396" i="1"/>
  <c r="N20397" i="1"/>
  <c r="N20398" i="1"/>
  <c r="N11383" i="1"/>
  <c r="N2590" i="1"/>
  <c r="N2591" i="1"/>
  <c r="N9728" i="1"/>
  <c r="N9729" i="1"/>
  <c r="N4891" i="1"/>
  <c r="N4892" i="1"/>
  <c r="N9132" i="1"/>
  <c r="N9133" i="1"/>
  <c r="N9134" i="1"/>
  <c r="N9135" i="1"/>
  <c r="N9136" i="1"/>
  <c r="N9137" i="1"/>
  <c r="N9138" i="1"/>
  <c r="N18542" i="1"/>
  <c r="N20399" i="1"/>
  <c r="N20400" i="1"/>
  <c r="N20401" i="1"/>
  <c r="N20402" i="1"/>
  <c r="N20403" i="1"/>
  <c r="N20404" i="1"/>
  <c r="N20405" i="1"/>
  <c r="N20406" i="1"/>
  <c r="N20407" i="1"/>
  <c r="N20408" i="1"/>
  <c r="N20409" i="1"/>
  <c r="N20410" i="1"/>
  <c r="N20411" i="1"/>
  <c r="N20412" i="1"/>
  <c r="N20413" i="1"/>
  <c r="N20414" i="1"/>
  <c r="N20415" i="1"/>
  <c r="N20416" i="1"/>
  <c r="N20417" i="1"/>
  <c r="N20418" i="1"/>
  <c r="N20419" i="1"/>
  <c r="N20420" i="1"/>
  <c r="N20421" i="1"/>
  <c r="N20422" i="1"/>
  <c r="N6559" i="1"/>
  <c r="N9342" i="1"/>
  <c r="N9343" i="1"/>
  <c r="N12103" i="1"/>
  <c r="N13165" i="1"/>
  <c r="N13166" i="1"/>
  <c r="N12307" i="1"/>
  <c r="N12308" i="1"/>
  <c r="N16592" i="1"/>
  <c r="N18519" i="1"/>
  <c r="N15699" i="1"/>
  <c r="N25497" i="1"/>
  <c r="N1593" i="1"/>
  <c r="N2447" i="1"/>
  <c r="N4242" i="1"/>
  <c r="N4252" i="1"/>
  <c r="N13507" i="1"/>
  <c r="N13508" i="1"/>
  <c r="N13509" i="1"/>
  <c r="N1358" i="1"/>
  <c r="N1853" i="1"/>
  <c r="N1854" i="1"/>
  <c r="N6803" i="1"/>
  <c r="N9139" i="1"/>
  <c r="N9140" i="1"/>
  <c r="N10128" i="1"/>
  <c r="N12915" i="1"/>
  <c r="N12916" i="1"/>
  <c r="N12917" i="1"/>
  <c r="N12918" i="1"/>
  <c r="N12919" i="1"/>
  <c r="N12920" i="1"/>
  <c r="N12921" i="1"/>
  <c r="N12922" i="1"/>
  <c r="N16316" i="1"/>
  <c r="N10088" i="1"/>
  <c r="N8063" i="1"/>
  <c r="N8064" i="1"/>
  <c r="N8065" i="1"/>
  <c r="N3092" i="1"/>
  <c r="N9223" i="1"/>
  <c r="N9224" i="1"/>
  <c r="N9225" i="1"/>
  <c r="N9226" i="1"/>
  <c r="N9227" i="1"/>
  <c r="N18695" i="1"/>
  <c r="N18712" i="1"/>
  <c r="N18696" i="1"/>
  <c r="N25365" i="1"/>
  <c r="N13832" i="1"/>
  <c r="N2140" i="1"/>
  <c r="N9458" i="1"/>
  <c r="N18697" i="1"/>
  <c r="N24370" i="1"/>
  <c r="N24371" i="1"/>
  <c r="N24372" i="1"/>
  <c r="N11144" i="1"/>
  <c r="N11384" i="1"/>
  <c r="N11211" i="1"/>
  <c r="N11385" i="1"/>
  <c r="N11212" i="1"/>
  <c r="N11213" i="1"/>
  <c r="N11214" i="1"/>
  <c r="N11386" i="1"/>
  <c r="N11387" i="1"/>
  <c r="N4359" i="1"/>
  <c r="N9730" i="1"/>
  <c r="N5012" i="1"/>
  <c r="N5028" i="1"/>
  <c r="N5013" i="1"/>
  <c r="N5029" i="1"/>
  <c r="N20423" i="1"/>
  <c r="N20424" i="1"/>
  <c r="N20425" i="1"/>
  <c r="N20426" i="1"/>
  <c r="N20427" i="1"/>
  <c r="N20428" i="1"/>
  <c r="N4360" i="1"/>
  <c r="N4361" i="1"/>
  <c r="N24188" i="1"/>
  <c r="N24160" i="1"/>
  <c r="N24189" i="1"/>
  <c r="N24161" i="1"/>
  <c r="N9576" i="1"/>
  <c r="N25498" i="1"/>
  <c r="N9577" i="1"/>
  <c r="N25366" i="1"/>
  <c r="N10832" i="1"/>
  <c r="N10833" i="1"/>
  <c r="N4939" i="1"/>
  <c r="N9731" i="1"/>
  <c r="N4940" i="1"/>
  <c r="N9732" i="1"/>
  <c r="N9578" i="1"/>
  <c r="N11147" i="1"/>
  <c r="N11157" i="1"/>
  <c r="N3494" i="1"/>
  <c r="N14022" i="1"/>
  <c r="N24127" i="1"/>
  <c r="N13700" i="1"/>
  <c r="N13701" i="1"/>
  <c r="N13702" i="1"/>
  <c r="N13703" i="1"/>
  <c r="N14350" i="1"/>
  <c r="N9579" i="1"/>
  <c r="N23853" i="1"/>
  <c r="N20429" i="1"/>
  <c r="N20430" i="1"/>
  <c r="N20431" i="1"/>
  <c r="N20432" i="1"/>
  <c r="N20433" i="1"/>
  <c r="N20434" i="1"/>
  <c r="N20435" i="1"/>
  <c r="N20436" i="1"/>
  <c r="N20437" i="1"/>
  <c r="N20438" i="1"/>
  <c r="N20439" i="1"/>
  <c r="N17236" i="1"/>
  <c r="N23854" i="1"/>
  <c r="N12336" i="1"/>
  <c r="N12337" i="1"/>
  <c r="N12338" i="1"/>
  <c r="N12339" i="1"/>
  <c r="N18797" i="1"/>
  <c r="N10745" i="1"/>
  <c r="N10746" i="1"/>
  <c r="N11259" i="1"/>
  <c r="N10747" i="1"/>
  <c r="N10748" i="1"/>
  <c r="N10749" i="1"/>
  <c r="N10750" i="1"/>
  <c r="N23738" i="1"/>
  <c r="N23739" i="1"/>
  <c r="N10664" i="1"/>
  <c r="N10678" i="1"/>
  <c r="N3367" i="1"/>
  <c r="N17937" i="1"/>
  <c r="N3734" i="1"/>
  <c r="N3735" i="1"/>
  <c r="N3736" i="1"/>
  <c r="N3737" i="1"/>
  <c r="N4620" i="1"/>
  <c r="N4682" i="1"/>
  <c r="N4210" i="1"/>
  <c r="N15035" i="1"/>
  <c r="N23287" i="1"/>
  <c r="N23149" i="1"/>
  <c r="N23469" i="1"/>
  <c r="N23454" i="1"/>
  <c r="N23211" i="1"/>
  <c r="N23288" i="1"/>
  <c r="N23470" i="1"/>
  <c r="N23289" i="1"/>
  <c r="N23471" i="1"/>
  <c r="N23290" i="1"/>
  <c r="N15085" i="1"/>
  <c r="N15086" i="1"/>
  <c r="N15087" i="1"/>
  <c r="N15088" i="1"/>
  <c r="N15089" i="1"/>
  <c r="N1699" i="1"/>
  <c r="N1700" i="1"/>
  <c r="N2592" i="1"/>
  <c r="N20440" i="1"/>
  <c r="N20441" i="1"/>
  <c r="N20442" i="1"/>
  <c r="N20443" i="1"/>
  <c r="N20444" i="1"/>
  <c r="N20445" i="1"/>
  <c r="N20446" i="1"/>
  <c r="N20447" i="1"/>
  <c r="N20448" i="1"/>
  <c r="N20449" i="1"/>
  <c r="N20450" i="1"/>
  <c r="N20451" i="1"/>
  <c r="N20452" i="1"/>
  <c r="N20453" i="1"/>
  <c r="N20454" i="1"/>
  <c r="N20455" i="1"/>
  <c r="N20456" i="1"/>
  <c r="N20457" i="1"/>
  <c r="N20458" i="1"/>
  <c r="N20459" i="1"/>
  <c r="N20460" i="1"/>
  <c r="N20461" i="1"/>
  <c r="N20462" i="1"/>
  <c r="N20463" i="1"/>
  <c r="N20464" i="1"/>
  <c r="N20465" i="1"/>
  <c r="N20466" i="1"/>
  <c r="N20467" i="1"/>
  <c r="N20468" i="1"/>
  <c r="N20469" i="1"/>
  <c r="N20470" i="1"/>
  <c r="N20471" i="1"/>
  <c r="N20472" i="1"/>
  <c r="N20473" i="1"/>
  <c r="N20474" i="1"/>
  <c r="N20475" i="1"/>
  <c r="N20476" i="1"/>
  <c r="N20477" i="1"/>
  <c r="N20478" i="1"/>
  <c r="N20479" i="1"/>
  <c r="N20480" i="1"/>
  <c r="N20481" i="1"/>
  <c r="N20482" i="1"/>
  <c r="N20483" i="1"/>
  <c r="N20484" i="1"/>
  <c r="N20485" i="1"/>
  <c r="N20486" i="1"/>
  <c r="N20487" i="1"/>
  <c r="N20488" i="1"/>
  <c r="N20489" i="1"/>
  <c r="N20490" i="1"/>
  <c r="N20491" i="1"/>
  <c r="N20492" i="1"/>
  <c r="N20493" i="1"/>
  <c r="N20494" i="1"/>
  <c r="N20495" i="1"/>
  <c r="N20496" i="1"/>
  <c r="N20497" i="1"/>
  <c r="N20498" i="1"/>
  <c r="N20499" i="1"/>
  <c r="N20500" i="1"/>
  <c r="N20501" i="1"/>
  <c r="N20502" i="1"/>
  <c r="N20503" i="1"/>
  <c r="N20504" i="1"/>
  <c r="N17237" i="1"/>
  <c r="N10725" i="1"/>
  <c r="N10679" i="1"/>
  <c r="N10680" i="1"/>
  <c r="N10670" i="1"/>
  <c r="N10681" i="1"/>
  <c r="N10671" i="1"/>
  <c r="N10728" i="1"/>
  <c r="N10672" i="1"/>
  <c r="N10682" i="1"/>
  <c r="N14368" i="1"/>
  <c r="N14369" i="1"/>
  <c r="N14372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9661" i="1"/>
  <c r="N9662" i="1"/>
  <c r="N9663" i="1"/>
  <c r="N9664" i="1"/>
  <c r="N25499" i="1"/>
  <c r="N9733" i="1"/>
  <c r="N2593" i="1"/>
  <c r="N4654" i="1"/>
  <c r="N10467" i="1"/>
  <c r="N10468" i="1"/>
  <c r="N19614" i="1"/>
  <c r="N19639" i="1"/>
  <c r="N4211" i="1"/>
  <c r="N15647" i="1"/>
  <c r="N23291" i="1"/>
  <c r="N14623" i="1"/>
  <c r="N12421" i="1"/>
  <c r="N12422" i="1"/>
  <c r="N12423" i="1"/>
  <c r="N6560" i="1"/>
  <c r="N9734" i="1"/>
  <c r="N4683" i="1"/>
  <c r="N19378" i="1"/>
  <c r="N19379" i="1"/>
  <c r="N10498" i="1"/>
  <c r="N10499" i="1"/>
  <c r="N10500" i="1"/>
  <c r="N10501" i="1"/>
  <c r="N10502" i="1"/>
  <c r="N10433" i="1"/>
  <c r="N10434" i="1"/>
  <c r="N1718" i="1"/>
  <c r="N1719" i="1"/>
  <c r="N6324" i="1"/>
  <c r="N25367" i="1"/>
  <c r="N3986" i="1"/>
  <c r="N25500" i="1"/>
  <c r="N7943" i="1"/>
  <c r="N19380" i="1"/>
  <c r="N19381" i="1"/>
  <c r="N2374" i="1"/>
  <c r="N24111" i="1"/>
  <c r="N11719" i="1"/>
  <c r="N7944" i="1"/>
  <c r="N9976" i="1"/>
  <c r="N1855" i="1"/>
  <c r="N8015" i="1"/>
  <c r="N15538" i="1"/>
  <c r="N9228" i="1"/>
  <c r="N5315" i="1"/>
  <c r="N4167" i="1"/>
  <c r="N4168" i="1"/>
  <c r="N24162" i="1"/>
  <c r="N3479" i="1"/>
  <c r="N13945" i="1"/>
  <c r="N14590" i="1"/>
  <c r="N9384" i="1"/>
  <c r="N9385" i="1"/>
  <c r="N14572" i="1"/>
  <c r="N11388" i="1"/>
  <c r="N9977" i="1"/>
  <c r="N11389" i="1"/>
  <c r="N9961" i="1"/>
  <c r="N16584" i="1"/>
  <c r="N16620" i="1"/>
  <c r="N15777" i="1"/>
  <c r="N23740" i="1"/>
  <c r="N8186" i="1"/>
  <c r="N19794" i="1"/>
  <c r="N15864" i="1"/>
  <c r="N8108" i="1"/>
  <c r="N13768" i="1"/>
  <c r="N13788" i="1"/>
  <c r="N13704" i="1"/>
  <c r="N13674" i="1"/>
  <c r="N13705" i="1"/>
  <c r="N4534" i="1"/>
  <c r="N19803" i="1"/>
  <c r="N19804" i="1"/>
  <c r="N2751" i="1"/>
  <c r="N9492" i="1"/>
  <c r="N5580" i="1"/>
  <c r="N5581" i="1"/>
  <c r="N5582" i="1"/>
  <c r="N2957" i="1"/>
  <c r="N11390" i="1"/>
  <c r="N16621" i="1"/>
  <c r="N10834" i="1"/>
  <c r="N10835" i="1"/>
  <c r="N20505" i="1"/>
  <c r="N12191" i="1"/>
  <c r="N15399" i="1"/>
  <c r="N15126" i="1"/>
  <c r="N15127" i="1"/>
  <c r="N15128" i="1"/>
  <c r="N13934" i="1"/>
  <c r="N6391" i="1"/>
  <c r="N6392" i="1"/>
  <c r="N6393" i="1"/>
  <c r="N6394" i="1"/>
  <c r="N6395" i="1"/>
  <c r="N6396" i="1"/>
  <c r="N6397" i="1"/>
  <c r="N6398" i="1"/>
  <c r="N6399" i="1"/>
  <c r="N5583" i="1"/>
  <c r="N5584" i="1"/>
  <c r="N5585" i="1"/>
  <c r="N1946" i="1"/>
  <c r="N23707" i="1"/>
  <c r="N8401" i="1"/>
  <c r="N8619" i="1"/>
  <c r="N8620" i="1"/>
  <c r="N12297" i="1"/>
  <c r="N17177" i="1"/>
  <c r="N17178" i="1"/>
  <c r="N24324" i="1"/>
  <c r="N2522" i="1"/>
  <c r="N17726" i="1"/>
  <c r="N17727" i="1"/>
  <c r="N17728" i="1"/>
  <c r="N17729" i="1"/>
  <c r="N17730" i="1"/>
  <c r="N17731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2752" i="1"/>
  <c r="N2753" i="1"/>
  <c r="N11780" i="1"/>
  <c r="N12325" i="1"/>
  <c r="N12329" i="1"/>
  <c r="N23641" i="1"/>
  <c r="N5220" i="1"/>
  <c r="N24112" i="1"/>
  <c r="N24760" i="1"/>
  <c r="N24761" i="1"/>
  <c r="N24762" i="1"/>
  <c r="N24763" i="1"/>
  <c r="N25501" i="1"/>
  <c r="N25749" i="1"/>
  <c r="N23071" i="1"/>
  <c r="N25934" i="1"/>
  <c r="N25935" i="1"/>
  <c r="N10296" i="1"/>
  <c r="N15359" i="1"/>
  <c r="N11391" i="1"/>
  <c r="N11270" i="1"/>
  <c r="N1988" i="1"/>
  <c r="N1989" i="1"/>
  <c r="N11037" i="1"/>
  <c r="N15499" i="1"/>
  <c r="N15476" i="1"/>
  <c r="N15500" i="1"/>
  <c r="N15501" i="1"/>
  <c r="N15502" i="1"/>
  <c r="N5600" i="1"/>
  <c r="N11925" i="1"/>
  <c r="N5601" i="1"/>
  <c r="N5602" i="1"/>
  <c r="N5603" i="1"/>
  <c r="N5604" i="1"/>
  <c r="N20506" i="1"/>
  <c r="N2411" i="1"/>
  <c r="N2496" i="1"/>
  <c r="N4362" i="1"/>
  <c r="N22910" i="1"/>
  <c r="N2497" i="1"/>
  <c r="N4073" i="1"/>
  <c r="N20507" i="1"/>
  <c r="N20508" i="1"/>
  <c r="N9735" i="1"/>
  <c r="N7072" i="1"/>
  <c r="N7073" i="1"/>
  <c r="N7700" i="1"/>
  <c r="N9736" i="1"/>
  <c r="N23150" i="1"/>
  <c r="N23292" i="1"/>
  <c r="N23151" i="1"/>
  <c r="N23518" i="1"/>
  <c r="N23212" i="1"/>
  <c r="N23213" i="1"/>
  <c r="N23293" i="1"/>
  <c r="N23294" i="1"/>
  <c r="N23295" i="1"/>
  <c r="N23152" i="1"/>
  <c r="N23519" i="1"/>
  <c r="N23472" i="1"/>
  <c r="N23296" i="1"/>
  <c r="N23297" i="1"/>
  <c r="N23298" i="1"/>
  <c r="N23506" i="1"/>
  <c r="N23299" i="1"/>
  <c r="N23300" i="1"/>
  <c r="N23301" i="1"/>
  <c r="N23153" i="1"/>
  <c r="N23154" i="1"/>
  <c r="N23302" i="1"/>
  <c r="N9737" i="1"/>
  <c r="N9738" i="1"/>
  <c r="N9739" i="1"/>
  <c r="N9740" i="1"/>
  <c r="N9741" i="1"/>
  <c r="N9742" i="1"/>
  <c r="N9743" i="1"/>
  <c r="N20509" i="1"/>
  <c r="N20510" i="1"/>
  <c r="N20511" i="1"/>
  <c r="N20512" i="1"/>
  <c r="N20513" i="1"/>
  <c r="N20514" i="1"/>
  <c r="N5605" i="1"/>
  <c r="N5606" i="1"/>
  <c r="N5607" i="1"/>
  <c r="N5608" i="1"/>
  <c r="N6665" i="1"/>
  <c r="N9744" i="1"/>
  <c r="N20515" i="1"/>
  <c r="N20516" i="1"/>
  <c r="N20517" i="1"/>
  <c r="N20518" i="1"/>
  <c r="N20519" i="1"/>
  <c r="N20520" i="1"/>
  <c r="N20521" i="1"/>
  <c r="N20522" i="1"/>
  <c r="N20523" i="1"/>
  <c r="N20524" i="1"/>
  <c r="N20525" i="1"/>
  <c r="N20526" i="1"/>
  <c r="N20527" i="1"/>
  <c r="N20528" i="1"/>
  <c r="N5609" i="1"/>
  <c r="N5610" i="1"/>
  <c r="N5611" i="1"/>
  <c r="N20529" i="1"/>
  <c r="N20530" i="1"/>
  <c r="N20531" i="1"/>
  <c r="N23530" i="1"/>
  <c r="N23531" i="1"/>
  <c r="N23532" i="1"/>
  <c r="N23533" i="1"/>
  <c r="N23534" i="1"/>
  <c r="N23535" i="1"/>
  <c r="N23536" i="1"/>
  <c r="N23537" i="1"/>
  <c r="N23538" i="1"/>
  <c r="N14282" i="1"/>
  <c r="N14293" i="1"/>
  <c r="N14283" i="1"/>
  <c r="N14294" i="1"/>
  <c r="N14284" i="1"/>
  <c r="N10571" i="1"/>
  <c r="N8041" i="1"/>
  <c r="N5612" i="1"/>
  <c r="N5613" i="1"/>
  <c r="N5614" i="1"/>
  <c r="N5615" i="1"/>
  <c r="N5616" i="1"/>
  <c r="N5617" i="1"/>
  <c r="N5618" i="1"/>
  <c r="N5619" i="1"/>
  <c r="N5620" i="1"/>
  <c r="N5621" i="1"/>
  <c r="N10836" i="1"/>
  <c r="N10837" i="1"/>
  <c r="N10838" i="1"/>
  <c r="N10839" i="1"/>
  <c r="N2128" i="1"/>
  <c r="N9745" i="1"/>
  <c r="N11926" i="1"/>
  <c r="N4299" i="1"/>
  <c r="N4300" i="1"/>
  <c r="N4535" i="1"/>
  <c r="N4536" i="1"/>
  <c r="N4537" i="1"/>
  <c r="N4538" i="1"/>
  <c r="N6126" i="1"/>
  <c r="N17732" i="1"/>
  <c r="N3128" i="1"/>
  <c r="N3129" i="1"/>
  <c r="N24608" i="1"/>
  <c r="N11392" i="1"/>
  <c r="N11393" i="1"/>
  <c r="N24056" i="1"/>
  <c r="N11271" i="1"/>
  <c r="N11394" i="1"/>
  <c r="N11395" i="1"/>
  <c r="N11396" i="1"/>
  <c r="N11397" i="1"/>
  <c r="N11398" i="1"/>
  <c r="N25750" i="1"/>
  <c r="N25670" i="1"/>
  <c r="N6666" i="1"/>
  <c r="N20532" i="1"/>
  <c r="N20533" i="1"/>
  <c r="N20534" i="1"/>
  <c r="N13268" i="1"/>
  <c r="N13269" i="1"/>
  <c r="N13270" i="1"/>
  <c r="N11720" i="1"/>
  <c r="N11721" i="1"/>
  <c r="N5622" i="1"/>
  <c r="N5623" i="1"/>
  <c r="N5624" i="1"/>
  <c r="N5625" i="1"/>
  <c r="N25946" i="1"/>
  <c r="N23133" i="1"/>
  <c r="N1235" i="1"/>
  <c r="N4340" i="1"/>
  <c r="N4157" i="1"/>
  <c r="N9746" i="1"/>
  <c r="N7945" i="1"/>
  <c r="N6755" i="1"/>
  <c r="N2316" i="1"/>
  <c r="N4498" i="1"/>
  <c r="N4496" i="1"/>
  <c r="N20535" i="1"/>
  <c r="N20536" i="1"/>
  <c r="N20537" i="1"/>
  <c r="N20538" i="1"/>
  <c r="N23630" i="1"/>
  <c r="N11080" i="1"/>
  <c r="N24146" i="1"/>
  <c r="N4451" i="1"/>
  <c r="N4452" i="1"/>
  <c r="N3774" i="1"/>
  <c r="N12923" i="1"/>
  <c r="N12924" i="1"/>
  <c r="N12925" i="1"/>
  <c r="N12926" i="1"/>
  <c r="N12927" i="1"/>
  <c r="N7946" i="1"/>
  <c r="N20539" i="1"/>
  <c r="N20540" i="1"/>
  <c r="N20541" i="1"/>
  <c r="N20542" i="1"/>
  <c r="N20543" i="1"/>
  <c r="N20544" i="1"/>
  <c r="N20545" i="1"/>
  <c r="N20546" i="1"/>
  <c r="N20547" i="1"/>
  <c r="N20548" i="1"/>
  <c r="N20549" i="1"/>
  <c r="N12928" i="1"/>
  <c r="N24686" i="1"/>
  <c r="N24687" i="1"/>
  <c r="N12929" i="1"/>
  <c r="N12930" i="1"/>
  <c r="N12931" i="1"/>
  <c r="N12932" i="1"/>
  <c r="N7947" i="1"/>
  <c r="N7948" i="1"/>
  <c r="N20550" i="1"/>
  <c r="N20551" i="1"/>
  <c r="N20552" i="1"/>
  <c r="N20553" i="1"/>
  <c r="N20554" i="1"/>
  <c r="N20555" i="1"/>
  <c r="N23823" i="1"/>
  <c r="N23824" i="1"/>
  <c r="N23825" i="1"/>
  <c r="N12721" i="1"/>
  <c r="N12224" i="1"/>
  <c r="N12225" i="1"/>
  <c r="N12223" i="1"/>
  <c r="N12214" i="1"/>
  <c r="N12406" i="1"/>
  <c r="N9074" i="1"/>
  <c r="N9075" i="1"/>
  <c r="N7938" i="1"/>
  <c r="N3310" i="1"/>
  <c r="N11794" i="1"/>
  <c r="N11795" i="1"/>
  <c r="N11796" i="1"/>
  <c r="N11797" i="1"/>
  <c r="N11798" i="1"/>
  <c r="N13418" i="1"/>
  <c r="N13419" i="1"/>
  <c r="N3206" i="1"/>
  <c r="N3207" i="1"/>
  <c r="N3208" i="1"/>
  <c r="N13420" i="1"/>
  <c r="N13421" i="1"/>
  <c r="N13422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23644" i="1"/>
  <c r="N11399" i="1"/>
  <c r="N11400" i="1"/>
  <c r="N12344" i="1"/>
  <c r="N1481" i="1"/>
  <c r="N15681" i="1"/>
  <c r="N5626" i="1"/>
  <c r="N10374" i="1"/>
  <c r="N10375" i="1"/>
  <c r="N10376" i="1"/>
  <c r="N10377" i="1"/>
  <c r="N10378" i="1"/>
  <c r="N10379" i="1"/>
  <c r="N10840" i="1"/>
  <c r="N14417" i="1"/>
  <c r="N4363" i="1"/>
  <c r="N12298" i="1"/>
  <c r="N18376" i="1"/>
  <c r="N18377" i="1"/>
  <c r="N18378" i="1"/>
  <c r="N20556" i="1"/>
  <c r="N20557" i="1"/>
  <c r="N20558" i="1"/>
  <c r="N20559" i="1"/>
  <c r="N20560" i="1"/>
  <c r="N20561" i="1"/>
  <c r="N20562" i="1"/>
  <c r="N20563" i="1"/>
  <c r="N20564" i="1"/>
  <c r="N20565" i="1"/>
  <c r="N20566" i="1"/>
  <c r="N20567" i="1"/>
  <c r="N20568" i="1"/>
  <c r="N20569" i="1"/>
  <c r="N20570" i="1"/>
  <c r="N20571" i="1"/>
  <c r="N20572" i="1"/>
  <c r="N3676" i="1"/>
  <c r="N3677" i="1"/>
  <c r="N3678" i="1"/>
  <c r="N3679" i="1"/>
  <c r="N3680" i="1"/>
  <c r="N3681" i="1"/>
  <c r="N15865" i="1"/>
  <c r="N15908" i="1"/>
  <c r="N23303" i="1"/>
  <c r="N23304" i="1"/>
  <c r="N23305" i="1"/>
  <c r="N23155" i="1"/>
  <c r="N23306" i="1"/>
  <c r="N18171" i="1"/>
  <c r="N25985" i="1"/>
  <c r="N14474" i="1"/>
  <c r="N24242" i="1"/>
  <c r="N1293" i="1"/>
  <c r="N1287" i="1"/>
  <c r="N1294" i="1"/>
  <c r="N1288" i="1"/>
  <c r="N25502" i="1"/>
  <c r="N14381" i="1"/>
  <c r="N18045" i="1"/>
  <c r="N18063" i="1"/>
  <c r="N20573" i="1"/>
  <c r="N20574" i="1"/>
  <c r="N20575" i="1"/>
  <c r="N20576" i="1"/>
  <c r="N20577" i="1"/>
  <c r="N20578" i="1"/>
  <c r="N20579" i="1"/>
  <c r="N20580" i="1"/>
  <c r="N20581" i="1"/>
  <c r="N20582" i="1"/>
  <c r="N20583" i="1"/>
  <c r="N20584" i="1"/>
  <c r="N14659" i="1"/>
  <c r="N24506" i="1"/>
  <c r="N24507" i="1"/>
  <c r="N24508" i="1"/>
  <c r="N24509" i="1"/>
  <c r="N24510" i="1"/>
  <c r="N24511" i="1"/>
  <c r="N24512" i="1"/>
  <c r="N24513" i="1"/>
  <c r="N24514" i="1"/>
  <c r="N24515" i="1"/>
  <c r="N11401" i="1"/>
  <c r="N11402" i="1"/>
  <c r="N18798" i="1"/>
  <c r="N18799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866" i="1"/>
  <c r="N7074" i="1"/>
  <c r="N7701" i="1"/>
  <c r="N4169" i="1"/>
  <c r="N11022" i="1"/>
  <c r="N12252" i="1"/>
  <c r="N19128" i="1"/>
  <c r="N19129" i="1"/>
  <c r="N19130" i="1"/>
  <c r="N25435" i="1"/>
  <c r="N25307" i="1"/>
  <c r="N3268" i="1"/>
  <c r="N3269" i="1"/>
  <c r="N11018" i="1"/>
  <c r="N11021" i="1"/>
  <c r="N24262" i="1"/>
  <c r="N1842" i="1"/>
  <c r="N9399" i="1"/>
  <c r="N5627" i="1"/>
  <c r="N6528" i="1"/>
  <c r="N6618" i="1"/>
  <c r="N20585" i="1"/>
  <c r="N20586" i="1"/>
  <c r="N20587" i="1"/>
  <c r="N19268" i="1"/>
  <c r="N19269" i="1"/>
  <c r="N14585" i="1"/>
  <c r="N20588" i="1"/>
  <c r="N20589" i="1"/>
  <c r="N20590" i="1"/>
  <c r="N20591" i="1"/>
  <c r="N20592" i="1"/>
  <c r="N20593" i="1"/>
  <c r="N20594" i="1"/>
  <c r="N20595" i="1"/>
  <c r="N25267" i="1"/>
  <c r="N23110" i="1"/>
  <c r="N17859" i="1"/>
  <c r="N17862" i="1"/>
  <c r="N9504" i="1"/>
  <c r="N2244" i="1"/>
  <c r="N11900" i="1"/>
  <c r="N11901" i="1"/>
  <c r="N25268" i="1"/>
  <c r="N18800" i="1"/>
  <c r="N13178" i="1"/>
  <c r="N15568" i="1"/>
  <c r="N15569" i="1"/>
  <c r="N8621" i="1"/>
  <c r="N8622" i="1"/>
  <c r="N9005" i="1"/>
  <c r="N8623" i="1"/>
  <c r="N10330" i="1"/>
  <c r="N16517" i="1"/>
  <c r="N8383" i="1"/>
  <c r="N8624" i="1"/>
  <c r="N9485" i="1"/>
  <c r="N13640" i="1"/>
  <c r="N13641" i="1"/>
  <c r="N19829" i="1"/>
  <c r="N24245" i="1"/>
  <c r="N4056" i="1"/>
  <c r="N19101" i="1"/>
  <c r="N3105" i="1"/>
  <c r="N7949" i="1"/>
  <c r="N4161" i="1"/>
  <c r="N15441" i="1"/>
  <c r="N1781" i="1"/>
  <c r="N24030" i="1"/>
  <c r="N13360" i="1"/>
  <c r="N13361" i="1"/>
  <c r="N13362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459" i="1"/>
  <c r="N9460" i="1"/>
  <c r="N9759" i="1"/>
  <c r="N9760" i="1"/>
  <c r="N9761" i="1"/>
  <c r="N9762" i="1"/>
  <c r="N7950" i="1"/>
  <c r="N7951" i="1"/>
  <c r="N7952" i="1"/>
  <c r="N13642" i="1"/>
  <c r="N13643" i="1"/>
  <c r="N1990" i="1"/>
  <c r="N23848" i="1"/>
  <c r="N23855" i="1"/>
  <c r="N23856" i="1"/>
  <c r="N25232" i="1"/>
  <c r="N25233" i="1"/>
  <c r="N25368" i="1"/>
  <c r="N14981" i="1"/>
  <c r="N4303" i="1"/>
  <c r="N8187" i="1"/>
  <c r="N2754" i="1"/>
  <c r="N19096" i="1"/>
  <c r="N19102" i="1"/>
  <c r="N9978" i="1"/>
  <c r="N12275" i="1"/>
  <c r="N5316" i="1"/>
  <c r="N5317" i="1"/>
  <c r="N9407" i="1"/>
  <c r="N9400" i="1"/>
  <c r="N2256" i="1"/>
  <c r="N8625" i="1"/>
  <c r="N8402" i="1"/>
  <c r="N8626" i="1"/>
  <c r="N8627" i="1"/>
  <c r="N8628" i="1"/>
  <c r="N8629" i="1"/>
  <c r="N8630" i="1"/>
  <c r="N8631" i="1"/>
  <c r="N8403" i="1"/>
  <c r="N8404" i="1"/>
  <c r="N8632" i="1"/>
  <c r="N8633" i="1"/>
  <c r="N8634" i="1"/>
  <c r="N8405" i="1"/>
  <c r="N8406" i="1"/>
  <c r="N8635" i="1"/>
  <c r="N8636" i="1"/>
  <c r="N8637" i="1"/>
  <c r="N8638" i="1"/>
  <c r="N17928" i="1"/>
  <c r="N17929" i="1"/>
  <c r="N12335" i="1"/>
  <c r="N3468" i="1"/>
  <c r="N8639" i="1"/>
  <c r="N16222" i="1"/>
  <c r="N10248" i="1"/>
  <c r="N1810" i="1"/>
  <c r="N24741" i="1"/>
  <c r="N25308" i="1"/>
  <c r="N23619" i="1"/>
  <c r="N8640" i="1"/>
  <c r="N14386" i="1"/>
  <c r="N5628" i="1"/>
  <c r="N5629" i="1"/>
  <c r="N2958" i="1"/>
  <c r="N2959" i="1"/>
  <c r="N5630" i="1"/>
  <c r="N14387" i="1"/>
  <c r="N14388" i="1"/>
  <c r="N2960" i="1"/>
  <c r="N2961" i="1"/>
  <c r="N2962" i="1"/>
  <c r="N16296" i="1"/>
  <c r="N18407" i="1"/>
  <c r="N18410" i="1"/>
  <c r="N15107" i="1"/>
  <c r="N5631" i="1"/>
  <c r="N5632" i="1"/>
  <c r="N5633" i="1"/>
  <c r="N15736" i="1"/>
  <c r="N8641" i="1"/>
  <c r="N8642" i="1"/>
  <c r="N8643" i="1"/>
  <c r="N4121" i="1"/>
  <c r="N12018" i="1"/>
  <c r="N8644" i="1"/>
  <c r="N8645" i="1"/>
  <c r="N8646" i="1"/>
  <c r="N8647" i="1"/>
  <c r="N8648" i="1"/>
  <c r="N15566" i="1"/>
  <c r="N8649" i="1"/>
  <c r="N8407" i="1"/>
  <c r="N8650" i="1"/>
  <c r="N9344" i="1"/>
  <c r="N9345" i="1"/>
  <c r="N1692" i="1"/>
  <c r="N25751" i="1"/>
  <c r="N25503" i="1"/>
  <c r="N18527" i="1"/>
  <c r="N18528" i="1"/>
  <c r="N18529" i="1"/>
  <c r="N4102" i="1"/>
  <c r="N19595" i="1"/>
  <c r="N19596" i="1"/>
  <c r="N23561" i="1"/>
  <c r="N23602" i="1"/>
  <c r="N23562" i="1"/>
  <c r="N18525" i="1"/>
  <c r="N9386" i="1"/>
  <c r="N9346" i="1"/>
  <c r="N7953" i="1"/>
  <c r="N14732" i="1"/>
  <c r="N12933" i="1"/>
  <c r="N12934" i="1"/>
  <c r="N3775" i="1"/>
  <c r="N3318" i="1"/>
  <c r="N12935" i="1"/>
  <c r="N17905" i="1"/>
  <c r="N12936" i="1"/>
  <c r="N12937" i="1"/>
  <c r="N23214" i="1"/>
  <c r="N23507" i="1"/>
  <c r="N23156" i="1"/>
  <c r="N23473" i="1"/>
  <c r="N23215" i="1"/>
  <c r="N23474" i="1"/>
  <c r="N12673" i="1"/>
  <c r="N12674" i="1"/>
  <c r="N12675" i="1"/>
  <c r="N7075" i="1"/>
  <c r="N7076" i="1"/>
  <c r="N7077" i="1"/>
  <c r="N7078" i="1"/>
  <c r="N7079" i="1"/>
  <c r="N7080" i="1"/>
  <c r="N2594" i="1"/>
  <c r="N23072" i="1"/>
  <c r="N2259" i="1"/>
  <c r="N19568" i="1"/>
  <c r="N19569" i="1"/>
  <c r="N14962" i="1"/>
  <c r="N1523" i="1"/>
  <c r="N2595" i="1"/>
  <c r="N7081" i="1"/>
  <c r="N7702" i="1"/>
  <c r="N12155" i="1"/>
  <c r="N17244" i="1"/>
  <c r="N17238" i="1"/>
  <c r="N6097" i="1"/>
  <c r="N13969" i="1"/>
  <c r="N15676" i="1"/>
  <c r="N6117" i="1"/>
  <c r="N5004" i="1"/>
  <c r="N5001" i="1"/>
  <c r="N6219" i="1"/>
  <c r="N17858" i="1"/>
  <c r="N9955" i="1"/>
  <c r="N17733" i="1"/>
  <c r="N1782" i="1"/>
  <c r="N6153" i="1"/>
  <c r="N6154" i="1"/>
  <c r="N2596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2473" i="1"/>
  <c r="N8408" i="1"/>
  <c r="N2474" i="1"/>
  <c r="N2475" i="1"/>
  <c r="N1835" i="1"/>
  <c r="N6361" i="1"/>
  <c r="N13970" i="1"/>
  <c r="N13971" i="1"/>
  <c r="N15778" i="1"/>
  <c r="N9535" i="1"/>
  <c r="N13972" i="1"/>
  <c r="N14624" i="1"/>
  <c r="N24147" i="1"/>
  <c r="N24148" i="1"/>
  <c r="N18172" i="1"/>
  <c r="N25671" i="1"/>
  <c r="N18173" i="1"/>
  <c r="N18008" i="1"/>
  <c r="N18009" i="1"/>
  <c r="N7082" i="1"/>
  <c r="N7703" i="1"/>
  <c r="N7083" i="1"/>
  <c r="N7084" i="1"/>
  <c r="N4497" i="1"/>
  <c r="N128" i="1"/>
  <c r="N129" i="1"/>
  <c r="N130" i="1"/>
  <c r="N131" i="1"/>
  <c r="N132" i="1"/>
  <c r="N133" i="1"/>
  <c r="N134" i="1"/>
  <c r="N135" i="1"/>
  <c r="N136" i="1"/>
  <c r="N137" i="1"/>
  <c r="N138" i="1"/>
  <c r="N18668" i="1"/>
  <c r="N8374" i="1"/>
  <c r="N18112" i="1"/>
  <c r="N1544" i="1"/>
  <c r="N139" i="1"/>
  <c r="N140" i="1"/>
  <c r="N141" i="1"/>
  <c r="N3421" i="1"/>
  <c r="N3427" i="1"/>
  <c r="N2476" i="1"/>
  <c r="N2477" i="1"/>
  <c r="N23025" i="1"/>
  <c r="N1642" i="1"/>
  <c r="N7085" i="1"/>
  <c r="N7868" i="1"/>
  <c r="N7704" i="1"/>
  <c r="N7086" i="1"/>
  <c r="N7087" i="1"/>
  <c r="N7705" i="1"/>
  <c r="N7088" i="1"/>
  <c r="N7706" i="1"/>
  <c r="N142" i="1"/>
  <c r="N143" i="1"/>
  <c r="N144" i="1"/>
  <c r="N25234" i="1"/>
  <c r="N25107" i="1"/>
  <c r="N25235" i="1"/>
  <c r="N25236" i="1"/>
  <c r="N25108" i="1"/>
  <c r="N11403" i="1"/>
  <c r="N11404" i="1"/>
  <c r="N11405" i="1"/>
  <c r="N6259" i="1"/>
  <c r="N6510" i="1"/>
  <c r="N12010" i="1"/>
  <c r="N23597" i="1"/>
  <c r="N15011" i="1"/>
  <c r="N15012" i="1"/>
  <c r="N15013" i="1"/>
  <c r="N15014" i="1"/>
  <c r="N2097" i="1"/>
  <c r="N10331" i="1"/>
  <c r="N23041" i="1"/>
  <c r="N22911" i="1"/>
  <c r="N12007" i="1"/>
  <c r="N18336" i="1"/>
  <c r="N18337" i="1"/>
  <c r="N3842" i="1"/>
  <c r="N3840" i="1"/>
  <c r="N3841" i="1"/>
  <c r="N23104" i="1"/>
  <c r="N145" i="1"/>
  <c r="N146" i="1"/>
  <c r="N147" i="1"/>
  <c r="N16300" i="1"/>
  <c r="N8188" i="1"/>
  <c r="N15682" i="1"/>
  <c r="N8651" i="1"/>
  <c r="N18174" i="1"/>
  <c r="N8028" i="1"/>
  <c r="N24688" i="1"/>
  <c r="N24689" i="1"/>
  <c r="N24640" i="1"/>
  <c r="N24641" i="1"/>
  <c r="N24690" i="1"/>
  <c r="N24691" i="1"/>
  <c r="N24642" i="1"/>
  <c r="N24643" i="1"/>
  <c r="N15418" i="1"/>
  <c r="N22982" i="1"/>
  <c r="N7707" i="1"/>
  <c r="N7089" i="1"/>
  <c r="N16253" i="1"/>
  <c r="N14593" i="1"/>
  <c r="N16254" i="1"/>
  <c r="N18361" i="1"/>
  <c r="N5318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2597" i="1"/>
  <c r="N2598" i="1"/>
  <c r="N15867" i="1"/>
  <c r="N15700" i="1"/>
  <c r="N23539" i="1"/>
  <c r="N3904" i="1"/>
  <c r="N3905" i="1"/>
  <c r="N3906" i="1"/>
  <c r="N12722" i="1"/>
  <c r="N15338" i="1"/>
  <c r="N4719" i="1"/>
  <c r="N23102" i="1"/>
  <c r="N18414" i="1"/>
  <c r="N18415" i="1"/>
  <c r="N16622" i="1"/>
  <c r="N10165" i="1"/>
  <c r="N15339" i="1"/>
  <c r="N18175" i="1"/>
  <c r="N18176" i="1"/>
  <c r="N12310" i="1"/>
  <c r="N12309" i="1"/>
  <c r="N19656" i="1"/>
  <c r="N1557" i="1"/>
  <c r="N1127" i="1"/>
  <c r="N11081" i="1"/>
  <c r="N1693" i="1"/>
  <c r="N8652" i="1"/>
  <c r="N3977" i="1"/>
  <c r="N5221" i="1"/>
  <c r="N7102" i="1"/>
  <c r="N7708" i="1"/>
  <c r="N7103" i="1"/>
  <c r="N7709" i="1"/>
  <c r="N7104" i="1"/>
  <c r="N7105" i="1"/>
  <c r="N163" i="1"/>
  <c r="N25504" i="1"/>
  <c r="N12053" i="1"/>
  <c r="N10089" i="1"/>
  <c r="N9283" i="1"/>
  <c r="N9313" i="1"/>
  <c r="N9284" i="1"/>
  <c r="N9314" i="1"/>
  <c r="N9285" i="1"/>
  <c r="N9315" i="1"/>
  <c r="N9286" i="1"/>
  <c r="N9316" i="1"/>
  <c r="N9287" i="1"/>
  <c r="N9317" i="1"/>
  <c r="N9288" i="1"/>
  <c r="N9318" i="1"/>
  <c r="N9289" i="1"/>
  <c r="N9319" i="1"/>
  <c r="N9290" i="1"/>
  <c r="N9320" i="1"/>
  <c r="N18177" i="1"/>
  <c r="N18178" i="1"/>
  <c r="N24329" i="1"/>
  <c r="N3277" i="1"/>
  <c r="N15779" i="1"/>
  <c r="N15838" i="1"/>
  <c r="N2755" i="1"/>
  <c r="N2756" i="1"/>
  <c r="N11955" i="1"/>
  <c r="N11956" i="1"/>
  <c r="N4364" i="1"/>
  <c r="N4365" i="1"/>
  <c r="N4366" i="1"/>
  <c r="N4367" i="1"/>
  <c r="N1856" i="1"/>
  <c r="N1857" i="1"/>
  <c r="N164" i="1"/>
  <c r="N165" i="1"/>
  <c r="N166" i="1"/>
  <c r="N13854" i="1"/>
  <c r="N3757" i="1"/>
  <c r="N13543" i="1"/>
  <c r="N13544" i="1"/>
  <c r="N1694" i="1"/>
  <c r="N19462" i="1"/>
  <c r="N19474" i="1"/>
  <c r="N2425" i="1"/>
  <c r="N4655" i="1"/>
  <c r="N25505" i="1"/>
  <c r="N4684" i="1"/>
  <c r="N4685" i="1"/>
  <c r="N4686" i="1"/>
  <c r="N15737" i="1"/>
  <c r="N3821" i="1"/>
  <c r="N7106" i="1"/>
  <c r="N7710" i="1"/>
  <c r="N7107" i="1"/>
  <c r="N7711" i="1"/>
  <c r="N7108" i="1"/>
  <c r="N7712" i="1"/>
  <c r="N25506" i="1"/>
  <c r="N25269" i="1"/>
  <c r="N7954" i="1"/>
  <c r="N25507" i="1"/>
  <c r="N15419" i="1"/>
  <c r="N13876" i="1"/>
  <c r="N15182" i="1"/>
  <c r="N15183" i="1"/>
  <c r="N14485" i="1"/>
  <c r="N7109" i="1"/>
  <c r="N1838" i="1"/>
  <c r="N8409" i="1"/>
  <c r="N8653" i="1"/>
  <c r="N8654" i="1"/>
  <c r="N12938" i="1"/>
  <c r="N12939" i="1"/>
  <c r="N12940" i="1"/>
  <c r="N12941" i="1"/>
  <c r="N12942" i="1"/>
  <c r="N12943" i="1"/>
  <c r="N12944" i="1"/>
  <c r="N12782" i="1"/>
  <c r="N12945" i="1"/>
  <c r="N12946" i="1"/>
  <c r="N12947" i="1"/>
  <c r="N12948" i="1"/>
  <c r="N8189" i="1"/>
  <c r="N19043" i="1"/>
  <c r="N14666" i="1"/>
  <c r="N14667" i="1"/>
  <c r="N25508" i="1"/>
  <c r="N8655" i="1"/>
  <c r="N3785" i="1"/>
  <c r="N18669" i="1"/>
  <c r="N18179" i="1"/>
  <c r="N14889" i="1"/>
  <c r="N15996" i="1"/>
  <c r="N18046" i="1"/>
  <c r="N18064" i="1"/>
  <c r="N18065" i="1"/>
  <c r="N14890" i="1"/>
  <c r="N14891" i="1"/>
  <c r="N9972" i="1"/>
  <c r="N4074" i="1"/>
  <c r="N4075" i="1"/>
  <c r="N4368" i="1"/>
  <c r="N4341" i="1"/>
  <c r="N15810" i="1"/>
  <c r="N15811" i="1"/>
  <c r="N18403" i="1"/>
  <c r="N23858" i="1"/>
  <c r="N19111" i="1"/>
  <c r="N3945" i="1"/>
  <c r="N1454" i="1"/>
  <c r="N15129" i="1"/>
  <c r="N15130" i="1"/>
  <c r="N15131" i="1"/>
  <c r="N12195" i="1"/>
  <c r="N15780" i="1"/>
  <c r="N7955" i="1"/>
  <c r="N4126" i="1"/>
  <c r="N7956" i="1"/>
  <c r="N23120" i="1"/>
  <c r="N23121" i="1"/>
  <c r="N4539" i="1"/>
  <c r="N4540" i="1"/>
  <c r="N4541" i="1"/>
  <c r="N4542" i="1"/>
  <c r="N13684" i="1"/>
  <c r="N6316" i="1"/>
  <c r="N18625" i="1"/>
  <c r="N15830" i="1"/>
  <c r="N13886" i="1"/>
  <c r="N13901" i="1"/>
  <c r="N13883" i="1"/>
  <c r="N13891" i="1"/>
  <c r="N7110" i="1"/>
  <c r="N7713" i="1"/>
  <c r="N7111" i="1"/>
  <c r="N7714" i="1"/>
  <c r="N7112" i="1"/>
  <c r="N15366" i="1"/>
  <c r="N15367" i="1"/>
  <c r="N10552" i="1"/>
  <c r="N2918" i="1"/>
  <c r="N2919" i="1"/>
  <c r="N19330" i="1"/>
  <c r="N10129" i="1"/>
  <c r="N3629" i="1"/>
  <c r="N14857" i="1"/>
  <c r="N24058" i="1"/>
  <c r="N19195" i="1"/>
  <c r="N19148" i="1"/>
  <c r="N2912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4543" i="1"/>
  <c r="N198" i="1"/>
  <c r="N199" i="1"/>
  <c r="N200" i="1"/>
  <c r="N15997" i="1"/>
  <c r="N1323" i="1"/>
  <c r="N19113" i="1"/>
  <c r="N10553" i="1"/>
  <c r="N10554" i="1"/>
  <c r="N17980" i="1"/>
  <c r="N14858" i="1"/>
  <c r="N24373" i="1"/>
  <c r="N24374" i="1"/>
  <c r="N19475" i="1"/>
  <c r="N4076" i="1"/>
  <c r="N24375" i="1"/>
  <c r="N24376" i="1"/>
  <c r="N14892" i="1"/>
  <c r="N14893" i="1"/>
  <c r="N2599" i="1"/>
  <c r="N2600" i="1"/>
  <c r="N2807" i="1"/>
  <c r="N2601" i="1"/>
  <c r="N2602" i="1"/>
  <c r="N25237" i="1"/>
  <c r="N11406" i="1"/>
  <c r="N11407" i="1"/>
  <c r="N9970" i="1"/>
  <c r="N3791" i="1"/>
  <c r="N15460" i="1"/>
  <c r="N15868" i="1"/>
  <c r="N3567" i="1"/>
  <c r="N3568" i="1"/>
  <c r="N3574" i="1"/>
  <c r="N4369" i="1"/>
  <c r="N20596" i="1"/>
  <c r="N19756" i="1"/>
  <c r="N9505" i="1"/>
  <c r="N18033" i="1"/>
  <c r="N18034" i="1"/>
  <c r="N6220" i="1"/>
  <c r="N7113" i="1"/>
  <c r="N7114" i="1"/>
  <c r="N3368" i="1"/>
  <c r="N3776" i="1"/>
  <c r="N19664" i="1"/>
  <c r="N14859" i="1"/>
  <c r="N4370" i="1"/>
  <c r="N3351" i="1"/>
  <c r="N3352" i="1"/>
  <c r="N3353" i="1"/>
  <c r="N25509" i="1"/>
  <c r="N25510" i="1"/>
  <c r="N19149" i="1"/>
  <c r="N19150" i="1"/>
  <c r="N19151" i="1"/>
  <c r="N15449" i="1"/>
  <c r="N23307" i="1"/>
  <c r="N23308" i="1"/>
  <c r="N23309" i="1"/>
  <c r="N10941" i="1"/>
  <c r="N10942" i="1"/>
  <c r="N19285" i="1"/>
  <c r="N25369" i="1"/>
  <c r="N23103" i="1"/>
  <c r="N25270" i="1"/>
  <c r="N3528" i="1"/>
  <c r="N17967" i="1"/>
  <c r="N1564" i="1"/>
  <c r="N1637" i="1"/>
  <c r="N19152" i="1"/>
  <c r="N23696" i="1"/>
  <c r="N18742" i="1"/>
  <c r="N8656" i="1"/>
  <c r="N8657" i="1"/>
  <c r="N8658" i="1"/>
  <c r="N4212" i="1"/>
  <c r="N8659" i="1"/>
  <c r="N8660" i="1"/>
  <c r="N8661" i="1"/>
  <c r="N8662" i="1"/>
  <c r="N8663" i="1"/>
  <c r="N8664" i="1"/>
  <c r="N10262" i="1"/>
  <c r="N8665" i="1"/>
  <c r="N8666" i="1"/>
  <c r="N8667" i="1"/>
  <c r="N8668" i="1"/>
  <c r="N8669" i="1"/>
  <c r="N8670" i="1"/>
  <c r="N8671" i="1"/>
  <c r="N14423" i="1"/>
  <c r="N14424" i="1"/>
  <c r="N8672" i="1"/>
  <c r="N7957" i="1"/>
  <c r="N25370" i="1"/>
  <c r="N8673" i="1"/>
  <c r="N8674" i="1"/>
  <c r="N8675" i="1"/>
  <c r="N8676" i="1"/>
  <c r="N8677" i="1"/>
  <c r="N8678" i="1"/>
  <c r="N10683" i="1"/>
  <c r="N8679" i="1"/>
  <c r="N8680" i="1"/>
  <c r="N8681" i="1"/>
  <c r="N7958" i="1"/>
  <c r="N8682" i="1"/>
  <c r="N8410" i="1"/>
  <c r="N8683" i="1"/>
  <c r="N8684" i="1"/>
  <c r="N8685" i="1"/>
  <c r="N8686" i="1"/>
  <c r="N17734" i="1"/>
  <c r="N17735" i="1"/>
  <c r="N17736" i="1"/>
  <c r="N17737" i="1"/>
  <c r="N17738" i="1"/>
  <c r="N19805" i="1"/>
  <c r="N11082" i="1"/>
  <c r="N19806" i="1"/>
  <c r="N24692" i="1"/>
  <c r="N24693" i="1"/>
  <c r="N24694" i="1"/>
  <c r="N24695" i="1"/>
  <c r="N24696" i="1"/>
  <c r="N7115" i="1"/>
  <c r="N23099" i="1"/>
  <c r="N8687" i="1"/>
  <c r="N6804" i="1"/>
  <c r="N16032" i="1"/>
  <c r="N14430" i="1"/>
  <c r="N14431" i="1"/>
  <c r="N25371" i="1"/>
  <c r="N8190" i="1"/>
  <c r="N8191" i="1"/>
  <c r="N8192" i="1"/>
  <c r="N8193" i="1"/>
  <c r="N2305" i="1"/>
  <c r="N2306" i="1"/>
  <c r="N23893" i="1"/>
  <c r="N24827" i="1"/>
  <c r="N25919" i="1"/>
  <c r="N15869" i="1"/>
  <c r="N10009" i="1"/>
  <c r="N10010" i="1"/>
  <c r="N10011" i="1"/>
  <c r="N10012" i="1"/>
  <c r="N15870" i="1"/>
  <c r="N10013" i="1"/>
  <c r="N3130" i="1"/>
  <c r="N10014" i="1"/>
  <c r="N10015" i="1"/>
  <c r="N4371" i="1"/>
  <c r="N8688" i="1"/>
  <c r="N19241" i="1"/>
  <c r="N15781" i="1"/>
  <c r="N14894" i="1"/>
  <c r="N201" i="1"/>
  <c r="N202" i="1"/>
  <c r="N203" i="1"/>
  <c r="N204" i="1"/>
  <c r="N205" i="1"/>
  <c r="N206" i="1"/>
  <c r="N207" i="1"/>
  <c r="N208" i="1"/>
  <c r="N209" i="1"/>
  <c r="N25511" i="1"/>
  <c r="N6481" i="1"/>
  <c r="N11083" i="1"/>
  <c r="N9387" i="1"/>
  <c r="N9388" i="1"/>
  <c r="N15420" i="1"/>
  <c r="N1720" i="1"/>
  <c r="N6711" i="1"/>
  <c r="N3452" i="1"/>
  <c r="N9057" i="1"/>
  <c r="N8689" i="1"/>
  <c r="N23714" i="1"/>
  <c r="N9347" i="1"/>
  <c r="N9367" i="1"/>
  <c r="N10283" i="1"/>
  <c r="N8194" i="1"/>
  <c r="N25238" i="1"/>
  <c r="N6482" i="1"/>
  <c r="N25109" i="1"/>
  <c r="N6483" i="1"/>
  <c r="N8195" i="1"/>
  <c r="N9763" i="1"/>
  <c r="N11408" i="1"/>
  <c r="N9764" i="1"/>
  <c r="N11409" i="1"/>
  <c r="N11410" i="1"/>
  <c r="N9765" i="1"/>
  <c r="N11411" i="1"/>
  <c r="N23100" i="1"/>
  <c r="N8690" i="1"/>
  <c r="N13973" i="1"/>
  <c r="N11412" i="1"/>
  <c r="N9766" i="1"/>
  <c r="N11413" i="1"/>
  <c r="N11414" i="1"/>
  <c r="N9767" i="1"/>
  <c r="N11415" i="1"/>
  <c r="N11416" i="1"/>
  <c r="N9768" i="1"/>
  <c r="N9665" i="1"/>
  <c r="N11417" i="1"/>
  <c r="N1141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6823" i="1"/>
  <c r="N12177" i="1"/>
  <c r="N3972" i="1"/>
  <c r="N8376" i="1"/>
  <c r="N8378" i="1"/>
  <c r="N16376" i="1"/>
  <c r="N16377" i="1"/>
  <c r="N12271" i="1"/>
  <c r="N17739" i="1"/>
  <c r="N17740" i="1"/>
  <c r="N17741" i="1"/>
  <c r="N17742" i="1"/>
  <c r="N17743" i="1"/>
  <c r="N17744" i="1"/>
  <c r="N13833" i="1"/>
  <c r="N23310" i="1"/>
  <c r="N18801" i="1"/>
  <c r="N3422" i="1"/>
  <c r="N3428" i="1"/>
  <c r="N9006" i="1"/>
  <c r="N8384" i="1"/>
  <c r="N18029" i="1"/>
  <c r="N3176" i="1"/>
  <c r="N3158" i="1"/>
  <c r="N4923" i="1"/>
  <c r="N4893" i="1"/>
  <c r="N18626" i="1"/>
  <c r="N10144" i="1"/>
  <c r="N10114" i="1"/>
  <c r="N10166" i="1"/>
  <c r="N10181" i="1"/>
  <c r="N10167" i="1"/>
  <c r="N10130" i="1"/>
  <c r="N10168" i="1"/>
  <c r="N10145" i="1"/>
  <c r="N10131" i="1"/>
  <c r="N4243" i="1"/>
  <c r="N4253" i="1"/>
  <c r="N10594" i="1"/>
  <c r="N10595" i="1"/>
  <c r="N19570" i="1"/>
  <c r="N19571" i="1"/>
  <c r="N12230" i="1"/>
  <c r="N12231" i="1"/>
  <c r="N8691" i="1"/>
  <c r="N15400" i="1"/>
  <c r="N15401" i="1"/>
  <c r="N10132" i="1"/>
  <c r="N10169" i="1"/>
  <c r="N10147" i="1"/>
  <c r="N3973" i="1"/>
  <c r="N3997" i="1"/>
  <c r="N23216" i="1"/>
  <c r="N23311" i="1"/>
  <c r="N23475" i="1"/>
  <c r="N23312" i="1"/>
  <c r="N13706" i="1"/>
  <c r="N13707" i="1"/>
  <c r="N13708" i="1"/>
  <c r="N13709" i="1"/>
  <c r="N24101" i="1"/>
  <c r="N9229" i="1"/>
  <c r="N9230" i="1"/>
  <c r="N14432" i="1"/>
  <c r="N11121" i="1"/>
  <c r="N11419" i="1"/>
  <c r="N11215" i="1"/>
  <c r="N11420" i="1"/>
  <c r="N11216" i="1"/>
  <c r="N11421" i="1"/>
  <c r="N11217" i="1"/>
  <c r="N11422" i="1"/>
  <c r="N11218" i="1"/>
  <c r="N11423" i="1"/>
  <c r="N11219" i="1"/>
  <c r="N11424" i="1"/>
  <c r="N11220" i="1"/>
  <c r="N11425" i="1"/>
  <c r="N11221" i="1"/>
  <c r="N4036" i="1"/>
  <c r="N12167" i="1"/>
  <c r="N1215" i="1"/>
  <c r="N2478" i="1"/>
  <c r="N8411" i="1"/>
  <c r="N8692" i="1"/>
  <c r="N25436" i="1"/>
  <c r="N18436" i="1"/>
  <c r="N18437" i="1"/>
  <c r="N12104" i="1"/>
  <c r="N12098" i="1"/>
  <c r="N12123" i="1"/>
  <c r="N2963" i="1"/>
  <c r="N2964" i="1"/>
  <c r="N2965" i="1"/>
  <c r="N17179" i="1"/>
  <c r="N17180" i="1"/>
  <c r="N13899" i="1"/>
  <c r="N4912" i="1"/>
  <c r="N1915" i="1"/>
  <c r="N1907" i="1"/>
  <c r="N14325" i="1"/>
  <c r="N23869" i="1"/>
  <c r="N4193" i="1"/>
  <c r="N19311" i="1"/>
  <c r="N24479" i="1"/>
  <c r="N3093" i="1"/>
  <c r="N2966" i="1"/>
  <c r="N2967" i="1"/>
  <c r="N2968" i="1"/>
  <c r="N1499" i="1"/>
  <c r="N1508" i="1"/>
  <c r="N24290" i="1"/>
  <c r="N9786" i="1"/>
  <c r="N9787" i="1"/>
  <c r="N13935" i="1"/>
  <c r="N2808" i="1"/>
  <c r="N1638" i="1"/>
  <c r="N16398" i="1"/>
  <c r="N18802" i="1"/>
  <c r="N11084" i="1"/>
  <c r="N6244" i="1"/>
  <c r="N3998" i="1"/>
  <c r="N19029" i="1"/>
  <c r="N1528" i="1"/>
  <c r="N10422" i="1"/>
  <c r="N10423" i="1"/>
  <c r="N7116" i="1"/>
  <c r="N7715" i="1"/>
  <c r="N7117" i="1"/>
  <c r="N7625" i="1"/>
  <c r="N7716" i="1"/>
  <c r="N7118" i="1"/>
  <c r="N1991" i="1"/>
  <c r="N1992" i="1"/>
  <c r="N4170" i="1"/>
  <c r="N4171" i="1"/>
  <c r="N23940" i="1"/>
  <c r="N23941" i="1"/>
  <c r="N10503" i="1"/>
  <c r="N10504" i="1"/>
  <c r="N10505" i="1"/>
  <c r="N10506" i="1"/>
  <c r="N10507" i="1"/>
  <c r="N16255" i="1"/>
  <c r="N18803" i="1"/>
  <c r="N24224" i="1"/>
  <c r="N24225" i="1"/>
  <c r="N24377" i="1"/>
  <c r="N24378" i="1"/>
  <c r="N24338" i="1"/>
  <c r="N24379" i="1"/>
  <c r="N23563" i="1"/>
  <c r="N15812" i="1"/>
  <c r="N11426" i="1"/>
  <c r="N3907" i="1"/>
  <c r="N3908" i="1"/>
  <c r="N15813" i="1"/>
  <c r="N12723" i="1"/>
  <c r="N24128" i="1"/>
  <c r="N20597" i="1"/>
  <c r="N24129" i="1"/>
  <c r="N1359" i="1"/>
  <c r="N1360" i="1"/>
  <c r="N24045" i="1"/>
  <c r="N6717" i="1"/>
  <c r="N20598" i="1"/>
  <c r="N18656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495" i="1"/>
  <c r="N12510" i="1"/>
  <c r="N15340" i="1"/>
  <c r="N25672" i="1"/>
  <c r="N14856" i="1"/>
  <c r="N14990" i="1"/>
  <c r="N14998" i="1"/>
  <c r="N4077" i="1"/>
  <c r="N17745" i="1"/>
  <c r="N12676" i="1"/>
  <c r="N15667" i="1"/>
  <c r="N16317" i="1"/>
  <c r="N25512" i="1"/>
  <c r="N18180" i="1"/>
  <c r="N11427" i="1"/>
  <c r="N7959" i="1"/>
  <c r="N11428" i="1"/>
  <c r="N17181" i="1"/>
  <c r="N17182" i="1"/>
  <c r="N12248" i="1"/>
  <c r="N2412" i="1"/>
  <c r="N14660" i="1"/>
  <c r="N14661" i="1"/>
  <c r="N10435" i="1"/>
  <c r="N10436" i="1"/>
  <c r="N2141" i="1"/>
  <c r="N11429" i="1"/>
  <c r="N11430" i="1"/>
  <c r="N4503" i="1"/>
  <c r="N19153" i="1"/>
  <c r="N9536" i="1"/>
  <c r="N3250" i="1"/>
  <c r="N10751" i="1"/>
  <c r="N7960" i="1"/>
  <c r="N6355" i="1"/>
  <c r="N10643" i="1"/>
  <c r="N1137" i="1"/>
  <c r="N22989" i="1"/>
  <c r="N22912" i="1"/>
  <c r="N12257" i="1"/>
  <c r="N13181" i="1"/>
  <c r="N23670" i="1"/>
  <c r="N16051" i="1"/>
  <c r="N23741" i="1"/>
  <c r="N12099" i="1"/>
  <c r="N3599" i="1"/>
  <c r="N25513" i="1"/>
  <c r="N25372" i="1"/>
  <c r="N4687" i="1"/>
  <c r="N4688" i="1"/>
  <c r="N14580" i="1"/>
  <c r="N15473" i="1"/>
  <c r="N15503" i="1"/>
  <c r="N15504" i="1"/>
  <c r="N12124" i="1"/>
  <c r="N23942" i="1"/>
  <c r="N1721" i="1"/>
  <c r="N15589" i="1"/>
  <c r="N11130" i="1"/>
  <c r="N18438" i="1"/>
  <c r="N18439" i="1"/>
  <c r="N14625" i="1"/>
  <c r="N14626" i="1"/>
  <c r="N6561" i="1"/>
  <c r="N6540" i="1"/>
  <c r="N25271" i="1"/>
  <c r="N7889" i="1"/>
  <c r="N7890" i="1"/>
  <c r="N3837" i="1"/>
  <c r="N23826" i="1"/>
  <c r="N9486" i="1"/>
  <c r="N12407" i="1"/>
  <c r="N3513" i="1"/>
  <c r="N12215" i="1"/>
  <c r="N12216" i="1"/>
  <c r="N10437" i="1"/>
  <c r="N10438" i="1"/>
  <c r="N23313" i="1"/>
  <c r="N23314" i="1"/>
  <c r="N23315" i="1"/>
  <c r="N23157" i="1"/>
  <c r="N23316" i="1"/>
  <c r="N23476" i="1"/>
  <c r="N23317" i="1"/>
  <c r="N23158" i="1"/>
  <c r="N23159" i="1"/>
  <c r="N23318" i="1"/>
  <c r="N1722" i="1"/>
  <c r="N1723" i="1"/>
  <c r="N12724" i="1"/>
  <c r="N1897" i="1"/>
  <c r="N4172" i="1"/>
  <c r="N10752" i="1"/>
  <c r="N10753" i="1"/>
  <c r="N10754" i="1"/>
  <c r="N11431" i="1"/>
  <c r="N11432" i="1"/>
  <c r="N11272" i="1"/>
  <c r="N11433" i="1"/>
  <c r="N11434" i="1"/>
  <c r="N23843" i="1"/>
  <c r="N18804" i="1"/>
  <c r="N25514" i="1"/>
  <c r="N10841" i="1"/>
  <c r="N19789" i="1"/>
  <c r="N19790" i="1"/>
  <c r="N13644" i="1"/>
  <c r="N13645" i="1"/>
  <c r="N10806" i="1"/>
  <c r="N10842" i="1"/>
  <c r="N10843" i="1"/>
  <c r="N18805" i="1"/>
  <c r="N18806" i="1"/>
  <c r="N18807" i="1"/>
  <c r="N14023" i="1"/>
  <c r="N11085" i="1"/>
  <c r="N15925" i="1"/>
  <c r="N1171" i="1"/>
  <c r="N1172" i="1"/>
  <c r="N11158" i="1"/>
  <c r="N23880" i="1"/>
  <c r="N7119" i="1"/>
  <c r="N7717" i="1"/>
  <c r="N7120" i="1"/>
  <c r="N7718" i="1"/>
  <c r="N7121" i="1"/>
  <c r="N7122" i="1"/>
  <c r="N7123" i="1"/>
  <c r="N7124" i="1"/>
  <c r="N7125" i="1"/>
  <c r="N7126" i="1"/>
  <c r="N7127" i="1"/>
  <c r="N10844" i="1"/>
  <c r="N2969" i="1"/>
  <c r="N10845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6562" i="1"/>
  <c r="N6625" i="1"/>
  <c r="N6626" i="1"/>
  <c r="N6627" i="1"/>
  <c r="N6628" i="1"/>
  <c r="N6645" i="1"/>
  <c r="N6563" i="1"/>
  <c r="N6629" i="1"/>
  <c r="N6529" i="1"/>
  <c r="N6630" i="1"/>
  <c r="N23682" i="1"/>
  <c r="N23676" i="1"/>
  <c r="N20599" i="1"/>
  <c r="N20600" i="1"/>
  <c r="N20601" i="1"/>
  <c r="N20602" i="1"/>
  <c r="N20603" i="1"/>
  <c r="N20604" i="1"/>
  <c r="N20605" i="1"/>
  <c r="N20606" i="1"/>
  <c r="N20607" i="1"/>
  <c r="N20608" i="1"/>
  <c r="N20609" i="1"/>
  <c r="N20610" i="1"/>
  <c r="N20611" i="1"/>
  <c r="N20612" i="1"/>
  <c r="N20613" i="1"/>
  <c r="N20614" i="1"/>
  <c r="N20615" i="1"/>
  <c r="N20616" i="1"/>
  <c r="N18808" i="1"/>
  <c r="N18809" i="1"/>
  <c r="N20617" i="1"/>
  <c r="N20618" i="1"/>
  <c r="N20619" i="1"/>
  <c r="N20620" i="1"/>
  <c r="N20621" i="1"/>
  <c r="N20622" i="1"/>
  <c r="N20623" i="1"/>
  <c r="N20624" i="1"/>
  <c r="N20625" i="1"/>
  <c r="N20626" i="1"/>
  <c r="N20627" i="1"/>
  <c r="N20628" i="1"/>
  <c r="N20629" i="1"/>
  <c r="N20630" i="1"/>
  <c r="N25239" i="1"/>
  <c r="N25240" i="1"/>
  <c r="N25241" i="1"/>
  <c r="N25242" i="1"/>
  <c r="N25243" i="1"/>
  <c r="N20631" i="1"/>
  <c r="N20632" i="1"/>
  <c r="N20633" i="1"/>
  <c r="N20634" i="1"/>
  <c r="N20635" i="1"/>
  <c r="N20636" i="1"/>
  <c r="N20637" i="1"/>
  <c r="N20638" i="1"/>
  <c r="N20639" i="1"/>
  <c r="N20640" i="1"/>
  <c r="N20641" i="1"/>
  <c r="N20642" i="1"/>
  <c r="N20643" i="1"/>
  <c r="N20644" i="1"/>
  <c r="N20645" i="1"/>
  <c r="N20646" i="1"/>
  <c r="N20647" i="1"/>
  <c r="N20648" i="1"/>
  <c r="N20649" i="1"/>
  <c r="N20650" i="1"/>
  <c r="N20651" i="1"/>
  <c r="N20652" i="1"/>
  <c r="N20653" i="1"/>
  <c r="N20654" i="1"/>
  <c r="N11435" i="1"/>
  <c r="N20655" i="1"/>
  <c r="N20656" i="1"/>
  <c r="N20657" i="1"/>
  <c r="N20658" i="1"/>
  <c r="N20659" i="1"/>
  <c r="N20660" i="1"/>
  <c r="N20661" i="1"/>
  <c r="N20662" i="1"/>
  <c r="N20663" i="1"/>
  <c r="N20664" i="1"/>
  <c r="N20665" i="1"/>
  <c r="N20666" i="1"/>
  <c r="N20667" i="1"/>
  <c r="N20668" i="1"/>
  <c r="N20669" i="1"/>
  <c r="N20670" i="1"/>
  <c r="N20671" i="1"/>
  <c r="N20672" i="1"/>
  <c r="N20673" i="1"/>
  <c r="N20674" i="1"/>
  <c r="N20675" i="1"/>
  <c r="N20676" i="1"/>
  <c r="N20677" i="1"/>
  <c r="N2757" i="1"/>
  <c r="N2758" i="1"/>
  <c r="N15926" i="1"/>
  <c r="N1596" i="1"/>
  <c r="N23742" i="1"/>
  <c r="N12258" i="1"/>
  <c r="N9540" i="1"/>
  <c r="N9541" i="1"/>
  <c r="N9542" i="1"/>
  <c r="N4941" i="1"/>
  <c r="N4942" i="1"/>
  <c r="N10846" i="1"/>
  <c r="N10847" i="1"/>
  <c r="N10848" i="1"/>
  <c r="N10849" i="1"/>
  <c r="N9973" i="1"/>
  <c r="N12125" i="1"/>
  <c r="N11436" i="1"/>
  <c r="N18810" i="1"/>
  <c r="N12259" i="1"/>
  <c r="N8016" i="1"/>
  <c r="N14475" i="1"/>
  <c r="N3469" i="1"/>
  <c r="N9358" i="1"/>
  <c r="N9359" i="1"/>
  <c r="N18811" i="1"/>
  <c r="N12563" i="1"/>
  <c r="N17183" i="1"/>
  <c r="N17184" i="1"/>
  <c r="N17185" i="1"/>
  <c r="N17186" i="1"/>
  <c r="N17187" i="1"/>
  <c r="N17188" i="1"/>
  <c r="N17189" i="1"/>
  <c r="N17190" i="1"/>
  <c r="N15612" i="1"/>
  <c r="N15132" i="1"/>
  <c r="N15133" i="1"/>
  <c r="N15134" i="1"/>
  <c r="N3319" i="1"/>
  <c r="N18099" i="1"/>
  <c r="N18106" i="1"/>
  <c r="N23943" i="1"/>
  <c r="N23944" i="1"/>
  <c r="N23945" i="1"/>
  <c r="N24457" i="1"/>
  <c r="N3682" i="1"/>
  <c r="N3683" i="1"/>
  <c r="N3684" i="1"/>
  <c r="N3685" i="1"/>
  <c r="N3686" i="1"/>
  <c r="N3687" i="1"/>
  <c r="N18181" i="1"/>
  <c r="N18405" i="1"/>
  <c r="N9537" i="1"/>
  <c r="N15570" i="1"/>
  <c r="N24458" i="1"/>
  <c r="N12757" i="1"/>
  <c r="N1644" i="1"/>
  <c r="N1993" i="1"/>
  <c r="N1994" i="1"/>
  <c r="N12080" i="1"/>
  <c r="N7144" i="1"/>
  <c r="N7719" i="1"/>
  <c r="N7145" i="1"/>
  <c r="N7720" i="1"/>
  <c r="N7146" i="1"/>
  <c r="N20678" i="1"/>
  <c r="N20679" i="1"/>
  <c r="N20680" i="1"/>
  <c r="N4143" i="1"/>
  <c r="N4134" i="1"/>
  <c r="N15541" i="1"/>
  <c r="N15542" i="1"/>
  <c r="N15543" i="1"/>
  <c r="N18182" i="1"/>
  <c r="N2129" i="1"/>
  <c r="N1916" i="1"/>
  <c r="N24023" i="1"/>
  <c r="N5634" i="1"/>
  <c r="N5635" i="1"/>
  <c r="N5636" i="1"/>
  <c r="N5637" i="1"/>
  <c r="N5638" i="1"/>
  <c r="N10090" i="1"/>
  <c r="N11191" i="1"/>
  <c r="N5639" i="1"/>
  <c r="N5640" i="1"/>
  <c r="N23073" i="1"/>
  <c r="N5641" i="1"/>
  <c r="N5477" i="1"/>
  <c r="N5642" i="1"/>
  <c r="N5643" i="1"/>
  <c r="N5644" i="1"/>
  <c r="N5645" i="1"/>
  <c r="N5646" i="1"/>
  <c r="N5647" i="1"/>
  <c r="N5648" i="1"/>
  <c r="N5649" i="1"/>
  <c r="N20681" i="1"/>
  <c r="N20682" i="1"/>
  <c r="N20683" i="1"/>
  <c r="N20684" i="1"/>
  <c r="N20685" i="1"/>
  <c r="N20686" i="1"/>
  <c r="N20687" i="1"/>
  <c r="N20688" i="1"/>
  <c r="N20689" i="1"/>
  <c r="N20690" i="1"/>
  <c r="N20691" i="1"/>
  <c r="N20692" i="1"/>
  <c r="N5650" i="1"/>
  <c r="N5651" i="1"/>
  <c r="N5652" i="1"/>
  <c r="N5653" i="1"/>
  <c r="N15657" i="1"/>
  <c r="N15658" i="1"/>
  <c r="N20693" i="1"/>
  <c r="N20694" i="1"/>
  <c r="N20695" i="1"/>
  <c r="N20696" i="1"/>
  <c r="N20697" i="1"/>
  <c r="N10572" i="1"/>
  <c r="N1858" i="1"/>
  <c r="N1859" i="1"/>
  <c r="N7961" i="1"/>
  <c r="N18698" i="1"/>
  <c r="N15104" i="1"/>
  <c r="N16580" i="1"/>
  <c r="N12126" i="1"/>
  <c r="N14362" i="1"/>
  <c r="N14363" i="1"/>
  <c r="N4634" i="1"/>
  <c r="N4635" i="1"/>
  <c r="N13924" i="1"/>
  <c r="N13574" i="1"/>
  <c r="N13575" i="1"/>
  <c r="N13576" i="1"/>
  <c r="N13577" i="1"/>
  <c r="N13578" i="1"/>
  <c r="N13579" i="1"/>
  <c r="N13618" i="1"/>
  <c r="N13580" i="1"/>
  <c r="N6400" i="1"/>
  <c r="N6401" i="1"/>
  <c r="N6402" i="1"/>
  <c r="N6403" i="1"/>
  <c r="N6404" i="1"/>
  <c r="N6405" i="1"/>
  <c r="N6406" i="1"/>
  <c r="N6407" i="1"/>
  <c r="N6408" i="1"/>
  <c r="N23246" i="1"/>
  <c r="N23217" i="1"/>
  <c r="N23319" i="1"/>
  <c r="N23320" i="1"/>
  <c r="N23247" i="1"/>
  <c r="N23218" i="1"/>
  <c r="N23321" i="1"/>
  <c r="N18183" i="1"/>
  <c r="N18184" i="1"/>
  <c r="N18185" i="1"/>
  <c r="N6699" i="1"/>
  <c r="N18186" i="1"/>
  <c r="N2479" i="1"/>
  <c r="N10332" i="1"/>
  <c r="N24248" i="1"/>
  <c r="N6329" i="1"/>
  <c r="N9141" i="1"/>
  <c r="N9142" i="1"/>
  <c r="N10613" i="1"/>
  <c r="N9666" i="1"/>
  <c r="N16301" i="1"/>
  <c r="N7147" i="1"/>
  <c r="N7721" i="1"/>
  <c r="N7148" i="1"/>
  <c r="N7722" i="1"/>
  <c r="N7149" i="1"/>
  <c r="N7723" i="1"/>
  <c r="N11927" i="1"/>
  <c r="N12192" i="1"/>
  <c r="N5654" i="1"/>
  <c r="N5655" i="1"/>
  <c r="N5656" i="1"/>
  <c r="N14351" i="1"/>
  <c r="N5657" i="1"/>
  <c r="N6564" i="1"/>
  <c r="N9143" i="1"/>
  <c r="N20698" i="1"/>
  <c r="N20699" i="1"/>
  <c r="N20700" i="1"/>
  <c r="N20701" i="1"/>
  <c r="N20702" i="1"/>
  <c r="N20703" i="1"/>
  <c r="N20704" i="1"/>
  <c r="N20705" i="1"/>
  <c r="N20706" i="1"/>
  <c r="N20707" i="1"/>
  <c r="N18187" i="1"/>
  <c r="N2970" i="1"/>
  <c r="N11273" i="1"/>
  <c r="N20708" i="1"/>
  <c r="N20709" i="1"/>
  <c r="N20710" i="1"/>
  <c r="N20711" i="1"/>
  <c r="N20712" i="1"/>
  <c r="N20713" i="1"/>
  <c r="N20714" i="1"/>
  <c r="N20715" i="1"/>
  <c r="N20716" i="1"/>
  <c r="N20717" i="1"/>
  <c r="N20718" i="1"/>
  <c r="N20719" i="1"/>
  <c r="N20720" i="1"/>
  <c r="N20721" i="1"/>
  <c r="N20722" i="1"/>
  <c r="N9144" i="1"/>
  <c r="N9506" i="1"/>
  <c r="N10755" i="1"/>
  <c r="N10756" i="1"/>
  <c r="N10292" i="1"/>
  <c r="N5658" i="1"/>
  <c r="N5659" i="1"/>
  <c r="N5660" i="1"/>
  <c r="N20723" i="1"/>
  <c r="N24697" i="1"/>
  <c r="N24698" i="1"/>
  <c r="N24737" i="1"/>
  <c r="N24644" i="1"/>
  <c r="N24699" i="1"/>
  <c r="N23946" i="1"/>
  <c r="N23947" i="1"/>
  <c r="N23948" i="1"/>
  <c r="N23949" i="1"/>
  <c r="N23950" i="1"/>
  <c r="N23160" i="1"/>
  <c r="N23322" i="1"/>
  <c r="N23323" i="1"/>
  <c r="N23161" i="1"/>
  <c r="N23324" i="1"/>
  <c r="N23162" i="1"/>
  <c r="N3209" i="1"/>
  <c r="N13363" i="1"/>
  <c r="N13364" i="1"/>
  <c r="N13365" i="1"/>
  <c r="N1995" i="1"/>
  <c r="N25272" i="1"/>
  <c r="N1996" i="1"/>
  <c r="N1997" i="1"/>
  <c r="N1998" i="1"/>
  <c r="N1999" i="1"/>
  <c r="N12961" i="1"/>
  <c r="N16623" i="1"/>
  <c r="N5661" i="1"/>
  <c r="N5662" i="1"/>
  <c r="N5663" i="1"/>
  <c r="N5664" i="1"/>
  <c r="N5665" i="1"/>
  <c r="N5666" i="1"/>
  <c r="N18010" i="1"/>
  <c r="N18011" i="1"/>
  <c r="N11902" i="1"/>
  <c r="N11903" i="1"/>
  <c r="N18812" i="1"/>
  <c r="N18813" i="1"/>
  <c r="N18814" i="1"/>
  <c r="N13974" i="1"/>
  <c r="N6657" i="1"/>
  <c r="N19823" i="1"/>
  <c r="N4331" i="1"/>
  <c r="N1464" i="1"/>
  <c r="N18188" i="1"/>
  <c r="N18189" i="1"/>
  <c r="N12424" i="1"/>
  <c r="N12425" i="1"/>
  <c r="N12426" i="1"/>
  <c r="N9145" i="1"/>
  <c r="N9146" i="1"/>
  <c r="N9147" i="1"/>
  <c r="N9148" i="1"/>
  <c r="N9231" i="1"/>
  <c r="N9232" i="1"/>
  <c r="N9233" i="1"/>
  <c r="N24190" i="1"/>
  <c r="N24163" i="1"/>
  <c r="N24191" i="1"/>
  <c r="N24164" i="1"/>
  <c r="N4372" i="1"/>
  <c r="N16593" i="1"/>
  <c r="N11159" i="1"/>
  <c r="N3758" i="1"/>
  <c r="N5667" i="1"/>
  <c r="N5668" i="1"/>
  <c r="N5669" i="1"/>
  <c r="N16624" i="1"/>
  <c r="N19382" i="1"/>
  <c r="N19383" i="1"/>
  <c r="N19384" i="1"/>
  <c r="N17958" i="1"/>
  <c r="N1225" i="1"/>
  <c r="N3210" i="1"/>
  <c r="N15846" i="1"/>
  <c r="N12533" i="1"/>
  <c r="N15421" i="1"/>
  <c r="N1261" i="1"/>
  <c r="N8385" i="1"/>
  <c r="N14443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20724" i="1"/>
  <c r="N14681" i="1"/>
  <c r="N2328" i="1"/>
  <c r="N19385" i="1"/>
  <c r="N19386" i="1"/>
  <c r="N19387" i="1"/>
  <c r="N19388" i="1"/>
  <c r="N9408" i="1"/>
  <c r="N9396" i="1"/>
  <c r="N9397" i="1"/>
  <c r="N14364" i="1"/>
  <c r="N14365" i="1"/>
  <c r="N11722" i="1"/>
  <c r="N23868" i="1"/>
  <c r="N15814" i="1"/>
  <c r="N3761" i="1"/>
  <c r="N12349" i="1"/>
  <c r="N25673" i="1"/>
  <c r="N24609" i="1"/>
  <c r="N4373" i="1"/>
  <c r="N16429" i="1"/>
  <c r="N16430" i="1"/>
  <c r="N16431" i="1"/>
  <c r="N13398" i="1"/>
  <c r="N2498" i="1"/>
  <c r="N13399" i="1"/>
  <c r="N16432" i="1"/>
  <c r="N16433" i="1"/>
  <c r="N16434" i="1"/>
  <c r="N16435" i="1"/>
  <c r="N16436" i="1"/>
  <c r="N16437" i="1"/>
  <c r="N1860" i="1"/>
  <c r="N13311" i="1"/>
  <c r="N13336" i="1"/>
  <c r="N13312" i="1"/>
  <c r="N13337" i="1"/>
  <c r="N18190" i="1"/>
  <c r="N10606" i="1"/>
  <c r="N4949" i="1"/>
  <c r="N25515" i="1"/>
  <c r="N8109" i="1"/>
  <c r="N6565" i="1"/>
  <c r="N3817" i="1"/>
  <c r="N1361" i="1"/>
  <c r="N4037" i="1"/>
  <c r="N4038" i="1"/>
  <c r="N13170" i="1"/>
  <c r="N13174" i="1"/>
  <c r="N13400" i="1"/>
  <c r="N13401" i="1"/>
  <c r="N20725" i="1"/>
  <c r="N20726" i="1"/>
  <c r="N20727" i="1"/>
  <c r="N20728" i="1"/>
  <c r="N20729" i="1"/>
  <c r="N20730" i="1"/>
  <c r="N20731" i="1"/>
  <c r="N20732" i="1"/>
  <c r="N20733" i="1"/>
  <c r="N20734" i="1"/>
  <c r="N20735" i="1"/>
  <c r="N20736" i="1"/>
  <c r="N20737" i="1"/>
  <c r="N20738" i="1"/>
  <c r="N20739" i="1"/>
  <c r="N20740" i="1"/>
  <c r="N20741" i="1"/>
  <c r="N20742" i="1"/>
  <c r="N20743" i="1"/>
  <c r="N20744" i="1"/>
  <c r="N20745" i="1"/>
  <c r="N20746" i="1"/>
  <c r="N20747" i="1"/>
  <c r="N20748" i="1"/>
  <c r="N20749" i="1"/>
  <c r="N20750" i="1"/>
  <c r="N20751" i="1"/>
  <c r="N20752" i="1"/>
  <c r="N8350" i="1"/>
  <c r="N8196" i="1"/>
  <c r="N8351" i="1"/>
  <c r="N8352" i="1"/>
  <c r="N8353" i="1"/>
  <c r="N8354" i="1"/>
  <c r="N8355" i="1"/>
  <c r="N8356" i="1"/>
  <c r="N8357" i="1"/>
  <c r="N22913" i="1"/>
  <c r="N16256" i="1"/>
  <c r="N15871" i="1"/>
  <c r="N8693" i="1"/>
  <c r="N24149" i="1"/>
  <c r="N3406" i="1"/>
  <c r="N8110" i="1"/>
  <c r="N10639" i="1"/>
  <c r="N16518" i="1"/>
  <c r="N23686" i="1"/>
  <c r="N23687" i="1"/>
  <c r="N23690" i="1"/>
  <c r="N23688" i="1"/>
  <c r="N23689" i="1"/>
  <c r="N3470" i="1"/>
  <c r="N8066" i="1"/>
  <c r="N8067" i="1"/>
  <c r="N8068" i="1"/>
  <c r="N25936" i="1"/>
  <c r="N12768" i="1"/>
  <c r="N12769" i="1"/>
  <c r="N12770" i="1"/>
  <c r="N3765" i="1"/>
  <c r="N1947" i="1"/>
  <c r="N24820" i="1"/>
  <c r="N25752" i="1"/>
  <c r="N6476" i="1"/>
  <c r="N25753" i="1"/>
  <c r="N15586" i="1"/>
  <c r="N3442" i="1"/>
  <c r="N15333" i="1"/>
  <c r="N23715" i="1"/>
  <c r="N8197" i="1"/>
  <c r="N4544" i="1"/>
  <c r="N4545" i="1"/>
  <c r="N12273" i="1"/>
  <c r="N25244" i="1"/>
  <c r="N25245" i="1"/>
  <c r="N8694" i="1"/>
  <c r="N5191" i="1"/>
  <c r="N5192" i="1"/>
  <c r="N1891" i="1"/>
  <c r="N19603" i="1"/>
  <c r="N19604" i="1"/>
  <c r="N20753" i="1"/>
  <c r="N20754" i="1"/>
  <c r="N20755" i="1"/>
  <c r="N24645" i="1"/>
  <c r="N24646" i="1"/>
  <c r="N24647" i="1"/>
  <c r="N24648" i="1"/>
  <c r="N24649" i="1"/>
  <c r="N12584" i="1"/>
  <c r="N23564" i="1"/>
  <c r="N15824" i="1"/>
  <c r="N13769" i="1"/>
  <c r="N13710" i="1"/>
  <c r="N13675" i="1"/>
  <c r="N13770" i="1"/>
  <c r="N13711" i="1"/>
  <c r="N13712" i="1"/>
  <c r="N1345" i="1"/>
  <c r="N4374" i="1"/>
  <c r="N10384" i="1"/>
  <c r="N1297" i="1"/>
  <c r="N13147" i="1"/>
  <c r="N23872" i="1"/>
  <c r="N16396" i="1"/>
  <c r="N4962" i="1"/>
  <c r="N15683" i="1"/>
  <c r="N18699" i="1"/>
  <c r="N10850" i="1"/>
  <c r="N3824" i="1"/>
  <c r="N15825" i="1"/>
  <c r="N8695" i="1"/>
  <c r="N8696" i="1"/>
  <c r="N8697" i="1"/>
  <c r="N6566" i="1"/>
  <c r="N8698" i="1"/>
  <c r="N8699" i="1"/>
  <c r="N4127" i="1"/>
  <c r="N8700" i="1"/>
  <c r="N1346" i="1"/>
  <c r="N8701" i="1"/>
  <c r="N8702" i="1"/>
  <c r="N8412" i="1"/>
  <c r="N8703" i="1"/>
  <c r="N8704" i="1"/>
  <c r="N8705" i="1"/>
  <c r="N8706" i="1"/>
  <c r="N8707" i="1"/>
  <c r="N8708" i="1"/>
  <c r="N8709" i="1"/>
  <c r="N8710" i="1"/>
  <c r="N19326" i="1"/>
  <c r="N24700" i="1"/>
  <c r="N19107" i="1"/>
  <c r="N15387" i="1"/>
  <c r="N15388" i="1"/>
  <c r="N15610" i="1"/>
  <c r="N6686" i="1"/>
  <c r="N6687" i="1"/>
  <c r="N15135" i="1"/>
  <c r="N15136" i="1"/>
  <c r="N15137" i="1"/>
  <c r="N5670" i="1"/>
  <c r="N25273" i="1"/>
  <c r="N19572" i="1"/>
  <c r="N20756" i="1"/>
  <c r="N20757" i="1"/>
  <c r="N20758" i="1"/>
  <c r="N20759" i="1"/>
  <c r="N20760" i="1"/>
  <c r="N20761" i="1"/>
  <c r="N20762" i="1"/>
  <c r="N20763" i="1"/>
  <c r="N20764" i="1"/>
  <c r="N20765" i="1"/>
  <c r="N20766" i="1"/>
  <c r="N20767" i="1"/>
  <c r="N20768" i="1"/>
  <c r="N20769" i="1"/>
  <c r="N20770" i="1"/>
  <c r="N20771" i="1"/>
  <c r="N20772" i="1"/>
  <c r="N20773" i="1"/>
  <c r="N20774" i="1"/>
  <c r="N20775" i="1"/>
  <c r="N20776" i="1"/>
  <c r="N20777" i="1"/>
  <c r="N20778" i="1"/>
  <c r="N20779" i="1"/>
  <c r="N20780" i="1"/>
  <c r="N20781" i="1"/>
  <c r="N24766" i="1"/>
  <c r="N7962" i="1"/>
  <c r="N1347" i="1"/>
  <c r="N7963" i="1"/>
  <c r="N13423" i="1"/>
  <c r="N13424" i="1"/>
  <c r="N13425" i="1"/>
  <c r="N15283" i="1"/>
  <c r="N15284" i="1"/>
  <c r="N15285" i="1"/>
  <c r="N15286" i="1"/>
  <c r="N15287" i="1"/>
  <c r="N15288" i="1"/>
  <c r="N15289" i="1"/>
  <c r="N15290" i="1"/>
  <c r="N24254" i="1"/>
  <c r="N24252" i="1"/>
  <c r="N11799" i="1"/>
  <c r="N11800" i="1"/>
  <c r="N11801" i="1"/>
  <c r="N11802" i="1"/>
  <c r="N13426" i="1"/>
  <c r="N13427" i="1"/>
  <c r="N11437" i="1"/>
  <c r="N11438" i="1"/>
  <c r="N6707" i="1"/>
  <c r="N4928" i="1"/>
  <c r="N4929" i="1"/>
  <c r="N11439" i="1"/>
  <c r="N11440" i="1"/>
  <c r="N11441" i="1"/>
  <c r="N2971" i="1"/>
  <c r="N2972" i="1"/>
  <c r="N15750" i="1"/>
  <c r="N15581" i="1"/>
  <c r="N15582" i="1"/>
  <c r="N15583" i="1"/>
  <c r="N2973" i="1"/>
  <c r="N2974" i="1"/>
  <c r="N2975" i="1"/>
  <c r="N7964" i="1"/>
  <c r="N3909" i="1"/>
  <c r="N3910" i="1"/>
  <c r="N3911" i="1"/>
  <c r="N7150" i="1"/>
  <c r="N7151" i="1"/>
  <c r="N7724" i="1"/>
  <c r="N4153" i="1"/>
  <c r="N14345" i="1"/>
  <c r="N1389" i="1"/>
  <c r="N25309" i="1"/>
  <c r="N15820" i="1"/>
  <c r="N20782" i="1"/>
  <c r="N20783" i="1"/>
  <c r="N20784" i="1"/>
  <c r="N20785" i="1"/>
  <c r="N20786" i="1"/>
  <c r="N20787" i="1"/>
  <c r="N20788" i="1"/>
  <c r="N20789" i="1"/>
  <c r="N20790" i="1"/>
  <c r="N20791" i="1"/>
  <c r="N20792" i="1"/>
  <c r="N20793" i="1"/>
  <c r="N20794" i="1"/>
  <c r="N20795" i="1"/>
  <c r="N20796" i="1"/>
  <c r="N20797" i="1"/>
  <c r="N20798" i="1"/>
  <c r="N20799" i="1"/>
  <c r="N20800" i="1"/>
  <c r="N20801" i="1"/>
  <c r="N20802" i="1"/>
  <c r="N20803" i="1"/>
  <c r="N20804" i="1"/>
  <c r="N25702" i="1"/>
  <c r="N20805" i="1"/>
  <c r="N20806" i="1"/>
  <c r="N20807" i="1"/>
  <c r="N20808" i="1"/>
  <c r="N20809" i="1"/>
  <c r="N20810" i="1"/>
  <c r="N20811" i="1"/>
  <c r="N20812" i="1"/>
  <c r="N20813" i="1"/>
  <c r="N20814" i="1"/>
  <c r="N20815" i="1"/>
  <c r="N20816" i="1"/>
  <c r="N20817" i="1"/>
  <c r="N20818" i="1"/>
  <c r="N20819" i="1"/>
  <c r="N20820" i="1"/>
  <c r="N20821" i="1"/>
  <c r="N20822" i="1"/>
  <c r="N20823" i="1"/>
  <c r="N17119" i="1"/>
  <c r="N17120" i="1"/>
  <c r="N17121" i="1"/>
  <c r="N17122" i="1"/>
  <c r="N25674" i="1"/>
  <c r="N15575" i="1"/>
  <c r="N15576" i="1"/>
  <c r="N3429" i="1"/>
  <c r="N3430" i="1"/>
  <c r="N1133" i="1"/>
  <c r="N10321" i="1"/>
  <c r="N10322" i="1"/>
  <c r="N19661" i="1"/>
  <c r="N11442" i="1"/>
  <c r="N11443" i="1"/>
  <c r="N19615" i="1"/>
  <c r="N19616" i="1"/>
  <c r="N23716" i="1"/>
  <c r="N23717" i="1"/>
  <c r="N3514" i="1"/>
  <c r="N19034" i="1"/>
  <c r="N2976" i="1"/>
  <c r="N15998" i="1"/>
  <c r="N5671" i="1"/>
  <c r="N5672" i="1"/>
  <c r="N5673" i="1"/>
  <c r="N11038" i="1"/>
  <c r="N24516" i="1"/>
  <c r="N24517" i="1"/>
  <c r="N24518" i="1"/>
  <c r="N24519" i="1"/>
  <c r="N24520" i="1"/>
  <c r="N24521" i="1"/>
  <c r="N24522" i="1"/>
  <c r="N24523" i="1"/>
  <c r="N24524" i="1"/>
  <c r="N24525" i="1"/>
  <c r="N5674" i="1"/>
  <c r="N5675" i="1"/>
  <c r="N5676" i="1"/>
  <c r="N3106" i="1"/>
  <c r="N5677" i="1"/>
  <c r="N5678" i="1"/>
  <c r="N5679" i="1"/>
  <c r="N5680" i="1"/>
  <c r="N5681" i="1"/>
  <c r="N5682" i="1"/>
  <c r="N15452" i="1"/>
  <c r="N15453" i="1"/>
  <c r="N15454" i="1"/>
  <c r="N15455" i="1"/>
  <c r="N12011" i="1"/>
  <c r="N11723" i="1"/>
  <c r="N11724" i="1"/>
  <c r="N12462" i="1"/>
  <c r="N6127" i="1"/>
  <c r="N11922" i="1"/>
  <c r="N2260" i="1"/>
  <c r="N6511" i="1"/>
  <c r="N16023" i="1"/>
  <c r="N1524" i="1"/>
  <c r="N16067" i="1"/>
  <c r="N16582" i="1"/>
  <c r="N10249" i="1"/>
  <c r="N4689" i="1"/>
  <c r="N9389" i="1"/>
  <c r="N18362" i="1"/>
  <c r="N12962" i="1"/>
  <c r="N18338" i="1"/>
  <c r="N18339" i="1"/>
  <c r="N23565" i="1"/>
  <c r="N23566" i="1"/>
  <c r="N13530" i="1"/>
  <c r="N14999" i="1"/>
  <c r="N12963" i="1"/>
  <c r="N15184" i="1"/>
  <c r="N23567" i="1"/>
  <c r="N24742" i="1"/>
  <c r="N23017" i="1"/>
  <c r="N17906" i="1"/>
  <c r="N14586" i="1"/>
  <c r="N12964" i="1"/>
  <c r="N3999" i="1"/>
  <c r="N4000" i="1"/>
  <c r="N4001" i="1"/>
  <c r="N12965" i="1"/>
  <c r="N1847" i="1"/>
  <c r="N4057" i="1"/>
  <c r="N16570" i="1"/>
  <c r="N23097" i="1"/>
  <c r="N12677" i="1"/>
  <c r="N23163" i="1"/>
  <c r="N23325" i="1"/>
  <c r="N23326" i="1"/>
  <c r="N12725" i="1"/>
  <c r="N6260" i="1"/>
  <c r="N4375" i="1"/>
  <c r="N1519" i="1"/>
  <c r="N24751" i="1"/>
  <c r="N22914" i="1"/>
  <c r="N6261" i="1"/>
  <c r="N6262" i="1"/>
  <c r="N15600" i="1"/>
  <c r="N15596" i="1"/>
  <c r="N6263" i="1"/>
  <c r="N6264" i="1"/>
  <c r="N6221" i="1"/>
  <c r="N15999" i="1"/>
  <c r="N25675" i="1"/>
  <c r="N6265" i="1"/>
  <c r="N3177" i="1"/>
  <c r="N3155" i="1"/>
  <c r="N3156" i="1"/>
  <c r="N3159" i="1"/>
  <c r="N3160" i="1"/>
  <c r="N5077" i="1"/>
  <c r="N5078" i="1"/>
  <c r="N5079" i="1"/>
  <c r="N5080" i="1"/>
  <c r="N5081" i="1"/>
  <c r="N5082" i="1"/>
  <c r="N5083" i="1"/>
  <c r="N5084" i="1"/>
  <c r="N5085" i="1"/>
  <c r="N5086" i="1"/>
  <c r="N19319" i="1"/>
  <c r="N19320" i="1"/>
  <c r="N15248" i="1"/>
  <c r="N15545" i="1"/>
  <c r="N15782" i="1"/>
  <c r="N19764" i="1"/>
  <c r="N19765" i="1"/>
  <c r="N19766" i="1"/>
  <c r="N17866" i="1"/>
  <c r="N23568" i="1"/>
  <c r="N11779" i="1"/>
  <c r="N24332" i="1"/>
  <c r="N25754" i="1"/>
  <c r="N25516" i="1"/>
  <c r="N4481" i="1"/>
  <c r="N25676" i="1"/>
  <c r="N12196" i="1"/>
  <c r="N8042" i="1"/>
  <c r="N18815" i="1"/>
  <c r="N18816" i="1"/>
  <c r="N18817" i="1"/>
  <c r="N18818" i="1"/>
  <c r="N22915" i="1"/>
  <c r="N2603" i="1"/>
  <c r="N14668" i="1"/>
  <c r="N2114" i="1"/>
  <c r="N2909" i="1"/>
  <c r="N4192" i="1"/>
  <c r="N1604" i="1"/>
  <c r="N10184" i="1"/>
  <c r="N2809" i="1"/>
  <c r="N10177" i="1"/>
  <c r="N10133" i="1"/>
  <c r="N4546" i="1"/>
  <c r="N4547" i="1"/>
  <c r="N7152" i="1"/>
  <c r="N7725" i="1"/>
  <c r="N7153" i="1"/>
  <c r="N7726" i="1"/>
  <c r="N7154" i="1"/>
  <c r="N25517" i="1"/>
  <c r="N1203" i="1"/>
  <c r="N7155" i="1"/>
  <c r="N7727" i="1"/>
  <c r="N7156" i="1"/>
  <c r="N7157" i="1"/>
  <c r="N20824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25310" i="1"/>
  <c r="N7170" i="1"/>
  <c r="N7728" i="1"/>
  <c r="N7171" i="1"/>
  <c r="N7729" i="1"/>
  <c r="N7172" i="1"/>
  <c r="N7730" i="1"/>
  <c r="N7173" i="1"/>
  <c r="N7869" i="1"/>
  <c r="N7731" i="1"/>
  <c r="N4548" i="1"/>
  <c r="N13271" i="1"/>
  <c r="N13272" i="1"/>
  <c r="N13273" i="1"/>
  <c r="N2604" i="1"/>
  <c r="N6631" i="1"/>
  <c r="N6567" i="1"/>
  <c r="N1890" i="1"/>
  <c r="N14597" i="1"/>
  <c r="N14598" i="1"/>
  <c r="N15684" i="1"/>
  <c r="N18379" i="1"/>
  <c r="N18380" i="1"/>
  <c r="N18381" i="1"/>
  <c r="N18382" i="1"/>
  <c r="N3543" i="1"/>
  <c r="N8029" i="1"/>
  <c r="N2375" i="1"/>
  <c r="N25126" i="1"/>
  <c r="N13975" i="1"/>
  <c r="N15927" i="1"/>
  <c r="N1597" i="1"/>
  <c r="N9409" i="1"/>
  <c r="N24601" i="1"/>
  <c r="N2605" i="1"/>
  <c r="N23603" i="1"/>
  <c r="N1545" i="1"/>
  <c r="N2606" i="1"/>
  <c r="N8198" i="1"/>
  <c r="N9041" i="1"/>
  <c r="N8711" i="1"/>
  <c r="N1758" i="1"/>
  <c r="N6568" i="1"/>
  <c r="N8712" i="1"/>
  <c r="N15536" i="1"/>
  <c r="N4486" i="1"/>
  <c r="N6317" i="1"/>
  <c r="N14444" i="1"/>
  <c r="N6222" i="1"/>
  <c r="N6266" i="1"/>
  <c r="N6267" i="1"/>
  <c r="N6299" i="1"/>
  <c r="N6300" i="1"/>
  <c r="N3766" i="1"/>
  <c r="N10091" i="1"/>
  <c r="N10092" i="1"/>
  <c r="N12127" i="1"/>
  <c r="N11948" i="1"/>
  <c r="N11947" i="1"/>
  <c r="N3369" i="1"/>
  <c r="N12128" i="1"/>
  <c r="N24619" i="1"/>
  <c r="N24620" i="1"/>
  <c r="N24621" i="1"/>
  <c r="N10077" i="1"/>
  <c r="N25677" i="1"/>
  <c r="N18095" i="1"/>
  <c r="N4312" i="1"/>
  <c r="N6756" i="1"/>
  <c r="N6820" i="1"/>
  <c r="N23631" i="1"/>
  <c r="N19279" i="1"/>
  <c r="N6159" i="1"/>
  <c r="N6160" i="1"/>
  <c r="N18191" i="1"/>
  <c r="N15105" i="1"/>
  <c r="N18192" i="1"/>
  <c r="N18193" i="1"/>
  <c r="N18194" i="1"/>
  <c r="N4894" i="1"/>
  <c r="N4895" i="1"/>
  <c r="N4896" i="1"/>
  <c r="N20825" i="1"/>
  <c r="N20826" i="1"/>
  <c r="N20827" i="1"/>
  <c r="N20828" i="1"/>
  <c r="N20829" i="1"/>
  <c r="N20830" i="1"/>
  <c r="N20831" i="1"/>
  <c r="N20832" i="1"/>
  <c r="N20833" i="1"/>
  <c r="N20834" i="1"/>
  <c r="N20835" i="1"/>
  <c r="N20836" i="1"/>
  <c r="N20837" i="1"/>
  <c r="N20838" i="1"/>
  <c r="N20839" i="1"/>
  <c r="N20840" i="1"/>
  <c r="N20841" i="1"/>
  <c r="N20842" i="1"/>
  <c r="N20843" i="1"/>
  <c r="N20844" i="1"/>
  <c r="N20845" i="1"/>
  <c r="N20846" i="1"/>
  <c r="N20847" i="1"/>
  <c r="N20848" i="1"/>
  <c r="N3582" i="1"/>
  <c r="N14951" i="1"/>
  <c r="N18195" i="1"/>
  <c r="N4905" i="1"/>
  <c r="N4906" i="1"/>
  <c r="N4907" i="1"/>
  <c r="N4128" i="1"/>
  <c r="N18196" i="1"/>
  <c r="N18197" i="1"/>
  <c r="N13366" i="1"/>
  <c r="N3797" i="1"/>
  <c r="N7174" i="1"/>
  <c r="N7175" i="1"/>
  <c r="N7176" i="1"/>
  <c r="N7177" i="1"/>
  <c r="N7178" i="1"/>
  <c r="N7179" i="1"/>
  <c r="N7180" i="1"/>
  <c r="N7181" i="1"/>
  <c r="N7732" i="1"/>
  <c r="N2499" i="1"/>
  <c r="N12966" i="1"/>
  <c r="N18641" i="1"/>
  <c r="N12967" i="1"/>
  <c r="N3798" i="1"/>
  <c r="N13907" i="1"/>
  <c r="N1687" i="1"/>
  <c r="N1688" i="1"/>
  <c r="N17123" i="1"/>
  <c r="N17124" i="1"/>
  <c r="N18674" i="1"/>
  <c r="N18675" i="1"/>
  <c r="N1917" i="1"/>
  <c r="N7891" i="1"/>
  <c r="N15031" i="1"/>
  <c r="N15032" i="1"/>
  <c r="N12968" i="1"/>
  <c r="N12969" i="1"/>
  <c r="N12970" i="1"/>
  <c r="N7182" i="1"/>
  <c r="N7183" i="1"/>
  <c r="N7870" i="1"/>
  <c r="N7184" i="1"/>
  <c r="N7185" i="1"/>
  <c r="N3131" i="1"/>
  <c r="N3132" i="1"/>
  <c r="N12971" i="1"/>
  <c r="N23632" i="1"/>
  <c r="N1325" i="1"/>
  <c r="N2317" i="1"/>
  <c r="N20849" i="1"/>
  <c r="N12972" i="1"/>
  <c r="N16625" i="1"/>
  <c r="N10191" i="1"/>
  <c r="N12556" i="1"/>
  <c r="N12557" i="1"/>
  <c r="N12558" i="1"/>
  <c r="N12559" i="1"/>
  <c r="N6530" i="1"/>
  <c r="N6569" i="1"/>
  <c r="N1362" i="1"/>
  <c r="N1363" i="1"/>
  <c r="N13713" i="1"/>
  <c r="N25274" i="1"/>
  <c r="N14895" i="1"/>
  <c r="N14896" i="1"/>
  <c r="N14873" i="1"/>
  <c r="N14897" i="1"/>
  <c r="N14898" i="1"/>
  <c r="N14899" i="1"/>
  <c r="N14900" i="1"/>
  <c r="N14874" i="1"/>
  <c r="N14875" i="1"/>
  <c r="N14901" i="1"/>
  <c r="N14876" i="1"/>
  <c r="N24226" i="1"/>
  <c r="N24213" i="1"/>
  <c r="N24227" i="1"/>
  <c r="N24228" i="1"/>
  <c r="N14902" i="1"/>
  <c r="N12129" i="1"/>
  <c r="N9368" i="1"/>
  <c r="N9369" i="1"/>
  <c r="N18198" i="1"/>
  <c r="N14627" i="1"/>
  <c r="N14628" i="1"/>
  <c r="N15422" i="1"/>
  <c r="N16386" i="1"/>
  <c r="N13976" i="1"/>
  <c r="N11086" i="1"/>
  <c r="N12130" i="1"/>
  <c r="N6757" i="1"/>
  <c r="N14669" i="1"/>
  <c r="N19641" i="1"/>
  <c r="N18819" i="1"/>
  <c r="N18820" i="1"/>
  <c r="N18821" i="1"/>
  <c r="N18822" i="1"/>
  <c r="N18199" i="1"/>
  <c r="N4336" i="1"/>
  <c r="N5319" i="1"/>
  <c r="N14670" i="1"/>
  <c r="N5222" i="1"/>
  <c r="N12783" i="1"/>
  <c r="N12973" i="1"/>
  <c r="N12974" i="1"/>
  <c r="N7965" i="1"/>
  <c r="N5683" i="1"/>
  <c r="N5684" i="1"/>
  <c r="N5685" i="1"/>
  <c r="N5686" i="1"/>
  <c r="N5687" i="1"/>
  <c r="N12726" i="1"/>
  <c r="N10016" i="1"/>
  <c r="N7186" i="1"/>
  <c r="N7733" i="1"/>
  <c r="N7734" i="1"/>
  <c r="N10017" i="1"/>
  <c r="N10018" i="1"/>
  <c r="N3133" i="1"/>
  <c r="N10019" i="1"/>
  <c r="N10020" i="1"/>
  <c r="N10021" i="1"/>
  <c r="N10022" i="1"/>
  <c r="N10192" i="1"/>
  <c r="N10193" i="1"/>
  <c r="N12754" i="1"/>
  <c r="N8713" i="1"/>
  <c r="N16236" i="1"/>
  <c r="N8714" i="1"/>
  <c r="N4304" i="1"/>
  <c r="N8715" i="1"/>
  <c r="N6174" i="1"/>
  <c r="N15847" i="1"/>
  <c r="N13182" i="1"/>
  <c r="N4690" i="1"/>
  <c r="N23608" i="1"/>
  <c r="N23609" i="1"/>
  <c r="N1789" i="1"/>
  <c r="N1802" i="1"/>
  <c r="N12197" i="1"/>
  <c r="N12198" i="1"/>
  <c r="N8716" i="1"/>
  <c r="N25755" i="1"/>
  <c r="N16257" i="1"/>
  <c r="N22916" i="1"/>
  <c r="N11087" i="1"/>
  <c r="N18581" i="1"/>
  <c r="N18670" i="1"/>
  <c r="N2607" i="1"/>
  <c r="N12131" i="1"/>
  <c r="N2608" i="1"/>
  <c r="N11444" i="1"/>
  <c r="N11445" i="1"/>
  <c r="N9788" i="1"/>
  <c r="N9789" i="1"/>
  <c r="N11725" i="1"/>
  <c r="N9790" i="1"/>
  <c r="N11446" i="1"/>
  <c r="N11447" i="1"/>
  <c r="N11448" i="1"/>
  <c r="N9580" i="1"/>
  <c r="N9581" i="1"/>
  <c r="N11449" i="1"/>
  <c r="N18543" i="1"/>
  <c r="N9582" i="1"/>
  <c r="N9583" i="1"/>
  <c r="N9584" i="1"/>
  <c r="N9585" i="1"/>
  <c r="N9596" i="1"/>
  <c r="N9597" i="1"/>
  <c r="N9586" i="1"/>
  <c r="N9587" i="1"/>
  <c r="N9588" i="1"/>
  <c r="N2893" i="1"/>
  <c r="N23743" i="1"/>
  <c r="N18642" i="1"/>
  <c r="N1536" i="1"/>
  <c r="N1537" i="1"/>
  <c r="N1538" i="1"/>
  <c r="N1539" i="1"/>
  <c r="N8717" i="1"/>
  <c r="N8718" i="1"/>
  <c r="N8719" i="1"/>
  <c r="N8720" i="1"/>
  <c r="N8721" i="1"/>
  <c r="N8722" i="1"/>
  <c r="N8723" i="1"/>
  <c r="N8413" i="1"/>
  <c r="N8724" i="1"/>
  <c r="N8725" i="1"/>
  <c r="N8726" i="1"/>
  <c r="N8727" i="1"/>
  <c r="N8728" i="1"/>
  <c r="N8729" i="1"/>
  <c r="N23095" i="1"/>
  <c r="N24102" i="1"/>
  <c r="N23052" i="1"/>
  <c r="N2426" i="1"/>
  <c r="N8730" i="1"/>
  <c r="N8731" i="1"/>
  <c r="N8732" i="1"/>
  <c r="N8733" i="1"/>
  <c r="N8734" i="1"/>
  <c r="N8735" i="1"/>
  <c r="N23128" i="1"/>
  <c r="N9791" i="1"/>
  <c r="N12100" i="1"/>
  <c r="N11756" i="1"/>
  <c r="N1156" i="1"/>
  <c r="N1157" i="1"/>
  <c r="N11450" i="1"/>
  <c r="N11451" i="1"/>
  <c r="N11452" i="1"/>
  <c r="N11453" i="1"/>
  <c r="N10067" i="1"/>
  <c r="N6570" i="1"/>
  <c r="N6571" i="1"/>
  <c r="N1918" i="1"/>
  <c r="N13511" i="1"/>
  <c r="N2609" i="1"/>
  <c r="N25756" i="1"/>
  <c r="N25275" i="1"/>
  <c r="N25276" i="1"/>
  <c r="N25277" i="1"/>
  <c r="N25246" i="1"/>
  <c r="N25247" i="1"/>
  <c r="N25248" i="1"/>
  <c r="N25249" i="1"/>
  <c r="N25250" i="1"/>
  <c r="N25251" i="1"/>
  <c r="N25252" i="1"/>
  <c r="N25253" i="1"/>
  <c r="N25254" i="1"/>
  <c r="N25255" i="1"/>
  <c r="N13183" i="1"/>
  <c r="N4244" i="1"/>
  <c r="N4254" i="1"/>
  <c r="N2339" i="1"/>
  <c r="N14445" i="1"/>
  <c r="N14446" i="1"/>
  <c r="N24343" i="1"/>
  <c r="N10093" i="1"/>
  <c r="N1630" i="1"/>
  <c r="N15979" i="1"/>
  <c r="N15980" i="1"/>
  <c r="N4078" i="1"/>
  <c r="N4002" i="1"/>
  <c r="N9370" i="1"/>
  <c r="N9371" i="1"/>
  <c r="N9360" i="1"/>
  <c r="N12350" i="1"/>
  <c r="N15668" i="1"/>
  <c r="N11088" i="1"/>
  <c r="N4584" i="1"/>
  <c r="N9692" i="1"/>
  <c r="N2610" i="1"/>
  <c r="N12054" i="1"/>
  <c r="N17981" i="1"/>
  <c r="N6777" i="1"/>
  <c r="N6513" i="1"/>
  <c r="N6514" i="1"/>
  <c r="N23744" i="1"/>
  <c r="N18653" i="1"/>
  <c r="N18654" i="1"/>
  <c r="N3407" i="1"/>
  <c r="N24650" i="1"/>
  <c r="N24651" i="1"/>
  <c r="N24652" i="1"/>
  <c r="N24653" i="1"/>
  <c r="N24654" i="1"/>
  <c r="N14563" i="1"/>
  <c r="N15055" i="1"/>
  <c r="N24096" i="1"/>
  <c r="N24098" i="1"/>
  <c r="N2245" i="1"/>
  <c r="N6841" i="1"/>
  <c r="N6838" i="1"/>
  <c r="N10199" i="1"/>
  <c r="N16387" i="1"/>
  <c r="N15783" i="1"/>
  <c r="N1204" i="1"/>
  <c r="N3529" i="1"/>
  <c r="N23766" i="1"/>
  <c r="N4691" i="1"/>
  <c r="N4692" i="1"/>
  <c r="N4656" i="1"/>
  <c r="N4549" i="1"/>
  <c r="N4550" i="1"/>
  <c r="N9667" i="1"/>
  <c r="N7187" i="1"/>
  <c r="N7735" i="1"/>
  <c r="N8414" i="1"/>
  <c r="N10401" i="1"/>
  <c r="N10408" i="1"/>
  <c r="N4663" i="1"/>
  <c r="N7911" i="1"/>
  <c r="N2810" i="1"/>
  <c r="N9792" i="1"/>
  <c r="N9793" i="1"/>
  <c r="N11222" i="1"/>
  <c r="N12132" i="1"/>
  <c r="N3888" i="1"/>
  <c r="N3912" i="1"/>
  <c r="N24743" i="1"/>
  <c r="N24311" i="1"/>
  <c r="N15081" i="1"/>
  <c r="N3825" i="1"/>
  <c r="N2611" i="1"/>
  <c r="N14433" i="1"/>
  <c r="N14434" i="1"/>
  <c r="N25256" i="1"/>
  <c r="N25257" i="1"/>
  <c r="N25258" i="1"/>
  <c r="N25259" i="1"/>
  <c r="N1895" i="1"/>
  <c r="N16000" i="1"/>
  <c r="N13184" i="1"/>
  <c r="N13185" i="1"/>
  <c r="N2125" i="1"/>
  <c r="N4646" i="1"/>
  <c r="N18627" i="1"/>
  <c r="N19299" i="1"/>
  <c r="N11454" i="1"/>
  <c r="N5223" i="1"/>
  <c r="N2612" i="1"/>
  <c r="N2613" i="1"/>
  <c r="N24701" i="1"/>
  <c r="N24702" i="1"/>
  <c r="N24703" i="1"/>
  <c r="N24704" i="1"/>
  <c r="N3805" i="1"/>
  <c r="N6632" i="1"/>
  <c r="N4039" i="1"/>
  <c r="N4003" i="1"/>
  <c r="N19196" i="1"/>
  <c r="N9543" i="1"/>
  <c r="N9544" i="1"/>
  <c r="N9545" i="1"/>
  <c r="N15685" i="1"/>
  <c r="N1724" i="1"/>
  <c r="N2530" i="1"/>
  <c r="N1609" i="1"/>
  <c r="N12289" i="1"/>
  <c r="N9054" i="1"/>
  <c r="N2434" i="1"/>
  <c r="N19197" i="1"/>
  <c r="N19198" i="1"/>
  <c r="N11260" i="1"/>
  <c r="N8141" i="1"/>
  <c r="N8132" i="1"/>
  <c r="N19154" i="1"/>
  <c r="N19155" i="1"/>
  <c r="N19156" i="1"/>
  <c r="N10644" i="1"/>
  <c r="N17889" i="1"/>
  <c r="N17887" i="1"/>
  <c r="N17888" i="1"/>
  <c r="N10597" i="1"/>
  <c r="N11455" i="1"/>
  <c r="N1558" i="1"/>
  <c r="N1559" i="1"/>
  <c r="N9794" i="1"/>
  <c r="N9795" i="1"/>
  <c r="N25757" i="1"/>
  <c r="N25678" i="1"/>
  <c r="N15669" i="1"/>
  <c r="N2811" i="1"/>
  <c r="N15831" i="1"/>
  <c r="N1764" i="1"/>
  <c r="N6572" i="1"/>
  <c r="N1811" i="1"/>
  <c r="N1812" i="1"/>
  <c r="N6573" i="1"/>
  <c r="N23569" i="1"/>
  <c r="N23570" i="1"/>
  <c r="N19157" i="1"/>
  <c r="N1138" i="1"/>
  <c r="N23604" i="1"/>
  <c r="N6268" i="1"/>
  <c r="N10684" i="1"/>
  <c r="N1823" i="1"/>
  <c r="N1824" i="1"/>
  <c r="N1825" i="1"/>
  <c r="N1162" i="1"/>
  <c r="N1159" i="1"/>
  <c r="N1160" i="1"/>
  <c r="N1161" i="1"/>
  <c r="N13892" i="1"/>
  <c r="N3279" i="1"/>
  <c r="N5195" i="1"/>
  <c r="N5196" i="1"/>
  <c r="N6850" i="1"/>
  <c r="N1495" i="1"/>
  <c r="N14450" i="1"/>
  <c r="N12454" i="1"/>
  <c r="N12455" i="1"/>
  <c r="N6515" i="1"/>
  <c r="N6516" i="1"/>
  <c r="N6805" i="1"/>
  <c r="N3182" i="1"/>
  <c r="N16318" i="1"/>
  <c r="N12345" i="1"/>
  <c r="N10403" i="1"/>
  <c r="N4004" i="1"/>
  <c r="N18823" i="1"/>
  <c r="N18824" i="1"/>
  <c r="N25373" i="1"/>
  <c r="N11456" i="1"/>
  <c r="N9796" i="1"/>
  <c r="N2614" i="1"/>
  <c r="N6223" i="1"/>
  <c r="N6269" i="1"/>
  <c r="N6270" i="1"/>
  <c r="N10333" i="1"/>
  <c r="N4005" i="1"/>
  <c r="N4006" i="1"/>
  <c r="N4107" i="1"/>
  <c r="N10601" i="1"/>
  <c r="N7188" i="1"/>
  <c r="N7736" i="1"/>
  <c r="N16258" i="1"/>
  <c r="N17191" i="1"/>
  <c r="N17192" i="1"/>
  <c r="N17193" i="1"/>
  <c r="N3573" i="1"/>
  <c r="N15744" i="1"/>
  <c r="N2121" i="1"/>
  <c r="N9437" i="1"/>
  <c r="N19242" i="1"/>
  <c r="N8736" i="1"/>
  <c r="N1931" i="1"/>
  <c r="N8415" i="1"/>
  <c r="N6318" i="1"/>
  <c r="N15402" i="1"/>
  <c r="N15403" i="1"/>
  <c r="N8097" i="1"/>
  <c r="N8098" i="1"/>
  <c r="N7966" i="1"/>
  <c r="N1565" i="1"/>
  <c r="N11457" i="1"/>
  <c r="N11458" i="1"/>
  <c r="N15928" i="1"/>
  <c r="N15929" i="1"/>
  <c r="N15967" i="1"/>
  <c r="N25518" i="1"/>
  <c r="N11459" i="1"/>
  <c r="N25519" i="1"/>
  <c r="N9668" i="1"/>
  <c r="N9669" i="1"/>
  <c r="N9670" i="1"/>
  <c r="N1725" i="1"/>
  <c r="N1726" i="1"/>
  <c r="N9671" i="1"/>
  <c r="N9672" i="1"/>
  <c r="N11460" i="1"/>
  <c r="N11223" i="1"/>
  <c r="N9673" i="1"/>
  <c r="N11461" i="1"/>
  <c r="N11224" i="1"/>
  <c r="N11726" i="1"/>
  <c r="N11727" i="1"/>
  <c r="N6648" i="1"/>
  <c r="N6649" i="1"/>
  <c r="N6650" i="1"/>
  <c r="N3370" i="1"/>
  <c r="N3338" i="1"/>
  <c r="N10241" i="1"/>
  <c r="N15872" i="1"/>
  <c r="N18623" i="1"/>
  <c r="N18624" i="1"/>
  <c r="N1398" i="1"/>
  <c r="N10364" i="1"/>
  <c r="N10365" i="1"/>
  <c r="N18576" i="1"/>
  <c r="N14587" i="1"/>
  <c r="N12560" i="1"/>
  <c r="N11728" i="1"/>
  <c r="N12561" i="1"/>
  <c r="N11843" i="1"/>
  <c r="N11844" i="1"/>
  <c r="N12727" i="1"/>
  <c r="N1348" i="1"/>
  <c r="N8737" i="1"/>
  <c r="N23327" i="1"/>
  <c r="N23477" i="1"/>
  <c r="N23328" i="1"/>
  <c r="N23329" i="1"/>
  <c r="N15138" i="1"/>
  <c r="N15139" i="1"/>
  <c r="N15140" i="1"/>
  <c r="N4058" i="1"/>
  <c r="N8386" i="1"/>
  <c r="N11462" i="1"/>
  <c r="N11463" i="1"/>
  <c r="N13823" i="1"/>
  <c r="N13159" i="1"/>
  <c r="N13160" i="1"/>
  <c r="N8111" i="1"/>
  <c r="N25758" i="1"/>
  <c r="N11274" i="1"/>
  <c r="N18440" i="1"/>
  <c r="N2142" i="1"/>
  <c r="N11464" i="1"/>
  <c r="N11465" i="1"/>
  <c r="N11466" i="1"/>
  <c r="N11467" i="1"/>
  <c r="N11468" i="1"/>
  <c r="N3198" i="1"/>
  <c r="N10851" i="1"/>
  <c r="N10852" i="1"/>
  <c r="N10853" i="1"/>
  <c r="N10854" i="1"/>
  <c r="N7189" i="1"/>
  <c r="N7190" i="1"/>
  <c r="N7191" i="1"/>
  <c r="N7192" i="1"/>
  <c r="N7193" i="1"/>
  <c r="N7194" i="1"/>
  <c r="N7195" i="1"/>
  <c r="N1173" i="1"/>
  <c r="N1174" i="1"/>
  <c r="N1175" i="1"/>
  <c r="N13977" i="1"/>
  <c r="N7196" i="1"/>
  <c r="N7737" i="1"/>
  <c r="N7197" i="1"/>
  <c r="N7738" i="1"/>
  <c r="N7198" i="1"/>
  <c r="N1176" i="1"/>
  <c r="N18389" i="1"/>
  <c r="N18390" i="1"/>
  <c r="N18391" i="1"/>
  <c r="N18392" i="1"/>
  <c r="N9797" i="1"/>
  <c r="N9798" i="1"/>
  <c r="N9799" i="1"/>
  <c r="N2615" i="1"/>
  <c r="N1238" i="1"/>
  <c r="N11469" i="1"/>
  <c r="N8130" i="1"/>
  <c r="N14488" i="1"/>
  <c r="N19758" i="1"/>
  <c r="N23620" i="1"/>
  <c r="N13186" i="1"/>
  <c r="N10409" i="1"/>
  <c r="N24380" i="1"/>
  <c r="N23745" i="1"/>
  <c r="N7892" i="1"/>
  <c r="N12527" i="1"/>
  <c r="N4079" i="1"/>
  <c r="N4007" i="1"/>
  <c r="N8416" i="1"/>
  <c r="N12975" i="1"/>
  <c r="N12976" i="1"/>
  <c r="N12977" i="1"/>
  <c r="N19573" i="1"/>
  <c r="N12978" i="1"/>
  <c r="N12496" i="1"/>
  <c r="N12497" i="1"/>
  <c r="N12511" i="1"/>
  <c r="N12979" i="1"/>
  <c r="N23520" i="1"/>
  <c r="N23219" i="1"/>
  <c r="N23330" i="1"/>
  <c r="N23331" i="1"/>
  <c r="N8738" i="1"/>
  <c r="N8739" i="1"/>
  <c r="N8740" i="1"/>
  <c r="N12980" i="1"/>
  <c r="N8741" i="1"/>
  <c r="N12981" i="1"/>
  <c r="N12217" i="1"/>
  <c r="N8742" i="1"/>
  <c r="N12982" i="1"/>
  <c r="N12983" i="1"/>
  <c r="N8743" i="1"/>
  <c r="N8744" i="1"/>
  <c r="N8745" i="1"/>
  <c r="N12784" i="1"/>
  <c r="N12785" i="1"/>
  <c r="N12984" i="1"/>
  <c r="N12786" i="1"/>
  <c r="N8746" i="1"/>
  <c r="N12985" i="1"/>
  <c r="N2461" i="1"/>
  <c r="N12986" i="1"/>
  <c r="N9000" i="1"/>
  <c r="N19807" i="1"/>
  <c r="N24381" i="1"/>
  <c r="N17746" i="1"/>
  <c r="N24382" i="1"/>
  <c r="N17968" i="1"/>
  <c r="N2913" i="1"/>
  <c r="N11275" i="1"/>
  <c r="N19808" i="1"/>
  <c r="N8112" i="1"/>
  <c r="N11470" i="1"/>
  <c r="N24383" i="1"/>
  <c r="N24767" i="1"/>
  <c r="N16568" i="1"/>
  <c r="N15670" i="1"/>
  <c r="N24031" i="1"/>
  <c r="N3251" i="1"/>
  <c r="N24705" i="1"/>
  <c r="N24655" i="1"/>
  <c r="N24059" i="1"/>
  <c r="N24057" i="1"/>
  <c r="N12133" i="1"/>
  <c r="N13313" i="1"/>
  <c r="N13338" i="1"/>
  <c r="N13314" i="1"/>
  <c r="N4376" i="1"/>
  <c r="N4377" i="1"/>
  <c r="N10182" i="1"/>
  <c r="N10134" i="1"/>
  <c r="N25957" i="1"/>
  <c r="N18441" i="1"/>
  <c r="N6790" i="1"/>
  <c r="N3252" i="1"/>
  <c r="N3211" i="1"/>
  <c r="N1861" i="1"/>
  <c r="N1862" i="1"/>
  <c r="N1863" i="1"/>
  <c r="N3253" i="1"/>
  <c r="N3212" i="1"/>
  <c r="N3254" i="1"/>
  <c r="N3213" i="1"/>
  <c r="N3255" i="1"/>
  <c r="N3214" i="1"/>
  <c r="N3256" i="1"/>
  <c r="N3215" i="1"/>
  <c r="N4482" i="1"/>
  <c r="N14469" i="1"/>
  <c r="N23746" i="1"/>
  <c r="N23747" i="1"/>
  <c r="N18200" i="1"/>
  <c r="N18201" i="1"/>
  <c r="N10573" i="1"/>
  <c r="N18202" i="1"/>
  <c r="N18203" i="1"/>
  <c r="N10947" i="1"/>
  <c r="N3094" i="1"/>
  <c r="N1310" i="1"/>
  <c r="N14440" i="1"/>
  <c r="N10855" i="1"/>
  <c r="N10856" i="1"/>
  <c r="N1767" i="1"/>
  <c r="N18012" i="1"/>
  <c r="N18013" i="1"/>
  <c r="N10857" i="1"/>
  <c r="N12316" i="1"/>
  <c r="N23951" i="1"/>
  <c r="N23952" i="1"/>
  <c r="N9474" i="1"/>
  <c r="N3495" i="1"/>
  <c r="N10252" i="1"/>
  <c r="N10253" i="1"/>
  <c r="N4943" i="1"/>
  <c r="N10858" i="1"/>
  <c r="N15185" i="1"/>
  <c r="N4944" i="1"/>
  <c r="N10859" i="1"/>
  <c r="N23010" i="1"/>
  <c r="N10860" i="1"/>
  <c r="N1205" i="1"/>
  <c r="N11160" i="1"/>
  <c r="N7199" i="1"/>
  <c r="N7200" i="1"/>
  <c r="N7201" i="1"/>
  <c r="N7739" i="1"/>
  <c r="N7202" i="1"/>
  <c r="N9800" i="1"/>
  <c r="N9801" i="1"/>
  <c r="N9802" i="1"/>
  <c r="N11950" i="1"/>
  <c r="N9803" i="1"/>
  <c r="N9804" i="1"/>
  <c r="N9805" i="1"/>
  <c r="N9806" i="1"/>
  <c r="N9807" i="1"/>
  <c r="N9808" i="1"/>
  <c r="N9809" i="1"/>
  <c r="N9810" i="1"/>
  <c r="N20850" i="1"/>
  <c r="N20851" i="1"/>
  <c r="N20852" i="1"/>
  <c r="N11904" i="1"/>
  <c r="N11905" i="1"/>
  <c r="N20853" i="1"/>
  <c r="N20854" i="1"/>
  <c r="N20855" i="1"/>
  <c r="N20856" i="1"/>
  <c r="N20857" i="1"/>
  <c r="N20858" i="1"/>
  <c r="N20859" i="1"/>
  <c r="N20860" i="1"/>
  <c r="N20861" i="1"/>
  <c r="N20862" i="1"/>
  <c r="N20863" i="1"/>
  <c r="N20864" i="1"/>
  <c r="N20865" i="1"/>
  <c r="N20866" i="1"/>
  <c r="N20867" i="1"/>
  <c r="N20868" i="1"/>
  <c r="N20869" i="1"/>
  <c r="N2000" i="1"/>
  <c r="N2001" i="1"/>
  <c r="N24130" i="1"/>
  <c r="N20870" i="1"/>
  <c r="N20871" i="1"/>
  <c r="N20872" i="1"/>
  <c r="N20873" i="1"/>
  <c r="N20874" i="1"/>
  <c r="N20875" i="1"/>
  <c r="N20876" i="1"/>
  <c r="N20877" i="1"/>
  <c r="N20878" i="1"/>
  <c r="N20879" i="1"/>
  <c r="N20880" i="1"/>
  <c r="N20881" i="1"/>
  <c r="N20882" i="1"/>
  <c r="N20883" i="1"/>
  <c r="N20884" i="1"/>
  <c r="N20885" i="1"/>
  <c r="N20886" i="1"/>
  <c r="N20887" i="1"/>
  <c r="N20888" i="1"/>
  <c r="N20889" i="1"/>
  <c r="N20890" i="1"/>
  <c r="N20891" i="1"/>
  <c r="N18738" i="1"/>
  <c r="N18825" i="1"/>
  <c r="N8199" i="1"/>
  <c r="N12031" i="1"/>
  <c r="N3413" i="1"/>
  <c r="N19199" i="1"/>
  <c r="N13714" i="1"/>
  <c r="N13715" i="1"/>
  <c r="N13716" i="1"/>
  <c r="N13717" i="1"/>
  <c r="N9149" i="1"/>
  <c r="N1364" i="1"/>
  <c r="N1365" i="1"/>
  <c r="N1366" i="1"/>
  <c r="N1367" i="1"/>
  <c r="N9150" i="1"/>
  <c r="N9151" i="1"/>
  <c r="N2340" i="1"/>
  <c r="N9152" i="1"/>
  <c r="N9153" i="1"/>
  <c r="N9154" i="1"/>
  <c r="N9155" i="1"/>
  <c r="N9156" i="1"/>
  <c r="N9157" i="1"/>
  <c r="N12427" i="1"/>
  <c r="N12428" i="1"/>
  <c r="N12429" i="1"/>
  <c r="N9234" i="1"/>
  <c r="N9235" i="1"/>
  <c r="N9236" i="1"/>
  <c r="N9237" i="1"/>
  <c r="N9238" i="1"/>
  <c r="N3216" i="1"/>
  <c r="N24192" i="1"/>
  <c r="N24193" i="1"/>
  <c r="N24165" i="1"/>
  <c r="N19097" i="1"/>
  <c r="N16214" i="1"/>
  <c r="N16594" i="1"/>
  <c r="N7203" i="1"/>
  <c r="N7740" i="1"/>
  <c r="N7204" i="1"/>
  <c r="N7741" i="1"/>
  <c r="N7205" i="1"/>
  <c r="N7742" i="1"/>
  <c r="N16626" i="1"/>
  <c r="N25260" i="1"/>
  <c r="N10394" i="1"/>
  <c r="N10395" i="1"/>
  <c r="N10396" i="1"/>
  <c r="N8200" i="1"/>
  <c r="N24046" i="1"/>
  <c r="N25965" i="1"/>
  <c r="N2616" i="1"/>
  <c r="N2617" i="1"/>
  <c r="N20892" i="1"/>
  <c r="N2812" i="1"/>
  <c r="N14352" i="1"/>
  <c r="N10726" i="1"/>
  <c r="N10665" i="1"/>
  <c r="N10685" i="1"/>
  <c r="N10686" i="1"/>
  <c r="N18114" i="1"/>
  <c r="N6574" i="1"/>
  <c r="N23827" i="1"/>
  <c r="N14673" i="1"/>
  <c r="N12342" i="1"/>
  <c r="N10662" i="1"/>
  <c r="N23118" i="1"/>
  <c r="N23119" i="1"/>
  <c r="N25921" i="1"/>
  <c r="N2341" i="1"/>
  <c r="N23220" i="1"/>
  <c r="N23164" i="1"/>
  <c r="N23478" i="1"/>
  <c r="N23497" i="1"/>
  <c r="N23221" i="1"/>
  <c r="N23332" i="1"/>
  <c r="N6502" i="1"/>
  <c r="N6138" i="1"/>
  <c r="N3944" i="1"/>
  <c r="N3946" i="1"/>
  <c r="N14326" i="1"/>
  <c r="N25374" i="1"/>
  <c r="N18100" i="1"/>
  <c r="N23333" i="1"/>
  <c r="N23334" i="1"/>
  <c r="N23479" i="1"/>
  <c r="N23335" i="1"/>
  <c r="N23480" i="1"/>
  <c r="N15533" i="1"/>
  <c r="N3978" i="1"/>
  <c r="N3959" i="1"/>
  <c r="N3515" i="1"/>
  <c r="N14903" i="1"/>
  <c r="N19786" i="1"/>
  <c r="N12728" i="1"/>
  <c r="N14904" i="1"/>
  <c r="N6245" i="1"/>
  <c r="N14905" i="1"/>
  <c r="N6139" i="1"/>
  <c r="N11039" i="1"/>
  <c r="N1821" i="1"/>
  <c r="N25703" i="1"/>
  <c r="N25704" i="1"/>
  <c r="N25705" i="1"/>
  <c r="N8017" i="1"/>
  <c r="N18463" i="1"/>
  <c r="N18464" i="1"/>
  <c r="N18465" i="1"/>
  <c r="N10356" i="1"/>
  <c r="N11471" i="1"/>
  <c r="N11472" i="1"/>
  <c r="N11473" i="1"/>
  <c r="N19312" i="1"/>
  <c r="N11474" i="1"/>
  <c r="N11475" i="1"/>
  <c r="N25958" i="1"/>
  <c r="N10587" i="1"/>
  <c r="N12012" i="1"/>
  <c r="N12295" i="1"/>
  <c r="N12408" i="1"/>
  <c r="N6792" i="1"/>
  <c r="N16052" i="1"/>
  <c r="N18204" i="1"/>
  <c r="N18205" i="1"/>
  <c r="N18206" i="1"/>
  <c r="N18207" i="1"/>
  <c r="N18208" i="1"/>
  <c r="N18209" i="1"/>
  <c r="N18210" i="1"/>
  <c r="N18211" i="1"/>
  <c r="N18212" i="1"/>
  <c r="N18213" i="1"/>
  <c r="N13428" i="1"/>
  <c r="N13429" i="1"/>
  <c r="N13430" i="1"/>
  <c r="N18214" i="1"/>
  <c r="N25375" i="1"/>
  <c r="N13431" i="1"/>
  <c r="N13432" i="1"/>
  <c r="N22983" i="1"/>
  <c r="N22984" i="1"/>
  <c r="N10757" i="1"/>
  <c r="N10758" i="1"/>
  <c r="N10759" i="1"/>
  <c r="N14464" i="1"/>
  <c r="N10760" i="1"/>
  <c r="N5087" i="1"/>
  <c r="N5088" i="1"/>
  <c r="N5089" i="1"/>
  <c r="N5090" i="1"/>
  <c r="N5091" i="1"/>
  <c r="N5092" i="1"/>
  <c r="N5093" i="1"/>
  <c r="N5094" i="1"/>
  <c r="N5095" i="1"/>
  <c r="N5096" i="1"/>
  <c r="N6575" i="1"/>
  <c r="N6224" i="1"/>
  <c r="N24610" i="1"/>
  <c r="N11161" i="1"/>
  <c r="N11131" i="1"/>
  <c r="N6521" i="1"/>
  <c r="N24065" i="1"/>
  <c r="N23953" i="1"/>
  <c r="N23954" i="1"/>
  <c r="N23955" i="1"/>
  <c r="N23956" i="1"/>
  <c r="N23957" i="1"/>
  <c r="N23481" i="1"/>
  <c r="N23336" i="1"/>
  <c r="N23165" i="1"/>
  <c r="N23337" i="1"/>
  <c r="N23338" i="1"/>
  <c r="N15751" i="1"/>
  <c r="N18490" i="1"/>
  <c r="N18491" i="1"/>
  <c r="N18492" i="1"/>
  <c r="N18493" i="1"/>
  <c r="N18494" i="1"/>
  <c r="N18495" i="1"/>
  <c r="N18215" i="1"/>
  <c r="N18216" i="1"/>
  <c r="N16438" i="1"/>
  <c r="N16439" i="1"/>
  <c r="N16440" i="1"/>
  <c r="N16441" i="1"/>
  <c r="N12296" i="1"/>
  <c r="N16442" i="1"/>
  <c r="N16443" i="1"/>
  <c r="N16444" i="1"/>
  <c r="N16445" i="1"/>
  <c r="N1500" i="1"/>
  <c r="N1509" i="1"/>
  <c r="N7206" i="1"/>
  <c r="N7743" i="1"/>
  <c r="N16446" i="1"/>
  <c r="N12101" i="1"/>
  <c r="N2500" i="1"/>
  <c r="N5688" i="1"/>
  <c r="N5689" i="1"/>
  <c r="N5690" i="1"/>
  <c r="N5691" i="1"/>
  <c r="N5692" i="1"/>
  <c r="N5693" i="1"/>
  <c r="N5694" i="1"/>
  <c r="N5695" i="1"/>
  <c r="N5696" i="1"/>
  <c r="N5697" i="1"/>
  <c r="N5698" i="1"/>
  <c r="N4378" i="1"/>
  <c r="N11476" i="1"/>
  <c r="N11225" i="1"/>
  <c r="N11477" i="1"/>
  <c r="N11226" i="1"/>
  <c r="N9687" i="1"/>
  <c r="N12293" i="1"/>
  <c r="N2002" i="1"/>
  <c r="N2003" i="1"/>
  <c r="N2004" i="1"/>
  <c r="N2005" i="1"/>
  <c r="N2006" i="1"/>
  <c r="N20893" i="1"/>
  <c r="N10761" i="1"/>
  <c r="N10762" i="1"/>
  <c r="N4551" i="1"/>
  <c r="N4552" i="1"/>
  <c r="N20894" i="1"/>
  <c r="N15440" i="1"/>
  <c r="N5699" i="1"/>
  <c r="N5700" i="1"/>
  <c r="N20895" i="1"/>
  <c r="N2007" i="1"/>
  <c r="N2008" i="1"/>
  <c r="N5701" i="1"/>
  <c r="N5702" i="1"/>
  <c r="N20896" i="1"/>
  <c r="N2977" i="1"/>
  <c r="N5703" i="1"/>
  <c r="N5704" i="1"/>
  <c r="N5705" i="1"/>
  <c r="N20897" i="1"/>
  <c r="N20898" i="1"/>
  <c r="N20899" i="1"/>
  <c r="N20900" i="1"/>
  <c r="N20901" i="1"/>
  <c r="N20902" i="1"/>
  <c r="N10277" i="1"/>
  <c r="N10278" i="1"/>
  <c r="N5706" i="1"/>
  <c r="N20903" i="1"/>
  <c r="N20904" i="1"/>
  <c r="N20905" i="1"/>
  <c r="N20906" i="1"/>
  <c r="N20907" i="1"/>
  <c r="N20908" i="1"/>
  <c r="N20909" i="1"/>
  <c r="N20910" i="1"/>
  <c r="N20911" i="1"/>
  <c r="N20912" i="1"/>
  <c r="N20913" i="1"/>
  <c r="N20914" i="1"/>
  <c r="N20915" i="1"/>
  <c r="N20916" i="1"/>
  <c r="N20917" i="1"/>
  <c r="N20918" i="1"/>
  <c r="N20919" i="1"/>
  <c r="N20920" i="1"/>
  <c r="N20921" i="1"/>
  <c r="N20922" i="1"/>
  <c r="N20923" i="1"/>
  <c r="N20924" i="1"/>
  <c r="N20925" i="1"/>
  <c r="N20926" i="1"/>
  <c r="N5707" i="1"/>
  <c r="N20927" i="1"/>
  <c r="N20928" i="1"/>
  <c r="N20929" i="1"/>
  <c r="N20930" i="1"/>
  <c r="N20931" i="1"/>
  <c r="N20932" i="1"/>
  <c r="N20933" i="1"/>
  <c r="N20934" i="1"/>
  <c r="N20935" i="1"/>
  <c r="N20936" i="1"/>
  <c r="N20937" i="1"/>
  <c r="N20938" i="1"/>
  <c r="N20939" i="1"/>
  <c r="N20940" i="1"/>
  <c r="N20941" i="1"/>
  <c r="N20942" i="1"/>
  <c r="N20943" i="1"/>
  <c r="N20944" i="1"/>
  <c r="N20945" i="1"/>
  <c r="N20946" i="1"/>
  <c r="N20947" i="1"/>
  <c r="N20948" i="1"/>
  <c r="N20949" i="1"/>
  <c r="N20950" i="1"/>
  <c r="N20951" i="1"/>
  <c r="N20952" i="1"/>
  <c r="N20953" i="1"/>
  <c r="N20954" i="1"/>
  <c r="N20955" i="1"/>
  <c r="N20956" i="1"/>
  <c r="N20957" i="1"/>
  <c r="N6678" i="1"/>
  <c r="N9507" i="1"/>
  <c r="N19759" i="1"/>
  <c r="N19760" i="1"/>
  <c r="N4628" i="1"/>
  <c r="N9477" i="1"/>
  <c r="N2978" i="1"/>
  <c r="N2979" i="1"/>
  <c r="N2980" i="1"/>
  <c r="N2981" i="1"/>
  <c r="N2982" i="1"/>
  <c r="N2983" i="1"/>
  <c r="N4517" i="1"/>
  <c r="N4516" i="1"/>
  <c r="N2894" i="1"/>
  <c r="N22917" i="1"/>
  <c r="N22918" i="1"/>
  <c r="N20958" i="1"/>
  <c r="N20959" i="1"/>
  <c r="N20960" i="1"/>
  <c r="N20961" i="1"/>
  <c r="N20962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5708" i="1"/>
  <c r="N5709" i="1"/>
  <c r="N5710" i="1"/>
  <c r="N7219" i="1"/>
  <c r="N7220" i="1"/>
  <c r="N7221" i="1"/>
  <c r="N7222" i="1"/>
  <c r="N20963" i="1"/>
  <c r="N20964" i="1"/>
  <c r="N20965" i="1"/>
  <c r="N20966" i="1"/>
  <c r="N20967" i="1"/>
  <c r="N20968" i="1"/>
  <c r="N20969" i="1"/>
  <c r="N20970" i="1"/>
  <c r="N5711" i="1"/>
  <c r="N5712" i="1"/>
  <c r="N5713" i="1"/>
  <c r="N20971" i="1"/>
  <c r="N20972" i="1"/>
  <c r="N20973" i="1"/>
  <c r="N20974" i="1"/>
  <c r="N20975" i="1"/>
  <c r="N20976" i="1"/>
  <c r="N20977" i="1"/>
  <c r="N20978" i="1"/>
  <c r="N20979" i="1"/>
  <c r="N20980" i="1"/>
  <c r="N20981" i="1"/>
  <c r="N20982" i="1"/>
  <c r="N20983" i="1"/>
  <c r="N20984" i="1"/>
  <c r="N12090" i="1"/>
  <c r="N2813" i="1"/>
  <c r="N1188" i="1"/>
  <c r="N1189" i="1"/>
  <c r="N1187" i="1"/>
  <c r="N13581" i="1"/>
  <c r="N13582" i="1"/>
  <c r="N13583" i="1"/>
  <c r="N13584" i="1"/>
  <c r="N13585" i="1"/>
  <c r="N13586" i="1"/>
  <c r="N15701" i="1"/>
  <c r="N16399" i="1"/>
  <c r="N12193" i="1"/>
  <c r="N12081" i="1"/>
  <c r="N2009" i="1"/>
  <c r="N2010" i="1"/>
  <c r="N5714" i="1"/>
  <c r="N5715" i="1"/>
  <c r="N2011" i="1"/>
  <c r="N2012" i="1"/>
  <c r="N5716" i="1"/>
  <c r="N5717" i="1"/>
  <c r="N20985" i="1"/>
  <c r="N20986" i="1"/>
  <c r="N20987" i="1"/>
  <c r="N20988" i="1"/>
  <c r="N20989" i="1"/>
  <c r="N20990" i="1"/>
  <c r="N20991" i="1"/>
  <c r="N20992" i="1"/>
  <c r="N20993" i="1"/>
  <c r="N20994" i="1"/>
  <c r="N2013" i="1"/>
  <c r="N2014" i="1"/>
  <c r="N13921" i="1"/>
  <c r="N20995" i="1"/>
  <c r="N23748" i="1"/>
  <c r="N10598" i="1"/>
  <c r="N1311" i="1"/>
  <c r="N11148" i="1"/>
  <c r="N14674" i="1"/>
  <c r="N17194" i="1"/>
  <c r="N17195" i="1"/>
  <c r="N10238" i="1"/>
  <c r="N10239" i="1"/>
  <c r="N10240" i="1"/>
  <c r="N23958" i="1"/>
  <c r="N20996" i="1"/>
  <c r="N20997" i="1"/>
  <c r="N20998" i="1"/>
  <c r="N20999" i="1"/>
  <c r="N21000" i="1"/>
  <c r="N5718" i="1"/>
  <c r="N24630" i="1"/>
  <c r="N21001" i="1"/>
  <c r="N21002" i="1"/>
  <c r="N21003" i="1"/>
  <c r="N21004" i="1"/>
  <c r="N21005" i="1"/>
  <c r="N21006" i="1"/>
  <c r="N21007" i="1"/>
  <c r="N21008" i="1"/>
  <c r="N21009" i="1"/>
  <c r="N21010" i="1"/>
  <c r="N14024" i="1"/>
  <c r="N11803" i="1"/>
  <c r="N11804" i="1"/>
  <c r="N11805" i="1"/>
  <c r="N11806" i="1"/>
  <c r="N11807" i="1"/>
  <c r="N10300" i="1"/>
  <c r="N10301" i="1"/>
  <c r="N10302" i="1"/>
  <c r="N10303" i="1"/>
  <c r="N10304" i="1"/>
  <c r="N10305" i="1"/>
  <c r="N10306" i="1"/>
  <c r="N10307" i="1"/>
  <c r="N10308" i="1"/>
  <c r="N10309" i="1"/>
  <c r="N18496" i="1"/>
  <c r="N3688" i="1"/>
  <c r="N3689" i="1"/>
  <c r="N3690" i="1"/>
  <c r="N3691" i="1"/>
  <c r="N3692" i="1"/>
  <c r="N3693" i="1"/>
  <c r="N13771" i="1"/>
  <c r="N13789" i="1"/>
  <c r="N13718" i="1"/>
  <c r="N13676" i="1"/>
  <c r="N13772" i="1"/>
  <c r="N13719" i="1"/>
  <c r="N13720" i="1"/>
  <c r="N10508" i="1"/>
  <c r="N10509" i="1"/>
  <c r="N10510" i="1"/>
  <c r="N6409" i="1"/>
  <c r="N6410" i="1"/>
  <c r="N6411" i="1"/>
  <c r="N6412" i="1"/>
  <c r="N6413" i="1"/>
  <c r="N6414" i="1"/>
  <c r="N6415" i="1"/>
  <c r="N6416" i="1"/>
  <c r="N6417" i="1"/>
  <c r="N10439" i="1"/>
  <c r="N10440" i="1"/>
  <c r="N13824" i="1"/>
  <c r="N13822" i="1"/>
  <c r="N19617" i="1"/>
  <c r="N19640" i="1"/>
  <c r="N21011" i="1"/>
  <c r="N21012" i="1"/>
  <c r="N21013" i="1"/>
  <c r="N21014" i="1"/>
  <c r="N21015" i="1"/>
  <c r="N21016" i="1"/>
  <c r="N2984" i="1"/>
  <c r="N2985" i="1"/>
  <c r="N21017" i="1"/>
  <c r="N21018" i="1"/>
  <c r="N21019" i="1"/>
  <c r="N21020" i="1"/>
  <c r="N21021" i="1"/>
  <c r="N21022" i="1"/>
  <c r="N2986" i="1"/>
  <c r="N2987" i="1"/>
  <c r="N2988" i="1"/>
  <c r="N21023" i="1"/>
  <c r="N21024" i="1"/>
  <c r="N21025" i="1"/>
  <c r="N21026" i="1"/>
  <c r="N21027" i="1"/>
  <c r="N21028" i="1"/>
  <c r="N21029" i="1"/>
  <c r="N21030" i="1"/>
  <c r="N21031" i="1"/>
  <c r="N21032" i="1"/>
  <c r="N21033" i="1"/>
  <c r="N21034" i="1"/>
  <c r="N21035" i="1"/>
  <c r="N23771" i="1"/>
  <c r="N18217" i="1"/>
  <c r="N1864" i="1"/>
  <c r="N7893" i="1"/>
  <c r="N25922" i="1"/>
  <c r="N14629" i="1"/>
  <c r="N9962" i="1"/>
  <c r="N10135" i="1"/>
  <c r="N12317" i="1"/>
  <c r="N1553" i="1"/>
  <c r="N16610" i="1"/>
  <c r="N21036" i="1"/>
  <c r="N5719" i="1"/>
  <c r="N5720" i="1"/>
  <c r="N5721" i="1"/>
  <c r="N21037" i="1"/>
  <c r="N21038" i="1"/>
  <c r="N21039" i="1"/>
  <c r="N5722" i="1"/>
  <c r="N5723" i="1"/>
  <c r="N22919" i="1"/>
  <c r="N15733" i="1"/>
  <c r="N15734" i="1"/>
  <c r="N15735" i="1"/>
  <c r="N3134" i="1"/>
  <c r="N2618" i="1"/>
  <c r="N11965" i="1"/>
  <c r="N16001" i="1"/>
  <c r="N6175" i="1"/>
  <c r="N6176" i="1"/>
  <c r="N15310" i="1"/>
  <c r="N11966" i="1"/>
  <c r="N24339" i="1"/>
  <c r="N2413" i="1"/>
  <c r="N24384" i="1"/>
  <c r="N24385" i="1"/>
  <c r="N24386" i="1"/>
  <c r="N24387" i="1"/>
  <c r="N13834" i="1"/>
  <c r="N6128" i="1"/>
  <c r="N8113" i="1"/>
  <c r="N10861" i="1"/>
  <c r="N2130" i="1"/>
  <c r="N16053" i="1"/>
  <c r="N2814" i="1"/>
  <c r="N1939" i="1"/>
  <c r="N15477" i="1"/>
  <c r="N15505" i="1"/>
  <c r="N15478" i="1"/>
  <c r="N15506" i="1"/>
  <c r="N15507" i="1"/>
  <c r="N15479" i="1"/>
  <c r="N15590" i="1"/>
  <c r="N5724" i="1"/>
  <c r="N21040" i="1"/>
  <c r="N21041" i="1"/>
  <c r="N21042" i="1"/>
  <c r="N21043" i="1"/>
  <c r="N21044" i="1"/>
  <c r="N21045" i="1"/>
  <c r="N21046" i="1"/>
  <c r="N21047" i="1"/>
  <c r="N21048" i="1"/>
  <c r="N21049" i="1"/>
  <c r="N21050" i="1"/>
  <c r="N21051" i="1"/>
  <c r="N21052" i="1"/>
  <c r="N21053" i="1"/>
  <c r="N21054" i="1"/>
  <c r="N21055" i="1"/>
  <c r="N21056" i="1"/>
  <c r="N21057" i="1"/>
  <c r="N21058" i="1"/>
  <c r="N11967" i="1"/>
  <c r="N24480" i="1"/>
  <c r="N2261" i="1"/>
  <c r="N5725" i="1"/>
  <c r="N11968" i="1"/>
  <c r="N11969" i="1"/>
  <c r="N23068" i="1"/>
  <c r="N11970" i="1"/>
  <c r="N6177" i="1"/>
  <c r="N22920" i="1"/>
  <c r="N22921" i="1"/>
  <c r="N19345" i="1"/>
  <c r="N12260" i="1"/>
  <c r="N2619" i="1"/>
  <c r="N2620" i="1"/>
  <c r="N1420" i="1"/>
  <c r="N21059" i="1"/>
  <c r="N21060" i="1"/>
  <c r="N21061" i="1"/>
  <c r="N21062" i="1"/>
  <c r="N21063" i="1"/>
  <c r="N21064" i="1"/>
  <c r="N1598" i="1"/>
  <c r="N12199" i="1"/>
  <c r="N12261" i="1"/>
  <c r="N9811" i="1"/>
  <c r="N12262" i="1"/>
  <c r="N12263" i="1"/>
  <c r="N11089" i="1"/>
  <c r="N8201" i="1"/>
  <c r="N3135" i="1"/>
  <c r="N3136" i="1"/>
  <c r="N15191" i="1"/>
  <c r="N15192" i="1"/>
  <c r="N3506" i="1"/>
  <c r="N1599" i="1"/>
  <c r="N1600" i="1"/>
  <c r="N25932" i="1"/>
  <c r="N25933" i="1"/>
  <c r="N11928" i="1"/>
  <c r="N16237" i="1"/>
  <c r="N16238" i="1"/>
  <c r="N5726" i="1"/>
  <c r="N5727" i="1"/>
  <c r="N5728" i="1"/>
  <c r="N15584" i="1"/>
  <c r="N2895" i="1"/>
  <c r="N5729" i="1"/>
  <c r="N5730" i="1"/>
  <c r="N5731" i="1"/>
  <c r="N5732" i="1"/>
  <c r="N5733" i="1"/>
  <c r="N5734" i="1"/>
  <c r="N19389" i="1"/>
  <c r="N5735" i="1"/>
  <c r="N5736" i="1"/>
  <c r="N19390" i="1"/>
  <c r="N19391" i="1"/>
  <c r="N19392" i="1"/>
  <c r="N19393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6002" i="1"/>
  <c r="N16003" i="1"/>
  <c r="N16215" i="1"/>
  <c r="N15564" i="1"/>
  <c r="N15565" i="1"/>
  <c r="N10094" i="1"/>
  <c r="N19273" i="1"/>
  <c r="N3339" i="1"/>
  <c r="N3340" i="1"/>
  <c r="N7929" i="1"/>
  <c r="N1525" i="1"/>
  <c r="N21065" i="1"/>
  <c r="N21066" i="1"/>
  <c r="N21067" i="1"/>
  <c r="N21068" i="1"/>
  <c r="N21069" i="1"/>
  <c r="N21070" i="1"/>
  <c r="N21071" i="1"/>
  <c r="N21072" i="1"/>
  <c r="N21073" i="1"/>
  <c r="N21074" i="1"/>
  <c r="N21075" i="1"/>
  <c r="N21076" i="1"/>
  <c r="N21077" i="1"/>
  <c r="N21078" i="1"/>
  <c r="N21079" i="1"/>
  <c r="N21080" i="1"/>
  <c r="N21081" i="1"/>
  <c r="N21082" i="1"/>
  <c r="N10334" i="1"/>
  <c r="N18578" i="1"/>
  <c r="N10210" i="1"/>
  <c r="N10211" i="1"/>
  <c r="N14603" i="1"/>
  <c r="N14604" i="1"/>
  <c r="N14605" i="1"/>
  <c r="N14606" i="1"/>
  <c r="N14607" i="1"/>
  <c r="N14608" i="1"/>
  <c r="N14609" i="1"/>
  <c r="N14675" i="1"/>
  <c r="N14676" i="1"/>
  <c r="N6517" i="1"/>
  <c r="N6519" i="1"/>
  <c r="N18826" i="1"/>
  <c r="N10212" i="1"/>
  <c r="N10213" i="1"/>
  <c r="N10214" i="1"/>
  <c r="N2331" i="1"/>
  <c r="N2391" i="1"/>
  <c r="N2376" i="1"/>
  <c r="N6633" i="1"/>
  <c r="N12026" i="1"/>
  <c r="N12027" i="1"/>
  <c r="N9812" i="1"/>
  <c r="N12278" i="1"/>
  <c r="N3301" i="1"/>
  <c r="N3302" i="1"/>
  <c r="N3303" i="1"/>
  <c r="N3304" i="1"/>
  <c r="N3305" i="1"/>
  <c r="N3306" i="1"/>
  <c r="N5181" i="1"/>
  <c r="N5171" i="1"/>
  <c r="N3759" i="1"/>
  <c r="N24459" i="1"/>
  <c r="N24460" i="1"/>
  <c r="N18218" i="1"/>
  <c r="N1433" i="1"/>
  <c r="N1434" i="1"/>
  <c r="N1435" i="1"/>
  <c r="N10555" i="1"/>
  <c r="N23875" i="1"/>
  <c r="N13187" i="1"/>
  <c r="N13188" i="1"/>
  <c r="N19772" i="1"/>
  <c r="N19773" i="1"/>
  <c r="N3107" i="1"/>
  <c r="N1487" i="1"/>
  <c r="N1488" i="1"/>
  <c r="N4379" i="1"/>
  <c r="N4040" i="1"/>
  <c r="N4008" i="1"/>
  <c r="N4059" i="1"/>
  <c r="N8202" i="1"/>
  <c r="N23571" i="1"/>
  <c r="N4173" i="1"/>
  <c r="N23572" i="1"/>
  <c r="N23573" i="1"/>
  <c r="N23545" i="1"/>
  <c r="N25520" i="1"/>
  <c r="N15540" i="1"/>
  <c r="N4152" i="1"/>
  <c r="N6309" i="1"/>
  <c r="N4158" i="1"/>
  <c r="N10215" i="1"/>
  <c r="N10216" i="1"/>
  <c r="N13946" i="1"/>
  <c r="N15307" i="1"/>
  <c r="N15308" i="1"/>
  <c r="N4009" i="1"/>
  <c r="N15848" i="1"/>
  <c r="N16572" i="1"/>
  <c r="N16519" i="1"/>
  <c r="N9522" i="1"/>
  <c r="N4174" i="1"/>
  <c r="N11971" i="1"/>
  <c r="N8203" i="1"/>
  <c r="N16004" i="1"/>
  <c r="N5224" i="1"/>
  <c r="N24877" i="1"/>
  <c r="N24878" i="1"/>
  <c r="N24879" i="1"/>
  <c r="N24880" i="1"/>
  <c r="N24881" i="1"/>
  <c r="N13855" i="1"/>
  <c r="N13856" i="1"/>
  <c r="N13857" i="1"/>
  <c r="N17864" i="1"/>
  <c r="N17860" i="1"/>
  <c r="N15322" i="1"/>
  <c r="N4223" i="1"/>
  <c r="N4230" i="1"/>
  <c r="N14414" i="1"/>
  <c r="N13858" i="1"/>
  <c r="N18497" i="1"/>
  <c r="N13859" i="1"/>
  <c r="N4080" i="1"/>
  <c r="N1368" i="1"/>
  <c r="N1369" i="1"/>
  <c r="N23339" i="1"/>
  <c r="N23340" i="1"/>
  <c r="N23341" i="1"/>
  <c r="N17907" i="1"/>
  <c r="N4041" i="1"/>
  <c r="N12299" i="1"/>
  <c r="N15659" i="1"/>
  <c r="N24825" i="1"/>
  <c r="N23084" i="1"/>
  <c r="N23085" i="1"/>
  <c r="N23086" i="1"/>
  <c r="N24526" i="1"/>
  <c r="N24527" i="1"/>
  <c r="N24528" i="1"/>
  <c r="N24529" i="1"/>
  <c r="N24530" i="1"/>
  <c r="N24531" i="1"/>
  <c r="N24532" i="1"/>
  <c r="N24533" i="1"/>
  <c r="N24534" i="1"/>
  <c r="N24535" i="1"/>
  <c r="N23087" i="1"/>
  <c r="N3161" i="1"/>
  <c r="N3162" i="1"/>
  <c r="N14747" i="1"/>
  <c r="N21083" i="1"/>
  <c r="N21084" i="1"/>
  <c r="N21085" i="1"/>
  <c r="N21086" i="1"/>
  <c r="N21087" i="1"/>
  <c r="N21088" i="1"/>
  <c r="N21089" i="1"/>
  <c r="N21090" i="1"/>
  <c r="N21091" i="1"/>
  <c r="N21092" i="1"/>
  <c r="N21093" i="1"/>
  <c r="N21094" i="1"/>
  <c r="N21095" i="1"/>
  <c r="N21096" i="1"/>
  <c r="N21097" i="1"/>
  <c r="N21098" i="1"/>
  <c r="N21099" i="1"/>
  <c r="N21100" i="1"/>
  <c r="N21101" i="1"/>
  <c r="N21102" i="1"/>
  <c r="N11929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2815" i="1"/>
  <c r="N2816" i="1"/>
  <c r="N10556" i="1"/>
  <c r="N10557" i="1"/>
  <c r="N24706" i="1"/>
  <c r="N24656" i="1"/>
  <c r="N24657" i="1"/>
  <c r="N3163" i="1"/>
  <c r="N19574" i="1"/>
  <c r="N19575" i="1"/>
  <c r="N19200" i="1"/>
  <c r="N19201" i="1"/>
  <c r="N4897" i="1"/>
  <c r="N4913" i="1"/>
  <c r="N4908" i="1"/>
  <c r="N12236" i="1"/>
  <c r="N12237" i="1"/>
  <c r="N23342" i="1"/>
  <c r="N9963" i="1"/>
  <c r="N18340" i="1"/>
  <c r="N18341" i="1"/>
  <c r="N4010" i="1"/>
  <c r="N1943" i="1"/>
  <c r="N15423" i="1"/>
  <c r="N15424" i="1"/>
  <c r="N18035" i="1"/>
  <c r="N18039" i="1"/>
  <c r="N14452" i="1"/>
  <c r="N14761" i="1"/>
  <c r="N15069" i="1"/>
  <c r="N3115" i="1"/>
  <c r="N3116" i="1"/>
  <c r="N3117" i="1"/>
  <c r="N4113" i="1"/>
  <c r="N4114" i="1"/>
  <c r="N4115" i="1"/>
  <c r="N3118" i="1"/>
  <c r="N3119" i="1"/>
  <c r="N24625" i="1"/>
  <c r="N24626" i="1"/>
  <c r="N6634" i="1"/>
  <c r="N6576" i="1"/>
  <c r="N6577" i="1"/>
  <c r="N25376" i="1"/>
  <c r="N16005" i="1"/>
  <c r="N7223" i="1"/>
  <c r="N7744" i="1"/>
  <c r="N7224" i="1"/>
  <c r="N7745" i="1"/>
  <c r="N7225" i="1"/>
  <c r="N17298" i="1"/>
  <c r="N17299" i="1"/>
  <c r="N7226" i="1"/>
  <c r="N7227" i="1"/>
  <c r="N7228" i="1"/>
  <c r="N7229" i="1"/>
  <c r="N17278" i="1"/>
  <c r="N22922" i="1"/>
  <c r="N15686" i="1"/>
  <c r="N2817" i="1"/>
  <c r="N17870" i="1"/>
  <c r="N13877" i="1"/>
  <c r="N9496" i="1"/>
  <c r="N2407" i="1"/>
  <c r="N15425" i="1"/>
  <c r="N15426" i="1"/>
  <c r="N24707" i="1"/>
  <c r="N24708" i="1"/>
  <c r="N24709" i="1"/>
  <c r="N6654" i="1"/>
  <c r="N6655" i="1"/>
  <c r="N17895" i="1"/>
  <c r="N18724" i="1"/>
  <c r="N15065" i="1"/>
  <c r="N1883" i="1"/>
  <c r="N1884" i="1"/>
  <c r="N4380" i="1"/>
  <c r="N3485" i="1"/>
  <c r="N3486" i="1"/>
  <c r="N17258" i="1"/>
  <c r="N17259" i="1"/>
  <c r="N1177" i="1"/>
  <c r="N1178" i="1"/>
  <c r="N2501" i="1"/>
  <c r="N11478" i="1"/>
  <c r="N11479" i="1"/>
  <c r="N7967" i="1"/>
  <c r="N7968" i="1"/>
  <c r="N7969" i="1"/>
  <c r="N15849" i="1"/>
  <c r="N1206" i="1"/>
  <c r="N23059" i="1"/>
  <c r="N10242" i="1"/>
  <c r="N18363" i="1"/>
  <c r="N4033" i="1"/>
  <c r="N1207" i="1"/>
  <c r="N15427" i="1"/>
  <c r="N4553" i="1"/>
  <c r="N4554" i="1"/>
  <c r="N7970" i="1"/>
  <c r="N11480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16627" i="1"/>
  <c r="N4555" i="1"/>
  <c r="N1208" i="1"/>
  <c r="N18725" i="1"/>
  <c r="N3408" i="1"/>
  <c r="N24312" i="1"/>
  <c r="N18219" i="1"/>
  <c r="N4556" i="1"/>
  <c r="N15839" i="1"/>
  <c r="N16239" i="1"/>
  <c r="N18107" i="1"/>
  <c r="N22923" i="1"/>
  <c r="N2621" i="1"/>
  <c r="N1324" i="1"/>
  <c r="N11481" i="1"/>
  <c r="N11482" i="1"/>
  <c r="N11483" i="1"/>
  <c r="N11484" i="1"/>
  <c r="N9090" i="1"/>
  <c r="N8069" i="1"/>
  <c r="N8070" i="1"/>
  <c r="N3341" i="1"/>
  <c r="N15873" i="1"/>
  <c r="N12729" i="1"/>
  <c r="N12013" i="1"/>
  <c r="N25959" i="1"/>
  <c r="N2015" i="1"/>
  <c r="N4116" i="1"/>
  <c r="N4117" i="1"/>
  <c r="N4118" i="1"/>
  <c r="N4119" i="1"/>
  <c r="N18956" i="1"/>
  <c r="N10663" i="1"/>
  <c r="N15193" i="1"/>
  <c r="N3637" i="1"/>
  <c r="N3638" i="1"/>
  <c r="N3639" i="1"/>
  <c r="N3640" i="1"/>
  <c r="N3641" i="1"/>
  <c r="N18473" i="1"/>
  <c r="N18474" i="1"/>
  <c r="N18475" i="1"/>
  <c r="N18476" i="1"/>
  <c r="N18477" i="1"/>
  <c r="N7987" i="1"/>
  <c r="N6688" i="1"/>
  <c r="N6689" i="1"/>
  <c r="N15141" i="1"/>
  <c r="N15142" i="1"/>
  <c r="N15143" i="1"/>
  <c r="N18220" i="1"/>
  <c r="N18221" i="1"/>
  <c r="N4329" i="1"/>
  <c r="N4330" i="1"/>
  <c r="N18222" i="1"/>
  <c r="N2342" i="1"/>
  <c r="N18827" i="1"/>
  <c r="N14862" i="1"/>
  <c r="N15613" i="1"/>
  <c r="N19108" i="1"/>
  <c r="N7988" i="1"/>
  <c r="N4144" i="1"/>
  <c r="N23026" i="1"/>
  <c r="N15036" i="1"/>
  <c r="N15614" i="1"/>
  <c r="N18828" i="1"/>
  <c r="N17279" i="1"/>
  <c r="N7242" i="1"/>
  <c r="N7746" i="1"/>
  <c r="N19457" i="1"/>
  <c r="N19470" i="1"/>
  <c r="N17280" i="1"/>
  <c r="N13646" i="1"/>
  <c r="N13647" i="1"/>
  <c r="N3530" i="1"/>
  <c r="N17260" i="1"/>
  <c r="N17261" i="1"/>
  <c r="N11998" i="1"/>
  <c r="N7747" i="1"/>
  <c r="N10251" i="1"/>
  <c r="N18700" i="1"/>
  <c r="N15585" i="1"/>
  <c r="N14602" i="1"/>
  <c r="N15377" i="1"/>
  <c r="N15370" i="1"/>
  <c r="N12487" i="1"/>
  <c r="N2896" i="1"/>
  <c r="N8204" i="1"/>
  <c r="N23618" i="1"/>
  <c r="N10095" i="1"/>
  <c r="N15378" i="1"/>
  <c r="N15371" i="1"/>
  <c r="N15376" i="1"/>
  <c r="N23874" i="1"/>
  <c r="N4557" i="1"/>
  <c r="N4558" i="1"/>
  <c r="N8205" i="1"/>
  <c r="N24882" i="1"/>
  <c r="N24846" i="1"/>
  <c r="N24883" i="1"/>
  <c r="N24847" i="1"/>
  <c r="N24884" i="1"/>
  <c r="N24885" i="1"/>
  <c r="N24886" i="1"/>
  <c r="N24873" i="1"/>
  <c r="N24887" i="1"/>
  <c r="N11485" i="1"/>
  <c r="N11227" i="1"/>
  <c r="N11486" i="1"/>
  <c r="N11487" i="1"/>
  <c r="N11228" i="1"/>
  <c r="N11488" i="1"/>
  <c r="N11229" i="1"/>
  <c r="N11489" i="1"/>
  <c r="N11230" i="1"/>
  <c r="N11490" i="1"/>
  <c r="N11231" i="1"/>
  <c r="N11491" i="1"/>
  <c r="N24266" i="1"/>
  <c r="N17239" i="1"/>
  <c r="N2622" i="1"/>
  <c r="N2623" i="1"/>
  <c r="N19089" i="1"/>
  <c r="N19090" i="1"/>
  <c r="N19091" i="1"/>
  <c r="N8206" i="1"/>
  <c r="N6646" i="1"/>
  <c r="N11999" i="1"/>
  <c r="N14467" i="1"/>
  <c r="N14465" i="1"/>
  <c r="N14468" i="1"/>
  <c r="N25953" i="1"/>
  <c r="N25967" i="1"/>
  <c r="N18096" i="1"/>
  <c r="N6578" i="1"/>
  <c r="N15930" i="1"/>
  <c r="N6813" i="1"/>
  <c r="N6814" i="1"/>
  <c r="N1517" i="1"/>
  <c r="N1518" i="1"/>
  <c r="N17262" i="1"/>
  <c r="N17263" i="1"/>
  <c r="N18466" i="1"/>
  <c r="N18467" i="1"/>
  <c r="N18468" i="1"/>
  <c r="N19576" i="1"/>
  <c r="N19328" i="1"/>
  <c r="N3960" i="1"/>
  <c r="N19243" i="1"/>
  <c r="N4011" i="1"/>
  <c r="N19202" i="1"/>
  <c r="N19176" i="1"/>
  <c r="N25311" i="1"/>
  <c r="N19203" i="1"/>
  <c r="N15687" i="1"/>
  <c r="N6579" i="1"/>
  <c r="N6635" i="1"/>
  <c r="N6636" i="1"/>
  <c r="N6644" i="1"/>
  <c r="N6178" i="1"/>
  <c r="N6179" i="1"/>
  <c r="N23042" i="1"/>
  <c r="N19346" i="1"/>
  <c r="N11729" i="1"/>
  <c r="N24388" i="1"/>
  <c r="N24389" i="1"/>
  <c r="N10254" i="1"/>
  <c r="N19347" i="1"/>
  <c r="N24340" i="1"/>
  <c r="N24390" i="1"/>
  <c r="N4930" i="1"/>
  <c r="N4931" i="1"/>
  <c r="N19158" i="1"/>
  <c r="N1865" i="1"/>
  <c r="N22924" i="1"/>
  <c r="N4640" i="1"/>
  <c r="N4647" i="1"/>
  <c r="N16006" i="1"/>
  <c r="N4155" i="1"/>
  <c r="N10441" i="1"/>
  <c r="N10442" i="1"/>
  <c r="N1220" i="1"/>
  <c r="N23498" i="1"/>
  <c r="N23343" i="1"/>
  <c r="N25377" i="1"/>
  <c r="N18530" i="1"/>
  <c r="N16007" i="1"/>
  <c r="N11492" i="1"/>
  <c r="N15323" i="1"/>
  <c r="N15324" i="1"/>
  <c r="N4081" i="1"/>
  <c r="N4012" i="1"/>
  <c r="N3961" i="1"/>
  <c r="N4013" i="1"/>
  <c r="N4014" i="1"/>
  <c r="N4015" i="1"/>
  <c r="N18442" i="1"/>
  <c r="N18443" i="1"/>
  <c r="N2989" i="1"/>
  <c r="N2990" i="1"/>
  <c r="N2991" i="1"/>
  <c r="N10862" i="1"/>
  <c r="N1482" i="1"/>
  <c r="N1465" i="1"/>
  <c r="N1466" i="1"/>
  <c r="N11192" i="1"/>
  <c r="N1370" i="1"/>
  <c r="N1371" i="1"/>
  <c r="N1372" i="1"/>
  <c r="N1373" i="1"/>
  <c r="N1374" i="1"/>
  <c r="N2462" i="1"/>
  <c r="N16388" i="1"/>
  <c r="N2463" i="1"/>
  <c r="N10687" i="1"/>
  <c r="N10721" i="1"/>
  <c r="N10688" i="1"/>
  <c r="N9546" i="1"/>
  <c r="N9547" i="1"/>
  <c r="N9548" i="1"/>
  <c r="N3257" i="1"/>
  <c r="N10863" i="1"/>
  <c r="N2992" i="1"/>
  <c r="N2993" i="1"/>
  <c r="N2994" i="1"/>
  <c r="N12498" i="1"/>
  <c r="N12499" i="1"/>
  <c r="N12516" i="1"/>
  <c r="N12518" i="1"/>
  <c r="N12517" i="1"/>
  <c r="N3292" i="1"/>
  <c r="N3293" i="1"/>
  <c r="N3294" i="1"/>
  <c r="N24461" i="1"/>
  <c r="N3270" i="1"/>
  <c r="N24462" i="1"/>
  <c r="N24344" i="1"/>
  <c r="N5014" i="1"/>
  <c r="N5030" i="1"/>
  <c r="N10864" i="1"/>
  <c r="N10865" i="1"/>
  <c r="N5015" i="1"/>
  <c r="N5031" i="1"/>
  <c r="N5016" i="1"/>
  <c r="N5032" i="1"/>
  <c r="N5017" i="1"/>
  <c r="N5033" i="1"/>
  <c r="N2401" i="1"/>
  <c r="N2402" i="1"/>
  <c r="N2404" i="1"/>
  <c r="N4145" i="1"/>
  <c r="N4135" i="1"/>
  <c r="N9158" i="1"/>
  <c r="N9159" i="1"/>
  <c r="N9160" i="1"/>
  <c r="N25521" i="1"/>
  <c r="N13721" i="1"/>
  <c r="N13722" i="1"/>
  <c r="N23482" i="1"/>
  <c r="N23521" i="1"/>
  <c r="N23483" i="1"/>
  <c r="N23344" i="1"/>
  <c r="N3974" i="1"/>
  <c r="N10096" i="1"/>
  <c r="N9161" i="1"/>
  <c r="N9162" i="1"/>
  <c r="N4016" i="1"/>
  <c r="N4017" i="1"/>
  <c r="N13587" i="1"/>
  <c r="N13588" i="1"/>
  <c r="N13589" i="1"/>
  <c r="N6693" i="1"/>
  <c r="N24053" i="1"/>
  <c r="N17982" i="1"/>
  <c r="N16378" i="1"/>
  <c r="N16379" i="1"/>
  <c r="N16380" i="1"/>
  <c r="N4631" i="1"/>
  <c r="N4632" i="1"/>
  <c r="N8114" i="1"/>
  <c r="N1222" i="1"/>
  <c r="N23959" i="1"/>
  <c r="N23960" i="1"/>
  <c r="N12678" i="1"/>
  <c r="N1554" i="1"/>
  <c r="N23961" i="1"/>
  <c r="N8115" i="1"/>
  <c r="N15090" i="1"/>
  <c r="N15091" i="1"/>
  <c r="N15092" i="1"/>
  <c r="N15093" i="1"/>
  <c r="N15094" i="1"/>
  <c r="N15521" i="1"/>
  <c r="N23484" i="1"/>
  <c r="N23485" i="1"/>
  <c r="N13773" i="1"/>
  <c r="N13790" i="1"/>
  <c r="N13723" i="1"/>
  <c r="N13677" i="1"/>
  <c r="N13774" i="1"/>
  <c r="N13724" i="1"/>
  <c r="N13725" i="1"/>
  <c r="N12430" i="1"/>
  <c r="N12431" i="1"/>
  <c r="N12432" i="1"/>
  <c r="N15615" i="1"/>
  <c r="N9163" i="1"/>
  <c r="N9164" i="1"/>
  <c r="N9165" i="1"/>
  <c r="N9508" i="1"/>
  <c r="N6661" i="1"/>
  <c r="N3095" i="1"/>
  <c r="N9239" i="1"/>
  <c r="N9240" i="1"/>
  <c r="N9241" i="1"/>
  <c r="N9242" i="1"/>
  <c r="N23018" i="1"/>
  <c r="N9243" i="1"/>
  <c r="N4506" i="1"/>
  <c r="N4504" i="1"/>
  <c r="N4381" i="1"/>
  <c r="N4477" i="1"/>
  <c r="N19394" i="1"/>
  <c r="N19395" i="1"/>
  <c r="N1386" i="1"/>
  <c r="N9076" i="1"/>
  <c r="N23345" i="1"/>
  <c r="N12679" i="1"/>
  <c r="N14415" i="1"/>
  <c r="N24194" i="1"/>
  <c r="N24166" i="1"/>
  <c r="N24195" i="1"/>
  <c r="N24167" i="1"/>
  <c r="N24196" i="1"/>
  <c r="N19396" i="1"/>
  <c r="N19397" i="1"/>
  <c r="N15688" i="1"/>
  <c r="N19398" i="1"/>
  <c r="N3258" i="1"/>
  <c r="N24463" i="1"/>
  <c r="N19399" i="1"/>
  <c r="N19400" i="1"/>
  <c r="N19401" i="1"/>
  <c r="N19402" i="1"/>
  <c r="N19403" i="1"/>
  <c r="N19404" i="1"/>
  <c r="N24888" i="1"/>
  <c r="N24889" i="1"/>
  <c r="N24890" i="1"/>
  <c r="N24891" i="1"/>
  <c r="N24892" i="1"/>
  <c r="N2995" i="1"/>
  <c r="N24464" i="1"/>
  <c r="N10574" i="1"/>
  <c r="N10763" i="1"/>
  <c r="N10803" i="1"/>
  <c r="N9487" i="1"/>
  <c r="N19618" i="1"/>
  <c r="N19619" i="1"/>
  <c r="N7930" i="1"/>
  <c r="N11493" i="1"/>
  <c r="N11494" i="1"/>
  <c r="N5097" i="1"/>
  <c r="N5098" i="1"/>
  <c r="N5099" i="1"/>
  <c r="N5100" i="1"/>
  <c r="N5101" i="1"/>
  <c r="N5102" i="1"/>
  <c r="N5103" i="1"/>
  <c r="N5104" i="1"/>
  <c r="N5105" i="1"/>
  <c r="N5106" i="1"/>
  <c r="N11495" i="1"/>
  <c r="N2502" i="1"/>
  <c r="N11276" i="1"/>
  <c r="N11496" i="1"/>
  <c r="N11497" i="1"/>
  <c r="N10866" i="1"/>
  <c r="N11162" i="1"/>
  <c r="N7243" i="1"/>
  <c r="N7244" i="1"/>
  <c r="N10867" i="1"/>
  <c r="N10868" i="1"/>
  <c r="N10869" i="1"/>
  <c r="N15677" i="1"/>
  <c r="N7245" i="1"/>
  <c r="N7748" i="1"/>
  <c r="N7246" i="1"/>
  <c r="N7749" i="1"/>
  <c r="N7247" i="1"/>
  <c r="N7750" i="1"/>
  <c r="N4559" i="1"/>
  <c r="N4560" i="1"/>
  <c r="N4561" i="1"/>
  <c r="N4562" i="1"/>
  <c r="N10870" i="1"/>
  <c r="N10871" i="1"/>
  <c r="N23346" i="1"/>
  <c r="N14682" i="1"/>
  <c r="N4563" i="1"/>
  <c r="N14762" i="1"/>
  <c r="N14763" i="1"/>
  <c r="N14764" i="1"/>
  <c r="N14765" i="1"/>
  <c r="N14766" i="1"/>
  <c r="N14767" i="1"/>
  <c r="N14768" i="1"/>
  <c r="N14769" i="1"/>
  <c r="N14770" i="1"/>
  <c r="N14771" i="1"/>
  <c r="N11090" i="1"/>
  <c r="N2016" i="1"/>
  <c r="N2017" i="1"/>
  <c r="N10872" i="1"/>
  <c r="N7248" i="1"/>
  <c r="N11498" i="1"/>
  <c r="N11499" i="1"/>
  <c r="N11500" i="1"/>
  <c r="N11501" i="1"/>
  <c r="N11502" i="1"/>
  <c r="N2253" i="1"/>
  <c r="N11503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10097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21103" i="1"/>
  <c r="N21104" i="1"/>
  <c r="N21105" i="1"/>
  <c r="N21106" i="1"/>
  <c r="N21107" i="1"/>
  <c r="N21108" i="1"/>
  <c r="N21109" i="1"/>
  <c r="N21110" i="1"/>
  <c r="N21111" i="1"/>
  <c r="N21112" i="1"/>
  <c r="N21113" i="1"/>
  <c r="N21114" i="1"/>
  <c r="N21115" i="1"/>
  <c r="N21116" i="1"/>
  <c r="N21117" i="1"/>
  <c r="N21118" i="1"/>
  <c r="N21119" i="1"/>
  <c r="N21120" i="1"/>
  <c r="N21121" i="1"/>
  <c r="N21122" i="1"/>
  <c r="N21123" i="1"/>
  <c r="N14435" i="1"/>
  <c r="N21124" i="1"/>
  <c r="N21125" i="1"/>
  <c r="N21126" i="1"/>
  <c r="N1631" i="1"/>
  <c r="N21127" i="1"/>
  <c r="N21128" i="1"/>
  <c r="N21129" i="1"/>
  <c r="N21130" i="1"/>
  <c r="N21131" i="1"/>
  <c r="N21132" i="1"/>
  <c r="N21133" i="1"/>
  <c r="N21134" i="1"/>
  <c r="N21135" i="1"/>
  <c r="N21136" i="1"/>
  <c r="N21137" i="1"/>
  <c r="N21138" i="1"/>
  <c r="N21139" i="1"/>
  <c r="N21140" i="1"/>
  <c r="N21141" i="1"/>
  <c r="N21142" i="1"/>
  <c r="N21143" i="1"/>
  <c r="N21144" i="1"/>
  <c r="N21145" i="1"/>
  <c r="N21146" i="1"/>
  <c r="N21147" i="1"/>
  <c r="N21148" i="1"/>
  <c r="N21149" i="1"/>
  <c r="N21150" i="1"/>
  <c r="N9091" i="1"/>
  <c r="N4637" i="1"/>
  <c r="N3311" i="1"/>
  <c r="N13433" i="1"/>
  <c r="N13434" i="1"/>
  <c r="N6712" i="1"/>
  <c r="N24391" i="1"/>
  <c r="N24392" i="1"/>
  <c r="N24393" i="1"/>
  <c r="N24394" i="1"/>
  <c r="N13545" i="1"/>
  <c r="N13546" i="1"/>
  <c r="N18577" i="1"/>
  <c r="N2414" i="1"/>
  <c r="N13478" i="1"/>
  <c r="N14470" i="1"/>
  <c r="N3259" i="1"/>
  <c r="N24465" i="1"/>
  <c r="N13479" i="1"/>
  <c r="N13480" i="1"/>
  <c r="N24131" i="1"/>
  <c r="N2996" i="1"/>
  <c r="N2131" i="1"/>
  <c r="N11504" i="1"/>
  <c r="N11277" i="1"/>
  <c r="N11019" i="1"/>
  <c r="N11020" i="1"/>
  <c r="N11163" i="1"/>
  <c r="N24132" i="1"/>
  <c r="N21151" i="1"/>
  <c r="N21152" i="1"/>
  <c r="N21153" i="1"/>
  <c r="N21154" i="1"/>
  <c r="N25928" i="1"/>
  <c r="N21155" i="1"/>
  <c r="N21156" i="1"/>
  <c r="N21157" i="1"/>
  <c r="N21158" i="1"/>
  <c r="N21159" i="1"/>
  <c r="N21160" i="1"/>
  <c r="N21161" i="1"/>
  <c r="N21162" i="1"/>
  <c r="N21163" i="1"/>
  <c r="N21164" i="1"/>
  <c r="N21165" i="1"/>
  <c r="N21166" i="1"/>
  <c r="N21167" i="1"/>
  <c r="N21168" i="1"/>
  <c r="N21169" i="1"/>
  <c r="N21170" i="1"/>
  <c r="N21171" i="1"/>
  <c r="N21172" i="1"/>
  <c r="N21173" i="1"/>
  <c r="N21174" i="1"/>
  <c r="N21175" i="1"/>
  <c r="N21176" i="1"/>
  <c r="N21177" i="1"/>
  <c r="N21178" i="1"/>
  <c r="N21179" i="1"/>
  <c r="N21180" i="1"/>
  <c r="N21181" i="1"/>
  <c r="N21182" i="1"/>
  <c r="N21183" i="1"/>
  <c r="N21184" i="1"/>
  <c r="N21185" i="1"/>
  <c r="N21186" i="1"/>
  <c r="N21187" i="1"/>
  <c r="N21188" i="1"/>
  <c r="N21189" i="1"/>
  <c r="N21190" i="1"/>
  <c r="N21191" i="1"/>
  <c r="N21192" i="1"/>
  <c r="N21193" i="1"/>
  <c r="N21194" i="1"/>
  <c r="N21195" i="1"/>
  <c r="N21196" i="1"/>
  <c r="N21197" i="1"/>
  <c r="N21198" i="1"/>
  <c r="N21199" i="1"/>
  <c r="N21200" i="1"/>
  <c r="N21201" i="1"/>
  <c r="N21202" i="1"/>
  <c r="N21203" i="1"/>
  <c r="N21204" i="1"/>
  <c r="N21205" i="1"/>
  <c r="N21206" i="1"/>
  <c r="N21207" i="1"/>
  <c r="N21208" i="1"/>
  <c r="N21209" i="1"/>
  <c r="N21210" i="1"/>
  <c r="N21211" i="1"/>
  <c r="N21212" i="1"/>
  <c r="N21213" i="1"/>
  <c r="N21214" i="1"/>
  <c r="N21215" i="1"/>
  <c r="N21216" i="1"/>
  <c r="N21217" i="1"/>
  <c r="N21218" i="1"/>
  <c r="N21219" i="1"/>
  <c r="N21220" i="1"/>
  <c r="N21221" i="1"/>
  <c r="N21222" i="1"/>
  <c r="N21223" i="1"/>
  <c r="N21224" i="1"/>
  <c r="N21225" i="1"/>
  <c r="N21226" i="1"/>
  <c r="N21227" i="1"/>
  <c r="N21228" i="1"/>
  <c r="N21229" i="1"/>
  <c r="N21230" i="1"/>
  <c r="N21231" i="1"/>
  <c r="N21232" i="1"/>
  <c r="N21233" i="1"/>
  <c r="N21234" i="1"/>
  <c r="N21235" i="1"/>
  <c r="N21236" i="1"/>
  <c r="N21237" i="1"/>
  <c r="N21238" i="1"/>
  <c r="N21239" i="1"/>
  <c r="N21240" i="1"/>
  <c r="N21241" i="1"/>
  <c r="N21242" i="1"/>
  <c r="N21243" i="1"/>
  <c r="N21244" i="1"/>
  <c r="N21245" i="1"/>
  <c r="N21246" i="1"/>
  <c r="N21247" i="1"/>
  <c r="N21248" i="1"/>
  <c r="N21249" i="1"/>
  <c r="N21250" i="1"/>
  <c r="N21251" i="1"/>
  <c r="N21252" i="1"/>
  <c r="N21253" i="1"/>
  <c r="N21254" i="1"/>
  <c r="N21255" i="1"/>
  <c r="N21256" i="1"/>
  <c r="N21257" i="1"/>
  <c r="N2262" i="1"/>
  <c r="N2448" i="1"/>
  <c r="N2452" i="1"/>
  <c r="N5225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674" i="1"/>
  <c r="N9839" i="1"/>
  <c r="N9840" i="1"/>
  <c r="N9841" i="1"/>
  <c r="N9842" i="1"/>
  <c r="N11505" i="1"/>
  <c r="N11730" i="1"/>
  <c r="N11731" i="1"/>
  <c r="N14353" i="1"/>
  <c r="N21258" i="1"/>
  <c r="N21259" i="1"/>
  <c r="N21260" i="1"/>
  <c r="N21261" i="1"/>
  <c r="N21262" i="1"/>
  <c r="N21263" i="1"/>
  <c r="N21264" i="1"/>
  <c r="N21265" i="1"/>
  <c r="N21266" i="1"/>
  <c r="N21267" i="1"/>
  <c r="N21268" i="1"/>
  <c r="N21269" i="1"/>
  <c r="N21270" i="1"/>
  <c r="N21271" i="1"/>
  <c r="N3777" i="1"/>
  <c r="N16447" i="1"/>
  <c r="N16448" i="1"/>
  <c r="N16449" i="1"/>
  <c r="N16450" i="1"/>
  <c r="N16451" i="1"/>
  <c r="N16452" i="1"/>
  <c r="N16453" i="1"/>
  <c r="N16454" i="1"/>
  <c r="N16455" i="1"/>
  <c r="N5769" i="1"/>
  <c r="N5770" i="1"/>
  <c r="N5771" i="1"/>
  <c r="N5772" i="1"/>
  <c r="N5773" i="1"/>
  <c r="N5774" i="1"/>
  <c r="N5775" i="1"/>
  <c r="N5776" i="1"/>
  <c r="N2018" i="1"/>
  <c r="N2019" i="1"/>
  <c r="N2020" i="1"/>
  <c r="N2021" i="1"/>
  <c r="N2022" i="1"/>
  <c r="N2023" i="1"/>
  <c r="N2024" i="1"/>
  <c r="N14906" i="1"/>
  <c r="N23962" i="1"/>
  <c r="N23963" i="1"/>
  <c r="N23964" i="1"/>
  <c r="N17300" i="1"/>
  <c r="N11506" i="1"/>
  <c r="N11507" i="1"/>
  <c r="N11508" i="1"/>
  <c r="N11509" i="1"/>
  <c r="N11510" i="1"/>
  <c r="N21272" i="1"/>
  <c r="N21273" i="1"/>
  <c r="N21274" i="1"/>
  <c r="N21275" i="1"/>
  <c r="N21276" i="1"/>
  <c r="N21277" i="1"/>
  <c r="N21278" i="1"/>
  <c r="N21279" i="1"/>
  <c r="N21280" i="1"/>
  <c r="N21281" i="1"/>
  <c r="N21282" i="1"/>
  <c r="N21283" i="1"/>
  <c r="N21284" i="1"/>
  <c r="N21285" i="1"/>
  <c r="N21286" i="1"/>
  <c r="N21287" i="1"/>
  <c r="N21288" i="1"/>
  <c r="N21289" i="1"/>
  <c r="N21290" i="1"/>
  <c r="N15194" i="1"/>
  <c r="N15195" i="1"/>
  <c r="N15196" i="1"/>
  <c r="N15197" i="1"/>
  <c r="N15198" i="1"/>
  <c r="N15199" i="1"/>
  <c r="N15200" i="1"/>
  <c r="N5777" i="1"/>
  <c r="N17292" i="1"/>
  <c r="N5778" i="1"/>
  <c r="N5779" i="1"/>
  <c r="N13481" i="1"/>
  <c r="N13482" i="1"/>
  <c r="N5780" i="1"/>
  <c r="N5781" i="1"/>
  <c r="N13483" i="1"/>
  <c r="N13484" i="1"/>
  <c r="N2997" i="1"/>
  <c r="N2998" i="1"/>
  <c r="N2999" i="1"/>
  <c r="N3000" i="1"/>
  <c r="N9007" i="1"/>
  <c r="N2398" i="1"/>
  <c r="N2403" i="1"/>
  <c r="N23965" i="1"/>
  <c r="N23966" i="1"/>
  <c r="N18404" i="1"/>
  <c r="N14025" i="1"/>
  <c r="N3001" i="1"/>
  <c r="N11511" i="1"/>
  <c r="N11512" i="1"/>
  <c r="N5782" i="1"/>
  <c r="N10873" i="1"/>
  <c r="N21291" i="1"/>
  <c r="N21292" i="1"/>
  <c r="N21293" i="1"/>
  <c r="N21294" i="1"/>
  <c r="N21295" i="1"/>
  <c r="N21296" i="1"/>
  <c r="N21297" i="1"/>
  <c r="N21298" i="1"/>
  <c r="N21299" i="1"/>
  <c r="N2818" i="1"/>
  <c r="N23069" i="1"/>
  <c r="N17747" i="1"/>
  <c r="N17748" i="1"/>
  <c r="N17749" i="1"/>
  <c r="N17750" i="1"/>
  <c r="N11906" i="1"/>
  <c r="N23967" i="1"/>
  <c r="N23968" i="1"/>
  <c r="N16259" i="1"/>
  <c r="N10764" i="1"/>
  <c r="N7249" i="1"/>
  <c r="N7250" i="1"/>
  <c r="N10765" i="1"/>
  <c r="N17751" i="1"/>
  <c r="N17752" i="1"/>
  <c r="N17753" i="1"/>
  <c r="N17754" i="1"/>
  <c r="N17755" i="1"/>
  <c r="N5783" i="1"/>
  <c r="N21300" i="1"/>
  <c r="N21301" i="1"/>
  <c r="N21302" i="1"/>
  <c r="N21303" i="1"/>
  <c r="N21304" i="1"/>
  <c r="N23113" i="1"/>
  <c r="N10335" i="1"/>
  <c r="N21305" i="1"/>
  <c r="N21306" i="1"/>
  <c r="N21307" i="1"/>
  <c r="N21308" i="1"/>
  <c r="N21309" i="1"/>
  <c r="N21310" i="1"/>
  <c r="N21311" i="1"/>
  <c r="N21312" i="1"/>
  <c r="N21313" i="1"/>
  <c r="N21314" i="1"/>
  <c r="N21315" i="1"/>
  <c r="N21316" i="1"/>
  <c r="N11930" i="1"/>
  <c r="N5784" i="1"/>
  <c r="N5785" i="1"/>
  <c r="N2025" i="1"/>
  <c r="N2026" i="1"/>
  <c r="N16569" i="1"/>
  <c r="N1526" i="1"/>
  <c r="N5786" i="1"/>
  <c r="N3108" i="1"/>
  <c r="N17908" i="1"/>
  <c r="N25937" i="1"/>
  <c r="N21317" i="1"/>
  <c r="N21318" i="1"/>
  <c r="N21319" i="1"/>
  <c r="N21320" i="1"/>
  <c r="N21321" i="1"/>
  <c r="N21322" i="1"/>
  <c r="N14907" i="1"/>
  <c r="N14908" i="1"/>
  <c r="N14909" i="1"/>
  <c r="N14950" i="1"/>
  <c r="N21323" i="1"/>
  <c r="N21324" i="1"/>
  <c r="N21325" i="1"/>
  <c r="N21326" i="1"/>
  <c r="N21327" i="1"/>
  <c r="N21328" i="1"/>
  <c r="N21329" i="1"/>
  <c r="N21330" i="1"/>
  <c r="N21331" i="1"/>
  <c r="N21332" i="1"/>
  <c r="N21333" i="1"/>
  <c r="N21334" i="1"/>
  <c r="N21335" i="1"/>
  <c r="N18416" i="1"/>
  <c r="N21336" i="1"/>
  <c r="N21337" i="1"/>
  <c r="N21338" i="1"/>
  <c r="N21339" i="1"/>
  <c r="N21340" i="1"/>
  <c r="N21341" i="1"/>
  <c r="N21342" i="1"/>
  <c r="N21343" i="1"/>
  <c r="N21344" i="1"/>
  <c r="N21345" i="1"/>
  <c r="N10766" i="1"/>
  <c r="N10767" i="1"/>
  <c r="N19204" i="1"/>
  <c r="N19205" i="1"/>
  <c r="N19206" i="1"/>
  <c r="N19207" i="1"/>
</calcChain>
</file>

<file path=xl/sharedStrings.xml><?xml version="1.0" encoding="utf-8"?>
<sst xmlns="http://schemas.openxmlformats.org/spreadsheetml/2006/main" count="156013" uniqueCount="3736">
  <si>
    <t>KUNTAYHTYMÄN NIMI</t>
  </si>
  <si>
    <t>KUNTAYHTYMÄN Y-TUNNUS</t>
  </si>
  <si>
    <t xml:space="preserve">TOSITE </t>
  </si>
  <si>
    <t>TOIMITTAJAN NIMI</t>
  </si>
  <si>
    <t>TOIMITTAJAN Y-TUNNUS</t>
  </si>
  <si>
    <t>RIVIN SUMMA ILMAN ALV</t>
  </si>
  <si>
    <t>TOSITEPÄIVÄMÄÄRÄ</t>
  </si>
  <si>
    <t>KIRJANPIDON TILINUMERO</t>
  </si>
  <si>
    <t>TILIN NIMI</t>
  </si>
  <si>
    <t>KOKONAISSUMMA EUR</t>
  </si>
  <si>
    <t>ALV:N MÄÄRÄ EUR</t>
  </si>
  <si>
    <t>KUSTANNUSPAIKAN NRO</t>
  </si>
  <si>
    <t>KUSTANNUSPAIKAN NIMI</t>
  </si>
  <si>
    <t>LASKUN NUMERO</t>
  </si>
  <si>
    <t>TAPAHTUMAPÄIVÄ</t>
  </si>
  <si>
    <t>MAA</t>
  </si>
  <si>
    <t>SASKY koulutuskuntayhtymä</t>
  </si>
  <si>
    <t>Grenkeleasing Oy</t>
  </si>
  <si>
    <t>2170416-2</t>
  </si>
  <si>
    <t>Koneiden ja laitt. vuokrat</t>
  </si>
  <si>
    <t>Ikaalisten lukio/Opetus</t>
  </si>
  <si>
    <t>Ikol/Liiketalous</t>
  </si>
  <si>
    <t>Ikol/Lähihoitaja</t>
  </si>
  <si>
    <t>Ikol/Datanomi</t>
  </si>
  <si>
    <t>Ikata/Yhteinen opetus</t>
  </si>
  <si>
    <t>Vakuutukset</t>
  </si>
  <si>
    <t>Rekrytori c/o Honkalamedia Oy</t>
  </si>
  <si>
    <t>2227165-3</t>
  </si>
  <si>
    <t>Muut vuokrat</t>
  </si>
  <si>
    <t>Viestintä ja markkinointi</t>
  </si>
  <si>
    <t>CSE Simulation Oy</t>
  </si>
  <si>
    <t>2497601-6</t>
  </si>
  <si>
    <t>ATK-järjestelmien ylläpit.</t>
  </si>
  <si>
    <t>Dustin Finland Oy</t>
  </si>
  <si>
    <t>0935141-3</t>
  </si>
  <si>
    <t>Kalusto</t>
  </si>
  <si>
    <t>Hanketoiminta, hallinto</t>
  </si>
  <si>
    <t>Louhi Net Oy</t>
  </si>
  <si>
    <t>1946409-1</t>
  </si>
  <si>
    <t>ESR-hankkeet</t>
  </si>
  <si>
    <t>Kustannus Oy Teatteri</t>
  </si>
  <si>
    <t>0110428-2</t>
  </si>
  <si>
    <t>Kirjallisuus</t>
  </si>
  <si>
    <t>TKTO/Lavasterakennus</t>
  </si>
  <si>
    <t>Asunto Oy Yhdys-Kyro</t>
  </si>
  <si>
    <t>0224702-3</t>
  </si>
  <si>
    <t>Vesi</t>
  </si>
  <si>
    <t>Ylsi/Petäjä/Vuokratilat</t>
  </si>
  <si>
    <t>Koskelantalot Oy</t>
  </si>
  <si>
    <t>0529095-9</t>
  </si>
  <si>
    <t>Rak.- ja huoneistojen vuokrat</t>
  </si>
  <si>
    <t>MSKK/Majoitus</t>
  </si>
  <si>
    <t>0725900-7</t>
  </si>
  <si>
    <t>LUPI/vuokratilat/Ikata</t>
  </si>
  <si>
    <t>MWW Yhtiö Oy</t>
  </si>
  <si>
    <t>1732286-6</t>
  </si>
  <si>
    <t>Kiinteistöpalvelut vuokratilat</t>
  </si>
  <si>
    <t>TPA/Vuokratilat</t>
  </si>
  <si>
    <t>Terramedia Oy</t>
  </si>
  <si>
    <t>2589683-5</t>
  </si>
  <si>
    <t>HuKo/LuVa/Maatal/Opetusm. ja m</t>
  </si>
  <si>
    <t>Quadient Finance Finland Oy</t>
  </si>
  <si>
    <t>1088955-2</t>
  </si>
  <si>
    <t>Koulutuksenjärjestäjän hallint</t>
  </si>
  <si>
    <t>Osara/luonto ja ympäristö</t>
  </si>
  <si>
    <t>Osara/Maatalous</t>
  </si>
  <si>
    <t>Securitas Oy</t>
  </si>
  <si>
    <t>1773518-5</t>
  </si>
  <si>
    <t>Vartiointi- ja turvapalvelut</t>
  </si>
  <si>
    <t>VAK/Omat tilat</t>
  </si>
  <si>
    <t>VAK/Oppimiskeskus/liikuntah.</t>
  </si>
  <si>
    <t>KOSOL/Omat tilat</t>
  </si>
  <si>
    <t>TKTO/Omat tilat</t>
  </si>
  <si>
    <t>VAK/Oppimiskesk. maks.pt.</t>
  </si>
  <si>
    <t>TKTO/Tilojen ja kal. vuokraus</t>
  </si>
  <si>
    <t>Avarn Security Oy</t>
  </si>
  <si>
    <t>0108013-7</t>
  </si>
  <si>
    <t>Opinsys Oy</t>
  </si>
  <si>
    <t>1847395-7</t>
  </si>
  <si>
    <t>ICT-palvelu</t>
  </si>
  <si>
    <t>Ruoveden lukio/Opetus</t>
  </si>
  <si>
    <t>Naava Group Oy</t>
  </si>
  <si>
    <t>2432661-1</t>
  </si>
  <si>
    <t>Muut palvelut</t>
  </si>
  <si>
    <t>Kiinteistöpalvelut omat tilat</t>
  </si>
  <si>
    <t>Ikaalisten lukio/Omat tilat</t>
  </si>
  <si>
    <t>Lupi/Omat tilat/IDEA-kampus</t>
  </si>
  <si>
    <t>LUPI/Omat tilat/Iisakki Hkyrö</t>
  </si>
  <si>
    <t>LUPI/Omat tilat/Osara</t>
  </si>
  <si>
    <t>Nomentia Oy</t>
  </si>
  <si>
    <t>2855557-7</t>
  </si>
  <si>
    <t>ATK-ohjelma</t>
  </si>
  <si>
    <t>Tietohallintopalvelut</t>
  </si>
  <si>
    <t>Teknikum Oy</t>
  </si>
  <si>
    <t>0764527-4</t>
  </si>
  <si>
    <t>VAK/TeLi/Muu palv.toim.3</t>
  </si>
  <si>
    <t>Kiinteistöhuolto V&amp;H Oy</t>
  </si>
  <si>
    <t>3254963-9</t>
  </si>
  <si>
    <t>Rak.ja al.rak.-ja kunn.pitopal</t>
  </si>
  <si>
    <t>TPA/Omat tilat</t>
  </si>
  <si>
    <t>Prowledge Oy</t>
  </si>
  <si>
    <t>1714442-2</t>
  </si>
  <si>
    <t>Iisakki/Prosessi 3</t>
  </si>
  <si>
    <t>Epassi Finland Oy</t>
  </si>
  <si>
    <t>3220764-7</t>
  </si>
  <si>
    <t>Muu materiaali</t>
  </si>
  <si>
    <t>Tyhy-toiminta ja henk.k.virk.</t>
  </si>
  <si>
    <t>Talgraf Oy</t>
  </si>
  <si>
    <t>2690824-4</t>
  </si>
  <si>
    <t>Opetus- ja kultt.palv./hlö.ko</t>
  </si>
  <si>
    <t>Taloushallintopalvelut</t>
  </si>
  <si>
    <t>Rahti-VK Oy</t>
  </si>
  <si>
    <t>1102806-8</t>
  </si>
  <si>
    <t>Puhtaanapito- ja pesulapalvel</t>
  </si>
  <si>
    <t>Würth Oy</t>
  </si>
  <si>
    <t>0202881-6</t>
  </si>
  <si>
    <t>Henkilöstön suojavaatetus</t>
  </si>
  <si>
    <t>MSKK/Metalli 3</t>
  </si>
  <si>
    <t>Oy Poutapilvi web design Ab</t>
  </si>
  <si>
    <t>1528447-2</t>
  </si>
  <si>
    <t>Telilän Sähkötyö Oy</t>
  </si>
  <si>
    <t>2024940-1</t>
  </si>
  <si>
    <t>Sähkö</t>
  </si>
  <si>
    <t>Rakennustieto Oy</t>
  </si>
  <si>
    <t>0113188-9</t>
  </si>
  <si>
    <t>MSKK/Rakennus ja talotek 3</t>
  </si>
  <si>
    <t>VAK/TeLi/Rakennus 3</t>
  </si>
  <si>
    <t>Futursoft Oy</t>
  </si>
  <si>
    <t>1494253-3</t>
  </si>
  <si>
    <t>VAK/Auto 3</t>
  </si>
  <si>
    <t>Matkapojat Oy</t>
  </si>
  <si>
    <t>1842916-3</t>
  </si>
  <si>
    <t>Matkustus- ja kuljetuspalv</t>
  </si>
  <si>
    <t>Ikata/Asesepäntyö</t>
  </si>
  <si>
    <t>Ikata/Hienopuuseppä</t>
  </si>
  <si>
    <t>Ikata/Pienoismallinrakennus</t>
  </si>
  <si>
    <t>Ikata/Kädentaitojen ohj.toim</t>
  </si>
  <si>
    <t>Lupi/Ruokailu/IDEA-kampus</t>
  </si>
  <si>
    <t>LUPI/Koul.järjestäjän hallinto</t>
  </si>
  <si>
    <t>Ropo Capital Oy</t>
  </si>
  <si>
    <t>2495037-7</t>
  </si>
  <si>
    <t>Agendium Oy</t>
  </si>
  <si>
    <t>2410237-8</t>
  </si>
  <si>
    <t>Webropol Oy</t>
  </si>
  <si>
    <t>1773960-2</t>
  </si>
  <si>
    <t>Oksidia Oy</t>
  </si>
  <si>
    <t>2452164-4</t>
  </si>
  <si>
    <t>YlSi/Musari/Taiteen perusop.</t>
  </si>
  <si>
    <t>0109357-9</t>
  </si>
  <si>
    <t>Majoit.ja ravits.palv/hlö.koul</t>
  </si>
  <si>
    <t>TKTO/Sisustus</t>
  </si>
  <si>
    <t>K.A. Rasmussen Oy</t>
  </si>
  <si>
    <t>0908324-4</t>
  </si>
  <si>
    <t>TKTO/Jalometalli</t>
  </si>
  <si>
    <t>OPEN POS Finland Oy</t>
  </si>
  <si>
    <t>1578626-1</t>
  </si>
  <si>
    <t>MSKK/MaRaTa/oppilast.</t>
  </si>
  <si>
    <t>MSKK/Kahvio</t>
  </si>
  <si>
    <t>VAK/Ravintola Warelius</t>
  </si>
  <si>
    <t>Fonecta Oy</t>
  </si>
  <si>
    <t>1755007-6</t>
  </si>
  <si>
    <t>PirAl/Opetus</t>
  </si>
  <si>
    <t>Ylsi/Petäjä/Vapaa siv.työ</t>
  </si>
  <si>
    <t>Opetuk. hall. ja muut yht.toim</t>
  </si>
  <si>
    <t>Sanoma Media Finland Oy</t>
  </si>
  <si>
    <t>1515901-4</t>
  </si>
  <si>
    <t>MSKK/Koul.järjestäjän hallinto</t>
  </si>
  <si>
    <t>Cation Oy</t>
  </si>
  <si>
    <t>2847771-6</t>
  </si>
  <si>
    <t>TKTO/Muu maks.palvelut.</t>
  </si>
  <si>
    <t>VAK/Muu maks.palvelut.</t>
  </si>
  <si>
    <t>KOSOL/Muu maks.palvelut.</t>
  </si>
  <si>
    <t>L&amp;T Siivous Oy</t>
  </si>
  <si>
    <t>3155982-7</t>
  </si>
  <si>
    <t>Iisakki/Auto 3</t>
  </si>
  <si>
    <t>KMV-Turvapalvelut Oy</t>
  </si>
  <si>
    <t>0912727-8</t>
  </si>
  <si>
    <t>MSKK/Omat tilat</t>
  </si>
  <si>
    <t>MSKK/Omat tilat/Leko</t>
  </si>
  <si>
    <t>Neste Markkinointi Oy</t>
  </si>
  <si>
    <t>1626490-8</t>
  </si>
  <si>
    <t>Lämmitys</t>
  </si>
  <si>
    <t>KOSOL/Majoitus</t>
  </si>
  <si>
    <t>Verkkokauppa.com Oyj</t>
  </si>
  <si>
    <t>1456344-5</t>
  </si>
  <si>
    <t>HuKo/Omat tilat/Kokemäki</t>
  </si>
  <si>
    <t>Kiint.Oy Honkajoen Kauppakulma</t>
  </si>
  <si>
    <t>0812096-3</t>
  </si>
  <si>
    <t>Antilan Vesi ja Lämpö Oy</t>
  </si>
  <si>
    <t>0832850-2</t>
  </si>
  <si>
    <t>Ruoveden lukio/Majoitus</t>
  </si>
  <si>
    <t>Terveet talot Oy</t>
  </si>
  <si>
    <t>3094470-7</t>
  </si>
  <si>
    <t>Toimistopalvelut</t>
  </si>
  <si>
    <t>VAK/Vuokratilat</t>
  </si>
  <si>
    <t>VENI Energia Oy</t>
  </si>
  <si>
    <t>2840712-8</t>
  </si>
  <si>
    <t>Asiantuntijapalvelut</t>
  </si>
  <si>
    <t>Varnia Oy</t>
  </si>
  <si>
    <t>0202891-2</t>
  </si>
  <si>
    <t>Ylsi/petäjä/Taiteen per.op.</t>
  </si>
  <si>
    <t>Rauta-Ana Oy</t>
  </si>
  <si>
    <t>3174413-3</t>
  </si>
  <si>
    <t>Rakennusmateriaali</t>
  </si>
  <si>
    <t>VAK/TeLi/Rakennus/oppilast.3</t>
  </si>
  <si>
    <t>Verifone Finland Oy</t>
  </si>
  <si>
    <t>0943819-9</t>
  </si>
  <si>
    <t>Ouman Oy</t>
  </si>
  <si>
    <t>2447613-4</t>
  </si>
  <si>
    <t>HuKo/TeLi 3</t>
  </si>
  <si>
    <t>Lankava Oy</t>
  </si>
  <si>
    <t>0242800-0</t>
  </si>
  <si>
    <t>Toimisto- ja koulutarvikkeet</t>
  </si>
  <si>
    <t>Bravida Finland Oy</t>
  </si>
  <si>
    <t>2528874-1</t>
  </si>
  <si>
    <t>Linde Gas Oy Ab</t>
  </si>
  <si>
    <t>0100346-5</t>
  </si>
  <si>
    <t>VAK/TeLi/Metalli 3</t>
  </si>
  <si>
    <t>LUPI/Tilojen ja kal. vuokraus</t>
  </si>
  <si>
    <t>Diagno Finland Oy</t>
  </si>
  <si>
    <t>1935917-9</t>
  </si>
  <si>
    <t>MSKK/Auto 3</t>
  </si>
  <si>
    <t>Koodiviidakko Oy</t>
  </si>
  <si>
    <t>1939962-1</t>
  </si>
  <si>
    <t>Konepaja Survonen Oy</t>
  </si>
  <si>
    <t>2181178-5</t>
  </si>
  <si>
    <t>Jamix Oy</t>
  </si>
  <si>
    <t>0834199-3</t>
  </si>
  <si>
    <t>TPA/MaRaTa</t>
  </si>
  <si>
    <t>TPA/Leipomo 3</t>
  </si>
  <si>
    <t>TPA/Ruokailu</t>
  </si>
  <si>
    <t>Iisakki/MaRaTa</t>
  </si>
  <si>
    <t>MSKK/MaRaTa</t>
  </si>
  <si>
    <t>MSKK/Ruokailu</t>
  </si>
  <si>
    <t>VAK/MaRaTa</t>
  </si>
  <si>
    <t>VAK/Ruokailu</t>
  </si>
  <si>
    <t>Kekkilä Oy</t>
  </si>
  <si>
    <t>0558734-9</t>
  </si>
  <si>
    <t>Kasvualustat,taimet,pistok</t>
  </si>
  <si>
    <t>HuKoLuVa/Puutarha/Opetusm. ja</t>
  </si>
  <si>
    <t>Kirjavälitys Oy</t>
  </si>
  <si>
    <t>0110031-0</t>
  </si>
  <si>
    <t>Ruoveden lukio/opp.mater/välin</t>
  </si>
  <si>
    <t>Ikaal. lukio/opp.mater/välin</t>
  </si>
  <si>
    <t>Präntti Oy</t>
  </si>
  <si>
    <t>2071968-8</t>
  </si>
  <si>
    <t>Ikaalisten lukio/Hallinto</t>
  </si>
  <si>
    <t>YlSi/Musari/Hallinto</t>
  </si>
  <si>
    <t>LUPI/Opetuk hall ja muut yht.t</t>
  </si>
  <si>
    <t>2561478-9</t>
  </si>
  <si>
    <t>Opetus- ja kulttuuripalvelut</t>
  </si>
  <si>
    <t>VAK/Valma ja Tuva</t>
  </si>
  <si>
    <t>Elintarviketukku Rikainen Oy</t>
  </si>
  <si>
    <t>1769203-1</t>
  </si>
  <si>
    <t>Elintarvikkeet</t>
  </si>
  <si>
    <t>Saunalahti</t>
  </si>
  <si>
    <t>0116510-6</t>
  </si>
  <si>
    <t>MPY Telecom Oyj</t>
  </si>
  <si>
    <t>1570688-2</t>
  </si>
  <si>
    <t>AddSecure Oy</t>
  </si>
  <si>
    <t>2841072-2</t>
  </si>
  <si>
    <t>ElmoNet Oy</t>
  </si>
  <si>
    <t>0215655-1</t>
  </si>
  <si>
    <t>Telia Finland Oyj</t>
  </si>
  <si>
    <t>1475607-9</t>
  </si>
  <si>
    <t>Iisakki/Rakennus 3</t>
  </si>
  <si>
    <t>Motonet Oy</t>
  </si>
  <si>
    <t>0699457-9</t>
  </si>
  <si>
    <t>VAK/TeLi/Auto/oppilast. 3</t>
  </si>
  <si>
    <t>Dna Oyj</t>
  </si>
  <si>
    <t>0592509-6</t>
  </si>
  <si>
    <t>Safedo Oyj</t>
  </si>
  <si>
    <t>1979493-9</t>
  </si>
  <si>
    <t>Hoitotarvikkeet</t>
  </si>
  <si>
    <t>Kiertoa Oy</t>
  </si>
  <si>
    <t>2690333-9</t>
  </si>
  <si>
    <t>MSKK/Metalli/Muu palv.toim.3</t>
  </si>
  <si>
    <t>Faba osk</t>
  </si>
  <si>
    <t>2122611-3</t>
  </si>
  <si>
    <t>Osara/Maatal/Opetusm.ja harj</t>
  </si>
  <si>
    <t>Porin Leipä Oy</t>
  </si>
  <si>
    <t>0304496-5</t>
  </si>
  <si>
    <t>HuKo/Ruokailu/Kokemäki</t>
  </si>
  <si>
    <t>HuKo/Henk.kunnan ruok./Kok</t>
  </si>
  <si>
    <t>HuKo/Opiskelijarav.myynti/Kok</t>
  </si>
  <si>
    <t>Knorring Oy Ab</t>
  </si>
  <si>
    <t>0110085-5</t>
  </si>
  <si>
    <t>Kone Hissit Oy</t>
  </si>
  <si>
    <t>1904292-1</t>
  </si>
  <si>
    <t>Ikaalinen Spa Oy</t>
  </si>
  <si>
    <t>3186123-3</t>
  </si>
  <si>
    <t>Telia Inmics-Nebula Oy</t>
  </si>
  <si>
    <t>2546028-1</t>
  </si>
  <si>
    <t>MSKK/Datanomi</t>
  </si>
  <si>
    <t>Quadient Finland Oy</t>
  </si>
  <si>
    <t>0686637-4</t>
  </si>
  <si>
    <t>Posti- ja kuriiripalvelu</t>
  </si>
  <si>
    <t>SASO/Koulutuksenjärj. hall.</t>
  </si>
  <si>
    <t>0297582-1</t>
  </si>
  <si>
    <t>Porin Laatuvaraosa Oy</t>
  </si>
  <si>
    <t>0307794-3</t>
  </si>
  <si>
    <t>LVI-WaBek Oy</t>
  </si>
  <si>
    <t>1109678-1</t>
  </si>
  <si>
    <t>Yrittäjien Koulutuskeskus Oy</t>
  </si>
  <si>
    <t>0702977-0</t>
  </si>
  <si>
    <t>Hankintatoimi</t>
  </si>
  <si>
    <t>Sim Finland Oy</t>
  </si>
  <si>
    <t>2247776-6</t>
  </si>
  <si>
    <t>VAK/Hius- ja kauneusala</t>
  </si>
  <si>
    <t>VAK/Hiusala/oppilast.</t>
  </si>
  <si>
    <t>Suomen MediTuote Oy</t>
  </si>
  <si>
    <t>2474353-8</t>
  </si>
  <si>
    <t>Siivous- ja puhdistusain/tarv</t>
  </si>
  <si>
    <t>HuKo/Ruokailu/Huittinen</t>
  </si>
  <si>
    <t>HuKo/Henk.kunnan ruok./Huitt</t>
  </si>
  <si>
    <t>HuKo/Ravintolan muu myynti/Hui</t>
  </si>
  <si>
    <t>Phoenix Contact Oy</t>
  </si>
  <si>
    <t>0818575-9</t>
  </si>
  <si>
    <t>Iisakki/Sähkö 3</t>
  </si>
  <si>
    <t>Lupi/Valma ja Tuva</t>
  </si>
  <si>
    <t>Lyreco Finland Oy</t>
  </si>
  <si>
    <t>1870837-3</t>
  </si>
  <si>
    <t>Iisakki/Teli/Yht.opetus 3</t>
  </si>
  <si>
    <t>Wulff Solutions Oy Staples Fi</t>
  </si>
  <si>
    <t>0583925-1</t>
  </si>
  <si>
    <t>HuKo/Op. hall. ja muut yht. to</t>
  </si>
  <si>
    <t>Kuntayhtymäjohto</t>
  </si>
  <si>
    <t>VAK/TeLi/Kivi 3</t>
  </si>
  <si>
    <t>SASO/Opetuk.hall.ja muut yht</t>
  </si>
  <si>
    <t>Yhteinen opetus/Kauphall</t>
  </si>
  <si>
    <t>Ravema Oy</t>
  </si>
  <si>
    <t>2158950-4</t>
  </si>
  <si>
    <t>Duroy Oy Ab</t>
  </si>
  <si>
    <t>3171224-6</t>
  </si>
  <si>
    <t>L&amp;T Kiinteistöhuolto Oy</t>
  </si>
  <si>
    <t>3155934-1</t>
  </si>
  <si>
    <t>Schetelig Oy</t>
  </si>
  <si>
    <t>0113769-0</t>
  </si>
  <si>
    <t>Siemenet</t>
  </si>
  <si>
    <t>Yleishallinto</t>
  </si>
  <si>
    <t>Image Wear Oy</t>
  </si>
  <si>
    <t>0689586-1</t>
  </si>
  <si>
    <t>Vaatteisto</t>
  </si>
  <si>
    <t>Työkalu ja Varaosa Oy Pori</t>
  </si>
  <si>
    <t>2955504-2</t>
  </si>
  <si>
    <t>Poltto- ja voiteluaineet</t>
  </si>
  <si>
    <t>Crayon Oy</t>
  </si>
  <si>
    <t>2096054-3</t>
  </si>
  <si>
    <t>Kon, kal, laitt. rak-ja kunn.p</t>
  </si>
  <si>
    <t>Ikata/Kitaranrak./oppilast.</t>
  </si>
  <si>
    <t>Tamrex Oy</t>
  </si>
  <si>
    <t>0765118-0</t>
  </si>
  <si>
    <t>Ikata/Pienoismallinrak./oppila</t>
  </si>
  <si>
    <t>Eurofins Viljavuuspalvelu Oy</t>
  </si>
  <si>
    <t>0115896-9</t>
  </si>
  <si>
    <t>Stara Consulting Group Oy</t>
  </si>
  <si>
    <t>1587359-2</t>
  </si>
  <si>
    <t>Ikata/Sisustuslasi</t>
  </si>
  <si>
    <t>VAK/TeLi/Puu 3</t>
  </si>
  <si>
    <t>Pelttarin Auto Oy</t>
  </si>
  <si>
    <t>0298062-0</t>
  </si>
  <si>
    <t>Hankkija Oy</t>
  </si>
  <si>
    <t>0224546-6</t>
  </si>
  <si>
    <t>Tampereen Hevosklinikka Oy</t>
  </si>
  <si>
    <t>2657457-1</t>
  </si>
  <si>
    <t>Eläinlääkäripalvelut</t>
  </si>
  <si>
    <t>Lääkkeet</t>
  </si>
  <si>
    <t>Viestimedia Oy</t>
  </si>
  <si>
    <t>0111165-0</t>
  </si>
  <si>
    <t>Kärki-Agri Oy</t>
  </si>
  <si>
    <t>2198492-6</t>
  </si>
  <si>
    <t>Rehut</t>
  </si>
  <si>
    <t>Pirkanmaan Maatalouskauppa Oy</t>
  </si>
  <si>
    <t>2217315-6</t>
  </si>
  <si>
    <t>Osara/Maatalous/Muu palv.toim.</t>
  </si>
  <si>
    <t>2215574-0</t>
  </si>
  <si>
    <t>Iisakki/LVI-ala 3</t>
  </si>
  <si>
    <t>Jokilaakson Jelppi Oy</t>
  </si>
  <si>
    <t>2569851-3</t>
  </si>
  <si>
    <t>Dialogic Partner Oy</t>
  </si>
  <si>
    <t>2071775-4</t>
  </si>
  <si>
    <t>Tyrvään Kirjakauppa Oy</t>
  </si>
  <si>
    <t>0459024-7</t>
  </si>
  <si>
    <t>Polar-Jäähdytys Oy</t>
  </si>
  <si>
    <t>2337846-0</t>
  </si>
  <si>
    <t>Sinebrychoff</t>
  </si>
  <si>
    <t>0113951-4</t>
  </si>
  <si>
    <t>Hämeenkyrön Tarvikepiste Oy</t>
  </si>
  <si>
    <t>0716641-7</t>
  </si>
  <si>
    <t>Iisakki/Metalli/Hkyrö 3</t>
  </si>
  <si>
    <t>Suomen Vaskisepät Oy</t>
  </si>
  <si>
    <t>3141647-1</t>
  </si>
  <si>
    <t>Keskener rakennukset</t>
  </si>
  <si>
    <t>HuKo/Rakentaminen</t>
  </si>
  <si>
    <t>SHP-Palvelut Oy</t>
  </si>
  <si>
    <t>3166256-8</t>
  </si>
  <si>
    <t>Kaasu</t>
  </si>
  <si>
    <t>HuKo/Luva/Maatalous</t>
  </si>
  <si>
    <t>Pajakulma Oy</t>
  </si>
  <si>
    <t>0154583-8</t>
  </si>
  <si>
    <t>Visma Software Oy</t>
  </si>
  <si>
    <t>0711992-8</t>
  </si>
  <si>
    <t>HuKo/Liiketalous</t>
  </si>
  <si>
    <t>2743819-2</t>
  </si>
  <si>
    <t>VR-Yhtymä Oy</t>
  </si>
  <si>
    <t>1003521-5</t>
  </si>
  <si>
    <t>OPH:n hankkeet, rah.laki 44§</t>
  </si>
  <si>
    <t>Yhteinen opetus/Tekniikan al1</t>
  </si>
  <si>
    <t>A-Katsastus Oy</t>
  </si>
  <si>
    <t>1959705-4</t>
  </si>
  <si>
    <t>MSKK/Leko (perustutk)</t>
  </si>
  <si>
    <t>Tools Finland Oy</t>
  </si>
  <si>
    <t>2446396-6</t>
  </si>
  <si>
    <t>DeLaval Oy Ab</t>
  </si>
  <si>
    <t>1071441-0</t>
  </si>
  <si>
    <t>Vammalan Rengaspalvelu Oy</t>
  </si>
  <si>
    <t>2626022-2</t>
  </si>
  <si>
    <t>Tokmanni Oy</t>
  </si>
  <si>
    <t>1928426-9</t>
  </si>
  <si>
    <t>LUPI/Majoitus/Osara</t>
  </si>
  <si>
    <t>Kokkolan Halpa-Halli Oy</t>
  </si>
  <si>
    <t>0955220-7</t>
  </si>
  <si>
    <t>Ikata/Rakennusrestaurointi</t>
  </si>
  <si>
    <t>Iisakki/Lähihoitaja</t>
  </si>
  <si>
    <t>Kuljetusliike U. Salomäki Oy</t>
  </si>
  <si>
    <t>0652592-4</t>
  </si>
  <si>
    <t>LVI-Asennuspalvelu Marjanen Oy</t>
  </si>
  <si>
    <t>2499616-4</t>
  </si>
  <si>
    <t>Kesko Oyj</t>
  </si>
  <si>
    <t>0109862-8</t>
  </si>
  <si>
    <t>Iisakki/Kahvio</t>
  </si>
  <si>
    <t>LUPI/Ruokailu/Iisakki Hkyrö</t>
  </si>
  <si>
    <t>LUPI/Henk.kunnan ruokailu</t>
  </si>
  <si>
    <t>Sick Oy</t>
  </si>
  <si>
    <t>0850072-0</t>
  </si>
  <si>
    <t>Annala K. &amp; H. Oy</t>
  </si>
  <si>
    <t>0180586-3</t>
  </si>
  <si>
    <t>Ikata/Huonek. stailaus ja ent.</t>
  </si>
  <si>
    <t>EG Furnace Oy</t>
  </si>
  <si>
    <t>1623482-1</t>
  </si>
  <si>
    <t>Ikata/Lasinpuhallus</t>
  </si>
  <si>
    <t>SMC Automation Oy</t>
  </si>
  <si>
    <t>1650102-9</t>
  </si>
  <si>
    <t>Globex Information Oy</t>
  </si>
  <si>
    <t>0485132-0</t>
  </si>
  <si>
    <t>KOSOL/Lähihoitaja</t>
  </si>
  <si>
    <t>Edita Publishing Oy</t>
  </si>
  <si>
    <t>0654634-6</t>
  </si>
  <si>
    <t>3 Step it Oy</t>
  </si>
  <si>
    <t>2161942-7</t>
  </si>
  <si>
    <t>Ikata/Musiikkituot. 2</t>
  </si>
  <si>
    <t>Ikata/Erikoismetalli</t>
  </si>
  <si>
    <t>Ikata/Kitaranrakennus</t>
  </si>
  <si>
    <t>Ikata/3D-tulostus ja mallint.</t>
  </si>
  <si>
    <t>Ikata/Graafinen suunnittelu</t>
  </si>
  <si>
    <t>Ikata/Tapahtuma- ja messurak.</t>
  </si>
  <si>
    <t>Valkokangasnet Oy</t>
  </si>
  <si>
    <t>2298815-2</t>
  </si>
  <si>
    <t>VeliMark Oy</t>
  </si>
  <si>
    <t>2246772-8</t>
  </si>
  <si>
    <t>LUPI/opinto-ohjaus</t>
  </si>
  <si>
    <t>Cloudia Oy</t>
  </si>
  <si>
    <t>1088146-2</t>
  </si>
  <si>
    <t>Verotieto Oy</t>
  </si>
  <si>
    <t>0115789-4</t>
  </si>
  <si>
    <t>Computer Program Unit Oy</t>
  </si>
  <si>
    <t>0635481-1</t>
  </si>
  <si>
    <t>Innofactor Software Oy</t>
  </si>
  <si>
    <t>1639021-8</t>
  </si>
  <si>
    <t>J &amp; S Happonen Oy</t>
  </si>
  <si>
    <t>2226274-9</t>
  </si>
  <si>
    <t>HuKo/Majoitus/Kokemäki</t>
  </si>
  <si>
    <t>Mtech Digital Solutions Oy</t>
  </si>
  <si>
    <t>0625796-6</t>
  </si>
  <si>
    <t>Onninen Oy</t>
  </si>
  <si>
    <t>1071207-9</t>
  </si>
  <si>
    <t>Rakennuststo Pekka Kynnös Oy</t>
  </si>
  <si>
    <t>0132898-0</t>
  </si>
  <si>
    <t>Osara LuPi Rakentaminen</t>
  </si>
  <si>
    <t>Kao Finland Oy</t>
  </si>
  <si>
    <t>0864958-4</t>
  </si>
  <si>
    <t>Muut kemikaalit</t>
  </si>
  <si>
    <t>MSKK/Parturi-kampaaja</t>
  </si>
  <si>
    <t>Fazer Leipomot Oy</t>
  </si>
  <si>
    <t>1972442-0</t>
  </si>
  <si>
    <t>IS-Tarvike Oy</t>
  </si>
  <si>
    <t>0734099-9</t>
  </si>
  <si>
    <t>HuKo/Datanomi</t>
  </si>
  <si>
    <t>HuKo/Koul.järj.hall./Kokemäki</t>
  </si>
  <si>
    <t>HuKo/Op hall. ja muut yht. toi</t>
  </si>
  <si>
    <t>HuKo/opinto-ohjaus</t>
  </si>
  <si>
    <t>HuKo/muu oppilashuolto</t>
  </si>
  <si>
    <t>MSKK/Paka &amp; kosme/oppilast.</t>
  </si>
  <si>
    <t>Eräsuomi Oy</t>
  </si>
  <si>
    <t>3012258-6</t>
  </si>
  <si>
    <t>Ikata/Asesepäntyö/oppilast.</t>
  </si>
  <si>
    <t>LVI TN Putki Oy</t>
  </si>
  <si>
    <t>2840472-8</t>
  </si>
  <si>
    <t>Festool Suomi Oy</t>
  </si>
  <si>
    <t>1790989-4</t>
  </si>
  <si>
    <t>Norris Cosmetics Oy</t>
  </si>
  <si>
    <t>0433255-5</t>
  </si>
  <si>
    <t>MSKK/Kosmetologi</t>
  </si>
  <si>
    <t>Witre Oy</t>
  </si>
  <si>
    <t>1517425-7</t>
  </si>
  <si>
    <t>Sanoma Pro Oy</t>
  </si>
  <si>
    <t>1970922-0</t>
  </si>
  <si>
    <t>MSKK/Lähihoitaja</t>
  </si>
  <si>
    <t>2693042-5</t>
  </si>
  <si>
    <t>Kouluelektroniikka Oy</t>
  </si>
  <si>
    <t>0597327-4</t>
  </si>
  <si>
    <t>2358563-8</t>
  </si>
  <si>
    <t>Gigantti Oy Ab</t>
  </si>
  <si>
    <t>1523846-8</t>
  </si>
  <si>
    <t>Muut kulut</t>
  </si>
  <si>
    <t>Sodexo Oy</t>
  </si>
  <si>
    <t>0907890-4</t>
  </si>
  <si>
    <t>Majoitus- ja ravitsem.palvelut</t>
  </si>
  <si>
    <t>HuKo/Luva/puutarha</t>
  </si>
  <si>
    <t>Tevella Oy</t>
  </si>
  <si>
    <t>2575744-8</t>
  </si>
  <si>
    <t>VAK/TeLi/Pienkonekorj./opp.3</t>
  </si>
  <si>
    <t>Kivi Ry</t>
  </si>
  <si>
    <t>1064824-9</t>
  </si>
  <si>
    <t>Muut yhteistoimintaosuudet</t>
  </si>
  <si>
    <t>Siivoussektori Oy</t>
  </si>
  <si>
    <t>0637494-3</t>
  </si>
  <si>
    <t>Fokus Media Finland Oy</t>
  </si>
  <si>
    <t>3157774-2</t>
  </si>
  <si>
    <t>Siivoustukku Silläsiisti Oy</t>
  </si>
  <si>
    <t>1064409-6</t>
  </si>
  <si>
    <t>Rakennushelasto Oy</t>
  </si>
  <si>
    <t>2197931-8</t>
  </si>
  <si>
    <t>VAK/Henk.kunnan ruokailu</t>
  </si>
  <si>
    <t>VAK/Kauneusala/oppilast.</t>
  </si>
  <si>
    <t>Henkilöstöhallinto</t>
  </si>
  <si>
    <t>Rautarasti Oy</t>
  </si>
  <si>
    <t>2322887-6</t>
  </si>
  <si>
    <t>Toeboys Craft Oy</t>
  </si>
  <si>
    <t>2932887-8</t>
  </si>
  <si>
    <t>Ylsi/Petäjä/Koul.myynti</t>
  </si>
  <si>
    <t>Koskenpään Huopatehdas Oy</t>
  </si>
  <si>
    <t>0175726-7</t>
  </si>
  <si>
    <t>Ikata/Sisustustekstiili</t>
  </si>
  <si>
    <t>Karjalan Purkupojat Oy</t>
  </si>
  <si>
    <t>0398664-5</t>
  </si>
  <si>
    <t>Painatukset ja ilmoitukse</t>
  </si>
  <si>
    <t>Würth Elektronik Oy</t>
  </si>
  <si>
    <t>0252252-3</t>
  </si>
  <si>
    <t>Iisakki/Metalli/Pno 3</t>
  </si>
  <si>
    <t>Scandic Hotels Oy</t>
  </si>
  <si>
    <t>1447914-7</t>
  </si>
  <si>
    <t>Porin Hydrotekniikka Oy</t>
  </si>
  <si>
    <t>2628170-1</t>
  </si>
  <si>
    <t>TM-Rauta Oy</t>
  </si>
  <si>
    <t>0583287-7</t>
  </si>
  <si>
    <t>KOSOL/Ruokailu</t>
  </si>
  <si>
    <t>KOSOL/Henk.kunnan ruokailu</t>
  </si>
  <si>
    <t>Suomen Englanninopettajat Ry, Engelsklärarna i Finland rf</t>
  </si>
  <si>
    <t>0224255-6</t>
  </si>
  <si>
    <t>Cutrin Oy</t>
  </si>
  <si>
    <t>2443709-8</t>
  </si>
  <si>
    <t>Power Finland Oy</t>
  </si>
  <si>
    <t>0993774-8</t>
  </si>
  <si>
    <t>Ylöjärven Puu Oy</t>
  </si>
  <si>
    <t>0803711-5</t>
  </si>
  <si>
    <t>Limepop Naturals Oy</t>
  </si>
  <si>
    <t>3255939-4</t>
  </si>
  <si>
    <t>Turun Uuskone Ky</t>
  </si>
  <si>
    <t>0140171-1</t>
  </si>
  <si>
    <t>Pirkanmaan Jätehuolto Oy</t>
  </si>
  <si>
    <t>0968008-1</t>
  </si>
  <si>
    <t>LUPI/Ruokailu/Osara</t>
  </si>
  <si>
    <t>StaffPoint Oy</t>
  </si>
  <si>
    <t>2492090-1</t>
  </si>
  <si>
    <t>MSKK/muu oppilashuolto</t>
  </si>
  <si>
    <t>Loihde Trust Tansec Oy</t>
  </si>
  <si>
    <t>1943925-9</t>
  </si>
  <si>
    <t>SHT-Tukku Oy</t>
  </si>
  <si>
    <t>0113891-7</t>
  </si>
  <si>
    <t>Sastamalan Kodintekniikka Oy</t>
  </si>
  <si>
    <t>2409900-9</t>
  </si>
  <si>
    <t>Paikkakuntalainen Oy</t>
  </si>
  <si>
    <t>0696817-8</t>
  </si>
  <si>
    <t>MSKK/Opetuk.hall.ja muut yht.</t>
  </si>
  <si>
    <t>Paja Hiili Ky</t>
  </si>
  <si>
    <t>0738832-7</t>
  </si>
  <si>
    <t>MJ Rauta Oy</t>
  </si>
  <si>
    <t>3231640-5</t>
  </si>
  <si>
    <t>MSKK/Rakennus ja talotek/opp</t>
  </si>
  <si>
    <t>Huiskula-Hilverda Oy</t>
  </si>
  <si>
    <t>2076532-6</t>
  </si>
  <si>
    <t>Metroauto Oy</t>
  </si>
  <si>
    <t>0762711-3</t>
  </si>
  <si>
    <t>Iisakki/Auto/oppilast. 3</t>
  </si>
  <si>
    <t>Finnparttia Oy</t>
  </si>
  <si>
    <t>0646976-6</t>
  </si>
  <si>
    <t>MSKK/Sähkö/Automaatio 3</t>
  </si>
  <si>
    <t>Muut projektit ja hankkeet</t>
  </si>
  <si>
    <t>2078011-2</t>
  </si>
  <si>
    <t>BF Media Oy</t>
  </si>
  <si>
    <t>0653268-1</t>
  </si>
  <si>
    <t>HuKo/Luva/puutar at&amp;eat</t>
  </si>
  <si>
    <t>P &amp; P Kulmala Oy</t>
  </si>
  <si>
    <t>0934911-0</t>
  </si>
  <si>
    <t>Oy Gustav Paulig Ab</t>
  </si>
  <si>
    <t>0835291-6</t>
  </si>
  <si>
    <t>Arvo Guitars Oy</t>
  </si>
  <si>
    <t>3020095-1</t>
  </si>
  <si>
    <t>Tyrvään Sähkötyö Oy</t>
  </si>
  <si>
    <t>0729870-0</t>
  </si>
  <si>
    <t>Solmaster Oy</t>
  </si>
  <si>
    <t>0205256-8</t>
  </si>
  <si>
    <t>PeDaTa Oy</t>
  </si>
  <si>
    <t>2521004-7</t>
  </si>
  <si>
    <t>Kestools Oy</t>
  </si>
  <si>
    <t>1712871-3</t>
  </si>
  <si>
    <t>Kokkonen &amp; Kokkonen Oy Vammala</t>
  </si>
  <si>
    <t>3171012-8</t>
  </si>
  <si>
    <t>TKTO/Lavasterak./oppilast.</t>
  </si>
  <si>
    <t>VAK/TeLi/Metalli 1</t>
  </si>
  <si>
    <t>SokoPro Oy</t>
  </si>
  <si>
    <t>3214780-8</t>
  </si>
  <si>
    <t>Saso/Rakentaminen</t>
  </si>
  <si>
    <t>Ikaalisten lukio/Ruokailu</t>
  </si>
  <si>
    <t>2136465-5</t>
  </si>
  <si>
    <t>TPA/Matkailuala</t>
  </si>
  <si>
    <t>Kielikone Oy</t>
  </si>
  <si>
    <t>0694967-1</t>
  </si>
  <si>
    <t>Agrikumppanit Oy</t>
  </si>
  <si>
    <t>2592520-2</t>
  </si>
  <si>
    <t>LVI-Tamminen Oy</t>
  </si>
  <si>
    <t>0144217-7</t>
  </si>
  <si>
    <t>Inspecta Tarkastus Oy</t>
  </si>
  <si>
    <t>2047308-3</t>
  </si>
  <si>
    <t>Mosarte Ky</t>
  </si>
  <si>
    <t>2109839-3</t>
  </si>
  <si>
    <t>Thales DIS Finland Oy</t>
  </si>
  <si>
    <t>0826277-7</t>
  </si>
  <si>
    <t>0913698-3</t>
  </si>
  <si>
    <t>Siemenliike Siren Oy</t>
  </si>
  <si>
    <t>0902730-6</t>
  </si>
  <si>
    <t>Sareskoski Oy</t>
  </si>
  <si>
    <t>0654661-0</t>
  </si>
  <si>
    <t>SeiLab Oy</t>
  </si>
  <si>
    <t>2442126-4</t>
  </si>
  <si>
    <t>Psykologitiimi Päämäärä Oy</t>
  </si>
  <si>
    <t>0985372-0</t>
  </si>
  <si>
    <t>Kaarinan Suodatintekniikka Oy</t>
  </si>
  <si>
    <t>1935388-5</t>
  </si>
  <si>
    <t>Vamsafe Oy</t>
  </si>
  <si>
    <t>1081654-8</t>
  </si>
  <si>
    <t>VAK/TeLi/Yhteinen opetus 3</t>
  </si>
  <si>
    <t>3136027-9</t>
  </si>
  <si>
    <t>VAK/TeLi/Sähkö 3</t>
  </si>
  <si>
    <t>Westport Finland Oy</t>
  </si>
  <si>
    <t>2621205-2</t>
  </si>
  <si>
    <t>Ravintolaco Oy</t>
  </si>
  <si>
    <t>3119733-6</t>
  </si>
  <si>
    <t>Fingredient Oy</t>
  </si>
  <si>
    <t>2556767-9</t>
  </si>
  <si>
    <t>Euran Rakennustarvike Oy</t>
  </si>
  <si>
    <t>0889260-5</t>
  </si>
  <si>
    <t>Taksipalvelu Anssu Rantala Ky</t>
  </si>
  <si>
    <t>2032926-8</t>
  </si>
  <si>
    <t>KL-Kustannus Oy</t>
  </si>
  <si>
    <t>1111116-0</t>
  </si>
  <si>
    <t>Idea Nature Oy</t>
  </si>
  <si>
    <t>2932795-5</t>
  </si>
  <si>
    <t>Bussi-Manninen Oy</t>
  </si>
  <si>
    <t>0698231-6</t>
  </si>
  <si>
    <t>Konecranes Finland Oy</t>
  </si>
  <si>
    <t>0950895-1</t>
  </si>
  <si>
    <t>0982155-0</t>
  </si>
  <si>
    <t>SM Fimac Oy Ltd</t>
  </si>
  <si>
    <t>0969623-5</t>
  </si>
  <si>
    <t>Suomen Ruotsinopettajat Ry, Svensklärarna i Finland rf</t>
  </si>
  <si>
    <t>0202278-0</t>
  </si>
  <si>
    <t>Oy Woodim Finland ltd</t>
  </si>
  <si>
    <t>1013998-9</t>
  </si>
  <si>
    <t>Promo Market Finland Oy</t>
  </si>
  <si>
    <t>2980729-7</t>
  </si>
  <si>
    <t>Sat-Electric Oy</t>
  </si>
  <si>
    <t>1656259-3</t>
  </si>
  <si>
    <t>Kokemäen Vesihuolto Oy</t>
  </si>
  <si>
    <t>0134171-2</t>
  </si>
  <si>
    <t>Eners Oy</t>
  </si>
  <si>
    <t>2524822-1</t>
  </si>
  <si>
    <t>Calderys Finland Oy</t>
  </si>
  <si>
    <t>0114966-7</t>
  </si>
  <si>
    <t>Senni-keittiöt Oy</t>
  </si>
  <si>
    <t>3234153-9</t>
  </si>
  <si>
    <t>Hobby Point</t>
  </si>
  <si>
    <t>0866103-0</t>
  </si>
  <si>
    <t>Lismar Oy</t>
  </si>
  <si>
    <t>0469814-3</t>
  </si>
  <si>
    <t>Yaskawa Finland Oy</t>
  </si>
  <si>
    <t>0750488-5</t>
  </si>
  <si>
    <t>Rexel Finland Oy</t>
  </si>
  <si>
    <t>0980994-9</t>
  </si>
  <si>
    <t>0113747-1</t>
  </si>
  <si>
    <t>0202765-3</t>
  </si>
  <si>
    <t>Pirkanmaan Lihapalvelu Oy</t>
  </si>
  <si>
    <t>1536871-3</t>
  </si>
  <si>
    <t>Berner Osakeyhtiö</t>
  </si>
  <si>
    <t>0107011-5</t>
  </si>
  <si>
    <t>Barons Food Oy</t>
  </si>
  <si>
    <t>0635284-0</t>
  </si>
  <si>
    <t>Erikssons Verkstad Ab</t>
  </si>
  <si>
    <t>2783768-7</t>
  </si>
  <si>
    <t>Autokeskus Oy</t>
  </si>
  <si>
    <t>1093812-3</t>
  </si>
  <si>
    <t>Burkert Finland Oy</t>
  </si>
  <si>
    <t>0626712-8</t>
  </si>
  <si>
    <t>Työsuojelu</t>
  </si>
  <si>
    <t>Mediq Suomi Oy</t>
  </si>
  <si>
    <t>2285192-2</t>
  </si>
  <si>
    <t>TPA/Lähihoitaja</t>
  </si>
  <si>
    <t>Elektrolinna Oy</t>
  </si>
  <si>
    <t>0820785-8</t>
  </si>
  <si>
    <t>Eurohamsteri Oy</t>
  </si>
  <si>
    <t>0900185-1</t>
  </si>
  <si>
    <t>Hartman Rauta Oy</t>
  </si>
  <si>
    <t>0628046-1</t>
  </si>
  <si>
    <t>Ikata/Erikoismetalli/oppilast.</t>
  </si>
  <si>
    <t>GT-osat Vilppula /Kitka-Met Oy</t>
  </si>
  <si>
    <t>0911738-7</t>
  </si>
  <si>
    <t>MSKK/Auto/oppilast.3</t>
  </si>
  <si>
    <t>Masino Fastening Oy</t>
  </si>
  <si>
    <t>0792089-7</t>
  </si>
  <si>
    <t>Musacorner Oy</t>
  </si>
  <si>
    <t>2517402-3</t>
  </si>
  <si>
    <t>Telko Oy</t>
  </si>
  <si>
    <t>0987137-1</t>
  </si>
  <si>
    <t>Ikata/Korusuunn. ja valmistus</t>
  </si>
  <si>
    <t>Ämyri Productions Oy</t>
  </si>
  <si>
    <t>3215099-4</t>
  </si>
  <si>
    <t>Pirmediat Oy</t>
  </si>
  <si>
    <t>0150723-3</t>
  </si>
  <si>
    <t>Puusepänliike Lauri-Poika Oy</t>
  </si>
  <si>
    <t>2086236-1</t>
  </si>
  <si>
    <t>Pirkanmaan Käyttölukko Oy</t>
  </si>
  <si>
    <t>0713087-9</t>
  </si>
  <si>
    <t>Huoltolux Oy</t>
  </si>
  <si>
    <t>0910144-9</t>
  </si>
  <si>
    <t>NP-Yhtiöt Oy</t>
  </si>
  <si>
    <t>2696560-1</t>
  </si>
  <si>
    <t>SaFe Työsuojelutarvike Oy</t>
  </si>
  <si>
    <t>2022750-1</t>
  </si>
  <si>
    <t>Putkinieminen Oy</t>
  </si>
  <si>
    <t>2768139-5</t>
  </si>
  <si>
    <t>Finnpelti Oy</t>
  </si>
  <si>
    <t>1516241-6</t>
  </si>
  <si>
    <t>Gymstick International Oy</t>
  </si>
  <si>
    <t>1799954-3</t>
  </si>
  <si>
    <t>HuKo/Asuntojen vuokraus/Kok</t>
  </si>
  <si>
    <t>Tampereen Kukkatoimitus Oy</t>
  </si>
  <si>
    <t>1104992-6</t>
  </si>
  <si>
    <t>VAK/TeLi/Pienkonekorjaaja 3</t>
  </si>
  <si>
    <t>Grano Oy</t>
  </si>
  <si>
    <t>2197935-0</t>
  </si>
  <si>
    <t>MSKK/Liiketalous</t>
  </si>
  <si>
    <t>Martela Oyj</t>
  </si>
  <si>
    <t>0114891-2</t>
  </si>
  <si>
    <t>0785892-3</t>
  </si>
  <si>
    <t>Ikata/Rakennusrest./oppilast.</t>
  </si>
  <si>
    <t>Käyttöauto Oy</t>
  </si>
  <si>
    <t>0653423-0</t>
  </si>
  <si>
    <t>Hööks Hevosurheilu Oy</t>
  </si>
  <si>
    <t>1859735-1</t>
  </si>
  <si>
    <t>Tapio Päkki Oy</t>
  </si>
  <si>
    <t>0662934-4</t>
  </si>
  <si>
    <t>Toolx Oy</t>
  </si>
  <si>
    <t>2484936-7</t>
  </si>
  <si>
    <t>Hämeenkyrön Sähköpalvelu Oy</t>
  </si>
  <si>
    <t>3169422-8</t>
  </si>
  <si>
    <t>MSKK/Paka &amp; kosme/yht.opetus</t>
  </si>
  <si>
    <t>Punomo Networks Oy</t>
  </si>
  <si>
    <t>2337242-1</t>
  </si>
  <si>
    <t>ProAgria Etelä-Suomi ry</t>
  </si>
  <si>
    <t>0242886-0</t>
  </si>
  <si>
    <t>Halpa-Halli Parkano</t>
  </si>
  <si>
    <t>2596845-6</t>
  </si>
  <si>
    <t>Pro TT-yhtymä Oy</t>
  </si>
  <si>
    <t>2699091-1</t>
  </si>
  <si>
    <t>TPA/Valma ja Tuva</t>
  </si>
  <si>
    <t>Sähköinfo Oy</t>
  </si>
  <si>
    <t>0196590-4</t>
  </si>
  <si>
    <t>HKScan Finland Oy</t>
  </si>
  <si>
    <t>1951458-9</t>
  </si>
  <si>
    <t>Pietiko Oy</t>
  </si>
  <si>
    <t>1934034-7</t>
  </si>
  <si>
    <t>Lapin Akkumaailma Oy</t>
  </si>
  <si>
    <t>2484394-2</t>
  </si>
  <si>
    <t>Manner Taidetarvikkeet Oy</t>
  </si>
  <si>
    <t>0680204-7</t>
  </si>
  <si>
    <t>Deltarec Oy</t>
  </si>
  <si>
    <t>0906446-5</t>
  </si>
  <si>
    <t>LUPI/muu oppilashuolto</t>
  </si>
  <si>
    <t>SLÖJD-DETALJER I SKARA AKTIEBOLAG</t>
  </si>
  <si>
    <t>1624630-4</t>
  </si>
  <si>
    <t>Nahkakunta/Keskusvarasto Tampe</t>
  </si>
  <si>
    <t>0116301-2</t>
  </si>
  <si>
    <t>1001653-2</t>
  </si>
  <si>
    <t>Wildfrost Oy</t>
  </si>
  <si>
    <t>0627141-8</t>
  </si>
  <si>
    <t>Koneurakointi Rita-Kasari Oy</t>
  </si>
  <si>
    <t>3302577-3</t>
  </si>
  <si>
    <t>Rakennustyö Lammi Oy</t>
  </si>
  <si>
    <t>3012991-3</t>
  </si>
  <si>
    <t>Sähköpeltoniemi Oy</t>
  </si>
  <si>
    <t>0203804-5</t>
  </si>
  <si>
    <t>Open Badge Factory Oy</t>
  </si>
  <si>
    <t>2956862-8</t>
  </si>
  <si>
    <t>Aiko Academy Oy</t>
  </si>
  <si>
    <t>2659325-4</t>
  </si>
  <si>
    <t>Caverion Suomi Oy</t>
  </si>
  <si>
    <t>0146519-2</t>
  </si>
  <si>
    <t>Hämeen Remonttitiimi Oy</t>
  </si>
  <si>
    <t>2199264-3</t>
  </si>
  <si>
    <t>0204309-8</t>
  </si>
  <si>
    <t>Rimbo Asbest Oy</t>
  </si>
  <si>
    <t>2380449-0</t>
  </si>
  <si>
    <t>2036072-4</t>
  </si>
  <si>
    <t>Puutoimi Tapio Outinen Oy</t>
  </si>
  <si>
    <t>1016474-6</t>
  </si>
  <si>
    <t>Cron-Tek Oy</t>
  </si>
  <si>
    <t>0712471-9</t>
  </si>
  <si>
    <t>UralTone amplification Oy</t>
  </si>
  <si>
    <t>2099893-9</t>
  </si>
  <si>
    <t>Häijään Säästömarket Oy</t>
  </si>
  <si>
    <t>1035020-7</t>
  </si>
  <si>
    <t>Etra Oy</t>
  </si>
  <si>
    <t>0107801-0</t>
  </si>
  <si>
    <t>Mantco Oy</t>
  </si>
  <si>
    <t>2823197-8</t>
  </si>
  <si>
    <t>Kirjapaino Hermes Oy</t>
  </si>
  <si>
    <t>0908742-1</t>
  </si>
  <si>
    <t>Keski-Suomen Media Oy</t>
  </si>
  <si>
    <t>2005510-5</t>
  </si>
  <si>
    <t>0174817-6</t>
  </si>
  <si>
    <t>Siivouspalvelu Taina Pusa Oy</t>
  </si>
  <si>
    <t>0991018-2</t>
  </si>
  <si>
    <t>SASO/muu oppilashuolto</t>
  </si>
  <si>
    <t>MV-Jäähdytys Oy</t>
  </si>
  <si>
    <t>2487661-3</t>
  </si>
  <si>
    <t>Etman Oy</t>
  </si>
  <si>
    <t>2710105-5</t>
  </si>
  <si>
    <t>Lindström Oy</t>
  </si>
  <si>
    <t>1712792-1</t>
  </si>
  <si>
    <t>I-Mediat Oy</t>
  </si>
  <si>
    <t>0830230-2</t>
  </si>
  <si>
    <t>Kunto-Eura Ky</t>
  </si>
  <si>
    <t>0768256-9</t>
  </si>
  <si>
    <t>Markun Kello ja Koru Ay</t>
  </si>
  <si>
    <t>0648158-9</t>
  </si>
  <si>
    <t>Autokorjaamo Liimatainen Oy</t>
  </si>
  <si>
    <t>0226589-7</t>
  </si>
  <si>
    <t>2370942-6</t>
  </si>
  <si>
    <t>Kuusakoski Oy</t>
  </si>
  <si>
    <t>1589236-3</t>
  </si>
  <si>
    <t>TPA/MaRaTa/oppilast.</t>
  </si>
  <si>
    <t>TPA/Ravintola Wivi</t>
  </si>
  <si>
    <t>TPA/Leipomo/oppilast.3</t>
  </si>
  <si>
    <t>Yellow Service Oy Grönroos</t>
  </si>
  <si>
    <t>0597382-1</t>
  </si>
  <si>
    <t>Metallityö A. Heinonen Oy</t>
  </si>
  <si>
    <t>2670936-8</t>
  </si>
  <si>
    <t>Keskener kiint.rak. ja laitt</t>
  </si>
  <si>
    <t>TPA/Rakentaminen</t>
  </si>
  <si>
    <t>Kukkavarpukka Ky</t>
  </si>
  <si>
    <t>0768843-4</t>
  </si>
  <si>
    <t>KOSOL/Palvelualat/PuKi</t>
  </si>
  <si>
    <t>VAK/Hyvinvointiteknologia</t>
  </si>
  <si>
    <t>Cattipojat Oy</t>
  </si>
  <si>
    <t>0790770-5</t>
  </si>
  <si>
    <t>Ajan Lukko Oy</t>
  </si>
  <si>
    <t>0484115-7</t>
  </si>
  <si>
    <t>Ballard Finland Oy</t>
  </si>
  <si>
    <t>1077046-3</t>
  </si>
  <si>
    <t>TPA/Liiketalous</t>
  </si>
  <si>
    <t>FSM Oy Fonel Security Marketin</t>
  </si>
  <si>
    <t>0848043-2</t>
  </si>
  <si>
    <t>Pauli Keski-Valkama Oy/Pesula</t>
  </si>
  <si>
    <t>0963364-8</t>
  </si>
  <si>
    <t>Tampereen Lihajaloste Oy</t>
  </si>
  <si>
    <t>0155031-1</t>
  </si>
  <si>
    <t>Örum Oy Ab / Autoasi Tampere</t>
  </si>
  <si>
    <t>2042810-0</t>
  </si>
  <si>
    <t>Sastamalan Autokatsastus</t>
  </si>
  <si>
    <t>2315211-1</t>
  </si>
  <si>
    <t>1940671-3</t>
  </si>
  <si>
    <t>Paperplast Oy</t>
  </si>
  <si>
    <t>0565712-4</t>
  </si>
  <si>
    <t>Prassen Konditoria Oy</t>
  </si>
  <si>
    <t>1969407-3</t>
  </si>
  <si>
    <t>Aleksin Ravintolat Oy</t>
  </si>
  <si>
    <t>0154062-3</t>
  </si>
  <si>
    <t>TPA/Opetuksen hall. ja muut yh</t>
  </si>
  <si>
    <t>Konehuolto Jarmo Mäkinen Oy</t>
  </si>
  <si>
    <t>1652358-6</t>
  </si>
  <si>
    <t>Porvoon Kirjakeskus Oy</t>
  </si>
  <si>
    <t>2405922-6</t>
  </si>
  <si>
    <t>Katsastus Sastamala Oy</t>
  </si>
  <si>
    <t>2260682-0</t>
  </si>
  <si>
    <t>Kokemäen Sähkö Oy</t>
  </si>
  <si>
    <t>0203928-3</t>
  </si>
  <si>
    <t>Otis Oy</t>
  </si>
  <si>
    <t>0632231-8</t>
  </si>
  <si>
    <t>JM Lukko- ja Turvatekniikka Oy</t>
  </si>
  <si>
    <t>2547913-4</t>
  </si>
  <si>
    <t>Jalometallitukku Bergman</t>
  </si>
  <si>
    <t>2357022-5</t>
  </si>
  <si>
    <t>TKTO/Jalometalli/oppilast.</t>
  </si>
  <si>
    <t>MSKK/Koul. ja os. myynti</t>
  </si>
  <si>
    <t>TKTO/Asuntojen vuokraus</t>
  </si>
  <si>
    <t>1815515-8</t>
  </si>
  <si>
    <t>Kemicon Oy</t>
  </si>
  <si>
    <t>3019768-4</t>
  </si>
  <si>
    <t>Konetalo Kiviranta Oy</t>
  </si>
  <si>
    <t>0762850-3</t>
  </si>
  <si>
    <t>Kajo Cosmetics Oy</t>
  </si>
  <si>
    <t>3165846-2</t>
  </si>
  <si>
    <t>Key Hotels Oy</t>
  </si>
  <si>
    <t>0243037-0</t>
  </si>
  <si>
    <t>Restamark Oy</t>
  </si>
  <si>
    <t>0113298-8</t>
  </si>
  <si>
    <t>St1 Oy</t>
  </si>
  <si>
    <t>0201124-8</t>
  </si>
  <si>
    <t>Kokemäen Laatuhiekka Oy</t>
  </si>
  <si>
    <t>0357030-8</t>
  </si>
  <si>
    <t>Encore Ympäristöpalvelu Oy</t>
  </si>
  <si>
    <t>0112496-1</t>
  </si>
  <si>
    <t>LUPI/vuokratilat/Iisakki Pno</t>
  </si>
  <si>
    <t>Pirkanmaan Osuuskauppa</t>
  </si>
  <si>
    <t>0536307-0</t>
  </si>
  <si>
    <t>Insight cosmetics group</t>
  </si>
  <si>
    <t>DE</t>
  </si>
  <si>
    <t>0101064-9</t>
  </si>
  <si>
    <t>Vidamic Ergonomics</t>
  </si>
  <si>
    <t>0356329-8</t>
  </si>
  <si>
    <t>Elenia Verkko Oyj</t>
  </si>
  <si>
    <t>3001882-6</t>
  </si>
  <si>
    <t>Ikaalisten-Parkanon Puhelin Oy</t>
  </si>
  <si>
    <t>0133011-6</t>
  </si>
  <si>
    <t>Yhteistoim. ja luott.m.toim.</t>
  </si>
  <si>
    <t>Ikata/Musiikkituot.</t>
  </si>
  <si>
    <t>Rahoitus- ja pankkipalvelu</t>
  </si>
  <si>
    <t>AP Food Oy</t>
  </si>
  <si>
    <t>3286156-9</t>
  </si>
  <si>
    <t>LUPI/Opiskelijarav.myynti</t>
  </si>
  <si>
    <t>Valio Oy</t>
  </si>
  <si>
    <t>0116297-6</t>
  </si>
  <si>
    <t>VAK/TeLi/Leipomo 3</t>
  </si>
  <si>
    <t>L&amp;T Teollisuuspalvelut Oy</t>
  </si>
  <si>
    <t>3155936-8</t>
  </si>
  <si>
    <t>Tamun Musiikki Oy</t>
  </si>
  <si>
    <t>2706599-8</t>
  </si>
  <si>
    <t>Jemex Oy</t>
  </si>
  <si>
    <t>2818554-5</t>
  </si>
  <si>
    <t>Dieta Oy</t>
  </si>
  <si>
    <t>0927839-1</t>
  </si>
  <si>
    <t>Mestarintori Oy, K-Supermarket</t>
  </si>
  <si>
    <t>0702199-8</t>
  </si>
  <si>
    <t>Mediamaisteri Oy</t>
  </si>
  <si>
    <t>2660036-2</t>
  </si>
  <si>
    <t>Visma Aquila Oy</t>
  </si>
  <si>
    <t>2644028-2</t>
  </si>
  <si>
    <t>Soitin Laine Oy</t>
  </si>
  <si>
    <t>0853443-7</t>
  </si>
  <si>
    <t>Leppäkosken Lämpö Oy</t>
  </si>
  <si>
    <t>0840218-6</t>
  </si>
  <si>
    <t>Oomi Oy</t>
  </si>
  <si>
    <t>3101315-4</t>
  </si>
  <si>
    <t>KoVa Security Oy</t>
  </si>
  <si>
    <t>3091262-5</t>
  </si>
  <si>
    <t>Sähköhalli OY</t>
  </si>
  <si>
    <t>3256769-3</t>
  </si>
  <si>
    <t>HuKo/Vuokratilat/Huittinen</t>
  </si>
  <si>
    <t>Caruna Oy</t>
  </si>
  <si>
    <t>1618314-7</t>
  </si>
  <si>
    <t>Visit Lakeus Oy</t>
  </si>
  <si>
    <t>0885720-1</t>
  </si>
  <si>
    <t>Leppäkosken Sähkö Oy</t>
  </si>
  <si>
    <t>0133023-9</t>
  </si>
  <si>
    <t>Vatajankoski Sähköverkko Oy</t>
  </si>
  <si>
    <t>3169357-5</t>
  </si>
  <si>
    <t>Sokotel Oy</t>
  </si>
  <si>
    <t>0212329-0</t>
  </si>
  <si>
    <t>Työll.edist kuntakok.tukem.</t>
  </si>
  <si>
    <t>Ikata/Vaatetus</t>
  </si>
  <si>
    <t>Isku Interior Oy</t>
  </si>
  <si>
    <t>1831497-2</t>
  </si>
  <si>
    <t>Cloudpoint Oy</t>
  </si>
  <si>
    <t>2325703-6</t>
  </si>
  <si>
    <t>AJ Tuotteet Oy Ab</t>
  </si>
  <si>
    <t>0643009-5</t>
  </si>
  <si>
    <t>Veikko Lehti Oy</t>
  </si>
  <si>
    <t>1460563-3</t>
  </si>
  <si>
    <t>Kokemäen Lämpö Oy</t>
  </si>
  <si>
    <t>0476252-0</t>
  </si>
  <si>
    <t>FinDeltaco Oy</t>
  </si>
  <si>
    <t>1027613-1</t>
  </si>
  <si>
    <t>Tropsport Oy</t>
  </si>
  <si>
    <t>2363913-0</t>
  </si>
  <si>
    <t>TPA/Datanomi</t>
  </si>
  <si>
    <t>Neste Ikaalinen</t>
  </si>
  <si>
    <t>1638811-8</t>
  </si>
  <si>
    <t>Tampereen Lamppu ja Tarvike KY</t>
  </si>
  <si>
    <t>1889069-7</t>
  </si>
  <si>
    <t>VAK/Majoitus</t>
  </si>
  <si>
    <t>Foodduck Oy</t>
  </si>
  <si>
    <t>2481756-8</t>
  </si>
  <si>
    <t>Iscar Finland Oy</t>
  </si>
  <si>
    <t>1577781-6</t>
  </si>
  <si>
    <t>Kiinteistöosakeyhtiö Kuntomäki</t>
  </si>
  <si>
    <t>2392918-9</t>
  </si>
  <si>
    <t>Vuokratilat</t>
  </si>
  <si>
    <t>Kustannusliike Aluelehdet Oy</t>
  </si>
  <si>
    <t>0415990-8</t>
  </si>
  <si>
    <t>Lannoitteet</t>
  </si>
  <si>
    <t>JPS Koskela Oy</t>
  </si>
  <si>
    <t>0617687-5</t>
  </si>
  <si>
    <t>Max-Peruna H Rentto Ky</t>
  </si>
  <si>
    <t>0649501-6</t>
  </si>
  <si>
    <t>Lepistö-Group Oy</t>
  </si>
  <si>
    <t>1002557-8</t>
  </si>
  <si>
    <t>RTV-Yhtymä Oy</t>
  </si>
  <si>
    <t>2162710-1</t>
  </si>
  <si>
    <t>Tampereen Messut Oy</t>
  </si>
  <si>
    <t>0155043-4</t>
  </si>
  <si>
    <t>TJ-Teollisuus&amp;Kunnossapito Oy</t>
  </si>
  <si>
    <t>3224565-1</t>
  </si>
  <si>
    <t>Ullaka Oy</t>
  </si>
  <si>
    <t>0705605-8</t>
  </si>
  <si>
    <t>Ikata/Kädentait.ohj.toim./opp</t>
  </si>
  <si>
    <t>HuKo/Koul.järj.hall./Huittine</t>
  </si>
  <si>
    <t>Veijo Kinnunen Oy</t>
  </si>
  <si>
    <t>0576890-8</t>
  </si>
  <si>
    <t>Maxtech Oy</t>
  </si>
  <si>
    <t>2145296-2</t>
  </si>
  <si>
    <t>Pellon Group Oy</t>
  </si>
  <si>
    <t>0184454-7</t>
  </si>
  <si>
    <t>Cibes Hissit Oy</t>
  </si>
  <si>
    <t>2432904-6</t>
  </si>
  <si>
    <t>Myyntiranta Oy</t>
  </si>
  <si>
    <t>3184292-1</t>
  </si>
  <si>
    <t>MSKK/Valma ja Tuva</t>
  </si>
  <si>
    <t>Iloranta Oy</t>
  </si>
  <si>
    <t>0451681-3</t>
  </si>
  <si>
    <t>Arval Oy</t>
  </si>
  <si>
    <t>2460633-0</t>
  </si>
  <si>
    <t>Lantmännen Agro Oy</t>
  </si>
  <si>
    <t>2825061-8</t>
  </si>
  <si>
    <t>Horze Finland Oy</t>
  </si>
  <si>
    <t>2945989-4</t>
  </si>
  <si>
    <t>Ahlsell Oy</t>
  </si>
  <si>
    <t>1819153-8</t>
  </si>
  <si>
    <t>MSKK/Marata/vankila</t>
  </si>
  <si>
    <t>Rakennuspuu Jokinen Oy</t>
  </si>
  <si>
    <t>1074909-0</t>
  </si>
  <si>
    <t>Hevari Oy</t>
  </si>
  <si>
    <t>1532770-0</t>
  </si>
  <si>
    <t>Lounea Yritysratkaisut Oy</t>
  </si>
  <si>
    <t>0939469-1</t>
  </si>
  <si>
    <t>MSKK/opinto-ohjaus</t>
  </si>
  <si>
    <t>Yhtymähallitus</t>
  </si>
  <si>
    <t>Lalli Oy</t>
  </si>
  <si>
    <t>0134162-4</t>
  </si>
  <si>
    <t>A. Wennström Oy</t>
  </si>
  <si>
    <t>0420184-6</t>
  </si>
  <si>
    <t>Imatran Seudun Sähkö Oy</t>
  </si>
  <si>
    <t>0159029-2</t>
  </si>
  <si>
    <t>ISS Palvelut Oy</t>
  </si>
  <si>
    <t>0906333-1</t>
  </si>
  <si>
    <t>Audiotest Oy</t>
  </si>
  <si>
    <t>0519452-9</t>
  </si>
  <si>
    <t>Suomen Hevosurheilulehti Oy</t>
  </si>
  <si>
    <t>0729907-6</t>
  </si>
  <si>
    <t>Saarsalo Oy</t>
  </si>
  <si>
    <t>2066549-9</t>
  </si>
  <si>
    <t>Suomen Leipuriliitto ry</t>
  </si>
  <si>
    <t>0202195-6</t>
  </si>
  <si>
    <t>Osuuskauppa Hämeenmaa</t>
  </si>
  <si>
    <t>0910257-2</t>
  </si>
  <si>
    <t>Studentum Oy</t>
  </si>
  <si>
    <t>2342228-1</t>
  </si>
  <si>
    <t>Hinaus Kiviniitty</t>
  </si>
  <si>
    <t>Visma Enterprise Oy</t>
  </si>
  <si>
    <t>1080465-1</t>
  </si>
  <si>
    <t>Elgood Oy</t>
  </si>
  <si>
    <t>1078149-6</t>
  </si>
  <si>
    <t>Kuopion ja Lohjan kylpylät Oy</t>
  </si>
  <si>
    <t>2495467-7</t>
  </si>
  <si>
    <t>Miraculos Oy</t>
  </si>
  <si>
    <t>1107719-3</t>
  </si>
  <si>
    <t>Lounea Palvelut Oy</t>
  </si>
  <si>
    <t>2678132-7</t>
  </si>
  <si>
    <t>Vammalan Hyötykeräys Oy</t>
  </si>
  <si>
    <t>0854705-1</t>
  </si>
  <si>
    <t>2414170-5</t>
  </si>
  <si>
    <t>Radio SUN Oy</t>
  </si>
  <si>
    <t>0580040-2</t>
  </si>
  <si>
    <t>SASO/opinto-ohajus</t>
  </si>
  <si>
    <t>MSKK/TeLi/yhteinen opetus 3</t>
  </si>
  <si>
    <t>Kans.väl.toim, hallinto</t>
  </si>
  <si>
    <t>Strategiarahoitus 2022</t>
  </si>
  <si>
    <t>Sitowise Oy</t>
  </si>
  <si>
    <t>2335445-0</t>
  </si>
  <si>
    <t>Line-Ma Oy</t>
  </si>
  <si>
    <t>0110905-9</t>
  </si>
  <si>
    <t>Backfront Music Oy</t>
  </si>
  <si>
    <t>2945275-6</t>
  </si>
  <si>
    <t>D-Fence Oy</t>
  </si>
  <si>
    <t>1650666-3</t>
  </si>
  <si>
    <t>Porin Konehuolto Oy</t>
  </si>
  <si>
    <t>2018212-0</t>
  </si>
  <si>
    <t>Puuilo Tavaratalot Oy</t>
  </si>
  <si>
    <t>2431081-2</t>
  </si>
  <si>
    <t>Tamora Oy</t>
  </si>
  <si>
    <t>2314396-0</t>
  </si>
  <si>
    <t>Yhteinen/Koul. ja os.myynti</t>
  </si>
  <si>
    <t>Kustannus Oy Duodecim</t>
  </si>
  <si>
    <t>0558287-1</t>
  </si>
  <si>
    <t>Tampereen Sähkölaitos Oy</t>
  </si>
  <si>
    <t>0153791-8</t>
  </si>
  <si>
    <t>Kasins Oy</t>
  </si>
  <si>
    <t>1014992-5</t>
  </si>
  <si>
    <t>Keskener koneet ja kal</t>
  </si>
  <si>
    <t>Saso/Kalusto-ja laiteh.yht.</t>
  </si>
  <si>
    <t>Ompelijanmaailma Oy</t>
  </si>
  <si>
    <t>0624381-2</t>
  </si>
  <si>
    <t>Ikata/Vaatetus/oppilast.</t>
  </si>
  <si>
    <t>Kuva-Järvinen Ky</t>
  </si>
  <si>
    <t>0351442-9</t>
  </si>
  <si>
    <t>Elisa Oyj</t>
  </si>
  <si>
    <t>Perel Oy</t>
  </si>
  <si>
    <t>0828238-0</t>
  </si>
  <si>
    <t>Ykköskaluste Oy</t>
  </si>
  <si>
    <t>2410102-5</t>
  </si>
  <si>
    <t>Metos Oy Ab</t>
  </si>
  <si>
    <t>0108466-4</t>
  </si>
  <si>
    <t>Posti Oy</t>
  </si>
  <si>
    <t>Ylsi/Petäjä/Hallinto</t>
  </si>
  <si>
    <t>Historian ja Yhteiskuntaopin Opettajien liitto Hyol r.y.</t>
  </si>
  <si>
    <t>0234711-2</t>
  </si>
  <si>
    <t>Hilannon Mylly Ky</t>
  </si>
  <si>
    <t>0640961-6</t>
  </si>
  <si>
    <t>Eurokangas Oy</t>
  </si>
  <si>
    <t>0364411-9</t>
  </si>
  <si>
    <t>Booky.fi Oy</t>
  </si>
  <si>
    <t>2131125-4</t>
  </si>
  <si>
    <t>Honkajoki Oy</t>
  </si>
  <si>
    <t>0132676-6</t>
  </si>
  <si>
    <t>Siemenvesa Oy/Vesan Kukka</t>
  </si>
  <si>
    <t>0930144-0</t>
  </si>
  <si>
    <t>Heinon Leipomo Oy</t>
  </si>
  <si>
    <t>0548578-0</t>
  </si>
  <si>
    <t>Pihlajalinna Lääkärikeskukset</t>
  </si>
  <si>
    <t>2452505-5</t>
  </si>
  <si>
    <t>LVI Kurikka Oy</t>
  </si>
  <si>
    <t>3021983-9</t>
  </si>
  <si>
    <t>VAK/Hius- ja kauneusala 1</t>
  </si>
  <si>
    <t>Tekstiilipalvelu Oy</t>
  </si>
  <si>
    <t>0596381-8</t>
  </si>
  <si>
    <t>Mauste-Sallinen Oy</t>
  </si>
  <si>
    <t>0515224-9</t>
  </si>
  <si>
    <t>KOSOL/Palvelualat/PuKi 1</t>
  </si>
  <si>
    <t>Kiinteistöhuolto Ruuska Oy</t>
  </si>
  <si>
    <t>0723797-5</t>
  </si>
  <si>
    <t>Länsilinjat Oy</t>
  </si>
  <si>
    <t>0944671-1</t>
  </si>
  <si>
    <t>Matkust/kulj.palv./Liik.tuki</t>
  </si>
  <si>
    <t>Ikaalisten lukio/Koulukuljetuk</t>
  </si>
  <si>
    <t>TKTO/Jalometalli 2</t>
  </si>
  <si>
    <t>Länkivet Oy</t>
  </si>
  <si>
    <t>3156808-8</t>
  </si>
  <si>
    <t>Ratkaisukonsultit Oy</t>
  </si>
  <si>
    <t>2777511-3</t>
  </si>
  <si>
    <t>0106897-1</t>
  </si>
  <si>
    <t>Henkilö- ja yritysarv. Seti Oy</t>
  </si>
  <si>
    <t>1044296-1</t>
  </si>
  <si>
    <t>SASO/AikoAcademylle myynti</t>
  </si>
  <si>
    <t>Nannan Paperi &amp; Helmi</t>
  </si>
  <si>
    <t>1730872-2</t>
  </si>
  <si>
    <t>A. Lamminmäki Oy</t>
  </si>
  <si>
    <t>0975291-1</t>
  </si>
  <si>
    <t>Osaava App Oy</t>
  </si>
  <si>
    <t>2087908-3</t>
  </si>
  <si>
    <t>Terätoimitus Lehtinen Oy</t>
  </si>
  <si>
    <t>0348761-9</t>
  </si>
  <si>
    <t>Tampereen Vaahtomuovi Oy</t>
  </si>
  <si>
    <t>0666227-5</t>
  </si>
  <si>
    <t>Contex Oy</t>
  </si>
  <si>
    <t>1567280-3</t>
  </si>
  <si>
    <t>Lasipiha VP-Tekoniemi Oy</t>
  </si>
  <si>
    <t>2651968-7</t>
  </si>
  <si>
    <t>Ikata/Sisustuslasi/oppilast.</t>
  </si>
  <si>
    <t>Rautamesta Oy</t>
  </si>
  <si>
    <t>2490663-2</t>
  </si>
  <si>
    <t>Taperoll Oy</t>
  </si>
  <si>
    <t>0920266-1</t>
  </si>
  <si>
    <t>Lux Oy Ab</t>
  </si>
  <si>
    <t>0111035-9</t>
  </si>
  <si>
    <t>Laadunhallinta</t>
  </si>
  <si>
    <t>Dex Viihde Oy</t>
  </si>
  <si>
    <t>0548403-2</t>
  </si>
  <si>
    <t>MTK Ry</t>
  </si>
  <si>
    <t>0215194-5</t>
  </si>
  <si>
    <t>Tampereen Energia Sähköverkko Oy</t>
  </si>
  <si>
    <t>1950681-0</t>
  </si>
  <si>
    <t>TPA/Tilojen ja kal. vuokraus</t>
  </si>
  <si>
    <t>Suomen Biljardikauppa Oy</t>
  </si>
  <si>
    <t>2423225-2</t>
  </si>
  <si>
    <t>Maanpuolustusyhtiö MPY Oy</t>
  </si>
  <si>
    <t>0890286-9</t>
  </si>
  <si>
    <t>VAK/TeLi/Kivi 1</t>
  </si>
  <si>
    <t>TKTO/kulttuuri/yhteinen opetus</t>
  </si>
  <si>
    <t>Natural Chia Oy</t>
  </si>
  <si>
    <t>2590467-1</t>
  </si>
  <si>
    <t>2485076-3</t>
  </si>
  <si>
    <t>Kuljetusliike Rinkineva Oy</t>
  </si>
  <si>
    <t>0469401-1</t>
  </si>
  <si>
    <t>CGI Suomi Oy</t>
  </si>
  <si>
    <t>0357502-9</t>
  </si>
  <si>
    <t>Esa Mäki Oy</t>
  </si>
  <si>
    <t>0992213-2</t>
  </si>
  <si>
    <t>MSKK/Tilojen ja kal. vuokraus</t>
  </si>
  <si>
    <t>0713539-7</t>
  </si>
  <si>
    <t>MSKK/Asuntojen vuokraus</t>
  </si>
  <si>
    <t>Virtain Pesupalvelu Oy</t>
  </si>
  <si>
    <t>2888974-5</t>
  </si>
  <si>
    <t>Musiikki Aartio Oy, Tampereen Musiikki Oy</t>
  </si>
  <si>
    <t>0986626-5</t>
  </si>
  <si>
    <t>Be Group Oy Ab</t>
  </si>
  <si>
    <t>1544976-7</t>
  </si>
  <si>
    <t>MSKK/Metalli/oppilast. 3</t>
  </si>
  <si>
    <t>Ylä-Satakunnan Sanomalehti Oy</t>
  </si>
  <si>
    <t>0214255-5</t>
  </si>
  <si>
    <t>SEITA Elämyspalvelut Oy</t>
  </si>
  <si>
    <t>3295909-9</t>
  </si>
  <si>
    <t>Peltolan spectrolitnappi ky</t>
  </si>
  <si>
    <t>0720306-2</t>
  </si>
  <si>
    <t>Akkula Oy</t>
  </si>
  <si>
    <t>2691726-3</t>
  </si>
  <si>
    <t>KYOCERA SENCO Finland Oy</t>
  </si>
  <si>
    <t>2047718-0</t>
  </si>
  <si>
    <t>Jo-He Oy</t>
  </si>
  <si>
    <t>1634310-4</t>
  </si>
  <si>
    <t>Focusing EL Oy</t>
  </si>
  <si>
    <t>3110871-9</t>
  </si>
  <si>
    <t>Suomen Messukierrätys Oy</t>
  </si>
  <si>
    <t>3221560-4</t>
  </si>
  <si>
    <t>Sastamalan Lämpö Oy</t>
  </si>
  <si>
    <t>1563040-0</t>
  </si>
  <si>
    <t>Varaosamaailma Oy Tampere</t>
  </si>
  <si>
    <t>1780255-2</t>
  </si>
  <si>
    <t>Aallon Leipomo Oy</t>
  </si>
  <si>
    <t>1593648-5</t>
  </si>
  <si>
    <t>TPA/Koulutuksenjärj. hall.</t>
  </si>
  <si>
    <t>Finnsat Oy</t>
  </si>
  <si>
    <t>2830727-4</t>
  </si>
  <si>
    <t>HP Finland Oy</t>
  </si>
  <si>
    <t>2669473-3</t>
  </si>
  <si>
    <t>Kymen Seudun Osuuskauppa</t>
  </si>
  <si>
    <t>2467766-5</t>
  </si>
  <si>
    <t>Filter Partner Oy</t>
  </si>
  <si>
    <t>2081224-1</t>
  </si>
  <si>
    <t>Royal Beauty Group Oy</t>
  </si>
  <si>
    <t>3271635-3</t>
  </si>
  <si>
    <t>Disar Oy</t>
  </si>
  <si>
    <t>0921058-1</t>
  </si>
  <si>
    <t>Vammalan Romu Oy</t>
  </si>
  <si>
    <t>1494050-3</t>
  </si>
  <si>
    <t>Huittisten Sanomalehti Oy</t>
  </si>
  <si>
    <t>0132794-5</t>
  </si>
  <si>
    <t>Sosiaali- ja terv.palvelut</t>
  </si>
  <si>
    <t>Työterveyshuolto</t>
  </si>
  <si>
    <t>Vammalan Villihinta Oy</t>
  </si>
  <si>
    <t>1890396-1</t>
  </si>
  <si>
    <t>Parkanon Puupiste Oy</t>
  </si>
  <si>
    <t>2361877-8</t>
  </si>
  <si>
    <t>Brownells Finland Oy</t>
  </si>
  <si>
    <t>1831106-9</t>
  </si>
  <si>
    <t>Cepton Finland Oy</t>
  </si>
  <si>
    <t>1863187-1</t>
  </si>
  <si>
    <t>KMV Ympäristöhuolto Oy</t>
  </si>
  <si>
    <t>3117030-1</t>
  </si>
  <si>
    <t>Mäntän Jääareena Oy</t>
  </si>
  <si>
    <t>2606148-5</t>
  </si>
  <si>
    <t>Ikaalisten Auto Oy</t>
  </si>
  <si>
    <t>0133007-9</t>
  </si>
  <si>
    <t>2381109-2</t>
  </si>
  <si>
    <t>2124095-1</t>
  </si>
  <si>
    <t>Ruuvilinja Oy</t>
  </si>
  <si>
    <t>1082569-8</t>
  </si>
  <si>
    <t>PirAl/Hallinto</t>
  </si>
  <si>
    <t>Ikea Oy</t>
  </si>
  <si>
    <t>2149172-6</t>
  </si>
  <si>
    <t>2472908-2</t>
  </si>
  <si>
    <t>Avant Tecno Oy</t>
  </si>
  <si>
    <t>0844210-2</t>
  </si>
  <si>
    <t>Era Content Oy</t>
  </si>
  <si>
    <t>2633517-5</t>
  </si>
  <si>
    <t>Biotus Oy</t>
  </si>
  <si>
    <t>1840555-9</t>
  </si>
  <si>
    <t>3D Cadsolutions Oy</t>
  </si>
  <si>
    <t>3178740-8</t>
  </si>
  <si>
    <t>Suomen Elektori Oy</t>
  </si>
  <si>
    <t>0999330-1</t>
  </si>
  <si>
    <t>Alpo Viitaniemi Oy</t>
  </si>
  <si>
    <t>0975955-8</t>
  </si>
  <si>
    <t>2921332-5</t>
  </si>
  <si>
    <t>Hur Oy Ab</t>
  </si>
  <si>
    <t>2014716-5</t>
  </si>
  <si>
    <t>Pajadata Oy</t>
  </si>
  <si>
    <t>0981392-1</t>
  </si>
  <si>
    <t>Kitarakuu Oy</t>
  </si>
  <si>
    <t>2892817-7</t>
  </si>
  <si>
    <t>2093486-3</t>
  </si>
  <si>
    <t>Roosters House Oy</t>
  </si>
  <si>
    <t>3010559-1</t>
  </si>
  <si>
    <t>3279302-5</t>
  </si>
  <si>
    <t>Suomalainen Kirjakauppa Oy</t>
  </si>
  <si>
    <t>0205361-6</t>
  </si>
  <si>
    <t>KX-Center Oy</t>
  </si>
  <si>
    <t>0959951-5</t>
  </si>
  <si>
    <t>Uittokalusto Oy</t>
  </si>
  <si>
    <t>0108237-8</t>
  </si>
  <si>
    <t>Vammalan Autosähkö Ky</t>
  </si>
  <si>
    <t>2084516-6</t>
  </si>
  <si>
    <t>NCH Suomi Oy Ab</t>
  </si>
  <si>
    <t>0111921-4</t>
  </si>
  <si>
    <t>Nice Optikko Oy</t>
  </si>
  <si>
    <t>2302806-5</t>
  </si>
  <si>
    <t>BV-Metalli Oy</t>
  </si>
  <si>
    <t>1763377-9</t>
  </si>
  <si>
    <t>Viestipaino Oy</t>
  </si>
  <si>
    <t>0424751-0</t>
  </si>
  <si>
    <t>Opiskelijahallintopalvelut</t>
  </si>
  <si>
    <t>TPA/opinto-ohjaus</t>
  </si>
  <si>
    <t>TPA/muu oppilashuolto</t>
  </si>
  <si>
    <t>Suomen Hoivatarvike Oy</t>
  </si>
  <si>
    <t>1884823-7</t>
  </si>
  <si>
    <t>Yhteinen opetus/vyörytettävät</t>
  </si>
  <si>
    <t>Matkust/kulj.palv./hlö.kou</t>
  </si>
  <si>
    <t>Etelä-Suomen Media Oy</t>
  </si>
  <si>
    <t>1027957-8</t>
  </si>
  <si>
    <t>Mills Enterprises Ltd Oy</t>
  </si>
  <si>
    <t>1007948-8</t>
  </si>
  <si>
    <t>Nordic Drama Comer Oy</t>
  </si>
  <si>
    <t>1785357-9</t>
  </si>
  <si>
    <t>Osuuskauppa Peeässä</t>
  </si>
  <si>
    <t>0864235-8</t>
  </si>
  <si>
    <t>Loihde Trust Oy</t>
  </si>
  <si>
    <t>0863729-2</t>
  </si>
  <si>
    <t>Ki-Sal Oy</t>
  </si>
  <si>
    <t>0963595-0</t>
  </si>
  <si>
    <t>Tampereen Kauppaseura ry</t>
  </si>
  <si>
    <t>0823532-2</t>
  </si>
  <si>
    <t>Suomen Kuntaperintä Oy</t>
  </si>
  <si>
    <t>2689224-6</t>
  </si>
  <si>
    <t>Kaeser Kompressorit Oy</t>
  </si>
  <si>
    <t>0988010-4</t>
  </si>
  <si>
    <t>Haukkis Oy</t>
  </si>
  <si>
    <t>2873027-5</t>
  </si>
  <si>
    <t>Suomen Terätuonti Oy</t>
  </si>
  <si>
    <t>1736033-6</t>
  </si>
  <si>
    <t>0220063-9</t>
  </si>
  <si>
    <t>Rahmqvist Serama/Oy ER Finland</t>
  </si>
  <si>
    <t>L'oreal Finland Oy</t>
  </si>
  <si>
    <t>0346279-6</t>
  </si>
  <si>
    <t>Semex Finland Oy</t>
  </si>
  <si>
    <t>2331701-9</t>
  </si>
  <si>
    <t>Siemennyspalvelut</t>
  </si>
  <si>
    <t>Luomajärven Hevoskievari Oy</t>
  </si>
  <si>
    <t>2099364-4</t>
  </si>
  <si>
    <t>Awanic OY</t>
  </si>
  <si>
    <t>2190408-4</t>
  </si>
  <si>
    <t>Kimmo Niemelä Oy</t>
  </si>
  <si>
    <t>2938680-8</t>
  </si>
  <si>
    <t>Atula Huoltopalvelut Oy/Huitti</t>
  </si>
  <si>
    <t>2674574-8</t>
  </si>
  <si>
    <t>Suomen Kukkatarvike Oy</t>
  </si>
  <si>
    <t>1807800-9</t>
  </si>
  <si>
    <t>Kasvinsuojeluaineet</t>
  </si>
  <si>
    <t>Tapola Oy</t>
  </si>
  <si>
    <t>0669223-9</t>
  </si>
  <si>
    <t>Kuljetus A. Härmä Oy</t>
  </si>
  <si>
    <t>1522200-1</t>
  </si>
  <si>
    <t>Omnipress Oy</t>
  </si>
  <si>
    <t>0892001-2</t>
  </si>
  <si>
    <t>Agco Suomi Oy</t>
  </si>
  <si>
    <t>2395797-2</t>
  </si>
  <si>
    <t>Demeca Oy</t>
  </si>
  <si>
    <t>2224040-0</t>
  </si>
  <si>
    <t>Vilppulan Huoltopalvelu Oy</t>
  </si>
  <si>
    <t>0427162-5</t>
  </si>
  <si>
    <t>Parkanon Pippuri Oy</t>
  </si>
  <si>
    <t>0596565-3</t>
  </si>
  <si>
    <t>F-Musiikki  Oy</t>
  </si>
  <si>
    <t>1103873-3</t>
  </si>
  <si>
    <t>Speakersforum Finland Oy Ab</t>
  </si>
  <si>
    <t>1544233-8</t>
  </si>
  <si>
    <t>Honkapuu Nieminen Oy</t>
  </si>
  <si>
    <t>0805577-8</t>
  </si>
  <si>
    <t>Suonentieto Oy</t>
  </si>
  <si>
    <t>0721499-2</t>
  </si>
  <si>
    <t>TutorHouse Oy</t>
  </si>
  <si>
    <t>2293903-5</t>
  </si>
  <si>
    <t>Kurssimaksut</t>
  </si>
  <si>
    <t>2467948-4</t>
  </si>
  <si>
    <t>2641367-1</t>
  </si>
  <si>
    <t>Ruoveden lukio/Hallinto</t>
  </si>
  <si>
    <t>Kopiosto ry</t>
  </si>
  <si>
    <t>0414755-2</t>
  </si>
  <si>
    <t>Fintex-Tetrakem Oy</t>
  </si>
  <si>
    <t>2213686-5</t>
  </si>
  <si>
    <t>Maker3D Oy</t>
  </si>
  <si>
    <t>2468562-2</t>
  </si>
  <si>
    <t>JFI Airshow Oy</t>
  </si>
  <si>
    <t>2625259-9</t>
  </si>
  <si>
    <t>Kitakone Oy</t>
  </si>
  <si>
    <t>2849387-1</t>
  </si>
  <si>
    <t>Hoikan Herkku Oy</t>
  </si>
  <si>
    <t>2726405-7</t>
  </si>
  <si>
    <t>Asianajotoimisto Roihu Oy</t>
  </si>
  <si>
    <t>2366974-3</t>
  </si>
  <si>
    <t>Timo Ojala Oy</t>
  </si>
  <si>
    <t>2612960-3</t>
  </si>
  <si>
    <t>Pispalan sähköliike Oy</t>
  </si>
  <si>
    <t>2359317-9</t>
  </si>
  <si>
    <t>Sakavest Oy</t>
  </si>
  <si>
    <t>2509875-3</t>
  </si>
  <si>
    <t>Alma Media Suomi Oy</t>
  </si>
  <si>
    <t>0869290-2</t>
  </si>
  <si>
    <t>2528826-6</t>
  </si>
  <si>
    <t>Tampereen Pirkka-Hitsi Oy</t>
  </si>
  <si>
    <t>2306780-6</t>
  </si>
  <si>
    <t>Vammalan Moottorikoneistamo Oy</t>
  </si>
  <si>
    <t>0494212-6</t>
  </si>
  <si>
    <t>Flotiina Oy</t>
  </si>
  <si>
    <t>2132532-2</t>
  </si>
  <si>
    <t>Kansainvälisyystoiminta</t>
  </si>
  <si>
    <t>Tarvikemotti Oy</t>
  </si>
  <si>
    <t>0567258-6</t>
  </si>
  <si>
    <t>Ruoveden Sähköasennus Oy</t>
  </si>
  <si>
    <t>0890034-5</t>
  </si>
  <si>
    <t>Simsotec Oy</t>
  </si>
  <si>
    <t>1795219-8</t>
  </si>
  <si>
    <t>ProDiags Oy</t>
  </si>
  <si>
    <t>0839378-5</t>
  </si>
  <si>
    <t>Salomaan Kirjapaino Oy</t>
  </si>
  <si>
    <t>0432667-3</t>
  </si>
  <si>
    <t>Hautalan sähkömoottori Oy</t>
  </si>
  <si>
    <t>0398823-7</t>
  </si>
  <si>
    <t>Tiimiakatemia Global Oy</t>
  </si>
  <si>
    <t>1569781-6</t>
  </si>
  <si>
    <t>Venepori Oy</t>
  </si>
  <si>
    <t>2409430-4</t>
  </si>
  <si>
    <t>Rakennuttaja Eminenssi Oy</t>
  </si>
  <si>
    <t>0715268-0</t>
  </si>
  <si>
    <t>K Auto Retail Oy</t>
  </si>
  <si>
    <t>1900190-0</t>
  </si>
  <si>
    <t>Riihimäen Teollisuuspalvelu Oy</t>
  </si>
  <si>
    <t>2398753-0</t>
  </si>
  <si>
    <t>Vuoristo-yhtiöt Oy</t>
  </si>
  <si>
    <t>2764547-4</t>
  </si>
  <si>
    <t>JES-Tuote Oy Ase Seppälä</t>
  </si>
  <si>
    <t>2583151-3</t>
  </si>
  <si>
    <t>0501722-3</t>
  </si>
  <si>
    <t>YlSi/Musari/Vuokratilat</t>
  </si>
  <si>
    <t>Töpinä Center Oy</t>
  </si>
  <si>
    <t>1090155-8</t>
  </si>
  <si>
    <t>Työkalu ja varaosa Oy T:re</t>
  </si>
  <si>
    <t>2161008-6</t>
  </si>
  <si>
    <t>Suomen Akuuttipalvelut Oy</t>
  </si>
  <si>
    <t>2668185-2</t>
  </si>
  <si>
    <t>Suomen Työkalu Oy</t>
  </si>
  <si>
    <t>1883915-4</t>
  </si>
  <si>
    <t>Jacomp Oy</t>
  </si>
  <si>
    <t>2187294-0</t>
  </si>
  <si>
    <t>Hämeenkyrön Lähikatsastus Oy</t>
  </si>
  <si>
    <t>2331657-7</t>
  </si>
  <si>
    <t>Ylöjärven Pienkone Oy</t>
  </si>
  <si>
    <t>2009126-1</t>
  </si>
  <si>
    <t>0771037-1</t>
  </si>
  <si>
    <t>Autohuolto T. Lindeman Ky ST1</t>
  </si>
  <si>
    <t>0736493-1</t>
  </si>
  <si>
    <t>Yhteinen opetus/Palvelualat</t>
  </si>
  <si>
    <t>Oy Urban View Ltd</t>
  </si>
  <si>
    <t>2144179-6</t>
  </si>
  <si>
    <t>Seicotec Oy</t>
  </si>
  <si>
    <t>2262088-4</t>
  </si>
  <si>
    <t>VPFuture Oy</t>
  </si>
  <si>
    <t>2523874-4</t>
  </si>
  <si>
    <t>Kone ja Laakeri Lahti Ky</t>
  </si>
  <si>
    <t>1719403-2</t>
  </si>
  <si>
    <t>Vientikivi Oy</t>
  </si>
  <si>
    <t>0203755-2</t>
  </si>
  <si>
    <t>Pro Growth Consulting Oy</t>
  </si>
  <si>
    <t>2663242-8</t>
  </si>
  <si>
    <t>Paalumedia Oy</t>
  </si>
  <si>
    <t>0971446-4</t>
  </si>
  <si>
    <t>Jimatic Oy</t>
  </si>
  <si>
    <t>2616210-4</t>
  </si>
  <si>
    <t>Porin Konttorikone Oy</t>
  </si>
  <si>
    <t>0136774-4</t>
  </si>
  <si>
    <t>Rautasoini Oy</t>
  </si>
  <si>
    <t>0154730-7</t>
  </si>
  <si>
    <t>Etinex Oy</t>
  </si>
  <si>
    <t>3266112-9</t>
  </si>
  <si>
    <t>Koneosapalvelu Oy</t>
  </si>
  <si>
    <t>0157793-6</t>
  </si>
  <si>
    <t>Kyröskosken vesihuolto Oy</t>
  </si>
  <si>
    <t>0194388-7</t>
  </si>
  <si>
    <t>Eventtec Oy</t>
  </si>
  <si>
    <t>1558199-5</t>
  </si>
  <si>
    <t>Yht.palv/KV-liiketoiminta</t>
  </si>
  <si>
    <t>Ikata/Kitaranrakennus 2</t>
  </si>
  <si>
    <t>Pronius Oy</t>
  </si>
  <si>
    <t>2230574-5</t>
  </si>
  <si>
    <t>Suomen Palautuspakkaus Oy</t>
  </si>
  <si>
    <t>0864894-4</t>
  </si>
  <si>
    <t>Kalaherkut Oy Nygren</t>
  </si>
  <si>
    <t>0872474-0</t>
  </si>
  <si>
    <t>Leipurin Oyj</t>
  </si>
  <si>
    <t>2216856-8</t>
  </si>
  <si>
    <t>Nordic Marketing Finland Oy</t>
  </si>
  <si>
    <t>2606902-2</t>
  </si>
  <si>
    <t>Luotain Consulting Oy</t>
  </si>
  <si>
    <t>2385444-7</t>
  </si>
  <si>
    <t>Padelix Oy</t>
  </si>
  <si>
    <t>3152877-2</t>
  </si>
  <si>
    <t>TableOnline Finland Oy</t>
  </si>
  <si>
    <t>2349007-3</t>
  </si>
  <si>
    <t>Risto Pitkänen Oy</t>
  </si>
  <si>
    <t>2593349-9</t>
  </si>
  <si>
    <t>VarmaKarma Oy</t>
  </si>
  <si>
    <t>3099661-1</t>
  </si>
  <si>
    <t>IS-Vet Oy</t>
  </si>
  <si>
    <t>Ikaalisten Valokuvaamo Oy</t>
  </si>
  <si>
    <t>3180648-8</t>
  </si>
  <si>
    <t>Fenix Interaction Oy</t>
  </si>
  <si>
    <t>2233635-7</t>
  </si>
  <si>
    <t>InfoSign Oy</t>
  </si>
  <si>
    <t>2139296-3</t>
  </si>
  <si>
    <t>AFRY Finland Oy</t>
  </si>
  <si>
    <t>0625905-6</t>
  </si>
  <si>
    <t>Intotalo Oy</t>
  </si>
  <si>
    <t>1670700-0</t>
  </si>
  <si>
    <t>Valtavuokraus Oy</t>
  </si>
  <si>
    <t>1070464-2</t>
  </si>
  <si>
    <t>Projecta Oy</t>
  </si>
  <si>
    <t>2369490-6</t>
  </si>
  <si>
    <t>Harjun Oppimiskeskus Oy</t>
  </si>
  <si>
    <t>1055483-2</t>
  </si>
  <si>
    <t>Nestori-Tuote Oy</t>
  </si>
  <si>
    <t>0656248-5</t>
  </si>
  <si>
    <t>TK-Biketeam Oy</t>
  </si>
  <si>
    <t>0876062-9</t>
  </si>
  <si>
    <t>VAK/TeLi/Puu/oppilast.3</t>
  </si>
  <si>
    <t>Chemetall AB</t>
  </si>
  <si>
    <t>2234825-1</t>
  </si>
  <si>
    <t>STS Rengaspalvelu Oy</t>
  </si>
  <si>
    <t>0251676-4</t>
  </si>
  <si>
    <t>2307694-8</t>
  </si>
  <si>
    <t>Suomen Diesel Voima Oy</t>
  </si>
  <si>
    <t>1885764-3</t>
  </si>
  <si>
    <t>BLF Asianajotoimisto Oy</t>
  </si>
  <si>
    <t>2572095-2</t>
  </si>
  <si>
    <t>Yhteinen opetus/ei-tutk.j.koul</t>
  </si>
  <si>
    <t>Schneider Electric Finland Oy</t>
  </si>
  <si>
    <t>0114901-8</t>
  </si>
  <si>
    <t>Kampaamotukku Palmikko Oy</t>
  </si>
  <si>
    <t>2453810-4</t>
  </si>
  <si>
    <t>Vammalan Betoni Oy</t>
  </si>
  <si>
    <t>0731531-2</t>
  </si>
  <si>
    <t>LukkoLuket Oy</t>
  </si>
  <si>
    <t>1086127-7</t>
  </si>
  <si>
    <t>FEEDCOWBOY OY</t>
  </si>
  <si>
    <t>2764873-9</t>
  </si>
  <si>
    <t>Vink Finland Oy</t>
  </si>
  <si>
    <t>0112779-1</t>
  </si>
  <si>
    <t>TamControl Oy</t>
  </si>
  <si>
    <t>2605088-2</t>
  </si>
  <si>
    <t>Aila Airo Kauneuspalvelut Ky</t>
  </si>
  <si>
    <t>0595574-6</t>
  </si>
  <si>
    <t>Silmäasema Optiikka Oy</t>
  </si>
  <si>
    <t>1827711-2</t>
  </si>
  <si>
    <t>Teräcenter Oy</t>
  </si>
  <si>
    <t>0915626-3</t>
  </si>
  <si>
    <t>Parkanon Kehräämö Avoin yhtiö</t>
  </si>
  <si>
    <t>0136252-1</t>
  </si>
  <si>
    <t>J&amp;T Technology Oy</t>
  </si>
  <si>
    <t>2602418-2</t>
  </si>
  <si>
    <t>Boreo Oyj/Yleiselektroniikka</t>
  </si>
  <si>
    <t>0116173-8</t>
  </si>
  <si>
    <t>Tampereen Peltityö Oy</t>
  </si>
  <si>
    <t>0957226-7</t>
  </si>
  <si>
    <t>Mercell Suomi Oy</t>
  </si>
  <si>
    <t>2740592-1</t>
  </si>
  <si>
    <t>0661106-4</t>
  </si>
  <si>
    <t>2132623-7</t>
  </si>
  <si>
    <t>Oras Oy</t>
  </si>
  <si>
    <t>1988049-0</t>
  </si>
  <si>
    <t>Huiskula Oy</t>
  </si>
  <si>
    <t>0576858-8</t>
  </si>
  <si>
    <t>Granite Partners Oy</t>
  </si>
  <si>
    <t>1972201-1</t>
  </si>
  <si>
    <t>Saether Oy</t>
  </si>
  <si>
    <t>2208574-6</t>
  </si>
  <si>
    <t>E-J Mustajärvi Oy</t>
  </si>
  <si>
    <t>0832271-7</t>
  </si>
  <si>
    <t>Taito Pirkanmaa Oy</t>
  </si>
  <si>
    <t>0349328-5</t>
  </si>
  <si>
    <t>Ikata/Sisustustekstiili/opp.</t>
  </si>
  <si>
    <t>Tampereen Väripalvelu Oy</t>
  </si>
  <si>
    <t>2215930-3</t>
  </si>
  <si>
    <t>0346890-1</t>
  </si>
  <si>
    <t>Trico Avoin yhtiö</t>
  </si>
  <si>
    <t>1929336-8</t>
  </si>
  <si>
    <t>Palpa Lasi Oy</t>
  </si>
  <si>
    <t>2443487-4</t>
  </si>
  <si>
    <t>Keskipakovalu Oy</t>
  </si>
  <si>
    <t>0154188-8</t>
  </si>
  <si>
    <t>Rowema Oy</t>
  </si>
  <si>
    <t>0529893-4</t>
  </si>
  <si>
    <t>Koroisten Puutarha Oy</t>
  </si>
  <si>
    <t>0217562-1</t>
  </si>
  <si>
    <t>Finntensid Oy</t>
  </si>
  <si>
    <t>1980502-8</t>
  </si>
  <si>
    <t>Emport Oy</t>
  </si>
  <si>
    <t>0786257-8</t>
  </si>
  <si>
    <t>Manse Models Oy</t>
  </si>
  <si>
    <t>3251400-6</t>
  </si>
  <si>
    <t>Kuljetusliike Sami Koskinen Oy</t>
  </si>
  <si>
    <t>1104638-9</t>
  </si>
  <si>
    <t>Metallityö Välimäki Oy</t>
  </si>
  <si>
    <t>0545266-3</t>
  </si>
  <si>
    <t>Tuori Distilling Company oy</t>
  </si>
  <si>
    <t>2874445-8</t>
  </si>
  <si>
    <t>0415301-2</t>
  </si>
  <si>
    <t>Osara/Luonto ja ymp./Muu palv.</t>
  </si>
  <si>
    <t>MSKK/Rak ja talotekn/Muu palv.</t>
  </si>
  <si>
    <t>Painotalo Eloranta Oy</t>
  </si>
  <si>
    <t>1794976-5</t>
  </si>
  <si>
    <t>Wihuri Oy</t>
  </si>
  <si>
    <t>2557856-2</t>
  </si>
  <si>
    <t>Diter Oy</t>
  </si>
  <si>
    <t>0200469-7</t>
  </si>
  <si>
    <t>Uustaas Oy ja Kymin Palokärki</t>
  </si>
  <si>
    <t>2123109-4</t>
  </si>
  <si>
    <t>Beeduuri Oy</t>
  </si>
  <si>
    <t>0722501-8</t>
  </si>
  <si>
    <t>Idhair Finland Oy</t>
  </si>
  <si>
    <t>1885241-2</t>
  </si>
  <si>
    <t>Finlandia Kirja Oy</t>
  </si>
  <si>
    <t>2903116-9</t>
  </si>
  <si>
    <t>Vammalan Yrittäjät Ry</t>
  </si>
  <si>
    <t>1615901-6</t>
  </si>
  <si>
    <t>Alarm Control Alco Oy Ab</t>
  </si>
  <si>
    <t>1581739-8</t>
  </si>
  <si>
    <t>Yhteinen opetus/opinto-ohjaus</t>
  </si>
  <si>
    <t>Maalaishotelli Morva Oy</t>
  </si>
  <si>
    <t>2394277-0</t>
  </si>
  <si>
    <t>Lindfors Yrityskoulutukset Oy</t>
  </si>
  <si>
    <t>2164672-4</t>
  </si>
  <si>
    <t>KiiltoClean Oy</t>
  </si>
  <si>
    <t>1799926-0</t>
  </si>
  <si>
    <t>Frameda Oy</t>
  </si>
  <si>
    <t>2634753-9</t>
  </si>
  <si>
    <t>Lasiliike Harjula Ky</t>
  </si>
  <si>
    <t>0498503-8</t>
  </si>
  <si>
    <t>Nem Agency Oy</t>
  </si>
  <si>
    <t>2467817-4</t>
  </si>
  <si>
    <t>0893138-7</t>
  </si>
  <si>
    <t>Plektra Trading Oy</t>
  </si>
  <si>
    <t>3152593-4</t>
  </si>
  <si>
    <t>HY+ Oy</t>
  </si>
  <si>
    <t>2764406-8</t>
  </si>
  <si>
    <t>Parage Oy</t>
  </si>
  <si>
    <t>2883508-5</t>
  </si>
  <si>
    <t>Seppälän Ratsastuskoulu Oy</t>
  </si>
  <si>
    <t>3016971-2</t>
  </si>
  <si>
    <t>Arts &amp; Crafts Restaurants Oy</t>
  </si>
  <si>
    <t>2636882-3</t>
  </si>
  <si>
    <t>Mesimestari Oy</t>
  </si>
  <si>
    <t>2468459-0</t>
  </si>
  <si>
    <t>Talokkoyhtiöt Oy</t>
  </si>
  <si>
    <t>2560200-8</t>
  </si>
  <si>
    <t>Ikaal lukio/Muu oppilashuolto</t>
  </si>
  <si>
    <t>WELLA Finland Oy</t>
  </si>
  <si>
    <t>2735896-9</t>
  </si>
  <si>
    <t>Lem-Kem Oy</t>
  </si>
  <si>
    <t>0600103-9</t>
  </si>
  <si>
    <t>Tuurin Lehti Oy</t>
  </si>
  <si>
    <t>1048945-2</t>
  </si>
  <si>
    <t>Finnair Oyj</t>
  </si>
  <si>
    <t>0108023-3</t>
  </si>
  <si>
    <t>TK-Laitehuolto Oy</t>
  </si>
  <si>
    <t>0907124-3</t>
  </si>
  <si>
    <t>Kaleva365 Oy</t>
  </si>
  <si>
    <t>2715049-8</t>
  </si>
  <si>
    <t>Katin Kosmetik Oy</t>
  </si>
  <si>
    <t>2260361-1</t>
  </si>
  <si>
    <t>Savon Media Oy</t>
  </si>
  <si>
    <t>0576753-4</t>
  </si>
  <si>
    <t>Vilppulankosken ravintola Oy</t>
  </si>
  <si>
    <t>2889375-2</t>
  </si>
  <si>
    <t>Sandvik Coromant Finland Oy</t>
  </si>
  <si>
    <t>0154963-6</t>
  </si>
  <si>
    <t>Helsingin Rauta Oy</t>
  </si>
  <si>
    <t>0176744-9</t>
  </si>
  <si>
    <t>Marieblats Oy</t>
  </si>
  <si>
    <t>0901094-2</t>
  </si>
  <si>
    <t>VAK/Opiskelijarav.myynti</t>
  </si>
  <si>
    <t>Electrolux Professional Oy</t>
  </si>
  <si>
    <t>0816444-8</t>
  </si>
  <si>
    <t>Virtasen Moottori Oy</t>
  </si>
  <si>
    <t>0139509-1</t>
  </si>
  <si>
    <t>Väri-Komonen Oy</t>
  </si>
  <si>
    <t>0580226-4</t>
  </si>
  <si>
    <t>Parkanon Säästökulma Oy</t>
  </si>
  <si>
    <t>0136284-7</t>
  </si>
  <si>
    <t>TPA/Koulutusvienti</t>
  </si>
  <si>
    <t>Kemion Oy</t>
  </si>
  <si>
    <t>2557797-3</t>
  </si>
  <si>
    <t>Ikaalisten Vesi Oy</t>
  </si>
  <si>
    <t>0133015-9</t>
  </si>
  <si>
    <t>Stark Suomi Oy</t>
  </si>
  <si>
    <t>2043575-7</t>
  </si>
  <si>
    <t>Aawee Oy</t>
  </si>
  <si>
    <t>1825099-9</t>
  </si>
  <si>
    <t>Osara/Luonto ja ymp./Opetusm.j</t>
  </si>
  <si>
    <t>HuKo/Tilojen ja kal.vuokr./Kok</t>
  </si>
  <si>
    <t>Murikanranta Oy</t>
  </si>
  <si>
    <t>0891958-0</t>
  </si>
  <si>
    <t>Rantavaaran Kukkakauppa Ky</t>
  </si>
  <si>
    <t>0832273-3</t>
  </si>
  <si>
    <t>Mäntän Klubi Oy</t>
  </si>
  <si>
    <t>2394510-3</t>
  </si>
  <si>
    <t>Marilla Oy</t>
  </si>
  <si>
    <t>2306845-4</t>
  </si>
  <si>
    <t>Pispalasi Oy</t>
  </si>
  <si>
    <t>0648585-4</t>
  </si>
  <si>
    <t>Vastuu Group Oy</t>
  </si>
  <si>
    <t>2327327-1</t>
  </si>
  <si>
    <t>Parkanon Rakennussähkö Oy</t>
  </si>
  <si>
    <t>0600565-4</t>
  </si>
  <si>
    <t>Parkanon Kodinkone Oy</t>
  </si>
  <si>
    <t>0604757-1</t>
  </si>
  <si>
    <t>VAK/TeLi/Sähkö/oppilast.3</t>
  </si>
  <si>
    <t>Team Satulasepät Ky</t>
  </si>
  <si>
    <t>0983509-8</t>
  </si>
  <si>
    <t>Camtek Oy</t>
  </si>
  <si>
    <t>0529873-1</t>
  </si>
  <si>
    <t>2460281-5</t>
  </si>
  <si>
    <t>Domus Classica Oy</t>
  </si>
  <si>
    <t>2185236-8</t>
  </si>
  <si>
    <t>Liuskemestarit &amp; Co Oy</t>
  </si>
  <si>
    <t>0986804-1</t>
  </si>
  <si>
    <t>Tujuka Oy Ab</t>
  </si>
  <si>
    <t>1853494-0</t>
  </si>
  <si>
    <t>Thinking Portfolio Oy</t>
  </si>
  <si>
    <t>1712122-0</t>
  </si>
  <si>
    <t>Jäähdytystaso Oy</t>
  </si>
  <si>
    <t>1460482-5</t>
  </si>
  <si>
    <t>Holiday Club Tampereen Kylpylä</t>
  </si>
  <si>
    <t>2033337-1</t>
  </si>
  <si>
    <t>Tokki Oy</t>
  </si>
  <si>
    <t>2257910-5</t>
  </si>
  <si>
    <t>Osara LuPi Kalusto- ja laite</t>
  </si>
  <si>
    <t>0275936-0</t>
  </si>
  <si>
    <t>Hårologi Finland Oy Ab</t>
  </si>
  <si>
    <t>0935799-7</t>
  </si>
  <si>
    <t>Löytötex Oy</t>
  </si>
  <si>
    <t>0416711-5</t>
  </si>
  <si>
    <t>Erkki Salminen Oy</t>
  </si>
  <si>
    <t>0283049-7</t>
  </si>
  <si>
    <t>Turner Service Oy</t>
  </si>
  <si>
    <t>3192102-1</t>
  </si>
  <si>
    <t>Äetsän Vuokrakone Oy</t>
  </si>
  <si>
    <t>0530569-8</t>
  </si>
  <si>
    <t>Otavamedia Oy</t>
  </si>
  <si>
    <t>0196807-2</t>
  </si>
  <si>
    <t>Liikennevirta Oy</t>
  </si>
  <si>
    <t>2588986-2</t>
  </si>
  <si>
    <t>Machinery Oy</t>
  </si>
  <si>
    <t>0111169-3</t>
  </si>
  <si>
    <t>0117040-7</t>
  </si>
  <si>
    <t>Seiskatalli Oy</t>
  </si>
  <si>
    <t>2028798-5</t>
  </si>
  <si>
    <t>TKTO/Sisustus/oppilast.</t>
  </si>
  <si>
    <t>System Lahti Oy/kotieläintarvi</t>
  </si>
  <si>
    <t>0951651-3</t>
  </si>
  <si>
    <t>Heikin Paja ky</t>
  </si>
  <si>
    <t>0923604-4</t>
  </si>
  <si>
    <t>Publico Oy</t>
  </si>
  <si>
    <t>0907423-3</t>
  </si>
  <si>
    <t>Eläinjätteen hävityspalvelu</t>
  </si>
  <si>
    <t>Maisematukku Oy</t>
  </si>
  <si>
    <t>3137549-7</t>
  </si>
  <si>
    <t>Salmivirta Yhtiöt Oy Korjaamo</t>
  </si>
  <si>
    <t>0580809-2</t>
  </si>
  <si>
    <t>Kuljetus T.Roskala ky</t>
  </si>
  <si>
    <t>2162000-6</t>
  </si>
  <si>
    <t>Tracwest Oy / Rentti konevuokr</t>
  </si>
  <si>
    <t>1447405-5</t>
  </si>
  <si>
    <t>SAR-Machine Oy</t>
  </si>
  <si>
    <t>0477395-9</t>
  </si>
  <si>
    <t>Sorvisoppi.com</t>
  </si>
  <si>
    <t>3334544-3</t>
  </si>
  <si>
    <t>Rauman Tehopakkaus Oy</t>
  </si>
  <si>
    <t>0921476-9</t>
  </si>
  <si>
    <t>Harri A Mikkola Oy</t>
  </si>
  <si>
    <t>1899175-4</t>
  </si>
  <si>
    <t>Stena Recycling Oy</t>
  </si>
  <si>
    <t>1956402-5</t>
  </si>
  <si>
    <t>Stén &amp; Co Oy Ab</t>
  </si>
  <si>
    <t>0114140-3</t>
  </si>
  <si>
    <t>Eräsalon Kirjapaino Oy</t>
  </si>
  <si>
    <t>3259737-4</t>
  </si>
  <si>
    <t>0617739-2</t>
  </si>
  <si>
    <t>Incoach Esport Oy</t>
  </si>
  <si>
    <t>2950174-9</t>
  </si>
  <si>
    <t>Industria Center Oy</t>
  </si>
  <si>
    <t>0774593-7</t>
  </si>
  <si>
    <t>Seinäjoen Pika-Pesu Oy</t>
  </si>
  <si>
    <t>0182093-2</t>
  </si>
  <si>
    <t>Konto Oy</t>
  </si>
  <si>
    <t>2247970-2</t>
  </si>
  <si>
    <t>Bang &amp; Bonsomer Group Oy</t>
  </si>
  <si>
    <t>0103570-7</t>
  </si>
  <si>
    <t>Inspecta Sertifiointi Oy</t>
  </si>
  <si>
    <t>1065745-2</t>
  </si>
  <si>
    <t>Kauppapuutarhaliitto ry</t>
  </si>
  <si>
    <t>0201450-2</t>
  </si>
  <si>
    <t>Automaatio-Center AC Oy</t>
  </si>
  <si>
    <t>1445528-4</t>
  </si>
  <si>
    <t>KOSOL/Opiskelijarav.myynti</t>
  </si>
  <si>
    <t>Pirkanmaan Vedenkäsittely Oy</t>
  </si>
  <si>
    <t>2346477-2</t>
  </si>
  <si>
    <t>Cateva Oy</t>
  </si>
  <si>
    <t>1927433-5</t>
  </si>
  <si>
    <t>Greenstar Hotels Oy</t>
  </si>
  <si>
    <t>2190146-5</t>
  </si>
  <si>
    <t>Timelli Oy</t>
  </si>
  <si>
    <t>0904042-0</t>
  </si>
  <si>
    <t>Hämeenlinnan Liikuntahallit Oy</t>
  </si>
  <si>
    <t>1972415-6</t>
  </si>
  <si>
    <t>1025642-1</t>
  </si>
  <si>
    <t>Asetalo Oy</t>
  </si>
  <si>
    <t>0612062-8</t>
  </si>
  <si>
    <t>Rautapelto Oy</t>
  </si>
  <si>
    <t>3313713-4</t>
  </si>
  <si>
    <t>2962047-3</t>
  </si>
  <si>
    <t>Forward Forever Oy</t>
  </si>
  <si>
    <t>3112613-2</t>
  </si>
  <si>
    <t>Remonttitalo Oy</t>
  </si>
  <si>
    <t>0550778-3</t>
  </si>
  <si>
    <t>Sonepar Suomi Oy</t>
  </si>
  <si>
    <t>0213785-2</t>
  </si>
  <si>
    <t>Unilever Finland Oy</t>
  </si>
  <si>
    <t>0141907-3</t>
  </si>
  <si>
    <t>Sähköhuolto Tissari Oy</t>
  </si>
  <si>
    <t>0643624-3</t>
  </si>
  <si>
    <t>Hakalan Puutukku Oy</t>
  </si>
  <si>
    <t>0937454-3</t>
  </si>
  <si>
    <t>Ikata/Kultt./Muu palv.toim.</t>
  </si>
  <si>
    <t>TKP Tekstiilikalustepesu Oy</t>
  </si>
  <si>
    <t>2372541-8</t>
  </si>
  <si>
    <t>Suomen avoimien tietojärjestelmien keskus - COSS ry</t>
  </si>
  <si>
    <t>2447953-8</t>
  </si>
  <si>
    <t>ProPromotion Oy</t>
  </si>
  <si>
    <t>2068663-6</t>
  </si>
  <si>
    <t>Taloon.com</t>
  </si>
  <si>
    <t>1870108-3</t>
  </si>
  <si>
    <t>Piilan Optiikka Ay</t>
  </si>
  <si>
    <t>0225517-0</t>
  </si>
  <si>
    <t>Ekojärven Kuljetus Oy</t>
  </si>
  <si>
    <t>2023779-3</t>
  </si>
  <si>
    <t>Tampereen Ilmastointimiehet Oy</t>
  </si>
  <si>
    <t>2000094-8</t>
  </si>
  <si>
    <t>Kopadi Oy</t>
  </si>
  <si>
    <t>2009729-2</t>
  </si>
  <si>
    <t>Punta Oy</t>
  </si>
  <si>
    <t>0494686-4</t>
  </si>
  <si>
    <t>Finnbakels Oy</t>
  </si>
  <si>
    <t>0596824-8</t>
  </si>
  <si>
    <t>Etelä-Pohjanmaan Osuuskauppa</t>
  </si>
  <si>
    <t>0567671-2</t>
  </si>
  <si>
    <t>Levorannan Autoliike Oy</t>
  </si>
  <si>
    <t>0632208-6</t>
  </si>
  <si>
    <t>Auto-Lamminsivu Oy</t>
  </si>
  <si>
    <t>0654176-4</t>
  </si>
  <si>
    <t>Oy T. Stenbacka Ab</t>
  </si>
  <si>
    <t>2231973-3</t>
  </si>
  <si>
    <t>Tilausliikenne Prihti Oy</t>
  </si>
  <si>
    <t>1937601-6</t>
  </si>
  <si>
    <t>Yhtymäkokous</t>
  </si>
  <si>
    <t>MSKK/MaRaTa (at/eat) 1</t>
  </si>
  <si>
    <t>Valtakunnallinen valmennus- ja liikuntakeskus Oy</t>
  </si>
  <si>
    <t>1053500-9</t>
  </si>
  <si>
    <t>Wille Machines Oy</t>
  </si>
  <si>
    <t>0134790-3</t>
  </si>
  <si>
    <t>Tyrvään Konttorikone Oy</t>
  </si>
  <si>
    <t>1501135-1</t>
  </si>
  <si>
    <t>KunnonLiike Oy</t>
  </si>
  <si>
    <t>2252374-2</t>
  </si>
  <si>
    <t>PirA/opp.mater/välineet</t>
  </si>
  <si>
    <t>0935829-5</t>
  </si>
  <si>
    <t>Elämys Travel Design Oy</t>
  </si>
  <si>
    <t>2803098-1</t>
  </si>
  <si>
    <t>Uudenmaan Painehuolto Oy</t>
  </si>
  <si>
    <t>2636689-5</t>
  </si>
  <si>
    <t>Heinäsukka Oy</t>
  </si>
  <si>
    <t>0975476-5</t>
  </si>
  <si>
    <t>Suomen Tehonsiirto Oy</t>
  </si>
  <si>
    <t>1502781-2</t>
  </si>
  <si>
    <t>3195457-9</t>
  </si>
  <si>
    <t>Kankaanpään Kangaspolku Oy</t>
  </si>
  <si>
    <t>0672632-0</t>
  </si>
  <si>
    <t>Suomen Euromaster Oy</t>
  </si>
  <si>
    <t>0711042-1</t>
  </si>
  <si>
    <t>Maalaustyö T. Nummela Oy</t>
  </si>
  <si>
    <t>2466374-9</t>
  </si>
  <si>
    <t>Periscope Group Oy</t>
  </si>
  <si>
    <t>2866218-8</t>
  </si>
  <si>
    <t>Jaki tuote Oy</t>
  </si>
  <si>
    <t>2120109-8</t>
  </si>
  <si>
    <t>Lasitusliike Karhinen Oy</t>
  </si>
  <si>
    <t>0398507-9</t>
  </si>
  <si>
    <t>Turun Työpuku Oy</t>
  </si>
  <si>
    <t>0415281-0</t>
  </si>
  <si>
    <t>Royal Resorts Oy</t>
  </si>
  <si>
    <t>1527188-2</t>
  </si>
  <si>
    <t>Aurdel Finland Oy</t>
  </si>
  <si>
    <t>Mikan Konemyynti Oy</t>
  </si>
  <si>
    <t>1506343-4</t>
  </si>
  <si>
    <t>Strategiarahoitus 2023</t>
  </si>
  <si>
    <t>1797864-6</t>
  </si>
  <si>
    <t>Soraliike Pelkonen Oy</t>
  </si>
  <si>
    <t>0224783-2</t>
  </si>
  <si>
    <t>Automaatioväylä Oy</t>
  </si>
  <si>
    <t>0840741-1</t>
  </si>
  <si>
    <t>Pyymäen Leipomo Oy</t>
  </si>
  <si>
    <t>0144216-9</t>
  </si>
  <si>
    <t>0755213-1</t>
  </si>
  <si>
    <t>Osk. Rajala Oy</t>
  </si>
  <si>
    <t>0197522-1</t>
  </si>
  <si>
    <t>Olsa Ay</t>
  </si>
  <si>
    <t>0494266-0</t>
  </si>
  <si>
    <t>2369717-0</t>
  </si>
  <si>
    <t>J&amp;M Leponiemi Oy</t>
  </si>
  <si>
    <t>2887524-7</t>
  </si>
  <si>
    <t>Kuntaliitto Palvelut Oy</t>
  </si>
  <si>
    <t>2542166-1</t>
  </si>
  <si>
    <t>Jysk Oy</t>
  </si>
  <si>
    <t>1000514-7</t>
  </si>
  <si>
    <t>Tekopaikka Suomi Oy</t>
  </si>
  <si>
    <t>2384874-1</t>
  </si>
  <si>
    <t>Howspace Oy</t>
  </si>
  <si>
    <t>2153753-6</t>
  </si>
  <si>
    <t>0194367-6</t>
  </si>
  <si>
    <t>Dekomarkkinointi Oy</t>
  </si>
  <si>
    <t>0841780-4</t>
  </si>
  <si>
    <t>Osmo Mäenpää Oy</t>
  </si>
  <si>
    <t>1597931-1</t>
  </si>
  <si>
    <t>Utec Oy</t>
  </si>
  <si>
    <t>3232468-3</t>
  </si>
  <si>
    <t>Fox1 Oy</t>
  </si>
  <si>
    <t>1972029-4</t>
  </si>
  <si>
    <t>Gosse Oy</t>
  </si>
  <si>
    <t>2989259-1</t>
  </si>
  <si>
    <t>Euran Konepiste Oy</t>
  </si>
  <si>
    <t>1873034-3</t>
  </si>
  <si>
    <t>Tynnyripuiston Hotelli Oy</t>
  </si>
  <si>
    <t>2857506-8</t>
  </si>
  <si>
    <t>HuKo/LuVa/Puutarh/Koul.ja os.a</t>
  </si>
  <si>
    <t>Frantsilan Luomuyrttitila Oy</t>
  </si>
  <si>
    <t>0775726-8</t>
  </si>
  <si>
    <t>Jarvenkyla Oy</t>
  </si>
  <si>
    <t>2259189-2</t>
  </si>
  <si>
    <t>Qualtrain Ahonen Oy</t>
  </si>
  <si>
    <t>1640686-5</t>
  </si>
  <si>
    <t>0201666-3</t>
  </si>
  <si>
    <t>Maikki Media Oy</t>
  </si>
  <si>
    <t>3093176-2</t>
  </si>
  <si>
    <t>Ikikivi Oy</t>
  </si>
  <si>
    <t>0792837-0</t>
  </si>
  <si>
    <t>BookMaster Oy</t>
  </si>
  <si>
    <t>1769903-0</t>
  </si>
  <si>
    <t>Tampereen Opastemestarit Oy</t>
  </si>
  <si>
    <t>0397717-5</t>
  </si>
  <si>
    <t>Kyrön Sammutin Oy</t>
  </si>
  <si>
    <t>1449479-3</t>
  </si>
  <si>
    <t>MOW Supernova Oy</t>
  </si>
  <si>
    <t>2905784-4</t>
  </si>
  <si>
    <t>Ikaalisten Autovaruste Oy</t>
  </si>
  <si>
    <t>2418752-7</t>
  </si>
  <si>
    <t>0117009-5</t>
  </si>
  <si>
    <t>MSKK/Opiskelijarav.myynti</t>
  </si>
  <si>
    <t>Verkkokauppa Kivuton Oy</t>
  </si>
  <si>
    <t>2784557-2</t>
  </si>
  <si>
    <t>2609440-4</t>
  </si>
  <si>
    <t>0833443-5</t>
  </si>
  <si>
    <t>3DBear Oy</t>
  </si>
  <si>
    <t>2778736-8</t>
  </si>
  <si>
    <t>Peab Industri Oy</t>
  </si>
  <si>
    <t>2977551-2</t>
  </si>
  <si>
    <t>Punainen Risti Ensiapu Oy</t>
  </si>
  <si>
    <t>2843118-7</t>
  </si>
  <si>
    <t>Rensi Finland Oy</t>
  </si>
  <si>
    <t>0932478-1</t>
  </si>
  <si>
    <t>Ikata LuPi Kalusto- ja laite</t>
  </si>
  <si>
    <t>Sateen ääni Oy</t>
  </si>
  <si>
    <t>0549992-0</t>
  </si>
  <si>
    <t>Sako Oy</t>
  </si>
  <si>
    <t>0643564-6</t>
  </si>
  <si>
    <t>NDT-Team Oy</t>
  </si>
  <si>
    <t>2196107-0</t>
  </si>
  <si>
    <t>0221238-1</t>
  </si>
  <si>
    <t>Satagrafia Ky</t>
  </si>
  <si>
    <t>0649918-0</t>
  </si>
  <si>
    <t>Tilausliikenne Are Oy</t>
  </si>
  <si>
    <t>2106730-0</t>
  </si>
  <si>
    <t>0878260-9</t>
  </si>
  <si>
    <t>Iisakki LuPi Rakentaminen</t>
  </si>
  <si>
    <t>Wallius Hitsauskoneet Oy</t>
  </si>
  <si>
    <t>3008168-1</t>
  </si>
  <si>
    <t>Tallink Silja Oy</t>
  </si>
  <si>
    <t>0114296-7</t>
  </si>
  <si>
    <t>Pyörä-Nurmi Oy</t>
  </si>
  <si>
    <t>0204478-7</t>
  </si>
  <si>
    <t>Vision Factory Oy</t>
  </si>
  <si>
    <t>0862268-0</t>
  </si>
  <si>
    <t>1477753-1</t>
  </si>
  <si>
    <t>1604676-7</t>
  </si>
  <si>
    <t>2471456-9</t>
  </si>
  <si>
    <t>Awutek Oy</t>
  </si>
  <si>
    <t>1838289-5</t>
  </si>
  <si>
    <t>Hydri-osa Oy</t>
  </si>
  <si>
    <t>0959656-8</t>
  </si>
  <si>
    <t>Iisakki/LVI-ala/oppilast 3</t>
  </si>
  <si>
    <t>Lumo Laukontori Oy</t>
  </si>
  <si>
    <t>2871976-2</t>
  </si>
  <si>
    <t>Voidis Oy</t>
  </si>
  <si>
    <t>2335800-5</t>
  </si>
  <si>
    <t>Koulutus Peltomäki Oy</t>
  </si>
  <si>
    <t>2242938-5</t>
  </si>
  <si>
    <t>Keinänen Group Oy</t>
  </si>
  <si>
    <t>1749330-7</t>
  </si>
  <si>
    <t>Taidosto Osuuskunta</t>
  </si>
  <si>
    <t>1900018-2</t>
  </si>
  <si>
    <t>Finnlacto Oy</t>
  </si>
  <si>
    <t>2582183-3</t>
  </si>
  <si>
    <t>Pirkanmaan Kiva-bussi Oy</t>
  </si>
  <si>
    <t>0648576-6</t>
  </si>
  <si>
    <t>TPA/Avustus Talouskoulun sääti</t>
  </si>
  <si>
    <t>Gardner Denver Oy</t>
  </si>
  <si>
    <t>1107955-1</t>
  </si>
  <si>
    <t>Nuohouspalvelu Kallio Oy</t>
  </si>
  <si>
    <t>1983157-6</t>
  </si>
  <si>
    <t>Suomen Hopealinja Oy</t>
  </si>
  <si>
    <t>0146765-7</t>
  </si>
  <si>
    <t>Pirtin Kehräämö Oy</t>
  </si>
  <si>
    <t>0217167-1</t>
  </si>
  <si>
    <t>KPMG Julkistarkastus Oy</t>
  </si>
  <si>
    <t>1064970-0</t>
  </si>
  <si>
    <t>Tilien ja hall. tarkastus</t>
  </si>
  <si>
    <t>Migmen Oy</t>
  </si>
  <si>
    <t>0947338-1</t>
  </si>
  <si>
    <t>Metsänhoitoyhd Pirkanmaa ry</t>
  </si>
  <si>
    <t>0950470-7</t>
  </si>
  <si>
    <t>Tampereen Särkänniemi Oy</t>
  </si>
  <si>
    <t>0155085-6</t>
  </si>
  <si>
    <t>HR excellence Womde Oy</t>
  </si>
  <si>
    <t>2834222-1</t>
  </si>
  <si>
    <t>Montaco Oy</t>
  </si>
  <si>
    <t>3146356-9</t>
  </si>
  <si>
    <t>Suomen 3D-ratkaisut Oy</t>
  </si>
  <si>
    <t>2751247-9</t>
  </si>
  <si>
    <t>Tiitiset Oy</t>
  </si>
  <si>
    <t>0988411-3</t>
  </si>
  <si>
    <t>Toika Oy</t>
  </si>
  <si>
    <t>3108494-8</t>
  </si>
  <si>
    <t>Mäntän Rengaspiste Oy</t>
  </si>
  <si>
    <t>2177044-2</t>
  </si>
  <si>
    <t>Ravintola Andalucia Ky</t>
  </si>
  <si>
    <t>0864016-8</t>
  </si>
  <si>
    <t>Marron Wood Oy</t>
  </si>
  <si>
    <t>1787466-0</t>
  </si>
  <si>
    <t>Karprint Oy</t>
  </si>
  <si>
    <t>0202999-0</t>
  </si>
  <si>
    <t>Joenniemen Ravintolat Oy</t>
  </si>
  <si>
    <t>2602340-3</t>
  </si>
  <si>
    <t>Kukkapuoti Unikko Oy</t>
  </si>
  <si>
    <t>2352488-6</t>
  </si>
  <si>
    <t>Villeria Oy</t>
  </si>
  <si>
    <t>3233807-3</t>
  </si>
  <si>
    <t>0500703-3</t>
  </si>
  <si>
    <t>Boom Corp Oy</t>
  </si>
  <si>
    <t>3126782-4</t>
  </si>
  <si>
    <t>Auto FiLaRo Oy</t>
  </si>
  <si>
    <t>2320015-2</t>
  </si>
  <si>
    <t>KL-Parts Oy</t>
  </si>
  <si>
    <t>2150388-9</t>
  </si>
  <si>
    <t>Kirjapainonmäki Oy</t>
  </si>
  <si>
    <t>1502404-8</t>
  </si>
  <si>
    <t>Sesoma Oy</t>
  </si>
  <si>
    <t>1014672-4</t>
  </si>
  <si>
    <t>Lamminen Works Oy</t>
  </si>
  <si>
    <t>0646920-5</t>
  </si>
  <si>
    <t>Backstage Rock Shop Oy</t>
  </si>
  <si>
    <t>2431923-5</t>
  </si>
  <si>
    <t>Bellurum Oy</t>
  </si>
  <si>
    <t>2934142-3</t>
  </si>
  <si>
    <t>A.Ahlström Kiinteistöt Oy</t>
  </si>
  <si>
    <t>2566575-4</t>
  </si>
  <si>
    <t>Aon Assessment (Finland) Oy</t>
  </si>
  <si>
    <t>2355768-8</t>
  </si>
  <si>
    <t>Emron Oy</t>
  </si>
  <si>
    <t>2863217-3</t>
  </si>
  <si>
    <t>Ikol/Liiketalous/Muu palv.toim</t>
  </si>
  <si>
    <t>Lamminpään Puutarha Oy</t>
  </si>
  <si>
    <t>2145162-8</t>
  </si>
  <si>
    <t>0667043-5</t>
  </si>
  <si>
    <t>JTHT House Oy</t>
  </si>
  <si>
    <t>3280508-1</t>
  </si>
  <si>
    <t>Kuljetus ja muutto O Jylhä Oy</t>
  </si>
  <si>
    <t>0736647-8</t>
  </si>
  <si>
    <t>0996507-9</t>
  </si>
  <si>
    <t>KWC Nordics Oy</t>
  </si>
  <si>
    <t>0958736-2</t>
  </si>
  <si>
    <t>Ståhlberg Kahvilat Oy</t>
  </si>
  <si>
    <t>3005345-3</t>
  </si>
  <si>
    <t>Loimi-Hämeen jätehuolto Oy</t>
  </si>
  <si>
    <t>1027700-3</t>
  </si>
  <si>
    <t>1915277-6</t>
  </si>
  <si>
    <t>MTV Oy</t>
  </si>
  <si>
    <t>1093944-1</t>
  </si>
  <si>
    <t>Kilavet Oy</t>
  </si>
  <si>
    <t>2916205-4</t>
  </si>
  <si>
    <t>Tampere-talo Osakeyhtiö</t>
  </si>
  <si>
    <t>0706363-7</t>
  </si>
  <si>
    <t>Digiagentti Oy</t>
  </si>
  <si>
    <t>2941983-3</t>
  </si>
  <si>
    <t>SataBetoni Oy</t>
  </si>
  <si>
    <t>2682145-6</t>
  </si>
  <si>
    <t>Ympäristökustannus Oy</t>
  </si>
  <si>
    <t>0366233-3</t>
  </si>
  <si>
    <t>Huopaniemen Puu Oy</t>
  </si>
  <si>
    <t>2000520-4</t>
  </si>
  <si>
    <t>Kuljetusliike Finska Oy</t>
  </si>
  <si>
    <t>0666557-2</t>
  </si>
  <si>
    <t>Zenex Computing Oy</t>
  </si>
  <si>
    <t>0917481-6</t>
  </si>
  <si>
    <t>SN-Kiinnike Tampere Oy</t>
  </si>
  <si>
    <t>2808988-7</t>
  </si>
  <si>
    <t>Pielisen Retki Oy</t>
  </si>
  <si>
    <t>3344978-7</t>
  </si>
  <si>
    <t>Marjoniemi Garden Oy</t>
  </si>
  <si>
    <t>2538742-4</t>
  </si>
  <si>
    <t>Innomac Oy</t>
  </si>
  <si>
    <t>2310890-3</t>
  </si>
  <si>
    <t>Taplause Oy</t>
  </si>
  <si>
    <t>2482415-1</t>
  </si>
  <si>
    <t>Laatuterä Oy</t>
  </si>
  <si>
    <t>0632560-7</t>
  </si>
  <si>
    <t>Mamageri Oy</t>
  </si>
  <si>
    <t>3021591-8</t>
  </si>
  <si>
    <t>Kassavirtanen Oy</t>
  </si>
  <si>
    <t>2803711-2</t>
  </si>
  <si>
    <t>Jokasafe Oy</t>
  </si>
  <si>
    <t>0208664-5</t>
  </si>
  <si>
    <t>Malmberg-Elektro Oy</t>
  </si>
  <si>
    <t>0936259-3</t>
  </si>
  <si>
    <t>PTCServices Oy</t>
  </si>
  <si>
    <t>1916929-5</t>
  </si>
  <si>
    <t>Kulta Casino Oy</t>
  </si>
  <si>
    <t>0591586-7</t>
  </si>
  <si>
    <t>Hämeenkyrön Rengaspalvelu Oy</t>
  </si>
  <si>
    <t>3216799-9</t>
  </si>
  <si>
    <t>2479656-8</t>
  </si>
  <si>
    <t>Hämeen Hyötymateriaalit Oy</t>
  </si>
  <si>
    <t>1928467-2</t>
  </si>
  <si>
    <t>Abb Oy</t>
  </si>
  <si>
    <t>0763403-0</t>
  </si>
  <si>
    <t>Aluekehitys</t>
  </si>
  <si>
    <t>Tyrvään Tilausliikenne Oy</t>
  </si>
  <si>
    <t>1438231-0</t>
  </si>
  <si>
    <t>ARW Huolto Oy</t>
  </si>
  <si>
    <t>2178910-0</t>
  </si>
  <si>
    <t>Rauman Hovi Oy</t>
  </si>
  <si>
    <t>0957549-2</t>
  </si>
  <si>
    <t>Cabassi Oy</t>
  </si>
  <si>
    <t>0600127-4</t>
  </si>
  <si>
    <t>Fament Oy</t>
  </si>
  <si>
    <t>2789202-9</t>
  </si>
  <si>
    <t>HuKo/TeLi/Koul. ja os.m. 3</t>
  </si>
  <si>
    <t>Keuruun Saha ja Erä Oy</t>
  </si>
  <si>
    <t>0291594-1</t>
  </si>
  <si>
    <t>Sulava Oy</t>
  </si>
  <si>
    <t>2371068-9</t>
  </si>
  <si>
    <t>Paulan Konditoria Oy</t>
  </si>
  <si>
    <t>2616136-3</t>
  </si>
  <si>
    <t>Majoituspalvelu Forenom Oy</t>
  </si>
  <si>
    <t>1633241-3</t>
  </si>
  <si>
    <t>ER Finland Oy Ab</t>
  </si>
  <si>
    <t>Vaasan Suojaverho Oy</t>
  </si>
  <si>
    <t>0949742-0</t>
  </si>
  <si>
    <t>Pyhäjärviseudun Paikallislehti Oy</t>
  </si>
  <si>
    <t>1110283-8</t>
  </si>
  <si>
    <t>Hautala Service Oy</t>
  </si>
  <si>
    <t>1451821-4</t>
  </si>
  <si>
    <t>Itumic Oy</t>
  </si>
  <si>
    <t>2160176-1</t>
  </si>
  <si>
    <t>Online Solutions Oy</t>
  </si>
  <si>
    <t>0997879-3</t>
  </si>
  <si>
    <t>Presto Paloturvallisuus Oy</t>
  </si>
  <si>
    <t>0520704-3</t>
  </si>
  <si>
    <t>Satagroup Oy</t>
  </si>
  <si>
    <t>2094884-3</t>
  </si>
  <si>
    <t>Wulff Oy Ab</t>
  </si>
  <si>
    <t>1717232-7</t>
  </si>
  <si>
    <t>Camfil Oy</t>
  </si>
  <si>
    <t>0350949-4</t>
  </si>
  <si>
    <t>Pookstaavi Oy</t>
  </si>
  <si>
    <t>2380488-8</t>
  </si>
  <si>
    <t>Elkris Oy Tools</t>
  </si>
  <si>
    <t>2038392-6</t>
  </si>
  <si>
    <t>Yhteinen opet/Tekniikan alat 3</t>
  </si>
  <si>
    <t>Vossi Group Oy</t>
  </si>
  <si>
    <t>0910142-2</t>
  </si>
  <si>
    <t>Novarbo Oy</t>
  </si>
  <si>
    <t>2346619-6</t>
  </si>
  <si>
    <t>Junttilan Tila Oy</t>
  </si>
  <si>
    <t>2375666-0</t>
  </si>
  <si>
    <t>SFD Hair Oy</t>
  </si>
  <si>
    <t>0494509-5</t>
  </si>
  <si>
    <t>Expomatto Oy</t>
  </si>
  <si>
    <t>0696597-0</t>
  </si>
  <si>
    <t>TKTO/Kultt./Muu palv.toim.</t>
  </si>
  <si>
    <t>Kuljetus Marko Kanerva Oy</t>
  </si>
  <si>
    <t>3186754-7</t>
  </si>
  <si>
    <t>Villilä Korporaatio Osuuskunta</t>
  </si>
  <si>
    <t>2278639-0</t>
  </si>
  <si>
    <t>Kodinkoneliike Ykköspiste Oy</t>
  </si>
  <si>
    <t>0157799-5</t>
  </si>
  <si>
    <t>Ympäristörakennus Ahola Oy</t>
  </si>
  <si>
    <t>1833243-3</t>
  </si>
  <si>
    <t>Lentävä Liitutaulu Oy</t>
  </si>
  <si>
    <t>2500405-9</t>
  </si>
  <si>
    <t>Posti Jakelu Oy</t>
  </si>
  <si>
    <t>Standa Oy</t>
  </si>
  <si>
    <t>2989581-3</t>
  </si>
  <si>
    <t>Hotelli Sointu Oy</t>
  </si>
  <si>
    <t>3199108-9</t>
  </si>
  <si>
    <t>Pilkington Autoglass Oy</t>
  </si>
  <si>
    <t>3092018-2</t>
  </si>
  <si>
    <t>Kuljetus Veljekset Mäkelä Oy</t>
  </si>
  <si>
    <t>3221715-9</t>
  </si>
  <si>
    <t>Qualitas NDT Oy</t>
  </si>
  <si>
    <t>1839936-3</t>
  </si>
  <si>
    <t>Pathtrace Oy</t>
  </si>
  <si>
    <t>0884401-3</t>
  </si>
  <si>
    <t>Prännäri Ikaalinen Oy</t>
  </si>
  <si>
    <t>2937405-7</t>
  </si>
  <si>
    <t>melkein7veljestä Oy</t>
  </si>
  <si>
    <t>3112127-8</t>
  </si>
  <si>
    <t>TosiJano Oy</t>
  </si>
  <si>
    <t>3122854-2</t>
  </si>
  <si>
    <t>Vaakatalo Oy</t>
  </si>
  <si>
    <t>2076540-6</t>
  </si>
  <si>
    <t>Suunnittelutsto Hakala Oy</t>
  </si>
  <si>
    <t>0398314-5</t>
  </si>
  <si>
    <t>0883555-5</t>
  </si>
  <si>
    <t>Zoro Ky/Think Today</t>
  </si>
  <si>
    <t>2152315-0</t>
  </si>
  <si>
    <t>0662678-4</t>
  </si>
  <si>
    <t>Ari Green Plant Oy</t>
  </si>
  <si>
    <t>2118769-5</t>
  </si>
  <si>
    <t>Talokuntoon.fi Oy</t>
  </si>
  <si>
    <t>2749165-5</t>
  </si>
  <si>
    <t>AEL-Amiedu Oy</t>
  </si>
  <si>
    <t>3008326-5</t>
  </si>
  <si>
    <t>Jennin Herkkupalvelu Oy</t>
  </si>
  <si>
    <t>2750699-2</t>
  </si>
  <si>
    <t>Kalaliike Holmberg KY</t>
  </si>
  <si>
    <t>3159604-6</t>
  </si>
  <si>
    <t>AFRY Buildings Finland Oy</t>
  </si>
  <si>
    <t>2911977-7</t>
  </si>
  <si>
    <t>Humuspehtoori Oy</t>
  </si>
  <si>
    <t>0757862-2</t>
  </si>
  <si>
    <t>Ykkös-Teline Oy</t>
  </si>
  <si>
    <t>0727873-4</t>
  </si>
  <si>
    <t>Sonetta Oy</t>
  </si>
  <si>
    <t>2032763-3</t>
  </si>
  <si>
    <t>CHG-MERIDIAN Finland Oy</t>
  </si>
  <si>
    <t>2126619-0</t>
  </si>
  <si>
    <t>Nettiniilo Oy</t>
  </si>
  <si>
    <t>2730021-4</t>
  </si>
  <si>
    <t>PLM Group Suomi Oy</t>
  </si>
  <si>
    <t>1446694-4</t>
  </si>
  <si>
    <t>1538160-0</t>
  </si>
  <si>
    <t>Timanttityöt P.Nieminen Oy</t>
  </si>
  <si>
    <t>2420501-9</t>
  </si>
  <si>
    <t>Vammaspaino Oy</t>
  </si>
  <si>
    <t>0144252-1</t>
  </si>
  <si>
    <t>Pohjois-Suomen Sähkö Oy</t>
  </si>
  <si>
    <t>2235032-7</t>
  </si>
  <si>
    <t>Modeo Oy</t>
  </si>
  <si>
    <t>2028267-4</t>
  </si>
  <si>
    <t>Sähkötyö Ari Heinonen Oy</t>
  </si>
  <si>
    <t>1542206-2</t>
  </si>
  <si>
    <t>A-Lehdet Oy</t>
  </si>
  <si>
    <t>1708790-7</t>
  </si>
  <si>
    <t>1053172-9</t>
  </si>
  <si>
    <t>Konttorilaite Tampere</t>
  </si>
  <si>
    <t>2206142-9</t>
  </si>
  <si>
    <t>1548001-9</t>
  </si>
  <si>
    <t>Latama Ky</t>
  </si>
  <si>
    <t>0350643-7</t>
  </si>
  <si>
    <t>Keräämö Oy</t>
  </si>
  <si>
    <t>3344353-7</t>
  </si>
  <si>
    <t>Anetcom Oy</t>
  </si>
  <si>
    <t>2650818-7</t>
  </si>
  <si>
    <t>Netland Oy</t>
  </si>
  <si>
    <t>1054728-8</t>
  </si>
  <si>
    <t>Tössä Oy</t>
  </si>
  <si>
    <t>0666373-7</t>
  </si>
  <si>
    <t>Iisakki LuPi Kalusto- ja laite</t>
  </si>
  <si>
    <t>PunaMusta Oy</t>
  </si>
  <si>
    <t>1735961-8</t>
  </si>
  <si>
    <t>Laatuteltta Vilkman Ky</t>
  </si>
  <si>
    <t>0202700-4</t>
  </si>
  <si>
    <t>TCD Consulting and Research Oy</t>
  </si>
  <si>
    <t>2572597-2</t>
  </si>
  <si>
    <t>AK Kukkula Oy</t>
  </si>
  <si>
    <t>3119011-8</t>
  </si>
  <si>
    <t>Puutarhaliike Helle Oy</t>
  </si>
  <si>
    <t>0690165-1</t>
  </si>
  <si>
    <t>Metallityöliike Juholat Oy</t>
  </si>
  <si>
    <t>1010691-7</t>
  </si>
  <si>
    <t>Suomen Akut Oy</t>
  </si>
  <si>
    <t>0192039-4</t>
  </si>
  <si>
    <t>Camp Scandinavia Oy</t>
  </si>
  <si>
    <t>0282300-0</t>
  </si>
  <si>
    <t>SignMax AB</t>
  </si>
  <si>
    <t>2290515-0</t>
  </si>
  <si>
    <t>Capio Oy</t>
  </si>
  <si>
    <t>1738346-6</t>
  </si>
  <si>
    <t>Tietoset Oy</t>
  </si>
  <si>
    <t>1090632-4</t>
  </si>
  <si>
    <t>Parkanon Keräystuote Oy</t>
  </si>
  <si>
    <t>2567854-7</t>
  </si>
  <si>
    <t>Suomen Pikipojat Oy</t>
  </si>
  <si>
    <t>2547979-1</t>
  </si>
  <si>
    <t>Sastamalan Taksipalvelu Oy</t>
  </si>
  <si>
    <t>3139196-4</t>
  </si>
  <si>
    <t>MSKK/Rakentaminen</t>
  </si>
  <si>
    <t>Wesentra Oy</t>
  </si>
  <si>
    <t>2711459-3</t>
  </si>
  <si>
    <t>Hämeen Kate Oy</t>
  </si>
  <si>
    <t>1844800-6</t>
  </si>
  <si>
    <t>Majacca Oy</t>
  </si>
  <si>
    <t>3171942-1</t>
  </si>
  <si>
    <t>Porkka Finland Oy</t>
  </si>
  <si>
    <t>0158104-6</t>
  </si>
  <si>
    <t>HuKo/Valma ja Tuva</t>
  </si>
  <si>
    <t>Sähkösuomilammi Oy</t>
  </si>
  <si>
    <t>0470722-2</t>
  </si>
  <si>
    <t>Matka Mäkelä Oy</t>
  </si>
  <si>
    <t>0912033-2</t>
  </si>
  <si>
    <t>Temrex oy</t>
  </si>
  <si>
    <t>1862512-1</t>
  </si>
  <si>
    <t>Ah-toimi Oy</t>
  </si>
  <si>
    <t>2084095-5</t>
  </si>
  <si>
    <t>Kiivia Oy</t>
  </si>
  <si>
    <t>2159307-9</t>
  </si>
  <si>
    <t>Labroc Oy</t>
  </si>
  <si>
    <t>2544332-6</t>
  </si>
  <si>
    <t>Suomen Valokaapeli Oy</t>
  </si>
  <si>
    <t>2395727-8</t>
  </si>
  <si>
    <t>TPA/Kalusto-ja laiteh./yht.</t>
  </si>
  <si>
    <t>Skönön Safarit Oy</t>
  </si>
  <si>
    <t>1542933-6</t>
  </si>
  <si>
    <t>Kivikylän Kotipalvaamo Oy</t>
  </si>
  <si>
    <t>0913894-6</t>
  </si>
  <si>
    <t>Bauhaus &amp; Co.Ky</t>
  </si>
  <si>
    <t>1580679-5</t>
  </si>
  <si>
    <t>Majuri Group Oy</t>
  </si>
  <si>
    <t>2690366-2</t>
  </si>
  <si>
    <t>0884015-1</t>
  </si>
  <si>
    <t>Keuruun FinnSafety Oy</t>
  </si>
  <si>
    <t>1712874-8</t>
  </si>
  <si>
    <t>Ilona IT Oy</t>
  </si>
  <si>
    <t>2319462-9</t>
  </si>
  <si>
    <t>Hämeen Laitehuolto Oy</t>
  </si>
  <si>
    <t>0838019-1</t>
  </si>
  <si>
    <t>Innen Oy</t>
  </si>
  <si>
    <t>2486555-1</t>
  </si>
  <si>
    <t>Turun Osuuskauppa</t>
  </si>
  <si>
    <t>0142122-9</t>
  </si>
  <si>
    <t>Stagent Oy</t>
  </si>
  <si>
    <t>2832542-1</t>
  </si>
  <si>
    <t>Purkamo Lahtinen Oy</t>
  </si>
  <si>
    <t>3098799-3</t>
  </si>
  <si>
    <t>Mekowest Oy</t>
  </si>
  <si>
    <t>3337505-2</t>
  </si>
  <si>
    <t>Sisustus-Nummi Oy</t>
  </si>
  <si>
    <t>2707220-7</t>
  </si>
  <si>
    <t>Liveto Group Oy</t>
  </si>
  <si>
    <t>2647803-7</t>
  </si>
  <si>
    <t>Kehitys-Parkki Oy</t>
  </si>
  <si>
    <t>0915668-5</t>
  </si>
  <si>
    <t>Kansallinen Kirjakauppa Oy</t>
  </si>
  <si>
    <t>0141804-6</t>
  </si>
  <si>
    <t>Villen Kello Oy</t>
  </si>
  <si>
    <t>2335703-7</t>
  </si>
  <si>
    <t>Stygvir North Oy</t>
  </si>
  <si>
    <t>2922755-9</t>
  </si>
  <si>
    <t>Liikennekoulu Koskinen Ky</t>
  </si>
  <si>
    <t>2443129-4</t>
  </si>
  <si>
    <t>OK-Bussit Oy</t>
  </si>
  <si>
    <t>2272378-7</t>
  </si>
  <si>
    <t>HJT-Holz Oy</t>
  </si>
  <si>
    <t>0967855-5</t>
  </si>
  <si>
    <t>Matti Laiho Oy</t>
  </si>
  <si>
    <t>0482947-3</t>
  </si>
  <si>
    <t>Tampereen Vesileikkaus Oy</t>
  </si>
  <si>
    <t>0834263-8</t>
  </si>
  <si>
    <t>Oy Orient-Occident Ltd</t>
  </si>
  <si>
    <t>0201802-8</t>
  </si>
  <si>
    <t>Festo Oy Ab</t>
  </si>
  <si>
    <t>0221878-3</t>
  </si>
  <si>
    <t>Korsuretket Oy</t>
  </si>
  <si>
    <t>2544213-9</t>
  </si>
  <si>
    <t>Helmien talo Oy</t>
  </si>
  <si>
    <t>2266949-3</t>
  </si>
  <si>
    <t>Sisärakenne JiTe Oy</t>
  </si>
  <si>
    <t>3294957-9</t>
  </si>
  <si>
    <t>Antti Lauhamo Oy</t>
  </si>
  <si>
    <t>0723486-2</t>
  </si>
  <si>
    <t>Yhteinen/Skills kilpailut</t>
  </si>
  <si>
    <t>Uula Color Oy</t>
  </si>
  <si>
    <t>2867707-2</t>
  </si>
  <si>
    <t>Agrolentopalvelu</t>
  </si>
  <si>
    <t>1723549-8</t>
  </si>
  <si>
    <t>Kanair Malmi Oy</t>
  </si>
  <si>
    <t>0816743-8</t>
  </si>
  <si>
    <t>MSKK/Kalusto-ja laiteh.yht.</t>
  </si>
  <si>
    <t>TTS Kehitys Oy</t>
  </si>
  <si>
    <t>2128066-2</t>
  </si>
  <si>
    <t>Finmotor Oy</t>
  </si>
  <si>
    <t>0756071-3</t>
  </si>
  <si>
    <t>AquaKem Oy</t>
  </si>
  <si>
    <t>2713891-5</t>
  </si>
  <si>
    <t>Netrauta Finland Oy</t>
  </si>
  <si>
    <t>2166342-8</t>
  </si>
  <si>
    <t>Talenom Talouspalvelu Oy</t>
  </si>
  <si>
    <t>0604974-5</t>
  </si>
  <si>
    <t>US-Parts Finn-Am Oy</t>
  </si>
  <si>
    <t>0494652-2</t>
  </si>
  <si>
    <t>Sistema Turismo</t>
  </si>
  <si>
    <t>IT</t>
  </si>
  <si>
    <t>Ajovarma Oy</t>
  </si>
  <si>
    <t>1033613-0</t>
  </si>
  <si>
    <t>Kompodent Ay</t>
  </si>
  <si>
    <t>2118802-2</t>
  </si>
  <si>
    <t>Biltema Suomi Oy</t>
  </si>
  <si>
    <t>1560844-9</t>
  </si>
  <si>
    <t>Safetec Oy</t>
  </si>
  <si>
    <t>3306905-5</t>
  </si>
  <si>
    <t>Laatukaasu Oy</t>
  </si>
  <si>
    <t>2831026-2</t>
  </si>
  <si>
    <t>Mäntän Tilausliikenne Oy</t>
  </si>
  <si>
    <t>2502416-4</t>
  </si>
  <si>
    <t>Tempera Oy</t>
  </si>
  <si>
    <t>0114933-3</t>
  </si>
  <si>
    <t>Vallox Oy</t>
  </si>
  <si>
    <t>0672350-9</t>
  </si>
  <si>
    <t>Taksi Sahila Oy</t>
  </si>
  <si>
    <t>3116448-9</t>
  </si>
  <si>
    <t>Ikata/Hienopuuseppä/oppilast.</t>
  </si>
  <si>
    <t>Lekolar-Printel Oy</t>
  </si>
  <si>
    <t>1546343-8</t>
  </si>
  <si>
    <t>Hako Group Oy</t>
  </si>
  <si>
    <t>3342053-8</t>
  </si>
  <si>
    <t>Naccanil Oy Ab</t>
  </si>
  <si>
    <t>0111900-3</t>
  </si>
  <si>
    <t>Euran Erikoispaperit Oy</t>
  </si>
  <si>
    <t>0958670-6</t>
  </si>
  <si>
    <t>Puhtaustieto PT Oy</t>
  </si>
  <si>
    <t>0721413-2</t>
  </si>
  <si>
    <t>Accountor Finago Oy</t>
  </si>
  <si>
    <t>0836922-4</t>
  </si>
  <si>
    <t>Kari ja Jaana Alasentie Oy</t>
  </si>
  <si>
    <t>1070607-4</t>
  </si>
  <si>
    <t>2722150-8</t>
  </si>
  <si>
    <t>SSVT-Palvelut</t>
  </si>
  <si>
    <t>0364487-2</t>
  </si>
  <si>
    <t>0905045-0</t>
  </si>
  <si>
    <t>Metsäkonehuolto Kähkönen Oy</t>
  </si>
  <si>
    <t>2586134-1</t>
  </si>
  <si>
    <t>HuKo/Muu maks.palvelut./Kok</t>
  </si>
  <si>
    <t>Pohjois-Satakunnan Liikenne Oy</t>
  </si>
  <si>
    <t>2356135-3</t>
  </si>
  <si>
    <t>Levy-Jaati Oy</t>
  </si>
  <si>
    <t>2404566-8</t>
  </si>
  <si>
    <t>Step Systems Oy</t>
  </si>
  <si>
    <t>0909748-6</t>
  </si>
  <si>
    <t>Consult Lady Oy</t>
  </si>
  <si>
    <t>0643363-2</t>
  </si>
  <si>
    <t>MSKK/Muu maks.palvelut.</t>
  </si>
  <si>
    <t>Teräsmyynti Suomi Oy</t>
  </si>
  <si>
    <t>1109405-7</t>
  </si>
  <si>
    <t>Secto Automotive Oy</t>
  </si>
  <si>
    <t>2113572-1</t>
  </si>
  <si>
    <t>Lammela Oy</t>
  </si>
  <si>
    <t>2185006-3</t>
  </si>
  <si>
    <t>HuKo/Kalusto-ja laiteh.yht.</t>
  </si>
  <si>
    <t>Beautynix Oy</t>
  </si>
  <si>
    <t>2107939-5</t>
  </si>
  <si>
    <t>GLO Hotellit Oy</t>
  </si>
  <si>
    <t>2076976-5</t>
  </si>
  <si>
    <t>Afterglow Music Oy</t>
  </si>
  <si>
    <t>1894911-8</t>
  </si>
  <si>
    <t>2615891-4</t>
  </si>
  <si>
    <t>Keskener maa- ja vesialue</t>
  </si>
  <si>
    <t>Tapio Palvelut Oy</t>
  </si>
  <si>
    <t>0498749-8</t>
  </si>
  <si>
    <t>MacPeople Oy</t>
  </si>
  <si>
    <t>0728151-1</t>
  </si>
  <si>
    <t>Workseed Oy</t>
  </si>
  <si>
    <t>2733384-1</t>
  </si>
  <si>
    <t>Tehomix Oy</t>
  </si>
  <si>
    <t>0954590-4</t>
  </si>
  <si>
    <t>Comfort Family Hotel Oy Ab</t>
  </si>
  <si>
    <t>1994968-9</t>
  </si>
  <si>
    <t>Puulon Oy</t>
  </si>
  <si>
    <t>0280872-4</t>
  </si>
  <si>
    <t>Osaran Kartano Oy</t>
  </si>
  <si>
    <t>0132939-3</t>
  </si>
  <si>
    <t>Emfit Ltd</t>
  </si>
  <si>
    <t>0813747-4</t>
  </si>
  <si>
    <t>Satakunnan Rakennekuivaus Oy</t>
  </si>
  <si>
    <t>1975362-7</t>
  </si>
  <si>
    <t>Finia Oy</t>
  </si>
  <si>
    <t>2492081-3</t>
  </si>
  <si>
    <t>E. Ahlström Oy</t>
  </si>
  <si>
    <t>2570110-2</t>
  </si>
  <si>
    <t>Apuvälinehuolto Avux Oy</t>
  </si>
  <si>
    <t>2327712-5</t>
  </si>
  <si>
    <t>Finn-Power Oy</t>
  </si>
  <si>
    <t>1636933-9</t>
  </si>
  <si>
    <t>Nordic BIM Finland Oy</t>
  </si>
  <si>
    <t>2959032-3</t>
  </si>
  <si>
    <t>Koiviston kotileipomo ky</t>
  </si>
  <si>
    <t>0615384-1</t>
  </si>
  <si>
    <t>Kaupunginpuutarhurien Seura ry</t>
  </si>
  <si>
    <t>1011103-8</t>
  </si>
  <si>
    <t>Suomen Messut Oyj</t>
  </si>
  <si>
    <t>0116322-3</t>
  </si>
  <si>
    <t>Rauta Enqvist Oy</t>
  </si>
  <si>
    <t>2787014-5</t>
  </si>
  <si>
    <t>ER-Pakkaus Oy</t>
  </si>
  <si>
    <t>0923090-2</t>
  </si>
  <si>
    <t>Pequ Nieminen Oy</t>
  </si>
  <si>
    <t>2517159-4</t>
  </si>
  <si>
    <t>Iisakki/Sähkö/opp. 3</t>
  </si>
  <si>
    <t>Maalauspalvelu Laine Oy</t>
  </si>
  <si>
    <t>1817910-9</t>
  </si>
  <si>
    <t>Suomen Kiskotukku Oy</t>
  </si>
  <si>
    <t>2760905-1</t>
  </si>
  <si>
    <t>Kyrönhovi Oy</t>
  </si>
  <si>
    <t>0671067-9</t>
  </si>
  <si>
    <t>Annie Advisor Oy</t>
  </si>
  <si>
    <t>3157107-6</t>
  </si>
  <si>
    <t>Famoso Oy</t>
  </si>
  <si>
    <t>0949506-2</t>
  </si>
  <si>
    <t>Flagmore Oy</t>
  </si>
  <si>
    <t>1087482-8</t>
  </si>
  <si>
    <t>Coor Service Management Oy</t>
  </si>
  <si>
    <t>1597866-9</t>
  </si>
  <si>
    <t>Pirkan Hitsaus Oy</t>
  </si>
  <si>
    <t>0433167-5</t>
  </si>
  <si>
    <t>Zoner Oy</t>
  </si>
  <si>
    <t>1985221-1</t>
  </si>
  <si>
    <t>TTT-Teatteripalvelut Oy</t>
  </si>
  <si>
    <t>1009332-7</t>
  </si>
  <si>
    <t>Urakointi Ollila Oy</t>
  </si>
  <si>
    <t>0504550-7</t>
  </si>
  <si>
    <t>Suomen Kolibri Oy</t>
  </si>
  <si>
    <t>0833183-2</t>
  </si>
  <si>
    <t>Sissos-myymälä Oy</t>
  </si>
  <si>
    <t>1743168-3</t>
  </si>
  <si>
    <t>2064101-6</t>
  </si>
  <si>
    <t>IKH Retail Oy</t>
  </si>
  <si>
    <t>0844992-9</t>
  </si>
  <si>
    <t>KMJ-Palvelut Ky</t>
  </si>
  <si>
    <t>2259980-0</t>
  </si>
  <si>
    <t>Suomen Palopäällystöliitto ry</t>
  </si>
  <si>
    <t>0202246-5</t>
  </si>
  <si>
    <t>Puutarha-Sanomat PS Oy</t>
  </si>
  <si>
    <t>2278674-5</t>
  </si>
  <si>
    <t>2617547-4</t>
  </si>
  <si>
    <t>Keracomp Oy</t>
  </si>
  <si>
    <t>0518444-3</t>
  </si>
  <si>
    <t>Viking Assistance Oy</t>
  </si>
  <si>
    <t>2864720-1</t>
  </si>
  <si>
    <t>Törmälän Reeraamo Oy</t>
  </si>
  <si>
    <t>3363761-4</t>
  </si>
  <si>
    <t>Häijään Urheilutarvike Oy</t>
  </si>
  <si>
    <t>0397864-5</t>
  </si>
  <si>
    <t>Arador Innovations Oy</t>
  </si>
  <si>
    <t>3091260-9</t>
  </si>
  <si>
    <t>SchoolStore Team Oy</t>
  </si>
  <si>
    <t>2750786-4</t>
  </si>
  <si>
    <t>Inka Oy</t>
  </si>
  <si>
    <t>1990460-8</t>
  </si>
  <si>
    <t>Jebister Oy</t>
  </si>
  <si>
    <t>3092957-4</t>
  </si>
  <si>
    <t>Toinen veli Oy</t>
  </si>
  <si>
    <t>2409993-0</t>
  </si>
  <si>
    <t>LUPI/Osara avustus</t>
  </si>
  <si>
    <t>Aurajoki Oy</t>
  </si>
  <si>
    <t>1978780-0</t>
  </si>
  <si>
    <t>2630610-4</t>
  </si>
  <si>
    <t>I-Magnet Oy</t>
  </si>
  <si>
    <t>1110161-6</t>
  </si>
  <si>
    <t>Poratuuli Oy</t>
  </si>
  <si>
    <t>1091358-3</t>
  </si>
  <si>
    <t>Hei Trading Oy</t>
  </si>
  <si>
    <t>2834427-8</t>
  </si>
  <si>
    <t>Archtop Laminates Oy</t>
  </si>
  <si>
    <t>3102697-5</t>
  </si>
  <si>
    <t>Häfele SE &amp; Co KG</t>
  </si>
  <si>
    <t>1013621-9</t>
  </si>
  <si>
    <t>Kone Paloheimo Ky</t>
  </si>
  <si>
    <t>0747524-4</t>
  </si>
  <si>
    <t>Gerdmans Oy</t>
  </si>
  <si>
    <t>1061799-5</t>
  </si>
  <si>
    <t>Kemppi Oy</t>
  </si>
  <si>
    <t>2051826-1</t>
  </si>
  <si>
    <t>Materialise nv</t>
  </si>
  <si>
    <t>BE</t>
  </si>
  <si>
    <t>Tapals Oy</t>
  </si>
  <si>
    <t>0589742-7</t>
  </si>
  <si>
    <t>Hotelli Sandels Oy</t>
  </si>
  <si>
    <t>1921193-2</t>
  </si>
  <si>
    <t>Sähkö-Äijät Oy</t>
  </si>
  <si>
    <t>1900830-1</t>
  </si>
  <si>
    <t>Keupa Hockey Oy</t>
  </si>
  <si>
    <t>2625089-2</t>
  </si>
  <si>
    <t>Suomen Palkkiopalvelu Oy</t>
  </si>
  <si>
    <t>2163113-5</t>
  </si>
  <si>
    <t>DMG MORI Finland Oy Ab</t>
  </si>
  <si>
    <t>2657339-2</t>
  </si>
  <si>
    <t>ME-Tuote Ky/TurvaMerkki.f</t>
  </si>
  <si>
    <t>3102947-1</t>
  </si>
  <si>
    <t>Tui Finland Oy Ab</t>
  </si>
  <si>
    <t>0709785-3</t>
  </si>
  <si>
    <t>Suojax Oy</t>
  </si>
  <si>
    <t>1014713-7</t>
  </si>
  <si>
    <t>Elehuolto Oy</t>
  </si>
  <si>
    <t>2471859-4</t>
  </si>
  <si>
    <t>Sähkökonepalvelu Saxholm Oy</t>
  </si>
  <si>
    <t>0710644-9</t>
  </si>
  <si>
    <t>Hilton Helsinki Strand</t>
  </si>
  <si>
    <t>Nucos Oy</t>
  </si>
  <si>
    <t>0678703-5</t>
  </si>
  <si>
    <t>Hyria Business Institute Oy</t>
  </si>
  <si>
    <t>2487000-0</t>
  </si>
  <si>
    <t>Haapanen Oy</t>
  </si>
  <si>
    <t>2281273-9</t>
  </si>
  <si>
    <t>Satakunnan Osuuskauppa</t>
  </si>
  <si>
    <t>0137281-8</t>
  </si>
  <si>
    <t>Hewix Oy</t>
  </si>
  <si>
    <t>2266858-9</t>
  </si>
  <si>
    <t>Kinnusen Mylly Oy</t>
  </si>
  <si>
    <t>0190151-3</t>
  </si>
  <si>
    <t>HP-Pesu Oy</t>
  </si>
  <si>
    <t>2135014-9</t>
  </si>
  <si>
    <t>Rengastalo Oy</t>
  </si>
  <si>
    <t>0113359-3</t>
  </si>
  <si>
    <t>IDEA LuPi Rakentaminen</t>
  </si>
  <si>
    <t>Esta Oy</t>
  </si>
  <si>
    <t>0676555-7</t>
  </si>
  <si>
    <t>2591544-2</t>
  </si>
  <si>
    <t>A.Palojoki Oy</t>
  </si>
  <si>
    <t>2018087-0</t>
  </si>
  <si>
    <t>Metalvet Oy</t>
  </si>
  <si>
    <t>2276614-6</t>
  </si>
  <si>
    <t>Movetec Oy</t>
  </si>
  <si>
    <t>0705113-4</t>
  </si>
  <si>
    <t>Kalevantuli Oy</t>
  </si>
  <si>
    <t>2770216-8</t>
  </si>
  <si>
    <t>Condite Oy</t>
  </si>
  <si>
    <t>0135428-1</t>
  </si>
  <si>
    <t>RiMiR Oy</t>
  </si>
  <si>
    <t>3178284-2</t>
  </si>
  <si>
    <t>Viestintäyhtiö Eat Well Oy</t>
  </si>
  <si>
    <t>2601792-7</t>
  </si>
  <si>
    <t>Insteam Consulting Oy</t>
  </si>
  <si>
    <t>2450427-0</t>
  </si>
  <si>
    <t>Finavia Oyj</t>
  </si>
  <si>
    <t>2302570-2</t>
  </si>
  <si>
    <t>Kemin Nahkatarvike Oy</t>
  </si>
  <si>
    <t>0684560-2</t>
  </si>
  <si>
    <t>Iron Media Oy</t>
  </si>
  <si>
    <t>1750114-3</t>
  </si>
  <si>
    <t>Sini Järvinen Ky</t>
  </si>
  <si>
    <t>0840707-5</t>
  </si>
  <si>
    <t>Siivouspalvelu Soini Ay</t>
  </si>
  <si>
    <t>2309270-2</t>
  </si>
  <si>
    <t>Kyrön Takomo, Helin Oy</t>
  </si>
  <si>
    <t>0212988-7</t>
  </si>
  <si>
    <t>Hämeen Sähkö Oy</t>
  </si>
  <si>
    <t>1861826-3</t>
  </si>
  <si>
    <t>Suomen Satulatuolikeskus</t>
  </si>
  <si>
    <t>1953250-9</t>
  </si>
  <si>
    <t>HiMa Catering Oy</t>
  </si>
  <si>
    <t>2764029-4</t>
  </si>
  <si>
    <t>0581025-6</t>
  </si>
  <si>
    <t>Kuljetuspalvelu Vatiala Oy</t>
  </si>
  <si>
    <t>1919389-3</t>
  </si>
  <si>
    <t>Parjus KY</t>
  </si>
  <si>
    <t>0803540-0</t>
  </si>
  <si>
    <t>Typing Master Finland Oy</t>
  </si>
  <si>
    <t>1543684-3</t>
  </si>
  <si>
    <t>Ruutisavu Oy</t>
  </si>
  <si>
    <t>2620445-8</t>
  </si>
  <si>
    <t>Puteli Oy</t>
  </si>
  <si>
    <t>1002147-0</t>
  </si>
  <si>
    <t>Kulttuuriosuuskunta Kaje</t>
  </si>
  <si>
    <t>1960761-1</t>
  </si>
  <si>
    <t>Suomen Rehtorit ry</t>
  </si>
  <si>
    <t>0494129-7</t>
  </si>
  <si>
    <t>Muovityöstö Kivelä Oy</t>
  </si>
  <si>
    <t>2399762-4</t>
  </si>
  <si>
    <t>Omakoru Oy</t>
  </si>
  <si>
    <t>2310735-3</t>
  </si>
  <si>
    <t>Juhlatalon Palvelut Oy</t>
  </si>
  <si>
    <t>3298887-7</t>
  </si>
  <si>
    <t>M. J. Paasikivi Oy</t>
  </si>
  <si>
    <t>2655928-3</t>
  </si>
  <si>
    <t>Studio Tuumat Oy</t>
  </si>
  <si>
    <t>0650015-3</t>
  </si>
  <si>
    <t>Kurt Merker GmbH</t>
  </si>
  <si>
    <t>Kulttuuriosuuskunta Komeetta</t>
  </si>
  <si>
    <t>1091000-8</t>
  </si>
  <si>
    <t>Kiskokabinetti Oy</t>
  </si>
  <si>
    <t>2817150-6</t>
  </si>
  <si>
    <t>Vitamion Oy</t>
  </si>
  <si>
    <t>2046353-9</t>
  </si>
  <si>
    <t>BestPak Oy</t>
  </si>
  <si>
    <t>1994958-2</t>
  </si>
  <si>
    <t>JDM Media Oy</t>
  </si>
  <si>
    <t>2701019-6</t>
  </si>
  <si>
    <t>Konepaja Korhonen Oy</t>
  </si>
  <si>
    <t>2343447-7</t>
  </si>
  <si>
    <t>Eduten Oy</t>
  </si>
  <si>
    <t>2867321-5</t>
  </si>
  <si>
    <t>JK. Kone Oy</t>
  </si>
  <si>
    <t>0731048-2</t>
  </si>
  <si>
    <t>Cosa Nostra Crew Oy</t>
  </si>
  <si>
    <t>0795737-4</t>
  </si>
  <si>
    <t>1941601-4</t>
  </si>
  <si>
    <t>Finnkino Oy</t>
  </si>
  <si>
    <t>0647239-1</t>
  </si>
  <si>
    <t>Salhydro Oy</t>
  </si>
  <si>
    <t>0786606-9</t>
  </si>
  <si>
    <t>Hexaplan Oy</t>
  </si>
  <si>
    <t>2561005-9</t>
  </si>
  <si>
    <t>Huolto Montonen Oy</t>
  </si>
  <si>
    <t>2834286-2</t>
  </si>
  <si>
    <t>0856168-9</t>
  </si>
  <si>
    <t>2175235-9</t>
  </si>
  <si>
    <t>VAK/Hyv.tekn./oppilast.</t>
  </si>
  <si>
    <t>Dekra Industrial Oy</t>
  </si>
  <si>
    <t>0112837-2</t>
  </si>
  <si>
    <t>1074575-1</t>
  </si>
  <si>
    <t>Thinglink Oy</t>
  </si>
  <si>
    <t>2329185-9</t>
  </si>
  <si>
    <t>2735324-4</t>
  </si>
  <si>
    <t>1009122-5</t>
  </si>
  <si>
    <t>Kotilaturi Finland Oy</t>
  </si>
  <si>
    <t>3204700-6</t>
  </si>
  <si>
    <t>Oy Alma Group Hotels Ab</t>
  </si>
  <si>
    <t>1700076-0</t>
  </si>
  <si>
    <t>Hutek Oy</t>
  </si>
  <si>
    <t>0708444-6</t>
  </si>
  <si>
    <t>SafeAid Oy</t>
  </si>
  <si>
    <t>2758273-3</t>
  </si>
  <si>
    <t>Allomeera Oy</t>
  </si>
  <si>
    <t>0984410-3</t>
  </si>
  <si>
    <t>Charlotta-Production Oy</t>
  </si>
  <si>
    <t>0977417-6</t>
  </si>
  <si>
    <t>Ruokajuhlat Oy</t>
  </si>
  <si>
    <t>1959901-7</t>
  </si>
  <si>
    <t>Rotator Oy</t>
  </si>
  <si>
    <t>0943444-6</t>
  </si>
  <si>
    <t>Kalaneuvos Oy</t>
  </si>
  <si>
    <t>1809124-6</t>
  </si>
  <si>
    <t>Oremillo Oy</t>
  </si>
  <si>
    <t>1037090-2</t>
  </si>
  <si>
    <t>Instru Optiikka Oy</t>
  </si>
  <si>
    <t>1789727-2</t>
  </si>
  <si>
    <t>Sporty World Oy</t>
  </si>
  <si>
    <t>2749667-5</t>
  </si>
  <si>
    <t>MSKK/Paka &amp; Kosme/Muu palv.toi</t>
  </si>
  <si>
    <t>Linjateräs Oy</t>
  </si>
  <si>
    <t>0734620-7</t>
  </si>
  <si>
    <t>Kuvahaka Oy</t>
  </si>
  <si>
    <t>2869884-2</t>
  </si>
  <si>
    <t>Lukio-opetuksen ost</t>
  </si>
  <si>
    <t>Tampereen Tenniskeskus Oy</t>
  </si>
  <si>
    <t>0289205-7</t>
  </si>
  <si>
    <t>Lahtisen Vahavalimo Ky</t>
  </si>
  <si>
    <t>0830591-7</t>
  </si>
  <si>
    <t>0950702-7</t>
  </si>
  <si>
    <t>Huittisten siirtokuljetus Oy</t>
  </si>
  <si>
    <t>1893531-4</t>
  </si>
  <si>
    <t>2263343-1</t>
  </si>
  <si>
    <t>Lamminsivu Oy</t>
  </si>
  <si>
    <t>1790844-5</t>
  </si>
  <si>
    <t>Levanto Oy</t>
  </si>
  <si>
    <t>0990864-8</t>
  </si>
  <si>
    <t>Equine Innovations Oy Ltd</t>
  </si>
  <si>
    <t>2588058-5</t>
  </si>
  <si>
    <t>Muovia Oulu Oy</t>
  </si>
  <si>
    <t>2607496-4</t>
  </si>
  <si>
    <t>HeadAI Oy</t>
  </si>
  <si>
    <t>2693292-2</t>
  </si>
  <si>
    <t>Kotitalouskonehuolto Kirmo Oy</t>
  </si>
  <si>
    <t>0988925-6</t>
  </si>
  <si>
    <t>Raitala Music Oy</t>
  </si>
  <si>
    <t>2820057-3</t>
  </si>
  <si>
    <t>Rimtek System Oy</t>
  </si>
  <si>
    <t>0805653-5</t>
  </si>
  <si>
    <t>PowerFlow Studio Oy</t>
  </si>
  <si>
    <t>3286320-6</t>
  </si>
  <si>
    <t>Foiltek Oy</t>
  </si>
  <si>
    <t>0567548-8</t>
  </si>
  <si>
    <t>Heirol Oy</t>
  </si>
  <si>
    <t>0848183-0</t>
  </si>
  <si>
    <t>Porin Huoltoteam Oy</t>
  </si>
  <si>
    <t>3335887-7</t>
  </si>
  <si>
    <t>3274137-2</t>
  </si>
  <si>
    <t>Vapaus Bikes Finland Oy</t>
  </si>
  <si>
    <t>2879502-8</t>
  </si>
  <si>
    <t>2671572-5</t>
  </si>
  <si>
    <t>Anders Meder Oy Ab</t>
  </si>
  <si>
    <t>0104885-8</t>
  </si>
  <si>
    <t>Lippupalvelu Oy</t>
  </si>
  <si>
    <t>0110928-6</t>
  </si>
  <si>
    <t>Nakkilan Pyörä ja Mopo Oy</t>
  </si>
  <si>
    <t>0776157-4</t>
  </si>
  <si>
    <t>Arpeco Oy</t>
  </si>
  <si>
    <t>2093427-3</t>
  </si>
  <si>
    <t>Jidoka Technologies Oy</t>
  </si>
  <si>
    <t>2187853-3</t>
  </si>
  <si>
    <t>ATK Pikatukku Oulu Oy</t>
  </si>
  <si>
    <t>2763241-1</t>
  </si>
  <si>
    <t>Rajaniemi Ravintolat Oy</t>
  </si>
  <si>
    <t>2770599-1</t>
  </si>
  <si>
    <t>Osuuskauppa Arina</t>
  </si>
  <si>
    <t>0187614-3</t>
  </si>
  <si>
    <t>Lapland Hotels Oy</t>
  </si>
  <si>
    <t>2199747-9</t>
  </si>
  <si>
    <t>Pihlajan Moniapu Oy</t>
  </si>
  <si>
    <t>3165970-5</t>
  </si>
  <si>
    <t>Rejlers Rakentaminen Oy</t>
  </si>
  <si>
    <t>3275852-9</t>
  </si>
  <si>
    <t>Tornipaja Oy</t>
  </si>
  <si>
    <t>0965979-2</t>
  </si>
  <si>
    <t>Pamark Business Oy</t>
  </si>
  <si>
    <t>3141131-2</t>
  </si>
  <si>
    <t>Original Events Oy</t>
  </si>
  <si>
    <t>3109547-9</t>
  </si>
  <si>
    <t>JPT Serco Oy</t>
  </si>
  <si>
    <t>3245426-9</t>
  </si>
  <si>
    <t>Pauner Oy</t>
  </si>
  <si>
    <t>1704540-8</t>
  </si>
  <si>
    <t>Kalve 016 Oy</t>
  </si>
  <si>
    <t>3335845-5</t>
  </si>
  <si>
    <t>Depend Cosmetic Oy</t>
  </si>
  <si>
    <t>0116088-2</t>
  </si>
  <si>
    <t>Foodin Oy</t>
  </si>
  <si>
    <t>2411314-9</t>
  </si>
  <si>
    <t>Visma Solutions Oy</t>
  </si>
  <si>
    <t>1967543-8</t>
  </si>
  <si>
    <t>MSD Animal Health Oy</t>
  </si>
  <si>
    <t>1090521-7</t>
  </si>
  <si>
    <t>Hiasepojat Oy</t>
  </si>
  <si>
    <t>0796208-5</t>
  </si>
  <si>
    <t>Parolan Teltta Oy</t>
  </si>
  <si>
    <t>2932708-2</t>
  </si>
  <si>
    <t>3370419-4</t>
  </si>
  <si>
    <t>Alumech Oy</t>
  </si>
  <si>
    <t>2235292-0</t>
  </si>
  <si>
    <t>Beijer Oy</t>
  </si>
  <si>
    <t>0109075-7</t>
  </si>
  <si>
    <t>UniqAir Oy</t>
  </si>
  <si>
    <t>2626040-9</t>
  </si>
  <si>
    <t>1714643-6</t>
  </si>
  <si>
    <t>Testnova Oy</t>
  </si>
  <si>
    <t>1866897-3</t>
  </si>
  <si>
    <t>Lasisiipi Oy</t>
  </si>
  <si>
    <t>2837932-3</t>
  </si>
  <si>
    <t>Le Botti Oy</t>
  </si>
  <si>
    <t>3138411-5</t>
  </si>
  <si>
    <t>KTA-Yhtiöt Oy</t>
  </si>
  <si>
    <t>0809102-3</t>
  </si>
  <si>
    <t>Meltwater Finland Oy</t>
  </si>
  <si>
    <t>2276311-3</t>
  </si>
  <si>
    <t>Ruokangas Guitars Oy</t>
  </si>
  <si>
    <t>1646367-5</t>
  </si>
  <si>
    <t>Haapaniemen kuljetus Oy</t>
  </si>
  <si>
    <t>0967678-7</t>
  </si>
  <si>
    <t>Talotekniikka-julkaisut Oy</t>
  </si>
  <si>
    <t>0961195-9</t>
  </si>
  <si>
    <t>Muotek Oy</t>
  </si>
  <si>
    <t>0223495-1</t>
  </si>
  <si>
    <t>Sisustus-Seliina Ky</t>
  </si>
  <si>
    <t>1718740-6</t>
  </si>
  <si>
    <t>giosg.com Oy</t>
  </si>
  <si>
    <t>2388009-8</t>
  </si>
  <si>
    <t>2735518-6</t>
  </si>
  <si>
    <t>Suomen Taloushallintoliitto ry</t>
  </si>
  <si>
    <t>0116616-8</t>
  </si>
  <si>
    <t>Sydänkaluste Oy</t>
  </si>
  <si>
    <t>0736496-6</t>
  </si>
  <si>
    <t>Ninjou Oy</t>
  </si>
  <si>
    <t>2543310-1</t>
  </si>
  <si>
    <t>ST-Autokeskus Oy</t>
  </si>
  <si>
    <t>2499620-1</t>
  </si>
  <si>
    <t>Kirjapaino Öhrling Oy</t>
  </si>
  <si>
    <t>0205958-3</t>
  </si>
  <si>
    <t>JV Musiikkituotanto Oy</t>
  </si>
  <si>
    <t>3299362-5</t>
  </si>
  <si>
    <t>Finland Restaurants Oy</t>
  </si>
  <si>
    <t>2389639-9</t>
  </si>
  <si>
    <t>TEIJO Pesukoneet Oy</t>
  </si>
  <si>
    <t>0671564-8</t>
  </si>
  <si>
    <t>Vepsäläinen Oy</t>
  </si>
  <si>
    <t>2111755-8</t>
  </si>
  <si>
    <t>Suomen Sanser Oy</t>
  </si>
  <si>
    <t>2755799-2</t>
  </si>
  <si>
    <t>SSN Trading Oy</t>
  </si>
  <si>
    <t>3012123-3</t>
  </si>
  <si>
    <t>Stando-Car Oy</t>
  </si>
  <si>
    <t>2046721-4</t>
  </si>
  <si>
    <t>Fysioline Oy</t>
  </si>
  <si>
    <t>0927611-8</t>
  </si>
  <si>
    <t>Muovikum Oy</t>
  </si>
  <si>
    <t>1852508-3</t>
  </si>
  <si>
    <t>KPMG Oy Ab</t>
  </si>
  <si>
    <t>1805485-9</t>
  </si>
  <si>
    <t>Monipalvelut Jyrkinen Oy</t>
  </si>
  <si>
    <t>2800405-4</t>
  </si>
  <si>
    <t>AiCan Oy</t>
  </si>
  <si>
    <t>2474647-2</t>
  </si>
  <si>
    <t>Mikkelin Valokuvausliike Oy</t>
  </si>
  <si>
    <t>0165019-5</t>
  </si>
  <si>
    <t>Hot Melt Oy</t>
  </si>
  <si>
    <t>0592552-0</t>
  </si>
  <si>
    <t>Atlas Copco Kompressorit Oy Ab</t>
  </si>
  <si>
    <t>0642892-1</t>
  </si>
  <si>
    <t>Autohuolto Ketola &amp; Vesa Oy</t>
  </si>
  <si>
    <t>0632147-0</t>
  </si>
  <si>
    <t>Kyröskosken polkupyöräliike ky</t>
  </si>
  <si>
    <t>2343078-3</t>
  </si>
  <si>
    <t>Piha ja Puutarha Rosalin Oy</t>
  </si>
  <si>
    <t>2383124-5</t>
  </si>
  <si>
    <t>Georavintolat Oy</t>
  </si>
  <si>
    <t>3244088-7</t>
  </si>
  <si>
    <t>Lohikari Oy</t>
  </si>
  <si>
    <t>0110957-7</t>
  </si>
  <si>
    <t>Huittisten Urheilutarvike Oy</t>
  </si>
  <si>
    <t>1505323-6</t>
  </si>
  <si>
    <t>L&amp;T Ympäristöpalvelut Oy</t>
  </si>
  <si>
    <t>3155938-4</t>
  </si>
  <si>
    <t>Turunmaan Ase ja Kone Oy</t>
  </si>
  <si>
    <t>0932160-1</t>
  </si>
  <si>
    <t>Apukauppa Oy</t>
  </si>
  <si>
    <t>3091244-9</t>
  </si>
  <si>
    <t>0202156-9</t>
  </si>
  <si>
    <t>Aluetaito Oy</t>
  </si>
  <si>
    <t>2318095-6</t>
  </si>
  <si>
    <t>Cronvall Oy</t>
  </si>
  <si>
    <t>2407943-8</t>
  </si>
  <si>
    <t>Talotekniikka suunnittelu Tates Oy</t>
  </si>
  <si>
    <t>2714961-4</t>
  </si>
  <si>
    <t>Putkeen Oy</t>
  </si>
  <si>
    <t>3010851-4</t>
  </si>
  <si>
    <t>Ajantieto Oy</t>
  </si>
  <si>
    <t>0732853-5</t>
  </si>
  <si>
    <t>Juha Kurri Oy</t>
  </si>
  <si>
    <t>1777586-5</t>
  </si>
  <si>
    <t>Tampereen Kovakivi Oy</t>
  </si>
  <si>
    <t>0206137-6</t>
  </si>
  <si>
    <t>Dinox Sport Oy</t>
  </si>
  <si>
    <t>2541313-5</t>
  </si>
  <si>
    <t>A-Teline Nordic Oy</t>
  </si>
  <si>
    <t>2170765-4</t>
  </si>
  <si>
    <t>Algol Chemicals Oy</t>
  </si>
  <si>
    <t>0777485-0</t>
  </si>
  <si>
    <t>Nordic Sports Brands Oy</t>
  </si>
  <si>
    <t>2147624-3</t>
  </si>
  <si>
    <t>BLASTJET OY</t>
  </si>
  <si>
    <t>3287857-1</t>
  </si>
  <si>
    <t>Youpret Oy</t>
  </si>
  <si>
    <t>2761915-3</t>
  </si>
  <si>
    <t>Aliko Oy Ltd</t>
  </si>
  <si>
    <t>1765191-8</t>
  </si>
  <si>
    <t>NTRNZ Media Oy</t>
  </si>
  <si>
    <t>2482508-2</t>
  </si>
  <si>
    <t>Viihdekeskus Hohto Oy</t>
  </si>
  <si>
    <t>2053412-2</t>
  </si>
  <si>
    <t>Osaran Yksityistalli Oy</t>
  </si>
  <si>
    <t>2139088-8</t>
  </si>
  <si>
    <t>HSH-Urakointi Oy</t>
  </si>
  <si>
    <t>1600864-8</t>
  </si>
  <si>
    <t>City-hotelli Oy</t>
  </si>
  <si>
    <t>0210631-9</t>
  </si>
  <si>
    <t>Weckman Steel Oy</t>
  </si>
  <si>
    <t>0164205-6</t>
  </si>
  <si>
    <t>Kokouspoukama Oy</t>
  </si>
  <si>
    <t>2487825-6</t>
  </si>
  <si>
    <t>Clarion Hotel Helsinki</t>
  </si>
  <si>
    <t>2680539-2</t>
  </si>
  <si>
    <t>Siemenkauppiaitten Yhdistys ry</t>
  </si>
  <si>
    <t>1480057-8</t>
  </si>
  <si>
    <t>Hinaus Jari-Antero Oy</t>
  </si>
  <si>
    <t>2752434-9</t>
  </si>
  <si>
    <t>Sähköliike E. J- Lehto Oy</t>
  </si>
  <si>
    <t>1474248-6</t>
  </si>
  <si>
    <t>Koju Film Company Oy</t>
  </si>
  <si>
    <t>2483596-9</t>
  </si>
  <si>
    <t>Laser Game Finland Oy</t>
  </si>
  <si>
    <t>0939065-8</t>
  </si>
  <si>
    <t>Jama Music Oy</t>
  </si>
  <si>
    <t>3272296-4</t>
  </si>
  <si>
    <t>Kiitoskauppa Oy</t>
  </si>
  <si>
    <t>2933183-1</t>
  </si>
  <si>
    <t>Pinpops Oy</t>
  </si>
  <si>
    <t>2538775-8</t>
  </si>
  <si>
    <t>HuKo/AikoAcademylle myynti</t>
  </si>
  <si>
    <t>Coinline Oy</t>
  </si>
  <si>
    <t>0856558-3</t>
  </si>
  <si>
    <t>Lygge Oy</t>
  </si>
  <si>
    <t>2886206-7</t>
  </si>
  <si>
    <t>VTTK Oy Karkku</t>
  </si>
  <si>
    <t>0836668-0</t>
  </si>
  <si>
    <t>Eezy Kevytyrittäjät Oy</t>
  </si>
  <si>
    <t>2197002-2</t>
  </si>
  <si>
    <t>Axon Profil AB</t>
  </si>
  <si>
    <t>SE</t>
  </si>
  <si>
    <t>Suomen Ravintolakalusteet Oy</t>
  </si>
  <si>
    <t>0861223-9</t>
  </si>
  <si>
    <t>Hämeen Kuljetus Oy</t>
  </si>
  <si>
    <t>0154049-8</t>
  </si>
  <si>
    <t>Renksu Oy</t>
  </si>
  <si>
    <t>2588414-8</t>
  </si>
  <si>
    <t>JanLa Oy</t>
  </si>
  <si>
    <t>1929014-0</t>
  </si>
  <si>
    <t>Indoor Group Oy</t>
  </si>
  <si>
    <t>1512332-9</t>
  </si>
  <si>
    <t>Jyväs Car Oy Jyväskylän Tukku</t>
  </si>
  <si>
    <t>3133905-8</t>
  </si>
  <si>
    <t>EuroPark Finland Oy</t>
  </si>
  <si>
    <t>1544350-9</t>
  </si>
  <si>
    <t>Wigren Catering Oy</t>
  </si>
  <si>
    <t>2103766-2</t>
  </si>
  <si>
    <t>Lvi-talo Kannosto Oy</t>
  </si>
  <si>
    <t>2432915-0</t>
  </si>
  <si>
    <t>MDW Technics Oy</t>
  </si>
  <si>
    <t>2593748-1</t>
  </si>
  <si>
    <t>Strateginen Muotoilutoimisto Polku Oy</t>
  </si>
  <si>
    <t>2926396-3</t>
  </si>
  <si>
    <t>Kivitippu SPA Oy</t>
  </si>
  <si>
    <t>2492015-1</t>
  </si>
  <si>
    <t>Osuuskunta Iloksi ja Voimaksi</t>
  </si>
  <si>
    <t>1967870-0</t>
  </si>
  <si>
    <t>LINJA-AUTOLIIKENNE SALONEN KY</t>
  </si>
  <si>
    <t>0612283-4</t>
  </si>
  <si>
    <t>Exxi Oy</t>
  </si>
  <si>
    <t>2928657-5</t>
  </si>
  <si>
    <t>Pohjolan Vaihtoauto Oy</t>
  </si>
  <si>
    <t>2769989-4</t>
  </si>
  <si>
    <t>Cab Coatings Finland Oy</t>
  </si>
  <si>
    <t>2330490-4</t>
  </si>
  <si>
    <t>H&amp;K Putki Oy</t>
  </si>
  <si>
    <t>2828866-7</t>
  </si>
  <si>
    <t>OGG Finland Oy</t>
  </si>
  <si>
    <t>3290193-8</t>
  </si>
  <si>
    <t>Resta-Mesta Oy</t>
  </si>
  <si>
    <t>1014440-3</t>
  </si>
  <si>
    <t>Metsä-Tappura Oy</t>
  </si>
  <si>
    <t>1064889-8</t>
  </si>
  <si>
    <t>Proxima Finland / Optimal HumanMovement Oy</t>
  </si>
  <si>
    <t>2748793-9</t>
  </si>
  <si>
    <t>Liputuspalvelu Oy</t>
  </si>
  <si>
    <t>0605168-5</t>
  </si>
  <si>
    <t>Satapaine Oy</t>
  </si>
  <si>
    <t>2577886-3</t>
  </si>
  <si>
    <t>SP-Elektroniikka Oy</t>
  </si>
  <si>
    <t>1007918-9</t>
  </si>
  <si>
    <t>Heiska ry</t>
  </si>
  <si>
    <t>2400593-0</t>
  </si>
  <si>
    <t>Sastamalan Peltityö Oy</t>
  </si>
  <si>
    <t>1044012-2</t>
  </si>
  <si>
    <t>0904552-0</t>
  </si>
  <si>
    <t>Scandinavian Seaplanes Oy</t>
  </si>
  <si>
    <t>3190982-3</t>
  </si>
  <si>
    <t>Room Escape Finland Oy</t>
  </si>
  <si>
    <t>2695664-1</t>
  </si>
  <si>
    <t>AJ- Konepalvelu Oy</t>
  </si>
  <si>
    <t>2792394-8</t>
  </si>
  <si>
    <t>Happy Print Oy</t>
  </si>
  <si>
    <t>1973535-7</t>
  </si>
  <si>
    <t>msonic oy</t>
  </si>
  <si>
    <t>2282893-3</t>
  </si>
  <si>
    <t>2483964-4</t>
  </si>
  <si>
    <t>Mastermark Oy</t>
  </si>
  <si>
    <t>0250487-8</t>
  </si>
  <si>
    <t>Kuljetus T &amp; J Isotalo Oy</t>
  </si>
  <si>
    <t>0589897-2</t>
  </si>
  <si>
    <t>Suomen Teollisuusvaate Oy</t>
  </si>
  <si>
    <t>1864254-6</t>
  </si>
  <si>
    <t>Henkel Finland Oy</t>
  </si>
  <si>
    <t>0152343-6</t>
  </si>
  <si>
    <t>Finnkone Oy</t>
  </si>
  <si>
    <t>0995353-7</t>
  </si>
  <si>
    <t>Talo Rannalla Oy</t>
  </si>
  <si>
    <t>3334947-9</t>
  </si>
  <si>
    <t>FMS-Service Oy</t>
  </si>
  <si>
    <t>2217329-5</t>
  </si>
  <si>
    <t>Kuljetusliike L.Kulmala Oy</t>
  </si>
  <si>
    <t>0590978-2</t>
  </si>
  <si>
    <t>2432051-9</t>
  </si>
  <si>
    <t>Tuppu-Kaluste Oy</t>
  </si>
  <si>
    <t>0570315-1</t>
  </si>
  <si>
    <t>Artiikki Oy</t>
  </si>
  <si>
    <t>2313922-4</t>
  </si>
  <si>
    <t>Ravintola Astor Oy</t>
  </si>
  <si>
    <t>0700729-9</t>
  </si>
  <si>
    <t>Pome Oy</t>
  </si>
  <si>
    <t>0364567-2</t>
  </si>
  <si>
    <t>Alaset Import Oy</t>
  </si>
  <si>
    <t>1933152-0</t>
  </si>
  <si>
    <t>Livelaboratorio Tampere Oy</t>
  </si>
  <si>
    <t>2888941-1</t>
  </si>
  <si>
    <t>Spacos Oy</t>
  </si>
  <si>
    <t>1939016-8</t>
  </si>
  <si>
    <t>Visma Solutions Oy/Visma Sign</t>
  </si>
  <si>
    <t>Fotonordic Oy</t>
  </si>
  <si>
    <t>1972559-7</t>
  </si>
  <si>
    <t>Arteljee Oy</t>
  </si>
  <si>
    <t>2651263-7</t>
  </si>
  <si>
    <t>E Avenue Oy</t>
  </si>
  <si>
    <t>1897576-2</t>
  </si>
  <si>
    <t>Lvi-palvelu Janne Räsänen Oy</t>
  </si>
  <si>
    <t>2450265-4</t>
  </si>
  <si>
    <t>3089216-9</t>
  </si>
  <si>
    <t>huoltamo gym Oy</t>
  </si>
  <si>
    <t>3003873-9</t>
  </si>
  <si>
    <t>Sevendim Oy</t>
  </si>
  <si>
    <t>2878061-9</t>
  </si>
  <si>
    <t>Doorway Finland Oy</t>
  </si>
  <si>
    <t>2487811-7</t>
  </si>
  <si>
    <t>Ruukki Talotekniikka Oy</t>
  </si>
  <si>
    <t>2854710-4</t>
  </si>
  <si>
    <t>Kuljetus Olli Lähde Oy</t>
  </si>
  <si>
    <t>1072126-6</t>
  </si>
  <si>
    <t>Puusepäntyö Mielikaluste Ky</t>
  </si>
  <si>
    <t>1827177-3</t>
  </si>
  <si>
    <t>Talotekniikka Rauhanen Oy</t>
  </si>
  <si>
    <t>2625940-8</t>
  </si>
  <si>
    <t>Peurunka Oy</t>
  </si>
  <si>
    <t>0176505-6</t>
  </si>
  <si>
    <t>1053947-2</t>
  </si>
  <si>
    <t>If Vahinkovakuutus Oyj, Suomen sivuliike</t>
  </si>
  <si>
    <t>1602149-8</t>
  </si>
  <si>
    <t>Ruoveden lukio/Vuokratilat</t>
  </si>
  <si>
    <t>Sastamalan kaupunki</t>
  </si>
  <si>
    <t>0144411-3</t>
  </si>
  <si>
    <t>OP Yrityspankki Oyj</t>
  </si>
  <si>
    <t>0199920-7</t>
  </si>
  <si>
    <t>Huittisten kaupunki</t>
  </si>
  <si>
    <t>0203762-4</t>
  </si>
  <si>
    <t>Ikaalisten kaupunki</t>
  </si>
  <si>
    <t>0203797-4</t>
  </si>
  <si>
    <t>Kankaanpään kaupunki</t>
  </si>
  <si>
    <t>0133596-1</t>
  </si>
  <si>
    <t>Kihniön kunta</t>
  </si>
  <si>
    <t>0133862-8</t>
  </si>
  <si>
    <t>Ruoveden kunta</t>
  </si>
  <si>
    <t>0152842-1</t>
  </si>
  <si>
    <t>Parkanon kaupunki</t>
  </si>
  <si>
    <t>0136311-0</t>
  </si>
  <si>
    <t>Liikenne- ja viestintävirasto</t>
  </si>
  <si>
    <t>2924753-3</t>
  </si>
  <si>
    <t>Välilliset verot</t>
  </si>
  <si>
    <t>Nets Denmark A/S FinnishBranch</t>
  </si>
  <si>
    <t>2858201-4</t>
  </si>
  <si>
    <t>Valtiokonttori</t>
  </si>
  <si>
    <t>0245440-1</t>
  </si>
  <si>
    <t>Tampereen Tilapalvelut Oy</t>
  </si>
  <si>
    <t>2863261-6</t>
  </si>
  <si>
    <t>Edenred Finland Oy</t>
  </si>
  <si>
    <t>1057825-2</t>
  </si>
  <si>
    <t>Opetushallitus</t>
  </si>
  <si>
    <t>2769790-1</t>
  </si>
  <si>
    <t>Suomen Kuntaliitto ry</t>
  </si>
  <si>
    <t>0926151-4</t>
  </si>
  <si>
    <t>Novum Oy</t>
  </si>
  <si>
    <t>1445101-3</t>
  </si>
  <si>
    <t>0204964-1</t>
  </si>
  <si>
    <t>Ruokavirasto</t>
  </si>
  <si>
    <t>2911686-7</t>
  </si>
  <si>
    <t>Hämeen ammattikorkeakoulu Oy</t>
  </si>
  <si>
    <t>2617489-3</t>
  </si>
  <si>
    <t>Ruoveden lukio/Ruokailu</t>
  </si>
  <si>
    <t>Siemens Financial Services Ab</t>
  </si>
  <si>
    <t>2008697-2</t>
  </si>
  <si>
    <t>SEB Kort Bank AB, Helsingin sl</t>
  </si>
  <si>
    <t>1597729-5</t>
  </si>
  <si>
    <t>S-Business Oy</t>
  </si>
  <si>
    <t>2389183-8</t>
  </si>
  <si>
    <t>Hätäkeskuslaitos</t>
  </si>
  <si>
    <t>2409452-3</t>
  </si>
  <si>
    <t>De Lage Landen Finans AB</t>
  </si>
  <si>
    <t>1921185-2</t>
  </si>
  <si>
    <t>Tampereen kaupunki</t>
  </si>
  <si>
    <t>0211675-2</t>
  </si>
  <si>
    <t>Nordea Bank Abp</t>
  </si>
  <si>
    <t>2858394-9</t>
  </si>
  <si>
    <t>Nokian kaupunki</t>
  </si>
  <si>
    <t>0205717-4</t>
  </si>
  <si>
    <t>1027740-9</t>
  </si>
  <si>
    <t>3222663-7</t>
  </si>
  <si>
    <t>Seinäjoen koulutuskuntayhtymä</t>
  </si>
  <si>
    <t>1007629-5</t>
  </si>
  <si>
    <t>Gamla Consulting Oy Playroll</t>
  </si>
  <si>
    <t>2067590-2</t>
  </si>
  <si>
    <t>Hämeenkyrön kunta</t>
  </si>
  <si>
    <t>0132947-3</t>
  </si>
  <si>
    <t>Rovaniemen Koulutuskuntayhtymä</t>
  </si>
  <si>
    <t>0973110-9</t>
  </si>
  <si>
    <t>Säkylän Kunta</t>
  </si>
  <si>
    <t>0139937-5</t>
  </si>
  <si>
    <t>0208201-1</t>
  </si>
  <si>
    <t>Pirkkalan kunta</t>
  </si>
  <si>
    <t>0152084-1</t>
  </si>
  <si>
    <t>Lohjan kaupunki</t>
  </si>
  <si>
    <t>1068322-0</t>
  </si>
  <si>
    <t>Valkeakosken kaupunki</t>
  </si>
  <si>
    <t>0157568-2</t>
  </si>
  <si>
    <t>MSKK/AikoAcademylle myynti</t>
  </si>
  <si>
    <t>Leijona Catering Oy</t>
  </si>
  <si>
    <t>2449777-9</t>
  </si>
  <si>
    <t>0206289-7</t>
  </si>
  <si>
    <t>Keuruun kaupunki</t>
  </si>
  <si>
    <t>0208388-2</t>
  </si>
  <si>
    <t>1095237-1</t>
  </si>
  <si>
    <t>Tampereen ammattikorkeakoulu O</t>
  </si>
  <si>
    <t>1015428-1</t>
  </si>
  <si>
    <t>Aluehallintovirasto</t>
  </si>
  <si>
    <t>2284140-9</t>
  </si>
  <si>
    <t>Sastamalan Vesi liikelaitos</t>
  </si>
  <si>
    <t>Mänttä-Vilppulan kaupunki</t>
  </si>
  <si>
    <t>0157867-2</t>
  </si>
  <si>
    <t>Maa- ja vesialueiden vuokrat</t>
  </si>
  <si>
    <t>0626288-8</t>
  </si>
  <si>
    <t>Satakunnan hyvinvointialue</t>
  </si>
  <si>
    <t>3221304-3</t>
  </si>
  <si>
    <t>Pirkanmaan hyvinvointialue</t>
  </si>
  <si>
    <t>3221308-6</t>
  </si>
  <si>
    <t>Suomen valtio/Poliisihallitus</t>
  </si>
  <si>
    <t>2288666-6</t>
  </si>
  <si>
    <t>MSKK/Marata/Koul. ja os.myynti</t>
  </si>
  <si>
    <t>Mikkelin kaupunki</t>
  </si>
  <si>
    <t>0165116-3</t>
  </si>
  <si>
    <t>Kokemäen kaupunki</t>
  </si>
  <si>
    <t>0203925-9</t>
  </si>
  <si>
    <t>LUPI/Ruokailu/Iisakki Pno</t>
  </si>
  <si>
    <t>Metropolia Ammattikorkeakoulu</t>
  </si>
  <si>
    <t>2094551-1</t>
  </si>
  <si>
    <t>Rikosseuraamuslaitos</t>
  </si>
  <si>
    <t>0312081-7</t>
  </si>
  <si>
    <t>Karvian kunta</t>
  </si>
  <si>
    <t>0133735-0</t>
  </si>
  <si>
    <t>Helsingin yliopisto</t>
  </si>
  <si>
    <t>0313471-7</t>
  </si>
  <si>
    <t>1021277-9</t>
  </si>
  <si>
    <t>Patentti- ja Rekisterihallitus</t>
  </si>
  <si>
    <t>0244683-1</t>
  </si>
  <si>
    <t>VAK/Tilojen ja kal. vuokraus</t>
  </si>
  <si>
    <t>Lapin yliopisto</t>
  </si>
  <si>
    <t>0292800-5</t>
  </si>
  <si>
    <t>0993644-6</t>
  </si>
  <si>
    <t>HuKo/Tilojen ja kal.vuokr./Hui</t>
  </si>
  <si>
    <t>Peimarin koulutuskuntayhtymä</t>
  </si>
  <si>
    <t>0823246-3</t>
  </si>
  <si>
    <t>Alajärven kaupunki</t>
  </si>
  <si>
    <t>0177619-3</t>
  </si>
  <si>
    <t>Kotkan-Haminan seudun ky</t>
  </si>
  <si>
    <t>1958694-5</t>
  </si>
  <si>
    <t>Turun kaupunki</t>
  </si>
  <si>
    <t>0204819-8</t>
  </si>
  <si>
    <t>Yhteinen opetus/Yht.kunn2</t>
  </si>
  <si>
    <t>Opetus- ja kulttuuriministeriö</t>
  </si>
  <si>
    <t>0245872-8</t>
  </si>
  <si>
    <t>Ylsi/Petäjä/kotouttamiskoul.</t>
  </si>
  <si>
    <t>Aalto-korkeakoulusäätiö</t>
  </si>
  <si>
    <t>2228357-4</t>
  </si>
  <si>
    <t>Ikaalisten lukio/Vuokratilat</t>
  </si>
  <si>
    <t>Suomen luonnonsuojeluliitto ry</t>
  </si>
  <si>
    <t>0116956-1</t>
  </si>
  <si>
    <t>Kuvataidekoulujen liitto ry</t>
  </si>
  <si>
    <t>0879889-7</t>
  </si>
  <si>
    <t>0291514-0</t>
  </si>
  <si>
    <t>0494484-2</t>
  </si>
  <si>
    <t>Pohjola-Norden ry</t>
  </si>
  <si>
    <t>0201868-5</t>
  </si>
  <si>
    <t>Tampereen Talouskoulun säätiö sr</t>
  </si>
  <si>
    <t>2769213-1</t>
  </si>
  <si>
    <t>Sähköinsinööriliitto ry</t>
  </si>
  <si>
    <t>0117037-8</t>
  </si>
  <si>
    <t>Mobi Direkt UG</t>
  </si>
  <si>
    <t>DE323017089</t>
  </si>
  <si>
    <t>JAK Eurotrading Ltd</t>
  </si>
  <si>
    <t>MT2402-9222</t>
  </si>
  <si>
    <t>MT</t>
  </si>
  <si>
    <t>0912934-5</t>
  </si>
  <si>
    <t>VAK/TeLi/Kivi/oppilast.3</t>
  </si>
  <si>
    <t>Käsi- ja taideteollisuusliitto</t>
  </si>
  <si>
    <t>0201527-3</t>
  </si>
  <si>
    <t>Työturvallisuuskeskus ry</t>
  </si>
  <si>
    <t>0202500-9</t>
  </si>
  <si>
    <t>Turun Aikuiskoulutussäätiö</t>
  </si>
  <si>
    <t>0142247-5</t>
  </si>
  <si>
    <t>0211060-9</t>
  </si>
  <si>
    <t>Niilo Mäki -säätiö</t>
  </si>
  <si>
    <t>0920779-6</t>
  </si>
  <si>
    <t>MTK-Jokilaakso ry</t>
  </si>
  <si>
    <t>0294576-1</t>
  </si>
  <si>
    <t>Taito Satakunta ry</t>
  </si>
  <si>
    <t>0243208-5</t>
  </si>
  <si>
    <t>Kasvinsuojeluseura ry</t>
  </si>
  <si>
    <t>0275942-4</t>
  </si>
  <si>
    <t>VaLePa ry</t>
  </si>
  <si>
    <t>0398870-4</t>
  </si>
  <si>
    <t>2365137-5</t>
  </si>
  <si>
    <t>Ahlmanin koulun säätiö</t>
  </si>
  <si>
    <t>0155402-1</t>
  </si>
  <si>
    <t>AB Josef Wilund</t>
  </si>
  <si>
    <t>SE5563542918</t>
  </si>
  <si>
    <t>Opetusalan ammattijärj OAJ ry</t>
  </si>
  <si>
    <t>0116769-7</t>
  </si>
  <si>
    <t>Suomen Ayrshirekasvattajat ry</t>
  </si>
  <si>
    <t>1625530-7</t>
  </si>
  <si>
    <t>Suomen ammatillisen koulutuksen kulttuuri- ja urheiluliitto, SAKU ry</t>
  </si>
  <si>
    <t>0158588-0</t>
  </si>
  <si>
    <t>Europea-Finland ry.</t>
  </si>
  <si>
    <t>2406706-6</t>
  </si>
  <si>
    <t>IE</t>
  </si>
  <si>
    <t>Rastor-instituutti ry</t>
  </si>
  <si>
    <t>0201689-0</t>
  </si>
  <si>
    <t>E-Tzik Fuerteventura S.L.</t>
  </si>
  <si>
    <t>B76213479</t>
  </si>
  <si>
    <t>ES</t>
  </si>
  <si>
    <t>1024286-3</t>
  </si>
  <si>
    <t>Varalan Säätiö</t>
  </si>
  <si>
    <t>0155689-5</t>
  </si>
  <si>
    <t>SUOMEN MUUSIKKOJEN LIITTO RY</t>
  </si>
  <si>
    <t>0202229-7</t>
  </si>
  <si>
    <t>Axxell Utbildning Ab</t>
  </si>
  <si>
    <t>2064886-7</t>
  </si>
  <si>
    <t>Kankaanpään Opisto</t>
  </si>
  <si>
    <t>0280690-5</t>
  </si>
  <si>
    <t>Yhteinen opetus/Terv. ja hyv1</t>
  </si>
  <si>
    <t>Scandinavian Photo AB</t>
  </si>
  <si>
    <t>3260578-4</t>
  </si>
  <si>
    <t>Opisk valmiuksia tukevat op</t>
  </si>
  <si>
    <t>Pirkanmaan musiikkiopisto</t>
  </si>
  <si>
    <t>0214461-4</t>
  </si>
  <si>
    <t>Cascade Control Ab</t>
  </si>
  <si>
    <t>Panssarimuseosäätiö</t>
  </si>
  <si>
    <t>1819199-2</t>
  </si>
  <si>
    <t>0201433-4</t>
  </si>
  <si>
    <t>0155443-5</t>
  </si>
  <si>
    <t>0151144-3</t>
  </si>
  <si>
    <t>Mäntän Nuorisosirkus ry</t>
  </si>
  <si>
    <t>1050123-9</t>
  </si>
  <si>
    <t>Sandelving Aerospace GmbH</t>
  </si>
  <si>
    <t>DE297129843</t>
  </si>
  <si>
    <t>BerlinBeads</t>
  </si>
  <si>
    <t>DE814829217</t>
  </si>
  <si>
    <t>Maatiainen ry</t>
  </si>
  <si>
    <t>1109573-8</t>
  </si>
  <si>
    <t>Ahaa teatterin kannatus ry</t>
  </si>
  <si>
    <t>0205868-7</t>
  </si>
  <si>
    <t>Suomen Lasitaiteilijat LASITA ry</t>
  </si>
  <si>
    <t>2723307-4</t>
  </si>
  <si>
    <t>Hyötykasviyhdistys ry</t>
  </si>
  <si>
    <t>0669145-5</t>
  </si>
  <si>
    <t>GT Musiikkiluvat Oy</t>
  </si>
  <si>
    <t>2647504-7</t>
  </si>
  <si>
    <t>0490281-0</t>
  </si>
  <si>
    <t>0208850-1</t>
  </si>
  <si>
    <t>Suomen Jääkiekkoliitto ry</t>
  </si>
  <si>
    <t>0202137-4</t>
  </si>
  <si>
    <t>Skills Finland ry</t>
  </si>
  <si>
    <t>1085970-8</t>
  </si>
  <si>
    <t>Luomuliitto Ry</t>
  </si>
  <si>
    <t>0641419-1</t>
  </si>
  <si>
    <t>Helsinki Business College Oy</t>
  </si>
  <si>
    <t>2162576-3</t>
  </si>
  <si>
    <t>Elintarviketieteiden seura ry</t>
  </si>
  <si>
    <t>0986550-2</t>
  </si>
  <si>
    <t>Suomen Oppisopimusosaajat ry</t>
  </si>
  <si>
    <t>1913010-4</t>
  </si>
  <si>
    <t>Tampereen Aikuiskoulutussäätiö</t>
  </si>
  <si>
    <t>0155651-0</t>
  </si>
  <si>
    <t>Okka-säätiö</t>
  </si>
  <si>
    <t>1098899-9</t>
  </si>
  <si>
    <t>Lappeenrannan Seurakuntayhtymä</t>
  </si>
  <si>
    <t>0245512-1</t>
  </si>
  <si>
    <t>Sata-Häme Soi ry</t>
  </si>
  <si>
    <t>0561526-6</t>
  </si>
  <si>
    <t>Spezialglashutte Kugler Colors</t>
  </si>
  <si>
    <t>DE285275316</t>
  </si>
  <si>
    <t>Filmihullu ry</t>
  </si>
  <si>
    <t>1018222-3</t>
  </si>
  <si>
    <t>ElectroAir OÜ</t>
  </si>
  <si>
    <t>EE101102632</t>
  </si>
  <si>
    <t>EE</t>
  </si>
  <si>
    <t>Parkanon Ponteva ry</t>
  </si>
  <si>
    <t>0136319-6</t>
  </si>
  <si>
    <t>Pohjois-Parkanon kyläseura ry</t>
  </si>
  <si>
    <t>1908118-9</t>
  </si>
  <si>
    <t>Hämeenkyrön Osaran Martat ry</t>
  </si>
  <si>
    <t>Elintarvikealan opettajien jao</t>
  </si>
  <si>
    <t>Ruoveden Pirkat r.y.</t>
  </si>
  <si>
    <t>0152849-9</t>
  </si>
  <si>
    <t>1797439-7</t>
  </si>
  <si>
    <t>Snellman-Instituutti ry</t>
  </si>
  <si>
    <t>0870056-2</t>
  </si>
  <si>
    <t>Avaxa Plants B.V.</t>
  </si>
  <si>
    <t>NL857840630B</t>
  </si>
  <si>
    <t>NL</t>
  </si>
  <si>
    <t>Löylynlyöjät ry</t>
  </si>
  <si>
    <t>1090387-9</t>
  </si>
  <si>
    <t>Marjasuon Metsästysseura r.y.</t>
  </si>
  <si>
    <t>2694748-9</t>
  </si>
  <si>
    <t>0136331-3</t>
  </si>
  <si>
    <t>1639592-4</t>
  </si>
  <si>
    <t>Kovesjoen kyläyhdistys ry</t>
  </si>
  <si>
    <t>1616650-7</t>
  </si>
  <si>
    <t>Länsirannikon Koulutus Oy</t>
  </si>
  <si>
    <t>2245018-4</t>
  </si>
  <si>
    <t>Amazing City Oy</t>
  </si>
  <si>
    <t>2798569-8</t>
  </si>
  <si>
    <t>Kokemäen VPK ry.</t>
  </si>
  <si>
    <t>1014167-5</t>
  </si>
  <si>
    <t>Poikkitaiteilijat ry</t>
  </si>
  <si>
    <t>3095592-4</t>
  </si>
  <si>
    <t>Lions Club Oripää Ry</t>
  </si>
  <si>
    <t>1049858-6</t>
  </si>
  <si>
    <t>Hämeenkyrön Talviuimarit ry</t>
  </si>
  <si>
    <t>1846136-6</t>
  </si>
  <si>
    <t>Suomen Urheiluopisto</t>
  </si>
  <si>
    <t>0202512-1</t>
  </si>
  <si>
    <t>Yhteinen opetus/Palvelualat1</t>
  </si>
  <si>
    <t>YAD Youth Against Drugs ry</t>
  </si>
  <si>
    <t>1011504-7</t>
  </si>
  <si>
    <t>Casisoft MindWare GmbH</t>
  </si>
  <si>
    <t>2053462-4</t>
  </si>
  <si>
    <t>0678133-8</t>
  </si>
  <si>
    <t>Careeria Oy</t>
  </si>
  <si>
    <t>2918298-7</t>
  </si>
  <si>
    <t>Ammattiopisto Spesia Oy</t>
  </si>
  <si>
    <t>2811092-2</t>
  </si>
  <si>
    <t>Pispalan saunayhdistys ry</t>
  </si>
  <si>
    <t>1458754-3</t>
  </si>
  <si>
    <t>Myllyhoitoyhdistys ry</t>
  </si>
  <si>
    <t>0564313-6</t>
  </si>
  <si>
    <t>Vorumaa Kutsehariduskeskus</t>
  </si>
  <si>
    <t>2484701-1</t>
  </si>
  <si>
    <t>Suomen Lähilukioyhdistys</t>
  </si>
  <si>
    <t>Veneskosken kyläyhdistys ry</t>
  </si>
  <si>
    <t>1555024-0</t>
  </si>
  <si>
    <t>Honkajoen VPK ry</t>
  </si>
  <si>
    <t>0993627-8</t>
  </si>
  <si>
    <t>0745664-1</t>
  </si>
  <si>
    <t>Sutemi Ry</t>
  </si>
  <si>
    <t>1047642-4</t>
  </si>
  <si>
    <t>City One Apartments Erfurt</t>
  </si>
  <si>
    <t>Lahdenpohjan Metsästäjät ry</t>
  </si>
  <si>
    <t>0738614-5</t>
  </si>
  <si>
    <t>Ikaalisten Urheilijat ry</t>
  </si>
  <si>
    <t>0133049-0</t>
  </si>
  <si>
    <t>Suomen Mielenterveysseura ry</t>
  </si>
  <si>
    <t>0202225-4</t>
  </si>
  <si>
    <t>Koillis-Pirkan Kiekko ry</t>
  </si>
  <si>
    <t>1644568-8</t>
  </si>
  <si>
    <t>Suomen lasimuseon ystävät ry</t>
  </si>
  <si>
    <t>0733928-5</t>
  </si>
  <si>
    <t>0202200-0</t>
  </si>
  <si>
    <t>Viherympäristöliitto ry</t>
  </si>
  <si>
    <t>1000370-7</t>
  </si>
  <si>
    <t>2441840-1</t>
  </si>
  <si>
    <t>Peli Glass Products B.V.</t>
  </si>
  <si>
    <t>0180124-8</t>
  </si>
  <si>
    <t>Savonlinnan musiikkiopiston kannatusyhdistys ry</t>
  </si>
  <si>
    <t>0207398-3</t>
  </si>
  <si>
    <t>2124250-0</t>
  </si>
  <si>
    <t>Kirkkopalvelut Ry</t>
  </si>
  <si>
    <t>0215281-7</t>
  </si>
  <si>
    <t>Ikaalisten Tennisseura r.y.</t>
  </si>
  <si>
    <t>1104998-5</t>
  </si>
  <si>
    <t>SPR Satakunnan piiri</t>
  </si>
  <si>
    <t>0204369-6</t>
  </si>
  <si>
    <t>0206114-9</t>
  </si>
  <si>
    <t>Suomen Näytelmäkirjailijat ja Käsikirjoittajat - Finlands Dramatiker och Manusf</t>
  </si>
  <si>
    <t>0202237-7</t>
  </si>
  <si>
    <t>Suomen Kirjainstituutin Säätiö</t>
  </si>
  <si>
    <t>1913023-5</t>
  </si>
  <si>
    <t>Porin Teatterisäätiö</t>
  </si>
  <si>
    <t>0137370-6</t>
  </si>
  <si>
    <t>OS ID Stallmästaren AB</t>
  </si>
  <si>
    <t>SE5565820148</t>
  </si>
  <si>
    <t>Katinala Live Oy</t>
  </si>
  <si>
    <t>2813789-3</t>
  </si>
  <si>
    <t>Kiikoisten 4H-yhdistys ry</t>
  </si>
  <si>
    <t>1007267-3</t>
  </si>
  <si>
    <t>Ikaalisten Reserviläiset Ry</t>
  </si>
  <si>
    <t>3026283-7</t>
  </si>
  <si>
    <t>Puutarhaliitto ry</t>
  </si>
  <si>
    <t>0201910-0</t>
  </si>
  <si>
    <t>Vilppulan Tähti Ry</t>
  </si>
  <si>
    <t>1038131-0</t>
  </si>
  <si>
    <t>1599662-1</t>
  </si>
  <si>
    <t>Parkanon Urheilijat ry</t>
  </si>
  <si>
    <t>0136327-6</t>
  </si>
  <si>
    <t>Tampereen Sivistysyhdistys ry</t>
  </si>
  <si>
    <t>0906783-4</t>
  </si>
  <si>
    <t>0211603-1</t>
  </si>
  <si>
    <t>McCaffrey Coaches Limited</t>
  </si>
  <si>
    <t>Tampereen Nuorkauppakamari ry</t>
  </si>
  <si>
    <t>0809798-6</t>
  </si>
  <si>
    <t>Taito Pirkanmaa Ry</t>
  </si>
  <si>
    <t>0205929-2</t>
  </si>
  <si>
    <t>MSKK/Leko (at,eat)</t>
  </si>
  <si>
    <t>Westpack A/S</t>
  </si>
  <si>
    <t>DK11963552</t>
  </si>
  <si>
    <t>DK</t>
  </si>
  <si>
    <t>Suomen Metsästysmuseo ry</t>
  </si>
  <si>
    <t>0510973-4</t>
  </si>
  <si>
    <t>MSKK/Metalli/Koul. ja os.m. 3</t>
  </si>
  <si>
    <t>Suomen Urheiluliitto ry</t>
  </si>
  <si>
    <t>0202318-5</t>
  </si>
  <si>
    <t>Hyria koulutus Oy</t>
  </si>
  <si>
    <t>2250205-2</t>
  </si>
  <si>
    <t>1099260-5</t>
  </si>
  <si>
    <t>Ikaalinen-Seura ry</t>
  </si>
  <si>
    <t>1106933-7</t>
  </si>
  <si>
    <t>Reserviuseerikoulun Oppilaskunnan Kannatusyhdistys r.y.</t>
  </si>
  <si>
    <t>0225727-2</t>
  </si>
  <si>
    <t>Parkano-Seura ry</t>
  </si>
  <si>
    <t>1076226-0</t>
  </si>
  <si>
    <t>Suomen Lukiolaisten Liitto ry</t>
  </si>
  <si>
    <t>0934094-1</t>
  </si>
  <si>
    <t>Sirens Music Oy</t>
  </si>
  <si>
    <t>2950198-4</t>
  </si>
  <si>
    <t>Kankaanpää Seura r.y.</t>
  </si>
  <si>
    <t>1496419-3</t>
  </si>
  <si>
    <t>2578683-9</t>
  </si>
  <si>
    <t>Suomen Hippos Ry</t>
  </si>
  <si>
    <t>0116928-9</t>
  </si>
  <si>
    <t>Volume Design OU</t>
  </si>
  <si>
    <t>EE10463528</t>
  </si>
  <si>
    <t>Sagitta Pedagog AB</t>
  </si>
  <si>
    <t>International Academy Tenerife</t>
  </si>
  <si>
    <t>B38580866</t>
  </si>
  <si>
    <t xml:space="preserve">Rouhia Oy </t>
  </si>
  <si>
    <t>Urjalan Makeistukku Oy</t>
  </si>
  <si>
    <t>HPK LIIGA OY</t>
  </si>
  <si>
    <t xml:space="preserve">Kerasil Oy </t>
  </si>
  <si>
    <t>Kerasil Oy</t>
  </si>
  <si>
    <t>Neova Oy</t>
  </si>
  <si>
    <t>Content House Oy</t>
  </si>
  <si>
    <t>Kovatech Oy</t>
  </si>
  <si>
    <t xml:space="preserve">Puistokadun Kukkatupa Oy </t>
  </si>
  <si>
    <t xml:space="preserve">Kovatech Oy </t>
  </si>
  <si>
    <t>Partnos Oy</t>
  </si>
  <si>
    <t>Visiolink Oy</t>
  </si>
  <si>
    <t>Autotieto Oy</t>
  </si>
  <si>
    <t xml:space="preserve">Partnos Oy </t>
  </si>
  <si>
    <t>Puistokadun Kukkatupa Oy</t>
  </si>
  <si>
    <t>Mainos Ink Oy</t>
  </si>
  <si>
    <t>Napakka Oy</t>
  </si>
  <si>
    <t xml:space="preserve">Suomen Turvakauppa Oy </t>
  </si>
  <si>
    <t>Abruzzi Oy</t>
  </si>
  <si>
    <t>Posti</t>
  </si>
  <si>
    <t>Satakunnan Taimitukku Oy</t>
  </si>
  <si>
    <t>Auto- ja Kiinteistölasi Tampere Oy</t>
  </si>
  <si>
    <t>AMKE Oy Ammattiosaamisen kehittämisyhtiö</t>
  </si>
  <si>
    <t>Ammattiosaamisen kehittämisyhdistys AMKE ry</t>
  </si>
  <si>
    <t>Ark.teht.toim.Jyrki Kihlakaski Ky</t>
  </si>
  <si>
    <t>Arkkitehtisuunnittelu Mikko Uotila Oy</t>
  </si>
  <si>
    <t>Arkkitehtitoimisto AR-Vastamäki Oy</t>
  </si>
  <si>
    <t>Arkkitehtitoimisto Helamaa &amp; Heiskanen Oy</t>
  </si>
  <si>
    <t>Astiavuokraamo Oy Jubilee Tampere</t>
  </si>
  <si>
    <t>AVA-Instituutin kannatusyhdistys ry</t>
  </si>
  <si>
    <t>Biologian ja maantieteen opettajien liitto BMOL ry</t>
  </si>
  <si>
    <t>Blomqvists Plantskola Taimisto Oy</t>
  </si>
  <si>
    <t>Etelä-Karjalan koulutuskuntayhtymä</t>
  </si>
  <si>
    <t>FCG Finnish Consulting Group Oy</t>
  </si>
  <si>
    <t>Forssan Huoltopalvelu Oy</t>
  </si>
  <si>
    <t>Fredman professional kitchen Oy</t>
  </si>
  <si>
    <t>Glow Bar &amp; Restaurant Oy</t>
  </si>
  <si>
    <t>Gösta Serlachiuksen taidesäätiö sr</t>
  </si>
  <si>
    <t>Hedelmän- ja Marjanviljelijäin liitto r.y.</t>
  </si>
  <si>
    <t>Hollolan Viilu ja Laminaatti Oy</t>
  </si>
  <si>
    <t>Huittisten Keila- ja Pelihalli Oy</t>
  </si>
  <si>
    <t>Ikaalisten Auto- ja huoltomestarit Oy</t>
  </si>
  <si>
    <t>Ikaalisten Kirjakauppa Ky</t>
  </si>
  <si>
    <t>Ikaalisten Wanhan kauppalan kotiseutuyhdistys Oma Tupa ry</t>
  </si>
  <si>
    <t>Insinööritoimisto Ismo Lindberg Oy</t>
  </si>
  <si>
    <t>Into-etsivä nuorisotyö ja työpajatoiminta ry</t>
  </si>
  <si>
    <t>JP-Systeemi Oy</t>
  </si>
  <si>
    <t>Jyväskylän koulutuskuntayhtymä</t>
  </si>
  <si>
    <t>Kaakkois-Suomen Ammattikorkeakoulu Oy</t>
  </si>
  <si>
    <t>Kalustemyynti Pekka Ali-Tolppa Ky</t>
  </si>
  <si>
    <t>Kankaanpään Jätehuolto Jussila Oy</t>
  </si>
  <si>
    <t>Kansalaisopistojen liitto KoL ry</t>
  </si>
  <si>
    <t>Kasvihuonerakennus J &amp; P Kurki Oy</t>
  </si>
  <si>
    <t>Kehittämisyhtiö Ikaalisten Kylpyläkaupunki Oy</t>
  </si>
  <si>
    <t>Kehitysvammaisten Tukiliitto ry</t>
  </si>
  <si>
    <t>Kehäkukka Ahoset Oy</t>
  </si>
  <si>
    <t>Keski-Suomen Ilmastointihuolto Oy</t>
  </si>
  <si>
    <t>Kihniön Linnankylän kyläseura ry</t>
  </si>
  <si>
    <t>Kiinteistö Oy Ikaalisten Työkeskus</t>
  </si>
  <si>
    <t>Kippo ja Kuppi/Kulmakonditoria Oy</t>
  </si>
  <si>
    <t>Kiviniityn Auto ja Maatalouskonehuolto Oy</t>
  </si>
  <si>
    <t>Koillis-Pirkan Nuohouspalvelu Oy</t>
  </si>
  <si>
    <t>Kompressorimaailma Oy</t>
  </si>
  <si>
    <t>Kone- ja ratsutuspalvelu Rehakka Ky</t>
  </si>
  <si>
    <t>Konica Minolta business solutions Finland Oy</t>
  </si>
  <si>
    <t>Koulutuskeskus Salpaus -kuntayhtymä</t>
  </si>
  <si>
    <t>Kuljetusliike Markku Salonen Oy</t>
  </si>
  <si>
    <t>Kunta- ja hyvinvointialuetyönantajat KT</t>
  </si>
  <si>
    <t>Kuortaneen Urheiluopistosäätiö sr</t>
  </si>
  <si>
    <t>Leadership as a Service Company Oy</t>
  </si>
  <si>
    <t>Liik ja terv.tiedon opettajat, LIITO ry</t>
  </si>
  <si>
    <t>Liikunta- ja hyvinvointikeskus Liike Oy</t>
  </si>
  <si>
    <t>Lounais-Hämeen koulutuskuntayhtymä</t>
  </si>
  <si>
    <t>Lounais-Suomen aluehallintovirasto</t>
  </si>
  <si>
    <t>Mahnalan LVI-Palvelu ja Tekniikka Oy</t>
  </si>
  <si>
    <t>Management Institute of Finland MIF Oy</t>
  </si>
  <si>
    <t xml:space="preserve">Movet </t>
  </si>
  <si>
    <t>Mäkilän Leipomo J ja K Mäkilä Ky</t>
  </si>
  <si>
    <t>Mäntän Kaukolämpö ja Vesihuolto Oy</t>
  </si>
  <si>
    <t>Naisten Liikuntapiste Pinkki Oy</t>
  </si>
  <si>
    <t>Nokian Kauppahuone Ky</t>
  </si>
  <si>
    <t>Nuorten mielenterveysseura - Yeesi ry</t>
  </si>
  <si>
    <t>Oriveden Sammutinhuolto Leppämäki Oy</t>
  </si>
  <si>
    <t>Paikal.liikenne P Santalahti Ky</t>
  </si>
  <si>
    <t>Philipp Mayer-Luo elämää maasta Oy</t>
  </si>
  <si>
    <t>Pirkanmaan rakennuskulttuuriyhdistys ry</t>
  </si>
  <si>
    <t>Plusab Medical Solutions Finland Oy</t>
  </si>
  <si>
    <t>Pohjois-Parkanon Nuorisoseura r.y.</t>
  </si>
  <si>
    <t>Pohjois-Satakunnan Seutuverkko Oy</t>
  </si>
  <si>
    <t>Poliklinikka Integrum/Psykomedia Oy</t>
  </si>
  <si>
    <t>ProAgria Keskusten Liitto ry</t>
  </si>
  <si>
    <t>Programmes KK &amp; Co Ay</t>
  </si>
  <si>
    <t>Rakennuskonevuokraamo Veikko Majamaa Ky</t>
  </si>
  <si>
    <t>Rakennuspalvelu M. Kallioinen Oy</t>
  </si>
  <si>
    <t>Rakennustarviketalo Tamminaula Ky</t>
  </si>
  <si>
    <t>Rakennuttajapalvelu Allu-Team Oy</t>
  </si>
  <si>
    <t>Raksystems Insinööritoimisto Oy</t>
  </si>
  <si>
    <t>Rauta-Maatalous Marko Kuoppala Oy</t>
  </si>
  <si>
    <t>Ravintola Raatihuoneen Kellari Ay</t>
  </si>
  <si>
    <t>Ruoveden Kanoottipurjehtijat ry</t>
  </si>
  <si>
    <t>Ruoveden Kukka- ja Hautauspalvelu</t>
  </si>
  <si>
    <t>Sastamalan Kiinteistötekniikka Oy</t>
  </si>
  <si>
    <t>Sastamalan Lukko- ja Avainpalvelu SALPA Oy</t>
  </si>
  <si>
    <t>Sastamalan Ruoka- ja Puhtauspalvelut Oy</t>
  </si>
  <si>
    <t xml:space="preserve">Sinebrychoff </t>
  </si>
  <si>
    <t>Sport &amp; Spa Hotel Vesileppis Oy</t>
  </si>
  <si>
    <t>Suomen Ammattiin Opiskelevien liitto SAKKI ry</t>
  </si>
  <si>
    <t>Suomen Ammattikoulutuksen Johtajat SAJO ry</t>
  </si>
  <si>
    <t>Suomen Hitsausteknillinen Yhdistys ry</t>
  </si>
  <si>
    <t>Suomen Hoitolatukku Logistiikka Oy</t>
  </si>
  <si>
    <t>Suomen Kieltenopettajien liitto SUKOL ry</t>
  </si>
  <si>
    <t>Suomen Luontoyrittäjyysverkosto ry</t>
  </si>
  <si>
    <t>Suomen Musiikkioppilaitosten liitto ry</t>
  </si>
  <si>
    <t xml:space="preserve">Suomen Pelastusalan Keskusjärjestö </t>
  </si>
  <si>
    <t>Suomen vanhan kirjallisuuden päivät r.y.</t>
  </si>
  <si>
    <t>Suomen Yrittäjäopisto Oy</t>
  </si>
  <si>
    <t>Sähkö- ja teleurakoitsijaliitto STUL ry</t>
  </si>
  <si>
    <t>Säveltäjäin Tekijänoikeustoimi Teosto ry</t>
  </si>
  <si>
    <t>Tampereen Insinööriurakoitsijat Oy</t>
  </si>
  <si>
    <t>Tampereen Komediateatteri säätiö</t>
  </si>
  <si>
    <t>Tampereen Terä- ja Kone-edustus Oy</t>
  </si>
  <si>
    <t>Tampereen Työväen Teatteri Oy</t>
  </si>
  <si>
    <t>Thermokon Sensor Technology Finland Oy</t>
  </si>
  <si>
    <t>TIEKE Tietoyhteiskunnan kehittämiskeskus ry</t>
  </si>
  <si>
    <t>Tilausliikenne Rauno Koivukoski Ky</t>
  </si>
  <si>
    <t>Toosilan Eläinlääkäripalvelu Oy</t>
  </si>
  <si>
    <t>Tampereen Improvisaatioteatteriyhdistys Snorkkeli ry</t>
  </si>
  <si>
    <t>Turvallisuus- ja kemikaalivirasto</t>
  </si>
  <si>
    <t>Tuulihaukka Teltat/Turja Productions Oy</t>
  </si>
  <si>
    <t>Työkalupalvelu Toolservice Grönblom Oy</t>
  </si>
  <si>
    <t>Ukko.fi laskutuspalvelu Oy</t>
  </si>
  <si>
    <t>Valkeakosken seudun koulutuskuntayhtymä</t>
  </si>
  <si>
    <t>Viivi &amp; Venla Ay</t>
  </si>
  <si>
    <t>Viljar Shop / Viljar Oy</t>
  </si>
  <si>
    <t>Virtanen Jani Rakennus ja Suunnittelu Oy</t>
  </si>
  <si>
    <t>Airtec Danmark A/S</t>
  </si>
  <si>
    <t>Assa Abloy Entrance Systems Finland Oy</t>
  </si>
  <si>
    <t>Huittisten Satulinna Muoti ja koti</t>
  </si>
  <si>
    <t>Keski-Suomen ilmailumuseo / Suomen Ilmavoimamuseosäätiö sr</t>
  </si>
  <si>
    <t>Kuluttajatiet.edistämisyhdistys / Kuluttajamedia ry</t>
  </si>
  <si>
    <t>Luontopalvelut Oy AT Nature Services Ltd</t>
  </si>
  <si>
    <t>Porin Kala M. Riuttala Ky</t>
  </si>
  <si>
    <t>Tampereen ev.lut.seurakuntayhtymä</t>
  </si>
  <si>
    <t>247 Satakunnan Turvapalvelut Oy</t>
  </si>
  <si>
    <t>3D Import Company Finland Oy</t>
  </si>
  <si>
    <t>DE 238012895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</si>
</sst>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0" fontId="0" fillId="33" borderId="0" xfId="0" applyFill="1" applyAlignment="1">
      <alignment horizontal="center" wrapText="1"/>
    </xf>
    <xf numFmtId="0" fontId="0" fillId="0" borderId="0" xfId="0" applyAlignment="1">
      <alignment horizontal="left"/>
    </xf>
    <xf numFmtId="20" fontId="0" fillId="0" borderId="0" xfId="0" applyNumberFormat="1"/>
    <xf numFmtId="0" fontId="4" fillId="0" borderId="2" xfId="3" applyAlignment="1">
      <alignment horizontal="center" wrapText="1"/>
    </xf>
  </cellXfs>
  <cellStyles count="42">
    <cellStyle name="20 % - Aksentti1" xfId="19" builtinId="30" customBuiltin="1"/>
    <cellStyle name="20 % - Aksentti2" xfId="23" builtinId="34" customBuiltin="1"/>
    <cellStyle name="20 % - Aksentti3" xfId="27" builtinId="38" customBuiltin="1"/>
    <cellStyle name="20 % - Aksentti4" xfId="31" builtinId="42" customBuiltin="1"/>
    <cellStyle name="20 % - Aksentti5" xfId="35" builtinId="46" customBuiltin="1"/>
    <cellStyle name="20 % - Aksentti6" xfId="39" builtinId="50" customBuiltin="1"/>
    <cellStyle name="40 % - Aksentti1" xfId="20" builtinId="31" customBuiltin="1"/>
    <cellStyle name="40 % - Aksentti2" xfId="24" builtinId="35" customBuiltin="1"/>
    <cellStyle name="40 % - Aksentti3" xfId="28" builtinId="39" customBuiltin="1"/>
    <cellStyle name="40 % - Aksentti4" xfId="32" builtinId="43" customBuiltin="1"/>
    <cellStyle name="40 % - Aksentti5" xfId="36" builtinId="47" customBuiltin="1"/>
    <cellStyle name="40 % - Aksentti6" xfId="40" builtinId="51" customBuiltin="1"/>
    <cellStyle name="60 % - Aksentti1" xfId="21" builtinId="32" customBuiltin="1"/>
    <cellStyle name="60 % - Aksentti2" xfId="25" builtinId="36" customBuiltin="1"/>
    <cellStyle name="60 % - Aksentti3" xfId="29" builtinId="40" customBuiltin="1"/>
    <cellStyle name="60 % - Aksentti4" xfId="33" builtinId="44" customBuiltin="1"/>
    <cellStyle name="60 % - Aksentti5" xfId="37" builtinId="48" customBuiltin="1"/>
    <cellStyle name="60 % - Aksentti6" xfId="41" builtinId="52" customBuiltin="1"/>
    <cellStyle name="Aksentti1" xfId="18" builtinId="29" customBuiltin="1"/>
    <cellStyle name="Aksentti2" xfId="22" builtinId="33" customBuiltin="1"/>
    <cellStyle name="Aksentti3" xfId="26" builtinId="37" customBuiltin="1"/>
    <cellStyle name="Aksentti4" xfId="30" builtinId="41" customBuiltin="1"/>
    <cellStyle name="Aksentti5" xfId="34" builtinId="45" customBuiltin="1"/>
    <cellStyle name="Aksentti6" xfId="38" builtinId="49" customBuiltin="1"/>
    <cellStyle name="Huomautus" xfId="15" builtinId="10" customBuiltin="1"/>
    <cellStyle name="Huono" xfId="7" builtinId="27" customBuiltin="1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Selittävä teksti" xfId="16" builtinId="53" customBuiltin="1"/>
    <cellStyle name="Summa" xfId="17" builtinId="25" customBuiltin="1"/>
    <cellStyle name="Syöttö" xfId="9" builtinId="20" customBuiltin="1"/>
    <cellStyle name="Tarkistussolu" xfId="13" builtinId="23" customBuiltin="1"/>
    <cellStyle name="Tulostus" xfId="10" builtinId="21" customBuiltin="1"/>
    <cellStyle name="Varoitusteksti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– 2022 -te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5992"/>
  <sheetViews>
    <sheetView tabSelected="1" topLeftCell="C1" zoomScale="89" zoomScaleNormal="89" workbookViewId="0">
      <pane ySplit="1" topLeftCell="A2" activePane="bottomLeft" state="frozen"/>
      <selection activeCell="D1" sqref="D1"/>
      <selection pane="bottomLeft" activeCell="D26000" sqref="D26000"/>
    </sheetView>
  </sheetViews>
  <sheetFormatPr defaultRowHeight="15" x14ac:dyDescent="0.25"/>
  <cols>
    <col min="1" max="1" width="26.5703125" customWidth="1"/>
    <col min="2" max="2" width="19.85546875" customWidth="1"/>
    <col min="3" max="3" width="11.42578125" customWidth="1"/>
    <col min="4" max="4" width="56.85546875" customWidth="1"/>
    <col min="5" max="5" width="16" customWidth="1"/>
    <col min="6" max="6" width="13.7109375" customWidth="1"/>
    <col min="7" max="7" width="15.7109375" customWidth="1"/>
    <col min="8" max="8" width="16.28515625" customWidth="1"/>
    <col min="9" max="9" width="31.140625" customWidth="1"/>
    <col min="10" max="10" width="21.140625" customWidth="1"/>
    <col min="11" max="11" width="13.28515625" customWidth="1"/>
    <col min="12" max="12" width="21.28515625" customWidth="1"/>
    <col min="13" max="13" width="36.140625" customWidth="1"/>
    <col min="14" max="14" width="18.140625" customWidth="1"/>
    <col min="15" max="15" width="14.140625" customWidth="1"/>
    <col min="16" max="16" width="10.85546875" customWidth="1"/>
  </cols>
  <sheetData>
    <row r="1" spans="1:16" s="1" customFormat="1" ht="30" customHeight="1" thickBot="1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</row>
    <row r="2" spans="1:16" ht="15.75" thickTop="1" x14ac:dyDescent="0.25">
      <c r="A2" t="s">
        <v>16</v>
      </c>
      <c r="B2" t="s">
        <v>3221</v>
      </c>
      <c r="C2">
        <v>13125</v>
      </c>
      <c r="D2" t="s">
        <v>3733</v>
      </c>
      <c r="E2" t="s">
        <v>2629</v>
      </c>
      <c r="F2">
        <v>50</v>
      </c>
      <c r="G2">
        <v>230928</v>
      </c>
      <c r="H2">
        <v>4362</v>
      </c>
      <c r="I2" t="s">
        <v>79</v>
      </c>
      <c r="J2">
        <v>62</v>
      </c>
      <c r="K2">
        <v>12</v>
      </c>
      <c r="L2">
        <v>69501</v>
      </c>
      <c r="M2" t="s">
        <v>185</v>
      </c>
      <c r="N2" t="str">
        <f>"10953       "</f>
        <v xml:space="preserve">10953       </v>
      </c>
      <c r="O2">
        <v>231004</v>
      </c>
    </row>
    <row r="3" spans="1:16" x14ac:dyDescent="0.25">
      <c r="A3" t="s">
        <v>16</v>
      </c>
      <c r="B3" t="s">
        <v>3221</v>
      </c>
      <c r="C3">
        <v>13125</v>
      </c>
      <c r="D3" t="s">
        <v>3733</v>
      </c>
      <c r="E3" t="s">
        <v>2629</v>
      </c>
      <c r="F3">
        <v>260</v>
      </c>
      <c r="G3">
        <v>230928</v>
      </c>
      <c r="H3">
        <v>4840</v>
      </c>
      <c r="I3" t="s">
        <v>19</v>
      </c>
      <c r="J3">
        <v>322.39999999999998</v>
      </c>
      <c r="K3">
        <v>62.4</v>
      </c>
      <c r="L3">
        <v>69501</v>
      </c>
      <c r="M3" t="s">
        <v>185</v>
      </c>
      <c r="N3" t="str">
        <f>"10953       "</f>
        <v xml:space="preserve">10953       </v>
      </c>
      <c r="O3">
        <v>231004</v>
      </c>
    </row>
    <row r="4" spans="1:16" x14ac:dyDescent="0.25">
      <c r="A4" t="s">
        <v>16</v>
      </c>
      <c r="B4" t="s">
        <v>3221</v>
      </c>
      <c r="C4">
        <v>14518</v>
      </c>
      <c r="D4" t="s">
        <v>448</v>
      </c>
      <c r="E4" t="s">
        <v>449</v>
      </c>
      <c r="F4">
        <v>800</v>
      </c>
      <c r="G4">
        <v>231016</v>
      </c>
      <c r="H4">
        <v>4362</v>
      </c>
      <c r="I4" t="s">
        <v>79</v>
      </c>
      <c r="J4">
        <v>992</v>
      </c>
      <c r="K4">
        <v>192</v>
      </c>
      <c r="L4">
        <v>13501</v>
      </c>
      <c r="M4" t="s">
        <v>20</v>
      </c>
      <c r="N4" t="str">
        <f>"648947      "</f>
        <v xml:space="preserve">648947      </v>
      </c>
      <c r="O4">
        <v>231030</v>
      </c>
    </row>
    <row r="5" spans="1:16" x14ac:dyDescent="0.25">
      <c r="A5" t="s">
        <v>16</v>
      </c>
      <c r="B5" t="s">
        <v>3221</v>
      </c>
      <c r="C5">
        <v>14549</v>
      </c>
      <c r="D5" t="s">
        <v>448</v>
      </c>
      <c r="E5" t="s">
        <v>449</v>
      </c>
      <c r="F5">
        <v>135.58000000000001</v>
      </c>
      <c r="G5">
        <v>231018</v>
      </c>
      <c r="H5">
        <v>4362</v>
      </c>
      <c r="I5" t="s">
        <v>79</v>
      </c>
      <c r="J5">
        <v>168.12</v>
      </c>
      <c r="K5">
        <v>32.54</v>
      </c>
      <c r="L5">
        <v>13501</v>
      </c>
      <c r="M5" t="s">
        <v>20</v>
      </c>
      <c r="N5" t="str">
        <f>"650821      "</f>
        <v xml:space="preserve">650821      </v>
      </c>
      <c r="O5">
        <v>231030</v>
      </c>
    </row>
    <row r="6" spans="1:16" x14ac:dyDescent="0.25">
      <c r="A6" t="s">
        <v>16</v>
      </c>
      <c r="B6" t="s">
        <v>3221</v>
      </c>
      <c r="C6">
        <v>14549</v>
      </c>
      <c r="D6" t="s">
        <v>448</v>
      </c>
      <c r="E6" t="s">
        <v>449</v>
      </c>
      <c r="F6">
        <v>12.06</v>
      </c>
      <c r="G6">
        <v>231018</v>
      </c>
      <c r="H6">
        <v>4362</v>
      </c>
      <c r="I6" t="s">
        <v>79</v>
      </c>
      <c r="J6">
        <v>14.95</v>
      </c>
      <c r="K6">
        <v>2.89</v>
      </c>
      <c r="L6">
        <v>13501</v>
      </c>
      <c r="M6" t="s">
        <v>20</v>
      </c>
      <c r="N6" t="str">
        <f>"650821      "</f>
        <v xml:space="preserve">650821      </v>
      </c>
      <c r="O6">
        <v>231030</v>
      </c>
    </row>
    <row r="7" spans="1:16" x14ac:dyDescent="0.25">
      <c r="A7" t="s">
        <v>16</v>
      </c>
      <c r="B7" t="s">
        <v>3221</v>
      </c>
      <c r="C7">
        <v>14575</v>
      </c>
      <c r="D7" t="s">
        <v>448</v>
      </c>
      <c r="E7" t="s">
        <v>449</v>
      </c>
      <c r="F7">
        <v>33.76</v>
      </c>
      <c r="G7">
        <v>231018</v>
      </c>
      <c r="H7">
        <v>4362</v>
      </c>
      <c r="I7" t="s">
        <v>79</v>
      </c>
      <c r="J7">
        <v>41.86</v>
      </c>
      <c r="K7">
        <v>8.1</v>
      </c>
      <c r="L7">
        <v>13401</v>
      </c>
      <c r="M7" t="s">
        <v>80</v>
      </c>
      <c r="N7" t="str">
        <f>"650819      "</f>
        <v xml:space="preserve">650819      </v>
      </c>
      <c r="O7">
        <v>231030</v>
      </c>
    </row>
    <row r="8" spans="1:16" x14ac:dyDescent="0.25">
      <c r="A8" t="s">
        <v>16</v>
      </c>
      <c r="B8" t="s">
        <v>3221</v>
      </c>
      <c r="C8">
        <v>3160</v>
      </c>
      <c r="D8" t="s">
        <v>448</v>
      </c>
      <c r="E8" t="s">
        <v>449</v>
      </c>
      <c r="F8">
        <v>4780.6400000000003</v>
      </c>
      <c r="G8">
        <v>230401</v>
      </c>
      <c r="H8">
        <v>4362</v>
      </c>
      <c r="I8" t="s">
        <v>79</v>
      </c>
      <c r="J8">
        <v>5927.99</v>
      </c>
      <c r="K8">
        <v>1147.3499999999999</v>
      </c>
      <c r="L8">
        <v>13501</v>
      </c>
      <c r="M8" t="s">
        <v>20</v>
      </c>
      <c r="N8" t="str">
        <f>"0172140-5/19"</f>
        <v>0172140-5/19</v>
      </c>
      <c r="O8">
        <v>230309</v>
      </c>
    </row>
    <row r="9" spans="1:16" x14ac:dyDescent="0.25">
      <c r="A9" t="s">
        <v>16</v>
      </c>
      <c r="B9" t="s">
        <v>3221</v>
      </c>
      <c r="C9">
        <v>8960</v>
      </c>
      <c r="D9" t="s">
        <v>448</v>
      </c>
      <c r="E9" t="s">
        <v>449</v>
      </c>
      <c r="F9">
        <v>4790.9799999999996</v>
      </c>
      <c r="G9">
        <v>230701</v>
      </c>
      <c r="H9">
        <v>4362</v>
      </c>
      <c r="I9" t="s">
        <v>79</v>
      </c>
      <c r="J9">
        <v>5940.82</v>
      </c>
      <c r="K9">
        <v>1149.8399999999999</v>
      </c>
      <c r="L9">
        <v>13501</v>
      </c>
      <c r="M9" t="s">
        <v>20</v>
      </c>
      <c r="N9" t="str">
        <f>"1215179-5/19"</f>
        <v>1215179-5/19</v>
      </c>
      <c r="O9">
        <v>230620</v>
      </c>
    </row>
    <row r="10" spans="1:16" x14ac:dyDescent="0.25">
      <c r="A10" t="s">
        <v>16</v>
      </c>
      <c r="B10" t="s">
        <v>3221</v>
      </c>
      <c r="C10">
        <v>12355</v>
      </c>
      <c r="D10" t="s">
        <v>448</v>
      </c>
      <c r="E10" t="s">
        <v>449</v>
      </c>
      <c r="F10">
        <v>5832.67</v>
      </c>
      <c r="G10">
        <v>231001</v>
      </c>
      <c r="H10">
        <v>4362</v>
      </c>
      <c r="I10" t="s">
        <v>79</v>
      </c>
      <c r="J10">
        <v>7232.51</v>
      </c>
      <c r="K10">
        <v>1399.84</v>
      </c>
      <c r="L10">
        <v>13401</v>
      </c>
      <c r="M10" t="s">
        <v>80</v>
      </c>
      <c r="N10" t="str">
        <f>"323492-15/19"</f>
        <v>323492-15/19</v>
      </c>
      <c r="O10">
        <v>230918</v>
      </c>
    </row>
    <row r="11" spans="1:16" x14ac:dyDescent="0.25">
      <c r="A11" t="s">
        <v>16</v>
      </c>
      <c r="B11" t="s">
        <v>3221</v>
      </c>
      <c r="C11">
        <v>12355</v>
      </c>
      <c r="D11" t="s">
        <v>448</v>
      </c>
      <c r="E11" t="s">
        <v>449</v>
      </c>
      <c r="F11">
        <v>34.53</v>
      </c>
      <c r="G11">
        <v>231001</v>
      </c>
      <c r="H11">
        <v>4362</v>
      </c>
      <c r="I11" t="s">
        <v>79</v>
      </c>
      <c r="J11">
        <v>42.82</v>
      </c>
      <c r="K11">
        <v>8.2899999999999991</v>
      </c>
      <c r="L11">
        <v>13401</v>
      </c>
      <c r="M11" t="s">
        <v>80</v>
      </c>
      <c r="N11" t="str">
        <f>"323492-15/19"</f>
        <v>323492-15/19</v>
      </c>
      <c r="O11">
        <v>230918</v>
      </c>
    </row>
    <row r="12" spans="1:16" x14ac:dyDescent="0.25">
      <c r="A12" t="s">
        <v>16</v>
      </c>
      <c r="B12" t="s">
        <v>3221</v>
      </c>
      <c r="C12">
        <v>12355</v>
      </c>
      <c r="D12" t="s">
        <v>448</v>
      </c>
      <c r="E12" t="s">
        <v>449</v>
      </c>
      <c r="F12">
        <v>94.52</v>
      </c>
      <c r="G12">
        <v>231001</v>
      </c>
      <c r="H12">
        <v>4362</v>
      </c>
      <c r="I12" t="s">
        <v>79</v>
      </c>
      <c r="J12">
        <v>117.2</v>
      </c>
      <c r="K12">
        <v>22.68</v>
      </c>
      <c r="L12">
        <v>13401</v>
      </c>
      <c r="M12" t="s">
        <v>80</v>
      </c>
      <c r="N12" t="str">
        <f>"323492-15/19"</f>
        <v>323492-15/19</v>
      </c>
      <c r="O12">
        <v>230918</v>
      </c>
    </row>
    <row r="13" spans="1:16" x14ac:dyDescent="0.25">
      <c r="A13" t="s">
        <v>16</v>
      </c>
      <c r="B13" t="s">
        <v>3221</v>
      </c>
      <c r="C13">
        <v>12357</v>
      </c>
      <c r="D13" t="s">
        <v>448</v>
      </c>
      <c r="E13" t="s">
        <v>449</v>
      </c>
      <c r="F13">
        <v>4081.68</v>
      </c>
      <c r="G13">
        <v>231001</v>
      </c>
      <c r="H13">
        <v>4362</v>
      </c>
      <c r="I13" t="s">
        <v>79</v>
      </c>
      <c r="J13">
        <v>5061.28</v>
      </c>
      <c r="K13">
        <v>979.6</v>
      </c>
      <c r="L13">
        <v>13501</v>
      </c>
      <c r="M13" t="s">
        <v>20</v>
      </c>
      <c r="N13" t="str">
        <f>"2323492-5/19"</f>
        <v>2323492-5/19</v>
      </c>
      <c r="O13">
        <v>230918</v>
      </c>
    </row>
    <row r="14" spans="1:16" x14ac:dyDescent="0.25">
      <c r="A14" t="s">
        <v>16</v>
      </c>
      <c r="B14" t="s">
        <v>3221</v>
      </c>
      <c r="C14">
        <v>14527</v>
      </c>
      <c r="D14" t="s">
        <v>448</v>
      </c>
      <c r="E14" t="s">
        <v>449</v>
      </c>
      <c r="F14">
        <v>50</v>
      </c>
      <c r="G14">
        <v>231016</v>
      </c>
      <c r="H14">
        <v>4580</v>
      </c>
      <c r="I14" t="s">
        <v>35</v>
      </c>
      <c r="J14">
        <v>62</v>
      </c>
      <c r="K14">
        <v>12</v>
      </c>
      <c r="L14">
        <v>61122</v>
      </c>
      <c r="M14" t="s">
        <v>402</v>
      </c>
      <c r="N14" t="str">
        <f t="shared" ref="N14:N19" si="0">"648949      "</f>
        <v xml:space="preserve">648949      </v>
      </c>
      <c r="O14">
        <v>231030</v>
      </c>
    </row>
    <row r="15" spans="1:16" x14ac:dyDescent="0.25">
      <c r="A15" t="s">
        <v>16</v>
      </c>
      <c r="B15" t="s">
        <v>3221</v>
      </c>
      <c r="C15">
        <v>14527</v>
      </c>
      <c r="D15" t="s">
        <v>448</v>
      </c>
      <c r="E15" t="s">
        <v>449</v>
      </c>
      <c r="F15">
        <v>40</v>
      </c>
      <c r="G15">
        <v>231016</v>
      </c>
      <c r="H15">
        <v>4580</v>
      </c>
      <c r="I15" t="s">
        <v>35</v>
      </c>
      <c r="J15">
        <v>49.6</v>
      </c>
      <c r="K15">
        <v>9.6</v>
      </c>
      <c r="L15">
        <v>65222</v>
      </c>
      <c r="M15" t="s">
        <v>487</v>
      </c>
      <c r="N15" t="str">
        <f t="shared" si="0"/>
        <v xml:space="preserve">648949      </v>
      </c>
      <c r="O15">
        <v>231030</v>
      </c>
    </row>
    <row r="16" spans="1:16" x14ac:dyDescent="0.25">
      <c r="A16" t="s">
        <v>16</v>
      </c>
      <c r="B16" t="s">
        <v>3221</v>
      </c>
      <c r="C16">
        <v>14527</v>
      </c>
      <c r="D16" t="s">
        <v>448</v>
      </c>
      <c r="E16" t="s">
        <v>449</v>
      </c>
      <c r="F16">
        <v>160</v>
      </c>
      <c r="G16">
        <v>231016</v>
      </c>
      <c r="H16">
        <v>4580</v>
      </c>
      <c r="I16" t="s">
        <v>35</v>
      </c>
      <c r="J16">
        <v>198.4</v>
      </c>
      <c r="K16">
        <v>38.4</v>
      </c>
      <c r="L16">
        <v>69702</v>
      </c>
      <c r="M16" t="s">
        <v>489</v>
      </c>
      <c r="N16" t="str">
        <f t="shared" si="0"/>
        <v xml:space="preserve">648949      </v>
      </c>
      <c r="O16">
        <v>231030</v>
      </c>
    </row>
    <row r="17" spans="1:15" x14ac:dyDescent="0.25">
      <c r="A17" t="s">
        <v>16</v>
      </c>
      <c r="B17" t="s">
        <v>3221</v>
      </c>
      <c r="C17">
        <v>14527</v>
      </c>
      <c r="D17" t="s">
        <v>448</v>
      </c>
      <c r="E17" t="s">
        <v>449</v>
      </c>
      <c r="F17">
        <v>80</v>
      </c>
      <c r="G17">
        <v>231016</v>
      </c>
      <c r="H17">
        <v>4580</v>
      </c>
      <c r="I17" t="s">
        <v>35</v>
      </c>
      <c r="J17">
        <v>99.2</v>
      </c>
      <c r="K17">
        <v>19.2</v>
      </c>
      <c r="L17">
        <v>69703</v>
      </c>
      <c r="M17" t="s">
        <v>1036</v>
      </c>
      <c r="N17" t="str">
        <f t="shared" si="0"/>
        <v xml:space="preserve">648949      </v>
      </c>
      <c r="O17">
        <v>231030</v>
      </c>
    </row>
    <row r="18" spans="1:15" x14ac:dyDescent="0.25">
      <c r="A18" t="s">
        <v>16</v>
      </c>
      <c r="B18" t="s">
        <v>3221</v>
      </c>
      <c r="C18">
        <v>14527</v>
      </c>
      <c r="D18" t="s">
        <v>448</v>
      </c>
      <c r="E18" t="s">
        <v>449</v>
      </c>
      <c r="F18">
        <v>160</v>
      </c>
      <c r="G18">
        <v>231016</v>
      </c>
      <c r="H18">
        <v>4580</v>
      </c>
      <c r="I18" t="s">
        <v>35</v>
      </c>
      <c r="J18">
        <v>198.4</v>
      </c>
      <c r="K18">
        <v>38.4</v>
      </c>
      <c r="L18">
        <v>69704</v>
      </c>
      <c r="M18" t="s">
        <v>325</v>
      </c>
      <c r="N18" t="str">
        <f t="shared" si="0"/>
        <v xml:space="preserve">648949      </v>
      </c>
      <c r="O18">
        <v>231030</v>
      </c>
    </row>
    <row r="19" spans="1:15" x14ac:dyDescent="0.25">
      <c r="A19" t="s">
        <v>16</v>
      </c>
      <c r="B19" t="s">
        <v>3221</v>
      </c>
      <c r="C19">
        <v>14527</v>
      </c>
      <c r="D19" t="s">
        <v>448</v>
      </c>
      <c r="E19" t="s">
        <v>449</v>
      </c>
      <c r="F19">
        <v>120</v>
      </c>
      <c r="G19">
        <v>231016</v>
      </c>
      <c r="H19">
        <v>4580</v>
      </c>
      <c r="I19" t="s">
        <v>35</v>
      </c>
      <c r="J19">
        <v>148.80000000000001</v>
      </c>
      <c r="K19">
        <v>28.8</v>
      </c>
      <c r="L19">
        <v>69707</v>
      </c>
      <c r="M19" t="s">
        <v>490</v>
      </c>
      <c r="N19" t="str">
        <f t="shared" si="0"/>
        <v xml:space="preserve">648949      </v>
      </c>
      <c r="O19">
        <v>231030</v>
      </c>
    </row>
    <row r="20" spans="1:15" x14ac:dyDescent="0.25">
      <c r="A20" t="s">
        <v>16</v>
      </c>
      <c r="B20" t="s">
        <v>3221</v>
      </c>
      <c r="C20">
        <v>14530</v>
      </c>
      <c r="D20" t="s">
        <v>448</v>
      </c>
      <c r="E20" t="s">
        <v>449</v>
      </c>
      <c r="F20">
        <v>1200</v>
      </c>
      <c r="G20">
        <v>231016</v>
      </c>
      <c r="H20">
        <v>4580</v>
      </c>
      <c r="I20" t="s">
        <v>35</v>
      </c>
      <c r="J20">
        <v>1488</v>
      </c>
      <c r="K20">
        <v>288</v>
      </c>
      <c r="L20">
        <v>17807</v>
      </c>
      <c r="M20" t="s">
        <v>318</v>
      </c>
      <c r="N20" t="str">
        <f>"648950      "</f>
        <v xml:space="preserve">648950      </v>
      </c>
      <c r="O20">
        <v>231030</v>
      </c>
    </row>
    <row r="21" spans="1:15" x14ac:dyDescent="0.25">
      <c r="A21" t="s">
        <v>16</v>
      </c>
      <c r="B21" t="s">
        <v>3221</v>
      </c>
      <c r="C21">
        <v>18361</v>
      </c>
      <c r="D21" t="s">
        <v>448</v>
      </c>
      <c r="E21" t="s">
        <v>449</v>
      </c>
      <c r="F21">
        <v>60</v>
      </c>
      <c r="G21">
        <v>231212</v>
      </c>
      <c r="H21">
        <v>4580</v>
      </c>
      <c r="I21" t="s">
        <v>35</v>
      </c>
      <c r="J21">
        <v>74.400000000000006</v>
      </c>
      <c r="K21">
        <v>14.4</v>
      </c>
      <c r="L21">
        <v>14972</v>
      </c>
      <c r="M21" t="s">
        <v>898</v>
      </c>
      <c r="N21" t="str">
        <f>"653251      "</f>
        <v xml:space="preserve">653251      </v>
      </c>
      <c r="O21">
        <v>240103</v>
      </c>
    </row>
    <row r="22" spans="1:15" x14ac:dyDescent="0.25">
      <c r="A22" t="s">
        <v>16</v>
      </c>
      <c r="B22" t="s">
        <v>3221</v>
      </c>
      <c r="C22">
        <v>3761</v>
      </c>
      <c r="D22" t="s">
        <v>448</v>
      </c>
      <c r="E22" t="s">
        <v>449</v>
      </c>
      <c r="F22">
        <v>163.31</v>
      </c>
      <c r="G22">
        <v>230401</v>
      </c>
      <c r="H22">
        <v>4580</v>
      </c>
      <c r="I22" t="s">
        <v>35</v>
      </c>
      <c r="J22">
        <v>202.5</v>
      </c>
      <c r="K22">
        <v>39.19</v>
      </c>
      <c r="L22">
        <v>16121</v>
      </c>
      <c r="M22" t="s">
        <v>21</v>
      </c>
      <c r="N22" t="str">
        <f>"0172140-7/19"</f>
        <v>0172140-7/19</v>
      </c>
      <c r="O22">
        <v>230321</v>
      </c>
    </row>
    <row r="23" spans="1:15" x14ac:dyDescent="0.25">
      <c r="A23" t="s">
        <v>16</v>
      </c>
      <c r="B23" t="s">
        <v>3221</v>
      </c>
      <c r="C23">
        <v>12609</v>
      </c>
      <c r="D23" t="s">
        <v>448</v>
      </c>
      <c r="E23" t="s">
        <v>449</v>
      </c>
      <c r="F23">
        <v>163.31</v>
      </c>
      <c r="G23">
        <v>231001</v>
      </c>
      <c r="H23">
        <v>4580</v>
      </c>
      <c r="I23" t="s">
        <v>35</v>
      </c>
      <c r="J23">
        <v>202.5</v>
      </c>
      <c r="K23">
        <v>39.19</v>
      </c>
      <c r="L23">
        <v>16121</v>
      </c>
      <c r="M23" t="s">
        <v>21</v>
      </c>
      <c r="N23" t="str">
        <f>"2323492-7/19"</f>
        <v>2323492-7/19</v>
      </c>
      <c r="O23">
        <v>230922</v>
      </c>
    </row>
    <row r="24" spans="1:15" x14ac:dyDescent="0.25">
      <c r="A24" t="s">
        <v>16</v>
      </c>
      <c r="B24" t="s">
        <v>3221</v>
      </c>
      <c r="C24">
        <v>309</v>
      </c>
      <c r="D24" t="s">
        <v>448</v>
      </c>
      <c r="E24" t="s">
        <v>449</v>
      </c>
      <c r="F24">
        <v>12.74</v>
      </c>
      <c r="G24">
        <v>230117</v>
      </c>
      <c r="H24">
        <v>4840</v>
      </c>
      <c r="I24" t="s">
        <v>19</v>
      </c>
      <c r="J24">
        <v>15.8</v>
      </c>
      <c r="K24">
        <v>3.06</v>
      </c>
      <c r="L24">
        <v>16930</v>
      </c>
      <c r="M24" t="s">
        <v>450</v>
      </c>
      <c r="N24" t="str">
        <f t="shared" ref="N24:N35" si="1">"630863      "</f>
        <v xml:space="preserve">630863      </v>
      </c>
      <c r="O24">
        <v>230118</v>
      </c>
    </row>
    <row r="25" spans="1:15" x14ac:dyDescent="0.25">
      <c r="A25" t="s">
        <v>16</v>
      </c>
      <c r="B25" t="s">
        <v>3221</v>
      </c>
      <c r="C25">
        <v>309</v>
      </c>
      <c r="D25" t="s">
        <v>448</v>
      </c>
      <c r="E25" t="s">
        <v>449</v>
      </c>
      <c r="F25">
        <v>12.73</v>
      </c>
      <c r="G25">
        <v>230117</v>
      </c>
      <c r="H25">
        <v>4840</v>
      </c>
      <c r="I25" t="s">
        <v>19</v>
      </c>
      <c r="J25">
        <v>15.79</v>
      </c>
      <c r="K25">
        <v>3.06</v>
      </c>
      <c r="L25">
        <v>17521</v>
      </c>
      <c r="M25" t="s">
        <v>133</v>
      </c>
      <c r="N25" t="str">
        <f t="shared" si="1"/>
        <v xml:space="preserve">630863      </v>
      </c>
      <c r="O25">
        <v>230118</v>
      </c>
    </row>
    <row r="26" spans="1:15" x14ac:dyDescent="0.25">
      <c r="A26" t="s">
        <v>16</v>
      </c>
      <c r="B26" t="s">
        <v>3221</v>
      </c>
      <c r="C26">
        <v>309</v>
      </c>
      <c r="D26" t="s">
        <v>448</v>
      </c>
      <c r="E26" t="s">
        <v>449</v>
      </c>
      <c r="F26">
        <v>1.63</v>
      </c>
      <c r="G26">
        <v>230117</v>
      </c>
      <c r="H26">
        <v>4840</v>
      </c>
      <c r="I26" t="s">
        <v>19</v>
      </c>
      <c r="J26">
        <v>2.02</v>
      </c>
      <c r="K26">
        <v>0.39</v>
      </c>
      <c r="L26">
        <v>17522</v>
      </c>
      <c r="M26" t="s">
        <v>451</v>
      </c>
      <c r="N26" t="str">
        <f t="shared" si="1"/>
        <v xml:space="preserve">630863      </v>
      </c>
      <c r="O26">
        <v>230118</v>
      </c>
    </row>
    <row r="27" spans="1:15" x14ac:dyDescent="0.25">
      <c r="A27" t="s">
        <v>16</v>
      </c>
      <c r="B27" t="s">
        <v>3221</v>
      </c>
      <c r="C27">
        <v>309</v>
      </c>
      <c r="D27" t="s">
        <v>448</v>
      </c>
      <c r="E27" t="s">
        <v>449</v>
      </c>
      <c r="F27">
        <v>53.23</v>
      </c>
      <c r="G27">
        <v>230117</v>
      </c>
      <c r="H27">
        <v>4840</v>
      </c>
      <c r="I27" t="s">
        <v>19</v>
      </c>
      <c r="J27">
        <v>66</v>
      </c>
      <c r="K27">
        <v>12.77</v>
      </c>
      <c r="L27">
        <v>17524</v>
      </c>
      <c r="M27" t="s">
        <v>452</v>
      </c>
      <c r="N27" t="str">
        <f t="shared" si="1"/>
        <v xml:space="preserve">630863      </v>
      </c>
      <c r="O27">
        <v>230118</v>
      </c>
    </row>
    <row r="28" spans="1:15" x14ac:dyDescent="0.25">
      <c r="A28" t="s">
        <v>16</v>
      </c>
      <c r="B28" t="s">
        <v>3221</v>
      </c>
      <c r="C28">
        <v>309</v>
      </c>
      <c r="D28" t="s">
        <v>448</v>
      </c>
      <c r="E28" t="s">
        <v>449</v>
      </c>
      <c r="F28">
        <v>10.56</v>
      </c>
      <c r="G28">
        <v>230117</v>
      </c>
      <c r="H28">
        <v>4840</v>
      </c>
      <c r="I28" t="s">
        <v>19</v>
      </c>
      <c r="J28">
        <v>13.09</v>
      </c>
      <c r="K28">
        <v>2.5299999999999998</v>
      </c>
      <c r="L28">
        <v>17527</v>
      </c>
      <c r="M28" t="s">
        <v>422</v>
      </c>
      <c r="N28" t="str">
        <f t="shared" si="1"/>
        <v xml:space="preserve">630863      </v>
      </c>
      <c r="O28">
        <v>230118</v>
      </c>
    </row>
    <row r="29" spans="1:15" x14ac:dyDescent="0.25">
      <c r="A29" t="s">
        <v>16</v>
      </c>
      <c r="B29" t="s">
        <v>3221</v>
      </c>
      <c r="C29">
        <v>309</v>
      </c>
      <c r="D29" t="s">
        <v>448</v>
      </c>
      <c r="E29" t="s">
        <v>449</v>
      </c>
      <c r="F29">
        <v>124.18</v>
      </c>
      <c r="G29">
        <v>230117</v>
      </c>
      <c r="H29">
        <v>4840</v>
      </c>
      <c r="I29" t="s">
        <v>19</v>
      </c>
      <c r="J29">
        <v>153.97999999999999</v>
      </c>
      <c r="K29">
        <v>29.8</v>
      </c>
      <c r="L29">
        <v>17529</v>
      </c>
      <c r="M29" t="s">
        <v>453</v>
      </c>
      <c r="N29" t="str">
        <f t="shared" si="1"/>
        <v xml:space="preserve">630863      </v>
      </c>
      <c r="O29">
        <v>230118</v>
      </c>
    </row>
    <row r="30" spans="1:15" x14ac:dyDescent="0.25">
      <c r="A30" t="s">
        <v>16</v>
      </c>
      <c r="B30" t="s">
        <v>3221</v>
      </c>
      <c r="C30">
        <v>309</v>
      </c>
      <c r="D30" t="s">
        <v>448</v>
      </c>
      <c r="E30" t="s">
        <v>449</v>
      </c>
      <c r="F30">
        <v>987.19</v>
      </c>
      <c r="G30">
        <v>230117</v>
      </c>
      <c r="H30">
        <v>4840</v>
      </c>
      <c r="I30" t="s">
        <v>19</v>
      </c>
      <c r="J30">
        <v>1224.1199999999999</v>
      </c>
      <c r="K30">
        <v>236.93</v>
      </c>
      <c r="L30">
        <v>17530</v>
      </c>
      <c r="M30" t="s">
        <v>454</v>
      </c>
      <c r="N30" t="str">
        <f t="shared" si="1"/>
        <v xml:space="preserve">630863      </v>
      </c>
      <c r="O30">
        <v>230118</v>
      </c>
    </row>
    <row r="31" spans="1:15" x14ac:dyDescent="0.25">
      <c r="A31" t="s">
        <v>16</v>
      </c>
      <c r="B31" t="s">
        <v>3221</v>
      </c>
      <c r="C31">
        <v>309</v>
      </c>
      <c r="D31" t="s">
        <v>448</v>
      </c>
      <c r="E31" t="s">
        <v>449</v>
      </c>
      <c r="F31">
        <v>10.210000000000001</v>
      </c>
      <c r="G31">
        <v>230117</v>
      </c>
      <c r="H31">
        <v>4840</v>
      </c>
      <c r="I31" t="s">
        <v>19</v>
      </c>
      <c r="J31">
        <v>12.66</v>
      </c>
      <c r="K31">
        <v>2.4500000000000002</v>
      </c>
      <c r="L31">
        <v>17531</v>
      </c>
      <c r="M31" t="s">
        <v>136</v>
      </c>
      <c r="N31" t="str">
        <f t="shared" si="1"/>
        <v xml:space="preserve">630863      </v>
      </c>
      <c r="O31">
        <v>230118</v>
      </c>
    </row>
    <row r="32" spans="1:15" x14ac:dyDescent="0.25">
      <c r="A32" t="s">
        <v>16</v>
      </c>
      <c r="B32" t="s">
        <v>3221</v>
      </c>
      <c r="C32">
        <v>309</v>
      </c>
      <c r="D32" t="s">
        <v>448</v>
      </c>
      <c r="E32" t="s">
        <v>449</v>
      </c>
      <c r="F32">
        <v>21.99</v>
      </c>
      <c r="G32">
        <v>230117</v>
      </c>
      <c r="H32">
        <v>4840</v>
      </c>
      <c r="I32" t="s">
        <v>19</v>
      </c>
      <c r="J32">
        <v>27.27</v>
      </c>
      <c r="K32">
        <v>5.28</v>
      </c>
      <c r="L32">
        <v>17537</v>
      </c>
      <c r="M32" t="s">
        <v>455</v>
      </c>
      <c r="N32" t="str">
        <f t="shared" si="1"/>
        <v xml:space="preserve">630863      </v>
      </c>
      <c r="O32">
        <v>230118</v>
      </c>
    </row>
    <row r="33" spans="1:15" x14ac:dyDescent="0.25">
      <c r="A33" t="s">
        <v>16</v>
      </c>
      <c r="B33" t="s">
        <v>3221</v>
      </c>
      <c r="C33">
        <v>309</v>
      </c>
      <c r="D33" t="s">
        <v>448</v>
      </c>
      <c r="E33" t="s">
        <v>449</v>
      </c>
      <c r="F33">
        <v>56.94</v>
      </c>
      <c r="G33">
        <v>230117</v>
      </c>
      <c r="H33">
        <v>4840</v>
      </c>
      <c r="I33" t="s">
        <v>19</v>
      </c>
      <c r="J33">
        <v>70.599999999999994</v>
      </c>
      <c r="K33">
        <v>13.66</v>
      </c>
      <c r="L33">
        <v>17538</v>
      </c>
      <c r="M33" t="s">
        <v>24</v>
      </c>
      <c r="N33" t="str">
        <f t="shared" si="1"/>
        <v xml:space="preserve">630863      </v>
      </c>
      <c r="O33">
        <v>230118</v>
      </c>
    </row>
    <row r="34" spans="1:15" x14ac:dyDescent="0.25">
      <c r="A34" t="s">
        <v>16</v>
      </c>
      <c r="B34" t="s">
        <v>3221</v>
      </c>
      <c r="C34">
        <v>309</v>
      </c>
      <c r="D34" t="s">
        <v>448</v>
      </c>
      <c r="E34" t="s">
        <v>449</v>
      </c>
      <c r="F34">
        <v>12.73</v>
      </c>
      <c r="G34">
        <v>230117</v>
      </c>
      <c r="H34">
        <v>4840</v>
      </c>
      <c r="I34" t="s">
        <v>19</v>
      </c>
      <c r="J34">
        <v>15.79</v>
      </c>
      <c r="K34">
        <v>3.06</v>
      </c>
      <c r="L34">
        <v>17950</v>
      </c>
      <c r="M34" t="s">
        <v>86</v>
      </c>
      <c r="N34" t="str">
        <f t="shared" si="1"/>
        <v xml:space="preserve">630863      </v>
      </c>
      <c r="O34">
        <v>230118</v>
      </c>
    </row>
    <row r="35" spans="1:15" x14ac:dyDescent="0.25">
      <c r="A35" t="s">
        <v>16</v>
      </c>
      <c r="B35" t="s">
        <v>3221</v>
      </c>
      <c r="C35">
        <v>309</v>
      </c>
      <c r="D35" t="s">
        <v>448</v>
      </c>
      <c r="E35" t="s">
        <v>449</v>
      </c>
      <c r="F35">
        <v>6.52</v>
      </c>
      <c r="G35">
        <v>230117</v>
      </c>
      <c r="H35">
        <v>4840</v>
      </c>
      <c r="I35" t="s">
        <v>19</v>
      </c>
      <c r="J35">
        <v>8.09</v>
      </c>
      <c r="K35">
        <v>1.57</v>
      </c>
      <c r="L35">
        <v>17971</v>
      </c>
      <c r="M35" t="s">
        <v>138</v>
      </c>
      <c r="N35" t="str">
        <f t="shared" si="1"/>
        <v xml:space="preserve">630863      </v>
      </c>
      <c r="O35">
        <v>230118</v>
      </c>
    </row>
    <row r="36" spans="1:15" x14ac:dyDescent="0.25">
      <c r="A36" t="s">
        <v>16</v>
      </c>
      <c r="B36" t="s">
        <v>3221</v>
      </c>
      <c r="C36">
        <v>329</v>
      </c>
      <c r="D36" t="s">
        <v>448</v>
      </c>
      <c r="E36" t="s">
        <v>449</v>
      </c>
      <c r="F36">
        <v>104.63</v>
      </c>
      <c r="G36">
        <v>230117</v>
      </c>
      <c r="H36">
        <v>4840</v>
      </c>
      <c r="I36" t="s">
        <v>19</v>
      </c>
      <c r="J36">
        <v>129.74</v>
      </c>
      <c r="K36">
        <v>25.11</v>
      </c>
      <c r="L36">
        <v>13502</v>
      </c>
      <c r="M36" t="s">
        <v>243</v>
      </c>
      <c r="N36" t="str">
        <f>"630869      "</f>
        <v xml:space="preserve">630869      </v>
      </c>
      <c r="O36">
        <v>230118</v>
      </c>
    </row>
    <row r="37" spans="1:15" x14ac:dyDescent="0.25">
      <c r="A37" t="s">
        <v>16</v>
      </c>
      <c r="B37" t="s">
        <v>3221</v>
      </c>
      <c r="C37">
        <v>343</v>
      </c>
      <c r="D37" t="s">
        <v>448</v>
      </c>
      <c r="E37" t="s">
        <v>449</v>
      </c>
      <c r="F37">
        <v>48.16</v>
      </c>
      <c r="G37">
        <v>230117</v>
      </c>
      <c r="H37">
        <v>4840</v>
      </c>
      <c r="I37" t="s">
        <v>19</v>
      </c>
      <c r="J37">
        <v>59.72</v>
      </c>
      <c r="K37">
        <v>11.56</v>
      </c>
      <c r="L37">
        <v>17131</v>
      </c>
      <c r="M37" t="s">
        <v>64</v>
      </c>
      <c r="N37" t="str">
        <f>"630871      "</f>
        <v xml:space="preserve">630871      </v>
      </c>
      <c r="O37">
        <v>230118</v>
      </c>
    </row>
    <row r="38" spans="1:15" x14ac:dyDescent="0.25">
      <c r="A38" t="s">
        <v>16</v>
      </c>
      <c r="B38" t="s">
        <v>3221</v>
      </c>
      <c r="C38">
        <v>343</v>
      </c>
      <c r="D38" t="s">
        <v>448</v>
      </c>
      <c r="E38" t="s">
        <v>449</v>
      </c>
      <c r="F38">
        <v>0.45</v>
      </c>
      <c r="G38">
        <v>230117</v>
      </c>
      <c r="H38">
        <v>4840</v>
      </c>
      <c r="I38" t="s">
        <v>19</v>
      </c>
      <c r="J38">
        <v>0.56000000000000005</v>
      </c>
      <c r="K38">
        <v>0.11</v>
      </c>
      <c r="L38">
        <v>17711</v>
      </c>
      <c r="M38" t="s">
        <v>65</v>
      </c>
      <c r="N38" t="str">
        <f>"630871      "</f>
        <v xml:space="preserve">630871      </v>
      </c>
      <c r="O38">
        <v>230118</v>
      </c>
    </row>
    <row r="39" spans="1:15" x14ac:dyDescent="0.25">
      <c r="A39" t="s">
        <v>16</v>
      </c>
      <c r="B39" t="s">
        <v>3221</v>
      </c>
      <c r="C39">
        <v>343</v>
      </c>
      <c r="D39" t="s">
        <v>448</v>
      </c>
      <c r="E39" t="s">
        <v>449</v>
      </c>
      <c r="F39">
        <v>4.1399999999999997</v>
      </c>
      <c r="G39">
        <v>230117</v>
      </c>
      <c r="H39">
        <v>4840</v>
      </c>
      <c r="I39" t="s">
        <v>19</v>
      </c>
      <c r="J39">
        <v>5.13</v>
      </c>
      <c r="K39">
        <v>0.99</v>
      </c>
      <c r="L39">
        <v>17972</v>
      </c>
      <c r="M39" t="s">
        <v>248</v>
      </c>
      <c r="N39" t="str">
        <f>"630871      "</f>
        <v xml:space="preserve">630871      </v>
      </c>
      <c r="O39">
        <v>230118</v>
      </c>
    </row>
    <row r="40" spans="1:15" x14ac:dyDescent="0.25">
      <c r="A40" t="s">
        <v>16</v>
      </c>
      <c r="B40" t="s">
        <v>3221</v>
      </c>
      <c r="C40">
        <v>354</v>
      </c>
      <c r="D40" t="s">
        <v>448</v>
      </c>
      <c r="E40" t="s">
        <v>449</v>
      </c>
      <c r="F40">
        <v>12.74</v>
      </c>
      <c r="G40">
        <v>230117</v>
      </c>
      <c r="H40">
        <v>4840</v>
      </c>
      <c r="I40" t="s">
        <v>19</v>
      </c>
      <c r="J40">
        <v>15.8</v>
      </c>
      <c r="K40">
        <v>3.06</v>
      </c>
      <c r="L40">
        <v>13661</v>
      </c>
      <c r="M40" t="s">
        <v>247</v>
      </c>
      <c r="N40" t="str">
        <f t="shared" ref="N40:N47" si="2">"630861      "</f>
        <v xml:space="preserve">630861      </v>
      </c>
      <c r="O40">
        <v>230119</v>
      </c>
    </row>
    <row r="41" spans="1:15" x14ac:dyDescent="0.25">
      <c r="A41" t="s">
        <v>16</v>
      </c>
      <c r="B41" t="s">
        <v>3221</v>
      </c>
      <c r="C41">
        <v>354</v>
      </c>
      <c r="D41" t="s">
        <v>448</v>
      </c>
      <c r="E41" t="s">
        <v>449</v>
      </c>
      <c r="F41">
        <v>33.07</v>
      </c>
      <c r="G41">
        <v>230117</v>
      </c>
      <c r="H41">
        <v>4840</v>
      </c>
      <c r="I41" t="s">
        <v>19</v>
      </c>
      <c r="J41">
        <v>41.01</v>
      </c>
      <c r="K41">
        <v>7.94</v>
      </c>
      <c r="L41">
        <v>16431</v>
      </c>
      <c r="M41" t="s">
        <v>231</v>
      </c>
      <c r="N41" t="str">
        <f t="shared" si="2"/>
        <v xml:space="preserve">630861      </v>
      </c>
      <c r="O41">
        <v>230119</v>
      </c>
    </row>
    <row r="42" spans="1:15" x14ac:dyDescent="0.25">
      <c r="A42" t="s">
        <v>16</v>
      </c>
      <c r="B42" t="s">
        <v>3221</v>
      </c>
      <c r="C42">
        <v>354</v>
      </c>
      <c r="D42" t="s">
        <v>448</v>
      </c>
      <c r="E42" t="s">
        <v>449</v>
      </c>
      <c r="F42">
        <v>29.27</v>
      </c>
      <c r="G42">
        <v>230117</v>
      </c>
      <c r="H42">
        <v>4840</v>
      </c>
      <c r="I42" t="s">
        <v>19</v>
      </c>
      <c r="J42">
        <v>36.299999999999997</v>
      </c>
      <c r="K42">
        <v>7.03</v>
      </c>
      <c r="L42">
        <v>17802</v>
      </c>
      <c r="M42" t="s">
        <v>174</v>
      </c>
      <c r="N42" t="str">
        <f t="shared" si="2"/>
        <v xml:space="preserve">630861      </v>
      </c>
      <c r="O42">
        <v>230119</v>
      </c>
    </row>
    <row r="43" spans="1:15" x14ac:dyDescent="0.25">
      <c r="A43" t="s">
        <v>16</v>
      </c>
      <c r="B43" t="s">
        <v>3221</v>
      </c>
      <c r="C43">
        <v>354</v>
      </c>
      <c r="D43" t="s">
        <v>448</v>
      </c>
      <c r="E43" t="s">
        <v>449</v>
      </c>
      <c r="F43">
        <v>20.52</v>
      </c>
      <c r="G43">
        <v>230117</v>
      </c>
      <c r="H43">
        <v>4840</v>
      </c>
      <c r="I43" t="s">
        <v>19</v>
      </c>
      <c r="J43">
        <v>25.44</v>
      </c>
      <c r="K43">
        <v>4.92</v>
      </c>
      <c r="L43">
        <v>17807</v>
      </c>
      <c r="M43" t="s">
        <v>318</v>
      </c>
      <c r="N43" t="str">
        <f t="shared" si="2"/>
        <v xml:space="preserve">630861      </v>
      </c>
      <c r="O43">
        <v>230119</v>
      </c>
    </row>
    <row r="44" spans="1:15" x14ac:dyDescent="0.25">
      <c r="A44" t="s">
        <v>16</v>
      </c>
      <c r="B44" t="s">
        <v>3221</v>
      </c>
      <c r="C44">
        <v>354</v>
      </c>
      <c r="D44" t="s">
        <v>448</v>
      </c>
      <c r="E44" t="s">
        <v>449</v>
      </c>
      <c r="F44">
        <v>208.03</v>
      </c>
      <c r="G44">
        <v>230117</v>
      </c>
      <c r="H44">
        <v>4840</v>
      </c>
      <c r="I44" t="s">
        <v>19</v>
      </c>
      <c r="J44">
        <v>257.95999999999998</v>
      </c>
      <c r="K44">
        <v>49.93</v>
      </c>
      <c r="L44">
        <v>17808</v>
      </c>
      <c r="M44" t="s">
        <v>322</v>
      </c>
      <c r="N44" t="str">
        <f t="shared" si="2"/>
        <v xml:space="preserve">630861      </v>
      </c>
      <c r="O44">
        <v>230119</v>
      </c>
    </row>
    <row r="45" spans="1:15" x14ac:dyDescent="0.25">
      <c r="A45" t="s">
        <v>16</v>
      </c>
      <c r="B45" t="s">
        <v>3221</v>
      </c>
      <c r="C45">
        <v>354</v>
      </c>
      <c r="D45" t="s">
        <v>448</v>
      </c>
      <c r="E45" t="s">
        <v>449</v>
      </c>
      <c r="F45">
        <v>141.66999999999999</v>
      </c>
      <c r="G45">
        <v>230117</v>
      </c>
      <c r="H45">
        <v>4840</v>
      </c>
      <c r="I45" t="s">
        <v>19</v>
      </c>
      <c r="J45">
        <v>175.67</v>
      </c>
      <c r="K45">
        <v>34</v>
      </c>
      <c r="L45">
        <v>17808</v>
      </c>
      <c r="M45" t="s">
        <v>322</v>
      </c>
      <c r="N45" t="str">
        <f t="shared" si="2"/>
        <v xml:space="preserve">630861      </v>
      </c>
      <c r="O45">
        <v>230119</v>
      </c>
    </row>
    <row r="46" spans="1:15" x14ac:dyDescent="0.25">
      <c r="A46" t="s">
        <v>16</v>
      </c>
      <c r="B46" t="s">
        <v>3221</v>
      </c>
      <c r="C46">
        <v>354</v>
      </c>
      <c r="D46" t="s">
        <v>448</v>
      </c>
      <c r="E46" t="s">
        <v>449</v>
      </c>
      <c r="F46">
        <v>20.43</v>
      </c>
      <c r="G46">
        <v>230117</v>
      </c>
      <c r="H46">
        <v>4840</v>
      </c>
      <c r="I46" t="s">
        <v>19</v>
      </c>
      <c r="J46">
        <v>25.33</v>
      </c>
      <c r="K46">
        <v>4.9000000000000004</v>
      </c>
      <c r="L46">
        <v>17971</v>
      </c>
      <c r="M46" t="s">
        <v>138</v>
      </c>
      <c r="N46" t="str">
        <f t="shared" si="2"/>
        <v xml:space="preserve">630861      </v>
      </c>
      <c r="O46">
        <v>230119</v>
      </c>
    </row>
    <row r="47" spans="1:15" x14ac:dyDescent="0.25">
      <c r="A47" t="s">
        <v>16</v>
      </c>
      <c r="B47" t="s">
        <v>3221</v>
      </c>
      <c r="C47">
        <v>354</v>
      </c>
      <c r="D47" t="s">
        <v>448</v>
      </c>
      <c r="E47" t="s">
        <v>449</v>
      </c>
      <c r="F47">
        <v>1.63</v>
      </c>
      <c r="G47">
        <v>230117</v>
      </c>
      <c r="H47">
        <v>4840</v>
      </c>
      <c r="I47" t="s">
        <v>19</v>
      </c>
      <c r="J47">
        <v>2.02</v>
      </c>
      <c r="K47">
        <v>0.39</v>
      </c>
      <c r="L47">
        <v>17972</v>
      </c>
      <c r="M47" t="s">
        <v>248</v>
      </c>
      <c r="N47" t="str">
        <f t="shared" si="2"/>
        <v xml:space="preserve">630861      </v>
      </c>
      <c r="O47">
        <v>230119</v>
      </c>
    </row>
    <row r="48" spans="1:15" x14ac:dyDescent="0.25">
      <c r="A48" t="s">
        <v>16</v>
      </c>
      <c r="B48" t="s">
        <v>3221</v>
      </c>
      <c r="C48">
        <v>355</v>
      </c>
      <c r="D48" t="s">
        <v>448</v>
      </c>
      <c r="E48" t="s">
        <v>449</v>
      </c>
      <c r="F48">
        <v>66.16</v>
      </c>
      <c r="G48">
        <v>230117</v>
      </c>
      <c r="H48">
        <v>4840</v>
      </c>
      <c r="I48" t="s">
        <v>19</v>
      </c>
      <c r="J48">
        <v>82.04</v>
      </c>
      <c r="K48">
        <v>15.88</v>
      </c>
      <c r="L48">
        <v>13801</v>
      </c>
      <c r="M48" t="s">
        <v>162</v>
      </c>
      <c r="N48" t="str">
        <f>"630868      "</f>
        <v xml:space="preserve">630868      </v>
      </c>
      <c r="O48">
        <v>230119</v>
      </c>
    </row>
    <row r="49" spans="1:15" x14ac:dyDescent="0.25">
      <c r="A49" t="s">
        <v>16</v>
      </c>
      <c r="B49" t="s">
        <v>3221</v>
      </c>
      <c r="C49">
        <v>372</v>
      </c>
      <c r="D49" t="s">
        <v>448</v>
      </c>
      <c r="E49" t="s">
        <v>449</v>
      </c>
      <c r="F49">
        <v>16.54</v>
      </c>
      <c r="G49">
        <v>230117</v>
      </c>
      <c r="H49">
        <v>4840</v>
      </c>
      <c r="I49" t="s">
        <v>19</v>
      </c>
      <c r="J49">
        <v>20.51</v>
      </c>
      <c r="K49">
        <v>3.97</v>
      </c>
      <c r="L49">
        <v>65222</v>
      </c>
      <c r="M49" t="s">
        <v>487</v>
      </c>
      <c r="N49" t="str">
        <f t="shared" ref="N49:N58" si="3">"630867      "</f>
        <v xml:space="preserve">630867      </v>
      </c>
      <c r="O49">
        <v>230119</v>
      </c>
    </row>
    <row r="50" spans="1:15" x14ac:dyDescent="0.25">
      <c r="A50" t="s">
        <v>16</v>
      </c>
      <c r="B50" t="s">
        <v>3221</v>
      </c>
      <c r="C50">
        <v>372</v>
      </c>
      <c r="D50" t="s">
        <v>448</v>
      </c>
      <c r="E50" t="s">
        <v>449</v>
      </c>
      <c r="F50">
        <v>6.3</v>
      </c>
      <c r="G50">
        <v>230117</v>
      </c>
      <c r="H50">
        <v>4840</v>
      </c>
      <c r="I50" t="s">
        <v>19</v>
      </c>
      <c r="J50">
        <v>7.81</v>
      </c>
      <c r="K50">
        <v>1.51</v>
      </c>
      <c r="L50">
        <v>66754</v>
      </c>
      <c r="M50" t="s">
        <v>239</v>
      </c>
      <c r="N50" t="str">
        <f t="shared" si="3"/>
        <v xml:space="preserve">630867      </v>
      </c>
      <c r="O50">
        <v>230119</v>
      </c>
    </row>
    <row r="51" spans="1:15" x14ac:dyDescent="0.25">
      <c r="A51" t="s">
        <v>16</v>
      </c>
      <c r="B51" t="s">
        <v>3221</v>
      </c>
      <c r="C51">
        <v>372</v>
      </c>
      <c r="D51" t="s">
        <v>448</v>
      </c>
      <c r="E51" t="s">
        <v>449</v>
      </c>
      <c r="F51">
        <v>148.81</v>
      </c>
      <c r="G51">
        <v>230117</v>
      </c>
      <c r="H51">
        <v>4840</v>
      </c>
      <c r="I51" t="s">
        <v>19</v>
      </c>
      <c r="J51">
        <v>184.52</v>
      </c>
      <c r="K51">
        <v>35.71</v>
      </c>
      <c r="L51">
        <v>66756</v>
      </c>
      <c r="M51" t="s">
        <v>209</v>
      </c>
      <c r="N51" t="str">
        <f t="shared" si="3"/>
        <v xml:space="preserve">630867      </v>
      </c>
      <c r="O51">
        <v>230119</v>
      </c>
    </row>
    <row r="52" spans="1:15" x14ac:dyDescent="0.25">
      <c r="A52" t="s">
        <v>16</v>
      </c>
      <c r="B52" t="s">
        <v>3221</v>
      </c>
      <c r="C52">
        <v>372</v>
      </c>
      <c r="D52" t="s">
        <v>448</v>
      </c>
      <c r="E52" t="s">
        <v>449</v>
      </c>
      <c r="F52">
        <v>6.4</v>
      </c>
      <c r="G52">
        <v>230117</v>
      </c>
      <c r="H52">
        <v>4840</v>
      </c>
      <c r="I52" t="s">
        <v>19</v>
      </c>
      <c r="J52">
        <v>7.94</v>
      </c>
      <c r="K52">
        <v>1.54</v>
      </c>
      <c r="L52">
        <v>67522</v>
      </c>
      <c r="M52" t="s">
        <v>397</v>
      </c>
      <c r="N52" t="str">
        <f t="shared" si="3"/>
        <v xml:space="preserve">630867      </v>
      </c>
      <c r="O52">
        <v>230119</v>
      </c>
    </row>
    <row r="53" spans="1:15" x14ac:dyDescent="0.25">
      <c r="A53" t="s">
        <v>16</v>
      </c>
      <c r="B53" t="s">
        <v>3221</v>
      </c>
      <c r="C53">
        <v>372</v>
      </c>
      <c r="D53" t="s">
        <v>448</v>
      </c>
      <c r="E53" t="s">
        <v>449</v>
      </c>
      <c r="F53">
        <v>1.71</v>
      </c>
      <c r="G53">
        <v>230117</v>
      </c>
      <c r="H53">
        <v>4840</v>
      </c>
      <c r="I53" t="s">
        <v>19</v>
      </c>
      <c r="J53">
        <v>2.12</v>
      </c>
      <c r="K53">
        <v>0.41</v>
      </c>
      <c r="L53">
        <v>67522</v>
      </c>
      <c r="M53" t="s">
        <v>397</v>
      </c>
      <c r="N53" t="str">
        <f t="shared" si="3"/>
        <v xml:space="preserve">630867      </v>
      </c>
      <c r="O53">
        <v>230119</v>
      </c>
    </row>
    <row r="54" spans="1:15" x14ac:dyDescent="0.25">
      <c r="A54" t="s">
        <v>16</v>
      </c>
      <c r="B54" t="s">
        <v>3221</v>
      </c>
      <c r="C54">
        <v>372</v>
      </c>
      <c r="D54" t="s">
        <v>448</v>
      </c>
      <c r="E54" t="s">
        <v>449</v>
      </c>
      <c r="F54">
        <v>12.73</v>
      </c>
      <c r="G54">
        <v>230117</v>
      </c>
      <c r="H54">
        <v>4840</v>
      </c>
      <c r="I54" t="s">
        <v>19</v>
      </c>
      <c r="J54">
        <v>15.79</v>
      </c>
      <c r="K54">
        <v>3.06</v>
      </c>
      <c r="L54">
        <v>69701</v>
      </c>
      <c r="M54" t="s">
        <v>488</v>
      </c>
      <c r="N54" t="str">
        <f t="shared" si="3"/>
        <v xml:space="preserve">630867      </v>
      </c>
      <c r="O54">
        <v>230119</v>
      </c>
    </row>
    <row r="55" spans="1:15" x14ac:dyDescent="0.25">
      <c r="A55" t="s">
        <v>16</v>
      </c>
      <c r="B55" t="s">
        <v>3221</v>
      </c>
      <c r="C55">
        <v>372</v>
      </c>
      <c r="D55" t="s">
        <v>448</v>
      </c>
      <c r="E55" t="s">
        <v>449</v>
      </c>
      <c r="F55">
        <v>415.93</v>
      </c>
      <c r="G55">
        <v>230117</v>
      </c>
      <c r="H55">
        <v>4840</v>
      </c>
      <c r="I55" t="s">
        <v>19</v>
      </c>
      <c r="J55">
        <v>515.75</v>
      </c>
      <c r="K55">
        <v>99.82</v>
      </c>
      <c r="L55">
        <v>69702</v>
      </c>
      <c r="M55" t="s">
        <v>489</v>
      </c>
      <c r="N55" t="str">
        <f t="shared" si="3"/>
        <v xml:space="preserve">630867      </v>
      </c>
      <c r="O55">
        <v>230119</v>
      </c>
    </row>
    <row r="56" spans="1:15" x14ac:dyDescent="0.25">
      <c r="A56" t="s">
        <v>16</v>
      </c>
      <c r="B56" t="s">
        <v>3221</v>
      </c>
      <c r="C56">
        <v>372</v>
      </c>
      <c r="D56" t="s">
        <v>448</v>
      </c>
      <c r="E56" t="s">
        <v>449</v>
      </c>
      <c r="F56">
        <v>24.7</v>
      </c>
      <c r="G56">
        <v>230117</v>
      </c>
      <c r="H56">
        <v>4840</v>
      </c>
      <c r="I56" t="s">
        <v>19</v>
      </c>
      <c r="J56">
        <v>30.63</v>
      </c>
      <c r="K56">
        <v>5.93</v>
      </c>
      <c r="L56">
        <v>69704</v>
      </c>
      <c r="M56" t="s">
        <v>325</v>
      </c>
      <c r="N56" t="str">
        <f t="shared" si="3"/>
        <v xml:space="preserve">630867      </v>
      </c>
      <c r="O56">
        <v>230119</v>
      </c>
    </row>
    <row r="57" spans="1:15" x14ac:dyDescent="0.25">
      <c r="A57" t="s">
        <v>16</v>
      </c>
      <c r="B57" t="s">
        <v>3221</v>
      </c>
      <c r="C57">
        <v>372</v>
      </c>
      <c r="D57" t="s">
        <v>448</v>
      </c>
      <c r="E57" t="s">
        <v>449</v>
      </c>
      <c r="F57">
        <v>4.9800000000000004</v>
      </c>
      <c r="G57">
        <v>230117</v>
      </c>
      <c r="H57">
        <v>4840</v>
      </c>
      <c r="I57" t="s">
        <v>19</v>
      </c>
      <c r="J57">
        <v>6.18</v>
      </c>
      <c r="K57">
        <v>1.2</v>
      </c>
      <c r="L57">
        <v>69707</v>
      </c>
      <c r="M57" t="s">
        <v>490</v>
      </c>
      <c r="N57" t="str">
        <f t="shared" si="3"/>
        <v xml:space="preserve">630867      </v>
      </c>
      <c r="O57">
        <v>230119</v>
      </c>
    </row>
    <row r="58" spans="1:15" x14ac:dyDescent="0.25">
      <c r="A58" t="s">
        <v>16</v>
      </c>
      <c r="B58" t="s">
        <v>3221</v>
      </c>
      <c r="C58">
        <v>372</v>
      </c>
      <c r="D58" t="s">
        <v>448</v>
      </c>
      <c r="E58" t="s">
        <v>449</v>
      </c>
      <c r="F58">
        <v>1.63</v>
      </c>
      <c r="G58">
        <v>230117</v>
      </c>
      <c r="H58">
        <v>4840</v>
      </c>
      <c r="I58" t="s">
        <v>19</v>
      </c>
      <c r="J58">
        <v>2.02</v>
      </c>
      <c r="K58">
        <v>0.39</v>
      </c>
      <c r="L58">
        <v>69708</v>
      </c>
      <c r="M58" t="s">
        <v>491</v>
      </c>
      <c r="N58" t="str">
        <f t="shared" si="3"/>
        <v xml:space="preserve">630867      </v>
      </c>
      <c r="O58">
        <v>230119</v>
      </c>
    </row>
    <row r="59" spans="1:15" x14ac:dyDescent="0.25">
      <c r="A59" t="s">
        <v>16</v>
      </c>
      <c r="B59" t="s">
        <v>3221</v>
      </c>
      <c r="C59">
        <v>396</v>
      </c>
      <c r="D59" t="s">
        <v>448</v>
      </c>
      <c r="E59" t="s">
        <v>449</v>
      </c>
      <c r="F59">
        <v>10.31</v>
      </c>
      <c r="G59">
        <v>230117</v>
      </c>
      <c r="H59">
        <v>4840</v>
      </c>
      <c r="I59" t="s">
        <v>19</v>
      </c>
      <c r="J59">
        <v>12.78</v>
      </c>
      <c r="K59">
        <v>2.4700000000000002</v>
      </c>
      <c r="L59">
        <v>11905</v>
      </c>
      <c r="M59" t="s">
        <v>39</v>
      </c>
      <c r="N59" t="str">
        <f>"630864      "</f>
        <v xml:space="preserve">630864      </v>
      </c>
      <c r="O59">
        <v>230119</v>
      </c>
    </row>
    <row r="60" spans="1:15" x14ac:dyDescent="0.25">
      <c r="A60" t="s">
        <v>16</v>
      </c>
      <c r="B60" t="s">
        <v>3221</v>
      </c>
      <c r="C60">
        <v>396</v>
      </c>
      <c r="D60" t="s">
        <v>448</v>
      </c>
      <c r="E60" t="s">
        <v>449</v>
      </c>
      <c r="F60">
        <v>10.32</v>
      </c>
      <c r="G60">
        <v>230117</v>
      </c>
      <c r="H60">
        <v>4840</v>
      </c>
      <c r="I60" t="s">
        <v>19</v>
      </c>
      <c r="J60">
        <v>12.8</v>
      </c>
      <c r="K60">
        <v>2.48</v>
      </c>
      <c r="L60">
        <v>11905</v>
      </c>
      <c r="M60" t="s">
        <v>39</v>
      </c>
      <c r="N60" t="str">
        <f>"630864      "</f>
        <v xml:space="preserve">630864      </v>
      </c>
      <c r="O60">
        <v>230119</v>
      </c>
    </row>
    <row r="61" spans="1:15" x14ac:dyDescent="0.25">
      <c r="A61" t="s">
        <v>16</v>
      </c>
      <c r="B61" t="s">
        <v>3221</v>
      </c>
      <c r="C61">
        <v>411</v>
      </c>
      <c r="D61" t="s">
        <v>448</v>
      </c>
      <c r="E61" t="s">
        <v>449</v>
      </c>
      <c r="F61">
        <v>236.9</v>
      </c>
      <c r="G61">
        <v>230117</v>
      </c>
      <c r="H61">
        <v>4840</v>
      </c>
      <c r="I61" t="s">
        <v>19</v>
      </c>
      <c r="J61">
        <v>293.75</v>
      </c>
      <c r="K61">
        <v>56.85</v>
      </c>
      <c r="L61">
        <v>16121</v>
      </c>
      <c r="M61" t="s">
        <v>21</v>
      </c>
      <c r="N61" t="str">
        <f>"630873      "</f>
        <v xml:space="preserve">630873      </v>
      </c>
      <c r="O61">
        <v>230120</v>
      </c>
    </row>
    <row r="62" spans="1:15" x14ac:dyDescent="0.25">
      <c r="A62" t="s">
        <v>16</v>
      </c>
      <c r="B62" t="s">
        <v>3221</v>
      </c>
      <c r="C62">
        <v>411</v>
      </c>
      <c r="D62" t="s">
        <v>448</v>
      </c>
      <c r="E62" t="s">
        <v>449</v>
      </c>
      <c r="F62">
        <v>191.34</v>
      </c>
      <c r="G62">
        <v>230117</v>
      </c>
      <c r="H62">
        <v>4840</v>
      </c>
      <c r="I62" t="s">
        <v>19</v>
      </c>
      <c r="J62">
        <v>237.26</v>
      </c>
      <c r="K62">
        <v>45.92</v>
      </c>
      <c r="L62">
        <v>16820</v>
      </c>
      <c r="M62" t="s">
        <v>23</v>
      </c>
      <c r="N62" t="str">
        <f>"630873      "</f>
        <v xml:space="preserve">630873      </v>
      </c>
      <c r="O62">
        <v>230120</v>
      </c>
    </row>
    <row r="63" spans="1:15" x14ac:dyDescent="0.25">
      <c r="A63" t="s">
        <v>16</v>
      </c>
      <c r="B63" t="s">
        <v>3221</v>
      </c>
      <c r="C63">
        <v>411</v>
      </c>
      <c r="D63" t="s">
        <v>448</v>
      </c>
      <c r="E63" t="s">
        <v>449</v>
      </c>
      <c r="F63">
        <v>10.55</v>
      </c>
      <c r="G63">
        <v>230117</v>
      </c>
      <c r="H63">
        <v>4840</v>
      </c>
      <c r="I63" t="s">
        <v>19</v>
      </c>
      <c r="J63">
        <v>13.08</v>
      </c>
      <c r="K63">
        <v>2.5299999999999998</v>
      </c>
      <c r="L63">
        <v>17530</v>
      </c>
      <c r="M63" t="s">
        <v>454</v>
      </c>
      <c r="N63" t="str">
        <f>"630873      "</f>
        <v xml:space="preserve">630873      </v>
      </c>
      <c r="O63">
        <v>230120</v>
      </c>
    </row>
    <row r="64" spans="1:15" x14ac:dyDescent="0.25">
      <c r="A64" t="s">
        <v>16</v>
      </c>
      <c r="B64" t="s">
        <v>3221</v>
      </c>
      <c r="C64">
        <v>430</v>
      </c>
      <c r="D64" t="s">
        <v>448</v>
      </c>
      <c r="E64" t="s">
        <v>449</v>
      </c>
      <c r="F64">
        <v>37.909999999999997</v>
      </c>
      <c r="G64">
        <v>230117</v>
      </c>
      <c r="H64">
        <v>4840</v>
      </c>
      <c r="I64" t="s">
        <v>19</v>
      </c>
      <c r="J64">
        <v>47.01</v>
      </c>
      <c r="K64">
        <v>9.1</v>
      </c>
      <c r="L64">
        <v>11001</v>
      </c>
      <c r="M64" t="s">
        <v>326</v>
      </c>
      <c r="N64" t="str">
        <f t="shared" ref="N64:N69" si="4">"630872      "</f>
        <v xml:space="preserve">630872      </v>
      </c>
      <c r="O64">
        <v>230123</v>
      </c>
    </row>
    <row r="65" spans="1:15" x14ac:dyDescent="0.25">
      <c r="A65" t="s">
        <v>16</v>
      </c>
      <c r="B65" t="s">
        <v>3221</v>
      </c>
      <c r="C65">
        <v>430</v>
      </c>
      <c r="D65" t="s">
        <v>448</v>
      </c>
      <c r="E65" t="s">
        <v>449</v>
      </c>
      <c r="F65">
        <v>10.210000000000001</v>
      </c>
      <c r="G65">
        <v>230117</v>
      </c>
      <c r="H65">
        <v>4840</v>
      </c>
      <c r="I65" t="s">
        <v>19</v>
      </c>
      <c r="J65">
        <v>12.66</v>
      </c>
      <c r="K65">
        <v>2.4500000000000002</v>
      </c>
      <c r="L65">
        <v>11101</v>
      </c>
      <c r="M65" t="s">
        <v>110</v>
      </c>
      <c r="N65" t="str">
        <f t="shared" si="4"/>
        <v xml:space="preserve">630872      </v>
      </c>
      <c r="O65">
        <v>230123</v>
      </c>
    </row>
    <row r="66" spans="1:15" x14ac:dyDescent="0.25">
      <c r="A66" t="s">
        <v>16</v>
      </c>
      <c r="B66" t="s">
        <v>3221</v>
      </c>
      <c r="C66">
        <v>430</v>
      </c>
      <c r="D66" t="s">
        <v>448</v>
      </c>
      <c r="E66" t="s">
        <v>449</v>
      </c>
      <c r="F66">
        <v>3.34</v>
      </c>
      <c r="G66">
        <v>230117</v>
      </c>
      <c r="H66">
        <v>4840</v>
      </c>
      <c r="I66" t="s">
        <v>19</v>
      </c>
      <c r="J66">
        <v>4.1399999999999997</v>
      </c>
      <c r="K66">
        <v>0.8</v>
      </c>
      <c r="L66">
        <v>11301</v>
      </c>
      <c r="M66" t="s">
        <v>29</v>
      </c>
      <c r="N66" t="str">
        <f t="shared" si="4"/>
        <v xml:space="preserve">630872      </v>
      </c>
      <c r="O66">
        <v>230123</v>
      </c>
    </row>
    <row r="67" spans="1:15" x14ac:dyDescent="0.25">
      <c r="A67" t="s">
        <v>16</v>
      </c>
      <c r="B67" t="s">
        <v>3221</v>
      </c>
      <c r="C67">
        <v>430</v>
      </c>
      <c r="D67" t="s">
        <v>448</v>
      </c>
      <c r="E67" t="s">
        <v>449</v>
      </c>
      <c r="F67">
        <v>3.34</v>
      </c>
      <c r="G67">
        <v>230117</v>
      </c>
      <c r="H67">
        <v>4840</v>
      </c>
      <c r="I67" t="s">
        <v>19</v>
      </c>
      <c r="J67">
        <v>4.1399999999999997</v>
      </c>
      <c r="K67">
        <v>0.8</v>
      </c>
      <c r="L67">
        <v>11601</v>
      </c>
      <c r="M67" t="s">
        <v>535</v>
      </c>
      <c r="N67" t="str">
        <f t="shared" si="4"/>
        <v xml:space="preserve">630872      </v>
      </c>
      <c r="O67">
        <v>230123</v>
      </c>
    </row>
    <row r="68" spans="1:15" x14ac:dyDescent="0.25">
      <c r="A68" t="s">
        <v>16</v>
      </c>
      <c r="B68" t="s">
        <v>3221</v>
      </c>
      <c r="C68">
        <v>430</v>
      </c>
      <c r="D68" t="s">
        <v>448</v>
      </c>
      <c r="E68" t="s">
        <v>449</v>
      </c>
      <c r="F68">
        <v>93.75</v>
      </c>
      <c r="G68">
        <v>230117</v>
      </c>
      <c r="H68">
        <v>4840</v>
      </c>
      <c r="I68" t="s">
        <v>19</v>
      </c>
      <c r="J68">
        <v>116.25</v>
      </c>
      <c r="K68">
        <v>22.5</v>
      </c>
      <c r="L68">
        <v>11801</v>
      </c>
      <c r="M68" t="s">
        <v>92</v>
      </c>
      <c r="N68" t="str">
        <f t="shared" si="4"/>
        <v xml:space="preserve">630872      </v>
      </c>
      <c r="O68">
        <v>230123</v>
      </c>
    </row>
    <row r="69" spans="1:15" x14ac:dyDescent="0.25">
      <c r="A69" t="s">
        <v>16</v>
      </c>
      <c r="B69" t="s">
        <v>3221</v>
      </c>
      <c r="C69">
        <v>430</v>
      </c>
      <c r="D69" t="s">
        <v>448</v>
      </c>
      <c r="E69" t="s">
        <v>449</v>
      </c>
      <c r="F69">
        <v>19.88</v>
      </c>
      <c r="G69">
        <v>230117</v>
      </c>
      <c r="H69">
        <v>4840</v>
      </c>
      <c r="I69" t="s">
        <v>19</v>
      </c>
      <c r="J69">
        <v>24.65</v>
      </c>
      <c r="K69">
        <v>4.7699999999999996</v>
      </c>
      <c r="L69">
        <v>13501</v>
      </c>
      <c r="M69" t="s">
        <v>20</v>
      </c>
      <c r="N69" t="str">
        <f t="shared" si="4"/>
        <v xml:space="preserve">630872      </v>
      </c>
      <c r="O69">
        <v>230123</v>
      </c>
    </row>
    <row r="70" spans="1:15" x14ac:dyDescent="0.25">
      <c r="A70" t="s">
        <v>16</v>
      </c>
      <c r="B70" t="s">
        <v>3221</v>
      </c>
      <c r="C70">
        <v>553</v>
      </c>
      <c r="D70" t="s">
        <v>448</v>
      </c>
      <c r="E70" t="s">
        <v>449</v>
      </c>
      <c r="F70">
        <v>20.65</v>
      </c>
      <c r="G70">
        <v>230117</v>
      </c>
      <c r="H70">
        <v>4840</v>
      </c>
      <c r="I70" t="s">
        <v>19</v>
      </c>
      <c r="J70">
        <v>25.61</v>
      </c>
      <c r="K70">
        <v>4.96</v>
      </c>
      <c r="L70">
        <v>13401</v>
      </c>
      <c r="M70" t="s">
        <v>80</v>
      </c>
      <c r="N70" t="str">
        <f>"630860      "</f>
        <v xml:space="preserve">630860      </v>
      </c>
      <c r="O70">
        <v>230124</v>
      </c>
    </row>
    <row r="71" spans="1:15" x14ac:dyDescent="0.25">
      <c r="A71" t="s">
        <v>16</v>
      </c>
      <c r="B71" t="s">
        <v>3221</v>
      </c>
      <c r="C71">
        <v>771</v>
      </c>
      <c r="D71" t="s">
        <v>448</v>
      </c>
      <c r="E71" t="s">
        <v>449</v>
      </c>
      <c r="F71">
        <v>6.13</v>
      </c>
      <c r="G71">
        <v>230113</v>
      </c>
      <c r="H71">
        <v>4840</v>
      </c>
      <c r="I71" t="s">
        <v>19</v>
      </c>
      <c r="J71">
        <v>7.6</v>
      </c>
      <c r="K71">
        <v>1.47</v>
      </c>
      <c r="L71">
        <v>18971</v>
      </c>
      <c r="M71" t="s">
        <v>63</v>
      </c>
      <c r="N71" t="str">
        <f>"629247      "</f>
        <v xml:space="preserve">629247      </v>
      </c>
      <c r="O71">
        <v>230130</v>
      </c>
    </row>
    <row r="72" spans="1:15" x14ac:dyDescent="0.25">
      <c r="A72" t="s">
        <v>16</v>
      </c>
      <c r="B72" t="s">
        <v>3221</v>
      </c>
      <c r="C72">
        <v>1034</v>
      </c>
      <c r="D72" t="s">
        <v>448</v>
      </c>
      <c r="E72" t="s">
        <v>449</v>
      </c>
      <c r="F72">
        <v>10.96</v>
      </c>
      <c r="G72">
        <v>230117</v>
      </c>
      <c r="H72">
        <v>4840</v>
      </c>
      <c r="I72" t="s">
        <v>19</v>
      </c>
      <c r="J72">
        <v>13.59</v>
      </c>
      <c r="K72">
        <v>2.63</v>
      </c>
      <c r="L72">
        <v>54222</v>
      </c>
      <c r="M72" t="s">
        <v>308</v>
      </c>
      <c r="N72" t="str">
        <f t="shared" ref="N72:N85" si="5">"630866      "</f>
        <v xml:space="preserve">630866      </v>
      </c>
      <c r="O72">
        <v>230202</v>
      </c>
    </row>
    <row r="73" spans="1:15" x14ac:dyDescent="0.25">
      <c r="A73" t="s">
        <v>16</v>
      </c>
      <c r="B73" t="s">
        <v>3221</v>
      </c>
      <c r="C73">
        <v>1034</v>
      </c>
      <c r="D73" t="s">
        <v>448</v>
      </c>
      <c r="E73" t="s">
        <v>449</v>
      </c>
      <c r="F73">
        <v>22.51</v>
      </c>
      <c r="G73">
        <v>230117</v>
      </c>
      <c r="H73">
        <v>4840</v>
      </c>
      <c r="I73" t="s">
        <v>19</v>
      </c>
      <c r="J73">
        <v>27.91</v>
      </c>
      <c r="K73">
        <v>5.4</v>
      </c>
      <c r="L73">
        <v>56558</v>
      </c>
      <c r="M73" t="s">
        <v>217</v>
      </c>
      <c r="N73" t="str">
        <f t="shared" si="5"/>
        <v xml:space="preserve">630866      </v>
      </c>
      <c r="O73">
        <v>230202</v>
      </c>
    </row>
    <row r="74" spans="1:15" x14ac:dyDescent="0.25">
      <c r="A74" t="s">
        <v>16</v>
      </c>
      <c r="B74" t="s">
        <v>3221</v>
      </c>
      <c r="C74">
        <v>1034</v>
      </c>
      <c r="D74" t="s">
        <v>448</v>
      </c>
      <c r="E74" t="s">
        <v>449</v>
      </c>
      <c r="F74">
        <v>8.01</v>
      </c>
      <c r="G74">
        <v>230117</v>
      </c>
      <c r="H74">
        <v>4840</v>
      </c>
      <c r="I74" t="s">
        <v>19</v>
      </c>
      <c r="J74">
        <v>9.93</v>
      </c>
      <c r="K74">
        <v>1.92</v>
      </c>
      <c r="L74">
        <v>56559</v>
      </c>
      <c r="M74" t="s">
        <v>129</v>
      </c>
      <c r="N74" t="str">
        <f t="shared" si="5"/>
        <v xml:space="preserve">630866      </v>
      </c>
      <c r="O74">
        <v>230202</v>
      </c>
    </row>
    <row r="75" spans="1:15" x14ac:dyDescent="0.25">
      <c r="A75" t="s">
        <v>16</v>
      </c>
      <c r="B75" t="s">
        <v>3221</v>
      </c>
      <c r="C75">
        <v>1034</v>
      </c>
      <c r="D75" t="s">
        <v>448</v>
      </c>
      <c r="E75" t="s">
        <v>449</v>
      </c>
      <c r="F75">
        <v>16.55</v>
      </c>
      <c r="G75">
        <v>230117</v>
      </c>
      <c r="H75">
        <v>4840</v>
      </c>
      <c r="I75" t="s">
        <v>19</v>
      </c>
      <c r="J75">
        <v>20.52</v>
      </c>
      <c r="K75">
        <v>3.97</v>
      </c>
      <c r="L75">
        <v>56560</v>
      </c>
      <c r="M75" t="s">
        <v>654</v>
      </c>
      <c r="N75" t="str">
        <f t="shared" si="5"/>
        <v xml:space="preserve">630866      </v>
      </c>
      <c r="O75">
        <v>230202</v>
      </c>
    </row>
    <row r="76" spans="1:15" x14ac:dyDescent="0.25">
      <c r="A76" t="s">
        <v>16</v>
      </c>
      <c r="B76" t="s">
        <v>3221</v>
      </c>
      <c r="C76">
        <v>1034</v>
      </c>
      <c r="D76" t="s">
        <v>448</v>
      </c>
      <c r="E76" t="s">
        <v>449</v>
      </c>
      <c r="F76">
        <v>95.65</v>
      </c>
      <c r="G76">
        <v>230117</v>
      </c>
      <c r="H76">
        <v>4840</v>
      </c>
      <c r="I76" t="s">
        <v>19</v>
      </c>
      <c r="J76">
        <v>118.61</v>
      </c>
      <c r="K76">
        <v>22.96</v>
      </c>
      <c r="L76">
        <v>56564</v>
      </c>
      <c r="M76" t="s">
        <v>327</v>
      </c>
      <c r="N76" t="str">
        <f t="shared" si="5"/>
        <v xml:space="preserve">630866      </v>
      </c>
      <c r="O76">
        <v>230202</v>
      </c>
    </row>
    <row r="77" spans="1:15" x14ac:dyDescent="0.25">
      <c r="A77" t="s">
        <v>16</v>
      </c>
      <c r="B77" t="s">
        <v>3221</v>
      </c>
      <c r="C77">
        <v>1034</v>
      </c>
      <c r="D77" t="s">
        <v>448</v>
      </c>
      <c r="E77" t="s">
        <v>449</v>
      </c>
      <c r="F77">
        <v>14.05</v>
      </c>
      <c r="G77">
        <v>230117</v>
      </c>
      <c r="H77">
        <v>4840</v>
      </c>
      <c r="I77" t="s">
        <v>19</v>
      </c>
      <c r="J77">
        <v>17.420000000000002</v>
      </c>
      <c r="K77">
        <v>3.37</v>
      </c>
      <c r="L77">
        <v>56565</v>
      </c>
      <c r="M77" t="s">
        <v>758</v>
      </c>
      <c r="N77" t="str">
        <f t="shared" si="5"/>
        <v xml:space="preserve">630866      </v>
      </c>
      <c r="O77">
        <v>230202</v>
      </c>
    </row>
    <row r="78" spans="1:15" x14ac:dyDescent="0.25">
      <c r="A78" t="s">
        <v>16</v>
      </c>
      <c r="B78" t="s">
        <v>3221</v>
      </c>
      <c r="C78">
        <v>1034</v>
      </c>
      <c r="D78" t="s">
        <v>448</v>
      </c>
      <c r="E78" t="s">
        <v>449</v>
      </c>
      <c r="F78">
        <v>36.26</v>
      </c>
      <c r="G78">
        <v>230117</v>
      </c>
      <c r="H78">
        <v>4840</v>
      </c>
      <c r="I78" t="s">
        <v>19</v>
      </c>
      <c r="J78">
        <v>44.96</v>
      </c>
      <c r="K78">
        <v>8.6999999999999993</v>
      </c>
      <c r="L78">
        <v>56566</v>
      </c>
      <c r="M78" t="s">
        <v>652</v>
      </c>
      <c r="N78" t="str">
        <f t="shared" si="5"/>
        <v xml:space="preserve">630866      </v>
      </c>
      <c r="O78">
        <v>230202</v>
      </c>
    </row>
    <row r="79" spans="1:15" x14ac:dyDescent="0.25">
      <c r="A79" t="s">
        <v>16</v>
      </c>
      <c r="B79" t="s">
        <v>3221</v>
      </c>
      <c r="C79">
        <v>1034</v>
      </c>
      <c r="D79" t="s">
        <v>448</v>
      </c>
      <c r="E79" t="s">
        <v>449</v>
      </c>
      <c r="F79">
        <v>6.21</v>
      </c>
      <c r="G79">
        <v>230117</v>
      </c>
      <c r="H79">
        <v>4840</v>
      </c>
      <c r="I79" t="s">
        <v>19</v>
      </c>
      <c r="J79">
        <v>7.7</v>
      </c>
      <c r="K79">
        <v>1.49</v>
      </c>
      <c r="L79">
        <v>59113</v>
      </c>
      <c r="M79" t="s">
        <v>235</v>
      </c>
      <c r="N79" t="str">
        <f t="shared" si="5"/>
        <v xml:space="preserve">630866      </v>
      </c>
      <c r="O79">
        <v>230202</v>
      </c>
    </row>
    <row r="80" spans="1:15" x14ac:dyDescent="0.25">
      <c r="A80" t="s">
        <v>16</v>
      </c>
      <c r="B80" t="s">
        <v>3221</v>
      </c>
      <c r="C80">
        <v>1034</v>
      </c>
      <c r="D80" t="s">
        <v>448</v>
      </c>
      <c r="E80" t="s">
        <v>449</v>
      </c>
      <c r="F80">
        <v>10.87</v>
      </c>
      <c r="G80">
        <v>230117</v>
      </c>
      <c r="H80">
        <v>4840</v>
      </c>
      <c r="I80" t="s">
        <v>19</v>
      </c>
      <c r="J80">
        <v>13.48</v>
      </c>
      <c r="K80">
        <v>2.61</v>
      </c>
      <c r="L80">
        <v>59501</v>
      </c>
      <c r="M80" t="s">
        <v>69</v>
      </c>
      <c r="N80" t="str">
        <f t="shared" si="5"/>
        <v xml:space="preserve">630866      </v>
      </c>
      <c r="O80">
        <v>230202</v>
      </c>
    </row>
    <row r="81" spans="1:15" x14ac:dyDescent="0.25">
      <c r="A81" t="s">
        <v>16</v>
      </c>
      <c r="B81" t="s">
        <v>3221</v>
      </c>
      <c r="C81">
        <v>1034</v>
      </c>
      <c r="D81" t="s">
        <v>448</v>
      </c>
      <c r="E81" t="s">
        <v>449</v>
      </c>
      <c r="F81">
        <v>38.770000000000003</v>
      </c>
      <c r="G81">
        <v>230117</v>
      </c>
      <c r="H81">
        <v>4840</v>
      </c>
      <c r="I81" t="s">
        <v>19</v>
      </c>
      <c r="J81">
        <v>48.07</v>
      </c>
      <c r="K81">
        <v>9.3000000000000007</v>
      </c>
      <c r="L81">
        <v>59502</v>
      </c>
      <c r="M81" t="s">
        <v>70</v>
      </c>
      <c r="N81" t="str">
        <f t="shared" si="5"/>
        <v xml:space="preserve">630866      </v>
      </c>
      <c r="O81">
        <v>230202</v>
      </c>
    </row>
    <row r="82" spans="1:15" x14ac:dyDescent="0.25">
      <c r="A82" t="s">
        <v>16</v>
      </c>
      <c r="B82" t="s">
        <v>3221</v>
      </c>
      <c r="C82">
        <v>1034</v>
      </c>
      <c r="D82" t="s">
        <v>448</v>
      </c>
      <c r="E82" t="s">
        <v>449</v>
      </c>
      <c r="F82">
        <v>3.34</v>
      </c>
      <c r="G82">
        <v>230117</v>
      </c>
      <c r="H82">
        <v>4840</v>
      </c>
      <c r="I82" t="s">
        <v>19</v>
      </c>
      <c r="J82">
        <v>4.1399999999999997</v>
      </c>
      <c r="K82">
        <v>0.8</v>
      </c>
      <c r="L82">
        <v>59701</v>
      </c>
      <c r="M82" t="s">
        <v>297</v>
      </c>
      <c r="N82" t="str">
        <f t="shared" si="5"/>
        <v xml:space="preserve">630866      </v>
      </c>
      <c r="O82">
        <v>230202</v>
      </c>
    </row>
    <row r="83" spans="1:15" x14ac:dyDescent="0.25">
      <c r="A83" t="s">
        <v>16</v>
      </c>
      <c r="B83" t="s">
        <v>3221</v>
      </c>
      <c r="C83">
        <v>1034</v>
      </c>
      <c r="D83" t="s">
        <v>448</v>
      </c>
      <c r="E83" t="s">
        <v>449</v>
      </c>
      <c r="F83">
        <v>3.42</v>
      </c>
      <c r="G83">
        <v>230117</v>
      </c>
      <c r="H83">
        <v>4840</v>
      </c>
      <c r="I83" t="s">
        <v>19</v>
      </c>
      <c r="J83">
        <v>4.24</v>
      </c>
      <c r="K83">
        <v>0.82</v>
      </c>
      <c r="L83">
        <v>59702</v>
      </c>
      <c r="M83" t="s">
        <v>328</v>
      </c>
      <c r="N83" t="str">
        <f t="shared" si="5"/>
        <v xml:space="preserve">630866      </v>
      </c>
      <c r="O83">
        <v>230202</v>
      </c>
    </row>
    <row r="84" spans="1:15" x14ac:dyDescent="0.25">
      <c r="A84" t="s">
        <v>16</v>
      </c>
      <c r="B84" t="s">
        <v>3221</v>
      </c>
      <c r="C84">
        <v>1034</v>
      </c>
      <c r="D84" t="s">
        <v>448</v>
      </c>
      <c r="E84" t="s">
        <v>449</v>
      </c>
      <c r="F84">
        <v>1.63</v>
      </c>
      <c r="G84">
        <v>230117</v>
      </c>
      <c r="H84">
        <v>4840</v>
      </c>
      <c r="I84" t="s">
        <v>19</v>
      </c>
      <c r="J84">
        <v>2.02</v>
      </c>
      <c r="K84">
        <v>0.39</v>
      </c>
      <c r="L84">
        <v>59705</v>
      </c>
      <c r="M84" t="s">
        <v>843</v>
      </c>
      <c r="N84" t="str">
        <f t="shared" si="5"/>
        <v xml:space="preserve">630866      </v>
      </c>
      <c r="O84">
        <v>230202</v>
      </c>
    </row>
    <row r="85" spans="1:15" x14ac:dyDescent="0.25">
      <c r="A85" t="s">
        <v>16</v>
      </c>
      <c r="B85" t="s">
        <v>3221</v>
      </c>
      <c r="C85">
        <v>1034</v>
      </c>
      <c r="D85" t="s">
        <v>448</v>
      </c>
      <c r="E85" t="s">
        <v>449</v>
      </c>
      <c r="F85">
        <v>24.78</v>
      </c>
      <c r="G85">
        <v>230117</v>
      </c>
      <c r="H85">
        <v>4840</v>
      </c>
      <c r="I85" t="s">
        <v>19</v>
      </c>
      <c r="J85">
        <v>30.73</v>
      </c>
      <c r="K85">
        <v>5.95</v>
      </c>
      <c r="L85">
        <v>59802</v>
      </c>
      <c r="M85" t="s">
        <v>73</v>
      </c>
      <c r="N85" t="str">
        <f t="shared" si="5"/>
        <v xml:space="preserve">630866      </v>
      </c>
      <c r="O85">
        <v>230202</v>
      </c>
    </row>
    <row r="86" spans="1:15" x14ac:dyDescent="0.25">
      <c r="A86" t="s">
        <v>16</v>
      </c>
      <c r="B86" t="s">
        <v>3221</v>
      </c>
      <c r="C86">
        <v>1082</v>
      </c>
      <c r="D86" t="s">
        <v>448</v>
      </c>
      <c r="E86" t="s">
        <v>449</v>
      </c>
      <c r="F86">
        <v>22.6</v>
      </c>
      <c r="G86">
        <v>230117</v>
      </c>
      <c r="H86">
        <v>4840</v>
      </c>
      <c r="I86" t="s">
        <v>19</v>
      </c>
      <c r="J86">
        <v>28.02</v>
      </c>
      <c r="K86">
        <v>5.42</v>
      </c>
      <c r="L86">
        <v>41126</v>
      </c>
      <c r="M86" t="s">
        <v>761</v>
      </c>
      <c r="N86" t="str">
        <f t="shared" ref="N86:N91" si="6">"630865      "</f>
        <v xml:space="preserve">630865      </v>
      </c>
      <c r="O86">
        <v>230203</v>
      </c>
    </row>
    <row r="87" spans="1:15" x14ac:dyDescent="0.25">
      <c r="A87" t="s">
        <v>16</v>
      </c>
      <c r="B87" t="s">
        <v>3221</v>
      </c>
      <c r="C87">
        <v>1082</v>
      </c>
      <c r="D87" t="s">
        <v>448</v>
      </c>
      <c r="E87" t="s">
        <v>449</v>
      </c>
      <c r="F87">
        <v>27.81</v>
      </c>
      <c r="G87">
        <v>230117</v>
      </c>
      <c r="H87">
        <v>4840</v>
      </c>
      <c r="I87" t="s">
        <v>19</v>
      </c>
      <c r="J87">
        <v>34.479999999999997</v>
      </c>
      <c r="K87">
        <v>6.67</v>
      </c>
      <c r="L87">
        <v>43222</v>
      </c>
      <c r="M87" t="s">
        <v>507</v>
      </c>
      <c r="N87" t="str">
        <f t="shared" si="6"/>
        <v xml:space="preserve">630865      </v>
      </c>
      <c r="O87">
        <v>230203</v>
      </c>
    </row>
    <row r="88" spans="1:15" x14ac:dyDescent="0.25">
      <c r="A88" t="s">
        <v>16</v>
      </c>
      <c r="B88" t="s">
        <v>3221</v>
      </c>
      <c r="C88">
        <v>1082</v>
      </c>
      <c r="D88" t="s">
        <v>448</v>
      </c>
      <c r="E88" t="s">
        <v>449</v>
      </c>
      <c r="F88">
        <v>116.6</v>
      </c>
      <c r="G88">
        <v>230117</v>
      </c>
      <c r="H88">
        <v>4840</v>
      </c>
      <c r="I88" t="s">
        <v>19</v>
      </c>
      <c r="J88">
        <v>144.59</v>
      </c>
      <c r="K88">
        <v>27.99</v>
      </c>
      <c r="L88">
        <v>46554</v>
      </c>
      <c r="M88" t="s">
        <v>117</v>
      </c>
      <c r="N88" t="str">
        <f t="shared" si="6"/>
        <v xml:space="preserve">630865      </v>
      </c>
      <c r="O88">
        <v>230203</v>
      </c>
    </row>
    <row r="89" spans="1:15" x14ac:dyDescent="0.25">
      <c r="A89" t="s">
        <v>16</v>
      </c>
      <c r="B89" t="s">
        <v>3221</v>
      </c>
      <c r="C89">
        <v>1082</v>
      </c>
      <c r="D89" t="s">
        <v>448</v>
      </c>
      <c r="E89" t="s">
        <v>449</v>
      </c>
      <c r="F89">
        <v>14.67</v>
      </c>
      <c r="G89">
        <v>230117</v>
      </c>
      <c r="H89">
        <v>4840</v>
      </c>
      <c r="I89" t="s">
        <v>19</v>
      </c>
      <c r="J89">
        <v>18.190000000000001</v>
      </c>
      <c r="K89">
        <v>3.52</v>
      </c>
      <c r="L89">
        <v>46555</v>
      </c>
      <c r="M89" t="s">
        <v>597</v>
      </c>
      <c r="N89" t="str">
        <f t="shared" si="6"/>
        <v xml:space="preserve">630865      </v>
      </c>
      <c r="O89">
        <v>230203</v>
      </c>
    </row>
    <row r="90" spans="1:15" x14ac:dyDescent="0.25">
      <c r="A90" t="s">
        <v>16</v>
      </c>
      <c r="B90" t="s">
        <v>3221</v>
      </c>
      <c r="C90">
        <v>1082</v>
      </c>
      <c r="D90" t="s">
        <v>448</v>
      </c>
      <c r="E90" t="s">
        <v>449</v>
      </c>
      <c r="F90">
        <v>9.98</v>
      </c>
      <c r="G90">
        <v>230117</v>
      </c>
      <c r="H90">
        <v>4840</v>
      </c>
      <c r="I90" t="s">
        <v>19</v>
      </c>
      <c r="J90">
        <v>12.38</v>
      </c>
      <c r="K90">
        <v>2.4</v>
      </c>
      <c r="L90">
        <v>47522</v>
      </c>
      <c r="M90" t="s">
        <v>410</v>
      </c>
      <c r="N90" t="str">
        <f t="shared" si="6"/>
        <v xml:space="preserve">630865      </v>
      </c>
      <c r="O90">
        <v>230203</v>
      </c>
    </row>
    <row r="91" spans="1:15" x14ac:dyDescent="0.25">
      <c r="A91" t="s">
        <v>16</v>
      </c>
      <c r="B91" t="s">
        <v>3221</v>
      </c>
      <c r="C91">
        <v>1082</v>
      </c>
      <c r="D91" t="s">
        <v>448</v>
      </c>
      <c r="E91" t="s">
        <v>449</v>
      </c>
      <c r="F91">
        <v>3.34</v>
      </c>
      <c r="G91">
        <v>230117</v>
      </c>
      <c r="H91">
        <v>4840</v>
      </c>
      <c r="I91" t="s">
        <v>19</v>
      </c>
      <c r="J91">
        <v>4.1399999999999997</v>
      </c>
      <c r="K91">
        <v>0.8</v>
      </c>
      <c r="L91">
        <v>49702</v>
      </c>
      <c r="M91" t="s">
        <v>584</v>
      </c>
      <c r="N91" t="str">
        <f t="shared" si="6"/>
        <v xml:space="preserve">630865      </v>
      </c>
      <c r="O91">
        <v>230203</v>
      </c>
    </row>
    <row r="92" spans="1:15" x14ac:dyDescent="0.25">
      <c r="A92" t="s">
        <v>16</v>
      </c>
      <c r="B92" t="s">
        <v>3221</v>
      </c>
      <c r="C92">
        <v>1084</v>
      </c>
      <c r="D92" t="s">
        <v>448</v>
      </c>
      <c r="E92" t="s">
        <v>449</v>
      </c>
      <c r="F92">
        <v>137.33000000000001</v>
      </c>
      <c r="G92">
        <v>230117</v>
      </c>
      <c r="H92">
        <v>4840</v>
      </c>
      <c r="I92" t="s">
        <v>19</v>
      </c>
      <c r="J92">
        <v>170.29</v>
      </c>
      <c r="K92">
        <v>32.96</v>
      </c>
      <c r="L92">
        <v>53222</v>
      </c>
      <c r="M92" t="s">
        <v>445</v>
      </c>
      <c r="N92" t="str">
        <f t="shared" ref="N92:N97" si="7">"630874      "</f>
        <v xml:space="preserve">630874      </v>
      </c>
      <c r="O92">
        <v>230203</v>
      </c>
    </row>
    <row r="93" spans="1:15" x14ac:dyDescent="0.25">
      <c r="A93" t="s">
        <v>16</v>
      </c>
      <c r="B93" t="s">
        <v>3221</v>
      </c>
      <c r="C93">
        <v>1084</v>
      </c>
      <c r="D93" t="s">
        <v>448</v>
      </c>
      <c r="E93" t="s">
        <v>449</v>
      </c>
      <c r="F93">
        <v>36.71</v>
      </c>
      <c r="G93">
        <v>230117</v>
      </c>
      <c r="H93">
        <v>4840</v>
      </c>
      <c r="I93" t="s">
        <v>19</v>
      </c>
      <c r="J93">
        <v>45.52</v>
      </c>
      <c r="K93">
        <v>8.81</v>
      </c>
      <c r="L93">
        <v>54622</v>
      </c>
      <c r="M93" t="s">
        <v>872</v>
      </c>
      <c r="N93" t="str">
        <f t="shared" si="7"/>
        <v xml:space="preserve">630874      </v>
      </c>
      <c r="O93">
        <v>230203</v>
      </c>
    </row>
    <row r="94" spans="1:15" x14ac:dyDescent="0.25">
      <c r="A94" t="s">
        <v>16</v>
      </c>
      <c r="B94" t="s">
        <v>3221</v>
      </c>
      <c r="C94">
        <v>1084</v>
      </c>
      <c r="D94" t="s">
        <v>448</v>
      </c>
      <c r="E94" t="s">
        <v>449</v>
      </c>
      <c r="F94">
        <v>60.01</v>
      </c>
      <c r="G94">
        <v>230117</v>
      </c>
      <c r="H94">
        <v>4840</v>
      </c>
      <c r="I94" t="s">
        <v>19</v>
      </c>
      <c r="J94">
        <v>74.41</v>
      </c>
      <c r="K94">
        <v>14.4</v>
      </c>
      <c r="L94">
        <v>55222</v>
      </c>
      <c r="M94" t="s">
        <v>873</v>
      </c>
      <c r="N94" t="str">
        <f t="shared" si="7"/>
        <v xml:space="preserve">630874      </v>
      </c>
      <c r="O94">
        <v>230203</v>
      </c>
    </row>
    <row r="95" spans="1:15" x14ac:dyDescent="0.25">
      <c r="A95" t="s">
        <v>16</v>
      </c>
      <c r="B95" t="s">
        <v>3221</v>
      </c>
      <c r="C95">
        <v>1084</v>
      </c>
      <c r="D95" t="s">
        <v>448</v>
      </c>
      <c r="E95" t="s">
        <v>449</v>
      </c>
      <c r="F95">
        <v>8.1</v>
      </c>
      <c r="G95">
        <v>230117</v>
      </c>
      <c r="H95">
        <v>4840</v>
      </c>
      <c r="I95" t="s">
        <v>19</v>
      </c>
      <c r="J95">
        <v>10.039999999999999</v>
      </c>
      <c r="K95">
        <v>1.94</v>
      </c>
      <c r="L95">
        <v>59114</v>
      </c>
      <c r="M95" t="s">
        <v>556</v>
      </c>
      <c r="N95" t="str">
        <f t="shared" si="7"/>
        <v xml:space="preserve">630874      </v>
      </c>
      <c r="O95">
        <v>230203</v>
      </c>
    </row>
    <row r="96" spans="1:15" x14ac:dyDescent="0.25">
      <c r="A96" t="s">
        <v>16</v>
      </c>
      <c r="B96" t="s">
        <v>3221</v>
      </c>
      <c r="C96">
        <v>1084</v>
      </c>
      <c r="D96" t="s">
        <v>448</v>
      </c>
      <c r="E96" t="s">
        <v>449</v>
      </c>
      <c r="F96">
        <v>8.1</v>
      </c>
      <c r="G96">
        <v>230117</v>
      </c>
      <c r="H96">
        <v>4840</v>
      </c>
      <c r="I96" t="s">
        <v>19</v>
      </c>
      <c r="J96">
        <v>10.050000000000001</v>
      </c>
      <c r="K96">
        <v>1.95</v>
      </c>
      <c r="L96">
        <v>59504</v>
      </c>
      <c r="M96" t="s">
        <v>71</v>
      </c>
      <c r="N96" t="str">
        <f t="shared" si="7"/>
        <v xml:space="preserve">630874      </v>
      </c>
      <c r="O96">
        <v>230203</v>
      </c>
    </row>
    <row r="97" spans="1:15" x14ac:dyDescent="0.25">
      <c r="A97" t="s">
        <v>16</v>
      </c>
      <c r="B97" t="s">
        <v>3221</v>
      </c>
      <c r="C97">
        <v>1084</v>
      </c>
      <c r="D97" t="s">
        <v>448</v>
      </c>
      <c r="E97" t="s">
        <v>449</v>
      </c>
      <c r="F97">
        <v>1.64</v>
      </c>
      <c r="G97">
        <v>230117</v>
      </c>
      <c r="H97">
        <v>4840</v>
      </c>
      <c r="I97" t="s">
        <v>19</v>
      </c>
      <c r="J97">
        <v>2.0299999999999998</v>
      </c>
      <c r="K97">
        <v>0.39</v>
      </c>
      <c r="L97">
        <v>59705</v>
      </c>
      <c r="M97" t="s">
        <v>843</v>
      </c>
      <c r="N97" t="str">
        <f t="shared" si="7"/>
        <v xml:space="preserve">630874      </v>
      </c>
      <c r="O97">
        <v>230203</v>
      </c>
    </row>
    <row r="98" spans="1:15" x14ac:dyDescent="0.25">
      <c r="A98" t="s">
        <v>16</v>
      </c>
      <c r="B98" t="s">
        <v>3221</v>
      </c>
      <c r="C98">
        <v>1150</v>
      </c>
      <c r="D98" t="s">
        <v>448</v>
      </c>
      <c r="E98" t="s">
        <v>449</v>
      </c>
      <c r="F98">
        <v>8.11</v>
      </c>
      <c r="G98">
        <v>230117</v>
      </c>
      <c r="H98">
        <v>4840</v>
      </c>
      <c r="I98" t="s">
        <v>19</v>
      </c>
      <c r="J98">
        <v>10.06</v>
      </c>
      <c r="K98">
        <v>1.95</v>
      </c>
      <c r="L98">
        <v>56522</v>
      </c>
      <c r="M98" t="s">
        <v>43</v>
      </c>
      <c r="N98" t="str">
        <f>"630870      "</f>
        <v xml:space="preserve">630870      </v>
      </c>
      <c r="O98">
        <v>230206</v>
      </c>
    </row>
    <row r="99" spans="1:15" x14ac:dyDescent="0.25">
      <c r="A99" t="s">
        <v>16</v>
      </c>
      <c r="B99" t="s">
        <v>3221</v>
      </c>
      <c r="C99">
        <v>1150</v>
      </c>
      <c r="D99" t="s">
        <v>448</v>
      </c>
      <c r="E99" t="s">
        <v>449</v>
      </c>
      <c r="F99">
        <v>222.92</v>
      </c>
      <c r="G99">
        <v>230117</v>
      </c>
      <c r="H99">
        <v>4840</v>
      </c>
      <c r="I99" t="s">
        <v>19</v>
      </c>
      <c r="J99">
        <v>276.42</v>
      </c>
      <c r="K99">
        <v>53.5</v>
      </c>
      <c r="L99">
        <v>56524</v>
      </c>
      <c r="M99" t="s">
        <v>150</v>
      </c>
      <c r="N99" t="str">
        <f>"630870      "</f>
        <v xml:space="preserve">630870      </v>
      </c>
      <c r="O99">
        <v>230206</v>
      </c>
    </row>
    <row r="100" spans="1:15" x14ac:dyDescent="0.25">
      <c r="A100" t="s">
        <v>16</v>
      </c>
      <c r="B100" t="s">
        <v>3221</v>
      </c>
      <c r="C100">
        <v>1150</v>
      </c>
      <c r="D100" t="s">
        <v>448</v>
      </c>
      <c r="E100" t="s">
        <v>449</v>
      </c>
      <c r="F100">
        <v>16.059999999999999</v>
      </c>
      <c r="G100">
        <v>230117</v>
      </c>
      <c r="H100">
        <v>4840</v>
      </c>
      <c r="I100" t="s">
        <v>19</v>
      </c>
      <c r="J100">
        <v>19.91</v>
      </c>
      <c r="K100">
        <v>3.85</v>
      </c>
      <c r="L100">
        <v>56528</v>
      </c>
      <c r="M100" t="s">
        <v>153</v>
      </c>
      <c r="N100" t="str">
        <f>"630870      "</f>
        <v xml:space="preserve">630870      </v>
      </c>
      <c r="O100">
        <v>230206</v>
      </c>
    </row>
    <row r="101" spans="1:15" x14ac:dyDescent="0.25">
      <c r="A101" t="s">
        <v>16</v>
      </c>
      <c r="B101" t="s">
        <v>3221</v>
      </c>
      <c r="C101">
        <v>1331</v>
      </c>
      <c r="D101" t="s">
        <v>448</v>
      </c>
      <c r="E101" t="s">
        <v>449</v>
      </c>
      <c r="F101">
        <v>13.35</v>
      </c>
      <c r="G101">
        <v>230117</v>
      </c>
      <c r="H101">
        <v>4840</v>
      </c>
      <c r="I101" t="s">
        <v>19</v>
      </c>
      <c r="J101">
        <v>16.559999999999999</v>
      </c>
      <c r="K101">
        <v>3.21</v>
      </c>
      <c r="L101">
        <v>11601</v>
      </c>
      <c r="M101" t="s">
        <v>535</v>
      </c>
      <c r="N101" t="str">
        <f t="shared" ref="N101:N110" si="8">"630862      "</f>
        <v xml:space="preserve">630862      </v>
      </c>
      <c r="O101">
        <v>230208</v>
      </c>
    </row>
    <row r="102" spans="1:15" x14ac:dyDescent="0.25">
      <c r="A102" t="s">
        <v>16</v>
      </c>
      <c r="B102" t="s">
        <v>3221</v>
      </c>
      <c r="C102">
        <v>1331</v>
      </c>
      <c r="D102" t="s">
        <v>448</v>
      </c>
      <c r="E102" t="s">
        <v>449</v>
      </c>
      <c r="F102">
        <v>6.48</v>
      </c>
      <c r="G102">
        <v>230117</v>
      </c>
      <c r="H102">
        <v>4840</v>
      </c>
      <c r="I102" t="s">
        <v>19</v>
      </c>
      <c r="J102">
        <v>8.0399999999999991</v>
      </c>
      <c r="K102">
        <v>1.56</v>
      </c>
      <c r="L102">
        <v>14121</v>
      </c>
      <c r="M102" t="s">
        <v>880</v>
      </c>
      <c r="N102" t="str">
        <f t="shared" si="8"/>
        <v xml:space="preserve">630862      </v>
      </c>
      <c r="O102">
        <v>230208</v>
      </c>
    </row>
    <row r="103" spans="1:15" x14ac:dyDescent="0.25">
      <c r="A103" t="s">
        <v>16</v>
      </c>
      <c r="B103" t="s">
        <v>3221</v>
      </c>
      <c r="C103">
        <v>1331</v>
      </c>
      <c r="D103" t="s">
        <v>448</v>
      </c>
      <c r="E103" t="s">
        <v>449</v>
      </c>
      <c r="F103">
        <v>25.53</v>
      </c>
      <c r="G103">
        <v>230117</v>
      </c>
      <c r="H103">
        <v>4840</v>
      </c>
      <c r="I103" t="s">
        <v>19</v>
      </c>
      <c r="J103">
        <v>31.66</v>
      </c>
      <c r="K103">
        <v>6.13</v>
      </c>
      <c r="L103">
        <v>14321</v>
      </c>
      <c r="M103" t="s">
        <v>717</v>
      </c>
      <c r="N103" t="str">
        <f t="shared" si="8"/>
        <v xml:space="preserve">630862      </v>
      </c>
      <c r="O103">
        <v>230208</v>
      </c>
    </row>
    <row r="104" spans="1:15" x14ac:dyDescent="0.25">
      <c r="A104" t="s">
        <v>16</v>
      </c>
      <c r="B104" t="s">
        <v>3221</v>
      </c>
      <c r="C104">
        <v>1331</v>
      </c>
      <c r="D104" t="s">
        <v>448</v>
      </c>
      <c r="E104" t="s">
        <v>449</v>
      </c>
      <c r="F104">
        <v>80.98</v>
      </c>
      <c r="G104">
        <v>230117</v>
      </c>
      <c r="H104">
        <v>4840</v>
      </c>
      <c r="I104" t="s">
        <v>19</v>
      </c>
      <c r="J104">
        <v>100.41</v>
      </c>
      <c r="K104">
        <v>19.43</v>
      </c>
      <c r="L104">
        <v>14422</v>
      </c>
      <c r="M104" t="s">
        <v>228</v>
      </c>
      <c r="N104" t="str">
        <f t="shared" si="8"/>
        <v xml:space="preserve">630862      </v>
      </c>
      <c r="O104">
        <v>230208</v>
      </c>
    </row>
    <row r="105" spans="1:15" x14ac:dyDescent="0.25">
      <c r="A105" t="s">
        <v>16</v>
      </c>
      <c r="B105" t="s">
        <v>3221</v>
      </c>
      <c r="C105">
        <v>1331</v>
      </c>
      <c r="D105" t="s">
        <v>448</v>
      </c>
      <c r="E105" t="s">
        <v>449</v>
      </c>
      <c r="F105">
        <v>8.35</v>
      </c>
      <c r="G105">
        <v>230117</v>
      </c>
      <c r="H105">
        <v>4840</v>
      </c>
      <c r="I105" t="s">
        <v>19</v>
      </c>
      <c r="J105">
        <v>10.36</v>
      </c>
      <c r="K105">
        <v>2.0099999999999998</v>
      </c>
      <c r="L105">
        <v>14541</v>
      </c>
      <c r="M105" t="s">
        <v>626</v>
      </c>
      <c r="N105" t="str">
        <f t="shared" si="8"/>
        <v xml:space="preserve">630862      </v>
      </c>
      <c r="O105">
        <v>230208</v>
      </c>
    </row>
    <row r="106" spans="1:15" x14ac:dyDescent="0.25">
      <c r="A106" t="s">
        <v>16</v>
      </c>
      <c r="B106" t="s">
        <v>3221</v>
      </c>
      <c r="C106">
        <v>1331</v>
      </c>
      <c r="D106" t="s">
        <v>448</v>
      </c>
      <c r="E106" t="s">
        <v>449</v>
      </c>
      <c r="F106">
        <v>24.21</v>
      </c>
      <c r="G106">
        <v>230117</v>
      </c>
      <c r="H106">
        <v>4840</v>
      </c>
      <c r="I106" t="s">
        <v>19</v>
      </c>
      <c r="J106">
        <v>30.02</v>
      </c>
      <c r="K106">
        <v>5.81</v>
      </c>
      <c r="L106">
        <v>14622</v>
      </c>
      <c r="M106" t="s">
        <v>1005</v>
      </c>
      <c r="N106" t="str">
        <f t="shared" si="8"/>
        <v xml:space="preserve">630862      </v>
      </c>
      <c r="O106">
        <v>230208</v>
      </c>
    </row>
    <row r="107" spans="1:15" x14ac:dyDescent="0.25">
      <c r="A107" t="s">
        <v>16</v>
      </c>
      <c r="B107" t="s">
        <v>3221</v>
      </c>
      <c r="C107">
        <v>1331</v>
      </c>
      <c r="D107" t="s">
        <v>448</v>
      </c>
      <c r="E107" t="s">
        <v>449</v>
      </c>
      <c r="F107">
        <v>12.77</v>
      </c>
      <c r="G107">
        <v>230117</v>
      </c>
      <c r="H107">
        <v>4840</v>
      </c>
      <c r="I107" t="s">
        <v>19</v>
      </c>
      <c r="J107">
        <v>15.83</v>
      </c>
      <c r="K107">
        <v>3.06</v>
      </c>
      <c r="L107">
        <v>14861</v>
      </c>
      <c r="M107" t="s">
        <v>785</v>
      </c>
      <c r="N107" t="str">
        <f t="shared" si="8"/>
        <v xml:space="preserve">630862      </v>
      </c>
      <c r="O107">
        <v>230208</v>
      </c>
    </row>
    <row r="108" spans="1:15" x14ac:dyDescent="0.25">
      <c r="A108" t="s">
        <v>16</v>
      </c>
      <c r="B108" t="s">
        <v>3221</v>
      </c>
      <c r="C108">
        <v>1331</v>
      </c>
      <c r="D108" t="s">
        <v>448</v>
      </c>
      <c r="E108" t="s">
        <v>449</v>
      </c>
      <c r="F108">
        <v>19.149999999999999</v>
      </c>
      <c r="G108">
        <v>230117</v>
      </c>
      <c r="H108">
        <v>4840</v>
      </c>
      <c r="I108" t="s">
        <v>19</v>
      </c>
      <c r="J108">
        <v>23.74</v>
      </c>
      <c r="K108">
        <v>4.59</v>
      </c>
      <c r="L108">
        <v>14912</v>
      </c>
      <c r="M108" t="s">
        <v>230</v>
      </c>
      <c r="N108" t="str">
        <f t="shared" si="8"/>
        <v xml:space="preserve">630862      </v>
      </c>
      <c r="O108">
        <v>230208</v>
      </c>
    </row>
    <row r="109" spans="1:15" x14ac:dyDescent="0.25">
      <c r="A109" t="s">
        <v>16</v>
      </c>
      <c r="B109" t="s">
        <v>3221</v>
      </c>
      <c r="C109">
        <v>1331</v>
      </c>
      <c r="D109" t="s">
        <v>448</v>
      </c>
      <c r="E109" t="s">
        <v>449</v>
      </c>
      <c r="F109">
        <v>6.38</v>
      </c>
      <c r="G109">
        <v>230117</v>
      </c>
      <c r="H109">
        <v>4840</v>
      </c>
      <c r="I109" t="s">
        <v>19</v>
      </c>
      <c r="J109">
        <v>7.91</v>
      </c>
      <c r="K109">
        <v>1.53</v>
      </c>
      <c r="L109">
        <v>14972</v>
      </c>
      <c r="M109" t="s">
        <v>898</v>
      </c>
      <c r="N109" t="str">
        <f t="shared" si="8"/>
        <v xml:space="preserve">630862      </v>
      </c>
      <c r="O109">
        <v>230208</v>
      </c>
    </row>
    <row r="110" spans="1:15" x14ac:dyDescent="0.25">
      <c r="A110" t="s">
        <v>16</v>
      </c>
      <c r="B110" t="s">
        <v>3221</v>
      </c>
      <c r="C110">
        <v>1331</v>
      </c>
      <c r="D110" t="s">
        <v>448</v>
      </c>
      <c r="E110" t="s">
        <v>449</v>
      </c>
      <c r="F110">
        <v>32.5</v>
      </c>
      <c r="G110">
        <v>230117</v>
      </c>
      <c r="H110">
        <v>4840</v>
      </c>
      <c r="I110" t="s">
        <v>19</v>
      </c>
      <c r="J110">
        <v>40.299999999999997</v>
      </c>
      <c r="K110">
        <v>7.8</v>
      </c>
      <c r="L110">
        <v>18972</v>
      </c>
      <c r="M110" t="s">
        <v>163</v>
      </c>
      <c r="N110" t="str">
        <f t="shared" si="8"/>
        <v xml:space="preserve">630862      </v>
      </c>
      <c r="O110">
        <v>230208</v>
      </c>
    </row>
    <row r="111" spans="1:15" x14ac:dyDescent="0.25">
      <c r="A111" t="s">
        <v>16</v>
      </c>
      <c r="B111" t="s">
        <v>3221</v>
      </c>
      <c r="C111">
        <v>2108</v>
      </c>
      <c r="D111" t="s">
        <v>448</v>
      </c>
      <c r="E111" t="s">
        <v>449</v>
      </c>
      <c r="F111">
        <v>14.67</v>
      </c>
      <c r="G111">
        <v>230214</v>
      </c>
      <c r="H111">
        <v>4840</v>
      </c>
      <c r="I111" t="s">
        <v>19</v>
      </c>
      <c r="J111">
        <v>18.190000000000001</v>
      </c>
      <c r="K111">
        <v>3.52</v>
      </c>
      <c r="L111">
        <v>56558</v>
      </c>
      <c r="M111" t="s">
        <v>217</v>
      </c>
      <c r="N111" t="str">
        <f>"632041      "</f>
        <v xml:space="preserve">632041      </v>
      </c>
      <c r="O111">
        <v>230221</v>
      </c>
    </row>
    <row r="112" spans="1:15" x14ac:dyDescent="0.25">
      <c r="A112" t="s">
        <v>16</v>
      </c>
      <c r="B112" t="s">
        <v>3221</v>
      </c>
      <c r="C112">
        <v>5311</v>
      </c>
      <c r="D112" t="s">
        <v>448</v>
      </c>
      <c r="E112" t="s">
        <v>449</v>
      </c>
      <c r="F112">
        <v>14.78</v>
      </c>
      <c r="G112">
        <v>230419</v>
      </c>
      <c r="H112">
        <v>4840</v>
      </c>
      <c r="I112" t="s">
        <v>19</v>
      </c>
      <c r="J112">
        <v>18.329999999999998</v>
      </c>
      <c r="K112">
        <v>3.55</v>
      </c>
      <c r="L112">
        <v>13540</v>
      </c>
      <c r="M112" t="s">
        <v>85</v>
      </c>
      <c r="N112" t="str">
        <f t="shared" ref="N112:N127" si="9">"637403      "</f>
        <v xml:space="preserve">637403      </v>
      </c>
      <c r="O112">
        <v>230420</v>
      </c>
    </row>
    <row r="113" spans="1:15" x14ac:dyDescent="0.25">
      <c r="A113" t="s">
        <v>16</v>
      </c>
      <c r="B113" t="s">
        <v>3221</v>
      </c>
      <c r="C113">
        <v>5311</v>
      </c>
      <c r="D113" t="s">
        <v>448</v>
      </c>
      <c r="E113" t="s">
        <v>449</v>
      </c>
      <c r="F113">
        <v>9.6300000000000008</v>
      </c>
      <c r="G113">
        <v>230419</v>
      </c>
      <c r="H113">
        <v>4840</v>
      </c>
      <c r="I113" t="s">
        <v>19</v>
      </c>
      <c r="J113">
        <v>11.94</v>
      </c>
      <c r="K113">
        <v>2.31</v>
      </c>
      <c r="L113">
        <v>16915</v>
      </c>
      <c r="M113" t="s">
        <v>1519</v>
      </c>
      <c r="N113" t="str">
        <f t="shared" si="9"/>
        <v xml:space="preserve">637403      </v>
      </c>
      <c r="O113">
        <v>230420</v>
      </c>
    </row>
    <row r="114" spans="1:15" x14ac:dyDescent="0.25">
      <c r="A114" t="s">
        <v>16</v>
      </c>
      <c r="B114" t="s">
        <v>3221</v>
      </c>
      <c r="C114">
        <v>5311</v>
      </c>
      <c r="D114" t="s">
        <v>448</v>
      </c>
      <c r="E114" t="s">
        <v>449</v>
      </c>
      <c r="F114">
        <v>59.19</v>
      </c>
      <c r="G114">
        <v>230419</v>
      </c>
      <c r="H114">
        <v>4840</v>
      </c>
      <c r="I114" t="s">
        <v>19</v>
      </c>
      <c r="J114">
        <v>73.400000000000006</v>
      </c>
      <c r="K114">
        <v>14.21</v>
      </c>
      <c r="L114">
        <v>16930</v>
      </c>
      <c r="M114" t="s">
        <v>450</v>
      </c>
      <c r="N114" t="str">
        <f t="shared" si="9"/>
        <v xml:space="preserve">637403      </v>
      </c>
      <c r="O114">
        <v>230420</v>
      </c>
    </row>
    <row r="115" spans="1:15" x14ac:dyDescent="0.25">
      <c r="A115" t="s">
        <v>16</v>
      </c>
      <c r="B115" t="s">
        <v>3221</v>
      </c>
      <c r="C115">
        <v>5311</v>
      </c>
      <c r="D115" t="s">
        <v>448</v>
      </c>
      <c r="E115" t="s">
        <v>449</v>
      </c>
      <c r="F115">
        <v>1.63</v>
      </c>
      <c r="G115">
        <v>230419</v>
      </c>
      <c r="H115">
        <v>4840</v>
      </c>
      <c r="I115" t="s">
        <v>19</v>
      </c>
      <c r="J115">
        <v>2.02</v>
      </c>
      <c r="K115">
        <v>0.39</v>
      </c>
      <c r="L115">
        <v>17522</v>
      </c>
      <c r="M115" t="s">
        <v>451</v>
      </c>
      <c r="N115" t="str">
        <f t="shared" si="9"/>
        <v xml:space="preserve">637403      </v>
      </c>
      <c r="O115">
        <v>230420</v>
      </c>
    </row>
    <row r="116" spans="1:15" x14ac:dyDescent="0.25">
      <c r="A116" t="s">
        <v>16</v>
      </c>
      <c r="B116" t="s">
        <v>3221</v>
      </c>
      <c r="C116">
        <v>5311</v>
      </c>
      <c r="D116" t="s">
        <v>448</v>
      </c>
      <c r="E116" t="s">
        <v>449</v>
      </c>
      <c r="F116">
        <v>9.8000000000000007</v>
      </c>
      <c r="G116">
        <v>230419</v>
      </c>
      <c r="H116">
        <v>4840</v>
      </c>
      <c r="I116" t="s">
        <v>19</v>
      </c>
      <c r="J116">
        <v>12.15</v>
      </c>
      <c r="K116">
        <v>2.35</v>
      </c>
      <c r="L116">
        <v>17523</v>
      </c>
      <c r="M116" t="s">
        <v>134</v>
      </c>
      <c r="N116" t="str">
        <f t="shared" si="9"/>
        <v xml:space="preserve">637403      </v>
      </c>
      <c r="O116">
        <v>230420</v>
      </c>
    </row>
    <row r="117" spans="1:15" x14ac:dyDescent="0.25">
      <c r="A117" t="s">
        <v>16</v>
      </c>
      <c r="B117" t="s">
        <v>3221</v>
      </c>
      <c r="C117">
        <v>5311</v>
      </c>
      <c r="D117" t="s">
        <v>448</v>
      </c>
      <c r="E117" t="s">
        <v>449</v>
      </c>
      <c r="F117">
        <v>93.22</v>
      </c>
      <c r="G117">
        <v>230419</v>
      </c>
      <c r="H117">
        <v>4840</v>
      </c>
      <c r="I117" t="s">
        <v>19</v>
      </c>
      <c r="J117">
        <v>115.59</v>
      </c>
      <c r="K117">
        <v>22.37</v>
      </c>
      <c r="L117">
        <v>17524</v>
      </c>
      <c r="M117" t="s">
        <v>452</v>
      </c>
      <c r="N117" t="str">
        <f t="shared" si="9"/>
        <v xml:space="preserve">637403      </v>
      </c>
      <c r="O117">
        <v>230420</v>
      </c>
    </row>
    <row r="118" spans="1:15" x14ac:dyDescent="0.25">
      <c r="A118" t="s">
        <v>16</v>
      </c>
      <c r="B118" t="s">
        <v>3221</v>
      </c>
      <c r="C118">
        <v>5311</v>
      </c>
      <c r="D118" t="s">
        <v>448</v>
      </c>
      <c r="E118" t="s">
        <v>449</v>
      </c>
      <c r="F118">
        <v>10.55</v>
      </c>
      <c r="G118">
        <v>230419</v>
      </c>
      <c r="H118">
        <v>4840</v>
      </c>
      <c r="I118" t="s">
        <v>19</v>
      </c>
      <c r="J118">
        <v>13.08</v>
      </c>
      <c r="K118">
        <v>2.5299999999999998</v>
      </c>
      <c r="L118">
        <v>17527</v>
      </c>
      <c r="M118" t="s">
        <v>422</v>
      </c>
      <c r="N118" t="str">
        <f t="shared" si="9"/>
        <v xml:space="preserve">637403      </v>
      </c>
      <c r="O118">
        <v>230420</v>
      </c>
    </row>
    <row r="119" spans="1:15" x14ac:dyDescent="0.25">
      <c r="A119" t="s">
        <v>16</v>
      </c>
      <c r="B119" t="s">
        <v>3221</v>
      </c>
      <c r="C119">
        <v>5311</v>
      </c>
      <c r="D119" t="s">
        <v>448</v>
      </c>
      <c r="E119" t="s">
        <v>449</v>
      </c>
      <c r="F119">
        <v>127.51</v>
      </c>
      <c r="G119">
        <v>230419</v>
      </c>
      <c r="H119">
        <v>4840</v>
      </c>
      <c r="I119" t="s">
        <v>19</v>
      </c>
      <c r="J119">
        <v>158.11000000000001</v>
      </c>
      <c r="K119">
        <v>30.6</v>
      </c>
      <c r="L119">
        <v>17529</v>
      </c>
      <c r="M119" t="s">
        <v>453</v>
      </c>
      <c r="N119" t="str">
        <f t="shared" si="9"/>
        <v xml:space="preserve">637403      </v>
      </c>
      <c r="O119">
        <v>230420</v>
      </c>
    </row>
    <row r="120" spans="1:15" x14ac:dyDescent="0.25">
      <c r="A120" t="s">
        <v>16</v>
      </c>
      <c r="B120" t="s">
        <v>3221</v>
      </c>
      <c r="C120">
        <v>5311</v>
      </c>
      <c r="D120" t="s">
        <v>448</v>
      </c>
      <c r="E120" t="s">
        <v>449</v>
      </c>
      <c r="F120">
        <v>987.19</v>
      </c>
      <c r="G120">
        <v>230419</v>
      </c>
      <c r="H120">
        <v>4840</v>
      </c>
      <c r="I120" t="s">
        <v>19</v>
      </c>
      <c r="J120">
        <v>1224.1199999999999</v>
      </c>
      <c r="K120">
        <v>236.93</v>
      </c>
      <c r="L120">
        <v>17530</v>
      </c>
      <c r="M120" t="s">
        <v>454</v>
      </c>
      <c r="N120" t="str">
        <f t="shared" si="9"/>
        <v xml:space="preserve">637403      </v>
      </c>
      <c r="O120">
        <v>230420</v>
      </c>
    </row>
    <row r="121" spans="1:15" x14ac:dyDescent="0.25">
      <c r="A121" t="s">
        <v>16</v>
      </c>
      <c r="B121" t="s">
        <v>3221</v>
      </c>
      <c r="C121">
        <v>5311</v>
      </c>
      <c r="D121" t="s">
        <v>448</v>
      </c>
      <c r="E121" t="s">
        <v>449</v>
      </c>
      <c r="F121">
        <v>10.210000000000001</v>
      </c>
      <c r="G121">
        <v>230419</v>
      </c>
      <c r="H121">
        <v>4840</v>
      </c>
      <c r="I121" t="s">
        <v>19</v>
      </c>
      <c r="J121">
        <v>12.66</v>
      </c>
      <c r="K121">
        <v>2.4500000000000002</v>
      </c>
      <c r="L121">
        <v>17531</v>
      </c>
      <c r="M121" t="s">
        <v>136</v>
      </c>
      <c r="N121" t="str">
        <f t="shared" si="9"/>
        <v xml:space="preserve">637403      </v>
      </c>
      <c r="O121">
        <v>230420</v>
      </c>
    </row>
    <row r="122" spans="1:15" x14ac:dyDescent="0.25">
      <c r="A122" t="s">
        <v>16</v>
      </c>
      <c r="B122" t="s">
        <v>3221</v>
      </c>
      <c r="C122">
        <v>5311</v>
      </c>
      <c r="D122" t="s">
        <v>448</v>
      </c>
      <c r="E122" t="s">
        <v>449</v>
      </c>
      <c r="F122">
        <v>3.33</v>
      </c>
      <c r="G122">
        <v>230419</v>
      </c>
      <c r="H122">
        <v>4840</v>
      </c>
      <c r="I122" t="s">
        <v>19</v>
      </c>
      <c r="J122">
        <v>4.13</v>
      </c>
      <c r="K122">
        <v>0.8</v>
      </c>
      <c r="L122">
        <v>17532</v>
      </c>
      <c r="M122" t="s">
        <v>543</v>
      </c>
      <c r="N122" t="str">
        <f t="shared" si="9"/>
        <v xml:space="preserve">637403      </v>
      </c>
      <c r="O122">
        <v>230420</v>
      </c>
    </row>
    <row r="123" spans="1:15" x14ac:dyDescent="0.25">
      <c r="A123" t="s">
        <v>16</v>
      </c>
      <c r="B123" t="s">
        <v>3221</v>
      </c>
      <c r="C123">
        <v>5311</v>
      </c>
      <c r="D123" t="s">
        <v>448</v>
      </c>
      <c r="E123" t="s">
        <v>449</v>
      </c>
      <c r="F123">
        <v>21.99</v>
      </c>
      <c r="G123">
        <v>230419</v>
      </c>
      <c r="H123">
        <v>4840</v>
      </c>
      <c r="I123" t="s">
        <v>19</v>
      </c>
      <c r="J123">
        <v>27.27</v>
      </c>
      <c r="K123">
        <v>5.28</v>
      </c>
      <c r="L123">
        <v>17537</v>
      </c>
      <c r="M123" t="s">
        <v>455</v>
      </c>
      <c r="N123" t="str">
        <f t="shared" si="9"/>
        <v xml:space="preserve">637403      </v>
      </c>
      <c r="O123">
        <v>230420</v>
      </c>
    </row>
    <row r="124" spans="1:15" x14ac:dyDescent="0.25">
      <c r="A124" t="s">
        <v>16</v>
      </c>
      <c r="B124" t="s">
        <v>3221</v>
      </c>
      <c r="C124">
        <v>5311</v>
      </c>
      <c r="D124" t="s">
        <v>448</v>
      </c>
      <c r="E124" t="s">
        <v>449</v>
      </c>
      <c r="F124">
        <v>56.94</v>
      </c>
      <c r="G124">
        <v>230419</v>
      </c>
      <c r="H124">
        <v>4840</v>
      </c>
      <c r="I124" t="s">
        <v>19</v>
      </c>
      <c r="J124">
        <v>70.599999999999994</v>
      </c>
      <c r="K124">
        <v>13.66</v>
      </c>
      <c r="L124">
        <v>17538</v>
      </c>
      <c r="M124" t="s">
        <v>24</v>
      </c>
      <c r="N124" t="str">
        <f t="shared" si="9"/>
        <v xml:space="preserve">637403      </v>
      </c>
      <c r="O124">
        <v>230420</v>
      </c>
    </row>
    <row r="125" spans="1:15" x14ac:dyDescent="0.25">
      <c r="A125" t="s">
        <v>16</v>
      </c>
      <c r="B125" t="s">
        <v>3221</v>
      </c>
      <c r="C125">
        <v>5311</v>
      </c>
      <c r="D125" t="s">
        <v>448</v>
      </c>
      <c r="E125" t="s">
        <v>449</v>
      </c>
      <c r="F125">
        <v>12.74</v>
      </c>
      <c r="G125">
        <v>230419</v>
      </c>
      <c r="H125">
        <v>4840</v>
      </c>
      <c r="I125" t="s">
        <v>19</v>
      </c>
      <c r="J125">
        <v>15.8</v>
      </c>
      <c r="K125">
        <v>3.06</v>
      </c>
      <c r="L125">
        <v>17950</v>
      </c>
      <c r="M125" t="s">
        <v>86</v>
      </c>
      <c r="N125" t="str">
        <f t="shared" si="9"/>
        <v xml:space="preserve">637403      </v>
      </c>
      <c r="O125">
        <v>230420</v>
      </c>
    </row>
    <row r="126" spans="1:15" x14ac:dyDescent="0.25">
      <c r="A126" t="s">
        <v>16</v>
      </c>
      <c r="B126" t="s">
        <v>3221</v>
      </c>
      <c r="C126">
        <v>5311</v>
      </c>
      <c r="D126" t="s">
        <v>448</v>
      </c>
      <c r="E126" t="s">
        <v>449</v>
      </c>
      <c r="F126">
        <v>119.58</v>
      </c>
      <c r="G126">
        <v>230419</v>
      </c>
      <c r="H126">
        <v>4840</v>
      </c>
      <c r="I126" t="s">
        <v>19</v>
      </c>
      <c r="J126">
        <v>148.28</v>
      </c>
      <c r="K126">
        <v>28.7</v>
      </c>
      <c r="L126">
        <v>17950</v>
      </c>
      <c r="M126" t="s">
        <v>86</v>
      </c>
      <c r="N126" t="str">
        <f t="shared" si="9"/>
        <v xml:space="preserve">637403      </v>
      </c>
      <c r="O126">
        <v>230420</v>
      </c>
    </row>
    <row r="127" spans="1:15" x14ac:dyDescent="0.25">
      <c r="A127" t="s">
        <v>16</v>
      </c>
      <c r="B127" t="s">
        <v>3221</v>
      </c>
      <c r="C127">
        <v>5311</v>
      </c>
      <c r="D127" t="s">
        <v>448</v>
      </c>
      <c r="E127" t="s">
        <v>449</v>
      </c>
      <c r="F127">
        <v>6.52</v>
      </c>
      <c r="G127">
        <v>230419</v>
      </c>
      <c r="H127">
        <v>4840</v>
      </c>
      <c r="I127" t="s">
        <v>19</v>
      </c>
      <c r="J127">
        <v>8.08</v>
      </c>
      <c r="K127">
        <v>1.56</v>
      </c>
      <c r="L127">
        <v>17971</v>
      </c>
      <c r="M127" t="s">
        <v>138</v>
      </c>
      <c r="N127" t="str">
        <f t="shared" si="9"/>
        <v xml:space="preserve">637403      </v>
      </c>
      <c r="O127">
        <v>230420</v>
      </c>
    </row>
    <row r="128" spans="1:15" x14ac:dyDescent="0.25">
      <c r="A128" t="s">
        <v>16</v>
      </c>
      <c r="B128" t="s">
        <v>3221</v>
      </c>
      <c r="C128">
        <v>5346</v>
      </c>
      <c r="D128" t="s">
        <v>448</v>
      </c>
      <c r="E128" t="s">
        <v>449</v>
      </c>
      <c r="F128">
        <v>130.11000000000001</v>
      </c>
      <c r="G128">
        <v>230419</v>
      </c>
      <c r="H128">
        <v>4840</v>
      </c>
      <c r="I128" t="s">
        <v>19</v>
      </c>
      <c r="J128">
        <v>161.34</v>
      </c>
      <c r="K128">
        <v>31.23</v>
      </c>
      <c r="L128">
        <v>13502</v>
      </c>
      <c r="M128" t="s">
        <v>243</v>
      </c>
      <c r="N128" t="str">
        <f>"637410      "</f>
        <v xml:space="preserve">637410      </v>
      </c>
      <c r="O128">
        <v>230421</v>
      </c>
    </row>
    <row r="129" spans="1:15" x14ac:dyDescent="0.25">
      <c r="A129" t="s">
        <v>16</v>
      </c>
      <c r="B129" t="s">
        <v>3221</v>
      </c>
      <c r="C129">
        <v>5347</v>
      </c>
      <c r="D129" t="s">
        <v>448</v>
      </c>
      <c r="E129" t="s">
        <v>449</v>
      </c>
      <c r="F129">
        <v>13.35</v>
      </c>
      <c r="G129">
        <v>230419</v>
      </c>
      <c r="H129">
        <v>4840</v>
      </c>
      <c r="I129" t="s">
        <v>19</v>
      </c>
      <c r="J129">
        <v>16.559999999999999</v>
      </c>
      <c r="K129">
        <v>3.21</v>
      </c>
      <c r="L129">
        <v>11601</v>
      </c>
      <c r="M129" t="s">
        <v>535</v>
      </c>
      <c r="N129" t="str">
        <f t="shared" ref="N129:N138" si="10">"637407      "</f>
        <v xml:space="preserve">637407      </v>
      </c>
      <c r="O129">
        <v>230421</v>
      </c>
    </row>
    <row r="130" spans="1:15" x14ac:dyDescent="0.25">
      <c r="A130" t="s">
        <v>16</v>
      </c>
      <c r="B130" t="s">
        <v>3221</v>
      </c>
      <c r="C130">
        <v>5347</v>
      </c>
      <c r="D130" t="s">
        <v>448</v>
      </c>
      <c r="E130" t="s">
        <v>449</v>
      </c>
      <c r="F130">
        <v>6.48</v>
      </c>
      <c r="G130">
        <v>230419</v>
      </c>
      <c r="H130">
        <v>4840</v>
      </c>
      <c r="I130" t="s">
        <v>19</v>
      </c>
      <c r="J130">
        <v>8.0399999999999991</v>
      </c>
      <c r="K130">
        <v>1.56</v>
      </c>
      <c r="L130">
        <v>14121</v>
      </c>
      <c r="M130" t="s">
        <v>880</v>
      </c>
      <c r="N130" t="str">
        <f t="shared" si="10"/>
        <v xml:space="preserve">637407      </v>
      </c>
      <c r="O130">
        <v>230421</v>
      </c>
    </row>
    <row r="131" spans="1:15" x14ac:dyDescent="0.25">
      <c r="A131" t="s">
        <v>16</v>
      </c>
      <c r="B131" t="s">
        <v>3221</v>
      </c>
      <c r="C131">
        <v>5347</v>
      </c>
      <c r="D131" t="s">
        <v>448</v>
      </c>
      <c r="E131" t="s">
        <v>449</v>
      </c>
      <c r="F131">
        <v>25.53</v>
      </c>
      <c r="G131">
        <v>230419</v>
      </c>
      <c r="H131">
        <v>4840</v>
      </c>
      <c r="I131" t="s">
        <v>19</v>
      </c>
      <c r="J131">
        <v>31.66</v>
      </c>
      <c r="K131">
        <v>6.13</v>
      </c>
      <c r="L131">
        <v>14321</v>
      </c>
      <c r="M131" t="s">
        <v>717</v>
      </c>
      <c r="N131" t="str">
        <f t="shared" si="10"/>
        <v xml:space="preserve">637407      </v>
      </c>
      <c r="O131">
        <v>230421</v>
      </c>
    </row>
    <row r="132" spans="1:15" x14ac:dyDescent="0.25">
      <c r="A132" t="s">
        <v>16</v>
      </c>
      <c r="B132" t="s">
        <v>3221</v>
      </c>
      <c r="C132">
        <v>5347</v>
      </c>
      <c r="D132" t="s">
        <v>448</v>
      </c>
      <c r="E132" t="s">
        <v>449</v>
      </c>
      <c r="F132">
        <v>80.98</v>
      </c>
      <c r="G132">
        <v>230419</v>
      </c>
      <c r="H132">
        <v>4840</v>
      </c>
      <c r="I132" t="s">
        <v>19</v>
      </c>
      <c r="J132">
        <v>100.41</v>
      </c>
      <c r="K132">
        <v>19.43</v>
      </c>
      <c r="L132">
        <v>14422</v>
      </c>
      <c r="M132" t="s">
        <v>228</v>
      </c>
      <c r="N132" t="str">
        <f t="shared" si="10"/>
        <v xml:space="preserve">637407      </v>
      </c>
      <c r="O132">
        <v>230421</v>
      </c>
    </row>
    <row r="133" spans="1:15" x14ac:dyDescent="0.25">
      <c r="A133" t="s">
        <v>16</v>
      </c>
      <c r="B133" t="s">
        <v>3221</v>
      </c>
      <c r="C133">
        <v>5347</v>
      </c>
      <c r="D133" t="s">
        <v>448</v>
      </c>
      <c r="E133" t="s">
        <v>449</v>
      </c>
      <c r="F133">
        <v>8.35</v>
      </c>
      <c r="G133">
        <v>230419</v>
      </c>
      <c r="H133">
        <v>4840</v>
      </c>
      <c r="I133" t="s">
        <v>19</v>
      </c>
      <c r="J133">
        <v>10.36</v>
      </c>
      <c r="K133">
        <v>2.0099999999999998</v>
      </c>
      <c r="L133">
        <v>14541</v>
      </c>
      <c r="M133" t="s">
        <v>626</v>
      </c>
      <c r="N133" t="str">
        <f t="shared" si="10"/>
        <v xml:space="preserve">637407      </v>
      </c>
      <c r="O133">
        <v>230421</v>
      </c>
    </row>
    <row r="134" spans="1:15" x14ac:dyDescent="0.25">
      <c r="A134" t="s">
        <v>16</v>
      </c>
      <c r="B134" t="s">
        <v>3221</v>
      </c>
      <c r="C134">
        <v>5347</v>
      </c>
      <c r="D134" t="s">
        <v>448</v>
      </c>
      <c r="E134" t="s">
        <v>449</v>
      </c>
      <c r="F134">
        <v>13.42</v>
      </c>
      <c r="G134">
        <v>230419</v>
      </c>
      <c r="H134">
        <v>4840</v>
      </c>
      <c r="I134" t="s">
        <v>19</v>
      </c>
      <c r="J134">
        <v>16.64</v>
      </c>
      <c r="K134">
        <v>3.22</v>
      </c>
      <c r="L134">
        <v>14622</v>
      </c>
      <c r="M134" t="s">
        <v>1005</v>
      </c>
      <c r="N134" t="str">
        <f t="shared" si="10"/>
        <v xml:space="preserve">637407      </v>
      </c>
      <c r="O134">
        <v>230421</v>
      </c>
    </row>
    <row r="135" spans="1:15" x14ac:dyDescent="0.25">
      <c r="A135" t="s">
        <v>16</v>
      </c>
      <c r="B135" t="s">
        <v>3221</v>
      </c>
      <c r="C135">
        <v>5347</v>
      </c>
      <c r="D135" t="s">
        <v>448</v>
      </c>
      <c r="E135" t="s">
        <v>449</v>
      </c>
      <c r="F135">
        <v>12.77</v>
      </c>
      <c r="G135">
        <v>230419</v>
      </c>
      <c r="H135">
        <v>4840</v>
      </c>
      <c r="I135" t="s">
        <v>19</v>
      </c>
      <c r="J135">
        <v>15.83</v>
      </c>
      <c r="K135">
        <v>3.06</v>
      </c>
      <c r="L135">
        <v>14861</v>
      </c>
      <c r="M135" t="s">
        <v>785</v>
      </c>
      <c r="N135" t="str">
        <f t="shared" si="10"/>
        <v xml:space="preserve">637407      </v>
      </c>
      <c r="O135">
        <v>230421</v>
      </c>
    </row>
    <row r="136" spans="1:15" x14ac:dyDescent="0.25">
      <c r="A136" t="s">
        <v>16</v>
      </c>
      <c r="B136" t="s">
        <v>3221</v>
      </c>
      <c r="C136">
        <v>5347</v>
      </c>
      <c r="D136" t="s">
        <v>448</v>
      </c>
      <c r="E136" t="s">
        <v>449</v>
      </c>
      <c r="F136">
        <v>19.149999999999999</v>
      </c>
      <c r="G136">
        <v>230419</v>
      </c>
      <c r="H136">
        <v>4840</v>
      </c>
      <c r="I136" t="s">
        <v>19</v>
      </c>
      <c r="J136">
        <v>23.74</v>
      </c>
      <c r="K136">
        <v>4.59</v>
      </c>
      <c r="L136">
        <v>14912</v>
      </c>
      <c r="M136" t="s">
        <v>230</v>
      </c>
      <c r="N136" t="str">
        <f t="shared" si="10"/>
        <v xml:space="preserve">637407      </v>
      </c>
      <c r="O136">
        <v>230421</v>
      </c>
    </row>
    <row r="137" spans="1:15" x14ac:dyDescent="0.25">
      <c r="A137" t="s">
        <v>16</v>
      </c>
      <c r="B137" t="s">
        <v>3221</v>
      </c>
      <c r="C137">
        <v>5347</v>
      </c>
      <c r="D137" t="s">
        <v>448</v>
      </c>
      <c r="E137" t="s">
        <v>449</v>
      </c>
      <c r="F137">
        <v>6.38</v>
      </c>
      <c r="G137">
        <v>230419</v>
      </c>
      <c r="H137">
        <v>4840</v>
      </c>
      <c r="I137" t="s">
        <v>19</v>
      </c>
      <c r="J137">
        <v>7.91</v>
      </c>
      <c r="K137">
        <v>1.53</v>
      </c>
      <c r="L137">
        <v>14972</v>
      </c>
      <c r="M137" t="s">
        <v>898</v>
      </c>
      <c r="N137" t="str">
        <f t="shared" si="10"/>
        <v xml:space="preserve">637407      </v>
      </c>
      <c r="O137">
        <v>230421</v>
      </c>
    </row>
    <row r="138" spans="1:15" x14ac:dyDescent="0.25">
      <c r="A138" t="s">
        <v>16</v>
      </c>
      <c r="B138" t="s">
        <v>3221</v>
      </c>
      <c r="C138">
        <v>5347</v>
      </c>
      <c r="D138" t="s">
        <v>448</v>
      </c>
      <c r="E138" t="s">
        <v>449</v>
      </c>
      <c r="F138">
        <v>32.5</v>
      </c>
      <c r="G138">
        <v>230419</v>
      </c>
      <c r="H138">
        <v>4840</v>
      </c>
      <c r="I138" t="s">
        <v>19</v>
      </c>
      <c r="J138">
        <v>40.299999999999997</v>
      </c>
      <c r="K138">
        <v>7.8</v>
      </c>
      <c r="L138">
        <v>18972</v>
      </c>
      <c r="M138" t="s">
        <v>163</v>
      </c>
      <c r="N138" t="str">
        <f t="shared" si="10"/>
        <v xml:space="preserve">637407      </v>
      </c>
      <c r="O138">
        <v>230421</v>
      </c>
    </row>
    <row r="139" spans="1:15" x14ac:dyDescent="0.25">
      <c r="A139" t="s">
        <v>16</v>
      </c>
      <c r="B139" t="s">
        <v>3221</v>
      </c>
      <c r="C139">
        <v>5363</v>
      </c>
      <c r="D139" t="s">
        <v>448</v>
      </c>
      <c r="E139" t="s">
        <v>449</v>
      </c>
      <c r="F139">
        <v>35.92</v>
      </c>
      <c r="G139">
        <v>230419</v>
      </c>
      <c r="H139">
        <v>4840</v>
      </c>
      <c r="I139" t="s">
        <v>19</v>
      </c>
      <c r="J139">
        <v>44.54</v>
      </c>
      <c r="K139">
        <v>8.6199999999999992</v>
      </c>
      <c r="L139">
        <v>18120</v>
      </c>
      <c r="M139" t="s">
        <v>329</v>
      </c>
      <c r="N139" t="str">
        <f>"637412      "</f>
        <v xml:space="preserve">637412      </v>
      </c>
      <c r="O139">
        <v>230421</v>
      </c>
    </row>
    <row r="140" spans="1:15" x14ac:dyDescent="0.25">
      <c r="A140" t="s">
        <v>16</v>
      </c>
      <c r="B140" t="s">
        <v>3221</v>
      </c>
      <c r="C140">
        <v>5363</v>
      </c>
      <c r="D140" t="s">
        <v>448</v>
      </c>
      <c r="E140" t="s">
        <v>449</v>
      </c>
      <c r="F140">
        <v>6.13</v>
      </c>
      <c r="G140">
        <v>230419</v>
      </c>
      <c r="H140">
        <v>4840</v>
      </c>
      <c r="I140" t="s">
        <v>19</v>
      </c>
      <c r="J140">
        <v>7.6</v>
      </c>
      <c r="K140">
        <v>1.47</v>
      </c>
      <c r="L140">
        <v>18971</v>
      </c>
      <c r="M140" t="s">
        <v>63</v>
      </c>
      <c r="N140" t="str">
        <f>"637412      "</f>
        <v xml:space="preserve">637412      </v>
      </c>
      <c r="O140">
        <v>230421</v>
      </c>
    </row>
    <row r="141" spans="1:15" x14ac:dyDescent="0.25">
      <c r="A141" t="s">
        <v>16</v>
      </c>
      <c r="B141" t="s">
        <v>3221</v>
      </c>
      <c r="C141">
        <v>5363</v>
      </c>
      <c r="D141" t="s">
        <v>448</v>
      </c>
      <c r="E141" t="s">
        <v>449</v>
      </c>
      <c r="F141">
        <v>3.26</v>
      </c>
      <c r="G141">
        <v>230419</v>
      </c>
      <c r="H141">
        <v>4840</v>
      </c>
      <c r="I141" t="s">
        <v>19</v>
      </c>
      <c r="J141">
        <v>4.04</v>
      </c>
      <c r="K141">
        <v>0.78</v>
      </c>
      <c r="L141">
        <v>18972</v>
      </c>
      <c r="M141" t="s">
        <v>163</v>
      </c>
      <c r="N141" t="str">
        <f>"637412      "</f>
        <v xml:space="preserve">637412      </v>
      </c>
      <c r="O141">
        <v>230421</v>
      </c>
    </row>
    <row r="142" spans="1:15" x14ac:dyDescent="0.25">
      <c r="A142" t="s">
        <v>16</v>
      </c>
      <c r="B142" t="s">
        <v>3221</v>
      </c>
      <c r="C142">
        <v>5386</v>
      </c>
      <c r="D142" t="s">
        <v>448</v>
      </c>
      <c r="E142" t="s">
        <v>449</v>
      </c>
      <c r="F142">
        <v>11.88</v>
      </c>
      <c r="G142">
        <v>230419</v>
      </c>
      <c r="H142">
        <v>4840</v>
      </c>
      <c r="I142" t="s">
        <v>19</v>
      </c>
      <c r="J142">
        <v>14.73</v>
      </c>
      <c r="K142">
        <v>2.85</v>
      </c>
      <c r="L142">
        <v>11901</v>
      </c>
      <c r="M142" t="s">
        <v>36</v>
      </c>
      <c r="N142" t="str">
        <f>"637417      "</f>
        <v xml:space="preserve">637417      </v>
      </c>
      <c r="O142">
        <v>230421</v>
      </c>
    </row>
    <row r="143" spans="1:15" x14ac:dyDescent="0.25">
      <c r="A143" t="s">
        <v>16</v>
      </c>
      <c r="B143" t="s">
        <v>3221</v>
      </c>
      <c r="C143">
        <v>5386</v>
      </c>
      <c r="D143" t="s">
        <v>448</v>
      </c>
      <c r="E143" t="s">
        <v>449</v>
      </c>
      <c r="F143">
        <v>10.31</v>
      </c>
      <c r="G143">
        <v>230419</v>
      </c>
      <c r="H143">
        <v>4840</v>
      </c>
      <c r="I143" t="s">
        <v>19</v>
      </c>
      <c r="J143">
        <v>12.78</v>
      </c>
      <c r="K143">
        <v>2.4700000000000002</v>
      </c>
      <c r="L143">
        <v>11905</v>
      </c>
      <c r="M143" t="s">
        <v>39</v>
      </c>
      <c r="N143" t="str">
        <f>"637417      "</f>
        <v xml:space="preserve">637417      </v>
      </c>
      <c r="O143">
        <v>230421</v>
      </c>
    </row>
    <row r="144" spans="1:15" x14ac:dyDescent="0.25">
      <c r="A144" t="s">
        <v>16</v>
      </c>
      <c r="B144" t="s">
        <v>3221</v>
      </c>
      <c r="C144">
        <v>5386</v>
      </c>
      <c r="D144" t="s">
        <v>448</v>
      </c>
      <c r="E144" t="s">
        <v>449</v>
      </c>
      <c r="F144">
        <v>10.32</v>
      </c>
      <c r="G144">
        <v>230419</v>
      </c>
      <c r="H144">
        <v>4840</v>
      </c>
      <c r="I144" t="s">
        <v>19</v>
      </c>
      <c r="J144">
        <v>12.8</v>
      </c>
      <c r="K144">
        <v>2.48</v>
      </c>
      <c r="L144">
        <v>11905</v>
      </c>
      <c r="M144" t="s">
        <v>39</v>
      </c>
      <c r="N144" t="str">
        <f>"637417      "</f>
        <v xml:space="preserve">637417      </v>
      </c>
      <c r="O144">
        <v>230421</v>
      </c>
    </row>
    <row r="145" spans="1:15" x14ac:dyDescent="0.25">
      <c r="A145" t="s">
        <v>16</v>
      </c>
      <c r="B145" t="s">
        <v>3221</v>
      </c>
      <c r="C145">
        <v>5409</v>
      </c>
      <c r="D145" t="s">
        <v>448</v>
      </c>
      <c r="E145" t="s">
        <v>449</v>
      </c>
      <c r="F145">
        <v>30.94</v>
      </c>
      <c r="G145">
        <v>230419</v>
      </c>
      <c r="H145">
        <v>4840</v>
      </c>
      <c r="I145" t="s">
        <v>19</v>
      </c>
      <c r="J145">
        <v>38.36</v>
      </c>
      <c r="K145">
        <v>7.42</v>
      </c>
      <c r="L145">
        <v>17131</v>
      </c>
      <c r="M145" t="s">
        <v>64</v>
      </c>
      <c r="N145" t="str">
        <f>"637406      "</f>
        <v xml:space="preserve">637406      </v>
      </c>
      <c r="O145">
        <v>230424</v>
      </c>
    </row>
    <row r="146" spans="1:15" x14ac:dyDescent="0.25">
      <c r="A146" t="s">
        <v>16</v>
      </c>
      <c r="B146" t="s">
        <v>3221</v>
      </c>
      <c r="C146">
        <v>5409</v>
      </c>
      <c r="D146" t="s">
        <v>448</v>
      </c>
      <c r="E146" t="s">
        <v>449</v>
      </c>
      <c r="F146">
        <v>10.210000000000001</v>
      </c>
      <c r="G146">
        <v>230419</v>
      </c>
      <c r="H146">
        <v>4840</v>
      </c>
      <c r="I146" t="s">
        <v>19</v>
      </c>
      <c r="J146">
        <v>12.66</v>
      </c>
      <c r="K146">
        <v>2.4500000000000002</v>
      </c>
      <c r="L146">
        <v>17711</v>
      </c>
      <c r="M146" t="s">
        <v>65</v>
      </c>
      <c r="N146" t="str">
        <f>"637406      "</f>
        <v xml:space="preserve">637406      </v>
      </c>
      <c r="O146">
        <v>230424</v>
      </c>
    </row>
    <row r="147" spans="1:15" x14ac:dyDescent="0.25">
      <c r="A147" t="s">
        <v>16</v>
      </c>
      <c r="B147" t="s">
        <v>3221</v>
      </c>
      <c r="C147">
        <v>5409</v>
      </c>
      <c r="D147" t="s">
        <v>448</v>
      </c>
      <c r="E147" t="s">
        <v>449</v>
      </c>
      <c r="F147">
        <v>3.34</v>
      </c>
      <c r="G147">
        <v>230419</v>
      </c>
      <c r="H147">
        <v>4840</v>
      </c>
      <c r="I147" t="s">
        <v>19</v>
      </c>
      <c r="J147">
        <v>4.1399999999999997</v>
      </c>
      <c r="K147">
        <v>0.8</v>
      </c>
      <c r="L147">
        <v>17972</v>
      </c>
      <c r="M147" t="s">
        <v>248</v>
      </c>
      <c r="N147" t="str">
        <f>"637406      "</f>
        <v xml:space="preserve">637406      </v>
      </c>
      <c r="O147">
        <v>230424</v>
      </c>
    </row>
    <row r="148" spans="1:15" x14ac:dyDescent="0.25">
      <c r="A148" t="s">
        <v>16</v>
      </c>
      <c r="B148" t="s">
        <v>3221</v>
      </c>
      <c r="C148">
        <v>5438</v>
      </c>
      <c r="D148" t="s">
        <v>448</v>
      </c>
      <c r="E148" t="s">
        <v>449</v>
      </c>
      <c r="F148">
        <v>1.63</v>
      </c>
      <c r="G148">
        <v>230419</v>
      </c>
      <c r="H148">
        <v>4840</v>
      </c>
      <c r="I148" t="s">
        <v>19</v>
      </c>
      <c r="J148">
        <v>2.02</v>
      </c>
      <c r="K148">
        <v>0.39</v>
      </c>
      <c r="L148">
        <v>13661</v>
      </c>
      <c r="M148" t="s">
        <v>247</v>
      </c>
      <c r="N148" t="str">
        <f t="shared" ref="N148:N154" si="11">"637411      "</f>
        <v xml:space="preserve">637411      </v>
      </c>
      <c r="O148">
        <v>230424</v>
      </c>
    </row>
    <row r="149" spans="1:15" x14ac:dyDescent="0.25">
      <c r="A149" t="s">
        <v>16</v>
      </c>
      <c r="B149" t="s">
        <v>3221</v>
      </c>
      <c r="C149">
        <v>5438</v>
      </c>
      <c r="D149" t="s">
        <v>448</v>
      </c>
      <c r="E149" t="s">
        <v>449</v>
      </c>
      <c r="F149">
        <v>33.08</v>
      </c>
      <c r="G149">
        <v>230419</v>
      </c>
      <c r="H149">
        <v>4840</v>
      </c>
      <c r="I149" t="s">
        <v>19</v>
      </c>
      <c r="J149">
        <v>41.02</v>
      </c>
      <c r="K149">
        <v>7.94</v>
      </c>
      <c r="L149">
        <v>16431</v>
      </c>
      <c r="M149" t="s">
        <v>231</v>
      </c>
      <c r="N149" t="str">
        <f t="shared" si="11"/>
        <v xml:space="preserve">637411      </v>
      </c>
      <c r="O149">
        <v>230424</v>
      </c>
    </row>
    <row r="150" spans="1:15" x14ac:dyDescent="0.25">
      <c r="A150" t="s">
        <v>16</v>
      </c>
      <c r="B150" t="s">
        <v>3221</v>
      </c>
      <c r="C150">
        <v>5438</v>
      </c>
      <c r="D150" t="s">
        <v>448</v>
      </c>
      <c r="E150" t="s">
        <v>449</v>
      </c>
      <c r="F150">
        <v>29.27</v>
      </c>
      <c r="G150">
        <v>230419</v>
      </c>
      <c r="H150">
        <v>4840</v>
      </c>
      <c r="I150" t="s">
        <v>19</v>
      </c>
      <c r="J150">
        <v>36.29</v>
      </c>
      <c r="K150">
        <v>7.02</v>
      </c>
      <c r="L150">
        <v>17802</v>
      </c>
      <c r="M150" t="s">
        <v>174</v>
      </c>
      <c r="N150" t="str">
        <f t="shared" si="11"/>
        <v xml:space="preserve">637411      </v>
      </c>
      <c r="O150">
        <v>230424</v>
      </c>
    </row>
    <row r="151" spans="1:15" x14ac:dyDescent="0.25">
      <c r="A151" t="s">
        <v>16</v>
      </c>
      <c r="B151" t="s">
        <v>3221</v>
      </c>
      <c r="C151">
        <v>5438</v>
      </c>
      <c r="D151" t="s">
        <v>448</v>
      </c>
      <c r="E151" t="s">
        <v>449</v>
      </c>
      <c r="F151">
        <v>187.61</v>
      </c>
      <c r="G151">
        <v>230419</v>
      </c>
      <c r="H151">
        <v>4840</v>
      </c>
      <c r="I151" t="s">
        <v>19</v>
      </c>
      <c r="J151">
        <v>232.64</v>
      </c>
      <c r="K151">
        <v>45.03</v>
      </c>
      <c r="L151">
        <v>17808</v>
      </c>
      <c r="M151" t="s">
        <v>322</v>
      </c>
      <c r="N151" t="str">
        <f t="shared" si="11"/>
        <v xml:space="preserve">637411      </v>
      </c>
      <c r="O151">
        <v>230424</v>
      </c>
    </row>
    <row r="152" spans="1:15" x14ac:dyDescent="0.25">
      <c r="A152" t="s">
        <v>16</v>
      </c>
      <c r="B152" t="s">
        <v>3221</v>
      </c>
      <c r="C152">
        <v>5438</v>
      </c>
      <c r="D152" t="s">
        <v>448</v>
      </c>
      <c r="E152" t="s">
        <v>449</v>
      </c>
      <c r="F152">
        <v>141.66999999999999</v>
      </c>
      <c r="G152">
        <v>230419</v>
      </c>
      <c r="H152">
        <v>4840</v>
      </c>
      <c r="I152" t="s">
        <v>19</v>
      </c>
      <c r="J152">
        <v>175.67</v>
      </c>
      <c r="K152">
        <v>34</v>
      </c>
      <c r="L152">
        <v>17808</v>
      </c>
      <c r="M152" t="s">
        <v>322</v>
      </c>
      <c r="N152" t="str">
        <f t="shared" si="11"/>
        <v xml:space="preserve">637411      </v>
      </c>
      <c r="O152">
        <v>230424</v>
      </c>
    </row>
    <row r="153" spans="1:15" x14ac:dyDescent="0.25">
      <c r="A153" t="s">
        <v>16</v>
      </c>
      <c r="B153" t="s">
        <v>3221</v>
      </c>
      <c r="C153">
        <v>5438</v>
      </c>
      <c r="D153" t="s">
        <v>448</v>
      </c>
      <c r="E153" t="s">
        <v>449</v>
      </c>
      <c r="F153">
        <v>20.420000000000002</v>
      </c>
      <c r="G153">
        <v>230419</v>
      </c>
      <c r="H153">
        <v>4840</v>
      </c>
      <c r="I153" t="s">
        <v>19</v>
      </c>
      <c r="J153">
        <v>25.32</v>
      </c>
      <c r="K153">
        <v>4.9000000000000004</v>
      </c>
      <c r="L153">
        <v>17971</v>
      </c>
      <c r="M153" t="s">
        <v>138</v>
      </c>
      <c r="N153" t="str">
        <f t="shared" si="11"/>
        <v xml:space="preserve">637411      </v>
      </c>
      <c r="O153">
        <v>230424</v>
      </c>
    </row>
    <row r="154" spans="1:15" x14ac:dyDescent="0.25">
      <c r="A154" t="s">
        <v>16</v>
      </c>
      <c r="B154" t="s">
        <v>3221</v>
      </c>
      <c r="C154">
        <v>5438</v>
      </c>
      <c r="D154" t="s">
        <v>448</v>
      </c>
      <c r="E154" t="s">
        <v>449</v>
      </c>
      <c r="F154">
        <v>1.63</v>
      </c>
      <c r="G154">
        <v>230419</v>
      </c>
      <c r="H154">
        <v>4840</v>
      </c>
      <c r="I154" t="s">
        <v>19</v>
      </c>
      <c r="J154">
        <v>2.02</v>
      </c>
      <c r="K154">
        <v>0.39</v>
      </c>
      <c r="L154">
        <v>17972</v>
      </c>
      <c r="M154" t="s">
        <v>248</v>
      </c>
      <c r="N154" t="str">
        <f t="shared" si="11"/>
        <v xml:space="preserve">637411      </v>
      </c>
      <c r="O154">
        <v>230424</v>
      </c>
    </row>
    <row r="155" spans="1:15" x14ac:dyDescent="0.25">
      <c r="A155" t="s">
        <v>16</v>
      </c>
      <c r="B155" t="s">
        <v>3221</v>
      </c>
      <c r="C155">
        <v>5439</v>
      </c>
      <c r="D155" t="s">
        <v>448</v>
      </c>
      <c r="E155" t="s">
        <v>449</v>
      </c>
      <c r="F155">
        <v>44.28</v>
      </c>
      <c r="G155">
        <v>230419</v>
      </c>
      <c r="H155">
        <v>4840</v>
      </c>
      <c r="I155" t="s">
        <v>19</v>
      </c>
      <c r="J155">
        <v>54.91</v>
      </c>
      <c r="K155">
        <v>10.63</v>
      </c>
      <c r="L155">
        <v>11001</v>
      </c>
      <c r="M155" t="s">
        <v>326</v>
      </c>
      <c r="N155" t="str">
        <f t="shared" ref="N155:N161" si="12">"637415      "</f>
        <v xml:space="preserve">637415      </v>
      </c>
      <c r="O155">
        <v>230424</v>
      </c>
    </row>
    <row r="156" spans="1:15" x14ac:dyDescent="0.25">
      <c r="A156" t="s">
        <v>16</v>
      </c>
      <c r="B156" t="s">
        <v>3221</v>
      </c>
      <c r="C156">
        <v>5439</v>
      </c>
      <c r="D156" t="s">
        <v>448</v>
      </c>
      <c r="E156" t="s">
        <v>449</v>
      </c>
      <c r="F156">
        <v>10.210000000000001</v>
      </c>
      <c r="G156">
        <v>230419</v>
      </c>
      <c r="H156">
        <v>4840</v>
      </c>
      <c r="I156" t="s">
        <v>19</v>
      </c>
      <c r="J156">
        <v>12.66</v>
      </c>
      <c r="K156">
        <v>2.4500000000000002</v>
      </c>
      <c r="L156">
        <v>11101</v>
      </c>
      <c r="M156" t="s">
        <v>110</v>
      </c>
      <c r="N156" t="str">
        <f t="shared" si="12"/>
        <v xml:space="preserve">637415      </v>
      </c>
      <c r="O156">
        <v>230424</v>
      </c>
    </row>
    <row r="157" spans="1:15" x14ac:dyDescent="0.25">
      <c r="A157" t="s">
        <v>16</v>
      </c>
      <c r="B157" t="s">
        <v>3221</v>
      </c>
      <c r="C157">
        <v>5439</v>
      </c>
      <c r="D157" t="s">
        <v>448</v>
      </c>
      <c r="E157" t="s">
        <v>449</v>
      </c>
      <c r="F157">
        <v>11.57</v>
      </c>
      <c r="G157">
        <v>230419</v>
      </c>
      <c r="H157">
        <v>4840</v>
      </c>
      <c r="I157" t="s">
        <v>19</v>
      </c>
      <c r="J157">
        <v>14.35</v>
      </c>
      <c r="K157">
        <v>2.78</v>
      </c>
      <c r="L157">
        <v>11201</v>
      </c>
      <c r="M157" t="s">
        <v>305</v>
      </c>
      <c r="N157" t="str">
        <f t="shared" si="12"/>
        <v xml:space="preserve">637415      </v>
      </c>
      <c r="O157">
        <v>230424</v>
      </c>
    </row>
    <row r="158" spans="1:15" x14ac:dyDescent="0.25">
      <c r="A158" t="s">
        <v>16</v>
      </c>
      <c r="B158" t="s">
        <v>3221</v>
      </c>
      <c r="C158">
        <v>5439</v>
      </c>
      <c r="D158" t="s">
        <v>448</v>
      </c>
      <c r="E158" t="s">
        <v>449</v>
      </c>
      <c r="F158">
        <v>36.22</v>
      </c>
      <c r="G158">
        <v>230419</v>
      </c>
      <c r="H158">
        <v>4840</v>
      </c>
      <c r="I158" t="s">
        <v>19</v>
      </c>
      <c r="J158">
        <v>44.91</v>
      </c>
      <c r="K158">
        <v>8.69</v>
      </c>
      <c r="L158">
        <v>11301</v>
      </c>
      <c r="M158" t="s">
        <v>29</v>
      </c>
      <c r="N158" t="str">
        <f t="shared" si="12"/>
        <v xml:space="preserve">637415      </v>
      </c>
      <c r="O158">
        <v>230424</v>
      </c>
    </row>
    <row r="159" spans="1:15" x14ac:dyDescent="0.25">
      <c r="A159" t="s">
        <v>16</v>
      </c>
      <c r="B159" t="s">
        <v>3221</v>
      </c>
      <c r="C159">
        <v>5439</v>
      </c>
      <c r="D159" t="s">
        <v>448</v>
      </c>
      <c r="E159" t="s">
        <v>449</v>
      </c>
      <c r="F159">
        <v>3.34</v>
      </c>
      <c r="G159">
        <v>230419</v>
      </c>
      <c r="H159">
        <v>4840</v>
      </c>
      <c r="I159" t="s">
        <v>19</v>
      </c>
      <c r="J159">
        <v>4.1399999999999997</v>
      </c>
      <c r="K159">
        <v>0.8</v>
      </c>
      <c r="L159">
        <v>11601</v>
      </c>
      <c r="M159" t="s">
        <v>535</v>
      </c>
      <c r="N159" t="str">
        <f t="shared" si="12"/>
        <v xml:space="preserve">637415      </v>
      </c>
      <c r="O159">
        <v>230424</v>
      </c>
    </row>
    <row r="160" spans="1:15" x14ac:dyDescent="0.25">
      <c r="A160" t="s">
        <v>16</v>
      </c>
      <c r="B160" t="s">
        <v>3221</v>
      </c>
      <c r="C160">
        <v>5439</v>
      </c>
      <c r="D160" t="s">
        <v>448</v>
      </c>
      <c r="E160" t="s">
        <v>449</v>
      </c>
      <c r="F160">
        <v>97.08</v>
      </c>
      <c r="G160">
        <v>230419</v>
      </c>
      <c r="H160">
        <v>4840</v>
      </c>
      <c r="I160" t="s">
        <v>19</v>
      </c>
      <c r="J160">
        <v>120.38</v>
      </c>
      <c r="K160">
        <v>23.3</v>
      </c>
      <c r="L160">
        <v>11801</v>
      </c>
      <c r="M160" t="s">
        <v>92</v>
      </c>
      <c r="N160" t="str">
        <f t="shared" si="12"/>
        <v xml:space="preserve">637415      </v>
      </c>
      <c r="O160">
        <v>230424</v>
      </c>
    </row>
    <row r="161" spans="1:15" x14ac:dyDescent="0.25">
      <c r="A161" t="s">
        <v>16</v>
      </c>
      <c r="B161" t="s">
        <v>3221</v>
      </c>
      <c r="C161">
        <v>5439</v>
      </c>
      <c r="D161" t="s">
        <v>448</v>
      </c>
      <c r="E161" t="s">
        <v>449</v>
      </c>
      <c r="F161">
        <v>19.88</v>
      </c>
      <c r="G161">
        <v>230419</v>
      </c>
      <c r="H161">
        <v>4840</v>
      </c>
      <c r="I161" t="s">
        <v>19</v>
      </c>
      <c r="J161">
        <v>24.65</v>
      </c>
      <c r="K161">
        <v>4.7699999999999996</v>
      </c>
      <c r="L161">
        <v>13501</v>
      </c>
      <c r="M161" t="s">
        <v>20</v>
      </c>
      <c r="N161" t="str">
        <f t="shared" si="12"/>
        <v xml:space="preserve">637415      </v>
      </c>
      <c r="O161">
        <v>230424</v>
      </c>
    </row>
    <row r="162" spans="1:15" x14ac:dyDescent="0.25">
      <c r="A162" t="s">
        <v>16</v>
      </c>
      <c r="B162" t="s">
        <v>3221</v>
      </c>
      <c r="C162">
        <v>5440</v>
      </c>
      <c r="D162" t="s">
        <v>448</v>
      </c>
      <c r="E162" t="s">
        <v>449</v>
      </c>
      <c r="F162">
        <v>66.16</v>
      </c>
      <c r="G162">
        <v>230419</v>
      </c>
      <c r="H162">
        <v>4840</v>
      </c>
      <c r="I162" t="s">
        <v>19</v>
      </c>
      <c r="J162">
        <v>82.04</v>
      </c>
      <c r="K162">
        <v>15.88</v>
      </c>
      <c r="L162">
        <v>13801</v>
      </c>
      <c r="M162" t="s">
        <v>162</v>
      </c>
      <c r="N162" t="str">
        <f>"637404      "</f>
        <v xml:space="preserve">637404      </v>
      </c>
      <c r="O162">
        <v>230424</v>
      </c>
    </row>
    <row r="163" spans="1:15" x14ac:dyDescent="0.25">
      <c r="A163" t="s">
        <v>16</v>
      </c>
      <c r="B163" t="s">
        <v>3221</v>
      </c>
      <c r="C163">
        <v>5490</v>
      </c>
      <c r="D163" t="s">
        <v>448</v>
      </c>
      <c r="E163" t="s">
        <v>449</v>
      </c>
      <c r="F163">
        <v>20.65</v>
      </c>
      <c r="G163">
        <v>230419</v>
      </c>
      <c r="H163">
        <v>4840</v>
      </c>
      <c r="I163" t="s">
        <v>19</v>
      </c>
      <c r="J163">
        <v>25.61</v>
      </c>
      <c r="K163">
        <v>4.96</v>
      </c>
      <c r="L163">
        <v>13401</v>
      </c>
      <c r="M163" t="s">
        <v>80</v>
      </c>
      <c r="N163" t="str">
        <f>"637408      "</f>
        <v xml:space="preserve">637408      </v>
      </c>
      <c r="O163">
        <v>230425</v>
      </c>
    </row>
    <row r="164" spans="1:15" x14ac:dyDescent="0.25">
      <c r="A164" t="s">
        <v>16</v>
      </c>
      <c r="B164" t="s">
        <v>3221</v>
      </c>
      <c r="C164">
        <v>5515</v>
      </c>
      <c r="D164" t="s">
        <v>448</v>
      </c>
      <c r="E164" t="s">
        <v>449</v>
      </c>
      <c r="F164">
        <v>16.190000000000001</v>
      </c>
      <c r="G164">
        <v>230419</v>
      </c>
      <c r="H164">
        <v>4840</v>
      </c>
      <c r="I164" t="s">
        <v>19</v>
      </c>
      <c r="J164">
        <v>20.079999999999998</v>
      </c>
      <c r="K164">
        <v>3.89</v>
      </c>
      <c r="L164">
        <v>56522</v>
      </c>
      <c r="M164" t="s">
        <v>43</v>
      </c>
      <c r="N164" t="str">
        <f>"637402      "</f>
        <v xml:space="preserve">637402      </v>
      </c>
      <c r="O164">
        <v>230426</v>
      </c>
    </row>
    <row r="165" spans="1:15" x14ac:dyDescent="0.25">
      <c r="A165" t="s">
        <v>16</v>
      </c>
      <c r="B165" t="s">
        <v>3221</v>
      </c>
      <c r="C165">
        <v>5515</v>
      </c>
      <c r="D165" t="s">
        <v>448</v>
      </c>
      <c r="E165" t="s">
        <v>449</v>
      </c>
      <c r="F165">
        <v>222.92</v>
      </c>
      <c r="G165">
        <v>230419</v>
      </c>
      <c r="H165">
        <v>4840</v>
      </c>
      <c r="I165" t="s">
        <v>19</v>
      </c>
      <c r="J165">
        <v>276.42</v>
      </c>
      <c r="K165">
        <v>53.5</v>
      </c>
      <c r="L165">
        <v>56524</v>
      </c>
      <c r="M165" t="s">
        <v>150</v>
      </c>
      <c r="N165" t="str">
        <f>"637402      "</f>
        <v xml:space="preserve">637402      </v>
      </c>
      <c r="O165">
        <v>230426</v>
      </c>
    </row>
    <row r="166" spans="1:15" x14ac:dyDescent="0.25">
      <c r="A166" t="s">
        <v>16</v>
      </c>
      <c r="B166" t="s">
        <v>3221</v>
      </c>
      <c r="C166">
        <v>5515</v>
      </c>
      <c r="D166" t="s">
        <v>448</v>
      </c>
      <c r="E166" t="s">
        <v>449</v>
      </c>
      <c r="F166">
        <v>16.059999999999999</v>
      </c>
      <c r="G166">
        <v>230419</v>
      </c>
      <c r="H166">
        <v>4840</v>
      </c>
      <c r="I166" t="s">
        <v>19</v>
      </c>
      <c r="J166">
        <v>19.91</v>
      </c>
      <c r="K166">
        <v>3.85</v>
      </c>
      <c r="L166">
        <v>56528</v>
      </c>
      <c r="M166" t="s">
        <v>153</v>
      </c>
      <c r="N166" t="str">
        <f>"637402      "</f>
        <v xml:space="preserve">637402      </v>
      </c>
      <c r="O166">
        <v>230426</v>
      </c>
    </row>
    <row r="167" spans="1:15" x14ac:dyDescent="0.25">
      <c r="A167" t="s">
        <v>16</v>
      </c>
      <c r="B167" t="s">
        <v>3221</v>
      </c>
      <c r="C167">
        <v>5639</v>
      </c>
      <c r="D167" t="s">
        <v>448</v>
      </c>
      <c r="E167" t="s">
        <v>449</v>
      </c>
      <c r="F167">
        <v>1.62</v>
      </c>
      <c r="G167">
        <v>230419</v>
      </c>
      <c r="H167">
        <v>4840</v>
      </c>
      <c r="I167" t="s">
        <v>19</v>
      </c>
      <c r="J167">
        <v>2.0099999999999998</v>
      </c>
      <c r="K167">
        <v>0.39</v>
      </c>
      <c r="L167">
        <v>65222</v>
      </c>
      <c r="M167" t="s">
        <v>487</v>
      </c>
      <c r="N167" t="str">
        <f t="shared" ref="N167:N176" si="13">"637414      "</f>
        <v xml:space="preserve">637414      </v>
      </c>
      <c r="O167">
        <v>230428</v>
      </c>
    </row>
    <row r="168" spans="1:15" x14ac:dyDescent="0.25">
      <c r="A168" t="s">
        <v>16</v>
      </c>
      <c r="B168" t="s">
        <v>3221</v>
      </c>
      <c r="C168">
        <v>5639</v>
      </c>
      <c r="D168" t="s">
        <v>448</v>
      </c>
      <c r="E168" t="s">
        <v>449</v>
      </c>
      <c r="F168">
        <v>6.3</v>
      </c>
      <c r="G168">
        <v>230419</v>
      </c>
      <c r="H168">
        <v>4840</v>
      </c>
      <c r="I168" t="s">
        <v>19</v>
      </c>
      <c r="J168">
        <v>7.81</v>
      </c>
      <c r="K168">
        <v>1.51</v>
      </c>
      <c r="L168">
        <v>66754</v>
      </c>
      <c r="M168" t="s">
        <v>239</v>
      </c>
      <c r="N168" t="str">
        <f t="shared" si="13"/>
        <v xml:space="preserve">637414      </v>
      </c>
      <c r="O168">
        <v>230428</v>
      </c>
    </row>
    <row r="169" spans="1:15" x14ac:dyDescent="0.25">
      <c r="A169" t="s">
        <v>16</v>
      </c>
      <c r="B169" t="s">
        <v>3221</v>
      </c>
      <c r="C169">
        <v>5639</v>
      </c>
      <c r="D169" t="s">
        <v>448</v>
      </c>
      <c r="E169" t="s">
        <v>449</v>
      </c>
      <c r="F169">
        <v>148.81</v>
      </c>
      <c r="G169">
        <v>230419</v>
      </c>
      <c r="H169">
        <v>4840</v>
      </c>
      <c r="I169" t="s">
        <v>19</v>
      </c>
      <c r="J169">
        <v>184.53</v>
      </c>
      <c r="K169">
        <v>35.72</v>
      </c>
      <c r="L169">
        <v>66756</v>
      </c>
      <c r="M169" t="s">
        <v>209</v>
      </c>
      <c r="N169" t="str">
        <f t="shared" si="13"/>
        <v xml:space="preserve">637414      </v>
      </c>
      <c r="O169">
        <v>230428</v>
      </c>
    </row>
    <row r="170" spans="1:15" x14ac:dyDescent="0.25">
      <c r="A170" t="s">
        <v>16</v>
      </c>
      <c r="B170" t="s">
        <v>3221</v>
      </c>
      <c r="C170">
        <v>5639</v>
      </c>
      <c r="D170" t="s">
        <v>448</v>
      </c>
      <c r="E170" t="s">
        <v>449</v>
      </c>
      <c r="F170">
        <v>6.4</v>
      </c>
      <c r="G170">
        <v>230419</v>
      </c>
      <c r="H170">
        <v>4840</v>
      </c>
      <c r="I170" t="s">
        <v>19</v>
      </c>
      <c r="J170">
        <v>7.94</v>
      </c>
      <c r="K170">
        <v>1.54</v>
      </c>
      <c r="L170">
        <v>67522</v>
      </c>
      <c r="M170" t="s">
        <v>397</v>
      </c>
      <c r="N170" t="str">
        <f t="shared" si="13"/>
        <v xml:space="preserve">637414      </v>
      </c>
      <c r="O170">
        <v>230428</v>
      </c>
    </row>
    <row r="171" spans="1:15" x14ac:dyDescent="0.25">
      <c r="A171" t="s">
        <v>16</v>
      </c>
      <c r="B171" t="s">
        <v>3221</v>
      </c>
      <c r="C171">
        <v>5639</v>
      </c>
      <c r="D171" t="s">
        <v>448</v>
      </c>
      <c r="E171" t="s">
        <v>449</v>
      </c>
      <c r="F171">
        <v>1.71</v>
      </c>
      <c r="G171">
        <v>230419</v>
      </c>
      <c r="H171">
        <v>4840</v>
      </c>
      <c r="I171" t="s">
        <v>19</v>
      </c>
      <c r="J171">
        <v>2.12</v>
      </c>
      <c r="K171">
        <v>0.41</v>
      </c>
      <c r="L171">
        <v>67522</v>
      </c>
      <c r="M171" t="s">
        <v>397</v>
      </c>
      <c r="N171" t="str">
        <f t="shared" si="13"/>
        <v xml:space="preserve">637414      </v>
      </c>
      <c r="O171">
        <v>230428</v>
      </c>
    </row>
    <row r="172" spans="1:15" x14ac:dyDescent="0.25">
      <c r="A172" t="s">
        <v>16</v>
      </c>
      <c r="B172" t="s">
        <v>3221</v>
      </c>
      <c r="C172">
        <v>5639</v>
      </c>
      <c r="D172" t="s">
        <v>448</v>
      </c>
      <c r="E172" t="s">
        <v>449</v>
      </c>
      <c r="F172">
        <v>395.48</v>
      </c>
      <c r="G172">
        <v>230419</v>
      </c>
      <c r="H172">
        <v>4840</v>
      </c>
      <c r="I172" t="s">
        <v>19</v>
      </c>
      <c r="J172">
        <v>490.4</v>
      </c>
      <c r="K172">
        <v>94.92</v>
      </c>
      <c r="L172">
        <v>69702</v>
      </c>
      <c r="M172" t="s">
        <v>489</v>
      </c>
      <c r="N172" t="str">
        <f t="shared" si="13"/>
        <v xml:space="preserve">637414      </v>
      </c>
      <c r="O172">
        <v>230428</v>
      </c>
    </row>
    <row r="173" spans="1:15" x14ac:dyDescent="0.25">
      <c r="A173" t="s">
        <v>16</v>
      </c>
      <c r="B173" t="s">
        <v>3221</v>
      </c>
      <c r="C173">
        <v>5639</v>
      </c>
      <c r="D173" t="s">
        <v>448</v>
      </c>
      <c r="E173" t="s">
        <v>449</v>
      </c>
      <c r="F173">
        <v>9.82</v>
      </c>
      <c r="G173">
        <v>230419</v>
      </c>
      <c r="H173">
        <v>4840</v>
      </c>
      <c r="I173" t="s">
        <v>19</v>
      </c>
      <c r="J173">
        <v>12.18</v>
      </c>
      <c r="K173">
        <v>2.36</v>
      </c>
      <c r="L173">
        <v>69703</v>
      </c>
      <c r="M173" t="s">
        <v>1036</v>
      </c>
      <c r="N173" t="str">
        <f t="shared" si="13"/>
        <v xml:space="preserve">637414      </v>
      </c>
      <c r="O173">
        <v>230428</v>
      </c>
    </row>
    <row r="174" spans="1:15" x14ac:dyDescent="0.25">
      <c r="A174" t="s">
        <v>16</v>
      </c>
      <c r="B174" t="s">
        <v>3221</v>
      </c>
      <c r="C174">
        <v>5639</v>
      </c>
      <c r="D174" t="s">
        <v>448</v>
      </c>
      <c r="E174" t="s">
        <v>449</v>
      </c>
      <c r="F174">
        <v>6.29</v>
      </c>
      <c r="G174">
        <v>230419</v>
      </c>
      <c r="H174">
        <v>4840</v>
      </c>
      <c r="I174" t="s">
        <v>19</v>
      </c>
      <c r="J174">
        <v>7.8</v>
      </c>
      <c r="K174">
        <v>1.51</v>
      </c>
      <c r="L174">
        <v>69704</v>
      </c>
      <c r="M174" t="s">
        <v>325</v>
      </c>
      <c r="N174" t="str">
        <f t="shared" si="13"/>
        <v xml:space="preserve">637414      </v>
      </c>
      <c r="O174">
        <v>230428</v>
      </c>
    </row>
    <row r="175" spans="1:15" x14ac:dyDescent="0.25">
      <c r="A175" t="s">
        <v>16</v>
      </c>
      <c r="B175" t="s">
        <v>3221</v>
      </c>
      <c r="C175">
        <v>5639</v>
      </c>
      <c r="D175" t="s">
        <v>448</v>
      </c>
      <c r="E175" t="s">
        <v>449</v>
      </c>
      <c r="F175">
        <v>4.9800000000000004</v>
      </c>
      <c r="G175">
        <v>230419</v>
      </c>
      <c r="H175">
        <v>4840</v>
      </c>
      <c r="I175" t="s">
        <v>19</v>
      </c>
      <c r="J175">
        <v>6.18</v>
      </c>
      <c r="K175">
        <v>1.2</v>
      </c>
      <c r="L175">
        <v>69707</v>
      </c>
      <c r="M175" t="s">
        <v>490</v>
      </c>
      <c r="N175" t="str">
        <f t="shared" si="13"/>
        <v xml:space="preserve">637414      </v>
      </c>
      <c r="O175">
        <v>230428</v>
      </c>
    </row>
    <row r="176" spans="1:15" x14ac:dyDescent="0.25">
      <c r="A176" t="s">
        <v>16</v>
      </c>
      <c r="B176" t="s">
        <v>3221</v>
      </c>
      <c r="C176">
        <v>5639</v>
      </c>
      <c r="D176" t="s">
        <v>448</v>
      </c>
      <c r="E176" t="s">
        <v>449</v>
      </c>
      <c r="F176">
        <v>1.63</v>
      </c>
      <c r="G176">
        <v>230419</v>
      </c>
      <c r="H176">
        <v>4840</v>
      </c>
      <c r="I176" t="s">
        <v>19</v>
      </c>
      <c r="J176">
        <v>2.02</v>
      </c>
      <c r="K176">
        <v>0.39</v>
      </c>
      <c r="L176">
        <v>69708</v>
      </c>
      <c r="M176" t="s">
        <v>491</v>
      </c>
      <c r="N176" t="str">
        <f t="shared" si="13"/>
        <v xml:space="preserve">637414      </v>
      </c>
      <c r="O176">
        <v>230428</v>
      </c>
    </row>
    <row r="177" spans="1:15" x14ac:dyDescent="0.25">
      <c r="A177" t="s">
        <v>16</v>
      </c>
      <c r="B177" t="s">
        <v>3221</v>
      </c>
      <c r="C177">
        <v>5640</v>
      </c>
      <c r="D177" t="s">
        <v>448</v>
      </c>
      <c r="E177" t="s">
        <v>449</v>
      </c>
      <c r="F177">
        <v>10.94</v>
      </c>
      <c r="G177">
        <v>230419</v>
      </c>
      <c r="H177">
        <v>4840</v>
      </c>
      <c r="I177" t="s">
        <v>19</v>
      </c>
      <c r="J177">
        <v>13.57</v>
      </c>
      <c r="K177">
        <v>2.63</v>
      </c>
      <c r="L177">
        <v>54222</v>
      </c>
      <c r="M177" t="s">
        <v>308</v>
      </c>
      <c r="N177" t="str">
        <f t="shared" ref="N177:N189" si="14">"637413      "</f>
        <v xml:space="preserve">637413      </v>
      </c>
      <c r="O177">
        <v>230428</v>
      </c>
    </row>
    <row r="178" spans="1:15" x14ac:dyDescent="0.25">
      <c r="A178" t="s">
        <v>16</v>
      </c>
      <c r="B178" t="s">
        <v>3221</v>
      </c>
      <c r="C178">
        <v>5640</v>
      </c>
      <c r="D178" t="s">
        <v>448</v>
      </c>
      <c r="E178" t="s">
        <v>449</v>
      </c>
      <c r="F178">
        <v>59.69</v>
      </c>
      <c r="G178">
        <v>230419</v>
      </c>
      <c r="H178">
        <v>4840</v>
      </c>
      <c r="I178" t="s">
        <v>19</v>
      </c>
      <c r="J178">
        <v>74.02</v>
      </c>
      <c r="K178">
        <v>14.33</v>
      </c>
      <c r="L178">
        <v>56558</v>
      </c>
      <c r="M178" t="s">
        <v>217</v>
      </c>
      <c r="N178" t="str">
        <f t="shared" si="14"/>
        <v xml:space="preserve">637413      </v>
      </c>
      <c r="O178">
        <v>230428</v>
      </c>
    </row>
    <row r="179" spans="1:15" x14ac:dyDescent="0.25">
      <c r="A179" t="s">
        <v>16</v>
      </c>
      <c r="B179" t="s">
        <v>3221</v>
      </c>
      <c r="C179">
        <v>5640</v>
      </c>
      <c r="D179" t="s">
        <v>448</v>
      </c>
      <c r="E179" t="s">
        <v>449</v>
      </c>
      <c r="F179">
        <v>8.01</v>
      </c>
      <c r="G179">
        <v>230419</v>
      </c>
      <c r="H179">
        <v>4840</v>
      </c>
      <c r="I179" t="s">
        <v>19</v>
      </c>
      <c r="J179">
        <v>9.93</v>
      </c>
      <c r="K179">
        <v>1.92</v>
      </c>
      <c r="L179">
        <v>56559</v>
      </c>
      <c r="M179" t="s">
        <v>129</v>
      </c>
      <c r="N179" t="str">
        <f t="shared" si="14"/>
        <v xml:space="preserve">637413      </v>
      </c>
      <c r="O179">
        <v>230428</v>
      </c>
    </row>
    <row r="180" spans="1:15" x14ac:dyDescent="0.25">
      <c r="A180" t="s">
        <v>16</v>
      </c>
      <c r="B180" t="s">
        <v>3221</v>
      </c>
      <c r="C180">
        <v>5640</v>
      </c>
      <c r="D180" t="s">
        <v>448</v>
      </c>
      <c r="E180" t="s">
        <v>449</v>
      </c>
      <c r="F180">
        <v>1.63</v>
      </c>
      <c r="G180">
        <v>230419</v>
      </c>
      <c r="H180">
        <v>4840</v>
      </c>
      <c r="I180" t="s">
        <v>19</v>
      </c>
      <c r="J180">
        <v>2.02</v>
      </c>
      <c r="K180">
        <v>0.39</v>
      </c>
      <c r="L180">
        <v>56560</v>
      </c>
      <c r="M180" t="s">
        <v>654</v>
      </c>
      <c r="N180" t="str">
        <f t="shared" si="14"/>
        <v xml:space="preserve">637413      </v>
      </c>
      <c r="O180">
        <v>230428</v>
      </c>
    </row>
    <row r="181" spans="1:15" x14ac:dyDescent="0.25">
      <c r="A181" t="s">
        <v>16</v>
      </c>
      <c r="B181" t="s">
        <v>3221</v>
      </c>
      <c r="C181">
        <v>5640</v>
      </c>
      <c r="D181" t="s">
        <v>448</v>
      </c>
      <c r="E181" t="s">
        <v>449</v>
      </c>
      <c r="F181">
        <v>98.94</v>
      </c>
      <c r="G181">
        <v>230419</v>
      </c>
      <c r="H181">
        <v>4840</v>
      </c>
      <c r="I181" t="s">
        <v>19</v>
      </c>
      <c r="J181">
        <v>122.69</v>
      </c>
      <c r="K181">
        <v>23.75</v>
      </c>
      <c r="L181">
        <v>56564</v>
      </c>
      <c r="M181" t="s">
        <v>327</v>
      </c>
      <c r="N181" t="str">
        <f t="shared" si="14"/>
        <v xml:space="preserve">637413      </v>
      </c>
      <c r="O181">
        <v>230428</v>
      </c>
    </row>
    <row r="182" spans="1:15" x14ac:dyDescent="0.25">
      <c r="A182" t="s">
        <v>16</v>
      </c>
      <c r="B182" t="s">
        <v>3221</v>
      </c>
      <c r="C182">
        <v>5640</v>
      </c>
      <c r="D182" t="s">
        <v>448</v>
      </c>
      <c r="E182" t="s">
        <v>449</v>
      </c>
      <c r="F182">
        <v>14.06</v>
      </c>
      <c r="G182">
        <v>230419</v>
      </c>
      <c r="H182">
        <v>4840</v>
      </c>
      <c r="I182" t="s">
        <v>19</v>
      </c>
      <c r="J182">
        <v>17.440000000000001</v>
      </c>
      <c r="K182">
        <v>3.38</v>
      </c>
      <c r="L182">
        <v>56565</v>
      </c>
      <c r="M182" t="s">
        <v>758</v>
      </c>
      <c r="N182" t="str">
        <f t="shared" si="14"/>
        <v xml:space="preserve">637413      </v>
      </c>
      <c r="O182">
        <v>230428</v>
      </c>
    </row>
    <row r="183" spans="1:15" x14ac:dyDescent="0.25">
      <c r="A183" t="s">
        <v>16</v>
      </c>
      <c r="B183" t="s">
        <v>3221</v>
      </c>
      <c r="C183">
        <v>5640</v>
      </c>
      <c r="D183" t="s">
        <v>448</v>
      </c>
      <c r="E183" t="s">
        <v>449</v>
      </c>
      <c r="F183">
        <v>29.88</v>
      </c>
      <c r="G183">
        <v>230419</v>
      </c>
      <c r="H183">
        <v>4840</v>
      </c>
      <c r="I183" t="s">
        <v>19</v>
      </c>
      <c r="J183">
        <v>37.049999999999997</v>
      </c>
      <c r="K183">
        <v>7.17</v>
      </c>
      <c r="L183">
        <v>56566</v>
      </c>
      <c r="M183" t="s">
        <v>652</v>
      </c>
      <c r="N183" t="str">
        <f t="shared" si="14"/>
        <v xml:space="preserve">637413      </v>
      </c>
      <c r="O183">
        <v>230428</v>
      </c>
    </row>
    <row r="184" spans="1:15" x14ac:dyDescent="0.25">
      <c r="A184" t="s">
        <v>16</v>
      </c>
      <c r="B184" t="s">
        <v>3221</v>
      </c>
      <c r="C184">
        <v>5640</v>
      </c>
      <c r="D184" t="s">
        <v>448</v>
      </c>
      <c r="E184" t="s">
        <v>449</v>
      </c>
      <c r="F184">
        <v>6.22</v>
      </c>
      <c r="G184">
        <v>230419</v>
      </c>
      <c r="H184">
        <v>4840</v>
      </c>
      <c r="I184" t="s">
        <v>19</v>
      </c>
      <c r="J184">
        <v>7.71</v>
      </c>
      <c r="K184">
        <v>1.49</v>
      </c>
      <c r="L184">
        <v>59113</v>
      </c>
      <c r="M184" t="s">
        <v>235</v>
      </c>
      <c r="N184" t="str">
        <f t="shared" si="14"/>
        <v xml:space="preserve">637413      </v>
      </c>
      <c r="O184">
        <v>230428</v>
      </c>
    </row>
    <row r="185" spans="1:15" x14ac:dyDescent="0.25">
      <c r="A185" t="s">
        <v>16</v>
      </c>
      <c r="B185" t="s">
        <v>3221</v>
      </c>
      <c r="C185">
        <v>5640</v>
      </c>
      <c r="D185" t="s">
        <v>448</v>
      </c>
      <c r="E185" t="s">
        <v>449</v>
      </c>
      <c r="F185">
        <v>6.21</v>
      </c>
      <c r="G185">
        <v>230419</v>
      </c>
      <c r="H185">
        <v>4840</v>
      </c>
      <c r="I185" t="s">
        <v>19</v>
      </c>
      <c r="J185">
        <v>7.7</v>
      </c>
      <c r="K185">
        <v>1.49</v>
      </c>
      <c r="L185">
        <v>59501</v>
      </c>
      <c r="M185" t="s">
        <v>69</v>
      </c>
      <c r="N185" t="str">
        <f t="shared" si="14"/>
        <v xml:space="preserve">637413      </v>
      </c>
      <c r="O185">
        <v>230428</v>
      </c>
    </row>
    <row r="186" spans="1:15" x14ac:dyDescent="0.25">
      <c r="A186" t="s">
        <v>16</v>
      </c>
      <c r="B186" t="s">
        <v>3221</v>
      </c>
      <c r="C186">
        <v>5640</v>
      </c>
      <c r="D186" t="s">
        <v>448</v>
      </c>
      <c r="E186" t="s">
        <v>449</v>
      </c>
      <c r="F186">
        <v>12.94</v>
      </c>
      <c r="G186">
        <v>230419</v>
      </c>
      <c r="H186">
        <v>4840</v>
      </c>
      <c r="I186" t="s">
        <v>19</v>
      </c>
      <c r="J186">
        <v>16.04</v>
      </c>
      <c r="K186">
        <v>3.1</v>
      </c>
      <c r="L186">
        <v>59502</v>
      </c>
      <c r="M186" t="s">
        <v>70</v>
      </c>
      <c r="N186" t="str">
        <f t="shared" si="14"/>
        <v xml:space="preserve">637413      </v>
      </c>
      <c r="O186">
        <v>230428</v>
      </c>
    </row>
    <row r="187" spans="1:15" x14ac:dyDescent="0.25">
      <c r="A187" t="s">
        <v>16</v>
      </c>
      <c r="B187" t="s">
        <v>3221</v>
      </c>
      <c r="C187">
        <v>5640</v>
      </c>
      <c r="D187" t="s">
        <v>448</v>
      </c>
      <c r="E187" t="s">
        <v>449</v>
      </c>
      <c r="F187">
        <v>3.34</v>
      </c>
      <c r="G187">
        <v>230419</v>
      </c>
      <c r="H187">
        <v>4840</v>
      </c>
      <c r="I187" t="s">
        <v>19</v>
      </c>
      <c r="J187">
        <v>4.1399999999999997</v>
      </c>
      <c r="K187">
        <v>0.8</v>
      </c>
      <c r="L187">
        <v>59701</v>
      </c>
      <c r="M187" t="s">
        <v>297</v>
      </c>
      <c r="N187" t="str">
        <f t="shared" si="14"/>
        <v xml:space="preserve">637413      </v>
      </c>
      <c r="O187">
        <v>230428</v>
      </c>
    </row>
    <row r="188" spans="1:15" x14ac:dyDescent="0.25">
      <c r="A188" t="s">
        <v>16</v>
      </c>
      <c r="B188" t="s">
        <v>3221</v>
      </c>
      <c r="C188">
        <v>5640</v>
      </c>
      <c r="D188" t="s">
        <v>448</v>
      </c>
      <c r="E188" t="s">
        <v>449</v>
      </c>
      <c r="F188">
        <v>19.510000000000002</v>
      </c>
      <c r="G188">
        <v>230419</v>
      </c>
      <c r="H188">
        <v>4840</v>
      </c>
      <c r="I188" t="s">
        <v>19</v>
      </c>
      <c r="J188">
        <v>24.19</v>
      </c>
      <c r="K188">
        <v>4.68</v>
      </c>
      <c r="L188">
        <v>59702</v>
      </c>
      <c r="M188" t="s">
        <v>328</v>
      </c>
      <c r="N188" t="str">
        <f t="shared" si="14"/>
        <v xml:space="preserve">637413      </v>
      </c>
      <c r="O188">
        <v>230428</v>
      </c>
    </row>
    <row r="189" spans="1:15" x14ac:dyDescent="0.25">
      <c r="A189" t="s">
        <v>16</v>
      </c>
      <c r="B189" t="s">
        <v>3221</v>
      </c>
      <c r="C189">
        <v>5640</v>
      </c>
      <c r="D189" t="s">
        <v>448</v>
      </c>
      <c r="E189" t="s">
        <v>449</v>
      </c>
      <c r="F189">
        <v>1.63</v>
      </c>
      <c r="G189">
        <v>230419</v>
      </c>
      <c r="H189">
        <v>4840</v>
      </c>
      <c r="I189" t="s">
        <v>19</v>
      </c>
      <c r="J189">
        <v>2.02</v>
      </c>
      <c r="K189">
        <v>0.39</v>
      </c>
      <c r="L189">
        <v>59705</v>
      </c>
      <c r="M189" t="s">
        <v>843</v>
      </c>
      <c r="N189" t="str">
        <f t="shared" si="14"/>
        <v xml:space="preserve">637413      </v>
      </c>
      <c r="O189">
        <v>230428</v>
      </c>
    </row>
    <row r="190" spans="1:15" x14ac:dyDescent="0.25">
      <c r="A190" t="s">
        <v>16</v>
      </c>
      <c r="B190" t="s">
        <v>3221</v>
      </c>
      <c r="C190">
        <v>5641</v>
      </c>
      <c r="D190" t="s">
        <v>448</v>
      </c>
      <c r="E190" t="s">
        <v>449</v>
      </c>
      <c r="F190">
        <v>27.42</v>
      </c>
      <c r="G190">
        <v>230419</v>
      </c>
      <c r="H190">
        <v>4840</v>
      </c>
      <c r="I190" t="s">
        <v>19</v>
      </c>
      <c r="J190">
        <v>34</v>
      </c>
      <c r="K190">
        <v>6.58</v>
      </c>
      <c r="L190">
        <v>53222</v>
      </c>
      <c r="M190" t="s">
        <v>445</v>
      </c>
      <c r="N190" t="str">
        <f t="shared" ref="N190:N197" si="15">"637405      "</f>
        <v xml:space="preserve">637405      </v>
      </c>
      <c r="O190">
        <v>230428</v>
      </c>
    </row>
    <row r="191" spans="1:15" x14ac:dyDescent="0.25">
      <c r="A191" t="s">
        <v>16</v>
      </c>
      <c r="B191" t="s">
        <v>3221</v>
      </c>
      <c r="C191">
        <v>5641</v>
      </c>
      <c r="D191" t="s">
        <v>448</v>
      </c>
      <c r="E191" t="s">
        <v>449</v>
      </c>
      <c r="F191">
        <v>155.4</v>
      </c>
      <c r="G191">
        <v>230419</v>
      </c>
      <c r="H191">
        <v>4840</v>
      </c>
      <c r="I191" t="s">
        <v>19</v>
      </c>
      <c r="J191">
        <v>192.69</v>
      </c>
      <c r="K191">
        <v>37.29</v>
      </c>
      <c r="L191">
        <v>53222</v>
      </c>
      <c r="M191" t="s">
        <v>445</v>
      </c>
      <c r="N191" t="str">
        <f t="shared" si="15"/>
        <v xml:space="preserve">637405      </v>
      </c>
      <c r="O191">
        <v>230428</v>
      </c>
    </row>
    <row r="192" spans="1:15" x14ac:dyDescent="0.25">
      <c r="A192" t="s">
        <v>16</v>
      </c>
      <c r="B192" t="s">
        <v>3221</v>
      </c>
      <c r="C192">
        <v>5641</v>
      </c>
      <c r="D192" t="s">
        <v>448</v>
      </c>
      <c r="E192" t="s">
        <v>449</v>
      </c>
      <c r="F192">
        <v>36.72</v>
      </c>
      <c r="G192">
        <v>230419</v>
      </c>
      <c r="H192">
        <v>4840</v>
      </c>
      <c r="I192" t="s">
        <v>19</v>
      </c>
      <c r="J192">
        <v>45.53</v>
      </c>
      <c r="K192">
        <v>8.81</v>
      </c>
      <c r="L192">
        <v>54622</v>
      </c>
      <c r="M192" t="s">
        <v>872</v>
      </c>
      <c r="N192" t="str">
        <f t="shared" si="15"/>
        <v xml:space="preserve">637405      </v>
      </c>
      <c r="O192">
        <v>230428</v>
      </c>
    </row>
    <row r="193" spans="1:15" x14ac:dyDescent="0.25">
      <c r="A193" t="s">
        <v>16</v>
      </c>
      <c r="B193" t="s">
        <v>3221</v>
      </c>
      <c r="C193">
        <v>5641</v>
      </c>
      <c r="D193" t="s">
        <v>448</v>
      </c>
      <c r="E193" t="s">
        <v>449</v>
      </c>
      <c r="F193">
        <v>60.01</v>
      </c>
      <c r="G193">
        <v>230419</v>
      </c>
      <c r="H193">
        <v>4840</v>
      </c>
      <c r="I193" t="s">
        <v>19</v>
      </c>
      <c r="J193">
        <v>74.41</v>
      </c>
      <c r="K193">
        <v>14.4</v>
      </c>
      <c r="L193">
        <v>55222</v>
      </c>
      <c r="M193" t="s">
        <v>873</v>
      </c>
      <c r="N193" t="str">
        <f t="shared" si="15"/>
        <v xml:space="preserve">637405      </v>
      </c>
      <c r="O193">
        <v>230428</v>
      </c>
    </row>
    <row r="194" spans="1:15" x14ac:dyDescent="0.25">
      <c r="A194" t="s">
        <v>16</v>
      </c>
      <c r="B194" t="s">
        <v>3221</v>
      </c>
      <c r="C194">
        <v>5641</v>
      </c>
      <c r="D194" t="s">
        <v>448</v>
      </c>
      <c r="E194" t="s">
        <v>449</v>
      </c>
      <c r="F194">
        <v>8.1</v>
      </c>
      <c r="G194">
        <v>230419</v>
      </c>
      <c r="H194">
        <v>4840</v>
      </c>
      <c r="I194" t="s">
        <v>19</v>
      </c>
      <c r="J194">
        <v>10.039999999999999</v>
      </c>
      <c r="K194">
        <v>1.94</v>
      </c>
      <c r="L194">
        <v>59114</v>
      </c>
      <c r="M194" t="s">
        <v>556</v>
      </c>
      <c r="N194" t="str">
        <f t="shared" si="15"/>
        <v xml:space="preserve">637405      </v>
      </c>
      <c r="O194">
        <v>230428</v>
      </c>
    </row>
    <row r="195" spans="1:15" x14ac:dyDescent="0.25">
      <c r="A195" t="s">
        <v>16</v>
      </c>
      <c r="B195" t="s">
        <v>3221</v>
      </c>
      <c r="C195">
        <v>5641</v>
      </c>
      <c r="D195" t="s">
        <v>448</v>
      </c>
      <c r="E195" t="s">
        <v>449</v>
      </c>
      <c r="F195">
        <v>8.1</v>
      </c>
      <c r="G195">
        <v>230419</v>
      </c>
      <c r="H195">
        <v>4840</v>
      </c>
      <c r="I195" t="s">
        <v>19</v>
      </c>
      <c r="J195">
        <v>10.050000000000001</v>
      </c>
      <c r="K195">
        <v>1.95</v>
      </c>
      <c r="L195">
        <v>59504</v>
      </c>
      <c r="M195" t="s">
        <v>71</v>
      </c>
      <c r="N195" t="str">
        <f t="shared" si="15"/>
        <v xml:space="preserve">637405      </v>
      </c>
      <c r="O195">
        <v>230428</v>
      </c>
    </row>
    <row r="196" spans="1:15" x14ac:dyDescent="0.25">
      <c r="A196" t="s">
        <v>16</v>
      </c>
      <c r="B196" t="s">
        <v>3221</v>
      </c>
      <c r="C196">
        <v>5641</v>
      </c>
      <c r="D196" t="s">
        <v>448</v>
      </c>
      <c r="E196" t="s">
        <v>449</v>
      </c>
      <c r="F196">
        <v>10.46</v>
      </c>
      <c r="G196">
        <v>230419</v>
      </c>
      <c r="H196">
        <v>4840</v>
      </c>
      <c r="I196" t="s">
        <v>19</v>
      </c>
      <c r="J196">
        <v>12.97</v>
      </c>
      <c r="K196">
        <v>2.5099999999999998</v>
      </c>
      <c r="L196">
        <v>59702</v>
      </c>
      <c r="M196" t="s">
        <v>328</v>
      </c>
      <c r="N196" t="str">
        <f t="shared" si="15"/>
        <v xml:space="preserve">637405      </v>
      </c>
      <c r="O196">
        <v>230428</v>
      </c>
    </row>
    <row r="197" spans="1:15" x14ac:dyDescent="0.25">
      <c r="A197" t="s">
        <v>16</v>
      </c>
      <c r="B197" t="s">
        <v>3221</v>
      </c>
      <c r="C197">
        <v>5641</v>
      </c>
      <c r="D197" t="s">
        <v>448</v>
      </c>
      <c r="E197" t="s">
        <v>449</v>
      </c>
      <c r="F197">
        <v>1.63</v>
      </c>
      <c r="G197">
        <v>230419</v>
      </c>
      <c r="H197">
        <v>4840</v>
      </c>
      <c r="I197" t="s">
        <v>19</v>
      </c>
      <c r="J197">
        <v>2.02</v>
      </c>
      <c r="K197">
        <v>0.39</v>
      </c>
      <c r="L197">
        <v>59705</v>
      </c>
      <c r="M197" t="s">
        <v>843</v>
      </c>
      <c r="N197" t="str">
        <f t="shared" si="15"/>
        <v xml:space="preserve">637405      </v>
      </c>
      <c r="O197">
        <v>230428</v>
      </c>
    </row>
    <row r="198" spans="1:15" x14ac:dyDescent="0.25">
      <c r="A198" t="s">
        <v>16</v>
      </c>
      <c r="B198" t="s">
        <v>3221</v>
      </c>
      <c r="C198">
        <v>5643</v>
      </c>
      <c r="D198" t="s">
        <v>448</v>
      </c>
      <c r="E198" t="s">
        <v>449</v>
      </c>
      <c r="F198">
        <v>236.9</v>
      </c>
      <c r="G198">
        <v>230419</v>
      </c>
      <c r="H198">
        <v>4840</v>
      </c>
      <c r="I198" t="s">
        <v>19</v>
      </c>
      <c r="J198">
        <v>293.75</v>
      </c>
      <c r="K198">
        <v>56.85</v>
      </c>
      <c r="L198">
        <v>16121</v>
      </c>
      <c r="M198" t="s">
        <v>21</v>
      </c>
      <c r="N198" t="str">
        <f>"637409      "</f>
        <v xml:space="preserve">637409      </v>
      </c>
      <c r="O198">
        <v>230428</v>
      </c>
    </row>
    <row r="199" spans="1:15" x14ac:dyDescent="0.25">
      <c r="A199" t="s">
        <v>16</v>
      </c>
      <c r="B199" t="s">
        <v>3221</v>
      </c>
      <c r="C199">
        <v>5643</v>
      </c>
      <c r="D199" t="s">
        <v>448</v>
      </c>
      <c r="E199" t="s">
        <v>449</v>
      </c>
      <c r="F199">
        <v>191.34</v>
      </c>
      <c r="G199">
        <v>230419</v>
      </c>
      <c r="H199">
        <v>4840</v>
      </c>
      <c r="I199" t="s">
        <v>19</v>
      </c>
      <c r="J199">
        <v>237.26</v>
      </c>
      <c r="K199">
        <v>45.92</v>
      </c>
      <c r="L199">
        <v>16820</v>
      </c>
      <c r="M199" t="s">
        <v>23</v>
      </c>
      <c r="N199" t="str">
        <f>"637409      "</f>
        <v xml:space="preserve">637409      </v>
      </c>
      <c r="O199">
        <v>230428</v>
      </c>
    </row>
    <row r="200" spans="1:15" x14ac:dyDescent="0.25">
      <c r="A200" t="s">
        <v>16</v>
      </c>
      <c r="B200" t="s">
        <v>3221</v>
      </c>
      <c r="C200">
        <v>5643</v>
      </c>
      <c r="D200" t="s">
        <v>448</v>
      </c>
      <c r="E200" t="s">
        <v>449</v>
      </c>
      <c r="F200">
        <v>10.55</v>
      </c>
      <c r="G200">
        <v>230419</v>
      </c>
      <c r="H200">
        <v>4840</v>
      </c>
      <c r="I200" t="s">
        <v>19</v>
      </c>
      <c r="J200">
        <v>13.08</v>
      </c>
      <c r="K200">
        <v>2.5299999999999998</v>
      </c>
      <c r="L200">
        <v>17530</v>
      </c>
      <c r="M200" t="s">
        <v>454</v>
      </c>
      <c r="N200" t="str">
        <f>"637409      "</f>
        <v xml:space="preserve">637409      </v>
      </c>
      <c r="O200">
        <v>230428</v>
      </c>
    </row>
    <row r="201" spans="1:15" x14ac:dyDescent="0.25">
      <c r="A201" t="s">
        <v>16</v>
      </c>
      <c r="B201" t="s">
        <v>3221</v>
      </c>
      <c r="C201">
        <v>5812</v>
      </c>
      <c r="D201" t="s">
        <v>448</v>
      </c>
      <c r="E201" t="s">
        <v>449</v>
      </c>
      <c r="F201">
        <v>36.229999999999997</v>
      </c>
      <c r="G201">
        <v>230419</v>
      </c>
      <c r="H201">
        <v>4840</v>
      </c>
      <c r="I201" t="s">
        <v>19</v>
      </c>
      <c r="J201">
        <v>44.93</v>
      </c>
      <c r="K201">
        <v>8.6999999999999993</v>
      </c>
      <c r="L201">
        <v>41126</v>
      </c>
      <c r="M201" t="s">
        <v>761</v>
      </c>
      <c r="N201" t="str">
        <f t="shared" ref="N201:N209" si="16">"637418      "</f>
        <v xml:space="preserve">637418      </v>
      </c>
      <c r="O201">
        <v>230503</v>
      </c>
    </row>
    <row r="202" spans="1:15" x14ac:dyDescent="0.25">
      <c r="A202" t="s">
        <v>16</v>
      </c>
      <c r="B202" t="s">
        <v>3221</v>
      </c>
      <c r="C202">
        <v>5812</v>
      </c>
      <c r="D202" t="s">
        <v>448</v>
      </c>
      <c r="E202" t="s">
        <v>449</v>
      </c>
      <c r="F202">
        <v>151.86000000000001</v>
      </c>
      <c r="G202">
        <v>230419</v>
      </c>
      <c r="H202">
        <v>4840</v>
      </c>
      <c r="I202" t="s">
        <v>19</v>
      </c>
      <c r="J202">
        <v>188.31</v>
      </c>
      <c r="K202">
        <v>36.450000000000003</v>
      </c>
      <c r="L202">
        <v>43222</v>
      </c>
      <c r="M202" t="s">
        <v>507</v>
      </c>
      <c r="N202" t="str">
        <f t="shared" si="16"/>
        <v xml:space="preserve">637418      </v>
      </c>
      <c r="O202">
        <v>230503</v>
      </c>
    </row>
    <row r="203" spans="1:15" x14ac:dyDescent="0.25">
      <c r="A203" t="s">
        <v>16</v>
      </c>
      <c r="B203" t="s">
        <v>3221</v>
      </c>
      <c r="C203">
        <v>5812</v>
      </c>
      <c r="D203" t="s">
        <v>448</v>
      </c>
      <c r="E203" t="s">
        <v>449</v>
      </c>
      <c r="F203">
        <v>1.55</v>
      </c>
      <c r="G203">
        <v>230419</v>
      </c>
      <c r="H203">
        <v>4840</v>
      </c>
      <c r="I203" t="s">
        <v>19</v>
      </c>
      <c r="J203">
        <v>1.92</v>
      </c>
      <c r="K203">
        <v>0.37</v>
      </c>
      <c r="L203">
        <v>44222</v>
      </c>
      <c r="M203" t="s">
        <v>232</v>
      </c>
      <c r="N203" t="str">
        <f t="shared" si="16"/>
        <v xml:space="preserve">637418      </v>
      </c>
      <c r="O203">
        <v>230503</v>
      </c>
    </row>
    <row r="204" spans="1:15" x14ac:dyDescent="0.25">
      <c r="A204" t="s">
        <v>16</v>
      </c>
      <c r="B204" t="s">
        <v>3221</v>
      </c>
      <c r="C204">
        <v>5812</v>
      </c>
      <c r="D204" t="s">
        <v>448</v>
      </c>
      <c r="E204" t="s">
        <v>449</v>
      </c>
      <c r="F204">
        <v>126.41</v>
      </c>
      <c r="G204">
        <v>230419</v>
      </c>
      <c r="H204">
        <v>4840</v>
      </c>
      <c r="I204" t="s">
        <v>19</v>
      </c>
      <c r="J204">
        <v>156.75</v>
      </c>
      <c r="K204">
        <v>30.34</v>
      </c>
      <c r="L204">
        <v>46222</v>
      </c>
      <c r="M204" t="s">
        <v>293</v>
      </c>
      <c r="N204" t="str">
        <f t="shared" si="16"/>
        <v xml:space="preserve">637418      </v>
      </c>
      <c r="O204">
        <v>230503</v>
      </c>
    </row>
    <row r="205" spans="1:15" x14ac:dyDescent="0.25">
      <c r="A205" t="s">
        <v>16</v>
      </c>
      <c r="B205" t="s">
        <v>3221</v>
      </c>
      <c r="C205">
        <v>5812</v>
      </c>
      <c r="D205" t="s">
        <v>448</v>
      </c>
      <c r="E205" t="s">
        <v>449</v>
      </c>
      <c r="F205">
        <v>136.72</v>
      </c>
      <c r="G205">
        <v>230419</v>
      </c>
      <c r="H205">
        <v>4840</v>
      </c>
      <c r="I205" t="s">
        <v>19</v>
      </c>
      <c r="J205">
        <v>169.53</v>
      </c>
      <c r="K205">
        <v>32.81</v>
      </c>
      <c r="L205">
        <v>46554</v>
      </c>
      <c r="M205" t="s">
        <v>117</v>
      </c>
      <c r="N205" t="str">
        <f t="shared" si="16"/>
        <v xml:space="preserve">637418      </v>
      </c>
      <c r="O205">
        <v>230503</v>
      </c>
    </row>
    <row r="206" spans="1:15" x14ac:dyDescent="0.25">
      <c r="A206" t="s">
        <v>16</v>
      </c>
      <c r="B206" t="s">
        <v>3221</v>
      </c>
      <c r="C206">
        <v>5812</v>
      </c>
      <c r="D206" t="s">
        <v>448</v>
      </c>
      <c r="E206" t="s">
        <v>449</v>
      </c>
      <c r="F206">
        <v>14.67</v>
      </c>
      <c r="G206">
        <v>230419</v>
      </c>
      <c r="H206">
        <v>4840</v>
      </c>
      <c r="I206" t="s">
        <v>19</v>
      </c>
      <c r="J206">
        <v>18.190000000000001</v>
      </c>
      <c r="K206">
        <v>3.52</v>
      </c>
      <c r="L206">
        <v>46555</v>
      </c>
      <c r="M206" t="s">
        <v>597</v>
      </c>
      <c r="N206" t="str">
        <f t="shared" si="16"/>
        <v xml:space="preserve">637418      </v>
      </c>
      <c r="O206">
        <v>230503</v>
      </c>
    </row>
    <row r="207" spans="1:15" x14ac:dyDescent="0.25">
      <c r="A207" t="s">
        <v>16</v>
      </c>
      <c r="B207" t="s">
        <v>3221</v>
      </c>
      <c r="C207">
        <v>5812</v>
      </c>
      <c r="D207" t="s">
        <v>448</v>
      </c>
      <c r="E207" t="s">
        <v>449</v>
      </c>
      <c r="F207">
        <v>38.71</v>
      </c>
      <c r="G207">
        <v>230419</v>
      </c>
      <c r="H207">
        <v>4840</v>
      </c>
      <c r="I207" t="s">
        <v>19</v>
      </c>
      <c r="J207">
        <v>48</v>
      </c>
      <c r="K207">
        <v>9.2899999999999991</v>
      </c>
      <c r="L207">
        <v>47522</v>
      </c>
      <c r="M207" t="s">
        <v>410</v>
      </c>
      <c r="N207" t="str">
        <f t="shared" si="16"/>
        <v xml:space="preserve">637418      </v>
      </c>
      <c r="O207">
        <v>230503</v>
      </c>
    </row>
    <row r="208" spans="1:15" x14ac:dyDescent="0.25">
      <c r="A208" t="s">
        <v>16</v>
      </c>
      <c r="B208" t="s">
        <v>3221</v>
      </c>
      <c r="C208">
        <v>5812</v>
      </c>
      <c r="D208" t="s">
        <v>448</v>
      </c>
      <c r="E208" t="s">
        <v>449</v>
      </c>
      <c r="F208">
        <v>7.22</v>
      </c>
      <c r="G208">
        <v>230419</v>
      </c>
      <c r="H208">
        <v>4840</v>
      </c>
      <c r="I208" t="s">
        <v>19</v>
      </c>
      <c r="J208">
        <v>8.9499999999999993</v>
      </c>
      <c r="K208">
        <v>1.73</v>
      </c>
      <c r="L208">
        <v>49701</v>
      </c>
      <c r="M208" t="s">
        <v>166</v>
      </c>
      <c r="N208" t="str">
        <f t="shared" si="16"/>
        <v xml:space="preserve">637418      </v>
      </c>
      <c r="O208">
        <v>230503</v>
      </c>
    </row>
    <row r="209" spans="1:15" x14ac:dyDescent="0.25">
      <c r="A209" t="s">
        <v>16</v>
      </c>
      <c r="B209" t="s">
        <v>3221</v>
      </c>
      <c r="C209">
        <v>5812</v>
      </c>
      <c r="D209" t="s">
        <v>448</v>
      </c>
      <c r="E209" t="s">
        <v>449</v>
      </c>
      <c r="F209">
        <v>13.55</v>
      </c>
      <c r="G209">
        <v>230419</v>
      </c>
      <c r="H209">
        <v>4840</v>
      </c>
      <c r="I209" t="s">
        <v>19</v>
      </c>
      <c r="J209">
        <v>16.8</v>
      </c>
      <c r="K209">
        <v>3.25</v>
      </c>
      <c r="L209">
        <v>49702</v>
      </c>
      <c r="M209" t="s">
        <v>584</v>
      </c>
      <c r="N209" t="str">
        <f t="shared" si="16"/>
        <v xml:space="preserve">637418      </v>
      </c>
      <c r="O209">
        <v>230503</v>
      </c>
    </row>
    <row r="210" spans="1:15" x14ac:dyDescent="0.25">
      <c r="A210" t="s">
        <v>16</v>
      </c>
      <c r="B210" t="s">
        <v>3221</v>
      </c>
      <c r="C210">
        <v>9787</v>
      </c>
      <c r="D210" t="s">
        <v>448</v>
      </c>
      <c r="E210" t="s">
        <v>449</v>
      </c>
      <c r="F210">
        <v>9.64</v>
      </c>
      <c r="G210">
        <v>230719</v>
      </c>
      <c r="H210">
        <v>4840</v>
      </c>
      <c r="I210" t="s">
        <v>19</v>
      </c>
      <c r="J210">
        <v>11.95</v>
      </c>
      <c r="K210">
        <v>2.31</v>
      </c>
      <c r="L210">
        <v>16915</v>
      </c>
      <c r="M210" t="s">
        <v>1519</v>
      </c>
      <c r="N210" t="str">
        <f t="shared" ref="N210:N230" si="17">"643280      "</f>
        <v xml:space="preserve">643280      </v>
      </c>
      <c r="O210">
        <v>230725</v>
      </c>
    </row>
    <row r="211" spans="1:15" x14ac:dyDescent="0.25">
      <c r="A211" t="s">
        <v>16</v>
      </c>
      <c r="B211" t="s">
        <v>3221</v>
      </c>
      <c r="C211">
        <v>9787</v>
      </c>
      <c r="D211" t="s">
        <v>448</v>
      </c>
      <c r="E211" t="s">
        <v>449</v>
      </c>
      <c r="F211">
        <v>59.2</v>
      </c>
      <c r="G211">
        <v>230719</v>
      </c>
      <c r="H211">
        <v>4840</v>
      </c>
      <c r="I211" t="s">
        <v>19</v>
      </c>
      <c r="J211">
        <v>73.41</v>
      </c>
      <c r="K211">
        <v>14.21</v>
      </c>
      <c r="L211">
        <v>16930</v>
      </c>
      <c r="M211" t="s">
        <v>450</v>
      </c>
      <c r="N211" t="str">
        <f t="shared" si="17"/>
        <v xml:space="preserve">643280      </v>
      </c>
      <c r="O211">
        <v>230725</v>
      </c>
    </row>
    <row r="212" spans="1:15" x14ac:dyDescent="0.25">
      <c r="A212" t="s">
        <v>16</v>
      </c>
      <c r="B212" t="s">
        <v>3221</v>
      </c>
      <c r="C212">
        <v>9787</v>
      </c>
      <c r="D212" t="s">
        <v>448</v>
      </c>
      <c r="E212" t="s">
        <v>449</v>
      </c>
      <c r="F212">
        <v>13.12</v>
      </c>
      <c r="G212">
        <v>230719</v>
      </c>
      <c r="H212">
        <v>4840</v>
      </c>
      <c r="I212" t="s">
        <v>19</v>
      </c>
      <c r="J212">
        <v>16.27</v>
      </c>
      <c r="K212">
        <v>3.15</v>
      </c>
      <c r="L212">
        <v>17522</v>
      </c>
      <c r="M212" t="s">
        <v>451</v>
      </c>
      <c r="N212" t="str">
        <f t="shared" si="17"/>
        <v xml:space="preserve">643280      </v>
      </c>
      <c r="O212">
        <v>230725</v>
      </c>
    </row>
    <row r="213" spans="1:15" x14ac:dyDescent="0.25">
      <c r="A213" t="s">
        <v>16</v>
      </c>
      <c r="B213" t="s">
        <v>3221</v>
      </c>
      <c r="C213">
        <v>9787</v>
      </c>
      <c r="D213" t="s">
        <v>448</v>
      </c>
      <c r="E213" t="s">
        <v>449</v>
      </c>
      <c r="F213">
        <v>92.49</v>
      </c>
      <c r="G213">
        <v>230719</v>
      </c>
      <c r="H213">
        <v>4840</v>
      </c>
      <c r="I213" t="s">
        <v>19</v>
      </c>
      <c r="J213">
        <v>114.69</v>
      </c>
      <c r="K213">
        <v>22.2</v>
      </c>
      <c r="L213">
        <v>17523</v>
      </c>
      <c r="M213" t="s">
        <v>134</v>
      </c>
      <c r="N213" t="str">
        <f t="shared" si="17"/>
        <v xml:space="preserve">643280      </v>
      </c>
      <c r="O213">
        <v>230725</v>
      </c>
    </row>
    <row r="214" spans="1:15" x14ac:dyDescent="0.25">
      <c r="A214" t="s">
        <v>16</v>
      </c>
      <c r="B214" t="s">
        <v>3221</v>
      </c>
      <c r="C214">
        <v>9787</v>
      </c>
      <c r="D214" t="s">
        <v>448</v>
      </c>
      <c r="E214" t="s">
        <v>449</v>
      </c>
      <c r="F214">
        <v>93.21</v>
      </c>
      <c r="G214">
        <v>230719</v>
      </c>
      <c r="H214">
        <v>4840</v>
      </c>
      <c r="I214" t="s">
        <v>19</v>
      </c>
      <c r="J214">
        <v>115.58</v>
      </c>
      <c r="K214">
        <v>22.37</v>
      </c>
      <c r="L214">
        <v>17524</v>
      </c>
      <c r="M214" t="s">
        <v>452</v>
      </c>
      <c r="N214" t="str">
        <f t="shared" si="17"/>
        <v xml:space="preserve">643280      </v>
      </c>
      <c r="O214">
        <v>230725</v>
      </c>
    </row>
    <row r="215" spans="1:15" x14ac:dyDescent="0.25">
      <c r="A215" t="s">
        <v>16</v>
      </c>
      <c r="B215" t="s">
        <v>3221</v>
      </c>
      <c r="C215">
        <v>9787</v>
      </c>
      <c r="D215" t="s">
        <v>448</v>
      </c>
      <c r="E215" t="s">
        <v>449</v>
      </c>
      <c r="F215">
        <v>11.57</v>
      </c>
      <c r="G215">
        <v>230719</v>
      </c>
      <c r="H215">
        <v>4840</v>
      </c>
      <c r="I215" t="s">
        <v>19</v>
      </c>
      <c r="J215">
        <v>14.35</v>
      </c>
      <c r="K215">
        <v>2.78</v>
      </c>
      <c r="L215">
        <v>17525</v>
      </c>
      <c r="M215" t="s">
        <v>135</v>
      </c>
      <c r="N215" t="str">
        <f t="shared" si="17"/>
        <v xml:space="preserve">643280      </v>
      </c>
      <c r="O215">
        <v>230725</v>
      </c>
    </row>
    <row r="216" spans="1:15" x14ac:dyDescent="0.25">
      <c r="A216" t="s">
        <v>16</v>
      </c>
      <c r="B216" t="s">
        <v>3221</v>
      </c>
      <c r="C216">
        <v>9787</v>
      </c>
      <c r="D216" t="s">
        <v>448</v>
      </c>
      <c r="E216" t="s">
        <v>449</v>
      </c>
      <c r="F216">
        <v>10.55</v>
      </c>
      <c r="G216">
        <v>230719</v>
      </c>
      <c r="H216">
        <v>4840</v>
      </c>
      <c r="I216" t="s">
        <v>19</v>
      </c>
      <c r="J216">
        <v>13.08</v>
      </c>
      <c r="K216">
        <v>2.5299999999999998</v>
      </c>
      <c r="L216">
        <v>17527</v>
      </c>
      <c r="M216" t="s">
        <v>422</v>
      </c>
      <c r="N216" t="str">
        <f t="shared" si="17"/>
        <v xml:space="preserve">643280      </v>
      </c>
      <c r="O216">
        <v>230725</v>
      </c>
    </row>
    <row r="217" spans="1:15" x14ac:dyDescent="0.25">
      <c r="A217" t="s">
        <v>16</v>
      </c>
      <c r="B217" t="s">
        <v>3221</v>
      </c>
      <c r="C217">
        <v>9787</v>
      </c>
      <c r="D217" t="s">
        <v>448</v>
      </c>
      <c r="E217" t="s">
        <v>449</v>
      </c>
      <c r="F217">
        <v>146.77000000000001</v>
      </c>
      <c r="G217">
        <v>230719</v>
      </c>
      <c r="H217">
        <v>4840</v>
      </c>
      <c r="I217" t="s">
        <v>19</v>
      </c>
      <c r="J217">
        <v>181.99</v>
      </c>
      <c r="K217">
        <v>35.22</v>
      </c>
      <c r="L217">
        <v>17529</v>
      </c>
      <c r="M217" t="s">
        <v>453</v>
      </c>
      <c r="N217" t="str">
        <f t="shared" si="17"/>
        <v xml:space="preserve">643280      </v>
      </c>
      <c r="O217">
        <v>230725</v>
      </c>
    </row>
    <row r="218" spans="1:15" x14ac:dyDescent="0.25">
      <c r="A218" t="s">
        <v>16</v>
      </c>
      <c r="B218" t="s">
        <v>3221</v>
      </c>
      <c r="C218">
        <v>9787</v>
      </c>
      <c r="D218" t="s">
        <v>448</v>
      </c>
      <c r="E218" t="s">
        <v>449</v>
      </c>
      <c r="F218">
        <v>987.2</v>
      </c>
      <c r="G218">
        <v>230719</v>
      </c>
      <c r="H218">
        <v>4840</v>
      </c>
      <c r="I218" t="s">
        <v>19</v>
      </c>
      <c r="J218">
        <v>1224.1300000000001</v>
      </c>
      <c r="K218">
        <v>236.93</v>
      </c>
      <c r="L218">
        <v>17530</v>
      </c>
      <c r="M218" t="s">
        <v>454</v>
      </c>
      <c r="N218" t="str">
        <f t="shared" si="17"/>
        <v xml:space="preserve">643280      </v>
      </c>
      <c r="O218">
        <v>230725</v>
      </c>
    </row>
    <row r="219" spans="1:15" x14ac:dyDescent="0.25">
      <c r="A219" t="s">
        <v>16</v>
      </c>
      <c r="B219" t="s">
        <v>3221</v>
      </c>
      <c r="C219">
        <v>9787</v>
      </c>
      <c r="D219" t="s">
        <v>448</v>
      </c>
      <c r="E219" t="s">
        <v>449</v>
      </c>
      <c r="F219">
        <v>11.83</v>
      </c>
      <c r="G219">
        <v>230719</v>
      </c>
      <c r="H219">
        <v>4840</v>
      </c>
      <c r="I219" t="s">
        <v>19</v>
      </c>
      <c r="J219">
        <v>14.67</v>
      </c>
      <c r="K219">
        <v>2.84</v>
      </c>
      <c r="L219">
        <v>17531</v>
      </c>
      <c r="M219" t="s">
        <v>136</v>
      </c>
      <c r="N219" t="str">
        <f t="shared" si="17"/>
        <v xml:space="preserve">643280      </v>
      </c>
      <c r="O219">
        <v>230725</v>
      </c>
    </row>
    <row r="220" spans="1:15" x14ac:dyDescent="0.25">
      <c r="A220" t="s">
        <v>16</v>
      </c>
      <c r="B220" t="s">
        <v>3221</v>
      </c>
      <c r="C220">
        <v>9787</v>
      </c>
      <c r="D220" t="s">
        <v>448</v>
      </c>
      <c r="E220" t="s">
        <v>449</v>
      </c>
      <c r="F220">
        <v>3.33</v>
      </c>
      <c r="G220">
        <v>230719</v>
      </c>
      <c r="H220">
        <v>4840</v>
      </c>
      <c r="I220" t="s">
        <v>19</v>
      </c>
      <c r="J220">
        <v>4.13</v>
      </c>
      <c r="K220">
        <v>0.8</v>
      </c>
      <c r="L220">
        <v>17532</v>
      </c>
      <c r="M220" t="s">
        <v>543</v>
      </c>
      <c r="N220" t="str">
        <f t="shared" si="17"/>
        <v xml:space="preserve">643280      </v>
      </c>
      <c r="O220">
        <v>230725</v>
      </c>
    </row>
    <row r="221" spans="1:15" x14ac:dyDescent="0.25">
      <c r="A221" t="s">
        <v>16</v>
      </c>
      <c r="B221" t="s">
        <v>3221</v>
      </c>
      <c r="C221">
        <v>9787</v>
      </c>
      <c r="D221" t="s">
        <v>448</v>
      </c>
      <c r="E221" t="s">
        <v>449</v>
      </c>
      <c r="F221">
        <v>10.210000000000001</v>
      </c>
      <c r="G221">
        <v>230719</v>
      </c>
      <c r="H221">
        <v>4840</v>
      </c>
      <c r="I221" t="s">
        <v>19</v>
      </c>
      <c r="J221">
        <v>12.66</v>
      </c>
      <c r="K221">
        <v>2.4500000000000002</v>
      </c>
      <c r="L221">
        <v>17534</v>
      </c>
      <c r="M221" t="s">
        <v>440</v>
      </c>
      <c r="N221" t="str">
        <f t="shared" si="17"/>
        <v xml:space="preserve">643280      </v>
      </c>
      <c r="O221">
        <v>230725</v>
      </c>
    </row>
    <row r="222" spans="1:15" x14ac:dyDescent="0.25">
      <c r="A222" t="s">
        <v>16</v>
      </c>
      <c r="B222" t="s">
        <v>3221</v>
      </c>
      <c r="C222">
        <v>9787</v>
      </c>
      <c r="D222" t="s">
        <v>448</v>
      </c>
      <c r="E222" t="s">
        <v>449</v>
      </c>
      <c r="F222">
        <v>10.210000000000001</v>
      </c>
      <c r="G222">
        <v>230719</v>
      </c>
      <c r="H222">
        <v>4840</v>
      </c>
      <c r="I222" t="s">
        <v>19</v>
      </c>
      <c r="J222">
        <v>12.66</v>
      </c>
      <c r="K222">
        <v>2.4500000000000002</v>
      </c>
      <c r="L222">
        <v>17535</v>
      </c>
      <c r="M222" t="s">
        <v>357</v>
      </c>
      <c r="N222" t="str">
        <f t="shared" si="17"/>
        <v xml:space="preserve">643280      </v>
      </c>
      <c r="O222">
        <v>230725</v>
      </c>
    </row>
    <row r="223" spans="1:15" x14ac:dyDescent="0.25">
      <c r="A223" t="s">
        <v>16</v>
      </c>
      <c r="B223" t="s">
        <v>3221</v>
      </c>
      <c r="C223">
        <v>9787</v>
      </c>
      <c r="D223" t="s">
        <v>448</v>
      </c>
      <c r="E223" t="s">
        <v>449</v>
      </c>
      <c r="F223">
        <v>10.210000000000001</v>
      </c>
      <c r="G223">
        <v>230719</v>
      </c>
      <c r="H223">
        <v>4840</v>
      </c>
      <c r="I223" t="s">
        <v>19</v>
      </c>
      <c r="J223">
        <v>12.66</v>
      </c>
      <c r="K223">
        <v>2.4500000000000002</v>
      </c>
      <c r="L223">
        <v>17536</v>
      </c>
      <c r="M223" t="s">
        <v>734</v>
      </c>
      <c r="N223" t="str">
        <f t="shared" si="17"/>
        <v xml:space="preserve">643280      </v>
      </c>
      <c r="O223">
        <v>230725</v>
      </c>
    </row>
    <row r="224" spans="1:15" x14ac:dyDescent="0.25">
      <c r="A224" t="s">
        <v>16</v>
      </c>
      <c r="B224" t="s">
        <v>3221</v>
      </c>
      <c r="C224">
        <v>9787</v>
      </c>
      <c r="D224" t="s">
        <v>448</v>
      </c>
      <c r="E224" t="s">
        <v>449</v>
      </c>
      <c r="F224">
        <v>54.1</v>
      </c>
      <c r="G224">
        <v>230719</v>
      </c>
      <c r="H224">
        <v>4840</v>
      </c>
      <c r="I224" t="s">
        <v>19</v>
      </c>
      <c r="J224">
        <v>67.09</v>
      </c>
      <c r="K224">
        <v>12.99</v>
      </c>
      <c r="L224">
        <v>17537</v>
      </c>
      <c r="M224" t="s">
        <v>455</v>
      </c>
      <c r="N224" t="str">
        <f t="shared" si="17"/>
        <v xml:space="preserve">643280      </v>
      </c>
      <c r="O224">
        <v>230725</v>
      </c>
    </row>
    <row r="225" spans="1:15" x14ac:dyDescent="0.25">
      <c r="A225" t="s">
        <v>16</v>
      </c>
      <c r="B225" t="s">
        <v>3221</v>
      </c>
      <c r="C225">
        <v>9787</v>
      </c>
      <c r="D225" t="s">
        <v>448</v>
      </c>
      <c r="E225" t="s">
        <v>449</v>
      </c>
      <c r="F225">
        <v>170.96</v>
      </c>
      <c r="G225">
        <v>230719</v>
      </c>
      <c r="H225">
        <v>4840</v>
      </c>
      <c r="I225" t="s">
        <v>19</v>
      </c>
      <c r="J225">
        <v>211.99</v>
      </c>
      <c r="K225">
        <v>41.03</v>
      </c>
      <c r="L225">
        <v>17538</v>
      </c>
      <c r="M225" t="s">
        <v>24</v>
      </c>
      <c r="N225" t="str">
        <f t="shared" si="17"/>
        <v xml:space="preserve">643280      </v>
      </c>
      <c r="O225">
        <v>230725</v>
      </c>
    </row>
    <row r="226" spans="1:15" x14ac:dyDescent="0.25">
      <c r="A226" t="s">
        <v>16</v>
      </c>
      <c r="B226" t="s">
        <v>3221</v>
      </c>
      <c r="C226">
        <v>9787</v>
      </c>
      <c r="D226" t="s">
        <v>448</v>
      </c>
      <c r="E226" t="s">
        <v>449</v>
      </c>
      <c r="F226">
        <v>10.7</v>
      </c>
      <c r="G226">
        <v>230719</v>
      </c>
      <c r="H226">
        <v>4840</v>
      </c>
      <c r="I226" t="s">
        <v>19</v>
      </c>
      <c r="J226">
        <v>13.27</v>
      </c>
      <c r="K226">
        <v>2.57</v>
      </c>
      <c r="L226">
        <v>17918</v>
      </c>
      <c r="M226" t="s">
        <v>137</v>
      </c>
      <c r="N226" t="str">
        <f t="shared" si="17"/>
        <v xml:space="preserve">643280      </v>
      </c>
      <c r="O226">
        <v>230725</v>
      </c>
    </row>
    <row r="227" spans="1:15" x14ac:dyDescent="0.25">
      <c r="A227" t="s">
        <v>16</v>
      </c>
      <c r="B227" t="s">
        <v>3221</v>
      </c>
      <c r="C227">
        <v>9787</v>
      </c>
      <c r="D227" t="s">
        <v>448</v>
      </c>
      <c r="E227" t="s">
        <v>449</v>
      </c>
      <c r="F227">
        <v>12.74</v>
      </c>
      <c r="G227">
        <v>230719</v>
      </c>
      <c r="H227">
        <v>4840</v>
      </c>
      <c r="I227" t="s">
        <v>19</v>
      </c>
      <c r="J227">
        <v>15.8</v>
      </c>
      <c r="K227">
        <v>3.06</v>
      </c>
      <c r="L227">
        <v>17950</v>
      </c>
      <c r="M227" t="s">
        <v>86</v>
      </c>
      <c r="N227" t="str">
        <f t="shared" si="17"/>
        <v xml:space="preserve">643280      </v>
      </c>
      <c r="O227">
        <v>230725</v>
      </c>
    </row>
    <row r="228" spans="1:15" x14ac:dyDescent="0.25">
      <c r="A228" t="s">
        <v>16</v>
      </c>
      <c r="B228" t="s">
        <v>3221</v>
      </c>
      <c r="C228">
        <v>9787</v>
      </c>
      <c r="D228" t="s">
        <v>448</v>
      </c>
      <c r="E228" t="s">
        <v>449</v>
      </c>
      <c r="F228">
        <v>134.35</v>
      </c>
      <c r="G228">
        <v>230719</v>
      </c>
      <c r="H228">
        <v>4840</v>
      </c>
      <c r="I228" t="s">
        <v>19</v>
      </c>
      <c r="J228">
        <v>166.6</v>
      </c>
      <c r="K228">
        <v>32.25</v>
      </c>
      <c r="L228">
        <v>17950</v>
      </c>
      <c r="M228" t="s">
        <v>86</v>
      </c>
      <c r="N228" t="str">
        <f t="shared" si="17"/>
        <v xml:space="preserve">643280      </v>
      </c>
      <c r="O228">
        <v>230725</v>
      </c>
    </row>
    <row r="229" spans="1:15" x14ac:dyDescent="0.25">
      <c r="A229" t="s">
        <v>16</v>
      </c>
      <c r="B229" t="s">
        <v>3221</v>
      </c>
      <c r="C229">
        <v>9787</v>
      </c>
      <c r="D229" t="s">
        <v>448</v>
      </c>
      <c r="E229" t="s">
        <v>449</v>
      </c>
      <c r="F229">
        <v>16.73</v>
      </c>
      <c r="G229">
        <v>230719</v>
      </c>
      <c r="H229">
        <v>4840</v>
      </c>
      <c r="I229" t="s">
        <v>19</v>
      </c>
      <c r="J229">
        <v>20.75</v>
      </c>
      <c r="K229">
        <v>4.0199999999999996</v>
      </c>
      <c r="L229">
        <v>17971</v>
      </c>
      <c r="M229" t="s">
        <v>138</v>
      </c>
      <c r="N229" t="str">
        <f t="shared" si="17"/>
        <v xml:space="preserve">643280      </v>
      </c>
      <c r="O229">
        <v>230725</v>
      </c>
    </row>
    <row r="230" spans="1:15" x14ac:dyDescent="0.25">
      <c r="A230" t="s">
        <v>16</v>
      </c>
      <c r="B230" t="s">
        <v>3221</v>
      </c>
      <c r="C230">
        <v>9787</v>
      </c>
      <c r="D230" t="s">
        <v>448</v>
      </c>
      <c r="E230" t="s">
        <v>449</v>
      </c>
      <c r="F230">
        <v>8.27</v>
      </c>
      <c r="G230">
        <v>230719</v>
      </c>
      <c r="H230">
        <v>4840</v>
      </c>
      <c r="I230" t="s">
        <v>19</v>
      </c>
      <c r="J230">
        <v>10.25</v>
      </c>
      <c r="K230">
        <v>1.98</v>
      </c>
      <c r="L230">
        <v>17974</v>
      </c>
      <c r="M230" t="s">
        <v>460</v>
      </c>
      <c r="N230" t="str">
        <f t="shared" si="17"/>
        <v xml:space="preserve">643280      </v>
      </c>
      <c r="O230">
        <v>230725</v>
      </c>
    </row>
    <row r="231" spans="1:15" x14ac:dyDescent="0.25">
      <c r="A231" t="s">
        <v>16</v>
      </c>
      <c r="B231" t="s">
        <v>3221</v>
      </c>
      <c r="C231">
        <v>9810</v>
      </c>
      <c r="D231" t="s">
        <v>448</v>
      </c>
      <c r="E231" t="s">
        <v>449</v>
      </c>
      <c r="F231">
        <v>1.62</v>
      </c>
      <c r="G231">
        <v>230719</v>
      </c>
      <c r="H231">
        <v>4840</v>
      </c>
      <c r="I231" t="s">
        <v>19</v>
      </c>
      <c r="J231">
        <v>2.0099999999999998</v>
      </c>
      <c r="K231">
        <v>0.39</v>
      </c>
      <c r="L231">
        <v>61122</v>
      </c>
      <c r="M231" t="s">
        <v>402</v>
      </c>
      <c r="N231" t="str">
        <f t="shared" ref="N231:N239" si="18">"643291      "</f>
        <v xml:space="preserve">643291      </v>
      </c>
      <c r="O231">
        <v>230725</v>
      </c>
    </row>
    <row r="232" spans="1:15" x14ac:dyDescent="0.25">
      <c r="A232" t="s">
        <v>16</v>
      </c>
      <c r="B232" t="s">
        <v>3221</v>
      </c>
      <c r="C232">
        <v>9810</v>
      </c>
      <c r="D232" t="s">
        <v>448</v>
      </c>
      <c r="E232" t="s">
        <v>449</v>
      </c>
      <c r="F232">
        <v>1.62</v>
      </c>
      <c r="G232">
        <v>230719</v>
      </c>
      <c r="H232">
        <v>4840</v>
      </c>
      <c r="I232" t="s">
        <v>19</v>
      </c>
      <c r="J232">
        <v>2.0099999999999998</v>
      </c>
      <c r="K232">
        <v>0.39</v>
      </c>
      <c r="L232">
        <v>65222</v>
      </c>
      <c r="M232" t="s">
        <v>487</v>
      </c>
      <c r="N232" t="str">
        <f t="shared" si="18"/>
        <v xml:space="preserve">643291      </v>
      </c>
      <c r="O232">
        <v>230725</v>
      </c>
    </row>
    <row r="233" spans="1:15" x14ac:dyDescent="0.25">
      <c r="A233" t="s">
        <v>16</v>
      </c>
      <c r="B233" t="s">
        <v>3221</v>
      </c>
      <c r="C233">
        <v>9810</v>
      </c>
      <c r="D233" t="s">
        <v>448</v>
      </c>
      <c r="E233" t="s">
        <v>449</v>
      </c>
      <c r="F233">
        <v>6.3</v>
      </c>
      <c r="G233">
        <v>230719</v>
      </c>
      <c r="H233">
        <v>4840</v>
      </c>
      <c r="I233" t="s">
        <v>19</v>
      </c>
      <c r="J233">
        <v>7.81</v>
      </c>
      <c r="K233">
        <v>1.51</v>
      </c>
      <c r="L233">
        <v>66754</v>
      </c>
      <c r="M233" t="s">
        <v>239</v>
      </c>
      <c r="N233" t="str">
        <f t="shared" si="18"/>
        <v xml:space="preserve">643291      </v>
      </c>
      <c r="O233">
        <v>230725</v>
      </c>
    </row>
    <row r="234" spans="1:15" x14ac:dyDescent="0.25">
      <c r="A234" t="s">
        <v>16</v>
      </c>
      <c r="B234" t="s">
        <v>3221</v>
      </c>
      <c r="C234">
        <v>9810</v>
      </c>
      <c r="D234" t="s">
        <v>448</v>
      </c>
      <c r="E234" t="s">
        <v>449</v>
      </c>
      <c r="F234">
        <v>148.81</v>
      </c>
      <c r="G234">
        <v>230719</v>
      </c>
      <c r="H234">
        <v>4840</v>
      </c>
      <c r="I234" t="s">
        <v>19</v>
      </c>
      <c r="J234">
        <v>184.53</v>
      </c>
      <c r="K234">
        <v>35.72</v>
      </c>
      <c r="L234">
        <v>66756</v>
      </c>
      <c r="M234" t="s">
        <v>209</v>
      </c>
      <c r="N234" t="str">
        <f t="shared" si="18"/>
        <v xml:space="preserve">643291      </v>
      </c>
      <c r="O234">
        <v>230725</v>
      </c>
    </row>
    <row r="235" spans="1:15" x14ac:dyDescent="0.25">
      <c r="A235" t="s">
        <v>16</v>
      </c>
      <c r="B235" t="s">
        <v>3221</v>
      </c>
      <c r="C235">
        <v>9810</v>
      </c>
      <c r="D235" t="s">
        <v>448</v>
      </c>
      <c r="E235" t="s">
        <v>449</v>
      </c>
      <c r="F235">
        <v>1.71</v>
      </c>
      <c r="G235">
        <v>230719</v>
      </c>
      <c r="H235">
        <v>4840</v>
      </c>
      <c r="I235" t="s">
        <v>19</v>
      </c>
      <c r="J235">
        <v>2.12</v>
      </c>
      <c r="K235">
        <v>0.41</v>
      </c>
      <c r="L235">
        <v>67522</v>
      </c>
      <c r="M235" t="s">
        <v>397</v>
      </c>
      <c r="N235" t="str">
        <f t="shared" si="18"/>
        <v xml:space="preserve">643291      </v>
      </c>
      <c r="O235">
        <v>230725</v>
      </c>
    </row>
    <row r="236" spans="1:15" x14ac:dyDescent="0.25">
      <c r="A236" t="s">
        <v>16</v>
      </c>
      <c r="B236" t="s">
        <v>3221</v>
      </c>
      <c r="C236">
        <v>9810</v>
      </c>
      <c r="D236" t="s">
        <v>448</v>
      </c>
      <c r="E236" t="s">
        <v>449</v>
      </c>
      <c r="F236">
        <v>368.67</v>
      </c>
      <c r="G236">
        <v>230719</v>
      </c>
      <c r="H236">
        <v>4840</v>
      </c>
      <c r="I236" t="s">
        <v>19</v>
      </c>
      <c r="J236">
        <v>457.15</v>
      </c>
      <c r="K236">
        <v>88.48</v>
      </c>
      <c r="L236">
        <v>69702</v>
      </c>
      <c r="M236" t="s">
        <v>489</v>
      </c>
      <c r="N236" t="str">
        <f t="shared" si="18"/>
        <v xml:space="preserve">643291      </v>
      </c>
      <c r="O236">
        <v>230725</v>
      </c>
    </row>
    <row r="237" spans="1:15" x14ac:dyDescent="0.25">
      <c r="A237" t="s">
        <v>16</v>
      </c>
      <c r="B237" t="s">
        <v>3221</v>
      </c>
      <c r="C237">
        <v>9810</v>
      </c>
      <c r="D237" t="s">
        <v>448</v>
      </c>
      <c r="E237" t="s">
        <v>449</v>
      </c>
      <c r="F237">
        <v>16.12</v>
      </c>
      <c r="G237">
        <v>230719</v>
      </c>
      <c r="H237">
        <v>4840</v>
      </c>
      <c r="I237" t="s">
        <v>19</v>
      </c>
      <c r="J237">
        <v>19.989999999999998</v>
      </c>
      <c r="K237">
        <v>3.87</v>
      </c>
      <c r="L237">
        <v>69704</v>
      </c>
      <c r="M237" t="s">
        <v>325</v>
      </c>
      <c r="N237" t="str">
        <f t="shared" si="18"/>
        <v xml:space="preserve">643291      </v>
      </c>
      <c r="O237">
        <v>230725</v>
      </c>
    </row>
    <row r="238" spans="1:15" x14ac:dyDescent="0.25">
      <c r="A238" t="s">
        <v>16</v>
      </c>
      <c r="B238" t="s">
        <v>3221</v>
      </c>
      <c r="C238">
        <v>9810</v>
      </c>
      <c r="D238" t="s">
        <v>448</v>
      </c>
      <c r="E238" t="s">
        <v>449</v>
      </c>
      <c r="F238">
        <v>4.9800000000000004</v>
      </c>
      <c r="G238">
        <v>230719</v>
      </c>
      <c r="H238">
        <v>4840</v>
      </c>
      <c r="I238" t="s">
        <v>19</v>
      </c>
      <c r="J238">
        <v>6.17</v>
      </c>
      <c r="K238">
        <v>1.19</v>
      </c>
      <c r="L238">
        <v>69707</v>
      </c>
      <c r="M238" t="s">
        <v>490</v>
      </c>
      <c r="N238" t="str">
        <f t="shared" si="18"/>
        <v xml:space="preserve">643291      </v>
      </c>
      <c r="O238">
        <v>230725</v>
      </c>
    </row>
    <row r="239" spans="1:15" x14ac:dyDescent="0.25">
      <c r="A239" t="s">
        <v>16</v>
      </c>
      <c r="B239" t="s">
        <v>3221</v>
      </c>
      <c r="C239">
        <v>9810</v>
      </c>
      <c r="D239" t="s">
        <v>448</v>
      </c>
      <c r="E239" t="s">
        <v>449</v>
      </c>
      <c r="F239">
        <v>1.63</v>
      </c>
      <c r="G239">
        <v>230719</v>
      </c>
      <c r="H239">
        <v>4840</v>
      </c>
      <c r="I239" t="s">
        <v>19</v>
      </c>
      <c r="J239">
        <v>2.02</v>
      </c>
      <c r="K239">
        <v>0.39</v>
      </c>
      <c r="L239">
        <v>69708</v>
      </c>
      <c r="M239" t="s">
        <v>491</v>
      </c>
      <c r="N239" t="str">
        <f t="shared" si="18"/>
        <v xml:space="preserve">643291      </v>
      </c>
      <c r="O239">
        <v>230725</v>
      </c>
    </row>
    <row r="240" spans="1:15" x14ac:dyDescent="0.25">
      <c r="A240" t="s">
        <v>16</v>
      </c>
      <c r="B240" t="s">
        <v>3221</v>
      </c>
      <c r="C240">
        <v>9837</v>
      </c>
      <c r="D240" t="s">
        <v>448</v>
      </c>
      <c r="E240" t="s">
        <v>449</v>
      </c>
      <c r="F240">
        <v>71.44</v>
      </c>
      <c r="G240">
        <v>230719</v>
      </c>
      <c r="H240">
        <v>4840</v>
      </c>
      <c r="I240" t="s">
        <v>19</v>
      </c>
      <c r="J240">
        <v>88.58</v>
      </c>
      <c r="K240">
        <v>17.14</v>
      </c>
      <c r="L240">
        <v>11001</v>
      </c>
      <c r="M240" t="s">
        <v>326</v>
      </c>
      <c r="N240" t="str">
        <f t="shared" ref="N240:N247" si="19">"643290      "</f>
        <v xml:space="preserve">643290      </v>
      </c>
      <c r="O240">
        <v>230727</v>
      </c>
    </row>
    <row r="241" spans="1:15" x14ac:dyDescent="0.25">
      <c r="A241" t="s">
        <v>16</v>
      </c>
      <c r="B241" t="s">
        <v>3221</v>
      </c>
      <c r="C241">
        <v>9837</v>
      </c>
      <c r="D241" t="s">
        <v>448</v>
      </c>
      <c r="E241" t="s">
        <v>449</v>
      </c>
      <c r="F241">
        <v>28.6</v>
      </c>
      <c r="G241">
        <v>230719</v>
      </c>
      <c r="H241">
        <v>4840</v>
      </c>
      <c r="I241" t="s">
        <v>19</v>
      </c>
      <c r="J241">
        <v>35.46</v>
      </c>
      <c r="K241">
        <v>6.86</v>
      </c>
      <c r="L241">
        <v>11101</v>
      </c>
      <c r="M241" t="s">
        <v>110</v>
      </c>
      <c r="N241" t="str">
        <f t="shared" si="19"/>
        <v xml:space="preserve">643290      </v>
      </c>
      <c r="O241">
        <v>230727</v>
      </c>
    </row>
    <row r="242" spans="1:15" x14ac:dyDescent="0.25">
      <c r="A242" t="s">
        <v>16</v>
      </c>
      <c r="B242" t="s">
        <v>3221</v>
      </c>
      <c r="C242">
        <v>9837</v>
      </c>
      <c r="D242" t="s">
        <v>448</v>
      </c>
      <c r="E242" t="s">
        <v>449</v>
      </c>
      <c r="F242">
        <v>11.56</v>
      </c>
      <c r="G242">
        <v>230719</v>
      </c>
      <c r="H242">
        <v>4840</v>
      </c>
      <c r="I242" t="s">
        <v>19</v>
      </c>
      <c r="J242">
        <v>14.34</v>
      </c>
      <c r="K242">
        <v>2.78</v>
      </c>
      <c r="L242">
        <v>11201</v>
      </c>
      <c r="M242" t="s">
        <v>305</v>
      </c>
      <c r="N242" t="str">
        <f t="shared" si="19"/>
        <v xml:space="preserve">643290      </v>
      </c>
      <c r="O242">
        <v>230727</v>
      </c>
    </row>
    <row r="243" spans="1:15" x14ac:dyDescent="0.25">
      <c r="A243" t="s">
        <v>16</v>
      </c>
      <c r="B243" t="s">
        <v>3221</v>
      </c>
      <c r="C243">
        <v>9837</v>
      </c>
      <c r="D243" t="s">
        <v>448</v>
      </c>
      <c r="E243" t="s">
        <v>449</v>
      </c>
      <c r="F243">
        <v>148.58000000000001</v>
      </c>
      <c r="G243">
        <v>230719</v>
      </c>
      <c r="H243">
        <v>4840</v>
      </c>
      <c r="I243" t="s">
        <v>19</v>
      </c>
      <c r="J243">
        <v>184.24</v>
      </c>
      <c r="K243">
        <v>35.659999999999997</v>
      </c>
      <c r="L243">
        <v>11301</v>
      </c>
      <c r="M243" t="s">
        <v>29</v>
      </c>
      <c r="N243" t="str">
        <f t="shared" si="19"/>
        <v xml:space="preserve">643290      </v>
      </c>
      <c r="O243">
        <v>230727</v>
      </c>
    </row>
    <row r="244" spans="1:15" x14ac:dyDescent="0.25">
      <c r="A244" t="s">
        <v>16</v>
      </c>
      <c r="B244" t="s">
        <v>3221</v>
      </c>
      <c r="C244">
        <v>9837</v>
      </c>
      <c r="D244" t="s">
        <v>448</v>
      </c>
      <c r="E244" t="s">
        <v>449</v>
      </c>
      <c r="F244">
        <v>3.34</v>
      </c>
      <c r="G244">
        <v>230719</v>
      </c>
      <c r="H244">
        <v>4840</v>
      </c>
      <c r="I244" t="s">
        <v>19</v>
      </c>
      <c r="J244">
        <v>4.1399999999999997</v>
      </c>
      <c r="K244">
        <v>0.8</v>
      </c>
      <c r="L244">
        <v>11601</v>
      </c>
      <c r="M244" t="s">
        <v>535</v>
      </c>
      <c r="N244" t="str">
        <f t="shared" si="19"/>
        <v xml:space="preserve">643290      </v>
      </c>
      <c r="O244">
        <v>230727</v>
      </c>
    </row>
    <row r="245" spans="1:15" x14ac:dyDescent="0.25">
      <c r="A245" t="s">
        <v>16</v>
      </c>
      <c r="B245" t="s">
        <v>3221</v>
      </c>
      <c r="C245">
        <v>9837</v>
      </c>
      <c r="D245" t="s">
        <v>448</v>
      </c>
      <c r="E245" t="s">
        <v>449</v>
      </c>
      <c r="F245">
        <v>96.9</v>
      </c>
      <c r="G245">
        <v>230719</v>
      </c>
      <c r="H245">
        <v>4840</v>
      </c>
      <c r="I245" t="s">
        <v>19</v>
      </c>
      <c r="J245">
        <v>120.16</v>
      </c>
      <c r="K245">
        <v>23.26</v>
      </c>
      <c r="L245">
        <v>11801</v>
      </c>
      <c r="M245" t="s">
        <v>92</v>
      </c>
      <c r="N245" t="str">
        <f t="shared" si="19"/>
        <v xml:space="preserve">643290      </v>
      </c>
      <c r="O245">
        <v>230727</v>
      </c>
    </row>
    <row r="246" spans="1:15" x14ac:dyDescent="0.25">
      <c r="A246" t="s">
        <v>16</v>
      </c>
      <c r="B246" t="s">
        <v>3221</v>
      </c>
      <c r="C246">
        <v>9837</v>
      </c>
      <c r="D246" t="s">
        <v>448</v>
      </c>
      <c r="E246" t="s">
        <v>449</v>
      </c>
      <c r="F246">
        <v>3.33</v>
      </c>
      <c r="G246">
        <v>230719</v>
      </c>
      <c r="H246">
        <v>4840</v>
      </c>
      <c r="I246" t="s">
        <v>19</v>
      </c>
      <c r="J246">
        <v>4.13</v>
      </c>
      <c r="K246">
        <v>0.8</v>
      </c>
      <c r="L246">
        <v>13201</v>
      </c>
      <c r="M246" t="s">
        <v>161</v>
      </c>
      <c r="N246" t="str">
        <f t="shared" si="19"/>
        <v xml:space="preserve">643290      </v>
      </c>
      <c r="O246">
        <v>230727</v>
      </c>
    </row>
    <row r="247" spans="1:15" x14ac:dyDescent="0.25">
      <c r="A247" t="s">
        <v>16</v>
      </c>
      <c r="B247" t="s">
        <v>3221</v>
      </c>
      <c r="C247">
        <v>9837</v>
      </c>
      <c r="D247" t="s">
        <v>448</v>
      </c>
      <c r="E247" t="s">
        <v>449</v>
      </c>
      <c r="F247">
        <v>19.88</v>
      </c>
      <c r="G247">
        <v>230719</v>
      </c>
      <c r="H247">
        <v>4840</v>
      </c>
      <c r="I247" t="s">
        <v>19</v>
      </c>
      <c r="J247">
        <v>24.65</v>
      </c>
      <c r="K247">
        <v>4.7699999999999996</v>
      </c>
      <c r="L247">
        <v>13501</v>
      </c>
      <c r="M247" t="s">
        <v>20</v>
      </c>
      <c r="N247" t="str">
        <f t="shared" si="19"/>
        <v xml:space="preserve">643290      </v>
      </c>
      <c r="O247">
        <v>230727</v>
      </c>
    </row>
    <row r="248" spans="1:15" x14ac:dyDescent="0.25">
      <c r="A248" t="s">
        <v>16</v>
      </c>
      <c r="B248" t="s">
        <v>3221</v>
      </c>
      <c r="C248">
        <v>9869</v>
      </c>
      <c r="D248" t="s">
        <v>448</v>
      </c>
      <c r="E248" t="s">
        <v>449</v>
      </c>
      <c r="F248">
        <v>10.210000000000001</v>
      </c>
      <c r="G248">
        <v>230719</v>
      </c>
      <c r="H248">
        <v>4840</v>
      </c>
      <c r="I248" t="s">
        <v>19</v>
      </c>
      <c r="J248">
        <v>12.66</v>
      </c>
      <c r="K248">
        <v>2.4500000000000002</v>
      </c>
      <c r="L248">
        <v>16321</v>
      </c>
      <c r="M248" t="s">
        <v>423</v>
      </c>
      <c r="N248" t="str">
        <f t="shared" ref="N248:N257" si="20">"643276      "</f>
        <v xml:space="preserve">643276      </v>
      </c>
      <c r="O248">
        <v>230731</v>
      </c>
    </row>
    <row r="249" spans="1:15" x14ac:dyDescent="0.25">
      <c r="A249" t="s">
        <v>16</v>
      </c>
      <c r="B249" t="s">
        <v>3221</v>
      </c>
      <c r="C249">
        <v>9869</v>
      </c>
      <c r="D249" t="s">
        <v>448</v>
      </c>
      <c r="E249" t="s">
        <v>449</v>
      </c>
      <c r="F249">
        <v>53.52</v>
      </c>
      <c r="G249">
        <v>230719</v>
      </c>
      <c r="H249">
        <v>4840</v>
      </c>
      <c r="I249" t="s">
        <v>19</v>
      </c>
      <c r="J249">
        <v>66.36</v>
      </c>
      <c r="K249">
        <v>12.84</v>
      </c>
      <c r="L249">
        <v>16431</v>
      </c>
      <c r="M249" t="s">
        <v>231</v>
      </c>
      <c r="N249" t="str">
        <f t="shared" si="20"/>
        <v xml:space="preserve">643276      </v>
      </c>
      <c r="O249">
        <v>230731</v>
      </c>
    </row>
    <row r="250" spans="1:15" x14ac:dyDescent="0.25">
      <c r="A250" t="s">
        <v>16</v>
      </c>
      <c r="B250" t="s">
        <v>3221</v>
      </c>
      <c r="C250">
        <v>9869</v>
      </c>
      <c r="D250" t="s">
        <v>448</v>
      </c>
      <c r="E250" t="s">
        <v>449</v>
      </c>
      <c r="F250">
        <v>29.27</v>
      </c>
      <c r="G250">
        <v>230719</v>
      </c>
      <c r="H250">
        <v>4840</v>
      </c>
      <c r="I250" t="s">
        <v>19</v>
      </c>
      <c r="J250">
        <v>36.29</v>
      </c>
      <c r="K250">
        <v>7.02</v>
      </c>
      <c r="L250">
        <v>17802</v>
      </c>
      <c r="M250" t="s">
        <v>174</v>
      </c>
      <c r="N250" t="str">
        <f t="shared" si="20"/>
        <v xml:space="preserve">643276      </v>
      </c>
      <c r="O250">
        <v>230731</v>
      </c>
    </row>
    <row r="251" spans="1:15" x14ac:dyDescent="0.25">
      <c r="A251" t="s">
        <v>16</v>
      </c>
      <c r="B251" t="s">
        <v>3221</v>
      </c>
      <c r="C251">
        <v>9869</v>
      </c>
      <c r="D251" t="s">
        <v>448</v>
      </c>
      <c r="E251" t="s">
        <v>449</v>
      </c>
      <c r="F251">
        <v>96.9</v>
      </c>
      <c r="G251">
        <v>230719</v>
      </c>
      <c r="H251">
        <v>4840</v>
      </c>
      <c r="I251" t="s">
        <v>19</v>
      </c>
      <c r="J251">
        <v>120.15</v>
      </c>
      <c r="K251">
        <v>23.25</v>
      </c>
      <c r="L251">
        <v>17803</v>
      </c>
      <c r="M251" t="s">
        <v>389</v>
      </c>
      <c r="N251" t="str">
        <f t="shared" si="20"/>
        <v xml:space="preserve">643276      </v>
      </c>
      <c r="O251">
        <v>230731</v>
      </c>
    </row>
    <row r="252" spans="1:15" x14ac:dyDescent="0.25">
      <c r="A252" t="s">
        <v>16</v>
      </c>
      <c r="B252" t="s">
        <v>3221</v>
      </c>
      <c r="C252">
        <v>9869</v>
      </c>
      <c r="D252" t="s">
        <v>448</v>
      </c>
      <c r="E252" t="s">
        <v>449</v>
      </c>
      <c r="F252">
        <v>18.920000000000002</v>
      </c>
      <c r="G252">
        <v>230719</v>
      </c>
      <c r="H252">
        <v>4840</v>
      </c>
      <c r="I252" t="s">
        <v>19</v>
      </c>
      <c r="J252">
        <v>23.46</v>
      </c>
      <c r="K252">
        <v>4.54</v>
      </c>
      <c r="L252">
        <v>17806</v>
      </c>
      <c r="M252" t="s">
        <v>265</v>
      </c>
      <c r="N252" t="str">
        <f t="shared" si="20"/>
        <v xml:space="preserve">643276      </v>
      </c>
      <c r="O252">
        <v>230731</v>
      </c>
    </row>
    <row r="253" spans="1:15" x14ac:dyDescent="0.25">
      <c r="A253" t="s">
        <v>16</v>
      </c>
      <c r="B253" t="s">
        <v>3221</v>
      </c>
      <c r="C253">
        <v>9869</v>
      </c>
      <c r="D253" t="s">
        <v>448</v>
      </c>
      <c r="E253" t="s">
        <v>449</v>
      </c>
      <c r="F253">
        <v>187.61</v>
      </c>
      <c r="G253">
        <v>230719</v>
      </c>
      <c r="H253">
        <v>4840</v>
      </c>
      <c r="I253" t="s">
        <v>19</v>
      </c>
      <c r="J253">
        <v>232.64</v>
      </c>
      <c r="K253">
        <v>45.03</v>
      </c>
      <c r="L253">
        <v>17808</v>
      </c>
      <c r="M253" t="s">
        <v>322</v>
      </c>
      <c r="N253" t="str">
        <f t="shared" si="20"/>
        <v xml:space="preserve">643276      </v>
      </c>
      <c r="O253">
        <v>230731</v>
      </c>
    </row>
    <row r="254" spans="1:15" x14ac:dyDescent="0.25">
      <c r="A254" t="s">
        <v>16</v>
      </c>
      <c r="B254" t="s">
        <v>3221</v>
      </c>
      <c r="C254">
        <v>9869</v>
      </c>
      <c r="D254" t="s">
        <v>448</v>
      </c>
      <c r="E254" t="s">
        <v>449</v>
      </c>
      <c r="F254">
        <v>141.66999999999999</v>
      </c>
      <c r="G254">
        <v>230719</v>
      </c>
      <c r="H254">
        <v>4840</v>
      </c>
      <c r="I254" t="s">
        <v>19</v>
      </c>
      <c r="J254">
        <v>175.67</v>
      </c>
      <c r="K254">
        <v>34</v>
      </c>
      <c r="L254">
        <v>17808</v>
      </c>
      <c r="M254" t="s">
        <v>322</v>
      </c>
      <c r="N254" t="str">
        <f t="shared" si="20"/>
        <v xml:space="preserve">643276      </v>
      </c>
      <c r="O254">
        <v>230731</v>
      </c>
    </row>
    <row r="255" spans="1:15" x14ac:dyDescent="0.25">
      <c r="A255" t="s">
        <v>16</v>
      </c>
      <c r="B255" t="s">
        <v>3221</v>
      </c>
      <c r="C255">
        <v>9869</v>
      </c>
      <c r="D255" t="s">
        <v>448</v>
      </c>
      <c r="E255" t="s">
        <v>449</v>
      </c>
      <c r="F255">
        <v>51.98</v>
      </c>
      <c r="G255">
        <v>230719</v>
      </c>
      <c r="H255">
        <v>4840</v>
      </c>
      <c r="I255" t="s">
        <v>19</v>
      </c>
      <c r="J255">
        <v>64.45</v>
      </c>
      <c r="K255">
        <v>12.47</v>
      </c>
      <c r="L255">
        <v>17971</v>
      </c>
      <c r="M255" t="s">
        <v>138</v>
      </c>
      <c r="N255" t="str">
        <f t="shared" si="20"/>
        <v xml:space="preserve">643276      </v>
      </c>
      <c r="O255">
        <v>230731</v>
      </c>
    </row>
    <row r="256" spans="1:15" x14ac:dyDescent="0.25">
      <c r="A256" t="s">
        <v>16</v>
      </c>
      <c r="B256" t="s">
        <v>3221</v>
      </c>
      <c r="C256">
        <v>9869</v>
      </c>
      <c r="D256" t="s">
        <v>448</v>
      </c>
      <c r="E256" t="s">
        <v>449</v>
      </c>
      <c r="F256">
        <v>15.63</v>
      </c>
      <c r="G256">
        <v>230719</v>
      </c>
      <c r="H256">
        <v>4840</v>
      </c>
      <c r="I256" t="s">
        <v>19</v>
      </c>
      <c r="J256">
        <v>19.38</v>
      </c>
      <c r="K256">
        <v>3.75</v>
      </c>
      <c r="L256">
        <v>17972</v>
      </c>
      <c r="M256" t="s">
        <v>248</v>
      </c>
      <c r="N256" t="str">
        <f t="shared" si="20"/>
        <v xml:space="preserve">643276      </v>
      </c>
      <c r="O256">
        <v>230731</v>
      </c>
    </row>
    <row r="257" spans="1:15" x14ac:dyDescent="0.25">
      <c r="A257" t="s">
        <v>16</v>
      </c>
      <c r="B257" t="s">
        <v>3221</v>
      </c>
      <c r="C257">
        <v>9869</v>
      </c>
      <c r="D257" t="s">
        <v>448</v>
      </c>
      <c r="E257" t="s">
        <v>449</v>
      </c>
      <c r="F257">
        <v>14</v>
      </c>
      <c r="G257">
        <v>230719</v>
      </c>
      <c r="H257">
        <v>4840</v>
      </c>
      <c r="I257" t="s">
        <v>19</v>
      </c>
      <c r="J257">
        <v>17.36</v>
      </c>
      <c r="K257">
        <v>3.36</v>
      </c>
      <c r="L257">
        <v>17974</v>
      </c>
      <c r="M257" t="s">
        <v>460</v>
      </c>
      <c r="N257" t="str">
        <f t="shared" si="20"/>
        <v xml:space="preserve">643276      </v>
      </c>
      <c r="O257">
        <v>230731</v>
      </c>
    </row>
    <row r="258" spans="1:15" x14ac:dyDescent="0.25">
      <c r="A258" t="s">
        <v>16</v>
      </c>
      <c r="B258" t="s">
        <v>3221</v>
      </c>
      <c r="C258">
        <v>9870</v>
      </c>
      <c r="D258" t="s">
        <v>448</v>
      </c>
      <c r="E258" t="s">
        <v>449</v>
      </c>
      <c r="F258">
        <v>93.24</v>
      </c>
      <c r="G258">
        <v>230719</v>
      </c>
      <c r="H258">
        <v>4840</v>
      </c>
      <c r="I258" t="s">
        <v>19</v>
      </c>
      <c r="J258">
        <v>115.62</v>
      </c>
      <c r="K258">
        <v>22.38</v>
      </c>
      <c r="L258">
        <v>13502</v>
      </c>
      <c r="M258" t="s">
        <v>243</v>
      </c>
      <c r="N258" t="str">
        <f>"643288      "</f>
        <v xml:space="preserve">643288      </v>
      </c>
      <c r="O258">
        <v>230731</v>
      </c>
    </row>
    <row r="259" spans="1:15" x14ac:dyDescent="0.25">
      <c r="A259" t="s">
        <v>16</v>
      </c>
      <c r="B259" t="s">
        <v>3221</v>
      </c>
      <c r="C259">
        <v>9870</v>
      </c>
      <c r="D259" t="s">
        <v>448</v>
      </c>
      <c r="E259" t="s">
        <v>449</v>
      </c>
      <c r="F259">
        <v>12.06</v>
      </c>
      <c r="G259">
        <v>230719</v>
      </c>
      <c r="H259">
        <v>4840</v>
      </c>
      <c r="I259" t="s">
        <v>19</v>
      </c>
      <c r="J259">
        <v>14.95</v>
      </c>
      <c r="K259">
        <v>2.89</v>
      </c>
      <c r="L259">
        <v>13502</v>
      </c>
      <c r="M259" t="s">
        <v>243</v>
      </c>
      <c r="N259" t="str">
        <f>"643288      "</f>
        <v xml:space="preserve">643288      </v>
      </c>
      <c r="O259">
        <v>230731</v>
      </c>
    </row>
    <row r="260" spans="1:15" x14ac:dyDescent="0.25">
      <c r="A260" t="s">
        <v>16</v>
      </c>
      <c r="B260" t="s">
        <v>3221</v>
      </c>
      <c r="C260">
        <v>9873</v>
      </c>
      <c r="D260" t="s">
        <v>448</v>
      </c>
      <c r="E260" t="s">
        <v>449</v>
      </c>
      <c r="F260">
        <v>30.94</v>
      </c>
      <c r="G260">
        <v>230719</v>
      </c>
      <c r="H260">
        <v>4840</v>
      </c>
      <c r="I260" t="s">
        <v>19</v>
      </c>
      <c r="J260">
        <v>38.36</v>
      </c>
      <c r="K260">
        <v>7.42</v>
      </c>
      <c r="L260">
        <v>17131</v>
      </c>
      <c r="M260" t="s">
        <v>64</v>
      </c>
      <c r="N260" t="str">
        <f>"643289      "</f>
        <v xml:space="preserve">643289      </v>
      </c>
      <c r="O260">
        <v>230731</v>
      </c>
    </row>
    <row r="261" spans="1:15" x14ac:dyDescent="0.25">
      <c r="A261" t="s">
        <v>16</v>
      </c>
      <c r="B261" t="s">
        <v>3221</v>
      </c>
      <c r="C261">
        <v>9873</v>
      </c>
      <c r="D261" t="s">
        <v>448</v>
      </c>
      <c r="E261" t="s">
        <v>449</v>
      </c>
      <c r="F261">
        <v>10.210000000000001</v>
      </c>
      <c r="G261">
        <v>230719</v>
      </c>
      <c r="H261">
        <v>4840</v>
      </c>
      <c r="I261" t="s">
        <v>19</v>
      </c>
      <c r="J261">
        <v>12.66</v>
      </c>
      <c r="K261">
        <v>2.4500000000000002</v>
      </c>
      <c r="L261">
        <v>17711</v>
      </c>
      <c r="M261" t="s">
        <v>65</v>
      </c>
      <c r="N261" t="str">
        <f>"643289      "</f>
        <v xml:space="preserve">643289      </v>
      </c>
      <c r="O261">
        <v>230731</v>
      </c>
    </row>
    <row r="262" spans="1:15" x14ac:dyDescent="0.25">
      <c r="A262" t="s">
        <v>16</v>
      </c>
      <c r="B262" t="s">
        <v>3221</v>
      </c>
      <c r="C262">
        <v>9873</v>
      </c>
      <c r="D262" t="s">
        <v>448</v>
      </c>
      <c r="E262" t="s">
        <v>449</v>
      </c>
      <c r="F262">
        <v>3.34</v>
      </c>
      <c r="G262">
        <v>230719</v>
      </c>
      <c r="H262">
        <v>4840</v>
      </c>
      <c r="I262" t="s">
        <v>19</v>
      </c>
      <c r="J262">
        <v>4.1399999999999997</v>
      </c>
      <c r="K262">
        <v>0.8</v>
      </c>
      <c r="L262">
        <v>17972</v>
      </c>
      <c r="M262" t="s">
        <v>248</v>
      </c>
      <c r="N262" t="str">
        <f>"643289      "</f>
        <v xml:space="preserve">643289      </v>
      </c>
      <c r="O262">
        <v>230731</v>
      </c>
    </row>
    <row r="263" spans="1:15" x14ac:dyDescent="0.25">
      <c r="A263" t="s">
        <v>16</v>
      </c>
      <c r="B263" t="s">
        <v>3221</v>
      </c>
      <c r="C263">
        <v>9875</v>
      </c>
      <c r="D263" t="s">
        <v>448</v>
      </c>
      <c r="E263" t="s">
        <v>449</v>
      </c>
      <c r="F263">
        <v>16.54</v>
      </c>
      <c r="G263">
        <v>230719</v>
      </c>
      <c r="H263">
        <v>4840</v>
      </c>
      <c r="I263" t="s">
        <v>19</v>
      </c>
      <c r="J263">
        <v>20.51</v>
      </c>
      <c r="K263">
        <v>3.97</v>
      </c>
      <c r="L263">
        <v>13401</v>
      </c>
      <c r="M263" t="s">
        <v>80</v>
      </c>
      <c r="N263" t="str">
        <f>"643281      "</f>
        <v xml:space="preserve">643281      </v>
      </c>
      <c r="O263">
        <v>230731</v>
      </c>
    </row>
    <row r="264" spans="1:15" x14ac:dyDescent="0.25">
      <c r="A264" t="s">
        <v>16</v>
      </c>
      <c r="B264" t="s">
        <v>3221</v>
      </c>
      <c r="C264">
        <v>9889</v>
      </c>
      <c r="D264" t="s">
        <v>448</v>
      </c>
      <c r="E264" t="s">
        <v>449</v>
      </c>
      <c r="F264">
        <v>130</v>
      </c>
      <c r="G264">
        <v>230721</v>
      </c>
      <c r="H264">
        <v>4840</v>
      </c>
      <c r="I264" t="s">
        <v>19</v>
      </c>
      <c r="J264">
        <v>161.19999999999999</v>
      </c>
      <c r="K264">
        <v>31.2</v>
      </c>
      <c r="L264">
        <v>13502</v>
      </c>
      <c r="M264" t="s">
        <v>243</v>
      </c>
      <c r="N264" t="str">
        <f>"644767      "</f>
        <v xml:space="preserve">644767      </v>
      </c>
      <c r="O264">
        <v>230731</v>
      </c>
    </row>
    <row r="265" spans="1:15" x14ac:dyDescent="0.25">
      <c r="A265" t="s">
        <v>16</v>
      </c>
      <c r="B265" t="s">
        <v>3221</v>
      </c>
      <c r="C265">
        <v>9901</v>
      </c>
      <c r="D265" t="s">
        <v>448</v>
      </c>
      <c r="E265" t="s">
        <v>449</v>
      </c>
      <c r="F265">
        <v>32.51</v>
      </c>
      <c r="G265">
        <v>230719</v>
      </c>
      <c r="H265">
        <v>4840</v>
      </c>
      <c r="I265" t="s">
        <v>19</v>
      </c>
      <c r="J265">
        <v>40.31</v>
      </c>
      <c r="K265">
        <v>7.8</v>
      </c>
      <c r="L265">
        <v>11901</v>
      </c>
      <c r="M265" t="s">
        <v>36</v>
      </c>
      <c r="N265" t="str">
        <f>"643274      "</f>
        <v xml:space="preserve">643274      </v>
      </c>
      <c r="O265">
        <v>230801</v>
      </c>
    </row>
    <row r="266" spans="1:15" x14ac:dyDescent="0.25">
      <c r="A266" t="s">
        <v>16</v>
      </c>
      <c r="B266" t="s">
        <v>3221</v>
      </c>
      <c r="C266">
        <v>9913</v>
      </c>
      <c r="D266" t="s">
        <v>448</v>
      </c>
      <c r="E266" t="s">
        <v>449</v>
      </c>
      <c r="F266">
        <v>267.52999999999997</v>
      </c>
      <c r="G266">
        <v>230719</v>
      </c>
      <c r="H266">
        <v>4840</v>
      </c>
      <c r="I266" t="s">
        <v>19</v>
      </c>
      <c r="J266">
        <v>331.74</v>
      </c>
      <c r="K266">
        <v>64.209999999999994</v>
      </c>
      <c r="L266">
        <v>16121</v>
      </c>
      <c r="M266" t="s">
        <v>21</v>
      </c>
      <c r="N266" t="str">
        <f>"643275      "</f>
        <v xml:space="preserve">643275      </v>
      </c>
      <c r="O266">
        <v>230802</v>
      </c>
    </row>
    <row r="267" spans="1:15" x14ac:dyDescent="0.25">
      <c r="A267" t="s">
        <v>16</v>
      </c>
      <c r="B267" t="s">
        <v>3221</v>
      </c>
      <c r="C267">
        <v>9913</v>
      </c>
      <c r="D267" t="s">
        <v>448</v>
      </c>
      <c r="E267" t="s">
        <v>449</v>
      </c>
      <c r="F267">
        <v>253.91</v>
      </c>
      <c r="G267">
        <v>230719</v>
      </c>
      <c r="H267">
        <v>4840</v>
      </c>
      <c r="I267" t="s">
        <v>19</v>
      </c>
      <c r="J267">
        <v>314.85000000000002</v>
      </c>
      <c r="K267">
        <v>60.94</v>
      </c>
      <c r="L267">
        <v>16820</v>
      </c>
      <c r="M267" t="s">
        <v>23</v>
      </c>
      <c r="N267" t="str">
        <f>"643275      "</f>
        <v xml:space="preserve">643275      </v>
      </c>
      <c r="O267">
        <v>230802</v>
      </c>
    </row>
    <row r="268" spans="1:15" x14ac:dyDescent="0.25">
      <c r="A268" t="s">
        <v>16</v>
      </c>
      <c r="B268" t="s">
        <v>3221</v>
      </c>
      <c r="C268">
        <v>9913</v>
      </c>
      <c r="D268" t="s">
        <v>448</v>
      </c>
      <c r="E268" t="s">
        <v>449</v>
      </c>
      <c r="F268">
        <v>10.55</v>
      </c>
      <c r="G268">
        <v>230719</v>
      </c>
      <c r="H268">
        <v>4840</v>
      </c>
      <c r="I268" t="s">
        <v>19</v>
      </c>
      <c r="J268">
        <v>13.08</v>
      </c>
      <c r="K268">
        <v>2.5299999999999998</v>
      </c>
      <c r="L268">
        <v>17530</v>
      </c>
      <c r="M268" t="s">
        <v>454</v>
      </c>
      <c r="N268" t="str">
        <f>"643275      "</f>
        <v xml:space="preserve">643275      </v>
      </c>
      <c r="O268">
        <v>230802</v>
      </c>
    </row>
    <row r="269" spans="1:15" x14ac:dyDescent="0.25">
      <c r="A269" t="s">
        <v>16</v>
      </c>
      <c r="B269" t="s">
        <v>3221</v>
      </c>
      <c r="C269">
        <v>9913</v>
      </c>
      <c r="D269" t="s">
        <v>448</v>
      </c>
      <c r="E269" t="s">
        <v>449</v>
      </c>
      <c r="F269">
        <v>49.61</v>
      </c>
      <c r="G269">
        <v>230719</v>
      </c>
      <c r="H269">
        <v>4840</v>
      </c>
      <c r="I269" t="s">
        <v>19</v>
      </c>
      <c r="J269">
        <v>61.52</v>
      </c>
      <c r="K269">
        <v>11.91</v>
      </c>
      <c r="L269">
        <v>17862</v>
      </c>
      <c r="M269" t="s">
        <v>319</v>
      </c>
      <c r="N269" t="str">
        <f>"643275      "</f>
        <v xml:space="preserve">643275      </v>
      </c>
      <c r="O269">
        <v>230802</v>
      </c>
    </row>
    <row r="270" spans="1:15" x14ac:dyDescent="0.25">
      <c r="A270" t="s">
        <v>16</v>
      </c>
      <c r="B270" t="s">
        <v>3221</v>
      </c>
      <c r="C270">
        <v>9913</v>
      </c>
      <c r="D270" t="s">
        <v>448</v>
      </c>
      <c r="E270" t="s">
        <v>449</v>
      </c>
      <c r="F270">
        <v>11.02</v>
      </c>
      <c r="G270">
        <v>230719</v>
      </c>
      <c r="H270">
        <v>4840</v>
      </c>
      <c r="I270" t="s">
        <v>19</v>
      </c>
      <c r="J270">
        <v>13.66</v>
      </c>
      <c r="K270">
        <v>2.64</v>
      </c>
      <c r="L270">
        <v>17971</v>
      </c>
      <c r="M270" t="s">
        <v>138</v>
      </c>
      <c r="N270" t="str">
        <f>"643275      "</f>
        <v xml:space="preserve">643275      </v>
      </c>
      <c r="O270">
        <v>230802</v>
      </c>
    </row>
    <row r="271" spans="1:15" x14ac:dyDescent="0.25">
      <c r="A271" t="s">
        <v>16</v>
      </c>
      <c r="B271" t="s">
        <v>3221</v>
      </c>
      <c r="C271">
        <v>9928</v>
      </c>
      <c r="D271" t="s">
        <v>448</v>
      </c>
      <c r="E271" t="s">
        <v>449</v>
      </c>
      <c r="F271">
        <v>1.63</v>
      </c>
      <c r="G271">
        <v>230719</v>
      </c>
      <c r="H271">
        <v>4840</v>
      </c>
      <c r="I271" t="s">
        <v>19</v>
      </c>
      <c r="J271">
        <v>2.02</v>
      </c>
      <c r="K271">
        <v>0.39</v>
      </c>
      <c r="L271">
        <v>13661</v>
      </c>
      <c r="M271" t="s">
        <v>247</v>
      </c>
      <c r="N271" t="str">
        <f>"643284      "</f>
        <v xml:space="preserve">643284      </v>
      </c>
      <c r="O271">
        <v>230802</v>
      </c>
    </row>
    <row r="272" spans="1:15" x14ac:dyDescent="0.25">
      <c r="A272" t="s">
        <v>16</v>
      </c>
      <c r="B272" t="s">
        <v>3221</v>
      </c>
      <c r="C272">
        <v>9928</v>
      </c>
      <c r="D272" t="s">
        <v>448</v>
      </c>
      <c r="E272" t="s">
        <v>449</v>
      </c>
      <c r="F272">
        <v>66.16</v>
      </c>
      <c r="G272">
        <v>230719</v>
      </c>
      <c r="H272">
        <v>4840</v>
      </c>
      <c r="I272" t="s">
        <v>19</v>
      </c>
      <c r="J272">
        <v>82.04</v>
      </c>
      <c r="K272">
        <v>15.88</v>
      </c>
      <c r="L272">
        <v>13801</v>
      </c>
      <c r="M272" t="s">
        <v>162</v>
      </c>
      <c r="N272" t="str">
        <f>"643284      "</f>
        <v xml:space="preserve">643284      </v>
      </c>
      <c r="O272">
        <v>230802</v>
      </c>
    </row>
    <row r="273" spans="1:15" x14ac:dyDescent="0.25">
      <c r="A273" t="s">
        <v>16</v>
      </c>
      <c r="B273" t="s">
        <v>3221</v>
      </c>
      <c r="C273">
        <v>9929</v>
      </c>
      <c r="D273" t="s">
        <v>448</v>
      </c>
      <c r="E273" t="s">
        <v>449</v>
      </c>
      <c r="F273">
        <v>10.52</v>
      </c>
      <c r="G273">
        <v>230719</v>
      </c>
      <c r="H273">
        <v>4840</v>
      </c>
      <c r="I273" t="s">
        <v>19</v>
      </c>
      <c r="J273">
        <v>13.04</v>
      </c>
      <c r="K273">
        <v>2.52</v>
      </c>
      <c r="L273">
        <v>13601</v>
      </c>
      <c r="M273" t="s">
        <v>147</v>
      </c>
      <c r="N273" t="str">
        <f>"643285      "</f>
        <v xml:space="preserve">643285      </v>
      </c>
      <c r="O273">
        <v>230802</v>
      </c>
    </row>
    <row r="274" spans="1:15" x14ac:dyDescent="0.25">
      <c r="A274" t="s">
        <v>16</v>
      </c>
      <c r="B274" t="s">
        <v>3221</v>
      </c>
      <c r="C274">
        <v>9929</v>
      </c>
      <c r="D274" t="s">
        <v>448</v>
      </c>
      <c r="E274" t="s">
        <v>449</v>
      </c>
      <c r="F274">
        <v>10.52</v>
      </c>
      <c r="G274">
        <v>230719</v>
      </c>
      <c r="H274">
        <v>4840</v>
      </c>
      <c r="I274" t="s">
        <v>19</v>
      </c>
      <c r="J274">
        <v>13.05</v>
      </c>
      <c r="K274">
        <v>2.5299999999999998</v>
      </c>
      <c r="L274">
        <v>13801</v>
      </c>
      <c r="M274" t="s">
        <v>162</v>
      </c>
      <c r="N274" t="str">
        <f>"643285      "</f>
        <v xml:space="preserve">643285      </v>
      </c>
      <c r="O274">
        <v>230802</v>
      </c>
    </row>
    <row r="275" spans="1:15" x14ac:dyDescent="0.25">
      <c r="A275" t="s">
        <v>16</v>
      </c>
      <c r="B275" t="s">
        <v>3221</v>
      </c>
      <c r="C275">
        <v>9968</v>
      </c>
      <c r="D275" t="s">
        <v>448</v>
      </c>
      <c r="E275" t="s">
        <v>449</v>
      </c>
      <c r="F275">
        <v>13.58</v>
      </c>
      <c r="G275">
        <v>230721</v>
      </c>
      <c r="H275">
        <v>4840</v>
      </c>
      <c r="I275" t="s">
        <v>19</v>
      </c>
      <c r="J275">
        <v>16.84</v>
      </c>
      <c r="K275">
        <v>3.26</v>
      </c>
      <c r="L275">
        <v>11001</v>
      </c>
      <c r="M275" t="s">
        <v>326</v>
      </c>
      <c r="N275" t="str">
        <f>"644768      "</f>
        <v xml:space="preserve">644768      </v>
      </c>
      <c r="O275">
        <v>230803</v>
      </c>
    </row>
    <row r="276" spans="1:15" x14ac:dyDescent="0.25">
      <c r="A276" t="s">
        <v>16</v>
      </c>
      <c r="B276" t="s">
        <v>3221</v>
      </c>
      <c r="C276">
        <v>10012</v>
      </c>
      <c r="D276" t="s">
        <v>448</v>
      </c>
      <c r="E276" t="s">
        <v>449</v>
      </c>
      <c r="F276">
        <v>35.92</v>
      </c>
      <c r="G276">
        <v>230719</v>
      </c>
      <c r="H276">
        <v>4840</v>
      </c>
      <c r="I276" t="s">
        <v>19</v>
      </c>
      <c r="J276">
        <v>44.54</v>
      </c>
      <c r="K276">
        <v>8.6199999999999992</v>
      </c>
      <c r="L276">
        <v>18120</v>
      </c>
      <c r="M276" t="s">
        <v>329</v>
      </c>
      <c r="N276" t="str">
        <f>"643279      "</f>
        <v xml:space="preserve">643279      </v>
      </c>
      <c r="O276">
        <v>230807</v>
      </c>
    </row>
    <row r="277" spans="1:15" x14ac:dyDescent="0.25">
      <c r="A277" t="s">
        <v>16</v>
      </c>
      <c r="B277" t="s">
        <v>3221</v>
      </c>
      <c r="C277">
        <v>10012</v>
      </c>
      <c r="D277" t="s">
        <v>448</v>
      </c>
      <c r="E277" t="s">
        <v>449</v>
      </c>
      <c r="F277">
        <v>3.26</v>
      </c>
      <c r="G277">
        <v>230719</v>
      </c>
      <c r="H277">
        <v>4840</v>
      </c>
      <c r="I277" t="s">
        <v>19</v>
      </c>
      <c r="J277">
        <v>4.04</v>
      </c>
      <c r="K277">
        <v>0.78</v>
      </c>
      <c r="L277">
        <v>18972</v>
      </c>
      <c r="M277" t="s">
        <v>163</v>
      </c>
      <c r="N277" t="str">
        <f>"643279      "</f>
        <v xml:space="preserve">643279      </v>
      </c>
      <c r="O277">
        <v>230807</v>
      </c>
    </row>
    <row r="278" spans="1:15" x14ac:dyDescent="0.25">
      <c r="A278" t="s">
        <v>16</v>
      </c>
      <c r="B278" t="s">
        <v>3221</v>
      </c>
      <c r="C278">
        <v>10013</v>
      </c>
      <c r="D278" t="s">
        <v>448</v>
      </c>
      <c r="E278" t="s">
        <v>449</v>
      </c>
      <c r="F278">
        <v>7.93</v>
      </c>
      <c r="G278">
        <v>230719</v>
      </c>
      <c r="H278">
        <v>4840</v>
      </c>
      <c r="I278" t="s">
        <v>19</v>
      </c>
      <c r="J278">
        <v>9.83</v>
      </c>
      <c r="K278">
        <v>1.9</v>
      </c>
      <c r="L278">
        <v>41126</v>
      </c>
      <c r="M278" t="s">
        <v>761</v>
      </c>
      <c r="N278" t="str">
        <f t="shared" ref="N278:N289" si="21">"643277      "</f>
        <v xml:space="preserve">643277      </v>
      </c>
      <c r="O278">
        <v>230807</v>
      </c>
    </row>
    <row r="279" spans="1:15" x14ac:dyDescent="0.25">
      <c r="A279" t="s">
        <v>16</v>
      </c>
      <c r="B279" t="s">
        <v>3221</v>
      </c>
      <c r="C279">
        <v>10013</v>
      </c>
      <c r="D279" t="s">
        <v>448</v>
      </c>
      <c r="E279" t="s">
        <v>449</v>
      </c>
      <c r="F279">
        <v>124.06</v>
      </c>
      <c r="G279">
        <v>230719</v>
      </c>
      <c r="H279">
        <v>4840</v>
      </c>
      <c r="I279" t="s">
        <v>19</v>
      </c>
      <c r="J279">
        <v>153.83000000000001</v>
      </c>
      <c r="K279">
        <v>29.77</v>
      </c>
      <c r="L279">
        <v>43222</v>
      </c>
      <c r="M279" t="s">
        <v>507</v>
      </c>
      <c r="N279" t="str">
        <f t="shared" si="21"/>
        <v xml:space="preserve">643277      </v>
      </c>
      <c r="O279">
        <v>230807</v>
      </c>
    </row>
    <row r="280" spans="1:15" x14ac:dyDescent="0.25">
      <c r="A280" t="s">
        <v>16</v>
      </c>
      <c r="B280" t="s">
        <v>3221</v>
      </c>
      <c r="C280">
        <v>10013</v>
      </c>
      <c r="D280" t="s">
        <v>448</v>
      </c>
      <c r="E280" t="s">
        <v>449</v>
      </c>
      <c r="F280">
        <v>9.81</v>
      </c>
      <c r="G280">
        <v>230719</v>
      </c>
      <c r="H280">
        <v>4840</v>
      </c>
      <c r="I280" t="s">
        <v>19</v>
      </c>
      <c r="J280">
        <v>12.17</v>
      </c>
      <c r="K280">
        <v>2.36</v>
      </c>
      <c r="L280">
        <v>44222</v>
      </c>
      <c r="M280" t="s">
        <v>232</v>
      </c>
      <c r="N280" t="str">
        <f t="shared" si="21"/>
        <v xml:space="preserve">643277      </v>
      </c>
      <c r="O280">
        <v>230807</v>
      </c>
    </row>
    <row r="281" spans="1:15" x14ac:dyDescent="0.25">
      <c r="A281" t="s">
        <v>16</v>
      </c>
      <c r="B281" t="s">
        <v>3221</v>
      </c>
      <c r="C281">
        <v>10013</v>
      </c>
      <c r="D281" t="s">
        <v>448</v>
      </c>
      <c r="E281" t="s">
        <v>449</v>
      </c>
      <c r="F281">
        <v>124.06</v>
      </c>
      <c r="G281">
        <v>230719</v>
      </c>
      <c r="H281">
        <v>4840</v>
      </c>
      <c r="I281" t="s">
        <v>19</v>
      </c>
      <c r="J281">
        <v>153.83000000000001</v>
      </c>
      <c r="K281">
        <v>29.77</v>
      </c>
      <c r="L281">
        <v>44424</v>
      </c>
      <c r="M281" t="s">
        <v>776</v>
      </c>
      <c r="N281" t="str">
        <f t="shared" si="21"/>
        <v xml:space="preserve">643277      </v>
      </c>
      <c r="O281">
        <v>230807</v>
      </c>
    </row>
    <row r="282" spans="1:15" x14ac:dyDescent="0.25">
      <c r="A282" t="s">
        <v>16</v>
      </c>
      <c r="B282" t="s">
        <v>3221</v>
      </c>
      <c r="C282">
        <v>10013</v>
      </c>
      <c r="D282" t="s">
        <v>448</v>
      </c>
      <c r="E282" t="s">
        <v>449</v>
      </c>
      <c r="F282">
        <v>89.32</v>
      </c>
      <c r="G282">
        <v>230719</v>
      </c>
      <c r="H282">
        <v>4840</v>
      </c>
      <c r="I282" t="s">
        <v>19</v>
      </c>
      <c r="J282">
        <v>110.76</v>
      </c>
      <c r="K282">
        <v>21.44</v>
      </c>
      <c r="L282">
        <v>46554</v>
      </c>
      <c r="M282" t="s">
        <v>117</v>
      </c>
      <c r="N282" t="str">
        <f t="shared" si="21"/>
        <v xml:space="preserve">643277      </v>
      </c>
      <c r="O282">
        <v>230807</v>
      </c>
    </row>
    <row r="283" spans="1:15" x14ac:dyDescent="0.25">
      <c r="A283" t="s">
        <v>16</v>
      </c>
      <c r="B283" t="s">
        <v>3221</v>
      </c>
      <c r="C283">
        <v>10013</v>
      </c>
      <c r="D283" t="s">
        <v>448</v>
      </c>
      <c r="E283" t="s">
        <v>449</v>
      </c>
      <c r="F283">
        <v>192.6</v>
      </c>
      <c r="G283">
        <v>230719</v>
      </c>
      <c r="H283">
        <v>4840</v>
      </c>
      <c r="I283" t="s">
        <v>19</v>
      </c>
      <c r="J283">
        <v>238.82</v>
      </c>
      <c r="K283">
        <v>46.22</v>
      </c>
      <c r="L283">
        <v>46555</v>
      </c>
      <c r="M283" t="s">
        <v>597</v>
      </c>
      <c r="N283" t="str">
        <f t="shared" si="21"/>
        <v xml:space="preserve">643277      </v>
      </c>
      <c r="O283">
        <v>230807</v>
      </c>
    </row>
    <row r="284" spans="1:15" x14ac:dyDescent="0.25">
      <c r="A284" t="s">
        <v>16</v>
      </c>
      <c r="B284" t="s">
        <v>3221</v>
      </c>
      <c r="C284">
        <v>10013</v>
      </c>
      <c r="D284" t="s">
        <v>448</v>
      </c>
      <c r="E284" t="s">
        <v>449</v>
      </c>
      <c r="F284">
        <v>39.909999999999997</v>
      </c>
      <c r="G284">
        <v>230719</v>
      </c>
      <c r="H284">
        <v>4840</v>
      </c>
      <c r="I284" t="s">
        <v>19</v>
      </c>
      <c r="J284">
        <v>49.49</v>
      </c>
      <c r="K284">
        <v>9.58</v>
      </c>
      <c r="L284">
        <v>47522</v>
      </c>
      <c r="M284" t="s">
        <v>410</v>
      </c>
      <c r="N284" t="str">
        <f t="shared" si="21"/>
        <v xml:space="preserve">643277      </v>
      </c>
      <c r="O284">
        <v>230807</v>
      </c>
    </row>
    <row r="285" spans="1:15" x14ac:dyDescent="0.25">
      <c r="A285" t="s">
        <v>16</v>
      </c>
      <c r="B285" t="s">
        <v>3221</v>
      </c>
      <c r="C285">
        <v>10013</v>
      </c>
      <c r="D285" t="s">
        <v>448</v>
      </c>
      <c r="E285" t="s">
        <v>449</v>
      </c>
      <c r="F285">
        <v>5.84</v>
      </c>
      <c r="G285">
        <v>230719</v>
      </c>
      <c r="H285">
        <v>4840</v>
      </c>
      <c r="I285" t="s">
        <v>19</v>
      </c>
      <c r="J285">
        <v>7.24</v>
      </c>
      <c r="K285">
        <v>1.4</v>
      </c>
      <c r="L285">
        <v>49501</v>
      </c>
      <c r="M285" t="s">
        <v>177</v>
      </c>
      <c r="N285" t="str">
        <f t="shared" si="21"/>
        <v xml:space="preserve">643277      </v>
      </c>
      <c r="O285">
        <v>230807</v>
      </c>
    </row>
    <row r="286" spans="1:15" x14ac:dyDescent="0.25">
      <c r="A286" t="s">
        <v>16</v>
      </c>
      <c r="B286" t="s">
        <v>3221</v>
      </c>
      <c r="C286">
        <v>10013</v>
      </c>
      <c r="D286" t="s">
        <v>448</v>
      </c>
      <c r="E286" t="s">
        <v>449</v>
      </c>
      <c r="F286">
        <v>10.53</v>
      </c>
      <c r="G286">
        <v>230719</v>
      </c>
      <c r="H286">
        <v>4840</v>
      </c>
      <c r="I286" t="s">
        <v>19</v>
      </c>
      <c r="J286">
        <v>13.06</v>
      </c>
      <c r="K286">
        <v>2.5299999999999998</v>
      </c>
      <c r="L286">
        <v>49701</v>
      </c>
      <c r="M286" t="s">
        <v>166</v>
      </c>
      <c r="N286" t="str">
        <f t="shared" si="21"/>
        <v xml:space="preserve">643277      </v>
      </c>
      <c r="O286">
        <v>230807</v>
      </c>
    </row>
    <row r="287" spans="1:15" x14ac:dyDescent="0.25">
      <c r="A287" t="s">
        <v>16</v>
      </c>
      <c r="B287" t="s">
        <v>3221</v>
      </c>
      <c r="C287">
        <v>10013</v>
      </c>
      <c r="D287" t="s">
        <v>448</v>
      </c>
      <c r="E287" t="s">
        <v>449</v>
      </c>
      <c r="F287">
        <v>3.34</v>
      </c>
      <c r="G287">
        <v>230719</v>
      </c>
      <c r="H287">
        <v>4840</v>
      </c>
      <c r="I287" t="s">
        <v>19</v>
      </c>
      <c r="J287">
        <v>4.1399999999999997</v>
      </c>
      <c r="K287">
        <v>0.8</v>
      </c>
      <c r="L287">
        <v>49702</v>
      </c>
      <c r="M287" t="s">
        <v>584</v>
      </c>
      <c r="N287" t="str">
        <f t="shared" si="21"/>
        <v xml:space="preserve">643277      </v>
      </c>
      <c r="O287">
        <v>230807</v>
      </c>
    </row>
    <row r="288" spans="1:15" x14ac:dyDescent="0.25">
      <c r="A288" t="s">
        <v>16</v>
      </c>
      <c r="B288" t="s">
        <v>3221</v>
      </c>
      <c r="C288">
        <v>10013</v>
      </c>
      <c r="D288" t="s">
        <v>448</v>
      </c>
      <c r="E288" t="s">
        <v>449</v>
      </c>
      <c r="F288">
        <v>10.210000000000001</v>
      </c>
      <c r="G288">
        <v>230719</v>
      </c>
      <c r="H288">
        <v>4840</v>
      </c>
      <c r="I288" t="s">
        <v>19</v>
      </c>
      <c r="J288">
        <v>12.66</v>
      </c>
      <c r="K288">
        <v>2.4500000000000002</v>
      </c>
      <c r="L288">
        <v>49704</v>
      </c>
      <c r="M288" t="s">
        <v>1065</v>
      </c>
      <c r="N288" t="str">
        <f t="shared" si="21"/>
        <v xml:space="preserve">643277      </v>
      </c>
      <c r="O288">
        <v>230807</v>
      </c>
    </row>
    <row r="289" spans="1:15" x14ac:dyDescent="0.25">
      <c r="A289" t="s">
        <v>16</v>
      </c>
      <c r="B289" t="s">
        <v>3221</v>
      </c>
      <c r="C289">
        <v>10013</v>
      </c>
      <c r="D289" t="s">
        <v>448</v>
      </c>
      <c r="E289" t="s">
        <v>449</v>
      </c>
      <c r="F289">
        <v>8.27</v>
      </c>
      <c r="G289">
        <v>230719</v>
      </c>
      <c r="H289">
        <v>4840</v>
      </c>
      <c r="I289" t="s">
        <v>19</v>
      </c>
      <c r="J289">
        <v>10.25</v>
      </c>
      <c r="K289">
        <v>1.98</v>
      </c>
      <c r="L289">
        <v>49705</v>
      </c>
      <c r="M289" t="s">
        <v>575</v>
      </c>
      <c r="N289" t="str">
        <f t="shared" si="21"/>
        <v xml:space="preserve">643277      </v>
      </c>
      <c r="O289">
        <v>230807</v>
      </c>
    </row>
    <row r="290" spans="1:15" x14ac:dyDescent="0.25">
      <c r="A290" t="s">
        <v>16</v>
      </c>
      <c r="B290" t="s">
        <v>3221</v>
      </c>
      <c r="C290">
        <v>10026</v>
      </c>
      <c r="D290" t="s">
        <v>448</v>
      </c>
      <c r="E290" t="s">
        <v>449</v>
      </c>
      <c r="F290">
        <v>13.35</v>
      </c>
      <c r="G290">
        <v>230719</v>
      </c>
      <c r="H290">
        <v>4840</v>
      </c>
      <c r="I290" t="s">
        <v>19</v>
      </c>
      <c r="J290">
        <v>16.559999999999999</v>
      </c>
      <c r="K290">
        <v>3.21</v>
      </c>
      <c r="L290">
        <v>11601</v>
      </c>
      <c r="M290" t="s">
        <v>535</v>
      </c>
      <c r="N290" t="str">
        <f t="shared" ref="N290:N298" si="22">"643278      "</f>
        <v xml:space="preserve">643278      </v>
      </c>
      <c r="O290">
        <v>230807</v>
      </c>
    </row>
    <row r="291" spans="1:15" x14ac:dyDescent="0.25">
      <c r="A291" t="s">
        <v>16</v>
      </c>
      <c r="B291" t="s">
        <v>3221</v>
      </c>
      <c r="C291">
        <v>10026</v>
      </c>
      <c r="D291" t="s">
        <v>448</v>
      </c>
      <c r="E291" t="s">
        <v>449</v>
      </c>
      <c r="F291">
        <v>6.48</v>
      </c>
      <c r="G291">
        <v>230719</v>
      </c>
      <c r="H291">
        <v>4840</v>
      </c>
      <c r="I291" t="s">
        <v>19</v>
      </c>
      <c r="J291">
        <v>8.0399999999999991</v>
      </c>
      <c r="K291">
        <v>1.56</v>
      </c>
      <c r="L291">
        <v>14121</v>
      </c>
      <c r="M291" t="s">
        <v>880</v>
      </c>
      <c r="N291" t="str">
        <f t="shared" si="22"/>
        <v xml:space="preserve">643278      </v>
      </c>
      <c r="O291">
        <v>230807</v>
      </c>
    </row>
    <row r="292" spans="1:15" x14ac:dyDescent="0.25">
      <c r="A292" t="s">
        <v>16</v>
      </c>
      <c r="B292" t="s">
        <v>3221</v>
      </c>
      <c r="C292">
        <v>10026</v>
      </c>
      <c r="D292" t="s">
        <v>448</v>
      </c>
      <c r="E292" t="s">
        <v>449</v>
      </c>
      <c r="F292">
        <v>25.53</v>
      </c>
      <c r="G292">
        <v>230719</v>
      </c>
      <c r="H292">
        <v>4840</v>
      </c>
      <c r="I292" t="s">
        <v>19</v>
      </c>
      <c r="J292">
        <v>31.66</v>
      </c>
      <c r="K292">
        <v>6.13</v>
      </c>
      <c r="L292">
        <v>14321</v>
      </c>
      <c r="M292" t="s">
        <v>717</v>
      </c>
      <c r="N292" t="str">
        <f t="shared" si="22"/>
        <v xml:space="preserve">643278      </v>
      </c>
      <c r="O292">
        <v>230807</v>
      </c>
    </row>
    <row r="293" spans="1:15" x14ac:dyDescent="0.25">
      <c r="A293" t="s">
        <v>16</v>
      </c>
      <c r="B293" t="s">
        <v>3221</v>
      </c>
      <c r="C293">
        <v>10026</v>
      </c>
      <c r="D293" t="s">
        <v>448</v>
      </c>
      <c r="E293" t="s">
        <v>449</v>
      </c>
      <c r="F293">
        <v>70.650000000000006</v>
      </c>
      <c r="G293">
        <v>230719</v>
      </c>
      <c r="H293">
        <v>4840</v>
      </c>
      <c r="I293" t="s">
        <v>19</v>
      </c>
      <c r="J293">
        <v>87.6</v>
      </c>
      <c r="K293">
        <v>16.95</v>
      </c>
      <c r="L293">
        <v>14422</v>
      </c>
      <c r="M293" t="s">
        <v>228</v>
      </c>
      <c r="N293" t="str">
        <f t="shared" si="22"/>
        <v xml:space="preserve">643278      </v>
      </c>
      <c r="O293">
        <v>230807</v>
      </c>
    </row>
    <row r="294" spans="1:15" x14ac:dyDescent="0.25">
      <c r="A294" t="s">
        <v>16</v>
      </c>
      <c r="B294" t="s">
        <v>3221</v>
      </c>
      <c r="C294">
        <v>10026</v>
      </c>
      <c r="D294" t="s">
        <v>448</v>
      </c>
      <c r="E294" t="s">
        <v>449</v>
      </c>
      <c r="F294">
        <v>8.36</v>
      </c>
      <c r="G294">
        <v>230719</v>
      </c>
      <c r="H294">
        <v>4840</v>
      </c>
      <c r="I294" t="s">
        <v>19</v>
      </c>
      <c r="J294">
        <v>10.37</v>
      </c>
      <c r="K294">
        <v>2.0099999999999998</v>
      </c>
      <c r="L294">
        <v>14541</v>
      </c>
      <c r="M294" t="s">
        <v>626</v>
      </c>
      <c r="N294" t="str">
        <f t="shared" si="22"/>
        <v xml:space="preserve">643278      </v>
      </c>
      <c r="O294">
        <v>230807</v>
      </c>
    </row>
    <row r="295" spans="1:15" x14ac:dyDescent="0.25">
      <c r="A295" t="s">
        <v>16</v>
      </c>
      <c r="B295" t="s">
        <v>3221</v>
      </c>
      <c r="C295">
        <v>10026</v>
      </c>
      <c r="D295" t="s">
        <v>448</v>
      </c>
      <c r="E295" t="s">
        <v>449</v>
      </c>
      <c r="F295">
        <v>45.85</v>
      </c>
      <c r="G295">
        <v>230719</v>
      </c>
      <c r="H295">
        <v>4840</v>
      </c>
      <c r="I295" t="s">
        <v>19</v>
      </c>
      <c r="J295">
        <v>56.85</v>
      </c>
      <c r="K295">
        <v>11</v>
      </c>
      <c r="L295">
        <v>14861</v>
      </c>
      <c r="M295" t="s">
        <v>785</v>
      </c>
      <c r="N295" t="str">
        <f t="shared" si="22"/>
        <v xml:space="preserve">643278      </v>
      </c>
      <c r="O295">
        <v>230807</v>
      </c>
    </row>
    <row r="296" spans="1:15" x14ac:dyDescent="0.25">
      <c r="A296" t="s">
        <v>16</v>
      </c>
      <c r="B296" t="s">
        <v>3221</v>
      </c>
      <c r="C296">
        <v>10026</v>
      </c>
      <c r="D296" t="s">
        <v>448</v>
      </c>
      <c r="E296" t="s">
        <v>449</v>
      </c>
      <c r="F296">
        <v>19.149999999999999</v>
      </c>
      <c r="G296">
        <v>230719</v>
      </c>
      <c r="H296">
        <v>4840</v>
      </c>
      <c r="I296" t="s">
        <v>19</v>
      </c>
      <c r="J296">
        <v>23.74</v>
      </c>
      <c r="K296">
        <v>4.59</v>
      </c>
      <c r="L296">
        <v>14912</v>
      </c>
      <c r="M296" t="s">
        <v>230</v>
      </c>
      <c r="N296" t="str">
        <f t="shared" si="22"/>
        <v xml:space="preserve">643278      </v>
      </c>
      <c r="O296">
        <v>230807</v>
      </c>
    </row>
    <row r="297" spans="1:15" x14ac:dyDescent="0.25">
      <c r="A297" t="s">
        <v>16</v>
      </c>
      <c r="B297" t="s">
        <v>3221</v>
      </c>
      <c r="C297">
        <v>10026</v>
      </c>
      <c r="D297" t="s">
        <v>448</v>
      </c>
      <c r="E297" t="s">
        <v>449</v>
      </c>
      <c r="F297">
        <v>6.38</v>
      </c>
      <c r="G297">
        <v>230719</v>
      </c>
      <c r="H297">
        <v>4840</v>
      </c>
      <c r="I297" t="s">
        <v>19</v>
      </c>
      <c r="J297">
        <v>7.91</v>
      </c>
      <c r="K297">
        <v>1.53</v>
      </c>
      <c r="L297">
        <v>14972</v>
      </c>
      <c r="M297" t="s">
        <v>898</v>
      </c>
      <c r="N297" t="str">
        <f t="shared" si="22"/>
        <v xml:space="preserve">643278      </v>
      </c>
      <c r="O297">
        <v>230807</v>
      </c>
    </row>
    <row r="298" spans="1:15" x14ac:dyDescent="0.25">
      <c r="A298" t="s">
        <v>16</v>
      </c>
      <c r="B298" t="s">
        <v>3221</v>
      </c>
      <c r="C298">
        <v>10026</v>
      </c>
      <c r="D298" t="s">
        <v>448</v>
      </c>
      <c r="E298" t="s">
        <v>449</v>
      </c>
      <c r="F298">
        <v>48.45</v>
      </c>
      <c r="G298">
        <v>230719</v>
      </c>
      <c r="H298">
        <v>4840</v>
      </c>
      <c r="I298" t="s">
        <v>19</v>
      </c>
      <c r="J298">
        <v>60.08</v>
      </c>
      <c r="K298">
        <v>11.63</v>
      </c>
      <c r="L298">
        <v>18972</v>
      </c>
      <c r="M298" t="s">
        <v>163</v>
      </c>
      <c r="N298" t="str">
        <f t="shared" si="22"/>
        <v xml:space="preserve">643278      </v>
      </c>
      <c r="O298">
        <v>230807</v>
      </c>
    </row>
    <row r="299" spans="1:15" x14ac:dyDescent="0.25">
      <c r="A299" t="s">
        <v>16</v>
      </c>
      <c r="B299" t="s">
        <v>3221</v>
      </c>
      <c r="C299">
        <v>10033</v>
      </c>
      <c r="D299" t="s">
        <v>448</v>
      </c>
      <c r="E299" t="s">
        <v>449</v>
      </c>
      <c r="F299">
        <v>260</v>
      </c>
      <c r="G299">
        <v>230721</v>
      </c>
      <c r="H299">
        <v>4840</v>
      </c>
      <c r="I299" t="s">
        <v>19</v>
      </c>
      <c r="J299">
        <v>322.39999999999998</v>
      </c>
      <c r="K299">
        <v>62.4</v>
      </c>
      <c r="L299">
        <v>41126</v>
      </c>
      <c r="M299" t="s">
        <v>761</v>
      </c>
      <c r="N299" t="str">
        <f t="shared" ref="N299:N305" si="23">"644766      "</f>
        <v xml:space="preserve">644766      </v>
      </c>
      <c r="O299">
        <v>230807</v>
      </c>
    </row>
    <row r="300" spans="1:15" x14ac:dyDescent="0.25">
      <c r="A300" t="s">
        <v>16</v>
      </c>
      <c r="B300" t="s">
        <v>3221</v>
      </c>
      <c r="C300">
        <v>10033</v>
      </c>
      <c r="D300" t="s">
        <v>448</v>
      </c>
      <c r="E300" t="s">
        <v>449</v>
      </c>
      <c r="F300">
        <v>240</v>
      </c>
      <c r="G300">
        <v>230721</v>
      </c>
      <c r="H300">
        <v>4840</v>
      </c>
      <c r="I300" t="s">
        <v>19</v>
      </c>
      <c r="J300">
        <v>297.60000000000002</v>
      </c>
      <c r="K300">
        <v>57.6</v>
      </c>
      <c r="L300">
        <v>43222</v>
      </c>
      <c r="M300" t="s">
        <v>507</v>
      </c>
      <c r="N300" t="str">
        <f t="shared" si="23"/>
        <v xml:space="preserve">644766      </v>
      </c>
      <c r="O300">
        <v>230807</v>
      </c>
    </row>
    <row r="301" spans="1:15" x14ac:dyDescent="0.25">
      <c r="A301" t="s">
        <v>16</v>
      </c>
      <c r="B301" t="s">
        <v>3221</v>
      </c>
      <c r="C301">
        <v>10033</v>
      </c>
      <c r="D301" t="s">
        <v>448</v>
      </c>
      <c r="E301" t="s">
        <v>449</v>
      </c>
      <c r="F301">
        <v>340</v>
      </c>
      <c r="G301">
        <v>230721</v>
      </c>
      <c r="H301">
        <v>4840</v>
      </c>
      <c r="I301" t="s">
        <v>19</v>
      </c>
      <c r="J301">
        <v>421.6</v>
      </c>
      <c r="K301">
        <v>81.599999999999994</v>
      </c>
      <c r="L301">
        <v>46222</v>
      </c>
      <c r="M301" t="s">
        <v>293</v>
      </c>
      <c r="N301" t="str">
        <f t="shared" si="23"/>
        <v xml:space="preserve">644766      </v>
      </c>
      <c r="O301">
        <v>230807</v>
      </c>
    </row>
    <row r="302" spans="1:15" x14ac:dyDescent="0.25">
      <c r="A302" t="s">
        <v>16</v>
      </c>
      <c r="B302" t="s">
        <v>3221</v>
      </c>
      <c r="C302">
        <v>10033</v>
      </c>
      <c r="D302" t="s">
        <v>448</v>
      </c>
      <c r="E302" t="s">
        <v>449</v>
      </c>
      <c r="F302">
        <v>303.19</v>
      </c>
      <c r="G302">
        <v>230721</v>
      </c>
      <c r="H302">
        <v>4840</v>
      </c>
      <c r="I302" t="s">
        <v>19</v>
      </c>
      <c r="J302">
        <v>375.96</v>
      </c>
      <c r="K302">
        <v>72.77</v>
      </c>
      <c r="L302">
        <v>46554</v>
      </c>
      <c r="M302" t="s">
        <v>117</v>
      </c>
      <c r="N302" t="str">
        <f t="shared" si="23"/>
        <v xml:space="preserve">644766      </v>
      </c>
      <c r="O302">
        <v>230807</v>
      </c>
    </row>
    <row r="303" spans="1:15" x14ac:dyDescent="0.25">
      <c r="A303" t="s">
        <v>16</v>
      </c>
      <c r="B303" t="s">
        <v>3221</v>
      </c>
      <c r="C303">
        <v>10033</v>
      </c>
      <c r="D303" t="s">
        <v>448</v>
      </c>
      <c r="E303" t="s">
        <v>449</v>
      </c>
      <c r="F303">
        <v>260</v>
      </c>
      <c r="G303">
        <v>230721</v>
      </c>
      <c r="H303">
        <v>4840</v>
      </c>
      <c r="I303" t="s">
        <v>19</v>
      </c>
      <c r="J303">
        <v>322.39999999999998</v>
      </c>
      <c r="K303">
        <v>62.4</v>
      </c>
      <c r="L303">
        <v>46555</v>
      </c>
      <c r="M303" t="s">
        <v>597</v>
      </c>
      <c r="N303" t="str">
        <f t="shared" si="23"/>
        <v xml:space="preserve">644766      </v>
      </c>
      <c r="O303">
        <v>230807</v>
      </c>
    </row>
    <row r="304" spans="1:15" x14ac:dyDescent="0.25">
      <c r="A304" t="s">
        <v>16</v>
      </c>
      <c r="B304" t="s">
        <v>3221</v>
      </c>
      <c r="C304">
        <v>10033</v>
      </c>
      <c r="D304" t="s">
        <v>448</v>
      </c>
      <c r="E304" t="s">
        <v>449</v>
      </c>
      <c r="F304">
        <v>100</v>
      </c>
      <c r="G304">
        <v>230721</v>
      </c>
      <c r="H304">
        <v>4840</v>
      </c>
      <c r="I304" t="s">
        <v>19</v>
      </c>
      <c r="J304">
        <v>124</v>
      </c>
      <c r="K304">
        <v>24</v>
      </c>
      <c r="L304">
        <v>47522</v>
      </c>
      <c r="M304" t="s">
        <v>410</v>
      </c>
      <c r="N304" t="str">
        <f t="shared" si="23"/>
        <v xml:space="preserve">644766      </v>
      </c>
      <c r="O304">
        <v>230807</v>
      </c>
    </row>
    <row r="305" spans="1:15" x14ac:dyDescent="0.25">
      <c r="A305" t="s">
        <v>16</v>
      </c>
      <c r="B305" t="s">
        <v>3221</v>
      </c>
      <c r="C305">
        <v>10033</v>
      </c>
      <c r="D305" t="s">
        <v>448</v>
      </c>
      <c r="E305" t="s">
        <v>449</v>
      </c>
      <c r="F305">
        <v>40</v>
      </c>
      <c r="G305">
        <v>230721</v>
      </c>
      <c r="H305">
        <v>4840</v>
      </c>
      <c r="I305" t="s">
        <v>19</v>
      </c>
      <c r="J305">
        <v>49.6</v>
      </c>
      <c r="K305">
        <v>9.6</v>
      </c>
      <c r="L305">
        <v>49701</v>
      </c>
      <c r="M305" t="s">
        <v>166</v>
      </c>
      <c r="N305" t="str">
        <f t="shared" si="23"/>
        <v xml:space="preserve">644766      </v>
      </c>
      <c r="O305">
        <v>230807</v>
      </c>
    </row>
    <row r="306" spans="1:15" x14ac:dyDescent="0.25">
      <c r="A306" t="s">
        <v>16</v>
      </c>
      <c r="B306" t="s">
        <v>3221</v>
      </c>
      <c r="C306">
        <v>10223</v>
      </c>
      <c r="D306" t="s">
        <v>448</v>
      </c>
      <c r="E306" t="s">
        <v>449</v>
      </c>
      <c r="F306">
        <v>170.22</v>
      </c>
      <c r="G306">
        <v>230719</v>
      </c>
      <c r="H306">
        <v>4840</v>
      </c>
      <c r="I306" t="s">
        <v>19</v>
      </c>
      <c r="J306">
        <v>211.07</v>
      </c>
      <c r="K306">
        <v>40.85</v>
      </c>
      <c r="L306">
        <v>53222</v>
      </c>
      <c r="M306" t="s">
        <v>445</v>
      </c>
      <c r="N306" t="str">
        <f>"643287      "</f>
        <v xml:space="preserve">643287      </v>
      </c>
      <c r="O306">
        <v>230810</v>
      </c>
    </row>
    <row r="307" spans="1:15" x14ac:dyDescent="0.25">
      <c r="A307" t="s">
        <v>16</v>
      </c>
      <c r="B307" t="s">
        <v>3221</v>
      </c>
      <c r="C307">
        <v>10223</v>
      </c>
      <c r="D307" t="s">
        <v>448</v>
      </c>
      <c r="E307" t="s">
        <v>449</v>
      </c>
      <c r="F307">
        <v>36.700000000000003</v>
      </c>
      <c r="G307">
        <v>230719</v>
      </c>
      <c r="H307">
        <v>4840</v>
      </c>
      <c r="I307" t="s">
        <v>19</v>
      </c>
      <c r="J307">
        <v>45.51</v>
      </c>
      <c r="K307">
        <v>8.81</v>
      </c>
      <c r="L307">
        <v>54622</v>
      </c>
      <c r="M307" t="s">
        <v>872</v>
      </c>
      <c r="N307" t="str">
        <f>"643287      "</f>
        <v xml:space="preserve">643287      </v>
      </c>
      <c r="O307">
        <v>230810</v>
      </c>
    </row>
    <row r="308" spans="1:15" x14ac:dyDescent="0.25">
      <c r="A308" t="s">
        <v>16</v>
      </c>
      <c r="B308" t="s">
        <v>3221</v>
      </c>
      <c r="C308">
        <v>10223</v>
      </c>
      <c r="D308" t="s">
        <v>448</v>
      </c>
      <c r="E308" t="s">
        <v>449</v>
      </c>
      <c r="F308">
        <v>60.02</v>
      </c>
      <c r="G308">
        <v>230719</v>
      </c>
      <c r="H308">
        <v>4840</v>
      </c>
      <c r="I308" t="s">
        <v>19</v>
      </c>
      <c r="J308">
        <v>74.430000000000007</v>
      </c>
      <c r="K308">
        <v>14.41</v>
      </c>
      <c r="L308">
        <v>55222</v>
      </c>
      <c r="M308" t="s">
        <v>873</v>
      </c>
      <c r="N308" t="str">
        <f>"643287      "</f>
        <v xml:space="preserve">643287      </v>
      </c>
      <c r="O308">
        <v>230810</v>
      </c>
    </row>
    <row r="309" spans="1:15" x14ac:dyDescent="0.25">
      <c r="A309" t="s">
        <v>16</v>
      </c>
      <c r="B309" t="s">
        <v>3221</v>
      </c>
      <c r="C309">
        <v>10223</v>
      </c>
      <c r="D309" t="s">
        <v>448</v>
      </c>
      <c r="E309" t="s">
        <v>449</v>
      </c>
      <c r="F309">
        <v>10.46</v>
      </c>
      <c r="G309">
        <v>230719</v>
      </c>
      <c r="H309">
        <v>4840</v>
      </c>
      <c r="I309" t="s">
        <v>19</v>
      </c>
      <c r="J309">
        <v>12.97</v>
      </c>
      <c r="K309">
        <v>2.5099999999999998</v>
      </c>
      <c r="L309">
        <v>59702</v>
      </c>
      <c r="M309" t="s">
        <v>328</v>
      </c>
      <c r="N309" t="str">
        <f>"643287      "</f>
        <v xml:space="preserve">643287      </v>
      </c>
      <c r="O309">
        <v>230810</v>
      </c>
    </row>
    <row r="310" spans="1:15" x14ac:dyDescent="0.25">
      <c r="A310" t="s">
        <v>16</v>
      </c>
      <c r="B310" t="s">
        <v>3221</v>
      </c>
      <c r="C310">
        <v>10223</v>
      </c>
      <c r="D310" t="s">
        <v>448</v>
      </c>
      <c r="E310" t="s">
        <v>449</v>
      </c>
      <c r="F310">
        <v>1.63</v>
      </c>
      <c r="G310">
        <v>230719</v>
      </c>
      <c r="H310">
        <v>4840</v>
      </c>
      <c r="I310" t="s">
        <v>19</v>
      </c>
      <c r="J310">
        <v>2.02</v>
      </c>
      <c r="K310">
        <v>0.39</v>
      </c>
      <c r="L310">
        <v>59705</v>
      </c>
      <c r="M310" t="s">
        <v>843</v>
      </c>
      <c r="N310" t="str">
        <f>"643287      "</f>
        <v xml:space="preserve">643287      </v>
      </c>
      <c r="O310">
        <v>230810</v>
      </c>
    </row>
    <row r="311" spans="1:15" x14ac:dyDescent="0.25">
      <c r="A311" t="s">
        <v>16</v>
      </c>
      <c r="B311" t="s">
        <v>3221</v>
      </c>
      <c r="C311">
        <v>10224</v>
      </c>
      <c r="D311" t="s">
        <v>448</v>
      </c>
      <c r="E311" t="s">
        <v>449</v>
      </c>
      <c r="F311">
        <v>4.6500000000000004</v>
      </c>
      <c r="G311">
        <v>230719</v>
      </c>
      <c r="H311">
        <v>4840</v>
      </c>
      <c r="I311" t="s">
        <v>19</v>
      </c>
      <c r="J311">
        <v>5.77</v>
      </c>
      <c r="K311">
        <v>1.1200000000000001</v>
      </c>
      <c r="L311">
        <v>54222</v>
      </c>
      <c r="M311" t="s">
        <v>308</v>
      </c>
      <c r="N311" t="str">
        <f t="shared" ref="N311:N323" si="24">"643282      "</f>
        <v xml:space="preserve">643282      </v>
      </c>
      <c r="O311">
        <v>230810</v>
      </c>
    </row>
    <row r="312" spans="1:15" x14ac:dyDescent="0.25">
      <c r="A312" t="s">
        <v>16</v>
      </c>
      <c r="B312" t="s">
        <v>3221</v>
      </c>
      <c r="C312">
        <v>10224</v>
      </c>
      <c r="D312" t="s">
        <v>448</v>
      </c>
      <c r="E312" t="s">
        <v>449</v>
      </c>
      <c r="F312">
        <v>61.32</v>
      </c>
      <c r="G312">
        <v>230719</v>
      </c>
      <c r="H312">
        <v>4840</v>
      </c>
      <c r="I312" t="s">
        <v>19</v>
      </c>
      <c r="J312">
        <v>76.040000000000006</v>
      </c>
      <c r="K312">
        <v>14.72</v>
      </c>
      <c r="L312">
        <v>56558</v>
      </c>
      <c r="M312" t="s">
        <v>217</v>
      </c>
      <c r="N312" t="str">
        <f t="shared" si="24"/>
        <v xml:space="preserve">643282      </v>
      </c>
      <c r="O312">
        <v>230810</v>
      </c>
    </row>
    <row r="313" spans="1:15" x14ac:dyDescent="0.25">
      <c r="A313" t="s">
        <v>16</v>
      </c>
      <c r="B313" t="s">
        <v>3221</v>
      </c>
      <c r="C313">
        <v>10224</v>
      </c>
      <c r="D313" t="s">
        <v>448</v>
      </c>
      <c r="E313" t="s">
        <v>449</v>
      </c>
      <c r="F313">
        <v>8.01</v>
      </c>
      <c r="G313">
        <v>230719</v>
      </c>
      <c r="H313">
        <v>4840</v>
      </c>
      <c r="I313" t="s">
        <v>19</v>
      </c>
      <c r="J313">
        <v>9.93</v>
      </c>
      <c r="K313">
        <v>1.92</v>
      </c>
      <c r="L313">
        <v>56559</v>
      </c>
      <c r="M313" t="s">
        <v>129</v>
      </c>
      <c r="N313" t="str">
        <f t="shared" si="24"/>
        <v xml:space="preserve">643282      </v>
      </c>
      <c r="O313">
        <v>230810</v>
      </c>
    </row>
    <row r="314" spans="1:15" x14ac:dyDescent="0.25">
      <c r="A314" t="s">
        <v>16</v>
      </c>
      <c r="B314" t="s">
        <v>3221</v>
      </c>
      <c r="C314">
        <v>10224</v>
      </c>
      <c r="D314" t="s">
        <v>448</v>
      </c>
      <c r="E314" t="s">
        <v>449</v>
      </c>
      <c r="F314">
        <v>1.63</v>
      </c>
      <c r="G314">
        <v>230719</v>
      </c>
      <c r="H314">
        <v>4840</v>
      </c>
      <c r="I314" t="s">
        <v>19</v>
      </c>
      <c r="J314">
        <v>2.02</v>
      </c>
      <c r="K314">
        <v>0.39</v>
      </c>
      <c r="L314">
        <v>56560</v>
      </c>
      <c r="M314" t="s">
        <v>654</v>
      </c>
      <c r="N314" t="str">
        <f t="shared" si="24"/>
        <v xml:space="preserve">643282      </v>
      </c>
      <c r="O314">
        <v>230810</v>
      </c>
    </row>
    <row r="315" spans="1:15" x14ac:dyDescent="0.25">
      <c r="A315" t="s">
        <v>16</v>
      </c>
      <c r="B315" t="s">
        <v>3221</v>
      </c>
      <c r="C315">
        <v>10224</v>
      </c>
      <c r="D315" t="s">
        <v>448</v>
      </c>
      <c r="E315" t="s">
        <v>449</v>
      </c>
      <c r="F315">
        <v>65.66</v>
      </c>
      <c r="G315">
        <v>230719</v>
      </c>
      <c r="H315">
        <v>4840</v>
      </c>
      <c r="I315" t="s">
        <v>19</v>
      </c>
      <c r="J315">
        <v>81.42</v>
      </c>
      <c r="K315">
        <v>15.76</v>
      </c>
      <c r="L315">
        <v>56564</v>
      </c>
      <c r="M315" t="s">
        <v>327</v>
      </c>
      <c r="N315" t="str">
        <f t="shared" si="24"/>
        <v xml:space="preserve">643282      </v>
      </c>
      <c r="O315">
        <v>230810</v>
      </c>
    </row>
    <row r="316" spans="1:15" x14ac:dyDescent="0.25">
      <c r="A316" t="s">
        <v>16</v>
      </c>
      <c r="B316" t="s">
        <v>3221</v>
      </c>
      <c r="C316">
        <v>10224</v>
      </c>
      <c r="D316" t="s">
        <v>448</v>
      </c>
      <c r="E316" t="s">
        <v>449</v>
      </c>
      <c r="F316">
        <v>7.84</v>
      </c>
      <c r="G316">
        <v>230719</v>
      </c>
      <c r="H316">
        <v>4840</v>
      </c>
      <c r="I316" t="s">
        <v>19</v>
      </c>
      <c r="J316">
        <v>9.7200000000000006</v>
      </c>
      <c r="K316">
        <v>1.88</v>
      </c>
      <c r="L316">
        <v>56565</v>
      </c>
      <c r="M316" t="s">
        <v>758</v>
      </c>
      <c r="N316" t="str">
        <f t="shared" si="24"/>
        <v xml:space="preserve">643282      </v>
      </c>
      <c r="O316">
        <v>230810</v>
      </c>
    </row>
    <row r="317" spans="1:15" x14ac:dyDescent="0.25">
      <c r="A317" t="s">
        <v>16</v>
      </c>
      <c r="B317" t="s">
        <v>3221</v>
      </c>
      <c r="C317">
        <v>10224</v>
      </c>
      <c r="D317" t="s">
        <v>448</v>
      </c>
      <c r="E317" t="s">
        <v>449</v>
      </c>
      <c r="F317">
        <v>29.88</v>
      </c>
      <c r="G317">
        <v>230719</v>
      </c>
      <c r="H317">
        <v>4840</v>
      </c>
      <c r="I317" t="s">
        <v>19</v>
      </c>
      <c r="J317">
        <v>37.049999999999997</v>
      </c>
      <c r="K317">
        <v>7.17</v>
      </c>
      <c r="L317">
        <v>56566</v>
      </c>
      <c r="M317" t="s">
        <v>652</v>
      </c>
      <c r="N317" t="str">
        <f t="shared" si="24"/>
        <v xml:space="preserve">643282      </v>
      </c>
      <c r="O317">
        <v>230810</v>
      </c>
    </row>
    <row r="318" spans="1:15" x14ac:dyDescent="0.25">
      <c r="A318" t="s">
        <v>16</v>
      </c>
      <c r="B318" t="s">
        <v>3221</v>
      </c>
      <c r="C318">
        <v>10224</v>
      </c>
      <c r="D318" t="s">
        <v>448</v>
      </c>
      <c r="E318" t="s">
        <v>449</v>
      </c>
      <c r="F318">
        <v>6.21</v>
      </c>
      <c r="G318">
        <v>230719</v>
      </c>
      <c r="H318">
        <v>4840</v>
      </c>
      <c r="I318" t="s">
        <v>19</v>
      </c>
      <c r="J318">
        <v>7.7</v>
      </c>
      <c r="K318">
        <v>1.49</v>
      </c>
      <c r="L318">
        <v>59113</v>
      </c>
      <c r="M318" t="s">
        <v>235</v>
      </c>
      <c r="N318" t="str">
        <f t="shared" si="24"/>
        <v xml:space="preserve">643282      </v>
      </c>
      <c r="O318">
        <v>230810</v>
      </c>
    </row>
    <row r="319" spans="1:15" x14ac:dyDescent="0.25">
      <c r="A319" t="s">
        <v>16</v>
      </c>
      <c r="B319" t="s">
        <v>3221</v>
      </c>
      <c r="C319">
        <v>10224</v>
      </c>
      <c r="D319" t="s">
        <v>448</v>
      </c>
      <c r="E319" t="s">
        <v>449</v>
      </c>
      <c r="F319">
        <v>6.21</v>
      </c>
      <c r="G319">
        <v>230719</v>
      </c>
      <c r="H319">
        <v>4840</v>
      </c>
      <c r="I319" t="s">
        <v>19</v>
      </c>
      <c r="J319">
        <v>7.7</v>
      </c>
      <c r="K319">
        <v>1.49</v>
      </c>
      <c r="L319">
        <v>59501</v>
      </c>
      <c r="M319" t="s">
        <v>69</v>
      </c>
      <c r="N319" t="str">
        <f t="shared" si="24"/>
        <v xml:space="preserve">643282      </v>
      </c>
      <c r="O319">
        <v>230810</v>
      </c>
    </row>
    <row r="320" spans="1:15" x14ac:dyDescent="0.25">
      <c r="A320" t="s">
        <v>16</v>
      </c>
      <c r="B320" t="s">
        <v>3221</v>
      </c>
      <c r="C320">
        <v>10224</v>
      </c>
      <c r="D320" t="s">
        <v>448</v>
      </c>
      <c r="E320" t="s">
        <v>449</v>
      </c>
      <c r="F320">
        <v>18.78</v>
      </c>
      <c r="G320">
        <v>230719</v>
      </c>
      <c r="H320">
        <v>4840</v>
      </c>
      <c r="I320" t="s">
        <v>19</v>
      </c>
      <c r="J320">
        <v>23.29</v>
      </c>
      <c r="K320">
        <v>4.51</v>
      </c>
      <c r="L320">
        <v>59502</v>
      </c>
      <c r="M320" t="s">
        <v>70</v>
      </c>
      <c r="N320" t="str">
        <f t="shared" si="24"/>
        <v xml:space="preserve">643282      </v>
      </c>
      <c r="O320">
        <v>230810</v>
      </c>
    </row>
    <row r="321" spans="1:15" x14ac:dyDescent="0.25">
      <c r="A321" t="s">
        <v>16</v>
      </c>
      <c r="B321" t="s">
        <v>3221</v>
      </c>
      <c r="C321">
        <v>10224</v>
      </c>
      <c r="D321" t="s">
        <v>448</v>
      </c>
      <c r="E321" t="s">
        <v>449</v>
      </c>
      <c r="F321">
        <v>3.34</v>
      </c>
      <c r="G321">
        <v>230719</v>
      </c>
      <c r="H321">
        <v>4840</v>
      </c>
      <c r="I321" t="s">
        <v>19</v>
      </c>
      <c r="J321">
        <v>4.1399999999999997</v>
      </c>
      <c r="K321">
        <v>0.8</v>
      </c>
      <c r="L321">
        <v>59701</v>
      </c>
      <c r="M321" t="s">
        <v>297</v>
      </c>
      <c r="N321" t="str">
        <f t="shared" si="24"/>
        <v xml:space="preserve">643282      </v>
      </c>
      <c r="O321">
        <v>230810</v>
      </c>
    </row>
    <row r="322" spans="1:15" x14ac:dyDescent="0.25">
      <c r="A322" t="s">
        <v>16</v>
      </c>
      <c r="B322" t="s">
        <v>3221</v>
      </c>
      <c r="C322">
        <v>10224</v>
      </c>
      <c r="D322" t="s">
        <v>448</v>
      </c>
      <c r="E322" t="s">
        <v>449</v>
      </c>
      <c r="F322">
        <v>19.510000000000002</v>
      </c>
      <c r="G322">
        <v>230719</v>
      </c>
      <c r="H322">
        <v>4840</v>
      </c>
      <c r="I322" t="s">
        <v>19</v>
      </c>
      <c r="J322">
        <v>24.19</v>
      </c>
      <c r="K322">
        <v>4.68</v>
      </c>
      <c r="L322">
        <v>59702</v>
      </c>
      <c r="M322" t="s">
        <v>328</v>
      </c>
      <c r="N322" t="str">
        <f t="shared" si="24"/>
        <v xml:space="preserve">643282      </v>
      </c>
      <c r="O322">
        <v>230810</v>
      </c>
    </row>
    <row r="323" spans="1:15" x14ac:dyDescent="0.25">
      <c r="A323" t="s">
        <v>16</v>
      </c>
      <c r="B323" t="s">
        <v>3221</v>
      </c>
      <c r="C323">
        <v>10224</v>
      </c>
      <c r="D323" t="s">
        <v>448</v>
      </c>
      <c r="E323" t="s">
        <v>449</v>
      </c>
      <c r="F323">
        <v>1.64</v>
      </c>
      <c r="G323">
        <v>230719</v>
      </c>
      <c r="H323">
        <v>4840</v>
      </c>
      <c r="I323" t="s">
        <v>19</v>
      </c>
      <c r="J323">
        <v>2.0299999999999998</v>
      </c>
      <c r="K323">
        <v>0.39</v>
      </c>
      <c r="L323">
        <v>59705</v>
      </c>
      <c r="M323" t="s">
        <v>843</v>
      </c>
      <c r="N323" t="str">
        <f t="shared" si="24"/>
        <v xml:space="preserve">643282      </v>
      </c>
      <c r="O323">
        <v>230810</v>
      </c>
    </row>
    <row r="324" spans="1:15" x14ac:dyDescent="0.25">
      <c r="A324" t="s">
        <v>16</v>
      </c>
      <c r="B324" t="s">
        <v>3221</v>
      </c>
      <c r="C324">
        <v>10225</v>
      </c>
      <c r="D324" t="s">
        <v>448</v>
      </c>
      <c r="E324" t="s">
        <v>449</v>
      </c>
      <c r="F324">
        <v>16.190000000000001</v>
      </c>
      <c r="G324">
        <v>230719</v>
      </c>
      <c r="H324">
        <v>4840</v>
      </c>
      <c r="I324" t="s">
        <v>19</v>
      </c>
      <c r="J324">
        <v>20.079999999999998</v>
      </c>
      <c r="K324">
        <v>3.89</v>
      </c>
      <c r="L324">
        <v>56522</v>
      </c>
      <c r="M324" t="s">
        <v>43</v>
      </c>
      <c r="N324" t="str">
        <f>"643286      "</f>
        <v xml:space="preserve">643286      </v>
      </c>
      <c r="O324">
        <v>230810</v>
      </c>
    </row>
    <row r="325" spans="1:15" x14ac:dyDescent="0.25">
      <c r="A325" t="s">
        <v>16</v>
      </c>
      <c r="B325" t="s">
        <v>3221</v>
      </c>
      <c r="C325">
        <v>10225</v>
      </c>
      <c r="D325" t="s">
        <v>448</v>
      </c>
      <c r="E325" t="s">
        <v>449</v>
      </c>
      <c r="F325">
        <v>222.92</v>
      </c>
      <c r="G325">
        <v>230719</v>
      </c>
      <c r="H325">
        <v>4840</v>
      </c>
      <c r="I325" t="s">
        <v>19</v>
      </c>
      <c r="J325">
        <v>276.42</v>
      </c>
      <c r="K325">
        <v>53.5</v>
      </c>
      <c r="L325">
        <v>56524</v>
      </c>
      <c r="M325" t="s">
        <v>150</v>
      </c>
      <c r="N325" t="str">
        <f>"643286      "</f>
        <v xml:space="preserve">643286      </v>
      </c>
      <c r="O325">
        <v>230810</v>
      </c>
    </row>
    <row r="326" spans="1:15" x14ac:dyDescent="0.25">
      <c r="A326" t="s">
        <v>16</v>
      </c>
      <c r="B326" t="s">
        <v>3221</v>
      </c>
      <c r="C326">
        <v>10225</v>
      </c>
      <c r="D326" t="s">
        <v>448</v>
      </c>
      <c r="E326" t="s">
        <v>449</v>
      </c>
      <c r="F326">
        <v>58.53</v>
      </c>
      <c r="G326">
        <v>230719</v>
      </c>
      <c r="H326">
        <v>4840</v>
      </c>
      <c r="I326" t="s">
        <v>19</v>
      </c>
      <c r="J326">
        <v>72.58</v>
      </c>
      <c r="K326">
        <v>14.05</v>
      </c>
      <c r="L326">
        <v>56526</v>
      </c>
      <c r="M326" t="s">
        <v>1217</v>
      </c>
      <c r="N326" t="str">
        <f>"643286      "</f>
        <v xml:space="preserve">643286      </v>
      </c>
      <c r="O326">
        <v>230810</v>
      </c>
    </row>
    <row r="327" spans="1:15" x14ac:dyDescent="0.25">
      <c r="A327" t="s">
        <v>16</v>
      </c>
      <c r="B327" t="s">
        <v>3221</v>
      </c>
      <c r="C327">
        <v>10225</v>
      </c>
      <c r="D327" t="s">
        <v>448</v>
      </c>
      <c r="E327" t="s">
        <v>449</v>
      </c>
      <c r="F327">
        <v>16.059999999999999</v>
      </c>
      <c r="G327">
        <v>230719</v>
      </c>
      <c r="H327">
        <v>4840</v>
      </c>
      <c r="I327" t="s">
        <v>19</v>
      </c>
      <c r="J327">
        <v>19.91</v>
      </c>
      <c r="K327">
        <v>3.85</v>
      </c>
      <c r="L327">
        <v>56528</v>
      </c>
      <c r="M327" t="s">
        <v>153</v>
      </c>
      <c r="N327" t="str">
        <f>"643286      "</f>
        <v xml:space="preserve">643286      </v>
      </c>
      <c r="O327">
        <v>230810</v>
      </c>
    </row>
    <row r="328" spans="1:15" x14ac:dyDescent="0.25">
      <c r="A328" t="s">
        <v>16</v>
      </c>
      <c r="B328" t="s">
        <v>3221</v>
      </c>
      <c r="C328">
        <v>14151</v>
      </c>
      <c r="D328" t="s">
        <v>448</v>
      </c>
      <c r="E328" t="s">
        <v>449</v>
      </c>
      <c r="F328">
        <v>32.42</v>
      </c>
      <c r="G328">
        <v>231018</v>
      </c>
      <c r="H328">
        <v>4840</v>
      </c>
      <c r="I328" t="s">
        <v>19</v>
      </c>
      <c r="J328">
        <v>40.200000000000003</v>
      </c>
      <c r="K328">
        <v>7.78</v>
      </c>
      <c r="L328">
        <v>18010</v>
      </c>
      <c r="M328" t="s">
        <v>1344</v>
      </c>
      <c r="N328" t="str">
        <f>"650815      "</f>
        <v xml:space="preserve">650815      </v>
      </c>
      <c r="O328">
        <v>231019</v>
      </c>
    </row>
    <row r="329" spans="1:15" x14ac:dyDescent="0.25">
      <c r="A329" t="s">
        <v>16</v>
      </c>
      <c r="B329" t="s">
        <v>3221</v>
      </c>
      <c r="C329">
        <v>14151</v>
      </c>
      <c r="D329" t="s">
        <v>448</v>
      </c>
      <c r="E329" t="s">
        <v>449</v>
      </c>
      <c r="F329">
        <v>68.34</v>
      </c>
      <c r="G329">
        <v>231018</v>
      </c>
      <c r="H329">
        <v>4840</v>
      </c>
      <c r="I329" t="s">
        <v>19</v>
      </c>
      <c r="J329">
        <v>84.74</v>
      </c>
      <c r="K329">
        <v>16.399999999999999</v>
      </c>
      <c r="L329">
        <v>18120</v>
      </c>
      <c r="M329" t="s">
        <v>329</v>
      </c>
      <c r="N329" t="str">
        <f>"650815      "</f>
        <v xml:space="preserve">650815      </v>
      </c>
      <c r="O329">
        <v>231019</v>
      </c>
    </row>
    <row r="330" spans="1:15" x14ac:dyDescent="0.25">
      <c r="A330" t="s">
        <v>16</v>
      </c>
      <c r="B330" t="s">
        <v>3221</v>
      </c>
      <c r="C330">
        <v>14151</v>
      </c>
      <c r="D330" t="s">
        <v>448</v>
      </c>
      <c r="E330" t="s">
        <v>449</v>
      </c>
      <c r="F330">
        <v>3.26</v>
      </c>
      <c r="G330">
        <v>231018</v>
      </c>
      <c r="H330">
        <v>4840</v>
      </c>
      <c r="I330" t="s">
        <v>19</v>
      </c>
      <c r="J330">
        <v>4.04</v>
      </c>
      <c r="K330">
        <v>0.78</v>
      </c>
      <c r="L330">
        <v>18972</v>
      </c>
      <c r="M330" t="s">
        <v>163</v>
      </c>
      <c r="N330" t="str">
        <f>"650815      "</f>
        <v xml:space="preserve">650815      </v>
      </c>
      <c r="O330">
        <v>231019</v>
      </c>
    </row>
    <row r="331" spans="1:15" x14ac:dyDescent="0.25">
      <c r="A331" t="s">
        <v>16</v>
      </c>
      <c r="B331" t="s">
        <v>3221</v>
      </c>
      <c r="C331">
        <v>14155</v>
      </c>
      <c r="D331" t="s">
        <v>448</v>
      </c>
      <c r="E331" t="s">
        <v>449</v>
      </c>
      <c r="F331">
        <v>1.63</v>
      </c>
      <c r="G331">
        <v>231017</v>
      </c>
      <c r="H331">
        <v>4840</v>
      </c>
      <c r="I331" t="s">
        <v>19</v>
      </c>
      <c r="J331">
        <v>2.02</v>
      </c>
      <c r="K331">
        <v>0.39</v>
      </c>
      <c r="L331">
        <v>13661</v>
      </c>
      <c r="M331" t="s">
        <v>247</v>
      </c>
      <c r="N331" t="str">
        <f>"649267      "</f>
        <v xml:space="preserve">649267      </v>
      </c>
      <c r="O331">
        <v>231020</v>
      </c>
    </row>
    <row r="332" spans="1:15" x14ac:dyDescent="0.25">
      <c r="A332" t="s">
        <v>16</v>
      </c>
      <c r="B332" t="s">
        <v>3221</v>
      </c>
      <c r="C332">
        <v>14155</v>
      </c>
      <c r="D332" t="s">
        <v>448</v>
      </c>
      <c r="E332" t="s">
        <v>449</v>
      </c>
      <c r="F332">
        <v>8.27</v>
      </c>
      <c r="G332">
        <v>231017</v>
      </c>
      <c r="H332">
        <v>4840</v>
      </c>
      <c r="I332" t="s">
        <v>19</v>
      </c>
      <c r="J332">
        <v>10.26</v>
      </c>
      <c r="K332">
        <v>1.99</v>
      </c>
      <c r="L332">
        <v>13801</v>
      </c>
      <c r="M332" t="s">
        <v>162</v>
      </c>
      <c r="N332" t="str">
        <f>"649267      "</f>
        <v xml:space="preserve">649267      </v>
      </c>
      <c r="O332">
        <v>231020</v>
      </c>
    </row>
    <row r="333" spans="1:15" x14ac:dyDescent="0.25">
      <c r="A333" t="s">
        <v>16</v>
      </c>
      <c r="B333" t="s">
        <v>3221</v>
      </c>
      <c r="C333">
        <v>14532</v>
      </c>
      <c r="D333" t="s">
        <v>448</v>
      </c>
      <c r="E333" t="s">
        <v>449</v>
      </c>
      <c r="F333">
        <v>60</v>
      </c>
      <c r="G333">
        <v>231016</v>
      </c>
      <c r="H333">
        <v>4840</v>
      </c>
      <c r="I333" t="s">
        <v>19</v>
      </c>
      <c r="J333">
        <v>74.400000000000006</v>
      </c>
      <c r="K333">
        <v>14.4</v>
      </c>
      <c r="L333">
        <v>14861</v>
      </c>
      <c r="M333" t="s">
        <v>785</v>
      </c>
      <c r="N333" t="str">
        <f>"648946      "</f>
        <v xml:space="preserve">648946      </v>
      </c>
      <c r="O333">
        <v>231030</v>
      </c>
    </row>
    <row r="334" spans="1:15" x14ac:dyDescent="0.25">
      <c r="A334" t="s">
        <v>16</v>
      </c>
      <c r="B334" t="s">
        <v>3221</v>
      </c>
      <c r="C334">
        <v>14544</v>
      </c>
      <c r="D334" t="s">
        <v>448</v>
      </c>
      <c r="E334" t="s">
        <v>449</v>
      </c>
      <c r="F334">
        <v>11.98</v>
      </c>
      <c r="G334">
        <v>231018</v>
      </c>
      <c r="H334">
        <v>4840</v>
      </c>
      <c r="I334" t="s">
        <v>19</v>
      </c>
      <c r="J334">
        <v>14.86</v>
      </c>
      <c r="K334">
        <v>2.88</v>
      </c>
      <c r="L334">
        <v>11903</v>
      </c>
      <c r="M334" t="s">
        <v>406</v>
      </c>
      <c r="N334" t="str">
        <f>"650814      "</f>
        <v xml:space="preserve">650814      </v>
      </c>
      <c r="O334">
        <v>231030</v>
      </c>
    </row>
    <row r="335" spans="1:15" x14ac:dyDescent="0.25">
      <c r="A335" t="s">
        <v>16</v>
      </c>
      <c r="B335" t="s">
        <v>3221</v>
      </c>
      <c r="C335">
        <v>14544</v>
      </c>
      <c r="D335" t="s">
        <v>448</v>
      </c>
      <c r="E335" t="s">
        <v>449</v>
      </c>
      <c r="F335">
        <v>24.81</v>
      </c>
      <c r="G335">
        <v>231018</v>
      </c>
      <c r="H335">
        <v>4840</v>
      </c>
      <c r="I335" t="s">
        <v>19</v>
      </c>
      <c r="J335">
        <v>30.76</v>
      </c>
      <c r="K335">
        <v>5.95</v>
      </c>
      <c r="L335">
        <v>11903</v>
      </c>
      <c r="M335" t="s">
        <v>406</v>
      </c>
      <c r="N335" t="str">
        <f>"650814      "</f>
        <v xml:space="preserve">650814      </v>
      </c>
      <c r="O335">
        <v>231030</v>
      </c>
    </row>
    <row r="336" spans="1:15" x14ac:dyDescent="0.25">
      <c r="A336" t="s">
        <v>16</v>
      </c>
      <c r="B336" t="s">
        <v>3221</v>
      </c>
      <c r="C336">
        <v>14547</v>
      </c>
      <c r="D336" t="s">
        <v>448</v>
      </c>
      <c r="E336" t="s">
        <v>449</v>
      </c>
      <c r="F336">
        <v>8.27</v>
      </c>
      <c r="G336">
        <v>231018</v>
      </c>
      <c r="H336">
        <v>4840</v>
      </c>
      <c r="I336" t="s">
        <v>19</v>
      </c>
      <c r="J336">
        <v>10.26</v>
      </c>
      <c r="K336">
        <v>1.99</v>
      </c>
      <c r="L336">
        <v>65422</v>
      </c>
      <c r="M336" t="s">
        <v>602</v>
      </c>
      <c r="N336" t="str">
        <f>"650809      "</f>
        <v xml:space="preserve">650809      </v>
      </c>
      <c r="O336">
        <v>231030</v>
      </c>
    </row>
    <row r="337" spans="1:15" x14ac:dyDescent="0.25">
      <c r="A337" t="s">
        <v>16</v>
      </c>
      <c r="B337" t="s">
        <v>3221</v>
      </c>
      <c r="C337">
        <v>14547</v>
      </c>
      <c r="D337" t="s">
        <v>448</v>
      </c>
      <c r="E337" t="s">
        <v>449</v>
      </c>
      <c r="F337">
        <v>6.3</v>
      </c>
      <c r="G337">
        <v>231018</v>
      </c>
      <c r="H337">
        <v>4840</v>
      </c>
      <c r="I337" t="s">
        <v>19</v>
      </c>
      <c r="J337">
        <v>7.81</v>
      </c>
      <c r="K337">
        <v>1.51</v>
      </c>
      <c r="L337">
        <v>66754</v>
      </c>
      <c r="M337" t="s">
        <v>239</v>
      </c>
      <c r="N337" t="str">
        <f>"650809      "</f>
        <v xml:space="preserve">650809      </v>
      </c>
      <c r="O337">
        <v>231030</v>
      </c>
    </row>
    <row r="338" spans="1:15" x14ac:dyDescent="0.25">
      <c r="A338" t="s">
        <v>16</v>
      </c>
      <c r="B338" t="s">
        <v>3221</v>
      </c>
      <c r="C338">
        <v>14547</v>
      </c>
      <c r="D338" t="s">
        <v>448</v>
      </c>
      <c r="E338" t="s">
        <v>449</v>
      </c>
      <c r="F338">
        <v>148.81</v>
      </c>
      <c r="G338">
        <v>231018</v>
      </c>
      <c r="H338">
        <v>4840</v>
      </c>
      <c r="I338" t="s">
        <v>19</v>
      </c>
      <c r="J338">
        <v>184.53</v>
      </c>
      <c r="K338">
        <v>35.72</v>
      </c>
      <c r="L338">
        <v>66756</v>
      </c>
      <c r="M338" t="s">
        <v>209</v>
      </c>
      <c r="N338" t="str">
        <f>"650809      "</f>
        <v xml:space="preserve">650809      </v>
      </c>
      <c r="O338">
        <v>231030</v>
      </c>
    </row>
    <row r="339" spans="1:15" x14ac:dyDescent="0.25">
      <c r="A339" t="s">
        <v>16</v>
      </c>
      <c r="B339" t="s">
        <v>3221</v>
      </c>
      <c r="C339">
        <v>14547</v>
      </c>
      <c r="D339" t="s">
        <v>448</v>
      </c>
      <c r="E339" t="s">
        <v>449</v>
      </c>
      <c r="F339">
        <v>24.81</v>
      </c>
      <c r="G339">
        <v>231018</v>
      </c>
      <c r="H339">
        <v>4840</v>
      </c>
      <c r="I339" t="s">
        <v>19</v>
      </c>
      <c r="J339">
        <v>30.76</v>
      </c>
      <c r="K339">
        <v>5.95</v>
      </c>
      <c r="L339">
        <v>69702</v>
      </c>
      <c r="M339" t="s">
        <v>489</v>
      </c>
      <c r="N339" t="str">
        <f>"650809      "</f>
        <v xml:space="preserve">650809      </v>
      </c>
      <c r="O339">
        <v>231030</v>
      </c>
    </row>
    <row r="340" spans="1:15" x14ac:dyDescent="0.25">
      <c r="A340" t="s">
        <v>16</v>
      </c>
      <c r="B340" t="s">
        <v>3221</v>
      </c>
      <c r="C340">
        <v>14548</v>
      </c>
      <c r="D340" t="s">
        <v>448</v>
      </c>
      <c r="E340" t="s">
        <v>449</v>
      </c>
      <c r="F340">
        <v>10.210000000000001</v>
      </c>
      <c r="G340">
        <v>231018</v>
      </c>
      <c r="H340">
        <v>4840</v>
      </c>
      <c r="I340" t="s">
        <v>19</v>
      </c>
      <c r="J340">
        <v>12.66</v>
      </c>
      <c r="K340">
        <v>2.4500000000000002</v>
      </c>
      <c r="L340">
        <v>16321</v>
      </c>
      <c r="M340" t="s">
        <v>423</v>
      </c>
      <c r="N340" t="str">
        <f t="shared" ref="N340:N349" si="25">"650813      "</f>
        <v xml:space="preserve">650813      </v>
      </c>
      <c r="O340">
        <v>231030</v>
      </c>
    </row>
    <row r="341" spans="1:15" x14ac:dyDescent="0.25">
      <c r="A341" t="s">
        <v>16</v>
      </c>
      <c r="B341" t="s">
        <v>3221</v>
      </c>
      <c r="C341">
        <v>14548</v>
      </c>
      <c r="D341" t="s">
        <v>448</v>
      </c>
      <c r="E341" t="s">
        <v>449</v>
      </c>
      <c r="F341">
        <v>28.69</v>
      </c>
      <c r="G341">
        <v>231018</v>
      </c>
      <c r="H341">
        <v>4840</v>
      </c>
      <c r="I341" t="s">
        <v>19</v>
      </c>
      <c r="J341">
        <v>35.57</v>
      </c>
      <c r="K341">
        <v>6.88</v>
      </c>
      <c r="L341">
        <v>16431</v>
      </c>
      <c r="M341" t="s">
        <v>231</v>
      </c>
      <c r="N341" t="str">
        <f t="shared" si="25"/>
        <v xml:space="preserve">650813      </v>
      </c>
      <c r="O341">
        <v>231030</v>
      </c>
    </row>
    <row r="342" spans="1:15" x14ac:dyDescent="0.25">
      <c r="A342" t="s">
        <v>16</v>
      </c>
      <c r="B342" t="s">
        <v>3221</v>
      </c>
      <c r="C342">
        <v>14548</v>
      </c>
      <c r="D342" t="s">
        <v>448</v>
      </c>
      <c r="E342" t="s">
        <v>449</v>
      </c>
      <c r="F342">
        <v>39.79</v>
      </c>
      <c r="G342">
        <v>231018</v>
      </c>
      <c r="H342">
        <v>4840</v>
      </c>
      <c r="I342" t="s">
        <v>19</v>
      </c>
      <c r="J342">
        <v>49.34</v>
      </c>
      <c r="K342">
        <v>9.5500000000000007</v>
      </c>
      <c r="L342">
        <v>17802</v>
      </c>
      <c r="M342" t="s">
        <v>174</v>
      </c>
      <c r="N342" t="str">
        <f t="shared" si="25"/>
        <v xml:space="preserve">650813      </v>
      </c>
      <c r="O342">
        <v>231030</v>
      </c>
    </row>
    <row r="343" spans="1:15" x14ac:dyDescent="0.25">
      <c r="A343" t="s">
        <v>16</v>
      </c>
      <c r="B343" t="s">
        <v>3221</v>
      </c>
      <c r="C343">
        <v>14548</v>
      </c>
      <c r="D343" t="s">
        <v>448</v>
      </c>
      <c r="E343" t="s">
        <v>449</v>
      </c>
      <c r="F343">
        <v>107.41</v>
      </c>
      <c r="G343">
        <v>231018</v>
      </c>
      <c r="H343">
        <v>4840</v>
      </c>
      <c r="I343" t="s">
        <v>19</v>
      </c>
      <c r="J343">
        <v>133.19</v>
      </c>
      <c r="K343">
        <v>25.78</v>
      </c>
      <c r="L343">
        <v>17803</v>
      </c>
      <c r="M343" t="s">
        <v>389</v>
      </c>
      <c r="N343" t="str">
        <f t="shared" si="25"/>
        <v xml:space="preserve">650813      </v>
      </c>
      <c r="O343">
        <v>231030</v>
      </c>
    </row>
    <row r="344" spans="1:15" x14ac:dyDescent="0.25">
      <c r="A344" t="s">
        <v>16</v>
      </c>
      <c r="B344" t="s">
        <v>3221</v>
      </c>
      <c r="C344">
        <v>14548</v>
      </c>
      <c r="D344" t="s">
        <v>448</v>
      </c>
      <c r="E344" t="s">
        <v>449</v>
      </c>
      <c r="F344">
        <v>10.52</v>
      </c>
      <c r="G344">
        <v>231018</v>
      </c>
      <c r="H344">
        <v>4840</v>
      </c>
      <c r="I344" t="s">
        <v>19</v>
      </c>
      <c r="J344">
        <v>13.05</v>
      </c>
      <c r="K344">
        <v>2.5299999999999998</v>
      </c>
      <c r="L344">
        <v>17805</v>
      </c>
      <c r="M344" t="s">
        <v>102</v>
      </c>
      <c r="N344" t="str">
        <f t="shared" si="25"/>
        <v xml:space="preserve">650813      </v>
      </c>
      <c r="O344">
        <v>231030</v>
      </c>
    </row>
    <row r="345" spans="1:15" x14ac:dyDescent="0.25">
      <c r="A345" t="s">
        <v>16</v>
      </c>
      <c r="B345" t="s">
        <v>3221</v>
      </c>
      <c r="C345">
        <v>14548</v>
      </c>
      <c r="D345" t="s">
        <v>448</v>
      </c>
      <c r="E345" t="s">
        <v>449</v>
      </c>
      <c r="F345">
        <v>18.93</v>
      </c>
      <c r="G345">
        <v>231018</v>
      </c>
      <c r="H345">
        <v>4840</v>
      </c>
      <c r="I345" t="s">
        <v>19</v>
      </c>
      <c r="J345">
        <v>23.47</v>
      </c>
      <c r="K345">
        <v>4.54</v>
      </c>
      <c r="L345">
        <v>17806</v>
      </c>
      <c r="M345" t="s">
        <v>265</v>
      </c>
      <c r="N345" t="str">
        <f t="shared" si="25"/>
        <v xml:space="preserve">650813      </v>
      </c>
      <c r="O345">
        <v>231030</v>
      </c>
    </row>
    <row r="346" spans="1:15" x14ac:dyDescent="0.25">
      <c r="A346" t="s">
        <v>16</v>
      </c>
      <c r="B346" t="s">
        <v>3221</v>
      </c>
      <c r="C346">
        <v>14548</v>
      </c>
      <c r="D346" t="s">
        <v>448</v>
      </c>
      <c r="E346" t="s">
        <v>449</v>
      </c>
      <c r="F346">
        <v>35.94</v>
      </c>
      <c r="G346">
        <v>231018</v>
      </c>
      <c r="H346">
        <v>4840</v>
      </c>
      <c r="I346" t="s">
        <v>19</v>
      </c>
      <c r="J346">
        <v>44.57</v>
      </c>
      <c r="K346">
        <v>8.6300000000000008</v>
      </c>
      <c r="L346">
        <v>17807</v>
      </c>
      <c r="M346" t="s">
        <v>318</v>
      </c>
      <c r="N346" t="str">
        <f t="shared" si="25"/>
        <v xml:space="preserve">650813      </v>
      </c>
      <c r="O346">
        <v>231030</v>
      </c>
    </row>
    <row r="347" spans="1:15" x14ac:dyDescent="0.25">
      <c r="A347" t="s">
        <v>16</v>
      </c>
      <c r="B347" t="s">
        <v>3221</v>
      </c>
      <c r="C347">
        <v>14548</v>
      </c>
      <c r="D347" t="s">
        <v>448</v>
      </c>
      <c r="E347" t="s">
        <v>449</v>
      </c>
      <c r="F347">
        <v>19.079999999999998</v>
      </c>
      <c r="G347">
        <v>231018</v>
      </c>
      <c r="H347">
        <v>4840</v>
      </c>
      <c r="I347" t="s">
        <v>19</v>
      </c>
      <c r="J347">
        <v>23.66</v>
      </c>
      <c r="K347">
        <v>4.58</v>
      </c>
      <c r="L347">
        <v>17808</v>
      </c>
      <c r="M347" t="s">
        <v>322</v>
      </c>
      <c r="N347" t="str">
        <f t="shared" si="25"/>
        <v xml:space="preserve">650813      </v>
      </c>
      <c r="O347">
        <v>231030</v>
      </c>
    </row>
    <row r="348" spans="1:15" x14ac:dyDescent="0.25">
      <c r="A348" t="s">
        <v>16</v>
      </c>
      <c r="B348" t="s">
        <v>3221</v>
      </c>
      <c r="C348">
        <v>14548</v>
      </c>
      <c r="D348" t="s">
        <v>448</v>
      </c>
      <c r="E348" t="s">
        <v>449</v>
      </c>
      <c r="F348">
        <v>41.35</v>
      </c>
      <c r="G348">
        <v>231018</v>
      </c>
      <c r="H348">
        <v>4840</v>
      </c>
      <c r="I348" t="s">
        <v>19</v>
      </c>
      <c r="J348">
        <v>51.27</v>
      </c>
      <c r="K348">
        <v>9.92</v>
      </c>
      <c r="L348">
        <v>17808</v>
      </c>
      <c r="M348" t="s">
        <v>322</v>
      </c>
      <c r="N348" t="str">
        <f t="shared" si="25"/>
        <v xml:space="preserve">650813      </v>
      </c>
      <c r="O348">
        <v>231030</v>
      </c>
    </row>
    <row r="349" spans="1:15" x14ac:dyDescent="0.25">
      <c r="A349" t="s">
        <v>16</v>
      </c>
      <c r="B349" t="s">
        <v>3221</v>
      </c>
      <c r="C349">
        <v>14548</v>
      </c>
      <c r="D349" t="s">
        <v>448</v>
      </c>
      <c r="E349" t="s">
        <v>449</v>
      </c>
      <c r="F349">
        <v>31.25</v>
      </c>
      <c r="G349">
        <v>231018</v>
      </c>
      <c r="H349">
        <v>4840</v>
      </c>
      <c r="I349" t="s">
        <v>19</v>
      </c>
      <c r="J349">
        <v>38.75</v>
      </c>
      <c r="K349">
        <v>7.5</v>
      </c>
      <c r="L349">
        <v>17971</v>
      </c>
      <c r="M349" t="s">
        <v>138</v>
      </c>
      <c r="N349" t="str">
        <f t="shared" si="25"/>
        <v xml:space="preserve">650813      </v>
      </c>
      <c r="O349">
        <v>231030</v>
      </c>
    </row>
    <row r="350" spans="1:15" x14ac:dyDescent="0.25">
      <c r="A350" t="s">
        <v>16</v>
      </c>
      <c r="B350" t="s">
        <v>3221</v>
      </c>
      <c r="C350">
        <v>14550</v>
      </c>
      <c r="D350" t="s">
        <v>448</v>
      </c>
      <c r="E350" t="s">
        <v>449</v>
      </c>
      <c r="F350">
        <v>202.69</v>
      </c>
      <c r="G350">
        <v>231018</v>
      </c>
      <c r="H350">
        <v>4840</v>
      </c>
      <c r="I350" t="s">
        <v>19</v>
      </c>
      <c r="J350">
        <v>251.34</v>
      </c>
      <c r="K350">
        <v>48.65</v>
      </c>
      <c r="L350">
        <v>17131</v>
      </c>
      <c r="M350" t="s">
        <v>64</v>
      </c>
      <c r="N350" t="str">
        <f>"650820      "</f>
        <v xml:space="preserve">650820      </v>
      </c>
      <c r="O350">
        <v>231030</v>
      </c>
    </row>
    <row r="351" spans="1:15" x14ac:dyDescent="0.25">
      <c r="A351" t="s">
        <v>16</v>
      </c>
      <c r="B351" t="s">
        <v>3221</v>
      </c>
      <c r="C351">
        <v>14550</v>
      </c>
      <c r="D351" t="s">
        <v>448</v>
      </c>
      <c r="E351" t="s">
        <v>449</v>
      </c>
      <c r="F351">
        <v>10.210000000000001</v>
      </c>
      <c r="G351">
        <v>231018</v>
      </c>
      <c r="H351">
        <v>4840</v>
      </c>
      <c r="I351" t="s">
        <v>19</v>
      </c>
      <c r="J351">
        <v>12.66</v>
      </c>
      <c r="K351">
        <v>2.4500000000000002</v>
      </c>
      <c r="L351">
        <v>17711</v>
      </c>
      <c r="M351" t="s">
        <v>65</v>
      </c>
      <c r="N351" t="str">
        <f>"650820      "</f>
        <v xml:space="preserve">650820      </v>
      </c>
      <c r="O351">
        <v>231030</v>
      </c>
    </row>
    <row r="352" spans="1:15" x14ac:dyDescent="0.25">
      <c r="A352" t="s">
        <v>16</v>
      </c>
      <c r="B352" t="s">
        <v>3221</v>
      </c>
      <c r="C352">
        <v>14550</v>
      </c>
      <c r="D352" t="s">
        <v>448</v>
      </c>
      <c r="E352" t="s">
        <v>449</v>
      </c>
      <c r="F352">
        <v>3.34</v>
      </c>
      <c r="G352">
        <v>231018</v>
      </c>
      <c r="H352">
        <v>4840</v>
      </c>
      <c r="I352" t="s">
        <v>19</v>
      </c>
      <c r="J352">
        <v>4.1399999999999997</v>
      </c>
      <c r="K352">
        <v>0.8</v>
      </c>
      <c r="L352">
        <v>17972</v>
      </c>
      <c r="M352" t="s">
        <v>248</v>
      </c>
      <c r="N352" t="str">
        <f>"650820      "</f>
        <v xml:space="preserve">650820      </v>
      </c>
      <c r="O352">
        <v>231030</v>
      </c>
    </row>
    <row r="353" spans="1:15" x14ac:dyDescent="0.25">
      <c r="A353" t="s">
        <v>16</v>
      </c>
      <c r="B353" t="s">
        <v>3221</v>
      </c>
      <c r="C353">
        <v>14551</v>
      </c>
      <c r="D353" t="s">
        <v>448</v>
      </c>
      <c r="E353" t="s">
        <v>449</v>
      </c>
      <c r="F353">
        <v>99.24</v>
      </c>
      <c r="G353">
        <v>231018</v>
      </c>
      <c r="H353">
        <v>4840</v>
      </c>
      <c r="I353" t="s">
        <v>19</v>
      </c>
      <c r="J353">
        <v>123.06</v>
      </c>
      <c r="K353">
        <v>23.82</v>
      </c>
      <c r="L353">
        <v>43222</v>
      </c>
      <c r="M353" t="s">
        <v>507</v>
      </c>
      <c r="N353" t="str">
        <f>"650811      "</f>
        <v xml:space="preserve">650811      </v>
      </c>
      <c r="O353">
        <v>231030</v>
      </c>
    </row>
    <row r="354" spans="1:15" x14ac:dyDescent="0.25">
      <c r="A354" t="s">
        <v>16</v>
      </c>
      <c r="B354" t="s">
        <v>3221</v>
      </c>
      <c r="C354">
        <v>14551</v>
      </c>
      <c r="D354" t="s">
        <v>448</v>
      </c>
      <c r="E354" t="s">
        <v>449</v>
      </c>
      <c r="F354">
        <v>39.909999999999997</v>
      </c>
      <c r="G354">
        <v>231018</v>
      </c>
      <c r="H354">
        <v>4840</v>
      </c>
      <c r="I354" t="s">
        <v>19</v>
      </c>
      <c r="J354">
        <v>49.49</v>
      </c>
      <c r="K354">
        <v>9.58</v>
      </c>
      <c r="L354">
        <v>47522</v>
      </c>
      <c r="M354" t="s">
        <v>410</v>
      </c>
      <c r="N354" t="str">
        <f>"650811      "</f>
        <v xml:space="preserve">650811      </v>
      </c>
      <c r="O354">
        <v>231030</v>
      </c>
    </row>
    <row r="355" spans="1:15" x14ac:dyDescent="0.25">
      <c r="A355" t="s">
        <v>16</v>
      </c>
      <c r="B355" t="s">
        <v>3221</v>
      </c>
      <c r="C355">
        <v>14551</v>
      </c>
      <c r="D355" t="s">
        <v>448</v>
      </c>
      <c r="E355" t="s">
        <v>449</v>
      </c>
      <c r="F355">
        <v>84.9</v>
      </c>
      <c r="G355">
        <v>231018</v>
      </c>
      <c r="H355">
        <v>4840</v>
      </c>
      <c r="I355" t="s">
        <v>19</v>
      </c>
      <c r="J355">
        <v>105.27</v>
      </c>
      <c r="K355">
        <v>20.37</v>
      </c>
      <c r="L355">
        <v>49501</v>
      </c>
      <c r="M355" t="s">
        <v>177</v>
      </c>
      <c r="N355" t="str">
        <f>"650811      "</f>
        <v xml:space="preserve">650811      </v>
      </c>
      <c r="O355">
        <v>231030</v>
      </c>
    </row>
    <row r="356" spans="1:15" x14ac:dyDescent="0.25">
      <c r="A356" t="s">
        <v>16</v>
      </c>
      <c r="B356" t="s">
        <v>3221</v>
      </c>
      <c r="C356">
        <v>14551</v>
      </c>
      <c r="D356" t="s">
        <v>448</v>
      </c>
      <c r="E356" t="s">
        <v>449</v>
      </c>
      <c r="F356">
        <v>10.53</v>
      </c>
      <c r="G356">
        <v>231018</v>
      </c>
      <c r="H356">
        <v>4840</v>
      </c>
      <c r="I356" t="s">
        <v>19</v>
      </c>
      <c r="J356">
        <v>13.06</v>
      </c>
      <c r="K356">
        <v>2.5299999999999998</v>
      </c>
      <c r="L356">
        <v>49701</v>
      </c>
      <c r="M356" t="s">
        <v>166</v>
      </c>
      <c r="N356" t="str">
        <f>"650811      "</f>
        <v xml:space="preserve">650811      </v>
      </c>
      <c r="O356">
        <v>231030</v>
      </c>
    </row>
    <row r="357" spans="1:15" x14ac:dyDescent="0.25">
      <c r="A357" t="s">
        <v>16</v>
      </c>
      <c r="B357" t="s">
        <v>3221</v>
      </c>
      <c r="C357">
        <v>14552</v>
      </c>
      <c r="D357" t="s">
        <v>448</v>
      </c>
      <c r="E357" t="s">
        <v>449</v>
      </c>
      <c r="F357">
        <v>58.53</v>
      </c>
      <c r="G357">
        <v>231018</v>
      </c>
      <c r="H357">
        <v>4840</v>
      </c>
      <c r="I357" t="s">
        <v>19</v>
      </c>
      <c r="J357">
        <v>72.58</v>
      </c>
      <c r="K357">
        <v>14.05</v>
      </c>
      <c r="L357">
        <v>56526</v>
      </c>
      <c r="M357" t="s">
        <v>1217</v>
      </c>
      <c r="N357" t="str">
        <f>"650818      "</f>
        <v xml:space="preserve">650818      </v>
      </c>
      <c r="O357">
        <v>231030</v>
      </c>
    </row>
    <row r="358" spans="1:15" x14ac:dyDescent="0.25">
      <c r="A358" t="s">
        <v>16</v>
      </c>
      <c r="B358" t="s">
        <v>3221</v>
      </c>
      <c r="C358">
        <v>14571</v>
      </c>
      <c r="D358" t="s">
        <v>448</v>
      </c>
      <c r="E358" t="s">
        <v>449</v>
      </c>
      <c r="F358">
        <v>115.4</v>
      </c>
      <c r="G358">
        <v>231018</v>
      </c>
      <c r="H358">
        <v>4840</v>
      </c>
      <c r="I358" t="s">
        <v>19</v>
      </c>
      <c r="J358">
        <v>143.09</v>
      </c>
      <c r="K358">
        <v>27.69</v>
      </c>
      <c r="L358">
        <v>16121</v>
      </c>
      <c r="M358" t="s">
        <v>21</v>
      </c>
      <c r="N358" t="str">
        <f>"650823      "</f>
        <v xml:space="preserve">650823      </v>
      </c>
      <c r="O358">
        <v>231030</v>
      </c>
    </row>
    <row r="359" spans="1:15" x14ac:dyDescent="0.25">
      <c r="A359" t="s">
        <v>16</v>
      </c>
      <c r="B359" t="s">
        <v>3221</v>
      </c>
      <c r="C359">
        <v>14571</v>
      </c>
      <c r="D359" t="s">
        <v>448</v>
      </c>
      <c r="E359" t="s">
        <v>449</v>
      </c>
      <c r="F359">
        <v>253.92</v>
      </c>
      <c r="G359">
        <v>231018</v>
      </c>
      <c r="H359">
        <v>4840</v>
      </c>
      <c r="I359" t="s">
        <v>19</v>
      </c>
      <c r="J359">
        <v>314.86</v>
      </c>
      <c r="K359">
        <v>60.94</v>
      </c>
      <c r="L359">
        <v>16820</v>
      </c>
      <c r="M359" t="s">
        <v>23</v>
      </c>
      <c r="N359" t="str">
        <f>"650823      "</f>
        <v xml:space="preserve">650823      </v>
      </c>
      <c r="O359">
        <v>231030</v>
      </c>
    </row>
    <row r="360" spans="1:15" x14ac:dyDescent="0.25">
      <c r="A360" t="s">
        <v>16</v>
      </c>
      <c r="B360" t="s">
        <v>3221</v>
      </c>
      <c r="C360">
        <v>14571</v>
      </c>
      <c r="D360" t="s">
        <v>448</v>
      </c>
      <c r="E360" t="s">
        <v>449</v>
      </c>
      <c r="F360">
        <v>10.55</v>
      </c>
      <c r="G360">
        <v>231018</v>
      </c>
      <c r="H360">
        <v>4840</v>
      </c>
      <c r="I360" t="s">
        <v>19</v>
      </c>
      <c r="J360">
        <v>13.08</v>
      </c>
      <c r="K360">
        <v>2.5299999999999998</v>
      </c>
      <c r="L360">
        <v>17530</v>
      </c>
      <c r="M360" t="s">
        <v>454</v>
      </c>
      <c r="N360" t="str">
        <f>"650823      "</f>
        <v xml:space="preserve">650823      </v>
      </c>
      <c r="O360">
        <v>231030</v>
      </c>
    </row>
    <row r="361" spans="1:15" x14ac:dyDescent="0.25">
      <c r="A361" t="s">
        <v>16</v>
      </c>
      <c r="B361" t="s">
        <v>3221</v>
      </c>
      <c r="C361">
        <v>14571</v>
      </c>
      <c r="D361" t="s">
        <v>448</v>
      </c>
      <c r="E361" t="s">
        <v>449</v>
      </c>
      <c r="F361">
        <v>11.01</v>
      </c>
      <c r="G361">
        <v>231018</v>
      </c>
      <c r="H361">
        <v>4840</v>
      </c>
      <c r="I361" t="s">
        <v>19</v>
      </c>
      <c r="J361">
        <v>13.65</v>
      </c>
      <c r="K361">
        <v>2.64</v>
      </c>
      <c r="L361">
        <v>17971</v>
      </c>
      <c r="M361" t="s">
        <v>138</v>
      </c>
      <c r="N361" t="str">
        <f>"650823      "</f>
        <v xml:space="preserve">650823      </v>
      </c>
      <c r="O361">
        <v>231030</v>
      </c>
    </row>
    <row r="362" spans="1:15" x14ac:dyDescent="0.25">
      <c r="A362" t="s">
        <v>16</v>
      </c>
      <c r="B362" t="s">
        <v>3221</v>
      </c>
      <c r="C362">
        <v>14572</v>
      </c>
      <c r="D362" t="s">
        <v>448</v>
      </c>
      <c r="E362" t="s">
        <v>449</v>
      </c>
      <c r="F362">
        <v>45.48</v>
      </c>
      <c r="G362">
        <v>231018</v>
      </c>
      <c r="H362">
        <v>4840</v>
      </c>
      <c r="I362" t="s">
        <v>19</v>
      </c>
      <c r="J362">
        <v>56.4</v>
      </c>
      <c r="K362">
        <v>10.92</v>
      </c>
      <c r="L362">
        <v>53222</v>
      </c>
      <c r="M362" t="s">
        <v>445</v>
      </c>
      <c r="N362" t="str">
        <f>"650810      "</f>
        <v xml:space="preserve">650810      </v>
      </c>
      <c r="O362">
        <v>231030</v>
      </c>
    </row>
    <row r="363" spans="1:15" x14ac:dyDescent="0.25">
      <c r="A363" t="s">
        <v>16</v>
      </c>
      <c r="B363" t="s">
        <v>3221</v>
      </c>
      <c r="C363">
        <v>14572</v>
      </c>
      <c r="D363" t="s">
        <v>448</v>
      </c>
      <c r="E363" t="s">
        <v>449</v>
      </c>
      <c r="F363">
        <v>15.71</v>
      </c>
      <c r="G363">
        <v>231018</v>
      </c>
      <c r="H363">
        <v>4840</v>
      </c>
      <c r="I363" t="s">
        <v>19</v>
      </c>
      <c r="J363">
        <v>19.48</v>
      </c>
      <c r="K363">
        <v>3.77</v>
      </c>
      <c r="L363">
        <v>59704</v>
      </c>
      <c r="M363" t="s">
        <v>1103</v>
      </c>
      <c r="N363" t="str">
        <f>"650810      "</f>
        <v xml:space="preserve">650810      </v>
      </c>
      <c r="O363">
        <v>231030</v>
      </c>
    </row>
    <row r="364" spans="1:15" x14ac:dyDescent="0.25">
      <c r="A364" t="s">
        <v>16</v>
      </c>
      <c r="B364" t="s">
        <v>3221</v>
      </c>
      <c r="C364">
        <v>14572</v>
      </c>
      <c r="D364" t="s">
        <v>448</v>
      </c>
      <c r="E364" t="s">
        <v>449</v>
      </c>
      <c r="F364">
        <v>1.63</v>
      </c>
      <c r="G364">
        <v>231018</v>
      </c>
      <c r="H364">
        <v>4840</v>
      </c>
      <c r="I364" t="s">
        <v>19</v>
      </c>
      <c r="J364">
        <v>2.02</v>
      </c>
      <c r="K364">
        <v>0.39</v>
      </c>
      <c r="L364">
        <v>59705</v>
      </c>
      <c r="M364" t="s">
        <v>843</v>
      </c>
      <c r="N364" t="str">
        <f>"650810      "</f>
        <v xml:space="preserve">650810      </v>
      </c>
      <c r="O364">
        <v>231030</v>
      </c>
    </row>
    <row r="365" spans="1:15" x14ac:dyDescent="0.25">
      <c r="A365" t="s">
        <v>16</v>
      </c>
      <c r="B365" t="s">
        <v>3221</v>
      </c>
      <c r="C365">
        <v>14573</v>
      </c>
      <c r="D365" t="s">
        <v>448</v>
      </c>
      <c r="E365" t="s">
        <v>449</v>
      </c>
      <c r="F365">
        <v>65.069999999999993</v>
      </c>
      <c r="G365">
        <v>231018</v>
      </c>
      <c r="H365">
        <v>4840</v>
      </c>
      <c r="I365" t="s">
        <v>19</v>
      </c>
      <c r="J365">
        <v>80.69</v>
      </c>
      <c r="K365">
        <v>15.62</v>
      </c>
      <c r="L365">
        <v>11001</v>
      </c>
      <c r="M365" t="s">
        <v>326</v>
      </c>
      <c r="N365" t="str">
        <f t="shared" ref="N365:N371" si="26">"650822      "</f>
        <v xml:space="preserve">650822      </v>
      </c>
      <c r="O365">
        <v>231030</v>
      </c>
    </row>
    <row r="366" spans="1:15" x14ac:dyDescent="0.25">
      <c r="A366" t="s">
        <v>16</v>
      </c>
      <c r="B366" t="s">
        <v>3221</v>
      </c>
      <c r="C366">
        <v>14573</v>
      </c>
      <c r="D366" t="s">
        <v>448</v>
      </c>
      <c r="E366" t="s">
        <v>449</v>
      </c>
      <c r="F366">
        <v>28.59</v>
      </c>
      <c r="G366">
        <v>231018</v>
      </c>
      <c r="H366">
        <v>4840</v>
      </c>
      <c r="I366" t="s">
        <v>19</v>
      </c>
      <c r="J366">
        <v>35.450000000000003</v>
      </c>
      <c r="K366">
        <v>6.86</v>
      </c>
      <c r="L366">
        <v>11101</v>
      </c>
      <c r="M366" t="s">
        <v>110</v>
      </c>
      <c r="N366" t="str">
        <f t="shared" si="26"/>
        <v xml:space="preserve">650822      </v>
      </c>
      <c r="O366">
        <v>231030</v>
      </c>
    </row>
    <row r="367" spans="1:15" x14ac:dyDescent="0.25">
      <c r="A367" t="s">
        <v>16</v>
      </c>
      <c r="B367" t="s">
        <v>3221</v>
      </c>
      <c r="C367">
        <v>14573</v>
      </c>
      <c r="D367" t="s">
        <v>448</v>
      </c>
      <c r="E367" t="s">
        <v>449</v>
      </c>
      <c r="F367">
        <v>11.57</v>
      </c>
      <c r="G367">
        <v>231018</v>
      </c>
      <c r="H367">
        <v>4840</v>
      </c>
      <c r="I367" t="s">
        <v>19</v>
      </c>
      <c r="J367">
        <v>14.35</v>
      </c>
      <c r="K367">
        <v>2.78</v>
      </c>
      <c r="L367">
        <v>11201</v>
      </c>
      <c r="M367" t="s">
        <v>305</v>
      </c>
      <c r="N367" t="str">
        <f t="shared" si="26"/>
        <v xml:space="preserve">650822      </v>
      </c>
      <c r="O367">
        <v>231030</v>
      </c>
    </row>
    <row r="368" spans="1:15" x14ac:dyDescent="0.25">
      <c r="A368" t="s">
        <v>16</v>
      </c>
      <c r="B368" t="s">
        <v>3221</v>
      </c>
      <c r="C368">
        <v>14573</v>
      </c>
      <c r="D368" t="s">
        <v>448</v>
      </c>
      <c r="E368" t="s">
        <v>449</v>
      </c>
      <c r="F368">
        <v>145.24</v>
      </c>
      <c r="G368">
        <v>231018</v>
      </c>
      <c r="H368">
        <v>4840</v>
      </c>
      <c r="I368" t="s">
        <v>19</v>
      </c>
      <c r="J368">
        <v>180.1</v>
      </c>
      <c r="K368">
        <v>34.86</v>
      </c>
      <c r="L368">
        <v>11301</v>
      </c>
      <c r="M368" t="s">
        <v>29</v>
      </c>
      <c r="N368" t="str">
        <f t="shared" si="26"/>
        <v xml:space="preserve">650822      </v>
      </c>
      <c r="O368">
        <v>231030</v>
      </c>
    </row>
    <row r="369" spans="1:15" x14ac:dyDescent="0.25">
      <c r="A369" t="s">
        <v>16</v>
      </c>
      <c r="B369" t="s">
        <v>3221</v>
      </c>
      <c r="C369">
        <v>14573</v>
      </c>
      <c r="D369" t="s">
        <v>448</v>
      </c>
      <c r="E369" t="s">
        <v>449</v>
      </c>
      <c r="F369">
        <v>97.64</v>
      </c>
      <c r="G369">
        <v>231018</v>
      </c>
      <c r="H369">
        <v>4840</v>
      </c>
      <c r="I369" t="s">
        <v>19</v>
      </c>
      <c r="J369">
        <v>121.07</v>
      </c>
      <c r="K369">
        <v>23.43</v>
      </c>
      <c r="L369">
        <v>11801</v>
      </c>
      <c r="M369" t="s">
        <v>92</v>
      </c>
      <c r="N369" t="str">
        <f t="shared" si="26"/>
        <v xml:space="preserve">650822      </v>
      </c>
      <c r="O369">
        <v>231030</v>
      </c>
    </row>
    <row r="370" spans="1:15" x14ac:dyDescent="0.25">
      <c r="A370" t="s">
        <v>16</v>
      </c>
      <c r="B370" t="s">
        <v>3221</v>
      </c>
      <c r="C370">
        <v>14573</v>
      </c>
      <c r="D370" t="s">
        <v>448</v>
      </c>
      <c r="E370" t="s">
        <v>449</v>
      </c>
      <c r="F370">
        <v>3.33</v>
      </c>
      <c r="G370">
        <v>231018</v>
      </c>
      <c r="H370">
        <v>4840</v>
      </c>
      <c r="I370" t="s">
        <v>19</v>
      </c>
      <c r="J370">
        <v>4.13</v>
      </c>
      <c r="K370">
        <v>0.8</v>
      </c>
      <c r="L370">
        <v>13201</v>
      </c>
      <c r="M370" t="s">
        <v>161</v>
      </c>
      <c r="N370" t="str">
        <f t="shared" si="26"/>
        <v xml:space="preserve">650822      </v>
      </c>
      <c r="O370">
        <v>231030</v>
      </c>
    </row>
    <row r="371" spans="1:15" x14ac:dyDescent="0.25">
      <c r="A371" t="s">
        <v>16</v>
      </c>
      <c r="B371" t="s">
        <v>3221</v>
      </c>
      <c r="C371">
        <v>14573</v>
      </c>
      <c r="D371" t="s">
        <v>448</v>
      </c>
      <c r="E371" t="s">
        <v>449</v>
      </c>
      <c r="F371">
        <v>19.88</v>
      </c>
      <c r="G371">
        <v>231018</v>
      </c>
      <c r="H371">
        <v>4840</v>
      </c>
      <c r="I371" t="s">
        <v>19</v>
      </c>
      <c r="J371">
        <v>24.65</v>
      </c>
      <c r="K371">
        <v>4.7699999999999996</v>
      </c>
      <c r="L371">
        <v>13501</v>
      </c>
      <c r="M371" t="s">
        <v>20</v>
      </c>
      <c r="N371" t="str">
        <f t="shared" si="26"/>
        <v xml:space="preserve">650822      </v>
      </c>
      <c r="O371">
        <v>231030</v>
      </c>
    </row>
    <row r="372" spans="1:15" x14ac:dyDescent="0.25">
      <c r="A372" t="s">
        <v>16</v>
      </c>
      <c r="B372" t="s">
        <v>3221</v>
      </c>
      <c r="C372">
        <v>14574</v>
      </c>
      <c r="D372" t="s">
        <v>448</v>
      </c>
      <c r="E372" t="s">
        <v>449</v>
      </c>
      <c r="F372">
        <v>1.61</v>
      </c>
      <c r="G372">
        <v>231018</v>
      </c>
      <c r="H372">
        <v>4840</v>
      </c>
      <c r="I372" t="s">
        <v>19</v>
      </c>
      <c r="J372">
        <v>2</v>
      </c>
      <c r="K372">
        <v>0.39</v>
      </c>
      <c r="L372">
        <v>54222</v>
      </c>
      <c r="M372" t="s">
        <v>308</v>
      </c>
      <c r="N372" t="str">
        <f t="shared" ref="N372:N383" si="27">"650812      "</f>
        <v xml:space="preserve">650812      </v>
      </c>
      <c r="O372">
        <v>231030</v>
      </c>
    </row>
    <row r="373" spans="1:15" x14ac:dyDescent="0.25">
      <c r="A373" t="s">
        <v>16</v>
      </c>
      <c r="B373" t="s">
        <v>3221</v>
      </c>
      <c r="C373">
        <v>14574</v>
      </c>
      <c r="D373" t="s">
        <v>448</v>
      </c>
      <c r="E373" t="s">
        <v>449</v>
      </c>
      <c r="F373">
        <v>6.52</v>
      </c>
      <c r="G373">
        <v>231018</v>
      </c>
      <c r="H373">
        <v>4840</v>
      </c>
      <c r="I373" t="s">
        <v>19</v>
      </c>
      <c r="J373">
        <v>8.08</v>
      </c>
      <c r="K373">
        <v>1.56</v>
      </c>
      <c r="L373">
        <v>56558</v>
      </c>
      <c r="M373" t="s">
        <v>217</v>
      </c>
      <c r="N373" t="str">
        <f t="shared" si="27"/>
        <v xml:space="preserve">650812      </v>
      </c>
      <c r="O373">
        <v>231030</v>
      </c>
    </row>
    <row r="374" spans="1:15" x14ac:dyDescent="0.25">
      <c r="A374" t="s">
        <v>16</v>
      </c>
      <c r="B374" t="s">
        <v>3221</v>
      </c>
      <c r="C374">
        <v>14574</v>
      </c>
      <c r="D374" t="s">
        <v>448</v>
      </c>
      <c r="E374" t="s">
        <v>449</v>
      </c>
      <c r="F374">
        <v>1.63</v>
      </c>
      <c r="G374">
        <v>231018</v>
      </c>
      <c r="H374">
        <v>4840</v>
      </c>
      <c r="I374" t="s">
        <v>19</v>
      </c>
      <c r="J374">
        <v>2.02</v>
      </c>
      <c r="K374">
        <v>0.39</v>
      </c>
      <c r="L374">
        <v>56560</v>
      </c>
      <c r="M374" t="s">
        <v>654</v>
      </c>
      <c r="N374" t="str">
        <f t="shared" si="27"/>
        <v xml:space="preserve">650812      </v>
      </c>
      <c r="O374">
        <v>231030</v>
      </c>
    </row>
    <row r="375" spans="1:15" x14ac:dyDescent="0.25">
      <c r="A375" t="s">
        <v>16</v>
      </c>
      <c r="B375" t="s">
        <v>3221</v>
      </c>
      <c r="C375">
        <v>14574</v>
      </c>
      <c r="D375" t="s">
        <v>448</v>
      </c>
      <c r="E375" t="s">
        <v>449</v>
      </c>
      <c r="F375">
        <v>9.68</v>
      </c>
      <c r="G375">
        <v>231018</v>
      </c>
      <c r="H375">
        <v>4840</v>
      </c>
      <c r="I375" t="s">
        <v>19</v>
      </c>
      <c r="J375">
        <v>12</v>
      </c>
      <c r="K375">
        <v>2.3199999999999998</v>
      </c>
      <c r="L375">
        <v>56564</v>
      </c>
      <c r="M375" t="s">
        <v>327</v>
      </c>
      <c r="N375" t="str">
        <f t="shared" si="27"/>
        <v xml:space="preserve">650812      </v>
      </c>
      <c r="O375">
        <v>231030</v>
      </c>
    </row>
    <row r="376" spans="1:15" x14ac:dyDescent="0.25">
      <c r="A376" t="s">
        <v>16</v>
      </c>
      <c r="B376" t="s">
        <v>3221</v>
      </c>
      <c r="C376">
        <v>14574</v>
      </c>
      <c r="D376" t="s">
        <v>448</v>
      </c>
      <c r="E376" t="s">
        <v>449</v>
      </c>
      <c r="F376">
        <v>1.63</v>
      </c>
      <c r="G376">
        <v>231018</v>
      </c>
      <c r="H376">
        <v>4840</v>
      </c>
      <c r="I376" t="s">
        <v>19</v>
      </c>
      <c r="J376">
        <v>2.02</v>
      </c>
      <c r="K376">
        <v>0.39</v>
      </c>
      <c r="L376">
        <v>56565</v>
      </c>
      <c r="M376" t="s">
        <v>758</v>
      </c>
      <c r="N376" t="str">
        <f t="shared" si="27"/>
        <v xml:space="preserve">650812      </v>
      </c>
      <c r="O376">
        <v>231030</v>
      </c>
    </row>
    <row r="377" spans="1:15" x14ac:dyDescent="0.25">
      <c r="A377" t="s">
        <v>16</v>
      </c>
      <c r="B377" t="s">
        <v>3221</v>
      </c>
      <c r="C377">
        <v>14574</v>
      </c>
      <c r="D377" t="s">
        <v>448</v>
      </c>
      <c r="E377" t="s">
        <v>449</v>
      </c>
      <c r="F377">
        <v>29.89</v>
      </c>
      <c r="G377">
        <v>231018</v>
      </c>
      <c r="H377">
        <v>4840</v>
      </c>
      <c r="I377" t="s">
        <v>19</v>
      </c>
      <c r="J377">
        <v>37.06</v>
      </c>
      <c r="K377">
        <v>7.17</v>
      </c>
      <c r="L377">
        <v>56566</v>
      </c>
      <c r="M377" t="s">
        <v>652</v>
      </c>
      <c r="N377" t="str">
        <f t="shared" si="27"/>
        <v xml:space="preserve">650812      </v>
      </c>
      <c r="O377">
        <v>231030</v>
      </c>
    </row>
    <row r="378" spans="1:15" x14ac:dyDescent="0.25">
      <c r="A378" t="s">
        <v>16</v>
      </c>
      <c r="B378" t="s">
        <v>3221</v>
      </c>
      <c r="C378">
        <v>14574</v>
      </c>
      <c r="D378" t="s">
        <v>448</v>
      </c>
      <c r="E378" t="s">
        <v>449</v>
      </c>
      <c r="F378">
        <v>14.8</v>
      </c>
      <c r="G378">
        <v>231018</v>
      </c>
      <c r="H378">
        <v>4840</v>
      </c>
      <c r="I378" t="s">
        <v>19</v>
      </c>
      <c r="J378">
        <v>18.350000000000001</v>
      </c>
      <c r="K378">
        <v>3.55</v>
      </c>
      <c r="L378">
        <v>58601</v>
      </c>
      <c r="M378" t="s">
        <v>251</v>
      </c>
      <c r="N378" t="str">
        <f t="shared" si="27"/>
        <v xml:space="preserve">650812      </v>
      </c>
      <c r="O378">
        <v>231030</v>
      </c>
    </row>
    <row r="379" spans="1:15" x14ac:dyDescent="0.25">
      <c r="A379" t="s">
        <v>16</v>
      </c>
      <c r="B379" t="s">
        <v>3221</v>
      </c>
      <c r="C379">
        <v>14574</v>
      </c>
      <c r="D379" t="s">
        <v>448</v>
      </c>
      <c r="E379" t="s">
        <v>449</v>
      </c>
      <c r="F379">
        <v>27.05</v>
      </c>
      <c r="G379">
        <v>231018</v>
      </c>
      <c r="H379">
        <v>4840</v>
      </c>
      <c r="I379" t="s">
        <v>19</v>
      </c>
      <c r="J379">
        <v>33.54</v>
      </c>
      <c r="K379">
        <v>6.49</v>
      </c>
      <c r="L379">
        <v>59502</v>
      </c>
      <c r="M379" t="s">
        <v>70</v>
      </c>
      <c r="N379" t="str">
        <f t="shared" si="27"/>
        <v xml:space="preserve">650812      </v>
      </c>
      <c r="O379">
        <v>231030</v>
      </c>
    </row>
    <row r="380" spans="1:15" x14ac:dyDescent="0.25">
      <c r="A380" t="s">
        <v>16</v>
      </c>
      <c r="B380" t="s">
        <v>3221</v>
      </c>
      <c r="C380">
        <v>14574</v>
      </c>
      <c r="D380" t="s">
        <v>448</v>
      </c>
      <c r="E380" t="s">
        <v>449</v>
      </c>
      <c r="F380">
        <v>3.34</v>
      </c>
      <c r="G380">
        <v>231018</v>
      </c>
      <c r="H380">
        <v>4840</v>
      </c>
      <c r="I380" t="s">
        <v>19</v>
      </c>
      <c r="J380">
        <v>4.1399999999999997</v>
      </c>
      <c r="K380">
        <v>0.8</v>
      </c>
      <c r="L380">
        <v>59701</v>
      </c>
      <c r="M380" t="s">
        <v>297</v>
      </c>
      <c r="N380" t="str">
        <f t="shared" si="27"/>
        <v xml:space="preserve">650812      </v>
      </c>
      <c r="O380">
        <v>231030</v>
      </c>
    </row>
    <row r="381" spans="1:15" x14ac:dyDescent="0.25">
      <c r="A381" t="s">
        <v>16</v>
      </c>
      <c r="B381" t="s">
        <v>3221</v>
      </c>
      <c r="C381">
        <v>14574</v>
      </c>
      <c r="D381" t="s">
        <v>448</v>
      </c>
      <c r="E381" t="s">
        <v>449</v>
      </c>
      <c r="F381">
        <v>36.78</v>
      </c>
      <c r="G381">
        <v>231018</v>
      </c>
      <c r="H381">
        <v>4840</v>
      </c>
      <c r="I381" t="s">
        <v>19</v>
      </c>
      <c r="J381">
        <v>45.61</v>
      </c>
      <c r="K381">
        <v>8.83</v>
      </c>
      <c r="L381">
        <v>59702</v>
      </c>
      <c r="M381" t="s">
        <v>328</v>
      </c>
      <c r="N381" t="str">
        <f t="shared" si="27"/>
        <v xml:space="preserve">650812      </v>
      </c>
      <c r="O381">
        <v>231030</v>
      </c>
    </row>
    <row r="382" spans="1:15" x14ac:dyDescent="0.25">
      <c r="A382" t="s">
        <v>16</v>
      </c>
      <c r="B382" t="s">
        <v>3221</v>
      </c>
      <c r="C382">
        <v>14574</v>
      </c>
      <c r="D382" t="s">
        <v>448</v>
      </c>
      <c r="E382" t="s">
        <v>449</v>
      </c>
      <c r="F382">
        <v>10.24</v>
      </c>
      <c r="G382">
        <v>231018</v>
      </c>
      <c r="H382">
        <v>4840</v>
      </c>
      <c r="I382" t="s">
        <v>19</v>
      </c>
      <c r="J382">
        <v>12.7</v>
      </c>
      <c r="K382">
        <v>2.46</v>
      </c>
      <c r="L382">
        <v>59704</v>
      </c>
      <c r="M382" t="s">
        <v>1103</v>
      </c>
      <c r="N382" t="str">
        <f t="shared" si="27"/>
        <v xml:space="preserve">650812      </v>
      </c>
      <c r="O382">
        <v>231030</v>
      </c>
    </row>
    <row r="383" spans="1:15" x14ac:dyDescent="0.25">
      <c r="A383" t="s">
        <v>16</v>
      </c>
      <c r="B383" t="s">
        <v>3221</v>
      </c>
      <c r="C383">
        <v>14574</v>
      </c>
      <c r="D383" t="s">
        <v>448</v>
      </c>
      <c r="E383" t="s">
        <v>449</v>
      </c>
      <c r="F383">
        <v>1.63</v>
      </c>
      <c r="G383">
        <v>231018</v>
      </c>
      <c r="H383">
        <v>4840</v>
      </c>
      <c r="I383" t="s">
        <v>19</v>
      </c>
      <c r="J383">
        <v>2.02</v>
      </c>
      <c r="K383">
        <v>0.39</v>
      </c>
      <c r="L383">
        <v>59705</v>
      </c>
      <c r="M383" t="s">
        <v>843</v>
      </c>
      <c r="N383" t="str">
        <f t="shared" si="27"/>
        <v xml:space="preserve">650812      </v>
      </c>
      <c r="O383">
        <v>231030</v>
      </c>
    </row>
    <row r="384" spans="1:15" x14ac:dyDescent="0.25">
      <c r="A384" t="s">
        <v>16</v>
      </c>
      <c r="B384" t="s">
        <v>3221</v>
      </c>
      <c r="C384">
        <v>14576</v>
      </c>
      <c r="D384" t="s">
        <v>448</v>
      </c>
      <c r="E384" t="s">
        <v>449</v>
      </c>
      <c r="F384">
        <v>1.4</v>
      </c>
      <c r="G384">
        <v>231018</v>
      </c>
      <c r="H384">
        <v>4840</v>
      </c>
      <c r="I384" t="s">
        <v>19</v>
      </c>
      <c r="J384">
        <v>1.74</v>
      </c>
      <c r="K384">
        <v>0.34</v>
      </c>
      <c r="L384">
        <v>13540</v>
      </c>
      <c r="M384" t="s">
        <v>85</v>
      </c>
      <c r="N384" t="str">
        <f t="shared" ref="N384:N408" si="28">"650816      "</f>
        <v xml:space="preserve">650816      </v>
      </c>
      <c r="O384">
        <v>231030</v>
      </c>
    </row>
    <row r="385" spans="1:15" x14ac:dyDescent="0.25">
      <c r="A385" t="s">
        <v>16</v>
      </c>
      <c r="B385" t="s">
        <v>3221</v>
      </c>
      <c r="C385">
        <v>14576</v>
      </c>
      <c r="D385" t="s">
        <v>448</v>
      </c>
      <c r="E385" t="s">
        <v>449</v>
      </c>
      <c r="F385">
        <v>14.78</v>
      </c>
      <c r="G385">
        <v>231018</v>
      </c>
      <c r="H385">
        <v>4840</v>
      </c>
      <c r="I385" t="s">
        <v>19</v>
      </c>
      <c r="J385">
        <v>18.329999999999998</v>
      </c>
      <c r="K385">
        <v>3.55</v>
      </c>
      <c r="L385">
        <v>13540</v>
      </c>
      <c r="M385" t="s">
        <v>85</v>
      </c>
      <c r="N385" t="str">
        <f t="shared" si="28"/>
        <v xml:space="preserve">650816      </v>
      </c>
      <c r="O385">
        <v>231030</v>
      </c>
    </row>
    <row r="386" spans="1:15" x14ac:dyDescent="0.25">
      <c r="A386" t="s">
        <v>16</v>
      </c>
      <c r="B386" t="s">
        <v>3221</v>
      </c>
      <c r="C386">
        <v>14576</v>
      </c>
      <c r="D386" t="s">
        <v>448</v>
      </c>
      <c r="E386" t="s">
        <v>449</v>
      </c>
      <c r="F386">
        <v>9.6300000000000008</v>
      </c>
      <c r="G386">
        <v>231018</v>
      </c>
      <c r="H386">
        <v>4840</v>
      </c>
      <c r="I386" t="s">
        <v>19</v>
      </c>
      <c r="J386">
        <v>11.94</v>
      </c>
      <c r="K386">
        <v>2.31</v>
      </c>
      <c r="L386">
        <v>16915</v>
      </c>
      <c r="M386" t="s">
        <v>1519</v>
      </c>
      <c r="N386" t="str">
        <f t="shared" si="28"/>
        <v xml:space="preserve">650816      </v>
      </c>
      <c r="O386">
        <v>231030</v>
      </c>
    </row>
    <row r="387" spans="1:15" x14ac:dyDescent="0.25">
      <c r="A387" t="s">
        <v>16</v>
      </c>
      <c r="B387" t="s">
        <v>3221</v>
      </c>
      <c r="C387">
        <v>14576</v>
      </c>
      <c r="D387" t="s">
        <v>448</v>
      </c>
      <c r="E387" t="s">
        <v>449</v>
      </c>
      <c r="F387">
        <v>105.59</v>
      </c>
      <c r="G387">
        <v>231018</v>
      </c>
      <c r="H387">
        <v>4840</v>
      </c>
      <c r="I387" t="s">
        <v>19</v>
      </c>
      <c r="J387">
        <v>130.93</v>
      </c>
      <c r="K387">
        <v>25.34</v>
      </c>
      <c r="L387">
        <v>16930</v>
      </c>
      <c r="M387" t="s">
        <v>450</v>
      </c>
      <c r="N387" t="str">
        <f t="shared" si="28"/>
        <v xml:space="preserve">650816      </v>
      </c>
      <c r="O387">
        <v>231030</v>
      </c>
    </row>
    <row r="388" spans="1:15" x14ac:dyDescent="0.25">
      <c r="A388" t="s">
        <v>16</v>
      </c>
      <c r="B388" t="s">
        <v>3221</v>
      </c>
      <c r="C388">
        <v>14576</v>
      </c>
      <c r="D388" t="s">
        <v>448</v>
      </c>
      <c r="E388" t="s">
        <v>449</v>
      </c>
      <c r="F388">
        <v>13.12</v>
      </c>
      <c r="G388">
        <v>231018</v>
      </c>
      <c r="H388">
        <v>4840</v>
      </c>
      <c r="I388" t="s">
        <v>19</v>
      </c>
      <c r="J388">
        <v>16.27</v>
      </c>
      <c r="K388">
        <v>3.15</v>
      </c>
      <c r="L388">
        <v>17522</v>
      </c>
      <c r="M388" t="s">
        <v>451</v>
      </c>
      <c r="N388" t="str">
        <f t="shared" si="28"/>
        <v xml:space="preserve">650816      </v>
      </c>
      <c r="O388">
        <v>231030</v>
      </c>
    </row>
    <row r="389" spans="1:15" x14ac:dyDescent="0.25">
      <c r="A389" t="s">
        <v>16</v>
      </c>
      <c r="B389" t="s">
        <v>3221</v>
      </c>
      <c r="C389">
        <v>14576</v>
      </c>
      <c r="D389" t="s">
        <v>448</v>
      </c>
      <c r="E389" t="s">
        <v>449</v>
      </c>
      <c r="F389">
        <v>11.01</v>
      </c>
      <c r="G389">
        <v>231018</v>
      </c>
      <c r="H389">
        <v>4840</v>
      </c>
      <c r="I389" t="s">
        <v>19</v>
      </c>
      <c r="J389">
        <v>13.65</v>
      </c>
      <c r="K389">
        <v>2.64</v>
      </c>
      <c r="L389">
        <v>17523</v>
      </c>
      <c r="M389" t="s">
        <v>134</v>
      </c>
      <c r="N389" t="str">
        <f t="shared" si="28"/>
        <v xml:space="preserve">650816      </v>
      </c>
      <c r="O389">
        <v>231030</v>
      </c>
    </row>
    <row r="390" spans="1:15" x14ac:dyDescent="0.25">
      <c r="A390" t="s">
        <v>16</v>
      </c>
      <c r="B390" t="s">
        <v>3221</v>
      </c>
      <c r="C390">
        <v>14576</v>
      </c>
      <c r="D390" t="s">
        <v>448</v>
      </c>
      <c r="E390" t="s">
        <v>449</v>
      </c>
      <c r="F390">
        <v>92.48</v>
      </c>
      <c r="G390">
        <v>231018</v>
      </c>
      <c r="H390">
        <v>4840</v>
      </c>
      <c r="I390" t="s">
        <v>19</v>
      </c>
      <c r="J390">
        <v>114.68</v>
      </c>
      <c r="K390">
        <v>22.2</v>
      </c>
      <c r="L390">
        <v>17523</v>
      </c>
      <c r="M390" t="s">
        <v>134</v>
      </c>
      <c r="N390" t="str">
        <f t="shared" si="28"/>
        <v xml:space="preserve">650816      </v>
      </c>
      <c r="O390">
        <v>231030</v>
      </c>
    </row>
    <row r="391" spans="1:15" x14ac:dyDescent="0.25">
      <c r="A391" t="s">
        <v>16</v>
      </c>
      <c r="B391" t="s">
        <v>3221</v>
      </c>
      <c r="C391">
        <v>14576</v>
      </c>
      <c r="D391" t="s">
        <v>448</v>
      </c>
      <c r="E391" t="s">
        <v>449</v>
      </c>
      <c r="F391">
        <v>39.99</v>
      </c>
      <c r="G391">
        <v>231018</v>
      </c>
      <c r="H391">
        <v>4840</v>
      </c>
      <c r="I391" t="s">
        <v>19</v>
      </c>
      <c r="J391">
        <v>49.59</v>
      </c>
      <c r="K391">
        <v>9.6</v>
      </c>
      <c r="L391">
        <v>17524</v>
      </c>
      <c r="M391" t="s">
        <v>452</v>
      </c>
      <c r="N391" t="str">
        <f t="shared" si="28"/>
        <v xml:space="preserve">650816      </v>
      </c>
      <c r="O391">
        <v>231030</v>
      </c>
    </row>
    <row r="392" spans="1:15" x14ac:dyDescent="0.25">
      <c r="A392" t="s">
        <v>16</v>
      </c>
      <c r="B392" t="s">
        <v>3221</v>
      </c>
      <c r="C392">
        <v>14576</v>
      </c>
      <c r="D392" t="s">
        <v>448</v>
      </c>
      <c r="E392" t="s">
        <v>449</v>
      </c>
      <c r="F392">
        <v>10.210000000000001</v>
      </c>
      <c r="G392">
        <v>231018</v>
      </c>
      <c r="H392">
        <v>4840</v>
      </c>
      <c r="I392" t="s">
        <v>19</v>
      </c>
      <c r="J392">
        <v>12.66</v>
      </c>
      <c r="K392">
        <v>2.4500000000000002</v>
      </c>
      <c r="L392">
        <v>17525</v>
      </c>
      <c r="M392" t="s">
        <v>135</v>
      </c>
      <c r="N392" t="str">
        <f t="shared" si="28"/>
        <v xml:space="preserve">650816      </v>
      </c>
      <c r="O392">
        <v>231030</v>
      </c>
    </row>
    <row r="393" spans="1:15" x14ac:dyDescent="0.25">
      <c r="A393" t="s">
        <v>16</v>
      </c>
      <c r="B393" t="s">
        <v>3221</v>
      </c>
      <c r="C393">
        <v>14576</v>
      </c>
      <c r="D393" t="s">
        <v>448</v>
      </c>
      <c r="E393" t="s">
        <v>449</v>
      </c>
      <c r="F393">
        <v>11.57</v>
      </c>
      <c r="G393">
        <v>231018</v>
      </c>
      <c r="H393">
        <v>4840</v>
      </c>
      <c r="I393" t="s">
        <v>19</v>
      </c>
      <c r="J393">
        <v>14.35</v>
      </c>
      <c r="K393">
        <v>2.78</v>
      </c>
      <c r="L393">
        <v>17526</v>
      </c>
      <c r="M393" t="s">
        <v>437</v>
      </c>
      <c r="N393" t="str">
        <f t="shared" si="28"/>
        <v xml:space="preserve">650816      </v>
      </c>
      <c r="O393">
        <v>231030</v>
      </c>
    </row>
    <row r="394" spans="1:15" x14ac:dyDescent="0.25">
      <c r="A394" t="s">
        <v>16</v>
      </c>
      <c r="B394" t="s">
        <v>3221</v>
      </c>
      <c r="C394">
        <v>14576</v>
      </c>
      <c r="D394" t="s">
        <v>448</v>
      </c>
      <c r="E394" t="s">
        <v>449</v>
      </c>
      <c r="F394">
        <v>10.55</v>
      </c>
      <c r="G394">
        <v>231018</v>
      </c>
      <c r="H394">
        <v>4840</v>
      </c>
      <c r="I394" t="s">
        <v>19</v>
      </c>
      <c r="J394">
        <v>13.08</v>
      </c>
      <c r="K394">
        <v>2.5299999999999998</v>
      </c>
      <c r="L394">
        <v>17527</v>
      </c>
      <c r="M394" t="s">
        <v>422</v>
      </c>
      <c r="N394" t="str">
        <f t="shared" si="28"/>
        <v xml:space="preserve">650816      </v>
      </c>
      <c r="O394">
        <v>231030</v>
      </c>
    </row>
    <row r="395" spans="1:15" x14ac:dyDescent="0.25">
      <c r="A395" t="s">
        <v>16</v>
      </c>
      <c r="B395" t="s">
        <v>3221</v>
      </c>
      <c r="C395">
        <v>14576</v>
      </c>
      <c r="D395" t="s">
        <v>448</v>
      </c>
      <c r="E395" t="s">
        <v>449</v>
      </c>
      <c r="F395">
        <v>22.59</v>
      </c>
      <c r="G395">
        <v>231018</v>
      </c>
      <c r="H395">
        <v>4840</v>
      </c>
      <c r="I395" t="s">
        <v>19</v>
      </c>
      <c r="J395">
        <v>28.01</v>
      </c>
      <c r="K395">
        <v>5.42</v>
      </c>
      <c r="L395">
        <v>17529</v>
      </c>
      <c r="M395" t="s">
        <v>453</v>
      </c>
      <c r="N395" t="str">
        <f t="shared" si="28"/>
        <v xml:space="preserve">650816      </v>
      </c>
      <c r="O395">
        <v>231030</v>
      </c>
    </row>
    <row r="396" spans="1:15" x14ac:dyDescent="0.25">
      <c r="A396" t="s">
        <v>16</v>
      </c>
      <c r="B396" t="s">
        <v>3221</v>
      </c>
      <c r="C396">
        <v>14576</v>
      </c>
      <c r="D396" t="s">
        <v>448</v>
      </c>
      <c r="E396" t="s">
        <v>449</v>
      </c>
      <c r="F396">
        <v>781.61</v>
      </c>
      <c r="G396">
        <v>231018</v>
      </c>
      <c r="H396">
        <v>4840</v>
      </c>
      <c r="I396" t="s">
        <v>19</v>
      </c>
      <c r="J396">
        <v>969.2</v>
      </c>
      <c r="K396">
        <v>187.59</v>
      </c>
      <c r="L396">
        <v>17530</v>
      </c>
      <c r="M396" t="s">
        <v>454</v>
      </c>
      <c r="N396" t="str">
        <f t="shared" si="28"/>
        <v xml:space="preserve">650816      </v>
      </c>
      <c r="O396">
        <v>231030</v>
      </c>
    </row>
    <row r="397" spans="1:15" x14ac:dyDescent="0.25">
      <c r="A397" t="s">
        <v>16</v>
      </c>
      <c r="B397" t="s">
        <v>3221</v>
      </c>
      <c r="C397">
        <v>14576</v>
      </c>
      <c r="D397" t="s">
        <v>448</v>
      </c>
      <c r="E397" t="s">
        <v>449</v>
      </c>
      <c r="F397">
        <v>10.210000000000001</v>
      </c>
      <c r="G397">
        <v>231018</v>
      </c>
      <c r="H397">
        <v>4840</v>
      </c>
      <c r="I397" t="s">
        <v>19</v>
      </c>
      <c r="J397">
        <v>12.66</v>
      </c>
      <c r="K397">
        <v>2.4500000000000002</v>
      </c>
      <c r="L397">
        <v>17531</v>
      </c>
      <c r="M397" t="s">
        <v>136</v>
      </c>
      <c r="N397" t="str">
        <f t="shared" si="28"/>
        <v xml:space="preserve">650816      </v>
      </c>
      <c r="O397">
        <v>231030</v>
      </c>
    </row>
    <row r="398" spans="1:15" x14ac:dyDescent="0.25">
      <c r="A398" t="s">
        <v>16</v>
      </c>
      <c r="B398" t="s">
        <v>3221</v>
      </c>
      <c r="C398">
        <v>14576</v>
      </c>
      <c r="D398" t="s">
        <v>448</v>
      </c>
      <c r="E398" t="s">
        <v>449</v>
      </c>
      <c r="F398">
        <v>3.33</v>
      </c>
      <c r="G398">
        <v>231018</v>
      </c>
      <c r="H398">
        <v>4840</v>
      </c>
      <c r="I398" t="s">
        <v>19</v>
      </c>
      <c r="J398">
        <v>4.13</v>
      </c>
      <c r="K398">
        <v>0.8</v>
      </c>
      <c r="L398">
        <v>17532</v>
      </c>
      <c r="M398" t="s">
        <v>543</v>
      </c>
      <c r="N398" t="str">
        <f t="shared" si="28"/>
        <v xml:space="preserve">650816      </v>
      </c>
      <c r="O398">
        <v>231030</v>
      </c>
    </row>
    <row r="399" spans="1:15" x14ac:dyDescent="0.25">
      <c r="A399" t="s">
        <v>16</v>
      </c>
      <c r="B399" t="s">
        <v>3221</v>
      </c>
      <c r="C399">
        <v>14576</v>
      </c>
      <c r="D399" t="s">
        <v>448</v>
      </c>
      <c r="E399" t="s">
        <v>449</v>
      </c>
      <c r="F399">
        <v>10.210000000000001</v>
      </c>
      <c r="G399">
        <v>231018</v>
      </c>
      <c r="H399">
        <v>4840</v>
      </c>
      <c r="I399" t="s">
        <v>19</v>
      </c>
      <c r="J399">
        <v>12.66</v>
      </c>
      <c r="K399">
        <v>2.4500000000000002</v>
      </c>
      <c r="L399">
        <v>17534</v>
      </c>
      <c r="M399" t="s">
        <v>440</v>
      </c>
      <c r="N399" t="str">
        <f t="shared" si="28"/>
        <v xml:space="preserve">650816      </v>
      </c>
      <c r="O399">
        <v>231030</v>
      </c>
    </row>
    <row r="400" spans="1:15" x14ac:dyDescent="0.25">
      <c r="A400" t="s">
        <v>16</v>
      </c>
      <c r="B400" t="s">
        <v>3221</v>
      </c>
      <c r="C400">
        <v>14576</v>
      </c>
      <c r="D400" t="s">
        <v>448</v>
      </c>
      <c r="E400" t="s">
        <v>449</v>
      </c>
      <c r="F400">
        <v>10.210000000000001</v>
      </c>
      <c r="G400">
        <v>231018</v>
      </c>
      <c r="H400">
        <v>4840</v>
      </c>
      <c r="I400" t="s">
        <v>19</v>
      </c>
      <c r="J400">
        <v>12.66</v>
      </c>
      <c r="K400">
        <v>2.4500000000000002</v>
      </c>
      <c r="L400">
        <v>17535</v>
      </c>
      <c r="M400" t="s">
        <v>357</v>
      </c>
      <c r="N400" t="str">
        <f t="shared" si="28"/>
        <v xml:space="preserve">650816      </v>
      </c>
      <c r="O400">
        <v>231030</v>
      </c>
    </row>
    <row r="401" spans="1:15" x14ac:dyDescent="0.25">
      <c r="A401" t="s">
        <v>16</v>
      </c>
      <c r="B401" t="s">
        <v>3221</v>
      </c>
      <c r="C401">
        <v>14576</v>
      </c>
      <c r="D401" t="s">
        <v>448</v>
      </c>
      <c r="E401" t="s">
        <v>449</v>
      </c>
      <c r="F401">
        <v>54.1</v>
      </c>
      <c r="G401">
        <v>231018</v>
      </c>
      <c r="H401">
        <v>4840</v>
      </c>
      <c r="I401" t="s">
        <v>19</v>
      </c>
      <c r="J401">
        <v>67.09</v>
      </c>
      <c r="K401">
        <v>12.99</v>
      </c>
      <c r="L401">
        <v>17537</v>
      </c>
      <c r="M401" t="s">
        <v>455</v>
      </c>
      <c r="N401" t="str">
        <f t="shared" si="28"/>
        <v xml:space="preserve">650816      </v>
      </c>
      <c r="O401">
        <v>231030</v>
      </c>
    </row>
    <row r="402" spans="1:15" x14ac:dyDescent="0.25">
      <c r="A402" t="s">
        <v>16</v>
      </c>
      <c r="B402" t="s">
        <v>3221</v>
      </c>
      <c r="C402">
        <v>14576</v>
      </c>
      <c r="D402" t="s">
        <v>448</v>
      </c>
      <c r="E402" t="s">
        <v>449</v>
      </c>
      <c r="F402">
        <v>123.08</v>
      </c>
      <c r="G402">
        <v>231018</v>
      </c>
      <c r="H402">
        <v>4840</v>
      </c>
      <c r="I402" t="s">
        <v>19</v>
      </c>
      <c r="J402">
        <v>152.62</v>
      </c>
      <c r="K402">
        <v>29.54</v>
      </c>
      <c r="L402">
        <v>17538</v>
      </c>
      <c r="M402" t="s">
        <v>24</v>
      </c>
      <c r="N402" t="str">
        <f t="shared" si="28"/>
        <v xml:space="preserve">650816      </v>
      </c>
      <c r="O402">
        <v>231030</v>
      </c>
    </row>
    <row r="403" spans="1:15" x14ac:dyDescent="0.25">
      <c r="A403" t="s">
        <v>16</v>
      </c>
      <c r="B403" t="s">
        <v>3221</v>
      </c>
      <c r="C403">
        <v>14576</v>
      </c>
      <c r="D403" t="s">
        <v>448</v>
      </c>
      <c r="E403" t="s">
        <v>449</v>
      </c>
      <c r="F403">
        <v>10.7</v>
      </c>
      <c r="G403">
        <v>231018</v>
      </c>
      <c r="H403">
        <v>4840</v>
      </c>
      <c r="I403" t="s">
        <v>19</v>
      </c>
      <c r="J403">
        <v>13.27</v>
      </c>
      <c r="K403">
        <v>2.57</v>
      </c>
      <c r="L403">
        <v>17918</v>
      </c>
      <c r="M403" t="s">
        <v>137</v>
      </c>
      <c r="N403" t="str">
        <f t="shared" si="28"/>
        <v xml:space="preserve">650816      </v>
      </c>
      <c r="O403">
        <v>231030</v>
      </c>
    </row>
    <row r="404" spans="1:15" x14ac:dyDescent="0.25">
      <c r="A404" t="s">
        <v>16</v>
      </c>
      <c r="B404" t="s">
        <v>3221</v>
      </c>
      <c r="C404">
        <v>14576</v>
      </c>
      <c r="D404" t="s">
        <v>448</v>
      </c>
      <c r="E404" t="s">
        <v>449</v>
      </c>
      <c r="F404">
        <v>11.34</v>
      </c>
      <c r="G404">
        <v>231018</v>
      </c>
      <c r="H404">
        <v>4840</v>
      </c>
      <c r="I404" t="s">
        <v>19</v>
      </c>
      <c r="J404">
        <v>14.06</v>
      </c>
      <c r="K404">
        <v>2.72</v>
      </c>
      <c r="L404">
        <v>17950</v>
      </c>
      <c r="M404" t="s">
        <v>86</v>
      </c>
      <c r="N404" t="str">
        <f t="shared" si="28"/>
        <v xml:space="preserve">650816      </v>
      </c>
      <c r="O404">
        <v>231030</v>
      </c>
    </row>
    <row r="405" spans="1:15" x14ac:dyDescent="0.25">
      <c r="A405" t="s">
        <v>16</v>
      </c>
      <c r="B405" t="s">
        <v>3221</v>
      </c>
      <c r="C405">
        <v>14576</v>
      </c>
      <c r="D405" t="s">
        <v>448</v>
      </c>
      <c r="E405" t="s">
        <v>449</v>
      </c>
      <c r="F405">
        <v>119.58</v>
      </c>
      <c r="G405">
        <v>231018</v>
      </c>
      <c r="H405">
        <v>4840</v>
      </c>
      <c r="I405" t="s">
        <v>19</v>
      </c>
      <c r="J405">
        <v>148.28</v>
      </c>
      <c r="K405">
        <v>28.7</v>
      </c>
      <c r="L405">
        <v>17950</v>
      </c>
      <c r="M405" t="s">
        <v>86</v>
      </c>
      <c r="N405" t="str">
        <f t="shared" si="28"/>
        <v xml:space="preserve">650816      </v>
      </c>
      <c r="O405">
        <v>231030</v>
      </c>
    </row>
    <row r="406" spans="1:15" x14ac:dyDescent="0.25">
      <c r="A406" t="s">
        <v>16</v>
      </c>
      <c r="B406" t="s">
        <v>3221</v>
      </c>
      <c r="C406">
        <v>14576</v>
      </c>
      <c r="D406" t="s">
        <v>448</v>
      </c>
      <c r="E406" t="s">
        <v>449</v>
      </c>
      <c r="F406">
        <v>15.1</v>
      </c>
      <c r="G406">
        <v>231018</v>
      </c>
      <c r="H406">
        <v>4840</v>
      </c>
      <c r="I406" t="s">
        <v>19</v>
      </c>
      <c r="J406">
        <v>18.73</v>
      </c>
      <c r="K406">
        <v>3.63</v>
      </c>
      <c r="L406">
        <v>17971</v>
      </c>
      <c r="M406" t="s">
        <v>138</v>
      </c>
      <c r="N406" t="str">
        <f t="shared" si="28"/>
        <v xml:space="preserve">650816      </v>
      </c>
      <c r="O406">
        <v>231030</v>
      </c>
    </row>
    <row r="407" spans="1:15" x14ac:dyDescent="0.25">
      <c r="A407" t="s">
        <v>16</v>
      </c>
      <c r="B407" t="s">
        <v>3221</v>
      </c>
      <c r="C407">
        <v>14576</v>
      </c>
      <c r="D407" t="s">
        <v>448</v>
      </c>
      <c r="E407" t="s">
        <v>449</v>
      </c>
      <c r="F407">
        <v>8.27</v>
      </c>
      <c r="G407">
        <v>231018</v>
      </c>
      <c r="H407">
        <v>4840</v>
      </c>
      <c r="I407" t="s">
        <v>19</v>
      </c>
      <c r="J407">
        <v>10.26</v>
      </c>
      <c r="K407">
        <v>1.99</v>
      </c>
      <c r="L407">
        <v>17972</v>
      </c>
      <c r="M407" t="s">
        <v>248</v>
      </c>
      <c r="N407" t="str">
        <f t="shared" si="28"/>
        <v xml:space="preserve">650816      </v>
      </c>
      <c r="O407">
        <v>231030</v>
      </c>
    </row>
    <row r="408" spans="1:15" x14ac:dyDescent="0.25">
      <c r="A408" t="s">
        <v>16</v>
      </c>
      <c r="B408" t="s">
        <v>3221</v>
      </c>
      <c r="C408">
        <v>14576</v>
      </c>
      <c r="D408" t="s">
        <v>448</v>
      </c>
      <c r="E408" t="s">
        <v>449</v>
      </c>
      <c r="F408">
        <v>8.27</v>
      </c>
      <c r="G408">
        <v>231018</v>
      </c>
      <c r="H408">
        <v>4840</v>
      </c>
      <c r="I408" t="s">
        <v>19</v>
      </c>
      <c r="J408">
        <v>10.25</v>
      </c>
      <c r="K408">
        <v>1.98</v>
      </c>
      <c r="L408">
        <v>17974</v>
      </c>
      <c r="M408" t="s">
        <v>460</v>
      </c>
      <c r="N408" t="str">
        <f t="shared" si="28"/>
        <v xml:space="preserve">650816      </v>
      </c>
      <c r="O408">
        <v>231030</v>
      </c>
    </row>
    <row r="409" spans="1:15" x14ac:dyDescent="0.25">
      <c r="A409" t="s">
        <v>16</v>
      </c>
      <c r="B409" t="s">
        <v>3221</v>
      </c>
      <c r="C409">
        <v>14577</v>
      </c>
      <c r="D409" t="s">
        <v>448</v>
      </c>
      <c r="E409" t="s">
        <v>449</v>
      </c>
      <c r="F409">
        <v>82.08</v>
      </c>
      <c r="G409">
        <v>231018</v>
      </c>
      <c r="H409">
        <v>4840</v>
      </c>
      <c r="I409" t="s">
        <v>19</v>
      </c>
      <c r="J409">
        <v>101.78</v>
      </c>
      <c r="K409">
        <v>19.7</v>
      </c>
      <c r="L409">
        <v>13601</v>
      </c>
      <c r="M409" t="s">
        <v>147</v>
      </c>
      <c r="N409" t="str">
        <f>"650817      "</f>
        <v xml:space="preserve">650817      </v>
      </c>
      <c r="O409">
        <v>231030</v>
      </c>
    </row>
    <row r="410" spans="1:15" x14ac:dyDescent="0.25">
      <c r="A410" t="s">
        <v>16</v>
      </c>
      <c r="B410" t="s">
        <v>3221</v>
      </c>
      <c r="C410">
        <v>14577</v>
      </c>
      <c r="D410" t="s">
        <v>448</v>
      </c>
      <c r="E410" t="s">
        <v>449</v>
      </c>
      <c r="F410">
        <v>10.52</v>
      </c>
      <c r="G410">
        <v>231018</v>
      </c>
      <c r="H410">
        <v>4840</v>
      </c>
      <c r="I410" t="s">
        <v>19</v>
      </c>
      <c r="J410">
        <v>13.04</v>
      </c>
      <c r="K410">
        <v>2.52</v>
      </c>
      <c r="L410">
        <v>13601</v>
      </c>
      <c r="M410" t="s">
        <v>147</v>
      </c>
      <c r="N410" t="str">
        <f>"650817      "</f>
        <v xml:space="preserve">650817      </v>
      </c>
      <c r="O410">
        <v>231030</v>
      </c>
    </row>
    <row r="411" spans="1:15" x14ac:dyDescent="0.25">
      <c r="A411" t="s">
        <v>16</v>
      </c>
      <c r="B411" t="s">
        <v>3221</v>
      </c>
      <c r="C411">
        <v>14577</v>
      </c>
      <c r="D411" t="s">
        <v>448</v>
      </c>
      <c r="E411" t="s">
        <v>449</v>
      </c>
      <c r="F411">
        <v>10.52</v>
      </c>
      <c r="G411">
        <v>231018</v>
      </c>
      <c r="H411">
        <v>4840</v>
      </c>
      <c r="I411" t="s">
        <v>19</v>
      </c>
      <c r="J411">
        <v>13.05</v>
      </c>
      <c r="K411">
        <v>2.5299999999999998</v>
      </c>
      <c r="L411">
        <v>13801</v>
      </c>
      <c r="M411" t="s">
        <v>162</v>
      </c>
      <c r="N411" t="str">
        <f>"650817      "</f>
        <v xml:space="preserve">650817      </v>
      </c>
      <c r="O411">
        <v>231030</v>
      </c>
    </row>
    <row r="412" spans="1:15" x14ac:dyDescent="0.25">
      <c r="A412" t="s">
        <v>16</v>
      </c>
      <c r="B412" t="s">
        <v>3221</v>
      </c>
      <c r="C412">
        <v>16090</v>
      </c>
      <c r="D412" t="s">
        <v>448</v>
      </c>
      <c r="E412" t="s">
        <v>449</v>
      </c>
      <c r="F412">
        <v>130</v>
      </c>
      <c r="G412">
        <v>231116</v>
      </c>
      <c r="H412">
        <v>4840</v>
      </c>
      <c r="I412" t="s">
        <v>19</v>
      </c>
      <c r="J412">
        <v>161.19999999999999</v>
      </c>
      <c r="K412">
        <v>31.2</v>
      </c>
      <c r="L412">
        <v>14422</v>
      </c>
      <c r="M412" t="s">
        <v>228</v>
      </c>
      <c r="N412" t="str">
        <f>"652272      "</f>
        <v xml:space="preserve">652272      </v>
      </c>
      <c r="O412">
        <v>231122</v>
      </c>
    </row>
    <row r="413" spans="1:15" x14ac:dyDescent="0.25">
      <c r="A413" t="s">
        <v>16</v>
      </c>
      <c r="B413" t="s">
        <v>3221</v>
      </c>
      <c r="C413">
        <v>16090</v>
      </c>
      <c r="D413" t="s">
        <v>448</v>
      </c>
      <c r="E413" t="s">
        <v>449</v>
      </c>
      <c r="F413">
        <v>130</v>
      </c>
      <c r="G413">
        <v>231116</v>
      </c>
      <c r="H413">
        <v>4840</v>
      </c>
      <c r="I413" t="s">
        <v>19</v>
      </c>
      <c r="J413">
        <v>161.19999999999999</v>
      </c>
      <c r="K413">
        <v>31.2</v>
      </c>
      <c r="L413">
        <v>14541</v>
      </c>
      <c r="M413" t="s">
        <v>626</v>
      </c>
      <c r="N413" t="str">
        <f>"652272      "</f>
        <v xml:space="preserve">652272      </v>
      </c>
      <c r="O413">
        <v>231122</v>
      </c>
    </row>
    <row r="414" spans="1:15" x14ac:dyDescent="0.25">
      <c r="A414" t="s">
        <v>16</v>
      </c>
      <c r="B414" t="s">
        <v>3221</v>
      </c>
      <c r="C414">
        <v>16090</v>
      </c>
      <c r="D414" t="s">
        <v>448</v>
      </c>
      <c r="E414" t="s">
        <v>449</v>
      </c>
      <c r="F414">
        <v>130</v>
      </c>
      <c r="G414">
        <v>231116</v>
      </c>
      <c r="H414">
        <v>4840</v>
      </c>
      <c r="I414" t="s">
        <v>19</v>
      </c>
      <c r="J414">
        <v>161.19999999999999</v>
      </c>
      <c r="K414">
        <v>31.2</v>
      </c>
      <c r="L414">
        <v>18010</v>
      </c>
      <c r="M414" t="s">
        <v>1344</v>
      </c>
      <c r="N414" t="str">
        <f>"652272      "</f>
        <v xml:space="preserve">652272      </v>
      </c>
      <c r="O414">
        <v>231122</v>
      </c>
    </row>
    <row r="415" spans="1:15" x14ac:dyDescent="0.25">
      <c r="A415" t="s">
        <v>16</v>
      </c>
      <c r="B415" t="s">
        <v>3221</v>
      </c>
      <c r="C415">
        <v>17669</v>
      </c>
      <c r="D415" t="s">
        <v>448</v>
      </c>
      <c r="E415" t="s">
        <v>449</v>
      </c>
      <c r="F415">
        <v>15.95</v>
      </c>
      <c r="G415">
        <v>231116</v>
      </c>
      <c r="H415">
        <v>4840</v>
      </c>
      <c r="I415" t="s">
        <v>19</v>
      </c>
      <c r="J415">
        <v>19.78</v>
      </c>
      <c r="K415">
        <v>3.83</v>
      </c>
      <c r="L415">
        <v>11101</v>
      </c>
      <c r="M415" t="s">
        <v>110</v>
      </c>
      <c r="N415" t="str">
        <f>"652212      "</f>
        <v xml:space="preserve">652212      </v>
      </c>
      <c r="O415">
        <v>231220</v>
      </c>
    </row>
    <row r="416" spans="1:15" x14ac:dyDescent="0.25">
      <c r="A416" t="s">
        <v>16</v>
      </c>
      <c r="B416" t="s">
        <v>3221</v>
      </c>
      <c r="C416">
        <v>18361</v>
      </c>
      <c r="D416" t="s">
        <v>448</v>
      </c>
      <c r="E416" t="s">
        <v>449</v>
      </c>
      <c r="F416">
        <v>20</v>
      </c>
      <c r="G416">
        <v>231212</v>
      </c>
      <c r="H416">
        <v>4840</v>
      </c>
      <c r="I416" t="s">
        <v>19</v>
      </c>
      <c r="J416">
        <v>24.8</v>
      </c>
      <c r="K416">
        <v>4.8</v>
      </c>
      <c r="L416">
        <v>49701</v>
      </c>
      <c r="M416" t="s">
        <v>166</v>
      </c>
      <c r="N416" t="str">
        <f>"653251      "</f>
        <v xml:space="preserve">653251      </v>
      </c>
      <c r="O416">
        <v>240103</v>
      </c>
    </row>
    <row r="417" spans="1:15" x14ac:dyDescent="0.25">
      <c r="A417" t="s">
        <v>16</v>
      </c>
      <c r="B417" t="s">
        <v>3221</v>
      </c>
      <c r="C417">
        <v>18428</v>
      </c>
      <c r="D417" t="s">
        <v>448</v>
      </c>
      <c r="E417" t="s">
        <v>449</v>
      </c>
      <c r="F417">
        <v>20</v>
      </c>
      <c r="G417">
        <v>231215</v>
      </c>
      <c r="H417">
        <v>4840</v>
      </c>
      <c r="I417" t="s">
        <v>19</v>
      </c>
      <c r="J417">
        <v>24.8</v>
      </c>
      <c r="K417">
        <v>4.8</v>
      </c>
      <c r="L417">
        <v>13801</v>
      </c>
      <c r="M417" t="s">
        <v>162</v>
      </c>
      <c r="N417" t="str">
        <f>"654632      "</f>
        <v xml:space="preserve">654632      </v>
      </c>
      <c r="O417">
        <v>240103</v>
      </c>
    </row>
    <row r="418" spans="1:15" x14ac:dyDescent="0.25">
      <c r="A418" t="s">
        <v>16</v>
      </c>
      <c r="B418" t="s">
        <v>3221</v>
      </c>
      <c r="C418">
        <v>3161</v>
      </c>
      <c r="D418" t="s">
        <v>448</v>
      </c>
      <c r="E418" t="s">
        <v>449</v>
      </c>
      <c r="F418">
        <v>260.61</v>
      </c>
      <c r="G418">
        <v>230401</v>
      </c>
      <c r="H418">
        <v>4840</v>
      </c>
      <c r="I418" t="s">
        <v>19</v>
      </c>
      <c r="J418">
        <v>323.16000000000003</v>
      </c>
      <c r="K418">
        <v>62.55</v>
      </c>
      <c r="L418">
        <v>18010</v>
      </c>
      <c r="M418" t="s">
        <v>1344</v>
      </c>
      <c r="N418" t="str">
        <f>"172140-16/19"</f>
        <v>172140-16/19</v>
      </c>
      <c r="O418">
        <v>230309</v>
      </c>
    </row>
    <row r="419" spans="1:15" x14ac:dyDescent="0.25">
      <c r="A419" t="s">
        <v>16</v>
      </c>
      <c r="B419" t="s">
        <v>3221</v>
      </c>
      <c r="C419">
        <v>3161</v>
      </c>
      <c r="D419" t="s">
        <v>448</v>
      </c>
      <c r="E419" t="s">
        <v>449</v>
      </c>
      <c r="F419">
        <v>267.95</v>
      </c>
      <c r="G419">
        <v>230401</v>
      </c>
      <c r="H419">
        <v>4840</v>
      </c>
      <c r="I419" t="s">
        <v>19</v>
      </c>
      <c r="J419">
        <v>332.26</v>
      </c>
      <c r="K419">
        <v>64.31</v>
      </c>
      <c r="L419">
        <v>18120</v>
      </c>
      <c r="M419" t="s">
        <v>329</v>
      </c>
      <c r="N419" t="str">
        <f>"172140-16/19"</f>
        <v>172140-16/19</v>
      </c>
      <c r="O419">
        <v>230309</v>
      </c>
    </row>
    <row r="420" spans="1:15" x14ac:dyDescent="0.25">
      <c r="A420" t="s">
        <v>16</v>
      </c>
      <c r="B420" t="s">
        <v>3221</v>
      </c>
      <c r="C420">
        <v>3161</v>
      </c>
      <c r="D420" t="s">
        <v>448</v>
      </c>
      <c r="E420" t="s">
        <v>449</v>
      </c>
      <c r="F420">
        <v>114.36</v>
      </c>
      <c r="G420">
        <v>230401</v>
      </c>
      <c r="H420">
        <v>4840</v>
      </c>
      <c r="I420" t="s">
        <v>19</v>
      </c>
      <c r="J420">
        <v>141.81</v>
      </c>
      <c r="K420">
        <v>27.45</v>
      </c>
      <c r="L420">
        <v>18972</v>
      </c>
      <c r="M420" t="s">
        <v>163</v>
      </c>
      <c r="N420" t="str">
        <f>"172140-16/19"</f>
        <v>172140-16/19</v>
      </c>
      <c r="O420">
        <v>230309</v>
      </c>
    </row>
    <row r="421" spans="1:15" x14ac:dyDescent="0.25">
      <c r="A421" t="s">
        <v>16</v>
      </c>
      <c r="B421" t="s">
        <v>3221</v>
      </c>
      <c r="C421">
        <v>3161</v>
      </c>
      <c r="D421" t="s">
        <v>448</v>
      </c>
      <c r="E421" t="s">
        <v>449</v>
      </c>
      <c r="F421">
        <v>385.31</v>
      </c>
      <c r="G421">
        <v>230401</v>
      </c>
      <c r="H421">
        <v>4840</v>
      </c>
      <c r="I421" t="s">
        <v>19</v>
      </c>
      <c r="J421">
        <v>477.78</v>
      </c>
      <c r="K421">
        <v>92.47</v>
      </c>
      <c r="L421">
        <v>18972</v>
      </c>
      <c r="M421" t="s">
        <v>163</v>
      </c>
      <c r="N421" t="str">
        <f>"172140-16/19"</f>
        <v>172140-16/19</v>
      </c>
      <c r="O421">
        <v>230309</v>
      </c>
    </row>
    <row r="422" spans="1:15" x14ac:dyDescent="0.25">
      <c r="A422" t="s">
        <v>16</v>
      </c>
      <c r="B422" t="s">
        <v>3221</v>
      </c>
      <c r="C422">
        <v>3161</v>
      </c>
      <c r="D422" t="s">
        <v>448</v>
      </c>
      <c r="E422" t="s">
        <v>449</v>
      </c>
      <c r="F422">
        <v>826.5</v>
      </c>
      <c r="G422">
        <v>230401</v>
      </c>
      <c r="H422">
        <v>4840</v>
      </c>
      <c r="I422" t="s">
        <v>19</v>
      </c>
      <c r="J422">
        <v>1024.8599999999999</v>
      </c>
      <c r="K422">
        <v>198.36</v>
      </c>
      <c r="L422">
        <v>18982</v>
      </c>
      <c r="M422" t="s">
        <v>1121</v>
      </c>
      <c r="N422" t="str">
        <f>"172140-16/19"</f>
        <v>172140-16/19</v>
      </c>
      <c r="O422">
        <v>230309</v>
      </c>
    </row>
    <row r="423" spans="1:15" x14ac:dyDescent="0.25">
      <c r="A423" t="s">
        <v>16</v>
      </c>
      <c r="B423" t="s">
        <v>3221</v>
      </c>
      <c r="C423">
        <v>3216</v>
      </c>
      <c r="D423" t="s">
        <v>448</v>
      </c>
      <c r="E423" t="s">
        <v>449</v>
      </c>
      <c r="F423">
        <v>280.76</v>
      </c>
      <c r="G423">
        <v>230401</v>
      </c>
      <c r="H423">
        <v>4840</v>
      </c>
      <c r="I423" t="s">
        <v>19</v>
      </c>
      <c r="J423">
        <v>348.14</v>
      </c>
      <c r="K423">
        <v>67.38</v>
      </c>
      <c r="L423">
        <v>11301</v>
      </c>
      <c r="M423" t="s">
        <v>29</v>
      </c>
      <c r="N423" t="str">
        <f t="shared" ref="N423:N446" si="29">"172140-18/19"</f>
        <v>172140-18/19</v>
      </c>
      <c r="O423">
        <v>230310</v>
      </c>
    </row>
    <row r="424" spans="1:15" x14ac:dyDescent="0.25">
      <c r="A424" t="s">
        <v>16</v>
      </c>
      <c r="B424" t="s">
        <v>3221</v>
      </c>
      <c r="C424">
        <v>3216</v>
      </c>
      <c r="D424" t="s">
        <v>448</v>
      </c>
      <c r="E424" t="s">
        <v>449</v>
      </c>
      <c r="F424">
        <v>28.11</v>
      </c>
      <c r="G424">
        <v>230401</v>
      </c>
      <c r="H424">
        <v>4840</v>
      </c>
      <c r="I424" t="s">
        <v>19</v>
      </c>
      <c r="J424">
        <v>34.86</v>
      </c>
      <c r="K424">
        <v>6.75</v>
      </c>
      <c r="L424">
        <v>11601</v>
      </c>
      <c r="M424" t="s">
        <v>535</v>
      </c>
      <c r="N424" t="str">
        <f t="shared" si="29"/>
        <v>172140-18/19</v>
      </c>
      <c r="O424">
        <v>230310</v>
      </c>
    </row>
    <row r="425" spans="1:15" x14ac:dyDescent="0.25">
      <c r="A425" t="s">
        <v>16</v>
      </c>
      <c r="B425" t="s">
        <v>3221</v>
      </c>
      <c r="C425">
        <v>3216</v>
      </c>
      <c r="D425" t="s">
        <v>448</v>
      </c>
      <c r="E425" t="s">
        <v>449</v>
      </c>
      <c r="F425">
        <v>188.13</v>
      </c>
      <c r="G425">
        <v>230401</v>
      </c>
      <c r="H425">
        <v>4840</v>
      </c>
      <c r="I425" t="s">
        <v>19</v>
      </c>
      <c r="J425">
        <v>233.28</v>
      </c>
      <c r="K425">
        <v>45.15</v>
      </c>
      <c r="L425">
        <v>11901</v>
      </c>
      <c r="M425" t="s">
        <v>36</v>
      </c>
      <c r="N425" t="str">
        <f t="shared" si="29"/>
        <v>172140-18/19</v>
      </c>
      <c r="O425">
        <v>230310</v>
      </c>
    </row>
    <row r="426" spans="1:15" x14ac:dyDescent="0.25">
      <c r="A426" t="s">
        <v>16</v>
      </c>
      <c r="B426" t="s">
        <v>3221</v>
      </c>
      <c r="C426">
        <v>3216</v>
      </c>
      <c r="D426" t="s">
        <v>448</v>
      </c>
      <c r="E426" t="s">
        <v>449</v>
      </c>
      <c r="F426">
        <v>1982.69</v>
      </c>
      <c r="G426">
        <v>230401</v>
      </c>
      <c r="H426">
        <v>4840</v>
      </c>
      <c r="I426" t="s">
        <v>19</v>
      </c>
      <c r="J426">
        <v>2458.54</v>
      </c>
      <c r="K426">
        <v>475.85</v>
      </c>
      <c r="L426">
        <v>14121</v>
      </c>
      <c r="M426" t="s">
        <v>880</v>
      </c>
      <c r="N426" t="str">
        <f t="shared" si="29"/>
        <v>172140-18/19</v>
      </c>
      <c r="O426">
        <v>230310</v>
      </c>
    </row>
    <row r="427" spans="1:15" x14ac:dyDescent="0.25">
      <c r="A427" t="s">
        <v>16</v>
      </c>
      <c r="B427" t="s">
        <v>3221</v>
      </c>
      <c r="C427">
        <v>3216</v>
      </c>
      <c r="D427" t="s">
        <v>448</v>
      </c>
      <c r="E427" t="s">
        <v>449</v>
      </c>
      <c r="F427">
        <v>33.450000000000003</v>
      </c>
      <c r="G427">
        <v>230401</v>
      </c>
      <c r="H427">
        <v>4840</v>
      </c>
      <c r="I427" t="s">
        <v>19</v>
      </c>
      <c r="J427">
        <v>41.48</v>
      </c>
      <c r="K427">
        <v>8.0299999999999994</v>
      </c>
      <c r="L427">
        <v>14321</v>
      </c>
      <c r="M427" t="s">
        <v>717</v>
      </c>
      <c r="N427" t="str">
        <f t="shared" si="29"/>
        <v>172140-18/19</v>
      </c>
      <c r="O427">
        <v>230310</v>
      </c>
    </row>
    <row r="428" spans="1:15" x14ac:dyDescent="0.25">
      <c r="A428" t="s">
        <v>16</v>
      </c>
      <c r="B428" t="s">
        <v>3221</v>
      </c>
      <c r="C428">
        <v>3216</v>
      </c>
      <c r="D428" t="s">
        <v>448</v>
      </c>
      <c r="E428" t="s">
        <v>449</v>
      </c>
      <c r="F428">
        <v>62.86</v>
      </c>
      <c r="G428">
        <v>230401</v>
      </c>
      <c r="H428">
        <v>4840</v>
      </c>
      <c r="I428" t="s">
        <v>19</v>
      </c>
      <c r="J428">
        <v>77.95</v>
      </c>
      <c r="K428">
        <v>15.09</v>
      </c>
      <c r="L428">
        <v>14321</v>
      </c>
      <c r="M428" t="s">
        <v>717</v>
      </c>
      <c r="N428" t="str">
        <f t="shared" si="29"/>
        <v>172140-18/19</v>
      </c>
      <c r="O428">
        <v>230310</v>
      </c>
    </row>
    <row r="429" spans="1:15" x14ac:dyDescent="0.25">
      <c r="A429" t="s">
        <v>16</v>
      </c>
      <c r="B429" t="s">
        <v>3221</v>
      </c>
      <c r="C429">
        <v>3216</v>
      </c>
      <c r="D429" t="s">
        <v>448</v>
      </c>
      <c r="E429" t="s">
        <v>449</v>
      </c>
      <c r="F429">
        <v>970.72</v>
      </c>
      <c r="G429">
        <v>230401</v>
      </c>
      <c r="H429">
        <v>4840</v>
      </c>
      <c r="I429" t="s">
        <v>19</v>
      </c>
      <c r="J429">
        <v>1203.69</v>
      </c>
      <c r="K429">
        <v>232.97</v>
      </c>
      <c r="L429">
        <v>14321</v>
      </c>
      <c r="M429" t="s">
        <v>717</v>
      </c>
      <c r="N429" t="str">
        <f t="shared" si="29"/>
        <v>172140-18/19</v>
      </c>
      <c r="O429">
        <v>230310</v>
      </c>
    </row>
    <row r="430" spans="1:15" x14ac:dyDescent="0.25">
      <c r="A430" t="s">
        <v>16</v>
      </c>
      <c r="B430" t="s">
        <v>3221</v>
      </c>
      <c r="C430">
        <v>3216</v>
      </c>
      <c r="D430" t="s">
        <v>448</v>
      </c>
      <c r="E430" t="s">
        <v>449</v>
      </c>
      <c r="F430">
        <v>33.450000000000003</v>
      </c>
      <c r="G430">
        <v>230401</v>
      </c>
      <c r="H430">
        <v>4840</v>
      </c>
      <c r="I430" t="s">
        <v>19</v>
      </c>
      <c r="J430">
        <v>41.48</v>
      </c>
      <c r="K430">
        <v>8.0299999999999994</v>
      </c>
      <c r="L430">
        <v>14422</v>
      </c>
      <c r="M430" t="s">
        <v>228</v>
      </c>
      <c r="N430" t="str">
        <f t="shared" si="29"/>
        <v>172140-18/19</v>
      </c>
      <c r="O430">
        <v>230310</v>
      </c>
    </row>
    <row r="431" spans="1:15" x14ac:dyDescent="0.25">
      <c r="A431" t="s">
        <v>16</v>
      </c>
      <c r="B431" t="s">
        <v>3221</v>
      </c>
      <c r="C431">
        <v>3216</v>
      </c>
      <c r="D431" t="s">
        <v>448</v>
      </c>
      <c r="E431" t="s">
        <v>449</v>
      </c>
      <c r="F431">
        <v>1117.67</v>
      </c>
      <c r="G431">
        <v>230401</v>
      </c>
      <c r="H431">
        <v>4840</v>
      </c>
      <c r="I431" t="s">
        <v>19</v>
      </c>
      <c r="J431">
        <v>1385.91</v>
      </c>
      <c r="K431">
        <v>268.24</v>
      </c>
      <c r="L431">
        <v>14422</v>
      </c>
      <c r="M431" t="s">
        <v>228</v>
      </c>
      <c r="N431" t="str">
        <f t="shared" si="29"/>
        <v>172140-18/19</v>
      </c>
      <c r="O431">
        <v>230310</v>
      </c>
    </row>
    <row r="432" spans="1:15" x14ac:dyDescent="0.25">
      <c r="A432" t="s">
        <v>16</v>
      </c>
      <c r="B432" t="s">
        <v>3221</v>
      </c>
      <c r="C432">
        <v>3216</v>
      </c>
      <c r="D432" t="s">
        <v>448</v>
      </c>
      <c r="E432" t="s">
        <v>449</v>
      </c>
      <c r="F432">
        <v>184.48</v>
      </c>
      <c r="G432">
        <v>230401</v>
      </c>
      <c r="H432">
        <v>4840</v>
      </c>
      <c r="I432" t="s">
        <v>19</v>
      </c>
      <c r="J432">
        <v>228.76</v>
      </c>
      <c r="K432">
        <v>44.28</v>
      </c>
      <c r="L432">
        <v>14541</v>
      </c>
      <c r="M432" t="s">
        <v>626</v>
      </c>
      <c r="N432" t="str">
        <f t="shared" si="29"/>
        <v>172140-18/19</v>
      </c>
      <c r="O432">
        <v>230310</v>
      </c>
    </row>
    <row r="433" spans="1:15" x14ac:dyDescent="0.25">
      <c r="A433" t="s">
        <v>16</v>
      </c>
      <c r="B433" t="s">
        <v>3221</v>
      </c>
      <c r="C433">
        <v>3216</v>
      </c>
      <c r="D433" t="s">
        <v>448</v>
      </c>
      <c r="E433" t="s">
        <v>449</v>
      </c>
      <c r="F433">
        <v>3185.79</v>
      </c>
      <c r="G433">
        <v>230401</v>
      </c>
      <c r="H433">
        <v>4840</v>
      </c>
      <c r="I433" t="s">
        <v>19</v>
      </c>
      <c r="J433">
        <v>3950.38</v>
      </c>
      <c r="K433">
        <v>764.59</v>
      </c>
      <c r="L433">
        <v>14622</v>
      </c>
      <c r="M433" t="s">
        <v>1005</v>
      </c>
      <c r="N433" t="str">
        <f t="shared" si="29"/>
        <v>172140-18/19</v>
      </c>
      <c r="O433">
        <v>230310</v>
      </c>
    </row>
    <row r="434" spans="1:15" x14ac:dyDescent="0.25">
      <c r="A434" t="s">
        <v>16</v>
      </c>
      <c r="B434" t="s">
        <v>3221</v>
      </c>
      <c r="C434">
        <v>3216</v>
      </c>
      <c r="D434" t="s">
        <v>448</v>
      </c>
      <c r="E434" t="s">
        <v>449</v>
      </c>
      <c r="F434">
        <v>33.450000000000003</v>
      </c>
      <c r="G434">
        <v>230401</v>
      </c>
      <c r="H434">
        <v>4840</v>
      </c>
      <c r="I434" t="s">
        <v>19</v>
      </c>
      <c r="J434">
        <v>41.48</v>
      </c>
      <c r="K434">
        <v>8.0299999999999994</v>
      </c>
      <c r="L434">
        <v>14640</v>
      </c>
      <c r="M434" t="s">
        <v>229</v>
      </c>
      <c r="N434" t="str">
        <f t="shared" si="29"/>
        <v>172140-18/19</v>
      </c>
      <c r="O434">
        <v>230310</v>
      </c>
    </row>
    <row r="435" spans="1:15" x14ac:dyDescent="0.25">
      <c r="A435" t="s">
        <v>16</v>
      </c>
      <c r="B435" t="s">
        <v>3221</v>
      </c>
      <c r="C435">
        <v>3216</v>
      </c>
      <c r="D435" t="s">
        <v>448</v>
      </c>
      <c r="E435" t="s">
        <v>449</v>
      </c>
      <c r="F435">
        <v>309.64</v>
      </c>
      <c r="G435">
        <v>230401</v>
      </c>
      <c r="H435">
        <v>4840</v>
      </c>
      <c r="I435" t="s">
        <v>19</v>
      </c>
      <c r="J435">
        <v>383.95</v>
      </c>
      <c r="K435">
        <v>74.31</v>
      </c>
      <c r="L435">
        <v>14640</v>
      </c>
      <c r="M435" t="s">
        <v>229</v>
      </c>
      <c r="N435" t="str">
        <f t="shared" si="29"/>
        <v>172140-18/19</v>
      </c>
      <c r="O435">
        <v>230310</v>
      </c>
    </row>
    <row r="436" spans="1:15" x14ac:dyDescent="0.25">
      <c r="A436" t="s">
        <v>16</v>
      </c>
      <c r="B436" t="s">
        <v>3221</v>
      </c>
      <c r="C436">
        <v>3216</v>
      </c>
      <c r="D436" t="s">
        <v>448</v>
      </c>
      <c r="E436" t="s">
        <v>449</v>
      </c>
      <c r="F436">
        <v>26.72</v>
      </c>
      <c r="G436">
        <v>230401</v>
      </c>
      <c r="H436">
        <v>4840</v>
      </c>
      <c r="I436" t="s">
        <v>19</v>
      </c>
      <c r="J436">
        <v>33.130000000000003</v>
      </c>
      <c r="K436">
        <v>6.41</v>
      </c>
      <c r="L436">
        <v>14861</v>
      </c>
      <c r="M436" t="s">
        <v>785</v>
      </c>
      <c r="N436" t="str">
        <f t="shared" si="29"/>
        <v>172140-18/19</v>
      </c>
      <c r="O436">
        <v>230310</v>
      </c>
    </row>
    <row r="437" spans="1:15" x14ac:dyDescent="0.25">
      <c r="A437" t="s">
        <v>16</v>
      </c>
      <c r="B437" t="s">
        <v>3221</v>
      </c>
      <c r="C437">
        <v>3216</v>
      </c>
      <c r="D437" t="s">
        <v>448</v>
      </c>
      <c r="E437" t="s">
        <v>449</v>
      </c>
      <c r="F437">
        <v>420.03</v>
      </c>
      <c r="G437">
        <v>230401</v>
      </c>
      <c r="H437">
        <v>4840</v>
      </c>
      <c r="I437" t="s">
        <v>19</v>
      </c>
      <c r="J437">
        <v>520.84</v>
      </c>
      <c r="K437">
        <v>100.81</v>
      </c>
      <c r="L437">
        <v>14861</v>
      </c>
      <c r="M437" t="s">
        <v>785</v>
      </c>
      <c r="N437" t="str">
        <f t="shared" si="29"/>
        <v>172140-18/19</v>
      </c>
      <c r="O437">
        <v>230310</v>
      </c>
    </row>
    <row r="438" spans="1:15" x14ac:dyDescent="0.25">
      <c r="A438" t="s">
        <v>16</v>
      </c>
      <c r="B438" t="s">
        <v>3221</v>
      </c>
      <c r="C438">
        <v>3216</v>
      </c>
      <c r="D438" t="s">
        <v>448</v>
      </c>
      <c r="E438" t="s">
        <v>449</v>
      </c>
      <c r="F438">
        <v>26.72</v>
      </c>
      <c r="G438">
        <v>230401</v>
      </c>
      <c r="H438">
        <v>4840</v>
      </c>
      <c r="I438" t="s">
        <v>19</v>
      </c>
      <c r="J438">
        <v>33.130000000000003</v>
      </c>
      <c r="K438">
        <v>6.41</v>
      </c>
      <c r="L438">
        <v>14912</v>
      </c>
      <c r="M438" t="s">
        <v>230</v>
      </c>
      <c r="N438" t="str">
        <f t="shared" si="29"/>
        <v>172140-18/19</v>
      </c>
      <c r="O438">
        <v>230310</v>
      </c>
    </row>
    <row r="439" spans="1:15" x14ac:dyDescent="0.25">
      <c r="A439" t="s">
        <v>16</v>
      </c>
      <c r="B439" t="s">
        <v>3221</v>
      </c>
      <c r="C439">
        <v>3216</v>
      </c>
      <c r="D439" t="s">
        <v>448</v>
      </c>
      <c r="E439" t="s">
        <v>449</v>
      </c>
      <c r="F439">
        <v>198.96</v>
      </c>
      <c r="G439">
        <v>230401</v>
      </c>
      <c r="H439">
        <v>4840</v>
      </c>
      <c r="I439" t="s">
        <v>19</v>
      </c>
      <c r="J439">
        <v>246.71</v>
      </c>
      <c r="K439">
        <v>47.75</v>
      </c>
      <c r="L439">
        <v>14971</v>
      </c>
      <c r="M439" t="s">
        <v>1259</v>
      </c>
      <c r="N439" t="str">
        <f t="shared" si="29"/>
        <v>172140-18/19</v>
      </c>
      <c r="O439">
        <v>230310</v>
      </c>
    </row>
    <row r="440" spans="1:15" x14ac:dyDescent="0.25">
      <c r="A440" t="s">
        <v>16</v>
      </c>
      <c r="B440" t="s">
        <v>3221</v>
      </c>
      <c r="C440">
        <v>3216</v>
      </c>
      <c r="D440" t="s">
        <v>448</v>
      </c>
      <c r="E440" t="s">
        <v>449</v>
      </c>
      <c r="F440">
        <v>1053.67</v>
      </c>
      <c r="G440">
        <v>230401</v>
      </c>
      <c r="H440">
        <v>4840</v>
      </c>
      <c r="I440" t="s">
        <v>19</v>
      </c>
      <c r="J440">
        <v>1306.55</v>
      </c>
      <c r="K440">
        <v>252.88</v>
      </c>
      <c r="L440">
        <v>14972</v>
      </c>
      <c r="M440" t="s">
        <v>898</v>
      </c>
      <c r="N440" t="str">
        <f t="shared" si="29"/>
        <v>172140-18/19</v>
      </c>
      <c r="O440">
        <v>230310</v>
      </c>
    </row>
    <row r="441" spans="1:15" x14ac:dyDescent="0.25">
      <c r="A441" t="s">
        <v>16</v>
      </c>
      <c r="B441" t="s">
        <v>3221</v>
      </c>
      <c r="C441">
        <v>3216</v>
      </c>
      <c r="D441" t="s">
        <v>448</v>
      </c>
      <c r="E441" t="s">
        <v>449</v>
      </c>
      <c r="F441">
        <v>33.06</v>
      </c>
      <c r="G441">
        <v>230401</v>
      </c>
      <c r="H441">
        <v>4840</v>
      </c>
      <c r="I441" t="s">
        <v>19</v>
      </c>
      <c r="J441">
        <v>40.99</v>
      </c>
      <c r="K441">
        <v>7.93</v>
      </c>
      <c r="L441">
        <v>14974</v>
      </c>
      <c r="M441" t="s">
        <v>1340</v>
      </c>
      <c r="N441" t="str">
        <f t="shared" si="29"/>
        <v>172140-18/19</v>
      </c>
      <c r="O441">
        <v>230310</v>
      </c>
    </row>
    <row r="442" spans="1:15" x14ac:dyDescent="0.25">
      <c r="A442" t="s">
        <v>16</v>
      </c>
      <c r="B442" t="s">
        <v>3221</v>
      </c>
      <c r="C442">
        <v>3216</v>
      </c>
      <c r="D442" t="s">
        <v>448</v>
      </c>
      <c r="E442" t="s">
        <v>449</v>
      </c>
      <c r="F442">
        <v>6.49</v>
      </c>
      <c r="G442">
        <v>230401</v>
      </c>
      <c r="H442">
        <v>4840</v>
      </c>
      <c r="I442" t="s">
        <v>19</v>
      </c>
      <c r="J442">
        <v>8.0500000000000007</v>
      </c>
      <c r="K442">
        <v>1.56</v>
      </c>
      <c r="L442">
        <v>14975</v>
      </c>
      <c r="M442" t="s">
        <v>1341</v>
      </c>
      <c r="N442" t="str">
        <f t="shared" si="29"/>
        <v>172140-18/19</v>
      </c>
      <c r="O442">
        <v>230310</v>
      </c>
    </row>
    <row r="443" spans="1:15" x14ac:dyDescent="0.25">
      <c r="A443" t="s">
        <v>16</v>
      </c>
      <c r="B443" t="s">
        <v>3221</v>
      </c>
      <c r="C443">
        <v>3216</v>
      </c>
      <c r="D443" t="s">
        <v>448</v>
      </c>
      <c r="E443" t="s">
        <v>449</v>
      </c>
      <c r="F443">
        <v>24.95</v>
      </c>
      <c r="G443">
        <v>230401</v>
      </c>
      <c r="H443">
        <v>4840</v>
      </c>
      <c r="I443" t="s">
        <v>19</v>
      </c>
      <c r="J443">
        <v>30.94</v>
      </c>
      <c r="K443">
        <v>5.99</v>
      </c>
      <c r="L443">
        <v>18010</v>
      </c>
      <c r="M443" t="s">
        <v>1344</v>
      </c>
      <c r="N443" t="str">
        <f t="shared" si="29"/>
        <v>172140-18/19</v>
      </c>
      <c r="O443">
        <v>230310</v>
      </c>
    </row>
    <row r="444" spans="1:15" x14ac:dyDescent="0.25">
      <c r="A444" t="s">
        <v>16</v>
      </c>
      <c r="B444" t="s">
        <v>3221</v>
      </c>
      <c r="C444">
        <v>3216</v>
      </c>
      <c r="D444" t="s">
        <v>448</v>
      </c>
      <c r="E444" t="s">
        <v>449</v>
      </c>
      <c r="F444">
        <v>46.28</v>
      </c>
      <c r="G444">
        <v>230401</v>
      </c>
      <c r="H444">
        <v>4840</v>
      </c>
      <c r="I444" t="s">
        <v>19</v>
      </c>
      <c r="J444">
        <v>57.39</v>
      </c>
      <c r="K444">
        <v>11.11</v>
      </c>
      <c r="L444">
        <v>18972</v>
      </c>
      <c r="M444" t="s">
        <v>163</v>
      </c>
      <c r="N444" t="str">
        <f t="shared" si="29"/>
        <v>172140-18/19</v>
      </c>
      <c r="O444">
        <v>230310</v>
      </c>
    </row>
    <row r="445" spans="1:15" x14ac:dyDescent="0.25">
      <c r="A445" t="s">
        <v>16</v>
      </c>
      <c r="B445" t="s">
        <v>3221</v>
      </c>
      <c r="C445">
        <v>3216</v>
      </c>
      <c r="D445" t="s">
        <v>448</v>
      </c>
      <c r="E445" t="s">
        <v>449</v>
      </c>
      <c r="F445">
        <v>69.3</v>
      </c>
      <c r="G445">
        <v>230401</v>
      </c>
      <c r="H445">
        <v>4840</v>
      </c>
      <c r="I445" t="s">
        <v>19</v>
      </c>
      <c r="J445">
        <v>85.93</v>
      </c>
      <c r="K445">
        <v>16.63</v>
      </c>
      <c r="L445">
        <v>18972</v>
      </c>
      <c r="M445" t="s">
        <v>163</v>
      </c>
      <c r="N445" t="str">
        <f t="shared" si="29"/>
        <v>172140-18/19</v>
      </c>
      <c r="O445">
        <v>230310</v>
      </c>
    </row>
    <row r="446" spans="1:15" x14ac:dyDescent="0.25">
      <c r="A446" t="s">
        <v>16</v>
      </c>
      <c r="B446" t="s">
        <v>3221</v>
      </c>
      <c r="C446">
        <v>3216</v>
      </c>
      <c r="D446" t="s">
        <v>448</v>
      </c>
      <c r="E446" t="s">
        <v>449</v>
      </c>
      <c r="F446">
        <v>70.27</v>
      </c>
      <c r="G446">
        <v>230401</v>
      </c>
      <c r="H446">
        <v>4840</v>
      </c>
      <c r="I446" t="s">
        <v>19</v>
      </c>
      <c r="J446">
        <v>87.13</v>
      </c>
      <c r="K446">
        <v>16.86</v>
      </c>
      <c r="L446">
        <v>18972</v>
      </c>
      <c r="M446" t="s">
        <v>163</v>
      </c>
      <c r="N446" t="str">
        <f t="shared" si="29"/>
        <v>172140-18/19</v>
      </c>
      <c r="O446">
        <v>230310</v>
      </c>
    </row>
    <row r="447" spans="1:15" x14ac:dyDescent="0.25">
      <c r="A447" t="s">
        <v>16</v>
      </c>
      <c r="B447" t="s">
        <v>3221</v>
      </c>
      <c r="C447">
        <v>3217</v>
      </c>
      <c r="D447" t="s">
        <v>448</v>
      </c>
      <c r="E447" t="s">
        <v>449</v>
      </c>
      <c r="F447">
        <v>340.64</v>
      </c>
      <c r="G447">
        <v>230401</v>
      </c>
      <c r="H447">
        <v>4840</v>
      </c>
      <c r="I447" t="s">
        <v>19</v>
      </c>
      <c r="J447">
        <v>422.39</v>
      </c>
      <c r="K447">
        <v>81.75</v>
      </c>
      <c r="L447">
        <v>54222</v>
      </c>
      <c r="M447" t="s">
        <v>308</v>
      </c>
      <c r="N447" t="str">
        <f t="shared" ref="N447:N475" si="30">"172140-19/19"</f>
        <v>172140-19/19</v>
      </c>
      <c r="O447">
        <v>230310</v>
      </c>
    </row>
    <row r="448" spans="1:15" x14ac:dyDescent="0.25">
      <c r="A448" t="s">
        <v>16</v>
      </c>
      <c r="B448" t="s">
        <v>3221</v>
      </c>
      <c r="C448">
        <v>3217</v>
      </c>
      <c r="D448" t="s">
        <v>448</v>
      </c>
      <c r="E448" t="s">
        <v>449</v>
      </c>
      <c r="F448">
        <v>858.12</v>
      </c>
      <c r="G448">
        <v>230401</v>
      </c>
      <c r="H448">
        <v>4840</v>
      </c>
      <c r="I448" t="s">
        <v>19</v>
      </c>
      <c r="J448">
        <v>1064.07</v>
      </c>
      <c r="K448">
        <v>205.95</v>
      </c>
      <c r="L448">
        <v>54222</v>
      </c>
      <c r="M448" t="s">
        <v>308</v>
      </c>
      <c r="N448" t="str">
        <f t="shared" si="30"/>
        <v>172140-19/19</v>
      </c>
      <c r="O448">
        <v>230310</v>
      </c>
    </row>
    <row r="449" spans="1:15" x14ac:dyDescent="0.25">
      <c r="A449" t="s">
        <v>16</v>
      </c>
      <c r="B449" t="s">
        <v>3221</v>
      </c>
      <c r="C449">
        <v>3217</v>
      </c>
      <c r="D449" t="s">
        <v>448</v>
      </c>
      <c r="E449" t="s">
        <v>449</v>
      </c>
      <c r="F449">
        <v>33.71</v>
      </c>
      <c r="G449">
        <v>230401</v>
      </c>
      <c r="H449">
        <v>4840</v>
      </c>
      <c r="I449" t="s">
        <v>19</v>
      </c>
      <c r="J449">
        <v>41.8</v>
      </c>
      <c r="K449">
        <v>8.09</v>
      </c>
      <c r="L449">
        <v>54222</v>
      </c>
      <c r="M449" t="s">
        <v>308</v>
      </c>
      <c r="N449" t="str">
        <f t="shared" si="30"/>
        <v>172140-19/19</v>
      </c>
      <c r="O449">
        <v>230310</v>
      </c>
    </row>
    <row r="450" spans="1:15" x14ac:dyDescent="0.25">
      <c r="A450" t="s">
        <v>16</v>
      </c>
      <c r="B450" t="s">
        <v>3221</v>
      </c>
      <c r="C450">
        <v>3217</v>
      </c>
      <c r="D450" t="s">
        <v>448</v>
      </c>
      <c r="E450" t="s">
        <v>449</v>
      </c>
      <c r="F450">
        <v>26.01</v>
      </c>
      <c r="G450">
        <v>230401</v>
      </c>
      <c r="H450">
        <v>4840</v>
      </c>
      <c r="I450" t="s">
        <v>19</v>
      </c>
      <c r="J450">
        <v>32.25</v>
      </c>
      <c r="K450">
        <v>6.24</v>
      </c>
      <c r="L450">
        <v>54252</v>
      </c>
      <c r="M450" t="s">
        <v>534</v>
      </c>
      <c r="N450" t="str">
        <f t="shared" si="30"/>
        <v>172140-19/19</v>
      </c>
      <c r="O450">
        <v>230310</v>
      </c>
    </row>
    <row r="451" spans="1:15" x14ac:dyDescent="0.25">
      <c r="A451" t="s">
        <v>16</v>
      </c>
      <c r="B451" t="s">
        <v>3221</v>
      </c>
      <c r="C451">
        <v>3217</v>
      </c>
      <c r="D451" t="s">
        <v>448</v>
      </c>
      <c r="E451" t="s">
        <v>449</v>
      </c>
      <c r="F451">
        <v>86.64</v>
      </c>
      <c r="G451">
        <v>230401</v>
      </c>
      <c r="H451">
        <v>4840</v>
      </c>
      <c r="I451" t="s">
        <v>19</v>
      </c>
      <c r="J451">
        <v>107.43</v>
      </c>
      <c r="K451">
        <v>20.79</v>
      </c>
      <c r="L451">
        <v>54422</v>
      </c>
      <c r="M451" t="s">
        <v>234</v>
      </c>
      <c r="N451" t="str">
        <f t="shared" si="30"/>
        <v>172140-19/19</v>
      </c>
      <c r="O451">
        <v>230310</v>
      </c>
    </row>
    <row r="452" spans="1:15" x14ac:dyDescent="0.25">
      <c r="A452" t="s">
        <v>16</v>
      </c>
      <c r="B452" t="s">
        <v>3221</v>
      </c>
      <c r="C452">
        <v>3217</v>
      </c>
      <c r="D452" t="s">
        <v>448</v>
      </c>
      <c r="E452" t="s">
        <v>449</v>
      </c>
      <c r="F452">
        <v>810.31</v>
      </c>
      <c r="G452">
        <v>230401</v>
      </c>
      <c r="H452">
        <v>4840</v>
      </c>
      <c r="I452" t="s">
        <v>19</v>
      </c>
      <c r="J452">
        <v>1004.78</v>
      </c>
      <c r="K452">
        <v>194.47</v>
      </c>
      <c r="L452">
        <v>54422</v>
      </c>
      <c r="M452" t="s">
        <v>234</v>
      </c>
      <c r="N452" t="str">
        <f t="shared" si="30"/>
        <v>172140-19/19</v>
      </c>
      <c r="O452">
        <v>230310</v>
      </c>
    </row>
    <row r="453" spans="1:15" x14ac:dyDescent="0.25">
      <c r="A453" t="s">
        <v>16</v>
      </c>
      <c r="B453" t="s">
        <v>3221</v>
      </c>
      <c r="C453">
        <v>3217</v>
      </c>
      <c r="D453" t="s">
        <v>448</v>
      </c>
      <c r="E453" t="s">
        <v>449</v>
      </c>
      <c r="F453">
        <v>67.42</v>
      </c>
      <c r="G453">
        <v>230401</v>
      </c>
      <c r="H453">
        <v>4840</v>
      </c>
      <c r="I453" t="s">
        <v>19</v>
      </c>
      <c r="J453">
        <v>83.6</v>
      </c>
      <c r="K453">
        <v>16.18</v>
      </c>
      <c r="L453">
        <v>54422</v>
      </c>
      <c r="M453" t="s">
        <v>234</v>
      </c>
      <c r="N453" t="str">
        <f t="shared" si="30"/>
        <v>172140-19/19</v>
      </c>
      <c r="O453">
        <v>230310</v>
      </c>
    </row>
    <row r="454" spans="1:15" x14ac:dyDescent="0.25">
      <c r="A454" t="s">
        <v>16</v>
      </c>
      <c r="B454" t="s">
        <v>3221</v>
      </c>
      <c r="C454">
        <v>3217</v>
      </c>
      <c r="D454" t="s">
        <v>448</v>
      </c>
      <c r="E454" t="s">
        <v>449</v>
      </c>
      <c r="F454">
        <v>195.6</v>
      </c>
      <c r="G454">
        <v>230401</v>
      </c>
      <c r="H454">
        <v>4840</v>
      </c>
      <c r="I454" t="s">
        <v>19</v>
      </c>
      <c r="J454">
        <v>242.54</v>
      </c>
      <c r="K454">
        <v>46.94</v>
      </c>
      <c r="L454">
        <v>56526</v>
      </c>
      <c r="M454" t="s">
        <v>1217</v>
      </c>
      <c r="N454" t="str">
        <f t="shared" si="30"/>
        <v>172140-19/19</v>
      </c>
      <c r="O454">
        <v>230310</v>
      </c>
    </row>
    <row r="455" spans="1:15" x14ac:dyDescent="0.25">
      <c r="A455" t="s">
        <v>16</v>
      </c>
      <c r="B455" t="s">
        <v>3221</v>
      </c>
      <c r="C455">
        <v>3217</v>
      </c>
      <c r="D455" t="s">
        <v>448</v>
      </c>
      <c r="E455" t="s">
        <v>449</v>
      </c>
      <c r="F455">
        <v>1040.21</v>
      </c>
      <c r="G455">
        <v>230401</v>
      </c>
      <c r="H455">
        <v>4840</v>
      </c>
      <c r="I455" t="s">
        <v>19</v>
      </c>
      <c r="J455">
        <v>1289.8599999999999</v>
      </c>
      <c r="K455">
        <v>249.65</v>
      </c>
      <c r="L455">
        <v>56558</v>
      </c>
      <c r="M455" t="s">
        <v>217</v>
      </c>
      <c r="N455" t="str">
        <f t="shared" si="30"/>
        <v>172140-19/19</v>
      </c>
      <c r="O455">
        <v>230310</v>
      </c>
    </row>
    <row r="456" spans="1:15" x14ac:dyDescent="0.25">
      <c r="A456" t="s">
        <v>16</v>
      </c>
      <c r="B456" t="s">
        <v>3221</v>
      </c>
      <c r="C456">
        <v>3217</v>
      </c>
      <c r="D456" t="s">
        <v>448</v>
      </c>
      <c r="E456" t="s">
        <v>449</v>
      </c>
      <c r="F456">
        <v>1185.82</v>
      </c>
      <c r="G456">
        <v>230401</v>
      </c>
      <c r="H456">
        <v>4840</v>
      </c>
      <c r="I456" t="s">
        <v>19</v>
      </c>
      <c r="J456">
        <v>1470.42</v>
      </c>
      <c r="K456">
        <v>284.60000000000002</v>
      </c>
      <c r="L456">
        <v>56559</v>
      </c>
      <c r="M456" t="s">
        <v>129</v>
      </c>
      <c r="N456" t="str">
        <f t="shared" si="30"/>
        <v>172140-19/19</v>
      </c>
      <c r="O456">
        <v>230310</v>
      </c>
    </row>
    <row r="457" spans="1:15" x14ac:dyDescent="0.25">
      <c r="A457" t="s">
        <v>16</v>
      </c>
      <c r="B457" t="s">
        <v>3221</v>
      </c>
      <c r="C457">
        <v>3217</v>
      </c>
      <c r="D457" t="s">
        <v>448</v>
      </c>
      <c r="E457" t="s">
        <v>449</v>
      </c>
      <c r="F457">
        <v>1156.18</v>
      </c>
      <c r="G457">
        <v>230401</v>
      </c>
      <c r="H457">
        <v>4840</v>
      </c>
      <c r="I457" t="s">
        <v>19</v>
      </c>
      <c r="J457">
        <v>1433.66</v>
      </c>
      <c r="K457">
        <v>277.48</v>
      </c>
      <c r="L457">
        <v>56560</v>
      </c>
      <c r="M457" t="s">
        <v>654</v>
      </c>
      <c r="N457" t="str">
        <f t="shared" si="30"/>
        <v>172140-19/19</v>
      </c>
      <c r="O457">
        <v>230310</v>
      </c>
    </row>
    <row r="458" spans="1:15" x14ac:dyDescent="0.25">
      <c r="A458" t="s">
        <v>16</v>
      </c>
      <c r="B458" t="s">
        <v>3221</v>
      </c>
      <c r="C458">
        <v>3217</v>
      </c>
      <c r="D458" t="s">
        <v>448</v>
      </c>
      <c r="E458" t="s">
        <v>449</v>
      </c>
      <c r="F458">
        <v>148.1</v>
      </c>
      <c r="G458">
        <v>230401</v>
      </c>
      <c r="H458">
        <v>4840</v>
      </c>
      <c r="I458" t="s">
        <v>19</v>
      </c>
      <c r="J458">
        <v>183.64</v>
      </c>
      <c r="K458">
        <v>35.54</v>
      </c>
      <c r="L458">
        <v>56561</v>
      </c>
      <c r="M458" t="s">
        <v>358</v>
      </c>
      <c r="N458" t="str">
        <f t="shared" si="30"/>
        <v>172140-19/19</v>
      </c>
      <c r="O458">
        <v>230310</v>
      </c>
    </row>
    <row r="459" spans="1:15" x14ac:dyDescent="0.25">
      <c r="A459" t="s">
        <v>16</v>
      </c>
      <c r="B459" t="s">
        <v>3221</v>
      </c>
      <c r="C459">
        <v>3217</v>
      </c>
      <c r="D459" t="s">
        <v>448</v>
      </c>
      <c r="E459" t="s">
        <v>449</v>
      </c>
      <c r="F459">
        <v>614.88</v>
      </c>
      <c r="G459">
        <v>230401</v>
      </c>
      <c r="H459">
        <v>4840</v>
      </c>
      <c r="I459" t="s">
        <v>19</v>
      </c>
      <c r="J459">
        <v>762.45</v>
      </c>
      <c r="K459">
        <v>147.57</v>
      </c>
      <c r="L459">
        <v>56562</v>
      </c>
      <c r="M459" t="s">
        <v>126</v>
      </c>
      <c r="N459" t="str">
        <f t="shared" si="30"/>
        <v>172140-19/19</v>
      </c>
      <c r="O459">
        <v>230310</v>
      </c>
    </row>
    <row r="460" spans="1:15" x14ac:dyDescent="0.25">
      <c r="A460" t="s">
        <v>16</v>
      </c>
      <c r="B460" t="s">
        <v>3221</v>
      </c>
      <c r="C460">
        <v>3217</v>
      </c>
      <c r="D460" t="s">
        <v>448</v>
      </c>
      <c r="E460" t="s">
        <v>449</v>
      </c>
      <c r="F460">
        <v>166.54</v>
      </c>
      <c r="G460">
        <v>230401</v>
      </c>
      <c r="H460">
        <v>4840</v>
      </c>
      <c r="I460" t="s">
        <v>19</v>
      </c>
      <c r="J460">
        <v>206.51</v>
      </c>
      <c r="K460">
        <v>39.97</v>
      </c>
      <c r="L460">
        <v>56563</v>
      </c>
      <c r="M460" t="s">
        <v>953</v>
      </c>
      <c r="N460" t="str">
        <f t="shared" si="30"/>
        <v>172140-19/19</v>
      </c>
      <c r="O460">
        <v>230310</v>
      </c>
    </row>
    <row r="461" spans="1:15" x14ac:dyDescent="0.25">
      <c r="A461" t="s">
        <v>16</v>
      </c>
      <c r="B461" t="s">
        <v>3221</v>
      </c>
      <c r="C461">
        <v>3217</v>
      </c>
      <c r="D461" t="s">
        <v>448</v>
      </c>
      <c r="E461" t="s">
        <v>449</v>
      </c>
      <c r="F461">
        <v>130.76</v>
      </c>
      <c r="G461">
        <v>230401</v>
      </c>
      <c r="H461">
        <v>4840</v>
      </c>
      <c r="I461" t="s">
        <v>19</v>
      </c>
      <c r="J461">
        <v>162.13999999999999</v>
      </c>
      <c r="K461">
        <v>31.38</v>
      </c>
      <c r="L461">
        <v>56564</v>
      </c>
      <c r="M461" t="s">
        <v>327</v>
      </c>
      <c r="N461" t="str">
        <f t="shared" si="30"/>
        <v>172140-19/19</v>
      </c>
      <c r="O461">
        <v>230310</v>
      </c>
    </row>
    <row r="462" spans="1:15" x14ac:dyDescent="0.25">
      <c r="A462" t="s">
        <v>16</v>
      </c>
      <c r="B462" t="s">
        <v>3221</v>
      </c>
      <c r="C462">
        <v>3217</v>
      </c>
      <c r="D462" t="s">
        <v>448</v>
      </c>
      <c r="E462" t="s">
        <v>449</v>
      </c>
      <c r="F462">
        <v>74.03</v>
      </c>
      <c r="G462">
        <v>230401</v>
      </c>
      <c r="H462">
        <v>4840</v>
      </c>
      <c r="I462" t="s">
        <v>19</v>
      </c>
      <c r="J462">
        <v>91.8</v>
      </c>
      <c r="K462">
        <v>17.77</v>
      </c>
      <c r="L462">
        <v>56565</v>
      </c>
      <c r="M462" t="s">
        <v>758</v>
      </c>
      <c r="N462" t="str">
        <f t="shared" si="30"/>
        <v>172140-19/19</v>
      </c>
      <c r="O462">
        <v>230310</v>
      </c>
    </row>
    <row r="463" spans="1:15" x14ac:dyDescent="0.25">
      <c r="A463" t="s">
        <v>16</v>
      </c>
      <c r="B463" t="s">
        <v>3221</v>
      </c>
      <c r="C463">
        <v>3217</v>
      </c>
      <c r="D463" t="s">
        <v>448</v>
      </c>
      <c r="E463" t="s">
        <v>449</v>
      </c>
      <c r="F463">
        <v>2367.7199999999998</v>
      </c>
      <c r="G463">
        <v>230401</v>
      </c>
      <c r="H463">
        <v>4840</v>
      </c>
      <c r="I463" t="s">
        <v>19</v>
      </c>
      <c r="J463">
        <v>2935.97</v>
      </c>
      <c r="K463">
        <v>568.25</v>
      </c>
      <c r="L463">
        <v>56566</v>
      </c>
      <c r="M463" t="s">
        <v>652</v>
      </c>
      <c r="N463" t="str">
        <f t="shared" si="30"/>
        <v>172140-19/19</v>
      </c>
      <c r="O463">
        <v>230310</v>
      </c>
    </row>
    <row r="464" spans="1:15" x14ac:dyDescent="0.25">
      <c r="A464" t="s">
        <v>16</v>
      </c>
      <c r="B464" t="s">
        <v>3221</v>
      </c>
      <c r="C464">
        <v>3217</v>
      </c>
      <c r="D464" t="s">
        <v>448</v>
      </c>
      <c r="E464" t="s">
        <v>449</v>
      </c>
      <c r="F464">
        <v>404.52</v>
      </c>
      <c r="G464">
        <v>230401</v>
      </c>
      <c r="H464">
        <v>4840</v>
      </c>
      <c r="I464" t="s">
        <v>19</v>
      </c>
      <c r="J464">
        <v>501.6</v>
      </c>
      <c r="K464">
        <v>97.08</v>
      </c>
      <c r="L464">
        <v>56566</v>
      </c>
      <c r="M464" t="s">
        <v>652</v>
      </c>
      <c r="N464" t="str">
        <f t="shared" si="30"/>
        <v>172140-19/19</v>
      </c>
      <c r="O464">
        <v>230310</v>
      </c>
    </row>
    <row r="465" spans="1:15" x14ac:dyDescent="0.25">
      <c r="A465" t="s">
        <v>16</v>
      </c>
      <c r="B465" t="s">
        <v>3221</v>
      </c>
      <c r="C465">
        <v>3217</v>
      </c>
      <c r="D465" t="s">
        <v>448</v>
      </c>
      <c r="E465" t="s">
        <v>449</v>
      </c>
      <c r="F465">
        <v>653.54999999999995</v>
      </c>
      <c r="G465">
        <v>230401</v>
      </c>
      <c r="H465">
        <v>4840</v>
      </c>
      <c r="I465" t="s">
        <v>19</v>
      </c>
      <c r="J465">
        <v>810.4</v>
      </c>
      <c r="K465">
        <v>156.85</v>
      </c>
      <c r="L465">
        <v>58601</v>
      </c>
      <c r="M465" t="s">
        <v>251</v>
      </c>
      <c r="N465" t="str">
        <f t="shared" si="30"/>
        <v>172140-19/19</v>
      </c>
      <c r="O465">
        <v>230310</v>
      </c>
    </row>
    <row r="466" spans="1:15" x14ac:dyDescent="0.25">
      <c r="A466" t="s">
        <v>16</v>
      </c>
      <c r="B466" t="s">
        <v>3221</v>
      </c>
      <c r="C466">
        <v>3217</v>
      </c>
      <c r="D466" t="s">
        <v>448</v>
      </c>
      <c r="E466" t="s">
        <v>449</v>
      </c>
      <c r="F466">
        <v>59.07</v>
      </c>
      <c r="G466">
        <v>230401</v>
      </c>
      <c r="H466">
        <v>4840</v>
      </c>
      <c r="I466" t="s">
        <v>19</v>
      </c>
      <c r="J466">
        <v>73.25</v>
      </c>
      <c r="K466">
        <v>14.18</v>
      </c>
      <c r="L466">
        <v>59111</v>
      </c>
      <c r="M466" t="s">
        <v>1010</v>
      </c>
      <c r="N466" t="str">
        <f t="shared" si="30"/>
        <v>172140-19/19</v>
      </c>
      <c r="O466">
        <v>230310</v>
      </c>
    </row>
    <row r="467" spans="1:15" x14ac:dyDescent="0.25">
      <c r="A467" t="s">
        <v>16</v>
      </c>
      <c r="B467" t="s">
        <v>3221</v>
      </c>
      <c r="C467">
        <v>3217</v>
      </c>
      <c r="D467" t="s">
        <v>448</v>
      </c>
      <c r="E467" t="s">
        <v>449</v>
      </c>
      <c r="F467">
        <v>33.06</v>
      </c>
      <c r="G467">
        <v>230401</v>
      </c>
      <c r="H467">
        <v>4840</v>
      </c>
      <c r="I467" t="s">
        <v>19</v>
      </c>
      <c r="J467">
        <v>40.99</v>
      </c>
      <c r="K467">
        <v>7.93</v>
      </c>
      <c r="L467">
        <v>59113</v>
      </c>
      <c r="M467" t="s">
        <v>235</v>
      </c>
      <c r="N467" t="str">
        <f t="shared" si="30"/>
        <v>172140-19/19</v>
      </c>
      <c r="O467">
        <v>230310</v>
      </c>
    </row>
    <row r="468" spans="1:15" x14ac:dyDescent="0.25">
      <c r="A468" t="s">
        <v>16</v>
      </c>
      <c r="B468" t="s">
        <v>3221</v>
      </c>
      <c r="C468">
        <v>3217</v>
      </c>
      <c r="D468" t="s">
        <v>448</v>
      </c>
      <c r="E468" t="s">
        <v>449</v>
      </c>
      <c r="F468">
        <v>32.32</v>
      </c>
      <c r="G468">
        <v>230401</v>
      </c>
      <c r="H468">
        <v>4840</v>
      </c>
      <c r="I468" t="s">
        <v>19</v>
      </c>
      <c r="J468">
        <v>40.08</v>
      </c>
      <c r="K468">
        <v>7.76</v>
      </c>
      <c r="L468">
        <v>59501</v>
      </c>
      <c r="M468" t="s">
        <v>69</v>
      </c>
      <c r="N468" t="str">
        <f t="shared" si="30"/>
        <v>172140-19/19</v>
      </c>
      <c r="O468">
        <v>230310</v>
      </c>
    </row>
    <row r="469" spans="1:15" x14ac:dyDescent="0.25">
      <c r="A469" t="s">
        <v>16</v>
      </c>
      <c r="B469" t="s">
        <v>3221</v>
      </c>
      <c r="C469">
        <v>3217</v>
      </c>
      <c r="D469" t="s">
        <v>448</v>
      </c>
      <c r="E469" t="s">
        <v>449</v>
      </c>
      <c r="F469">
        <v>265.11</v>
      </c>
      <c r="G469">
        <v>230401</v>
      </c>
      <c r="H469">
        <v>4840</v>
      </c>
      <c r="I469" t="s">
        <v>19</v>
      </c>
      <c r="J469">
        <v>328.74</v>
      </c>
      <c r="K469">
        <v>63.63</v>
      </c>
      <c r="L469">
        <v>59502</v>
      </c>
      <c r="M469" t="s">
        <v>70</v>
      </c>
      <c r="N469" t="str">
        <f t="shared" si="30"/>
        <v>172140-19/19</v>
      </c>
      <c r="O469">
        <v>230310</v>
      </c>
    </row>
    <row r="470" spans="1:15" x14ac:dyDescent="0.25">
      <c r="A470" t="s">
        <v>16</v>
      </c>
      <c r="B470" t="s">
        <v>3221</v>
      </c>
      <c r="C470">
        <v>3217</v>
      </c>
      <c r="D470" t="s">
        <v>448</v>
      </c>
      <c r="E470" t="s">
        <v>449</v>
      </c>
      <c r="F470">
        <v>342.18</v>
      </c>
      <c r="G470">
        <v>230401</v>
      </c>
      <c r="H470">
        <v>4840</v>
      </c>
      <c r="I470" t="s">
        <v>19</v>
      </c>
      <c r="J470">
        <v>424.3</v>
      </c>
      <c r="K470">
        <v>82.12</v>
      </c>
      <c r="L470">
        <v>59701</v>
      </c>
      <c r="M470" t="s">
        <v>297</v>
      </c>
      <c r="N470" t="str">
        <f t="shared" si="30"/>
        <v>172140-19/19</v>
      </c>
      <c r="O470">
        <v>230310</v>
      </c>
    </row>
    <row r="471" spans="1:15" x14ac:dyDescent="0.25">
      <c r="A471" t="s">
        <v>16</v>
      </c>
      <c r="B471" t="s">
        <v>3221</v>
      </c>
      <c r="C471">
        <v>3217</v>
      </c>
      <c r="D471" t="s">
        <v>448</v>
      </c>
      <c r="E471" t="s">
        <v>449</v>
      </c>
      <c r="F471">
        <v>85.07</v>
      </c>
      <c r="G471">
        <v>230401</v>
      </c>
      <c r="H471">
        <v>4840</v>
      </c>
      <c r="I471" t="s">
        <v>19</v>
      </c>
      <c r="J471">
        <v>105.49</v>
      </c>
      <c r="K471">
        <v>20.420000000000002</v>
      </c>
      <c r="L471">
        <v>59702</v>
      </c>
      <c r="M471" t="s">
        <v>328</v>
      </c>
      <c r="N471" t="str">
        <f t="shared" si="30"/>
        <v>172140-19/19</v>
      </c>
      <c r="O471">
        <v>230310</v>
      </c>
    </row>
    <row r="472" spans="1:15" x14ac:dyDescent="0.25">
      <c r="A472" t="s">
        <v>16</v>
      </c>
      <c r="B472" t="s">
        <v>3221</v>
      </c>
      <c r="C472">
        <v>3217</v>
      </c>
      <c r="D472" t="s">
        <v>448</v>
      </c>
      <c r="E472" t="s">
        <v>449</v>
      </c>
      <c r="F472">
        <v>699.89</v>
      </c>
      <c r="G472">
        <v>230401</v>
      </c>
      <c r="H472">
        <v>4840</v>
      </c>
      <c r="I472" t="s">
        <v>19</v>
      </c>
      <c r="J472">
        <v>867.86</v>
      </c>
      <c r="K472">
        <v>167.97</v>
      </c>
      <c r="L472">
        <v>59702</v>
      </c>
      <c r="M472" t="s">
        <v>328</v>
      </c>
      <c r="N472" t="str">
        <f t="shared" si="30"/>
        <v>172140-19/19</v>
      </c>
      <c r="O472">
        <v>230310</v>
      </c>
    </row>
    <row r="473" spans="1:15" x14ac:dyDescent="0.25">
      <c r="A473" t="s">
        <v>16</v>
      </c>
      <c r="B473" t="s">
        <v>3221</v>
      </c>
      <c r="C473">
        <v>3217</v>
      </c>
      <c r="D473" t="s">
        <v>448</v>
      </c>
      <c r="E473" t="s">
        <v>449</v>
      </c>
      <c r="F473">
        <v>89.44</v>
      </c>
      <c r="G473">
        <v>230401</v>
      </c>
      <c r="H473">
        <v>4840</v>
      </c>
      <c r="I473" t="s">
        <v>19</v>
      </c>
      <c r="J473">
        <v>110.91</v>
      </c>
      <c r="K473">
        <v>21.47</v>
      </c>
      <c r="L473">
        <v>59704</v>
      </c>
      <c r="M473" t="s">
        <v>1103</v>
      </c>
      <c r="N473" t="str">
        <f t="shared" si="30"/>
        <v>172140-19/19</v>
      </c>
      <c r="O473">
        <v>230310</v>
      </c>
    </row>
    <row r="474" spans="1:15" x14ac:dyDescent="0.25">
      <c r="A474" t="s">
        <v>16</v>
      </c>
      <c r="B474" t="s">
        <v>3221</v>
      </c>
      <c r="C474">
        <v>3217</v>
      </c>
      <c r="D474" t="s">
        <v>448</v>
      </c>
      <c r="E474" t="s">
        <v>449</v>
      </c>
      <c r="F474">
        <v>26.72</v>
      </c>
      <c r="G474">
        <v>230401</v>
      </c>
      <c r="H474">
        <v>4840</v>
      </c>
      <c r="I474" t="s">
        <v>19</v>
      </c>
      <c r="J474">
        <v>33.130000000000003</v>
      </c>
      <c r="K474">
        <v>6.41</v>
      </c>
      <c r="L474">
        <v>59705</v>
      </c>
      <c r="M474" t="s">
        <v>843</v>
      </c>
      <c r="N474" t="str">
        <f t="shared" si="30"/>
        <v>172140-19/19</v>
      </c>
      <c r="O474">
        <v>230310</v>
      </c>
    </row>
    <row r="475" spans="1:15" x14ac:dyDescent="0.25">
      <c r="A475" t="s">
        <v>16</v>
      </c>
      <c r="B475" t="s">
        <v>3221</v>
      </c>
      <c r="C475">
        <v>3217</v>
      </c>
      <c r="D475" t="s">
        <v>448</v>
      </c>
      <c r="E475" t="s">
        <v>449</v>
      </c>
      <c r="F475">
        <v>25.41</v>
      </c>
      <c r="G475">
        <v>230401</v>
      </c>
      <c r="H475">
        <v>4840</v>
      </c>
      <c r="I475" t="s">
        <v>19</v>
      </c>
      <c r="J475">
        <v>31.51</v>
      </c>
      <c r="K475">
        <v>6.1</v>
      </c>
      <c r="L475">
        <v>59815</v>
      </c>
      <c r="M475" t="s">
        <v>1182</v>
      </c>
      <c r="N475" t="str">
        <f t="shared" si="30"/>
        <v>172140-19/19</v>
      </c>
      <c r="O475">
        <v>230310</v>
      </c>
    </row>
    <row r="476" spans="1:15" x14ac:dyDescent="0.25">
      <c r="A476" t="s">
        <v>16</v>
      </c>
      <c r="B476" t="s">
        <v>3221</v>
      </c>
      <c r="C476">
        <v>3218</v>
      </c>
      <c r="D476" t="s">
        <v>448</v>
      </c>
      <c r="E476" t="s">
        <v>449</v>
      </c>
      <c r="F476">
        <v>33.06</v>
      </c>
      <c r="G476">
        <v>230401</v>
      </c>
      <c r="H476">
        <v>4840</v>
      </c>
      <c r="I476" t="s">
        <v>19</v>
      </c>
      <c r="J476">
        <v>40.99</v>
      </c>
      <c r="K476">
        <v>7.93</v>
      </c>
      <c r="L476">
        <v>53222</v>
      </c>
      <c r="M476" t="s">
        <v>445</v>
      </c>
      <c r="N476" t="str">
        <f t="shared" ref="N476:N489" si="31">"0172140-9/19"</f>
        <v>0172140-9/19</v>
      </c>
      <c r="O476">
        <v>230310</v>
      </c>
    </row>
    <row r="477" spans="1:15" x14ac:dyDescent="0.25">
      <c r="A477" t="s">
        <v>16</v>
      </c>
      <c r="B477" t="s">
        <v>3221</v>
      </c>
      <c r="C477">
        <v>3218</v>
      </c>
      <c r="D477" t="s">
        <v>448</v>
      </c>
      <c r="E477" t="s">
        <v>449</v>
      </c>
      <c r="F477">
        <v>157.65</v>
      </c>
      <c r="G477">
        <v>230401</v>
      </c>
      <c r="H477">
        <v>4840</v>
      </c>
      <c r="I477" t="s">
        <v>19</v>
      </c>
      <c r="J477">
        <v>195.49</v>
      </c>
      <c r="K477">
        <v>37.840000000000003</v>
      </c>
      <c r="L477">
        <v>53222</v>
      </c>
      <c r="M477" t="s">
        <v>445</v>
      </c>
      <c r="N477" t="str">
        <f t="shared" si="31"/>
        <v>0172140-9/19</v>
      </c>
      <c r="O477">
        <v>230310</v>
      </c>
    </row>
    <row r="478" spans="1:15" x14ac:dyDescent="0.25">
      <c r="A478" t="s">
        <v>16</v>
      </c>
      <c r="B478" t="s">
        <v>3221</v>
      </c>
      <c r="C478">
        <v>3218</v>
      </c>
      <c r="D478" t="s">
        <v>448</v>
      </c>
      <c r="E478" t="s">
        <v>449</v>
      </c>
      <c r="F478">
        <v>162.27000000000001</v>
      </c>
      <c r="G478">
        <v>230401</v>
      </c>
      <c r="H478">
        <v>4840</v>
      </c>
      <c r="I478" t="s">
        <v>19</v>
      </c>
      <c r="J478">
        <v>201.21</v>
      </c>
      <c r="K478">
        <v>38.94</v>
      </c>
      <c r="L478">
        <v>53222</v>
      </c>
      <c r="M478" t="s">
        <v>445</v>
      </c>
      <c r="N478" t="str">
        <f t="shared" si="31"/>
        <v>0172140-9/19</v>
      </c>
      <c r="O478">
        <v>230310</v>
      </c>
    </row>
    <row r="479" spans="1:15" x14ac:dyDescent="0.25">
      <c r="A479" t="s">
        <v>16</v>
      </c>
      <c r="B479" t="s">
        <v>3221</v>
      </c>
      <c r="C479">
        <v>3218</v>
      </c>
      <c r="D479" t="s">
        <v>448</v>
      </c>
      <c r="E479" t="s">
        <v>449</v>
      </c>
      <c r="F479">
        <v>674.2</v>
      </c>
      <c r="G479">
        <v>230401</v>
      </c>
      <c r="H479">
        <v>4840</v>
      </c>
      <c r="I479" t="s">
        <v>19</v>
      </c>
      <c r="J479">
        <v>836.01</v>
      </c>
      <c r="K479">
        <v>161.81</v>
      </c>
      <c r="L479">
        <v>53222</v>
      </c>
      <c r="M479" t="s">
        <v>445</v>
      </c>
      <c r="N479" t="str">
        <f t="shared" si="31"/>
        <v>0172140-9/19</v>
      </c>
      <c r="O479">
        <v>230310</v>
      </c>
    </row>
    <row r="480" spans="1:15" x14ac:dyDescent="0.25">
      <c r="A480" t="s">
        <v>16</v>
      </c>
      <c r="B480" t="s">
        <v>3221</v>
      </c>
      <c r="C480">
        <v>3218</v>
      </c>
      <c r="D480" t="s">
        <v>448</v>
      </c>
      <c r="E480" t="s">
        <v>449</v>
      </c>
      <c r="F480">
        <v>26.72</v>
      </c>
      <c r="G480">
        <v>230401</v>
      </c>
      <c r="H480">
        <v>4840</v>
      </c>
      <c r="I480" t="s">
        <v>19</v>
      </c>
      <c r="J480">
        <v>33.130000000000003</v>
      </c>
      <c r="K480">
        <v>6.41</v>
      </c>
      <c r="L480">
        <v>54622</v>
      </c>
      <c r="M480" t="s">
        <v>872</v>
      </c>
      <c r="N480" t="str">
        <f t="shared" si="31"/>
        <v>0172140-9/19</v>
      </c>
      <c r="O480">
        <v>230310</v>
      </c>
    </row>
    <row r="481" spans="1:15" x14ac:dyDescent="0.25">
      <c r="A481" t="s">
        <v>16</v>
      </c>
      <c r="B481" t="s">
        <v>3221</v>
      </c>
      <c r="C481">
        <v>3218</v>
      </c>
      <c r="D481" t="s">
        <v>448</v>
      </c>
      <c r="E481" t="s">
        <v>449</v>
      </c>
      <c r="F481">
        <v>123.14</v>
      </c>
      <c r="G481">
        <v>230401</v>
      </c>
      <c r="H481">
        <v>4840</v>
      </c>
      <c r="I481" t="s">
        <v>19</v>
      </c>
      <c r="J481">
        <v>152.69</v>
      </c>
      <c r="K481">
        <v>29.55</v>
      </c>
      <c r="L481">
        <v>54622</v>
      </c>
      <c r="M481" t="s">
        <v>872</v>
      </c>
      <c r="N481" t="str">
        <f t="shared" si="31"/>
        <v>0172140-9/19</v>
      </c>
      <c r="O481">
        <v>230310</v>
      </c>
    </row>
    <row r="482" spans="1:15" x14ac:dyDescent="0.25">
      <c r="A482" t="s">
        <v>16</v>
      </c>
      <c r="B482" t="s">
        <v>3221</v>
      </c>
      <c r="C482">
        <v>3218</v>
      </c>
      <c r="D482" t="s">
        <v>448</v>
      </c>
      <c r="E482" t="s">
        <v>449</v>
      </c>
      <c r="F482">
        <v>26.02</v>
      </c>
      <c r="G482">
        <v>230401</v>
      </c>
      <c r="H482">
        <v>4840</v>
      </c>
      <c r="I482" t="s">
        <v>19</v>
      </c>
      <c r="J482">
        <v>32.26</v>
      </c>
      <c r="K482">
        <v>6.24</v>
      </c>
      <c r="L482">
        <v>55222</v>
      </c>
      <c r="M482" t="s">
        <v>873</v>
      </c>
      <c r="N482" t="str">
        <f t="shared" si="31"/>
        <v>0172140-9/19</v>
      </c>
      <c r="O482">
        <v>230310</v>
      </c>
    </row>
    <row r="483" spans="1:15" x14ac:dyDescent="0.25">
      <c r="A483" t="s">
        <v>16</v>
      </c>
      <c r="B483" t="s">
        <v>3221</v>
      </c>
      <c r="C483">
        <v>3218</v>
      </c>
      <c r="D483" t="s">
        <v>448</v>
      </c>
      <c r="E483" t="s">
        <v>449</v>
      </c>
      <c r="F483">
        <v>26.72</v>
      </c>
      <c r="G483">
        <v>230401</v>
      </c>
      <c r="H483">
        <v>4840</v>
      </c>
      <c r="I483" t="s">
        <v>19</v>
      </c>
      <c r="J483">
        <v>33.130000000000003</v>
      </c>
      <c r="K483">
        <v>6.41</v>
      </c>
      <c r="L483">
        <v>55222</v>
      </c>
      <c r="M483" t="s">
        <v>873</v>
      </c>
      <c r="N483" t="str">
        <f t="shared" si="31"/>
        <v>0172140-9/19</v>
      </c>
      <c r="O483">
        <v>230310</v>
      </c>
    </row>
    <row r="484" spans="1:15" x14ac:dyDescent="0.25">
      <c r="A484" t="s">
        <v>16</v>
      </c>
      <c r="B484" t="s">
        <v>3221</v>
      </c>
      <c r="C484">
        <v>3218</v>
      </c>
      <c r="D484" t="s">
        <v>448</v>
      </c>
      <c r="E484" t="s">
        <v>449</v>
      </c>
      <c r="F484">
        <v>33.06</v>
      </c>
      <c r="G484">
        <v>230401</v>
      </c>
      <c r="H484">
        <v>4840</v>
      </c>
      <c r="I484" t="s">
        <v>19</v>
      </c>
      <c r="J484">
        <v>40.99</v>
      </c>
      <c r="K484">
        <v>7.93</v>
      </c>
      <c r="L484">
        <v>59112</v>
      </c>
      <c r="M484" t="s">
        <v>182</v>
      </c>
      <c r="N484" t="str">
        <f t="shared" si="31"/>
        <v>0172140-9/19</v>
      </c>
      <c r="O484">
        <v>230310</v>
      </c>
    </row>
    <row r="485" spans="1:15" x14ac:dyDescent="0.25">
      <c r="A485" t="s">
        <v>16</v>
      </c>
      <c r="B485" t="s">
        <v>3221</v>
      </c>
      <c r="C485">
        <v>3218</v>
      </c>
      <c r="D485" t="s">
        <v>448</v>
      </c>
      <c r="E485" t="s">
        <v>449</v>
      </c>
      <c r="F485">
        <v>35.22</v>
      </c>
      <c r="G485">
        <v>230401</v>
      </c>
      <c r="H485">
        <v>4840</v>
      </c>
      <c r="I485" t="s">
        <v>19</v>
      </c>
      <c r="J485">
        <v>43.67</v>
      </c>
      <c r="K485">
        <v>8.4499999999999993</v>
      </c>
      <c r="L485">
        <v>59504</v>
      </c>
      <c r="M485" t="s">
        <v>71</v>
      </c>
      <c r="N485" t="str">
        <f t="shared" si="31"/>
        <v>0172140-9/19</v>
      </c>
      <c r="O485">
        <v>230310</v>
      </c>
    </row>
    <row r="486" spans="1:15" x14ac:dyDescent="0.25">
      <c r="A486" t="s">
        <v>16</v>
      </c>
      <c r="B486" t="s">
        <v>3221</v>
      </c>
      <c r="C486">
        <v>3218</v>
      </c>
      <c r="D486" t="s">
        <v>448</v>
      </c>
      <c r="E486" t="s">
        <v>449</v>
      </c>
      <c r="F486">
        <v>31.9</v>
      </c>
      <c r="G486">
        <v>230401</v>
      </c>
      <c r="H486">
        <v>4840</v>
      </c>
      <c r="I486" t="s">
        <v>19</v>
      </c>
      <c r="J486">
        <v>39.56</v>
      </c>
      <c r="K486">
        <v>7.66</v>
      </c>
      <c r="L486">
        <v>59701</v>
      </c>
      <c r="M486" t="s">
        <v>297</v>
      </c>
      <c r="N486" t="str">
        <f t="shared" si="31"/>
        <v>0172140-9/19</v>
      </c>
      <c r="O486">
        <v>230310</v>
      </c>
    </row>
    <row r="487" spans="1:15" x14ac:dyDescent="0.25">
      <c r="A487" t="s">
        <v>16</v>
      </c>
      <c r="B487" t="s">
        <v>3221</v>
      </c>
      <c r="C487">
        <v>3218</v>
      </c>
      <c r="D487" t="s">
        <v>448</v>
      </c>
      <c r="E487" t="s">
        <v>449</v>
      </c>
      <c r="F487">
        <v>162.27000000000001</v>
      </c>
      <c r="G487">
        <v>230401</v>
      </c>
      <c r="H487">
        <v>4840</v>
      </c>
      <c r="I487" t="s">
        <v>19</v>
      </c>
      <c r="J487">
        <v>201.22</v>
      </c>
      <c r="K487">
        <v>38.950000000000003</v>
      </c>
      <c r="L487">
        <v>59701</v>
      </c>
      <c r="M487" t="s">
        <v>297</v>
      </c>
      <c r="N487" t="str">
        <f t="shared" si="31"/>
        <v>0172140-9/19</v>
      </c>
      <c r="O487">
        <v>230310</v>
      </c>
    </row>
    <row r="488" spans="1:15" x14ac:dyDescent="0.25">
      <c r="A488" t="s">
        <v>16</v>
      </c>
      <c r="B488" t="s">
        <v>3221</v>
      </c>
      <c r="C488">
        <v>3218</v>
      </c>
      <c r="D488" t="s">
        <v>448</v>
      </c>
      <c r="E488" t="s">
        <v>449</v>
      </c>
      <c r="F488">
        <v>57.06</v>
      </c>
      <c r="G488">
        <v>230401</v>
      </c>
      <c r="H488">
        <v>4840</v>
      </c>
      <c r="I488" t="s">
        <v>19</v>
      </c>
      <c r="J488">
        <v>70.75</v>
      </c>
      <c r="K488">
        <v>13.69</v>
      </c>
      <c r="L488">
        <v>59702</v>
      </c>
      <c r="M488" t="s">
        <v>328</v>
      </c>
      <c r="N488" t="str">
        <f t="shared" si="31"/>
        <v>0172140-9/19</v>
      </c>
      <c r="O488">
        <v>230310</v>
      </c>
    </row>
    <row r="489" spans="1:15" x14ac:dyDescent="0.25">
      <c r="A489" t="s">
        <v>16</v>
      </c>
      <c r="B489" t="s">
        <v>3221</v>
      </c>
      <c r="C489">
        <v>3218</v>
      </c>
      <c r="D489" t="s">
        <v>448</v>
      </c>
      <c r="E489" t="s">
        <v>449</v>
      </c>
      <c r="F489">
        <v>117.29</v>
      </c>
      <c r="G489">
        <v>230401</v>
      </c>
      <c r="H489">
        <v>4840</v>
      </c>
      <c r="I489" t="s">
        <v>19</v>
      </c>
      <c r="J489">
        <v>145.44</v>
      </c>
      <c r="K489">
        <v>28.15</v>
      </c>
      <c r="L489">
        <v>59704</v>
      </c>
      <c r="M489" t="s">
        <v>1103</v>
      </c>
      <c r="N489" t="str">
        <f t="shared" si="31"/>
        <v>0172140-9/19</v>
      </c>
      <c r="O489">
        <v>230310</v>
      </c>
    </row>
    <row r="490" spans="1:15" x14ac:dyDescent="0.25">
      <c r="A490" t="s">
        <v>16</v>
      </c>
      <c r="B490" t="s">
        <v>3221</v>
      </c>
      <c r="C490">
        <v>3242</v>
      </c>
      <c r="D490" t="s">
        <v>448</v>
      </c>
      <c r="E490" t="s">
        <v>449</v>
      </c>
      <c r="F490">
        <v>1408.17</v>
      </c>
      <c r="G490">
        <v>230401</v>
      </c>
      <c r="H490">
        <v>4840</v>
      </c>
      <c r="I490" t="s">
        <v>19</v>
      </c>
      <c r="J490">
        <v>1746.13</v>
      </c>
      <c r="K490">
        <v>337.96</v>
      </c>
      <c r="L490">
        <v>13801</v>
      </c>
      <c r="M490" t="s">
        <v>162</v>
      </c>
      <c r="N490" t="str">
        <f>"172140-14/19"</f>
        <v>172140-14/19</v>
      </c>
      <c r="O490">
        <v>230310</v>
      </c>
    </row>
    <row r="491" spans="1:15" x14ac:dyDescent="0.25">
      <c r="A491" t="s">
        <v>16</v>
      </c>
      <c r="B491" t="s">
        <v>3221</v>
      </c>
      <c r="C491">
        <v>3242</v>
      </c>
      <c r="D491" t="s">
        <v>448</v>
      </c>
      <c r="E491" t="s">
        <v>449</v>
      </c>
      <c r="F491">
        <v>72.84</v>
      </c>
      <c r="G491">
        <v>230401</v>
      </c>
      <c r="H491">
        <v>4840</v>
      </c>
      <c r="I491" t="s">
        <v>19</v>
      </c>
      <c r="J491">
        <v>90.32</v>
      </c>
      <c r="K491">
        <v>17.48</v>
      </c>
      <c r="L491">
        <v>13801</v>
      </c>
      <c r="M491" t="s">
        <v>162</v>
      </c>
      <c r="N491" t="str">
        <f>"172140-14/19"</f>
        <v>172140-14/19</v>
      </c>
      <c r="O491">
        <v>230310</v>
      </c>
    </row>
    <row r="492" spans="1:15" x14ac:dyDescent="0.25">
      <c r="A492" t="s">
        <v>16</v>
      </c>
      <c r="B492" t="s">
        <v>3221</v>
      </c>
      <c r="C492">
        <v>3242</v>
      </c>
      <c r="D492" t="s">
        <v>448</v>
      </c>
      <c r="E492" t="s">
        <v>449</v>
      </c>
      <c r="F492">
        <v>203.36</v>
      </c>
      <c r="G492">
        <v>230401</v>
      </c>
      <c r="H492">
        <v>4840</v>
      </c>
      <c r="I492" t="s">
        <v>19</v>
      </c>
      <c r="J492">
        <v>252.17</v>
      </c>
      <c r="K492">
        <v>48.81</v>
      </c>
      <c r="L492">
        <v>13802</v>
      </c>
      <c r="M492" t="s">
        <v>200</v>
      </c>
      <c r="N492" t="str">
        <f>"172140-14/19"</f>
        <v>172140-14/19</v>
      </c>
      <c r="O492">
        <v>230310</v>
      </c>
    </row>
    <row r="493" spans="1:15" x14ac:dyDescent="0.25">
      <c r="A493" t="s">
        <v>16</v>
      </c>
      <c r="B493" t="s">
        <v>3221</v>
      </c>
      <c r="C493">
        <v>3243</v>
      </c>
      <c r="D493" t="s">
        <v>448</v>
      </c>
      <c r="E493" t="s">
        <v>449</v>
      </c>
      <c r="F493">
        <v>794.24</v>
      </c>
      <c r="G493">
        <v>230401</v>
      </c>
      <c r="H493">
        <v>4840</v>
      </c>
      <c r="I493" t="s">
        <v>19</v>
      </c>
      <c r="J493">
        <v>984.86</v>
      </c>
      <c r="K493">
        <v>190.62</v>
      </c>
      <c r="L493">
        <v>13601</v>
      </c>
      <c r="M493" t="s">
        <v>147</v>
      </c>
      <c r="N493" t="str">
        <f>"172140-12/19"</f>
        <v>172140-12/19</v>
      </c>
      <c r="O493">
        <v>230310</v>
      </c>
    </row>
    <row r="494" spans="1:15" x14ac:dyDescent="0.25">
      <c r="A494" t="s">
        <v>16</v>
      </c>
      <c r="B494" t="s">
        <v>3221</v>
      </c>
      <c r="C494">
        <v>3243</v>
      </c>
      <c r="D494" t="s">
        <v>448</v>
      </c>
      <c r="E494" t="s">
        <v>449</v>
      </c>
      <c r="F494">
        <v>127.46</v>
      </c>
      <c r="G494">
        <v>230401</v>
      </c>
      <c r="H494">
        <v>4840</v>
      </c>
      <c r="I494" t="s">
        <v>19</v>
      </c>
      <c r="J494">
        <v>158.05000000000001</v>
      </c>
      <c r="K494">
        <v>30.59</v>
      </c>
      <c r="L494">
        <v>13601</v>
      </c>
      <c r="M494" t="s">
        <v>147</v>
      </c>
      <c r="N494" t="str">
        <f>"172140-12/19"</f>
        <v>172140-12/19</v>
      </c>
      <c r="O494">
        <v>230310</v>
      </c>
    </row>
    <row r="495" spans="1:15" x14ac:dyDescent="0.25">
      <c r="A495" t="s">
        <v>16</v>
      </c>
      <c r="B495" t="s">
        <v>3221</v>
      </c>
      <c r="C495">
        <v>3243</v>
      </c>
      <c r="D495" t="s">
        <v>448</v>
      </c>
      <c r="E495" t="s">
        <v>449</v>
      </c>
      <c r="F495">
        <v>42.08</v>
      </c>
      <c r="G495">
        <v>230401</v>
      </c>
      <c r="H495">
        <v>4840</v>
      </c>
      <c r="I495" t="s">
        <v>19</v>
      </c>
      <c r="J495">
        <v>52.18</v>
      </c>
      <c r="K495">
        <v>10.1</v>
      </c>
      <c r="L495">
        <v>13801</v>
      </c>
      <c r="M495" t="s">
        <v>162</v>
      </c>
      <c r="N495" t="str">
        <f>"172140-12/19"</f>
        <v>172140-12/19</v>
      </c>
      <c r="O495">
        <v>230310</v>
      </c>
    </row>
    <row r="496" spans="1:15" x14ac:dyDescent="0.25">
      <c r="A496" t="s">
        <v>16</v>
      </c>
      <c r="B496" t="s">
        <v>3221</v>
      </c>
      <c r="C496">
        <v>3291</v>
      </c>
      <c r="D496" t="s">
        <v>448</v>
      </c>
      <c r="E496" t="s">
        <v>449</v>
      </c>
      <c r="F496">
        <v>19.95</v>
      </c>
      <c r="G496">
        <v>230401</v>
      </c>
      <c r="H496">
        <v>4840</v>
      </c>
      <c r="I496" t="s">
        <v>19</v>
      </c>
      <c r="J496">
        <v>24.74</v>
      </c>
      <c r="K496">
        <v>4.79</v>
      </c>
      <c r="L496">
        <v>11301</v>
      </c>
      <c r="M496" t="s">
        <v>29</v>
      </c>
      <c r="N496" t="str">
        <f t="shared" ref="N496:N519" si="32">"0172140-3/19"</f>
        <v>0172140-3/19</v>
      </c>
      <c r="O496">
        <v>230313</v>
      </c>
    </row>
    <row r="497" spans="1:15" x14ac:dyDescent="0.25">
      <c r="A497" t="s">
        <v>16</v>
      </c>
      <c r="B497" t="s">
        <v>3221</v>
      </c>
      <c r="C497">
        <v>3291</v>
      </c>
      <c r="D497" t="s">
        <v>448</v>
      </c>
      <c r="E497" t="s">
        <v>449</v>
      </c>
      <c r="F497">
        <v>65.099999999999994</v>
      </c>
      <c r="G497">
        <v>230401</v>
      </c>
      <c r="H497">
        <v>4840</v>
      </c>
      <c r="I497" t="s">
        <v>19</v>
      </c>
      <c r="J497">
        <v>80.72</v>
      </c>
      <c r="K497">
        <v>15.62</v>
      </c>
      <c r="L497">
        <v>11751</v>
      </c>
      <c r="M497" t="s">
        <v>1339</v>
      </c>
      <c r="N497" t="str">
        <f t="shared" si="32"/>
        <v>0172140-3/19</v>
      </c>
      <c r="O497">
        <v>230313</v>
      </c>
    </row>
    <row r="498" spans="1:15" x14ac:dyDescent="0.25">
      <c r="A498" t="s">
        <v>16</v>
      </c>
      <c r="B498" t="s">
        <v>3221</v>
      </c>
      <c r="C498">
        <v>3291</v>
      </c>
      <c r="D498" t="s">
        <v>448</v>
      </c>
      <c r="E498" t="s">
        <v>449</v>
      </c>
      <c r="F498">
        <v>92.49</v>
      </c>
      <c r="G498">
        <v>230401</v>
      </c>
      <c r="H498">
        <v>4840</v>
      </c>
      <c r="I498" t="s">
        <v>19</v>
      </c>
      <c r="J498">
        <v>114.69</v>
      </c>
      <c r="K498">
        <v>22.2</v>
      </c>
      <c r="L498">
        <v>11801</v>
      </c>
      <c r="M498" t="s">
        <v>92</v>
      </c>
      <c r="N498" t="str">
        <f t="shared" si="32"/>
        <v>0172140-3/19</v>
      </c>
      <c r="O498">
        <v>230313</v>
      </c>
    </row>
    <row r="499" spans="1:15" x14ac:dyDescent="0.25">
      <c r="A499" t="s">
        <v>16</v>
      </c>
      <c r="B499" t="s">
        <v>3221</v>
      </c>
      <c r="C499">
        <v>3291</v>
      </c>
      <c r="D499" t="s">
        <v>448</v>
      </c>
      <c r="E499" t="s">
        <v>449</v>
      </c>
      <c r="F499">
        <v>2499.37</v>
      </c>
      <c r="G499">
        <v>230401</v>
      </c>
      <c r="H499">
        <v>4840</v>
      </c>
      <c r="I499" t="s">
        <v>19</v>
      </c>
      <c r="J499">
        <v>3099.22</v>
      </c>
      <c r="K499">
        <v>599.85</v>
      </c>
      <c r="L499">
        <v>61122</v>
      </c>
      <c r="M499" t="s">
        <v>402</v>
      </c>
      <c r="N499" t="str">
        <f t="shared" si="32"/>
        <v>0172140-3/19</v>
      </c>
      <c r="O499">
        <v>230313</v>
      </c>
    </row>
    <row r="500" spans="1:15" x14ac:dyDescent="0.25">
      <c r="A500" t="s">
        <v>16</v>
      </c>
      <c r="B500" t="s">
        <v>3221</v>
      </c>
      <c r="C500">
        <v>3291</v>
      </c>
      <c r="D500" t="s">
        <v>448</v>
      </c>
      <c r="E500" t="s">
        <v>449</v>
      </c>
      <c r="F500">
        <v>47.32</v>
      </c>
      <c r="G500">
        <v>230401</v>
      </c>
      <c r="H500">
        <v>4840</v>
      </c>
      <c r="I500" t="s">
        <v>19</v>
      </c>
      <c r="J500">
        <v>58.68</v>
      </c>
      <c r="K500">
        <v>11.36</v>
      </c>
      <c r="L500">
        <v>61122</v>
      </c>
      <c r="M500" t="s">
        <v>402</v>
      </c>
      <c r="N500" t="str">
        <f t="shared" si="32"/>
        <v>0172140-3/19</v>
      </c>
      <c r="O500">
        <v>230313</v>
      </c>
    </row>
    <row r="501" spans="1:15" x14ac:dyDescent="0.25">
      <c r="A501" t="s">
        <v>16</v>
      </c>
      <c r="B501" t="s">
        <v>3221</v>
      </c>
      <c r="C501">
        <v>3291</v>
      </c>
      <c r="D501" t="s">
        <v>448</v>
      </c>
      <c r="E501" t="s">
        <v>449</v>
      </c>
      <c r="F501">
        <v>3866.89</v>
      </c>
      <c r="G501">
        <v>230401</v>
      </c>
      <c r="H501">
        <v>4840</v>
      </c>
      <c r="I501" t="s">
        <v>19</v>
      </c>
      <c r="J501">
        <v>4794.9399999999996</v>
      </c>
      <c r="K501">
        <v>928.05</v>
      </c>
      <c r="L501">
        <v>65222</v>
      </c>
      <c r="M501" t="s">
        <v>487</v>
      </c>
      <c r="N501" t="str">
        <f t="shared" si="32"/>
        <v>0172140-3/19</v>
      </c>
      <c r="O501">
        <v>230313</v>
      </c>
    </row>
    <row r="502" spans="1:15" x14ac:dyDescent="0.25">
      <c r="A502" t="s">
        <v>16</v>
      </c>
      <c r="B502" t="s">
        <v>3221</v>
      </c>
      <c r="C502">
        <v>3291</v>
      </c>
      <c r="D502" t="s">
        <v>448</v>
      </c>
      <c r="E502" t="s">
        <v>449</v>
      </c>
      <c r="F502">
        <v>39.549999999999997</v>
      </c>
      <c r="G502">
        <v>230401</v>
      </c>
      <c r="H502">
        <v>4840</v>
      </c>
      <c r="I502" t="s">
        <v>19</v>
      </c>
      <c r="J502">
        <v>49.04</v>
      </c>
      <c r="K502">
        <v>9.49</v>
      </c>
      <c r="L502">
        <v>65422</v>
      </c>
      <c r="M502" t="s">
        <v>602</v>
      </c>
      <c r="N502" t="str">
        <f t="shared" si="32"/>
        <v>0172140-3/19</v>
      </c>
      <c r="O502">
        <v>230313</v>
      </c>
    </row>
    <row r="503" spans="1:15" x14ac:dyDescent="0.25">
      <c r="A503" t="s">
        <v>16</v>
      </c>
      <c r="B503" t="s">
        <v>3221</v>
      </c>
      <c r="C503">
        <v>3291</v>
      </c>
      <c r="D503" t="s">
        <v>448</v>
      </c>
      <c r="E503" t="s">
        <v>449</v>
      </c>
      <c r="F503">
        <v>196.72</v>
      </c>
      <c r="G503">
        <v>230401</v>
      </c>
      <c r="H503">
        <v>4840</v>
      </c>
      <c r="I503" t="s">
        <v>19</v>
      </c>
      <c r="J503">
        <v>243.93</v>
      </c>
      <c r="K503">
        <v>47.21</v>
      </c>
      <c r="L503">
        <v>66722</v>
      </c>
      <c r="M503" t="s">
        <v>518</v>
      </c>
      <c r="N503" t="str">
        <f t="shared" si="32"/>
        <v>0172140-3/19</v>
      </c>
      <c r="O503">
        <v>230313</v>
      </c>
    </row>
    <row r="504" spans="1:15" x14ac:dyDescent="0.25">
      <c r="A504" t="s">
        <v>16</v>
      </c>
      <c r="B504" t="s">
        <v>3221</v>
      </c>
      <c r="C504">
        <v>3291</v>
      </c>
      <c r="D504" t="s">
        <v>448</v>
      </c>
      <c r="E504" t="s">
        <v>449</v>
      </c>
      <c r="F504">
        <v>102.05</v>
      </c>
      <c r="G504">
        <v>230401</v>
      </c>
      <c r="H504">
        <v>4840</v>
      </c>
      <c r="I504" t="s">
        <v>19</v>
      </c>
      <c r="J504">
        <v>126.54</v>
      </c>
      <c r="K504">
        <v>24.49</v>
      </c>
      <c r="L504">
        <v>66754</v>
      </c>
      <c r="M504" t="s">
        <v>239</v>
      </c>
      <c r="N504" t="str">
        <f t="shared" si="32"/>
        <v>0172140-3/19</v>
      </c>
      <c r="O504">
        <v>230313</v>
      </c>
    </row>
    <row r="505" spans="1:15" x14ac:dyDescent="0.25">
      <c r="A505" t="s">
        <v>16</v>
      </c>
      <c r="B505" t="s">
        <v>3221</v>
      </c>
      <c r="C505">
        <v>3291</v>
      </c>
      <c r="D505" t="s">
        <v>448</v>
      </c>
      <c r="E505" t="s">
        <v>449</v>
      </c>
      <c r="F505">
        <v>635.54</v>
      </c>
      <c r="G505">
        <v>230401</v>
      </c>
      <c r="H505">
        <v>4840</v>
      </c>
      <c r="I505" t="s">
        <v>19</v>
      </c>
      <c r="J505">
        <v>788.07</v>
      </c>
      <c r="K505">
        <v>152.53</v>
      </c>
      <c r="L505">
        <v>66756</v>
      </c>
      <c r="M505" t="s">
        <v>209</v>
      </c>
      <c r="N505" t="str">
        <f t="shared" si="32"/>
        <v>0172140-3/19</v>
      </c>
      <c r="O505">
        <v>230313</v>
      </c>
    </row>
    <row r="506" spans="1:15" x14ac:dyDescent="0.25">
      <c r="A506" t="s">
        <v>16</v>
      </c>
      <c r="B506" t="s">
        <v>3221</v>
      </c>
      <c r="C506">
        <v>3291</v>
      </c>
      <c r="D506" t="s">
        <v>448</v>
      </c>
      <c r="E506" t="s">
        <v>449</v>
      </c>
      <c r="F506">
        <v>164.04</v>
      </c>
      <c r="G506">
        <v>230401</v>
      </c>
      <c r="H506">
        <v>4840</v>
      </c>
      <c r="I506" t="s">
        <v>19</v>
      </c>
      <c r="J506">
        <v>203.41</v>
      </c>
      <c r="K506">
        <v>39.369999999999997</v>
      </c>
      <c r="L506">
        <v>67522</v>
      </c>
      <c r="M506" t="s">
        <v>397</v>
      </c>
      <c r="N506" t="str">
        <f t="shared" si="32"/>
        <v>0172140-3/19</v>
      </c>
      <c r="O506">
        <v>230313</v>
      </c>
    </row>
    <row r="507" spans="1:15" x14ac:dyDescent="0.25">
      <c r="A507" t="s">
        <v>16</v>
      </c>
      <c r="B507" t="s">
        <v>3221</v>
      </c>
      <c r="C507">
        <v>3291</v>
      </c>
      <c r="D507" t="s">
        <v>448</v>
      </c>
      <c r="E507" t="s">
        <v>449</v>
      </c>
      <c r="F507">
        <v>138.51</v>
      </c>
      <c r="G507">
        <v>230401</v>
      </c>
      <c r="H507">
        <v>4840</v>
      </c>
      <c r="I507" t="s">
        <v>19</v>
      </c>
      <c r="J507">
        <v>171.75</v>
      </c>
      <c r="K507">
        <v>33.24</v>
      </c>
      <c r="L507">
        <v>67522</v>
      </c>
      <c r="M507" t="s">
        <v>397</v>
      </c>
      <c r="N507" t="str">
        <f t="shared" si="32"/>
        <v>0172140-3/19</v>
      </c>
      <c r="O507">
        <v>230313</v>
      </c>
    </row>
    <row r="508" spans="1:15" x14ac:dyDescent="0.25">
      <c r="A508" t="s">
        <v>16</v>
      </c>
      <c r="B508" t="s">
        <v>3221</v>
      </c>
      <c r="C508">
        <v>3291</v>
      </c>
      <c r="D508" t="s">
        <v>448</v>
      </c>
      <c r="E508" t="s">
        <v>449</v>
      </c>
      <c r="F508">
        <v>41.61</v>
      </c>
      <c r="G508">
        <v>230401</v>
      </c>
      <c r="H508">
        <v>4840</v>
      </c>
      <c r="I508" t="s">
        <v>19</v>
      </c>
      <c r="J508">
        <v>51.6</v>
      </c>
      <c r="K508">
        <v>9.99</v>
      </c>
      <c r="L508">
        <v>67554</v>
      </c>
      <c r="M508" t="s">
        <v>60</v>
      </c>
      <c r="N508" t="str">
        <f t="shared" si="32"/>
        <v>0172140-3/19</v>
      </c>
      <c r="O508">
        <v>230313</v>
      </c>
    </row>
    <row r="509" spans="1:15" x14ac:dyDescent="0.25">
      <c r="A509" t="s">
        <v>16</v>
      </c>
      <c r="B509" t="s">
        <v>3221</v>
      </c>
      <c r="C509">
        <v>3291</v>
      </c>
      <c r="D509" t="s">
        <v>448</v>
      </c>
      <c r="E509" t="s">
        <v>449</v>
      </c>
      <c r="F509">
        <v>25.86</v>
      </c>
      <c r="G509">
        <v>230401</v>
      </c>
      <c r="H509">
        <v>4840</v>
      </c>
      <c r="I509" t="s">
        <v>19</v>
      </c>
      <c r="J509">
        <v>32.07</v>
      </c>
      <c r="K509">
        <v>6.21</v>
      </c>
      <c r="L509">
        <v>67554</v>
      </c>
      <c r="M509" t="s">
        <v>60</v>
      </c>
      <c r="N509" t="str">
        <f t="shared" si="32"/>
        <v>0172140-3/19</v>
      </c>
      <c r="O509">
        <v>230313</v>
      </c>
    </row>
    <row r="510" spans="1:15" x14ac:dyDescent="0.25">
      <c r="A510" t="s">
        <v>16</v>
      </c>
      <c r="B510" t="s">
        <v>3221</v>
      </c>
      <c r="C510">
        <v>3291</v>
      </c>
      <c r="D510" t="s">
        <v>448</v>
      </c>
      <c r="E510" t="s">
        <v>449</v>
      </c>
      <c r="F510">
        <v>25.86</v>
      </c>
      <c r="G510">
        <v>230401</v>
      </c>
      <c r="H510">
        <v>4840</v>
      </c>
      <c r="I510" t="s">
        <v>19</v>
      </c>
      <c r="J510">
        <v>32.07</v>
      </c>
      <c r="K510">
        <v>6.21</v>
      </c>
      <c r="L510">
        <v>67554</v>
      </c>
      <c r="M510" t="s">
        <v>60</v>
      </c>
      <c r="N510" t="str">
        <f t="shared" si="32"/>
        <v>0172140-3/19</v>
      </c>
      <c r="O510">
        <v>230313</v>
      </c>
    </row>
    <row r="511" spans="1:15" x14ac:dyDescent="0.25">
      <c r="A511" t="s">
        <v>16</v>
      </c>
      <c r="B511" t="s">
        <v>3221</v>
      </c>
      <c r="C511">
        <v>3291</v>
      </c>
      <c r="D511" t="s">
        <v>448</v>
      </c>
      <c r="E511" t="s">
        <v>449</v>
      </c>
      <c r="F511">
        <v>47.32</v>
      </c>
      <c r="G511">
        <v>230401</v>
      </c>
      <c r="H511">
        <v>4840</v>
      </c>
      <c r="I511" t="s">
        <v>19</v>
      </c>
      <c r="J511">
        <v>58.68</v>
      </c>
      <c r="K511">
        <v>11.36</v>
      </c>
      <c r="L511">
        <v>69111</v>
      </c>
      <c r="M511" t="s">
        <v>471</v>
      </c>
      <c r="N511" t="str">
        <f t="shared" si="32"/>
        <v>0172140-3/19</v>
      </c>
      <c r="O511">
        <v>230313</v>
      </c>
    </row>
    <row r="512" spans="1:15" x14ac:dyDescent="0.25">
      <c r="A512" t="s">
        <v>16</v>
      </c>
      <c r="B512" t="s">
        <v>3221</v>
      </c>
      <c r="C512">
        <v>3291</v>
      </c>
      <c r="D512" t="s">
        <v>448</v>
      </c>
      <c r="E512" t="s">
        <v>449</v>
      </c>
      <c r="F512">
        <v>48.37</v>
      </c>
      <c r="G512">
        <v>230401</v>
      </c>
      <c r="H512">
        <v>4840</v>
      </c>
      <c r="I512" t="s">
        <v>19</v>
      </c>
      <c r="J512">
        <v>59.98</v>
      </c>
      <c r="K512">
        <v>11.61</v>
      </c>
      <c r="L512">
        <v>69112</v>
      </c>
      <c r="M512" t="s">
        <v>313</v>
      </c>
      <c r="N512" t="str">
        <f t="shared" si="32"/>
        <v>0172140-3/19</v>
      </c>
      <c r="O512">
        <v>230313</v>
      </c>
    </row>
    <row r="513" spans="1:15" x14ac:dyDescent="0.25">
      <c r="A513" t="s">
        <v>16</v>
      </c>
      <c r="B513" t="s">
        <v>3221</v>
      </c>
      <c r="C513">
        <v>3291</v>
      </c>
      <c r="D513" t="s">
        <v>448</v>
      </c>
      <c r="E513" t="s">
        <v>449</v>
      </c>
      <c r="F513">
        <v>114.16</v>
      </c>
      <c r="G513">
        <v>230401</v>
      </c>
      <c r="H513">
        <v>4840</v>
      </c>
      <c r="I513" t="s">
        <v>19</v>
      </c>
      <c r="J513">
        <v>141.56</v>
      </c>
      <c r="K513">
        <v>27.4</v>
      </c>
      <c r="L513">
        <v>69501</v>
      </c>
      <c r="M513" t="s">
        <v>185</v>
      </c>
      <c r="N513" t="str">
        <f t="shared" si="32"/>
        <v>0172140-3/19</v>
      </c>
      <c r="O513">
        <v>230313</v>
      </c>
    </row>
    <row r="514" spans="1:15" x14ac:dyDescent="0.25">
      <c r="A514" t="s">
        <v>16</v>
      </c>
      <c r="B514" t="s">
        <v>3221</v>
      </c>
      <c r="C514">
        <v>3291</v>
      </c>
      <c r="D514" t="s">
        <v>448</v>
      </c>
      <c r="E514" t="s">
        <v>449</v>
      </c>
      <c r="F514">
        <v>32.67</v>
      </c>
      <c r="G514">
        <v>230401</v>
      </c>
      <c r="H514">
        <v>4840</v>
      </c>
      <c r="I514" t="s">
        <v>19</v>
      </c>
      <c r="J514">
        <v>40.51</v>
      </c>
      <c r="K514">
        <v>7.84</v>
      </c>
      <c r="L514">
        <v>69701</v>
      </c>
      <c r="M514" t="s">
        <v>488</v>
      </c>
      <c r="N514" t="str">
        <f t="shared" si="32"/>
        <v>0172140-3/19</v>
      </c>
      <c r="O514">
        <v>230313</v>
      </c>
    </row>
    <row r="515" spans="1:15" x14ac:dyDescent="0.25">
      <c r="A515" t="s">
        <v>16</v>
      </c>
      <c r="B515" t="s">
        <v>3221</v>
      </c>
      <c r="C515">
        <v>3291</v>
      </c>
      <c r="D515" t="s">
        <v>448</v>
      </c>
      <c r="E515" t="s">
        <v>449</v>
      </c>
      <c r="F515">
        <v>2425.17</v>
      </c>
      <c r="G515">
        <v>230401</v>
      </c>
      <c r="H515">
        <v>4840</v>
      </c>
      <c r="I515" t="s">
        <v>19</v>
      </c>
      <c r="J515">
        <v>3007.21</v>
      </c>
      <c r="K515">
        <v>582.04</v>
      </c>
      <c r="L515">
        <v>69702</v>
      </c>
      <c r="M515" t="s">
        <v>489</v>
      </c>
      <c r="N515" t="str">
        <f t="shared" si="32"/>
        <v>0172140-3/19</v>
      </c>
      <c r="O515">
        <v>230313</v>
      </c>
    </row>
    <row r="516" spans="1:15" x14ac:dyDescent="0.25">
      <c r="A516" t="s">
        <v>16</v>
      </c>
      <c r="B516" t="s">
        <v>3221</v>
      </c>
      <c r="C516">
        <v>3291</v>
      </c>
      <c r="D516" t="s">
        <v>448</v>
      </c>
      <c r="E516" t="s">
        <v>449</v>
      </c>
      <c r="F516">
        <v>83.45</v>
      </c>
      <c r="G516">
        <v>230401</v>
      </c>
      <c r="H516">
        <v>4840</v>
      </c>
      <c r="I516" t="s">
        <v>19</v>
      </c>
      <c r="J516">
        <v>103.48</v>
      </c>
      <c r="K516">
        <v>20.03</v>
      </c>
      <c r="L516">
        <v>69703</v>
      </c>
      <c r="M516" t="s">
        <v>1036</v>
      </c>
      <c r="N516" t="str">
        <f t="shared" si="32"/>
        <v>0172140-3/19</v>
      </c>
      <c r="O516">
        <v>230313</v>
      </c>
    </row>
    <row r="517" spans="1:15" x14ac:dyDescent="0.25">
      <c r="A517" t="s">
        <v>16</v>
      </c>
      <c r="B517" t="s">
        <v>3221</v>
      </c>
      <c r="C517">
        <v>3291</v>
      </c>
      <c r="D517" t="s">
        <v>448</v>
      </c>
      <c r="E517" t="s">
        <v>449</v>
      </c>
      <c r="F517">
        <v>529.21</v>
      </c>
      <c r="G517">
        <v>230401</v>
      </c>
      <c r="H517">
        <v>4840</v>
      </c>
      <c r="I517" t="s">
        <v>19</v>
      </c>
      <c r="J517">
        <v>656.22</v>
      </c>
      <c r="K517">
        <v>127.01</v>
      </c>
      <c r="L517">
        <v>69704</v>
      </c>
      <c r="M517" t="s">
        <v>325</v>
      </c>
      <c r="N517" t="str">
        <f t="shared" si="32"/>
        <v>0172140-3/19</v>
      </c>
      <c r="O517">
        <v>230313</v>
      </c>
    </row>
    <row r="518" spans="1:15" x14ac:dyDescent="0.25">
      <c r="A518" t="s">
        <v>16</v>
      </c>
      <c r="B518" t="s">
        <v>3221</v>
      </c>
      <c r="C518">
        <v>3291</v>
      </c>
      <c r="D518" t="s">
        <v>448</v>
      </c>
      <c r="E518" t="s">
        <v>449</v>
      </c>
      <c r="F518">
        <v>73.11</v>
      </c>
      <c r="G518">
        <v>230401</v>
      </c>
      <c r="H518">
        <v>4840</v>
      </c>
      <c r="I518" t="s">
        <v>19</v>
      </c>
      <c r="J518">
        <v>90.66</v>
      </c>
      <c r="K518">
        <v>17.55</v>
      </c>
      <c r="L518">
        <v>69707</v>
      </c>
      <c r="M518" t="s">
        <v>490</v>
      </c>
      <c r="N518" t="str">
        <f t="shared" si="32"/>
        <v>0172140-3/19</v>
      </c>
      <c r="O518">
        <v>230313</v>
      </c>
    </row>
    <row r="519" spans="1:15" x14ac:dyDescent="0.25">
      <c r="A519" t="s">
        <v>16</v>
      </c>
      <c r="B519" t="s">
        <v>3221</v>
      </c>
      <c r="C519">
        <v>3291</v>
      </c>
      <c r="D519" t="s">
        <v>448</v>
      </c>
      <c r="E519" t="s">
        <v>449</v>
      </c>
      <c r="F519">
        <v>40.83</v>
      </c>
      <c r="G519">
        <v>230401</v>
      </c>
      <c r="H519">
        <v>4840</v>
      </c>
      <c r="I519" t="s">
        <v>19</v>
      </c>
      <c r="J519">
        <v>50.63</v>
      </c>
      <c r="K519">
        <v>9.8000000000000007</v>
      </c>
      <c r="L519">
        <v>69708</v>
      </c>
      <c r="M519" t="s">
        <v>491</v>
      </c>
      <c r="N519" t="str">
        <f t="shared" si="32"/>
        <v>0172140-3/19</v>
      </c>
      <c r="O519">
        <v>230313</v>
      </c>
    </row>
    <row r="520" spans="1:15" x14ac:dyDescent="0.25">
      <c r="A520" t="s">
        <v>16</v>
      </c>
      <c r="B520" t="s">
        <v>3221</v>
      </c>
      <c r="C520">
        <v>3322</v>
      </c>
      <c r="D520" t="s">
        <v>448</v>
      </c>
      <c r="E520" t="s">
        <v>449</v>
      </c>
      <c r="F520">
        <v>25.83</v>
      </c>
      <c r="G520">
        <v>230401</v>
      </c>
      <c r="H520">
        <v>4840</v>
      </c>
      <c r="I520" t="s">
        <v>19</v>
      </c>
      <c r="J520">
        <v>32.03</v>
      </c>
      <c r="K520">
        <v>6.2</v>
      </c>
      <c r="L520">
        <v>11801</v>
      </c>
      <c r="M520" t="s">
        <v>92</v>
      </c>
      <c r="N520" t="str">
        <f t="shared" ref="N520:N552" si="33">"0172140-6/19"</f>
        <v>0172140-6/19</v>
      </c>
      <c r="O520">
        <v>230314</v>
      </c>
    </row>
    <row r="521" spans="1:15" x14ac:dyDescent="0.25">
      <c r="A521" t="s">
        <v>16</v>
      </c>
      <c r="B521" t="s">
        <v>3221</v>
      </c>
      <c r="C521">
        <v>3322</v>
      </c>
      <c r="D521" t="s">
        <v>448</v>
      </c>
      <c r="E521" t="s">
        <v>449</v>
      </c>
      <c r="F521">
        <v>19.23</v>
      </c>
      <c r="G521">
        <v>230401</v>
      </c>
      <c r="H521">
        <v>4840</v>
      </c>
      <c r="I521" t="s">
        <v>19</v>
      </c>
      <c r="J521">
        <v>23.85</v>
      </c>
      <c r="K521">
        <v>4.62</v>
      </c>
      <c r="L521">
        <v>13540</v>
      </c>
      <c r="M521" t="s">
        <v>85</v>
      </c>
      <c r="N521" t="str">
        <f t="shared" si="33"/>
        <v>0172140-6/19</v>
      </c>
      <c r="O521">
        <v>230314</v>
      </c>
    </row>
    <row r="522" spans="1:15" x14ac:dyDescent="0.25">
      <c r="A522" t="s">
        <v>16</v>
      </c>
      <c r="B522" t="s">
        <v>3221</v>
      </c>
      <c r="C522">
        <v>3322</v>
      </c>
      <c r="D522" t="s">
        <v>448</v>
      </c>
      <c r="E522" t="s">
        <v>449</v>
      </c>
      <c r="F522">
        <v>175.68</v>
      </c>
      <c r="G522">
        <v>230401</v>
      </c>
      <c r="H522">
        <v>4840</v>
      </c>
      <c r="I522" t="s">
        <v>19</v>
      </c>
      <c r="J522">
        <v>217.84</v>
      </c>
      <c r="K522">
        <v>42.16</v>
      </c>
      <c r="L522">
        <v>16121</v>
      </c>
      <c r="M522" t="s">
        <v>21</v>
      </c>
      <c r="N522" t="str">
        <f t="shared" si="33"/>
        <v>0172140-6/19</v>
      </c>
      <c r="O522">
        <v>230314</v>
      </c>
    </row>
    <row r="523" spans="1:15" x14ac:dyDescent="0.25">
      <c r="A523" t="s">
        <v>16</v>
      </c>
      <c r="B523" t="s">
        <v>3221</v>
      </c>
      <c r="C523">
        <v>3322</v>
      </c>
      <c r="D523" t="s">
        <v>448</v>
      </c>
      <c r="E523" t="s">
        <v>449</v>
      </c>
      <c r="F523">
        <v>737.73</v>
      </c>
      <c r="G523">
        <v>230401</v>
      </c>
      <c r="H523">
        <v>4840</v>
      </c>
      <c r="I523" t="s">
        <v>19</v>
      </c>
      <c r="J523">
        <v>914.79</v>
      </c>
      <c r="K523">
        <v>177.06</v>
      </c>
      <c r="L523">
        <v>16820</v>
      </c>
      <c r="M523" t="s">
        <v>23</v>
      </c>
      <c r="N523" t="str">
        <f t="shared" si="33"/>
        <v>0172140-6/19</v>
      </c>
      <c r="O523">
        <v>230314</v>
      </c>
    </row>
    <row r="524" spans="1:15" x14ac:dyDescent="0.25">
      <c r="A524" t="s">
        <v>16</v>
      </c>
      <c r="B524" t="s">
        <v>3221</v>
      </c>
      <c r="C524">
        <v>3322</v>
      </c>
      <c r="D524" t="s">
        <v>448</v>
      </c>
      <c r="E524" t="s">
        <v>449</v>
      </c>
      <c r="F524">
        <v>6.49</v>
      </c>
      <c r="G524">
        <v>230401</v>
      </c>
      <c r="H524">
        <v>4840</v>
      </c>
      <c r="I524" t="s">
        <v>19</v>
      </c>
      <c r="J524">
        <v>8.0500000000000007</v>
      </c>
      <c r="K524">
        <v>1.56</v>
      </c>
      <c r="L524">
        <v>16930</v>
      </c>
      <c r="M524" t="s">
        <v>450</v>
      </c>
      <c r="N524" t="str">
        <f t="shared" si="33"/>
        <v>0172140-6/19</v>
      </c>
      <c r="O524">
        <v>230314</v>
      </c>
    </row>
    <row r="525" spans="1:15" x14ac:dyDescent="0.25">
      <c r="A525" t="s">
        <v>16</v>
      </c>
      <c r="B525" t="s">
        <v>3221</v>
      </c>
      <c r="C525">
        <v>3322</v>
      </c>
      <c r="D525" t="s">
        <v>448</v>
      </c>
      <c r="E525" t="s">
        <v>449</v>
      </c>
      <c r="F525">
        <v>185.55</v>
      </c>
      <c r="G525">
        <v>230401</v>
      </c>
      <c r="H525">
        <v>4840</v>
      </c>
      <c r="I525" t="s">
        <v>19</v>
      </c>
      <c r="J525">
        <v>230.08</v>
      </c>
      <c r="K525">
        <v>44.53</v>
      </c>
      <c r="L525">
        <v>16930</v>
      </c>
      <c r="M525" t="s">
        <v>450</v>
      </c>
      <c r="N525" t="str">
        <f t="shared" si="33"/>
        <v>0172140-6/19</v>
      </c>
      <c r="O525">
        <v>230314</v>
      </c>
    </row>
    <row r="526" spans="1:15" x14ac:dyDescent="0.25">
      <c r="A526" t="s">
        <v>16</v>
      </c>
      <c r="B526" t="s">
        <v>3221</v>
      </c>
      <c r="C526">
        <v>3322</v>
      </c>
      <c r="D526" t="s">
        <v>448</v>
      </c>
      <c r="E526" t="s">
        <v>449</v>
      </c>
      <c r="F526">
        <v>866.1</v>
      </c>
      <c r="G526">
        <v>230401</v>
      </c>
      <c r="H526">
        <v>4840</v>
      </c>
      <c r="I526" t="s">
        <v>19</v>
      </c>
      <c r="J526">
        <v>1073.96</v>
      </c>
      <c r="K526">
        <v>207.86</v>
      </c>
      <c r="L526">
        <v>17521</v>
      </c>
      <c r="M526" t="s">
        <v>133</v>
      </c>
      <c r="N526" t="str">
        <f t="shared" si="33"/>
        <v>0172140-6/19</v>
      </c>
      <c r="O526">
        <v>230314</v>
      </c>
    </row>
    <row r="527" spans="1:15" x14ac:dyDescent="0.25">
      <c r="A527" t="s">
        <v>16</v>
      </c>
      <c r="B527" t="s">
        <v>3221</v>
      </c>
      <c r="C527">
        <v>3322</v>
      </c>
      <c r="D527" t="s">
        <v>448</v>
      </c>
      <c r="E527" t="s">
        <v>449</v>
      </c>
      <c r="F527">
        <v>502.83</v>
      </c>
      <c r="G527">
        <v>230401</v>
      </c>
      <c r="H527">
        <v>4840</v>
      </c>
      <c r="I527" t="s">
        <v>19</v>
      </c>
      <c r="J527">
        <v>623.51</v>
      </c>
      <c r="K527">
        <v>120.68</v>
      </c>
      <c r="L527">
        <v>17522</v>
      </c>
      <c r="M527" t="s">
        <v>451</v>
      </c>
      <c r="N527" t="str">
        <f t="shared" si="33"/>
        <v>0172140-6/19</v>
      </c>
      <c r="O527">
        <v>230314</v>
      </c>
    </row>
    <row r="528" spans="1:15" x14ac:dyDescent="0.25">
      <c r="A528" t="s">
        <v>16</v>
      </c>
      <c r="B528" t="s">
        <v>3221</v>
      </c>
      <c r="C528">
        <v>3322</v>
      </c>
      <c r="D528" t="s">
        <v>448</v>
      </c>
      <c r="E528" t="s">
        <v>449</v>
      </c>
      <c r="F528">
        <v>44.02</v>
      </c>
      <c r="G528">
        <v>230401</v>
      </c>
      <c r="H528">
        <v>4840</v>
      </c>
      <c r="I528" t="s">
        <v>19</v>
      </c>
      <c r="J528">
        <v>54.58</v>
      </c>
      <c r="K528">
        <v>10.56</v>
      </c>
      <c r="L528">
        <v>17523</v>
      </c>
      <c r="M528" t="s">
        <v>134</v>
      </c>
      <c r="N528" t="str">
        <f t="shared" si="33"/>
        <v>0172140-6/19</v>
      </c>
      <c r="O528">
        <v>230314</v>
      </c>
    </row>
    <row r="529" spans="1:15" x14ac:dyDescent="0.25">
      <c r="A529" t="s">
        <v>16</v>
      </c>
      <c r="B529" t="s">
        <v>3221</v>
      </c>
      <c r="C529">
        <v>3322</v>
      </c>
      <c r="D529" t="s">
        <v>448</v>
      </c>
      <c r="E529" t="s">
        <v>449</v>
      </c>
      <c r="F529">
        <v>558.29999999999995</v>
      </c>
      <c r="G529">
        <v>230401</v>
      </c>
      <c r="H529">
        <v>4840</v>
      </c>
      <c r="I529" t="s">
        <v>19</v>
      </c>
      <c r="J529">
        <v>692.29</v>
      </c>
      <c r="K529">
        <v>133.99</v>
      </c>
      <c r="L529">
        <v>17523</v>
      </c>
      <c r="M529" t="s">
        <v>134</v>
      </c>
      <c r="N529" t="str">
        <f t="shared" si="33"/>
        <v>0172140-6/19</v>
      </c>
      <c r="O529">
        <v>230314</v>
      </c>
    </row>
    <row r="530" spans="1:15" x14ac:dyDescent="0.25">
      <c r="A530" t="s">
        <v>16</v>
      </c>
      <c r="B530" t="s">
        <v>3221</v>
      </c>
      <c r="C530">
        <v>3322</v>
      </c>
      <c r="D530" t="s">
        <v>448</v>
      </c>
      <c r="E530" t="s">
        <v>449</v>
      </c>
      <c r="F530">
        <v>62.34</v>
      </c>
      <c r="G530">
        <v>230401</v>
      </c>
      <c r="H530">
        <v>4840</v>
      </c>
      <c r="I530" t="s">
        <v>19</v>
      </c>
      <c r="J530">
        <v>77.3</v>
      </c>
      <c r="K530">
        <v>14.96</v>
      </c>
      <c r="L530">
        <v>17524</v>
      </c>
      <c r="M530" t="s">
        <v>452</v>
      </c>
      <c r="N530" t="str">
        <f t="shared" si="33"/>
        <v>0172140-6/19</v>
      </c>
      <c r="O530">
        <v>230314</v>
      </c>
    </row>
    <row r="531" spans="1:15" x14ac:dyDescent="0.25">
      <c r="A531" t="s">
        <v>16</v>
      </c>
      <c r="B531" t="s">
        <v>3221</v>
      </c>
      <c r="C531">
        <v>3322</v>
      </c>
      <c r="D531" t="s">
        <v>448</v>
      </c>
      <c r="E531" t="s">
        <v>449</v>
      </c>
      <c r="F531">
        <v>78.5</v>
      </c>
      <c r="G531">
        <v>230401</v>
      </c>
      <c r="H531">
        <v>4840</v>
      </c>
      <c r="I531" t="s">
        <v>19</v>
      </c>
      <c r="J531">
        <v>97.34</v>
      </c>
      <c r="K531">
        <v>18.84</v>
      </c>
      <c r="L531">
        <v>17525</v>
      </c>
      <c r="M531" t="s">
        <v>135</v>
      </c>
      <c r="N531" t="str">
        <f t="shared" si="33"/>
        <v>0172140-6/19</v>
      </c>
      <c r="O531">
        <v>230314</v>
      </c>
    </row>
    <row r="532" spans="1:15" x14ac:dyDescent="0.25">
      <c r="A532" t="s">
        <v>16</v>
      </c>
      <c r="B532" t="s">
        <v>3221</v>
      </c>
      <c r="C532">
        <v>3322</v>
      </c>
      <c r="D532" t="s">
        <v>448</v>
      </c>
      <c r="E532" t="s">
        <v>449</v>
      </c>
      <c r="F532">
        <v>188.01</v>
      </c>
      <c r="G532">
        <v>230401</v>
      </c>
      <c r="H532">
        <v>4840</v>
      </c>
      <c r="I532" t="s">
        <v>19</v>
      </c>
      <c r="J532">
        <v>233.13</v>
      </c>
      <c r="K532">
        <v>45.12</v>
      </c>
      <c r="L532">
        <v>17526</v>
      </c>
      <c r="M532" t="s">
        <v>437</v>
      </c>
      <c r="N532" t="str">
        <f t="shared" si="33"/>
        <v>0172140-6/19</v>
      </c>
      <c r="O532">
        <v>230314</v>
      </c>
    </row>
    <row r="533" spans="1:15" x14ac:dyDescent="0.25">
      <c r="A533" t="s">
        <v>16</v>
      </c>
      <c r="B533" t="s">
        <v>3221</v>
      </c>
      <c r="C533">
        <v>3322</v>
      </c>
      <c r="D533" t="s">
        <v>448</v>
      </c>
      <c r="E533" t="s">
        <v>449</v>
      </c>
      <c r="F533">
        <v>443.88</v>
      </c>
      <c r="G533">
        <v>230401</v>
      </c>
      <c r="H533">
        <v>4840</v>
      </c>
      <c r="I533" t="s">
        <v>19</v>
      </c>
      <c r="J533">
        <v>550.41</v>
      </c>
      <c r="K533">
        <v>106.53</v>
      </c>
      <c r="L533">
        <v>17527</v>
      </c>
      <c r="M533" t="s">
        <v>422</v>
      </c>
      <c r="N533" t="str">
        <f t="shared" si="33"/>
        <v>0172140-6/19</v>
      </c>
      <c r="O533">
        <v>230314</v>
      </c>
    </row>
    <row r="534" spans="1:15" x14ac:dyDescent="0.25">
      <c r="A534" t="s">
        <v>16</v>
      </c>
      <c r="B534" t="s">
        <v>3221</v>
      </c>
      <c r="C534">
        <v>3322</v>
      </c>
      <c r="D534" t="s">
        <v>448</v>
      </c>
      <c r="E534" t="s">
        <v>449</v>
      </c>
      <c r="F534">
        <v>262.45999999999998</v>
      </c>
      <c r="G534">
        <v>230401</v>
      </c>
      <c r="H534">
        <v>4840</v>
      </c>
      <c r="I534" t="s">
        <v>19</v>
      </c>
      <c r="J534">
        <v>325.45</v>
      </c>
      <c r="K534">
        <v>62.99</v>
      </c>
      <c r="L534">
        <v>17529</v>
      </c>
      <c r="M534" t="s">
        <v>453</v>
      </c>
      <c r="N534" t="str">
        <f t="shared" si="33"/>
        <v>0172140-6/19</v>
      </c>
      <c r="O534">
        <v>230314</v>
      </c>
    </row>
    <row r="535" spans="1:15" x14ac:dyDescent="0.25">
      <c r="A535" t="s">
        <v>16</v>
      </c>
      <c r="B535" t="s">
        <v>3221</v>
      </c>
      <c r="C535">
        <v>3322</v>
      </c>
      <c r="D535" t="s">
        <v>448</v>
      </c>
      <c r="E535" t="s">
        <v>449</v>
      </c>
      <c r="F535">
        <v>900.94</v>
      </c>
      <c r="G535">
        <v>230401</v>
      </c>
      <c r="H535">
        <v>4840</v>
      </c>
      <c r="I535" t="s">
        <v>19</v>
      </c>
      <c r="J535">
        <v>1117.17</v>
      </c>
      <c r="K535">
        <v>216.23</v>
      </c>
      <c r="L535">
        <v>17530</v>
      </c>
      <c r="M535" t="s">
        <v>454</v>
      </c>
      <c r="N535" t="str">
        <f t="shared" si="33"/>
        <v>0172140-6/19</v>
      </c>
      <c r="O535">
        <v>230314</v>
      </c>
    </row>
    <row r="536" spans="1:15" x14ac:dyDescent="0.25">
      <c r="A536" t="s">
        <v>16</v>
      </c>
      <c r="B536" t="s">
        <v>3221</v>
      </c>
      <c r="C536">
        <v>3322</v>
      </c>
      <c r="D536" t="s">
        <v>448</v>
      </c>
      <c r="E536" t="s">
        <v>449</v>
      </c>
      <c r="F536">
        <v>128.35</v>
      </c>
      <c r="G536">
        <v>230401</v>
      </c>
      <c r="H536">
        <v>4840</v>
      </c>
      <c r="I536" t="s">
        <v>19</v>
      </c>
      <c r="J536">
        <v>159.15</v>
      </c>
      <c r="K536">
        <v>30.8</v>
      </c>
      <c r="L536">
        <v>17531</v>
      </c>
      <c r="M536" t="s">
        <v>136</v>
      </c>
      <c r="N536" t="str">
        <f t="shared" si="33"/>
        <v>0172140-6/19</v>
      </c>
      <c r="O536">
        <v>230314</v>
      </c>
    </row>
    <row r="537" spans="1:15" x14ac:dyDescent="0.25">
      <c r="A537" t="s">
        <v>16</v>
      </c>
      <c r="B537" t="s">
        <v>3221</v>
      </c>
      <c r="C537">
        <v>3322</v>
      </c>
      <c r="D537" t="s">
        <v>448</v>
      </c>
      <c r="E537" t="s">
        <v>449</v>
      </c>
      <c r="F537">
        <v>227.04</v>
      </c>
      <c r="G537">
        <v>230401</v>
      </c>
      <c r="H537">
        <v>4840</v>
      </c>
      <c r="I537" t="s">
        <v>19</v>
      </c>
      <c r="J537">
        <v>281.52999999999997</v>
      </c>
      <c r="K537">
        <v>54.49</v>
      </c>
      <c r="L537">
        <v>17532</v>
      </c>
      <c r="M537" t="s">
        <v>543</v>
      </c>
      <c r="N537" t="str">
        <f t="shared" si="33"/>
        <v>0172140-6/19</v>
      </c>
      <c r="O537">
        <v>230314</v>
      </c>
    </row>
    <row r="538" spans="1:15" x14ac:dyDescent="0.25">
      <c r="A538" t="s">
        <v>16</v>
      </c>
      <c r="B538" t="s">
        <v>3221</v>
      </c>
      <c r="C538">
        <v>3322</v>
      </c>
      <c r="D538" t="s">
        <v>448</v>
      </c>
      <c r="E538" t="s">
        <v>449</v>
      </c>
      <c r="F538">
        <v>146.36000000000001</v>
      </c>
      <c r="G538">
        <v>230401</v>
      </c>
      <c r="H538">
        <v>4840</v>
      </c>
      <c r="I538" t="s">
        <v>19</v>
      </c>
      <c r="J538">
        <v>181.49</v>
      </c>
      <c r="K538">
        <v>35.130000000000003</v>
      </c>
      <c r="L538">
        <v>17533</v>
      </c>
      <c r="M538" t="s">
        <v>990</v>
      </c>
      <c r="N538" t="str">
        <f t="shared" si="33"/>
        <v>0172140-6/19</v>
      </c>
      <c r="O538">
        <v>230314</v>
      </c>
    </row>
    <row r="539" spans="1:15" x14ac:dyDescent="0.25">
      <c r="A539" t="s">
        <v>16</v>
      </c>
      <c r="B539" t="s">
        <v>3221</v>
      </c>
      <c r="C539">
        <v>3322</v>
      </c>
      <c r="D539" t="s">
        <v>448</v>
      </c>
      <c r="E539" t="s">
        <v>449</v>
      </c>
      <c r="F539">
        <v>47.32</v>
      </c>
      <c r="G539">
        <v>230401</v>
      </c>
      <c r="H539">
        <v>4840</v>
      </c>
      <c r="I539" t="s">
        <v>19</v>
      </c>
      <c r="J539">
        <v>58.68</v>
      </c>
      <c r="K539">
        <v>11.36</v>
      </c>
      <c r="L539">
        <v>17534</v>
      </c>
      <c r="M539" t="s">
        <v>440</v>
      </c>
      <c r="N539" t="str">
        <f t="shared" si="33"/>
        <v>0172140-6/19</v>
      </c>
      <c r="O539">
        <v>230314</v>
      </c>
    </row>
    <row r="540" spans="1:15" x14ac:dyDescent="0.25">
      <c r="A540" t="s">
        <v>16</v>
      </c>
      <c r="B540" t="s">
        <v>3221</v>
      </c>
      <c r="C540">
        <v>3322</v>
      </c>
      <c r="D540" t="s">
        <v>448</v>
      </c>
      <c r="E540" t="s">
        <v>449</v>
      </c>
      <c r="F540">
        <v>137.36000000000001</v>
      </c>
      <c r="G540">
        <v>230401</v>
      </c>
      <c r="H540">
        <v>4840</v>
      </c>
      <c r="I540" t="s">
        <v>19</v>
      </c>
      <c r="J540">
        <v>170.33</v>
      </c>
      <c r="K540">
        <v>32.97</v>
      </c>
      <c r="L540">
        <v>17535</v>
      </c>
      <c r="M540" t="s">
        <v>357</v>
      </c>
      <c r="N540" t="str">
        <f t="shared" si="33"/>
        <v>0172140-6/19</v>
      </c>
      <c r="O540">
        <v>230314</v>
      </c>
    </row>
    <row r="541" spans="1:15" x14ac:dyDescent="0.25">
      <c r="A541" t="s">
        <v>16</v>
      </c>
      <c r="B541" t="s">
        <v>3221</v>
      </c>
      <c r="C541">
        <v>3322</v>
      </c>
      <c r="D541" t="s">
        <v>448</v>
      </c>
      <c r="E541" t="s">
        <v>449</v>
      </c>
      <c r="F541">
        <v>47.32</v>
      </c>
      <c r="G541">
        <v>230401</v>
      </c>
      <c r="H541">
        <v>4840</v>
      </c>
      <c r="I541" t="s">
        <v>19</v>
      </c>
      <c r="J541">
        <v>58.68</v>
      </c>
      <c r="K541">
        <v>11.36</v>
      </c>
      <c r="L541">
        <v>17536</v>
      </c>
      <c r="M541" t="s">
        <v>734</v>
      </c>
      <c r="N541" t="str">
        <f t="shared" si="33"/>
        <v>0172140-6/19</v>
      </c>
      <c r="O541">
        <v>230314</v>
      </c>
    </row>
    <row r="542" spans="1:15" x14ac:dyDescent="0.25">
      <c r="A542" t="s">
        <v>16</v>
      </c>
      <c r="B542" t="s">
        <v>3221</v>
      </c>
      <c r="C542">
        <v>3322</v>
      </c>
      <c r="D542" t="s">
        <v>448</v>
      </c>
      <c r="E542" t="s">
        <v>449</v>
      </c>
      <c r="F542">
        <v>12.98</v>
      </c>
      <c r="G542">
        <v>230401</v>
      </c>
      <c r="H542">
        <v>4840</v>
      </c>
      <c r="I542" t="s">
        <v>19</v>
      </c>
      <c r="J542">
        <v>16.100000000000001</v>
      </c>
      <c r="K542">
        <v>3.12</v>
      </c>
      <c r="L542">
        <v>17537</v>
      </c>
      <c r="M542" t="s">
        <v>455</v>
      </c>
      <c r="N542" t="str">
        <f t="shared" si="33"/>
        <v>0172140-6/19</v>
      </c>
      <c r="O542">
        <v>230314</v>
      </c>
    </row>
    <row r="543" spans="1:15" x14ac:dyDescent="0.25">
      <c r="A543" t="s">
        <v>16</v>
      </c>
      <c r="B543" t="s">
        <v>3221</v>
      </c>
      <c r="C543">
        <v>3322</v>
      </c>
      <c r="D543" t="s">
        <v>448</v>
      </c>
      <c r="E543" t="s">
        <v>449</v>
      </c>
      <c r="F543">
        <v>47.56</v>
      </c>
      <c r="G543">
        <v>230401</v>
      </c>
      <c r="H543">
        <v>4840</v>
      </c>
      <c r="I543" t="s">
        <v>19</v>
      </c>
      <c r="J543">
        <v>58.97</v>
      </c>
      <c r="K543">
        <v>11.41</v>
      </c>
      <c r="L543">
        <v>17537</v>
      </c>
      <c r="M543" t="s">
        <v>455</v>
      </c>
      <c r="N543" t="str">
        <f t="shared" si="33"/>
        <v>0172140-6/19</v>
      </c>
      <c r="O543">
        <v>230314</v>
      </c>
    </row>
    <row r="544" spans="1:15" x14ac:dyDescent="0.25">
      <c r="A544" t="s">
        <v>16</v>
      </c>
      <c r="B544" t="s">
        <v>3221</v>
      </c>
      <c r="C544">
        <v>3322</v>
      </c>
      <c r="D544" t="s">
        <v>448</v>
      </c>
      <c r="E544" t="s">
        <v>449</v>
      </c>
      <c r="F544">
        <v>1765.18</v>
      </c>
      <c r="G544">
        <v>230401</v>
      </c>
      <c r="H544">
        <v>4840</v>
      </c>
      <c r="I544" t="s">
        <v>19</v>
      </c>
      <c r="J544">
        <v>2188.8200000000002</v>
      </c>
      <c r="K544">
        <v>423.64</v>
      </c>
      <c r="L544">
        <v>17537</v>
      </c>
      <c r="M544" t="s">
        <v>455</v>
      </c>
      <c r="N544" t="str">
        <f t="shared" si="33"/>
        <v>0172140-6/19</v>
      </c>
      <c r="O544">
        <v>230314</v>
      </c>
    </row>
    <row r="545" spans="1:15" x14ac:dyDescent="0.25">
      <c r="A545" t="s">
        <v>16</v>
      </c>
      <c r="B545" t="s">
        <v>3221</v>
      </c>
      <c r="C545">
        <v>3322</v>
      </c>
      <c r="D545" t="s">
        <v>448</v>
      </c>
      <c r="E545" t="s">
        <v>449</v>
      </c>
      <c r="F545">
        <v>1676.91</v>
      </c>
      <c r="G545">
        <v>230401</v>
      </c>
      <c r="H545">
        <v>4840</v>
      </c>
      <c r="I545" t="s">
        <v>19</v>
      </c>
      <c r="J545">
        <v>2079.37</v>
      </c>
      <c r="K545">
        <v>402.46</v>
      </c>
      <c r="L545">
        <v>17538</v>
      </c>
      <c r="M545" t="s">
        <v>24</v>
      </c>
      <c r="N545" t="str">
        <f t="shared" si="33"/>
        <v>0172140-6/19</v>
      </c>
      <c r="O545">
        <v>230314</v>
      </c>
    </row>
    <row r="546" spans="1:15" x14ac:dyDescent="0.25">
      <c r="A546" t="s">
        <v>16</v>
      </c>
      <c r="B546" t="s">
        <v>3221</v>
      </c>
      <c r="C546">
        <v>3322</v>
      </c>
      <c r="D546" t="s">
        <v>448</v>
      </c>
      <c r="E546" t="s">
        <v>449</v>
      </c>
      <c r="F546">
        <v>48.94</v>
      </c>
      <c r="G546">
        <v>230401</v>
      </c>
      <c r="H546">
        <v>4840</v>
      </c>
      <c r="I546" t="s">
        <v>19</v>
      </c>
      <c r="J546">
        <v>60.69</v>
      </c>
      <c r="K546">
        <v>11.75</v>
      </c>
      <c r="L546">
        <v>17918</v>
      </c>
      <c r="M546" t="s">
        <v>137</v>
      </c>
      <c r="N546" t="str">
        <f t="shared" si="33"/>
        <v>0172140-6/19</v>
      </c>
      <c r="O546">
        <v>230314</v>
      </c>
    </row>
    <row r="547" spans="1:15" x14ac:dyDescent="0.25">
      <c r="A547" t="s">
        <v>16</v>
      </c>
      <c r="B547" t="s">
        <v>3221</v>
      </c>
      <c r="C547">
        <v>3322</v>
      </c>
      <c r="D547" t="s">
        <v>448</v>
      </c>
      <c r="E547" t="s">
        <v>449</v>
      </c>
      <c r="F547">
        <v>106.71</v>
      </c>
      <c r="G547">
        <v>230401</v>
      </c>
      <c r="H547">
        <v>4840</v>
      </c>
      <c r="I547" t="s">
        <v>19</v>
      </c>
      <c r="J547">
        <v>132.32</v>
      </c>
      <c r="K547">
        <v>25.61</v>
      </c>
      <c r="L547">
        <v>17950</v>
      </c>
      <c r="M547" t="s">
        <v>86</v>
      </c>
      <c r="N547" t="str">
        <f t="shared" si="33"/>
        <v>0172140-6/19</v>
      </c>
      <c r="O547">
        <v>230314</v>
      </c>
    </row>
    <row r="548" spans="1:15" x14ac:dyDescent="0.25">
      <c r="A548" t="s">
        <v>16</v>
      </c>
      <c r="B548" t="s">
        <v>3221</v>
      </c>
      <c r="C548">
        <v>3322</v>
      </c>
      <c r="D548" t="s">
        <v>448</v>
      </c>
      <c r="E548" t="s">
        <v>449</v>
      </c>
      <c r="F548">
        <v>117.26</v>
      </c>
      <c r="G548">
        <v>230401</v>
      </c>
      <c r="H548">
        <v>4840</v>
      </c>
      <c r="I548" t="s">
        <v>19</v>
      </c>
      <c r="J548">
        <v>145.4</v>
      </c>
      <c r="K548">
        <v>28.14</v>
      </c>
      <c r="L548">
        <v>17971</v>
      </c>
      <c r="M548" t="s">
        <v>138</v>
      </c>
      <c r="N548" t="str">
        <f t="shared" si="33"/>
        <v>0172140-6/19</v>
      </c>
      <c r="O548">
        <v>230314</v>
      </c>
    </row>
    <row r="549" spans="1:15" x14ac:dyDescent="0.25">
      <c r="A549" t="s">
        <v>16</v>
      </c>
      <c r="B549" t="s">
        <v>3221</v>
      </c>
      <c r="C549">
        <v>3322</v>
      </c>
      <c r="D549" t="s">
        <v>448</v>
      </c>
      <c r="E549" t="s">
        <v>449</v>
      </c>
      <c r="F549">
        <v>277.47000000000003</v>
      </c>
      <c r="G549">
        <v>230401</v>
      </c>
      <c r="H549">
        <v>4840</v>
      </c>
      <c r="I549" t="s">
        <v>19</v>
      </c>
      <c r="J549">
        <v>344.06</v>
      </c>
      <c r="K549">
        <v>66.59</v>
      </c>
      <c r="L549">
        <v>17971</v>
      </c>
      <c r="M549" t="s">
        <v>138</v>
      </c>
      <c r="N549" t="str">
        <f t="shared" si="33"/>
        <v>0172140-6/19</v>
      </c>
      <c r="O549">
        <v>230314</v>
      </c>
    </row>
    <row r="550" spans="1:15" x14ac:dyDescent="0.25">
      <c r="A550" t="s">
        <v>16</v>
      </c>
      <c r="B550" t="s">
        <v>3221</v>
      </c>
      <c r="C550">
        <v>3322</v>
      </c>
      <c r="D550" t="s">
        <v>448</v>
      </c>
      <c r="E550" t="s">
        <v>449</v>
      </c>
      <c r="F550">
        <v>231.08</v>
      </c>
      <c r="G550">
        <v>230401</v>
      </c>
      <c r="H550">
        <v>4840</v>
      </c>
      <c r="I550" t="s">
        <v>19</v>
      </c>
      <c r="J550">
        <v>286.54000000000002</v>
      </c>
      <c r="K550">
        <v>55.46</v>
      </c>
      <c r="L550">
        <v>17972</v>
      </c>
      <c r="M550" t="s">
        <v>248</v>
      </c>
      <c r="N550" t="str">
        <f t="shared" si="33"/>
        <v>0172140-6/19</v>
      </c>
      <c r="O550">
        <v>230314</v>
      </c>
    </row>
    <row r="551" spans="1:15" x14ac:dyDescent="0.25">
      <c r="A551" t="s">
        <v>16</v>
      </c>
      <c r="B551" t="s">
        <v>3221</v>
      </c>
      <c r="C551">
        <v>3322</v>
      </c>
      <c r="D551" t="s">
        <v>448</v>
      </c>
      <c r="E551" t="s">
        <v>449</v>
      </c>
      <c r="F551">
        <v>46.04</v>
      </c>
      <c r="G551">
        <v>230401</v>
      </c>
      <c r="H551">
        <v>4840</v>
      </c>
      <c r="I551" t="s">
        <v>19</v>
      </c>
      <c r="J551">
        <v>57.09</v>
      </c>
      <c r="K551">
        <v>11.05</v>
      </c>
      <c r="L551">
        <v>17974</v>
      </c>
      <c r="M551" t="s">
        <v>460</v>
      </c>
      <c r="N551" t="str">
        <f t="shared" si="33"/>
        <v>0172140-6/19</v>
      </c>
      <c r="O551">
        <v>230314</v>
      </c>
    </row>
    <row r="552" spans="1:15" x14ac:dyDescent="0.25">
      <c r="A552" t="s">
        <v>16</v>
      </c>
      <c r="B552" t="s">
        <v>3221</v>
      </c>
      <c r="C552">
        <v>3322</v>
      </c>
      <c r="D552" t="s">
        <v>448</v>
      </c>
      <c r="E552" t="s">
        <v>449</v>
      </c>
      <c r="F552">
        <v>59.66</v>
      </c>
      <c r="G552">
        <v>230401</v>
      </c>
      <c r="H552">
        <v>4840</v>
      </c>
      <c r="I552" t="s">
        <v>19</v>
      </c>
      <c r="J552">
        <v>73.98</v>
      </c>
      <c r="K552">
        <v>14.32</v>
      </c>
      <c r="L552">
        <v>17974</v>
      </c>
      <c r="M552" t="s">
        <v>460</v>
      </c>
      <c r="N552" t="str">
        <f t="shared" si="33"/>
        <v>0172140-6/19</v>
      </c>
      <c r="O552">
        <v>230314</v>
      </c>
    </row>
    <row r="553" spans="1:15" x14ac:dyDescent="0.25">
      <c r="A553" t="s">
        <v>16</v>
      </c>
      <c r="B553" t="s">
        <v>3221</v>
      </c>
      <c r="C553">
        <v>3401</v>
      </c>
      <c r="D553" t="s">
        <v>448</v>
      </c>
      <c r="E553" t="s">
        <v>449</v>
      </c>
      <c r="F553">
        <v>84.69</v>
      </c>
      <c r="G553">
        <v>230401</v>
      </c>
      <c r="H553">
        <v>4840</v>
      </c>
      <c r="I553" t="s">
        <v>19</v>
      </c>
      <c r="J553">
        <v>105.01</v>
      </c>
      <c r="K553">
        <v>20.32</v>
      </c>
      <c r="L553">
        <v>11908</v>
      </c>
      <c r="M553" t="s">
        <v>598</v>
      </c>
      <c r="N553" t="str">
        <f t="shared" ref="N553:N559" si="34">"172140-17/19"</f>
        <v>172140-17/19</v>
      </c>
      <c r="O553">
        <v>230315</v>
      </c>
    </row>
    <row r="554" spans="1:15" x14ac:dyDescent="0.25">
      <c r="A554" t="s">
        <v>16</v>
      </c>
      <c r="B554" t="s">
        <v>3221</v>
      </c>
      <c r="C554">
        <v>3401</v>
      </c>
      <c r="D554" t="s">
        <v>448</v>
      </c>
      <c r="E554" t="s">
        <v>449</v>
      </c>
      <c r="F554">
        <v>85.52</v>
      </c>
      <c r="G554">
        <v>230401</v>
      </c>
      <c r="H554">
        <v>4840</v>
      </c>
      <c r="I554" t="s">
        <v>19</v>
      </c>
      <c r="J554">
        <v>106.04</v>
      </c>
      <c r="K554">
        <v>20.52</v>
      </c>
      <c r="L554">
        <v>56522</v>
      </c>
      <c r="M554" t="s">
        <v>43</v>
      </c>
      <c r="N554" t="str">
        <f t="shared" si="34"/>
        <v>172140-17/19</v>
      </c>
      <c r="O554">
        <v>230315</v>
      </c>
    </row>
    <row r="555" spans="1:15" x14ac:dyDescent="0.25">
      <c r="A555" t="s">
        <v>16</v>
      </c>
      <c r="B555" t="s">
        <v>3221</v>
      </c>
      <c r="C555">
        <v>3401</v>
      </c>
      <c r="D555" t="s">
        <v>448</v>
      </c>
      <c r="E555" t="s">
        <v>449</v>
      </c>
      <c r="F555">
        <v>422.05</v>
      </c>
      <c r="G555">
        <v>230401</v>
      </c>
      <c r="H555">
        <v>4840</v>
      </c>
      <c r="I555" t="s">
        <v>19</v>
      </c>
      <c r="J555">
        <v>523.34</v>
      </c>
      <c r="K555">
        <v>101.29</v>
      </c>
      <c r="L555">
        <v>56524</v>
      </c>
      <c r="M555" t="s">
        <v>150</v>
      </c>
      <c r="N555" t="str">
        <f t="shared" si="34"/>
        <v>172140-17/19</v>
      </c>
      <c r="O555">
        <v>230315</v>
      </c>
    </row>
    <row r="556" spans="1:15" x14ac:dyDescent="0.25">
      <c r="A556" t="s">
        <v>16</v>
      </c>
      <c r="B556" t="s">
        <v>3221</v>
      </c>
      <c r="C556">
        <v>3401</v>
      </c>
      <c r="D556" t="s">
        <v>448</v>
      </c>
      <c r="E556" t="s">
        <v>449</v>
      </c>
      <c r="F556">
        <v>318.81</v>
      </c>
      <c r="G556">
        <v>230401</v>
      </c>
      <c r="H556">
        <v>4840</v>
      </c>
      <c r="I556" t="s">
        <v>19</v>
      </c>
      <c r="J556">
        <v>395.33</v>
      </c>
      <c r="K556">
        <v>76.52</v>
      </c>
      <c r="L556">
        <v>56526</v>
      </c>
      <c r="M556" t="s">
        <v>1217</v>
      </c>
      <c r="N556" t="str">
        <f t="shared" si="34"/>
        <v>172140-17/19</v>
      </c>
      <c r="O556">
        <v>230315</v>
      </c>
    </row>
    <row r="557" spans="1:15" x14ac:dyDescent="0.25">
      <c r="A557" t="s">
        <v>16</v>
      </c>
      <c r="B557" t="s">
        <v>3221</v>
      </c>
      <c r="C557">
        <v>3401</v>
      </c>
      <c r="D557" t="s">
        <v>448</v>
      </c>
      <c r="E557" t="s">
        <v>449</v>
      </c>
      <c r="F557">
        <v>98.44</v>
      </c>
      <c r="G557">
        <v>230401</v>
      </c>
      <c r="H557">
        <v>4840</v>
      </c>
      <c r="I557" t="s">
        <v>19</v>
      </c>
      <c r="J557">
        <v>122.07</v>
      </c>
      <c r="K557">
        <v>23.63</v>
      </c>
      <c r="L557">
        <v>56528</v>
      </c>
      <c r="M557" t="s">
        <v>153</v>
      </c>
      <c r="N557" t="str">
        <f t="shared" si="34"/>
        <v>172140-17/19</v>
      </c>
      <c r="O557">
        <v>230315</v>
      </c>
    </row>
    <row r="558" spans="1:15" x14ac:dyDescent="0.25">
      <c r="A558" t="s">
        <v>16</v>
      </c>
      <c r="B558" t="s">
        <v>3221</v>
      </c>
      <c r="C558">
        <v>3401</v>
      </c>
      <c r="D558" t="s">
        <v>448</v>
      </c>
      <c r="E558" t="s">
        <v>449</v>
      </c>
      <c r="F558">
        <v>168.6</v>
      </c>
      <c r="G558">
        <v>230401</v>
      </c>
      <c r="H558">
        <v>4840</v>
      </c>
      <c r="I558" t="s">
        <v>19</v>
      </c>
      <c r="J558">
        <v>209.06</v>
      </c>
      <c r="K558">
        <v>40.46</v>
      </c>
      <c r="L558">
        <v>56528</v>
      </c>
      <c r="M558" t="s">
        <v>153</v>
      </c>
      <c r="N558" t="str">
        <f t="shared" si="34"/>
        <v>172140-17/19</v>
      </c>
      <c r="O558">
        <v>230315</v>
      </c>
    </row>
    <row r="559" spans="1:15" x14ac:dyDescent="0.25">
      <c r="A559" t="s">
        <v>16</v>
      </c>
      <c r="B559" t="s">
        <v>3221</v>
      </c>
      <c r="C559">
        <v>3401</v>
      </c>
      <c r="D559" t="s">
        <v>448</v>
      </c>
      <c r="E559" t="s">
        <v>449</v>
      </c>
      <c r="F559">
        <v>6.49</v>
      </c>
      <c r="G559">
        <v>230401</v>
      </c>
      <c r="H559">
        <v>4840</v>
      </c>
      <c r="I559" t="s">
        <v>19</v>
      </c>
      <c r="J559">
        <v>8.0500000000000007</v>
      </c>
      <c r="K559">
        <v>1.56</v>
      </c>
      <c r="L559">
        <v>59704</v>
      </c>
      <c r="M559" t="s">
        <v>1103</v>
      </c>
      <c r="N559" t="str">
        <f t="shared" si="34"/>
        <v>172140-17/19</v>
      </c>
      <c r="O559">
        <v>230315</v>
      </c>
    </row>
    <row r="560" spans="1:15" x14ac:dyDescent="0.25">
      <c r="A560" t="s">
        <v>16</v>
      </c>
      <c r="B560" t="s">
        <v>3221</v>
      </c>
      <c r="C560">
        <v>3402</v>
      </c>
      <c r="D560" t="s">
        <v>448</v>
      </c>
      <c r="E560" t="s">
        <v>449</v>
      </c>
      <c r="F560">
        <v>330.8</v>
      </c>
      <c r="G560">
        <v>230401</v>
      </c>
      <c r="H560">
        <v>4840</v>
      </c>
      <c r="I560" t="s">
        <v>19</v>
      </c>
      <c r="J560">
        <v>410.19</v>
      </c>
      <c r="K560">
        <v>79.39</v>
      </c>
      <c r="L560">
        <v>11901</v>
      </c>
      <c r="M560" t="s">
        <v>36</v>
      </c>
      <c r="N560" t="str">
        <f t="shared" ref="N560:N569" si="35">"0172140-2/19"</f>
        <v>0172140-2/19</v>
      </c>
      <c r="O560">
        <v>230315</v>
      </c>
    </row>
    <row r="561" spans="1:15" x14ac:dyDescent="0.25">
      <c r="A561" t="s">
        <v>16</v>
      </c>
      <c r="B561" t="s">
        <v>3221</v>
      </c>
      <c r="C561">
        <v>3402</v>
      </c>
      <c r="D561" t="s">
        <v>448</v>
      </c>
      <c r="E561" t="s">
        <v>449</v>
      </c>
      <c r="F561">
        <v>59.78</v>
      </c>
      <c r="G561">
        <v>230401</v>
      </c>
      <c r="H561">
        <v>4840</v>
      </c>
      <c r="I561" t="s">
        <v>19</v>
      </c>
      <c r="J561">
        <v>74.13</v>
      </c>
      <c r="K561">
        <v>14.35</v>
      </c>
      <c r="L561">
        <v>11903</v>
      </c>
      <c r="M561" t="s">
        <v>406</v>
      </c>
      <c r="N561" t="str">
        <f t="shared" si="35"/>
        <v>0172140-2/19</v>
      </c>
      <c r="O561">
        <v>230315</v>
      </c>
    </row>
    <row r="562" spans="1:15" x14ac:dyDescent="0.25">
      <c r="A562" t="s">
        <v>16</v>
      </c>
      <c r="B562" t="s">
        <v>3221</v>
      </c>
      <c r="C562">
        <v>3402</v>
      </c>
      <c r="D562" t="s">
        <v>448</v>
      </c>
      <c r="E562" t="s">
        <v>449</v>
      </c>
      <c r="F562">
        <v>95.58</v>
      </c>
      <c r="G562">
        <v>230401</v>
      </c>
      <c r="H562">
        <v>4840</v>
      </c>
      <c r="I562" t="s">
        <v>19</v>
      </c>
      <c r="J562">
        <v>118.52</v>
      </c>
      <c r="K562">
        <v>22.94</v>
      </c>
      <c r="L562">
        <v>11905</v>
      </c>
      <c r="M562" t="s">
        <v>39</v>
      </c>
      <c r="N562" t="str">
        <f t="shared" si="35"/>
        <v>0172140-2/19</v>
      </c>
      <c r="O562">
        <v>230315</v>
      </c>
    </row>
    <row r="563" spans="1:15" x14ac:dyDescent="0.25">
      <c r="A563" t="s">
        <v>16</v>
      </c>
      <c r="B563" t="s">
        <v>3221</v>
      </c>
      <c r="C563">
        <v>3402</v>
      </c>
      <c r="D563" t="s">
        <v>448</v>
      </c>
      <c r="E563" t="s">
        <v>449</v>
      </c>
      <c r="F563">
        <v>122.66</v>
      </c>
      <c r="G563">
        <v>230401</v>
      </c>
      <c r="H563">
        <v>4840</v>
      </c>
      <c r="I563" t="s">
        <v>19</v>
      </c>
      <c r="J563">
        <v>152.1</v>
      </c>
      <c r="K563">
        <v>29.44</v>
      </c>
      <c r="L563">
        <v>11905</v>
      </c>
      <c r="M563" t="s">
        <v>39</v>
      </c>
      <c r="N563" t="str">
        <f t="shared" si="35"/>
        <v>0172140-2/19</v>
      </c>
      <c r="O563">
        <v>230315</v>
      </c>
    </row>
    <row r="564" spans="1:15" x14ac:dyDescent="0.25">
      <c r="A564" t="s">
        <v>16</v>
      </c>
      <c r="B564" t="s">
        <v>3221</v>
      </c>
      <c r="C564">
        <v>3402</v>
      </c>
      <c r="D564" t="s">
        <v>448</v>
      </c>
      <c r="E564" t="s">
        <v>449</v>
      </c>
      <c r="F564">
        <v>73.33</v>
      </c>
      <c r="G564">
        <v>230401</v>
      </c>
      <c r="H564">
        <v>4840</v>
      </c>
      <c r="I564" t="s">
        <v>19</v>
      </c>
      <c r="J564">
        <v>90.93</v>
      </c>
      <c r="K564">
        <v>17.600000000000001</v>
      </c>
      <c r="L564">
        <v>11905</v>
      </c>
      <c r="M564" t="s">
        <v>39</v>
      </c>
      <c r="N564" t="str">
        <f t="shared" si="35"/>
        <v>0172140-2/19</v>
      </c>
      <c r="O564">
        <v>230315</v>
      </c>
    </row>
    <row r="565" spans="1:15" x14ac:dyDescent="0.25">
      <c r="A565" t="s">
        <v>16</v>
      </c>
      <c r="B565" t="s">
        <v>3221</v>
      </c>
      <c r="C565">
        <v>3402</v>
      </c>
      <c r="D565" t="s">
        <v>448</v>
      </c>
      <c r="E565" t="s">
        <v>449</v>
      </c>
      <c r="F565">
        <v>86.71</v>
      </c>
      <c r="G565">
        <v>230401</v>
      </c>
      <c r="H565">
        <v>4840</v>
      </c>
      <c r="I565" t="s">
        <v>19</v>
      </c>
      <c r="J565">
        <v>107.52</v>
      </c>
      <c r="K565">
        <v>20.81</v>
      </c>
      <c r="L565">
        <v>11905</v>
      </c>
      <c r="M565" t="s">
        <v>39</v>
      </c>
      <c r="N565" t="str">
        <f t="shared" si="35"/>
        <v>0172140-2/19</v>
      </c>
      <c r="O565">
        <v>230315</v>
      </c>
    </row>
    <row r="566" spans="1:15" x14ac:dyDescent="0.25">
      <c r="A566" t="s">
        <v>16</v>
      </c>
      <c r="B566" t="s">
        <v>3221</v>
      </c>
      <c r="C566">
        <v>3402</v>
      </c>
      <c r="D566" t="s">
        <v>448</v>
      </c>
      <c r="E566" t="s">
        <v>449</v>
      </c>
      <c r="F566">
        <v>67.03</v>
      </c>
      <c r="G566">
        <v>230401</v>
      </c>
      <c r="H566">
        <v>4840</v>
      </c>
      <c r="I566" t="s">
        <v>19</v>
      </c>
      <c r="J566">
        <v>83.12</v>
      </c>
      <c r="K566">
        <v>16.09</v>
      </c>
      <c r="L566">
        <v>11908</v>
      </c>
      <c r="M566" t="s">
        <v>598</v>
      </c>
      <c r="N566" t="str">
        <f t="shared" si="35"/>
        <v>0172140-2/19</v>
      </c>
      <c r="O566">
        <v>230315</v>
      </c>
    </row>
    <row r="567" spans="1:15" x14ac:dyDescent="0.25">
      <c r="A567" t="s">
        <v>16</v>
      </c>
      <c r="B567" t="s">
        <v>3221</v>
      </c>
      <c r="C567">
        <v>3402</v>
      </c>
      <c r="D567" t="s">
        <v>448</v>
      </c>
      <c r="E567" t="s">
        <v>449</v>
      </c>
      <c r="F567">
        <v>33.71</v>
      </c>
      <c r="G567">
        <v>230401</v>
      </c>
      <c r="H567">
        <v>4840</v>
      </c>
      <c r="I567" t="s">
        <v>19</v>
      </c>
      <c r="J567">
        <v>41.8</v>
      </c>
      <c r="K567">
        <v>8.09</v>
      </c>
      <c r="L567">
        <v>11908</v>
      </c>
      <c r="M567" t="s">
        <v>598</v>
      </c>
      <c r="N567" t="str">
        <f t="shared" si="35"/>
        <v>0172140-2/19</v>
      </c>
      <c r="O567">
        <v>230315</v>
      </c>
    </row>
    <row r="568" spans="1:15" x14ac:dyDescent="0.25">
      <c r="A568" t="s">
        <v>16</v>
      </c>
      <c r="B568" t="s">
        <v>3221</v>
      </c>
      <c r="C568">
        <v>3402</v>
      </c>
      <c r="D568" t="s">
        <v>448</v>
      </c>
      <c r="E568" t="s">
        <v>449</v>
      </c>
      <c r="F568">
        <v>12</v>
      </c>
      <c r="G568">
        <v>230401</v>
      </c>
      <c r="H568">
        <v>4840</v>
      </c>
      <c r="I568" t="s">
        <v>19</v>
      </c>
      <c r="J568">
        <v>14.88</v>
      </c>
      <c r="K568">
        <v>2.88</v>
      </c>
      <c r="L568">
        <v>13401</v>
      </c>
      <c r="M568" t="s">
        <v>80</v>
      </c>
      <c r="N568" t="str">
        <f t="shared" si="35"/>
        <v>0172140-2/19</v>
      </c>
      <c r="O568">
        <v>230315</v>
      </c>
    </row>
    <row r="569" spans="1:15" x14ac:dyDescent="0.25">
      <c r="A569" t="s">
        <v>16</v>
      </c>
      <c r="B569" t="s">
        <v>3221</v>
      </c>
      <c r="C569">
        <v>3402</v>
      </c>
      <c r="D569" t="s">
        <v>448</v>
      </c>
      <c r="E569" t="s">
        <v>449</v>
      </c>
      <c r="F569">
        <v>146.38</v>
      </c>
      <c r="G569">
        <v>230401</v>
      </c>
      <c r="H569">
        <v>4840</v>
      </c>
      <c r="I569" t="s">
        <v>19</v>
      </c>
      <c r="J569">
        <v>181.51</v>
      </c>
      <c r="K569">
        <v>35.130000000000003</v>
      </c>
      <c r="L569">
        <v>18991</v>
      </c>
      <c r="M569" t="s">
        <v>1106</v>
      </c>
      <c r="N569" t="str">
        <f t="shared" si="35"/>
        <v>0172140-2/19</v>
      </c>
      <c r="O569">
        <v>230315</v>
      </c>
    </row>
    <row r="570" spans="1:15" x14ac:dyDescent="0.25">
      <c r="A570" t="s">
        <v>16</v>
      </c>
      <c r="B570" t="s">
        <v>3221</v>
      </c>
      <c r="C570">
        <v>3404</v>
      </c>
      <c r="D570" t="s">
        <v>448</v>
      </c>
      <c r="E570" t="s">
        <v>449</v>
      </c>
      <c r="F570">
        <v>16.79</v>
      </c>
      <c r="G570">
        <v>230401</v>
      </c>
      <c r="H570">
        <v>4840</v>
      </c>
      <c r="I570" t="s">
        <v>19</v>
      </c>
      <c r="J570">
        <v>20.82</v>
      </c>
      <c r="K570">
        <v>4.03</v>
      </c>
      <c r="L570">
        <v>11301</v>
      </c>
      <c r="M570" t="s">
        <v>29</v>
      </c>
      <c r="N570" t="str">
        <f>"172140-10/19"</f>
        <v>172140-10/19</v>
      </c>
      <c r="O570">
        <v>230315</v>
      </c>
    </row>
    <row r="571" spans="1:15" x14ac:dyDescent="0.25">
      <c r="A571" t="s">
        <v>16</v>
      </c>
      <c r="B571" t="s">
        <v>3221</v>
      </c>
      <c r="C571">
        <v>3404</v>
      </c>
      <c r="D571" t="s">
        <v>448</v>
      </c>
      <c r="E571" t="s">
        <v>449</v>
      </c>
      <c r="F571">
        <v>135.41</v>
      </c>
      <c r="G571">
        <v>230401</v>
      </c>
      <c r="H571">
        <v>4840</v>
      </c>
      <c r="I571" t="s">
        <v>19</v>
      </c>
      <c r="J571">
        <v>167.91</v>
      </c>
      <c r="K571">
        <v>32.5</v>
      </c>
      <c r="L571">
        <v>11900</v>
      </c>
      <c r="M571" t="s">
        <v>1105</v>
      </c>
      <c r="N571" t="str">
        <f>"172140-10/19"</f>
        <v>172140-10/19</v>
      </c>
      <c r="O571">
        <v>230315</v>
      </c>
    </row>
    <row r="572" spans="1:15" x14ac:dyDescent="0.25">
      <c r="A572" t="s">
        <v>16</v>
      </c>
      <c r="B572" t="s">
        <v>3221</v>
      </c>
      <c r="C572">
        <v>3404</v>
      </c>
      <c r="D572" t="s">
        <v>448</v>
      </c>
      <c r="E572" t="s">
        <v>449</v>
      </c>
      <c r="F572">
        <v>50.17</v>
      </c>
      <c r="G572">
        <v>230401</v>
      </c>
      <c r="H572">
        <v>4840</v>
      </c>
      <c r="I572" t="s">
        <v>19</v>
      </c>
      <c r="J572">
        <v>62.21</v>
      </c>
      <c r="K572">
        <v>12.04</v>
      </c>
      <c r="L572">
        <v>17538</v>
      </c>
      <c r="M572" t="s">
        <v>24</v>
      </c>
      <c r="N572" t="str">
        <f>"172140-10/19"</f>
        <v>172140-10/19</v>
      </c>
      <c r="O572">
        <v>230315</v>
      </c>
    </row>
    <row r="573" spans="1:15" x14ac:dyDescent="0.25">
      <c r="A573" t="s">
        <v>16</v>
      </c>
      <c r="B573" t="s">
        <v>3221</v>
      </c>
      <c r="C573">
        <v>3404</v>
      </c>
      <c r="D573" t="s">
        <v>448</v>
      </c>
      <c r="E573" t="s">
        <v>449</v>
      </c>
      <c r="F573">
        <v>118.3</v>
      </c>
      <c r="G573">
        <v>230401</v>
      </c>
      <c r="H573">
        <v>4840</v>
      </c>
      <c r="I573" t="s">
        <v>19</v>
      </c>
      <c r="J573">
        <v>146.69</v>
      </c>
      <c r="K573">
        <v>28.39</v>
      </c>
      <c r="L573">
        <v>17972</v>
      </c>
      <c r="M573" t="s">
        <v>248</v>
      </c>
      <c r="N573" t="str">
        <f>"172140-10/19"</f>
        <v>172140-10/19</v>
      </c>
      <c r="O573">
        <v>230315</v>
      </c>
    </row>
    <row r="574" spans="1:15" x14ac:dyDescent="0.25">
      <c r="A574" t="s">
        <v>16</v>
      </c>
      <c r="B574" t="s">
        <v>3221</v>
      </c>
      <c r="C574">
        <v>3448</v>
      </c>
      <c r="D574" t="s">
        <v>448</v>
      </c>
      <c r="E574" t="s">
        <v>449</v>
      </c>
      <c r="F574">
        <v>911.16</v>
      </c>
      <c r="G574">
        <v>230401</v>
      </c>
      <c r="H574">
        <v>4840</v>
      </c>
      <c r="I574" t="s">
        <v>19</v>
      </c>
      <c r="J574">
        <v>1129.8399999999999</v>
      </c>
      <c r="K574">
        <v>218.68</v>
      </c>
      <c r="L574">
        <v>10002</v>
      </c>
      <c r="M574" t="s">
        <v>1066</v>
      </c>
      <c r="N574" t="str">
        <f t="shared" ref="N574:N585" si="36">"0172140-8/19"</f>
        <v>0172140-8/19</v>
      </c>
      <c r="O574">
        <v>230316</v>
      </c>
    </row>
    <row r="575" spans="1:15" x14ac:dyDescent="0.25">
      <c r="A575" t="s">
        <v>16</v>
      </c>
      <c r="B575" t="s">
        <v>3221</v>
      </c>
      <c r="C575">
        <v>3448</v>
      </c>
      <c r="D575" t="s">
        <v>448</v>
      </c>
      <c r="E575" t="s">
        <v>449</v>
      </c>
      <c r="F575">
        <v>1026.75</v>
      </c>
      <c r="G575">
        <v>230401</v>
      </c>
      <c r="H575">
        <v>4840</v>
      </c>
      <c r="I575" t="s">
        <v>19</v>
      </c>
      <c r="J575">
        <v>1273.17</v>
      </c>
      <c r="K575">
        <v>246.42</v>
      </c>
      <c r="L575">
        <v>11001</v>
      </c>
      <c r="M575" t="s">
        <v>326</v>
      </c>
      <c r="N575" t="str">
        <f t="shared" si="36"/>
        <v>0172140-8/19</v>
      </c>
      <c r="O575">
        <v>230316</v>
      </c>
    </row>
    <row r="576" spans="1:15" x14ac:dyDescent="0.25">
      <c r="A576" t="s">
        <v>16</v>
      </c>
      <c r="B576" t="s">
        <v>3221</v>
      </c>
      <c r="C576">
        <v>3448</v>
      </c>
      <c r="D576" t="s">
        <v>448</v>
      </c>
      <c r="E576" t="s">
        <v>449</v>
      </c>
      <c r="F576">
        <v>367.77</v>
      </c>
      <c r="G576">
        <v>230401</v>
      </c>
      <c r="H576">
        <v>4840</v>
      </c>
      <c r="I576" t="s">
        <v>19</v>
      </c>
      <c r="J576">
        <v>456.03</v>
      </c>
      <c r="K576">
        <v>88.26</v>
      </c>
      <c r="L576">
        <v>11101</v>
      </c>
      <c r="M576" t="s">
        <v>110</v>
      </c>
      <c r="N576" t="str">
        <f t="shared" si="36"/>
        <v>0172140-8/19</v>
      </c>
      <c r="O576">
        <v>230316</v>
      </c>
    </row>
    <row r="577" spans="1:15" x14ac:dyDescent="0.25">
      <c r="A577" t="s">
        <v>16</v>
      </c>
      <c r="B577" t="s">
        <v>3221</v>
      </c>
      <c r="C577">
        <v>3448</v>
      </c>
      <c r="D577" t="s">
        <v>448</v>
      </c>
      <c r="E577" t="s">
        <v>449</v>
      </c>
      <c r="F577">
        <v>824.19</v>
      </c>
      <c r="G577">
        <v>230401</v>
      </c>
      <c r="H577">
        <v>4840</v>
      </c>
      <c r="I577" t="s">
        <v>19</v>
      </c>
      <c r="J577">
        <v>1022</v>
      </c>
      <c r="K577">
        <v>197.81</v>
      </c>
      <c r="L577">
        <v>11301</v>
      </c>
      <c r="M577" t="s">
        <v>29</v>
      </c>
      <c r="N577" t="str">
        <f t="shared" si="36"/>
        <v>0172140-8/19</v>
      </c>
      <c r="O577">
        <v>230316</v>
      </c>
    </row>
    <row r="578" spans="1:15" x14ac:dyDescent="0.25">
      <c r="A578" t="s">
        <v>16</v>
      </c>
      <c r="B578" t="s">
        <v>3221</v>
      </c>
      <c r="C578">
        <v>3448</v>
      </c>
      <c r="D578" t="s">
        <v>448</v>
      </c>
      <c r="E578" t="s">
        <v>449</v>
      </c>
      <c r="F578">
        <v>182.15</v>
      </c>
      <c r="G578">
        <v>230401</v>
      </c>
      <c r="H578">
        <v>4840</v>
      </c>
      <c r="I578" t="s">
        <v>19</v>
      </c>
      <c r="J578">
        <v>225.87</v>
      </c>
      <c r="K578">
        <v>43.72</v>
      </c>
      <c r="L578">
        <v>11401</v>
      </c>
      <c r="M578" t="s">
        <v>84</v>
      </c>
      <c r="N578" t="str">
        <f t="shared" si="36"/>
        <v>0172140-8/19</v>
      </c>
      <c r="O578">
        <v>230316</v>
      </c>
    </row>
    <row r="579" spans="1:15" x14ac:dyDescent="0.25">
      <c r="A579" t="s">
        <v>16</v>
      </c>
      <c r="B579" t="s">
        <v>3221</v>
      </c>
      <c r="C579">
        <v>3448</v>
      </c>
      <c r="D579" t="s">
        <v>448</v>
      </c>
      <c r="E579" t="s">
        <v>449</v>
      </c>
      <c r="F579">
        <v>314.76</v>
      </c>
      <c r="G579">
        <v>230401</v>
      </c>
      <c r="H579">
        <v>4840</v>
      </c>
      <c r="I579" t="s">
        <v>19</v>
      </c>
      <c r="J579">
        <v>390.3</v>
      </c>
      <c r="K579">
        <v>75.540000000000006</v>
      </c>
      <c r="L579">
        <v>11501</v>
      </c>
      <c r="M579" t="s">
        <v>339</v>
      </c>
      <c r="N579" t="str">
        <f t="shared" si="36"/>
        <v>0172140-8/19</v>
      </c>
      <c r="O579">
        <v>230316</v>
      </c>
    </row>
    <row r="580" spans="1:15" x14ac:dyDescent="0.25">
      <c r="A580" t="s">
        <v>16</v>
      </c>
      <c r="B580" t="s">
        <v>3221</v>
      </c>
      <c r="C580">
        <v>3448</v>
      </c>
      <c r="D580" t="s">
        <v>448</v>
      </c>
      <c r="E580" t="s">
        <v>449</v>
      </c>
      <c r="F580">
        <v>160.34</v>
      </c>
      <c r="G580">
        <v>230401</v>
      </c>
      <c r="H580">
        <v>4840</v>
      </c>
      <c r="I580" t="s">
        <v>19</v>
      </c>
      <c r="J580">
        <v>198.82</v>
      </c>
      <c r="K580">
        <v>38.479999999999997</v>
      </c>
      <c r="L580">
        <v>11601</v>
      </c>
      <c r="M580" t="s">
        <v>535</v>
      </c>
      <c r="N580" t="str">
        <f t="shared" si="36"/>
        <v>0172140-8/19</v>
      </c>
      <c r="O580">
        <v>230316</v>
      </c>
    </row>
    <row r="581" spans="1:15" x14ac:dyDescent="0.25">
      <c r="A581" t="s">
        <v>16</v>
      </c>
      <c r="B581" t="s">
        <v>3221</v>
      </c>
      <c r="C581">
        <v>3448</v>
      </c>
      <c r="D581" t="s">
        <v>448</v>
      </c>
      <c r="E581" t="s">
        <v>449</v>
      </c>
      <c r="F581">
        <v>71.790000000000006</v>
      </c>
      <c r="G581">
        <v>230401</v>
      </c>
      <c r="H581">
        <v>4840</v>
      </c>
      <c r="I581" t="s">
        <v>19</v>
      </c>
      <c r="J581">
        <v>89.02</v>
      </c>
      <c r="K581">
        <v>17.23</v>
      </c>
      <c r="L581">
        <v>11701</v>
      </c>
      <c r="M581" t="s">
        <v>1204</v>
      </c>
      <c r="N581" t="str">
        <f t="shared" si="36"/>
        <v>0172140-8/19</v>
      </c>
      <c r="O581">
        <v>230316</v>
      </c>
    </row>
    <row r="582" spans="1:15" x14ac:dyDescent="0.25">
      <c r="A582" t="s">
        <v>16</v>
      </c>
      <c r="B582" t="s">
        <v>3221</v>
      </c>
      <c r="C582">
        <v>3448</v>
      </c>
      <c r="D582" t="s">
        <v>448</v>
      </c>
      <c r="E582" t="s">
        <v>449</v>
      </c>
      <c r="F582">
        <v>33.06</v>
      </c>
      <c r="G582">
        <v>230401</v>
      </c>
      <c r="H582">
        <v>4840</v>
      </c>
      <c r="I582" t="s">
        <v>19</v>
      </c>
      <c r="J582">
        <v>40.99</v>
      </c>
      <c r="K582">
        <v>7.93</v>
      </c>
      <c r="L582">
        <v>11751</v>
      </c>
      <c r="M582" t="s">
        <v>1339</v>
      </c>
      <c r="N582" t="str">
        <f t="shared" si="36"/>
        <v>0172140-8/19</v>
      </c>
      <c r="O582">
        <v>230316</v>
      </c>
    </row>
    <row r="583" spans="1:15" x14ac:dyDescent="0.25">
      <c r="A583" t="s">
        <v>16</v>
      </c>
      <c r="B583" t="s">
        <v>3221</v>
      </c>
      <c r="C583">
        <v>3448</v>
      </c>
      <c r="D583" t="s">
        <v>448</v>
      </c>
      <c r="E583" t="s">
        <v>449</v>
      </c>
      <c r="F583">
        <v>2893.24</v>
      </c>
      <c r="G583">
        <v>230401</v>
      </c>
      <c r="H583">
        <v>4840</v>
      </c>
      <c r="I583" t="s">
        <v>19</v>
      </c>
      <c r="J583">
        <v>3587.62</v>
      </c>
      <c r="K583">
        <v>694.38</v>
      </c>
      <c r="L583">
        <v>11801</v>
      </c>
      <c r="M583" t="s">
        <v>92</v>
      </c>
      <c r="N583" t="str">
        <f t="shared" si="36"/>
        <v>0172140-8/19</v>
      </c>
      <c r="O583">
        <v>230316</v>
      </c>
    </row>
    <row r="584" spans="1:15" x14ac:dyDescent="0.25">
      <c r="A584" t="s">
        <v>16</v>
      </c>
      <c r="B584" t="s">
        <v>3221</v>
      </c>
      <c r="C584">
        <v>3448</v>
      </c>
      <c r="D584" t="s">
        <v>448</v>
      </c>
      <c r="E584" t="s">
        <v>449</v>
      </c>
      <c r="F584">
        <v>184.1</v>
      </c>
      <c r="G584">
        <v>230401</v>
      </c>
      <c r="H584">
        <v>4840</v>
      </c>
      <c r="I584" t="s">
        <v>19</v>
      </c>
      <c r="J584">
        <v>228.28</v>
      </c>
      <c r="K584">
        <v>44.18</v>
      </c>
      <c r="L584">
        <v>13801</v>
      </c>
      <c r="M584" t="s">
        <v>162</v>
      </c>
      <c r="N584" t="str">
        <f t="shared" si="36"/>
        <v>0172140-8/19</v>
      </c>
      <c r="O584">
        <v>230316</v>
      </c>
    </row>
    <row r="585" spans="1:15" x14ac:dyDescent="0.25">
      <c r="A585" t="s">
        <v>16</v>
      </c>
      <c r="B585" t="s">
        <v>3221</v>
      </c>
      <c r="C585">
        <v>3448</v>
      </c>
      <c r="D585" t="s">
        <v>448</v>
      </c>
      <c r="E585" t="s">
        <v>449</v>
      </c>
      <c r="F585">
        <v>214.72</v>
      </c>
      <c r="G585">
        <v>230401</v>
      </c>
      <c r="H585">
        <v>4840</v>
      </c>
      <c r="I585" t="s">
        <v>19</v>
      </c>
      <c r="J585">
        <v>266.25</v>
      </c>
      <c r="K585">
        <v>51.53</v>
      </c>
      <c r="L585">
        <v>18971</v>
      </c>
      <c r="M585" t="s">
        <v>63</v>
      </c>
      <c r="N585" t="str">
        <f t="shared" si="36"/>
        <v>0172140-8/19</v>
      </c>
      <c r="O585">
        <v>230316</v>
      </c>
    </row>
    <row r="586" spans="1:15" x14ac:dyDescent="0.25">
      <c r="A586" t="s">
        <v>16</v>
      </c>
      <c r="B586" t="s">
        <v>3221</v>
      </c>
      <c r="C586">
        <v>3489</v>
      </c>
      <c r="D586" t="s">
        <v>448</v>
      </c>
      <c r="E586" t="s">
        <v>449</v>
      </c>
      <c r="F586">
        <v>687.25</v>
      </c>
      <c r="G586">
        <v>230401</v>
      </c>
      <c r="H586">
        <v>4840</v>
      </c>
      <c r="I586" t="s">
        <v>19</v>
      </c>
      <c r="J586">
        <v>852.19</v>
      </c>
      <c r="K586">
        <v>164.94</v>
      </c>
      <c r="L586">
        <v>17131</v>
      </c>
      <c r="M586" t="s">
        <v>64</v>
      </c>
      <c r="N586" t="str">
        <f t="shared" ref="N586:N593" si="37">"172140-13/19"</f>
        <v>172140-13/19</v>
      </c>
      <c r="O586">
        <v>230316</v>
      </c>
    </row>
    <row r="587" spans="1:15" x14ac:dyDescent="0.25">
      <c r="A587" t="s">
        <v>16</v>
      </c>
      <c r="B587" t="s">
        <v>3221</v>
      </c>
      <c r="C587">
        <v>3489</v>
      </c>
      <c r="D587" t="s">
        <v>448</v>
      </c>
      <c r="E587" t="s">
        <v>449</v>
      </c>
      <c r="F587">
        <v>221.65</v>
      </c>
      <c r="G587">
        <v>230401</v>
      </c>
      <c r="H587">
        <v>4840</v>
      </c>
      <c r="I587" t="s">
        <v>19</v>
      </c>
      <c r="J587">
        <v>274.85000000000002</v>
      </c>
      <c r="K587">
        <v>53.2</v>
      </c>
      <c r="L587">
        <v>17711</v>
      </c>
      <c r="M587" t="s">
        <v>65</v>
      </c>
      <c r="N587" t="str">
        <f t="shared" si="37"/>
        <v>172140-13/19</v>
      </c>
      <c r="O587">
        <v>230316</v>
      </c>
    </row>
    <row r="588" spans="1:15" x14ac:dyDescent="0.25">
      <c r="A588" t="s">
        <v>16</v>
      </c>
      <c r="B588" t="s">
        <v>3221</v>
      </c>
      <c r="C588">
        <v>3489</v>
      </c>
      <c r="D588" t="s">
        <v>448</v>
      </c>
      <c r="E588" t="s">
        <v>449</v>
      </c>
      <c r="F588">
        <v>539.36</v>
      </c>
      <c r="G588">
        <v>230401</v>
      </c>
      <c r="H588">
        <v>4840</v>
      </c>
      <c r="I588" t="s">
        <v>19</v>
      </c>
      <c r="J588">
        <v>668.81</v>
      </c>
      <c r="K588">
        <v>129.44999999999999</v>
      </c>
      <c r="L588">
        <v>17711</v>
      </c>
      <c r="M588" t="s">
        <v>65</v>
      </c>
      <c r="N588" t="str">
        <f t="shared" si="37"/>
        <v>172140-13/19</v>
      </c>
      <c r="O588">
        <v>230316</v>
      </c>
    </row>
    <row r="589" spans="1:15" x14ac:dyDescent="0.25">
      <c r="A589" t="s">
        <v>16</v>
      </c>
      <c r="B589" t="s">
        <v>3221</v>
      </c>
      <c r="C589">
        <v>3489</v>
      </c>
      <c r="D589" t="s">
        <v>448</v>
      </c>
      <c r="E589" t="s">
        <v>449</v>
      </c>
      <c r="F589">
        <v>25.41</v>
      </c>
      <c r="G589">
        <v>230401</v>
      </c>
      <c r="H589">
        <v>4840</v>
      </c>
      <c r="I589" t="s">
        <v>19</v>
      </c>
      <c r="J589">
        <v>31.51</v>
      </c>
      <c r="K589">
        <v>6.1</v>
      </c>
      <c r="L589">
        <v>17737</v>
      </c>
      <c r="M589" t="s">
        <v>279</v>
      </c>
      <c r="N589" t="str">
        <f t="shared" si="37"/>
        <v>172140-13/19</v>
      </c>
      <c r="O589">
        <v>230316</v>
      </c>
    </row>
    <row r="590" spans="1:15" x14ac:dyDescent="0.25">
      <c r="A590" t="s">
        <v>16</v>
      </c>
      <c r="B590" t="s">
        <v>3221</v>
      </c>
      <c r="C590">
        <v>3489</v>
      </c>
      <c r="D590" t="s">
        <v>448</v>
      </c>
      <c r="E590" t="s">
        <v>449</v>
      </c>
      <c r="F590">
        <v>25.41</v>
      </c>
      <c r="G590">
        <v>230401</v>
      </c>
      <c r="H590">
        <v>4840</v>
      </c>
      <c r="I590" t="s">
        <v>19</v>
      </c>
      <c r="J590">
        <v>31.51</v>
      </c>
      <c r="K590">
        <v>6.1</v>
      </c>
      <c r="L590">
        <v>17737</v>
      </c>
      <c r="M590" t="s">
        <v>279</v>
      </c>
      <c r="N590" t="str">
        <f t="shared" si="37"/>
        <v>172140-13/19</v>
      </c>
      <c r="O590">
        <v>230316</v>
      </c>
    </row>
    <row r="591" spans="1:15" x14ac:dyDescent="0.25">
      <c r="A591" t="s">
        <v>16</v>
      </c>
      <c r="B591" t="s">
        <v>3221</v>
      </c>
      <c r="C591">
        <v>3489</v>
      </c>
      <c r="D591" t="s">
        <v>448</v>
      </c>
      <c r="E591" t="s">
        <v>449</v>
      </c>
      <c r="F591">
        <v>25.41</v>
      </c>
      <c r="G591">
        <v>230401</v>
      </c>
      <c r="H591">
        <v>4840</v>
      </c>
      <c r="I591" t="s">
        <v>19</v>
      </c>
      <c r="J591">
        <v>31.51</v>
      </c>
      <c r="K591">
        <v>6.1</v>
      </c>
      <c r="L591">
        <v>17912</v>
      </c>
      <c r="M591" t="s">
        <v>419</v>
      </c>
      <c r="N591" t="str">
        <f t="shared" si="37"/>
        <v>172140-13/19</v>
      </c>
      <c r="O591">
        <v>230316</v>
      </c>
    </row>
    <row r="592" spans="1:15" x14ac:dyDescent="0.25">
      <c r="A592" t="s">
        <v>16</v>
      </c>
      <c r="B592" t="s">
        <v>3221</v>
      </c>
      <c r="C592">
        <v>3489</v>
      </c>
      <c r="D592" t="s">
        <v>448</v>
      </c>
      <c r="E592" t="s">
        <v>449</v>
      </c>
      <c r="F592">
        <v>76.23</v>
      </c>
      <c r="G592">
        <v>230401</v>
      </c>
      <c r="H592">
        <v>4840</v>
      </c>
      <c r="I592" t="s">
        <v>19</v>
      </c>
      <c r="J592">
        <v>94.53</v>
      </c>
      <c r="K592">
        <v>18.3</v>
      </c>
      <c r="L592">
        <v>17952</v>
      </c>
      <c r="M592" t="s">
        <v>88</v>
      </c>
      <c r="N592" t="str">
        <f t="shared" si="37"/>
        <v>172140-13/19</v>
      </c>
      <c r="O592">
        <v>230316</v>
      </c>
    </row>
    <row r="593" spans="1:15" x14ac:dyDescent="0.25">
      <c r="A593" t="s">
        <v>16</v>
      </c>
      <c r="B593" t="s">
        <v>3221</v>
      </c>
      <c r="C593">
        <v>3489</v>
      </c>
      <c r="D593" t="s">
        <v>448</v>
      </c>
      <c r="E593" t="s">
        <v>449</v>
      </c>
      <c r="F593">
        <v>46.28</v>
      </c>
      <c r="G593">
        <v>230401</v>
      </c>
      <c r="H593">
        <v>4840</v>
      </c>
      <c r="I593" t="s">
        <v>19</v>
      </c>
      <c r="J593">
        <v>57.39</v>
      </c>
      <c r="K593">
        <v>11.11</v>
      </c>
      <c r="L593">
        <v>17972</v>
      </c>
      <c r="M593" t="s">
        <v>248</v>
      </c>
      <c r="N593" t="str">
        <f t="shared" si="37"/>
        <v>172140-13/19</v>
      </c>
      <c r="O593">
        <v>230316</v>
      </c>
    </row>
    <row r="594" spans="1:15" x14ac:dyDescent="0.25">
      <c r="A594" t="s">
        <v>16</v>
      </c>
      <c r="B594" t="s">
        <v>3221</v>
      </c>
      <c r="C594">
        <v>3594</v>
      </c>
      <c r="D594" t="s">
        <v>448</v>
      </c>
      <c r="E594" t="s">
        <v>449</v>
      </c>
      <c r="F594">
        <v>106.11</v>
      </c>
      <c r="G594">
        <v>230401</v>
      </c>
      <c r="H594">
        <v>4840</v>
      </c>
      <c r="I594" t="s">
        <v>19</v>
      </c>
      <c r="J594">
        <v>131.58000000000001</v>
      </c>
      <c r="K594">
        <v>25.47</v>
      </c>
      <c r="L594">
        <v>11301</v>
      </c>
      <c r="M594" t="s">
        <v>29</v>
      </c>
      <c r="N594" t="str">
        <f t="shared" ref="N594:N618" si="38">"0172140-4/19"</f>
        <v>0172140-4/19</v>
      </c>
      <c r="O594">
        <v>230317</v>
      </c>
    </row>
    <row r="595" spans="1:15" x14ac:dyDescent="0.25">
      <c r="A595" t="s">
        <v>16</v>
      </c>
      <c r="B595" t="s">
        <v>3221</v>
      </c>
      <c r="C595">
        <v>3594</v>
      </c>
      <c r="D595" t="s">
        <v>448</v>
      </c>
      <c r="E595" t="s">
        <v>449</v>
      </c>
      <c r="F595">
        <v>25.3</v>
      </c>
      <c r="G595">
        <v>230401</v>
      </c>
      <c r="H595">
        <v>4840</v>
      </c>
      <c r="I595" t="s">
        <v>19</v>
      </c>
      <c r="J595">
        <v>31.37</v>
      </c>
      <c r="K595">
        <v>6.07</v>
      </c>
      <c r="L595">
        <v>11751</v>
      </c>
      <c r="M595" t="s">
        <v>1339</v>
      </c>
      <c r="N595" t="str">
        <f t="shared" si="38"/>
        <v>0172140-4/19</v>
      </c>
      <c r="O595">
        <v>230317</v>
      </c>
    </row>
    <row r="596" spans="1:15" x14ac:dyDescent="0.25">
      <c r="A596" t="s">
        <v>16</v>
      </c>
      <c r="B596" t="s">
        <v>3221</v>
      </c>
      <c r="C596">
        <v>3594</v>
      </c>
      <c r="D596" t="s">
        <v>448</v>
      </c>
      <c r="E596" t="s">
        <v>449</v>
      </c>
      <c r="F596">
        <v>40.83</v>
      </c>
      <c r="G596">
        <v>230401</v>
      </c>
      <c r="H596">
        <v>4840</v>
      </c>
      <c r="I596" t="s">
        <v>19</v>
      </c>
      <c r="J596">
        <v>50.63</v>
      </c>
      <c r="K596">
        <v>9.8000000000000007</v>
      </c>
      <c r="L596">
        <v>11900</v>
      </c>
      <c r="M596" t="s">
        <v>1105</v>
      </c>
      <c r="N596" t="str">
        <f t="shared" si="38"/>
        <v>0172140-4/19</v>
      </c>
      <c r="O596">
        <v>230317</v>
      </c>
    </row>
    <row r="597" spans="1:15" x14ac:dyDescent="0.25">
      <c r="A597" t="s">
        <v>16</v>
      </c>
      <c r="B597" t="s">
        <v>3221</v>
      </c>
      <c r="C597">
        <v>3594</v>
      </c>
      <c r="D597" t="s">
        <v>448</v>
      </c>
      <c r="E597" t="s">
        <v>449</v>
      </c>
      <c r="F597">
        <v>6.49</v>
      </c>
      <c r="G597">
        <v>230401</v>
      </c>
      <c r="H597">
        <v>4840</v>
      </c>
      <c r="I597" t="s">
        <v>19</v>
      </c>
      <c r="J597">
        <v>8.0500000000000007</v>
      </c>
      <c r="K597">
        <v>1.56</v>
      </c>
      <c r="L597">
        <v>11905</v>
      </c>
      <c r="M597" t="s">
        <v>39</v>
      </c>
      <c r="N597" t="str">
        <f t="shared" si="38"/>
        <v>0172140-4/19</v>
      </c>
      <c r="O597">
        <v>230317</v>
      </c>
    </row>
    <row r="598" spans="1:15" x14ac:dyDescent="0.25">
      <c r="A598" t="s">
        <v>16</v>
      </c>
      <c r="B598" t="s">
        <v>3221</v>
      </c>
      <c r="C598">
        <v>3594</v>
      </c>
      <c r="D598" t="s">
        <v>448</v>
      </c>
      <c r="E598" t="s">
        <v>449</v>
      </c>
      <c r="F598">
        <v>97.72</v>
      </c>
      <c r="G598">
        <v>230401</v>
      </c>
      <c r="H598">
        <v>4840</v>
      </c>
      <c r="I598" t="s">
        <v>19</v>
      </c>
      <c r="J598">
        <v>121.17</v>
      </c>
      <c r="K598">
        <v>23.45</v>
      </c>
      <c r="L598">
        <v>13201</v>
      </c>
      <c r="M598" t="s">
        <v>161</v>
      </c>
      <c r="N598" t="str">
        <f t="shared" si="38"/>
        <v>0172140-4/19</v>
      </c>
      <c r="O598">
        <v>230317</v>
      </c>
    </row>
    <row r="599" spans="1:15" x14ac:dyDescent="0.25">
      <c r="A599" t="s">
        <v>16</v>
      </c>
      <c r="B599" t="s">
        <v>3221</v>
      </c>
      <c r="C599">
        <v>3594</v>
      </c>
      <c r="D599" t="s">
        <v>448</v>
      </c>
      <c r="E599" t="s">
        <v>449</v>
      </c>
      <c r="F599">
        <v>90.04</v>
      </c>
      <c r="G599">
        <v>230401</v>
      </c>
      <c r="H599">
        <v>4840</v>
      </c>
      <c r="I599" t="s">
        <v>19</v>
      </c>
      <c r="J599">
        <v>111.65</v>
      </c>
      <c r="K599">
        <v>21.61</v>
      </c>
      <c r="L599">
        <v>13601</v>
      </c>
      <c r="M599" t="s">
        <v>147</v>
      </c>
      <c r="N599" t="str">
        <f t="shared" si="38"/>
        <v>0172140-4/19</v>
      </c>
      <c r="O599">
        <v>230317</v>
      </c>
    </row>
    <row r="600" spans="1:15" x14ac:dyDescent="0.25">
      <c r="A600" t="s">
        <v>16</v>
      </c>
      <c r="B600" t="s">
        <v>3221</v>
      </c>
      <c r="C600">
        <v>3594</v>
      </c>
      <c r="D600" t="s">
        <v>448</v>
      </c>
      <c r="E600" t="s">
        <v>449</v>
      </c>
      <c r="F600">
        <v>84.38</v>
      </c>
      <c r="G600">
        <v>230401</v>
      </c>
      <c r="H600">
        <v>4840</v>
      </c>
      <c r="I600" t="s">
        <v>19</v>
      </c>
      <c r="J600">
        <v>104.63</v>
      </c>
      <c r="K600">
        <v>20.25</v>
      </c>
      <c r="L600">
        <v>13801</v>
      </c>
      <c r="M600" t="s">
        <v>162</v>
      </c>
      <c r="N600" t="str">
        <f t="shared" si="38"/>
        <v>0172140-4/19</v>
      </c>
      <c r="O600">
        <v>230317</v>
      </c>
    </row>
    <row r="601" spans="1:15" x14ac:dyDescent="0.25">
      <c r="A601" t="s">
        <v>16</v>
      </c>
      <c r="B601" t="s">
        <v>3221</v>
      </c>
      <c r="C601">
        <v>3594</v>
      </c>
      <c r="D601" t="s">
        <v>448</v>
      </c>
      <c r="E601" t="s">
        <v>449</v>
      </c>
      <c r="F601">
        <v>13.3</v>
      </c>
      <c r="G601">
        <v>230401</v>
      </c>
      <c r="H601">
        <v>4840</v>
      </c>
      <c r="I601" t="s">
        <v>19</v>
      </c>
      <c r="J601">
        <v>16.489999999999998</v>
      </c>
      <c r="K601">
        <v>3.19</v>
      </c>
      <c r="L601">
        <v>13801</v>
      </c>
      <c r="M601" t="s">
        <v>162</v>
      </c>
      <c r="N601" t="str">
        <f t="shared" si="38"/>
        <v>0172140-4/19</v>
      </c>
      <c r="O601">
        <v>230317</v>
      </c>
    </row>
    <row r="602" spans="1:15" x14ac:dyDescent="0.25">
      <c r="A602" t="s">
        <v>16</v>
      </c>
      <c r="B602" t="s">
        <v>3221</v>
      </c>
      <c r="C602">
        <v>3594</v>
      </c>
      <c r="D602" t="s">
        <v>448</v>
      </c>
      <c r="E602" t="s">
        <v>449</v>
      </c>
      <c r="F602">
        <v>161.88999999999999</v>
      </c>
      <c r="G602">
        <v>230401</v>
      </c>
      <c r="H602">
        <v>4840</v>
      </c>
      <c r="I602" t="s">
        <v>19</v>
      </c>
      <c r="J602">
        <v>200.74</v>
      </c>
      <c r="K602">
        <v>38.85</v>
      </c>
      <c r="L602">
        <v>16321</v>
      </c>
      <c r="M602" t="s">
        <v>423</v>
      </c>
      <c r="N602" t="str">
        <f t="shared" si="38"/>
        <v>0172140-4/19</v>
      </c>
      <c r="O602">
        <v>230317</v>
      </c>
    </row>
    <row r="603" spans="1:15" x14ac:dyDescent="0.25">
      <c r="A603" t="s">
        <v>16</v>
      </c>
      <c r="B603" t="s">
        <v>3221</v>
      </c>
      <c r="C603">
        <v>3594</v>
      </c>
      <c r="D603" t="s">
        <v>448</v>
      </c>
      <c r="E603" t="s">
        <v>449</v>
      </c>
      <c r="F603">
        <v>606.96</v>
      </c>
      <c r="G603">
        <v>230401</v>
      </c>
      <c r="H603">
        <v>4840</v>
      </c>
      <c r="I603" t="s">
        <v>19</v>
      </c>
      <c r="J603">
        <v>752.63</v>
      </c>
      <c r="K603">
        <v>145.66999999999999</v>
      </c>
      <c r="L603">
        <v>16321</v>
      </c>
      <c r="M603" t="s">
        <v>423</v>
      </c>
      <c r="N603" t="str">
        <f t="shared" si="38"/>
        <v>0172140-4/19</v>
      </c>
      <c r="O603">
        <v>230317</v>
      </c>
    </row>
    <row r="604" spans="1:15" x14ac:dyDescent="0.25">
      <c r="A604" t="s">
        <v>16</v>
      </c>
      <c r="B604" t="s">
        <v>3221</v>
      </c>
      <c r="C604">
        <v>3594</v>
      </c>
      <c r="D604" t="s">
        <v>448</v>
      </c>
      <c r="E604" t="s">
        <v>449</v>
      </c>
      <c r="F604">
        <v>294.39999999999998</v>
      </c>
      <c r="G604">
        <v>230401</v>
      </c>
      <c r="H604">
        <v>4840</v>
      </c>
      <c r="I604" t="s">
        <v>19</v>
      </c>
      <c r="J604">
        <v>365.06</v>
      </c>
      <c r="K604">
        <v>70.66</v>
      </c>
      <c r="L604">
        <v>16431</v>
      </c>
      <c r="M604" t="s">
        <v>231</v>
      </c>
      <c r="N604" t="str">
        <f t="shared" si="38"/>
        <v>0172140-4/19</v>
      </c>
      <c r="O604">
        <v>230317</v>
      </c>
    </row>
    <row r="605" spans="1:15" x14ac:dyDescent="0.25">
      <c r="A605" t="s">
        <v>16</v>
      </c>
      <c r="B605" t="s">
        <v>3221</v>
      </c>
      <c r="C605">
        <v>3594</v>
      </c>
      <c r="D605" t="s">
        <v>448</v>
      </c>
      <c r="E605" t="s">
        <v>449</v>
      </c>
      <c r="F605">
        <v>104.61</v>
      </c>
      <c r="G605">
        <v>230401</v>
      </c>
      <c r="H605">
        <v>4840</v>
      </c>
      <c r="I605" t="s">
        <v>19</v>
      </c>
      <c r="J605">
        <v>129.72</v>
      </c>
      <c r="K605">
        <v>25.11</v>
      </c>
      <c r="L605">
        <v>16820</v>
      </c>
      <c r="M605" t="s">
        <v>23</v>
      </c>
      <c r="N605" t="str">
        <f t="shared" si="38"/>
        <v>0172140-4/19</v>
      </c>
      <c r="O605">
        <v>230317</v>
      </c>
    </row>
    <row r="606" spans="1:15" x14ac:dyDescent="0.25">
      <c r="A606" t="s">
        <v>16</v>
      </c>
      <c r="B606" t="s">
        <v>3221</v>
      </c>
      <c r="C606">
        <v>3594</v>
      </c>
      <c r="D606" t="s">
        <v>448</v>
      </c>
      <c r="E606" t="s">
        <v>449</v>
      </c>
      <c r="F606">
        <v>32.450000000000003</v>
      </c>
      <c r="G606">
        <v>230401</v>
      </c>
      <c r="H606">
        <v>4840</v>
      </c>
      <c r="I606" t="s">
        <v>19</v>
      </c>
      <c r="J606">
        <v>40.24</v>
      </c>
      <c r="K606">
        <v>7.79</v>
      </c>
      <c r="L606">
        <v>17131</v>
      </c>
      <c r="M606" t="s">
        <v>64</v>
      </c>
      <c r="N606" t="str">
        <f t="shared" si="38"/>
        <v>0172140-4/19</v>
      </c>
      <c r="O606">
        <v>230317</v>
      </c>
    </row>
    <row r="607" spans="1:15" x14ac:dyDescent="0.25">
      <c r="A607" t="s">
        <v>16</v>
      </c>
      <c r="B607" t="s">
        <v>3221</v>
      </c>
      <c r="C607">
        <v>3594</v>
      </c>
      <c r="D607" t="s">
        <v>448</v>
      </c>
      <c r="E607" t="s">
        <v>449</v>
      </c>
      <c r="F607">
        <v>404.68</v>
      </c>
      <c r="G607">
        <v>230401</v>
      </c>
      <c r="H607">
        <v>4840</v>
      </c>
      <c r="I607" t="s">
        <v>19</v>
      </c>
      <c r="J607">
        <v>501.8</v>
      </c>
      <c r="K607">
        <v>97.12</v>
      </c>
      <c r="L607">
        <v>17802</v>
      </c>
      <c r="M607" t="s">
        <v>174</v>
      </c>
      <c r="N607" t="str">
        <f t="shared" si="38"/>
        <v>0172140-4/19</v>
      </c>
      <c r="O607">
        <v>230317</v>
      </c>
    </row>
    <row r="608" spans="1:15" x14ac:dyDescent="0.25">
      <c r="A608" t="s">
        <v>16</v>
      </c>
      <c r="B608" t="s">
        <v>3221</v>
      </c>
      <c r="C608">
        <v>3594</v>
      </c>
      <c r="D608" t="s">
        <v>448</v>
      </c>
      <c r="E608" t="s">
        <v>449</v>
      </c>
      <c r="F608">
        <v>986.41</v>
      </c>
      <c r="G608">
        <v>230401</v>
      </c>
      <c r="H608">
        <v>4840</v>
      </c>
      <c r="I608" t="s">
        <v>19</v>
      </c>
      <c r="J608">
        <v>1223.1500000000001</v>
      </c>
      <c r="K608">
        <v>236.74</v>
      </c>
      <c r="L608">
        <v>17803</v>
      </c>
      <c r="M608" t="s">
        <v>389</v>
      </c>
      <c r="N608" t="str">
        <f t="shared" si="38"/>
        <v>0172140-4/19</v>
      </c>
      <c r="O608">
        <v>230317</v>
      </c>
    </row>
    <row r="609" spans="1:15" x14ac:dyDescent="0.25">
      <c r="A609" t="s">
        <v>16</v>
      </c>
      <c r="B609" t="s">
        <v>3221</v>
      </c>
      <c r="C609">
        <v>3594</v>
      </c>
      <c r="D609" t="s">
        <v>448</v>
      </c>
      <c r="E609" t="s">
        <v>449</v>
      </c>
      <c r="F609">
        <v>637.99</v>
      </c>
      <c r="G609">
        <v>230401</v>
      </c>
      <c r="H609">
        <v>4840</v>
      </c>
      <c r="I609" t="s">
        <v>19</v>
      </c>
      <c r="J609">
        <v>791.11</v>
      </c>
      <c r="K609">
        <v>153.12</v>
      </c>
      <c r="L609">
        <v>17804</v>
      </c>
      <c r="M609" t="s">
        <v>549</v>
      </c>
      <c r="N609" t="str">
        <f t="shared" si="38"/>
        <v>0172140-4/19</v>
      </c>
      <c r="O609">
        <v>230317</v>
      </c>
    </row>
    <row r="610" spans="1:15" x14ac:dyDescent="0.25">
      <c r="A610" t="s">
        <v>16</v>
      </c>
      <c r="B610" t="s">
        <v>3221</v>
      </c>
      <c r="C610">
        <v>3594</v>
      </c>
      <c r="D610" t="s">
        <v>448</v>
      </c>
      <c r="E610" t="s">
        <v>449</v>
      </c>
      <c r="F610">
        <v>338.63</v>
      </c>
      <c r="G610">
        <v>230401</v>
      </c>
      <c r="H610">
        <v>4840</v>
      </c>
      <c r="I610" t="s">
        <v>19</v>
      </c>
      <c r="J610">
        <v>419.9</v>
      </c>
      <c r="K610">
        <v>81.27</v>
      </c>
      <c r="L610">
        <v>17805</v>
      </c>
      <c r="M610" t="s">
        <v>102</v>
      </c>
      <c r="N610" t="str">
        <f t="shared" si="38"/>
        <v>0172140-4/19</v>
      </c>
      <c r="O610">
        <v>230317</v>
      </c>
    </row>
    <row r="611" spans="1:15" x14ac:dyDescent="0.25">
      <c r="A611" t="s">
        <v>16</v>
      </c>
      <c r="B611" t="s">
        <v>3221</v>
      </c>
      <c r="C611">
        <v>3594</v>
      </c>
      <c r="D611" t="s">
        <v>448</v>
      </c>
      <c r="E611" t="s">
        <v>449</v>
      </c>
      <c r="F611">
        <v>148.25</v>
      </c>
      <c r="G611">
        <v>230401</v>
      </c>
      <c r="H611">
        <v>4840</v>
      </c>
      <c r="I611" t="s">
        <v>19</v>
      </c>
      <c r="J611">
        <v>183.83</v>
      </c>
      <c r="K611">
        <v>35.58</v>
      </c>
      <c r="L611">
        <v>17806</v>
      </c>
      <c r="M611" t="s">
        <v>265</v>
      </c>
      <c r="N611" t="str">
        <f t="shared" si="38"/>
        <v>0172140-4/19</v>
      </c>
      <c r="O611">
        <v>230317</v>
      </c>
    </row>
    <row r="612" spans="1:15" x14ac:dyDescent="0.25">
      <c r="A612" t="s">
        <v>16</v>
      </c>
      <c r="B612" t="s">
        <v>3221</v>
      </c>
      <c r="C612">
        <v>3594</v>
      </c>
      <c r="D612" t="s">
        <v>448</v>
      </c>
      <c r="E612" t="s">
        <v>449</v>
      </c>
      <c r="F612">
        <v>1151.72</v>
      </c>
      <c r="G612">
        <v>230401</v>
      </c>
      <c r="H612">
        <v>4840</v>
      </c>
      <c r="I612" t="s">
        <v>19</v>
      </c>
      <c r="J612">
        <v>1428.13</v>
      </c>
      <c r="K612">
        <v>276.41000000000003</v>
      </c>
      <c r="L612">
        <v>17807</v>
      </c>
      <c r="M612" t="s">
        <v>318</v>
      </c>
      <c r="N612" t="str">
        <f t="shared" si="38"/>
        <v>0172140-4/19</v>
      </c>
      <c r="O612">
        <v>230317</v>
      </c>
    </row>
    <row r="613" spans="1:15" x14ac:dyDescent="0.25">
      <c r="A613" t="s">
        <v>16</v>
      </c>
      <c r="B613" t="s">
        <v>3221</v>
      </c>
      <c r="C613">
        <v>3594</v>
      </c>
      <c r="D613" t="s">
        <v>448</v>
      </c>
      <c r="E613" t="s">
        <v>449</v>
      </c>
      <c r="F613">
        <v>1458.99</v>
      </c>
      <c r="G613">
        <v>230401</v>
      </c>
      <c r="H613">
        <v>4840</v>
      </c>
      <c r="I613" t="s">
        <v>19</v>
      </c>
      <c r="J613">
        <v>1809.15</v>
      </c>
      <c r="K613">
        <v>350.16</v>
      </c>
      <c r="L613">
        <v>17808</v>
      </c>
      <c r="M613" t="s">
        <v>322</v>
      </c>
      <c r="N613" t="str">
        <f t="shared" si="38"/>
        <v>0172140-4/19</v>
      </c>
      <c r="O613">
        <v>230317</v>
      </c>
    </row>
    <row r="614" spans="1:15" x14ac:dyDescent="0.25">
      <c r="A614" t="s">
        <v>16</v>
      </c>
      <c r="B614" t="s">
        <v>3221</v>
      </c>
      <c r="C614">
        <v>3594</v>
      </c>
      <c r="D614" t="s">
        <v>448</v>
      </c>
      <c r="E614" t="s">
        <v>449</v>
      </c>
      <c r="F614">
        <v>539.52</v>
      </c>
      <c r="G614">
        <v>230401</v>
      </c>
      <c r="H614">
        <v>4840</v>
      </c>
      <c r="I614" t="s">
        <v>19</v>
      </c>
      <c r="J614">
        <v>669</v>
      </c>
      <c r="K614">
        <v>129.47999999999999</v>
      </c>
      <c r="L614">
        <v>17808</v>
      </c>
      <c r="M614" t="s">
        <v>322</v>
      </c>
      <c r="N614" t="str">
        <f t="shared" si="38"/>
        <v>0172140-4/19</v>
      </c>
      <c r="O614">
        <v>230317</v>
      </c>
    </row>
    <row r="615" spans="1:15" x14ac:dyDescent="0.25">
      <c r="A615" t="s">
        <v>16</v>
      </c>
      <c r="B615" t="s">
        <v>3221</v>
      </c>
      <c r="C615">
        <v>3594</v>
      </c>
      <c r="D615" t="s">
        <v>448</v>
      </c>
      <c r="E615" t="s">
        <v>449</v>
      </c>
      <c r="F615">
        <v>50.82</v>
      </c>
      <c r="G615">
        <v>230401</v>
      </c>
      <c r="H615">
        <v>4840</v>
      </c>
      <c r="I615" t="s">
        <v>19</v>
      </c>
      <c r="J615">
        <v>63.02</v>
      </c>
      <c r="K615">
        <v>12.2</v>
      </c>
      <c r="L615">
        <v>17913</v>
      </c>
      <c r="M615" t="s">
        <v>431</v>
      </c>
      <c r="N615" t="str">
        <f t="shared" si="38"/>
        <v>0172140-4/19</v>
      </c>
      <c r="O615">
        <v>230317</v>
      </c>
    </row>
    <row r="616" spans="1:15" x14ac:dyDescent="0.25">
      <c r="A616" t="s">
        <v>16</v>
      </c>
      <c r="B616" t="s">
        <v>3221</v>
      </c>
      <c r="C616">
        <v>3594</v>
      </c>
      <c r="D616" t="s">
        <v>448</v>
      </c>
      <c r="E616" t="s">
        <v>449</v>
      </c>
      <c r="F616">
        <v>313.12</v>
      </c>
      <c r="G616">
        <v>230401</v>
      </c>
      <c r="H616">
        <v>4840</v>
      </c>
      <c r="I616" t="s">
        <v>19</v>
      </c>
      <c r="J616">
        <v>388.27</v>
      </c>
      <c r="K616">
        <v>75.150000000000006</v>
      </c>
      <c r="L616">
        <v>17951</v>
      </c>
      <c r="M616" t="s">
        <v>87</v>
      </c>
      <c r="N616" t="str">
        <f t="shared" si="38"/>
        <v>0172140-4/19</v>
      </c>
      <c r="O616">
        <v>230317</v>
      </c>
    </row>
    <row r="617" spans="1:15" x14ac:dyDescent="0.25">
      <c r="A617" t="s">
        <v>16</v>
      </c>
      <c r="B617" t="s">
        <v>3221</v>
      </c>
      <c r="C617">
        <v>3594</v>
      </c>
      <c r="D617" t="s">
        <v>448</v>
      </c>
      <c r="E617" t="s">
        <v>449</v>
      </c>
      <c r="F617">
        <v>328.52</v>
      </c>
      <c r="G617">
        <v>230401</v>
      </c>
      <c r="H617">
        <v>4840</v>
      </c>
      <c r="I617" t="s">
        <v>19</v>
      </c>
      <c r="J617">
        <v>407.36</v>
      </c>
      <c r="K617">
        <v>78.84</v>
      </c>
      <c r="L617">
        <v>17971</v>
      </c>
      <c r="M617" t="s">
        <v>138</v>
      </c>
      <c r="N617" t="str">
        <f t="shared" si="38"/>
        <v>0172140-4/19</v>
      </c>
      <c r="O617">
        <v>230317</v>
      </c>
    </row>
    <row r="618" spans="1:15" x14ac:dyDescent="0.25">
      <c r="A618" t="s">
        <v>16</v>
      </c>
      <c r="B618" t="s">
        <v>3221</v>
      </c>
      <c r="C618">
        <v>3594</v>
      </c>
      <c r="D618" t="s">
        <v>448</v>
      </c>
      <c r="E618" t="s">
        <v>449</v>
      </c>
      <c r="F618">
        <v>437.43</v>
      </c>
      <c r="G618">
        <v>230401</v>
      </c>
      <c r="H618">
        <v>4840</v>
      </c>
      <c r="I618" t="s">
        <v>19</v>
      </c>
      <c r="J618">
        <v>542.41</v>
      </c>
      <c r="K618">
        <v>104.98</v>
      </c>
      <c r="L618">
        <v>17972</v>
      </c>
      <c r="M618" t="s">
        <v>248</v>
      </c>
      <c r="N618" t="str">
        <f t="shared" si="38"/>
        <v>0172140-4/19</v>
      </c>
      <c r="O618">
        <v>230317</v>
      </c>
    </row>
    <row r="619" spans="1:15" x14ac:dyDescent="0.25">
      <c r="A619" t="s">
        <v>16</v>
      </c>
      <c r="B619" t="s">
        <v>3221</v>
      </c>
      <c r="C619">
        <v>3761</v>
      </c>
      <c r="D619" t="s">
        <v>448</v>
      </c>
      <c r="E619" t="s">
        <v>449</v>
      </c>
      <c r="F619">
        <v>995.58</v>
      </c>
      <c r="G619">
        <v>230401</v>
      </c>
      <c r="H619">
        <v>4840</v>
      </c>
      <c r="I619" t="s">
        <v>19</v>
      </c>
      <c r="J619">
        <v>1234.52</v>
      </c>
      <c r="K619">
        <v>238.94</v>
      </c>
      <c r="L619">
        <v>16121</v>
      </c>
      <c r="M619" t="s">
        <v>21</v>
      </c>
      <c r="N619" t="str">
        <f t="shared" ref="N619:N626" si="39">"0172140-7/19"</f>
        <v>0172140-7/19</v>
      </c>
      <c r="O619">
        <v>230321</v>
      </c>
    </row>
    <row r="620" spans="1:15" x14ac:dyDescent="0.25">
      <c r="A620" t="s">
        <v>16</v>
      </c>
      <c r="B620" t="s">
        <v>3221</v>
      </c>
      <c r="C620">
        <v>3761</v>
      </c>
      <c r="D620" t="s">
        <v>448</v>
      </c>
      <c r="E620" t="s">
        <v>449</v>
      </c>
      <c r="F620">
        <v>368.47</v>
      </c>
      <c r="G620">
        <v>230401</v>
      </c>
      <c r="H620">
        <v>4840</v>
      </c>
      <c r="I620" t="s">
        <v>19</v>
      </c>
      <c r="J620">
        <v>456.9</v>
      </c>
      <c r="K620">
        <v>88.43</v>
      </c>
      <c r="L620">
        <v>16121</v>
      </c>
      <c r="M620" t="s">
        <v>21</v>
      </c>
      <c r="N620" t="str">
        <f t="shared" si="39"/>
        <v>0172140-7/19</v>
      </c>
      <c r="O620">
        <v>230321</v>
      </c>
    </row>
    <row r="621" spans="1:15" x14ac:dyDescent="0.25">
      <c r="A621" t="s">
        <v>16</v>
      </c>
      <c r="B621" t="s">
        <v>3221</v>
      </c>
      <c r="C621">
        <v>3761</v>
      </c>
      <c r="D621" t="s">
        <v>448</v>
      </c>
      <c r="E621" t="s">
        <v>449</v>
      </c>
      <c r="F621">
        <v>50.82</v>
      </c>
      <c r="G621">
        <v>230401</v>
      </c>
      <c r="H621">
        <v>4840</v>
      </c>
      <c r="I621" t="s">
        <v>19</v>
      </c>
      <c r="J621">
        <v>63.02</v>
      </c>
      <c r="K621">
        <v>12.2</v>
      </c>
      <c r="L621">
        <v>16322</v>
      </c>
      <c r="M621" t="s">
        <v>22</v>
      </c>
      <c r="N621" t="str">
        <f t="shared" si="39"/>
        <v>0172140-7/19</v>
      </c>
      <c r="O621">
        <v>230321</v>
      </c>
    </row>
    <row r="622" spans="1:15" x14ac:dyDescent="0.25">
      <c r="A622" t="s">
        <v>16</v>
      </c>
      <c r="B622" t="s">
        <v>3221</v>
      </c>
      <c r="C622">
        <v>3761</v>
      </c>
      <c r="D622" t="s">
        <v>448</v>
      </c>
      <c r="E622" t="s">
        <v>449</v>
      </c>
      <c r="F622">
        <v>2287.35</v>
      </c>
      <c r="G622">
        <v>230401</v>
      </c>
      <c r="H622">
        <v>4840</v>
      </c>
      <c r="I622" t="s">
        <v>19</v>
      </c>
      <c r="J622">
        <v>2836.31</v>
      </c>
      <c r="K622">
        <v>548.96</v>
      </c>
      <c r="L622">
        <v>16820</v>
      </c>
      <c r="M622" t="s">
        <v>23</v>
      </c>
      <c r="N622" t="str">
        <f t="shared" si="39"/>
        <v>0172140-7/19</v>
      </c>
      <c r="O622">
        <v>230321</v>
      </c>
    </row>
    <row r="623" spans="1:15" x14ac:dyDescent="0.25">
      <c r="A623" t="s">
        <v>16</v>
      </c>
      <c r="B623" t="s">
        <v>3221</v>
      </c>
      <c r="C623">
        <v>3761</v>
      </c>
      <c r="D623" t="s">
        <v>448</v>
      </c>
      <c r="E623" t="s">
        <v>449</v>
      </c>
      <c r="F623">
        <v>299.61</v>
      </c>
      <c r="G623">
        <v>230401</v>
      </c>
      <c r="H623">
        <v>4840</v>
      </c>
      <c r="I623" t="s">
        <v>19</v>
      </c>
      <c r="J623">
        <v>371.52</v>
      </c>
      <c r="K623">
        <v>71.91</v>
      </c>
      <c r="L623">
        <v>17862</v>
      </c>
      <c r="M623" t="s">
        <v>319</v>
      </c>
      <c r="N623" t="str">
        <f t="shared" si="39"/>
        <v>0172140-7/19</v>
      </c>
      <c r="O623">
        <v>230321</v>
      </c>
    </row>
    <row r="624" spans="1:15" x14ac:dyDescent="0.25">
      <c r="A624" t="s">
        <v>16</v>
      </c>
      <c r="B624" t="s">
        <v>3221</v>
      </c>
      <c r="C624">
        <v>3761</v>
      </c>
      <c r="D624" t="s">
        <v>448</v>
      </c>
      <c r="E624" t="s">
        <v>449</v>
      </c>
      <c r="F624">
        <v>57</v>
      </c>
      <c r="G624">
        <v>230401</v>
      </c>
      <c r="H624">
        <v>4840</v>
      </c>
      <c r="I624" t="s">
        <v>19</v>
      </c>
      <c r="J624">
        <v>70.680000000000007</v>
      </c>
      <c r="K624">
        <v>13.68</v>
      </c>
      <c r="L624">
        <v>17971</v>
      </c>
      <c r="M624" t="s">
        <v>138</v>
      </c>
      <c r="N624" t="str">
        <f t="shared" si="39"/>
        <v>0172140-7/19</v>
      </c>
      <c r="O624">
        <v>230321</v>
      </c>
    </row>
    <row r="625" spans="1:15" x14ac:dyDescent="0.25">
      <c r="A625" t="s">
        <v>16</v>
      </c>
      <c r="B625" t="s">
        <v>3221</v>
      </c>
      <c r="C625">
        <v>3761</v>
      </c>
      <c r="D625" t="s">
        <v>448</v>
      </c>
      <c r="E625" t="s">
        <v>449</v>
      </c>
      <c r="F625">
        <v>54.06</v>
      </c>
      <c r="G625">
        <v>230401</v>
      </c>
      <c r="H625">
        <v>4840</v>
      </c>
      <c r="I625" t="s">
        <v>19</v>
      </c>
      <c r="J625">
        <v>67.03</v>
      </c>
      <c r="K625">
        <v>12.97</v>
      </c>
      <c r="L625">
        <v>17972</v>
      </c>
      <c r="M625" t="s">
        <v>248</v>
      </c>
      <c r="N625" t="str">
        <f t="shared" si="39"/>
        <v>0172140-7/19</v>
      </c>
      <c r="O625">
        <v>230321</v>
      </c>
    </row>
    <row r="626" spans="1:15" x14ac:dyDescent="0.25">
      <c r="A626" t="s">
        <v>16</v>
      </c>
      <c r="B626" t="s">
        <v>3221</v>
      </c>
      <c r="C626">
        <v>3761</v>
      </c>
      <c r="D626" t="s">
        <v>448</v>
      </c>
      <c r="E626" t="s">
        <v>449</v>
      </c>
      <c r="F626">
        <v>121.27</v>
      </c>
      <c r="G626">
        <v>230401</v>
      </c>
      <c r="H626">
        <v>4840</v>
      </c>
      <c r="I626" t="s">
        <v>19</v>
      </c>
      <c r="J626">
        <v>150.37</v>
      </c>
      <c r="K626">
        <v>29.1</v>
      </c>
      <c r="L626">
        <v>17974</v>
      </c>
      <c r="M626" t="s">
        <v>460</v>
      </c>
      <c r="N626" t="str">
        <f t="shared" si="39"/>
        <v>0172140-7/19</v>
      </c>
      <c r="O626">
        <v>230321</v>
      </c>
    </row>
    <row r="627" spans="1:15" x14ac:dyDescent="0.25">
      <c r="A627" t="s">
        <v>16</v>
      </c>
      <c r="B627" t="s">
        <v>3221</v>
      </c>
      <c r="C627">
        <v>3830</v>
      </c>
      <c r="D627" t="s">
        <v>448</v>
      </c>
      <c r="E627" t="s">
        <v>449</v>
      </c>
      <c r="F627">
        <v>6946.6</v>
      </c>
      <c r="G627">
        <v>230401</v>
      </c>
      <c r="H627">
        <v>4840</v>
      </c>
      <c r="I627" t="s">
        <v>19</v>
      </c>
      <c r="J627">
        <v>8613.7900000000009</v>
      </c>
      <c r="K627">
        <v>1667.19</v>
      </c>
      <c r="L627">
        <v>13401</v>
      </c>
      <c r="M627" t="s">
        <v>80</v>
      </c>
      <c r="N627" t="str">
        <f>"172140-15/19"</f>
        <v>172140-15/19</v>
      </c>
      <c r="O627">
        <v>230323</v>
      </c>
    </row>
    <row r="628" spans="1:15" x14ac:dyDescent="0.25">
      <c r="A628" t="s">
        <v>16</v>
      </c>
      <c r="B628" t="s">
        <v>3221</v>
      </c>
      <c r="C628">
        <v>3830</v>
      </c>
      <c r="D628" t="s">
        <v>448</v>
      </c>
      <c r="E628" t="s">
        <v>449</v>
      </c>
      <c r="F628">
        <v>100.65</v>
      </c>
      <c r="G628">
        <v>230401</v>
      </c>
      <c r="H628">
        <v>4840</v>
      </c>
      <c r="I628" t="s">
        <v>19</v>
      </c>
      <c r="J628">
        <v>124.81</v>
      </c>
      <c r="K628">
        <v>24.16</v>
      </c>
      <c r="L628">
        <v>13401</v>
      </c>
      <c r="M628" t="s">
        <v>80</v>
      </c>
      <c r="N628" t="str">
        <f>"172140-15/19"</f>
        <v>172140-15/19</v>
      </c>
      <c r="O628">
        <v>230323</v>
      </c>
    </row>
    <row r="629" spans="1:15" x14ac:dyDescent="0.25">
      <c r="A629" t="s">
        <v>16</v>
      </c>
      <c r="B629" t="s">
        <v>3221</v>
      </c>
      <c r="C629">
        <v>3943</v>
      </c>
      <c r="D629" t="s">
        <v>448</v>
      </c>
      <c r="E629" t="s">
        <v>449</v>
      </c>
      <c r="F629">
        <v>34.32</v>
      </c>
      <c r="G629">
        <v>230401</v>
      </c>
      <c r="H629">
        <v>4840</v>
      </c>
      <c r="I629" t="s">
        <v>19</v>
      </c>
      <c r="J629">
        <v>42.56</v>
      </c>
      <c r="K629">
        <v>8.24</v>
      </c>
      <c r="L629">
        <v>11601</v>
      </c>
      <c r="M629" t="s">
        <v>535</v>
      </c>
      <c r="N629" t="str">
        <f t="shared" ref="N629:N658" si="40">"172140-11/19"</f>
        <v>172140-11/19</v>
      </c>
      <c r="O629">
        <v>230327</v>
      </c>
    </row>
    <row r="630" spans="1:15" x14ac:dyDescent="0.25">
      <c r="A630" t="s">
        <v>16</v>
      </c>
      <c r="B630" t="s">
        <v>3221</v>
      </c>
      <c r="C630">
        <v>3943</v>
      </c>
      <c r="D630" t="s">
        <v>448</v>
      </c>
      <c r="E630" t="s">
        <v>449</v>
      </c>
      <c r="F630">
        <v>2083.81</v>
      </c>
      <c r="G630">
        <v>230401</v>
      </c>
      <c r="H630">
        <v>4840</v>
      </c>
      <c r="I630" t="s">
        <v>19</v>
      </c>
      <c r="J630">
        <v>2583.9299999999998</v>
      </c>
      <c r="K630">
        <v>500.12</v>
      </c>
      <c r="L630">
        <v>41126</v>
      </c>
      <c r="M630" t="s">
        <v>761</v>
      </c>
      <c r="N630" t="str">
        <f t="shared" si="40"/>
        <v>172140-11/19</v>
      </c>
      <c r="O630">
        <v>230327</v>
      </c>
    </row>
    <row r="631" spans="1:15" x14ac:dyDescent="0.25">
      <c r="A631" t="s">
        <v>16</v>
      </c>
      <c r="B631" t="s">
        <v>3221</v>
      </c>
      <c r="C631">
        <v>3943</v>
      </c>
      <c r="D631" t="s">
        <v>448</v>
      </c>
      <c r="E631" t="s">
        <v>449</v>
      </c>
      <c r="F631">
        <v>165.3</v>
      </c>
      <c r="G631">
        <v>230401</v>
      </c>
      <c r="H631">
        <v>4840</v>
      </c>
      <c r="I631" t="s">
        <v>19</v>
      </c>
      <c r="J631">
        <v>204.97</v>
      </c>
      <c r="K631">
        <v>39.67</v>
      </c>
      <c r="L631">
        <v>41126</v>
      </c>
      <c r="M631" t="s">
        <v>761</v>
      </c>
      <c r="N631" t="str">
        <f t="shared" si="40"/>
        <v>172140-11/19</v>
      </c>
      <c r="O631">
        <v>230327</v>
      </c>
    </row>
    <row r="632" spans="1:15" x14ac:dyDescent="0.25">
      <c r="A632" t="s">
        <v>16</v>
      </c>
      <c r="B632" t="s">
        <v>3221</v>
      </c>
      <c r="C632">
        <v>3943</v>
      </c>
      <c r="D632" t="s">
        <v>448</v>
      </c>
      <c r="E632" t="s">
        <v>449</v>
      </c>
      <c r="F632">
        <v>692.2</v>
      </c>
      <c r="G632">
        <v>230401</v>
      </c>
      <c r="H632">
        <v>4840</v>
      </c>
      <c r="I632" t="s">
        <v>19</v>
      </c>
      <c r="J632">
        <v>858.33</v>
      </c>
      <c r="K632">
        <v>166.13</v>
      </c>
      <c r="L632">
        <v>43222</v>
      </c>
      <c r="M632" t="s">
        <v>507</v>
      </c>
      <c r="N632" t="str">
        <f t="shared" si="40"/>
        <v>172140-11/19</v>
      </c>
      <c r="O632">
        <v>230327</v>
      </c>
    </row>
    <row r="633" spans="1:15" x14ac:dyDescent="0.25">
      <c r="A633" t="s">
        <v>16</v>
      </c>
      <c r="B633" t="s">
        <v>3221</v>
      </c>
      <c r="C633">
        <v>3943</v>
      </c>
      <c r="D633" t="s">
        <v>448</v>
      </c>
      <c r="E633" t="s">
        <v>449</v>
      </c>
      <c r="F633">
        <v>33.06</v>
      </c>
      <c r="G633">
        <v>230401</v>
      </c>
      <c r="H633">
        <v>4840</v>
      </c>
      <c r="I633" t="s">
        <v>19</v>
      </c>
      <c r="J633">
        <v>40.99</v>
      </c>
      <c r="K633">
        <v>7.93</v>
      </c>
      <c r="L633">
        <v>43222</v>
      </c>
      <c r="M633" t="s">
        <v>507</v>
      </c>
      <c r="N633" t="str">
        <f t="shared" si="40"/>
        <v>172140-11/19</v>
      </c>
      <c r="O633">
        <v>230327</v>
      </c>
    </row>
    <row r="634" spans="1:15" x14ac:dyDescent="0.25">
      <c r="A634" t="s">
        <v>16</v>
      </c>
      <c r="B634" t="s">
        <v>3221</v>
      </c>
      <c r="C634">
        <v>3943</v>
      </c>
      <c r="D634" t="s">
        <v>448</v>
      </c>
      <c r="E634" t="s">
        <v>449</v>
      </c>
      <c r="F634">
        <v>1481.66</v>
      </c>
      <c r="G634">
        <v>230401</v>
      </c>
      <c r="H634">
        <v>4840</v>
      </c>
      <c r="I634" t="s">
        <v>19</v>
      </c>
      <c r="J634">
        <v>1837.26</v>
      </c>
      <c r="K634">
        <v>355.6</v>
      </c>
      <c r="L634">
        <v>44222</v>
      </c>
      <c r="M634" t="s">
        <v>232</v>
      </c>
      <c r="N634" t="str">
        <f t="shared" si="40"/>
        <v>172140-11/19</v>
      </c>
      <c r="O634">
        <v>230327</v>
      </c>
    </row>
    <row r="635" spans="1:15" x14ac:dyDescent="0.25">
      <c r="A635" t="s">
        <v>16</v>
      </c>
      <c r="B635" t="s">
        <v>3221</v>
      </c>
      <c r="C635">
        <v>3943</v>
      </c>
      <c r="D635" t="s">
        <v>448</v>
      </c>
      <c r="E635" t="s">
        <v>449</v>
      </c>
      <c r="F635">
        <v>33.06</v>
      </c>
      <c r="G635">
        <v>230401</v>
      </c>
      <c r="H635">
        <v>4840</v>
      </c>
      <c r="I635" t="s">
        <v>19</v>
      </c>
      <c r="J635">
        <v>40.99</v>
      </c>
      <c r="K635">
        <v>7.93</v>
      </c>
      <c r="L635">
        <v>44422</v>
      </c>
      <c r="M635" t="s">
        <v>482</v>
      </c>
      <c r="N635" t="str">
        <f t="shared" si="40"/>
        <v>172140-11/19</v>
      </c>
      <c r="O635">
        <v>230327</v>
      </c>
    </row>
    <row r="636" spans="1:15" x14ac:dyDescent="0.25">
      <c r="A636" t="s">
        <v>16</v>
      </c>
      <c r="B636" t="s">
        <v>3221</v>
      </c>
      <c r="C636">
        <v>3943</v>
      </c>
      <c r="D636" t="s">
        <v>448</v>
      </c>
      <c r="E636" t="s">
        <v>449</v>
      </c>
      <c r="F636">
        <v>33.06</v>
      </c>
      <c r="G636">
        <v>230401</v>
      </c>
      <c r="H636">
        <v>4840</v>
      </c>
      <c r="I636" t="s">
        <v>19</v>
      </c>
      <c r="J636">
        <v>40.99</v>
      </c>
      <c r="K636">
        <v>7.93</v>
      </c>
      <c r="L636">
        <v>44422</v>
      </c>
      <c r="M636" t="s">
        <v>482</v>
      </c>
      <c r="N636" t="str">
        <f t="shared" si="40"/>
        <v>172140-11/19</v>
      </c>
      <c r="O636">
        <v>230327</v>
      </c>
    </row>
    <row r="637" spans="1:15" x14ac:dyDescent="0.25">
      <c r="A637" t="s">
        <v>16</v>
      </c>
      <c r="B637" t="s">
        <v>3221</v>
      </c>
      <c r="C637">
        <v>3943</v>
      </c>
      <c r="D637" t="s">
        <v>448</v>
      </c>
      <c r="E637" t="s">
        <v>449</v>
      </c>
      <c r="F637">
        <v>66.12</v>
      </c>
      <c r="G637">
        <v>230401</v>
      </c>
      <c r="H637">
        <v>4840</v>
      </c>
      <c r="I637" t="s">
        <v>19</v>
      </c>
      <c r="J637">
        <v>81.99</v>
      </c>
      <c r="K637">
        <v>15.87</v>
      </c>
      <c r="L637">
        <v>44423</v>
      </c>
      <c r="M637" t="s">
        <v>502</v>
      </c>
      <c r="N637" t="str">
        <f t="shared" si="40"/>
        <v>172140-11/19</v>
      </c>
      <c r="O637">
        <v>230327</v>
      </c>
    </row>
    <row r="638" spans="1:15" x14ac:dyDescent="0.25">
      <c r="A638" t="s">
        <v>16</v>
      </c>
      <c r="B638" t="s">
        <v>3221</v>
      </c>
      <c r="C638">
        <v>3943</v>
      </c>
      <c r="D638" t="s">
        <v>448</v>
      </c>
      <c r="E638" t="s">
        <v>449</v>
      </c>
      <c r="F638">
        <v>66.12</v>
      </c>
      <c r="G638">
        <v>230401</v>
      </c>
      <c r="H638">
        <v>4840</v>
      </c>
      <c r="I638" t="s">
        <v>19</v>
      </c>
      <c r="J638">
        <v>81.99</v>
      </c>
      <c r="K638">
        <v>15.87</v>
      </c>
      <c r="L638">
        <v>44423</v>
      </c>
      <c r="M638" t="s">
        <v>502</v>
      </c>
      <c r="N638" t="str">
        <f t="shared" si="40"/>
        <v>172140-11/19</v>
      </c>
      <c r="O638">
        <v>230327</v>
      </c>
    </row>
    <row r="639" spans="1:15" x14ac:dyDescent="0.25">
      <c r="A639" t="s">
        <v>16</v>
      </c>
      <c r="B639" t="s">
        <v>3221</v>
      </c>
      <c r="C639">
        <v>3943</v>
      </c>
      <c r="D639" t="s">
        <v>448</v>
      </c>
      <c r="E639" t="s">
        <v>449</v>
      </c>
      <c r="F639">
        <v>1665.3</v>
      </c>
      <c r="G639">
        <v>230401</v>
      </c>
      <c r="H639">
        <v>4840</v>
      </c>
      <c r="I639" t="s">
        <v>19</v>
      </c>
      <c r="J639">
        <v>2064.9699999999998</v>
      </c>
      <c r="K639">
        <v>399.67</v>
      </c>
      <c r="L639">
        <v>44424</v>
      </c>
      <c r="M639" t="s">
        <v>776</v>
      </c>
      <c r="N639" t="str">
        <f t="shared" si="40"/>
        <v>172140-11/19</v>
      </c>
      <c r="O639">
        <v>230327</v>
      </c>
    </row>
    <row r="640" spans="1:15" x14ac:dyDescent="0.25">
      <c r="A640" t="s">
        <v>16</v>
      </c>
      <c r="B640" t="s">
        <v>3221</v>
      </c>
      <c r="C640">
        <v>3943</v>
      </c>
      <c r="D640" t="s">
        <v>448</v>
      </c>
      <c r="E640" t="s">
        <v>449</v>
      </c>
      <c r="F640">
        <v>33.79</v>
      </c>
      <c r="G640">
        <v>230401</v>
      </c>
      <c r="H640">
        <v>4840</v>
      </c>
      <c r="I640" t="s">
        <v>19</v>
      </c>
      <c r="J640">
        <v>41.9</v>
      </c>
      <c r="K640">
        <v>8.11</v>
      </c>
      <c r="L640">
        <v>44453</v>
      </c>
      <c r="M640" t="s">
        <v>492</v>
      </c>
      <c r="N640" t="str">
        <f t="shared" si="40"/>
        <v>172140-11/19</v>
      </c>
      <c r="O640">
        <v>230327</v>
      </c>
    </row>
    <row r="641" spans="1:15" x14ac:dyDescent="0.25">
      <c r="A641" t="s">
        <v>16</v>
      </c>
      <c r="B641" t="s">
        <v>3221</v>
      </c>
      <c r="C641">
        <v>3943</v>
      </c>
      <c r="D641" t="s">
        <v>448</v>
      </c>
      <c r="E641" t="s">
        <v>449</v>
      </c>
      <c r="F641">
        <v>1623.09</v>
      </c>
      <c r="G641">
        <v>230401</v>
      </c>
      <c r="H641">
        <v>4840</v>
      </c>
      <c r="I641" t="s">
        <v>19</v>
      </c>
      <c r="J641">
        <v>2012.63</v>
      </c>
      <c r="K641">
        <v>389.54</v>
      </c>
      <c r="L641">
        <v>46222</v>
      </c>
      <c r="M641" t="s">
        <v>293</v>
      </c>
      <c r="N641" t="str">
        <f t="shared" si="40"/>
        <v>172140-11/19</v>
      </c>
      <c r="O641">
        <v>230327</v>
      </c>
    </row>
    <row r="642" spans="1:15" x14ac:dyDescent="0.25">
      <c r="A642" t="s">
        <v>16</v>
      </c>
      <c r="B642" t="s">
        <v>3221</v>
      </c>
      <c r="C642">
        <v>3943</v>
      </c>
      <c r="D642" t="s">
        <v>448</v>
      </c>
      <c r="E642" t="s">
        <v>449</v>
      </c>
      <c r="F642">
        <v>33.06</v>
      </c>
      <c r="G642">
        <v>230401</v>
      </c>
      <c r="H642">
        <v>4840</v>
      </c>
      <c r="I642" t="s">
        <v>19</v>
      </c>
      <c r="J642">
        <v>40.99</v>
      </c>
      <c r="K642">
        <v>7.93</v>
      </c>
      <c r="L642">
        <v>46222</v>
      </c>
      <c r="M642" t="s">
        <v>293</v>
      </c>
      <c r="N642" t="str">
        <f t="shared" si="40"/>
        <v>172140-11/19</v>
      </c>
      <c r="O642">
        <v>230327</v>
      </c>
    </row>
    <row r="643" spans="1:15" x14ac:dyDescent="0.25">
      <c r="A643" t="s">
        <v>16</v>
      </c>
      <c r="B643" t="s">
        <v>3221</v>
      </c>
      <c r="C643">
        <v>3943</v>
      </c>
      <c r="D643" t="s">
        <v>448</v>
      </c>
      <c r="E643" t="s">
        <v>449</v>
      </c>
      <c r="F643">
        <v>1316.69</v>
      </c>
      <c r="G643">
        <v>230401</v>
      </c>
      <c r="H643">
        <v>4840</v>
      </c>
      <c r="I643" t="s">
        <v>19</v>
      </c>
      <c r="J643">
        <v>1632.7</v>
      </c>
      <c r="K643">
        <v>316.01</v>
      </c>
      <c r="L643">
        <v>46554</v>
      </c>
      <c r="M643" t="s">
        <v>117</v>
      </c>
      <c r="N643" t="str">
        <f t="shared" si="40"/>
        <v>172140-11/19</v>
      </c>
      <c r="O643">
        <v>230327</v>
      </c>
    </row>
    <row r="644" spans="1:15" x14ac:dyDescent="0.25">
      <c r="A644" t="s">
        <v>16</v>
      </c>
      <c r="B644" t="s">
        <v>3221</v>
      </c>
      <c r="C644">
        <v>3943</v>
      </c>
      <c r="D644" t="s">
        <v>448</v>
      </c>
      <c r="E644" t="s">
        <v>449</v>
      </c>
      <c r="F644">
        <v>1826.6</v>
      </c>
      <c r="G644">
        <v>230401</v>
      </c>
      <c r="H644">
        <v>4840</v>
      </c>
      <c r="I644" t="s">
        <v>19</v>
      </c>
      <c r="J644">
        <v>2264.98</v>
      </c>
      <c r="K644">
        <v>438.38</v>
      </c>
      <c r="L644">
        <v>46555</v>
      </c>
      <c r="M644" t="s">
        <v>597</v>
      </c>
      <c r="N644" t="str">
        <f t="shared" si="40"/>
        <v>172140-11/19</v>
      </c>
      <c r="O644">
        <v>230327</v>
      </c>
    </row>
    <row r="645" spans="1:15" x14ac:dyDescent="0.25">
      <c r="A645" t="s">
        <v>16</v>
      </c>
      <c r="B645" t="s">
        <v>3221</v>
      </c>
      <c r="C645">
        <v>3943</v>
      </c>
      <c r="D645" t="s">
        <v>448</v>
      </c>
      <c r="E645" t="s">
        <v>449</v>
      </c>
      <c r="F645">
        <v>165.3</v>
      </c>
      <c r="G645">
        <v>230401</v>
      </c>
      <c r="H645">
        <v>4840</v>
      </c>
      <c r="I645" t="s">
        <v>19</v>
      </c>
      <c r="J645">
        <v>204.97</v>
      </c>
      <c r="K645">
        <v>39.67</v>
      </c>
      <c r="L645">
        <v>46555</v>
      </c>
      <c r="M645" t="s">
        <v>597</v>
      </c>
      <c r="N645" t="str">
        <f t="shared" si="40"/>
        <v>172140-11/19</v>
      </c>
      <c r="O645">
        <v>230327</v>
      </c>
    </row>
    <row r="646" spans="1:15" x14ac:dyDescent="0.25">
      <c r="A646" t="s">
        <v>16</v>
      </c>
      <c r="B646" t="s">
        <v>3221</v>
      </c>
      <c r="C646">
        <v>3943</v>
      </c>
      <c r="D646" t="s">
        <v>448</v>
      </c>
      <c r="E646" t="s">
        <v>449</v>
      </c>
      <c r="F646">
        <v>446.82</v>
      </c>
      <c r="G646">
        <v>230401</v>
      </c>
      <c r="H646">
        <v>4840</v>
      </c>
      <c r="I646" t="s">
        <v>19</v>
      </c>
      <c r="J646">
        <v>554.05999999999995</v>
      </c>
      <c r="K646">
        <v>107.24</v>
      </c>
      <c r="L646">
        <v>46556</v>
      </c>
      <c r="M646" t="s">
        <v>125</v>
      </c>
      <c r="N646" t="str">
        <f t="shared" si="40"/>
        <v>172140-11/19</v>
      </c>
      <c r="O646">
        <v>230327</v>
      </c>
    </row>
    <row r="647" spans="1:15" x14ac:dyDescent="0.25">
      <c r="A647" t="s">
        <v>16</v>
      </c>
      <c r="B647" t="s">
        <v>3221</v>
      </c>
      <c r="C647">
        <v>3943</v>
      </c>
      <c r="D647" t="s">
        <v>448</v>
      </c>
      <c r="E647" t="s">
        <v>449</v>
      </c>
      <c r="F647">
        <v>840.52</v>
      </c>
      <c r="G647">
        <v>230401</v>
      </c>
      <c r="H647">
        <v>4840</v>
      </c>
      <c r="I647" t="s">
        <v>19</v>
      </c>
      <c r="J647">
        <v>1042.24</v>
      </c>
      <c r="K647">
        <v>201.72</v>
      </c>
      <c r="L647">
        <v>46557</v>
      </c>
      <c r="M647" t="s">
        <v>221</v>
      </c>
      <c r="N647" t="str">
        <f t="shared" si="40"/>
        <v>172140-11/19</v>
      </c>
      <c r="O647">
        <v>230327</v>
      </c>
    </row>
    <row r="648" spans="1:15" x14ac:dyDescent="0.25">
      <c r="A648" t="s">
        <v>16</v>
      </c>
      <c r="B648" t="s">
        <v>3221</v>
      </c>
      <c r="C648">
        <v>3943</v>
      </c>
      <c r="D648" t="s">
        <v>448</v>
      </c>
      <c r="E648" t="s">
        <v>449</v>
      </c>
      <c r="F648">
        <v>33.06</v>
      </c>
      <c r="G648">
        <v>230401</v>
      </c>
      <c r="H648">
        <v>4840</v>
      </c>
      <c r="I648" t="s">
        <v>19</v>
      </c>
      <c r="J648">
        <v>40.99</v>
      </c>
      <c r="K648">
        <v>7.93</v>
      </c>
      <c r="L648">
        <v>46557</v>
      </c>
      <c r="M648" t="s">
        <v>221</v>
      </c>
      <c r="N648" t="str">
        <f t="shared" si="40"/>
        <v>172140-11/19</v>
      </c>
      <c r="O648">
        <v>230327</v>
      </c>
    </row>
    <row r="649" spans="1:15" x14ac:dyDescent="0.25">
      <c r="A649" t="s">
        <v>16</v>
      </c>
      <c r="B649" t="s">
        <v>3221</v>
      </c>
      <c r="C649">
        <v>3943</v>
      </c>
      <c r="D649" t="s">
        <v>448</v>
      </c>
      <c r="E649" t="s">
        <v>449</v>
      </c>
      <c r="F649">
        <v>1133.69</v>
      </c>
      <c r="G649">
        <v>230401</v>
      </c>
      <c r="H649">
        <v>4840</v>
      </c>
      <c r="I649" t="s">
        <v>19</v>
      </c>
      <c r="J649">
        <v>1405.77</v>
      </c>
      <c r="K649">
        <v>272.08</v>
      </c>
      <c r="L649">
        <v>46559</v>
      </c>
      <c r="M649" t="s">
        <v>1104</v>
      </c>
      <c r="N649" t="str">
        <f t="shared" si="40"/>
        <v>172140-11/19</v>
      </c>
      <c r="O649">
        <v>230327</v>
      </c>
    </row>
    <row r="650" spans="1:15" x14ac:dyDescent="0.25">
      <c r="A650" t="s">
        <v>16</v>
      </c>
      <c r="B650" t="s">
        <v>3221</v>
      </c>
      <c r="C650">
        <v>3943</v>
      </c>
      <c r="D650" t="s">
        <v>448</v>
      </c>
      <c r="E650" t="s">
        <v>449</v>
      </c>
      <c r="F650">
        <v>1870.6</v>
      </c>
      <c r="G650">
        <v>230401</v>
      </c>
      <c r="H650">
        <v>4840</v>
      </c>
      <c r="I650" t="s">
        <v>19</v>
      </c>
      <c r="J650">
        <v>2319.54</v>
      </c>
      <c r="K650">
        <v>448.94</v>
      </c>
      <c r="L650">
        <v>47522</v>
      </c>
      <c r="M650" t="s">
        <v>410</v>
      </c>
      <c r="N650" t="str">
        <f t="shared" si="40"/>
        <v>172140-11/19</v>
      </c>
      <c r="O650">
        <v>230327</v>
      </c>
    </row>
    <row r="651" spans="1:15" x14ac:dyDescent="0.25">
      <c r="A651" t="s">
        <v>16</v>
      </c>
      <c r="B651" t="s">
        <v>3221</v>
      </c>
      <c r="C651">
        <v>3943</v>
      </c>
      <c r="D651" t="s">
        <v>448</v>
      </c>
      <c r="E651" t="s">
        <v>449</v>
      </c>
      <c r="F651">
        <v>54.53</v>
      </c>
      <c r="G651">
        <v>230401</v>
      </c>
      <c r="H651">
        <v>4840</v>
      </c>
      <c r="I651" t="s">
        <v>19</v>
      </c>
      <c r="J651">
        <v>67.62</v>
      </c>
      <c r="K651">
        <v>13.09</v>
      </c>
      <c r="L651">
        <v>48601</v>
      </c>
      <c r="M651" t="s">
        <v>1047</v>
      </c>
      <c r="N651" t="str">
        <f t="shared" si="40"/>
        <v>172140-11/19</v>
      </c>
      <c r="O651">
        <v>230327</v>
      </c>
    </row>
    <row r="652" spans="1:15" x14ac:dyDescent="0.25">
      <c r="A652" t="s">
        <v>16</v>
      </c>
      <c r="B652" t="s">
        <v>3221</v>
      </c>
      <c r="C652">
        <v>3943</v>
      </c>
      <c r="D652" t="s">
        <v>448</v>
      </c>
      <c r="E652" t="s">
        <v>449</v>
      </c>
      <c r="F652">
        <v>761.8</v>
      </c>
      <c r="G652">
        <v>230401</v>
      </c>
      <c r="H652">
        <v>4840</v>
      </c>
      <c r="I652" t="s">
        <v>19</v>
      </c>
      <c r="J652">
        <v>944.63</v>
      </c>
      <c r="K652">
        <v>182.83</v>
      </c>
      <c r="L652">
        <v>48601</v>
      </c>
      <c r="M652" t="s">
        <v>1047</v>
      </c>
      <c r="N652" t="str">
        <f t="shared" si="40"/>
        <v>172140-11/19</v>
      </c>
      <c r="O652">
        <v>230327</v>
      </c>
    </row>
    <row r="653" spans="1:15" x14ac:dyDescent="0.25">
      <c r="A653" t="s">
        <v>16</v>
      </c>
      <c r="B653" t="s">
        <v>3221</v>
      </c>
      <c r="C653">
        <v>3943</v>
      </c>
      <c r="D653" t="s">
        <v>448</v>
      </c>
      <c r="E653" t="s">
        <v>449</v>
      </c>
      <c r="F653">
        <v>18.920000000000002</v>
      </c>
      <c r="G653">
        <v>230401</v>
      </c>
      <c r="H653">
        <v>4840</v>
      </c>
      <c r="I653" t="s">
        <v>19</v>
      </c>
      <c r="J653">
        <v>23.46</v>
      </c>
      <c r="K653">
        <v>4.54</v>
      </c>
      <c r="L653">
        <v>49112</v>
      </c>
      <c r="M653" t="s">
        <v>233</v>
      </c>
      <c r="N653" t="str">
        <f t="shared" si="40"/>
        <v>172140-11/19</v>
      </c>
      <c r="O653">
        <v>230327</v>
      </c>
    </row>
    <row r="654" spans="1:15" x14ac:dyDescent="0.25">
      <c r="A654" t="s">
        <v>16</v>
      </c>
      <c r="B654" t="s">
        <v>3221</v>
      </c>
      <c r="C654">
        <v>3943</v>
      </c>
      <c r="D654" t="s">
        <v>448</v>
      </c>
      <c r="E654" t="s">
        <v>449</v>
      </c>
      <c r="F654">
        <v>429.1</v>
      </c>
      <c r="G654">
        <v>230401</v>
      </c>
      <c r="H654">
        <v>4840</v>
      </c>
      <c r="I654" t="s">
        <v>19</v>
      </c>
      <c r="J654">
        <v>532.08000000000004</v>
      </c>
      <c r="K654">
        <v>102.98</v>
      </c>
      <c r="L654">
        <v>49501</v>
      </c>
      <c r="M654" t="s">
        <v>177</v>
      </c>
      <c r="N654" t="str">
        <f t="shared" si="40"/>
        <v>172140-11/19</v>
      </c>
      <c r="O654">
        <v>230327</v>
      </c>
    </row>
    <row r="655" spans="1:15" x14ac:dyDescent="0.25">
      <c r="A655" t="s">
        <v>16</v>
      </c>
      <c r="B655" t="s">
        <v>3221</v>
      </c>
      <c r="C655">
        <v>3943</v>
      </c>
      <c r="D655" t="s">
        <v>448</v>
      </c>
      <c r="E655" t="s">
        <v>449</v>
      </c>
      <c r="F655">
        <v>396.42</v>
      </c>
      <c r="G655">
        <v>230401</v>
      </c>
      <c r="H655">
        <v>4840</v>
      </c>
      <c r="I655" t="s">
        <v>19</v>
      </c>
      <c r="J655">
        <v>491.56</v>
      </c>
      <c r="K655">
        <v>95.14</v>
      </c>
      <c r="L655">
        <v>49701</v>
      </c>
      <c r="M655" t="s">
        <v>166</v>
      </c>
      <c r="N655" t="str">
        <f t="shared" si="40"/>
        <v>172140-11/19</v>
      </c>
      <c r="O655">
        <v>230327</v>
      </c>
    </row>
    <row r="656" spans="1:15" x14ac:dyDescent="0.25">
      <c r="A656" t="s">
        <v>16</v>
      </c>
      <c r="B656" t="s">
        <v>3221</v>
      </c>
      <c r="C656">
        <v>3943</v>
      </c>
      <c r="D656" t="s">
        <v>448</v>
      </c>
      <c r="E656" t="s">
        <v>449</v>
      </c>
      <c r="F656">
        <v>421.02</v>
      </c>
      <c r="G656">
        <v>230401</v>
      </c>
      <c r="H656">
        <v>4840</v>
      </c>
      <c r="I656" t="s">
        <v>19</v>
      </c>
      <c r="J656">
        <v>522.05999999999995</v>
      </c>
      <c r="K656">
        <v>101.04</v>
      </c>
      <c r="L656">
        <v>49702</v>
      </c>
      <c r="M656" t="s">
        <v>584</v>
      </c>
      <c r="N656" t="str">
        <f t="shared" si="40"/>
        <v>172140-11/19</v>
      </c>
      <c r="O656">
        <v>230327</v>
      </c>
    </row>
    <row r="657" spans="1:15" x14ac:dyDescent="0.25">
      <c r="A657" t="s">
        <v>16</v>
      </c>
      <c r="B657" t="s">
        <v>3221</v>
      </c>
      <c r="C657">
        <v>3943</v>
      </c>
      <c r="D657" t="s">
        <v>448</v>
      </c>
      <c r="E657" t="s">
        <v>449</v>
      </c>
      <c r="F657">
        <v>110.14</v>
      </c>
      <c r="G657">
        <v>230401</v>
      </c>
      <c r="H657">
        <v>4840</v>
      </c>
      <c r="I657" t="s">
        <v>19</v>
      </c>
      <c r="J657">
        <v>136.57</v>
      </c>
      <c r="K657">
        <v>26.43</v>
      </c>
      <c r="L657">
        <v>49704</v>
      </c>
      <c r="M657" t="s">
        <v>1065</v>
      </c>
      <c r="N657" t="str">
        <f t="shared" si="40"/>
        <v>172140-11/19</v>
      </c>
      <c r="O657">
        <v>230327</v>
      </c>
    </row>
    <row r="658" spans="1:15" x14ac:dyDescent="0.25">
      <c r="A658" t="s">
        <v>16</v>
      </c>
      <c r="B658" t="s">
        <v>3221</v>
      </c>
      <c r="C658">
        <v>3943</v>
      </c>
      <c r="D658" t="s">
        <v>448</v>
      </c>
      <c r="E658" t="s">
        <v>449</v>
      </c>
      <c r="F658">
        <v>187.61</v>
      </c>
      <c r="G658">
        <v>230401</v>
      </c>
      <c r="H658">
        <v>4840</v>
      </c>
      <c r="I658" t="s">
        <v>19</v>
      </c>
      <c r="J658">
        <v>232.64</v>
      </c>
      <c r="K658">
        <v>45.03</v>
      </c>
      <c r="L658">
        <v>49705</v>
      </c>
      <c r="M658" t="s">
        <v>575</v>
      </c>
      <c r="N658" t="str">
        <f t="shared" si="40"/>
        <v>172140-11/19</v>
      </c>
      <c r="O658">
        <v>230327</v>
      </c>
    </row>
    <row r="659" spans="1:15" x14ac:dyDescent="0.25">
      <c r="A659" t="s">
        <v>16</v>
      </c>
      <c r="B659" t="s">
        <v>3221</v>
      </c>
      <c r="C659">
        <v>8483</v>
      </c>
      <c r="D659" t="s">
        <v>448</v>
      </c>
      <c r="E659" t="s">
        <v>449</v>
      </c>
      <c r="F659">
        <v>62.41</v>
      </c>
      <c r="G659">
        <v>230701</v>
      </c>
      <c r="H659">
        <v>4840</v>
      </c>
      <c r="I659" t="s">
        <v>19</v>
      </c>
      <c r="J659">
        <v>77.39</v>
      </c>
      <c r="K659">
        <v>14.98</v>
      </c>
      <c r="L659">
        <v>17131</v>
      </c>
      <c r="M659" t="s">
        <v>64</v>
      </c>
      <c r="N659" t="str">
        <f t="shared" ref="N659:N667" si="41">"215179-13/19"</f>
        <v>215179-13/19</v>
      </c>
      <c r="O659">
        <v>230609</v>
      </c>
    </row>
    <row r="660" spans="1:15" x14ac:dyDescent="0.25">
      <c r="A660" t="s">
        <v>16</v>
      </c>
      <c r="B660" t="s">
        <v>3221</v>
      </c>
      <c r="C660">
        <v>8483</v>
      </c>
      <c r="D660" t="s">
        <v>448</v>
      </c>
      <c r="E660" t="s">
        <v>449</v>
      </c>
      <c r="F660">
        <v>743.44</v>
      </c>
      <c r="G660">
        <v>230701</v>
      </c>
      <c r="H660">
        <v>4840</v>
      </c>
      <c r="I660" t="s">
        <v>19</v>
      </c>
      <c r="J660">
        <v>921.87</v>
      </c>
      <c r="K660">
        <v>178.43</v>
      </c>
      <c r="L660">
        <v>17131</v>
      </c>
      <c r="M660" t="s">
        <v>64</v>
      </c>
      <c r="N660" t="str">
        <f t="shared" si="41"/>
        <v>215179-13/19</v>
      </c>
      <c r="O660">
        <v>230609</v>
      </c>
    </row>
    <row r="661" spans="1:15" x14ac:dyDescent="0.25">
      <c r="A661" t="s">
        <v>16</v>
      </c>
      <c r="B661" t="s">
        <v>3221</v>
      </c>
      <c r="C661">
        <v>8483</v>
      </c>
      <c r="D661" t="s">
        <v>448</v>
      </c>
      <c r="E661" t="s">
        <v>449</v>
      </c>
      <c r="F661">
        <v>539.36</v>
      </c>
      <c r="G661">
        <v>230701</v>
      </c>
      <c r="H661">
        <v>4840</v>
      </c>
      <c r="I661" t="s">
        <v>19</v>
      </c>
      <c r="J661">
        <v>668.81</v>
      </c>
      <c r="K661">
        <v>129.44999999999999</v>
      </c>
      <c r="L661">
        <v>17131</v>
      </c>
      <c r="M661" t="s">
        <v>64</v>
      </c>
      <c r="N661" t="str">
        <f t="shared" si="41"/>
        <v>215179-13/19</v>
      </c>
      <c r="O661">
        <v>230609</v>
      </c>
    </row>
    <row r="662" spans="1:15" x14ac:dyDescent="0.25">
      <c r="A662" t="s">
        <v>16</v>
      </c>
      <c r="B662" t="s">
        <v>3221</v>
      </c>
      <c r="C662">
        <v>8483</v>
      </c>
      <c r="D662" t="s">
        <v>448</v>
      </c>
      <c r="E662" t="s">
        <v>449</v>
      </c>
      <c r="F662">
        <v>221.65</v>
      </c>
      <c r="G662">
        <v>230701</v>
      </c>
      <c r="H662">
        <v>4840</v>
      </c>
      <c r="I662" t="s">
        <v>19</v>
      </c>
      <c r="J662">
        <v>274.85000000000002</v>
      </c>
      <c r="K662">
        <v>53.2</v>
      </c>
      <c r="L662">
        <v>17711</v>
      </c>
      <c r="M662" t="s">
        <v>65</v>
      </c>
      <c r="N662" t="str">
        <f t="shared" si="41"/>
        <v>215179-13/19</v>
      </c>
      <c r="O662">
        <v>230609</v>
      </c>
    </row>
    <row r="663" spans="1:15" x14ac:dyDescent="0.25">
      <c r="A663" t="s">
        <v>16</v>
      </c>
      <c r="B663" t="s">
        <v>3221</v>
      </c>
      <c r="C663">
        <v>8483</v>
      </c>
      <c r="D663" t="s">
        <v>448</v>
      </c>
      <c r="E663" t="s">
        <v>449</v>
      </c>
      <c r="F663">
        <v>25.41</v>
      </c>
      <c r="G663">
        <v>230701</v>
      </c>
      <c r="H663">
        <v>4840</v>
      </c>
      <c r="I663" t="s">
        <v>19</v>
      </c>
      <c r="J663">
        <v>31.51</v>
      </c>
      <c r="K663">
        <v>6.1</v>
      </c>
      <c r="L663">
        <v>17737</v>
      </c>
      <c r="M663" t="s">
        <v>279</v>
      </c>
      <c r="N663" t="str">
        <f t="shared" si="41"/>
        <v>215179-13/19</v>
      </c>
      <c r="O663">
        <v>230609</v>
      </c>
    </row>
    <row r="664" spans="1:15" x14ac:dyDescent="0.25">
      <c r="A664" t="s">
        <v>16</v>
      </c>
      <c r="B664" t="s">
        <v>3221</v>
      </c>
      <c r="C664">
        <v>8483</v>
      </c>
      <c r="D664" t="s">
        <v>448</v>
      </c>
      <c r="E664" t="s">
        <v>449</v>
      </c>
      <c r="F664">
        <v>25.41</v>
      </c>
      <c r="G664">
        <v>230701</v>
      </c>
      <c r="H664">
        <v>4840</v>
      </c>
      <c r="I664" t="s">
        <v>19</v>
      </c>
      <c r="J664">
        <v>31.51</v>
      </c>
      <c r="K664">
        <v>6.1</v>
      </c>
      <c r="L664">
        <v>17737</v>
      </c>
      <c r="M664" t="s">
        <v>279</v>
      </c>
      <c r="N664" t="str">
        <f t="shared" si="41"/>
        <v>215179-13/19</v>
      </c>
      <c r="O664">
        <v>230609</v>
      </c>
    </row>
    <row r="665" spans="1:15" x14ac:dyDescent="0.25">
      <c r="A665" t="s">
        <v>16</v>
      </c>
      <c r="B665" t="s">
        <v>3221</v>
      </c>
      <c r="C665">
        <v>8483</v>
      </c>
      <c r="D665" t="s">
        <v>448</v>
      </c>
      <c r="E665" t="s">
        <v>449</v>
      </c>
      <c r="F665">
        <v>25.41</v>
      </c>
      <c r="G665">
        <v>230701</v>
      </c>
      <c r="H665">
        <v>4840</v>
      </c>
      <c r="I665" t="s">
        <v>19</v>
      </c>
      <c r="J665">
        <v>31.51</v>
      </c>
      <c r="K665">
        <v>6.1</v>
      </c>
      <c r="L665">
        <v>17912</v>
      </c>
      <c r="M665" t="s">
        <v>419</v>
      </c>
      <c r="N665" t="str">
        <f t="shared" si="41"/>
        <v>215179-13/19</v>
      </c>
      <c r="O665">
        <v>230609</v>
      </c>
    </row>
    <row r="666" spans="1:15" x14ac:dyDescent="0.25">
      <c r="A666" t="s">
        <v>16</v>
      </c>
      <c r="B666" t="s">
        <v>3221</v>
      </c>
      <c r="C666">
        <v>8483</v>
      </c>
      <c r="D666" t="s">
        <v>448</v>
      </c>
      <c r="E666" t="s">
        <v>449</v>
      </c>
      <c r="F666">
        <v>76.23</v>
      </c>
      <c r="G666">
        <v>230701</v>
      </c>
      <c r="H666">
        <v>4840</v>
      </c>
      <c r="I666" t="s">
        <v>19</v>
      </c>
      <c r="J666">
        <v>94.53</v>
      </c>
      <c r="K666">
        <v>18.3</v>
      </c>
      <c r="L666">
        <v>17951</v>
      </c>
      <c r="M666" t="s">
        <v>87</v>
      </c>
      <c r="N666" t="str">
        <f t="shared" si="41"/>
        <v>215179-13/19</v>
      </c>
      <c r="O666">
        <v>230609</v>
      </c>
    </row>
    <row r="667" spans="1:15" x14ac:dyDescent="0.25">
      <c r="A667" t="s">
        <v>16</v>
      </c>
      <c r="B667" t="s">
        <v>3221</v>
      </c>
      <c r="C667">
        <v>8483</v>
      </c>
      <c r="D667" t="s">
        <v>448</v>
      </c>
      <c r="E667" t="s">
        <v>449</v>
      </c>
      <c r="F667">
        <v>46.28</v>
      </c>
      <c r="G667">
        <v>230701</v>
      </c>
      <c r="H667">
        <v>4840</v>
      </c>
      <c r="I667" t="s">
        <v>19</v>
      </c>
      <c r="J667">
        <v>57.39</v>
      </c>
      <c r="K667">
        <v>11.11</v>
      </c>
      <c r="L667">
        <v>17972</v>
      </c>
      <c r="M667" t="s">
        <v>248</v>
      </c>
      <c r="N667" t="str">
        <f t="shared" si="41"/>
        <v>215179-13/19</v>
      </c>
      <c r="O667">
        <v>230609</v>
      </c>
    </row>
    <row r="668" spans="1:15" x14ac:dyDescent="0.25">
      <c r="A668" t="s">
        <v>16</v>
      </c>
      <c r="B668" t="s">
        <v>3221</v>
      </c>
      <c r="C668">
        <v>8502</v>
      </c>
      <c r="D668" t="s">
        <v>448</v>
      </c>
      <c r="E668" t="s">
        <v>449</v>
      </c>
      <c r="F668">
        <v>38.89</v>
      </c>
      <c r="G668">
        <v>230701</v>
      </c>
      <c r="H668">
        <v>4840</v>
      </c>
      <c r="I668" t="s">
        <v>19</v>
      </c>
      <c r="J668">
        <v>48.22</v>
      </c>
      <c r="K668">
        <v>9.33</v>
      </c>
      <c r="L668">
        <v>13601</v>
      </c>
      <c r="M668" t="s">
        <v>147</v>
      </c>
      <c r="N668" t="str">
        <f>"215179-14/19"</f>
        <v>215179-14/19</v>
      </c>
      <c r="O668">
        <v>230609</v>
      </c>
    </row>
    <row r="669" spans="1:15" x14ac:dyDescent="0.25">
      <c r="A669" t="s">
        <v>16</v>
      </c>
      <c r="B669" t="s">
        <v>3221</v>
      </c>
      <c r="C669">
        <v>8502</v>
      </c>
      <c r="D669" t="s">
        <v>448</v>
      </c>
      <c r="E669" t="s">
        <v>449</v>
      </c>
      <c r="F669">
        <v>1408.17</v>
      </c>
      <c r="G669">
        <v>230701</v>
      </c>
      <c r="H669">
        <v>4840</v>
      </c>
      <c r="I669" t="s">
        <v>19</v>
      </c>
      <c r="J669">
        <v>1746.13</v>
      </c>
      <c r="K669">
        <v>337.96</v>
      </c>
      <c r="L669">
        <v>13801</v>
      </c>
      <c r="M669" t="s">
        <v>162</v>
      </c>
      <c r="N669" t="str">
        <f>"215179-14/19"</f>
        <v>215179-14/19</v>
      </c>
      <c r="O669">
        <v>230609</v>
      </c>
    </row>
    <row r="670" spans="1:15" x14ac:dyDescent="0.25">
      <c r="A670" t="s">
        <v>16</v>
      </c>
      <c r="B670" t="s">
        <v>3221</v>
      </c>
      <c r="C670">
        <v>8502</v>
      </c>
      <c r="D670" t="s">
        <v>448</v>
      </c>
      <c r="E670" t="s">
        <v>449</v>
      </c>
      <c r="F670">
        <v>72.84</v>
      </c>
      <c r="G670">
        <v>230701</v>
      </c>
      <c r="H670">
        <v>4840</v>
      </c>
      <c r="I670" t="s">
        <v>19</v>
      </c>
      <c r="J670">
        <v>90.32</v>
      </c>
      <c r="K670">
        <v>17.48</v>
      </c>
      <c r="L670">
        <v>13801</v>
      </c>
      <c r="M670" t="s">
        <v>162</v>
      </c>
      <c r="N670" t="str">
        <f>"215179-14/19"</f>
        <v>215179-14/19</v>
      </c>
      <c r="O670">
        <v>230609</v>
      </c>
    </row>
    <row r="671" spans="1:15" x14ac:dyDescent="0.25">
      <c r="A671" t="s">
        <v>16</v>
      </c>
      <c r="B671" t="s">
        <v>3221</v>
      </c>
      <c r="C671">
        <v>8502</v>
      </c>
      <c r="D671" t="s">
        <v>448</v>
      </c>
      <c r="E671" t="s">
        <v>449</v>
      </c>
      <c r="F671">
        <v>203.36</v>
      </c>
      <c r="G671">
        <v>230701</v>
      </c>
      <c r="H671">
        <v>4840</v>
      </c>
      <c r="I671" t="s">
        <v>19</v>
      </c>
      <c r="J671">
        <v>252.17</v>
      </c>
      <c r="K671">
        <v>48.81</v>
      </c>
      <c r="L671">
        <v>13802</v>
      </c>
      <c r="M671" t="s">
        <v>200</v>
      </c>
      <c r="N671" t="str">
        <f>"215179-14/19"</f>
        <v>215179-14/19</v>
      </c>
      <c r="O671">
        <v>230609</v>
      </c>
    </row>
    <row r="672" spans="1:15" x14ac:dyDescent="0.25">
      <c r="A672" t="s">
        <v>16</v>
      </c>
      <c r="B672" t="s">
        <v>3221</v>
      </c>
      <c r="C672">
        <v>8503</v>
      </c>
      <c r="D672" t="s">
        <v>448</v>
      </c>
      <c r="E672" t="s">
        <v>449</v>
      </c>
      <c r="F672">
        <v>716.46</v>
      </c>
      <c r="G672">
        <v>230701</v>
      </c>
      <c r="H672">
        <v>4840</v>
      </c>
      <c r="I672" t="s">
        <v>19</v>
      </c>
      <c r="J672">
        <v>888.41</v>
      </c>
      <c r="K672">
        <v>171.95</v>
      </c>
      <c r="L672">
        <v>13601</v>
      </c>
      <c r="M672" t="s">
        <v>147</v>
      </c>
      <c r="N672" t="str">
        <f>"215179-12/19"</f>
        <v>215179-12/19</v>
      </c>
      <c r="O672">
        <v>230609</v>
      </c>
    </row>
    <row r="673" spans="1:15" x14ac:dyDescent="0.25">
      <c r="A673" t="s">
        <v>16</v>
      </c>
      <c r="B673" t="s">
        <v>3221</v>
      </c>
      <c r="C673">
        <v>8503</v>
      </c>
      <c r="D673" t="s">
        <v>448</v>
      </c>
      <c r="E673" t="s">
        <v>449</v>
      </c>
      <c r="F673">
        <v>95.73</v>
      </c>
      <c r="G673">
        <v>230701</v>
      </c>
      <c r="H673">
        <v>4840</v>
      </c>
      <c r="I673" t="s">
        <v>19</v>
      </c>
      <c r="J673">
        <v>118.7</v>
      </c>
      <c r="K673">
        <v>22.97</v>
      </c>
      <c r="L673">
        <v>13601</v>
      </c>
      <c r="M673" t="s">
        <v>147</v>
      </c>
      <c r="N673" t="str">
        <f>"215179-12/19"</f>
        <v>215179-12/19</v>
      </c>
      <c r="O673">
        <v>230609</v>
      </c>
    </row>
    <row r="674" spans="1:15" x14ac:dyDescent="0.25">
      <c r="A674" t="s">
        <v>16</v>
      </c>
      <c r="B674" t="s">
        <v>3221</v>
      </c>
      <c r="C674">
        <v>8503</v>
      </c>
      <c r="D674" t="s">
        <v>448</v>
      </c>
      <c r="E674" t="s">
        <v>449</v>
      </c>
      <c r="F674">
        <v>51.1</v>
      </c>
      <c r="G674">
        <v>230701</v>
      </c>
      <c r="H674">
        <v>4840</v>
      </c>
      <c r="I674" t="s">
        <v>19</v>
      </c>
      <c r="J674">
        <v>63.36</v>
      </c>
      <c r="K674">
        <v>12.26</v>
      </c>
      <c r="L674">
        <v>13661</v>
      </c>
      <c r="M674" t="s">
        <v>247</v>
      </c>
      <c r="N674" t="str">
        <f>"215179-12/19"</f>
        <v>215179-12/19</v>
      </c>
      <c r="O674">
        <v>230609</v>
      </c>
    </row>
    <row r="675" spans="1:15" x14ac:dyDescent="0.25">
      <c r="A675" t="s">
        <v>16</v>
      </c>
      <c r="B675" t="s">
        <v>3221</v>
      </c>
      <c r="C675">
        <v>8586</v>
      </c>
      <c r="D675" t="s">
        <v>448</v>
      </c>
      <c r="E675" t="s">
        <v>449</v>
      </c>
      <c r="F675">
        <v>19.95</v>
      </c>
      <c r="G675">
        <v>230701</v>
      </c>
      <c r="H675">
        <v>4840</v>
      </c>
      <c r="I675" t="s">
        <v>19</v>
      </c>
      <c r="J675">
        <v>24.74</v>
      </c>
      <c r="K675">
        <v>4.79</v>
      </c>
      <c r="L675">
        <v>11301</v>
      </c>
      <c r="M675" t="s">
        <v>29</v>
      </c>
      <c r="N675" t="str">
        <f t="shared" ref="N675:N697" si="42">"1215179-3/19"</f>
        <v>1215179-3/19</v>
      </c>
      <c r="O675">
        <v>230612</v>
      </c>
    </row>
    <row r="676" spans="1:15" x14ac:dyDescent="0.25">
      <c r="A676" t="s">
        <v>16</v>
      </c>
      <c r="B676" t="s">
        <v>3221</v>
      </c>
      <c r="C676">
        <v>8586</v>
      </c>
      <c r="D676" t="s">
        <v>448</v>
      </c>
      <c r="E676" t="s">
        <v>449</v>
      </c>
      <c r="F676">
        <v>65.099999999999994</v>
      </c>
      <c r="G676">
        <v>230701</v>
      </c>
      <c r="H676">
        <v>4840</v>
      </c>
      <c r="I676" t="s">
        <v>19</v>
      </c>
      <c r="J676">
        <v>80.72</v>
      </c>
      <c r="K676">
        <v>15.62</v>
      </c>
      <c r="L676">
        <v>11751</v>
      </c>
      <c r="M676" t="s">
        <v>1339</v>
      </c>
      <c r="N676" t="str">
        <f t="shared" si="42"/>
        <v>1215179-3/19</v>
      </c>
      <c r="O676">
        <v>230612</v>
      </c>
    </row>
    <row r="677" spans="1:15" x14ac:dyDescent="0.25">
      <c r="A677" t="s">
        <v>16</v>
      </c>
      <c r="B677" t="s">
        <v>3221</v>
      </c>
      <c r="C677">
        <v>8586</v>
      </c>
      <c r="D677" t="s">
        <v>448</v>
      </c>
      <c r="E677" t="s">
        <v>449</v>
      </c>
      <c r="F677">
        <v>2499.36</v>
      </c>
      <c r="G677">
        <v>230701</v>
      </c>
      <c r="H677">
        <v>4840</v>
      </c>
      <c r="I677" t="s">
        <v>19</v>
      </c>
      <c r="J677">
        <v>3099.21</v>
      </c>
      <c r="K677">
        <v>599.85</v>
      </c>
      <c r="L677">
        <v>61122</v>
      </c>
      <c r="M677" t="s">
        <v>402</v>
      </c>
      <c r="N677" t="str">
        <f t="shared" si="42"/>
        <v>1215179-3/19</v>
      </c>
      <c r="O677">
        <v>230612</v>
      </c>
    </row>
    <row r="678" spans="1:15" x14ac:dyDescent="0.25">
      <c r="A678" t="s">
        <v>16</v>
      </c>
      <c r="B678" t="s">
        <v>3221</v>
      </c>
      <c r="C678">
        <v>8586</v>
      </c>
      <c r="D678" t="s">
        <v>448</v>
      </c>
      <c r="E678" t="s">
        <v>449</v>
      </c>
      <c r="F678">
        <v>40.83</v>
      </c>
      <c r="G678">
        <v>230701</v>
      </c>
      <c r="H678">
        <v>4840</v>
      </c>
      <c r="I678" t="s">
        <v>19</v>
      </c>
      <c r="J678">
        <v>50.63</v>
      </c>
      <c r="K678">
        <v>9.8000000000000007</v>
      </c>
      <c r="L678">
        <v>61122</v>
      </c>
      <c r="M678" t="s">
        <v>402</v>
      </c>
      <c r="N678" t="str">
        <f t="shared" si="42"/>
        <v>1215179-3/19</v>
      </c>
      <c r="O678">
        <v>230612</v>
      </c>
    </row>
    <row r="679" spans="1:15" x14ac:dyDescent="0.25">
      <c r="A679" t="s">
        <v>16</v>
      </c>
      <c r="B679" t="s">
        <v>3221</v>
      </c>
      <c r="C679">
        <v>8586</v>
      </c>
      <c r="D679" t="s">
        <v>448</v>
      </c>
      <c r="E679" t="s">
        <v>449</v>
      </c>
      <c r="F679">
        <v>3858.24</v>
      </c>
      <c r="G679">
        <v>230701</v>
      </c>
      <c r="H679">
        <v>4840</v>
      </c>
      <c r="I679" t="s">
        <v>19</v>
      </c>
      <c r="J679">
        <v>4784.22</v>
      </c>
      <c r="K679">
        <v>925.98</v>
      </c>
      <c r="L679">
        <v>65222</v>
      </c>
      <c r="M679" t="s">
        <v>487</v>
      </c>
      <c r="N679" t="str">
        <f t="shared" si="42"/>
        <v>1215179-3/19</v>
      </c>
      <c r="O679">
        <v>230612</v>
      </c>
    </row>
    <row r="680" spans="1:15" x14ac:dyDescent="0.25">
      <c r="A680" t="s">
        <v>16</v>
      </c>
      <c r="B680" t="s">
        <v>3221</v>
      </c>
      <c r="C680">
        <v>8586</v>
      </c>
      <c r="D680" t="s">
        <v>448</v>
      </c>
      <c r="E680" t="s">
        <v>449</v>
      </c>
      <c r="F680">
        <v>39.549999999999997</v>
      </c>
      <c r="G680">
        <v>230701</v>
      </c>
      <c r="H680">
        <v>4840</v>
      </c>
      <c r="I680" t="s">
        <v>19</v>
      </c>
      <c r="J680">
        <v>49.04</v>
      </c>
      <c r="K680">
        <v>9.49</v>
      </c>
      <c r="L680">
        <v>65422</v>
      </c>
      <c r="M680" t="s">
        <v>602</v>
      </c>
      <c r="N680" t="str">
        <f t="shared" si="42"/>
        <v>1215179-3/19</v>
      </c>
      <c r="O680">
        <v>230612</v>
      </c>
    </row>
    <row r="681" spans="1:15" x14ac:dyDescent="0.25">
      <c r="A681" t="s">
        <v>16</v>
      </c>
      <c r="B681" t="s">
        <v>3221</v>
      </c>
      <c r="C681">
        <v>8586</v>
      </c>
      <c r="D681" t="s">
        <v>448</v>
      </c>
      <c r="E681" t="s">
        <v>449</v>
      </c>
      <c r="F681">
        <v>196.72</v>
      </c>
      <c r="G681">
        <v>230701</v>
      </c>
      <c r="H681">
        <v>4840</v>
      </c>
      <c r="I681" t="s">
        <v>19</v>
      </c>
      <c r="J681">
        <v>243.93</v>
      </c>
      <c r="K681">
        <v>47.21</v>
      </c>
      <c r="L681">
        <v>66722</v>
      </c>
      <c r="M681" t="s">
        <v>518</v>
      </c>
      <c r="N681" t="str">
        <f t="shared" si="42"/>
        <v>1215179-3/19</v>
      </c>
      <c r="O681">
        <v>230612</v>
      </c>
    </row>
    <row r="682" spans="1:15" x14ac:dyDescent="0.25">
      <c r="A682" t="s">
        <v>16</v>
      </c>
      <c r="B682" t="s">
        <v>3221</v>
      </c>
      <c r="C682">
        <v>8586</v>
      </c>
      <c r="D682" t="s">
        <v>448</v>
      </c>
      <c r="E682" t="s">
        <v>449</v>
      </c>
      <c r="F682">
        <v>102.05</v>
      </c>
      <c r="G682">
        <v>230701</v>
      </c>
      <c r="H682">
        <v>4840</v>
      </c>
      <c r="I682" t="s">
        <v>19</v>
      </c>
      <c r="J682">
        <v>126.54</v>
      </c>
      <c r="K682">
        <v>24.49</v>
      </c>
      <c r="L682">
        <v>66754</v>
      </c>
      <c r="M682" t="s">
        <v>239</v>
      </c>
      <c r="N682" t="str">
        <f t="shared" si="42"/>
        <v>1215179-3/19</v>
      </c>
      <c r="O682">
        <v>230612</v>
      </c>
    </row>
    <row r="683" spans="1:15" x14ac:dyDescent="0.25">
      <c r="A683" t="s">
        <v>16</v>
      </c>
      <c r="B683" t="s">
        <v>3221</v>
      </c>
      <c r="C683">
        <v>8586</v>
      </c>
      <c r="D683" t="s">
        <v>448</v>
      </c>
      <c r="E683" t="s">
        <v>449</v>
      </c>
      <c r="F683">
        <v>635.54</v>
      </c>
      <c r="G683">
        <v>230701</v>
      </c>
      <c r="H683">
        <v>4840</v>
      </c>
      <c r="I683" t="s">
        <v>19</v>
      </c>
      <c r="J683">
        <v>788.07</v>
      </c>
      <c r="K683">
        <v>152.53</v>
      </c>
      <c r="L683">
        <v>66756</v>
      </c>
      <c r="M683" t="s">
        <v>209</v>
      </c>
      <c r="N683" t="str">
        <f t="shared" si="42"/>
        <v>1215179-3/19</v>
      </c>
      <c r="O683">
        <v>230612</v>
      </c>
    </row>
    <row r="684" spans="1:15" x14ac:dyDescent="0.25">
      <c r="A684" t="s">
        <v>16</v>
      </c>
      <c r="B684" t="s">
        <v>3221</v>
      </c>
      <c r="C684">
        <v>8586</v>
      </c>
      <c r="D684" t="s">
        <v>448</v>
      </c>
      <c r="E684" t="s">
        <v>449</v>
      </c>
      <c r="F684">
        <v>164.04</v>
      </c>
      <c r="G684">
        <v>230701</v>
      </c>
      <c r="H684">
        <v>4840</v>
      </c>
      <c r="I684" t="s">
        <v>19</v>
      </c>
      <c r="J684">
        <v>203.41</v>
      </c>
      <c r="K684">
        <v>39.369999999999997</v>
      </c>
      <c r="L684">
        <v>67522</v>
      </c>
      <c r="M684" t="s">
        <v>397</v>
      </c>
      <c r="N684" t="str">
        <f t="shared" si="42"/>
        <v>1215179-3/19</v>
      </c>
      <c r="O684">
        <v>230612</v>
      </c>
    </row>
    <row r="685" spans="1:15" x14ac:dyDescent="0.25">
      <c r="A685" t="s">
        <v>16</v>
      </c>
      <c r="B685" t="s">
        <v>3221</v>
      </c>
      <c r="C685">
        <v>8586</v>
      </c>
      <c r="D685" t="s">
        <v>448</v>
      </c>
      <c r="E685" t="s">
        <v>449</v>
      </c>
      <c r="F685">
        <v>138.51</v>
      </c>
      <c r="G685">
        <v>230701</v>
      </c>
      <c r="H685">
        <v>4840</v>
      </c>
      <c r="I685" t="s">
        <v>19</v>
      </c>
      <c r="J685">
        <v>171.75</v>
      </c>
      <c r="K685">
        <v>33.24</v>
      </c>
      <c r="L685">
        <v>67522</v>
      </c>
      <c r="M685" t="s">
        <v>397</v>
      </c>
      <c r="N685" t="str">
        <f t="shared" si="42"/>
        <v>1215179-3/19</v>
      </c>
      <c r="O685">
        <v>230612</v>
      </c>
    </row>
    <row r="686" spans="1:15" x14ac:dyDescent="0.25">
      <c r="A686" t="s">
        <v>16</v>
      </c>
      <c r="B686" t="s">
        <v>3221</v>
      </c>
      <c r="C686">
        <v>8586</v>
      </c>
      <c r="D686" t="s">
        <v>448</v>
      </c>
      <c r="E686" t="s">
        <v>449</v>
      </c>
      <c r="F686">
        <v>41.61</v>
      </c>
      <c r="G686">
        <v>230701</v>
      </c>
      <c r="H686">
        <v>4840</v>
      </c>
      <c r="I686" t="s">
        <v>19</v>
      </c>
      <c r="J686">
        <v>51.6</v>
      </c>
      <c r="K686">
        <v>9.99</v>
      </c>
      <c r="L686">
        <v>67554</v>
      </c>
      <c r="M686" t="s">
        <v>60</v>
      </c>
      <c r="N686" t="str">
        <f t="shared" si="42"/>
        <v>1215179-3/19</v>
      </c>
      <c r="O686">
        <v>230612</v>
      </c>
    </row>
    <row r="687" spans="1:15" x14ac:dyDescent="0.25">
      <c r="A687" t="s">
        <v>16</v>
      </c>
      <c r="B687" t="s">
        <v>3221</v>
      </c>
      <c r="C687">
        <v>8586</v>
      </c>
      <c r="D687" t="s">
        <v>448</v>
      </c>
      <c r="E687" t="s">
        <v>449</v>
      </c>
      <c r="F687">
        <v>25.86</v>
      </c>
      <c r="G687">
        <v>230701</v>
      </c>
      <c r="H687">
        <v>4840</v>
      </c>
      <c r="I687" t="s">
        <v>19</v>
      </c>
      <c r="J687">
        <v>32.07</v>
      </c>
      <c r="K687">
        <v>6.21</v>
      </c>
      <c r="L687">
        <v>67554</v>
      </c>
      <c r="M687" t="s">
        <v>60</v>
      </c>
      <c r="N687" t="str">
        <f t="shared" si="42"/>
        <v>1215179-3/19</v>
      </c>
      <c r="O687">
        <v>230612</v>
      </c>
    </row>
    <row r="688" spans="1:15" x14ac:dyDescent="0.25">
      <c r="A688" t="s">
        <v>16</v>
      </c>
      <c r="B688" t="s">
        <v>3221</v>
      </c>
      <c r="C688">
        <v>8586</v>
      </c>
      <c r="D688" t="s">
        <v>448</v>
      </c>
      <c r="E688" t="s">
        <v>449</v>
      </c>
      <c r="F688">
        <v>25.86</v>
      </c>
      <c r="G688">
        <v>230701</v>
      </c>
      <c r="H688">
        <v>4840</v>
      </c>
      <c r="I688" t="s">
        <v>19</v>
      </c>
      <c r="J688">
        <v>32.07</v>
      </c>
      <c r="K688">
        <v>6.21</v>
      </c>
      <c r="L688">
        <v>67554</v>
      </c>
      <c r="M688" t="s">
        <v>60</v>
      </c>
      <c r="N688" t="str">
        <f t="shared" si="42"/>
        <v>1215179-3/19</v>
      </c>
      <c r="O688">
        <v>230612</v>
      </c>
    </row>
    <row r="689" spans="1:15" x14ac:dyDescent="0.25">
      <c r="A689" t="s">
        <v>16</v>
      </c>
      <c r="B689" t="s">
        <v>3221</v>
      </c>
      <c r="C689">
        <v>8586</v>
      </c>
      <c r="D689" t="s">
        <v>448</v>
      </c>
      <c r="E689" t="s">
        <v>449</v>
      </c>
      <c r="F689">
        <v>47.32</v>
      </c>
      <c r="G689">
        <v>230701</v>
      </c>
      <c r="H689">
        <v>4840</v>
      </c>
      <c r="I689" t="s">
        <v>19</v>
      </c>
      <c r="J689">
        <v>58.68</v>
      </c>
      <c r="K689">
        <v>11.36</v>
      </c>
      <c r="L689">
        <v>69111</v>
      </c>
      <c r="M689" t="s">
        <v>471</v>
      </c>
      <c r="N689" t="str">
        <f t="shared" si="42"/>
        <v>1215179-3/19</v>
      </c>
      <c r="O689">
        <v>230612</v>
      </c>
    </row>
    <row r="690" spans="1:15" x14ac:dyDescent="0.25">
      <c r="A690" t="s">
        <v>16</v>
      </c>
      <c r="B690" t="s">
        <v>3221</v>
      </c>
      <c r="C690">
        <v>8586</v>
      </c>
      <c r="D690" t="s">
        <v>448</v>
      </c>
      <c r="E690" t="s">
        <v>449</v>
      </c>
      <c r="F690">
        <v>48.37</v>
      </c>
      <c r="G690">
        <v>230701</v>
      </c>
      <c r="H690">
        <v>4840</v>
      </c>
      <c r="I690" t="s">
        <v>19</v>
      </c>
      <c r="J690">
        <v>59.98</v>
      </c>
      <c r="K690">
        <v>11.61</v>
      </c>
      <c r="L690">
        <v>69112</v>
      </c>
      <c r="M690" t="s">
        <v>313</v>
      </c>
      <c r="N690" t="str">
        <f t="shared" si="42"/>
        <v>1215179-3/19</v>
      </c>
      <c r="O690">
        <v>230612</v>
      </c>
    </row>
    <row r="691" spans="1:15" x14ac:dyDescent="0.25">
      <c r="A691" t="s">
        <v>16</v>
      </c>
      <c r="B691" t="s">
        <v>3221</v>
      </c>
      <c r="C691">
        <v>8586</v>
      </c>
      <c r="D691" t="s">
        <v>448</v>
      </c>
      <c r="E691" t="s">
        <v>449</v>
      </c>
      <c r="F691">
        <v>114.16</v>
      </c>
      <c r="G691">
        <v>230701</v>
      </c>
      <c r="H691">
        <v>4840</v>
      </c>
      <c r="I691" t="s">
        <v>19</v>
      </c>
      <c r="J691">
        <v>141.56</v>
      </c>
      <c r="K691">
        <v>27.4</v>
      </c>
      <c r="L691">
        <v>69501</v>
      </c>
      <c r="M691" t="s">
        <v>185</v>
      </c>
      <c r="N691" t="str">
        <f t="shared" si="42"/>
        <v>1215179-3/19</v>
      </c>
      <c r="O691">
        <v>230612</v>
      </c>
    </row>
    <row r="692" spans="1:15" x14ac:dyDescent="0.25">
      <c r="A692" t="s">
        <v>16</v>
      </c>
      <c r="B692" t="s">
        <v>3221</v>
      </c>
      <c r="C692">
        <v>8586</v>
      </c>
      <c r="D692" t="s">
        <v>448</v>
      </c>
      <c r="E692" t="s">
        <v>449</v>
      </c>
      <c r="F692">
        <v>32.67</v>
      </c>
      <c r="G692">
        <v>230701</v>
      </c>
      <c r="H692">
        <v>4840</v>
      </c>
      <c r="I692" t="s">
        <v>19</v>
      </c>
      <c r="J692">
        <v>40.51</v>
      </c>
      <c r="K692">
        <v>7.84</v>
      </c>
      <c r="L692">
        <v>69701</v>
      </c>
      <c r="M692" t="s">
        <v>488</v>
      </c>
      <c r="N692" t="str">
        <f t="shared" si="42"/>
        <v>1215179-3/19</v>
      </c>
      <c r="O692">
        <v>230612</v>
      </c>
    </row>
    <row r="693" spans="1:15" x14ac:dyDescent="0.25">
      <c r="A693" t="s">
        <v>16</v>
      </c>
      <c r="B693" t="s">
        <v>3221</v>
      </c>
      <c r="C693">
        <v>8586</v>
      </c>
      <c r="D693" t="s">
        <v>448</v>
      </c>
      <c r="E693" t="s">
        <v>449</v>
      </c>
      <c r="F693">
        <v>2425.16</v>
      </c>
      <c r="G693">
        <v>230701</v>
      </c>
      <c r="H693">
        <v>4840</v>
      </c>
      <c r="I693" t="s">
        <v>19</v>
      </c>
      <c r="J693">
        <v>3007.2</v>
      </c>
      <c r="K693">
        <v>582.04</v>
      </c>
      <c r="L693">
        <v>69702</v>
      </c>
      <c r="M693" t="s">
        <v>489</v>
      </c>
      <c r="N693" t="str">
        <f t="shared" si="42"/>
        <v>1215179-3/19</v>
      </c>
      <c r="O693">
        <v>230612</v>
      </c>
    </row>
    <row r="694" spans="1:15" x14ac:dyDescent="0.25">
      <c r="A694" t="s">
        <v>16</v>
      </c>
      <c r="B694" t="s">
        <v>3221</v>
      </c>
      <c r="C694">
        <v>8586</v>
      </c>
      <c r="D694" t="s">
        <v>448</v>
      </c>
      <c r="E694" t="s">
        <v>449</v>
      </c>
      <c r="F694">
        <v>83.45</v>
      </c>
      <c r="G694">
        <v>230701</v>
      </c>
      <c r="H694">
        <v>4840</v>
      </c>
      <c r="I694" t="s">
        <v>19</v>
      </c>
      <c r="J694">
        <v>103.48</v>
      </c>
      <c r="K694">
        <v>20.03</v>
      </c>
      <c r="L694">
        <v>69703</v>
      </c>
      <c r="M694" t="s">
        <v>1036</v>
      </c>
      <c r="N694" t="str">
        <f t="shared" si="42"/>
        <v>1215179-3/19</v>
      </c>
      <c r="O694">
        <v>230612</v>
      </c>
    </row>
    <row r="695" spans="1:15" x14ac:dyDescent="0.25">
      <c r="A695" t="s">
        <v>16</v>
      </c>
      <c r="B695" t="s">
        <v>3221</v>
      </c>
      <c r="C695">
        <v>8586</v>
      </c>
      <c r="D695" t="s">
        <v>448</v>
      </c>
      <c r="E695" t="s">
        <v>449</v>
      </c>
      <c r="F695">
        <v>529.21</v>
      </c>
      <c r="G695">
        <v>230701</v>
      </c>
      <c r="H695">
        <v>4840</v>
      </c>
      <c r="I695" t="s">
        <v>19</v>
      </c>
      <c r="J695">
        <v>656.22</v>
      </c>
      <c r="K695">
        <v>127.01</v>
      </c>
      <c r="L695">
        <v>69704</v>
      </c>
      <c r="M695" t="s">
        <v>325</v>
      </c>
      <c r="N695" t="str">
        <f t="shared" si="42"/>
        <v>1215179-3/19</v>
      </c>
      <c r="O695">
        <v>230612</v>
      </c>
    </row>
    <row r="696" spans="1:15" x14ac:dyDescent="0.25">
      <c r="A696" t="s">
        <v>16</v>
      </c>
      <c r="B696" t="s">
        <v>3221</v>
      </c>
      <c r="C696">
        <v>8586</v>
      </c>
      <c r="D696" t="s">
        <v>448</v>
      </c>
      <c r="E696" t="s">
        <v>449</v>
      </c>
      <c r="F696">
        <v>73.11</v>
      </c>
      <c r="G696">
        <v>230701</v>
      </c>
      <c r="H696">
        <v>4840</v>
      </c>
      <c r="I696" t="s">
        <v>19</v>
      </c>
      <c r="J696">
        <v>90.66</v>
      </c>
      <c r="K696">
        <v>17.55</v>
      </c>
      <c r="L696">
        <v>69707</v>
      </c>
      <c r="M696" t="s">
        <v>490</v>
      </c>
      <c r="N696" t="str">
        <f t="shared" si="42"/>
        <v>1215179-3/19</v>
      </c>
      <c r="O696">
        <v>230612</v>
      </c>
    </row>
    <row r="697" spans="1:15" x14ac:dyDescent="0.25">
      <c r="A697" t="s">
        <v>16</v>
      </c>
      <c r="B697" t="s">
        <v>3221</v>
      </c>
      <c r="C697">
        <v>8586</v>
      </c>
      <c r="D697" t="s">
        <v>448</v>
      </c>
      <c r="E697" t="s">
        <v>449</v>
      </c>
      <c r="F697">
        <v>40.83</v>
      </c>
      <c r="G697">
        <v>230701</v>
      </c>
      <c r="H697">
        <v>4840</v>
      </c>
      <c r="I697" t="s">
        <v>19</v>
      </c>
      <c r="J697">
        <v>50.63</v>
      </c>
      <c r="K697">
        <v>9.8000000000000007</v>
      </c>
      <c r="L697">
        <v>69708</v>
      </c>
      <c r="M697" t="s">
        <v>491</v>
      </c>
      <c r="N697" t="str">
        <f t="shared" si="42"/>
        <v>1215179-3/19</v>
      </c>
      <c r="O697">
        <v>230612</v>
      </c>
    </row>
    <row r="698" spans="1:15" x14ac:dyDescent="0.25">
      <c r="A698" t="s">
        <v>16</v>
      </c>
      <c r="B698" t="s">
        <v>3221</v>
      </c>
      <c r="C698">
        <v>8587</v>
      </c>
      <c r="D698" t="s">
        <v>448</v>
      </c>
      <c r="E698" t="s">
        <v>449</v>
      </c>
      <c r="F698">
        <v>175.68</v>
      </c>
      <c r="G698">
        <v>230701</v>
      </c>
      <c r="H698">
        <v>4840</v>
      </c>
      <c r="I698" t="s">
        <v>19</v>
      </c>
      <c r="J698">
        <v>217.84</v>
      </c>
      <c r="K698">
        <v>42.16</v>
      </c>
      <c r="L698">
        <v>16121</v>
      </c>
      <c r="M698" t="s">
        <v>21</v>
      </c>
      <c r="N698" t="str">
        <f t="shared" ref="N698:N723" si="43">"1215179-6/19"</f>
        <v>1215179-6/19</v>
      </c>
      <c r="O698">
        <v>230612</v>
      </c>
    </row>
    <row r="699" spans="1:15" x14ac:dyDescent="0.25">
      <c r="A699" t="s">
        <v>16</v>
      </c>
      <c r="B699" t="s">
        <v>3221</v>
      </c>
      <c r="C699">
        <v>8587</v>
      </c>
      <c r="D699" t="s">
        <v>448</v>
      </c>
      <c r="E699" t="s">
        <v>449</v>
      </c>
      <c r="F699">
        <v>737.73</v>
      </c>
      <c r="G699">
        <v>230701</v>
      </c>
      <c r="H699">
        <v>4840</v>
      </c>
      <c r="I699" t="s">
        <v>19</v>
      </c>
      <c r="J699">
        <v>914.79</v>
      </c>
      <c r="K699">
        <v>177.06</v>
      </c>
      <c r="L699">
        <v>16820</v>
      </c>
      <c r="M699" t="s">
        <v>23</v>
      </c>
      <c r="N699" t="str">
        <f t="shared" si="43"/>
        <v>1215179-6/19</v>
      </c>
      <c r="O699">
        <v>230612</v>
      </c>
    </row>
    <row r="700" spans="1:15" x14ac:dyDescent="0.25">
      <c r="A700" t="s">
        <v>16</v>
      </c>
      <c r="B700" t="s">
        <v>3221</v>
      </c>
      <c r="C700">
        <v>8587</v>
      </c>
      <c r="D700" t="s">
        <v>448</v>
      </c>
      <c r="E700" t="s">
        <v>449</v>
      </c>
      <c r="F700">
        <v>192.04</v>
      </c>
      <c r="G700">
        <v>230701</v>
      </c>
      <c r="H700">
        <v>4840</v>
      </c>
      <c r="I700" t="s">
        <v>19</v>
      </c>
      <c r="J700">
        <v>238.13</v>
      </c>
      <c r="K700">
        <v>46.09</v>
      </c>
      <c r="L700">
        <v>16930</v>
      </c>
      <c r="M700" t="s">
        <v>450</v>
      </c>
      <c r="N700" t="str">
        <f t="shared" si="43"/>
        <v>1215179-6/19</v>
      </c>
      <c r="O700">
        <v>230612</v>
      </c>
    </row>
    <row r="701" spans="1:15" x14ac:dyDescent="0.25">
      <c r="A701" t="s">
        <v>16</v>
      </c>
      <c r="B701" t="s">
        <v>3221</v>
      </c>
      <c r="C701">
        <v>8587</v>
      </c>
      <c r="D701" t="s">
        <v>448</v>
      </c>
      <c r="E701" t="s">
        <v>449</v>
      </c>
      <c r="F701">
        <v>866.1</v>
      </c>
      <c r="G701">
        <v>230701</v>
      </c>
      <c r="H701">
        <v>4840</v>
      </c>
      <c r="I701" t="s">
        <v>19</v>
      </c>
      <c r="J701">
        <v>1073.96</v>
      </c>
      <c r="K701">
        <v>207.86</v>
      </c>
      <c r="L701">
        <v>17521</v>
      </c>
      <c r="M701" t="s">
        <v>133</v>
      </c>
      <c r="N701" t="str">
        <f t="shared" si="43"/>
        <v>1215179-6/19</v>
      </c>
      <c r="O701">
        <v>230612</v>
      </c>
    </row>
    <row r="702" spans="1:15" x14ac:dyDescent="0.25">
      <c r="A702" t="s">
        <v>16</v>
      </c>
      <c r="B702" t="s">
        <v>3221</v>
      </c>
      <c r="C702">
        <v>8587</v>
      </c>
      <c r="D702" t="s">
        <v>448</v>
      </c>
      <c r="E702" t="s">
        <v>449</v>
      </c>
      <c r="F702">
        <v>456.86</v>
      </c>
      <c r="G702">
        <v>230701</v>
      </c>
      <c r="H702">
        <v>4840</v>
      </c>
      <c r="I702" t="s">
        <v>19</v>
      </c>
      <c r="J702">
        <v>566.51</v>
      </c>
      <c r="K702">
        <v>109.65</v>
      </c>
      <c r="L702">
        <v>17522</v>
      </c>
      <c r="M702" t="s">
        <v>451</v>
      </c>
      <c r="N702" t="str">
        <f t="shared" si="43"/>
        <v>1215179-6/19</v>
      </c>
      <c r="O702">
        <v>230612</v>
      </c>
    </row>
    <row r="703" spans="1:15" x14ac:dyDescent="0.25">
      <c r="A703" t="s">
        <v>16</v>
      </c>
      <c r="B703" t="s">
        <v>3221</v>
      </c>
      <c r="C703">
        <v>8587</v>
      </c>
      <c r="D703" t="s">
        <v>448</v>
      </c>
      <c r="E703" t="s">
        <v>449</v>
      </c>
      <c r="F703">
        <v>271.72000000000003</v>
      </c>
      <c r="G703">
        <v>230701</v>
      </c>
      <c r="H703">
        <v>4840</v>
      </c>
      <c r="I703" t="s">
        <v>19</v>
      </c>
      <c r="J703">
        <v>336.93</v>
      </c>
      <c r="K703">
        <v>65.209999999999994</v>
      </c>
      <c r="L703">
        <v>17523</v>
      </c>
      <c r="M703" t="s">
        <v>134</v>
      </c>
      <c r="N703" t="str">
        <f t="shared" si="43"/>
        <v>1215179-6/19</v>
      </c>
      <c r="O703">
        <v>230612</v>
      </c>
    </row>
    <row r="704" spans="1:15" x14ac:dyDescent="0.25">
      <c r="A704" t="s">
        <v>16</v>
      </c>
      <c r="B704" t="s">
        <v>3221</v>
      </c>
      <c r="C704">
        <v>8587</v>
      </c>
      <c r="D704" t="s">
        <v>448</v>
      </c>
      <c r="E704" t="s">
        <v>449</v>
      </c>
      <c r="F704">
        <v>62.34</v>
      </c>
      <c r="G704">
        <v>230701</v>
      </c>
      <c r="H704">
        <v>4840</v>
      </c>
      <c r="I704" t="s">
        <v>19</v>
      </c>
      <c r="J704">
        <v>77.3</v>
      </c>
      <c r="K704">
        <v>14.96</v>
      </c>
      <c r="L704">
        <v>17524</v>
      </c>
      <c r="M704" t="s">
        <v>452</v>
      </c>
      <c r="N704" t="str">
        <f t="shared" si="43"/>
        <v>1215179-6/19</v>
      </c>
      <c r="O704">
        <v>230612</v>
      </c>
    </row>
    <row r="705" spans="1:15" x14ac:dyDescent="0.25">
      <c r="A705" t="s">
        <v>16</v>
      </c>
      <c r="B705" t="s">
        <v>3221</v>
      </c>
      <c r="C705">
        <v>8587</v>
      </c>
      <c r="D705" t="s">
        <v>448</v>
      </c>
      <c r="E705" t="s">
        <v>449</v>
      </c>
      <c r="F705">
        <v>143.44</v>
      </c>
      <c r="G705">
        <v>230701</v>
      </c>
      <c r="H705">
        <v>4840</v>
      </c>
      <c r="I705" t="s">
        <v>19</v>
      </c>
      <c r="J705">
        <v>177.87</v>
      </c>
      <c r="K705">
        <v>34.43</v>
      </c>
      <c r="L705">
        <v>17525</v>
      </c>
      <c r="M705" t="s">
        <v>135</v>
      </c>
      <c r="N705" t="str">
        <f t="shared" si="43"/>
        <v>1215179-6/19</v>
      </c>
      <c r="O705">
        <v>230612</v>
      </c>
    </row>
    <row r="706" spans="1:15" x14ac:dyDescent="0.25">
      <c r="A706" t="s">
        <v>16</v>
      </c>
      <c r="B706" t="s">
        <v>3221</v>
      </c>
      <c r="C706">
        <v>8587</v>
      </c>
      <c r="D706" t="s">
        <v>448</v>
      </c>
      <c r="E706" t="s">
        <v>449</v>
      </c>
      <c r="F706">
        <v>188.01</v>
      </c>
      <c r="G706">
        <v>230701</v>
      </c>
      <c r="H706">
        <v>4840</v>
      </c>
      <c r="I706" t="s">
        <v>19</v>
      </c>
      <c r="J706">
        <v>233.13</v>
      </c>
      <c r="K706">
        <v>45.12</v>
      </c>
      <c r="L706">
        <v>17526</v>
      </c>
      <c r="M706" t="s">
        <v>437</v>
      </c>
      <c r="N706" t="str">
        <f t="shared" si="43"/>
        <v>1215179-6/19</v>
      </c>
      <c r="O706">
        <v>230612</v>
      </c>
    </row>
    <row r="707" spans="1:15" x14ac:dyDescent="0.25">
      <c r="A707" t="s">
        <v>16</v>
      </c>
      <c r="B707" t="s">
        <v>3221</v>
      </c>
      <c r="C707">
        <v>8587</v>
      </c>
      <c r="D707" t="s">
        <v>448</v>
      </c>
      <c r="E707" t="s">
        <v>449</v>
      </c>
      <c r="F707">
        <v>443.88</v>
      </c>
      <c r="G707">
        <v>230701</v>
      </c>
      <c r="H707">
        <v>4840</v>
      </c>
      <c r="I707" t="s">
        <v>19</v>
      </c>
      <c r="J707">
        <v>550.41</v>
      </c>
      <c r="K707">
        <v>106.53</v>
      </c>
      <c r="L707">
        <v>17527</v>
      </c>
      <c r="M707" t="s">
        <v>422</v>
      </c>
      <c r="N707" t="str">
        <f t="shared" si="43"/>
        <v>1215179-6/19</v>
      </c>
      <c r="O707">
        <v>230612</v>
      </c>
    </row>
    <row r="708" spans="1:15" x14ac:dyDescent="0.25">
      <c r="A708" t="s">
        <v>16</v>
      </c>
      <c r="B708" t="s">
        <v>3221</v>
      </c>
      <c r="C708">
        <v>8587</v>
      </c>
      <c r="D708" t="s">
        <v>448</v>
      </c>
      <c r="E708" t="s">
        <v>449</v>
      </c>
      <c r="F708">
        <v>185.46</v>
      </c>
      <c r="G708">
        <v>230701</v>
      </c>
      <c r="H708">
        <v>4840</v>
      </c>
      <c r="I708" t="s">
        <v>19</v>
      </c>
      <c r="J708">
        <v>229.97</v>
      </c>
      <c r="K708">
        <v>44.51</v>
      </c>
      <c r="L708">
        <v>17529</v>
      </c>
      <c r="M708" t="s">
        <v>453</v>
      </c>
      <c r="N708" t="str">
        <f t="shared" si="43"/>
        <v>1215179-6/19</v>
      </c>
      <c r="O708">
        <v>230612</v>
      </c>
    </row>
    <row r="709" spans="1:15" x14ac:dyDescent="0.25">
      <c r="A709" t="s">
        <v>16</v>
      </c>
      <c r="B709" t="s">
        <v>3221</v>
      </c>
      <c r="C709">
        <v>8587</v>
      </c>
      <c r="D709" t="s">
        <v>448</v>
      </c>
      <c r="E709" t="s">
        <v>449</v>
      </c>
      <c r="F709">
        <v>900.94</v>
      </c>
      <c r="G709">
        <v>230701</v>
      </c>
      <c r="H709">
        <v>4840</v>
      </c>
      <c r="I709" t="s">
        <v>19</v>
      </c>
      <c r="J709">
        <v>1117.17</v>
      </c>
      <c r="K709">
        <v>216.23</v>
      </c>
      <c r="L709">
        <v>17530</v>
      </c>
      <c r="M709" t="s">
        <v>454</v>
      </c>
      <c r="N709" t="str">
        <f t="shared" si="43"/>
        <v>1215179-6/19</v>
      </c>
      <c r="O709">
        <v>230612</v>
      </c>
    </row>
    <row r="710" spans="1:15" x14ac:dyDescent="0.25">
      <c r="A710" t="s">
        <v>16</v>
      </c>
      <c r="B710" t="s">
        <v>3221</v>
      </c>
      <c r="C710">
        <v>8587</v>
      </c>
      <c r="D710" t="s">
        <v>448</v>
      </c>
      <c r="E710" t="s">
        <v>449</v>
      </c>
      <c r="F710">
        <v>121.86</v>
      </c>
      <c r="G710">
        <v>230701</v>
      </c>
      <c r="H710">
        <v>4840</v>
      </c>
      <c r="I710" t="s">
        <v>19</v>
      </c>
      <c r="J710">
        <v>151.11000000000001</v>
      </c>
      <c r="K710">
        <v>29.25</v>
      </c>
      <c r="L710">
        <v>17531</v>
      </c>
      <c r="M710" t="s">
        <v>136</v>
      </c>
      <c r="N710" t="str">
        <f t="shared" si="43"/>
        <v>1215179-6/19</v>
      </c>
      <c r="O710">
        <v>230612</v>
      </c>
    </row>
    <row r="711" spans="1:15" x14ac:dyDescent="0.25">
      <c r="A711" t="s">
        <v>16</v>
      </c>
      <c r="B711" t="s">
        <v>3221</v>
      </c>
      <c r="C711">
        <v>8587</v>
      </c>
      <c r="D711" t="s">
        <v>448</v>
      </c>
      <c r="E711" t="s">
        <v>449</v>
      </c>
      <c r="F711">
        <v>227.04</v>
      </c>
      <c r="G711">
        <v>230701</v>
      </c>
      <c r="H711">
        <v>4840</v>
      </c>
      <c r="I711" t="s">
        <v>19</v>
      </c>
      <c r="J711">
        <v>281.52999999999997</v>
      </c>
      <c r="K711">
        <v>54.49</v>
      </c>
      <c r="L711">
        <v>17532</v>
      </c>
      <c r="M711" t="s">
        <v>543</v>
      </c>
      <c r="N711" t="str">
        <f t="shared" si="43"/>
        <v>1215179-6/19</v>
      </c>
      <c r="O711">
        <v>230612</v>
      </c>
    </row>
    <row r="712" spans="1:15" x14ac:dyDescent="0.25">
      <c r="A712" t="s">
        <v>16</v>
      </c>
      <c r="B712" t="s">
        <v>3221</v>
      </c>
      <c r="C712">
        <v>8587</v>
      </c>
      <c r="D712" t="s">
        <v>448</v>
      </c>
      <c r="E712" t="s">
        <v>449</v>
      </c>
      <c r="F712">
        <v>146.36000000000001</v>
      </c>
      <c r="G712">
        <v>230701</v>
      </c>
      <c r="H712">
        <v>4840</v>
      </c>
      <c r="I712" t="s">
        <v>19</v>
      </c>
      <c r="J712">
        <v>181.49</v>
      </c>
      <c r="K712">
        <v>35.130000000000003</v>
      </c>
      <c r="L712">
        <v>17533</v>
      </c>
      <c r="M712" t="s">
        <v>990</v>
      </c>
      <c r="N712" t="str">
        <f t="shared" si="43"/>
        <v>1215179-6/19</v>
      </c>
      <c r="O712">
        <v>230612</v>
      </c>
    </row>
    <row r="713" spans="1:15" x14ac:dyDescent="0.25">
      <c r="A713" t="s">
        <v>16</v>
      </c>
      <c r="B713" t="s">
        <v>3221</v>
      </c>
      <c r="C713">
        <v>8587</v>
      </c>
      <c r="D713" t="s">
        <v>448</v>
      </c>
      <c r="E713" t="s">
        <v>449</v>
      </c>
      <c r="F713">
        <v>6.49</v>
      </c>
      <c r="G713">
        <v>230701</v>
      </c>
      <c r="H713">
        <v>4840</v>
      </c>
      <c r="I713" t="s">
        <v>19</v>
      </c>
      <c r="J713">
        <v>8.0500000000000007</v>
      </c>
      <c r="K713">
        <v>1.56</v>
      </c>
      <c r="L713">
        <v>17534</v>
      </c>
      <c r="M713" t="s">
        <v>440</v>
      </c>
      <c r="N713" t="str">
        <f t="shared" si="43"/>
        <v>1215179-6/19</v>
      </c>
      <c r="O713">
        <v>230612</v>
      </c>
    </row>
    <row r="714" spans="1:15" x14ac:dyDescent="0.25">
      <c r="A714" t="s">
        <v>16</v>
      </c>
      <c r="B714" t="s">
        <v>3221</v>
      </c>
      <c r="C714">
        <v>8587</v>
      </c>
      <c r="D714" t="s">
        <v>448</v>
      </c>
      <c r="E714" t="s">
        <v>449</v>
      </c>
      <c r="F714">
        <v>96.53</v>
      </c>
      <c r="G714">
        <v>230701</v>
      </c>
      <c r="H714">
        <v>4840</v>
      </c>
      <c r="I714" t="s">
        <v>19</v>
      </c>
      <c r="J714">
        <v>119.7</v>
      </c>
      <c r="K714">
        <v>23.17</v>
      </c>
      <c r="L714">
        <v>17535</v>
      </c>
      <c r="M714" t="s">
        <v>357</v>
      </c>
      <c r="N714" t="str">
        <f t="shared" si="43"/>
        <v>1215179-6/19</v>
      </c>
      <c r="O714">
        <v>230612</v>
      </c>
    </row>
    <row r="715" spans="1:15" x14ac:dyDescent="0.25">
      <c r="A715" t="s">
        <v>16</v>
      </c>
      <c r="B715" t="s">
        <v>3221</v>
      </c>
      <c r="C715">
        <v>8587</v>
      </c>
      <c r="D715" t="s">
        <v>448</v>
      </c>
      <c r="E715" t="s">
        <v>449</v>
      </c>
      <c r="F715">
        <v>6.49</v>
      </c>
      <c r="G715">
        <v>230701</v>
      </c>
      <c r="H715">
        <v>4840</v>
      </c>
      <c r="I715" t="s">
        <v>19</v>
      </c>
      <c r="J715">
        <v>8.0500000000000007</v>
      </c>
      <c r="K715">
        <v>1.56</v>
      </c>
      <c r="L715">
        <v>17536</v>
      </c>
      <c r="M715" t="s">
        <v>734</v>
      </c>
      <c r="N715" t="str">
        <f t="shared" si="43"/>
        <v>1215179-6/19</v>
      </c>
      <c r="O715">
        <v>230612</v>
      </c>
    </row>
    <row r="716" spans="1:15" x14ac:dyDescent="0.25">
      <c r="A716" t="s">
        <v>16</v>
      </c>
      <c r="B716" t="s">
        <v>3221</v>
      </c>
      <c r="C716">
        <v>8587</v>
      </c>
      <c r="D716" t="s">
        <v>448</v>
      </c>
      <c r="E716" t="s">
        <v>449</v>
      </c>
      <c r="F716">
        <v>1660.42</v>
      </c>
      <c r="G716">
        <v>230701</v>
      </c>
      <c r="H716">
        <v>4840</v>
      </c>
      <c r="I716" t="s">
        <v>19</v>
      </c>
      <c r="J716">
        <v>2058.92</v>
      </c>
      <c r="K716">
        <v>398.5</v>
      </c>
      <c r="L716">
        <v>17537</v>
      </c>
      <c r="M716" t="s">
        <v>455</v>
      </c>
      <c r="N716" t="str">
        <f t="shared" si="43"/>
        <v>1215179-6/19</v>
      </c>
      <c r="O716">
        <v>230612</v>
      </c>
    </row>
    <row r="717" spans="1:15" x14ac:dyDescent="0.25">
      <c r="A717" t="s">
        <v>16</v>
      </c>
      <c r="B717" t="s">
        <v>3221</v>
      </c>
      <c r="C717">
        <v>8587</v>
      </c>
      <c r="D717" t="s">
        <v>448</v>
      </c>
      <c r="E717" t="s">
        <v>449</v>
      </c>
      <c r="F717">
        <v>1227.49</v>
      </c>
      <c r="G717">
        <v>230701</v>
      </c>
      <c r="H717">
        <v>4840</v>
      </c>
      <c r="I717" t="s">
        <v>19</v>
      </c>
      <c r="J717">
        <v>1522.09</v>
      </c>
      <c r="K717">
        <v>294.60000000000002</v>
      </c>
      <c r="L717">
        <v>17538</v>
      </c>
      <c r="M717" t="s">
        <v>24</v>
      </c>
      <c r="N717" t="str">
        <f t="shared" si="43"/>
        <v>1215179-6/19</v>
      </c>
      <c r="O717">
        <v>230612</v>
      </c>
    </row>
    <row r="718" spans="1:15" x14ac:dyDescent="0.25">
      <c r="A718" t="s">
        <v>16</v>
      </c>
      <c r="B718" t="s">
        <v>3221</v>
      </c>
      <c r="C718">
        <v>8587</v>
      </c>
      <c r="D718" t="s">
        <v>448</v>
      </c>
      <c r="E718" t="s">
        <v>449</v>
      </c>
      <c r="F718">
        <v>6.16</v>
      </c>
      <c r="G718">
        <v>230701</v>
      </c>
      <c r="H718">
        <v>4840</v>
      </c>
      <c r="I718" t="s">
        <v>19</v>
      </c>
      <c r="J718">
        <v>7.64</v>
      </c>
      <c r="K718">
        <v>1.48</v>
      </c>
      <c r="L718">
        <v>17918</v>
      </c>
      <c r="M718" t="s">
        <v>137</v>
      </c>
      <c r="N718" t="str">
        <f t="shared" si="43"/>
        <v>1215179-6/19</v>
      </c>
      <c r="O718">
        <v>230612</v>
      </c>
    </row>
    <row r="719" spans="1:15" x14ac:dyDescent="0.25">
      <c r="A719" t="s">
        <v>16</v>
      </c>
      <c r="B719" t="s">
        <v>3221</v>
      </c>
      <c r="C719">
        <v>8587</v>
      </c>
      <c r="D719" t="s">
        <v>448</v>
      </c>
      <c r="E719" t="s">
        <v>449</v>
      </c>
      <c r="F719">
        <v>119.45</v>
      </c>
      <c r="G719">
        <v>230701</v>
      </c>
      <c r="H719">
        <v>4840</v>
      </c>
      <c r="I719" t="s">
        <v>19</v>
      </c>
      <c r="J719">
        <v>148.12</v>
      </c>
      <c r="K719">
        <v>28.67</v>
      </c>
      <c r="L719">
        <v>17950</v>
      </c>
      <c r="M719" t="s">
        <v>86</v>
      </c>
      <c r="N719" t="str">
        <f t="shared" si="43"/>
        <v>1215179-6/19</v>
      </c>
      <c r="O719">
        <v>230612</v>
      </c>
    </row>
    <row r="720" spans="1:15" x14ac:dyDescent="0.25">
      <c r="A720" t="s">
        <v>16</v>
      </c>
      <c r="B720" t="s">
        <v>3221</v>
      </c>
      <c r="C720">
        <v>8587</v>
      </c>
      <c r="D720" t="s">
        <v>448</v>
      </c>
      <c r="E720" t="s">
        <v>449</v>
      </c>
      <c r="F720">
        <v>364.25</v>
      </c>
      <c r="G720">
        <v>230701</v>
      </c>
      <c r="H720">
        <v>4840</v>
      </c>
      <c r="I720" t="s">
        <v>19</v>
      </c>
      <c r="J720">
        <v>451.67</v>
      </c>
      <c r="K720">
        <v>87.42</v>
      </c>
      <c r="L720">
        <v>17971</v>
      </c>
      <c r="M720" t="s">
        <v>138</v>
      </c>
      <c r="N720" t="str">
        <f t="shared" si="43"/>
        <v>1215179-6/19</v>
      </c>
      <c r="O720">
        <v>230612</v>
      </c>
    </row>
    <row r="721" spans="1:15" x14ac:dyDescent="0.25">
      <c r="A721" t="s">
        <v>16</v>
      </c>
      <c r="B721" t="s">
        <v>3221</v>
      </c>
      <c r="C721">
        <v>8587</v>
      </c>
      <c r="D721" t="s">
        <v>448</v>
      </c>
      <c r="E721" t="s">
        <v>449</v>
      </c>
      <c r="F721">
        <v>248.65</v>
      </c>
      <c r="G721">
        <v>230701</v>
      </c>
      <c r="H721">
        <v>4840</v>
      </c>
      <c r="I721" t="s">
        <v>19</v>
      </c>
      <c r="J721">
        <v>308.32</v>
      </c>
      <c r="K721">
        <v>59.67</v>
      </c>
      <c r="L721">
        <v>17972</v>
      </c>
      <c r="M721" t="s">
        <v>248</v>
      </c>
      <c r="N721" t="str">
        <f t="shared" si="43"/>
        <v>1215179-6/19</v>
      </c>
      <c r="O721">
        <v>230612</v>
      </c>
    </row>
    <row r="722" spans="1:15" x14ac:dyDescent="0.25">
      <c r="A722" t="s">
        <v>16</v>
      </c>
      <c r="B722" t="s">
        <v>3221</v>
      </c>
      <c r="C722">
        <v>8587</v>
      </c>
      <c r="D722" t="s">
        <v>448</v>
      </c>
      <c r="E722" t="s">
        <v>449</v>
      </c>
      <c r="F722">
        <v>12.98</v>
      </c>
      <c r="G722">
        <v>230701</v>
      </c>
      <c r="H722">
        <v>4840</v>
      </c>
      <c r="I722" t="s">
        <v>19</v>
      </c>
      <c r="J722">
        <v>16.100000000000001</v>
      </c>
      <c r="K722">
        <v>3.12</v>
      </c>
      <c r="L722">
        <v>17974</v>
      </c>
      <c r="M722" t="s">
        <v>460</v>
      </c>
      <c r="N722" t="str">
        <f t="shared" si="43"/>
        <v>1215179-6/19</v>
      </c>
      <c r="O722">
        <v>230612</v>
      </c>
    </row>
    <row r="723" spans="1:15" x14ac:dyDescent="0.25">
      <c r="A723" t="s">
        <v>16</v>
      </c>
      <c r="B723" t="s">
        <v>3221</v>
      </c>
      <c r="C723">
        <v>8587</v>
      </c>
      <c r="D723" t="s">
        <v>448</v>
      </c>
      <c r="E723" t="s">
        <v>449</v>
      </c>
      <c r="F723">
        <v>42.1</v>
      </c>
      <c r="G723">
        <v>230701</v>
      </c>
      <c r="H723">
        <v>4840</v>
      </c>
      <c r="I723" t="s">
        <v>19</v>
      </c>
      <c r="J723">
        <v>52.2</v>
      </c>
      <c r="K723">
        <v>10.1</v>
      </c>
      <c r="L723">
        <v>17975</v>
      </c>
      <c r="M723" t="s">
        <v>798</v>
      </c>
      <c r="N723" t="str">
        <f t="shared" si="43"/>
        <v>1215179-6/19</v>
      </c>
      <c r="O723">
        <v>230612</v>
      </c>
    </row>
    <row r="724" spans="1:15" x14ac:dyDescent="0.25">
      <c r="A724" t="s">
        <v>16</v>
      </c>
      <c r="B724" t="s">
        <v>3221</v>
      </c>
      <c r="C724">
        <v>8745</v>
      </c>
      <c r="D724" t="s">
        <v>448</v>
      </c>
      <c r="E724" t="s">
        <v>449</v>
      </c>
      <c r="F724">
        <v>34.299999999999997</v>
      </c>
      <c r="G724">
        <v>230701</v>
      </c>
      <c r="H724">
        <v>4840</v>
      </c>
      <c r="I724" t="s">
        <v>19</v>
      </c>
      <c r="J724">
        <v>42.53</v>
      </c>
      <c r="K724">
        <v>8.23</v>
      </c>
      <c r="L724">
        <v>11601</v>
      </c>
      <c r="M724" t="s">
        <v>535</v>
      </c>
      <c r="N724" t="str">
        <f t="shared" ref="N724:N746" si="44">"215179-11/19"</f>
        <v>215179-11/19</v>
      </c>
      <c r="O724">
        <v>230613</v>
      </c>
    </row>
    <row r="725" spans="1:15" x14ac:dyDescent="0.25">
      <c r="A725" t="s">
        <v>16</v>
      </c>
      <c r="B725" t="s">
        <v>3221</v>
      </c>
      <c r="C725">
        <v>8745</v>
      </c>
      <c r="D725" t="s">
        <v>448</v>
      </c>
      <c r="E725" t="s">
        <v>449</v>
      </c>
      <c r="F725">
        <v>2050.4</v>
      </c>
      <c r="G725">
        <v>230701</v>
      </c>
      <c r="H725">
        <v>4840</v>
      </c>
      <c r="I725" t="s">
        <v>19</v>
      </c>
      <c r="J725">
        <v>2542.5</v>
      </c>
      <c r="K725">
        <v>492.1</v>
      </c>
      <c r="L725">
        <v>41126</v>
      </c>
      <c r="M725" t="s">
        <v>761</v>
      </c>
      <c r="N725" t="str">
        <f t="shared" si="44"/>
        <v>215179-11/19</v>
      </c>
      <c r="O725">
        <v>230613</v>
      </c>
    </row>
    <row r="726" spans="1:15" x14ac:dyDescent="0.25">
      <c r="A726" t="s">
        <v>16</v>
      </c>
      <c r="B726" t="s">
        <v>3221</v>
      </c>
      <c r="C726">
        <v>8745</v>
      </c>
      <c r="D726" t="s">
        <v>448</v>
      </c>
      <c r="E726" t="s">
        <v>449</v>
      </c>
      <c r="F726">
        <v>681.87</v>
      </c>
      <c r="G726">
        <v>230701</v>
      </c>
      <c r="H726">
        <v>4840</v>
      </c>
      <c r="I726" t="s">
        <v>19</v>
      </c>
      <c r="J726">
        <v>845.52</v>
      </c>
      <c r="K726">
        <v>163.65</v>
      </c>
      <c r="L726">
        <v>43222</v>
      </c>
      <c r="M726" t="s">
        <v>507</v>
      </c>
      <c r="N726" t="str">
        <f t="shared" si="44"/>
        <v>215179-11/19</v>
      </c>
      <c r="O726">
        <v>230613</v>
      </c>
    </row>
    <row r="727" spans="1:15" x14ac:dyDescent="0.25">
      <c r="A727" t="s">
        <v>16</v>
      </c>
      <c r="B727" t="s">
        <v>3221</v>
      </c>
      <c r="C727">
        <v>8745</v>
      </c>
      <c r="D727" t="s">
        <v>448</v>
      </c>
      <c r="E727" t="s">
        <v>449</v>
      </c>
      <c r="F727">
        <v>1509.68</v>
      </c>
      <c r="G727">
        <v>230701</v>
      </c>
      <c r="H727">
        <v>4840</v>
      </c>
      <c r="I727" t="s">
        <v>19</v>
      </c>
      <c r="J727">
        <v>1872</v>
      </c>
      <c r="K727">
        <v>362.32</v>
      </c>
      <c r="L727">
        <v>44222</v>
      </c>
      <c r="M727" t="s">
        <v>232</v>
      </c>
      <c r="N727" t="str">
        <f t="shared" si="44"/>
        <v>215179-11/19</v>
      </c>
      <c r="O727">
        <v>230613</v>
      </c>
    </row>
    <row r="728" spans="1:15" x14ac:dyDescent="0.25">
      <c r="A728" t="s">
        <v>16</v>
      </c>
      <c r="B728" t="s">
        <v>3221</v>
      </c>
      <c r="C728">
        <v>8745</v>
      </c>
      <c r="D728" t="s">
        <v>448</v>
      </c>
      <c r="E728" t="s">
        <v>449</v>
      </c>
      <c r="F728">
        <v>33.06</v>
      </c>
      <c r="G728">
        <v>230701</v>
      </c>
      <c r="H728">
        <v>4840</v>
      </c>
      <c r="I728" t="s">
        <v>19</v>
      </c>
      <c r="J728">
        <v>40.99</v>
      </c>
      <c r="K728">
        <v>7.93</v>
      </c>
      <c r="L728">
        <v>44422</v>
      </c>
      <c r="M728" t="s">
        <v>482</v>
      </c>
      <c r="N728" t="str">
        <f t="shared" si="44"/>
        <v>215179-11/19</v>
      </c>
      <c r="O728">
        <v>230613</v>
      </c>
    </row>
    <row r="729" spans="1:15" x14ac:dyDescent="0.25">
      <c r="A729" t="s">
        <v>16</v>
      </c>
      <c r="B729" t="s">
        <v>3221</v>
      </c>
      <c r="C729">
        <v>8745</v>
      </c>
      <c r="D729" t="s">
        <v>448</v>
      </c>
      <c r="E729" t="s">
        <v>449</v>
      </c>
      <c r="F729">
        <v>66.12</v>
      </c>
      <c r="G729">
        <v>230701</v>
      </c>
      <c r="H729">
        <v>4840</v>
      </c>
      <c r="I729" t="s">
        <v>19</v>
      </c>
      <c r="J729">
        <v>81.99</v>
      </c>
      <c r="K729">
        <v>15.87</v>
      </c>
      <c r="L729">
        <v>44423</v>
      </c>
      <c r="M729" t="s">
        <v>502</v>
      </c>
      <c r="N729" t="str">
        <f t="shared" si="44"/>
        <v>215179-11/19</v>
      </c>
      <c r="O729">
        <v>230613</v>
      </c>
    </row>
    <row r="730" spans="1:15" x14ac:dyDescent="0.25">
      <c r="A730" t="s">
        <v>16</v>
      </c>
      <c r="B730" t="s">
        <v>3221</v>
      </c>
      <c r="C730">
        <v>8745</v>
      </c>
      <c r="D730" t="s">
        <v>448</v>
      </c>
      <c r="E730" t="s">
        <v>449</v>
      </c>
      <c r="F730">
        <v>1235.78</v>
      </c>
      <c r="G730">
        <v>230701</v>
      </c>
      <c r="H730">
        <v>4840</v>
      </c>
      <c r="I730" t="s">
        <v>19</v>
      </c>
      <c r="J730">
        <v>1532.37</v>
      </c>
      <c r="K730">
        <v>296.58999999999997</v>
      </c>
      <c r="L730">
        <v>44424</v>
      </c>
      <c r="M730" t="s">
        <v>776</v>
      </c>
      <c r="N730" t="str">
        <f t="shared" si="44"/>
        <v>215179-11/19</v>
      </c>
      <c r="O730">
        <v>230613</v>
      </c>
    </row>
    <row r="731" spans="1:15" x14ac:dyDescent="0.25">
      <c r="A731" t="s">
        <v>16</v>
      </c>
      <c r="B731" t="s">
        <v>3221</v>
      </c>
      <c r="C731">
        <v>8745</v>
      </c>
      <c r="D731" t="s">
        <v>448</v>
      </c>
      <c r="E731" t="s">
        <v>449</v>
      </c>
      <c r="F731">
        <v>33.79</v>
      </c>
      <c r="G731">
        <v>230701</v>
      </c>
      <c r="H731">
        <v>4840</v>
      </c>
      <c r="I731" t="s">
        <v>19</v>
      </c>
      <c r="J731">
        <v>41.9</v>
      </c>
      <c r="K731">
        <v>8.11</v>
      </c>
      <c r="L731">
        <v>44453</v>
      </c>
      <c r="M731" t="s">
        <v>492</v>
      </c>
      <c r="N731" t="str">
        <f t="shared" si="44"/>
        <v>215179-11/19</v>
      </c>
      <c r="O731">
        <v>230613</v>
      </c>
    </row>
    <row r="732" spans="1:15" x14ac:dyDescent="0.25">
      <c r="A732" t="s">
        <v>16</v>
      </c>
      <c r="B732" t="s">
        <v>3221</v>
      </c>
      <c r="C732">
        <v>8745</v>
      </c>
      <c r="D732" t="s">
        <v>448</v>
      </c>
      <c r="E732" t="s">
        <v>449</v>
      </c>
      <c r="F732">
        <v>1787.35</v>
      </c>
      <c r="G732">
        <v>230701</v>
      </c>
      <c r="H732">
        <v>4840</v>
      </c>
      <c r="I732" t="s">
        <v>19</v>
      </c>
      <c r="J732">
        <v>2216.3200000000002</v>
      </c>
      <c r="K732">
        <v>428.97</v>
      </c>
      <c r="L732">
        <v>46222</v>
      </c>
      <c r="M732" t="s">
        <v>293</v>
      </c>
      <c r="N732" t="str">
        <f t="shared" si="44"/>
        <v>215179-11/19</v>
      </c>
      <c r="O732">
        <v>230613</v>
      </c>
    </row>
    <row r="733" spans="1:15" x14ac:dyDescent="0.25">
      <c r="A733" t="s">
        <v>16</v>
      </c>
      <c r="B733" t="s">
        <v>3221</v>
      </c>
      <c r="C733">
        <v>8745</v>
      </c>
      <c r="D733" t="s">
        <v>448</v>
      </c>
      <c r="E733" t="s">
        <v>449</v>
      </c>
      <c r="F733">
        <v>1443.7</v>
      </c>
      <c r="G733">
        <v>230701</v>
      </c>
      <c r="H733">
        <v>4840</v>
      </c>
      <c r="I733" t="s">
        <v>19</v>
      </c>
      <c r="J733">
        <v>1790.19</v>
      </c>
      <c r="K733">
        <v>346.49</v>
      </c>
      <c r="L733">
        <v>46554</v>
      </c>
      <c r="M733" t="s">
        <v>117</v>
      </c>
      <c r="N733" t="str">
        <f t="shared" si="44"/>
        <v>215179-11/19</v>
      </c>
      <c r="O733">
        <v>230613</v>
      </c>
    </row>
    <row r="734" spans="1:15" x14ac:dyDescent="0.25">
      <c r="A734" t="s">
        <v>16</v>
      </c>
      <c r="B734" t="s">
        <v>3221</v>
      </c>
      <c r="C734">
        <v>8745</v>
      </c>
      <c r="D734" t="s">
        <v>448</v>
      </c>
      <c r="E734" t="s">
        <v>449</v>
      </c>
      <c r="F734">
        <v>1019.11</v>
      </c>
      <c r="G734">
        <v>230701</v>
      </c>
      <c r="H734">
        <v>4840</v>
      </c>
      <c r="I734" t="s">
        <v>19</v>
      </c>
      <c r="J734">
        <v>1263.7</v>
      </c>
      <c r="K734">
        <v>244.59</v>
      </c>
      <c r="L734">
        <v>46555</v>
      </c>
      <c r="M734" t="s">
        <v>597</v>
      </c>
      <c r="N734" t="str">
        <f t="shared" si="44"/>
        <v>215179-11/19</v>
      </c>
      <c r="O734">
        <v>230613</v>
      </c>
    </row>
    <row r="735" spans="1:15" x14ac:dyDescent="0.25">
      <c r="A735" t="s">
        <v>16</v>
      </c>
      <c r="B735" t="s">
        <v>3221</v>
      </c>
      <c r="C735">
        <v>8745</v>
      </c>
      <c r="D735" t="s">
        <v>448</v>
      </c>
      <c r="E735" t="s">
        <v>449</v>
      </c>
      <c r="F735">
        <v>446.82</v>
      </c>
      <c r="G735">
        <v>230701</v>
      </c>
      <c r="H735">
        <v>4840</v>
      </c>
      <c r="I735" t="s">
        <v>19</v>
      </c>
      <c r="J735">
        <v>554.05999999999995</v>
      </c>
      <c r="K735">
        <v>107.24</v>
      </c>
      <c r="L735">
        <v>46556</v>
      </c>
      <c r="M735" t="s">
        <v>125</v>
      </c>
      <c r="N735" t="str">
        <f t="shared" si="44"/>
        <v>215179-11/19</v>
      </c>
      <c r="O735">
        <v>230613</v>
      </c>
    </row>
    <row r="736" spans="1:15" x14ac:dyDescent="0.25">
      <c r="A736" t="s">
        <v>16</v>
      </c>
      <c r="B736" t="s">
        <v>3221</v>
      </c>
      <c r="C736">
        <v>8745</v>
      </c>
      <c r="D736" t="s">
        <v>448</v>
      </c>
      <c r="E736" t="s">
        <v>449</v>
      </c>
      <c r="F736">
        <v>840.52</v>
      </c>
      <c r="G736">
        <v>230701</v>
      </c>
      <c r="H736">
        <v>4840</v>
      </c>
      <c r="I736" t="s">
        <v>19</v>
      </c>
      <c r="J736">
        <v>1042.24</v>
      </c>
      <c r="K736">
        <v>201.72</v>
      </c>
      <c r="L736">
        <v>46557</v>
      </c>
      <c r="M736" t="s">
        <v>221</v>
      </c>
      <c r="N736" t="str">
        <f t="shared" si="44"/>
        <v>215179-11/19</v>
      </c>
      <c r="O736">
        <v>230613</v>
      </c>
    </row>
    <row r="737" spans="1:15" x14ac:dyDescent="0.25">
      <c r="A737" t="s">
        <v>16</v>
      </c>
      <c r="B737" t="s">
        <v>3221</v>
      </c>
      <c r="C737">
        <v>8745</v>
      </c>
      <c r="D737" t="s">
        <v>448</v>
      </c>
      <c r="E737" t="s">
        <v>449</v>
      </c>
      <c r="F737">
        <v>1356.75</v>
      </c>
      <c r="G737">
        <v>230701</v>
      </c>
      <c r="H737">
        <v>4840</v>
      </c>
      <c r="I737" t="s">
        <v>19</v>
      </c>
      <c r="J737">
        <v>1682.37</v>
      </c>
      <c r="K737">
        <v>325.62</v>
      </c>
      <c r="L737">
        <v>46559</v>
      </c>
      <c r="M737" t="s">
        <v>1104</v>
      </c>
      <c r="N737" t="str">
        <f t="shared" si="44"/>
        <v>215179-11/19</v>
      </c>
      <c r="O737">
        <v>230613</v>
      </c>
    </row>
    <row r="738" spans="1:15" x14ac:dyDescent="0.25">
      <c r="A738" t="s">
        <v>16</v>
      </c>
      <c r="B738" t="s">
        <v>3221</v>
      </c>
      <c r="C738">
        <v>8745</v>
      </c>
      <c r="D738" t="s">
        <v>448</v>
      </c>
      <c r="E738" t="s">
        <v>449</v>
      </c>
      <c r="F738">
        <v>1869.43</v>
      </c>
      <c r="G738">
        <v>230701</v>
      </c>
      <c r="H738">
        <v>4840</v>
      </c>
      <c r="I738" t="s">
        <v>19</v>
      </c>
      <c r="J738">
        <v>2318.09</v>
      </c>
      <c r="K738">
        <v>448.66</v>
      </c>
      <c r="L738">
        <v>47522</v>
      </c>
      <c r="M738" t="s">
        <v>410</v>
      </c>
      <c r="N738" t="str">
        <f t="shared" si="44"/>
        <v>215179-11/19</v>
      </c>
      <c r="O738">
        <v>230613</v>
      </c>
    </row>
    <row r="739" spans="1:15" x14ac:dyDescent="0.25">
      <c r="A739" t="s">
        <v>16</v>
      </c>
      <c r="B739" t="s">
        <v>3221</v>
      </c>
      <c r="C739">
        <v>8745</v>
      </c>
      <c r="D739" t="s">
        <v>448</v>
      </c>
      <c r="E739" t="s">
        <v>449</v>
      </c>
      <c r="F739">
        <v>54.53</v>
      </c>
      <c r="G739">
        <v>230701</v>
      </c>
      <c r="H739">
        <v>4840</v>
      </c>
      <c r="I739" t="s">
        <v>19</v>
      </c>
      <c r="J739">
        <v>67.62</v>
      </c>
      <c r="K739">
        <v>13.09</v>
      </c>
      <c r="L739">
        <v>48601</v>
      </c>
      <c r="M739" t="s">
        <v>1047</v>
      </c>
      <c r="N739" t="str">
        <f t="shared" si="44"/>
        <v>215179-11/19</v>
      </c>
      <c r="O739">
        <v>230613</v>
      </c>
    </row>
    <row r="740" spans="1:15" x14ac:dyDescent="0.25">
      <c r="A740" t="s">
        <v>16</v>
      </c>
      <c r="B740" t="s">
        <v>3221</v>
      </c>
      <c r="C740">
        <v>8745</v>
      </c>
      <c r="D740" t="s">
        <v>448</v>
      </c>
      <c r="E740" t="s">
        <v>449</v>
      </c>
      <c r="F740">
        <v>815.93</v>
      </c>
      <c r="G740">
        <v>230701</v>
      </c>
      <c r="H740">
        <v>4840</v>
      </c>
      <c r="I740" t="s">
        <v>19</v>
      </c>
      <c r="J740">
        <v>1011.75</v>
      </c>
      <c r="K740">
        <v>195.82</v>
      </c>
      <c r="L740">
        <v>48601</v>
      </c>
      <c r="M740" t="s">
        <v>1047</v>
      </c>
      <c r="N740" t="str">
        <f t="shared" si="44"/>
        <v>215179-11/19</v>
      </c>
      <c r="O740">
        <v>230613</v>
      </c>
    </row>
    <row r="741" spans="1:15" x14ac:dyDescent="0.25">
      <c r="A741" t="s">
        <v>16</v>
      </c>
      <c r="B741" t="s">
        <v>3221</v>
      </c>
      <c r="C741">
        <v>8745</v>
      </c>
      <c r="D741" t="s">
        <v>448</v>
      </c>
      <c r="E741" t="s">
        <v>449</v>
      </c>
      <c r="F741">
        <v>18.920000000000002</v>
      </c>
      <c r="G741">
        <v>230701</v>
      </c>
      <c r="H741">
        <v>4840</v>
      </c>
      <c r="I741" t="s">
        <v>19</v>
      </c>
      <c r="J741">
        <v>23.46</v>
      </c>
      <c r="K741">
        <v>4.54</v>
      </c>
      <c r="L741">
        <v>49112</v>
      </c>
      <c r="M741" t="s">
        <v>233</v>
      </c>
      <c r="N741" t="str">
        <f t="shared" si="44"/>
        <v>215179-11/19</v>
      </c>
      <c r="O741">
        <v>230613</v>
      </c>
    </row>
    <row r="742" spans="1:15" x14ac:dyDescent="0.25">
      <c r="A742" t="s">
        <v>16</v>
      </c>
      <c r="B742" t="s">
        <v>3221</v>
      </c>
      <c r="C742">
        <v>8745</v>
      </c>
      <c r="D742" t="s">
        <v>448</v>
      </c>
      <c r="E742" t="s">
        <v>449</v>
      </c>
      <c r="F742">
        <v>999.71</v>
      </c>
      <c r="G742">
        <v>230701</v>
      </c>
      <c r="H742">
        <v>4840</v>
      </c>
      <c r="I742" t="s">
        <v>19</v>
      </c>
      <c r="J742">
        <v>1239.6400000000001</v>
      </c>
      <c r="K742">
        <v>239.93</v>
      </c>
      <c r="L742">
        <v>49501</v>
      </c>
      <c r="M742" t="s">
        <v>177</v>
      </c>
      <c r="N742" t="str">
        <f t="shared" si="44"/>
        <v>215179-11/19</v>
      </c>
      <c r="O742">
        <v>230613</v>
      </c>
    </row>
    <row r="743" spans="1:15" x14ac:dyDescent="0.25">
      <c r="A743" t="s">
        <v>16</v>
      </c>
      <c r="B743" t="s">
        <v>3221</v>
      </c>
      <c r="C743">
        <v>8745</v>
      </c>
      <c r="D743" t="s">
        <v>448</v>
      </c>
      <c r="E743" t="s">
        <v>449</v>
      </c>
      <c r="F743">
        <v>339.45</v>
      </c>
      <c r="G743">
        <v>230701</v>
      </c>
      <c r="H743">
        <v>4840</v>
      </c>
      <c r="I743" t="s">
        <v>19</v>
      </c>
      <c r="J743">
        <v>420.92</v>
      </c>
      <c r="K743">
        <v>81.47</v>
      </c>
      <c r="L743">
        <v>49701</v>
      </c>
      <c r="M743" t="s">
        <v>166</v>
      </c>
      <c r="N743" t="str">
        <f t="shared" si="44"/>
        <v>215179-11/19</v>
      </c>
      <c r="O743">
        <v>230613</v>
      </c>
    </row>
    <row r="744" spans="1:15" x14ac:dyDescent="0.25">
      <c r="A744" t="s">
        <v>16</v>
      </c>
      <c r="B744" t="s">
        <v>3221</v>
      </c>
      <c r="C744">
        <v>8745</v>
      </c>
      <c r="D744" t="s">
        <v>448</v>
      </c>
      <c r="E744" t="s">
        <v>449</v>
      </c>
      <c r="F744">
        <v>421.02</v>
      </c>
      <c r="G744">
        <v>230701</v>
      </c>
      <c r="H744">
        <v>4840</v>
      </c>
      <c r="I744" t="s">
        <v>19</v>
      </c>
      <c r="J744">
        <v>522.05999999999995</v>
      </c>
      <c r="K744">
        <v>101.04</v>
      </c>
      <c r="L744">
        <v>49702</v>
      </c>
      <c r="M744" t="s">
        <v>584</v>
      </c>
      <c r="N744" t="str">
        <f t="shared" si="44"/>
        <v>215179-11/19</v>
      </c>
      <c r="O744">
        <v>230613</v>
      </c>
    </row>
    <row r="745" spans="1:15" x14ac:dyDescent="0.25">
      <c r="A745" t="s">
        <v>16</v>
      </c>
      <c r="B745" t="s">
        <v>3221</v>
      </c>
      <c r="C745">
        <v>8745</v>
      </c>
      <c r="D745" t="s">
        <v>448</v>
      </c>
      <c r="E745" t="s">
        <v>449</v>
      </c>
      <c r="F745">
        <v>110.14</v>
      </c>
      <c r="G745">
        <v>230701</v>
      </c>
      <c r="H745">
        <v>4840</v>
      </c>
      <c r="I745" t="s">
        <v>19</v>
      </c>
      <c r="J745">
        <v>136.57</v>
      </c>
      <c r="K745">
        <v>26.43</v>
      </c>
      <c r="L745">
        <v>49704</v>
      </c>
      <c r="M745" t="s">
        <v>1065</v>
      </c>
      <c r="N745" t="str">
        <f t="shared" si="44"/>
        <v>215179-11/19</v>
      </c>
      <c r="O745">
        <v>230613</v>
      </c>
    </row>
    <row r="746" spans="1:15" x14ac:dyDescent="0.25">
      <c r="A746" t="s">
        <v>16</v>
      </c>
      <c r="B746" t="s">
        <v>3221</v>
      </c>
      <c r="C746">
        <v>8745</v>
      </c>
      <c r="D746" t="s">
        <v>448</v>
      </c>
      <c r="E746" t="s">
        <v>449</v>
      </c>
      <c r="F746">
        <v>188.26</v>
      </c>
      <c r="G746">
        <v>230701</v>
      </c>
      <c r="H746">
        <v>4840</v>
      </c>
      <c r="I746" t="s">
        <v>19</v>
      </c>
      <c r="J746">
        <v>233.44</v>
      </c>
      <c r="K746">
        <v>45.18</v>
      </c>
      <c r="L746">
        <v>49705</v>
      </c>
      <c r="M746" t="s">
        <v>575</v>
      </c>
      <c r="N746" t="str">
        <f t="shared" si="44"/>
        <v>215179-11/19</v>
      </c>
      <c r="O746">
        <v>230613</v>
      </c>
    </row>
    <row r="747" spans="1:15" x14ac:dyDescent="0.25">
      <c r="A747" t="s">
        <v>16</v>
      </c>
      <c r="B747" t="s">
        <v>3221</v>
      </c>
      <c r="C747">
        <v>8747</v>
      </c>
      <c r="D747" t="s">
        <v>448</v>
      </c>
      <c r="E747" t="s">
        <v>449</v>
      </c>
      <c r="F747">
        <v>7345.39</v>
      </c>
      <c r="G747">
        <v>230701</v>
      </c>
      <c r="H747">
        <v>4840</v>
      </c>
      <c r="I747" t="s">
        <v>19</v>
      </c>
      <c r="J747">
        <v>9108.2800000000007</v>
      </c>
      <c r="K747">
        <v>1762.89</v>
      </c>
      <c r="L747">
        <v>13401</v>
      </c>
      <c r="M747" t="s">
        <v>80</v>
      </c>
      <c r="N747" t="str">
        <f>"215179-15/19"</f>
        <v>215179-15/19</v>
      </c>
      <c r="O747">
        <v>230613</v>
      </c>
    </row>
    <row r="748" spans="1:15" x14ac:dyDescent="0.25">
      <c r="A748" t="s">
        <v>16</v>
      </c>
      <c r="B748" t="s">
        <v>3221</v>
      </c>
      <c r="C748">
        <v>8747</v>
      </c>
      <c r="D748" t="s">
        <v>448</v>
      </c>
      <c r="E748" t="s">
        <v>449</v>
      </c>
      <c r="F748">
        <v>34.53</v>
      </c>
      <c r="G748">
        <v>230701</v>
      </c>
      <c r="H748">
        <v>4840</v>
      </c>
      <c r="I748" t="s">
        <v>19</v>
      </c>
      <c r="J748">
        <v>42.82</v>
      </c>
      <c r="K748">
        <v>8.2899999999999991</v>
      </c>
      <c r="L748">
        <v>13401</v>
      </c>
      <c r="M748" t="s">
        <v>80</v>
      </c>
      <c r="N748" t="str">
        <f>"215179-15/19"</f>
        <v>215179-15/19</v>
      </c>
      <c r="O748">
        <v>230613</v>
      </c>
    </row>
    <row r="749" spans="1:15" x14ac:dyDescent="0.25">
      <c r="A749" t="s">
        <v>16</v>
      </c>
      <c r="B749" t="s">
        <v>3221</v>
      </c>
      <c r="C749">
        <v>8747</v>
      </c>
      <c r="D749" t="s">
        <v>448</v>
      </c>
      <c r="E749" t="s">
        <v>449</v>
      </c>
      <c r="F749">
        <v>158.30000000000001</v>
      </c>
      <c r="G749">
        <v>230701</v>
      </c>
      <c r="H749">
        <v>4840</v>
      </c>
      <c r="I749" t="s">
        <v>19</v>
      </c>
      <c r="J749">
        <v>196.29</v>
      </c>
      <c r="K749">
        <v>37.99</v>
      </c>
      <c r="L749">
        <v>13401</v>
      </c>
      <c r="M749" t="s">
        <v>80</v>
      </c>
      <c r="N749" t="str">
        <f>"215179-15/19"</f>
        <v>215179-15/19</v>
      </c>
      <c r="O749">
        <v>230613</v>
      </c>
    </row>
    <row r="750" spans="1:15" x14ac:dyDescent="0.25">
      <c r="A750" t="s">
        <v>16</v>
      </c>
      <c r="B750" t="s">
        <v>3221</v>
      </c>
      <c r="C750">
        <v>8755</v>
      </c>
      <c r="D750" t="s">
        <v>448</v>
      </c>
      <c r="E750" t="s">
        <v>449</v>
      </c>
      <c r="F750">
        <v>163.31</v>
      </c>
      <c r="G750">
        <v>230701</v>
      </c>
      <c r="H750">
        <v>4840</v>
      </c>
      <c r="I750" t="s">
        <v>19</v>
      </c>
      <c r="J750">
        <v>202.5</v>
      </c>
      <c r="K750">
        <v>39.19</v>
      </c>
      <c r="L750">
        <v>16121</v>
      </c>
      <c r="M750" t="s">
        <v>21</v>
      </c>
      <c r="N750" t="str">
        <f t="shared" ref="N750:N758" si="45">"1215179-7/19"</f>
        <v>1215179-7/19</v>
      </c>
      <c r="O750">
        <v>230614</v>
      </c>
    </row>
    <row r="751" spans="1:15" x14ac:dyDescent="0.25">
      <c r="A751" t="s">
        <v>16</v>
      </c>
      <c r="B751" t="s">
        <v>3221</v>
      </c>
      <c r="C751">
        <v>8755</v>
      </c>
      <c r="D751" t="s">
        <v>448</v>
      </c>
      <c r="E751" t="s">
        <v>449</v>
      </c>
      <c r="F751">
        <v>368.47</v>
      </c>
      <c r="G751">
        <v>230701</v>
      </c>
      <c r="H751">
        <v>4840</v>
      </c>
      <c r="I751" t="s">
        <v>19</v>
      </c>
      <c r="J751">
        <v>456.9</v>
      </c>
      <c r="K751">
        <v>88.43</v>
      </c>
      <c r="L751">
        <v>16121</v>
      </c>
      <c r="M751" t="s">
        <v>21</v>
      </c>
      <c r="N751" t="str">
        <f t="shared" si="45"/>
        <v>1215179-7/19</v>
      </c>
      <c r="O751">
        <v>230614</v>
      </c>
    </row>
    <row r="752" spans="1:15" x14ac:dyDescent="0.25">
      <c r="A752" t="s">
        <v>16</v>
      </c>
      <c r="B752" t="s">
        <v>3221</v>
      </c>
      <c r="C752">
        <v>8755</v>
      </c>
      <c r="D752" t="s">
        <v>448</v>
      </c>
      <c r="E752" t="s">
        <v>449</v>
      </c>
      <c r="F752">
        <v>871.15</v>
      </c>
      <c r="G752">
        <v>230701</v>
      </c>
      <c r="H752">
        <v>4840</v>
      </c>
      <c r="I752" t="s">
        <v>19</v>
      </c>
      <c r="J752">
        <v>1080.23</v>
      </c>
      <c r="K752">
        <v>209.08</v>
      </c>
      <c r="L752">
        <v>16121</v>
      </c>
      <c r="M752" t="s">
        <v>21</v>
      </c>
      <c r="N752" t="str">
        <f t="shared" si="45"/>
        <v>1215179-7/19</v>
      </c>
      <c r="O752">
        <v>230614</v>
      </c>
    </row>
    <row r="753" spans="1:15" x14ac:dyDescent="0.25">
      <c r="A753" t="s">
        <v>16</v>
      </c>
      <c r="B753" t="s">
        <v>3221</v>
      </c>
      <c r="C753">
        <v>8755</v>
      </c>
      <c r="D753" t="s">
        <v>448</v>
      </c>
      <c r="E753" t="s">
        <v>449</v>
      </c>
      <c r="F753">
        <v>50.82</v>
      </c>
      <c r="G753">
        <v>230701</v>
      </c>
      <c r="H753">
        <v>4840</v>
      </c>
      <c r="I753" t="s">
        <v>19</v>
      </c>
      <c r="J753">
        <v>63.02</v>
      </c>
      <c r="K753">
        <v>12.2</v>
      </c>
      <c r="L753">
        <v>16322</v>
      </c>
      <c r="M753" t="s">
        <v>22</v>
      </c>
      <c r="N753" t="str">
        <f t="shared" si="45"/>
        <v>1215179-7/19</v>
      </c>
      <c r="O753">
        <v>230614</v>
      </c>
    </row>
    <row r="754" spans="1:15" x14ac:dyDescent="0.25">
      <c r="A754" t="s">
        <v>16</v>
      </c>
      <c r="B754" t="s">
        <v>3221</v>
      </c>
      <c r="C754">
        <v>8755</v>
      </c>
      <c r="D754" t="s">
        <v>448</v>
      </c>
      <c r="E754" t="s">
        <v>449</v>
      </c>
      <c r="F754">
        <v>2037.04</v>
      </c>
      <c r="G754">
        <v>230701</v>
      </c>
      <c r="H754">
        <v>4840</v>
      </c>
      <c r="I754" t="s">
        <v>19</v>
      </c>
      <c r="J754">
        <v>2525.9299999999998</v>
      </c>
      <c r="K754">
        <v>488.89</v>
      </c>
      <c r="L754">
        <v>16820</v>
      </c>
      <c r="M754" t="s">
        <v>23</v>
      </c>
      <c r="N754" t="str">
        <f t="shared" si="45"/>
        <v>1215179-7/19</v>
      </c>
      <c r="O754">
        <v>230614</v>
      </c>
    </row>
    <row r="755" spans="1:15" x14ac:dyDescent="0.25">
      <c r="A755" t="s">
        <v>16</v>
      </c>
      <c r="B755" t="s">
        <v>3221</v>
      </c>
      <c r="C755">
        <v>8755</v>
      </c>
      <c r="D755" t="s">
        <v>448</v>
      </c>
      <c r="E755" t="s">
        <v>449</v>
      </c>
      <c r="F755">
        <v>101.25</v>
      </c>
      <c r="G755">
        <v>230701</v>
      </c>
      <c r="H755">
        <v>4840</v>
      </c>
      <c r="I755" t="s">
        <v>19</v>
      </c>
      <c r="J755">
        <v>125.55</v>
      </c>
      <c r="K755">
        <v>24.3</v>
      </c>
      <c r="L755">
        <v>17862</v>
      </c>
      <c r="M755" t="s">
        <v>319</v>
      </c>
      <c r="N755" t="str">
        <f t="shared" si="45"/>
        <v>1215179-7/19</v>
      </c>
      <c r="O755">
        <v>230614</v>
      </c>
    </row>
    <row r="756" spans="1:15" x14ac:dyDescent="0.25">
      <c r="A756" t="s">
        <v>16</v>
      </c>
      <c r="B756" t="s">
        <v>3221</v>
      </c>
      <c r="C756">
        <v>8755</v>
      </c>
      <c r="D756" t="s">
        <v>448</v>
      </c>
      <c r="E756" t="s">
        <v>449</v>
      </c>
      <c r="F756">
        <v>12.98</v>
      </c>
      <c r="G756">
        <v>230701</v>
      </c>
      <c r="H756">
        <v>4840</v>
      </c>
      <c r="I756" t="s">
        <v>19</v>
      </c>
      <c r="J756">
        <v>16.100000000000001</v>
      </c>
      <c r="K756">
        <v>3.12</v>
      </c>
      <c r="L756">
        <v>17971</v>
      </c>
      <c r="M756" t="s">
        <v>138</v>
      </c>
      <c r="N756" t="str">
        <f t="shared" si="45"/>
        <v>1215179-7/19</v>
      </c>
      <c r="O756">
        <v>230614</v>
      </c>
    </row>
    <row r="757" spans="1:15" x14ac:dyDescent="0.25">
      <c r="A757" t="s">
        <v>16</v>
      </c>
      <c r="B757" t="s">
        <v>3221</v>
      </c>
      <c r="C757">
        <v>8755</v>
      </c>
      <c r="D757" t="s">
        <v>448</v>
      </c>
      <c r="E757" t="s">
        <v>449</v>
      </c>
      <c r="F757">
        <v>54.06</v>
      </c>
      <c r="G757">
        <v>230701</v>
      </c>
      <c r="H757">
        <v>4840</v>
      </c>
      <c r="I757" t="s">
        <v>19</v>
      </c>
      <c r="J757">
        <v>67.03</v>
      </c>
      <c r="K757">
        <v>12.97</v>
      </c>
      <c r="L757">
        <v>17972</v>
      </c>
      <c r="M757" t="s">
        <v>248</v>
      </c>
      <c r="N757" t="str">
        <f t="shared" si="45"/>
        <v>1215179-7/19</v>
      </c>
      <c r="O757">
        <v>230614</v>
      </c>
    </row>
    <row r="758" spans="1:15" x14ac:dyDescent="0.25">
      <c r="A758" t="s">
        <v>16</v>
      </c>
      <c r="B758" t="s">
        <v>3221</v>
      </c>
      <c r="C758">
        <v>8755</v>
      </c>
      <c r="D758" t="s">
        <v>448</v>
      </c>
      <c r="E758" t="s">
        <v>449</v>
      </c>
      <c r="F758">
        <v>121.27</v>
      </c>
      <c r="G758">
        <v>230701</v>
      </c>
      <c r="H758">
        <v>4840</v>
      </c>
      <c r="I758" t="s">
        <v>19</v>
      </c>
      <c r="J758">
        <v>150.37</v>
      </c>
      <c r="K758">
        <v>29.1</v>
      </c>
      <c r="L758">
        <v>17974</v>
      </c>
      <c r="M758" t="s">
        <v>460</v>
      </c>
      <c r="N758" t="str">
        <f t="shared" si="45"/>
        <v>1215179-7/19</v>
      </c>
      <c r="O758">
        <v>230614</v>
      </c>
    </row>
    <row r="759" spans="1:15" x14ac:dyDescent="0.25">
      <c r="A759" t="s">
        <v>16</v>
      </c>
      <c r="B759" t="s">
        <v>3221</v>
      </c>
      <c r="C759">
        <v>8766</v>
      </c>
      <c r="D759" t="s">
        <v>448</v>
      </c>
      <c r="E759" t="s">
        <v>449</v>
      </c>
      <c r="F759">
        <v>106.11</v>
      </c>
      <c r="G759">
        <v>230701</v>
      </c>
      <c r="H759">
        <v>4840</v>
      </c>
      <c r="I759" t="s">
        <v>19</v>
      </c>
      <c r="J759">
        <v>131.58000000000001</v>
      </c>
      <c r="K759">
        <v>25.47</v>
      </c>
      <c r="L759">
        <v>11301</v>
      </c>
      <c r="M759" t="s">
        <v>29</v>
      </c>
      <c r="N759" t="str">
        <f t="shared" ref="N759:N786" si="46">"1215179-4/19"</f>
        <v>1215179-4/19</v>
      </c>
      <c r="O759">
        <v>230614</v>
      </c>
    </row>
    <row r="760" spans="1:15" x14ac:dyDescent="0.25">
      <c r="A760" t="s">
        <v>16</v>
      </c>
      <c r="B760" t="s">
        <v>3221</v>
      </c>
      <c r="C760">
        <v>8766</v>
      </c>
      <c r="D760" t="s">
        <v>448</v>
      </c>
      <c r="E760" t="s">
        <v>449</v>
      </c>
      <c r="F760">
        <v>25.3</v>
      </c>
      <c r="G760">
        <v>230701</v>
      </c>
      <c r="H760">
        <v>4840</v>
      </c>
      <c r="I760" t="s">
        <v>19</v>
      </c>
      <c r="J760">
        <v>31.37</v>
      </c>
      <c r="K760">
        <v>6.07</v>
      </c>
      <c r="L760">
        <v>11751</v>
      </c>
      <c r="M760" t="s">
        <v>1339</v>
      </c>
      <c r="N760" t="str">
        <f t="shared" si="46"/>
        <v>1215179-4/19</v>
      </c>
      <c r="O760">
        <v>230614</v>
      </c>
    </row>
    <row r="761" spans="1:15" x14ac:dyDescent="0.25">
      <c r="A761" t="s">
        <v>16</v>
      </c>
      <c r="B761" t="s">
        <v>3221</v>
      </c>
      <c r="C761">
        <v>8766</v>
      </c>
      <c r="D761" t="s">
        <v>448</v>
      </c>
      <c r="E761" t="s">
        <v>449</v>
      </c>
      <c r="F761">
        <v>40.83</v>
      </c>
      <c r="G761">
        <v>230701</v>
      </c>
      <c r="H761">
        <v>4840</v>
      </c>
      <c r="I761" t="s">
        <v>19</v>
      </c>
      <c r="J761">
        <v>50.63</v>
      </c>
      <c r="K761">
        <v>9.8000000000000007</v>
      </c>
      <c r="L761">
        <v>11900</v>
      </c>
      <c r="M761" t="s">
        <v>1105</v>
      </c>
      <c r="N761" t="str">
        <f t="shared" si="46"/>
        <v>1215179-4/19</v>
      </c>
      <c r="O761">
        <v>230614</v>
      </c>
    </row>
    <row r="762" spans="1:15" x14ac:dyDescent="0.25">
      <c r="A762" t="s">
        <v>16</v>
      </c>
      <c r="B762" t="s">
        <v>3221</v>
      </c>
      <c r="C762">
        <v>8766</v>
      </c>
      <c r="D762" t="s">
        <v>448</v>
      </c>
      <c r="E762" t="s">
        <v>449</v>
      </c>
      <c r="F762">
        <v>6.49</v>
      </c>
      <c r="G762">
        <v>230701</v>
      </c>
      <c r="H762">
        <v>4840</v>
      </c>
      <c r="I762" t="s">
        <v>19</v>
      </c>
      <c r="J762">
        <v>8.0500000000000007</v>
      </c>
      <c r="K762">
        <v>1.56</v>
      </c>
      <c r="L762">
        <v>11905</v>
      </c>
      <c r="M762" t="s">
        <v>39</v>
      </c>
      <c r="N762" t="str">
        <f t="shared" si="46"/>
        <v>1215179-4/19</v>
      </c>
      <c r="O762">
        <v>230614</v>
      </c>
    </row>
    <row r="763" spans="1:15" x14ac:dyDescent="0.25">
      <c r="A763" t="s">
        <v>16</v>
      </c>
      <c r="B763" t="s">
        <v>3221</v>
      </c>
      <c r="C763">
        <v>8766</v>
      </c>
      <c r="D763" t="s">
        <v>448</v>
      </c>
      <c r="E763" t="s">
        <v>449</v>
      </c>
      <c r="F763">
        <v>24.42</v>
      </c>
      <c r="G763">
        <v>230701</v>
      </c>
      <c r="H763">
        <v>4840</v>
      </c>
      <c r="I763" t="s">
        <v>19</v>
      </c>
      <c r="J763">
        <v>30.28</v>
      </c>
      <c r="K763">
        <v>5.86</v>
      </c>
      <c r="L763">
        <v>13201</v>
      </c>
      <c r="M763" t="s">
        <v>161</v>
      </c>
      <c r="N763" t="str">
        <f t="shared" si="46"/>
        <v>1215179-4/19</v>
      </c>
      <c r="O763">
        <v>230614</v>
      </c>
    </row>
    <row r="764" spans="1:15" x14ac:dyDescent="0.25">
      <c r="A764" t="s">
        <v>16</v>
      </c>
      <c r="B764" t="s">
        <v>3221</v>
      </c>
      <c r="C764">
        <v>8766</v>
      </c>
      <c r="D764" t="s">
        <v>448</v>
      </c>
      <c r="E764" t="s">
        <v>449</v>
      </c>
      <c r="F764">
        <v>73.3</v>
      </c>
      <c r="G764">
        <v>230701</v>
      </c>
      <c r="H764">
        <v>4840</v>
      </c>
      <c r="I764" t="s">
        <v>19</v>
      </c>
      <c r="J764">
        <v>90.89</v>
      </c>
      <c r="K764">
        <v>17.59</v>
      </c>
      <c r="L764">
        <v>13201</v>
      </c>
      <c r="M764" t="s">
        <v>161</v>
      </c>
      <c r="N764" t="str">
        <f t="shared" si="46"/>
        <v>1215179-4/19</v>
      </c>
      <c r="O764">
        <v>230614</v>
      </c>
    </row>
    <row r="765" spans="1:15" x14ac:dyDescent="0.25">
      <c r="A765" t="s">
        <v>16</v>
      </c>
      <c r="B765" t="s">
        <v>3221</v>
      </c>
      <c r="C765">
        <v>8766</v>
      </c>
      <c r="D765" t="s">
        <v>448</v>
      </c>
      <c r="E765" t="s">
        <v>449</v>
      </c>
      <c r="F765">
        <v>90.04</v>
      </c>
      <c r="G765">
        <v>230701</v>
      </c>
      <c r="H765">
        <v>4840</v>
      </c>
      <c r="I765" t="s">
        <v>19</v>
      </c>
      <c r="J765">
        <v>111.65</v>
      </c>
      <c r="K765">
        <v>21.61</v>
      </c>
      <c r="L765">
        <v>13601</v>
      </c>
      <c r="M765" t="s">
        <v>147</v>
      </c>
      <c r="N765" t="str">
        <f t="shared" si="46"/>
        <v>1215179-4/19</v>
      </c>
      <c r="O765">
        <v>230614</v>
      </c>
    </row>
    <row r="766" spans="1:15" x14ac:dyDescent="0.25">
      <c r="A766" t="s">
        <v>16</v>
      </c>
      <c r="B766" t="s">
        <v>3221</v>
      </c>
      <c r="C766">
        <v>8766</v>
      </c>
      <c r="D766" t="s">
        <v>448</v>
      </c>
      <c r="E766" t="s">
        <v>449</v>
      </c>
      <c r="F766">
        <v>84.38</v>
      </c>
      <c r="G766">
        <v>230701</v>
      </c>
      <c r="H766">
        <v>4840</v>
      </c>
      <c r="I766" t="s">
        <v>19</v>
      </c>
      <c r="J766">
        <v>104.63</v>
      </c>
      <c r="K766">
        <v>20.25</v>
      </c>
      <c r="L766">
        <v>13801</v>
      </c>
      <c r="M766" t="s">
        <v>162</v>
      </c>
      <c r="N766" t="str">
        <f t="shared" si="46"/>
        <v>1215179-4/19</v>
      </c>
      <c r="O766">
        <v>230614</v>
      </c>
    </row>
    <row r="767" spans="1:15" x14ac:dyDescent="0.25">
      <c r="A767" t="s">
        <v>16</v>
      </c>
      <c r="B767" t="s">
        <v>3221</v>
      </c>
      <c r="C767">
        <v>8766</v>
      </c>
      <c r="D767" t="s">
        <v>448</v>
      </c>
      <c r="E767" t="s">
        <v>449</v>
      </c>
      <c r="F767">
        <v>13.3</v>
      </c>
      <c r="G767">
        <v>230701</v>
      </c>
      <c r="H767">
        <v>4840</v>
      </c>
      <c r="I767" t="s">
        <v>19</v>
      </c>
      <c r="J767">
        <v>16.489999999999998</v>
      </c>
      <c r="K767">
        <v>3.19</v>
      </c>
      <c r="L767">
        <v>13801</v>
      </c>
      <c r="M767" t="s">
        <v>162</v>
      </c>
      <c r="N767" t="str">
        <f t="shared" si="46"/>
        <v>1215179-4/19</v>
      </c>
      <c r="O767">
        <v>230614</v>
      </c>
    </row>
    <row r="768" spans="1:15" x14ac:dyDescent="0.25">
      <c r="A768" t="s">
        <v>16</v>
      </c>
      <c r="B768" t="s">
        <v>3221</v>
      </c>
      <c r="C768">
        <v>8766</v>
      </c>
      <c r="D768" t="s">
        <v>448</v>
      </c>
      <c r="E768" t="s">
        <v>449</v>
      </c>
      <c r="F768">
        <v>121.06</v>
      </c>
      <c r="G768">
        <v>230701</v>
      </c>
      <c r="H768">
        <v>4840</v>
      </c>
      <c r="I768" t="s">
        <v>19</v>
      </c>
      <c r="J768">
        <v>150.11000000000001</v>
      </c>
      <c r="K768">
        <v>29.05</v>
      </c>
      <c r="L768">
        <v>16321</v>
      </c>
      <c r="M768" t="s">
        <v>423</v>
      </c>
      <c r="N768" t="str">
        <f t="shared" si="46"/>
        <v>1215179-4/19</v>
      </c>
      <c r="O768">
        <v>230614</v>
      </c>
    </row>
    <row r="769" spans="1:15" x14ac:dyDescent="0.25">
      <c r="A769" t="s">
        <v>16</v>
      </c>
      <c r="B769" t="s">
        <v>3221</v>
      </c>
      <c r="C769">
        <v>8766</v>
      </c>
      <c r="D769" t="s">
        <v>448</v>
      </c>
      <c r="E769" t="s">
        <v>449</v>
      </c>
      <c r="F769">
        <v>606.96</v>
      </c>
      <c r="G769">
        <v>230701</v>
      </c>
      <c r="H769">
        <v>4840</v>
      </c>
      <c r="I769" t="s">
        <v>19</v>
      </c>
      <c r="J769">
        <v>752.63</v>
      </c>
      <c r="K769">
        <v>145.66999999999999</v>
      </c>
      <c r="L769">
        <v>16321</v>
      </c>
      <c r="M769" t="s">
        <v>423</v>
      </c>
      <c r="N769" t="str">
        <f t="shared" si="46"/>
        <v>1215179-4/19</v>
      </c>
      <c r="O769">
        <v>230614</v>
      </c>
    </row>
    <row r="770" spans="1:15" x14ac:dyDescent="0.25">
      <c r="A770" t="s">
        <v>16</v>
      </c>
      <c r="B770" t="s">
        <v>3221</v>
      </c>
      <c r="C770">
        <v>8766</v>
      </c>
      <c r="D770" t="s">
        <v>448</v>
      </c>
      <c r="E770" t="s">
        <v>449</v>
      </c>
      <c r="F770">
        <v>104.61</v>
      </c>
      <c r="G770">
        <v>230701</v>
      </c>
      <c r="H770">
        <v>4840</v>
      </c>
      <c r="I770" t="s">
        <v>19</v>
      </c>
      <c r="J770">
        <v>129.72</v>
      </c>
      <c r="K770">
        <v>25.11</v>
      </c>
      <c r="L770">
        <v>16820</v>
      </c>
      <c r="M770" t="s">
        <v>23</v>
      </c>
      <c r="N770" t="str">
        <f t="shared" si="46"/>
        <v>1215179-4/19</v>
      </c>
      <c r="O770">
        <v>230614</v>
      </c>
    </row>
    <row r="771" spans="1:15" x14ac:dyDescent="0.25">
      <c r="A771" t="s">
        <v>16</v>
      </c>
      <c r="B771" t="s">
        <v>3221</v>
      </c>
      <c r="C771">
        <v>8766</v>
      </c>
      <c r="D771" t="s">
        <v>448</v>
      </c>
      <c r="E771" t="s">
        <v>449</v>
      </c>
      <c r="F771">
        <v>204.1</v>
      </c>
      <c r="G771">
        <v>230701</v>
      </c>
      <c r="H771">
        <v>4840</v>
      </c>
      <c r="I771" t="s">
        <v>19</v>
      </c>
      <c r="J771">
        <v>253.08</v>
      </c>
      <c r="K771">
        <v>48.98</v>
      </c>
      <c r="L771">
        <v>16820</v>
      </c>
      <c r="M771" t="s">
        <v>23</v>
      </c>
      <c r="N771" t="str">
        <f t="shared" si="46"/>
        <v>1215179-4/19</v>
      </c>
      <c r="O771">
        <v>230614</v>
      </c>
    </row>
    <row r="772" spans="1:15" x14ac:dyDescent="0.25">
      <c r="A772" t="s">
        <v>16</v>
      </c>
      <c r="B772" t="s">
        <v>3221</v>
      </c>
      <c r="C772">
        <v>8766</v>
      </c>
      <c r="D772" t="s">
        <v>448</v>
      </c>
      <c r="E772" t="s">
        <v>449</v>
      </c>
      <c r="F772">
        <v>32.450000000000003</v>
      </c>
      <c r="G772">
        <v>230701</v>
      </c>
      <c r="H772">
        <v>4840</v>
      </c>
      <c r="I772" t="s">
        <v>19</v>
      </c>
      <c r="J772">
        <v>40.24</v>
      </c>
      <c r="K772">
        <v>7.79</v>
      </c>
      <c r="L772">
        <v>17131</v>
      </c>
      <c r="M772" t="s">
        <v>64</v>
      </c>
      <c r="N772" t="str">
        <f t="shared" si="46"/>
        <v>1215179-4/19</v>
      </c>
      <c r="O772">
        <v>230614</v>
      </c>
    </row>
    <row r="773" spans="1:15" x14ac:dyDescent="0.25">
      <c r="A773" t="s">
        <v>16</v>
      </c>
      <c r="B773" t="s">
        <v>3221</v>
      </c>
      <c r="C773">
        <v>8766</v>
      </c>
      <c r="D773" t="s">
        <v>448</v>
      </c>
      <c r="E773" t="s">
        <v>449</v>
      </c>
      <c r="F773">
        <v>404.68</v>
      </c>
      <c r="G773">
        <v>230701</v>
      </c>
      <c r="H773">
        <v>4840</v>
      </c>
      <c r="I773" t="s">
        <v>19</v>
      </c>
      <c r="J773">
        <v>501.8</v>
      </c>
      <c r="K773">
        <v>97.12</v>
      </c>
      <c r="L773">
        <v>17802</v>
      </c>
      <c r="M773" t="s">
        <v>174</v>
      </c>
      <c r="N773" t="str">
        <f t="shared" si="46"/>
        <v>1215179-4/19</v>
      </c>
      <c r="O773">
        <v>230614</v>
      </c>
    </row>
    <row r="774" spans="1:15" x14ac:dyDescent="0.25">
      <c r="A774" t="s">
        <v>16</v>
      </c>
      <c r="B774" t="s">
        <v>3221</v>
      </c>
      <c r="C774">
        <v>8766</v>
      </c>
      <c r="D774" t="s">
        <v>448</v>
      </c>
      <c r="E774" t="s">
        <v>449</v>
      </c>
      <c r="F774">
        <v>598.96</v>
      </c>
      <c r="G774">
        <v>230701</v>
      </c>
      <c r="H774">
        <v>4840</v>
      </c>
      <c r="I774" t="s">
        <v>19</v>
      </c>
      <c r="J774">
        <v>742.71</v>
      </c>
      <c r="K774">
        <v>143.75</v>
      </c>
      <c r="L774">
        <v>17803</v>
      </c>
      <c r="M774" t="s">
        <v>389</v>
      </c>
      <c r="N774" t="str">
        <f t="shared" si="46"/>
        <v>1215179-4/19</v>
      </c>
      <c r="O774">
        <v>230614</v>
      </c>
    </row>
    <row r="775" spans="1:15" x14ac:dyDescent="0.25">
      <c r="A775" t="s">
        <v>16</v>
      </c>
      <c r="B775" t="s">
        <v>3221</v>
      </c>
      <c r="C775">
        <v>8766</v>
      </c>
      <c r="D775" t="s">
        <v>448</v>
      </c>
      <c r="E775" t="s">
        <v>449</v>
      </c>
      <c r="F775">
        <v>637.99</v>
      </c>
      <c r="G775">
        <v>230701</v>
      </c>
      <c r="H775">
        <v>4840</v>
      </c>
      <c r="I775" t="s">
        <v>19</v>
      </c>
      <c r="J775">
        <v>791.11</v>
      </c>
      <c r="K775">
        <v>153.12</v>
      </c>
      <c r="L775">
        <v>17804</v>
      </c>
      <c r="M775" t="s">
        <v>549</v>
      </c>
      <c r="N775" t="str">
        <f t="shared" si="46"/>
        <v>1215179-4/19</v>
      </c>
      <c r="O775">
        <v>230614</v>
      </c>
    </row>
    <row r="776" spans="1:15" x14ac:dyDescent="0.25">
      <c r="A776" t="s">
        <v>16</v>
      </c>
      <c r="B776" t="s">
        <v>3221</v>
      </c>
      <c r="C776">
        <v>8766</v>
      </c>
      <c r="D776" t="s">
        <v>448</v>
      </c>
      <c r="E776" t="s">
        <v>449</v>
      </c>
      <c r="F776">
        <v>338.63</v>
      </c>
      <c r="G776">
        <v>230701</v>
      </c>
      <c r="H776">
        <v>4840</v>
      </c>
      <c r="I776" t="s">
        <v>19</v>
      </c>
      <c r="J776">
        <v>419.9</v>
      </c>
      <c r="K776">
        <v>81.27</v>
      </c>
      <c r="L776">
        <v>17805</v>
      </c>
      <c r="M776" t="s">
        <v>102</v>
      </c>
      <c r="N776" t="str">
        <f t="shared" si="46"/>
        <v>1215179-4/19</v>
      </c>
      <c r="O776">
        <v>230614</v>
      </c>
    </row>
    <row r="777" spans="1:15" x14ac:dyDescent="0.25">
      <c r="A777" t="s">
        <v>16</v>
      </c>
      <c r="B777" t="s">
        <v>3221</v>
      </c>
      <c r="C777">
        <v>8766</v>
      </c>
      <c r="D777" t="s">
        <v>448</v>
      </c>
      <c r="E777" t="s">
        <v>449</v>
      </c>
      <c r="F777">
        <v>72.569999999999993</v>
      </c>
      <c r="G777">
        <v>230701</v>
      </c>
      <c r="H777">
        <v>4840</v>
      </c>
      <c r="I777" t="s">
        <v>19</v>
      </c>
      <c r="J777">
        <v>89.99</v>
      </c>
      <c r="K777">
        <v>17.420000000000002</v>
      </c>
      <c r="L777">
        <v>17806</v>
      </c>
      <c r="M777" t="s">
        <v>265</v>
      </c>
      <c r="N777" t="str">
        <f t="shared" si="46"/>
        <v>1215179-4/19</v>
      </c>
      <c r="O777">
        <v>230614</v>
      </c>
    </row>
    <row r="778" spans="1:15" x14ac:dyDescent="0.25">
      <c r="A778" t="s">
        <v>16</v>
      </c>
      <c r="B778" t="s">
        <v>3221</v>
      </c>
      <c r="C778">
        <v>8766</v>
      </c>
      <c r="D778" t="s">
        <v>448</v>
      </c>
      <c r="E778" t="s">
        <v>449</v>
      </c>
      <c r="F778">
        <v>1151.72</v>
      </c>
      <c r="G778">
        <v>230701</v>
      </c>
      <c r="H778">
        <v>4840</v>
      </c>
      <c r="I778" t="s">
        <v>19</v>
      </c>
      <c r="J778">
        <v>1428.13</v>
      </c>
      <c r="K778">
        <v>276.41000000000003</v>
      </c>
      <c r="L778">
        <v>17807</v>
      </c>
      <c r="M778" t="s">
        <v>318</v>
      </c>
      <c r="N778" t="str">
        <f t="shared" si="46"/>
        <v>1215179-4/19</v>
      </c>
      <c r="O778">
        <v>230614</v>
      </c>
    </row>
    <row r="779" spans="1:15" x14ac:dyDescent="0.25">
      <c r="A779" t="s">
        <v>16</v>
      </c>
      <c r="B779" t="s">
        <v>3221</v>
      </c>
      <c r="C779">
        <v>8766</v>
      </c>
      <c r="D779" t="s">
        <v>448</v>
      </c>
      <c r="E779" t="s">
        <v>449</v>
      </c>
      <c r="F779">
        <v>1535.43</v>
      </c>
      <c r="G779">
        <v>230701</v>
      </c>
      <c r="H779">
        <v>4840</v>
      </c>
      <c r="I779" t="s">
        <v>19</v>
      </c>
      <c r="J779">
        <v>1903.93</v>
      </c>
      <c r="K779">
        <v>368.5</v>
      </c>
      <c r="L779">
        <v>17808</v>
      </c>
      <c r="M779" t="s">
        <v>322</v>
      </c>
      <c r="N779" t="str">
        <f t="shared" si="46"/>
        <v>1215179-4/19</v>
      </c>
      <c r="O779">
        <v>230614</v>
      </c>
    </row>
    <row r="780" spans="1:15" x14ac:dyDescent="0.25">
      <c r="A780" t="s">
        <v>16</v>
      </c>
      <c r="B780" t="s">
        <v>3221</v>
      </c>
      <c r="C780">
        <v>8766</v>
      </c>
      <c r="D780" t="s">
        <v>448</v>
      </c>
      <c r="E780" t="s">
        <v>449</v>
      </c>
      <c r="F780">
        <v>539.52</v>
      </c>
      <c r="G780">
        <v>230701</v>
      </c>
      <c r="H780">
        <v>4840</v>
      </c>
      <c r="I780" t="s">
        <v>19</v>
      </c>
      <c r="J780">
        <v>669</v>
      </c>
      <c r="K780">
        <v>129.47999999999999</v>
      </c>
      <c r="L780">
        <v>17808</v>
      </c>
      <c r="M780" t="s">
        <v>322</v>
      </c>
      <c r="N780" t="str">
        <f t="shared" si="46"/>
        <v>1215179-4/19</v>
      </c>
      <c r="O780">
        <v>230614</v>
      </c>
    </row>
    <row r="781" spans="1:15" x14ac:dyDescent="0.25">
      <c r="A781" t="s">
        <v>16</v>
      </c>
      <c r="B781" t="s">
        <v>3221</v>
      </c>
      <c r="C781">
        <v>8766</v>
      </c>
      <c r="D781" t="s">
        <v>448</v>
      </c>
      <c r="E781" t="s">
        <v>449</v>
      </c>
      <c r="F781">
        <v>50.82</v>
      </c>
      <c r="G781">
        <v>230701</v>
      </c>
      <c r="H781">
        <v>4840</v>
      </c>
      <c r="I781" t="s">
        <v>19</v>
      </c>
      <c r="J781">
        <v>63.02</v>
      </c>
      <c r="K781">
        <v>12.2</v>
      </c>
      <c r="L781">
        <v>17913</v>
      </c>
      <c r="M781" t="s">
        <v>431</v>
      </c>
      <c r="N781" t="str">
        <f t="shared" si="46"/>
        <v>1215179-4/19</v>
      </c>
      <c r="O781">
        <v>230614</v>
      </c>
    </row>
    <row r="782" spans="1:15" x14ac:dyDescent="0.25">
      <c r="A782" t="s">
        <v>16</v>
      </c>
      <c r="B782" t="s">
        <v>3221</v>
      </c>
      <c r="C782">
        <v>8766</v>
      </c>
      <c r="D782" t="s">
        <v>448</v>
      </c>
      <c r="E782" t="s">
        <v>449</v>
      </c>
      <c r="F782">
        <v>313.12</v>
      </c>
      <c r="G782">
        <v>230701</v>
      </c>
      <c r="H782">
        <v>4840</v>
      </c>
      <c r="I782" t="s">
        <v>19</v>
      </c>
      <c r="J782">
        <v>388.27</v>
      </c>
      <c r="K782">
        <v>75.150000000000006</v>
      </c>
      <c r="L782">
        <v>17951</v>
      </c>
      <c r="M782" t="s">
        <v>87</v>
      </c>
      <c r="N782" t="str">
        <f t="shared" si="46"/>
        <v>1215179-4/19</v>
      </c>
      <c r="O782">
        <v>230614</v>
      </c>
    </row>
    <row r="783" spans="1:15" x14ac:dyDescent="0.25">
      <c r="A783" t="s">
        <v>16</v>
      </c>
      <c r="B783" t="s">
        <v>3221</v>
      </c>
      <c r="C783">
        <v>8766</v>
      </c>
      <c r="D783" t="s">
        <v>448</v>
      </c>
      <c r="E783" t="s">
        <v>449</v>
      </c>
      <c r="F783">
        <v>62.81</v>
      </c>
      <c r="G783">
        <v>230701</v>
      </c>
      <c r="H783">
        <v>4840</v>
      </c>
      <c r="I783" t="s">
        <v>19</v>
      </c>
      <c r="J783">
        <v>77.88</v>
      </c>
      <c r="K783">
        <v>15.07</v>
      </c>
      <c r="L783">
        <v>17971</v>
      </c>
      <c r="M783" t="s">
        <v>138</v>
      </c>
      <c r="N783" t="str">
        <f t="shared" si="46"/>
        <v>1215179-4/19</v>
      </c>
      <c r="O783">
        <v>230614</v>
      </c>
    </row>
    <row r="784" spans="1:15" x14ac:dyDescent="0.25">
      <c r="A784" t="s">
        <v>16</v>
      </c>
      <c r="B784" t="s">
        <v>3221</v>
      </c>
      <c r="C784">
        <v>8766</v>
      </c>
      <c r="D784" t="s">
        <v>448</v>
      </c>
      <c r="E784" t="s">
        <v>449</v>
      </c>
      <c r="F784">
        <v>202.28</v>
      </c>
      <c r="G784">
        <v>230701</v>
      </c>
      <c r="H784">
        <v>4840</v>
      </c>
      <c r="I784" t="s">
        <v>19</v>
      </c>
      <c r="J784">
        <v>250.83</v>
      </c>
      <c r="K784">
        <v>48.55</v>
      </c>
      <c r="L784">
        <v>17971</v>
      </c>
      <c r="M784" t="s">
        <v>138</v>
      </c>
      <c r="N784" t="str">
        <f t="shared" si="46"/>
        <v>1215179-4/19</v>
      </c>
      <c r="O784">
        <v>230614</v>
      </c>
    </row>
    <row r="785" spans="1:15" x14ac:dyDescent="0.25">
      <c r="A785" t="s">
        <v>16</v>
      </c>
      <c r="B785" t="s">
        <v>3221</v>
      </c>
      <c r="C785">
        <v>8766</v>
      </c>
      <c r="D785" t="s">
        <v>448</v>
      </c>
      <c r="E785" t="s">
        <v>449</v>
      </c>
      <c r="F785">
        <v>62.81</v>
      </c>
      <c r="G785">
        <v>230701</v>
      </c>
      <c r="H785">
        <v>4840</v>
      </c>
      <c r="I785" t="s">
        <v>19</v>
      </c>
      <c r="J785">
        <v>77.88</v>
      </c>
      <c r="K785">
        <v>15.07</v>
      </c>
      <c r="L785">
        <v>17972</v>
      </c>
      <c r="M785" t="s">
        <v>248</v>
      </c>
      <c r="N785" t="str">
        <f t="shared" si="46"/>
        <v>1215179-4/19</v>
      </c>
      <c r="O785">
        <v>230614</v>
      </c>
    </row>
    <row r="786" spans="1:15" x14ac:dyDescent="0.25">
      <c r="A786" t="s">
        <v>16</v>
      </c>
      <c r="B786" t="s">
        <v>3221</v>
      </c>
      <c r="C786">
        <v>8766</v>
      </c>
      <c r="D786" t="s">
        <v>448</v>
      </c>
      <c r="E786" t="s">
        <v>449</v>
      </c>
      <c r="F786">
        <v>325.43</v>
      </c>
      <c r="G786">
        <v>230701</v>
      </c>
      <c r="H786">
        <v>4840</v>
      </c>
      <c r="I786" t="s">
        <v>19</v>
      </c>
      <c r="J786">
        <v>403.53</v>
      </c>
      <c r="K786">
        <v>78.099999999999994</v>
      </c>
      <c r="L786">
        <v>17972</v>
      </c>
      <c r="M786" t="s">
        <v>248</v>
      </c>
      <c r="N786" t="str">
        <f t="shared" si="46"/>
        <v>1215179-4/19</v>
      </c>
      <c r="O786">
        <v>230614</v>
      </c>
    </row>
    <row r="787" spans="1:15" x14ac:dyDescent="0.25">
      <c r="A787" t="s">
        <v>16</v>
      </c>
      <c r="B787" t="s">
        <v>3221</v>
      </c>
      <c r="C787">
        <v>8955</v>
      </c>
      <c r="D787" t="s">
        <v>448</v>
      </c>
      <c r="E787" t="s">
        <v>449</v>
      </c>
      <c r="F787">
        <v>12</v>
      </c>
      <c r="G787">
        <v>230701</v>
      </c>
      <c r="H787">
        <v>4840</v>
      </c>
      <c r="I787" t="s">
        <v>19</v>
      </c>
      <c r="J787">
        <v>14.88</v>
      </c>
      <c r="K787">
        <v>2.88</v>
      </c>
      <c r="L787">
        <v>11901</v>
      </c>
      <c r="M787" t="s">
        <v>36</v>
      </c>
      <c r="N787" t="str">
        <f t="shared" ref="N787:N799" si="47">"1215179-2/19"</f>
        <v>1215179-2/19</v>
      </c>
      <c r="O787">
        <v>230620</v>
      </c>
    </row>
    <row r="788" spans="1:15" x14ac:dyDescent="0.25">
      <c r="A788" t="s">
        <v>16</v>
      </c>
      <c r="B788" t="s">
        <v>3221</v>
      </c>
      <c r="C788">
        <v>8955</v>
      </c>
      <c r="D788" t="s">
        <v>448</v>
      </c>
      <c r="E788" t="s">
        <v>449</v>
      </c>
      <c r="F788">
        <v>67.040000000000006</v>
      </c>
      <c r="G788">
        <v>230701</v>
      </c>
      <c r="H788">
        <v>4840</v>
      </c>
      <c r="I788" t="s">
        <v>19</v>
      </c>
      <c r="J788">
        <v>83.13</v>
      </c>
      <c r="K788">
        <v>16.09</v>
      </c>
      <c r="L788">
        <v>11901</v>
      </c>
      <c r="M788" t="s">
        <v>36</v>
      </c>
      <c r="N788" t="str">
        <f t="shared" si="47"/>
        <v>1215179-2/19</v>
      </c>
      <c r="O788">
        <v>230620</v>
      </c>
    </row>
    <row r="789" spans="1:15" x14ac:dyDescent="0.25">
      <c r="A789" t="s">
        <v>16</v>
      </c>
      <c r="B789" t="s">
        <v>3221</v>
      </c>
      <c r="C789">
        <v>8955</v>
      </c>
      <c r="D789" t="s">
        <v>448</v>
      </c>
      <c r="E789" t="s">
        <v>449</v>
      </c>
      <c r="F789">
        <v>71.319999999999993</v>
      </c>
      <c r="G789">
        <v>230701</v>
      </c>
      <c r="H789">
        <v>4840</v>
      </c>
      <c r="I789" t="s">
        <v>19</v>
      </c>
      <c r="J789">
        <v>88.44</v>
      </c>
      <c r="K789">
        <v>17.12</v>
      </c>
      <c r="L789">
        <v>11901</v>
      </c>
      <c r="M789" t="s">
        <v>36</v>
      </c>
      <c r="N789" t="str">
        <f t="shared" si="47"/>
        <v>1215179-2/19</v>
      </c>
      <c r="O789">
        <v>230620</v>
      </c>
    </row>
    <row r="790" spans="1:15" x14ac:dyDescent="0.25">
      <c r="A790" t="s">
        <v>16</v>
      </c>
      <c r="B790" t="s">
        <v>3221</v>
      </c>
      <c r="C790">
        <v>8955</v>
      </c>
      <c r="D790" t="s">
        <v>448</v>
      </c>
      <c r="E790" t="s">
        <v>449</v>
      </c>
      <c r="F790">
        <v>187.34</v>
      </c>
      <c r="G790">
        <v>230701</v>
      </c>
      <c r="H790">
        <v>4840</v>
      </c>
      <c r="I790" t="s">
        <v>19</v>
      </c>
      <c r="J790">
        <v>232.3</v>
      </c>
      <c r="K790">
        <v>44.96</v>
      </c>
      <c r="L790">
        <v>11901</v>
      </c>
      <c r="M790" t="s">
        <v>36</v>
      </c>
      <c r="N790" t="str">
        <f t="shared" si="47"/>
        <v>1215179-2/19</v>
      </c>
      <c r="O790">
        <v>230620</v>
      </c>
    </row>
    <row r="791" spans="1:15" x14ac:dyDescent="0.25">
      <c r="A791" t="s">
        <v>16</v>
      </c>
      <c r="B791" t="s">
        <v>3221</v>
      </c>
      <c r="C791">
        <v>8955</v>
      </c>
      <c r="D791" t="s">
        <v>448</v>
      </c>
      <c r="E791" t="s">
        <v>449</v>
      </c>
      <c r="F791">
        <v>109.31</v>
      </c>
      <c r="G791">
        <v>230701</v>
      </c>
      <c r="H791">
        <v>4840</v>
      </c>
      <c r="I791" t="s">
        <v>19</v>
      </c>
      <c r="J791">
        <v>135.55000000000001</v>
      </c>
      <c r="K791">
        <v>26.24</v>
      </c>
      <c r="L791">
        <v>11903</v>
      </c>
      <c r="M791" t="s">
        <v>406</v>
      </c>
      <c r="N791" t="str">
        <f t="shared" si="47"/>
        <v>1215179-2/19</v>
      </c>
      <c r="O791">
        <v>230620</v>
      </c>
    </row>
    <row r="792" spans="1:15" x14ac:dyDescent="0.25">
      <c r="A792" t="s">
        <v>16</v>
      </c>
      <c r="B792" t="s">
        <v>3221</v>
      </c>
      <c r="C792">
        <v>8955</v>
      </c>
      <c r="D792" t="s">
        <v>448</v>
      </c>
      <c r="E792" t="s">
        <v>449</v>
      </c>
      <c r="F792">
        <v>26.73</v>
      </c>
      <c r="G792">
        <v>230701</v>
      </c>
      <c r="H792">
        <v>4840</v>
      </c>
      <c r="I792" t="s">
        <v>19</v>
      </c>
      <c r="J792">
        <v>33.14</v>
      </c>
      <c r="K792">
        <v>6.41</v>
      </c>
      <c r="L792">
        <v>11903</v>
      </c>
      <c r="M792" t="s">
        <v>406</v>
      </c>
      <c r="N792" t="str">
        <f t="shared" si="47"/>
        <v>1215179-2/19</v>
      </c>
      <c r="O792">
        <v>230620</v>
      </c>
    </row>
    <row r="793" spans="1:15" x14ac:dyDescent="0.25">
      <c r="A793" t="s">
        <v>16</v>
      </c>
      <c r="B793" t="s">
        <v>3221</v>
      </c>
      <c r="C793">
        <v>8955</v>
      </c>
      <c r="D793" t="s">
        <v>448</v>
      </c>
      <c r="E793" t="s">
        <v>449</v>
      </c>
      <c r="F793">
        <v>59.78</v>
      </c>
      <c r="G793">
        <v>230701</v>
      </c>
      <c r="H793">
        <v>4840</v>
      </c>
      <c r="I793" t="s">
        <v>19</v>
      </c>
      <c r="J793">
        <v>74.13</v>
      </c>
      <c r="K793">
        <v>14.35</v>
      </c>
      <c r="L793">
        <v>11903</v>
      </c>
      <c r="M793" t="s">
        <v>406</v>
      </c>
      <c r="N793" t="str">
        <f t="shared" si="47"/>
        <v>1215179-2/19</v>
      </c>
      <c r="O793">
        <v>230620</v>
      </c>
    </row>
    <row r="794" spans="1:15" x14ac:dyDescent="0.25">
      <c r="A794" t="s">
        <v>16</v>
      </c>
      <c r="B794" t="s">
        <v>3221</v>
      </c>
      <c r="C794">
        <v>8955</v>
      </c>
      <c r="D794" t="s">
        <v>448</v>
      </c>
      <c r="E794" t="s">
        <v>449</v>
      </c>
      <c r="F794">
        <v>185.18</v>
      </c>
      <c r="G794">
        <v>230701</v>
      </c>
      <c r="H794">
        <v>4840</v>
      </c>
      <c r="I794" t="s">
        <v>19</v>
      </c>
      <c r="J794">
        <v>229.62</v>
      </c>
      <c r="K794">
        <v>44.44</v>
      </c>
      <c r="L794">
        <v>11905</v>
      </c>
      <c r="M794" t="s">
        <v>39</v>
      </c>
      <c r="N794" t="str">
        <f t="shared" si="47"/>
        <v>1215179-2/19</v>
      </c>
      <c r="O794">
        <v>230620</v>
      </c>
    </row>
    <row r="795" spans="1:15" x14ac:dyDescent="0.25">
      <c r="A795" t="s">
        <v>16</v>
      </c>
      <c r="B795" t="s">
        <v>3221</v>
      </c>
      <c r="C795">
        <v>8955</v>
      </c>
      <c r="D795" t="s">
        <v>448</v>
      </c>
      <c r="E795" t="s">
        <v>449</v>
      </c>
      <c r="F795">
        <v>112.27</v>
      </c>
      <c r="G795">
        <v>230701</v>
      </c>
      <c r="H795">
        <v>4840</v>
      </c>
      <c r="I795" t="s">
        <v>19</v>
      </c>
      <c r="J795">
        <v>139.21</v>
      </c>
      <c r="K795">
        <v>26.94</v>
      </c>
      <c r="L795">
        <v>11905</v>
      </c>
      <c r="M795" t="s">
        <v>39</v>
      </c>
      <c r="N795" t="str">
        <f t="shared" si="47"/>
        <v>1215179-2/19</v>
      </c>
      <c r="O795">
        <v>230620</v>
      </c>
    </row>
    <row r="796" spans="1:15" x14ac:dyDescent="0.25">
      <c r="A796" t="s">
        <v>16</v>
      </c>
      <c r="B796" t="s">
        <v>3221</v>
      </c>
      <c r="C796">
        <v>8955</v>
      </c>
      <c r="D796" t="s">
        <v>448</v>
      </c>
      <c r="E796" t="s">
        <v>449</v>
      </c>
      <c r="F796">
        <v>47.77</v>
      </c>
      <c r="G796">
        <v>230701</v>
      </c>
      <c r="H796">
        <v>4840</v>
      </c>
      <c r="I796" t="s">
        <v>19</v>
      </c>
      <c r="J796">
        <v>59.23</v>
      </c>
      <c r="K796">
        <v>11.46</v>
      </c>
      <c r="L796">
        <v>11905</v>
      </c>
      <c r="M796" t="s">
        <v>39</v>
      </c>
      <c r="N796" t="str">
        <f t="shared" si="47"/>
        <v>1215179-2/19</v>
      </c>
      <c r="O796">
        <v>230620</v>
      </c>
    </row>
    <row r="797" spans="1:15" x14ac:dyDescent="0.25">
      <c r="A797" t="s">
        <v>16</v>
      </c>
      <c r="B797" t="s">
        <v>3221</v>
      </c>
      <c r="C797">
        <v>8955</v>
      </c>
      <c r="D797" t="s">
        <v>448</v>
      </c>
      <c r="E797" t="s">
        <v>449</v>
      </c>
      <c r="F797">
        <v>33.71</v>
      </c>
      <c r="G797">
        <v>230701</v>
      </c>
      <c r="H797">
        <v>4840</v>
      </c>
      <c r="I797" t="s">
        <v>19</v>
      </c>
      <c r="J797">
        <v>41.8</v>
      </c>
      <c r="K797">
        <v>8.09</v>
      </c>
      <c r="L797">
        <v>11908</v>
      </c>
      <c r="M797" t="s">
        <v>598</v>
      </c>
      <c r="N797" t="str">
        <f t="shared" si="47"/>
        <v>1215179-2/19</v>
      </c>
      <c r="O797">
        <v>230620</v>
      </c>
    </row>
    <row r="798" spans="1:15" x14ac:dyDescent="0.25">
      <c r="A798" t="s">
        <v>16</v>
      </c>
      <c r="B798" t="s">
        <v>3221</v>
      </c>
      <c r="C798">
        <v>8955</v>
      </c>
      <c r="D798" t="s">
        <v>448</v>
      </c>
      <c r="E798" t="s">
        <v>449</v>
      </c>
      <c r="F798">
        <v>45.06</v>
      </c>
      <c r="G798">
        <v>230701</v>
      </c>
      <c r="H798">
        <v>4840</v>
      </c>
      <c r="I798" t="s">
        <v>19</v>
      </c>
      <c r="J798">
        <v>55.87</v>
      </c>
      <c r="K798">
        <v>10.81</v>
      </c>
      <c r="L798">
        <v>13401</v>
      </c>
      <c r="M798" t="s">
        <v>80</v>
      </c>
      <c r="N798" t="str">
        <f t="shared" si="47"/>
        <v>1215179-2/19</v>
      </c>
      <c r="O798">
        <v>230620</v>
      </c>
    </row>
    <row r="799" spans="1:15" x14ac:dyDescent="0.25">
      <c r="A799" t="s">
        <v>16</v>
      </c>
      <c r="B799" t="s">
        <v>3221</v>
      </c>
      <c r="C799">
        <v>8955</v>
      </c>
      <c r="D799" t="s">
        <v>448</v>
      </c>
      <c r="E799" t="s">
        <v>449</v>
      </c>
      <c r="F799">
        <v>146.38</v>
      </c>
      <c r="G799">
        <v>230701</v>
      </c>
      <c r="H799">
        <v>4840</v>
      </c>
      <c r="I799" t="s">
        <v>19</v>
      </c>
      <c r="J799">
        <v>181.51</v>
      </c>
      <c r="K799">
        <v>35.130000000000003</v>
      </c>
      <c r="L799">
        <v>18991</v>
      </c>
      <c r="M799" t="s">
        <v>1106</v>
      </c>
      <c r="N799" t="str">
        <f t="shared" si="47"/>
        <v>1215179-2/19</v>
      </c>
      <c r="O799">
        <v>230620</v>
      </c>
    </row>
    <row r="800" spans="1:15" x14ac:dyDescent="0.25">
      <c r="A800" t="s">
        <v>16</v>
      </c>
      <c r="B800" t="s">
        <v>3221</v>
      </c>
      <c r="C800">
        <v>8956</v>
      </c>
      <c r="D800" t="s">
        <v>448</v>
      </c>
      <c r="E800" t="s">
        <v>449</v>
      </c>
      <c r="F800">
        <v>16.79</v>
      </c>
      <c r="G800">
        <v>230701</v>
      </c>
      <c r="H800">
        <v>4840</v>
      </c>
      <c r="I800" t="s">
        <v>19</v>
      </c>
      <c r="J800">
        <v>20.82</v>
      </c>
      <c r="K800">
        <v>4.03</v>
      </c>
      <c r="L800">
        <v>11301</v>
      </c>
      <c r="M800" t="s">
        <v>29</v>
      </c>
      <c r="N800" t="str">
        <f>"215179-10/19"</f>
        <v>215179-10/19</v>
      </c>
      <c r="O800">
        <v>230620</v>
      </c>
    </row>
    <row r="801" spans="1:15" x14ac:dyDescent="0.25">
      <c r="A801" t="s">
        <v>16</v>
      </c>
      <c r="B801" t="s">
        <v>3221</v>
      </c>
      <c r="C801">
        <v>8956</v>
      </c>
      <c r="D801" t="s">
        <v>448</v>
      </c>
      <c r="E801" t="s">
        <v>449</v>
      </c>
      <c r="F801">
        <v>135.41</v>
      </c>
      <c r="G801">
        <v>230701</v>
      </c>
      <c r="H801">
        <v>4840</v>
      </c>
      <c r="I801" t="s">
        <v>19</v>
      </c>
      <c r="J801">
        <v>167.91</v>
      </c>
      <c r="K801">
        <v>32.5</v>
      </c>
      <c r="L801">
        <v>11900</v>
      </c>
      <c r="M801" t="s">
        <v>1105</v>
      </c>
      <c r="N801" t="str">
        <f>"215179-10/19"</f>
        <v>215179-10/19</v>
      </c>
      <c r="O801">
        <v>230620</v>
      </c>
    </row>
    <row r="802" spans="1:15" x14ac:dyDescent="0.25">
      <c r="A802" t="s">
        <v>16</v>
      </c>
      <c r="B802" t="s">
        <v>3221</v>
      </c>
      <c r="C802">
        <v>8956</v>
      </c>
      <c r="D802" t="s">
        <v>448</v>
      </c>
      <c r="E802" t="s">
        <v>449</v>
      </c>
      <c r="F802">
        <v>50.17</v>
      </c>
      <c r="G802">
        <v>230701</v>
      </c>
      <c r="H802">
        <v>4840</v>
      </c>
      <c r="I802" t="s">
        <v>19</v>
      </c>
      <c r="J802">
        <v>62.21</v>
      </c>
      <c r="K802">
        <v>12.04</v>
      </c>
      <c r="L802">
        <v>17538</v>
      </c>
      <c r="M802" t="s">
        <v>24</v>
      </c>
      <c r="N802" t="str">
        <f>"215179-10/19"</f>
        <v>215179-10/19</v>
      </c>
      <c r="O802">
        <v>230620</v>
      </c>
    </row>
    <row r="803" spans="1:15" x14ac:dyDescent="0.25">
      <c r="A803" t="s">
        <v>16</v>
      </c>
      <c r="B803" t="s">
        <v>3221</v>
      </c>
      <c r="C803">
        <v>8956</v>
      </c>
      <c r="D803" t="s">
        <v>448</v>
      </c>
      <c r="E803" t="s">
        <v>449</v>
      </c>
      <c r="F803">
        <v>34.299999999999997</v>
      </c>
      <c r="G803">
        <v>230701</v>
      </c>
      <c r="H803">
        <v>4840</v>
      </c>
      <c r="I803" t="s">
        <v>19</v>
      </c>
      <c r="J803">
        <v>42.53</v>
      </c>
      <c r="K803">
        <v>8.23</v>
      </c>
      <c r="L803">
        <v>17972</v>
      </c>
      <c r="M803" t="s">
        <v>248</v>
      </c>
      <c r="N803" t="str">
        <f>"215179-10/19"</f>
        <v>215179-10/19</v>
      </c>
      <c r="O803">
        <v>230620</v>
      </c>
    </row>
    <row r="804" spans="1:15" x14ac:dyDescent="0.25">
      <c r="A804" t="s">
        <v>16</v>
      </c>
      <c r="B804" t="s">
        <v>3221</v>
      </c>
      <c r="C804">
        <v>8956</v>
      </c>
      <c r="D804" t="s">
        <v>448</v>
      </c>
      <c r="E804" t="s">
        <v>449</v>
      </c>
      <c r="F804">
        <v>84</v>
      </c>
      <c r="G804">
        <v>230701</v>
      </c>
      <c r="H804">
        <v>4840</v>
      </c>
      <c r="I804" t="s">
        <v>19</v>
      </c>
      <c r="J804">
        <v>104.16</v>
      </c>
      <c r="K804">
        <v>20.16</v>
      </c>
      <c r="L804">
        <v>17974</v>
      </c>
      <c r="M804" t="s">
        <v>460</v>
      </c>
      <c r="N804" t="str">
        <f>"215179-10/19"</f>
        <v>215179-10/19</v>
      </c>
      <c r="O804">
        <v>230620</v>
      </c>
    </row>
    <row r="805" spans="1:15" x14ac:dyDescent="0.25">
      <c r="A805" t="s">
        <v>16</v>
      </c>
      <c r="B805" t="s">
        <v>3221</v>
      </c>
      <c r="C805">
        <v>8957</v>
      </c>
      <c r="D805" t="s">
        <v>448</v>
      </c>
      <c r="E805" t="s">
        <v>449</v>
      </c>
      <c r="F805">
        <v>273.91000000000003</v>
      </c>
      <c r="G805">
        <v>230701</v>
      </c>
      <c r="H805">
        <v>4840</v>
      </c>
      <c r="I805" t="s">
        <v>19</v>
      </c>
      <c r="J805">
        <v>339.65</v>
      </c>
      <c r="K805">
        <v>65.739999999999995</v>
      </c>
      <c r="L805">
        <v>18010</v>
      </c>
      <c r="M805" t="s">
        <v>1344</v>
      </c>
      <c r="N805" t="str">
        <f>"215179-16/19"</f>
        <v>215179-16/19</v>
      </c>
      <c r="O805">
        <v>230620</v>
      </c>
    </row>
    <row r="806" spans="1:15" x14ac:dyDescent="0.25">
      <c r="A806" t="s">
        <v>16</v>
      </c>
      <c r="B806" t="s">
        <v>3221</v>
      </c>
      <c r="C806">
        <v>8957</v>
      </c>
      <c r="D806" t="s">
        <v>448</v>
      </c>
      <c r="E806" t="s">
        <v>449</v>
      </c>
      <c r="F806">
        <v>267.95</v>
      </c>
      <c r="G806">
        <v>230701</v>
      </c>
      <c r="H806">
        <v>4840</v>
      </c>
      <c r="I806" t="s">
        <v>19</v>
      </c>
      <c r="J806">
        <v>332.26</v>
      </c>
      <c r="K806">
        <v>64.31</v>
      </c>
      <c r="L806">
        <v>18120</v>
      </c>
      <c r="M806" t="s">
        <v>329</v>
      </c>
      <c r="N806" t="str">
        <f>"215179-16/19"</f>
        <v>215179-16/19</v>
      </c>
      <c r="O806">
        <v>230620</v>
      </c>
    </row>
    <row r="807" spans="1:15" x14ac:dyDescent="0.25">
      <c r="A807" t="s">
        <v>16</v>
      </c>
      <c r="B807" t="s">
        <v>3221</v>
      </c>
      <c r="C807">
        <v>8957</v>
      </c>
      <c r="D807" t="s">
        <v>448</v>
      </c>
      <c r="E807" t="s">
        <v>449</v>
      </c>
      <c r="F807">
        <v>458.85</v>
      </c>
      <c r="G807">
        <v>230701</v>
      </c>
      <c r="H807">
        <v>4840</v>
      </c>
      <c r="I807" t="s">
        <v>19</v>
      </c>
      <c r="J807">
        <v>568.97</v>
      </c>
      <c r="K807">
        <v>110.12</v>
      </c>
      <c r="L807">
        <v>18972</v>
      </c>
      <c r="M807" t="s">
        <v>163</v>
      </c>
      <c r="N807" t="str">
        <f>"215179-16/19"</f>
        <v>215179-16/19</v>
      </c>
      <c r="O807">
        <v>230620</v>
      </c>
    </row>
    <row r="808" spans="1:15" x14ac:dyDescent="0.25">
      <c r="A808" t="s">
        <v>16</v>
      </c>
      <c r="B808" t="s">
        <v>3221</v>
      </c>
      <c r="C808">
        <v>8957</v>
      </c>
      <c r="D808" t="s">
        <v>448</v>
      </c>
      <c r="E808" t="s">
        <v>449</v>
      </c>
      <c r="F808">
        <v>826.5</v>
      </c>
      <c r="G808">
        <v>230701</v>
      </c>
      <c r="H808">
        <v>4840</v>
      </c>
      <c r="I808" t="s">
        <v>19</v>
      </c>
      <c r="J808">
        <v>1024.8599999999999</v>
      </c>
      <c r="K808">
        <v>198.36</v>
      </c>
      <c r="L808">
        <v>18982</v>
      </c>
      <c r="M808" t="s">
        <v>1121</v>
      </c>
      <c r="N808" t="str">
        <f>"215179-16/19"</f>
        <v>215179-16/19</v>
      </c>
      <c r="O808">
        <v>230620</v>
      </c>
    </row>
    <row r="809" spans="1:15" x14ac:dyDescent="0.25">
      <c r="A809" t="s">
        <v>16</v>
      </c>
      <c r="B809" t="s">
        <v>3221</v>
      </c>
      <c r="C809">
        <v>8959</v>
      </c>
      <c r="D809" t="s">
        <v>448</v>
      </c>
      <c r="E809" t="s">
        <v>449</v>
      </c>
      <c r="F809">
        <v>593.24</v>
      </c>
      <c r="G809">
        <v>230701</v>
      </c>
      <c r="H809">
        <v>4840</v>
      </c>
      <c r="I809" t="s">
        <v>19</v>
      </c>
      <c r="J809">
        <v>735.62</v>
      </c>
      <c r="K809">
        <v>142.38</v>
      </c>
      <c r="L809">
        <v>11301</v>
      </c>
      <c r="M809" t="s">
        <v>29</v>
      </c>
      <c r="N809" t="str">
        <f t="shared" ref="N809:N827" si="48">"215179-18/19"</f>
        <v>215179-18/19</v>
      </c>
      <c r="O809">
        <v>230620</v>
      </c>
    </row>
    <row r="810" spans="1:15" x14ac:dyDescent="0.25">
      <c r="A810" t="s">
        <v>16</v>
      </c>
      <c r="B810" t="s">
        <v>3221</v>
      </c>
      <c r="C810">
        <v>8959</v>
      </c>
      <c r="D810" t="s">
        <v>448</v>
      </c>
      <c r="E810" t="s">
        <v>449</v>
      </c>
      <c r="F810">
        <v>28.11</v>
      </c>
      <c r="G810">
        <v>230701</v>
      </c>
      <c r="H810">
        <v>4840</v>
      </c>
      <c r="I810" t="s">
        <v>19</v>
      </c>
      <c r="J810">
        <v>34.86</v>
      </c>
      <c r="K810">
        <v>6.75</v>
      </c>
      <c r="L810">
        <v>11601</v>
      </c>
      <c r="M810" t="s">
        <v>535</v>
      </c>
      <c r="N810" t="str">
        <f t="shared" si="48"/>
        <v>215179-18/19</v>
      </c>
      <c r="O810">
        <v>230620</v>
      </c>
    </row>
    <row r="811" spans="1:15" x14ac:dyDescent="0.25">
      <c r="A811" t="s">
        <v>16</v>
      </c>
      <c r="B811" t="s">
        <v>3221</v>
      </c>
      <c r="C811">
        <v>8959</v>
      </c>
      <c r="D811" t="s">
        <v>448</v>
      </c>
      <c r="E811" t="s">
        <v>449</v>
      </c>
      <c r="F811">
        <v>188.13</v>
      </c>
      <c r="G811">
        <v>230701</v>
      </c>
      <c r="H811">
        <v>4840</v>
      </c>
      <c r="I811" t="s">
        <v>19</v>
      </c>
      <c r="J811">
        <v>233.28</v>
      </c>
      <c r="K811">
        <v>45.15</v>
      </c>
      <c r="L811">
        <v>11901</v>
      </c>
      <c r="M811" t="s">
        <v>36</v>
      </c>
      <c r="N811" t="str">
        <f t="shared" si="48"/>
        <v>215179-18/19</v>
      </c>
      <c r="O811">
        <v>230620</v>
      </c>
    </row>
    <row r="812" spans="1:15" x14ac:dyDescent="0.25">
      <c r="A812" t="s">
        <v>16</v>
      </c>
      <c r="B812" t="s">
        <v>3221</v>
      </c>
      <c r="C812">
        <v>8959</v>
      </c>
      <c r="D812" t="s">
        <v>448</v>
      </c>
      <c r="E812" t="s">
        <v>449</v>
      </c>
      <c r="F812">
        <v>1982.68</v>
      </c>
      <c r="G812">
        <v>230701</v>
      </c>
      <c r="H812">
        <v>4840</v>
      </c>
      <c r="I812" t="s">
        <v>19</v>
      </c>
      <c r="J812">
        <v>2458.52</v>
      </c>
      <c r="K812">
        <v>475.84</v>
      </c>
      <c r="L812">
        <v>14121</v>
      </c>
      <c r="M812" t="s">
        <v>880</v>
      </c>
      <c r="N812" t="str">
        <f t="shared" si="48"/>
        <v>215179-18/19</v>
      </c>
      <c r="O812">
        <v>230620</v>
      </c>
    </row>
    <row r="813" spans="1:15" x14ac:dyDescent="0.25">
      <c r="A813" t="s">
        <v>16</v>
      </c>
      <c r="B813" t="s">
        <v>3221</v>
      </c>
      <c r="C813">
        <v>8959</v>
      </c>
      <c r="D813" t="s">
        <v>448</v>
      </c>
      <c r="E813" t="s">
        <v>449</v>
      </c>
      <c r="F813">
        <v>99.29</v>
      </c>
      <c r="G813">
        <v>230701</v>
      </c>
      <c r="H813">
        <v>4840</v>
      </c>
      <c r="I813" t="s">
        <v>19</v>
      </c>
      <c r="J813">
        <v>123.12</v>
      </c>
      <c r="K813">
        <v>23.83</v>
      </c>
      <c r="L813">
        <v>14321</v>
      </c>
      <c r="M813" t="s">
        <v>717</v>
      </c>
      <c r="N813" t="str">
        <f t="shared" si="48"/>
        <v>215179-18/19</v>
      </c>
      <c r="O813">
        <v>230620</v>
      </c>
    </row>
    <row r="814" spans="1:15" x14ac:dyDescent="0.25">
      <c r="A814" t="s">
        <v>16</v>
      </c>
      <c r="B814" t="s">
        <v>3221</v>
      </c>
      <c r="C814">
        <v>8959</v>
      </c>
      <c r="D814" t="s">
        <v>448</v>
      </c>
      <c r="E814" t="s">
        <v>449</v>
      </c>
      <c r="F814">
        <v>1151.1199999999999</v>
      </c>
      <c r="G814">
        <v>230701</v>
      </c>
      <c r="H814">
        <v>4840</v>
      </c>
      <c r="I814" t="s">
        <v>19</v>
      </c>
      <c r="J814">
        <v>1427.39</v>
      </c>
      <c r="K814">
        <v>276.27</v>
      </c>
      <c r="L814">
        <v>14422</v>
      </c>
      <c r="M814" t="s">
        <v>228</v>
      </c>
      <c r="N814" t="str">
        <f t="shared" si="48"/>
        <v>215179-18/19</v>
      </c>
      <c r="O814">
        <v>230620</v>
      </c>
    </row>
    <row r="815" spans="1:15" x14ac:dyDescent="0.25">
      <c r="A815" t="s">
        <v>16</v>
      </c>
      <c r="B815" t="s">
        <v>3221</v>
      </c>
      <c r="C815">
        <v>8959</v>
      </c>
      <c r="D815" t="s">
        <v>448</v>
      </c>
      <c r="E815" t="s">
        <v>449</v>
      </c>
      <c r="F815">
        <v>184.48</v>
      </c>
      <c r="G815">
        <v>230701</v>
      </c>
      <c r="H815">
        <v>4840</v>
      </c>
      <c r="I815" t="s">
        <v>19</v>
      </c>
      <c r="J815">
        <v>228.76</v>
      </c>
      <c r="K815">
        <v>44.28</v>
      </c>
      <c r="L815">
        <v>14541</v>
      </c>
      <c r="M815" t="s">
        <v>626</v>
      </c>
      <c r="N815" t="str">
        <f t="shared" si="48"/>
        <v>215179-18/19</v>
      </c>
      <c r="O815">
        <v>230620</v>
      </c>
    </row>
    <row r="816" spans="1:15" x14ac:dyDescent="0.25">
      <c r="A816" t="s">
        <v>16</v>
      </c>
      <c r="B816" t="s">
        <v>3221</v>
      </c>
      <c r="C816">
        <v>8959</v>
      </c>
      <c r="D816" t="s">
        <v>448</v>
      </c>
      <c r="E816" t="s">
        <v>449</v>
      </c>
      <c r="F816">
        <v>3212.5</v>
      </c>
      <c r="G816">
        <v>230701</v>
      </c>
      <c r="H816">
        <v>4840</v>
      </c>
      <c r="I816" t="s">
        <v>19</v>
      </c>
      <c r="J816">
        <v>3983.5</v>
      </c>
      <c r="K816">
        <v>771</v>
      </c>
      <c r="L816">
        <v>14622</v>
      </c>
      <c r="M816" t="s">
        <v>1005</v>
      </c>
      <c r="N816" t="str">
        <f t="shared" si="48"/>
        <v>215179-18/19</v>
      </c>
      <c r="O816">
        <v>230620</v>
      </c>
    </row>
    <row r="817" spans="1:15" x14ac:dyDescent="0.25">
      <c r="A817" t="s">
        <v>16</v>
      </c>
      <c r="B817" t="s">
        <v>3221</v>
      </c>
      <c r="C817">
        <v>8959</v>
      </c>
      <c r="D817" t="s">
        <v>448</v>
      </c>
      <c r="E817" t="s">
        <v>449</v>
      </c>
      <c r="F817">
        <v>343.09</v>
      </c>
      <c r="G817">
        <v>230701</v>
      </c>
      <c r="H817">
        <v>4840</v>
      </c>
      <c r="I817" t="s">
        <v>19</v>
      </c>
      <c r="J817">
        <v>425.43</v>
      </c>
      <c r="K817">
        <v>82.34</v>
      </c>
      <c r="L817">
        <v>14640</v>
      </c>
      <c r="M817" t="s">
        <v>229</v>
      </c>
      <c r="N817" t="str">
        <f t="shared" si="48"/>
        <v>215179-18/19</v>
      </c>
      <c r="O817">
        <v>230620</v>
      </c>
    </row>
    <row r="818" spans="1:15" x14ac:dyDescent="0.25">
      <c r="A818" t="s">
        <v>16</v>
      </c>
      <c r="B818" t="s">
        <v>3221</v>
      </c>
      <c r="C818">
        <v>8959</v>
      </c>
      <c r="D818" t="s">
        <v>448</v>
      </c>
      <c r="E818" t="s">
        <v>449</v>
      </c>
      <c r="F818">
        <v>314.51</v>
      </c>
      <c r="G818">
        <v>230701</v>
      </c>
      <c r="H818">
        <v>4840</v>
      </c>
      <c r="I818" t="s">
        <v>19</v>
      </c>
      <c r="J818">
        <v>389.99</v>
      </c>
      <c r="K818">
        <v>75.48</v>
      </c>
      <c r="L818">
        <v>14861</v>
      </c>
      <c r="M818" t="s">
        <v>785</v>
      </c>
      <c r="N818" t="str">
        <f t="shared" si="48"/>
        <v>215179-18/19</v>
      </c>
      <c r="O818">
        <v>230620</v>
      </c>
    </row>
    <row r="819" spans="1:15" x14ac:dyDescent="0.25">
      <c r="A819" t="s">
        <v>16</v>
      </c>
      <c r="B819" t="s">
        <v>3221</v>
      </c>
      <c r="C819">
        <v>8959</v>
      </c>
      <c r="D819" t="s">
        <v>448</v>
      </c>
      <c r="E819" t="s">
        <v>449</v>
      </c>
      <c r="F819">
        <v>26.72</v>
      </c>
      <c r="G819">
        <v>230701</v>
      </c>
      <c r="H819">
        <v>4840</v>
      </c>
      <c r="I819" t="s">
        <v>19</v>
      </c>
      <c r="J819">
        <v>33.130000000000003</v>
      </c>
      <c r="K819">
        <v>6.41</v>
      </c>
      <c r="L819">
        <v>14912</v>
      </c>
      <c r="M819" t="s">
        <v>230</v>
      </c>
      <c r="N819" t="str">
        <f t="shared" si="48"/>
        <v>215179-18/19</v>
      </c>
      <c r="O819">
        <v>230620</v>
      </c>
    </row>
    <row r="820" spans="1:15" x14ac:dyDescent="0.25">
      <c r="A820" t="s">
        <v>16</v>
      </c>
      <c r="B820" t="s">
        <v>3221</v>
      </c>
      <c r="C820">
        <v>8959</v>
      </c>
      <c r="D820" t="s">
        <v>448</v>
      </c>
      <c r="E820" t="s">
        <v>449</v>
      </c>
      <c r="F820">
        <v>114.99</v>
      </c>
      <c r="G820">
        <v>230701</v>
      </c>
      <c r="H820">
        <v>4840</v>
      </c>
      <c r="I820" t="s">
        <v>19</v>
      </c>
      <c r="J820">
        <v>142.59</v>
      </c>
      <c r="K820">
        <v>27.6</v>
      </c>
      <c r="L820">
        <v>14971</v>
      </c>
      <c r="M820" t="s">
        <v>1259</v>
      </c>
      <c r="N820" t="str">
        <f t="shared" si="48"/>
        <v>215179-18/19</v>
      </c>
      <c r="O820">
        <v>230620</v>
      </c>
    </row>
    <row r="821" spans="1:15" x14ac:dyDescent="0.25">
      <c r="A821" t="s">
        <v>16</v>
      </c>
      <c r="B821" t="s">
        <v>3221</v>
      </c>
      <c r="C821">
        <v>8959</v>
      </c>
      <c r="D821" t="s">
        <v>448</v>
      </c>
      <c r="E821" t="s">
        <v>449</v>
      </c>
      <c r="F821">
        <v>1220.95</v>
      </c>
      <c r="G821">
        <v>230701</v>
      </c>
      <c r="H821">
        <v>4840</v>
      </c>
      <c r="I821" t="s">
        <v>19</v>
      </c>
      <c r="J821">
        <v>1513.98</v>
      </c>
      <c r="K821">
        <v>293.02999999999997</v>
      </c>
      <c r="L821">
        <v>14972</v>
      </c>
      <c r="M821" t="s">
        <v>898</v>
      </c>
      <c r="N821" t="str">
        <f t="shared" si="48"/>
        <v>215179-18/19</v>
      </c>
      <c r="O821">
        <v>230620</v>
      </c>
    </row>
    <row r="822" spans="1:15" x14ac:dyDescent="0.25">
      <c r="A822" t="s">
        <v>16</v>
      </c>
      <c r="B822" t="s">
        <v>3221</v>
      </c>
      <c r="C822">
        <v>8959</v>
      </c>
      <c r="D822" t="s">
        <v>448</v>
      </c>
      <c r="E822" t="s">
        <v>449</v>
      </c>
      <c r="F822">
        <v>33.06</v>
      </c>
      <c r="G822">
        <v>230701</v>
      </c>
      <c r="H822">
        <v>4840</v>
      </c>
      <c r="I822" t="s">
        <v>19</v>
      </c>
      <c r="J822">
        <v>40.99</v>
      </c>
      <c r="K822">
        <v>7.93</v>
      </c>
      <c r="L822">
        <v>14974</v>
      </c>
      <c r="M822" t="s">
        <v>1340</v>
      </c>
      <c r="N822" t="str">
        <f t="shared" si="48"/>
        <v>215179-18/19</v>
      </c>
      <c r="O822">
        <v>230620</v>
      </c>
    </row>
    <row r="823" spans="1:15" x14ac:dyDescent="0.25">
      <c r="A823" t="s">
        <v>16</v>
      </c>
      <c r="B823" t="s">
        <v>3221</v>
      </c>
      <c r="C823">
        <v>8959</v>
      </c>
      <c r="D823" t="s">
        <v>448</v>
      </c>
      <c r="E823" t="s">
        <v>449</v>
      </c>
      <c r="F823">
        <v>6.49</v>
      </c>
      <c r="G823">
        <v>230701</v>
      </c>
      <c r="H823">
        <v>4840</v>
      </c>
      <c r="I823" t="s">
        <v>19</v>
      </c>
      <c r="J823">
        <v>8.0500000000000007</v>
      </c>
      <c r="K823">
        <v>1.56</v>
      </c>
      <c r="L823">
        <v>14975</v>
      </c>
      <c r="M823" t="s">
        <v>1341</v>
      </c>
      <c r="N823" t="str">
        <f t="shared" si="48"/>
        <v>215179-18/19</v>
      </c>
      <c r="O823">
        <v>230620</v>
      </c>
    </row>
    <row r="824" spans="1:15" x14ac:dyDescent="0.25">
      <c r="A824" t="s">
        <v>16</v>
      </c>
      <c r="B824" t="s">
        <v>3221</v>
      </c>
      <c r="C824">
        <v>8959</v>
      </c>
      <c r="D824" t="s">
        <v>448</v>
      </c>
      <c r="E824" t="s">
        <v>449</v>
      </c>
      <c r="F824">
        <v>967.74</v>
      </c>
      <c r="G824">
        <v>230701</v>
      </c>
      <c r="H824">
        <v>4840</v>
      </c>
      <c r="I824" t="s">
        <v>19</v>
      </c>
      <c r="J824">
        <v>1200</v>
      </c>
      <c r="K824">
        <v>232.26</v>
      </c>
      <c r="L824">
        <v>14990</v>
      </c>
      <c r="M824" t="s">
        <v>1725</v>
      </c>
      <c r="N824" t="str">
        <f t="shared" si="48"/>
        <v>215179-18/19</v>
      </c>
      <c r="O824">
        <v>230620</v>
      </c>
    </row>
    <row r="825" spans="1:15" x14ac:dyDescent="0.25">
      <c r="A825" t="s">
        <v>16</v>
      </c>
      <c r="B825" t="s">
        <v>3221</v>
      </c>
      <c r="C825">
        <v>8959</v>
      </c>
      <c r="D825" t="s">
        <v>448</v>
      </c>
      <c r="E825" t="s">
        <v>449</v>
      </c>
      <c r="F825">
        <v>24.95</v>
      </c>
      <c r="G825">
        <v>230701</v>
      </c>
      <c r="H825">
        <v>4840</v>
      </c>
      <c r="I825" t="s">
        <v>19</v>
      </c>
      <c r="J825">
        <v>30.94</v>
      </c>
      <c r="K825">
        <v>5.99</v>
      </c>
      <c r="L825">
        <v>18010</v>
      </c>
      <c r="M825" t="s">
        <v>1344</v>
      </c>
      <c r="N825" t="str">
        <f t="shared" si="48"/>
        <v>215179-18/19</v>
      </c>
      <c r="O825">
        <v>230620</v>
      </c>
    </row>
    <row r="826" spans="1:15" x14ac:dyDescent="0.25">
      <c r="A826" t="s">
        <v>16</v>
      </c>
      <c r="B826" t="s">
        <v>3221</v>
      </c>
      <c r="C826">
        <v>8959</v>
      </c>
      <c r="D826" t="s">
        <v>448</v>
      </c>
      <c r="E826" t="s">
        <v>449</v>
      </c>
      <c r="F826">
        <v>46.28</v>
      </c>
      <c r="G826">
        <v>230701</v>
      </c>
      <c r="H826">
        <v>4840</v>
      </c>
      <c r="I826" t="s">
        <v>19</v>
      </c>
      <c r="J826">
        <v>57.39</v>
      </c>
      <c r="K826">
        <v>11.11</v>
      </c>
      <c r="L826">
        <v>18972</v>
      </c>
      <c r="M826" t="s">
        <v>163</v>
      </c>
      <c r="N826" t="str">
        <f t="shared" si="48"/>
        <v>215179-18/19</v>
      </c>
      <c r="O826">
        <v>230620</v>
      </c>
    </row>
    <row r="827" spans="1:15" x14ac:dyDescent="0.25">
      <c r="A827" t="s">
        <v>16</v>
      </c>
      <c r="B827" t="s">
        <v>3221</v>
      </c>
      <c r="C827">
        <v>8959</v>
      </c>
      <c r="D827" t="s">
        <v>448</v>
      </c>
      <c r="E827" t="s">
        <v>449</v>
      </c>
      <c r="F827">
        <v>75.790000000000006</v>
      </c>
      <c r="G827">
        <v>230701</v>
      </c>
      <c r="H827">
        <v>4840</v>
      </c>
      <c r="I827" t="s">
        <v>19</v>
      </c>
      <c r="J827">
        <v>93.98</v>
      </c>
      <c r="K827">
        <v>18.190000000000001</v>
      </c>
      <c r="L827">
        <v>18972</v>
      </c>
      <c r="M827" t="s">
        <v>163</v>
      </c>
      <c r="N827" t="str">
        <f t="shared" si="48"/>
        <v>215179-18/19</v>
      </c>
      <c r="O827">
        <v>230620</v>
      </c>
    </row>
    <row r="828" spans="1:15" x14ac:dyDescent="0.25">
      <c r="A828" t="s">
        <v>16</v>
      </c>
      <c r="B828" t="s">
        <v>3221</v>
      </c>
      <c r="C828">
        <v>9012</v>
      </c>
      <c r="D828" t="s">
        <v>448</v>
      </c>
      <c r="E828" t="s">
        <v>449</v>
      </c>
      <c r="F828">
        <v>911.16</v>
      </c>
      <c r="G828">
        <v>230701</v>
      </c>
      <c r="H828">
        <v>4840</v>
      </c>
      <c r="I828" t="s">
        <v>19</v>
      </c>
      <c r="J828">
        <v>1129.8399999999999</v>
      </c>
      <c r="K828">
        <v>218.68</v>
      </c>
      <c r="L828">
        <v>10002</v>
      </c>
      <c r="M828" t="s">
        <v>1066</v>
      </c>
      <c r="N828" t="str">
        <f t="shared" ref="N828:N839" si="49">"1215179-8/19"</f>
        <v>1215179-8/19</v>
      </c>
      <c r="O828">
        <v>230621</v>
      </c>
    </row>
    <row r="829" spans="1:15" x14ac:dyDescent="0.25">
      <c r="A829" t="s">
        <v>16</v>
      </c>
      <c r="B829" t="s">
        <v>3221</v>
      </c>
      <c r="C829">
        <v>9012</v>
      </c>
      <c r="D829" t="s">
        <v>448</v>
      </c>
      <c r="E829" t="s">
        <v>449</v>
      </c>
      <c r="F829">
        <v>830.43</v>
      </c>
      <c r="G829">
        <v>230701</v>
      </c>
      <c r="H829">
        <v>4840</v>
      </c>
      <c r="I829" t="s">
        <v>19</v>
      </c>
      <c r="J829">
        <v>1029.73</v>
      </c>
      <c r="K829">
        <v>199.3</v>
      </c>
      <c r="L829">
        <v>11001</v>
      </c>
      <c r="M829" t="s">
        <v>326</v>
      </c>
      <c r="N829" t="str">
        <f t="shared" si="49"/>
        <v>1215179-8/19</v>
      </c>
      <c r="O829">
        <v>230621</v>
      </c>
    </row>
    <row r="830" spans="1:15" x14ac:dyDescent="0.25">
      <c r="A830" t="s">
        <v>16</v>
      </c>
      <c r="B830" t="s">
        <v>3221</v>
      </c>
      <c r="C830">
        <v>9012</v>
      </c>
      <c r="D830" t="s">
        <v>448</v>
      </c>
      <c r="E830" t="s">
        <v>449</v>
      </c>
      <c r="F830">
        <v>294.27</v>
      </c>
      <c r="G830">
        <v>230701</v>
      </c>
      <c r="H830">
        <v>4840</v>
      </c>
      <c r="I830" t="s">
        <v>19</v>
      </c>
      <c r="J830">
        <v>364.89</v>
      </c>
      <c r="K830">
        <v>70.62</v>
      </c>
      <c r="L830">
        <v>11101</v>
      </c>
      <c r="M830" t="s">
        <v>110</v>
      </c>
      <c r="N830" t="str">
        <f t="shared" si="49"/>
        <v>1215179-8/19</v>
      </c>
      <c r="O830">
        <v>230621</v>
      </c>
    </row>
    <row r="831" spans="1:15" x14ac:dyDescent="0.25">
      <c r="A831" t="s">
        <v>16</v>
      </c>
      <c r="B831" t="s">
        <v>3221</v>
      </c>
      <c r="C831">
        <v>9012</v>
      </c>
      <c r="D831" t="s">
        <v>448</v>
      </c>
      <c r="E831" t="s">
        <v>449</v>
      </c>
      <c r="F831">
        <v>289.51</v>
      </c>
      <c r="G831">
        <v>230701</v>
      </c>
      <c r="H831">
        <v>4840</v>
      </c>
      <c r="I831" t="s">
        <v>19</v>
      </c>
      <c r="J831">
        <v>358.99</v>
      </c>
      <c r="K831">
        <v>69.48</v>
      </c>
      <c r="L831">
        <v>11301</v>
      </c>
      <c r="M831" t="s">
        <v>29</v>
      </c>
      <c r="N831" t="str">
        <f t="shared" si="49"/>
        <v>1215179-8/19</v>
      </c>
      <c r="O831">
        <v>230621</v>
      </c>
    </row>
    <row r="832" spans="1:15" x14ac:dyDescent="0.25">
      <c r="A832" t="s">
        <v>16</v>
      </c>
      <c r="B832" t="s">
        <v>3221</v>
      </c>
      <c r="C832">
        <v>9012</v>
      </c>
      <c r="D832" t="s">
        <v>448</v>
      </c>
      <c r="E832" t="s">
        <v>449</v>
      </c>
      <c r="F832">
        <v>417.87</v>
      </c>
      <c r="G832">
        <v>230701</v>
      </c>
      <c r="H832">
        <v>4840</v>
      </c>
      <c r="I832" t="s">
        <v>19</v>
      </c>
      <c r="J832">
        <v>518.16</v>
      </c>
      <c r="K832">
        <v>100.29</v>
      </c>
      <c r="L832">
        <v>11401</v>
      </c>
      <c r="M832" t="s">
        <v>84</v>
      </c>
      <c r="N832" t="str">
        <f t="shared" si="49"/>
        <v>1215179-8/19</v>
      </c>
      <c r="O832">
        <v>230621</v>
      </c>
    </row>
    <row r="833" spans="1:15" x14ac:dyDescent="0.25">
      <c r="A833" t="s">
        <v>16</v>
      </c>
      <c r="B833" t="s">
        <v>3221</v>
      </c>
      <c r="C833">
        <v>9012</v>
      </c>
      <c r="D833" t="s">
        <v>448</v>
      </c>
      <c r="E833" t="s">
        <v>449</v>
      </c>
      <c r="F833">
        <v>314.76</v>
      </c>
      <c r="G833">
        <v>230701</v>
      </c>
      <c r="H833">
        <v>4840</v>
      </c>
      <c r="I833" t="s">
        <v>19</v>
      </c>
      <c r="J833">
        <v>390.3</v>
      </c>
      <c r="K833">
        <v>75.540000000000006</v>
      </c>
      <c r="L833">
        <v>11501</v>
      </c>
      <c r="M833" t="s">
        <v>339</v>
      </c>
      <c r="N833" t="str">
        <f t="shared" si="49"/>
        <v>1215179-8/19</v>
      </c>
      <c r="O833">
        <v>230621</v>
      </c>
    </row>
    <row r="834" spans="1:15" x14ac:dyDescent="0.25">
      <c r="A834" t="s">
        <v>16</v>
      </c>
      <c r="B834" t="s">
        <v>3221</v>
      </c>
      <c r="C834">
        <v>9012</v>
      </c>
      <c r="D834" t="s">
        <v>448</v>
      </c>
      <c r="E834" t="s">
        <v>449</v>
      </c>
      <c r="F834">
        <v>160.34</v>
      </c>
      <c r="G834">
        <v>230701</v>
      </c>
      <c r="H834">
        <v>4840</v>
      </c>
      <c r="I834" t="s">
        <v>19</v>
      </c>
      <c r="J834">
        <v>198.82</v>
      </c>
      <c r="K834">
        <v>38.479999999999997</v>
      </c>
      <c r="L834">
        <v>11601</v>
      </c>
      <c r="M834" t="s">
        <v>535</v>
      </c>
      <c r="N834" t="str">
        <f t="shared" si="49"/>
        <v>1215179-8/19</v>
      </c>
      <c r="O834">
        <v>230621</v>
      </c>
    </row>
    <row r="835" spans="1:15" x14ac:dyDescent="0.25">
      <c r="A835" t="s">
        <v>16</v>
      </c>
      <c r="B835" t="s">
        <v>3221</v>
      </c>
      <c r="C835">
        <v>9012</v>
      </c>
      <c r="D835" t="s">
        <v>448</v>
      </c>
      <c r="E835" t="s">
        <v>449</v>
      </c>
      <c r="F835">
        <v>71.790000000000006</v>
      </c>
      <c r="G835">
        <v>230701</v>
      </c>
      <c r="H835">
        <v>4840</v>
      </c>
      <c r="I835" t="s">
        <v>19</v>
      </c>
      <c r="J835">
        <v>89.02</v>
      </c>
      <c r="K835">
        <v>17.23</v>
      </c>
      <c r="L835">
        <v>11701</v>
      </c>
      <c r="M835" t="s">
        <v>1204</v>
      </c>
      <c r="N835" t="str">
        <f t="shared" si="49"/>
        <v>1215179-8/19</v>
      </c>
      <c r="O835">
        <v>230621</v>
      </c>
    </row>
    <row r="836" spans="1:15" x14ac:dyDescent="0.25">
      <c r="A836" t="s">
        <v>16</v>
      </c>
      <c r="B836" t="s">
        <v>3221</v>
      </c>
      <c r="C836">
        <v>9012</v>
      </c>
      <c r="D836" t="s">
        <v>448</v>
      </c>
      <c r="E836" t="s">
        <v>449</v>
      </c>
      <c r="F836">
        <v>33.06</v>
      </c>
      <c r="G836">
        <v>230701</v>
      </c>
      <c r="H836">
        <v>4840</v>
      </c>
      <c r="I836" t="s">
        <v>19</v>
      </c>
      <c r="J836">
        <v>40.99</v>
      </c>
      <c r="K836">
        <v>7.93</v>
      </c>
      <c r="L836">
        <v>11751</v>
      </c>
      <c r="M836" t="s">
        <v>1339</v>
      </c>
      <c r="N836" t="str">
        <f t="shared" si="49"/>
        <v>1215179-8/19</v>
      </c>
      <c r="O836">
        <v>230621</v>
      </c>
    </row>
    <row r="837" spans="1:15" x14ac:dyDescent="0.25">
      <c r="A837" t="s">
        <v>16</v>
      </c>
      <c r="B837" t="s">
        <v>3221</v>
      </c>
      <c r="C837">
        <v>9012</v>
      </c>
      <c r="D837" t="s">
        <v>448</v>
      </c>
      <c r="E837" t="s">
        <v>449</v>
      </c>
      <c r="F837">
        <v>2958.26</v>
      </c>
      <c r="G837">
        <v>230701</v>
      </c>
      <c r="H837">
        <v>4840</v>
      </c>
      <c r="I837" t="s">
        <v>19</v>
      </c>
      <c r="J837">
        <v>3668.24</v>
      </c>
      <c r="K837">
        <v>709.98</v>
      </c>
      <c r="L837">
        <v>11801</v>
      </c>
      <c r="M837" t="s">
        <v>92</v>
      </c>
      <c r="N837" t="str">
        <f t="shared" si="49"/>
        <v>1215179-8/19</v>
      </c>
      <c r="O837">
        <v>230621</v>
      </c>
    </row>
    <row r="838" spans="1:15" x14ac:dyDescent="0.25">
      <c r="A838" t="s">
        <v>16</v>
      </c>
      <c r="B838" t="s">
        <v>3221</v>
      </c>
      <c r="C838">
        <v>9012</v>
      </c>
      <c r="D838" t="s">
        <v>448</v>
      </c>
      <c r="E838" t="s">
        <v>449</v>
      </c>
      <c r="F838">
        <v>170.79</v>
      </c>
      <c r="G838">
        <v>230701</v>
      </c>
      <c r="H838">
        <v>4840</v>
      </c>
      <c r="I838" t="s">
        <v>19</v>
      </c>
      <c r="J838">
        <v>211.78</v>
      </c>
      <c r="K838">
        <v>40.99</v>
      </c>
      <c r="L838">
        <v>13801</v>
      </c>
      <c r="M838" t="s">
        <v>162</v>
      </c>
      <c r="N838" t="str">
        <f t="shared" si="49"/>
        <v>1215179-8/19</v>
      </c>
      <c r="O838">
        <v>230621</v>
      </c>
    </row>
    <row r="839" spans="1:15" x14ac:dyDescent="0.25">
      <c r="A839" t="s">
        <v>16</v>
      </c>
      <c r="B839" t="s">
        <v>3221</v>
      </c>
      <c r="C839">
        <v>9012</v>
      </c>
      <c r="D839" t="s">
        <v>448</v>
      </c>
      <c r="E839" t="s">
        <v>449</v>
      </c>
      <c r="F839">
        <v>214.71</v>
      </c>
      <c r="G839">
        <v>230701</v>
      </c>
      <c r="H839">
        <v>4840</v>
      </c>
      <c r="I839" t="s">
        <v>19</v>
      </c>
      <c r="J839">
        <v>266.24</v>
      </c>
      <c r="K839">
        <v>51.53</v>
      </c>
      <c r="L839">
        <v>18971</v>
      </c>
      <c r="M839" t="s">
        <v>63</v>
      </c>
      <c r="N839" t="str">
        <f t="shared" si="49"/>
        <v>1215179-8/19</v>
      </c>
      <c r="O839">
        <v>230621</v>
      </c>
    </row>
    <row r="840" spans="1:15" x14ac:dyDescent="0.25">
      <c r="A840" t="s">
        <v>16</v>
      </c>
      <c r="B840" t="s">
        <v>3221</v>
      </c>
      <c r="C840">
        <v>9108</v>
      </c>
      <c r="D840" t="s">
        <v>448</v>
      </c>
      <c r="E840" t="s">
        <v>449</v>
      </c>
      <c r="F840">
        <v>190.71</v>
      </c>
      <c r="G840">
        <v>230701</v>
      </c>
      <c r="H840">
        <v>4840</v>
      </c>
      <c r="I840" t="s">
        <v>19</v>
      </c>
      <c r="J840">
        <v>236.48</v>
      </c>
      <c r="K840">
        <v>45.77</v>
      </c>
      <c r="L840">
        <v>53222</v>
      </c>
      <c r="M840" t="s">
        <v>445</v>
      </c>
      <c r="N840" t="str">
        <f t="shared" ref="N840:N851" si="50">"1215179-9/19"</f>
        <v>1215179-9/19</v>
      </c>
      <c r="O840">
        <v>230627</v>
      </c>
    </row>
    <row r="841" spans="1:15" x14ac:dyDescent="0.25">
      <c r="A841" t="s">
        <v>16</v>
      </c>
      <c r="B841" t="s">
        <v>3221</v>
      </c>
      <c r="C841">
        <v>9108</v>
      </c>
      <c r="D841" t="s">
        <v>448</v>
      </c>
      <c r="E841" t="s">
        <v>449</v>
      </c>
      <c r="F841">
        <v>674.2</v>
      </c>
      <c r="G841">
        <v>230701</v>
      </c>
      <c r="H841">
        <v>4840</v>
      </c>
      <c r="I841" t="s">
        <v>19</v>
      </c>
      <c r="J841">
        <v>836.01</v>
      </c>
      <c r="K841">
        <v>161.81</v>
      </c>
      <c r="L841">
        <v>53222</v>
      </c>
      <c r="M841" t="s">
        <v>445</v>
      </c>
      <c r="N841" t="str">
        <f t="shared" si="50"/>
        <v>1215179-9/19</v>
      </c>
      <c r="O841">
        <v>230627</v>
      </c>
    </row>
    <row r="842" spans="1:15" x14ac:dyDescent="0.25">
      <c r="A842" t="s">
        <v>16</v>
      </c>
      <c r="B842" t="s">
        <v>3221</v>
      </c>
      <c r="C842">
        <v>9108</v>
      </c>
      <c r="D842" t="s">
        <v>448</v>
      </c>
      <c r="E842" t="s">
        <v>449</v>
      </c>
      <c r="F842">
        <v>149.86000000000001</v>
      </c>
      <c r="G842">
        <v>230701</v>
      </c>
      <c r="H842">
        <v>4840</v>
      </c>
      <c r="I842" t="s">
        <v>19</v>
      </c>
      <c r="J842">
        <v>185.83</v>
      </c>
      <c r="K842">
        <v>35.97</v>
      </c>
      <c r="L842">
        <v>54622</v>
      </c>
      <c r="M842" t="s">
        <v>872</v>
      </c>
      <c r="N842" t="str">
        <f t="shared" si="50"/>
        <v>1215179-9/19</v>
      </c>
      <c r="O842">
        <v>230627</v>
      </c>
    </row>
    <row r="843" spans="1:15" x14ac:dyDescent="0.25">
      <c r="A843" t="s">
        <v>16</v>
      </c>
      <c r="B843" t="s">
        <v>3221</v>
      </c>
      <c r="C843">
        <v>9108</v>
      </c>
      <c r="D843" t="s">
        <v>448</v>
      </c>
      <c r="E843" t="s">
        <v>449</v>
      </c>
      <c r="F843">
        <v>52.73</v>
      </c>
      <c r="G843">
        <v>230701</v>
      </c>
      <c r="H843">
        <v>4840</v>
      </c>
      <c r="I843" t="s">
        <v>19</v>
      </c>
      <c r="J843">
        <v>65.39</v>
      </c>
      <c r="K843">
        <v>12.66</v>
      </c>
      <c r="L843">
        <v>55222</v>
      </c>
      <c r="M843" t="s">
        <v>873</v>
      </c>
      <c r="N843" t="str">
        <f t="shared" si="50"/>
        <v>1215179-9/19</v>
      </c>
      <c r="O843">
        <v>230627</v>
      </c>
    </row>
    <row r="844" spans="1:15" x14ac:dyDescent="0.25">
      <c r="A844" t="s">
        <v>16</v>
      </c>
      <c r="B844" t="s">
        <v>3221</v>
      </c>
      <c r="C844">
        <v>9108</v>
      </c>
      <c r="D844" t="s">
        <v>448</v>
      </c>
      <c r="E844" t="s">
        <v>449</v>
      </c>
      <c r="F844">
        <v>33.06</v>
      </c>
      <c r="G844">
        <v>230701</v>
      </c>
      <c r="H844">
        <v>4840</v>
      </c>
      <c r="I844" t="s">
        <v>19</v>
      </c>
      <c r="J844">
        <v>40.99</v>
      </c>
      <c r="K844">
        <v>7.93</v>
      </c>
      <c r="L844">
        <v>59112</v>
      </c>
      <c r="M844" t="s">
        <v>182</v>
      </c>
      <c r="N844" t="str">
        <f t="shared" si="50"/>
        <v>1215179-9/19</v>
      </c>
      <c r="O844">
        <v>230627</v>
      </c>
    </row>
    <row r="845" spans="1:15" x14ac:dyDescent="0.25">
      <c r="A845" t="s">
        <v>16</v>
      </c>
      <c r="B845" t="s">
        <v>3221</v>
      </c>
      <c r="C845">
        <v>9108</v>
      </c>
      <c r="D845" t="s">
        <v>448</v>
      </c>
      <c r="E845" t="s">
        <v>449</v>
      </c>
      <c r="F845">
        <v>25.49</v>
      </c>
      <c r="G845">
        <v>230701</v>
      </c>
      <c r="H845">
        <v>4840</v>
      </c>
      <c r="I845" t="s">
        <v>19</v>
      </c>
      <c r="J845">
        <v>31.61</v>
      </c>
      <c r="K845">
        <v>6.12</v>
      </c>
      <c r="L845">
        <v>59114</v>
      </c>
      <c r="M845" t="s">
        <v>556</v>
      </c>
      <c r="N845" t="str">
        <f t="shared" si="50"/>
        <v>1215179-9/19</v>
      </c>
      <c r="O845">
        <v>230627</v>
      </c>
    </row>
    <row r="846" spans="1:15" x14ac:dyDescent="0.25">
      <c r="A846" t="s">
        <v>16</v>
      </c>
      <c r="B846" t="s">
        <v>3221</v>
      </c>
      <c r="C846">
        <v>9108</v>
      </c>
      <c r="D846" t="s">
        <v>448</v>
      </c>
      <c r="E846" t="s">
        <v>449</v>
      </c>
      <c r="F846">
        <v>60.71</v>
      </c>
      <c r="G846">
        <v>230701</v>
      </c>
      <c r="H846">
        <v>4840</v>
      </c>
      <c r="I846" t="s">
        <v>19</v>
      </c>
      <c r="J846">
        <v>75.28</v>
      </c>
      <c r="K846">
        <v>14.57</v>
      </c>
      <c r="L846">
        <v>59504</v>
      </c>
      <c r="M846" t="s">
        <v>71</v>
      </c>
      <c r="N846" t="str">
        <f t="shared" si="50"/>
        <v>1215179-9/19</v>
      </c>
      <c r="O846">
        <v>230627</v>
      </c>
    </row>
    <row r="847" spans="1:15" x14ac:dyDescent="0.25">
      <c r="A847" t="s">
        <v>16</v>
      </c>
      <c r="B847" t="s">
        <v>3221</v>
      </c>
      <c r="C847">
        <v>9108</v>
      </c>
      <c r="D847" t="s">
        <v>448</v>
      </c>
      <c r="E847" t="s">
        <v>449</v>
      </c>
      <c r="F847">
        <v>31.9</v>
      </c>
      <c r="G847">
        <v>230701</v>
      </c>
      <c r="H847">
        <v>4840</v>
      </c>
      <c r="I847" t="s">
        <v>19</v>
      </c>
      <c r="J847">
        <v>39.56</v>
      </c>
      <c r="K847">
        <v>7.66</v>
      </c>
      <c r="L847">
        <v>59701</v>
      </c>
      <c r="M847" t="s">
        <v>297</v>
      </c>
      <c r="N847" t="str">
        <f t="shared" si="50"/>
        <v>1215179-9/19</v>
      </c>
      <c r="O847">
        <v>230627</v>
      </c>
    </row>
    <row r="848" spans="1:15" x14ac:dyDescent="0.25">
      <c r="A848" t="s">
        <v>16</v>
      </c>
      <c r="B848" t="s">
        <v>3221</v>
      </c>
      <c r="C848">
        <v>9108</v>
      </c>
      <c r="D848" t="s">
        <v>448</v>
      </c>
      <c r="E848" t="s">
        <v>449</v>
      </c>
      <c r="F848">
        <v>162.27000000000001</v>
      </c>
      <c r="G848">
        <v>230701</v>
      </c>
      <c r="H848">
        <v>4840</v>
      </c>
      <c r="I848" t="s">
        <v>19</v>
      </c>
      <c r="J848">
        <v>201.21</v>
      </c>
      <c r="K848">
        <v>38.94</v>
      </c>
      <c r="L848">
        <v>59701</v>
      </c>
      <c r="M848" t="s">
        <v>297</v>
      </c>
      <c r="N848" t="str">
        <f t="shared" si="50"/>
        <v>1215179-9/19</v>
      </c>
      <c r="O848">
        <v>230627</v>
      </c>
    </row>
    <row r="849" spans="1:15" x14ac:dyDescent="0.25">
      <c r="A849" t="s">
        <v>16</v>
      </c>
      <c r="B849" t="s">
        <v>3221</v>
      </c>
      <c r="C849">
        <v>9108</v>
      </c>
      <c r="D849" t="s">
        <v>448</v>
      </c>
      <c r="E849" t="s">
        <v>449</v>
      </c>
      <c r="F849">
        <v>57.06</v>
      </c>
      <c r="G849">
        <v>230701</v>
      </c>
      <c r="H849">
        <v>4840</v>
      </c>
      <c r="I849" t="s">
        <v>19</v>
      </c>
      <c r="J849">
        <v>70.75</v>
      </c>
      <c r="K849">
        <v>13.69</v>
      </c>
      <c r="L849">
        <v>59702</v>
      </c>
      <c r="M849" t="s">
        <v>328</v>
      </c>
      <c r="N849" t="str">
        <f t="shared" si="50"/>
        <v>1215179-9/19</v>
      </c>
      <c r="O849">
        <v>230627</v>
      </c>
    </row>
    <row r="850" spans="1:15" x14ac:dyDescent="0.25">
      <c r="A850" t="s">
        <v>16</v>
      </c>
      <c r="B850" t="s">
        <v>3221</v>
      </c>
      <c r="C850">
        <v>9108</v>
      </c>
      <c r="D850" t="s">
        <v>448</v>
      </c>
      <c r="E850" t="s">
        <v>449</v>
      </c>
      <c r="F850">
        <v>162.27000000000001</v>
      </c>
      <c r="G850">
        <v>230701</v>
      </c>
      <c r="H850">
        <v>4840</v>
      </c>
      <c r="I850" t="s">
        <v>19</v>
      </c>
      <c r="J850">
        <v>201.22</v>
      </c>
      <c r="K850">
        <v>38.950000000000003</v>
      </c>
      <c r="L850">
        <v>59702</v>
      </c>
      <c r="M850" t="s">
        <v>328</v>
      </c>
      <c r="N850" t="str">
        <f t="shared" si="50"/>
        <v>1215179-9/19</v>
      </c>
      <c r="O850">
        <v>230627</v>
      </c>
    </row>
    <row r="851" spans="1:15" x14ac:dyDescent="0.25">
      <c r="A851" t="s">
        <v>16</v>
      </c>
      <c r="B851" t="s">
        <v>3221</v>
      </c>
      <c r="C851">
        <v>9108</v>
      </c>
      <c r="D851" t="s">
        <v>448</v>
      </c>
      <c r="E851" t="s">
        <v>449</v>
      </c>
      <c r="F851">
        <v>117.29</v>
      </c>
      <c r="G851">
        <v>230701</v>
      </c>
      <c r="H851">
        <v>4840</v>
      </c>
      <c r="I851" t="s">
        <v>19</v>
      </c>
      <c r="J851">
        <v>145.44</v>
      </c>
      <c r="K851">
        <v>28.15</v>
      </c>
      <c r="L851">
        <v>59704</v>
      </c>
      <c r="M851" t="s">
        <v>1103</v>
      </c>
      <c r="N851" t="str">
        <f t="shared" si="50"/>
        <v>1215179-9/19</v>
      </c>
      <c r="O851">
        <v>230627</v>
      </c>
    </row>
    <row r="852" spans="1:15" x14ac:dyDescent="0.25">
      <c r="A852" t="s">
        <v>16</v>
      </c>
      <c r="B852" t="s">
        <v>3221</v>
      </c>
      <c r="C852">
        <v>9109</v>
      </c>
      <c r="D852" t="s">
        <v>448</v>
      </c>
      <c r="E852" t="s">
        <v>449</v>
      </c>
      <c r="F852">
        <v>84.69</v>
      </c>
      <c r="G852">
        <v>230701</v>
      </c>
      <c r="H852">
        <v>4840</v>
      </c>
      <c r="I852" t="s">
        <v>19</v>
      </c>
      <c r="J852">
        <v>105.01</v>
      </c>
      <c r="K852">
        <v>20.32</v>
      </c>
      <c r="L852">
        <v>11908</v>
      </c>
      <c r="M852" t="s">
        <v>598</v>
      </c>
      <c r="N852" t="str">
        <f t="shared" ref="N852:N858" si="51">"215179-17/19"</f>
        <v>215179-17/19</v>
      </c>
      <c r="O852">
        <v>230627</v>
      </c>
    </row>
    <row r="853" spans="1:15" x14ac:dyDescent="0.25">
      <c r="A853" t="s">
        <v>16</v>
      </c>
      <c r="B853" t="s">
        <v>3221</v>
      </c>
      <c r="C853">
        <v>9109</v>
      </c>
      <c r="D853" t="s">
        <v>448</v>
      </c>
      <c r="E853" t="s">
        <v>449</v>
      </c>
      <c r="F853">
        <v>85.52</v>
      </c>
      <c r="G853">
        <v>230701</v>
      </c>
      <c r="H853">
        <v>4840</v>
      </c>
      <c r="I853" t="s">
        <v>19</v>
      </c>
      <c r="J853">
        <v>106.04</v>
      </c>
      <c r="K853">
        <v>20.52</v>
      </c>
      <c r="L853">
        <v>56522</v>
      </c>
      <c r="M853" t="s">
        <v>43</v>
      </c>
      <c r="N853" t="str">
        <f t="shared" si="51"/>
        <v>215179-17/19</v>
      </c>
      <c r="O853">
        <v>230627</v>
      </c>
    </row>
    <row r="854" spans="1:15" x14ac:dyDescent="0.25">
      <c r="A854" t="s">
        <v>16</v>
      </c>
      <c r="B854" t="s">
        <v>3221</v>
      </c>
      <c r="C854">
        <v>9109</v>
      </c>
      <c r="D854" t="s">
        <v>448</v>
      </c>
      <c r="E854" t="s">
        <v>449</v>
      </c>
      <c r="F854">
        <v>422.05</v>
      </c>
      <c r="G854">
        <v>230701</v>
      </c>
      <c r="H854">
        <v>4840</v>
      </c>
      <c r="I854" t="s">
        <v>19</v>
      </c>
      <c r="J854">
        <v>523.34</v>
      </c>
      <c r="K854">
        <v>101.29</v>
      </c>
      <c r="L854">
        <v>56524</v>
      </c>
      <c r="M854" t="s">
        <v>150</v>
      </c>
      <c r="N854" t="str">
        <f t="shared" si="51"/>
        <v>215179-17/19</v>
      </c>
      <c r="O854">
        <v>230627</v>
      </c>
    </row>
    <row r="855" spans="1:15" x14ac:dyDescent="0.25">
      <c r="A855" t="s">
        <v>16</v>
      </c>
      <c r="B855" t="s">
        <v>3221</v>
      </c>
      <c r="C855">
        <v>9109</v>
      </c>
      <c r="D855" t="s">
        <v>448</v>
      </c>
      <c r="E855" t="s">
        <v>449</v>
      </c>
      <c r="F855">
        <v>65.38</v>
      </c>
      <c r="G855">
        <v>230701</v>
      </c>
      <c r="H855">
        <v>4840</v>
      </c>
      <c r="I855" t="s">
        <v>19</v>
      </c>
      <c r="J855">
        <v>81.069999999999993</v>
      </c>
      <c r="K855">
        <v>15.69</v>
      </c>
      <c r="L855">
        <v>56528</v>
      </c>
      <c r="M855" t="s">
        <v>153</v>
      </c>
      <c r="N855" t="str">
        <f t="shared" si="51"/>
        <v>215179-17/19</v>
      </c>
      <c r="O855">
        <v>230627</v>
      </c>
    </row>
    <row r="856" spans="1:15" x14ac:dyDescent="0.25">
      <c r="A856" t="s">
        <v>16</v>
      </c>
      <c r="B856" t="s">
        <v>3221</v>
      </c>
      <c r="C856">
        <v>9109</v>
      </c>
      <c r="D856" t="s">
        <v>448</v>
      </c>
      <c r="E856" t="s">
        <v>449</v>
      </c>
      <c r="F856">
        <v>92.13</v>
      </c>
      <c r="G856">
        <v>230701</v>
      </c>
      <c r="H856">
        <v>4840</v>
      </c>
      <c r="I856" t="s">
        <v>19</v>
      </c>
      <c r="J856">
        <v>114.24</v>
      </c>
      <c r="K856">
        <v>22.11</v>
      </c>
      <c r="L856">
        <v>56528</v>
      </c>
      <c r="M856" t="s">
        <v>153</v>
      </c>
      <c r="N856" t="str">
        <f t="shared" si="51"/>
        <v>215179-17/19</v>
      </c>
      <c r="O856">
        <v>230627</v>
      </c>
    </row>
    <row r="857" spans="1:15" x14ac:dyDescent="0.25">
      <c r="A857" t="s">
        <v>16</v>
      </c>
      <c r="B857" t="s">
        <v>3221</v>
      </c>
      <c r="C857">
        <v>9109</v>
      </c>
      <c r="D857" t="s">
        <v>448</v>
      </c>
      <c r="E857" t="s">
        <v>449</v>
      </c>
      <c r="F857">
        <v>84.69</v>
      </c>
      <c r="G857">
        <v>230701</v>
      </c>
      <c r="H857">
        <v>4840</v>
      </c>
      <c r="I857" t="s">
        <v>19</v>
      </c>
      <c r="J857">
        <v>105.02</v>
      </c>
      <c r="K857">
        <v>20.329999999999998</v>
      </c>
      <c r="L857">
        <v>59701</v>
      </c>
      <c r="M857" t="s">
        <v>297</v>
      </c>
      <c r="N857" t="str">
        <f t="shared" si="51"/>
        <v>215179-17/19</v>
      </c>
      <c r="O857">
        <v>230627</v>
      </c>
    </row>
    <row r="858" spans="1:15" x14ac:dyDescent="0.25">
      <c r="A858" t="s">
        <v>16</v>
      </c>
      <c r="B858" t="s">
        <v>3221</v>
      </c>
      <c r="C858">
        <v>9109</v>
      </c>
      <c r="D858" t="s">
        <v>448</v>
      </c>
      <c r="E858" t="s">
        <v>449</v>
      </c>
      <c r="F858">
        <v>6.49</v>
      </c>
      <c r="G858">
        <v>230701</v>
      </c>
      <c r="H858">
        <v>4840</v>
      </c>
      <c r="I858" t="s">
        <v>19</v>
      </c>
      <c r="J858">
        <v>8.0500000000000007</v>
      </c>
      <c r="K858">
        <v>1.56</v>
      </c>
      <c r="L858">
        <v>59704</v>
      </c>
      <c r="M858" t="s">
        <v>1103</v>
      </c>
      <c r="N858" t="str">
        <f t="shared" si="51"/>
        <v>215179-17/19</v>
      </c>
      <c r="O858">
        <v>230627</v>
      </c>
    </row>
    <row r="859" spans="1:15" x14ac:dyDescent="0.25">
      <c r="A859" t="s">
        <v>16</v>
      </c>
      <c r="B859" t="s">
        <v>3221</v>
      </c>
      <c r="C859">
        <v>9199</v>
      </c>
      <c r="D859" t="s">
        <v>448</v>
      </c>
      <c r="E859" t="s">
        <v>449</v>
      </c>
      <c r="F859">
        <v>39.119999999999997</v>
      </c>
      <c r="G859">
        <v>230701</v>
      </c>
      <c r="H859">
        <v>4840</v>
      </c>
      <c r="I859" t="s">
        <v>19</v>
      </c>
      <c r="J859">
        <v>48.51</v>
      </c>
      <c r="K859">
        <v>9.39</v>
      </c>
      <c r="L859">
        <v>11601</v>
      </c>
      <c r="M859" t="s">
        <v>535</v>
      </c>
      <c r="N859" t="str">
        <f t="shared" ref="N859:N888" si="52">"215179-19/19"</f>
        <v>215179-19/19</v>
      </c>
      <c r="O859">
        <v>230629</v>
      </c>
    </row>
    <row r="860" spans="1:15" x14ac:dyDescent="0.25">
      <c r="A860" t="s">
        <v>16</v>
      </c>
      <c r="B860" t="s">
        <v>3221</v>
      </c>
      <c r="C860">
        <v>9199</v>
      </c>
      <c r="D860" t="s">
        <v>448</v>
      </c>
      <c r="E860" t="s">
        <v>449</v>
      </c>
      <c r="F860">
        <v>366.13</v>
      </c>
      <c r="G860">
        <v>230701</v>
      </c>
      <c r="H860">
        <v>4840</v>
      </c>
      <c r="I860" t="s">
        <v>19</v>
      </c>
      <c r="J860">
        <v>454</v>
      </c>
      <c r="K860">
        <v>87.87</v>
      </c>
      <c r="L860">
        <v>54222</v>
      </c>
      <c r="M860" t="s">
        <v>308</v>
      </c>
      <c r="N860" t="str">
        <f t="shared" si="52"/>
        <v>215179-19/19</v>
      </c>
      <c r="O860">
        <v>230629</v>
      </c>
    </row>
    <row r="861" spans="1:15" x14ac:dyDescent="0.25">
      <c r="A861" t="s">
        <v>16</v>
      </c>
      <c r="B861" t="s">
        <v>3221</v>
      </c>
      <c r="C861">
        <v>9199</v>
      </c>
      <c r="D861" t="s">
        <v>448</v>
      </c>
      <c r="E861" t="s">
        <v>449</v>
      </c>
      <c r="F861">
        <v>858.12</v>
      </c>
      <c r="G861">
        <v>230701</v>
      </c>
      <c r="H861">
        <v>4840</v>
      </c>
      <c r="I861" t="s">
        <v>19</v>
      </c>
      <c r="J861">
        <v>1064.07</v>
      </c>
      <c r="K861">
        <v>205.95</v>
      </c>
      <c r="L861">
        <v>54222</v>
      </c>
      <c r="M861" t="s">
        <v>308</v>
      </c>
      <c r="N861" t="str">
        <f t="shared" si="52"/>
        <v>215179-19/19</v>
      </c>
      <c r="O861">
        <v>230629</v>
      </c>
    </row>
    <row r="862" spans="1:15" x14ac:dyDescent="0.25">
      <c r="A862" t="s">
        <v>16</v>
      </c>
      <c r="B862" t="s">
        <v>3221</v>
      </c>
      <c r="C862">
        <v>9199</v>
      </c>
      <c r="D862" t="s">
        <v>448</v>
      </c>
      <c r="E862" t="s">
        <v>449</v>
      </c>
      <c r="F862">
        <v>33.71</v>
      </c>
      <c r="G862">
        <v>230701</v>
      </c>
      <c r="H862">
        <v>4840</v>
      </c>
      <c r="I862" t="s">
        <v>19</v>
      </c>
      <c r="J862">
        <v>41.8</v>
      </c>
      <c r="K862">
        <v>8.09</v>
      </c>
      <c r="L862">
        <v>54222</v>
      </c>
      <c r="M862" t="s">
        <v>308</v>
      </c>
      <c r="N862" t="str">
        <f t="shared" si="52"/>
        <v>215179-19/19</v>
      </c>
      <c r="O862">
        <v>230629</v>
      </c>
    </row>
    <row r="863" spans="1:15" x14ac:dyDescent="0.25">
      <c r="A863" t="s">
        <v>16</v>
      </c>
      <c r="B863" t="s">
        <v>3221</v>
      </c>
      <c r="C863">
        <v>9199</v>
      </c>
      <c r="D863" t="s">
        <v>448</v>
      </c>
      <c r="E863" t="s">
        <v>449</v>
      </c>
      <c r="F863">
        <v>26.01</v>
      </c>
      <c r="G863">
        <v>230701</v>
      </c>
      <c r="H863">
        <v>4840</v>
      </c>
      <c r="I863" t="s">
        <v>19</v>
      </c>
      <c r="J863">
        <v>32.25</v>
      </c>
      <c r="K863">
        <v>6.24</v>
      </c>
      <c r="L863">
        <v>54252</v>
      </c>
      <c r="M863" t="s">
        <v>534</v>
      </c>
      <c r="N863" t="str">
        <f t="shared" si="52"/>
        <v>215179-19/19</v>
      </c>
      <c r="O863">
        <v>230629</v>
      </c>
    </row>
    <row r="864" spans="1:15" x14ac:dyDescent="0.25">
      <c r="A864" t="s">
        <v>16</v>
      </c>
      <c r="B864" t="s">
        <v>3221</v>
      </c>
      <c r="C864">
        <v>9199</v>
      </c>
      <c r="D864" t="s">
        <v>448</v>
      </c>
      <c r="E864" t="s">
        <v>449</v>
      </c>
      <c r="F864">
        <v>86.64</v>
      </c>
      <c r="G864">
        <v>230701</v>
      </c>
      <c r="H864">
        <v>4840</v>
      </c>
      <c r="I864" t="s">
        <v>19</v>
      </c>
      <c r="J864">
        <v>107.43</v>
      </c>
      <c r="K864">
        <v>20.79</v>
      </c>
      <c r="L864">
        <v>54422</v>
      </c>
      <c r="M864" t="s">
        <v>234</v>
      </c>
      <c r="N864" t="str">
        <f t="shared" si="52"/>
        <v>215179-19/19</v>
      </c>
      <c r="O864">
        <v>230629</v>
      </c>
    </row>
    <row r="865" spans="1:15" x14ac:dyDescent="0.25">
      <c r="A865" t="s">
        <v>16</v>
      </c>
      <c r="B865" t="s">
        <v>3221</v>
      </c>
      <c r="C865">
        <v>9199</v>
      </c>
      <c r="D865" t="s">
        <v>448</v>
      </c>
      <c r="E865" t="s">
        <v>449</v>
      </c>
      <c r="F865">
        <v>810.31</v>
      </c>
      <c r="G865">
        <v>230701</v>
      </c>
      <c r="H865">
        <v>4840</v>
      </c>
      <c r="I865" t="s">
        <v>19</v>
      </c>
      <c r="J865">
        <v>1004.78</v>
      </c>
      <c r="K865">
        <v>194.47</v>
      </c>
      <c r="L865">
        <v>54422</v>
      </c>
      <c r="M865" t="s">
        <v>234</v>
      </c>
      <c r="N865" t="str">
        <f t="shared" si="52"/>
        <v>215179-19/19</v>
      </c>
      <c r="O865">
        <v>230629</v>
      </c>
    </row>
    <row r="866" spans="1:15" x14ac:dyDescent="0.25">
      <c r="A866" t="s">
        <v>16</v>
      </c>
      <c r="B866" t="s">
        <v>3221</v>
      </c>
      <c r="C866">
        <v>9199</v>
      </c>
      <c r="D866" t="s">
        <v>448</v>
      </c>
      <c r="E866" t="s">
        <v>449</v>
      </c>
      <c r="F866">
        <v>67.42</v>
      </c>
      <c r="G866">
        <v>230701</v>
      </c>
      <c r="H866">
        <v>4840</v>
      </c>
      <c r="I866" t="s">
        <v>19</v>
      </c>
      <c r="J866">
        <v>83.6</v>
      </c>
      <c r="K866">
        <v>16.18</v>
      </c>
      <c r="L866">
        <v>54422</v>
      </c>
      <c r="M866" t="s">
        <v>234</v>
      </c>
      <c r="N866" t="str">
        <f t="shared" si="52"/>
        <v>215179-19/19</v>
      </c>
      <c r="O866">
        <v>230629</v>
      </c>
    </row>
    <row r="867" spans="1:15" x14ac:dyDescent="0.25">
      <c r="A867" t="s">
        <v>16</v>
      </c>
      <c r="B867" t="s">
        <v>3221</v>
      </c>
      <c r="C867">
        <v>9199</v>
      </c>
      <c r="D867" t="s">
        <v>448</v>
      </c>
      <c r="E867" t="s">
        <v>449</v>
      </c>
      <c r="F867">
        <v>156.47999999999999</v>
      </c>
      <c r="G867">
        <v>230701</v>
      </c>
      <c r="H867">
        <v>4840</v>
      </c>
      <c r="I867" t="s">
        <v>19</v>
      </c>
      <c r="J867">
        <v>194.04</v>
      </c>
      <c r="K867">
        <v>37.56</v>
      </c>
      <c r="L867">
        <v>56526</v>
      </c>
      <c r="M867" t="s">
        <v>1217</v>
      </c>
      <c r="N867" t="str">
        <f t="shared" si="52"/>
        <v>215179-19/19</v>
      </c>
      <c r="O867">
        <v>230629</v>
      </c>
    </row>
    <row r="868" spans="1:15" x14ac:dyDescent="0.25">
      <c r="A868" t="s">
        <v>16</v>
      </c>
      <c r="B868" t="s">
        <v>3221</v>
      </c>
      <c r="C868">
        <v>9199</v>
      </c>
      <c r="D868" t="s">
        <v>448</v>
      </c>
      <c r="E868" t="s">
        <v>449</v>
      </c>
      <c r="F868">
        <v>1008.56</v>
      </c>
      <c r="G868">
        <v>230701</v>
      </c>
      <c r="H868">
        <v>4840</v>
      </c>
      <c r="I868" t="s">
        <v>19</v>
      </c>
      <c r="J868">
        <v>1250.6099999999999</v>
      </c>
      <c r="K868">
        <v>242.05</v>
      </c>
      <c r="L868">
        <v>56558</v>
      </c>
      <c r="M868" t="s">
        <v>217</v>
      </c>
      <c r="N868" t="str">
        <f t="shared" si="52"/>
        <v>215179-19/19</v>
      </c>
      <c r="O868">
        <v>230629</v>
      </c>
    </row>
    <row r="869" spans="1:15" x14ac:dyDescent="0.25">
      <c r="A869" t="s">
        <v>16</v>
      </c>
      <c r="B869" t="s">
        <v>3221</v>
      </c>
      <c r="C869">
        <v>9199</v>
      </c>
      <c r="D869" t="s">
        <v>448</v>
      </c>
      <c r="E869" t="s">
        <v>449</v>
      </c>
      <c r="F869">
        <v>1185.82</v>
      </c>
      <c r="G869">
        <v>230701</v>
      </c>
      <c r="H869">
        <v>4840</v>
      </c>
      <c r="I869" t="s">
        <v>19</v>
      </c>
      <c r="J869">
        <v>1470.42</v>
      </c>
      <c r="K869">
        <v>284.60000000000002</v>
      </c>
      <c r="L869">
        <v>56559</v>
      </c>
      <c r="M869" t="s">
        <v>129</v>
      </c>
      <c r="N869" t="str">
        <f t="shared" si="52"/>
        <v>215179-19/19</v>
      </c>
      <c r="O869">
        <v>230629</v>
      </c>
    </row>
    <row r="870" spans="1:15" x14ac:dyDescent="0.25">
      <c r="A870" t="s">
        <v>16</v>
      </c>
      <c r="B870" t="s">
        <v>3221</v>
      </c>
      <c r="C870">
        <v>9199</v>
      </c>
      <c r="D870" t="s">
        <v>448</v>
      </c>
      <c r="E870" t="s">
        <v>449</v>
      </c>
      <c r="F870">
        <v>1156.18</v>
      </c>
      <c r="G870">
        <v>230701</v>
      </c>
      <c r="H870">
        <v>4840</v>
      </c>
      <c r="I870" t="s">
        <v>19</v>
      </c>
      <c r="J870">
        <v>1433.66</v>
      </c>
      <c r="K870">
        <v>277.48</v>
      </c>
      <c r="L870">
        <v>56560</v>
      </c>
      <c r="M870" t="s">
        <v>654</v>
      </c>
      <c r="N870" t="str">
        <f t="shared" si="52"/>
        <v>215179-19/19</v>
      </c>
      <c r="O870">
        <v>230629</v>
      </c>
    </row>
    <row r="871" spans="1:15" x14ac:dyDescent="0.25">
      <c r="A871" t="s">
        <v>16</v>
      </c>
      <c r="B871" t="s">
        <v>3221</v>
      </c>
      <c r="C871">
        <v>9199</v>
      </c>
      <c r="D871" t="s">
        <v>448</v>
      </c>
      <c r="E871" t="s">
        <v>449</v>
      </c>
      <c r="F871">
        <v>148.1</v>
      </c>
      <c r="G871">
        <v>230701</v>
      </c>
      <c r="H871">
        <v>4840</v>
      </c>
      <c r="I871" t="s">
        <v>19</v>
      </c>
      <c r="J871">
        <v>183.64</v>
      </c>
      <c r="K871">
        <v>35.54</v>
      </c>
      <c r="L871">
        <v>56561</v>
      </c>
      <c r="M871" t="s">
        <v>358</v>
      </c>
      <c r="N871" t="str">
        <f t="shared" si="52"/>
        <v>215179-19/19</v>
      </c>
      <c r="O871">
        <v>230629</v>
      </c>
    </row>
    <row r="872" spans="1:15" x14ac:dyDescent="0.25">
      <c r="A872" t="s">
        <v>16</v>
      </c>
      <c r="B872" t="s">
        <v>3221</v>
      </c>
      <c r="C872">
        <v>9199</v>
      </c>
      <c r="D872" t="s">
        <v>448</v>
      </c>
      <c r="E872" t="s">
        <v>449</v>
      </c>
      <c r="F872">
        <v>614.88</v>
      </c>
      <c r="G872">
        <v>230701</v>
      </c>
      <c r="H872">
        <v>4840</v>
      </c>
      <c r="I872" t="s">
        <v>19</v>
      </c>
      <c r="J872">
        <v>762.45</v>
      </c>
      <c r="K872">
        <v>147.57</v>
      </c>
      <c r="L872">
        <v>56562</v>
      </c>
      <c r="M872" t="s">
        <v>126</v>
      </c>
      <c r="N872" t="str">
        <f t="shared" si="52"/>
        <v>215179-19/19</v>
      </c>
      <c r="O872">
        <v>230629</v>
      </c>
    </row>
    <row r="873" spans="1:15" x14ac:dyDescent="0.25">
      <c r="A873" t="s">
        <v>16</v>
      </c>
      <c r="B873" t="s">
        <v>3221</v>
      </c>
      <c r="C873">
        <v>9199</v>
      </c>
      <c r="D873" t="s">
        <v>448</v>
      </c>
      <c r="E873" t="s">
        <v>449</v>
      </c>
      <c r="F873">
        <v>166.54</v>
      </c>
      <c r="G873">
        <v>230701</v>
      </c>
      <c r="H873">
        <v>4840</v>
      </c>
      <c r="I873" t="s">
        <v>19</v>
      </c>
      <c r="J873">
        <v>206.51</v>
      </c>
      <c r="K873">
        <v>39.97</v>
      </c>
      <c r="L873">
        <v>56563</v>
      </c>
      <c r="M873" t="s">
        <v>953</v>
      </c>
      <c r="N873" t="str">
        <f t="shared" si="52"/>
        <v>215179-19/19</v>
      </c>
      <c r="O873">
        <v>230629</v>
      </c>
    </row>
    <row r="874" spans="1:15" x14ac:dyDescent="0.25">
      <c r="A874" t="s">
        <v>16</v>
      </c>
      <c r="B874" t="s">
        <v>3221</v>
      </c>
      <c r="C874">
        <v>9199</v>
      </c>
      <c r="D874" t="s">
        <v>448</v>
      </c>
      <c r="E874" t="s">
        <v>449</v>
      </c>
      <c r="F874">
        <v>130.76</v>
      </c>
      <c r="G874">
        <v>230701</v>
      </c>
      <c r="H874">
        <v>4840</v>
      </c>
      <c r="I874" t="s">
        <v>19</v>
      </c>
      <c r="J874">
        <v>162.13999999999999</v>
      </c>
      <c r="K874">
        <v>31.38</v>
      </c>
      <c r="L874">
        <v>56564</v>
      </c>
      <c r="M874" t="s">
        <v>327</v>
      </c>
      <c r="N874" t="str">
        <f t="shared" si="52"/>
        <v>215179-19/19</v>
      </c>
      <c r="O874">
        <v>230629</v>
      </c>
    </row>
    <row r="875" spans="1:15" x14ac:dyDescent="0.25">
      <c r="A875" t="s">
        <v>16</v>
      </c>
      <c r="B875" t="s">
        <v>3221</v>
      </c>
      <c r="C875">
        <v>9199</v>
      </c>
      <c r="D875" t="s">
        <v>448</v>
      </c>
      <c r="E875" t="s">
        <v>449</v>
      </c>
      <c r="F875">
        <v>74.03</v>
      </c>
      <c r="G875">
        <v>230701</v>
      </c>
      <c r="H875">
        <v>4840</v>
      </c>
      <c r="I875" t="s">
        <v>19</v>
      </c>
      <c r="J875">
        <v>91.8</v>
      </c>
      <c r="K875">
        <v>17.77</v>
      </c>
      <c r="L875">
        <v>56565</v>
      </c>
      <c r="M875" t="s">
        <v>758</v>
      </c>
      <c r="N875" t="str">
        <f t="shared" si="52"/>
        <v>215179-19/19</v>
      </c>
      <c r="O875">
        <v>230629</v>
      </c>
    </row>
    <row r="876" spans="1:15" x14ac:dyDescent="0.25">
      <c r="A876" t="s">
        <v>16</v>
      </c>
      <c r="B876" t="s">
        <v>3221</v>
      </c>
      <c r="C876">
        <v>9199</v>
      </c>
      <c r="D876" t="s">
        <v>448</v>
      </c>
      <c r="E876" t="s">
        <v>449</v>
      </c>
      <c r="F876">
        <v>2401.42</v>
      </c>
      <c r="G876">
        <v>230701</v>
      </c>
      <c r="H876">
        <v>4840</v>
      </c>
      <c r="I876" t="s">
        <v>19</v>
      </c>
      <c r="J876">
        <v>2977.76</v>
      </c>
      <c r="K876">
        <v>576.34</v>
      </c>
      <c r="L876">
        <v>56566</v>
      </c>
      <c r="M876" t="s">
        <v>652</v>
      </c>
      <c r="N876" t="str">
        <f t="shared" si="52"/>
        <v>215179-19/19</v>
      </c>
      <c r="O876">
        <v>230629</v>
      </c>
    </row>
    <row r="877" spans="1:15" x14ac:dyDescent="0.25">
      <c r="A877" t="s">
        <v>16</v>
      </c>
      <c r="B877" t="s">
        <v>3221</v>
      </c>
      <c r="C877">
        <v>9199</v>
      </c>
      <c r="D877" t="s">
        <v>448</v>
      </c>
      <c r="E877" t="s">
        <v>449</v>
      </c>
      <c r="F877">
        <v>404.52</v>
      </c>
      <c r="G877">
        <v>230701</v>
      </c>
      <c r="H877">
        <v>4840</v>
      </c>
      <c r="I877" t="s">
        <v>19</v>
      </c>
      <c r="J877">
        <v>501.6</v>
      </c>
      <c r="K877">
        <v>97.08</v>
      </c>
      <c r="L877">
        <v>56566</v>
      </c>
      <c r="M877" t="s">
        <v>652</v>
      </c>
      <c r="N877" t="str">
        <f t="shared" si="52"/>
        <v>215179-19/19</v>
      </c>
      <c r="O877">
        <v>230629</v>
      </c>
    </row>
    <row r="878" spans="1:15" x14ac:dyDescent="0.25">
      <c r="A878" t="s">
        <v>16</v>
      </c>
      <c r="B878" t="s">
        <v>3221</v>
      </c>
      <c r="C878">
        <v>9199</v>
      </c>
      <c r="D878" t="s">
        <v>448</v>
      </c>
      <c r="E878" t="s">
        <v>449</v>
      </c>
      <c r="F878">
        <v>653.54999999999995</v>
      </c>
      <c r="G878">
        <v>230701</v>
      </c>
      <c r="H878">
        <v>4840</v>
      </c>
      <c r="I878" t="s">
        <v>19</v>
      </c>
      <c r="J878">
        <v>810.4</v>
      </c>
      <c r="K878">
        <v>156.85</v>
      </c>
      <c r="L878">
        <v>58601</v>
      </c>
      <c r="M878" t="s">
        <v>251</v>
      </c>
      <c r="N878" t="str">
        <f t="shared" si="52"/>
        <v>215179-19/19</v>
      </c>
      <c r="O878">
        <v>230629</v>
      </c>
    </row>
    <row r="879" spans="1:15" x14ac:dyDescent="0.25">
      <c r="A879" t="s">
        <v>16</v>
      </c>
      <c r="B879" t="s">
        <v>3221</v>
      </c>
      <c r="C879">
        <v>9199</v>
      </c>
      <c r="D879" t="s">
        <v>448</v>
      </c>
      <c r="E879" t="s">
        <v>449</v>
      </c>
      <c r="F879">
        <v>59.07</v>
      </c>
      <c r="G879">
        <v>230701</v>
      </c>
      <c r="H879">
        <v>4840</v>
      </c>
      <c r="I879" t="s">
        <v>19</v>
      </c>
      <c r="J879">
        <v>73.25</v>
      </c>
      <c r="K879">
        <v>14.18</v>
      </c>
      <c r="L879">
        <v>59111</v>
      </c>
      <c r="M879" t="s">
        <v>1010</v>
      </c>
      <c r="N879" t="str">
        <f t="shared" si="52"/>
        <v>215179-19/19</v>
      </c>
      <c r="O879">
        <v>230629</v>
      </c>
    </row>
    <row r="880" spans="1:15" x14ac:dyDescent="0.25">
      <c r="A880" t="s">
        <v>16</v>
      </c>
      <c r="B880" t="s">
        <v>3221</v>
      </c>
      <c r="C880">
        <v>9199</v>
      </c>
      <c r="D880" t="s">
        <v>448</v>
      </c>
      <c r="E880" t="s">
        <v>449</v>
      </c>
      <c r="F880">
        <v>33.06</v>
      </c>
      <c r="G880">
        <v>230701</v>
      </c>
      <c r="H880">
        <v>4840</v>
      </c>
      <c r="I880" t="s">
        <v>19</v>
      </c>
      <c r="J880">
        <v>40.99</v>
      </c>
      <c r="K880">
        <v>7.93</v>
      </c>
      <c r="L880">
        <v>59113</v>
      </c>
      <c r="M880" t="s">
        <v>235</v>
      </c>
      <c r="N880" t="str">
        <f t="shared" si="52"/>
        <v>215179-19/19</v>
      </c>
      <c r="O880">
        <v>230629</v>
      </c>
    </row>
    <row r="881" spans="1:15" x14ac:dyDescent="0.25">
      <c r="A881" t="s">
        <v>16</v>
      </c>
      <c r="B881" t="s">
        <v>3221</v>
      </c>
      <c r="C881">
        <v>9199</v>
      </c>
      <c r="D881" t="s">
        <v>448</v>
      </c>
      <c r="E881" t="s">
        <v>449</v>
      </c>
      <c r="F881">
        <v>32.32</v>
      </c>
      <c r="G881">
        <v>230701</v>
      </c>
      <c r="H881">
        <v>4840</v>
      </c>
      <c r="I881" t="s">
        <v>19</v>
      </c>
      <c r="J881">
        <v>40.08</v>
      </c>
      <c r="K881">
        <v>7.76</v>
      </c>
      <c r="L881">
        <v>59501</v>
      </c>
      <c r="M881" t="s">
        <v>69</v>
      </c>
      <c r="N881" t="str">
        <f t="shared" si="52"/>
        <v>215179-19/19</v>
      </c>
      <c r="O881">
        <v>230629</v>
      </c>
    </row>
    <row r="882" spans="1:15" x14ac:dyDescent="0.25">
      <c r="A882" t="s">
        <v>16</v>
      </c>
      <c r="B882" t="s">
        <v>3221</v>
      </c>
      <c r="C882">
        <v>9199</v>
      </c>
      <c r="D882" t="s">
        <v>448</v>
      </c>
      <c r="E882" t="s">
        <v>449</v>
      </c>
      <c r="F882">
        <v>198.49</v>
      </c>
      <c r="G882">
        <v>230701</v>
      </c>
      <c r="H882">
        <v>4840</v>
      </c>
      <c r="I882" t="s">
        <v>19</v>
      </c>
      <c r="J882">
        <v>246.13</v>
      </c>
      <c r="K882">
        <v>47.64</v>
      </c>
      <c r="L882">
        <v>59502</v>
      </c>
      <c r="M882" t="s">
        <v>70</v>
      </c>
      <c r="N882" t="str">
        <f t="shared" si="52"/>
        <v>215179-19/19</v>
      </c>
      <c r="O882">
        <v>230629</v>
      </c>
    </row>
    <row r="883" spans="1:15" x14ac:dyDescent="0.25">
      <c r="A883" t="s">
        <v>16</v>
      </c>
      <c r="B883" t="s">
        <v>3221</v>
      </c>
      <c r="C883">
        <v>9199</v>
      </c>
      <c r="D883" t="s">
        <v>448</v>
      </c>
      <c r="E883" t="s">
        <v>449</v>
      </c>
      <c r="F883">
        <v>342.18</v>
      </c>
      <c r="G883">
        <v>230701</v>
      </c>
      <c r="H883">
        <v>4840</v>
      </c>
      <c r="I883" t="s">
        <v>19</v>
      </c>
      <c r="J883">
        <v>424.3</v>
      </c>
      <c r="K883">
        <v>82.12</v>
      </c>
      <c r="L883">
        <v>59701</v>
      </c>
      <c r="M883" t="s">
        <v>297</v>
      </c>
      <c r="N883" t="str">
        <f t="shared" si="52"/>
        <v>215179-19/19</v>
      </c>
      <c r="O883">
        <v>230629</v>
      </c>
    </row>
    <row r="884" spans="1:15" x14ac:dyDescent="0.25">
      <c r="A884" t="s">
        <v>16</v>
      </c>
      <c r="B884" t="s">
        <v>3221</v>
      </c>
      <c r="C884">
        <v>9199</v>
      </c>
      <c r="D884" t="s">
        <v>448</v>
      </c>
      <c r="E884" t="s">
        <v>449</v>
      </c>
      <c r="F884">
        <v>85.07</v>
      </c>
      <c r="G884">
        <v>230701</v>
      </c>
      <c r="H884">
        <v>4840</v>
      </c>
      <c r="I884" t="s">
        <v>19</v>
      </c>
      <c r="J884">
        <v>105.49</v>
      </c>
      <c r="K884">
        <v>20.420000000000002</v>
      </c>
      <c r="L884">
        <v>59702</v>
      </c>
      <c r="M884" t="s">
        <v>328</v>
      </c>
      <c r="N884" t="str">
        <f t="shared" si="52"/>
        <v>215179-19/19</v>
      </c>
      <c r="O884">
        <v>230629</v>
      </c>
    </row>
    <row r="885" spans="1:15" x14ac:dyDescent="0.25">
      <c r="A885" t="s">
        <v>16</v>
      </c>
      <c r="B885" t="s">
        <v>3221</v>
      </c>
      <c r="C885">
        <v>9199</v>
      </c>
      <c r="D885" t="s">
        <v>448</v>
      </c>
      <c r="E885" t="s">
        <v>449</v>
      </c>
      <c r="F885">
        <v>699.89</v>
      </c>
      <c r="G885">
        <v>230701</v>
      </c>
      <c r="H885">
        <v>4840</v>
      </c>
      <c r="I885" t="s">
        <v>19</v>
      </c>
      <c r="J885">
        <v>867.86</v>
      </c>
      <c r="K885">
        <v>167.97</v>
      </c>
      <c r="L885">
        <v>59702</v>
      </c>
      <c r="M885" t="s">
        <v>328</v>
      </c>
      <c r="N885" t="str">
        <f t="shared" si="52"/>
        <v>215179-19/19</v>
      </c>
      <c r="O885">
        <v>230629</v>
      </c>
    </row>
    <row r="886" spans="1:15" x14ac:dyDescent="0.25">
      <c r="A886" t="s">
        <v>16</v>
      </c>
      <c r="B886" t="s">
        <v>3221</v>
      </c>
      <c r="C886">
        <v>9199</v>
      </c>
      <c r="D886" t="s">
        <v>448</v>
      </c>
      <c r="E886" t="s">
        <v>449</v>
      </c>
      <c r="F886">
        <v>89.44</v>
      </c>
      <c r="G886">
        <v>230701</v>
      </c>
      <c r="H886">
        <v>4840</v>
      </c>
      <c r="I886" t="s">
        <v>19</v>
      </c>
      <c r="J886">
        <v>110.91</v>
      </c>
      <c r="K886">
        <v>21.47</v>
      </c>
      <c r="L886">
        <v>59704</v>
      </c>
      <c r="M886" t="s">
        <v>1103</v>
      </c>
      <c r="N886" t="str">
        <f t="shared" si="52"/>
        <v>215179-19/19</v>
      </c>
      <c r="O886">
        <v>230629</v>
      </c>
    </row>
    <row r="887" spans="1:15" x14ac:dyDescent="0.25">
      <c r="A887" t="s">
        <v>16</v>
      </c>
      <c r="B887" t="s">
        <v>3221</v>
      </c>
      <c r="C887">
        <v>9199</v>
      </c>
      <c r="D887" t="s">
        <v>448</v>
      </c>
      <c r="E887" t="s">
        <v>449</v>
      </c>
      <c r="F887">
        <v>26.72</v>
      </c>
      <c r="G887">
        <v>230701</v>
      </c>
      <c r="H887">
        <v>4840</v>
      </c>
      <c r="I887" t="s">
        <v>19</v>
      </c>
      <c r="J887">
        <v>33.130000000000003</v>
      </c>
      <c r="K887">
        <v>6.41</v>
      </c>
      <c r="L887">
        <v>59705</v>
      </c>
      <c r="M887" t="s">
        <v>843</v>
      </c>
      <c r="N887" t="str">
        <f t="shared" si="52"/>
        <v>215179-19/19</v>
      </c>
      <c r="O887">
        <v>230629</v>
      </c>
    </row>
    <row r="888" spans="1:15" x14ac:dyDescent="0.25">
      <c r="A888" t="s">
        <v>16</v>
      </c>
      <c r="B888" t="s">
        <v>3221</v>
      </c>
      <c r="C888">
        <v>9199</v>
      </c>
      <c r="D888" t="s">
        <v>448</v>
      </c>
      <c r="E888" t="s">
        <v>449</v>
      </c>
      <c r="F888">
        <v>25.41</v>
      </c>
      <c r="G888">
        <v>230701</v>
      </c>
      <c r="H888">
        <v>4840</v>
      </c>
      <c r="I888" t="s">
        <v>19</v>
      </c>
      <c r="J888">
        <v>31.51</v>
      </c>
      <c r="K888">
        <v>6.1</v>
      </c>
      <c r="L888">
        <v>59815</v>
      </c>
      <c r="M888" t="s">
        <v>1182</v>
      </c>
      <c r="N888" t="str">
        <f t="shared" si="52"/>
        <v>215179-19/19</v>
      </c>
      <c r="O888">
        <v>230629</v>
      </c>
    </row>
    <row r="889" spans="1:15" x14ac:dyDescent="0.25">
      <c r="A889" t="s">
        <v>16</v>
      </c>
      <c r="B889" t="s">
        <v>3221</v>
      </c>
      <c r="C889">
        <v>12215</v>
      </c>
      <c r="D889" t="s">
        <v>448</v>
      </c>
      <c r="E889" t="s">
        <v>449</v>
      </c>
      <c r="F889">
        <v>86.64</v>
      </c>
      <c r="G889">
        <v>231001</v>
      </c>
      <c r="H889">
        <v>4840</v>
      </c>
      <c r="I889" t="s">
        <v>19</v>
      </c>
      <c r="J889">
        <v>107.43</v>
      </c>
      <c r="K889">
        <v>20.79</v>
      </c>
      <c r="L889">
        <v>54222</v>
      </c>
      <c r="M889" t="s">
        <v>308</v>
      </c>
      <c r="N889" t="str">
        <f t="shared" ref="N889:N917" si="53">"323492-19/19"</f>
        <v>323492-19/19</v>
      </c>
      <c r="O889">
        <v>230915</v>
      </c>
    </row>
    <row r="890" spans="1:15" x14ac:dyDescent="0.25">
      <c r="A890" t="s">
        <v>16</v>
      </c>
      <c r="B890" t="s">
        <v>3221</v>
      </c>
      <c r="C890">
        <v>12215</v>
      </c>
      <c r="D890" t="s">
        <v>448</v>
      </c>
      <c r="E890" t="s">
        <v>449</v>
      </c>
      <c r="F890">
        <v>366.13</v>
      </c>
      <c r="G890">
        <v>231001</v>
      </c>
      <c r="H890">
        <v>4840</v>
      </c>
      <c r="I890" t="s">
        <v>19</v>
      </c>
      <c r="J890">
        <v>454</v>
      </c>
      <c r="K890">
        <v>87.87</v>
      </c>
      <c r="L890">
        <v>54222</v>
      </c>
      <c r="M890" t="s">
        <v>308</v>
      </c>
      <c r="N890" t="str">
        <f t="shared" si="53"/>
        <v>323492-19/19</v>
      </c>
      <c r="O890">
        <v>230915</v>
      </c>
    </row>
    <row r="891" spans="1:15" x14ac:dyDescent="0.25">
      <c r="A891" t="s">
        <v>16</v>
      </c>
      <c r="B891" t="s">
        <v>3221</v>
      </c>
      <c r="C891">
        <v>12215</v>
      </c>
      <c r="D891" t="s">
        <v>448</v>
      </c>
      <c r="E891" t="s">
        <v>449</v>
      </c>
      <c r="F891">
        <v>851.63</v>
      </c>
      <c r="G891">
        <v>231001</v>
      </c>
      <c r="H891">
        <v>4840</v>
      </c>
      <c r="I891" t="s">
        <v>19</v>
      </c>
      <c r="J891">
        <v>1056.02</v>
      </c>
      <c r="K891">
        <v>204.39</v>
      </c>
      <c r="L891">
        <v>54222</v>
      </c>
      <c r="M891" t="s">
        <v>308</v>
      </c>
      <c r="N891" t="str">
        <f t="shared" si="53"/>
        <v>323492-19/19</v>
      </c>
      <c r="O891">
        <v>230915</v>
      </c>
    </row>
    <row r="892" spans="1:15" x14ac:dyDescent="0.25">
      <c r="A892" t="s">
        <v>16</v>
      </c>
      <c r="B892" t="s">
        <v>3221</v>
      </c>
      <c r="C892">
        <v>12215</v>
      </c>
      <c r="D892" t="s">
        <v>448</v>
      </c>
      <c r="E892" t="s">
        <v>449</v>
      </c>
      <c r="F892">
        <v>33.71</v>
      </c>
      <c r="G892">
        <v>231001</v>
      </c>
      <c r="H892">
        <v>4840</v>
      </c>
      <c r="I892" t="s">
        <v>19</v>
      </c>
      <c r="J892">
        <v>41.8</v>
      </c>
      <c r="K892">
        <v>8.09</v>
      </c>
      <c r="L892">
        <v>54222</v>
      </c>
      <c r="M892" t="s">
        <v>308</v>
      </c>
      <c r="N892" t="str">
        <f t="shared" si="53"/>
        <v>323492-19/19</v>
      </c>
      <c r="O892">
        <v>230915</v>
      </c>
    </row>
    <row r="893" spans="1:15" x14ac:dyDescent="0.25">
      <c r="A893" t="s">
        <v>16</v>
      </c>
      <c r="B893" t="s">
        <v>3221</v>
      </c>
      <c r="C893">
        <v>12215</v>
      </c>
      <c r="D893" t="s">
        <v>448</v>
      </c>
      <c r="E893" t="s">
        <v>449</v>
      </c>
      <c r="F893">
        <v>26.01</v>
      </c>
      <c r="G893">
        <v>231001</v>
      </c>
      <c r="H893">
        <v>4840</v>
      </c>
      <c r="I893" t="s">
        <v>19</v>
      </c>
      <c r="J893">
        <v>32.25</v>
      </c>
      <c r="K893">
        <v>6.24</v>
      </c>
      <c r="L893">
        <v>54252</v>
      </c>
      <c r="M893" t="s">
        <v>534</v>
      </c>
      <c r="N893" t="str">
        <f t="shared" si="53"/>
        <v>323492-19/19</v>
      </c>
      <c r="O893">
        <v>230915</v>
      </c>
    </row>
    <row r="894" spans="1:15" x14ac:dyDescent="0.25">
      <c r="A894" t="s">
        <v>16</v>
      </c>
      <c r="B894" t="s">
        <v>3221</v>
      </c>
      <c r="C894">
        <v>12215</v>
      </c>
      <c r="D894" t="s">
        <v>448</v>
      </c>
      <c r="E894" t="s">
        <v>449</v>
      </c>
      <c r="F894">
        <v>810.31</v>
      </c>
      <c r="G894">
        <v>231001</v>
      </c>
      <c r="H894">
        <v>4840</v>
      </c>
      <c r="I894" t="s">
        <v>19</v>
      </c>
      <c r="J894">
        <v>1004.78</v>
      </c>
      <c r="K894">
        <v>194.47</v>
      </c>
      <c r="L894">
        <v>54422</v>
      </c>
      <c r="M894" t="s">
        <v>234</v>
      </c>
      <c r="N894" t="str">
        <f t="shared" si="53"/>
        <v>323492-19/19</v>
      </c>
      <c r="O894">
        <v>230915</v>
      </c>
    </row>
    <row r="895" spans="1:15" x14ac:dyDescent="0.25">
      <c r="A895" t="s">
        <v>16</v>
      </c>
      <c r="B895" t="s">
        <v>3221</v>
      </c>
      <c r="C895">
        <v>12215</v>
      </c>
      <c r="D895" t="s">
        <v>448</v>
      </c>
      <c r="E895" t="s">
        <v>449</v>
      </c>
      <c r="F895">
        <v>67.42</v>
      </c>
      <c r="G895">
        <v>231001</v>
      </c>
      <c r="H895">
        <v>4840</v>
      </c>
      <c r="I895" t="s">
        <v>19</v>
      </c>
      <c r="J895">
        <v>83.6</v>
      </c>
      <c r="K895">
        <v>16.18</v>
      </c>
      <c r="L895">
        <v>54422</v>
      </c>
      <c r="M895" t="s">
        <v>234</v>
      </c>
      <c r="N895" t="str">
        <f t="shared" si="53"/>
        <v>323492-19/19</v>
      </c>
      <c r="O895">
        <v>230915</v>
      </c>
    </row>
    <row r="896" spans="1:15" x14ac:dyDescent="0.25">
      <c r="A896" t="s">
        <v>16</v>
      </c>
      <c r="B896" t="s">
        <v>3221</v>
      </c>
      <c r="C896">
        <v>12215</v>
      </c>
      <c r="D896" t="s">
        <v>448</v>
      </c>
      <c r="E896" t="s">
        <v>449</v>
      </c>
      <c r="F896">
        <v>117.36</v>
      </c>
      <c r="G896">
        <v>231001</v>
      </c>
      <c r="H896">
        <v>4840</v>
      </c>
      <c r="I896" t="s">
        <v>19</v>
      </c>
      <c r="J896">
        <v>145.53</v>
      </c>
      <c r="K896">
        <v>28.17</v>
      </c>
      <c r="L896">
        <v>56526</v>
      </c>
      <c r="M896" t="s">
        <v>1217</v>
      </c>
      <c r="N896" t="str">
        <f t="shared" si="53"/>
        <v>323492-19/19</v>
      </c>
      <c r="O896">
        <v>230915</v>
      </c>
    </row>
    <row r="897" spans="1:15" x14ac:dyDescent="0.25">
      <c r="A897" t="s">
        <v>16</v>
      </c>
      <c r="B897" t="s">
        <v>3221</v>
      </c>
      <c r="C897">
        <v>12215</v>
      </c>
      <c r="D897" t="s">
        <v>448</v>
      </c>
      <c r="E897" t="s">
        <v>449</v>
      </c>
      <c r="F897">
        <v>970.06</v>
      </c>
      <c r="G897">
        <v>231001</v>
      </c>
      <c r="H897">
        <v>4840</v>
      </c>
      <c r="I897" t="s">
        <v>19</v>
      </c>
      <c r="J897">
        <v>1202.8699999999999</v>
      </c>
      <c r="K897">
        <v>232.81</v>
      </c>
      <c r="L897">
        <v>56558</v>
      </c>
      <c r="M897" t="s">
        <v>217</v>
      </c>
      <c r="N897" t="str">
        <f t="shared" si="53"/>
        <v>323492-19/19</v>
      </c>
      <c r="O897">
        <v>230915</v>
      </c>
    </row>
    <row r="898" spans="1:15" x14ac:dyDescent="0.25">
      <c r="A898" t="s">
        <v>16</v>
      </c>
      <c r="B898" t="s">
        <v>3221</v>
      </c>
      <c r="C898">
        <v>12215</v>
      </c>
      <c r="D898" t="s">
        <v>448</v>
      </c>
      <c r="E898" t="s">
        <v>449</v>
      </c>
      <c r="F898">
        <v>1185.82</v>
      </c>
      <c r="G898">
        <v>231001</v>
      </c>
      <c r="H898">
        <v>4840</v>
      </c>
      <c r="I898" t="s">
        <v>19</v>
      </c>
      <c r="J898">
        <v>1470.42</v>
      </c>
      <c r="K898">
        <v>284.60000000000002</v>
      </c>
      <c r="L898">
        <v>56559</v>
      </c>
      <c r="M898" t="s">
        <v>129</v>
      </c>
      <c r="N898" t="str">
        <f t="shared" si="53"/>
        <v>323492-19/19</v>
      </c>
      <c r="O898">
        <v>230915</v>
      </c>
    </row>
    <row r="899" spans="1:15" x14ac:dyDescent="0.25">
      <c r="A899" t="s">
        <v>16</v>
      </c>
      <c r="B899" t="s">
        <v>3221</v>
      </c>
      <c r="C899">
        <v>12215</v>
      </c>
      <c r="D899" t="s">
        <v>448</v>
      </c>
      <c r="E899" t="s">
        <v>449</v>
      </c>
      <c r="F899">
        <v>1117.68</v>
      </c>
      <c r="G899">
        <v>231001</v>
      </c>
      <c r="H899">
        <v>4840</v>
      </c>
      <c r="I899" t="s">
        <v>19</v>
      </c>
      <c r="J899">
        <v>1385.92</v>
      </c>
      <c r="K899">
        <v>268.24</v>
      </c>
      <c r="L899">
        <v>56560</v>
      </c>
      <c r="M899" t="s">
        <v>654</v>
      </c>
      <c r="N899" t="str">
        <f t="shared" si="53"/>
        <v>323492-19/19</v>
      </c>
      <c r="O899">
        <v>230915</v>
      </c>
    </row>
    <row r="900" spans="1:15" x14ac:dyDescent="0.25">
      <c r="A900" t="s">
        <v>16</v>
      </c>
      <c r="B900" t="s">
        <v>3221</v>
      </c>
      <c r="C900">
        <v>12215</v>
      </c>
      <c r="D900" t="s">
        <v>448</v>
      </c>
      <c r="E900" t="s">
        <v>449</v>
      </c>
      <c r="F900">
        <v>148.1</v>
      </c>
      <c r="G900">
        <v>231001</v>
      </c>
      <c r="H900">
        <v>4840</v>
      </c>
      <c r="I900" t="s">
        <v>19</v>
      </c>
      <c r="J900">
        <v>183.64</v>
      </c>
      <c r="K900">
        <v>35.54</v>
      </c>
      <c r="L900">
        <v>56561</v>
      </c>
      <c r="M900" t="s">
        <v>358</v>
      </c>
      <c r="N900" t="str">
        <f t="shared" si="53"/>
        <v>323492-19/19</v>
      </c>
      <c r="O900">
        <v>230915</v>
      </c>
    </row>
    <row r="901" spans="1:15" x14ac:dyDescent="0.25">
      <c r="A901" t="s">
        <v>16</v>
      </c>
      <c r="B901" t="s">
        <v>3221</v>
      </c>
      <c r="C901">
        <v>12215</v>
      </c>
      <c r="D901" t="s">
        <v>448</v>
      </c>
      <c r="E901" t="s">
        <v>449</v>
      </c>
      <c r="F901">
        <v>537.88</v>
      </c>
      <c r="G901">
        <v>231001</v>
      </c>
      <c r="H901">
        <v>4840</v>
      </c>
      <c r="I901" t="s">
        <v>19</v>
      </c>
      <c r="J901">
        <v>666.97</v>
      </c>
      <c r="K901">
        <v>129.09</v>
      </c>
      <c r="L901">
        <v>56562</v>
      </c>
      <c r="M901" t="s">
        <v>126</v>
      </c>
      <c r="N901" t="str">
        <f t="shared" si="53"/>
        <v>323492-19/19</v>
      </c>
      <c r="O901">
        <v>230915</v>
      </c>
    </row>
    <row r="902" spans="1:15" x14ac:dyDescent="0.25">
      <c r="A902" t="s">
        <v>16</v>
      </c>
      <c r="B902" t="s">
        <v>3221</v>
      </c>
      <c r="C902">
        <v>12215</v>
      </c>
      <c r="D902" t="s">
        <v>448</v>
      </c>
      <c r="E902" t="s">
        <v>449</v>
      </c>
      <c r="F902">
        <v>99.18</v>
      </c>
      <c r="G902">
        <v>231001</v>
      </c>
      <c r="H902">
        <v>4840</v>
      </c>
      <c r="I902" t="s">
        <v>19</v>
      </c>
      <c r="J902">
        <v>122.98</v>
      </c>
      <c r="K902">
        <v>23.8</v>
      </c>
      <c r="L902">
        <v>56563</v>
      </c>
      <c r="M902" t="s">
        <v>953</v>
      </c>
      <c r="N902" t="str">
        <f t="shared" si="53"/>
        <v>323492-19/19</v>
      </c>
      <c r="O902">
        <v>230915</v>
      </c>
    </row>
    <row r="903" spans="1:15" x14ac:dyDescent="0.25">
      <c r="A903" t="s">
        <v>16</v>
      </c>
      <c r="B903" t="s">
        <v>3221</v>
      </c>
      <c r="C903">
        <v>12215</v>
      </c>
      <c r="D903" t="s">
        <v>448</v>
      </c>
      <c r="E903" t="s">
        <v>449</v>
      </c>
      <c r="F903">
        <v>130.76</v>
      </c>
      <c r="G903">
        <v>231001</v>
      </c>
      <c r="H903">
        <v>4840</v>
      </c>
      <c r="I903" t="s">
        <v>19</v>
      </c>
      <c r="J903">
        <v>162.13999999999999</v>
      </c>
      <c r="K903">
        <v>31.38</v>
      </c>
      <c r="L903">
        <v>56564</v>
      </c>
      <c r="M903" t="s">
        <v>327</v>
      </c>
      <c r="N903" t="str">
        <f t="shared" si="53"/>
        <v>323492-19/19</v>
      </c>
      <c r="O903">
        <v>230915</v>
      </c>
    </row>
    <row r="904" spans="1:15" x14ac:dyDescent="0.25">
      <c r="A904" t="s">
        <v>16</v>
      </c>
      <c r="B904" t="s">
        <v>3221</v>
      </c>
      <c r="C904">
        <v>12215</v>
      </c>
      <c r="D904" t="s">
        <v>448</v>
      </c>
      <c r="E904" t="s">
        <v>449</v>
      </c>
      <c r="F904">
        <v>74.03</v>
      </c>
      <c r="G904">
        <v>231001</v>
      </c>
      <c r="H904">
        <v>4840</v>
      </c>
      <c r="I904" t="s">
        <v>19</v>
      </c>
      <c r="J904">
        <v>91.8</v>
      </c>
      <c r="K904">
        <v>17.77</v>
      </c>
      <c r="L904">
        <v>56565</v>
      </c>
      <c r="M904" t="s">
        <v>758</v>
      </c>
      <c r="N904" t="str">
        <f t="shared" si="53"/>
        <v>323492-19/19</v>
      </c>
      <c r="O904">
        <v>230915</v>
      </c>
    </row>
    <row r="905" spans="1:15" x14ac:dyDescent="0.25">
      <c r="A905" t="s">
        <v>16</v>
      </c>
      <c r="B905" t="s">
        <v>3221</v>
      </c>
      <c r="C905">
        <v>12215</v>
      </c>
      <c r="D905" t="s">
        <v>448</v>
      </c>
      <c r="E905" t="s">
        <v>449</v>
      </c>
      <c r="F905">
        <v>1707.18</v>
      </c>
      <c r="G905">
        <v>231001</v>
      </c>
      <c r="H905">
        <v>4840</v>
      </c>
      <c r="I905" t="s">
        <v>19</v>
      </c>
      <c r="J905">
        <v>2116.9</v>
      </c>
      <c r="K905">
        <v>409.72</v>
      </c>
      <c r="L905">
        <v>56566</v>
      </c>
      <c r="M905" t="s">
        <v>652</v>
      </c>
      <c r="N905" t="str">
        <f t="shared" si="53"/>
        <v>323492-19/19</v>
      </c>
      <c r="O905">
        <v>230915</v>
      </c>
    </row>
    <row r="906" spans="1:15" x14ac:dyDescent="0.25">
      <c r="A906" t="s">
        <v>16</v>
      </c>
      <c r="B906" t="s">
        <v>3221</v>
      </c>
      <c r="C906">
        <v>12215</v>
      </c>
      <c r="D906" t="s">
        <v>448</v>
      </c>
      <c r="E906" t="s">
        <v>449</v>
      </c>
      <c r="F906">
        <v>404.52</v>
      </c>
      <c r="G906">
        <v>231001</v>
      </c>
      <c r="H906">
        <v>4840</v>
      </c>
      <c r="I906" t="s">
        <v>19</v>
      </c>
      <c r="J906">
        <v>501.6</v>
      </c>
      <c r="K906">
        <v>97.08</v>
      </c>
      <c r="L906">
        <v>56566</v>
      </c>
      <c r="M906" t="s">
        <v>652</v>
      </c>
      <c r="N906" t="str">
        <f t="shared" si="53"/>
        <v>323492-19/19</v>
      </c>
      <c r="O906">
        <v>230915</v>
      </c>
    </row>
    <row r="907" spans="1:15" x14ac:dyDescent="0.25">
      <c r="A907" t="s">
        <v>16</v>
      </c>
      <c r="B907" t="s">
        <v>3221</v>
      </c>
      <c r="C907">
        <v>12215</v>
      </c>
      <c r="D907" t="s">
        <v>448</v>
      </c>
      <c r="E907" t="s">
        <v>449</v>
      </c>
      <c r="F907">
        <v>686.6</v>
      </c>
      <c r="G907">
        <v>231001</v>
      </c>
      <c r="H907">
        <v>4840</v>
      </c>
      <c r="I907" t="s">
        <v>19</v>
      </c>
      <c r="J907">
        <v>851.39</v>
      </c>
      <c r="K907">
        <v>164.79</v>
      </c>
      <c r="L907">
        <v>58601</v>
      </c>
      <c r="M907" t="s">
        <v>251</v>
      </c>
      <c r="N907" t="str">
        <f t="shared" si="53"/>
        <v>323492-19/19</v>
      </c>
      <c r="O907">
        <v>230915</v>
      </c>
    </row>
    <row r="908" spans="1:15" x14ac:dyDescent="0.25">
      <c r="A908" t="s">
        <v>16</v>
      </c>
      <c r="B908" t="s">
        <v>3221</v>
      </c>
      <c r="C908">
        <v>12215</v>
      </c>
      <c r="D908" t="s">
        <v>448</v>
      </c>
      <c r="E908" t="s">
        <v>449</v>
      </c>
      <c r="F908">
        <v>26.01</v>
      </c>
      <c r="G908">
        <v>231001</v>
      </c>
      <c r="H908">
        <v>4840</v>
      </c>
      <c r="I908" t="s">
        <v>19</v>
      </c>
      <c r="J908">
        <v>32.25</v>
      </c>
      <c r="K908">
        <v>6.24</v>
      </c>
      <c r="L908">
        <v>59111</v>
      </c>
      <c r="M908" t="s">
        <v>1010</v>
      </c>
      <c r="N908" t="str">
        <f t="shared" si="53"/>
        <v>323492-19/19</v>
      </c>
      <c r="O908">
        <v>230915</v>
      </c>
    </row>
    <row r="909" spans="1:15" x14ac:dyDescent="0.25">
      <c r="A909" t="s">
        <v>16</v>
      </c>
      <c r="B909" t="s">
        <v>3221</v>
      </c>
      <c r="C909">
        <v>12215</v>
      </c>
      <c r="D909" t="s">
        <v>448</v>
      </c>
      <c r="E909" t="s">
        <v>449</v>
      </c>
      <c r="F909">
        <v>33.06</v>
      </c>
      <c r="G909">
        <v>231001</v>
      </c>
      <c r="H909">
        <v>4840</v>
      </c>
      <c r="I909" t="s">
        <v>19</v>
      </c>
      <c r="J909">
        <v>40.99</v>
      </c>
      <c r="K909">
        <v>7.93</v>
      </c>
      <c r="L909">
        <v>59113</v>
      </c>
      <c r="M909" t="s">
        <v>235</v>
      </c>
      <c r="N909" t="str">
        <f t="shared" si="53"/>
        <v>323492-19/19</v>
      </c>
      <c r="O909">
        <v>230915</v>
      </c>
    </row>
    <row r="910" spans="1:15" x14ac:dyDescent="0.25">
      <c r="A910" t="s">
        <v>16</v>
      </c>
      <c r="B910" t="s">
        <v>3221</v>
      </c>
      <c r="C910">
        <v>12215</v>
      </c>
      <c r="D910" t="s">
        <v>448</v>
      </c>
      <c r="E910" t="s">
        <v>449</v>
      </c>
      <c r="F910">
        <v>32.32</v>
      </c>
      <c r="G910">
        <v>231001</v>
      </c>
      <c r="H910">
        <v>4840</v>
      </c>
      <c r="I910" t="s">
        <v>19</v>
      </c>
      <c r="J910">
        <v>40.08</v>
      </c>
      <c r="K910">
        <v>7.76</v>
      </c>
      <c r="L910">
        <v>59501</v>
      </c>
      <c r="M910" t="s">
        <v>69</v>
      </c>
      <c r="N910" t="str">
        <f t="shared" si="53"/>
        <v>323492-19/19</v>
      </c>
      <c r="O910">
        <v>230915</v>
      </c>
    </row>
    <row r="911" spans="1:15" x14ac:dyDescent="0.25">
      <c r="A911" t="s">
        <v>16</v>
      </c>
      <c r="B911" t="s">
        <v>3221</v>
      </c>
      <c r="C911">
        <v>12215</v>
      </c>
      <c r="D911" t="s">
        <v>448</v>
      </c>
      <c r="E911" t="s">
        <v>449</v>
      </c>
      <c r="F911">
        <v>165.43</v>
      </c>
      <c r="G911">
        <v>231001</v>
      </c>
      <c r="H911">
        <v>4840</v>
      </c>
      <c r="I911" t="s">
        <v>19</v>
      </c>
      <c r="J911">
        <v>205.13</v>
      </c>
      <c r="K911">
        <v>39.700000000000003</v>
      </c>
      <c r="L911">
        <v>59502</v>
      </c>
      <c r="M911" t="s">
        <v>70</v>
      </c>
      <c r="N911" t="str">
        <f t="shared" si="53"/>
        <v>323492-19/19</v>
      </c>
      <c r="O911">
        <v>230915</v>
      </c>
    </row>
    <row r="912" spans="1:15" x14ac:dyDescent="0.25">
      <c r="A912" t="s">
        <v>16</v>
      </c>
      <c r="B912" t="s">
        <v>3221</v>
      </c>
      <c r="C912">
        <v>12215</v>
      </c>
      <c r="D912" t="s">
        <v>448</v>
      </c>
      <c r="E912" t="s">
        <v>449</v>
      </c>
      <c r="F912">
        <v>342.18</v>
      </c>
      <c r="G912">
        <v>231001</v>
      </c>
      <c r="H912">
        <v>4840</v>
      </c>
      <c r="I912" t="s">
        <v>19</v>
      </c>
      <c r="J912">
        <v>424.3</v>
      </c>
      <c r="K912">
        <v>82.12</v>
      </c>
      <c r="L912">
        <v>59701</v>
      </c>
      <c r="M912" t="s">
        <v>297</v>
      </c>
      <c r="N912" t="str">
        <f t="shared" si="53"/>
        <v>323492-19/19</v>
      </c>
      <c r="O912">
        <v>230915</v>
      </c>
    </row>
    <row r="913" spans="1:15" x14ac:dyDescent="0.25">
      <c r="A913" t="s">
        <v>16</v>
      </c>
      <c r="B913" t="s">
        <v>3221</v>
      </c>
      <c r="C913">
        <v>12215</v>
      </c>
      <c r="D913" t="s">
        <v>448</v>
      </c>
      <c r="E913" t="s">
        <v>449</v>
      </c>
      <c r="F913">
        <v>85.07</v>
      </c>
      <c r="G913">
        <v>231001</v>
      </c>
      <c r="H913">
        <v>4840</v>
      </c>
      <c r="I913" t="s">
        <v>19</v>
      </c>
      <c r="J913">
        <v>105.49</v>
      </c>
      <c r="K913">
        <v>20.420000000000002</v>
      </c>
      <c r="L913">
        <v>59702</v>
      </c>
      <c r="M913" t="s">
        <v>328</v>
      </c>
      <c r="N913" t="str">
        <f t="shared" si="53"/>
        <v>323492-19/19</v>
      </c>
      <c r="O913">
        <v>230915</v>
      </c>
    </row>
    <row r="914" spans="1:15" x14ac:dyDescent="0.25">
      <c r="A914" t="s">
        <v>16</v>
      </c>
      <c r="B914" t="s">
        <v>3221</v>
      </c>
      <c r="C914">
        <v>12215</v>
      </c>
      <c r="D914" t="s">
        <v>448</v>
      </c>
      <c r="E914" t="s">
        <v>449</v>
      </c>
      <c r="F914">
        <v>630.83000000000004</v>
      </c>
      <c r="G914">
        <v>231001</v>
      </c>
      <c r="H914">
        <v>4840</v>
      </c>
      <c r="I914" t="s">
        <v>19</v>
      </c>
      <c r="J914">
        <v>782.23</v>
      </c>
      <c r="K914">
        <v>151.4</v>
      </c>
      <c r="L914">
        <v>59702</v>
      </c>
      <c r="M914" t="s">
        <v>328</v>
      </c>
      <c r="N914" t="str">
        <f t="shared" si="53"/>
        <v>323492-19/19</v>
      </c>
      <c r="O914">
        <v>230915</v>
      </c>
    </row>
    <row r="915" spans="1:15" x14ac:dyDescent="0.25">
      <c r="A915" t="s">
        <v>16</v>
      </c>
      <c r="B915" t="s">
        <v>3221</v>
      </c>
      <c r="C915">
        <v>12215</v>
      </c>
      <c r="D915" t="s">
        <v>448</v>
      </c>
      <c r="E915" t="s">
        <v>449</v>
      </c>
      <c r="F915">
        <v>48.49</v>
      </c>
      <c r="G915">
        <v>231001</v>
      </c>
      <c r="H915">
        <v>4840</v>
      </c>
      <c r="I915" t="s">
        <v>19</v>
      </c>
      <c r="J915">
        <v>60.13</v>
      </c>
      <c r="K915">
        <v>11.64</v>
      </c>
      <c r="L915">
        <v>59704</v>
      </c>
      <c r="M915" t="s">
        <v>1103</v>
      </c>
      <c r="N915" t="str">
        <f t="shared" si="53"/>
        <v>323492-19/19</v>
      </c>
      <c r="O915">
        <v>230915</v>
      </c>
    </row>
    <row r="916" spans="1:15" x14ac:dyDescent="0.25">
      <c r="A916" t="s">
        <v>16</v>
      </c>
      <c r="B916" t="s">
        <v>3221</v>
      </c>
      <c r="C916">
        <v>12215</v>
      </c>
      <c r="D916" t="s">
        <v>448</v>
      </c>
      <c r="E916" t="s">
        <v>449</v>
      </c>
      <c r="F916">
        <v>26.72</v>
      </c>
      <c r="G916">
        <v>231001</v>
      </c>
      <c r="H916">
        <v>4840</v>
      </c>
      <c r="I916" t="s">
        <v>19</v>
      </c>
      <c r="J916">
        <v>33.130000000000003</v>
      </c>
      <c r="K916">
        <v>6.41</v>
      </c>
      <c r="L916">
        <v>59705</v>
      </c>
      <c r="M916" t="s">
        <v>843</v>
      </c>
      <c r="N916" t="str">
        <f t="shared" si="53"/>
        <v>323492-19/19</v>
      </c>
      <c r="O916">
        <v>230915</v>
      </c>
    </row>
    <row r="917" spans="1:15" x14ac:dyDescent="0.25">
      <c r="A917" t="s">
        <v>16</v>
      </c>
      <c r="B917" t="s">
        <v>3221</v>
      </c>
      <c r="C917">
        <v>12215</v>
      </c>
      <c r="D917" t="s">
        <v>448</v>
      </c>
      <c r="E917" t="s">
        <v>449</v>
      </c>
      <c r="F917">
        <v>25.41</v>
      </c>
      <c r="G917">
        <v>231001</v>
      </c>
      <c r="H917">
        <v>4840</v>
      </c>
      <c r="I917" t="s">
        <v>19</v>
      </c>
      <c r="J917">
        <v>31.51</v>
      </c>
      <c r="K917">
        <v>6.1</v>
      </c>
      <c r="L917">
        <v>59815</v>
      </c>
      <c r="M917" t="s">
        <v>1182</v>
      </c>
      <c r="N917" t="str">
        <f t="shared" si="53"/>
        <v>323492-19/19</v>
      </c>
      <c r="O917">
        <v>230915</v>
      </c>
    </row>
    <row r="918" spans="1:15" x14ac:dyDescent="0.25">
      <c r="A918" t="s">
        <v>16</v>
      </c>
      <c r="B918" t="s">
        <v>3221</v>
      </c>
      <c r="C918">
        <v>12356</v>
      </c>
      <c r="D918" t="s">
        <v>448</v>
      </c>
      <c r="E918" t="s">
        <v>449</v>
      </c>
      <c r="F918">
        <v>84.69</v>
      </c>
      <c r="G918">
        <v>231001</v>
      </c>
      <c r="H918">
        <v>4840</v>
      </c>
      <c r="I918" t="s">
        <v>19</v>
      </c>
      <c r="J918">
        <v>105.02</v>
      </c>
      <c r="K918">
        <v>20.329999999999998</v>
      </c>
      <c r="L918">
        <v>12010</v>
      </c>
      <c r="M918" t="s">
        <v>2189</v>
      </c>
      <c r="N918" t="str">
        <f t="shared" ref="N918:N924" si="54">"323492-17/19"</f>
        <v>323492-17/19</v>
      </c>
      <c r="O918">
        <v>230918</v>
      </c>
    </row>
    <row r="919" spans="1:15" x14ac:dyDescent="0.25">
      <c r="A919" t="s">
        <v>16</v>
      </c>
      <c r="B919" t="s">
        <v>3221</v>
      </c>
      <c r="C919">
        <v>12356</v>
      </c>
      <c r="D919" t="s">
        <v>448</v>
      </c>
      <c r="E919" t="s">
        <v>449</v>
      </c>
      <c r="F919">
        <v>85.52</v>
      </c>
      <c r="G919">
        <v>231001</v>
      </c>
      <c r="H919">
        <v>4840</v>
      </c>
      <c r="I919" t="s">
        <v>19</v>
      </c>
      <c r="J919">
        <v>106.04</v>
      </c>
      <c r="K919">
        <v>20.52</v>
      </c>
      <c r="L919">
        <v>56522</v>
      </c>
      <c r="M919" t="s">
        <v>43</v>
      </c>
      <c r="N919" t="str">
        <f t="shared" si="54"/>
        <v>323492-17/19</v>
      </c>
      <c r="O919">
        <v>230918</v>
      </c>
    </row>
    <row r="920" spans="1:15" x14ac:dyDescent="0.25">
      <c r="A920" t="s">
        <v>16</v>
      </c>
      <c r="B920" t="s">
        <v>3221</v>
      </c>
      <c r="C920">
        <v>12356</v>
      </c>
      <c r="D920" t="s">
        <v>448</v>
      </c>
      <c r="E920" t="s">
        <v>449</v>
      </c>
      <c r="F920">
        <v>422.05</v>
      </c>
      <c r="G920">
        <v>231001</v>
      </c>
      <c r="H920">
        <v>4840</v>
      </c>
      <c r="I920" t="s">
        <v>19</v>
      </c>
      <c r="J920">
        <v>523.34</v>
      </c>
      <c r="K920">
        <v>101.29</v>
      </c>
      <c r="L920">
        <v>56524</v>
      </c>
      <c r="M920" t="s">
        <v>150</v>
      </c>
      <c r="N920" t="str">
        <f t="shared" si="54"/>
        <v>323492-17/19</v>
      </c>
      <c r="O920">
        <v>230918</v>
      </c>
    </row>
    <row r="921" spans="1:15" x14ac:dyDescent="0.25">
      <c r="A921" t="s">
        <v>16</v>
      </c>
      <c r="B921" t="s">
        <v>3221</v>
      </c>
      <c r="C921">
        <v>12356</v>
      </c>
      <c r="D921" t="s">
        <v>448</v>
      </c>
      <c r="E921" t="s">
        <v>449</v>
      </c>
      <c r="F921">
        <v>84.69</v>
      </c>
      <c r="G921">
        <v>231001</v>
      </c>
      <c r="H921">
        <v>4840</v>
      </c>
      <c r="I921" t="s">
        <v>19</v>
      </c>
      <c r="J921">
        <v>105.01</v>
      </c>
      <c r="K921">
        <v>20.32</v>
      </c>
      <c r="L921">
        <v>56526</v>
      </c>
      <c r="M921" t="s">
        <v>1217</v>
      </c>
      <c r="N921" t="str">
        <f t="shared" si="54"/>
        <v>323492-17/19</v>
      </c>
      <c r="O921">
        <v>230918</v>
      </c>
    </row>
    <row r="922" spans="1:15" x14ac:dyDescent="0.25">
      <c r="A922" t="s">
        <v>16</v>
      </c>
      <c r="B922" t="s">
        <v>3221</v>
      </c>
      <c r="C922">
        <v>12356</v>
      </c>
      <c r="D922" t="s">
        <v>448</v>
      </c>
      <c r="E922" t="s">
        <v>449</v>
      </c>
      <c r="F922">
        <v>65.38</v>
      </c>
      <c r="G922">
        <v>231001</v>
      </c>
      <c r="H922">
        <v>4840</v>
      </c>
      <c r="I922" t="s">
        <v>19</v>
      </c>
      <c r="J922">
        <v>81.069999999999993</v>
      </c>
      <c r="K922">
        <v>15.69</v>
      </c>
      <c r="L922">
        <v>56528</v>
      </c>
      <c r="M922" t="s">
        <v>153</v>
      </c>
      <c r="N922" t="str">
        <f t="shared" si="54"/>
        <v>323492-17/19</v>
      </c>
      <c r="O922">
        <v>230918</v>
      </c>
    </row>
    <row r="923" spans="1:15" x14ac:dyDescent="0.25">
      <c r="A923" t="s">
        <v>16</v>
      </c>
      <c r="B923" t="s">
        <v>3221</v>
      </c>
      <c r="C923">
        <v>12356</v>
      </c>
      <c r="D923" t="s">
        <v>448</v>
      </c>
      <c r="E923" t="s">
        <v>449</v>
      </c>
      <c r="F923">
        <v>131.25</v>
      </c>
      <c r="G923">
        <v>231001</v>
      </c>
      <c r="H923">
        <v>4840</v>
      </c>
      <c r="I923" t="s">
        <v>19</v>
      </c>
      <c r="J923">
        <v>162.75</v>
      </c>
      <c r="K923">
        <v>31.5</v>
      </c>
      <c r="L923">
        <v>56528</v>
      </c>
      <c r="M923" t="s">
        <v>153</v>
      </c>
      <c r="N923" t="str">
        <f t="shared" si="54"/>
        <v>323492-17/19</v>
      </c>
      <c r="O923">
        <v>230918</v>
      </c>
    </row>
    <row r="924" spans="1:15" x14ac:dyDescent="0.25">
      <c r="A924" t="s">
        <v>16</v>
      </c>
      <c r="B924" t="s">
        <v>3221</v>
      </c>
      <c r="C924">
        <v>12356</v>
      </c>
      <c r="D924" t="s">
        <v>448</v>
      </c>
      <c r="E924" t="s">
        <v>449</v>
      </c>
      <c r="F924">
        <v>6.49</v>
      </c>
      <c r="G924">
        <v>231001</v>
      </c>
      <c r="H924">
        <v>4840</v>
      </c>
      <c r="I924" t="s">
        <v>19</v>
      </c>
      <c r="J924">
        <v>8.0500000000000007</v>
      </c>
      <c r="K924">
        <v>1.56</v>
      </c>
      <c r="L924">
        <v>59704</v>
      </c>
      <c r="M924" t="s">
        <v>1103</v>
      </c>
      <c r="N924" t="str">
        <f t="shared" si="54"/>
        <v>323492-17/19</v>
      </c>
      <c r="O924">
        <v>230918</v>
      </c>
    </row>
    <row r="925" spans="1:15" x14ac:dyDescent="0.25">
      <c r="A925" t="s">
        <v>16</v>
      </c>
      <c r="B925" t="s">
        <v>3221</v>
      </c>
      <c r="C925">
        <v>12359</v>
      </c>
      <c r="D925" t="s">
        <v>448</v>
      </c>
      <c r="E925" t="s">
        <v>449</v>
      </c>
      <c r="F925">
        <v>546.32000000000005</v>
      </c>
      <c r="G925">
        <v>231001</v>
      </c>
      <c r="H925">
        <v>4840</v>
      </c>
      <c r="I925" t="s">
        <v>19</v>
      </c>
      <c r="J925">
        <v>677.44</v>
      </c>
      <c r="K925">
        <v>131.12</v>
      </c>
      <c r="L925">
        <v>11901</v>
      </c>
      <c r="M925" t="s">
        <v>36</v>
      </c>
      <c r="N925" t="str">
        <f t="shared" ref="N925:N932" si="55">"2323492-2/19"</f>
        <v>2323492-2/19</v>
      </c>
      <c r="O925">
        <v>230918</v>
      </c>
    </row>
    <row r="926" spans="1:15" x14ac:dyDescent="0.25">
      <c r="A926" t="s">
        <v>16</v>
      </c>
      <c r="B926" t="s">
        <v>3221</v>
      </c>
      <c r="C926">
        <v>12359</v>
      </c>
      <c r="D926" t="s">
        <v>448</v>
      </c>
      <c r="E926" t="s">
        <v>449</v>
      </c>
      <c r="F926">
        <v>49.18</v>
      </c>
      <c r="G926">
        <v>231001</v>
      </c>
      <c r="H926">
        <v>4840</v>
      </c>
      <c r="I926" t="s">
        <v>19</v>
      </c>
      <c r="J926">
        <v>60.98</v>
      </c>
      <c r="K926">
        <v>11.8</v>
      </c>
      <c r="L926">
        <v>11903</v>
      </c>
      <c r="M926" t="s">
        <v>406</v>
      </c>
      <c r="N926" t="str">
        <f t="shared" si="55"/>
        <v>2323492-2/19</v>
      </c>
      <c r="O926">
        <v>230918</v>
      </c>
    </row>
    <row r="927" spans="1:15" x14ac:dyDescent="0.25">
      <c r="A927" t="s">
        <v>16</v>
      </c>
      <c r="B927" t="s">
        <v>3221</v>
      </c>
      <c r="C927">
        <v>12359</v>
      </c>
      <c r="D927" t="s">
        <v>448</v>
      </c>
      <c r="E927" t="s">
        <v>449</v>
      </c>
      <c r="F927">
        <v>86.5</v>
      </c>
      <c r="G927">
        <v>231001</v>
      </c>
      <c r="H927">
        <v>4840</v>
      </c>
      <c r="I927" t="s">
        <v>19</v>
      </c>
      <c r="J927">
        <v>107.26</v>
      </c>
      <c r="K927">
        <v>20.76</v>
      </c>
      <c r="L927">
        <v>11903</v>
      </c>
      <c r="M927" t="s">
        <v>406</v>
      </c>
      <c r="N927" t="str">
        <f t="shared" si="55"/>
        <v>2323492-2/19</v>
      </c>
      <c r="O927">
        <v>230918</v>
      </c>
    </row>
    <row r="928" spans="1:15" x14ac:dyDescent="0.25">
      <c r="A928" t="s">
        <v>16</v>
      </c>
      <c r="B928" t="s">
        <v>3221</v>
      </c>
      <c r="C928">
        <v>12359</v>
      </c>
      <c r="D928" t="s">
        <v>448</v>
      </c>
      <c r="E928" t="s">
        <v>449</v>
      </c>
      <c r="F928">
        <v>33.71</v>
      </c>
      <c r="G928">
        <v>231001</v>
      </c>
      <c r="H928">
        <v>4840</v>
      </c>
      <c r="I928" t="s">
        <v>19</v>
      </c>
      <c r="J928">
        <v>41.8</v>
      </c>
      <c r="K928">
        <v>8.09</v>
      </c>
      <c r="L928">
        <v>11903</v>
      </c>
      <c r="M928" t="s">
        <v>406</v>
      </c>
      <c r="N928" t="str">
        <f t="shared" si="55"/>
        <v>2323492-2/19</v>
      </c>
      <c r="O928">
        <v>230918</v>
      </c>
    </row>
    <row r="929" spans="1:15" x14ac:dyDescent="0.25">
      <c r="A929" t="s">
        <v>16</v>
      </c>
      <c r="B929" t="s">
        <v>3221</v>
      </c>
      <c r="C929">
        <v>12359</v>
      </c>
      <c r="D929" t="s">
        <v>448</v>
      </c>
      <c r="E929" t="s">
        <v>449</v>
      </c>
      <c r="F929">
        <v>112.27</v>
      </c>
      <c r="G929">
        <v>231001</v>
      </c>
      <c r="H929">
        <v>4840</v>
      </c>
      <c r="I929" t="s">
        <v>19</v>
      </c>
      <c r="J929">
        <v>139.21</v>
      </c>
      <c r="K929">
        <v>26.94</v>
      </c>
      <c r="L929">
        <v>11903</v>
      </c>
      <c r="M929" t="s">
        <v>406</v>
      </c>
      <c r="N929" t="str">
        <f t="shared" si="55"/>
        <v>2323492-2/19</v>
      </c>
      <c r="O929">
        <v>230918</v>
      </c>
    </row>
    <row r="930" spans="1:15" x14ac:dyDescent="0.25">
      <c r="A930" t="s">
        <v>16</v>
      </c>
      <c r="B930" t="s">
        <v>3221</v>
      </c>
      <c r="C930">
        <v>12359</v>
      </c>
      <c r="D930" t="s">
        <v>448</v>
      </c>
      <c r="E930" t="s">
        <v>449</v>
      </c>
      <c r="F930">
        <v>16.940000000000001</v>
      </c>
      <c r="G930">
        <v>231001</v>
      </c>
      <c r="H930">
        <v>4840</v>
      </c>
      <c r="I930" t="s">
        <v>19</v>
      </c>
      <c r="J930">
        <v>21</v>
      </c>
      <c r="K930">
        <v>4.0599999999999996</v>
      </c>
      <c r="L930">
        <v>13401</v>
      </c>
      <c r="M930" t="s">
        <v>80</v>
      </c>
      <c r="N930" t="str">
        <f t="shared" si="55"/>
        <v>2323492-2/19</v>
      </c>
      <c r="O930">
        <v>230918</v>
      </c>
    </row>
    <row r="931" spans="1:15" x14ac:dyDescent="0.25">
      <c r="A931" t="s">
        <v>16</v>
      </c>
      <c r="B931" t="s">
        <v>3221</v>
      </c>
      <c r="C931">
        <v>12359</v>
      </c>
      <c r="D931" t="s">
        <v>448</v>
      </c>
      <c r="E931" t="s">
        <v>449</v>
      </c>
      <c r="F931">
        <v>16.13</v>
      </c>
      <c r="G931">
        <v>231001</v>
      </c>
      <c r="H931">
        <v>4840</v>
      </c>
      <c r="I931" t="s">
        <v>19</v>
      </c>
      <c r="J931">
        <v>20</v>
      </c>
      <c r="K931">
        <v>3.87</v>
      </c>
      <c r="L931">
        <v>13501</v>
      </c>
      <c r="M931" t="s">
        <v>20</v>
      </c>
      <c r="N931" t="str">
        <f t="shared" si="55"/>
        <v>2323492-2/19</v>
      </c>
      <c r="O931">
        <v>230918</v>
      </c>
    </row>
    <row r="932" spans="1:15" x14ac:dyDescent="0.25">
      <c r="A932" t="s">
        <v>16</v>
      </c>
      <c r="B932" t="s">
        <v>3221</v>
      </c>
      <c r="C932">
        <v>12359</v>
      </c>
      <c r="D932" t="s">
        <v>448</v>
      </c>
      <c r="E932" t="s">
        <v>449</v>
      </c>
      <c r="F932">
        <v>98.47</v>
      </c>
      <c r="G932">
        <v>231001</v>
      </c>
      <c r="H932">
        <v>4840</v>
      </c>
      <c r="I932" t="s">
        <v>19</v>
      </c>
      <c r="J932">
        <v>122.1</v>
      </c>
      <c r="K932">
        <v>23.63</v>
      </c>
      <c r="L932">
        <v>18991</v>
      </c>
      <c r="M932" t="s">
        <v>1106</v>
      </c>
      <c r="N932" t="str">
        <f t="shared" si="55"/>
        <v>2323492-2/19</v>
      </c>
      <c r="O932">
        <v>230918</v>
      </c>
    </row>
    <row r="933" spans="1:15" x14ac:dyDescent="0.25">
      <c r="A933" t="s">
        <v>16</v>
      </c>
      <c r="B933" t="s">
        <v>3221</v>
      </c>
      <c r="C933">
        <v>12363</v>
      </c>
      <c r="D933" t="s">
        <v>448</v>
      </c>
      <c r="E933" t="s">
        <v>449</v>
      </c>
      <c r="F933">
        <v>19.95</v>
      </c>
      <c r="G933">
        <v>231001</v>
      </c>
      <c r="H933">
        <v>4840</v>
      </c>
      <c r="I933" t="s">
        <v>19</v>
      </c>
      <c r="J933">
        <v>24.74</v>
      </c>
      <c r="K933">
        <v>4.79</v>
      </c>
      <c r="L933">
        <v>11301</v>
      </c>
      <c r="M933" t="s">
        <v>29</v>
      </c>
      <c r="N933" t="str">
        <f t="shared" ref="N933:N955" si="56">"2323492-3/19"</f>
        <v>2323492-3/19</v>
      </c>
      <c r="O933">
        <v>230918</v>
      </c>
    </row>
    <row r="934" spans="1:15" x14ac:dyDescent="0.25">
      <c r="A934" t="s">
        <v>16</v>
      </c>
      <c r="B934" t="s">
        <v>3221</v>
      </c>
      <c r="C934">
        <v>12363</v>
      </c>
      <c r="D934" t="s">
        <v>448</v>
      </c>
      <c r="E934" t="s">
        <v>449</v>
      </c>
      <c r="F934">
        <v>26.6</v>
      </c>
      <c r="G934">
        <v>231001</v>
      </c>
      <c r="H934">
        <v>4840</v>
      </c>
      <c r="I934" t="s">
        <v>19</v>
      </c>
      <c r="J934">
        <v>32.979999999999997</v>
      </c>
      <c r="K934">
        <v>6.38</v>
      </c>
      <c r="L934">
        <v>11751</v>
      </c>
      <c r="M934" t="s">
        <v>1339</v>
      </c>
      <c r="N934" t="str">
        <f t="shared" si="56"/>
        <v>2323492-3/19</v>
      </c>
      <c r="O934">
        <v>230918</v>
      </c>
    </row>
    <row r="935" spans="1:15" x14ac:dyDescent="0.25">
      <c r="A935" t="s">
        <v>16</v>
      </c>
      <c r="B935" t="s">
        <v>3221</v>
      </c>
      <c r="C935">
        <v>12363</v>
      </c>
      <c r="D935" t="s">
        <v>448</v>
      </c>
      <c r="E935" t="s">
        <v>449</v>
      </c>
      <c r="F935">
        <v>2499.37</v>
      </c>
      <c r="G935">
        <v>231001</v>
      </c>
      <c r="H935">
        <v>4840</v>
      </c>
      <c r="I935" t="s">
        <v>19</v>
      </c>
      <c r="J935">
        <v>3099.22</v>
      </c>
      <c r="K935">
        <v>599.85</v>
      </c>
      <c r="L935">
        <v>61122</v>
      </c>
      <c r="M935" t="s">
        <v>402</v>
      </c>
      <c r="N935" t="str">
        <f t="shared" si="56"/>
        <v>2323492-3/19</v>
      </c>
      <c r="O935">
        <v>230918</v>
      </c>
    </row>
    <row r="936" spans="1:15" x14ac:dyDescent="0.25">
      <c r="A936" t="s">
        <v>16</v>
      </c>
      <c r="B936" t="s">
        <v>3221</v>
      </c>
      <c r="C936">
        <v>12363</v>
      </c>
      <c r="D936" t="s">
        <v>448</v>
      </c>
      <c r="E936" t="s">
        <v>449</v>
      </c>
      <c r="F936">
        <v>40.83</v>
      </c>
      <c r="G936">
        <v>231001</v>
      </c>
      <c r="H936">
        <v>4840</v>
      </c>
      <c r="I936" t="s">
        <v>19</v>
      </c>
      <c r="J936">
        <v>50.63</v>
      </c>
      <c r="K936">
        <v>9.8000000000000007</v>
      </c>
      <c r="L936">
        <v>61122</v>
      </c>
      <c r="M936" t="s">
        <v>402</v>
      </c>
      <c r="N936" t="str">
        <f t="shared" si="56"/>
        <v>2323492-3/19</v>
      </c>
      <c r="O936">
        <v>230918</v>
      </c>
    </row>
    <row r="937" spans="1:15" x14ac:dyDescent="0.25">
      <c r="A937" t="s">
        <v>16</v>
      </c>
      <c r="B937" t="s">
        <v>3221</v>
      </c>
      <c r="C937">
        <v>12363</v>
      </c>
      <c r="D937" t="s">
        <v>448</v>
      </c>
      <c r="E937" t="s">
        <v>449</v>
      </c>
      <c r="F937">
        <v>3858.24</v>
      </c>
      <c r="G937">
        <v>231001</v>
      </c>
      <c r="H937">
        <v>4840</v>
      </c>
      <c r="I937" t="s">
        <v>19</v>
      </c>
      <c r="J937">
        <v>4784.22</v>
      </c>
      <c r="K937">
        <v>925.98</v>
      </c>
      <c r="L937">
        <v>65222</v>
      </c>
      <c r="M937" t="s">
        <v>487</v>
      </c>
      <c r="N937" t="str">
        <f t="shared" si="56"/>
        <v>2323492-3/19</v>
      </c>
      <c r="O937">
        <v>230918</v>
      </c>
    </row>
    <row r="938" spans="1:15" x14ac:dyDescent="0.25">
      <c r="A938" t="s">
        <v>16</v>
      </c>
      <c r="B938" t="s">
        <v>3221</v>
      </c>
      <c r="C938">
        <v>12363</v>
      </c>
      <c r="D938" t="s">
        <v>448</v>
      </c>
      <c r="E938" t="s">
        <v>449</v>
      </c>
      <c r="F938">
        <v>6.49</v>
      </c>
      <c r="G938">
        <v>231001</v>
      </c>
      <c r="H938">
        <v>4840</v>
      </c>
      <c r="I938" t="s">
        <v>19</v>
      </c>
      <c r="J938">
        <v>8.0500000000000007</v>
      </c>
      <c r="K938">
        <v>1.56</v>
      </c>
      <c r="L938">
        <v>65422</v>
      </c>
      <c r="M938" t="s">
        <v>602</v>
      </c>
      <c r="N938" t="str">
        <f t="shared" si="56"/>
        <v>2323492-3/19</v>
      </c>
      <c r="O938">
        <v>230918</v>
      </c>
    </row>
    <row r="939" spans="1:15" x14ac:dyDescent="0.25">
      <c r="A939" t="s">
        <v>16</v>
      </c>
      <c r="B939" t="s">
        <v>3221</v>
      </c>
      <c r="C939">
        <v>12363</v>
      </c>
      <c r="D939" t="s">
        <v>448</v>
      </c>
      <c r="E939" t="s">
        <v>449</v>
      </c>
      <c r="F939">
        <v>196.72</v>
      </c>
      <c r="G939">
        <v>231001</v>
      </c>
      <c r="H939">
        <v>4840</v>
      </c>
      <c r="I939" t="s">
        <v>19</v>
      </c>
      <c r="J939">
        <v>243.93</v>
      </c>
      <c r="K939">
        <v>47.21</v>
      </c>
      <c r="L939">
        <v>66722</v>
      </c>
      <c r="M939" t="s">
        <v>518</v>
      </c>
      <c r="N939" t="str">
        <f t="shared" si="56"/>
        <v>2323492-3/19</v>
      </c>
      <c r="O939">
        <v>230918</v>
      </c>
    </row>
    <row r="940" spans="1:15" x14ac:dyDescent="0.25">
      <c r="A940" t="s">
        <v>16</v>
      </c>
      <c r="B940" t="s">
        <v>3221</v>
      </c>
      <c r="C940">
        <v>12363</v>
      </c>
      <c r="D940" t="s">
        <v>448</v>
      </c>
      <c r="E940" t="s">
        <v>449</v>
      </c>
      <c r="F940">
        <v>102.05</v>
      </c>
      <c r="G940">
        <v>231001</v>
      </c>
      <c r="H940">
        <v>4840</v>
      </c>
      <c r="I940" t="s">
        <v>19</v>
      </c>
      <c r="J940">
        <v>126.54</v>
      </c>
      <c r="K940">
        <v>24.49</v>
      </c>
      <c r="L940">
        <v>66754</v>
      </c>
      <c r="M940" t="s">
        <v>239</v>
      </c>
      <c r="N940" t="str">
        <f t="shared" si="56"/>
        <v>2323492-3/19</v>
      </c>
      <c r="O940">
        <v>230918</v>
      </c>
    </row>
    <row r="941" spans="1:15" x14ac:dyDescent="0.25">
      <c r="A941" t="s">
        <v>16</v>
      </c>
      <c r="B941" t="s">
        <v>3221</v>
      </c>
      <c r="C941">
        <v>12363</v>
      </c>
      <c r="D941" t="s">
        <v>448</v>
      </c>
      <c r="E941" t="s">
        <v>449</v>
      </c>
      <c r="F941">
        <v>635.54</v>
      </c>
      <c r="G941">
        <v>231001</v>
      </c>
      <c r="H941">
        <v>4840</v>
      </c>
      <c r="I941" t="s">
        <v>19</v>
      </c>
      <c r="J941">
        <v>788.07</v>
      </c>
      <c r="K941">
        <v>152.53</v>
      </c>
      <c r="L941">
        <v>66756</v>
      </c>
      <c r="M941" t="s">
        <v>209</v>
      </c>
      <c r="N941" t="str">
        <f t="shared" si="56"/>
        <v>2323492-3/19</v>
      </c>
      <c r="O941">
        <v>230918</v>
      </c>
    </row>
    <row r="942" spans="1:15" x14ac:dyDescent="0.25">
      <c r="A942" t="s">
        <v>16</v>
      </c>
      <c r="B942" t="s">
        <v>3221</v>
      </c>
      <c r="C942">
        <v>12363</v>
      </c>
      <c r="D942" t="s">
        <v>448</v>
      </c>
      <c r="E942" t="s">
        <v>449</v>
      </c>
      <c r="F942">
        <v>164.04</v>
      </c>
      <c r="G942">
        <v>231001</v>
      </c>
      <c r="H942">
        <v>4840</v>
      </c>
      <c r="I942" t="s">
        <v>19</v>
      </c>
      <c r="J942">
        <v>203.41</v>
      </c>
      <c r="K942">
        <v>39.369999999999997</v>
      </c>
      <c r="L942">
        <v>67522</v>
      </c>
      <c r="M942" t="s">
        <v>397</v>
      </c>
      <c r="N942" t="str">
        <f t="shared" si="56"/>
        <v>2323492-3/19</v>
      </c>
      <c r="O942">
        <v>230918</v>
      </c>
    </row>
    <row r="943" spans="1:15" x14ac:dyDescent="0.25">
      <c r="A943" t="s">
        <v>16</v>
      </c>
      <c r="B943" t="s">
        <v>3221</v>
      </c>
      <c r="C943">
        <v>12363</v>
      </c>
      <c r="D943" t="s">
        <v>448</v>
      </c>
      <c r="E943" t="s">
        <v>449</v>
      </c>
      <c r="F943">
        <v>138.51</v>
      </c>
      <c r="G943">
        <v>231001</v>
      </c>
      <c r="H943">
        <v>4840</v>
      </c>
      <c r="I943" t="s">
        <v>19</v>
      </c>
      <c r="J943">
        <v>171.75</v>
      </c>
      <c r="K943">
        <v>33.24</v>
      </c>
      <c r="L943">
        <v>67522</v>
      </c>
      <c r="M943" t="s">
        <v>397</v>
      </c>
      <c r="N943" t="str">
        <f t="shared" si="56"/>
        <v>2323492-3/19</v>
      </c>
      <c r="O943">
        <v>230918</v>
      </c>
    </row>
    <row r="944" spans="1:15" x14ac:dyDescent="0.25">
      <c r="A944" t="s">
        <v>16</v>
      </c>
      <c r="B944" t="s">
        <v>3221</v>
      </c>
      <c r="C944">
        <v>12363</v>
      </c>
      <c r="D944" t="s">
        <v>448</v>
      </c>
      <c r="E944" t="s">
        <v>449</v>
      </c>
      <c r="F944">
        <v>41.61</v>
      </c>
      <c r="G944">
        <v>231001</v>
      </c>
      <c r="H944">
        <v>4840</v>
      </c>
      <c r="I944" t="s">
        <v>19</v>
      </c>
      <c r="J944">
        <v>51.6</v>
      </c>
      <c r="K944">
        <v>9.99</v>
      </c>
      <c r="L944">
        <v>67554</v>
      </c>
      <c r="M944" t="s">
        <v>60</v>
      </c>
      <c r="N944" t="str">
        <f t="shared" si="56"/>
        <v>2323492-3/19</v>
      </c>
      <c r="O944">
        <v>230918</v>
      </c>
    </row>
    <row r="945" spans="1:15" x14ac:dyDescent="0.25">
      <c r="A945" t="s">
        <v>16</v>
      </c>
      <c r="B945" t="s">
        <v>3221</v>
      </c>
      <c r="C945">
        <v>12363</v>
      </c>
      <c r="D945" t="s">
        <v>448</v>
      </c>
      <c r="E945" t="s">
        <v>449</v>
      </c>
      <c r="F945">
        <v>25.86</v>
      </c>
      <c r="G945">
        <v>231001</v>
      </c>
      <c r="H945">
        <v>4840</v>
      </c>
      <c r="I945" t="s">
        <v>19</v>
      </c>
      <c r="J945">
        <v>32.07</v>
      </c>
      <c r="K945">
        <v>6.21</v>
      </c>
      <c r="L945">
        <v>67554</v>
      </c>
      <c r="M945" t="s">
        <v>60</v>
      </c>
      <c r="N945" t="str">
        <f t="shared" si="56"/>
        <v>2323492-3/19</v>
      </c>
      <c r="O945">
        <v>230918</v>
      </c>
    </row>
    <row r="946" spans="1:15" x14ac:dyDescent="0.25">
      <c r="A946" t="s">
        <v>16</v>
      </c>
      <c r="B946" t="s">
        <v>3221</v>
      </c>
      <c r="C946">
        <v>12363</v>
      </c>
      <c r="D946" t="s">
        <v>448</v>
      </c>
      <c r="E946" t="s">
        <v>449</v>
      </c>
      <c r="F946">
        <v>25.86</v>
      </c>
      <c r="G946">
        <v>231001</v>
      </c>
      <c r="H946">
        <v>4840</v>
      </c>
      <c r="I946" t="s">
        <v>19</v>
      </c>
      <c r="J946">
        <v>32.07</v>
      </c>
      <c r="K946">
        <v>6.21</v>
      </c>
      <c r="L946">
        <v>67554</v>
      </c>
      <c r="M946" t="s">
        <v>60</v>
      </c>
      <c r="N946" t="str">
        <f t="shared" si="56"/>
        <v>2323492-3/19</v>
      </c>
      <c r="O946">
        <v>230918</v>
      </c>
    </row>
    <row r="947" spans="1:15" x14ac:dyDescent="0.25">
      <c r="A947" t="s">
        <v>16</v>
      </c>
      <c r="B947" t="s">
        <v>3221</v>
      </c>
      <c r="C947">
        <v>12363</v>
      </c>
      <c r="D947" t="s">
        <v>448</v>
      </c>
      <c r="E947" t="s">
        <v>449</v>
      </c>
      <c r="F947">
        <v>47.32</v>
      </c>
      <c r="G947">
        <v>231001</v>
      </c>
      <c r="H947">
        <v>4840</v>
      </c>
      <c r="I947" t="s">
        <v>19</v>
      </c>
      <c r="J947">
        <v>58.68</v>
      </c>
      <c r="K947">
        <v>11.36</v>
      </c>
      <c r="L947">
        <v>69111</v>
      </c>
      <c r="M947" t="s">
        <v>471</v>
      </c>
      <c r="N947" t="str">
        <f t="shared" si="56"/>
        <v>2323492-3/19</v>
      </c>
      <c r="O947">
        <v>230918</v>
      </c>
    </row>
    <row r="948" spans="1:15" x14ac:dyDescent="0.25">
      <c r="A948" t="s">
        <v>16</v>
      </c>
      <c r="B948" t="s">
        <v>3221</v>
      </c>
      <c r="C948">
        <v>12363</v>
      </c>
      <c r="D948" t="s">
        <v>448</v>
      </c>
      <c r="E948" t="s">
        <v>449</v>
      </c>
      <c r="F948">
        <v>48.37</v>
      </c>
      <c r="G948">
        <v>231001</v>
      </c>
      <c r="H948">
        <v>4840</v>
      </c>
      <c r="I948" t="s">
        <v>19</v>
      </c>
      <c r="J948">
        <v>59.98</v>
      </c>
      <c r="K948">
        <v>11.61</v>
      </c>
      <c r="L948">
        <v>69112</v>
      </c>
      <c r="M948" t="s">
        <v>313</v>
      </c>
      <c r="N948" t="str">
        <f t="shared" si="56"/>
        <v>2323492-3/19</v>
      </c>
      <c r="O948">
        <v>230918</v>
      </c>
    </row>
    <row r="949" spans="1:15" x14ac:dyDescent="0.25">
      <c r="A949" t="s">
        <v>16</v>
      </c>
      <c r="B949" t="s">
        <v>3221</v>
      </c>
      <c r="C949">
        <v>12363</v>
      </c>
      <c r="D949" t="s">
        <v>448</v>
      </c>
      <c r="E949" t="s">
        <v>449</v>
      </c>
      <c r="F949">
        <v>114.16</v>
      </c>
      <c r="G949">
        <v>231001</v>
      </c>
      <c r="H949">
        <v>4840</v>
      </c>
      <c r="I949" t="s">
        <v>19</v>
      </c>
      <c r="J949">
        <v>141.56</v>
      </c>
      <c r="K949">
        <v>27.4</v>
      </c>
      <c r="L949">
        <v>69501</v>
      </c>
      <c r="M949" t="s">
        <v>185</v>
      </c>
      <c r="N949" t="str">
        <f t="shared" si="56"/>
        <v>2323492-3/19</v>
      </c>
      <c r="O949">
        <v>230918</v>
      </c>
    </row>
    <row r="950" spans="1:15" x14ac:dyDescent="0.25">
      <c r="A950" t="s">
        <v>16</v>
      </c>
      <c r="B950" t="s">
        <v>3221</v>
      </c>
      <c r="C950">
        <v>12363</v>
      </c>
      <c r="D950" t="s">
        <v>448</v>
      </c>
      <c r="E950" t="s">
        <v>449</v>
      </c>
      <c r="F950">
        <v>32.67</v>
      </c>
      <c r="G950">
        <v>231001</v>
      </c>
      <c r="H950">
        <v>4840</v>
      </c>
      <c r="I950" t="s">
        <v>19</v>
      </c>
      <c r="J950">
        <v>40.51</v>
      </c>
      <c r="K950">
        <v>7.84</v>
      </c>
      <c r="L950">
        <v>69701</v>
      </c>
      <c r="M950" t="s">
        <v>488</v>
      </c>
      <c r="N950" t="str">
        <f t="shared" si="56"/>
        <v>2323492-3/19</v>
      </c>
      <c r="O950">
        <v>230918</v>
      </c>
    </row>
    <row r="951" spans="1:15" x14ac:dyDescent="0.25">
      <c r="A951" t="s">
        <v>16</v>
      </c>
      <c r="B951" t="s">
        <v>3221</v>
      </c>
      <c r="C951">
        <v>12363</v>
      </c>
      <c r="D951" t="s">
        <v>448</v>
      </c>
      <c r="E951" t="s">
        <v>449</v>
      </c>
      <c r="F951">
        <v>2373.48</v>
      </c>
      <c r="G951">
        <v>231001</v>
      </c>
      <c r="H951">
        <v>4840</v>
      </c>
      <c r="I951" t="s">
        <v>19</v>
      </c>
      <c r="J951">
        <v>2943.12</v>
      </c>
      <c r="K951">
        <v>569.64</v>
      </c>
      <c r="L951">
        <v>69702</v>
      </c>
      <c r="M951" t="s">
        <v>489</v>
      </c>
      <c r="N951" t="str">
        <f t="shared" si="56"/>
        <v>2323492-3/19</v>
      </c>
      <c r="O951">
        <v>230918</v>
      </c>
    </row>
    <row r="952" spans="1:15" x14ac:dyDescent="0.25">
      <c r="A952" t="s">
        <v>16</v>
      </c>
      <c r="B952" t="s">
        <v>3221</v>
      </c>
      <c r="C952">
        <v>12363</v>
      </c>
      <c r="D952" t="s">
        <v>448</v>
      </c>
      <c r="E952" t="s">
        <v>449</v>
      </c>
      <c r="F952">
        <v>70.150000000000006</v>
      </c>
      <c r="G952">
        <v>231001</v>
      </c>
      <c r="H952">
        <v>4840</v>
      </c>
      <c r="I952" t="s">
        <v>19</v>
      </c>
      <c r="J952">
        <v>86.99</v>
      </c>
      <c r="K952">
        <v>16.84</v>
      </c>
      <c r="L952">
        <v>69703</v>
      </c>
      <c r="M952" t="s">
        <v>1036</v>
      </c>
      <c r="N952" t="str">
        <f t="shared" si="56"/>
        <v>2323492-3/19</v>
      </c>
      <c r="O952">
        <v>230918</v>
      </c>
    </row>
    <row r="953" spans="1:15" x14ac:dyDescent="0.25">
      <c r="A953" t="s">
        <v>16</v>
      </c>
      <c r="B953" t="s">
        <v>3221</v>
      </c>
      <c r="C953">
        <v>12363</v>
      </c>
      <c r="D953" t="s">
        <v>448</v>
      </c>
      <c r="E953" t="s">
        <v>449</v>
      </c>
      <c r="F953">
        <v>522.72</v>
      </c>
      <c r="G953">
        <v>231001</v>
      </c>
      <c r="H953">
        <v>4840</v>
      </c>
      <c r="I953" t="s">
        <v>19</v>
      </c>
      <c r="J953">
        <v>648.16999999999996</v>
      </c>
      <c r="K953">
        <v>125.45</v>
      </c>
      <c r="L953">
        <v>69704</v>
      </c>
      <c r="M953" t="s">
        <v>325</v>
      </c>
      <c r="N953" t="str">
        <f t="shared" si="56"/>
        <v>2323492-3/19</v>
      </c>
      <c r="O953">
        <v>230918</v>
      </c>
    </row>
    <row r="954" spans="1:15" x14ac:dyDescent="0.25">
      <c r="A954" t="s">
        <v>16</v>
      </c>
      <c r="B954" t="s">
        <v>3221</v>
      </c>
      <c r="C954">
        <v>12363</v>
      </c>
      <c r="D954" t="s">
        <v>448</v>
      </c>
      <c r="E954" t="s">
        <v>449</v>
      </c>
      <c r="F954">
        <v>73.11</v>
      </c>
      <c r="G954">
        <v>231001</v>
      </c>
      <c r="H954">
        <v>4840</v>
      </c>
      <c r="I954" t="s">
        <v>19</v>
      </c>
      <c r="J954">
        <v>90.66</v>
      </c>
      <c r="K954">
        <v>17.55</v>
      </c>
      <c r="L954">
        <v>69707</v>
      </c>
      <c r="M954" t="s">
        <v>490</v>
      </c>
      <c r="N954" t="str">
        <f t="shared" si="56"/>
        <v>2323492-3/19</v>
      </c>
      <c r="O954">
        <v>230918</v>
      </c>
    </row>
    <row r="955" spans="1:15" x14ac:dyDescent="0.25">
      <c r="A955" t="s">
        <v>16</v>
      </c>
      <c r="B955" t="s">
        <v>3221</v>
      </c>
      <c r="C955">
        <v>12363</v>
      </c>
      <c r="D955" t="s">
        <v>448</v>
      </c>
      <c r="E955" t="s">
        <v>449</v>
      </c>
      <c r="F955">
        <v>40.83</v>
      </c>
      <c r="G955">
        <v>231001</v>
      </c>
      <c r="H955">
        <v>4840</v>
      </c>
      <c r="I955" t="s">
        <v>19</v>
      </c>
      <c r="J955">
        <v>50.63</v>
      </c>
      <c r="K955">
        <v>9.8000000000000007</v>
      </c>
      <c r="L955">
        <v>69708</v>
      </c>
      <c r="M955" t="s">
        <v>491</v>
      </c>
      <c r="N955" t="str">
        <f t="shared" si="56"/>
        <v>2323492-3/19</v>
      </c>
      <c r="O955">
        <v>230918</v>
      </c>
    </row>
    <row r="956" spans="1:15" x14ac:dyDescent="0.25">
      <c r="A956" t="s">
        <v>16</v>
      </c>
      <c r="B956" t="s">
        <v>3221</v>
      </c>
      <c r="C956">
        <v>12439</v>
      </c>
      <c r="D956" t="s">
        <v>448</v>
      </c>
      <c r="E956" t="s">
        <v>449</v>
      </c>
      <c r="F956">
        <v>349.21</v>
      </c>
      <c r="G956">
        <v>231001</v>
      </c>
      <c r="H956">
        <v>4840</v>
      </c>
      <c r="I956" t="s">
        <v>19</v>
      </c>
      <c r="J956">
        <v>433.02</v>
      </c>
      <c r="K956">
        <v>83.81</v>
      </c>
      <c r="L956">
        <v>13601</v>
      </c>
      <c r="M956" t="s">
        <v>147</v>
      </c>
      <c r="N956" t="str">
        <f>"323492-12/19"</f>
        <v>323492-12/19</v>
      </c>
      <c r="O956">
        <v>230920</v>
      </c>
    </row>
    <row r="957" spans="1:15" x14ac:dyDescent="0.25">
      <c r="A957" t="s">
        <v>16</v>
      </c>
      <c r="B957" t="s">
        <v>3221</v>
      </c>
      <c r="C957">
        <v>12439</v>
      </c>
      <c r="D957" t="s">
        <v>448</v>
      </c>
      <c r="E957" t="s">
        <v>449</v>
      </c>
      <c r="F957">
        <v>85.38</v>
      </c>
      <c r="G957">
        <v>231001</v>
      </c>
      <c r="H957">
        <v>4840</v>
      </c>
      <c r="I957" t="s">
        <v>19</v>
      </c>
      <c r="J957">
        <v>105.87</v>
      </c>
      <c r="K957">
        <v>20.49</v>
      </c>
      <c r="L957">
        <v>13601</v>
      </c>
      <c r="M957" t="s">
        <v>147</v>
      </c>
      <c r="N957" t="str">
        <f>"323492-12/19"</f>
        <v>323492-12/19</v>
      </c>
      <c r="O957">
        <v>230920</v>
      </c>
    </row>
    <row r="958" spans="1:15" x14ac:dyDescent="0.25">
      <c r="A958" t="s">
        <v>16</v>
      </c>
      <c r="B958" t="s">
        <v>3221</v>
      </c>
      <c r="C958">
        <v>12439</v>
      </c>
      <c r="D958" t="s">
        <v>448</v>
      </c>
      <c r="E958" t="s">
        <v>449</v>
      </c>
      <c r="F958">
        <v>51.1</v>
      </c>
      <c r="G958">
        <v>231001</v>
      </c>
      <c r="H958">
        <v>4840</v>
      </c>
      <c r="I958" t="s">
        <v>19</v>
      </c>
      <c r="J958">
        <v>63.36</v>
      </c>
      <c r="K958">
        <v>12.26</v>
      </c>
      <c r="L958">
        <v>13661</v>
      </c>
      <c r="M958" t="s">
        <v>247</v>
      </c>
      <c r="N958" t="str">
        <f>"323492-12/19"</f>
        <v>323492-12/19</v>
      </c>
      <c r="O958">
        <v>230920</v>
      </c>
    </row>
    <row r="959" spans="1:15" x14ac:dyDescent="0.25">
      <c r="A959" t="s">
        <v>16</v>
      </c>
      <c r="B959" t="s">
        <v>3221</v>
      </c>
      <c r="C959">
        <v>12439</v>
      </c>
      <c r="D959" t="s">
        <v>448</v>
      </c>
      <c r="E959" t="s">
        <v>449</v>
      </c>
      <c r="F959">
        <v>10.35</v>
      </c>
      <c r="G959">
        <v>231001</v>
      </c>
      <c r="H959">
        <v>4840</v>
      </c>
      <c r="I959" t="s">
        <v>19</v>
      </c>
      <c r="J959">
        <v>12.83</v>
      </c>
      <c r="K959">
        <v>2.48</v>
      </c>
      <c r="L959">
        <v>13801</v>
      </c>
      <c r="M959" t="s">
        <v>162</v>
      </c>
      <c r="N959" t="str">
        <f>"323492-12/19"</f>
        <v>323492-12/19</v>
      </c>
      <c r="O959">
        <v>230920</v>
      </c>
    </row>
    <row r="960" spans="1:15" x14ac:dyDescent="0.25">
      <c r="A960" t="s">
        <v>16</v>
      </c>
      <c r="B960" t="s">
        <v>3221</v>
      </c>
      <c r="C960">
        <v>12440</v>
      </c>
      <c r="D960" t="s">
        <v>448</v>
      </c>
      <c r="E960" t="s">
        <v>449</v>
      </c>
      <c r="F960">
        <v>38.89</v>
      </c>
      <c r="G960">
        <v>231001</v>
      </c>
      <c r="H960">
        <v>4840</v>
      </c>
      <c r="I960" t="s">
        <v>19</v>
      </c>
      <c r="J960">
        <v>48.22</v>
      </c>
      <c r="K960">
        <v>9.33</v>
      </c>
      <c r="L960">
        <v>13601</v>
      </c>
      <c r="M960" t="s">
        <v>147</v>
      </c>
      <c r="N960" t="str">
        <f>"323492-14/19"</f>
        <v>323492-14/19</v>
      </c>
      <c r="O960">
        <v>230920</v>
      </c>
    </row>
    <row r="961" spans="1:15" x14ac:dyDescent="0.25">
      <c r="A961" t="s">
        <v>16</v>
      </c>
      <c r="B961" t="s">
        <v>3221</v>
      </c>
      <c r="C961">
        <v>12440</v>
      </c>
      <c r="D961" t="s">
        <v>448</v>
      </c>
      <c r="E961" t="s">
        <v>449</v>
      </c>
      <c r="F961">
        <v>1408.17</v>
      </c>
      <c r="G961">
        <v>231001</v>
      </c>
      <c r="H961">
        <v>4840</v>
      </c>
      <c r="I961" t="s">
        <v>19</v>
      </c>
      <c r="J961">
        <v>1746.13</v>
      </c>
      <c r="K961">
        <v>337.96</v>
      </c>
      <c r="L961">
        <v>13801</v>
      </c>
      <c r="M961" t="s">
        <v>162</v>
      </c>
      <c r="N961" t="str">
        <f>"323492-14/19"</f>
        <v>323492-14/19</v>
      </c>
      <c r="O961">
        <v>230920</v>
      </c>
    </row>
    <row r="962" spans="1:15" x14ac:dyDescent="0.25">
      <c r="A962" t="s">
        <v>16</v>
      </c>
      <c r="B962" t="s">
        <v>3221</v>
      </c>
      <c r="C962">
        <v>12440</v>
      </c>
      <c r="D962" t="s">
        <v>448</v>
      </c>
      <c r="E962" t="s">
        <v>449</v>
      </c>
      <c r="F962">
        <v>72.84</v>
      </c>
      <c r="G962">
        <v>231001</v>
      </c>
      <c r="H962">
        <v>4840</v>
      </c>
      <c r="I962" t="s">
        <v>19</v>
      </c>
      <c r="J962">
        <v>90.32</v>
      </c>
      <c r="K962">
        <v>17.48</v>
      </c>
      <c r="L962">
        <v>13801</v>
      </c>
      <c r="M962" t="s">
        <v>162</v>
      </c>
      <c r="N962" t="str">
        <f>"323492-14/19"</f>
        <v>323492-14/19</v>
      </c>
      <c r="O962">
        <v>230920</v>
      </c>
    </row>
    <row r="963" spans="1:15" x14ac:dyDescent="0.25">
      <c r="A963" t="s">
        <v>16</v>
      </c>
      <c r="B963" t="s">
        <v>3221</v>
      </c>
      <c r="C963">
        <v>12440</v>
      </c>
      <c r="D963" t="s">
        <v>448</v>
      </c>
      <c r="E963" t="s">
        <v>449</v>
      </c>
      <c r="F963">
        <v>291.17</v>
      </c>
      <c r="G963">
        <v>231001</v>
      </c>
      <c r="H963">
        <v>4840</v>
      </c>
      <c r="I963" t="s">
        <v>19</v>
      </c>
      <c r="J963">
        <v>361.05</v>
      </c>
      <c r="K963">
        <v>69.88</v>
      </c>
      <c r="L963">
        <v>13802</v>
      </c>
      <c r="M963" t="s">
        <v>200</v>
      </c>
      <c r="N963" t="str">
        <f>"323492-14/19"</f>
        <v>323492-14/19</v>
      </c>
      <c r="O963">
        <v>230920</v>
      </c>
    </row>
    <row r="964" spans="1:15" x14ac:dyDescent="0.25">
      <c r="A964" t="s">
        <v>16</v>
      </c>
      <c r="B964" t="s">
        <v>3221</v>
      </c>
      <c r="C964">
        <v>12608</v>
      </c>
      <c r="D964" t="s">
        <v>448</v>
      </c>
      <c r="E964" t="s">
        <v>449</v>
      </c>
      <c r="F964">
        <v>151.51</v>
      </c>
      <c r="G964">
        <v>231001</v>
      </c>
      <c r="H964">
        <v>4840</v>
      </c>
      <c r="I964" t="s">
        <v>19</v>
      </c>
      <c r="J964">
        <v>187.87</v>
      </c>
      <c r="K964">
        <v>36.36</v>
      </c>
      <c r="L964">
        <v>18010</v>
      </c>
      <c r="M964" t="s">
        <v>1344</v>
      </c>
      <c r="N964" t="str">
        <f>"323492-16/19"</f>
        <v>323492-16/19</v>
      </c>
      <c r="O964">
        <v>230922</v>
      </c>
    </row>
    <row r="965" spans="1:15" x14ac:dyDescent="0.25">
      <c r="A965" t="s">
        <v>16</v>
      </c>
      <c r="B965" t="s">
        <v>3221</v>
      </c>
      <c r="C965">
        <v>12608</v>
      </c>
      <c r="D965" t="s">
        <v>448</v>
      </c>
      <c r="E965" t="s">
        <v>449</v>
      </c>
      <c r="F965">
        <v>81.56</v>
      </c>
      <c r="G965">
        <v>231001</v>
      </c>
      <c r="H965">
        <v>4840</v>
      </c>
      <c r="I965" t="s">
        <v>19</v>
      </c>
      <c r="J965">
        <v>101.14</v>
      </c>
      <c r="K965">
        <v>19.579999999999998</v>
      </c>
      <c r="L965">
        <v>18120</v>
      </c>
      <c r="M965" t="s">
        <v>329</v>
      </c>
      <c r="N965" t="str">
        <f>"323492-16/19"</f>
        <v>323492-16/19</v>
      </c>
      <c r="O965">
        <v>230922</v>
      </c>
    </row>
    <row r="966" spans="1:15" x14ac:dyDescent="0.25">
      <c r="A966" t="s">
        <v>16</v>
      </c>
      <c r="B966" t="s">
        <v>3221</v>
      </c>
      <c r="C966">
        <v>12608</v>
      </c>
      <c r="D966" t="s">
        <v>448</v>
      </c>
      <c r="E966" t="s">
        <v>449</v>
      </c>
      <c r="F966">
        <v>445.54</v>
      </c>
      <c r="G966">
        <v>231001</v>
      </c>
      <c r="H966">
        <v>4840</v>
      </c>
      <c r="I966" t="s">
        <v>19</v>
      </c>
      <c r="J966">
        <v>552.47</v>
      </c>
      <c r="K966">
        <v>106.93</v>
      </c>
      <c r="L966">
        <v>18972</v>
      </c>
      <c r="M966" t="s">
        <v>163</v>
      </c>
      <c r="N966" t="str">
        <f>"323492-16/19"</f>
        <v>323492-16/19</v>
      </c>
      <c r="O966">
        <v>230922</v>
      </c>
    </row>
    <row r="967" spans="1:15" x14ac:dyDescent="0.25">
      <c r="A967" t="s">
        <v>16</v>
      </c>
      <c r="B967" t="s">
        <v>3221</v>
      </c>
      <c r="C967">
        <v>12608</v>
      </c>
      <c r="D967" t="s">
        <v>448</v>
      </c>
      <c r="E967" t="s">
        <v>449</v>
      </c>
      <c r="F967">
        <v>826.5</v>
      </c>
      <c r="G967">
        <v>231001</v>
      </c>
      <c r="H967">
        <v>4840</v>
      </c>
      <c r="I967" t="s">
        <v>19</v>
      </c>
      <c r="J967">
        <v>1024.8599999999999</v>
      </c>
      <c r="K967">
        <v>198.36</v>
      </c>
      <c r="L967">
        <v>18982</v>
      </c>
      <c r="M967" t="s">
        <v>1121</v>
      </c>
      <c r="N967" t="str">
        <f>"323492-16/19"</f>
        <v>323492-16/19</v>
      </c>
      <c r="O967">
        <v>230922</v>
      </c>
    </row>
    <row r="968" spans="1:15" x14ac:dyDescent="0.25">
      <c r="A968" t="s">
        <v>16</v>
      </c>
      <c r="B968" t="s">
        <v>3221</v>
      </c>
      <c r="C968">
        <v>12609</v>
      </c>
      <c r="D968" t="s">
        <v>448</v>
      </c>
      <c r="E968" t="s">
        <v>449</v>
      </c>
      <c r="F968">
        <v>871.15</v>
      </c>
      <c r="G968">
        <v>231001</v>
      </c>
      <c r="H968">
        <v>4840</v>
      </c>
      <c r="I968" t="s">
        <v>19</v>
      </c>
      <c r="J968">
        <v>1080.23</v>
      </c>
      <c r="K968">
        <v>209.08</v>
      </c>
      <c r="L968">
        <v>16121</v>
      </c>
      <c r="M968" t="s">
        <v>21</v>
      </c>
      <c r="N968" t="str">
        <f t="shared" ref="N968:N974" si="57">"2323492-7/19"</f>
        <v>2323492-7/19</v>
      </c>
      <c r="O968">
        <v>230922</v>
      </c>
    </row>
    <row r="969" spans="1:15" x14ac:dyDescent="0.25">
      <c r="A969" t="s">
        <v>16</v>
      </c>
      <c r="B969" t="s">
        <v>3221</v>
      </c>
      <c r="C969">
        <v>12609</v>
      </c>
      <c r="D969" t="s">
        <v>448</v>
      </c>
      <c r="E969" t="s">
        <v>449</v>
      </c>
      <c r="F969">
        <v>368.47</v>
      </c>
      <c r="G969">
        <v>231001</v>
      </c>
      <c r="H969">
        <v>4840</v>
      </c>
      <c r="I969" t="s">
        <v>19</v>
      </c>
      <c r="J969">
        <v>456.9</v>
      </c>
      <c r="K969">
        <v>88.43</v>
      </c>
      <c r="L969">
        <v>16121</v>
      </c>
      <c r="M969" t="s">
        <v>21</v>
      </c>
      <c r="N969" t="str">
        <f t="shared" si="57"/>
        <v>2323492-7/19</v>
      </c>
      <c r="O969">
        <v>230922</v>
      </c>
    </row>
    <row r="970" spans="1:15" x14ac:dyDescent="0.25">
      <c r="A970" t="s">
        <v>16</v>
      </c>
      <c r="B970" t="s">
        <v>3221</v>
      </c>
      <c r="C970">
        <v>12609</v>
      </c>
      <c r="D970" t="s">
        <v>448</v>
      </c>
      <c r="E970" t="s">
        <v>449</v>
      </c>
      <c r="F970">
        <v>50.82</v>
      </c>
      <c r="G970">
        <v>231001</v>
      </c>
      <c r="H970">
        <v>4840</v>
      </c>
      <c r="I970" t="s">
        <v>19</v>
      </c>
      <c r="J970">
        <v>63.02</v>
      </c>
      <c r="K970">
        <v>12.2</v>
      </c>
      <c r="L970">
        <v>16322</v>
      </c>
      <c r="M970" t="s">
        <v>22</v>
      </c>
      <c r="N970" t="str">
        <f t="shared" si="57"/>
        <v>2323492-7/19</v>
      </c>
      <c r="O970">
        <v>230922</v>
      </c>
    </row>
    <row r="971" spans="1:15" x14ac:dyDescent="0.25">
      <c r="A971" t="s">
        <v>16</v>
      </c>
      <c r="B971" t="s">
        <v>3221</v>
      </c>
      <c r="C971">
        <v>12609</v>
      </c>
      <c r="D971" t="s">
        <v>448</v>
      </c>
      <c r="E971" t="s">
        <v>449</v>
      </c>
      <c r="F971">
        <v>1122.3800000000001</v>
      </c>
      <c r="G971">
        <v>231001</v>
      </c>
      <c r="H971">
        <v>4840</v>
      </c>
      <c r="I971" t="s">
        <v>19</v>
      </c>
      <c r="J971">
        <v>1391.75</v>
      </c>
      <c r="K971">
        <v>269.37</v>
      </c>
      <c r="L971">
        <v>16820</v>
      </c>
      <c r="M971" t="s">
        <v>23</v>
      </c>
      <c r="N971" t="str">
        <f t="shared" si="57"/>
        <v>2323492-7/19</v>
      </c>
      <c r="O971">
        <v>230922</v>
      </c>
    </row>
    <row r="972" spans="1:15" x14ac:dyDescent="0.25">
      <c r="A972" t="s">
        <v>16</v>
      </c>
      <c r="B972" t="s">
        <v>3221</v>
      </c>
      <c r="C972">
        <v>12609</v>
      </c>
      <c r="D972" t="s">
        <v>448</v>
      </c>
      <c r="E972" t="s">
        <v>449</v>
      </c>
      <c r="F972">
        <v>12.98</v>
      </c>
      <c r="G972">
        <v>231001</v>
      </c>
      <c r="H972">
        <v>4840</v>
      </c>
      <c r="I972" t="s">
        <v>19</v>
      </c>
      <c r="J972">
        <v>16.100000000000001</v>
      </c>
      <c r="K972">
        <v>3.12</v>
      </c>
      <c r="L972">
        <v>17971</v>
      </c>
      <c r="M972" t="s">
        <v>138</v>
      </c>
      <c r="N972" t="str">
        <f t="shared" si="57"/>
        <v>2323492-7/19</v>
      </c>
      <c r="O972">
        <v>230922</v>
      </c>
    </row>
    <row r="973" spans="1:15" x14ac:dyDescent="0.25">
      <c r="A973" t="s">
        <v>16</v>
      </c>
      <c r="B973" t="s">
        <v>3221</v>
      </c>
      <c r="C973">
        <v>12609</v>
      </c>
      <c r="D973" t="s">
        <v>448</v>
      </c>
      <c r="E973" t="s">
        <v>449</v>
      </c>
      <c r="F973">
        <v>54.06</v>
      </c>
      <c r="G973">
        <v>231001</v>
      </c>
      <c r="H973">
        <v>4840</v>
      </c>
      <c r="I973" t="s">
        <v>19</v>
      </c>
      <c r="J973">
        <v>67.03</v>
      </c>
      <c r="K973">
        <v>12.97</v>
      </c>
      <c r="L973">
        <v>17972</v>
      </c>
      <c r="M973" t="s">
        <v>248</v>
      </c>
      <c r="N973" t="str">
        <f t="shared" si="57"/>
        <v>2323492-7/19</v>
      </c>
      <c r="O973">
        <v>230922</v>
      </c>
    </row>
    <row r="974" spans="1:15" x14ac:dyDescent="0.25">
      <c r="A974" t="s">
        <v>16</v>
      </c>
      <c r="B974" t="s">
        <v>3221</v>
      </c>
      <c r="C974">
        <v>12609</v>
      </c>
      <c r="D974" t="s">
        <v>448</v>
      </c>
      <c r="E974" t="s">
        <v>449</v>
      </c>
      <c r="F974">
        <v>121.27</v>
      </c>
      <c r="G974">
        <v>231001</v>
      </c>
      <c r="H974">
        <v>4840</v>
      </c>
      <c r="I974" t="s">
        <v>19</v>
      </c>
      <c r="J974">
        <v>150.37</v>
      </c>
      <c r="K974">
        <v>29.1</v>
      </c>
      <c r="L974">
        <v>17974</v>
      </c>
      <c r="M974" t="s">
        <v>460</v>
      </c>
      <c r="N974" t="str">
        <f t="shared" si="57"/>
        <v>2323492-7/19</v>
      </c>
      <c r="O974">
        <v>230922</v>
      </c>
    </row>
    <row r="975" spans="1:15" x14ac:dyDescent="0.25">
      <c r="A975" t="s">
        <v>16</v>
      </c>
      <c r="B975" t="s">
        <v>3221</v>
      </c>
      <c r="C975">
        <v>12720</v>
      </c>
      <c r="D975" t="s">
        <v>448</v>
      </c>
      <c r="E975" t="s">
        <v>449</v>
      </c>
      <c r="F975">
        <v>31.2</v>
      </c>
      <c r="G975">
        <v>231001</v>
      </c>
      <c r="H975">
        <v>4840</v>
      </c>
      <c r="I975" t="s">
        <v>19</v>
      </c>
      <c r="J975">
        <v>38.69</v>
      </c>
      <c r="K975">
        <v>7.49</v>
      </c>
      <c r="L975">
        <v>17131</v>
      </c>
      <c r="M975" t="s">
        <v>64</v>
      </c>
      <c r="N975" t="str">
        <f t="shared" ref="N975:N984" si="58">"323492-13/19"</f>
        <v>323492-13/19</v>
      </c>
      <c r="O975">
        <v>230925</v>
      </c>
    </row>
    <row r="976" spans="1:15" x14ac:dyDescent="0.25">
      <c r="A976" t="s">
        <v>16</v>
      </c>
      <c r="B976" t="s">
        <v>3221</v>
      </c>
      <c r="C976">
        <v>12720</v>
      </c>
      <c r="D976" t="s">
        <v>448</v>
      </c>
      <c r="E976" t="s">
        <v>449</v>
      </c>
      <c r="F976">
        <v>56.19</v>
      </c>
      <c r="G976">
        <v>231001</v>
      </c>
      <c r="H976">
        <v>4840</v>
      </c>
      <c r="I976" t="s">
        <v>19</v>
      </c>
      <c r="J976">
        <v>69.680000000000007</v>
      </c>
      <c r="K976">
        <v>13.49</v>
      </c>
      <c r="L976">
        <v>17131</v>
      </c>
      <c r="M976" t="s">
        <v>64</v>
      </c>
      <c r="N976" t="str">
        <f t="shared" si="58"/>
        <v>323492-13/19</v>
      </c>
      <c r="O976">
        <v>230925</v>
      </c>
    </row>
    <row r="977" spans="1:15" x14ac:dyDescent="0.25">
      <c r="A977" t="s">
        <v>16</v>
      </c>
      <c r="B977" t="s">
        <v>3221</v>
      </c>
      <c r="C977">
        <v>12720</v>
      </c>
      <c r="D977" t="s">
        <v>448</v>
      </c>
      <c r="E977" t="s">
        <v>449</v>
      </c>
      <c r="F977">
        <v>31.21</v>
      </c>
      <c r="G977">
        <v>231001</v>
      </c>
      <c r="H977">
        <v>4840</v>
      </c>
      <c r="I977" t="s">
        <v>19</v>
      </c>
      <c r="J977">
        <v>38.700000000000003</v>
      </c>
      <c r="K977">
        <v>7.49</v>
      </c>
      <c r="L977">
        <v>17711</v>
      </c>
      <c r="M977" t="s">
        <v>65</v>
      </c>
      <c r="N977" t="str">
        <f t="shared" si="58"/>
        <v>323492-13/19</v>
      </c>
      <c r="O977">
        <v>230925</v>
      </c>
    </row>
    <row r="978" spans="1:15" x14ac:dyDescent="0.25">
      <c r="A978" t="s">
        <v>16</v>
      </c>
      <c r="B978" t="s">
        <v>3221</v>
      </c>
      <c r="C978">
        <v>12720</v>
      </c>
      <c r="D978" t="s">
        <v>448</v>
      </c>
      <c r="E978" t="s">
        <v>449</v>
      </c>
      <c r="F978">
        <v>221.65</v>
      </c>
      <c r="G978">
        <v>231001</v>
      </c>
      <c r="H978">
        <v>4840</v>
      </c>
      <c r="I978" t="s">
        <v>19</v>
      </c>
      <c r="J978">
        <v>274.85000000000002</v>
      </c>
      <c r="K978">
        <v>53.2</v>
      </c>
      <c r="L978">
        <v>17711</v>
      </c>
      <c r="M978" t="s">
        <v>65</v>
      </c>
      <c r="N978" t="str">
        <f t="shared" si="58"/>
        <v>323492-13/19</v>
      </c>
      <c r="O978">
        <v>230925</v>
      </c>
    </row>
    <row r="979" spans="1:15" x14ac:dyDescent="0.25">
      <c r="A979" t="s">
        <v>16</v>
      </c>
      <c r="B979" t="s">
        <v>3221</v>
      </c>
      <c r="C979">
        <v>12720</v>
      </c>
      <c r="D979" t="s">
        <v>448</v>
      </c>
      <c r="E979" t="s">
        <v>449</v>
      </c>
      <c r="F979">
        <v>539.36</v>
      </c>
      <c r="G979">
        <v>231001</v>
      </c>
      <c r="H979">
        <v>4840</v>
      </c>
      <c r="I979" t="s">
        <v>19</v>
      </c>
      <c r="J979">
        <v>668.81</v>
      </c>
      <c r="K979">
        <v>129.44999999999999</v>
      </c>
      <c r="L979">
        <v>17711</v>
      </c>
      <c r="M979" t="s">
        <v>65</v>
      </c>
      <c r="N979" t="str">
        <f t="shared" si="58"/>
        <v>323492-13/19</v>
      </c>
      <c r="O979">
        <v>230925</v>
      </c>
    </row>
    <row r="980" spans="1:15" x14ac:dyDescent="0.25">
      <c r="A980" t="s">
        <v>16</v>
      </c>
      <c r="B980" t="s">
        <v>3221</v>
      </c>
      <c r="C980">
        <v>12720</v>
      </c>
      <c r="D980" t="s">
        <v>448</v>
      </c>
      <c r="E980" t="s">
        <v>449</v>
      </c>
      <c r="F980">
        <v>25.41</v>
      </c>
      <c r="G980">
        <v>231001</v>
      </c>
      <c r="H980">
        <v>4840</v>
      </c>
      <c r="I980" t="s">
        <v>19</v>
      </c>
      <c r="J980">
        <v>31.51</v>
      </c>
      <c r="K980">
        <v>6.1</v>
      </c>
      <c r="L980">
        <v>17737</v>
      </c>
      <c r="M980" t="s">
        <v>279</v>
      </c>
      <c r="N980" t="str">
        <f t="shared" si="58"/>
        <v>323492-13/19</v>
      </c>
      <c r="O980">
        <v>230925</v>
      </c>
    </row>
    <row r="981" spans="1:15" x14ac:dyDescent="0.25">
      <c r="A981" t="s">
        <v>16</v>
      </c>
      <c r="B981" t="s">
        <v>3221</v>
      </c>
      <c r="C981">
        <v>12720</v>
      </c>
      <c r="D981" t="s">
        <v>448</v>
      </c>
      <c r="E981" t="s">
        <v>449</v>
      </c>
      <c r="F981">
        <v>25.41</v>
      </c>
      <c r="G981">
        <v>231001</v>
      </c>
      <c r="H981">
        <v>4840</v>
      </c>
      <c r="I981" t="s">
        <v>19</v>
      </c>
      <c r="J981">
        <v>31.51</v>
      </c>
      <c r="K981">
        <v>6.1</v>
      </c>
      <c r="L981">
        <v>17737</v>
      </c>
      <c r="M981" t="s">
        <v>279</v>
      </c>
      <c r="N981" t="str">
        <f t="shared" si="58"/>
        <v>323492-13/19</v>
      </c>
      <c r="O981">
        <v>230925</v>
      </c>
    </row>
    <row r="982" spans="1:15" x14ac:dyDescent="0.25">
      <c r="A982" t="s">
        <v>16</v>
      </c>
      <c r="B982" t="s">
        <v>3221</v>
      </c>
      <c r="C982">
        <v>12720</v>
      </c>
      <c r="D982" t="s">
        <v>448</v>
      </c>
      <c r="E982" t="s">
        <v>449</v>
      </c>
      <c r="F982">
        <v>25.41</v>
      </c>
      <c r="G982">
        <v>231001</v>
      </c>
      <c r="H982">
        <v>4840</v>
      </c>
      <c r="I982" t="s">
        <v>19</v>
      </c>
      <c r="J982">
        <v>31.51</v>
      </c>
      <c r="K982">
        <v>6.1</v>
      </c>
      <c r="L982">
        <v>17912</v>
      </c>
      <c r="M982" t="s">
        <v>419</v>
      </c>
      <c r="N982" t="str">
        <f t="shared" si="58"/>
        <v>323492-13/19</v>
      </c>
      <c r="O982">
        <v>230925</v>
      </c>
    </row>
    <row r="983" spans="1:15" x14ac:dyDescent="0.25">
      <c r="A983" t="s">
        <v>16</v>
      </c>
      <c r="B983" t="s">
        <v>3221</v>
      </c>
      <c r="C983">
        <v>12720</v>
      </c>
      <c r="D983" t="s">
        <v>448</v>
      </c>
      <c r="E983" t="s">
        <v>449</v>
      </c>
      <c r="F983">
        <v>76.23</v>
      </c>
      <c r="G983">
        <v>231001</v>
      </c>
      <c r="H983">
        <v>4840</v>
      </c>
      <c r="I983" t="s">
        <v>19</v>
      </c>
      <c r="J983">
        <v>94.53</v>
      </c>
      <c r="K983">
        <v>18.3</v>
      </c>
      <c r="L983">
        <v>17952</v>
      </c>
      <c r="M983" t="s">
        <v>88</v>
      </c>
      <c r="N983" t="str">
        <f t="shared" si="58"/>
        <v>323492-13/19</v>
      </c>
      <c r="O983">
        <v>230925</v>
      </c>
    </row>
    <row r="984" spans="1:15" x14ac:dyDescent="0.25">
      <c r="A984" t="s">
        <v>16</v>
      </c>
      <c r="B984" t="s">
        <v>3221</v>
      </c>
      <c r="C984">
        <v>12720</v>
      </c>
      <c r="D984" t="s">
        <v>448</v>
      </c>
      <c r="E984" t="s">
        <v>449</v>
      </c>
      <c r="F984">
        <v>46.28</v>
      </c>
      <c r="G984">
        <v>231001</v>
      </c>
      <c r="H984">
        <v>4840</v>
      </c>
      <c r="I984" t="s">
        <v>19</v>
      </c>
      <c r="J984">
        <v>57.39</v>
      </c>
      <c r="K984">
        <v>11.11</v>
      </c>
      <c r="L984">
        <v>17972</v>
      </c>
      <c r="M984" t="s">
        <v>248</v>
      </c>
      <c r="N984" t="str">
        <f t="shared" si="58"/>
        <v>323492-13/19</v>
      </c>
      <c r="O984">
        <v>230925</v>
      </c>
    </row>
    <row r="985" spans="1:15" x14ac:dyDescent="0.25">
      <c r="A985" t="s">
        <v>16</v>
      </c>
      <c r="B985" t="s">
        <v>3221</v>
      </c>
      <c r="C985">
        <v>12726</v>
      </c>
      <c r="D985" t="s">
        <v>448</v>
      </c>
      <c r="E985" t="s">
        <v>449</v>
      </c>
      <c r="F985">
        <v>162.27000000000001</v>
      </c>
      <c r="G985">
        <v>231001</v>
      </c>
      <c r="H985">
        <v>4840</v>
      </c>
      <c r="I985" t="s">
        <v>19</v>
      </c>
      <c r="J985">
        <v>201.21</v>
      </c>
      <c r="K985">
        <v>38.94</v>
      </c>
      <c r="L985">
        <v>53222</v>
      </c>
      <c r="M985" t="s">
        <v>445</v>
      </c>
      <c r="N985" t="str">
        <f t="shared" ref="N985:N996" si="59">"2323492-9/19"</f>
        <v>2323492-9/19</v>
      </c>
      <c r="O985">
        <v>230925</v>
      </c>
    </row>
    <row r="986" spans="1:15" x14ac:dyDescent="0.25">
      <c r="A986" t="s">
        <v>16</v>
      </c>
      <c r="B986" t="s">
        <v>3221</v>
      </c>
      <c r="C986">
        <v>12726</v>
      </c>
      <c r="D986" t="s">
        <v>448</v>
      </c>
      <c r="E986" t="s">
        <v>449</v>
      </c>
      <c r="F986">
        <v>190.71</v>
      </c>
      <c r="G986">
        <v>231001</v>
      </c>
      <c r="H986">
        <v>4840</v>
      </c>
      <c r="I986" t="s">
        <v>19</v>
      </c>
      <c r="J986">
        <v>236.48</v>
      </c>
      <c r="K986">
        <v>45.77</v>
      </c>
      <c r="L986">
        <v>53222</v>
      </c>
      <c r="M986" t="s">
        <v>445</v>
      </c>
      <c r="N986" t="str">
        <f t="shared" si="59"/>
        <v>2323492-9/19</v>
      </c>
      <c r="O986">
        <v>230925</v>
      </c>
    </row>
    <row r="987" spans="1:15" x14ac:dyDescent="0.25">
      <c r="A987" t="s">
        <v>16</v>
      </c>
      <c r="B987" t="s">
        <v>3221</v>
      </c>
      <c r="C987">
        <v>12726</v>
      </c>
      <c r="D987" t="s">
        <v>448</v>
      </c>
      <c r="E987" t="s">
        <v>449</v>
      </c>
      <c r="F987">
        <v>674.2</v>
      </c>
      <c r="G987">
        <v>231001</v>
      </c>
      <c r="H987">
        <v>4840</v>
      </c>
      <c r="I987" t="s">
        <v>19</v>
      </c>
      <c r="J987">
        <v>836.01</v>
      </c>
      <c r="K987">
        <v>161.81</v>
      </c>
      <c r="L987">
        <v>53222</v>
      </c>
      <c r="M987" t="s">
        <v>445</v>
      </c>
      <c r="N987" t="str">
        <f t="shared" si="59"/>
        <v>2323492-9/19</v>
      </c>
      <c r="O987">
        <v>230925</v>
      </c>
    </row>
    <row r="988" spans="1:15" x14ac:dyDescent="0.25">
      <c r="A988" t="s">
        <v>16</v>
      </c>
      <c r="B988" t="s">
        <v>3221</v>
      </c>
      <c r="C988">
        <v>12726</v>
      </c>
      <c r="D988" t="s">
        <v>448</v>
      </c>
      <c r="E988" t="s">
        <v>449</v>
      </c>
      <c r="F988">
        <v>149.86000000000001</v>
      </c>
      <c r="G988">
        <v>231001</v>
      </c>
      <c r="H988">
        <v>4840</v>
      </c>
      <c r="I988" t="s">
        <v>19</v>
      </c>
      <c r="J988">
        <v>185.83</v>
      </c>
      <c r="K988">
        <v>35.97</v>
      </c>
      <c r="L988">
        <v>54622</v>
      </c>
      <c r="M988" t="s">
        <v>872</v>
      </c>
      <c r="N988" t="str">
        <f t="shared" si="59"/>
        <v>2323492-9/19</v>
      </c>
      <c r="O988">
        <v>230925</v>
      </c>
    </row>
    <row r="989" spans="1:15" x14ac:dyDescent="0.25">
      <c r="A989" t="s">
        <v>16</v>
      </c>
      <c r="B989" t="s">
        <v>3221</v>
      </c>
      <c r="C989">
        <v>12726</v>
      </c>
      <c r="D989" t="s">
        <v>448</v>
      </c>
      <c r="E989" t="s">
        <v>449</v>
      </c>
      <c r="F989">
        <v>52.73</v>
      </c>
      <c r="G989">
        <v>231001</v>
      </c>
      <c r="H989">
        <v>4840</v>
      </c>
      <c r="I989" t="s">
        <v>19</v>
      </c>
      <c r="J989">
        <v>65.39</v>
      </c>
      <c r="K989">
        <v>12.66</v>
      </c>
      <c r="L989">
        <v>55222</v>
      </c>
      <c r="M989" t="s">
        <v>873</v>
      </c>
      <c r="N989" t="str">
        <f t="shared" si="59"/>
        <v>2323492-9/19</v>
      </c>
      <c r="O989">
        <v>230925</v>
      </c>
    </row>
    <row r="990" spans="1:15" x14ac:dyDescent="0.25">
      <c r="A990" t="s">
        <v>16</v>
      </c>
      <c r="B990" t="s">
        <v>3221</v>
      </c>
      <c r="C990">
        <v>12726</v>
      </c>
      <c r="D990" t="s">
        <v>448</v>
      </c>
      <c r="E990" t="s">
        <v>449</v>
      </c>
      <c r="F990">
        <v>33.06</v>
      </c>
      <c r="G990">
        <v>231001</v>
      </c>
      <c r="H990">
        <v>4840</v>
      </c>
      <c r="I990" t="s">
        <v>19</v>
      </c>
      <c r="J990">
        <v>40.99</v>
      </c>
      <c r="K990">
        <v>7.93</v>
      </c>
      <c r="L990">
        <v>59112</v>
      </c>
      <c r="M990" t="s">
        <v>182</v>
      </c>
      <c r="N990" t="str">
        <f t="shared" si="59"/>
        <v>2323492-9/19</v>
      </c>
      <c r="O990">
        <v>230925</v>
      </c>
    </row>
    <row r="991" spans="1:15" x14ac:dyDescent="0.25">
      <c r="A991" t="s">
        <v>16</v>
      </c>
      <c r="B991" t="s">
        <v>3221</v>
      </c>
      <c r="C991">
        <v>12726</v>
      </c>
      <c r="D991" t="s">
        <v>448</v>
      </c>
      <c r="E991" t="s">
        <v>449</v>
      </c>
      <c r="F991">
        <v>25.49</v>
      </c>
      <c r="G991">
        <v>231001</v>
      </c>
      <c r="H991">
        <v>4840</v>
      </c>
      <c r="I991" t="s">
        <v>19</v>
      </c>
      <c r="J991">
        <v>31.61</v>
      </c>
      <c r="K991">
        <v>6.12</v>
      </c>
      <c r="L991">
        <v>59114</v>
      </c>
      <c r="M991" t="s">
        <v>556</v>
      </c>
      <c r="N991" t="str">
        <f t="shared" si="59"/>
        <v>2323492-9/19</v>
      </c>
      <c r="O991">
        <v>230925</v>
      </c>
    </row>
    <row r="992" spans="1:15" x14ac:dyDescent="0.25">
      <c r="A992" t="s">
        <v>16</v>
      </c>
      <c r="B992" t="s">
        <v>3221</v>
      </c>
      <c r="C992">
        <v>12726</v>
      </c>
      <c r="D992" t="s">
        <v>448</v>
      </c>
      <c r="E992" t="s">
        <v>449</v>
      </c>
      <c r="F992">
        <v>60.71</v>
      </c>
      <c r="G992">
        <v>231001</v>
      </c>
      <c r="H992">
        <v>4840</v>
      </c>
      <c r="I992" t="s">
        <v>19</v>
      </c>
      <c r="J992">
        <v>75.28</v>
      </c>
      <c r="K992">
        <v>14.57</v>
      </c>
      <c r="L992">
        <v>59504</v>
      </c>
      <c r="M992" t="s">
        <v>71</v>
      </c>
      <c r="N992" t="str">
        <f t="shared" si="59"/>
        <v>2323492-9/19</v>
      </c>
      <c r="O992">
        <v>230925</v>
      </c>
    </row>
    <row r="993" spans="1:15" x14ac:dyDescent="0.25">
      <c r="A993" t="s">
        <v>16</v>
      </c>
      <c r="B993" t="s">
        <v>3221</v>
      </c>
      <c r="C993">
        <v>12726</v>
      </c>
      <c r="D993" t="s">
        <v>448</v>
      </c>
      <c r="E993" t="s">
        <v>449</v>
      </c>
      <c r="F993">
        <v>31.9</v>
      </c>
      <c r="G993">
        <v>231001</v>
      </c>
      <c r="H993">
        <v>4840</v>
      </c>
      <c r="I993" t="s">
        <v>19</v>
      </c>
      <c r="J993">
        <v>39.56</v>
      </c>
      <c r="K993">
        <v>7.66</v>
      </c>
      <c r="L993">
        <v>59701</v>
      </c>
      <c r="M993" t="s">
        <v>297</v>
      </c>
      <c r="N993" t="str">
        <f t="shared" si="59"/>
        <v>2323492-9/19</v>
      </c>
      <c r="O993">
        <v>230925</v>
      </c>
    </row>
    <row r="994" spans="1:15" x14ac:dyDescent="0.25">
      <c r="A994" t="s">
        <v>16</v>
      </c>
      <c r="B994" t="s">
        <v>3221</v>
      </c>
      <c r="C994">
        <v>12726</v>
      </c>
      <c r="D994" t="s">
        <v>448</v>
      </c>
      <c r="E994" t="s">
        <v>449</v>
      </c>
      <c r="F994">
        <v>162.27000000000001</v>
      </c>
      <c r="G994">
        <v>231001</v>
      </c>
      <c r="H994">
        <v>4840</v>
      </c>
      <c r="I994" t="s">
        <v>19</v>
      </c>
      <c r="J994">
        <v>201.22</v>
      </c>
      <c r="K994">
        <v>38.950000000000003</v>
      </c>
      <c r="L994">
        <v>59701</v>
      </c>
      <c r="M994" t="s">
        <v>297</v>
      </c>
      <c r="N994" t="str">
        <f t="shared" si="59"/>
        <v>2323492-9/19</v>
      </c>
      <c r="O994">
        <v>230925</v>
      </c>
    </row>
    <row r="995" spans="1:15" x14ac:dyDescent="0.25">
      <c r="A995" t="s">
        <v>16</v>
      </c>
      <c r="B995" t="s">
        <v>3221</v>
      </c>
      <c r="C995">
        <v>12726</v>
      </c>
      <c r="D995" t="s">
        <v>448</v>
      </c>
      <c r="E995" t="s">
        <v>449</v>
      </c>
      <c r="F995">
        <v>57.06</v>
      </c>
      <c r="G995">
        <v>231001</v>
      </c>
      <c r="H995">
        <v>4840</v>
      </c>
      <c r="I995" t="s">
        <v>19</v>
      </c>
      <c r="J995">
        <v>70.75</v>
      </c>
      <c r="K995">
        <v>13.69</v>
      </c>
      <c r="L995">
        <v>59702</v>
      </c>
      <c r="M995" t="s">
        <v>328</v>
      </c>
      <c r="N995" t="str">
        <f t="shared" si="59"/>
        <v>2323492-9/19</v>
      </c>
      <c r="O995">
        <v>230925</v>
      </c>
    </row>
    <row r="996" spans="1:15" x14ac:dyDescent="0.25">
      <c r="A996" t="s">
        <v>16</v>
      </c>
      <c r="B996" t="s">
        <v>3221</v>
      </c>
      <c r="C996">
        <v>12726</v>
      </c>
      <c r="D996" t="s">
        <v>448</v>
      </c>
      <c r="E996" t="s">
        <v>449</v>
      </c>
      <c r="F996">
        <v>54.46</v>
      </c>
      <c r="G996">
        <v>231001</v>
      </c>
      <c r="H996">
        <v>4840</v>
      </c>
      <c r="I996" t="s">
        <v>19</v>
      </c>
      <c r="J996">
        <v>67.53</v>
      </c>
      <c r="K996">
        <v>13.07</v>
      </c>
      <c r="L996">
        <v>59704</v>
      </c>
      <c r="M996" t="s">
        <v>1103</v>
      </c>
      <c r="N996" t="str">
        <f t="shared" si="59"/>
        <v>2323492-9/19</v>
      </c>
      <c r="O996">
        <v>230925</v>
      </c>
    </row>
    <row r="997" spans="1:15" x14ac:dyDescent="0.25">
      <c r="A997" t="s">
        <v>16</v>
      </c>
      <c r="B997" t="s">
        <v>3221</v>
      </c>
      <c r="C997">
        <v>12761</v>
      </c>
      <c r="D997" t="s">
        <v>448</v>
      </c>
      <c r="E997" t="s">
        <v>449</v>
      </c>
      <c r="F997">
        <v>13.14</v>
      </c>
      <c r="G997">
        <v>231001</v>
      </c>
      <c r="H997">
        <v>4840</v>
      </c>
      <c r="I997" t="s">
        <v>19</v>
      </c>
      <c r="J997">
        <v>16.29</v>
      </c>
      <c r="K997">
        <v>3.15</v>
      </c>
      <c r="L997">
        <v>13540</v>
      </c>
      <c r="M997" t="s">
        <v>85</v>
      </c>
      <c r="N997" t="str">
        <f t="shared" ref="N997:N1028" si="60">"2323492-6/19"</f>
        <v>2323492-6/19</v>
      </c>
      <c r="O997">
        <v>230926</v>
      </c>
    </row>
    <row r="998" spans="1:15" x14ac:dyDescent="0.25">
      <c r="A998" t="s">
        <v>16</v>
      </c>
      <c r="B998" t="s">
        <v>3221</v>
      </c>
      <c r="C998">
        <v>12761</v>
      </c>
      <c r="D998" t="s">
        <v>448</v>
      </c>
      <c r="E998" t="s">
        <v>449</v>
      </c>
      <c r="F998">
        <v>0.68</v>
      </c>
      <c r="G998">
        <v>231001</v>
      </c>
      <c r="H998">
        <v>4840</v>
      </c>
      <c r="I998" t="s">
        <v>19</v>
      </c>
      <c r="J998">
        <v>0.84</v>
      </c>
      <c r="K998">
        <v>0.16</v>
      </c>
      <c r="L998">
        <v>13552</v>
      </c>
      <c r="M998" t="s">
        <v>624</v>
      </c>
      <c r="N998" t="str">
        <f t="shared" si="60"/>
        <v>2323492-6/19</v>
      </c>
      <c r="O998">
        <v>230926</v>
      </c>
    </row>
    <row r="999" spans="1:15" x14ac:dyDescent="0.25">
      <c r="A999" t="s">
        <v>16</v>
      </c>
      <c r="B999" t="s">
        <v>3221</v>
      </c>
      <c r="C999">
        <v>12761</v>
      </c>
      <c r="D999" t="s">
        <v>448</v>
      </c>
      <c r="E999" t="s">
        <v>449</v>
      </c>
      <c r="F999">
        <v>175.68</v>
      </c>
      <c r="G999">
        <v>231001</v>
      </c>
      <c r="H999">
        <v>4840</v>
      </c>
      <c r="I999" t="s">
        <v>19</v>
      </c>
      <c r="J999">
        <v>217.84</v>
      </c>
      <c r="K999">
        <v>42.16</v>
      </c>
      <c r="L999">
        <v>16121</v>
      </c>
      <c r="M999" t="s">
        <v>21</v>
      </c>
      <c r="N999" t="str">
        <f t="shared" si="60"/>
        <v>2323492-6/19</v>
      </c>
      <c r="O999">
        <v>230926</v>
      </c>
    </row>
    <row r="1000" spans="1:15" x14ac:dyDescent="0.25">
      <c r="A1000" t="s">
        <v>16</v>
      </c>
      <c r="B1000" t="s">
        <v>3221</v>
      </c>
      <c r="C1000">
        <v>12761</v>
      </c>
      <c r="D1000" t="s">
        <v>448</v>
      </c>
      <c r="E1000" t="s">
        <v>449</v>
      </c>
      <c r="F1000">
        <v>737.73</v>
      </c>
      <c r="G1000">
        <v>231001</v>
      </c>
      <c r="H1000">
        <v>4840</v>
      </c>
      <c r="I1000" t="s">
        <v>19</v>
      </c>
      <c r="J1000">
        <v>914.79</v>
      </c>
      <c r="K1000">
        <v>177.06</v>
      </c>
      <c r="L1000">
        <v>16820</v>
      </c>
      <c r="M1000" t="s">
        <v>23</v>
      </c>
      <c r="N1000" t="str">
        <f t="shared" si="60"/>
        <v>2323492-6/19</v>
      </c>
      <c r="O1000">
        <v>230926</v>
      </c>
    </row>
    <row r="1001" spans="1:15" x14ac:dyDescent="0.25">
      <c r="A1001" t="s">
        <v>16</v>
      </c>
      <c r="B1001" t="s">
        <v>3221</v>
      </c>
      <c r="C1001">
        <v>12761</v>
      </c>
      <c r="D1001" t="s">
        <v>448</v>
      </c>
      <c r="E1001" t="s">
        <v>449</v>
      </c>
      <c r="F1001">
        <v>6.49</v>
      </c>
      <c r="G1001">
        <v>231001</v>
      </c>
      <c r="H1001">
        <v>4840</v>
      </c>
      <c r="I1001" t="s">
        <v>19</v>
      </c>
      <c r="J1001">
        <v>8.0500000000000007</v>
      </c>
      <c r="K1001">
        <v>1.56</v>
      </c>
      <c r="L1001">
        <v>16930</v>
      </c>
      <c r="M1001" t="s">
        <v>450</v>
      </c>
      <c r="N1001" t="str">
        <f t="shared" si="60"/>
        <v>2323492-6/19</v>
      </c>
      <c r="O1001">
        <v>230926</v>
      </c>
    </row>
    <row r="1002" spans="1:15" x14ac:dyDescent="0.25">
      <c r="A1002" t="s">
        <v>16</v>
      </c>
      <c r="B1002" t="s">
        <v>3221</v>
      </c>
      <c r="C1002">
        <v>12761</v>
      </c>
      <c r="D1002" t="s">
        <v>448</v>
      </c>
      <c r="E1002" t="s">
        <v>449</v>
      </c>
      <c r="F1002">
        <v>866.1</v>
      </c>
      <c r="G1002">
        <v>231001</v>
      </c>
      <c r="H1002">
        <v>4840</v>
      </c>
      <c r="I1002" t="s">
        <v>19</v>
      </c>
      <c r="J1002">
        <v>1073.96</v>
      </c>
      <c r="K1002">
        <v>207.86</v>
      </c>
      <c r="L1002">
        <v>17521</v>
      </c>
      <c r="M1002" t="s">
        <v>133</v>
      </c>
      <c r="N1002" t="str">
        <f t="shared" si="60"/>
        <v>2323492-6/19</v>
      </c>
      <c r="O1002">
        <v>230926</v>
      </c>
    </row>
    <row r="1003" spans="1:15" x14ac:dyDescent="0.25">
      <c r="A1003" t="s">
        <v>16</v>
      </c>
      <c r="B1003" t="s">
        <v>3221</v>
      </c>
      <c r="C1003">
        <v>12761</v>
      </c>
      <c r="D1003" t="s">
        <v>448</v>
      </c>
      <c r="E1003" t="s">
        <v>449</v>
      </c>
      <c r="F1003">
        <v>456.86</v>
      </c>
      <c r="G1003">
        <v>231001</v>
      </c>
      <c r="H1003">
        <v>4840</v>
      </c>
      <c r="I1003" t="s">
        <v>19</v>
      </c>
      <c r="J1003">
        <v>566.51</v>
      </c>
      <c r="K1003">
        <v>109.65</v>
      </c>
      <c r="L1003">
        <v>17522</v>
      </c>
      <c r="M1003" t="s">
        <v>451</v>
      </c>
      <c r="N1003" t="str">
        <f t="shared" si="60"/>
        <v>2323492-6/19</v>
      </c>
      <c r="O1003">
        <v>230926</v>
      </c>
    </row>
    <row r="1004" spans="1:15" x14ac:dyDescent="0.25">
      <c r="A1004" t="s">
        <v>16</v>
      </c>
      <c r="B1004" t="s">
        <v>3221</v>
      </c>
      <c r="C1004">
        <v>12761</v>
      </c>
      <c r="D1004" t="s">
        <v>448</v>
      </c>
      <c r="E1004" t="s">
        <v>449</v>
      </c>
      <c r="F1004">
        <v>227.7</v>
      </c>
      <c r="G1004">
        <v>231001</v>
      </c>
      <c r="H1004">
        <v>4840</v>
      </c>
      <c r="I1004" t="s">
        <v>19</v>
      </c>
      <c r="J1004">
        <v>282.35000000000002</v>
      </c>
      <c r="K1004">
        <v>54.65</v>
      </c>
      <c r="L1004">
        <v>17523</v>
      </c>
      <c r="M1004" t="s">
        <v>134</v>
      </c>
      <c r="N1004" t="str">
        <f t="shared" si="60"/>
        <v>2323492-6/19</v>
      </c>
      <c r="O1004">
        <v>230926</v>
      </c>
    </row>
    <row r="1005" spans="1:15" x14ac:dyDescent="0.25">
      <c r="A1005" t="s">
        <v>16</v>
      </c>
      <c r="B1005" t="s">
        <v>3221</v>
      </c>
      <c r="C1005">
        <v>12761</v>
      </c>
      <c r="D1005" t="s">
        <v>448</v>
      </c>
      <c r="E1005" t="s">
        <v>449</v>
      </c>
      <c r="F1005">
        <v>62.34</v>
      </c>
      <c r="G1005">
        <v>231001</v>
      </c>
      <c r="H1005">
        <v>4840</v>
      </c>
      <c r="I1005" t="s">
        <v>19</v>
      </c>
      <c r="J1005">
        <v>77.3</v>
      </c>
      <c r="K1005">
        <v>14.96</v>
      </c>
      <c r="L1005">
        <v>17524</v>
      </c>
      <c r="M1005" t="s">
        <v>452</v>
      </c>
      <c r="N1005" t="str">
        <f t="shared" si="60"/>
        <v>2323492-6/19</v>
      </c>
      <c r="O1005">
        <v>230926</v>
      </c>
    </row>
    <row r="1006" spans="1:15" x14ac:dyDescent="0.25">
      <c r="A1006" t="s">
        <v>16</v>
      </c>
      <c r="B1006" t="s">
        <v>3221</v>
      </c>
      <c r="C1006">
        <v>12761</v>
      </c>
      <c r="D1006" t="s">
        <v>448</v>
      </c>
      <c r="E1006" t="s">
        <v>449</v>
      </c>
      <c r="F1006">
        <v>143.44</v>
      </c>
      <c r="G1006">
        <v>231001</v>
      </c>
      <c r="H1006">
        <v>4840</v>
      </c>
      <c r="I1006" t="s">
        <v>19</v>
      </c>
      <c r="J1006">
        <v>177.87</v>
      </c>
      <c r="K1006">
        <v>34.43</v>
      </c>
      <c r="L1006">
        <v>17525</v>
      </c>
      <c r="M1006" t="s">
        <v>135</v>
      </c>
      <c r="N1006" t="str">
        <f t="shared" si="60"/>
        <v>2323492-6/19</v>
      </c>
      <c r="O1006">
        <v>230926</v>
      </c>
    </row>
    <row r="1007" spans="1:15" x14ac:dyDescent="0.25">
      <c r="A1007" t="s">
        <v>16</v>
      </c>
      <c r="B1007" t="s">
        <v>3221</v>
      </c>
      <c r="C1007">
        <v>12761</v>
      </c>
      <c r="D1007" t="s">
        <v>448</v>
      </c>
      <c r="E1007" t="s">
        <v>449</v>
      </c>
      <c r="F1007">
        <v>188.01</v>
      </c>
      <c r="G1007">
        <v>231001</v>
      </c>
      <c r="H1007">
        <v>4840</v>
      </c>
      <c r="I1007" t="s">
        <v>19</v>
      </c>
      <c r="J1007">
        <v>233.13</v>
      </c>
      <c r="K1007">
        <v>45.12</v>
      </c>
      <c r="L1007">
        <v>17526</v>
      </c>
      <c r="M1007" t="s">
        <v>437</v>
      </c>
      <c r="N1007" t="str">
        <f t="shared" si="60"/>
        <v>2323492-6/19</v>
      </c>
      <c r="O1007">
        <v>230926</v>
      </c>
    </row>
    <row r="1008" spans="1:15" x14ac:dyDescent="0.25">
      <c r="A1008" t="s">
        <v>16</v>
      </c>
      <c r="B1008" t="s">
        <v>3221</v>
      </c>
      <c r="C1008">
        <v>12761</v>
      </c>
      <c r="D1008" t="s">
        <v>448</v>
      </c>
      <c r="E1008" t="s">
        <v>449</v>
      </c>
      <c r="F1008">
        <v>443.88</v>
      </c>
      <c r="G1008">
        <v>231001</v>
      </c>
      <c r="H1008">
        <v>4840</v>
      </c>
      <c r="I1008" t="s">
        <v>19</v>
      </c>
      <c r="J1008">
        <v>550.41</v>
      </c>
      <c r="K1008">
        <v>106.53</v>
      </c>
      <c r="L1008">
        <v>17527</v>
      </c>
      <c r="M1008" t="s">
        <v>422</v>
      </c>
      <c r="N1008" t="str">
        <f t="shared" si="60"/>
        <v>2323492-6/19</v>
      </c>
      <c r="O1008">
        <v>230926</v>
      </c>
    </row>
    <row r="1009" spans="1:15" x14ac:dyDescent="0.25">
      <c r="A1009" t="s">
        <v>16</v>
      </c>
      <c r="B1009" t="s">
        <v>3221</v>
      </c>
      <c r="C1009">
        <v>12761</v>
      </c>
      <c r="D1009" t="s">
        <v>448</v>
      </c>
      <c r="E1009" t="s">
        <v>449</v>
      </c>
      <c r="F1009">
        <v>185.46</v>
      </c>
      <c r="G1009">
        <v>231001</v>
      </c>
      <c r="H1009">
        <v>4840</v>
      </c>
      <c r="I1009" t="s">
        <v>19</v>
      </c>
      <c r="J1009">
        <v>229.97</v>
      </c>
      <c r="K1009">
        <v>44.51</v>
      </c>
      <c r="L1009">
        <v>17529</v>
      </c>
      <c r="M1009" t="s">
        <v>453</v>
      </c>
      <c r="N1009" t="str">
        <f t="shared" si="60"/>
        <v>2323492-6/19</v>
      </c>
      <c r="O1009">
        <v>230926</v>
      </c>
    </row>
    <row r="1010" spans="1:15" x14ac:dyDescent="0.25">
      <c r="A1010" t="s">
        <v>16</v>
      </c>
      <c r="B1010" t="s">
        <v>3221</v>
      </c>
      <c r="C1010">
        <v>12761</v>
      </c>
      <c r="D1010" t="s">
        <v>448</v>
      </c>
      <c r="E1010" t="s">
        <v>449</v>
      </c>
      <c r="F1010">
        <v>900.94</v>
      </c>
      <c r="G1010">
        <v>231001</v>
      </c>
      <c r="H1010">
        <v>4840</v>
      </c>
      <c r="I1010" t="s">
        <v>19</v>
      </c>
      <c r="J1010">
        <v>1117.17</v>
      </c>
      <c r="K1010">
        <v>216.23</v>
      </c>
      <c r="L1010">
        <v>17530</v>
      </c>
      <c r="M1010" t="s">
        <v>454</v>
      </c>
      <c r="N1010" t="str">
        <f t="shared" si="60"/>
        <v>2323492-6/19</v>
      </c>
      <c r="O1010">
        <v>230926</v>
      </c>
    </row>
    <row r="1011" spans="1:15" x14ac:dyDescent="0.25">
      <c r="A1011" t="s">
        <v>16</v>
      </c>
      <c r="B1011" t="s">
        <v>3221</v>
      </c>
      <c r="C1011">
        <v>12761</v>
      </c>
      <c r="D1011" t="s">
        <v>448</v>
      </c>
      <c r="E1011" t="s">
        <v>449</v>
      </c>
      <c r="F1011">
        <v>121.86</v>
      </c>
      <c r="G1011">
        <v>231001</v>
      </c>
      <c r="H1011">
        <v>4840</v>
      </c>
      <c r="I1011" t="s">
        <v>19</v>
      </c>
      <c r="J1011">
        <v>151.11000000000001</v>
      </c>
      <c r="K1011">
        <v>29.25</v>
      </c>
      <c r="L1011">
        <v>17531</v>
      </c>
      <c r="M1011" t="s">
        <v>136</v>
      </c>
      <c r="N1011" t="str">
        <f t="shared" si="60"/>
        <v>2323492-6/19</v>
      </c>
      <c r="O1011">
        <v>230926</v>
      </c>
    </row>
    <row r="1012" spans="1:15" x14ac:dyDescent="0.25">
      <c r="A1012" t="s">
        <v>16</v>
      </c>
      <c r="B1012" t="s">
        <v>3221</v>
      </c>
      <c r="C1012">
        <v>12761</v>
      </c>
      <c r="D1012" t="s">
        <v>448</v>
      </c>
      <c r="E1012" t="s">
        <v>449</v>
      </c>
      <c r="F1012">
        <v>227.04</v>
      </c>
      <c r="G1012">
        <v>231001</v>
      </c>
      <c r="H1012">
        <v>4840</v>
      </c>
      <c r="I1012" t="s">
        <v>19</v>
      </c>
      <c r="J1012">
        <v>281.52999999999997</v>
      </c>
      <c r="K1012">
        <v>54.49</v>
      </c>
      <c r="L1012">
        <v>17532</v>
      </c>
      <c r="M1012" t="s">
        <v>543</v>
      </c>
      <c r="N1012" t="str">
        <f t="shared" si="60"/>
        <v>2323492-6/19</v>
      </c>
      <c r="O1012">
        <v>230926</v>
      </c>
    </row>
    <row r="1013" spans="1:15" x14ac:dyDescent="0.25">
      <c r="A1013" t="s">
        <v>16</v>
      </c>
      <c r="B1013" t="s">
        <v>3221</v>
      </c>
      <c r="C1013">
        <v>12761</v>
      </c>
      <c r="D1013" t="s">
        <v>448</v>
      </c>
      <c r="E1013" t="s">
        <v>449</v>
      </c>
      <c r="F1013">
        <v>146.36000000000001</v>
      </c>
      <c r="G1013">
        <v>231001</v>
      </c>
      <c r="H1013">
        <v>4840</v>
      </c>
      <c r="I1013" t="s">
        <v>19</v>
      </c>
      <c r="J1013">
        <v>181.49</v>
      </c>
      <c r="K1013">
        <v>35.130000000000003</v>
      </c>
      <c r="L1013">
        <v>17533</v>
      </c>
      <c r="M1013" t="s">
        <v>990</v>
      </c>
      <c r="N1013" t="str">
        <f t="shared" si="60"/>
        <v>2323492-6/19</v>
      </c>
      <c r="O1013">
        <v>230926</v>
      </c>
    </row>
    <row r="1014" spans="1:15" x14ac:dyDescent="0.25">
      <c r="A1014" t="s">
        <v>16</v>
      </c>
      <c r="B1014" t="s">
        <v>3221</v>
      </c>
      <c r="C1014">
        <v>12761</v>
      </c>
      <c r="D1014" t="s">
        <v>448</v>
      </c>
      <c r="E1014" t="s">
        <v>449</v>
      </c>
      <c r="F1014">
        <v>6.49</v>
      </c>
      <c r="G1014">
        <v>231001</v>
      </c>
      <c r="H1014">
        <v>4840</v>
      </c>
      <c r="I1014" t="s">
        <v>19</v>
      </c>
      <c r="J1014">
        <v>8.0500000000000007</v>
      </c>
      <c r="K1014">
        <v>1.56</v>
      </c>
      <c r="L1014">
        <v>17534</v>
      </c>
      <c r="M1014" t="s">
        <v>440</v>
      </c>
      <c r="N1014" t="str">
        <f t="shared" si="60"/>
        <v>2323492-6/19</v>
      </c>
      <c r="O1014">
        <v>230926</v>
      </c>
    </row>
    <row r="1015" spans="1:15" x14ac:dyDescent="0.25">
      <c r="A1015" t="s">
        <v>16</v>
      </c>
      <c r="B1015" t="s">
        <v>3221</v>
      </c>
      <c r="C1015">
        <v>12761</v>
      </c>
      <c r="D1015" t="s">
        <v>448</v>
      </c>
      <c r="E1015" t="s">
        <v>449</v>
      </c>
      <c r="F1015">
        <v>96.53</v>
      </c>
      <c r="G1015">
        <v>231001</v>
      </c>
      <c r="H1015">
        <v>4840</v>
      </c>
      <c r="I1015" t="s">
        <v>19</v>
      </c>
      <c r="J1015">
        <v>119.7</v>
      </c>
      <c r="K1015">
        <v>23.17</v>
      </c>
      <c r="L1015">
        <v>17535</v>
      </c>
      <c r="M1015" t="s">
        <v>357</v>
      </c>
      <c r="N1015" t="str">
        <f t="shared" si="60"/>
        <v>2323492-6/19</v>
      </c>
      <c r="O1015">
        <v>230926</v>
      </c>
    </row>
    <row r="1016" spans="1:15" x14ac:dyDescent="0.25">
      <c r="A1016" t="s">
        <v>16</v>
      </c>
      <c r="B1016" t="s">
        <v>3221</v>
      </c>
      <c r="C1016">
        <v>12761</v>
      </c>
      <c r="D1016" t="s">
        <v>448</v>
      </c>
      <c r="E1016" t="s">
        <v>449</v>
      </c>
      <c r="F1016">
        <v>6.49</v>
      </c>
      <c r="G1016">
        <v>231001</v>
      </c>
      <c r="H1016">
        <v>4840</v>
      </c>
      <c r="I1016" t="s">
        <v>19</v>
      </c>
      <c r="J1016">
        <v>8.0500000000000007</v>
      </c>
      <c r="K1016">
        <v>1.56</v>
      </c>
      <c r="L1016">
        <v>17536</v>
      </c>
      <c r="M1016" t="s">
        <v>734</v>
      </c>
      <c r="N1016" t="str">
        <f t="shared" si="60"/>
        <v>2323492-6/19</v>
      </c>
      <c r="O1016">
        <v>230926</v>
      </c>
    </row>
    <row r="1017" spans="1:15" x14ac:dyDescent="0.25">
      <c r="A1017" t="s">
        <v>16</v>
      </c>
      <c r="B1017" t="s">
        <v>3221</v>
      </c>
      <c r="C1017">
        <v>12761</v>
      </c>
      <c r="D1017" t="s">
        <v>448</v>
      </c>
      <c r="E1017" t="s">
        <v>449</v>
      </c>
      <c r="F1017">
        <v>12.98</v>
      </c>
      <c r="G1017">
        <v>231001</v>
      </c>
      <c r="H1017">
        <v>4840</v>
      </c>
      <c r="I1017" t="s">
        <v>19</v>
      </c>
      <c r="J1017">
        <v>16.100000000000001</v>
      </c>
      <c r="K1017">
        <v>3.12</v>
      </c>
      <c r="L1017">
        <v>17537</v>
      </c>
      <c r="M1017" t="s">
        <v>455</v>
      </c>
      <c r="N1017" t="str">
        <f t="shared" si="60"/>
        <v>2323492-6/19</v>
      </c>
      <c r="O1017">
        <v>230926</v>
      </c>
    </row>
    <row r="1018" spans="1:15" x14ac:dyDescent="0.25">
      <c r="A1018" t="s">
        <v>16</v>
      </c>
      <c r="B1018" t="s">
        <v>3221</v>
      </c>
      <c r="C1018">
        <v>12761</v>
      </c>
      <c r="D1018" t="s">
        <v>448</v>
      </c>
      <c r="E1018" t="s">
        <v>449</v>
      </c>
      <c r="F1018">
        <v>47.56</v>
      </c>
      <c r="G1018">
        <v>231001</v>
      </c>
      <c r="H1018">
        <v>4840</v>
      </c>
      <c r="I1018" t="s">
        <v>19</v>
      </c>
      <c r="J1018">
        <v>58.97</v>
      </c>
      <c r="K1018">
        <v>11.41</v>
      </c>
      <c r="L1018">
        <v>17537</v>
      </c>
      <c r="M1018" t="s">
        <v>455</v>
      </c>
      <c r="N1018" t="str">
        <f t="shared" si="60"/>
        <v>2323492-6/19</v>
      </c>
      <c r="O1018">
        <v>230926</v>
      </c>
    </row>
    <row r="1019" spans="1:15" x14ac:dyDescent="0.25">
      <c r="A1019" t="s">
        <v>16</v>
      </c>
      <c r="B1019" t="s">
        <v>3221</v>
      </c>
      <c r="C1019">
        <v>12761</v>
      </c>
      <c r="D1019" t="s">
        <v>448</v>
      </c>
      <c r="E1019" t="s">
        <v>449</v>
      </c>
      <c r="F1019">
        <v>1599.88</v>
      </c>
      <c r="G1019">
        <v>231001</v>
      </c>
      <c r="H1019">
        <v>4840</v>
      </c>
      <c r="I1019" t="s">
        <v>19</v>
      </c>
      <c r="J1019">
        <v>1983.85</v>
      </c>
      <c r="K1019">
        <v>383.97</v>
      </c>
      <c r="L1019">
        <v>17537</v>
      </c>
      <c r="M1019" t="s">
        <v>455</v>
      </c>
      <c r="N1019" t="str">
        <f t="shared" si="60"/>
        <v>2323492-6/19</v>
      </c>
      <c r="O1019">
        <v>230926</v>
      </c>
    </row>
    <row r="1020" spans="1:15" x14ac:dyDescent="0.25">
      <c r="A1020" t="s">
        <v>16</v>
      </c>
      <c r="B1020" t="s">
        <v>3221</v>
      </c>
      <c r="C1020">
        <v>12761</v>
      </c>
      <c r="D1020" t="s">
        <v>448</v>
      </c>
      <c r="E1020" t="s">
        <v>449</v>
      </c>
      <c r="F1020">
        <v>1227.49</v>
      </c>
      <c r="G1020">
        <v>231001</v>
      </c>
      <c r="H1020">
        <v>4840</v>
      </c>
      <c r="I1020" t="s">
        <v>19</v>
      </c>
      <c r="J1020">
        <v>1522.09</v>
      </c>
      <c r="K1020">
        <v>294.60000000000002</v>
      </c>
      <c r="L1020">
        <v>17538</v>
      </c>
      <c r="M1020" t="s">
        <v>24</v>
      </c>
      <c r="N1020" t="str">
        <f t="shared" si="60"/>
        <v>2323492-6/19</v>
      </c>
      <c r="O1020">
        <v>230926</v>
      </c>
    </row>
    <row r="1021" spans="1:15" x14ac:dyDescent="0.25">
      <c r="A1021" t="s">
        <v>16</v>
      </c>
      <c r="B1021" t="s">
        <v>3221</v>
      </c>
      <c r="C1021">
        <v>12761</v>
      </c>
      <c r="D1021" t="s">
        <v>448</v>
      </c>
      <c r="E1021" t="s">
        <v>449</v>
      </c>
      <c r="F1021">
        <v>5.48</v>
      </c>
      <c r="G1021">
        <v>231001</v>
      </c>
      <c r="H1021">
        <v>4840</v>
      </c>
      <c r="I1021" t="s">
        <v>19</v>
      </c>
      <c r="J1021">
        <v>6.8</v>
      </c>
      <c r="K1021">
        <v>1.32</v>
      </c>
      <c r="L1021">
        <v>17918</v>
      </c>
      <c r="M1021" t="s">
        <v>137</v>
      </c>
      <c r="N1021" t="str">
        <f t="shared" si="60"/>
        <v>2323492-6/19</v>
      </c>
      <c r="O1021">
        <v>230926</v>
      </c>
    </row>
    <row r="1022" spans="1:15" x14ac:dyDescent="0.25">
      <c r="A1022" t="s">
        <v>16</v>
      </c>
      <c r="B1022" t="s">
        <v>3221</v>
      </c>
      <c r="C1022">
        <v>12761</v>
      </c>
      <c r="D1022" t="s">
        <v>448</v>
      </c>
      <c r="E1022" t="s">
        <v>449</v>
      </c>
      <c r="F1022">
        <v>106.31</v>
      </c>
      <c r="G1022">
        <v>231001</v>
      </c>
      <c r="H1022">
        <v>4840</v>
      </c>
      <c r="I1022" t="s">
        <v>19</v>
      </c>
      <c r="J1022">
        <v>131.83000000000001</v>
      </c>
      <c r="K1022">
        <v>25.52</v>
      </c>
      <c r="L1022">
        <v>17950</v>
      </c>
      <c r="M1022" t="s">
        <v>86</v>
      </c>
      <c r="N1022" t="str">
        <f t="shared" si="60"/>
        <v>2323492-6/19</v>
      </c>
      <c r="O1022">
        <v>230926</v>
      </c>
    </row>
    <row r="1023" spans="1:15" x14ac:dyDescent="0.25">
      <c r="A1023" t="s">
        <v>16</v>
      </c>
      <c r="B1023" t="s">
        <v>3221</v>
      </c>
      <c r="C1023">
        <v>12761</v>
      </c>
      <c r="D1023" t="s">
        <v>448</v>
      </c>
      <c r="E1023" t="s">
        <v>449</v>
      </c>
      <c r="F1023">
        <v>117.26</v>
      </c>
      <c r="G1023">
        <v>231001</v>
      </c>
      <c r="H1023">
        <v>4840</v>
      </c>
      <c r="I1023" t="s">
        <v>19</v>
      </c>
      <c r="J1023">
        <v>145.4</v>
      </c>
      <c r="K1023">
        <v>28.14</v>
      </c>
      <c r="L1023">
        <v>17971</v>
      </c>
      <c r="M1023" t="s">
        <v>138</v>
      </c>
      <c r="N1023" t="str">
        <f t="shared" si="60"/>
        <v>2323492-6/19</v>
      </c>
      <c r="O1023">
        <v>230926</v>
      </c>
    </row>
    <row r="1024" spans="1:15" x14ac:dyDescent="0.25">
      <c r="A1024" t="s">
        <v>16</v>
      </c>
      <c r="B1024" t="s">
        <v>3221</v>
      </c>
      <c r="C1024">
        <v>12761</v>
      </c>
      <c r="D1024" t="s">
        <v>448</v>
      </c>
      <c r="E1024" t="s">
        <v>449</v>
      </c>
      <c r="F1024">
        <v>246.99</v>
      </c>
      <c r="G1024">
        <v>231001</v>
      </c>
      <c r="H1024">
        <v>4840</v>
      </c>
      <c r="I1024" t="s">
        <v>19</v>
      </c>
      <c r="J1024">
        <v>306.27</v>
      </c>
      <c r="K1024">
        <v>59.28</v>
      </c>
      <c r="L1024">
        <v>17971</v>
      </c>
      <c r="M1024" t="s">
        <v>138</v>
      </c>
      <c r="N1024" t="str">
        <f t="shared" si="60"/>
        <v>2323492-6/19</v>
      </c>
      <c r="O1024">
        <v>230926</v>
      </c>
    </row>
    <row r="1025" spans="1:15" x14ac:dyDescent="0.25">
      <c r="A1025" t="s">
        <v>16</v>
      </c>
      <c r="B1025" t="s">
        <v>3221</v>
      </c>
      <c r="C1025">
        <v>12761</v>
      </c>
      <c r="D1025" t="s">
        <v>448</v>
      </c>
      <c r="E1025" t="s">
        <v>449</v>
      </c>
      <c r="F1025">
        <v>26.6</v>
      </c>
      <c r="G1025">
        <v>231001</v>
      </c>
      <c r="H1025">
        <v>4840</v>
      </c>
      <c r="I1025" t="s">
        <v>19</v>
      </c>
      <c r="J1025">
        <v>32.979999999999997</v>
      </c>
      <c r="K1025">
        <v>6.38</v>
      </c>
      <c r="L1025">
        <v>17972</v>
      </c>
      <c r="M1025" t="s">
        <v>248</v>
      </c>
      <c r="N1025" t="str">
        <f t="shared" si="60"/>
        <v>2323492-6/19</v>
      </c>
      <c r="O1025">
        <v>230926</v>
      </c>
    </row>
    <row r="1026" spans="1:15" x14ac:dyDescent="0.25">
      <c r="A1026" t="s">
        <v>16</v>
      </c>
      <c r="B1026" t="s">
        <v>3221</v>
      </c>
      <c r="C1026">
        <v>12761</v>
      </c>
      <c r="D1026" t="s">
        <v>448</v>
      </c>
      <c r="E1026" t="s">
        <v>449</v>
      </c>
      <c r="F1026">
        <v>188.98</v>
      </c>
      <c r="G1026">
        <v>231001</v>
      </c>
      <c r="H1026">
        <v>4840</v>
      </c>
      <c r="I1026" t="s">
        <v>19</v>
      </c>
      <c r="J1026">
        <v>234.34</v>
      </c>
      <c r="K1026">
        <v>45.36</v>
      </c>
      <c r="L1026">
        <v>17972</v>
      </c>
      <c r="M1026" t="s">
        <v>248</v>
      </c>
      <c r="N1026" t="str">
        <f t="shared" si="60"/>
        <v>2323492-6/19</v>
      </c>
      <c r="O1026">
        <v>230926</v>
      </c>
    </row>
    <row r="1027" spans="1:15" x14ac:dyDescent="0.25">
      <c r="A1027" t="s">
        <v>16</v>
      </c>
      <c r="B1027" t="s">
        <v>3221</v>
      </c>
      <c r="C1027">
        <v>12761</v>
      </c>
      <c r="D1027" t="s">
        <v>448</v>
      </c>
      <c r="E1027" t="s">
        <v>449</v>
      </c>
      <c r="F1027">
        <v>12.98</v>
      </c>
      <c r="G1027">
        <v>231001</v>
      </c>
      <c r="H1027">
        <v>4840</v>
      </c>
      <c r="I1027" t="s">
        <v>19</v>
      </c>
      <c r="J1027">
        <v>16.100000000000001</v>
      </c>
      <c r="K1027">
        <v>3.12</v>
      </c>
      <c r="L1027">
        <v>17974</v>
      </c>
      <c r="M1027" t="s">
        <v>460</v>
      </c>
      <c r="N1027" t="str">
        <f t="shared" si="60"/>
        <v>2323492-6/19</v>
      </c>
      <c r="O1027">
        <v>230926</v>
      </c>
    </row>
    <row r="1028" spans="1:15" x14ac:dyDescent="0.25">
      <c r="A1028" t="s">
        <v>16</v>
      </c>
      <c r="B1028" t="s">
        <v>3221</v>
      </c>
      <c r="C1028">
        <v>12761</v>
      </c>
      <c r="D1028" t="s">
        <v>448</v>
      </c>
      <c r="E1028" t="s">
        <v>449</v>
      </c>
      <c r="F1028">
        <v>42.1</v>
      </c>
      <c r="G1028">
        <v>231001</v>
      </c>
      <c r="H1028">
        <v>4840</v>
      </c>
      <c r="I1028" t="s">
        <v>19</v>
      </c>
      <c r="J1028">
        <v>52.2</v>
      </c>
      <c r="K1028">
        <v>10.1</v>
      </c>
      <c r="L1028">
        <v>17975</v>
      </c>
      <c r="M1028" t="s">
        <v>798</v>
      </c>
      <c r="N1028" t="str">
        <f t="shared" si="60"/>
        <v>2323492-6/19</v>
      </c>
      <c r="O1028">
        <v>230926</v>
      </c>
    </row>
    <row r="1029" spans="1:15" x14ac:dyDescent="0.25">
      <c r="A1029" t="s">
        <v>16</v>
      </c>
      <c r="B1029" t="s">
        <v>3221</v>
      </c>
      <c r="C1029">
        <v>12762</v>
      </c>
      <c r="D1029" t="s">
        <v>448</v>
      </c>
      <c r="E1029" t="s">
        <v>449</v>
      </c>
      <c r="F1029">
        <v>911.16</v>
      </c>
      <c r="G1029">
        <v>231001</v>
      </c>
      <c r="H1029">
        <v>4840</v>
      </c>
      <c r="I1029" t="s">
        <v>19</v>
      </c>
      <c r="J1029">
        <v>1129.8399999999999</v>
      </c>
      <c r="K1029">
        <v>218.68</v>
      </c>
      <c r="L1029">
        <v>10002</v>
      </c>
      <c r="M1029" t="s">
        <v>1066</v>
      </c>
      <c r="N1029" t="str">
        <f t="shared" ref="N1029:N1040" si="61">"2323492-8/19"</f>
        <v>2323492-8/19</v>
      </c>
      <c r="O1029">
        <v>230926</v>
      </c>
    </row>
    <row r="1030" spans="1:15" x14ac:dyDescent="0.25">
      <c r="A1030" t="s">
        <v>16</v>
      </c>
      <c r="B1030" t="s">
        <v>3221</v>
      </c>
      <c r="C1030">
        <v>12762</v>
      </c>
      <c r="D1030" t="s">
        <v>448</v>
      </c>
      <c r="E1030" t="s">
        <v>449</v>
      </c>
      <c r="F1030">
        <v>830.43</v>
      </c>
      <c r="G1030">
        <v>231001</v>
      </c>
      <c r="H1030">
        <v>4840</v>
      </c>
      <c r="I1030" t="s">
        <v>19</v>
      </c>
      <c r="J1030">
        <v>1029.73</v>
      </c>
      <c r="K1030">
        <v>199.3</v>
      </c>
      <c r="L1030">
        <v>11001</v>
      </c>
      <c r="M1030" t="s">
        <v>326</v>
      </c>
      <c r="N1030" t="str">
        <f t="shared" si="61"/>
        <v>2323492-8/19</v>
      </c>
      <c r="O1030">
        <v>230926</v>
      </c>
    </row>
    <row r="1031" spans="1:15" x14ac:dyDescent="0.25">
      <c r="A1031" t="s">
        <v>16</v>
      </c>
      <c r="B1031" t="s">
        <v>3221</v>
      </c>
      <c r="C1031">
        <v>12762</v>
      </c>
      <c r="D1031" t="s">
        <v>448</v>
      </c>
      <c r="E1031" t="s">
        <v>449</v>
      </c>
      <c r="F1031">
        <v>294.27</v>
      </c>
      <c r="G1031">
        <v>231001</v>
      </c>
      <c r="H1031">
        <v>4840</v>
      </c>
      <c r="I1031" t="s">
        <v>19</v>
      </c>
      <c r="J1031">
        <v>364.89</v>
      </c>
      <c r="K1031">
        <v>70.62</v>
      </c>
      <c r="L1031">
        <v>11101</v>
      </c>
      <c r="M1031" t="s">
        <v>110</v>
      </c>
      <c r="N1031" t="str">
        <f t="shared" si="61"/>
        <v>2323492-8/19</v>
      </c>
      <c r="O1031">
        <v>230926</v>
      </c>
    </row>
    <row r="1032" spans="1:15" x14ac:dyDescent="0.25">
      <c r="A1032" t="s">
        <v>16</v>
      </c>
      <c r="B1032" t="s">
        <v>3221</v>
      </c>
      <c r="C1032">
        <v>12762</v>
      </c>
      <c r="D1032" t="s">
        <v>448</v>
      </c>
      <c r="E1032" t="s">
        <v>449</v>
      </c>
      <c r="F1032">
        <v>248.68</v>
      </c>
      <c r="G1032">
        <v>231001</v>
      </c>
      <c r="H1032">
        <v>4840</v>
      </c>
      <c r="I1032" t="s">
        <v>19</v>
      </c>
      <c r="J1032">
        <v>308.36</v>
      </c>
      <c r="K1032">
        <v>59.68</v>
      </c>
      <c r="L1032">
        <v>11301</v>
      </c>
      <c r="M1032" t="s">
        <v>29</v>
      </c>
      <c r="N1032" t="str">
        <f t="shared" si="61"/>
        <v>2323492-8/19</v>
      </c>
      <c r="O1032">
        <v>230926</v>
      </c>
    </row>
    <row r="1033" spans="1:15" x14ac:dyDescent="0.25">
      <c r="A1033" t="s">
        <v>16</v>
      </c>
      <c r="B1033" t="s">
        <v>3221</v>
      </c>
      <c r="C1033">
        <v>12762</v>
      </c>
      <c r="D1033" t="s">
        <v>448</v>
      </c>
      <c r="E1033" t="s">
        <v>449</v>
      </c>
      <c r="F1033">
        <v>417.87</v>
      </c>
      <c r="G1033">
        <v>231001</v>
      </c>
      <c r="H1033">
        <v>4840</v>
      </c>
      <c r="I1033" t="s">
        <v>19</v>
      </c>
      <c r="J1033">
        <v>518.16</v>
      </c>
      <c r="K1033">
        <v>100.29</v>
      </c>
      <c r="L1033">
        <v>11401</v>
      </c>
      <c r="M1033" t="s">
        <v>84</v>
      </c>
      <c r="N1033" t="str">
        <f t="shared" si="61"/>
        <v>2323492-8/19</v>
      </c>
      <c r="O1033">
        <v>230926</v>
      </c>
    </row>
    <row r="1034" spans="1:15" x14ac:dyDescent="0.25">
      <c r="A1034" t="s">
        <v>16</v>
      </c>
      <c r="B1034" t="s">
        <v>3221</v>
      </c>
      <c r="C1034">
        <v>12762</v>
      </c>
      <c r="D1034" t="s">
        <v>448</v>
      </c>
      <c r="E1034" t="s">
        <v>449</v>
      </c>
      <c r="F1034">
        <v>314.76</v>
      </c>
      <c r="G1034">
        <v>231001</v>
      </c>
      <c r="H1034">
        <v>4840</v>
      </c>
      <c r="I1034" t="s">
        <v>19</v>
      </c>
      <c r="J1034">
        <v>390.3</v>
      </c>
      <c r="K1034">
        <v>75.540000000000006</v>
      </c>
      <c r="L1034">
        <v>11501</v>
      </c>
      <c r="M1034" t="s">
        <v>339</v>
      </c>
      <c r="N1034" t="str">
        <f t="shared" si="61"/>
        <v>2323492-8/19</v>
      </c>
      <c r="O1034">
        <v>230926</v>
      </c>
    </row>
    <row r="1035" spans="1:15" x14ac:dyDescent="0.25">
      <c r="A1035" t="s">
        <v>16</v>
      </c>
      <c r="B1035" t="s">
        <v>3221</v>
      </c>
      <c r="C1035">
        <v>12762</v>
      </c>
      <c r="D1035" t="s">
        <v>448</v>
      </c>
      <c r="E1035" t="s">
        <v>449</v>
      </c>
      <c r="F1035">
        <v>226.18</v>
      </c>
      <c r="G1035">
        <v>231001</v>
      </c>
      <c r="H1035">
        <v>4840</v>
      </c>
      <c r="I1035" t="s">
        <v>19</v>
      </c>
      <c r="J1035">
        <v>280.45999999999998</v>
      </c>
      <c r="K1035">
        <v>54.28</v>
      </c>
      <c r="L1035">
        <v>11601</v>
      </c>
      <c r="M1035" t="s">
        <v>535</v>
      </c>
      <c r="N1035" t="str">
        <f t="shared" si="61"/>
        <v>2323492-8/19</v>
      </c>
      <c r="O1035">
        <v>230926</v>
      </c>
    </row>
    <row r="1036" spans="1:15" x14ac:dyDescent="0.25">
      <c r="A1036" t="s">
        <v>16</v>
      </c>
      <c r="B1036" t="s">
        <v>3221</v>
      </c>
      <c r="C1036">
        <v>12762</v>
      </c>
      <c r="D1036" t="s">
        <v>448</v>
      </c>
      <c r="E1036" t="s">
        <v>449</v>
      </c>
      <c r="F1036">
        <v>71.790000000000006</v>
      </c>
      <c r="G1036">
        <v>231001</v>
      </c>
      <c r="H1036">
        <v>4840</v>
      </c>
      <c r="I1036" t="s">
        <v>19</v>
      </c>
      <c r="J1036">
        <v>89.02</v>
      </c>
      <c r="K1036">
        <v>17.23</v>
      </c>
      <c r="L1036">
        <v>11701</v>
      </c>
      <c r="M1036" t="s">
        <v>1204</v>
      </c>
      <c r="N1036" t="str">
        <f t="shared" si="61"/>
        <v>2323492-8/19</v>
      </c>
      <c r="O1036">
        <v>230926</v>
      </c>
    </row>
    <row r="1037" spans="1:15" x14ac:dyDescent="0.25">
      <c r="A1037" t="s">
        <v>16</v>
      </c>
      <c r="B1037" t="s">
        <v>3221</v>
      </c>
      <c r="C1037">
        <v>12762</v>
      </c>
      <c r="D1037" t="s">
        <v>448</v>
      </c>
      <c r="E1037" t="s">
        <v>449</v>
      </c>
      <c r="F1037">
        <v>33.06</v>
      </c>
      <c r="G1037">
        <v>231001</v>
      </c>
      <c r="H1037">
        <v>4840</v>
      </c>
      <c r="I1037" t="s">
        <v>19</v>
      </c>
      <c r="J1037">
        <v>40.99</v>
      </c>
      <c r="K1037">
        <v>7.93</v>
      </c>
      <c r="L1037">
        <v>11751</v>
      </c>
      <c r="M1037" t="s">
        <v>1339</v>
      </c>
      <c r="N1037" t="str">
        <f t="shared" si="61"/>
        <v>2323492-8/19</v>
      </c>
      <c r="O1037">
        <v>230926</v>
      </c>
    </row>
    <row r="1038" spans="1:15" x14ac:dyDescent="0.25">
      <c r="A1038" t="s">
        <v>16</v>
      </c>
      <c r="B1038" t="s">
        <v>3221</v>
      </c>
      <c r="C1038">
        <v>12762</v>
      </c>
      <c r="D1038" t="s">
        <v>448</v>
      </c>
      <c r="E1038" t="s">
        <v>449</v>
      </c>
      <c r="F1038">
        <v>2811.02</v>
      </c>
      <c r="G1038">
        <v>231001</v>
      </c>
      <c r="H1038">
        <v>4840</v>
      </c>
      <c r="I1038" t="s">
        <v>19</v>
      </c>
      <c r="J1038">
        <v>3485.66</v>
      </c>
      <c r="K1038">
        <v>674.64</v>
      </c>
      <c r="L1038">
        <v>11801</v>
      </c>
      <c r="M1038" t="s">
        <v>92</v>
      </c>
      <c r="N1038" t="str">
        <f t="shared" si="61"/>
        <v>2323492-8/19</v>
      </c>
      <c r="O1038">
        <v>230926</v>
      </c>
    </row>
    <row r="1039" spans="1:15" x14ac:dyDescent="0.25">
      <c r="A1039" t="s">
        <v>16</v>
      </c>
      <c r="B1039" t="s">
        <v>3221</v>
      </c>
      <c r="C1039">
        <v>12762</v>
      </c>
      <c r="D1039" t="s">
        <v>448</v>
      </c>
      <c r="E1039" t="s">
        <v>449</v>
      </c>
      <c r="F1039">
        <v>170.79</v>
      </c>
      <c r="G1039">
        <v>231001</v>
      </c>
      <c r="H1039">
        <v>4840</v>
      </c>
      <c r="I1039" t="s">
        <v>19</v>
      </c>
      <c r="J1039">
        <v>211.78</v>
      </c>
      <c r="K1039">
        <v>40.99</v>
      </c>
      <c r="L1039">
        <v>13801</v>
      </c>
      <c r="M1039" t="s">
        <v>162</v>
      </c>
      <c r="N1039" t="str">
        <f t="shared" si="61"/>
        <v>2323492-8/19</v>
      </c>
      <c r="O1039">
        <v>230926</v>
      </c>
    </row>
    <row r="1040" spans="1:15" x14ac:dyDescent="0.25">
      <c r="A1040" t="s">
        <v>16</v>
      </c>
      <c r="B1040" t="s">
        <v>3221</v>
      </c>
      <c r="C1040">
        <v>12762</v>
      </c>
      <c r="D1040" t="s">
        <v>448</v>
      </c>
      <c r="E1040" t="s">
        <v>449</v>
      </c>
      <c r="F1040">
        <v>214.72</v>
      </c>
      <c r="G1040">
        <v>231001</v>
      </c>
      <c r="H1040">
        <v>4840</v>
      </c>
      <c r="I1040" t="s">
        <v>19</v>
      </c>
      <c r="J1040">
        <v>266.25</v>
      </c>
      <c r="K1040">
        <v>51.53</v>
      </c>
      <c r="L1040">
        <v>18971</v>
      </c>
      <c r="M1040" t="s">
        <v>63</v>
      </c>
      <c r="N1040" t="str">
        <f t="shared" si="61"/>
        <v>2323492-8/19</v>
      </c>
      <c r="O1040">
        <v>230926</v>
      </c>
    </row>
    <row r="1041" spans="1:15" x14ac:dyDescent="0.25">
      <c r="A1041" t="s">
        <v>16</v>
      </c>
      <c r="B1041" t="s">
        <v>3221</v>
      </c>
      <c r="C1041">
        <v>12763</v>
      </c>
      <c r="D1041" t="s">
        <v>448</v>
      </c>
      <c r="E1041" t="s">
        <v>449</v>
      </c>
      <c r="F1041">
        <v>34.31</v>
      </c>
      <c r="G1041">
        <v>231001</v>
      </c>
      <c r="H1041">
        <v>4840</v>
      </c>
      <c r="I1041" t="s">
        <v>19</v>
      </c>
      <c r="J1041">
        <v>42.54</v>
      </c>
      <c r="K1041">
        <v>8.23</v>
      </c>
      <c r="L1041">
        <v>11601</v>
      </c>
      <c r="M1041" t="s">
        <v>535</v>
      </c>
      <c r="N1041" t="str">
        <f t="shared" ref="N1041:N1063" si="62">"323492-11/19"</f>
        <v>323492-11/19</v>
      </c>
      <c r="O1041">
        <v>230926</v>
      </c>
    </row>
    <row r="1042" spans="1:15" x14ac:dyDescent="0.25">
      <c r="A1042" t="s">
        <v>16</v>
      </c>
      <c r="B1042" t="s">
        <v>3221</v>
      </c>
      <c r="C1042">
        <v>12763</v>
      </c>
      <c r="D1042" t="s">
        <v>448</v>
      </c>
      <c r="E1042" t="s">
        <v>449</v>
      </c>
      <c r="F1042">
        <v>1883.53</v>
      </c>
      <c r="G1042">
        <v>231001</v>
      </c>
      <c r="H1042">
        <v>4840</v>
      </c>
      <c r="I1042" t="s">
        <v>19</v>
      </c>
      <c r="J1042">
        <v>2335.58</v>
      </c>
      <c r="K1042">
        <v>452.05</v>
      </c>
      <c r="L1042">
        <v>41126</v>
      </c>
      <c r="M1042" t="s">
        <v>761</v>
      </c>
      <c r="N1042" t="str">
        <f t="shared" si="62"/>
        <v>323492-11/19</v>
      </c>
      <c r="O1042">
        <v>230926</v>
      </c>
    </row>
    <row r="1043" spans="1:15" x14ac:dyDescent="0.25">
      <c r="A1043" t="s">
        <v>16</v>
      </c>
      <c r="B1043" t="s">
        <v>3221</v>
      </c>
      <c r="C1043">
        <v>12763</v>
      </c>
      <c r="D1043" t="s">
        <v>448</v>
      </c>
      <c r="E1043" t="s">
        <v>449</v>
      </c>
      <c r="F1043">
        <v>598.02</v>
      </c>
      <c r="G1043">
        <v>231001</v>
      </c>
      <c r="H1043">
        <v>4840</v>
      </c>
      <c r="I1043" t="s">
        <v>19</v>
      </c>
      <c r="J1043">
        <v>741.55</v>
      </c>
      <c r="K1043">
        <v>143.53</v>
      </c>
      <c r="L1043">
        <v>43222</v>
      </c>
      <c r="M1043" t="s">
        <v>507</v>
      </c>
      <c r="N1043" t="str">
        <f t="shared" si="62"/>
        <v>323492-11/19</v>
      </c>
      <c r="O1043">
        <v>230926</v>
      </c>
    </row>
    <row r="1044" spans="1:15" x14ac:dyDescent="0.25">
      <c r="A1044" t="s">
        <v>16</v>
      </c>
      <c r="B1044" t="s">
        <v>3221</v>
      </c>
      <c r="C1044">
        <v>12763</v>
      </c>
      <c r="D1044" t="s">
        <v>448</v>
      </c>
      <c r="E1044" t="s">
        <v>449</v>
      </c>
      <c r="F1044">
        <v>1453.69</v>
      </c>
      <c r="G1044">
        <v>231001</v>
      </c>
      <c r="H1044">
        <v>4840</v>
      </c>
      <c r="I1044" t="s">
        <v>19</v>
      </c>
      <c r="J1044">
        <v>1802.58</v>
      </c>
      <c r="K1044">
        <v>348.89</v>
      </c>
      <c r="L1044">
        <v>44222</v>
      </c>
      <c r="M1044" t="s">
        <v>232</v>
      </c>
      <c r="N1044" t="str">
        <f t="shared" si="62"/>
        <v>323492-11/19</v>
      </c>
      <c r="O1044">
        <v>230926</v>
      </c>
    </row>
    <row r="1045" spans="1:15" x14ac:dyDescent="0.25">
      <c r="A1045" t="s">
        <v>16</v>
      </c>
      <c r="B1045" t="s">
        <v>3221</v>
      </c>
      <c r="C1045">
        <v>12763</v>
      </c>
      <c r="D1045" t="s">
        <v>448</v>
      </c>
      <c r="E1045" t="s">
        <v>449</v>
      </c>
      <c r="F1045">
        <v>33.06</v>
      </c>
      <c r="G1045">
        <v>231001</v>
      </c>
      <c r="H1045">
        <v>4840</v>
      </c>
      <c r="I1045" t="s">
        <v>19</v>
      </c>
      <c r="J1045">
        <v>40.99</v>
      </c>
      <c r="K1045">
        <v>7.93</v>
      </c>
      <c r="L1045">
        <v>44422</v>
      </c>
      <c r="M1045" t="s">
        <v>482</v>
      </c>
      <c r="N1045" t="str">
        <f t="shared" si="62"/>
        <v>323492-11/19</v>
      </c>
      <c r="O1045">
        <v>230926</v>
      </c>
    </row>
    <row r="1046" spans="1:15" x14ac:dyDescent="0.25">
      <c r="A1046" t="s">
        <v>16</v>
      </c>
      <c r="B1046" t="s">
        <v>3221</v>
      </c>
      <c r="C1046">
        <v>12763</v>
      </c>
      <c r="D1046" t="s">
        <v>448</v>
      </c>
      <c r="E1046" t="s">
        <v>449</v>
      </c>
      <c r="F1046">
        <v>66.12</v>
      </c>
      <c r="G1046">
        <v>231001</v>
      </c>
      <c r="H1046">
        <v>4840</v>
      </c>
      <c r="I1046" t="s">
        <v>19</v>
      </c>
      <c r="J1046">
        <v>81.99</v>
      </c>
      <c r="K1046">
        <v>15.87</v>
      </c>
      <c r="L1046">
        <v>44423</v>
      </c>
      <c r="M1046" t="s">
        <v>502</v>
      </c>
      <c r="N1046" t="str">
        <f t="shared" si="62"/>
        <v>323492-11/19</v>
      </c>
      <c r="O1046">
        <v>230926</v>
      </c>
    </row>
    <row r="1047" spans="1:15" x14ac:dyDescent="0.25">
      <c r="A1047" t="s">
        <v>16</v>
      </c>
      <c r="B1047" t="s">
        <v>3221</v>
      </c>
      <c r="C1047">
        <v>12763</v>
      </c>
      <c r="D1047" t="s">
        <v>448</v>
      </c>
      <c r="E1047" t="s">
        <v>449</v>
      </c>
      <c r="F1047">
        <v>1138.29</v>
      </c>
      <c r="G1047">
        <v>231001</v>
      </c>
      <c r="H1047">
        <v>4840</v>
      </c>
      <c r="I1047" t="s">
        <v>19</v>
      </c>
      <c r="J1047">
        <v>1411.48</v>
      </c>
      <c r="K1047">
        <v>273.19</v>
      </c>
      <c r="L1047">
        <v>44424</v>
      </c>
      <c r="M1047" t="s">
        <v>776</v>
      </c>
      <c r="N1047" t="str">
        <f t="shared" si="62"/>
        <v>323492-11/19</v>
      </c>
      <c r="O1047">
        <v>230926</v>
      </c>
    </row>
    <row r="1048" spans="1:15" x14ac:dyDescent="0.25">
      <c r="A1048" t="s">
        <v>16</v>
      </c>
      <c r="B1048" t="s">
        <v>3221</v>
      </c>
      <c r="C1048">
        <v>12763</v>
      </c>
      <c r="D1048" t="s">
        <v>448</v>
      </c>
      <c r="E1048" t="s">
        <v>449</v>
      </c>
      <c r="F1048">
        <v>27.63</v>
      </c>
      <c r="G1048">
        <v>231001</v>
      </c>
      <c r="H1048">
        <v>4840</v>
      </c>
      <c r="I1048" t="s">
        <v>19</v>
      </c>
      <c r="J1048">
        <v>34.26</v>
      </c>
      <c r="K1048">
        <v>6.63</v>
      </c>
      <c r="L1048">
        <v>44453</v>
      </c>
      <c r="M1048" t="s">
        <v>492</v>
      </c>
      <c r="N1048" t="str">
        <f t="shared" si="62"/>
        <v>323492-11/19</v>
      </c>
      <c r="O1048">
        <v>230926</v>
      </c>
    </row>
    <row r="1049" spans="1:15" x14ac:dyDescent="0.25">
      <c r="A1049" t="s">
        <v>16</v>
      </c>
      <c r="B1049" t="s">
        <v>3221</v>
      </c>
      <c r="C1049">
        <v>12763</v>
      </c>
      <c r="D1049" t="s">
        <v>448</v>
      </c>
      <c r="E1049" t="s">
        <v>449</v>
      </c>
      <c r="F1049">
        <v>1706.39</v>
      </c>
      <c r="G1049">
        <v>231001</v>
      </c>
      <c r="H1049">
        <v>4840</v>
      </c>
      <c r="I1049" t="s">
        <v>19</v>
      </c>
      <c r="J1049">
        <v>2115.92</v>
      </c>
      <c r="K1049">
        <v>409.53</v>
      </c>
      <c r="L1049">
        <v>46222</v>
      </c>
      <c r="M1049" t="s">
        <v>293</v>
      </c>
      <c r="N1049" t="str">
        <f t="shared" si="62"/>
        <v>323492-11/19</v>
      </c>
      <c r="O1049">
        <v>230926</v>
      </c>
    </row>
    <row r="1050" spans="1:15" x14ac:dyDescent="0.25">
      <c r="A1050" t="s">
        <v>16</v>
      </c>
      <c r="B1050" t="s">
        <v>3221</v>
      </c>
      <c r="C1050">
        <v>12763</v>
      </c>
      <c r="D1050" t="s">
        <v>448</v>
      </c>
      <c r="E1050" t="s">
        <v>449</v>
      </c>
      <c r="F1050">
        <v>1443.7</v>
      </c>
      <c r="G1050">
        <v>231001</v>
      </c>
      <c r="H1050">
        <v>4840</v>
      </c>
      <c r="I1050" t="s">
        <v>19</v>
      </c>
      <c r="J1050">
        <v>1790.19</v>
      </c>
      <c r="K1050">
        <v>346.49</v>
      </c>
      <c r="L1050">
        <v>46554</v>
      </c>
      <c r="M1050" t="s">
        <v>117</v>
      </c>
      <c r="N1050" t="str">
        <f t="shared" si="62"/>
        <v>323492-11/19</v>
      </c>
      <c r="O1050">
        <v>230926</v>
      </c>
    </row>
    <row r="1051" spans="1:15" x14ac:dyDescent="0.25">
      <c r="A1051" t="s">
        <v>16</v>
      </c>
      <c r="B1051" t="s">
        <v>3221</v>
      </c>
      <c r="C1051">
        <v>12763</v>
      </c>
      <c r="D1051" t="s">
        <v>448</v>
      </c>
      <c r="E1051" t="s">
        <v>449</v>
      </c>
      <c r="F1051">
        <v>1019.11</v>
      </c>
      <c r="G1051">
        <v>231001</v>
      </c>
      <c r="H1051">
        <v>4840</v>
      </c>
      <c r="I1051" t="s">
        <v>19</v>
      </c>
      <c r="J1051">
        <v>1263.7</v>
      </c>
      <c r="K1051">
        <v>244.59</v>
      </c>
      <c r="L1051">
        <v>46555</v>
      </c>
      <c r="M1051" t="s">
        <v>597</v>
      </c>
      <c r="N1051" t="str">
        <f t="shared" si="62"/>
        <v>323492-11/19</v>
      </c>
      <c r="O1051">
        <v>230926</v>
      </c>
    </row>
    <row r="1052" spans="1:15" x14ac:dyDescent="0.25">
      <c r="A1052" t="s">
        <v>16</v>
      </c>
      <c r="B1052" t="s">
        <v>3221</v>
      </c>
      <c r="C1052">
        <v>12763</v>
      </c>
      <c r="D1052" t="s">
        <v>448</v>
      </c>
      <c r="E1052" t="s">
        <v>449</v>
      </c>
      <c r="F1052">
        <v>446.82</v>
      </c>
      <c r="G1052">
        <v>231001</v>
      </c>
      <c r="H1052">
        <v>4840</v>
      </c>
      <c r="I1052" t="s">
        <v>19</v>
      </c>
      <c r="J1052">
        <v>554.05999999999995</v>
      </c>
      <c r="K1052">
        <v>107.24</v>
      </c>
      <c r="L1052">
        <v>46556</v>
      </c>
      <c r="M1052" t="s">
        <v>125</v>
      </c>
      <c r="N1052" t="str">
        <f t="shared" si="62"/>
        <v>323492-11/19</v>
      </c>
      <c r="O1052">
        <v>230926</v>
      </c>
    </row>
    <row r="1053" spans="1:15" x14ac:dyDescent="0.25">
      <c r="A1053" t="s">
        <v>16</v>
      </c>
      <c r="B1053" t="s">
        <v>3221</v>
      </c>
      <c r="C1053">
        <v>12763</v>
      </c>
      <c r="D1053" t="s">
        <v>448</v>
      </c>
      <c r="E1053" t="s">
        <v>449</v>
      </c>
      <c r="F1053">
        <v>62.72</v>
      </c>
      <c r="G1053">
        <v>231001</v>
      </c>
      <c r="H1053">
        <v>4840</v>
      </c>
      <c r="I1053" t="s">
        <v>19</v>
      </c>
      <c r="J1053">
        <v>77.77</v>
      </c>
      <c r="K1053">
        <v>15.05</v>
      </c>
      <c r="L1053">
        <v>46557</v>
      </c>
      <c r="M1053" t="s">
        <v>221</v>
      </c>
      <c r="N1053" t="str">
        <f t="shared" si="62"/>
        <v>323492-11/19</v>
      </c>
      <c r="O1053">
        <v>230926</v>
      </c>
    </row>
    <row r="1054" spans="1:15" x14ac:dyDescent="0.25">
      <c r="A1054" t="s">
        <v>16</v>
      </c>
      <c r="B1054" t="s">
        <v>3221</v>
      </c>
      <c r="C1054">
        <v>12763</v>
      </c>
      <c r="D1054" t="s">
        <v>448</v>
      </c>
      <c r="E1054" t="s">
        <v>449</v>
      </c>
      <c r="F1054">
        <v>1029.1600000000001</v>
      </c>
      <c r="G1054">
        <v>231001</v>
      </c>
      <c r="H1054">
        <v>4840</v>
      </c>
      <c r="I1054" t="s">
        <v>19</v>
      </c>
      <c r="J1054">
        <v>1276.1600000000001</v>
      </c>
      <c r="K1054">
        <v>247</v>
      </c>
      <c r="L1054">
        <v>46559</v>
      </c>
      <c r="M1054" t="s">
        <v>1104</v>
      </c>
      <c r="N1054" t="str">
        <f t="shared" si="62"/>
        <v>323492-11/19</v>
      </c>
      <c r="O1054">
        <v>230926</v>
      </c>
    </row>
    <row r="1055" spans="1:15" x14ac:dyDescent="0.25">
      <c r="A1055" t="s">
        <v>16</v>
      </c>
      <c r="B1055" t="s">
        <v>3221</v>
      </c>
      <c r="C1055">
        <v>12763</v>
      </c>
      <c r="D1055" t="s">
        <v>448</v>
      </c>
      <c r="E1055" t="s">
        <v>449</v>
      </c>
      <c r="F1055">
        <v>1830.93</v>
      </c>
      <c r="G1055">
        <v>231001</v>
      </c>
      <c r="H1055">
        <v>4840</v>
      </c>
      <c r="I1055" t="s">
        <v>19</v>
      </c>
      <c r="J1055">
        <v>2270.35</v>
      </c>
      <c r="K1055">
        <v>439.42</v>
      </c>
      <c r="L1055">
        <v>47522</v>
      </c>
      <c r="M1055" t="s">
        <v>410</v>
      </c>
      <c r="N1055" t="str">
        <f t="shared" si="62"/>
        <v>323492-11/19</v>
      </c>
      <c r="O1055">
        <v>230926</v>
      </c>
    </row>
    <row r="1056" spans="1:15" x14ac:dyDescent="0.25">
      <c r="A1056" t="s">
        <v>16</v>
      </c>
      <c r="B1056" t="s">
        <v>3221</v>
      </c>
      <c r="C1056">
        <v>12763</v>
      </c>
      <c r="D1056" t="s">
        <v>448</v>
      </c>
      <c r="E1056" t="s">
        <v>449</v>
      </c>
      <c r="F1056">
        <v>219.83</v>
      </c>
      <c r="G1056">
        <v>231001</v>
      </c>
      <c r="H1056">
        <v>4840</v>
      </c>
      <c r="I1056" t="s">
        <v>19</v>
      </c>
      <c r="J1056">
        <v>272.58999999999997</v>
      </c>
      <c r="K1056">
        <v>52.76</v>
      </c>
      <c r="L1056">
        <v>48601</v>
      </c>
      <c r="M1056" t="s">
        <v>1047</v>
      </c>
      <c r="N1056" t="str">
        <f t="shared" si="62"/>
        <v>323492-11/19</v>
      </c>
      <c r="O1056">
        <v>230926</v>
      </c>
    </row>
    <row r="1057" spans="1:15" x14ac:dyDescent="0.25">
      <c r="A1057" t="s">
        <v>16</v>
      </c>
      <c r="B1057" t="s">
        <v>3221</v>
      </c>
      <c r="C1057">
        <v>12763</v>
      </c>
      <c r="D1057" t="s">
        <v>448</v>
      </c>
      <c r="E1057" t="s">
        <v>449</v>
      </c>
      <c r="F1057">
        <v>948.17</v>
      </c>
      <c r="G1057">
        <v>231001</v>
      </c>
      <c r="H1057">
        <v>4840</v>
      </c>
      <c r="I1057" t="s">
        <v>19</v>
      </c>
      <c r="J1057">
        <v>1175.73</v>
      </c>
      <c r="K1057">
        <v>227.56</v>
      </c>
      <c r="L1057">
        <v>48601</v>
      </c>
      <c r="M1057" t="s">
        <v>1047</v>
      </c>
      <c r="N1057" t="str">
        <f t="shared" si="62"/>
        <v>323492-11/19</v>
      </c>
      <c r="O1057">
        <v>230926</v>
      </c>
    </row>
    <row r="1058" spans="1:15" x14ac:dyDescent="0.25">
      <c r="A1058" t="s">
        <v>16</v>
      </c>
      <c r="B1058" t="s">
        <v>3221</v>
      </c>
      <c r="C1058">
        <v>12763</v>
      </c>
      <c r="D1058" t="s">
        <v>448</v>
      </c>
      <c r="E1058" t="s">
        <v>449</v>
      </c>
      <c r="F1058">
        <v>52.63</v>
      </c>
      <c r="G1058">
        <v>231001</v>
      </c>
      <c r="H1058">
        <v>4840</v>
      </c>
      <c r="I1058" t="s">
        <v>19</v>
      </c>
      <c r="J1058">
        <v>65.260000000000005</v>
      </c>
      <c r="K1058">
        <v>12.63</v>
      </c>
      <c r="L1058">
        <v>49112</v>
      </c>
      <c r="M1058" t="s">
        <v>233</v>
      </c>
      <c r="N1058" t="str">
        <f t="shared" si="62"/>
        <v>323492-11/19</v>
      </c>
      <c r="O1058">
        <v>230926</v>
      </c>
    </row>
    <row r="1059" spans="1:15" x14ac:dyDescent="0.25">
      <c r="A1059" t="s">
        <v>16</v>
      </c>
      <c r="B1059" t="s">
        <v>3221</v>
      </c>
      <c r="C1059">
        <v>12763</v>
      </c>
      <c r="D1059" t="s">
        <v>448</v>
      </c>
      <c r="E1059" t="s">
        <v>449</v>
      </c>
      <c r="F1059">
        <v>660.1</v>
      </c>
      <c r="G1059">
        <v>231001</v>
      </c>
      <c r="H1059">
        <v>4840</v>
      </c>
      <c r="I1059" t="s">
        <v>19</v>
      </c>
      <c r="J1059">
        <v>818.52</v>
      </c>
      <c r="K1059">
        <v>158.41999999999999</v>
      </c>
      <c r="L1059">
        <v>49501</v>
      </c>
      <c r="M1059" t="s">
        <v>177</v>
      </c>
      <c r="N1059" t="str">
        <f t="shared" si="62"/>
        <v>323492-11/19</v>
      </c>
      <c r="O1059">
        <v>230926</v>
      </c>
    </row>
    <row r="1060" spans="1:15" x14ac:dyDescent="0.25">
      <c r="A1060" t="s">
        <v>16</v>
      </c>
      <c r="B1060" t="s">
        <v>3221</v>
      </c>
      <c r="C1060">
        <v>12763</v>
      </c>
      <c r="D1060" t="s">
        <v>448</v>
      </c>
      <c r="E1060" t="s">
        <v>449</v>
      </c>
      <c r="F1060">
        <v>339.45</v>
      </c>
      <c r="G1060">
        <v>231001</v>
      </c>
      <c r="H1060">
        <v>4840</v>
      </c>
      <c r="I1060" t="s">
        <v>19</v>
      </c>
      <c r="J1060">
        <v>420.92</v>
      </c>
      <c r="K1060">
        <v>81.47</v>
      </c>
      <c r="L1060">
        <v>49701</v>
      </c>
      <c r="M1060" t="s">
        <v>166</v>
      </c>
      <c r="N1060" t="str">
        <f t="shared" si="62"/>
        <v>323492-11/19</v>
      </c>
      <c r="O1060">
        <v>230926</v>
      </c>
    </row>
    <row r="1061" spans="1:15" x14ac:dyDescent="0.25">
      <c r="A1061" t="s">
        <v>16</v>
      </c>
      <c r="B1061" t="s">
        <v>3221</v>
      </c>
      <c r="C1061">
        <v>12763</v>
      </c>
      <c r="D1061" t="s">
        <v>448</v>
      </c>
      <c r="E1061" t="s">
        <v>449</v>
      </c>
      <c r="F1061">
        <v>387.96</v>
      </c>
      <c r="G1061">
        <v>231001</v>
      </c>
      <c r="H1061">
        <v>4840</v>
      </c>
      <c r="I1061" t="s">
        <v>19</v>
      </c>
      <c r="J1061">
        <v>481.07</v>
      </c>
      <c r="K1061">
        <v>93.11</v>
      </c>
      <c r="L1061">
        <v>49702</v>
      </c>
      <c r="M1061" t="s">
        <v>584</v>
      </c>
      <c r="N1061" t="str">
        <f t="shared" si="62"/>
        <v>323492-11/19</v>
      </c>
      <c r="O1061">
        <v>230926</v>
      </c>
    </row>
    <row r="1062" spans="1:15" x14ac:dyDescent="0.25">
      <c r="A1062" t="s">
        <v>16</v>
      </c>
      <c r="B1062" t="s">
        <v>3221</v>
      </c>
      <c r="C1062">
        <v>12763</v>
      </c>
      <c r="D1062" t="s">
        <v>448</v>
      </c>
      <c r="E1062" t="s">
        <v>449</v>
      </c>
      <c r="F1062">
        <v>46.36</v>
      </c>
      <c r="G1062">
        <v>231001</v>
      </c>
      <c r="H1062">
        <v>4840</v>
      </c>
      <c r="I1062" t="s">
        <v>19</v>
      </c>
      <c r="J1062">
        <v>57.49</v>
      </c>
      <c r="K1062">
        <v>11.13</v>
      </c>
      <c r="L1062">
        <v>49704</v>
      </c>
      <c r="M1062" t="s">
        <v>1065</v>
      </c>
      <c r="N1062" t="str">
        <f t="shared" si="62"/>
        <v>323492-11/19</v>
      </c>
      <c r="O1062">
        <v>230926</v>
      </c>
    </row>
    <row r="1063" spans="1:15" x14ac:dyDescent="0.25">
      <c r="A1063" t="s">
        <v>16</v>
      </c>
      <c r="B1063" t="s">
        <v>3221</v>
      </c>
      <c r="C1063">
        <v>12763</v>
      </c>
      <c r="D1063" t="s">
        <v>448</v>
      </c>
      <c r="E1063" t="s">
        <v>449</v>
      </c>
      <c r="F1063">
        <v>188.26</v>
      </c>
      <c r="G1063">
        <v>231001</v>
      </c>
      <c r="H1063">
        <v>4840</v>
      </c>
      <c r="I1063" t="s">
        <v>19</v>
      </c>
      <c r="J1063">
        <v>233.44</v>
      </c>
      <c r="K1063">
        <v>45.18</v>
      </c>
      <c r="L1063">
        <v>49705</v>
      </c>
      <c r="M1063" t="s">
        <v>575</v>
      </c>
      <c r="N1063" t="str">
        <f t="shared" si="62"/>
        <v>323492-11/19</v>
      </c>
      <c r="O1063">
        <v>230926</v>
      </c>
    </row>
    <row r="1064" spans="1:15" x14ac:dyDescent="0.25">
      <c r="A1064" t="s">
        <v>16</v>
      </c>
      <c r="B1064" t="s">
        <v>3221</v>
      </c>
      <c r="C1064">
        <v>12840</v>
      </c>
      <c r="D1064" t="s">
        <v>448</v>
      </c>
      <c r="E1064" t="s">
        <v>449</v>
      </c>
      <c r="F1064">
        <v>106.11</v>
      </c>
      <c r="G1064">
        <v>231001</v>
      </c>
      <c r="H1064">
        <v>4840</v>
      </c>
      <c r="I1064" t="s">
        <v>19</v>
      </c>
      <c r="J1064">
        <v>131.58000000000001</v>
      </c>
      <c r="K1064">
        <v>25.47</v>
      </c>
      <c r="L1064">
        <v>11301</v>
      </c>
      <c r="M1064" t="s">
        <v>29</v>
      </c>
      <c r="N1064" t="str">
        <f t="shared" ref="N1064:N1090" si="63">"2323492-4/19"</f>
        <v>2323492-4/19</v>
      </c>
      <c r="O1064">
        <v>230928</v>
      </c>
    </row>
    <row r="1065" spans="1:15" x14ac:dyDescent="0.25">
      <c r="A1065" t="s">
        <v>16</v>
      </c>
      <c r="B1065" t="s">
        <v>3221</v>
      </c>
      <c r="C1065">
        <v>12840</v>
      </c>
      <c r="D1065" t="s">
        <v>448</v>
      </c>
      <c r="E1065" t="s">
        <v>449</v>
      </c>
      <c r="F1065">
        <v>25.3</v>
      </c>
      <c r="G1065">
        <v>231001</v>
      </c>
      <c r="H1065">
        <v>4840</v>
      </c>
      <c r="I1065" t="s">
        <v>19</v>
      </c>
      <c r="J1065">
        <v>31.37</v>
      </c>
      <c r="K1065">
        <v>6.07</v>
      </c>
      <c r="L1065">
        <v>11751</v>
      </c>
      <c r="M1065" t="s">
        <v>1339</v>
      </c>
      <c r="N1065" t="str">
        <f t="shared" si="63"/>
        <v>2323492-4/19</v>
      </c>
      <c r="O1065">
        <v>230928</v>
      </c>
    </row>
    <row r="1066" spans="1:15" x14ac:dyDescent="0.25">
      <c r="A1066" t="s">
        <v>16</v>
      </c>
      <c r="B1066" t="s">
        <v>3221</v>
      </c>
      <c r="C1066">
        <v>12840</v>
      </c>
      <c r="D1066" t="s">
        <v>448</v>
      </c>
      <c r="E1066" t="s">
        <v>449</v>
      </c>
      <c r="F1066">
        <v>40.83</v>
      </c>
      <c r="G1066">
        <v>231001</v>
      </c>
      <c r="H1066">
        <v>4840</v>
      </c>
      <c r="I1066" t="s">
        <v>19</v>
      </c>
      <c r="J1066">
        <v>50.63</v>
      </c>
      <c r="K1066">
        <v>9.8000000000000007</v>
      </c>
      <c r="L1066">
        <v>11900</v>
      </c>
      <c r="M1066" t="s">
        <v>1105</v>
      </c>
      <c r="N1066" t="str">
        <f t="shared" si="63"/>
        <v>2323492-4/19</v>
      </c>
      <c r="O1066">
        <v>230928</v>
      </c>
    </row>
    <row r="1067" spans="1:15" x14ac:dyDescent="0.25">
      <c r="A1067" t="s">
        <v>16</v>
      </c>
      <c r="B1067" t="s">
        <v>3221</v>
      </c>
      <c r="C1067">
        <v>12840</v>
      </c>
      <c r="D1067" t="s">
        <v>448</v>
      </c>
      <c r="E1067" t="s">
        <v>449</v>
      </c>
      <c r="F1067">
        <v>6.49</v>
      </c>
      <c r="G1067">
        <v>231001</v>
      </c>
      <c r="H1067">
        <v>4840</v>
      </c>
      <c r="I1067" t="s">
        <v>19</v>
      </c>
      <c r="J1067">
        <v>8.0500000000000007</v>
      </c>
      <c r="K1067">
        <v>1.56</v>
      </c>
      <c r="L1067">
        <v>11901</v>
      </c>
      <c r="M1067" t="s">
        <v>36</v>
      </c>
      <c r="N1067" t="str">
        <f t="shared" si="63"/>
        <v>2323492-4/19</v>
      </c>
      <c r="O1067">
        <v>230928</v>
      </c>
    </row>
    <row r="1068" spans="1:15" x14ac:dyDescent="0.25">
      <c r="A1068" t="s">
        <v>16</v>
      </c>
      <c r="B1068" t="s">
        <v>3221</v>
      </c>
      <c r="C1068">
        <v>12840</v>
      </c>
      <c r="D1068" t="s">
        <v>448</v>
      </c>
      <c r="E1068" t="s">
        <v>449</v>
      </c>
      <c r="F1068">
        <v>90.04</v>
      </c>
      <c r="G1068">
        <v>231001</v>
      </c>
      <c r="H1068">
        <v>4840</v>
      </c>
      <c r="I1068" t="s">
        <v>19</v>
      </c>
      <c r="J1068">
        <v>111.65</v>
      </c>
      <c r="K1068">
        <v>21.61</v>
      </c>
      <c r="L1068">
        <v>13601</v>
      </c>
      <c r="M1068" t="s">
        <v>147</v>
      </c>
      <c r="N1068" t="str">
        <f t="shared" si="63"/>
        <v>2323492-4/19</v>
      </c>
      <c r="O1068">
        <v>230928</v>
      </c>
    </row>
    <row r="1069" spans="1:15" x14ac:dyDescent="0.25">
      <c r="A1069" t="s">
        <v>16</v>
      </c>
      <c r="B1069" t="s">
        <v>3221</v>
      </c>
      <c r="C1069">
        <v>12840</v>
      </c>
      <c r="D1069" t="s">
        <v>448</v>
      </c>
      <c r="E1069" t="s">
        <v>449</v>
      </c>
      <c r="F1069">
        <v>84.38</v>
      </c>
      <c r="G1069">
        <v>231001</v>
      </c>
      <c r="H1069">
        <v>4840</v>
      </c>
      <c r="I1069" t="s">
        <v>19</v>
      </c>
      <c r="J1069">
        <v>104.63</v>
      </c>
      <c r="K1069">
        <v>20.25</v>
      </c>
      <c r="L1069">
        <v>13801</v>
      </c>
      <c r="M1069" t="s">
        <v>162</v>
      </c>
      <c r="N1069" t="str">
        <f t="shared" si="63"/>
        <v>2323492-4/19</v>
      </c>
      <c r="O1069">
        <v>230928</v>
      </c>
    </row>
    <row r="1070" spans="1:15" x14ac:dyDescent="0.25">
      <c r="A1070" t="s">
        <v>16</v>
      </c>
      <c r="B1070" t="s">
        <v>3221</v>
      </c>
      <c r="C1070">
        <v>12840</v>
      </c>
      <c r="D1070" t="s">
        <v>448</v>
      </c>
      <c r="E1070" t="s">
        <v>449</v>
      </c>
      <c r="F1070">
        <v>97.72</v>
      </c>
      <c r="G1070">
        <v>231001</v>
      </c>
      <c r="H1070">
        <v>4840</v>
      </c>
      <c r="I1070" t="s">
        <v>19</v>
      </c>
      <c r="J1070">
        <v>121.17</v>
      </c>
      <c r="K1070">
        <v>23.45</v>
      </c>
      <c r="L1070">
        <v>13801</v>
      </c>
      <c r="M1070" t="s">
        <v>162</v>
      </c>
      <c r="N1070" t="str">
        <f t="shared" si="63"/>
        <v>2323492-4/19</v>
      </c>
      <c r="O1070">
        <v>230928</v>
      </c>
    </row>
    <row r="1071" spans="1:15" x14ac:dyDescent="0.25">
      <c r="A1071" t="s">
        <v>16</v>
      </c>
      <c r="B1071" t="s">
        <v>3221</v>
      </c>
      <c r="C1071">
        <v>12840</v>
      </c>
      <c r="D1071" t="s">
        <v>448</v>
      </c>
      <c r="E1071" t="s">
        <v>449</v>
      </c>
      <c r="F1071">
        <v>13.3</v>
      </c>
      <c r="G1071">
        <v>231001</v>
      </c>
      <c r="H1071">
        <v>4840</v>
      </c>
      <c r="I1071" t="s">
        <v>19</v>
      </c>
      <c r="J1071">
        <v>16.489999999999998</v>
      </c>
      <c r="K1071">
        <v>3.19</v>
      </c>
      <c r="L1071">
        <v>13801</v>
      </c>
      <c r="M1071" t="s">
        <v>162</v>
      </c>
      <c r="N1071" t="str">
        <f t="shared" si="63"/>
        <v>2323492-4/19</v>
      </c>
      <c r="O1071">
        <v>230928</v>
      </c>
    </row>
    <row r="1072" spans="1:15" x14ac:dyDescent="0.25">
      <c r="A1072" t="s">
        <v>16</v>
      </c>
      <c r="B1072" t="s">
        <v>3221</v>
      </c>
      <c r="C1072">
        <v>12840</v>
      </c>
      <c r="D1072" t="s">
        <v>448</v>
      </c>
      <c r="E1072" t="s">
        <v>449</v>
      </c>
      <c r="F1072">
        <v>121.06</v>
      </c>
      <c r="G1072">
        <v>231001</v>
      </c>
      <c r="H1072">
        <v>4840</v>
      </c>
      <c r="I1072" t="s">
        <v>19</v>
      </c>
      <c r="J1072">
        <v>150.11000000000001</v>
      </c>
      <c r="K1072">
        <v>29.05</v>
      </c>
      <c r="L1072">
        <v>16321</v>
      </c>
      <c r="M1072" t="s">
        <v>423</v>
      </c>
      <c r="N1072" t="str">
        <f t="shared" si="63"/>
        <v>2323492-4/19</v>
      </c>
      <c r="O1072">
        <v>230928</v>
      </c>
    </row>
    <row r="1073" spans="1:15" x14ac:dyDescent="0.25">
      <c r="A1073" t="s">
        <v>16</v>
      </c>
      <c r="B1073" t="s">
        <v>3221</v>
      </c>
      <c r="C1073">
        <v>12840</v>
      </c>
      <c r="D1073" t="s">
        <v>448</v>
      </c>
      <c r="E1073" t="s">
        <v>449</v>
      </c>
      <c r="F1073">
        <v>606.96</v>
      </c>
      <c r="G1073">
        <v>231001</v>
      </c>
      <c r="H1073">
        <v>4840</v>
      </c>
      <c r="I1073" t="s">
        <v>19</v>
      </c>
      <c r="J1073">
        <v>752.63</v>
      </c>
      <c r="K1073">
        <v>145.66999999999999</v>
      </c>
      <c r="L1073">
        <v>16321</v>
      </c>
      <c r="M1073" t="s">
        <v>423</v>
      </c>
      <c r="N1073" t="str">
        <f t="shared" si="63"/>
        <v>2323492-4/19</v>
      </c>
      <c r="O1073">
        <v>230928</v>
      </c>
    </row>
    <row r="1074" spans="1:15" x14ac:dyDescent="0.25">
      <c r="A1074" t="s">
        <v>16</v>
      </c>
      <c r="B1074" t="s">
        <v>3221</v>
      </c>
      <c r="C1074">
        <v>12840</v>
      </c>
      <c r="D1074" t="s">
        <v>448</v>
      </c>
      <c r="E1074" t="s">
        <v>449</v>
      </c>
      <c r="F1074">
        <v>204.1</v>
      </c>
      <c r="G1074">
        <v>231001</v>
      </c>
      <c r="H1074">
        <v>4840</v>
      </c>
      <c r="I1074" t="s">
        <v>19</v>
      </c>
      <c r="J1074">
        <v>253.08</v>
      </c>
      <c r="K1074">
        <v>48.98</v>
      </c>
      <c r="L1074">
        <v>16431</v>
      </c>
      <c r="M1074" t="s">
        <v>231</v>
      </c>
      <c r="N1074" t="str">
        <f t="shared" si="63"/>
        <v>2323492-4/19</v>
      </c>
      <c r="O1074">
        <v>230928</v>
      </c>
    </row>
    <row r="1075" spans="1:15" x14ac:dyDescent="0.25">
      <c r="A1075" t="s">
        <v>16</v>
      </c>
      <c r="B1075" t="s">
        <v>3221</v>
      </c>
      <c r="C1075">
        <v>12840</v>
      </c>
      <c r="D1075" t="s">
        <v>448</v>
      </c>
      <c r="E1075" t="s">
        <v>449</v>
      </c>
      <c r="F1075">
        <v>104.61</v>
      </c>
      <c r="G1075">
        <v>231001</v>
      </c>
      <c r="H1075">
        <v>4840</v>
      </c>
      <c r="I1075" t="s">
        <v>19</v>
      </c>
      <c r="J1075">
        <v>129.72</v>
      </c>
      <c r="K1075">
        <v>25.11</v>
      </c>
      <c r="L1075">
        <v>16820</v>
      </c>
      <c r="M1075" t="s">
        <v>23</v>
      </c>
      <c r="N1075" t="str">
        <f t="shared" si="63"/>
        <v>2323492-4/19</v>
      </c>
      <c r="O1075">
        <v>230928</v>
      </c>
    </row>
    <row r="1076" spans="1:15" x14ac:dyDescent="0.25">
      <c r="A1076" t="s">
        <v>16</v>
      </c>
      <c r="B1076" t="s">
        <v>3221</v>
      </c>
      <c r="C1076">
        <v>12840</v>
      </c>
      <c r="D1076" t="s">
        <v>448</v>
      </c>
      <c r="E1076" t="s">
        <v>449</v>
      </c>
      <c r="F1076">
        <v>32.450000000000003</v>
      </c>
      <c r="G1076">
        <v>231001</v>
      </c>
      <c r="H1076">
        <v>4840</v>
      </c>
      <c r="I1076" t="s">
        <v>19</v>
      </c>
      <c r="J1076">
        <v>40.24</v>
      </c>
      <c r="K1076">
        <v>7.79</v>
      </c>
      <c r="L1076">
        <v>17131</v>
      </c>
      <c r="M1076" t="s">
        <v>64</v>
      </c>
      <c r="N1076" t="str">
        <f t="shared" si="63"/>
        <v>2323492-4/19</v>
      </c>
      <c r="O1076">
        <v>230928</v>
      </c>
    </row>
    <row r="1077" spans="1:15" x14ac:dyDescent="0.25">
      <c r="A1077" t="s">
        <v>16</v>
      </c>
      <c r="B1077" t="s">
        <v>3221</v>
      </c>
      <c r="C1077">
        <v>12840</v>
      </c>
      <c r="D1077" t="s">
        <v>448</v>
      </c>
      <c r="E1077" t="s">
        <v>449</v>
      </c>
      <c r="F1077">
        <v>362.6</v>
      </c>
      <c r="G1077">
        <v>231001</v>
      </c>
      <c r="H1077">
        <v>4840</v>
      </c>
      <c r="I1077" t="s">
        <v>19</v>
      </c>
      <c r="J1077">
        <v>449.62</v>
      </c>
      <c r="K1077">
        <v>87.02</v>
      </c>
      <c r="L1077">
        <v>17802</v>
      </c>
      <c r="M1077" t="s">
        <v>174</v>
      </c>
      <c r="N1077" t="str">
        <f t="shared" si="63"/>
        <v>2323492-4/19</v>
      </c>
      <c r="O1077">
        <v>230928</v>
      </c>
    </row>
    <row r="1078" spans="1:15" x14ac:dyDescent="0.25">
      <c r="A1078" t="s">
        <v>16</v>
      </c>
      <c r="B1078" t="s">
        <v>3221</v>
      </c>
      <c r="C1078">
        <v>12840</v>
      </c>
      <c r="D1078" t="s">
        <v>448</v>
      </c>
      <c r="E1078" t="s">
        <v>449</v>
      </c>
      <c r="F1078">
        <v>637.99</v>
      </c>
      <c r="G1078">
        <v>231001</v>
      </c>
      <c r="H1078">
        <v>4840</v>
      </c>
      <c r="I1078" t="s">
        <v>19</v>
      </c>
      <c r="J1078">
        <v>791.11</v>
      </c>
      <c r="K1078">
        <v>153.12</v>
      </c>
      <c r="L1078">
        <v>17804</v>
      </c>
      <c r="M1078" t="s">
        <v>549</v>
      </c>
      <c r="N1078" t="str">
        <f t="shared" si="63"/>
        <v>2323492-4/19</v>
      </c>
      <c r="O1078">
        <v>230928</v>
      </c>
    </row>
    <row r="1079" spans="1:15" x14ac:dyDescent="0.25">
      <c r="A1079" t="s">
        <v>16</v>
      </c>
      <c r="B1079" t="s">
        <v>3221</v>
      </c>
      <c r="C1079">
        <v>12840</v>
      </c>
      <c r="D1079" t="s">
        <v>448</v>
      </c>
      <c r="E1079" t="s">
        <v>449</v>
      </c>
      <c r="F1079">
        <v>72.569999999999993</v>
      </c>
      <c r="G1079">
        <v>231001</v>
      </c>
      <c r="H1079">
        <v>4840</v>
      </c>
      <c r="I1079" t="s">
        <v>19</v>
      </c>
      <c r="J1079">
        <v>89.99</v>
      </c>
      <c r="K1079">
        <v>17.420000000000002</v>
      </c>
      <c r="L1079">
        <v>17806</v>
      </c>
      <c r="M1079" t="s">
        <v>265</v>
      </c>
      <c r="N1079" t="str">
        <f t="shared" si="63"/>
        <v>2323492-4/19</v>
      </c>
      <c r="O1079">
        <v>230928</v>
      </c>
    </row>
    <row r="1080" spans="1:15" x14ac:dyDescent="0.25">
      <c r="A1080" t="s">
        <v>16</v>
      </c>
      <c r="B1080" t="s">
        <v>3221</v>
      </c>
      <c r="C1080">
        <v>12840</v>
      </c>
      <c r="D1080" t="s">
        <v>448</v>
      </c>
      <c r="E1080" t="s">
        <v>449</v>
      </c>
      <c r="F1080">
        <v>296.55</v>
      </c>
      <c r="G1080">
        <v>231001</v>
      </c>
      <c r="H1080">
        <v>4840</v>
      </c>
      <c r="I1080" t="s">
        <v>19</v>
      </c>
      <c r="J1080">
        <v>367.72</v>
      </c>
      <c r="K1080">
        <v>71.17</v>
      </c>
      <c r="L1080">
        <v>17806</v>
      </c>
      <c r="M1080" t="s">
        <v>265</v>
      </c>
      <c r="N1080" t="str">
        <f t="shared" si="63"/>
        <v>2323492-4/19</v>
      </c>
      <c r="O1080">
        <v>230928</v>
      </c>
    </row>
    <row r="1081" spans="1:15" x14ac:dyDescent="0.25">
      <c r="A1081" t="s">
        <v>16</v>
      </c>
      <c r="B1081" t="s">
        <v>3221</v>
      </c>
      <c r="C1081">
        <v>12840</v>
      </c>
      <c r="D1081" t="s">
        <v>448</v>
      </c>
      <c r="E1081" t="s">
        <v>449</v>
      </c>
      <c r="F1081">
        <v>556.88</v>
      </c>
      <c r="G1081">
        <v>231001</v>
      </c>
      <c r="H1081">
        <v>4840</v>
      </c>
      <c r="I1081" t="s">
        <v>19</v>
      </c>
      <c r="J1081">
        <v>690.53</v>
      </c>
      <c r="K1081">
        <v>133.65</v>
      </c>
      <c r="L1081">
        <v>17806</v>
      </c>
      <c r="M1081" t="s">
        <v>265</v>
      </c>
      <c r="N1081" t="str">
        <f t="shared" si="63"/>
        <v>2323492-4/19</v>
      </c>
      <c r="O1081">
        <v>230928</v>
      </c>
    </row>
    <row r="1082" spans="1:15" x14ac:dyDescent="0.25">
      <c r="A1082" t="s">
        <v>16</v>
      </c>
      <c r="B1082" t="s">
        <v>3221</v>
      </c>
      <c r="C1082">
        <v>12840</v>
      </c>
      <c r="D1082" t="s">
        <v>448</v>
      </c>
      <c r="E1082" t="s">
        <v>449</v>
      </c>
      <c r="F1082">
        <v>1007.99</v>
      </c>
      <c r="G1082">
        <v>231001</v>
      </c>
      <c r="H1082">
        <v>4840</v>
      </c>
      <c r="I1082" t="s">
        <v>19</v>
      </c>
      <c r="J1082">
        <v>1249.9100000000001</v>
      </c>
      <c r="K1082">
        <v>241.92</v>
      </c>
      <c r="L1082">
        <v>17807</v>
      </c>
      <c r="M1082" t="s">
        <v>318</v>
      </c>
      <c r="N1082" t="str">
        <f t="shared" si="63"/>
        <v>2323492-4/19</v>
      </c>
      <c r="O1082">
        <v>230928</v>
      </c>
    </row>
    <row r="1083" spans="1:15" x14ac:dyDescent="0.25">
      <c r="A1083" t="s">
        <v>16</v>
      </c>
      <c r="B1083" t="s">
        <v>3221</v>
      </c>
      <c r="C1083">
        <v>12840</v>
      </c>
      <c r="D1083" t="s">
        <v>448</v>
      </c>
      <c r="E1083" t="s">
        <v>449</v>
      </c>
      <c r="F1083">
        <v>1535.43</v>
      </c>
      <c r="G1083">
        <v>231001</v>
      </c>
      <c r="H1083">
        <v>4840</v>
      </c>
      <c r="I1083" t="s">
        <v>19</v>
      </c>
      <c r="J1083">
        <v>1903.93</v>
      </c>
      <c r="K1083">
        <v>368.5</v>
      </c>
      <c r="L1083">
        <v>17808</v>
      </c>
      <c r="M1083" t="s">
        <v>322</v>
      </c>
      <c r="N1083" t="str">
        <f t="shared" si="63"/>
        <v>2323492-4/19</v>
      </c>
      <c r="O1083">
        <v>230928</v>
      </c>
    </row>
    <row r="1084" spans="1:15" x14ac:dyDescent="0.25">
      <c r="A1084" t="s">
        <v>16</v>
      </c>
      <c r="B1084" t="s">
        <v>3221</v>
      </c>
      <c r="C1084">
        <v>12840</v>
      </c>
      <c r="D1084" t="s">
        <v>448</v>
      </c>
      <c r="E1084" t="s">
        <v>449</v>
      </c>
      <c r="F1084">
        <v>539.52</v>
      </c>
      <c r="G1084">
        <v>231001</v>
      </c>
      <c r="H1084">
        <v>4840</v>
      </c>
      <c r="I1084" t="s">
        <v>19</v>
      </c>
      <c r="J1084">
        <v>669</v>
      </c>
      <c r="K1084">
        <v>129.47999999999999</v>
      </c>
      <c r="L1084">
        <v>17808</v>
      </c>
      <c r="M1084" t="s">
        <v>322</v>
      </c>
      <c r="N1084" t="str">
        <f t="shared" si="63"/>
        <v>2323492-4/19</v>
      </c>
      <c r="O1084">
        <v>230928</v>
      </c>
    </row>
    <row r="1085" spans="1:15" x14ac:dyDescent="0.25">
      <c r="A1085" t="s">
        <v>16</v>
      </c>
      <c r="B1085" t="s">
        <v>3221</v>
      </c>
      <c r="C1085">
        <v>12840</v>
      </c>
      <c r="D1085" t="s">
        <v>448</v>
      </c>
      <c r="E1085" t="s">
        <v>449</v>
      </c>
      <c r="F1085">
        <v>50.82</v>
      </c>
      <c r="G1085">
        <v>231001</v>
      </c>
      <c r="H1085">
        <v>4840</v>
      </c>
      <c r="I1085" t="s">
        <v>19</v>
      </c>
      <c r="J1085">
        <v>63.02</v>
      </c>
      <c r="K1085">
        <v>12.2</v>
      </c>
      <c r="L1085">
        <v>17913</v>
      </c>
      <c r="M1085" t="s">
        <v>431</v>
      </c>
      <c r="N1085" t="str">
        <f t="shared" si="63"/>
        <v>2323492-4/19</v>
      </c>
      <c r="O1085">
        <v>230928</v>
      </c>
    </row>
    <row r="1086" spans="1:15" x14ac:dyDescent="0.25">
      <c r="A1086" t="s">
        <v>16</v>
      </c>
      <c r="B1086" t="s">
        <v>3221</v>
      </c>
      <c r="C1086">
        <v>12840</v>
      </c>
      <c r="D1086" t="s">
        <v>448</v>
      </c>
      <c r="E1086" t="s">
        <v>449</v>
      </c>
      <c r="F1086">
        <v>313.12</v>
      </c>
      <c r="G1086">
        <v>231001</v>
      </c>
      <c r="H1086">
        <v>4840</v>
      </c>
      <c r="I1086" t="s">
        <v>19</v>
      </c>
      <c r="J1086">
        <v>388.27</v>
      </c>
      <c r="K1086">
        <v>75.150000000000006</v>
      </c>
      <c r="L1086">
        <v>17951</v>
      </c>
      <c r="M1086" t="s">
        <v>87</v>
      </c>
      <c r="N1086" t="str">
        <f t="shared" si="63"/>
        <v>2323492-4/19</v>
      </c>
      <c r="O1086">
        <v>230928</v>
      </c>
    </row>
    <row r="1087" spans="1:15" x14ac:dyDescent="0.25">
      <c r="A1087" t="s">
        <v>16</v>
      </c>
      <c r="B1087" t="s">
        <v>3221</v>
      </c>
      <c r="C1087">
        <v>12840</v>
      </c>
      <c r="D1087" t="s">
        <v>448</v>
      </c>
      <c r="E1087" t="s">
        <v>449</v>
      </c>
      <c r="F1087">
        <v>62.81</v>
      </c>
      <c r="G1087">
        <v>231001</v>
      </c>
      <c r="H1087">
        <v>4840</v>
      </c>
      <c r="I1087" t="s">
        <v>19</v>
      </c>
      <c r="J1087">
        <v>77.88</v>
      </c>
      <c r="K1087">
        <v>15.07</v>
      </c>
      <c r="L1087">
        <v>17971</v>
      </c>
      <c r="M1087" t="s">
        <v>138</v>
      </c>
      <c r="N1087" t="str">
        <f t="shared" si="63"/>
        <v>2323492-4/19</v>
      </c>
      <c r="O1087">
        <v>230928</v>
      </c>
    </row>
    <row r="1088" spans="1:15" x14ac:dyDescent="0.25">
      <c r="A1088" t="s">
        <v>16</v>
      </c>
      <c r="B1088" t="s">
        <v>3221</v>
      </c>
      <c r="C1088">
        <v>12840</v>
      </c>
      <c r="D1088" t="s">
        <v>448</v>
      </c>
      <c r="E1088" t="s">
        <v>449</v>
      </c>
      <c r="F1088">
        <v>243.11</v>
      </c>
      <c r="G1088">
        <v>231001</v>
      </c>
      <c r="H1088">
        <v>4840</v>
      </c>
      <c r="I1088" t="s">
        <v>19</v>
      </c>
      <c r="J1088">
        <v>301.45999999999998</v>
      </c>
      <c r="K1088">
        <v>58.35</v>
      </c>
      <c r="L1088">
        <v>17971</v>
      </c>
      <c r="M1088" t="s">
        <v>138</v>
      </c>
      <c r="N1088" t="str">
        <f t="shared" si="63"/>
        <v>2323492-4/19</v>
      </c>
      <c r="O1088">
        <v>230928</v>
      </c>
    </row>
    <row r="1089" spans="1:15" x14ac:dyDescent="0.25">
      <c r="A1089" t="s">
        <v>16</v>
      </c>
      <c r="B1089" t="s">
        <v>3221</v>
      </c>
      <c r="C1089">
        <v>12840</v>
      </c>
      <c r="D1089" t="s">
        <v>448</v>
      </c>
      <c r="E1089" t="s">
        <v>449</v>
      </c>
      <c r="F1089">
        <v>62.81</v>
      </c>
      <c r="G1089">
        <v>231001</v>
      </c>
      <c r="H1089">
        <v>4840</v>
      </c>
      <c r="I1089" t="s">
        <v>19</v>
      </c>
      <c r="J1089">
        <v>77.88</v>
      </c>
      <c r="K1089">
        <v>15.07</v>
      </c>
      <c r="L1089">
        <v>17972</v>
      </c>
      <c r="M1089" t="s">
        <v>248</v>
      </c>
      <c r="N1089" t="str">
        <f t="shared" si="63"/>
        <v>2323492-4/19</v>
      </c>
      <c r="O1089">
        <v>230928</v>
      </c>
    </row>
    <row r="1090" spans="1:15" x14ac:dyDescent="0.25">
      <c r="A1090" t="s">
        <v>16</v>
      </c>
      <c r="B1090" t="s">
        <v>3221</v>
      </c>
      <c r="C1090">
        <v>12840</v>
      </c>
      <c r="D1090" t="s">
        <v>448</v>
      </c>
      <c r="E1090" t="s">
        <v>449</v>
      </c>
      <c r="F1090">
        <v>325.43</v>
      </c>
      <c r="G1090">
        <v>231001</v>
      </c>
      <c r="H1090">
        <v>4840</v>
      </c>
      <c r="I1090" t="s">
        <v>19</v>
      </c>
      <c r="J1090">
        <v>403.53</v>
      </c>
      <c r="K1090">
        <v>78.099999999999994</v>
      </c>
      <c r="L1090">
        <v>17972</v>
      </c>
      <c r="M1090" t="s">
        <v>248</v>
      </c>
      <c r="N1090" t="str">
        <f t="shared" si="63"/>
        <v>2323492-4/19</v>
      </c>
      <c r="O1090">
        <v>230928</v>
      </c>
    </row>
    <row r="1091" spans="1:15" x14ac:dyDescent="0.25">
      <c r="A1091" t="s">
        <v>16</v>
      </c>
      <c r="B1091" t="s">
        <v>3221</v>
      </c>
      <c r="C1091">
        <v>12943</v>
      </c>
      <c r="D1091" t="s">
        <v>448</v>
      </c>
      <c r="E1091" t="s">
        <v>449</v>
      </c>
      <c r="F1091">
        <v>593.24</v>
      </c>
      <c r="G1091">
        <v>231001</v>
      </c>
      <c r="H1091">
        <v>4840</v>
      </c>
      <c r="I1091" t="s">
        <v>19</v>
      </c>
      <c r="J1091">
        <v>735.62</v>
      </c>
      <c r="K1091">
        <v>142.38</v>
      </c>
      <c r="L1091">
        <v>11301</v>
      </c>
      <c r="M1091" t="s">
        <v>29</v>
      </c>
      <c r="N1091" t="str">
        <f t="shared" ref="N1091:N1112" si="64">"323492-18/19"</f>
        <v>323492-18/19</v>
      </c>
      <c r="O1091">
        <v>231002</v>
      </c>
    </row>
    <row r="1092" spans="1:15" x14ac:dyDescent="0.25">
      <c r="A1092" t="s">
        <v>16</v>
      </c>
      <c r="B1092" t="s">
        <v>3221</v>
      </c>
      <c r="C1092">
        <v>12943</v>
      </c>
      <c r="D1092" t="s">
        <v>448</v>
      </c>
      <c r="E1092" t="s">
        <v>449</v>
      </c>
      <c r="F1092">
        <v>339.06</v>
      </c>
      <c r="G1092">
        <v>231001</v>
      </c>
      <c r="H1092">
        <v>4840</v>
      </c>
      <c r="I1092" t="s">
        <v>19</v>
      </c>
      <c r="J1092">
        <v>420.44</v>
      </c>
      <c r="K1092">
        <v>81.38</v>
      </c>
      <c r="L1092">
        <v>11401</v>
      </c>
      <c r="M1092" t="s">
        <v>84</v>
      </c>
      <c r="N1092" t="str">
        <f t="shared" si="64"/>
        <v>323492-18/19</v>
      </c>
      <c r="O1092">
        <v>231002</v>
      </c>
    </row>
    <row r="1093" spans="1:15" x14ac:dyDescent="0.25">
      <c r="A1093" t="s">
        <v>16</v>
      </c>
      <c r="B1093" t="s">
        <v>3221</v>
      </c>
      <c r="C1093">
        <v>12943</v>
      </c>
      <c r="D1093" t="s">
        <v>448</v>
      </c>
      <c r="E1093" t="s">
        <v>449</v>
      </c>
      <c r="F1093">
        <v>28.11</v>
      </c>
      <c r="G1093">
        <v>231001</v>
      </c>
      <c r="H1093">
        <v>4840</v>
      </c>
      <c r="I1093" t="s">
        <v>19</v>
      </c>
      <c r="J1093">
        <v>34.86</v>
      </c>
      <c r="K1093">
        <v>6.75</v>
      </c>
      <c r="L1093">
        <v>11601</v>
      </c>
      <c r="M1093" t="s">
        <v>535</v>
      </c>
      <c r="N1093" t="str">
        <f t="shared" si="64"/>
        <v>323492-18/19</v>
      </c>
      <c r="O1093">
        <v>231002</v>
      </c>
    </row>
    <row r="1094" spans="1:15" x14ac:dyDescent="0.25">
      <c r="A1094" t="s">
        <v>16</v>
      </c>
      <c r="B1094" t="s">
        <v>3221</v>
      </c>
      <c r="C1094">
        <v>12943</v>
      </c>
      <c r="D1094" t="s">
        <v>448</v>
      </c>
      <c r="E1094" t="s">
        <v>449</v>
      </c>
      <c r="F1094">
        <v>188.13</v>
      </c>
      <c r="G1094">
        <v>231001</v>
      </c>
      <c r="H1094">
        <v>4840</v>
      </c>
      <c r="I1094" t="s">
        <v>19</v>
      </c>
      <c r="J1094">
        <v>233.28</v>
      </c>
      <c r="K1094">
        <v>45.15</v>
      </c>
      <c r="L1094">
        <v>11901</v>
      </c>
      <c r="M1094" t="s">
        <v>36</v>
      </c>
      <c r="N1094" t="str">
        <f t="shared" si="64"/>
        <v>323492-18/19</v>
      </c>
      <c r="O1094">
        <v>231002</v>
      </c>
    </row>
    <row r="1095" spans="1:15" x14ac:dyDescent="0.25">
      <c r="A1095" t="s">
        <v>16</v>
      </c>
      <c r="B1095" t="s">
        <v>3221</v>
      </c>
      <c r="C1095">
        <v>12943</v>
      </c>
      <c r="D1095" t="s">
        <v>448</v>
      </c>
      <c r="E1095" t="s">
        <v>449</v>
      </c>
      <c r="F1095">
        <v>965.53</v>
      </c>
      <c r="G1095">
        <v>231001</v>
      </c>
      <c r="H1095">
        <v>4840</v>
      </c>
      <c r="I1095" t="s">
        <v>19</v>
      </c>
      <c r="J1095">
        <v>1197.26</v>
      </c>
      <c r="K1095">
        <v>231.73</v>
      </c>
      <c r="L1095">
        <v>14121</v>
      </c>
      <c r="M1095" t="s">
        <v>880</v>
      </c>
      <c r="N1095" t="str">
        <f t="shared" si="64"/>
        <v>323492-18/19</v>
      </c>
      <c r="O1095">
        <v>231002</v>
      </c>
    </row>
    <row r="1096" spans="1:15" x14ac:dyDescent="0.25">
      <c r="A1096" t="s">
        <v>16</v>
      </c>
      <c r="B1096" t="s">
        <v>3221</v>
      </c>
      <c r="C1096">
        <v>12943</v>
      </c>
      <c r="D1096" t="s">
        <v>448</v>
      </c>
      <c r="E1096" t="s">
        <v>449</v>
      </c>
      <c r="F1096">
        <v>1065.4000000000001</v>
      </c>
      <c r="G1096">
        <v>231001</v>
      </c>
      <c r="H1096">
        <v>4840</v>
      </c>
      <c r="I1096" t="s">
        <v>19</v>
      </c>
      <c r="J1096">
        <v>1321.09</v>
      </c>
      <c r="K1096">
        <v>255.69</v>
      </c>
      <c r="L1096">
        <v>14121</v>
      </c>
      <c r="M1096" t="s">
        <v>880</v>
      </c>
      <c r="N1096" t="str">
        <f t="shared" si="64"/>
        <v>323492-18/19</v>
      </c>
      <c r="O1096">
        <v>231002</v>
      </c>
    </row>
    <row r="1097" spans="1:15" x14ac:dyDescent="0.25">
      <c r="A1097" t="s">
        <v>16</v>
      </c>
      <c r="B1097" t="s">
        <v>3221</v>
      </c>
      <c r="C1097">
        <v>12943</v>
      </c>
      <c r="D1097" t="s">
        <v>448</v>
      </c>
      <c r="E1097" t="s">
        <v>449</v>
      </c>
      <c r="F1097">
        <v>687.52</v>
      </c>
      <c r="G1097">
        <v>231001</v>
      </c>
      <c r="H1097">
        <v>4840</v>
      </c>
      <c r="I1097" t="s">
        <v>19</v>
      </c>
      <c r="J1097">
        <v>852.53</v>
      </c>
      <c r="K1097">
        <v>165.01</v>
      </c>
      <c r="L1097">
        <v>14321</v>
      </c>
      <c r="M1097" t="s">
        <v>717</v>
      </c>
      <c r="N1097" t="str">
        <f t="shared" si="64"/>
        <v>323492-18/19</v>
      </c>
      <c r="O1097">
        <v>231002</v>
      </c>
    </row>
    <row r="1098" spans="1:15" x14ac:dyDescent="0.25">
      <c r="A1098" t="s">
        <v>16</v>
      </c>
      <c r="B1098" t="s">
        <v>3221</v>
      </c>
      <c r="C1098">
        <v>12943</v>
      </c>
      <c r="D1098" t="s">
        <v>448</v>
      </c>
      <c r="E1098" t="s">
        <v>449</v>
      </c>
      <c r="F1098">
        <v>337.1</v>
      </c>
      <c r="G1098">
        <v>231001</v>
      </c>
      <c r="H1098">
        <v>4840</v>
      </c>
      <c r="I1098" t="s">
        <v>19</v>
      </c>
      <c r="J1098">
        <v>418</v>
      </c>
      <c r="K1098">
        <v>80.900000000000006</v>
      </c>
      <c r="L1098">
        <v>14321</v>
      </c>
      <c r="M1098" t="s">
        <v>717</v>
      </c>
      <c r="N1098" t="str">
        <f t="shared" si="64"/>
        <v>323492-18/19</v>
      </c>
      <c r="O1098">
        <v>231002</v>
      </c>
    </row>
    <row r="1099" spans="1:15" x14ac:dyDescent="0.25">
      <c r="A1099" t="s">
        <v>16</v>
      </c>
      <c r="B1099" t="s">
        <v>3221</v>
      </c>
      <c r="C1099">
        <v>12943</v>
      </c>
      <c r="D1099" t="s">
        <v>448</v>
      </c>
      <c r="E1099" t="s">
        <v>449</v>
      </c>
      <c r="F1099">
        <v>1151.1199999999999</v>
      </c>
      <c r="G1099">
        <v>231001</v>
      </c>
      <c r="H1099">
        <v>4840</v>
      </c>
      <c r="I1099" t="s">
        <v>19</v>
      </c>
      <c r="J1099">
        <v>1427.39</v>
      </c>
      <c r="K1099">
        <v>276.27</v>
      </c>
      <c r="L1099">
        <v>14422</v>
      </c>
      <c r="M1099" t="s">
        <v>228</v>
      </c>
      <c r="N1099" t="str">
        <f t="shared" si="64"/>
        <v>323492-18/19</v>
      </c>
      <c r="O1099">
        <v>231002</v>
      </c>
    </row>
    <row r="1100" spans="1:15" x14ac:dyDescent="0.25">
      <c r="A1100" t="s">
        <v>16</v>
      </c>
      <c r="B1100" t="s">
        <v>3221</v>
      </c>
      <c r="C1100">
        <v>12943</v>
      </c>
      <c r="D1100" t="s">
        <v>448</v>
      </c>
      <c r="E1100" t="s">
        <v>449</v>
      </c>
      <c r="F1100">
        <v>174.04</v>
      </c>
      <c r="G1100">
        <v>231001</v>
      </c>
      <c r="H1100">
        <v>4840</v>
      </c>
      <c r="I1100" t="s">
        <v>19</v>
      </c>
      <c r="J1100">
        <v>215.81</v>
      </c>
      <c r="K1100">
        <v>41.77</v>
      </c>
      <c r="L1100">
        <v>14541</v>
      </c>
      <c r="M1100" t="s">
        <v>626</v>
      </c>
      <c r="N1100" t="str">
        <f t="shared" si="64"/>
        <v>323492-18/19</v>
      </c>
      <c r="O1100">
        <v>231002</v>
      </c>
    </row>
    <row r="1101" spans="1:15" x14ac:dyDescent="0.25">
      <c r="A1101" t="s">
        <v>16</v>
      </c>
      <c r="B1101" t="s">
        <v>3221</v>
      </c>
      <c r="C1101">
        <v>12943</v>
      </c>
      <c r="D1101" t="s">
        <v>448</v>
      </c>
      <c r="E1101" t="s">
        <v>449</v>
      </c>
      <c r="F1101">
        <v>2658.06</v>
      </c>
      <c r="G1101">
        <v>231001</v>
      </c>
      <c r="H1101">
        <v>4840</v>
      </c>
      <c r="I1101" t="s">
        <v>19</v>
      </c>
      <c r="J1101">
        <v>3295.99</v>
      </c>
      <c r="K1101">
        <v>637.92999999999995</v>
      </c>
      <c r="L1101">
        <v>14622</v>
      </c>
      <c r="M1101" t="s">
        <v>1005</v>
      </c>
      <c r="N1101" t="str">
        <f t="shared" si="64"/>
        <v>323492-18/19</v>
      </c>
      <c r="O1101">
        <v>231002</v>
      </c>
    </row>
    <row r="1102" spans="1:15" x14ac:dyDescent="0.25">
      <c r="A1102" t="s">
        <v>16</v>
      </c>
      <c r="B1102" t="s">
        <v>3221</v>
      </c>
      <c r="C1102">
        <v>12943</v>
      </c>
      <c r="D1102" t="s">
        <v>448</v>
      </c>
      <c r="E1102" t="s">
        <v>449</v>
      </c>
      <c r="F1102">
        <v>391.19</v>
      </c>
      <c r="G1102">
        <v>231001</v>
      </c>
      <c r="H1102">
        <v>4840</v>
      </c>
      <c r="I1102" t="s">
        <v>19</v>
      </c>
      <c r="J1102">
        <v>485.08</v>
      </c>
      <c r="K1102">
        <v>93.89</v>
      </c>
      <c r="L1102">
        <v>14622</v>
      </c>
      <c r="M1102" t="s">
        <v>1005</v>
      </c>
      <c r="N1102" t="str">
        <f t="shared" si="64"/>
        <v>323492-18/19</v>
      </c>
      <c r="O1102">
        <v>231002</v>
      </c>
    </row>
    <row r="1103" spans="1:15" x14ac:dyDescent="0.25">
      <c r="A1103" t="s">
        <v>16</v>
      </c>
      <c r="B1103" t="s">
        <v>3221</v>
      </c>
      <c r="C1103">
        <v>12943</v>
      </c>
      <c r="D1103" t="s">
        <v>448</v>
      </c>
      <c r="E1103" t="s">
        <v>449</v>
      </c>
      <c r="F1103">
        <v>33.450000000000003</v>
      </c>
      <c r="G1103">
        <v>231001</v>
      </c>
      <c r="H1103">
        <v>4840</v>
      </c>
      <c r="I1103" t="s">
        <v>19</v>
      </c>
      <c r="J1103">
        <v>41.48</v>
      </c>
      <c r="K1103">
        <v>8.0299999999999994</v>
      </c>
      <c r="L1103">
        <v>14640</v>
      </c>
      <c r="M1103" t="s">
        <v>229</v>
      </c>
      <c r="N1103" t="str">
        <f t="shared" si="64"/>
        <v>323492-18/19</v>
      </c>
      <c r="O1103">
        <v>231002</v>
      </c>
    </row>
    <row r="1104" spans="1:15" x14ac:dyDescent="0.25">
      <c r="A1104" t="s">
        <v>16</v>
      </c>
      <c r="B1104" t="s">
        <v>3221</v>
      </c>
      <c r="C1104">
        <v>12943</v>
      </c>
      <c r="D1104" t="s">
        <v>448</v>
      </c>
      <c r="E1104" t="s">
        <v>449</v>
      </c>
      <c r="F1104">
        <v>309.64</v>
      </c>
      <c r="G1104">
        <v>231001</v>
      </c>
      <c r="H1104">
        <v>4840</v>
      </c>
      <c r="I1104" t="s">
        <v>19</v>
      </c>
      <c r="J1104">
        <v>383.95</v>
      </c>
      <c r="K1104">
        <v>74.31</v>
      </c>
      <c r="L1104">
        <v>14640</v>
      </c>
      <c r="M1104" t="s">
        <v>229</v>
      </c>
      <c r="N1104" t="str">
        <f t="shared" si="64"/>
        <v>323492-18/19</v>
      </c>
      <c r="O1104">
        <v>231002</v>
      </c>
    </row>
    <row r="1105" spans="1:15" x14ac:dyDescent="0.25">
      <c r="A1105" t="s">
        <v>16</v>
      </c>
      <c r="B1105" t="s">
        <v>3221</v>
      </c>
      <c r="C1105">
        <v>12943</v>
      </c>
      <c r="D1105" t="s">
        <v>448</v>
      </c>
      <c r="E1105" t="s">
        <v>449</v>
      </c>
      <c r="F1105">
        <v>314.51</v>
      </c>
      <c r="G1105">
        <v>231001</v>
      </c>
      <c r="H1105">
        <v>4840</v>
      </c>
      <c r="I1105" t="s">
        <v>19</v>
      </c>
      <c r="J1105">
        <v>389.99</v>
      </c>
      <c r="K1105">
        <v>75.48</v>
      </c>
      <c r="L1105">
        <v>14861</v>
      </c>
      <c r="M1105" t="s">
        <v>785</v>
      </c>
      <c r="N1105" t="str">
        <f t="shared" si="64"/>
        <v>323492-18/19</v>
      </c>
      <c r="O1105">
        <v>231002</v>
      </c>
    </row>
    <row r="1106" spans="1:15" x14ac:dyDescent="0.25">
      <c r="A1106" t="s">
        <v>16</v>
      </c>
      <c r="B1106" t="s">
        <v>3221</v>
      </c>
      <c r="C1106">
        <v>12943</v>
      </c>
      <c r="D1106" t="s">
        <v>448</v>
      </c>
      <c r="E1106" t="s">
        <v>449</v>
      </c>
      <c r="F1106">
        <v>26.72</v>
      </c>
      <c r="G1106">
        <v>231001</v>
      </c>
      <c r="H1106">
        <v>4840</v>
      </c>
      <c r="I1106" t="s">
        <v>19</v>
      </c>
      <c r="J1106">
        <v>33.130000000000003</v>
      </c>
      <c r="K1106">
        <v>6.41</v>
      </c>
      <c r="L1106">
        <v>14912</v>
      </c>
      <c r="M1106" t="s">
        <v>230</v>
      </c>
      <c r="N1106" t="str">
        <f t="shared" si="64"/>
        <v>323492-18/19</v>
      </c>
      <c r="O1106">
        <v>231002</v>
      </c>
    </row>
    <row r="1107" spans="1:15" x14ac:dyDescent="0.25">
      <c r="A1107" t="s">
        <v>16</v>
      </c>
      <c r="B1107" t="s">
        <v>3221</v>
      </c>
      <c r="C1107">
        <v>12943</v>
      </c>
      <c r="D1107" t="s">
        <v>448</v>
      </c>
      <c r="E1107" t="s">
        <v>449</v>
      </c>
      <c r="F1107">
        <v>114.99</v>
      </c>
      <c r="G1107">
        <v>231001</v>
      </c>
      <c r="H1107">
        <v>4840</v>
      </c>
      <c r="I1107" t="s">
        <v>19</v>
      </c>
      <c r="J1107">
        <v>142.59</v>
      </c>
      <c r="K1107">
        <v>27.6</v>
      </c>
      <c r="L1107">
        <v>14971</v>
      </c>
      <c r="M1107" t="s">
        <v>1259</v>
      </c>
      <c r="N1107" t="str">
        <f t="shared" si="64"/>
        <v>323492-18/19</v>
      </c>
      <c r="O1107">
        <v>231002</v>
      </c>
    </row>
    <row r="1108" spans="1:15" x14ac:dyDescent="0.25">
      <c r="A1108" t="s">
        <v>16</v>
      </c>
      <c r="B1108" t="s">
        <v>3221</v>
      </c>
      <c r="C1108">
        <v>12943</v>
      </c>
      <c r="D1108" t="s">
        <v>448</v>
      </c>
      <c r="E1108" t="s">
        <v>449</v>
      </c>
      <c r="F1108">
        <v>881.89</v>
      </c>
      <c r="G1108">
        <v>231001</v>
      </c>
      <c r="H1108">
        <v>4840</v>
      </c>
      <c r="I1108" t="s">
        <v>19</v>
      </c>
      <c r="J1108">
        <v>1093.54</v>
      </c>
      <c r="K1108">
        <v>211.65</v>
      </c>
      <c r="L1108">
        <v>14972</v>
      </c>
      <c r="M1108" t="s">
        <v>898</v>
      </c>
      <c r="N1108" t="str">
        <f t="shared" si="64"/>
        <v>323492-18/19</v>
      </c>
      <c r="O1108">
        <v>231002</v>
      </c>
    </row>
    <row r="1109" spans="1:15" x14ac:dyDescent="0.25">
      <c r="A1109" t="s">
        <v>16</v>
      </c>
      <c r="B1109" t="s">
        <v>3221</v>
      </c>
      <c r="C1109">
        <v>12943</v>
      </c>
      <c r="D1109" t="s">
        <v>448</v>
      </c>
      <c r="E1109" t="s">
        <v>449</v>
      </c>
      <c r="F1109">
        <v>33.06</v>
      </c>
      <c r="G1109">
        <v>231001</v>
      </c>
      <c r="H1109">
        <v>4840</v>
      </c>
      <c r="I1109" t="s">
        <v>19</v>
      </c>
      <c r="J1109">
        <v>40.99</v>
      </c>
      <c r="K1109">
        <v>7.93</v>
      </c>
      <c r="L1109">
        <v>14974</v>
      </c>
      <c r="M1109" t="s">
        <v>1340</v>
      </c>
      <c r="N1109" t="str">
        <f t="shared" si="64"/>
        <v>323492-18/19</v>
      </c>
      <c r="O1109">
        <v>231002</v>
      </c>
    </row>
    <row r="1110" spans="1:15" x14ac:dyDescent="0.25">
      <c r="A1110" t="s">
        <v>16</v>
      </c>
      <c r="B1110" t="s">
        <v>3221</v>
      </c>
      <c r="C1110">
        <v>12943</v>
      </c>
      <c r="D1110" t="s">
        <v>448</v>
      </c>
      <c r="E1110" t="s">
        <v>449</v>
      </c>
      <c r="F1110">
        <v>52.77</v>
      </c>
      <c r="G1110">
        <v>231001</v>
      </c>
      <c r="H1110">
        <v>4840</v>
      </c>
      <c r="I1110" t="s">
        <v>19</v>
      </c>
      <c r="J1110">
        <v>65.44</v>
      </c>
      <c r="K1110">
        <v>12.67</v>
      </c>
      <c r="L1110">
        <v>14975</v>
      </c>
      <c r="M1110" t="s">
        <v>1341</v>
      </c>
      <c r="N1110" t="str">
        <f t="shared" si="64"/>
        <v>323492-18/19</v>
      </c>
      <c r="O1110">
        <v>231002</v>
      </c>
    </row>
    <row r="1111" spans="1:15" x14ac:dyDescent="0.25">
      <c r="A1111" t="s">
        <v>16</v>
      </c>
      <c r="B1111" t="s">
        <v>3221</v>
      </c>
      <c r="C1111">
        <v>12943</v>
      </c>
      <c r="D1111" t="s">
        <v>448</v>
      </c>
      <c r="E1111" t="s">
        <v>449</v>
      </c>
      <c r="F1111">
        <v>13.3</v>
      </c>
      <c r="G1111">
        <v>231001</v>
      </c>
      <c r="H1111">
        <v>4840</v>
      </c>
      <c r="I1111" t="s">
        <v>19</v>
      </c>
      <c r="J1111">
        <v>16.489999999999998</v>
      </c>
      <c r="K1111">
        <v>3.19</v>
      </c>
      <c r="L1111">
        <v>18010</v>
      </c>
      <c r="M1111" t="s">
        <v>1344</v>
      </c>
      <c r="N1111" t="str">
        <f t="shared" si="64"/>
        <v>323492-18/19</v>
      </c>
      <c r="O1111">
        <v>231002</v>
      </c>
    </row>
    <row r="1112" spans="1:15" x14ac:dyDescent="0.25">
      <c r="A1112" t="s">
        <v>16</v>
      </c>
      <c r="B1112" t="s">
        <v>3221</v>
      </c>
      <c r="C1112">
        <v>12943</v>
      </c>
      <c r="D1112" t="s">
        <v>448</v>
      </c>
      <c r="E1112" t="s">
        <v>449</v>
      </c>
      <c r="F1112">
        <v>75.790000000000006</v>
      </c>
      <c r="G1112">
        <v>231001</v>
      </c>
      <c r="H1112">
        <v>4840</v>
      </c>
      <c r="I1112" t="s">
        <v>19</v>
      </c>
      <c r="J1112">
        <v>93.98</v>
      </c>
      <c r="K1112">
        <v>18.190000000000001</v>
      </c>
      <c r="L1112">
        <v>18972</v>
      </c>
      <c r="M1112" t="s">
        <v>163</v>
      </c>
      <c r="N1112" t="str">
        <f t="shared" si="64"/>
        <v>323492-18/19</v>
      </c>
      <c r="O1112">
        <v>231002</v>
      </c>
    </row>
    <row r="1113" spans="1:15" x14ac:dyDescent="0.25">
      <c r="A1113" t="s">
        <v>16</v>
      </c>
      <c r="B1113" t="s">
        <v>3221</v>
      </c>
      <c r="C1113">
        <v>12945</v>
      </c>
      <c r="D1113" t="s">
        <v>448</v>
      </c>
      <c r="E1113" t="s">
        <v>449</v>
      </c>
      <c r="F1113">
        <v>16.79</v>
      </c>
      <c r="G1113">
        <v>231001</v>
      </c>
      <c r="H1113">
        <v>4840</v>
      </c>
      <c r="I1113" t="s">
        <v>19</v>
      </c>
      <c r="J1113">
        <v>20.82</v>
      </c>
      <c r="K1113">
        <v>4.03</v>
      </c>
      <c r="L1113">
        <v>11301</v>
      </c>
      <c r="M1113" t="s">
        <v>29</v>
      </c>
      <c r="N1113" t="str">
        <f t="shared" ref="N1113:N1119" si="65">"323492-10/19"</f>
        <v>323492-10/19</v>
      </c>
      <c r="O1113">
        <v>231002</v>
      </c>
    </row>
    <row r="1114" spans="1:15" x14ac:dyDescent="0.25">
      <c r="A1114" t="s">
        <v>16</v>
      </c>
      <c r="B1114" t="s">
        <v>3221</v>
      </c>
      <c r="C1114">
        <v>12945</v>
      </c>
      <c r="D1114" t="s">
        <v>448</v>
      </c>
      <c r="E1114" t="s">
        <v>449</v>
      </c>
      <c r="F1114">
        <v>135.41</v>
      </c>
      <c r="G1114">
        <v>231001</v>
      </c>
      <c r="H1114">
        <v>4840</v>
      </c>
      <c r="I1114" t="s">
        <v>19</v>
      </c>
      <c r="J1114">
        <v>167.91</v>
      </c>
      <c r="K1114">
        <v>32.5</v>
      </c>
      <c r="L1114">
        <v>11900</v>
      </c>
      <c r="M1114" t="s">
        <v>1105</v>
      </c>
      <c r="N1114" t="str">
        <f t="shared" si="65"/>
        <v>323492-10/19</v>
      </c>
      <c r="O1114">
        <v>231002</v>
      </c>
    </row>
    <row r="1115" spans="1:15" x14ac:dyDescent="0.25">
      <c r="A1115" t="s">
        <v>16</v>
      </c>
      <c r="B1115" t="s">
        <v>3221</v>
      </c>
      <c r="C1115">
        <v>12945</v>
      </c>
      <c r="D1115" t="s">
        <v>448</v>
      </c>
      <c r="E1115" t="s">
        <v>449</v>
      </c>
      <c r="F1115">
        <v>23.88</v>
      </c>
      <c r="G1115">
        <v>231001</v>
      </c>
      <c r="H1115">
        <v>4840</v>
      </c>
      <c r="I1115" t="s">
        <v>19</v>
      </c>
      <c r="J1115">
        <v>29.61</v>
      </c>
      <c r="K1115">
        <v>5.73</v>
      </c>
      <c r="L1115">
        <v>13540</v>
      </c>
      <c r="M1115" t="s">
        <v>85</v>
      </c>
      <c r="N1115" t="str">
        <f t="shared" si="65"/>
        <v>323492-10/19</v>
      </c>
      <c r="O1115">
        <v>231002</v>
      </c>
    </row>
    <row r="1116" spans="1:15" x14ac:dyDescent="0.25">
      <c r="A1116" t="s">
        <v>16</v>
      </c>
      <c r="B1116" t="s">
        <v>3221</v>
      </c>
      <c r="C1116">
        <v>12945</v>
      </c>
      <c r="D1116" t="s">
        <v>448</v>
      </c>
      <c r="E1116" t="s">
        <v>449</v>
      </c>
      <c r="F1116">
        <v>50.17</v>
      </c>
      <c r="G1116">
        <v>231001</v>
      </c>
      <c r="H1116">
        <v>4840</v>
      </c>
      <c r="I1116" t="s">
        <v>19</v>
      </c>
      <c r="J1116">
        <v>62.21</v>
      </c>
      <c r="K1116">
        <v>12.04</v>
      </c>
      <c r="L1116">
        <v>17538</v>
      </c>
      <c r="M1116" t="s">
        <v>24</v>
      </c>
      <c r="N1116" t="str">
        <f t="shared" si="65"/>
        <v>323492-10/19</v>
      </c>
      <c r="O1116">
        <v>231002</v>
      </c>
    </row>
    <row r="1117" spans="1:15" x14ac:dyDescent="0.25">
      <c r="A1117" t="s">
        <v>16</v>
      </c>
      <c r="B1117" t="s">
        <v>3221</v>
      </c>
      <c r="C1117">
        <v>12945</v>
      </c>
      <c r="D1117" t="s">
        <v>448</v>
      </c>
      <c r="E1117" t="s">
        <v>449</v>
      </c>
      <c r="F1117">
        <v>84</v>
      </c>
      <c r="G1117">
        <v>231001</v>
      </c>
      <c r="H1117">
        <v>4840</v>
      </c>
      <c r="I1117" t="s">
        <v>19</v>
      </c>
      <c r="J1117">
        <v>104.16</v>
      </c>
      <c r="K1117">
        <v>20.16</v>
      </c>
      <c r="L1117">
        <v>17538</v>
      </c>
      <c r="M1117" t="s">
        <v>24</v>
      </c>
      <c r="N1117" t="str">
        <f t="shared" si="65"/>
        <v>323492-10/19</v>
      </c>
      <c r="O1117">
        <v>231002</v>
      </c>
    </row>
    <row r="1118" spans="1:15" x14ac:dyDescent="0.25">
      <c r="A1118" t="s">
        <v>16</v>
      </c>
      <c r="B1118" t="s">
        <v>3221</v>
      </c>
      <c r="C1118">
        <v>12945</v>
      </c>
      <c r="D1118" t="s">
        <v>448</v>
      </c>
      <c r="E1118" t="s">
        <v>449</v>
      </c>
      <c r="F1118">
        <v>193.17</v>
      </c>
      <c r="G1118">
        <v>231001</v>
      </c>
      <c r="H1118">
        <v>4840</v>
      </c>
      <c r="I1118" t="s">
        <v>19</v>
      </c>
      <c r="J1118">
        <v>239.53</v>
      </c>
      <c r="K1118">
        <v>46.36</v>
      </c>
      <c r="L1118">
        <v>17950</v>
      </c>
      <c r="M1118" t="s">
        <v>86</v>
      </c>
      <c r="N1118" t="str">
        <f t="shared" si="65"/>
        <v>323492-10/19</v>
      </c>
      <c r="O1118">
        <v>231002</v>
      </c>
    </row>
    <row r="1119" spans="1:15" x14ac:dyDescent="0.25">
      <c r="A1119" t="s">
        <v>16</v>
      </c>
      <c r="B1119" t="s">
        <v>3221</v>
      </c>
      <c r="C1119">
        <v>12945</v>
      </c>
      <c r="D1119" t="s">
        <v>448</v>
      </c>
      <c r="E1119" t="s">
        <v>449</v>
      </c>
      <c r="F1119">
        <v>34.299999999999997</v>
      </c>
      <c r="G1119">
        <v>231001</v>
      </c>
      <c r="H1119">
        <v>4840</v>
      </c>
      <c r="I1119" t="s">
        <v>19</v>
      </c>
      <c r="J1119">
        <v>42.53</v>
      </c>
      <c r="K1119">
        <v>8.23</v>
      </c>
      <c r="L1119">
        <v>17972</v>
      </c>
      <c r="M1119" t="s">
        <v>248</v>
      </c>
      <c r="N1119" t="str">
        <f t="shared" si="65"/>
        <v>323492-10/19</v>
      </c>
      <c r="O1119">
        <v>231002</v>
      </c>
    </row>
    <row r="1120" spans="1:15" x14ac:dyDescent="0.25">
      <c r="A1120" t="s">
        <v>16</v>
      </c>
      <c r="B1120" t="s">
        <v>3221</v>
      </c>
      <c r="C1120">
        <v>19207</v>
      </c>
      <c r="D1120" t="s">
        <v>448</v>
      </c>
      <c r="E1120" t="s">
        <v>449</v>
      </c>
      <c r="F1120">
        <v>80</v>
      </c>
      <c r="G1120">
        <v>231215</v>
      </c>
      <c r="H1120">
        <v>4420</v>
      </c>
      <c r="I1120" t="s">
        <v>132</v>
      </c>
      <c r="J1120">
        <v>99.2</v>
      </c>
      <c r="K1120">
        <v>19.2</v>
      </c>
      <c r="L1120">
        <v>11801</v>
      </c>
      <c r="M1120" t="s">
        <v>92</v>
      </c>
      <c r="N1120" t="str">
        <f>"654596      "</f>
        <v xml:space="preserve">654596      </v>
      </c>
      <c r="O1120">
        <v>240112</v>
      </c>
    </row>
    <row r="1121" spans="1:15" x14ac:dyDescent="0.25">
      <c r="A1121" t="s">
        <v>16</v>
      </c>
      <c r="B1121" t="s">
        <v>3221</v>
      </c>
      <c r="C1121">
        <v>19207</v>
      </c>
      <c r="D1121" t="s">
        <v>448</v>
      </c>
      <c r="E1121" t="s">
        <v>449</v>
      </c>
      <c r="F1121">
        <v>80</v>
      </c>
      <c r="G1121">
        <v>231215</v>
      </c>
      <c r="H1121">
        <v>4420</v>
      </c>
      <c r="I1121" t="s">
        <v>132</v>
      </c>
      <c r="J1121">
        <v>99.2</v>
      </c>
      <c r="K1121">
        <v>19.2</v>
      </c>
      <c r="L1121">
        <v>69702</v>
      </c>
      <c r="M1121" t="s">
        <v>489</v>
      </c>
      <c r="N1121" t="str">
        <f>"654596      "</f>
        <v xml:space="preserve">654596      </v>
      </c>
      <c r="O1121">
        <v>240112</v>
      </c>
    </row>
    <row r="1122" spans="1:15" x14ac:dyDescent="0.25">
      <c r="A1122" t="s">
        <v>16</v>
      </c>
      <c r="B1122" t="s">
        <v>3221</v>
      </c>
      <c r="C1122">
        <v>3975</v>
      </c>
      <c r="D1122" t="s">
        <v>1306</v>
      </c>
      <c r="E1122" t="s">
        <v>1307</v>
      </c>
      <c r="F1122">
        <v>334.68</v>
      </c>
      <c r="G1122">
        <v>230324</v>
      </c>
      <c r="H1122">
        <v>4580</v>
      </c>
      <c r="I1122" t="s">
        <v>35</v>
      </c>
      <c r="J1122">
        <v>415</v>
      </c>
      <c r="K1122">
        <v>80.319999999999993</v>
      </c>
      <c r="L1122">
        <v>17529</v>
      </c>
      <c r="M1122" t="s">
        <v>453</v>
      </c>
      <c r="N1122" t="str">
        <f>"100963      "</f>
        <v xml:space="preserve">100963      </v>
      </c>
      <c r="O1122">
        <v>230328</v>
      </c>
    </row>
    <row r="1123" spans="1:15" x14ac:dyDescent="0.25">
      <c r="A1123" t="s">
        <v>16</v>
      </c>
      <c r="B1123" t="s">
        <v>3221</v>
      </c>
      <c r="C1123">
        <v>14012</v>
      </c>
      <c r="D1123" t="s">
        <v>1306</v>
      </c>
      <c r="E1123" t="s">
        <v>1307</v>
      </c>
      <c r="F1123">
        <v>32.26</v>
      </c>
      <c r="G1123">
        <v>231010</v>
      </c>
      <c r="H1123">
        <v>4580</v>
      </c>
      <c r="I1123" t="s">
        <v>35</v>
      </c>
      <c r="J1123">
        <v>40</v>
      </c>
      <c r="K1123">
        <v>7.74</v>
      </c>
      <c r="L1123">
        <v>17529</v>
      </c>
      <c r="M1123" t="s">
        <v>453</v>
      </c>
      <c r="N1123" t="str">
        <f>"101268      "</f>
        <v xml:space="preserve">101268      </v>
      </c>
      <c r="O1123">
        <v>231017</v>
      </c>
    </row>
    <row r="1124" spans="1:15" x14ac:dyDescent="0.25">
      <c r="A1124" t="s">
        <v>16</v>
      </c>
      <c r="B1124" t="s">
        <v>3221</v>
      </c>
      <c r="C1124">
        <v>2144</v>
      </c>
      <c r="D1124" t="s">
        <v>1306</v>
      </c>
      <c r="E1124" t="s">
        <v>1307</v>
      </c>
      <c r="F1124">
        <v>351.61</v>
      </c>
      <c r="G1124">
        <v>230217</v>
      </c>
      <c r="H1124">
        <v>4600</v>
      </c>
      <c r="I1124" t="s">
        <v>105</v>
      </c>
      <c r="J1124">
        <v>436</v>
      </c>
      <c r="K1124">
        <v>84.39</v>
      </c>
      <c r="L1124">
        <v>17529</v>
      </c>
      <c r="M1124" t="s">
        <v>453</v>
      </c>
      <c r="N1124" t="str">
        <f>"100887      "</f>
        <v xml:space="preserve">100887      </v>
      </c>
      <c r="O1124">
        <v>230221</v>
      </c>
    </row>
    <row r="1125" spans="1:15" x14ac:dyDescent="0.25">
      <c r="A1125" t="s">
        <v>16</v>
      </c>
      <c r="B1125" t="s">
        <v>3221</v>
      </c>
      <c r="C1125">
        <v>3567</v>
      </c>
      <c r="D1125" t="s">
        <v>1306</v>
      </c>
      <c r="E1125" t="s">
        <v>1307</v>
      </c>
      <c r="F1125">
        <v>75.010000000000005</v>
      </c>
      <c r="G1125">
        <v>230315</v>
      </c>
      <c r="H1125">
        <v>4600</v>
      </c>
      <c r="I1125" t="s">
        <v>105</v>
      </c>
      <c r="J1125">
        <v>93.01</v>
      </c>
      <c r="K1125">
        <v>18</v>
      </c>
      <c r="L1125">
        <v>17529</v>
      </c>
      <c r="M1125" t="s">
        <v>453</v>
      </c>
      <c r="N1125" t="str">
        <f>"100931      "</f>
        <v xml:space="preserve">100931      </v>
      </c>
      <c r="O1125">
        <v>230317</v>
      </c>
    </row>
    <row r="1126" spans="1:15" x14ac:dyDescent="0.25">
      <c r="A1126" t="s">
        <v>16</v>
      </c>
      <c r="B1126" t="s">
        <v>3221</v>
      </c>
      <c r="C1126">
        <v>3975</v>
      </c>
      <c r="D1126" t="s">
        <v>1306</v>
      </c>
      <c r="E1126" t="s">
        <v>1307</v>
      </c>
      <c r="F1126">
        <v>41.94</v>
      </c>
      <c r="G1126">
        <v>230324</v>
      </c>
      <c r="H1126">
        <v>4600</v>
      </c>
      <c r="I1126" t="s">
        <v>105</v>
      </c>
      <c r="J1126">
        <v>52</v>
      </c>
      <c r="K1126">
        <v>10.06</v>
      </c>
      <c r="L1126">
        <v>17529</v>
      </c>
      <c r="M1126" t="s">
        <v>453</v>
      </c>
      <c r="N1126" t="str">
        <f>"100963      "</f>
        <v xml:space="preserve">100963      </v>
      </c>
      <c r="O1126">
        <v>230328</v>
      </c>
    </row>
    <row r="1127" spans="1:15" x14ac:dyDescent="0.25">
      <c r="A1127" t="s">
        <v>16</v>
      </c>
      <c r="B1127" t="s">
        <v>3221</v>
      </c>
      <c r="C1127">
        <v>5476</v>
      </c>
      <c r="D1127" t="s">
        <v>1306</v>
      </c>
      <c r="E1127" t="s">
        <v>1307</v>
      </c>
      <c r="F1127">
        <v>32.26</v>
      </c>
      <c r="G1127">
        <v>230421</v>
      </c>
      <c r="H1127">
        <v>4600</v>
      </c>
      <c r="I1127" t="s">
        <v>105</v>
      </c>
      <c r="J1127">
        <v>40</v>
      </c>
      <c r="K1127">
        <v>7.74</v>
      </c>
      <c r="L1127">
        <v>17529</v>
      </c>
      <c r="M1127" t="s">
        <v>453</v>
      </c>
      <c r="N1127" t="str">
        <f>"101007      "</f>
        <v xml:space="preserve">101007      </v>
      </c>
      <c r="O1127">
        <v>230425</v>
      </c>
    </row>
    <row r="1128" spans="1:15" x14ac:dyDescent="0.25">
      <c r="A1128" t="s">
        <v>16</v>
      </c>
      <c r="B1128" t="s">
        <v>3221</v>
      </c>
      <c r="C1128">
        <v>11077</v>
      </c>
      <c r="D1128" t="s">
        <v>1306</v>
      </c>
      <c r="E1128" t="s">
        <v>1307</v>
      </c>
      <c r="F1128">
        <v>169.35</v>
      </c>
      <c r="G1128">
        <v>230824</v>
      </c>
      <c r="H1128">
        <v>4600</v>
      </c>
      <c r="I1128" t="s">
        <v>105</v>
      </c>
      <c r="J1128">
        <v>209.99</v>
      </c>
      <c r="K1128">
        <v>40.64</v>
      </c>
      <c r="L1128">
        <v>17529</v>
      </c>
      <c r="M1128" t="s">
        <v>453</v>
      </c>
      <c r="N1128" t="str">
        <f>"101193      "</f>
        <v xml:space="preserve">101193      </v>
      </c>
      <c r="O1128">
        <v>230830</v>
      </c>
    </row>
    <row r="1129" spans="1:15" x14ac:dyDescent="0.25">
      <c r="A1129" t="s">
        <v>16</v>
      </c>
      <c r="B1129" t="s">
        <v>3221</v>
      </c>
      <c r="C1129">
        <v>12100</v>
      </c>
      <c r="D1129" t="s">
        <v>1306</v>
      </c>
      <c r="E1129" t="s">
        <v>1307</v>
      </c>
      <c r="F1129">
        <v>11.3</v>
      </c>
      <c r="G1129">
        <v>230911</v>
      </c>
      <c r="H1129">
        <v>4600</v>
      </c>
      <c r="I1129" t="s">
        <v>105</v>
      </c>
      <c r="J1129">
        <v>14.01</v>
      </c>
      <c r="K1129">
        <v>2.71</v>
      </c>
      <c r="L1129">
        <v>17529</v>
      </c>
      <c r="M1129" t="s">
        <v>453</v>
      </c>
      <c r="N1129" t="str">
        <f>"101221      "</f>
        <v xml:space="preserve">101221      </v>
      </c>
      <c r="O1129">
        <v>230914</v>
      </c>
    </row>
    <row r="1130" spans="1:15" x14ac:dyDescent="0.25">
      <c r="A1130" t="s">
        <v>16</v>
      </c>
      <c r="B1130" t="s">
        <v>3221</v>
      </c>
      <c r="C1130">
        <v>15267</v>
      </c>
      <c r="D1130" t="s">
        <v>1306</v>
      </c>
      <c r="E1130" t="s">
        <v>1307</v>
      </c>
      <c r="F1130">
        <v>123.9</v>
      </c>
      <c r="G1130">
        <v>231103</v>
      </c>
      <c r="H1130">
        <v>4600</v>
      </c>
      <c r="I1130" t="s">
        <v>105</v>
      </c>
      <c r="J1130">
        <v>153.63999999999999</v>
      </c>
      <c r="K1130">
        <v>29.74</v>
      </c>
      <c r="L1130">
        <v>17529</v>
      </c>
      <c r="M1130" t="s">
        <v>453</v>
      </c>
      <c r="N1130" t="str">
        <f>"101327      "</f>
        <v xml:space="preserve">101327      </v>
      </c>
      <c r="O1130">
        <v>231109</v>
      </c>
    </row>
    <row r="1131" spans="1:15" x14ac:dyDescent="0.25">
      <c r="A1131" t="s">
        <v>16</v>
      </c>
      <c r="B1131" t="s">
        <v>3221</v>
      </c>
      <c r="C1131">
        <v>637</v>
      </c>
      <c r="D1131" t="s">
        <v>3734</v>
      </c>
      <c r="E1131" t="s">
        <v>653</v>
      </c>
      <c r="F1131">
        <v>700.95</v>
      </c>
      <c r="G1131">
        <v>230118</v>
      </c>
      <c r="H1131">
        <v>4600</v>
      </c>
      <c r="I1131" t="s">
        <v>105</v>
      </c>
      <c r="J1131">
        <v>869.18</v>
      </c>
      <c r="K1131">
        <v>168.23</v>
      </c>
      <c r="L1131">
        <v>17807</v>
      </c>
      <c r="M1131" t="s">
        <v>318</v>
      </c>
      <c r="N1131" t="str">
        <f>"AS/2023/0090"</f>
        <v>AS/2023/0090</v>
      </c>
      <c r="O1131">
        <v>230126</v>
      </c>
    </row>
    <row r="1132" spans="1:15" x14ac:dyDescent="0.25">
      <c r="A1132" t="s">
        <v>16</v>
      </c>
      <c r="B1132" t="s">
        <v>3221</v>
      </c>
      <c r="C1132">
        <v>2653</v>
      </c>
      <c r="D1132" t="s">
        <v>3734</v>
      </c>
      <c r="E1132" t="s">
        <v>653</v>
      </c>
      <c r="F1132">
        <v>67.209999999999994</v>
      </c>
      <c r="G1132">
        <v>230222</v>
      </c>
      <c r="H1132">
        <v>4600</v>
      </c>
      <c r="I1132" t="s">
        <v>105</v>
      </c>
      <c r="J1132">
        <v>83.34</v>
      </c>
      <c r="K1132">
        <v>16.13</v>
      </c>
      <c r="L1132">
        <v>17807</v>
      </c>
      <c r="M1132" t="s">
        <v>318</v>
      </c>
      <c r="N1132" t="str">
        <f>"AS/2023/0349"</f>
        <v>AS/2023/0349</v>
      </c>
      <c r="O1132">
        <v>230306</v>
      </c>
    </row>
    <row r="1133" spans="1:15" x14ac:dyDescent="0.25">
      <c r="A1133" t="s">
        <v>16</v>
      </c>
      <c r="B1133" t="s">
        <v>3221</v>
      </c>
      <c r="C1133">
        <v>6713</v>
      </c>
      <c r="D1133" t="s">
        <v>2007</v>
      </c>
      <c r="E1133" t="s">
        <v>2008</v>
      </c>
      <c r="F1133">
        <v>19990</v>
      </c>
      <c r="G1133">
        <v>230512</v>
      </c>
      <c r="H1133">
        <v>4341</v>
      </c>
      <c r="I1133" t="s">
        <v>32</v>
      </c>
      <c r="J1133">
        <v>24787.599999999999</v>
      </c>
      <c r="K1133">
        <v>4797.6000000000004</v>
      </c>
      <c r="L1133">
        <v>18972</v>
      </c>
      <c r="M1133" t="s">
        <v>163</v>
      </c>
      <c r="N1133" t="str">
        <f>"419         "</f>
        <v xml:space="preserve">419         </v>
      </c>
      <c r="O1133">
        <v>230517</v>
      </c>
    </row>
    <row r="1134" spans="1:15" x14ac:dyDescent="0.25">
      <c r="A1134" t="s">
        <v>16</v>
      </c>
      <c r="B1134" t="s">
        <v>3221</v>
      </c>
      <c r="C1134">
        <v>17468</v>
      </c>
      <c r="D1134" t="s">
        <v>1185</v>
      </c>
      <c r="E1134" t="s">
        <v>1186</v>
      </c>
      <c r="F1134">
        <v>300</v>
      </c>
      <c r="G1134">
        <v>231212</v>
      </c>
      <c r="H1134">
        <v>4410</v>
      </c>
      <c r="I1134" t="s">
        <v>517</v>
      </c>
      <c r="J1134">
        <v>330</v>
      </c>
      <c r="K1134">
        <v>30</v>
      </c>
      <c r="L1134">
        <v>16121</v>
      </c>
      <c r="M1134" t="s">
        <v>21</v>
      </c>
      <c r="N1134" t="str">
        <f>"5550        "</f>
        <v xml:space="preserve">5550        </v>
      </c>
      <c r="O1134">
        <v>231214</v>
      </c>
    </row>
    <row r="1135" spans="1:15" x14ac:dyDescent="0.25">
      <c r="A1135" t="s">
        <v>16</v>
      </c>
      <c r="B1135" t="s">
        <v>3221</v>
      </c>
      <c r="C1135">
        <v>1778</v>
      </c>
      <c r="D1135" t="s">
        <v>1185</v>
      </c>
      <c r="E1135" t="s">
        <v>1186</v>
      </c>
      <c r="F1135">
        <v>680</v>
      </c>
      <c r="G1135">
        <v>230131</v>
      </c>
      <c r="H1135">
        <v>4420</v>
      </c>
      <c r="I1135" t="s">
        <v>132</v>
      </c>
      <c r="J1135">
        <v>680</v>
      </c>
      <c r="K1135">
        <v>0</v>
      </c>
      <c r="L1135">
        <v>13401</v>
      </c>
      <c r="M1135" t="s">
        <v>80</v>
      </c>
      <c r="N1135" t="str">
        <f>"3879        "</f>
        <v xml:space="preserve">3879        </v>
      </c>
      <c r="O1135">
        <v>230214</v>
      </c>
    </row>
    <row r="1136" spans="1:15" x14ac:dyDescent="0.25">
      <c r="A1136" t="s">
        <v>16</v>
      </c>
      <c r="B1136" t="s">
        <v>3221</v>
      </c>
      <c r="C1136">
        <v>1778</v>
      </c>
      <c r="D1136" t="s">
        <v>1185</v>
      </c>
      <c r="E1136" t="s">
        <v>1186</v>
      </c>
      <c r="F1136">
        <v>680</v>
      </c>
      <c r="G1136">
        <v>230131</v>
      </c>
      <c r="H1136">
        <v>4420</v>
      </c>
      <c r="I1136" t="s">
        <v>132</v>
      </c>
      <c r="J1136">
        <v>680</v>
      </c>
      <c r="K1136">
        <v>0</v>
      </c>
      <c r="L1136">
        <v>13501</v>
      </c>
      <c r="M1136" t="s">
        <v>20</v>
      </c>
      <c r="N1136" t="str">
        <f>"3879        "</f>
        <v xml:space="preserve">3879        </v>
      </c>
      <c r="O1136">
        <v>230214</v>
      </c>
    </row>
    <row r="1137" spans="1:15" x14ac:dyDescent="0.25">
      <c r="A1137" t="s">
        <v>16</v>
      </c>
      <c r="B1137" t="s">
        <v>3221</v>
      </c>
      <c r="C1137">
        <v>6072</v>
      </c>
      <c r="D1137" t="s">
        <v>1185</v>
      </c>
      <c r="E1137" t="s">
        <v>1186</v>
      </c>
      <c r="F1137">
        <v>750</v>
      </c>
      <c r="G1137">
        <v>230430</v>
      </c>
      <c r="H1137">
        <v>4420</v>
      </c>
      <c r="I1137" t="s">
        <v>132</v>
      </c>
      <c r="J1137">
        <v>750</v>
      </c>
      <c r="K1137">
        <v>0</v>
      </c>
      <c r="L1137">
        <v>17971</v>
      </c>
      <c r="M1137" t="s">
        <v>138</v>
      </c>
      <c r="N1137" t="str">
        <f>"4181        "</f>
        <v xml:space="preserve">4181        </v>
      </c>
      <c r="O1137">
        <v>230508</v>
      </c>
    </row>
    <row r="1138" spans="1:15" x14ac:dyDescent="0.25">
      <c r="A1138" t="s">
        <v>16</v>
      </c>
      <c r="B1138" t="s">
        <v>3221</v>
      </c>
      <c r="C1138">
        <v>7688</v>
      </c>
      <c r="D1138" t="s">
        <v>1185</v>
      </c>
      <c r="E1138" t="s">
        <v>1186</v>
      </c>
      <c r="F1138">
        <v>454.55</v>
      </c>
      <c r="G1138">
        <v>230530</v>
      </c>
      <c r="H1138">
        <v>4420</v>
      </c>
      <c r="I1138" t="s">
        <v>132</v>
      </c>
      <c r="J1138">
        <v>500</v>
      </c>
      <c r="K1138">
        <v>45.45</v>
      </c>
      <c r="L1138">
        <v>16121</v>
      </c>
      <c r="M1138" t="s">
        <v>21</v>
      </c>
      <c r="N1138" t="str">
        <f>"4317        "</f>
        <v xml:space="preserve">4317        </v>
      </c>
      <c r="O1138">
        <v>230601</v>
      </c>
    </row>
    <row r="1139" spans="1:15" x14ac:dyDescent="0.25">
      <c r="A1139" t="s">
        <v>16</v>
      </c>
      <c r="B1139" t="s">
        <v>3221</v>
      </c>
      <c r="C1139">
        <v>11064</v>
      </c>
      <c r="D1139" t="s">
        <v>1185</v>
      </c>
      <c r="E1139" t="s">
        <v>1186</v>
      </c>
      <c r="F1139">
        <v>489.09</v>
      </c>
      <c r="G1139">
        <v>230822</v>
      </c>
      <c r="H1139">
        <v>4420</v>
      </c>
      <c r="I1139" t="s">
        <v>132</v>
      </c>
      <c r="J1139">
        <v>538</v>
      </c>
      <c r="K1139">
        <v>48.91</v>
      </c>
      <c r="L1139">
        <v>13501</v>
      </c>
      <c r="M1139" t="s">
        <v>20</v>
      </c>
      <c r="N1139" t="str">
        <f>"5008        "</f>
        <v xml:space="preserve">5008        </v>
      </c>
      <c r="O1139">
        <v>230830</v>
      </c>
    </row>
    <row r="1140" spans="1:15" x14ac:dyDescent="0.25">
      <c r="A1140" t="s">
        <v>16</v>
      </c>
      <c r="B1140" t="s">
        <v>3221</v>
      </c>
      <c r="C1140">
        <v>13869</v>
      </c>
      <c r="D1140" t="s">
        <v>1185</v>
      </c>
      <c r="E1140" t="s">
        <v>1186</v>
      </c>
      <c r="F1140">
        <v>540.91</v>
      </c>
      <c r="G1140">
        <v>231012</v>
      </c>
      <c r="H1140">
        <v>4420</v>
      </c>
      <c r="I1140" t="s">
        <v>132</v>
      </c>
      <c r="J1140">
        <v>595</v>
      </c>
      <c r="K1140">
        <v>54.09</v>
      </c>
      <c r="L1140">
        <v>17529</v>
      </c>
      <c r="M1140" t="s">
        <v>453</v>
      </c>
      <c r="N1140" t="str">
        <f>"5247        "</f>
        <v xml:space="preserve">5247        </v>
      </c>
      <c r="O1140">
        <v>231016</v>
      </c>
    </row>
    <row r="1141" spans="1:15" x14ac:dyDescent="0.25">
      <c r="A1141" t="s">
        <v>16</v>
      </c>
      <c r="B1141" t="s">
        <v>3221</v>
      </c>
      <c r="C1141">
        <v>13921</v>
      </c>
      <c r="D1141" t="s">
        <v>1185</v>
      </c>
      <c r="E1141" t="s">
        <v>1186</v>
      </c>
      <c r="F1141">
        <v>1618.18</v>
      </c>
      <c r="G1141">
        <v>231011</v>
      </c>
      <c r="H1141">
        <v>4420</v>
      </c>
      <c r="I1141" t="s">
        <v>132</v>
      </c>
      <c r="J1141">
        <v>1780</v>
      </c>
      <c r="K1141">
        <v>161.82</v>
      </c>
      <c r="L1141">
        <v>13601</v>
      </c>
      <c r="M1141" t="s">
        <v>147</v>
      </c>
      <c r="N1141" t="str">
        <f>"5236        "</f>
        <v xml:space="preserve">5236        </v>
      </c>
      <c r="O1141">
        <v>231016</v>
      </c>
    </row>
    <row r="1142" spans="1:15" x14ac:dyDescent="0.25">
      <c r="A1142" t="s">
        <v>16</v>
      </c>
      <c r="B1142" t="s">
        <v>3221</v>
      </c>
      <c r="C1142">
        <v>14193</v>
      </c>
      <c r="D1142" t="s">
        <v>1185</v>
      </c>
      <c r="E1142" t="s">
        <v>1186</v>
      </c>
      <c r="F1142">
        <v>150</v>
      </c>
      <c r="G1142">
        <v>231016</v>
      </c>
      <c r="H1142">
        <v>4420</v>
      </c>
      <c r="I1142" t="s">
        <v>132</v>
      </c>
      <c r="J1142">
        <v>165</v>
      </c>
      <c r="K1142">
        <v>15</v>
      </c>
      <c r="L1142">
        <v>17805</v>
      </c>
      <c r="M1142" t="s">
        <v>102</v>
      </c>
      <c r="N1142" t="str">
        <f>"5270        "</f>
        <v xml:space="preserve">5270        </v>
      </c>
      <c r="O1142">
        <v>231023</v>
      </c>
    </row>
    <row r="1143" spans="1:15" x14ac:dyDescent="0.25">
      <c r="A1143" t="s">
        <v>16</v>
      </c>
      <c r="B1143" t="s">
        <v>3221</v>
      </c>
      <c r="C1143">
        <v>14193</v>
      </c>
      <c r="D1143" t="s">
        <v>1185</v>
      </c>
      <c r="E1143" t="s">
        <v>1186</v>
      </c>
      <c r="F1143">
        <v>150</v>
      </c>
      <c r="G1143">
        <v>231016</v>
      </c>
      <c r="H1143">
        <v>4420</v>
      </c>
      <c r="I1143" t="s">
        <v>132</v>
      </c>
      <c r="J1143">
        <v>165</v>
      </c>
      <c r="K1143">
        <v>15</v>
      </c>
      <c r="L1143">
        <v>17807</v>
      </c>
      <c r="M1143" t="s">
        <v>318</v>
      </c>
      <c r="N1143" t="str">
        <f>"5270        "</f>
        <v xml:space="preserve">5270        </v>
      </c>
      <c r="O1143">
        <v>231023</v>
      </c>
    </row>
    <row r="1144" spans="1:15" x14ac:dyDescent="0.25">
      <c r="A1144" t="s">
        <v>16</v>
      </c>
      <c r="B1144" t="s">
        <v>3221</v>
      </c>
      <c r="C1144">
        <v>15779</v>
      </c>
      <c r="D1144" t="s">
        <v>1185</v>
      </c>
      <c r="E1144" t="s">
        <v>1186</v>
      </c>
      <c r="F1144">
        <v>363.64</v>
      </c>
      <c r="G1144">
        <v>231113</v>
      </c>
      <c r="H1144">
        <v>4420</v>
      </c>
      <c r="I1144" t="s">
        <v>132</v>
      </c>
      <c r="J1144">
        <v>400</v>
      </c>
      <c r="K1144">
        <v>36.36</v>
      </c>
      <c r="L1144">
        <v>11001</v>
      </c>
      <c r="M1144" t="s">
        <v>326</v>
      </c>
      <c r="N1144" t="str">
        <f>"5345        "</f>
        <v xml:space="preserve">5345        </v>
      </c>
      <c r="O1144">
        <v>231117</v>
      </c>
    </row>
    <row r="1145" spans="1:15" x14ac:dyDescent="0.25">
      <c r="A1145" t="s">
        <v>16</v>
      </c>
      <c r="B1145" t="s">
        <v>3221</v>
      </c>
      <c r="C1145">
        <v>15791</v>
      </c>
      <c r="D1145" t="s">
        <v>1185</v>
      </c>
      <c r="E1145" t="s">
        <v>1186</v>
      </c>
      <c r="F1145">
        <v>409.09</v>
      </c>
      <c r="G1145">
        <v>231113</v>
      </c>
      <c r="H1145">
        <v>4420</v>
      </c>
      <c r="I1145" t="s">
        <v>132</v>
      </c>
      <c r="J1145">
        <v>450</v>
      </c>
      <c r="K1145">
        <v>40.909999999999997</v>
      </c>
      <c r="L1145">
        <v>11001</v>
      </c>
      <c r="M1145" t="s">
        <v>326</v>
      </c>
      <c r="N1145" t="str">
        <f>"5346        "</f>
        <v xml:space="preserve">5346        </v>
      </c>
      <c r="O1145">
        <v>231120</v>
      </c>
    </row>
    <row r="1146" spans="1:15" x14ac:dyDescent="0.25">
      <c r="A1146" t="s">
        <v>16</v>
      </c>
      <c r="B1146" t="s">
        <v>3221</v>
      </c>
      <c r="C1146">
        <v>16369</v>
      </c>
      <c r="D1146" t="s">
        <v>1185</v>
      </c>
      <c r="E1146" t="s">
        <v>1186</v>
      </c>
      <c r="F1146">
        <v>545.45000000000005</v>
      </c>
      <c r="G1146">
        <v>231121</v>
      </c>
      <c r="H1146">
        <v>4420</v>
      </c>
      <c r="I1146" t="s">
        <v>132</v>
      </c>
      <c r="J1146">
        <v>600</v>
      </c>
      <c r="K1146">
        <v>54.55</v>
      </c>
      <c r="L1146">
        <v>13801</v>
      </c>
      <c r="M1146" t="s">
        <v>162</v>
      </c>
      <c r="N1146" t="str">
        <f>"5411        "</f>
        <v xml:space="preserve">5411        </v>
      </c>
      <c r="O1146">
        <v>231128</v>
      </c>
    </row>
    <row r="1147" spans="1:15" x14ac:dyDescent="0.25">
      <c r="A1147" t="s">
        <v>16</v>
      </c>
      <c r="B1147" t="s">
        <v>3221</v>
      </c>
      <c r="C1147">
        <v>16390</v>
      </c>
      <c r="D1147" t="s">
        <v>1185</v>
      </c>
      <c r="E1147" t="s">
        <v>1186</v>
      </c>
      <c r="F1147">
        <v>500</v>
      </c>
      <c r="G1147">
        <v>231113</v>
      </c>
      <c r="H1147">
        <v>4420</v>
      </c>
      <c r="I1147" t="s">
        <v>132</v>
      </c>
      <c r="J1147">
        <v>550</v>
      </c>
      <c r="K1147">
        <v>50</v>
      </c>
      <c r="L1147">
        <v>16321</v>
      </c>
      <c r="M1147" t="s">
        <v>423</v>
      </c>
      <c r="N1147" t="str">
        <f>"5352        "</f>
        <v xml:space="preserve">5352        </v>
      </c>
      <c r="O1147">
        <v>231129</v>
      </c>
    </row>
    <row r="1148" spans="1:15" x14ac:dyDescent="0.25">
      <c r="A1148" t="s">
        <v>16</v>
      </c>
      <c r="B1148" t="s">
        <v>3221</v>
      </c>
      <c r="C1148">
        <v>16398</v>
      </c>
      <c r="D1148" t="s">
        <v>1185</v>
      </c>
      <c r="E1148" t="s">
        <v>1186</v>
      </c>
      <c r="F1148">
        <v>1554.55</v>
      </c>
      <c r="G1148">
        <v>231128</v>
      </c>
      <c r="H1148">
        <v>4420</v>
      </c>
      <c r="I1148" t="s">
        <v>132</v>
      </c>
      <c r="J1148">
        <v>1710</v>
      </c>
      <c r="K1148">
        <v>155.44999999999999</v>
      </c>
      <c r="L1148">
        <v>59702</v>
      </c>
      <c r="M1148" t="s">
        <v>328</v>
      </c>
      <c r="N1148" t="str">
        <f>"5423        "</f>
        <v xml:space="preserve">5423        </v>
      </c>
      <c r="O1148">
        <v>231129</v>
      </c>
    </row>
    <row r="1149" spans="1:15" x14ac:dyDescent="0.25">
      <c r="A1149" t="s">
        <v>16</v>
      </c>
      <c r="B1149" t="s">
        <v>3221</v>
      </c>
      <c r="C1149">
        <v>16679</v>
      </c>
      <c r="D1149" t="s">
        <v>1185</v>
      </c>
      <c r="E1149" t="s">
        <v>1186</v>
      </c>
      <c r="F1149">
        <v>490.91</v>
      </c>
      <c r="G1149">
        <v>231130</v>
      </c>
      <c r="H1149">
        <v>4420</v>
      </c>
      <c r="I1149" t="s">
        <v>132</v>
      </c>
      <c r="J1149">
        <v>540</v>
      </c>
      <c r="K1149">
        <v>49.09</v>
      </c>
      <c r="L1149">
        <v>17804</v>
      </c>
      <c r="M1149" t="s">
        <v>549</v>
      </c>
      <c r="N1149" t="str">
        <f>"5466        "</f>
        <v xml:space="preserve">5466        </v>
      </c>
      <c r="O1149">
        <v>231207</v>
      </c>
    </row>
    <row r="1150" spans="1:15" x14ac:dyDescent="0.25">
      <c r="A1150" t="s">
        <v>16</v>
      </c>
      <c r="B1150" t="s">
        <v>3221</v>
      </c>
      <c r="C1150">
        <v>16728</v>
      </c>
      <c r="D1150" t="s">
        <v>1185</v>
      </c>
      <c r="E1150" t="s">
        <v>1186</v>
      </c>
      <c r="F1150">
        <v>622.73</v>
      </c>
      <c r="G1150">
        <v>231130</v>
      </c>
      <c r="H1150">
        <v>4420</v>
      </c>
      <c r="I1150" t="s">
        <v>132</v>
      </c>
      <c r="J1150">
        <v>685</v>
      </c>
      <c r="K1150">
        <v>62.27</v>
      </c>
      <c r="L1150">
        <v>13501</v>
      </c>
      <c r="M1150" t="s">
        <v>20</v>
      </c>
      <c r="N1150" t="str">
        <f>"5481        "</f>
        <v xml:space="preserve">5481        </v>
      </c>
      <c r="O1150">
        <v>231208</v>
      </c>
    </row>
    <row r="1151" spans="1:15" x14ac:dyDescent="0.25">
      <c r="A1151" t="s">
        <v>16</v>
      </c>
      <c r="B1151" t="s">
        <v>3221</v>
      </c>
      <c r="C1151">
        <v>17595</v>
      </c>
      <c r="D1151" t="s">
        <v>1185</v>
      </c>
      <c r="E1151" t="s">
        <v>1186</v>
      </c>
      <c r="F1151">
        <v>581.82000000000005</v>
      </c>
      <c r="G1151">
        <v>231130</v>
      </c>
      <c r="H1151">
        <v>4420</v>
      </c>
      <c r="I1151" t="s">
        <v>132</v>
      </c>
      <c r="J1151">
        <v>640</v>
      </c>
      <c r="K1151">
        <v>58.18</v>
      </c>
      <c r="L1151">
        <v>16121</v>
      </c>
      <c r="M1151" t="s">
        <v>21</v>
      </c>
      <c r="N1151" t="str">
        <f>"5482        "</f>
        <v xml:space="preserve">5482        </v>
      </c>
      <c r="O1151">
        <v>231215</v>
      </c>
    </row>
    <row r="1152" spans="1:15" x14ac:dyDescent="0.25">
      <c r="A1152" t="s">
        <v>16</v>
      </c>
      <c r="B1152" t="s">
        <v>3221</v>
      </c>
      <c r="C1152">
        <v>17741</v>
      </c>
      <c r="D1152" t="s">
        <v>1185</v>
      </c>
      <c r="E1152" t="s">
        <v>1186</v>
      </c>
      <c r="F1152">
        <v>190.91</v>
      </c>
      <c r="G1152">
        <v>231218</v>
      </c>
      <c r="H1152">
        <v>4420</v>
      </c>
      <c r="I1152" t="s">
        <v>132</v>
      </c>
      <c r="J1152">
        <v>210</v>
      </c>
      <c r="K1152">
        <v>19.09</v>
      </c>
      <c r="L1152">
        <v>13661</v>
      </c>
      <c r="M1152" t="s">
        <v>247</v>
      </c>
      <c r="N1152" t="str">
        <f>"5576        "</f>
        <v xml:space="preserve">5576        </v>
      </c>
      <c r="O1152">
        <v>231222</v>
      </c>
    </row>
    <row r="1153" spans="1:15" x14ac:dyDescent="0.25">
      <c r="A1153" t="s">
        <v>16</v>
      </c>
      <c r="B1153" t="s">
        <v>3221</v>
      </c>
      <c r="C1153">
        <v>17741</v>
      </c>
      <c r="D1153" t="s">
        <v>1185</v>
      </c>
      <c r="E1153" t="s">
        <v>1186</v>
      </c>
      <c r="F1153">
        <v>190.91</v>
      </c>
      <c r="G1153">
        <v>231218</v>
      </c>
      <c r="H1153">
        <v>4420</v>
      </c>
      <c r="I1153" t="s">
        <v>132</v>
      </c>
      <c r="J1153">
        <v>210</v>
      </c>
      <c r="K1153">
        <v>19.09</v>
      </c>
      <c r="L1153">
        <v>13861</v>
      </c>
      <c r="M1153" t="s">
        <v>1143</v>
      </c>
      <c r="N1153" t="str">
        <f>"5576        "</f>
        <v xml:space="preserve">5576        </v>
      </c>
      <c r="O1153">
        <v>231222</v>
      </c>
    </row>
    <row r="1154" spans="1:15" x14ac:dyDescent="0.25">
      <c r="A1154" t="s">
        <v>16</v>
      </c>
      <c r="B1154" t="s">
        <v>3221</v>
      </c>
      <c r="C1154">
        <v>1514</v>
      </c>
      <c r="D1154" t="s">
        <v>1069</v>
      </c>
      <c r="E1154" t="s">
        <v>1070</v>
      </c>
      <c r="F1154">
        <v>42.47</v>
      </c>
      <c r="G1154">
        <v>230126</v>
      </c>
      <c r="H1154">
        <v>4600</v>
      </c>
      <c r="I1154" t="s">
        <v>105</v>
      </c>
      <c r="J1154">
        <v>52.66</v>
      </c>
      <c r="K1154">
        <v>10.19</v>
      </c>
      <c r="L1154">
        <v>17530</v>
      </c>
      <c r="M1154" t="s">
        <v>454</v>
      </c>
      <c r="N1154" t="str">
        <f>"35055       "</f>
        <v xml:space="preserve">35055       </v>
      </c>
      <c r="O1154">
        <v>230209</v>
      </c>
    </row>
    <row r="1155" spans="1:15" x14ac:dyDescent="0.25">
      <c r="A1155" t="s">
        <v>16</v>
      </c>
      <c r="B1155" t="s">
        <v>3221</v>
      </c>
      <c r="C1155">
        <v>1514</v>
      </c>
      <c r="D1155" t="s">
        <v>1069</v>
      </c>
      <c r="E1155" t="s">
        <v>1070</v>
      </c>
      <c r="F1155">
        <v>58.6</v>
      </c>
      <c r="G1155">
        <v>230126</v>
      </c>
      <c r="H1155">
        <v>4600</v>
      </c>
      <c r="I1155" t="s">
        <v>105</v>
      </c>
      <c r="J1155">
        <v>72.67</v>
      </c>
      <c r="K1155">
        <v>14.07</v>
      </c>
      <c r="L1155">
        <v>17532</v>
      </c>
      <c r="M1155" t="s">
        <v>543</v>
      </c>
      <c r="N1155" t="str">
        <f>"35055       "</f>
        <v xml:space="preserve">35055       </v>
      </c>
      <c r="O1155">
        <v>230209</v>
      </c>
    </row>
    <row r="1156" spans="1:15" x14ac:dyDescent="0.25">
      <c r="A1156" t="s">
        <v>16</v>
      </c>
      <c r="B1156" t="s">
        <v>3221</v>
      </c>
      <c r="C1156">
        <v>7342</v>
      </c>
      <c r="D1156" t="s">
        <v>1069</v>
      </c>
      <c r="E1156" t="s">
        <v>1070</v>
      </c>
      <c r="F1156">
        <v>39.44</v>
      </c>
      <c r="G1156">
        <v>230525</v>
      </c>
      <c r="H1156">
        <v>4600</v>
      </c>
      <c r="I1156" t="s">
        <v>105</v>
      </c>
      <c r="J1156">
        <v>48.91</v>
      </c>
      <c r="K1156">
        <v>9.4700000000000006</v>
      </c>
      <c r="L1156">
        <v>17532</v>
      </c>
      <c r="M1156" t="s">
        <v>543</v>
      </c>
      <c r="N1156" t="str">
        <f>"35543       "</f>
        <v xml:space="preserve">35543       </v>
      </c>
      <c r="O1156">
        <v>230529</v>
      </c>
    </row>
    <row r="1157" spans="1:15" x14ac:dyDescent="0.25">
      <c r="A1157" t="s">
        <v>16</v>
      </c>
      <c r="B1157" t="s">
        <v>3221</v>
      </c>
      <c r="C1157">
        <v>7342</v>
      </c>
      <c r="D1157" t="s">
        <v>1069</v>
      </c>
      <c r="E1157" t="s">
        <v>1070</v>
      </c>
      <c r="F1157">
        <v>131.30000000000001</v>
      </c>
      <c r="G1157">
        <v>230525</v>
      </c>
      <c r="H1157">
        <v>4600</v>
      </c>
      <c r="I1157" t="s">
        <v>105</v>
      </c>
      <c r="J1157">
        <v>162.81</v>
      </c>
      <c r="K1157">
        <v>31.51</v>
      </c>
      <c r="L1157">
        <v>17645</v>
      </c>
      <c r="M1157" t="s">
        <v>1035</v>
      </c>
      <c r="N1157" t="str">
        <f>"35543       "</f>
        <v xml:space="preserve">35543       </v>
      </c>
      <c r="O1157">
        <v>230529</v>
      </c>
    </row>
    <row r="1158" spans="1:15" x14ac:dyDescent="0.25">
      <c r="A1158" t="s">
        <v>16</v>
      </c>
      <c r="B1158" t="s">
        <v>3221</v>
      </c>
      <c r="C1158">
        <v>11190</v>
      </c>
      <c r="D1158" t="s">
        <v>1069</v>
      </c>
      <c r="E1158" t="s">
        <v>1070</v>
      </c>
      <c r="F1158">
        <v>354.95</v>
      </c>
      <c r="G1158">
        <v>230829</v>
      </c>
      <c r="H1158">
        <v>4600</v>
      </c>
      <c r="I1158" t="s">
        <v>105</v>
      </c>
      <c r="J1158">
        <v>440.14</v>
      </c>
      <c r="K1158">
        <v>85.19</v>
      </c>
      <c r="L1158">
        <v>17646</v>
      </c>
      <c r="M1158" t="s">
        <v>1616</v>
      </c>
      <c r="N1158" t="str">
        <f>"35836       "</f>
        <v xml:space="preserve">35836       </v>
      </c>
      <c r="O1158">
        <v>230831</v>
      </c>
    </row>
    <row r="1159" spans="1:15" x14ac:dyDescent="0.25">
      <c r="A1159" t="s">
        <v>16</v>
      </c>
      <c r="B1159" t="s">
        <v>3221</v>
      </c>
      <c r="C1159">
        <v>7702</v>
      </c>
      <c r="D1159" t="s">
        <v>2118</v>
      </c>
      <c r="E1159" t="s">
        <v>2119</v>
      </c>
      <c r="F1159">
        <v>730.7</v>
      </c>
      <c r="G1159">
        <v>230523</v>
      </c>
      <c r="H1159">
        <v>4412</v>
      </c>
      <c r="I1159" t="s">
        <v>149</v>
      </c>
      <c r="J1159">
        <v>833</v>
      </c>
      <c r="K1159">
        <v>102.3</v>
      </c>
      <c r="L1159">
        <v>13801</v>
      </c>
      <c r="M1159" t="s">
        <v>162</v>
      </c>
      <c r="N1159" t="str">
        <f>"99706480    "</f>
        <v xml:space="preserve">99706480    </v>
      </c>
      <c r="O1159">
        <v>230601</v>
      </c>
    </row>
    <row r="1160" spans="1:15" x14ac:dyDescent="0.25">
      <c r="A1160" t="s">
        <v>16</v>
      </c>
      <c r="B1160" t="s">
        <v>3221</v>
      </c>
      <c r="C1160">
        <v>7702</v>
      </c>
      <c r="D1160" t="s">
        <v>2118</v>
      </c>
      <c r="E1160" t="s">
        <v>2119</v>
      </c>
      <c r="F1160">
        <v>463.64</v>
      </c>
      <c r="G1160">
        <v>230523</v>
      </c>
      <c r="H1160">
        <v>4441</v>
      </c>
      <c r="I1160" t="s">
        <v>109</v>
      </c>
      <c r="J1160">
        <v>510</v>
      </c>
      <c r="K1160">
        <v>46.36</v>
      </c>
      <c r="L1160">
        <v>13801</v>
      </c>
      <c r="M1160" t="s">
        <v>162</v>
      </c>
      <c r="N1160" t="str">
        <f>"99706480    "</f>
        <v xml:space="preserve">99706480    </v>
      </c>
      <c r="O1160">
        <v>230601</v>
      </c>
    </row>
    <row r="1161" spans="1:15" x14ac:dyDescent="0.25">
      <c r="A1161" t="s">
        <v>16</v>
      </c>
      <c r="B1161" t="s">
        <v>3221</v>
      </c>
      <c r="C1161">
        <v>7702</v>
      </c>
      <c r="D1161" t="s">
        <v>2118</v>
      </c>
      <c r="E1161" t="s">
        <v>2119</v>
      </c>
      <c r="F1161">
        <v>161.29</v>
      </c>
      <c r="G1161">
        <v>230523</v>
      </c>
      <c r="H1161">
        <v>4820</v>
      </c>
      <c r="I1161" t="s">
        <v>50</v>
      </c>
      <c r="J1161">
        <v>200</v>
      </c>
      <c r="K1161">
        <v>38.71</v>
      </c>
      <c r="L1161">
        <v>13801</v>
      </c>
      <c r="M1161" t="s">
        <v>162</v>
      </c>
      <c r="N1161" t="str">
        <f>"99706480    "</f>
        <v xml:space="preserve">99706480    </v>
      </c>
      <c r="O1161">
        <v>230601</v>
      </c>
    </row>
    <row r="1162" spans="1:15" x14ac:dyDescent="0.25">
      <c r="A1162" t="s">
        <v>16</v>
      </c>
      <c r="B1162" t="s">
        <v>3221</v>
      </c>
      <c r="C1162">
        <v>7702</v>
      </c>
      <c r="D1162" t="s">
        <v>2118</v>
      </c>
      <c r="E1162" t="s">
        <v>2119</v>
      </c>
      <c r="F1162">
        <v>12.1</v>
      </c>
      <c r="G1162">
        <v>230523</v>
      </c>
      <c r="H1162">
        <v>4347</v>
      </c>
      <c r="I1162" t="s">
        <v>193</v>
      </c>
      <c r="J1162">
        <v>15</v>
      </c>
      <c r="K1162">
        <v>2.9</v>
      </c>
      <c r="L1162">
        <v>13801</v>
      </c>
      <c r="M1162" t="s">
        <v>162</v>
      </c>
      <c r="N1162" t="str">
        <f>"99706480    "</f>
        <v xml:space="preserve">99706480    </v>
      </c>
      <c r="O1162">
        <v>230601</v>
      </c>
    </row>
    <row r="1163" spans="1:15" x14ac:dyDescent="0.25">
      <c r="A1163" t="s">
        <v>16</v>
      </c>
      <c r="B1163" t="s">
        <v>3221</v>
      </c>
      <c r="C1163">
        <v>13559</v>
      </c>
      <c r="D1163" t="s">
        <v>2691</v>
      </c>
      <c r="E1163" t="s">
        <v>2692</v>
      </c>
      <c r="F1163">
        <v>327</v>
      </c>
      <c r="G1163">
        <v>231009</v>
      </c>
      <c r="H1163">
        <v>4600</v>
      </c>
      <c r="I1163" t="s">
        <v>105</v>
      </c>
      <c r="J1163">
        <v>405.48</v>
      </c>
      <c r="K1163">
        <v>78.48</v>
      </c>
      <c r="L1163">
        <v>17534</v>
      </c>
      <c r="M1163" t="s">
        <v>440</v>
      </c>
      <c r="N1163" t="str">
        <f>"241677      "</f>
        <v xml:space="preserve">241677      </v>
      </c>
      <c r="O1163">
        <v>231011</v>
      </c>
    </row>
    <row r="1164" spans="1:15" x14ac:dyDescent="0.25">
      <c r="A1164" t="s">
        <v>16</v>
      </c>
      <c r="B1164" t="s">
        <v>3221</v>
      </c>
      <c r="C1164">
        <v>2007</v>
      </c>
      <c r="D1164" t="s">
        <v>1257</v>
      </c>
      <c r="E1164" t="s">
        <v>1258</v>
      </c>
      <c r="F1164">
        <v>51.53</v>
      </c>
      <c r="G1164">
        <v>230215</v>
      </c>
      <c r="H1164">
        <v>4520</v>
      </c>
      <c r="I1164" t="s">
        <v>254</v>
      </c>
      <c r="J1164">
        <v>58.74</v>
      </c>
      <c r="K1164">
        <v>7.21</v>
      </c>
      <c r="L1164">
        <v>17915</v>
      </c>
      <c r="M1164" t="s">
        <v>572</v>
      </c>
      <c r="N1164" t="str">
        <f>"460302      "</f>
        <v xml:space="preserve">460302      </v>
      </c>
      <c r="O1164">
        <v>230217</v>
      </c>
    </row>
    <row r="1165" spans="1:15" x14ac:dyDescent="0.25">
      <c r="A1165" t="s">
        <v>16</v>
      </c>
      <c r="B1165" t="s">
        <v>3221</v>
      </c>
      <c r="C1165">
        <v>2007</v>
      </c>
      <c r="D1165" t="s">
        <v>1257</v>
      </c>
      <c r="E1165" t="s">
        <v>1258</v>
      </c>
      <c r="F1165">
        <v>5.73</v>
      </c>
      <c r="G1165">
        <v>230215</v>
      </c>
      <c r="H1165">
        <v>4520</v>
      </c>
      <c r="I1165" t="s">
        <v>254</v>
      </c>
      <c r="J1165">
        <v>6.53</v>
      </c>
      <c r="K1165">
        <v>0.8</v>
      </c>
      <c r="L1165">
        <v>17982</v>
      </c>
      <c r="M1165" t="s">
        <v>432</v>
      </c>
      <c r="N1165" t="str">
        <f>"460302      "</f>
        <v xml:space="preserve">460302      </v>
      </c>
      <c r="O1165">
        <v>230217</v>
      </c>
    </row>
    <row r="1166" spans="1:15" x14ac:dyDescent="0.25">
      <c r="A1166" t="s">
        <v>16</v>
      </c>
      <c r="B1166" t="s">
        <v>3221</v>
      </c>
      <c r="C1166">
        <v>2992</v>
      </c>
      <c r="D1166" t="s">
        <v>1257</v>
      </c>
      <c r="E1166" t="s">
        <v>1258</v>
      </c>
      <c r="F1166">
        <v>100.64</v>
      </c>
      <c r="G1166">
        <v>230228</v>
      </c>
      <c r="H1166">
        <v>4520</v>
      </c>
      <c r="I1166" t="s">
        <v>254</v>
      </c>
      <c r="J1166">
        <v>114.73</v>
      </c>
      <c r="K1166">
        <v>14.09</v>
      </c>
      <c r="L1166">
        <v>17915</v>
      </c>
      <c r="M1166" t="s">
        <v>572</v>
      </c>
      <c r="N1166" t="str">
        <f>"460480      "</f>
        <v xml:space="preserve">460480      </v>
      </c>
      <c r="O1166">
        <v>230308</v>
      </c>
    </row>
    <row r="1167" spans="1:15" x14ac:dyDescent="0.25">
      <c r="A1167" t="s">
        <v>16</v>
      </c>
      <c r="B1167" t="s">
        <v>3221</v>
      </c>
      <c r="C1167">
        <v>2992</v>
      </c>
      <c r="D1167" t="s">
        <v>1257</v>
      </c>
      <c r="E1167" t="s">
        <v>1258</v>
      </c>
      <c r="F1167">
        <v>11.18</v>
      </c>
      <c r="G1167">
        <v>230228</v>
      </c>
      <c r="H1167">
        <v>4520</v>
      </c>
      <c r="I1167" t="s">
        <v>254</v>
      </c>
      <c r="J1167">
        <v>12.75</v>
      </c>
      <c r="K1167">
        <v>1.57</v>
      </c>
      <c r="L1167">
        <v>17982</v>
      </c>
      <c r="M1167" t="s">
        <v>432</v>
      </c>
      <c r="N1167" t="str">
        <f>"460480      "</f>
        <v xml:space="preserve">460480      </v>
      </c>
      <c r="O1167">
        <v>230308</v>
      </c>
    </row>
    <row r="1168" spans="1:15" x14ac:dyDescent="0.25">
      <c r="A1168" t="s">
        <v>16</v>
      </c>
      <c r="B1168" t="s">
        <v>3221</v>
      </c>
      <c r="C1168">
        <v>3880</v>
      </c>
      <c r="D1168" t="s">
        <v>1257</v>
      </c>
      <c r="E1168" t="s">
        <v>1258</v>
      </c>
      <c r="F1168">
        <v>133.22</v>
      </c>
      <c r="G1168">
        <v>230315</v>
      </c>
      <c r="H1168">
        <v>4520</v>
      </c>
      <c r="I1168" t="s">
        <v>254</v>
      </c>
      <c r="J1168">
        <v>151.87</v>
      </c>
      <c r="K1168">
        <v>18.649999999999999</v>
      </c>
      <c r="L1168">
        <v>17913</v>
      </c>
      <c r="M1168" t="s">
        <v>431</v>
      </c>
      <c r="N1168" t="str">
        <f>"460649      "</f>
        <v xml:space="preserve">460649      </v>
      </c>
      <c r="O1168">
        <v>230324</v>
      </c>
    </row>
    <row r="1169" spans="1:16" x14ac:dyDescent="0.25">
      <c r="A1169" t="s">
        <v>16</v>
      </c>
      <c r="B1169" t="s">
        <v>3221</v>
      </c>
      <c r="C1169">
        <v>4332</v>
      </c>
      <c r="D1169" t="s">
        <v>1257</v>
      </c>
      <c r="E1169" t="s">
        <v>1258</v>
      </c>
      <c r="F1169">
        <v>96.8</v>
      </c>
      <c r="G1169">
        <v>230331</v>
      </c>
      <c r="H1169">
        <v>4520</v>
      </c>
      <c r="I1169" t="s">
        <v>254</v>
      </c>
      <c r="J1169">
        <v>110.35</v>
      </c>
      <c r="K1169">
        <v>13.55</v>
      </c>
      <c r="L1169">
        <v>17915</v>
      </c>
      <c r="M1169" t="s">
        <v>572</v>
      </c>
      <c r="N1169" t="str">
        <f>"460824      "</f>
        <v xml:space="preserve">460824      </v>
      </c>
      <c r="O1169">
        <v>230404</v>
      </c>
    </row>
    <row r="1170" spans="1:16" x14ac:dyDescent="0.25">
      <c r="A1170" t="s">
        <v>16</v>
      </c>
      <c r="B1170" t="s">
        <v>3221</v>
      </c>
      <c r="C1170">
        <v>4332</v>
      </c>
      <c r="D1170" t="s">
        <v>1257</v>
      </c>
      <c r="E1170" t="s">
        <v>1258</v>
      </c>
      <c r="F1170">
        <v>10.75</v>
      </c>
      <c r="G1170">
        <v>230331</v>
      </c>
      <c r="H1170">
        <v>4520</v>
      </c>
      <c r="I1170" t="s">
        <v>254</v>
      </c>
      <c r="J1170">
        <v>12.26</v>
      </c>
      <c r="K1170">
        <v>1.51</v>
      </c>
      <c r="L1170">
        <v>17982</v>
      </c>
      <c r="M1170" t="s">
        <v>432</v>
      </c>
      <c r="N1170" t="str">
        <f>"460824      "</f>
        <v xml:space="preserve">460824      </v>
      </c>
      <c r="O1170">
        <v>230404</v>
      </c>
    </row>
    <row r="1171" spans="1:16" x14ac:dyDescent="0.25">
      <c r="A1171" t="s">
        <v>16</v>
      </c>
      <c r="B1171" t="s">
        <v>3221</v>
      </c>
      <c r="C1171">
        <v>6152</v>
      </c>
      <c r="D1171" t="s">
        <v>1257</v>
      </c>
      <c r="E1171" t="s">
        <v>1258</v>
      </c>
      <c r="F1171">
        <v>63.95</v>
      </c>
      <c r="G1171">
        <v>230430</v>
      </c>
      <c r="H1171">
        <v>4520</v>
      </c>
      <c r="I1171" t="s">
        <v>254</v>
      </c>
      <c r="J1171">
        <v>72.900000000000006</v>
      </c>
      <c r="K1171">
        <v>8.9499999999999993</v>
      </c>
      <c r="L1171">
        <v>17913</v>
      </c>
      <c r="M1171" t="s">
        <v>431</v>
      </c>
      <c r="N1171" t="str">
        <f>"461198      "</f>
        <v xml:space="preserve">461198      </v>
      </c>
      <c r="O1171">
        <v>230508</v>
      </c>
    </row>
    <row r="1172" spans="1:16" x14ac:dyDescent="0.25">
      <c r="A1172" t="s">
        <v>16</v>
      </c>
      <c r="B1172" t="s">
        <v>3221</v>
      </c>
      <c r="C1172">
        <v>6152</v>
      </c>
      <c r="D1172" t="s">
        <v>1257</v>
      </c>
      <c r="E1172" t="s">
        <v>1258</v>
      </c>
      <c r="F1172">
        <v>7.11</v>
      </c>
      <c r="G1172">
        <v>230430</v>
      </c>
      <c r="H1172">
        <v>4520</v>
      </c>
      <c r="I1172" t="s">
        <v>254</v>
      </c>
      <c r="J1172">
        <v>8.1</v>
      </c>
      <c r="K1172">
        <v>0.99</v>
      </c>
      <c r="L1172">
        <v>17982</v>
      </c>
      <c r="M1172" t="s">
        <v>432</v>
      </c>
      <c r="N1172" t="str">
        <f>"461198      "</f>
        <v xml:space="preserve">461198      </v>
      </c>
      <c r="O1172">
        <v>230508</v>
      </c>
    </row>
    <row r="1173" spans="1:16" x14ac:dyDescent="0.25">
      <c r="A1173" t="s">
        <v>16</v>
      </c>
      <c r="B1173" t="s">
        <v>3221</v>
      </c>
      <c r="C1173">
        <v>7907</v>
      </c>
      <c r="D1173" t="s">
        <v>1257</v>
      </c>
      <c r="E1173" t="s">
        <v>1258</v>
      </c>
      <c r="F1173">
        <v>20.52</v>
      </c>
      <c r="G1173">
        <v>230531</v>
      </c>
      <c r="H1173">
        <v>4520</v>
      </c>
      <c r="I1173" t="s">
        <v>254</v>
      </c>
      <c r="J1173">
        <v>23.39</v>
      </c>
      <c r="K1173">
        <v>2.87</v>
      </c>
      <c r="L1173">
        <v>17915</v>
      </c>
      <c r="M1173" t="s">
        <v>572</v>
      </c>
      <c r="N1173" t="str">
        <f>"461523      "</f>
        <v xml:space="preserve">461523      </v>
      </c>
      <c r="O1173">
        <v>230605</v>
      </c>
    </row>
    <row r="1174" spans="1:16" x14ac:dyDescent="0.25">
      <c r="A1174" t="s">
        <v>16</v>
      </c>
      <c r="B1174" t="s">
        <v>3221</v>
      </c>
      <c r="C1174">
        <v>7907</v>
      </c>
      <c r="D1174" t="s">
        <v>1257</v>
      </c>
      <c r="E1174" t="s">
        <v>1258</v>
      </c>
      <c r="F1174">
        <v>2.2799999999999998</v>
      </c>
      <c r="G1174">
        <v>230531</v>
      </c>
      <c r="H1174">
        <v>4520</v>
      </c>
      <c r="I1174" t="s">
        <v>254</v>
      </c>
      <c r="J1174">
        <v>2.6</v>
      </c>
      <c r="K1174">
        <v>0.32</v>
      </c>
      <c r="L1174">
        <v>17982</v>
      </c>
      <c r="M1174" t="s">
        <v>432</v>
      </c>
      <c r="N1174" t="str">
        <f>"461523      "</f>
        <v xml:space="preserve">461523      </v>
      </c>
      <c r="O1174">
        <v>230605</v>
      </c>
    </row>
    <row r="1175" spans="1:16" x14ac:dyDescent="0.25">
      <c r="A1175" t="s">
        <v>16</v>
      </c>
      <c r="B1175" t="s">
        <v>3221</v>
      </c>
      <c r="C1175">
        <v>7907</v>
      </c>
      <c r="D1175" t="s">
        <v>1257</v>
      </c>
      <c r="E1175" t="s">
        <v>1258</v>
      </c>
      <c r="F1175">
        <v>70.16</v>
      </c>
      <c r="G1175">
        <v>230531</v>
      </c>
      <c r="H1175">
        <v>4520</v>
      </c>
      <c r="I1175" t="s">
        <v>254</v>
      </c>
      <c r="J1175">
        <v>79.98</v>
      </c>
      <c r="K1175">
        <v>9.82</v>
      </c>
      <c r="L1175">
        <v>17984</v>
      </c>
      <c r="M1175" t="s">
        <v>950</v>
      </c>
      <c r="N1175" t="str">
        <f>"461523      "</f>
        <v xml:space="preserve">461523      </v>
      </c>
      <c r="O1175">
        <v>230605</v>
      </c>
    </row>
    <row r="1176" spans="1:16" x14ac:dyDescent="0.25">
      <c r="A1176" t="s">
        <v>16</v>
      </c>
      <c r="B1176" t="s">
        <v>3221</v>
      </c>
      <c r="C1176">
        <v>7910</v>
      </c>
      <c r="D1176" t="s">
        <v>1257</v>
      </c>
      <c r="E1176" t="s">
        <v>1258</v>
      </c>
      <c r="F1176">
        <v>150.69999999999999</v>
      </c>
      <c r="G1176">
        <v>230531</v>
      </c>
      <c r="H1176">
        <v>4520</v>
      </c>
      <c r="I1176" t="s">
        <v>254</v>
      </c>
      <c r="J1176">
        <v>171.8</v>
      </c>
      <c r="K1176">
        <v>21.1</v>
      </c>
      <c r="L1176">
        <v>17984</v>
      </c>
      <c r="M1176" t="s">
        <v>950</v>
      </c>
      <c r="N1176" t="str">
        <f>"461524      "</f>
        <v xml:space="preserve">461524      </v>
      </c>
      <c r="O1176">
        <v>230605</v>
      </c>
    </row>
    <row r="1177" spans="1:16" x14ac:dyDescent="0.25">
      <c r="A1177" t="s">
        <v>16</v>
      </c>
      <c r="B1177" t="s">
        <v>3221</v>
      </c>
      <c r="C1177">
        <v>9031</v>
      </c>
      <c r="D1177" t="s">
        <v>1257</v>
      </c>
      <c r="E1177" t="s">
        <v>1258</v>
      </c>
      <c r="F1177">
        <v>226.2</v>
      </c>
      <c r="G1177">
        <v>230615</v>
      </c>
      <c r="H1177">
        <v>4520</v>
      </c>
      <c r="I1177" t="s">
        <v>254</v>
      </c>
      <c r="J1177">
        <v>257.87</v>
      </c>
      <c r="K1177">
        <v>31.67</v>
      </c>
      <c r="L1177">
        <v>17915</v>
      </c>
      <c r="M1177" t="s">
        <v>572</v>
      </c>
      <c r="N1177" t="str">
        <f>"461676      "</f>
        <v xml:space="preserve">461676      </v>
      </c>
      <c r="O1177">
        <v>230621</v>
      </c>
    </row>
    <row r="1178" spans="1:16" x14ac:dyDescent="0.25">
      <c r="A1178" t="s">
        <v>16</v>
      </c>
      <c r="B1178" t="s">
        <v>3221</v>
      </c>
      <c r="C1178">
        <v>9031</v>
      </c>
      <c r="D1178" t="s">
        <v>1257</v>
      </c>
      <c r="E1178" t="s">
        <v>1258</v>
      </c>
      <c r="F1178">
        <v>25.18</v>
      </c>
      <c r="G1178">
        <v>230615</v>
      </c>
      <c r="H1178">
        <v>4520</v>
      </c>
      <c r="I1178" t="s">
        <v>254</v>
      </c>
      <c r="J1178">
        <v>28.7</v>
      </c>
      <c r="K1178">
        <v>3.52</v>
      </c>
      <c r="L1178">
        <v>17982</v>
      </c>
      <c r="M1178" t="s">
        <v>432</v>
      </c>
      <c r="N1178" t="str">
        <f>"461676      "</f>
        <v xml:space="preserve">461676      </v>
      </c>
      <c r="O1178">
        <v>230621</v>
      </c>
    </row>
    <row r="1179" spans="1:16" x14ac:dyDescent="0.25">
      <c r="A1179" t="s">
        <v>16</v>
      </c>
      <c r="B1179" t="s">
        <v>3221</v>
      </c>
      <c r="C1179">
        <v>11416</v>
      </c>
      <c r="D1179" t="s">
        <v>1257</v>
      </c>
      <c r="E1179" t="s">
        <v>1258</v>
      </c>
      <c r="F1179">
        <v>214.41</v>
      </c>
      <c r="G1179">
        <v>230831</v>
      </c>
      <c r="H1179">
        <v>4520</v>
      </c>
      <c r="I1179" t="s">
        <v>254</v>
      </c>
      <c r="J1179">
        <v>244.43</v>
      </c>
      <c r="K1179">
        <v>30.02</v>
      </c>
      <c r="L1179">
        <v>17952</v>
      </c>
      <c r="M1179" t="s">
        <v>88</v>
      </c>
      <c r="N1179" t="str">
        <f>"462453      "</f>
        <v xml:space="preserve">462453      </v>
      </c>
      <c r="O1179">
        <v>230905</v>
      </c>
    </row>
    <row r="1180" spans="1:16" x14ac:dyDescent="0.25">
      <c r="A1180" t="s">
        <v>16</v>
      </c>
      <c r="B1180" t="s">
        <v>3221</v>
      </c>
      <c r="C1180">
        <v>18446</v>
      </c>
      <c r="D1180" t="s">
        <v>1257</v>
      </c>
      <c r="E1180" t="s">
        <v>1258</v>
      </c>
      <c r="F1180">
        <v>46.89</v>
      </c>
      <c r="G1180">
        <v>231215</v>
      </c>
      <c r="H1180">
        <v>4520</v>
      </c>
      <c r="I1180" t="s">
        <v>254</v>
      </c>
      <c r="J1180">
        <v>53.46</v>
      </c>
      <c r="K1180">
        <v>6.57</v>
      </c>
      <c r="L1180">
        <v>17915</v>
      </c>
      <c r="M1180" t="s">
        <v>572</v>
      </c>
      <c r="N1180" t="str">
        <f>"463711      "</f>
        <v xml:space="preserve">463711      </v>
      </c>
      <c r="O1180">
        <v>240103</v>
      </c>
    </row>
    <row r="1181" spans="1:16" x14ac:dyDescent="0.25">
      <c r="A1181" t="s">
        <v>16</v>
      </c>
      <c r="B1181" t="s">
        <v>3221</v>
      </c>
      <c r="C1181">
        <v>18446</v>
      </c>
      <c r="D1181" t="s">
        <v>1257</v>
      </c>
      <c r="E1181" t="s">
        <v>1258</v>
      </c>
      <c r="F1181">
        <v>17.54</v>
      </c>
      <c r="G1181">
        <v>231215</v>
      </c>
      <c r="H1181">
        <v>4520</v>
      </c>
      <c r="I1181" t="s">
        <v>254</v>
      </c>
      <c r="J1181">
        <v>20</v>
      </c>
      <c r="K1181">
        <v>2.46</v>
      </c>
      <c r="L1181">
        <v>17982</v>
      </c>
      <c r="M1181" t="s">
        <v>432</v>
      </c>
      <c r="N1181" t="str">
        <f>"463711      "</f>
        <v xml:space="preserve">463711      </v>
      </c>
      <c r="O1181">
        <v>240103</v>
      </c>
    </row>
    <row r="1182" spans="1:16" x14ac:dyDescent="0.25">
      <c r="A1182" t="s">
        <v>16</v>
      </c>
      <c r="B1182" t="s">
        <v>3221</v>
      </c>
      <c r="C1182">
        <v>18991</v>
      </c>
      <c r="D1182" t="s">
        <v>3318</v>
      </c>
      <c r="E1182" t="s">
        <v>3319</v>
      </c>
      <c r="F1182">
        <v>46.27</v>
      </c>
      <c r="G1182">
        <v>231229</v>
      </c>
      <c r="H1182">
        <v>4510</v>
      </c>
      <c r="I1182" t="s">
        <v>42</v>
      </c>
      <c r="J1182">
        <v>50.9</v>
      </c>
      <c r="K1182">
        <v>4.63</v>
      </c>
      <c r="L1182">
        <v>17532</v>
      </c>
      <c r="M1182" t="s">
        <v>543</v>
      </c>
      <c r="N1182" t="str">
        <f>"60001677    "</f>
        <v xml:space="preserve">60001677    </v>
      </c>
      <c r="O1182">
        <v>240109</v>
      </c>
    </row>
    <row r="1183" spans="1:16" x14ac:dyDescent="0.25">
      <c r="A1183" t="s">
        <v>16</v>
      </c>
      <c r="B1183" t="s">
        <v>3221</v>
      </c>
      <c r="C1183">
        <v>4562</v>
      </c>
      <c r="D1183" t="s">
        <v>1732</v>
      </c>
      <c r="E1183" t="s">
        <v>1733</v>
      </c>
      <c r="F1183">
        <v>230.65</v>
      </c>
      <c r="G1183">
        <v>230405</v>
      </c>
      <c r="H1183">
        <v>4580</v>
      </c>
      <c r="I1183" t="s">
        <v>35</v>
      </c>
      <c r="J1183">
        <v>286</v>
      </c>
      <c r="K1183">
        <v>55.35</v>
      </c>
      <c r="L1183">
        <v>17521</v>
      </c>
      <c r="M1183" t="s">
        <v>133</v>
      </c>
      <c r="N1183" t="str">
        <f>"31986       "</f>
        <v xml:space="preserve">31986       </v>
      </c>
      <c r="O1183">
        <v>230406</v>
      </c>
    </row>
    <row r="1184" spans="1:16" x14ac:dyDescent="0.25">
      <c r="A1184" t="s">
        <v>16</v>
      </c>
      <c r="B1184" t="s">
        <v>3221</v>
      </c>
      <c r="C1184">
        <v>1812</v>
      </c>
      <c r="D1184" t="s">
        <v>3360</v>
      </c>
      <c r="E1184" t="s">
        <v>3361</v>
      </c>
      <c r="F1184">
        <v>80</v>
      </c>
      <c r="G1184">
        <v>230203</v>
      </c>
      <c r="H1184">
        <v>4600</v>
      </c>
      <c r="I1184" t="s">
        <v>105</v>
      </c>
      <c r="J1184">
        <v>80</v>
      </c>
      <c r="K1184">
        <v>0</v>
      </c>
      <c r="L1184">
        <v>17533</v>
      </c>
      <c r="M1184" t="s">
        <v>990</v>
      </c>
      <c r="N1184" t="str">
        <f>"202200514   "</f>
        <v xml:space="preserve">202200514   </v>
      </c>
      <c r="O1184">
        <v>230214</v>
      </c>
      <c r="P1184" t="s">
        <v>3060</v>
      </c>
    </row>
    <row r="1185" spans="1:16" x14ac:dyDescent="0.25">
      <c r="A1185" t="s">
        <v>16</v>
      </c>
      <c r="B1185" t="s">
        <v>3221</v>
      </c>
      <c r="C1185">
        <v>1812</v>
      </c>
      <c r="D1185" t="s">
        <v>3360</v>
      </c>
      <c r="E1185" t="s">
        <v>3361</v>
      </c>
      <c r="F1185">
        <v>55</v>
      </c>
      <c r="G1185">
        <v>230203</v>
      </c>
      <c r="H1185">
        <v>4600</v>
      </c>
      <c r="I1185" t="s">
        <v>105</v>
      </c>
      <c r="J1185">
        <v>55</v>
      </c>
      <c r="K1185">
        <v>0</v>
      </c>
      <c r="L1185">
        <v>17533</v>
      </c>
      <c r="M1185" t="s">
        <v>990</v>
      </c>
      <c r="N1185" t="str">
        <f>"202200514   "</f>
        <v xml:space="preserve">202200514   </v>
      </c>
      <c r="O1185">
        <v>230214</v>
      </c>
      <c r="P1185" t="s">
        <v>3060</v>
      </c>
    </row>
    <row r="1186" spans="1:16" x14ac:dyDescent="0.25">
      <c r="A1186" t="s">
        <v>16</v>
      </c>
      <c r="B1186" t="s">
        <v>3221</v>
      </c>
      <c r="C1186">
        <v>1812</v>
      </c>
      <c r="D1186" t="s">
        <v>3360</v>
      </c>
      <c r="E1186" t="s">
        <v>3361</v>
      </c>
      <c r="F1186">
        <v>100</v>
      </c>
      <c r="G1186">
        <v>230203</v>
      </c>
      <c r="H1186">
        <v>4600</v>
      </c>
      <c r="I1186" t="s">
        <v>105</v>
      </c>
      <c r="J1186">
        <v>100</v>
      </c>
      <c r="K1186">
        <v>0</v>
      </c>
      <c r="L1186">
        <v>17647</v>
      </c>
      <c r="M1186" t="s">
        <v>1132</v>
      </c>
      <c r="N1186" t="str">
        <f>"202200514   "</f>
        <v xml:space="preserve">202200514   </v>
      </c>
      <c r="O1186">
        <v>230214</v>
      </c>
      <c r="P1186" t="s">
        <v>3060</v>
      </c>
    </row>
    <row r="1187" spans="1:16" x14ac:dyDescent="0.25">
      <c r="A1187" t="s">
        <v>16</v>
      </c>
      <c r="B1187" t="s">
        <v>3221</v>
      </c>
      <c r="C1187">
        <v>8485</v>
      </c>
      <c r="D1187" t="s">
        <v>2187</v>
      </c>
      <c r="E1187" t="s">
        <v>2188</v>
      </c>
      <c r="F1187">
        <v>1050.72</v>
      </c>
      <c r="G1187">
        <v>230606</v>
      </c>
      <c r="H1187">
        <v>4580</v>
      </c>
      <c r="I1187" t="s">
        <v>35</v>
      </c>
      <c r="J1187">
        <v>1302.8900000000001</v>
      </c>
      <c r="K1187">
        <v>252.17</v>
      </c>
      <c r="L1187">
        <v>46554</v>
      </c>
      <c r="M1187" t="s">
        <v>117</v>
      </c>
      <c r="N1187" t="str">
        <f>"2190986833  "</f>
        <v xml:space="preserve">2190986833  </v>
      </c>
      <c r="O1187">
        <v>230609</v>
      </c>
    </row>
    <row r="1188" spans="1:16" x14ac:dyDescent="0.25">
      <c r="A1188" t="s">
        <v>16</v>
      </c>
      <c r="B1188" t="s">
        <v>3221</v>
      </c>
      <c r="C1188">
        <v>8485</v>
      </c>
      <c r="D1188" t="s">
        <v>2187</v>
      </c>
      <c r="E1188" t="s">
        <v>2188</v>
      </c>
      <c r="F1188">
        <v>901.41</v>
      </c>
      <c r="G1188">
        <v>230606</v>
      </c>
      <c r="H1188">
        <v>4400</v>
      </c>
      <c r="I1188" t="s">
        <v>348</v>
      </c>
      <c r="J1188">
        <v>1117.75</v>
      </c>
      <c r="K1188">
        <v>216.34</v>
      </c>
      <c r="L1188">
        <v>46554</v>
      </c>
      <c r="M1188" t="s">
        <v>117</v>
      </c>
      <c r="N1188" t="str">
        <f>"2190986833  "</f>
        <v xml:space="preserve">2190986833  </v>
      </c>
      <c r="O1188">
        <v>230609</v>
      </c>
    </row>
    <row r="1189" spans="1:16" x14ac:dyDescent="0.25">
      <c r="A1189" t="s">
        <v>16</v>
      </c>
      <c r="B1189" t="s">
        <v>3221</v>
      </c>
      <c r="C1189">
        <v>8485</v>
      </c>
      <c r="D1189" t="s">
        <v>2187</v>
      </c>
      <c r="E1189" t="s">
        <v>2188</v>
      </c>
      <c r="F1189">
        <v>144.35</v>
      </c>
      <c r="G1189">
        <v>230606</v>
      </c>
      <c r="H1189">
        <v>4420</v>
      </c>
      <c r="I1189" t="s">
        <v>132</v>
      </c>
      <c r="J1189">
        <v>179</v>
      </c>
      <c r="K1189">
        <v>34.65</v>
      </c>
      <c r="L1189">
        <v>46554</v>
      </c>
      <c r="M1189" t="s">
        <v>117</v>
      </c>
      <c r="N1189" t="str">
        <f>"2190986833  "</f>
        <v xml:space="preserve">2190986833  </v>
      </c>
      <c r="O1189">
        <v>230609</v>
      </c>
    </row>
    <row r="1190" spans="1:16" x14ac:dyDescent="0.25">
      <c r="A1190" t="s">
        <v>16</v>
      </c>
      <c r="B1190" t="s">
        <v>3221</v>
      </c>
      <c r="C1190">
        <v>10304</v>
      </c>
      <c r="D1190" t="s">
        <v>3608</v>
      </c>
      <c r="E1190" t="s">
        <v>2037</v>
      </c>
      <c r="F1190">
        <v>10000</v>
      </c>
      <c r="G1190">
        <v>230725</v>
      </c>
      <c r="H1190">
        <v>1197</v>
      </c>
      <c r="I1190" t="s">
        <v>868</v>
      </c>
      <c r="J1190">
        <v>10000</v>
      </c>
      <c r="K1190">
        <v>0</v>
      </c>
      <c r="L1190">
        <v>95501</v>
      </c>
      <c r="M1190" t="s">
        <v>623</v>
      </c>
      <c r="N1190" t="str">
        <f>"444206      "</f>
        <v xml:space="preserve">444206      </v>
      </c>
      <c r="O1190">
        <v>230814</v>
      </c>
    </row>
    <row r="1191" spans="1:16" x14ac:dyDescent="0.25">
      <c r="A1191" t="s">
        <v>16</v>
      </c>
      <c r="B1191" t="s">
        <v>3221</v>
      </c>
      <c r="C1191">
        <v>10447</v>
      </c>
      <c r="D1191" t="s">
        <v>3608</v>
      </c>
      <c r="E1191" t="s">
        <v>2037</v>
      </c>
      <c r="F1191">
        <v>10000</v>
      </c>
      <c r="G1191">
        <v>230808</v>
      </c>
      <c r="H1191">
        <v>1197</v>
      </c>
      <c r="I1191" t="s">
        <v>868</v>
      </c>
      <c r="J1191">
        <v>10000</v>
      </c>
      <c r="K1191">
        <v>0</v>
      </c>
      <c r="L1191">
        <v>95501</v>
      </c>
      <c r="M1191" t="s">
        <v>623</v>
      </c>
      <c r="N1191" t="str">
        <f>"444211      "</f>
        <v xml:space="preserve">444211      </v>
      </c>
      <c r="O1191">
        <v>230816</v>
      </c>
    </row>
    <row r="1192" spans="1:16" x14ac:dyDescent="0.25">
      <c r="A1192" t="s">
        <v>16</v>
      </c>
      <c r="B1192" t="s">
        <v>3221</v>
      </c>
      <c r="C1192">
        <v>10688</v>
      </c>
      <c r="D1192" t="s">
        <v>3608</v>
      </c>
      <c r="E1192" t="s">
        <v>2037</v>
      </c>
      <c r="F1192">
        <v>10000</v>
      </c>
      <c r="G1192">
        <v>230817</v>
      </c>
      <c r="H1192">
        <v>1197</v>
      </c>
      <c r="I1192" t="s">
        <v>868</v>
      </c>
      <c r="J1192">
        <v>10000</v>
      </c>
      <c r="K1192">
        <v>0</v>
      </c>
      <c r="L1192">
        <v>95501</v>
      </c>
      <c r="M1192" t="s">
        <v>623</v>
      </c>
      <c r="N1192" t="str">
        <f>"444214      "</f>
        <v xml:space="preserve">444214      </v>
      </c>
      <c r="O1192">
        <v>230822</v>
      </c>
    </row>
    <row r="1193" spans="1:16" x14ac:dyDescent="0.25">
      <c r="A1193" t="s">
        <v>16</v>
      </c>
      <c r="B1193" t="s">
        <v>3221</v>
      </c>
      <c r="C1193">
        <v>11976</v>
      </c>
      <c r="D1193" t="s">
        <v>3608</v>
      </c>
      <c r="E1193" t="s">
        <v>2037</v>
      </c>
      <c r="F1193">
        <v>10000</v>
      </c>
      <c r="G1193">
        <v>230828</v>
      </c>
      <c r="H1193">
        <v>1200</v>
      </c>
      <c r="I1193" t="s">
        <v>2530</v>
      </c>
      <c r="J1193">
        <v>10000</v>
      </c>
      <c r="K1193">
        <v>0</v>
      </c>
      <c r="L1193">
        <v>95501</v>
      </c>
      <c r="M1193" t="s">
        <v>623</v>
      </c>
      <c r="N1193" t="str">
        <f>"444217      "</f>
        <v xml:space="preserve">444217      </v>
      </c>
      <c r="O1193">
        <v>230912</v>
      </c>
    </row>
    <row r="1194" spans="1:16" x14ac:dyDescent="0.25">
      <c r="A1194" t="s">
        <v>16</v>
      </c>
      <c r="B1194" t="s">
        <v>3221</v>
      </c>
      <c r="C1194">
        <v>12552</v>
      </c>
      <c r="D1194" t="s">
        <v>3608</v>
      </c>
      <c r="E1194" t="s">
        <v>2037</v>
      </c>
      <c r="F1194">
        <v>10000</v>
      </c>
      <c r="G1194">
        <v>230906</v>
      </c>
      <c r="H1194">
        <v>1200</v>
      </c>
      <c r="I1194" t="s">
        <v>2530</v>
      </c>
      <c r="J1194">
        <v>10000</v>
      </c>
      <c r="K1194">
        <v>0</v>
      </c>
      <c r="L1194">
        <v>95501</v>
      </c>
      <c r="M1194" t="s">
        <v>623</v>
      </c>
      <c r="N1194" t="str">
        <f>"444224      "</f>
        <v xml:space="preserve">444224      </v>
      </c>
      <c r="O1194">
        <v>230921</v>
      </c>
    </row>
    <row r="1195" spans="1:16" x14ac:dyDescent="0.25">
      <c r="A1195" t="s">
        <v>16</v>
      </c>
      <c r="B1195" t="s">
        <v>3221</v>
      </c>
      <c r="C1195">
        <v>12553</v>
      </c>
      <c r="D1195" t="s">
        <v>3608</v>
      </c>
      <c r="E1195" t="s">
        <v>2037</v>
      </c>
      <c r="F1195">
        <v>10000</v>
      </c>
      <c r="G1195">
        <v>230906</v>
      </c>
      <c r="H1195">
        <v>1200</v>
      </c>
      <c r="I1195" t="s">
        <v>2530</v>
      </c>
      <c r="J1195">
        <v>10000</v>
      </c>
      <c r="K1195">
        <v>0</v>
      </c>
      <c r="L1195">
        <v>95501</v>
      </c>
      <c r="M1195" t="s">
        <v>623</v>
      </c>
      <c r="N1195" t="str">
        <f>"444223      "</f>
        <v xml:space="preserve">444223      </v>
      </c>
      <c r="O1195">
        <v>230921</v>
      </c>
    </row>
    <row r="1196" spans="1:16" x14ac:dyDescent="0.25">
      <c r="A1196" t="s">
        <v>16</v>
      </c>
      <c r="B1196" t="s">
        <v>3221</v>
      </c>
      <c r="C1196">
        <v>12900</v>
      </c>
      <c r="D1196" t="s">
        <v>3608</v>
      </c>
      <c r="E1196" t="s">
        <v>2037</v>
      </c>
      <c r="F1196">
        <v>20000</v>
      </c>
      <c r="G1196">
        <v>230921</v>
      </c>
      <c r="H1196">
        <v>1200</v>
      </c>
      <c r="I1196" t="s">
        <v>2530</v>
      </c>
      <c r="J1196">
        <v>20000</v>
      </c>
      <c r="K1196">
        <v>0</v>
      </c>
      <c r="L1196">
        <v>95501</v>
      </c>
      <c r="M1196" t="s">
        <v>623</v>
      </c>
      <c r="N1196" t="str">
        <f>"444231      "</f>
        <v xml:space="preserve">444231      </v>
      </c>
      <c r="O1196">
        <v>230929</v>
      </c>
    </row>
    <row r="1197" spans="1:16" x14ac:dyDescent="0.25">
      <c r="A1197" t="s">
        <v>16</v>
      </c>
      <c r="B1197" t="s">
        <v>3221</v>
      </c>
      <c r="C1197">
        <v>12901</v>
      </c>
      <c r="D1197" t="s">
        <v>3608</v>
      </c>
      <c r="E1197" t="s">
        <v>2037</v>
      </c>
      <c r="F1197">
        <v>10000</v>
      </c>
      <c r="G1197">
        <v>230921</v>
      </c>
      <c r="H1197">
        <v>1200</v>
      </c>
      <c r="I1197" t="s">
        <v>2530</v>
      </c>
      <c r="J1197">
        <v>10000</v>
      </c>
      <c r="K1197">
        <v>0</v>
      </c>
      <c r="L1197">
        <v>95501</v>
      </c>
      <c r="M1197" t="s">
        <v>623</v>
      </c>
      <c r="N1197" t="str">
        <f>"444232      "</f>
        <v xml:space="preserve">444232      </v>
      </c>
      <c r="O1197">
        <v>230929</v>
      </c>
    </row>
    <row r="1198" spans="1:16" x14ac:dyDescent="0.25">
      <c r="A1198" t="s">
        <v>16</v>
      </c>
      <c r="B1198" t="s">
        <v>3221</v>
      </c>
      <c r="C1198">
        <v>13243</v>
      </c>
      <c r="D1198" t="s">
        <v>3608</v>
      </c>
      <c r="E1198" t="s">
        <v>2037</v>
      </c>
      <c r="F1198">
        <v>10000</v>
      </c>
      <c r="G1198">
        <v>230928</v>
      </c>
      <c r="H1198">
        <v>1200</v>
      </c>
      <c r="I1198" t="s">
        <v>2530</v>
      </c>
      <c r="J1198">
        <v>10000</v>
      </c>
      <c r="K1198">
        <v>0</v>
      </c>
      <c r="L1198">
        <v>95501</v>
      </c>
      <c r="M1198" t="s">
        <v>623</v>
      </c>
      <c r="N1198" t="str">
        <f>"444240      "</f>
        <v xml:space="preserve">444240      </v>
      </c>
      <c r="O1198">
        <v>231006</v>
      </c>
    </row>
    <row r="1199" spans="1:16" x14ac:dyDescent="0.25">
      <c r="A1199" t="s">
        <v>16</v>
      </c>
      <c r="B1199" t="s">
        <v>3221</v>
      </c>
      <c r="C1199">
        <v>10400</v>
      </c>
      <c r="D1199" t="s">
        <v>3608</v>
      </c>
      <c r="E1199" t="s">
        <v>2037</v>
      </c>
      <c r="F1199">
        <v>10000</v>
      </c>
      <c r="G1199">
        <v>230802</v>
      </c>
      <c r="H1199">
        <v>1196</v>
      </c>
      <c r="I1199" t="s">
        <v>392</v>
      </c>
      <c r="J1199">
        <v>10000</v>
      </c>
      <c r="K1199">
        <v>0</v>
      </c>
      <c r="L1199">
        <v>95501</v>
      </c>
      <c r="M1199" t="s">
        <v>623</v>
      </c>
      <c r="N1199" t="str">
        <f>"444207      "</f>
        <v xml:space="preserve">444207      </v>
      </c>
      <c r="O1199">
        <v>230815</v>
      </c>
    </row>
    <row r="1200" spans="1:16" x14ac:dyDescent="0.25">
      <c r="A1200" t="s">
        <v>16</v>
      </c>
      <c r="B1200" t="s">
        <v>3221</v>
      </c>
      <c r="C1200">
        <v>9680</v>
      </c>
      <c r="D1200" t="s">
        <v>3608</v>
      </c>
      <c r="E1200" t="s">
        <v>2037</v>
      </c>
      <c r="F1200">
        <v>19000</v>
      </c>
      <c r="G1200">
        <v>230712</v>
      </c>
      <c r="H1200">
        <v>4470</v>
      </c>
      <c r="I1200" t="s">
        <v>83</v>
      </c>
      <c r="J1200">
        <v>19000</v>
      </c>
      <c r="K1200">
        <v>0</v>
      </c>
      <c r="L1200">
        <v>59501</v>
      </c>
      <c r="M1200" t="s">
        <v>69</v>
      </c>
      <c r="N1200" t="str">
        <f>"444192      "</f>
        <v xml:space="preserve">444192      </v>
      </c>
      <c r="O1200">
        <v>230719</v>
      </c>
    </row>
    <row r="1201" spans="1:15" x14ac:dyDescent="0.25">
      <c r="A1201" t="s">
        <v>16</v>
      </c>
      <c r="B1201" t="s">
        <v>3221</v>
      </c>
      <c r="C1201">
        <v>9681</v>
      </c>
      <c r="D1201" t="s">
        <v>3608</v>
      </c>
      <c r="E1201" t="s">
        <v>2037</v>
      </c>
      <c r="F1201">
        <v>10380</v>
      </c>
      <c r="G1201">
        <v>230714</v>
      </c>
      <c r="H1201">
        <v>4470</v>
      </c>
      <c r="I1201" t="s">
        <v>83</v>
      </c>
      <c r="J1201">
        <v>10380</v>
      </c>
      <c r="K1201">
        <v>0</v>
      </c>
      <c r="L1201">
        <v>59501</v>
      </c>
      <c r="M1201" t="s">
        <v>69</v>
      </c>
      <c r="N1201" t="str">
        <f>"444199      "</f>
        <v xml:space="preserve">444199      </v>
      </c>
      <c r="O1201">
        <v>230719</v>
      </c>
    </row>
    <row r="1202" spans="1:15" x14ac:dyDescent="0.25">
      <c r="A1202" t="s">
        <v>16</v>
      </c>
      <c r="B1202" t="s">
        <v>3221</v>
      </c>
      <c r="C1202">
        <v>9792</v>
      </c>
      <c r="D1202" t="s">
        <v>3608</v>
      </c>
      <c r="E1202" t="s">
        <v>2037</v>
      </c>
      <c r="F1202">
        <v>6000</v>
      </c>
      <c r="G1202">
        <v>230719</v>
      </c>
      <c r="H1202">
        <v>4470</v>
      </c>
      <c r="I1202" t="s">
        <v>83</v>
      </c>
      <c r="J1202">
        <v>6000</v>
      </c>
      <c r="K1202">
        <v>0</v>
      </c>
      <c r="L1202">
        <v>59501</v>
      </c>
      <c r="M1202" t="s">
        <v>69</v>
      </c>
      <c r="N1202" t="str">
        <f>"444203      "</f>
        <v xml:space="preserve">444203      </v>
      </c>
      <c r="O1202">
        <v>230725</v>
      </c>
    </row>
    <row r="1203" spans="1:15" x14ac:dyDescent="0.25">
      <c r="A1203" t="s">
        <v>16</v>
      </c>
      <c r="B1203" t="s">
        <v>3221</v>
      </c>
      <c r="C1203">
        <v>6915</v>
      </c>
      <c r="D1203" t="s">
        <v>3608</v>
      </c>
      <c r="E1203" t="s">
        <v>2037</v>
      </c>
      <c r="F1203">
        <v>35000</v>
      </c>
      <c r="G1203">
        <v>230515</v>
      </c>
      <c r="H1203">
        <v>4390</v>
      </c>
      <c r="I1203" t="s">
        <v>98</v>
      </c>
      <c r="J1203">
        <v>35000</v>
      </c>
      <c r="K1203">
        <v>0</v>
      </c>
      <c r="L1203">
        <v>59501</v>
      </c>
      <c r="M1203" t="s">
        <v>69</v>
      </c>
      <c r="N1203" t="str">
        <f>"444169      "</f>
        <v xml:space="preserve">444169      </v>
      </c>
      <c r="O1203">
        <v>230523</v>
      </c>
    </row>
    <row r="1204" spans="1:15" x14ac:dyDescent="0.25">
      <c r="A1204" t="s">
        <v>16</v>
      </c>
      <c r="B1204" t="s">
        <v>3221</v>
      </c>
      <c r="C1204">
        <v>7496</v>
      </c>
      <c r="D1204" t="s">
        <v>3608</v>
      </c>
      <c r="E1204" t="s">
        <v>2037</v>
      </c>
      <c r="F1204">
        <v>16000</v>
      </c>
      <c r="G1204">
        <v>230522</v>
      </c>
      <c r="H1204">
        <v>4390</v>
      </c>
      <c r="I1204" t="s">
        <v>98</v>
      </c>
      <c r="J1204">
        <v>16000</v>
      </c>
      <c r="K1204">
        <v>0</v>
      </c>
      <c r="L1204">
        <v>59501</v>
      </c>
      <c r="M1204" t="s">
        <v>69</v>
      </c>
      <c r="N1204" t="str">
        <f>"444170      "</f>
        <v xml:space="preserve">444170      </v>
      </c>
      <c r="O1204">
        <v>230531</v>
      </c>
    </row>
    <row r="1205" spans="1:15" x14ac:dyDescent="0.25">
      <c r="A1205" t="s">
        <v>16</v>
      </c>
      <c r="B1205" t="s">
        <v>3221</v>
      </c>
      <c r="C1205">
        <v>8120</v>
      </c>
      <c r="D1205" t="s">
        <v>3608</v>
      </c>
      <c r="E1205" t="s">
        <v>2037</v>
      </c>
      <c r="F1205">
        <v>15400</v>
      </c>
      <c r="G1205">
        <v>230531</v>
      </c>
      <c r="H1205">
        <v>4390</v>
      </c>
      <c r="I1205" t="s">
        <v>98</v>
      </c>
      <c r="J1205">
        <v>15400</v>
      </c>
      <c r="K1205">
        <v>0</v>
      </c>
      <c r="L1205">
        <v>59501</v>
      </c>
      <c r="M1205" t="s">
        <v>69</v>
      </c>
      <c r="N1205" t="str">
        <f>"444173      "</f>
        <v xml:space="preserve">444173      </v>
      </c>
      <c r="O1205">
        <v>230607</v>
      </c>
    </row>
    <row r="1206" spans="1:15" x14ac:dyDescent="0.25">
      <c r="A1206" t="s">
        <v>16</v>
      </c>
      <c r="B1206" t="s">
        <v>3221</v>
      </c>
      <c r="C1206">
        <v>9055</v>
      </c>
      <c r="D1206" t="s">
        <v>3608</v>
      </c>
      <c r="E1206" t="s">
        <v>2037</v>
      </c>
      <c r="F1206">
        <v>12000</v>
      </c>
      <c r="G1206">
        <v>230613</v>
      </c>
      <c r="H1206">
        <v>4390</v>
      </c>
      <c r="I1206" t="s">
        <v>98</v>
      </c>
      <c r="J1206">
        <v>12000</v>
      </c>
      <c r="K1206">
        <v>0</v>
      </c>
      <c r="L1206">
        <v>59501</v>
      </c>
      <c r="M1206" t="s">
        <v>69</v>
      </c>
      <c r="N1206" t="str">
        <f>"444180      "</f>
        <v xml:space="preserve">444180      </v>
      </c>
      <c r="O1206">
        <v>230622</v>
      </c>
    </row>
    <row r="1207" spans="1:15" x14ac:dyDescent="0.25">
      <c r="A1207" t="s">
        <v>16</v>
      </c>
      <c r="B1207" t="s">
        <v>3221</v>
      </c>
      <c r="C1207">
        <v>9062</v>
      </c>
      <c r="D1207" t="s">
        <v>3608</v>
      </c>
      <c r="E1207" t="s">
        <v>2037</v>
      </c>
      <c r="F1207">
        <v>29500</v>
      </c>
      <c r="G1207">
        <v>230609</v>
      </c>
      <c r="H1207">
        <v>4390</v>
      </c>
      <c r="I1207" t="s">
        <v>98</v>
      </c>
      <c r="J1207">
        <v>29500</v>
      </c>
      <c r="K1207">
        <v>0</v>
      </c>
      <c r="L1207">
        <v>59501</v>
      </c>
      <c r="M1207" t="s">
        <v>69</v>
      </c>
      <c r="N1207" t="str">
        <f>"444177      "</f>
        <v xml:space="preserve">444177      </v>
      </c>
      <c r="O1207">
        <v>230622</v>
      </c>
    </row>
    <row r="1208" spans="1:15" x14ac:dyDescent="0.25">
      <c r="A1208" t="s">
        <v>16</v>
      </c>
      <c r="B1208" t="s">
        <v>3221</v>
      </c>
      <c r="C1208">
        <v>9070</v>
      </c>
      <c r="D1208" t="s">
        <v>3608</v>
      </c>
      <c r="E1208" t="s">
        <v>2037</v>
      </c>
      <c r="F1208">
        <v>25500</v>
      </c>
      <c r="G1208">
        <v>230620</v>
      </c>
      <c r="H1208">
        <v>4390</v>
      </c>
      <c r="I1208" t="s">
        <v>98</v>
      </c>
      <c r="J1208">
        <v>25500</v>
      </c>
      <c r="K1208">
        <v>0</v>
      </c>
      <c r="L1208">
        <v>59501</v>
      </c>
      <c r="M1208" t="s">
        <v>69</v>
      </c>
      <c r="N1208" t="str">
        <f>"444185      "</f>
        <v xml:space="preserve">444185      </v>
      </c>
      <c r="O1208">
        <v>230622</v>
      </c>
    </row>
    <row r="1209" spans="1:15" x14ac:dyDescent="0.25">
      <c r="A1209" t="s">
        <v>16</v>
      </c>
      <c r="B1209" t="s">
        <v>3221</v>
      </c>
      <c r="C1209">
        <v>9478</v>
      </c>
      <c r="D1209" t="s">
        <v>3608</v>
      </c>
      <c r="E1209" t="s">
        <v>2037</v>
      </c>
      <c r="F1209">
        <v>13862</v>
      </c>
      <c r="G1209">
        <v>230702</v>
      </c>
      <c r="H1209">
        <v>4390</v>
      </c>
      <c r="I1209" t="s">
        <v>98</v>
      </c>
      <c r="J1209">
        <v>13862</v>
      </c>
      <c r="K1209">
        <v>0</v>
      </c>
      <c r="L1209">
        <v>59501</v>
      </c>
      <c r="M1209" t="s">
        <v>69</v>
      </c>
      <c r="N1209" t="str">
        <f>"444190      "</f>
        <v xml:space="preserve">444190      </v>
      </c>
      <c r="O1209">
        <v>230711</v>
      </c>
    </row>
    <row r="1210" spans="1:15" x14ac:dyDescent="0.25">
      <c r="A1210" t="s">
        <v>16</v>
      </c>
      <c r="B1210" t="s">
        <v>3221</v>
      </c>
      <c r="C1210">
        <v>10448</v>
      </c>
      <c r="D1210" t="s">
        <v>3608</v>
      </c>
      <c r="E1210" t="s">
        <v>2037</v>
      </c>
      <c r="F1210">
        <v>17600</v>
      </c>
      <c r="G1210">
        <v>230808</v>
      </c>
      <c r="H1210">
        <v>4390</v>
      </c>
      <c r="I1210" t="s">
        <v>98</v>
      </c>
      <c r="J1210">
        <v>17600</v>
      </c>
      <c r="K1210">
        <v>0</v>
      </c>
      <c r="L1210">
        <v>59501</v>
      </c>
      <c r="M1210" t="s">
        <v>69</v>
      </c>
      <c r="N1210" t="str">
        <f>"444210      "</f>
        <v xml:space="preserve">444210      </v>
      </c>
      <c r="O1210">
        <v>230816</v>
      </c>
    </row>
    <row r="1211" spans="1:15" x14ac:dyDescent="0.25">
      <c r="A1211" t="s">
        <v>16</v>
      </c>
      <c r="B1211" t="s">
        <v>3221</v>
      </c>
      <c r="C1211">
        <v>13083</v>
      </c>
      <c r="D1211" t="s">
        <v>3608</v>
      </c>
      <c r="E1211" t="s">
        <v>2037</v>
      </c>
      <c r="F1211">
        <v>5400</v>
      </c>
      <c r="G1211">
        <v>230926</v>
      </c>
      <c r="H1211">
        <v>4390</v>
      </c>
      <c r="I1211" t="s">
        <v>98</v>
      </c>
      <c r="J1211">
        <v>5400</v>
      </c>
      <c r="K1211">
        <v>0</v>
      </c>
      <c r="L1211">
        <v>59501</v>
      </c>
      <c r="M1211" t="s">
        <v>69</v>
      </c>
      <c r="N1211" t="str">
        <f>"444233      "</f>
        <v xml:space="preserve">444233      </v>
      </c>
      <c r="O1211">
        <v>231003</v>
      </c>
    </row>
    <row r="1212" spans="1:15" x14ac:dyDescent="0.25">
      <c r="A1212" t="s">
        <v>16</v>
      </c>
      <c r="B1212" t="s">
        <v>3221</v>
      </c>
      <c r="C1212">
        <v>11493</v>
      </c>
      <c r="D1212" t="s">
        <v>2496</v>
      </c>
      <c r="E1212" t="s">
        <v>2497</v>
      </c>
      <c r="F1212">
        <v>150</v>
      </c>
      <c r="G1212">
        <v>230831</v>
      </c>
      <c r="H1212">
        <v>4347</v>
      </c>
      <c r="I1212" t="s">
        <v>193</v>
      </c>
      <c r="J1212">
        <v>186</v>
      </c>
      <c r="K1212">
        <v>36</v>
      </c>
      <c r="L1212">
        <v>41126</v>
      </c>
      <c r="M1212" t="s">
        <v>761</v>
      </c>
      <c r="N1212" t="str">
        <f>"9201399185  "</f>
        <v xml:space="preserve">9201399185  </v>
      </c>
      <c r="O1212">
        <v>230907</v>
      </c>
    </row>
    <row r="1213" spans="1:15" x14ac:dyDescent="0.25">
      <c r="A1213" t="s">
        <v>16</v>
      </c>
      <c r="B1213" t="s">
        <v>3221</v>
      </c>
      <c r="C1213">
        <v>170</v>
      </c>
      <c r="D1213" t="s">
        <v>259</v>
      </c>
      <c r="E1213" t="s">
        <v>260</v>
      </c>
      <c r="F1213">
        <v>123.2</v>
      </c>
      <c r="G1213">
        <v>230102</v>
      </c>
      <c r="H1213">
        <v>4362</v>
      </c>
      <c r="I1213" t="s">
        <v>79</v>
      </c>
      <c r="J1213">
        <v>152.77000000000001</v>
      </c>
      <c r="K1213">
        <v>29.57</v>
      </c>
      <c r="L1213">
        <v>69501</v>
      </c>
      <c r="M1213" t="s">
        <v>185</v>
      </c>
      <c r="N1213" t="str">
        <f>"300168097   "</f>
        <v xml:space="preserve">300168097   </v>
      </c>
      <c r="O1213">
        <v>230116</v>
      </c>
    </row>
    <row r="1214" spans="1:15" x14ac:dyDescent="0.25">
      <c r="A1214" t="s">
        <v>16</v>
      </c>
      <c r="B1214" t="s">
        <v>3221</v>
      </c>
      <c r="C1214">
        <v>3049</v>
      </c>
      <c r="D1214" t="s">
        <v>259</v>
      </c>
      <c r="E1214" t="s">
        <v>260</v>
      </c>
      <c r="F1214">
        <v>123.2</v>
      </c>
      <c r="G1214">
        <v>230301</v>
      </c>
      <c r="H1214">
        <v>4362</v>
      </c>
      <c r="I1214" t="s">
        <v>79</v>
      </c>
      <c r="J1214">
        <v>152.77000000000001</v>
      </c>
      <c r="K1214">
        <v>29.57</v>
      </c>
      <c r="L1214">
        <v>69501</v>
      </c>
      <c r="M1214" t="s">
        <v>185</v>
      </c>
      <c r="N1214" t="str">
        <f>"300181500   "</f>
        <v xml:space="preserve">300181500   </v>
      </c>
      <c r="O1214">
        <v>230308</v>
      </c>
    </row>
    <row r="1215" spans="1:15" x14ac:dyDescent="0.25">
      <c r="A1215" t="s">
        <v>16</v>
      </c>
      <c r="B1215" t="s">
        <v>3221</v>
      </c>
      <c r="C1215">
        <v>5920</v>
      </c>
      <c r="D1215" t="s">
        <v>259</v>
      </c>
      <c r="E1215" t="s">
        <v>260</v>
      </c>
      <c r="F1215">
        <v>123.2</v>
      </c>
      <c r="G1215">
        <v>230502</v>
      </c>
      <c r="H1215">
        <v>4362</v>
      </c>
      <c r="I1215" t="s">
        <v>79</v>
      </c>
      <c r="J1215">
        <v>152.77000000000001</v>
      </c>
      <c r="K1215">
        <v>29.57</v>
      </c>
      <c r="L1215">
        <v>69501</v>
      </c>
      <c r="M1215" t="s">
        <v>185</v>
      </c>
      <c r="N1215" t="str">
        <f>"300195028   "</f>
        <v xml:space="preserve">300195028   </v>
      </c>
      <c r="O1215">
        <v>230503</v>
      </c>
    </row>
    <row r="1216" spans="1:15" x14ac:dyDescent="0.25">
      <c r="A1216" t="s">
        <v>16</v>
      </c>
      <c r="B1216" t="s">
        <v>3221</v>
      </c>
      <c r="C1216">
        <v>9632</v>
      </c>
      <c r="D1216" t="s">
        <v>259</v>
      </c>
      <c r="E1216" t="s">
        <v>260</v>
      </c>
      <c r="F1216">
        <v>123.2</v>
      </c>
      <c r="G1216">
        <v>230703</v>
      </c>
      <c r="H1216">
        <v>4362</v>
      </c>
      <c r="I1216" t="s">
        <v>79</v>
      </c>
      <c r="J1216">
        <v>152.77000000000001</v>
      </c>
      <c r="K1216">
        <v>29.57</v>
      </c>
      <c r="L1216">
        <v>69501</v>
      </c>
      <c r="M1216" t="s">
        <v>185</v>
      </c>
      <c r="N1216" t="str">
        <f>"300208743   "</f>
        <v xml:space="preserve">300208743   </v>
      </c>
      <c r="O1216">
        <v>230718</v>
      </c>
    </row>
    <row r="1217" spans="1:15" x14ac:dyDescent="0.25">
      <c r="A1217" t="s">
        <v>16</v>
      </c>
      <c r="B1217" t="s">
        <v>3221</v>
      </c>
      <c r="C1217">
        <v>12012</v>
      </c>
      <c r="D1217" t="s">
        <v>259</v>
      </c>
      <c r="E1217" t="s">
        <v>260</v>
      </c>
      <c r="F1217">
        <v>123.2</v>
      </c>
      <c r="G1217">
        <v>230904</v>
      </c>
      <c r="H1217">
        <v>4362</v>
      </c>
      <c r="I1217" t="s">
        <v>79</v>
      </c>
      <c r="J1217">
        <v>152.77000000000001</v>
      </c>
      <c r="K1217">
        <v>29.57</v>
      </c>
      <c r="L1217">
        <v>69501</v>
      </c>
      <c r="M1217" t="s">
        <v>185</v>
      </c>
      <c r="N1217" t="str">
        <f>"300218961   "</f>
        <v xml:space="preserve">300218961   </v>
      </c>
      <c r="O1217">
        <v>230912</v>
      </c>
    </row>
    <row r="1218" spans="1:15" x14ac:dyDescent="0.25">
      <c r="A1218" t="s">
        <v>16</v>
      </c>
      <c r="B1218" t="s">
        <v>3221</v>
      </c>
      <c r="C1218">
        <v>15208</v>
      </c>
      <c r="D1218" t="s">
        <v>259</v>
      </c>
      <c r="E1218" t="s">
        <v>260</v>
      </c>
      <c r="F1218">
        <v>133.91</v>
      </c>
      <c r="G1218">
        <v>231101</v>
      </c>
      <c r="H1218">
        <v>4362</v>
      </c>
      <c r="I1218" t="s">
        <v>79</v>
      </c>
      <c r="J1218">
        <v>166.05</v>
      </c>
      <c r="K1218">
        <v>32.14</v>
      </c>
      <c r="L1218">
        <v>69501</v>
      </c>
      <c r="M1218" t="s">
        <v>185</v>
      </c>
      <c r="N1218" t="str">
        <f>"300232663   "</f>
        <v xml:space="preserve">300232663   </v>
      </c>
      <c r="O1218">
        <v>231109</v>
      </c>
    </row>
    <row r="1219" spans="1:15" x14ac:dyDescent="0.25">
      <c r="A1219" t="s">
        <v>16</v>
      </c>
      <c r="B1219" t="s">
        <v>3221</v>
      </c>
      <c r="C1219">
        <v>9659</v>
      </c>
      <c r="D1219" t="s">
        <v>259</v>
      </c>
      <c r="E1219" t="s">
        <v>260</v>
      </c>
      <c r="F1219">
        <v>150</v>
      </c>
      <c r="G1219">
        <v>230703</v>
      </c>
      <c r="H1219">
        <v>4400</v>
      </c>
      <c r="I1219" t="s">
        <v>348</v>
      </c>
      <c r="J1219">
        <v>186</v>
      </c>
      <c r="K1219">
        <v>36</v>
      </c>
      <c r="L1219">
        <v>69501</v>
      </c>
      <c r="M1219" t="s">
        <v>185</v>
      </c>
      <c r="N1219" t="str">
        <f>"300205621   "</f>
        <v xml:space="preserve">300205621   </v>
      </c>
      <c r="O1219">
        <v>230718</v>
      </c>
    </row>
    <row r="1220" spans="1:15" x14ac:dyDescent="0.25">
      <c r="A1220" t="s">
        <v>16</v>
      </c>
      <c r="B1220" t="s">
        <v>3221</v>
      </c>
      <c r="C1220">
        <v>9271</v>
      </c>
      <c r="D1220" t="s">
        <v>2285</v>
      </c>
      <c r="E1220" t="s">
        <v>2286</v>
      </c>
      <c r="F1220">
        <v>1108.8</v>
      </c>
      <c r="G1220">
        <v>230630</v>
      </c>
      <c r="H1220">
        <v>4440</v>
      </c>
      <c r="I1220" t="s">
        <v>250</v>
      </c>
      <c r="J1220">
        <v>1108.8</v>
      </c>
      <c r="K1220">
        <v>0</v>
      </c>
      <c r="L1220">
        <v>18122</v>
      </c>
      <c r="M1220" t="s">
        <v>407</v>
      </c>
      <c r="N1220" t="str">
        <f>"2027894     "</f>
        <v xml:space="preserve">2027894     </v>
      </c>
      <c r="O1220">
        <v>230703</v>
      </c>
    </row>
    <row r="1221" spans="1:15" x14ac:dyDescent="0.25">
      <c r="A1221" t="s">
        <v>16</v>
      </c>
      <c r="B1221" t="s">
        <v>3221</v>
      </c>
      <c r="C1221">
        <v>19326</v>
      </c>
      <c r="D1221" t="s">
        <v>2285</v>
      </c>
      <c r="E1221" t="s">
        <v>2286</v>
      </c>
      <c r="F1221">
        <v>2328.8000000000002</v>
      </c>
      <c r="G1221">
        <v>240115</v>
      </c>
      <c r="H1221">
        <v>4440</v>
      </c>
      <c r="I1221" t="s">
        <v>250</v>
      </c>
      <c r="J1221">
        <v>2328.8000000000002</v>
      </c>
      <c r="K1221">
        <v>0</v>
      </c>
      <c r="L1221">
        <v>18122</v>
      </c>
      <c r="M1221" t="s">
        <v>407</v>
      </c>
      <c r="N1221" t="str">
        <f>"2031632     "</f>
        <v xml:space="preserve">2031632     </v>
      </c>
      <c r="O1221">
        <v>240117</v>
      </c>
    </row>
    <row r="1222" spans="1:15" x14ac:dyDescent="0.25">
      <c r="A1222" t="s">
        <v>16</v>
      </c>
      <c r="B1222" t="s">
        <v>3221</v>
      </c>
      <c r="C1222">
        <v>9371</v>
      </c>
      <c r="D1222" t="s">
        <v>2291</v>
      </c>
      <c r="E1222" t="s">
        <v>2292</v>
      </c>
      <c r="F1222">
        <v>639.5</v>
      </c>
      <c r="G1222">
        <v>230630</v>
      </c>
      <c r="H1222">
        <v>1196</v>
      </c>
      <c r="I1222" t="s">
        <v>392</v>
      </c>
      <c r="J1222">
        <v>792.98</v>
      </c>
      <c r="K1222">
        <v>153.47999999999999</v>
      </c>
      <c r="L1222">
        <v>97701</v>
      </c>
      <c r="M1222" t="s">
        <v>869</v>
      </c>
      <c r="N1222" t="str">
        <f>"222310432   "</f>
        <v xml:space="preserve">222310432   </v>
      </c>
      <c r="O1222">
        <v>230710</v>
      </c>
    </row>
    <row r="1223" spans="1:15" x14ac:dyDescent="0.25">
      <c r="A1223" t="s">
        <v>16</v>
      </c>
      <c r="B1223" t="s">
        <v>3221</v>
      </c>
      <c r="C1223">
        <v>11610</v>
      </c>
      <c r="D1223" t="s">
        <v>2291</v>
      </c>
      <c r="E1223" t="s">
        <v>2292</v>
      </c>
      <c r="F1223">
        <v>409</v>
      </c>
      <c r="G1223">
        <v>230830</v>
      </c>
      <c r="H1223">
        <v>1196</v>
      </c>
      <c r="I1223" t="s">
        <v>392</v>
      </c>
      <c r="J1223">
        <v>507.16</v>
      </c>
      <c r="K1223">
        <v>98.16</v>
      </c>
      <c r="L1223">
        <v>97701</v>
      </c>
      <c r="M1223" t="s">
        <v>869</v>
      </c>
      <c r="N1223" t="str">
        <f>"222313160   "</f>
        <v xml:space="preserve">222313160   </v>
      </c>
      <c r="O1223">
        <v>230907</v>
      </c>
    </row>
    <row r="1224" spans="1:15" x14ac:dyDescent="0.25">
      <c r="A1224" t="s">
        <v>16</v>
      </c>
      <c r="B1224" t="s">
        <v>3221</v>
      </c>
      <c r="C1224">
        <v>3343</v>
      </c>
      <c r="D1224" t="s">
        <v>1547</v>
      </c>
      <c r="E1224" t="s">
        <v>1548</v>
      </c>
      <c r="F1224">
        <v>4758</v>
      </c>
      <c r="G1224">
        <v>230307</v>
      </c>
      <c r="H1224">
        <v>1196</v>
      </c>
      <c r="I1224" t="s">
        <v>392</v>
      </c>
      <c r="J1224">
        <v>5899.92</v>
      </c>
      <c r="K1224">
        <v>1141.92</v>
      </c>
      <c r="L1224">
        <v>97701</v>
      </c>
      <c r="M1224" t="s">
        <v>869</v>
      </c>
      <c r="N1224" t="str">
        <f>"101135199   "</f>
        <v xml:space="preserve">101135199   </v>
      </c>
      <c r="O1224">
        <v>230315</v>
      </c>
    </row>
    <row r="1225" spans="1:15" x14ac:dyDescent="0.25">
      <c r="A1225" t="s">
        <v>16</v>
      </c>
      <c r="B1225" t="s">
        <v>3221</v>
      </c>
      <c r="C1225">
        <v>6407</v>
      </c>
      <c r="D1225" t="s">
        <v>1547</v>
      </c>
      <c r="E1225" t="s">
        <v>1548</v>
      </c>
      <c r="F1225">
        <v>7400</v>
      </c>
      <c r="G1225">
        <v>230503</v>
      </c>
      <c r="H1225">
        <v>1196</v>
      </c>
      <c r="I1225" t="s">
        <v>392</v>
      </c>
      <c r="J1225">
        <v>9176</v>
      </c>
      <c r="K1225">
        <v>1776</v>
      </c>
      <c r="L1225">
        <v>97701</v>
      </c>
      <c r="M1225" t="s">
        <v>869</v>
      </c>
      <c r="N1225" t="str">
        <f>"101138729   "</f>
        <v xml:space="preserve">101138729   </v>
      </c>
      <c r="O1225">
        <v>230511</v>
      </c>
    </row>
    <row r="1226" spans="1:15" x14ac:dyDescent="0.25">
      <c r="A1226" t="s">
        <v>16</v>
      </c>
      <c r="B1226" t="s">
        <v>3221</v>
      </c>
      <c r="C1226">
        <v>11958</v>
      </c>
      <c r="D1226" t="s">
        <v>2527</v>
      </c>
      <c r="E1226" t="s">
        <v>2528</v>
      </c>
      <c r="F1226">
        <v>720</v>
      </c>
      <c r="G1226">
        <v>230906</v>
      </c>
      <c r="H1226">
        <v>4440</v>
      </c>
      <c r="I1226" t="s">
        <v>250</v>
      </c>
      <c r="J1226">
        <v>892.8</v>
      </c>
      <c r="K1226">
        <v>172.8</v>
      </c>
      <c r="L1226">
        <v>16930</v>
      </c>
      <c r="M1226" t="s">
        <v>450</v>
      </c>
      <c r="N1226" t="str">
        <f>"167         "</f>
        <v xml:space="preserve">167         </v>
      </c>
      <c r="O1226">
        <v>230912</v>
      </c>
    </row>
    <row r="1227" spans="1:15" x14ac:dyDescent="0.25">
      <c r="A1227" t="s">
        <v>16</v>
      </c>
      <c r="B1227" t="s">
        <v>3221</v>
      </c>
      <c r="C1227">
        <v>12554</v>
      </c>
      <c r="D1227" t="s">
        <v>2527</v>
      </c>
      <c r="E1227" t="s">
        <v>2528</v>
      </c>
      <c r="F1227">
        <v>800</v>
      </c>
      <c r="G1227">
        <v>230920</v>
      </c>
      <c r="H1227">
        <v>4440</v>
      </c>
      <c r="I1227" t="s">
        <v>250</v>
      </c>
      <c r="J1227">
        <v>992</v>
      </c>
      <c r="K1227">
        <v>192</v>
      </c>
      <c r="L1227">
        <v>16930</v>
      </c>
      <c r="M1227" t="s">
        <v>450</v>
      </c>
      <c r="N1227" t="str">
        <f>"170         "</f>
        <v xml:space="preserve">170         </v>
      </c>
      <c r="O1227">
        <v>230921</v>
      </c>
    </row>
    <row r="1228" spans="1:15" x14ac:dyDescent="0.25">
      <c r="A1228" t="s">
        <v>16</v>
      </c>
      <c r="B1228" t="s">
        <v>3221</v>
      </c>
      <c r="C1228">
        <v>13037</v>
      </c>
      <c r="D1228" t="s">
        <v>2527</v>
      </c>
      <c r="E1228" t="s">
        <v>2528</v>
      </c>
      <c r="F1228">
        <v>1600</v>
      </c>
      <c r="G1228">
        <v>230929</v>
      </c>
      <c r="H1228">
        <v>4440</v>
      </c>
      <c r="I1228" t="s">
        <v>250</v>
      </c>
      <c r="J1228">
        <v>1984</v>
      </c>
      <c r="K1228">
        <v>384</v>
      </c>
      <c r="L1228">
        <v>16930</v>
      </c>
      <c r="M1228" t="s">
        <v>450</v>
      </c>
      <c r="N1228" t="str">
        <f>"172         "</f>
        <v xml:space="preserve">172         </v>
      </c>
      <c r="O1228">
        <v>231002</v>
      </c>
    </row>
    <row r="1229" spans="1:15" x14ac:dyDescent="0.25">
      <c r="A1229" t="s">
        <v>16</v>
      </c>
      <c r="B1229" t="s">
        <v>3221</v>
      </c>
      <c r="C1229">
        <v>13394</v>
      </c>
      <c r="D1229" t="s">
        <v>2527</v>
      </c>
      <c r="E1229" t="s">
        <v>2528</v>
      </c>
      <c r="F1229">
        <v>800</v>
      </c>
      <c r="G1229">
        <v>231003</v>
      </c>
      <c r="H1229">
        <v>4440</v>
      </c>
      <c r="I1229" t="s">
        <v>250</v>
      </c>
      <c r="J1229">
        <v>992</v>
      </c>
      <c r="K1229">
        <v>192</v>
      </c>
      <c r="L1229">
        <v>16930</v>
      </c>
      <c r="M1229" t="s">
        <v>450</v>
      </c>
      <c r="N1229" t="str">
        <f>"173         "</f>
        <v xml:space="preserve">173         </v>
      </c>
      <c r="O1229">
        <v>231010</v>
      </c>
    </row>
    <row r="1230" spans="1:15" x14ac:dyDescent="0.25">
      <c r="A1230" t="s">
        <v>16</v>
      </c>
      <c r="B1230" t="s">
        <v>3221</v>
      </c>
      <c r="C1230">
        <v>14670</v>
      </c>
      <c r="D1230" t="s">
        <v>2527</v>
      </c>
      <c r="E1230" t="s">
        <v>2528</v>
      </c>
      <c r="F1230">
        <v>1040</v>
      </c>
      <c r="G1230">
        <v>231026</v>
      </c>
      <c r="H1230">
        <v>4440</v>
      </c>
      <c r="I1230" t="s">
        <v>250</v>
      </c>
      <c r="J1230">
        <v>1289.5999999999999</v>
      </c>
      <c r="K1230">
        <v>249.6</v>
      </c>
      <c r="L1230">
        <v>16930</v>
      </c>
      <c r="M1230" t="s">
        <v>450</v>
      </c>
      <c r="N1230" t="str">
        <f>"176         "</f>
        <v xml:space="preserve">176         </v>
      </c>
      <c r="O1230">
        <v>231031</v>
      </c>
    </row>
    <row r="1231" spans="1:15" x14ac:dyDescent="0.25">
      <c r="A1231" t="s">
        <v>16</v>
      </c>
      <c r="B1231" t="s">
        <v>3221</v>
      </c>
      <c r="C1231">
        <v>15886</v>
      </c>
      <c r="D1231" t="s">
        <v>2527</v>
      </c>
      <c r="E1231" t="s">
        <v>2528</v>
      </c>
      <c r="F1231">
        <v>1440</v>
      </c>
      <c r="G1231">
        <v>231115</v>
      </c>
      <c r="H1231">
        <v>4440</v>
      </c>
      <c r="I1231" t="s">
        <v>250</v>
      </c>
      <c r="J1231">
        <v>1785.6</v>
      </c>
      <c r="K1231">
        <v>345.6</v>
      </c>
      <c r="L1231">
        <v>16930</v>
      </c>
      <c r="M1231" t="s">
        <v>450</v>
      </c>
      <c r="N1231" t="str">
        <f>"179         "</f>
        <v xml:space="preserve">179         </v>
      </c>
      <c r="O1231">
        <v>231121</v>
      </c>
    </row>
    <row r="1232" spans="1:15" x14ac:dyDescent="0.25">
      <c r="A1232" t="s">
        <v>16</v>
      </c>
      <c r="B1232" t="s">
        <v>3221</v>
      </c>
      <c r="C1232">
        <v>16414</v>
      </c>
      <c r="D1232" t="s">
        <v>2527</v>
      </c>
      <c r="E1232" t="s">
        <v>2528</v>
      </c>
      <c r="F1232">
        <v>400</v>
      </c>
      <c r="G1232">
        <v>231123</v>
      </c>
      <c r="H1232">
        <v>4440</v>
      </c>
      <c r="I1232" t="s">
        <v>250</v>
      </c>
      <c r="J1232">
        <v>496</v>
      </c>
      <c r="K1232">
        <v>96</v>
      </c>
      <c r="L1232">
        <v>16930</v>
      </c>
      <c r="M1232" t="s">
        <v>450</v>
      </c>
      <c r="N1232" t="str">
        <f>"181         "</f>
        <v xml:space="preserve">181         </v>
      </c>
      <c r="O1232">
        <v>231129</v>
      </c>
    </row>
    <row r="1233" spans="1:15" x14ac:dyDescent="0.25">
      <c r="A1233" t="s">
        <v>16</v>
      </c>
      <c r="B1233" t="s">
        <v>3221</v>
      </c>
      <c r="C1233">
        <v>18431</v>
      </c>
      <c r="D1233" t="s">
        <v>2527</v>
      </c>
      <c r="E1233" t="s">
        <v>2528</v>
      </c>
      <c r="F1233">
        <v>1400</v>
      </c>
      <c r="G1233">
        <v>240102</v>
      </c>
      <c r="H1233">
        <v>4440</v>
      </c>
      <c r="I1233" t="s">
        <v>250</v>
      </c>
      <c r="J1233">
        <v>1736</v>
      </c>
      <c r="K1233">
        <v>336</v>
      </c>
      <c r="L1233">
        <v>16930</v>
      </c>
      <c r="M1233" t="s">
        <v>450</v>
      </c>
      <c r="N1233" t="str">
        <f>"191         "</f>
        <v xml:space="preserve">191         </v>
      </c>
      <c r="O1233">
        <v>240103</v>
      </c>
    </row>
    <row r="1234" spans="1:15" x14ac:dyDescent="0.25">
      <c r="A1234" t="s">
        <v>16</v>
      </c>
      <c r="B1234" t="s">
        <v>3221</v>
      </c>
      <c r="C1234">
        <v>16882</v>
      </c>
      <c r="D1234" t="s">
        <v>1392</v>
      </c>
      <c r="E1234" t="s">
        <v>1393</v>
      </c>
      <c r="F1234">
        <v>532.26</v>
      </c>
      <c r="G1234">
        <v>231130</v>
      </c>
      <c r="H1234">
        <v>4580</v>
      </c>
      <c r="I1234" t="s">
        <v>35</v>
      </c>
      <c r="J1234">
        <v>660</v>
      </c>
      <c r="K1234">
        <v>127.74</v>
      </c>
      <c r="L1234">
        <v>17737</v>
      </c>
      <c r="M1234" t="s">
        <v>279</v>
      </c>
      <c r="N1234" t="str">
        <f>"883010910   "</f>
        <v xml:space="preserve">883010910   </v>
      </c>
      <c r="O1234">
        <v>231211</v>
      </c>
    </row>
    <row r="1235" spans="1:15" x14ac:dyDescent="0.25">
      <c r="A1235" t="s">
        <v>16</v>
      </c>
      <c r="B1235" t="s">
        <v>3221</v>
      </c>
      <c r="C1235">
        <v>4957</v>
      </c>
      <c r="D1235" t="s">
        <v>1392</v>
      </c>
      <c r="E1235" t="s">
        <v>1393</v>
      </c>
      <c r="F1235">
        <v>11975</v>
      </c>
      <c r="G1235">
        <v>230406</v>
      </c>
      <c r="H1235">
        <v>1198</v>
      </c>
      <c r="I1235" t="s">
        <v>1128</v>
      </c>
      <c r="J1235">
        <v>14849</v>
      </c>
      <c r="K1235">
        <v>2874</v>
      </c>
      <c r="L1235">
        <v>97628</v>
      </c>
      <c r="M1235" t="s">
        <v>1772</v>
      </c>
      <c r="N1235" t="str">
        <f>"773005254   "</f>
        <v xml:space="preserve">773005254   </v>
      </c>
      <c r="O1235">
        <v>230414</v>
      </c>
    </row>
    <row r="1236" spans="1:15" x14ac:dyDescent="0.25">
      <c r="A1236" t="s">
        <v>16</v>
      </c>
      <c r="B1236" t="s">
        <v>3221</v>
      </c>
      <c r="C1236">
        <v>19004</v>
      </c>
      <c r="D1236" t="s">
        <v>1392</v>
      </c>
      <c r="E1236" t="s">
        <v>1393</v>
      </c>
      <c r="F1236">
        <v>340.44</v>
      </c>
      <c r="G1236">
        <v>231229</v>
      </c>
      <c r="H1236">
        <v>4400</v>
      </c>
      <c r="I1236" t="s">
        <v>348</v>
      </c>
      <c r="J1236">
        <v>422.14</v>
      </c>
      <c r="K1236">
        <v>81.7</v>
      </c>
      <c r="L1236">
        <v>67554</v>
      </c>
      <c r="M1236" t="s">
        <v>60</v>
      </c>
      <c r="N1236" t="str">
        <f>"823005983   "</f>
        <v xml:space="preserve">823005983   </v>
      </c>
      <c r="O1236">
        <v>240109</v>
      </c>
    </row>
    <row r="1237" spans="1:15" x14ac:dyDescent="0.25">
      <c r="A1237" t="s">
        <v>16</v>
      </c>
      <c r="B1237" t="s">
        <v>3221</v>
      </c>
      <c r="C1237">
        <v>2421</v>
      </c>
      <c r="D1237" t="s">
        <v>1392</v>
      </c>
      <c r="E1237" t="s">
        <v>1393</v>
      </c>
      <c r="F1237">
        <v>646.04</v>
      </c>
      <c r="G1237">
        <v>230210</v>
      </c>
      <c r="H1237">
        <v>4600</v>
      </c>
      <c r="I1237" t="s">
        <v>105</v>
      </c>
      <c r="J1237">
        <v>801.09</v>
      </c>
      <c r="K1237">
        <v>155.05000000000001</v>
      </c>
      <c r="L1237">
        <v>67522</v>
      </c>
      <c r="M1237" t="s">
        <v>397</v>
      </c>
      <c r="N1237" t="str">
        <f>"823004909   "</f>
        <v xml:space="preserve">823004909   </v>
      </c>
      <c r="O1237">
        <v>230227</v>
      </c>
    </row>
    <row r="1238" spans="1:15" x14ac:dyDescent="0.25">
      <c r="A1238" t="s">
        <v>16</v>
      </c>
      <c r="B1238" t="s">
        <v>3221</v>
      </c>
      <c r="C1238">
        <v>7916</v>
      </c>
      <c r="D1238" t="s">
        <v>1392</v>
      </c>
      <c r="E1238" t="s">
        <v>1393</v>
      </c>
      <c r="F1238">
        <v>399.28</v>
      </c>
      <c r="G1238">
        <v>230531</v>
      </c>
      <c r="H1238">
        <v>4600</v>
      </c>
      <c r="I1238" t="s">
        <v>105</v>
      </c>
      <c r="J1238">
        <v>495.11</v>
      </c>
      <c r="K1238">
        <v>95.83</v>
      </c>
      <c r="L1238">
        <v>67554</v>
      </c>
      <c r="M1238" t="s">
        <v>60</v>
      </c>
      <c r="N1238" t="str">
        <f>"823005204   "</f>
        <v xml:space="preserve">823005204   </v>
      </c>
      <c r="O1238">
        <v>230605</v>
      </c>
    </row>
    <row r="1239" spans="1:15" x14ac:dyDescent="0.25">
      <c r="A1239" t="s">
        <v>16</v>
      </c>
      <c r="B1239" t="s">
        <v>3221</v>
      </c>
      <c r="C1239">
        <v>12093</v>
      </c>
      <c r="D1239" t="s">
        <v>1392</v>
      </c>
      <c r="E1239" t="s">
        <v>1393</v>
      </c>
      <c r="F1239">
        <v>241.34</v>
      </c>
      <c r="G1239">
        <v>230911</v>
      </c>
      <c r="H1239">
        <v>4600</v>
      </c>
      <c r="I1239" t="s">
        <v>105</v>
      </c>
      <c r="J1239">
        <v>299.26</v>
      </c>
      <c r="K1239">
        <v>57.92</v>
      </c>
      <c r="L1239">
        <v>67554</v>
      </c>
      <c r="M1239" t="s">
        <v>60</v>
      </c>
      <c r="N1239" t="str">
        <f>"823005462   "</f>
        <v xml:space="preserve">823005462   </v>
      </c>
      <c r="O1239">
        <v>230913</v>
      </c>
    </row>
    <row r="1240" spans="1:15" x14ac:dyDescent="0.25">
      <c r="A1240" t="s">
        <v>16</v>
      </c>
      <c r="B1240" t="s">
        <v>3221</v>
      </c>
      <c r="C1240">
        <v>15879</v>
      </c>
      <c r="D1240" t="s">
        <v>1392</v>
      </c>
      <c r="E1240" t="s">
        <v>1393</v>
      </c>
      <c r="F1240">
        <v>345.96</v>
      </c>
      <c r="G1240">
        <v>231031</v>
      </c>
      <c r="H1240">
        <v>4600</v>
      </c>
      <c r="I1240" t="s">
        <v>105</v>
      </c>
      <c r="J1240">
        <v>428.99</v>
      </c>
      <c r="K1240">
        <v>83.03</v>
      </c>
      <c r="L1240">
        <v>67554</v>
      </c>
      <c r="M1240" t="s">
        <v>60</v>
      </c>
      <c r="N1240" t="str">
        <f>"823005755   "</f>
        <v xml:space="preserve">823005755   </v>
      </c>
      <c r="O1240">
        <v>231121</v>
      </c>
    </row>
    <row r="1241" spans="1:15" x14ac:dyDescent="0.25">
      <c r="A1241" t="s">
        <v>16</v>
      </c>
      <c r="B1241" t="s">
        <v>3221</v>
      </c>
      <c r="C1241">
        <v>18595</v>
      </c>
      <c r="D1241" t="s">
        <v>1392</v>
      </c>
      <c r="E1241" t="s">
        <v>1393</v>
      </c>
      <c r="F1241">
        <v>127.01</v>
      </c>
      <c r="G1241">
        <v>231215</v>
      </c>
      <c r="H1241">
        <v>4600</v>
      </c>
      <c r="I1241" t="s">
        <v>105</v>
      </c>
      <c r="J1241">
        <v>157.49</v>
      </c>
      <c r="K1241">
        <v>30.48</v>
      </c>
      <c r="L1241">
        <v>67554</v>
      </c>
      <c r="M1241" t="s">
        <v>60</v>
      </c>
      <c r="N1241" t="str">
        <f>"823005924   "</f>
        <v xml:space="preserve">823005924   </v>
      </c>
      <c r="O1241">
        <v>240104</v>
      </c>
    </row>
    <row r="1242" spans="1:15" x14ac:dyDescent="0.25">
      <c r="A1242" t="s">
        <v>16</v>
      </c>
      <c r="B1242" t="s">
        <v>3221</v>
      </c>
      <c r="C1242">
        <v>2421</v>
      </c>
      <c r="D1242" t="s">
        <v>1392</v>
      </c>
      <c r="E1242" t="s">
        <v>1393</v>
      </c>
      <c r="F1242">
        <v>561.45000000000005</v>
      </c>
      <c r="G1242">
        <v>230210</v>
      </c>
      <c r="H1242">
        <v>4560</v>
      </c>
      <c r="I1242" t="s">
        <v>345</v>
      </c>
      <c r="J1242">
        <v>696.2</v>
      </c>
      <c r="K1242">
        <v>134.75</v>
      </c>
      <c r="L1242">
        <v>67522</v>
      </c>
      <c r="M1242" t="s">
        <v>397</v>
      </c>
      <c r="N1242" t="str">
        <f>"823004909   "</f>
        <v xml:space="preserve">823004909   </v>
      </c>
      <c r="O1242">
        <v>230227</v>
      </c>
    </row>
    <row r="1243" spans="1:15" x14ac:dyDescent="0.25">
      <c r="A1243" t="s">
        <v>16</v>
      </c>
      <c r="B1243" t="s">
        <v>3221</v>
      </c>
      <c r="C1243">
        <v>107</v>
      </c>
      <c r="D1243" t="s">
        <v>141</v>
      </c>
      <c r="E1243" t="s">
        <v>142</v>
      </c>
      <c r="F1243">
        <v>6400</v>
      </c>
      <c r="G1243">
        <v>230101</v>
      </c>
      <c r="H1243">
        <v>4362</v>
      </c>
      <c r="I1243" t="s">
        <v>79</v>
      </c>
      <c r="J1243">
        <v>7936</v>
      </c>
      <c r="K1243">
        <v>1536</v>
      </c>
      <c r="L1243">
        <v>11801</v>
      </c>
      <c r="M1243" t="s">
        <v>92</v>
      </c>
      <c r="N1243" t="str">
        <f>"2077        "</f>
        <v xml:space="preserve">2077        </v>
      </c>
      <c r="O1243">
        <v>230111</v>
      </c>
    </row>
    <row r="1244" spans="1:15" x14ac:dyDescent="0.25">
      <c r="A1244" t="s">
        <v>16</v>
      </c>
      <c r="B1244" t="s">
        <v>3221</v>
      </c>
      <c r="C1244">
        <v>594</v>
      </c>
      <c r="D1244" t="s">
        <v>629</v>
      </c>
      <c r="E1244" t="s">
        <v>630</v>
      </c>
      <c r="F1244">
        <v>184.16</v>
      </c>
      <c r="G1244">
        <v>230120</v>
      </c>
      <c r="H1244">
        <v>4420</v>
      </c>
      <c r="I1244" t="s">
        <v>132</v>
      </c>
      <c r="J1244">
        <v>228.36</v>
      </c>
      <c r="K1244">
        <v>44.2</v>
      </c>
      <c r="L1244">
        <v>67554</v>
      </c>
      <c r="M1244" t="s">
        <v>60</v>
      </c>
      <c r="N1244" t="str">
        <f>"105493      "</f>
        <v xml:space="preserve">105493      </v>
      </c>
      <c r="O1244">
        <v>230125</v>
      </c>
    </row>
    <row r="1245" spans="1:15" x14ac:dyDescent="0.25">
      <c r="A1245" t="s">
        <v>16</v>
      </c>
      <c r="B1245" t="s">
        <v>3221</v>
      </c>
      <c r="C1245">
        <v>19356</v>
      </c>
      <c r="D1245" t="s">
        <v>629</v>
      </c>
      <c r="E1245" t="s">
        <v>630</v>
      </c>
      <c r="F1245">
        <v>127.2</v>
      </c>
      <c r="G1245">
        <v>240117</v>
      </c>
      <c r="H1245">
        <v>4420</v>
      </c>
      <c r="I1245" t="s">
        <v>132</v>
      </c>
      <c r="J1245">
        <v>157.72999999999999</v>
      </c>
      <c r="K1245">
        <v>30.53</v>
      </c>
      <c r="L1245">
        <v>67554</v>
      </c>
      <c r="M1245" t="s">
        <v>60</v>
      </c>
      <c r="N1245" t="str">
        <f>"564         "</f>
        <v xml:space="preserve">564         </v>
      </c>
      <c r="O1245">
        <v>240118</v>
      </c>
    </row>
    <row r="1246" spans="1:15" x14ac:dyDescent="0.25">
      <c r="A1246" t="s">
        <v>16</v>
      </c>
      <c r="B1246" t="s">
        <v>3221</v>
      </c>
      <c r="C1246">
        <v>11191</v>
      </c>
      <c r="D1246" t="s">
        <v>2448</v>
      </c>
      <c r="E1246" t="s">
        <v>2449</v>
      </c>
      <c r="F1246">
        <v>1584</v>
      </c>
      <c r="G1246">
        <v>230829</v>
      </c>
      <c r="H1246">
        <v>4560</v>
      </c>
      <c r="I1246" t="s">
        <v>345</v>
      </c>
      <c r="J1246">
        <v>1964.16</v>
      </c>
      <c r="K1246">
        <v>380.16</v>
      </c>
      <c r="L1246">
        <v>47522</v>
      </c>
      <c r="M1246" t="s">
        <v>410</v>
      </c>
      <c r="N1246" t="str">
        <f>"3386        "</f>
        <v xml:space="preserve">3386        </v>
      </c>
      <c r="O1246">
        <v>230831</v>
      </c>
    </row>
    <row r="1247" spans="1:15" x14ac:dyDescent="0.25">
      <c r="A1247" t="s">
        <v>16</v>
      </c>
      <c r="B1247" t="s">
        <v>3221</v>
      </c>
      <c r="C1247">
        <v>3776</v>
      </c>
      <c r="D1247" t="s">
        <v>3405</v>
      </c>
      <c r="E1247" t="s">
        <v>3406</v>
      </c>
      <c r="F1247">
        <v>211.82</v>
      </c>
      <c r="G1247">
        <v>230316</v>
      </c>
      <c r="H1247">
        <v>4440</v>
      </c>
      <c r="I1247" t="s">
        <v>250</v>
      </c>
      <c r="J1247">
        <v>233</v>
      </c>
      <c r="K1247">
        <v>21.18</v>
      </c>
      <c r="L1247">
        <v>13802</v>
      </c>
      <c r="M1247" t="s">
        <v>200</v>
      </c>
      <c r="N1247" t="str">
        <f>"1675        "</f>
        <v xml:space="preserve">1675        </v>
      </c>
      <c r="O1247">
        <v>230322</v>
      </c>
    </row>
    <row r="1248" spans="1:15" x14ac:dyDescent="0.25">
      <c r="A1248" t="s">
        <v>16</v>
      </c>
      <c r="B1248" t="s">
        <v>3221</v>
      </c>
      <c r="C1248">
        <v>1777</v>
      </c>
      <c r="D1248" t="s">
        <v>3358</v>
      </c>
      <c r="E1248" t="s">
        <v>3359</v>
      </c>
      <c r="F1248">
        <v>48.25</v>
      </c>
      <c r="G1248">
        <v>230131</v>
      </c>
      <c r="H1248">
        <v>4410</v>
      </c>
      <c r="I1248" t="s">
        <v>517</v>
      </c>
      <c r="J1248">
        <v>55</v>
      </c>
      <c r="K1248">
        <v>6.75</v>
      </c>
      <c r="L1248">
        <v>11905</v>
      </c>
      <c r="M1248" t="s">
        <v>39</v>
      </c>
      <c r="N1248" t="str">
        <f>"23370004    "</f>
        <v xml:space="preserve">23370004    </v>
      </c>
      <c r="O1248">
        <v>230214</v>
      </c>
    </row>
    <row r="1249" spans="1:15" x14ac:dyDescent="0.25">
      <c r="A1249" t="s">
        <v>16</v>
      </c>
      <c r="B1249" t="s">
        <v>3221</v>
      </c>
      <c r="C1249">
        <v>4127</v>
      </c>
      <c r="D1249" t="s">
        <v>3358</v>
      </c>
      <c r="E1249" t="s">
        <v>3359</v>
      </c>
      <c r="F1249">
        <v>315.79000000000002</v>
      </c>
      <c r="G1249">
        <v>230323</v>
      </c>
      <c r="H1249">
        <v>4410</v>
      </c>
      <c r="I1249" t="s">
        <v>517</v>
      </c>
      <c r="J1249">
        <v>360</v>
      </c>
      <c r="K1249">
        <v>44.21</v>
      </c>
      <c r="L1249">
        <v>11905</v>
      </c>
      <c r="M1249" t="s">
        <v>39</v>
      </c>
      <c r="N1249" t="str">
        <f>"23370011    "</f>
        <v xml:space="preserve">23370011    </v>
      </c>
      <c r="O1249">
        <v>230330</v>
      </c>
    </row>
    <row r="1250" spans="1:15" x14ac:dyDescent="0.25">
      <c r="A1250" t="s">
        <v>16</v>
      </c>
      <c r="B1250" t="s">
        <v>3221</v>
      </c>
      <c r="C1250">
        <v>5466</v>
      </c>
      <c r="D1250" t="s">
        <v>3358</v>
      </c>
      <c r="E1250" t="s">
        <v>3359</v>
      </c>
      <c r="F1250">
        <v>243.42</v>
      </c>
      <c r="G1250">
        <v>230401</v>
      </c>
      <c r="H1250">
        <v>4410</v>
      </c>
      <c r="I1250" t="s">
        <v>517</v>
      </c>
      <c r="J1250">
        <v>277.5</v>
      </c>
      <c r="K1250">
        <v>34.08</v>
      </c>
      <c r="L1250">
        <v>11905</v>
      </c>
      <c r="M1250" t="s">
        <v>39</v>
      </c>
      <c r="N1250" t="str">
        <f>"23370018    "</f>
        <v xml:space="preserve">23370018    </v>
      </c>
      <c r="O1250">
        <v>230425</v>
      </c>
    </row>
    <row r="1251" spans="1:15" x14ac:dyDescent="0.25">
      <c r="A1251" t="s">
        <v>16</v>
      </c>
      <c r="B1251" t="s">
        <v>3221</v>
      </c>
      <c r="C1251">
        <v>14046</v>
      </c>
      <c r="D1251" t="s">
        <v>3358</v>
      </c>
      <c r="E1251" t="s">
        <v>3359</v>
      </c>
      <c r="F1251">
        <v>376.32</v>
      </c>
      <c r="G1251">
        <v>230930</v>
      </c>
      <c r="H1251">
        <v>4410</v>
      </c>
      <c r="I1251" t="s">
        <v>517</v>
      </c>
      <c r="J1251">
        <v>429</v>
      </c>
      <c r="K1251">
        <v>52.68</v>
      </c>
      <c r="L1251">
        <v>11903</v>
      </c>
      <c r="M1251" t="s">
        <v>406</v>
      </c>
      <c r="N1251" t="str">
        <f>"23370054    "</f>
        <v xml:space="preserve">23370054    </v>
      </c>
      <c r="O1251">
        <v>231018</v>
      </c>
    </row>
    <row r="1252" spans="1:15" x14ac:dyDescent="0.25">
      <c r="A1252" t="s">
        <v>16</v>
      </c>
      <c r="B1252" t="s">
        <v>3221</v>
      </c>
      <c r="C1252">
        <v>16265</v>
      </c>
      <c r="D1252" t="s">
        <v>3358</v>
      </c>
      <c r="E1252" t="s">
        <v>3359</v>
      </c>
      <c r="F1252">
        <v>375</v>
      </c>
      <c r="G1252">
        <v>231121</v>
      </c>
      <c r="H1252">
        <v>4441</v>
      </c>
      <c r="I1252" t="s">
        <v>109</v>
      </c>
      <c r="J1252">
        <v>375</v>
      </c>
      <c r="K1252">
        <v>0</v>
      </c>
      <c r="L1252">
        <v>66722</v>
      </c>
      <c r="M1252" t="s">
        <v>518</v>
      </c>
      <c r="N1252" t="str">
        <f>"23300237    "</f>
        <v xml:space="preserve">23300237    </v>
      </c>
      <c r="O1252">
        <v>231127</v>
      </c>
    </row>
    <row r="1253" spans="1:15" x14ac:dyDescent="0.25">
      <c r="A1253" t="s">
        <v>16</v>
      </c>
      <c r="B1253" t="s">
        <v>3221</v>
      </c>
      <c r="C1253">
        <v>11275</v>
      </c>
      <c r="D1253" t="s">
        <v>1056</v>
      </c>
      <c r="E1253" t="s">
        <v>1057</v>
      </c>
      <c r="F1253">
        <v>30.07</v>
      </c>
      <c r="G1253">
        <v>230829</v>
      </c>
      <c r="H1253">
        <v>4580</v>
      </c>
      <c r="I1253" t="s">
        <v>35</v>
      </c>
      <c r="J1253">
        <v>37.29</v>
      </c>
      <c r="K1253">
        <v>7.22</v>
      </c>
      <c r="L1253">
        <v>17527</v>
      </c>
      <c r="M1253" t="s">
        <v>422</v>
      </c>
      <c r="N1253" t="str">
        <f>"68646387    "</f>
        <v xml:space="preserve">68646387    </v>
      </c>
      <c r="O1253">
        <v>230904</v>
      </c>
    </row>
    <row r="1254" spans="1:15" x14ac:dyDescent="0.25">
      <c r="A1254" t="s">
        <v>16</v>
      </c>
      <c r="B1254" t="s">
        <v>3221</v>
      </c>
      <c r="C1254">
        <v>12471</v>
      </c>
      <c r="D1254" t="s">
        <v>1056</v>
      </c>
      <c r="E1254" t="s">
        <v>1057</v>
      </c>
      <c r="F1254">
        <v>65.84</v>
      </c>
      <c r="G1254">
        <v>230905</v>
      </c>
      <c r="H1254">
        <v>4580</v>
      </c>
      <c r="I1254" t="s">
        <v>35</v>
      </c>
      <c r="J1254">
        <v>81.64</v>
      </c>
      <c r="K1254">
        <v>15.8</v>
      </c>
      <c r="L1254">
        <v>17527</v>
      </c>
      <c r="M1254" t="s">
        <v>422</v>
      </c>
      <c r="N1254" t="str">
        <f>"68665306    "</f>
        <v xml:space="preserve">68665306    </v>
      </c>
      <c r="O1254">
        <v>230920</v>
      </c>
    </row>
    <row r="1255" spans="1:15" x14ac:dyDescent="0.25">
      <c r="A1255" t="s">
        <v>16</v>
      </c>
      <c r="B1255" t="s">
        <v>3221</v>
      </c>
      <c r="C1255">
        <v>12481</v>
      </c>
      <c r="D1255" t="s">
        <v>1056</v>
      </c>
      <c r="E1255" t="s">
        <v>1057</v>
      </c>
      <c r="F1255">
        <v>157.88</v>
      </c>
      <c r="G1255">
        <v>230912</v>
      </c>
      <c r="H1255">
        <v>4580</v>
      </c>
      <c r="I1255" t="s">
        <v>35</v>
      </c>
      <c r="J1255">
        <v>195.77</v>
      </c>
      <c r="K1255">
        <v>37.89</v>
      </c>
      <c r="L1255">
        <v>17638</v>
      </c>
      <c r="M1255" t="s">
        <v>765</v>
      </c>
      <c r="N1255" t="str">
        <f>"68683247    "</f>
        <v xml:space="preserve">68683247    </v>
      </c>
      <c r="O1255">
        <v>230920</v>
      </c>
    </row>
    <row r="1256" spans="1:15" x14ac:dyDescent="0.25">
      <c r="A1256" t="s">
        <v>16</v>
      </c>
      <c r="B1256" t="s">
        <v>3221</v>
      </c>
      <c r="C1256">
        <v>12558</v>
      </c>
      <c r="D1256" t="s">
        <v>1056</v>
      </c>
      <c r="E1256" t="s">
        <v>1057</v>
      </c>
      <c r="F1256">
        <v>86.38</v>
      </c>
      <c r="G1256">
        <v>230919</v>
      </c>
      <c r="H1256">
        <v>4580</v>
      </c>
      <c r="I1256" t="s">
        <v>35</v>
      </c>
      <c r="J1256">
        <v>107.11</v>
      </c>
      <c r="K1256">
        <v>20.73</v>
      </c>
      <c r="L1256">
        <v>17527</v>
      </c>
      <c r="M1256" t="s">
        <v>422</v>
      </c>
      <c r="N1256" t="str">
        <f>"68703248    "</f>
        <v xml:space="preserve">68703248    </v>
      </c>
      <c r="O1256">
        <v>230921</v>
      </c>
    </row>
    <row r="1257" spans="1:15" x14ac:dyDescent="0.25">
      <c r="A1257" t="s">
        <v>16</v>
      </c>
      <c r="B1257" t="s">
        <v>3221</v>
      </c>
      <c r="C1257">
        <v>14301</v>
      </c>
      <c r="D1257" t="s">
        <v>1056</v>
      </c>
      <c r="E1257" t="s">
        <v>1057</v>
      </c>
      <c r="F1257">
        <v>32.92</v>
      </c>
      <c r="G1257">
        <v>230930</v>
      </c>
      <c r="H1257">
        <v>4580</v>
      </c>
      <c r="I1257" t="s">
        <v>35</v>
      </c>
      <c r="J1257">
        <v>40.82</v>
      </c>
      <c r="K1257">
        <v>7.9</v>
      </c>
      <c r="L1257">
        <v>17527</v>
      </c>
      <c r="M1257" t="s">
        <v>422</v>
      </c>
      <c r="N1257" t="str">
        <f>"68737335    "</f>
        <v xml:space="preserve">68737335    </v>
      </c>
      <c r="O1257">
        <v>231026</v>
      </c>
    </row>
    <row r="1258" spans="1:15" x14ac:dyDescent="0.25">
      <c r="A1258" t="s">
        <v>16</v>
      </c>
      <c r="B1258" t="s">
        <v>3221</v>
      </c>
      <c r="C1258">
        <v>14302</v>
      </c>
      <c r="D1258" t="s">
        <v>1056</v>
      </c>
      <c r="E1258" t="s">
        <v>1057</v>
      </c>
      <c r="F1258">
        <v>119.23</v>
      </c>
      <c r="G1258">
        <v>231003</v>
      </c>
      <c r="H1258">
        <v>4580</v>
      </c>
      <c r="I1258" t="s">
        <v>35</v>
      </c>
      <c r="J1258">
        <v>147.85</v>
      </c>
      <c r="K1258">
        <v>28.62</v>
      </c>
      <c r="L1258">
        <v>17527</v>
      </c>
      <c r="M1258" t="s">
        <v>422</v>
      </c>
      <c r="N1258" t="str">
        <f>"68741770    "</f>
        <v xml:space="preserve">68741770    </v>
      </c>
      <c r="O1258">
        <v>231026</v>
      </c>
    </row>
    <row r="1259" spans="1:15" x14ac:dyDescent="0.25">
      <c r="A1259" t="s">
        <v>16</v>
      </c>
      <c r="B1259" t="s">
        <v>3221</v>
      </c>
      <c r="C1259">
        <v>14492</v>
      </c>
      <c r="D1259" t="s">
        <v>1056</v>
      </c>
      <c r="E1259" t="s">
        <v>1057</v>
      </c>
      <c r="F1259">
        <v>147.22999999999999</v>
      </c>
      <c r="G1259">
        <v>231024</v>
      </c>
      <c r="H1259">
        <v>4580</v>
      </c>
      <c r="I1259" t="s">
        <v>35</v>
      </c>
      <c r="J1259">
        <v>182.57</v>
      </c>
      <c r="K1259">
        <v>35.340000000000003</v>
      </c>
      <c r="L1259">
        <v>17527</v>
      </c>
      <c r="M1259" t="s">
        <v>422</v>
      </c>
      <c r="N1259" t="str">
        <f>"68797153    "</f>
        <v xml:space="preserve">68797153    </v>
      </c>
      <c r="O1259">
        <v>231030</v>
      </c>
    </row>
    <row r="1260" spans="1:15" x14ac:dyDescent="0.25">
      <c r="A1260" t="s">
        <v>16</v>
      </c>
      <c r="B1260" t="s">
        <v>3221</v>
      </c>
      <c r="C1260">
        <v>16516</v>
      </c>
      <c r="D1260" t="s">
        <v>1056</v>
      </c>
      <c r="E1260" t="s">
        <v>1057</v>
      </c>
      <c r="F1260">
        <v>104.8</v>
      </c>
      <c r="G1260">
        <v>231128</v>
      </c>
      <c r="H1260">
        <v>4580</v>
      </c>
      <c r="I1260" t="s">
        <v>35</v>
      </c>
      <c r="J1260">
        <v>129.94999999999999</v>
      </c>
      <c r="K1260">
        <v>25.15</v>
      </c>
      <c r="L1260">
        <v>17527</v>
      </c>
      <c r="M1260" t="s">
        <v>422</v>
      </c>
      <c r="N1260" t="str">
        <f>"68891424    "</f>
        <v xml:space="preserve">68891424    </v>
      </c>
      <c r="O1260">
        <v>231201</v>
      </c>
    </row>
    <row r="1261" spans="1:15" x14ac:dyDescent="0.25">
      <c r="A1261" t="s">
        <v>16</v>
      </c>
      <c r="B1261" t="s">
        <v>3221</v>
      </c>
      <c r="C1261">
        <v>6420</v>
      </c>
      <c r="D1261" t="s">
        <v>1056</v>
      </c>
      <c r="E1261" t="s">
        <v>1057</v>
      </c>
      <c r="F1261">
        <v>854.99</v>
      </c>
      <c r="G1261">
        <v>230509</v>
      </c>
      <c r="H1261">
        <v>4600</v>
      </c>
      <c r="I1261" t="s">
        <v>105</v>
      </c>
      <c r="J1261">
        <v>1060.19</v>
      </c>
      <c r="K1261">
        <v>205.2</v>
      </c>
      <c r="L1261">
        <v>59501</v>
      </c>
      <c r="M1261" t="s">
        <v>69</v>
      </c>
      <c r="N1261" t="str">
        <f>"68388386    "</f>
        <v xml:space="preserve">68388386    </v>
      </c>
      <c r="O1261">
        <v>230511</v>
      </c>
    </row>
    <row r="1262" spans="1:15" x14ac:dyDescent="0.25">
      <c r="A1262" t="s">
        <v>16</v>
      </c>
      <c r="B1262" t="s">
        <v>3221</v>
      </c>
      <c r="C1262">
        <v>10957</v>
      </c>
      <c r="D1262" t="s">
        <v>1056</v>
      </c>
      <c r="E1262" t="s">
        <v>1057</v>
      </c>
      <c r="F1262">
        <v>165.61</v>
      </c>
      <c r="G1262">
        <v>230822</v>
      </c>
      <c r="H1262">
        <v>4600</v>
      </c>
      <c r="I1262" t="s">
        <v>105</v>
      </c>
      <c r="J1262">
        <v>205.36</v>
      </c>
      <c r="K1262">
        <v>39.75</v>
      </c>
      <c r="L1262">
        <v>17527</v>
      </c>
      <c r="M1262" t="s">
        <v>422</v>
      </c>
      <c r="N1262" t="str">
        <f>"68629018    "</f>
        <v xml:space="preserve">68629018    </v>
      </c>
      <c r="O1262">
        <v>230825</v>
      </c>
    </row>
    <row r="1263" spans="1:15" x14ac:dyDescent="0.25">
      <c r="A1263" t="s">
        <v>16</v>
      </c>
      <c r="B1263" t="s">
        <v>3221</v>
      </c>
      <c r="C1263">
        <v>10957</v>
      </c>
      <c r="D1263" t="s">
        <v>1056</v>
      </c>
      <c r="E1263" t="s">
        <v>1057</v>
      </c>
      <c r="F1263">
        <v>322.58</v>
      </c>
      <c r="G1263">
        <v>230822</v>
      </c>
      <c r="H1263">
        <v>4600</v>
      </c>
      <c r="I1263" t="s">
        <v>105</v>
      </c>
      <c r="J1263">
        <v>400</v>
      </c>
      <c r="K1263">
        <v>77.42</v>
      </c>
      <c r="L1263">
        <v>17638</v>
      </c>
      <c r="M1263" t="s">
        <v>765</v>
      </c>
      <c r="N1263" t="str">
        <f>"68629018    "</f>
        <v xml:space="preserve">68629018    </v>
      </c>
      <c r="O1263">
        <v>230825</v>
      </c>
    </row>
    <row r="1264" spans="1:15" x14ac:dyDescent="0.25">
      <c r="A1264" t="s">
        <v>16</v>
      </c>
      <c r="B1264" t="s">
        <v>3221</v>
      </c>
      <c r="C1264">
        <v>11275</v>
      </c>
      <c r="D1264" t="s">
        <v>1056</v>
      </c>
      <c r="E1264" t="s">
        <v>1057</v>
      </c>
      <c r="F1264">
        <v>60.13</v>
      </c>
      <c r="G1264">
        <v>230829</v>
      </c>
      <c r="H1264">
        <v>4600</v>
      </c>
      <c r="I1264" t="s">
        <v>105</v>
      </c>
      <c r="J1264">
        <v>74.56</v>
      </c>
      <c r="K1264">
        <v>14.43</v>
      </c>
      <c r="L1264">
        <v>17638</v>
      </c>
      <c r="M1264" t="s">
        <v>765</v>
      </c>
      <c r="N1264" t="str">
        <f>"68646387    "</f>
        <v xml:space="preserve">68646387    </v>
      </c>
      <c r="O1264">
        <v>230904</v>
      </c>
    </row>
    <row r="1265" spans="1:15" x14ac:dyDescent="0.25">
      <c r="A1265" t="s">
        <v>16</v>
      </c>
      <c r="B1265" t="s">
        <v>3221</v>
      </c>
      <c r="C1265">
        <v>12471</v>
      </c>
      <c r="D1265" t="s">
        <v>1056</v>
      </c>
      <c r="E1265" t="s">
        <v>1057</v>
      </c>
      <c r="F1265">
        <v>131.68</v>
      </c>
      <c r="G1265">
        <v>230905</v>
      </c>
      <c r="H1265">
        <v>4600</v>
      </c>
      <c r="I1265" t="s">
        <v>105</v>
      </c>
      <c r="J1265">
        <v>163.28</v>
      </c>
      <c r="K1265">
        <v>31.6</v>
      </c>
      <c r="L1265">
        <v>17638</v>
      </c>
      <c r="M1265" t="s">
        <v>765</v>
      </c>
      <c r="N1265" t="str">
        <f>"68665306    "</f>
        <v xml:space="preserve">68665306    </v>
      </c>
      <c r="O1265">
        <v>230920</v>
      </c>
    </row>
    <row r="1266" spans="1:15" x14ac:dyDescent="0.25">
      <c r="A1266" t="s">
        <v>16</v>
      </c>
      <c r="B1266" t="s">
        <v>3221</v>
      </c>
      <c r="C1266">
        <v>12481</v>
      </c>
      <c r="D1266" t="s">
        <v>1056</v>
      </c>
      <c r="E1266" t="s">
        <v>1057</v>
      </c>
      <c r="F1266">
        <v>78.94</v>
      </c>
      <c r="G1266">
        <v>230912</v>
      </c>
      <c r="H1266">
        <v>4600</v>
      </c>
      <c r="I1266" t="s">
        <v>105</v>
      </c>
      <c r="J1266">
        <v>97.88</v>
      </c>
      <c r="K1266">
        <v>18.940000000000001</v>
      </c>
      <c r="L1266">
        <v>17527</v>
      </c>
      <c r="M1266" t="s">
        <v>422</v>
      </c>
      <c r="N1266" t="str">
        <f>"68683247    "</f>
        <v xml:space="preserve">68683247    </v>
      </c>
      <c r="O1266">
        <v>230920</v>
      </c>
    </row>
    <row r="1267" spans="1:15" x14ac:dyDescent="0.25">
      <c r="A1267" t="s">
        <v>16</v>
      </c>
      <c r="B1267" t="s">
        <v>3221</v>
      </c>
      <c r="C1267">
        <v>12558</v>
      </c>
      <c r="D1267" t="s">
        <v>1056</v>
      </c>
      <c r="E1267" t="s">
        <v>1057</v>
      </c>
      <c r="F1267">
        <v>172.77</v>
      </c>
      <c r="G1267">
        <v>230919</v>
      </c>
      <c r="H1267">
        <v>4600</v>
      </c>
      <c r="I1267" t="s">
        <v>105</v>
      </c>
      <c r="J1267">
        <v>214.23</v>
      </c>
      <c r="K1267">
        <v>41.46</v>
      </c>
      <c r="L1267">
        <v>17638</v>
      </c>
      <c r="M1267" t="s">
        <v>765</v>
      </c>
      <c r="N1267" t="str">
        <f>"68703248    "</f>
        <v xml:space="preserve">68703248    </v>
      </c>
      <c r="O1267">
        <v>230921</v>
      </c>
    </row>
    <row r="1268" spans="1:15" x14ac:dyDescent="0.25">
      <c r="A1268" t="s">
        <v>16</v>
      </c>
      <c r="B1268" t="s">
        <v>3221</v>
      </c>
      <c r="C1268">
        <v>13738</v>
      </c>
      <c r="D1268" t="s">
        <v>1056</v>
      </c>
      <c r="E1268" t="s">
        <v>1057</v>
      </c>
      <c r="F1268">
        <v>335.86</v>
      </c>
      <c r="G1268">
        <v>231010</v>
      </c>
      <c r="H1268">
        <v>4600</v>
      </c>
      <c r="I1268" t="s">
        <v>105</v>
      </c>
      <c r="J1268">
        <v>416.47</v>
      </c>
      <c r="K1268">
        <v>80.61</v>
      </c>
      <c r="L1268">
        <v>56560</v>
      </c>
      <c r="M1268" t="s">
        <v>654</v>
      </c>
      <c r="N1268" t="str">
        <f>"68760118    "</f>
        <v xml:space="preserve">68760118    </v>
      </c>
      <c r="O1268">
        <v>231012</v>
      </c>
    </row>
    <row r="1269" spans="1:15" x14ac:dyDescent="0.25">
      <c r="A1269" t="s">
        <v>16</v>
      </c>
      <c r="B1269" t="s">
        <v>3221</v>
      </c>
      <c r="C1269">
        <v>14301</v>
      </c>
      <c r="D1269" t="s">
        <v>1056</v>
      </c>
      <c r="E1269" t="s">
        <v>1057</v>
      </c>
      <c r="F1269">
        <v>65.84</v>
      </c>
      <c r="G1269">
        <v>230930</v>
      </c>
      <c r="H1269">
        <v>4600</v>
      </c>
      <c r="I1269" t="s">
        <v>105</v>
      </c>
      <c r="J1269">
        <v>81.64</v>
      </c>
      <c r="K1269">
        <v>15.8</v>
      </c>
      <c r="L1269">
        <v>17638</v>
      </c>
      <c r="M1269" t="s">
        <v>765</v>
      </c>
      <c r="N1269" t="str">
        <f>"68737335    "</f>
        <v xml:space="preserve">68737335    </v>
      </c>
      <c r="O1269">
        <v>231026</v>
      </c>
    </row>
    <row r="1270" spans="1:15" x14ac:dyDescent="0.25">
      <c r="A1270" t="s">
        <v>16</v>
      </c>
      <c r="B1270" t="s">
        <v>3221</v>
      </c>
      <c r="C1270">
        <v>14302</v>
      </c>
      <c r="D1270" t="s">
        <v>1056</v>
      </c>
      <c r="E1270" t="s">
        <v>1057</v>
      </c>
      <c r="F1270">
        <v>238.71</v>
      </c>
      <c r="G1270">
        <v>231003</v>
      </c>
      <c r="H1270">
        <v>4600</v>
      </c>
      <c r="I1270" t="s">
        <v>105</v>
      </c>
      <c r="J1270">
        <v>296</v>
      </c>
      <c r="K1270">
        <v>57.29</v>
      </c>
      <c r="L1270">
        <v>17638</v>
      </c>
      <c r="M1270" t="s">
        <v>765</v>
      </c>
      <c r="N1270" t="str">
        <f>"68741770    "</f>
        <v xml:space="preserve">68741770    </v>
      </c>
      <c r="O1270">
        <v>231026</v>
      </c>
    </row>
    <row r="1271" spans="1:15" x14ac:dyDescent="0.25">
      <c r="A1271" t="s">
        <v>16</v>
      </c>
      <c r="B1271" t="s">
        <v>3221</v>
      </c>
      <c r="C1271">
        <v>14492</v>
      </c>
      <c r="D1271" t="s">
        <v>1056</v>
      </c>
      <c r="E1271" t="s">
        <v>1057</v>
      </c>
      <c r="F1271">
        <v>294.48</v>
      </c>
      <c r="G1271">
        <v>231024</v>
      </c>
      <c r="H1271">
        <v>4600</v>
      </c>
      <c r="I1271" t="s">
        <v>105</v>
      </c>
      <c r="J1271">
        <v>365.16</v>
      </c>
      <c r="K1271">
        <v>70.680000000000007</v>
      </c>
      <c r="L1271">
        <v>17638</v>
      </c>
      <c r="M1271" t="s">
        <v>765</v>
      </c>
      <c r="N1271" t="str">
        <f>"68797153    "</f>
        <v xml:space="preserve">68797153    </v>
      </c>
      <c r="O1271">
        <v>231030</v>
      </c>
    </row>
    <row r="1272" spans="1:15" x14ac:dyDescent="0.25">
      <c r="A1272" t="s">
        <v>16</v>
      </c>
      <c r="B1272" t="s">
        <v>3221</v>
      </c>
      <c r="C1272">
        <v>1483</v>
      </c>
      <c r="D1272" t="s">
        <v>1056</v>
      </c>
      <c r="E1272" t="s">
        <v>1057</v>
      </c>
      <c r="F1272">
        <v>1278.07</v>
      </c>
      <c r="G1272">
        <v>230207</v>
      </c>
      <c r="H1272">
        <v>4590</v>
      </c>
      <c r="I1272" t="s">
        <v>203</v>
      </c>
      <c r="J1272">
        <v>1584.81</v>
      </c>
      <c r="K1272">
        <v>306.74</v>
      </c>
      <c r="L1272">
        <v>66756</v>
      </c>
      <c r="M1272" t="s">
        <v>209</v>
      </c>
      <c r="N1272" t="str">
        <f>"68166578    "</f>
        <v xml:space="preserve">68166578    </v>
      </c>
      <c r="O1272">
        <v>230209</v>
      </c>
    </row>
    <row r="1273" spans="1:15" x14ac:dyDescent="0.25">
      <c r="A1273" t="s">
        <v>16</v>
      </c>
      <c r="B1273" t="s">
        <v>3221</v>
      </c>
      <c r="C1273">
        <v>3837</v>
      </c>
      <c r="D1273" t="s">
        <v>1056</v>
      </c>
      <c r="E1273" t="s">
        <v>1057</v>
      </c>
      <c r="F1273">
        <v>182.71</v>
      </c>
      <c r="G1273">
        <v>230321</v>
      </c>
      <c r="H1273">
        <v>4590</v>
      </c>
      <c r="I1273" t="s">
        <v>203</v>
      </c>
      <c r="J1273">
        <v>226.56</v>
      </c>
      <c r="K1273">
        <v>43.85</v>
      </c>
      <c r="L1273">
        <v>66756</v>
      </c>
      <c r="M1273" t="s">
        <v>209</v>
      </c>
      <c r="N1273" t="str">
        <f>"68270073    "</f>
        <v xml:space="preserve">68270073    </v>
      </c>
      <c r="O1273">
        <v>230323</v>
      </c>
    </row>
    <row r="1274" spans="1:15" x14ac:dyDescent="0.25">
      <c r="A1274" t="s">
        <v>16</v>
      </c>
      <c r="B1274" t="s">
        <v>3221</v>
      </c>
      <c r="C1274">
        <v>10867</v>
      </c>
      <c r="D1274" t="s">
        <v>1056</v>
      </c>
      <c r="E1274" t="s">
        <v>1057</v>
      </c>
      <c r="F1274">
        <v>2199.13</v>
      </c>
      <c r="G1274">
        <v>230822</v>
      </c>
      <c r="H1274">
        <v>4590</v>
      </c>
      <c r="I1274" t="s">
        <v>203</v>
      </c>
      <c r="J1274">
        <v>2726.92</v>
      </c>
      <c r="K1274">
        <v>527.79</v>
      </c>
      <c r="L1274">
        <v>66756</v>
      </c>
      <c r="M1274" t="s">
        <v>209</v>
      </c>
      <c r="N1274" t="str">
        <f>"68629022    "</f>
        <v xml:space="preserve">68629022    </v>
      </c>
      <c r="O1274">
        <v>230824</v>
      </c>
    </row>
    <row r="1275" spans="1:15" x14ac:dyDescent="0.25">
      <c r="A1275" t="s">
        <v>16</v>
      </c>
      <c r="B1275" t="s">
        <v>3221</v>
      </c>
      <c r="C1275">
        <v>12170</v>
      </c>
      <c r="D1275" t="s">
        <v>1056</v>
      </c>
      <c r="E1275" t="s">
        <v>1057</v>
      </c>
      <c r="F1275">
        <v>1236.1300000000001</v>
      </c>
      <c r="G1275">
        <v>230912</v>
      </c>
      <c r="H1275">
        <v>4590</v>
      </c>
      <c r="I1275" t="s">
        <v>203</v>
      </c>
      <c r="J1275">
        <v>1532.8</v>
      </c>
      <c r="K1275">
        <v>296.67</v>
      </c>
      <c r="L1275">
        <v>66756</v>
      </c>
      <c r="M1275" t="s">
        <v>209</v>
      </c>
      <c r="N1275" t="str">
        <f>"68683255    "</f>
        <v xml:space="preserve">68683255    </v>
      </c>
      <c r="O1275">
        <v>230914</v>
      </c>
    </row>
    <row r="1276" spans="1:15" x14ac:dyDescent="0.25">
      <c r="A1276" t="s">
        <v>16</v>
      </c>
      <c r="B1276" t="s">
        <v>3221</v>
      </c>
      <c r="C1276">
        <v>12557</v>
      </c>
      <c r="D1276" t="s">
        <v>1056</v>
      </c>
      <c r="E1276" t="s">
        <v>1057</v>
      </c>
      <c r="F1276">
        <v>1079.8599999999999</v>
      </c>
      <c r="G1276">
        <v>230919</v>
      </c>
      <c r="H1276">
        <v>4590</v>
      </c>
      <c r="I1276" t="s">
        <v>203</v>
      </c>
      <c r="J1276">
        <v>1339.03</v>
      </c>
      <c r="K1276">
        <v>259.17</v>
      </c>
      <c r="L1276">
        <v>66756</v>
      </c>
      <c r="M1276" t="s">
        <v>209</v>
      </c>
      <c r="N1276" t="str">
        <f>"68703256    "</f>
        <v xml:space="preserve">68703256    </v>
      </c>
      <c r="O1276">
        <v>230921</v>
      </c>
    </row>
    <row r="1277" spans="1:15" x14ac:dyDescent="0.25">
      <c r="A1277" t="s">
        <v>16</v>
      </c>
      <c r="B1277" t="s">
        <v>3221</v>
      </c>
      <c r="C1277">
        <v>13257</v>
      </c>
      <c r="D1277" t="s">
        <v>1056</v>
      </c>
      <c r="E1277" t="s">
        <v>1057</v>
      </c>
      <c r="F1277">
        <v>18.34</v>
      </c>
      <c r="G1277">
        <v>231003</v>
      </c>
      <c r="H1277">
        <v>4590</v>
      </c>
      <c r="I1277" t="s">
        <v>203</v>
      </c>
      <c r="J1277">
        <v>22.74</v>
      </c>
      <c r="K1277">
        <v>4.4000000000000004</v>
      </c>
      <c r="L1277">
        <v>66756</v>
      </c>
      <c r="M1277" t="s">
        <v>209</v>
      </c>
      <c r="N1277" t="str">
        <f>"68741773    "</f>
        <v xml:space="preserve">68741773    </v>
      </c>
      <c r="O1277">
        <v>231006</v>
      </c>
    </row>
    <row r="1278" spans="1:15" x14ac:dyDescent="0.25">
      <c r="A1278" t="s">
        <v>16</v>
      </c>
      <c r="B1278" t="s">
        <v>3221</v>
      </c>
      <c r="C1278">
        <v>14876</v>
      </c>
      <c r="D1278" t="s">
        <v>1056</v>
      </c>
      <c r="E1278" t="s">
        <v>1057</v>
      </c>
      <c r="F1278">
        <v>2428.08</v>
      </c>
      <c r="G1278">
        <v>231031</v>
      </c>
      <c r="H1278">
        <v>4590</v>
      </c>
      <c r="I1278" t="s">
        <v>203</v>
      </c>
      <c r="J1278">
        <v>3010.82</v>
      </c>
      <c r="K1278">
        <v>582.74</v>
      </c>
      <c r="L1278">
        <v>66756</v>
      </c>
      <c r="M1278" t="s">
        <v>209</v>
      </c>
      <c r="N1278" t="str">
        <f>"68816741    "</f>
        <v xml:space="preserve">68816741    </v>
      </c>
      <c r="O1278">
        <v>231107</v>
      </c>
    </row>
    <row r="1279" spans="1:15" x14ac:dyDescent="0.25">
      <c r="A1279" t="s">
        <v>16</v>
      </c>
      <c r="B1279" t="s">
        <v>3221</v>
      </c>
      <c r="C1279">
        <v>15936</v>
      </c>
      <c r="D1279" t="s">
        <v>1056</v>
      </c>
      <c r="E1279" t="s">
        <v>1057</v>
      </c>
      <c r="F1279">
        <v>263.16000000000003</v>
      </c>
      <c r="G1279">
        <v>231114</v>
      </c>
      <c r="H1279">
        <v>4590</v>
      </c>
      <c r="I1279" t="s">
        <v>203</v>
      </c>
      <c r="J1279">
        <v>326.32</v>
      </c>
      <c r="K1279">
        <v>63.16</v>
      </c>
      <c r="L1279">
        <v>66756</v>
      </c>
      <c r="M1279" t="s">
        <v>209</v>
      </c>
      <c r="N1279" t="str">
        <f>"68853834    "</f>
        <v xml:space="preserve">68853834    </v>
      </c>
      <c r="O1279">
        <v>231122</v>
      </c>
    </row>
    <row r="1280" spans="1:15" x14ac:dyDescent="0.25">
      <c r="A1280" t="s">
        <v>16</v>
      </c>
      <c r="B1280" t="s">
        <v>3221</v>
      </c>
      <c r="C1280">
        <v>16518</v>
      </c>
      <c r="D1280" t="s">
        <v>1056</v>
      </c>
      <c r="E1280" t="s">
        <v>1057</v>
      </c>
      <c r="F1280">
        <v>1377.42</v>
      </c>
      <c r="G1280">
        <v>231128</v>
      </c>
      <c r="H1280">
        <v>4590</v>
      </c>
      <c r="I1280" t="s">
        <v>203</v>
      </c>
      <c r="J1280">
        <v>1708</v>
      </c>
      <c r="K1280">
        <v>330.58</v>
      </c>
      <c r="L1280">
        <v>66756</v>
      </c>
      <c r="M1280" t="s">
        <v>209</v>
      </c>
      <c r="N1280" t="str">
        <f>"68891434    "</f>
        <v xml:space="preserve">68891434    </v>
      </c>
      <c r="O1280">
        <v>231201</v>
      </c>
    </row>
    <row r="1281" spans="1:15" x14ac:dyDescent="0.25">
      <c r="A1281" t="s">
        <v>16</v>
      </c>
      <c r="B1281" t="s">
        <v>3221</v>
      </c>
      <c r="C1281">
        <v>17534</v>
      </c>
      <c r="D1281" t="s">
        <v>1056</v>
      </c>
      <c r="E1281" t="s">
        <v>1057</v>
      </c>
      <c r="F1281">
        <v>1797.32</v>
      </c>
      <c r="G1281">
        <v>231212</v>
      </c>
      <c r="H1281">
        <v>4590</v>
      </c>
      <c r="I1281" t="s">
        <v>203</v>
      </c>
      <c r="J1281">
        <v>2228.6799999999998</v>
      </c>
      <c r="K1281">
        <v>431.36</v>
      </c>
      <c r="L1281">
        <v>66756</v>
      </c>
      <c r="M1281" t="s">
        <v>209</v>
      </c>
      <c r="N1281" t="str">
        <f>"68924833    "</f>
        <v xml:space="preserve">68924833    </v>
      </c>
      <c r="O1281">
        <v>231215</v>
      </c>
    </row>
    <row r="1282" spans="1:15" x14ac:dyDescent="0.25">
      <c r="A1282" t="s">
        <v>16</v>
      </c>
      <c r="B1282" t="s">
        <v>3221</v>
      </c>
      <c r="C1282">
        <v>10424</v>
      </c>
      <c r="D1282" t="s">
        <v>2377</v>
      </c>
      <c r="E1282" t="s">
        <v>2378</v>
      </c>
      <c r="F1282">
        <v>185</v>
      </c>
      <c r="G1282">
        <v>230809</v>
      </c>
      <c r="H1282">
        <v>4470</v>
      </c>
      <c r="I1282" t="s">
        <v>83</v>
      </c>
      <c r="J1282">
        <v>229.4</v>
      </c>
      <c r="K1282">
        <v>44.4</v>
      </c>
      <c r="L1282">
        <v>17737</v>
      </c>
      <c r="M1282" t="s">
        <v>279</v>
      </c>
      <c r="N1282" t="str">
        <f>"12006       "</f>
        <v xml:space="preserve">12006       </v>
      </c>
      <c r="O1282">
        <v>230815</v>
      </c>
    </row>
    <row r="1283" spans="1:15" x14ac:dyDescent="0.25">
      <c r="A1283" t="s">
        <v>16</v>
      </c>
      <c r="B1283" t="s">
        <v>3221</v>
      </c>
      <c r="C1283">
        <v>10916</v>
      </c>
      <c r="D1283" t="s">
        <v>2377</v>
      </c>
      <c r="E1283" t="s">
        <v>2378</v>
      </c>
      <c r="F1283">
        <v>1033.5</v>
      </c>
      <c r="G1283">
        <v>230823</v>
      </c>
      <c r="H1283">
        <v>4470</v>
      </c>
      <c r="I1283" t="s">
        <v>83</v>
      </c>
      <c r="J1283">
        <v>1281.54</v>
      </c>
      <c r="K1283">
        <v>248.04</v>
      </c>
      <c r="L1283">
        <v>17737</v>
      </c>
      <c r="M1283" t="s">
        <v>279</v>
      </c>
      <c r="N1283" t="str">
        <f>"12016       "</f>
        <v xml:space="preserve">12016       </v>
      </c>
      <c r="O1283">
        <v>230825</v>
      </c>
    </row>
    <row r="1284" spans="1:15" x14ac:dyDescent="0.25">
      <c r="A1284" t="s">
        <v>16</v>
      </c>
      <c r="B1284" t="s">
        <v>3221</v>
      </c>
      <c r="C1284">
        <v>11326</v>
      </c>
      <c r="D1284" t="s">
        <v>2377</v>
      </c>
      <c r="E1284" t="s">
        <v>2378</v>
      </c>
      <c r="F1284">
        <v>934.5</v>
      </c>
      <c r="G1284">
        <v>230831</v>
      </c>
      <c r="H1284">
        <v>4470</v>
      </c>
      <c r="I1284" t="s">
        <v>83</v>
      </c>
      <c r="J1284">
        <v>1158.78</v>
      </c>
      <c r="K1284">
        <v>224.28</v>
      </c>
      <c r="L1284">
        <v>17737</v>
      </c>
      <c r="M1284" t="s">
        <v>279</v>
      </c>
      <c r="N1284" t="str">
        <f>"12025       "</f>
        <v xml:space="preserve">12025       </v>
      </c>
      <c r="O1284">
        <v>230904</v>
      </c>
    </row>
    <row r="1285" spans="1:15" x14ac:dyDescent="0.25">
      <c r="A1285" t="s">
        <v>16</v>
      </c>
      <c r="B1285" t="s">
        <v>3221</v>
      </c>
      <c r="C1285">
        <v>12227</v>
      </c>
      <c r="D1285" t="s">
        <v>2377</v>
      </c>
      <c r="E1285" t="s">
        <v>2378</v>
      </c>
      <c r="F1285">
        <v>1469.5</v>
      </c>
      <c r="G1285">
        <v>230912</v>
      </c>
      <c r="H1285">
        <v>4470</v>
      </c>
      <c r="I1285" t="s">
        <v>83</v>
      </c>
      <c r="J1285">
        <v>1822.18</v>
      </c>
      <c r="K1285">
        <v>352.68</v>
      </c>
      <c r="L1285">
        <v>17737</v>
      </c>
      <c r="M1285" t="s">
        <v>279</v>
      </c>
      <c r="N1285" t="str">
        <f>"12040       "</f>
        <v xml:space="preserve">12040       </v>
      </c>
      <c r="O1285">
        <v>230915</v>
      </c>
    </row>
    <row r="1286" spans="1:15" x14ac:dyDescent="0.25">
      <c r="A1286" t="s">
        <v>16</v>
      </c>
      <c r="B1286" t="s">
        <v>3221</v>
      </c>
      <c r="C1286">
        <v>16373</v>
      </c>
      <c r="D1286" t="s">
        <v>2963</v>
      </c>
      <c r="E1286" t="s">
        <v>2964</v>
      </c>
      <c r="F1286">
        <v>324</v>
      </c>
      <c r="G1286">
        <v>231117</v>
      </c>
      <c r="H1286">
        <v>4471</v>
      </c>
      <c r="I1286" t="s">
        <v>68</v>
      </c>
      <c r="J1286">
        <v>401.76</v>
      </c>
      <c r="K1286">
        <v>77.760000000000005</v>
      </c>
      <c r="L1286">
        <v>11001</v>
      </c>
      <c r="M1286" t="s">
        <v>326</v>
      </c>
      <c r="N1286" t="str">
        <f>"2505        "</f>
        <v xml:space="preserve">2505        </v>
      </c>
      <c r="O1286">
        <v>231128</v>
      </c>
    </row>
    <row r="1287" spans="1:15" x14ac:dyDescent="0.25">
      <c r="A1287" t="s">
        <v>16</v>
      </c>
      <c r="B1287" t="s">
        <v>3221</v>
      </c>
      <c r="C1287">
        <v>5043</v>
      </c>
      <c r="D1287" t="s">
        <v>814</v>
      </c>
      <c r="E1287" t="s">
        <v>815</v>
      </c>
      <c r="F1287">
        <v>497.35</v>
      </c>
      <c r="G1287">
        <v>230405</v>
      </c>
      <c r="H1287">
        <v>4600</v>
      </c>
      <c r="I1287" t="s">
        <v>105</v>
      </c>
      <c r="J1287">
        <v>616.72</v>
      </c>
      <c r="K1287">
        <v>119.37</v>
      </c>
      <c r="L1287">
        <v>16321</v>
      </c>
      <c r="M1287" t="s">
        <v>423</v>
      </c>
      <c r="N1287" t="str">
        <f>"349         "</f>
        <v xml:space="preserve">349         </v>
      </c>
      <c r="O1287">
        <v>230417</v>
      </c>
    </row>
    <row r="1288" spans="1:15" x14ac:dyDescent="0.25">
      <c r="A1288" t="s">
        <v>16</v>
      </c>
      <c r="B1288" t="s">
        <v>3221</v>
      </c>
      <c r="C1288">
        <v>5043</v>
      </c>
      <c r="D1288" t="s">
        <v>814</v>
      </c>
      <c r="E1288" t="s">
        <v>815</v>
      </c>
      <c r="F1288">
        <v>497.35</v>
      </c>
      <c r="G1288">
        <v>230405</v>
      </c>
      <c r="H1288">
        <v>4600</v>
      </c>
      <c r="I1288" t="s">
        <v>105</v>
      </c>
      <c r="J1288">
        <v>616.71</v>
      </c>
      <c r="K1288">
        <v>119.36</v>
      </c>
      <c r="L1288">
        <v>16322</v>
      </c>
      <c r="M1288" t="s">
        <v>22</v>
      </c>
      <c r="N1288" t="str">
        <f>"349         "</f>
        <v xml:space="preserve">349         </v>
      </c>
      <c r="O1288">
        <v>230417</v>
      </c>
    </row>
    <row r="1289" spans="1:15" x14ac:dyDescent="0.25">
      <c r="A1289" t="s">
        <v>16</v>
      </c>
      <c r="B1289" t="s">
        <v>3221</v>
      </c>
      <c r="C1289">
        <v>18582</v>
      </c>
      <c r="D1289" t="s">
        <v>814</v>
      </c>
      <c r="E1289" t="s">
        <v>815</v>
      </c>
      <c r="F1289">
        <v>374.54</v>
      </c>
      <c r="G1289">
        <v>231229</v>
      </c>
      <c r="H1289">
        <v>4600</v>
      </c>
      <c r="I1289" t="s">
        <v>105</v>
      </c>
      <c r="J1289">
        <v>374.54</v>
      </c>
      <c r="K1289">
        <v>0</v>
      </c>
      <c r="L1289">
        <v>17972</v>
      </c>
      <c r="M1289" t="s">
        <v>248</v>
      </c>
      <c r="N1289" t="str">
        <f>"460         "</f>
        <v xml:space="preserve">460         </v>
      </c>
      <c r="O1289">
        <v>240104</v>
      </c>
    </row>
    <row r="1290" spans="1:15" x14ac:dyDescent="0.25">
      <c r="A1290" t="s">
        <v>16</v>
      </c>
      <c r="B1290" t="s">
        <v>3221</v>
      </c>
      <c r="C1290">
        <v>975</v>
      </c>
      <c r="D1290" t="s">
        <v>814</v>
      </c>
      <c r="E1290" t="s">
        <v>815</v>
      </c>
      <c r="F1290">
        <v>99</v>
      </c>
      <c r="G1290">
        <v>230123</v>
      </c>
      <c r="H1290">
        <v>4440</v>
      </c>
      <c r="I1290" t="s">
        <v>250</v>
      </c>
      <c r="J1290">
        <v>122.76</v>
      </c>
      <c r="K1290">
        <v>23.76</v>
      </c>
      <c r="L1290">
        <v>18122</v>
      </c>
      <c r="M1290" t="s">
        <v>407</v>
      </c>
      <c r="N1290" t="str">
        <f>"286         "</f>
        <v xml:space="preserve">286         </v>
      </c>
      <c r="O1290">
        <v>230202</v>
      </c>
    </row>
    <row r="1291" spans="1:15" x14ac:dyDescent="0.25">
      <c r="A1291" t="s">
        <v>16</v>
      </c>
      <c r="B1291" t="s">
        <v>3221</v>
      </c>
      <c r="C1291">
        <v>2361</v>
      </c>
      <c r="D1291" t="s">
        <v>814</v>
      </c>
      <c r="E1291" t="s">
        <v>815</v>
      </c>
      <c r="F1291">
        <v>1680</v>
      </c>
      <c r="G1291">
        <v>230223</v>
      </c>
      <c r="H1291">
        <v>4440</v>
      </c>
      <c r="I1291" t="s">
        <v>250</v>
      </c>
      <c r="J1291">
        <v>2083.1999999999998</v>
      </c>
      <c r="K1291">
        <v>403.2</v>
      </c>
      <c r="L1291">
        <v>17807</v>
      </c>
      <c r="M1291" t="s">
        <v>318</v>
      </c>
      <c r="N1291" t="str">
        <f>"317         "</f>
        <v xml:space="preserve">317         </v>
      </c>
      <c r="O1291">
        <v>230224</v>
      </c>
    </row>
    <row r="1292" spans="1:15" x14ac:dyDescent="0.25">
      <c r="A1292" t="s">
        <v>16</v>
      </c>
      <c r="B1292" t="s">
        <v>3221</v>
      </c>
      <c r="C1292">
        <v>19300</v>
      </c>
      <c r="D1292" t="s">
        <v>814</v>
      </c>
      <c r="E1292" t="s">
        <v>815</v>
      </c>
      <c r="F1292">
        <v>5960</v>
      </c>
      <c r="G1292">
        <v>231229</v>
      </c>
      <c r="H1292">
        <v>4390</v>
      </c>
      <c r="I1292" t="s">
        <v>98</v>
      </c>
      <c r="J1292">
        <v>7390.4</v>
      </c>
      <c r="K1292">
        <v>1430.4</v>
      </c>
      <c r="L1292">
        <v>69501</v>
      </c>
      <c r="M1292" t="s">
        <v>185</v>
      </c>
      <c r="N1292" t="str">
        <f>"459         "</f>
        <v xml:space="preserve">459         </v>
      </c>
      <c r="O1292">
        <v>240116</v>
      </c>
    </row>
    <row r="1293" spans="1:15" x14ac:dyDescent="0.25">
      <c r="A1293" t="s">
        <v>16</v>
      </c>
      <c r="B1293" t="s">
        <v>3221</v>
      </c>
      <c r="C1293">
        <v>5043</v>
      </c>
      <c r="D1293" t="s">
        <v>814</v>
      </c>
      <c r="E1293" t="s">
        <v>815</v>
      </c>
      <c r="F1293">
        <v>38</v>
      </c>
      <c r="G1293">
        <v>230405</v>
      </c>
      <c r="H1293">
        <v>4347</v>
      </c>
      <c r="I1293" t="s">
        <v>193</v>
      </c>
      <c r="J1293">
        <v>47.12</v>
      </c>
      <c r="K1293">
        <v>9.1199999999999992</v>
      </c>
      <c r="L1293">
        <v>16321</v>
      </c>
      <c r="M1293" t="s">
        <v>423</v>
      </c>
      <c r="N1293" t="str">
        <f>"349         "</f>
        <v xml:space="preserve">349         </v>
      </c>
      <c r="O1293">
        <v>230417</v>
      </c>
    </row>
    <row r="1294" spans="1:15" x14ac:dyDescent="0.25">
      <c r="A1294" t="s">
        <v>16</v>
      </c>
      <c r="B1294" t="s">
        <v>3221</v>
      </c>
      <c r="C1294">
        <v>5043</v>
      </c>
      <c r="D1294" t="s">
        <v>814</v>
      </c>
      <c r="E1294" t="s">
        <v>815</v>
      </c>
      <c r="F1294">
        <v>38</v>
      </c>
      <c r="G1294">
        <v>230405</v>
      </c>
      <c r="H1294">
        <v>4347</v>
      </c>
      <c r="I1294" t="s">
        <v>193</v>
      </c>
      <c r="J1294">
        <v>47.12</v>
      </c>
      <c r="K1294">
        <v>9.1199999999999992</v>
      </c>
      <c r="L1294">
        <v>16322</v>
      </c>
      <c r="M1294" t="s">
        <v>22</v>
      </c>
      <c r="N1294" t="str">
        <f>"349         "</f>
        <v xml:space="preserve">349         </v>
      </c>
      <c r="O1294">
        <v>230417</v>
      </c>
    </row>
    <row r="1295" spans="1:15" x14ac:dyDescent="0.25">
      <c r="A1295" t="s">
        <v>16</v>
      </c>
      <c r="B1295" t="s">
        <v>3221</v>
      </c>
      <c r="C1295">
        <v>3646</v>
      </c>
      <c r="D1295" t="s">
        <v>1586</v>
      </c>
      <c r="E1295" t="s">
        <v>1587</v>
      </c>
      <c r="F1295">
        <v>1166.53</v>
      </c>
      <c r="G1295">
        <v>230202</v>
      </c>
      <c r="H1295">
        <v>4555</v>
      </c>
      <c r="I1295" t="s">
        <v>481</v>
      </c>
      <c r="J1295">
        <v>1446.5</v>
      </c>
      <c r="K1295">
        <v>279.97000000000003</v>
      </c>
      <c r="L1295">
        <v>44453</v>
      </c>
      <c r="M1295" t="s">
        <v>492</v>
      </c>
      <c r="N1295" t="str">
        <f>"50894       "</f>
        <v xml:space="preserve">50894       </v>
      </c>
      <c r="O1295">
        <v>230320</v>
      </c>
    </row>
    <row r="1296" spans="1:15" x14ac:dyDescent="0.25">
      <c r="A1296" t="s">
        <v>16</v>
      </c>
      <c r="B1296" t="s">
        <v>3221</v>
      </c>
      <c r="C1296">
        <v>4358</v>
      </c>
      <c r="D1296" t="s">
        <v>1586</v>
      </c>
      <c r="E1296" t="s">
        <v>1587</v>
      </c>
      <c r="F1296">
        <v>1582.53</v>
      </c>
      <c r="G1296">
        <v>230317</v>
      </c>
      <c r="H1296">
        <v>4555</v>
      </c>
      <c r="I1296" t="s">
        <v>481</v>
      </c>
      <c r="J1296">
        <v>1962.34</v>
      </c>
      <c r="K1296">
        <v>379.81</v>
      </c>
      <c r="L1296">
        <v>44453</v>
      </c>
      <c r="M1296" t="s">
        <v>492</v>
      </c>
      <c r="N1296" t="str">
        <f>"51230       "</f>
        <v xml:space="preserve">51230       </v>
      </c>
      <c r="O1296">
        <v>230405</v>
      </c>
    </row>
    <row r="1297" spans="1:15" x14ac:dyDescent="0.25">
      <c r="A1297" t="s">
        <v>16</v>
      </c>
      <c r="B1297" t="s">
        <v>3221</v>
      </c>
      <c r="C1297">
        <v>6597</v>
      </c>
      <c r="D1297" t="s">
        <v>1586</v>
      </c>
      <c r="E1297" t="s">
        <v>1587</v>
      </c>
      <c r="F1297">
        <v>912.96</v>
      </c>
      <c r="G1297">
        <v>230503</v>
      </c>
      <c r="H1297">
        <v>4555</v>
      </c>
      <c r="I1297" t="s">
        <v>481</v>
      </c>
      <c r="J1297">
        <v>1132.07</v>
      </c>
      <c r="K1297">
        <v>219.11</v>
      </c>
      <c r="L1297">
        <v>44453</v>
      </c>
      <c r="M1297" t="s">
        <v>492</v>
      </c>
      <c r="N1297" t="str">
        <f>"51597       "</f>
        <v xml:space="preserve">51597       </v>
      </c>
      <c r="O1297">
        <v>230516</v>
      </c>
    </row>
    <row r="1298" spans="1:15" x14ac:dyDescent="0.25">
      <c r="A1298" t="s">
        <v>16</v>
      </c>
      <c r="B1298" t="s">
        <v>3221</v>
      </c>
      <c r="C1298">
        <v>11057</v>
      </c>
      <c r="D1298" t="s">
        <v>1586</v>
      </c>
      <c r="E1298" t="s">
        <v>1587</v>
      </c>
      <c r="F1298">
        <v>2118.71</v>
      </c>
      <c r="G1298">
        <v>230821</v>
      </c>
      <c r="H1298">
        <v>4555</v>
      </c>
      <c r="I1298" t="s">
        <v>481</v>
      </c>
      <c r="J1298">
        <v>2627.2</v>
      </c>
      <c r="K1298">
        <v>508.49</v>
      </c>
      <c r="L1298">
        <v>44453</v>
      </c>
      <c r="M1298" t="s">
        <v>492</v>
      </c>
      <c r="N1298" t="str">
        <f>"52274       "</f>
        <v xml:space="preserve">52274       </v>
      </c>
      <c r="O1298">
        <v>230829</v>
      </c>
    </row>
    <row r="1299" spans="1:15" x14ac:dyDescent="0.25">
      <c r="A1299" t="s">
        <v>16</v>
      </c>
      <c r="B1299" t="s">
        <v>3221</v>
      </c>
      <c r="C1299">
        <v>14356</v>
      </c>
      <c r="D1299" t="s">
        <v>1586</v>
      </c>
      <c r="E1299" t="s">
        <v>1587</v>
      </c>
      <c r="F1299">
        <v>1429.23</v>
      </c>
      <c r="G1299">
        <v>231003</v>
      </c>
      <c r="H1299">
        <v>4555</v>
      </c>
      <c r="I1299" t="s">
        <v>481</v>
      </c>
      <c r="J1299">
        <v>1772.25</v>
      </c>
      <c r="K1299">
        <v>343.02</v>
      </c>
      <c r="L1299">
        <v>44453</v>
      </c>
      <c r="M1299" t="s">
        <v>492</v>
      </c>
      <c r="N1299" t="str">
        <f>"52558       "</f>
        <v xml:space="preserve">52558       </v>
      </c>
      <c r="O1299">
        <v>231030</v>
      </c>
    </row>
    <row r="1300" spans="1:15" x14ac:dyDescent="0.25">
      <c r="A1300" t="s">
        <v>16</v>
      </c>
      <c r="B1300" t="s">
        <v>3221</v>
      </c>
      <c r="C1300">
        <v>16469</v>
      </c>
      <c r="D1300" t="s">
        <v>1586</v>
      </c>
      <c r="E1300" t="s">
        <v>1587</v>
      </c>
      <c r="F1300">
        <v>1238.77</v>
      </c>
      <c r="G1300">
        <v>231121</v>
      </c>
      <c r="H1300">
        <v>4555</v>
      </c>
      <c r="I1300" t="s">
        <v>481</v>
      </c>
      <c r="J1300">
        <v>1536.07</v>
      </c>
      <c r="K1300">
        <v>297.3</v>
      </c>
      <c r="L1300">
        <v>44453</v>
      </c>
      <c r="M1300" t="s">
        <v>492</v>
      </c>
      <c r="N1300" t="str">
        <f>"52929       "</f>
        <v xml:space="preserve">52929       </v>
      </c>
      <c r="O1300">
        <v>231201</v>
      </c>
    </row>
    <row r="1301" spans="1:15" x14ac:dyDescent="0.25">
      <c r="A1301" t="s">
        <v>16</v>
      </c>
      <c r="B1301" t="s">
        <v>3221</v>
      </c>
      <c r="C1301">
        <v>3742</v>
      </c>
      <c r="D1301" t="s">
        <v>3725</v>
      </c>
      <c r="E1301" t="s">
        <v>1603</v>
      </c>
      <c r="F1301">
        <v>43.48</v>
      </c>
      <c r="G1301">
        <v>230320</v>
      </c>
      <c r="H1301">
        <v>4390</v>
      </c>
      <c r="I1301" t="s">
        <v>98</v>
      </c>
      <c r="J1301">
        <v>53.91</v>
      </c>
      <c r="K1301">
        <v>10.43</v>
      </c>
      <c r="L1301">
        <v>13540</v>
      </c>
      <c r="M1301" t="s">
        <v>85</v>
      </c>
      <c r="N1301" t="str">
        <f>"BSF105574   "</f>
        <v xml:space="preserve">BSF105574   </v>
      </c>
      <c r="O1301">
        <v>230321</v>
      </c>
    </row>
    <row r="1302" spans="1:15" x14ac:dyDescent="0.25">
      <c r="A1302" t="s">
        <v>16</v>
      </c>
      <c r="B1302" t="s">
        <v>3221</v>
      </c>
      <c r="C1302">
        <v>3742</v>
      </c>
      <c r="D1302" t="s">
        <v>3725</v>
      </c>
      <c r="E1302" t="s">
        <v>1603</v>
      </c>
      <c r="F1302">
        <v>351.79</v>
      </c>
      <c r="G1302">
        <v>230320</v>
      </c>
      <c r="H1302">
        <v>4390</v>
      </c>
      <c r="I1302" t="s">
        <v>98</v>
      </c>
      <c r="J1302">
        <v>436.22</v>
      </c>
      <c r="K1302">
        <v>84.43</v>
      </c>
      <c r="L1302">
        <v>17950</v>
      </c>
      <c r="M1302" t="s">
        <v>86</v>
      </c>
      <c r="N1302" t="str">
        <f>"BSF105574   "</f>
        <v xml:space="preserve">BSF105574   </v>
      </c>
      <c r="O1302">
        <v>230321</v>
      </c>
    </row>
    <row r="1303" spans="1:15" x14ac:dyDescent="0.25">
      <c r="A1303" t="s">
        <v>16</v>
      </c>
      <c r="B1303" t="s">
        <v>3221</v>
      </c>
      <c r="C1303">
        <v>3743</v>
      </c>
      <c r="D1303" t="s">
        <v>3725</v>
      </c>
      <c r="E1303" t="s">
        <v>1603</v>
      </c>
      <c r="F1303">
        <v>48.78</v>
      </c>
      <c r="G1303">
        <v>230320</v>
      </c>
      <c r="H1303">
        <v>4390</v>
      </c>
      <c r="I1303" t="s">
        <v>98</v>
      </c>
      <c r="J1303">
        <v>60.49</v>
      </c>
      <c r="K1303">
        <v>11.71</v>
      </c>
      <c r="L1303">
        <v>13540</v>
      </c>
      <c r="M1303" t="s">
        <v>85</v>
      </c>
      <c r="N1303" t="str">
        <f>"BSF105575   "</f>
        <v xml:space="preserve">BSF105575   </v>
      </c>
      <c r="O1303">
        <v>230321</v>
      </c>
    </row>
    <row r="1304" spans="1:15" x14ac:dyDescent="0.25">
      <c r="A1304" t="s">
        <v>16</v>
      </c>
      <c r="B1304" t="s">
        <v>3221</v>
      </c>
      <c r="C1304">
        <v>3743</v>
      </c>
      <c r="D1304" t="s">
        <v>3725</v>
      </c>
      <c r="E1304" t="s">
        <v>1603</v>
      </c>
      <c r="F1304">
        <v>394.68</v>
      </c>
      <c r="G1304">
        <v>230320</v>
      </c>
      <c r="H1304">
        <v>4390</v>
      </c>
      <c r="I1304" t="s">
        <v>98</v>
      </c>
      <c r="J1304">
        <v>489.4</v>
      </c>
      <c r="K1304">
        <v>94.72</v>
      </c>
      <c r="L1304">
        <v>17950</v>
      </c>
      <c r="M1304" t="s">
        <v>86</v>
      </c>
      <c r="N1304" t="str">
        <f>"BSF105575   "</f>
        <v xml:space="preserve">BSF105575   </v>
      </c>
      <c r="O1304">
        <v>230321</v>
      </c>
    </row>
    <row r="1305" spans="1:15" x14ac:dyDescent="0.25">
      <c r="A1305" t="s">
        <v>16</v>
      </c>
      <c r="B1305" t="s">
        <v>3221</v>
      </c>
      <c r="C1305">
        <v>12075</v>
      </c>
      <c r="D1305" t="s">
        <v>3725</v>
      </c>
      <c r="E1305" t="s">
        <v>1603</v>
      </c>
      <c r="F1305">
        <v>39.270000000000003</v>
      </c>
      <c r="G1305">
        <v>230911</v>
      </c>
      <c r="H1305">
        <v>4390</v>
      </c>
      <c r="I1305" t="s">
        <v>98</v>
      </c>
      <c r="J1305">
        <v>48.69</v>
      </c>
      <c r="K1305">
        <v>9.42</v>
      </c>
      <c r="L1305">
        <v>13540</v>
      </c>
      <c r="M1305" t="s">
        <v>85</v>
      </c>
      <c r="N1305" t="str">
        <f>"BSF105988   "</f>
        <v xml:space="preserve">BSF105988   </v>
      </c>
      <c r="O1305">
        <v>230913</v>
      </c>
    </row>
    <row r="1306" spans="1:15" x14ac:dyDescent="0.25">
      <c r="A1306" t="s">
        <v>16</v>
      </c>
      <c r="B1306" t="s">
        <v>3221</v>
      </c>
      <c r="C1306">
        <v>12075</v>
      </c>
      <c r="D1306" t="s">
        <v>3725</v>
      </c>
      <c r="E1306" t="s">
        <v>1603</v>
      </c>
      <c r="F1306">
        <v>317.68</v>
      </c>
      <c r="G1306">
        <v>230911</v>
      </c>
      <c r="H1306">
        <v>4390</v>
      </c>
      <c r="I1306" t="s">
        <v>98</v>
      </c>
      <c r="J1306">
        <v>393.92</v>
      </c>
      <c r="K1306">
        <v>76.239999999999995</v>
      </c>
      <c r="L1306">
        <v>17950</v>
      </c>
      <c r="M1306" t="s">
        <v>86</v>
      </c>
      <c r="N1306" t="str">
        <f>"BSF105988   "</f>
        <v xml:space="preserve">BSF105988   </v>
      </c>
      <c r="O1306">
        <v>230913</v>
      </c>
    </row>
    <row r="1307" spans="1:15" x14ac:dyDescent="0.25">
      <c r="A1307" t="s">
        <v>16</v>
      </c>
      <c r="B1307" t="s">
        <v>3221</v>
      </c>
      <c r="C1307">
        <v>12076</v>
      </c>
      <c r="D1307" t="s">
        <v>3725</v>
      </c>
      <c r="E1307" t="s">
        <v>1603</v>
      </c>
      <c r="F1307">
        <v>55.84</v>
      </c>
      <c r="G1307">
        <v>230911</v>
      </c>
      <c r="H1307">
        <v>4390</v>
      </c>
      <c r="I1307" t="s">
        <v>98</v>
      </c>
      <c r="J1307">
        <v>69.239999999999995</v>
      </c>
      <c r="K1307">
        <v>13.4</v>
      </c>
      <c r="L1307">
        <v>13540</v>
      </c>
      <c r="M1307" t="s">
        <v>85</v>
      </c>
      <c r="N1307" t="str">
        <f>"BSF105987   "</f>
        <v xml:space="preserve">BSF105987   </v>
      </c>
      <c r="O1307">
        <v>230913</v>
      </c>
    </row>
    <row r="1308" spans="1:15" x14ac:dyDescent="0.25">
      <c r="A1308" t="s">
        <v>16</v>
      </c>
      <c r="B1308" t="s">
        <v>3221</v>
      </c>
      <c r="C1308">
        <v>12076</v>
      </c>
      <c r="D1308" t="s">
        <v>3725</v>
      </c>
      <c r="E1308" t="s">
        <v>1603</v>
      </c>
      <c r="F1308">
        <v>451.78</v>
      </c>
      <c r="G1308">
        <v>230911</v>
      </c>
      <c r="H1308">
        <v>4390</v>
      </c>
      <c r="I1308" t="s">
        <v>98</v>
      </c>
      <c r="J1308">
        <v>560.21</v>
      </c>
      <c r="K1308">
        <v>108.43</v>
      </c>
      <c r="L1308">
        <v>17950</v>
      </c>
      <c r="M1308" t="s">
        <v>86</v>
      </c>
      <c r="N1308" t="str">
        <f>"BSF105987   "</f>
        <v xml:space="preserve">BSF105987   </v>
      </c>
      <c r="O1308">
        <v>230913</v>
      </c>
    </row>
    <row r="1309" spans="1:15" x14ac:dyDescent="0.25">
      <c r="A1309" t="s">
        <v>16</v>
      </c>
      <c r="B1309" t="s">
        <v>3221</v>
      </c>
      <c r="C1309">
        <v>18044</v>
      </c>
      <c r="D1309" t="s">
        <v>3120</v>
      </c>
      <c r="E1309" t="s">
        <v>3121</v>
      </c>
      <c r="F1309">
        <v>989.39</v>
      </c>
      <c r="G1309">
        <v>231130</v>
      </c>
      <c r="H1309">
        <v>4470</v>
      </c>
      <c r="I1309" t="s">
        <v>83</v>
      </c>
      <c r="J1309">
        <v>1226.8399999999999</v>
      </c>
      <c r="K1309">
        <v>237.45</v>
      </c>
      <c r="L1309">
        <v>17737</v>
      </c>
      <c r="M1309" t="s">
        <v>279</v>
      </c>
      <c r="N1309" t="str">
        <f>"000118      "</f>
        <v xml:space="preserve">000118      </v>
      </c>
      <c r="O1309">
        <v>240102</v>
      </c>
    </row>
    <row r="1310" spans="1:15" x14ac:dyDescent="0.25">
      <c r="A1310" t="s">
        <v>16</v>
      </c>
      <c r="B1310" t="s">
        <v>3221</v>
      </c>
      <c r="C1310">
        <v>8099</v>
      </c>
      <c r="D1310" t="s">
        <v>995</v>
      </c>
      <c r="E1310" t="s">
        <v>996</v>
      </c>
      <c r="F1310">
        <v>190.75</v>
      </c>
      <c r="G1310">
        <v>230605</v>
      </c>
      <c r="H1310">
        <v>4580</v>
      </c>
      <c r="I1310" t="s">
        <v>35</v>
      </c>
      <c r="J1310">
        <v>236.53</v>
      </c>
      <c r="K1310">
        <v>45.78</v>
      </c>
      <c r="L1310">
        <v>17956</v>
      </c>
      <c r="M1310" t="s">
        <v>53</v>
      </c>
      <c r="N1310" t="str">
        <f>"8014710     "</f>
        <v xml:space="preserve">8014710     </v>
      </c>
      <c r="O1310">
        <v>230607</v>
      </c>
    </row>
    <row r="1311" spans="1:15" x14ac:dyDescent="0.25">
      <c r="A1311" t="s">
        <v>16</v>
      </c>
      <c r="B1311" t="s">
        <v>3221</v>
      </c>
      <c r="C1311">
        <v>8506</v>
      </c>
      <c r="D1311" t="s">
        <v>995</v>
      </c>
      <c r="E1311" t="s">
        <v>996</v>
      </c>
      <c r="F1311">
        <v>565.6</v>
      </c>
      <c r="G1311">
        <v>230607</v>
      </c>
      <c r="H1311">
        <v>4580</v>
      </c>
      <c r="I1311" t="s">
        <v>35</v>
      </c>
      <c r="J1311">
        <v>701.34</v>
      </c>
      <c r="K1311">
        <v>135.74</v>
      </c>
      <c r="L1311">
        <v>56559</v>
      </c>
      <c r="M1311" t="s">
        <v>129</v>
      </c>
      <c r="N1311" t="str">
        <f>"8014836     "</f>
        <v xml:space="preserve">8014836     </v>
      </c>
      <c r="O1311">
        <v>230609</v>
      </c>
    </row>
    <row r="1312" spans="1:15" x14ac:dyDescent="0.25">
      <c r="A1312" t="s">
        <v>16</v>
      </c>
      <c r="B1312" t="s">
        <v>3221</v>
      </c>
      <c r="C1312">
        <v>10291</v>
      </c>
      <c r="D1312" t="s">
        <v>995</v>
      </c>
      <c r="E1312" t="s">
        <v>996</v>
      </c>
      <c r="F1312">
        <v>153.9</v>
      </c>
      <c r="G1312">
        <v>230807</v>
      </c>
      <c r="H1312">
        <v>4580</v>
      </c>
      <c r="I1312" t="s">
        <v>35</v>
      </c>
      <c r="J1312">
        <v>190.84</v>
      </c>
      <c r="K1312">
        <v>36.94</v>
      </c>
      <c r="L1312">
        <v>14951</v>
      </c>
      <c r="M1312" t="s">
        <v>57</v>
      </c>
      <c r="N1312" t="str">
        <f>"8017979     "</f>
        <v xml:space="preserve">8017979     </v>
      </c>
      <c r="O1312">
        <v>230814</v>
      </c>
    </row>
    <row r="1313" spans="1:15" x14ac:dyDescent="0.25">
      <c r="A1313" t="s">
        <v>16</v>
      </c>
      <c r="B1313" t="s">
        <v>3221</v>
      </c>
      <c r="C1313">
        <v>11943</v>
      </c>
      <c r="D1313" t="s">
        <v>995</v>
      </c>
      <c r="E1313" t="s">
        <v>996</v>
      </c>
      <c r="F1313">
        <v>189.9</v>
      </c>
      <c r="G1313">
        <v>230905</v>
      </c>
      <c r="H1313">
        <v>4580</v>
      </c>
      <c r="I1313" t="s">
        <v>35</v>
      </c>
      <c r="J1313">
        <v>235.48</v>
      </c>
      <c r="K1313">
        <v>45.58</v>
      </c>
      <c r="L1313">
        <v>11801</v>
      </c>
      <c r="M1313" t="s">
        <v>92</v>
      </c>
      <c r="N1313" t="str">
        <f>"8019824     "</f>
        <v xml:space="preserve">8019824     </v>
      </c>
      <c r="O1313">
        <v>230912</v>
      </c>
    </row>
    <row r="1314" spans="1:15" x14ac:dyDescent="0.25">
      <c r="A1314" t="s">
        <v>16</v>
      </c>
      <c r="B1314" t="s">
        <v>3221</v>
      </c>
      <c r="C1314">
        <v>12202</v>
      </c>
      <c r="D1314" t="s">
        <v>995</v>
      </c>
      <c r="E1314" t="s">
        <v>996</v>
      </c>
      <c r="F1314">
        <v>1144.08</v>
      </c>
      <c r="G1314">
        <v>230713</v>
      </c>
      <c r="H1314">
        <v>4580</v>
      </c>
      <c r="I1314" t="s">
        <v>35</v>
      </c>
      <c r="J1314">
        <v>1418.66</v>
      </c>
      <c r="K1314">
        <v>274.58</v>
      </c>
      <c r="L1314">
        <v>14971</v>
      </c>
      <c r="M1314" t="s">
        <v>1259</v>
      </c>
      <c r="N1314" t="str">
        <f>"8016916     "</f>
        <v xml:space="preserve">8016916     </v>
      </c>
      <c r="O1314">
        <v>230915</v>
      </c>
    </row>
    <row r="1315" spans="1:15" x14ac:dyDescent="0.25">
      <c r="A1315" t="s">
        <v>16</v>
      </c>
      <c r="B1315" t="s">
        <v>3221</v>
      </c>
      <c r="C1315">
        <v>12202</v>
      </c>
      <c r="D1315" t="s">
        <v>995</v>
      </c>
      <c r="E1315" t="s">
        <v>996</v>
      </c>
      <c r="F1315">
        <v>762.72</v>
      </c>
      <c r="G1315">
        <v>230713</v>
      </c>
      <c r="H1315">
        <v>4580</v>
      </c>
      <c r="I1315" t="s">
        <v>35</v>
      </c>
      <c r="J1315">
        <v>945.77</v>
      </c>
      <c r="K1315">
        <v>183.05</v>
      </c>
      <c r="L1315">
        <v>18972</v>
      </c>
      <c r="M1315" t="s">
        <v>163</v>
      </c>
      <c r="N1315" t="str">
        <f>"8016916     "</f>
        <v xml:space="preserve">8016916     </v>
      </c>
      <c r="O1315">
        <v>230915</v>
      </c>
    </row>
    <row r="1316" spans="1:15" x14ac:dyDescent="0.25">
      <c r="A1316" t="s">
        <v>16</v>
      </c>
      <c r="B1316" t="s">
        <v>3221</v>
      </c>
      <c r="C1316">
        <v>12203</v>
      </c>
      <c r="D1316" t="s">
        <v>995</v>
      </c>
      <c r="E1316" t="s">
        <v>996</v>
      </c>
      <c r="F1316">
        <v>-50.4</v>
      </c>
      <c r="G1316">
        <v>230720</v>
      </c>
      <c r="H1316">
        <v>4580</v>
      </c>
      <c r="I1316" t="s">
        <v>35</v>
      </c>
      <c r="J1316">
        <v>-62.5</v>
      </c>
      <c r="K1316">
        <v>-12.1</v>
      </c>
      <c r="L1316">
        <v>14971</v>
      </c>
      <c r="M1316" t="s">
        <v>1259</v>
      </c>
      <c r="N1316" t="str">
        <f>"1201125     "</f>
        <v xml:space="preserve">1201125     </v>
      </c>
      <c r="O1316">
        <v>230915</v>
      </c>
    </row>
    <row r="1317" spans="1:15" x14ac:dyDescent="0.25">
      <c r="A1317" t="s">
        <v>16</v>
      </c>
      <c r="B1317" t="s">
        <v>3221</v>
      </c>
      <c r="C1317">
        <v>12203</v>
      </c>
      <c r="D1317" t="s">
        <v>995</v>
      </c>
      <c r="E1317" t="s">
        <v>996</v>
      </c>
      <c r="F1317">
        <v>-33.6</v>
      </c>
      <c r="G1317">
        <v>230720</v>
      </c>
      <c r="H1317">
        <v>4580</v>
      </c>
      <c r="I1317" t="s">
        <v>35</v>
      </c>
      <c r="J1317">
        <v>-41.66</v>
      </c>
      <c r="K1317">
        <v>-8.06</v>
      </c>
      <c r="L1317">
        <v>18972</v>
      </c>
      <c r="M1317" t="s">
        <v>163</v>
      </c>
      <c r="N1317" t="str">
        <f>"1201125     "</f>
        <v xml:space="preserve">1201125     </v>
      </c>
      <c r="O1317">
        <v>230915</v>
      </c>
    </row>
    <row r="1318" spans="1:15" x14ac:dyDescent="0.25">
      <c r="A1318" t="s">
        <v>16</v>
      </c>
      <c r="B1318" t="s">
        <v>3221</v>
      </c>
      <c r="C1318">
        <v>12204</v>
      </c>
      <c r="D1318" t="s">
        <v>995</v>
      </c>
      <c r="E1318" t="s">
        <v>996</v>
      </c>
      <c r="F1318">
        <v>-125.1</v>
      </c>
      <c r="G1318">
        <v>230907</v>
      </c>
      <c r="H1318">
        <v>4580</v>
      </c>
      <c r="I1318" t="s">
        <v>35</v>
      </c>
      <c r="J1318">
        <v>-155.12</v>
      </c>
      <c r="K1318">
        <v>-30.02</v>
      </c>
      <c r="L1318">
        <v>14971</v>
      </c>
      <c r="M1318" t="s">
        <v>1259</v>
      </c>
      <c r="N1318" t="str">
        <f>"1201269     "</f>
        <v xml:space="preserve">1201269     </v>
      </c>
      <c r="O1318">
        <v>230915</v>
      </c>
    </row>
    <row r="1319" spans="1:15" x14ac:dyDescent="0.25">
      <c r="A1319" t="s">
        <v>16</v>
      </c>
      <c r="B1319" t="s">
        <v>3221</v>
      </c>
      <c r="C1319">
        <v>12204</v>
      </c>
      <c r="D1319" t="s">
        <v>995</v>
      </c>
      <c r="E1319" t="s">
        <v>996</v>
      </c>
      <c r="F1319">
        <v>-83.4</v>
      </c>
      <c r="G1319">
        <v>230907</v>
      </c>
      <c r="H1319">
        <v>4580</v>
      </c>
      <c r="I1319" t="s">
        <v>35</v>
      </c>
      <c r="J1319">
        <v>-103.42</v>
      </c>
      <c r="K1319">
        <v>-20.02</v>
      </c>
      <c r="L1319">
        <v>18972</v>
      </c>
      <c r="M1319" t="s">
        <v>163</v>
      </c>
      <c r="N1319" t="str">
        <f>"1201269     "</f>
        <v xml:space="preserve">1201269     </v>
      </c>
      <c r="O1319">
        <v>230915</v>
      </c>
    </row>
    <row r="1320" spans="1:15" x14ac:dyDescent="0.25">
      <c r="A1320" t="s">
        <v>16</v>
      </c>
      <c r="B1320" t="s">
        <v>3221</v>
      </c>
      <c r="C1320">
        <v>12385</v>
      </c>
      <c r="D1320" t="s">
        <v>995</v>
      </c>
      <c r="E1320" t="s">
        <v>996</v>
      </c>
      <c r="F1320">
        <v>16990</v>
      </c>
      <c r="G1320">
        <v>230905</v>
      </c>
      <c r="H1320">
        <v>1198</v>
      </c>
      <c r="I1320" t="s">
        <v>1128</v>
      </c>
      <c r="J1320">
        <v>21067.599999999999</v>
      </c>
      <c r="K1320">
        <v>4077.6</v>
      </c>
      <c r="L1320">
        <v>95511</v>
      </c>
      <c r="M1320" t="s">
        <v>1129</v>
      </c>
      <c r="N1320" t="str">
        <f>"8019760     "</f>
        <v xml:space="preserve">8019760     </v>
      </c>
      <c r="O1320">
        <v>230919</v>
      </c>
    </row>
    <row r="1321" spans="1:15" x14ac:dyDescent="0.25">
      <c r="A1321" t="s">
        <v>16</v>
      </c>
      <c r="B1321" t="s">
        <v>3221</v>
      </c>
      <c r="C1321">
        <v>13844</v>
      </c>
      <c r="D1321" t="s">
        <v>995</v>
      </c>
      <c r="E1321" t="s">
        <v>996</v>
      </c>
      <c r="F1321">
        <v>1488.48</v>
      </c>
      <c r="G1321">
        <v>231010</v>
      </c>
      <c r="H1321">
        <v>1198</v>
      </c>
      <c r="I1321" t="s">
        <v>1128</v>
      </c>
      <c r="J1321">
        <v>1845.72</v>
      </c>
      <c r="K1321">
        <v>357.24</v>
      </c>
      <c r="L1321">
        <v>95511</v>
      </c>
      <c r="M1321" t="s">
        <v>1129</v>
      </c>
      <c r="N1321" t="str">
        <f>"8022316     "</f>
        <v xml:space="preserve">8022316     </v>
      </c>
      <c r="O1321">
        <v>231013</v>
      </c>
    </row>
    <row r="1322" spans="1:15" x14ac:dyDescent="0.25">
      <c r="A1322" t="s">
        <v>16</v>
      </c>
      <c r="B1322" t="s">
        <v>3221</v>
      </c>
      <c r="C1322">
        <v>1318</v>
      </c>
      <c r="D1322" t="s">
        <v>995</v>
      </c>
      <c r="E1322" t="s">
        <v>996</v>
      </c>
      <c r="F1322">
        <v>235.2</v>
      </c>
      <c r="G1322">
        <v>230206</v>
      </c>
      <c r="H1322">
        <v>4600</v>
      </c>
      <c r="I1322" t="s">
        <v>105</v>
      </c>
      <c r="J1322">
        <v>291.64999999999998</v>
      </c>
      <c r="K1322">
        <v>56.45</v>
      </c>
      <c r="L1322">
        <v>69501</v>
      </c>
      <c r="M1322" t="s">
        <v>185</v>
      </c>
      <c r="N1322" t="str">
        <f>"8006345     "</f>
        <v xml:space="preserve">8006345     </v>
      </c>
      <c r="O1322">
        <v>230207</v>
      </c>
    </row>
    <row r="1323" spans="1:15" x14ac:dyDescent="0.25">
      <c r="A1323" t="s">
        <v>16</v>
      </c>
      <c r="B1323" t="s">
        <v>3221</v>
      </c>
      <c r="C1323">
        <v>5646</v>
      </c>
      <c r="D1323" t="s">
        <v>995</v>
      </c>
      <c r="E1323" t="s">
        <v>996</v>
      </c>
      <c r="F1323">
        <v>453.6</v>
      </c>
      <c r="G1323">
        <v>230413</v>
      </c>
      <c r="H1323">
        <v>4590</v>
      </c>
      <c r="I1323" t="s">
        <v>203</v>
      </c>
      <c r="J1323">
        <v>562.46</v>
      </c>
      <c r="K1323">
        <v>108.86</v>
      </c>
      <c r="L1323">
        <v>11801</v>
      </c>
      <c r="M1323" t="s">
        <v>92</v>
      </c>
      <c r="N1323" t="str">
        <f>"8011349     "</f>
        <v xml:space="preserve">8011349     </v>
      </c>
      <c r="O1323">
        <v>230428</v>
      </c>
    </row>
    <row r="1324" spans="1:15" x14ac:dyDescent="0.25">
      <c r="A1324" t="s">
        <v>16</v>
      </c>
      <c r="B1324" t="s">
        <v>3221</v>
      </c>
      <c r="C1324">
        <v>9085</v>
      </c>
      <c r="D1324" t="s">
        <v>995</v>
      </c>
      <c r="E1324" t="s">
        <v>996</v>
      </c>
      <c r="F1324">
        <v>622.27</v>
      </c>
      <c r="G1324">
        <v>221125</v>
      </c>
      <c r="H1324">
        <v>4590</v>
      </c>
      <c r="I1324" t="s">
        <v>203</v>
      </c>
      <c r="J1324">
        <v>771.61</v>
      </c>
      <c r="K1324">
        <v>149.34</v>
      </c>
      <c r="L1324">
        <v>11801</v>
      </c>
      <c r="M1324" t="s">
        <v>92</v>
      </c>
      <c r="N1324" t="str">
        <f>"8001754     "</f>
        <v xml:space="preserve">8001754     </v>
      </c>
      <c r="O1324">
        <v>230622</v>
      </c>
    </row>
    <row r="1325" spans="1:15" x14ac:dyDescent="0.25">
      <c r="A1325" t="s">
        <v>16</v>
      </c>
      <c r="B1325" t="s">
        <v>3221</v>
      </c>
      <c r="C1325">
        <v>7118</v>
      </c>
      <c r="D1325" t="s">
        <v>995</v>
      </c>
      <c r="E1325" t="s">
        <v>996</v>
      </c>
      <c r="F1325">
        <v>132.9</v>
      </c>
      <c r="G1325">
        <v>230509</v>
      </c>
      <c r="H1325">
        <v>4500</v>
      </c>
      <c r="I1325" t="s">
        <v>212</v>
      </c>
      <c r="J1325">
        <v>164.8</v>
      </c>
      <c r="K1325">
        <v>31.9</v>
      </c>
      <c r="L1325">
        <v>11801</v>
      </c>
      <c r="M1325" t="s">
        <v>92</v>
      </c>
      <c r="N1325" t="str">
        <f>"8013074     "</f>
        <v xml:space="preserve">8013074     </v>
      </c>
      <c r="O1325">
        <v>230525</v>
      </c>
    </row>
    <row r="1326" spans="1:15" x14ac:dyDescent="0.25">
      <c r="A1326" t="s">
        <v>16</v>
      </c>
      <c r="B1326" t="s">
        <v>3221</v>
      </c>
      <c r="C1326">
        <v>1087</v>
      </c>
      <c r="D1326" t="s">
        <v>876</v>
      </c>
      <c r="E1326" t="s">
        <v>877</v>
      </c>
      <c r="F1326">
        <v>336.42</v>
      </c>
      <c r="G1326">
        <v>230130</v>
      </c>
      <c r="H1326">
        <v>4390</v>
      </c>
      <c r="I1326" t="s">
        <v>98</v>
      </c>
      <c r="J1326">
        <v>417.16</v>
      </c>
      <c r="K1326">
        <v>80.739999999999995</v>
      </c>
      <c r="L1326">
        <v>59504</v>
      </c>
      <c r="M1326" t="s">
        <v>71</v>
      </c>
      <c r="N1326" t="str">
        <f>"143973      "</f>
        <v xml:space="preserve">143973      </v>
      </c>
      <c r="O1326">
        <v>230203</v>
      </c>
    </row>
    <row r="1327" spans="1:15" x14ac:dyDescent="0.25">
      <c r="A1327" t="s">
        <v>16</v>
      </c>
      <c r="B1327" t="s">
        <v>3221</v>
      </c>
      <c r="C1327">
        <v>16604</v>
      </c>
      <c r="D1327" t="s">
        <v>2998</v>
      </c>
      <c r="E1327" t="s">
        <v>2999</v>
      </c>
      <c r="F1327">
        <v>295</v>
      </c>
      <c r="G1327">
        <v>231201</v>
      </c>
      <c r="H1327">
        <v>4441</v>
      </c>
      <c r="I1327" t="s">
        <v>109</v>
      </c>
      <c r="J1327">
        <v>365.8</v>
      </c>
      <c r="K1327">
        <v>70.8</v>
      </c>
      <c r="L1327">
        <v>11101</v>
      </c>
      <c r="M1327" t="s">
        <v>110</v>
      </c>
      <c r="N1327" t="str">
        <f>"27324       "</f>
        <v xml:space="preserve">27324       </v>
      </c>
      <c r="O1327">
        <v>231204</v>
      </c>
    </row>
    <row r="1328" spans="1:15" x14ac:dyDescent="0.25">
      <c r="A1328" t="s">
        <v>16</v>
      </c>
      <c r="B1328" t="s">
        <v>3221</v>
      </c>
      <c r="C1328">
        <v>11250</v>
      </c>
      <c r="D1328" t="s">
        <v>2467</v>
      </c>
      <c r="E1328" t="s">
        <v>2468</v>
      </c>
      <c r="F1328">
        <v>4.84</v>
      </c>
      <c r="G1328">
        <v>230831</v>
      </c>
      <c r="H1328">
        <v>4440</v>
      </c>
      <c r="I1328" t="s">
        <v>250</v>
      </c>
      <c r="J1328">
        <v>6</v>
      </c>
      <c r="K1328">
        <v>1.1599999999999999</v>
      </c>
      <c r="L1328">
        <v>17711</v>
      </c>
      <c r="M1328" t="s">
        <v>65</v>
      </c>
      <c r="N1328" t="str">
        <f>"112007057   "</f>
        <v xml:space="preserve">112007057   </v>
      </c>
      <c r="O1328">
        <v>230904</v>
      </c>
    </row>
    <row r="1329" spans="1:15" x14ac:dyDescent="0.25">
      <c r="A1329" t="s">
        <v>16</v>
      </c>
      <c r="B1329" t="s">
        <v>3221</v>
      </c>
      <c r="C1329">
        <v>11250</v>
      </c>
      <c r="D1329" t="s">
        <v>2467</v>
      </c>
      <c r="E1329" t="s">
        <v>2468</v>
      </c>
      <c r="F1329">
        <v>117</v>
      </c>
      <c r="G1329">
        <v>230831</v>
      </c>
      <c r="H1329">
        <v>4440</v>
      </c>
      <c r="I1329" t="s">
        <v>250</v>
      </c>
      <c r="J1329">
        <v>117</v>
      </c>
      <c r="K1329">
        <v>0</v>
      </c>
      <c r="L1329">
        <v>17711</v>
      </c>
      <c r="M1329" t="s">
        <v>65</v>
      </c>
      <c r="N1329" t="str">
        <f>"112007057   "</f>
        <v xml:space="preserve">112007057   </v>
      </c>
      <c r="O1329">
        <v>230904</v>
      </c>
    </row>
    <row r="1330" spans="1:15" x14ac:dyDescent="0.25">
      <c r="A1330" t="s">
        <v>16</v>
      </c>
      <c r="B1330" t="s">
        <v>3221</v>
      </c>
      <c r="C1330">
        <v>11990</v>
      </c>
      <c r="D1330" t="s">
        <v>2467</v>
      </c>
      <c r="E1330" t="s">
        <v>2468</v>
      </c>
      <c r="F1330">
        <v>4.84</v>
      </c>
      <c r="G1330">
        <v>230907</v>
      </c>
      <c r="H1330">
        <v>4440</v>
      </c>
      <c r="I1330" t="s">
        <v>250</v>
      </c>
      <c r="J1330">
        <v>6</v>
      </c>
      <c r="K1330">
        <v>1.1599999999999999</v>
      </c>
      <c r="L1330">
        <v>17711</v>
      </c>
      <c r="M1330" t="s">
        <v>65</v>
      </c>
      <c r="N1330" t="str">
        <f>"112007656   "</f>
        <v xml:space="preserve">112007656   </v>
      </c>
      <c r="O1330">
        <v>230912</v>
      </c>
    </row>
    <row r="1331" spans="1:15" x14ac:dyDescent="0.25">
      <c r="A1331" t="s">
        <v>16</v>
      </c>
      <c r="B1331" t="s">
        <v>3221</v>
      </c>
      <c r="C1331">
        <v>11990</v>
      </c>
      <c r="D1331" t="s">
        <v>2467</v>
      </c>
      <c r="E1331" t="s">
        <v>2468</v>
      </c>
      <c r="F1331">
        <v>117</v>
      </c>
      <c r="G1331">
        <v>230907</v>
      </c>
      <c r="H1331">
        <v>4440</v>
      </c>
      <c r="I1331" t="s">
        <v>250</v>
      </c>
      <c r="J1331">
        <v>117</v>
      </c>
      <c r="K1331">
        <v>0</v>
      </c>
      <c r="L1331">
        <v>17711</v>
      </c>
      <c r="M1331" t="s">
        <v>65</v>
      </c>
      <c r="N1331" t="str">
        <f>"112007656   "</f>
        <v xml:space="preserve">112007656   </v>
      </c>
      <c r="O1331">
        <v>230912</v>
      </c>
    </row>
    <row r="1332" spans="1:15" x14ac:dyDescent="0.25">
      <c r="A1332" t="s">
        <v>16</v>
      </c>
      <c r="B1332" t="s">
        <v>3221</v>
      </c>
      <c r="C1332">
        <v>14064</v>
      </c>
      <c r="D1332" t="s">
        <v>2467</v>
      </c>
      <c r="E1332" t="s">
        <v>2468</v>
      </c>
      <c r="F1332">
        <v>2.42</v>
      </c>
      <c r="G1332">
        <v>231007</v>
      </c>
      <c r="H1332">
        <v>4440</v>
      </c>
      <c r="I1332" t="s">
        <v>250</v>
      </c>
      <c r="J1332">
        <v>3</v>
      </c>
      <c r="K1332">
        <v>0.57999999999999996</v>
      </c>
      <c r="L1332">
        <v>17711</v>
      </c>
      <c r="M1332" t="s">
        <v>65</v>
      </c>
      <c r="N1332" t="str">
        <f>"112009328   "</f>
        <v xml:space="preserve">112009328   </v>
      </c>
      <c r="O1332">
        <v>231018</v>
      </c>
    </row>
    <row r="1333" spans="1:15" x14ac:dyDescent="0.25">
      <c r="A1333" t="s">
        <v>16</v>
      </c>
      <c r="B1333" t="s">
        <v>3221</v>
      </c>
      <c r="C1333">
        <v>14064</v>
      </c>
      <c r="D1333" t="s">
        <v>2467</v>
      </c>
      <c r="E1333" t="s">
        <v>2468</v>
      </c>
      <c r="F1333">
        <v>120</v>
      </c>
      <c r="G1333">
        <v>231007</v>
      </c>
      <c r="H1333">
        <v>4440</v>
      </c>
      <c r="I1333" t="s">
        <v>250</v>
      </c>
      <c r="J1333">
        <v>120</v>
      </c>
      <c r="K1333">
        <v>0</v>
      </c>
      <c r="L1333">
        <v>17711</v>
      </c>
      <c r="M1333" t="s">
        <v>65</v>
      </c>
      <c r="N1333" t="str">
        <f>"112009328   "</f>
        <v xml:space="preserve">112009328   </v>
      </c>
      <c r="O1333">
        <v>231018</v>
      </c>
    </row>
    <row r="1334" spans="1:15" x14ac:dyDescent="0.25">
      <c r="A1334" t="s">
        <v>16</v>
      </c>
      <c r="B1334" t="s">
        <v>3221</v>
      </c>
      <c r="C1334">
        <v>14328</v>
      </c>
      <c r="D1334" t="s">
        <v>2467</v>
      </c>
      <c r="E1334" t="s">
        <v>2468</v>
      </c>
      <c r="F1334">
        <v>2.42</v>
      </c>
      <c r="G1334">
        <v>231015</v>
      </c>
      <c r="H1334">
        <v>4440</v>
      </c>
      <c r="I1334" t="s">
        <v>250</v>
      </c>
      <c r="J1334">
        <v>3</v>
      </c>
      <c r="K1334">
        <v>0.57999999999999996</v>
      </c>
      <c r="L1334">
        <v>17711</v>
      </c>
      <c r="M1334" t="s">
        <v>65</v>
      </c>
      <c r="N1334" t="str">
        <f>"112009561   "</f>
        <v xml:space="preserve">112009561   </v>
      </c>
      <c r="O1334">
        <v>231027</v>
      </c>
    </row>
    <row r="1335" spans="1:15" x14ac:dyDescent="0.25">
      <c r="A1335" t="s">
        <v>16</v>
      </c>
      <c r="B1335" t="s">
        <v>3221</v>
      </c>
      <c r="C1335">
        <v>14328</v>
      </c>
      <c r="D1335" t="s">
        <v>2467</v>
      </c>
      <c r="E1335" t="s">
        <v>2468</v>
      </c>
      <c r="F1335">
        <v>160</v>
      </c>
      <c r="G1335">
        <v>231015</v>
      </c>
      <c r="H1335">
        <v>4440</v>
      </c>
      <c r="I1335" t="s">
        <v>250</v>
      </c>
      <c r="J1335">
        <v>160</v>
      </c>
      <c r="K1335">
        <v>0</v>
      </c>
      <c r="L1335">
        <v>17711</v>
      </c>
      <c r="M1335" t="s">
        <v>65</v>
      </c>
      <c r="N1335" t="str">
        <f>"112009561   "</f>
        <v xml:space="preserve">112009561   </v>
      </c>
      <c r="O1335">
        <v>231027</v>
      </c>
    </row>
    <row r="1336" spans="1:15" x14ac:dyDescent="0.25">
      <c r="A1336" t="s">
        <v>16</v>
      </c>
      <c r="B1336" t="s">
        <v>3221</v>
      </c>
      <c r="C1336">
        <v>16378</v>
      </c>
      <c r="D1336" t="s">
        <v>2467</v>
      </c>
      <c r="E1336" t="s">
        <v>2468</v>
      </c>
      <c r="F1336">
        <v>2.42</v>
      </c>
      <c r="G1336">
        <v>231123</v>
      </c>
      <c r="H1336">
        <v>4440</v>
      </c>
      <c r="I1336" t="s">
        <v>250</v>
      </c>
      <c r="J1336">
        <v>3</v>
      </c>
      <c r="K1336">
        <v>0.57999999999999996</v>
      </c>
      <c r="L1336">
        <v>17711</v>
      </c>
      <c r="M1336" t="s">
        <v>65</v>
      </c>
      <c r="N1336" t="str">
        <f>"112011470   "</f>
        <v xml:space="preserve">112011470   </v>
      </c>
      <c r="O1336">
        <v>231128</v>
      </c>
    </row>
    <row r="1337" spans="1:15" x14ac:dyDescent="0.25">
      <c r="A1337" t="s">
        <v>16</v>
      </c>
      <c r="B1337" t="s">
        <v>3221</v>
      </c>
      <c r="C1337">
        <v>16378</v>
      </c>
      <c r="D1337" t="s">
        <v>2467</v>
      </c>
      <c r="E1337" t="s">
        <v>2468</v>
      </c>
      <c r="F1337">
        <v>120</v>
      </c>
      <c r="G1337">
        <v>231123</v>
      </c>
      <c r="H1337">
        <v>4440</v>
      </c>
      <c r="I1337" t="s">
        <v>250</v>
      </c>
      <c r="J1337">
        <v>120</v>
      </c>
      <c r="K1337">
        <v>0</v>
      </c>
      <c r="L1337">
        <v>17711</v>
      </c>
      <c r="M1337" t="s">
        <v>65</v>
      </c>
      <c r="N1337" t="str">
        <f>"112011470   "</f>
        <v xml:space="preserve">112011470   </v>
      </c>
      <c r="O1337">
        <v>231128</v>
      </c>
    </row>
    <row r="1338" spans="1:15" x14ac:dyDescent="0.25">
      <c r="A1338" t="s">
        <v>16</v>
      </c>
      <c r="B1338" t="s">
        <v>3221</v>
      </c>
      <c r="C1338">
        <v>10034</v>
      </c>
      <c r="D1338" t="s">
        <v>2339</v>
      </c>
      <c r="E1338" t="s">
        <v>2340</v>
      </c>
      <c r="F1338">
        <v>4082.2</v>
      </c>
      <c r="G1338">
        <v>230801</v>
      </c>
      <c r="H1338">
        <v>4470</v>
      </c>
      <c r="I1338" t="s">
        <v>83</v>
      </c>
      <c r="J1338">
        <v>5061.93</v>
      </c>
      <c r="K1338">
        <v>979.73</v>
      </c>
      <c r="L1338">
        <v>17737</v>
      </c>
      <c r="M1338" t="s">
        <v>279</v>
      </c>
      <c r="N1338" t="str">
        <f>"255         "</f>
        <v xml:space="preserve">255         </v>
      </c>
      <c r="O1338">
        <v>230807</v>
      </c>
    </row>
    <row r="1339" spans="1:15" x14ac:dyDescent="0.25">
      <c r="A1339" t="s">
        <v>16</v>
      </c>
      <c r="B1339" t="s">
        <v>3221</v>
      </c>
      <c r="C1339">
        <v>12110</v>
      </c>
      <c r="D1339" t="s">
        <v>408</v>
      </c>
      <c r="E1339" t="s">
        <v>409</v>
      </c>
      <c r="F1339">
        <v>50.4</v>
      </c>
      <c r="G1339">
        <v>230831</v>
      </c>
      <c r="H1339">
        <v>4346</v>
      </c>
      <c r="I1339" t="s">
        <v>197</v>
      </c>
      <c r="J1339">
        <v>62.5</v>
      </c>
      <c r="K1339">
        <v>12.1</v>
      </c>
      <c r="L1339">
        <v>17131</v>
      </c>
      <c r="M1339" t="s">
        <v>64</v>
      </c>
      <c r="N1339" t="str">
        <f>"502042680   "</f>
        <v xml:space="preserve">502042680   </v>
      </c>
      <c r="O1339">
        <v>230914</v>
      </c>
    </row>
    <row r="1340" spans="1:15" x14ac:dyDescent="0.25">
      <c r="A1340" t="s">
        <v>16</v>
      </c>
      <c r="B1340" t="s">
        <v>3221</v>
      </c>
      <c r="C1340">
        <v>12110</v>
      </c>
      <c r="D1340" t="s">
        <v>408</v>
      </c>
      <c r="E1340" t="s">
        <v>409</v>
      </c>
      <c r="F1340">
        <v>50.4</v>
      </c>
      <c r="G1340">
        <v>230831</v>
      </c>
      <c r="H1340">
        <v>4346</v>
      </c>
      <c r="I1340" t="s">
        <v>197</v>
      </c>
      <c r="J1340">
        <v>62.5</v>
      </c>
      <c r="K1340">
        <v>12.1</v>
      </c>
      <c r="L1340">
        <v>17711</v>
      </c>
      <c r="M1340" t="s">
        <v>65</v>
      </c>
      <c r="N1340" t="str">
        <f>"502042680   "</f>
        <v xml:space="preserve">502042680   </v>
      </c>
      <c r="O1340">
        <v>230914</v>
      </c>
    </row>
    <row r="1341" spans="1:15" x14ac:dyDescent="0.25">
      <c r="A1341" t="s">
        <v>16</v>
      </c>
      <c r="B1341" t="s">
        <v>3221</v>
      </c>
      <c r="C1341">
        <v>17990</v>
      </c>
      <c r="D1341" t="s">
        <v>408</v>
      </c>
      <c r="E1341" t="s">
        <v>409</v>
      </c>
      <c r="F1341">
        <v>83.99</v>
      </c>
      <c r="G1341">
        <v>231215</v>
      </c>
      <c r="H1341">
        <v>4346</v>
      </c>
      <c r="I1341" t="s">
        <v>197</v>
      </c>
      <c r="J1341">
        <v>104.15</v>
      </c>
      <c r="K1341">
        <v>20.16</v>
      </c>
      <c r="L1341">
        <v>17808</v>
      </c>
      <c r="M1341" t="s">
        <v>322</v>
      </c>
      <c r="N1341" t="str">
        <f>"502064657   "</f>
        <v xml:space="preserve">502064657   </v>
      </c>
      <c r="O1341">
        <v>231228</v>
      </c>
    </row>
    <row r="1342" spans="1:15" x14ac:dyDescent="0.25">
      <c r="A1342" t="s">
        <v>16</v>
      </c>
      <c r="B1342" t="s">
        <v>3221</v>
      </c>
      <c r="C1342">
        <v>1109</v>
      </c>
      <c r="D1342" t="s">
        <v>408</v>
      </c>
      <c r="E1342" t="s">
        <v>409</v>
      </c>
      <c r="F1342">
        <v>39.1</v>
      </c>
      <c r="G1342">
        <v>230131</v>
      </c>
      <c r="H1342">
        <v>4400</v>
      </c>
      <c r="I1342" t="s">
        <v>348</v>
      </c>
      <c r="J1342">
        <v>48.48</v>
      </c>
      <c r="K1342">
        <v>9.3800000000000008</v>
      </c>
      <c r="L1342">
        <v>17802</v>
      </c>
      <c r="M1342" t="s">
        <v>174</v>
      </c>
      <c r="N1342" t="str">
        <f>"501160656   "</f>
        <v xml:space="preserve">501160656   </v>
      </c>
      <c r="O1342">
        <v>230203</v>
      </c>
    </row>
    <row r="1343" spans="1:15" x14ac:dyDescent="0.25">
      <c r="A1343" t="s">
        <v>16</v>
      </c>
      <c r="B1343" t="s">
        <v>3221</v>
      </c>
      <c r="C1343">
        <v>2416</v>
      </c>
      <c r="D1343" t="s">
        <v>408</v>
      </c>
      <c r="E1343" t="s">
        <v>409</v>
      </c>
      <c r="F1343">
        <v>114.48</v>
      </c>
      <c r="G1343">
        <v>230223</v>
      </c>
      <c r="H1343">
        <v>4600</v>
      </c>
      <c r="I1343" t="s">
        <v>105</v>
      </c>
      <c r="J1343">
        <v>141.94999999999999</v>
      </c>
      <c r="K1343">
        <v>27.47</v>
      </c>
      <c r="L1343">
        <v>17812</v>
      </c>
      <c r="M1343" t="s">
        <v>594</v>
      </c>
      <c r="N1343" t="str">
        <f>"501162935   "</f>
        <v xml:space="preserve">501162935   </v>
      </c>
      <c r="O1343">
        <v>230227</v>
      </c>
    </row>
    <row r="1344" spans="1:15" x14ac:dyDescent="0.25">
      <c r="A1344" t="s">
        <v>16</v>
      </c>
      <c r="B1344" t="s">
        <v>3221</v>
      </c>
      <c r="C1344">
        <v>4122</v>
      </c>
      <c r="D1344" t="s">
        <v>408</v>
      </c>
      <c r="E1344" t="s">
        <v>409</v>
      </c>
      <c r="F1344">
        <v>132.66</v>
      </c>
      <c r="G1344">
        <v>230323</v>
      </c>
      <c r="H1344">
        <v>4600</v>
      </c>
      <c r="I1344" t="s">
        <v>105</v>
      </c>
      <c r="J1344">
        <v>164.5</v>
      </c>
      <c r="K1344">
        <v>31.84</v>
      </c>
      <c r="L1344">
        <v>17812</v>
      </c>
      <c r="M1344" t="s">
        <v>594</v>
      </c>
      <c r="N1344" t="str">
        <f>"502007990   "</f>
        <v xml:space="preserve">502007990   </v>
      </c>
      <c r="O1344">
        <v>230330</v>
      </c>
    </row>
    <row r="1345" spans="1:15" x14ac:dyDescent="0.25">
      <c r="A1345" t="s">
        <v>16</v>
      </c>
      <c r="B1345" t="s">
        <v>3221</v>
      </c>
      <c r="C1345">
        <v>6593</v>
      </c>
      <c r="D1345" t="s">
        <v>408</v>
      </c>
      <c r="E1345" t="s">
        <v>409</v>
      </c>
      <c r="F1345">
        <v>-138.83000000000001</v>
      </c>
      <c r="G1345">
        <v>230509</v>
      </c>
      <c r="H1345">
        <v>4600</v>
      </c>
      <c r="I1345" t="s">
        <v>105</v>
      </c>
      <c r="J1345">
        <v>-172.15</v>
      </c>
      <c r="K1345">
        <v>-33.32</v>
      </c>
      <c r="L1345">
        <v>17812</v>
      </c>
      <c r="M1345" t="s">
        <v>594</v>
      </c>
      <c r="N1345" t="str">
        <f>"502018107   "</f>
        <v xml:space="preserve">502018107   </v>
      </c>
      <c r="O1345">
        <v>230516</v>
      </c>
    </row>
    <row r="1346" spans="1:15" x14ac:dyDescent="0.25">
      <c r="A1346" t="s">
        <v>16</v>
      </c>
      <c r="B1346" t="s">
        <v>3221</v>
      </c>
      <c r="C1346">
        <v>6621</v>
      </c>
      <c r="D1346" t="s">
        <v>408</v>
      </c>
      <c r="E1346" t="s">
        <v>409</v>
      </c>
      <c r="F1346">
        <v>76.45</v>
      </c>
      <c r="G1346">
        <v>230509</v>
      </c>
      <c r="H1346">
        <v>4600</v>
      </c>
      <c r="I1346" t="s">
        <v>105</v>
      </c>
      <c r="J1346">
        <v>94.8</v>
      </c>
      <c r="K1346">
        <v>18.350000000000001</v>
      </c>
      <c r="L1346">
        <v>17812</v>
      </c>
      <c r="M1346" t="s">
        <v>594</v>
      </c>
      <c r="N1346" t="str">
        <f>"502018108   "</f>
        <v xml:space="preserve">502018108   </v>
      </c>
      <c r="O1346">
        <v>230516</v>
      </c>
    </row>
    <row r="1347" spans="1:15" x14ac:dyDescent="0.25">
      <c r="A1347" t="s">
        <v>16</v>
      </c>
      <c r="B1347" t="s">
        <v>3221</v>
      </c>
      <c r="C1347">
        <v>6652</v>
      </c>
      <c r="D1347" t="s">
        <v>408</v>
      </c>
      <c r="E1347" t="s">
        <v>409</v>
      </c>
      <c r="F1347">
        <v>138.83000000000001</v>
      </c>
      <c r="G1347">
        <v>230430</v>
      </c>
      <c r="H1347">
        <v>4600</v>
      </c>
      <c r="I1347" t="s">
        <v>105</v>
      </c>
      <c r="J1347">
        <v>172.15</v>
      </c>
      <c r="K1347">
        <v>33.32</v>
      </c>
      <c r="L1347">
        <v>17812</v>
      </c>
      <c r="M1347" t="s">
        <v>594</v>
      </c>
      <c r="N1347" t="str">
        <f>"502016547   "</f>
        <v xml:space="preserve">502016547   </v>
      </c>
      <c r="O1347">
        <v>230516</v>
      </c>
    </row>
    <row r="1348" spans="1:15" x14ac:dyDescent="0.25">
      <c r="A1348" t="s">
        <v>16</v>
      </c>
      <c r="B1348" t="s">
        <v>3221</v>
      </c>
      <c r="C1348">
        <v>7865</v>
      </c>
      <c r="D1348" t="s">
        <v>408</v>
      </c>
      <c r="E1348" t="s">
        <v>409</v>
      </c>
      <c r="F1348">
        <v>39.44</v>
      </c>
      <c r="G1348">
        <v>230531</v>
      </c>
      <c r="H1348">
        <v>4600</v>
      </c>
      <c r="I1348" t="s">
        <v>105</v>
      </c>
      <c r="J1348">
        <v>48.9</v>
      </c>
      <c r="K1348">
        <v>9.4600000000000009</v>
      </c>
      <c r="L1348">
        <v>17812</v>
      </c>
      <c r="M1348" t="s">
        <v>594</v>
      </c>
      <c r="N1348" t="str">
        <f>"502023579   "</f>
        <v xml:space="preserve">502023579   </v>
      </c>
      <c r="O1348">
        <v>230605</v>
      </c>
    </row>
    <row r="1349" spans="1:15" x14ac:dyDescent="0.25">
      <c r="A1349" t="s">
        <v>16</v>
      </c>
      <c r="B1349" t="s">
        <v>3221</v>
      </c>
      <c r="C1349">
        <v>13406</v>
      </c>
      <c r="D1349" t="s">
        <v>408</v>
      </c>
      <c r="E1349" t="s">
        <v>409</v>
      </c>
      <c r="F1349">
        <v>4.6900000000000004</v>
      </c>
      <c r="G1349">
        <v>230930</v>
      </c>
      <c r="H1349">
        <v>4600</v>
      </c>
      <c r="I1349" t="s">
        <v>105</v>
      </c>
      <c r="J1349">
        <v>5.82</v>
      </c>
      <c r="K1349">
        <v>1.1299999999999999</v>
      </c>
      <c r="L1349">
        <v>13501</v>
      </c>
      <c r="M1349" t="s">
        <v>20</v>
      </c>
      <c r="N1349" t="str">
        <f>"502049554   "</f>
        <v xml:space="preserve">502049554   </v>
      </c>
      <c r="O1349">
        <v>231010</v>
      </c>
    </row>
    <row r="1350" spans="1:15" x14ac:dyDescent="0.25">
      <c r="A1350" t="s">
        <v>16</v>
      </c>
      <c r="B1350" t="s">
        <v>3221</v>
      </c>
      <c r="C1350">
        <v>13406</v>
      </c>
      <c r="D1350" t="s">
        <v>408</v>
      </c>
      <c r="E1350" t="s">
        <v>409</v>
      </c>
      <c r="F1350">
        <v>73.53</v>
      </c>
      <c r="G1350">
        <v>230930</v>
      </c>
      <c r="H1350">
        <v>4600</v>
      </c>
      <c r="I1350" t="s">
        <v>105</v>
      </c>
      <c r="J1350">
        <v>91.18</v>
      </c>
      <c r="K1350">
        <v>17.649999999999999</v>
      </c>
      <c r="L1350">
        <v>17538</v>
      </c>
      <c r="M1350" t="s">
        <v>24</v>
      </c>
      <c r="N1350" t="str">
        <f>"502049554   "</f>
        <v xml:space="preserve">502049554   </v>
      </c>
      <c r="O1350">
        <v>231010</v>
      </c>
    </row>
    <row r="1351" spans="1:15" x14ac:dyDescent="0.25">
      <c r="A1351" t="s">
        <v>16</v>
      </c>
      <c r="B1351" t="s">
        <v>3221</v>
      </c>
      <c r="C1351">
        <v>14854</v>
      </c>
      <c r="D1351" t="s">
        <v>408</v>
      </c>
      <c r="E1351" t="s">
        <v>409</v>
      </c>
      <c r="F1351">
        <v>39.44</v>
      </c>
      <c r="G1351">
        <v>231031</v>
      </c>
      <c r="H1351">
        <v>4600</v>
      </c>
      <c r="I1351" t="s">
        <v>105</v>
      </c>
      <c r="J1351">
        <v>48.9</v>
      </c>
      <c r="K1351">
        <v>9.4600000000000009</v>
      </c>
      <c r="L1351">
        <v>17812</v>
      </c>
      <c r="M1351" t="s">
        <v>594</v>
      </c>
      <c r="N1351" t="str">
        <f>"502056194   "</f>
        <v xml:space="preserve">502056194   </v>
      </c>
      <c r="O1351">
        <v>231107</v>
      </c>
    </row>
    <row r="1352" spans="1:15" x14ac:dyDescent="0.25">
      <c r="A1352" t="s">
        <v>16</v>
      </c>
      <c r="B1352" t="s">
        <v>3221</v>
      </c>
      <c r="C1352">
        <v>280</v>
      </c>
      <c r="D1352" t="s">
        <v>408</v>
      </c>
      <c r="E1352" t="s">
        <v>409</v>
      </c>
      <c r="F1352">
        <v>44.38</v>
      </c>
      <c r="G1352">
        <v>230115</v>
      </c>
      <c r="H1352">
        <v>4470</v>
      </c>
      <c r="I1352" t="s">
        <v>83</v>
      </c>
      <c r="J1352">
        <v>55.03</v>
      </c>
      <c r="K1352">
        <v>10.65</v>
      </c>
      <c r="L1352">
        <v>46556</v>
      </c>
      <c r="M1352" t="s">
        <v>125</v>
      </c>
      <c r="N1352" t="str">
        <f>"501157923   "</f>
        <v xml:space="preserve">501157923   </v>
      </c>
      <c r="O1352">
        <v>230117</v>
      </c>
    </row>
    <row r="1353" spans="1:15" x14ac:dyDescent="0.25">
      <c r="A1353" t="s">
        <v>16</v>
      </c>
      <c r="B1353" t="s">
        <v>3221</v>
      </c>
      <c r="C1353">
        <v>280</v>
      </c>
      <c r="D1353" t="s">
        <v>408</v>
      </c>
      <c r="E1353" t="s">
        <v>409</v>
      </c>
      <c r="F1353">
        <v>65.34</v>
      </c>
      <c r="G1353">
        <v>230115</v>
      </c>
      <c r="H1353">
        <v>4470</v>
      </c>
      <c r="I1353" t="s">
        <v>83</v>
      </c>
      <c r="J1353">
        <v>81.02</v>
      </c>
      <c r="K1353">
        <v>15.68</v>
      </c>
      <c r="L1353">
        <v>47522</v>
      </c>
      <c r="M1353" t="s">
        <v>410</v>
      </c>
      <c r="N1353" t="str">
        <f>"501157923   "</f>
        <v xml:space="preserve">501157923   </v>
      </c>
      <c r="O1353">
        <v>230117</v>
      </c>
    </row>
    <row r="1354" spans="1:15" x14ac:dyDescent="0.25">
      <c r="A1354" t="s">
        <v>16</v>
      </c>
      <c r="B1354" t="s">
        <v>3221</v>
      </c>
      <c r="C1354">
        <v>1021</v>
      </c>
      <c r="D1354" t="s">
        <v>408</v>
      </c>
      <c r="E1354" t="s">
        <v>409</v>
      </c>
      <c r="F1354">
        <v>152.46</v>
      </c>
      <c r="G1354">
        <v>230131</v>
      </c>
      <c r="H1354">
        <v>4470</v>
      </c>
      <c r="I1354" t="s">
        <v>83</v>
      </c>
      <c r="J1354">
        <v>189.05</v>
      </c>
      <c r="K1354">
        <v>36.590000000000003</v>
      </c>
      <c r="L1354">
        <v>46564</v>
      </c>
      <c r="M1354" t="s">
        <v>727</v>
      </c>
      <c r="N1354" t="str">
        <f>"501160657   "</f>
        <v xml:space="preserve">501160657   </v>
      </c>
      <c r="O1354">
        <v>230202</v>
      </c>
    </row>
    <row r="1355" spans="1:15" x14ac:dyDescent="0.25">
      <c r="A1355" t="s">
        <v>16</v>
      </c>
      <c r="B1355" t="s">
        <v>3221</v>
      </c>
      <c r="C1355">
        <v>1021</v>
      </c>
      <c r="D1355" t="s">
        <v>408</v>
      </c>
      <c r="E1355" t="s">
        <v>409</v>
      </c>
      <c r="F1355">
        <v>83.87</v>
      </c>
      <c r="G1355">
        <v>230131</v>
      </c>
      <c r="H1355">
        <v>4470</v>
      </c>
      <c r="I1355" t="s">
        <v>83</v>
      </c>
      <c r="J1355">
        <v>104</v>
      </c>
      <c r="K1355">
        <v>20.13</v>
      </c>
      <c r="L1355">
        <v>49701</v>
      </c>
      <c r="M1355" t="s">
        <v>166</v>
      </c>
      <c r="N1355" t="str">
        <f>"501160657   "</f>
        <v xml:space="preserve">501160657   </v>
      </c>
      <c r="O1355">
        <v>230202</v>
      </c>
    </row>
    <row r="1356" spans="1:15" x14ac:dyDescent="0.25">
      <c r="A1356" t="s">
        <v>16</v>
      </c>
      <c r="B1356" t="s">
        <v>3221</v>
      </c>
      <c r="C1356">
        <v>2517</v>
      </c>
      <c r="D1356" t="s">
        <v>408</v>
      </c>
      <c r="E1356" t="s">
        <v>409</v>
      </c>
      <c r="F1356">
        <v>91.98</v>
      </c>
      <c r="G1356">
        <v>230223</v>
      </c>
      <c r="H1356">
        <v>4470</v>
      </c>
      <c r="I1356" t="s">
        <v>83</v>
      </c>
      <c r="J1356">
        <v>114.05</v>
      </c>
      <c r="K1356">
        <v>22.07</v>
      </c>
      <c r="L1356">
        <v>46564</v>
      </c>
      <c r="M1356" t="s">
        <v>727</v>
      </c>
      <c r="N1356" t="str">
        <f>"501162936   "</f>
        <v xml:space="preserve">501162936   </v>
      </c>
      <c r="O1356">
        <v>230301</v>
      </c>
    </row>
    <row r="1357" spans="1:15" x14ac:dyDescent="0.25">
      <c r="A1357" t="s">
        <v>16</v>
      </c>
      <c r="B1357" t="s">
        <v>3221</v>
      </c>
      <c r="C1357">
        <v>4259</v>
      </c>
      <c r="D1357" t="s">
        <v>408</v>
      </c>
      <c r="E1357" t="s">
        <v>409</v>
      </c>
      <c r="F1357">
        <v>69.349999999999994</v>
      </c>
      <c r="G1357">
        <v>230331</v>
      </c>
      <c r="H1357">
        <v>4470</v>
      </c>
      <c r="I1357" t="s">
        <v>83</v>
      </c>
      <c r="J1357">
        <v>86</v>
      </c>
      <c r="K1357">
        <v>16.649999999999999</v>
      </c>
      <c r="L1357">
        <v>49701</v>
      </c>
      <c r="M1357" t="s">
        <v>166</v>
      </c>
      <c r="N1357" t="str">
        <f>"502010131   "</f>
        <v xml:space="preserve">502010131   </v>
      </c>
      <c r="O1357">
        <v>230403</v>
      </c>
    </row>
    <row r="1358" spans="1:15" x14ac:dyDescent="0.25">
      <c r="A1358" t="s">
        <v>16</v>
      </c>
      <c r="B1358" t="s">
        <v>3221</v>
      </c>
      <c r="C1358">
        <v>4606</v>
      </c>
      <c r="D1358" t="s">
        <v>408</v>
      </c>
      <c r="E1358" t="s">
        <v>409</v>
      </c>
      <c r="F1358">
        <v>34.68</v>
      </c>
      <c r="G1358">
        <v>230331</v>
      </c>
      <c r="H1358">
        <v>4470</v>
      </c>
      <c r="I1358" t="s">
        <v>83</v>
      </c>
      <c r="J1358">
        <v>43</v>
      </c>
      <c r="K1358">
        <v>8.32</v>
      </c>
      <c r="L1358">
        <v>67554</v>
      </c>
      <c r="M1358" t="s">
        <v>60</v>
      </c>
      <c r="N1358" t="str">
        <f>"502009074   "</f>
        <v xml:space="preserve">502009074   </v>
      </c>
      <c r="O1358">
        <v>230411</v>
      </c>
    </row>
    <row r="1359" spans="1:15" x14ac:dyDescent="0.25">
      <c r="A1359" t="s">
        <v>16</v>
      </c>
      <c r="B1359" t="s">
        <v>3221</v>
      </c>
      <c r="C1359">
        <v>5995</v>
      </c>
      <c r="D1359" t="s">
        <v>408</v>
      </c>
      <c r="E1359" t="s">
        <v>409</v>
      </c>
      <c r="F1359">
        <v>21.77</v>
      </c>
      <c r="G1359">
        <v>230430</v>
      </c>
      <c r="H1359">
        <v>4470</v>
      </c>
      <c r="I1359" t="s">
        <v>83</v>
      </c>
      <c r="J1359">
        <v>27</v>
      </c>
      <c r="K1359">
        <v>5.23</v>
      </c>
      <c r="L1359">
        <v>46564</v>
      </c>
      <c r="M1359" t="s">
        <v>727</v>
      </c>
      <c r="N1359" t="str">
        <f>"502016548   "</f>
        <v xml:space="preserve">502016548   </v>
      </c>
      <c r="O1359">
        <v>230505</v>
      </c>
    </row>
    <row r="1360" spans="1:15" x14ac:dyDescent="0.25">
      <c r="A1360" t="s">
        <v>16</v>
      </c>
      <c r="B1360" t="s">
        <v>3221</v>
      </c>
      <c r="C1360">
        <v>5995</v>
      </c>
      <c r="D1360" t="s">
        <v>408</v>
      </c>
      <c r="E1360" t="s">
        <v>409</v>
      </c>
      <c r="F1360">
        <v>47.58</v>
      </c>
      <c r="G1360">
        <v>230430</v>
      </c>
      <c r="H1360">
        <v>4470</v>
      </c>
      <c r="I1360" t="s">
        <v>83</v>
      </c>
      <c r="J1360">
        <v>59</v>
      </c>
      <c r="K1360">
        <v>11.42</v>
      </c>
      <c r="L1360">
        <v>49701</v>
      </c>
      <c r="M1360" t="s">
        <v>166</v>
      </c>
      <c r="N1360" t="str">
        <f>"502016548   "</f>
        <v xml:space="preserve">502016548   </v>
      </c>
      <c r="O1360">
        <v>230505</v>
      </c>
    </row>
    <row r="1361" spans="1:15" x14ac:dyDescent="0.25">
      <c r="A1361" t="s">
        <v>16</v>
      </c>
      <c r="B1361" t="s">
        <v>3221</v>
      </c>
      <c r="C1361">
        <v>6498</v>
      </c>
      <c r="D1361" t="s">
        <v>408</v>
      </c>
      <c r="E1361" t="s">
        <v>409</v>
      </c>
      <c r="F1361">
        <v>164.84</v>
      </c>
      <c r="G1361">
        <v>230509</v>
      </c>
      <c r="H1361">
        <v>4470</v>
      </c>
      <c r="I1361" t="s">
        <v>83</v>
      </c>
      <c r="J1361">
        <v>204.4</v>
      </c>
      <c r="K1361">
        <v>39.56</v>
      </c>
      <c r="L1361">
        <v>17527</v>
      </c>
      <c r="M1361" t="s">
        <v>422</v>
      </c>
      <c r="N1361" t="str">
        <f>"502018106   "</f>
        <v xml:space="preserve">502018106   </v>
      </c>
      <c r="O1361">
        <v>230512</v>
      </c>
    </row>
    <row r="1362" spans="1:15" x14ac:dyDescent="0.25">
      <c r="A1362" t="s">
        <v>16</v>
      </c>
      <c r="B1362" t="s">
        <v>3221</v>
      </c>
      <c r="C1362">
        <v>7141</v>
      </c>
      <c r="D1362" t="s">
        <v>408</v>
      </c>
      <c r="E1362" t="s">
        <v>409</v>
      </c>
      <c r="F1362">
        <v>42.74</v>
      </c>
      <c r="G1362">
        <v>230523</v>
      </c>
      <c r="H1362">
        <v>4470</v>
      </c>
      <c r="I1362" t="s">
        <v>83</v>
      </c>
      <c r="J1362">
        <v>53</v>
      </c>
      <c r="K1362">
        <v>10.26</v>
      </c>
      <c r="L1362">
        <v>46564</v>
      </c>
      <c r="M1362" t="s">
        <v>727</v>
      </c>
      <c r="N1362" t="str">
        <f>"502021210   "</f>
        <v xml:space="preserve">502021210   </v>
      </c>
      <c r="O1362">
        <v>230525</v>
      </c>
    </row>
    <row r="1363" spans="1:15" x14ac:dyDescent="0.25">
      <c r="A1363" t="s">
        <v>16</v>
      </c>
      <c r="B1363" t="s">
        <v>3221</v>
      </c>
      <c r="C1363">
        <v>7141</v>
      </c>
      <c r="D1363" t="s">
        <v>408</v>
      </c>
      <c r="E1363" t="s">
        <v>409</v>
      </c>
      <c r="F1363">
        <v>47.58</v>
      </c>
      <c r="G1363">
        <v>230523</v>
      </c>
      <c r="H1363">
        <v>4470</v>
      </c>
      <c r="I1363" t="s">
        <v>83</v>
      </c>
      <c r="J1363">
        <v>59</v>
      </c>
      <c r="K1363">
        <v>11.42</v>
      </c>
      <c r="L1363">
        <v>49701</v>
      </c>
      <c r="M1363" t="s">
        <v>166</v>
      </c>
      <c r="N1363" t="str">
        <f>"502021210   "</f>
        <v xml:space="preserve">502021210   </v>
      </c>
      <c r="O1363">
        <v>230525</v>
      </c>
    </row>
    <row r="1364" spans="1:15" x14ac:dyDescent="0.25">
      <c r="A1364" t="s">
        <v>16</v>
      </c>
      <c r="B1364" t="s">
        <v>3221</v>
      </c>
      <c r="C1364">
        <v>8160</v>
      </c>
      <c r="D1364" t="s">
        <v>408</v>
      </c>
      <c r="E1364" t="s">
        <v>409</v>
      </c>
      <c r="F1364">
        <v>34.68</v>
      </c>
      <c r="G1364">
        <v>230531</v>
      </c>
      <c r="H1364">
        <v>4470</v>
      </c>
      <c r="I1364" t="s">
        <v>83</v>
      </c>
      <c r="J1364">
        <v>43</v>
      </c>
      <c r="K1364">
        <v>8.32</v>
      </c>
      <c r="L1364">
        <v>67522</v>
      </c>
      <c r="M1364" t="s">
        <v>397</v>
      </c>
      <c r="N1364" t="str">
        <f>"502022346   "</f>
        <v xml:space="preserve">502022346   </v>
      </c>
      <c r="O1364">
        <v>230607</v>
      </c>
    </row>
    <row r="1365" spans="1:15" x14ac:dyDescent="0.25">
      <c r="A1365" t="s">
        <v>16</v>
      </c>
      <c r="B1365" t="s">
        <v>3221</v>
      </c>
      <c r="C1365">
        <v>8160</v>
      </c>
      <c r="D1365" t="s">
        <v>408</v>
      </c>
      <c r="E1365" t="s">
        <v>409</v>
      </c>
      <c r="F1365">
        <v>34.68</v>
      </c>
      <c r="G1365">
        <v>230531</v>
      </c>
      <c r="H1365">
        <v>4470</v>
      </c>
      <c r="I1365" t="s">
        <v>83</v>
      </c>
      <c r="J1365">
        <v>43</v>
      </c>
      <c r="K1365">
        <v>8.32</v>
      </c>
      <c r="L1365">
        <v>67554</v>
      </c>
      <c r="M1365" t="s">
        <v>60</v>
      </c>
      <c r="N1365" t="str">
        <f>"502022346   "</f>
        <v xml:space="preserve">502022346   </v>
      </c>
      <c r="O1365">
        <v>230607</v>
      </c>
    </row>
    <row r="1366" spans="1:15" x14ac:dyDescent="0.25">
      <c r="A1366" t="s">
        <v>16</v>
      </c>
      <c r="B1366" t="s">
        <v>3221</v>
      </c>
      <c r="C1366">
        <v>8160</v>
      </c>
      <c r="D1366" t="s">
        <v>408</v>
      </c>
      <c r="E1366" t="s">
        <v>409</v>
      </c>
      <c r="F1366">
        <v>34.68</v>
      </c>
      <c r="G1366">
        <v>230531</v>
      </c>
      <c r="H1366">
        <v>4470</v>
      </c>
      <c r="I1366" t="s">
        <v>83</v>
      </c>
      <c r="J1366">
        <v>43</v>
      </c>
      <c r="K1366">
        <v>8.32</v>
      </c>
      <c r="L1366">
        <v>69111</v>
      </c>
      <c r="M1366" t="s">
        <v>471</v>
      </c>
      <c r="N1366" t="str">
        <f>"502022346   "</f>
        <v xml:space="preserve">502022346   </v>
      </c>
      <c r="O1366">
        <v>230607</v>
      </c>
    </row>
    <row r="1367" spans="1:15" x14ac:dyDescent="0.25">
      <c r="A1367" t="s">
        <v>16</v>
      </c>
      <c r="B1367" t="s">
        <v>3221</v>
      </c>
      <c r="C1367">
        <v>8160</v>
      </c>
      <c r="D1367" t="s">
        <v>408</v>
      </c>
      <c r="E1367" t="s">
        <v>409</v>
      </c>
      <c r="F1367">
        <v>34.68</v>
      </c>
      <c r="G1367">
        <v>230531</v>
      </c>
      <c r="H1367">
        <v>4470</v>
      </c>
      <c r="I1367" t="s">
        <v>83</v>
      </c>
      <c r="J1367">
        <v>43</v>
      </c>
      <c r="K1367">
        <v>8.32</v>
      </c>
      <c r="L1367">
        <v>69501</v>
      </c>
      <c r="M1367" t="s">
        <v>185</v>
      </c>
      <c r="N1367" t="str">
        <f>"502022346   "</f>
        <v xml:space="preserve">502022346   </v>
      </c>
      <c r="O1367">
        <v>230607</v>
      </c>
    </row>
    <row r="1368" spans="1:15" x14ac:dyDescent="0.25">
      <c r="A1368" t="s">
        <v>16</v>
      </c>
      <c r="B1368" t="s">
        <v>3221</v>
      </c>
      <c r="C1368">
        <v>8891</v>
      </c>
      <c r="D1368" t="s">
        <v>408</v>
      </c>
      <c r="E1368" t="s">
        <v>409</v>
      </c>
      <c r="F1368">
        <v>59.68</v>
      </c>
      <c r="G1368">
        <v>230615</v>
      </c>
      <c r="H1368">
        <v>4470</v>
      </c>
      <c r="I1368" t="s">
        <v>83</v>
      </c>
      <c r="J1368">
        <v>74</v>
      </c>
      <c r="K1368">
        <v>14.32</v>
      </c>
      <c r="L1368">
        <v>67554</v>
      </c>
      <c r="M1368" t="s">
        <v>60</v>
      </c>
      <c r="N1368" t="str">
        <f>"502026572   "</f>
        <v xml:space="preserve">502026572   </v>
      </c>
      <c r="O1368">
        <v>230619</v>
      </c>
    </row>
    <row r="1369" spans="1:15" x14ac:dyDescent="0.25">
      <c r="A1369" t="s">
        <v>16</v>
      </c>
      <c r="B1369" t="s">
        <v>3221</v>
      </c>
      <c r="C1369">
        <v>8891</v>
      </c>
      <c r="D1369" t="s">
        <v>408</v>
      </c>
      <c r="E1369" t="s">
        <v>409</v>
      </c>
      <c r="F1369">
        <v>59.68</v>
      </c>
      <c r="G1369">
        <v>230615</v>
      </c>
      <c r="H1369">
        <v>4470</v>
      </c>
      <c r="I1369" t="s">
        <v>83</v>
      </c>
      <c r="J1369">
        <v>74</v>
      </c>
      <c r="K1369">
        <v>14.32</v>
      </c>
      <c r="L1369">
        <v>69702</v>
      </c>
      <c r="M1369" t="s">
        <v>489</v>
      </c>
      <c r="N1369" t="str">
        <f>"502026572   "</f>
        <v xml:space="preserve">502026572   </v>
      </c>
      <c r="O1369">
        <v>230619</v>
      </c>
    </row>
    <row r="1370" spans="1:15" x14ac:dyDescent="0.25">
      <c r="A1370" t="s">
        <v>16</v>
      </c>
      <c r="B1370" t="s">
        <v>3221</v>
      </c>
      <c r="C1370">
        <v>9303</v>
      </c>
      <c r="D1370" t="s">
        <v>408</v>
      </c>
      <c r="E1370" t="s">
        <v>409</v>
      </c>
      <c r="F1370">
        <v>4.6900000000000004</v>
      </c>
      <c r="G1370">
        <v>230630</v>
      </c>
      <c r="H1370">
        <v>4470</v>
      </c>
      <c r="I1370" t="s">
        <v>83</v>
      </c>
      <c r="J1370">
        <v>5.81</v>
      </c>
      <c r="K1370">
        <v>1.1200000000000001</v>
      </c>
      <c r="L1370">
        <v>13501</v>
      </c>
      <c r="M1370" t="s">
        <v>20</v>
      </c>
      <c r="N1370" t="str">
        <f>"502030034   "</f>
        <v xml:space="preserve">502030034   </v>
      </c>
      <c r="O1370">
        <v>230705</v>
      </c>
    </row>
    <row r="1371" spans="1:15" x14ac:dyDescent="0.25">
      <c r="A1371" t="s">
        <v>16</v>
      </c>
      <c r="B1371" t="s">
        <v>3221</v>
      </c>
      <c r="C1371">
        <v>9303</v>
      </c>
      <c r="D1371" t="s">
        <v>408</v>
      </c>
      <c r="E1371" t="s">
        <v>409</v>
      </c>
      <c r="F1371">
        <v>12.26</v>
      </c>
      <c r="G1371">
        <v>230630</v>
      </c>
      <c r="H1371">
        <v>4470</v>
      </c>
      <c r="I1371" t="s">
        <v>83</v>
      </c>
      <c r="J1371">
        <v>15.2</v>
      </c>
      <c r="K1371">
        <v>2.94</v>
      </c>
      <c r="L1371">
        <v>16121</v>
      </c>
      <c r="M1371" t="s">
        <v>21</v>
      </c>
      <c r="N1371" t="str">
        <f>"502030034   "</f>
        <v xml:space="preserve">502030034   </v>
      </c>
      <c r="O1371">
        <v>230705</v>
      </c>
    </row>
    <row r="1372" spans="1:15" x14ac:dyDescent="0.25">
      <c r="A1372" t="s">
        <v>16</v>
      </c>
      <c r="B1372" t="s">
        <v>3221</v>
      </c>
      <c r="C1372">
        <v>9303</v>
      </c>
      <c r="D1372" t="s">
        <v>408</v>
      </c>
      <c r="E1372" t="s">
        <v>409</v>
      </c>
      <c r="F1372">
        <v>12.26</v>
      </c>
      <c r="G1372">
        <v>230630</v>
      </c>
      <c r="H1372">
        <v>4470</v>
      </c>
      <c r="I1372" t="s">
        <v>83</v>
      </c>
      <c r="J1372">
        <v>15.2</v>
      </c>
      <c r="K1372">
        <v>2.94</v>
      </c>
      <c r="L1372">
        <v>16322</v>
      </c>
      <c r="M1372" t="s">
        <v>22</v>
      </c>
      <c r="N1372" t="str">
        <f>"502030034   "</f>
        <v xml:space="preserve">502030034   </v>
      </c>
      <c r="O1372">
        <v>230705</v>
      </c>
    </row>
    <row r="1373" spans="1:15" x14ac:dyDescent="0.25">
      <c r="A1373" t="s">
        <v>16</v>
      </c>
      <c r="B1373" t="s">
        <v>3221</v>
      </c>
      <c r="C1373">
        <v>9303</v>
      </c>
      <c r="D1373" t="s">
        <v>408</v>
      </c>
      <c r="E1373" t="s">
        <v>409</v>
      </c>
      <c r="F1373">
        <v>12.26</v>
      </c>
      <c r="G1373">
        <v>230630</v>
      </c>
      <c r="H1373">
        <v>4470</v>
      </c>
      <c r="I1373" t="s">
        <v>83</v>
      </c>
      <c r="J1373">
        <v>15.2</v>
      </c>
      <c r="K1373">
        <v>2.94</v>
      </c>
      <c r="L1373">
        <v>16820</v>
      </c>
      <c r="M1373" t="s">
        <v>23</v>
      </c>
      <c r="N1373" t="str">
        <f>"502030034   "</f>
        <v xml:space="preserve">502030034   </v>
      </c>
      <c r="O1373">
        <v>230705</v>
      </c>
    </row>
    <row r="1374" spans="1:15" x14ac:dyDescent="0.25">
      <c r="A1374" t="s">
        <v>16</v>
      </c>
      <c r="B1374" t="s">
        <v>3221</v>
      </c>
      <c r="C1374">
        <v>9303</v>
      </c>
      <c r="D1374" t="s">
        <v>408</v>
      </c>
      <c r="E1374" t="s">
        <v>409</v>
      </c>
      <c r="F1374">
        <v>36.770000000000003</v>
      </c>
      <c r="G1374">
        <v>230630</v>
      </c>
      <c r="H1374">
        <v>4470</v>
      </c>
      <c r="I1374" t="s">
        <v>83</v>
      </c>
      <c r="J1374">
        <v>45.59</v>
      </c>
      <c r="K1374">
        <v>8.82</v>
      </c>
      <c r="L1374">
        <v>17538</v>
      </c>
      <c r="M1374" t="s">
        <v>24</v>
      </c>
      <c r="N1374" t="str">
        <f>"502030034   "</f>
        <v xml:space="preserve">502030034   </v>
      </c>
      <c r="O1374">
        <v>230705</v>
      </c>
    </row>
    <row r="1375" spans="1:15" x14ac:dyDescent="0.25">
      <c r="A1375" t="s">
        <v>16</v>
      </c>
      <c r="B1375" t="s">
        <v>3221</v>
      </c>
      <c r="C1375">
        <v>11390</v>
      </c>
      <c r="D1375" t="s">
        <v>408</v>
      </c>
      <c r="E1375" t="s">
        <v>409</v>
      </c>
      <c r="F1375">
        <v>66.13</v>
      </c>
      <c r="G1375">
        <v>230831</v>
      </c>
      <c r="H1375">
        <v>4470</v>
      </c>
      <c r="I1375" t="s">
        <v>83</v>
      </c>
      <c r="J1375">
        <v>82</v>
      </c>
      <c r="K1375">
        <v>15.87</v>
      </c>
      <c r="L1375">
        <v>46564</v>
      </c>
      <c r="M1375" t="s">
        <v>727</v>
      </c>
      <c r="N1375" t="str">
        <f>"502043020   "</f>
        <v xml:space="preserve">502043020   </v>
      </c>
      <c r="O1375">
        <v>230905</v>
      </c>
    </row>
    <row r="1376" spans="1:15" x14ac:dyDescent="0.25">
      <c r="A1376" t="s">
        <v>16</v>
      </c>
      <c r="B1376" t="s">
        <v>3221</v>
      </c>
      <c r="C1376">
        <v>11390</v>
      </c>
      <c r="D1376" t="s">
        <v>408</v>
      </c>
      <c r="E1376" t="s">
        <v>409</v>
      </c>
      <c r="F1376">
        <v>47.58</v>
      </c>
      <c r="G1376">
        <v>230831</v>
      </c>
      <c r="H1376">
        <v>4470</v>
      </c>
      <c r="I1376" t="s">
        <v>83</v>
      </c>
      <c r="J1376">
        <v>59</v>
      </c>
      <c r="K1376">
        <v>11.42</v>
      </c>
      <c r="L1376">
        <v>49701</v>
      </c>
      <c r="M1376" t="s">
        <v>166</v>
      </c>
      <c r="N1376" t="str">
        <f>"502043020   "</f>
        <v xml:space="preserve">502043020   </v>
      </c>
      <c r="O1376">
        <v>230905</v>
      </c>
    </row>
    <row r="1377" spans="1:15" x14ac:dyDescent="0.25">
      <c r="A1377" t="s">
        <v>16</v>
      </c>
      <c r="B1377" t="s">
        <v>3221</v>
      </c>
      <c r="C1377">
        <v>13859</v>
      </c>
      <c r="D1377" t="s">
        <v>408</v>
      </c>
      <c r="E1377" t="s">
        <v>409</v>
      </c>
      <c r="F1377">
        <v>47.58</v>
      </c>
      <c r="G1377">
        <v>230930</v>
      </c>
      <c r="H1377">
        <v>4470</v>
      </c>
      <c r="I1377" t="s">
        <v>83</v>
      </c>
      <c r="J1377">
        <v>59</v>
      </c>
      <c r="K1377">
        <v>11.42</v>
      </c>
      <c r="L1377">
        <v>46564</v>
      </c>
      <c r="M1377" t="s">
        <v>727</v>
      </c>
      <c r="N1377" t="str">
        <f>"502049555   "</f>
        <v xml:space="preserve">502049555   </v>
      </c>
      <c r="O1377">
        <v>231016</v>
      </c>
    </row>
    <row r="1378" spans="1:15" x14ac:dyDescent="0.25">
      <c r="A1378" t="s">
        <v>16</v>
      </c>
      <c r="B1378" t="s">
        <v>3221</v>
      </c>
      <c r="C1378">
        <v>15398</v>
      </c>
      <c r="D1378" t="s">
        <v>408</v>
      </c>
      <c r="E1378" t="s">
        <v>409</v>
      </c>
      <c r="F1378">
        <v>90.32</v>
      </c>
      <c r="G1378">
        <v>231107</v>
      </c>
      <c r="H1378">
        <v>4470</v>
      </c>
      <c r="I1378" t="s">
        <v>83</v>
      </c>
      <c r="J1378">
        <v>112</v>
      </c>
      <c r="K1378">
        <v>21.68</v>
      </c>
      <c r="L1378">
        <v>49701</v>
      </c>
      <c r="M1378" t="s">
        <v>166</v>
      </c>
      <c r="N1378" t="str">
        <f>"502057933   "</f>
        <v xml:space="preserve">502057933   </v>
      </c>
      <c r="O1378">
        <v>231113</v>
      </c>
    </row>
    <row r="1379" spans="1:15" x14ac:dyDescent="0.25">
      <c r="A1379" t="s">
        <v>16</v>
      </c>
      <c r="B1379" t="s">
        <v>3221</v>
      </c>
      <c r="C1379">
        <v>15961</v>
      </c>
      <c r="D1379" t="s">
        <v>408</v>
      </c>
      <c r="E1379" t="s">
        <v>409</v>
      </c>
      <c r="F1379">
        <v>44.76</v>
      </c>
      <c r="G1379">
        <v>231115</v>
      </c>
      <c r="H1379">
        <v>4470</v>
      </c>
      <c r="I1379" t="s">
        <v>83</v>
      </c>
      <c r="J1379">
        <v>55.5</v>
      </c>
      <c r="K1379">
        <v>10.74</v>
      </c>
      <c r="L1379">
        <v>17711</v>
      </c>
      <c r="M1379" t="s">
        <v>65</v>
      </c>
      <c r="N1379" t="str">
        <f>"502059051   "</f>
        <v xml:space="preserve">502059051   </v>
      </c>
      <c r="O1379">
        <v>231122</v>
      </c>
    </row>
    <row r="1380" spans="1:15" x14ac:dyDescent="0.25">
      <c r="A1380" t="s">
        <v>16</v>
      </c>
      <c r="B1380" t="s">
        <v>3221</v>
      </c>
      <c r="C1380">
        <v>15961</v>
      </c>
      <c r="D1380" t="s">
        <v>408</v>
      </c>
      <c r="E1380" t="s">
        <v>409</v>
      </c>
      <c r="F1380">
        <v>60.89</v>
      </c>
      <c r="G1380">
        <v>231115</v>
      </c>
      <c r="H1380">
        <v>4470</v>
      </c>
      <c r="I1380" t="s">
        <v>83</v>
      </c>
      <c r="J1380">
        <v>75.5</v>
      </c>
      <c r="K1380">
        <v>14.61</v>
      </c>
      <c r="L1380">
        <v>66756</v>
      </c>
      <c r="M1380" t="s">
        <v>209</v>
      </c>
      <c r="N1380" t="str">
        <f>"502059051   "</f>
        <v xml:space="preserve">502059051   </v>
      </c>
      <c r="O1380">
        <v>231122</v>
      </c>
    </row>
    <row r="1381" spans="1:15" x14ac:dyDescent="0.25">
      <c r="A1381" t="s">
        <v>16</v>
      </c>
      <c r="B1381" t="s">
        <v>3221</v>
      </c>
      <c r="C1381">
        <v>15961</v>
      </c>
      <c r="D1381" t="s">
        <v>408</v>
      </c>
      <c r="E1381" t="s">
        <v>409</v>
      </c>
      <c r="F1381">
        <v>35.89</v>
      </c>
      <c r="G1381">
        <v>231115</v>
      </c>
      <c r="H1381">
        <v>4470</v>
      </c>
      <c r="I1381" t="s">
        <v>83</v>
      </c>
      <c r="J1381">
        <v>44.5</v>
      </c>
      <c r="K1381">
        <v>8.61</v>
      </c>
      <c r="L1381">
        <v>67522</v>
      </c>
      <c r="M1381" t="s">
        <v>397</v>
      </c>
      <c r="N1381" t="str">
        <f>"502059051   "</f>
        <v xml:space="preserve">502059051   </v>
      </c>
      <c r="O1381">
        <v>231122</v>
      </c>
    </row>
    <row r="1382" spans="1:15" x14ac:dyDescent="0.25">
      <c r="A1382" t="s">
        <v>16</v>
      </c>
      <c r="B1382" t="s">
        <v>3221</v>
      </c>
      <c r="C1382">
        <v>15961</v>
      </c>
      <c r="D1382" t="s">
        <v>408</v>
      </c>
      <c r="E1382" t="s">
        <v>409</v>
      </c>
      <c r="F1382">
        <v>60.89</v>
      </c>
      <c r="G1382">
        <v>231115</v>
      </c>
      <c r="H1382">
        <v>4470</v>
      </c>
      <c r="I1382" t="s">
        <v>83</v>
      </c>
      <c r="J1382">
        <v>75.5</v>
      </c>
      <c r="K1382">
        <v>14.61</v>
      </c>
      <c r="L1382">
        <v>69501</v>
      </c>
      <c r="M1382" t="s">
        <v>185</v>
      </c>
      <c r="N1382" t="str">
        <f>"502059051   "</f>
        <v xml:space="preserve">502059051   </v>
      </c>
      <c r="O1382">
        <v>231122</v>
      </c>
    </row>
    <row r="1383" spans="1:15" x14ac:dyDescent="0.25">
      <c r="A1383" t="s">
        <v>16</v>
      </c>
      <c r="B1383" t="s">
        <v>3221</v>
      </c>
      <c r="C1383">
        <v>18592</v>
      </c>
      <c r="D1383" t="s">
        <v>408</v>
      </c>
      <c r="E1383" t="s">
        <v>409</v>
      </c>
      <c r="F1383">
        <v>27.42</v>
      </c>
      <c r="G1383">
        <v>231231</v>
      </c>
      <c r="H1383">
        <v>4470</v>
      </c>
      <c r="I1383" t="s">
        <v>83</v>
      </c>
      <c r="J1383">
        <v>34</v>
      </c>
      <c r="K1383">
        <v>6.58</v>
      </c>
      <c r="L1383">
        <v>17737</v>
      </c>
      <c r="M1383" t="s">
        <v>279</v>
      </c>
      <c r="N1383" t="str">
        <f>"502067037   "</f>
        <v xml:space="preserve">502067037   </v>
      </c>
      <c r="O1383">
        <v>240104</v>
      </c>
    </row>
    <row r="1384" spans="1:15" x14ac:dyDescent="0.25">
      <c r="A1384" t="s">
        <v>16</v>
      </c>
      <c r="B1384" t="s">
        <v>3221</v>
      </c>
      <c r="C1384">
        <v>1957</v>
      </c>
      <c r="D1384" t="s">
        <v>1243</v>
      </c>
      <c r="E1384" t="s">
        <v>1244</v>
      </c>
      <c r="F1384">
        <v>51.8</v>
      </c>
      <c r="G1384">
        <v>230213</v>
      </c>
      <c r="H1384">
        <v>4600</v>
      </c>
      <c r="I1384" t="s">
        <v>105</v>
      </c>
      <c r="J1384">
        <v>64.23</v>
      </c>
      <c r="K1384">
        <v>12.43</v>
      </c>
      <c r="L1384">
        <v>49501</v>
      </c>
      <c r="M1384" t="s">
        <v>177</v>
      </c>
      <c r="N1384" t="str">
        <f>"10074       "</f>
        <v xml:space="preserve">10074       </v>
      </c>
      <c r="O1384">
        <v>230216</v>
      </c>
    </row>
    <row r="1385" spans="1:15" x14ac:dyDescent="0.25">
      <c r="A1385" t="s">
        <v>16</v>
      </c>
      <c r="B1385" t="s">
        <v>3221</v>
      </c>
      <c r="C1385">
        <v>16665</v>
      </c>
      <c r="D1385" t="s">
        <v>3308</v>
      </c>
      <c r="E1385" t="s">
        <v>3309</v>
      </c>
      <c r="F1385">
        <v>280</v>
      </c>
      <c r="G1385">
        <v>231127</v>
      </c>
      <c r="H1385">
        <v>4441</v>
      </c>
      <c r="I1385" t="s">
        <v>109</v>
      </c>
      <c r="J1385">
        <v>280</v>
      </c>
      <c r="K1385">
        <v>0</v>
      </c>
      <c r="L1385">
        <v>11903</v>
      </c>
      <c r="M1385" t="s">
        <v>406</v>
      </c>
      <c r="N1385" t="str">
        <f>"615/815565  "</f>
        <v xml:space="preserve">615/815565  </v>
      </c>
      <c r="O1385">
        <v>231205</v>
      </c>
    </row>
    <row r="1386" spans="1:15" x14ac:dyDescent="0.25">
      <c r="A1386" t="s">
        <v>16</v>
      </c>
      <c r="B1386" t="s">
        <v>3221</v>
      </c>
      <c r="C1386">
        <v>9409</v>
      </c>
      <c r="D1386" t="s">
        <v>1661</v>
      </c>
      <c r="E1386" t="s">
        <v>1662</v>
      </c>
      <c r="F1386">
        <v>1220</v>
      </c>
      <c r="G1386">
        <v>230628</v>
      </c>
      <c r="H1386">
        <v>4400</v>
      </c>
      <c r="I1386" t="s">
        <v>348</v>
      </c>
      <c r="J1386">
        <v>1512.8</v>
      </c>
      <c r="K1386">
        <v>292.8</v>
      </c>
      <c r="L1386">
        <v>49501</v>
      </c>
      <c r="M1386" t="s">
        <v>177</v>
      </c>
      <c r="N1386" t="str">
        <f>"23002428    "</f>
        <v xml:space="preserve">23002428    </v>
      </c>
      <c r="O1386">
        <v>230710</v>
      </c>
    </row>
    <row r="1387" spans="1:15" x14ac:dyDescent="0.25">
      <c r="A1387" t="s">
        <v>16</v>
      </c>
      <c r="B1387" t="s">
        <v>3221</v>
      </c>
      <c r="C1387">
        <v>4136</v>
      </c>
      <c r="D1387" t="s">
        <v>1661</v>
      </c>
      <c r="E1387" t="s">
        <v>1662</v>
      </c>
      <c r="F1387">
        <v>84.7</v>
      </c>
      <c r="G1387">
        <v>230329</v>
      </c>
      <c r="H1387">
        <v>4390</v>
      </c>
      <c r="I1387" t="s">
        <v>98</v>
      </c>
      <c r="J1387">
        <v>105.03</v>
      </c>
      <c r="K1387">
        <v>20.329999999999998</v>
      </c>
      <c r="L1387">
        <v>13540</v>
      </c>
      <c r="M1387" t="s">
        <v>85</v>
      </c>
      <c r="N1387" t="str">
        <f>"23001190    "</f>
        <v xml:space="preserve">23001190    </v>
      </c>
      <c r="O1387">
        <v>230330</v>
      </c>
    </row>
    <row r="1388" spans="1:15" x14ac:dyDescent="0.25">
      <c r="A1388" t="s">
        <v>16</v>
      </c>
      <c r="B1388" t="s">
        <v>3221</v>
      </c>
      <c r="C1388">
        <v>4136</v>
      </c>
      <c r="D1388" t="s">
        <v>1661</v>
      </c>
      <c r="E1388" t="s">
        <v>1662</v>
      </c>
      <c r="F1388">
        <v>685.3</v>
      </c>
      <c r="G1388">
        <v>230329</v>
      </c>
      <c r="H1388">
        <v>4390</v>
      </c>
      <c r="I1388" t="s">
        <v>98</v>
      </c>
      <c r="J1388">
        <v>849.77</v>
      </c>
      <c r="K1388">
        <v>164.47</v>
      </c>
      <c r="L1388">
        <v>17950</v>
      </c>
      <c r="M1388" t="s">
        <v>86</v>
      </c>
      <c r="N1388" t="str">
        <f>"23001190    "</f>
        <v xml:space="preserve">23001190    </v>
      </c>
      <c r="O1388">
        <v>230330</v>
      </c>
    </row>
    <row r="1389" spans="1:15" x14ac:dyDescent="0.25">
      <c r="A1389" t="s">
        <v>16</v>
      </c>
      <c r="B1389" t="s">
        <v>3221</v>
      </c>
      <c r="C1389">
        <v>6691</v>
      </c>
      <c r="D1389" t="s">
        <v>1661</v>
      </c>
      <c r="E1389" t="s">
        <v>1662</v>
      </c>
      <c r="F1389">
        <v>650</v>
      </c>
      <c r="G1389">
        <v>230509</v>
      </c>
      <c r="H1389">
        <v>4390</v>
      </c>
      <c r="I1389" t="s">
        <v>98</v>
      </c>
      <c r="J1389">
        <v>806</v>
      </c>
      <c r="K1389">
        <v>156</v>
      </c>
      <c r="L1389">
        <v>59501</v>
      </c>
      <c r="M1389" t="s">
        <v>69</v>
      </c>
      <c r="N1389" t="str">
        <f>"23001734    "</f>
        <v xml:space="preserve">23001734    </v>
      </c>
      <c r="O1389">
        <v>230517</v>
      </c>
    </row>
    <row r="1390" spans="1:15" x14ac:dyDescent="0.25">
      <c r="A1390" t="s">
        <v>16</v>
      </c>
      <c r="B1390" t="s">
        <v>3221</v>
      </c>
      <c r="C1390">
        <v>18686</v>
      </c>
      <c r="D1390" t="s">
        <v>3152</v>
      </c>
      <c r="E1390" t="s">
        <v>3153</v>
      </c>
      <c r="F1390">
        <v>306.5</v>
      </c>
      <c r="G1390">
        <v>231215</v>
      </c>
      <c r="H1390">
        <v>4555</v>
      </c>
      <c r="I1390" t="s">
        <v>481</v>
      </c>
      <c r="J1390">
        <v>380.06</v>
      </c>
      <c r="K1390">
        <v>73.56</v>
      </c>
      <c r="L1390">
        <v>44453</v>
      </c>
      <c r="M1390" t="s">
        <v>492</v>
      </c>
      <c r="N1390" t="str">
        <f>"1552        "</f>
        <v xml:space="preserve">1552        </v>
      </c>
      <c r="O1390">
        <v>240104</v>
      </c>
    </row>
    <row r="1391" spans="1:15" x14ac:dyDescent="0.25">
      <c r="A1391" t="s">
        <v>16</v>
      </c>
      <c r="B1391" t="s">
        <v>3221</v>
      </c>
      <c r="C1391">
        <v>9658</v>
      </c>
      <c r="D1391" t="s">
        <v>2316</v>
      </c>
      <c r="E1391" t="s">
        <v>2317</v>
      </c>
      <c r="F1391">
        <v>22.68</v>
      </c>
      <c r="G1391">
        <v>230704</v>
      </c>
      <c r="H1391">
        <v>4510</v>
      </c>
      <c r="I1391" t="s">
        <v>42</v>
      </c>
      <c r="J1391">
        <v>24.95</v>
      </c>
      <c r="K1391">
        <v>2.27</v>
      </c>
      <c r="L1391">
        <v>13801</v>
      </c>
      <c r="M1391" t="s">
        <v>162</v>
      </c>
      <c r="N1391" t="str">
        <f>"R4977575    "</f>
        <v xml:space="preserve">R4977575    </v>
      </c>
      <c r="O1391">
        <v>230718</v>
      </c>
    </row>
    <row r="1392" spans="1:15" x14ac:dyDescent="0.25">
      <c r="A1392" t="s">
        <v>16</v>
      </c>
      <c r="B1392" t="s">
        <v>3221</v>
      </c>
      <c r="C1392">
        <v>10350</v>
      </c>
      <c r="D1392" t="s">
        <v>2316</v>
      </c>
      <c r="E1392" t="s">
        <v>2317</v>
      </c>
      <c r="F1392">
        <v>24.95</v>
      </c>
      <c r="G1392">
        <v>230808</v>
      </c>
      <c r="H1392">
        <v>4510</v>
      </c>
      <c r="I1392" t="s">
        <v>42</v>
      </c>
      <c r="J1392">
        <v>24.95</v>
      </c>
      <c r="K1392">
        <v>0</v>
      </c>
      <c r="L1392">
        <v>13801</v>
      </c>
      <c r="M1392" t="s">
        <v>162</v>
      </c>
      <c r="N1392" t="str">
        <f>"R4977575/2  "</f>
        <v xml:space="preserve">R4977575/2  </v>
      </c>
      <c r="O1392">
        <v>230814</v>
      </c>
    </row>
    <row r="1393" spans="1:15" x14ac:dyDescent="0.25">
      <c r="A1393" t="s">
        <v>16</v>
      </c>
      <c r="B1393" t="s">
        <v>3221</v>
      </c>
      <c r="C1393">
        <v>13042</v>
      </c>
      <c r="D1393" t="s">
        <v>2316</v>
      </c>
      <c r="E1393" t="s">
        <v>2317</v>
      </c>
      <c r="F1393">
        <v>22.16</v>
      </c>
      <c r="G1393">
        <v>230919</v>
      </c>
      <c r="H1393">
        <v>4510</v>
      </c>
      <c r="I1393" t="s">
        <v>42</v>
      </c>
      <c r="J1393">
        <v>24.38</v>
      </c>
      <c r="K1393">
        <v>2.2200000000000002</v>
      </c>
      <c r="L1393">
        <v>56559</v>
      </c>
      <c r="M1393" t="s">
        <v>129</v>
      </c>
      <c r="N1393" t="str">
        <f>"R6089153    "</f>
        <v xml:space="preserve">R6089153    </v>
      </c>
      <c r="O1393">
        <v>231002</v>
      </c>
    </row>
    <row r="1394" spans="1:15" x14ac:dyDescent="0.25">
      <c r="A1394" t="s">
        <v>16</v>
      </c>
      <c r="B1394" t="s">
        <v>3221</v>
      </c>
      <c r="C1394">
        <v>1123</v>
      </c>
      <c r="D1394" t="s">
        <v>896</v>
      </c>
      <c r="E1394" t="s">
        <v>897</v>
      </c>
      <c r="F1394">
        <v>77.89</v>
      </c>
      <c r="G1394">
        <v>230123</v>
      </c>
      <c r="H1394">
        <v>4410</v>
      </c>
      <c r="I1394" t="s">
        <v>517</v>
      </c>
      <c r="J1394">
        <v>88.8</v>
      </c>
      <c r="K1394">
        <v>10.91</v>
      </c>
      <c r="L1394">
        <v>11001</v>
      </c>
      <c r="M1394" t="s">
        <v>326</v>
      </c>
      <c r="N1394" t="str">
        <f>"107621      "</f>
        <v xml:space="preserve">107621      </v>
      </c>
      <c r="O1394">
        <v>230206</v>
      </c>
    </row>
    <row r="1395" spans="1:15" x14ac:dyDescent="0.25">
      <c r="A1395" t="s">
        <v>16</v>
      </c>
      <c r="B1395" t="s">
        <v>3221</v>
      </c>
      <c r="C1395">
        <v>1123</v>
      </c>
      <c r="D1395" t="s">
        <v>896</v>
      </c>
      <c r="E1395" t="s">
        <v>897</v>
      </c>
      <c r="F1395">
        <v>150.81</v>
      </c>
      <c r="G1395">
        <v>230123</v>
      </c>
      <c r="H1395">
        <v>4410</v>
      </c>
      <c r="I1395" t="s">
        <v>517</v>
      </c>
      <c r="J1395">
        <v>187</v>
      </c>
      <c r="K1395">
        <v>36.19</v>
      </c>
      <c r="L1395">
        <v>14972</v>
      </c>
      <c r="M1395" t="s">
        <v>898</v>
      </c>
      <c r="N1395" t="str">
        <f>"107621      "</f>
        <v xml:space="preserve">107621      </v>
      </c>
      <c r="O1395">
        <v>230206</v>
      </c>
    </row>
    <row r="1396" spans="1:15" x14ac:dyDescent="0.25">
      <c r="A1396" t="s">
        <v>16</v>
      </c>
      <c r="B1396" t="s">
        <v>3221</v>
      </c>
      <c r="C1396">
        <v>1123</v>
      </c>
      <c r="D1396" t="s">
        <v>896</v>
      </c>
      <c r="E1396" t="s">
        <v>897</v>
      </c>
      <c r="F1396">
        <v>442.11</v>
      </c>
      <c r="G1396">
        <v>230123</v>
      </c>
      <c r="H1396">
        <v>4410</v>
      </c>
      <c r="I1396" t="s">
        <v>517</v>
      </c>
      <c r="J1396">
        <v>504</v>
      </c>
      <c r="K1396">
        <v>61.89</v>
      </c>
      <c r="L1396">
        <v>14972</v>
      </c>
      <c r="M1396" t="s">
        <v>898</v>
      </c>
      <c r="N1396" t="str">
        <f>"107621      "</f>
        <v xml:space="preserve">107621      </v>
      </c>
      <c r="O1396">
        <v>230206</v>
      </c>
    </row>
    <row r="1397" spans="1:15" x14ac:dyDescent="0.25">
      <c r="A1397" t="s">
        <v>16</v>
      </c>
      <c r="B1397" t="s">
        <v>3221</v>
      </c>
      <c r="C1397">
        <v>3888</v>
      </c>
      <c r="D1397" t="s">
        <v>896</v>
      </c>
      <c r="E1397" t="s">
        <v>897</v>
      </c>
      <c r="F1397">
        <v>277.89</v>
      </c>
      <c r="G1397">
        <v>230321</v>
      </c>
      <c r="H1397">
        <v>4410</v>
      </c>
      <c r="I1397" t="s">
        <v>517</v>
      </c>
      <c r="J1397">
        <v>316.8</v>
      </c>
      <c r="K1397">
        <v>38.909999999999997</v>
      </c>
      <c r="L1397">
        <v>11001</v>
      </c>
      <c r="M1397" t="s">
        <v>326</v>
      </c>
      <c r="N1397" t="str">
        <f>"107656      "</f>
        <v xml:space="preserve">107656      </v>
      </c>
      <c r="O1397">
        <v>230324</v>
      </c>
    </row>
    <row r="1398" spans="1:15" x14ac:dyDescent="0.25">
      <c r="A1398" t="s">
        <v>16</v>
      </c>
      <c r="B1398" t="s">
        <v>3221</v>
      </c>
      <c r="C1398">
        <v>7846</v>
      </c>
      <c r="D1398" t="s">
        <v>896</v>
      </c>
      <c r="E1398" t="s">
        <v>897</v>
      </c>
      <c r="F1398">
        <v>198.6</v>
      </c>
      <c r="G1398">
        <v>230530</v>
      </c>
      <c r="H1398">
        <v>4410</v>
      </c>
      <c r="I1398" t="s">
        <v>517</v>
      </c>
      <c r="J1398">
        <v>226.4</v>
      </c>
      <c r="K1398">
        <v>27.8</v>
      </c>
      <c r="L1398">
        <v>11001</v>
      </c>
      <c r="M1398" t="s">
        <v>326</v>
      </c>
      <c r="N1398" t="str">
        <f>"107693      "</f>
        <v xml:space="preserve">107693      </v>
      </c>
      <c r="O1398">
        <v>230605</v>
      </c>
    </row>
    <row r="1399" spans="1:15" x14ac:dyDescent="0.25">
      <c r="A1399" t="s">
        <v>16</v>
      </c>
      <c r="B1399" t="s">
        <v>3221</v>
      </c>
      <c r="C1399">
        <v>10259</v>
      </c>
      <c r="D1399" t="s">
        <v>896</v>
      </c>
      <c r="E1399" t="s">
        <v>897</v>
      </c>
      <c r="F1399">
        <v>74.56</v>
      </c>
      <c r="G1399">
        <v>230807</v>
      </c>
      <c r="H1399">
        <v>4410</v>
      </c>
      <c r="I1399" t="s">
        <v>517</v>
      </c>
      <c r="J1399">
        <v>85</v>
      </c>
      <c r="K1399">
        <v>10.44</v>
      </c>
      <c r="L1399">
        <v>11605</v>
      </c>
      <c r="M1399" t="s">
        <v>106</v>
      </c>
      <c r="N1399" t="str">
        <f>"107716      "</f>
        <v xml:space="preserve">107716      </v>
      </c>
      <c r="O1399">
        <v>230814</v>
      </c>
    </row>
    <row r="1400" spans="1:15" x14ac:dyDescent="0.25">
      <c r="A1400" t="s">
        <v>16</v>
      </c>
      <c r="B1400" t="s">
        <v>3221</v>
      </c>
      <c r="C1400">
        <v>11394</v>
      </c>
      <c r="D1400" t="s">
        <v>896</v>
      </c>
      <c r="E1400" t="s">
        <v>897</v>
      </c>
      <c r="F1400">
        <v>100.35</v>
      </c>
      <c r="G1400">
        <v>230831</v>
      </c>
      <c r="H1400">
        <v>4410</v>
      </c>
      <c r="I1400" t="s">
        <v>517</v>
      </c>
      <c r="J1400">
        <v>114.4</v>
      </c>
      <c r="K1400">
        <v>14.05</v>
      </c>
      <c r="L1400">
        <v>11001</v>
      </c>
      <c r="M1400" t="s">
        <v>326</v>
      </c>
      <c r="N1400" t="str">
        <f>"107722      "</f>
        <v xml:space="preserve">107722      </v>
      </c>
      <c r="O1400">
        <v>230905</v>
      </c>
    </row>
    <row r="1401" spans="1:15" x14ac:dyDescent="0.25">
      <c r="A1401" t="s">
        <v>16</v>
      </c>
      <c r="B1401" t="s">
        <v>3221</v>
      </c>
      <c r="C1401">
        <v>11787</v>
      </c>
      <c r="D1401" t="s">
        <v>896</v>
      </c>
      <c r="E1401" t="s">
        <v>897</v>
      </c>
      <c r="F1401">
        <v>355.26</v>
      </c>
      <c r="G1401">
        <v>230904</v>
      </c>
      <c r="H1401">
        <v>4410</v>
      </c>
      <c r="I1401" t="s">
        <v>517</v>
      </c>
      <c r="J1401">
        <v>405</v>
      </c>
      <c r="K1401">
        <v>49.74</v>
      </c>
      <c r="L1401">
        <v>49806</v>
      </c>
      <c r="M1401" t="s">
        <v>2515</v>
      </c>
      <c r="N1401" t="str">
        <f>"107725      "</f>
        <v xml:space="preserve">107725      </v>
      </c>
      <c r="O1401">
        <v>230911</v>
      </c>
    </row>
    <row r="1402" spans="1:15" x14ac:dyDescent="0.25">
      <c r="A1402" t="s">
        <v>16</v>
      </c>
      <c r="B1402" t="s">
        <v>3221</v>
      </c>
      <c r="C1402">
        <v>12793</v>
      </c>
      <c r="D1402" t="s">
        <v>896</v>
      </c>
      <c r="E1402" t="s">
        <v>897</v>
      </c>
      <c r="F1402">
        <v>16.13</v>
      </c>
      <c r="G1402">
        <v>230918</v>
      </c>
      <c r="H1402">
        <v>4410</v>
      </c>
      <c r="I1402" t="s">
        <v>517</v>
      </c>
      <c r="J1402">
        <v>20</v>
      </c>
      <c r="K1402">
        <v>3.87</v>
      </c>
      <c r="L1402">
        <v>49806</v>
      </c>
      <c r="M1402" t="s">
        <v>2515</v>
      </c>
      <c r="N1402" t="str">
        <f>"107731      "</f>
        <v xml:space="preserve">107731      </v>
      </c>
      <c r="O1402">
        <v>230926</v>
      </c>
    </row>
    <row r="1403" spans="1:15" x14ac:dyDescent="0.25">
      <c r="A1403" t="s">
        <v>16</v>
      </c>
      <c r="B1403" t="s">
        <v>3221</v>
      </c>
      <c r="C1403">
        <v>12793</v>
      </c>
      <c r="D1403" t="s">
        <v>896</v>
      </c>
      <c r="E1403" t="s">
        <v>897</v>
      </c>
      <c r="F1403">
        <v>513.16</v>
      </c>
      <c r="G1403">
        <v>230918</v>
      </c>
      <c r="H1403">
        <v>4410</v>
      </c>
      <c r="I1403" t="s">
        <v>517</v>
      </c>
      <c r="J1403">
        <v>585</v>
      </c>
      <c r="K1403">
        <v>71.84</v>
      </c>
      <c r="L1403">
        <v>49806</v>
      </c>
      <c r="M1403" t="s">
        <v>2515</v>
      </c>
      <c r="N1403" t="str">
        <f>"107731      "</f>
        <v xml:space="preserve">107731      </v>
      </c>
      <c r="O1403">
        <v>230926</v>
      </c>
    </row>
    <row r="1404" spans="1:15" x14ac:dyDescent="0.25">
      <c r="A1404" t="s">
        <v>16</v>
      </c>
      <c r="B1404" t="s">
        <v>3221</v>
      </c>
      <c r="C1404">
        <v>13163</v>
      </c>
      <c r="D1404" t="s">
        <v>896</v>
      </c>
      <c r="E1404" t="s">
        <v>897</v>
      </c>
      <c r="F1404">
        <v>240</v>
      </c>
      <c r="G1404">
        <v>230926</v>
      </c>
      <c r="H1404">
        <v>4410</v>
      </c>
      <c r="I1404" t="s">
        <v>517</v>
      </c>
      <c r="J1404">
        <v>273.60000000000002</v>
      </c>
      <c r="K1404">
        <v>33.6</v>
      </c>
      <c r="L1404">
        <v>18972</v>
      </c>
      <c r="M1404" t="s">
        <v>163</v>
      </c>
      <c r="N1404" t="str">
        <f>"107734      "</f>
        <v xml:space="preserve">107734      </v>
      </c>
      <c r="O1404">
        <v>231004</v>
      </c>
    </row>
    <row r="1405" spans="1:15" x14ac:dyDescent="0.25">
      <c r="A1405" t="s">
        <v>16</v>
      </c>
      <c r="B1405" t="s">
        <v>3221</v>
      </c>
      <c r="C1405">
        <v>14791</v>
      </c>
      <c r="D1405" t="s">
        <v>896</v>
      </c>
      <c r="E1405" t="s">
        <v>897</v>
      </c>
      <c r="F1405">
        <v>324.91000000000003</v>
      </c>
      <c r="G1405">
        <v>231026</v>
      </c>
      <c r="H1405">
        <v>4410</v>
      </c>
      <c r="I1405" t="s">
        <v>517</v>
      </c>
      <c r="J1405">
        <v>370.4</v>
      </c>
      <c r="K1405">
        <v>45.49</v>
      </c>
      <c r="L1405">
        <v>11001</v>
      </c>
      <c r="M1405" t="s">
        <v>326</v>
      </c>
      <c r="N1405" t="str">
        <f>"107752      "</f>
        <v xml:space="preserve">107752      </v>
      </c>
      <c r="O1405">
        <v>231106</v>
      </c>
    </row>
    <row r="1406" spans="1:15" x14ac:dyDescent="0.25">
      <c r="A1406" t="s">
        <v>16</v>
      </c>
      <c r="B1406" t="s">
        <v>3221</v>
      </c>
      <c r="C1406">
        <v>14830</v>
      </c>
      <c r="D1406" t="s">
        <v>896</v>
      </c>
      <c r="E1406" t="s">
        <v>897</v>
      </c>
      <c r="F1406">
        <v>263.42</v>
      </c>
      <c r="G1406">
        <v>231030</v>
      </c>
      <c r="H1406">
        <v>4410</v>
      </c>
      <c r="I1406" t="s">
        <v>517</v>
      </c>
      <c r="J1406">
        <v>300.3</v>
      </c>
      <c r="K1406">
        <v>36.880000000000003</v>
      </c>
      <c r="L1406">
        <v>11001</v>
      </c>
      <c r="M1406" t="s">
        <v>326</v>
      </c>
      <c r="N1406" t="str">
        <f>"107756      "</f>
        <v xml:space="preserve">107756      </v>
      </c>
      <c r="O1406">
        <v>231106</v>
      </c>
    </row>
    <row r="1407" spans="1:15" x14ac:dyDescent="0.25">
      <c r="A1407" t="s">
        <v>16</v>
      </c>
      <c r="B1407" t="s">
        <v>3221</v>
      </c>
      <c r="C1407">
        <v>15374</v>
      </c>
      <c r="D1407" t="s">
        <v>896</v>
      </c>
      <c r="E1407" t="s">
        <v>897</v>
      </c>
      <c r="F1407">
        <v>226.49</v>
      </c>
      <c r="G1407">
        <v>231106</v>
      </c>
      <c r="H1407">
        <v>4410</v>
      </c>
      <c r="I1407" t="s">
        <v>517</v>
      </c>
      <c r="J1407">
        <v>258.2</v>
      </c>
      <c r="K1407">
        <v>31.71</v>
      </c>
      <c r="L1407">
        <v>11401</v>
      </c>
      <c r="M1407" t="s">
        <v>84</v>
      </c>
      <c r="N1407" t="str">
        <f>"107761      "</f>
        <v xml:space="preserve">107761      </v>
      </c>
      <c r="O1407">
        <v>231113</v>
      </c>
    </row>
    <row r="1408" spans="1:15" x14ac:dyDescent="0.25">
      <c r="A1408" t="s">
        <v>16</v>
      </c>
      <c r="B1408" t="s">
        <v>3221</v>
      </c>
      <c r="C1408">
        <v>18182</v>
      </c>
      <c r="D1408" t="s">
        <v>896</v>
      </c>
      <c r="E1408" t="s">
        <v>897</v>
      </c>
      <c r="F1408">
        <v>7.54</v>
      </c>
      <c r="G1408">
        <v>231218</v>
      </c>
      <c r="H1408">
        <v>4410</v>
      </c>
      <c r="I1408" t="s">
        <v>517</v>
      </c>
      <c r="J1408">
        <v>9.35</v>
      </c>
      <c r="K1408">
        <v>1.81</v>
      </c>
      <c r="L1408">
        <v>10003</v>
      </c>
      <c r="M1408" t="s">
        <v>2070</v>
      </c>
      <c r="N1408" t="str">
        <f>"107806      "</f>
        <v xml:space="preserve">107806      </v>
      </c>
      <c r="O1408">
        <v>240102</v>
      </c>
    </row>
    <row r="1409" spans="1:15" x14ac:dyDescent="0.25">
      <c r="A1409" t="s">
        <v>16</v>
      </c>
      <c r="B1409" t="s">
        <v>3221</v>
      </c>
      <c r="C1409">
        <v>18182</v>
      </c>
      <c r="D1409" t="s">
        <v>896</v>
      </c>
      <c r="E1409" t="s">
        <v>897</v>
      </c>
      <c r="F1409">
        <v>328.16</v>
      </c>
      <c r="G1409">
        <v>231218</v>
      </c>
      <c r="H1409">
        <v>4410</v>
      </c>
      <c r="I1409" t="s">
        <v>517</v>
      </c>
      <c r="J1409">
        <v>374.1</v>
      </c>
      <c r="K1409">
        <v>45.94</v>
      </c>
      <c r="L1409">
        <v>10003</v>
      </c>
      <c r="M1409" t="s">
        <v>2070</v>
      </c>
      <c r="N1409" t="str">
        <f>"107806      "</f>
        <v xml:space="preserve">107806      </v>
      </c>
      <c r="O1409">
        <v>240102</v>
      </c>
    </row>
    <row r="1410" spans="1:15" x14ac:dyDescent="0.25">
      <c r="A1410" t="s">
        <v>16</v>
      </c>
      <c r="B1410" t="s">
        <v>3221</v>
      </c>
      <c r="C1410">
        <v>18182</v>
      </c>
      <c r="D1410" t="s">
        <v>896</v>
      </c>
      <c r="E1410" t="s">
        <v>897</v>
      </c>
      <c r="F1410">
        <v>16.13</v>
      </c>
      <c r="G1410">
        <v>231218</v>
      </c>
      <c r="H1410">
        <v>4410</v>
      </c>
      <c r="I1410" t="s">
        <v>517</v>
      </c>
      <c r="J1410">
        <v>20</v>
      </c>
      <c r="K1410">
        <v>3.87</v>
      </c>
      <c r="L1410">
        <v>18972</v>
      </c>
      <c r="M1410" t="s">
        <v>163</v>
      </c>
      <c r="N1410" t="str">
        <f>"107806      "</f>
        <v xml:space="preserve">107806      </v>
      </c>
      <c r="O1410">
        <v>240102</v>
      </c>
    </row>
    <row r="1411" spans="1:15" x14ac:dyDescent="0.25">
      <c r="A1411" t="s">
        <v>16</v>
      </c>
      <c r="B1411" t="s">
        <v>3221</v>
      </c>
      <c r="C1411">
        <v>18182</v>
      </c>
      <c r="D1411" t="s">
        <v>896</v>
      </c>
      <c r="E1411" t="s">
        <v>897</v>
      </c>
      <c r="F1411">
        <v>351.05</v>
      </c>
      <c r="G1411">
        <v>231218</v>
      </c>
      <c r="H1411">
        <v>4410</v>
      </c>
      <c r="I1411" t="s">
        <v>517</v>
      </c>
      <c r="J1411">
        <v>400.2</v>
      </c>
      <c r="K1411">
        <v>49.15</v>
      </c>
      <c r="L1411">
        <v>18972</v>
      </c>
      <c r="M1411" t="s">
        <v>163</v>
      </c>
      <c r="N1411" t="str">
        <f>"107806      "</f>
        <v xml:space="preserve">107806      </v>
      </c>
      <c r="O1411">
        <v>240102</v>
      </c>
    </row>
    <row r="1412" spans="1:15" x14ac:dyDescent="0.25">
      <c r="A1412" t="s">
        <v>16</v>
      </c>
      <c r="B1412" t="s">
        <v>3221</v>
      </c>
      <c r="C1412">
        <v>14791</v>
      </c>
      <c r="D1412" t="s">
        <v>896</v>
      </c>
      <c r="E1412" t="s">
        <v>897</v>
      </c>
      <c r="F1412">
        <v>120.97</v>
      </c>
      <c r="G1412">
        <v>231026</v>
      </c>
      <c r="H1412">
        <v>4820</v>
      </c>
      <c r="I1412" t="s">
        <v>50</v>
      </c>
      <c r="J1412">
        <v>150</v>
      </c>
      <c r="K1412">
        <v>29.03</v>
      </c>
      <c r="L1412">
        <v>11001</v>
      </c>
      <c r="M1412" t="s">
        <v>326</v>
      </c>
      <c r="N1412" t="str">
        <f>"107752      "</f>
        <v xml:space="preserve">107752      </v>
      </c>
      <c r="O1412">
        <v>231106</v>
      </c>
    </row>
    <row r="1413" spans="1:15" x14ac:dyDescent="0.25">
      <c r="A1413" t="s">
        <v>16</v>
      </c>
      <c r="B1413" t="s">
        <v>3221</v>
      </c>
      <c r="C1413">
        <v>16715</v>
      </c>
      <c r="D1413" t="s">
        <v>3008</v>
      </c>
      <c r="E1413" t="s">
        <v>3009</v>
      </c>
      <c r="F1413">
        <v>649.47</v>
      </c>
      <c r="G1413">
        <v>231127</v>
      </c>
      <c r="H1413">
        <v>4600</v>
      </c>
      <c r="I1413" t="s">
        <v>105</v>
      </c>
      <c r="J1413">
        <v>805.34</v>
      </c>
      <c r="K1413">
        <v>155.87</v>
      </c>
      <c r="L1413">
        <v>17522</v>
      </c>
      <c r="M1413" t="s">
        <v>451</v>
      </c>
      <c r="N1413" t="str">
        <f>"10239433    "</f>
        <v xml:space="preserve">10239433    </v>
      </c>
      <c r="O1413">
        <v>231208</v>
      </c>
    </row>
    <row r="1414" spans="1:15" x14ac:dyDescent="0.25">
      <c r="A1414" t="s">
        <v>16</v>
      </c>
      <c r="B1414" t="s">
        <v>3221</v>
      </c>
      <c r="C1414">
        <v>16781</v>
      </c>
      <c r="D1414" t="s">
        <v>3016</v>
      </c>
      <c r="E1414" t="s">
        <v>3017</v>
      </c>
      <c r="F1414">
        <v>1540</v>
      </c>
      <c r="G1414">
        <v>231130</v>
      </c>
      <c r="H1414">
        <v>4580</v>
      </c>
      <c r="I1414" t="s">
        <v>35</v>
      </c>
      <c r="J1414">
        <v>1909.6</v>
      </c>
      <c r="K1414">
        <v>369.6</v>
      </c>
      <c r="L1414">
        <v>17804</v>
      </c>
      <c r="M1414" t="s">
        <v>549</v>
      </c>
      <c r="N1414" t="str">
        <f>"04394       "</f>
        <v xml:space="preserve">04394       </v>
      </c>
      <c r="O1414">
        <v>231208</v>
      </c>
    </row>
    <row r="1415" spans="1:15" x14ac:dyDescent="0.25">
      <c r="A1415" t="s">
        <v>16</v>
      </c>
      <c r="B1415" t="s">
        <v>3221</v>
      </c>
      <c r="C1415">
        <v>16781</v>
      </c>
      <c r="D1415" t="s">
        <v>3016</v>
      </c>
      <c r="E1415" t="s">
        <v>3017</v>
      </c>
      <c r="F1415">
        <v>265.76</v>
      </c>
      <c r="G1415">
        <v>231130</v>
      </c>
      <c r="H1415">
        <v>4420</v>
      </c>
      <c r="I1415" t="s">
        <v>132</v>
      </c>
      <c r="J1415">
        <v>329.54</v>
      </c>
      <c r="K1415">
        <v>63.78</v>
      </c>
      <c r="L1415">
        <v>17804</v>
      </c>
      <c r="M1415" t="s">
        <v>549</v>
      </c>
      <c r="N1415" t="str">
        <f>"04394       "</f>
        <v xml:space="preserve">04394       </v>
      </c>
      <c r="O1415">
        <v>231208</v>
      </c>
    </row>
    <row r="1416" spans="1:15" x14ac:dyDescent="0.25">
      <c r="A1416" t="s">
        <v>16</v>
      </c>
      <c r="B1416" t="s">
        <v>3221</v>
      </c>
      <c r="C1416">
        <v>16781</v>
      </c>
      <c r="D1416" t="s">
        <v>3016</v>
      </c>
      <c r="E1416" t="s">
        <v>3017</v>
      </c>
      <c r="F1416">
        <v>388.5</v>
      </c>
      <c r="G1416">
        <v>231130</v>
      </c>
      <c r="H1416">
        <v>4390</v>
      </c>
      <c r="I1416" t="s">
        <v>98</v>
      </c>
      <c r="J1416">
        <v>481.74</v>
      </c>
      <c r="K1416">
        <v>93.24</v>
      </c>
      <c r="L1416">
        <v>17804</v>
      </c>
      <c r="M1416" t="s">
        <v>549</v>
      </c>
      <c r="N1416" t="str">
        <f>"04394       "</f>
        <v xml:space="preserve">04394       </v>
      </c>
      <c r="O1416">
        <v>231208</v>
      </c>
    </row>
    <row r="1417" spans="1:15" x14ac:dyDescent="0.25">
      <c r="A1417" t="s">
        <v>16</v>
      </c>
      <c r="B1417" t="s">
        <v>3221</v>
      </c>
      <c r="C1417">
        <v>14750</v>
      </c>
      <c r="D1417" t="s">
        <v>2796</v>
      </c>
      <c r="E1417" t="s">
        <v>2797</v>
      </c>
      <c r="F1417">
        <v>7903.23</v>
      </c>
      <c r="G1417">
        <v>231029</v>
      </c>
      <c r="H1417">
        <v>4580</v>
      </c>
      <c r="I1417" t="s">
        <v>35</v>
      </c>
      <c r="J1417">
        <v>9800</v>
      </c>
      <c r="K1417">
        <v>1896.77</v>
      </c>
      <c r="L1417">
        <v>17711</v>
      </c>
      <c r="M1417" t="s">
        <v>65</v>
      </c>
      <c r="N1417" t="str">
        <f>"6023100033  "</f>
        <v xml:space="preserve">6023100033  </v>
      </c>
      <c r="O1417">
        <v>231103</v>
      </c>
    </row>
    <row r="1418" spans="1:15" x14ac:dyDescent="0.25">
      <c r="A1418" t="s">
        <v>16</v>
      </c>
      <c r="B1418" t="s">
        <v>3221</v>
      </c>
      <c r="C1418">
        <v>2604</v>
      </c>
      <c r="D1418" t="s">
        <v>1434</v>
      </c>
      <c r="E1418" t="s">
        <v>1435</v>
      </c>
      <c r="F1418">
        <v>898.33</v>
      </c>
      <c r="G1418">
        <v>230228</v>
      </c>
      <c r="H1418">
        <v>4350</v>
      </c>
      <c r="I1418" t="s">
        <v>546</v>
      </c>
      <c r="J1418">
        <v>1113.93</v>
      </c>
      <c r="K1418">
        <v>215.6</v>
      </c>
      <c r="L1418">
        <v>11301</v>
      </c>
      <c r="M1418" t="s">
        <v>29</v>
      </c>
      <c r="N1418" t="str">
        <f>"30005543    "</f>
        <v xml:space="preserve">30005543    </v>
      </c>
      <c r="O1418">
        <v>230302</v>
      </c>
    </row>
    <row r="1419" spans="1:15" x14ac:dyDescent="0.25">
      <c r="A1419" t="s">
        <v>16</v>
      </c>
      <c r="B1419" t="s">
        <v>3221</v>
      </c>
      <c r="C1419">
        <v>4002</v>
      </c>
      <c r="D1419" t="s">
        <v>1434</v>
      </c>
      <c r="E1419" t="s">
        <v>1435</v>
      </c>
      <c r="F1419">
        <v>2041.67</v>
      </c>
      <c r="G1419">
        <v>230322</v>
      </c>
      <c r="H1419">
        <v>4350</v>
      </c>
      <c r="I1419" t="s">
        <v>546</v>
      </c>
      <c r="J1419">
        <v>2531.67</v>
      </c>
      <c r="K1419">
        <v>490</v>
      </c>
      <c r="L1419">
        <v>11301</v>
      </c>
      <c r="M1419" t="s">
        <v>29</v>
      </c>
      <c r="N1419" t="str">
        <f>"30005544    "</f>
        <v xml:space="preserve">30005544    </v>
      </c>
      <c r="O1419">
        <v>230329</v>
      </c>
    </row>
    <row r="1420" spans="1:15" x14ac:dyDescent="0.25">
      <c r="A1420" t="s">
        <v>16</v>
      </c>
      <c r="B1420" t="s">
        <v>3221</v>
      </c>
      <c r="C1420">
        <v>8699</v>
      </c>
      <c r="D1420" t="s">
        <v>1310</v>
      </c>
      <c r="E1420" t="s">
        <v>1311</v>
      </c>
      <c r="F1420">
        <v>419.36</v>
      </c>
      <c r="G1420">
        <v>230612</v>
      </c>
      <c r="H1420">
        <v>4600</v>
      </c>
      <c r="I1420" t="s">
        <v>105</v>
      </c>
      <c r="J1420">
        <v>520.01</v>
      </c>
      <c r="K1420">
        <v>100.65</v>
      </c>
      <c r="L1420">
        <v>17952</v>
      </c>
      <c r="M1420" t="s">
        <v>88</v>
      </c>
      <c r="N1420" t="str">
        <f>"397         "</f>
        <v xml:space="preserve">397         </v>
      </c>
      <c r="O1420">
        <v>230613</v>
      </c>
    </row>
    <row r="1421" spans="1:15" x14ac:dyDescent="0.25">
      <c r="A1421" t="s">
        <v>16</v>
      </c>
      <c r="B1421" t="s">
        <v>3221</v>
      </c>
      <c r="C1421">
        <v>2153</v>
      </c>
      <c r="D1421" t="s">
        <v>1310</v>
      </c>
      <c r="E1421" t="s">
        <v>1311</v>
      </c>
      <c r="F1421">
        <v>340</v>
      </c>
      <c r="G1421">
        <v>230217</v>
      </c>
      <c r="H1421">
        <v>4390</v>
      </c>
      <c r="I1421" t="s">
        <v>98</v>
      </c>
      <c r="J1421">
        <v>340</v>
      </c>
      <c r="K1421">
        <v>0</v>
      </c>
      <c r="L1421">
        <v>17952</v>
      </c>
      <c r="M1421" t="s">
        <v>88</v>
      </c>
      <c r="N1421" t="str">
        <f>"367         "</f>
        <v xml:space="preserve">367         </v>
      </c>
      <c r="O1421">
        <v>230221</v>
      </c>
    </row>
    <row r="1422" spans="1:15" x14ac:dyDescent="0.25">
      <c r="A1422" t="s">
        <v>16</v>
      </c>
      <c r="B1422" t="s">
        <v>3221</v>
      </c>
      <c r="C1422">
        <v>16979</v>
      </c>
      <c r="D1422" t="s">
        <v>1310</v>
      </c>
      <c r="E1422" t="s">
        <v>1311</v>
      </c>
      <c r="F1422">
        <v>1903.25</v>
      </c>
      <c r="G1422">
        <v>231201</v>
      </c>
      <c r="H1422">
        <v>4390</v>
      </c>
      <c r="I1422" t="s">
        <v>98</v>
      </c>
      <c r="J1422">
        <v>1903.25</v>
      </c>
      <c r="K1422">
        <v>0</v>
      </c>
      <c r="L1422">
        <v>17950</v>
      </c>
      <c r="M1422" t="s">
        <v>86</v>
      </c>
      <c r="N1422" t="str">
        <f>"447         "</f>
        <v xml:space="preserve">447         </v>
      </c>
      <c r="O1422">
        <v>231211</v>
      </c>
    </row>
    <row r="1423" spans="1:15" x14ac:dyDescent="0.25">
      <c r="A1423" t="s">
        <v>16</v>
      </c>
      <c r="B1423" t="s">
        <v>3221</v>
      </c>
      <c r="C1423">
        <v>16657</v>
      </c>
      <c r="D1423" t="s">
        <v>1310</v>
      </c>
      <c r="E1423" t="s">
        <v>1311</v>
      </c>
      <c r="F1423">
        <v>80.650000000000006</v>
      </c>
      <c r="G1423">
        <v>231202</v>
      </c>
      <c r="H1423">
        <v>4590</v>
      </c>
      <c r="I1423" t="s">
        <v>203</v>
      </c>
      <c r="J1423">
        <v>100.01</v>
      </c>
      <c r="K1423">
        <v>19.36</v>
      </c>
      <c r="L1423">
        <v>17952</v>
      </c>
      <c r="M1423" t="s">
        <v>88</v>
      </c>
      <c r="N1423" t="str">
        <f>"450         "</f>
        <v xml:space="preserve">450         </v>
      </c>
      <c r="O1423">
        <v>231205</v>
      </c>
    </row>
    <row r="1424" spans="1:15" x14ac:dyDescent="0.25">
      <c r="A1424" t="s">
        <v>16</v>
      </c>
      <c r="B1424" t="s">
        <v>3221</v>
      </c>
      <c r="C1424">
        <v>18626</v>
      </c>
      <c r="D1424" t="s">
        <v>3271</v>
      </c>
      <c r="E1424" t="s">
        <v>3272</v>
      </c>
      <c r="F1424">
        <v>150</v>
      </c>
      <c r="G1424">
        <v>231231</v>
      </c>
      <c r="H1424">
        <v>4346</v>
      </c>
      <c r="I1424" t="s">
        <v>197</v>
      </c>
      <c r="J1424">
        <v>150</v>
      </c>
      <c r="K1424">
        <v>0</v>
      </c>
      <c r="L1424">
        <v>17737</v>
      </c>
      <c r="M1424" t="s">
        <v>279</v>
      </c>
      <c r="N1424" t="str">
        <f>"3604078550  "</f>
        <v xml:space="preserve">3604078550  </v>
      </c>
      <c r="O1424">
        <v>240104</v>
      </c>
    </row>
    <row r="1425" spans="1:15" x14ac:dyDescent="0.25">
      <c r="A1425" t="s">
        <v>16</v>
      </c>
      <c r="B1425" t="s">
        <v>3221</v>
      </c>
      <c r="C1425">
        <v>5645</v>
      </c>
      <c r="D1425" t="s">
        <v>3271</v>
      </c>
      <c r="E1425" t="s">
        <v>3272</v>
      </c>
      <c r="F1425">
        <v>105</v>
      </c>
      <c r="G1425">
        <v>230424</v>
      </c>
      <c r="H1425">
        <v>4520</v>
      </c>
      <c r="I1425" t="s">
        <v>254</v>
      </c>
      <c r="J1425">
        <v>105</v>
      </c>
      <c r="K1425">
        <v>0</v>
      </c>
      <c r="L1425">
        <v>14432</v>
      </c>
      <c r="M1425" t="s">
        <v>862</v>
      </c>
      <c r="N1425" t="str">
        <f>"3604072265  "</f>
        <v xml:space="preserve">3604072265  </v>
      </c>
      <c r="O1425">
        <v>230428</v>
      </c>
    </row>
    <row r="1426" spans="1:15" x14ac:dyDescent="0.25">
      <c r="A1426" t="s">
        <v>16</v>
      </c>
      <c r="B1426" t="s">
        <v>3221</v>
      </c>
      <c r="C1426">
        <v>15188</v>
      </c>
      <c r="D1426" t="s">
        <v>3271</v>
      </c>
      <c r="E1426" t="s">
        <v>3272</v>
      </c>
      <c r="F1426">
        <v>234</v>
      </c>
      <c r="G1426">
        <v>231103</v>
      </c>
      <c r="H1426">
        <v>4470</v>
      </c>
      <c r="I1426" t="s">
        <v>83</v>
      </c>
      <c r="J1426">
        <v>234</v>
      </c>
      <c r="K1426">
        <v>0</v>
      </c>
      <c r="L1426">
        <v>17711</v>
      </c>
      <c r="M1426" t="s">
        <v>65</v>
      </c>
      <c r="N1426" t="str">
        <f>"3604077629  "</f>
        <v xml:space="preserve">3604077629  </v>
      </c>
      <c r="O1426">
        <v>231109</v>
      </c>
    </row>
    <row r="1427" spans="1:15" x14ac:dyDescent="0.25">
      <c r="A1427" t="s">
        <v>16</v>
      </c>
      <c r="B1427" t="s">
        <v>3221</v>
      </c>
      <c r="C1427">
        <v>16533</v>
      </c>
      <c r="D1427" t="s">
        <v>2990</v>
      </c>
      <c r="E1427" t="s">
        <v>2991</v>
      </c>
      <c r="F1427">
        <v>21403.8</v>
      </c>
      <c r="G1427">
        <v>231129</v>
      </c>
      <c r="H1427">
        <v>1196</v>
      </c>
      <c r="I1427" t="s">
        <v>392</v>
      </c>
      <c r="J1427">
        <v>26540.71</v>
      </c>
      <c r="K1427">
        <v>5136.91</v>
      </c>
      <c r="L1427">
        <v>97604</v>
      </c>
      <c r="M1427" t="s">
        <v>2687</v>
      </c>
      <c r="N1427" t="str">
        <f>"10871       "</f>
        <v xml:space="preserve">10871       </v>
      </c>
      <c r="O1427">
        <v>231201</v>
      </c>
    </row>
    <row r="1428" spans="1:15" x14ac:dyDescent="0.25">
      <c r="A1428" t="s">
        <v>16</v>
      </c>
      <c r="B1428" t="s">
        <v>3221</v>
      </c>
      <c r="C1428">
        <v>19287</v>
      </c>
      <c r="D1428" t="s">
        <v>2990</v>
      </c>
      <c r="E1428" t="s">
        <v>2991</v>
      </c>
      <c r="F1428">
        <v>22000</v>
      </c>
      <c r="G1428">
        <v>231231</v>
      </c>
      <c r="H1428">
        <v>1196</v>
      </c>
      <c r="I1428" t="s">
        <v>392</v>
      </c>
      <c r="J1428">
        <v>27280</v>
      </c>
      <c r="K1428">
        <v>5280</v>
      </c>
      <c r="L1428">
        <v>97604</v>
      </c>
      <c r="M1428" t="s">
        <v>2687</v>
      </c>
      <c r="N1428" t="str">
        <f>"11019       "</f>
        <v xml:space="preserve">11019       </v>
      </c>
      <c r="O1428">
        <v>240116</v>
      </c>
    </row>
    <row r="1429" spans="1:15" x14ac:dyDescent="0.25">
      <c r="A1429" t="s">
        <v>16</v>
      </c>
      <c r="B1429" t="s">
        <v>3221</v>
      </c>
      <c r="C1429">
        <v>15684</v>
      </c>
      <c r="D1429" t="s">
        <v>2901</v>
      </c>
      <c r="E1429" t="s">
        <v>2902</v>
      </c>
      <c r="F1429">
        <v>465.6</v>
      </c>
      <c r="G1429">
        <v>231109</v>
      </c>
      <c r="H1429">
        <v>4580</v>
      </c>
      <c r="I1429" t="s">
        <v>35</v>
      </c>
      <c r="J1429">
        <v>577.35</v>
      </c>
      <c r="K1429">
        <v>111.75</v>
      </c>
      <c r="L1429">
        <v>17807</v>
      </c>
      <c r="M1429" t="s">
        <v>318</v>
      </c>
      <c r="N1429" t="str">
        <f>"12208       "</f>
        <v xml:space="preserve">12208       </v>
      </c>
      <c r="O1429">
        <v>231116</v>
      </c>
    </row>
    <row r="1430" spans="1:15" x14ac:dyDescent="0.25">
      <c r="A1430" t="s">
        <v>16</v>
      </c>
      <c r="B1430" t="s">
        <v>3221</v>
      </c>
      <c r="C1430">
        <v>6703</v>
      </c>
      <c r="D1430" t="s">
        <v>3466</v>
      </c>
      <c r="E1430" t="s">
        <v>3467</v>
      </c>
      <c r="F1430">
        <v>725.81</v>
      </c>
      <c r="G1430">
        <v>230515</v>
      </c>
      <c r="H1430">
        <v>4600</v>
      </c>
      <c r="I1430" t="s">
        <v>105</v>
      </c>
      <c r="J1430">
        <v>900</v>
      </c>
      <c r="K1430">
        <v>174.19</v>
      </c>
      <c r="L1430">
        <v>17131</v>
      </c>
      <c r="M1430" t="s">
        <v>64</v>
      </c>
      <c r="N1430" t="str">
        <f>"880         "</f>
        <v xml:space="preserve">880         </v>
      </c>
      <c r="O1430">
        <v>230517</v>
      </c>
    </row>
    <row r="1431" spans="1:15" x14ac:dyDescent="0.25">
      <c r="A1431" t="s">
        <v>16</v>
      </c>
      <c r="B1431" t="s">
        <v>3221</v>
      </c>
      <c r="C1431">
        <v>6703</v>
      </c>
      <c r="D1431" t="s">
        <v>3466</v>
      </c>
      <c r="E1431" t="s">
        <v>3467</v>
      </c>
      <c r="F1431">
        <v>725.81</v>
      </c>
      <c r="G1431">
        <v>230515</v>
      </c>
      <c r="H1431">
        <v>4600</v>
      </c>
      <c r="I1431" t="s">
        <v>105</v>
      </c>
      <c r="J1431">
        <v>900</v>
      </c>
      <c r="K1431">
        <v>174.19</v>
      </c>
      <c r="L1431">
        <v>17711</v>
      </c>
      <c r="M1431" t="s">
        <v>65</v>
      </c>
      <c r="N1431" t="str">
        <f>"880         "</f>
        <v xml:space="preserve">880         </v>
      </c>
      <c r="O1431">
        <v>230517</v>
      </c>
    </row>
    <row r="1432" spans="1:15" x14ac:dyDescent="0.25">
      <c r="A1432" t="s">
        <v>16</v>
      </c>
      <c r="B1432" t="s">
        <v>3221</v>
      </c>
      <c r="C1432">
        <v>4231</v>
      </c>
      <c r="D1432" t="s">
        <v>3612</v>
      </c>
      <c r="E1432" t="s">
        <v>1676</v>
      </c>
      <c r="F1432">
        <v>260</v>
      </c>
      <c r="G1432">
        <v>230329</v>
      </c>
      <c r="H1432">
        <v>4600</v>
      </c>
      <c r="I1432" t="s">
        <v>105</v>
      </c>
      <c r="J1432">
        <v>322.39999999999998</v>
      </c>
      <c r="K1432">
        <v>62.4</v>
      </c>
      <c r="L1432">
        <v>17971</v>
      </c>
      <c r="M1432" t="s">
        <v>138</v>
      </c>
      <c r="N1432" t="str">
        <f>"6123030004  "</f>
        <v xml:space="preserve">6123030004  </v>
      </c>
      <c r="O1432">
        <v>230403</v>
      </c>
    </row>
    <row r="1433" spans="1:15" x14ac:dyDescent="0.25">
      <c r="A1433" t="s">
        <v>16</v>
      </c>
      <c r="B1433" t="s">
        <v>3221</v>
      </c>
      <c r="C1433">
        <v>8817</v>
      </c>
      <c r="D1433" t="s">
        <v>3612</v>
      </c>
      <c r="E1433" t="s">
        <v>1676</v>
      </c>
      <c r="F1433">
        <v>520</v>
      </c>
      <c r="G1433">
        <v>230608</v>
      </c>
      <c r="H1433">
        <v>4441</v>
      </c>
      <c r="I1433" t="s">
        <v>109</v>
      </c>
      <c r="J1433">
        <v>644.79999999999995</v>
      </c>
      <c r="K1433">
        <v>124.8</v>
      </c>
      <c r="L1433">
        <v>17913</v>
      </c>
      <c r="M1433" t="s">
        <v>431</v>
      </c>
      <c r="N1433" t="str">
        <f>"1612        "</f>
        <v xml:space="preserve">1612        </v>
      </c>
      <c r="O1433">
        <v>230616</v>
      </c>
    </row>
    <row r="1434" spans="1:15" x14ac:dyDescent="0.25">
      <c r="A1434" t="s">
        <v>16</v>
      </c>
      <c r="B1434" t="s">
        <v>3221</v>
      </c>
      <c r="C1434">
        <v>8817</v>
      </c>
      <c r="D1434" t="s">
        <v>3612</v>
      </c>
      <c r="E1434" t="s">
        <v>1676</v>
      </c>
      <c r="F1434">
        <v>1040</v>
      </c>
      <c r="G1434">
        <v>230608</v>
      </c>
      <c r="H1434">
        <v>4441</v>
      </c>
      <c r="I1434" t="s">
        <v>109</v>
      </c>
      <c r="J1434">
        <v>1289.5999999999999</v>
      </c>
      <c r="K1434">
        <v>249.6</v>
      </c>
      <c r="L1434">
        <v>59113</v>
      </c>
      <c r="M1434" t="s">
        <v>235</v>
      </c>
      <c r="N1434" t="str">
        <f>"1612        "</f>
        <v xml:space="preserve">1612        </v>
      </c>
      <c r="O1434">
        <v>230616</v>
      </c>
    </row>
    <row r="1435" spans="1:15" x14ac:dyDescent="0.25">
      <c r="A1435" t="s">
        <v>16</v>
      </c>
      <c r="B1435" t="s">
        <v>3221</v>
      </c>
      <c r="C1435">
        <v>8818</v>
      </c>
      <c r="D1435" t="s">
        <v>3612</v>
      </c>
      <c r="E1435" t="s">
        <v>1676</v>
      </c>
      <c r="F1435">
        <v>480</v>
      </c>
      <c r="G1435">
        <v>230608</v>
      </c>
      <c r="H1435">
        <v>4441</v>
      </c>
      <c r="I1435" t="s">
        <v>109</v>
      </c>
      <c r="J1435">
        <v>595.20000000000005</v>
      </c>
      <c r="K1435">
        <v>115.2</v>
      </c>
      <c r="L1435">
        <v>11101</v>
      </c>
      <c r="M1435" t="s">
        <v>110</v>
      </c>
      <c r="N1435" t="str">
        <f>"1579        "</f>
        <v xml:space="preserve">1579        </v>
      </c>
      <c r="O1435">
        <v>230616</v>
      </c>
    </row>
    <row r="1436" spans="1:15" x14ac:dyDescent="0.25">
      <c r="A1436" t="s">
        <v>16</v>
      </c>
      <c r="B1436" t="s">
        <v>3221</v>
      </c>
      <c r="C1436">
        <v>11880</v>
      </c>
      <c r="D1436" t="s">
        <v>3612</v>
      </c>
      <c r="E1436" t="s">
        <v>1676</v>
      </c>
      <c r="F1436">
        <v>225</v>
      </c>
      <c r="G1436">
        <v>230908</v>
      </c>
      <c r="H1436">
        <v>4441</v>
      </c>
      <c r="I1436" t="s">
        <v>109</v>
      </c>
      <c r="J1436">
        <v>279</v>
      </c>
      <c r="K1436">
        <v>54</v>
      </c>
      <c r="L1436">
        <v>14971</v>
      </c>
      <c r="M1436" t="s">
        <v>1259</v>
      </c>
      <c r="N1436" t="str">
        <f>"1668        "</f>
        <v xml:space="preserve">1668        </v>
      </c>
      <c r="O1436">
        <v>230911</v>
      </c>
    </row>
    <row r="1437" spans="1:15" x14ac:dyDescent="0.25">
      <c r="A1437" t="s">
        <v>16</v>
      </c>
      <c r="B1437" t="s">
        <v>3221</v>
      </c>
      <c r="C1437">
        <v>12074</v>
      </c>
      <c r="D1437" t="s">
        <v>3612</v>
      </c>
      <c r="E1437" t="s">
        <v>1676</v>
      </c>
      <c r="F1437">
        <v>225</v>
      </c>
      <c r="G1437">
        <v>230908</v>
      </c>
      <c r="H1437">
        <v>4441</v>
      </c>
      <c r="I1437" t="s">
        <v>109</v>
      </c>
      <c r="J1437">
        <v>279</v>
      </c>
      <c r="K1437">
        <v>54</v>
      </c>
      <c r="L1437">
        <v>11101</v>
      </c>
      <c r="M1437" t="s">
        <v>110</v>
      </c>
      <c r="N1437" t="str">
        <f>"1664        "</f>
        <v xml:space="preserve">1664        </v>
      </c>
      <c r="O1437">
        <v>230913</v>
      </c>
    </row>
    <row r="1438" spans="1:15" x14ac:dyDescent="0.25">
      <c r="A1438" t="s">
        <v>16</v>
      </c>
      <c r="B1438" t="s">
        <v>3221</v>
      </c>
      <c r="C1438">
        <v>16732</v>
      </c>
      <c r="D1438" t="s">
        <v>3612</v>
      </c>
      <c r="E1438" t="s">
        <v>1676</v>
      </c>
      <c r="F1438">
        <v>170</v>
      </c>
      <c r="G1438">
        <v>231129</v>
      </c>
      <c r="H1438">
        <v>4441</v>
      </c>
      <c r="I1438" t="s">
        <v>109</v>
      </c>
      <c r="J1438">
        <v>210.8</v>
      </c>
      <c r="K1438">
        <v>40.799999999999997</v>
      </c>
      <c r="L1438">
        <v>11901</v>
      </c>
      <c r="M1438" t="s">
        <v>36</v>
      </c>
      <c r="N1438" t="str">
        <f>"1788        "</f>
        <v xml:space="preserve">1788        </v>
      </c>
      <c r="O1438">
        <v>231208</v>
      </c>
    </row>
    <row r="1439" spans="1:15" x14ac:dyDescent="0.25">
      <c r="A1439" t="s">
        <v>16</v>
      </c>
      <c r="B1439" t="s">
        <v>3221</v>
      </c>
      <c r="C1439">
        <v>16733</v>
      </c>
      <c r="D1439" t="s">
        <v>3612</v>
      </c>
      <c r="E1439" t="s">
        <v>1676</v>
      </c>
      <c r="F1439">
        <v>170</v>
      </c>
      <c r="G1439">
        <v>231129</v>
      </c>
      <c r="H1439">
        <v>4441</v>
      </c>
      <c r="I1439" t="s">
        <v>109</v>
      </c>
      <c r="J1439">
        <v>210.8</v>
      </c>
      <c r="K1439">
        <v>40.799999999999997</v>
      </c>
      <c r="L1439">
        <v>11901</v>
      </c>
      <c r="M1439" t="s">
        <v>36</v>
      </c>
      <c r="N1439" t="str">
        <f>"1789        "</f>
        <v xml:space="preserve">1789        </v>
      </c>
      <c r="O1439">
        <v>231208</v>
      </c>
    </row>
    <row r="1440" spans="1:15" x14ac:dyDescent="0.25">
      <c r="A1440" t="s">
        <v>16</v>
      </c>
      <c r="B1440" t="s">
        <v>3221</v>
      </c>
      <c r="C1440">
        <v>16730</v>
      </c>
      <c r="D1440" t="s">
        <v>3612</v>
      </c>
      <c r="E1440" t="s">
        <v>1676</v>
      </c>
      <c r="F1440">
        <v>170</v>
      </c>
      <c r="G1440">
        <v>231129</v>
      </c>
      <c r="H1440">
        <v>4440</v>
      </c>
      <c r="I1440" t="s">
        <v>250</v>
      </c>
      <c r="J1440">
        <v>210.8</v>
      </c>
      <c r="K1440">
        <v>40.799999999999997</v>
      </c>
      <c r="L1440">
        <v>14971</v>
      </c>
      <c r="M1440" t="s">
        <v>1259</v>
      </c>
      <c r="N1440" t="str">
        <f>"1775        "</f>
        <v xml:space="preserve">1775        </v>
      </c>
      <c r="O1440">
        <v>231208</v>
      </c>
    </row>
    <row r="1441" spans="1:15" x14ac:dyDescent="0.25">
      <c r="A1441" t="s">
        <v>16</v>
      </c>
      <c r="B1441" t="s">
        <v>3221</v>
      </c>
      <c r="C1441">
        <v>7637</v>
      </c>
      <c r="D1441" t="s">
        <v>3486</v>
      </c>
      <c r="E1441" t="s">
        <v>3487</v>
      </c>
      <c r="F1441">
        <v>175</v>
      </c>
      <c r="G1441">
        <v>230530</v>
      </c>
      <c r="H1441">
        <v>4412</v>
      </c>
      <c r="I1441" t="s">
        <v>149</v>
      </c>
      <c r="J1441">
        <v>175</v>
      </c>
      <c r="K1441">
        <v>0</v>
      </c>
      <c r="L1441">
        <v>59111</v>
      </c>
      <c r="M1441" t="s">
        <v>1010</v>
      </c>
      <c r="N1441" t="str">
        <f>"10102263    "</f>
        <v xml:space="preserve">10102263    </v>
      </c>
      <c r="O1441">
        <v>230601</v>
      </c>
    </row>
    <row r="1442" spans="1:15" x14ac:dyDescent="0.25">
      <c r="A1442" t="s">
        <v>16</v>
      </c>
      <c r="B1442" t="s">
        <v>3221</v>
      </c>
      <c r="C1442">
        <v>8113</v>
      </c>
      <c r="D1442" t="s">
        <v>3486</v>
      </c>
      <c r="E1442" t="s">
        <v>3487</v>
      </c>
      <c r="F1442">
        <v>175</v>
      </c>
      <c r="G1442">
        <v>230609</v>
      </c>
      <c r="H1442">
        <v>4440</v>
      </c>
      <c r="I1442" t="s">
        <v>250</v>
      </c>
      <c r="J1442">
        <v>175</v>
      </c>
      <c r="K1442">
        <v>0</v>
      </c>
      <c r="L1442">
        <v>17912</v>
      </c>
      <c r="M1442" t="s">
        <v>419</v>
      </c>
      <c r="N1442" t="str">
        <f>"10 102367   "</f>
        <v xml:space="preserve">10 102367   </v>
      </c>
      <c r="O1442">
        <v>230607</v>
      </c>
    </row>
    <row r="1443" spans="1:15" x14ac:dyDescent="0.25">
      <c r="A1443" t="s">
        <v>16</v>
      </c>
      <c r="B1443" t="s">
        <v>3221</v>
      </c>
      <c r="C1443">
        <v>4213</v>
      </c>
      <c r="D1443" t="s">
        <v>3613</v>
      </c>
      <c r="E1443" t="s">
        <v>3357</v>
      </c>
      <c r="F1443">
        <v>2000</v>
      </c>
      <c r="G1443">
        <v>230331</v>
      </c>
      <c r="H1443">
        <v>4350</v>
      </c>
      <c r="I1443" t="s">
        <v>546</v>
      </c>
      <c r="J1443">
        <v>2000</v>
      </c>
      <c r="K1443">
        <v>0</v>
      </c>
      <c r="L1443">
        <v>11301</v>
      </c>
      <c r="M1443" t="s">
        <v>29</v>
      </c>
      <c r="N1443" t="str">
        <f>"6123030018  "</f>
        <v xml:space="preserve">6123030018  </v>
      </c>
      <c r="O1443">
        <v>230331</v>
      </c>
    </row>
    <row r="1444" spans="1:15" x14ac:dyDescent="0.25">
      <c r="A1444" t="s">
        <v>16</v>
      </c>
      <c r="B1444" t="s">
        <v>3221</v>
      </c>
      <c r="C1444">
        <v>15271</v>
      </c>
      <c r="D1444" t="s">
        <v>2854</v>
      </c>
      <c r="E1444" t="s">
        <v>2855</v>
      </c>
      <c r="F1444">
        <v>120.97</v>
      </c>
      <c r="G1444">
        <v>231108</v>
      </c>
      <c r="H1444">
        <v>4600</v>
      </c>
      <c r="I1444" t="s">
        <v>105</v>
      </c>
      <c r="J1444">
        <v>150</v>
      </c>
      <c r="K1444">
        <v>29.03</v>
      </c>
      <c r="L1444">
        <v>17535</v>
      </c>
      <c r="M1444" t="s">
        <v>357</v>
      </c>
      <c r="N1444" t="str">
        <f>"49          "</f>
        <v xml:space="preserve">49          </v>
      </c>
      <c r="O1444">
        <v>231109</v>
      </c>
    </row>
    <row r="1445" spans="1:15" x14ac:dyDescent="0.25">
      <c r="A1445" t="s">
        <v>16</v>
      </c>
      <c r="B1445" t="s">
        <v>3221</v>
      </c>
      <c r="C1445">
        <v>15271</v>
      </c>
      <c r="D1445" t="s">
        <v>2854</v>
      </c>
      <c r="E1445" t="s">
        <v>2855</v>
      </c>
      <c r="F1445">
        <v>129.1</v>
      </c>
      <c r="G1445">
        <v>231108</v>
      </c>
      <c r="H1445">
        <v>4600</v>
      </c>
      <c r="I1445" t="s">
        <v>105</v>
      </c>
      <c r="J1445">
        <v>160.09</v>
      </c>
      <c r="K1445">
        <v>30.99</v>
      </c>
      <c r="L1445">
        <v>17649</v>
      </c>
      <c r="M1445" t="s">
        <v>1197</v>
      </c>
      <c r="N1445" t="str">
        <f>"49          "</f>
        <v xml:space="preserve">49          </v>
      </c>
      <c r="O1445">
        <v>231109</v>
      </c>
    </row>
    <row r="1446" spans="1:15" x14ac:dyDescent="0.25">
      <c r="A1446" t="s">
        <v>16</v>
      </c>
      <c r="B1446" t="s">
        <v>3221</v>
      </c>
      <c r="C1446">
        <v>15271</v>
      </c>
      <c r="D1446" t="s">
        <v>2854</v>
      </c>
      <c r="E1446" t="s">
        <v>2855</v>
      </c>
      <c r="F1446">
        <v>7.26</v>
      </c>
      <c r="G1446">
        <v>231108</v>
      </c>
      <c r="H1446">
        <v>4364</v>
      </c>
      <c r="I1446" t="s">
        <v>296</v>
      </c>
      <c r="J1446">
        <v>9</v>
      </c>
      <c r="K1446">
        <v>1.74</v>
      </c>
      <c r="L1446">
        <v>17535</v>
      </c>
      <c r="M1446" t="s">
        <v>357</v>
      </c>
      <c r="N1446" t="str">
        <f>"49          "</f>
        <v xml:space="preserve">49          </v>
      </c>
      <c r="O1446">
        <v>231109</v>
      </c>
    </row>
    <row r="1447" spans="1:15" x14ac:dyDescent="0.25">
      <c r="A1447" t="s">
        <v>16</v>
      </c>
      <c r="B1447" t="s">
        <v>3221</v>
      </c>
      <c r="C1447">
        <v>9818</v>
      </c>
      <c r="D1447" t="s">
        <v>2326</v>
      </c>
      <c r="E1447" t="s">
        <v>2327</v>
      </c>
      <c r="F1447">
        <v>1250.24</v>
      </c>
      <c r="G1447">
        <v>230724</v>
      </c>
      <c r="H1447">
        <v>4470</v>
      </c>
      <c r="I1447" t="s">
        <v>83</v>
      </c>
      <c r="J1447">
        <v>1550.3</v>
      </c>
      <c r="K1447">
        <v>300.06</v>
      </c>
      <c r="L1447">
        <v>17951</v>
      </c>
      <c r="M1447" t="s">
        <v>87</v>
      </c>
      <c r="N1447" t="str">
        <f>"26569       "</f>
        <v xml:space="preserve">26569       </v>
      </c>
      <c r="O1447">
        <v>230726</v>
      </c>
    </row>
    <row r="1448" spans="1:15" x14ac:dyDescent="0.25">
      <c r="A1448" t="s">
        <v>16</v>
      </c>
      <c r="B1448" t="s">
        <v>3221</v>
      </c>
      <c r="C1448">
        <v>302</v>
      </c>
      <c r="D1448" t="s">
        <v>435</v>
      </c>
      <c r="E1448" t="s">
        <v>436</v>
      </c>
      <c r="F1448">
        <v>115.22</v>
      </c>
      <c r="G1448">
        <v>230110</v>
      </c>
      <c r="H1448">
        <v>4600</v>
      </c>
      <c r="I1448" t="s">
        <v>105</v>
      </c>
      <c r="J1448">
        <v>142.87</v>
      </c>
      <c r="K1448">
        <v>27.65</v>
      </c>
      <c r="L1448">
        <v>17526</v>
      </c>
      <c r="M1448" t="s">
        <v>437</v>
      </c>
      <c r="N1448" t="str">
        <f>"301023      "</f>
        <v xml:space="preserve">301023      </v>
      </c>
      <c r="O1448">
        <v>230118</v>
      </c>
    </row>
    <row r="1449" spans="1:15" x14ac:dyDescent="0.25">
      <c r="A1449" t="s">
        <v>16</v>
      </c>
      <c r="B1449" t="s">
        <v>3221</v>
      </c>
      <c r="C1449">
        <v>792</v>
      </c>
      <c r="D1449" t="s">
        <v>435</v>
      </c>
      <c r="E1449" t="s">
        <v>436</v>
      </c>
      <c r="F1449">
        <v>54.03</v>
      </c>
      <c r="G1449">
        <v>230126</v>
      </c>
      <c r="H1449">
        <v>4600</v>
      </c>
      <c r="I1449" t="s">
        <v>105</v>
      </c>
      <c r="J1449">
        <v>67</v>
      </c>
      <c r="K1449">
        <v>12.97</v>
      </c>
      <c r="L1449">
        <v>17526</v>
      </c>
      <c r="M1449" t="s">
        <v>437</v>
      </c>
      <c r="N1449" t="str">
        <f>"301172      "</f>
        <v xml:space="preserve">301172      </v>
      </c>
      <c r="O1449">
        <v>230130</v>
      </c>
    </row>
    <row r="1450" spans="1:15" x14ac:dyDescent="0.25">
      <c r="A1450" t="s">
        <v>16</v>
      </c>
      <c r="B1450" t="s">
        <v>3221</v>
      </c>
      <c r="C1450">
        <v>12500</v>
      </c>
      <c r="D1450" t="s">
        <v>2578</v>
      </c>
      <c r="E1450" t="s">
        <v>2579</v>
      </c>
      <c r="F1450">
        <v>1050</v>
      </c>
      <c r="G1450">
        <v>230829</v>
      </c>
      <c r="H1450">
        <v>4341</v>
      </c>
      <c r="I1450" t="s">
        <v>32</v>
      </c>
      <c r="J1450">
        <v>1302</v>
      </c>
      <c r="K1450">
        <v>252</v>
      </c>
      <c r="L1450">
        <v>18972</v>
      </c>
      <c r="M1450" t="s">
        <v>163</v>
      </c>
      <c r="N1450" t="str">
        <f>"85          "</f>
        <v xml:space="preserve">85          </v>
      </c>
      <c r="O1450">
        <v>230920</v>
      </c>
    </row>
    <row r="1451" spans="1:15" x14ac:dyDescent="0.25">
      <c r="A1451" t="s">
        <v>16</v>
      </c>
      <c r="B1451" t="s">
        <v>3221</v>
      </c>
      <c r="C1451">
        <v>10373</v>
      </c>
      <c r="D1451" t="s">
        <v>188</v>
      </c>
      <c r="E1451" t="s">
        <v>189</v>
      </c>
      <c r="F1451">
        <v>6263</v>
      </c>
      <c r="G1451">
        <v>230810</v>
      </c>
      <c r="H1451">
        <v>1196</v>
      </c>
      <c r="I1451" t="s">
        <v>392</v>
      </c>
      <c r="J1451">
        <v>6263</v>
      </c>
      <c r="K1451">
        <v>0</v>
      </c>
      <c r="L1451">
        <v>97602</v>
      </c>
      <c r="M1451" t="s">
        <v>2028</v>
      </c>
      <c r="N1451" t="str">
        <f>"35484       "</f>
        <v xml:space="preserve">35484       </v>
      </c>
      <c r="O1451">
        <v>230815</v>
      </c>
    </row>
    <row r="1452" spans="1:15" x14ac:dyDescent="0.25">
      <c r="A1452" t="s">
        <v>16</v>
      </c>
      <c r="B1452" t="s">
        <v>3221</v>
      </c>
      <c r="C1452">
        <v>13505</v>
      </c>
      <c r="D1452" t="s">
        <v>188</v>
      </c>
      <c r="E1452" t="s">
        <v>189</v>
      </c>
      <c r="F1452">
        <v>10800</v>
      </c>
      <c r="G1452">
        <v>231010</v>
      </c>
      <c r="H1452">
        <v>1196</v>
      </c>
      <c r="I1452" t="s">
        <v>392</v>
      </c>
      <c r="J1452">
        <v>10800</v>
      </c>
      <c r="K1452">
        <v>0</v>
      </c>
      <c r="L1452">
        <v>97604</v>
      </c>
      <c r="M1452" t="s">
        <v>2687</v>
      </c>
      <c r="N1452" t="str">
        <f>"35636       "</f>
        <v xml:space="preserve">35636       </v>
      </c>
      <c r="O1452">
        <v>231010</v>
      </c>
    </row>
    <row r="1453" spans="1:15" x14ac:dyDescent="0.25">
      <c r="A1453" t="s">
        <v>16</v>
      </c>
      <c r="B1453" t="s">
        <v>3221</v>
      </c>
      <c r="C1453">
        <v>12678</v>
      </c>
      <c r="D1453" t="s">
        <v>188</v>
      </c>
      <c r="E1453" t="s">
        <v>189</v>
      </c>
      <c r="F1453">
        <v>41.13</v>
      </c>
      <c r="G1453">
        <v>230921</v>
      </c>
      <c r="H1453">
        <v>4420</v>
      </c>
      <c r="I1453" t="s">
        <v>132</v>
      </c>
      <c r="J1453">
        <v>41.13</v>
      </c>
      <c r="K1453">
        <v>0</v>
      </c>
      <c r="L1453">
        <v>17952</v>
      </c>
      <c r="M1453" t="s">
        <v>88</v>
      </c>
      <c r="N1453" t="str">
        <f>"35592       "</f>
        <v xml:space="preserve">35592       </v>
      </c>
      <c r="O1453">
        <v>230925</v>
      </c>
    </row>
    <row r="1454" spans="1:15" x14ac:dyDescent="0.25">
      <c r="A1454" t="s">
        <v>16</v>
      </c>
      <c r="B1454" t="s">
        <v>3221</v>
      </c>
      <c r="C1454">
        <v>5598</v>
      </c>
      <c r="D1454" t="s">
        <v>188</v>
      </c>
      <c r="E1454" t="s">
        <v>189</v>
      </c>
      <c r="F1454">
        <v>231.26</v>
      </c>
      <c r="G1454">
        <v>230425</v>
      </c>
      <c r="H1454">
        <v>4600</v>
      </c>
      <c r="I1454" t="s">
        <v>105</v>
      </c>
      <c r="J1454">
        <v>286.76</v>
      </c>
      <c r="K1454">
        <v>55.5</v>
      </c>
      <c r="L1454">
        <v>17633</v>
      </c>
      <c r="M1454" t="s">
        <v>724</v>
      </c>
      <c r="N1454" t="str">
        <f>"35198       "</f>
        <v xml:space="preserve">35198       </v>
      </c>
      <c r="O1454">
        <v>230428</v>
      </c>
    </row>
    <row r="1455" spans="1:15" x14ac:dyDescent="0.25">
      <c r="A1455" t="s">
        <v>16</v>
      </c>
      <c r="B1455" t="s">
        <v>3221</v>
      </c>
      <c r="C1455">
        <v>18320</v>
      </c>
      <c r="D1455" t="s">
        <v>188</v>
      </c>
      <c r="E1455" t="s">
        <v>189</v>
      </c>
      <c r="F1455">
        <v>194.83</v>
      </c>
      <c r="G1455">
        <v>231229</v>
      </c>
      <c r="H1455">
        <v>4600</v>
      </c>
      <c r="I1455" t="s">
        <v>105</v>
      </c>
      <c r="J1455">
        <v>241.59</v>
      </c>
      <c r="K1455">
        <v>46.76</v>
      </c>
      <c r="L1455">
        <v>17950</v>
      </c>
      <c r="M1455" t="s">
        <v>86</v>
      </c>
      <c r="N1455" t="str">
        <f>"35904       "</f>
        <v xml:space="preserve">35904       </v>
      </c>
      <c r="O1455">
        <v>240102</v>
      </c>
    </row>
    <row r="1456" spans="1:15" x14ac:dyDescent="0.25">
      <c r="A1456" t="s">
        <v>16</v>
      </c>
      <c r="B1456" t="s">
        <v>3221</v>
      </c>
      <c r="C1456">
        <v>18450</v>
      </c>
      <c r="D1456" t="s">
        <v>188</v>
      </c>
      <c r="E1456" t="s">
        <v>189</v>
      </c>
      <c r="F1456">
        <v>61.37</v>
      </c>
      <c r="G1456">
        <v>231229</v>
      </c>
      <c r="H1456">
        <v>4600</v>
      </c>
      <c r="I1456" t="s">
        <v>105</v>
      </c>
      <c r="J1456">
        <v>76.099999999999994</v>
      </c>
      <c r="K1456">
        <v>14.73</v>
      </c>
      <c r="L1456">
        <v>17952</v>
      </c>
      <c r="M1456" t="s">
        <v>88</v>
      </c>
      <c r="N1456" t="str">
        <f>"35894       "</f>
        <v xml:space="preserve">35894       </v>
      </c>
      <c r="O1456">
        <v>240103</v>
      </c>
    </row>
    <row r="1457" spans="1:15" x14ac:dyDescent="0.25">
      <c r="A1457" t="s">
        <v>16</v>
      </c>
      <c r="B1457" t="s">
        <v>3221</v>
      </c>
      <c r="C1457">
        <v>18533</v>
      </c>
      <c r="D1457" t="s">
        <v>188</v>
      </c>
      <c r="E1457" t="s">
        <v>189</v>
      </c>
      <c r="F1457">
        <v>44.8</v>
      </c>
      <c r="G1457">
        <v>231229</v>
      </c>
      <c r="H1457">
        <v>4600</v>
      </c>
      <c r="I1457" t="s">
        <v>105</v>
      </c>
      <c r="J1457">
        <v>55.55</v>
      </c>
      <c r="K1457">
        <v>10.75</v>
      </c>
      <c r="L1457">
        <v>17950</v>
      </c>
      <c r="M1457" t="s">
        <v>86</v>
      </c>
      <c r="N1457" t="str">
        <f>"35905       "</f>
        <v xml:space="preserve">35905       </v>
      </c>
      <c r="O1457">
        <v>240103</v>
      </c>
    </row>
    <row r="1458" spans="1:15" x14ac:dyDescent="0.25">
      <c r="A1458" t="s">
        <v>16</v>
      </c>
      <c r="B1458" t="s">
        <v>3221</v>
      </c>
      <c r="C1458">
        <v>128</v>
      </c>
      <c r="D1458" t="s">
        <v>188</v>
      </c>
      <c r="E1458" t="s">
        <v>189</v>
      </c>
      <c r="F1458">
        <v>11506</v>
      </c>
      <c r="G1458">
        <v>230111</v>
      </c>
      <c r="H1458">
        <v>4390</v>
      </c>
      <c r="I1458" t="s">
        <v>98</v>
      </c>
      <c r="J1458">
        <v>11506</v>
      </c>
      <c r="K1458">
        <v>0</v>
      </c>
      <c r="L1458">
        <v>17950</v>
      </c>
      <c r="M1458" t="s">
        <v>86</v>
      </c>
      <c r="N1458" t="str">
        <f>"34976       "</f>
        <v xml:space="preserve">34976       </v>
      </c>
      <c r="O1458">
        <v>230112</v>
      </c>
    </row>
    <row r="1459" spans="1:15" x14ac:dyDescent="0.25">
      <c r="A1459" t="s">
        <v>16</v>
      </c>
      <c r="B1459" t="s">
        <v>3221</v>
      </c>
      <c r="C1459">
        <v>467</v>
      </c>
      <c r="D1459" t="s">
        <v>188</v>
      </c>
      <c r="E1459" t="s">
        <v>189</v>
      </c>
      <c r="F1459">
        <v>94.17</v>
      </c>
      <c r="G1459">
        <v>230120</v>
      </c>
      <c r="H1459">
        <v>4390</v>
      </c>
      <c r="I1459" t="s">
        <v>98</v>
      </c>
      <c r="J1459">
        <v>94.17</v>
      </c>
      <c r="K1459">
        <v>0</v>
      </c>
      <c r="L1459">
        <v>13540</v>
      </c>
      <c r="M1459" t="s">
        <v>85</v>
      </c>
      <c r="N1459" t="str">
        <f>"34998       "</f>
        <v xml:space="preserve">34998       </v>
      </c>
      <c r="O1459">
        <v>230123</v>
      </c>
    </row>
    <row r="1460" spans="1:15" x14ac:dyDescent="0.25">
      <c r="A1460" t="s">
        <v>16</v>
      </c>
      <c r="B1460" t="s">
        <v>3221</v>
      </c>
      <c r="C1460">
        <v>467</v>
      </c>
      <c r="D1460" t="s">
        <v>188</v>
      </c>
      <c r="E1460" t="s">
        <v>189</v>
      </c>
      <c r="F1460">
        <v>761.96</v>
      </c>
      <c r="G1460">
        <v>230120</v>
      </c>
      <c r="H1460">
        <v>4390</v>
      </c>
      <c r="I1460" t="s">
        <v>98</v>
      </c>
      <c r="J1460">
        <v>761.96</v>
      </c>
      <c r="K1460">
        <v>0</v>
      </c>
      <c r="L1460">
        <v>17950</v>
      </c>
      <c r="M1460" t="s">
        <v>86</v>
      </c>
      <c r="N1460" t="str">
        <f>"34998       "</f>
        <v xml:space="preserve">34998       </v>
      </c>
      <c r="O1460">
        <v>230123</v>
      </c>
    </row>
    <row r="1461" spans="1:15" x14ac:dyDescent="0.25">
      <c r="A1461" t="s">
        <v>16</v>
      </c>
      <c r="B1461" t="s">
        <v>3221</v>
      </c>
      <c r="C1461">
        <v>502</v>
      </c>
      <c r="D1461" t="s">
        <v>188</v>
      </c>
      <c r="E1461" t="s">
        <v>189</v>
      </c>
      <c r="F1461">
        <v>348.21</v>
      </c>
      <c r="G1461">
        <v>230123</v>
      </c>
      <c r="H1461">
        <v>4390</v>
      </c>
      <c r="I1461" t="s">
        <v>98</v>
      </c>
      <c r="J1461">
        <v>348.21</v>
      </c>
      <c r="K1461">
        <v>0</v>
      </c>
      <c r="L1461">
        <v>17952</v>
      </c>
      <c r="M1461" t="s">
        <v>88</v>
      </c>
      <c r="N1461" t="str">
        <f>"34999       "</f>
        <v xml:space="preserve">34999       </v>
      </c>
      <c r="O1461">
        <v>230124</v>
      </c>
    </row>
    <row r="1462" spans="1:15" x14ac:dyDescent="0.25">
      <c r="A1462" t="s">
        <v>16</v>
      </c>
      <c r="B1462" t="s">
        <v>3221</v>
      </c>
      <c r="C1462">
        <v>505</v>
      </c>
      <c r="D1462" t="s">
        <v>188</v>
      </c>
      <c r="E1462" t="s">
        <v>189</v>
      </c>
      <c r="F1462">
        <v>189.51</v>
      </c>
      <c r="G1462">
        <v>230123</v>
      </c>
      <c r="H1462">
        <v>4390</v>
      </c>
      <c r="I1462" t="s">
        <v>98</v>
      </c>
      <c r="J1462">
        <v>189.51</v>
      </c>
      <c r="K1462">
        <v>0</v>
      </c>
      <c r="L1462">
        <v>17952</v>
      </c>
      <c r="M1462" t="s">
        <v>88</v>
      </c>
      <c r="N1462" t="str">
        <f>"35006       "</f>
        <v xml:space="preserve">35006       </v>
      </c>
      <c r="O1462">
        <v>230124</v>
      </c>
    </row>
    <row r="1463" spans="1:15" x14ac:dyDescent="0.25">
      <c r="A1463" t="s">
        <v>16</v>
      </c>
      <c r="B1463" t="s">
        <v>3221</v>
      </c>
      <c r="C1463">
        <v>1870</v>
      </c>
      <c r="D1463" t="s">
        <v>188</v>
      </c>
      <c r="E1463" t="s">
        <v>189</v>
      </c>
      <c r="F1463">
        <v>504.98</v>
      </c>
      <c r="G1463">
        <v>230214</v>
      </c>
      <c r="H1463">
        <v>4390</v>
      </c>
      <c r="I1463" t="s">
        <v>98</v>
      </c>
      <c r="J1463">
        <v>504.98</v>
      </c>
      <c r="K1463">
        <v>0</v>
      </c>
      <c r="L1463">
        <v>17951</v>
      </c>
      <c r="M1463" t="s">
        <v>87</v>
      </c>
      <c r="N1463" t="str">
        <f>"35048       "</f>
        <v xml:space="preserve">35048       </v>
      </c>
      <c r="O1463">
        <v>230215</v>
      </c>
    </row>
    <row r="1464" spans="1:15" x14ac:dyDescent="0.25">
      <c r="A1464" t="s">
        <v>16</v>
      </c>
      <c r="B1464" t="s">
        <v>3221</v>
      </c>
      <c r="C1464">
        <v>6383</v>
      </c>
      <c r="D1464" t="s">
        <v>188</v>
      </c>
      <c r="E1464" t="s">
        <v>189</v>
      </c>
      <c r="F1464">
        <v>76.61</v>
      </c>
      <c r="G1464">
        <v>230510</v>
      </c>
      <c r="H1464">
        <v>4390</v>
      </c>
      <c r="I1464" t="s">
        <v>98</v>
      </c>
      <c r="J1464">
        <v>76.61</v>
      </c>
      <c r="K1464">
        <v>0</v>
      </c>
      <c r="L1464">
        <v>17951</v>
      </c>
      <c r="M1464" t="s">
        <v>87</v>
      </c>
      <c r="N1464" t="str">
        <f>"35236       "</f>
        <v xml:space="preserve">35236       </v>
      </c>
      <c r="O1464">
        <v>230510</v>
      </c>
    </row>
    <row r="1465" spans="1:15" x14ac:dyDescent="0.25">
      <c r="A1465" t="s">
        <v>16</v>
      </c>
      <c r="B1465" t="s">
        <v>3221</v>
      </c>
      <c r="C1465">
        <v>9296</v>
      </c>
      <c r="D1465" t="s">
        <v>188</v>
      </c>
      <c r="E1465" t="s">
        <v>189</v>
      </c>
      <c r="F1465">
        <v>26.9</v>
      </c>
      <c r="G1465">
        <v>230704</v>
      </c>
      <c r="H1465">
        <v>4390</v>
      </c>
      <c r="I1465" t="s">
        <v>98</v>
      </c>
      <c r="J1465">
        <v>33.35</v>
      </c>
      <c r="K1465">
        <v>6.45</v>
      </c>
      <c r="L1465">
        <v>13540</v>
      </c>
      <c r="M1465" t="s">
        <v>85</v>
      </c>
      <c r="N1465" t="str">
        <f>"35374       "</f>
        <v xml:space="preserve">35374       </v>
      </c>
      <c r="O1465">
        <v>230705</v>
      </c>
    </row>
    <row r="1466" spans="1:15" x14ac:dyDescent="0.25">
      <c r="A1466" t="s">
        <v>16</v>
      </c>
      <c r="B1466" t="s">
        <v>3221</v>
      </c>
      <c r="C1466">
        <v>9296</v>
      </c>
      <c r="D1466" t="s">
        <v>188</v>
      </c>
      <c r="E1466" t="s">
        <v>189</v>
      </c>
      <c r="F1466">
        <v>54.61</v>
      </c>
      <c r="G1466">
        <v>230704</v>
      </c>
      <c r="H1466">
        <v>4390</v>
      </c>
      <c r="I1466" t="s">
        <v>98</v>
      </c>
      <c r="J1466">
        <v>67.72</v>
      </c>
      <c r="K1466">
        <v>13.11</v>
      </c>
      <c r="L1466">
        <v>17950</v>
      </c>
      <c r="M1466" t="s">
        <v>86</v>
      </c>
      <c r="N1466" t="str">
        <f>"35374       "</f>
        <v xml:space="preserve">35374       </v>
      </c>
      <c r="O1466">
        <v>230705</v>
      </c>
    </row>
    <row r="1467" spans="1:15" x14ac:dyDescent="0.25">
      <c r="A1467" t="s">
        <v>16</v>
      </c>
      <c r="B1467" t="s">
        <v>3221</v>
      </c>
      <c r="C1467">
        <v>9777</v>
      </c>
      <c r="D1467" t="s">
        <v>188</v>
      </c>
      <c r="E1467" t="s">
        <v>189</v>
      </c>
      <c r="F1467">
        <v>109.73</v>
      </c>
      <c r="G1467">
        <v>230720</v>
      </c>
      <c r="H1467">
        <v>4390</v>
      </c>
      <c r="I1467" t="s">
        <v>98</v>
      </c>
      <c r="J1467">
        <v>109.73</v>
      </c>
      <c r="K1467">
        <v>0</v>
      </c>
      <c r="L1467">
        <v>17950</v>
      </c>
      <c r="M1467" t="s">
        <v>86</v>
      </c>
      <c r="N1467" t="str">
        <f>"35422       "</f>
        <v xml:space="preserve">35422       </v>
      </c>
      <c r="O1467">
        <v>230725</v>
      </c>
    </row>
    <row r="1468" spans="1:15" x14ac:dyDescent="0.25">
      <c r="A1468" t="s">
        <v>16</v>
      </c>
      <c r="B1468" t="s">
        <v>3221</v>
      </c>
      <c r="C1468">
        <v>9978</v>
      </c>
      <c r="D1468" t="s">
        <v>188</v>
      </c>
      <c r="E1468" t="s">
        <v>189</v>
      </c>
      <c r="F1468">
        <v>42.62</v>
      </c>
      <c r="G1468">
        <v>230803</v>
      </c>
      <c r="H1468">
        <v>4390</v>
      </c>
      <c r="I1468" t="s">
        <v>98</v>
      </c>
      <c r="J1468">
        <v>42.62</v>
      </c>
      <c r="K1468">
        <v>0</v>
      </c>
      <c r="L1468">
        <v>13540</v>
      </c>
      <c r="M1468" t="s">
        <v>85</v>
      </c>
      <c r="N1468" t="str">
        <f>"35455       "</f>
        <v xml:space="preserve">35455       </v>
      </c>
      <c r="O1468">
        <v>230803</v>
      </c>
    </row>
    <row r="1469" spans="1:15" x14ac:dyDescent="0.25">
      <c r="A1469" t="s">
        <v>16</v>
      </c>
      <c r="B1469" t="s">
        <v>3221</v>
      </c>
      <c r="C1469">
        <v>9978</v>
      </c>
      <c r="D1469" t="s">
        <v>188</v>
      </c>
      <c r="E1469" t="s">
        <v>189</v>
      </c>
      <c r="F1469">
        <v>344.81</v>
      </c>
      <c r="G1469">
        <v>230803</v>
      </c>
      <c r="H1469">
        <v>4390</v>
      </c>
      <c r="I1469" t="s">
        <v>98</v>
      </c>
      <c r="J1469">
        <v>344.81</v>
      </c>
      <c r="K1469">
        <v>0</v>
      </c>
      <c r="L1469">
        <v>17950</v>
      </c>
      <c r="M1469" t="s">
        <v>86</v>
      </c>
      <c r="N1469" t="str">
        <f>"35455       "</f>
        <v xml:space="preserve">35455       </v>
      </c>
      <c r="O1469">
        <v>230803</v>
      </c>
    </row>
    <row r="1470" spans="1:15" x14ac:dyDescent="0.25">
      <c r="A1470" t="s">
        <v>16</v>
      </c>
      <c r="B1470" t="s">
        <v>3221</v>
      </c>
      <c r="C1470">
        <v>11184</v>
      </c>
      <c r="D1470" t="s">
        <v>188</v>
      </c>
      <c r="E1470" t="s">
        <v>189</v>
      </c>
      <c r="F1470">
        <v>166.64</v>
      </c>
      <c r="G1470">
        <v>230829</v>
      </c>
      <c r="H1470">
        <v>4390</v>
      </c>
      <c r="I1470" t="s">
        <v>98</v>
      </c>
      <c r="J1470">
        <v>166.64</v>
      </c>
      <c r="K1470">
        <v>0</v>
      </c>
      <c r="L1470">
        <v>17737</v>
      </c>
      <c r="M1470" t="s">
        <v>279</v>
      </c>
      <c r="N1470" t="str">
        <f>"35531       "</f>
        <v xml:space="preserve">35531       </v>
      </c>
      <c r="O1470">
        <v>230831</v>
      </c>
    </row>
    <row r="1471" spans="1:15" x14ac:dyDescent="0.25">
      <c r="A1471" t="s">
        <v>16</v>
      </c>
      <c r="B1471" t="s">
        <v>3221</v>
      </c>
      <c r="C1471">
        <v>12678</v>
      </c>
      <c r="D1471" t="s">
        <v>188</v>
      </c>
      <c r="E1471" t="s">
        <v>189</v>
      </c>
      <c r="F1471">
        <v>1081.8699999999999</v>
      </c>
      <c r="G1471">
        <v>230921</v>
      </c>
      <c r="H1471">
        <v>4390</v>
      </c>
      <c r="I1471" t="s">
        <v>98</v>
      </c>
      <c r="J1471">
        <v>1081.8699999999999</v>
      </c>
      <c r="K1471">
        <v>0</v>
      </c>
      <c r="L1471">
        <v>17952</v>
      </c>
      <c r="M1471" t="s">
        <v>88</v>
      </c>
      <c r="N1471" t="str">
        <f>"35592       "</f>
        <v xml:space="preserve">35592       </v>
      </c>
      <c r="O1471">
        <v>230925</v>
      </c>
    </row>
    <row r="1472" spans="1:15" x14ac:dyDescent="0.25">
      <c r="A1472" t="s">
        <v>16</v>
      </c>
      <c r="B1472" t="s">
        <v>3221</v>
      </c>
      <c r="C1472">
        <v>14374</v>
      </c>
      <c r="D1472" t="s">
        <v>188</v>
      </c>
      <c r="E1472" t="s">
        <v>189</v>
      </c>
      <c r="F1472">
        <v>104.84</v>
      </c>
      <c r="G1472">
        <v>231026</v>
      </c>
      <c r="H1472">
        <v>4390</v>
      </c>
      <c r="I1472" t="s">
        <v>98</v>
      </c>
      <c r="J1472">
        <v>104.84</v>
      </c>
      <c r="K1472">
        <v>0</v>
      </c>
      <c r="L1472">
        <v>17951</v>
      </c>
      <c r="M1472" t="s">
        <v>87</v>
      </c>
      <c r="N1472" t="str">
        <f>"35659       "</f>
        <v xml:space="preserve">35659       </v>
      </c>
      <c r="O1472">
        <v>231030</v>
      </c>
    </row>
    <row r="1473" spans="1:15" x14ac:dyDescent="0.25">
      <c r="A1473" t="s">
        <v>16</v>
      </c>
      <c r="B1473" t="s">
        <v>3221</v>
      </c>
      <c r="C1473">
        <v>16189</v>
      </c>
      <c r="D1473" t="s">
        <v>188</v>
      </c>
      <c r="E1473" t="s">
        <v>189</v>
      </c>
      <c r="F1473">
        <v>548.99</v>
      </c>
      <c r="G1473">
        <v>231123</v>
      </c>
      <c r="H1473">
        <v>4390</v>
      </c>
      <c r="I1473" t="s">
        <v>98</v>
      </c>
      <c r="J1473">
        <v>548.99</v>
      </c>
      <c r="K1473">
        <v>0</v>
      </c>
      <c r="L1473">
        <v>17950</v>
      </c>
      <c r="M1473" t="s">
        <v>86</v>
      </c>
      <c r="N1473" t="str">
        <f>"35782       "</f>
        <v xml:space="preserve">35782       </v>
      </c>
      <c r="O1473">
        <v>231127</v>
      </c>
    </row>
    <row r="1474" spans="1:15" x14ac:dyDescent="0.25">
      <c r="A1474" t="s">
        <v>16</v>
      </c>
      <c r="B1474" t="s">
        <v>3221</v>
      </c>
      <c r="C1474">
        <v>16595</v>
      </c>
      <c r="D1474" t="s">
        <v>188</v>
      </c>
      <c r="E1474" t="s">
        <v>189</v>
      </c>
      <c r="F1474">
        <v>649.67999999999995</v>
      </c>
      <c r="G1474">
        <v>231201</v>
      </c>
      <c r="H1474">
        <v>4390</v>
      </c>
      <c r="I1474" t="s">
        <v>98</v>
      </c>
      <c r="J1474">
        <v>649.67999999999995</v>
      </c>
      <c r="K1474">
        <v>0</v>
      </c>
      <c r="L1474">
        <v>17952</v>
      </c>
      <c r="M1474" t="s">
        <v>88</v>
      </c>
      <c r="N1474" t="str">
        <f>"35794       "</f>
        <v xml:space="preserve">35794       </v>
      </c>
      <c r="O1474">
        <v>231204</v>
      </c>
    </row>
    <row r="1475" spans="1:15" x14ac:dyDescent="0.25">
      <c r="A1475" t="s">
        <v>16</v>
      </c>
      <c r="B1475" t="s">
        <v>3221</v>
      </c>
      <c r="C1475">
        <v>16993</v>
      </c>
      <c r="D1475" t="s">
        <v>188</v>
      </c>
      <c r="E1475" t="s">
        <v>189</v>
      </c>
      <c r="F1475">
        <v>217.64</v>
      </c>
      <c r="G1475">
        <v>231209</v>
      </c>
      <c r="H1475">
        <v>4390</v>
      </c>
      <c r="I1475" t="s">
        <v>98</v>
      </c>
      <c r="J1475">
        <v>217.64</v>
      </c>
      <c r="K1475">
        <v>0</v>
      </c>
      <c r="L1475">
        <v>17952</v>
      </c>
      <c r="M1475" t="s">
        <v>88</v>
      </c>
      <c r="N1475" t="str">
        <f>"35841       "</f>
        <v xml:space="preserve">35841       </v>
      </c>
      <c r="O1475">
        <v>231211</v>
      </c>
    </row>
    <row r="1476" spans="1:15" x14ac:dyDescent="0.25">
      <c r="A1476" t="s">
        <v>16</v>
      </c>
      <c r="B1476" t="s">
        <v>3221</v>
      </c>
      <c r="C1476">
        <v>17145</v>
      </c>
      <c r="D1476" t="s">
        <v>188</v>
      </c>
      <c r="E1476" t="s">
        <v>189</v>
      </c>
      <c r="F1476">
        <v>184.24</v>
      </c>
      <c r="G1476">
        <v>231209</v>
      </c>
      <c r="H1476">
        <v>4390</v>
      </c>
      <c r="I1476" t="s">
        <v>98</v>
      </c>
      <c r="J1476">
        <v>228.46</v>
      </c>
      <c r="K1476">
        <v>44.22</v>
      </c>
      <c r="L1476">
        <v>17950</v>
      </c>
      <c r="M1476" t="s">
        <v>86</v>
      </c>
      <c r="N1476" t="str">
        <f>"35848       "</f>
        <v xml:space="preserve">35848       </v>
      </c>
      <c r="O1476">
        <v>231212</v>
      </c>
    </row>
    <row r="1477" spans="1:15" x14ac:dyDescent="0.25">
      <c r="A1477" t="s">
        <v>16</v>
      </c>
      <c r="B1477" t="s">
        <v>3221</v>
      </c>
      <c r="C1477">
        <v>18208</v>
      </c>
      <c r="D1477" t="s">
        <v>188</v>
      </c>
      <c r="E1477" t="s">
        <v>189</v>
      </c>
      <c r="F1477">
        <v>122.52</v>
      </c>
      <c r="G1477">
        <v>231227</v>
      </c>
      <c r="H1477">
        <v>4390</v>
      </c>
      <c r="I1477" t="s">
        <v>98</v>
      </c>
      <c r="J1477">
        <v>122.52</v>
      </c>
      <c r="K1477">
        <v>0</v>
      </c>
      <c r="L1477">
        <v>17951</v>
      </c>
      <c r="M1477" t="s">
        <v>87</v>
      </c>
      <c r="N1477" t="str">
        <f>"35882       "</f>
        <v xml:space="preserve">35882       </v>
      </c>
      <c r="O1477">
        <v>240102</v>
      </c>
    </row>
    <row r="1478" spans="1:15" x14ac:dyDescent="0.25">
      <c r="A1478" t="s">
        <v>16</v>
      </c>
      <c r="B1478" t="s">
        <v>3221</v>
      </c>
      <c r="C1478">
        <v>19279</v>
      </c>
      <c r="D1478" t="s">
        <v>188</v>
      </c>
      <c r="E1478" t="s">
        <v>189</v>
      </c>
      <c r="F1478">
        <v>117.88</v>
      </c>
      <c r="G1478">
        <v>231229</v>
      </c>
      <c r="H1478">
        <v>4390</v>
      </c>
      <c r="I1478" t="s">
        <v>98</v>
      </c>
      <c r="J1478">
        <v>146.16999999999999</v>
      </c>
      <c r="K1478">
        <v>28.29</v>
      </c>
      <c r="L1478">
        <v>13540</v>
      </c>
      <c r="M1478" t="s">
        <v>85</v>
      </c>
      <c r="N1478" t="str">
        <f>"35896       "</f>
        <v xml:space="preserve">35896       </v>
      </c>
      <c r="O1478">
        <v>240116</v>
      </c>
    </row>
    <row r="1479" spans="1:15" x14ac:dyDescent="0.25">
      <c r="A1479" t="s">
        <v>16</v>
      </c>
      <c r="B1479" t="s">
        <v>3221</v>
      </c>
      <c r="C1479">
        <v>19279</v>
      </c>
      <c r="D1479" t="s">
        <v>188</v>
      </c>
      <c r="E1479" t="s">
        <v>189</v>
      </c>
      <c r="F1479">
        <v>236.12</v>
      </c>
      <c r="G1479">
        <v>231229</v>
      </c>
      <c r="H1479">
        <v>4390</v>
      </c>
      <c r="I1479" t="s">
        <v>98</v>
      </c>
      <c r="J1479">
        <v>292.79000000000002</v>
      </c>
      <c r="K1479">
        <v>56.67</v>
      </c>
      <c r="L1479">
        <v>17950</v>
      </c>
      <c r="M1479" t="s">
        <v>86</v>
      </c>
      <c r="N1479" t="str">
        <f>"35896       "</f>
        <v xml:space="preserve">35896       </v>
      </c>
      <c r="O1479">
        <v>240116</v>
      </c>
    </row>
    <row r="1480" spans="1:15" x14ac:dyDescent="0.25">
      <c r="A1480" t="s">
        <v>16</v>
      </c>
      <c r="B1480" t="s">
        <v>3221</v>
      </c>
      <c r="C1480">
        <v>2851</v>
      </c>
      <c r="D1480" t="s">
        <v>188</v>
      </c>
      <c r="E1480" t="s">
        <v>189</v>
      </c>
      <c r="F1480">
        <v>172.45</v>
      </c>
      <c r="G1480">
        <v>230307</v>
      </c>
      <c r="H1480">
        <v>4590</v>
      </c>
      <c r="I1480" t="s">
        <v>203</v>
      </c>
      <c r="J1480">
        <v>213.84</v>
      </c>
      <c r="K1480">
        <v>41.39</v>
      </c>
      <c r="L1480">
        <v>17952</v>
      </c>
      <c r="M1480" t="s">
        <v>88</v>
      </c>
      <c r="N1480" t="str">
        <f>"35110       "</f>
        <v xml:space="preserve">35110       </v>
      </c>
      <c r="O1480">
        <v>230308</v>
      </c>
    </row>
    <row r="1481" spans="1:15" x14ac:dyDescent="0.25">
      <c r="A1481" t="s">
        <v>16</v>
      </c>
      <c r="B1481" t="s">
        <v>3221</v>
      </c>
      <c r="C1481">
        <v>5013</v>
      </c>
      <c r="D1481" t="s">
        <v>188</v>
      </c>
      <c r="E1481" t="s">
        <v>189</v>
      </c>
      <c r="F1481">
        <v>344.06</v>
      </c>
      <c r="G1481">
        <v>230414</v>
      </c>
      <c r="H1481">
        <v>4590</v>
      </c>
      <c r="I1481" t="s">
        <v>203</v>
      </c>
      <c r="J1481">
        <v>426.64</v>
      </c>
      <c r="K1481">
        <v>82.58</v>
      </c>
      <c r="L1481">
        <v>17952</v>
      </c>
      <c r="M1481" t="s">
        <v>88</v>
      </c>
      <c r="N1481" t="str">
        <f>"35190       "</f>
        <v xml:space="preserve">35190       </v>
      </c>
      <c r="O1481">
        <v>230417</v>
      </c>
    </row>
    <row r="1482" spans="1:15" x14ac:dyDescent="0.25">
      <c r="A1482" t="s">
        <v>16</v>
      </c>
      <c r="B1482" t="s">
        <v>3221</v>
      </c>
      <c r="C1482">
        <v>9295</v>
      </c>
      <c r="D1482" t="s">
        <v>188</v>
      </c>
      <c r="E1482" t="s">
        <v>189</v>
      </c>
      <c r="F1482">
        <v>308.45999999999998</v>
      </c>
      <c r="G1482">
        <v>230704</v>
      </c>
      <c r="H1482">
        <v>4590</v>
      </c>
      <c r="I1482" t="s">
        <v>203</v>
      </c>
      <c r="J1482">
        <v>382.49</v>
      </c>
      <c r="K1482">
        <v>74.03</v>
      </c>
      <c r="L1482">
        <v>17952</v>
      </c>
      <c r="M1482" t="s">
        <v>88</v>
      </c>
      <c r="N1482" t="str">
        <f>"35375       "</f>
        <v xml:space="preserve">35375       </v>
      </c>
      <c r="O1482">
        <v>230705</v>
      </c>
    </row>
    <row r="1483" spans="1:15" x14ac:dyDescent="0.25">
      <c r="A1483" t="s">
        <v>16</v>
      </c>
      <c r="B1483" t="s">
        <v>3221</v>
      </c>
      <c r="C1483">
        <v>15737</v>
      </c>
      <c r="D1483" t="s">
        <v>188</v>
      </c>
      <c r="E1483" t="s">
        <v>189</v>
      </c>
      <c r="F1483">
        <v>83.66</v>
      </c>
      <c r="G1483">
        <v>231116</v>
      </c>
      <c r="H1483">
        <v>4590</v>
      </c>
      <c r="I1483" t="s">
        <v>203</v>
      </c>
      <c r="J1483">
        <v>103.74</v>
      </c>
      <c r="K1483">
        <v>20.079999999999998</v>
      </c>
      <c r="L1483">
        <v>17956</v>
      </c>
      <c r="M1483" t="s">
        <v>53</v>
      </c>
      <c r="N1483" t="str">
        <f>"35746       "</f>
        <v xml:space="preserve">35746       </v>
      </c>
      <c r="O1483">
        <v>231116</v>
      </c>
    </row>
    <row r="1484" spans="1:15" x14ac:dyDescent="0.25">
      <c r="A1484" t="s">
        <v>16</v>
      </c>
      <c r="B1484" t="s">
        <v>3221</v>
      </c>
      <c r="C1484">
        <v>15800</v>
      </c>
      <c r="D1484" t="s">
        <v>188</v>
      </c>
      <c r="E1484" t="s">
        <v>189</v>
      </c>
      <c r="F1484">
        <v>9.2899999999999991</v>
      </c>
      <c r="G1484">
        <v>231116</v>
      </c>
      <c r="H1484">
        <v>4590</v>
      </c>
      <c r="I1484" t="s">
        <v>203</v>
      </c>
      <c r="J1484">
        <v>11.52</v>
      </c>
      <c r="K1484">
        <v>2.23</v>
      </c>
      <c r="L1484">
        <v>13540</v>
      </c>
      <c r="M1484" t="s">
        <v>85</v>
      </c>
      <c r="N1484" t="str">
        <f>"35748       "</f>
        <v xml:space="preserve">35748       </v>
      </c>
      <c r="O1484">
        <v>231120</v>
      </c>
    </row>
    <row r="1485" spans="1:15" x14ac:dyDescent="0.25">
      <c r="A1485" t="s">
        <v>16</v>
      </c>
      <c r="B1485" t="s">
        <v>3221</v>
      </c>
      <c r="C1485">
        <v>15800</v>
      </c>
      <c r="D1485" t="s">
        <v>188</v>
      </c>
      <c r="E1485" t="s">
        <v>189</v>
      </c>
      <c r="F1485">
        <v>75.2</v>
      </c>
      <c r="G1485">
        <v>231116</v>
      </c>
      <c r="H1485">
        <v>4590</v>
      </c>
      <c r="I1485" t="s">
        <v>203</v>
      </c>
      <c r="J1485">
        <v>93.25</v>
      </c>
      <c r="K1485">
        <v>18.05</v>
      </c>
      <c r="L1485">
        <v>17950</v>
      </c>
      <c r="M1485" t="s">
        <v>86</v>
      </c>
      <c r="N1485" t="str">
        <f>"35748       "</f>
        <v xml:space="preserve">35748       </v>
      </c>
      <c r="O1485">
        <v>231120</v>
      </c>
    </row>
    <row r="1486" spans="1:15" x14ac:dyDescent="0.25">
      <c r="A1486" t="s">
        <v>16</v>
      </c>
      <c r="B1486" t="s">
        <v>3221</v>
      </c>
      <c r="C1486">
        <v>15802</v>
      </c>
      <c r="D1486" t="s">
        <v>188</v>
      </c>
      <c r="E1486" t="s">
        <v>189</v>
      </c>
      <c r="F1486">
        <v>38.159999999999997</v>
      </c>
      <c r="G1486">
        <v>231116</v>
      </c>
      <c r="H1486">
        <v>4590</v>
      </c>
      <c r="I1486" t="s">
        <v>203</v>
      </c>
      <c r="J1486">
        <v>47.32</v>
      </c>
      <c r="K1486">
        <v>9.16</v>
      </c>
      <c r="L1486">
        <v>17950</v>
      </c>
      <c r="M1486" t="s">
        <v>86</v>
      </c>
      <c r="N1486" t="str">
        <f>"35747       "</f>
        <v xml:space="preserve">35747       </v>
      </c>
      <c r="O1486">
        <v>231120</v>
      </c>
    </row>
    <row r="1487" spans="1:15" x14ac:dyDescent="0.25">
      <c r="A1487" t="s">
        <v>16</v>
      </c>
      <c r="B1487" t="s">
        <v>3221</v>
      </c>
      <c r="C1487">
        <v>8828</v>
      </c>
      <c r="D1487" t="s">
        <v>188</v>
      </c>
      <c r="E1487" t="s">
        <v>189</v>
      </c>
      <c r="F1487">
        <v>470.41</v>
      </c>
      <c r="G1487">
        <v>230615</v>
      </c>
      <c r="H1487">
        <v>4572</v>
      </c>
      <c r="I1487" t="s">
        <v>122</v>
      </c>
      <c r="J1487">
        <v>470.41</v>
      </c>
      <c r="K1487">
        <v>0</v>
      </c>
      <c r="L1487">
        <v>13540</v>
      </c>
      <c r="M1487" t="s">
        <v>85</v>
      </c>
      <c r="N1487" t="str">
        <f>"35320       "</f>
        <v xml:space="preserve">35320       </v>
      </c>
      <c r="O1487">
        <v>230616</v>
      </c>
    </row>
    <row r="1488" spans="1:15" x14ac:dyDescent="0.25">
      <c r="A1488" t="s">
        <v>16</v>
      </c>
      <c r="B1488" t="s">
        <v>3221</v>
      </c>
      <c r="C1488">
        <v>8828</v>
      </c>
      <c r="D1488" t="s">
        <v>188</v>
      </c>
      <c r="E1488" t="s">
        <v>189</v>
      </c>
      <c r="F1488">
        <v>3806.08</v>
      </c>
      <c r="G1488">
        <v>230615</v>
      </c>
      <c r="H1488">
        <v>4572</v>
      </c>
      <c r="I1488" t="s">
        <v>122</v>
      </c>
      <c r="J1488">
        <v>3806.08</v>
      </c>
      <c r="K1488">
        <v>0</v>
      </c>
      <c r="L1488">
        <v>17950</v>
      </c>
      <c r="M1488" t="s">
        <v>86</v>
      </c>
      <c r="N1488" t="str">
        <f>"35320       "</f>
        <v xml:space="preserve">35320       </v>
      </c>
      <c r="O1488">
        <v>230616</v>
      </c>
    </row>
    <row r="1489" spans="1:15" x14ac:dyDescent="0.25">
      <c r="A1489" t="s">
        <v>16</v>
      </c>
      <c r="B1489" t="s">
        <v>3221</v>
      </c>
      <c r="C1489">
        <v>11070</v>
      </c>
      <c r="D1489" t="s">
        <v>2443</v>
      </c>
      <c r="E1489" t="s">
        <v>2444</v>
      </c>
      <c r="F1489">
        <v>481.82</v>
      </c>
      <c r="G1489">
        <v>230828</v>
      </c>
      <c r="H1489">
        <v>4420</v>
      </c>
      <c r="I1489" t="s">
        <v>132</v>
      </c>
      <c r="J1489">
        <v>530</v>
      </c>
      <c r="K1489">
        <v>48.18</v>
      </c>
      <c r="L1489">
        <v>53222</v>
      </c>
      <c r="M1489" t="s">
        <v>445</v>
      </c>
      <c r="N1489" t="str">
        <f>"15183       "</f>
        <v xml:space="preserve">15183       </v>
      </c>
      <c r="O1489">
        <v>230830</v>
      </c>
    </row>
    <row r="1490" spans="1:15" x14ac:dyDescent="0.25">
      <c r="A1490" t="s">
        <v>16</v>
      </c>
      <c r="B1490" t="s">
        <v>3221</v>
      </c>
      <c r="C1490">
        <v>11070</v>
      </c>
      <c r="D1490" t="s">
        <v>2443</v>
      </c>
      <c r="E1490" t="s">
        <v>2444</v>
      </c>
      <c r="F1490">
        <v>272.73</v>
      </c>
      <c r="G1490">
        <v>230828</v>
      </c>
      <c r="H1490">
        <v>4420</v>
      </c>
      <c r="I1490" t="s">
        <v>132</v>
      </c>
      <c r="J1490">
        <v>300</v>
      </c>
      <c r="K1490">
        <v>27.27</v>
      </c>
      <c r="L1490">
        <v>55222</v>
      </c>
      <c r="M1490" t="s">
        <v>873</v>
      </c>
      <c r="N1490" t="str">
        <f>"15183       "</f>
        <v xml:space="preserve">15183       </v>
      </c>
      <c r="O1490">
        <v>230830</v>
      </c>
    </row>
    <row r="1491" spans="1:15" x14ac:dyDescent="0.25">
      <c r="A1491" t="s">
        <v>16</v>
      </c>
      <c r="B1491" t="s">
        <v>3221</v>
      </c>
      <c r="C1491">
        <v>11977</v>
      </c>
      <c r="D1491" t="s">
        <v>2443</v>
      </c>
      <c r="E1491" t="s">
        <v>2444</v>
      </c>
      <c r="F1491">
        <v>209.09</v>
      </c>
      <c r="G1491">
        <v>230904</v>
      </c>
      <c r="H1491">
        <v>4420</v>
      </c>
      <c r="I1491" t="s">
        <v>132</v>
      </c>
      <c r="J1491">
        <v>230</v>
      </c>
      <c r="K1491">
        <v>20.91</v>
      </c>
      <c r="L1491">
        <v>58601</v>
      </c>
      <c r="M1491" t="s">
        <v>251</v>
      </c>
      <c r="N1491" t="str">
        <f>"15191       "</f>
        <v xml:space="preserve">15191       </v>
      </c>
      <c r="O1491">
        <v>230912</v>
      </c>
    </row>
    <row r="1492" spans="1:15" x14ac:dyDescent="0.25">
      <c r="A1492" t="s">
        <v>16</v>
      </c>
      <c r="B1492" t="s">
        <v>3221</v>
      </c>
      <c r="C1492">
        <v>12748</v>
      </c>
      <c r="D1492" t="s">
        <v>2443</v>
      </c>
      <c r="E1492" t="s">
        <v>2444</v>
      </c>
      <c r="F1492">
        <v>345.45</v>
      </c>
      <c r="G1492">
        <v>230925</v>
      </c>
      <c r="H1492">
        <v>4420</v>
      </c>
      <c r="I1492" t="s">
        <v>132</v>
      </c>
      <c r="J1492">
        <v>380</v>
      </c>
      <c r="K1492">
        <v>34.549999999999997</v>
      </c>
      <c r="L1492">
        <v>11908</v>
      </c>
      <c r="M1492" t="s">
        <v>598</v>
      </c>
      <c r="N1492" t="str">
        <f>"15218       "</f>
        <v xml:space="preserve">15218       </v>
      </c>
      <c r="O1492">
        <v>230925</v>
      </c>
    </row>
    <row r="1493" spans="1:15" x14ac:dyDescent="0.25">
      <c r="A1493" t="s">
        <v>16</v>
      </c>
      <c r="B1493" t="s">
        <v>3221</v>
      </c>
      <c r="C1493">
        <v>12919</v>
      </c>
      <c r="D1493" t="s">
        <v>2443</v>
      </c>
      <c r="E1493" t="s">
        <v>2444</v>
      </c>
      <c r="F1493">
        <v>636.36</v>
      </c>
      <c r="G1493">
        <v>230918</v>
      </c>
      <c r="H1493">
        <v>4420</v>
      </c>
      <c r="I1493" t="s">
        <v>132</v>
      </c>
      <c r="J1493">
        <v>700</v>
      </c>
      <c r="K1493">
        <v>63.64</v>
      </c>
      <c r="L1493">
        <v>56524</v>
      </c>
      <c r="M1493" t="s">
        <v>150</v>
      </c>
      <c r="N1493" t="str">
        <f>"180923      "</f>
        <v xml:space="preserve">180923      </v>
      </c>
      <c r="O1493">
        <v>231002</v>
      </c>
    </row>
    <row r="1494" spans="1:15" x14ac:dyDescent="0.25">
      <c r="A1494" t="s">
        <v>16</v>
      </c>
      <c r="B1494" t="s">
        <v>3221</v>
      </c>
      <c r="C1494">
        <v>14213</v>
      </c>
      <c r="D1494" t="s">
        <v>2443</v>
      </c>
      <c r="E1494" t="s">
        <v>2444</v>
      </c>
      <c r="F1494">
        <v>754.55</v>
      </c>
      <c r="G1494">
        <v>231016</v>
      </c>
      <c r="H1494">
        <v>4420</v>
      </c>
      <c r="I1494" t="s">
        <v>132</v>
      </c>
      <c r="J1494">
        <v>830</v>
      </c>
      <c r="K1494">
        <v>75.45</v>
      </c>
      <c r="L1494">
        <v>54222</v>
      </c>
      <c r="M1494" t="s">
        <v>308</v>
      </c>
      <c r="N1494" t="str">
        <f>"15275       "</f>
        <v xml:space="preserve">15275       </v>
      </c>
      <c r="O1494">
        <v>231024</v>
      </c>
    </row>
    <row r="1495" spans="1:15" x14ac:dyDescent="0.25">
      <c r="A1495" t="s">
        <v>16</v>
      </c>
      <c r="B1495" t="s">
        <v>3221</v>
      </c>
      <c r="C1495">
        <v>7710</v>
      </c>
      <c r="D1495" t="s">
        <v>2120</v>
      </c>
      <c r="E1495" t="s">
        <v>2121</v>
      </c>
      <c r="F1495">
        <v>500</v>
      </c>
      <c r="G1495">
        <v>230526</v>
      </c>
      <c r="H1495">
        <v>4470</v>
      </c>
      <c r="I1495" t="s">
        <v>83</v>
      </c>
      <c r="J1495">
        <v>620</v>
      </c>
      <c r="K1495">
        <v>120</v>
      </c>
      <c r="L1495">
        <v>47522</v>
      </c>
      <c r="M1495" t="s">
        <v>410</v>
      </c>
      <c r="N1495" t="str">
        <f>"I003-0000554"</f>
        <v>I003-0000554</v>
      </c>
      <c r="O1495">
        <v>230602</v>
      </c>
    </row>
    <row r="1496" spans="1:15" x14ac:dyDescent="0.25">
      <c r="A1496" t="s">
        <v>16</v>
      </c>
      <c r="B1496" t="s">
        <v>3221</v>
      </c>
      <c r="C1496">
        <v>1205</v>
      </c>
      <c r="D1496" t="s">
        <v>948</v>
      </c>
      <c r="E1496" t="s">
        <v>949</v>
      </c>
      <c r="F1496">
        <v>19.04</v>
      </c>
      <c r="G1496">
        <v>230131</v>
      </c>
      <c r="H1496">
        <v>4520</v>
      </c>
      <c r="I1496" t="s">
        <v>254</v>
      </c>
      <c r="J1496">
        <v>21.7</v>
      </c>
      <c r="K1496">
        <v>2.66</v>
      </c>
      <c r="L1496">
        <v>13401</v>
      </c>
      <c r="M1496" t="s">
        <v>80</v>
      </c>
      <c r="N1496" t="str">
        <f>"2360084472  "</f>
        <v xml:space="preserve">2360084472  </v>
      </c>
      <c r="O1496">
        <v>230206</v>
      </c>
    </row>
    <row r="1497" spans="1:15" x14ac:dyDescent="0.25">
      <c r="A1497" t="s">
        <v>16</v>
      </c>
      <c r="B1497" t="s">
        <v>3221</v>
      </c>
      <c r="C1497">
        <v>2627</v>
      </c>
      <c r="D1497" t="s">
        <v>948</v>
      </c>
      <c r="E1497" t="s">
        <v>949</v>
      </c>
      <c r="F1497">
        <v>81.92</v>
      </c>
      <c r="G1497">
        <v>230228</v>
      </c>
      <c r="H1497">
        <v>4520</v>
      </c>
      <c r="I1497" t="s">
        <v>254</v>
      </c>
      <c r="J1497">
        <v>93.39</v>
      </c>
      <c r="K1497">
        <v>11.47</v>
      </c>
      <c r="L1497">
        <v>13401</v>
      </c>
      <c r="M1497" t="s">
        <v>80</v>
      </c>
      <c r="N1497" t="str">
        <f>"2360174840  "</f>
        <v xml:space="preserve">2360174840  </v>
      </c>
      <c r="O1497">
        <v>230303</v>
      </c>
    </row>
    <row r="1498" spans="1:15" x14ac:dyDescent="0.25">
      <c r="A1498" t="s">
        <v>16</v>
      </c>
      <c r="B1498" t="s">
        <v>3221</v>
      </c>
      <c r="C1498">
        <v>4421</v>
      </c>
      <c r="D1498" t="s">
        <v>948</v>
      </c>
      <c r="E1498" t="s">
        <v>949</v>
      </c>
      <c r="F1498">
        <v>12.79</v>
      </c>
      <c r="G1498">
        <v>230331</v>
      </c>
      <c r="H1498">
        <v>4520</v>
      </c>
      <c r="I1498" t="s">
        <v>254</v>
      </c>
      <c r="J1498">
        <v>14.58</v>
      </c>
      <c r="K1498">
        <v>1.79</v>
      </c>
      <c r="L1498">
        <v>13401</v>
      </c>
      <c r="M1498" t="s">
        <v>80</v>
      </c>
      <c r="N1498" t="str">
        <f>"2360275769  "</f>
        <v xml:space="preserve">2360275769  </v>
      </c>
      <c r="O1498">
        <v>230405</v>
      </c>
    </row>
    <row r="1499" spans="1:15" x14ac:dyDescent="0.25">
      <c r="A1499" t="s">
        <v>16</v>
      </c>
      <c r="B1499" t="s">
        <v>3221</v>
      </c>
      <c r="C1499">
        <v>5952</v>
      </c>
      <c r="D1499" t="s">
        <v>948</v>
      </c>
      <c r="E1499" t="s">
        <v>949</v>
      </c>
      <c r="F1499">
        <v>26.43</v>
      </c>
      <c r="G1499">
        <v>230430</v>
      </c>
      <c r="H1499">
        <v>4520</v>
      </c>
      <c r="I1499" t="s">
        <v>254</v>
      </c>
      <c r="J1499">
        <v>30.13</v>
      </c>
      <c r="K1499">
        <v>3.7</v>
      </c>
      <c r="L1499">
        <v>13401</v>
      </c>
      <c r="M1499" t="s">
        <v>80</v>
      </c>
      <c r="N1499" t="str">
        <f>"2360368295  "</f>
        <v xml:space="preserve">2360368295  </v>
      </c>
      <c r="O1499">
        <v>230504</v>
      </c>
    </row>
    <row r="1500" spans="1:15" x14ac:dyDescent="0.25">
      <c r="A1500" t="s">
        <v>16</v>
      </c>
      <c r="B1500" t="s">
        <v>3221</v>
      </c>
      <c r="C1500">
        <v>8386</v>
      </c>
      <c r="D1500" t="s">
        <v>948</v>
      </c>
      <c r="E1500" t="s">
        <v>949</v>
      </c>
      <c r="F1500">
        <v>42.91</v>
      </c>
      <c r="G1500">
        <v>230531</v>
      </c>
      <c r="H1500">
        <v>4520</v>
      </c>
      <c r="I1500" t="s">
        <v>254</v>
      </c>
      <c r="J1500">
        <v>48.92</v>
      </c>
      <c r="K1500">
        <v>6.01</v>
      </c>
      <c r="L1500">
        <v>13401</v>
      </c>
      <c r="M1500" t="s">
        <v>80</v>
      </c>
      <c r="N1500" t="str">
        <f>"2360470940  "</f>
        <v xml:space="preserve">2360470940  </v>
      </c>
      <c r="O1500">
        <v>230608</v>
      </c>
    </row>
    <row r="1501" spans="1:15" x14ac:dyDescent="0.25">
      <c r="A1501" t="s">
        <v>16</v>
      </c>
      <c r="B1501" t="s">
        <v>3221</v>
      </c>
      <c r="C1501">
        <v>11559</v>
      </c>
      <c r="D1501" t="s">
        <v>948</v>
      </c>
      <c r="E1501" t="s">
        <v>949</v>
      </c>
      <c r="F1501">
        <v>11.81</v>
      </c>
      <c r="G1501">
        <v>230831</v>
      </c>
      <c r="H1501">
        <v>4520</v>
      </c>
      <c r="I1501" t="s">
        <v>254</v>
      </c>
      <c r="J1501">
        <v>13.46</v>
      </c>
      <c r="K1501">
        <v>1.65</v>
      </c>
      <c r="L1501">
        <v>13401</v>
      </c>
      <c r="M1501" t="s">
        <v>80</v>
      </c>
      <c r="N1501" t="str">
        <f>"2360766403  "</f>
        <v xml:space="preserve">2360766403  </v>
      </c>
      <c r="O1501">
        <v>230907</v>
      </c>
    </row>
    <row r="1502" spans="1:15" x14ac:dyDescent="0.25">
      <c r="A1502" t="s">
        <v>16</v>
      </c>
      <c r="B1502" t="s">
        <v>3221</v>
      </c>
      <c r="C1502">
        <v>15105</v>
      </c>
      <c r="D1502" t="s">
        <v>948</v>
      </c>
      <c r="E1502" t="s">
        <v>949</v>
      </c>
      <c r="F1502">
        <v>160.87</v>
      </c>
      <c r="G1502">
        <v>231031</v>
      </c>
      <c r="H1502">
        <v>4520</v>
      </c>
      <c r="I1502" t="s">
        <v>254</v>
      </c>
      <c r="J1502">
        <v>183.39</v>
      </c>
      <c r="K1502">
        <v>22.52</v>
      </c>
      <c r="L1502">
        <v>13401</v>
      </c>
      <c r="M1502" t="s">
        <v>80</v>
      </c>
      <c r="N1502" t="str">
        <f>"2360968235  "</f>
        <v xml:space="preserve">2360968235  </v>
      </c>
      <c r="O1502">
        <v>231108</v>
      </c>
    </row>
    <row r="1503" spans="1:15" x14ac:dyDescent="0.25">
      <c r="A1503" t="s">
        <v>16</v>
      </c>
      <c r="B1503" t="s">
        <v>3221</v>
      </c>
      <c r="C1503">
        <v>17017</v>
      </c>
      <c r="D1503" t="s">
        <v>948</v>
      </c>
      <c r="E1503" t="s">
        <v>949</v>
      </c>
      <c r="F1503">
        <v>11.38</v>
      </c>
      <c r="G1503">
        <v>231130</v>
      </c>
      <c r="H1503">
        <v>4520</v>
      </c>
      <c r="I1503" t="s">
        <v>254</v>
      </c>
      <c r="J1503">
        <v>12.97</v>
      </c>
      <c r="K1503">
        <v>1.59</v>
      </c>
      <c r="L1503">
        <v>13501</v>
      </c>
      <c r="M1503" t="s">
        <v>20</v>
      </c>
      <c r="N1503" t="str">
        <f>"2361071916  "</f>
        <v xml:space="preserve">2361071916  </v>
      </c>
      <c r="O1503">
        <v>231211</v>
      </c>
    </row>
    <row r="1504" spans="1:15" x14ac:dyDescent="0.25">
      <c r="A1504" t="s">
        <v>16</v>
      </c>
      <c r="B1504" t="s">
        <v>3221</v>
      </c>
      <c r="C1504">
        <v>18768</v>
      </c>
      <c r="D1504" t="s">
        <v>948</v>
      </c>
      <c r="E1504" t="s">
        <v>949</v>
      </c>
      <c r="F1504">
        <v>40.229999999999997</v>
      </c>
      <c r="G1504">
        <v>231231</v>
      </c>
      <c r="H1504">
        <v>4520</v>
      </c>
      <c r="I1504" t="s">
        <v>254</v>
      </c>
      <c r="J1504">
        <v>45.86</v>
      </c>
      <c r="K1504">
        <v>5.63</v>
      </c>
      <c r="L1504">
        <v>13401</v>
      </c>
      <c r="M1504" t="s">
        <v>80</v>
      </c>
      <c r="N1504" t="str">
        <f>"2361166585  "</f>
        <v xml:space="preserve">2361166585  </v>
      </c>
      <c r="O1504">
        <v>240105</v>
      </c>
    </row>
    <row r="1505" spans="1:15" x14ac:dyDescent="0.25">
      <c r="A1505" t="s">
        <v>16</v>
      </c>
      <c r="B1505" t="s">
        <v>3221</v>
      </c>
      <c r="C1505">
        <v>1205</v>
      </c>
      <c r="D1505" t="s">
        <v>948</v>
      </c>
      <c r="E1505" t="s">
        <v>949</v>
      </c>
      <c r="F1505">
        <v>2.64</v>
      </c>
      <c r="G1505">
        <v>230131</v>
      </c>
      <c r="H1505">
        <v>4600</v>
      </c>
      <c r="I1505" t="s">
        <v>105</v>
      </c>
      <c r="J1505">
        <v>3.27</v>
      </c>
      <c r="K1505">
        <v>0.63</v>
      </c>
      <c r="L1505">
        <v>13401</v>
      </c>
      <c r="M1505" t="s">
        <v>80</v>
      </c>
      <c r="N1505" t="str">
        <f>"2360084472  "</f>
        <v xml:space="preserve">2360084472  </v>
      </c>
      <c r="O1505">
        <v>230206</v>
      </c>
    </row>
    <row r="1506" spans="1:15" x14ac:dyDescent="0.25">
      <c r="A1506" t="s">
        <v>16</v>
      </c>
      <c r="B1506" t="s">
        <v>3221</v>
      </c>
      <c r="C1506">
        <v>2627</v>
      </c>
      <c r="D1506" t="s">
        <v>948</v>
      </c>
      <c r="E1506" t="s">
        <v>949</v>
      </c>
      <c r="F1506">
        <v>0.94</v>
      </c>
      <c r="G1506">
        <v>230228</v>
      </c>
      <c r="H1506">
        <v>4600</v>
      </c>
      <c r="I1506" t="s">
        <v>105</v>
      </c>
      <c r="J1506">
        <v>1.1599999999999999</v>
      </c>
      <c r="K1506">
        <v>0.22</v>
      </c>
      <c r="L1506">
        <v>13401</v>
      </c>
      <c r="M1506" t="s">
        <v>80</v>
      </c>
      <c r="N1506" t="str">
        <f>"2360174840  "</f>
        <v xml:space="preserve">2360174840  </v>
      </c>
      <c r="O1506">
        <v>230303</v>
      </c>
    </row>
    <row r="1507" spans="1:15" x14ac:dyDescent="0.25">
      <c r="A1507" t="s">
        <v>16</v>
      </c>
      <c r="B1507" t="s">
        <v>3221</v>
      </c>
      <c r="C1507">
        <v>4421</v>
      </c>
      <c r="D1507" t="s">
        <v>948</v>
      </c>
      <c r="E1507" t="s">
        <v>949</v>
      </c>
      <c r="F1507">
        <v>1.33</v>
      </c>
      <c r="G1507">
        <v>230331</v>
      </c>
      <c r="H1507">
        <v>4600</v>
      </c>
      <c r="I1507" t="s">
        <v>105</v>
      </c>
      <c r="J1507">
        <v>1.65</v>
      </c>
      <c r="K1507">
        <v>0.32</v>
      </c>
      <c r="L1507">
        <v>13401</v>
      </c>
      <c r="M1507" t="s">
        <v>80</v>
      </c>
      <c r="N1507" t="str">
        <f>"2360275769  "</f>
        <v xml:space="preserve">2360275769  </v>
      </c>
      <c r="O1507">
        <v>230405</v>
      </c>
    </row>
    <row r="1508" spans="1:15" x14ac:dyDescent="0.25">
      <c r="A1508" t="s">
        <v>16</v>
      </c>
      <c r="B1508" t="s">
        <v>3221</v>
      </c>
      <c r="C1508">
        <v>5952</v>
      </c>
      <c r="D1508" t="s">
        <v>948</v>
      </c>
      <c r="E1508" t="s">
        <v>949</v>
      </c>
      <c r="F1508">
        <v>2.54</v>
      </c>
      <c r="G1508">
        <v>230430</v>
      </c>
      <c r="H1508">
        <v>4600</v>
      </c>
      <c r="I1508" t="s">
        <v>105</v>
      </c>
      <c r="J1508">
        <v>3.15</v>
      </c>
      <c r="K1508">
        <v>0.61</v>
      </c>
      <c r="L1508">
        <v>13401</v>
      </c>
      <c r="M1508" t="s">
        <v>80</v>
      </c>
      <c r="N1508" t="str">
        <f>"2360368295  "</f>
        <v xml:space="preserve">2360368295  </v>
      </c>
      <c r="O1508">
        <v>230504</v>
      </c>
    </row>
    <row r="1509" spans="1:15" x14ac:dyDescent="0.25">
      <c r="A1509" t="s">
        <v>16</v>
      </c>
      <c r="B1509" t="s">
        <v>3221</v>
      </c>
      <c r="C1509">
        <v>8386</v>
      </c>
      <c r="D1509" t="s">
        <v>948</v>
      </c>
      <c r="E1509" t="s">
        <v>949</v>
      </c>
      <c r="F1509">
        <v>0.23</v>
      </c>
      <c r="G1509">
        <v>230531</v>
      </c>
      <c r="H1509">
        <v>4600</v>
      </c>
      <c r="I1509" t="s">
        <v>105</v>
      </c>
      <c r="J1509">
        <v>0.28999999999999998</v>
      </c>
      <c r="K1509">
        <v>0.06</v>
      </c>
      <c r="L1509">
        <v>13401</v>
      </c>
      <c r="M1509" t="s">
        <v>80</v>
      </c>
      <c r="N1509" t="str">
        <f>"2360470940  "</f>
        <v xml:space="preserve">2360470940  </v>
      </c>
      <c r="O1509">
        <v>230608</v>
      </c>
    </row>
    <row r="1510" spans="1:15" x14ac:dyDescent="0.25">
      <c r="A1510" t="s">
        <v>16</v>
      </c>
      <c r="B1510" t="s">
        <v>3221</v>
      </c>
      <c r="C1510">
        <v>18768</v>
      </c>
      <c r="D1510" t="s">
        <v>948</v>
      </c>
      <c r="E1510" t="s">
        <v>949</v>
      </c>
      <c r="F1510">
        <v>5.61</v>
      </c>
      <c r="G1510">
        <v>231231</v>
      </c>
      <c r="H1510">
        <v>4600</v>
      </c>
      <c r="I1510" t="s">
        <v>105</v>
      </c>
      <c r="J1510">
        <v>6.96</v>
      </c>
      <c r="K1510">
        <v>1.35</v>
      </c>
      <c r="L1510">
        <v>13401</v>
      </c>
      <c r="M1510" t="s">
        <v>80</v>
      </c>
      <c r="N1510" t="str">
        <f>"2361166585  "</f>
        <v xml:space="preserve">2361166585  </v>
      </c>
      <c r="O1510">
        <v>240105</v>
      </c>
    </row>
    <row r="1511" spans="1:15" x14ac:dyDescent="0.25">
      <c r="A1511" t="s">
        <v>16</v>
      </c>
      <c r="B1511" t="s">
        <v>3221</v>
      </c>
      <c r="C1511">
        <v>16504</v>
      </c>
      <c r="D1511" t="s">
        <v>2987</v>
      </c>
      <c r="E1511" t="s">
        <v>2988</v>
      </c>
      <c r="F1511">
        <v>391</v>
      </c>
      <c r="G1511">
        <v>231128</v>
      </c>
      <c r="H1511">
        <v>4580</v>
      </c>
      <c r="I1511" t="s">
        <v>35</v>
      </c>
      <c r="J1511">
        <v>484.84</v>
      </c>
      <c r="K1511">
        <v>93.84</v>
      </c>
      <c r="L1511">
        <v>59504</v>
      </c>
      <c r="M1511" t="s">
        <v>71</v>
      </c>
      <c r="N1511" t="str">
        <f>"3940        "</f>
        <v xml:space="preserve">3940        </v>
      </c>
      <c r="O1511">
        <v>231201</v>
      </c>
    </row>
    <row r="1512" spans="1:15" x14ac:dyDescent="0.25">
      <c r="A1512" t="s">
        <v>16</v>
      </c>
      <c r="B1512" t="s">
        <v>3221</v>
      </c>
      <c r="C1512">
        <v>12292</v>
      </c>
      <c r="D1512" t="s">
        <v>2553</v>
      </c>
      <c r="E1512" t="s">
        <v>2554</v>
      </c>
      <c r="F1512">
        <v>44.92</v>
      </c>
      <c r="G1512">
        <v>230911</v>
      </c>
      <c r="H1512">
        <v>4600</v>
      </c>
      <c r="I1512" t="s">
        <v>105</v>
      </c>
      <c r="J1512">
        <v>55.7</v>
      </c>
      <c r="K1512">
        <v>10.78</v>
      </c>
      <c r="L1512">
        <v>49501</v>
      </c>
      <c r="M1512" t="s">
        <v>177</v>
      </c>
      <c r="N1512" t="str">
        <f>"AS/2023/5676"</f>
        <v>AS/2023/5676</v>
      </c>
      <c r="O1512">
        <v>230918</v>
      </c>
    </row>
    <row r="1513" spans="1:15" x14ac:dyDescent="0.25">
      <c r="A1513" t="s">
        <v>16</v>
      </c>
      <c r="B1513" t="s">
        <v>3221</v>
      </c>
      <c r="C1513">
        <v>11204</v>
      </c>
      <c r="D1513" t="s">
        <v>2457</v>
      </c>
      <c r="E1513" t="s">
        <v>2458</v>
      </c>
      <c r="F1513">
        <v>322.39999999999998</v>
      </c>
      <c r="G1513">
        <v>230829</v>
      </c>
      <c r="H1513">
        <v>4555</v>
      </c>
      <c r="I1513" t="s">
        <v>481</v>
      </c>
      <c r="J1513">
        <v>399.78</v>
      </c>
      <c r="K1513">
        <v>77.38</v>
      </c>
      <c r="L1513">
        <v>56564</v>
      </c>
      <c r="M1513" t="s">
        <v>327</v>
      </c>
      <c r="N1513" t="str">
        <f>"5788        "</f>
        <v xml:space="preserve">5788        </v>
      </c>
      <c r="O1513">
        <v>230831</v>
      </c>
    </row>
    <row r="1514" spans="1:15" x14ac:dyDescent="0.25">
      <c r="A1514" t="s">
        <v>16</v>
      </c>
      <c r="B1514" t="s">
        <v>3221</v>
      </c>
      <c r="C1514">
        <v>13054</v>
      </c>
      <c r="D1514" t="s">
        <v>2616</v>
      </c>
      <c r="E1514" t="s">
        <v>2617</v>
      </c>
      <c r="F1514">
        <v>140.63999999999999</v>
      </c>
      <c r="G1514">
        <v>230922</v>
      </c>
      <c r="H1514">
        <v>4510</v>
      </c>
      <c r="I1514" t="s">
        <v>42</v>
      </c>
      <c r="J1514">
        <v>154.69999999999999</v>
      </c>
      <c r="K1514">
        <v>14.06</v>
      </c>
      <c r="L1514">
        <v>17711</v>
      </c>
      <c r="M1514" t="s">
        <v>65</v>
      </c>
      <c r="N1514" t="str">
        <f>"66          "</f>
        <v xml:space="preserve">66          </v>
      </c>
      <c r="O1514">
        <v>231003</v>
      </c>
    </row>
    <row r="1515" spans="1:15" x14ac:dyDescent="0.25">
      <c r="A1515" t="s">
        <v>16</v>
      </c>
      <c r="B1515" t="s">
        <v>3221</v>
      </c>
      <c r="C1515">
        <v>13054</v>
      </c>
      <c r="D1515" t="s">
        <v>2616</v>
      </c>
      <c r="E1515" t="s">
        <v>2617</v>
      </c>
      <c r="F1515">
        <v>60.27</v>
      </c>
      <c r="G1515">
        <v>230922</v>
      </c>
      <c r="H1515">
        <v>4510</v>
      </c>
      <c r="I1515" t="s">
        <v>42</v>
      </c>
      <c r="J1515">
        <v>66.3</v>
      </c>
      <c r="K1515">
        <v>6.03</v>
      </c>
      <c r="L1515">
        <v>17737</v>
      </c>
      <c r="M1515" t="s">
        <v>279</v>
      </c>
      <c r="N1515" t="str">
        <f>"66          "</f>
        <v xml:space="preserve">66          </v>
      </c>
      <c r="O1515">
        <v>231003</v>
      </c>
    </row>
    <row r="1516" spans="1:15" x14ac:dyDescent="0.25">
      <c r="A1516" t="s">
        <v>16</v>
      </c>
      <c r="B1516" t="s">
        <v>3221</v>
      </c>
      <c r="C1516">
        <v>13147</v>
      </c>
      <c r="D1516" t="s">
        <v>2636</v>
      </c>
      <c r="E1516" t="s">
        <v>2637</v>
      </c>
      <c r="F1516">
        <v>1185</v>
      </c>
      <c r="G1516">
        <v>231002</v>
      </c>
      <c r="H1516">
        <v>4600</v>
      </c>
      <c r="I1516" t="s">
        <v>105</v>
      </c>
      <c r="J1516">
        <v>1469.4</v>
      </c>
      <c r="K1516">
        <v>284.39999999999998</v>
      </c>
      <c r="L1516">
        <v>17524</v>
      </c>
      <c r="M1516" t="s">
        <v>452</v>
      </c>
      <c r="N1516" t="str">
        <f>"1162        "</f>
        <v xml:space="preserve">1162        </v>
      </c>
      <c r="O1516">
        <v>231004</v>
      </c>
    </row>
    <row r="1517" spans="1:15" x14ac:dyDescent="0.25">
      <c r="A1517" t="s">
        <v>16</v>
      </c>
      <c r="B1517" t="s">
        <v>3221</v>
      </c>
      <c r="C1517">
        <v>9211</v>
      </c>
      <c r="D1517" t="s">
        <v>2281</v>
      </c>
      <c r="E1517" t="s">
        <v>2282</v>
      </c>
      <c r="F1517">
        <v>370.01</v>
      </c>
      <c r="G1517">
        <v>230628</v>
      </c>
      <c r="H1517">
        <v>4390</v>
      </c>
      <c r="I1517" t="s">
        <v>98</v>
      </c>
      <c r="J1517">
        <v>370.01</v>
      </c>
      <c r="K1517">
        <v>0</v>
      </c>
      <c r="L1517">
        <v>13540</v>
      </c>
      <c r="M1517" t="s">
        <v>85</v>
      </c>
      <c r="N1517" t="str">
        <f>"620         "</f>
        <v xml:space="preserve">620         </v>
      </c>
      <c r="O1517">
        <v>230629</v>
      </c>
    </row>
    <row r="1518" spans="1:15" x14ac:dyDescent="0.25">
      <c r="A1518" t="s">
        <v>16</v>
      </c>
      <c r="B1518" t="s">
        <v>3221</v>
      </c>
      <c r="C1518">
        <v>9211</v>
      </c>
      <c r="D1518" t="s">
        <v>2281</v>
      </c>
      <c r="E1518" t="s">
        <v>2282</v>
      </c>
      <c r="F1518">
        <v>2993.74</v>
      </c>
      <c r="G1518">
        <v>230628</v>
      </c>
      <c r="H1518">
        <v>4390</v>
      </c>
      <c r="I1518" t="s">
        <v>98</v>
      </c>
      <c r="J1518">
        <v>2993.74</v>
      </c>
      <c r="K1518">
        <v>0</v>
      </c>
      <c r="L1518">
        <v>17950</v>
      </c>
      <c r="M1518" t="s">
        <v>86</v>
      </c>
      <c r="N1518" t="str">
        <f>"620         "</f>
        <v xml:space="preserve">620         </v>
      </c>
      <c r="O1518">
        <v>230629</v>
      </c>
    </row>
    <row r="1519" spans="1:15" x14ac:dyDescent="0.25">
      <c r="A1519" t="s">
        <v>16</v>
      </c>
      <c r="B1519" t="s">
        <v>3221</v>
      </c>
      <c r="C1519">
        <v>6833</v>
      </c>
      <c r="D1519" t="s">
        <v>3614</v>
      </c>
      <c r="E1519" t="s">
        <v>2027</v>
      </c>
      <c r="F1519">
        <v>2035</v>
      </c>
      <c r="G1519">
        <v>230517</v>
      </c>
      <c r="H1519">
        <v>1196</v>
      </c>
      <c r="I1519" t="s">
        <v>392</v>
      </c>
      <c r="J1519">
        <v>2523.4</v>
      </c>
      <c r="K1519">
        <v>488.4</v>
      </c>
      <c r="L1519">
        <v>97602</v>
      </c>
      <c r="M1519" t="s">
        <v>2028</v>
      </c>
      <c r="N1519" t="str">
        <f>"14/23       "</f>
        <v xml:space="preserve">14/23       </v>
      </c>
      <c r="O1519">
        <v>230522</v>
      </c>
    </row>
    <row r="1520" spans="1:15" x14ac:dyDescent="0.25">
      <c r="A1520" t="s">
        <v>16</v>
      </c>
      <c r="B1520" t="s">
        <v>3221</v>
      </c>
      <c r="C1520">
        <v>3471</v>
      </c>
      <c r="D1520" t="s">
        <v>3615</v>
      </c>
      <c r="E1520" t="s">
        <v>1566</v>
      </c>
      <c r="F1520">
        <v>800</v>
      </c>
      <c r="G1520">
        <v>230314</v>
      </c>
      <c r="H1520">
        <v>4346</v>
      </c>
      <c r="I1520" t="s">
        <v>197</v>
      </c>
      <c r="J1520">
        <v>992</v>
      </c>
      <c r="K1520">
        <v>192</v>
      </c>
      <c r="L1520">
        <v>17952</v>
      </c>
      <c r="M1520" t="s">
        <v>88</v>
      </c>
      <c r="N1520" t="str">
        <f>"830         "</f>
        <v xml:space="preserve">830         </v>
      </c>
      <c r="O1520">
        <v>230316</v>
      </c>
    </row>
    <row r="1521" spans="1:15" x14ac:dyDescent="0.25">
      <c r="A1521" t="s">
        <v>16</v>
      </c>
      <c r="B1521" t="s">
        <v>3221</v>
      </c>
      <c r="C1521">
        <v>18360</v>
      </c>
      <c r="D1521" t="s">
        <v>3615</v>
      </c>
      <c r="E1521" t="s">
        <v>1566</v>
      </c>
      <c r="F1521">
        <v>2205</v>
      </c>
      <c r="G1521">
        <v>231216</v>
      </c>
      <c r="H1521">
        <v>1196</v>
      </c>
      <c r="I1521" t="s">
        <v>392</v>
      </c>
      <c r="J1521">
        <v>2734.2</v>
      </c>
      <c r="K1521">
        <v>529.20000000000005</v>
      </c>
      <c r="L1521">
        <v>97603</v>
      </c>
      <c r="M1521" t="s">
        <v>478</v>
      </c>
      <c r="N1521" t="str">
        <f>"930         "</f>
        <v xml:space="preserve">930         </v>
      </c>
      <c r="O1521">
        <v>240103</v>
      </c>
    </row>
    <row r="1522" spans="1:15" x14ac:dyDescent="0.25">
      <c r="A1522" t="s">
        <v>16</v>
      </c>
      <c r="B1522" t="s">
        <v>3221</v>
      </c>
      <c r="C1522">
        <v>19256</v>
      </c>
      <c r="D1522" t="s">
        <v>3615</v>
      </c>
      <c r="E1522" t="s">
        <v>1566</v>
      </c>
      <c r="F1522">
        <v>3840</v>
      </c>
      <c r="G1522">
        <v>240111</v>
      </c>
      <c r="H1522">
        <v>1196</v>
      </c>
      <c r="I1522" t="s">
        <v>392</v>
      </c>
      <c r="J1522">
        <v>4761.6000000000004</v>
      </c>
      <c r="K1522">
        <v>921.6</v>
      </c>
      <c r="L1522">
        <v>97603</v>
      </c>
      <c r="M1522" t="s">
        <v>478</v>
      </c>
      <c r="N1522" t="str">
        <f>"944         "</f>
        <v xml:space="preserve">944         </v>
      </c>
      <c r="O1522">
        <v>240115</v>
      </c>
    </row>
    <row r="1523" spans="1:15" x14ac:dyDescent="0.25">
      <c r="A1523" t="s">
        <v>16</v>
      </c>
      <c r="B1523" t="s">
        <v>3221</v>
      </c>
      <c r="C1523">
        <v>5281</v>
      </c>
      <c r="D1523" t="s">
        <v>3616</v>
      </c>
      <c r="E1523" t="s">
        <v>1823</v>
      </c>
      <c r="F1523">
        <v>5800</v>
      </c>
      <c r="G1523">
        <v>230414</v>
      </c>
      <c r="H1523">
        <v>1196</v>
      </c>
      <c r="I1523" t="s">
        <v>392</v>
      </c>
      <c r="J1523">
        <v>7192</v>
      </c>
      <c r="K1523">
        <v>1392</v>
      </c>
      <c r="L1523">
        <v>97701</v>
      </c>
      <c r="M1523" t="s">
        <v>869</v>
      </c>
      <c r="N1523" t="str">
        <f>"7401        "</f>
        <v xml:space="preserve">7401        </v>
      </c>
      <c r="O1523">
        <v>230420</v>
      </c>
    </row>
    <row r="1524" spans="1:15" x14ac:dyDescent="0.25">
      <c r="A1524" t="s">
        <v>16</v>
      </c>
      <c r="B1524" t="s">
        <v>3221</v>
      </c>
      <c r="C1524">
        <v>6759</v>
      </c>
      <c r="D1524" t="s">
        <v>3616</v>
      </c>
      <c r="E1524" t="s">
        <v>1823</v>
      </c>
      <c r="F1524">
        <v>10520</v>
      </c>
      <c r="G1524">
        <v>230511</v>
      </c>
      <c r="H1524">
        <v>1196</v>
      </c>
      <c r="I1524" t="s">
        <v>392</v>
      </c>
      <c r="J1524">
        <v>13044.8</v>
      </c>
      <c r="K1524">
        <v>2524.8000000000002</v>
      </c>
      <c r="L1524">
        <v>97701</v>
      </c>
      <c r="M1524" t="s">
        <v>869</v>
      </c>
      <c r="N1524" t="str">
        <f>"7424        "</f>
        <v xml:space="preserve">7424        </v>
      </c>
      <c r="O1524">
        <v>230522</v>
      </c>
    </row>
    <row r="1525" spans="1:15" x14ac:dyDescent="0.25">
      <c r="A1525" t="s">
        <v>16</v>
      </c>
      <c r="B1525" t="s">
        <v>3221</v>
      </c>
      <c r="C1525">
        <v>8757</v>
      </c>
      <c r="D1525" t="s">
        <v>3616</v>
      </c>
      <c r="E1525" t="s">
        <v>1823</v>
      </c>
      <c r="F1525">
        <v>2680</v>
      </c>
      <c r="G1525">
        <v>230612</v>
      </c>
      <c r="H1525">
        <v>1196</v>
      </c>
      <c r="I1525" t="s">
        <v>392</v>
      </c>
      <c r="J1525">
        <v>3323.2</v>
      </c>
      <c r="K1525">
        <v>643.20000000000005</v>
      </c>
      <c r="L1525">
        <v>97701</v>
      </c>
      <c r="M1525" t="s">
        <v>869</v>
      </c>
      <c r="N1525" t="str">
        <f>"7464        "</f>
        <v xml:space="preserve">7464        </v>
      </c>
      <c r="O1525">
        <v>230614</v>
      </c>
    </row>
    <row r="1526" spans="1:15" x14ac:dyDescent="0.25">
      <c r="A1526" t="s">
        <v>16</v>
      </c>
      <c r="B1526" t="s">
        <v>3221</v>
      </c>
      <c r="C1526">
        <v>9827</v>
      </c>
      <c r="D1526" t="s">
        <v>3616</v>
      </c>
      <c r="E1526" t="s">
        <v>1823</v>
      </c>
      <c r="F1526">
        <v>11040</v>
      </c>
      <c r="G1526">
        <v>230708</v>
      </c>
      <c r="H1526">
        <v>1196</v>
      </c>
      <c r="I1526" t="s">
        <v>392</v>
      </c>
      <c r="J1526">
        <v>13689.6</v>
      </c>
      <c r="K1526">
        <v>2649.6</v>
      </c>
      <c r="L1526">
        <v>97701</v>
      </c>
      <c r="M1526" t="s">
        <v>869</v>
      </c>
      <c r="N1526" t="str">
        <f>"7498        "</f>
        <v xml:space="preserve">7498        </v>
      </c>
      <c r="O1526">
        <v>230726</v>
      </c>
    </row>
    <row r="1527" spans="1:15" x14ac:dyDescent="0.25">
      <c r="A1527" t="s">
        <v>16</v>
      </c>
      <c r="B1527" t="s">
        <v>3221</v>
      </c>
      <c r="C1527">
        <v>10890</v>
      </c>
      <c r="D1527" t="s">
        <v>3616</v>
      </c>
      <c r="E1527" t="s">
        <v>1823</v>
      </c>
      <c r="F1527">
        <v>640</v>
      </c>
      <c r="G1527">
        <v>230823</v>
      </c>
      <c r="H1527">
        <v>1196</v>
      </c>
      <c r="I1527" t="s">
        <v>392</v>
      </c>
      <c r="J1527">
        <v>793.6</v>
      </c>
      <c r="K1527">
        <v>153.6</v>
      </c>
      <c r="L1527">
        <v>97701</v>
      </c>
      <c r="M1527" t="s">
        <v>869</v>
      </c>
      <c r="N1527" t="str">
        <f>"7525        "</f>
        <v xml:space="preserve">7525        </v>
      </c>
      <c r="O1527">
        <v>230824</v>
      </c>
    </row>
    <row r="1528" spans="1:15" x14ac:dyDescent="0.25">
      <c r="A1528" t="s">
        <v>16</v>
      </c>
      <c r="B1528" t="s">
        <v>3221</v>
      </c>
      <c r="C1528">
        <v>5966</v>
      </c>
      <c r="D1528" t="s">
        <v>3617</v>
      </c>
      <c r="E1528" t="s">
        <v>1920</v>
      </c>
      <c r="F1528">
        <v>2937.94</v>
      </c>
      <c r="G1528">
        <v>230427</v>
      </c>
      <c r="H1528">
        <v>4346</v>
      </c>
      <c r="I1528" t="s">
        <v>197</v>
      </c>
      <c r="J1528">
        <v>3643.05</v>
      </c>
      <c r="K1528">
        <v>705.11</v>
      </c>
      <c r="L1528">
        <v>17711</v>
      </c>
      <c r="M1528" t="s">
        <v>65</v>
      </c>
      <c r="N1528" t="str">
        <f>"741         "</f>
        <v xml:space="preserve">741         </v>
      </c>
      <c r="O1528">
        <v>230504</v>
      </c>
    </row>
    <row r="1529" spans="1:15" x14ac:dyDescent="0.25">
      <c r="A1529" t="s">
        <v>16</v>
      </c>
      <c r="B1529" t="s">
        <v>3221</v>
      </c>
      <c r="C1529">
        <v>15343</v>
      </c>
      <c r="D1529" t="s">
        <v>2860</v>
      </c>
      <c r="E1529" t="s">
        <v>2861</v>
      </c>
      <c r="F1529">
        <v>132.12</v>
      </c>
      <c r="G1529">
        <v>231102</v>
      </c>
      <c r="H1529">
        <v>4420</v>
      </c>
      <c r="I1529" t="s">
        <v>132</v>
      </c>
      <c r="J1529">
        <v>145.33000000000001</v>
      </c>
      <c r="K1529">
        <v>13.21</v>
      </c>
      <c r="L1529">
        <v>11001</v>
      </c>
      <c r="M1529" t="s">
        <v>326</v>
      </c>
      <c r="N1529" t="str">
        <f>"11196       "</f>
        <v xml:space="preserve">11196       </v>
      </c>
      <c r="O1529">
        <v>231113</v>
      </c>
    </row>
    <row r="1530" spans="1:15" x14ac:dyDescent="0.25">
      <c r="A1530" t="s">
        <v>16</v>
      </c>
      <c r="B1530" t="s">
        <v>3221</v>
      </c>
      <c r="C1530">
        <v>15343</v>
      </c>
      <c r="D1530" t="s">
        <v>2860</v>
      </c>
      <c r="E1530" t="s">
        <v>2861</v>
      </c>
      <c r="F1530">
        <v>264.25</v>
      </c>
      <c r="G1530">
        <v>231102</v>
      </c>
      <c r="H1530">
        <v>4420</v>
      </c>
      <c r="I1530" t="s">
        <v>132</v>
      </c>
      <c r="J1530">
        <v>290.67</v>
      </c>
      <c r="K1530">
        <v>26.42</v>
      </c>
      <c r="L1530">
        <v>11001</v>
      </c>
      <c r="M1530" t="s">
        <v>326</v>
      </c>
      <c r="N1530" t="str">
        <f>"11196       "</f>
        <v xml:space="preserve">11196       </v>
      </c>
      <c r="O1530">
        <v>231113</v>
      </c>
    </row>
    <row r="1531" spans="1:15" x14ac:dyDescent="0.25">
      <c r="A1531" t="s">
        <v>16</v>
      </c>
      <c r="B1531" t="s">
        <v>3221</v>
      </c>
      <c r="C1531">
        <v>18989</v>
      </c>
      <c r="D1531" t="s">
        <v>3161</v>
      </c>
      <c r="E1531" t="s">
        <v>3162</v>
      </c>
      <c r="F1531">
        <v>68</v>
      </c>
      <c r="G1531">
        <v>231228</v>
      </c>
      <c r="H1531">
        <v>4600</v>
      </c>
      <c r="I1531" t="s">
        <v>105</v>
      </c>
      <c r="J1531">
        <v>84.32</v>
      </c>
      <c r="K1531">
        <v>16.32</v>
      </c>
      <c r="L1531">
        <v>17526</v>
      </c>
      <c r="M1531" t="s">
        <v>437</v>
      </c>
      <c r="N1531" t="str">
        <f>"2002        "</f>
        <v xml:space="preserve">2002        </v>
      </c>
      <c r="O1531">
        <v>240109</v>
      </c>
    </row>
    <row r="1532" spans="1:15" x14ac:dyDescent="0.25">
      <c r="A1532" t="s">
        <v>16</v>
      </c>
      <c r="B1532" t="s">
        <v>3221</v>
      </c>
      <c r="C1532">
        <v>18568</v>
      </c>
      <c r="D1532" t="s">
        <v>3146</v>
      </c>
      <c r="E1532" t="s">
        <v>3147</v>
      </c>
      <c r="F1532">
        <v>301.85000000000002</v>
      </c>
      <c r="G1532">
        <v>231229</v>
      </c>
      <c r="H1532">
        <v>4390</v>
      </c>
      <c r="I1532" t="s">
        <v>98</v>
      </c>
      <c r="J1532">
        <v>374.29</v>
      </c>
      <c r="K1532">
        <v>72.44</v>
      </c>
      <c r="L1532">
        <v>11401</v>
      </c>
      <c r="M1532" t="s">
        <v>84</v>
      </c>
      <c r="N1532" t="str">
        <f>"3652        "</f>
        <v xml:space="preserve">3652        </v>
      </c>
      <c r="O1532">
        <v>240104</v>
      </c>
    </row>
    <row r="1533" spans="1:15" x14ac:dyDescent="0.25">
      <c r="A1533" t="s">
        <v>16</v>
      </c>
      <c r="B1533" t="s">
        <v>3221</v>
      </c>
      <c r="C1533">
        <v>18568</v>
      </c>
      <c r="D1533" t="s">
        <v>3146</v>
      </c>
      <c r="E1533" t="s">
        <v>3147</v>
      </c>
      <c r="F1533">
        <v>603.71</v>
      </c>
      <c r="G1533">
        <v>231229</v>
      </c>
      <c r="H1533">
        <v>4390</v>
      </c>
      <c r="I1533" t="s">
        <v>98</v>
      </c>
      <c r="J1533">
        <v>748.6</v>
      </c>
      <c r="K1533">
        <v>144.88999999999999</v>
      </c>
      <c r="L1533">
        <v>14952</v>
      </c>
      <c r="M1533" t="s">
        <v>99</v>
      </c>
      <c r="N1533" t="str">
        <f>"3652        "</f>
        <v xml:space="preserve">3652        </v>
      </c>
      <c r="O1533">
        <v>240104</v>
      </c>
    </row>
    <row r="1534" spans="1:15" x14ac:dyDescent="0.25">
      <c r="A1534" t="s">
        <v>16</v>
      </c>
      <c r="B1534" t="s">
        <v>3221</v>
      </c>
      <c r="C1534">
        <v>4288</v>
      </c>
      <c r="D1534" t="s">
        <v>1685</v>
      </c>
      <c r="E1534" t="s">
        <v>1686</v>
      </c>
      <c r="F1534">
        <v>5.65</v>
      </c>
      <c r="G1534">
        <v>230324</v>
      </c>
      <c r="H1534">
        <v>4412</v>
      </c>
      <c r="I1534" t="s">
        <v>149</v>
      </c>
      <c r="J1534">
        <v>7</v>
      </c>
      <c r="K1534">
        <v>1.35</v>
      </c>
      <c r="L1534">
        <v>49702</v>
      </c>
      <c r="M1534" t="s">
        <v>584</v>
      </c>
      <c r="N1534" t="str">
        <f>"3106        "</f>
        <v xml:space="preserve">3106        </v>
      </c>
      <c r="O1534">
        <v>230404</v>
      </c>
    </row>
    <row r="1535" spans="1:15" x14ac:dyDescent="0.25">
      <c r="A1535" t="s">
        <v>16</v>
      </c>
      <c r="B1535" t="s">
        <v>3221</v>
      </c>
      <c r="C1535">
        <v>4288</v>
      </c>
      <c r="D1535" t="s">
        <v>1685</v>
      </c>
      <c r="E1535" t="s">
        <v>1686</v>
      </c>
      <c r="F1535">
        <v>98.18</v>
      </c>
      <c r="G1535">
        <v>230324</v>
      </c>
      <c r="H1535">
        <v>4412</v>
      </c>
      <c r="I1535" t="s">
        <v>149</v>
      </c>
      <c r="J1535">
        <v>108</v>
      </c>
      <c r="K1535">
        <v>9.82</v>
      </c>
      <c r="L1535">
        <v>49702</v>
      </c>
      <c r="M1535" t="s">
        <v>584</v>
      </c>
      <c r="N1535" t="str">
        <f>"3106        "</f>
        <v xml:space="preserve">3106        </v>
      </c>
      <c r="O1535">
        <v>230404</v>
      </c>
    </row>
    <row r="1536" spans="1:15" x14ac:dyDescent="0.25">
      <c r="A1536" t="s">
        <v>16</v>
      </c>
      <c r="B1536" t="s">
        <v>3221</v>
      </c>
      <c r="C1536">
        <v>7310</v>
      </c>
      <c r="D1536" t="s">
        <v>1685</v>
      </c>
      <c r="E1536" t="s">
        <v>1686</v>
      </c>
      <c r="F1536">
        <v>5.65</v>
      </c>
      <c r="G1536">
        <v>230512</v>
      </c>
      <c r="H1536">
        <v>4410</v>
      </c>
      <c r="I1536" t="s">
        <v>517</v>
      </c>
      <c r="J1536">
        <v>7</v>
      </c>
      <c r="K1536">
        <v>1.35</v>
      </c>
      <c r="L1536">
        <v>18122</v>
      </c>
      <c r="M1536" t="s">
        <v>407</v>
      </c>
      <c r="N1536" t="str">
        <f>"3157        "</f>
        <v xml:space="preserve">3157        </v>
      </c>
      <c r="O1536">
        <v>230529</v>
      </c>
    </row>
    <row r="1537" spans="1:15" x14ac:dyDescent="0.25">
      <c r="A1537" t="s">
        <v>16</v>
      </c>
      <c r="B1537" t="s">
        <v>3221</v>
      </c>
      <c r="C1537">
        <v>7310</v>
      </c>
      <c r="D1537" t="s">
        <v>1685</v>
      </c>
      <c r="E1537" t="s">
        <v>1686</v>
      </c>
      <c r="F1537">
        <v>15</v>
      </c>
      <c r="G1537">
        <v>230512</v>
      </c>
      <c r="H1537">
        <v>4410</v>
      </c>
      <c r="I1537" t="s">
        <v>517</v>
      </c>
      <c r="J1537">
        <v>15</v>
      </c>
      <c r="K1537">
        <v>0</v>
      </c>
      <c r="L1537">
        <v>18122</v>
      </c>
      <c r="M1537" t="s">
        <v>407</v>
      </c>
      <c r="N1537" t="str">
        <f>"3157        "</f>
        <v xml:space="preserve">3157        </v>
      </c>
      <c r="O1537">
        <v>230529</v>
      </c>
    </row>
    <row r="1538" spans="1:15" x14ac:dyDescent="0.25">
      <c r="A1538" t="s">
        <v>16</v>
      </c>
      <c r="B1538" t="s">
        <v>3221</v>
      </c>
      <c r="C1538">
        <v>7310</v>
      </c>
      <c r="D1538" t="s">
        <v>1685</v>
      </c>
      <c r="E1538" t="s">
        <v>1686</v>
      </c>
      <c r="F1538">
        <v>72.73</v>
      </c>
      <c r="G1538">
        <v>230512</v>
      </c>
      <c r="H1538">
        <v>4410</v>
      </c>
      <c r="I1538" t="s">
        <v>517</v>
      </c>
      <c r="J1538">
        <v>80</v>
      </c>
      <c r="K1538">
        <v>7.27</v>
      </c>
      <c r="L1538">
        <v>18122</v>
      </c>
      <c r="M1538" t="s">
        <v>407</v>
      </c>
      <c r="N1538" t="str">
        <f>"3157        "</f>
        <v xml:space="preserve">3157        </v>
      </c>
      <c r="O1538">
        <v>230529</v>
      </c>
    </row>
    <row r="1539" spans="1:15" x14ac:dyDescent="0.25">
      <c r="A1539" t="s">
        <v>16</v>
      </c>
      <c r="B1539" t="s">
        <v>3221</v>
      </c>
      <c r="C1539">
        <v>7310</v>
      </c>
      <c r="D1539" t="s">
        <v>1685</v>
      </c>
      <c r="E1539" t="s">
        <v>1686</v>
      </c>
      <c r="F1539">
        <v>118.42</v>
      </c>
      <c r="G1539">
        <v>230512</v>
      </c>
      <c r="H1539">
        <v>4410</v>
      </c>
      <c r="I1539" t="s">
        <v>517</v>
      </c>
      <c r="J1539">
        <v>135</v>
      </c>
      <c r="K1539">
        <v>16.579999999999998</v>
      </c>
      <c r="L1539">
        <v>18122</v>
      </c>
      <c r="M1539" t="s">
        <v>407</v>
      </c>
      <c r="N1539" t="str">
        <f>"3157        "</f>
        <v xml:space="preserve">3157        </v>
      </c>
      <c r="O1539">
        <v>230529</v>
      </c>
    </row>
    <row r="1540" spans="1:15" x14ac:dyDescent="0.25">
      <c r="A1540" t="s">
        <v>16</v>
      </c>
      <c r="B1540" t="s">
        <v>3221</v>
      </c>
      <c r="C1540">
        <v>9983</v>
      </c>
      <c r="D1540" t="s">
        <v>1050</v>
      </c>
      <c r="E1540" t="s">
        <v>1051</v>
      </c>
      <c r="F1540">
        <v>18.600000000000001</v>
      </c>
      <c r="G1540">
        <v>230715</v>
      </c>
      <c r="H1540">
        <v>4400</v>
      </c>
      <c r="I1540" t="s">
        <v>348</v>
      </c>
      <c r="J1540">
        <v>18.600000000000001</v>
      </c>
      <c r="K1540">
        <v>0</v>
      </c>
      <c r="L1540">
        <v>18972</v>
      </c>
      <c r="M1540" t="s">
        <v>163</v>
      </c>
      <c r="N1540" t="str">
        <f>"21316978    "</f>
        <v xml:space="preserve">21316978    </v>
      </c>
      <c r="O1540">
        <v>230803</v>
      </c>
    </row>
    <row r="1541" spans="1:15" x14ac:dyDescent="0.25">
      <c r="A1541" t="s">
        <v>16</v>
      </c>
      <c r="B1541" t="s">
        <v>3221</v>
      </c>
      <c r="C1541">
        <v>1450</v>
      </c>
      <c r="D1541" t="s">
        <v>1050</v>
      </c>
      <c r="E1541" t="s">
        <v>1051</v>
      </c>
      <c r="F1541">
        <v>952.16</v>
      </c>
      <c r="G1541">
        <v>230115</v>
      </c>
      <c r="H1541">
        <v>4840</v>
      </c>
      <c r="I1541" t="s">
        <v>19</v>
      </c>
      <c r="J1541">
        <v>952.16</v>
      </c>
      <c r="K1541">
        <v>0</v>
      </c>
      <c r="L1541">
        <v>18972</v>
      </c>
      <c r="M1541" t="s">
        <v>163</v>
      </c>
      <c r="N1541" t="str">
        <f>"21305548    "</f>
        <v xml:space="preserve">21305548    </v>
      </c>
      <c r="O1541">
        <v>230209</v>
      </c>
    </row>
    <row r="1542" spans="1:15" x14ac:dyDescent="0.25">
      <c r="A1542" t="s">
        <v>16</v>
      </c>
      <c r="B1542" t="s">
        <v>3221</v>
      </c>
      <c r="C1542">
        <v>2826</v>
      </c>
      <c r="D1542" t="s">
        <v>1050</v>
      </c>
      <c r="E1542" t="s">
        <v>1051</v>
      </c>
      <c r="F1542">
        <v>952.16</v>
      </c>
      <c r="G1542">
        <v>230215</v>
      </c>
      <c r="H1542">
        <v>4840</v>
      </c>
      <c r="I1542" t="s">
        <v>19</v>
      </c>
      <c r="J1542">
        <v>952.16</v>
      </c>
      <c r="K1542">
        <v>0</v>
      </c>
      <c r="L1542">
        <v>18972</v>
      </c>
      <c r="M1542" t="s">
        <v>163</v>
      </c>
      <c r="N1542" t="str">
        <f>"21307425    "</f>
        <v xml:space="preserve">21307425    </v>
      </c>
      <c r="O1542">
        <v>230308</v>
      </c>
    </row>
    <row r="1543" spans="1:15" x14ac:dyDescent="0.25">
      <c r="A1543" t="s">
        <v>16</v>
      </c>
      <c r="B1543" t="s">
        <v>3221</v>
      </c>
      <c r="C1543">
        <v>3399</v>
      </c>
      <c r="D1543" t="s">
        <v>1050</v>
      </c>
      <c r="E1543" t="s">
        <v>1051</v>
      </c>
      <c r="F1543">
        <v>952.16</v>
      </c>
      <c r="G1543">
        <v>230315</v>
      </c>
      <c r="H1543">
        <v>4840</v>
      </c>
      <c r="I1543" t="s">
        <v>19</v>
      </c>
      <c r="J1543">
        <v>952.16</v>
      </c>
      <c r="K1543">
        <v>0</v>
      </c>
      <c r="L1543">
        <v>18972</v>
      </c>
      <c r="M1543" t="s">
        <v>163</v>
      </c>
      <c r="N1543" t="str">
        <f>"21309070    "</f>
        <v xml:space="preserve">21309070    </v>
      </c>
      <c r="O1543">
        <v>230315</v>
      </c>
    </row>
    <row r="1544" spans="1:15" x14ac:dyDescent="0.25">
      <c r="A1544" t="s">
        <v>16</v>
      </c>
      <c r="B1544" t="s">
        <v>3221</v>
      </c>
      <c r="C1544">
        <v>5359</v>
      </c>
      <c r="D1544" t="s">
        <v>1050</v>
      </c>
      <c r="E1544" t="s">
        <v>1051</v>
      </c>
      <c r="F1544">
        <v>952.16</v>
      </c>
      <c r="G1544">
        <v>230415</v>
      </c>
      <c r="H1544">
        <v>4840</v>
      </c>
      <c r="I1544" t="s">
        <v>19</v>
      </c>
      <c r="J1544">
        <v>952.16</v>
      </c>
      <c r="K1544">
        <v>0</v>
      </c>
      <c r="L1544">
        <v>18972</v>
      </c>
      <c r="M1544" t="s">
        <v>163</v>
      </c>
      <c r="N1544" t="str">
        <f>"21310971    "</f>
        <v xml:space="preserve">21310971    </v>
      </c>
      <c r="O1544">
        <v>230421</v>
      </c>
    </row>
    <row r="1545" spans="1:15" x14ac:dyDescent="0.25">
      <c r="A1545" t="s">
        <v>16</v>
      </c>
      <c r="B1545" t="s">
        <v>3221</v>
      </c>
      <c r="C1545">
        <v>6954</v>
      </c>
      <c r="D1545" t="s">
        <v>1050</v>
      </c>
      <c r="E1545" t="s">
        <v>1051</v>
      </c>
      <c r="F1545">
        <v>952.16</v>
      </c>
      <c r="G1545">
        <v>230515</v>
      </c>
      <c r="H1545">
        <v>4840</v>
      </c>
      <c r="I1545" t="s">
        <v>19</v>
      </c>
      <c r="J1545">
        <v>952.16</v>
      </c>
      <c r="K1545">
        <v>0</v>
      </c>
      <c r="L1545">
        <v>18972</v>
      </c>
      <c r="M1545" t="s">
        <v>163</v>
      </c>
      <c r="N1545" t="str">
        <f>"21313019    "</f>
        <v xml:space="preserve">21313019    </v>
      </c>
      <c r="O1545">
        <v>230523</v>
      </c>
    </row>
    <row r="1546" spans="1:15" x14ac:dyDescent="0.25">
      <c r="A1546" t="s">
        <v>16</v>
      </c>
      <c r="B1546" t="s">
        <v>3221</v>
      </c>
      <c r="C1546">
        <v>9021</v>
      </c>
      <c r="D1546" t="s">
        <v>1050</v>
      </c>
      <c r="E1546" t="s">
        <v>1051</v>
      </c>
      <c r="F1546">
        <v>952.16</v>
      </c>
      <c r="G1546">
        <v>230615</v>
      </c>
      <c r="H1546">
        <v>4840</v>
      </c>
      <c r="I1546" t="s">
        <v>19</v>
      </c>
      <c r="J1546">
        <v>952.16</v>
      </c>
      <c r="K1546">
        <v>0</v>
      </c>
      <c r="L1546">
        <v>18972</v>
      </c>
      <c r="M1546" t="s">
        <v>163</v>
      </c>
      <c r="N1546" t="str">
        <f>"21314967    "</f>
        <v xml:space="preserve">21314967    </v>
      </c>
      <c r="O1546">
        <v>230621</v>
      </c>
    </row>
    <row r="1547" spans="1:15" x14ac:dyDescent="0.25">
      <c r="A1547" t="s">
        <v>16</v>
      </c>
      <c r="B1547" t="s">
        <v>3221</v>
      </c>
      <c r="C1547">
        <v>9983</v>
      </c>
      <c r="D1547" t="s">
        <v>1050</v>
      </c>
      <c r="E1547" t="s">
        <v>1051</v>
      </c>
      <c r="F1547">
        <v>952.16</v>
      </c>
      <c r="G1547">
        <v>230715</v>
      </c>
      <c r="H1547">
        <v>4840</v>
      </c>
      <c r="I1547" t="s">
        <v>19</v>
      </c>
      <c r="J1547">
        <v>952.16</v>
      </c>
      <c r="K1547">
        <v>0</v>
      </c>
      <c r="L1547">
        <v>18972</v>
      </c>
      <c r="M1547" t="s">
        <v>163</v>
      </c>
      <c r="N1547" t="str">
        <f>"21316978    "</f>
        <v xml:space="preserve">21316978    </v>
      </c>
      <c r="O1547">
        <v>230803</v>
      </c>
    </row>
    <row r="1548" spans="1:15" x14ac:dyDescent="0.25">
      <c r="A1548" t="s">
        <v>16</v>
      </c>
      <c r="B1548" t="s">
        <v>3221</v>
      </c>
      <c r="C1548">
        <v>10439</v>
      </c>
      <c r="D1548" t="s">
        <v>1050</v>
      </c>
      <c r="E1548" t="s">
        <v>1051</v>
      </c>
      <c r="F1548">
        <v>952.16</v>
      </c>
      <c r="G1548">
        <v>230815</v>
      </c>
      <c r="H1548">
        <v>4840</v>
      </c>
      <c r="I1548" t="s">
        <v>19</v>
      </c>
      <c r="J1548">
        <v>952.16</v>
      </c>
      <c r="K1548">
        <v>0</v>
      </c>
      <c r="L1548">
        <v>18972</v>
      </c>
      <c r="M1548" t="s">
        <v>163</v>
      </c>
      <c r="N1548" t="str">
        <f>"21318871    "</f>
        <v xml:space="preserve">21318871    </v>
      </c>
      <c r="O1548">
        <v>230816</v>
      </c>
    </row>
    <row r="1549" spans="1:15" x14ac:dyDescent="0.25">
      <c r="A1549" t="s">
        <v>16</v>
      </c>
      <c r="B1549" t="s">
        <v>3221</v>
      </c>
      <c r="C1549">
        <v>12710</v>
      </c>
      <c r="D1549" t="s">
        <v>1050</v>
      </c>
      <c r="E1549" t="s">
        <v>1051</v>
      </c>
      <c r="F1549">
        <v>952.16</v>
      </c>
      <c r="G1549">
        <v>230915</v>
      </c>
      <c r="H1549">
        <v>4840</v>
      </c>
      <c r="I1549" t="s">
        <v>19</v>
      </c>
      <c r="J1549">
        <v>952.16</v>
      </c>
      <c r="K1549">
        <v>0</v>
      </c>
      <c r="L1549">
        <v>18972</v>
      </c>
      <c r="M1549" t="s">
        <v>163</v>
      </c>
      <c r="N1549" t="str">
        <f>"21320924    "</f>
        <v xml:space="preserve">21320924    </v>
      </c>
      <c r="O1549">
        <v>230925</v>
      </c>
    </row>
    <row r="1550" spans="1:15" x14ac:dyDescent="0.25">
      <c r="A1550" t="s">
        <v>16</v>
      </c>
      <c r="B1550" t="s">
        <v>3221</v>
      </c>
      <c r="C1550">
        <v>14584</v>
      </c>
      <c r="D1550" t="s">
        <v>1050</v>
      </c>
      <c r="E1550" t="s">
        <v>1051</v>
      </c>
      <c r="F1550">
        <v>952.16</v>
      </c>
      <c r="G1550">
        <v>231015</v>
      </c>
      <c r="H1550">
        <v>4840</v>
      </c>
      <c r="I1550" t="s">
        <v>19</v>
      </c>
      <c r="J1550">
        <v>952.16</v>
      </c>
      <c r="K1550">
        <v>0</v>
      </c>
      <c r="L1550">
        <v>18972</v>
      </c>
      <c r="M1550" t="s">
        <v>163</v>
      </c>
      <c r="N1550" t="str">
        <f>"21322979    "</f>
        <v xml:space="preserve">21322979    </v>
      </c>
      <c r="O1550">
        <v>231030</v>
      </c>
    </row>
    <row r="1551" spans="1:15" x14ac:dyDescent="0.25">
      <c r="A1551" t="s">
        <v>16</v>
      </c>
      <c r="B1551" t="s">
        <v>3221</v>
      </c>
      <c r="C1551">
        <v>16102</v>
      </c>
      <c r="D1551" t="s">
        <v>1050</v>
      </c>
      <c r="E1551" t="s">
        <v>1051</v>
      </c>
      <c r="F1551">
        <v>952.16</v>
      </c>
      <c r="G1551">
        <v>231115</v>
      </c>
      <c r="H1551">
        <v>4840</v>
      </c>
      <c r="I1551" t="s">
        <v>19</v>
      </c>
      <c r="J1551">
        <v>952.16</v>
      </c>
      <c r="K1551">
        <v>0</v>
      </c>
      <c r="L1551">
        <v>18972</v>
      </c>
      <c r="M1551" t="s">
        <v>163</v>
      </c>
      <c r="N1551" t="str">
        <f>"21324988    "</f>
        <v xml:space="preserve">21324988    </v>
      </c>
      <c r="O1551">
        <v>231122</v>
      </c>
    </row>
    <row r="1552" spans="1:15" x14ac:dyDescent="0.25">
      <c r="A1552" t="s">
        <v>16</v>
      </c>
      <c r="B1552" t="s">
        <v>3221</v>
      </c>
      <c r="C1552">
        <v>536</v>
      </c>
      <c r="D1552" t="s">
        <v>607</v>
      </c>
      <c r="E1552" t="s">
        <v>608</v>
      </c>
      <c r="F1552">
        <v>200</v>
      </c>
      <c r="G1552">
        <v>230123</v>
      </c>
      <c r="H1552">
        <v>4940</v>
      </c>
      <c r="I1552" t="s">
        <v>514</v>
      </c>
      <c r="J1552">
        <v>248</v>
      </c>
      <c r="K1552">
        <v>48</v>
      </c>
      <c r="L1552">
        <v>17524</v>
      </c>
      <c r="M1552" t="s">
        <v>452</v>
      </c>
      <c r="N1552" t="str">
        <f>"29/2023     "</f>
        <v xml:space="preserve">29/2023     </v>
      </c>
      <c r="O1552">
        <v>230124</v>
      </c>
    </row>
    <row r="1553" spans="1:15" x14ac:dyDescent="0.25">
      <c r="A1553" t="s">
        <v>16</v>
      </c>
      <c r="B1553" t="s">
        <v>3221</v>
      </c>
      <c r="C1553">
        <v>8576</v>
      </c>
      <c r="D1553" t="s">
        <v>2192</v>
      </c>
      <c r="E1553" t="s">
        <v>2193</v>
      </c>
      <c r="F1553">
        <v>1357.21</v>
      </c>
      <c r="G1553">
        <v>230611</v>
      </c>
      <c r="H1553">
        <v>4400</v>
      </c>
      <c r="I1553" t="s">
        <v>348</v>
      </c>
      <c r="J1553">
        <v>1682.94</v>
      </c>
      <c r="K1553">
        <v>325.73</v>
      </c>
      <c r="L1553">
        <v>13841</v>
      </c>
      <c r="M1553" t="s">
        <v>47</v>
      </c>
      <c r="N1553" t="str">
        <f>"123/537     "</f>
        <v xml:space="preserve">123/537     </v>
      </c>
      <c r="O1553">
        <v>230612</v>
      </c>
    </row>
    <row r="1554" spans="1:15" x14ac:dyDescent="0.25">
      <c r="A1554" t="s">
        <v>16</v>
      </c>
      <c r="B1554" t="s">
        <v>3221</v>
      </c>
      <c r="C1554">
        <v>9374</v>
      </c>
      <c r="D1554" t="s">
        <v>2192</v>
      </c>
      <c r="E1554" t="s">
        <v>2193</v>
      </c>
      <c r="F1554">
        <v>1986.1</v>
      </c>
      <c r="G1554">
        <v>230630</v>
      </c>
      <c r="H1554">
        <v>4400</v>
      </c>
      <c r="I1554" t="s">
        <v>348</v>
      </c>
      <c r="J1554">
        <v>2462.77</v>
      </c>
      <c r="K1554">
        <v>476.67</v>
      </c>
      <c r="L1554">
        <v>56558</v>
      </c>
      <c r="M1554" t="s">
        <v>217</v>
      </c>
      <c r="N1554" t="str">
        <f>"1505        "</f>
        <v xml:space="preserve">1505        </v>
      </c>
      <c r="O1554">
        <v>230710</v>
      </c>
    </row>
    <row r="1555" spans="1:15" x14ac:dyDescent="0.25">
      <c r="A1555" t="s">
        <v>16</v>
      </c>
      <c r="B1555" t="s">
        <v>3221</v>
      </c>
      <c r="C1555">
        <v>12868</v>
      </c>
      <c r="D1555" t="s">
        <v>2192</v>
      </c>
      <c r="E1555" t="s">
        <v>2193</v>
      </c>
      <c r="F1555">
        <v>283</v>
      </c>
      <c r="G1555">
        <v>230919</v>
      </c>
      <c r="H1555">
        <v>4400</v>
      </c>
      <c r="I1555" t="s">
        <v>348</v>
      </c>
      <c r="J1555">
        <v>350.92</v>
      </c>
      <c r="K1555">
        <v>67.92</v>
      </c>
      <c r="L1555">
        <v>13841</v>
      </c>
      <c r="M1555" t="s">
        <v>47</v>
      </c>
      <c r="N1555" t="str">
        <f>"123/1099    "</f>
        <v xml:space="preserve">123/1099    </v>
      </c>
      <c r="O1555">
        <v>230928</v>
      </c>
    </row>
    <row r="1556" spans="1:15" x14ac:dyDescent="0.25">
      <c r="A1556" t="s">
        <v>16</v>
      </c>
      <c r="B1556" t="s">
        <v>3221</v>
      </c>
      <c r="C1556">
        <v>13528</v>
      </c>
      <c r="D1556" t="s">
        <v>2192</v>
      </c>
      <c r="E1556" t="s">
        <v>2193</v>
      </c>
      <c r="F1556">
        <v>665.94</v>
      </c>
      <c r="G1556">
        <v>231003</v>
      </c>
      <c r="H1556">
        <v>4400</v>
      </c>
      <c r="I1556" t="s">
        <v>348</v>
      </c>
      <c r="J1556">
        <v>825.76</v>
      </c>
      <c r="K1556">
        <v>159.82</v>
      </c>
      <c r="L1556">
        <v>13841</v>
      </c>
      <c r="M1556" t="s">
        <v>47</v>
      </c>
      <c r="N1556" t="str">
        <f>"123/1232    "</f>
        <v xml:space="preserve">123/1232    </v>
      </c>
      <c r="O1556">
        <v>231011</v>
      </c>
    </row>
    <row r="1557" spans="1:15" x14ac:dyDescent="0.25">
      <c r="A1557" t="s">
        <v>16</v>
      </c>
      <c r="B1557" t="s">
        <v>3221</v>
      </c>
      <c r="C1557">
        <v>5474</v>
      </c>
      <c r="D1557" t="s">
        <v>1852</v>
      </c>
      <c r="E1557" t="s">
        <v>1853</v>
      </c>
      <c r="F1557">
        <v>80.650000000000006</v>
      </c>
      <c r="G1557">
        <v>230419</v>
      </c>
      <c r="H1557">
        <v>4580</v>
      </c>
      <c r="I1557" t="s">
        <v>35</v>
      </c>
      <c r="J1557">
        <v>100</v>
      </c>
      <c r="K1557">
        <v>19.350000000000001</v>
      </c>
      <c r="L1557">
        <v>17521</v>
      </c>
      <c r="M1557" t="s">
        <v>133</v>
      </c>
      <c r="N1557" t="str">
        <f>"119172      "</f>
        <v xml:space="preserve">119172      </v>
      </c>
      <c r="O1557">
        <v>230425</v>
      </c>
    </row>
    <row r="1558" spans="1:15" x14ac:dyDescent="0.25">
      <c r="A1558" t="s">
        <v>16</v>
      </c>
      <c r="B1558" t="s">
        <v>3221</v>
      </c>
      <c r="C1558">
        <v>7667</v>
      </c>
      <c r="D1558" t="s">
        <v>1852</v>
      </c>
      <c r="E1558" t="s">
        <v>1853</v>
      </c>
      <c r="F1558">
        <v>116.13</v>
      </c>
      <c r="G1558">
        <v>230525</v>
      </c>
      <c r="H1558">
        <v>4580</v>
      </c>
      <c r="I1558" t="s">
        <v>35</v>
      </c>
      <c r="J1558">
        <v>144</v>
      </c>
      <c r="K1558">
        <v>27.87</v>
      </c>
      <c r="L1558">
        <v>17521</v>
      </c>
      <c r="M1558" t="s">
        <v>133</v>
      </c>
      <c r="N1558" t="str">
        <f>"119571      "</f>
        <v xml:space="preserve">119571      </v>
      </c>
      <c r="O1558">
        <v>230601</v>
      </c>
    </row>
    <row r="1559" spans="1:15" x14ac:dyDescent="0.25">
      <c r="A1559" t="s">
        <v>16</v>
      </c>
      <c r="B1559" t="s">
        <v>3221</v>
      </c>
      <c r="C1559">
        <v>7667</v>
      </c>
      <c r="D1559" t="s">
        <v>1852</v>
      </c>
      <c r="E1559" t="s">
        <v>1853</v>
      </c>
      <c r="F1559">
        <v>161.29</v>
      </c>
      <c r="G1559">
        <v>230525</v>
      </c>
      <c r="H1559">
        <v>4600</v>
      </c>
      <c r="I1559" t="s">
        <v>105</v>
      </c>
      <c r="J1559">
        <v>200</v>
      </c>
      <c r="K1559">
        <v>38.71</v>
      </c>
      <c r="L1559">
        <v>17632</v>
      </c>
      <c r="M1559" t="s">
        <v>495</v>
      </c>
      <c r="N1559" t="str">
        <f>"119571      "</f>
        <v xml:space="preserve">119571      </v>
      </c>
      <c r="O1559">
        <v>230601</v>
      </c>
    </row>
    <row r="1560" spans="1:15" x14ac:dyDescent="0.25">
      <c r="A1560" t="s">
        <v>16</v>
      </c>
      <c r="B1560" t="s">
        <v>3221</v>
      </c>
      <c r="C1560">
        <v>15690</v>
      </c>
      <c r="D1560" t="s">
        <v>1852</v>
      </c>
      <c r="E1560" t="s">
        <v>1853</v>
      </c>
      <c r="F1560">
        <v>64.52</v>
      </c>
      <c r="G1560">
        <v>231110</v>
      </c>
      <c r="H1560">
        <v>4600</v>
      </c>
      <c r="I1560" t="s">
        <v>105</v>
      </c>
      <c r="J1560">
        <v>80</v>
      </c>
      <c r="K1560">
        <v>15.48</v>
      </c>
      <c r="L1560">
        <v>17632</v>
      </c>
      <c r="M1560" t="s">
        <v>495</v>
      </c>
      <c r="N1560" t="str">
        <f>"121312      "</f>
        <v xml:space="preserve">121312      </v>
      </c>
      <c r="O1560">
        <v>231116</v>
      </c>
    </row>
    <row r="1561" spans="1:15" x14ac:dyDescent="0.25">
      <c r="A1561" t="s">
        <v>16</v>
      </c>
      <c r="B1561" t="s">
        <v>3221</v>
      </c>
      <c r="C1561">
        <v>15691</v>
      </c>
      <c r="D1561" t="s">
        <v>1852</v>
      </c>
      <c r="E1561" t="s">
        <v>1853</v>
      </c>
      <c r="F1561">
        <v>972.52</v>
      </c>
      <c r="G1561">
        <v>231110</v>
      </c>
      <c r="H1561">
        <v>4600</v>
      </c>
      <c r="I1561" t="s">
        <v>105</v>
      </c>
      <c r="J1561">
        <v>1205.92</v>
      </c>
      <c r="K1561">
        <v>233.4</v>
      </c>
      <c r="L1561">
        <v>17632</v>
      </c>
      <c r="M1561" t="s">
        <v>495</v>
      </c>
      <c r="N1561" t="str">
        <f>"121293      "</f>
        <v xml:space="preserve">121293      </v>
      </c>
      <c r="O1561">
        <v>231116</v>
      </c>
    </row>
    <row r="1562" spans="1:15" x14ac:dyDescent="0.25">
      <c r="A1562" t="s">
        <v>16</v>
      </c>
      <c r="B1562" t="s">
        <v>3221</v>
      </c>
      <c r="C1562">
        <v>2558</v>
      </c>
      <c r="D1562" t="s">
        <v>1426</v>
      </c>
      <c r="E1562" t="s">
        <v>1427</v>
      </c>
      <c r="F1562">
        <v>2030</v>
      </c>
      <c r="G1562">
        <v>230228</v>
      </c>
      <c r="H1562">
        <v>4346</v>
      </c>
      <c r="I1562" t="s">
        <v>197</v>
      </c>
      <c r="J1562">
        <v>2517.1999999999998</v>
      </c>
      <c r="K1562">
        <v>487.2</v>
      </c>
      <c r="L1562">
        <v>11101</v>
      </c>
      <c r="M1562" t="s">
        <v>110</v>
      </c>
      <c r="N1562" t="str">
        <f>"14244       "</f>
        <v xml:space="preserve">14244       </v>
      </c>
      <c r="O1562">
        <v>230302</v>
      </c>
    </row>
    <row r="1563" spans="1:15" x14ac:dyDescent="0.25">
      <c r="A1563" t="s">
        <v>16</v>
      </c>
      <c r="B1563" t="s">
        <v>3221</v>
      </c>
      <c r="C1563">
        <v>4464</v>
      </c>
      <c r="D1563" t="s">
        <v>1426</v>
      </c>
      <c r="E1563" t="s">
        <v>1427</v>
      </c>
      <c r="F1563">
        <v>1222.5</v>
      </c>
      <c r="G1563">
        <v>230403</v>
      </c>
      <c r="H1563">
        <v>4346</v>
      </c>
      <c r="I1563" t="s">
        <v>197</v>
      </c>
      <c r="J1563">
        <v>1515.9</v>
      </c>
      <c r="K1563">
        <v>293.39999999999998</v>
      </c>
      <c r="L1563">
        <v>11101</v>
      </c>
      <c r="M1563" t="s">
        <v>110</v>
      </c>
      <c r="N1563" t="str">
        <f>"14553       "</f>
        <v xml:space="preserve">14553       </v>
      </c>
      <c r="O1563">
        <v>230406</v>
      </c>
    </row>
    <row r="1564" spans="1:15" x14ac:dyDescent="0.25">
      <c r="A1564" t="s">
        <v>16</v>
      </c>
      <c r="B1564" t="s">
        <v>3221</v>
      </c>
      <c r="C1564">
        <v>5724</v>
      </c>
      <c r="D1564" t="s">
        <v>1426</v>
      </c>
      <c r="E1564" t="s">
        <v>1427</v>
      </c>
      <c r="F1564">
        <v>1065</v>
      </c>
      <c r="G1564">
        <v>230427</v>
      </c>
      <c r="H1564">
        <v>4346</v>
      </c>
      <c r="I1564" t="s">
        <v>197</v>
      </c>
      <c r="J1564">
        <v>1320.6</v>
      </c>
      <c r="K1564">
        <v>255.6</v>
      </c>
      <c r="L1564">
        <v>11101</v>
      </c>
      <c r="M1564" t="s">
        <v>110</v>
      </c>
      <c r="N1564" t="str">
        <f>"14660       "</f>
        <v xml:space="preserve">14660       </v>
      </c>
      <c r="O1564">
        <v>230502</v>
      </c>
    </row>
    <row r="1565" spans="1:15" x14ac:dyDescent="0.25">
      <c r="A1565" t="s">
        <v>16</v>
      </c>
      <c r="B1565" t="s">
        <v>3221</v>
      </c>
      <c r="C1565">
        <v>7796</v>
      </c>
      <c r="D1565" t="s">
        <v>1426</v>
      </c>
      <c r="E1565" t="s">
        <v>1427</v>
      </c>
      <c r="F1565">
        <v>737.5</v>
      </c>
      <c r="G1565">
        <v>230601</v>
      </c>
      <c r="H1565">
        <v>4346</v>
      </c>
      <c r="I1565" t="s">
        <v>197</v>
      </c>
      <c r="J1565">
        <v>914.5</v>
      </c>
      <c r="K1565">
        <v>177</v>
      </c>
      <c r="L1565">
        <v>11101</v>
      </c>
      <c r="M1565" t="s">
        <v>110</v>
      </c>
      <c r="N1565" t="str">
        <f>"14897       "</f>
        <v xml:space="preserve">14897       </v>
      </c>
      <c r="O1565">
        <v>230602</v>
      </c>
    </row>
    <row r="1566" spans="1:15" x14ac:dyDescent="0.25">
      <c r="A1566" t="s">
        <v>16</v>
      </c>
      <c r="B1566" t="s">
        <v>3221</v>
      </c>
      <c r="C1566">
        <v>11118</v>
      </c>
      <c r="D1566" t="s">
        <v>1426</v>
      </c>
      <c r="E1566" t="s">
        <v>1427</v>
      </c>
      <c r="F1566">
        <v>62.5</v>
      </c>
      <c r="G1566">
        <v>230828</v>
      </c>
      <c r="H1566">
        <v>4346</v>
      </c>
      <c r="I1566" t="s">
        <v>197</v>
      </c>
      <c r="J1566">
        <v>77.5</v>
      </c>
      <c r="K1566">
        <v>15</v>
      </c>
      <c r="L1566">
        <v>11601</v>
      </c>
      <c r="M1566" t="s">
        <v>535</v>
      </c>
      <c r="N1566" t="str">
        <f>"15314       "</f>
        <v xml:space="preserve">15314       </v>
      </c>
      <c r="O1566">
        <v>230830</v>
      </c>
    </row>
    <row r="1567" spans="1:15" x14ac:dyDescent="0.25">
      <c r="A1567" t="s">
        <v>16</v>
      </c>
      <c r="B1567" t="s">
        <v>3221</v>
      </c>
      <c r="C1567">
        <v>12274</v>
      </c>
      <c r="D1567" t="s">
        <v>1426</v>
      </c>
      <c r="E1567" t="s">
        <v>1427</v>
      </c>
      <c r="F1567">
        <v>945</v>
      </c>
      <c r="G1567">
        <v>230911</v>
      </c>
      <c r="H1567">
        <v>4346</v>
      </c>
      <c r="I1567" t="s">
        <v>197</v>
      </c>
      <c r="J1567">
        <v>1171.8</v>
      </c>
      <c r="K1567">
        <v>226.8</v>
      </c>
      <c r="L1567">
        <v>11601</v>
      </c>
      <c r="M1567" t="s">
        <v>535</v>
      </c>
      <c r="N1567" t="str">
        <f>"15446       "</f>
        <v xml:space="preserve">15446       </v>
      </c>
      <c r="O1567">
        <v>230918</v>
      </c>
    </row>
    <row r="1568" spans="1:15" x14ac:dyDescent="0.25">
      <c r="A1568" t="s">
        <v>16</v>
      </c>
      <c r="B1568" t="s">
        <v>3221</v>
      </c>
      <c r="C1568">
        <v>13783</v>
      </c>
      <c r="D1568" t="s">
        <v>1426</v>
      </c>
      <c r="E1568" t="s">
        <v>1427</v>
      </c>
      <c r="F1568">
        <v>210</v>
      </c>
      <c r="G1568">
        <v>231011</v>
      </c>
      <c r="H1568">
        <v>4346</v>
      </c>
      <c r="I1568" t="s">
        <v>197</v>
      </c>
      <c r="J1568">
        <v>260.39999999999998</v>
      </c>
      <c r="K1568">
        <v>50.4</v>
      </c>
      <c r="L1568">
        <v>11601</v>
      </c>
      <c r="M1568" t="s">
        <v>535</v>
      </c>
      <c r="N1568" t="str">
        <f>"15635       "</f>
        <v xml:space="preserve">15635       </v>
      </c>
      <c r="O1568">
        <v>231013</v>
      </c>
    </row>
    <row r="1569" spans="1:15" x14ac:dyDescent="0.25">
      <c r="A1569" t="s">
        <v>16</v>
      </c>
      <c r="B1569" t="s">
        <v>3221</v>
      </c>
      <c r="C1569">
        <v>18634</v>
      </c>
      <c r="D1569" t="s">
        <v>1426</v>
      </c>
      <c r="E1569" t="s">
        <v>1427</v>
      </c>
      <c r="F1569">
        <v>472.5</v>
      </c>
      <c r="G1569">
        <v>231229</v>
      </c>
      <c r="H1569">
        <v>4346</v>
      </c>
      <c r="I1569" t="s">
        <v>197</v>
      </c>
      <c r="J1569">
        <v>585.9</v>
      </c>
      <c r="K1569">
        <v>113.4</v>
      </c>
      <c r="L1569">
        <v>11601</v>
      </c>
      <c r="M1569" t="s">
        <v>535</v>
      </c>
      <c r="N1569" t="str">
        <f>"16064       "</f>
        <v xml:space="preserve">16064       </v>
      </c>
      <c r="O1569">
        <v>240104</v>
      </c>
    </row>
    <row r="1570" spans="1:15" x14ac:dyDescent="0.25">
      <c r="A1570" t="s">
        <v>16</v>
      </c>
      <c r="B1570" t="s">
        <v>3221</v>
      </c>
      <c r="C1570">
        <v>18639</v>
      </c>
      <c r="D1570" t="s">
        <v>1426</v>
      </c>
      <c r="E1570" t="s">
        <v>1427</v>
      </c>
      <c r="F1570">
        <v>62.5</v>
      </c>
      <c r="G1570">
        <v>231229</v>
      </c>
      <c r="H1570">
        <v>4346</v>
      </c>
      <c r="I1570" t="s">
        <v>197</v>
      </c>
      <c r="J1570">
        <v>77.5</v>
      </c>
      <c r="K1570">
        <v>15</v>
      </c>
      <c r="L1570">
        <v>11601</v>
      </c>
      <c r="M1570" t="s">
        <v>535</v>
      </c>
      <c r="N1570" t="str">
        <f>"16089       "</f>
        <v xml:space="preserve">16089       </v>
      </c>
      <c r="O1570">
        <v>240104</v>
      </c>
    </row>
    <row r="1571" spans="1:15" x14ac:dyDescent="0.25">
      <c r="A1571" t="s">
        <v>16</v>
      </c>
      <c r="B1571" t="s">
        <v>3221</v>
      </c>
      <c r="C1571">
        <v>11317</v>
      </c>
      <c r="D1571" t="s">
        <v>3726</v>
      </c>
      <c r="E1571" t="s">
        <v>938</v>
      </c>
      <c r="F1571">
        <v>29.48</v>
      </c>
      <c r="G1571">
        <v>230822</v>
      </c>
      <c r="H1571">
        <v>4400</v>
      </c>
      <c r="I1571" t="s">
        <v>348</v>
      </c>
      <c r="J1571">
        <v>36.549999999999997</v>
      </c>
      <c r="K1571">
        <v>7.07</v>
      </c>
      <c r="L1571">
        <v>56575</v>
      </c>
      <c r="M1571" t="s">
        <v>95</v>
      </c>
      <c r="N1571" t="str">
        <f>"INV0078668  "</f>
        <v xml:space="preserve">INV0078668  </v>
      </c>
      <c r="O1571">
        <v>230904</v>
      </c>
    </row>
    <row r="1572" spans="1:15" x14ac:dyDescent="0.25">
      <c r="A1572" t="s">
        <v>16</v>
      </c>
      <c r="B1572" t="s">
        <v>3221</v>
      </c>
      <c r="C1572">
        <v>1190</v>
      </c>
      <c r="D1572" t="s">
        <v>3726</v>
      </c>
      <c r="E1572" t="s">
        <v>938</v>
      </c>
      <c r="F1572">
        <v>584.79999999999995</v>
      </c>
      <c r="G1572">
        <v>230127</v>
      </c>
      <c r="H1572">
        <v>4390</v>
      </c>
      <c r="I1572" t="s">
        <v>98</v>
      </c>
      <c r="J1572">
        <v>584.79999999999995</v>
      </c>
      <c r="K1572">
        <v>0</v>
      </c>
      <c r="L1572">
        <v>59501</v>
      </c>
      <c r="M1572" t="s">
        <v>69</v>
      </c>
      <c r="N1572" t="str">
        <f>"INV0056251  "</f>
        <v xml:space="preserve">INV0056251  </v>
      </c>
      <c r="O1572">
        <v>230206</v>
      </c>
    </row>
    <row r="1573" spans="1:15" x14ac:dyDescent="0.25">
      <c r="A1573" t="s">
        <v>16</v>
      </c>
      <c r="B1573" t="s">
        <v>3221</v>
      </c>
      <c r="C1573">
        <v>1785</v>
      </c>
      <c r="D1573" t="s">
        <v>3726</v>
      </c>
      <c r="E1573" t="s">
        <v>938</v>
      </c>
      <c r="F1573">
        <v>255.9</v>
      </c>
      <c r="G1573">
        <v>230207</v>
      </c>
      <c r="H1573">
        <v>4390</v>
      </c>
      <c r="I1573" t="s">
        <v>98</v>
      </c>
      <c r="J1573">
        <v>255.9</v>
      </c>
      <c r="K1573">
        <v>0</v>
      </c>
      <c r="L1573">
        <v>59501</v>
      </c>
      <c r="M1573" t="s">
        <v>69</v>
      </c>
      <c r="N1573" t="str">
        <f>"INV0057716  "</f>
        <v xml:space="preserve">INV0057716  </v>
      </c>
      <c r="O1573">
        <v>230214</v>
      </c>
    </row>
    <row r="1574" spans="1:15" x14ac:dyDescent="0.25">
      <c r="A1574" t="s">
        <v>16</v>
      </c>
      <c r="B1574" t="s">
        <v>3221</v>
      </c>
      <c r="C1574">
        <v>3020</v>
      </c>
      <c r="D1574" t="s">
        <v>3726</v>
      </c>
      <c r="E1574" t="s">
        <v>938</v>
      </c>
      <c r="F1574">
        <v>270.89999999999998</v>
      </c>
      <c r="G1574">
        <v>230223</v>
      </c>
      <c r="H1574">
        <v>4390</v>
      </c>
      <c r="I1574" t="s">
        <v>98</v>
      </c>
      <c r="J1574">
        <v>270.89999999999998</v>
      </c>
      <c r="K1574">
        <v>0</v>
      </c>
      <c r="L1574">
        <v>69501</v>
      </c>
      <c r="M1574" t="s">
        <v>185</v>
      </c>
      <c r="N1574" t="str">
        <f>"INV0059320  "</f>
        <v xml:space="preserve">INV0059320  </v>
      </c>
      <c r="O1574">
        <v>230308</v>
      </c>
    </row>
    <row r="1575" spans="1:15" x14ac:dyDescent="0.25">
      <c r="A1575" t="s">
        <v>16</v>
      </c>
      <c r="B1575" t="s">
        <v>3221</v>
      </c>
      <c r="C1575">
        <v>14960</v>
      </c>
      <c r="D1575" t="s">
        <v>3618</v>
      </c>
      <c r="E1575" t="s">
        <v>2825</v>
      </c>
      <c r="F1575">
        <v>94.17</v>
      </c>
      <c r="G1575">
        <v>231101</v>
      </c>
      <c r="H1575">
        <v>4520</v>
      </c>
      <c r="I1575" t="s">
        <v>254</v>
      </c>
      <c r="J1575">
        <v>116.77</v>
      </c>
      <c r="K1575">
        <v>22.6</v>
      </c>
      <c r="L1575">
        <v>11101</v>
      </c>
      <c r="M1575" t="s">
        <v>110</v>
      </c>
      <c r="N1575" t="str">
        <f>"4635        "</f>
        <v xml:space="preserve">4635        </v>
      </c>
      <c r="O1575">
        <v>231107</v>
      </c>
    </row>
    <row r="1576" spans="1:15" x14ac:dyDescent="0.25">
      <c r="A1576" t="s">
        <v>16</v>
      </c>
      <c r="B1576" t="s">
        <v>3221</v>
      </c>
      <c r="C1576">
        <v>14960</v>
      </c>
      <c r="D1576" t="s">
        <v>3618</v>
      </c>
      <c r="E1576" t="s">
        <v>2825</v>
      </c>
      <c r="F1576">
        <v>219.73</v>
      </c>
      <c r="G1576">
        <v>231101</v>
      </c>
      <c r="H1576">
        <v>4520</v>
      </c>
      <c r="I1576" t="s">
        <v>254</v>
      </c>
      <c r="J1576">
        <v>272.47000000000003</v>
      </c>
      <c r="K1576">
        <v>52.74</v>
      </c>
      <c r="L1576">
        <v>14972</v>
      </c>
      <c r="M1576" t="s">
        <v>898</v>
      </c>
      <c r="N1576" t="str">
        <f>"4635        "</f>
        <v xml:space="preserve">4635        </v>
      </c>
      <c r="O1576">
        <v>231107</v>
      </c>
    </row>
    <row r="1577" spans="1:15" x14ac:dyDescent="0.25">
      <c r="A1577" t="s">
        <v>16</v>
      </c>
      <c r="B1577" t="s">
        <v>3221</v>
      </c>
      <c r="C1577">
        <v>63</v>
      </c>
      <c r="D1577" t="s">
        <v>44</v>
      </c>
      <c r="E1577" t="s">
        <v>45</v>
      </c>
      <c r="F1577">
        <v>20</v>
      </c>
      <c r="G1577">
        <v>221109</v>
      </c>
      <c r="H1577">
        <v>4573</v>
      </c>
      <c r="I1577" t="s">
        <v>46</v>
      </c>
      <c r="J1577">
        <v>20</v>
      </c>
      <c r="K1577">
        <v>0</v>
      </c>
      <c r="L1577">
        <v>13841</v>
      </c>
      <c r="M1577" t="s">
        <v>47</v>
      </c>
      <c r="N1577" t="str">
        <f>"01012023    "</f>
        <v xml:space="preserve">01012023    </v>
      </c>
      <c r="O1577">
        <v>230104</v>
      </c>
    </row>
    <row r="1578" spans="1:15" x14ac:dyDescent="0.25">
      <c r="A1578" t="s">
        <v>16</v>
      </c>
      <c r="B1578" t="s">
        <v>3221</v>
      </c>
      <c r="C1578">
        <v>453</v>
      </c>
      <c r="D1578" t="s">
        <v>44</v>
      </c>
      <c r="E1578" t="s">
        <v>45</v>
      </c>
      <c r="F1578">
        <v>20</v>
      </c>
      <c r="G1578">
        <v>230201</v>
      </c>
      <c r="H1578">
        <v>4573</v>
      </c>
      <c r="I1578" t="s">
        <v>46</v>
      </c>
      <c r="J1578">
        <v>20</v>
      </c>
      <c r="K1578">
        <v>0</v>
      </c>
      <c r="L1578">
        <v>13841</v>
      </c>
      <c r="M1578" t="s">
        <v>47</v>
      </c>
      <c r="N1578" t="str">
        <f>"2/23        "</f>
        <v xml:space="preserve">2/23        </v>
      </c>
      <c r="O1578">
        <v>230123</v>
      </c>
    </row>
    <row r="1579" spans="1:15" x14ac:dyDescent="0.25">
      <c r="A1579" t="s">
        <v>16</v>
      </c>
      <c r="B1579" t="s">
        <v>3221</v>
      </c>
      <c r="C1579">
        <v>628</v>
      </c>
      <c r="D1579" t="s">
        <v>44</v>
      </c>
      <c r="E1579" t="s">
        <v>45</v>
      </c>
      <c r="F1579">
        <v>20</v>
      </c>
      <c r="G1579">
        <v>230301</v>
      </c>
      <c r="H1579">
        <v>4573</v>
      </c>
      <c r="I1579" t="s">
        <v>46</v>
      </c>
      <c r="J1579">
        <v>20</v>
      </c>
      <c r="K1579">
        <v>0</v>
      </c>
      <c r="L1579">
        <v>13841</v>
      </c>
      <c r="M1579" t="s">
        <v>47</v>
      </c>
      <c r="N1579" t="str">
        <f>"3/23        "</f>
        <v xml:space="preserve">3/23        </v>
      </c>
      <c r="O1579">
        <v>230125</v>
      </c>
    </row>
    <row r="1580" spans="1:15" x14ac:dyDescent="0.25">
      <c r="A1580" t="s">
        <v>16</v>
      </c>
      <c r="B1580" t="s">
        <v>3221</v>
      </c>
      <c r="C1580">
        <v>629</v>
      </c>
      <c r="D1580" t="s">
        <v>44</v>
      </c>
      <c r="E1580" t="s">
        <v>45</v>
      </c>
      <c r="F1580">
        <v>20</v>
      </c>
      <c r="G1580">
        <v>230401</v>
      </c>
      <c r="H1580">
        <v>4573</v>
      </c>
      <c r="I1580" t="s">
        <v>46</v>
      </c>
      <c r="J1580">
        <v>20</v>
      </c>
      <c r="K1580">
        <v>0</v>
      </c>
      <c r="L1580">
        <v>13841</v>
      </c>
      <c r="M1580" t="s">
        <v>47</v>
      </c>
      <c r="N1580" t="str">
        <f>"4/23        "</f>
        <v xml:space="preserve">4/23        </v>
      </c>
      <c r="O1580">
        <v>230125</v>
      </c>
    </row>
    <row r="1581" spans="1:15" x14ac:dyDescent="0.25">
      <c r="A1581" t="s">
        <v>16</v>
      </c>
      <c r="B1581" t="s">
        <v>3221</v>
      </c>
      <c r="C1581">
        <v>630</v>
      </c>
      <c r="D1581" t="s">
        <v>44</v>
      </c>
      <c r="E1581" t="s">
        <v>45</v>
      </c>
      <c r="F1581">
        <v>20</v>
      </c>
      <c r="G1581">
        <v>230501</v>
      </c>
      <c r="H1581">
        <v>4573</v>
      </c>
      <c r="I1581" t="s">
        <v>46</v>
      </c>
      <c r="J1581">
        <v>20</v>
      </c>
      <c r="K1581">
        <v>0</v>
      </c>
      <c r="L1581">
        <v>13841</v>
      </c>
      <c r="M1581" t="s">
        <v>47</v>
      </c>
      <c r="N1581" t="str">
        <f>"5/23        "</f>
        <v xml:space="preserve">5/23        </v>
      </c>
      <c r="O1581">
        <v>230125</v>
      </c>
    </row>
    <row r="1582" spans="1:15" x14ac:dyDescent="0.25">
      <c r="A1582" t="s">
        <v>16</v>
      </c>
      <c r="B1582" t="s">
        <v>3221</v>
      </c>
      <c r="C1582">
        <v>631</v>
      </c>
      <c r="D1582" t="s">
        <v>44</v>
      </c>
      <c r="E1582" t="s">
        <v>45</v>
      </c>
      <c r="F1582">
        <v>20</v>
      </c>
      <c r="G1582">
        <v>230601</v>
      </c>
      <c r="H1582">
        <v>4573</v>
      </c>
      <c r="I1582" t="s">
        <v>46</v>
      </c>
      <c r="J1582">
        <v>20</v>
      </c>
      <c r="K1582">
        <v>0</v>
      </c>
      <c r="L1582">
        <v>13841</v>
      </c>
      <c r="M1582" t="s">
        <v>47</v>
      </c>
      <c r="N1582" t="str">
        <f>"6/23        "</f>
        <v xml:space="preserve">6/23        </v>
      </c>
      <c r="O1582">
        <v>230125</v>
      </c>
    </row>
    <row r="1583" spans="1:15" x14ac:dyDescent="0.25">
      <c r="A1583" t="s">
        <v>16</v>
      </c>
      <c r="B1583" t="s">
        <v>3221</v>
      </c>
      <c r="C1583">
        <v>9020</v>
      </c>
      <c r="D1583" t="s">
        <v>44</v>
      </c>
      <c r="E1583" t="s">
        <v>45</v>
      </c>
      <c r="F1583">
        <v>20</v>
      </c>
      <c r="G1583">
        <v>230612</v>
      </c>
      <c r="H1583">
        <v>4573</v>
      </c>
      <c r="I1583" t="s">
        <v>46</v>
      </c>
      <c r="J1583">
        <v>20</v>
      </c>
      <c r="K1583">
        <v>0</v>
      </c>
      <c r="L1583">
        <v>13841</v>
      </c>
      <c r="M1583" t="s">
        <v>47</v>
      </c>
      <c r="N1583" t="str">
        <f>"378         "</f>
        <v xml:space="preserve">378         </v>
      </c>
      <c r="O1583">
        <v>230621</v>
      </c>
    </row>
    <row r="1584" spans="1:15" x14ac:dyDescent="0.25">
      <c r="A1584" t="s">
        <v>16</v>
      </c>
      <c r="B1584" t="s">
        <v>3221</v>
      </c>
      <c r="C1584">
        <v>9874</v>
      </c>
      <c r="D1584" t="s">
        <v>44</v>
      </c>
      <c r="E1584" t="s">
        <v>45</v>
      </c>
      <c r="F1584">
        <v>20</v>
      </c>
      <c r="G1584">
        <v>230719</v>
      </c>
      <c r="H1584">
        <v>4573</v>
      </c>
      <c r="I1584" t="s">
        <v>46</v>
      </c>
      <c r="J1584">
        <v>20</v>
      </c>
      <c r="K1584">
        <v>0</v>
      </c>
      <c r="L1584">
        <v>13841</v>
      </c>
      <c r="M1584" t="s">
        <v>47</v>
      </c>
      <c r="N1584" t="str">
        <f>"8/23        "</f>
        <v xml:space="preserve">8/23        </v>
      </c>
      <c r="O1584">
        <v>230731</v>
      </c>
    </row>
    <row r="1585" spans="1:15" x14ac:dyDescent="0.25">
      <c r="A1585" t="s">
        <v>16</v>
      </c>
      <c r="B1585" t="s">
        <v>3221</v>
      </c>
      <c r="C1585">
        <v>9892</v>
      </c>
      <c r="D1585" t="s">
        <v>44</v>
      </c>
      <c r="E1585" t="s">
        <v>45</v>
      </c>
      <c r="F1585">
        <v>20</v>
      </c>
      <c r="G1585">
        <v>230901</v>
      </c>
      <c r="H1585">
        <v>4573</v>
      </c>
      <c r="I1585" t="s">
        <v>46</v>
      </c>
      <c r="J1585">
        <v>20</v>
      </c>
      <c r="K1585">
        <v>0</v>
      </c>
      <c r="L1585">
        <v>13841</v>
      </c>
      <c r="M1585" t="s">
        <v>47</v>
      </c>
      <c r="N1585" t="str">
        <f>"9/23        "</f>
        <v xml:space="preserve">9/23        </v>
      </c>
      <c r="O1585">
        <v>230731</v>
      </c>
    </row>
    <row r="1586" spans="1:15" x14ac:dyDescent="0.25">
      <c r="A1586" t="s">
        <v>16</v>
      </c>
      <c r="B1586" t="s">
        <v>3221</v>
      </c>
      <c r="C1586">
        <v>12016</v>
      </c>
      <c r="D1586" t="s">
        <v>44</v>
      </c>
      <c r="E1586" t="s">
        <v>45</v>
      </c>
      <c r="F1586">
        <v>20</v>
      </c>
      <c r="G1586">
        <v>230907</v>
      </c>
      <c r="H1586">
        <v>4573</v>
      </c>
      <c r="I1586" t="s">
        <v>46</v>
      </c>
      <c r="J1586">
        <v>20</v>
      </c>
      <c r="K1586">
        <v>0</v>
      </c>
      <c r="L1586">
        <v>13841</v>
      </c>
      <c r="M1586" t="s">
        <v>47</v>
      </c>
      <c r="N1586" t="str">
        <f>"10/23       "</f>
        <v xml:space="preserve">10/23       </v>
      </c>
      <c r="O1586">
        <v>230912</v>
      </c>
    </row>
    <row r="1587" spans="1:15" x14ac:dyDescent="0.25">
      <c r="A1587" t="s">
        <v>16</v>
      </c>
      <c r="B1587" t="s">
        <v>3221</v>
      </c>
      <c r="C1587">
        <v>12549</v>
      </c>
      <c r="D1587" t="s">
        <v>44</v>
      </c>
      <c r="E1587" t="s">
        <v>45</v>
      </c>
      <c r="F1587">
        <v>20</v>
      </c>
      <c r="G1587">
        <v>230907</v>
      </c>
      <c r="H1587">
        <v>4573</v>
      </c>
      <c r="I1587" t="s">
        <v>46</v>
      </c>
      <c r="J1587">
        <v>20</v>
      </c>
      <c r="K1587">
        <v>0</v>
      </c>
      <c r="L1587">
        <v>13841</v>
      </c>
      <c r="M1587" t="s">
        <v>47</v>
      </c>
      <c r="N1587" t="str">
        <f>"11/23       "</f>
        <v xml:space="preserve">11/23       </v>
      </c>
      <c r="O1587">
        <v>230920</v>
      </c>
    </row>
    <row r="1588" spans="1:15" x14ac:dyDescent="0.25">
      <c r="A1588" t="s">
        <v>16</v>
      </c>
      <c r="B1588" t="s">
        <v>3221</v>
      </c>
      <c r="C1588">
        <v>12551</v>
      </c>
      <c r="D1588" t="s">
        <v>44</v>
      </c>
      <c r="E1588" t="s">
        <v>45</v>
      </c>
      <c r="F1588">
        <v>20</v>
      </c>
      <c r="G1588">
        <v>230907</v>
      </c>
      <c r="H1588">
        <v>4573</v>
      </c>
      <c r="I1588" t="s">
        <v>46</v>
      </c>
      <c r="J1588">
        <v>20</v>
      </c>
      <c r="K1588">
        <v>0</v>
      </c>
      <c r="L1588">
        <v>13841</v>
      </c>
      <c r="M1588" t="s">
        <v>47</v>
      </c>
      <c r="N1588" t="str">
        <f>"12/23       "</f>
        <v xml:space="preserve">12/23       </v>
      </c>
      <c r="O1588">
        <v>230920</v>
      </c>
    </row>
    <row r="1589" spans="1:15" x14ac:dyDescent="0.25">
      <c r="A1589" t="s">
        <v>16</v>
      </c>
      <c r="B1589" t="s">
        <v>3221</v>
      </c>
      <c r="C1589">
        <v>16681</v>
      </c>
      <c r="D1589" t="s">
        <v>3006</v>
      </c>
      <c r="E1589" t="s">
        <v>3007</v>
      </c>
      <c r="F1589">
        <v>355.64</v>
      </c>
      <c r="G1589">
        <v>231201</v>
      </c>
      <c r="H1589">
        <v>4600</v>
      </c>
      <c r="I1589" t="s">
        <v>105</v>
      </c>
      <c r="J1589">
        <v>440.99</v>
      </c>
      <c r="K1589">
        <v>85.35</v>
      </c>
      <c r="L1589">
        <v>11301</v>
      </c>
      <c r="M1589" t="s">
        <v>29</v>
      </c>
      <c r="N1589" t="str">
        <f>"31804064    "</f>
        <v xml:space="preserve">31804064    </v>
      </c>
      <c r="O1589">
        <v>231207</v>
      </c>
    </row>
    <row r="1590" spans="1:15" x14ac:dyDescent="0.25">
      <c r="A1590" t="s">
        <v>16</v>
      </c>
      <c r="B1590" t="s">
        <v>3221</v>
      </c>
      <c r="C1590">
        <v>15399</v>
      </c>
      <c r="D1590" t="s">
        <v>2864</v>
      </c>
      <c r="E1590" t="s">
        <v>2865</v>
      </c>
      <c r="F1590">
        <v>36.5</v>
      </c>
      <c r="G1590">
        <v>231107</v>
      </c>
      <c r="H1590">
        <v>4500</v>
      </c>
      <c r="I1590" t="s">
        <v>212</v>
      </c>
      <c r="J1590">
        <v>45.26</v>
      </c>
      <c r="K1590">
        <v>8.76</v>
      </c>
      <c r="L1590">
        <v>47522</v>
      </c>
      <c r="M1590" t="s">
        <v>410</v>
      </c>
      <c r="N1590" t="str">
        <f>"14702       "</f>
        <v xml:space="preserve">14702       </v>
      </c>
      <c r="O1590">
        <v>231113</v>
      </c>
    </row>
    <row r="1591" spans="1:15" x14ac:dyDescent="0.25">
      <c r="A1591" t="s">
        <v>16</v>
      </c>
      <c r="B1591" t="s">
        <v>3221</v>
      </c>
      <c r="C1591">
        <v>16422</v>
      </c>
      <c r="D1591" t="s">
        <v>2969</v>
      </c>
      <c r="E1591" t="s">
        <v>2970</v>
      </c>
      <c r="F1591">
        <v>370.29</v>
      </c>
      <c r="G1591">
        <v>231123</v>
      </c>
      <c r="H1591">
        <v>4400</v>
      </c>
      <c r="I1591" t="s">
        <v>348</v>
      </c>
      <c r="J1591">
        <v>459.16</v>
      </c>
      <c r="K1591">
        <v>88.87</v>
      </c>
      <c r="L1591">
        <v>17524</v>
      </c>
      <c r="M1591" t="s">
        <v>452</v>
      </c>
      <c r="N1591" t="str">
        <f>"1123007956  "</f>
        <v xml:space="preserve">1123007956  </v>
      </c>
      <c r="O1591">
        <v>231129</v>
      </c>
    </row>
    <row r="1592" spans="1:15" x14ac:dyDescent="0.25">
      <c r="A1592" t="s">
        <v>16</v>
      </c>
      <c r="B1592" t="s">
        <v>3221</v>
      </c>
      <c r="C1592">
        <v>2391</v>
      </c>
      <c r="D1592" t="s">
        <v>1381</v>
      </c>
      <c r="E1592" t="s">
        <v>1382</v>
      </c>
      <c r="F1592">
        <v>1141.3699999999999</v>
      </c>
      <c r="G1592">
        <v>230217</v>
      </c>
      <c r="H1592">
        <v>4600</v>
      </c>
      <c r="I1592" t="s">
        <v>105</v>
      </c>
      <c r="J1592">
        <v>1415.3</v>
      </c>
      <c r="K1592">
        <v>273.93</v>
      </c>
      <c r="L1592">
        <v>67554</v>
      </c>
      <c r="M1592" t="s">
        <v>60</v>
      </c>
      <c r="N1592" t="str">
        <f>"3504199     "</f>
        <v xml:space="preserve">3504199     </v>
      </c>
      <c r="O1592">
        <v>230227</v>
      </c>
    </row>
    <row r="1593" spans="1:15" x14ac:dyDescent="0.25">
      <c r="A1593" t="s">
        <v>16</v>
      </c>
      <c r="B1593" t="s">
        <v>3221</v>
      </c>
      <c r="C1593">
        <v>4597</v>
      </c>
      <c r="D1593" t="s">
        <v>1381</v>
      </c>
      <c r="E1593" t="s">
        <v>1382</v>
      </c>
      <c r="F1593">
        <v>565.47</v>
      </c>
      <c r="G1593">
        <v>230330</v>
      </c>
      <c r="H1593">
        <v>4600</v>
      </c>
      <c r="I1593" t="s">
        <v>105</v>
      </c>
      <c r="J1593">
        <v>701.18</v>
      </c>
      <c r="K1593">
        <v>135.71</v>
      </c>
      <c r="L1593">
        <v>67554</v>
      </c>
      <c r="M1593" t="s">
        <v>60</v>
      </c>
      <c r="N1593" t="str">
        <f>"3504294     "</f>
        <v xml:space="preserve">3504294     </v>
      </c>
      <c r="O1593">
        <v>230411</v>
      </c>
    </row>
    <row r="1594" spans="1:15" x14ac:dyDescent="0.25">
      <c r="A1594" t="s">
        <v>16</v>
      </c>
      <c r="B1594" t="s">
        <v>3221</v>
      </c>
      <c r="C1594">
        <v>1525</v>
      </c>
      <c r="D1594" t="s">
        <v>1075</v>
      </c>
      <c r="E1594" t="s">
        <v>1076</v>
      </c>
      <c r="F1594">
        <v>120</v>
      </c>
      <c r="G1594">
        <v>230207</v>
      </c>
      <c r="H1594">
        <v>4440</v>
      </c>
      <c r="I1594" t="s">
        <v>250</v>
      </c>
      <c r="J1594">
        <v>120</v>
      </c>
      <c r="K1594">
        <v>0</v>
      </c>
      <c r="L1594">
        <v>13401</v>
      </c>
      <c r="M1594" t="s">
        <v>80</v>
      </c>
      <c r="N1594" t="str">
        <f>"1002023     "</f>
        <v xml:space="preserve">1002023     </v>
      </c>
      <c r="O1594">
        <v>230209</v>
      </c>
    </row>
    <row r="1595" spans="1:15" x14ac:dyDescent="0.25">
      <c r="A1595" t="s">
        <v>16</v>
      </c>
      <c r="B1595" t="s">
        <v>3221</v>
      </c>
      <c r="C1595">
        <v>13115</v>
      </c>
      <c r="D1595" t="s">
        <v>2627</v>
      </c>
      <c r="E1595" t="s">
        <v>2628</v>
      </c>
      <c r="F1595">
        <v>934.04</v>
      </c>
      <c r="G1595">
        <v>230919</v>
      </c>
      <c r="H1595">
        <v>4600</v>
      </c>
      <c r="I1595" t="s">
        <v>105</v>
      </c>
      <c r="J1595">
        <v>1158.21</v>
      </c>
      <c r="K1595">
        <v>224.17</v>
      </c>
      <c r="L1595">
        <v>17633</v>
      </c>
      <c r="M1595" t="s">
        <v>724</v>
      </c>
      <c r="N1595" t="str">
        <f>"632835      "</f>
        <v xml:space="preserve">632835      </v>
      </c>
      <c r="O1595">
        <v>231004</v>
      </c>
    </row>
    <row r="1596" spans="1:15" x14ac:dyDescent="0.25">
      <c r="A1596" t="s">
        <v>16</v>
      </c>
      <c r="B1596" t="s">
        <v>3221</v>
      </c>
      <c r="C1596">
        <v>6193</v>
      </c>
      <c r="D1596" t="s">
        <v>1937</v>
      </c>
      <c r="E1596" t="s">
        <v>1002</v>
      </c>
      <c r="F1596">
        <v>690.54</v>
      </c>
      <c r="G1596">
        <v>230429</v>
      </c>
      <c r="H1596">
        <v>4580</v>
      </c>
      <c r="I1596" t="s">
        <v>35</v>
      </c>
      <c r="J1596">
        <v>856.27</v>
      </c>
      <c r="K1596">
        <v>165.73</v>
      </c>
      <c r="L1596">
        <v>47522</v>
      </c>
      <c r="M1596" t="s">
        <v>410</v>
      </c>
      <c r="N1596" t="str">
        <f>"21266459    "</f>
        <v xml:space="preserve">21266459    </v>
      </c>
      <c r="O1596">
        <v>230508</v>
      </c>
    </row>
    <row r="1597" spans="1:15" x14ac:dyDescent="0.25">
      <c r="A1597" t="s">
        <v>16</v>
      </c>
      <c r="B1597" t="s">
        <v>3221</v>
      </c>
      <c r="C1597">
        <v>6949</v>
      </c>
      <c r="D1597" t="s">
        <v>1937</v>
      </c>
      <c r="E1597" t="s">
        <v>1002</v>
      </c>
      <c r="F1597">
        <v>141.26</v>
      </c>
      <c r="G1597">
        <v>230511</v>
      </c>
      <c r="H1597">
        <v>4580</v>
      </c>
      <c r="I1597" t="s">
        <v>35</v>
      </c>
      <c r="J1597">
        <v>175.16</v>
      </c>
      <c r="K1597">
        <v>33.9</v>
      </c>
      <c r="L1597">
        <v>14952</v>
      </c>
      <c r="M1597" t="s">
        <v>99</v>
      </c>
      <c r="N1597" t="str">
        <f>"21267742    "</f>
        <v xml:space="preserve">21267742    </v>
      </c>
      <c r="O1597">
        <v>230523</v>
      </c>
    </row>
    <row r="1598" spans="1:15" x14ac:dyDescent="0.25">
      <c r="A1598" t="s">
        <v>16</v>
      </c>
      <c r="B1598" t="s">
        <v>3221</v>
      </c>
      <c r="C1598">
        <v>8702</v>
      </c>
      <c r="D1598" t="s">
        <v>1937</v>
      </c>
      <c r="E1598" t="s">
        <v>1002</v>
      </c>
      <c r="F1598">
        <v>279.57</v>
      </c>
      <c r="G1598">
        <v>230612</v>
      </c>
      <c r="H1598">
        <v>4580</v>
      </c>
      <c r="I1598" t="s">
        <v>35</v>
      </c>
      <c r="J1598">
        <v>346.67</v>
      </c>
      <c r="K1598">
        <v>67.099999999999994</v>
      </c>
      <c r="L1598">
        <v>13801</v>
      </c>
      <c r="M1598" t="s">
        <v>162</v>
      </c>
      <c r="N1598" t="str">
        <f>"21270721    "</f>
        <v xml:space="preserve">21270721    </v>
      </c>
      <c r="O1598">
        <v>230613</v>
      </c>
    </row>
    <row r="1599" spans="1:15" x14ac:dyDescent="0.25">
      <c r="A1599" t="s">
        <v>16</v>
      </c>
      <c r="B1599" t="s">
        <v>3221</v>
      </c>
      <c r="C1599">
        <v>8716</v>
      </c>
      <c r="D1599" t="s">
        <v>1937</v>
      </c>
      <c r="E1599" t="s">
        <v>1002</v>
      </c>
      <c r="F1599">
        <v>147.91</v>
      </c>
      <c r="G1599">
        <v>230612</v>
      </c>
      <c r="H1599">
        <v>4580</v>
      </c>
      <c r="I1599" t="s">
        <v>35</v>
      </c>
      <c r="J1599">
        <v>183.41</v>
      </c>
      <c r="K1599">
        <v>35.5</v>
      </c>
      <c r="L1599">
        <v>13540</v>
      </c>
      <c r="M1599" t="s">
        <v>85</v>
      </c>
      <c r="N1599" t="str">
        <f>"21270859    "</f>
        <v xml:space="preserve">21270859    </v>
      </c>
      <c r="O1599">
        <v>230613</v>
      </c>
    </row>
    <row r="1600" spans="1:15" x14ac:dyDescent="0.25">
      <c r="A1600" t="s">
        <v>16</v>
      </c>
      <c r="B1600" t="s">
        <v>3221</v>
      </c>
      <c r="C1600">
        <v>8716</v>
      </c>
      <c r="D1600" t="s">
        <v>1937</v>
      </c>
      <c r="E1600" t="s">
        <v>1002</v>
      </c>
      <c r="F1600">
        <v>1196.76</v>
      </c>
      <c r="G1600">
        <v>230612</v>
      </c>
      <c r="H1600">
        <v>4580</v>
      </c>
      <c r="I1600" t="s">
        <v>35</v>
      </c>
      <c r="J1600">
        <v>1483.98</v>
      </c>
      <c r="K1600">
        <v>287.22000000000003</v>
      </c>
      <c r="L1600">
        <v>17950</v>
      </c>
      <c r="M1600" t="s">
        <v>86</v>
      </c>
      <c r="N1600" t="str">
        <f>"21270859    "</f>
        <v xml:space="preserve">21270859    </v>
      </c>
      <c r="O1600">
        <v>230613</v>
      </c>
    </row>
    <row r="1601" spans="1:15" x14ac:dyDescent="0.25">
      <c r="A1601" t="s">
        <v>16</v>
      </c>
      <c r="B1601" t="s">
        <v>3221</v>
      </c>
      <c r="C1601">
        <v>9904</v>
      </c>
      <c r="D1601" t="s">
        <v>1937</v>
      </c>
      <c r="E1601" t="s">
        <v>1002</v>
      </c>
      <c r="F1601">
        <v>275.31</v>
      </c>
      <c r="G1601">
        <v>230731</v>
      </c>
      <c r="H1601">
        <v>4580</v>
      </c>
      <c r="I1601" t="s">
        <v>35</v>
      </c>
      <c r="J1601">
        <v>341.38</v>
      </c>
      <c r="K1601">
        <v>66.069999999999993</v>
      </c>
      <c r="L1601">
        <v>17529</v>
      </c>
      <c r="M1601" t="s">
        <v>453</v>
      </c>
      <c r="N1601" t="str">
        <f>"21278326    "</f>
        <v xml:space="preserve">21278326    </v>
      </c>
      <c r="O1601">
        <v>230801</v>
      </c>
    </row>
    <row r="1602" spans="1:15" x14ac:dyDescent="0.25">
      <c r="A1602" t="s">
        <v>16</v>
      </c>
      <c r="B1602" t="s">
        <v>3221</v>
      </c>
      <c r="C1602">
        <v>13486</v>
      </c>
      <c r="D1602" t="s">
        <v>1937</v>
      </c>
      <c r="E1602" t="s">
        <v>1002</v>
      </c>
      <c r="F1602">
        <v>287.62</v>
      </c>
      <c r="G1602">
        <v>231002</v>
      </c>
      <c r="H1602">
        <v>4580</v>
      </c>
      <c r="I1602" t="s">
        <v>35</v>
      </c>
      <c r="J1602">
        <v>356.65</v>
      </c>
      <c r="K1602">
        <v>69.03</v>
      </c>
      <c r="L1602">
        <v>69702</v>
      </c>
      <c r="M1602" t="s">
        <v>489</v>
      </c>
      <c r="N1602" t="str">
        <f>"21289816    "</f>
        <v xml:space="preserve">21289816    </v>
      </c>
      <c r="O1602">
        <v>231010</v>
      </c>
    </row>
    <row r="1603" spans="1:15" x14ac:dyDescent="0.25">
      <c r="A1603" t="s">
        <v>16</v>
      </c>
      <c r="B1603" t="s">
        <v>3221</v>
      </c>
      <c r="C1603">
        <v>16040</v>
      </c>
      <c r="D1603" t="s">
        <v>1937</v>
      </c>
      <c r="E1603" t="s">
        <v>1002</v>
      </c>
      <c r="F1603">
        <v>2228.23</v>
      </c>
      <c r="G1603">
        <v>231115</v>
      </c>
      <c r="H1603">
        <v>1196</v>
      </c>
      <c r="I1603" t="s">
        <v>392</v>
      </c>
      <c r="J1603">
        <v>2763.01</v>
      </c>
      <c r="K1603">
        <v>534.78</v>
      </c>
      <c r="L1603">
        <v>96501</v>
      </c>
      <c r="M1603" t="s">
        <v>2361</v>
      </c>
      <c r="N1603" t="str">
        <f>"21298444    "</f>
        <v xml:space="preserve">21298444    </v>
      </c>
      <c r="O1603">
        <v>231122</v>
      </c>
    </row>
    <row r="1604" spans="1:15" x14ac:dyDescent="0.25">
      <c r="A1604" t="s">
        <v>16</v>
      </c>
      <c r="B1604" t="s">
        <v>3221</v>
      </c>
      <c r="C1604">
        <v>6908</v>
      </c>
      <c r="D1604" t="s">
        <v>1937</v>
      </c>
      <c r="E1604" t="s">
        <v>1002</v>
      </c>
      <c r="F1604">
        <v>71.819999999999993</v>
      </c>
      <c r="G1604">
        <v>230503</v>
      </c>
      <c r="H1604">
        <v>4600</v>
      </c>
      <c r="I1604" t="s">
        <v>105</v>
      </c>
      <c r="J1604">
        <v>89.06</v>
      </c>
      <c r="K1604">
        <v>17.239999999999998</v>
      </c>
      <c r="L1604">
        <v>14952</v>
      </c>
      <c r="M1604" t="s">
        <v>99</v>
      </c>
      <c r="N1604" t="str">
        <f>"21266986    "</f>
        <v xml:space="preserve">21266986    </v>
      </c>
      <c r="O1604">
        <v>230523</v>
      </c>
    </row>
    <row r="1605" spans="1:15" x14ac:dyDescent="0.25">
      <c r="A1605" t="s">
        <v>16</v>
      </c>
      <c r="B1605" t="s">
        <v>3221</v>
      </c>
      <c r="C1605">
        <v>10725</v>
      </c>
      <c r="D1605" t="s">
        <v>1937</v>
      </c>
      <c r="E1605" t="s">
        <v>1002</v>
      </c>
      <c r="F1605">
        <v>103.41</v>
      </c>
      <c r="G1605">
        <v>230810</v>
      </c>
      <c r="H1605">
        <v>4600</v>
      </c>
      <c r="I1605" t="s">
        <v>105</v>
      </c>
      <c r="J1605">
        <v>128.22999999999999</v>
      </c>
      <c r="K1605">
        <v>24.82</v>
      </c>
      <c r="L1605">
        <v>59501</v>
      </c>
      <c r="M1605" t="s">
        <v>69</v>
      </c>
      <c r="N1605" t="str">
        <f>"21280236    "</f>
        <v xml:space="preserve">21280236    </v>
      </c>
      <c r="O1605">
        <v>230822</v>
      </c>
    </row>
    <row r="1606" spans="1:15" x14ac:dyDescent="0.25">
      <c r="A1606" t="s">
        <v>16</v>
      </c>
      <c r="B1606" t="s">
        <v>3221</v>
      </c>
      <c r="C1606">
        <v>11151</v>
      </c>
      <c r="D1606" t="s">
        <v>1937</v>
      </c>
      <c r="E1606" t="s">
        <v>1002</v>
      </c>
      <c r="F1606">
        <v>54.28</v>
      </c>
      <c r="G1606">
        <v>230815</v>
      </c>
      <c r="H1606">
        <v>4600</v>
      </c>
      <c r="I1606" t="s">
        <v>105</v>
      </c>
      <c r="J1606">
        <v>67.31</v>
      </c>
      <c r="K1606">
        <v>13.03</v>
      </c>
      <c r="L1606">
        <v>59505</v>
      </c>
      <c r="M1606" t="s">
        <v>72</v>
      </c>
      <c r="N1606" t="str">
        <f>"21280655    "</f>
        <v xml:space="preserve">21280655    </v>
      </c>
      <c r="O1606">
        <v>230830</v>
      </c>
    </row>
    <row r="1607" spans="1:15" x14ac:dyDescent="0.25">
      <c r="A1607" t="s">
        <v>16</v>
      </c>
      <c r="B1607" t="s">
        <v>3221</v>
      </c>
      <c r="C1607">
        <v>13162</v>
      </c>
      <c r="D1607" t="s">
        <v>1937</v>
      </c>
      <c r="E1607" t="s">
        <v>1002</v>
      </c>
      <c r="F1607">
        <v>63.52</v>
      </c>
      <c r="G1607">
        <v>230925</v>
      </c>
      <c r="H1607">
        <v>4600</v>
      </c>
      <c r="I1607" t="s">
        <v>105</v>
      </c>
      <c r="J1607">
        <v>78.760000000000005</v>
      </c>
      <c r="K1607">
        <v>15.24</v>
      </c>
      <c r="L1607">
        <v>14952</v>
      </c>
      <c r="M1607" t="s">
        <v>99</v>
      </c>
      <c r="N1607" t="str">
        <f>"21288422    "</f>
        <v xml:space="preserve">21288422    </v>
      </c>
      <c r="O1607">
        <v>231004</v>
      </c>
    </row>
    <row r="1608" spans="1:15" x14ac:dyDescent="0.25">
      <c r="A1608" t="s">
        <v>16</v>
      </c>
      <c r="B1608" t="s">
        <v>3221</v>
      </c>
      <c r="C1608">
        <v>13482</v>
      </c>
      <c r="D1608" t="s">
        <v>1937</v>
      </c>
      <c r="E1608" t="s">
        <v>1002</v>
      </c>
      <c r="F1608">
        <v>99.8</v>
      </c>
      <c r="G1608">
        <v>230928</v>
      </c>
      <c r="H1608">
        <v>4600</v>
      </c>
      <c r="I1608" t="s">
        <v>105</v>
      </c>
      <c r="J1608">
        <v>123.75</v>
      </c>
      <c r="K1608">
        <v>23.95</v>
      </c>
      <c r="L1608">
        <v>69702</v>
      </c>
      <c r="M1608" t="s">
        <v>489</v>
      </c>
      <c r="N1608" t="str">
        <f>"21289469    "</f>
        <v xml:space="preserve">21289469    </v>
      </c>
      <c r="O1608">
        <v>231010</v>
      </c>
    </row>
    <row r="1609" spans="1:15" x14ac:dyDescent="0.25">
      <c r="A1609" t="s">
        <v>16</v>
      </c>
      <c r="B1609" t="s">
        <v>3221</v>
      </c>
      <c r="C1609">
        <v>7625</v>
      </c>
      <c r="D1609" t="s">
        <v>2104</v>
      </c>
      <c r="E1609" t="s">
        <v>2105</v>
      </c>
      <c r="F1609">
        <v>199.19</v>
      </c>
      <c r="G1609">
        <v>230525</v>
      </c>
      <c r="H1609">
        <v>4600</v>
      </c>
      <c r="I1609" t="s">
        <v>105</v>
      </c>
      <c r="J1609">
        <v>247</v>
      </c>
      <c r="K1609">
        <v>47.81</v>
      </c>
      <c r="L1609">
        <v>56568</v>
      </c>
      <c r="M1609" t="s">
        <v>268</v>
      </c>
      <c r="N1609" t="str">
        <f>"114191      "</f>
        <v xml:space="preserve">114191      </v>
      </c>
      <c r="O1609">
        <v>230601</v>
      </c>
    </row>
    <row r="1610" spans="1:15" x14ac:dyDescent="0.25">
      <c r="A1610" t="s">
        <v>16</v>
      </c>
      <c r="B1610" t="s">
        <v>3221</v>
      </c>
      <c r="C1610">
        <v>836</v>
      </c>
      <c r="D1610" t="s">
        <v>3611</v>
      </c>
      <c r="E1610" t="s">
        <v>764</v>
      </c>
      <c r="F1610">
        <v>16.13</v>
      </c>
      <c r="G1610">
        <v>230125</v>
      </c>
      <c r="H1610">
        <v>4600</v>
      </c>
      <c r="I1610" t="s">
        <v>105</v>
      </c>
      <c r="J1610">
        <v>20</v>
      </c>
      <c r="K1610">
        <v>3.87</v>
      </c>
      <c r="L1610">
        <v>17638</v>
      </c>
      <c r="M1610" t="s">
        <v>765</v>
      </c>
      <c r="N1610" t="str">
        <f>"1001020646  "</f>
        <v xml:space="preserve">1001020646  </v>
      </c>
      <c r="O1610">
        <v>230131</v>
      </c>
    </row>
    <row r="1611" spans="1:15" x14ac:dyDescent="0.25">
      <c r="A1611" t="s">
        <v>16</v>
      </c>
      <c r="B1611" t="s">
        <v>3221</v>
      </c>
      <c r="C1611">
        <v>3791</v>
      </c>
      <c r="D1611" t="s">
        <v>3611</v>
      </c>
      <c r="E1611" t="s">
        <v>764</v>
      </c>
      <c r="F1611">
        <v>83.97</v>
      </c>
      <c r="G1611">
        <v>230316</v>
      </c>
      <c r="H1611">
        <v>4600</v>
      </c>
      <c r="I1611" t="s">
        <v>105</v>
      </c>
      <c r="J1611">
        <v>104.12</v>
      </c>
      <c r="K1611">
        <v>20.149999999999999</v>
      </c>
      <c r="L1611">
        <v>17638</v>
      </c>
      <c r="M1611" t="s">
        <v>765</v>
      </c>
      <c r="N1611" t="str">
        <f>"1001020945  "</f>
        <v xml:space="preserve">1001020945  </v>
      </c>
      <c r="O1611">
        <v>230322</v>
      </c>
    </row>
    <row r="1612" spans="1:15" x14ac:dyDescent="0.25">
      <c r="A1612" t="s">
        <v>16</v>
      </c>
      <c r="B1612" t="s">
        <v>3221</v>
      </c>
      <c r="C1612">
        <v>10802</v>
      </c>
      <c r="D1612" t="s">
        <v>3611</v>
      </c>
      <c r="E1612" t="s">
        <v>764</v>
      </c>
      <c r="F1612">
        <v>26.13</v>
      </c>
      <c r="G1612">
        <v>230814</v>
      </c>
      <c r="H1612">
        <v>4600</v>
      </c>
      <c r="I1612" t="s">
        <v>105</v>
      </c>
      <c r="J1612">
        <v>32.4</v>
      </c>
      <c r="K1612">
        <v>6.27</v>
      </c>
      <c r="L1612">
        <v>17638</v>
      </c>
      <c r="M1612" t="s">
        <v>765</v>
      </c>
      <c r="N1612" t="str">
        <f>"1001021793  "</f>
        <v xml:space="preserve">1001021793  </v>
      </c>
      <c r="O1612">
        <v>230823</v>
      </c>
    </row>
    <row r="1613" spans="1:15" x14ac:dyDescent="0.25">
      <c r="A1613" t="s">
        <v>16</v>
      </c>
      <c r="B1613" t="s">
        <v>3221</v>
      </c>
      <c r="C1613">
        <v>12470</v>
      </c>
      <c r="D1613" t="s">
        <v>3611</v>
      </c>
      <c r="E1613" t="s">
        <v>764</v>
      </c>
      <c r="F1613">
        <v>61.69</v>
      </c>
      <c r="G1613">
        <v>230904</v>
      </c>
      <c r="H1613">
        <v>4600</v>
      </c>
      <c r="I1613" t="s">
        <v>105</v>
      </c>
      <c r="J1613">
        <v>76.5</v>
      </c>
      <c r="K1613">
        <v>14.81</v>
      </c>
      <c r="L1613">
        <v>17638</v>
      </c>
      <c r="M1613" t="s">
        <v>765</v>
      </c>
      <c r="N1613" t="str">
        <f>"1001021935  "</f>
        <v xml:space="preserve">1001021935  </v>
      </c>
      <c r="O1613">
        <v>230920</v>
      </c>
    </row>
    <row r="1614" spans="1:15" x14ac:dyDescent="0.25">
      <c r="A1614" t="s">
        <v>16</v>
      </c>
      <c r="B1614" t="s">
        <v>3221</v>
      </c>
      <c r="C1614">
        <v>13224</v>
      </c>
      <c r="D1614" t="s">
        <v>3611</v>
      </c>
      <c r="E1614" t="s">
        <v>764</v>
      </c>
      <c r="F1614">
        <v>36.29</v>
      </c>
      <c r="G1614">
        <v>230929</v>
      </c>
      <c r="H1614">
        <v>4600</v>
      </c>
      <c r="I1614" t="s">
        <v>105</v>
      </c>
      <c r="J1614">
        <v>45</v>
      </c>
      <c r="K1614">
        <v>8.7100000000000009</v>
      </c>
      <c r="L1614">
        <v>56550</v>
      </c>
      <c r="M1614" t="s">
        <v>913</v>
      </c>
      <c r="N1614" t="str">
        <f>"1001022152  "</f>
        <v xml:space="preserve">1001022152  </v>
      </c>
      <c r="O1614">
        <v>231006</v>
      </c>
    </row>
    <row r="1615" spans="1:15" x14ac:dyDescent="0.25">
      <c r="A1615" t="s">
        <v>16</v>
      </c>
      <c r="B1615" t="s">
        <v>3221</v>
      </c>
      <c r="C1615">
        <v>15033</v>
      </c>
      <c r="D1615" t="s">
        <v>3611</v>
      </c>
      <c r="E1615" t="s">
        <v>764</v>
      </c>
      <c r="F1615">
        <v>52.78</v>
      </c>
      <c r="G1615">
        <v>231102</v>
      </c>
      <c r="H1615">
        <v>4600</v>
      </c>
      <c r="I1615" t="s">
        <v>105</v>
      </c>
      <c r="J1615">
        <v>65.45</v>
      </c>
      <c r="K1615">
        <v>12.67</v>
      </c>
      <c r="L1615">
        <v>17638</v>
      </c>
      <c r="M1615" t="s">
        <v>765</v>
      </c>
      <c r="N1615" t="str">
        <f>"1001022372  "</f>
        <v xml:space="preserve">1001022372  </v>
      </c>
      <c r="O1615">
        <v>231108</v>
      </c>
    </row>
    <row r="1616" spans="1:15" x14ac:dyDescent="0.25">
      <c r="A1616" t="s">
        <v>16</v>
      </c>
      <c r="B1616" t="s">
        <v>3221</v>
      </c>
      <c r="C1616">
        <v>16509</v>
      </c>
      <c r="D1616" t="s">
        <v>3611</v>
      </c>
      <c r="E1616" t="s">
        <v>764</v>
      </c>
      <c r="F1616">
        <v>56.21</v>
      </c>
      <c r="G1616">
        <v>231121</v>
      </c>
      <c r="H1616">
        <v>4600</v>
      </c>
      <c r="I1616" t="s">
        <v>105</v>
      </c>
      <c r="J1616">
        <v>69.7</v>
      </c>
      <c r="K1616">
        <v>13.49</v>
      </c>
      <c r="L1616">
        <v>17638</v>
      </c>
      <c r="M1616" t="s">
        <v>765</v>
      </c>
      <c r="N1616" t="str">
        <f>"1001022515  "</f>
        <v xml:space="preserve">1001022515  </v>
      </c>
      <c r="O1616">
        <v>231201</v>
      </c>
    </row>
    <row r="1617" spans="1:15" x14ac:dyDescent="0.25">
      <c r="A1617" t="s">
        <v>16</v>
      </c>
      <c r="B1617" t="s">
        <v>3221</v>
      </c>
      <c r="C1617">
        <v>16429</v>
      </c>
      <c r="D1617" t="s">
        <v>2971</v>
      </c>
      <c r="E1617" t="s">
        <v>2972</v>
      </c>
      <c r="F1617">
        <v>116.94</v>
      </c>
      <c r="G1617">
        <v>231126</v>
      </c>
      <c r="H1617">
        <v>4580</v>
      </c>
      <c r="I1617" t="s">
        <v>35</v>
      </c>
      <c r="J1617">
        <v>145</v>
      </c>
      <c r="K1617">
        <v>28.06</v>
      </c>
      <c r="L1617">
        <v>17802</v>
      </c>
      <c r="M1617" t="s">
        <v>174</v>
      </c>
      <c r="N1617" t="str">
        <f>"1119        "</f>
        <v xml:space="preserve">1119        </v>
      </c>
      <c r="O1617">
        <v>231129</v>
      </c>
    </row>
    <row r="1618" spans="1:15" x14ac:dyDescent="0.25">
      <c r="A1618" t="s">
        <v>16</v>
      </c>
      <c r="B1618" t="s">
        <v>3221</v>
      </c>
      <c r="C1618">
        <v>16429</v>
      </c>
      <c r="D1618" t="s">
        <v>2971</v>
      </c>
      <c r="E1618" t="s">
        <v>2972</v>
      </c>
      <c r="F1618">
        <v>18.149999999999999</v>
      </c>
      <c r="G1618">
        <v>231126</v>
      </c>
      <c r="H1618">
        <v>4600</v>
      </c>
      <c r="I1618" t="s">
        <v>105</v>
      </c>
      <c r="J1618">
        <v>22.5</v>
      </c>
      <c r="K1618">
        <v>4.3499999999999996</v>
      </c>
      <c r="L1618">
        <v>17802</v>
      </c>
      <c r="M1618" t="s">
        <v>174</v>
      </c>
      <c r="N1618" t="str">
        <f>"1119        "</f>
        <v xml:space="preserve">1119        </v>
      </c>
      <c r="O1618">
        <v>231129</v>
      </c>
    </row>
    <row r="1619" spans="1:15" x14ac:dyDescent="0.25">
      <c r="A1619" t="s">
        <v>16</v>
      </c>
      <c r="B1619" t="s">
        <v>3221</v>
      </c>
      <c r="C1619">
        <v>2861</v>
      </c>
      <c r="D1619" t="s">
        <v>1487</v>
      </c>
      <c r="E1619" t="s">
        <v>1488</v>
      </c>
      <c r="F1619">
        <v>68.23</v>
      </c>
      <c r="G1619">
        <v>230301</v>
      </c>
      <c r="H1619">
        <v>4560</v>
      </c>
      <c r="I1619" t="s">
        <v>345</v>
      </c>
      <c r="J1619">
        <v>84.61</v>
      </c>
      <c r="K1619">
        <v>16.38</v>
      </c>
      <c r="L1619">
        <v>17522</v>
      </c>
      <c r="M1619" t="s">
        <v>451</v>
      </c>
      <c r="N1619" t="str">
        <f>"2147        "</f>
        <v xml:space="preserve">2147        </v>
      </c>
      <c r="O1619">
        <v>230308</v>
      </c>
    </row>
    <row r="1620" spans="1:15" x14ac:dyDescent="0.25">
      <c r="A1620" t="s">
        <v>16</v>
      </c>
      <c r="B1620" t="s">
        <v>3221</v>
      </c>
      <c r="C1620">
        <v>2861</v>
      </c>
      <c r="D1620" t="s">
        <v>1487</v>
      </c>
      <c r="E1620" t="s">
        <v>1488</v>
      </c>
      <c r="F1620">
        <v>64.489999999999995</v>
      </c>
      <c r="G1620">
        <v>230301</v>
      </c>
      <c r="H1620">
        <v>4560</v>
      </c>
      <c r="I1620" t="s">
        <v>345</v>
      </c>
      <c r="J1620">
        <v>79.97</v>
      </c>
      <c r="K1620">
        <v>15.48</v>
      </c>
      <c r="L1620">
        <v>17523</v>
      </c>
      <c r="M1620" t="s">
        <v>134</v>
      </c>
      <c r="N1620" t="str">
        <f>"2147        "</f>
        <v xml:space="preserve">2147        </v>
      </c>
      <c r="O1620">
        <v>230308</v>
      </c>
    </row>
    <row r="1621" spans="1:15" x14ac:dyDescent="0.25">
      <c r="A1621" t="s">
        <v>16</v>
      </c>
      <c r="B1621" t="s">
        <v>3221</v>
      </c>
      <c r="C1621">
        <v>13506</v>
      </c>
      <c r="D1621" t="s">
        <v>1487</v>
      </c>
      <c r="E1621" t="s">
        <v>1488</v>
      </c>
      <c r="F1621">
        <v>17.64</v>
      </c>
      <c r="G1621">
        <v>231003</v>
      </c>
      <c r="H1621">
        <v>4560</v>
      </c>
      <c r="I1621" t="s">
        <v>345</v>
      </c>
      <c r="J1621">
        <v>21.87</v>
      </c>
      <c r="K1621">
        <v>4.2300000000000004</v>
      </c>
      <c r="L1621">
        <v>17523</v>
      </c>
      <c r="M1621" t="s">
        <v>134</v>
      </c>
      <c r="N1621" t="str">
        <f>"1058        "</f>
        <v xml:space="preserve">1058        </v>
      </c>
      <c r="O1621">
        <v>231010</v>
      </c>
    </row>
    <row r="1622" spans="1:15" x14ac:dyDescent="0.25">
      <c r="A1622" t="s">
        <v>16</v>
      </c>
      <c r="B1622" t="s">
        <v>3221</v>
      </c>
      <c r="C1622">
        <v>16851</v>
      </c>
      <c r="D1622" t="s">
        <v>1487</v>
      </c>
      <c r="E1622" t="s">
        <v>1488</v>
      </c>
      <c r="F1622">
        <v>192.35</v>
      </c>
      <c r="G1622">
        <v>231202</v>
      </c>
      <c r="H1622">
        <v>4560</v>
      </c>
      <c r="I1622" t="s">
        <v>345</v>
      </c>
      <c r="J1622">
        <v>238.51</v>
      </c>
      <c r="K1622">
        <v>46.16</v>
      </c>
      <c r="L1622">
        <v>17521</v>
      </c>
      <c r="M1622" t="s">
        <v>133</v>
      </c>
      <c r="N1622" t="str">
        <f>"1069        "</f>
        <v xml:space="preserve">1069        </v>
      </c>
      <c r="O1622">
        <v>231211</v>
      </c>
    </row>
    <row r="1623" spans="1:15" x14ac:dyDescent="0.25">
      <c r="A1623" t="s">
        <v>16</v>
      </c>
      <c r="B1623" t="s">
        <v>3221</v>
      </c>
      <c r="C1623">
        <v>2861</v>
      </c>
      <c r="D1623" t="s">
        <v>1487</v>
      </c>
      <c r="E1623" t="s">
        <v>1488</v>
      </c>
      <c r="F1623">
        <v>15.15</v>
      </c>
      <c r="G1623">
        <v>230301</v>
      </c>
      <c r="H1623">
        <v>4380</v>
      </c>
      <c r="I1623" t="s">
        <v>113</v>
      </c>
      <c r="J1623">
        <v>18.79</v>
      </c>
      <c r="K1623">
        <v>3.64</v>
      </c>
      <c r="L1623">
        <v>17538</v>
      </c>
      <c r="M1623" t="s">
        <v>24</v>
      </c>
      <c r="N1623" t="str">
        <f>"2147        "</f>
        <v xml:space="preserve">2147        </v>
      </c>
      <c r="O1623">
        <v>230308</v>
      </c>
    </row>
    <row r="1624" spans="1:15" x14ac:dyDescent="0.25">
      <c r="A1624" t="s">
        <v>16</v>
      </c>
      <c r="B1624" t="s">
        <v>3221</v>
      </c>
      <c r="C1624">
        <v>9736</v>
      </c>
      <c r="D1624" t="s">
        <v>710</v>
      </c>
      <c r="E1624" t="s">
        <v>711</v>
      </c>
      <c r="F1624">
        <v>78</v>
      </c>
      <c r="G1624">
        <v>230710</v>
      </c>
      <c r="H1624">
        <v>4400</v>
      </c>
      <c r="I1624" t="s">
        <v>348</v>
      </c>
      <c r="J1624">
        <v>78</v>
      </c>
      <c r="K1624">
        <v>0</v>
      </c>
      <c r="L1624">
        <v>11001</v>
      </c>
      <c r="M1624" t="s">
        <v>326</v>
      </c>
      <c r="N1624" t="str">
        <f>"20356559    "</f>
        <v xml:space="preserve">20356559    </v>
      </c>
      <c r="O1624">
        <v>230724</v>
      </c>
    </row>
    <row r="1625" spans="1:15" x14ac:dyDescent="0.25">
      <c r="A1625" t="s">
        <v>16</v>
      </c>
      <c r="B1625" t="s">
        <v>3221</v>
      </c>
      <c r="C1625">
        <v>10265</v>
      </c>
      <c r="D1625" t="s">
        <v>710</v>
      </c>
      <c r="E1625" t="s">
        <v>711</v>
      </c>
      <c r="F1625">
        <v>1210</v>
      </c>
      <c r="G1625">
        <v>230801</v>
      </c>
      <c r="H1625">
        <v>4400</v>
      </c>
      <c r="I1625" t="s">
        <v>348</v>
      </c>
      <c r="J1625">
        <v>1210</v>
      </c>
      <c r="K1625">
        <v>0</v>
      </c>
      <c r="L1625">
        <v>11001</v>
      </c>
      <c r="M1625" t="s">
        <v>326</v>
      </c>
      <c r="N1625" t="str">
        <f>"20356886    "</f>
        <v xml:space="preserve">20356886    </v>
      </c>
      <c r="O1625">
        <v>230814</v>
      </c>
    </row>
    <row r="1626" spans="1:15" x14ac:dyDescent="0.25">
      <c r="A1626" t="s">
        <v>16</v>
      </c>
      <c r="B1626" t="s">
        <v>3221</v>
      </c>
      <c r="C1626">
        <v>14640</v>
      </c>
      <c r="D1626" t="s">
        <v>710</v>
      </c>
      <c r="E1626" t="s">
        <v>711</v>
      </c>
      <c r="F1626">
        <v>126</v>
      </c>
      <c r="G1626">
        <v>231025</v>
      </c>
      <c r="H1626">
        <v>4400</v>
      </c>
      <c r="I1626" t="s">
        <v>348</v>
      </c>
      <c r="J1626">
        <v>126</v>
      </c>
      <c r="K1626">
        <v>0</v>
      </c>
      <c r="L1626">
        <v>11001</v>
      </c>
      <c r="M1626" t="s">
        <v>326</v>
      </c>
      <c r="N1626" t="str">
        <f>"20358578    "</f>
        <v xml:space="preserve">20358578    </v>
      </c>
      <c r="O1626">
        <v>231031</v>
      </c>
    </row>
    <row r="1627" spans="1:15" x14ac:dyDescent="0.25">
      <c r="A1627" t="s">
        <v>16</v>
      </c>
      <c r="B1627" t="s">
        <v>3221</v>
      </c>
      <c r="C1627">
        <v>749</v>
      </c>
      <c r="D1627" t="s">
        <v>710</v>
      </c>
      <c r="E1627" t="s">
        <v>711</v>
      </c>
      <c r="F1627">
        <v>2852</v>
      </c>
      <c r="G1627">
        <v>230125</v>
      </c>
      <c r="H1627">
        <v>4840</v>
      </c>
      <c r="I1627" t="s">
        <v>19</v>
      </c>
      <c r="J1627">
        <v>2852</v>
      </c>
      <c r="K1627">
        <v>0</v>
      </c>
      <c r="L1627">
        <v>11001</v>
      </c>
      <c r="M1627" t="s">
        <v>326</v>
      </c>
      <c r="N1627" t="str">
        <f>"7592891     "</f>
        <v xml:space="preserve">7592891     </v>
      </c>
      <c r="O1627">
        <v>230130</v>
      </c>
    </row>
    <row r="1628" spans="1:15" x14ac:dyDescent="0.25">
      <c r="A1628" t="s">
        <v>16</v>
      </c>
      <c r="B1628" t="s">
        <v>3221</v>
      </c>
      <c r="C1628">
        <v>2631</v>
      </c>
      <c r="D1628" t="s">
        <v>710</v>
      </c>
      <c r="E1628" t="s">
        <v>711</v>
      </c>
      <c r="F1628">
        <v>2852</v>
      </c>
      <c r="G1628">
        <v>230224</v>
      </c>
      <c r="H1628">
        <v>4840</v>
      </c>
      <c r="I1628" t="s">
        <v>19</v>
      </c>
      <c r="J1628">
        <v>2852</v>
      </c>
      <c r="K1628">
        <v>0</v>
      </c>
      <c r="L1628">
        <v>11001</v>
      </c>
      <c r="M1628" t="s">
        <v>326</v>
      </c>
      <c r="N1628" t="str">
        <f>"7592916     "</f>
        <v xml:space="preserve">7592916     </v>
      </c>
      <c r="O1628">
        <v>230303</v>
      </c>
    </row>
    <row r="1629" spans="1:15" x14ac:dyDescent="0.25">
      <c r="A1629" t="s">
        <v>16</v>
      </c>
      <c r="B1629" t="s">
        <v>3221</v>
      </c>
      <c r="C1629">
        <v>4181</v>
      </c>
      <c r="D1629" t="s">
        <v>710</v>
      </c>
      <c r="E1629" t="s">
        <v>711</v>
      </c>
      <c r="F1629">
        <v>2852</v>
      </c>
      <c r="G1629">
        <v>230327</v>
      </c>
      <c r="H1629">
        <v>4840</v>
      </c>
      <c r="I1629" t="s">
        <v>19</v>
      </c>
      <c r="J1629">
        <v>2852</v>
      </c>
      <c r="K1629">
        <v>0</v>
      </c>
      <c r="L1629">
        <v>11001</v>
      </c>
      <c r="M1629" t="s">
        <v>326</v>
      </c>
      <c r="N1629" t="str">
        <f>"7592933     "</f>
        <v xml:space="preserve">7592933     </v>
      </c>
      <c r="O1629">
        <v>230331</v>
      </c>
    </row>
    <row r="1630" spans="1:15" x14ac:dyDescent="0.25">
      <c r="A1630" t="s">
        <v>16</v>
      </c>
      <c r="B1630" t="s">
        <v>3221</v>
      </c>
      <c r="C1630">
        <v>7411</v>
      </c>
      <c r="D1630" t="s">
        <v>710</v>
      </c>
      <c r="E1630" t="s">
        <v>711</v>
      </c>
      <c r="F1630">
        <v>2852</v>
      </c>
      <c r="G1630">
        <v>230525</v>
      </c>
      <c r="H1630">
        <v>4840</v>
      </c>
      <c r="I1630" t="s">
        <v>19</v>
      </c>
      <c r="J1630">
        <v>2852</v>
      </c>
      <c r="K1630">
        <v>0</v>
      </c>
      <c r="L1630">
        <v>11001</v>
      </c>
      <c r="M1630" t="s">
        <v>326</v>
      </c>
      <c r="N1630" t="str">
        <f>"7592992     "</f>
        <v xml:space="preserve">7592992     </v>
      </c>
      <c r="O1630">
        <v>230530</v>
      </c>
    </row>
    <row r="1631" spans="1:15" x14ac:dyDescent="0.25">
      <c r="A1631" t="s">
        <v>16</v>
      </c>
      <c r="B1631" t="s">
        <v>3221</v>
      </c>
      <c r="C1631">
        <v>9522</v>
      </c>
      <c r="D1631" t="s">
        <v>710</v>
      </c>
      <c r="E1631" t="s">
        <v>711</v>
      </c>
      <c r="F1631">
        <v>2852</v>
      </c>
      <c r="G1631">
        <v>230626</v>
      </c>
      <c r="H1631">
        <v>4840</v>
      </c>
      <c r="I1631" t="s">
        <v>19</v>
      </c>
      <c r="J1631">
        <v>2852</v>
      </c>
      <c r="K1631">
        <v>0</v>
      </c>
      <c r="L1631">
        <v>11001</v>
      </c>
      <c r="M1631" t="s">
        <v>326</v>
      </c>
      <c r="N1631" t="str">
        <f>"7593032     "</f>
        <v xml:space="preserve">7593032     </v>
      </c>
      <c r="O1631">
        <v>230713</v>
      </c>
    </row>
    <row r="1632" spans="1:15" x14ac:dyDescent="0.25">
      <c r="A1632" t="s">
        <v>16</v>
      </c>
      <c r="B1632" t="s">
        <v>3221</v>
      </c>
      <c r="C1632">
        <v>9971</v>
      </c>
      <c r="D1632" t="s">
        <v>710</v>
      </c>
      <c r="E1632" t="s">
        <v>711</v>
      </c>
      <c r="F1632">
        <v>2852</v>
      </c>
      <c r="G1632">
        <v>230727</v>
      </c>
      <c r="H1632">
        <v>4840</v>
      </c>
      <c r="I1632" t="s">
        <v>19</v>
      </c>
      <c r="J1632">
        <v>2852</v>
      </c>
      <c r="K1632">
        <v>0</v>
      </c>
      <c r="L1632">
        <v>11001</v>
      </c>
      <c r="M1632" t="s">
        <v>326</v>
      </c>
      <c r="N1632" t="str">
        <f>"7593060     "</f>
        <v xml:space="preserve">7593060     </v>
      </c>
      <c r="O1632">
        <v>230803</v>
      </c>
    </row>
    <row r="1633" spans="1:15" x14ac:dyDescent="0.25">
      <c r="A1633" t="s">
        <v>16</v>
      </c>
      <c r="B1633" t="s">
        <v>3221</v>
      </c>
      <c r="C1633">
        <v>1073</v>
      </c>
      <c r="D1633" t="s">
        <v>856</v>
      </c>
      <c r="E1633" t="s">
        <v>857</v>
      </c>
      <c r="F1633">
        <v>726.6</v>
      </c>
      <c r="G1633">
        <v>230125</v>
      </c>
      <c r="H1633">
        <v>4400</v>
      </c>
      <c r="I1633" t="s">
        <v>348</v>
      </c>
      <c r="J1633">
        <v>900.99</v>
      </c>
      <c r="K1633">
        <v>174.39</v>
      </c>
      <c r="L1633">
        <v>49501</v>
      </c>
      <c r="M1633" t="s">
        <v>177</v>
      </c>
      <c r="N1633" t="str">
        <f>"102870      "</f>
        <v xml:space="preserve">102870      </v>
      </c>
      <c r="O1633">
        <v>230203</v>
      </c>
    </row>
    <row r="1634" spans="1:15" x14ac:dyDescent="0.25">
      <c r="A1634" t="s">
        <v>16</v>
      </c>
      <c r="B1634" t="s">
        <v>3221</v>
      </c>
      <c r="C1634">
        <v>17480</v>
      </c>
      <c r="D1634" t="s">
        <v>856</v>
      </c>
      <c r="E1634" t="s">
        <v>857</v>
      </c>
      <c r="F1634">
        <v>3.54</v>
      </c>
      <c r="G1634">
        <v>231208</v>
      </c>
      <c r="H1634">
        <v>4600</v>
      </c>
      <c r="I1634" t="s">
        <v>105</v>
      </c>
      <c r="J1634">
        <v>4.3899999999999997</v>
      </c>
      <c r="K1634">
        <v>0.85</v>
      </c>
      <c r="L1634">
        <v>47522</v>
      </c>
      <c r="M1634" t="s">
        <v>410</v>
      </c>
      <c r="N1634" t="str">
        <f>"103596      "</f>
        <v xml:space="preserve">103596      </v>
      </c>
      <c r="O1634">
        <v>231214</v>
      </c>
    </row>
    <row r="1635" spans="1:15" x14ac:dyDescent="0.25">
      <c r="A1635" t="s">
        <v>16</v>
      </c>
      <c r="B1635" t="s">
        <v>3221</v>
      </c>
      <c r="C1635">
        <v>11252</v>
      </c>
      <c r="D1635" t="s">
        <v>1894</v>
      </c>
      <c r="E1635" t="s">
        <v>1895</v>
      </c>
      <c r="F1635">
        <v>225.81</v>
      </c>
      <c r="G1635">
        <v>230831</v>
      </c>
      <c r="H1635">
        <v>4400</v>
      </c>
      <c r="I1635" t="s">
        <v>348</v>
      </c>
      <c r="J1635">
        <v>280</v>
      </c>
      <c r="K1635">
        <v>54.19</v>
      </c>
      <c r="L1635">
        <v>17737</v>
      </c>
      <c r="M1635" t="s">
        <v>279</v>
      </c>
      <c r="N1635" t="str">
        <f>"212503      "</f>
        <v xml:space="preserve">212503      </v>
      </c>
      <c r="O1635">
        <v>230904</v>
      </c>
    </row>
    <row r="1636" spans="1:15" x14ac:dyDescent="0.25">
      <c r="A1636" t="s">
        <v>16</v>
      </c>
      <c r="B1636" t="s">
        <v>3221</v>
      </c>
      <c r="C1636">
        <v>14879</v>
      </c>
      <c r="D1636" t="s">
        <v>1894</v>
      </c>
      <c r="E1636" t="s">
        <v>1895</v>
      </c>
      <c r="F1636">
        <v>1532.26</v>
      </c>
      <c r="G1636">
        <v>231031</v>
      </c>
      <c r="H1636">
        <v>4400</v>
      </c>
      <c r="I1636" t="s">
        <v>348</v>
      </c>
      <c r="J1636">
        <v>1900</v>
      </c>
      <c r="K1636">
        <v>367.74</v>
      </c>
      <c r="L1636">
        <v>17808</v>
      </c>
      <c r="M1636" t="s">
        <v>322</v>
      </c>
      <c r="N1636" t="str">
        <f>"212785      "</f>
        <v xml:space="preserve">212785      </v>
      </c>
      <c r="O1636">
        <v>231107</v>
      </c>
    </row>
    <row r="1637" spans="1:15" x14ac:dyDescent="0.25">
      <c r="A1637" t="s">
        <v>16</v>
      </c>
      <c r="B1637" t="s">
        <v>3221</v>
      </c>
      <c r="C1637">
        <v>5726</v>
      </c>
      <c r="D1637" t="s">
        <v>1894</v>
      </c>
      <c r="E1637" t="s">
        <v>1895</v>
      </c>
      <c r="F1637">
        <v>48.39</v>
      </c>
      <c r="G1637">
        <v>230427</v>
      </c>
      <c r="H1637">
        <v>4555</v>
      </c>
      <c r="I1637" t="s">
        <v>481</v>
      </c>
      <c r="J1637">
        <v>60</v>
      </c>
      <c r="K1637">
        <v>11.61</v>
      </c>
      <c r="L1637">
        <v>17711</v>
      </c>
      <c r="M1637" t="s">
        <v>65</v>
      </c>
      <c r="N1637" t="str">
        <f>"211918      "</f>
        <v xml:space="preserve">211918      </v>
      </c>
      <c r="O1637">
        <v>230502</v>
      </c>
    </row>
    <row r="1638" spans="1:15" x14ac:dyDescent="0.25">
      <c r="A1638" t="s">
        <v>16</v>
      </c>
      <c r="B1638" t="s">
        <v>3221</v>
      </c>
      <c r="C1638">
        <v>5958</v>
      </c>
      <c r="D1638" t="s">
        <v>1838</v>
      </c>
      <c r="E1638" t="s">
        <v>1839</v>
      </c>
      <c r="F1638">
        <v>1313</v>
      </c>
      <c r="G1638">
        <v>230503</v>
      </c>
      <c r="H1638">
        <v>4400</v>
      </c>
      <c r="I1638" t="s">
        <v>348</v>
      </c>
      <c r="J1638">
        <v>1313</v>
      </c>
      <c r="K1638">
        <v>0</v>
      </c>
      <c r="L1638">
        <v>59504</v>
      </c>
      <c r="M1638" t="s">
        <v>71</v>
      </c>
      <c r="N1638" t="str">
        <f>"1001024409  "</f>
        <v xml:space="preserve">1001024409  </v>
      </c>
      <c r="O1638">
        <v>230504</v>
      </c>
    </row>
    <row r="1639" spans="1:15" x14ac:dyDescent="0.25">
      <c r="A1639" t="s">
        <v>16</v>
      </c>
      <c r="B1639" t="s">
        <v>3221</v>
      </c>
      <c r="C1639">
        <v>12061</v>
      </c>
      <c r="D1639" t="s">
        <v>1838</v>
      </c>
      <c r="E1639" t="s">
        <v>1839</v>
      </c>
      <c r="F1639">
        <v>138</v>
      </c>
      <c r="G1639">
        <v>230911</v>
      </c>
      <c r="H1639">
        <v>4420</v>
      </c>
      <c r="I1639" t="s">
        <v>132</v>
      </c>
      <c r="J1639">
        <v>138</v>
      </c>
      <c r="K1639">
        <v>0</v>
      </c>
      <c r="L1639">
        <v>17951</v>
      </c>
      <c r="M1639" t="s">
        <v>87</v>
      </c>
      <c r="N1639" t="str">
        <f>"1001025110  "</f>
        <v xml:space="preserve">1001025110  </v>
      </c>
      <c r="O1639">
        <v>230913</v>
      </c>
    </row>
    <row r="1640" spans="1:15" x14ac:dyDescent="0.25">
      <c r="A1640" t="s">
        <v>16</v>
      </c>
      <c r="B1640" t="s">
        <v>3221</v>
      </c>
      <c r="C1640">
        <v>15010</v>
      </c>
      <c r="D1640" t="s">
        <v>1838</v>
      </c>
      <c r="E1640" t="s">
        <v>1839</v>
      </c>
      <c r="F1640">
        <v>138</v>
      </c>
      <c r="G1640">
        <v>231103</v>
      </c>
      <c r="H1640">
        <v>4420</v>
      </c>
      <c r="I1640" t="s">
        <v>132</v>
      </c>
      <c r="J1640">
        <v>138</v>
      </c>
      <c r="K1640">
        <v>0</v>
      </c>
      <c r="L1640">
        <v>17951</v>
      </c>
      <c r="M1640" t="s">
        <v>87</v>
      </c>
      <c r="N1640" t="str">
        <f>"1001025479  "</f>
        <v xml:space="preserve">1001025479  </v>
      </c>
      <c r="O1640">
        <v>231108</v>
      </c>
    </row>
    <row r="1641" spans="1:15" x14ac:dyDescent="0.25">
      <c r="A1641" t="s">
        <v>16</v>
      </c>
      <c r="B1641" t="s">
        <v>3221</v>
      </c>
      <c r="C1641">
        <v>12061</v>
      </c>
      <c r="D1641" t="s">
        <v>1838</v>
      </c>
      <c r="E1641" t="s">
        <v>1839</v>
      </c>
      <c r="F1641">
        <v>1386.74</v>
      </c>
      <c r="G1641">
        <v>230911</v>
      </c>
      <c r="H1641">
        <v>4380</v>
      </c>
      <c r="I1641" t="s">
        <v>113</v>
      </c>
      <c r="J1641">
        <v>1386.74</v>
      </c>
      <c r="K1641">
        <v>0</v>
      </c>
      <c r="L1641">
        <v>17951</v>
      </c>
      <c r="M1641" t="s">
        <v>87</v>
      </c>
      <c r="N1641" t="str">
        <f>"1001025110  "</f>
        <v xml:space="preserve">1001025110  </v>
      </c>
      <c r="O1641">
        <v>230913</v>
      </c>
    </row>
    <row r="1642" spans="1:15" x14ac:dyDescent="0.25">
      <c r="A1642" t="s">
        <v>16</v>
      </c>
      <c r="B1642" t="s">
        <v>3221</v>
      </c>
      <c r="C1642">
        <v>5382</v>
      </c>
      <c r="D1642" t="s">
        <v>1838</v>
      </c>
      <c r="E1642" t="s">
        <v>1839</v>
      </c>
      <c r="F1642">
        <v>1773.22</v>
      </c>
      <c r="G1642">
        <v>230420</v>
      </c>
      <c r="H1642">
        <v>4390</v>
      </c>
      <c r="I1642" t="s">
        <v>98</v>
      </c>
      <c r="J1642">
        <v>1773.22</v>
      </c>
      <c r="K1642">
        <v>0</v>
      </c>
      <c r="L1642">
        <v>59504</v>
      </c>
      <c r="M1642" t="s">
        <v>71</v>
      </c>
      <c r="N1642" t="str">
        <f>"1001024313  "</f>
        <v xml:space="preserve">1001024313  </v>
      </c>
      <c r="O1642">
        <v>230421</v>
      </c>
    </row>
    <row r="1643" spans="1:15" x14ac:dyDescent="0.25">
      <c r="A1643" t="s">
        <v>16</v>
      </c>
      <c r="B1643" t="s">
        <v>3221</v>
      </c>
      <c r="C1643">
        <v>15010</v>
      </c>
      <c r="D1643" t="s">
        <v>1838</v>
      </c>
      <c r="E1643" t="s">
        <v>1839</v>
      </c>
      <c r="F1643">
        <v>1417.74</v>
      </c>
      <c r="G1643">
        <v>231103</v>
      </c>
      <c r="H1643">
        <v>4390</v>
      </c>
      <c r="I1643" t="s">
        <v>98</v>
      </c>
      <c r="J1643">
        <v>1417.74</v>
      </c>
      <c r="K1643">
        <v>0</v>
      </c>
      <c r="L1643">
        <v>17951</v>
      </c>
      <c r="M1643" t="s">
        <v>87</v>
      </c>
      <c r="N1643" t="str">
        <f>"1001025479  "</f>
        <v xml:space="preserve">1001025479  </v>
      </c>
      <c r="O1643">
        <v>231108</v>
      </c>
    </row>
    <row r="1644" spans="1:15" x14ac:dyDescent="0.25">
      <c r="A1644" t="s">
        <v>16</v>
      </c>
      <c r="B1644" t="s">
        <v>3221</v>
      </c>
      <c r="C1644">
        <v>6239</v>
      </c>
      <c r="D1644" t="s">
        <v>1944</v>
      </c>
      <c r="E1644" t="s">
        <v>1945</v>
      </c>
      <c r="F1644">
        <v>81.819999999999993</v>
      </c>
      <c r="G1644">
        <v>230507</v>
      </c>
      <c r="H1644">
        <v>4510</v>
      </c>
      <c r="I1644" t="s">
        <v>42</v>
      </c>
      <c r="J1644">
        <v>90</v>
      </c>
      <c r="K1644">
        <v>8.18</v>
      </c>
      <c r="L1644">
        <v>46555</v>
      </c>
      <c r="M1644" t="s">
        <v>597</v>
      </c>
      <c r="N1644" t="str">
        <f>"416941      "</f>
        <v xml:space="preserve">416941      </v>
      </c>
      <c r="O1644">
        <v>230509</v>
      </c>
    </row>
    <row r="1645" spans="1:15" x14ac:dyDescent="0.25">
      <c r="A1645" t="s">
        <v>16</v>
      </c>
      <c r="B1645" t="s">
        <v>3221</v>
      </c>
      <c r="C1645">
        <v>1755</v>
      </c>
      <c r="D1645" t="s">
        <v>3602</v>
      </c>
      <c r="E1645" t="s">
        <v>1179</v>
      </c>
      <c r="F1645">
        <v>68.180000000000007</v>
      </c>
      <c r="G1645">
        <v>230210</v>
      </c>
      <c r="H1645">
        <v>4510</v>
      </c>
      <c r="I1645" t="s">
        <v>42</v>
      </c>
      <c r="J1645">
        <v>75</v>
      </c>
      <c r="K1645">
        <v>6.82</v>
      </c>
      <c r="L1645">
        <v>17802</v>
      </c>
      <c r="M1645" t="s">
        <v>174</v>
      </c>
      <c r="N1645" t="str">
        <f>"07000076    "</f>
        <v xml:space="preserve">07000076    </v>
      </c>
      <c r="O1645">
        <v>230213</v>
      </c>
    </row>
    <row r="1646" spans="1:15" x14ac:dyDescent="0.25">
      <c r="A1646" t="s">
        <v>16</v>
      </c>
      <c r="B1646" t="s">
        <v>3221</v>
      </c>
      <c r="C1646">
        <v>9309</v>
      </c>
      <c r="D1646" t="s">
        <v>3602</v>
      </c>
      <c r="E1646" t="s">
        <v>1179</v>
      </c>
      <c r="F1646">
        <v>136.36000000000001</v>
      </c>
      <c r="G1646">
        <v>230703</v>
      </c>
      <c r="H1646">
        <v>4510</v>
      </c>
      <c r="I1646" t="s">
        <v>42</v>
      </c>
      <c r="J1646">
        <v>150</v>
      </c>
      <c r="K1646">
        <v>13.64</v>
      </c>
      <c r="L1646">
        <v>17802</v>
      </c>
      <c r="M1646" t="s">
        <v>174</v>
      </c>
      <c r="N1646" t="str">
        <f>"07000375    "</f>
        <v xml:space="preserve">07000375    </v>
      </c>
      <c r="O1646">
        <v>230705</v>
      </c>
    </row>
    <row r="1647" spans="1:15" x14ac:dyDescent="0.25">
      <c r="A1647" t="s">
        <v>16</v>
      </c>
      <c r="B1647" t="s">
        <v>3221</v>
      </c>
      <c r="C1647">
        <v>980</v>
      </c>
      <c r="D1647" t="s">
        <v>3619</v>
      </c>
      <c r="E1647" t="s">
        <v>3346</v>
      </c>
      <c r="F1647">
        <v>13600</v>
      </c>
      <c r="G1647">
        <v>230127</v>
      </c>
      <c r="H1647">
        <v>4440</v>
      </c>
      <c r="I1647" t="s">
        <v>250</v>
      </c>
      <c r="J1647">
        <v>16864</v>
      </c>
      <c r="K1647">
        <v>3264</v>
      </c>
      <c r="L1647">
        <v>18820</v>
      </c>
      <c r="M1647" t="s">
        <v>1571</v>
      </c>
      <c r="N1647" t="str">
        <f>"41000726    "</f>
        <v xml:space="preserve">41000726    </v>
      </c>
      <c r="O1647">
        <v>230202</v>
      </c>
    </row>
    <row r="1648" spans="1:15" x14ac:dyDescent="0.25">
      <c r="A1648" t="s">
        <v>16</v>
      </c>
      <c r="B1648" t="s">
        <v>3221</v>
      </c>
      <c r="C1648">
        <v>2305</v>
      </c>
      <c r="D1648" t="s">
        <v>3619</v>
      </c>
      <c r="E1648" t="s">
        <v>3346</v>
      </c>
      <c r="F1648">
        <v>964</v>
      </c>
      <c r="G1648">
        <v>230217</v>
      </c>
      <c r="H1648">
        <v>4440</v>
      </c>
      <c r="I1648" t="s">
        <v>250</v>
      </c>
      <c r="J1648">
        <v>964</v>
      </c>
      <c r="K1648">
        <v>0</v>
      </c>
      <c r="L1648">
        <v>18120</v>
      </c>
      <c r="M1648" t="s">
        <v>329</v>
      </c>
      <c r="N1648" t="str">
        <f>"41000737    "</f>
        <v xml:space="preserve">41000737    </v>
      </c>
      <c r="O1648">
        <v>230224</v>
      </c>
    </row>
    <row r="1649" spans="1:15" x14ac:dyDescent="0.25">
      <c r="A1649" t="s">
        <v>16</v>
      </c>
      <c r="B1649" t="s">
        <v>3221</v>
      </c>
      <c r="C1649">
        <v>2308</v>
      </c>
      <c r="D1649" t="s">
        <v>3619</v>
      </c>
      <c r="E1649" t="s">
        <v>3346</v>
      </c>
      <c r="F1649">
        <v>9455</v>
      </c>
      <c r="G1649">
        <v>230217</v>
      </c>
      <c r="H1649">
        <v>4440</v>
      </c>
      <c r="I1649" t="s">
        <v>250</v>
      </c>
      <c r="J1649">
        <v>9455</v>
      </c>
      <c r="K1649">
        <v>0</v>
      </c>
      <c r="L1649">
        <v>18820</v>
      </c>
      <c r="M1649" t="s">
        <v>1571</v>
      </c>
      <c r="N1649" t="str">
        <f>"41000739    "</f>
        <v xml:space="preserve">41000739    </v>
      </c>
      <c r="O1649">
        <v>230224</v>
      </c>
    </row>
    <row r="1650" spans="1:15" x14ac:dyDescent="0.25">
      <c r="A1650" t="s">
        <v>16</v>
      </c>
      <c r="B1650" t="s">
        <v>3221</v>
      </c>
      <c r="C1650">
        <v>4038</v>
      </c>
      <c r="D1650" t="s">
        <v>3619</v>
      </c>
      <c r="E1650" t="s">
        <v>3346</v>
      </c>
      <c r="F1650">
        <v>1063.3399999999999</v>
      </c>
      <c r="G1650">
        <v>230323</v>
      </c>
      <c r="H1650">
        <v>4440</v>
      </c>
      <c r="I1650" t="s">
        <v>250</v>
      </c>
      <c r="J1650">
        <v>1063.3399999999999</v>
      </c>
      <c r="K1650">
        <v>0</v>
      </c>
      <c r="L1650">
        <v>18120</v>
      </c>
      <c r="M1650" t="s">
        <v>329</v>
      </c>
      <c r="N1650" t="str">
        <f>"41000758    "</f>
        <v xml:space="preserve">41000758    </v>
      </c>
      <c r="O1650">
        <v>230329</v>
      </c>
    </row>
    <row r="1651" spans="1:15" x14ac:dyDescent="0.25">
      <c r="A1651" t="s">
        <v>16</v>
      </c>
      <c r="B1651" t="s">
        <v>3221</v>
      </c>
      <c r="C1651">
        <v>4039</v>
      </c>
      <c r="D1651" t="s">
        <v>3619</v>
      </c>
      <c r="E1651" t="s">
        <v>3346</v>
      </c>
      <c r="F1651">
        <v>8820</v>
      </c>
      <c r="G1651">
        <v>230327</v>
      </c>
      <c r="H1651">
        <v>4440</v>
      </c>
      <c r="I1651" t="s">
        <v>250</v>
      </c>
      <c r="J1651">
        <v>8820</v>
      </c>
      <c r="K1651">
        <v>0</v>
      </c>
      <c r="L1651">
        <v>18120</v>
      </c>
      <c r="M1651" t="s">
        <v>329</v>
      </c>
      <c r="N1651" t="str">
        <f>"41000770    "</f>
        <v xml:space="preserve">41000770    </v>
      </c>
      <c r="O1651">
        <v>230329</v>
      </c>
    </row>
    <row r="1652" spans="1:15" x14ac:dyDescent="0.25">
      <c r="A1652" t="s">
        <v>16</v>
      </c>
      <c r="B1652" t="s">
        <v>3221</v>
      </c>
      <c r="C1652">
        <v>4040</v>
      </c>
      <c r="D1652" t="s">
        <v>3619</v>
      </c>
      <c r="E1652" t="s">
        <v>3346</v>
      </c>
      <c r="F1652">
        <v>580</v>
      </c>
      <c r="G1652">
        <v>230327</v>
      </c>
      <c r="H1652">
        <v>4440</v>
      </c>
      <c r="I1652" t="s">
        <v>250</v>
      </c>
      <c r="J1652">
        <v>580</v>
      </c>
      <c r="K1652">
        <v>0</v>
      </c>
      <c r="L1652">
        <v>18120</v>
      </c>
      <c r="M1652" t="s">
        <v>329</v>
      </c>
      <c r="N1652" t="str">
        <f>"41000769    "</f>
        <v xml:space="preserve">41000769    </v>
      </c>
      <c r="O1652">
        <v>230329</v>
      </c>
    </row>
    <row r="1653" spans="1:15" x14ac:dyDescent="0.25">
      <c r="A1653" t="s">
        <v>16</v>
      </c>
      <c r="B1653" t="s">
        <v>3221</v>
      </c>
      <c r="C1653">
        <v>4041</v>
      </c>
      <c r="D1653" t="s">
        <v>3619</v>
      </c>
      <c r="E1653" t="s">
        <v>3346</v>
      </c>
      <c r="F1653">
        <v>12760</v>
      </c>
      <c r="G1653">
        <v>230327</v>
      </c>
      <c r="H1653">
        <v>4440</v>
      </c>
      <c r="I1653" t="s">
        <v>250</v>
      </c>
      <c r="J1653">
        <v>12760</v>
      </c>
      <c r="K1653">
        <v>0</v>
      </c>
      <c r="L1653">
        <v>18120</v>
      </c>
      <c r="M1653" t="s">
        <v>329</v>
      </c>
      <c r="N1653" t="str">
        <f>"41000768    "</f>
        <v xml:space="preserve">41000768    </v>
      </c>
      <c r="O1653">
        <v>230329</v>
      </c>
    </row>
    <row r="1654" spans="1:15" x14ac:dyDescent="0.25">
      <c r="A1654" t="s">
        <v>16</v>
      </c>
      <c r="B1654" t="s">
        <v>3221</v>
      </c>
      <c r="C1654">
        <v>4098</v>
      </c>
      <c r="D1654" t="s">
        <v>3619</v>
      </c>
      <c r="E1654" t="s">
        <v>3346</v>
      </c>
      <c r="F1654">
        <v>5390</v>
      </c>
      <c r="G1654">
        <v>230327</v>
      </c>
      <c r="H1654">
        <v>4440</v>
      </c>
      <c r="I1654" t="s">
        <v>250</v>
      </c>
      <c r="J1654">
        <v>5390</v>
      </c>
      <c r="K1654">
        <v>0</v>
      </c>
      <c r="L1654">
        <v>18120</v>
      </c>
      <c r="M1654" t="s">
        <v>329</v>
      </c>
      <c r="N1654" t="str">
        <f>"41000767    "</f>
        <v xml:space="preserve">41000767    </v>
      </c>
      <c r="O1654">
        <v>230330</v>
      </c>
    </row>
    <row r="1655" spans="1:15" x14ac:dyDescent="0.25">
      <c r="A1655" t="s">
        <v>16</v>
      </c>
      <c r="B1655" t="s">
        <v>3221</v>
      </c>
      <c r="C1655">
        <v>4206</v>
      </c>
      <c r="D1655" t="s">
        <v>3619</v>
      </c>
      <c r="E1655" t="s">
        <v>3346</v>
      </c>
      <c r="F1655">
        <v>5797</v>
      </c>
      <c r="G1655">
        <v>230328</v>
      </c>
      <c r="H1655">
        <v>4440</v>
      </c>
      <c r="I1655" t="s">
        <v>250</v>
      </c>
      <c r="J1655">
        <v>5797</v>
      </c>
      <c r="K1655">
        <v>0</v>
      </c>
      <c r="L1655">
        <v>18820</v>
      </c>
      <c r="M1655" t="s">
        <v>1571</v>
      </c>
      <c r="N1655" t="str">
        <f>"41000777    "</f>
        <v xml:space="preserve">41000777    </v>
      </c>
      <c r="O1655">
        <v>230331</v>
      </c>
    </row>
    <row r="1656" spans="1:15" x14ac:dyDescent="0.25">
      <c r="A1656" t="s">
        <v>16</v>
      </c>
      <c r="B1656" t="s">
        <v>3221</v>
      </c>
      <c r="C1656">
        <v>4246</v>
      </c>
      <c r="D1656" t="s">
        <v>3619</v>
      </c>
      <c r="E1656" t="s">
        <v>3346</v>
      </c>
      <c r="F1656">
        <v>8033.33</v>
      </c>
      <c r="G1656">
        <v>230329</v>
      </c>
      <c r="H1656">
        <v>4440</v>
      </c>
      <c r="I1656" t="s">
        <v>250</v>
      </c>
      <c r="J1656">
        <v>8033.33</v>
      </c>
      <c r="K1656">
        <v>0</v>
      </c>
      <c r="L1656">
        <v>18120</v>
      </c>
      <c r="M1656" t="s">
        <v>329</v>
      </c>
      <c r="N1656" t="str">
        <f>"41000782    "</f>
        <v xml:space="preserve">41000782    </v>
      </c>
      <c r="O1656">
        <v>230403</v>
      </c>
    </row>
    <row r="1657" spans="1:15" x14ac:dyDescent="0.25">
      <c r="A1657" t="s">
        <v>16</v>
      </c>
      <c r="B1657" t="s">
        <v>3221</v>
      </c>
      <c r="C1657">
        <v>4825</v>
      </c>
      <c r="D1657" t="s">
        <v>3619</v>
      </c>
      <c r="E1657" t="s">
        <v>3346</v>
      </c>
      <c r="F1657">
        <v>386.66</v>
      </c>
      <c r="G1657">
        <v>230331</v>
      </c>
      <c r="H1657">
        <v>4440</v>
      </c>
      <c r="I1657" t="s">
        <v>250</v>
      </c>
      <c r="J1657">
        <v>386.66</v>
      </c>
      <c r="K1657">
        <v>0</v>
      </c>
      <c r="L1657">
        <v>18120</v>
      </c>
      <c r="M1657" t="s">
        <v>329</v>
      </c>
      <c r="N1657" t="str">
        <f>"41000786    "</f>
        <v xml:space="preserve">41000786    </v>
      </c>
      <c r="O1657">
        <v>230413</v>
      </c>
    </row>
    <row r="1658" spans="1:15" x14ac:dyDescent="0.25">
      <c r="A1658" t="s">
        <v>16</v>
      </c>
      <c r="B1658" t="s">
        <v>3221</v>
      </c>
      <c r="C1658">
        <v>4826</v>
      </c>
      <c r="D1658" t="s">
        <v>3619</v>
      </c>
      <c r="E1658" t="s">
        <v>3346</v>
      </c>
      <c r="F1658">
        <v>9909.9599999999991</v>
      </c>
      <c r="G1658">
        <v>230331</v>
      </c>
      <c r="H1658">
        <v>4440</v>
      </c>
      <c r="I1658" t="s">
        <v>250</v>
      </c>
      <c r="J1658">
        <v>9909.9599999999991</v>
      </c>
      <c r="K1658">
        <v>0</v>
      </c>
      <c r="L1658">
        <v>18120</v>
      </c>
      <c r="M1658" t="s">
        <v>329</v>
      </c>
      <c r="N1658" t="str">
        <f>"41000785    "</f>
        <v xml:space="preserve">41000785    </v>
      </c>
      <c r="O1658">
        <v>230413</v>
      </c>
    </row>
    <row r="1659" spans="1:15" x14ac:dyDescent="0.25">
      <c r="A1659" t="s">
        <v>16</v>
      </c>
      <c r="B1659" t="s">
        <v>3221</v>
      </c>
      <c r="C1659">
        <v>8562</v>
      </c>
      <c r="D1659" t="s">
        <v>3619</v>
      </c>
      <c r="E1659" t="s">
        <v>3346</v>
      </c>
      <c r="F1659">
        <v>12760</v>
      </c>
      <c r="G1659">
        <v>230605</v>
      </c>
      <c r="H1659">
        <v>4440</v>
      </c>
      <c r="I1659" t="s">
        <v>250</v>
      </c>
      <c r="J1659">
        <v>12760</v>
      </c>
      <c r="K1659">
        <v>0</v>
      </c>
      <c r="L1659">
        <v>18120</v>
      </c>
      <c r="M1659" t="s">
        <v>329</v>
      </c>
      <c r="N1659" t="str">
        <f>"41000847    "</f>
        <v xml:space="preserve">41000847    </v>
      </c>
      <c r="O1659">
        <v>230612</v>
      </c>
    </row>
    <row r="1660" spans="1:15" x14ac:dyDescent="0.25">
      <c r="A1660" t="s">
        <v>16</v>
      </c>
      <c r="B1660" t="s">
        <v>3221</v>
      </c>
      <c r="C1660">
        <v>8564</v>
      </c>
      <c r="D1660" t="s">
        <v>3619</v>
      </c>
      <c r="E1660" t="s">
        <v>3346</v>
      </c>
      <c r="F1660">
        <v>4250</v>
      </c>
      <c r="G1660">
        <v>230605</v>
      </c>
      <c r="H1660">
        <v>4440</v>
      </c>
      <c r="I1660" t="s">
        <v>250</v>
      </c>
      <c r="J1660">
        <v>5270</v>
      </c>
      <c r="K1660">
        <v>1020</v>
      </c>
      <c r="L1660">
        <v>18820</v>
      </c>
      <c r="M1660" t="s">
        <v>1571</v>
      </c>
      <c r="N1660" t="str">
        <f>"41000848    "</f>
        <v xml:space="preserve">41000848    </v>
      </c>
      <c r="O1660">
        <v>230612</v>
      </c>
    </row>
    <row r="1661" spans="1:15" x14ac:dyDescent="0.25">
      <c r="A1661" t="s">
        <v>16</v>
      </c>
      <c r="B1661" t="s">
        <v>3221</v>
      </c>
      <c r="C1661">
        <v>8565</v>
      </c>
      <c r="D1661" t="s">
        <v>3619</v>
      </c>
      <c r="E1661" t="s">
        <v>3346</v>
      </c>
      <c r="F1661">
        <v>5800</v>
      </c>
      <c r="G1661">
        <v>230531</v>
      </c>
      <c r="H1661">
        <v>4440</v>
      </c>
      <c r="I1661" t="s">
        <v>250</v>
      </c>
      <c r="J1661">
        <v>5800</v>
      </c>
      <c r="K1661">
        <v>0</v>
      </c>
      <c r="L1661">
        <v>18120</v>
      </c>
      <c r="M1661" t="s">
        <v>329</v>
      </c>
      <c r="N1661" t="str">
        <f>"41000846    "</f>
        <v xml:space="preserve">41000846    </v>
      </c>
      <c r="O1661">
        <v>230612</v>
      </c>
    </row>
    <row r="1662" spans="1:15" x14ac:dyDescent="0.25">
      <c r="A1662" t="s">
        <v>16</v>
      </c>
      <c r="B1662" t="s">
        <v>3221</v>
      </c>
      <c r="C1662">
        <v>8566</v>
      </c>
      <c r="D1662" t="s">
        <v>3619</v>
      </c>
      <c r="E1662" t="s">
        <v>3346</v>
      </c>
      <c r="F1662">
        <v>964</v>
      </c>
      <c r="G1662">
        <v>230605</v>
      </c>
      <c r="H1662">
        <v>4440</v>
      </c>
      <c r="I1662" t="s">
        <v>250</v>
      </c>
      <c r="J1662">
        <v>964</v>
      </c>
      <c r="K1662">
        <v>0</v>
      </c>
      <c r="L1662">
        <v>18120</v>
      </c>
      <c r="M1662" t="s">
        <v>329</v>
      </c>
      <c r="N1662" t="str">
        <f>"41000851    "</f>
        <v xml:space="preserve">41000851    </v>
      </c>
      <c r="O1662">
        <v>230612</v>
      </c>
    </row>
    <row r="1663" spans="1:15" x14ac:dyDescent="0.25">
      <c r="A1663" t="s">
        <v>16</v>
      </c>
      <c r="B1663" t="s">
        <v>3221</v>
      </c>
      <c r="C1663">
        <v>8568</v>
      </c>
      <c r="D1663" t="s">
        <v>3619</v>
      </c>
      <c r="E1663" t="s">
        <v>3346</v>
      </c>
      <c r="F1663">
        <v>4736.67</v>
      </c>
      <c r="G1663">
        <v>230606</v>
      </c>
      <c r="H1663">
        <v>4440</v>
      </c>
      <c r="I1663" t="s">
        <v>250</v>
      </c>
      <c r="J1663">
        <v>4736.67</v>
      </c>
      <c r="K1663">
        <v>0</v>
      </c>
      <c r="L1663">
        <v>18120</v>
      </c>
      <c r="M1663" t="s">
        <v>329</v>
      </c>
      <c r="N1663" t="str">
        <f>"41000854    "</f>
        <v xml:space="preserve">41000854    </v>
      </c>
      <c r="O1663">
        <v>230612</v>
      </c>
    </row>
    <row r="1664" spans="1:15" x14ac:dyDescent="0.25">
      <c r="A1664" t="s">
        <v>16</v>
      </c>
      <c r="B1664" t="s">
        <v>3221</v>
      </c>
      <c r="C1664">
        <v>8598</v>
      </c>
      <c r="D1664" t="s">
        <v>3619</v>
      </c>
      <c r="E1664" t="s">
        <v>3346</v>
      </c>
      <c r="F1664">
        <v>8003.33</v>
      </c>
      <c r="G1664">
        <v>230606</v>
      </c>
      <c r="H1664">
        <v>4440</v>
      </c>
      <c r="I1664" t="s">
        <v>250</v>
      </c>
      <c r="J1664">
        <v>8003.33</v>
      </c>
      <c r="K1664">
        <v>0</v>
      </c>
      <c r="L1664">
        <v>18120</v>
      </c>
      <c r="M1664" t="s">
        <v>329</v>
      </c>
      <c r="N1664" t="str">
        <f>"41000856    "</f>
        <v xml:space="preserve">41000856    </v>
      </c>
      <c r="O1664">
        <v>230612</v>
      </c>
    </row>
    <row r="1665" spans="1:15" x14ac:dyDescent="0.25">
      <c r="A1665" t="s">
        <v>16</v>
      </c>
      <c r="B1665" t="s">
        <v>3221</v>
      </c>
      <c r="C1665">
        <v>8599</v>
      </c>
      <c r="D1665" t="s">
        <v>3619</v>
      </c>
      <c r="E1665" t="s">
        <v>3346</v>
      </c>
      <c r="F1665">
        <v>1160</v>
      </c>
      <c r="G1665">
        <v>230531</v>
      </c>
      <c r="H1665">
        <v>4440</v>
      </c>
      <c r="I1665" t="s">
        <v>250</v>
      </c>
      <c r="J1665">
        <v>1160</v>
      </c>
      <c r="K1665">
        <v>0</v>
      </c>
      <c r="L1665">
        <v>18120</v>
      </c>
      <c r="M1665" t="s">
        <v>329</v>
      </c>
      <c r="N1665" t="str">
        <f>"41000857    "</f>
        <v xml:space="preserve">41000857    </v>
      </c>
      <c r="O1665">
        <v>230612</v>
      </c>
    </row>
    <row r="1666" spans="1:15" x14ac:dyDescent="0.25">
      <c r="A1666" t="s">
        <v>16</v>
      </c>
      <c r="B1666" t="s">
        <v>3221</v>
      </c>
      <c r="C1666">
        <v>8600</v>
      </c>
      <c r="D1666" t="s">
        <v>3619</v>
      </c>
      <c r="E1666" t="s">
        <v>3346</v>
      </c>
      <c r="F1666">
        <v>7230</v>
      </c>
      <c r="G1666">
        <v>230606</v>
      </c>
      <c r="H1666">
        <v>4440</v>
      </c>
      <c r="I1666" t="s">
        <v>250</v>
      </c>
      <c r="J1666">
        <v>7230</v>
      </c>
      <c r="K1666">
        <v>0</v>
      </c>
      <c r="L1666">
        <v>18120</v>
      </c>
      <c r="M1666" t="s">
        <v>329</v>
      </c>
      <c r="N1666" t="str">
        <f>"41000859    "</f>
        <v xml:space="preserve">41000859    </v>
      </c>
      <c r="O1666">
        <v>230612</v>
      </c>
    </row>
    <row r="1667" spans="1:15" x14ac:dyDescent="0.25">
      <c r="A1667" t="s">
        <v>16</v>
      </c>
      <c r="B1667" t="s">
        <v>3221</v>
      </c>
      <c r="C1667">
        <v>11301</v>
      </c>
      <c r="D1667" t="s">
        <v>3619</v>
      </c>
      <c r="E1667" t="s">
        <v>3346</v>
      </c>
      <c r="F1667">
        <v>1250</v>
      </c>
      <c r="G1667">
        <v>230830</v>
      </c>
      <c r="H1667">
        <v>4440</v>
      </c>
      <c r="I1667" t="s">
        <v>250</v>
      </c>
      <c r="J1667">
        <v>1550</v>
      </c>
      <c r="K1667">
        <v>300</v>
      </c>
      <c r="L1667">
        <v>18820</v>
      </c>
      <c r="M1667" t="s">
        <v>1571</v>
      </c>
      <c r="N1667" t="str">
        <f>"41000935    "</f>
        <v xml:space="preserve">41000935    </v>
      </c>
      <c r="O1667">
        <v>230904</v>
      </c>
    </row>
    <row r="1668" spans="1:15" x14ac:dyDescent="0.25">
      <c r="A1668" t="s">
        <v>16</v>
      </c>
      <c r="B1668" t="s">
        <v>3221</v>
      </c>
      <c r="C1668">
        <v>11844</v>
      </c>
      <c r="D1668" t="s">
        <v>3619</v>
      </c>
      <c r="E1668" t="s">
        <v>3346</v>
      </c>
      <c r="F1668">
        <v>4338</v>
      </c>
      <c r="G1668">
        <v>230831</v>
      </c>
      <c r="H1668">
        <v>4440</v>
      </c>
      <c r="I1668" t="s">
        <v>250</v>
      </c>
      <c r="J1668">
        <v>4338</v>
      </c>
      <c r="K1668">
        <v>0</v>
      </c>
      <c r="L1668">
        <v>18120</v>
      </c>
      <c r="M1668" t="s">
        <v>329</v>
      </c>
      <c r="N1668" t="str">
        <f>"41000936    "</f>
        <v xml:space="preserve">41000936    </v>
      </c>
      <c r="O1668">
        <v>230911</v>
      </c>
    </row>
    <row r="1669" spans="1:15" x14ac:dyDescent="0.25">
      <c r="A1669" t="s">
        <v>16</v>
      </c>
      <c r="B1669" t="s">
        <v>3221</v>
      </c>
      <c r="C1669">
        <v>13025</v>
      </c>
      <c r="D1669" t="s">
        <v>3619</v>
      </c>
      <c r="E1669" t="s">
        <v>3346</v>
      </c>
      <c r="F1669">
        <v>5797</v>
      </c>
      <c r="G1669">
        <v>230927</v>
      </c>
      <c r="H1669">
        <v>4440</v>
      </c>
      <c r="I1669" t="s">
        <v>250</v>
      </c>
      <c r="J1669">
        <v>5797</v>
      </c>
      <c r="K1669">
        <v>0</v>
      </c>
      <c r="L1669">
        <v>18820</v>
      </c>
      <c r="M1669" t="s">
        <v>1571</v>
      </c>
      <c r="N1669" t="str">
        <f>"41000941    "</f>
        <v xml:space="preserve">41000941    </v>
      </c>
      <c r="O1669">
        <v>231002</v>
      </c>
    </row>
    <row r="1670" spans="1:15" x14ac:dyDescent="0.25">
      <c r="A1670" t="s">
        <v>16</v>
      </c>
      <c r="B1670" t="s">
        <v>3221</v>
      </c>
      <c r="C1670">
        <v>13028</v>
      </c>
      <c r="D1670" t="s">
        <v>3619</v>
      </c>
      <c r="E1670" t="s">
        <v>3346</v>
      </c>
      <c r="F1670">
        <v>7378</v>
      </c>
      <c r="G1670">
        <v>230927</v>
      </c>
      <c r="H1670">
        <v>4440</v>
      </c>
      <c r="I1670" t="s">
        <v>250</v>
      </c>
      <c r="J1670">
        <v>7378</v>
      </c>
      <c r="K1670">
        <v>0</v>
      </c>
      <c r="L1670">
        <v>18820</v>
      </c>
      <c r="M1670" t="s">
        <v>1571</v>
      </c>
      <c r="N1670" t="str">
        <f>"41000942    "</f>
        <v xml:space="preserve">41000942    </v>
      </c>
      <c r="O1670">
        <v>231002</v>
      </c>
    </row>
    <row r="1671" spans="1:15" x14ac:dyDescent="0.25">
      <c r="A1671" t="s">
        <v>16</v>
      </c>
      <c r="B1671" t="s">
        <v>3221</v>
      </c>
      <c r="C1671">
        <v>13624</v>
      </c>
      <c r="D1671" t="s">
        <v>3619</v>
      </c>
      <c r="E1671" t="s">
        <v>3346</v>
      </c>
      <c r="F1671">
        <v>4573.33</v>
      </c>
      <c r="G1671">
        <v>230929</v>
      </c>
      <c r="H1671">
        <v>4440</v>
      </c>
      <c r="I1671" t="s">
        <v>250</v>
      </c>
      <c r="J1671">
        <v>4573.33</v>
      </c>
      <c r="K1671">
        <v>0</v>
      </c>
      <c r="L1671">
        <v>18120</v>
      </c>
      <c r="M1671" t="s">
        <v>329</v>
      </c>
      <c r="N1671" t="str">
        <f>"41000956    "</f>
        <v xml:space="preserve">41000956    </v>
      </c>
      <c r="O1671">
        <v>231012</v>
      </c>
    </row>
    <row r="1672" spans="1:15" x14ac:dyDescent="0.25">
      <c r="A1672" t="s">
        <v>16</v>
      </c>
      <c r="B1672" t="s">
        <v>3221</v>
      </c>
      <c r="C1672">
        <v>13633</v>
      </c>
      <c r="D1672" t="s">
        <v>3619</v>
      </c>
      <c r="E1672" t="s">
        <v>3346</v>
      </c>
      <c r="F1672">
        <v>964</v>
      </c>
      <c r="G1672">
        <v>230930</v>
      </c>
      <c r="H1672">
        <v>4440</v>
      </c>
      <c r="I1672" t="s">
        <v>250</v>
      </c>
      <c r="J1672">
        <v>964</v>
      </c>
      <c r="K1672">
        <v>0</v>
      </c>
      <c r="L1672">
        <v>18120</v>
      </c>
      <c r="M1672" t="s">
        <v>329</v>
      </c>
      <c r="N1672" t="str">
        <f>"41000944    "</f>
        <v xml:space="preserve">41000944    </v>
      </c>
      <c r="O1672">
        <v>231012</v>
      </c>
    </row>
    <row r="1673" spans="1:15" x14ac:dyDescent="0.25">
      <c r="A1673" t="s">
        <v>16</v>
      </c>
      <c r="B1673" t="s">
        <v>3221</v>
      </c>
      <c r="C1673">
        <v>13634</v>
      </c>
      <c r="D1673" t="s">
        <v>3619</v>
      </c>
      <c r="E1673" t="s">
        <v>3346</v>
      </c>
      <c r="F1673">
        <v>7186.67</v>
      </c>
      <c r="G1673">
        <v>230930</v>
      </c>
      <c r="H1673">
        <v>4440</v>
      </c>
      <c r="I1673" t="s">
        <v>250</v>
      </c>
      <c r="J1673">
        <v>7186.67</v>
      </c>
      <c r="K1673">
        <v>0</v>
      </c>
      <c r="L1673">
        <v>18120</v>
      </c>
      <c r="M1673" t="s">
        <v>329</v>
      </c>
      <c r="N1673" t="str">
        <f>"41000947    "</f>
        <v xml:space="preserve">41000947    </v>
      </c>
      <c r="O1673">
        <v>231012</v>
      </c>
    </row>
    <row r="1674" spans="1:15" x14ac:dyDescent="0.25">
      <c r="A1674" t="s">
        <v>16</v>
      </c>
      <c r="B1674" t="s">
        <v>3221</v>
      </c>
      <c r="C1674">
        <v>13642</v>
      </c>
      <c r="D1674" t="s">
        <v>3619</v>
      </c>
      <c r="E1674" t="s">
        <v>3346</v>
      </c>
      <c r="F1674">
        <v>4250</v>
      </c>
      <c r="G1674">
        <v>230930</v>
      </c>
      <c r="H1674">
        <v>4440</v>
      </c>
      <c r="I1674" t="s">
        <v>250</v>
      </c>
      <c r="J1674">
        <v>5270</v>
      </c>
      <c r="K1674">
        <v>1020</v>
      </c>
      <c r="L1674">
        <v>18820</v>
      </c>
      <c r="M1674" t="s">
        <v>1571</v>
      </c>
      <c r="N1674" t="str">
        <f>"41000945    "</f>
        <v xml:space="preserve">41000945    </v>
      </c>
      <c r="O1674">
        <v>231012</v>
      </c>
    </row>
    <row r="1675" spans="1:15" x14ac:dyDescent="0.25">
      <c r="A1675" t="s">
        <v>16</v>
      </c>
      <c r="B1675" t="s">
        <v>3221</v>
      </c>
      <c r="C1675">
        <v>13937</v>
      </c>
      <c r="D1675" t="s">
        <v>3619</v>
      </c>
      <c r="E1675" t="s">
        <v>3346</v>
      </c>
      <c r="F1675">
        <v>12180</v>
      </c>
      <c r="G1675">
        <v>230930</v>
      </c>
      <c r="H1675">
        <v>4440</v>
      </c>
      <c r="I1675" t="s">
        <v>250</v>
      </c>
      <c r="J1675">
        <v>12180</v>
      </c>
      <c r="K1675">
        <v>0</v>
      </c>
      <c r="L1675">
        <v>18120</v>
      </c>
      <c r="M1675" t="s">
        <v>329</v>
      </c>
      <c r="N1675" t="str">
        <f>"41000946    "</f>
        <v xml:space="preserve">41000946    </v>
      </c>
      <c r="O1675">
        <v>231017</v>
      </c>
    </row>
    <row r="1676" spans="1:15" x14ac:dyDescent="0.25">
      <c r="A1676" t="s">
        <v>16</v>
      </c>
      <c r="B1676" t="s">
        <v>3221</v>
      </c>
      <c r="C1676">
        <v>17649</v>
      </c>
      <c r="D1676" t="s">
        <v>3619</v>
      </c>
      <c r="E1676" t="s">
        <v>3346</v>
      </c>
      <c r="F1676">
        <v>964</v>
      </c>
      <c r="G1676">
        <v>231130</v>
      </c>
      <c r="H1676">
        <v>4440</v>
      </c>
      <c r="I1676" t="s">
        <v>250</v>
      </c>
      <c r="J1676">
        <v>964</v>
      </c>
      <c r="K1676">
        <v>0</v>
      </c>
      <c r="L1676">
        <v>18120</v>
      </c>
      <c r="M1676" t="s">
        <v>329</v>
      </c>
      <c r="N1676" t="str">
        <f>"41000994    "</f>
        <v xml:space="preserve">41000994    </v>
      </c>
      <c r="O1676">
        <v>231218</v>
      </c>
    </row>
    <row r="1677" spans="1:15" x14ac:dyDescent="0.25">
      <c r="A1677" t="s">
        <v>16</v>
      </c>
      <c r="B1677" t="s">
        <v>3221</v>
      </c>
      <c r="C1677">
        <v>18051</v>
      </c>
      <c r="D1677" t="s">
        <v>3619</v>
      </c>
      <c r="E1677" t="s">
        <v>3346</v>
      </c>
      <c r="F1677">
        <v>8699.94</v>
      </c>
      <c r="G1677">
        <v>231218</v>
      </c>
      <c r="H1677">
        <v>4440</v>
      </c>
      <c r="I1677" t="s">
        <v>250</v>
      </c>
      <c r="J1677">
        <v>8699.94</v>
      </c>
      <c r="K1677">
        <v>0</v>
      </c>
      <c r="L1677">
        <v>18120</v>
      </c>
      <c r="M1677" t="s">
        <v>329</v>
      </c>
      <c r="N1677" t="str">
        <f>"41000999    "</f>
        <v xml:space="preserve">41000999    </v>
      </c>
      <c r="O1677">
        <v>240102</v>
      </c>
    </row>
    <row r="1678" spans="1:15" x14ac:dyDescent="0.25">
      <c r="A1678" t="s">
        <v>16</v>
      </c>
      <c r="B1678" t="s">
        <v>3221</v>
      </c>
      <c r="C1678">
        <v>18052</v>
      </c>
      <c r="D1678" t="s">
        <v>3619</v>
      </c>
      <c r="E1678" t="s">
        <v>3346</v>
      </c>
      <c r="F1678">
        <v>1740</v>
      </c>
      <c r="G1678">
        <v>231218</v>
      </c>
      <c r="H1678">
        <v>4440</v>
      </c>
      <c r="I1678" t="s">
        <v>250</v>
      </c>
      <c r="J1678">
        <v>1740</v>
      </c>
      <c r="K1678">
        <v>0</v>
      </c>
      <c r="L1678">
        <v>18120</v>
      </c>
      <c r="M1678" t="s">
        <v>329</v>
      </c>
      <c r="N1678" t="str">
        <f>"41001002    "</f>
        <v xml:space="preserve">41001002    </v>
      </c>
      <c r="O1678">
        <v>240102</v>
      </c>
    </row>
    <row r="1679" spans="1:15" x14ac:dyDescent="0.25">
      <c r="A1679" t="s">
        <v>16</v>
      </c>
      <c r="B1679" t="s">
        <v>3221</v>
      </c>
      <c r="C1679">
        <v>18064</v>
      </c>
      <c r="D1679" t="s">
        <v>3619</v>
      </c>
      <c r="E1679" t="s">
        <v>3346</v>
      </c>
      <c r="F1679">
        <v>2940</v>
      </c>
      <c r="G1679">
        <v>231218</v>
      </c>
      <c r="H1679">
        <v>4440</v>
      </c>
      <c r="I1679" t="s">
        <v>250</v>
      </c>
      <c r="J1679">
        <v>2940</v>
      </c>
      <c r="K1679">
        <v>0</v>
      </c>
      <c r="L1679">
        <v>18120</v>
      </c>
      <c r="M1679" t="s">
        <v>329</v>
      </c>
      <c r="N1679" t="str">
        <f>"41001000    "</f>
        <v xml:space="preserve">41001000    </v>
      </c>
      <c r="O1679">
        <v>240102</v>
      </c>
    </row>
    <row r="1680" spans="1:15" x14ac:dyDescent="0.25">
      <c r="A1680" t="s">
        <v>16</v>
      </c>
      <c r="B1680" t="s">
        <v>3221</v>
      </c>
      <c r="C1680">
        <v>18267</v>
      </c>
      <c r="D1680" t="s">
        <v>3619</v>
      </c>
      <c r="E1680" t="s">
        <v>3346</v>
      </c>
      <c r="F1680">
        <v>4675</v>
      </c>
      <c r="G1680">
        <v>231221</v>
      </c>
      <c r="H1680">
        <v>4440</v>
      </c>
      <c r="I1680" t="s">
        <v>250</v>
      </c>
      <c r="J1680">
        <v>5797</v>
      </c>
      <c r="K1680">
        <v>1122</v>
      </c>
      <c r="L1680">
        <v>18820</v>
      </c>
      <c r="M1680" t="s">
        <v>1571</v>
      </c>
      <c r="N1680" t="str">
        <f>"41001014    "</f>
        <v xml:space="preserve">41001014    </v>
      </c>
      <c r="O1680">
        <v>240102</v>
      </c>
    </row>
    <row r="1681" spans="1:15" x14ac:dyDescent="0.25">
      <c r="A1681" t="s">
        <v>16</v>
      </c>
      <c r="B1681" t="s">
        <v>3221</v>
      </c>
      <c r="C1681">
        <v>18279</v>
      </c>
      <c r="D1681" t="s">
        <v>3619</v>
      </c>
      <c r="E1681" t="s">
        <v>3346</v>
      </c>
      <c r="F1681">
        <v>12180</v>
      </c>
      <c r="G1681">
        <v>231221</v>
      </c>
      <c r="H1681">
        <v>4440</v>
      </c>
      <c r="I1681" t="s">
        <v>250</v>
      </c>
      <c r="J1681">
        <v>12180</v>
      </c>
      <c r="K1681">
        <v>0</v>
      </c>
      <c r="L1681">
        <v>18120</v>
      </c>
      <c r="M1681" t="s">
        <v>329</v>
      </c>
      <c r="N1681" t="str">
        <f>"41001015    "</f>
        <v xml:space="preserve">41001015    </v>
      </c>
      <c r="O1681">
        <v>240102</v>
      </c>
    </row>
    <row r="1682" spans="1:15" x14ac:dyDescent="0.25">
      <c r="A1682" t="s">
        <v>16</v>
      </c>
      <c r="B1682" t="s">
        <v>3221</v>
      </c>
      <c r="C1682">
        <v>18285</v>
      </c>
      <c r="D1682" t="s">
        <v>3619</v>
      </c>
      <c r="E1682" t="s">
        <v>3346</v>
      </c>
      <c r="F1682">
        <v>5880</v>
      </c>
      <c r="G1682">
        <v>231221</v>
      </c>
      <c r="H1682">
        <v>4440</v>
      </c>
      <c r="I1682" t="s">
        <v>250</v>
      </c>
      <c r="J1682">
        <v>5880</v>
      </c>
      <c r="K1682">
        <v>0</v>
      </c>
      <c r="L1682">
        <v>18120</v>
      </c>
      <c r="M1682" t="s">
        <v>329</v>
      </c>
      <c r="N1682" t="str">
        <f>"41001020    "</f>
        <v xml:space="preserve">41001020    </v>
      </c>
      <c r="O1682">
        <v>240102</v>
      </c>
    </row>
    <row r="1683" spans="1:15" x14ac:dyDescent="0.25">
      <c r="A1683" t="s">
        <v>16</v>
      </c>
      <c r="B1683" t="s">
        <v>3221</v>
      </c>
      <c r="C1683">
        <v>18288</v>
      </c>
      <c r="D1683" t="s">
        <v>3619</v>
      </c>
      <c r="E1683" t="s">
        <v>3346</v>
      </c>
      <c r="F1683">
        <v>5950</v>
      </c>
      <c r="G1683">
        <v>231221</v>
      </c>
      <c r="H1683">
        <v>4440</v>
      </c>
      <c r="I1683" t="s">
        <v>250</v>
      </c>
      <c r="J1683">
        <v>7378</v>
      </c>
      <c r="K1683">
        <v>1428</v>
      </c>
      <c r="L1683">
        <v>18820</v>
      </c>
      <c r="M1683" t="s">
        <v>1571</v>
      </c>
      <c r="N1683" t="str">
        <f>"41001013    "</f>
        <v xml:space="preserve">41001013    </v>
      </c>
      <c r="O1683">
        <v>240102</v>
      </c>
    </row>
    <row r="1684" spans="1:15" x14ac:dyDescent="0.25">
      <c r="A1684" t="s">
        <v>16</v>
      </c>
      <c r="B1684" t="s">
        <v>3221</v>
      </c>
      <c r="C1684">
        <v>18310</v>
      </c>
      <c r="D1684" t="s">
        <v>3619</v>
      </c>
      <c r="E1684" t="s">
        <v>3346</v>
      </c>
      <c r="F1684">
        <v>3400</v>
      </c>
      <c r="G1684">
        <v>231221</v>
      </c>
      <c r="H1684">
        <v>4440</v>
      </c>
      <c r="I1684" t="s">
        <v>250</v>
      </c>
      <c r="J1684">
        <v>4216</v>
      </c>
      <c r="K1684">
        <v>816</v>
      </c>
      <c r="L1684">
        <v>18820</v>
      </c>
      <c r="M1684" t="s">
        <v>1571</v>
      </c>
      <c r="N1684" t="str">
        <f>"41001027    "</f>
        <v xml:space="preserve">41001027    </v>
      </c>
      <c r="O1684">
        <v>240102</v>
      </c>
    </row>
    <row r="1685" spans="1:15" x14ac:dyDescent="0.25">
      <c r="A1685" t="s">
        <v>16</v>
      </c>
      <c r="B1685" t="s">
        <v>3221</v>
      </c>
      <c r="C1685">
        <v>18315</v>
      </c>
      <c r="D1685" t="s">
        <v>3619</v>
      </c>
      <c r="E1685" t="s">
        <v>3346</v>
      </c>
      <c r="F1685">
        <v>5920</v>
      </c>
      <c r="G1685">
        <v>231221</v>
      </c>
      <c r="H1685">
        <v>4440</v>
      </c>
      <c r="I1685" t="s">
        <v>250</v>
      </c>
      <c r="J1685">
        <v>7340.8</v>
      </c>
      <c r="K1685">
        <v>1420.8</v>
      </c>
      <c r="L1685">
        <v>18120</v>
      </c>
      <c r="M1685" t="s">
        <v>329</v>
      </c>
      <c r="N1685" t="str">
        <f>"41001024    "</f>
        <v xml:space="preserve">41001024    </v>
      </c>
      <c r="O1685">
        <v>240102</v>
      </c>
    </row>
    <row r="1686" spans="1:15" x14ac:dyDescent="0.25">
      <c r="A1686" t="s">
        <v>16</v>
      </c>
      <c r="B1686" t="s">
        <v>3221</v>
      </c>
      <c r="C1686">
        <v>18685</v>
      </c>
      <c r="D1686" t="s">
        <v>3619</v>
      </c>
      <c r="E1686" t="s">
        <v>3346</v>
      </c>
      <c r="F1686">
        <v>3185</v>
      </c>
      <c r="G1686">
        <v>231221</v>
      </c>
      <c r="H1686">
        <v>4440</v>
      </c>
      <c r="I1686" t="s">
        <v>250</v>
      </c>
      <c r="J1686">
        <v>3185</v>
      </c>
      <c r="K1686">
        <v>0</v>
      </c>
      <c r="L1686">
        <v>18120</v>
      </c>
      <c r="M1686" t="s">
        <v>329</v>
      </c>
      <c r="N1686" t="str">
        <f>"41001012    "</f>
        <v xml:space="preserve">41001012    </v>
      </c>
      <c r="O1686">
        <v>240104</v>
      </c>
    </row>
    <row r="1687" spans="1:15" x14ac:dyDescent="0.25">
      <c r="A1687" t="s">
        <v>16</v>
      </c>
      <c r="B1687" t="s">
        <v>3221</v>
      </c>
      <c r="C1687">
        <v>7097</v>
      </c>
      <c r="D1687" t="s">
        <v>1300</v>
      </c>
      <c r="E1687" t="s">
        <v>1301</v>
      </c>
      <c r="F1687">
        <v>1315</v>
      </c>
      <c r="G1687">
        <v>230505</v>
      </c>
      <c r="H1687">
        <v>4580</v>
      </c>
      <c r="I1687" t="s">
        <v>35</v>
      </c>
      <c r="J1687">
        <v>1630.6</v>
      </c>
      <c r="K1687">
        <v>315.60000000000002</v>
      </c>
      <c r="L1687">
        <v>17711</v>
      </c>
      <c r="M1687" t="s">
        <v>65</v>
      </c>
      <c r="N1687" t="str">
        <f>"13058898    "</f>
        <v xml:space="preserve">13058898    </v>
      </c>
      <c r="O1687">
        <v>230525</v>
      </c>
    </row>
    <row r="1688" spans="1:15" x14ac:dyDescent="0.25">
      <c r="A1688" t="s">
        <v>16</v>
      </c>
      <c r="B1688" t="s">
        <v>3221</v>
      </c>
      <c r="C1688">
        <v>7097</v>
      </c>
      <c r="D1688" t="s">
        <v>1300</v>
      </c>
      <c r="E1688" t="s">
        <v>1301</v>
      </c>
      <c r="F1688">
        <v>1315</v>
      </c>
      <c r="G1688">
        <v>230505</v>
      </c>
      <c r="H1688">
        <v>4580</v>
      </c>
      <c r="I1688" t="s">
        <v>35</v>
      </c>
      <c r="J1688">
        <v>1630.6</v>
      </c>
      <c r="K1688">
        <v>315.60000000000002</v>
      </c>
      <c r="L1688">
        <v>17737</v>
      </c>
      <c r="M1688" t="s">
        <v>279</v>
      </c>
      <c r="N1688" t="str">
        <f>"13058898    "</f>
        <v xml:space="preserve">13058898    </v>
      </c>
      <c r="O1688">
        <v>230525</v>
      </c>
    </row>
    <row r="1689" spans="1:15" x14ac:dyDescent="0.25">
      <c r="A1689" t="s">
        <v>16</v>
      </c>
      <c r="B1689" t="s">
        <v>3221</v>
      </c>
      <c r="C1689">
        <v>3558</v>
      </c>
      <c r="D1689" t="s">
        <v>1300</v>
      </c>
      <c r="E1689" t="s">
        <v>1301</v>
      </c>
      <c r="F1689">
        <v>409.25</v>
      </c>
      <c r="G1689">
        <v>230310</v>
      </c>
      <c r="H1689">
        <v>4400</v>
      </c>
      <c r="I1689" t="s">
        <v>348</v>
      </c>
      <c r="J1689">
        <v>507.47</v>
      </c>
      <c r="K1689">
        <v>98.22</v>
      </c>
      <c r="L1689">
        <v>17737</v>
      </c>
      <c r="M1689" t="s">
        <v>279</v>
      </c>
      <c r="N1689" t="str">
        <f>"13055719    "</f>
        <v xml:space="preserve">13055719    </v>
      </c>
      <c r="O1689">
        <v>230317</v>
      </c>
    </row>
    <row r="1690" spans="1:15" x14ac:dyDescent="0.25">
      <c r="A1690" t="s">
        <v>16</v>
      </c>
      <c r="B1690" t="s">
        <v>3221</v>
      </c>
      <c r="C1690">
        <v>2136</v>
      </c>
      <c r="D1690" t="s">
        <v>1300</v>
      </c>
      <c r="E1690" t="s">
        <v>1301</v>
      </c>
      <c r="F1690">
        <v>234.69</v>
      </c>
      <c r="G1690">
        <v>230216</v>
      </c>
      <c r="H1690">
        <v>4600</v>
      </c>
      <c r="I1690" t="s">
        <v>105</v>
      </c>
      <c r="J1690">
        <v>291.02</v>
      </c>
      <c r="K1690">
        <v>56.33</v>
      </c>
      <c r="L1690">
        <v>67554</v>
      </c>
      <c r="M1690" t="s">
        <v>60</v>
      </c>
      <c r="N1690" t="str">
        <f>"13054652    "</f>
        <v xml:space="preserve">13054652    </v>
      </c>
      <c r="O1690">
        <v>230221</v>
      </c>
    </row>
    <row r="1691" spans="1:15" x14ac:dyDescent="0.25">
      <c r="A1691" t="s">
        <v>16</v>
      </c>
      <c r="B1691" t="s">
        <v>3221</v>
      </c>
      <c r="C1691">
        <v>3755</v>
      </c>
      <c r="D1691" t="s">
        <v>1300</v>
      </c>
      <c r="E1691" t="s">
        <v>1301</v>
      </c>
      <c r="F1691">
        <v>157.37</v>
      </c>
      <c r="G1691">
        <v>230316</v>
      </c>
      <c r="H1691">
        <v>4600</v>
      </c>
      <c r="I1691" t="s">
        <v>105</v>
      </c>
      <c r="J1691">
        <v>195.14</v>
      </c>
      <c r="K1691">
        <v>37.770000000000003</v>
      </c>
      <c r="L1691">
        <v>67554</v>
      </c>
      <c r="M1691" t="s">
        <v>60</v>
      </c>
      <c r="N1691" t="str">
        <f>"13056108    "</f>
        <v xml:space="preserve">13056108    </v>
      </c>
      <c r="O1691">
        <v>230321</v>
      </c>
    </row>
    <row r="1692" spans="1:15" x14ac:dyDescent="0.25">
      <c r="A1692" t="s">
        <v>16</v>
      </c>
      <c r="B1692" t="s">
        <v>3221</v>
      </c>
      <c r="C1692">
        <v>5238</v>
      </c>
      <c r="D1692" t="s">
        <v>1300</v>
      </c>
      <c r="E1692" t="s">
        <v>1301</v>
      </c>
      <c r="F1692">
        <v>119.29</v>
      </c>
      <c r="G1692">
        <v>230413</v>
      </c>
      <c r="H1692">
        <v>4600</v>
      </c>
      <c r="I1692" t="s">
        <v>105</v>
      </c>
      <c r="J1692">
        <v>147.91999999999999</v>
      </c>
      <c r="K1692">
        <v>28.63</v>
      </c>
      <c r="L1692">
        <v>17711</v>
      </c>
      <c r="M1692" t="s">
        <v>65</v>
      </c>
      <c r="N1692" t="str">
        <f>"13057566    "</f>
        <v xml:space="preserve">13057566    </v>
      </c>
      <c r="O1692">
        <v>230419</v>
      </c>
    </row>
    <row r="1693" spans="1:15" x14ac:dyDescent="0.25">
      <c r="A1693" t="s">
        <v>16</v>
      </c>
      <c r="B1693" t="s">
        <v>3221</v>
      </c>
      <c r="C1693">
        <v>5481</v>
      </c>
      <c r="D1693" t="s">
        <v>1300</v>
      </c>
      <c r="E1693" t="s">
        <v>1301</v>
      </c>
      <c r="F1693">
        <v>177.2</v>
      </c>
      <c r="G1693">
        <v>230419</v>
      </c>
      <c r="H1693">
        <v>4600</v>
      </c>
      <c r="I1693" t="s">
        <v>105</v>
      </c>
      <c r="J1693">
        <v>219.73</v>
      </c>
      <c r="K1693">
        <v>42.53</v>
      </c>
      <c r="L1693">
        <v>17737</v>
      </c>
      <c r="M1693" t="s">
        <v>279</v>
      </c>
      <c r="N1693" t="str">
        <f>"13057911    "</f>
        <v xml:space="preserve">13057911    </v>
      </c>
      <c r="O1693">
        <v>230425</v>
      </c>
    </row>
    <row r="1694" spans="1:15" x14ac:dyDescent="0.25">
      <c r="A1694" t="s">
        <v>16</v>
      </c>
      <c r="B1694" t="s">
        <v>3221</v>
      </c>
      <c r="C1694">
        <v>5527</v>
      </c>
      <c r="D1694" t="s">
        <v>1300</v>
      </c>
      <c r="E1694" t="s">
        <v>1301</v>
      </c>
      <c r="F1694">
        <v>18.2</v>
      </c>
      <c r="G1694">
        <v>230419</v>
      </c>
      <c r="H1694">
        <v>4600</v>
      </c>
      <c r="I1694" t="s">
        <v>105</v>
      </c>
      <c r="J1694">
        <v>22.57</v>
      </c>
      <c r="K1694">
        <v>4.37</v>
      </c>
      <c r="L1694">
        <v>17711</v>
      </c>
      <c r="M1694" t="s">
        <v>65</v>
      </c>
      <c r="N1694" t="str">
        <f>"13057897    "</f>
        <v xml:space="preserve">13057897    </v>
      </c>
      <c r="O1694">
        <v>230426</v>
      </c>
    </row>
    <row r="1695" spans="1:15" x14ac:dyDescent="0.25">
      <c r="A1695" t="s">
        <v>16</v>
      </c>
      <c r="B1695" t="s">
        <v>3221</v>
      </c>
      <c r="C1695">
        <v>11029</v>
      </c>
      <c r="D1695" t="s">
        <v>1300</v>
      </c>
      <c r="E1695" t="s">
        <v>1301</v>
      </c>
      <c r="F1695">
        <v>51.76</v>
      </c>
      <c r="G1695">
        <v>230823</v>
      </c>
      <c r="H1695">
        <v>4600</v>
      </c>
      <c r="I1695" t="s">
        <v>105</v>
      </c>
      <c r="J1695">
        <v>64.180000000000007</v>
      </c>
      <c r="K1695">
        <v>12.42</v>
      </c>
      <c r="L1695">
        <v>66754</v>
      </c>
      <c r="M1695" t="s">
        <v>239</v>
      </c>
      <c r="N1695" t="str">
        <f>"13065469    "</f>
        <v xml:space="preserve">13065469    </v>
      </c>
      <c r="O1695">
        <v>230828</v>
      </c>
    </row>
    <row r="1696" spans="1:15" x14ac:dyDescent="0.25">
      <c r="A1696" t="s">
        <v>16</v>
      </c>
      <c r="B1696" t="s">
        <v>3221</v>
      </c>
      <c r="C1696">
        <v>11031</v>
      </c>
      <c r="D1696" t="s">
        <v>1300</v>
      </c>
      <c r="E1696" t="s">
        <v>1301</v>
      </c>
      <c r="F1696">
        <v>239.71</v>
      </c>
      <c r="G1696">
        <v>230823</v>
      </c>
      <c r="H1696">
        <v>4600</v>
      </c>
      <c r="I1696" t="s">
        <v>105</v>
      </c>
      <c r="J1696">
        <v>297.24</v>
      </c>
      <c r="K1696">
        <v>57.53</v>
      </c>
      <c r="L1696">
        <v>67554</v>
      </c>
      <c r="M1696" t="s">
        <v>60</v>
      </c>
      <c r="N1696" t="str">
        <f>"13065482    "</f>
        <v xml:space="preserve">13065482    </v>
      </c>
      <c r="O1696">
        <v>230828</v>
      </c>
    </row>
    <row r="1697" spans="1:15" x14ac:dyDescent="0.25">
      <c r="A1697" t="s">
        <v>16</v>
      </c>
      <c r="B1697" t="s">
        <v>3221</v>
      </c>
      <c r="C1697">
        <v>14025</v>
      </c>
      <c r="D1697" t="s">
        <v>1300</v>
      </c>
      <c r="E1697" t="s">
        <v>1301</v>
      </c>
      <c r="F1697">
        <v>77.5</v>
      </c>
      <c r="G1697">
        <v>231011</v>
      </c>
      <c r="H1697">
        <v>4600</v>
      </c>
      <c r="I1697" t="s">
        <v>105</v>
      </c>
      <c r="J1697">
        <v>96.1</v>
      </c>
      <c r="K1697">
        <v>18.600000000000001</v>
      </c>
      <c r="L1697">
        <v>17711</v>
      </c>
      <c r="M1697" t="s">
        <v>65</v>
      </c>
      <c r="N1697" t="str">
        <f>"13068179    "</f>
        <v xml:space="preserve">13068179    </v>
      </c>
      <c r="O1697">
        <v>231017</v>
      </c>
    </row>
    <row r="1698" spans="1:15" x14ac:dyDescent="0.25">
      <c r="A1698" t="s">
        <v>16</v>
      </c>
      <c r="B1698" t="s">
        <v>3221</v>
      </c>
      <c r="C1698">
        <v>16831</v>
      </c>
      <c r="D1698" t="s">
        <v>1300</v>
      </c>
      <c r="E1698" t="s">
        <v>1301</v>
      </c>
      <c r="F1698">
        <v>106.88</v>
      </c>
      <c r="G1698">
        <v>231124</v>
      </c>
      <c r="H1698">
        <v>4600</v>
      </c>
      <c r="I1698" t="s">
        <v>105</v>
      </c>
      <c r="J1698">
        <v>132.53</v>
      </c>
      <c r="K1698">
        <v>25.65</v>
      </c>
      <c r="L1698">
        <v>17711</v>
      </c>
      <c r="M1698" t="s">
        <v>65</v>
      </c>
      <c r="N1698" t="str">
        <f>"13070842    "</f>
        <v xml:space="preserve">13070842    </v>
      </c>
      <c r="O1698">
        <v>231211</v>
      </c>
    </row>
    <row r="1699" spans="1:15" x14ac:dyDescent="0.25">
      <c r="A1699" t="s">
        <v>16</v>
      </c>
      <c r="B1699" t="s">
        <v>3221</v>
      </c>
      <c r="C1699">
        <v>4711</v>
      </c>
      <c r="D1699" t="s">
        <v>75</v>
      </c>
      <c r="E1699" t="s">
        <v>76</v>
      </c>
      <c r="F1699">
        <v>83.8</v>
      </c>
      <c r="G1699">
        <v>230331</v>
      </c>
      <c r="H1699">
        <v>4400</v>
      </c>
      <c r="I1699" t="s">
        <v>348</v>
      </c>
      <c r="J1699">
        <v>103.91</v>
      </c>
      <c r="K1699">
        <v>20.11</v>
      </c>
      <c r="L1699">
        <v>11401</v>
      </c>
      <c r="M1699" t="s">
        <v>84</v>
      </c>
      <c r="N1699" t="str">
        <f>"60000419859 "</f>
        <v xml:space="preserve">60000419859 </v>
      </c>
      <c r="O1699">
        <v>230412</v>
      </c>
    </row>
    <row r="1700" spans="1:15" x14ac:dyDescent="0.25">
      <c r="A1700" t="s">
        <v>16</v>
      </c>
      <c r="B1700" t="s">
        <v>3221</v>
      </c>
      <c r="C1700">
        <v>4711</v>
      </c>
      <c r="D1700" t="s">
        <v>75</v>
      </c>
      <c r="E1700" t="s">
        <v>76</v>
      </c>
      <c r="F1700">
        <v>167.6</v>
      </c>
      <c r="G1700">
        <v>230331</v>
      </c>
      <c r="H1700">
        <v>4400</v>
      </c>
      <c r="I1700" t="s">
        <v>348</v>
      </c>
      <c r="J1700">
        <v>207.83</v>
      </c>
      <c r="K1700">
        <v>40.229999999999997</v>
      </c>
      <c r="L1700">
        <v>14952</v>
      </c>
      <c r="M1700" t="s">
        <v>99</v>
      </c>
      <c r="N1700" t="str">
        <f>"60000419859 "</f>
        <v xml:space="preserve">60000419859 </v>
      </c>
      <c r="O1700">
        <v>230412</v>
      </c>
    </row>
    <row r="1701" spans="1:15" x14ac:dyDescent="0.25">
      <c r="A1701" t="s">
        <v>16</v>
      </c>
      <c r="B1701" t="s">
        <v>3221</v>
      </c>
      <c r="C1701">
        <v>81</v>
      </c>
      <c r="D1701" t="s">
        <v>75</v>
      </c>
      <c r="E1701" t="s">
        <v>76</v>
      </c>
      <c r="F1701">
        <v>672.9</v>
      </c>
      <c r="G1701">
        <v>230101</v>
      </c>
      <c r="H1701">
        <v>4471</v>
      </c>
      <c r="I1701" t="s">
        <v>68</v>
      </c>
      <c r="J1701">
        <v>834.4</v>
      </c>
      <c r="K1701">
        <v>161.5</v>
      </c>
      <c r="L1701">
        <v>14951</v>
      </c>
      <c r="M1701" t="s">
        <v>57</v>
      </c>
      <c r="N1701" t="str">
        <f>"60000393568 "</f>
        <v xml:space="preserve">60000393568 </v>
      </c>
      <c r="O1701">
        <v>230109</v>
      </c>
    </row>
    <row r="1702" spans="1:15" x14ac:dyDescent="0.25">
      <c r="A1702" t="s">
        <v>16</v>
      </c>
      <c r="B1702" t="s">
        <v>3221</v>
      </c>
      <c r="C1702">
        <v>89</v>
      </c>
      <c r="D1702" t="s">
        <v>75</v>
      </c>
      <c r="E1702" t="s">
        <v>76</v>
      </c>
      <c r="F1702">
        <v>182.26</v>
      </c>
      <c r="G1702">
        <v>230101</v>
      </c>
      <c r="H1702">
        <v>4471</v>
      </c>
      <c r="I1702" t="s">
        <v>68</v>
      </c>
      <c r="J1702">
        <v>226</v>
      </c>
      <c r="K1702">
        <v>43.74</v>
      </c>
      <c r="L1702">
        <v>11401</v>
      </c>
      <c r="M1702" t="s">
        <v>84</v>
      </c>
      <c r="N1702" t="str">
        <f>"60000393313 "</f>
        <v xml:space="preserve">60000393313 </v>
      </c>
      <c r="O1702">
        <v>230109</v>
      </c>
    </row>
    <row r="1703" spans="1:15" x14ac:dyDescent="0.25">
      <c r="A1703" t="s">
        <v>16</v>
      </c>
      <c r="B1703" t="s">
        <v>3221</v>
      </c>
      <c r="C1703">
        <v>89</v>
      </c>
      <c r="D1703" t="s">
        <v>75</v>
      </c>
      <c r="E1703" t="s">
        <v>76</v>
      </c>
      <c r="F1703">
        <v>364.51</v>
      </c>
      <c r="G1703">
        <v>230101</v>
      </c>
      <c r="H1703">
        <v>4471</v>
      </c>
      <c r="I1703" t="s">
        <v>68</v>
      </c>
      <c r="J1703">
        <v>451.99</v>
      </c>
      <c r="K1703">
        <v>87.48</v>
      </c>
      <c r="L1703">
        <v>14952</v>
      </c>
      <c r="M1703" t="s">
        <v>99</v>
      </c>
      <c r="N1703" t="str">
        <f>"60000393313 "</f>
        <v xml:space="preserve">60000393313 </v>
      </c>
      <c r="O1703">
        <v>230109</v>
      </c>
    </row>
    <row r="1704" spans="1:15" x14ac:dyDescent="0.25">
      <c r="A1704" t="s">
        <v>16</v>
      </c>
      <c r="B1704" t="s">
        <v>3221</v>
      </c>
      <c r="C1704">
        <v>586</v>
      </c>
      <c r="D1704" t="s">
        <v>75</v>
      </c>
      <c r="E1704" t="s">
        <v>76</v>
      </c>
      <c r="F1704">
        <v>212.19</v>
      </c>
      <c r="G1704">
        <v>230115</v>
      </c>
      <c r="H1704">
        <v>4471</v>
      </c>
      <c r="I1704" t="s">
        <v>68</v>
      </c>
      <c r="J1704">
        <v>263.12</v>
      </c>
      <c r="K1704">
        <v>50.93</v>
      </c>
      <c r="L1704">
        <v>14952</v>
      </c>
      <c r="M1704" t="s">
        <v>99</v>
      </c>
      <c r="N1704" t="str">
        <f>"60000397813 "</f>
        <v xml:space="preserve">60000397813 </v>
      </c>
      <c r="O1704">
        <v>230125</v>
      </c>
    </row>
    <row r="1705" spans="1:15" x14ac:dyDescent="0.25">
      <c r="A1705" t="s">
        <v>16</v>
      </c>
      <c r="B1705" t="s">
        <v>3221</v>
      </c>
      <c r="C1705">
        <v>1100</v>
      </c>
      <c r="D1705" t="s">
        <v>75</v>
      </c>
      <c r="E1705" t="s">
        <v>76</v>
      </c>
      <c r="F1705">
        <v>672.9</v>
      </c>
      <c r="G1705">
        <v>230201</v>
      </c>
      <c r="H1705">
        <v>4471</v>
      </c>
      <c r="I1705" t="s">
        <v>68</v>
      </c>
      <c r="J1705">
        <v>834.4</v>
      </c>
      <c r="K1705">
        <v>161.5</v>
      </c>
      <c r="L1705">
        <v>14951</v>
      </c>
      <c r="M1705" t="s">
        <v>57</v>
      </c>
      <c r="N1705" t="str">
        <f>"60000400974 "</f>
        <v xml:space="preserve">60000400974 </v>
      </c>
      <c r="O1705">
        <v>230203</v>
      </c>
    </row>
    <row r="1706" spans="1:15" x14ac:dyDescent="0.25">
      <c r="A1706" t="s">
        <v>16</v>
      </c>
      <c r="B1706" t="s">
        <v>3221</v>
      </c>
      <c r="C1706">
        <v>1251</v>
      </c>
      <c r="D1706" t="s">
        <v>75</v>
      </c>
      <c r="E1706" t="s">
        <v>76</v>
      </c>
      <c r="F1706">
        <v>192.6</v>
      </c>
      <c r="G1706">
        <v>230131</v>
      </c>
      <c r="H1706">
        <v>4471</v>
      </c>
      <c r="I1706" t="s">
        <v>68</v>
      </c>
      <c r="J1706">
        <v>238.83</v>
      </c>
      <c r="K1706">
        <v>46.23</v>
      </c>
      <c r="L1706">
        <v>14951</v>
      </c>
      <c r="M1706" t="s">
        <v>57</v>
      </c>
      <c r="N1706" t="str">
        <f>"60000403200 "</f>
        <v xml:space="preserve">60000403200 </v>
      </c>
      <c r="O1706">
        <v>230207</v>
      </c>
    </row>
    <row r="1707" spans="1:15" x14ac:dyDescent="0.25">
      <c r="A1707" t="s">
        <v>16</v>
      </c>
      <c r="B1707" t="s">
        <v>3221</v>
      </c>
      <c r="C1707">
        <v>1445</v>
      </c>
      <c r="D1707" t="s">
        <v>75</v>
      </c>
      <c r="E1707" t="s">
        <v>76</v>
      </c>
      <c r="F1707">
        <v>546.77</v>
      </c>
      <c r="G1707">
        <v>230201</v>
      </c>
      <c r="H1707">
        <v>4471</v>
      </c>
      <c r="I1707" t="s">
        <v>68</v>
      </c>
      <c r="J1707">
        <v>677.99</v>
      </c>
      <c r="K1707">
        <v>131.22</v>
      </c>
      <c r="L1707">
        <v>14952</v>
      </c>
      <c r="M1707" t="s">
        <v>99</v>
      </c>
      <c r="N1707" t="str">
        <f>"60000400489 "</f>
        <v xml:space="preserve">60000400489 </v>
      </c>
      <c r="O1707">
        <v>230208</v>
      </c>
    </row>
    <row r="1708" spans="1:15" x14ac:dyDescent="0.25">
      <c r="A1708" t="s">
        <v>16</v>
      </c>
      <c r="B1708" t="s">
        <v>3221</v>
      </c>
      <c r="C1708">
        <v>2311</v>
      </c>
      <c r="D1708" t="s">
        <v>75</v>
      </c>
      <c r="E1708" t="s">
        <v>76</v>
      </c>
      <c r="F1708">
        <v>114.48</v>
      </c>
      <c r="G1708">
        <v>230215</v>
      </c>
      <c r="H1708">
        <v>4471</v>
      </c>
      <c r="I1708" t="s">
        <v>68</v>
      </c>
      <c r="J1708">
        <v>141.96</v>
      </c>
      <c r="K1708">
        <v>27.48</v>
      </c>
      <c r="L1708">
        <v>14951</v>
      </c>
      <c r="M1708" t="s">
        <v>57</v>
      </c>
      <c r="N1708" t="str">
        <f>"60000405435 "</f>
        <v xml:space="preserve">60000405435 </v>
      </c>
      <c r="O1708">
        <v>230224</v>
      </c>
    </row>
    <row r="1709" spans="1:15" x14ac:dyDescent="0.25">
      <c r="A1709" t="s">
        <v>16</v>
      </c>
      <c r="B1709" t="s">
        <v>3221</v>
      </c>
      <c r="C1709">
        <v>2588</v>
      </c>
      <c r="D1709" t="s">
        <v>75</v>
      </c>
      <c r="E1709" t="s">
        <v>76</v>
      </c>
      <c r="F1709">
        <v>672.9</v>
      </c>
      <c r="G1709">
        <v>230301</v>
      </c>
      <c r="H1709">
        <v>4471</v>
      </c>
      <c r="I1709" t="s">
        <v>68</v>
      </c>
      <c r="J1709">
        <v>834.4</v>
      </c>
      <c r="K1709">
        <v>161.5</v>
      </c>
      <c r="L1709">
        <v>14951</v>
      </c>
      <c r="M1709" t="s">
        <v>57</v>
      </c>
      <c r="N1709" t="str">
        <f>"60000407909 "</f>
        <v xml:space="preserve">60000407909 </v>
      </c>
      <c r="O1709">
        <v>230302</v>
      </c>
    </row>
    <row r="1710" spans="1:15" x14ac:dyDescent="0.25">
      <c r="A1710" t="s">
        <v>16</v>
      </c>
      <c r="B1710" t="s">
        <v>3221</v>
      </c>
      <c r="C1710">
        <v>2596</v>
      </c>
      <c r="D1710" t="s">
        <v>75</v>
      </c>
      <c r="E1710" t="s">
        <v>76</v>
      </c>
      <c r="F1710">
        <v>183.18</v>
      </c>
      <c r="G1710">
        <v>230228</v>
      </c>
      <c r="H1710">
        <v>4471</v>
      </c>
      <c r="I1710" t="s">
        <v>68</v>
      </c>
      <c r="J1710">
        <v>227.14</v>
      </c>
      <c r="K1710">
        <v>43.96</v>
      </c>
      <c r="L1710">
        <v>14951</v>
      </c>
      <c r="M1710" t="s">
        <v>57</v>
      </c>
      <c r="N1710" t="str">
        <f>"60000411018 "</f>
        <v xml:space="preserve">60000411018 </v>
      </c>
      <c r="O1710">
        <v>230302</v>
      </c>
    </row>
    <row r="1711" spans="1:15" x14ac:dyDescent="0.25">
      <c r="A1711" t="s">
        <v>16</v>
      </c>
      <c r="B1711" t="s">
        <v>3221</v>
      </c>
      <c r="C1711">
        <v>2623</v>
      </c>
      <c r="D1711" t="s">
        <v>75</v>
      </c>
      <c r="E1711" t="s">
        <v>76</v>
      </c>
      <c r="F1711">
        <v>182.26</v>
      </c>
      <c r="G1711">
        <v>230301</v>
      </c>
      <c r="H1711">
        <v>4471</v>
      </c>
      <c r="I1711" t="s">
        <v>68</v>
      </c>
      <c r="J1711">
        <v>226</v>
      </c>
      <c r="K1711">
        <v>43.74</v>
      </c>
      <c r="L1711">
        <v>11401</v>
      </c>
      <c r="M1711" t="s">
        <v>84</v>
      </c>
      <c r="N1711" t="str">
        <f>"60000407362 "</f>
        <v xml:space="preserve">60000407362 </v>
      </c>
      <c r="O1711">
        <v>230303</v>
      </c>
    </row>
    <row r="1712" spans="1:15" x14ac:dyDescent="0.25">
      <c r="A1712" t="s">
        <v>16</v>
      </c>
      <c r="B1712" t="s">
        <v>3221</v>
      </c>
      <c r="C1712">
        <v>2623</v>
      </c>
      <c r="D1712" t="s">
        <v>75</v>
      </c>
      <c r="E1712" t="s">
        <v>76</v>
      </c>
      <c r="F1712">
        <v>364.51</v>
      </c>
      <c r="G1712">
        <v>230301</v>
      </c>
      <c r="H1712">
        <v>4471</v>
      </c>
      <c r="I1712" t="s">
        <v>68</v>
      </c>
      <c r="J1712">
        <v>451.99</v>
      </c>
      <c r="K1712">
        <v>87.48</v>
      </c>
      <c r="L1712">
        <v>14952</v>
      </c>
      <c r="M1712" t="s">
        <v>99</v>
      </c>
      <c r="N1712" t="str">
        <f>"60000407362 "</f>
        <v xml:space="preserve">60000407362 </v>
      </c>
      <c r="O1712">
        <v>230303</v>
      </c>
    </row>
    <row r="1713" spans="1:15" x14ac:dyDescent="0.25">
      <c r="A1713" t="s">
        <v>16</v>
      </c>
      <c r="B1713" t="s">
        <v>3221</v>
      </c>
      <c r="C1713">
        <v>2745</v>
      </c>
      <c r="D1713" t="s">
        <v>75</v>
      </c>
      <c r="E1713" t="s">
        <v>76</v>
      </c>
      <c r="F1713">
        <v>83.8</v>
      </c>
      <c r="G1713">
        <v>230228</v>
      </c>
      <c r="H1713">
        <v>4471</v>
      </c>
      <c r="I1713" t="s">
        <v>68</v>
      </c>
      <c r="J1713">
        <v>103.91</v>
      </c>
      <c r="K1713">
        <v>20.11</v>
      </c>
      <c r="L1713">
        <v>11401</v>
      </c>
      <c r="M1713" t="s">
        <v>84</v>
      </c>
      <c r="N1713" t="str">
        <f>"60000410195 "</f>
        <v xml:space="preserve">60000410195 </v>
      </c>
      <c r="O1713">
        <v>230307</v>
      </c>
    </row>
    <row r="1714" spans="1:15" x14ac:dyDescent="0.25">
      <c r="A1714" t="s">
        <v>16</v>
      </c>
      <c r="B1714" t="s">
        <v>3221</v>
      </c>
      <c r="C1714">
        <v>2745</v>
      </c>
      <c r="D1714" t="s">
        <v>75</v>
      </c>
      <c r="E1714" t="s">
        <v>76</v>
      </c>
      <c r="F1714">
        <v>167.6</v>
      </c>
      <c r="G1714">
        <v>230228</v>
      </c>
      <c r="H1714">
        <v>4471</v>
      </c>
      <c r="I1714" t="s">
        <v>68</v>
      </c>
      <c r="J1714">
        <v>207.83</v>
      </c>
      <c r="K1714">
        <v>40.229999999999997</v>
      </c>
      <c r="L1714">
        <v>14952</v>
      </c>
      <c r="M1714" t="s">
        <v>99</v>
      </c>
      <c r="N1714" t="str">
        <f>"60000410195 "</f>
        <v xml:space="preserve">60000410195 </v>
      </c>
      <c r="O1714">
        <v>230307</v>
      </c>
    </row>
    <row r="1715" spans="1:15" x14ac:dyDescent="0.25">
      <c r="A1715" t="s">
        <v>16</v>
      </c>
      <c r="B1715" t="s">
        <v>3221</v>
      </c>
      <c r="C1715">
        <v>4225</v>
      </c>
      <c r="D1715" t="s">
        <v>75</v>
      </c>
      <c r="E1715" t="s">
        <v>76</v>
      </c>
      <c r="F1715">
        <v>672.9</v>
      </c>
      <c r="G1715">
        <v>230401</v>
      </c>
      <c r="H1715">
        <v>4471</v>
      </c>
      <c r="I1715" t="s">
        <v>68</v>
      </c>
      <c r="J1715">
        <v>834.4</v>
      </c>
      <c r="K1715">
        <v>161.5</v>
      </c>
      <c r="L1715">
        <v>14951</v>
      </c>
      <c r="M1715" t="s">
        <v>57</v>
      </c>
      <c r="N1715" t="str">
        <f>"60000414884 "</f>
        <v xml:space="preserve">60000414884 </v>
      </c>
      <c r="O1715">
        <v>230403</v>
      </c>
    </row>
    <row r="1716" spans="1:15" x14ac:dyDescent="0.25">
      <c r="A1716" t="s">
        <v>16</v>
      </c>
      <c r="B1716" t="s">
        <v>3221</v>
      </c>
      <c r="C1716">
        <v>4314</v>
      </c>
      <c r="D1716" t="s">
        <v>75</v>
      </c>
      <c r="E1716" t="s">
        <v>76</v>
      </c>
      <c r="F1716">
        <v>106.1</v>
      </c>
      <c r="G1716">
        <v>230331</v>
      </c>
      <c r="H1716">
        <v>4471</v>
      </c>
      <c r="I1716" t="s">
        <v>68</v>
      </c>
      <c r="J1716">
        <v>131.56</v>
      </c>
      <c r="K1716">
        <v>25.46</v>
      </c>
      <c r="L1716">
        <v>14952</v>
      </c>
      <c r="M1716" t="s">
        <v>99</v>
      </c>
      <c r="N1716" t="str">
        <f>"60000418778 "</f>
        <v xml:space="preserve">60000418778 </v>
      </c>
      <c r="O1716">
        <v>230404</v>
      </c>
    </row>
    <row r="1717" spans="1:15" x14ac:dyDescent="0.25">
      <c r="A1717" t="s">
        <v>16</v>
      </c>
      <c r="B1717" t="s">
        <v>3221</v>
      </c>
      <c r="C1717">
        <v>4316</v>
      </c>
      <c r="D1717" t="s">
        <v>75</v>
      </c>
      <c r="E1717" t="s">
        <v>76</v>
      </c>
      <c r="F1717">
        <v>148.35</v>
      </c>
      <c r="G1717">
        <v>230331</v>
      </c>
      <c r="H1717">
        <v>4471</v>
      </c>
      <c r="I1717" t="s">
        <v>68</v>
      </c>
      <c r="J1717">
        <v>183.95</v>
      </c>
      <c r="K1717">
        <v>35.6</v>
      </c>
      <c r="L1717">
        <v>14951</v>
      </c>
      <c r="M1717" t="s">
        <v>57</v>
      </c>
      <c r="N1717" t="str">
        <f>"60000419384 "</f>
        <v xml:space="preserve">60000419384 </v>
      </c>
      <c r="O1717">
        <v>230404</v>
      </c>
    </row>
    <row r="1718" spans="1:15" x14ac:dyDescent="0.25">
      <c r="A1718" t="s">
        <v>16</v>
      </c>
      <c r="B1718" t="s">
        <v>3221</v>
      </c>
      <c r="C1718">
        <v>4746</v>
      </c>
      <c r="D1718" t="s">
        <v>75</v>
      </c>
      <c r="E1718" t="s">
        <v>76</v>
      </c>
      <c r="F1718">
        <v>182.26</v>
      </c>
      <c r="G1718">
        <v>230401</v>
      </c>
      <c r="H1718">
        <v>4471</v>
      </c>
      <c r="I1718" t="s">
        <v>68</v>
      </c>
      <c r="J1718">
        <v>226</v>
      </c>
      <c r="K1718">
        <v>43.74</v>
      </c>
      <c r="L1718">
        <v>11401</v>
      </c>
      <c r="M1718" t="s">
        <v>84</v>
      </c>
      <c r="N1718" t="str">
        <f>"60000413998 "</f>
        <v xml:space="preserve">60000413998 </v>
      </c>
      <c r="O1718">
        <v>230412</v>
      </c>
    </row>
    <row r="1719" spans="1:15" x14ac:dyDescent="0.25">
      <c r="A1719" t="s">
        <v>16</v>
      </c>
      <c r="B1719" t="s">
        <v>3221</v>
      </c>
      <c r="C1719">
        <v>4746</v>
      </c>
      <c r="D1719" t="s">
        <v>75</v>
      </c>
      <c r="E1719" t="s">
        <v>76</v>
      </c>
      <c r="F1719">
        <v>364.51</v>
      </c>
      <c r="G1719">
        <v>230401</v>
      </c>
      <c r="H1719">
        <v>4471</v>
      </c>
      <c r="I1719" t="s">
        <v>68</v>
      </c>
      <c r="J1719">
        <v>451.99</v>
      </c>
      <c r="K1719">
        <v>87.48</v>
      </c>
      <c r="L1719">
        <v>14952</v>
      </c>
      <c r="M1719" t="s">
        <v>99</v>
      </c>
      <c r="N1719" t="str">
        <f>"60000413998 "</f>
        <v xml:space="preserve">60000413998 </v>
      </c>
      <c r="O1719">
        <v>230412</v>
      </c>
    </row>
    <row r="1720" spans="1:15" x14ac:dyDescent="0.25">
      <c r="A1720" t="s">
        <v>16</v>
      </c>
      <c r="B1720" t="s">
        <v>3221</v>
      </c>
      <c r="C1720">
        <v>5821</v>
      </c>
      <c r="D1720" t="s">
        <v>75</v>
      </c>
      <c r="E1720" t="s">
        <v>76</v>
      </c>
      <c r="F1720">
        <v>672.9</v>
      </c>
      <c r="G1720">
        <v>230501</v>
      </c>
      <c r="H1720">
        <v>4471</v>
      </c>
      <c r="I1720" t="s">
        <v>68</v>
      </c>
      <c r="J1720">
        <v>834.4</v>
      </c>
      <c r="K1720">
        <v>161.5</v>
      </c>
      <c r="L1720">
        <v>14951</v>
      </c>
      <c r="M1720" t="s">
        <v>57</v>
      </c>
      <c r="N1720" t="str">
        <f>"60000423319 "</f>
        <v xml:space="preserve">60000423319 </v>
      </c>
      <c r="O1720">
        <v>230503</v>
      </c>
    </row>
    <row r="1721" spans="1:15" x14ac:dyDescent="0.25">
      <c r="A1721" t="s">
        <v>16</v>
      </c>
      <c r="B1721" t="s">
        <v>3221</v>
      </c>
      <c r="C1721">
        <v>6100</v>
      </c>
      <c r="D1721" t="s">
        <v>75</v>
      </c>
      <c r="E1721" t="s">
        <v>76</v>
      </c>
      <c r="F1721">
        <v>114.48</v>
      </c>
      <c r="G1721">
        <v>230430</v>
      </c>
      <c r="H1721">
        <v>4471</v>
      </c>
      <c r="I1721" t="s">
        <v>68</v>
      </c>
      <c r="J1721">
        <v>141.96</v>
      </c>
      <c r="K1721">
        <v>27.48</v>
      </c>
      <c r="L1721">
        <v>14951</v>
      </c>
      <c r="M1721" t="s">
        <v>57</v>
      </c>
      <c r="N1721" t="str">
        <f>"60000426424 "</f>
        <v xml:space="preserve">60000426424 </v>
      </c>
      <c r="O1721">
        <v>230508</v>
      </c>
    </row>
    <row r="1722" spans="1:15" x14ac:dyDescent="0.25">
      <c r="A1722" t="s">
        <v>16</v>
      </c>
      <c r="B1722" t="s">
        <v>3221</v>
      </c>
      <c r="C1722">
        <v>6125</v>
      </c>
      <c r="D1722" t="s">
        <v>75</v>
      </c>
      <c r="E1722" t="s">
        <v>76</v>
      </c>
      <c r="F1722">
        <v>182.25</v>
      </c>
      <c r="G1722">
        <v>230501</v>
      </c>
      <c r="H1722">
        <v>4471</v>
      </c>
      <c r="I1722" t="s">
        <v>68</v>
      </c>
      <c r="J1722">
        <v>225.99</v>
      </c>
      <c r="K1722">
        <v>43.74</v>
      </c>
      <c r="L1722">
        <v>11401</v>
      </c>
      <c r="M1722" t="s">
        <v>84</v>
      </c>
      <c r="N1722" t="str">
        <f>"60000422419 "</f>
        <v xml:space="preserve">60000422419 </v>
      </c>
      <c r="O1722">
        <v>230508</v>
      </c>
    </row>
    <row r="1723" spans="1:15" x14ac:dyDescent="0.25">
      <c r="A1723" t="s">
        <v>16</v>
      </c>
      <c r="B1723" t="s">
        <v>3221</v>
      </c>
      <c r="C1723">
        <v>6125</v>
      </c>
      <c r="D1723" t="s">
        <v>75</v>
      </c>
      <c r="E1723" t="s">
        <v>76</v>
      </c>
      <c r="F1723">
        <v>364.52</v>
      </c>
      <c r="G1723">
        <v>230501</v>
      </c>
      <c r="H1723">
        <v>4471</v>
      </c>
      <c r="I1723" t="s">
        <v>68</v>
      </c>
      <c r="J1723">
        <v>452</v>
      </c>
      <c r="K1723">
        <v>87.48</v>
      </c>
      <c r="L1723">
        <v>14952</v>
      </c>
      <c r="M1723" t="s">
        <v>99</v>
      </c>
      <c r="N1723" t="str">
        <f>"60000422419 "</f>
        <v xml:space="preserve">60000422419 </v>
      </c>
      <c r="O1723">
        <v>230508</v>
      </c>
    </row>
    <row r="1724" spans="1:15" x14ac:dyDescent="0.25">
      <c r="A1724" t="s">
        <v>16</v>
      </c>
      <c r="B1724" t="s">
        <v>3221</v>
      </c>
      <c r="C1724">
        <v>7623</v>
      </c>
      <c r="D1724" t="s">
        <v>75</v>
      </c>
      <c r="E1724" t="s">
        <v>76</v>
      </c>
      <c r="F1724">
        <v>699.82</v>
      </c>
      <c r="G1724">
        <v>230601</v>
      </c>
      <c r="H1724">
        <v>4471</v>
      </c>
      <c r="I1724" t="s">
        <v>68</v>
      </c>
      <c r="J1724">
        <v>867.78</v>
      </c>
      <c r="K1724">
        <v>167.96</v>
      </c>
      <c r="L1724">
        <v>14951</v>
      </c>
      <c r="M1724" t="s">
        <v>57</v>
      </c>
      <c r="N1724" t="str">
        <f>"60000430831 "</f>
        <v xml:space="preserve">60000430831 </v>
      </c>
      <c r="O1724">
        <v>230601</v>
      </c>
    </row>
    <row r="1725" spans="1:15" x14ac:dyDescent="0.25">
      <c r="A1725" t="s">
        <v>16</v>
      </c>
      <c r="B1725" t="s">
        <v>3221</v>
      </c>
      <c r="C1725">
        <v>7810</v>
      </c>
      <c r="D1725" t="s">
        <v>75</v>
      </c>
      <c r="E1725" t="s">
        <v>76</v>
      </c>
      <c r="F1725">
        <v>189.54</v>
      </c>
      <c r="G1725">
        <v>230601</v>
      </c>
      <c r="H1725">
        <v>4471</v>
      </c>
      <c r="I1725" t="s">
        <v>68</v>
      </c>
      <c r="J1725">
        <v>235.03</v>
      </c>
      <c r="K1725">
        <v>45.49</v>
      </c>
      <c r="L1725">
        <v>11401</v>
      </c>
      <c r="M1725" t="s">
        <v>84</v>
      </c>
      <c r="N1725" t="str">
        <f>"60000429117 "</f>
        <v xml:space="preserve">60000429117 </v>
      </c>
      <c r="O1725">
        <v>230602</v>
      </c>
    </row>
    <row r="1726" spans="1:15" x14ac:dyDescent="0.25">
      <c r="A1726" t="s">
        <v>16</v>
      </c>
      <c r="B1726" t="s">
        <v>3221</v>
      </c>
      <c r="C1726">
        <v>7810</v>
      </c>
      <c r="D1726" t="s">
        <v>75</v>
      </c>
      <c r="E1726" t="s">
        <v>76</v>
      </c>
      <c r="F1726">
        <v>379.1</v>
      </c>
      <c r="G1726">
        <v>230601</v>
      </c>
      <c r="H1726">
        <v>4471</v>
      </c>
      <c r="I1726" t="s">
        <v>68</v>
      </c>
      <c r="J1726">
        <v>470.08</v>
      </c>
      <c r="K1726">
        <v>90.98</v>
      </c>
      <c r="L1726">
        <v>14952</v>
      </c>
      <c r="M1726" t="s">
        <v>99</v>
      </c>
      <c r="N1726" t="str">
        <f>"60000429117 "</f>
        <v xml:space="preserve">60000429117 </v>
      </c>
      <c r="O1726">
        <v>230602</v>
      </c>
    </row>
    <row r="1727" spans="1:15" x14ac:dyDescent="0.25">
      <c r="A1727" t="s">
        <v>16</v>
      </c>
      <c r="B1727" t="s">
        <v>3221</v>
      </c>
      <c r="C1727">
        <v>9268</v>
      </c>
      <c r="D1727" t="s">
        <v>75</v>
      </c>
      <c r="E1727" t="s">
        <v>76</v>
      </c>
      <c r="F1727">
        <v>699.82</v>
      </c>
      <c r="G1727">
        <v>230701</v>
      </c>
      <c r="H1727">
        <v>4471</v>
      </c>
      <c r="I1727" t="s">
        <v>68</v>
      </c>
      <c r="J1727">
        <v>867.78</v>
      </c>
      <c r="K1727">
        <v>167.96</v>
      </c>
      <c r="L1727">
        <v>14951</v>
      </c>
      <c r="M1727" t="s">
        <v>57</v>
      </c>
      <c r="N1727" t="str">
        <f>"60000438037 "</f>
        <v xml:space="preserve">60000438037 </v>
      </c>
      <c r="O1727">
        <v>230703</v>
      </c>
    </row>
    <row r="1728" spans="1:15" x14ac:dyDescent="0.25">
      <c r="A1728" t="s">
        <v>16</v>
      </c>
      <c r="B1728" t="s">
        <v>3221</v>
      </c>
      <c r="C1728">
        <v>9275</v>
      </c>
      <c r="D1728" t="s">
        <v>75</v>
      </c>
      <c r="E1728" t="s">
        <v>76</v>
      </c>
      <c r="F1728">
        <v>189.54</v>
      </c>
      <c r="G1728">
        <v>230701</v>
      </c>
      <c r="H1728">
        <v>4471</v>
      </c>
      <c r="I1728" t="s">
        <v>68</v>
      </c>
      <c r="J1728">
        <v>235.03</v>
      </c>
      <c r="K1728">
        <v>45.49</v>
      </c>
      <c r="L1728">
        <v>11401</v>
      </c>
      <c r="M1728" t="s">
        <v>84</v>
      </c>
      <c r="N1728" t="str">
        <f>"60000436253 "</f>
        <v xml:space="preserve">60000436253 </v>
      </c>
      <c r="O1728">
        <v>230703</v>
      </c>
    </row>
    <row r="1729" spans="1:15" x14ac:dyDescent="0.25">
      <c r="A1729" t="s">
        <v>16</v>
      </c>
      <c r="B1729" t="s">
        <v>3221</v>
      </c>
      <c r="C1729">
        <v>9275</v>
      </c>
      <c r="D1729" t="s">
        <v>75</v>
      </c>
      <c r="E1729" t="s">
        <v>76</v>
      </c>
      <c r="F1729">
        <v>379.1</v>
      </c>
      <c r="G1729">
        <v>230701</v>
      </c>
      <c r="H1729">
        <v>4471</v>
      </c>
      <c r="I1729" t="s">
        <v>68</v>
      </c>
      <c r="J1729">
        <v>470.08</v>
      </c>
      <c r="K1729">
        <v>90.98</v>
      </c>
      <c r="L1729">
        <v>14952</v>
      </c>
      <c r="M1729" t="s">
        <v>99</v>
      </c>
      <c r="N1729" t="str">
        <f>"60000436253 "</f>
        <v xml:space="preserve">60000436253 </v>
      </c>
      <c r="O1729">
        <v>230703</v>
      </c>
    </row>
    <row r="1730" spans="1:15" x14ac:dyDescent="0.25">
      <c r="A1730" t="s">
        <v>16</v>
      </c>
      <c r="B1730" t="s">
        <v>3221</v>
      </c>
      <c r="C1730">
        <v>9935</v>
      </c>
      <c r="D1730" t="s">
        <v>75</v>
      </c>
      <c r="E1730" t="s">
        <v>76</v>
      </c>
      <c r="F1730">
        <v>699.82</v>
      </c>
      <c r="G1730">
        <v>230801</v>
      </c>
      <c r="H1730">
        <v>4471</v>
      </c>
      <c r="I1730" t="s">
        <v>68</v>
      </c>
      <c r="J1730">
        <v>867.78</v>
      </c>
      <c r="K1730">
        <v>167.96</v>
      </c>
      <c r="L1730">
        <v>14951</v>
      </c>
      <c r="M1730" t="s">
        <v>57</v>
      </c>
      <c r="N1730" t="str">
        <f>"60000446742 "</f>
        <v xml:space="preserve">60000446742 </v>
      </c>
      <c r="O1730">
        <v>230802</v>
      </c>
    </row>
    <row r="1731" spans="1:15" x14ac:dyDescent="0.25">
      <c r="A1731" t="s">
        <v>16</v>
      </c>
      <c r="B1731" t="s">
        <v>3221</v>
      </c>
      <c r="C1731">
        <v>9938</v>
      </c>
      <c r="D1731" t="s">
        <v>75</v>
      </c>
      <c r="E1731" t="s">
        <v>76</v>
      </c>
      <c r="F1731">
        <v>189.54</v>
      </c>
      <c r="G1731">
        <v>230801</v>
      </c>
      <c r="H1731">
        <v>4471</v>
      </c>
      <c r="I1731" t="s">
        <v>68</v>
      </c>
      <c r="J1731">
        <v>235.03</v>
      </c>
      <c r="K1731">
        <v>45.49</v>
      </c>
      <c r="L1731">
        <v>11401</v>
      </c>
      <c r="M1731" t="s">
        <v>84</v>
      </c>
      <c r="N1731" t="str">
        <f>"60000448675 "</f>
        <v xml:space="preserve">60000448675 </v>
      </c>
      <c r="O1731">
        <v>230802</v>
      </c>
    </row>
    <row r="1732" spans="1:15" x14ac:dyDescent="0.25">
      <c r="A1732" t="s">
        <v>16</v>
      </c>
      <c r="B1732" t="s">
        <v>3221</v>
      </c>
      <c r="C1732">
        <v>9938</v>
      </c>
      <c r="D1732" t="s">
        <v>75</v>
      </c>
      <c r="E1732" t="s">
        <v>76</v>
      </c>
      <c r="F1732">
        <v>379.1</v>
      </c>
      <c r="G1732">
        <v>230801</v>
      </c>
      <c r="H1732">
        <v>4471</v>
      </c>
      <c r="I1732" t="s">
        <v>68</v>
      </c>
      <c r="J1732">
        <v>470.08</v>
      </c>
      <c r="K1732">
        <v>90.98</v>
      </c>
      <c r="L1732">
        <v>14952</v>
      </c>
      <c r="M1732" t="s">
        <v>99</v>
      </c>
      <c r="N1732" t="str">
        <f>"60000448675 "</f>
        <v xml:space="preserve">60000448675 </v>
      </c>
      <c r="O1732">
        <v>230802</v>
      </c>
    </row>
    <row r="1733" spans="1:15" x14ac:dyDescent="0.25">
      <c r="A1733" t="s">
        <v>16</v>
      </c>
      <c r="B1733" t="s">
        <v>3221</v>
      </c>
      <c r="C1733">
        <v>10254</v>
      </c>
      <c r="D1733" t="s">
        <v>75</v>
      </c>
      <c r="E1733" t="s">
        <v>76</v>
      </c>
      <c r="F1733">
        <v>280.81</v>
      </c>
      <c r="G1733">
        <v>230731</v>
      </c>
      <c r="H1733">
        <v>4471</v>
      </c>
      <c r="I1733" t="s">
        <v>68</v>
      </c>
      <c r="J1733">
        <v>348.2</v>
      </c>
      <c r="K1733">
        <v>67.39</v>
      </c>
      <c r="L1733">
        <v>14951</v>
      </c>
      <c r="M1733" t="s">
        <v>57</v>
      </c>
      <c r="N1733" t="str">
        <f>"60000449199 "</f>
        <v xml:space="preserve">60000449199 </v>
      </c>
      <c r="O1733">
        <v>230814</v>
      </c>
    </row>
    <row r="1734" spans="1:15" x14ac:dyDescent="0.25">
      <c r="A1734" t="s">
        <v>16</v>
      </c>
      <c r="B1734" t="s">
        <v>3221</v>
      </c>
      <c r="C1734">
        <v>11012</v>
      </c>
      <c r="D1734" t="s">
        <v>75</v>
      </c>
      <c r="E1734" t="s">
        <v>76</v>
      </c>
      <c r="F1734">
        <v>153.4</v>
      </c>
      <c r="G1734">
        <v>230824</v>
      </c>
      <c r="H1734">
        <v>4471</v>
      </c>
      <c r="I1734" t="s">
        <v>68</v>
      </c>
      <c r="J1734">
        <v>190.22</v>
      </c>
      <c r="K1734">
        <v>36.82</v>
      </c>
      <c r="L1734">
        <v>14951</v>
      </c>
      <c r="M1734" t="s">
        <v>57</v>
      </c>
      <c r="N1734" t="str">
        <f>"60000451373 "</f>
        <v xml:space="preserve">60000451373 </v>
      </c>
      <c r="O1734">
        <v>230828</v>
      </c>
    </row>
    <row r="1735" spans="1:15" x14ac:dyDescent="0.25">
      <c r="A1735" t="s">
        <v>16</v>
      </c>
      <c r="B1735" t="s">
        <v>3221</v>
      </c>
      <c r="C1735">
        <v>11202</v>
      </c>
      <c r="D1735" t="s">
        <v>75</v>
      </c>
      <c r="E1735" t="s">
        <v>76</v>
      </c>
      <c r="F1735">
        <v>699.82</v>
      </c>
      <c r="G1735">
        <v>230901</v>
      </c>
      <c r="H1735">
        <v>4471</v>
      </c>
      <c r="I1735" t="s">
        <v>68</v>
      </c>
      <c r="J1735">
        <v>867.78</v>
      </c>
      <c r="K1735">
        <v>167.96</v>
      </c>
      <c r="L1735">
        <v>14951</v>
      </c>
      <c r="M1735" t="s">
        <v>57</v>
      </c>
      <c r="N1735" t="str">
        <f>"60000453643 "</f>
        <v xml:space="preserve">60000453643 </v>
      </c>
      <c r="O1735">
        <v>230831</v>
      </c>
    </row>
    <row r="1736" spans="1:15" x14ac:dyDescent="0.25">
      <c r="A1736" t="s">
        <v>16</v>
      </c>
      <c r="B1736" t="s">
        <v>3221</v>
      </c>
      <c r="C1736">
        <v>11619</v>
      </c>
      <c r="D1736" t="s">
        <v>75</v>
      </c>
      <c r="E1736" t="s">
        <v>76</v>
      </c>
      <c r="F1736">
        <v>189.54</v>
      </c>
      <c r="G1736">
        <v>230901</v>
      </c>
      <c r="H1736">
        <v>4471</v>
      </c>
      <c r="I1736" t="s">
        <v>68</v>
      </c>
      <c r="J1736">
        <v>235.03</v>
      </c>
      <c r="K1736">
        <v>45.49</v>
      </c>
      <c r="L1736">
        <v>11401</v>
      </c>
      <c r="M1736" t="s">
        <v>84</v>
      </c>
      <c r="N1736" t="str">
        <f>"60000455618 "</f>
        <v xml:space="preserve">60000455618 </v>
      </c>
      <c r="O1736">
        <v>230907</v>
      </c>
    </row>
    <row r="1737" spans="1:15" x14ac:dyDescent="0.25">
      <c r="A1737" t="s">
        <v>16</v>
      </c>
      <c r="B1737" t="s">
        <v>3221</v>
      </c>
      <c r="C1737">
        <v>11619</v>
      </c>
      <c r="D1737" t="s">
        <v>75</v>
      </c>
      <c r="E1737" t="s">
        <v>76</v>
      </c>
      <c r="F1737">
        <v>379.1</v>
      </c>
      <c r="G1737">
        <v>230901</v>
      </c>
      <c r="H1737">
        <v>4471</v>
      </c>
      <c r="I1737" t="s">
        <v>68</v>
      </c>
      <c r="J1737">
        <v>470.08</v>
      </c>
      <c r="K1737">
        <v>90.98</v>
      </c>
      <c r="L1737">
        <v>14952</v>
      </c>
      <c r="M1737" t="s">
        <v>99</v>
      </c>
      <c r="N1737" t="str">
        <f>"60000455618 "</f>
        <v xml:space="preserve">60000455618 </v>
      </c>
      <c r="O1737">
        <v>230907</v>
      </c>
    </row>
    <row r="1738" spans="1:15" x14ac:dyDescent="0.25">
      <c r="A1738" t="s">
        <v>16</v>
      </c>
      <c r="B1738" t="s">
        <v>3221</v>
      </c>
      <c r="C1738">
        <v>13027</v>
      </c>
      <c r="D1738" t="s">
        <v>75</v>
      </c>
      <c r="E1738" t="s">
        <v>76</v>
      </c>
      <c r="F1738">
        <v>699.82</v>
      </c>
      <c r="G1738">
        <v>231001</v>
      </c>
      <c r="H1738">
        <v>4471</v>
      </c>
      <c r="I1738" t="s">
        <v>68</v>
      </c>
      <c r="J1738">
        <v>867.78</v>
      </c>
      <c r="K1738">
        <v>167.96</v>
      </c>
      <c r="L1738">
        <v>14951</v>
      </c>
      <c r="M1738" t="s">
        <v>57</v>
      </c>
      <c r="N1738" t="str">
        <f>"60000460739 "</f>
        <v xml:space="preserve">60000460739 </v>
      </c>
      <c r="O1738">
        <v>231002</v>
      </c>
    </row>
    <row r="1739" spans="1:15" x14ac:dyDescent="0.25">
      <c r="A1739" t="s">
        <v>16</v>
      </c>
      <c r="B1739" t="s">
        <v>3221</v>
      </c>
      <c r="C1739">
        <v>13200</v>
      </c>
      <c r="D1739" t="s">
        <v>75</v>
      </c>
      <c r="E1739" t="s">
        <v>76</v>
      </c>
      <c r="F1739">
        <v>189.54</v>
      </c>
      <c r="G1739">
        <v>231001</v>
      </c>
      <c r="H1739">
        <v>4471</v>
      </c>
      <c r="I1739" t="s">
        <v>68</v>
      </c>
      <c r="J1739">
        <v>235.03</v>
      </c>
      <c r="K1739">
        <v>45.49</v>
      </c>
      <c r="L1739">
        <v>11401</v>
      </c>
      <c r="M1739" t="s">
        <v>84</v>
      </c>
      <c r="N1739" t="str">
        <f>"60000462785 "</f>
        <v xml:space="preserve">60000462785 </v>
      </c>
      <c r="O1739">
        <v>231005</v>
      </c>
    </row>
    <row r="1740" spans="1:15" x14ac:dyDescent="0.25">
      <c r="A1740" t="s">
        <v>16</v>
      </c>
      <c r="B1740" t="s">
        <v>3221</v>
      </c>
      <c r="C1740">
        <v>13200</v>
      </c>
      <c r="D1740" t="s">
        <v>75</v>
      </c>
      <c r="E1740" t="s">
        <v>76</v>
      </c>
      <c r="F1740">
        <v>379.1</v>
      </c>
      <c r="G1740">
        <v>231001</v>
      </c>
      <c r="H1740">
        <v>4471</v>
      </c>
      <c r="I1740" t="s">
        <v>68</v>
      </c>
      <c r="J1740">
        <v>470.08</v>
      </c>
      <c r="K1740">
        <v>90.98</v>
      </c>
      <c r="L1740">
        <v>14952</v>
      </c>
      <c r="M1740" t="s">
        <v>99</v>
      </c>
      <c r="N1740" t="str">
        <f>"60000462785 "</f>
        <v xml:space="preserve">60000462785 </v>
      </c>
      <c r="O1740">
        <v>231005</v>
      </c>
    </row>
    <row r="1741" spans="1:15" x14ac:dyDescent="0.25">
      <c r="A1741" t="s">
        <v>16</v>
      </c>
      <c r="B1741" t="s">
        <v>3221</v>
      </c>
      <c r="C1741">
        <v>14149</v>
      </c>
      <c r="D1741" t="s">
        <v>75</v>
      </c>
      <c r="E1741" t="s">
        <v>76</v>
      </c>
      <c r="F1741">
        <v>404.81</v>
      </c>
      <c r="G1741">
        <v>231015</v>
      </c>
      <c r="H1741">
        <v>4471</v>
      </c>
      <c r="I1741" t="s">
        <v>68</v>
      </c>
      <c r="J1741">
        <v>501.96</v>
      </c>
      <c r="K1741">
        <v>97.15</v>
      </c>
      <c r="L1741">
        <v>14951</v>
      </c>
      <c r="M1741" t="s">
        <v>57</v>
      </c>
      <c r="N1741" t="str">
        <f>"60000466629 "</f>
        <v xml:space="preserve">60000466629 </v>
      </c>
      <c r="O1741">
        <v>231019</v>
      </c>
    </row>
    <row r="1742" spans="1:15" x14ac:dyDescent="0.25">
      <c r="A1742" t="s">
        <v>16</v>
      </c>
      <c r="B1742" t="s">
        <v>3221</v>
      </c>
      <c r="C1742">
        <v>14675</v>
      </c>
      <c r="D1742" t="s">
        <v>75</v>
      </c>
      <c r="E1742" t="s">
        <v>76</v>
      </c>
      <c r="F1742">
        <v>699.82</v>
      </c>
      <c r="G1742">
        <v>231101</v>
      </c>
      <c r="H1742">
        <v>4471</v>
      </c>
      <c r="I1742" t="s">
        <v>68</v>
      </c>
      <c r="J1742">
        <v>867.78</v>
      </c>
      <c r="K1742">
        <v>167.96</v>
      </c>
      <c r="L1742">
        <v>14951</v>
      </c>
      <c r="M1742" t="s">
        <v>57</v>
      </c>
      <c r="N1742" t="str">
        <f>"60000468068 "</f>
        <v xml:space="preserve">60000468068 </v>
      </c>
      <c r="O1742">
        <v>231031</v>
      </c>
    </row>
    <row r="1743" spans="1:15" x14ac:dyDescent="0.25">
      <c r="A1743" t="s">
        <v>16</v>
      </c>
      <c r="B1743" t="s">
        <v>3221</v>
      </c>
      <c r="C1743">
        <v>14722</v>
      </c>
      <c r="D1743" t="s">
        <v>75</v>
      </c>
      <c r="E1743" t="s">
        <v>76</v>
      </c>
      <c r="F1743">
        <v>189.54</v>
      </c>
      <c r="G1743">
        <v>231101</v>
      </c>
      <c r="H1743">
        <v>4471</v>
      </c>
      <c r="I1743" t="s">
        <v>68</v>
      </c>
      <c r="J1743">
        <v>235.03</v>
      </c>
      <c r="K1743">
        <v>45.49</v>
      </c>
      <c r="L1743">
        <v>11401</v>
      </c>
      <c r="M1743" t="s">
        <v>84</v>
      </c>
      <c r="N1743" t="str">
        <f>"60000470128 "</f>
        <v xml:space="preserve">60000470128 </v>
      </c>
      <c r="O1743">
        <v>231101</v>
      </c>
    </row>
    <row r="1744" spans="1:15" x14ac:dyDescent="0.25">
      <c r="A1744" t="s">
        <v>16</v>
      </c>
      <c r="B1744" t="s">
        <v>3221</v>
      </c>
      <c r="C1744">
        <v>14722</v>
      </c>
      <c r="D1744" t="s">
        <v>75</v>
      </c>
      <c r="E1744" t="s">
        <v>76</v>
      </c>
      <c r="F1744">
        <v>379.1</v>
      </c>
      <c r="G1744">
        <v>231101</v>
      </c>
      <c r="H1744">
        <v>4471</v>
      </c>
      <c r="I1744" t="s">
        <v>68</v>
      </c>
      <c r="J1744">
        <v>470.08</v>
      </c>
      <c r="K1744">
        <v>90.98</v>
      </c>
      <c r="L1744">
        <v>14952</v>
      </c>
      <c r="M1744" t="s">
        <v>99</v>
      </c>
      <c r="N1744" t="str">
        <f>"60000470128 "</f>
        <v xml:space="preserve">60000470128 </v>
      </c>
      <c r="O1744">
        <v>231101</v>
      </c>
    </row>
    <row r="1745" spans="1:16" x14ac:dyDescent="0.25">
      <c r="A1745" t="s">
        <v>16</v>
      </c>
      <c r="B1745" t="s">
        <v>3221</v>
      </c>
      <c r="C1745">
        <v>15318</v>
      </c>
      <c r="D1745" t="s">
        <v>75</v>
      </c>
      <c r="E1745" t="s">
        <v>76</v>
      </c>
      <c r="F1745">
        <v>212.19</v>
      </c>
      <c r="G1745">
        <v>231031</v>
      </c>
      <c r="H1745">
        <v>4471</v>
      </c>
      <c r="I1745" t="s">
        <v>68</v>
      </c>
      <c r="J1745">
        <v>263.12</v>
      </c>
      <c r="K1745">
        <v>50.93</v>
      </c>
      <c r="L1745">
        <v>14952</v>
      </c>
      <c r="M1745" t="s">
        <v>99</v>
      </c>
      <c r="N1745" t="str">
        <f>"60000472525 "</f>
        <v xml:space="preserve">60000472525 </v>
      </c>
      <c r="O1745">
        <v>231113</v>
      </c>
    </row>
    <row r="1746" spans="1:16" x14ac:dyDescent="0.25">
      <c r="A1746" t="s">
        <v>16</v>
      </c>
      <c r="B1746" t="s">
        <v>3221</v>
      </c>
      <c r="C1746">
        <v>15972</v>
      </c>
      <c r="D1746" t="s">
        <v>75</v>
      </c>
      <c r="E1746" t="s">
        <v>76</v>
      </c>
      <c r="F1746">
        <v>214.31</v>
      </c>
      <c r="G1746">
        <v>231115</v>
      </c>
      <c r="H1746">
        <v>4471</v>
      </c>
      <c r="I1746" t="s">
        <v>68</v>
      </c>
      <c r="J1746">
        <v>265.74</v>
      </c>
      <c r="K1746">
        <v>51.43</v>
      </c>
      <c r="L1746">
        <v>14951</v>
      </c>
      <c r="M1746" t="s">
        <v>57</v>
      </c>
      <c r="N1746" t="str">
        <f>"60000474093 "</f>
        <v xml:space="preserve">60000474093 </v>
      </c>
      <c r="O1746">
        <v>231122</v>
      </c>
    </row>
    <row r="1747" spans="1:16" x14ac:dyDescent="0.25">
      <c r="A1747" t="s">
        <v>16</v>
      </c>
      <c r="B1747" t="s">
        <v>3221</v>
      </c>
      <c r="C1747">
        <v>17179</v>
      </c>
      <c r="D1747" t="s">
        <v>75</v>
      </c>
      <c r="E1747" t="s">
        <v>76</v>
      </c>
      <c r="F1747">
        <v>699.82</v>
      </c>
      <c r="G1747">
        <v>231201</v>
      </c>
      <c r="H1747">
        <v>4471</v>
      </c>
      <c r="I1747" t="s">
        <v>68</v>
      </c>
      <c r="J1747">
        <v>867.78</v>
      </c>
      <c r="K1747">
        <v>167.96</v>
      </c>
      <c r="L1747">
        <v>14951</v>
      </c>
      <c r="M1747" t="s">
        <v>57</v>
      </c>
      <c r="N1747" t="str">
        <f>"60000475293 "</f>
        <v xml:space="preserve">60000475293 </v>
      </c>
      <c r="O1747">
        <v>231212</v>
      </c>
    </row>
    <row r="1748" spans="1:16" x14ac:dyDescent="0.25">
      <c r="A1748" t="s">
        <v>16</v>
      </c>
      <c r="B1748" t="s">
        <v>3221</v>
      </c>
      <c r="C1748">
        <v>17184</v>
      </c>
      <c r="D1748" t="s">
        <v>75</v>
      </c>
      <c r="E1748" t="s">
        <v>76</v>
      </c>
      <c r="F1748">
        <v>189.54</v>
      </c>
      <c r="G1748">
        <v>231201</v>
      </c>
      <c r="H1748">
        <v>4471</v>
      </c>
      <c r="I1748" t="s">
        <v>68</v>
      </c>
      <c r="J1748">
        <v>235.03</v>
      </c>
      <c r="K1748">
        <v>45.49</v>
      </c>
      <c r="L1748">
        <v>11401</v>
      </c>
      <c r="M1748" t="s">
        <v>84</v>
      </c>
      <c r="N1748" t="str">
        <f>"60000477370 "</f>
        <v xml:space="preserve">60000477370 </v>
      </c>
      <c r="O1748">
        <v>231212</v>
      </c>
    </row>
    <row r="1749" spans="1:16" x14ac:dyDescent="0.25">
      <c r="A1749" t="s">
        <v>16</v>
      </c>
      <c r="B1749" t="s">
        <v>3221</v>
      </c>
      <c r="C1749">
        <v>17184</v>
      </c>
      <c r="D1749" t="s">
        <v>75</v>
      </c>
      <c r="E1749" t="s">
        <v>76</v>
      </c>
      <c r="F1749">
        <v>379.1</v>
      </c>
      <c r="G1749">
        <v>231201</v>
      </c>
      <c r="H1749">
        <v>4471</v>
      </c>
      <c r="I1749" t="s">
        <v>68</v>
      </c>
      <c r="J1749">
        <v>470.08</v>
      </c>
      <c r="K1749">
        <v>90.98</v>
      </c>
      <c r="L1749">
        <v>14952</v>
      </c>
      <c r="M1749" t="s">
        <v>99</v>
      </c>
      <c r="N1749" t="str">
        <f>"60000477370 "</f>
        <v xml:space="preserve">60000477370 </v>
      </c>
      <c r="O1749">
        <v>231212</v>
      </c>
    </row>
    <row r="1750" spans="1:16" x14ac:dyDescent="0.25">
      <c r="A1750" t="s">
        <v>16</v>
      </c>
      <c r="B1750" t="s">
        <v>3221</v>
      </c>
      <c r="C1750">
        <v>17954</v>
      </c>
      <c r="D1750" t="s">
        <v>75</v>
      </c>
      <c r="E1750" t="s">
        <v>76</v>
      </c>
      <c r="F1750">
        <v>89</v>
      </c>
      <c r="G1750">
        <v>231215</v>
      </c>
      <c r="H1750">
        <v>4471</v>
      </c>
      <c r="I1750" t="s">
        <v>68</v>
      </c>
      <c r="J1750">
        <v>110.36</v>
      </c>
      <c r="K1750">
        <v>21.36</v>
      </c>
      <c r="L1750">
        <v>14951</v>
      </c>
      <c r="M1750" t="s">
        <v>57</v>
      </c>
      <c r="N1750" t="str">
        <f>"60000481184 "</f>
        <v xml:space="preserve">60000481184 </v>
      </c>
      <c r="O1750">
        <v>231228</v>
      </c>
    </row>
    <row r="1751" spans="1:16" x14ac:dyDescent="0.25">
      <c r="A1751" t="s">
        <v>16</v>
      </c>
      <c r="B1751" t="s">
        <v>3221</v>
      </c>
      <c r="C1751">
        <v>18325</v>
      </c>
      <c r="D1751" t="s">
        <v>75</v>
      </c>
      <c r="E1751" t="s">
        <v>76</v>
      </c>
      <c r="F1751">
        <v>40.33</v>
      </c>
      <c r="G1751">
        <v>231201</v>
      </c>
      <c r="H1751">
        <v>4471</v>
      </c>
      <c r="I1751" t="s">
        <v>68</v>
      </c>
      <c r="J1751">
        <v>50.01</v>
      </c>
      <c r="K1751">
        <v>9.68</v>
      </c>
      <c r="L1751">
        <v>14951</v>
      </c>
      <c r="M1751" t="s">
        <v>57</v>
      </c>
      <c r="N1751" t="str">
        <f>"60000487466 "</f>
        <v xml:space="preserve">60000487466 </v>
      </c>
      <c r="O1751">
        <v>240102</v>
      </c>
    </row>
    <row r="1752" spans="1:16" x14ac:dyDescent="0.25">
      <c r="A1752" t="s">
        <v>16</v>
      </c>
      <c r="B1752" t="s">
        <v>3221</v>
      </c>
      <c r="C1752">
        <v>6402</v>
      </c>
      <c r="D1752" t="s">
        <v>3453</v>
      </c>
      <c r="E1752" t="s">
        <v>3454</v>
      </c>
      <c r="F1752">
        <v>1551.3</v>
      </c>
      <c r="G1752">
        <v>230505</v>
      </c>
      <c r="H1752">
        <v>4557</v>
      </c>
      <c r="I1752" t="s">
        <v>238</v>
      </c>
      <c r="J1752">
        <v>1551.3</v>
      </c>
      <c r="K1752">
        <v>0</v>
      </c>
      <c r="L1752">
        <v>66754</v>
      </c>
      <c r="M1752" t="s">
        <v>239</v>
      </c>
      <c r="N1752" t="str">
        <f>"9768        "</f>
        <v xml:space="preserve">9768        </v>
      </c>
      <c r="O1752">
        <v>230510</v>
      </c>
      <c r="P1752" t="s">
        <v>3455</v>
      </c>
    </row>
    <row r="1753" spans="1:16" x14ac:dyDescent="0.25">
      <c r="A1753" t="s">
        <v>16</v>
      </c>
      <c r="B1753" t="s">
        <v>3221</v>
      </c>
      <c r="C1753">
        <v>2383</v>
      </c>
      <c r="D1753" t="s">
        <v>1377</v>
      </c>
      <c r="E1753" t="s">
        <v>1378</v>
      </c>
      <c r="F1753">
        <v>337.5</v>
      </c>
      <c r="G1753">
        <v>230127</v>
      </c>
      <c r="H1753">
        <v>4341</v>
      </c>
      <c r="I1753" t="s">
        <v>32</v>
      </c>
      <c r="J1753">
        <v>418.5</v>
      </c>
      <c r="K1753">
        <v>81</v>
      </c>
      <c r="L1753">
        <v>14321</v>
      </c>
      <c r="M1753" t="s">
        <v>717</v>
      </c>
      <c r="N1753" t="str">
        <f>"30462008116 "</f>
        <v xml:space="preserve">30462008116 </v>
      </c>
      <c r="O1753">
        <v>230227</v>
      </c>
    </row>
    <row r="1754" spans="1:16" x14ac:dyDescent="0.25">
      <c r="A1754" t="s">
        <v>16</v>
      </c>
      <c r="B1754" t="s">
        <v>3221</v>
      </c>
      <c r="C1754">
        <v>2383</v>
      </c>
      <c r="D1754" t="s">
        <v>1377</v>
      </c>
      <c r="E1754" t="s">
        <v>1378</v>
      </c>
      <c r="F1754">
        <v>168.75</v>
      </c>
      <c r="G1754">
        <v>230127</v>
      </c>
      <c r="H1754">
        <v>4341</v>
      </c>
      <c r="I1754" t="s">
        <v>32</v>
      </c>
      <c r="J1754">
        <v>209.25</v>
      </c>
      <c r="K1754">
        <v>40.5</v>
      </c>
      <c r="L1754">
        <v>16321</v>
      </c>
      <c r="M1754" t="s">
        <v>423</v>
      </c>
      <c r="N1754" t="str">
        <f>"30462008116 "</f>
        <v xml:space="preserve">30462008116 </v>
      </c>
      <c r="O1754">
        <v>230227</v>
      </c>
    </row>
    <row r="1755" spans="1:16" x14ac:dyDescent="0.25">
      <c r="A1755" t="s">
        <v>16</v>
      </c>
      <c r="B1755" t="s">
        <v>3221</v>
      </c>
      <c r="C1755">
        <v>2383</v>
      </c>
      <c r="D1755" t="s">
        <v>1377</v>
      </c>
      <c r="E1755" t="s">
        <v>1378</v>
      </c>
      <c r="F1755">
        <v>168.75</v>
      </c>
      <c r="G1755">
        <v>230127</v>
      </c>
      <c r="H1755">
        <v>4341</v>
      </c>
      <c r="I1755" t="s">
        <v>32</v>
      </c>
      <c r="J1755">
        <v>209.25</v>
      </c>
      <c r="K1755">
        <v>40.5</v>
      </c>
      <c r="L1755">
        <v>16322</v>
      </c>
      <c r="M1755" t="s">
        <v>22</v>
      </c>
      <c r="N1755" t="str">
        <f>"30462008116 "</f>
        <v xml:space="preserve">30462008116 </v>
      </c>
      <c r="O1755">
        <v>230227</v>
      </c>
    </row>
    <row r="1756" spans="1:16" x14ac:dyDescent="0.25">
      <c r="A1756" t="s">
        <v>16</v>
      </c>
      <c r="B1756" t="s">
        <v>3221</v>
      </c>
      <c r="C1756">
        <v>2383</v>
      </c>
      <c r="D1756" t="s">
        <v>1377</v>
      </c>
      <c r="E1756" t="s">
        <v>1378</v>
      </c>
      <c r="F1756">
        <v>337.5</v>
      </c>
      <c r="G1756">
        <v>230127</v>
      </c>
      <c r="H1756">
        <v>4341</v>
      </c>
      <c r="I1756" t="s">
        <v>32</v>
      </c>
      <c r="J1756">
        <v>418.5</v>
      </c>
      <c r="K1756">
        <v>81</v>
      </c>
      <c r="L1756">
        <v>53222</v>
      </c>
      <c r="M1756" t="s">
        <v>445</v>
      </c>
      <c r="N1756" t="str">
        <f>"30462008116 "</f>
        <v xml:space="preserve">30462008116 </v>
      </c>
      <c r="O1756">
        <v>230227</v>
      </c>
    </row>
    <row r="1757" spans="1:16" x14ac:dyDescent="0.25">
      <c r="A1757" t="s">
        <v>16</v>
      </c>
      <c r="B1757" t="s">
        <v>3221</v>
      </c>
      <c r="C1757">
        <v>2383</v>
      </c>
      <c r="D1757" t="s">
        <v>1377</v>
      </c>
      <c r="E1757" t="s">
        <v>1378</v>
      </c>
      <c r="F1757">
        <v>337.5</v>
      </c>
      <c r="G1757">
        <v>230127</v>
      </c>
      <c r="H1757">
        <v>4343</v>
      </c>
      <c r="I1757" t="s">
        <v>91</v>
      </c>
      <c r="J1757">
        <v>418.5</v>
      </c>
      <c r="K1757">
        <v>81</v>
      </c>
      <c r="L1757">
        <v>43222</v>
      </c>
      <c r="M1757" t="s">
        <v>507</v>
      </c>
      <c r="N1757" t="str">
        <f>"30462008116 "</f>
        <v xml:space="preserve">30462008116 </v>
      </c>
      <c r="O1757">
        <v>230227</v>
      </c>
    </row>
    <row r="1758" spans="1:16" x14ac:dyDescent="0.25">
      <c r="A1758" t="s">
        <v>16</v>
      </c>
      <c r="B1758" t="s">
        <v>3221</v>
      </c>
      <c r="C1758">
        <v>6979</v>
      </c>
      <c r="D1758" t="s">
        <v>2040</v>
      </c>
      <c r="E1758" t="s">
        <v>2041</v>
      </c>
      <c r="F1758">
        <v>138</v>
      </c>
      <c r="G1758">
        <v>230417</v>
      </c>
      <c r="H1758">
        <v>4580</v>
      </c>
      <c r="I1758" t="s">
        <v>35</v>
      </c>
      <c r="J1758">
        <v>171.12</v>
      </c>
      <c r="K1758">
        <v>33.119999999999997</v>
      </c>
      <c r="L1758">
        <v>17526</v>
      </c>
      <c r="M1758" t="s">
        <v>437</v>
      </c>
      <c r="N1758" t="str">
        <f>"47290       "</f>
        <v xml:space="preserve">47290       </v>
      </c>
      <c r="O1758">
        <v>230524</v>
      </c>
    </row>
    <row r="1759" spans="1:16" x14ac:dyDescent="0.25">
      <c r="A1759" t="s">
        <v>16</v>
      </c>
      <c r="B1759" t="s">
        <v>3221</v>
      </c>
      <c r="C1759">
        <v>12699</v>
      </c>
      <c r="D1759" t="s">
        <v>2040</v>
      </c>
      <c r="E1759" t="s">
        <v>2041</v>
      </c>
      <c r="F1759">
        <v>1151.52</v>
      </c>
      <c r="G1759">
        <v>230918</v>
      </c>
      <c r="H1759">
        <v>4400</v>
      </c>
      <c r="I1759" t="s">
        <v>348</v>
      </c>
      <c r="J1759">
        <v>1427.88</v>
      </c>
      <c r="K1759">
        <v>276.36</v>
      </c>
      <c r="L1759">
        <v>17523</v>
      </c>
      <c r="M1759" t="s">
        <v>134</v>
      </c>
      <c r="N1759" t="str">
        <f>"48255       "</f>
        <v xml:space="preserve">48255       </v>
      </c>
      <c r="O1759">
        <v>230925</v>
      </c>
    </row>
    <row r="1760" spans="1:16" x14ac:dyDescent="0.25">
      <c r="A1760" t="s">
        <v>16</v>
      </c>
      <c r="B1760" t="s">
        <v>3221</v>
      </c>
      <c r="C1760">
        <v>17348</v>
      </c>
      <c r="D1760" t="s">
        <v>3059</v>
      </c>
      <c r="F1760">
        <v>1414.04</v>
      </c>
      <c r="G1760">
        <v>231211</v>
      </c>
      <c r="H1760">
        <v>4600</v>
      </c>
      <c r="I1760" t="s">
        <v>105</v>
      </c>
      <c r="J1760">
        <v>1414.04</v>
      </c>
      <c r="K1760">
        <v>0</v>
      </c>
      <c r="L1760">
        <v>11301</v>
      </c>
      <c r="M1760" t="s">
        <v>29</v>
      </c>
      <c r="N1760" t="str">
        <f>"77921       "</f>
        <v xml:space="preserve">77921       </v>
      </c>
      <c r="O1760">
        <v>231213</v>
      </c>
      <c r="P1760" t="s">
        <v>3060</v>
      </c>
    </row>
    <row r="1761" spans="1:16" x14ac:dyDescent="0.25">
      <c r="A1761" t="s">
        <v>16</v>
      </c>
      <c r="B1761" t="s">
        <v>3221</v>
      </c>
      <c r="C1761">
        <v>18621</v>
      </c>
      <c r="D1761" t="s">
        <v>3059</v>
      </c>
      <c r="F1761">
        <v>805.88</v>
      </c>
      <c r="G1761">
        <v>231220</v>
      </c>
      <c r="H1761">
        <v>4530</v>
      </c>
      <c r="I1761" t="s">
        <v>342</v>
      </c>
      <c r="J1761">
        <v>999.29</v>
      </c>
      <c r="K1761">
        <v>193.41</v>
      </c>
      <c r="L1761">
        <v>11301</v>
      </c>
      <c r="M1761" t="s">
        <v>29</v>
      </c>
      <c r="N1761" t="str">
        <f>"78152       "</f>
        <v xml:space="preserve">78152       </v>
      </c>
      <c r="O1761">
        <v>240104</v>
      </c>
      <c r="P1761" t="s">
        <v>3060</v>
      </c>
    </row>
    <row r="1762" spans="1:16" x14ac:dyDescent="0.25">
      <c r="A1762" t="s">
        <v>16</v>
      </c>
      <c r="B1762" t="s">
        <v>3221</v>
      </c>
      <c r="C1762">
        <v>2746</v>
      </c>
      <c r="D1762" t="s">
        <v>3381</v>
      </c>
      <c r="E1762" t="s">
        <v>3382</v>
      </c>
      <c r="F1762">
        <v>18</v>
      </c>
      <c r="G1762">
        <v>230228</v>
      </c>
      <c r="H1762">
        <v>4410</v>
      </c>
      <c r="I1762" t="s">
        <v>517</v>
      </c>
      <c r="J1762">
        <v>18</v>
      </c>
      <c r="K1762">
        <v>0</v>
      </c>
      <c r="L1762">
        <v>66722</v>
      </c>
      <c r="M1762" t="s">
        <v>518</v>
      </c>
      <c r="N1762" t="str">
        <f>"23400111    "</f>
        <v xml:space="preserve">23400111    </v>
      </c>
      <c r="O1762">
        <v>230307</v>
      </c>
    </row>
    <row r="1763" spans="1:16" x14ac:dyDescent="0.25">
      <c r="A1763" t="s">
        <v>16</v>
      </c>
      <c r="B1763" t="s">
        <v>3221</v>
      </c>
      <c r="C1763">
        <v>1637</v>
      </c>
      <c r="D1763" t="s">
        <v>1111</v>
      </c>
      <c r="E1763" t="s">
        <v>1112</v>
      </c>
      <c r="F1763">
        <v>200</v>
      </c>
      <c r="G1763">
        <v>230207</v>
      </c>
      <c r="H1763">
        <v>4440</v>
      </c>
      <c r="I1763" t="s">
        <v>250</v>
      </c>
      <c r="J1763">
        <v>248</v>
      </c>
      <c r="K1763">
        <v>48</v>
      </c>
      <c r="L1763">
        <v>16930</v>
      </c>
      <c r="M1763" t="s">
        <v>450</v>
      </c>
      <c r="N1763" t="str">
        <f>"BF-5-2023   "</f>
        <v xml:space="preserve">BF-5-2023   </v>
      </c>
      <c r="O1763">
        <v>230210</v>
      </c>
    </row>
    <row r="1764" spans="1:16" x14ac:dyDescent="0.25">
      <c r="A1764" t="s">
        <v>16</v>
      </c>
      <c r="B1764" t="s">
        <v>3221</v>
      </c>
      <c r="C1764">
        <v>7674</v>
      </c>
      <c r="D1764" t="s">
        <v>2114</v>
      </c>
      <c r="E1764" t="s">
        <v>2115</v>
      </c>
      <c r="F1764">
        <v>250</v>
      </c>
      <c r="G1764">
        <v>230529</v>
      </c>
      <c r="H1764">
        <v>4440</v>
      </c>
      <c r="I1764" t="s">
        <v>250</v>
      </c>
      <c r="J1764">
        <v>310</v>
      </c>
      <c r="K1764">
        <v>60</v>
      </c>
      <c r="L1764">
        <v>16930</v>
      </c>
      <c r="M1764" t="s">
        <v>450</v>
      </c>
      <c r="N1764" t="str">
        <f>"4947        "</f>
        <v xml:space="preserve">4947        </v>
      </c>
      <c r="O1764">
        <v>230601</v>
      </c>
    </row>
    <row r="1765" spans="1:16" x14ac:dyDescent="0.25">
      <c r="A1765" t="s">
        <v>16</v>
      </c>
      <c r="B1765" t="s">
        <v>3221</v>
      </c>
      <c r="C1765">
        <v>18086</v>
      </c>
      <c r="D1765" t="s">
        <v>878</v>
      </c>
      <c r="E1765" t="s">
        <v>879</v>
      </c>
      <c r="F1765">
        <v>5121.97</v>
      </c>
      <c r="G1765">
        <v>231219</v>
      </c>
      <c r="H1765">
        <v>4520</v>
      </c>
      <c r="I1765" t="s">
        <v>254</v>
      </c>
      <c r="J1765">
        <v>5839.05</v>
      </c>
      <c r="K1765">
        <v>717.08</v>
      </c>
      <c r="L1765">
        <v>11301</v>
      </c>
      <c r="M1765" t="s">
        <v>29</v>
      </c>
      <c r="N1765" t="str">
        <f>"1231200009  "</f>
        <v xml:space="preserve">1231200009  </v>
      </c>
      <c r="O1765">
        <v>240102</v>
      </c>
    </row>
    <row r="1766" spans="1:16" x14ac:dyDescent="0.25">
      <c r="A1766" t="s">
        <v>16</v>
      </c>
      <c r="B1766" t="s">
        <v>3221</v>
      </c>
      <c r="C1766">
        <v>1088</v>
      </c>
      <c r="D1766" t="s">
        <v>878</v>
      </c>
      <c r="E1766" t="s">
        <v>879</v>
      </c>
      <c r="F1766">
        <v>4968</v>
      </c>
      <c r="G1766">
        <v>230131</v>
      </c>
      <c r="H1766">
        <v>4600</v>
      </c>
      <c r="I1766" t="s">
        <v>105</v>
      </c>
      <c r="J1766">
        <v>6160.32</v>
      </c>
      <c r="K1766">
        <v>1192.32</v>
      </c>
      <c r="L1766">
        <v>11301</v>
      </c>
      <c r="M1766" t="s">
        <v>29</v>
      </c>
      <c r="N1766" t="str">
        <f>"1230100022  "</f>
        <v xml:space="preserve">1230100022  </v>
      </c>
      <c r="O1766">
        <v>230203</v>
      </c>
    </row>
    <row r="1767" spans="1:16" x14ac:dyDescent="0.25">
      <c r="A1767" t="s">
        <v>16</v>
      </c>
      <c r="B1767" t="s">
        <v>3221</v>
      </c>
      <c r="C1767">
        <v>8103</v>
      </c>
      <c r="D1767" t="s">
        <v>878</v>
      </c>
      <c r="E1767" t="s">
        <v>879</v>
      </c>
      <c r="F1767">
        <v>387</v>
      </c>
      <c r="G1767">
        <v>230606</v>
      </c>
      <c r="H1767">
        <v>4600</v>
      </c>
      <c r="I1767" t="s">
        <v>105</v>
      </c>
      <c r="J1767">
        <v>479.88</v>
      </c>
      <c r="K1767">
        <v>92.88</v>
      </c>
      <c r="L1767">
        <v>11301</v>
      </c>
      <c r="M1767" t="s">
        <v>29</v>
      </c>
      <c r="N1767" t="str">
        <f>"1230600001  "</f>
        <v xml:space="preserve">1230600001  </v>
      </c>
      <c r="O1767">
        <v>230607</v>
      </c>
    </row>
    <row r="1768" spans="1:16" x14ac:dyDescent="0.25">
      <c r="A1768" t="s">
        <v>16</v>
      </c>
      <c r="B1768" t="s">
        <v>3221</v>
      </c>
      <c r="C1768">
        <v>13435</v>
      </c>
      <c r="D1768" t="s">
        <v>878</v>
      </c>
      <c r="E1768" t="s">
        <v>879</v>
      </c>
      <c r="F1768">
        <v>2088</v>
      </c>
      <c r="G1768">
        <v>231005</v>
      </c>
      <c r="H1768">
        <v>4600</v>
      </c>
      <c r="I1768" t="s">
        <v>105</v>
      </c>
      <c r="J1768">
        <v>2589.12</v>
      </c>
      <c r="K1768">
        <v>501.12</v>
      </c>
      <c r="L1768">
        <v>11301</v>
      </c>
      <c r="M1768" t="s">
        <v>29</v>
      </c>
      <c r="N1768" t="str">
        <f>"1231000001  "</f>
        <v xml:space="preserve">1231000001  </v>
      </c>
      <c r="O1768">
        <v>231010</v>
      </c>
    </row>
    <row r="1769" spans="1:16" x14ac:dyDescent="0.25">
      <c r="A1769" t="s">
        <v>16</v>
      </c>
      <c r="B1769" t="s">
        <v>3221</v>
      </c>
      <c r="C1769">
        <v>16281</v>
      </c>
      <c r="D1769" t="s">
        <v>878</v>
      </c>
      <c r="E1769" t="s">
        <v>879</v>
      </c>
      <c r="F1769">
        <v>1963.5</v>
      </c>
      <c r="G1769">
        <v>231124</v>
      </c>
      <c r="H1769">
        <v>4600</v>
      </c>
      <c r="I1769" t="s">
        <v>105</v>
      </c>
      <c r="J1769">
        <v>2434.7399999999998</v>
      </c>
      <c r="K1769">
        <v>471.24</v>
      </c>
      <c r="L1769">
        <v>11301</v>
      </c>
      <c r="M1769" t="s">
        <v>29</v>
      </c>
      <c r="N1769" t="str">
        <f>"1231100013  "</f>
        <v xml:space="preserve">1231100013  </v>
      </c>
      <c r="O1769">
        <v>231127</v>
      </c>
    </row>
    <row r="1770" spans="1:16" x14ac:dyDescent="0.25">
      <c r="A1770" t="s">
        <v>16</v>
      </c>
      <c r="B1770" t="s">
        <v>3221</v>
      </c>
      <c r="C1770">
        <v>16281</v>
      </c>
      <c r="D1770" t="s">
        <v>878</v>
      </c>
      <c r="E1770" t="s">
        <v>879</v>
      </c>
      <c r="F1770">
        <v>654.5</v>
      </c>
      <c r="G1770">
        <v>231124</v>
      </c>
      <c r="H1770">
        <v>4600</v>
      </c>
      <c r="I1770" t="s">
        <v>105</v>
      </c>
      <c r="J1770">
        <v>811.58</v>
      </c>
      <c r="K1770">
        <v>157.08000000000001</v>
      </c>
      <c r="L1770">
        <v>18994</v>
      </c>
      <c r="M1770" t="s">
        <v>1940</v>
      </c>
      <c r="N1770" t="str">
        <f>"1231100013  "</f>
        <v xml:space="preserve">1231100013  </v>
      </c>
      <c r="O1770">
        <v>231127</v>
      </c>
    </row>
    <row r="1771" spans="1:16" x14ac:dyDescent="0.25">
      <c r="A1771" t="s">
        <v>16</v>
      </c>
      <c r="B1771" t="s">
        <v>3221</v>
      </c>
      <c r="C1771">
        <v>16539</v>
      </c>
      <c r="D1771" t="s">
        <v>878</v>
      </c>
      <c r="E1771" t="s">
        <v>879</v>
      </c>
      <c r="F1771">
        <v>2317.9899999999998</v>
      </c>
      <c r="G1771">
        <v>231130</v>
      </c>
      <c r="H1771">
        <v>4600</v>
      </c>
      <c r="I1771" t="s">
        <v>105</v>
      </c>
      <c r="J1771">
        <v>2874.31</v>
      </c>
      <c r="K1771">
        <v>556.32000000000005</v>
      </c>
      <c r="L1771">
        <v>11301</v>
      </c>
      <c r="M1771" t="s">
        <v>29</v>
      </c>
      <c r="N1771" t="str">
        <f>"1231100017  "</f>
        <v xml:space="preserve">1231100017  </v>
      </c>
      <c r="O1771">
        <v>231201</v>
      </c>
    </row>
    <row r="1772" spans="1:16" x14ac:dyDescent="0.25">
      <c r="A1772" t="s">
        <v>16</v>
      </c>
      <c r="B1772" t="s">
        <v>3221</v>
      </c>
      <c r="C1772">
        <v>16541</v>
      </c>
      <c r="D1772" t="s">
        <v>878</v>
      </c>
      <c r="E1772" t="s">
        <v>879</v>
      </c>
      <c r="F1772">
        <v>3618</v>
      </c>
      <c r="G1772">
        <v>231130</v>
      </c>
      <c r="H1772">
        <v>4600</v>
      </c>
      <c r="I1772" t="s">
        <v>105</v>
      </c>
      <c r="J1772">
        <v>4486.32</v>
      </c>
      <c r="K1772">
        <v>868.32</v>
      </c>
      <c r="L1772">
        <v>11301</v>
      </c>
      <c r="M1772" t="s">
        <v>29</v>
      </c>
      <c r="N1772" t="str">
        <f>"1231100018  "</f>
        <v xml:space="preserve">1231100018  </v>
      </c>
      <c r="O1772">
        <v>231201</v>
      </c>
    </row>
    <row r="1773" spans="1:16" x14ac:dyDescent="0.25">
      <c r="A1773" t="s">
        <v>16</v>
      </c>
      <c r="B1773" t="s">
        <v>3221</v>
      </c>
      <c r="C1773">
        <v>17112</v>
      </c>
      <c r="D1773" t="s">
        <v>878</v>
      </c>
      <c r="E1773" t="s">
        <v>879</v>
      </c>
      <c r="F1773">
        <v>2968</v>
      </c>
      <c r="G1773">
        <v>231205</v>
      </c>
      <c r="H1773">
        <v>4600</v>
      </c>
      <c r="I1773" t="s">
        <v>105</v>
      </c>
      <c r="J1773">
        <v>3680.32</v>
      </c>
      <c r="K1773">
        <v>712.32</v>
      </c>
      <c r="L1773">
        <v>11301</v>
      </c>
      <c r="M1773" t="s">
        <v>29</v>
      </c>
      <c r="N1773" t="str">
        <f>"1231200004  "</f>
        <v xml:space="preserve">1231200004  </v>
      </c>
      <c r="O1773">
        <v>231212</v>
      </c>
    </row>
    <row r="1774" spans="1:16" x14ac:dyDescent="0.25">
      <c r="A1774" t="s">
        <v>16</v>
      </c>
      <c r="B1774" t="s">
        <v>3221</v>
      </c>
      <c r="C1774">
        <v>17121</v>
      </c>
      <c r="D1774" t="s">
        <v>878</v>
      </c>
      <c r="E1774" t="s">
        <v>879</v>
      </c>
      <c r="F1774">
        <v>4668</v>
      </c>
      <c r="G1774">
        <v>231205</v>
      </c>
      <c r="H1774">
        <v>4600</v>
      </c>
      <c r="I1774" t="s">
        <v>105</v>
      </c>
      <c r="J1774">
        <v>5788.32</v>
      </c>
      <c r="K1774">
        <v>1120.32</v>
      </c>
      <c r="L1774">
        <v>11301</v>
      </c>
      <c r="M1774" t="s">
        <v>29</v>
      </c>
      <c r="N1774" t="str">
        <f>"1231200003  "</f>
        <v xml:space="preserve">1231200003  </v>
      </c>
      <c r="O1774">
        <v>231212</v>
      </c>
    </row>
    <row r="1775" spans="1:16" x14ac:dyDescent="0.25">
      <c r="A1775" t="s">
        <v>16</v>
      </c>
      <c r="B1775" t="s">
        <v>3221</v>
      </c>
      <c r="C1775">
        <v>17560</v>
      </c>
      <c r="D1775" t="s">
        <v>878</v>
      </c>
      <c r="E1775" t="s">
        <v>879</v>
      </c>
      <c r="F1775">
        <v>5005.5</v>
      </c>
      <c r="G1775">
        <v>231213</v>
      </c>
      <c r="H1775">
        <v>4600</v>
      </c>
      <c r="I1775" t="s">
        <v>105</v>
      </c>
      <c r="J1775">
        <v>6206.82</v>
      </c>
      <c r="K1775">
        <v>1201.32</v>
      </c>
      <c r="L1775">
        <v>11301</v>
      </c>
      <c r="M1775" t="s">
        <v>29</v>
      </c>
      <c r="N1775" t="str">
        <f>"1231200007  "</f>
        <v xml:space="preserve">1231200007  </v>
      </c>
      <c r="O1775">
        <v>231215</v>
      </c>
    </row>
    <row r="1776" spans="1:16" x14ac:dyDescent="0.25">
      <c r="A1776" t="s">
        <v>16</v>
      </c>
      <c r="B1776" t="s">
        <v>3221</v>
      </c>
      <c r="C1776">
        <v>18081</v>
      </c>
      <c r="D1776" t="s">
        <v>878</v>
      </c>
      <c r="E1776" t="s">
        <v>879</v>
      </c>
      <c r="F1776">
        <v>8968</v>
      </c>
      <c r="G1776">
        <v>231219</v>
      </c>
      <c r="H1776">
        <v>4600</v>
      </c>
      <c r="I1776" t="s">
        <v>105</v>
      </c>
      <c r="J1776">
        <v>11120.32</v>
      </c>
      <c r="K1776">
        <v>2152.3200000000002</v>
      </c>
      <c r="L1776">
        <v>11301</v>
      </c>
      <c r="M1776" t="s">
        <v>29</v>
      </c>
      <c r="N1776" t="str">
        <f>"1231200011  "</f>
        <v xml:space="preserve">1231200011  </v>
      </c>
      <c r="O1776">
        <v>240102</v>
      </c>
    </row>
    <row r="1777" spans="1:15" x14ac:dyDescent="0.25">
      <c r="A1777" t="s">
        <v>16</v>
      </c>
      <c r="B1777" t="s">
        <v>3221</v>
      </c>
      <c r="C1777">
        <v>18108</v>
      </c>
      <c r="D1777" t="s">
        <v>878</v>
      </c>
      <c r="E1777" t="s">
        <v>879</v>
      </c>
      <c r="F1777">
        <v>5078</v>
      </c>
      <c r="G1777">
        <v>231219</v>
      </c>
      <c r="H1777">
        <v>4600</v>
      </c>
      <c r="I1777" t="s">
        <v>105</v>
      </c>
      <c r="J1777">
        <v>6296.72</v>
      </c>
      <c r="K1777">
        <v>1218.72</v>
      </c>
      <c r="L1777">
        <v>11301</v>
      </c>
      <c r="M1777" t="s">
        <v>29</v>
      </c>
      <c r="N1777" t="str">
        <f>"1231200010  "</f>
        <v xml:space="preserve">1231200010  </v>
      </c>
      <c r="O1777">
        <v>240102</v>
      </c>
    </row>
    <row r="1778" spans="1:15" x14ac:dyDescent="0.25">
      <c r="A1778" t="s">
        <v>16</v>
      </c>
      <c r="B1778" t="s">
        <v>3221</v>
      </c>
      <c r="C1778">
        <v>2681</v>
      </c>
      <c r="D1778" t="s">
        <v>878</v>
      </c>
      <c r="E1778" t="s">
        <v>879</v>
      </c>
      <c r="F1778">
        <v>3868</v>
      </c>
      <c r="G1778">
        <v>230228</v>
      </c>
      <c r="H1778">
        <v>4500</v>
      </c>
      <c r="I1778" t="s">
        <v>212</v>
      </c>
      <c r="J1778">
        <v>4796.32</v>
      </c>
      <c r="K1778">
        <v>928.32</v>
      </c>
      <c r="L1778">
        <v>11301</v>
      </c>
      <c r="M1778" t="s">
        <v>29</v>
      </c>
      <c r="N1778" t="str">
        <f>"1230200021  "</f>
        <v xml:space="preserve">1230200021  </v>
      </c>
      <c r="O1778">
        <v>230306</v>
      </c>
    </row>
    <row r="1779" spans="1:15" x14ac:dyDescent="0.25">
      <c r="A1779" t="s">
        <v>16</v>
      </c>
      <c r="B1779" t="s">
        <v>3221</v>
      </c>
      <c r="C1779">
        <v>11489</v>
      </c>
      <c r="D1779" t="s">
        <v>878</v>
      </c>
      <c r="E1779" t="s">
        <v>879</v>
      </c>
      <c r="F1779">
        <v>2076</v>
      </c>
      <c r="G1779">
        <v>230831</v>
      </c>
      <c r="H1779">
        <v>4500</v>
      </c>
      <c r="I1779" t="s">
        <v>212</v>
      </c>
      <c r="J1779">
        <v>2574.2399999999998</v>
      </c>
      <c r="K1779">
        <v>498.24</v>
      </c>
      <c r="L1779">
        <v>11301</v>
      </c>
      <c r="M1779" t="s">
        <v>29</v>
      </c>
      <c r="N1779" t="str">
        <f>"1230800029  "</f>
        <v xml:space="preserve">1230800029  </v>
      </c>
      <c r="O1779">
        <v>230906</v>
      </c>
    </row>
    <row r="1780" spans="1:15" x14ac:dyDescent="0.25">
      <c r="A1780" t="s">
        <v>16</v>
      </c>
      <c r="B1780" t="s">
        <v>3221</v>
      </c>
      <c r="C1780">
        <v>15948</v>
      </c>
      <c r="D1780" t="s">
        <v>878</v>
      </c>
      <c r="E1780" t="s">
        <v>879</v>
      </c>
      <c r="F1780">
        <v>3950</v>
      </c>
      <c r="G1780">
        <v>231114</v>
      </c>
      <c r="H1780">
        <v>4500</v>
      </c>
      <c r="I1780" t="s">
        <v>212</v>
      </c>
      <c r="J1780">
        <v>4898</v>
      </c>
      <c r="K1780">
        <v>948</v>
      </c>
      <c r="L1780">
        <v>11301</v>
      </c>
      <c r="M1780" t="s">
        <v>29</v>
      </c>
      <c r="N1780" t="str">
        <f>"1231100006  "</f>
        <v xml:space="preserve">1231100006  </v>
      </c>
      <c r="O1780">
        <v>231122</v>
      </c>
    </row>
    <row r="1781" spans="1:15" x14ac:dyDescent="0.25">
      <c r="A1781" t="s">
        <v>16</v>
      </c>
      <c r="B1781" t="s">
        <v>3221</v>
      </c>
      <c r="C1781">
        <v>5123</v>
      </c>
      <c r="D1781" t="s">
        <v>878</v>
      </c>
      <c r="E1781" t="s">
        <v>879</v>
      </c>
      <c r="F1781">
        <v>4518</v>
      </c>
      <c r="G1781">
        <v>230414</v>
      </c>
      <c r="H1781">
        <v>4530</v>
      </c>
      <c r="I1781" t="s">
        <v>342</v>
      </c>
      <c r="J1781">
        <v>5602.32</v>
      </c>
      <c r="K1781">
        <v>1084.32</v>
      </c>
      <c r="L1781">
        <v>11301</v>
      </c>
      <c r="M1781" t="s">
        <v>29</v>
      </c>
      <c r="N1781" t="str">
        <f>"1230400009  "</f>
        <v xml:space="preserve">1230400009  </v>
      </c>
      <c r="O1781">
        <v>230418</v>
      </c>
    </row>
    <row r="1782" spans="1:15" x14ac:dyDescent="0.25">
      <c r="A1782" t="s">
        <v>16</v>
      </c>
      <c r="B1782" t="s">
        <v>3221</v>
      </c>
      <c r="C1782">
        <v>5308</v>
      </c>
      <c r="D1782" t="s">
        <v>1832</v>
      </c>
      <c r="E1782" t="s">
        <v>1833</v>
      </c>
      <c r="F1782">
        <v>5544</v>
      </c>
      <c r="G1782">
        <v>230418</v>
      </c>
      <c r="H1782">
        <v>4600</v>
      </c>
      <c r="I1782" t="s">
        <v>105</v>
      </c>
      <c r="J1782">
        <v>6874.56</v>
      </c>
      <c r="K1782">
        <v>1330.56</v>
      </c>
      <c r="L1782">
        <v>17522</v>
      </c>
      <c r="M1782" t="s">
        <v>451</v>
      </c>
      <c r="N1782" t="str">
        <f>"CD22046301  "</f>
        <v xml:space="preserve">CD22046301  </v>
      </c>
      <c r="O1782">
        <v>230420</v>
      </c>
    </row>
    <row r="1783" spans="1:15" x14ac:dyDescent="0.25">
      <c r="A1783" t="s">
        <v>16</v>
      </c>
      <c r="B1783" t="s">
        <v>3221</v>
      </c>
      <c r="C1783">
        <v>736</v>
      </c>
      <c r="D1783" t="s">
        <v>706</v>
      </c>
      <c r="E1783" t="s">
        <v>707</v>
      </c>
      <c r="F1783">
        <v>505.28</v>
      </c>
      <c r="G1783">
        <v>230124</v>
      </c>
      <c r="H1783">
        <v>4520</v>
      </c>
      <c r="I1783" t="s">
        <v>254</v>
      </c>
      <c r="J1783">
        <v>576.02</v>
      </c>
      <c r="K1783">
        <v>70.739999999999995</v>
      </c>
      <c r="L1783">
        <v>54422</v>
      </c>
      <c r="M1783" t="s">
        <v>234</v>
      </c>
      <c r="N1783" t="str">
        <f>"159114      "</f>
        <v xml:space="preserve">159114      </v>
      </c>
      <c r="O1783">
        <v>230127</v>
      </c>
    </row>
    <row r="1784" spans="1:15" x14ac:dyDescent="0.25">
      <c r="A1784" t="s">
        <v>16</v>
      </c>
      <c r="B1784" t="s">
        <v>3221</v>
      </c>
      <c r="C1784">
        <v>1202</v>
      </c>
      <c r="D1784" t="s">
        <v>706</v>
      </c>
      <c r="E1784" t="s">
        <v>707</v>
      </c>
      <c r="F1784">
        <v>248.83</v>
      </c>
      <c r="G1784">
        <v>230131</v>
      </c>
      <c r="H1784">
        <v>4520</v>
      </c>
      <c r="I1784" t="s">
        <v>254</v>
      </c>
      <c r="J1784">
        <v>283.67</v>
      </c>
      <c r="K1784">
        <v>34.840000000000003</v>
      </c>
      <c r="L1784">
        <v>54422</v>
      </c>
      <c r="M1784" t="s">
        <v>234</v>
      </c>
      <c r="N1784" t="str">
        <f>"159706      "</f>
        <v xml:space="preserve">159706      </v>
      </c>
      <c r="O1784">
        <v>230206</v>
      </c>
    </row>
    <row r="1785" spans="1:15" x14ac:dyDescent="0.25">
      <c r="A1785" t="s">
        <v>16</v>
      </c>
      <c r="B1785" t="s">
        <v>3221</v>
      </c>
      <c r="C1785">
        <v>2105</v>
      </c>
      <c r="D1785" t="s">
        <v>706</v>
      </c>
      <c r="E1785" t="s">
        <v>707</v>
      </c>
      <c r="F1785">
        <v>207.69</v>
      </c>
      <c r="G1785">
        <v>230216</v>
      </c>
      <c r="H1785">
        <v>4520</v>
      </c>
      <c r="I1785" t="s">
        <v>254</v>
      </c>
      <c r="J1785">
        <v>236.77</v>
      </c>
      <c r="K1785">
        <v>29.08</v>
      </c>
      <c r="L1785">
        <v>59113</v>
      </c>
      <c r="M1785" t="s">
        <v>235</v>
      </c>
      <c r="N1785" t="str">
        <f>"160847      "</f>
        <v xml:space="preserve">160847      </v>
      </c>
      <c r="O1785">
        <v>230221</v>
      </c>
    </row>
    <row r="1786" spans="1:15" x14ac:dyDescent="0.25">
      <c r="A1786" t="s">
        <v>16</v>
      </c>
      <c r="B1786" t="s">
        <v>3221</v>
      </c>
      <c r="C1786">
        <v>2105</v>
      </c>
      <c r="D1786" t="s">
        <v>706</v>
      </c>
      <c r="E1786" t="s">
        <v>707</v>
      </c>
      <c r="F1786">
        <v>13.16</v>
      </c>
      <c r="G1786">
        <v>230216</v>
      </c>
      <c r="H1786">
        <v>4520</v>
      </c>
      <c r="I1786" t="s">
        <v>254</v>
      </c>
      <c r="J1786">
        <v>15</v>
      </c>
      <c r="K1786">
        <v>1.84</v>
      </c>
      <c r="L1786">
        <v>59803</v>
      </c>
      <c r="M1786" t="s">
        <v>533</v>
      </c>
      <c r="N1786" t="str">
        <f>"160847      "</f>
        <v xml:space="preserve">160847      </v>
      </c>
      <c r="O1786">
        <v>230221</v>
      </c>
    </row>
    <row r="1787" spans="1:15" x14ac:dyDescent="0.25">
      <c r="A1787" t="s">
        <v>16</v>
      </c>
      <c r="B1787" t="s">
        <v>3221</v>
      </c>
      <c r="C1787">
        <v>2435</v>
      </c>
      <c r="D1787" t="s">
        <v>706</v>
      </c>
      <c r="E1787" t="s">
        <v>707</v>
      </c>
      <c r="F1787">
        <v>405.81</v>
      </c>
      <c r="G1787">
        <v>230224</v>
      </c>
      <c r="H1787">
        <v>4520</v>
      </c>
      <c r="I1787" t="s">
        <v>254</v>
      </c>
      <c r="J1787">
        <v>462.62</v>
      </c>
      <c r="K1787">
        <v>56.81</v>
      </c>
      <c r="L1787">
        <v>54422</v>
      </c>
      <c r="M1787" t="s">
        <v>234</v>
      </c>
      <c r="N1787" t="str">
        <f>"161416      "</f>
        <v xml:space="preserve">161416      </v>
      </c>
      <c r="O1787">
        <v>230227</v>
      </c>
    </row>
    <row r="1788" spans="1:15" x14ac:dyDescent="0.25">
      <c r="A1788" t="s">
        <v>16</v>
      </c>
      <c r="B1788" t="s">
        <v>3221</v>
      </c>
      <c r="C1788">
        <v>3546</v>
      </c>
      <c r="D1788" t="s">
        <v>706</v>
      </c>
      <c r="E1788" t="s">
        <v>707</v>
      </c>
      <c r="F1788">
        <v>218.1</v>
      </c>
      <c r="G1788">
        <v>230309</v>
      </c>
      <c r="H1788">
        <v>4520</v>
      </c>
      <c r="I1788" t="s">
        <v>254</v>
      </c>
      <c r="J1788">
        <v>248.63</v>
      </c>
      <c r="K1788">
        <v>30.53</v>
      </c>
      <c r="L1788">
        <v>54451</v>
      </c>
      <c r="M1788" t="s">
        <v>158</v>
      </c>
      <c r="N1788" t="str">
        <f>"162369      "</f>
        <v xml:space="preserve">162369      </v>
      </c>
      <c r="O1788">
        <v>230316</v>
      </c>
    </row>
    <row r="1789" spans="1:15" x14ac:dyDescent="0.25">
      <c r="A1789" t="s">
        <v>16</v>
      </c>
      <c r="B1789" t="s">
        <v>3221</v>
      </c>
      <c r="C1789">
        <v>7251</v>
      </c>
      <c r="D1789" t="s">
        <v>706</v>
      </c>
      <c r="E1789" t="s">
        <v>707</v>
      </c>
      <c r="F1789">
        <v>100</v>
      </c>
      <c r="G1789">
        <v>230516</v>
      </c>
      <c r="H1789">
        <v>4520</v>
      </c>
      <c r="I1789" t="s">
        <v>254</v>
      </c>
      <c r="J1789">
        <v>114</v>
      </c>
      <c r="K1789">
        <v>14</v>
      </c>
      <c r="L1789">
        <v>54451</v>
      </c>
      <c r="M1789" t="s">
        <v>158</v>
      </c>
      <c r="N1789" t="str">
        <f>"167213      "</f>
        <v xml:space="preserve">167213      </v>
      </c>
      <c r="O1789">
        <v>230526</v>
      </c>
    </row>
    <row r="1790" spans="1:15" x14ac:dyDescent="0.25">
      <c r="A1790" t="s">
        <v>16</v>
      </c>
      <c r="B1790" t="s">
        <v>3221</v>
      </c>
      <c r="C1790">
        <v>10974</v>
      </c>
      <c r="D1790" t="s">
        <v>706</v>
      </c>
      <c r="E1790" t="s">
        <v>707</v>
      </c>
      <c r="F1790">
        <v>198.41</v>
      </c>
      <c r="G1790">
        <v>230823</v>
      </c>
      <c r="H1790">
        <v>4520</v>
      </c>
      <c r="I1790" t="s">
        <v>254</v>
      </c>
      <c r="J1790">
        <v>226.19</v>
      </c>
      <c r="K1790">
        <v>27.78</v>
      </c>
      <c r="L1790">
        <v>54422</v>
      </c>
      <c r="M1790" t="s">
        <v>234</v>
      </c>
      <c r="N1790" t="str">
        <f>"176144      "</f>
        <v xml:space="preserve">176144      </v>
      </c>
      <c r="O1790">
        <v>230825</v>
      </c>
    </row>
    <row r="1791" spans="1:15" x14ac:dyDescent="0.25">
      <c r="A1791" t="s">
        <v>16</v>
      </c>
      <c r="B1791" t="s">
        <v>3221</v>
      </c>
      <c r="C1791">
        <v>10974</v>
      </c>
      <c r="D1791" t="s">
        <v>706</v>
      </c>
      <c r="E1791" t="s">
        <v>707</v>
      </c>
      <c r="F1791">
        <v>8.06</v>
      </c>
      <c r="G1791">
        <v>230823</v>
      </c>
      <c r="H1791">
        <v>4520</v>
      </c>
      <c r="I1791" t="s">
        <v>254</v>
      </c>
      <c r="J1791">
        <v>10</v>
      </c>
      <c r="K1791">
        <v>1.94</v>
      </c>
      <c r="L1791">
        <v>54451</v>
      </c>
      <c r="M1791" t="s">
        <v>158</v>
      </c>
      <c r="N1791" t="str">
        <f>"176144      "</f>
        <v xml:space="preserve">176144      </v>
      </c>
      <c r="O1791">
        <v>230825</v>
      </c>
    </row>
    <row r="1792" spans="1:15" x14ac:dyDescent="0.25">
      <c r="A1792" t="s">
        <v>16</v>
      </c>
      <c r="B1792" t="s">
        <v>3221</v>
      </c>
      <c r="C1792">
        <v>13214</v>
      </c>
      <c r="D1792" t="s">
        <v>706</v>
      </c>
      <c r="E1792" t="s">
        <v>707</v>
      </c>
      <c r="F1792">
        <v>10</v>
      </c>
      <c r="G1792">
        <v>230929</v>
      </c>
      <c r="H1792">
        <v>4520</v>
      </c>
      <c r="I1792" t="s">
        <v>254</v>
      </c>
      <c r="J1792">
        <v>12.4</v>
      </c>
      <c r="K1792">
        <v>2.4</v>
      </c>
      <c r="L1792">
        <v>54451</v>
      </c>
      <c r="M1792" t="s">
        <v>158</v>
      </c>
      <c r="N1792" t="str">
        <f>"180145      "</f>
        <v xml:space="preserve">180145      </v>
      </c>
      <c r="O1792">
        <v>231005</v>
      </c>
    </row>
    <row r="1793" spans="1:15" x14ac:dyDescent="0.25">
      <c r="A1793" t="s">
        <v>16</v>
      </c>
      <c r="B1793" t="s">
        <v>3221</v>
      </c>
      <c r="C1793">
        <v>13214</v>
      </c>
      <c r="D1793" t="s">
        <v>706</v>
      </c>
      <c r="E1793" t="s">
        <v>707</v>
      </c>
      <c r="F1793">
        <v>375.44</v>
      </c>
      <c r="G1793">
        <v>230929</v>
      </c>
      <c r="H1793">
        <v>4520</v>
      </c>
      <c r="I1793" t="s">
        <v>254</v>
      </c>
      <c r="J1793">
        <v>428</v>
      </c>
      <c r="K1793">
        <v>52.56</v>
      </c>
      <c r="L1793">
        <v>54451</v>
      </c>
      <c r="M1793" t="s">
        <v>158</v>
      </c>
      <c r="N1793" t="str">
        <f>"180145      "</f>
        <v xml:space="preserve">180145      </v>
      </c>
      <c r="O1793">
        <v>231005</v>
      </c>
    </row>
    <row r="1794" spans="1:15" x14ac:dyDescent="0.25">
      <c r="A1794" t="s">
        <v>16</v>
      </c>
      <c r="B1794" t="s">
        <v>3221</v>
      </c>
      <c r="C1794">
        <v>13777</v>
      </c>
      <c r="D1794" t="s">
        <v>706</v>
      </c>
      <c r="E1794" t="s">
        <v>707</v>
      </c>
      <c r="F1794">
        <v>10</v>
      </c>
      <c r="G1794">
        <v>231011</v>
      </c>
      <c r="H1794">
        <v>4520</v>
      </c>
      <c r="I1794" t="s">
        <v>254</v>
      </c>
      <c r="J1794">
        <v>12.4</v>
      </c>
      <c r="K1794">
        <v>2.4</v>
      </c>
      <c r="L1794">
        <v>54422</v>
      </c>
      <c r="M1794" t="s">
        <v>234</v>
      </c>
      <c r="N1794" t="str">
        <f>"181386      "</f>
        <v xml:space="preserve">181386      </v>
      </c>
      <c r="O1794">
        <v>231013</v>
      </c>
    </row>
    <row r="1795" spans="1:15" x14ac:dyDescent="0.25">
      <c r="A1795" t="s">
        <v>16</v>
      </c>
      <c r="B1795" t="s">
        <v>3221</v>
      </c>
      <c r="C1795">
        <v>13777</v>
      </c>
      <c r="D1795" t="s">
        <v>706</v>
      </c>
      <c r="E1795" t="s">
        <v>707</v>
      </c>
      <c r="F1795">
        <v>656.99</v>
      </c>
      <c r="G1795">
        <v>231011</v>
      </c>
      <c r="H1795">
        <v>4520</v>
      </c>
      <c r="I1795" t="s">
        <v>254</v>
      </c>
      <c r="J1795">
        <v>748.97</v>
      </c>
      <c r="K1795">
        <v>91.98</v>
      </c>
      <c r="L1795">
        <v>54422</v>
      </c>
      <c r="M1795" t="s">
        <v>234</v>
      </c>
      <c r="N1795" t="str">
        <f>"181386      "</f>
        <v xml:space="preserve">181386      </v>
      </c>
      <c r="O1795">
        <v>231013</v>
      </c>
    </row>
    <row r="1796" spans="1:15" x14ac:dyDescent="0.25">
      <c r="A1796" t="s">
        <v>16</v>
      </c>
      <c r="B1796" t="s">
        <v>3221</v>
      </c>
      <c r="C1796">
        <v>16304</v>
      </c>
      <c r="D1796" t="s">
        <v>706</v>
      </c>
      <c r="E1796" t="s">
        <v>707</v>
      </c>
      <c r="F1796">
        <v>10</v>
      </c>
      <c r="G1796">
        <v>231124</v>
      </c>
      <c r="H1796">
        <v>4520</v>
      </c>
      <c r="I1796" t="s">
        <v>254</v>
      </c>
      <c r="J1796">
        <v>12.4</v>
      </c>
      <c r="K1796">
        <v>2.4</v>
      </c>
      <c r="L1796">
        <v>54451</v>
      </c>
      <c r="M1796" t="s">
        <v>158</v>
      </c>
      <c r="N1796" t="str">
        <f>"186124      "</f>
        <v xml:space="preserve">186124      </v>
      </c>
      <c r="O1796">
        <v>231127</v>
      </c>
    </row>
    <row r="1797" spans="1:15" x14ac:dyDescent="0.25">
      <c r="A1797" t="s">
        <v>16</v>
      </c>
      <c r="B1797" t="s">
        <v>3221</v>
      </c>
      <c r="C1797">
        <v>16304</v>
      </c>
      <c r="D1797" t="s">
        <v>706</v>
      </c>
      <c r="E1797" t="s">
        <v>707</v>
      </c>
      <c r="F1797">
        <v>352.67</v>
      </c>
      <c r="G1797">
        <v>231124</v>
      </c>
      <c r="H1797">
        <v>4520</v>
      </c>
      <c r="I1797" t="s">
        <v>254</v>
      </c>
      <c r="J1797">
        <v>402.04</v>
      </c>
      <c r="K1797">
        <v>49.37</v>
      </c>
      <c r="L1797">
        <v>54451</v>
      </c>
      <c r="M1797" t="s">
        <v>158</v>
      </c>
      <c r="N1797" t="str">
        <f>"186124      "</f>
        <v xml:space="preserve">186124      </v>
      </c>
      <c r="O1797">
        <v>231127</v>
      </c>
    </row>
    <row r="1798" spans="1:15" x14ac:dyDescent="0.25">
      <c r="A1798" t="s">
        <v>16</v>
      </c>
      <c r="B1798" t="s">
        <v>3221</v>
      </c>
      <c r="C1798">
        <v>18209</v>
      </c>
      <c r="D1798" t="s">
        <v>706</v>
      </c>
      <c r="E1798" t="s">
        <v>707</v>
      </c>
      <c r="F1798">
        <v>1012.99</v>
      </c>
      <c r="G1798">
        <v>231213</v>
      </c>
      <c r="H1798">
        <v>4520</v>
      </c>
      <c r="I1798" t="s">
        <v>254</v>
      </c>
      <c r="J1798">
        <v>1154.81</v>
      </c>
      <c r="K1798">
        <v>141.82</v>
      </c>
      <c r="L1798">
        <v>59113</v>
      </c>
      <c r="M1798" t="s">
        <v>235</v>
      </c>
      <c r="N1798" t="str">
        <f>"188231      "</f>
        <v xml:space="preserve">188231      </v>
      </c>
      <c r="O1798">
        <v>240102</v>
      </c>
    </row>
    <row r="1799" spans="1:15" x14ac:dyDescent="0.25">
      <c r="A1799" t="s">
        <v>16</v>
      </c>
      <c r="B1799" t="s">
        <v>3221</v>
      </c>
      <c r="C1799">
        <v>18209</v>
      </c>
      <c r="D1799" t="s">
        <v>706</v>
      </c>
      <c r="E1799" t="s">
        <v>707</v>
      </c>
      <c r="F1799">
        <v>164.35</v>
      </c>
      <c r="G1799">
        <v>231213</v>
      </c>
      <c r="H1799">
        <v>4520</v>
      </c>
      <c r="I1799" t="s">
        <v>254</v>
      </c>
      <c r="J1799">
        <v>203.79</v>
      </c>
      <c r="K1799">
        <v>39.44</v>
      </c>
      <c r="L1799">
        <v>59803</v>
      </c>
      <c r="M1799" t="s">
        <v>533</v>
      </c>
      <c r="N1799" t="str">
        <f>"188231      "</f>
        <v xml:space="preserve">188231      </v>
      </c>
      <c r="O1799">
        <v>240102</v>
      </c>
    </row>
    <row r="1800" spans="1:15" x14ac:dyDescent="0.25">
      <c r="A1800" t="s">
        <v>16</v>
      </c>
      <c r="B1800" t="s">
        <v>3221</v>
      </c>
      <c r="C1800">
        <v>18440</v>
      </c>
      <c r="D1800" t="s">
        <v>706</v>
      </c>
      <c r="E1800" t="s">
        <v>707</v>
      </c>
      <c r="F1800">
        <v>10</v>
      </c>
      <c r="G1800">
        <v>231220</v>
      </c>
      <c r="H1800">
        <v>4520</v>
      </c>
      <c r="I1800" t="s">
        <v>254</v>
      </c>
      <c r="J1800">
        <v>12.4</v>
      </c>
      <c r="K1800">
        <v>2.4</v>
      </c>
      <c r="L1800">
        <v>54451</v>
      </c>
      <c r="M1800" t="s">
        <v>158</v>
      </c>
      <c r="N1800" t="str">
        <f>"189080      "</f>
        <v xml:space="preserve">189080      </v>
      </c>
      <c r="O1800">
        <v>240103</v>
      </c>
    </row>
    <row r="1801" spans="1:15" x14ac:dyDescent="0.25">
      <c r="A1801" t="s">
        <v>16</v>
      </c>
      <c r="B1801" t="s">
        <v>3221</v>
      </c>
      <c r="C1801">
        <v>18440</v>
      </c>
      <c r="D1801" t="s">
        <v>706</v>
      </c>
      <c r="E1801" t="s">
        <v>707</v>
      </c>
      <c r="F1801">
        <v>470.77</v>
      </c>
      <c r="G1801">
        <v>231220</v>
      </c>
      <c r="H1801">
        <v>4520</v>
      </c>
      <c r="I1801" t="s">
        <v>254</v>
      </c>
      <c r="J1801">
        <v>536.67999999999995</v>
      </c>
      <c r="K1801">
        <v>65.91</v>
      </c>
      <c r="L1801">
        <v>54451</v>
      </c>
      <c r="M1801" t="s">
        <v>158</v>
      </c>
      <c r="N1801" t="str">
        <f>"189080      "</f>
        <v xml:space="preserve">189080      </v>
      </c>
      <c r="O1801">
        <v>240103</v>
      </c>
    </row>
    <row r="1802" spans="1:15" x14ac:dyDescent="0.25">
      <c r="A1802" t="s">
        <v>16</v>
      </c>
      <c r="B1802" t="s">
        <v>3221</v>
      </c>
      <c r="C1802">
        <v>7251</v>
      </c>
      <c r="D1802" t="s">
        <v>706</v>
      </c>
      <c r="E1802" t="s">
        <v>707</v>
      </c>
      <c r="F1802">
        <v>30</v>
      </c>
      <c r="G1802">
        <v>230516</v>
      </c>
      <c r="H1802">
        <v>4600</v>
      </c>
      <c r="I1802" t="s">
        <v>105</v>
      </c>
      <c r="J1802">
        <v>37.200000000000003</v>
      </c>
      <c r="K1802">
        <v>7.2</v>
      </c>
      <c r="L1802">
        <v>54451</v>
      </c>
      <c r="M1802" t="s">
        <v>158</v>
      </c>
      <c r="N1802" t="str">
        <f>"167213      "</f>
        <v xml:space="preserve">167213      </v>
      </c>
      <c r="O1802">
        <v>230526</v>
      </c>
    </row>
    <row r="1803" spans="1:15" x14ac:dyDescent="0.25">
      <c r="A1803" t="s">
        <v>16</v>
      </c>
      <c r="B1803" t="s">
        <v>3221</v>
      </c>
      <c r="C1803">
        <v>10515</v>
      </c>
      <c r="D1803" t="s">
        <v>2390</v>
      </c>
      <c r="E1803" t="s">
        <v>2391</v>
      </c>
      <c r="F1803">
        <v>203.92</v>
      </c>
      <c r="G1803">
        <v>230803</v>
      </c>
      <c r="H1803">
        <v>4580</v>
      </c>
      <c r="I1803" t="s">
        <v>35</v>
      </c>
      <c r="J1803">
        <v>252.86</v>
      </c>
      <c r="K1803">
        <v>48.94</v>
      </c>
      <c r="L1803">
        <v>17523</v>
      </c>
      <c r="M1803" t="s">
        <v>134</v>
      </c>
      <c r="N1803" t="str">
        <f>"98200093534 "</f>
        <v xml:space="preserve">98200093534 </v>
      </c>
      <c r="O1803">
        <v>230817</v>
      </c>
    </row>
    <row r="1804" spans="1:15" x14ac:dyDescent="0.25">
      <c r="A1804" t="s">
        <v>16</v>
      </c>
      <c r="B1804" t="s">
        <v>3221</v>
      </c>
      <c r="C1804">
        <v>10515</v>
      </c>
      <c r="D1804" t="s">
        <v>2390</v>
      </c>
      <c r="E1804" t="s">
        <v>2391</v>
      </c>
      <c r="F1804">
        <v>475.73</v>
      </c>
      <c r="G1804">
        <v>230803</v>
      </c>
      <c r="H1804">
        <v>4580</v>
      </c>
      <c r="I1804" t="s">
        <v>35</v>
      </c>
      <c r="J1804">
        <v>589.9</v>
      </c>
      <c r="K1804">
        <v>114.17</v>
      </c>
      <c r="L1804">
        <v>17523</v>
      </c>
      <c r="M1804" t="s">
        <v>134</v>
      </c>
      <c r="N1804" t="str">
        <f>"98200093534 "</f>
        <v xml:space="preserve">98200093534 </v>
      </c>
      <c r="O1804">
        <v>230817</v>
      </c>
    </row>
    <row r="1805" spans="1:15" x14ac:dyDescent="0.25">
      <c r="A1805" t="s">
        <v>16</v>
      </c>
      <c r="B1805" t="s">
        <v>3221</v>
      </c>
      <c r="C1805">
        <v>12681</v>
      </c>
      <c r="D1805" t="s">
        <v>2390</v>
      </c>
      <c r="E1805" t="s">
        <v>2391</v>
      </c>
      <c r="F1805">
        <v>345.48</v>
      </c>
      <c r="G1805">
        <v>230918</v>
      </c>
      <c r="H1805">
        <v>4580</v>
      </c>
      <c r="I1805" t="s">
        <v>35</v>
      </c>
      <c r="J1805">
        <v>428.4</v>
      </c>
      <c r="K1805">
        <v>82.92</v>
      </c>
      <c r="L1805">
        <v>17524</v>
      </c>
      <c r="M1805" t="s">
        <v>452</v>
      </c>
      <c r="N1805" t="str">
        <f>"98200094177 "</f>
        <v xml:space="preserve">98200094177 </v>
      </c>
      <c r="O1805">
        <v>230925</v>
      </c>
    </row>
    <row r="1806" spans="1:15" x14ac:dyDescent="0.25">
      <c r="A1806" t="s">
        <v>16</v>
      </c>
      <c r="B1806" t="s">
        <v>3221</v>
      </c>
      <c r="C1806">
        <v>12681</v>
      </c>
      <c r="D1806" t="s">
        <v>2390</v>
      </c>
      <c r="E1806" t="s">
        <v>2391</v>
      </c>
      <c r="F1806">
        <v>345.48</v>
      </c>
      <c r="G1806">
        <v>230918</v>
      </c>
      <c r="H1806">
        <v>4600</v>
      </c>
      <c r="I1806" t="s">
        <v>105</v>
      </c>
      <c r="J1806">
        <v>428.4</v>
      </c>
      <c r="K1806">
        <v>82.92</v>
      </c>
      <c r="L1806">
        <v>17635</v>
      </c>
      <c r="M1806" t="s">
        <v>349</v>
      </c>
      <c r="N1806" t="str">
        <f>"98200094177 "</f>
        <v xml:space="preserve">98200094177 </v>
      </c>
      <c r="O1806">
        <v>230925</v>
      </c>
    </row>
    <row r="1807" spans="1:15" x14ac:dyDescent="0.25">
      <c r="A1807" t="s">
        <v>16</v>
      </c>
      <c r="B1807" t="s">
        <v>3221</v>
      </c>
      <c r="C1807">
        <v>1935</v>
      </c>
      <c r="D1807" t="s">
        <v>1234</v>
      </c>
      <c r="E1807" t="s">
        <v>1235</v>
      </c>
      <c r="F1807">
        <v>2202.7199999999998</v>
      </c>
      <c r="G1807">
        <v>230202</v>
      </c>
      <c r="H1807">
        <v>4600</v>
      </c>
      <c r="I1807" t="s">
        <v>105</v>
      </c>
      <c r="J1807">
        <v>2731.37</v>
      </c>
      <c r="K1807">
        <v>528.65</v>
      </c>
      <c r="L1807">
        <v>46554</v>
      </c>
      <c r="M1807" t="s">
        <v>117</v>
      </c>
      <c r="N1807" t="str">
        <f>"1554791     "</f>
        <v xml:space="preserve">1554791     </v>
      </c>
      <c r="O1807">
        <v>230216</v>
      </c>
    </row>
    <row r="1808" spans="1:15" x14ac:dyDescent="0.25">
      <c r="A1808" t="s">
        <v>16</v>
      </c>
      <c r="B1808" t="s">
        <v>3221</v>
      </c>
      <c r="C1808">
        <v>1935</v>
      </c>
      <c r="D1808" t="s">
        <v>1234</v>
      </c>
      <c r="E1808" t="s">
        <v>1235</v>
      </c>
      <c r="F1808">
        <v>645.16</v>
      </c>
      <c r="G1808">
        <v>230202</v>
      </c>
      <c r="H1808">
        <v>4600</v>
      </c>
      <c r="I1808" t="s">
        <v>105</v>
      </c>
      <c r="J1808">
        <v>800</v>
      </c>
      <c r="K1808">
        <v>154.84</v>
      </c>
      <c r="L1808">
        <v>46561</v>
      </c>
      <c r="M1808" t="s">
        <v>1236</v>
      </c>
      <c r="N1808" t="str">
        <f>"1554791     "</f>
        <v xml:space="preserve">1554791     </v>
      </c>
      <c r="O1808">
        <v>230216</v>
      </c>
    </row>
    <row r="1809" spans="1:15" x14ac:dyDescent="0.25">
      <c r="A1809" t="s">
        <v>16</v>
      </c>
      <c r="B1809" t="s">
        <v>3221</v>
      </c>
      <c r="C1809">
        <v>4534</v>
      </c>
      <c r="D1809" t="s">
        <v>1234</v>
      </c>
      <c r="E1809" t="s">
        <v>1235</v>
      </c>
      <c r="F1809">
        <v>4013.12</v>
      </c>
      <c r="G1809">
        <v>230404</v>
      </c>
      <c r="H1809">
        <v>4600</v>
      </c>
      <c r="I1809" t="s">
        <v>105</v>
      </c>
      <c r="J1809">
        <v>4976.2700000000004</v>
      </c>
      <c r="K1809">
        <v>963.15</v>
      </c>
      <c r="L1809">
        <v>46554</v>
      </c>
      <c r="M1809" t="s">
        <v>117</v>
      </c>
      <c r="N1809" t="str">
        <f>"1569626     "</f>
        <v xml:space="preserve">1569626     </v>
      </c>
      <c r="O1809">
        <v>230406</v>
      </c>
    </row>
    <row r="1810" spans="1:15" x14ac:dyDescent="0.25">
      <c r="A1810" t="s">
        <v>16</v>
      </c>
      <c r="B1810" t="s">
        <v>3221</v>
      </c>
      <c r="C1810">
        <v>5195</v>
      </c>
      <c r="D1810" t="s">
        <v>1234</v>
      </c>
      <c r="E1810" t="s">
        <v>1235</v>
      </c>
      <c r="F1810">
        <v>530.54</v>
      </c>
      <c r="G1810">
        <v>230406</v>
      </c>
      <c r="H1810">
        <v>4600</v>
      </c>
      <c r="I1810" t="s">
        <v>105</v>
      </c>
      <c r="J1810">
        <v>657.87</v>
      </c>
      <c r="K1810">
        <v>127.33</v>
      </c>
      <c r="L1810">
        <v>46554</v>
      </c>
      <c r="M1810" t="s">
        <v>117</v>
      </c>
      <c r="N1810" t="str">
        <f>"1570212     "</f>
        <v xml:space="preserve">1570212     </v>
      </c>
      <c r="O1810">
        <v>230419</v>
      </c>
    </row>
    <row r="1811" spans="1:15" x14ac:dyDescent="0.25">
      <c r="A1811" t="s">
        <v>16</v>
      </c>
      <c r="B1811" t="s">
        <v>3221</v>
      </c>
      <c r="C1811">
        <v>7678</v>
      </c>
      <c r="D1811" t="s">
        <v>1234</v>
      </c>
      <c r="E1811" t="s">
        <v>1235</v>
      </c>
      <c r="F1811">
        <v>3268.97</v>
      </c>
      <c r="G1811">
        <v>230530</v>
      </c>
      <c r="H1811">
        <v>4600</v>
      </c>
      <c r="I1811" t="s">
        <v>105</v>
      </c>
      <c r="J1811">
        <v>4053.52</v>
      </c>
      <c r="K1811">
        <v>784.55</v>
      </c>
      <c r="L1811">
        <v>46554</v>
      </c>
      <c r="M1811" t="s">
        <v>117</v>
      </c>
      <c r="N1811" t="str">
        <f>"1581763     "</f>
        <v xml:space="preserve">1581763     </v>
      </c>
      <c r="O1811">
        <v>230601</v>
      </c>
    </row>
    <row r="1812" spans="1:15" x14ac:dyDescent="0.25">
      <c r="A1812" t="s">
        <v>16</v>
      </c>
      <c r="B1812" t="s">
        <v>3221</v>
      </c>
      <c r="C1812">
        <v>7679</v>
      </c>
      <c r="D1812" t="s">
        <v>1234</v>
      </c>
      <c r="E1812" t="s">
        <v>1235</v>
      </c>
      <c r="F1812">
        <v>1068.1400000000001</v>
      </c>
      <c r="G1812">
        <v>230530</v>
      </c>
      <c r="H1812">
        <v>4600</v>
      </c>
      <c r="I1812" t="s">
        <v>105</v>
      </c>
      <c r="J1812">
        <v>1324.49</v>
      </c>
      <c r="K1812">
        <v>256.35000000000002</v>
      </c>
      <c r="L1812">
        <v>46554</v>
      </c>
      <c r="M1812" t="s">
        <v>117</v>
      </c>
      <c r="N1812" t="str">
        <f>"1581762     "</f>
        <v xml:space="preserve">1581762     </v>
      </c>
      <c r="O1812">
        <v>230601</v>
      </c>
    </row>
    <row r="1813" spans="1:15" x14ac:dyDescent="0.25">
      <c r="A1813" t="s">
        <v>16</v>
      </c>
      <c r="B1813" t="s">
        <v>3221</v>
      </c>
      <c r="C1813">
        <v>16842</v>
      </c>
      <c r="D1813" t="s">
        <v>1234</v>
      </c>
      <c r="E1813" t="s">
        <v>1235</v>
      </c>
      <c r="F1813">
        <v>401.08</v>
      </c>
      <c r="G1813">
        <v>231128</v>
      </c>
      <c r="H1813">
        <v>4600</v>
      </c>
      <c r="I1813" t="s">
        <v>105</v>
      </c>
      <c r="J1813">
        <v>497.34</v>
      </c>
      <c r="K1813">
        <v>96.26</v>
      </c>
      <c r="L1813">
        <v>46554</v>
      </c>
      <c r="M1813" t="s">
        <v>117</v>
      </c>
      <c r="N1813" t="str">
        <f>"1620107     "</f>
        <v xml:space="preserve">1620107     </v>
      </c>
      <c r="O1813">
        <v>231211</v>
      </c>
    </row>
    <row r="1814" spans="1:15" x14ac:dyDescent="0.25">
      <c r="A1814" t="s">
        <v>16</v>
      </c>
      <c r="B1814" t="s">
        <v>3221</v>
      </c>
      <c r="C1814">
        <v>17048</v>
      </c>
      <c r="D1814" t="s">
        <v>1234</v>
      </c>
      <c r="E1814" t="s">
        <v>1235</v>
      </c>
      <c r="F1814">
        <v>249.04</v>
      </c>
      <c r="G1814">
        <v>231130</v>
      </c>
      <c r="H1814">
        <v>4600</v>
      </c>
      <c r="I1814" t="s">
        <v>105</v>
      </c>
      <c r="J1814">
        <v>308.81</v>
      </c>
      <c r="K1814">
        <v>59.77</v>
      </c>
      <c r="L1814">
        <v>46554</v>
      </c>
      <c r="M1814" t="s">
        <v>117</v>
      </c>
      <c r="N1814" t="str">
        <f>"1620756     "</f>
        <v xml:space="preserve">1620756     </v>
      </c>
      <c r="O1814">
        <v>231212</v>
      </c>
    </row>
    <row r="1815" spans="1:15" x14ac:dyDescent="0.25">
      <c r="A1815" t="s">
        <v>16</v>
      </c>
      <c r="B1815" t="s">
        <v>3221</v>
      </c>
      <c r="C1815">
        <v>11912</v>
      </c>
      <c r="D1815" t="s">
        <v>2523</v>
      </c>
      <c r="E1815" t="s">
        <v>2524</v>
      </c>
      <c r="F1815">
        <v>353.3</v>
      </c>
      <c r="G1815">
        <v>230906</v>
      </c>
      <c r="H1815">
        <v>4534</v>
      </c>
      <c r="I1815" t="s">
        <v>273</v>
      </c>
      <c r="J1815">
        <v>438.09</v>
      </c>
      <c r="K1815">
        <v>84.79</v>
      </c>
      <c r="L1815">
        <v>54222</v>
      </c>
      <c r="M1815" t="s">
        <v>308</v>
      </c>
      <c r="N1815" t="str">
        <f>"2023114276  "</f>
        <v xml:space="preserve">2023114276  </v>
      </c>
      <c r="O1815">
        <v>230911</v>
      </c>
    </row>
    <row r="1816" spans="1:15" x14ac:dyDescent="0.25">
      <c r="A1816" t="s">
        <v>16</v>
      </c>
      <c r="B1816" t="s">
        <v>3221</v>
      </c>
      <c r="C1816">
        <v>11912</v>
      </c>
      <c r="D1816" t="s">
        <v>2523</v>
      </c>
      <c r="E1816" t="s">
        <v>2524</v>
      </c>
      <c r="F1816">
        <v>353.3</v>
      </c>
      <c r="G1816">
        <v>230906</v>
      </c>
      <c r="H1816">
        <v>4534</v>
      </c>
      <c r="I1816" t="s">
        <v>273</v>
      </c>
      <c r="J1816">
        <v>438.09</v>
      </c>
      <c r="K1816">
        <v>84.79</v>
      </c>
      <c r="L1816">
        <v>54252</v>
      </c>
      <c r="M1816" t="s">
        <v>534</v>
      </c>
      <c r="N1816" t="str">
        <f>"2023114276  "</f>
        <v xml:space="preserve">2023114276  </v>
      </c>
      <c r="O1816">
        <v>230911</v>
      </c>
    </row>
    <row r="1817" spans="1:15" x14ac:dyDescent="0.25">
      <c r="A1817" t="s">
        <v>16</v>
      </c>
      <c r="B1817" t="s">
        <v>3221</v>
      </c>
      <c r="C1817">
        <v>16392</v>
      </c>
      <c r="D1817" t="s">
        <v>2523</v>
      </c>
      <c r="E1817" t="s">
        <v>2524</v>
      </c>
      <c r="F1817">
        <v>466.14</v>
      </c>
      <c r="G1817">
        <v>231115</v>
      </c>
      <c r="H1817">
        <v>4534</v>
      </c>
      <c r="I1817" t="s">
        <v>273</v>
      </c>
      <c r="J1817">
        <v>578.01</v>
      </c>
      <c r="K1817">
        <v>111.87</v>
      </c>
      <c r="L1817">
        <v>54252</v>
      </c>
      <c r="M1817" t="s">
        <v>534</v>
      </c>
      <c r="N1817" t="str">
        <f>"2023114458  "</f>
        <v xml:space="preserve">2023114458  </v>
      </c>
      <c r="O1817">
        <v>231129</v>
      </c>
    </row>
    <row r="1818" spans="1:15" x14ac:dyDescent="0.25">
      <c r="A1818" t="s">
        <v>16</v>
      </c>
      <c r="B1818" t="s">
        <v>3221</v>
      </c>
      <c r="C1818">
        <v>18269</v>
      </c>
      <c r="D1818" t="s">
        <v>2523</v>
      </c>
      <c r="E1818" t="s">
        <v>2524</v>
      </c>
      <c r="F1818">
        <v>646.6</v>
      </c>
      <c r="G1818">
        <v>231221</v>
      </c>
      <c r="H1818">
        <v>4600</v>
      </c>
      <c r="I1818" t="s">
        <v>105</v>
      </c>
      <c r="J1818">
        <v>801.78</v>
      </c>
      <c r="K1818">
        <v>155.18</v>
      </c>
      <c r="L1818">
        <v>54252</v>
      </c>
      <c r="M1818" t="s">
        <v>534</v>
      </c>
      <c r="N1818" t="str">
        <f>"2023114541  "</f>
        <v xml:space="preserve">2023114541  </v>
      </c>
      <c r="O1818">
        <v>240102</v>
      </c>
    </row>
    <row r="1819" spans="1:15" x14ac:dyDescent="0.25">
      <c r="A1819" t="s">
        <v>16</v>
      </c>
      <c r="B1819" t="s">
        <v>3221</v>
      </c>
      <c r="C1819">
        <v>18269</v>
      </c>
      <c r="D1819" t="s">
        <v>2523</v>
      </c>
      <c r="E1819" t="s">
        <v>2524</v>
      </c>
      <c r="F1819">
        <v>646.6</v>
      </c>
      <c r="G1819">
        <v>231221</v>
      </c>
      <c r="H1819">
        <v>4600</v>
      </c>
      <c r="I1819" t="s">
        <v>105</v>
      </c>
      <c r="J1819">
        <v>801.78</v>
      </c>
      <c r="K1819">
        <v>155.18</v>
      </c>
      <c r="L1819">
        <v>54252</v>
      </c>
      <c r="M1819" t="s">
        <v>534</v>
      </c>
      <c r="N1819" t="str">
        <f>"2023114541  "</f>
        <v xml:space="preserve">2023114541  </v>
      </c>
      <c r="O1819">
        <v>240102</v>
      </c>
    </row>
    <row r="1820" spans="1:15" x14ac:dyDescent="0.25">
      <c r="A1820" t="s">
        <v>16</v>
      </c>
      <c r="B1820" t="s">
        <v>3221</v>
      </c>
      <c r="C1820">
        <v>4026</v>
      </c>
      <c r="D1820" t="s">
        <v>1653</v>
      </c>
      <c r="E1820" t="s">
        <v>1654</v>
      </c>
      <c r="F1820">
        <v>400</v>
      </c>
      <c r="G1820">
        <v>230327</v>
      </c>
      <c r="H1820">
        <v>4440</v>
      </c>
      <c r="I1820" t="s">
        <v>250</v>
      </c>
      <c r="J1820">
        <v>496</v>
      </c>
      <c r="K1820">
        <v>96</v>
      </c>
      <c r="L1820">
        <v>16930</v>
      </c>
      <c r="M1820" t="s">
        <v>450</v>
      </c>
      <c r="N1820" t="str">
        <f>"239         "</f>
        <v xml:space="preserve">239         </v>
      </c>
      <c r="O1820">
        <v>230329</v>
      </c>
    </row>
    <row r="1821" spans="1:15" x14ac:dyDescent="0.25">
      <c r="A1821" t="s">
        <v>16</v>
      </c>
      <c r="B1821" t="s">
        <v>3221</v>
      </c>
      <c r="C1821">
        <v>8285</v>
      </c>
      <c r="D1821" t="s">
        <v>1653</v>
      </c>
      <c r="E1821" t="s">
        <v>1654</v>
      </c>
      <c r="F1821">
        <v>250</v>
      </c>
      <c r="G1821">
        <v>230605</v>
      </c>
      <c r="H1821">
        <v>4440</v>
      </c>
      <c r="I1821" t="s">
        <v>250</v>
      </c>
      <c r="J1821">
        <v>250</v>
      </c>
      <c r="K1821">
        <v>0</v>
      </c>
      <c r="L1821">
        <v>16930</v>
      </c>
      <c r="M1821" t="s">
        <v>450</v>
      </c>
      <c r="N1821" t="str">
        <f>"247         "</f>
        <v xml:space="preserve">247         </v>
      </c>
      <c r="O1821">
        <v>230608</v>
      </c>
    </row>
    <row r="1822" spans="1:15" x14ac:dyDescent="0.25">
      <c r="A1822" t="s">
        <v>16</v>
      </c>
      <c r="B1822" t="s">
        <v>3221</v>
      </c>
      <c r="C1822">
        <v>15694</v>
      </c>
      <c r="D1822" t="s">
        <v>2903</v>
      </c>
      <c r="E1822" t="s">
        <v>2904</v>
      </c>
      <c r="F1822">
        <v>306.25</v>
      </c>
      <c r="G1822">
        <v>231106</v>
      </c>
      <c r="H1822">
        <v>4580</v>
      </c>
      <c r="I1822" t="s">
        <v>35</v>
      </c>
      <c r="J1822">
        <v>379.75</v>
      </c>
      <c r="K1822">
        <v>73.5</v>
      </c>
      <c r="L1822">
        <v>17521</v>
      </c>
      <c r="M1822" t="s">
        <v>133</v>
      </c>
      <c r="N1822" t="str">
        <f>"2331600     "</f>
        <v xml:space="preserve">2331600     </v>
      </c>
      <c r="O1822">
        <v>231116</v>
      </c>
    </row>
    <row r="1823" spans="1:15" x14ac:dyDescent="0.25">
      <c r="A1823" t="s">
        <v>16</v>
      </c>
      <c r="B1823" t="s">
        <v>3221</v>
      </c>
      <c r="C1823">
        <v>7701</v>
      </c>
      <c r="D1823" t="s">
        <v>2116</v>
      </c>
      <c r="E1823" t="s">
        <v>2117</v>
      </c>
      <c r="F1823">
        <v>8.06</v>
      </c>
      <c r="G1823">
        <v>230531</v>
      </c>
      <c r="H1823">
        <v>4412</v>
      </c>
      <c r="I1823" t="s">
        <v>149</v>
      </c>
      <c r="J1823">
        <v>9.99</v>
      </c>
      <c r="K1823">
        <v>1.93</v>
      </c>
      <c r="L1823">
        <v>66756</v>
      </c>
      <c r="M1823" t="s">
        <v>209</v>
      </c>
      <c r="N1823" t="str">
        <f>"33560       "</f>
        <v xml:space="preserve">33560       </v>
      </c>
      <c r="O1823">
        <v>230601</v>
      </c>
    </row>
    <row r="1824" spans="1:15" x14ac:dyDescent="0.25">
      <c r="A1824" t="s">
        <v>16</v>
      </c>
      <c r="B1824" t="s">
        <v>3221</v>
      </c>
      <c r="C1824">
        <v>7701</v>
      </c>
      <c r="D1824" t="s">
        <v>2116</v>
      </c>
      <c r="E1824" t="s">
        <v>2117</v>
      </c>
      <c r="F1824">
        <v>28</v>
      </c>
      <c r="G1824">
        <v>230531</v>
      </c>
      <c r="H1824">
        <v>4412</v>
      </c>
      <c r="I1824" t="s">
        <v>149</v>
      </c>
      <c r="J1824">
        <v>28</v>
      </c>
      <c r="K1824">
        <v>0</v>
      </c>
      <c r="L1824">
        <v>66756</v>
      </c>
      <c r="M1824" t="s">
        <v>209</v>
      </c>
      <c r="N1824" t="str">
        <f>"33560       "</f>
        <v xml:space="preserve">33560       </v>
      </c>
      <c r="O1824">
        <v>230601</v>
      </c>
    </row>
    <row r="1825" spans="1:16" x14ac:dyDescent="0.25">
      <c r="A1825" t="s">
        <v>16</v>
      </c>
      <c r="B1825" t="s">
        <v>3221</v>
      </c>
      <c r="C1825">
        <v>7701</v>
      </c>
      <c r="D1825" t="s">
        <v>2116</v>
      </c>
      <c r="E1825" t="s">
        <v>2117</v>
      </c>
      <c r="F1825">
        <v>160</v>
      </c>
      <c r="G1825">
        <v>230531</v>
      </c>
      <c r="H1825">
        <v>4412</v>
      </c>
      <c r="I1825" t="s">
        <v>149</v>
      </c>
      <c r="J1825">
        <v>176</v>
      </c>
      <c r="K1825">
        <v>16</v>
      </c>
      <c r="L1825">
        <v>66756</v>
      </c>
      <c r="M1825" t="s">
        <v>209</v>
      </c>
      <c r="N1825" t="str">
        <f>"33560       "</f>
        <v xml:space="preserve">33560       </v>
      </c>
      <c r="O1825">
        <v>230601</v>
      </c>
    </row>
    <row r="1826" spans="1:16" x14ac:dyDescent="0.25">
      <c r="A1826" t="s">
        <v>16</v>
      </c>
      <c r="B1826" t="s">
        <v>3221</v>
      </c>
      <c r="C1826">
        <v>3664</v>
      </c>
      <c r="D1826" t="s">
        <v>3401</v>
      </c>
      <c r="E1826" t="s">
        <v>3402</v>
      </c>
      <c r="F1826">
        <v>348.62</v>
      </c>
      <c r="G1826">
        <v>230316</v>
      </c>
      <c r="H1826">
        <v>4600</v>
      </c>
      <c r="I1826" t="s">
        <v>105</v>
      </c>
      <c r="J1826">
        <v>348.62</v>
      </c>
      <c r="K1826">
        <v>0</v>
      </c>
      <c r="L1826">
        <v>17536</v>
      </c>
      <c r="M1826" t="s">
        <v>734</v>
      </c>
      <c r="N1826" t="str">
        <f>"Z16997      "</f>
        <v xml:space="preserve">Z16997      </v>
      </c>
      <c r="O1826">
        <v>230320</v>
      </c>
      <c r="P1826" t="s">
        <v>937</v>
      </c>
    </row>
    <row r="1827" spans="1:16" x14ac:dyDescent="0.25">
      <c r="A1827" t="s">
        <v>16</v>
      </c>
      <c r="B1827" t="s">
        <v>3221</v>
      </c>
      <c r="C1827">
        <v>11671</v>
      </c>
      <c r="D1827" t="s">
        <v>3401</v>
      </c>
      <c r="E1827" t="s">
        <v>3402</v>
      </c>
      <c r="F1827">
        <v>116.46</v>
      </c>
      <c r="G1827">
        <v>230907</v>
      </c>
      <c r="H1827">
        <v>4600</v>
      </c>
      <c r="I1827" t="s">
        <v>105</v>
      </c>
      <c r="J1827">
        <v>116.46</v>
      </c>
      <c r="K1827">
        <v>0</v>
      </c>
      <c r="L1827">
        <v>17536</v>
      </c>
      <c r="M1827" t="s">
        <v>734</v>
      </c>
      <c r="N1827" t="str">
        <f>"Z17380      "</f>
        <v xml:space="preserve">Z17380      </v>
      </c>
      <c r="O1827">
        <v>230908</v>
      </c>
      <c r="P1827" t="s">
        <v>937</v>
      </c>
    </row>
    <row r="1828" spans="1:16" x14ac:dyDescent="0.25">
      <c r="A1828" t="s">
        <v>16</v>
      </c>
      <c r="B1828" t="s">
        <v>3221</v>
      </c>
      <c r="C1828">
        <v>12844</v>
      </c>
      <c r="D1828" t="s">
        <v>704</v>
      </c>
      <c r="E1828" t="s">
        <v>705</v>
      </c>
      <c r="F1828">
        <v>232.6</v>
      </c>
      <c r="G1828">
        <v>230918</v>
      </c>
      <c r="H1828">
        <v>4534</v>
      </c>
      <c r="I1828" t="s">
        <v>273</v>
      </c>
      <c r="J1828">
        <v>288.42</v>
      </c>
      <c r="K1828">
        <v>55.82</v>
      </c>
      <c r="L1828">
        <v>54222</v>
      </c>
      <c r="M1828" t="s">
        <v>308</v>
      </c>
      <c r="N1828" t="str">
        <f>"231162684   "</f>
        <v xml:space="preserve">231162684   </v>
      </c>
      <c r="O1828">
        <v>230928</v>
      </c>
    </row>
    <row r="1829" spans="1:16" x14ac:dyDescent="0.25">
      <c r="A1829" t="s">
        <v>16</v>
      </c>
      <c r="B1829" t="s">
        <v>3221</v>
      </c>
      <c r="C1829">
        <v>12844</v>
      </c>
      <c r="D1829" t="s">
        <v>704</v>
      </c>
      <c r="E1829" t="s">
        <v>705</v>
      </c>
      <c r="F1829">
        <v>232.6</v>
      </c>
      <c r="G1829">
        <v>230918</v>
      </c>
      <c r="H1829">
        <v>4534</v>
      </c>
      <c r="I1829" t="s">
        <v>273</v>
      </c>
      <c r="J1829">
        <v>288.42</v>
      </c>
      <c r="K1829">
        <v>55.82</v>
      </c>
      <c r="L1829">
        <v>54252</v>
      </c>
      <c r="M1829" t="s">
        <v>534</v>
      </c>
      <c r="N1829" t="str">
        <f>"231162684   "</f>
        <v xml:space="preserve">231162684   </v>
      </c>
      <c r="O1829">
        <v>230928</v>
      </c>
    </row>
    <row r="1830" spans="1:16" x14ac:dyDescent="0.25">
      <c r="A1830" t="s">
        <v>16</v>
      </c>
      <c r="B1830" t="s">
        <v>3221</v>
      </c>
      <c r="C1830">
        <v>14294</v>
      </c>
      <c r="D1830" t="s">
        <v>704</v>
      </c>
      <c r="E1830" t="s">
        <v>705</v>
      </c>
      <c r="F1830">
        <v>238.15</v>
      </c>
      <c r="G1830">
        <v>231010</v>
      </c>
      <c r="H1830">
        <v>4534</v>
      </c>
      <c r="I1830" t="s">
        <v>273</v>
      </c>
      <c r="J1830">
        <v>295.31</v>
      </c>
      <c r="K1830">
        <v>57.16</v>
      </c>
      <c r="L1830">
        <v>54252</v>
      </c>
      <c r="M1830" t="s">
        <v>534</v>
      </c>
      <c r="N1830" t="str">
        <f>"231177283   "</f>
        <v xml:space="preserve">231177283   </v>
      </c>
      <c r="O1830">
        <v>231025</v>
      </c>
    </row>
    <row r="1831" spans="1:16" x14ac:dyDescent="0.25">
      <c r="A1831" t="s">
        <v>16</v>
      </c>
      <c r="B1831" t="s">
        <v>3221</v>
      </c>
      <c r="C1831">
        <v>16334</v>
      </c>
      <c r="D1831" t="s">
        <v>704</v>
      </c>
      <c r="E1831" t="s">
        <v>705</v>
      </c>
      <c r="F1831">
        <v>124.72</v>
      </c>
      <c r="G1831">
        <v>231120</v>
      </c>
      <c r="H1831">
        <v>4534</v>
      </c>
      <c r="I1831" t="s">
        <v>273</v>
      </c>
      <c r="J1831">
        <v>154.65</v>
      </c>
      <c r="K1831">
        <v>29.93</v>
      </c>
      <c r="L1831">
        <v>53222</v>
      </c>
      <c r="M1831" t="s">
        <v>445</v>
      </c>
      <c r="N1831" t="str">
        <f>"231202372   "</f>
        <v xml:space="preserve">231202372   </v>
      </c>
      <c r="O1831">
        <v>231128</v>
      </c>
    </row>
    <row r="1832" spans="1:16" x14ac:dyDescent="0.25">
      <c r="A1832" t="s">
        <v>16</v>
      </c>
      <c r="B1832" t="s">
        <v>3221</v>
      </c>
      <c r="C1832">
        <v>728</v>
      </c>
      <c r="D1832" t="s">
        <v>704</v>
      </c>
      <c r="E1832" t="s">
        <v>705</v>
      </c>
      <c r="F1832">
        <v>1057.02</v>
      </c>
      <c r="G1832">
        <v>230124</v>
      </c>
      <c r="H1832">
        <v>4600</v>
      </c>
      <c r="I1832" t="s">
        <v>105</v>
      </c>
      <c r="J1832">
        <v>1310.7</v>
      </c>
      <c r="K1832">
        <v>253.68</v>
      </c>
      <c r="L1832">
        <v>54252</v>
      </c>
      <c r="M1832" t="s">
        <v>534</v>
      </c>
      <c r="N1832" t="str">
        <f>"231010692   "</f>
        <v xml:space="preserve">231010692   </v>
      </c>
      <c r="O1832">
        <v>230127</v>
      </c>
    </row>
    <row r="1833" spans="1:16" x14ac:dyDescent="0.25">
      <c r="A1833" t="s">
        <v>16</v>
      </c>
      <c r="B1833" t="s">
        <v>3221</v>
      </c>
      <c r="C1833">
        <v>2348</v>
      </c>
      <c r="D1833" t="s">
        <v>704</v>
      </c>
      <c r="E1833" t="s">
        <v>705</v>
      </c>
      <c r="F1833">
        <v>55.81</v>
      </c>
      <c r="G1833">
        <v>230215</v>
      </c>
      <c r="H1833">
        <v>4600</v>
      </c>
      <c r="I1833" t="s">
        <v>105</v>
      </c>
      <c r="J1833">
        <v>69.2</v>
      </c>
      <c r="K1833">
        <v>13.39</v>
      </c>
      <c r="L1833">
        <v>54252</v>
      </c>
      <c r="M1833" t="s">
        <v>534</v>
      </c>
      <c r="N1833" t="str">
        <f>"231021802   "</f>
        <v xml:space="preserve">231021802   </v>
      </c>
      <c r="O1833">
        <v>230224</v>
      </c>
    </row>
    <row r="1834" spans="1:16" x14ac:dyDescent="0.25">
      <c r="A1834" t="s">
        <v>16</v>
      </c>
      <c r="B1834" t="s">
        <v>3221</v>
      </c>
      <c r="C1834">
        <v>2926</v>
      </c>
      <c r="D1834" t="s">
        <v>704</v>
      </c>
      <c r="E1834" t="s">
        <v>705</v>
      </c>
      <c r="F1834">
        <v>58.32</v>
      </c>
      <c r="G1834">
        <v>230228</v>
      </c>
      <c r="H1834">
        <v>4600</v>
      </c>
      <c r="I1834" t="s">
        <v>105</v>
      </c>
      <c r="J1834">
        <v>72.319999999999993</v>
      </c>
      <c r="K1834">
        <v>14</v>
      </c>
      <c r="L1834">
        <v>54222</v>
      </c>
      <c r="M1834" t="s">
        <v>308</v>
      </c>
      <c r="N1834" t="str">
        <f>"231030975   "</f>
        <v xml:space="preserve">231030975   </v>
      </c>
      <c r="O1834">
        <v>230308</v>
      </c>
    </row>
    <row r="1835" spans="1:16" x14ac:dyDescent="0.25">
      <c r="A1835" t="s">
        <v>16</v>
      </c>
      <c r="B1835" t="s">
        <v>3221</v>
      </c>
      <c r="C1835">
        <v>5319</v>
      </c>
      <c r="D1835" t="s">
        <v>704</v>
      </c>
      <c r="E1835" t="s">
        <v>705</v>
      </c>
      <c r="F1835">
        <v>262.92</v>
      </c>
      <c r="G1835">
        <v>230411</v>
      </c>
      <c r="H1835">
        <v>4600</v>
      </c>
      <c r="I1835" t="s">
        <v>105</v>
      </c>
      <c r="J1835">
        <v>326.02</v>
      </c>
      <c r="K1835">
        <v>63.1</v>
      </c>
      <c r="L1835">
        <v>54252</v>
      </c>
      <c r="M1835" t="s">
        <v>534</v>
      </c>
      <c r="N1835" t="str">
        <f>"231054647   "</f>
        <v xml:space="preserve">231054647   </v>
      </c>
      <c r="O1835">
        <v>230420</v>
      </c>
    </row>
    <row r="1836" spans="1:16" x14ac:dyDescent="0.25">
      <c r="A1836" t="s">
        <v>16</v>
      </c>
      <c r="B1836" t="s">
        <v>3221</v>
      </c>
      <c r="C1836">
        <v>10234</v>
      </c>
      <c r="D1836" t="s">
        <v>704</v>
      </c>
      <c r="E1836" t="s">
        <v>705</v>
      </c>
      <c r="F1836">
        <v>600.62</v>
      </c>
      <c r="G1836">
        <v>230802</v>
      </c>
      <c r="H1836">
        <v>4600</v>
      </c>
      <c r="I1836" t="s">
        <v>105</v>
      </c>
      <c r="J1836">
        <v>744.77</v>
      </c>
      <c r="K1836">
        <v>144.15</v>
      </c>
      <c r="L1836">
        <v>54222</v>
      </c>
      <c r="M1836" t="s">
        <v>308</v>
      </c>
      <c r="N1836" t="str">
        <f>"231132341   "</f>
        <v xml:space="preserve">231132341   </v>
      </c>
      <c r="O1836">
        <v>230810</v>
      </c>
    </row>
    <row r="1837" spans="1:16" x14ac:dyDescent="0.25">
      <c r="A1837" t="s">
        <v>16</v>
      </c>
      <c r="B1837" t="s">
        <v>3221</v>
      </c>
      <c r="C1837">
        <v>10234</v>
      </c>
      <c r="D1837" t="s">
        <v>704</v>
      </c>
      <c r="E1837" t="s">
        <v>705</v>
      </c>
      <c r="F1837">
        <v>600.61</v>
      </c>
      <c r="G1837">
        <v>230802</v>
      </c>
      <c r="H1837">
        <v>4600</v>
      </c>
      <c r="I1837" t="s">
        <v>105</v>
      </c>
      <c r="J1837">
        <v>744.76</v>
      </c>
      <c r="K1837">
        <v>144.15</v>
      </c>
      <c r="L1837">
        <v>54252</v>
      </c>
      <c r="M1837" t="s">
        <v>534</v>
      </c>
      <c r="N1837" t="str">
        <f>"231132341   "</f>
        <v xml:space="preserve">231132341   </v>
      </c>
      <c r="O1837">
        <v>230810</v>
      </c>
    </row>
    <row r="1838" spans="1:16" x14ac:dyDescent="0.25">
      <c r="A1838" t="s">
        <v>16</v>
      </c>
      <c r="B1838" t="s">
        <v>3221</v>
      </c>
      <c r="C1838">
        <v>5550</v>
      </c>
      <c r="D1838" t="s">
        <v>704</v>
      </c>
      <c r="E1838" t="s">
        <v>705</v>
      </c>
      <c r="F1838">
        <v>486</v>
      </c>
      <c r="G1838">
        <v>230411</v>
      </c>
      <c r="H1838">
        <v>4555</v>
      </c>
      <c r="I1838" t="s">
        <v>481</v>
      </c>
      <c r="J1838">
        <v>602.64</v>
      </c>
      <c r="K1838">
        <v>116.64</v>
      </c>
      <c r="L1838">
        <v>44453</v>
      </c>
      <c r="M1838" t="s">
        <v>492</v>
      </c>
      <c r="N1838" t="str">
        <f>"231054639   "</f>
        <v xml:space="preserve">231054639   </v>
      </c>
      <c r="O1838">
        <v>230426</v>
      </c>
    </row>
    <row r="1839" spans="1:16" x14ac:dyDescent="0.25">
      <c r="A1839" t="s">
        <v>16</v>
      </c>
      <c r="B1839" t="s">
        <v>3221</v>
      </c>
      <c r="C1839">
        <v>14297</v>
      </c>
      <c r="D1839" t="s">
        <v>2757</v>
      </c>
      <c r="E1839" t="s">
        <v>2758</v>
      </c>
      <c r="F1839">
        <v>40</v>
      </c>
      <c r="G1839">
        <v>231017</v>
      </c>
      <c r="H1839">
        <v>4600</v>
      </c>
      <c r="I1839" t="s">
        <v>105</v>
      </c>
      <c r="J1839">
        <v>49.6</v>
      </c>
      <c r="K1839">
        <v>9.6</v>
      </c>
      <c r="L1839">
        <v>17535</v>
      </c>
      <c r="M1839" t="s">
        <v>357</v>
      </c>
      <c r="N1839" t="str">
        <f>"52337       "</f>
        <v xml:space="preserve">52337       </v>
      </c>
      <c r="O1839">
        <v>231025</v>
      </c>
    </row>
    <row r="1840" spans="1:16" x14ac:dyDescent="0.25">
      <c r="A1840" t="s">
        <v>16</v>
      </c>
      <c r="B1840" t="s">
        <v>3221</v>
      </c>
      <c r="C1840">
        <v>522</v>
      </c>
      <c r="D1840" t="s">
        <v>600</v>
      </c>
      <c r="E1840" t="s">
        <v>601</v>
      </c>
      <c r="F1840">
        <v>450</v>
      </c>
      <c r="G1840">
        <v>230123</v>
      </c>
      <c r="H1840">
        <v>4350</v>
      </c>
      <c r="I1840" t="s">
        <v>546</v>
      </c>
      <c r="J1840">
        <v>558</v>
      </c>
      <c r="K1840">
        <v>108</v>
      </c>
      <c r="L1840">
        <v>17972</v>
      </c>
      <c r="M1840" t="s">
        <v>248</v>
      </c>
      <c r="N1840" t="str">
        <f>"30239       "</f>
        <v xml:space="preserve">30239       </v>
      </c>
      <c r="O1840">
        <v>230124</v>
      </c>
    </row>
    <row r="1841" spans="1:15" x14ac:dyDescent="0.25">
      <c r="A1841" t="s">
        <v>16</v>
      </c>
      <c r="B1841" t="s">
        <v>3221</v>
      </c>
      <c r="C1841">
        <v>1950</v>
      </c>
      <c r="D1841" t="s">
        <v>600</v>
      </c>
      <c r="E1841" t="s">
        <v>601</v>
      </c>
      <c r="F1841">
        <v>450</v>
      </c>
      <c r="G1841">
        <v>230214</v>
      </c>
      <c r="H1841">
        <v>4350</v>
      </c>
      <c r="I1841" t="s">
        <v>546</v>
      </c>
      <c r="J1841">
        <v>558</v>
      </c>
      <c r="K1841">
        <v>108</v>
      </c>
      <c r="L1841">
        <v>17972</v>
      </c>
      <c r="M1841" t="s">
        <v>248</v>
      </c>
      <c r="N1841" t="str">
        <f>"302336      "</f>
        <v xml:space="preserve">302336      </v>
      </c>
      <c r="O1841">
        <v>230216</v>
      </c>
    </row>
    <row r="1842" spans="1:15" x14ac:dyDescent="0.25">
      <c r="A1842" t="s">
        <v>16</v>
      </c>
      <c r="B1842" t="s">
        <v>3221</v>
      </c>
      <c r="C1842">
        <v>5073</v>
      </c>
      <c r="D1842" t="s">
        <v>600</v>
      </c>
      <c r="E1842" t="s">
        <v>601</v>
      </c>
      <c r="F1842">
        <v>500</v>
      </c>
      <c r="G1842">
        <v>230412</v>
      </c>
      <c r="H1842">
        <v>4350</v>
      </c>
      <c r="I1842" t="s">
        <v>546</v>
      </c>
      <c r="J1842">
        <v>620</v>
      </c>
      <c r="K1842">
        <v>120</v>
      </c>
      <c r="L1842">
        <v>49702</v>
      </c>
      <c r="M1842" t="s">
        <v>584</v>
      </c>
      <c r="N1842" t="str">
        <f>"3023101     "</f>
        <v xml:space="preserve">3023101     </v>
      </c>
      <c r="O1842">
        <v>230418</v>
      </c>
    </row>
    <row r="1843" spans="1:15" x14ac:dyDescent="0.25">
      <c r="A1843" t="s">
        <v>16</v>
      </c>
      <c r="B1843" t="s">
        <v>3221</v>
      </c>
      <c r="C1843">
        <v>11079</v>
      </c>
      <c r="D1843" t="s">
        <v>600</v>
      </c>
      <c r="E1843" t="s">
        <v>601</v>
      </c>
      <c r="F1843">
        <v>450</v>
      </c>
      <c r="G1843">
        <v>230828</v>
      </c>
      <c r="H1843">
        <v>4350</v>
      </c>
      <c r="I1843" t="s">
        <v>546</v>
      </c>
      <c r="J1843">
        <v>558</v>
      </c>
      <c r="K1843">
        <v>108</v>
      </c>
      <c r="L1843">
        <v>17538</v>
      </c>
      <c r="M1843" t="s">
        <v>24</v>
      </c>
      <c r="N1843" t="str">
        <f>"3023190     "</f>
        <v xml:space="preserve">3023190     </v>
      </c>
      <c r="O1843">
        <v>230830</v>
      </c>
    </row>
    <row r="1844" spans="1:15" x14ac:dyDescent="0.25">
      <c r="A1844" t="s">
        <v>16</v>
      </c>
      <c r="B1844" t="s">
        <v>3221</v>
      </c>
      <c r="C1844">
        <v>16184</v>
      </c>
      <c r="D1844" t="s">
        <v>600</v>
      </c>
      <c r="E1844" t="s">
        <v>601</v>
      </c>
      <c r="F1844">
        <v>500</v>
      </c>
      <c r="G1844">
        <v>231122</v>
      </c>
      <c r="H1844">
        <v>4350</v>
      </c>
      <c r="I1844" t="s">
        <v>546</v>
      </c>
      <c r="J1844">
        <v>620</v>
      </c>
      <c r="K1844">
        <v>120</v>
      </c>
      <c r="L1844">
        <v>49702</v>
      </c>
      <c r="M1844" t="s">
        <v>584</v>
      </c>
      <c r="N1844" t="str">
        <f>"302449      "</f>
        <v xml:space="preserve">302449      </v>
      </c>
      <c r="O1844">
        <v>231127</v>
      </c>
    </row>
    <row r="1845" spans="1:15" x14ac:dyDescent="0.25">
      <c r="A1845" t="s">
        <v>16</v>
      </c>
      <c r="B1845" t="s">
        <v>3221</v>
      </c>
      <c r="C1845">
        <v>11285</v>
      </c>
      <c r="D1845" t="s">
        <v>2471</v>
      </c>
      <c r="E1845" t="s">
        <v>2472</v>
      </c>
      <c r="F1845">
        <v>33.549999999999997</v>
      </c>
      <c r="G1845">
        <v>230829</v>
      </c>
      <c r="H1845">
        <v>4600</v>
      </c>
      <c r="I1845" t="s">
        <v>105</v>
      </c>
      <c r="J1845">
        <v>41.6</v>
      </c>
      <c r="K1845">
        <v>8.0500000000000007</v>
      </c>
      <c r="L1845">
        <v>13802</v>
      </c>
      <c r="M1845" t="s">
        <v>200</v>
      </c>
      <c r="N1845" t="str">
        <f>"2310967     "</f>
        <v xml:space="preserve">2310967     </v>
      </c>
      <c r="O1845">
        <v>230904</v>
      </c>
    </row>
    <row r="1846" spans="1:15" x14ac:dyDescent="0.25">
      <c r="A1846" t="s">
        <v>16</v>
      </c>
      <c r="B1846" t="s">
        <v>3221</v>
      </c>
      <c r="C1846">
        <v>17287</v>
      </c>
      <c r="D1846" t="s">
        <v>3620</v>
      </c>
      <c r="E1846" t="s">
        <v>2022</v>
      </c>
      <c r="F1846">
        <v>140</v>
      </c>
      <c r="G1846">
        <v>231208</v>
      </c>
      <c r="H1846">
        <v>4510</v>
      </c>
      <c r="I1846" t="s">
        <v>42</v>
      </c>
      <c r="J1846">
        <v>140</v>
      </c>
      <c r="K1846">
        <v>0</v>
      </c>
      <c r="L1846">
        <v>13501</v>
      </c>
      <c r="M1846" t="s">
        <v>20</v>
      </c>
      <c r="N1846" t="str">
        <f>"892         "</f>
        <v xml:space="preserve">892         </v>
      </c>
      <c r="O1846">
        <v>231212</v>
      </c>
    </row>
    <row r="1847" spans="1:15" x14ac:dyDescent="0.25">
      <c r="A1847" t="s">
        <v>16</v>
      </c>
      <c r="B1847" t="s">
        <v>3221</v>
      </c>
      <c r="C1847">
        <v>6811</v>
      </c>
      <c r="D1847" t="s">
        <v>3620</v>
      </c>
      <c r="E1847" t="s">
        <v>2022</v>
      </c>
      <c r="F1847">
        <v>140</v>
      </c>
      <c r="G1847">
        <v>230515</v>
      </c>
      <c r="H1847">
        <v>4600</v>
      </c>
      <c r="I1847" t="s">
        <v>105</v>
      </c>
      <c r="J1847">
        <v>140</v>
      </c>
      <c r="K1847">
        <v>0</v>
      </c>
      <c r="L1847">
        <v>13401</v>
      </c>
      <c r="M1847" t="s">
        <v>80</v>
      </c>
      <c r="N1847" t="str">
        <f>"680         "</f>
        <v xml:space="preserve">680         </v>
      </c>
      <c r="O1847">
        <v>230522</v>
      </c>
    </row>
    <row r="1848" spans="1:15" x14ac:dyDescent="0.25">
      <c r="A1848" t="s">
        <v>16</v>
      </c>
      <c r="B1848" t="s">
        <v>3221</v>
      </c>
      <c r="C1848">
        <v>2140</v>
      </c>
      <c r="D1848" t="s">
        <v>1304</v>
      </c>
      <c r="E1848" t="s">
        <v>1305</v>
      </c>
      <c r="F1848">
        <v>173.38</v>
      </c>
      <c r="G1848">
        <v>230217</v>
      </c>
      <c r="H1848">
        <v>4600</v>
      </c>
      <c r="I1848" t="s">
        <v>105</v>
      </c>
      <c r="J1848">
        <v>214.99</v>
      </c>
      <c r="K1848">
        <v>41.61</v>
      </c>
      <c r="L1848">
        <v>66754</v>
      </c>
      <c r="M1848" t="s">
        <v>239</v>
      </c>
      <c r="N1848" t="str">
        <f>"NV/2023/0755"</f>
        <v>NV/2023/0755</v>
      </c>
      <c r="O1848">
        <v>230221</v>
      </c>
    </row>
    <row r="1849" spans="1:15" x14ac:dyDescent="0.25">
      <c r="A1849" t="s">
        <v>16</v>
      </c>
      <c r="B1849" t="s">
        <v>3221</v>
      </c>
      <c r="C1849">
        <v>2401</v>
      </c>
      <c r="D1849" t="s">
        <v>1304</v>
      </c>
      <c r="E1849" t="s">
        <v>1305</v>
      </c>
      <c r="F1849">
        <v>52.87</v>
      </c>
      <c r="G1849">
        <v>230223</v>
      </c>
      <c r="H1849">
        <v>4600</v>
      </c>
      <c r="I1849" t="s">
        <v>105</v>
      </c>
      <c r="J1849">
        <v>65.56</v>
      </c>
      <c r="K1849">
        <v>12.69</v>
      </c>
      <c r="L1849">
        <v>66754</v>
      </c>
      <c r="M1849" t="s">
        <v>239</v>
      </c>
      <c r="N1849" t="str">
        <f>"NV/2023/0807"</f>
        <v>NV/2023/0807</v>
      </c>
      <c r="O1849">
        <v>230227</v>
      </c>
    </row>
    <row r="1850" spans="1:15" x14ac:dyDescent="0.25">
      <c r="A1850" t="s">
        <v>16</v>
      </c>
      <c r="B1850" t="s">
        <v>3221</v>
      </c>
      <c r="C1850">
        <v>3758</v>
      </c>
      <c r="D1850" t="s">
        <v>1304</v>
      </c>
      <c r="E1850" t="s">
        <v>1305</v>
      </c>
      <c r="F1850">
        <v>53.44</v>
      </c>
      <c r="G1850">
        <v>230316</v>
      </c>
      <c r="H1850">
        <v>4600</v>
      </c>
      <c r="I1850" t="s">
        <v>105</v>
      </c>
      <c r="J1850">
        <v>66.260000000000005</v>
      </c>
      <c r="K1850">
        <v>12.82</v>
      </c>
      <c r="L1850">
        <v>66754</v>
      </c>
      <c r="M1850" t="s">
        <v>239</v>
      </c>
      <c r="N1850" t="str">
        <f>"NV/2023/1177"</f>
        <v>NV/2023/1177</v>
      </c>
      <c r="O1850">
        <v>230321</v>
      </c>
    </row>
    <row r="1851" spans="1:15" x14ac:dyDescent="0.25">
      <c r="A1851" t="s">
        <v>16</v>
      </c>
      <c r="B1851" t="s">
        <v>3221</v>
      </c>
      <c r="C1851">
        <v>3758</v>
      </c>
      <c r="D1851" t="s">
        <v>1304</v>
      </c>
      <c r="E1851" t="s">
        <v>1305</v>
      </c>
      <c r="F1851">
        <v>53.44</v>
      </c>
      <c r="G1851">
        <v>230316</v>
      </c>
      <c r="H1851">
        <v>4600</v>
      </c>
      <c r="I1851" t="s">
        <v>105</v>
      </c>
      <c r="J1851">
        <v>66.260000000000005</v>
      </c>
      <c r="K1851">
        <v>12.82</v>
      </c>
      <c r="L1851">
        <v>66754</v>
      </c>
      <c r="M1851" t="s">
        <v>239</v>
      </c>
      <c r="N1851" t="str">
        <f>"NV/2023/1177"</f>
        <v>NV/2023/1177</v>
      </c>
      <c r="O1851">
        <v>230321</v>
      </c>
    </row>
    <row r="1852" spans="1:15" x14ac:dyDescent="0.25">
      <c r="A1852" t="s">
        <v>16</v>
      </c>
      <c r="B1852" t="s">
        <v>3221</v>
      </c>
      <c r="C1852">
        <v>3893</v>
      </c>
      <c r="D1852" t="s">
        <v>1304</v>
      </c>
      <c r="E1852" t="s">
        <v>1305</v>
      </c>
      <c r="F1852">
        <v>91.27</v>
      </c>
      <c r="G1852">
        <v>230323</v>
      </c>
      <c r="H1852">
        <v>4600</v>
      </c>
      <c r="I1852" t="s">
        <v>105</v>
      </c>
      <c r="J1852">
        <v>113.17</v>
      </c>
      <c r="K1852">
        <v>21.9</v>
      </c>
      <c r="L1852">
        <v>66754</v>
      </c>
      <c r="M1852" t="s">
        <v>239</v>
      </c>
      <c r="N1852" t="str">
        <f>"NV/2023/1441"</f>
        <v>NV/2023/1441</v>
      </c>
      <c r="O1852">
        <v>230324</v>
      </c>
    </row>
    <row r="1853" spans="1:15" x14ac:dyDescent="0.25">
      <c r="A1853" t="s">
        <v>16</v>
      </c>
      <c r="B1853" t="s">
        <v>3221</v>
      </c>
      <c r="C1853">
        <v>4607</v>
      </c>
      <c r="D1853" t="s">
        <v>1304</v>
      </c>
      <c r="E1853" t="s">
        <v>1305</v>
      </c>
      <c r="F1853">
        <v>90.06</v>
      </c>
      <c r="G1853">
        <v>230331</v>
      </c>
      <c r="H1853">
        <v>4600</v>
      </c>
      <c r="I1853" t="s">
        <v>105</v>
      </c>
      <c r="J1853">
        <v>111.68</v>
      </c>
      <c r="K1853">
        <v>21.62</v>
      </c>
      <c r="L1853">
        <v>66754</v>
      </c>
      <c r="M1853" t="s">
        <v>239</v>
      </c>
      <c r="N1853" t="str">
        <f>"NV/2023/1592"</f>
        <v>NV/2023/1592</v>
      </c>
      <c r="O1853">
        <v>230411</v>
      </c>
    </row>
    <row r="1854" spans="1:15" x14ac:dyDescent="0.25">
      <c r="A1854" t="s">
        <v>16</v>
      </c>
      <c r="B1854" t="s">
        <v>3221</v>
      </c>
      <c r="C1854">
        <v>4607</v>
      </c>
      <c r="D1854" t="s">
        <v>1304</v>
      </c>
      <c r="E1854" t="s">
        <v>1305</v>
      </c>
      <c r="F1854">
        <v>90.06</v>
      </c>
      <c r="G1854">
        <v>230331</v>
      </c>
      <c r="H1854">
        <v>4600</v>
      </c>
      <c r="I1854" t="s">
        <v>105</v>
      </c>
      <c r="J1854">
        <v>111.68</v>
      </c>
      <c r="K1854">
        <v>21.62</v>
      </c>
      <c r="L1854">
        <v>66754</v>
      </c>
      <c r="M1854" t="s">
        <v>239</v>
      </c>
      <c r="N1854" t="str">
        <f>"NV/2023/1592"</f>
        <v>NV/2023/1592</v>
      </c>
      <c r="O1854">
        <v>230411</v>
      </c>
    </row>
    <row r="1855" spans="1:15" x14ac:dyDescent="0.25">
      <c r="A1855" t="s">
        <v>16</v>
      </c>
      <c r="B1855" t="s">
        <v>3221</v>
      </c>
      <c r="C1855">
        <v>4760</v>
      </c>
      <c r="D1855" t="s">
        <v>1304</v>
      </c>
      <c r="E1855" t="s">
        <v>1305</v>
      </c>
      <c r="F1855">
        <v>207.37</v>
      </c>
      <c r="G1855">
        <v>230406</v>
      </c>
      <c r="H1855">
        <v>4600</v>
      </c>
      <c r="I1855" t="s">
        <v>105</v>
      </c>
      <c r="J1855">
        <v>257.14</v>
      </c>
      <c r="K1855">
        <v>49.77</v>
      </c>
      <c r="L1855">
        <v>66754</v>
      </c>
      <c r="M1855" t="s">
        <v>239</v>
      </c>
      <c r="N1855" t="str">
        <f>"NV/2023/1823"</f>
        <v>NV/2023/1823</v>
      </c>
      <c r="O1855">
        <v>230412</v>
      </c>
    </row>
    <row r="1856" spans="1:15" x14ac:dyDescent="0.25">
      <c r="A1856" t="s">
        <v>16</v>
      </c>
      <c r="B1856" t="s">
        <v>3221</v>
      </c>
      <c r="C1856">
        <v>5513</v>
      </c>
      <c r="D1856" t="s">
        <v>1304</v>
      </c>
      <c r="E1856" t="s">
        <v>1305</v>
      </c>
      <c r="F1856">
        <v>58.73</v>
      </c>
      <c r="G1856">
        <v>230420</v>
      </c>
      <c r="H1856">
        <v>4600</v>
      </c>
      <c r="I1856" t="s">
        <v>105</v>
      </c>
      <c r="J1856">
        <v>72.83</v>
      </c>
      <c r="K1856">
        <v>14.1</v>
      </c>
      <c r="L1856">
        <v>66754</v>
      </c>
      <c r="M1856" t="s">
        <v>239</v>
      </c>
      <c r="N1856" t="str">
        <f>"NV/2023/2278"</f>
        <v>NV/2023/2278</v>
      </c>
      <c r="O1856">
        <v>230426</v>
      </c>
    </row>
    <row r="1857" spans="1:15" x14ac:dyDescent="0.25">
      <c r="A1857" t="s">
        <v>16</v>
      </c>
      <c r="B1857" t="s">
        <v>3221</v>
      </c>
      <c r="C1857">
        <v>5513</v>
      </c>
      <c r="D1857" t="s">
        <v>1304</v>
      </c>
      <c r="E1857" t="s">
        <v>1305</v>
      </c>
      <c r="F1857">
        <v>58.73</v>
      </c>
      <c r="G1857">
        <v>230420</v>
      </c>
      <c r="H1857">
        <v>4600</v>
      </c>
      <c r="I1857" t="s">
        <v>105</v>
      </c>
      <c r="J1857">
        <v>72.83</v>
      </c>
      <c r="K1857">
        <v>14.1</v>
      </c>
      <c r="L1857">
        <v>66754</v>
      </c>
      <c r="M1857" t="s">
        <v>239</v>
      </c>
      <c r="N1857" t="str">
        <f>"NV/2023/2278"</f>
        <v>NV/2023/2278</v>
      </c>
      <c r="O1857">
        <v>230426</v>
      </c>
    </row>
    <row r="1858" spans="1:15" x14ac:dyDescent="0.25">
      <c r="A1858" t="s">
        <v>16</v>
      </c>
      <c r="B1858" t="s">
        <v>3221</v>
      </c>
      <c r="C1858">
        <v>6283</v>
      </c>
      <c r="D1858" t="s">
        <v>1304</v>
      </c>
      <c r="E1858" t="s">
        <v>1305</v>
      </c>
      <c r="F1858">
        <v>84.54</v>
      </c>
      <c r="G1858">
        <v>230505</v>
      </c>
      <c r="H1858">
        <v>4600</v>
      </c>
      <c r="I1858" t="s">
        <v>105</v>
      </c>
      <c r="J1858">
        <v>104.83</v>
      </c>
      <c r="K1858">
        <v>20.29</v>
      </c>
      <c r="L1858">
        <v>66754</v>
      </c>
      <c r="M1858" t="s">
        <v>239</v>
      </c>
      <c r="N1858" t="str">
        <f>"NV/2023/2590"</f>
        <v>NV/2023/2590</v>
      </c>
      <c r="O1858">
        <v>230509</v>
      </c>
    </row>
    <row r="1859" spans="1:15" x14ac:dyDescent="0.25">
      <c r="A1859" t="s">
        <v>16</v>
      </c>
      <c r="B1859" t="s">
        <v>3221</v>
      </c>
      <c r="C1859">
        <v>6283</v>
      </c>
      <c r="D1859" t="s">
        <v>1304</v>
      </c>
      <c r="E1859" t="s">
        <v>1305</v>
      </c>
      <c r="F1859">
        <v>89.23</v>
      </c>
      <c r="G1859">
        <v>230505</v>
      </c>
      <c r="H1859">
        <v>4600</v>
      </c>
      <c r="I1859" t="s">
        <v>105</v>
      </c>
      <c r="J1859">
        <v>110.64</v>
      </c>
      <c r="K1859">
        <v>21.41</v>
      </c>
      <c r="L1859">
        <v>66754</v>
      </c>
      <c r="M1859" t="s">
        <v>239</v>
      </c>
      <c r="N1859" t="str">
        <f>"NV/2023/2590"</f>
        <v>NV/2023/2590</v>
      </c>
      <c r="O1859">
        <v>230509</v>
      </c>
    </row>
    <row r="1860" spans="1:15" x14ac:dyDescent="0.25">
      <c r="A1860" t="s">
        <v>16</v>
      </c>
      <c r="B1860" t="s">
        <v>3221</v>
      </c>
      <c r="C1860">
        <v>6478</v>
      </c>
      <c r="D1860" t="s">
        <v>1304</v>
      </c>
      <c r="E1860" t="s">
        <v>1305</v>
      </c>
      <c r="F1860">
        <v>180.13</v>
      </c>
      <c r="G1860">
        <v>230511</v>
      </c>
      <c r="H1860">
        <v>4600</v>
      </c>
      <c r="I1860" t="s">
        <v>105</v>
      </c>
      <c r="J1860">
        <v>223.36</v>
      </c>
      <c r="K1860">
        <v>43.23</v>
      </c>
      <c r="L1860">
        <v>66754</v>
      </c>
      <c r="M1860" t="s">
        <v>239</v>
      </c>
      <c r="N1860" t="str">
        <f>"NV/2023/3054"</f>
        <v>NV/2023/3054</v>
      </c>
      <c r="O1860">
        <v>230512</v>
      </c>
    </row>
    <row r="1861" spans="1:15" x14ac:dyDescent="0.25">
      <c r="A1861" t="s">
        <v>16</v>
      </c>
      <c r="B1861" t="s">
        <v>3221</v>
      </c>
      <c r="C1861">
        <v>8069</v>
      </c>
      <c r="D1861" t="s">
        <v>1304</v>
      </c>
      <c r="E1861" t="s">
        <v>1305</v>
      </c>
      <c r="F1861">
        <v>25.07</v>
      </c>
      <c r="G1861">
        <v>230602</v>
      </c>
      <c r="H1861">
        <v>4600</v>
      </c>
      <c r="I1861" t="s">
        <v>105</v>
      </c>
      <c r="J1861">
        <v>31.09</v>
      </c>
      <c r="K1861">
        <v>6.02</v>
      </c>
      <c r="L1861">
        <v>66754</v>
      </c>
      <c r="M1861" t="s">
        <v>239</v>
      </c>
      <c r="N1861" t="str">
        <f>"NV/2023/4091"</f>
        <v>NV/2023/4091</v>
      </c>
      <c r="O1861">
        <v>230607</v>
      </c>
    </row>
    <row r="1862" spans="1:15" x14ac:dyDescent="0.25">
      <c r="A1862" t="s">
        <v>16</v>
      </c>
      <c r="B1862" t="s">
        <v>3221</v>
      </c>
      <c r="C1862">
        <v>8069</v>
      </c>
      <c r="D1862" t="s">
        <v>1304</v>
      </c>
      <c r="E1862" t="s">
        <v>1305</v>
      </c>
      <c r="F1862">
        <v>28.22</v>
      </c>
      <c r="G1862">
        <v>230602</v>
      </c>
      <c r="H1862">
        <v>4600</v>
      </c>
      <c r="I1862" t="s">
        <v>105</v>
      </c>
      <c r="J1862">
        <v>34.99</v>
      </c>
      <c r="K1862">
        <v>6.77</v>
      </c>
      <c r="L1862">
        <v>66754</v>
      </c>
      <c r="M1862" t="s">
        <v>239</v>
      </c>
      <c r="N1862" t="str">
        <f>"NV/2023/4091"</f>
        <v>NV/2023/4091</v>
      </c>
      <c r="O1862">
        <v>230607</v>
      </c>
    </row>
    <row r="1863" spans="1:15" x14ac:dyDescent="0.25">
      <c r="A1863" t="s">
        <v>16</v>
      </c>
      <c r="B1863" t="s">
        <v>3221</v>
      </c>
      <c r="C1863">
        <v>8069</v>
      </c>
      <c r="D1863" t="s">
        <v>1304</v>
      </c>
      <c r="E1863" t="s">
        <v>1305</v>
      </c>
      <c r="F1863">
        <v>39.380000000000003</v>
      </c>
      <c r="G1863">
        <v>230602</v>
      </c>
      <c r="H1863">
        <v>4600</v>
      </c>
      <c r="I1863" t="s">
        <v>105</v>
      </c>
      <c r="J1863">
        <v>48.83</v>
      </c>
      <c r="K1863">
        <v>9.4499999999999993</v>
      </c>
      <c r="L1863">
        <v>66754</v>
      </c>
      <c r="M1863" t="s">
        <v>239</v>
      </c>
      <c r="N1863" t="str">
        <f>"NV/2023/4091"</f>
        <v>NV/2023/4091</v>
      </c>
      <c r="O1863">
        <v>230607</v>
      </c>
    </row>
    <row r="1864" spans="1:15" x14ac:dyDescent="0.25">
      <c r="A1864" t="s">
        <v>16</v>
      </c>
      <c r="B1864" t="s">
        <v>3221</v>
      </c>
      <c r="C1864">
        <v>8569</v>
      </c>
      <c r="D1864" t="s">
        <v>1304</v>
      </c>
      <c r="E1864" t="s">
        <v>1305</v>
      </c>
      <c r="F1864">
        <v>86.77</v>
      </c>
      <c r="G1864">
        <v>230608</v>
      </c>
      <c r="H1864">
        <v>4600</v>
      </c>
      <c r="I1864" t="s">
        <v>105</v>
      </c>
      <c r="J1864">
        <v>107.6</v>
      </c>
      <c r="K1864">
        <v>20.83</v>
      </c>
      <c r="L1864">
        <v>66754</v>
      </c>
      <c r="M1864" t="s">
        <v>239</v>
      </c>
      <c r="N1864" t="str">
        <f>"NV/2023/4451"</f>
        <v>NV/2023/4451</v>
      </c>
      <c r="O1864">
        <v>230612</v>
      </c>
    </row>
    <row r="1865" spans="1:15" x14ac:dyDescent="0.25">
      <c r="A1865" t="s">
        <v>16</v>
      </c>
      <c r="B1865" t="s">
        <v>3221</v>
      </c>
      <c r="C1865">
        <v>9261</v>
      </c>
      <c r="D1865" t="s">
        <v>1304</v>
      </c>
      <c r="E1865" t="s">
        <v>1305</v>
      </c>
      <c r="F1865">
        <v>260.93</v>
      </c>
      <c r="G1865">
        <v>230630</v>
      </c>
      <c r="H1865">
        <v>4600</v>
      </c>
      <c r="I1865" t="s">
        <v>105</v>
      </c>
      <c r="J1865">
        <v>323.55</v>
      </c>
      <c r="K1865">
        <v>62.62</v>
      </c>
      <c r="L1865">
        <v>66754</v>
      </c>
      <c r="M1865" t="s">
        <v>239</v>
      </c>
      <c r="N1865" t="str">
        <f>"NV/2023/5612"</f>
        <v>NV/2023/5612</v>
      </c>
      <c r="O1865">
        <v>230703</v>
      </c>
    </row>
    <row r="1866" spans="1:15" x14ac:dyDescent="0.25">
      <c r="A1866" t="s">
        <v>16</v>
      </c>
      <c r="B1866" t="s">
        <v>3221</v>
      </c>
      <c r="C1866">
        <v>9710</v>
      </c>
      <c r="D1866" t="s">
        <v>1304</v>
      </c>
      <c r="E1866" t="s">
        <v>1305</v>
      </c>
      <c r="F1866">
        <v>267.08</v>
      </c>
      <c r="G1866">
        <v>230713</v>
      </c>
      <c r="H1866">
        <v>4600</v>
      </c>
      <c r="I1866" t="s">
        <v>105</v>
      </c>
      <c r="J1866">
        <v>331.18</v>
      </c>
      <c r="K1866">
        <v>64.099999999999994</v>
      </c>
      <c r="L1866">
        <v>66754</v>
      </c>
      <c r="M1866" t="s">
        <v>239</v>
      </c>
      <c r="N1866" t="str">
        <f>"NV/2023/6221"</f>
        <v>NV/2023/6221</v>
      </c>
      <c r="O1866">
        <v>230720</v>
      </c>
    </row>
    <row r="1867" spans="1:15" x14ac:dyDescent="0.25">
      <c r="A1867" t="s">
        <v>16</v>
      </c>
      <c r="B1867" t="s">
        <v>3221</v>
      </c>
      <c r="C1867">
        <v>9807</v>
      </c>
      <c r="D1867" t="s">
        <v>1304</v>
      </c>
      <c r="E1867" t="s">
        <v>1305</v>
      </c>
      <c r="F1867">
        <v>58.57</v>
      </c>
      <c r="G1867">
        <v>230721</v>
      </c>
      <c r="H1867">
        <v>4600</v>
      </c>
      <c r="I1867" t="s">
        <v>105</v>
      </c>
      <c r="J1867">
        <v>72.63</v>
      </c>
      <c r="K1867">
        <v>14.06</v>
      </c>
      <c r="L1867">
        <v>66754</v>
      </c>
      <c r="M1867" t="s">
        <v>239</v>
      </c>
      <c r="N1867" t="str">
        <f>"NV/2023/6528"</f>
        <v>NV/2023/6528</v>
      </c>
      <c r="O1867">
        <v>230725</v>
      </c>
    </row>
    <row r="1868" spans="1:15" x14ac:dyDescent="0.25">
      <c r="A1868" t="s">
        <v>16</v>
      </c>
      <c r="B1868" t="s">
        <v>3221</v>
      </c>
      <c r="C1868">
        <v>9888</v>
      </c>
      <c r="D1868" t="s">
        <v>1304</v>
      </c>
      <c r="E1868" t="s">
        <v>1305</v>
      </c>
      <c r="F1868">
        <v>225.18</v>
      </c>
      <c r="G1868">
        <v>230728</v>
      </c>
      <c r="H1868">
        <v>4600</v>
      </c>
      <c r="I1868" t="s">
        <v>105</v>
      </c>
      <c r="J1868">
        <v>279.22000000000003</v>
      </c>
      <c r="K1868">
        <v>54.04</v>
      </c>
      <c r="L1868">
        <v>66754</v>
      </c>
      <c r="M1868" t="s">
        <v>239</v>
      </c>
      <c r="N1868" t="str">
        <f>"NV/2023/6778"</f>
        <v>NV/2023/6778</v>
      </c>
      <c r="O1868">
        <v>230731</v>
      </c>
    </row>
    <row r="1869" spans="1:15" x14ac:dyDescent="0.25">
      <c r="A1869" t="s">
        <v>16</v>
      </c>
      <c r="B1869" t="s">
        <v>3221</v>
      </c>
      <c r="C1869">
        <v>10109</v>
      </c>
      <c r="D1869" t="s">
        <v>1304</v>
      </c>
      <c r="E1869" t="s">
        <v>1305</v>
      </c>
      <c r="F1869">
        <v>117.95</v>
      </c>
      <c r="G1869">
        <v>230804</v>
      </c>
      <c r="H1869">
        <v>4600</v>
      </c>
      <c r="I1869" t="s">
        <v>105</v>
      </c>
      <c r="J1869">
        <v>146.26</v>
      </c>
      <c r="K1869">
        <v>28.31</v>
      </c>
      <c r="L1869">
        <v>66754</v>
      </c>
      <c r="M1869" t="s">
        <v>239</v>
      </c>
      <c r="N1869" t="str">
        <f>"NV/2023/7057"</f>
        <v>NV/2023/7057</v>
      </c>
      <c r="O1869">
        <v>230808</v>
      </c>
    </row>
    <row r="1870" spans="1:15" x14ac:dyDescent="0.25">
      <c r="A1870" t="s">
        <v>16</v>
      </c>
      <c r="B1870" t="s">
        <v>3221</v>
      </c>
      <c r="C1870">
        <v>10335</v>
      </c>
      <c r="D1870" t="s">
        <v>1304</v>
      </c>
      <c r="E1870" t="s">
        <v>1305</v>
      </c>
      <c r="F1870">
        <v>132.55000000000001</v>
      </c>
      <c r="G1870">
        <v>230811</v>
      </c>
      <c r="H1870">
        <v>4600</v>
      </c>
      <c r="I1870" t="s">
        <v>105</v>
      </c>
      <c r="J1870">
        <v>164.36</v>
      </c>
      <c r="K1870">
        <v>31.81</v>
      </c>
      <c r="L1870">
        <v>66754</v>
      </c>
      <c r="M1870" t="s">
        <v>239</v>
      </c>
      <c r="N1870" t="str">
        <f>"NV/2023/7147"</f>
        <v>NV/2023/7147</v>
      </c>
      <c r="O1870">
        <v>230814</v>
      </c>
    </row>
    <row r="1871" spans="1:15" x14ac:dyDescent="0.25">
      <c r="A1871" t="s">
        <v>16</v>
      </c>
      <c r="B1871" t="s">
        <v>3221</v>
      </c>
      <c r="C1871">
        <v>10335</v>
      </c>
      <c r="D1871" t="s">
        <v>1304</v>
      </c>
      <c r="E1871" t="s">
        <v>1305</v>
      </c>
      <c r="F1871">
        <v>31</v>
      </c>
      <c r="G1871">
        <v>230811</v>
      </c>
      <c r="H1871">
        <v>4600</v>
      </c>
      <c r="I1871" t="s">
        <v>105</v>
      </c>
      <c r="J1871">
        <v>38.44</v>
      </c>
      <c r="K1871">
        <v>7.44</v>
      </c>
      <c r="L1871">
        <v>66754</v>
      </c>
      <c r="M1871" t="s">
        <v>239</v>
      </c>
      <c r="N1871" t="str">
        <f>"NV/2023/7147"</f>
        <v>NV/2023/7147</v>
      </c>
      <c r="O1871">
        <v>230814</v>
      </c>
    </row>
    <row r="1872" spans="1:15" x14ac:dyDescent="0.25">
      <c r="A1872" t="s">
        <v>16</v>
      </c>
      <c r="B1872" t="s">
        <v>3221</v>
      </c>
      <c r="C1872">
        <v>10855</v>
      </c>
      <c r="D1872" t="s">
        <v>1304</v>
      </c>
      <c r="E1872" t="s">
        <v>1305</v>
      </c>
      <c r="F1872">
        <v>227.69</v>
      </c>
      <c r="G1872">
        <v>230817</v>
      </c>
      <c r="H1872">
        <v>4600</v>
      </c>
      <c r="I1872" t="s">
        <v>105</v>
      </c>
      <c r="J1872">
        <v>282.33</v>
      </c>
      <c r="K1872">
        <v>54.64</v>
      </c>
      <c r="L1872">
        <v>66754</v>
      </c>
      <c r="M1872" t="s">
        <v>239</v>
      </c>
      <c r="N1872" t="str">
        <f>"NV/2023/7479"</f>
        <v>NV/2023/7479</v>
      </c>
      <c r="O1872">
        <v>230824</v>
      </c>
    </row>
    <row r="1873" spans="1:15" x14ac:dyDescent="0.25">
      <c r="A1873" t="s">
        <v>16</v>
      </c>
      <c r="B1873" t="s">
        <v>3221</v>
      </c>
      <c r="C1873">
        <v>10855</v>
      </c>
      <c r="D1873" t="s">
        <v>1304</v>
      </c>
      <c r="E1873" t="s">
        <v>1305</v>
      </c>
      <c r="F1873">
        <v>33.049999999999997</v>
      </c>
      <c r="G1873">
        <v>230817</v>
      </c>
      <c r="H1873">
        <v>4600</v>
      </c>
      <c r="I1873" t="s">
        <v>105</v>
      </c>
      <c r="J1873">
        <v>40.98</v>
      </c>
      <c r="K1873">
        <v>7.93</v>
      </c>
      <c r="L1873">
        <v>66754</v>
      </c>
      <c r="M1873" t="s">
        <v>239</v>
      </c>
      <c r="N1873" t="str">
        <f>"NV/2023/7479"</f>
        <v>NV/2023/7479</v>
      </c>
      <c r="O1873">
        <v>230824</v>
      </c>
    </row>
    <row r="1874" spans="1:15" x14ac:dyDescent="0.25">
      <c r="A1874" t="s">
        <v>16</v>
      </c>
      <c r="B1874" t="s">
        <v>3221</v>
      </c>
      <c r="C1874">
        <v>11645</v>
      </c>
      <c r="D1874" t="s">
        <v>1304</v>
      </c>
      <c r="E1874" t="s">
        <v>1305</v>
      </c>
      <c r="F1874">
        <v>321.64999999999998</v>
      </c>
      <c r="G1874">
        <v>230901</v>
      </c>
      <c r="H1874">
        <v>4600</v>
      </c>
      <c r="I1874" t="s">
        <v>105</v>
      </c>
      <c r="J1874">
        <v>398.84</v>
      </c>
      <c r="K1874">
        <v>77.19</v>
      </c>
      <c r="L1874">
        <v>66754</v>
      </c>
      <c r="M1874" t="s">
        <v>239</v>
      </c>
      <c r="N1874" t="str">
        <f>"NV/2023/7946"</f>
        <v>NV/2023/7946</v>
      </c>
      <c r="O1874">
        <v>230907</v>
      </c>
    </row>
    <row r="1875" spans="1:15" x14ac:dyDescent="0.25">
      <c r="A1875" t="s">
        <v>16</v>
      </c>
      <c r="B1875" t="s">
        <v>3221</v>
      </c>
      <c r="C1875">
        <v>12773</v>
      </c>
      <c r="D1875" t="s">
        <v>1304</v>
      </c>
      <c r="E1875" t="s">
        <v>1305</v>
      </c>
      <c r="F1875">
        <v>263.08</v>
      </c>
      <c r="G1875">
        <v>230922</v>
      </c>
      <c r="H1875">
        <v>4600</v>
      </c>
      <c r="I1875" t="s">
        <v>105</v>
      </c>
      <c r="J1875">
        <v>326.22000000000003</v>
      </c>
      <c r="K1875">
        <v>63.14</v>
      </c>
      <c r="L1875">
        <v>66754</v>
      </c>
      <c r="M1875" t="s">
        <v>239</v>
      </c>
      <c r="N1875" t="str">
        <f>"NV/2023/8482"</f>
        <v>NV/2023/8482</v>
      </c>
      <c r="O1875">
        <v>230926</v>
      </c>
    </row>
    <row r="1876" spans="1:15" x14ac:dyDescent="0.25">
      <c r="A1876" t="s">
        <v>16</v>
      </c>
      <c r="B1876" t="s">
        <v>3221</v>
      </c>
      <c r="C1876">
        <v>13388</v>
      </c>
      <c r="D1876" t="s">
        <v>1304</v>
      </c>
      <c r="E1876" t="s">
        <v>1305</v>
      </c>
      <c r="F1876">
        <v>102.05</v>
      </c>
      <c r="G1876">
        <v>231006</v>
      </c>
      <c r="H1876">
        <v>4600</v>
      </c>
      <c r="I1876" t="s">
        <v>105</v>
      </c>
      <c r="J1876">
        <v>126.54</v>
      </c>
      <c r="K1876">
        <v>24.49</v>
      </c>
      <c r="L1876">
        <v>66754</v>
      </c>
      <c r="M1876" t="s">
        <v>239</v>
      </c>
      <c r="N1876" t="str">
        <f>"NV/2023/8721"</f>
        <v>NV/2023/8721</v>
      </c>
      <c r="O1876">
        <v>231009</v>
      </c>
    </row>
    <row r="1877" spans="1:15" x14ac:dyDescent="0.25">
      <c r="A1877" t="s">
        <v>16</v>
      </c>
      <c r="B1877" t="s">
        <v>3221</v>
      </c>
      <c r="C1877">
        <v>14382</v>
      </c>
      <c r="D1877" t="s">
        <v>1304</v>
      </c>
      <c r="E1877" t="s">
        <v>1305</v>
      </c>
      <c r="F1877">
        <v>290.77999999999997</v>
      </c>
      <c r="G1877">
        <v>231020</v>
      </c>
      <c r="H1877">
        <v>4600</v>
      </c>
      <c r="I1877" t="s">
        <v>105</v>
      </c>
      <c r="J1877">
        <v>360.57</v>
      </c>
      <c r="K1877">
        <v>69.790000000000006</v>
      </c>
      <c r="L1877">
        <v>66754</v>
      </c>
      <c r="M1877" t="s">
        <v>239</v>
      </c>
      <c r="N1877" t="str">
        <f>"NV/2023/9153"</f>
        <v>NV/2023/9153</v>
      </c>
      <c r="O1877">
        <v>231030</v>
      </c>
    </row>
    <row r="1878" spans="1:15" x14ac:dyDescent="0.25">
      <c r="A1878" t="s">
        <v>16</v>
      </c>
      <c r="B1878" t="s">
        <v>3221</v>
      </c>
      <c r="C1878">
        <v>15251</v>
      </c>
      <c r="D1878" t="s">
        <v>1304</v>
      </c>
      <c r="E1878" t="s">
        <v>1305</v>
      </c>
      <c r="F1878">
        <v>82.75</v>
      </c>
      <c r="G1878">
        <v>231102</v>
      </c>
      <c r="H1878">
        <v>4600</v>
      </c>
      <c r="I1878" t="s">
        <v>105</v>
      </c>
      <c r="J1878">
        <v>102.61</v>
      </c>
      <c r="K1878">
        <v>19.86</v>
      </c>
      <c r="L1878">
        <v>66754</v>
      </c>
      <c r="M1878" t="s">
        <v>239</v>
      </c>
      <c r="N1878" t="str">
        <f>"NV/2023/9391"</f>
        <v>NV/2023/9391</v>
      </c>
      <c r="O1878">
        <v>231109</v>
      </c>
    </row>
    <row r="1879" spans="1:15" x14ac:dyDescent="0.25">
      <c r="A1879" t="s">
        <v>16</v>
      </c>
      <c r="B1879" t="s">
        <v>3221</v>
      </c>
      <c r="C1879">
        <v>15890</v>
      </c>
      <c r="D1879" t="s">
        <v>1304</v>
      </c>
      <c r="E1879" t="s">
        <v>1305</v>
      </c>
      <c r="F1879">
        <v>173.98</v>
      </c>
      <c r="G1879">
        <v>231110</v>
      </c>
      <c r="H1879">
        <v>4600</v>
      </c>
      <c r="I1879" t="s">
        <v>105</v>
      </c>
      <c r="J1879">
        <v>215.74</v>
      </c>
      <c r="K1879">
        <v>41.76</v>
      </c>
      <c r="L1879">
        <v>66754</v>
      </c>
      <c r="M1879" t="s">
        <v>239</v>
      </c>
      <c r="N1879" t="str">
        <f>"NV/2023/9562"</f>
        <v>NV/2023/9562</v>
      </c>
      <c r="O1879">
        <v>231121</v>
      </c>
    </row>
    <row r="1880" spans="1:15" x14ac:dyDescent="0.25">
      <c r="A1880" t="s">
        <v>16</v>
      </c>
      <c r="B1880" t="s">
        <v>3221</v>
      </c>
      <c r="C1880">
        <v>16741</v>
      </c>
      <c r="D1880" t="s">
        <v>3012</v>
      </c>
      <c r="E1880" t="s">
        <v>3013</v>
      </c>
      <c r="F1880">
        <v>72.5</v>
      </c>
      <c r="G1880">
        <v>231130</v>
      </c>
      <c r="H1880">
        <v>4600</v>
      </c>
      <c r="I1880" t="s">
        <v>105</v>
      </c>
      <c r="J1880">
        <v>89.9</v>
      </c>
      <c r="K1880">
        <v>17.399999999999999</v>
      </c>
      <c r="L1880">
        <v>17802</v>
      </c>
      <c r="M1880" t="s">
        <v>174</v>
      </c>
      <c r="N1880" t="str">
        <f>"102         "</f>
        <v xml:space="preserve">102         </v>
      </c>
      <c r="O1880">
        <v>231208</v>
      </c>
    </row>
    <row r="1881" spans="1:15" x14ac:dyDescent="0.25">
      <c r="A1881" t="s">
        <v>16</v>
      </c>
      <c r="B1881" t="s">
        <v>3221</v>
      </c>
      <c r="C1881">
        <v>17561</v>
      </c>
      <c r="D1881" t="s">
        <v>3012</v>
      </c>
      <c r="E1881" t="s">
        <v>3013</v>
      </c>
      <c r="F1881">
        <v>34.5</v>
      </c>
      <c r="G1881">
        <v>231213</v>
      </c>
      <c r="H1881">
        <v>4600</v>
      </c>
      <c r="I1881" t="s">
        <v>105</v>
      </c>
      <c r="J1881">
        <v>42.78</v>
      </c>
      <c r="K1881">
        <v>8.2799999999999994</v>
      </c>
      <c r="L1881">
        <v>17802</v>
      </c>
      <c r="M1881" t="s">
        <v>174</v>
      </c>
      <c r="N1881" t="str">
        <f>"108         "</f>
        <v xml:space="preserve">108         </v>
      </c>
      <c r="O1881">
        <v>231215</v>
      </c>
    </row>
    <row r="1882" spans="1:15" x14ac:dyDescent="0.25">
      <c r="A1882" t="s">
        <v>16</v>
      </c>
      <c r="B1882" t="s">
        <v>3221</v>
      </c>
      <c r="C1882">
        <v>3531</v>
      </c>
      <c r="D1882" t="s">
        <v>1569</v>
      </c>
      <c r="E1882" t="s">
        <v>1570</v>
      </c>
      <c r="F1882">
        <v>12000</v>
      </c>
      <c r="G1882">
        <v>230314</v>
      </c>
      <c r="H1882">
        <v>4440</v>
      </c>
      <c r="I1882" t="s">
        <v>250</v>
      </c>
      <c r="J1882">
        <v>14880</v>
      </c>
      <c r="K1882">
        <v>2880</v>
      </c>
      <c r="L1882">
        <v>18820</v>
      </c>
      <c r="M1882" t="s">
        <v>1571</v>
      </c>
      <c r="N1882" t="str">
        <f>"3966        "</f>
        <v xml:space="preserve">3966        </v>
      </c>
      <c r="O1882">
        <v>230316</v>
      </c>
    </row>
    <row r="1883" spans="1:15" x14ac:dyDescent="0.25">
      <c r="A1883" t="s">
        <v>16</v>
      </c>
      <c r="B1883" t="s">
        <v>3221</v>
      </c>
      <c r="C1883">
        <v>9026</v>
      </c>
      <c r="D1883" t="s">
        <v>1569</v>
      </c>
      <c r="E1883" t="s">
        <v>1570</v>
      </c>
      <c r="F1883">
        <v>12000</v>
      </c>
      <c r="G1883">
        <v>230614</v>
      </c>
      <c r="H1883">
        <v>4440</v>
      </c>
      <c r="I1883" t="s">
        <v>250</v>
      </c>
      <c r="J1883">
        <v>14880</v>
      </c>
      <c r="K1883">
        <v>2880</v>
      </c>
      <c r="L1883">
        <v>18820</v>
      </c>
      <c r="M1883" t="s">
        <v>1571</v>
      </c>
      <c r="N1883" t="str">
        <f>"4102        "</f>
        <v xml:space="preserve">4102        </v>
      </c>
      <c r="O1883">
        <v>230621</v>
      </c>
    </row>
    <row r="1884" spans="1:15" x14ac:dyDescent="0.25">
      <c r="A1884" t="s">
        <v>16</v>
      </c>
      <c r="B1884" t="s">
        <v>3221</v>
      </c>
      <c r="C1884">
        <v>9027</v>
      </c>
      <c r="D1884" t="s">
        <v>1569</v>
      </c>
      <c r="E1884" t="s">
        <v>1570</v>
      </c>
      <c r="F1884">
        <v>12000</v>
      </c>
      <c r="G1884">
        <v>230614</v>
      </c>
      <c r="H1884">
        <v>4440</v>
      </c>
      <c r="I1884" t="s">
        <v>250</v>
      </c>
      <c r="J1884">
        <v>14880</v>
      </c>
      <c r="K1884">
        <v>2880</v>
      </c>
      <c r="L1884">
        <v>18820</v>
      </c>
      <c r="M1884" t="s">
        <v>1571</v>
      </c>
      <c r="N1884" t="str">
        <f>"4101        "</f>
        <v xml:space="preserve">4101        </v>
      </c>
      <c r="O1884">
        <v>230621</v>
      </c>
    </row>
    <row r="1885" spans="1:15" x14ac:dyDescent="0.25">
      <c r="A1885" t="s">
        <v>16</v>
      </c>
      <c r="B1885" t="s">
        <v>3221</v>
      </c>
      <c r="C1885">
        <v>12846</v>
      </c>
      <c r="D1885" t="s">
        <v>1569</v>
      </c>
      <c r="E1885" t="s">
        <v>1570</v>
      </c>
      <c r="F1885">
        <v>12000</v>
      </c>
      <c r="G1885">
        <v>230926</v>
      </c>
      <c r="H1885">
        <v>4440</v>
      </c>
      <c r="I1885" t="s">
        <v>250</v>
      </c>
      <c r="J1885">
        <v>14880</v>
      </c>
      <c r="K1885">
        <v>2880</v>
      </c>
      <c r="L1885">
        <v>18820</v>
      </c>
      <c r="M1885" t="s">
        <v>1571</v>
      </c>
      <c r="N1885" t="str">
        <f>"4186        "</f>
        <v xml:space="preserve">4186        </v>
      </c>
      <c r="O1885">
        <v>230928</v>
      </c>
    </row>
    <row r="1886" spans="1:15" x14ac:dyDescent="0.25">
      <c r="A1886" t="s">
        <v>16</v>
      </c>
      <c r="B1886" t="s">
        <v>3221</v>
      </c>
      <c r="C1886">
        <v>14220</v>
      </c>
      <c r="D1886" t="s">
        <v>1569</v>
      </c>
      <c r="E1886" t="s">
        <v>1570</v>
      </c>
      <c r="F1886">
        <v>10150</v>
      </c>
      <c r="G1886">
        <v>231012</v>
      </c>
      <c r="H1886">
        <v>4440</v>
      </c>
      <c r="I1886" t="s">
        <v>250</v>
      </c>
      <c r="J1886">
        <v>12586</v>
      </c>
      <c r="K1886">
        <v>2436</v>
      </c>
      <c r="L1886">
        <v>18820</v>
      </c>
      <c r="M1886" t="s">
        <v>1571</v>
      </c>
      <c r="N1886" t="str">
        <f>"4212        "</f>
        <v xml:space="preserve">4212        </v>
      </c>
      <c r="O1886">
        <v>231024</v>
      </c>
    </row>
    <row r="1887" spans="1:15" x14ac:dyDescent="0.25">
      <c r="A1887" t="s">
        <v>16</v>
      </c>
      <c r="B1887" t="s">
        <v>3221</v>
      </c>
      <c r="C1887">
        <v>17271</v>
      </c>
      <c r="D1887" t="s">
        <v>1569</v>
      </c>
      <c r="E1887" t="s">
        <v>1570</v>
      </c>
      <c r="F1887">
        <v>16100</v>
      </c>
      <c r="G1887">
        <v>231205</v>
      </c>
      <c r="H1887">
        <v>4440</v>
      </c>
      <c r="I1887" t="s">
        <v>250</v>
      </c>
      <c r="J1887">
        <v>19964</v>
      </c>
      <c r="K1887">
        <v>3864</v>
      </c>
      <c r="L1887">
        <v>18820</v>
      </c>
      <c r="M1887" t="s">
        <v>1571</v>
      </c>
      <c r="N1887" t="str">
        <f>"4296        "</f>
        <v xml:space="preserve">4296        </v>
      </c>
      <c r="O1887">
        <v>231212</v>
      </c>
    </row>
    <row r="1888" spans="1:15" x14ac:dyDescent="0.25">
      <c r="A1888" t="s">
        <v>16</v>
      </c>
      <c r="B1888" t="s">
        <v>3221</v>
      </c>
      <c r="C1888">
        <v>17479</v>
      </c>
      <c r="D1888" t="s">
        <v>1569</v>
      </c>
      <c r="E1888" t="s">
        <v>1570</v>
      </c>
      <c r="F1888">
        <v>10500</v>
      </c>
      <c r="G1888">
        <v>231208</v>
      </c>
      <c r="H1888">
        <v>4440</v>
      </c>
      <c r="I1888" t="s">
        <v>250</v>
      </c>
      <c r="J1888">
        <v>13020</v>
      </c>
      <c r="K1888">
        <v>2520</v>
      </c>
      <c r="L1888">
        <v>18820</v>
      </c>
      <c r="M1888" t="s">
        <v>1571</v>
      </c>
      <c r="N1888" t="str">
        <f>"4316        "</f>
        <v xml:space="preserve">4316        </v>
      </c>
      <c r="O1888">
        <v>231214</v>
      </c>
    </row>
    <row r="1889" spans="1:15" x14ac:dyDescent="0.25">
      <c r="A1889" t="s">
        <v>16</v>
      </c>
      <c r="B1889" t="s">
        <v>3221</v>
      </c>
      <c r="C1889">
        <v>18019</v>
      </c>
      <c r="D1889" t="s">
        <v>1569</v>
      </c>
      <c r="E1889" t="s">
        <v>1570</v>
      </c>
      <c r="F1889">
        <v>12000</v>
      </c>
      <c r="G1889">
        <v>231213</v>
      </c>
      <c r="H1889">
        <v>4440</v>
      </c>
      <c r="I1889" t="s">
        <v>250</v>
      </c>
      <c r="J1889">
        <v>14880</v>
      </c>
      <c r="K1889">
        <v>2880</v>
      </c>
      <c r="L1889">
        <v>18820</v>
      </c>
      <c r="M1889" t="s">
        <v>1571</v>
      </c>
      <c r="N1889" t="str">
        <f>"4321        "</f>
        <v xml:space="preserve">4321        </v>
      </c>
      <c r="O1889">
        <v>231228</v>
      </c>
    </row>
    <row r="1890" spans="1:15" x14ac:dyDescent="0.25">
      <c r="A1890" t="s">
        <v>16</v>
      </c>
      <c r="B1890" t="s">
        <v>3221</v>
      </c>
      <c r="C1890">
        <v>6930</v>
      </c>
      <c r="D1890" t="s">
        <v>3621</v>
      </c>
      <c r="E1890" t="s">
        <v>2038</v>
      </c>
      <c r="F1890">
        <v>1169.23</v>
      </c>
      <c r="G1890">
        <v>230503</v>
      </c>
      <c r="H1890">
        <v>4557</v>
      </c>
      <c r="I1890" t="s">
        <v>238</v>
      </c>
      <c r="J1890">
        <v>1449.85</v>
      </c>
      <c r="K1890">
        <v>280.62</v>
      </c>
      <c r="L1890">
        <v>66754</v>
      </c>
      <c r="M1890" t="s">
        <v>239</v>
      </c>
      <c r="N1890" t="str">
        <f>"8196        "</f>
        <v xml:space="preserve">8196        </v>
      </c>
      <c r="O1890">
        <v>230523</v>
      </c>
    </row>
    <row r="1891" spans="1:15" x14ac:dyDescent="0.25">
      <c r="A1891" t="s">
        <v>16</v>
      </c>
      <c r="B1891" t="s">
        <v>3221</v>
      </c>
      <c r="C1891">
        <v>6584</v>
      </c>
      <c r="D1891" t="s">
        <v>1991</v>
      </c>
      <c r="E1891" t="s">
        <v>1992</v>
      </c>
      <c r="F1891">
        <v>427.19</v>
      </c>
      <c r="G1891">
        <v>230510</v>
      </c>
      <c r="H1891">
        <v>4343</v>
      </c>
      <c r="I1891" t="s">
        <v>91</v>
      </c>
      <c r="J1891">
        <v>529.72</v>
      </c>
      <c r="K1891">
        <v>102.53</v>
      </c>
      <c r="L1891">
        <v>16121</v>
      </c>
      <c r="M1891" t="s">
        <v>21</v>
      </c>
      <c r="N1891" t="str">
        <f>"1164        "</f>
        <v xml:space="preserve">1164        </v>
      </c>
      <c r="O1891">
        <v>230515</v>
      </c>
    </row>
    <row r="1892" spans="1:15" x14ac:dyDescent="0.25">
      <c r="A1892" t="s">
        <v>16</v>
      </c>
      <c r="B1892" t="s">
        <v>3221</v>
      </c>
      <c r="C1892">
        <v>14761</v>
      </c>
      <c r="D1892" t="s">
        <v>1991</v>
      </c>
      <c r="E1892" t="s">
        <v>1992</v>
      </c>
      <c r="F1892">
        <v>121.76</v>
      </c>
      <c r="G1892">
        <v>231030</v>
      </c>
      <c r="H1892">
        <v>4343</v>
      </c>
      <c r="I1892" t="s">
        <v>91</v>
      </c>
      <c r="J1892">
        <v>150.97999999999999</v>
      </c>
      <c r="K1892">
        <v>29.22</v>
      </c>
      <c r="L1892">
        <v>16121</v>
      </c>
      <c r="M1892" t="s">
        <v>21</v>
      </c>
      <c r="N1892" t="str">
        <f>"1476        "</f>
        <v xml:space="preserve">1476        </v>
      </c>
      <c r="O1892">
        <v>231106</v>
      </c>
    </row>
    <row r="1893" spans="1:15" x14ac:dyDescent="0.25">
      <c r="A1893" t="s">
        <v>16</v>
      </c>
      <c r="B1893" t="s">
        <v>3221</v>
      </c>
      <c r="C1893">
        <v>1707</v>
      </c>
      <c r="D1893" t="s">
        <v>1150</v>
      </c>
      <c r="E1893" t="s">
        <v>1151</v>
      </c>
      <c r="F1893">
        <v>539</v>
      </c>
      <c r="G1893">
        <v>230206</v>
      </c>
      <c r="H1893">
        <v>4510</v>
      </c>
      <c r="I1893" t="s">
        <v>42</v>
      </c>
      <c r="J1893">
        <v>592.9</v>
      </c>
      <c r="K1893">
        <v>53.9</v>
      </c>
      <c r="L1893">
        <v>13502</v>
      </c>
      <c r="M1893" t="s">
        <v>243</v>
      </c>
      <c r="N1893" t="str">
        <f>"4292483     "</f>
        <v xml:space="preserve">4292483     </v>
      </c>
      <c r="O1893">
        <v>230213</v>
      </c>
    </row>
    <row r="1894" spans="1:15" x14ac:dyDescent="0.25">
      <c r="A1894" t="s">
        <v>16</v>
      </c>
      <c r="B1894" t="s">
        <v>3221</v>
      </c>
      <c r="C1894">
        <v>14760</v>
      </c>
      <c r="D1894" t="s">
        <v>1150</v>
      </c>
      <c r="E1894" t="s">
        <v>1151</v>
      </c>
      <c r="F1894">
        <v>33.700000000000003</v>
      </c>
      <c r="G1894">
        <v>231031</v>
      </c>
      <c r="H1894">
        <v>4510</v>
      </c>
      <c r="I1894" t="s">
        <v>42</v>
      </c>
      <c r="J1894">
        <v>33.700000000000003</v>
      </c>
      <c r="K1894">
        <v>0</v>
      </c>
      <c r="L1894">
        <v>13801</v>
      </c>
      <c r="M1894" t="s">
        <v>162</v>
      </c>
      <c r="N1894" t="str">
        <f>"311023      "</f>
        <v xml:space="preserve">311023      </v>
      </c>
      <c r="O1894">
        <v>231106</v>
      </c>
    </row>
    <row r="1895" spans="1:15" x14ac:dyDescent="0.25">
      <c r="A1895" t="s">
        <v>16</v>
      </c>
      <c r="B1895" t="s">
        <v>3221</v>
      </c>
      <c r="C1895">
        <v>7587</v>
      </c>
      <c r="D1895" t="s">
        <v>2102</v>
      </c>
      <c r="E1895" t="s">
        <v>2103</v>
      </c>
      <c r="F1895">
        <v>1440</v>
      </c>
      <c r="G1895">
        <v>230529</v>
      </c>
      <c r="H1895">
        <v>4440</v>
      </c>
      <c r="I1895" t="s">
        <v>250</v>
      </c>
      <c r="J1895">
        <v>1785.6</v>
      </c>
      <c r="K1895">
        <v>345.6</v>
      </c>
      <c r="L1895">
        <v>14622</v>
      </c>
      <c r="M1895" t="s">
        <v>1005</v>
      </c>
      <c r="N1895" t="str">
        <f>"6023050002  "</f>
        <v xml:space="preserve">6023050002  </v>
      </c>
      <c r="O1895">
        <v>230601</v>
      </c>
    </row>
    <row r="1896" spans="1:15" x14ac:dyDescent="0.25">
      <c r="A1896" t="s">
        <v>16</v>
      </c>
      <c r="B1896" t="s">
        <v>3221</v>
      </c>
      <c r="C1896">
        <v>3689</v>
      </c>
      <c r="D1896" t="s">
        <v>1596</v>
      </c>
      <c r="E1896" t="s">
        <v>1597</v>
      </c>
      <c r="F1896">
        <v>279.25</v>
      </c>
      <c r="G1896">
        <v>230317</v>
      </c>
      <c r="H1896">
        <v>4600</v>
      </c>
      <c r="I1896" t="s">
        <v>105</v>
      </c>
      <c r="J1896">
        <v>346.27</v>
      </c>
      <c r="K1896">
        <v>67.02</v>
      </c>
      <c r="L1896">
        <v>46555</v>
      </c>
      <c r="M1896" t="s">
        <v>597</v>
      </c>
      <c r="N1896" t="str">
        <f>"1431120     "</f>
        <v xml:space="preserve">1431120     </v>
      </c>
      <c r="O1896">
        <v>230321</v>
      </c>
    </row>
    <row r="1897" spans="1:15" x14ac:dyDescent="0.25">
      <c r="A1897" t="s">
        <v>16</v>
      </c>
      <c r="B1897" t="s">
        <v>3221</v>
      </c>
      <c r="C1897">
        <v>6127</v>
      </c>
      <c r="D1897" t="s">
        <v>1596</v>
      </c>
      <c r="E1897" t="s">
        <v>1597</v>
      </c>
      <c r="F1897">
        <v>242.8</v>
      </c>
      <c r="G1897">
        <v>230502</v>
      </c>
      <c r="H1897">
        <v>4600</v>
      </c>
      <c r="I1897" t="s">
        <v>105</v>
      </c>
      <c r="J1897">
        <v>301.07</v>
      </c>
      <c r="K1897">
        <v>58.27</v>
      </c>
      <c r="L1897">
        <v>46555</v>
      </c>
      <c r="M1897" t="s">
        <v>597</v>
      </c>
      <c r="N1897" t="str">
        <f>"1434272     "</f>
        <v xml:space="preserve">1434272     </v>
      </c>
      <c r="O1897">
        <v>230508</v>
      </c>
    </row>
    <row r="1898" spans="1:15" x14ac:dyDescent="0.25">
      <c r="A1898" t="s">
        <v>16</v>
      </c>
      <c r="B1898" t="s">
        <v>3221</v>
      </c>
      <c r="C1898">
        <v>15776</v>
      </c>
      <c r="D1898" t="s">
        <v>1596</v>
      </c>
      <c r="E1898" t="s">
        <v>1597</v>
      </c>
      <c r="F1898">
        <v>193.41</v>
      </c>
      <c r="G1898">
        <v>231103</v>
      </c>
      <c r="H1898">
        <v>4600</v>
      </c>
      <c r="I1898" t="s">
        <v>105</v>
      </c>
      <c r="J1898">
        <v>239.83</v>
      </c>
      <c r="K1898">
        <v>46.42</v>
      </c>
      <c r="L1898">
        <v>56558</v>
      </c>
      <c r="M1898" t="s">
        <v>217</v>
      </c>
      <c r="N1898" t="str">
        <f>"1446948     "</f>
        <v xml:space="preserve">1446948     </v>
      </c>
      <c r="O1898">
        <v>231117</v>
      </c>
    </row>
    <row r="1899" spans="1:15" x14ac:dyDescent="0.25">
      <c r="A1899" t="s">
        <v>16</v>
      </c>
      <c r="B1899" t="s">
        <v>3221</v>
      </c>
      <c r="C1899">
        <v>144</v>
      </c>
      <c r="D1899" t="s">
        <v>213</v>
      </c>
      <c r="E1899" t="s">
        <v>214</v>
      </c>
      <c r="F1899">
        <v>468.4</v>
      </c>
      <c r="G1899">
        <v>230107</v>
      </c>
      <c r="H1899">
        <v>4390</v>
      </c>
      <c r="I1899" t="s">
        <v>98</v>
      </c>
      <c r="J1899">
        <v>580.82000000000005</v>
      </c>
      <c r="K1899">
        <v>112.42</v>
      </c>
      <c r="L1899">
        <v>17956</v>
      </c>
      <c r="M1899" t="s">
        <v>53</v>
      </c>
      <c r="N1899" t="str">
        <f>"60128855    "</f>
        <v xml:space="preserve">60128855    </v>
      </c>
      <c r="O1899">
        <v>230112</v>
      </c>
    </row>
    <row r="1900" spans="1:15" x14ac:dyDescent="0.25">
      <c r="A1900" t="s">
        <v>16</v>
      </c>
      <c r="B1900" t="s">
        <v>3221</v>
      </c>
      <c r="C1900">
        <v>2064</v>
      </c>
      <c r="D1900" t="s">
        <v>1282</v>
      </c>
      <c r="E1900" t="s">
        <v>1283</v>
      </c>
      <c r="F1900">
        <v>189.52</v>
      </c>
      <c r="G1900">
        <v>230123</v>
      </c>
      <c r="H1900">
        <v>4580</v>
      </c>
      <c r="I1900" t="s">
        <v>35</v>
      </c>
      <c r="J1900">
        <v>235</v>
      </c>
      <c r="K1900">
        <v>45.48</v>
      </c>
      <c r="L1900">
        <v>17521</v>
      </c>
      <c r="M1900" t="s">
        <v>133</v>
      </c>
      <c r="N1900" t="str">
        <f>"217436      "</f>
        <v xml:space="preserve">217436      </v>
      </c>
      <c r="O1900">
        <v>230220</v>
      </c>
    </row>
    <row r="1901" spans="1:15" x14ac:dyDescent="0.25">
      <c r="A1901" t="s">
        <v>16</v>
      </c>
      <c r="B1901" t="s">
        <v>3221</v>
      </c>
      <c r="C1901">
        <v>3793</v>
      </c>
      <c r="D1901" t="s">
        <v>1282</v>
      </c>
      <c r="E1901" t="s">
        <v>1283</v>
      </c>
      <c r="F1901">
        <v>47.58</v>
      </c>
      <c r="G1901">
        <v>230317</v>
      </c>
      <c r="H1901">
        <v>4580</v>
      </c>
      <c r="I1901" t="s">
        <v>35</v>
      </c>
      <c r="J1901">
        <v>59</v>
      </c>
      <c r="K1901">
        <v>11.42</v>
      </c>
      <c r="L1901">
        <v>17521</v>
      </c>
      <c r="M1901" t="s">
        <v>133</v>
      </c>
      <c r="N1901" t="str">
        <f>"217751      "</f>
        <v xml:space="preserve">217751      </v>
      </c>
      <c r="O1901">
        <v>230322</v>
      </c>
    </row>
    <row r="1902" spans="1:15" x14ac:dyDescent="0.25">
      <c r="A1902" t="s">
        <v>16</v>
      </c>
      <c r="B1902" t="s">
        <v>3221</v>
      </c>
      <c r="C1902">
        <v>3794</v>
      </c>
      <c r="D1902" t="s">
        <v>1282</v>
      </c>
      <c r="E1902" t="s">
        <v>1283</v>
      </c>
      <c r="F1902">
        <v>222.58</v>
      </c>
      <c r="G1902">
        <v>230317</v>
      </c>
      <c r="H1902">
        <v>4580</v>
      </c>
      <c r="I1902" t="s">
        <v>35</v>
      </c>
      <c r="J1902">
        <v>276</v>
      </c>
      <c r="K1902">
        <v>53.42</v>
      </c>
      <c r="L1902">
        <v>17521</v>
      </c>
      <c r="M1902" t="s">
        <v>133</v>
      </c>
      <c r="N1902" t="str">
        <f>"217764      "</f>
        <v xml:space="preserve">217764      </v>
      </c>
      <c r="O1902">
        <v>230322</v>
      </c>
    </row>
    <row r="1903" spans="1:15" x14ac:dyDescent="0.25">
      <c r="A1903" t="s">
        <v>16</v>
      </c>
      <c r="B1903" t="s">
        <v>3221</v>
      </c>
      <c r="C1903">
        <v>4568</v>
      </c>
      <c r="D1903" t="s">
        <v>1282</v>
      </c>
      <c r="E1903" t="s">
        <v>1283</v>
      </c>
      <c r="F1903">
        <v>182.42</v>
      </c>
      <c r="G1903">
        <v>230321</v>
      </c>
      <c r="H1903">
        <v>4580</v>
      </c>
      <c r="I1903" t="s">
        <v>35</v>
      </c>
      <c r="J1903">
        <v>226.2</v>
      </c>
      <c r="K1903">
        <v>43.78</v>
      </c>
      <c r="L1903">
        <v>17521</v>
      </c>
      <c r="M1903" t="s">
        <v>133</v>
      </c>
      <c r="N1903" t="str">
        <f>"218055      "</f>
        <v xml:space="preserve">218055      </v>
      </c>
      <c r="O1903">
        <v>230406</v>
      </c>
    </row>
    <row r="1904" spans="1:15" x14ac:dyDescent="0.25">
      <c r="A1904" t="s">
        <v>16</v>
      </c>
      <c r="B1904" t="s">
        <v>3221</v>
      </c>
      <c r="C1904">
        <v>4103</v>
      </c>
      <c r="D1904" t="s">
        <v>1282</v>
      </c>
      <c r="E1904" t="s">
        <v>1283</v>
      </c>
      <c r="F1904">
        <v>810.48</v>
      </c>
      <c r="G1904">
        <v>230317</v>
      </c>
      <c r="H1904">
        <v>4600</v>
      </c>
      <c r="I1904" t="s">
        <v>105</v>
      </c>
      <c r="J1904">
        <v>1005</v>
      </c>
      <c r="K1904">
        <v>194.52</v>
      </c>
      <c r="L1904">
        <v>17632</v>
      </c>
      <c r="M1904" t="s">
        <v>495</v>
      </c>
      <c r="N1904" t="str">
        <f>"217796      "</f>
        <v xml:space="preserve">217796      </v>
      </c>
      <c r="O1904">
        <v>230330</v>
      </c>
    </row>
    <row r="1905" spans="1:15" x14ac:dyDescent="0.25">
      <c r="A1905" t="s">
        <v>16</v>
      </c>
      <c r="B1905" t="s">
        <v>3221</v>
      </c>
      <c r="C1905">
        <v>11703</v>
      </c>
      <c r="D1905" t="s">
        <v>1282</v>
      </c>
      <c r="E1905" t="s">
        <v>1283</v>
      </c>
      <c r="F1905">
        <v>612.9</v>
      </c>
      <c r="G1905">
        <v>230821</v>
      </c>
      <c r="H1905">
        <v>4600</v>
      </c>
      <c r="I1905" t="s">
        <v>105</v>
      </c>
      <c r="J1905">
        <v>760</v>
      </c>
      <c r="K1905">
        <v>147.1</v>
      </c>
      <c r="L1905">
        <v>17632</v>
      </c>
      <c r="M1905" t="s">
        <v>495</v>
      </c>
      <c r="N1905" t="str">
        <f>"219549      "</f>
        <v xml:space="preserve">219549      </v>
      </c>
      <c r="O1905">
        <v>230908</v>
      </c>
    </row>
    <row r="1906" spans="1:15" x14ac:dyDescent="0.25">
      <c r="A1906" t="s">
        <v>16</v>
      </c>
      <c r="B1906" t="s">
        <v>3221</v>
      </c>
      <c r="C1906">
        <v>755</v>
      </c>
      <c r="D1906" t="s">
        <v>712</v>
      </c>
      <c r="E1906" t="s">
        <v>713</v>
      </c>
      <c r="F1906">
        <v>2334.54</v>
      </c>
      <c r="G1906">
        <v>230126</v>
      </c>
      <c r="H1906">
        <v>4600</v>
      </c>
      <c r="I1906" t="s">
        <v>105</v>
      </c>
      <c r="J1906">
        <v>2894.83</v>
      </c>
      <c r="K1906">
        <v>560.29</v>
      </c>
      <c r="L1906">
        <v>17807</v>
      </c>
      <c r="M1906" t="s">
        <v>318</v>
      </c>
      <c r="N1906" t="str">
        <f>"6970094700  "</f>
        <v xml:space="preserve">6970094700  </v>
      </c>
      <c r="O1906">
        <v>230130</v>
      </c>
    </row>
    <row r="1907" spans="1:15" x14ac:dyDescent="0.25">
      <c r="A1907" t="s">
        <v>16</v>
      </c>
      <c r="B1907" t="s">
        <v>3221</v>
      </c>
      <c r="C1907">
        <v>5938</v>
      </c>
      <c r="D1907" t="s">
        <v>669</v>
      </c>
      <c r="E1907" t="s">
        <v>670</v>
      </c>
      <c r="F1907">
        <v>300</v>
      </c>
      <c r="G1907">
        <v>230430</v>
      </c>
      <c r="H1907">
        <v>4410</v>
      </c>
      <c r="I1907" t="s">
        <v>517</v>
      </c>
      <c r="J1907">
        <v>300</v>
      </c>
      <c r="K1907">
        <v>0</v>
      </c>
      <c r="L1907">
        <v>13401</v>
      </c>
      <c r="M1907" t="s">
        <v>80</v>
      </c>
      <c r="N1907" t="str">
        <f>"498         "</f>
        <v xml:space="preserve">498         </v>
      </c>
      <c r="O1907">
        <v>230504</v>
      </c>
    </row>
    <row r="1908" spans="1:15" x14ac:dyDescent="0.25">
      <c r="A1908" t="s">
        <v>16</v>
      </c>
      <c r="B1908" t="s">
        <v>3221</v>
      </c>
      <c r="C1908">
        <v>653</v>
      </c>
      <c r="D1908" t="s">
        <v>669</v>
      </c>
      <c r="E1908" t="s">
        <v>670</v>
      </c>
      <c r="F1908">
        <v>260</v>
      </c>
      <c r="G1908">
        <v>230124</v>
      </c>
      <c r="H1908">
        <v>4420</v>
      </c>
      <c r="I1908" t="s">
        <v>132</v>
      </c>
      <c r="J1908">
        <v>260</v>
      </c>
      <c r="K1908">
        <v>0</v>
      </c>
      <c r="L1908">
        <v>13401</v>
      </c>
      <c r="M1908" t="s">
        <v>80</v>
      </c>
      <c r="N1908" t="str">
        <f>"386         "</f>
        <v xml:space="preserve">386         </v>
      </c>
      <c r="O1908">
        <v>230126</v>
      </c>
    </row>
    <row r="1909" spans="1:15" x14ac:dyDescent="0.25">
      <c r="A1909" t="s">
        <v>16</v>
      </c>
      <c r="B1909" t="s">
        <v>3221</v>
      </c>
      <c r="C1909">
        <v>1526</v>
      </c>
      <c r="D1909" t="s">
        <v>669</v>
      </c>
      <c r="E1909" t="s">
        <v>670</v>
      </c>
      <c r="F1909">
        <v>240</v>
      </c>
      <c r="G1909">
        <v>230206</v>
      </c>
      <c r="H1909">
        <v>4420</v>
      </c>
      <c r="I1909" t="s">
        <v>132</v>
      </c>
      <c r="J1909">
        <v>240</v>
      </c>
      <c r="K1909">
        <v>0</v>
      </c>
      <c r="L1909">
        <v>13401</v>
      </c>
      <c r="M1909" t="s">
        <v>80</v>
      </c>
      <c r="N1909" t="str">
        <f>"402         "</f>
        <v xml:space="preserve">402         </v>
      </c>
      <c r="O1909">
        <v>230209</v>
      </c>
    </row>
    <row r="1910" spans="1:15" x14ac:dyDescent="0.25">
      <c r="A1910" t="s">
        <v>16</v>
      </c>
      <c r="B1910" t="s">
        <v>3221</v>
      </c>
      <c r="C1910">
        <v>1535</v>
      </c>
      <c r="D1910" t="s">
        <v>669</v>
      </c>
      <c r="E1910" t="s">
        <v>670</v>
      </c>
      <c r="F1910">
        <v>2850</v>
      </c>
      <c r="G1910">
        <v>230206</v>
      </c>
      <c r="H1910">
        <v>4420</v>
      </c>
      <c r="I1910" t="s">
        <v>132</v>
      </c>
      <c r="J1910">
        <v>2850</v>
      </c>
      <c r="K1910">
        <v>0</v>
      </c>
      <c r="L1910">
        <v>13401</v>
      </c>
      <c r="M1910" t="s">
        <v>80</v>
      </c>
      <c r="N1910" t="str">
        <f>"405         "</f>
        <v xml:space="preserve">405         </v>
      </c>
      <c r="O1910">
        <v>230209</v>
      </c>
    </row>
    <row r="1911" spans="1:15" x14ac:dyDescent="0.25">
      <c r="A1911" t="s">
        <v>16</v>
      </c>
      <c r="B1911" t="s">
        <v>3221</v>
      </c>
      <c r="C1911">
        <v>2022</v>
      </c>
      <c r="D1911" t="s">
        <v>669</v>
      </c>
      <c r="E1911" t="s">
        <v>670</v>
      </c>
      <c r="F1911">
        <v>50</v>
      </c>
      <c r="G1911">
        <v>230215</v>
      </c>
      <c r="H1911">
        <v>4420</v>
      </c>
      <c r="I1911" t="s">
        <v>132</v>
      </c>
      <c r="J1911">
        <v>50</v>
      </c>
      <c r="K1911">
        <v>0</v>
      </c>
      <c r="L1911">
        <v>13401</v>
      </c>
      <c r="M1911" t="s">
        <v>80</v>
      </c>
      <c r="N1911" t="str">
        <f>"417         "</f>
        <v xml:space="preserve">417         </v>
      </c>
      <c r="O1911">
        <v>230217</v>
      </c>
    </row>
    <row r="1912" spans="1:15" x14ac:dyDescent="0.25">
      <c r="A1912" t="s">
        <v>16</v>
      </c>
      <c r="B1912" t="s">
        <v>3221</v>
      </c>
      <c r="C1912">
        <v>3435</v>
      </c>
      <c r="D1912" t="s">
        <v>669</v>
      </c>
      <c r="E1912" t="s">
        <v>670</v>
      </c>
      <c r="F1912">
        <v>590</v>
      </c>
      <c r="G1912">
        <v>230228</v>
      </c>
      <c r="H1912">
        <v>4420</v>
      </c>
      <c r="I1912" t="s">
        <v>132</v>
      </c>
      <c r="J1912">
        <v>590</v>
      </c>
      <c r="K1912">
        <v>0</v>
      </c>
      <c r="L1912">
        <v>13401</v>
      </c>
      <c r="M1912" t="s">
        <v>80</v>
      </c>
      <c r="N1912" t="str">
        <f>"439         "</f>
        <v xml:space="preserve">439         </v>
      </c>
      <c r="O1912">
        <v>230315</v>
      </c>
    </row>
    <row r="1913" spans="1:15" x14ac:dyDescent="0.25">
      <c r="A1913" t="s">
        <v>16</v>
      </c>
      <c r="B1913" t="s">
        <v>3221</v>
      </c>
      <c r="C1913">
        <v>3437</v>
      </c>
      <c r="D1913" t="s">
        <v>669</v>
      </c>
      <c r="E1913" t="s">
        <v>670</v>
      </c>
      <c r="F1913">
        <v>320</v>
      </c>
      <c r="G1913">
        <v>230314</v>
      </c>
      <c r="H1913">
        <v>4420</v>
      </c>
      <c r="I1913" t="s">
        <v>132</v>
      </c>
      <c r="J1913">
        <v>320</v>
      </c>
      <c r="K1913">
        <v>0</v>
      </c>
      <c r="L1913">
        <v>13401</v>
      </c>
      <c r="M1913" t="s">
        <v>80</v>
      </c>
      <c r="N1913" t="str">
        <f>"451         "</f>
        <v xml:space="preserve">451         </v>
      </c>
      <c r="O1913">
        <v>230315</v>
      </c>
    </row>
    <row r="1914" spans="1:15" x14ac:dyDescent="0.25">
      <c r="A1914" t="s">
        <v>16</v>
      </c>
      <c r="B1914" t="s">
        <v>3221</v>
      </c>
      <c r="C1914">
        <v>4123</v>
      </c>
      <c r="D1914" t="s">
        <v>669</v>
      </c>
      <c r="E1914" t="s">
        <v>670</v>
      </c>
      <c r="F1914">
        <v>3511</v>
      </c>
      <c r="G1914">
        <v>230327</v>
      </c>
      <c r="H1914">
        <v>4420</v>
      </c>
      <c r="I1914" t="s">
        <v>132</v>
      </c>
      <c r="J1914">
        <v>3511</v>
      </c>
      <c r="K1914">
        <v>0</v>
      </c>
      <c r="L1914">
        <v>13401</v>
      </c>
      <c r="M1914" t="s">
        <v>80</v>
      </c>
      <c r="N1914" t="str">
        <f>"468         "</f>
        <v xml:space="preserve">468         </v>
      </c>
      <c r="O1914">
        <v>230330</v>
      </c>
    </row>
    <row r="1915" spans="1:15" x14ac:dyDescent="0.25">
      <c r="A1915" t="s">
        <v>16</v>
      </c>
      <c r="B1915" t="s">
        <v>3221</v>
      </c>
      <c r="C1915">
        <v>5936</v>
      </c>
      <c r="D1915" t="s">
        <v>669</v>
      </c>
      <c r="E1915" t="s">
        <v>670</v>
      </c>
      <c r="F1915">
        <v>500</v>
      </c>
      <c r="G1915">
        <v>230428</v>
      </c>
      <c r="H1915">
        <v>4420</v>
      </c>
      <c r="I1915" t="s">
        <v>132</v>
      </c>
      <c r="J1915">
        <v>500</v>
      </c>
      <c r="K1915">
        <v>0</v>
      </c>
      <c r="L1915">
        <v>13401</v>
      </c>
      <c r="M1915" t="s">
        <v>80</v>
      </c>
      <c r="N1915" t="str">
        <f>"495         "</f>
        <v xml:space="preserve">495         </v>
      </c>
      <c r="O1915">
        <v>230504</v>
      </c>
    </row>
    <row r="1916" spans="1:15" x14ac:dyDescent="0.25">
      <c r="A1916" t="s">
        <v>16</v>
      </c>
      <c r="B1916" t="s">
        <v>3221</v>
      </c>
      <c r="C1916">
        <v>6254</v>
      </c>
      <c r="D1916" t="s">
        <v>669</v>
      </c>
      <c r="E1916" t="s">
        <v>670</v>
      </c>
      <c r="F1916">
        <v>1100</v>
      </c>
      <c r="G1916">
        <v>230428</v>
      </c>
      <c r="H1916">
        <v>4420</v>
      </c>
      <c r="I1916" t="s">
        <v>132</v>
      </c>
      <c r="J1916">
        <v>1100</v>
      </c>
      <c r="K1916">
        <v>0</v>
      </c>
      <c r="L1916">
        <v>13401</v>
      </c>
      <c r="M1916" t="s">
        <v>80</v>
      </c>
      <c r="N1916" t="str">
        <f>"494         "</f>
        <v xml:space="preserve">494         </v>
      </c>
      <c r="O1916">
        <v>230509</v>
      </c>
    </row>
    <row r="1917" spans="1:15" x14ac:dyDescent="0.25">
      <c r="A1917" t="s">
        <v>16</v>
      </c>
      <c r="B1917" t="s">
        <v>3221</v>
      </c>
      <c r="C1917">
        <v>7106</v>
      </c>
      <c r="D1917" t="s">
        <v>669</v>
      </c>
      <c r="E1917" t="s">
        <v>670</v>
      </c>
      <c r="F1917">
        <v>854.55</v>
      </c>
      <c r="G1917">
        <v>230524</v>
      </c>
      <c r="H1917">
        <v>4420</v>
      </c>
      <c r="I1917" t="s">
        <v>132</v>
      </c>
      <c r="J1917">
        <v>940</v>
      </c>
      <c r="K1917">
        <v>85.45</v>
      </c>
      <c r="L1917">
        <v>44424</v>
      </c>
      <c r="M1917" t="s">
        <v>776</v>
      </c>
      <c r="N1917" t="str">
        <f>"534         "</f>
        <v xml:space="preserve">534         </v>
      </c>
      <c r="O1917">
        <v>230525</v>
      </c>
    </row>
    <row r="1918" spans="1:15" x14ac:dyDescent="0.25">
      <c r="A1918" t="s">
        <v>16</v>
      </c>
      <c r="B1918" t="s">
        <v>3221</v>
      </c>
      <c r="C1918">
        <v>7360</v>
      </c>
      <c r="D1918" t="s">
        <v>669</v>
      </c>
      <c r="E1918" t="s">
        <v>670</v>
      </c>
      <c r="F1918">
        <v>300</v>
      </c>
      <c r="G1918">
        <v>230524</v>
      </c>
      <c r="H1918">
        <v>4420</v>
      </c>
      <c r="I1918" t="s">
        <v>132</v>
      </c>
      <c r="J1918">
        <v>330</v>
      </c>
      <c r="K1918">
        <v>30</v>
      </c>
      <c r="L1918">
        <v>13401</v>
      </c>
      <c r="M1918" t="s">
        <v>80</v>
      </c>
      <c r="N1918" t="str">
        <f>"530         "</f>
        <v xml:space="preserve">530         </v>
      </c>
      <c r="O1918">
        <v>230529</v>
      </c>
    </row>
    <row r="1919" spans="1:15" x14ac:dyDescent="0.25">
      <c r="A1919" t="s">
        <v>16</v>
      </c>
      <c r="B1919" t="s">
        <v>3221</v>
      </c>
      <c r="C1919">
        <v>11467</v>
      </c>
      <c r="D1919" t="s">
        <v>669</v>
      </c>
      <c r="E1919" t="s">
        <v>670</v>
      </c>
      <c r="F1919">
        <v>590.91</v>
      </c>
      <c r="G1919">
        <v>230831</v>
      </c>
      <c r="H1919">
        <v>4420</v>
      </c>
      <c r="I1919" t="s">
        <v>132</v>
      </c>
      <c r="J1919">
        <v>650</v>
      </c>
      <c r="K1919">
        <v>59.09</v>
      </c>
      <c r="L1919">
        <v>13401</v>
      </c>
      <c r="M1919" t="s">
        <v>80</v>
      </c>
      <c r="N1919" t="str">
        <f>"646         "</f>
        <v xml:space="preserve">646         </v>
      </c>
      <c r="O1919">
        <v>230906</v>
      </c>
    </row>
    <row r="1920" spans="1:15" x14ac:dyDescent="0.25">
      <c r="A1920" t="s">
        <v>16</v>
      </c>
      <c r="B1920" t="s">
        <v>3221</v>
      </c>
      <c r="C1920">
        <v>12336</v>
      </c>
      <c r="D1920" t="s">
        <v>669</v>
      </c>
      <c r="E1920" t="s">
        <v>670</v>
      </c>
      <c r="F1920">
        <v>50</v>
      </c>
      <c r="G1920">
        <v>230915</v>
      </c>
      <c r="H1920">
        <v>4420</v>
      </c>
      <c r="I1920" t="s">
        <v>132</v>
      </c>
      <c r="J1920">
        <v>55</v>
      </c>
      <c r="K1920">
        <v>5</v>
      </c>
      <c r="L1920">
        <v>13401</v>
      </c>
      <c r="M1920" t="s">
        <v>80</v>
      </c>
      <c r="N1920" t="str">
        <f>"668         "</f>
        <v xml:space="preserve">668         </v>
      </c>
      <c r="O1920">
        <v>230918</v>
      </c>
    </row>
    <row r="1921" spans="1:15" x14ac:dyDescent="0.25">
      <c r="A1921" t="s">
        <v>16</v>
      </c>
      <c r="B1921" t="s">
        <v>3221</v>
      </c>
      <c r="C1921">
        <v>12565</v>
      </c>
      <c r="D1921" t="s">
        <v>669</v>
      </c>
      <c r="E1921" t="s">
        <v>670</v>
      </c>
      <c r="F1921">
        <v>272.73</v>
      </c>
      <c r="G1921">
        <v>230918</v>
      </c>
      <c r="H1921">
        <v>4420</v>
      </c>
      <c r="I1921" t="s">
        <v>132</v>
      </c>
      <c r="J1921">
        <v>300</v>
      </c>
      <c r="K1921">
        <v>27.27</v>
      </c>
      <c r="L1921">
        <v>13401</v>
      </c>
      <c r="M1921" t="s">
        <v>80</v>
      </c>
      <c r="N1921" t="str">
        <f>"673         "</f>
        <v xml:space="preserve">673         </v>
      </c>
      <c r="O1921">
        <v>230921</v>
      </c>
    </row>
    <row r="1922" spans="1:15" x14ac:dyDescent="0.25">
      <c r="A1922" t="s">
        <v>16</v>
      </c>
      <c r="B1922" t="s">
        <v>3221</v>
      </c>
      <c r="C1922">
        <v>13828</v>
      </c>
      <c r="D1922" t="s">
        <v>669</v>
      </c>
      <c r="E1922" t="s">
        <v>670</v>
      </c>
      <c r="F1922">
        <v>181.82</v>
      </c>
      <c r="G1922">
        <v>231011</v>
      </c>
      <c r="H1922">
        <v>4420</v>
      </c>
      <c r="I1922" t="s">
        <v>132</v>
      </c>
      <c r="J1922">
        <v>200</v>
      </c>
      <c r="K1922">
        <v>18.18</v>
      </c>
      <c r="L1922">
        <v>13401</v>
      </c>
      <c r="M1922" t="s">
        <v>80</v>
      </c>
      <c r="N1922" t="str">
        <f>"693         "</f>
        <v xml:space="preserve">693         </v>
      </c>
      <c r="O1922">
        <v>231013</v>
      </c>
    </row>
    <row r="1923" spans="1:15" x14ac:dyDescent="0.25">
      <c r="A1923" t="s">
        <v>16</v>
      </c>
      <c r="B1923" t="s">
        <v>3221</v>
      </c>
      <c r="C1923">
        <v>14679</v>
      </c>
      <c r="D1923" t="s">
        <v>669</v>
      </c>
      <c r="E1923" t="s">
        <v>670</v>
      </c>
      <c r="F1923">
        <v>627.27</v>
      </c>
      <c r="G1923">
        <v>231030</v>
      </c>
      <c r="H1923">
        <v>4420</v>
      </c>
      <c r="I1923" t="s">
        <v>132</v>
      </c>
      <c r="J1923">
        <v>690</v>
      </c>
      <c r="K1923">
        <v>62.73</v>
      </c>
      <c r="L1923">
        <v>13401</v>
      </c>
      <c r="M1923" t="s">
        <v>80</v>
      </c>
      <c r="N1923" t="str">
        <f>"710         "</f>
        <v xml:space="preserve">710         </v>
      </c>
      <c r="O1923">
        <v>231031</v>
      </c>
    </row>
    <row r="1924" spans="1:15" x14ac:dyDescent="0.25">
      <c r="A1924" t="s">
        <v>16</v>
      </c>
      <c r="B1924" t="s">
        <v>3221</v>
      </c>
      <c r="C1924">
        <v>14804</v>
      </c>
      <c r="D1924" t="s">
        <v>669</v>
      </c>
      <c r="E1924" t="s">
        <v>670</v>
      </c>
      <c r="F1924">
        <v>300</v>
      </c>
      <c r="G1924">
        <v>231031</v>
      </c>
      <c r="H1924">
        <v>4420</v>
      </c>
      <c r="I1924" t="s">
        <v>132</v>
      </c>
      <c r="J1924">
        <v>330</v>
      </c>
      <c r="K1924">
        <v>30</v>
      </c>
      <c r="L1924">
        <v>13401</v>
      </c>
      <c r="M1924" t="s">
        <v>80</v>
      </c>
      <c r="N1924" t="str">
        <f>"712         "</f>
        <v xml:space="preserve">712         </v>
      </c>
      <c r="O1924">
        <v>231106</v>
      </c>
    </row>
    <row r="1925" spans="1:15" x14ac:dyDescent="0.25">
      <c r="A1925" t="s">
        <v>16</v>
      </c>
      <c r="B1925" t="s">
        <v>3221</v>
      </c>
      <c r="C1925">
        <v>15419</v>
      </c>
      <c r="D1925" t="s">
        <v>669</v>
      </c>
      <c r="E1925" t="s">
        <v>670</v>
      </c>
      <c r="F1925">
        <v>100</v>
      </c>
      <c r="G1925">
        <v>231110</v>
      </c>
      <c r="H1925">
        <v>4420</v>
      </c>
      <c r="I1925" t="s">
        <v>132</v>
      </c>
      <c r="J1925">
        <v>110</v>
      </c>
      <c r="K1925">
        <v>10</v>
      </c>
      <c r="L1925">
        <v>13401</v>
      </c>
      <c r="M1925" t="s">
        <v>80</v>
      </c>
      <c r="N1925" t="str">
        <f>"725         "</f>
        <v xml:space="preserve">725         </v>
      </c>
      <c r="O1925">
        <v>231113</v>
      </c>
    </row>
    <row r="1926" spans="1:15" x14ac:dyDescent="0.25">
      <c r="A1926" t="s">
        <v>16</v>
      </c>
      <c r="B1926" t="s">
        <v>3221</v>
      </c>
      <c r="C1926">
        <v>16713</v>
      </c>
      <c r="D1926" t="s">
        <v>669</v>
      </c>
      <c r="E1926" t="s">
        <v>670</v>
      </c>
      <c r="F1926">
        <v>681.82</v>
      </c>
      <c r="G1926">
        <v>231130</v>
      </c>
      <c r="H1926">
        <v>4420</v>
      </c>
      <c r="I1926" t="s">
        <v>132</v>
      </c>
      <c r="J1926">
        <v>750</v>
      </c>
      <c r="K1926">
        <v>68.180000000000007</v>
      </c>
      <c r="L1926">
        <v>13401</v>
      </c>
      <c r="M1926" t="s">
        <v>80</v>
      </c>
      <c r="N1926" t="str">
        <f>"762         "</f>
        <v xml:space="preserve">762         </v>
      </c>
      <c r="O1926">
        <v>231208</v>
      </c>
    </row>
    <row r="1927" spans="1:15" x14ac:dyDescent="0.25">
      <c r="A1927" t="s">
        <v>16</v>
      </c>
      <c r="B1927" t="s">
        <v>3221</v>
      </c>
      <c r="C1927">
        <v>2233</v>
      </c>
      <c r="D1927" t="s">
        <v>1335</v>
      </c>
      <c r="E1927" t="s">
        <v>1336</v>
      </c>
      <c r="F1927">
        <v>336.29</v>
      </c>
      <c r="G1927">
        <v>230221</v>
      </c>
      <c r="H1927">
        <v>4574</v>
      </c>
      <c r="I1927" t="s">
        <v>396</v>
      </c>
      <c r="J1927">
        <v>417</v>
      </c>
      <c r="K1927">
        <v>80.709999999999994</v>
      </c>
      <c r="L1927">
        <v>56558</v>
      </c>
      <c r="M1927" t="s">
        <v>217</v>
      </c>
      <c r="N1927" t="str">
        <f>"11369/2     "</f>
        <v xml:space="preserve">11369/2     </v>
      </c>
      <c r="O1927">
        <v>230222</v>
      </c>
    </row>
    <row r="1928" spans="1:15" x14ac:dyDescent="0.25">
      <c r="A1928" t="s">
        <v>16</v>
      </c>
      <c r="B1928" t="s">
        <v>3221</v>
      </c>
      <c r="C1928">
        <v>2635</v>
      </c>
      <c r="D1928" t="s">
        <v>1335</v>
      </c>
      <c r="E1928" t="s">
        <v>1336</v>
      </c>
      <c r="F1928">
        <v>1920.11</v>
      </c>
      <c r="G1928">
        <v>230223</v>
      </c>
      <c r="H1928">
        <v>4600</v>
      </c>
      <c r="I1928" t="s">
        <v>105</v>
      </c>
      <c r="J1928">
        <v>2380.94</v>
      </c>
      <c r="K1928">
        <v>460.83</v>
      </c>
      <c r="L1928">
        <v>56558</v>
      </c>
      <c r="M1928" t="s">
        <v>217</v>
      </c>
      <c r="N1928" t="str">
        <f>"11770       "</f>
        <v xml:space="preserve">11770       </v>
      </c>
      <c r="O1928">
        <v>230306</v>
      </c>
    </row>
    <row r="1929" spans="1:15" x14ac:dyDescent="0.25">
      <c r="A1929" t="s">
        <v>16</v>
      </c>
      <c r="B1929" t="s">
        <v>3221</v>
      </c>
      <c r="C1929">
        <v>2635</v>
      </c>
      <c r="D1929" t="s">
        <v>1335</v>
      </c>
      <c r="E1929" t="s">
        <v>1336</v>
      </c>
      <c r="F1929">
        <v>2803.5</v>
      </c>
      <c r="G1929">
        <v>230223</v>
      </c>
      <c r="H1929">
        <v>4600</v>
      </c>
      <c r="I1929" t="s">
        <v>105</v>
      </c>
      <c r="J1929">
        <v>3476.34</v>
      </c>
      <c r="K1929">
        <v>672.84</v>
      </c>
      <c r="L1929">
        <v>56558</v>
      </c>
      <c r="M1929" t="s">
        <v>217</v>
      </c>
      <c r="N1929" t="str">
        <f>"11770       "</f>
        <v xml:space="preserve">11770       </v>
      </c>
      <c r="O1929">
        <v>230306</v>
      </c>
    </row>
    <row r="1930" spans="1:15" x14ac:dyDescent="0.25">
      <c r="A1930" t="s">
        <v>16</v>
      </c>
      <c r="B1930" t="s">
        <v>3221</v>
      </c>
      <c r="C1930">
        <v>2645</v>
      </c>
      <c r="D1930" t="s">
        <v>1335</v>
      </c>
      <c r="E1930" t="s">
        <v>1336</v>
      </c>
      <c r="F1930">
        <v>1103.33</v>
      </c>
      <c r="G1930">
        <v>230221</v>
      </c>
      <c r="H1930">
        <v>4600</v>
      </c>
      <c r="I1930" t="s">
        <v>105</v>
      </c>
      <c r="J1930">
        <v>1368.13</v>
      </c>
      <c r="K1930">
        <v>264.8</v>
      </c>
      <c r="L1930">
        <v>56558</v>
      </c>
      <c r="M1930" t="s">
        <v>217</v>
      </c>
      <c r="N1930" t="str">
        <f>"11015       "</f>
        <v xml:space="preserve">11015       </v>
      </c>
      <c r="O1930">
        <v>230306</v>
      </c>
    </row>
    <row r="1931" spans="1:15" x14ac:dyDescent="0.25">
      <c r="A1931" t="s">
        <v>16</v>
      </c>
      <c r="B1931" t="s">
        <v>3221</v>
      </c>
      <c r="C1931">
        <v>7772</v>
      </c>
      <c r="D1931" t="s">
        <v>1335</v>
      </c>
      <c r="E1931" t="s">
        <v>1336</v>
      </c>
      <c r="F1931">
        <v>598.36</v>
      </c>
      <c r="G1931">
        <v>230525</v>
      </c>
      <c r="H1931">
        <v>4600</v>
      </c>
      <c r="I1931" t="s">
        <v>105</v>
      </c>
      <c r="J1931">
        <v>741.97</v>
      </c>
      <c r="K1931">
        <v>143.61000000000001</v>
      </c>
      <c r="L1931">
        <v>56558</v>
      </c>
      <c r="M1931" t="s">
        <v>217</v>
      </c>
      <c r="N1931" t="str">
        <f>"11844       "</f>
        <v xml:space="preserve">11844       </v>
      </c>
      <c r="O1931">
        <v>230602</v>
      </c>
    </row>
    <row r="1932" spans="1:15" x14ac:dyDescent="0.25">
      <c r="A1932" t="s">
        <v>16</v>
      </c>
      <c r="B1932" t="s">
        <v>3221</v>
      </c>
      <c r="C1932">
        <v>11606</v>
      </c>
      <c r="D1932" t="s">
        <v>1335</v>
      </c>
      <c r="E1932" t="s">
        <v>1336</v>
      </c>
      <c r="F1932">
        <v>3101.66</v>
      </c>
      <c r="G1932">
        <v>230827</v>
      </c>
      <c r="H1932">
        <v>4600</v>
      </c>
      <c r="I1932" t="s">
        <v>105</v>
      </c>
      <c r="J1932">
        <v>3846.06</v>
      </c>
      <c r="K1932">
        <v>744.4</v>
      </c>
      <c r="L1932">
        <v>56558</v>
      </c>
      <c r="M1932" t="s">
        <v>217</v>
      </c>
      <c r="N1932" t="str">
        <f>"11895       "</f>
        <v xml:space="preserve">11895       </v>
      </c>
      <c r="O1932">
        <v>230907</v>
      </c>
    </row>
    <row r="1933" spans="1:15" x14ac:dyDescent="0.25">
      <c r="A1933" t="s">
        <v>16</v>
      </c>
      <c r="B1933" t="s">
        <v>3221</v>
      </c>
      <c r="C1933">
        <v>12569</v>
      </c>
      <c r="D1933" t="s">
        <v>1335</v>
      </c>
      <c r="E1933" t="s">
        <v>1336</v>
      </c>
      <c r="F1933">
        <v>5095.53</v>
      </c>
      <c r="G1933">
        <v>230906</v>
      </c>
      <c r="H1933">
        <v>4600</v>
      </c>
      <c r="I1933" t="s">
        <v>105</v>
      </c>
      <c r="J1933">
        <v>6318.46</v>
      </c>
      <c r="K1933">
        <v>1222.93</v>
      </c>
      <c r="L1933">
        <v>46554</v>
      </c>
      <c r="M1933" t="s">
        <v>117</v>
      </c>
      <c r="N1933" t="str">
        <f>"11901       "</f>
        <v xml:space="preserve">11901       </v>
      </c>
      <c r="O1933">
        <v>230922</v>
      </c>
    </row>
    <row r="1934" spans="1:15" x14ac:dyDescent="0.25">
      <c r="A1934" t="s">
        <v>16</v>
      </c>
      <c r="B1934" t="s">
        <v>3221</v>
      </c>
      <c r="C1934">
        <v>12621</v>
      </c>
      <c r="D1934" t="s">
        <v>1335</v>
      </c>
      <c r="E1934" t="s">
        <v>1336</v>
      </c>
      <c r="F1934">
        <v>438.01</v>
      </c>
      <c r="G1934">
        <v>230920</v>
      </c>
      <c r="H1934">
        <v>4600</v>
      </c>
      <c r="I1934" t="s">
        <v>105</v>
      </c>
      <c r="J1934">
        <v>543.13</v>
      </c>
      <c r="K1934">
        <v>105.12</v>
      </c>
      <c r="L1934">
        <v>56558</v>
      </c>
      <c r="M1934" t="s">
        <v>217</v>
      </c>
      <c r="N1934" t="str">
        <f>"11928       "</f>
        <v xml:space="preserve">11928       </v>
      </c>
      <c r="O1934">
        <v>230922</v>
      </c>
    </row>
    <row r="1935" spans="1:15" x14ac:dyDescent="0.25">
      <c r="A1935" t="s">
        <v>16</v>
      </c>
      <c r="B1935" t="s">
        <v>3221</v>
      </c>
      <c r="C1935">
        <v>15613</v>
      </c>
      <c r="D1935" t="s">
        <v>1335</v>
      </c>
      <c r="E1935" t="s">
        <v>1336</v>
      </c>
      <c r="F1935">
        <v>2973.9</v>
      </c>
      <c r="G1935">
        <v>231108</v>
      </c>
      <c r="H1935">
        <v>4600</v>
      </c>
      <c r="I1935" t="s">
        <v>105</v>
      </c>
      <c r="J1935">
        <v>3687.63</v>
      </c>
      <c r="K1935">
        <v>713.73</v>
      </c>
      <c r="L1935">
        <v>46554</v>
      </c>
      <c r="M1935" t="s">
        <v>117</v>
      </c>
      <c r="N1935" t="str">
        <f>"11968       "</f>
        <v xml:space="preserve">11968       </v>
      </c>
      <c r="O1935">
        <v>231114</v>
      </c>
    </row>
    <row r="1936" spans="1:15" x14ac:dyDescent="0.25">
      <c r="A1936" t="s">
        <v>16</v>
      </c>
      <c r="B1936" t="s">
        <v>3221</v>
      </c>
      <c r="C1936">
        <v>16466</v>
      </c>
      <c r="D1936" t="s">
        <v>1335</v>
      </c>
      <c r="E1936" t="s">
        <v>1336</v>
      </c>
      <c r="F1936">
        <v>3131.46</v>
      </c>
      <c r="G1936">
        <v>231119</v>
      </c>
      <c r="H1936">
        <v>4600</v>
      </c>
      <c r="I1936" t="s">
        <v>105</v>
      </c>
      <c r="J1936">
        <v>3883.01</v>
      </c>
      <c r="K1936">
        <v>751.55</v>
      </c>
      <c r="L1936">
        <v>46554</v>
      </c>
      <c r="M1936" t="s">
        <v>117</v>
      </c>
      <c r="N1936" t="str">
        <f>"11986       "</f>
        <v xml:space="preserve">11986       </v>
      </c>
      <c r="O1936">
        <v>231201</v>
      </c>
    </row>
    <row r="1937" spans="1:15" x14ac:dyDescent="0.25">
      <c r="A1937" t="s">
        <v>16</v>
      </c>
      <c r="B1937" t="s">
        <v>3221</v>
      </c>
      <c r="C1937">
        <v>17729</v>
      </c>
      <c r="D1937" t="s">
        <v>3093</v>
      </c>
      <c r="E1937" t="s">
        <v>3094</v>
      </c>
      <c r="F1937">
        <v>330.65</v>
      </c>
      <c r="G1937">
        <v>231214</v>
      </c>
      <c r="H1937">
        <v>4600</v>
      </c>
      <c r="I1937" t="s">
        <v>105</v>
      </c>
      <c r="J1937">
        <v>410.01</v>
      </c>
      <c r="K1937">
        <v>79.36</v>
      </c>
      <c r="L1937">
        <v>17526</v>
      </c>
      <c r="M1937" t="s">
        <v>437</v>
      </c>
      <c r="N1937" t="str">
        <f>"413         "</f>
        <v xml:space="preserve">413         </v>
      </c>
      <c r="O1937">
        <v>231222</v>
      </c>
    </row>
    <row r="1938" spans="1:15" x14ac:dyDescent="0.25">
      <c r="A1938" t="s">
        <v>16</v>
      </c>
      <c r="B1938" t="s">
        <v>3221</v>
      </c>
      <c r="C1938">
        <v>16009</v>
      </c>
      <c r="D1938" t="s">
        <v>2196</v>
      </c>
      <c r="E1938" t="s">
        <v>2197</v>
      </c>
      <c r="F1938">
        <v>640</v>
      </c>
      <c r="G1938">
        <v>231116</v>
      </c>
      <c r="H1938">
        <v>4600</v>
      </c>
      <c r="I1938" t="s">
        <v>105</v>
      </c>
      <c r="J1938">
        <v>793.6</v>
      </c>
      <c r="K1938">
        <v>153.6</v>
      </c>
      <c r="L1938">
        <v>54451</v>
      </c>
      <c r="M1938" t="s">
        <v>158</v>
      </c>
      <c r="N1938" t="str">
        <f>"5639        "</f>
        <v xml:space="preserve">5639        </v>
      </c>
      <c r="O1938">
        <v>231122</v>
      </c>
    </row>
    <row r="1939" spans="1:15" x14ac:dyDescent="0.25">
      <c r="A1939" t="s">
        <v>16</v>
      </c>
      <c r="B1939" t="s">
        <v>3221</v>
      </c>
      <c r="C1939">
        <v>8666</v>
      </c>
      <c r="D1939" t="s">
        <v>2196</v>
      </c>
      <c r="E1939" t="s">
        <v>2197</v>
      </c>
      <c r="F1939">
        <v>368</v>
      </c>
      <c r="G1939">
        <v>230609</v>
      </c>
      <c r="H1939">
        <v>4350</v>
      </c>
      <c r="I1939" t="s">
        <v>546</v>
      </c>
      <c r="J1939">
        <v>456.32</v>
      </c>
      <c r="K1939">
        <v>88.32</v>
      </c>
      <c r="L1939">
        <v>44453</v>
      </c>
      <c r="M1939" t="s">
        <v>492</v>
      </c>
      <c r="N1939" t="str">
        <f>"5336        "</f>
        <v xml:space="preserve">5336        </v>
      </c>
      <c r="O1939">
        <v>230613</v>
      </c>
    </row>
    <row r="1940" spans="1:15" x14ac:dyDescent="0.25">
      <c r="A1940" t="s">
        <v>16</v>
      </c>
      <c r="B1940" t="s">
        <v>3221</v>
      </c>
      <c r="C1940">
        <v>695</v>
      </c>
      <c r="D1940" t="s">
        <v>688</v>
      </c>
      <c r="E1940" t="s">
        <v>689</v>
      </c>
      <c r="F1940">
        <v>647.25</v>
      </c>
      <c r="G1940">
        <v>230123</v>
      </c>
      <c r="H1940">
        <v>4400</v>
      </c>
      <c r="I1940" t="s">
        <v>348</v>
      </c>
      <c r="J1940">
        <v>802.59</v>
      </c>
      <c r="K1940">
        <v>155.34</v>
      </c>
      <c r="L1940">
        <v>17534</v>
      </c>
      <c r="M1940" t="s">
        <v>440</v>
      </c>
      <c r="N1940" t="str">
        <f>"3239500041  "</f>
        <v xml:space="preserve">3239500041  </v>
      </c>
      <c r="O1940">
        <v>230126</v>
      </c>
    </row>
    <row r="1941" spans="1:15" x14ac:dyDescent="0.25">
      <c r="A1941" t="s">
        <v>16</v>
      </c>
      <c r="B1941" t="s">
        <v>3221</v>
      </c>
      <c r="C1941">
        <v>1814</v>
      </c>
      <c r="D1941" t="s">
        <v>688</v>
      </c>
      <c r="E1941" t="s">
        <v>689</v>
      </c>
      <c r="F1941">
        <v>183</v>
      </c>
      <c r="G1941">
        <v>230131</v>
      </c>
      <c r="H1941">
        <v>4600</v>
      </c>
      <c r="I1941" t="s">
        <v>105</v>
      </c>
      <c r="J1941">
        <v>226.92</v>
      </c>
      <c r="K1941">
        <v>43.92</v>
      </c>
      <c r="L1941">
        <v>17522</v>
      </c>
      <c r="M1941" t="s">
        <v>451</v>
      </c>
      <c r="N1941" t="str">
        <f>"3239500072  "</f>
        <v xml:space="preserve">3239500072  </v>
      </c>
      <c r="O1941">
        <v>230214</v>
      </c>
    </row>
    <row r="1942" spans="1:15" x14ac:dyDescent="0.25">
      <c r="A1942" t="s">
        <v>16</v>
      </c>
      <c r="B1942" t="s">
        <v>3221</v>
      </c>
      <c r="C1942">
        <v>1814</v>
      </c>
      <c r="D1942" t="s">
        <v>688</v>
      </c>
      <c r="E1942" t="s">
        <v>689</v>
      </c>
      <c r="F1942">
        <v>183</v>
      </c>
      <c r="G1942">
        <v>230131</v>
      </c>
      <c r="H1942">
        <v>4600</v>
      </c>
      <c r="I1942" t="s">
        <v>105</v>
      </c>
      <c r="J1942">
        <v>226.92</v>
      </c>
      <c r="K1942">
        <v>43.92</v>
      </c>
      <c r="L1942">
        <v>17633</v>
      </c>
      <c r="M1942" t="s">
        <v>724</v>
      </c>
      <c r="N1942" t="str">
        <f>"3239500072  "</f>
        <v xml:space="preserve">3239500072  </v>
      </c>
      <c r="O1942">
        <v>230214</v>
      </c>
    </row>
    <row r="1943" spans="1:15" x14ac:dyDescent="0.25">
      <c r="A1943" t="s">
        <v>16</v>
      </c>
      <c r="B1943" t="s">
        <v>3221</v>
      </c>
      <c r="C1943">
        <v>8950</v>
      </c>
      <c r="D1943" t="s">
        <v>2226</v>
      </c>
      <c r="E1943" t="s">
        <v>2227</v>
      </c>
      <c r="F1943">
        <v>642.04999999999995</v>
      </c>
      <c r="G1943">
        <v>230616</v>
      </c>
      <c r="H1943">
        <v>4600</v>
      </c>
      <c r="I1943" t="s">
        <v>105</v>
      </c>
      <c r="J1943">
        <v>796.14</v>
      </c>
      <c r="K1943">
        <v>154.09</v>
      </c>
      <c r="L1943">
        <v>17952</v>
      </c>
      <c r="M1943" t="s">
        <v>88</v>
      </c>
      <c r="N1943" t="str">
        <f>"20005105    "</f>
        <v xml:space="preserve">20005105    </v>
      </c>
      <c r="O1943">
        <v>230620</v>
      </c>
    </row>
    <row r="1944" spans="1:15" x14ac:dyDescent="0.25">
      <c r="A1944" t="s">
        <v>16</v>
      </c>
      <c r="B1944" t="s">
        <v>3221</v>
      </c>
      <c r="C1944">
        <v>11405</v>
      </c>
      <c r="D1944" t="s">
        <v>2226</v>
      </c>
      <c r="E1944" t="s">
        <v>2227</v>
      </c>
      <c r="F1944">
        <v>2817.04</v>
      </c>
      <c r="G1944">
        <v>230901</v>
      </c>
      <c r="H1944">
        <v>4600</v>
      </c>
      <c r="I1944" t="s">
        <v>105</v>
      </c>
      <c r="J1944">
        <v>3493.13</v>
      </c>
      <c r="K1944">
        <v>676.09</v>
      </c>
      <c r="L1944">
        <v>17951</v>
      </c>
      <c r="M1944" t="s">
        <v>87</v>
      </c>
      <c r="N1944" t="str">
        <f>"20008398    "</f>
        <v xml:space="preserve">20008398    </v>
      </c>
      <c r="O1944">
        <v>230905</v>
      </c>
    </row>
    <row r="1945" spans="1:15" x14ac:dyDescent="0.25">
      <c r="A1945" t="s">
        <v>16</v>
      </c>
      <c r="B1945" t="s">
        <v>3221</v>
      </c>
      <c r="C1945">
        <v>10146</v>
      </c>
      <c r="D1945" t="s">
        <v>2347</v>
      </c>
      <c r="E1945" t="s">
        <v>2348</v>
      </c>
      <c r="F1945">
        <v>427.51</v>
      </c>
      <c r="G1945">
        <v>230804</v>
      </c>
      <c r="H1945">
        <v>4600</v>
      </c>
      <c r="I1945" t="s">
        <v>105</v>
      </c>
      <c r="J1945">
        <v>530.11</v>
      </c>
      <c r="K1945">
        <v>102.6</v>
      </c>
      <c r="L1945">
        <v>59504</v>
      </c>
      <c r="M1945" t="s">
        <v>71</v>
      </c>
      <c r="N1945" t="str">
        <f>"291004      "</f>
        <v xml:space="preserve">291004      </v>
      </c>
      <c r="O1945">
        <v>230808</v>
      </c>
    </row>
    <row r="1946" spans="1:15" x14ac:dyDescent="0.25">
      <c r="A1946" t="s">
        <v>16</v>
      </c>
      <c r="B1946" t="s">
        <v>3221</v>
      </c>
      <c r="C1946">
        <v>4831</v>
      </c>
      <c r="D1946" t="s">
        <v>1755</v>
      </c>
      <c r="E1946" t="s">
        <v>1756</v>
      </c>
      <c r="F1946">
        <v>680</v>
      </c>
      <c r="G1946">
        <v>230411</v>
      </c>
      <c r="H1946">
        <v>4341</v>
      </c>
      <c r="I1946" t="s">
        <v>32</v>
      </c>
      <c r="J1946">
        <v>843.2</v>
      </c>
      <c r="K1946">
        <v>163.19999999999999</v>
      </c>
      <c r="L1946">
        <v>46554</v>
      </c>
      <c r="M1946" t="s">
        <v>117</v>
      </c>
      <c r="N1946" t="str">
        <f>"13568       "</f>
        <v xml:space="preserve">13568       </v>
      </c>
      <c r="O1946">
        <v>230413</v>
      </c>
    </row>
    <row r="1947" spans="1:15" x14ac:dyDescent="0.25">
      <c r="A1947" t="s">
        <v>16</v>
      </c>
      <c r="B1947" t="s">
        <v>3221</v>
      </c>
      <c r="C1947">
        <v>6563</v>
      </c>
      <c r="D1947" t="s">
        <v>1755</v>
      </c>
      <c r="E1947" t="s">
        <v>1756</v>
      </c>
      <c r="F1947">
        <v>350</v>
      </c>
      <c r="G1947">
        <v>230508</v>
      </c>
      <c r="H1947">
        <v>4343</v>
      </c>
      <c r="I1947" t="s">
        <v>91</v>
      </c>
      <c r="J1947">
        <v>434</v>
      </c>
      <c r="K1947">
        <v>84</v>
      </c>
      <c r="L1947">
        <v>17804</v>
      </c>
      <c r="M1947" t="s">
        <v>549</v>
      </c>
      <c r="N1947" t="str">
        <f>"13582       "</f>
        <v xml:space="preserve">13582       </v>
      </c>
      <c r="O1947">
        <v>230515</v>
      </c>
    </row>
    <row r="1948" spans="1:15" x14ac:dyDescent="0.25">
      <c r="A1948" t="s">
        <v>16</v>
      </c>
      <c r="B1948" t="s">
        <v>3221</v>
      </c>
      <c r="C1948">
        <v>10435</v>
      </c>
      <c r="D1948" t="s">
        <v>1755</v>
      </c>
      <c r="E1948" t="s">
        <v>1756</v>
      </c>
      <c r="F1948">
        <v>750</v>
      </c>
      <c r="G1948">
        <v>230814</v>
      </c>
      <c r="H1948">
        <v>4343</v>
      </c>
      <c r="I1948" t="s">
        <v>91</v>
      </c>
      <c r="J1948">
        <v>930</v>
      </c>
      <c r="K1948">
        <v>180</v>
      </c>
      <c r="L1948">
        <v>46554</v>
      </c>
      <c r="M1948" t="s">
        <v>117</v>
      </c>
      <c r="N1948" t="str">
        <f>"13614       "</f>
        <v xml:space="preserve">13614       </v>
      </c>
      <c r="O1948">
        <v>230816</v>
      </c>
    </row>
    <row r="1949" spans="1:15" x14ac:dyDescent="0.25">
      <c r="A1949" t="s">
        <v>16</v>
      </c>
      <c r="B1949" t="s">
        <v>3221</v>
      </c>
      <c r="C1949">
        <v>14211</v>
      </c>
      <c r="D1949" t="s">
        <v>1755</v>
      </c>
      <c r="E1949" t="s">
        <v>1756</v>
      </c>
      <c r="F1949">
        <v>93.77</v>
      </c>
      <c r="G1949">
        <v>231011</v>
      </c>
      <c r="H1949">
        <v>4343</v>
      </c>
      <c r="I1949" t="s">
        <v>91</v>
      </c>
      <c r="J1949">
        <v>116.28</v>
      </c>
      <c r="K1949">
        <v>22.51</v>
      </c>
      <c r="L1949">
        <v>17804</v>
      </c>
      <c r="M1949" t="s">
        <v>549</v>
      </c>
      <c r="N1949" t="str">
        <f>"13653       "</f>
        <v xml:space="preserve">13653       </v>
      </c>
      <c r="O1949">
        <v>231024</v>
      </c>
    </row>
    <row r="1950" spans="1:15" x14ac:dyDescent="0.25">
      <c r="A1950" t="s">
        <v>16</v>
      </c>
      <c r="B1950" t="s">
        <v>3221</v>
      </c>
      <c r="C1950">
        <v>10190</v>
      </c>
      <c r="D1950" t="s">
        <v>2351</v>
      </c>
      <c r="E1950" t="s">
        <v>2352</v>
      </c>
      <c r="F1950">
        <v>965.32</v>
      </c>
      <c r="G1950">
        <v>230804</v>
      </c>
      <c r="H1950">
        <v>4580</v>
      </c>
      <c r="I1950" t="s">
        <v>35</v>
      </c>
      <c r="J1950">
        <v>1197</v>
      </c>
      <c r="K1950">
        <v>231.68</v>
      </c>
      <c r="L1950">
        <v>17737</v>
      </c>
      <c r="M1950" t="s">
        <v>279</v>
      </c>
      <c r="N1950" t="str">
        <f>"1973        "</f>
        <v xml:space="preserve">1973        </v>
      </c>
      <c r="O1950">
        <v>230809</v>
      </c>
    </row>
    <row r="1951" spans="1:15" x14ac:dyDescent="0.25">
      <c r="A1951" t="s">
        <v>16</v>
      </c>
      <c r="B1951" t="s">
        <v>3221</v>
      </c>
      <c r="C1951">
        <v>7538</v>
      </c>
      <c r="D1951" t="s">
        <v>3484</v>
      </c>
      <c r="E1951" t="s">
        <v>3485</v>
      </c>
      <c r="F1951">
        <v>360</v>
      </c>
      <c r="G1951">
        <v>230526</v>
      </c>
      <c r="H1951">
        <v>4440</v>
      </c>
      <c r="I1951" t="s">
        <v>250</v>
      </c>
      <c r="J1951">
        <v>360</v>
      </c>
      <c r="K1951">
        <v>0</v>
      </c>
      <c r="L1951">
        <v>18680</v>
      </c>
      <c r="M1951" t="s">
        <v>2232</v>
      </c>
      <c r="N1951" t="str">
        <f>"21 202145   "</f>
        <v xml:space="preserve">21 202145   </v>
      </c>
      <c r="O1951">
        <v>230531</v>
      </c>
    </row>
    <row r="1952" spans="1:15" x14ac:dyDescent="0.25">
      <c r="A1952" t="s">
        <v>16</v>
      </c>
      <c r="B1952" t="s">
        <v>3221</v>
      </c>
      <c r="C1952">
        <v>8597</v>
      </c>
      <c r="D1952" t="s">
        <v>3484</v>
      </c>
      <c r="E1952" t="s">
        <v>3485</v>
      </c>
      <c r="F1952">
        <v>1400</v>
      </c>
      <c r="G1952">
        <v>230531</v>
      </c>
      <c r="H1952">
        <v>4440</v>
      </c>
      <c r="I1952" t="s">
        <v>250</v>
      </c>
      <c r="J1952">
        <v>1400</v>
      </c>
      <c r="K1952">
        <v>0</v>
      </c>
      <c r="L1952">
        <v>18680</v>
      </c>
      <c r="M1952" t="s">
        <v>2232</v>
      </c>
      <c r="N1952" t="str">
        <f>"21 202170   "</f>
        <v xml:space="preserve">21 202170   </v>
      </c>
      <c r="O1952">
        <v>230612</v>
      </c>
    </row>
    <row r="1953" spans="1:15" x14ac:dyDescent="0.25">
      <c r="A1953" t="s">
        <v>16</v>
      </c>
      <c r="B1953" t="s">
        <v>3221</v>
      </c>
      <c r="C1953">
        <v>18163</v>
      </c>
      <c r="D1953" t="s">
        <v>3484</v>
      </c>
      <c r="E1953" t="s">
        <v>3485</v>
      </c>
      <c r="F1953">
        <v>990</v>
      </c>
      <c r="G1953">
        <v>231218</v>
      </c>
      <c r="H1953">
        <v>4440</v>
      </c>
      <c r="I1953" t="s">
        <v>250</v>
      </c>
      <c r="J1953">
        <v>990</v>
      </c>
      <c r="K1953">
        <v>0</v>
      </c>
      <c r="L1953">
        <v>18680</v>
      </c>
      <c r="M1953" t="s">
        <v>2232</v>
      </c>
      <c r="N1953" t="str">
        <f>"21 202598   "</f>
        <v xml:space="preserve">21 202598   </v>
      </c>
      <c r="O1953">
        <v>240102</v>
      </c>
    </row>
    <row r="1954" spans="1:15" x14ac:dyDescent="0.25">
      <c r="A1954" t="s">
        <v>16</v>
      </c>
      <c r="B1954" t="s">
        <v>3221</v>
      </c>
      <c r="C1954">
        <v>1284</v>
      </c>
      <c r="D1954" t="s">
        <v>979</v>
      </c>
      <c r="E1954" t="s">
        <v>980</v>
      </c>
      <c r="F1954">
        <v>490.94</v>
      </c>
      <c r="G1954">
        <v>230203</v>
      </c>
      <c r="H1954">
        <v>4572</v>
      </c>
      <c r="I1954" t="s">
        <v>122</v>
      </c>
      <c r="J1954">
        <v>608.76</v>
      </c>
      <c r="K1954">
        <v>117.82</v>
      </c>
      <c r="L1954">
        <v>59112</v>
      </c>
      <c r="M1954" t="s">
        <v>182</v>
      </c>
      <c r="N1954" t="str">
        <f>"312524391   "</f>
        <v xml:space="preserve">312524391   </v>
      </c>
      <c r="O1954">
        <v>230207</v>
      </c>
    </row>
    <row r="1955" spans="1:15" x14ac:dyDescent="0.25">
      <c r="A1955" t="s">
        <v>16</v>
      </c>
      <c r="B1955" t="s">
        <v>3221</v>
      </c>
      <c r="C1955">
        <v>1284</v>
      </c>
      <c r="D1955" t="s">
        <v>979</v>
      </c>
      <c r="E1955" t="s">
        <v>980</v>
      </c>
      <c r="F1955">
        <v>1327.35</v>
      </c>
      <c r="G1955">
        <v>230203</v>
      </c>
      <c r="H1955">
        <v>4572</v>
      </c>
      <c r="I1955" t="s">
        <v>122</v>
      </c>
      <c r="J1955">
        <v>1645.91</v>
      </c>
      <c r="K1955">
        <v>318.56</v>
      </c>
      <c r="L1955">
        <v>59504</v>
      </c>
      <c r="M1955" t="s">
        <v>71</v>
      </c>
      <c r="N1955" t="str">
        <f>"312524391   "</f>
        <v xml:space="preserve">312524391   </v>
      </c>
      <c r="O1955">
        <v>230207</v>
      </c>
    </row>
    <row r="1956" spans="1:15" x14ac:dyDescent="0.25">
      <c r="A1956" t="s">
        <v>16</v>
      </c>
      <c r="B1956" t="s">
        <v>3221</v>
      </c>
      <c r="C1956">
        <v>1608</v>
      </c>
      <c r="D1956" t="s">
        <v>979</v>
      </c>
      <c r="E1956" t="s">
        <v>980</v>
      </c>
      <c r="F1956">
        <v>484.18</v>
      </c>
      <c r="G1956">
        <v>230203</v>
      </c>
      <c r="H1956">
        <v>4572</v>
      </c>
      <c r="I1956" t="s">
        <v>122</v>
      </c>
      <c r="J1956">
        <v>600.38</v>
      </c>
      <c r="K1956">
        <v>116.2</v>
      </c>
      <c r="L1956">
        <v>59111</v>
      </c>
      <c r="M1956" t="s">
        <v>1010</v>
      </c>
      <c r="N1956" t="str">
        <f>"312540787   "</f>
        <v xml:space="preserve">312540787   </v>
      </c>
      <c r="O1956">
        <v>230210</v>
      </c>
    </row>
    <row r="1957" spans="1:15" x14ac:dyDescent="0.25">
      <c r="A1957" t="s">
        <v>16</v>
      </c>
      <c r="B1957" t="s">
        <v>3221</v>
      </c>
      <c r="C1957">
        <v>1608</v>
      </c>
      <c r="D1957" t="s">
        <v>979</v>
      </c>
      <c r="E1957" t="s">
        <v>980</v>
      </c>
      <c r="F1957">
        <v>7585.49</v>
      </c>
      <c r="G1957">
        <v>230203</v>
      </c>
      <c r="H1957">
        <v>4572</v>
      </c>
      <c r="I1957" t="s">
        <v>122</v>
      </c>
      <c r="J1957">
        <v>9406.01</v>
      </c>
      <c r="K1957">
        <v>1820.52</v>
      </c>
      <c r="L1957">
        <v>59501</v>
      </c>
      <c r="M1957" t="s">
        <v>69</v>
      </c>
      <c r="N1957" t="str">
        <f>"312540787   "</f>
        <v xml:space="preserve">312540787   </v>
      </c>
      <c r="O1957">
        <v>230210</v>
      </c>
    </row>
    <row r="1958" spans="1:15" x14ac:dyDescent="0.25">
      <c r="A1958" t="s">
        <v>16</v>
      </c>
      <c r="B1958" t="s">
        <v>3221</v>
      </c>
      <c r="C1958">
        <v>1610</v>
      </c>
      <c r="D1958" t="s">
        <v>979</v>
      </c>
      <c r="E1958" t="s">
        <v>980</v>
      </c>
      <c r="F1958">
        <v>969.76</v>
      </c>
      <c r="G1958">
        <v>230203</v>
      </c>
      <c r="H1958">
        <v>4572</v>
      </c>
      <c r="I1958" t="s">
        <v>122</v>
      </c>
      <c r="J1958">
        <v>1202.5</v>
      </c>
      <c r="K1958">
        <v>232.74</v>
      </c>
      <c r="L1958">
        <v>59503</v>
      </c>
      <c r="M1958" t="s">
        <v>194</v>
      </c>
      <c r="N1958" t="str">
        <f>"312531294   "</f>
        <v xml:space="preserve">312531294   </v>
      </c>
      <c r="O1958">
        <v>230210</v>
      </c>
    </row>
    <row r="1959" spans="1:15" x14ac:dyDescent="0.25">
      <c r="A1959" t="s">
        <v>16</v>
      </c>
      <c r="B1959" t="s">
        <v>3221</v>
      </c>
      <c r="C1959">
        <v>1611</v>
      </c>
      <c r="D1959" t="s">
        <v>979</v>
      </c>
      <c r="E1959" t="s">
        <v>980</v>
      </c>
      <c r="F1959">
        <v>1243.1500000000001</v>
      </c>
      <c r="G1959">
        <v>230203</v>
      </c>
      <c r="H1959">
        <v>4572</v>
      </c>
      <c r="I1959" t="s">
        <v>122</v>
      </c>
      <c r="J1959">
        <v>1541.5</v>
      </c>
      <c r="K1959">
        <v>298.35000000000002</v>
      </c>
      <c r="L1959">
        <v>59505</v>
      </c>
      <c r="M1959" t="s">
        <v>72</v>
      </c>
      <c r="N1959" t="str">
        <f>"312551629   "</f>
        <v xml:space="preserve">312551629   </v>
      </c>
      <c r="O1959">
        <v>230210</v>
      </c>
    </row>
    <row r="1960" spans="1:15" x14ac:dyDescent="0.25">
      <c r="A1960" t="s">
        <v>16</v>
      </c>
      <c r="B1960" t="s">
        <v>3221</v>
      </c>
      <c r="C1960">
        <v>1611</v>
      </c>
      <c r="D1960" t="s">
        <v>979</v>
      </c>
      <c r="E1960" t="s">
        <v>980</v>
      </c>
      <c r="F1960">
        <v>169.52</v>
      </c>
      <c r="G1960">
        <v>230203</v>
      </c>
      <c r="H1960">
        <v>4572</v>
      </c>
      <c r="I1960" t="s">
        <v>122</v>
      </c>
      <c r="J1960">
        <v>210.2</v>
      </c>
      <c r="K1960">
        <v>40.68</v>
      </c>
      <c r="L1960">
        <v>59812</v>
      </c>
      <c r="M1960" t="s">
        <v>74</v>
      </c>
      <c r="N1960" t="str">
        <f>"312551629   "</f>
        <v xml:space="preserve">312551629   </v>
      </c>
      <c r="O1960">
        <v>230210</v>
      </c>
    </row>
    <row r="1961" spans="1:15" x14ac:dyDescent="0.25">
      <c r="A1961" t="s">
        <v>16</v>
      </c>
      <c r="B1961" t="s">
        <v>3221</v>
      </c>
      <c r="C1961">
        <v>1612</v>
      </c>
      <c r="D1961" t="s">
        <v>979</v>
      </c>
      <c r="E1961" t="s">
        <v>980</v>
      </c>
      <c r="F1961">
        <v>1891.73</v>
      </c>
      <c r="G1961">
        <v>230203</v>
      </c>
      <c r="H1961">
        <v>4572</v>
      </c>
      <c r="I1961" t="s">
        <v>122</v>
      </c>
      <c r="J1961">
        <v>2345.75</v>
      </c>
      <c r="K1961">
        <v>454.02</v>
      </c>
      <c r="L1961">
        <v>59502</v>
      </c>
      <c r="M1961" t="s">
        <v>70</v>
      </c>
      <c r="N1961" t="str">
        <f>"312520283   "</f>
        <v xml:space="preserve">312520283   </v>
      </c>
      <c r="O1961">
        <v>230210</v>
      </c>
    </row>
    <row r="1962" spans="1:15" x14ac:dyDescent="0.25">
      <c r="A1962" t="s">
        <v>16</v>
      </c>
      <c r="B1962" t="s">
        <v>3221</v>
      </c>
      <c r="C1962">
        <v>1612</v>
      </c>
      <c r="D1962" t="s">
        <v>979</v>
      </c>
      <c r="E1962" t="s">
        <v>980</v>
      </c>
      <c r="F1962">
        <v>1209.47</v>
      </c>
      <c r="G1962">
        <v>230203</v>
      </c>
      <c r="H1962">
        <v>4572</v>
      </c>
      <c r="I1962" t="s">
        <v>122</v>
      </c>
      <c r="J1962">
        <v>1499.74</v>
      </c>
      <c r="K1962">
        <v>290.27</v>
      </c>
      <c r="L1962">
        <v>59802</v>
      </c>
      <c r="M1962" t="s">
        <v>73</v>
      </c>
      <c r="N1962" t="str">
        <f>"312520283   "</f>
        <v xml:space="preserve">312520283   </v>
      </c>
      <c r="O1962">
        <v>230210</v>
      </c>
    </row>
    <row r="1963" spans="1:15" x14ac:dyDescent="0.25">
      <c r="A1963" t="s">
        <v>16</v>
      </c>
      <c r="B1963" t="s">
        <v>3221</v>
      </c>
      <c r="C1963">
        <v>1921</v>
      </c>
      <c r="D1963" t="s">
        <v>979</v>
      </c>
      <c r="E1963" t="s">
        <v>980</v>
      </c>
      <c r="F1963">
        <v>68.819999999999993</v>
      </c>
      <c r="G1963">
        <v>230214</v>
      </c>
      <c r="H1963">
        <v>4572</v>
      </c>
      <c r="I1963" t="s">
        <v>122</v>
      </c>
      <c r="J1963">
        <v>68.819999999999993</v>
      </c>
      <c r="K1963">
        <v>0</v>
      </c>
      <c r="L1963">
        <v>59813</v>
      </c>
      <c r="M1963" t="s">
        <v>915</v>
      </c>
      <c r="N1963" t="str">
        <f>"312680093   "</f>
        <v xml:space="preserve">312680093   </v>
      </c>
      <c r="O1963">
        <v>230216</v>
      </c>
    </row>
    <row r="1964" spans="1:15" x14ac:dyDescent="0.25">
      <c r="A1964" t="s">
        <v>16</v>
      </c>
      <c r="B1964" t="s">
        <v>3221</v>
      </c>
      <c r="C1964">
        <v>3004</v>
      </c>
      <c r="D1964" t="s">
        <v>979</v>
      </c>
      <c r="E1964" t="s">
        <v>980</v>
      </c>
      <c r="F1964">
        <v>436.2</v>
      </c>
      <c r="G1964">
        <v>230303</v>
      </c>
      <c r="H1964">
        <v>4572</v>
      </c>
      <c r="I1964" t="s">
        <v>122</v>
      </c>
      <c r="J1964">
        <v>540.89</v>
      </c>
      <c r="K1964">
        <v>104.69</v>
      </c>
      <c r="L1964">
        <v>59111</v>
      </c>
      <c r="M1964" t="s">
        <v>1010</v>
      </c>
      <c r="N1964" t="str">
        <f>"312751037   "</f>
        <v xml:space="preserve">312751037   </v>
      </c>
      <c r="O1964">
        <v>230308</v>
      </c>
    </row>
    <row r="1965" spans="1:15" x14ac:dyDescent="0.25">
      <c r="A1965" t="s">
        <v>16</v>
      </c>
      <c r="B1965" t="s">
        <v>3221</v>
      </c>
      <c r="C1965">
        <v>3004</v>
      </c>
      <c r="D1965" t="s">
        <v>979</v>
      </c>
      <c r="E1965" t="s">
        <v>980</v>
      </c>
      <c r="F1965">
        <v>6833.78</v>
      </c>
      <c r="G1965">
        <v>230303</v>
      </c>
      <c r="H1965">
        <v>4572</v>
      </c>
      <c r="I1965" t="s">
        <v>122</v>
      </c>
      <c r="J1965">
        <v>8473.89</v>
      </c>
      <c r="K1965">
        <v>1640.11</v>
      </c>
      <c r="L1965">
        <v>59501</v>
      </c>
      <c r="M1965" t="s">
        <v>69</v>
      </c>
      <c r="N1965" t="str">
        <f>"312751037   "</f>
        <v xml:space="preserve">312751037   </v>
      </c>
      <c r="O1965">
        <v>230308</v>
      </c>
    </row>
    <row r="1966" spans="1:15" x14ac:dyDescent="0.25">
      <c r="A1966" t="s">
        <v>16</v>
      </c>
      <c r="B1966" t="s">
        <v>3221</v>
      </c>
      <c r="C1966">
        <v>3135</v>
      </c>
      <c r="D1966" t="s">
        <v>979</v>
      </c>
      <c r="E1966" t="s">
        <v>980</v>
      </c>
      <c r="F1966">
        <v>1702.18</v>
      </c>
      <c r="G1966">
        <v>230303</v>
      </c>
      <c r="H1966">
        <v>4572</v>
      </c>
      <c r="I1966" t="s">
        <v>122</v>
      </c>
      <c r="J1966">
        <v>2110.6999999999998</v>
      </c>
      <c r="K1966">
        <v>408.52</v>
      </c>
      <c r="L1966">
        <v>59502</v>
      </c>
      <c r="M1966" t="s">
        <v>70</v>
      </c>
      <c r="N1966" t="str">
        <f>"312752472   "</f>
        <v xml:space="preserve">312752472   </v>
      </c>
      <c r="O1966">
        <v>230309</v>
      </c>
    </row>
    <row r="1967" spans="1:15" x14ac:dyDescent="0.25">
      <c r="A1967" t="s">
        <v>16</v>
      </c>
      <c r="B1967" t="s">
        <v>3221</v>
      </c>
      <c r="C1967">
        <v>3135</v>
      </c>
      <c r="D1967" t="s">
        <v>979</v>
      </c>
      <c r="E1967" t="s">
        <v>980</v>
      </c>
      <c r="F1967">
        <v>1088.28</v>
      </c>
      <c r="G1967">
        <v>230303</v>
      </c>
      <c r="H1967">
        <v>4572</v>
      </c>
      <c r="I1967" t="s">
        <v>122</v>
      </c>
      <c r="J1967">
        <v>1349.47</v>
      </c>
      <c r="K1967">
        <v>261.19</v>
      </c>
      <c r="L1967">
        <v>59802</v>
      </c>
      <c r="M1967" t="s">
        <v>73</v>
      </c>
      <c r="N1967" t="str">
        <f>"312752472   "</f>
        <v xml:space="preserve">312752472   </v>
      </c>
      <c r="O1967">
        <v>230309</v>
      </c>
    </row>
    <row r="1968" spans="1:15" x14ac:dyDescent="0.25">
      <c r="A1968" t="s">
        <v>16</v>
      </c>
      <c r="B1968" t="s">
        <v>3221</v>
      </c>
      <c r="C1968">
        <v>3136</v>
      </c>
      <c r="D1968" t="s">
        <v>979</v>
      </c>
      <c r="E1968" t="s">
        <v>980</v>
      </c>
      <c r="F1968">
        <v>1138.94</v>
      </c>
      <c r="G1968">
        <v>230303</v>
      </c>
      <c r="H1968">
        <v>4572</v>
      </c>
      <c r="I1968" t="s">
        <v>122</v>
      </c>
      <c r="J1968">
        <v>1412.29</v>
      </c>
      <c r="K1968">
        <v>273.35000000000002</v>
      </c>
      <c r="L1968">
        <v>59505</v>
      </c>
      <c r="M1968" t="s">
        <v>72</v>
      </c>
      <c r="N1968" t="str">
        <f>"312778389   "</f>
        <v xml:space="preserve">312778389   </v>
      </c>
      <c r="O1968">
        <v>230309</v>
      </c>
    </row>
    <row r="1969" spans="1:15" x14ac:dyDescent="0.25">
      <c r="A1969" t="s">
        <v>16</v>
      </c>
      <c r="B1969" t="s">
        <v>3221</v>
      </c>
      <c r="C1969">
        <v>3136</v>
      </c>
      <c r="D1969" t="s">
        <v>979</v>
      </c>
      <c r="E1969" t="s">
        <v>980</v>
      </c>
      <c r="F1969">
        <v>155.31</v>
      </c>
      <c r="G1969">
        <v>230303</v>
      </c>
      <c r="H1969">
        <v>4572</v>
      </c>
      <c r="I1969" t="s">
        <v>122</v>
      </c>
      <c r="J1969">
        <v>192.58</v>
      </c>
      <c r="K1969">
        <v>37.270000000000003</v>
      </c>
      <c r="L1969">
        <v>59812</v>
      </c>
      <c r="M1969" t="s">
        <v>74</v>
      </c>
      <c r="N1969" t="str">
        <f>"312778389   "</f>
        <v xml:space="preserve">312778389   </v>
      </c>
      <c r="O1969">
        <v>230309</v>
      </c>
    </row>
    <row r="1970" spans="1:15" x14ac:dyDescent="0.25">
      <c r="A1970" t="s">
        <v>16</v>
      </c>
      <c r="B1970" t="s">
        <v>3221</v>
      </c>
      <c r="C1970">
        <v>3137</v>
      </c>
      <c r="D1970" t="s">
        <v>979</v>
      </c>
      <c r="E1970" t="s">
        <v>980</v>
      </c>
      <c r="F1970">
        <v>820.79</v>
      </c>
      <c r="G1970">
        <v>230303</v>
      </c>
      <c r="H1970">
        <v>4572</v>
      </c>
      <c r="I1970" t="s">
        <v>122</v>
      </c>
      <c r="J1970">
        <v>1017.78</v>
      </c>
      <c r="K1970">
        <v>196.99</v>
      </c>
      <c r="L1970">
        <v>59503</v>
      </c>
      <c r="M1970" t="s">
        <v>194</v>
      </c>
      <c r="N1970" t="str">
        <f>"312744754   "</f>
        <v xml:space="preserve">312744754   </v>
      </c>
      <c r="O1970">
        <v>230309</v>
      </c>
    </row>
    <row r="1971" spans="1:15" x14ac:dyDescent="0.25">
      <c r="A1971" t="s">
        <v>16</v>
      </c>
      <c r="B1971" t="s">
        <v>3221</v>
      </c>
      <c r="C1971">
        <v>3265</v>
      </c>
      <c r="D1971" t="s">
        <v>979</v>
      </c>
      <c r="E1971" t="s">
        <v>980</v>
      </c>
      <c r="F1971">
        <v>441.23</v>
      </c>
      <c r="G1971">
        <v>230303</v>
      </c>
      <c r="H1971">
        <v>4572</v>
      </c>
      <c r="I1971" t="s">
        <v>122</v>
      </c>
      <c r="J1971">
        <v>547.13</v>
      </c>
      <c r="K1971">
        <v>105.9</v>
      </c>
      <c r="L1971">
        <v>59112</v>
      </c>
      <c r="M1971" t="s">
        <v>182</v>
      </c>
      <c r="N1971" t="str">
        <f>"312742945   "</f>
        <v xml:space="preserve">312742945   </v>
      </c>
      <c r="O1971">
        <v>230313</v>
      </c>
    </row>
    <row r="1972" spans="1:15" x14ac:dyDescent="0.25">
      <c r="A1972" t="s">
        <v>16</v>
      </c>
      <c r="B1972" t="s">
        <v>3221</v>
      </c>
      <c r="C1972">
        <v>3265</v>
      </c>
      <c r="D1972" t="s">
        <v>979</v>
      </c>
      <c r="E1972" t="s">
        <v>980</v>
      </c>
      <c r="F1972">
        <v>1192.96</v>
      </c>
      <c r="G1972">
        <v>230303</v>
      </c>
      <c r="H1972">
        <v>4572</v>
      </c>
      <c r="I1972" t="s">
        <v>122</v>
      </c>
      <c r="J1972">
        <v>1479.27</v>
      </c>
      <c r="K1972">
        <v>286.31</v>
      </c>
      <c r="L1972">
        <v>59504</v>
      </c>
      <c r="M1972" t="s">
        <v>71</v>
      </c>
      <c r="N1972" t="str">
        <f>"312742945   "</f>
        <v xml:space="preserve">312742945   </v>
      </c>
      <c r="O1972">
        <v>230313</v>
      </c>
    </row>
    <row r="1973" spans="1:15" x14ac:dyDescent="0.25">
      <c r="A1973" t="s">
        <v>16</v>
      </c>
      <c r="B1973" t="s">
        <v>3221</v>
      </c>
      <c r="C1973">
        <v>3276</v>
      </c>
      <c r="D1973" t="s">
        <v>979</v>
      </c>
      <c r="E1973" t="s">
        <v>980</v>
      </c>
      <c r="F1973">
        <v>9.68</v>
      </c>
      <c r="G1973">
        <v>230307</v>
      </c>
      <c r="H1973">
        <v>4572</v>
      </c>
      <c r="I1973" t="s">
        <v>122</v>
      </c>
      <c r="J1973">
        <v>12</v>
      </c>
      <c r="K1973">
        <v>2.3199999999999998</v>
      </c>
      <c r="L1973">
        <v>59112</v>
      </c>
      <c r="M1973" t="s">
        <v>182</v>
      </c>
      <c r="N1973" t="str">
        <f>"312824570   "</f>
        <v xml:space="preserve">312824570   </v>
      </c>
      <c r="O1973">
        <v>230313</v>
      </c>
    </row>
    <row r="1974" spans="1:15" x14ac:dyDescent="0.25">
      <c r="A1974" t="s">
        <v>16</v>
      </c>
      <c r="B1974" t="s">
        <v>3221</v>
      </c>
      <c r="C1974">
        <v>3276</v>
      </c>
      <c r="D1974" t="s">
        <v>979</v>
      </c>
      <c r="E1974" t="s">
        <v>980</v>
      </c>
      <c r="F1974">
        <v>26.15</v>
      </c>
      <c r="G1974">
        <v>230307</v>
      </c>
      <c r="H1974">
        <v>4572</v>
      </c>
      <c r="I1974" t="s">
        <v>122</v>
      </c>
      <c r="J1974">
        <v>32.43</v>
      </c>
      <c r="K1974">
        <v>6.28</v>
      </c>
      <c r="L1974">
        <v>59504</v>
      </c>
      <c r="M1974" t="s">
        <v>71</v>
      </c>
      <c r="N1974" t="str">
        <f>"312824570   "</f>
        <v xml:space="preserve">312824570   </v>
      </c>
      <c r="O1974">
        <v>230313</v>
      </c>
    </row>
    <row r="1975" spans="1:15" x14ac:dyDescent="0.25">
      <c r="A1975" t="s">
        <v>16</v>
      </c>
      <c r="B1975" t="s">
        <v>3221</v>
      </c>
      <c r="C1975">
        <v>3277</v>
      </c>
      <c r="D1975" t="s">
        <v>979</v>
      </c>
      <c r="E1975" t="s">
        <v>980</v>
      </c>
      <c r="F1975">
        <v>10.52</v>
      </c>
      <c r="G1975">
        <v>230307</v>
      </c>
      <c r="H1975">
        <v>4572</v>
      </c>
      <c r="I1975" t="s">
        <v>122</v>
      </c>
      <c r="J1975">
        <v>13.04</v>
      </c>
      <c r="K1975">
        <v>2.52</v>
      </c>
      <c r="L1975">
        <v>59112</v>
      </c>
      <c r="M1975" t="s">
        <v>182</v>
      </c>
      <c r="N1975" t="str">
        <f>"312827312   "</f>
        <v xml:space="preserve">312827312   </v>
      </c>
      <c r="O1975">
        <v>230313</v>
      </c>
    </row>
    <row r="1976" spans="1:15" x14ac:dyDescent="0.25">
      <c r="A1976" t="s">
        <v>16</v>
      </c>
      <c r="B1976" t="s">
        <v>3221</v>
      </c>
      <c r="C1976">
        <v>3277</v>
      </c>
      <c r="D1976" t="s">
        <v>979</v>
      </c>
      <c r="E1976" t="s">
        <v>980</v>
      </c>
      <c r="F1976">
        <v>28.42</v>
      </c>
      <c r="G1976">
        <v>230307</v>
      </c>
      <c r="H1976">
        <v>4572</v>
      </c>
      <c r="I1976" t="s">
        <v>122</v>
      </c>
      <c r="J1976">
        <v>35.24</v>
      </c>
      <c r="K1976">
        <v>6.82</v>
      </c>
      <c r="L1976">
        <v>59504</v>
      </c>
      <c r="M1976" t="s">
        <v>71</v>
      </c>
      <c r="N1976" t="str">
        <f>"312827312   "</f>
        <v xml:space="preserve">312827312   </v>
      </c>
      <c r="O1976">
        <v>230313</v>
      </c>
    </row>
    <row r="1977" spans="1:15" x14ac:dyDescent="0.25">
      <c r="A1977" t="s">
        <v>16</v>
      </c>
      <c r="B1977" t="s">
        <v>3221</v>
      </c>
      <c r="C1977">
        <v>3278</v>
      </c>
      <c r="D1977" t="s">
        <v>979</v>
      </c>
      <c r="E1977" t="s">
        <v>980</v>
      </c>
      <c r="F1977">
        <v>46.87</v>
      </c>
      <c r="G1977">
        <v>230307</v>
      </c>
      <c r="H1977">
        <v>4572</v>
      </c>
      <c r="I1977" t="s">
        <v>122</v>
      </c>
      <c r="J1977">
        <v>58.12</v>
      </c>
      <c r="K1977">
        <v>11.25</v>
      </c>
      <c r="L1977">
        <v>59112</v>
      </c>
      <c r="M1977" t="s">
        <v>182</v>
      </c>
      <c r="N1977" t="str">
        <f>"312827728   "</f>
        <v xml:space="preserve">312827728   </v>
      </c>
      <c r="O1977">
        <v>230313</v>
      </c>
    </row>
    <row r="1978" spans="1:15" x14ac:dyDescent="0.25">
      <c r="A1978" t="s">
        <v>16</v>
      </c>
      <c r="B1978" t="s">
        <v>3221</v>
      </c>
      <c r="C1978">
        <v>3278</v>
      </c>
      <c r="D1978" t="s">
        <v>979</v>
      </c>
      <c r="E1978" t="s">
        <v>980</v>
      </c>
      <c r="F1978">
        <v>126.72</v>
      </c>
      <c r="G1978">
        <v>230307</v>
      </c>
      <c r="H1978">
        <v>4572</v>
      </c>
      <c r="I1978" t="s">
        <v>122</v>
      </c>
      <c r="J1978">
        <v>157.13</v>
      </c>
      <c r="K1978">
        <v>30.41</v>
      </c>
      <c r="L1978">
        <v>59504</v>
      </c>
      <c r="M1978" t="s">
        <v>71</v>
      </c>
      <c r="N1978" t="str">
        <f>"312827728   "</f>
        <v xml:space="preserve">312827728   </v>
      </c>
      <c r="O1978">
        <v>230313</v>
      </c>
    </row>
    <row r="1979" spans="1:15" x14ac:dyDescent="0.25">
      <c r="A1979" t="s">
        <v>16</v>
      </c>
      <c r="B1979" t="s">
        <v>3221</v>
      </c>
      <c r="C1979">
        <v>4404</v>
      </c>
      <c r="D1979" t="s">
        <v>979</v>
      </c>
      <c r="E1979" t="s">
        <v>980</v>
      </c>
      <c r="F1979">
        <v>492.38</v>
      </c>
      <c r="G1979">
        <v>230403</v>
      </c>
      <c r="H1979">
        <v>4572</v>
      </c>
      <c r="I1979" t="s">
        <v>122</v>
      </c>
      <c r="J1979">
        <v>610.54999999999995</v>
      </c>
      <c r="K1979">
        <v>118.17</v>
      </c>
      <c r="L1979">
        <v>59112</v>
      </c>
      <c r="M1979" t="s">
        <v>182</v>
      </c>
      <c r="N1979" t="str">
        <f>"312999974   "</f>
        <v xml:space="preserve">312999974   </v>
      </c>
      <c r="O1979">
        <v>230405</v>
      </c>
    </row>
    <row r="1980" spans="1:15" x14ac:dyDescent="0.25">
      <c r="A1980" t="s">
        <v>16</v>
      </c>
      <c r="B1980" t="s">
        <v>3221</v>
      </c>
      <c r="C1980">
        <v>4404</v>
      </c>
      <c r="D1980" t="s">
        <v>979</v>
      </c>
      <c r="E1980" t="s">
        <v>980</v>
      </c>
      <c r="F1980">
        <v>1331.25</v>
      </c>
      <c r="G1980">
        <v>230403</v>
      </c>
      <c r="H1980">
        <v>4572</v>
      </c>
      <c r="I1980" t="s">
        <v>122</v>
      </c>
      <c r="J1980">
        <v>1650.75</v>
      </c>
      <c r="K1980">
        <v>319.5</v>
      </c>
      <c r="L1980">
        <v>59504</v>
      </c>
      <c r="M1980" t="s">
        <v>71</v>
      </c>
      <c r="N1980" t="str">
        <f>"312999974   "</f>
        <v xml:space="preserve">312999974   </v>
      </c>
      <c r="O1980">
        <v>230405</v>
      </c>
    </row>
    <row r="1981" spans="1:15" x14ac:dyDescent="0.25">
      <c r="A1981" t="s">
        <v>16</v>
      </c>
      <c r="B1981" t="s">
        <v>3221</v>
      </c>
      <c r="C1981">
        <v>4492</v>
      </c>
      <c r="D1981" t="s">
        <v>979</v>
      </c>
      <c r="E1981" t="s">
        <v>980</v>
      </c>
      <c r="F1981">
        <v>853.57</v>
      </c>
      <c r="G1981">
        <v>230403</v>
      </c>
      <c r="H1981">
        <v>4572</v>
      </c>
      <c r="I1981" t="s">
        <v>122</v>
      </c>
      <c r="J1981">
        <v>1058.43</v>
      </c>
      <c r="K1981">
        <v>204.86</v>
      </c>
      <c r="L1981">
        <v>59503</v>
      </c>
      <c r="M1981" t="s">
        <v>194</v>
      </c>
      <c r="N1981" t="str">
        <f>"312988922   "</f>
        <v xml:space="preserve">312988922   </v>
      </c>
      <c r="O1981">
        <v>230406</v>
      </c>
    </row>
    <row r="1982" spans="1:15" x14ac:dyDescent="0.25">
      <c r="A1982" t="s">
        <v>16</v>
      </c>
      <c r="B1982" t="s">
        <v>3221</v>
      </c>
      <c r="C1982">
        <v>4493</v>
      </c>
      <c r="D1982" t="s">
        <v>979</v>
      </c>
      <c r="E1982" t="s">
        <v>980</v>
      </c>
      <c r="F1982">
        <v>1247.92</v>
      </c>
      <c r="G1982">
        <v>230403</v>
      </c>
      <c r="H1982">
        <v>4572</v>
      </c>
      <c r="I1982" t="s">
        <v>122</v>
      </c>
      <c r="J1982">
        <v>1547.42</v>
      </c>
      <c r="K1982">
        <v>299.5</v>
      </c>
      <c r="L1982">
        <v>59505</v>
      </c>
      <c r="M1982" t="s">
        <v>72</v>
      </c>
      <c r="N1982" t="str">
        <f>"312962449   "</f>
        <v xml:space="preserve">312962449   </v>
      </c>
      <c r="O1982">
        <v>230406</v>
      </c>
    </row>
    <row r="1983" spans="1:15" x14ac:dyDescent="0.25">
      <c r="A1983" t="s">
        <v>16</v>
      </c>
      <c r="B1983" t="s">
        <v>3221</v>
      </c>
      <c r="C1983">
        <v>4493</v>
      </c>
      <c r="D1983" t="s">
        <v>979</v>
      </c>
      <c r="E1983" t="s">
        <v>980</v>
      </c>
      <c r="F1983">
        <v>170.17</v>
      </c>
      <c r="G1983">
        <v>230403</v>
      </c>
      <c r="H1983">
        <v>4572</v>
      </c>
      <c r="I1983" t="s">
        <v>122</v>
      </c>
      <c r="J1983">
        <v>211.01</v>
      </c>
      <c r="K1983">
        <v>40.840000000000003</v>
      </c>
      <c r="L1983">
        <v>59812</v>
      </c>
      <c r="M1983" t="s">
        <v>74</v>
      </c>
      <c r="N1983" t="str">
        <f>"312962449   "</f>
        <v xml:space="preserve">312962449   </v>
      </c>
      <c r="O1983">
        <v>230406</v>
      </c>
    </row>
    <row r="1984" spans="1:15" x14ac:dyDescent="0.25">
      <c r="A1984" t="s">
        <v>16</v>
      </c>
      <c r="B1984" t="s">
        <v>3221</v>
      </c>
      <c r="C1984">
        <v>4494</v>
      </c>
      <c r="D1984" t="s">
        <v>979</v>
      </c>
      <c r="E1984" t="s">
        <v>980</v>
      </c>
      <c r="F1984">
        <v>1833.72</v>
      </c>
      <c r="G1984">
        <v>230403</v>
      </c>
      <c r="H1984">
        <v>4572</v>
      </c>
      <c r="I1984" t="s">
        <v>122</v>
      </c>
      <c r="J1984">
        <v>2273.81</v>
      </c>
      <c r="K1984">
        <v>440.09</v>
      </c>
      <c r="L1984">
        <v>59502</v>
      </c>
      <c r="M1984" t="s">
        <v>70</v>
      </c>
      <c r="N1984" t="str">
        <f>"312987108   "</f>
        <v xml:space="preserve">312987108   </v>
      </c>
      <c r="O1984">
        <v>230406</v>
      </c>
    </row>
    <row r="1985" spans="1:15" x14ac:dyDescent="0.25">
      <c r="A1985" t="s">
        <v>16</v>
      </c>
      <c r="B1985" t="s">
        <v>3221</v>
      </c>
      <c r="C1985">
        <v>4494</v>
      </c>
      <c r="D1985" t="s">
        <v>979</v>
      </c>
      <c r="E1985" t="s">
        <v>980</v>
      </c>
      <c r="F1985">
        <v>1172.3800000000001</v>
      </c>
      <c r="G1985">
        <v>230403</v>
      </c>
      <c r="H1985">
        <v>4572</v>
      </c>
      <c r="I1985" t="s">
        <v>122</v>
      </c>
      <c r="J1985">
        <v>1453.75</v>
      </c>
      <c r="K1985">
        <v>281.37</v>
      </c>
      <c r="L1985">
        <v>59802</v>
      </c>
      <c r="M1985" t="s">
        <v>73</v>
      </c>
      <c r="N1985" t="str">
        <f>"312987108   "</f>
        <v xml:space="preserve">312987108   </v>
      </c>
      <c r="O1985">
        <v>230406</v>
      </c>
    </row>
    <row r="1986" spans="1:15" x14ac:dyDescent="0.25">
      <c r="A1986" t="s">
        <v>16</v>
      </c>
      <c r="B1986" t="s">
        <v>3221</v>
      </c>
      <c r="C1986">
        <v>4506</v>
      </c>
      <c r="D1986" t="s">
        <v>979</v>
      </c>
      <c r="E1986" t="s">
        <v>980</v>
      </c>
      <c r="F1986">
        <v>449.08</v>
      </c>
      <c r="G1986">
        <v>230403</v>
      </c>
      <c r="H1986">
        <v>4572</v>
      </c>
      <c r="I1986" t="s">
        <v>122</v>
      </c>
      <c r="J1986">
        <v>556.86</v>
      </c>
      <c r="K1986">
        <v>107.78</v>
      </c>
      <c r="L1986">
        <v>59111</v>
      </c>
      <c r="M1986" t="s">
        <v>1010</v>
      </c>
      <c r="N1986" t="str">
        <f>"312994945   "</f>
        <v xml:space="preserve">312994945   </v>
      </c>
      <c r="O1986">
        <v>230406</v>
      </c>
    </row>
    <row r="1987" spans="1:15" x14ac:dyDescent="0.25">
      <c r="A1987" t="s">
        <v>16</v>
      </c>
      <c r="B1987" t="s">
        <v>3221</v>
      </c>
      <c r="C1987">
        <v>4506</v>
      </c>
      <c r="D1987" t="s">
        <v>979</v>
      </c>
      <c r="E1987" t="s">
        <v>980</v>
      </c>
      <c r="F1987">
        <v>7035.66</v>
      </c>
      <c r="G1987">
        <v>230403</v>
      </c>
      <c r="H1987">
        <v>4572</v>
      </c>
      <c r="I1987" t="s">
        <v>122</v>
      </c>
      <c r="J1987">
        <v>8724.2199999999993</v>
      </c>
      <c r="K1987">
        <v>1688.56</v>
      </c>
      <c r="L1987">
        <v>59501</v>
      </c>
      <c r="M1987" t="s">
        <v>69</v>
      </c>
      <c r="N1987" t="str">
        <f>"312994945   "</f>
        <v xml:space="preserve">312994945   </v>
      </c>
      <c r="O1987">
        <v>230406</v>
      </c>
    </row>
    <row r="1988" spans="1:15" x14ac:dyDescent="0.25">
      <c r="A1988" t="s">
        <v>16</v>
      </c>
      <c r="B1988" t="s">
        <v>3221</v>
      </c>
      <c r="C1988">
        <v>4869</v>
      </c>
      <c r="D1988" t="s">
        <v>979</v>
      </c>
      <c r="E1988" t="s">
        <v>980</v>
      </c>
      <c r="F1988">
        <v>109.27</v>
      </c>
      <c r="G1988">
        <v>230411</v>
      </c>
      <c r="H1988">
        <v>4572</v>
      </c>
      <c r="I1988" t="s">
        <v>122</v>
      </c>
      <c r="J1988">
        <v>135.49</v>
      </c>
      <c r="K1988">
        <v>26.22</v>
      </c>
      <c r="L1988">
        <v>56571</v>
      </c>
      <c r="M1988" t="s">
        <v>204</v>
      </c>
      <c r="N1988" t="str">
        <f>"313036530   "</f>
        <v xml:space="preserve">313036530   </v>
      </c>
      <c r="O1988">
        <v>230413</v>
      </c>
    </row>
    <row r="1989" spans="1:15" x14ac:dyDescent="0.25">
      <c r="A1989" t="s">
        <v>16</v>
      </c>
      <c r="B1989" t="s">
        <v>3221</v>
      </c>
      <c r="C1989">
        <v>4870</v>
      </c>
      <c r="D1989" t="s">
        <v>979</v>
      </c>
      <c r="E1989" t="s">
        <v>980</v>
      </c>
      <c r="F1989">
        <v>115.56</v>
      </c>
      <c r="G1989">
        <v>230411</v>
      </c>
      <c r="H1989">
        <v>4572</v>
      </c>
      <c r="I1989" t="s">
        <v>122</v>
      </c>
      <c r="J1989">
        <v>143.30000000000001</v>
      </c>
      <c r="K1989">
        <v>27.74</v>
      </c>
      <c r="L1989">
        <v>56571</v>
      </c>
      <c r="M1989" t="s">
        <v>204</v>
      </c>
      <c r="N1989" t="str">
        <f>"313080273   "</f>
        <v xml:space="preserve">313080273   </v>
      </c>
      <c r="O1989">
        <v>230413</v>
      </c>
    </row>
    <row r="1990" spans="1:15" x14ac:dyDescent="0.25">
      <c r="A1990" t="s">
        <v>16</v>
      </c>
      <c r="B1990" t="s">
        <v>3221</v>
      </c>
      <c r="C1990">
        <v>5145</v>
      </c>
      <c r="D1990" t="s">
        <v>979</v>
      </c>
      <c r="E1990" t="s">
        <v>980</v>
      </c>
      <c r="F1990">
        <v>69.7</v>
      </c>
      <c r="G1990">
        <v>230414</v>
      </c>
      <c r="H1990">
        <v>4572</v>
      </c>
      <c r="I1990" t="s">
        <v>122</v>
      </c>
      <c r="J1990">
        <v>69.7</v>
      </c>
      <c r="K1990">
        <v>0</v>
      </c>
      <c r="L1990">
        <v>59813</v>
      </c>
      <c r="M1990" t="s">
        <v>915</v>
      </c>
      <c r="N1990" t="str">
        <f>"313129080   "</f>
        <v xml:space="preserve">313129080   </v>
      </c>
      <c r="O1990">
        <v>230418</v>
      </c>
    </row>
    <row r="1991" spans="1:15" x14ac:dyDescent="0.25">
      <c r="A1991" t="s">
        <v>16</v>
      </c>
      <c r="B1991" t="s">
        <v>3221</v>
      </c>
      <c r="C1991">
        <v>5970</v>
      </c>
      <c r="D1991" t="s">
        <v>979</v>
      </c>
      <c r="E1991" t="s">
        <v>980</v>
      </c>
      <c r="F1991">
        <v>410.6</v>
      </c>
      <c r="G1991">
        <v>230503</v>
      </c>
      <c r="H1991">
        <v>4572</v>
      </c>
      <c r="I1991" t="s">
        <v>122</v>
      </c>
      <c r="J1991">
        <v>509.15</v>
      </c>
      <c r="K1991">
        <v>98.55</v>
      </c>
      <c r="L1991">
        <v>59112</v>
      </c>
      <c r="M1991" t="s">
        <v>182</v>
      </c>
      <c r="N1991" t="str">
        <f>"313199239   "</f>
        <v xml:space="preserve">313199239   </v>
      </c>
      <c r="O1991">
        <v>230504</v>
      </c>
    </row>
    <row r="1992" spans="1:15" x14ac:dyDescent="0.25">
      <c r="A1992" t="s">
        <v>16</v>
      </c>
      <c r="B1992" t="s">
        <v>3221</v>
      </c>
      <c r="C1992">
        <v>5970</v>
      </c>
      <c r="D1992" t="s">
        <v>979</v>
      </c>
      <c r="E1992" t="s">
        <v>980</v>
      </c>
      <c r="F1992">
        <v>1110.1500000000001</v>
      </c>
      <c r="G1992">
        <v>230503</v>
      </c>
      <c r="H1992">
        <v>4572</v>
      </c>
      <c r="I1992" t="s">
        <v>122</v>
      </c>
      <c r="J1992">
        <v>1376.58</v>
      </c>
      <c r="K1992">
        <v>266.43</v>
      </c>
      <c r="L1992">
        <v>59504</v>
      </c>
      <c r="M1992" t="s">
        <v>71</v>
      </c>
      <c r="N1992" t="str">
        <f>"313199239   "</f>
        <v xml:space="preserve">313199239   </v>
      </c>
      <c r="O1992">
        <v>230504</v>
      </c>
    </row>
    <row r="1993" spans="1:15" x14ac:dyDescent="0.25">
      <c r="A1993" t="s">
        <v>16</v>
      </c>
      <c r="B1993" t="s">
        <v>3221</v>
      </c>
      <c r="C1993">
        <v>6242</v>
      </c>
      <c r="D1993" t="s">
        <v>979</v>
      </c>
      <c r="E1993" t="s">
        <v>980</v>
      </c>
      <c r="F1993">
        <v>1129.1300000000001</v>
      </c>
      <c r="G1993">
        <v>230504</v>
      </c>
      <c r="H1993">
        <v>4572</v>
      </c>
      <c r="I1993" t="s">
        <v>122</v>
      </c>
      <c r="J1993">
        <v>1400.12</v>
      </c>
      <c r="K1993">
        <v>270.99</v>
      </c>
      <c r="L1993">
        <v>59505</v>
      </c>
      <c r="M1993" t="s">
        <v>72</v>
      </c>
      <c r="N1993" t="str">
        <f>"313246035   "</f>
        <v xml:space="preserve">313246035   </v>
      </c>
      <c r="O1993">
        <v>230509</v>
      </c>
    </row>
    <row r="1994" spans="1:15" x14ac:dyDescent="0.25">
      <c r="A1994" t="s">
        <v>16</v>
      </c>
      <c r="B1994" t="s">
        <v>3221</v>
      </c>
      <c r="C1994">
        <v>6242</v>
      </c>
      <c r="D1994" t="s">
        <v>979</v>
      </c>
      <c r="E1994" t="s">
        <v>980</v>
      </c>
      <c r="F1994">
        <v>153.97</v>
      </c>
      <c r="G1994">
        <v>230504</v>
      </c>
      <c r="H1994">
        <v>4572</v>
      </c>
      <c r="I1994" t="s">
        <v>122</v>
      </c>
      <c r="J1994">
        <v>190.92</v>
      </c>
      <c r="K1994">
        <v>36.950000000000003</v>
      </c>
      <c r="L1994">
        <v>59812</v>
      </c>
      <c r="M1994" t="s">
        <v>74</v>
      </c>
      <c r="N1994" t="str">
        <f>"313246035   "</f>
        <v xml:space="preserve">313246035   </v>
      </c>
      <c r="O1994">
        <v>230509</v>
      </c>
    </row>
    <row r="1995" spans="1:15" x14ac:dyDescent="0.25">
      <c r="A1995" t="s">
        <v>16</v>
      </c>
      <c r="B1995" t="s">
        <v>3221</v>
      </c>
      <c r="C1995">
        <v>6358</v>
      </c>
      <c r="D1995" t="s">
        <v>979</v>
      </c>
      <c r="E1995" t="s">
        <v>980</v>
      </c>
      <c r="F1995">
        <v>397.53</v>
      </c>
      <c r="G1995">
        <v>230503</v>
      </c>
      <c r="H1995">
        <v>4572</v>
      </c>
      <c r="I1995" t="s">
        <v>122</v>
      </c>
      <c r="J1995">
        <v>492.94</v>
      </c>
      <c r="K1995">
        <v>95.41</v>
      </c>
      <c r="L1995">
        <v>59503</v>
      </c>
      <c r="M1995" t="s">
        <v>194</v>
      </c>
      <c r="N1995" t="str">
        <f>"313223620   "</f>
        <v xml:space="preserve">313223620   </v>
      </c>
      <c r="O1995">
        <v>230510</v>
      </c>
    </row>
    <row r="1996" spans="1:15" x14ac:dyDescent="0.25">
      <c r="A1996" t="s">
        <v>16</v>
      </c>
      <c r="B1996" t="s">
        <v>3221</v>
      </c>
      <c r="C1996">
        <v>6360</v>
      </c>
      <c r="D1996" t="s">
        <v>979</v>
      </c>
      <c r="E1996" t="s">
        <v>980</v>
      </c>
      <c r="F1996">
        <v>1617.4</v>
      </c>
      <c r="G1996">
        <v>230503</v>
      </c>
      <c r="H1996">
        <v>4572</v>
      </c>
      <c r="I1996" t="s">
        <v>122</v>
      </c>
      <c r="J1996">
        <v>2005.58</v>
      </c>
      <c r="K1996">
        <v>388.18</v>
      </c>
      <c r="L1996">
        <v>59502</v>
      </c>
      <c r="M1996" t="s">
        <v>70</v>
      </c>
      <c r="N1996" t="str">
        <f>"313194218   "</f>
        <v xml:space="preserve">313194218   </v>
      </c>
      <c r="O1996">
        <v>230510</v>
      </c>
    </row>
    <row r="1997" spans="1:15" x14ac:dyDescent="0.25">
      <c r="A1997" t="s">
        <v>16</v>
      </c>
      <c r="B1997" t="s">
        <v>3221</v>
      </c>
      <c r="C1997">
        <v>6360</v>
      </c>
      <c r="D1997" t="s">
        <v>979</v>
      </c>
      <c r="E1997" t="s">
        <v>980</v>
      </c>
      <c r="F1997">
        <v>1034.08</v>
      </c>
      <c r="G1997">
        <v>230503</v>
      </c>
      <c r="H1997">
        <v>4572</v>
      </c>
      <c r="I1997" t="s">
        <v>122</v>
      </c>
      <c r="J1997">
        <v>1282.26</v>
      </c>
      <c r="K1997">
        <v>248.18</v>
      </c>
      <c r="L1997">
        <v>59802</v>
      </c>
      <c r="M1997" t="s">
        <v>73</v>
      </c>
      <c r="N1997" t="str">
        <f>"313194218   "</f>
        <v xml:space="preserve">313194218   </v>
      </c>
      <c r="O1997">
        <v>230510</v>
      </c>
    </row>
    <row r="1998" spans="1:15" x14ac:dyDescent="0.25">
      <c r="A1998" t="s">
        <v>16</v>
      </c>
      <c r="B1998" t="s">
        <v>3221</v>
      </c>
      <c r="C1998">
        <v>6361</v>
      </c>
      <c r="D1998" t="s">
        <v>979</v>
      </c>
      <c r="E1998" t="s">
        <v>980</v>
      </c>
      <c r="F1998">
        <v>366.41</v>
      </c>
      <c r="G1998">
        <v>230503</v>
      </c>
      <c r="H1998">
        <v>4572</v>
      </c>
      <c r="I1998" t="s">
        <v>122</v>
      </c>
      <c r="J1998">
        <v>454.35</v>
      </c>
      <c r="K1998">
        <v>87.94</v>
      </c>
      <c r="L1998">
        <v>59111</v>
      </c>
      <c r="M1998" t="s">
        <v>1010</v>
      </c>
      <c r="N1998" t="str">
        <f>"313202539   "</f>
        <v xml:space="preserve">313202539   </v>
      </c>
      <c r="O1998">
        <v>230510</v>
      </c>
    </row>
    <row r="1999" spans="1:15" x14ac:dyDescent="0.25">
      <c r="A1999" t="s">
        <v>16</v>
      </c>
      <c r="B1999" t="s">
        <v>3221</v>
      </c>
      <c r="C1999">
        <v>6361</v>
      </c>
      <c r="D1999" t="s">
        <v>979</v>
      </c>
      <c r="E1999" t="s">
        <v>980</v>
      </c>
      <c r="F1999">
        <v>5740.38</v>
      </c>
      <c r="G1999">
        <v>230503</v>
      </c>
      <c r="H1999">
        <v>4572</v>
      </c>
      <c r="I1999" t="s">
        <v>122</v>
      </c>
      <c r="J1999">
        <v>7118.07</v>
      </c>
      <c r="K1999">
        <v>1377.69</v>
      </c>
      <c r="L1999">
        <v>59501</v>
      </c>
      <c r="M1999" t="s">
        <v>69</v>
      </c>
      <c r="N1999" t="str">
        <f>"313202539   "</f>
        <v xml:space="preserve">313202539   </v>
      </c>
      <c r="O1999">
        <v>230510</v>
      </c>
    </row>
    <row r="2000" spans="1:15" x14ac:dyDescent="0.25">
      <c r="A2000" t="s">
        <v>16</v>
      </c>
      <c r="B2000" t="s">
        <v>3221</v>
      </c>
      <c r="C2000">
        <v>8147</v>
      </c>
      <c r="D2000" t="s">
        <v>979</v>
      </c>
      <c r="E2000" t="s">
        <v>980</v>
      </c>
      <c r="F2000">
        <v>396.28</v>
      </c>
      <c r="G2000">
        <v>230605</v>
      </c>
      <c r="H2000">
        <v>4572</v>
      </c>
      <c r="I2000" t="s">
        <v>122</v>
      </c>
      <c r="J2000">
        <v>491.39</v>
      </c>
      <c r="K2000">
        <v>95.11</v>
      </c>
      <c r="L2000">
        <v>59112</v>
      </c>
      <c r="M2000" t="s">
        <v>182</v>
      </c>
      <c r="N2000" t="str">
        <f>"313429846   "</f>
        <v xml:space="preserve">313429846   </v>
      </c>
      <c r="O2000">
        <v>230607</v>
      </c>
    </row>
    <row r="2001" spans="1:15" x14ac:dyDescent="0.25">
      <c r="A2001" t="s">
        <v>16</v>
      </c>
      <c r="B2001" t="s">
        <v>3221</v>
      </c>
      <c r="C2001">
        <v>8147</v>
      </c>
      <c r="D2001" t="s">
        <v>979</v>
      </c>
      <c r="E2001" t="s">
        <v>980</v>
      </c>
      <c r="F2001">
        <v>1071.42</v>
      </c>
      <c r="G2001">
        <v>230605</v>
      </c>
      <c r="H2001">
        <v>4572</v>
      </c>
      <c r="I2001" t="s">
        <v>122</v>
      </c>
      <c r="J2001">
        <v>1328.56</v>
      </c>
      <c r="K2001">
        <v>257.14</v>
      </c>
      <c r="L2001">
        <v>59504</v>
      </c>
      <c r="M2001" t="s">
        <v>71</v>
      </c>
      <c r="N2001" t="str">
        <f>"313429846   "</f>
        <v xml:space="preserve">313429846   </v>
      </c>
      <c r="O2001">
        <v>230607</v>
      </c>
    </row>
    <row r="2002" spans="1:15" x14ac:dyDescent="0.25">
      <c r="A2002" t="s">
        <v>16</v>
      </c>
      <c r="B2002" t="s">
        <v>3221</v>
      </c>
      <c r="C2002">
        <v>8411</v>
      </c>
      <c r="D2002" t="s">
        <v>979</v>
      </c>
      <c r="E2002" t="s">
        <v>980</v>
      </c>
      <c r="F2002">
        <v>1149.1199999999999</v>
      </c>
      <c r="G2002">
        <v>230605</v>
      </c>
      <c r="H2002">
        <v>4572</v>
      </c>
      <c r="I2002" t="s">
        <v>122</v>
      </c>
      <c r="J2002">
        <v>1424.91</v>
      </c>
      <c r="K2002">
        <v>275.79000000000002</v>
      </c>
      <c r="L2002">
        <v>59505</v>
      </c>
      <c r="M2002" t="s">
        <v>72</v>
      </c>
      <c r="N2002" t="str">
        <f>"313461951   "</f>
        <v xml:space="preserve">313461951   </v>
      </c>
      <c r="O2002">
        <v>230608</v>
      </c>
    </row>
    <row r="2003" spans="1:15" x14ac:dyDescent="0.25">
      <c r="A2003" t="s">
        <v>16</v>
      </c>
      <c r="B2003" t="s">
        <v>3221</v>
      </c>
      <c r="C2003">
        <v>8411</v>
      </c>
      <c r="D2003" t="s">
        <v>979</v>
      </c>
      <c r="E2003" t="s">
        <v>980</v>
      </c>
      <c r="F2003">
        <v>156.69999999999999</v>
      </c>
      <c r="G2003">
        <v>230605</v>
      </c>
      <c r="H2003">
        <v>4572</v>
      </c>
      <c r="I2003" t="s">
        <v>122</v>
      </c>
      <c r="J2003">
        <v>194.31</v>
      </c>
      <c r="K2003">
        <v>37.61</v>
      </c>
      <c r="L2003">
        <v>59812</v>
      </c>
      <c r="M2003" t="s">
        <v>74</v>
      </c>
      <c r="N2003" t="str">
        <f>"313461951   "</f>
        <v xml:space="preserve">313461951   </v>
      </c>
      <c r="O2003">
        <v>230608</v>
      </c>
    </row>
    <row r="2004" spans="1:15" x14ac:dyDescent="0.25">
      <c r="A2004" t="s">
        <v>16</v>
      </c>
      <c r="B2004" t="s">
        <v>3221</v>
      </c>
      <c r="C2004">
        <v>8412</v>
      </c>
      <c r="D2004" t="s">
        <v>979</v>
      </c>
      <c r="E2004" t="s">
        <v>980</v>
      </c>
      <c r="F2004">
        <v>339.81</v>
      </c>
      <c r="G2004">
        <v>230605</v>
      </c>
      <c r="H2004">
        <v>4572</v>
      </c>
      <c r="I2004" t="s">
        <v>122</v>
      </c>
      <c r="J2004">
        <v>421.37</v>
      </c>
      <c r="K2004">
        <v>81.56</v>
      </c>
      <c r="L2004">
        <v>59111</v>
      </c>
      <c r="M2004" t="s">
        <v>1010</v>
      </c>
      <c r="N2004" t="str">
        <f>"313452225   "</f>
        <v xml:space="preserve">313452225   </v>
      </c>
      <c r="O2004">
        <v>230608</v>
      </c>
    </row>
    <row r="2005" spans="1:15" x14ac:dyDescent="0.25">
      <c r="A2005" t="s">
        <v>16</v>
      </c>
      <c r="B2005" t="s">
        <v>3221</v>
      </c>
      <c r="C2005">
        <v>8412</v>
      </c>
      <c r="D2005" t="s">
        <v>979</v>
      </c>
      <c r="E2005" t="s">
        <v>980</v>
      </c>
      <c r="F2005">
        <v>5323.77</v>
      </c>
      <c r="G2005">
        <v>230605</v>
      </c>
      <c r="H2005">
        <v>4572</v>
      </c>
      <c r="I2005" t="s">
        <v>122</v>
      </c>
      <c r="J2005">
        <v>6601.47</v>
      </c>
      <c r="K2005">
        <v>1277.7</v>
      </c>
      <c r="L2005">
        <v>59501</v>
      </c>
      <c r="M2005" t="s">
        <v>69</v>
      </c>
      <c r="N2005" t="str">
        <f>"313452225   "</f>
        <v xml:space="preserve">313452225   </v>
      </c>
      <c r="O2005">
        <v>230608</v>
      </c>
    </row>
    <row r="2006" spans="1:15" x14ac:dyDescent="0.25">
      <c r="A2006" t="s">
        <v>16</v>
      </c>
      <c r="B2006" t="s">
        <v>3221</v>
      </c>
      <c r="C2006">
        <v>8413</v>
      </c>
      <c r="D2006" t="s">
        <v>979</v>
      </c>
      <c r="E2006" t="s">
        <v>980</v>
      </c>
      <c r="F2006">
        <v>396.16</v>
      </c>
      <c r="G2006">
        <v>230605</v>
      </c>
      <c r="H2006">
        <v>4572</v>
      </c>
      <c r="I2006" t="s">
        <v>122</v>
      </c>
      <c r="J2006">
        <v>491.24</v>
      </c>
      <c r="K2006">
        <v>95.08</v>
      </c>
      <c r="L2006">
        <v>59503</v>
      </c>
      <c r="M2006" t="s">
        <v>194</v>
      </c>
      <c r="N2006" t="str">
        <f>"313463733   "</f>
        <v xml:space="preserve">313463733   </v>
      </c>
      <c r="O2006">
        <v>230608</v>
      </c>
    </row>
    <row r="2007" spans="1:15" x14ac:dyDescent="0.25">
      <c r="A2007" t="s">
        <v>16</v>
      </c>
      <c r="B2007" t="s">
        <v>3221</v>
      </c>
      <c r="C2007">
        <v>8423</v>
      </c>
      <c r="D2007" t="s">
        <v>979</v>
      </c>
      <c r="E2007" t="s">
        <v>980</v>
      </c>
      <c r="F2007">
        <v>1527.92</v>
      </c>
      <c r="G2007">
        <v>230605</v>
      </c>
      <c r="H2007">
        <v>4572</v>
      </c>
      <c r="I2007" t="s">
        <v>122</v>
      </c>
      <c r="J2007">
        <v>1894.62</v>
      </c>
      <c r="K2007">
        <v>366.7</v>
      </c>
      <c r="L2007">
        <v>59502</v>
      </c>
      <c r="M2007" t="s">
        <v>70</v>
      </c>
      <c r="N2007" t="str">
        <f>"313467578   "</f>
        <v xml:space="preserve">313467578   </v>
      </c>
      <c r="O2007">
        <v>230608</v>
      </c>
    </row>
    <row r="2008" spans="1:15" x14ac:dyDescent="0.25">
      <c r="A2008" t="s">
        <v>16</v>
      </c>
      <c r="B2008" t="s">
        <v>3221</v>
      </c>
      <c r="C2008">
        <v>8423</v>
      </c>
      <c r="D2008" t="s">
        <v>979</v>
      </c>
      <c r="E2008" t="s">
        <v>980</v>
      </c>
      <c r="F2008">
        <v>976.86</v>
      </c>
      <c r="G2008">
        <v>230605</v>
      </c>
      <c r="H2008">
        <v>4572</v>
      </c>
      <c r="I2008" t="s">
        <v>122</v>
      </c>
      <c r="J2008">
        <v>1211.31</v>
      </c>
      <c r="K2008">
        <v>234.45</v>
      </c>
      <c r="L2008">
        <v>59802</v>
      </c>
      <c r="M2008" t="s">
        <v>73</v>
      </c>
      <c r="N2008" t="str">
        <f>"313467578   "</f>
        <v xml:space="preserve">313467578   </v>
      </c>
      <c r="O2008">
        <v>230608</v>
      </c>
    </row>
    <row r="2009" spans="1:15" x14ac:dyDescent="0.25">
      <c r="A2009" t="s">
        <v>16</v>
      </c>
      <c r="B2009" t="s">
        <v>3221</v>
      </c>
      <c r="C2009">
        <v>8492</v>
      </c>
      <c r="D2009" t="s">
        <v>979</v>
      </c>
      <c r="E2009" t="s">
        <v>980</v>
      </c>
      <c r="F2009">
        <v>9.94</v>
      </c>
      <c r="G2009">
        <v>230607</v>
      </c>
      <c r="H2009">
        <v>4572</v>
      </c>
      <c r="I2009" t="s">
        <v>122</v>
      </c>
      <c r="J2009">
        <v>12.33</v>
      </c>
      <c r="K2009">
        <v>2.39</v>
      </c>
      <c r="L2009">
        <v>59112</v>
      </c>
      <c r="M2009" t="s">
        <v>182</v>
      </c>
      <c r="N2009" t="str">
        <f>"313528590   "</f>
        <v xml:space="preserve">313528590   </v>
      </c>
      <c r="O2009">
        <v>230609</v>
      </c>
    </row>
    <row r="2010" spans="1:15" x14ac:dyDescent="0.25">
      <c r="A2010" t="s">
        <v>16</v>
      </c>
      <c r="B2010" t="s">
        <v>3221</v>
      </c>
      <c r="C2010">
        <v>8492</v>
      </c>
      <c r="D2010" t="s">
        <v>979</v>
      </c>
      <c r="E2010" t="s">
        <v>980</v>
      </c>
      <c r="F2010">
        <v>26.89</v>
      </c>
      <c r="G2010">
        <v>230607</v>
      </c>
      <c r="H2010">
        <v>4572</v>
      </c>
      <c r="I2010" t="s">
        <v>122</v>
      </c>
      <c r="J2010">
        <v>33.340000000000003</v>
      </c>
      <c r="K2010">
        <v>6.45</v>
      </c>
      <c r="L2010">
        <v>59504</v>
      </c>
      <c r="M2010" t="s">
        <v>71</v>
      </c>
      <c r="N2010" t="str">
        <f>"313528590   "</f>
        <v xml:space="preserve">313528590   </v>
      </c>
      <c r="O2010">
        <v>230609</v>
      </c>
    </row>
    <row r="2011" spans="1:15" x14ac:dyDescent="0.25">
      <c r="A2011" t="s">
        <v>16</v>
      </c>
      <c r="B2011" t="s">
        <v>3221</v>
      </c>
      <c r="C2011">
        <v>8494</v>
      </c>
      <c r="D2011" t="s">
        <v>979</v>
      </c>
      <c r="E2011" t="s">
        <v>980</v>
      </c>
      <c r="F2011">
        <v>9.44</v>
      </c>
      <c r="G2011">
        <v>230607</v>
      </c>
      <c r="H2011">
        <v>4572</v>
      </c>
      <c r="I2011" t="s">
        <v>122</v>
      </c>
      <c r="J2011">
        <v>11.71</v>
      </c>
      <c r="K2011">
        <v>2.27</v>
      </c>
      <c r="L2011">
        <v>59112</v>
      </c>
      <c r="M2011" t="s">
        <v>182</v>
      </c>
      <c r="N2011" t="str">
        <f>"313544440   "</f>
        <v xml:space="preserve">313544440   </v>
      </c>
      <c r="O2011">
        <v>230609</v>
      </c>
    </row>
    <row r="2012" spans="1:15" x14ac:dyDescent="0.25">
      <c r="A2012" t="s">
        <v>16</v>
      </c>
      <c r="B2012" t="s">
        <v>3221</v>
      </c>
      <c r="C2012">
        <v>8494</v>
      </c>
      <c r="D2012" t="s">
        <v>979</v>
      </c>
      <c r="E2012" t="s">
        <v>980</v>
      </c>
      <c r="F2012">
        <v>25.54</v>
      </c>
      <c r="G2012">
        <v>230607</v>
      </c>
      <c r="H2012">
        <v>4572</v>
      </c>
      <c r="I2012" t="s">
        <v>122</v>
      </c>
      <c r="J2012">
        <v>31.67</v>
      </c>
      <c r="K2012">
        <v>6.13</v>
      </c>
      <c r="L2012">
        <v>59504</v>
      </c>
      <c r="M2012" t="s">
        <v>71</v>
      </c>
      <c r="N2012" t="str">
        <f>"313544440   "</f>
        <v xml:space="preserve">313544440   </v>
      </c>
      <c r="O2012">
        <v>230609</v>
      </c>
    </row>
    <row r="2013" spans="1:15" x14ac:dyDescent="0.25">
      <c r="A2013" t="s">
        <v>16</v>
      </c>
      <c r="B2013" t="s">
        <v>3221</v>
      </c>
      <c r="C2013">
        <v>8497</v>
      </c>
      <c r="D2013" t="s">
        <v>979</v>
      </c>
      <c r="E2013" t="s">
        <v>980</v>
      </c>
      <c r="F2013">
        <v>54.44</v>
      </c>
      <c r="G2013">
        <v>230607</v>
      </c>
      <c r="H2013">
        <v>4572</v>
      </c>
      <c r="I2013" t="s">
        <v>122</v>
      </c>
      <c r="J2013">
        <v>67.510000000000005</v>
      </c>
      <c r="K2013">
        <v>13.07</v>
      </c>
      <c r="L2013">
        <v>59112</v>
      </c>
      <c r="M2013" t="s">
        <v>182</v>
      </c>
      <c r="N2013" t="str">
        <f>"313503930   "</f>
        <v xml:space="preserve">313503930   </v>
      </c>
      <c r="O2013">
        <v>230609</v>
      </c>
    </row>
    <row r="2014" spans="1:15" x14ac:dyDescent="0.25">
      <c r="A2014" t="s">
        <v>16</v>
      </c>
      <c r="B2014" t="s">
        <v>3221</v>
      </c>
      <c r="C2014">
        <v>8497</v>
      </c>
      <c r="D2014" t="s">
        <v>979</v>
      </c>
      <c r="E2014" t="s">
        <v>980</v>
      </c>
      <c r="F2014">
        <v>147.21</v>
      </c>
      <c r="G2014">
        <v>230607</v>
      </c>
      <c r="H2014">
        <v>4572</v>
      </c>
      <c r="I2014" t="s">
        <v>122</v>
      </c>
      <c r="J2014">
        <v>182.54</v>
      </c>
      <c r="K2014">
        <v>35.33</v>
      </c>
      <c r="L2014">
        <v>59504</v>
      </c>
      <c r="M2014" t="s">
        <v>71</v>
      </c>
      <c r="N2014" t="str">
        <f>"313503930   "</f>
        <v xml:space="preserve">313503930   </v>
      </c>
      <c r="O2014">
        <v>230609</v>
      </c>
    </row>
    <row r="2015" spans="1:15" x14ac:dyDescent="0.25">
      <c r="A2015" t="s">
        <v>16</v>
      </c>
      <c r="B2015" t="s">
        <v>3221</v>
      </c>
      <c r="C2015">
        <v>9110</v>
      </c>
      <c r="D2015" t="s">
        <v>979</v>
      </c>
      <c r="E2015" t="s">
        <v>980</v>
      </c>
      <c r="F2015">
        <v>66.78</v>
      </c>
      <c r="G2015">
        <v>230614</v>
      </c>
      <c r="H2015">
        <v>4572</v>
      </c>
      <c r="I2015" t="s">
        <v>122</v>
      </c>
      <c r="J2015">
        <v>66.78</v>
      </c>
      <c r="K2015">
        <v>0</v>
      </c>
      <c r="L2015">
        <v>59813</v>
      </c>
      <c r="M2015" t="s">
        <v>915</v>
      </c>
      <c r="N2015" t="str">
        <f>"313599643   "</f>
        <v xml:space="preserve">313599643   </v>
      </c>
      <c r="O2015">
        <v>230627</v>
      </c>
    </row>
    <row r="2016" spans="1:15" x14ac:dyDescent="0.25">
      <c r="A2016" t="s">
        <v>16</v>
      </c>
      <c r="B2016" t="s">
        <v>3221</v>
      </c>
      <c r="C2016">
        <v>9469</v>
      </c>
      <c r="D2016" t="s">
        <v>979</v>
      </c>
      <c r="E2016" t="s">
        <v>980</v>
      </c>
      <c r="F2016">
        <v>313.31</v>
      </c>
      <c r="G2016">
        <v>230703</v>
      </c>
      <c r="H2016">
        <v>4572</v>
      </c>
      <c r="I2016" t="s">
        <v>122</v>
      </c>
      <c r="J2016">
        <v>388.51</v>
      </c>
      <c r="K2016">
        <v>75.2</v>
      </c>
      <c r="L2016">
        <v>59112</v>
      </c>
      <c r="M2016" t="s">
        <v>182</v>
      </c>
      <c r="N2016" t="str">
        <f>"313654158   "</f>
        <v xml:space="preserve">313654158   </v>
      </c>
      <c r="O2016">
        <v>230711</v>
      </c>
    </row>
    <row r="2017" spans="1:15" x14ac:dyDescent="0.25">
      <c r="A2017" t="s">
        <v>16</v>
      </c>
      <c r="B2017" t="s">
        <v>3221</v>
      </c>
      <c r="C2017">
        <v>9469</v>
      </c>
      <c r="D2017" t="s">
        <v>979</v>
      </c>
      <c r="E2017" t="s">
        <v>980</v>
      </c>
      <c r="F2017">
        <v>847.11</v>
      </c>
      <c r="G2017">
        <v>230703</v>
      </c>
      <c r="H2017">
        <v>4572</v>
      </c>
      <c r="I2017" t="s">
        <v>122</v>
      </c>
      <c r="J2017">
        <v>1050.42</v>
      </c>
      <c r="K2017">
        <v>203.31</v>
      </c>
      <c r="L2017">
        <v>59504</v>
      </c>
      <c r="M2017" t="s">
        <v>71</v>
      </c>
      <c r="N2017" t="str">
        <f>"313654158   "</f>
        <v xml:space="preserve">313654158   </v>
      </c>
      <c r="O2017">
        <v>230711</v>
      </c>
    </row>
    <row r="2018" spans="1:15" x14ac:dyDescent="0.25">
      <c r="A2018" t="s">
        <v>16</v>
      </c>
      <c r="B2018" t="s">
        <v>3221</v>
      </c>
      <c r="C2018">
        <v>9652</v>
      </c>
      <c r="D2018" t="s">
        <v>979</v>
      </c>
      <c r="E2018" t="s">
        <v>980</v>
      </c>
      <c r="F2018">
        <v>1447.85</v>
      </c>
      <c r="G2018">
        <v>230703</v>
      </c>
      <c r="H2018">
        <v>4572</v>
      </c>
      <c r="I2018" t="s">
        <v>122</v>
      </c>
      <c r="J2018">
        <v>1795.34</v>
      </c>
      <c r="K2018">
        <v>347.49</v>
      </c>
      <c r="L2018">
        <v>59502</v>
      </c>
      <c r="M2018" t="s">
        <v>70</v>
      </c>
      <c r="N2018" t="str">
        <f>"313654266   "</f>
        <v xml:space="preserve">313654266   </v>
      </c>
      <c r="O2018">
        <v>230718</v>
      </c>
    </row>
    <row r="2019" spans="1:15" x14ac:dyDescent="0.25">
      <c r="A2019" t="s">
        <v>16</v>
      </c>
      <c r="B2019" t="s">
        <v>3221</v>
      </c>
      <c r="C2019">
        <v>9652</v>
      </c>
      <c r="D2019" t="s">
        <v>979</v>
      </c>
      <c r="E2019" t="s">
        <v>980</v>
      </c>
      <c r="F2019">
        <v>925.68</v>
      </c>
      <c r="G2019">
        <v>230703</v>
      </c>
      <c r="H2019">
        <v>4572</v>
      </c>
      <c r="I2019" t="s">
        <v>122</v>
      </c>
      <c r="J2019">
        <v>1147.8399999999999</v>
      </c>
      <c r="K2019">
        <v>222.16</v>
      </c>
      <c r="L2019">
        <v>59802</v>
      </c>
      <c r="M2019" t="s">
        <v>73</v>
      </c>
      <c r="N2019" t="str">
        <f>"313654266   "</f>
        <v xml:space="preserve">313654266   </v>
      </c>
      <c r="O2019">
        <v>230718</v>
      </c>
    </row>
    <row r="2020" spans="1:15" x14ac:dyDescent="0.25">
      <c r="A2020" t="s">
        <v>16</v>
      </c>
      <c r="B2020" t="s">
        <v>3221</v>
      </c>
      <c r="C2020">
        <v>9653</v>
      </c>
      <c r="D2020" t="s">
        <v>979</v>
      </c>
      <c r="E2020" t="s">
        <v>980</v>
      </c>
      <c r="F2020">
        <v>211.43</v>
      </c>
      <c r="G2020">
        <v>230703</v>
      </c>
      <c r="H2020">
        <v>4572</v>
      </c>
      <c r="I2020" t="s">
        <v>122</v>
      </c>
      <c r="J2020">
        <v>262.17</v>
      </c>
      <c r="K2020">
        <v>50.74</v>
      </c>
      <c r="L2020">
        <v>59111</v>
      </c>
      <c r="M2020" t="s">
        <v>1010</v>
      </c>
      <c r="N2020" t="str">
        <f>"313653139   "</f>
        <v xml:space="preserve">313653139   </v>
      </c>
      <c r="O2020">
        <v>230718</v>
      </c>
    </row>
    <row r="2021" spans="1:15" x14ac:dyDescent="0.25">
      <c r="A2021" t="s">
        <v>16</v>
      </c>
      <c r="B2021" t="s">
        <v>3221</v>
      </c>
      <c r="C2021">
        <v>9653</v>
      </c>
      <c r="D2021" t="s">
        <v>979</v>
      </c>
      <c r="E2021" t="s">
        <v>980</v>
      </c>
      <c r="F2021">
        <v>3312.35</v>
      </c>
      <c r="G2021">
        <v>230703</v>
      </c>
      <c r="H2021">
        <v>4572</v>
      </c>
      <c r="I2021" t="s">
        <v>122</v>
      </c>
      <c r="J2021">
        <v>4107.32</v>
      </c>
      <c r="K2021">
        <v>794.97</v>
      </c>
      <c r="L2021">
        <v>59501</v>
      </c>
      <c r="M2021" t="s">
        <v>69</v>
      </c>
      <c r="N2021" t="str">
        <f>"313653139   "</f>
        <v xml:space="preserve">313653139   </v>
      </c>
      <c r="O2021">
        <v>230718</v>
      </c>
    </row>
    <row r="2022" spans="1:15" x14ac:dyDescent="0.25">
      <c r="A2022" t="s">
        <v>16</v>
      </c>
      <c r="B2022" t="s">
        <v>3221</v>
      </c>
      <c r="C2022">
        <v>9654</v>
      </c>
      <c r="D2022" t="s">
        <v>979</v>
      </c>
      <c r="E2022" t="s">
        <v>980</v>
      </c>
      <c r="F2022">
        <v>301.72000000000003</v>
      </c>
      <c r="G2022">
        <v>230703</v>
      </c>
      <c r="H2022">
        <v>4572</v>
      </c>
      <c r="I2022" t="s">
        <v>122</v>
      </c>
      <c r="J2022">
        <v>374.13</v>
      </c>
      <c r="K2022">
        <v>72.41</v>
      </c>
      <c r="L2022">
        <v>59503</v>
      </c>
      <c r="M2022" t="s">
        <v>194</v>
      </c>
      <c r="N2022" t="str">
        <f>"313689310   "</f>
        <v xml:space="preserve">313689310   </v>
      </c>
      <c r="O2022">
        <v>230718</v>
      </c>
    </row>
    <row r="2023" spans="1:15" x14ac:dyDescent="0.25">
      <c r="A2023" t="s">
        <v>16</v>
      </c>
      <c r="B2023" t="s">
        <v>3221</v>
      </c>
      <c r="C2023">
        <v>9655</v>
      </c>
      <c r="D2023" t="s">
        <v>979</v>
      </c>
      <c r="E2023" t="s">
        <v>980</v>
      </c>
      <c r="F2023">
        <v>986.31</v>
      </c>
      <c r="G2023">
        <v>230704</v>
      </c>
      <c r="H2023">
        <v>4572</v>
      </c>
      <c r="I2023" t="s">
        <v>122</v>
      </c>
      <c r="J2023">
        <v>1223.02</v>
      </c>
      <c r="K2023">
        <v>236.71</v>
      </c>
      <c r="L2023">
        <v>59505</v>
      </c>
      <c r="M2023" t="s">
        <v>72</v>
      </c>
      <c r="N2023" t="str">
        <f>"313702064   "</f>
        <v xml:space="preserve">313702064   </v>
      </c>
      <c r="O2023">
        <v>230718</v>
      </c>
    </row>
    <row r="2024" spans="1:15" x14ac:dyDescent="0.25">
      <c r="A2024" t="s">
        <v>16</v>
      </c>
      <c r="B2024" t="s">
        <v>3221</v>
      </c>
      <c r="C2024">
        <v>9655</v>
      </c>
      <c r="D2024" t="s">
        <v>979</v>
      </c>
      <c r="E2024" t="s">
        <v>980</v>
      </c>
      <c r="F2024">
        <v>134.5</v>
      </c>
      <c r="G2024">
        <v>230704</v>
      </c>
      <c r="H2024">
        <v>4572</v>
      </c>
      <c r="I2024" t="s">
        <v>122</v>
      </c>
      <c r="J2024">
        <v>166.78</v>
      </c>
      <c r="K2024">
        <v>32.28</v>
      </c>
      <c r="L2024">
        <v>59812</v>
      </c>
      <c r="M2024" t="s">
        <v>74</v>
      </c>
      <c r="N2024" t="str">
        <f>"313702064   "</f>
        <v xml:space="preserve">313702064   </v>
      </c>
      <c r="O2024">
        <v>230718</v>
      </c>
    </row>
    <row r="2025" spans="1:15" x14ac:dyDescent="0.25">
      <c r="A2025" t="s">
        <v>16</v>
      </c>
      <c r="B2025" t="s">
        <v>3221</v>
      </c>
      <c r="C2025">
        <v>9798</v>
      </c>
      <c r="D2025" t="s">
        <v>979</v>
      </c>
      <c r="E2025" t="s">
        <v>980</v>
      </c>
      <c r="F2025">
        <v>79.849999999999994</v>
      </c>
      <c r="G2025">
        <v>230707</v>
      </c>
      <c r="H2025">
        <v>4572</v>
      </c>
      <c r="I2025" t="s">
        <v>122</v>
      </c>
      <c r="J2025">
        <v>99.02</v>
      </c>
      <c r="K2025">
        <v>19.170000000000002</v>
      </c>
      <c r="L2025">
        <v>56571</v>
      </c>
      <c r="M2025" t="s">
        <v>204</v>
      </c>
      <c r="N2025" t="str">
        <f>"313720371   "</f>
        <v xml:space="preserve">313720371   </v>
      </c>
      <c r="O2025">
        <v>230725</v>
      </c>
    </row>
    <row r="2026" spans="1:15" x14ac:dyDescent="0.25">
      <c r="A2026" t="s">
        <v>16</v>
      </c>
      <c r="B2026" t="s">
        <v>3221</v>
      </c>
      <c r="C2026">
        <v>9799</v>
      </c>
      <c r="D2026" t="s">
        <v>979</v>
      </c>
      <c r="E2026" t="s">
        <v>980</v>
      </c>
      <c r="F2026">
        <v>89.06</v>
      </c>
      <c r="G2026">
        <v>230707</v>
      </c>
      <c r="H2026">
        <v>4572</v>
      </c>
      <c r="I2026" t="s">
        <v>122</v>
      </c>
      <c r="J2026">
        <v>110.43</v>
      </c>
      <c r="K2026">
        <v>21.37</v>
      </c>
      <c r="L2026">
        <v>56571</v>
      </c>
      <c r="M2026" t="s">
        <v>204</v>
      </c>
      <c r="N2026" t="str">
        <f>"313760191   "</f>
        <v xml:space="preserve">313760191   </v>
      </c>
      <c r="O2026">
        <v>230725</v>
      </c>
    </row>
    <row r="2027" spans="1:15" x14ac:dyDescent="0.25">
      <c r="A2027" t="s">
        <v>16</v>
      </c>
      <c r="B2027" t="s">
        <v>3221</v>
      </c>
      <c r="C2027">
        <v>9669</v>
      </c>
      <c r="D2027" t="s">
        <v>979</v>
      </c>
      <c r="E2027" t="s">
        <v>980</v>
      </c>
      <c r="F2027">
        <v>56.54</v>
      </c>
      <c r="G2027">
        <v>230717</v>
      </c>
      <c r="H2027">
        <v>4572</v>
      </c>
      <c r="I2027" t="s">
        <v>122</v>
      </c>
      <c r="J2027">
        <v>70.11</v>
      </c>
      <c r="K2027">
        <v>13.57</v>
      </c>
      <c r="L2027">
        <v>59503</v>
      </c>
      <c r="M2027" t="s">
        <v>194</v>
      </c>
      <c r="N2027" t="str">
        <f>"313850550   "</f>
        <v xml:space="preserve">313850550   </v>
      </c>
      <c r="O2027">
        <v>230718</v>
      </c>
    </row>
    <row r="2028" spans="1:15" x14ac:dyDescent="0.25">
      <c r="A2028" t="s">
        <v>16</v>
      </c>
      <c r="B2028" t="s">
        <v>3221</v>
      </c>
      <c r="C2028">
        <v>10052</v>
      </c>
      <c r="D2028" t="s">
        <v>979</v>
      </c>
      <c r="E2028" t="s">
        <v>980</v>
      </c>
      <c r="F2028">
        <v>1227.5</v>
      </c>
      <c r="G2028">
        <v>230803</v>
      </c>
      <c r="H2028">
        <v>4572</v>
      </c>
      <c r="I2028" t="s">
        <v>122</v>
      </c>
      <c r="J2028">
        <v>1522.1</v>
      </c>
      <c r="K2028">
        <v>294.60000000000002</v>
      </c>
      <c r="L2028">
        <v>59502</v>
      </c>
      <c r="M2028" t="s">
        <v>70</v>
      </c>
      <c r="N2028" t="str">
        <f>"313933977   "</f>
        <v xml:space="preserve">313933977   </v>
      </c>
      <c r="O2028">
        <v>230807</v>
      </c>
    </row>
    <row r="2029" spans="1:15" x14ac:dyDescent="0.25">
      <c r="A2029" t="s">
        <v>16</v>
      </c>
      <c r="B2029" t="s">
        <v>3221</v>
      </c>
      <c r="C2029">
        <v>10052</v>
      </c>
      <c r="D2029" t="s">
        <v>979</v>
      </c>
      <c r="E2029" t="s">
        <v>980</v>
      </c>
      <c r="F2029">
        <v>784.8</v>
      </c>
      <c r="G2029">
        <v>230803</v>
      </c>
      <c r="H2029">
        <v>4572</v>
      </c>
      <c r="I2029" t="s">
        <v>122</v>
      </c>
      <c r="J2029">
        <v>973.15</v>
      </c>
      <c r="K2029">
        <v>188.35</v>
      </c>
      <c r="L2029">
        <v>59802</v>
      </c>
      <c r="M2029" t="s">
        <v>73</v>
      </c>
      <c r="N2029" t="str">
        <f>"313933977   "</f>
        <v xml:space="preserve">313933977   </v>
      </c>
      <c r="O2029">
        <v>230807</v>
      </c>
    </row>
    <row r="2030" spans="1:15" x14ac:dyDescent="0.25">
      <c r="A2030" t="s">
        <v>16</v>
      </c>
      <c r="B2030" t="s">
        <v>3221</v>
      </c>
      <c r="C2030">
        <v>10107</v>
      </c>
      <c r="D2030" t="s">
        <v>979</v>
      </c>
      <c r="E2030" t="s">
        <v>980</v>
      </c>
      <c r="F2030">
        <v>159.75</v>
      </c>
      <c r="G2030">
        <v>230803</v>
      </c>
      <c r="H2030">
        <v>4572</v>
      </c>
      <c r="I2030" t="s">
        <v>122</v>
      </c>
      <c r="J2030">
        <v>198.09</v>
      </c>
      <c r="K2030">
        <v>38.340000000000003</v>
      </c>
      <c r="L2030">
        <v>59111</v>
      </c>
      <c r="M2030" t="s">
        <v>1010</v>
      </c>
      <c r="N2030" t="str">
        <f>"313925213   "</f>
        <v xml:space="preserve">313925213   </v>
      </c>
      <c r="O2030">
        <v>230808</v>
      </c>
    </row>
    <row r="2031" spans="1:15" x14ac:dyDescent="0.25">
      <c r="A2031" t="s">
        <v>16</v>
      </c>
      <c r="B2031" t="s">
        <v>3221</v>
      </c>
      <c r="C2031">
        <v>10107</v>
      </c>
      <c r="D2031" t="s">
        <v>979</v>
      </c>
      <c r="E2031" t="s">
        <v>980</v>
      </c>
      <c r="F2031">
        <v>2502.69</v>
      </c>
      <c r="G2031">
        <v>230803</v>
      </c>
      <c r="H2031">
        <v>4572</v>
      </c>
      <c r="I2031" t="s">
        <v>122</v>
      </c>
      <c r="J2031">
        <v>3103.34</v>
      </c>
      <c r="K2031">
        <v>600.65</v>
      </c>
      <c r="L2031">
        <v>59501</v>
      </c>
      <c r="M2031" t="s">
        <v>69</v>
      </c>
      <c r="N2031" t="str">
        <f>"313925213   "</f>
        <v xml:space="preserve">313925213   </v>
      </c>
      <c r="O2031">
        <v>230808</v>
      </c>
    </row>
    <row r="2032" spans="1:15" x14ac:dyDescent="0.25">
      <c r="A2032" t="s">
        <v>16</v>
      </c>
      <c r="B2032" t="s">
        <v>3221</v>
      </c>
      <c r="C2032">
        <v>10117</v>
      </c>
      <c r="D2032" t="s">
        <v>979</v>
      </c>
      <c r="E2032" t="s">
        <v>980</v>
      </c>
      <c r="F2032">
        <v>807.03</v>
      </c>
      <c r="G2032">
        <v>230804</v>
      </c>
      <c r="H2032">
        <v>4572</v>
      </c>
      <c r="I2032" t="s">
        <v>122</v>
      </c>
      <c r="J2032">
        <v>1000.72</v>
      </c>
      <c r="K2032">
        <v>193.69</v>
      </c>
      <c r="L2032">
        <v>59505</v>
      </c>
      <c r="M2032" t="s">
        <v>72</v>
      </c>
      <c r="N2032" t="str">
        <f>"313944006   "</f>
        <v xml:space="preserve">313944006   </v>
      </c>
      <c r="O2032">
        <v>230808</v>
      </c>
    </row>
    <row r="2033" spans="1:15" x14ac:dyDescent="0.25">
      <c r="A2033" t="s">
        <v>16</v>
      </c>
      <c r="B2033" t="s">
        <v>3221</v>
      </c>
      <c r="C2033">
        <v>10117</v>
      </c>
      <c r="D2033" t="s">
        <v>979</v>
      </c>
      <c r="E2033" t="s">
        <v>980</v>
      </c>
      <c r="F2033">
        <v>110.05</v>
      </c>
      <c r="G2033">
        <v>230804</v>
      </c>
      <c r="H2033">
        <v>4572</v>
      </c>
      <c r="I2033" t="s">
        <v>122</v>
      </c>
      <c r="J2033">
        <v>136.46</v>
      </c>
      <c r="K2033">
        <v>26.41</v>
      </c>
      <c r="L2033">
        <v>59812</v>
      </c>
      <c r="M2033" t="s">
        <v>74</v>
      </c>
      <c r="N2033" t="str">
        <f>"313944006   "</f>
        <v xml:space="preserve">313944006   </v>
      </c>
      <c r="O2033">
        <v>230808</v>
      </c>
    </row>
    <row r="2034" spans="1:15" x14ac:dyDescent="0.25">
      <c r="A2034" t="s">
        <v>16</v>
      </c>
      <c r="B2034" t="s">
        <v>3221</v>
      </c>
      <c r="C2034">
        <v>10144</v>
      </c>
      <c r="D2034" t="s">
        <v>979</v>
      </c>
      <c r="E2034" t="s">
        <v>980</v>
      </c>
      <c r="F2034">
        <v>359.85</v>
      </c>
      <c r="G2034">
        <v>230803</v>
      </c>
      <c r="H2034">
        <v>4572</v>
      </c>
      <c r="I2034" t="s">
        <v>122</v>
      </c>
      <c r="J2034">
        <v>446.21</v>
      </c>
      <c r="K2034">
        <v>86.36</v>
      </c>
      <c r="L2034">
        <v>59112</v>
      </c>
      <c r="M2034" t="s">
        <v>182</v>
      </c>
      <c r="N2034" t="str">
        <f>"313903331   "</f>
        <v xml:space="preserve">313903331   </v>
      </c>
      <c r="O2034">
        <v>230808</v>
      </c>
    </row>
    <row r="2035" spans="1:15" x14ac:dyDescent="0.25">
      <c r="A2035" t="s">
        <v>16</v>
      </c>
      <c r="B2035" t="s">
        <v>3221</v>
      </c>
      <c r="C2035">
        <v>10144</v>
      </c>
      <c r="D2035" t="s">
        <v>979</v>
      </c>
      <c r="E2035" t="s">
        <v>980</v>
      </c>
      <c r="F2035">
        <v>972.92</v>
      </c>
      <c r="G2035">
        <v>230803</v>
      </c>
      <c r="H2035">
        <v>4572</v>
      </c>
      <c r="I2035" t="s">
        <v>122</v>
      </c>
      <c r="J2035">
        <v>1206.42</v>
      </c>
      <c r="K2035">
        <v>233.5</v>
      </c>
      <c r="L2035">
        <v>59504</v>
      </c>
      <c r="M2035" t="s">
        <v>71</v>
      </c>
      <c r="N2035" t="str">
        <f>"313903331   "</f>
        <v xml:space="preserve">313903331   </v>
      </c>
      <c r="O2035">
        <v>230808</v>
      </c>
    </row>
    <row r="2036" spans="1:15" x14ac:dyDescent="0.25">
      <c r="A2036" t="s">
        <v>16</v>
      </c>
      <c r="B2036" t="s">
        <v>3221</v>
      </c>
      <c r="C2036">
        <v>10543</v>
      </c>
      <c r="D2036" t="s">
        <v>979</v>
      </c>
      <c r="E2036" t="s">
        <v>980</v>
      </c>
      <c r="F2036">
        <v>64.17</v>
      </c>
      <c r="G2036">
        <v>230815</v>
      </c>
      <c r="H2036">
        <v>4572</v>
      </c>
      <c r="I2036" t="s">
        <v>122</v>
      </c>
      <c r="J2036">
        <v>64.17</v>
      </c>
      <c r="K2036">
        <v>0</v>
      </c>
      <c r="L2036">
        <v>59813</v>
      </c>
      <c r="M2036" t="s">
        <v>915</v>
      </c>
      <c r="N2036" t="str">
        <f>"314054820   "</f>
        <v xml:space="preserve">314054820   </v>
      </c>
      <c r="O2036">
        <v>230818</v>
      </c>
    </row>
    <row r="2037" spans="1:15" x14ac:dyDescent="0.25">
      <c r="A2037" t="s">
        <v>16</v>
      </c>
      <c r="B2037" t="s">
        <v>3221</v>
      </c>
      <c r="C2037">
        <v>11695</v>
      </c>
      <c r="D2037" t="s">
        <v>979</v>
      </c>
      <c r="E2037" t="s">
        <v>980</v>
      </c>
      <c r="F2037">
        <v>1148.7</v>
      </c>
      <c r="G2037">
        <v>230904</v>
      </c>
      <c r="H2037">
        <v>4572</v>
      </c>
      <c r="I2037" t="s">
        <v>122</v>
      </c>
      <c r="J2037">
        <v>1424.39</v>
      </c>
      <c r="K2037">
        <v>275.69</v>
      </c>
      <c r="L2037">
        <v>59505</v>
      </c>
      <c r="M2037" t="s">
        <v>72</v>
      </c>
      <c r="N2037" t="str">
        <f>"314143507   "</f>
        <v xml:space="preserve">314143507   </v>
      </c>
      <c r="O2037">
        <v>230908</v>
      </c>
    </row>
    <row r="2038" spans="1:15" x14ac:dyDescent="0.25">
      <c r="A2038" t="s">
        <v>16</v>
      </c>
      <c r="B2038" t="s">
        <v>3221</v>
      </c>
      <c r="C2038">
        <v>11695</v>
      </c>
      <c r="D2038" t="s">
        <v>979</v>
      </c>
      <c r="E2038" t="s">
        <v>980</v>
      </c>
      <c r="F2038">
        <v>156.65</v>
      </c>
      <c r="G2038">
        <v>230904</v>
      </c>
      <c r="H2038">
        <v>4572</v>
      </c>
      <c r="I2038" t="s">
        <v>122</v>
      </c>
      <c r="J2038">
        <v>194.24</v>
      </c>
      <c r="K2038">
        <v>37.590000000000003</v>
      </c>
      <c r="L2038">
        <v>59812</v>
      </c>
      <c r="M2038" t="s">
        <v>74</v>
      </c>
      <c r="N2038" t="str">
        <f>"314143507   "</f>
        <v xml:space="preserve">314143507   </v>
      </c>
      <c r="O2038">
        <v>230908</v>
      </c>
    </row>
    <row r="2039" spans="1:15" x14ac:dyDescent="0.25">
      <c r="A2039" t="s">
        <v>16</v>
      </c>
      <c r="B2039" t="s">
        <v>3221</v>
      </c>
      <c r="C2039">
        <v>11697</v>
      </c>
      <c r="D2039" t="s">
        <v>979</v>
      </c>
      <c r="E2039" t="s">
        <v>980</v>
      </c>
      <c r="F2039">
        <v>1905.47</v>
      </c>
      <c r="G2039">
        <v>230904</v>
      </c>
      <c r="H2039">
        <v>4572</v>
      </c>
      <c r="I2039" t="s">
        <v>122</v>
      </c>
      <c r="J2039">
        <v>2362.7800000000002</v>
      </c>
      <c r="K2039">
        <v>457.31</v>
      </c>
      <c r="L2039">
        <v>59502</v>
      </c>
      <c r="M2039" t="s">
        <v>70</v>
      </c>
      <c r="N2039" t="str">
        <f>"314132955   "</f>
        <v xml:space="preserve">314132955   </v>
      </c>
      <c r="O2039">
        <v>230908</v>
      </c>
    </row>
    <row r="2040" spans="1:15" x14ac:dyDescent="0.25">
      <c r="A2040" t="s">
        <v>16</v>
      </c>
      <c r="B2040" t="s">
        <v>3221</v>
      </c>
      <c r="C2040">
        <v>11697</v>
      </c>
      <c r="D2040" t="s">
        <v>979</v>
      </c>
      <c r="E2040" t="s">
        <v>980</v>
      </c>
      <c r="F2040">
        <v>1218.25</v>
      </c>
      <c r="G2040">
        <v>230904</v>
      </c>
      <c r="H2040">
        <v>4572</v>
      </c>
      <c r="I2040" t="s">
        <v>122</v>
      </c>
      <c r="J2040">
        <v>1510.63</v>
      </c>
      <c r="K2040">
        <v>292.38</v>
      </c>
      <c r="L2040">
        <v>59802</v>
      </c>
      <c r="M2040" t="s">
        <v>73</v>
      </c>
      <c r="N2040" t="str">
        <f>"314132955   "</f>
        <v xml:space="preserve">314132955   </v>
      </c>
      <c r="O2040">
        <v>230908</v>
      </c>
    </row>
    <row r="2041" spans="1:15" x14ac:dyDescent="0.25">
      <c r="A2041" t="s">
        <v>16</v>
      </c>
      <c r="B2041" t="s">
        <v>3221</v>
      </c>
      <c r="C2041">
        <v>11698</v>
      </c>
      <c r="D2041" t="s">
        <v>979</v>
      </c>
      <c r="E2041" t="s">
        <v>980</v>
      </c>
      <c r="F2041">
        <v>293.91000000000003</v>
      </c>
      <c r="G2041">
        <v>230904</v>
      </c>
      <c r="H2041">
        <v>4572</v>
      </c>
      <c r="I2041" t="s">
        <v>122</v>
      </c>
      <c r="J2041">
        <v>364.45</v>
      </c>
      <c r="K2041">
        <v>70.540000000000006</v>
      </c>
      <c r="L2041">
        <v>59111</v>
      </c>
      <c r="M2041" t="s">
        <v>1010</v>
      </c>
      <c r="N2041" t="str">
        <f>"314149921   "</f>
        <v xml:space="preserve">314149921   </v>
      </c>
      <c r="O2041">
        <v>230908</v>
      </c>
    </row>
    <row r="2042" spans="1:15" x14ac:dyDescent="0.25">
      <c r="A2042" t="s">
        <v>16</v>
      </c>
      <c r="B2042" t="s">
        <v>3221</v>
      </c>
      <c r="C2042">
        <v>11698</v>
      </c>
      <c r="D2042" t="s">
        <v>979</v>
      </c>
      <c r="E2042" t="s">
        <v>980</v>
      </c>
      <c r="F2042">
        <v>4604.58</v>
      </c>
      <c r="G2042">
        <v>230904</v>
      </c>
      <c r="H2042">
        <v>4572</v>
      </c>
      <c r="I2042" t="s">
        <v>122</v>
      </c>
      <c r="J2042">
        <v>5709.68</v>
      </c>
      <c r="K2042">
        <v>1105.0999999999999</v>
      </c>
      <c r="L2042">
        <v>59501</v>
      </c>
      <c r="M2042" t="s">
        <v>69</v>
      </c>
      <c r="N2042" t="str">
        <f>"314149921   "</f>
        <v xml:space="preserve">314149921   </v>
      </c>
      <c r="O2042">
        <v>230908</v>
      </c>
    </row>
    <row r="2043" spans="1:15" x14ac:dyDescent="0.25">
      <c r="A2043" t="s">
        <v>16</v>
      </c>
      <c r="B2043" t="s">
        <v>3221</v>
      </c>
      <c r="C2043">
        <v>11700</v>
      </c>
      <c r="D2043" t="s">
        <v>979</v>
      </c>
      <c r="E2043" t="s">
        <v>980</v>
      </c>
      <c r="F2043">
        <v>400.91</v>
      </c>
      <c r="G2043">
        <v>230904</v>
      </c>
      <c r="H2043">
        <v>4572</v>
      </c>
      <c r="I2043" t="s">
        <v>122</v>
      </c>
      <c r="J2043">
        <v>497.13</v>
      </c>
      <c r="K2043">
        <v>96.22</v>
      </c>
      <c r="L2043">
        <v>59112</v>
      </c>
      <c r="M2043" t="s">
        <v>182</v>
      </c>
      <c r="N2043" t="str">
        <f>"314160097   "</f>
        <v xml:space="preserve">314160097   </v>
      </c>
      <c r="O2043">
        <v>230908</v>
      </c>
    </row>
    <row r="2044" spans="1:15" x14ac:dyDescent="0.25">
      <c r="A2044" t="s">
        <v>16</v>
      </c>
      <c r="B2044" t="s">
        <v>3221</v>
      </c>
      <c r="C2044">
        <v>11700</v>
      </c>
      <c r="D2044" t="s">
        <v>979</v>
      </c>
      <c r="E2044" t="s">
        <v>980</v>
      </c>
      <c r="F2044">
        <v>1083.96</v>
      </c>
      <c r="G2044">
        <v>230904</v>
      </c>
      <c r="H2044">
        <v>4572</v>
      </c>
      <c r="I2044" t="s">
        <v>122</v>
      </c>
      <c r="J2044">
        <v>1344.11</v>
      </c>
      <c r="K2044">
        <v>260.14999999999998</v>
      </c>
      <c r="L2044">
        <v>59504</v>
      </c>
      <c r="M2044" t="s">
        <v>71</v>
      </c>
      <c r="N2044" t="str">
        <f>"314160097   "</f>
        <v xml:space="preserve">314160097   </v>
      </c>
      <c r="O2044">
        <v>230908</v>
      </c>
    </row>
    <row r="2045" spans="1:15" x14ac:dyDescent="0.25">
      <c r="A2045" t="s">
        <v>16</v>
      </c>
      <c r="B2045" t="s">
        <v>3221</v>
      </c>
      <c r="C2045">
        <v>11710</v>
      </c>
      <c r="D2045" t="s">
        <v>979</v>
      </c>
      <c r="E2045" t="s">
        <v>980</v>
      </c>
      <c r="F2045">
        <v>9.26</v>
      </c>
      <c r="G2045">
        <v>230907</v>
      </c>
      <c r="H2045">
        <v>4572</v>
      </c>
      <c r="I2045" t="s">
        <v>122</v>
      </c>
      <c r="J2045">
        <v>11.48</v>
      </c>
      <c r="K2045">
        <v>2.2200000000000002</v>
      </c>
      <c r="L2045">
        <v>59112</v>
      </c>
      <c r="M2045" t="s">
        <v>182</v>
      </c>
      <c r="N2045" t="str">
        <f>"314213496   "</f>
        <v xml:space="preserve">314213496   </v>
      </c>
      <c r="O2045">
        <v>230908</v>
      </c>
    </row>
    <row r="2046" spans="1:15" x14ac:dyDescent="0.25">
      <c r="A2046" t="s">
        <v>16</v>
      </c>
      <c r="B2046" t="s">
        <v>3221</v>
      </c>
      <c r="C2046">
        <v>11710</v>
      </c>
      <c r="D2046" t="s">
        <v>979</v>
      </c>
      <c r="E2046" t="s">
        <v>980</v>
      </c>
      <c r="F2046">
        <v>25.02</v>
      </c>
      <c r="G2046">
        <v>230907</v>
      </c>
      <c r="H2046">
        <v>4572</v>
      </c>
      <c r="I2046" t="s">
        <v>122</v>
      </c>
      <c r="J2046">
        <v>31.02</v>
      </c>
      <c r="K2046">
        <v>6</v>
      </c>
      <c r="L2046">
        <v>59504</v>
      </c>
      <c r="M2046" t="s">
        <v>71</v>
      </c>
      <c r="N2046" t="str">
        <f>"314213496   "</f>
        <v xml:space="preserve">314213496   </v>
      </c>
      <c r="O2046">
        <v>230908</v>
      </c>
    </row>
    <row r="2047" spans="1:15" x14ac:dyDescent="0.25">
      <c r="A2047" t="s">
        <v>16</v>
      </c>
      <c r="B2047" t="s">
        <v>3221</v>
      </c>
      <c r="C2047">
        <v>11713</v>
      </c>
      <c r="D2047" t="s">
        <v>979</v>
      </c>
      <c r="E2047" t="s">
        <v>980</v>
      </c>
      <c r="F2047">
        <v>26.59</v>
      </c>
      <c r="G2047">
        <v>230907</v>
      </c>
      <c r="H2047">
        <v>4572</v>
      </c>
      <c r="I2047" t="s">
        <v>122</v>
      </c>
      <c r="J2047">
        <v>32.97</v>
      </c>
      <c r="K2047">
        <v>6.38</v>
      </c>
      <c r="L2047">
        <v>59112</v>
      </c>
      <c r="M2047" t="s">
        <v>182</v>
      </c>
      <c r="N2047" t="str">
        <f>"314213892   "</f>
        <v xml:space="preserve">314213892   </v>
      </c>
      <c r="O2047">
        <v>230908</v>
      </c>
    </row>
    <row r="2048" spans="1:15" x14ac:dyDescent="0.25">
      <c r="A2048" t="s">
        <v>16</v>
      </c>
      <c r="B2048" t="s">
        <v>3221</v>
      </c>
      <c r="C2048">
        <v>11713</v>
      </c>
      <c r="D2048" t="s">
        <v>979</v>
      </c>
      <c r="E2048" t="s">
        <v>980</v>
      </c>
      <c r="F2048">
        <v>71.900000000000006</v>
      </c>
      <c r="G2048">
        <v>230907</v>
      </c>
      <c r="H2048">
        <v>4572</v>
      </c>
      <c r="I2048" t="s">
        <v>122</v>
      </c>
      <c r="J2048">
        <v>89.15</v>
      </c>
      <c r="K2048">
        <v>17.25</v>
      </c>
      <c r="L2048">
        <v>59504</v>
      </c>
      <c r="M2048" t="s">
        <v>71</v>
      </c>
      <c r="N2048" t="str">
        <f>"314213892   "</f>
        <v xml:space="preserve">314213892   </v>
      </c>
      <c r="O2048">
        <v>230908</v>
      </c>
    </row>
    <row r="2049" spans="1:15" x14ac:dyDescent="0.25">
      <c r="A2049" t="s">
        <v>16</v>
      </c>
      <c r="B2049" t="s">
        <v>3221</v>
      </c>
      <c r="C2049">
        <v>11714</v>
      </c>
      <c r="D2049" t="s">
        <v>979</v>
      </c>
      <c r="E2049" t="s">
        <v>980</v>
      </c>
      <c r="F2049">
        <v>9.4499999999999993</v>
      </c>
      <c r="G2049">
        <v>230907</v>
      </c>
      <c r="H2049">
        <v>4572</v>
      </c>
      <c r="I2049" t="s">
        <v>122</v>
      </c>
      <c r="J2049">
        <v>11.72</v>
      </c>
      <c r="K2049">
        <v>2.27</v>
      </c>
      <c r="L2049">
        <v>59112</v>
      </c>
      <c r="M2049" t="s">
        <v>182</v>
      </c>
      <c r="N2049" t="str">
        <f>"314202527   "</f>
        <v xml:space="preserve">314202527   </v>
      </c>
      <c r="O2049">
        <v>230908</v>
      </c>
    </row>
    <row r="2050" spans="1:15" x14ac:dyDescent="0.25">
      <c r="A2050" t="s">
        <v>16</v>
      </c>
      <c r="B2050" t="s">
        <v>3221</v>
      </c>
      <c r="C2050">
        <v>11714</v>
      </c>
      <c r="D2050" t="s">
        <v>979</v>
      </c>
      <c r="E2050" t="s">
        <v>980</v>
      </c>
      <c r="F2050">
        <v>25.56</v>
      </c>
      <c r="G2050">
        <v>230907</v>
      </c>
      <c r="H2050">
        <v>4572</v>
      </c>
      <c r="I2050" t="s">
        <v>122</v>
      </c>
      <c r="J2050">
        <v>31.69</v>
      </c>
      <c r="K2050">
        <v>6.13</v>
      </c>
      <c r="L2050">
        <v>59504</v>
      </c>
      <c r="M2050" t="s">
        <v>71</v>
      </c>
      <c r="N2050" t="str">
        <f>"314202527   "</f>
        <v xml:space="preserve">314202527   </v>
      </c>
      <c r="O2050">
        <v>230908</v>
      </c>
    </row>
    <row r="2051" spans="1:15" x14ac:dyDescent="0.25">
      <c r="A2051" t="s">
        <v>16</v>
      </c>
      <c r="B2051" t="s">
        <v>3221</v>
      </c>
      <c r="C2051">
        <v>13365</v>
      </c>
      <c r="D2051" t="s">
        <v>979</v>
      </c>
      <c r="E2051" t="s">
        <v>980</v>
      </c>
      <c r="F2051">
        <v>413.46</v>
      </c>
      <c r="G2051">
        <v>231003</v>
      </c>
      <c r="H2051">
        <v>4572</v>
      </c>
      <c r="I2051" t="s">
        <v>122</v>
      </c>
      <c r="J2051">
        <v>512.69000000000005</v>
      </c>
      <c r="K2051">
        <v>99.23</v>
      </c>
      <c r="L2051">
        <v>59112</v>
      </c>
      <c r="M2051" t="s">
        <v>182</v>
      </c>
      <c r="N2051" t="str">
        <f>"314371120   "</f>
        <v xml:space="preserve">314371120   </v>
      </c>
      <c r="O2051">
        <v>231009</v>
      </c>
    </row>
    <row r="2052" spans="1:15" x14ac:dyDescent="0.25">
      <c r="A2052" t="s">
        <v>16</v>
      </c>
      <c r="B2052" t="s">
        <v>3221</v>
      </c>
      <c r="C2052">
        <v>13365</v>
      </c>
      <c r="D2052" t="s">
        <v>979</v>
      </c>
      <c r="E2052" t="s">
        <v>980</v>
      </c>
      <c r="F2052">
        <v>1117.8699999999999</v>
      </c>
      <c r="G2052">
        <v>231003</v>
      </c>
      <c r="H2052">
        <v>4572</v>
      </c>
      <c r="I2052" t="s">
        <v>122</v>
      </c>
      <c r="J2052">
        <v>1386.16</v>
      </c>
      <c r="K2052">
        <v>268.29000000000002</v>
      </c>
      <c r="L2052">
        <v>59504</v>
      </c>
      <c r="M2052" t="s">
        <v>71</v>
      </c>
      <c r="N2052" t="str">
        <f>"314371120   "</f>
        <v xml:space="preserve">314371120   </v>
      </c>
      <c r="O2052">
        <v>231009</v>
      </c>
    </row>
    <row r="2053" spans="1:15" x14ac:dyDescent="0.25">
      <c r="A2053" t="s">
        <v>16</v>
      </c>
      <c r="B2053" t="s">
        <v>3221</v>
      </c>
      <c r="C2053">
        <v>14089</v>
      </c>
      <c r="D2053" t="s">
        <v>979</v>
      </c>
      <c r="E2053" t="s">
        <v>980</v>
      </c>
      <c r="F2053">
        <v>1966.58</v>
      </c>
      <c r="G2053">
        <v>231003</v>
      </c>
      <c r="H2053">
        <v>4572</v>
      </c>
      <c r="I2053" t="s">
        <v>122</v>
      </c>
      <c r="J2053">
        <v>2438.56</v>
      </c>
      <c r="K2053">
        <v>471.98</v>
      </c>
      <c r="L2053">
        <v>59502</v>
      </c>
      <c r="M2053" t="s">
        <v>70</v>
      </c>
      <c r="N2053" t="str">
        <f>"314373093   "</f>
        <v xml:space="preserve">314373093   </v>
      </c>
      <c r="O2053">
        <v>231018</v>
      </c>
    </row>
    <row r="2054" spans="1:15" x14ac:dyDescent="0.25">
      <c r="A2054" t="s">
        <v>16</v>
      </c>
      <c r="B2054" t="s">
        <v>3221</v>
      </c>
      <c r="C2054">
        <v>14089</v>
      </c>
      <c r="D2054" t="s">
        <v>979</v>
      </c>
      <c r="E2054" t="s">
        <v>980</v>
      </c>
      <c r="F2054">
        <v>1257.32</v>
      </c>
      <c r="G2054">
        <v>231003</v>
      </c>
      <c r="H2054">
        <v>4572</v>
      </c>
      <c r="I2054" t="s">
        <v>122</v>
      </c>
      <c r="J2054">
        <v>1559.08</v>
      </c>
      <c r="K2054">
        <v>301.76</v>
      </c>
      <c r="L2054">
        <v>59802</v>
      </c>
      <c r="M2054" t="s">
        <v>73</v>
      </c>
      <c r="N2054" t="str">
        <f>"314373093   "</f>
        <v xml:space="preserve">314373093   </v>
      </c>
      <c r="O2054">
        <v>231018</v>
      </c>
    </row>
    <row r="2055" spans="1:15" x14ac:dyDescent="0.25">
      <c r="A2055" t="s">
        <v>16</v>
      </c>
      <c r="B2055" t="s">
        <v>3221</v>
      </c>
      <c r="C2055">
        <v>14094</v>
      </c>
      <c r="D2055" t="s">
        <v>979</v>
      </c>
      <c r="E2055" t="s">
        <v>980</v>
      </c>
      <c r="F2055">
        <v>1237.28</v>
      </c>
      <c r="G2055">
        <v>231004</v>
      </c>
      <c r="H2055">
        <v>4572</v>
      </c>
      <c r="I2055" t="s">
        <v>122</v>
      </c>
      <c r="J2055">
        <v>1534.23</v>
      </c>
      <c r="K2055">
        <v>296.95</v>
      </c>
      <c r="L2055">
        <v>59505</v>
      </c>
      <c r="M2055" t="s">
        <v>72</v>
      </c>
      <c r="N2055" t="str">
        <f>"314409208   "</f>
        <v xml:space="preserve">314409208   </v>
      </c>
      <c r="O2055">
        <v>231018</v>
      </c>
    </row>
    <row r="2056" spans="1:15" x14ac:dyDescent="0.25">
      <c r="A2056" t="s">
        <v>16</v>
      </c>
      <c r="B2056" t="s">
        <v>3221</v>
      </c>
      <c r="C2056">
        <v>14094</v>
      </c>
      <c r="D2056" t="s">
        <v>979</v>
      </c>
      <c r="E2056" t="s">
        <v>980</v>
      </c>
      <c r="F2056">
        <v>168.72</v>
      </c>
      <c r="G2056">
        <v>231004</v>
      </c>
      <c r="H2056">
        <v>4572</v>
      </c>
      <c r="I2056" t="s">
        <v>122</v>
      </c>
      <c r="J2056">
        <v>209.21</v>
      </c>
      <c r="K2056">
        <v>40.49</v>
      </c>
      <c r="L2056">
        <v>59812</v>
      </c>
      <c r="M2056" t="s">
        <v>74</v>
      </c>
      <c r="N2056" t="str">
        <f>"314409208   "</f>
        <v xml:space="preserve">314409208   </v>
      </c>
      <c r="O2056">
        <v>231018</v>
      </c>
    </row>
    <row r="2057" spans="1:15" x14ac:dyDescent="0.25">
      <c r="A2057" t="s">
        <v>16</v>
      </c>
      <c r="B2057" t="s">
        <v>3221</v>
      </c>
      <c r="C2057">
        <v>14097</v>
      </c>
      <c r="D2057" t="s">
        <v>979</v>
      </c>
      <c r="E2057" t="s">
        <v>980</v>
      </c>
      <c r="F2057">
        <v>321.49</v>
      </c>
      <c r="G2057">
        <v>231003</v>
      </c>
      <c r="H2057">
        <v>4572</v>
      </c>
      <c r="I2057" t="s">
        <v>122</v>
      </c>
      <c r="J2057">
        <v>398.65</v>
      </c>
      <c r="K2057">
        <v>77.16</v>
      </c>
      <c r="L2057">
        <v>59111</v>
      </c>
      <c r="M2057" t="s">
        <v>1010</v>
      </c>
      <c r="N2057" t="str">
        <f>"314379908   "</f>
        <v xml:space="preserve">314379908   </v>
      </c>
      <c r="O2057">
        <v>231018</v>
      </c>
    </row>
    <row r="2058" spans="1:15" x14ac:dyDescent="0.25">
      <c r="A2058" t="s">
        <v>16</v>
      </c>
      <c r="B2058" t="s">
        <v>3221</v>
      </c>
      <c r="C2058">
        <v>14097</v>
      </c>
      <c r="D2058" t="s">
        <v>979</v>
      </c>
      <c r="E2058" t="s">
        <v>980</v>
      </c>
      <c r="F2058">
        <v>5036.68</v>
      </c>
      <c r="G2058">
        <v>231003</v>
      </c>
      <c r="H2058">
        <v>4572</v>
      </c>
      <c r="I2058" t="s">
        <v>122</v>
      </c>
      <c r="J2058">
        <v>6245.48</v>
      </c>
      <c r="K2058">
        <v>1208.8</v>
      </c>
      <c r="L2058">
        <v>59501</v>
      </c>
      <c r="M2058" t="s">
        <v>69</v>
      </c>
      <c r="N2058" t="str">
        <f>"314379908   "</f>
        <v xml:space="preserve">314379908   </v>
      </c>
      <c r="O2058">
        <v>231018</v>
      </c>
    </row>
    <row r="2059" spans="1:15" x14ac:dyDescent="0.25">
      <c r="A2059" t="s">
        <v>16</v>
      </c>
      <c r="B2059" t="s">
        <v>3221</v>
      </c>
      <c r="C2059">
        <v>14163</v>
      </c>
      <c r="D2059" t="s">
        <v>979</v>
      </c>
      <c r="E2059" t="s">
        <v>980</v>
      </c>
      <c r="F2059">
        <v>72.95</v>
      </c>
      <c r="G2059">
        <v>231007</v>
      </c>
      <c r="H2059">
        <v>4572</v>
      </c>
      <c r="I2059" t="s">
        <v>122</v>
      </c>
      <c r="J2059">
        <v>90.46</v>
      </c>
      <c r="K2059">
        <v>17.510000000000002</v>
      </c>
      <c r="L2059">
        <v>56571</v>
      </c>
      <c r="M2059" t="s">
        <v>204</v>
      </c>
      <c r="N2059" t="str">
        <f>"314438551   "</f>
        <v xml:space="preserve">314438551   </v>
      </c>
      <c r="O2059">
        <v>231023</v>
      </c>
    </row>
    <row r="2060" spans="1:15" x14ac:dyDescent="0.25">
      <c r="A2060" t="s">
        <v>16</v>
      </c>
      <c r="B2060" t="s">
        <v>3221</v>
      </c>
      <c r="C2060">
        <v>14165</v>
      </c>
      <c r="D2060" t="s">
        <v>979</v>
      </c>
      <c r="E2060" t="s">
        <v>980</v>
      </c>
      <c r="F2060">
        <v>82.62</v>
      </c>
      <c r="G2060">
        <v>231007</v>
      </c>
      <c r="H2060">
        <v>4572</v>
      </c>
      <c r="I2060" t="s">
        <v>122</v>
      </c>
      <c r="J2060">
        <v>102.45</v>
      </c>
      <c r="K2060">
        <v>19.829999999999998</v>
      </c>
      <c r="L2060">
        <v>56571</v>
      </c>
      <c r="M2060" t="s">
        <v>204</v>
      </c>
      <c r="N2060" t="str">
        <f>"314454630   "</f>
        <v xml:space="preserve">314454630   </v>
      </c>
      <c r="O2060">
        <v>231023</v>
      </c>
    </row>
    <row r="2061" spans="1:15" x14ac:dyDescent="0.25">
      <c r="A2061" t="s">
        <v>16</v>
      </c>
      <c r="B2061" t="s">
        <v>3221</v>
      </c>
      <c r="C2061">
        <v>14383</v>
      </c>
      <c r="D2061" t="s">
        <v>979</v>
      </c>
      <c r="E2061" t="s">
        <v>980</v>
      </c>
      <c r="F2061">
        <v>65.209999999999994</v>
      </c>
      <c r="G2061">
        <v>231016</v>
      </c>
      <c r="H2061">
        <v>4572</v>
      </c>
      <c r="I2061" t="s">
        <v>122</v>
      </c>
      <c r="J2061">
        <v>65.209999999999994</v>
      </c>
      <c r="K2061">
        <v>0</v>
      </c>
      <c r="L2061">
        <v>59813</v>
      </c>
      <c r="M2061" t="s">
        <v>915</v>
      </c>
      <c r="N2061" t="str">
        <f>"314551861   "</f>
        <v xml:space="preserve">314551861   </v>
      </c>
      <c r="O2061">
        <v>231030</v>
      </c>
    </row>
    <row r="2062" spans="1:15" x14ac:dyDescent="0.25">
      <c r="A2062" t="s">
        <v>16</v>
      </c>
      <c r="B2062" t="s">
        <v>3221</v>
      </c>
      <c r="C2062">
        <v>15108</v>
      </c>
      <c r="D2062" t="s">
        <v>979</v>
      </c>
      <c r="E2062" t="s">
        <v>980</v>
      </c>
      <c r="F2062">
        <v>423.31</v>
      </c>
      <c r="G2062">
        <v>231103</v>
      </c>
      <c r="H2062">
        <v>4572</v>
      </c>
      <c r="I2062" t="s">
        <v>122</v>
      </c>
      <c r="J2062">
        <v>524.9</v>
      </c>
      <c r="K2062">
        <v>101.59</v>
      </c>
      <c r="L2062">
        <v>59112</v>
      </c>
      <c r="M2062" t="s">
        <v>182</v>
      </c>
      <c r="N2062" t="str">
        <f>"314619037   "</f>
        <v xml:space="preserve">314619037   </v>
      </c>
      <c r="O2062">
        <v>231108</v>
      </c>
    </row>
    <row r="2063" spans="1:15" x14ac:dyDescent="0.25">
      <c r="A2063" t="s">
        <v>16</v>
      </c>
      <c r="B2063" t="s">
        <v>3221</v>
      </c>
      <c r="C2063">
        <v>15108</v>
      </c>
      <c r="D2063" t="s">
        <v>979</v>
      </c>
      <c r="E2063" t="s">
        <v>980</v>
      </c>
      <c r="F2063">
        <v>1144.5</v>
      </c>
      <c r="G2063">
        <v>231103</v>
      </c>
      <c r="H2063">
        <v>4572</v>
      </c>
      <c r="I2063" t="s">
        <v>122</v>
      </c>
      <c r="J2063">
        <v>1419.18</v>
      </c>
      <c r="K2063">
        <v>274.68</v>
      </c>
      <c r="L2063">
        <v>59504</v>
      </c>
      <c r="M2063" t="s">
        <v>71</v>
      </c>
      <c r="N2063" t="str">
        <f>"314619037   "</f>
        <v xml:space="preserve">314619037   </v>
      </c>
      <c r="O2063">
        <v>231108</v>
      </c>
    </row>
    <row r="2064" spans="1:15" x14ac:dyDescent="0.25">
      <c r="A2064" t="s">
        <v>16</v>
      </c>
      <c r="B2064" t="s">
        <v>3221</v>
      </c>
      <c r="C2064">
        <v>15149</v>
      </c>
      <c r="D2064" t="s">
        <v>979</v>
      </c>
      <c r="E2064" t="s">
        <v>980</v>
      </c>
      <c r="F2064">
        <v>1316.75</v>
      </c>
      <c r="G2064">
        <v>231103</v>
      </c>
      <c r="H2064">
        <v>4572</v>
      </c>
      <c r="I2064" t="s">
        <v>122</v>
      </c>
      <c r="J2064">
        <v>1632.77</v>
      </c>
      <c r="K2064">
        <v>316.02</v>
      </c>
      <c r="L2064">
        <v>59505</v>
      </c>
      <c r="M2064" t="s">
        <v>72</v>
      </c>
      <c r="N2064" t="str">
        <f>"314602207   "</f>
        <v xml:space="preserve">314602207   </v>
      </c>
      <c r="O2064">
        <v>231109</v>
      </c>
    </row>
    <row r="2065" spans="1:15" x14ac:dyDescent="0.25">
      <c r="A2065" t="s">
        <v>16</v>
      </c>
      <c r="B2065" t="s">
        <v>3221</v>
      </c>
      <c r="C2065">
        <v>15149</v>
      </c>
      <c r="D2065" t="s">
        <v>979</v>
      </c>
      <c r="E2065" t="s">
        <v>980</v>
      </c>
      <c r="F2065">
        <v>179.56</v>
      </c>
      <c r="G2065">
        <v>231103</v>
      </c>
      <c r="H2065">
        <v>4572</v>
      </c>
      <c r="I2065" t="s">
        <v>122</v>
      </c>
      <c r="J2065">
        <v>222.65</v>
      </c>
      <c r="K2065">
        <v>43.09</v>
      </c>
      <c r="L2065">
        <v>59812</v>
      </c>
      <c r="M2065" t="s">
        <v>74</v>
      </c>
      <c r="N2065" t="str">
        <f>"314602207   "</f>
        <v xml:space="preserve">314602207   </v>
      </c>
      <c r="O2065">
        <v>231109</v>
      </c>
    </row>
    <row r="2066" spans="1:15" x14ac:dyDescent="0.25">
      <c r="A2066" t="s">
        <v>16</v>
      </c>
      <c r="B2066" t="s">
        <v>3221</v>
      </c>
      <c r="C2066">
        <v>15152</v>
      </c>
      <c r="D2066" t="s">
        <v>979</v>
      </c>
      <c r="E2066" t="s">
        <v>980</v>
      </c>
      <c r="F2066">
        <v>352.26</v>
      </c>
      <c r="G2066">
        <v>231103</v>
      </c>
      <c r="H2066">
        <v>4572</v>
      </c>
      <c r="I2066" t="s">
        <v>122</v>
      </c>
      <c r="J2066">
        <v>436.8</v>
      </c>
      <c r="K2066">
        <v>84.54</v>
      </c>
      <c r="L2066">
        <v>59111</v>
      </c>
      <c r="M2066" t="s">
        <v>1010</v>
      </c>
      <c r="N2066" t="str">
        <f>"314606163   "</f>
        <v xml:space="preserve">314606163   </v>
      </c>
      <c r="O2066">
        <v>231109</v>
      </c>
    </row>
    <row r="2067" spans="1:15" x14ac:dyDescent="0.25">
      <c r="A2067" t="s">
        <v>16</v>
      </c>
      <c r="B2067" t="s">
        <v>3221</v>
      </c>
      <c r="C2067">
        <v>15152</v>
      </c>
      <c r="D2067" t="s">
        <v>979</v>
      </c>
      <c r="E2067" t="s">
        <v>980</v>
      </c>
      <c r="F2067">
        <v>5518.73</v>
      </c>
      <c r="G2067">
        <v>231103</v>
      </c>
      <c r="H2067">
        <v>4572</v>
      </c>
      <c r="I2067" t="s">
        <v>122</v>
      </c>
      <c r="J2067">
        <v>6843.22</v>
      </c>
      <c r="K2067">
        <v>1324.49</v>
      </c>
      <c r="L2067">
        <v>59501</v>
      </c>
      <c r="M2067" t="s">
        <v>69</v>
      </c>
      <c r="N2067" t="str">
        <f>"314606163   "</f>
        <v xml:space="preserve">314606163   </v>
      </c>
      <c r="O2067">
        <v>231109</v>
      </c>
    </row>
    <row r="2068" spans="1:15" x14ac:dyDescent="0.25">
      <c r="A2068" t="s">
        <v>16</v>
      </c>
      <c r="B2068" t="s">
        <v>3221</v>
      </c>
      <c r="C2068">
        <v>15153</v>
      </c>
      <c r="D2068" t="s">
        <v>979</v>
      </c>
      <c r="E2068" t="s">
        <v>980</v>
      </c>
      <c r="F2068">
        <v>1824.31</v>
      </c>
      <c r="G2068">
        <v>231103</v>
      </c>
      <c r="H2068">
        <v>4572</v>
      </c>
      <c r="I2068" t="s">
        <v>122</v>
      </c>
      <c r="J2068">
        <v>2262.14</v>
      </c>
      <c r="K2068">
        <v>437.83</v>
      </c>
      <c r="L2068">
        <v>59502</v>
      </c>
      <c r="M2068" t="s">
        <v>70</v>
      </c>
      <c r="N2068" t="str">
        <f>"314637590   "</f>
        <v xml:space="preserve">314637590   </v>
      </c>
      <c r="O2068">
        <v>231109</v>
      </c>
    </row>
    <row r="2069" spans="1:15" x14ac:dyDescent="0.25">
      <c r="A2069" t="s">
        <v>16</v>
      </c>
      <c r="B2069" t="s">
        <v>3221</v>
      </c>
      <c r="C2069">
        <v>15153</v>
      </c>
      <c r="D2069" t="s">
        <v>979</v>
      </c>
      <c r="E2069" t="s">
        <v>980</v>
      </c>
      <c r="F2069">
        <v>1166.3499999999999</v>
      </c>
      <c r="G2069">
        <v>231103</v>
      </c>
      <c r="H2069">
        <v>4572</v>
      </c>
      <c r="I2069" t="s">
        <v>122</v>
      </c>
      <c r="J2069">
        <v>1446.28</v>
      </c>
      <c r="K2069">
        <v>279.93</v>
      </c>
      <c r="L2069">
        <v>59802</v>
      </c>
      <c r="M2069" t="s">
        <v>73</v>
      </c>
      <c r="N2069" t="str">
        <f>"314637590   "</f>
        <v xml:space="preserve">314637590   </v>
      </c>
      <c r="O2069">
        <v>231109</v>
      </c>
    </row>
    <row r="2070" spans="1:15" x14ac:dyDescent="0.25">
      <c r="A2070" t="s">
        <v>16</v>
      </c>
      <c r="B2070" t="s">
        <v>3221</v>
      </c>
      <c r="C2070">
        <v>16873</v>
      </c>
      <c r="D2070" t="s">
        <v>979</v>
      </c>
      <c r="E2070" t="s">
        <v>980</v>
      </c>
      <c r="F2070">
        <v>10.81</v>
      </c>
      <c r="G2070">
        <v>231207</v>
      </c>
      <c r="H2070">
        <v>4572</v>
      </c>
      <c r="I2070" t="s">
        <v>122</v>
      </c>
      <c r="J2070">
        <v>13.41</v>
      </c>
      <c r="K2070">
        <v>2.6</v>
      </c>
      <c r="L2070">
        <v>59112</v>
      </c>
      <c r="M2070" t="s">
        <v>182</v>
      </c>
      <c r="N2070" t="str">
        <f>"314923826   "</f>
        <v xml:space="preserve">314923826   </v>
      </c>
      <c r="O2070">
        <v>231211</v>
      </c>
    </row>
    <row r="2071" spans="1:15" x14ac:dyDescent="0.25">
      <c r="A2071" t="s">
        <v>16</v>
      </c>
      <c r="B2071" t="s">
        <v>3221</v>
      </c>
      <c r="C2071">
        <v>16873</v>
      </c>
      <c r="D2071" t="s">
        <v>979</v>
      </c>
      <c r="E2071" t="s">
        <v>980</v>
      </c>
      <c r="F2071">
        <v>29.23</v>
      </c>
      <c r="G2071">
        <v>231207</v>
      </c>
      <c r="H2071">
        <v>4572</v>
      </c>
      <c r="I2071" t="s">
        <v>122</v>
      </c>
      <c r="J2071">
        <v>36.25</v>
      </c>
      <c r="K2071">
        <v>7.02</v>
      </c>
      <c r="L2071">
        <v>59504</v>
      </c>
      <c r="M2071" t="s">
        <v>71</v>
      </c>
      <c r="N2071" t="str">
        <f>"314923826   "</f>
        <v xml:space="preserve">314923826   </v>
      </c>
      <c r="O2071">
        <v>231211</v>
      </c>
    </row>
    <row r="2072" spans="1:15" x14ac:dyDescent="0.25">
      <c r="A2072" t="s">
        <v>16</v>
      </c>
      <c r="B2072" t="s">
        <v>3221</v>
      </c>
      <c r="C2072">
        <v>16886</v>
      </c>
      <c r="D2072" t="s">
        <v>979</v>
      </c>
      <c r="E2072" t="s">
        <v>980</v>
      </c>
      <c r="F2072">
        <v>414.68</v>
      </c>
      <c r="G2072">
        <v>231204</v>
      </c>
      <c r="H2072">
        <v>4572</v>
      </c>
      <c r="I2072" t="s">
        <v>122</v>
      </c>
      <c r="J2072">
        <v>514.20000000000005</v>
      </c>
      <c r="K2072">
        <v>99.52</v>
      </c>
      <c r="L2072">
        <v>59112</v>
      </c>
      <c r="M2072" t="s">
        <v>182</v>
      </c>
      <c r="N2072" t="str">
        <f>"314881050   "</f>
        <v xml:space="preserve">314881050   </v>
      </c>
      <c r="O2072">
        <v>231211</v>
      </c>
    </row>
    <row r="2073" spans="1:15" x14ac:dyDescent="0.25">
      <c r="A2073" t="s">
        <v>16</v>
      </c>
      <c r="B2073" t="s">
        <v>3221</v>
      </c>
      <c r="C2073">
        <v>16886</v>
      </c>
      <c r="D2073" t="s">
        <v>979</v>
      </c>
      <c r="E2073" t="s">
        <v>980</v>
      </c>
      <c r="F2073">
        <v>1121.17</v>
      </c>
      <c r="G2073">
        <v>231204</v>
      </c>
      <c r="H2073">
        <v>4572</v>
      </c>
      <c r="I2073" t="s">
        <v>122</v>
      </c>
      <c r="J2073">
        <v>1390.25</v>
      </c>
      <c r="K2073">
        <v>269.08</v>
      </c>
      <c r="L2073">
        <v>59504</v>
      </c>
      <c r="M2073" t="s">
        <v>71</v>
      </c>
      <c r="N2073" t="str">
        <f>"314881050   "</f>
        <v xml:space="preserve">314881050   </v>
      </c>
      <c r="O2073">
        <v>231211</v>
      </c>
    </row>
    <row r="2074" spans="1:15" x14ac:dyDescent="0.25">
      <c r="A2074" t="s">
        <v>16</v>
      </c>
      <c r="B2074" t="s">
        <v>3221</v>
      </c>
      <c r="C2074">
        <v>16898</v>
      </c>
      <c r="D2074" t="s">
        <v>979</v>
      </c>
      <c r="E2074" t="s">
        <v>980</v>
      </c>
      <c r="F2074">
        <v>401.78</v>
      </c>
      <c r="G2074">
        <v>231204</v>
      </c>
      <c r="H2074">
        <v>4572</v>
      </c>
      <c r="I2074" t="s">
        <v>122</v>
      </c>
      <c r="J2074">
        <v>498.21</v>
      </c>
      <c r="K2074">
        <v>96.43</v>
      </c>
      <c r="L2074">
        <v>59111</v>
      </c>
      <c r="M2074" t="s">
        <v>1010</v>
      </c>
      <c r="N2074" t="str">
        <f>"314877602   "</f>
        <v xml:space="preserve">314877602   </v>
      </c>
      <c r="O2074">
        <v>231211</v>
      </c>
    </row>
    <row r="2075" spans="1:15" x14ac:dyDescent="0.25">
      <c r="A2075" t="s">
        <v>16</v>
      </c>
      <c r="B2075" t="s">
        <v>3221</v>
      </c>
      <c r="C2075">
        <v>16898</v>
      </c>
      <c r="D2075" t="s">
        <v>979</v>
      </c>
      <c r="E2075" t="s">
        <v>980</v>
      </c>
      <c r="F2075">
        <v>6294.56</v>
      </c>
      <c r="G2075">
        <v>231204</v>
      </c>
      <c r="H2075">
        <v>4572</v>
      </c>
      <c r="I2075" t="s">
        <v>122</v>
      </c>
      <c r="J2075">
        <v>7805.25</v>
      </c>
      <c r="K2075">
        <v>1510.69</v>
      </c>
      <c r="L2075">
        <v>59501</v>
      </c>
      <c r="M2075" t="s">
        <v>69</v>
      </c>
      <c r="N2075" t="str">
        <f>"314877602   "</f>
        <v xml:space="preserve">314877602   </v>
      </c>
      <c r="O2075">
        <v>231211</v>
      </c>
    </row>
    <row r="2076" spans="1:15" x14ac:dyDescent="0.25">
      <c r="A2076" t="s">
        <v>16</v>
      </c>
      <c r="B2076" t="s">
        <v>3221</v>
      </c>
      <c r="C2076">
        <v>16903</v>
      </c>
      <c r="D2076" t="s">
        <v>979</v>
      </c>
      <c r="E2076" t="s">
        <v>980</v>
      </c>
      <c r="F2076">
        <v>29.36</v>
      </c>
      <c r="G2076">
        <v>231207</v>
      </c>
      <c r="H2076">
        <v>4572</v>
      </c>
      <c r="I2076" t="s">
        <v>122</v>
      </c>
      <c r="J2076">
        <v>36.409999999999997</v>
      </c>
      <c r="K2076">
        <v>7.05</v>
      </c>
      <c r="L2076">
        <v>59112</v>
      </c>
      <c r="M2076" t="s">
        <v>182</v>
      </c>
      <c r="N2076" t="str">
        <f>"314967757   "</f>
        <v xml:space="preserve">314967757   </v>
      </c>
      <c r="O2076">
        <v>231211</v>
      </c>
    </row>
    <row r="2077" spans="1:15" x14ac:dyDescent="0.25">
      <c r="A2077" t="s">
        <v>16</v>
      </c>
      <c r="B2077" t="s">
        <v>3221</v>
      </c>
      <c r="C2077">
        <v>16903</v>
      </c>
      <c r="D2077" t="s">
        <v>979</v>
      </c>
      <c r="E2077" t="s">
        <v>980</v>
      </c>
      <c r="F2077">
        <v>79.400000000000006</v>
      </c>
      <c r="G2077">
        <v>231207</v>
      </c>
      <c r="H2077">
        <v>4572</v>
      </c>
      <c r="I2077" t="s">
        <v>122</v>
      </c>
      <c r="J2077">
        <v>98.46</v>
      </c>
      <c r="K2077">
        <v>19.059999999999999</v>
      </c>
      <c r="L2077">
        <v>59504</v>
      </c>
      <c r="M2077" t="s">
        <v>71</v>
      </c>
      <c r="N2077" t="str">
        <f>"314967757   "</f>
        <v xml:space="preserve">314967757   </v>
      </c>
      <c r="O2077">
        <v>231211</v>
      </c>
    </row>
    <row r="2078" spans="1:15" x14ac:dyDescent="0.25">
      <c r="A2078" t="s">
        <v>16</v>
      </c>
      <c r="B2078" t="s">
        <v>3221</v>
      </c>
      <c r="C2078">
        <v>16912</v>
      </c>
      <c r="D2078" t="s">
        <v>979</v>
      </c>
      <c r="E2078" t="s">
        <v>980</v>
      </c>
      <c r="F2078">
        <v>1939.6</v>
      </c>
      <c r="G2078">
        <v>231204</v>
      </c>
      <c r="H2078">
        <v>4572</v>
      </c>
      <c r="I2078" t="s">
        <v>122</v>
      </c>
      <c r="J2078">
        <v>2405.1</v>
      </c>
      <c r="K2078">
        <v>465.5</v>
      </c>
      <c r="L2078">
        <v>59502</v>
      </c>
      <c r="M2078" t="s">
        <v>70</v>
      </c>
      <c r="N2078" t="str">
        <f>"314859849   "</f>
        <v xml:space="preserve">314859849   </v>
      </c>
      <c r="O2078">
        <v>231211</v>
      </c>
    </row>
    <row r="2079" spans="1:15" x14ac:dyDescent="0.25">
      <c r="A2079" t="s">
        <v>16</v>
      </c>
      <c r="B2079" t="s">
        <v>3221</v>
      </c>
      <c r="C2079">
        <v>16912</v>
      </c>
      <c r="D2079" t="s">
        <v>979</v>
      </c>
      <c r="E2079" t="s">
        <v>980</v>
      </c>
      <c r="F2079">
        <v>1240.06</v>
      </c>
      <c r="G2079">
        <v>231204</v>
      </c>
      <c r="H2079">
        <v>4572</v>
      </c>
      <c r="I2079" t="s">
        <v>122</v>
      </c>
      <c r="J2079">
        <v>1537.68</v>
      </c>
      <c r="K2079">
        <v>297.62</v>
      </c>
      <c r="L2079">
        <v>59802</v>
      </c>
      <c r="M2079" t="s">
        <v>73</v>
      </c>
      <c r="N2079" t="str">
        <f>"314859849   "</f>
        <v xml:space="preserve">314859849   </v>
      </c>
      <c r="O2079">
        <v>231211</v>
      </c>
    </row>
    <row r="2080" spans="1:15" x14ac:dyDescent="0.25">
      <c r="A2080" t="s">
        <v>16</v>
      </c>
      <c r="B2080" t="s">
        <v>3221</v>
      </c>
      <c r="C2080">
        <v>16954</v>
      </c>
      <c r="D2080" t="s">
        <v>979</v>
      </c>
      <c r="E2080" t="s">
        <v>980</v>
      </c>
      <c r="F2080">
        <v>1227.5999999999999</v>
      </c>
      <c r="G2080">
        <v>231204</v>
      </c>
      <c r="H2080">
        <v>4572</v>
      </c>
      <c r="I2080" t="s">
        <v>122</v>
      </c>
      <c r="J2080">
        <v>1522.22</v>
      </c>
      <c r="K2080">
        <v>294.62</v>
      </c>
      <c r="L2080">
        <v>59505</v>
      </c>
      <c r="M2080" t="s">
        <v>72</v>
      </c>
      <c r="N2080" t="str">
        <f>"314862754   "</f>
        <v xml:space="preserve">314862754   </v>
      </c>
      <c r="O2080">
        <v>231211</v>
      </c>
    </row>
    <row r="2081" spans="1:16" x14ac:dyDescent="0.25">
      <c r="A2081" t="s">
        <v>16</v>
      </c>
      <c r="B2081" t="s">
        <v>3221</v>
      </c>
      <c r="C2081">
        <v>16954</v>
      </c>
      <c r="D2081" t="s">
        <v>979</v>
      </c>
      <c r="E2081" t="s">
        <v>980</v>
      </c>
      <c r="F2081">
        <v>167.4</v>
      </c>
      <c r="G2081">
        <v>231204</v>
      </c>
      <c r="H2081">
        <v>4572</v>
      </c>
      <c r="I2081" t="s">
        <v>122</v>
      </c>
      <c r="J2081">
        <v>207.58</v>
      </c>
      <c r="K2081">
        <v>40.18</v>
      </c>
      <c r="L2081">
        <v>59812</v>
      </c>
      <c r="M2081" t="s">
        <v>74</v>
      </c>
      <c r="N2081" t="str">
        <f>"314862754   "</f>
        <v xml:space="preserve">314862754   </v>
      </c>
      <c r="O2081">
        <v>231211</v>
      </c>
    </row>
    <row r="2082" spans="1:16" x14ac:dyDescent="0.25">
      <c r="A2082" t="s">
        <v>16</v>
      </c>
      <c r="B2082" t="s">
        <v>3221</v>
      </c>
      <c r="C2082">
        <v>17046</v>
      </c>
      <c r="D2082" t="s">
        <v>979</v>
      </c>
      <c r="E2082" t="s">
        <v>980</v>
      </c>
      <c r="F2082">
        <v>9.33</v>
      </c>
      <c r="G2082">
        <v>231207</v>
      </c>
      <c r="H2082">
        <v>4572</v>
      </c>
      <c r="I2082" t="s">
        <v>122</v>
      </c>
      <c r="J2082">
        <v>11.57</v>
      </c>
      <c r="K2082">
        <v>2.2400000000000002</v>
      </c>
      <c r="L2082">
        <v>59112</v>
      </c>
      <c r="M2082" t="s">
        <v>182</v>
      </c>
      <c r="N2082" t="str">
        <f>"314959236   "</f>
        <v xml:space="preserve">314959236   </v>
      </c>
      <c r="O2082">
        <v>231212</v>
      </c>
    </row>
    <row r="2083" spans="1:16" x14ac:dyDescent="0.25">
      <c r="A2083" t="s">
        <v>16</v>
      </c>
      <c r="B2083" t="s">
        <v>3221</v>
      </c>
      <c r="C2083">
        <v>17046</v>
      </c>
      <c r="D2083" t="s">
        <v>979</v>
      </c>
      <c r="E2083" t="s">
        <v>980</v>
      </c>
      <c r="F2083">
        <v>25.23</v>
      </c>
      <c r="G2083">
        <v>231207</v>
      </c>
      <c r="H2083">
        <v>4572</v>
      </c>
      <c r="I2083" t="s">
        <v>122</v>
      </c>
      <c r="J2083">
        <v>31.29</v>
      </c>
      <c r="K2083">
        <v>6.06</v>
      </c>
      <c r="L2083">
        <v>59504</v>
      </c>
      <c r="M2083" t="s">
        <v>71</v>
      </c>
      <c r="N2083" t="str">
        <f>"314959236   "</f>
        <v xml:space="preserve">314959236   </v>
      </c>
      <c r="O2083">
        <v>231212</v>
      </c>
    </row>
    <row r="2084" spans="1:16" x14ac:dyDescent="0.25">
      <c r="A2084" t="s">
        <v>16</v>
      </c>
      <c r="B2084" t="s">
        <v>3221</v>
      </c>
      <c r="C2084">
        <v>17619</v>
      </c>
      <c r="D2084" t="s">
        <v>979</v>
      </c>
      <c r="E2084" t="s">
        <v>980</v>
      </c>
      <c r="F2084">
        <v>67.180000000000007</v>
      </c>
      <c r="G2084">
        <v>231214</v>
      </c>
      <c r="H2084">
        <v>4572</v>
      </c>
      <c r="I2084" t="s">
        <v>122</v>
      </c>
      <c r="J2084">
        <v>67.180000000000007</v>
      </c>
      <c r="K2084">
        <v>0</v>
      </c>
      <c r="L2084">
        <v>59813</v>
      </c>
      <c r="M2084" t="s">
        <v>915</v>
      </c>
      <c r="N2084" t="str">
        <f>"315020260   "</f>
        <v xml:space="preserve">315020260   </v>
      </c>
      <c r="O2084">
        <v>231215</v>
      </c>
    </row>
    <row r="2085" spans="1:16" x14ac:dyDescent="0.25">
      <c r="A2085" t="s">
        <v>16</v>
      </c>
      <c r="B2085" t="s">
        <v>3221</v>
      </c>
      <c r="C2085">
        <v>18842</v>
      </c>
      <c r="D2085" t="s">
        <v>979</v>
      </c>
      <c r="E2085" t="s">
        <v>980</v>
      </c>
      <c r="F2085">
        <v>1732.99</v>
      </c>
      <c r="G2085">
        <v>240103</v>
      </c>
      <c r="H2085">
        <v>4572</v>
      </c>
      <c r="I2085" t="s">
        <v>122</v>
      </c>
      <c r="J2085">
        <v>2148.91</v>
      </c>
      <c r="K2085">
        <v>415.92</v>
      </c>
      <c r="L2085">
        <v>59502</v>
      </c>
      <c r="M2085" t="s">
        <v>70</v>
      </c>
      <c r="N2085" t="str">
        <f>"315094882   "</f>
        <v xml:space="preserve">315094882   </v>
      </c>
      <c r="O2085">
        <v>240108</v>
      </c>
    </row>
    <row r="2086" spans="1:16" x14ac:dyDescent="0.25">
      <c r="A2086" t="s">
        <v>16</v>
      </c>
      <c r="B2086" t="s">
        <v>3221</v>
      </c>
      <c r="C2086">
        <v>18842</v>
      </c>
      <c r="D2086" t="s">
        <v>979</v>
      </c>
      <c r="E2086" t="s">
        <v>980</v>
      </c>
      <c r="F2086">
        <v>1107.98</v>
      </c>
      <c r="G2086">
        <v>240103</v>
      </c>
      <c r="H2086">
        <v>4572</v>
      </c>
      <c r="I2086" t="s">
        <v>122</v>
      </c>
      <c r="J2086">
        <v>1373.89</v>
      </c>
      <c r="K2086">
        <v>265.91000000000003</v>
      </c>
      <c r="L2086">
        <v>59802</v>
      </c>
      <c r="M2086" t="s">
        <v>73</v>
      </c>
      <c r="N2086" t="str">
        <f>"315094882   "</f>
        <v xml:space="preserve">315094882   </v>
      </c>
      <c r="O2086">
        <v>240108</v>
      </c>
    </row>
    <row r="2087" spans="1:16" x14ac:dyDescent="0.25">
      <c r="A2087" t="s">
        <v>16</v>
      </c>
      <c r="B2087" t="s">
        <v>3221</v>
      </c>
      <c r="C2087">
        <v>18867</v>
      </c>
      <c r="D2087" t="s">
        <v>979</v>
      </c>
      <c r="E2087" t="s">
        <v>980</v>
      </c>
      <c r="F2087">
        <v>1069.28</v>
      </c>
      <c r="G2087">
        <v>240104</v>
      </c>
      <c r="H2087">
        <v>4572</v>
      </c>
      <c r="I2087" t="s">
        <v>122</v>
      </c>
      <c r="J2087">
        <v>1325.91</v>
      </c>
      <c r="K2087">
        <v>256.63</v>
      </c>
      <c r="L2087">
        <v>59505</v>
      </c>
      <c r="M2087" t="s">
        <v>72</v>
      </c>
      <c r="N2087" t="str">
        <f>"315127379   "</f>
        <v xml:space="preserve">315127379   </v>
      </c>
      <c r="O2087">
        <v>240108</v>
      </c>
    </row>
    <row r="2088" spans="1:16" x14ac:dyDescent="0.25">
      <c r="A2088" t="s">
        <v>16</v>
      </c>
      <c r="B2088" t="s">
        <v>3221</v>
      </c>
      <c r="C2088">
        <v>18867</v>
      </c>
      <c r="D2088" t="s">
        <v>979</v>
      </c>
      <c r="E2088" t="s">
        <v>980</v>
      </c>
      <c r="F2088">
        <v>145.81</v>
      </c>
      <c r="G2088">
        <v>240104</v>
      </c>
      <c r="H2088">
        <v>4572</v>
      </c>
      <c r="I2088" t="s">
        <v>122</v>
      </c>
      <c r="J2088">
        <v>180.81</v>
      </c>
      <c r="K2088">
        <v>35</v>
      </c>
      <c r="L2088">
        <v>59812</v>
      </c>
      <c r="M2088" t="s">
        <v>74</v>
      </c>
      <c r="N2088" t="str">
        <f>"315127379   "</f>
        <v xml:space="preserve">315127379   </v>
      </c>
      <c r="O2088">
        <v>240108</v>
      </c>
    </row>
    <row r="2089" spans="1:16" x14ac:dyDescent="0.25">
      <c r="A2089" t="s">
        <v>16</v>
      </c>
      <c r="B2089" t="s">
        <v>3221</v>
      </c>
      <c r="C2089">
        <v>18900</v>
      </c>
      <c r="D2089" t="s">
        <v>979</v>
      </c>
      <c r="E2089" t="s">
        <v>980</v>
      </c>
      <c r="F2089">
        <v>435.23</v>
      </c>
      <c r="G2089">
        <v>240103</v>
      </c>
      <c r="H2089">
        <v>4572</v>
      </c>
      <c r="I2089" t="s">
        <v>122</v>
      </c>
      <c r="J2089">
        <v>539.67999999999995</v>
      </c>
      <c r="K2089">
        <v>104.45</v>
      </c>
      <c r="L2089">
        <v>59112</v>
      </c>
      <c r="M2089" t="s">
        <v>182</v>
      </c>
      <c r="N2089" t="str">
        <f>"315119944   "</f>
        <v xml:space="preserve">315119944   </v>
      </c>
      <c r="O2089">
        <v>240108</v>
      </c>
    </row>
    <row r="2090" spans="1:16" x14ac:dyDescent="0.25">
      <c r="A2090" t="s">
        <v>16</v>
      </c>
      <c r="B2090" t="s">
        <v>3221</v>
      </c>
      <c r="C2090">
        <v>18900</v>
      </c>
      <c r="D2090" t="s">
        <v>979</v>
      </c>
      <c r="E2090" t="s">
        <v>980</v>
      </c>
      <c r="F2090">
        <v>1176.72</v>
      </c>
      <c r="G2090">
        <v>240103</v>
      </c>
      <c r="H2090">
        <v>4572</v>
      </c>
      <c r="I2090" t="s">
        <v>122</v>
      </c>
      <c r="J2090">
        <v>1459.13</v>
      </c>
      <c r="K2090">
        <v>282.41000000000003</v>
      </c>
      <c r="L2090">
        <v>59504</v>
      </c>
      <c r="M2090" t="s">
        <v>71</v>
      </c>
      <c r="N2090" t="str">
        <f>"315119944   "</f>
        <v xml:space="preserve">315119944   </v>
      </c>
      <c r="O2090">
        <v>240108</v>
      </c>
    </row>
    <row r="2091" spans="1:16" x14ac:dyDescent="0.25">
      <c r="A2091" t="s">
        <v>16</v>
      </c>
      <c r="B2091" t="s">
        <v>3221</v>
      </c>
      <c r="C2091">
        <v>18902</v>
      </c>
      <c r="D2091" t="s">
        <v>979</v>
      </c>
      <c r="E2091" t="s">
        <v>980</v>
      </c>
      <c r="F2091">
        <v>407.42</v>
      </c>
      <c r="G2091">
        <v>240103</v>
      </c>
      <c r="H2091">
        <v>4572</v>
      </c>
      <c r="I2091" t="s">
        <v>122</v>
      </c>
      <c r="J2091">
        <v>505.2</v>
      </c>
      <c r="K2091">
        <v>97.78</v>
      </c>
      <c r="L2091">
        <v>59111</v>
      </c>
      <c r="M2091" t="s">
        <v>1010</v>
      </c>
      <c r="N2091" t="str">
        <f>"315114899   "</f>
        <v xml:space="preserve">315114899   </v>
      </c>
      <c r="O2091">
        <v>240108</v>
      </c>
    </row>
    <row r="2092" spans="1:16" x14ac:dyDescent="0.25">
      <c r="A2092" t="s">
        <v>16</v>
      </c>
      <c r="B2092" t="s">
        <v>3221</v>
      </c>
      <c r="C2092">
        <v>18902</v>
      </c>
      <c r="D2092" t="s">
        <v>979</v>
      </c>
      <c r="E2092" t="s">
        <v>980</v>
      </c>
      <c r="F2092">
        <v>6382.91</v>
      </c>
      <c r="G2092">
        <v>240103</v>
      </c>
      <c r="H2092">
        <v>4572</v>
      </c>
      <c r="I2092" t="s">
        <v>122</v>
      </c>
      <c r="J2092">
        <v>7914.81</v>
      </c>
      <c r="K2092">
        <v>1531.9</v>
      </c>
      <c r="L2092">
        <v>59501</v>
      </c>
      <c r="M2092" t="s">
        <v>69</v>
      </c>
      <c r="N2092" t="str">
        <f>"315114899   "</f>
        <v xml:space="preserve">315114899   </v>
      </c>
      <c r="O2092">
        <v>240108</v>
      </c>
    </row>
    <row r="2093" spans="1:16" x14ac:dyDescent="0.25">
      <c r="A2093" t="s">
        <v>16</v>
      </c>
      <c r="B2093" t="s">
        <v>3221</v>
      </c>
      <c r="C2093">
        <v>19344</v>
      </c>
      <c r="D2093" t="s">
        <v>979</v>
      </c>
      <c r="E2093" t="s">
        <v>980</v>
      </c>
      <c r="F2093">
        <v>121.83</v>
      </c>
      <c r="G2093">
        <v>240108</v>
      </c>
      <c r="H2093">
        <v>4572</v>
      </c>
      <c r="I2093" t="s">
        <v>122</v>
      </c>
      <c r="J2093">
        <v>151.07</v>
      </c>
      <c r="K2093">
        <v>29.24</v>
      </c>
      <c r="L2093">
        <v>56571</v>
      </c>
      <c r="M2093" t="s">
        <v>204</v>
      </c>
      <c r="N2093" t="str">
        <f>"315200516   "</f>
        <v xml:space="preserve">315200516   </v>
      </c>
      <c r="O2093">
        <v>240117</v>
      </c>
    </row>
    <row r="2094" spans="1:16" x14ac:dyDescent="0.25">
      <c r="A2094" t="s">
        <v>16</v>
      </c>
      <c r="B2094" t="s">
        <v>3221</v>
      </c>
      <c r="C2094">
        <v>19346</v>
      </c>
      <c r="D2094" t="s">
        <v>979</v>
      </c>
      <c r="E2094" t="s">
        <v>980</v>
      </c>
      <c r="F2094">
        <v>113.35</v>
      </c>
      <c r="G2094">
        <v>240108</v>
      </c>
      <c r="H2094">
        <v>4572</v>
      </c>
      <c r="I2094" t="s">
        <v>122</v>
      </c>
      <c r="J2094">
        <v>140.56</v>
      </c>
      <c r="K2094">
        <v>27.21</v>
      </c>
      <c r="L2094">
        <v>56571</v>
      </c>
      <c r="M2094" t="s">
        <v>204</v>
      </c>
      <c r="N2094" t="str">
        <f>"315182429   "</f>
        <v xml:space="preserve">315182429   </v>
      </c>
      <c r="O2094">
        <v>240117</v>
      </c>
    </row>
    <row r="2095" spans="1:16" x14ac:dyDescent="0.25">
      <c r="A2095" t="s">
        <v>16</v>
      </c>
      <c r="B2095" t="s">
        <v>3221</v>
      </c>
      <c r="C2095">
        <v>3061</v>
      </c>
      <c r="D2095" t="s">
        <v>3391</v>
      </c>
      <c r="F2095">
        <v>186.49</v>
      </c>
      <c r="G2095">
        <v>230306</v>
      </c>
      <c r="H2095">
        <v>4600</v>
      </c>
      <c r="I2095" t="s">
        <v>105</v>
      </c>
      <c r="J2095">
        <v>231.25</v>
      </c>
      <c r="K2095">
        <v>44.76</v>
      </c>
      <c r="L2095">
        <v>17529</v>
      </c>
      <c r="M2095" t="s">
        <v>453</v>
      </c>
      <c r="N2095" t="str">
        <f>"114826      "</f>
        <v xml:space="preserve">114826      </v>
      </c>
      <c r="O2095">
        <v>230308</v>
      </c>
      <c r="P2095" t="s">
        <v>3060</v>
      </c>
    </row>
    <row r="2096" spans="1:16" x14ac:dyDescent="0.25">
      <c r="A2096" t="s">
        <v>16</v>
      </c>
      <c r="B2096" t="s">
        <v>3221</v>
      </c>
      <c r="C2096">
        <v>7354</v>
      </c>
      <c r="D2096" t="s">
        <v>3481</v>
      </c>
      <c r="F2096">
        <v>62.79</v>
      </c>
      <c r="G2096">
        <v>230504</v>
      </c>
      <c r="H2096">
        <v>4600</v>
      </c>
      <c r="I2096" t="s">
        <v>105</v>
      </c>
      <c r="J2096">
        <v>62.79</v>
      </c>
      <c r="K2096">
        <v>0</v>
      </c>
      <c r="L2096">
        <v>17525</v>
      </c>
      <c r="M2096" t="s">
        <v>135</v>
      </c>
      <c r="N2096" t="str">
        <f>"040523      "</f>
        <v xml:space="preserve">040523      </v>
      </c>
      <c r="O2096">
        <v>230529</v>
      </c>
      <c r="P2096" t="s">
        <v>937</v>
      </c>
    </row>
    <row r="2097" spans="1:15" x14ac:dyDescent="0.25">
      <c r="A2097" t="s">
        <v>16</v>
      </c>
      <c r="B2097" t="s">
        <v>3221</v>
      </c>
      <c r="C2097">
        <v>5400</v>
      </c>
      <c r="D2097" t="s">
        <v>1843</v>
      </c>
      <c r="E2097" t="s">
        <v>1844</v>
      </c>
      <c r="F2097">
        <v>733.28</v>
      </c>
      <c r="G2097">
        <v>230419</v>
      </c>
      <c r="H2097">
        <v>4390</v>
      </c>
      <c r="I2097" t="s">
        <v>98</v>
      </c>
      <c r="J2097">
        <v>909.27</v>
      </c>
      <c r="K2097">
        <v>175.99</v>
      </c>
      <c r="L2097">
        <v>17951</v>
      </c>
      <c r="M2097" t="s">
        <v>87</v>
      </c>
      <c r="N2097" t="str">
        <f>"4100158428  "</f>
        <v xml:space="preserve">4100158428  </v>
      </c>
      <c r="O2097">
        <v>230424</v>
      </c>
    </row>
    <row r="2098" spans="1:15" x14ac:dyDescent="0.25">
      <c r="A2098" t="s">
        <v>16</v>
      </c>
      <c r="B2098" t="s">
        <v>3221</v>
      </c>
      <c r="C2098">
        <v>117</v>
      </c>
      <c r="D2098" t="s">
        <v>167</v>
      </c>
      <c r="E2098" t="s">
        <v>168</v>
      </c>
      <c r="F2098">
        <v>80</v>
      </c>
      <c r="G2098">
        <v>221227</v>
      </c>
      <c r="H2098">
        <v>4343</v>
      </c>
      <c r="I2098" t="s">
        <v>91</v>
      </c>
      <c r="J2098">
        <v>99.2</v>
      </c>
      <c r="K2098">
        <v>19.2</v>
      </c>
      <c r="L2098">
        <v>59814</v>
      </c>
      <c r="M2098" t="s">
        <v>169</v>
      </c>
      <c r="N2098" t="str">
        <f>"288         "</f>
        <v xml:space="preserve">288         </v>
      </c>
      <c r="O2098">
        <v>230112</v>
      </c>
    </row>
    <row r="2099" spans="1:15" x14ac:dyDescent="0.25">
      <c r="A2099" t="s">
        <v>16</v>
      </c>
      <c r="B2099" t="s">
        <v>3221</v>
      </c>
      <c r="C2099">
        <v>118</v>
      </c>
      <c r="D2099" t="s">
        <v>167</v>
      </c>
      <c r="E2099" t="s">
        <v>168</v>
      </c>
      <c r="F2099">
        <v>40</v>
      </c>
      <c r="G2099">
        <v>221227</v>
      </c>
      <c r="H2099">
        <v>4343</v>
      </c>
      <c r="I2099" t="s">
        <v>91</v>
      </c>
      <c r="J2099">
        <v>49.6</v>
      </c>
      <c r="K2099">
        <v>9.6</v>
      </c>
      <c r="L2099">
        <v>59802</v>
      </c>
      <c r="M2099" t="s">
        <v>73</v>
      </c>
      <c r="N2099" t="str">
        <f>"284         "</f>
        <v xml:space="preserve">284         </v>
      </c>
      <c r="O2099">
        <v>230112</v>
      </c>
    </row>
    <row r="2100" spans="1:15" x14ac:dyDescent="0.25">
      <c r="A2100" t="s">
        <v>16</v>
      </c>
      <c r="B2100" t="s">
        <v>3221</v>
      </c>
      <c r="C2100">
        <v>119</v>
      </c>
      <c r="D2100" t="s">
        <v>167</v>
      </c>
      <c r="E2100" t="s">
        <v>168</v>
      </c>
      <c r="F2100">
        <v>80</v>
      </c>
      <c r="G2100">
        <v>221227</v>
      </c>
      <c r="H2100">
        <v>4343</v>
      </c>
      <c r="I2100" t="s">
        <v>91</v>
      </c>
      <c r="J2100">
        <v>99.2</v>
      </c>
      <c r="K2100">
        <v>19.2</v>
      </c>
      <c r="L2100">
        <v>59806</v>
      </c>
      <c r="M2100" t="s">
        <v>170</v>
      </c>
      <c r="N2100" t="str">
        <f>"294         "</f>
        <v xml:space="preserve">294         </v>
      </c>
      <c r="O2100">
        <v>230112</v>
      </c>
    </row>
    <row r="2101" spans="1:15" x14ac:dyDescent="0.25">
      <c r="A2101" t="s">
        <v>16</v>
      </c>
      <c r="B2101" t="s">
        <v>3221</v>
      </c>
      <c r="C2101">
        <v>120</v>
      </c>
      <c r="D2101" t="s">
        <v>167</v>
      </c>
      <c r="E2101" t="s">
        <v>168</v>
      </c>
      <c r="F2101">
        <v>40</v>
      </c>
      <c r="G2101">
        <v>221227</v>
      </c>
      <c r="H2101">
        <v>4343</v>
      </c>
      <c r="I2101" t="s">
        <v>91</v>
      </c>
      <c r="J2101">
        <v>49.6</v>
      </c>
      <c r="K2101">
        <v>9.6</v>
      </c>
      <c r="L2101">
        <v>59811</v>
      </c>
      <c r="M2101" t="s">
        <v>171</v>
      </c>
      <c r="N2101" t="str">
        <f>"286         "</f>
        <v xml:space="preserve">286         </v>
      </c>
      <c r="O2101">
        <v>230112</v>
      </c>
    </row>
    <row r="2102" spans="1:15" x14ac:dyDescent="0.25">
      <c r="A2102" t="s">
        <v>16</v>
      </c>
      <c r="B2102" t="s">
        <v>3221</v>
      </c>
      <c r="C2102">
        <v>126</v>
      </c>
      <c r="D2102" t="s">
        <v>167</v>
      </c>
      <c r="E2102" t="s">
        <v>168</v>
      </c>
      <c r="F2102">
        <v>200</v>
      </c>
      <c r="G2102">
        <v>221227</v>
      </c>
      <c r="H2102">
        <v>4343</v>
      </c>
      <c r="I2102" t="s">
        <v>91</v>
      </c>
      <c r="J2102">
        <v>248</v>
      </c>
      <c r="K2102">
        <v>48</v>
      </c>
      <c r="L2102">
        <v>69501</v>
      </c>
      <c r="M2102" t="s">
        <v>185</v>
      </c>
      <c r="N2102" t="str">
        <f>"290         "</f>
        <v xml:space="preserve">290         </v>
      </c>
      <c r="O2102">
        <v>230112</v>
      </c>
    </row>
    <row r="2103" spans="1:15" x14ac:dyDescent="0.25">
      <c r="A2103" t="s">
        <v>16</v>
      </c>
      <c r="B2103" t="s">
        <v>3221</v>
      </c>
      <c r="C2103">
        <v>147</v>
      </c>
      <c r="D2103" t="s">
        <v>167</v>
      </c>
      <c r="E2103" t="s">
        <v>168</v>
      </c>
      <c r="F2103">
        <v>17.600000000000001</v>
      </c>
      <c r="G2103">
        <v>221227</v>
      </c>
      <c r="H2103">
        <v>4343</v>
      </c>
      <c r="I2103" t="s">
        <v>91</v>
      </c>
      <c r="J2103">
        <v>21.82</v>
      </c>
      <c r="K2103">
        <v>4.22</v>
      </c>
      <c r="L2103">
        <v>13540</v>
      </c>
      <c r="M2103" t="s">
        <v>85</v>
      </c>
      <c r="N2103" t="str">
        <f>"292         "</f>
        <v xml:space="preserve">292         </v>
      </c>
      <c r="O2103">
        <v>230113</v>
      </c>
    </row>
    <row r="2104" spans="1:15" x14ac:dyDescent="0.25">
      <c r="A2104" t="s">
        <v>16</v>
      </c>
      <c r="B2104" t="s">
        <v>3221</v>
      </c>
      <c r="C2104">
        <v>147</v>
      </c>
      <c r="D2104" t="s">
        <v>167</v>
      </c>
      <c r="E2104" t="s">
        <v>168</v>
      </c>
      <c r="F2104">
        <v>142.4</v>
      </c>
      <c r="G2104">
        <v>221227</v>
      </c>
      <c r="H2104">
        <v>4343</v>
      </c>
      <c r="I2104" t="s">
        <v>91</v>
      </c>
      <c r="J2104">
        <v>176.58</v>
      </c>
      <c r="K2104">
        <v>34.18</v>
      </c>
      <c r="L2104">
        <v>17981</v>
      </c>
      <c r="M2104" t="s">
        <v>218</v>
      </c>
      <c r="N2104" t="str">
        <f>"292         "</f>
        <v xml:space="preserve">292         </v>
      </c>
      <c r="O2104">
        <v>230113</v>
      </c>
    </row>
    <row r="2105" spans="1:15" x14ac:dyDescent="0.25">
      <c r="A2105" t="s">
        <v>16</v>
      </c>
      <c r="B2105" t="s">
        <v>3221</v>
      </c>
      <c r="C2105">
        <v>3615</v>
      </c>
      <c r="D2105" t="s">
        <v>167</v>
      </c>
      <c r="E2105" t="s">
        <v>168</v>
      </c>
      <c r="F2105">
        <v>1253.23</v>
      </c>
      <c r="G2105">
        <v>230313</v>
      </c>
      <c r="H2105">
        <v>4580</v>
      </c>
      <c r="I2105" t="s">
        <v>35</v>
      </c>
      <c r="J2105">
        <v>1554</v>
      </c>
      <c r="K2105">
        <v>300.77</v>
      </c>
      <c r="L2105">
        <v>17951</v>
      </c>
      <c r="M2105" t="s">
        <v>87</v>
      </c>
      <c r="N2105" t="str">
        <f>"338         "</f>
        <v xml:space="preserve">338         </v>
      </c>
      <c r="O2105">
        <v>230317</v>
      </c>
    </row>
    <row r="2106" spans="1:15" x14ac:dyDescent="0.25">
      <c r="A2106" t="s">
        <v>16</v>
      </c>
      <c r="B2106" t="s">
        <v>3221</v>
      </c>
      <c r="C2106">
        <v>17653</v>
      </c>
      <c r="D2106" t="s">
        <v>167</v>
      </c>
      <c r="E2106" t="s">
        <v>168</v>
      </c>
      <c r="F2106">
        <v>262.10000000000002</v>
      </c>
      <c r="G2106">
        <v>231208</v>
      </c>
      <c r="H2106">
        <v>4840</v>
      </c>
      <c r="I2106" t="s">
        <v>19</v>
      </c>
      <c r="J2106">
        <v>325</v>
      </c>
      <c r="K2106">
        <v>62.9</v>
      </c>
      <c r="L2106">
        <v>69801</v>
      </c>
      <c r="M2106" t="s">
        <v>1735</v>
      </c>
      <c r="N2106" t="str">
        <f>"463         "</f>
        <v xml:space="preserve">463         </v>
      </c>
      <c r="O2106">
        <v>231218</v>
      </c>
    </row>
    <row r="2107" spans="1:15" x14ac:dyDescent="0.25">
      <c r="A2107" t="s">
        <v>16</v>
      </c>
      <c r="B2107" t="s">
        <v>3221</v>
      </c>
      <c r="C2107">
        <v>19147</v>
      </c>
      <c r="D2107" t="s">
        <v>874</v>
      </c>
      <c r="E2107" t="s">
        <v>875</v>
      </c>
      <c r="F2107">
        <v>256.25</v>
      </c>
      <c r="G2107">
        <v>240109</v>
      </c>
      <c r="H2107">
        <v>4400</v>
      </c>
      <c r="I2107" t="s">
        <v>348</v>
      </c>
      <c r="J2107">
        <v>317.75</v>
      </c>
      <c r="K2107">
        <v>61.5</v>
      </c>
      <c r="L2107">
        <v>56564</v>
      </c>
      <c r="M2107" t="s">
        <v>327</v>
      </c>
      <c r="N2107" t="str">
        <f>"6024010031  "</f>
        <v xml:space="preserve">6024010031  </v>
      </c>
      <c r="O2107">
        <v>240111</v>
      </c>
    </row>
    <row r="2108" spans="1:15" x14ac:dyDescent="0.25">
      <c r="A2108" t="s">
        <v>16</v>
      </c>
      <c r="B2108" t="s">
        <v>3221</v>
      </c>
      <c r="C2108">
        <v>1174</v>
      </c>
      <c r="D2108" t="s">
        <v>874</v>
      </c>
      <c r="E2108" t="s">
        <v>875</v>
      </c>
      <c r="F2108">
        <v>247.5</v>
      </c>
      <c r="G2108">
        <v>230202</v>
      </c>
      <c r="H2108">
        <v>4420</v>
      </c>
      <c r="I2108" t="s">
        <v>132</v>
      </c>
      <c r="J2108">
        <v>306.89999999999998</v>
      </c>
      <c r="K2108">
        <v>59.4</v>
      </c>
      <c r="L2108">
        <v>59504</v>
      </c>
      <c r="M2108" t="s">
        <v>71</v>
      </c>
      <c r="N2108" t="str">
        <f>"6023020007  "</f>
        <v xml:space="preserve">6023020007  </v>
      </c>
      <c r="O2108">
        <v>230206</v>
      </c>
    </row>
    <row r="2109" spans="1:15" x14ac:dyDescent="0.25">
      <c r="A2109" t="s">
        <v>16</v>
      </c>
      <c r="B2109" t="s">
        <v>3221</v>
      </c>
      <c r="C2109">
        <v>1085</v>
      </c>
      <c r="D2109" t="s">
        <v>874</v>
      </c>
      <c r="E2109" t="s">
        <v>875</v>
      </c>
      <c r="F2109">
        <v>332.31</v>
      </c>
      <c r="G2109">
        <v>230130</v>
      </c>
      <c r="H2109">
        <v>4600</v>
      </c>
      <c r="I2109" t="s">
        <v>105</v>
      </c>
      <c r="J2109">
        <v>412.06</v>
      </c>
      <c r="K2109">
        <v>79.75</v>
      </c>
      <c r="L2109">
        <v>59501</v>
      </c>
      <c r="M2109" t="s">
        <v>69</v>
      </c>
      <c r="N2109" t="str">
        <f>"6023010065  "</f>
        <v xml:space="preserve">6023010065  </v>
      </c>
      <c r="O2109">
        <v>230203</v>
      </c>
    </row>
    <row r="2110" spans="1:15" x14ac:dyDescent="0.25">
      <c r="A2110" t="s">
        <v>16</v>
      </c>
      <c r="B2110" t="s">
        <v>3221</v>
      </c>
      <c r="C2110">
        <v>2730</v>
      </c>
      <c r="D2110" t="s">
        <v>874</v>
      </c>
      <c r="E2110" t="s">
        <v>875</v>
      </c>
      <c r="F2110">
        <v>310.85000000000002</v>
      </c>
      <c r="G2110">
        <v>230227</v>
      </c>
      <c r="H2110">
        <v>4600</v>
      </c>
      <c r="I2110" t="s">
        <v>105</v>
      </c>
      <c r="J2110">
        <v>385.45</v>
      </c>
      <c r="K2110">
        <v>74.599999999999994</v>
      </c>
      <c r="L2110">
        <v>59505</v>
      </c>
      <c r="M2110" t="s">
        <v>72</v>
      </c>
      <c r="N2110" t="str">
        <f>"6023020045  "</f>
        <v xml:space="preserve">6023020045  </v>
      </c>
      <c r="O2110">
        <v>230307</v>
      </c>
    </row>
    <row r="2111" spans="1:15" x14ac:dyDescent="0.25">
      <c r="A2111" t="s">
        <v>16</v>
      </c>
      <c r="B2111" t="s">
        <v>3221</v>
      </c>
      <c r="C2111">
        <v>10706</v>
      </c>
      <c r="D2111" t="s">
        <v>874</v>
      </c>
      <c r="E2111" t="s">
        <v>875</v>
      </c>
      <c r="F2111">
        <v>541.45000000000005</v>
      </c>
      <c r="G2111">
        <v>230821</v>
      </c>
      <c r="H2111">
        <v>4600</v>
      </c>
      <c r="I2111" t="s">
        <v>105</v>
      </c>
      <c r="J2111">
        <v>671.4</v>
      </c>
      <c r="K2111">
        <v>129.94999999999999</v>
      </c>
      <c r="L2111">
        <v>59504</v>
      </c>
      <c r="M2111" t="s">
        <v>71</v>
      </c>
      <c r="N2111" t="str">
        <f>"6023080068  "</f>
        <v xml:space="preserve">6023080068  </v>
      </c>
      <c r="O2111">
        <v>230822</v>
      </c>
    </row>
    <row r="2112" spans="1:15" x14ac:dyDescent="0.25">
      <c r="A2112" t="s">
        <v>16</v>
      </c>
      <c r="B2112" t="s">
        <v>3221</v>
      </c>
      <c r="C2112">
        <v>19276</v>
      </c>
      <c r="D2112" t="s">
        <v>874</v>
      </c>
      <c r="E2112" t="s">
        <v>875</v>
      </c>
      <c r="F2112">
        <v>261.11</v>
      </c>
      <c r="G2112">
        <v>231211</v>
      </c>
      <c r="H2112">
        <v>4600</v>
      </c>
      <c r="I2112" t="s">
        <v>105</v>
      </c>
      <c r="J2112">
        <v>323.77999999999997</v>
      </c>
      <c r="K2112">
        <v>62.67</v>
      </c>
      <c r="L2112">
        <v>59501</v>
      </c>
      <c r="M2112" t="s">
        <v>69</v>
      </c>
      <c r="N2112" t="str">
        <f>"6023120039  "</f>
        <v xml:space="preserve">6023120039  </v>
      </c>
      <c r="O2112">
        <v>240116</v>
      </c>
    </row>
    <row r="2113" spans="1:15" x14ac:dyDescent="0.25">
      <c r="A2113" t="s">
        <v>16</v>
      </c>
      <c r="B2113" t="s">
        <v>3221</v>
      </c>
      <c r="C2113">
        <v>1295</v>
      </c>
      <c r="D2113" t="s">
        <v>874</v>
      </c>
      <c r="E2113" t="s">
        <v>875</v>
      </c>
      <c r="F2113">
        <v>150</v>
      </c>
      <c r="G2113">
        <v>230202</v>
      </c>
      <c r="H2113">
        <v>4380</v>
      </c>
      <c r="I2113" t="s">
        <v>113</v>
      </c>
      <c r="J2113">
        <v>186</v>
      </c>
      <c r="K2113">
        <v>36</v>
      </c>
      <c r="L2113">
        <v>56564</v>
      </c>
      <c r="M2113" t="s">
        <v>327</v>
      </c>
      <c r="N2113" t="str">
        <f>"6023020008  "</f>
        <v xml:space="preserve">6023020008  </v>
      </c>
      <c r="O2113">
        <v>230207</v>
      </c>
    </row>
    <row r="2114" spans="1:15" x14ac:dyDescent="0.25">
      <c r="A2114" t="s">
        <v>16</v>
      </c>
      <c r="B2114" t="s">
        <v>3221</v>
      </c>
      <c r="C2114">
        <v>6905</v>
      </c>
      <c r="D2114" t="s">
        <v>874</v>
      </c>
      <c r="E2114" t="s">
        <v>875</v>
      </c>
      <c r="F2114">
        <v>375</v>
      </c>
      <c r="G2114">
        <v>230512</v>
      </c>
      <c r="H2114">
        <v>4380</v>
      </c>
      <c r="I2114" t="s">
        <v>113</v>
      </c>
      <c r="J2114">
        <v>465</v>
      </c>
      <c r="K2114">
        <v>90</v>
      </c>
      <c r="L2114">
        <v>56564</v>
      </c>
      <c r="M2114" t="s">
        <v>327</v>
      </c>
      <c r="N2114" t="str">
        <f>"6023050034  "</f>
        <v xml:space="preserve">6023050034  </v>
      </c>
      <c r="O2114">
        <v>230523</v>
      </c>
    </row>
    <row r="2115" spans="1:15" x14ac:dyDescent="0.25">
      <c r="A2115" t="s">
        <v>16</v>
      </c>
      <c r="B2115" t="s">
        <v>3221</v>
      </c>
      <c r="C2115">
        <v>10055</v>
      </c>
      <c r="D2115" t="s">
        <v>874</v>
      </c>
      <c r="E2115" t="s">
        <v>875</v>
      </c>
      <c r="F2115">
        <v>793.57</v>
      </c>
      <c r="G2115">
        <v>230717</v>
      </c>
      <c r="H2115">
        <v>4390</v>
      </c>
      <c r="I2115" t="s">
        <v>98</v>
      </c>
      <c r="J2115">
        <v>984.03</v>
      </c>
      <c r="K2115">
        <v>190.46</v>
      </c>
      <c r="L2115">
        <v>56564</v>
      </c>
      <c r="M2115" t="s">
        <v>327</v>
      </c>
      <c r="N2115" t="str">
        <f>"6023070064  "</f>
        <v xml:space="preserve">6023070064  </v>
      </c>
      <c r="O2115">
        <v>230808</v>
      </c>
    </row>
    <row r="2116" spans="1:15" x14ac:dyDescent="0.25">
      <c r="A2116" t="s">
        <v>16</v>
      </c>
      <c r="B2116" t="s">
        <v>3221</v>
      </c>
      <c r="C2116">
        <v>14723</v>
      </c>
      <c r="D2116" t="s">
        <v>874</v>
      </c>
      <c r="E2116" t="s">
        <v>875</v>
      </c>
      <c r="F2116">
        <v>158.06</v>
      </c>
      <c r="G2116">
        <v>231027</v>
      </c>
      <c r="H2116">
        <v>4590</v>
      </c>
      <c r="I2116" t="s">
        <v>203</v>
      </c>
      <c r="J2116">
        <v>196</v>
      </c>
      <c r="K2116">
        <v>37.94</v>
      </c>
      <c r="L2116">
        <v>56564</v>
      </c>
      <c r="M2116" t="s">
        <v>327</v>
      </c>
      <c r="N2116" t="str">
        <f>"6023100111  "</f>
        <v xml:space="preserve">6023100111  </v>
      </c>
      <c r="O2116">
        <v>231101</v>
      </c>
    </row>
    <row r="2117" spans="1:15" x14ac:dyDescent="0.25">
      <c r="A2117" t="s">
        <v>16</v>
      </c>
      <c r="B2117" t="s">
        <v>3221</v>
      </c>
      <c r="C2117">
        <v>15157</v>
      </c>
      <c r="D2117" t="s">
        <v>874</v>
      </c>
      <c r="E2117" t="s">
        <v>875</v>
      </c>
      <c r="F2117">
        <v>97.88</v>
      </c>
      <c r="G2117">
        <v>231107</v>
      </c>
      <c r="H2117">
        <v>4590</v>
      </c>
      <c r="I2117" t="s">
        <v>203</v>
      </c>
      <c r="J2117">
        <v>121.37</v>
      </c>
      <c r="K2117">
        <v>23.49</v>
      </c>
      <c r="L2117">
        <v>59112</v>
      </c>
      <c r="M2117" t="s">
        <v>182</v>
      </c>
      <c r="N2117" t="str">
        <f>"6023110032  "</f>
        <v xml:space="preserve">6023110032  </v>
      </c>
      <c r="O2117">
        <v>231109</v>
      </c>
    </row>
    <row r="2118" spans="1:15" x14ac:dyDescent="0.25">
      <c r="A2118" t="s">
        <v>16</v>
      </c>
      <c r="B2118" t="s">
        <v>3221</v>
      </c>
      <c r="C2118">
        <v>15157</v>
      </c>
      <c r="D2118" t="s">
        <v>874</v>
      </c>
      <c r="E2118" t="s">
        <v>875</v>
      </c>
      <c r="F2118">
        <v>264.63</v>
      </c>
      <c r="G2118">
        <v>231107</v>
      </c>
      <c r="H2118">
        <v>4590</v>
      </c>
      <c r="I2118" t="s">
        <v>203</v>
      </c>
      <c r="J2118">
        <v>328.14</v>
      </c>
      <c r="K2118">
        <v>63.51</v>
      </c>
      <c r="L2118">
        <v>59504</v>
      </c>
      <c r="M2118" t="s">
        <v>71</v>
      </c>
      <c r="N2118" t="str">
        <f>"6023110032  "</f>
        <v xml:space="preserve">6023110032  </v>
      </c>
      <c r="O2118">
        <v>231109</v>
      </c>
    </row>
    <row r="2119" spans="1:15" x14ac:dyDescent="0.25">
      <c r="A2119" t="s">
        <v>16</v>
      </c>
      <c r="B2119" t="s">
        <v>3221</v>
      </c>
      <c r="C2119">
        <v>981</v>
      </c>
      <c r="D2119" t="s">
        <v>816</v>
      </c>
      <c r="E2119" t="s">
        <v>817</v>
      </c>
      <c r="F2119">
        <v>2290.8200000000002</v>
      </c>
      <c r="G2119">
        <v>230127</v>
      </c>
      <c r="H2119">
        <v>4390</v>
      </c>
      <c r="I2119" t="s">
        <v>98</v>
      </c>
      <c r="J2119">
        <v>2290.8200000000002</v>
      </c>
      <c r="K2119">
        <v>0</v>
      </c>
      <c r="L2119">
        <v>59502</v>
      </c>
      <c r="M2119" t="s">
        <v>70</v>
      </c>
      <c r="N2119" t="str">
        <f>"6121701843  "</f>
        <v xml:space="preserve">6121701843  </v>
      </c>
      <c r="O2119">
        <v>230202</v>
      </c>
    </row>
    <row r="2120" spans="1:15" x14ac:dyDescent="0.25">
      <c r="A2120" t="s">
        <v>16</v>
      </c>
      <c r="B2120" t="s">
        <v>3221</v>
      </c>
      <c r="C2120">
        <v>981</v>
      </c>
      <c r="D2120" t="s">
        <v>816</v>
      </c>
      <c r="E2120" t="s">
        <v>817</v>
      </c>
      <c r="F2120">
        <v>1464.62</v>
      </c>
      <c r="G2120">
        <v>230127</v>
      </c>
      <c r="H2120">
        <v>4390</v>
      </c>
      <c r="I2120" t="s">
        <v>98</v>
      </c>
      <c r="J2120">
        <v>1464.62</v>
      </c>
      <c r="K2120">
        <v>0</v>
      </c>
      <c r="L2120">
        <v>59802</v>
      </c>
      <c r="M2120" t="s">
        <v>73</v>
      </c>
      <c r="N2120" t="str">
        <f>"6121701843  "</f>
        <v xml:space="preserve">6121701843  </v>
      </c>
      <c r="O2120">
        <v>230202</v>
      </c>
    </row>
    <row r="2121" spans="1:15" x14ac:dyDescent="0.25">
      <c r="A2121" t="s">
        <v>16</v>
      </c>
      <c r="B2121" t="s">
        <v>3221</v>
      </c>
      <c r="C2121">
        <v>7757</v>
      </c>
      <c r="D2121" t="s">
        <v>816</v>
      </c>
      <c r="E2121" t="s">
        <v>817</v>
      </c>
      <c r="F2121">
        <v>628.54999999999995</v>
      </c>
      <c r="G2121">
        <v>230529</v>
      </c>
      <c r="H2121">
        <v>4390</v>
      </c>
      <c r="I2121" t="s">
        <v>98</v>
      </c>
      <c r="J2121">
        <v>779.4</v>
      </c>
      <c r="K2121">
        <v>150.85</v>
      </c>
      <c r="L2121">
        <v>59502</v>
      </c>
      <c r="M2121" t="s">
        <v>70</v>
      </c>
      <c r="N2121" t="str">
        <f>"6121761693  "</f>
        <v xml:space="preserve">6121761693  </v>
      </c>
      <c r="O2121">
        <v>230602</v>
      </c>
    </row>
    <row r="2122" spans="1:15" x14ac:dyDescent="0.25">
      <c r="A2122" t="s">
        <v>16</v>
      </c>
      <c r="B2122" t="s">
        <v>3221</v>
      </c>
      <c r="C2122">
        <v>17604</v>
      </c>
      <c r="D2122" t="s">
        <v>816</v>
      </c>
      <c r="E2122" t="s">
        <v>817</v>
      </c>
      <c r="F2122">
        <v>520.67999999999995</v>
      </c>
      <c r="G2122">
        <v>231212</v>
      </c>
      <c r="H2122">
        <v>4390</v>
      </c>
      <c r="I2122" t="s">
        <v>98</v>
      </c>
      <c r="J2122">
        <v>520.67999999999995</v>
      </c>
      <c r="K2122">
        <v>0</v>
      </c>
      <c r="L2122">
        <v>59502</v>
      </c>
      <c r="M2122" t="s">
        <v>70</v>
      </c>
      <c r="N2122" t="str">
        <f>"6121873080  "</f>
        <v xml:space="preserve">6121873080  </v>
      </c>
      <c r="O2122">
        <v>231215</v>
      </c>
    </row>
    <row r="2123" spans="1:15" x14ac:dyDescent="0.25">
      <c r="A2123" t="s">
        <v>16</v>
      </c>
      <c r="B2123" t="s">
        <v>3221</v>
      </c>
      <c r="C2123">
        <v>17604</v>
      </c>
      <c r="D2123" t="s">
        <v>816</v>
      </c>
      <c r="E2123" t="s">
        <v>817</v>
      </c>
      <c r="F2123">
        <v>332.89</v>
      </c>
      <c r="G2123">
        <v>231212</v>
      </c>
      <c r="H2123">
        <v>4390</v>
      </c>
      <c r="I2123" t="s">
        <v>98</v>
      </c>
      <c r="J2123">
        <v>332.89</v>
      </c>
      <c r="K2123">
        <v>0</v>
      </c>
      <c r="L2123">
        <v>59802</v>
      </c>
      <c r="M2123" t="s">
        <v>73</v>
      </c>
      <c r="N2123" t="str">
        <f>"6121873080  "</f>
        <v xml:space="preserve">6121873080  </v>
      </c>
      <c r="O2123">
        <v>231215</v>
      </c>
    </row>
    <row r="2124" spans="1:15" x14ac:dyDescent="0.25">
      <c r="A2124" t="s">
        <v>16</v>
      </c>
      <c r="B2124" t="s">
        <v>3221</v>
      </c>
      <c r="C2124">
        <v>2068</v>
      </c>
      <c r="D2124" t="s">
        <v>1284</v>
      </c>
      <c r="E2124" t="s">
        <v>1285</v>
      </c>
      <c r="F2124">
        <v>3621.6</v>
      </c>
      <c r="G2124">
        <v>230217</v>
      </c>
      <c r="H2124">
        <v>4380</v>
      </c>
      <c r="I2124" t="s">
        <v>113</v>
      </c>
      <c r="J2124">
        <v>4490.78</v>
      </c>
      <c r="K2124">
        <v>869.18</v>
      </c>
      <c r="L2124">
        <v>17951</v>
      </c>
      <c r="M2124" t="s">
        <v>87</v>
      </c>
      <c r="N2124" t="str">
        <f>"10424       "</f>
        <v xml:space="preserve">10424       </v>
      </c>
      <c r="O2124">
        <v>230220</v>
      </c>
    </row>
    <row r="2125" spans="1:15" x14ac:dyDescent="0.25">
      <c r="A2125" t="s">
        <v>16</v>
      </c>
      <c r="B2125" t="s">
        <v>3221</v>
      </c>
      <c r="C2125">
        <v>7592</v>
      </c>
      <c r="D2125" t="s">
        <v>1284</v>
      </c>
      <c r="E2125" t="s">
        <v>1285</v>
      </c>
      <c r="F2125">
        <v>3320</v>
      </c>
      <c r="G2125">
        <v>230503</v>
      </c>
      <c r="H2125">
        <v>4500</v>
      </c>
      <c r="I2125" t="s">
        <v>212</v>
      </c>
      <c r="J2125">
        <v>4116.8</v>
      </c>
      <c r="K2125">
        <v>796.8</v>
      </c>
      <c r="L2125">
        <v>14432</v>
      </c>
      <c r="M2125" t="s">
        <v>862</v>
      </c>
      <c r="N2125" t="str">
        <f>"10485       "</f>
        <v xml:space="preserve">10485       </v>
      </c>
      <c r="O2125">
        <v>230601</v>
      </c>
    </row>
    <row r="2126" spans="1:15" x14ac:dyDescent="0.25">
      <c r="A2126" t="s">
        <v>16</v>
      </c>
      <c r="B2126" t="s">
        <v>3221</v>
      </c>
      <c r="C2126">
        <v>1861</v>
      </c>
      <c r="D2126" t="s">
        <v>1223</v>
      </c>
      <c r="E2126" t="s">
        <v>1224</v>
      </c>
      <c r="F2126">
        <v>578.59</v>
      </c>
      <c r="G2126">
        <v>230214</v>
      </c>
      <c r="H2126">
        <v>4341</v>
      </c>
      <c r="I2126" t="s">
        <v>32</v>
      </c>
      <c r="J2126">
        <v>717.45</v>
      </c>
      <c r="K2126">
        <v>138.86000000000001</v>
      </c>
      <c r="L2126">
        <v>11801</v>
      </c>
      <c r="M2126" t="s">
        <v>92</v>
      </c>
      <c r="N2126" t="str">
        <f>"EU030249805 "</f>
        <v xml:space="preserve">EU030249805 </v>
      </c>
      <c r="O2126">
        <v>230215</v>
      </c>
    </row>
    <row r="2127" spans="1:15" x14ac:dyDescent="0.25">
      <c r="A2127" t="s">
        <v>16</v>
      </c>
      <c r="B2127" t="s">
        <v>3221</v>
      </c>
      <c r="C2127">
        <v>3601</v>
      </c>
      <c r="D2127" t="s">
        <v>1223</v>
      </c>
      <c r="E2127" t="s">
        <v>1224</v>
      </c>
      <c r="F2127">
        <v>2110.5100000000002</v>
      </c>
      <c r="G2127">
        <v>230314</v>
      </c>
      <c r="H2127">
        <v>4341</v>
      </c>
      <c r="I2127" t="s">
        <v>32</v>
      </c>
      <c r="J2127">
        <v>2617.0300000000002</v>
      </c>
      <c r="K2127">
        <v>506.52</v>
      </c>
      <c r="L2127">
        <v>11801</v>
      </c>
      <c r="M2127" t="s">
        <v>92</v>
      </c>
      <c r="N2127" t="str">
        <f>"EU030254188 "</f>
        <v xml:space="preserve">EU030254188 </v>
      </c>
      <c r="O2127">
        <v>230317</v>
      </c>
    </row>
    <row r="2128" spans="1:15" x14ac:dyDescent="0.25">
      <c r="A2128" t="s">
        <v>16</v>
      </c>
      <c r="B2128" t="s">
        <v>3221</v>
      </c>
      <c r="C2128">
        <v>4923</v>
      </c>
      <c r="D2128" t="s">
        <v>1223</v>
      </c>
      <c r="E2128" t="s">
        <v>1224</v>
      </c>
      <c r="F2128">
        <v>2970.21</v>
      </c>
      <c r="G2128">
        <v>230412</v>
      </c>
      <c r="H2128">
        <v>4341</v>
      </c>
      <c r="I2128" t="s">
        <v>32</v>
      </c>
      <c r="J2128">
        <v>3683.06</v>
      </c>
      <c r="K2128">
        <v>712.85</v>
      </c>
      <c r="L2128">
        <v>11801</v>
      </c>
      <c r="M2128" t="s">
        <v>92</v>
      </c>
      <c r="N2128" t="str">
        <f>"EU030258855 "</f>
        <v xml:space="preserve">EU030258855 </v>
      </c>
      <c r="O2128">
        <v>230414</v>
      </c>
    </row>
    <row r="2129" spans="1:15" x14ac:dyDescent="0.25">
      <c r="A2129" t="s">
        <v>16</v>
      </c>
      <c r="B2129" t="s">
        <v>3221</v>
      </c>
      <c r="C2129">
        <v>6253</v>
      </c>
      <c r="D2129" t="s">
        <v>1223</v>
      </c>
      <c r="E2129" t="s">
        <v>1224</v>
      </c>
      <c r="F2129">
        <v>788.14</v>
      </c>
      <c r="G2129">
        <v>230505</v>
      </c>
      <c r="H2129">
        <v>4341</v>
      </c>
      <c r="I2129" t="s">
        <v>32</v>
      </c>
      <c r="J2129">
        <v>977.29</v>
      </c>
      <c r="K2129">
        <v>189.15</v>
      </c>
      <c r="L2129">
        <v>11801</v>
      </c>
      <c r="M2129" t="s">
        <v>92</v>
      </c>
      <c r="N2129" t="str">
        <f>"EU030263101 "</f>
        <v xml:space="preserve">EU030263101 </v>
      </c>
      <c r="O2129">
        <v>230509</v>
      </c>
    </row>
    <row r="2130" spans="1:15" x14ac:dyDescent="0.25">
      <c r="A2130" t="s">
        <v>16</v>
      </c>
      <c r="B2130" t="s">
        <v>3221</v>
      </c>
      <c r="C2130">
        <v>8662</v>
      </c>
      <c r="D2130" t="s">
        <v>1223</v>
      </c>
      <c r="E2130" t="s">
        <v>1224</v>
      </c>
      <c r="F2130">
        <v>590.4</v>
      </c>
      <c r="G2130">
        <v>230608</v>
      </c>
      <c r="H2130">
        <v>4341</v>
      </c>
      <c r="I2130" t="s">
        <v>32</v>
      </c>
      <c r="J2130">
        <v>732.1</v>
      </c>
      <c r="K2130">
        <v>141.69999999999999</v>
      </c>
      <c r="L2130">
        <v>11801</v>
      </c>
      <c r="M2130" t="s">
        <v>92</v>
      </c>
      <c r="N2130" t="str">
        <f>"EU030268389 "</f>
        <v xml:space="preserve">EU030268389 </v>
      </c>
      <c r="O2130">
        <v>230613</v>
      </c>
    </row>
    <row r="2131" spans="1:15" x14ac:dyDescent="0.25">
      <c r="A2131" t="s">
        <v>16</v>
      </c>
      <c r="B2131" t="s">
        <v>3221</v>
      </c>
      <c r="C2131">
        <v>9563</v>
      </c>
      <c r="D2131" t="s">
        <v>1223</v>
      </c>
      <c r="E2131" t="s">
        <v>1224</v>
      </c>
      <c r="F2131">
        <v>793.21</v>
      </c>
      <c r="G2131">
        <v>230706</v>
      </c>
      <c r="H2131">
        <v>4341</v>
      </c>
      <c r="I2131" t="s">
        <v>32</v>
      </c>
      <c r="J2131">
        <v>983.58</v>
      </c>
      <c r="K2131">
        <v>190.37</v>
      </c>
      <c r="L2131">
        <v>11801</v>
      </c>
      <c r="M2131" t="s">
        <v>92</v>
      </c>
      <c r="N2131" t="str">
        <f>"EU030273659 "</f>
        <v xml:space="preserve">EU030273659 </v>
      </c>
      <c r="O2131">
        <v>230717</v>
      </c>
    </row>
    <row r="2132" spans="1:15" x14ac:dyDescent="0.25">
      <c r="A2132" t="s">
        <v>16</v>
      </c>
      <c r="B2132" t="s">
        <v>3221</v>
      </c>
      <c r="C2132">
        <v>10295</v>
      </c>
      <c r="D2132" t="s">
        <v>1223</v>
      </c>
      <c r="E2132" t="s">
        <v>1224</v>
      </c>
      <c r="F2132">
        <v>255.59</v>
      </c>
      <c r="G2132">
        <v>230808</v>
      </c>
      <c r="H2132">
        <v>4341</v>
      </c>
      <c r="I2132" t="s">
        <v>32</v>
      </c>
      <c r="J2132">
        <v>316.93</v>
      </c>
      <c r="K2132">
        <v>61.34</v>
      </c>
      <c r="L2132">
        <v>11801</v>
      </c>
      <c r="M2132" t="s">
        <v>92</v>
      </c>
      <c r="N2132" t="str">
        <f>"EU030277287 "</f>
        <v xml:space="preserve">EU030277287 </v>
      </c>
      <c r="O2132">
        <v>230814</v>
      </c>
    </row>
    <row r="2133" spans="1:15" x14ac:dyDescent="0.25">
      <c r="A2133" t="s">
        <v>16</v>
      </c>
      <c r="B2133" t="s">
        <v>3221</v>
      </c>
      <c r="C2133">
        <v>11860</v>
      </c>
      <c r="D2133" t="s">
        <v>1223</v>
      </c>
      <c r="E2133" t="s">
        <v>1224</v>
      </c>
      <c r="F2133">
        <v>445.69</v>
      </c>
      <c r="G2133">
        <v>230907</v>
      </c>
      <c r="H2133">
        <v>4341</v>
      </c>
      <c r="I2133" t="s">
        <v>32</v>
      </c>
      <c r="J2133">
        <v>552.66</v>
      </c>
      <c r="K2133">
        <v>106.97</v>
      </c>
      <c r="L2133">
        <v>11801</v>
      </c>
      <c r="M2133" t="s">
        <v>92</v>
      </c>
      <c r="N2133" t="str">
        <f>"EU030281603 "</f>
        <v xml:space="preserve">EU030281603 </v>
      </c>
      <c r="O2133">
        <v>230911</v>
      </c>
    </row>
    <row r="2134" spans="1:15" x14ac:dyDescent="0.25">
      <c r="A2134" t="s">
        <v>16</v>
      </c>
      <c r="B2134" t="s">
        <v>3221</v>
      </c>
      <c r="C2134">
        <v>14056</v>
      </c>
      <c r="D2134" t="s">
        <v>1223</v>
      </c>
      <c r="E2134" t="s">
        <v>1224</v>
      </c>
      <c r="F2134">
        <v>579.36</v>
      </c>
      <c r="G2134">
        <v>231013</v>
      </c>
      <c r="H2134">
        <v>4341</v>
      </c>
      <c r="I2134" t="s">
        <v>32</v>
      </c>
      <c r="J2134">
        <v>718.41</v>
      </c>
      <c r="K2134">
        <v>139.05000000000001</v>
      </c>
      <c r="L2134">
        <v>11801</v>
      </c>
      <c r="M2134" t="s">
        <v>92</v>
      </c>
      <c r="N2134" t="str">
        <f>"EU030287530 "</f>
        <v xml:space="preserve">EU030287530 </v>
      </c>
      <c r="O2134">
        <v>231018</v>
      </c>
    </row>
    <row r="2135" spans="1:15" x14ac:dyDescent="0.25">
      <c r="A2135" t="s">
        <v>16</v>
      </c>
      <c r="B2135" t="s">
        <v>3221</v>
      </c>
      <c r="C2135">
        <v>15408</v>
      </c>
      <c r="D2135" t="s">
        <v>1223</v>
      </c>
      <c r="E2135" t="s">
        <v>1224</v>
      </c>
      <c r="F2135">
        <v>3913.17</v>
      </c>
      <c r="G2135">
        <v>231108</v>
      </c>
      <c r="H2135">
        <v>4341</v>
      </c>
      <c r="I2135" t="s">
        <v>32</v>
      </c>
      <c r="J2135">
        <v>4852.33</v>
      </c>
      <c r="K2135">
        <v>939.16</v>
      </c>
      <c r="L2135">
        <v>11801</v>
      </c>
      <c r="M2135" t="s">
        <v>92</v>
      </c>
      <c r="N2135" t="str">
        <f>"EU030291231 "</f>
        <v xml:space="preserve">EU030291231 </v>
      </c>
      <c r="O2135">
        <v>231113</v>
      </c>
    </row>
    <row r="2136" spans="1:15" x14ac:dyDescent="0.25">
      <c r="A2136" t="s">
        <v>16</v>
      </c>
      <c r="B2136" t="s">
        <v>3221</v>
      </c>
      <c r="C2136">
        <v>17461</v>
      </c>
      <c r="D2136" t="s">
        <v>1223</v>
      </c>
      <c r="E2136" t="s">
        <v>1224</v>
      </c>
      <c r="F2136">
        <v>976.87</v>
      </c>
      <c r="G2136">
        <v>231207</v>
      </c>
      <c r="H2136">
        <v>4341</v>
      </c>
      <c r="I2136" t="s">
        <v>32</v>
      </c>
      <c r="J2136">
        <v>1211.32</v>
      </c>
      <c r="K2136">
        <v>234.45</v>
      </c>
      <c r="L2136">
        <v>11801</v>
      </c>
      <c r="M2136" t="s">
        <v>92</v>
      </c>
      <c r="N2136" t="str">
        <f>"EU030295509 "</f>
        <v xml:space="preserve">EU030295509 </v>
      </c>
      <c r="O2136">
        <v>231214</v>
      </c>
    </row>
    <row r="2137" spans="1:15" x14ac:dyDescent="0.25">
      <c r="A2137" t="s">
        <v>16</v>
      </c>
      <c r="B2137" t="s">
        <v>3221</v>
      </c>
      <c r="C2137">
        <v>18919</v>
      </c>
      <c r="D2137" t="s">
        <v>1223</v>
      </c>
      <c r="E2137" t="s">
        <v>1224</v>
      </c>
      <c r="F2137">
        <v>681.86</v>
      </c>
      <c r="G2137">
        <v>240105</v>
      </c>
      <c r="H2137">
        <v>4341</v>
      </c>
      <c r="I2137" t="s">
        <v>32</v>
      </c>
      <c r="J2137">
        <v>845.51</v>
      </c>
      <c r="K2137">
        <v>163.65</v>
      </c>
      <c r="L2137">
        <v>11801</v>
      </c>
      <c r="M2137" t="s">
        <v>92</v>
      </c>
      <c r="N2137" t="str">
        <f>"EU030302398 "</f>
        <v xml:space="preserve">EU030302398 </v>
      </c>
      <c r="O2137">
        <v>240108</v>
      </c>
    </row>
    <row r="2138" spans="1:15" x14ac:dyDescent="0.25">
      <c r="A2138" t="s">
        <v>16</v>
      </c>
      <c r="B2138" t="s">
        <v>3221</v>
      </c>
      <c r="C2138">
        <v>2609</v>
      </c>
      <c r="D2138" t="s">
        <v>1223</v>
      </c>
      <c r="E2138" t="s">
        <v>1224</v>
      </c>
      <c r="F2138">
        <v>537.5</v>
      </c>
      <c r="G2138">
        <v>230301</v>
      </c>
      <c r="H2138">
        <v>4343</v>
      </c>
      <c r="I2138" t="s">
        <v>91</v>
      </c>
      <c r="J2138">
        <v>666.5</v>
      </c>
      <c r="K2138">
        <v>129</v>
      </c>
      <c r="L2138">
        <v>11801</v>
      </c>
      <c r="M2138" t="s">
        <v>92</v>
      </c>
      <c r="N2138" t="str">
        <f>"EU030251658 "</f>
        <v xml:space="preserve">EU030251658 </v>
      </c>
      <c r="O2138">
        <v>230302</v>
      </c>
    </row>
    <row r="2139" spans="1:15" x14ac:dyDescent="0.25">
      <c r="A2139" t="s">
        <v>16</v>
      </c>
      <c r="B2139" t="s">
        <v>3221</v>
      </c>
      <c r="C2139">
        <v>2612</v>
      </c>
      <c r="D2139" t="s">
        <v>1223</v>
      </c>
      <c r="E2139" t="s">
        <v>1224</v>
      </c>
      <c r="F2139">
        <v>1075</v>
      </c>
      <c r="G2139">
        <v>230223</v>
      </c>
      <c r="H2139">
        <v>4343</v>
      </c>
      <c r="I2139" t="s">
        <v>91</v>
      </c>
      <c r="J2139">
        <v>1333</v>
      </c>
      <c r="K2139">
        <v>258</v>
      </c>
      <c r="L2139">
        <v>11801</v>
      </c>
      <c r="M2139" t="s">
        <v>92</v>
      </c>
      <c r="N2139" t="str">
        <f>"EU030251017 "</f>
        <v xml:space="preserve">EU030251017 </v>
      </c>
      <c r="O2139">
        <v>230302</v>
      </c>
    </row>
    <row r="2140" spans="1:15" x14ac:dyDescent="0.25">
      <c r="A2140" t="s">
        <v>16</v>
      </c>
      <c r="B2140" t="s">
        <v>3221</v>
      </c>
      <c r="C2140">
        <v>4638</v>
      </c>
      <c r="D2140" t="s">
        <v>1223</v>
      </c>
      <c r="E2140" t="s">
        <v>1224</v>
      </c>
      <c r="F2140">
        <v>537.5</v>
      </c>
      <c r="G2140">
        <v>230403</v>
      </c>
      <c r="H2140">
        <v>4343</v>
      </c>
      <c r="I2140" t="s">
        <v>91</v>
      </c>
      <c r="J2140">
        <v>666.5</v>
      </c>
      <c r="K2140">
        <v>129</v>
      </c>
      <c r="L2140">
        <v>11801</v>
      </c>
      <c r="M2140" t="s">
        <v>92</v>
      </c>
      <c r="N2140" t="str">
        <f>"EU030256251 "</f>
        <v xml:space="preserve">EU030256251 </v>
      </c>
      <c r="O2140">
        <v>230411</v>
      </c>
    </row>
    <row r="2141" spans="1:15" x14ac:dyDescent="0.25">
      <c r="A2141" t="s">
        <v>16</v>
      </c>
      <c r="B2141" t="s">
        <v>3221</v>
      </c>
      <c r="C2141">
        <v>6059</v>
      </c>
      <c r="D2141" t="s">
        <v>1223</v>
      </c>
      <c r="E2141" t="s">
        <v>1224</v>
      </c>
      <c r="F2141">
        <v>537.5</v>
      </c>
      <c r="G2141">
        <v>230502</v>
      </c>
      <c r="H2141">
        <v>4343</v>
      </c>
      <c r="I2141" t="s">
        <v>91</v>
      </c>
      <c r="J2141">
        <v>666.5</v>
      </c>
      <c r="K2141">
        <v>129</v>
      </c>
      <c r="L2141">
        <v>11801</v>
      </c>
      <c r="M2141" t="s">
        <v>92</v>
      </c>
      <c r="N2141" t="str">
        <f>"EU030261269 "</f>
        <v xml:space="preserve">EU030261269 </v>
      </c>
      <c r="O2141">
        <v>230508</v>
      </c>
    </row>
    <row r="2142" spans="1:15" x14ac:dyDescent="0.25">
      <c r="A2142" t="s">
        <v>16</v>
      </c>
      <c r="B2142" t="s">
        <v>3221</v>
      </c>
      <c r="C2142">
        <v>7888</v>
      </c>
      <c r="D2142" t="s">
        <v>1223</v>
      </c>
      <c r="E2142" t="s">
        <v>1224</v>
      </c>
      <c r="F2142">
        <v>537.5</v>
      </c>
      <c r="G2142">
        <v>230601</v>
      </c>
      <c r="H2142">
        <v>4343</v>
      </c>
      <c r="I2142" t="s">
        <v>91</v>
      </c>
      <c r="J2142">
        <v>666.5</v>
      </c>
      <c r="K2142">
        <v>129</v>
      </c>
      <c r="L2142">
        <v>11801</v>
      </c>
      <c r="M2142" t="s">
        <v>92</v>
      </c>
      <c r="N2142" t="str">
        <f>"EU030266088 "</f>
        <v xml:space="preserve">EU030266088 </v>
      </c>
      <c r="O2142">
        <v>230605</v>
      </c>
    </row>
    <row r="2143" spans="1:15" x14ac:dyDescent="0.25">
      <c r="A2143" t="s">
        <v>16</v>
      </c>
      <c r="B2143" t="s">
        <v>3221</v>
      </c>
      <c r="C2143">
        <v>9537</v>
      </c>
      <c r="D2143" t="s">
        <v>1223</v>
      </c>
      <c r="E2143" t="s">
        <v>1224</v>
      </c>
      <c r="F2143">
        <v>537.5</v>
      </c>
      <c r="G2143">
        <v>230703</v>
      </c>
      <c r="H2143">
        <v>4343</v>
      </c>
      <c r="I2143" t="s">
        <v>91</v>
      </c>
      <c r="J2143">
        <v>666.5</v>
      </c>
      <c r="K2143">
        <v>129</v>
      </c>
      <c r="L2143">
        <v>11801</v>
      </c>
      <c r="M2143" t="s">
        <v>92</v>
      </c>
      <c r="N2143" t="str">
        <f>"EU030271410 "</f>
        <v xml:space="preserve">EU030271410 </v>
      </c>
      <c r="O2143">
        <v>230717</v>
      </c>
    </row>
    <row r="2144" spans="1:15" x14ac:dyDescent="0.25">
      <c r="A2144" t="s">
        <v>16</v>
      </c>
      <c r="B2144" t="s">
        <v>3221</v>
      </c>
      <c r="C2144">
        <v>9965</v>
      </c>
      <c r="D2144" t="s">
        <v>1223</v>
      </c>
      <c r="E2144" t="s">
        <v>1224</v>
      </c>
      <c r="F2144">
        <v>537.5</v>
      </c>
      <c r="G2144">
        <v>230801</v>
      </c>
      <c r="H2144">
        <v>4343</v>
      </c>
      <c r="I2144" t="s">
        <v>91</v>
      </c>
      <c r="J2144">
        <v>666.5</v>
      </c>
      <c r="K2144">
        <v>129</v>
      </c>
      <c r="L2144">
        <v>11801</v>
      </c>
      <c r="M2144" t="s">
        <v>92</v>
      </c>
      <c r="N2144" t="str">
        <f>"EU030275597 "</f>
        <v xml:space="preserve">EU030275597 </v>
      </c>
      <c r="O2144">
        <v>230803</v>
      </c>
    </row>
    <row r="2145" spans="1:15" x14ac:dyDescent="0.25">
      <c r="A2145" t="s">
        <v>16</v>
      </c>
      <c r="B2145" t="s">
        <v>3221</v>
      </c>
      <c r="C2145">
        <v>11332</v>
      </c>
      <c r="D2145" t="s">
        <v>1223</v>
      </c>
      <c r="E2145" t="s">
        <v>1224</v>
      </c>
      <c r="F2145">
        <v>537.5</v>
      </c>
      <c r="G2145">
        <v>230901</v>
      </c>
      <c r="H2145">
        <v>4343</v>
      </c>
      <c r="I2145" t="s">
        <v>91</v>
      </c>
      <c r="J2145">
        <v>666.5</v>
      </c>
      <c r="K2145">
        <v>129</v>
      </c>
      <c r="L2145">
        <v>11801</v>
      </c>
      <c r="M2145" t="s">
        <v>92</v>
      </c>
      <c r="N2145" t="str">
        <f>"EU030279340 "</f>
        <v xml:space="preserve">EU030279340 </v>
      </c>
      <c r="O2145">
        <v>230904</v>
      </c>
    </row>
    <row r="2146" spans="1:15" x14ac:dyDescent="0.25">
      <c r="A2146" t="s">
        <v>16</v>
      </c>
      <c r="B2146" t="s">
        <v>3221</v>
      </c>
      <c r="C2146">
        <v>13502</v>
      </c>
      <c r="D2146" t="s">
        <v>1223</v>
      </c>
      <c r="E2146" t="s">
        <v>1224</v>
      </c>
      <c r="F2146">
        <v>537.5</v>
      </c>
      <c r="G2146">
        <v>231002</v>
      </c>
      <c r="H2146">
        <v>4343</v>
      </c>
      <c r="I2146" t="s">
        <v>91</v>
      </c>
      <c r="J2146">
        <v>666.5</v>
      </c>
      <c r="K2146">
        <v>129</v>
      </c>
      <c r="L2146">
        <v>11801</v>
      </c>
      <c r="M2146" t="s">
        <v>92</v>
      </c>
      <c r="N2146" t="str">
        <f>"EU030284218 "</f>
        <v xml:space="preserve">EU030284218 </v>
      </c>
      <c r="O2146">
        <v>231010</v>
      </c>
    </row>
    <row r="2147" spans="1:15" x14ac:dyDescent="0.25">
      <c r="A2147" t="s">
        <v>16</v>
      </c>
      <c r="B2147" t="s">
        <v>3221</v>
      </c>
      <c r="C2147">
        <v>14951</v>
      </c>
      <c r="D2147" t="s">
        <v>1223</v>
      </c>
      <c r="E2147" t="s">
        <v>1224</v>
      </c>
      <c r="F2147">
        <v>537.5</v>
      </c>
      <c r="G2147">
        <v>231101</v>
      </c>
      <c r="H2147">
        <v>4343</v>
      </c>
      <c r="I2147" t="s">
        <v>91</v>
      </c>
      <c r="J2147">
        <v>666.5</v>
      </c>
      <c r="K2147">
        <v>129</v>
      </c>
      <c r="L2147">
        <v>11801</v>
      </c>
      <c r="M2147" t="s">
        <v>92</v>
      </c>
      <c r="N2147" t="str">
        <f>"EU030289512 "</f>
        <v xml:space="preserve">EU030289512 </v>
      </c>
      <c r="O2147">
        <v>231107</v>
      </c>
    </row>
    <row r="2148" spans="1:15" x14ac:dyDescent="0.25">
      <c r="A2148" t="s">
        <v>16</v>
      </c>
      <c r="B2148" t="s">
        <v>3221</v>
      </c>
      <c r="C2148">
        <v>17898</v>
      </c>
      <c r="D2148" t="s">
        <v>1223</v>
      </c>
      <c r="E2148" t="s">
        <v>1224</v>
      </c>
      <c r="F2148">
        <v>176</v>
      </c>
      <c r="G2148">
        <v>231214</v>
      </c>
      <c r="H2148">
        <v>4362</v>
      </c>
      <c r="I2148" t="s">
        <v>79</v>
      </c>
      <c r="J2148">
        <v>218.24</v>
      </c>
      <c r="K2148">
        <v>42.24</v>
      </c>
      <c r="L2148">
        <v>11101</v>
      </c>
      <c r="M2148" t="s">
        <v>110</v>
      </c>
      <c r="N2148" t="str">
        <f>"EU030297488 "</f>
        <v xml:space="preserve">EU030297488 </v>
      </c>
      <c r="O2148">
        <v>231227</v>
      </c>
    </row>
    <row r="2149" spans="1:15" x14ac:dyDescent="0.25">
      <c r="A2149" t="s">
        <v>16</v>
      </c>
      <c r="B2149" t="s">
        <v>3221</v>
      </c>
      <c r="C2149">
        <v>14772</v>
      </c>
      <c r="D2149" t="s">
        <v>2798</v>
      </c>
      <c r="E2149" t="s">
        <v>2799</v>
      </c>
      <c r="F2149">
        <v>199.21</v>
      </c>
      <c r="G2149">
        <v>231024</v>
      </c>
      <c r="H2149">
        <v>4500</v>
      </c>
      <c r="I2149" t="s">
        <v>212</v>
      </c>
      <c r="J2149">
        <v>247.02</v>
      </c>
      <c r="K2149">
        <v>47.81</v>
      </c>
      <c r="L2149">
        <v>13802</v>
      </c>
      <c r="M2149" t="s">
        <v>200</v>
      </c>
      <c r="N2149" t="str">
        <f>"26711       "</f>
        <v xml:space="preserve">26711       </v>
      </c>
      <c r="O2149">
        <v>231106</v>
      </c>
    </row>
    <row r="2150" spans="1:15" x14ac:dyDescent="0.25">
      <c r="A2150" t="s">
        <v>16</v>
      </c>
      <c r="B2150" t="s">
        <v>3221</v>
      </c>
      <c r="C2150">
        <v>3449</v>
      </c>
      <c r="D2150" t="s">
        <v>1562</v>
      </c>
      <c r="E2150" t="s">
        <v>1563</v>
      </c>
      <c r="F2150">
        <v>511.3</v>
      </c>
      <c r="G2150">
        <v>230314</v>
      </c>
      <c r="H2150">
        <v>4400</v>
      </c>
      <c r="I2150" t="s">
        <v>348</v>
      </c>
      <c r="J2150">
        <v>634.01</v>
      </c>
      <c r="K2150">
        <v>122.71</v>
      </c>
      <c r="L2150">
        <v>56558</v>
      </c>
      <c r="M2150" t="s">
        <v>217</v>
      </c>
      <c r="N2150" t="str">
        <f>"3546852642  "</f>
        <v xml:space="preserve">3546852642  </v>
      </c>
      <c r="O2150">
        <v>230316</v>
      </c>
    </row>
    <row r="2151" spans="1:15" x14ac:dyDescent="0.25">
      <c r="A2151" t="s">
        <v>16</v>
      </c>
      <c r="B2151" t="s">
        <v>3221</v>
      </c>
      <c r="C2151">
        <v>10510</v>
      </c>
      <c r="D2151" t="s">
        <v>1562</v>
      </c>
      <c r="E2151" t="s">
        <v>1563</v>
      </c>
      <c r="F2151">
        <v>245.4</v>
      </c>
      <c r="G2151">
        <v>230811</v>
      </c>
      <c r="H2151">
        <v>4560</v>
      </c>
      <c r="I2151" t="s">
        <v>345</v>
      </c>
      <c r="J2151">
        <v>304.3</v>
      </c>
      <c r="K2151">
        <v>58.9</v>
      </c>
      <c r="L2151">
        <v>56558</v>
      </c>
      <c r="M2151" t="s">
        <v>217</v>
      </c>
      <c r="N2151" t="str">
        <f>"3546857509  "</f>
        <v xml:space="preserve">3546857509  </v>
      </c>
      <c r="O2151">
        <v>230817</v>
      </c>
    </row>
    <row r="2152" spans="1:15" x14ac:dyDescent="0.25">
      <c r="A2152" t="s">
        <v>16</v>
      </c>
      <c r="B2152" t="s">
        <v>3221</v>
      </c>
      <c r="C2152">
        <v>11632</v>
      </c>
      <c r="D2152" t="s">
        <v>2299</v>
      </c>
      <c r="E2152" t="s">
        <v>2300</v>
      </c>
      <c r="F2152">
        <v>79.319999999999993</v>
      </c>
      <c r="G2152">
        <v>230904</v>
      </c>
      <c r="H2152">
        <v>4343</v>
      </c>
      <c r="I2152" t="s">
        <v>91</v>
      </c>
      <c r="J2152">
        <v>98.36</v>
      </c>
      <c r="K2152">
        <v>19.04</v>
      </c>
      <c r="L2152">
        <v>16121</v>
      </c>
      <c r="M2152" t="s">
        <v>21</v>
      </c>
      <c r="N2152" t="str">
        <f>"5001623     "</f>
        <v xml:space="preserve">5001623     </v>
      </c>
      <c r="O2152">
        <v>230907</v>
      </c>
    </row>
    <row r="2153" spans="1:15" x14ac:dyDescent="0.25">
      <c r="A2153" t="s">
        <v>16</v>
      </c>
      <c r="B2153" t="s">
        <v>3221</v>
      </c>
      <c r="C2153">
        <v>11632</v>
      </c>
      <c r="D2153" t="s">
        <v>2299</v>
      </c>
      <c r="E2153" t="s">
        <v>2300</v>
      </c>
      <c r="F2153">
        <v>34.71</v>
      </c>
      <c r="G2153">
        <v>230904</v>
      </c>
      <c r="H2153">
        <v>4343</v>
      </c>
      <c r="I2153" t="s">
        <v>91</v>
      </c>
      <c r="J2153">
        <v>43.04</v>
      </c>
      <c r="K2153">
        <v>8.33</v>
      </c>
      <c r="L2153">
        <v>17538</v>
      </c>
      <c r="M2153" t="s">
        <v>24</v>
      </c>
      <c r="N2153" t="str">
        <f>"5001623     "</f>
        <v xml:space="preserve">5001623     </v>
      </c>
      <c r="O2153">
        <v>230907</v>
      </c>
    </row>
    <row r="2154" spans="1:15" x14ac:dyDescent="0.25">
      <c r="A2154" t="s">
        <v>16</v>
      </c>
      <c r="B2154" t="s">
        <v>3221</v>
      </c>
      <c r="C2154">
        <v>11632</v>
      </c>
      <c r="D2154" t="s">
        <v>2299</v>
      </c>
      <c r="E2154" t="s">
        <v>2300</v>
      </c>
      <c r="F2154">
        <v>300.05</v>
      </c>
      <c r="G2154">
        <v>230904</v>
      </c>
      <c r="H2154">
        <v>4343</v>
      </c>
      <c r="I2154" t="s">
        <v>91</v>
      </c>
      <c r="J2154">
        <v>372.06</v>
      </c>
      <c r="K2154">
        <v>72.010000000000005</v>
      </c>
      <c r="L2154">
        <v>17862</v>
      </c>
      <c r="M2154" t="s">
        <v>319</v>
      </c>
      <c r="N2154" t="str">
        <f>"5001623     "</f>
        <v xml:space="preserve">5001623     </v>
      </c>
      <c r="O2154">
        <v>230907</v>
      </c>
    </row>
    <row r="2155" spans="1:15" x14ac:dyDescent="0.25">
      <c r="A2155" t="s">
        <v>16</v>
      </c>
      <c r="B2155" t="s">
        <v>3221</v>
      </c>
      <c r="C2155">
        <v>11456</v>
      </c>
      <c r="D2155" t="s">
        <v>2299</v>
      </c>
      <c r="E2155" t="s">
        <v>2300</v>
      </c>
      <c r="F2155">
        <v>161.36000000000001</v>
      </c>
      <c r="G2155">
        <v>230901</v>
      </c>
      <c r="H2155">
        <v>4362</v>
      </c>
      <c r="I2155" t="s">
        <v>79</v>
      </c>
      <c r="J2155">
        <v>200.09</v>
      </c>
      <c r="K2155">
        <v>38.729999999999997</v>
      </c>
      <c r="L2155">
        <v>11301</v>
      </c>
      <c r="M2155" t="s">
        <v>29</v>
      </c>
      <c r="N2155" t="str">
        <f>"5001483     "</f>
        <v xml:space="preserve">5001483     </v>
      </c>
      <c r="O2155">
        <v>230905</v>
      </c>
    </row>
    <row r="2156" spans="1:15" x14ac:dyDescent="0.25">
      <c r="A2156" t="s">
        <v>16</v>
      </c>
      <c r="B2156" t="s">
        <v>3221</v>
      </c>
      <c r="C2156">
        <v>11636</v>
      </c>
      <c r="D2156" t="s">
        <v>2299</v>
      </c>
      <c r="E2156" t="s">
        <v>2300</v>
      </c>
      <c r="F2156">
        <v>1926.71</v>
      </c>
      <c r="G2156">
        <v>230904</v>
      </c>
      <c r="H2156">
        <v>4362</v>
      </c>
      <c r="I2156" t="s">
        <v>79</v>
      </c>
      <c r="J2156">
        <v>2389.12</v>
      </c>
      <c r="K2156">
        <v>462.41</v>
      </c>
      <c r="L2156">
        <v>13501</v>
      </c>
      <c r="M2156" t="s">
        <v>20</v>
      </c>
      <c r="N2156" t="str">
        <f>"5001621     "</f>
        <v xml:space="preserve">5001621     </v>
      </c>
      <c r="O2156">
        <v>230907</v>
      </c>
    </row>
    <row r="2157" spans="1:15" x14ac:dyDescent="0.25">
      <c r="A2157" t="s">
        <v>16</v>
      </c>
      <c r="B2157" t="s">
        <v>3221</v>
      </c>
      <c r="C2157">
        <v>11633</v>
      </c>
      <c r="D2157" t="s">
        <v>2299</v>
      </c>
      <c r="E2157" t="s">
        <v>2300</v>
      </c>
      <c r="F2157">
        <v>79.849999999999994</v>
      </c>
      <c r="G2157">
        <v>230901</v>
      </c>
      <c r="H2157">
        <v>4580</v>
      </c>
      <c r="I2157" t="s">
        <v>35</v>
      </c>
      <c r="J2157">
        <v>99.01</v>
      </c>
      <c r="K2157">
        <v>19.16</v>
      </c>
      <c r="L2157">
        <v>13401</v>
      </c>
      <c r="M2157" t="s">
        <v>80</v>
      </c>
      <c r="N2157" t="str">
        <f>"5001482     "</f>
        <v xml:space="preserve">5001482     </v>
      </c>
      <c r="O2157">
        <v>230907</v>
      </c>
    </row>
    <row r="2158" spans="1:15" x14ac:dyDescent="0.25">
      <c r="A2158" t="s">
        <v>16</v>
      </c>
      <c r="B2158" t="s">
        <v>3221</v>
      </c>
      <c r="C2158">
        <v>8447</v>
      </c>
      <c r="D2158" t="s">
        <v>2299</v>
      </c>
      <c r="E2158" t="s">
        <v>2300</v>
      </c>
      <c r="F2158">
        <v>108.56</v>
      </c>
      <c r="G2158">
        <v>230601</v>
      </c>
      <c r="H2158">
        <v>4840</v>
      </c>
      <c r="I2158" t="s">
        <v>19</v>
      </c>
      <c r="J2158">
        <v>134.61000000000001</v>
      </c>
      <c r="K2158">
        <v>26.05</v>
      </c>
      <c r="L2158">
        <v>11001</v>
      </c>
      <c r="M2158" t="s">
        <v>326</v>
      </c>
      <c r="N2158" t="str">
        <f>"5001172     "</f>
        <v xml:space="preserve">5001172     </v>
      </c>
      <c r="O2158">
        <v>230608</v>
      </c>
    </row>
    <row r="2159" spans="1:15" x14ac:dyDescent="0.25">
      <c r="A2159" t="s">
        <v>16</v>
      </c>
      <c r="B2159" t="s">
        <v>3221</v>
      </c>
      <c r="C2159">
        <v>8447</v>
      </c>
      <c r="D2159" t="s">
        <v>2299</v>
      </c>
      <c r="E2159" t="s">
        <v>2300</v>
      </c>
      <c r="F2159">
        <v>161.36000000000001</v>
      </c>
      <c r="G2159">
        <v>230601</v>
      </c>
      <c r="H2159">
        <v>4840</v>
      </c>
      <c r="I2159" t="s">
        <v>19</v>
      </c>
      <c r="J2159">
        <v>200.09</v>
      </c>
      <c r="K2159">
        <v>38.729999999999997</v>
      </c>
      <c r="L2159">
        <v>11301</v>
      </c>
      <c r="M2159" t="s">
        <v>29</v>
      </c>
      <c r="N2159" t="str">
        <f>"5001172     "</f>
        <v xml:space="preserve">5001172     </v>
      </c>
      <c r="O2159">
        <v>230608</v>
      </c>
    </row>
    <row r="2160" spans="1:15" x14ac:dyDescent="0.25">
      <c r="A2160" t="s">
        <v>16</v>
      </c>
      <c r="B2160" t="s">
        <v>3221</v>
      </c>
      <c r="C2160">
        <v>8447</v>
      </c>
      <c r="D2160" t="s">
        <v>2299</v>
      </c>
      <c r="E2160" t="s">
        <v>2300</v>
      </c>
      <c r="F2160">
        <v>79.849999999999994</v>
      </c>
      <c r="G2160">
        <v>230601</v>
      </c>
      <c r="H2160">
        <v>4840</v>
      </c>
      <c r="I2160" t="s">
        <v>19</v>
      </c>
      <c r="J2160">
        <v>99.01</v>
      </c>
      <c r="K2160">
        <v>19.16</v>
      </c>
      <c r="L2160">
        <v>13401</v>
      </c>
      <c r="M2160" t="s">
        <v>80</v>
      </c>
      <c r="N2160" t="str">
        <f>"5001172     "</f>
        <v xml:space="preserve">5001172     </v>
      </c>
      <c r="O2160">
        <v>230608</v>
      </c>
    </row>
    <row r="2161" spans="1:15" x14ac:dyDescent="0.25">
      <c r="A2161" t="s">
        <v>16</v>
      </c>
      <c r="B2161" t="s">
        <v>3221</v>
      </c>
      <c r="C2161">
        <v>11453</v>
      </c>
      <c r="D2161" t="s">
        <v>2299</v>
      </c>
      <c r="E2161" t="s">
        <v>2300</v>
      </c>
      <c r="F2161">
        <v>273.27</v>
      </c>
      <c r="G2161">
        <v>230904</v>
      </c>
      <c r="H2161">
        <v>4840</v>
      </c>
      <c r="I2161" t="s">
        <v>19</v>
      </c>
      <c r="J2161">
        <v>338.85</v>
      </c>
      <c r="K2161">
        <v>65.58</v>
      </c>
      <c r="L2161">
        <v>17952</v>
      </c>
      <c r="M2161" t="s">
        <v>88</v>
      </c>
      <c r="N2161" t="str">
        <f>"5001630     "</f>
        <v xml:space="preserve">5001630     </v>
      </c>
      <c r="O2161">
        <v>230905</v>
      </c>
    </row>
    <row r="2162" spans="1:15" x14ac:dyDescent="0.25">
      <c r="A2162" t="s">
        <v>16</v>
      </c>
      <c r="B2162" t="s">
        <v>3221</v>
      </c>
      <c r="C2162">
        <v>11454</v>
      </c>
      <c r="D2162" t="s">
        <v>2299</v>
      </c>
      <c r="E2162" t="s">
        <v>2300</v>
      </c>
      <c r="F2162">
        <v>108.56</v>
      </c>
      <c r="G2162">
        <v>230901</v>
      </c>
      <c r="H2162">
        <v>4840</v>
      </c>
      <c r="I2162" t="s">
        <v>19</v>
      </c>
      <c r="J2162">
        <v>134.61000000000001</v>
      </c>
      <c r="K2162">
        <v>26.05</v>
      </c>
      <c r="L2162">
        <v>11001</v>
      </c>
      <c r="M2162" t="s">
        <v>326</v>
      </c>
      <c r="N2162" t="str">
        <f>"5001481     "</f>
        <v xml:space="preserve">5001481     </v>
      </c>
      <c r="O2162">
        <v>230905</v>
      </c>
    </row>
    <row r="2163" spans="1:15" x14ac:dyDescent="0.25">
      <c r="A2163" t="s">
        <v>16</v>
      </c>
      <c r="B2163" t="s">
        <v>3221</v>
      </c>
      <c r="C2163">
        <v>11457</v>
      </c>
      <c r="D2163" t="s">
        <v>2299</v>
      </c>
      <c r="E2163" t="s">
        <v>2300</v>
      </c>
      <c r="F2163">
        <v>317.99</v>
      </c>
      <c r="G2163">
        <v>230904</v>
      </c>
      <c r="H2163">
        <v>4840</v>
      </c>
      <c r="I2163" t="s">
        <v>19</v>
      </c>
      <c r="J2163">
        <v>394.31</v>
      </c>
      <c r="K2163">
        <v>76.319999999999993</v>
      </c>
      <c r="L2163">
        <v>11301</v>
      </c>
      <c r="M2163" t="s">
        <v>29</v>
      </c>
      <c r="N2163" t="str">
        <f>"5001639     "</f>
        <v xml:space="preserve">5001639     </v>
      </c>
      <c r="O2163">
        <v>230905</v>
      </c>
    </row>
    <row r="2164" spans="1:15" x14ac:dyDescent="0.25">
      <c r="A2164" t="s">
        <v>16</v>
      </c>
      <c r="B2164" t="s">
        <v>3221</v>
      </c>
      <c r="C2164">
        <v>11459</v>
      </c>
      <c r="D2164" t="s">
        <v>2299</v>
      </c>
      <c r="E2164" t="s">
        <v>2300</v>
      </c>
      <c r="F2164">
        <v>76.11</v>
      </c>
      <c r="G2164">
        <v>230904</v>
      </c>
      <c r="H2164">
        <v>4840</v>
      </c>
      <c r="I2164" t="s">
        <v>19</v>
      </c>
      <c r="J2164">
        <v>94.38</v>
      </c>
      <c r="K2164">
        <v>18.27</v>
      </c>
      <c r="L2164">
        <v>17809</v>
      </c>
      <c r="M2164" t="s">
        <v>376</v>
      </c>
      <c r="N2164" t="str">
        <f>"5001620     "</f>
        <v xml:space="preserve">5001620     </v>
      </c>
      <c r="O2164">
        <v>230905</v>
      </c>
    </row>
    <row r="2165" spans="1:15" x14ac:dyDescent="0.25">
      <c r="A2165" t="s">
        <v>16</v>
      </c>
      <c r="B2165" t="s">
        <v>3221</v>
      </c>
      <c r="C2165">
        <v>11630</v>
      </c>
      <c r="D2165" t="s">
        <v>2299</v>
      </c>
      <c r="E2165" t="s">
        <v>2300</v>
      </c>
      <c r="F2165">
        <v>73.67</v>
      </c>
      <c r="G2165">
        <v>230904</v>
      </c>
      <c r="H2165">
        <v>4840</v>
      </c>
      <c r="I2165" t="s">
        <v>19</v>
      </c>
      <c r="J2165">
        <v>91.35</v>
      </c>
      <c r="K2165">
        <v>17.68</v>
      </c>
      <c r="L2165">
        <v>11101</v>
      </c>
      <c r="M2165" t="s">
        <v>110</v>
      </c>
      <c r="N2165" t="str">
        <f>"5001634     "</f>
        <v xml:space="preserve">5001634     </v>
      </c>
      <c r="O2165">
        <v>230907</v>
      </c>
    </row>
    <row r="2166" spans="1:15" x14ac:dyDescent="0.25">
      <c r="A2166" t="s">
        <v>16</v>
      </c>
      <c r="B2166" t="s">
        <v>3221</v>
      </c>
      <c r="C2166">
        <v>11631</v>
      </c>
      <c r="D2166" t="s">
        <v>2299</v>
      </c>
      <c r="E2166" t="s">
        <v>2300</v>
      </c>
      <c r="F2166">
        <v>66.66</v>
      </c>
      <c r="G2166">
        <v>230904</v>
      </c>
      <c r="H2166">
        <v>4840</v>
      </c>
      <c r="I2166" t="s">
        <v>19</v>
      </c>
      <c r="J2166">
        <v>82.66</v>
      </c>
      <c r="K2166">
        <v>16</v>
      </c>
      <c r="L2166">
        <v>11751</v>
      </c>
      <c r="M2166" t="s">
        <v>1339</v>
      </c>
      <c r="N2166" t="str">
        <f>"5001629     "</f>
        <v xml:space="preserve">5001629     </v>
      </c>
      <c r="O2166">
        <v>230907</v>
      </c>
    </row>
    <row r="2167" spans="1:15" x14ac:dyDescent="0.25">
      <c r="A2167" t="s">
        <v>16</v>
      </c>
      <c r="B2167" t="s">
        <v>3221</v>
      </c>
      <c r="C2167">
        <v>11634</v>
      </c>
      <c r="D2167" t="s">
        <v>2299</v>
      </c>
      <c r="E2167" t="s">
        <v>2300</v>
      </c>
      <c r="F2167">
        <v>11.27</v>
      </c>
      <c r="G2167">
        <v>230904</v>
      </c>
      <c r="H2167">
        <v>4840</v>
      </c>
      <c r="I2167" t="s">
        <v>19</v>
      </c>
      <c r="J2167">
        <v>13.97</v>
      </c>
      <c r="K2167">
        <v>2.7</v>
      </c>
      <c r="L2167">
        <v>11201</v>
      </c>
      <c r="M2167" t="s">
        <v>305</v>
      </c>
      <c r="N2167" t="str">
        <f>"5001616     "</f>
        <v xml:space="preserve">5001616     </v>
      </c>
      <c r="O2167">
        <v>230907</v>
      </c>
    </row>
    <row r="2168" spans="1:15" x14ac:dyDescent="0.25">
      <c r="A2168" t="s">
        <v>16</v>
      </c>
      <c r="B2168" t="s">
        <v>3221</v>
      </c>
      <c r="C2168">
        <v>11734</v>
      </c>
      <c r="D2168" t="s">
        <v>2299</v>
      </c>
      <c r="E2168" t="s">
        <v>2300</v>
      </c>
      <c r="F2168">
        <v>532.07000000000005</v>
      </c>
      <c r="G2168">
        <v>230905</v>
      </c>
      <c r="H2168">
        <v>4840</v>
      </c>
      <c r="I2168" t="s">
        <v>19</v>
      </c>
      <c r="J2168">
        <v>659.77</v>
      </c>
      <c r="K2168">
        <v>127.7</v>
      </c>
      <c r="L2168">
        <v>13801</v>
      </c>
      <c r="M2168" t="s">
        <v>162</v>
      </c>
      <c r="N2168" t="str">
        <f>"5001823     "</f>
        <v xml:space="preserve">5001823     </v>
      </c>
      <c r="O2168">
        <v>230908</v>
      </c>
    </row>
    <row r="2169" spans="1:15" x14ac:dyDescent="0.25">
      <c r="A2169" t="s">
        <v>16</v>
      </c>
      <c r="B2169" t="s">
        <v>3221</v>
      </c>
      <c r="C2169">
        <v>12195</v>
      </c>
      <c r="D2169" t="s">
        <v>2299</v>
      </c>
      <c r="E2169" t="s">
        <v>2300</v>
      </c>
      <c r="F2169">
        <v>105.42</v>
      </c>
      <c r="G2169">
        <v>230904</v>
      </c>
      <c r="H2169">
        <v>4840</v>
      </c>
      <c r="I2169" t="s">
        <v>19</v>
      </c>
      <c r="J2169">
        <v>130.72</v>
      </c>
      <c r="K2169">
        <v>25.3</v>
      </c>
      <c r="L2169">
        <v>61122</v>
      </c>
      <c r="M2169" t="s">
        <v>402</v>
      </c>
      <c r="N2169" t="str">
        <f t="shared" ref="N2169:N2174" si="66">"5001617     "</f>
        <v xml:space="preserve">5001617     </v>
      </c>
      <c r="O2169">
        <v>230915</v>
      </c>
    </row>
    <row r="2170" spans="1:15" x14ac:dyDescent="0.25">
      <c r="A2170" t="s">
        <v>16</v>
      </c>
      <c r="B2170" t="s">
        <v>3221</v>
      </c>
      <c r="C2170">
        <v>12195</v>
      </c>
      <c r="D2170" t="s">
        <v>2299</v>
      </c>
      <c r="E2170" t="s">
        <v>2300</v>
      </c>
      <c r="F2170">
        <v>9.91</v>
      </c>
      <c r="G2170">
        <v>230904</v>
      </c>
      <c r="H2170">
        <v>4840</v>
      </c>
      <c r="I2170" t="s">
        <v>19</v>
      </c>
      <c r="J2170">
        <v>12.29</v>
      </c>
      <c r="K2170">
        <v>2.38</v>
      </c>
      <c r="L2170">
        <v>61122</v>
      </c>
      <c r="M2170" t="s">
        <v>402</v>
      </c>
      <c r="N2170" t="str">
        <f t="shared" si="66"/>
        <v xml:space="preserve">5001617     </v>
      </c>
      <c r="O2170">
        <v>230915</v>
      </c>
    </row>
    <row r="2171" spans="1:15" x14ac:dyDescent="0.25">
      <c r="A2171" t="s">
        <v>16</v>
      </c>
      <c r="B2171" t="s">
        <v>3221</v>
      </c>
      <c r="C2171">
        <v>12195</v>
      </c>
      <c r="D2171" t="s">
        <v>2299</v>
      </c>
      <c r="E2171" t="s">
        <v>2300</v>
      </c>
      <c r="F2171">
        <v>48.23</v>
      </c>
      <c r="G2171">
        <v>230904</v>
      </c>
      <c r="H2171">
        <v>4840</v>
      </c>
      <c r="I2171" t="s">
        <v>19</v>
      </c>
      <c r="J2171">
        <v>59.81</v>
      </c>
      <c r="K2171">
        <v>11.58</v>
      </c>
      <c r="L2171">
        <v>65222</v>
      </c>
      <c r="M2171" t="s">
        <v>487</v>
      </c>
      <c r="N2171" t="str">
        <f t="shared" si="66"/>
        <v xml:space="preserve">5001617     </v>
      </c>
      <c r="O2171">
        <v>230915</v>
      </c>
    </row>
    <row r="2172" spans="1:15" x14ac:dyDescent="0.25">
      <c r="A2172" t="s">
        <v>16</v>
      </c>
      <c r="B2172" t="s">
        <v>3221</v>
      </c>
      <c r="C2172">
        <v>12195</v>
      </c>
      <c r="D2172" t="s">
        <v>2299</v>
      </c>
      <c r="E2172" t="s">
        <v>2300</v>
      </c>
      <c r="F2172">
        <v>11.29</v>
      </c>
      <c r="G2172">
        <v>230904</v>
      </c>
      <c r="H2172">
        <v>4840</v>
      </c>
      <c r="I2172" t="s">
        <v>19</v>
      </c>
      <c r="J2172">
        <v>14</v>
      </c>
      <c r="K2172">
        <v>2.71</v>
      </c>
      <c r="L2172">
        <v>69703</v>
      </c>
      <c r="M2172" t="s">
        <v>1036</v>
      </c>
      <c r="N2172" t="str">
        <f t="shared" si="66"/>
        <v xml:space="preserve">5001617     </v>
      </c>
      <c r="O2172">
        <v>230915</v>
      </c>
    </row>
    <row r="2173" spans="1:15" x14ac:dyDescent="0.25">
      <c r="A2173" t="s">
        <v>16</v>
      </c>
      <c r="B2173" t="s">
        <v>3221</v>
      </c>
      <c r="C2173">
        <v>12195</v>
      </c>
      <c r="D2173" t="s">
        <v>2299</v>
      </c>
      <c r="E2173" t="s">
        <v>2300</v>
      </c>
      <c r="F2173">
        <v>77.72</v>
      </c>
      <c r="G2173">
        <v>230904</v>
      </c>
      <c r="H2173">
        <v>4840</v>
      </c>
      <c r="I2173" t="s">
        <v>19</v>
      </c>
      <c r="J2173">
        <v>96.37</v>
      </c>
      <c r="K2173">
        <v>18.649999999999999</v>
      </c>
      <c r="L2173">
        <v>69704</v>
      </c>
      <c r="M2173" t="s">
        <v>325</v>
      </c>
      <c r="N2173" t="str">
        <f t="shared" si="66"/>
        <v xml:space="preserve">5001617     </v>
      </c>
      <c r="O2173">
        <v>230915</v>
      </c>
    </row>
    <row r="2174" spans="1:15" x14ac:dyDescent="0.25">
      <c r="A2174" t="s">
        <v>16</v>
      </c>
      <c r="B2174" t="s">
        <v>3221</v>
      </c>
      <c r="C2174">
        <v>12195</v>
      </c>
      <c r="D2174" t="s">
        <v>2299</v>
      </c>
      <c r="E2174" t="s">
        <v>2300</v>
      </c>
      <c r="F2174">
        <v>9.91</v>
      </c>
      <c r="G2174">
        <v>230904</v>
      </c>
      <c r="H2174">
        <v>4840</v>
      </c>
      <c r="I2174" t="s">
        <v>19</v>
      </c>
      <c r="J2174">
        <v>12.29</v>
      </c>
      <c r="K2174">
        <v>2.38</v>
      </c>
      <c r="L2174">
        <v>69707</v>
      </c>
      <c r="M2174" t="s">
        <v>490</v>
      </c>
      <c r="N2174" t="str">
        <f t="shared" si="66"/>
        <v xml:space="preserve">5001617     </v>
      </c>
      <c r="O2174">
        <v>230915</v>
      </c>
    </row>
    <row r="2175" spans="1:15" x14ac:dyDescent="0.25">
      <c r="A2175" t="s">
        <v>16</v>
      </c>
      <c r="B2175" t="s">
        <v>3221</v>
      </c>
      <c r="C2175">
        <v>12196</v>
      </c>
      <c r="D2175" t="s">
        <v>2299</v>
      </c>
      <c r="E2175" t="s">
        <v>2300</v>
      </c>
      <c r="F2175">
        <v>455.66</v>
      </c>
      <c r="G2175">
        <v>230904</v>
      </c>
      <c r="H2175">
        <v>4840</v>
      </c>
      <c r="I2175" t="s">
        <v>19</v>
      </c>
      <c r="J2175">
        <v>565.02</v>
      </c>
      <c r="K2175">
        <v>109.36</v>
      </c>
      <c r="L2175">
        <v>11801</v>
      </c>
      <c r="M2175" t="s">
        <v>92</v>
      </c>
      <c r="N2175" t="str">
        <f>"5001635     "</f>
        <v xml:space="preserve">5001635     </v>
      </c>
      <c r="O2175">
        <v>230915</v>
      </c>
    </row>
    <row r="2176" spans="1:15" x14ac:dyDescent="0.25">
      <c r="A2176" t="s">
        <v>16</v>
      </c>
      <c r="B2176" t="s">
        <v>3221</v>
      </c>
      <c r="C2176">
        <v>12197</v>
      </c>
      <c r="D2176" t="s">
        <v>2299</v>
      </c>
      <c r="E2176" t="s">
        <v>2300</v>
      </c>
      <c r="F2176">
        <v>289.60000000000002</v>
      </c>
      <c r="G2176">
        <v>230904</v>
      </c>
      <c r="H2176">
        <v>4840</v>
      </c>
      <c r="I2176" t="s">
        <v>19</v>
      </c>
      <c r="J2176">
        <v>359.1</v>
      </c>
      <c r="K2176">
        <v>69.5</v>
      </c>
      <c r="L2176">
        <v>14622</v>
      </c>
      <c r="M2176" t="s">
        <v>1005</v>
      </c>
      <c r="N2176" t="str">
        <f>"5001637     "</f>
        <v xml:space="preserve">5001637     </v>
      </c>
      <c r="O2176">
        <v>230915</v>
      </c>
    </row>
    <row r="2177" spans="1:15" x14ac:dyDescent="0.25">
      <c r="A2177" t="s">
        <v>16</v>
      </c>
      <c r="B2177" t="s">
        <v>3221</v>
      </c>
      <c r="C2177">
        <v>12197</v>
      </c>
      <c r="D2177" t="s">
        <v>2299</v>
      </c>
      <c r="E2177" t="s">
        <v>2300</v>
      </c>
      <c r="F2177">
        <v>16.52</v>
      </c>
      <c r="G2177">
        <v>230904</v>
      </c>
      <c r="H2177">
        <v>4840</v>
      </c>
      <c r="I2177" t="s">
        <v>19</v>
      </c>
      <c r="J2177">
        <v>20.49</v>
      </c>
      <c r="K2177">
        <v>3.97</v>
      </c>
      <c r="L2177">
        <v>14972</v>
      </c>
      <c r="M2177" t="s">
        <v>898</v>
      </c>
      <c r="N2177" t="str">
        <f>"5001637     "</f>
        <v xml:space="preserve">5001637     </v>
      </c>
      <c r="O2177">
        <v>230915</v>
      </c>
    </row>
    <row r="2178" spans="1:15" x14ac:dyDescent="0.25">
      <c r="A2178" t="s">
        <v>16</v>
      </c>
      <c r="B2178" t="s">
        <v>3221</v>
      </c>
      <c r="C2178">
        <v>12197</v>
      </c>
      <c r="D2178" t="s">
        <v>2299</v>
      </c>
      <c r="E2178" t="s">
        <v>2300</v>
      </c>
      <c r="F2178">
        <v>228.57</v>
      </c>
      <c r="G2178">
        <v>230904</v>
      </c>
      <c r="H2178">
        <v>4840</v>
      </c>
      <c r="I2178" t="s">
        <v>19</v>
      </c>
      <c r="J2178">
        <v>283.43</v>
      </c>
      <c r="K2178">
        <v>54.86</v>
      </c>
      <c r="L2178">
        <v>18972</v>
      </c>
      <c r="M2178" t="s">
        <v>163</v>
      </c>
      <c r="N2178" t="str">
        <f>"5001637     "</f>
        <v xml:space="preserve">5001637     </v>
      </c>
      <c r="O2178">
        <v>230915</v>
      </c>
    </row>
    <row r="2179" spans="1:15" x14ac:dyDescent="0.25">
      <c r="A2179" t="s">
        <v>16</v>
      </c>
      <c r="B2179" t="s">
        <v>3221</v>
      </c>
      <c r="C2179">
        <v>12198</v>
      </c>
      <c r="D2179" t="s">
        <v>2299</v>
      </c>
      <c r="E2179" t="s">
        <v>2300</v>
      </c>
      <c r="F2179">
        <v>37.42</v>
      </c>
      <c r="G2179">
        <v>230904</v>
      </c>
      <c r="H2179">
        <v>4840</v>
      </c>
      <c r="I2179" t="s">
        <v>19</v>
      </c>
      <c r="J2179">
        <v>46.4</v>
      </c>
      <c r="K2179">
        <v>8.98</v>
      </c>
      <c r="L2179">
        <v>11001</v>
      </c>
      <c r="M2179" t="s">
        <v>326</v>
      </c>
      <c r="N2179" t="str">
        <f>"5001624     "</f>
        <v xml:space="preserve">5001624     </v>
      </c>
      <c r="O2179">
        <v>230915</v>
      </c>
    </row>
    <row r="2180" spans="1:15" x14ac:dyDescent="0.25">
      <c r="A2180" t="s">
        <v>16</v>
      </c>
      <c r="B2180" t="s">
        <v>3221</v>
      </c>
      <c r="C2180">
        <v>12199</v>
      </c>
      <c r="D2180" t="s">
        <v>2299</v>
      </c>
      <c r="E2180" t="s">
        <v>2300</v>
      </c>
      <c r="F2180">
        <v>9.93</v>
      </c>
      <c r="G2180">
        <v>230905</v>
      </c>
      <c r="H2180">
        <v>4840</v>
      </c>
      <c r="I2180" t="s">
        <v>19</v>
      </c>
      <c r="J2180">
        <v>12.31</v>
      </c>
      <c r="K2180">
        <v>2.38</v>
      </c>
      <c r="L2180">
        <v>66722</v>
      </c>
      <c r="M2180" t="s">
        <v>518</v>
      </c>
      <c r="N2180" t="str">
        <f t="shared" ref="N2180:N2187" si="67">"5001820     "</f>
        <v xml:space="preserve">5001820     </v>
      </c>
      <c r="O2180">
        <v>230915</v>
      </c>
    </row>
    <row r="2181" spans="1:15" x14ac:dyDescent="0.25">
      <c r="A2181" t="s">
        <v>16</v>
      </c>
      <c r="B2181" t="s">
        <v>3221</v>
      </c>
      <c r="C2181">
        <v>12199</v>
      </c>
      <c r="D2181" t="s">
        <v>2299</v>
      </c>
      <c r="E2181" t="s">
        <v>2300</v>
      </c>
      <c r="F2181">
        <v>16.55</v>
      </c>
      <c r="G2181">
        <v>230905</v>
      </c>
      <c r="H2181">
        <v>4840</v>
      </c>
      <c r="I2181" t="s">
        <v>19</v>
      </c>
      <c r="J2181">
        <v>20.52</v>
      </c>
      <c r="K2181">
        <v>3.97</v>
      </c>
      <c r="L2181">
        <v>66754</v>
      </c>
      <c r="M2181" t="s">
        <v>239</v>
      </c>
      <c r="N2181" t="str">
        <f t="shared" si="67"/>
        <v xml:space="preserve">5001820     </v>
      </c>
      <c r="O2181">
        <v>230915</v>
      </c>
    </row>
    <row r="2182" spans="1:15" x14ac:dyDescent="0.25">
      <c r="A2182" t="s">
        <v>16</v>
      </c>
      <c r="B2182" t="s">
        <v>3221</v>
      </c>
      <c r="C2182">
        <v>12199</v>
      </c>
      <c r="D2182" t="s">
        <v>2299</v>
      </c>
      <c r="E2182" t="s">
        <v>2300</v>
      </c>
      <c r="F2182">
        <v>22.58</v>
      </c>
      <c r="G2182">
        <v>230905</v>
      </c>
      <c r="H2182">
        <v>4840</v>
      </c>
      <c r="I2182" t="s">
        <v>19</v>
      </c>
      <c r="J2182">
        <v>28</v>
      </c>
      <c r="K2182">
        <v>5.42</v>
      </c>
      <c r="L2182">
        <v>66756</v>
      </c>
      <c r="M2182" t="s">
        <v>209</v>
      </c>
      <c r="N2182" t="str">
        <f t="shared" si="67"/>
        <v xml:space="preserve">5001820     </v>
      </c>
      <c r="O2182">
        <v>230915</v>
      </c>
    </row>
    <row r="2183" spans="1:15" x14ac:dyDescent="0.25">
      <c r="A2183" t="s">
        <v>16</v>
      </c>
      <c r="B2183" t="s">
        <v>3221</v>
      </c>
      <c r="C2183">
        <v>12199</v>
      </c>
      <c r="D2183" t="s">
        <v>2299</v>
      </c>
      <c r="E2183" t="s">
        <v>2300</v>
      </c>
      <c r="F2183">
        <v>19.850000000000001</v>
      </c>
      <c r="G2183">
        <v>230905</v>
      </c>
      <c r="H2183">
        <v>4840</v>
      </c>
      <c r="I2183" t="s">
        <v>19</v>
      </c>
      <c r="J2183">
        <v>24.62</v>
      </c>
      <c r="K2183">
        <v>4.7699999999999996</v>
      </c>
      <c r="L2183">
        <v>67522</v>
      </c>
      <c r="M2183" t="s">
        <v>397</v>
      </c>
      <c r="N2183" t="str">
        <f t="shared" si="67"/>
        <v xml:space="preserve">5001820     </v>
      </c>
      <c r="O2183">
        <v>230915</v>
      </c>
    </row>
    <row r="2184" spans="1:15" x14ac:dyDescent="0.25">
      <c r="A2184" t="s">
        <v>16</v>
      </c>
      <c r="B2184" t="s">
        <v>3221</v>
      </c>
      <c r="C2184">
        <v>12199</v>
      </c>
      <c r="D2184" t="s">
        <v>2299</v>
      </c>
      <c r="E2184" t="s">
        <v>2300</v>
      </c>
      <c r="F2184">
        <v>19.850000000000001</v>
      </c>
      <c r="G2184">
        <v>230905</v>
      </c>
      <c r="H2184">
        <v>4840</v>
      </c>
      <c r="I2184" t="s">
        <v>19</v>
      </c>
      <c r="J2184">
        <v>24.62</v>
      </c>
      <c r="K2184">
        <v>4.7699999999999996</v>
      </c>
      <c r="L2184">
        <v>67522</v>
      </c>
      <c r="M2184" t="s">
        <v>397</v>
      </c>
      <c r="N2184" t="str">
        <f t="shared" si="67"/>
        <v xml:space="preserve">5001820     </v>
      </c>
      <c r="O2184">
        <v>230915</v>
      </c>
    </row>
    <row r="2185" spans="1:15" x14ac:dyDescent="0.25">
      <c r="A2185" t="s">
        <v>16</v>
      </c>
      <c r="B2185" t="s">
        <v>3221</v>
      </c>
      <c r="C2185">
        <v>12199</v>
      </c>
      <c r="D2185" t="s">
        <v>2299</v>
      </c>
      <c r="E2185" t="s">
        <v>2300</v>
      </c>
      <c r="F2185">
        <v>37.369999999999997</v>
      </c>
      <c r="G2185">
        <v>230905</v>
      </c>
      <c r="H2185">
        <v>4840</v>
      </c>
      <c r="I2185" t="s">
        <v>19</v>
      </c>
      <c r="J2185">
        <v>46.34</v>
      </c>
      <c r="K2185">
        <v>8.9700000000000006</v>
      </c>
      <c r="L2185">
        <v>69113</v>
      </c>
      <c r="M2185" t="s">
        <v>282</v>
      </c>
      <c r="N2185" t="str">
        <f t="shared" si="67"/>
        <v xml:space="preserve">5001820     </v>
      </c>
      <c r="O2185">
        <v>230915</v>
      </c>
    </row>
    <row r="2186" spans="1:15" x14ac:dyDescent="0.25">
      <c r="A2186" t="s">
        <v>16</v>
      </c>
      <c r="B2186" t="s">
        <v>3221</v>
      </c>
      <c r="C2186">
        <v>12199</v>
      </c>
      <c r="D2186" t="s">
        <v>2299</v>
      </c>
      <c r="E2186" t="s">
        <v>2300</v>
      </c>
      <c r="F2186">
        <v>3455.35</v>
      </c>
      <c r="G2186">
        <v>230905</v>
      </c>
      <c r="H2186">
        <v>4840</v>
      </c>
      <c r="I2186" t="s">
        <v>19</v>
      </c>
      <c r="J2186">
        <v>4284.63</v>
      </c>
      <c r="K2186">
        <v>829.28</v>
      </c>
      <c r="L2186">
        <v>69702</v>
      </c>
      <c r="M2186" t="s">
        <v>489</v>
      </c>
      <c r="N2186" t="str">
        <f t="shared" si="67"/>
        <v xml:space="preserve">5001820     </v>
      </c>
      <c r="O2186">
        <v>230915</v>
      </c>
    </row>
    <row r="2187" spans="1:15" x14ac:dyDescent="0.25">
      <c r="A2187" t="s">
        <v>16</v>
      </c>
      <c r="B2187" t="s">
        <v>3221</v>
      </c>
      <c r="C2187">
        <v>12199</v>
      </c>
      <c r="D2187" t="s">
        <v>2299</v>
      </c>
      <c r="E2187" t="s">
        <v>2300</v>
      </c>
      <c r="F2187">
        <v>9.93</v>
      </c>
      <c r="G2187">
        <v>230905</v>
      </c>
      <c r="H2187">
        <v>4840</v>
      </c>
      <c r="I2187" t="s">
        <v>19</v>
      </c>
      <c r="J2187">
        <v>12.31</v>
      </c>
      <c r="K2187">
        <v>2.38</v>
      </c>
      <c r="L2187">
        <v>69708</v>
      </c>
      <c r="M2187" t="s">
        <v>491</v>
      </c>
      <c r="N2187" t="str">
        <f t="shared" si="67"/>
        <v xml:space="preserve">5001820     </v>
      </c>
      <c r="O2187">
        <v>230915</v>
      </c>
    </row>
    <row r="2188" spans="1:15" x14ac:dyDescent="0.25">
      <c r="A2188" t="s">
        <v>16</v>
      </c>
      <c r="B2188" t="s">
        <v>3221</v>
      </c>
      <c r="C2188">
        <v>12200</v>
      </c>
      <c r="D2188" t="s">
        <v>2299</v>
      </c>
      <c r="E2188" t="s">
        <v>2300</v>
      </c>
      <c r="F2188">
        <v>13.44</v>
      </c>
      <c r="G2188">
        <v>230905</v>
      </c>
      <c r="H2188">
        <v>4840</v>
      </c>
      <c r="I2188" t="s">
        <v>19</v>
      </c>
      <c r="J2188">
        <v>16.670000000000002</v>
      </c>
      <c r="K2188">
        <v>3.23</v>
      </c>
      <c r="L2188">
        <v>13540</v>
      </c>
      <c r="M2188" t="s">
        <v>85</v>
      </c>
      <c r="N2188" t="str">
        <f t="shared" ref="N2188:N2199" si="68">"5001821     "</f>
        <v xml:space="preserve">5001821     </v>
      </c>
      <c r="O2188">
        <v>230915</v>
      </c>
    </row>
    <row r="2189" spans="1:15" x14ac:dyDescent="0.25">
      <c r="A2189" t="s">
        <v>16</v>
      </c>
      <c r="B2189" t="s">
        <v>3221</v>
      </c>
      <c r="C2189">
        <v>12200</v>
      </c>
      <c r="D2189" t="s">
        <v>2299</v>
      </c>
      <c r="E2189" t="s">
        <v>2300</v>
      </c>
      <c r="F2189">
        <v>7.34</v>
      </c>
      <c r="G2189">
        <v>230905</v>
      </c>
      <c r="H2189">
        <v>4840</v>
      </c>
      <c r="I2189" t="s">
        <v>19</v>
      </c>
      <c r="J2189">
        <v>9.1</v>
      </c>
      <c r="K2189">
        <v>1.76</v>
      </c>
      <c r="L2189">
        <v>13552</v>
      </c>
      <c r="M2189" t="s">
        <v>624</v>
      </c>
      <c r="N2189" t="str">
        <f t="shared" si="68"/>
        <v xml:space="preserve">5001821     </v>
      </c>
      <c r="O2189">
        <v>230915</v>
      </c>
    </row>
    <row r="2190" spans="1:15" x14ac:dyDescent="0.25">
      <c r="A2190" t="s">
        <v>16</v>
      </c>
      <c r="B2190" t="s">
        <v>3221</v>
      </c>
      <c r="C2190">
        <v>12200</v>
      </c>
      <c r="D2190" t="s">
        <v>2299</v>
      </c>
      <c r="E2190" t="s">
        <v>2300</v>
      </c>
      <c r="F2190">
        <v>177.04</v>
      </c>
      <c r="G2190">
        <v>230905</v>
      </c>
      <c r="H2190">
        <v>4840</v>
      </c>
      <c r="I2190" t="s">
        <v>19</v>
      </c>
      <c r="J2190">
        <v>219.53</v>
      </c>
      <c r="K2190">
        <v>42.49</v>
      </c>
      <c r="L2190">
        <v>16930</v>
      </c>
      <c r="M2190" t="s">
        <v>450</v>
      </c>
      <c r="N2190" t="str">
        <f t="shared" si="68"/>
        <v xml:space="preserve">5001821     </v>
      </c>
      <c r="O2190">
        <v>230915</v>
      </c>
    </row>
    <row r="2191" spans="1:15" x14ac:dyDescent="0.25">
      <c r="A2191" t="s">
        <v>16</v>
      </c>
      <c r="B2191" t="s">
        <v>3221</v>
      </c>
      <c r="C2191">
        <v>12200</v>
      </c>
      <c r="D2191" t="s">
        <v>2299</v>
      </c>
      <c r="E2191" t="s">
        <v>2300</v>
      </c>
      <c r="F2191">
        <v>66.8</v>
      </c>
      <c r="G2191">
        <v>230905</v>
      </c>
      <c r="H2191">
        <v>4840</v>
      </c>
      <c r="I2191" t="s">
        <v>19</v>
      </c>
      <c r="J2191">
        <v>82.83</v>
      </c>
      <c r="K2191">
        <v>16.03</v>
      </c>
      <c r="L2191">
        <v>17523</v>
      </c>
      <c r="M2191" t="s">
        <v>134</v>
      </c>
      <c r="N2191" t="str">
        <f t="shared" si="68"/>
        <v xml:space="preserve">5001821     </v>
      </c>
      <c r="O2191">
        <v>230915</v>
      </c>
    </row>
    <row r="2192" spans="1:15" x14ac:dyDescent="0.25">
      <c r="A2192" t="s">
        <v>16</v>
      </c>
      <c r="B2192" t="s">
        <v>3221</v>
      </c>
      <c r="C2192">
        <v>12200</v>
      </c>
      <c r="D2192" t="s">
        <v>2299</v>
      </c>
      <c r="E2192" t="s">
        <v>2300</v>
      </c>
      <c r="F2192">
        <v>65.709999999999994</v>
      </c>
      <c r="G2192">
        <v>230905</v>
      </c>
      <c r="H2192">
        <v>4840</v>
      </c>
      <c r="I2192" t="s">
        <v>19</v>
      </c>
      <c r="J2192">
        <v>81.48</v>
      </c>
      <c r="K2192">
        <v>15.77</v>
      </c>
      <c r="L2192">
        <v>17529</v>
      </c>
      <c r="M2192" t="s">
        <v>453</v>
      </c>
      <c r="N2192" t="str">
        <f t="shared" si="68"/>
        <v xml:space="preserve">5001821     </v>
      </c>
      <c r="O2192">
        <v>230915</v>
      </c>
    </row>
    <row r="2193" spans="1:15" x14ac:dyDescent="0.25">
      <c r="A2193" t="s">
        <v>16</v>
      </c>
      <c r="B2193" t="s">
        <v>3221</v>
      </c>
      <c r="C2193">
        <v>12200</v>
      </c>
      <c r="D2193" t="s">
        <v>2299</v>
      </c>
      <c r="E2193" t="s">
        <v>2300</v>
      </c>
      <c r="F2193">
        <v>5329.19</v>
      </c>
      <c r="G2193">
        <v>230905</v>
      </c>
      <c r="H2193">
        <v>4840</v>
      </c>
      <c r="I2193" t="s">
        <v>19</v>
      </c>
      <c r="J2193">
        <v>6608.2</v>
      </c>
      <c r="K2193">
        <v>1279.01</v>
      </c>
      <c r="L2193">
        <v>17530</v>
      </c>
      <c r="M2193" t="s">
        <v>454</v>
      </c>
      <c r="N2193" t="str">
        <f t="shared" si="68"/>
        <v xml:space="preserve">5001821     </v>
      </c>
      <c r="O2193">
        <v>230915</v>
      </c>
    </row>
    <row r="2194" spans="1:15" x14ac:dyDescent="0.25">
      <c r="A2194" t="s">
        <v>16</v>
      </c>
      <c r="B2194" t="s">
        <v>3221</v>
      </c>
      <c r="C2194">
        <v>12200</v>
      </c>
      <c r="D2194" t="s">
        <v>2299</v>
      </c>
      <c r="E2194" t="s">
        <v>2300</v>
      </c>
      <c r="F2194">
        <v>9.9499999999999993</v>
      </c>
      <c r="G2194">
        <v>230905</v>
      </c>
      <c r="H2194">
        <v>4840</v>
      </c>
      <c r="I2194" t="s">
        <v>19</v>
      </c>
      <c r="J2194">
        <v>12.34</v>
      </c>
      <c r="K2194">
        <v>2.39</v>
      </c>
      <c r="L2194">
        <v>17531</v>
      </c>
      <c r="M2194" t="s">
        <v>136</v>
      </c>
      <c r="N2194" t="str">
        <f t="shared" si="68"/>
        <v xml:space="preserve">5001821     </v>
      </c>
      <c r="O2194">
        <v>230915</v>
      </c>
    </row>
    <row r="2195" spans="1:15" x14ac:dyDescent="0.25">
      <c r="A2195" t="s">
        <v>16</v>
      </c>
      <c r="B2195" t="s">
        <v>3221</v>
      </c>
      <c r="C2195">
        <v>12200</v>
      </c>
      <c r="D2195" t="s">
        <v>2299</v>
      </c>
      <c r="E2195" t="s">
        <v>2300</v>
      </c>
      <c r="F2195">
        <v>75.010000000000005</v>
      </c>
      <c r="G2195">
        <v>230905</v>
      </c>
      <c r="H2195">
        <v>4840</v>
      </c>
      <c r="I2195" t="s">
        <v>19</v>
      </c>
      <c r="J2195">
        <v>93.01</v>
      </c>
      <c r="K2195">
        <v>18</v>
      </c>
      <c r="L2195">
        <v>17532</v>
      </c>
      <c r="M2195" t="s">
        <v>543</v>
      </c>
      <c r="N2195" t="str">
        <f t="shared" si="68"/>
        <v xml:space="preserve">5001821     </v>
      </c>
      <c r="O2195">
        <v>230915</v>
      </c>
    </row>
    <row r="2196" spans="1:15" x14ac:dyDescent="0.25">
      <c r="A2196" t="s">
        <v>16</v>
      </c>
      <c r="B2196" t="s">
        <v>3221</v>
      </c>
      <c r="C2196">
        <v>12200</v>
      </c>
      <c r="D2196" t="s">
        <v>2299</v>
      </c>
      <c r="E2196" t="s">
        <v>2300</v>
      </c>
      <c r="F2196">
        <v>59.4</v>
      </c>
      <c r="G2196">
        <v>230905</v>
      </c>
      <c r="H2196">
        <v>4840</v>
      </c>
      <c r="I2196" t="s">
        <v>19</v>
      </c>
      <c r="J2196">
        <v>73.650000000000006</v>
      </c>
      <c r="K2196">
        <v>14.25</v>
      </c>
      <c r="L2196">
        <v>17918</v>
      </c>
      <c r="M2196" t="s">
        <v>137</v>
      </c>
      <c r="N2196" t="str">
        <f t="shared" si="68"/>
        <v xml:space="preserve">5001821     </v>
      </c>
      <c r="O2196">
        <v>230915</v>
      </c>
    </row>
    <row r="2197" spans="1:15" x14ac:dyDescent="0.25">
      <c r="A2197" t="s">
        <v>16</v>
      </c>
      <c r="B2197" t="s">
        <v>3221</v>
      </c>
      <c r="C2197">
        <v>12200</v>
      </c>
      <c r="D2197" t="s">
        <v>2299</v>
      </c>
      <c r="E2197" t="s">
        <v>2300</v>
      </c>
      <c r="F2197">
        <v>108.73</v>
      </c>
      <c r="G2197">
        <v>230905</v>
      </c>
      <c r="H2197">
        <v>4840</v>
      </c>
      <c r="I2197" t="s">
        <v>19</v>
      </c>
      <c r="J2197">
        <v>134.83000000000001</v>
      </c>
      <c r="K2197">
        <v>26.1</v>
      </c>
      <c r="L2197">
        <v>17950</v>
      </c>
      <c r="M2197" t="s">
        <v>86</v>
      </c>
      <c r="N2197" t="str">
        <f t="shared" si="68"/>
        <v xml:space="preserve">5001821     </v>
      </c>
      <c r="O2197">
        <v>230915</v>
      </c>
    </row>
    <row r="2198" spans="1:15" x14ac:dyDescent="0.25">
      <c r="A2198" t="s">
        <v>16</v>
      </c>
      <c r="B2198" t="s">
        <v>3221</v>
      </c>
      <c r="C2198">
        <v>12200</v>
      </c>
      <c r="D2198" t="s">
        <v>2299</v>
      </c>
      <c r="E2198" t="s">
        <v>2300</v>
      </c>
      <c r="F2198">
        <v>19.899999999999999</v>
      </c>
      <c r="G2198">
        <v>230905</v>
      </c>
      <c r="H2198">
        <v>4840</v>
      </c>
      <c r="I2198" t="s">
        <v>19</v>
      </c>
      <c r="J2198">
        <v>24.68</v>
      </c>
      <c r="K2198">
        <v>4.78</v>
      </c>
      <c r="L2198">
        <v>17971</v>
      </c>
      <c r="M2198" t="s">
        <v>138</v>
      </c>
      <c r="N2198" t="str">
        <f t="shared" si="68"/>
        <v xml:space="preserve">5001821     </v>
      </c>
      <c r="O2198">
        <v>230915</v>
      </c>
    </row>
    <row r="2199" spans="1:15" x14ac:dyDescent="0.25">
      <c r="A2199" t="s">
        <v>16</v>
      </c>
      <c r="B2199" t="s">
        <v>3221</v>
      </c>
      <c r="C2199">
        <v>12200</v>
      </c>
      <c r="D2199" t="s">
        <v>2299</v>
      </c>
      <c r="E2199" t="s">
        <v>2300</v>
      </c>
      <c r="F2199">
        <v>66.73</v>
      </c>
      <c r="G2199">
        <v>230905</v>
      </c>
      <c r="H2199">
        <v>4840</v>
      </c>
      <c r="I2199" t="s">
        <v>19</v>
      </c>
      <c r="J2199">
        <v>82.75</v>
      </c>
      <c r="K2199">
        <v>16.02</v>
      </c>
      <c r="L2199">
        <v>17972</v>
      </c>
      <c r="M2199" t="s">
        <v>248</v>
      </c>
      <c r="N2199" t="str">
        <f t="shared" si="68"/>
        <v xml:space="preserve">5001821     </v>
      </c>
      <c r="O2199">
        <v>230915</v>
      </c>
    </row>
    <row r="2200" spans="1:15" x14ac:dyDescent="0.25">
      <c r="A2200" t="s">
        <v>16</v>
      </c>
      <c r="B2200" t="s">
        <v>3221</v>
      </c>
      <c r="C2200">
        <v>12201</v>
      </c>
      <c r="D2200" t="s">
        <v>2299</v>
      </c>
      <c r="E2200" t="s">
        <v>2300</v>
      </c>
      <c r="F2200">
        <v>140.13</v>
      </c>
      <c r="G2200">
        <v>230904</v>
      </c>
      <c r="H2200">
        <v>4840</v>
      </c>
      <c r="I2200" t="s">
        <v>19</v>
      </c>
      <c r="J2200">
        <v>173.76</v>
      </c>
      <c r="K2200">
        <v>33.630000000000003</v>
      </c>
      <c r="L2200">
        <v>11901</v>
      </c>
      <c r="M2200" t="s">
        <v>36</v>
      </c>
      <c r="N2200" t="str">
        <f>"5001625     "</f>
        <v xml:space="preserve">5001625     </v>
      </c>
      <c r="O2200">
        <v>230915</v>
      </c>
    </row>
    <row r="2201" spans="1:15" x14ac:dyDescent="0.25">
      <c r="A2201" t="s">
        <v>16</v>
      </c>
      <c r="B2201" t="s">
        <v>3221</v>
      </c>
      <c r="C2201">
        <v>12358</v>
      </c>
      <c r="D2201" t="s">
        <v>2299</v>
      </c>
      <c r="E2201" t="s">
        <v>2300</v>
      </c>
      <c r="F2201">
        <v>128.43</v>
      </c>
      <c r="G2201">
        <v>230904</v>
      </c>
      <c r="H2201">
        <v>4840</v>
      </c>
      <c r="I2201" t="s">
        <v>19</v>
      </c>
      <c r="J2201">
        <v>159.25</v>
      </c>
      <c r="K2201">
        <v>30.82</v>
      </c>
      <c r="L2201">
        <v>11601</v>
      </c>
      <c r="M2201" t="s">
        <v>535</v>
      </c>
      <c r="N2201" t="str">
        <f>"5001619     "</f>
        <v xml:space="preserve">5001619     </v>
      </c>
      <c r="O2201">
        <v>230918</v>
      </c>
    </row>
    <row r="2202" spans="1:15" x14ac:dyDescent="0.25">
      <c r="A2202" t="s">
        <v>16</v>
      </c>
      <c r="B2202" t="s">
        <v>3221</v>
      </c>
      <c r="C2202">
        <v>12441</v>
      </c>
      <c r="D2202" t="s">
        <v>2299</v>
      </c>
      <c r="E2202" t="s">
        <v>2300</v>
      </c>
      <c r="F2202">
        <v>2170.35</v>
      </c>
      <c r="G2202">
        <v>230905</v>
      </c>
      <c r="H2202">
        <v>4840</v>
      </c>
      <c r="I2202" t="s">
        <v>19</v>
      </c>
      <c r="J2202">
        <v>2691.23</v>
      </c>
      <c r="K2202">
        <v>520.88</v>
      </c>
      <c r="L2202">
        <v>13401</v>
      </c>
      <c r="M2202" t="s">
        <v>80</v>
      </c>
      <c r="N2202" t="str">
        <f>"5001824     "</f>
        <v xml:space="preserve">5001824     </v>
      </c>
      <c r="O2202">
        <v>230920</v>
      </c>
    </row>
    <row r="2203" spans="1:15" x14ac:dyDescent="0.25">
      <c r="A2203" t="s">
        <v>16</v>
      </c>
      <c r="B2203" t="s">
        <v>3221</v>
      </c>
      <c r="C2203">
        <v>12441</v>
      </c>
      <c r="D2203" t="s">
        <v>2299</v>
      </c>
      <c r="E2203" t="s">
        <v>2300</v>
      </c>
      <c r="F2203">
        <v>133.6</v>
      </c>
      <c r="G2203">
        <v>230905</v>
      </c>
      <c r="H2203">
        <v>4840</v>
      </c>
      <c r="I2203" t="s">
        <v>19</v>
      </c>
      <c r="J2203">
        <v>165.66</v>
      </c>
      <c r="K2203">
        <v>32.06</v>
      </c>
      <c r="L2203">
        <v>13401</v>
      </c>
      <c r="M2203" t="s">
        <v>80</v>
      </c>
      <c r="N2203" t="str">
        <f>"5001824     "</f>
        <v xml:space="preserve">5001824     </v>
      </c>
      <c r="O2203">
        <v>230920</v>
      </c>
    </row>
    <row r="2204" spans="1:15" x14ac:dyDescent="0.25">
      <c r="A2204" t="s">
        <v>16</v>
      </c>
      <c r="B2204" t="s">
        <v>3221</v>
      </c>
      <c r="C2204">
        <v>12441</v>
      </c>
      <c r="D2204" t="s">
        <v>2299</v>
      </c>
      <c r="E2204" t="s">
        <v>2300</v>
      </c>
      <c r="F2204">
        <v>55.9</v>
      </c>
      <c r="G2204">
        <v>230905</v>
      </c>
      <c r="H2204">
        <v>4840</v>
      </c>
      <c r="I2204" t="s">
        <v>19</v>
      </c>
      <c r="J2204">
        <v>69.319999999999993</v>
      </c>
      <c r="K2204">
        <v>13.42</v>
      </c>
      <c r="L2204">
        <v>13401</v>
      </c>
      <c r="M2204" t="s">
        <v>80</v>
      </c>
      <c r="N2204" t="str">
        <f>"5001824     "</f>
        <v xml:space="preserve">5001824     </v>
      </c>
      <c r="O2204">
        <v>230920</v>
      </c>
    </row>
    <row r="2205" spans="1:15" x14ac:dyDescent="0.25">
      <c r="A2205" t="s">
        <v>16</v>
      </c>
      <c r="B2205" t="s">
        <v>3221</v>
      </c>
      <c r="C2205">
        <v>12442</v>
      </c>
      <c r="D2205" t="s">
        <v>2299</v>
      </c>
      <c r="E2205" t="s">
        <v>2300</v>
      </c>
      <c r="F2205">
        <v>99.1</v>
      </c>
      <c r="G2205">
        <v>230904</v>
      </c>
      <c r="H2205">
        <v>4840</v>
      </c>
      <c r="I2205" t="s">
        <v>19</v>
      </c>
      <c r="J2205">
        <v>122.88</v>
      </c>
      <c r="K2205">
        <v>23.78</v>
      </c>
      <c r="L2205">
        <v>13601</v>
      </c>
      <c r="M2205" t="s">
        <v>147</v>
      </c>
      <c r="N2205" t="str">
        <f>"5001628     "</f>
        <v xml:space="preserve">5001628     </v>
      </c>
      <c r="O2205">
        <v>230920</v>
      </c>
    </row>
    <row r="2206" spans="1:15" x14ac:dyDescent="0.25">
      <c r="A2206" t="s">
        <v>16</v>
      </c>
      <c r="B2206" t="s">
        <v>3221</v>
      </c>
      <c r="C2206">
        <v>12442</v>
      </c>
      <c r="D2206" t="s">
        <v>2299</v>
      </c>
      <c r="E2206" t="s">
        <v>2300</v>
      </c>
      <c r="F2206">
        <v>66.53</v>
      </c>
      <c r="G2206">
        <v>230904</v>
      </c>
      <c r="H2206">
        <v>4840</v>
      </c>
      <c r="I2206" t="s">
        <v>19</v>
      </c>
      <c r="J2206">
        <v>82.5</v>
      </c>
      <c r="K2206">
        <v>15.97</v>
      </c>
      <c r="L2206">
        <v>13601</v>
      </c>
      <c r="M2206" t="s">
        <v>147</v>
      </c>
      <c r="N2206" t="str">
        <f>"5001628     "</f>
        <v xml:space="preserve">5001628     </v>
      </c>
      <c r="O2206">
        <v>230920</v>
      </c>
    </row>
    <row r="2207" spans="1:15" x14ac:dyDescent="0.25">
      <c r="A2207" t="s">
        <v>16</v>
      </c>
      <c r="B2207" t="s">
        <v>3221</v>
      </c>
      <c r="C2207">
        <v>12727</v>
      </c>
      <c r="D2207" t="s">
        <v>2299</v>
      </c>
      <c r="E2207" t="s">
        <v>2300</v>
      </c>
      <c r="F2207">
        <v>37.42</v>
      </c>
      <c r="G2207">
        <v>230904</v>
      </c>
      <c r="H2207">
        <v>4840</v>
      </c>
      <c r="I2207" t="s">
        <v>19</v>
      </c>
      <c r="J2207">
        <v>46.4</v>
      </c>
      <c r="K2207">
        <v>8.98</v>
      </c>
      <c r="L2207">
        <v>54222</v>
      </c>
      <c r="M2207" t="s">
        <v>308</v>
      </c>
      <c r="N2207" t="str">
        <f t="shared" ref="N2207:N2218" si="69">"5001638     "</f>
        <v xml:space="preserve">5001638     </v>
      </c>
      <c r="O2207">
        <v>230925</v>
      </c>
    </row>
    <row r="2208" spans="1:15" x14ac:dyDescent="0.25">
      <c r="A2208" t="s">
        <v>16</v>
      </c>
      <c r="B2208" t="s">
        <v>3221</v>
      </c>
      <c r="C2208">
        <v>12727</v>
      </c>
      <c r="D2208" t="s">
        <v>2299</v>
      </c>
      <c r="E2208" t="s">
        <v>2300</v>
      </c>
      <c r="F2208">
        <v>385.79</v>
      </c>
      <c r="G2208">
        <v>230904</v>
      </c>
      <c r="H2208">
        <v>4840</v>
      </c>
      <c r="I2208" t="s">
        <v>19</v>
      </c>
      <c r="J2208">
        <v>478.38</v>
      </c>
      <c r="K2208">
        <v>92.59</v>
      </c>
      <c r="L2208">
        <v>56558</v>
      </c>
      <c r="M2208" t="s">
        <v>217</v>
      </c>
      <c r="N2208" t="str">
        <f t="shared" si="69"/>
        <v xml:space="preserve">5001638     </v>
      </c>
      <c r="O2208">
        <v>230925</v>
      </c>
    </row>
    <row r="2209" spans="1:15" x14ac:dyDescent="0.25">
      <c r="A2209" t="s">
        <v>16</v>
      </c>
      <c r="B2209" t="s">
        <v>3221</v>
      </c>
      <c r="C2209">
        <v>12727</v>
      </c>
      <c r="D2209" t="s">
        <v>2299</v>
      </c>
      <c r="E2209" t="s">
        <v>2300</v>
      </c>
      <c r="F2209">
        <v>47.35</v>
      </c>
      <c r="G2209">
        <v>230904</v>
      </c>
      <c r="H2209">
        <v>4840</v>
      </c>
      <c r="I2209" t="s">
        <v>19</v>
      </c>
      <c r="J2209">
        <v>58.71</v>
      </c>
      <c r="K2209">
        <v>11.36</v>
      </c>
      <c r="L2209">
        <v>56559</v>
      </c>
      <c r="M2209" t="s">
        <v>129</v>
      </c>
      <c r="N2209" t="str">
        <f t="shared" si="69"/>
        <v xml:space="preserve">5001638     </v>
      </c>
      <c r="O2209">
        <v>230925</v>
      </c>
    </row>
    <row r="2210" spans="1:15" x14ac:dyDescent="0.25">
      <c r="A2210" t="s">
        <v>16</v>
      </c>
      <c r="B2210" t="s">
        <v>3221</v>
      </c>
      <c r="C2210">
        <v>12727</v>
      </c>
      <c r="D2210" t="s">
        <v>2299</v>
      </c>
      <c r="E2210" t="s">
        <v>2300</v>
      </c>
      <c r="F2210">
        <v>54.34</v>
      </c>
      <c r="G2210">
        <v>230904</v>
      </c>
      <c r="H2210">
        <v>4840</v>
      </c>
      <c r="I2210" t="s">
        <v>19</v>
      </c>
      <c r="J2210">
        <v>67.38</v>
      </c>
      <c r="K2210">
        <v>13.04</v>
      </c>
      <c r="L2210">
        <v>56560</v>
      </c>
      <c r="M2210" t="s">
        <v>654</v>
      </c>
      <c r="N2210" t="str">
        <f t="shared" si="69"/>
        <v xml:space="preserve">5001638     </v>
      </c>
      <c r="O2210">
        <v>230925</v>
      </c>
    </row>
    <row r="2211" spans="1:15" x14ac:dyDescent="0.25">
      <c r="A2211" t="s">
        <v>16</v>
      </c>
      <c r="B2211" t="s">
        <v>3221</v>
      </c>
      <c r="C2211">
        <v>12727</v>
      </c>
      <c r="D2211" t="s">
        <v>2299</v>
      </c>
      <c r="E2211" t="s">
        <v>2300</v>
      </c>
      <c r="F2211">
        <v>108.73</v>
      </c>
      <c r="G2211">
        <v>230904</v>
      </c>
      <c r="H2211">
        <v>4840</v>
      </c>
      <c r="I2211" t="s">
        <v>19</v>
      </c>
      <c r="J2211">
        <v>134.83000000000001</v>
      </c>
      <c r="K2211">
        <v>26.1</v>
      </c>
      <c r="L2211">
        <v>56562</v>
      </c>
      <c r="M2211" t="s">
        <v>126</v>
      </c>
      <c r="N2211" t="str">
        <f t="shared" si="69"/>
        <v xml:space="preserve">5001638     </v>
      </c>
      <c r="O2211">
        <v>230925</v>
      </c>
    </row>
    <row r="2212" spans="1:15" x14ac:dyDescent="0.25">
      <c r="A2212" t="s">
        <v>16</v>
      </c>
      <c r="B2212" t="s">
        <v>3221</v>
      </c>
      <c r="C2212">
        <v>12727</v>
      </c>
      <c r="D2212" t="s">
        <v>2299</v>
      </c>
      <c r="E2212" t="s">
        <v>2300</v>
      </c>
      <c r="F2212">
        <v>75.400000000000006</v>
      </c>
      <c r="G2212">
        <v>230904</v>
      </c>
      <c r="H2212">
        <v>4840</v>
      </c>
      <c r="I2212" t="s">
        <v>19</v>
      </c>
      <c r="J2212">
        <v>93.5</v>
      </c>
      <c r="K2212">
        <v>18.100000000000001</v>
      </c>
      <c r="L2212">
        <v>56563</v>
      </c>
      <c r="M2212" t="s">
        <v>953</v>
      </c>
      <c r="N2212" t="str">
        <f t="shared" si="69"/>
        <v xml:space="preserve">5001638     </v>
      </c>
      <c r="O2212">
        <v>230925</v>
      </c>
    </row>
    <row r="2213" spans="1:15" x14ac:dyDescent="0.25">
      <c r="A2213" t="s">
        <v>16</v>
      </c>
      <c r="B2213" t="s">
        <v>3221</v>
      </c>
      <c r="C2213">
        <v>12727</v>
      </c>
      <c r="D2213" t="s">
        <v>2299</v>
      </c>
      <c r="E2213" t="s">
        <v>2300</v>
      </c>
      <c r="F2213">
        <v>226.45</v>
      </c>
      <c r="G2213">
        <v>230904</v>
      </c>
      <c r="H2213">
        <v>4840</v>
      </c>
      <c r="I2213" t="s">
        <v>19</v>
      </c>
      <c r="J2213">
        <v>280.8</v>
      </c>
      <c r="K2213">
        <v>54.35</v>
      </c>
      <c r="L2213">
        <v>56564</v>
      </c>
      <c r="M2213" t="s">
        <v>327</v>
      </c>
      <c r="N2213" t="str">
        <f t="shared" si="69"/>
        <v xml:space="preserve">5001638     </v>
      </c>
      <c r="O2213">
        <v>230925</v>
      </c>
    </row>
    <row r="2214" spans="1:15" x14ac:dyDescent="0.25">
      <c r="A2214" t="s">
        <v>16</v>
      </c>
      <c r="B2214" t="s">
        <v>3221</v>
      </c>
      <c r="C2214">
        <v>12727</v>
      </c>
      <c r="D2214" t="s">
        <v>2299</v>
      </c>
      <c r="E2214" t="s">
        <v>2300</v>
      </c>
      <c r="F2214">
        <v>47.35</v>
      </c>
      <c r="G2214">
        <v>230904</v>
      </c>
      <c r="H2214">
        <v>4840</v>
      </c>
      <c r="I2214" t="s">
        <v>19</v>
      </c>
      <c r="J2214">
        <v>58.71</v>
      </c>
      <c r="K2214">
        <v>11.36</v>
      </c>
      <c r="L2214">
        <v>56565</v>
      </c>
      <c r="M2214" t="s">
        <v>758</v>
      </c>
      <c r="N2214" t="str">
        <f t="shared" si="69"/>
        <v xml:space="preserve">5001638     </v>
      </c>
      <c r="O2214">
        <v>230925</v>
      </c>
    </row>
    <row r="2215" spans="1:15" x14ac:dyDescent="0.25">
      <c r="A2215" t="s">
        <v>16</v>
      </c>
      <c r="B2215" t="s">
        <v>3221</v>
      </c>
      <c r="C2215">
        <v>12727</v>
      </c>
      <c r="D2215" t="s">
        <v>2299</v>
      </c>
      <c r="E2215" t="s">
        <v>2300</v>
      </c>
      <c r="F2215">
        <v>1226.76</v>
      </c>
      <c r="G2215">
        <v>230904</v>
      </c>
      <c r="H2215">
        <v>4840</v>
      </c>
      <c r="I2215" t="s">
        <v>19</v>
      </c>
      <c r="J2215">
        <v>1521.18</v>
      </c>
      <c r="K2215">
        <v>294.42</v>
      </c>
      <c r="L2215">
        <v>56566</v>
      </c>
      <c r="M2215" t="s">
        <v>652</v>
      </c>
      <c r="N2215" t="str">
        <f t="shared" si="69"/>
        <v xml:space="preserve">5001638     </v>
      </c>
      <c r="O2215">
        <v>230925</v>
      </c>
    </row>
    <row r="2216" spans="1:15" x14ac:dyDescent="0.25">
      <c r="A2216" t="s">
        <v>16</v>
      </c>
      <c r="B2216" t="s">
        <v>3221</v>
      </c>
      <c r="C2216">
        <v>12727</v>
      </c>
      <c r="D2216" t="s">
        <v>2299</v>
      </c>
      <c r="E2216" t="s">
        <v>2300</v>
      </c>
      <c r="F2216">
        <v>54.34</v>
      </c>
      <c r="G2216">
        <v>230904</v>
      </c>
      <c r="H2216">
        <v>4840</v>
      </c>
      <c r="I2216" t="s">
        <v>19</v>
      </c>
      <c r="J2216">
        <v>67.38</v>
      </c>
      <c r="K2216">
        <v>13.04</v>
      </c>
      <c r="L2216">
        <v>59111</v>
      </c>
      <c r="M2216" t="s">
        <v>1010</v>
      </c>
      <c r="N2216" t="str">
        <f t="shared" si="69"/>
        <v xml:space="preserve">5001638     </v>
      </c>
      <c r="O2216">
        <v>230925</v>
      </c>
    </row>
    <row r="2217" spans="1:15" x14ac:dyDescent="0.25">
      <c r="A2217" t="s">
        <v>16</v>
      </c>
      <c r="B2217" t="s">
        <v>3221</v>
      </c>
      <c r="C2217">
        <v>12727</v>
      </c>
      <c r="D2217" t="s">
        <v>2299</v>
      </c>
      <c r="E2217" t="s">
        <v>2300</v>
      </c>
      <c r="F2217">
        <v>47.35</v>
      </c>
      <c r="G2217">
        <v>230904</v>
      </c>
      <c r="H2217">
        <v>4840</v>
      </c>
      <c r="I2217" t="s">
        <v>19</v>
      </c>
      <c r="J2217">
        <v>58.71</v>
      </c>
      <c r="K2217">
        <v>11.36</v>
      </c>
      <c r="L2217">
        <v>59113</v>
      </c>
      <c r="M2217" t="s">
        <v>235</v>
      </c>
      <c r="N2217" t="str">
        <f t="shared" si="69"/>
        <v xml:space="preserve">5001638     </v>
      </c>
      <c r="O2217">
        <v>230925</v>
      </c>
    </row>
    <row r="2218" spans="1:15" x14ac:dyDescent="0.25">
      <c r="A2218" t="s">
        <v>16</v>
      </c>
      <c r="B2218" t="s">
        <v>3221</v>
      </c>
      <c r="C2218">
        <v>12727</v>
      </c>
      <c r="D2218" t="s">
        <v>2299</v>
      </c>
      <c r="E2218" t="s">
        <v>2300</v>
      </c>
      <c r="F2218">
        <v>47.35</v>
      </c>
      <c r="G2218">
        <v>230904</v>
      </c>
      <c r="H2218">
        <v>4840</v>
      </c>
      <c r="I2218" t="s">
        <v>19</v>
      </c>
      <c r="J2218">
        <v>58.71</v>
      </c>
      <c r="K2218">
        <v>11.36</v>
      </c>
      <c r="L2218">
        <v>59501</v>
      </c>
      <c r="M2218" t="s">
        <v>69</v>
      </c>
      <c r="N2218" t="str">
        <f t="shared" si="69"/>
        <v xml:space="preserve">5001638     </v>
      </c>
      <c r="O2218">
        <v>230925</v>
      </c>
    </row>
    <row r="2219" spans="1:15" x14ac:dyDescent="0.25">
      <c r="A2219" t="s">
        <v>16</v>
      </c>
      <c r="B2219" t="s">
        <v>3221</v>
      </c>
      <c r="C2219">
        <v>12824</v>
      </c>
      <c r="D2219" t="s">
        <v>2299</v>
      </c>
      <c r="E2219" t="s">
        <v>2300</v>
      </c>
      <c r="F2219">
        <v>94.7</v>
      </c>
      <c r="G2219">
        <v>230904</v>
      </c>
      <c r="H2219">
        <v>4840</v>
      </c>
      <c r="I2219" t="s">
        <v>19</v>
      </c>
      <c r="J2219">
        <v>117.43</v>
      </c>
      <c r="K2219">
        <v>22.73</v>
      </c>
      <c r="L2219">
        <v>56522</v>
      </c>
      <c r="M2219" t="s">
        <v>43</v>
      </c>
      <c r="N2219" t="str">
        <f>"5001636     "</f>
        <v xml:space="preserve">5001636     </v>
      </c>
      <c r="O2219">
        <v>230926</v>
      </c>
    </row>
    <row r="2220" spans="1:15" x14ac:dyDescent="0.25">
      <c r="A2220" t="s">
        <v>16</v>
      </c>
      <c r="B2220" t="s">
        <v>3221</v>
      </c>
      <c r="C2220">
        <v>12824</v>
      </c>
      <c r="D2220" t="s">
        <v>2299</v>
      </c>
      <c r="E2220" t="s">
        <v>2300</v>
      </c>
      <c r="F2220">
        <v>1826.54</v>
      </c>
      <c r="G2220">
        <v>230904</v>
      </c>
      <c r="H2220">
        <v>4840</v>
      </c>
      <c r="I2220" t="s">
        <v>19</v>
      </c>
      <c r="J2220">
        <v>2264.91</v>
      </c>
      <c r="K2220">
        <v>438.37</v>
      </c>
      <c r="L2220">
        <v>56524</v>
      </c>
      <c r="M2220" t="s">
        <v>150</v>
      </c>
      <c r="N2220" t="str">
        <f>"5001636     "</f>
        <v xml:space="preserve">5001636     </v>
      </c>
      <c r="O2220">
        <v>230926</v>
      </c>
    </row>
    <row r="2221" spans="1:15" x14ac:dyDescent="0.25">
      <c r="A2221" t="s">
        <v>16</v>
      </c>
      <c r="B2221" t="s">
        <v>3221</v>
      </c>
      <c r="C2221">
        <v>12824</v>
      </c>
      <c r="D2221" t="s">
        <v>2299</v>
      </c>
      <c r="E2221" t="s">
        <v>2300</v>
      </c>
      <c r="F2221">
        <v>236.75</v>
      </c>
      <c r="G2221">
        <v>230904</v>
      </c>
      <c r="H2221">
        <v>4840</v>
      </c>
      <c r="I2221" t="s">
        <v>19</v>
      </c>
      <c r="J2221">
        <v>293.57</v>
      </c>
      <c r="K2221">
        <v>56.82</v>
      </c>
      <c r="L2221">
        <v>56528</v>
      </c>
      <c r="M2221" t="s">
        <v>153</v>
      </c>
      <c r="N2221" t="str">
        <f>"5001636     "</f>
        <v xml:space="preserve">5001636     </v>
      </c>
      <c r="O2221">
        <v>230926</v>
      </c>
    </row>
    <row r="2222" spans="1:15" x14ac:dyDescent="0.25">
      <c r="A2222" t="s">
        <v>16</v>
      </c>
      <c r="B2222" t="s">
        <v>3221</v>
      </c>
      <c r="C2222">
        <v>12878</v>
      </c>
      <c r="D2222" t="s">
        <v>2299</v>
      </c>
      <c r="E2222" t="s">
        <v>2300</v>
      </c>
      <c r="F2222">
        <v>54.34</v>
      </c>
      <c r="G2222">
        <v>230904</v>
      </c>
      <c r="H2222">
        <v>4840</v>
      </c>
      <c r="I2222" t="s">
        <v>19</v>
      </c>
      <c r="J2222">
        <v>67.38</v>
      </c>
      <c r="K2222">
        <v>13.04</v>
      </c>
      <c r="L2222">
        <v>18120</v>
      </c>
      <c r="M2222" t="s">
        <v>329</v>
      </c>
      <c r="N2222" t="str">
        <f>"5001633     "</f>
        <v xml:space="preserve">5001633     </v>
      </c>
      <c r="O2222">
        <v>230929</v>
      </c>
    </row>
    <row r="2223" spans="1:15" x14ac:dyDescent="0.25">
      <c r="A2223" t="s">
        <v>16</v>
      </c>
      <c r="B2223" t="s">
        <v>3221</v>
      </c>
      <c r="C2223">
        <v>12878</v>
      </c>
      <c r="D2223" t="s">
        <v>2299</v>
      </c>
      <c r="E2223" t="s">
        <v>2300</v>
      </c>
      <c r="F2223">
        <v>16.55</v>
      </c>
      <c r="G2223">
        <v>230904</v>
      </c>
      <c r="H2223">
        <v>4840</v>
      </c>
      <c r="I2223" t="s">
        <v>19</v>
      </c>
      <c r="J2223">
        <v>20.52</v>
      </c>
      <c r="K2223">
        <v>3.97</v>
      </c>
      <c r="L2223">
        <v>18972</v>
      </c>
      <c r="M2223" t="s">
        <v>163</v>
      </c>
      <c r="N2223" t="str">
        <f>"5001633     "</f>
        <v xml:space="preserve">5001633     </v>
      </c>
      <c r="O2223">
        <v>230929</v>
      </c>
    </row>
    <row r="2224" spans="1:15" x14ac:dyDescent="0.25">
      <c r="A2224" t="s">
        <v>16</v>
      </c>
      <c r="B2224" t="s">
        <v>3221</v>
      </c>
      <c r="C2224">
        <v>12916</v>
      </c>
      <c r="D2224" t="s">
        <v>2299</v>
      </c>
      <c r="E2224" t="s">
        <v>2300</v>
      </c>
      <c r="F2224">
        <v>842.36</v>
      </c>
      <c r="G2224">
        <v>230904</v>
      </c>
      <c r="H2224">
        <v>4840</v>
      </c>
      <c r="I2224" t="s">
        <v>19</v>
      </c>
      <c r="J2224">
        <v>1044.53</v>
      </c>
      <c r="K2224">
        <v>202.17</v>
      </c>
      <c r="L2224">
        <v>53222</v>
      </c>
      <c r="M2224" t="s">
        <v>445</v>
      </c>
      <c r="N2224" t="str">
        <f>"5001626     "</f>
        <v xml:space="preserve">5001626     </v>
      </c>
      <c r="O2224">
        <v>230929</v>
      </c>
    </row>
    <row r="2225" spans="1:15" x14ac:dyDescent="0.25">
      <c r="A2225" t="s">
        <v>16</v>
      </c>
      <c r="B2225" t="s">
        <v>3221</v>
      </c>
      <c r="C2225">
        <v>12916</v>
      </c>
      <c r="D2225" t="s">
        <v>2299</v>
      </c>
      <c r="E2225" t="s">
        <v>2300</v>
      </c>
      <c r="F2225">
        <v>226.82</v>
      </c>
      <c r="G2225">
        <v>230904</v>
      </c>
      <c r="H2225">
        <v>4840</v>
      </c>
      <c r="I2225" t="s">
        <v>19</v>
      </c>
      <c r="J2225">
        <v>281.26</v>
      </c>
      <c r="K2225">
        <v>54.44</v>
      </c>
      <c r="L2225">
        <v>54622</v>
      </c>
      <c r="M2225" t="s">
        <v>872</v>
      </c>
      <c r="N2225" t="str">
        <f>"5001626     "</f>
        <v xml:space="preserve">5001626     </v>
      </c>
      <c r="O2225">
        <v>230929</v>
      </c>
    </row>
    <row r="2226" spans="1:15" x14ac:dyDescent="0.25">
      <c r="A2226" t="s">
        <v>16</v>
      </c>
      <c r="B2226" t="s">
        <v>3221</v>
      </c>
      <c r="C2226">
        <v>12916</v>
      </c>
      <c r="D2226" t="s">
        <v>2299</v>
      </c>
      <c r="E2226" t="s">
        <v>2300</v>
      </c>
      <c r="F2226">
        <v>398.66</v>
      </c>
      <c r="G2226">
        <v>230904</v>
      </c>
      <c r="H2226">
        <v>4840</v>
      </c>
      <c r="I2226" t="s">
        <v>19</v>
      </c>
      <c r="J2226">
        <v>494.34</v>
      </c>
      <c r="K2226">
        <v>95.68</v>
      </c>
      <c r="L2226">
        <v>55222</v>
      </c>
      <c r="M2226" t="s">
        <v>873</v>
      </c>
      <c r="N2226" t="str">
        <f>"5001626     "</f>
        <v xml:space="preserve">5001626     </v>
      </c>
      <c r="O2226">
        <v>230929</v>
      </c>
    </row>
    <row r="2227" spans="1:15" x14ac:dyDescent="0.25">
      <c r="A2227" t="s">
        <v>16</v>
      </c>
      <c r="B2227" t="s">
        <v>3221</v>
      </c>
      <c r="C2227">
        <v>13051</v>
      </c>
      <c r="D2227" t="s">
        <v>2299</v>
      </c>
      <c r="E2227" t="s">
        <v>2300</v>
      </c>
      <c r="F2227">
        <v>11.32</v>
      </c>
      <c r="G2227">
        <v>230905</v>
      </c>
      <c r="H2227">
        <v>4840</v>
      </c>
      <c r="I2227" t="s">
        <v>19</v>
      </c>
      <c r="J2227">
        <v>14.04</v>
      </c>
      <c r="K2227">
        <v>2.72</v>
      </c>
      <c r="L2227">
        <v>11601</v>
      </c>
      <c r="M2227" t="s">
        <v>535</v>
      </c>
      <c r="N2227" t="str">
        <f t="shared" ref="N2227:N2242" si="70">"5001822     "</f>
        <v xml:space="preserve">5001822     </v>
      </c>
      <c r="O2227">
        <v>231003</v>
      </c>
    </row>
    <row r="2228" spans="1:15" x14ac:dyDescent="0.25">
      <c r="A2228" t="s">
        <v>16</v>
      </c>
      <c r="B2228" t="s">
        <v>3221</v>
      </c>
      <c r="C2228">
        <v>13051</v>
      </c>
      <c r="D2228" t="s">
        <v>2299</v>
      </c>
      <c r="E2228" t="s">
        <v>2300</v>
      </c>
      <c r="F2228">
        <v>67.36</v>
      </c>
      <c r="G2228">
        <v>230905</v>
      </c>
      <c r="H2228">
        <v>4840</v>
      </c>
      <c r="I2228" t="s">
        <v>19</v>
      </c>
      <c r="J2228">
        <v>83.53</v>
      </c>
      <c r="K2228">
        <v>16.170000000000002</v>
      </c>
      <c r="L2228">
        <v>41126</v>
      </c>
      <c r="M2228" t="s">
        <v>761</v>
      </c>
      <c r="N2228" t="str">
        <f t="shared" si="70"/>
        <v xml:space="preserve">5001822     </v>
      </c>
      <c r="O2228">
        <v>231003</v>
      </c>
    </row>
    <row r="2229" spans="1:15" x14ac:dyDescent="0.25">
      <c r="A2229" t="s">
        <v>16</v>
      </c>
      <c r="B2229" t="s">
        <v>3221</v>
      </c>
      <c r="C2229">
        <v>13051</v>
      </c>
      <c r="D2229" t="s">
        <v>2299</v>
      </c>
      <c r="E2229" t="s">
        <v>2300</v>
      </c>
      <c r="F2229">
        <v>756.4</v>
      </c>
      <c r="G2229">
        <v>230905</v>
      </c>
      <c r="H2229">
        <v>4840</v>
      </c>
      <c r="I2229" t="s">
        <v>19</v>
      </c>
      <c r="J2229">
        <v>937.94</v>
      </c>
      <c r="K2229">
        <v>181.54</v>
      </c>
      <c r="L2229">
        <v>43222</v>
      </c>
      <c r="M2229" t="s">
        <v>507</v>
      </c>
      <c r="N2229" t="str">
        <f t="shared" si="70"/>
        <v xml:space="preserve">5001822     </v>
      </c>
      <c r="O2229">
        <v>231003</v>
      </c>
    </row>
    <row r="2230" spans="1:15" x14ac:dyDescent="0.25">
      <c r="A2230" t="s">
        <v>16</v>
      </c>
      <c r="B2230" t="s">
        <v>3221</v>
      </c>
      <c r="C2230">
        <v>13051</v>
      </c>
      <c r="D2230" t="s">
        <v>2299</v>
      </c>
      <c r="E2230" t="s">
        <v>2300</v>
      </c>
      <c r="F2230">
        <v>9.9499999999999993</v>
      </c>
      <c r="G2230">
        <v>230905</v>
      </c>
      <c r="H2230">
        <v>4840</v>
      </c>
      <c r="I2230" t="s">
        <v>19</v>
      </c>
      <c r="J2230">
        <v>12.34</v>
      </c>
      <c r="K2230">
        <v>2.39</v>
      </c>
      <c r="L2230">
        <v>44222</v>
      </c>
      <c r="M2230" t="s">
        <v>232</v>
      </c>
      <c r="N2230" t="str">
        <f t="shared" si="70"/>
        <v xml:space="preserve">5001822     </v>
      </c>
      <c r="O2230">
        <v>231003</v>
      </c>
    </row>
    <row r="2231" spans="1:15" x14ac:dyDescent="0.25">
      <c r="A2231" t="s">
        <v>16</v>
      </c>
      <c r="B2231" t="s">
        <v>3221</v>
      </c>
      <c r="C2231">
        <v>13051</v>
      </c>
      <c r="D2231" t="s">
        <v>2299</v>
      </c>
      <c r="E2231" t="s">
        <v>2300</v>
      </c>
      <c r="F2231">
        <v>567.29999999999995</v>
      </c>
      <c r="G2231">
        <v>230905</v>
      </c>
      <c r="H2231">
        <v>4840</v>
      </c>
      <c r="I2231" t="s">
        <v>19</v>
      </c>
      <c r="J2231">
        <v>703.45</v>
      </c>
      <c r="K2231">
        <v>136.15</v>
      </c>
      <c r="L2231">
        <v>44423</v>
      </c>
      <c r="M2231" t="s">
        <v>502</v>
      </c>
      <c r="N2231" t="str">
        <f t="shared" si="70"/>
        <v xml:space="preserve">5001822     </v>
      </c>
      <c r="O2231">
        <v>231003</v>
      </c>
    </row>
    <row r="2232" spans="1:15" x14ac:dyDescent="0.25">
      <c r="A2232" t="s">
        <v>16</v>
      </c>
      <c r="B2232" t="s">
        <v>3221</v>
      </c>
      <c r="C2232">
        <v>13051</v>
      </c>
      <c r="D2232" t="s">
        <v>2299</v>
      </c>
      <c r="E2232" t="s">
        <v>2300</v>
      </c>
      <c r="F2232">
        <v>9.9499999999999993</v>
      </c>
      <c r="G2232">
        <v>230905</v>
      </c>
      <c r="H2232">
        <v>4840</v>
      </c>
      <c r="I2232" t="s">
        <v>19</v>
      </c>
      <c r="J2232">
        <v>12.34</v>
      </c>
      <c r="K2232">
        <v>2.39</v>
      </c>
      <c r="L2232">
        <v>44453</v>
      </c>
      <c r="M2232" t="s">
        <v>492</v>
      </c>
      <c r="N2232" t="str">
        <f t="shared" si="70"/>
        <v xml:space="preserve">5001822     </v>
      </c>
      <c r="O2232">
        <v>231003</v>
      </c>
    </row>
    <row r="2233" spans="1:15" x14ac:dyDescent="0.25">
      <c r="A2233" t="s">
        <v>16</v>
      </c>
      <c r="B2233" t="s">
        <v>3221</v>
      </c>
      <c r="C2233">
        <v>13051</v>
      </c>
      <c r="D2233" t="s">
        <v>2299</v>
      </c>
      <c r="E2233" t="s">
        <v>2300</v>
      </c>
      <c r="F2233">
        <v>432.69</v>
      </c>
      <c r="G2233">
        <v>230905</v>
      </c>
      <c r="H2233">
        <v>4840</v>
      </c>
      <c r="I2233" t="s">
        <v>19</v>
      </c>
      <c r="J2233">
        <v>536.54</v>
      </c>
      <c r="K2233">
        <v>103.85</v>
      </c>
      <c r="L2233">
        <v>46222</v>
      </c>
      <c r="M2233" t="s">
        <v>293</v>
      </c>
      <c r="N2233" t="str">
        <f t="shared" si="70"/>
        <v xml:space="preserve">5001822     </v>
      </c>
      <c r="O2233">
        <v>231003</v>
      </c>
    </row>
    <row r="2234" spans="1:15" x14ac:dyDescent="0.25">
      <c r="A2234" t="s">
        <v>16</v>
      </c>
      <c r="B2234" t="s">
        <v>3221</v>
      </c>
      <c r="C2234">
        <v>13051</v>
      </c>
      <c r="D2234" t="s">
        <v>2299</v>
      </c>
      <c r="E2234" t="s">
        <v>2300</v>
      </c>
      <c r="F2234">
        <v>522.05999999999995</v>
      </c>
      <c r="G2234">
        <v>230905</v>
      </c>
      <c r="H2234">
        <v>4840</v>
      </c>
      <c r="I2234" t="s">
        <v>19</v>
      </c>
      <c r="J2234">
        <v>647.35</v>
      </c>
      <c r="K2234">
        <v>125.29</v>
      </c>
      <c r="L2234">
        <v>46554</v>
      </c>
      <c r="M2234" t="s">
        <v>117</v>
      </c>
      <c r="N2234" t="str">
        <f t="shared" si="70"/>
        <v xml:space="preserve">5001822     </v>
      </c>
      <c r="O2234">
        <v>231003</v>
      </c>
    </row>
    <row r="2235" spans="1:15" x14ac:dyDescent="0.25">
      <c r="A2235" t="s">
        <v>16</v>
      </c>
      <c r="B2235" t="s">
        <v>3221</v>
      </c>
      <c r="C2235">
        <v>13051</v>
      </c>
      <c r="D2235" t="s">
        <v>2299</v>
      </c>
      <c r="E2235" t="s">
        <v>2300</v>
      </c>
      <c r="F2235">
        <v>756.4</v>
      </c>
      <c r="G2235">
        <v>230905</v>
      </c>
      <c r="H2235">
        <v>4840</v>
      </c>
      <c r="I2235" t="s">
        <v>19</v>
      </c>
      <c r="J2235">
        <v>937.94</v>
      </c>
      <c r="K2235">
        <v>181.54</v>
      </c>
      <c r="L2235">
        <v>46555</v>
      </c>
      <c r="M2235" t="s">
        <v>597</v>
      </c>
      <c r="N2235" t="str">
        <f t="shared" si="70"/>
        <v xml:space="preserve">5001822     </v>
      </c>
      <c r="O2235">
        <v>231003</v>
      </c>
    </row>
    <row r="2236" spans="1:15" x14ac:dyDescent="0.25">
      <c r="A2236" t="s">
        <v>16</v>
      </c>
      <c r="B2236" t="s">
        <v>3221</v>
      </c>
      <c r="C2236">
        <v>13051</v>
      </c>
      <c r="D2236" t="s">
        <v>2299</v>
      </c>
      <c r="E2236" t="s">
        <v>2300</v>
      </c>
      <c r="F2236">
        <v>753.8</v>
      </c>
      <c r="G2236">
        <v>230905</v>
      </c>
      <c r="H2236">
        <v>4840</v>
      </c>
      <c r="I2236" t="s">
        <v>19</v>
      </c>
      <c r="J2236">
        <v>934.71</v>
      </c>
      <c r="K2236">
        <v>180.91</v>
      </c>
      <c r="L2236">
        <v>46557</v>
      </c>
      <c r="M2236" t="s">
        <v>221</v>
      </c>
      <c r="N2236" t="str">
        <f t="shared" si="70"/>
        <v xml:space="preserve">5001822     </v>
      </c>
      <c r="O2236">
        <v>231003</v>
      </c>
    </row>
    <row r="2237" spans="1:15" x14ac:dyDescent="0.25">
      <c r="A2237" t="s">
        <v>16</v>
      </c>
      <c r="B2237" t="s">
        <v>3221</v>
      </c>
      <c r="C2237">
        <v>13051</v>
      </c>
      <c r="D2237" t="s">
        <v>2299</v>
      </c>
      <c r="E2237" t="s">
        <v>2300</v>
      </c>
      <c r="F2237">
        <v>431.29</v>
      </c>
      <c r="G2237">
        <v>230905</v>
      </c>
      <c r="H2237">
        <v>4840</v>
      </c>
      <c r="I2237" t="s">
        <v>19</v>
      </c>
      <c r="J2237">
        <v>534.79999999999995</v>
      </c>
      <c r="K2237">
        <v>103.51</v>
      </c>
      <c r="L2237">
        <v>46559</v>
      </c>
      <c r="M2237" t="s">
        <v>1104</v>
      </c>
      <c r="N2237" t="str">
        <f t="shared" si="70"/>
        <v xml:space="preserve">5001822     </v>
      </c>
      <c r="O2237">
        <v>231003</v>
      </c>
    </row>
    <row r="2238" spans="1:15" x14ac:dyDescent="0.25">
      <c r="A2238" t="s">
        <v>16</v>
      </c>
      <c r="B2238" t="s">
        <v>3221</v>
      </c>
      <c r="C2238">
        <v>13051</v>
      </c>
      <c r="D2238" t="s">
        <v>2299</v>
      </c>
      <c r="E2238" t="s">
        <v>2300</v>
      </c>
      <c r="F2238">
        <v>54.51</v>
      </c>
      <c r="G2238">
        <v>230905</v>
      </c>
      <c r="H2238">
        <v>4840</v>
      </c>
      <c r="I2238" t="s">
        <v>19</v>
      </c>
      <c r="J2238">
        <v>67.59</v>
      </c>
      <c r="K2238">
        <v>13.08</v>
      </c>
      <c r="L2238">
        <v>47522</v>
      </c>
      <c r="M2238" t="s">
        <v>410</v>
      </c>
      <c r="N2238" t="str">
        <f t="shared" si="70"/>
        <v xml:space="preserve">5001822     </v>
      </c>
      <c r="O2238">
        <v>231003</v>
      </c>
    </row>
    <row r="2239" spans="1:15" x14ac:dyDescent="0.25">
      <c r="A2239" t="s">
        <v>16</v>
      </c>
      <c r="B2239" t="s">
        <v>3221</v>
      </c>
      <c r="C2239">
        <v>13051</v>
      </c>
      <c r="D2239" t="s">
        <v>2299</v>
      </c>
      <c r="E2239" t="s">
        <v>2300</v>
      </c>
      <c r="F2239">
        <v>37.659999999999997</v>
      </c>
      <c r="G2239">
        <v>230905</v>
      </c>
      <c r="H2239">
        <v>4840</v>
      </c>
      <c r="I2239" t="s">
        <v>19</v>
      </c>
      <c r="J2239">
        <v>46.7</v>
      </c>
      <c r="K2239">
        <v>9.0399999999999991</v>
      </c>
      <c r="L2239">
        <v>48601</v>
      </c>
      <c r="M2239" t="s">
        <v>1047</v>
      </c>
      <c r="N2239" t="str">
        <f t="shared" si="70"/>
        <v xml:space="preserve">5001822     </v>
      </c>
      <c r="O2239">
        <v>231003</v>
      </c>
    </row>
    <row r="2240" spans="1:15" x14ac:dyDescent="0.25">
      <c r="A2240" t="s">
        <v>16</v>
      </c>
      <c r="B2240" t="s">
        <v>3221</v>
      </c>
      <c r="C2240">
        <v>13051</v>
      </c>
      <c r="D2240" t="s">
        <v>2299</v>
      </c>
      <c r="E2240" t="s">
        <v>2300</v>
      </c>
      <c r="F2240">
        <v>112.53</v>
      </c>
      <c r="G2240">
        <v>230905</v>
      </c>
      <c r="H2240">
        <v>4840</v>
      </c>
      <c r="I2240" t="s">
        <v>19</v>
      </c>
      <c r="J2240">
        <v>139.54</v>
      </c>
      <c r="K2240">
        <v>27.01</v>
      </c>
      <c r="L2240">
        <v>49501</v>
      </c>
      <c r="M2240" t="s">
        <v>177</v>
      </c>
      <c r="N2240" t="str">
        <f t="shared" si="70"/>
        <v xml:space="preserve">5001822     </v>
      </c>
      <c r="O2240">
        <v>231003</v>
      </c>
    </row>
    <row r="2241" spans="1:16" x14ac:dyDescent="0.25">
      <c r="A2241" t="s">
        <v>16</v>
      </c>
      <c r="B2241" t="s">
        <v>3221</v>
      </c>
      <c r="C2241">
        <v>13051</v>
      </c>
      <c r="D2241" t="s">
        <v>2299</v>
      </c>
      <c r="E2241" t="s">
        <v>2300</v>
      </c>
      <c r="F2241">
        <v>48.98</v>
      </c>
      <c r="G2241">
        <v>230905</v>
      </c>
      <c r="H2241">
        <v>4840</v>
      </c>
      <c r="I2241" t="s">
        <v>19</v>
      </c>
      <c r="J2241">
        <v>60.74</v>
      </c>
      <c r="K2241">
        <v>11.76</v>
      </c>
      <c r="L2241">
        <v>49702</v>
      </c>
      <c r="M2241" t="s">
        <v>584</v>
      </c>
      <c r="N2241" t="str">
        <f t="shared" si="70"/>
        <v xml:space="preserve">5001822     </v>
      </c>
      <c r="O2241">
        <v>231003</v>
      </c>
    </row>
    <row r="2242" spans="1:16" x14ac:dyDescent="0.25">
      <c r="A2242" t="s">
        <v>16</v>
      </c>
      <c r="B2242" t="s">
        <v>3221</v>
      </c>
      <c r="C2242">
        <v>13051</v>
      </c>
      <c r="D2242" t="s">
        <v>2299</v>
      </c>
      <c r="E2242" t="s">
        <v>2300</v>
      </c>
      <c r="F2242">
        <v>54.34</v>
      </c>
      <c r="G2242">
        <v>230905</v>
      </c>
      <c r="H2242">
        <v>4840</v>
      </c>
      <c r="I2242" t="s">
        <v>19</v>
      </c>
      <c r="J2242">
        <v>67.38</v>
      </c>
      <c r="K2242">
        <v>13.04</v>
      </c>
      <c r="L2242">
        <v>49704</v>
      </c>
      <c r="M2242" t="s">
        <v>1065</v>
      </c>
      <c r="N2242" t="str">
        <f t="shared" si="70"/>
        <v xml:space="preserve">5001822     </v>
      </c>
      <c r="O2242">
        <v>231003</v>
      </c>
    </row>
    <row r="2243" spans="1:16" x14ac:dyDescent="0.25">
      <c r="A2243" t="s">
        <v>16</v>
      </c>
      <c r="B2243" t="s">
        <v>3221</v>
      </c>
      <c r="C2243">
        <v>1444</v>
      </c>
      <c r="D2243" t="s">
        <v>1043</v>
      </c>
      <c r="E2243" t="s">
        <v>1044</v>
      </c>
      <c r="F2243">
        <v>132.80000000000001</v>
      </c>
      <c r="G2243">
        <v>230131</v>
      </c>
      <c r="H2243">
        <v>4390</v>
      </c>
      <c r="I2243" t="s">
        <v>98</v>
      </c>
      <c r="J2243">
        <v>132.80000000000001</v>
      </c>
      <c r="K2243">
        <v>0</v>
      </c>
      <c r="L2243">
        <v>14951</v>
      </c>
      <c r="M2243" t="s">
        <v>57</v>
      </c>
      <c r="N2243" t="str">
        <f>"1230193     "</f>
        <v xml:space="preserve">1230193     </v>
      </c>
      <c r="O2243">
        <v>230208</v>
      </c>
    </row>
    <row r="2244" spans="1:16" x14ac:dyDescent="0.25">
      <c r="A2244" t="s">
        <v>16</v>
      </c>
      <c r="B2244" t="s">
        <v>3221</v>
      </c>
      <c r="C2244">
        <v>5093</v>
      </c>
      <c r="D2244" t="s">
        <v>1043</v>
      </c>
      <c r="E2244" t="s">
        <v>1044</v>
      </c>
      <c r="F2244">
        <v>253.3</v>
      </c>
      <c r="G2244">
        <v>230412</v>
      </c>
      <c r="H2244">
        <v>4390</v>
      </c>
      <c r="I2244" t="s">
        <v>98</v>
      </c>
      <c r="J2244">
        <v>253.3</v>
      </c>
      <c r="K2244">
        <v>0</v>
      </c>
      <c r="L2244">
        <v>14952</v>
      </c>
      <c r="M2244" t="s">
        <v>99</v>
      </c>
      <c r="N2244" t="str">
        <f>"1231263     "</f>
        <v xml:space="preserve">1231263     </v>
      </c>
      <c r="O2244">
        <v>230418</v>
      </c>
    </row>
    <row r="2245" spans="1:16" x14ac:dyDescent="0.25">
      <c r="A2245" t="s">
        <v>16</v>
      </c>
      <c r="B2245" t="s">
        <v>3221</v>
      </c>
      <c r="C2245">
        <v>7474</v>
      </c>
      <c r="D2245" t="s">
        <v>1043</v>
      </c>
      <c r="E2245" t="s">
        <v>1044</v>
      </c>
      <c r="F2245">
        <v>404</v>
      </c>
      <c r="G2245">
        <v>230524</v>
      </c>
      <c r="H2245">
        <v>4390</v>
      </c>
      <c r="I2245" t="s">
        <v>98</v>
      </c>
      <c r="J2245">
        <v>404</v>
      </c>
      <c r="K2245">
        <v>0</v>
      </c>
      <c r="L2245">
        <v>59501</v>
      </c>
      <c r="M2245" t="s">
        <v>69</v>
      </c>
      <c r="N2245" t="str">
        <f>"1231856     "</f>
        <v xml:space="preserve">1231856     </v>
      </c>
      <c r="O2245">
        <v>230531</v>
      </c>
    </row>
    <row r="2246" spans="1:16" x14ac:dyDescent="0.25">
      <c r="A2246" t="s">
        <v>16</v>
      </c>
      <c r="B2246" t="s">
        <v>3221</v>
      </c>
      <c r="C2246">
        <v>9926</v>
      </c>
      <c r="D2246" t="s">
        <v>3502</v>
      </c>
      <c r="F2246">
        <v>1498</v>
      </c>
      <c r="G2246">
        <v>230801</v>
      </c>
      <c r="H2246">
        <v>4410</v>
      </c>
      <c r="I2246" t="s">
        <v>517</v>
      </c>
      <c r="J2246">
        <v>1498</v>
      </c>
      <c r="K2246">
        <v>0</v>
      </c>
      <c r="L2246">
        <v>11902</v>
      </c>
      <c r="M2246" t="s">
        <v>1443</v>
      </c>
      <c r="N2246" t="str">
        <f>"0174        "</f>
        <v xml:space="preserve">0174        </v>
      </c>
      <c r="O2246">
        <v>230802</v>
      </c>
      <c r="P2246" t="s">
        <v>937</v>
      </c>
    </row>
    <row r="2247" spans="1:16" x14ac:dyDescent="0.25">
      <c r="A2247" t="s">
        <v>16</v>
      </c>
      <c r="B2247" t="s">
        <v>3221</v>
      </c>
      <c r="C2247">
        <v>9926</v>
      </c>
      <c r="D2247" t="s">
        <v>3502</v>
      </c>
      <c r="F2247">
        <v>48.15</v>
      </c>
      <c r="G2247">
        <v>230801</v>
      </c>
      <c r="H2247">
        <v>4550</v>
      </c>
      <c r="I2247" t="s">
        <v>312</v>
      </c>
      <c r="J2247">
        <v>48.15</v>
      </c>
      <c r="K2247">
        <v>0</v>
      </c>
      <c r="L2247">
        <v>11902</v>
      </c>
      <c r="M2247" t="s">
        <v>1443</v>
      </c>
      <c r="N2247" t="str">
        <f>"0174        "</f>
        <v xml:space="preserve">0174        </v>
      </c>
      <c r="O2247">
        <v>230802</v>
      </c>
      <c r="P2247" t="s">
        <v>937</v>
      </c>
    </row>
    <row r="2248" spans="1:16" x14ac:dyDescent="0.25">
      <c r="A2248" t="s">
        <v>16</v>
      </c>
      <c r="B2248" t="s">
        <v>3221</v>
      </c>
      <c r="C2248">
        <v>16981</v>
      </c>
      <c r="D2248" t="s">
        <v>3026</v>
      </c>
      <c r="E2248" t="s">
        <v>3027</v>
      </c>
      <c r="F2248">
        <v>15</v>
      </c>
      <c r="G2248">
        <v>231201</v>
      </c>
      <c r="H2248">
        <v>4410</v>
      </c>
      <c r="I2248" t="s">
        <v>517</v>
      </c>
      <c r="J2248">
        <v>15</v>
      </c>
      <c r="K2248">
        <v>0</v>
      </c>
      <c r="L2248">
        <v>47522</v>
      </c>
      <c r="M2248" t="s">
        <v>410</v>
      </c>
      <c r="N2248" t="str">
        <f>"742         "</f>
        <v xml:space="preserve">742         </v>
      </c>
      <c r="O2248">
        <v>231211</v>
      </c>
    </row>
    <row r="2249" spans="1:16" x14ac:dyDescent="0.25">
      <c r="A2249" t="s">
        <v>16</v>
      </c>
      <c r="B2249" t="s">
        <v>3221</v>
      </c>
      <c r="C2249">
        <v>16981</v>
      </c>
      <c r="D2249" t="s">
        <v>3026</v>
      </c>
      <c r="E2249" t="s">
        <v>3027</v>
      </c>
      <c r="F2249">
        <v>164.55</v>
      </c>
      <c r="G2249">
        <v>231201</v>
      </c>
      <c r="H2249">
        <v>4410</v>
      </c>
      <c r="I2249" t="s">
        <v>517</v>
      </c>
      <c r="J2249">
        <v>181</v>
      </c>
      <c r="K2249">
        <v>16.45</v>
      </c>
      <c r="L2249">
        <v>47522</v>
      </c>
      <c r="M2249" t="s">
        <v>410</v>
      </c>
      <c r="N2249" t="str">
        <f>"742         "</f>
        <v xml:space="preserve">742         </v>
      </c>
      <c r="O2249">
        <v>231211</v>
      </c>
    </row>
    <row r="2250" spans="1:16" x14ac:dyDescent="0.25">
      <c r="A2250" t="s">
        <v>16</v>
      </c>
      <c r="B2250" t="s">
        <v>3221</v>
      </c>
      <c r="C2250">
        <v>17012</v>
      </c>
      <c r="D2250" t="s">
        <v>3032</v>
      </c>
      <c r="E2250" t="s">
        <v>3033</v>
      </c>
      <c r="F2250">
        <v>9.5399999999999991</v>
      </c>
      <c r="G2250">
        <v>231124</v>
      </c>
      <c r="H2250">
        <v>4412</v>
      </c>
      <c r="I2250" t="s">
        <v>149</v>
      </c>
      <c r="J2250">
        <v>9.5399999999999991</v>
      </c>
      <c r="K2250">
        <v>0</v>
      </c>
      <c r="L2250">
        <v>13661</v>
      </c>
      <c r="M2250" t="s">
        <v>247</v>
      </c>
      <c r="N2250" t="str">
        <f>"50160031267 "</f>
        <v xml:space="preserve">50160031267 </v>
      </c>
      <c r="O2250">
        <v>231211</v>
      </c>
    </row>
    <row r="2251" spans="1:16" x14ac:dyDescent="0.25">
      <c r="A2251" t="s">
        <v>16</v>
      </c>
      <c r="B2251" t="s">
        <v>3221</v>
      </c>
      <c r="C2251">
        <v>17012</v>
      </c>
      <c r="D2251" t="s">
        <v>3032</v>
      </c>
      <c r="E2251" t="s">
        <v>3033</v>
      </c>
      <c r="F2251">
        <v>132.24</v>
      </c>
      <c r="G2251">
        <v>231124</v>
      </c>
      <c r="H2251">
        <v>4412</v>
      </c>
      <c r="I2251" t="s">
        <v>149</v>
      </c>
      <c r="J2251">
        <v>145.46</v>
      </c>
      <c r="K2251">
        <v>13.22</v>
      </c>
      <c r="L2251">
        <v>13661</v>
      </c>
      <c r="M2251" t="s">
        <v>247</v>
      </c>
      <c r="N2251" t="str">
        <f>"50160031267 "</f>
        <v xml:space="preserve">50160031267 </v>
      </c>
      <c r="O2251">
        <v>231211</v>
      </c>
    </row>
    <row r="2252" spans="1:16" x14ac:dyDescent="0.25">
      <c r="A2252" t="s">
        <v>16</v>
      </c>
      <c r="B2252" t="s">
        <v>3221</v>
      </c>
      <c r="C2252">
        <v>17012</v>
      </c>
      <c r="D2252" t="s">
        <v>3032</v>
      </c>
      <c r="E2252" t="s">
        <v>3033</v>
      </c>
      <c r="F2252">
        <v>8.06</v>
      </c>
      <c r="G2252">
        <v>231124</v>
      </c>
      <c r="H2252">
        <v>4470</v>
      </c>
      <c r="I2252" t="s">
        <v>83</v>
      </c>
      <c r="J2252">
        <v>10</v>
      </c>
      <c r="K2252">
        <v>1.94</v>
      </c>
      <c r="L2252">
        <v>13661</v>
      </c>
      <c r="M2252" t="s">
        <v>247</v>
      </c>
      <c r="N2252" t="str">
        <f>"50160031267 "</f>
        <v xml:space="preserve">50160031267 </v>
      </c>
      <c r="O2252">
        <v>231211</v>
      </c>
    </row>
    <row r="2253" spans="1:16" x14ac:dyDescent="0.25">
      <c r="A2253" t="s">
        <v>16</v>
      </c>
      <c r="B2253" t="s">
        <v>3221</v>
      </c>
      <c r="C2253">
        <v>9476</v>
      </c>
      <c r="D2253" t="s">
        <v>461</v>
      </c>
      <c r="E2253" t="s">
        <v>462</v>
      </c>
      <c r="F2253">
        <v>2500</v>
      </c>
      <c r="G2253">
        <v>230622</v>
      </c>
      <c r="H2253">
        <v>4343</v>
      </c>
      <c r="I2253" t="s">
        <v>91</v>
      </c>
      <c r="J2253">
        <v>3100</v>
      </c>
      <c r="K2253">
        <v>600</v>
      </c>
      <c r="L2253">
        <v>11201</v>
      </c>
      <c r="M2253" t="s">
        <v>305</v>
      </c>
      <c r="N2253" t="str">
        <f>"14009       "</f>
        <v xml:space="preserve">14009       </v>
      </c>
      <c r="O2253">
        <v>230711</v>
      </c>
    </row>
    <row r="2254" spans="1:16" x14ac:dyDescent="0.25">
      <c r="A2254" t="s">
        <v>16</v>
      </c>
      <c r="B2254" t="s">
        <v>3221</v>
      </c>
      <c r="C2254">
        <v>317</v>
      </c>
      <c r="D2254" t="s">
        <v>461</v>
      </c>
      <c r="E2254" t="s">
        <v>462</v>
      </c>
      <c r="F2254">
        <v>1112.5</v>
      </c>
      <c r="G2254">
        <v>230116</v>
      </c>
      <c r="H2254">
        <v>4362</v>
      </c>
      <c r="I2254" t="s">
        <v>79</v>
      </c>
      <c r="J2254">
        <v>1379.5</v>
      </c>
      <c r="K2254">
        <v>267</v>
      </c>
      <c r="L2254">
        <v>11201</v>
      </c>
      <c r="M2254" t="s">
        <v>305</v>
      </c>
      <c r="N2254" t="str">
        <f>"13145       "</f>
        <v xml:space="preserve">13145       </v>
      </c>
      <c r="O2254">
        <v>230118</v>
      </c>
    </row>
    <row r="2255" spans="1:16" x14ac:dyDescent="0.25">
      <c r="A2255" t="s">
        <v>16</v>
      </c>
      <c r="B2255" t="s">
        <v>3221</v>
      </c>
      <c r="C2255">
        <v>2116</v>
      </c>
      <c r="D2255" t="s">
        <v>461</v>
      </c>
      <c r="E2255" t="s">
        <v>462</v>
      </c>
      <c r="F2255">
        <v>950</v>
      </c>
      <c r="G2255">
        <v>230217</v>
      </c>
      <c r="H2255">
        <v>4362</v>
      </c>
      <c r="I2255" t="s">
        <v>79</v>
      </c>
      <c r="J2255">
        <v>1178</v>
      </c>
      <c r="K2255">
        <v>228</v>
      </c>
      <c r="L2255">
        <v>11201</v>
      </c>
      <c r="M2255" t="s">
        <v>305</v>
      </c>
      <c r="N2255" t="str">
        <f>"13353       "</f>
        <v xml:space="preserve">13353       </v>
      </c>
      <c r="O2255">
        <v>230221</v>
      </c>
    </row>
    <row r="2256" spans="1:16" x14ac:dyDescent="0.25">
      <c r="A2256" t="s">
        <v>16</v>
      </c>
      <c r="B2256" t="s">
        <v>3221</v>
      </c>
      <c r="C2256">
        <v>5166</v>
      </c>
      <c r="D2256" t="s">
        <v>461</v>
      </c>
      <c r="E2256" t="s">
        <v>462</v>
      </c>
      <c r="F2256">
        <v>980</v>
      </c>
      <c r="G2256">
        <v>230414</v>
      </c>
      <c r="H2256">
        <v>4362</v>
      </c>
      <c r="I2256" t="s">
        <v>79</v>
      </c>
      <c r="J2256">
        <v>1215.2</v>
      </c>
      <c r="K2256">
        <v>235.2</v>
      </c>
      <c r="L2256">
        <v>11201</v>
      </c>
      <c r="M2256" t="s">
        <v>305</v>
      </c>
      <c r="N2256" t="str">
        <f>"13714       "</f>
        <v xml:space="preserve">13714       </v>
      </c>
      <c r="O2256">
        <v>230418</v>
      </c>
    </row>
    <row r="2257" spans="1:15" x14ac:dyDescent="0.25">
      <c r="A2257" t="s">
        <v>16</v>
      </c>
      <c r="B2257" t="s">
        <v>3221</v>
      </c>
      <c r="C2257">
        <v>1309</v>
      </c>
      <c r="D2257" t="s">
        <v>993</v>
      </c>
      <c r="E2257" t="s">
        <v>994</v>
      </c>
      <c r="F2257">
        <v>333</v>
      </c>
      <c r="G2257">
        <v>230131</v>
      </c>
      <c r="H2257">
        <v>4362</v>
      </c>
      <c r="I2257" t="s">
        <v>79</v>
      </c>
      <c r="J2257">
        <v>412.92</v>
      </c>
      <c r="K2257">
        <v>79.92</v>
      </c>
      <c r="L2257">
        <v>11801</v>
      </c>
      <c r="M2257" t="s">
        <v>92</v>
      </c>
      <c r="N2257" t="str">
        <f>"14659       "</f>
        <v xml:space="preserve">14659       </v>
      </c>
      <c r="O2257">
        <v>230207</v>
      </c>
    </row>
    <row r="2258" spans="1:15" x14ac:dyDescent="0.25">
      <c r="A2258" t="s">
        <v>16</v>
      </c>
      <c r="B2258" t="s">
        <v>3221</v>
      </c>
      <c r="C2258">
        <v>2972</v>
      </c>
      <c r="D2258" t="s">
        <v>993</v>
      </c>
      <c r="E2258" t="s">
        <v>994</v>
      </c>
      <c r="F2258">
        <v>333</v>
      </c>
      <c r="G2258">
        <v>230228</v>
      </c>
      <c r="H2258">
        <v>4362</v>
      </c>
      <c r="I2258" t="s">
        <v>79</v>
      </c>
      <c r="J2258">
        <v>412.92</v>
      </c>
      <c r="K2258">
        <v>79.92</v>
      </c>
      <c r="L2258">
        <v>11801</v>
      </c>
      <c r="M2258" t="s">
        <v>92</v>
      </c>
      <c r="N2258" t="str">
        <f>"14930       "</f>
        <v xml:space="preserve">14930       </v>
      </c>
      <c r="O2258">
        <v>230308</v>
      </c>
    </row>
    <row r="2259" spans="1:15" x14ac:dyDescent="0.25">
      <c r="A2259" t="s">
        <v>16</v>
      </c>
      <c r="B2259" t="s">
        <v>3221</v>
      </c>
      <c r="C2259">
        <v>5273</v>
      </c>
      <c r="D2259" t="s">
        <v>993</v>
      </c>
      <c r="E2259" t="s">
        <v>994</v>
      </c>
      <c r="F2259">
        <v>333</v>
      </c>
      <c r="G2259">
        <v>230331</v>
      </c>
      <c r="H2259">
        <v>4362</v>
      </c>
      <c r="I2259" t="s">
        <v>79</v>
      </c>
      <c r="J2259">
        <v>412.92</v>
      </c>
      <c r="K2259">
        <v>79.92</v>
      </c>
      <c r="L2259">
        <v>11801</v>
      </c>
      <c r="M2259" t="s">
        <v>92</v>
      </c>
      <c r="N2259" t="str">
        <f>"15116       "</f>
        <v xml:space="preserve">15116       </v>
      </c>
      <c r="O2259">
        <v>230419</v>
      </c>
    </row>
    <row r="2260" spans="1:15" x14ac:dyDescent="0.25">
      <c r="A2260" t="s">
        <v>16</v>
      </c>
      <c r="B2260" t="s">
        <v>3221</v>
      </c>
      <c r="C2260">
        <v>6749</v>
      </c>
      <c r="D2260" t="s">
        <v>993</v>
      </c>
      <c r="E2260" t="s">
        <v>994</v>
      </c>
      <c r="F2260">
        <v>333</v>
      </c>
      <c r="G2260">
        <v>230430</v>
      </c>
      <c r="H2260">
        <v>4362</v>
      </c>
      <c r="I2260" t="s">
        <v>79</v>
      </c>
      <c r="J2260">
        <v>412.92</v>
      </c>
      <c r="K2260">
        <v>79.92</v>
      </c>
      <c r="L2260">
        <v>11801</v>
      </c>
      <c r="M2260" t="s">
        <v>92</v>
      </c>
      <c r="N2260" t="str">
        <f>"15311       "</f>
        <v xml:space="preserve">15311       </v>
      </c>
      <c r="O2260">
        <v>230522</v>
      </c>
    </row>
    <row r="2261" spans="1:15" x14ac:dyDescent="0.25">
      <c r="A2261" t="s">
        <v>16</v>
      </c>
      <c r="B2261" t="s">
        <v>3221</v>
      </c>
      <c r="C2261">
        <v>8678</v>
      </c>
      <c r="D2261" t="s">
        <v>993</v>
      </c>
      <c r="E2261" t="s">
        <v>994</v>
      </c>
      <c r="F2261">
        <v>333</v>
      </c>
      <c r="G2261">
        <v>230531</v>
      </c>
      <c r="H2261">
        <v>4362</v>
      </c>
      <c r="I2261" t="s">
        <v>79</v>
      </c>
      <c r="J2261">
        <v>412.92</v>
      </c>
      <c r="K2261">
        <v>79.92</v>
      </c>
      <c r="L2261">
        <v>11801</v>
      </c>
      <c r="M2261" t="s">
        <v>92</v>
      </c>
      <c r="N2261" t="str">
        <f>"15524       "</f>
        <v xml:space="preserve">15524       </v>
      </c>
      <c r="O2261">
        <v>230613</v>
      </c>
    </row>
    <row r="2262" spans="1:15" x14ac:dyDescent="0.25">
      <c r="A2262" t="s">
        <v>16</v>
      </c>
      <c r="B2262" t="s">
        <v>3221</v>
      </c>
      <c r="C2262">
        <v>9588</v>
      </c>
      <c r="D2262" t="s">
        <v>993</v>
      </c>
      <c r="E2262" t="s">
        <v>994</v>
      </c>
      <c r="F2262">
        <v>333</v>
      </c>
      <c r="G2262">
        <v>230630</v>
      </c>
      <c r="H2262">
        <v>4362</v>
      </c>
      <c r="I2262" t="s">
        <v>79</v>
      </c>
      <c r="J2262">
        <v>412.92</v>
      </c>
      <c r="K2262">
        <v>79.92</v>
      </c>
      <c r="L2262">
        <v>11801</v>
      </c>
      <c r="M2262" t="s">
        <v>92</v>
      </c>
      <c r="N2262" t="str">
        <f>"30308       "</f>
        <v xml:space="preserve">30308       </v>
      </c>
      <c r="O2262">
        <v>230717</v>
      </c>
    </row>
    <row r="2263" spans="1:15" x14ac:dyDescent="0.25">
      <c r="A2263" t="s">
        <v>16</v>
      </c>
      <c r="B2263" t="s">
        <v>3221</v>
      </c>
      <c r="C2263">
        <v>10209</v>
      </c>
      <c r="D2263" t="s">
        <v>993</v>
      </c>
      <c r="E2263" t="s">
        <v>994</v>
      </c>
      <c r="F2263">
        <v>333</v>
      </c>
      <c r="G2263">
        <v>230731</v>
      </c>
      <c r="H2263">
        <v>4362</v>
      </c>
      <c r="I2263" t="s">
        <v>79</v>
      </c>
      <c r="J2263">
        <v>412.92</v>
      </c>
      <c r="K2263">
        <v>79.92</v>
      </c>
      <c r="L2263">
        <v>11801</v>
      </c>
      <c r="M2263" t="s">
        <v>92</v>
      </c>
      <c r="N2263" t="str">
        <f>"30623       "</f>
        <v xml:space="preserve">30623       </v>
      </c>
      <c r="O2263">
        <v>230809</v>
      </c>
    </row>
    <row r="2264" spans="1:15" x14ac:dyDescent="0.25">
      <c r="A2264" t="s">
        <v>16</v>
      </c>
      <c r="B2264" t="s">
        <v>3221</v>
      </c>
      <c r="C2264">
        <v>11445</v>
      </c>
      <c r="D2264" t="s">
        <v>993</v>
      </c>
      <c r="E2264" t="s">
        <v>994</v>
      </c>
      <c r="F2264">
        <v>333</v>
      </c>
      <c r="G2264">
        <v>230831</v>
      </c>
      <c r="H2264">
        <v>4362</v>
      </c>
      <c r="I2264" t="s">
        <v>79</v>
      </c>
      <c r="J2264">
        <v>412.92</v>
      </c>
      <c r="K2264">
        <v>79.92</v>
      </c>
      <c r="L2264">
        <v>11801</v>
      </c>
      <c r="M2264" t="s">
        <v>92</v>
      </c>
      <c r="N2264" t="str">
        <f>"30915       "</f>
        <v xml:space="preserve">30915       </v>
      </c>
      <c r="O2264">
        <v>230905</v>
      </c>
    </row>
    <row r="2265" spans="1:15" x14ac:dyDescent="0.25">
      <c r="A2265" t="s">
        <v>16</v>
      </c>
      <c r="B2265" t="s">
        <v>3221</v>
      </c>
      <c r="C2265">
        <v>13567</v>
      </c>
      <c r="D2265" t="s">
        <v>993</v>
      </c>
      <c r="E2265" t="s">
        <v>994</v>
      </c>
      <c r="F2265">
        <v>333</v>
      </c>
      <c r="G2265">
        <v>230930</v>
      </c>
      <c r="H2265">
        <v>4362</v>
      </c>
      <c r="I2265" t="s">
        <v>79</v>
      </c>
      <c r="J2265">
        <v>412.92</v>
      </c>
      <c r="K2265">
        <v>79.92</v>
      </c>
      <c r="L2265">
        <v>11801</v>
      </c>
      <c r="M2265" t="s">
        <v>92</v>
      </c>
      <c r="N2265" t="str">
        <f>"31243       "</f>
        <v xml:space="preserve">31243       </v>
      </c>
      <c r="O2265">
        <v>231011</v>
      </c>
    </row>
    <row r="2266" spans="1:15" x14ac:dyDescent="0.25">
      <c r="A2266" t="s">
        <v>16</v>
      </c>
      <c r="B2266" t="s">
        <v>3221</v>
      </c>
      <c r="C2266">
        <v>15199</v>
      </c>
      <c r="D2266" t="s">
        <v>993</v>
      </c>
      <c r="E2266" t="s">
        <v>994</v>
      </c>
      <c r="F2266">
        <v>333</v>
      </c>
      <c r="G2266">
        <v>231031</v>
      </c>
      <c r="H2266">
        <v>4362</v>
      </c>
      <c r="I2266" t="s">
        <v>79</v>
      </c>
      <c r="J2266">
        <v>412.92</v>
      </c>
      <c r="K2266">
        <v>79.92</v>
      </c>
      <c r="L2266">
        <v>11801</v>
      </c>
      <c r="M2266" t="s">
        <v>92</v>
      </c>
      <c r="N2266" t="str">
        <f>"31533       "</f>
        <v xml:space="preserve">31533       </v>
      </c>
      <c r="O2266">
        <v>231109</v>
      </c>
    </row>
    <row r="2267" spans="1:15" x14ac:dyDescent="0.25">
      <c r="A2267" t="s">
        <v>16</v>
      </c>
      <c r="B2267" t="s">
        <v>3221</v>
      </c>
      <c r="C2267">
        <v>17045</v>
      </c>
      <c r="D2267" t="s">
        <v>993</v>
      </c>
      <c r="E2267" t="s">
        <v>994</v>
      </c>
      <c r="F2267">
        <v>333</v>
      </c>
      <c r="G2267">
        <v>231130</v>
      </c>
      <c r="H2267">
        <v>4362</v>
      </c>
      <c r="I2267" t="s">
        <v>79</v>
      </c>
      <c r="J2267">
        <v>412.92</v>
      </c>
      <c r="K2267">
        <v>79.92</v>
      </c>
      <c r="L2267">
        <v>11801</v>
      </c>
      <c r="M2267" t="s">
        <v>92</v>
      </c>
      <c r="N2267" t="str">
        <f>"31803       "</f>
        <v xml:space="preserve">31803       </v>
      </c>
      <c r="O2267">
        <v>231212</v>
      </c>
    </row>
    <row r="2268" spans="1:15" x14ac:dyDescent="0.25">
      <c r="A2268" t="s">
        <v>16</v>
      </c>
      <c r="B2268" t="s">
        <v>3221</v>
      </c>
      <c r="C2268">
        <v>18883</v>
      </c>
      <c r="D2268" t="s">
        <v>993</v>
      </c>
      <c r="E2268" t="s">
        <v>994</v>
      </c>
      <c r="F2268">
        <v>333</v>
      </c>
      <c r="G2268">
        <v>231231</v>
      </c>
      <c r="H2268">
        <v>4362</v>
      </c>
      <c r="I2268" t="s">
        <v>79</v>
      </c>
      <c r="J2268">
        <v>412.92</v>
      </c>
      <c r="K2268">
        <v>79.92</v>
      </c>
      <c r="L2268">
        <v>11801</v>
      </c>
      <c r="M2268" t="s">
        <v>92</v>
      </c>
      <c r="N2268" t="str">
        <f>"32082       "</f>
        <v xml:space="preserve">32082       </v>
      </c>
      <c r="O2268">
        <v>240108</v>
      </c>
    </row>
    <row r="2269" spans="1:15" x14ac:dyDescent="0.25">
      <c r="A2269" t="s">
        <v>16</v>
      </c>
      <c r="B2269" t="s">
        <v>3221</v>
      </c>
      <c r="C2269">
        <v>17291</v>
      </c>
      <c r="D2269" t="s">
        <v>3051</v>
      </c>
      <c r="E2269" t="s">
        <v>3052</v>
      </c>
      <c r="F2269">
        <v>1664</v>
      </c>
      <c r="G2269">
        <v>231208</v>
      </c>
      <c r="H2269">
        <v>4580</v>
      </c>
      <c r="I2269" t="s">
        <v>35</v>
      </c>
      <c r="J2269">
        <v>2063.36</v>
      </c>
      <c r="K2269">
        <v>399.36</v>
      </c>
      <c r="L2269">
        <v>11301</v>
      </c>
      <c r="M2269" t="s">
        <v>29</v>
      </c>
      <c r="N2269" t="str">
        <f>"549         "</f>
        <v xml:space="preserve">549         </v>
      </c>
      <c r="O2269">
        <v>231212</v>
      </c>
    </row>
    <row r="2270" spans="1:15" x14ac:dyDescent="0.25">
      <c r="A2270" t="s">
        <v>16</v>
      </c>
      <c r="B2270" t="s">
        <v>3221</v>
      </c>
      <c r="C2270">
        <v>12046</v>
      </c>
      <c r="D2270" t="s">
        <v>2539</v>
      </c>
      <c r="E2270" t="s">
        <v>2540</v>
      </c>
      <c r="F2270">
        <v>3.23</v>
      </c>
      <c r="G2270">
        <v>230907</v>
      </c>
      <c r="H2270">
        <v>4410</v>
      </c>
      <c r="I2270" t="s">
        <v>517</v>
      </c>
      <c r="J2270">
        <v>4</v>
      </c>
      <c r="K2270">
        <v>0.77</v>
      </c>
      <c r="L2270">
        <v>11908</v>
      </c>
      <c r="M2270" t="s">
        <v>598</v>
      </c>
      <c r="N2270" t="str">
        <f>"1102        "</f>
        <v xml:space="preserve">1102        </v>
      </c>
      <c r="O2270">
        <v>230913</v>
      </c>
    </row>
    <row r="2271" spans="1:15" x14ac:dyDescent="0.25">
      <c r="A2271" t="s">
        <v>16</v>
      </c>
      <c r="B2271" t="s">
        <v>3221</v>
      </c>
      <c r="C2271">
        <v>12046</v>
      </c>
      <c r="D2271" t="s">
        <v>2539</v>
      </c>
      <c r="E2271" t="s">
        <v>2540</v>
      </c>
      <c r="F2271">
        <v>9.3000000000000007</v>
      </c>
      <c r="G2271">
        <v>230907</v>
      </c>
      <c r="H2271">
        <v>4410</v>
      </c>
      <c r="I2271" t="s">
        <v>517</v>
      </c>
      <c r="J2271">
        <v>9.3000000000000007</v>
      </c>
      <c r="K2271">
        <v>0</v>
      </c>
      <c r="L2271">
        <v>11908</v>
      </c>
      <c r="M2271" t="s">
        <v>598</v>
      </c>
      <c r="N2271" t="str">
        <f>"1102        "</f>
        <v xml:space="preserve">1102        </v>
      </c>
      <c r="O2271">
        <v>230913</v>
      </c>
    </row>
    <row r="2272" spans="1:15" x14ac:dyDescent="0.25">
      <c r="A2272" t="s">
        <v>16</v>
      </c>
      <c r="B2272" t="s">
        <v>3221</v>
      </c>
      <c r="C2272">
        <v>12046</v>
      </c>
      <c r="D2272" t="s">
        <v>2539</v>
      </c>
      <c r="E2272" t="s">
        <v>2540</v>
      </c>
      <c r="F2272">
        <v>235.18</v>
      </c>
      <c r="G2272">
        <v>230907</v>
      </c>
      <c r="H2272">
        <v>4410</v>
      </c>
      <c r="I2272" t="s">
        <v>517</v>
      </c>
      <c r="J2272">
        <v>258.7</v>
      </c>
      <c r="K2272">
        <v>23.52</v>
      </c>
      <c r="L2272">
        <v>11908</v>
      </c>
      <c r="M2272" t="s">
        <v>598</v>
      </c>
      <c r="N2272" t="str">
        <f>"1102        "</f>
        <v xml:space="preserve">1102        </v>
      </c>
      <c r="O2272">
        <v>230913</v>
      </c>
    </row>
    <row r="2273" spans="1:15" x14ac:dyDescent="0.25">
      <c r="A2273" t="s">
        <v>16</v>
      </c>
      <c r="B2273" t="s">
        <v>3221</v>
      </c>
      <c r="C2273">
        <v>13056</v>
      </c>
      <c r="D2273" t="s">
        <v>465</v>
      </c>
      <c r="E2273" t="s">
        <v>466</v>
      </c>
      <c r="F2273">
        <v>24.75</v>
      </c>
      <c r="G2273">
        <v>230925</v>
      </c>
      <c r="H2273">
        <v>4341</v>
      </c>
      <c r="I2273" t="s">
        <v>32</v>
      </c>
      <c r="J2273">
        <v>30.69</v>
      </c>
      <c r="K2273">
        <v>5.94</v>
      </c>
      <c r="L2273">
        <v>11801</v>
      </c>
      <c r="M2273" t="s">
        <v>92</v>
      </c>
      <c r="N2273" t="str">
        <f>"157082      "</f>
        <v xml:space="preserve">157082      </v>
      </c>
      <c r="O2273">
        <v>231003</v>
      </c>
    </row>
    <row r="2274" spans="1:15" x14ac:dyDescent="0.25">
      <c r="A2274" t="s">
        <v>16</v>
      </c>
      <c r="B2274" t="s">
        <v>3221</v>
      </c>
      <c r="C2274">
        <v>330</v>
      </c>
      <c r="D2274" t="s">
        <v>465</v>
      </c>
      <c r="E2274" t="s">
        <v>466</v>
      </c>
      <c r="F2274">
        <v>1887.33</v>
      </c>
      <c r="G2274">
        <v>230116</v>
      </c>
      <c r="H2274">
        <v>4343</v>
      </c>
      <c r="I2274" t="s">
        <v>91</v>
      </c>
      <c r="J2274">
        <v>2340.29</v>
      </c>
      <c r="K2274">
        <v>452.96</v>
      </c>
      <c r="L2274">
        <v>11801</v>
      </c>
      <c r="M2274" t="s">
        <v>92</v>
      </c>
      <c r="N2274" t="str">
        <f>"155882      "</f>
        <v xml:space="preserve">155882      </v>
      </c>
      <c r="O2274">
        <v>230118</v>
      </c>
    </row>
    <row r="2275" spans="1:15" x14ac:dyDescent="0.25">
      <c r="A2275" t="s">
        <v>16</v>
      </c>
      <c r="B2275" t="s">
        <v>3221</v>
      </c>
      <c r="C2275">
        <v>13717</v>
      </c>
      <c r="D2275" t="s">
        <v>2699</v>
      </c>
      <c r="E2275" t="s">
        <v>2700</v>
      </c>
      <c r="F2275">
        <v>81.040000000000006</v>
      </c>
      <c r="G2275">
        <v>231009</v>
      </c>
      <c r="H2275">
        <v>4520</v>
      </c>
      <c r="I2275" t="s">
        <v>254</v>
      </c>
      <c r="J2275">
        <v>92.38</v>
      </c>
      <c r="K2275">
        <v>11.34</v>
      </c>
      <c r="L2275">
        <v>14642</v>
      </c>
      <c r="M2275" t="s">
        <v>863</v>
      </c>
      <c r="N2275" t="str">
        <f>"22143839    "</f>
        <v xml:space="preserve">22143839    </v>
      </c>
      <c r="O2275">
        <v>231012</v>
      </c>
    </row>
    <row r="2276" spans="1:15" x14ac:dyDescent="0.25">
      <c r="A2276" t="s">
        <v>16</v>
      </c>
      <c r="B2276" t="s">
        <v>3221</v>
      </c>
      <c r="C2276">
        <v>13717</v>
      </c>
      <c r="D2276" t="s">
        <v>2699</v>
      </c>
      <c r="E2276" t="s">
        <v>2700</v>
      </c>
      <c r="F2276">
        <v>83.06</v>
      </c>
      <c r="G2276">
        <v>231009</v>
      </c>
      <c r="H2276">
        <v>4520</v>
      </c>
      <c r="I2276" t="s">
        <v>254</v>
      </c>
      <c r="J2276">
        <v>103</v>
      </c>
      <c r="K2276">
        <v>19.940000000000001</v>
      </c>
      <c r="L2276">
        <v>14642</v>
      </c>
      <c r="M2276" t="s">
        <v>863</v>
      </c>
      <c r="N2276" t="str">
        <f>"22143839    "</f>
        <v xml:space="preserve">22143839    </v>
      </c>
      <c r="O2276">
        <v>231012</v>
      </c>
    </row>
    <row r="2277" spans="1:15" x14ac:dyDescent="0.25">
      <c r="A2277" t="s">
        <v>16</v>
      </c>
      <c r="B2277" t="s">
        <v>3221</v>
      </c>
      <c r="C2277">
        <v>11770</v>
      </c>
      <c r="D2277" t="s">
        <v>2513</v>
      </c>
      <c r="E2277" t="s">
        <v>2514</v>
      </c>
      <c r="F2277">
        <v>1210.32</v>
      </c>
      <c r="G2277">
        <v>230828</v>
      </c>
      <c r="H2277">
        <v>4555</v>
      </c>
      <c r="I2277" t="s">
        <v>481</v>
      </c>
      <c r="J2277">
        <v>1500.8</v>
      </c>
      <c r="K2277">
        <v>290.48</v>
      </c>
      <c r="L2277">
        <v>44453</v>
      </c>
      <c r="M2277" t="s">
        <v>492</v>
      </c>
      <c r="N2277" t="str">
        <f>"NV/2023/3647"</f>
        <v>NV/2023/3647</v>
      </c>
      <c r="O2277">
        <v>230911</v>
      </c>
    </row>
    <row r="2278" spans="1:15" x14ac:dyDescent="0.25">
      <c r="A2278" t="s">
        <v>16</v>
      </c>
      <c r="B2278" t="s">
        <v>3221</v>
      </c>
      <c r="C2278">
        <v>12933</v>
      </c>
      <c r="D2278" t="s">
        <v>2513</v>
      </c>
      <c r="E2278" t="s">
        <v>2514</v>
      </c>
      <c r="F2278">
        <v>474.4</v>
      </c>
      <c r="G2278">
        <v>230915</v>
      </c>
      <c r="H2278">
        <v>4555</v>
      </c>
      <c r="I2278" t="s">
        <v>481</v>
      </c>
      <c r="J2278">
        <v>588.25</v>
      </c>
      <c r="K2278">
        <v>113.85</v>
      </c>
      <c r="L2278">
        <v>44453</v>
      </c>
      <c r="M2278" t="s">
        <v>492</v>
      </c>
      <c r="N2278" t="str">
        <f>"NV/2023/3947"</f>
        <v>NV/2023/3947</v>
      </c>
      <c r="O2278">
        <v>231002</v>
      </c>
    </row>
    <row r="2279" spans="1:15" x14ac:dyDescent="0.25">
      <c r="A2279" t="s">
        <v>16</v>
      </c>
      <c r="B2279" t="s">
        <v>3221</v>
      </c>
      <c r="C2279">
        <v>14680</v>
      </c>
      <c r="D2279" t="s">
        <v>3596</v>
      </c>
      <c r="E2279" t="s">
        <v>2786</v>
      </c>
      <c r="F2279">
        <v>1075</v>
      </c>
      <c r="G2279">
        <v>231020</v>
      </c>
      <c r="H2279">
        <v>4350</v>
      </c>
      <c r="I2279" t="s">
        <v>546</v>
      </c>
      <c r="J2279">
        <v>1333</v>
      </c>
      <c r="K2279">
        <v>258</v>
      </c>
      <c r="L2279">
        <v>17972</v>
      </c>
      <c r="M2279" t="s">
        <v>248</v>
      </c>
      <c r="N2279" t="str">
        <f>"1000543     "</f>
        <v xml:space="preserve">1000543     </v>
      </c>
      <c r="O2279">
        <v>231031</v>
      </c>
    </row>
    <row r="2280" spans="1:15" x14ac:dyDescent="0.25">
      <c r="A2280" t="s">
        <v>16</v>
      </c>
      <c r="B2280" t="s">
        <v>3221</v>
      </c>
      <c r="C2280">
        <v>1803</v>
      </c>
      <c r="D2280" t="s">
        <v>1193</v>
      </c>
      <c r="E2280" t="s">
        <v>1194</v>
      </c>
      <c r="F2280">
        <v>189.65</v>
      </c>
      <c r="G2280">
        <v>230208</v>
      </c>
      <c r="H2280">
        <v>4600</v>
      </c>
      <c r="I2280" t="s">
        <v>105</v>
      </c>
      <c r="J2280">
        <v>235.17</v>
      </c>
      <c r="K2280">
        <v>45.52</v>
      </c>
      <c r="L2280">
        <v>17647</v>
      </c>
      <c r="M2280" t="s">
        <v>1132</v>
      </c>
      <c r="N2280" t="str">
        <f>"23020030    "</f>
        <v xml:space="preserve">23020030    </v>
      </c>
      <c r="O2280">
        <v>230214</v>
      </c>
    </row>
    <row r="2281" spans="1:15" x14ac:dyDescent="0.25">
      <c r="A2281" t="s">
        <v>16</v>
      </c>
      <c r="B2281" t="s">
        <v>3221</v>
      </c>
      <c r="C2281">
        <v>11479</v>
      </c>
      <c r="D2281" t="s">
        <v>1193</v>
      </c>
      <c r="E2281" t="s">
        <v>1194</v>
      </c>
      <c r="F2281">
        <v>122.99</v>
      </c>
      <c r="G2281">
        <v>230823</v>
      </c>
      <c r="H2281">
        <v>4600</v>
      </c>
      <c r="I2281" t="s">
        <v>105</v>
      </c>
      <c r="J2281">
        <v>152.51</v>
      </c>
      <c r="K2281">
        <v>29.52</v>
      </c>
      <c r="L2281">
        <v>17531</v>
      </c>
      <c r="M2281" t="s">
        <v>136</v>
      </c>
      <c r="N2281" t="str">
        <f>"23080016    "</f>
        <v xml:space="preserve">23080016    </v>
      </c>
      <c r="O2281">
        <v>230906</v>
      </c>
    </row>
    <row r="2282" spans="1:15" x14ac:dyDescent="0.25">
      <c r="A2282" t="s">
        <v>16</v>
      </c>
      <c r="B2282" t="s">
        <v>3221</v>
      </c>
      <c r="C2282">
        <v>11479</v>
      </c>
      <c r="D2282" t="s">
        <v>1193</v>
      </c>
      <c r="E2282" t="s">
        <v>1194</v>
      </c>
      <c r="F2282">
        <v>155.31</v>
      </c>
      <c r="G2282">
        <v>230823</v>
      </c>
      <c r="H2282">
        <v>4600</v>
      </c>
      <c r="I2282" t="s">
        <v>105</v>
      </c>
      <c r="J2282">
        <v>192.59</v>
      </c>
      <c r="K2282">
        <v>37.28</v>
      </c>
      <c r="L2282">
        <v>17533</v>
      </c>
      <c r="M2282" t="s">
        <v>990</v>
      </c>
      <c r="N2282" t="str">
        <f>"23080016    "</f>
        <v xml:space="preserve">23080016    </v>
      </c>
      <c r="O2282">
        <v>230906</v>
      </c>
    </row>
    <row r="2283" spans="1:15" x14ac:dyDescent="0.25">
      <c r="A2283" t="s">
        <v>16</v>
      </c>
      <c r="B2283" t="s">
        <v>3221</v>
      </c>
      <c r="C2283">
        <v>11479</v>
      </c>
      <c r="D2283" t="s">
        <v>1193</v>
      </c>
      <c r="E2283" t="s">
        <v>1194</v>
      </c>
      <c r="F2283">
        <v>116.48</v>
      </c>
      <c r="G2283">
        <v>230823</v>
      </c>
      <c r="H2283">
        <v>4600</v>
      </c>
      <c r="I2283" t="s">
        <v>105</v>
      </c>
      <c r="J2283">
        <v>144.43</v>
      </c>
      <c r="K2283">
        <v>27.95</v>
      </c>
      <c r="L2283">
        <v>17533</v>
      </c>
      <c r="M2283" t="s">
        <v>990</v>
      </c>
      <c r="N2283" t="str">
        <f>"23080016    "</f>
        <v xml:space="preserve">23080016    </v>
      </c>
      <c r="O2283">
        <v>230906</v>
      </c>
    </row>
    <row r="2284" spans="1:15" x14ac:dyDescent="0.25">
      <c r="A2284" t="s">
        <v>16</v>
      </c>
      <c r="B2284" t="s">
        <v>3221</v>
      </c>
      <c r="C2284">
        <v>11479</v>
      </c>
      <c r="D2284" t="s">
        <v>1193</v>
      </c>
      <c r="E2284" t="s">
        <v>1194</v>
      </c>
      <c r="F2284">
        <v>59.75</v>
      </c>
      <c r="G2284">
        <v>230823</v>
      </c>
      <c r="H2284">
        <v>4600</v>
      </c>
      <c r="I2284" t="s">
        <v>105</v>
      </c>
      <c r="J2284">
        <v>74.09</v>
      </c>
      <c r="K2284">
        <v>14.34</v>
      </c>
      <c r="L2284">
        <v>17645</v>
      </c>
      <c r="M2284" t="s">
        <v>1035</v>
      </c>
      <c r="N2284" t="str">
        <f>"23080016    "</f>
        <v xml:space="preserve">23080016    </v>
      </c>
      <c r="O2284">
        <v>230906</v>
      </c>
    </row>
    <row r="2285" spans="1:15" x14ac:dyDescent="0.25">
      <c r="A2285" t="s">
        <v>16</v>
      </c>
      <c r="B2285" t="s">
        <v>3221</v>
      </c>
      <c r="C2285">
        <v>11479</v>
      </c>
      <c r="D2285" t="s">
        <v>1193</v>
      </c>
      <c r="E2285" t="s">
        <v>1194</v>
      </c>
      <c r="F2285">
        <v>155.31</v>
      </c>
      <c r="G2285">
        <v>230823</v>
      </c>
      <c r="H2285">
        <v>4600</v>
      </c>
      <c r="I2285" t="s">
        <v>105</v>
      </c>
      <c r="J2285">
        <v>192.59</v>
      </c>
      <c r="K2285">
        <v>37.28</v>
      </c>
      <c r="L2285">
        <v>17647</v>
      </c>
      <c r="M2285" t="s">
        <v>1132</v>
      </c>
      <c r="N2285" t="str">
        <f>"23080016    "</f>
        <v xml:space="preserve">23080016    </v>
      </c>
      <c r="O2285">
        <v>230906</v>
      </c>
    </row>
    <row r="2286" spans="1:15" x14ac:dyDescent="0.25">
      <c r="A2286" t="s">
        <v>16</v>
      </c>
      <c r="B2286" t="s">
        <v>3221</v>
      </c>
      <c r="C2286">
        <v>12876</v>
      </c>
      <c r="D2286" t="s">
        <v>1193</v>
      </c>
      <c r="E2286" t="s">
        <v>1194</v>
      </c>
      <c r="F2286">
        <v>119.5</v>
      </c>
      <c r="G2286">
        <v>230913</v>
      </c>
      <c r="H2286">
        <v>4600</v>
      </c>
      <c r="I2286" t="s">
        <v>105</v>
      </c>
      <c r="J2286">
        <v>148.18</v>
      </c>
      <c r="K2286">
        <v>28.68</v>
      </c>
      <c r="L2286">
        <v>17531</v>
      </c>
      <c r="M2286" t="s">
        <v>136</v>
      </c>
      <c r="N2286" t="str">
        <f>"23090049    "</f>
        <v xml:space="preserve">23090049    </v>
      </c>
      <c r="O2286">
        <v>230929</v>
      </c>
    </row>
    <row r="2287" spans="1:15" x14ac:dyDescent="0.25">
      <c r="A2287" t="s">
        <v>16</v>
      </c>
      <c r="B2287" t="s">
        <v>3221</v>
      </c>
      <c r="C2287">
        <v>12876</v>
      </c>
      <c r="D2287" t="s">
        <v>1193</v>
      </c>
      <c r="E2287" t="s">
        <v>1194</v>
      </c>
      <c r="F2287">
        <v>119.5</v>
      </c>
      <c r="G2287">
        <v>230913</v>
      </c>
      <c r="H2287">
        <v>4600</v>
      </c>
      <c r="I2287" t="s">
        <v>105</v>
      </c>
      <c r="J2287">
        <v>148.18</v>
      </c>
      <c r="K2287">
        <v>28.68</v>
      </c>
      <c r="L2287">
        <v>17647</v>
      </c>
      <c r="M2287" t="s">
        <v>1132</v>
      </c>
      <c r="N2287" t="str">
        <f>"23090049    "</f>
        <v xml:space="preserve">23090049    </v>
      </c>
      <c r="O2287">
        <v>230929</v>
      </c>
    </row>
    <row r="2288" spans="1:15" x14ac:dyDescent="0.25">
      <c r="A2288" t="s">
        <v>16</v>
      </c>
      <c r="B2288" t="s">
        <v>3221</v>
      </c>
      <c r="C2288">
        <v>12561</v>
      </c>
      <c r="D2288" t="s">
        <v>2584</v>
      </c>
      <c r="E2288" t="s">
        <v>2585</v>
      </c>
      <c r="F2288">
        <v>121.2</v>
      </c>
      <c r="G2288">
        <v>230913</v>
      </c>
      <c r="H2288">
        <v>4400</v>
      </c>
      <c r="I2288" t="s">
        <v>348</v>
      </c>
      <c r="J2288">
        <v>150.29</v>
      </c>
      <c r="K2288">
        <v>29.09</v>
      </c>
      <c r="L2288">
        <v>14321</v>
      </c>
      <c r="M2288" t="s">
        <v>717</v>
      </c>
      <c r="N2288" t="str">
        <f>"3123028474  "</f>
        <v xml:space="preserve">3123028474  </v>
      </c>
      <c r="O2288">
        <v>230921</v>
      </c>
    </row>
    <row r="2289" spans="1:15" x14ac:dyDescent="0.25">
      <c r="A2289" t="s">
        <v>16</v>
      </c>
      <c r="B2289" t="s">
        <v>3221</v>
      </c>
      <c r="C2289">
        <v>14390</v>
      </c>
      <c r="D2289" t="s">
        <v>2767</v>
      </c>
      <c r="E2289" t="s">
        <v>2768</v>
      </c>
      <c r="F2289">
        <v>50</v>
      </c>
      <c r="G2289">
        <v>231024</v>
      </c>
      <c r="H2289">
        <v>4600</v>
      </c>
      <c r="I2289" t="s">
        <v>105</v>
      </c>
      <c r="J2289">
        <v>62</v>
      </c>
      <c r="K2289">
        <v>12</v>
      </c>
      <c r="L2289">
        <v>14972</v>
      </c>
      <c r="M2289" t="s">
        <v>898</v>
      </c>
      <c r="N2289" t="str">
        <f>"231016      "</f>
        <v xml:space="preserve">231016      </v>
      </c>
      <c r="O2289">
        <v>231030</v>
      </c>
    </row>
    <row r="2290" spans="1:15" x14ac:dyDescent="0.25">
      <c r="A2290" t="s">
        <v>16</v>
      </c>
      <c r="B2290" t="s">
        <v>3221</v>
      </c>
      <c r="C2290">
        <v>229</v>
      </c>
      <c r="D2290" t="s">
        <v>346</v>
      </c>
      <c r="E2290" t="s">
        <v>347</v>
      </c>
      <c r="F2290">
        <v>19549.78</v>
      </c>
      <c r="G2290">
        <v>230101</v>
      </c>
      <c r="H2290">
        <v>4343</v>
      </c>
      <c r="I2290" t="s">
        <v>91</v>
      </c>
      <c r="J2290">
        <v>24241.73</v>
      </c>
      <c r="K2290">
        <v>4691.95</v>
      </c>
      <c r="L2290">
        <v>11801</v>
      </c>
      <c r="M2290" t="s">
        <v>92</v>
      </c>
      <c r="N2290" t="str">
        <f>"5085382     "</f>
        <v xml:space="preserve">5085382     </v>
      </c>
      <c r="O2290">
        <v>230116</v>
      </c>
    </row>
    <row r="2291" spans="1:15" x14ac:dyDescent="0.25">
      <c r="A2291" t="s">
        <v>16</v>
      </c>
      <c r="B2291" t="s">
        <v>3221</v>
      </c>
      <c r="C2291">
        <v>1000</v>
      </c>
      <c r="D2291" t="s">
        <v>826</v>
      </c>
      <c r="E2291" t="s">
        <v>827</v>
      </c>
      <c r="F2291">
        <v>912</v>
      </c>
      <c r="G2291">
        <v>230123</v>
      </c>
      <c r="H2291">
        <v>4400</v>
      </c>
      <c r="I2291" t="s">
        <v>348</v>
      </c>
      <c r="J2291">
        <v>1130.8800000000001</v>
      </c>
      <c r="K2291">
        <v>218.88</v>
      </c>
      <c r="L2291">
        <v>46554</v>
      </c>
      <c r="M2291" t="s">
        <v>117</v>
      </c>
      <c r="N2291" t="str">
        <f>"023862      "</f>
        <v xml:space="preserve">023862      </v>
      </c>
      <c r="O2291">
        <v>230202</v>
      </c>
    </row>
    <row r="2292" spans="1:15" x14ac:dyDescent="0.25">
      <c r="A2292" t="s">
        <v>16</v>
      </c>
      <c r="B2292" t="s">
        <v>3221</v>
      </c>
      <c r="C2292">
        <v>16558</v>
      </c>
      <c r="D2292" t="s">
        <v>2992</v>
      </c>
      <c r="E2292" t="s">
        <v>2993</v>
      </c>
      <c r="F2292">
        <v>1076.4000000000001</v>
      </c>
      <c r="G2292">
        <v>231120</v>
      </c>
      <c r="H2292">
        <v>4600</v>
      </c>
      <c r="I2292" t="s">
        <v>105</v>
      </c>
      <c r="J2292">
        <v>1334.74</v>
      </c>
      <c r="K2292">
        <v>258.33999999999997</v>
      </c>
      <c r="L2292">
        <v>56550</v>
      </c>
      <c r="M2292" t="s">
        <v>913</v>
      </c>
      <c r="N2292" t="str">
        <f>"224369      "</f>
        <v xml:space="preserve">224369      </v>
      </c>
      <c r="O2292">
        <v>231201</v>
      </c>
    </row>
    <row r="2293" spans="1:15" x14ac:dyDescent="0.25">
      <c r="A2293" t="s">
        <v>16</v>
      </c>
      <c r="B2293" t="s">
        <v>3221</v>
      </c>
      <c r="C2293">
        <v>45</v>
      </c>
      <c r="D2293" t="s">
        <v>30</v>
      </c>
      <c r="E2293" t="s">
        <v>31</v>
      </c>
      <c r="F2293">
        <v>49.9</v>
      </c>
      <c r="G2293">
        <v>230101</v>
      </c>
      <c r="H2293">
        <v>4341</v>
      </c>
      <c r="I2293" t="s">
        <v>32</v>
      </c>
      <c r="J2293">
        <v>61.87</v>
      </c>
      <c r="K2293">
        <v>11.97</v>
      </c>
      <c r="L2293">
        <v>13501</v>
      </c>
      <c r="M2293" t="s">
        <v>20</v>
      </c>
      <c r="N2293" t="str">
        <f>"14899       "</f>
        <v xml:space="preserve">14899       </v>
      </c>
      <c r="O2293">
        <v>230104</v>
      </c>
    </row>
    <row r="2294" spans="1:15" x14ac:dyDescent="0.25">
      <c r="A2294" t="s">
        <v>16</v>
      </c>
      <c r="B2294" t="s">
        <v>3221</v>
      </c>
      <c r="C2294">
        <v>45</v>
      </c>
      <c r="D2294" t="s">
        <v>30</v>
      </c>
      <c r="E2294" t="s">
        <v>31</v>
      </c>
      <c r="F2294">
        <v>99.81</v>
      </c>
      <c r="G2294">
        <v>230101</v>
      </c>
      <c r="H2294">
        <v>4341</v>
      </c>
      <c r="I2294" t="s">
        <v>32</v>
      </c>
      <c r="J2294">
        <v>123.76</v>
      </c>
      <c r="K2294">
        <v>23.95</v>
      </c>
      <c r="L2294">
        <v>16121</v>
      </c>
      <c r="M2294" t="s">
        <v>21</v>
      </c>
      <c r="N2294" t="str">
        <f>"14899       "</f>
        <v xml:space="preserve">14899       </v>
      </c>
      <c r="O2294">
        <v>230104</v>
      </c>
    </row>
    <row r="2295" spans="1:15" x14ac:dyDescent="0.25">
      <c r="A2295" t="s">
        <v>16</v>
      </c>
      <c r="B2295" t="s">
        <v>3221</v>
      </c>
      <c r="C2295">
        <v>4323</v>
      </c>
      <c r="D2295" t="s">
        <v>30</v>
      </c>
      <c r="E2295" t="s">
        <v>31</v>
      </c>
      <c r="F2295">
        <v>49.9</v>
      </c>
      <c r="G2295">
        <v>230401</v>
      </c>
      <c r="H2295">
        <v>4341</v>
      </c>
      <c r="I2295" t="s">
        <v>32</v>
      </c>
      <c r="J2295">
        <v>61.87</v>
      </c>
      <c r="K2295">
        <v>11.97</v>
      </c>
      <c r="L2295">
        <v>13554</v>
      </c>
      <c r="M2295" t="s">
        <v>1691</v>
      </c>
      <c r="N2295" t="str">
        <f>"15274       "</f>
        <v xml:space="preserve">15274       </v>
      </c>
      <c r="O2295">
        <v>230404</v>
      </c>
    </row>
    <row r="2296" spans="1:15" x14ac:dyDescent="0.25">
      <c r="A2296" t="s">
        <v>16</v>
      </c>
      <c r="B2296" t="s">
        <v>3221</v>
      </c>
      <c r="C2296">
        <v>4323</v>
      </c>
      <c r="D2296" t="s">
        <v>30</v>
      </c>
      <c r="E2296" t="s">
        <v>31</v>
      </c>
      <c r="F2296">
        <v>99.81</v>
      </c>
      <c r="G2296">
        <v>230401</v>
      </c>
      <c r="H2296">
        <v>4341</v>
      </c>
      <c r="I2296" t="s">
        <v>32</v>
      </c>
      <c r="J2296">
        <v>123.76</v>
      </c>
      <c r="K2296">
        <v>23.95</v>
      </c>
      <c r="L2296">
        <v>17972</v>
      </c>
      <c r="M2296" t="s">
        <v>248</v>
      </c>
      <c r="N2296" t="str">
        <f>"15274       "</f>
        <v xml:space="preserve">15274       </v>
      </c>
      <c r="O2296">
        <v>230404</v>
      </c>
    </row>
    <row r="2297" spans="1:15" x14ac:dyDescent="0.25">
      <c r="A2297" t="s">
        <v>16</v>
      </c>
      <c r="B2297" t="s">
        <v>3221</v>
      </c>
      <c r="C2297">
        <v>9210</v>
      </c>
      <c r="D2297" t="s">
        <v>30</v>
      </c>
      <c r="E2297" t="s">
        <v>31</v>
      </c>
      <c r="F2297">
        <v>49.9</v>
      </c>
      <c r="G2297">
        <v>230701</v>
      </c>
      <c r="H2297">
        <v>4341</v>
      </c>
      <c r="I2297" t="s">
        <v>32</v>
      </c>
      <c r="J2297">
        <v>61.88</v>
      </c>
      <c r="K2297">
        <v>11.98</v>
      </c>
      <c r="L2297">
        <v>13554</v>
      </c>
      <c r="M2297" t="s">
        <v>1691</v>
      </c>
      <c r="N2297" t="str">
        <f>"15646       "</f>
        <v xml:space="preserve">15646       </v>
      </c>
      <c r="O2297">
        <v>230629</v>
      </c>
    </row>
    <row r="2298" spans="1:15" x14ac:dyDescent="0.25">
      <c r="A2298" t="s">
        <v>16</v>
      </c>
      <c r="B2298" t="s">
        <v>3221</v>
      </c>
      <c r="C2298">
        <v>9210</v>
      </c>
      <c r="D2298" t="s">
        <v>30</v>
      </c>
      <c r="E2298" t="s">
        <v>31</v>
      </c>
      <c r="F2298">
        <v>99.8</v>
      </c>
      <c r="G2298">
        <v>230701</v>
      </c>
      <c r="H2298">
        <v>4341</v>
      </c>
      <c r="I2298" t="s">
        <v>32</v>
      </c>
      <c r="J2298">
        <v>123.75</v>
      </c>
      <c r="K2298">
        <v>23.95</v>
      </c>
      <c r="L2298">
        <v>17972</v>
      </c>
      <c r="M2298" t="s">
        <v>248</v>
      </c>
      <c r="N2298" t="str">
        <f>"15646       "</f>
        <v xml:space="preserve">15646       </v>
      </c>
      <c r="O2298">
        <v>230629</v>
      </c>
    </row>
    <row r="2299" spans="1:15" x14ac:dyDescent="0.25">
      <c r="A2299" t="s">
        <v>16</v>
      </c>
      <c r="B2299" t="s">
        <v>3221</v>
      </c>
      <c r="C2299">
        <v>13087</v>
      </c>
      <c r="D2299" t="s">
        <v>30</v>
      </c>
      <c r="E2299" t="s">
        <v>31</v>
      </c>
      <c r="F2299">
        <v>49.9</v>
      </c>
      <c r="G2299">
        <v>231001</v>
      </c>
      <c r="H2299">
        <v>4341</v>
      </c>
      <c r="I2299" t="s">
        <v>32</v>
      </c>
      <c r="J2299">
        <v>61.87</v>
      </c>
      <c r="K2299">
        <v>11.97</v>
      </c>
      <c r="L2299">
        <v>13554</v>
      </c>
      <c r="M2299" t="s">
        <v>1691</v>
      </c>
      <c r="N2299" t="str">
        <f>"16001       "</f>
        <v xml:space="preserve">16001       </v>
      </c>
      <c r="O2299">
        <v>231003</v>
      </c>
    </row>
    <row r="2300" spans="1:15" x14ac:dyDescent="0.25">
      <c r="A2300" t="s">
        <v>16</v>
      </c>
      <c r="B2300" t="s">
        <v>3221</v>
      </c>
      <c r="C2300">
        <v>13087</v>
      </c>
      <c r="D2300" t="s">
        <v>30</v>
      </c>
      <c r="E2300" t="s">
        <v>31</v>
      </c>
      <c r="F2300">
        <v>99.81</v>
      </c>
      <c r="G2300">
        <v>231001</v>
      </c>
      <c r="H2300">
        <v>4341</v>
      </c>
      <c r="I2300" t="s">
        <v>32</v>
      </c>
      <c r="J2300">
        <v>123.76</v>
      </c>
      <c r="K2300">
        <v>23.95</v>
      </c>
      <c r="L2300">
        <v>17972</v>
      </c>
      <c r="M2300" t="s">
        <v>248</v>
      </c>
      <c r="N2300" t="str">
        <f>"16001       "</f>
        <v xml:space="preserve">16001       </v>
      </c>
      <c r="O2300">
        <v>231003</v>
      </c>
    </row>
    <row r="2301" spans="1:15" x14ac:dyDescent="0.25">
      <c r="A2301" t="s">
        <v>16</v>
      </c>
      <c r="B2301" t="s">
        <v>3221</v>
      </c>
      <c r="C2301">
        <v>565</v>
      </c>
      <c r="D2301" t="s">
        <v>560</v>
      </c>
      <c r="E2301" t="s">
        <v>561</v>
      </c>
      <c r="F2301">
        <v>644.52</v>
      </c>
      <c r="G2301">
        <v>230118</v>
      </c>
      <c r="H2301">
        <v>4600</v>
      </c>
      <c r="I2301" t="s">
        <v>105</v>
      </c>
      <c r="J2301">
        <v>799.21</v>
      </c>
      <c r="K2301">
        <v>154.69</v>
      </c>
      <c r="L2301">
        <v>54222</v>
      </c>
      <c r="M2301" t="s">
        <v>308</v>
      </c>
      <c r="N2301" t="str">
        <f>"91830863    "</f>
        <v xml:space="preserve">91830863    </v>
      </c>
      <c r="O2301">
        <v>230124</v>
      </c>
    </row>
    <row r="2302" spans="1:15" x14ac:dyDescent="0.25">
      <c r="A2302" t="s">
        <v>16</v>
      </c>
      <c r="B2302" t="s">
        <v>3221</v>
      </c>
      <c r="C2302">
        <v>565</v>
      </c>
      <c r="D2302" t="s">
        <v>560</v>
      </c>
      <c r="E2302" t="s">
        <v>561</v>
      </c>
      <c r="F2302">
        <v>644.52</v>
      </c>
      <c r="G2302">
        <v>230118</v>
      </c>
      <c r="H2302">
        <v>4600</v>
      </c>
      <c r="I2302" t="s">
        <v>105</v>
      </c>
      <c r="J2302">
        <v>799.21</v>
      </c>
      <c r="K2302">
        <v>154.69</v>
      </c>
      <c r="L2302">
        <v>54251</v>
      </c>
      <c r="M2302" t="s">
        <v>309</v>
      </c>
      <c r="N2302" t="str">
        <f>"91830863    "</f>
        <v xml:space="preserve">91830863    </v>
      </c>
      <c r="O2302">
        <v>230124</v>
      </c>
    </row>
    <row r="2303" spans="1:15" x14ac:dyDescent="0.25">
      <c r="A2303" t="s">
        <v>16</v>
      </c>
      <c r="B2303" t="s">
        <v>3221</v>
      </c>
      <c r="C2303">
        <v>3547</v>
      </c>
      <c r="D2303" t="s">
        <v>560</v>
      </c>
      <c r="E2303" t="s">
        <v>561</v>
      </c>
      <c r="F2303">
        <v>192.9</v>
      </c>
      <c r="G2303">
        <v>230310</v>
      </c>
      <c r="H2303">
        <v>4600</v>
      </c>
      <c r="I2303" t="s">
        <v>105</v>
      </c>
      <c r="J2303">
        <v>239.2</v>
      </c>
      <c r="K2303">
        <v>46.3</v>
      </c>
      <c r="L2303">
        <v>54222</v>
      </c>
      <c r="M2303" t="s">
        <v>308</v>
      </c>
      <c r="N2303" t="str">
        <f>"91843297    "</f>
        <v xml:space="preserve">91843297    </v>
      </c>
      <c r="O2303">
        <v>230316</v>
      </c>
    </row>
    <row r="2304" spans="1:15" x14ac:dyDescent="0.25">
      <c r="A2304" t="s">
        <v>16</v>
      </c>
      <c r="B2304" t="s">
        <v>3221</v>
      </c>
      <c r="C2304">
        <v>3547</v>
      </c>
      <c r="D2304" t="s">
        <v>560</v>
      </c>
      <c r="E2304" t="s">
        <v>561</v>
      </c>
      <c r="F2304">
        <v>192.9</v>
      </c>
      <c r="G2304">
        <v>230310</v>
      </c>
      <c r="H2304">
        <v>4600</v>
      </c>
      <c r="I2304" t="s">
        <v>105</v>
      </c>
      <c r="J2304">
        <v>239.19</v>
      </c>
      <c r="K2304">
        <v>46.29</v>
      </c>
      <c r="L2304">
        <v>54251</v>
      </c>
      <c r="M2304" t="s">
        <v>309</v>
      </c>
      <c r="N2304" t="str">
        <f>"91843297    "</f>
        <v xml:space="preserve">91843297    </v>
      </c>
      <c r="O2304">
        <v>230316</v>
      </c>
    </row>
    <row r="2305" spans="1:15" x14ac:dyDescent="0.25">
      <c r="A2305" t="s">
        <v>16</v>
      </c>
      <c r="B2305" t="s">
        <v>3221</v>
      </c>
      <c r="C2305">
        <v>5788</v>
      </c>
      <c r="D2305" t="s">
        <v>560</v>
      </c>
      <c r="E2305" t="s">
        <v>561</v>
      </c>
      <c r="F2305">
        <v>246.3</v>
      </c>
      <c r="G2305">
        <v>230420</v>
      </c>
      <c r="H2305">
        <v>4600</v>
      </c>
      <c r="I2305" t="s">
        <v>105</v>
      </c>
      <c r="J2305">
        <v>305.41000000000003</v>
      </c>
      <c r="K2305">
        <v>59.11</v>
      </c>
      <c r="L2305">
        <v>54222</v>
      </c>
      <c r="M2305" t="s">
        <v>308</v>
      </c>
      <c r="N2305" t="str">
        <f>"91851723    "</f>
        <v xml:space="preserve">91851723    </v>
      </c>
      <c r="O2305">
        <v>230502</v>
      </c>
    </row>
    <row r="2306" spans="1:15" x14ac:dyDescent="0.25">
      <c r="A2306" t="s">
        <v>16</v>
      </c>
      <c r="B2306" t="s">
        <v>3221</v>
      </c>
      <c r="C2306">
        <v>5788</v>
      </c>
      <c r="D2306" t="s">
        <v>560</v>
      </c>
      <c r="E2306" t="s">
        <v>561</v>
      </c>
      <c r="F2306">
        <v>246.3</v>
      </c>
      <c r="G2306">
        <v>230420</v>
      </c>
      <c r="H2306">
        <v>4600</v>
      </c>
      <c r="I2306" t="s">
        <v>105</v>
      </c>
      <c r="J2306">
        <v>305.41000000000003</v>
      </c>
      <c r="K2306">
        <v>59.11</v>
      </c>
      <c r="L2306">
        <v>54251</v>
      </c>
      <c r="M2306" t="s">
        <v>309</v>
      </c>
      <c r="N2306" t="str">
        <f>"91851723    "</f>
        <v xml:space="preserve">91851723    </v>
      </c>
      <c r="O2306">
        <v>230502</v>
      </c>
    </row>
    <row r="2307" spans="1:15" x14ac:dyDescent="0.25">
      <c r="A2307" t="s">
        <v>16</v>
      </c>
      <c r="B2307" t="s">
        <v>3221</v>
      </c>
      <c r="C2307">
        <v>10979</v>
      </c>
      <c r="D2307" t="s">
        <v>560</v>
      </c>
      <c r="E2307" t="s">
        <v>561</v>
      </c>
      <c r="F2307">
        <v>552.38</v>
      </c>
      <c r="G2307">
        <v>230818</v>
      </c>
      <c r="H2307">
        <v>4600</v>
      </c>
      <c r="I2307" t="s">
        <v>105</v>
      </c>
      <c r="J2307">
        <v>684.95</v>
      </c>
      <c r="K2307">
        <v>132.57</v>
      </c>
      <c r="L2307">
        <v>54222</v>
      </c>
      <c r="M2307" t="s">
        <v>308</v>
      </c>
      <c r="N2307" t="str">
        <f>"91879544    "</f>
        <v xml:space="preserve">91879544    </v>
      </c>
      <c r="O2307">
        <v>230825</v>
      </c>
    </row>
    <row r="2308" spans="1:15" x14ac:dyDescent="0.25">
      <c r="A2308" t="s">
        <v>16</v>
      </c>
      <c r="B2308" t="s">
        <v>3221</v>
      </c>
      <c r="C2308">
        <v>10979</v>
      </c>
      <c r="D2308" t="s">
        <v>560</v>
      </c>
      <c r="E2308" t="s">
        <v>561</v>
      </c>
      <c r="F2308">
        <v>552.37</v>
      </c>
      <c r="G2308">
        <v>230818</v>
      </c>
      <c r="H2308">
        <v>4600</v>
      </c>
      <c r="I2308" t="s">
        <v>105</v>
      </c>
      <c r="J2308">
        <v>684.94</v>
      </c>
      <c r="K2308">
        <v>132.57</v>
      </c>
      <c r="L2308">
        <v>54251</v>
      </c>
      <c r="M2308" t="s">
        <v>309</v>
      </c>
      <c r="N2308" t="str">
        <f>"91879544    "</f>
        <v xml:space="preserve">91879544    </v>
      </c>
      <c r="O2308">
        <v>230825</v>
      </c>
    </row>
    <row r="2309" spans="1:15" x14ac:dyDescent="0.25">
      <c r="A2309" t="s">
        <v>16</v>
      </c>
      <c r="B2309" t="s">
        <v>3221</v>
      </c>
      <c r="C2309">
        <v>13218</v>
      </c>
      <c r="D2309" t="s">
        <v>560</v>
      </c>
      <c r="E2309" t="s">
        <v>561</v>
      </c>
      <c r="F2309">
        <v>682.62</v>
      </c>
      <c r="G2309">
        <v>230929</v>
      </c>
      <c r="H2309">
        <v>4600</v>
      </c>
      <c r="I2309" t="s">
        <v>105</v>
      </c>
      <c r="J2309">
        <v>846.45</v>
      </c>
      <c r="K2309">
        <v>163.83000000000001</v>
      </c>
      <c r="L2309">
        <v>54222</v>
      </c>
      <c r="M2309" t="s">
        <v>308</v>
      </c>
      <c r="N2309" t="str">
        <f>"91889362    "</f>
        <v xml:space="preserve">91889362    </v>
      </c>
      <c r="O2309">
        <v>231005</v>
      </c>
    </row>
    <row r="2310" spans="1:15" x14ac:dyDescent="0.25">
      <c r="A2310" t="s">
        <v>16</v>
      </c>
      <c r="B2310" t="s">
        <v>3221</v>
      </c>
      <c r="C2310">
        <v>13218</v>
      </c>
      <c r="D2310" t="s">
        <v>560</v>
      </c>
      <c r="E2310" t="s">
        <v>561</v>
      </c>
      <c r="F2310">
        <v>682.61</v>
      </c>
      <c r="G2310">
        <v>230929</v>
      </c>
      <c r="H2310">
        <v>4600</v>
      </c>
      <c r="I2310" t="s">
        <v>105</v>
      </c>
      <c r="J2310">
        <v>846.44</v>
      </c>
      <c r="K2310">
        <v>163.83000000000001</v>
      </c>
      <c r="L2310">
        <v>54251</v>
      </c>
      <c r="M2310" t="s">
        <v>309</v>
      </c>
      <c r="N2310" t="str">
        <f>"91889362    "</f>
        <v xml:space="preserve">91889362    </v>
      </c>
      <c r="O2310">
        <v>231005</v>
      </c>
    </row>
    <row r="2311" spans="1:15" x14ac:dyDescent="0.25">
      <c r="A2311" t="s">
        <v>16</v>
      </c>
      <c r="B2311" t="s">
        <v>3221</v>
      </c>
      <c r="C2311">
        <v>13577</v>
      </c>
      <c r="D2311" t="s">
        <v>560</v>
      </c>
      <c r="E2311" t="s">
        <v>561</v>
      </c>
      <c r="F2311">
        <v>244.5</v>
      </c>
      <c r="G2311">
        <v>231003</v>
      </c>
      <c r="H2311">
        <v>4600</v>
      </c>
      <c r="I2311" t="s">
        <v>105</v>
      </c>
      <c r="J2311">
        <v>303.18</v>
      </c>
      <c r="K2311">
        <v>58.68</v>
      </c>
      <c r="L2311">
        <v>54222</v>
      </c>
      <c r="M2311" t="s">
        <v>308</v>
      </c>
      <c r="N2311" t="str">
        <f>"91889835    "</f>
        <v xml:space="preserve">91889835    </v>
      </c>
      <c r="O2311">
        <v>231011</v>
      </c>
    </row>
    <row r="2312" spans="1:15" x14ac:dyDescent="0.25">
      <c r="A2312" t="s">
        <v>16</v>
      </c>
      <c r="B2312" t="s">
        <v>3221</v>
      </c>
      <c r="C2312">
        <v>13577</v>
      </c>
      <c r="D2312" t="s">
        <v>560</v>
      </c>
      <c r="E2312" t="s">
        <v>561</v>
      </c>
      <c r="F2312">
        <v>244.5</v>
      </c>
      <c r="G2312">
        <v>231003</v>
      </c>
      <c r="H2312">
        <v>4600</v>
      </c>
      <c r="I2312" t="s">
        <v>105</v>
      </c>
      <c r="J2312">
        <v>303.18</v>
      </c>
      <c r="K2312">
        <v>58.68</v>
      </c>
      <c r="L2312">
        <v>54251</v>
      </c>
      <c r="M2312" t="s">
        <v>309</v>
      </c>
      <c r="N2312" t="str">
        <f>"91889835    "</f>
        <v xml:space="preserve">91889835    </v>
      </c>
      <c r="O2312">
        <v>231011</v>
      </c>
    </row>
    <row r="2313" spans="1:15" x14ac:dyDescent="0.25">
      <c r="A2313" t="s">
        <v>16</v>
      </c>
      <c r="B2313" t="s">
        <v>3221</v>
      </c>
      <c r="C2313">
        <v>16105</v>
      </c>
      <c r="D2313" t="s">
        <v>560</v>
      </c>
      <c r="E2313" t="s">
        <v>561</v>
      </c>
      <c r="F2313">
        <v>1418.68</v>
      </c>
      <c r="G2313">
        <v>231115</v>
      </c>
      <c r="H2313">
        <v>4600</v>
      </c>
      <c r="I2313" t="s">
        <v>105</v>
      </c>
      <c r="J2313">
        <v>1759.16</v>
      </c>
      <c r="K2313">
        <v>340.48</v>
      </c>
      <c r="L2313">
        <v>54251</v>
      </c>
      <c r="M2313" t="s">
        <v>309</v>
      </c>
      <c r="N2313" t="str">
        <f>"91901594    "</f>
        <v xml:space="preserve">91901594    </v>
      </c>
      <c r="O2313">
        <v>231122</v>
      </c>
    </row>
    <row r="2314" spans="1:15" x14ac:dyDescent="0.25">
      <c r="A2314" t="s">
        <v>16</v>
      </c>
      <c r="B2314" t="s">
        <v>3221</v>
      </c>
      <c r="C2314">
        <v>16300</v>
      </c>
      <c r="D2314" t="s">
        <v>560</v>
      </c>
      <c r="E2314" t="s">
        <v>561</v>
      </c>
      <c r="F2314">
        <v>378.6</v>
      </c>
      <c r="G2314">
        <v>231121</v>
      </c>
      <c r="H2314">
        <v>4600</v>
      </c>
      <c r="I2314" t="s">
        <v>105</v>
      </c>
      <c r="J2314">
        <v>469.46</v>
      </c>
      <c r="K2314">
        <v>90.86</v>
      </c>
      <c r="L2314">
        <v>54251</v>
      </c>
      <c r="M2314" t="s">
        <v>309</v>
      </c>
      <c r="N2314" t="str">
        <f>"91903077    "</f>
        <v xml:space="preserve">91903077    </v>
      </c>
      <c r="O2314">
        <v>231127</v>
      </c>
    </row>
    <row r="2315" spans="1:15" x14ac:dyDescent="0.25">
      <c r="A2315" t="s">
        <v>16</v>
      </c>
      <c r="B2315" t="s">
        <v>3221</v>
      </c>
      <c r="C2315">
        <v>461</v>
      </c>
      <c r="D2315" t="s">
        <v>560</v>
      </c>
      <c r="E2315" t="s">
        <v>561</v>
      </c>
      <c r="F2315">
        <v>324.39999999999998</v>
      </c>
      <c r="G2315">
        <v>230118</v>
      </c>
      <c r="H2315">
        <v>4555</v>
      </c>
      <c r="I2315" t="s">
        <v>481</v>
      </c>
      <c r="J2315">
        <v>402.26</v>
      </c>
      <c r="K2315">
        <v>77.86</v>
      </c>
      <c r="L2315">
        <v>44422</v>
      </c>
      <c r="M2315" t="s">
        <v>482</v>
      </c>
      <c r="N2315" t="str">
        <f>"91830864    "</f>
        <v xml:space="preserve">91830864    </v>
      </c>
      <c r="O2315">
        <v>230123</v>
      </c>
    </row>
    <row r="2316" spans="1:15" x14ac:dyDescent="0.25">
      <c r="A2316" t="s">
        <v>16</v>
      </c>
      <c r="B2316" t="s">
        <v>3221</v>
      </c>
      <c r="C2316">
        <v>4964</v>
      </c>
      <c r="D2316" t="s">
        <v>560</v>
      </c>
      <c r="E2316" t="s">
        <v>561</v>
      </c>
      <c r="F2316">
        <v>590.1</v>
      </c>
      <c r="G2316">
        <v>230324</v>
      </c>
      <c r="H2316">
        <v>4555</v>
      </c>
      <c r="I2316" t="s">
        <v>481</v>
      </c>
      <c r="J2316">
        <v>731.72</v>
      </c>
      <c r="K2316">
        <v>141.62</v>
      </c>
      <c r="L2316">
        <v>44453</v>
      </c>
      <c r="M2316" t="s">
        <v>492</v>
      </c>
      <c r="N2316" t="str">
        <f>"91846339    "</f>
        <v xml:space="preserve">91846339    </v>
      </c>
      <c r="O2316">
        <v>230414</v>
      </c>
    </row>
    <row r="2317" spans="1:15" x14ac:dyDescent="0.25">
      <c r="A2317" t="s">
        <v>16</v>
      </c>
      <c r="B2317" t="s">
        <v>3221</v>
      </c>
      <c r="C2317">
        <v>7119</v>
      </c>
      <c r="D2317" t="s">
        <v>560</v>
      </c>
      <c r="E2317" t="s">
        <v>561</v>
      </c>
      <c r="F2317">
        <v>325.17</v>
      </c>
      <c r="G2317">
        <v>230427</v>
      </c>
      <c r="H2317">
        <v>4555</v>
      </c>
      <c r="I2317" t="s">
        <v>481</v>
      </c>
      <c r="J2317">
        <v>403.21</v>
      </c>
      <c r="K2317">
        <v>78.040000000000006</v>
      </c>
      <c r="L2317">
        <v>44422</v>
      </c>
      <c r="M2317" t="s">
        <v>482</v>
      </c>
      <c r="N2317" t="str">
        <f>"91853618    "</f>
        <v xml:space="preserve">91853618    </v>
      </c>
      <c r="O2317">
        <v>230525</v>
      </c>
    </row>
    <row r="2318" spans="1:15" x14ac:dyDescent="0.25">
      <c r="A2318" t="s">
        <v>16</v>
      </c>
      <c r="B2318" t="s">
        <v>3221</v>
      </c>
      <c r="C2318">
        <v>12163</v>
      </c>
      <c r="D2318" t="s">
        <v>560</v>
      </c>
      <c r="E2318" t="s">
        <v>561</v>
      </c>
      <c r="F2318">
        <v>343.8</v>
      </c>
      <c r="G2318">
        <v>230825</v>
      </c>
      <c r="H2318">
        <v>4555</v>
      </c>
      <c r="I2318" t="s">
        <v>481</v>
      </c>
      <c r="J2318">
        <v>426.31</v>
      </c>
      <c r="K2318">
        <v>82.51</v>
      </c>
      <c r="L2318">
        <v>44453</v>
      </c>
      <c r="M2318" t="s">
        <v>492</v>
      </c>
      <c r="N2318" t="str">
        <f>"91881082    "</f>
        <v xml:space="preserve">91881082    </v>
      </c>
      <c r="O2318">
        <v>230914</v>
      </c>
    </row>
    <row r="2319" spans="1:15" x14ac:dyDescent="0.25">
      <c r="A2319" t="s">
        <v>16</v>
      </c>
      <c r="B2319" t="s">
        <v>3221</v>
      </c>
      <c r="C2319">
        <v>14724</v>
      </c>
      <c r="D2319" t="s">
        <v>560</v>
      </c>
      <c r="E2319" t="s">
        <v>561</v>
      </c>
      <c r="F2319">
        <v>595.37</v>
      </c>
      <c r="G2319">
        <v>231020</v>
      </c>
      <c r="H2319">
        <v>4555</v>
      </c>
      <c r="I2319" t="s">
        <v>481</v>
      </c>
      <c r="J2319">
        <v>738.26</v>
      </c>
      <c r="K2319">
        <v>142.88999999999999</v>
      </c>
      <c r="L2319">
        <v>44453</v>
      </c>
      <c r="M2319" t="s">
        <v>492</v>
      </c>
      <c r="N2319" t="str">
        <f>"91894933    "</f>
        <v xml:space="preserve">91894933    </v>
      </c>
      <c r="O2319">
        <v>231101</v>
      </c>
    </row>
    <row r="2320" spans="1:15" x14ac:dyDescent="0.25">
      <c r="A2320" t="s">
        <v>16</v>
      </c>
      <c r="B2320" t="s">
        <v>3221</v>
      </c>
      <c r="C2320">
        <v>17662</v>
      </c>
      <c r="D2320" t="s">
        <v>560</v>
      </c>
      <c r="E2320" t="s">
        <v>561</v>
      </c>
      <c r="F2320">
        <v>284.39999999999998</v>
      </c>
      <c r="G2320">
        <v>231103</v>
      </c>
      <c r="H2320">
        <v>4555</v>
      </c>
      <c r="I2320" t="s">
        <v>481</v>
      </c>
      <c r="J2320">
        <v>352.66</v>
      </c>
      <c r="K2320">
        <v>68.260000000000005</v>
      </c>
      <c r="L2320">
        <v>44453</v>
      </c>
      <c r="M2320" t="s">
        <v>492</v>
      </c>
      <c r="N2320" t="str">
        <f>"91898746    "</f>
        <v xml:space="preserve">91898746    </v>
      </c>
      <c r="O2320">
        <v>231219</v>
      </c>
    </row>
    <row r="2321" spans="1:15" x14ac:dyDescent="0.25">
      <c r="A2321" t="s">
        <v>16</v>
      </c>
      <c r="B2321" t="s">
        <v>3221</v>
      </c>
      <c r="C2321">
        <v>1307</v>
      </c>
      <c r="D2321" t="s">
        <v>3235</v>
      </c>
      <c r="E2321" t="s">
        <v>3236</v>
      </c>
      <c r="F2321">
        <v>551.45000000000005</v>
      </c>
      <c r="G2321">
        <v>230301</v>
      </c>
      <c r="H2321">
        <v>4840</v>
      </c>
      <c r="I2321" t="s">
        <v>19</v>
      </c>
      <c r="J2321">
        <v>683.8</v>
      </c>
      <c r="K2321">
        <v>132.35</v>
      </c>
      <c r="L2321">
        <v>16431</v>
      </c>
      <c r="M2321" t="s">
        <v>231</v>
      </c>
      <c r="N2321" t="str">
        <f>"499694399   "</f>
        <v xml:space="preserve">499694399   </v>
      </c>
      <c r="O2321">
        <v>230207</v>
      </c>
    </row>
    <row r="2322" spans="1:15" x14ac:dyDescent="0.25">
      <c r="A2322" t="s">
        <v>16</v>
      </c>
      <c r="B2322" t="s">
        <v>3221</v>
      </c>
      <c r="C2322">
        <v>6208</v>
      </c>
      <c r="D2322" t="s">
        <v>3235</v>
      </c>
      <c r="E2322" t="s">
        <v>3236</v>
      </c>
      <c r="F2322">
        <v>539.98</v>
      </c>
      <c r="G2322">
        <v>230601</v>
      </c>
      <c r="H2322">
        <v>4840</v>
      </c>
      <c r="I2322" t="s">
        <v>19</v>
      </c>
      <c r="J2322">
        <v>669.58</v>
      </c>
      <c r="K2322">
        <v>129.6</v>
      </c>
      <c r="L2322">
        <v>16431</v>
      </c>
      <c r="M2322" t="s">
        <v>231</v>
      </c>
      <c r="N2322" t="str">
        <f>"500947090   "</f>
        <v xml:space="preserve">500947090   </v>
      </c>
      <c r="O2322">
        <v>230508</v>
      </c>
    </row>
    <row r="2323" spans="1:15" x14ac:dyDescent="0.25">
      <c r="A2323" t="s">
        <v>16</v>
      </c>
      <c r="B2323" t="s">
        <v>3221</v>
      </c>
      <c r="C2323">
        <v>10122</v>
      </c>
      <c r="D2323" t="s">
        <v>3235</v>
      </c>
      <c r="E2323" t="s">
        <v>3236</v>
      </c>
      <c r="F2323">
        <v>539.98</v>
      </c>
      <c r="G2323">
        <v>230901</v>
      </c>
      <c r="H2323">
        <v>4840</v>
      </c>
      <c r="I2323" t="s">
        <v>19</v>
      </c>
      <c r="J2323">
        <v>669.58</v>
      </c>
      <c r="K2323">
        <v>129.6</v>
      </c>
      <c r="L2323">
        <v>16442</v>
      </c>
      <c r="M2323" t="s">
        <v>430</v>
      </c>
      <c r="N2323" t="str">
        <f>"502175792   "</f>
        <v xml:space="preserve">502175792   </v>
      </c>
      <c r="O2323">
        <v>230808</v>
      </c>
    </row>
    <row r="2324" spans="1:15" x14ac:dyDescent="0.25">
      <c r="A2324" t="s">
        <v>16</v>
      </c>
      <c r="B2324" t="s">
        <v>3221</v>
      </c>
      <c r="C2324">
        <v>15526</v>
      </c>
      <c r="D2324" t="s">
        <v>3235</v>
      </c>
      <c r="E2324" t="s">
        <v>3236</v>
      </c>
      <c r="F2324">
        <v>183.95</v>
      </c>
      <c r="G2324">
        <v>231201</v>
      </c>
      <c r="H2324">
        <v>4840</v>
      </c>
      <c r="I2324" t="s">
        <v>19</v>
      </c>
      <c r="J2324">
        <v>228.1</v>
      </c>
      <c r="K2324">
        <v>44.15</v>
      </c>
      <c r="L2324">
        <v>16431</v>
      </c>
      <c r="M2324" t="s">
        <v>231</v>
      </c>
      <c r="N2324" t="str">
        <f>"503424895   "</f>
        <v xml:space="preserve">503424895   </v>
      </c>
      <c r="O2324">
        <v>231113</v>
      </c>
    </row>
    <row r="2325" spans="1:15" x14ac:dyDescent="0.25">
      <c r="A2325" t="s">
        <v>16</v>
      </c>
      <c r="B2325" t="s">
        <v>3221</v>
      </c>
      <c r="C2325">
        <v>6208</v>
      </c>
      <c r="D2325" t="s">
        <v>3235</v>
      </c>
      <c r="E2325" t="s">
        <v>3236</v>
      </c>
      <c r="F2325">
        <v>14.22</v>
      </c>
      <c r="G2325">
        <v>230601</v>
      </c>
      <c r="H2325">
        <v>4370</v>
      </c>
      <c r="I2325" t="s">
        <v>25</v>
      </c>
      <c r="J2325">
        <v>14.22</v>
      </c>
      <c r="K2325">
        <v>0</v>
      </c>
      <c r="L2325">
        <v>16431</v>
      </c>
      <c r="M2325" t="s">
        <v>231</v>
      </c>
      <c r="N2325" t="str">
        <f>"500947090   "</f>
        <v xml:space="preserve">500947090   </v>
      </c>
      <c r="O2325">
        <v>230508</v>
      </c>
    </row>
    <row r="2326" spans="1:15" x14ac:dyDescent="0.25">
      <c r="A2326" t="s">
        <v>16</v>
      </c>
      <c r="B2326" t="s">
        <v>3221</v>
      </c>
      <c r="C2326">
        <v>10122</v>
      </c>
      <c r="D2326" t="s">
        <v>3235</v>
      </c>
      <c r="E2326" t="s">
        <v>3236</v>
      </c>
      <c r="F2326">
        <v>14.22</v>
      </c>
      <c r="G2326">
        <v>230901</v>
      </c>
      <c r="H2326">
        <v>4370</v>
      </c>
      <c r="I2326" t="s">
        <v>25</v>
      </c>
      <c r="J2326">
        <v>14.22</v>
      </c>
      <c r="K2326">
        <v>0</v>
      </c>
      <c r="L2326">
        <v>16442</v>
      </c>
      <c r="M2326" t="s">
        <v>430</v>
      </c>
      <c r="N2326" t="str">
        <f>"502175792   "</f>
        <v xml:space="preserve">502175792   </v>
      </c>
      <c r="O2326">
        <v>230808</v>
      </c>
    </row>
    <row r="2327" spans="1:15" x14ac:dyDescent="0.25">
      <c r="A2327" t="s">
        <v>16</v>
      </c>
      <c r="B2327" t="s">
        <v>3221</v>
      </c>
      <c r="C2327">
        <v>15526</v>
      </c>
      <c r="D2327" t="s">
        <v>3235</v>
      </c>
      <c r="E2327" t="s">
        <v>3236</v>
      </c>
      <c r="F2327">
        <v>4.84</v>
      </c>
      <c r="G2327">
        <v>231201</v>
      </c>
      <c r="H2327">
        <v>4370</v>
      </c>
      <c r="I2327" t="s">
        <v>25</v>
      </c>
      <c r="J2327">
        <v>4.84</v>
      </c>
      <c r="K2327">
        <v>0</v>
      </c>
      <c r="L2327">
        <v>16431</v>
      </c>
      <c r="M2327" t="s">
        <v>231</v>
      </c>
      <c r="N2327" t="str">
        <f>"503424895   "</f>
        <v xml:space="preserve">503424895   </v>
      </c>
      <c r="O2327">
        <v>231113</v>
      </c>
    </row>
    <row r="2328" spans="1:15" x14ac:dyDescent="0.25">
      <c r="A2328" t="s">
        <v>16</v>
      </c>
      <c r="B2328" t="s">
        <v>3221</v>
      </c>
      <c r="C2328">
        <v>6432</v>
      </c>
      <c r="D2328" t="s">
        <v>1965</v>
      </c>
      <c r="E2328" t="s">
        <v>1966</v>
      </c>
      <c r="F2328">
        <v>645.5</v>
      </c>
      <c r="G2328">
        <v>230428</v>
      </c>
      <c r="H2328">
        <v>4580</v>
      </c>
      <c r="I2328" t="s">
        <v>35</v>
      </c>
      <c r="J2328">
        <v>800.42</v>
      </c>
      <c r="K2328">
        <v>154.91999999999999</v>
      </c>
      <c r="L2328">
        <v>14971</v>
      </c>
      <c r="M2328" t="s">
        <v>1259</v>
      </c>
      <c r="N2328" t="str">
        <f>"45560       "</f>
        <v xml:space="preserve">45560       </v>
      </c>
      <c r="O2328">
        <v>230511</v>
      </c>
    </row>
    <row r="2329" spans="1:15" x14ac:dyDescent="0.25">
      <c r="A2329" t="s">
        <v>16</v>
      </c>
      <c r="B2329" t="s">
        <v>3221</v>
      </c>
      <c r="C2329">
        <v>14546</v>
      </c>
      <c r="D2329" t="s">
        <v>2781</v>
      </c>
      <c r="E2329" t="s">
        <v>2782</v>
      </c>
      <c r="F2329">
        <v>240</v>
      </c>
      <c r="G2329">
        <v>231013</v>
      </c>
      <c r="H2329">
        <v>4840</v>
      </c>
      <c r="I2329" t="s">
        <v>19</v>
      </c>
      <c r="J2329">
        <v>297.60000000000002</v>
      </c>
      <c r="K2329">
        <v>57.6</v>
      </c>
      <c r="L2329">
        <v>17521</v>
      </c>
      <c r="M2329" t="s">
        <v>133</v>
      </c>
      <c r="N2329" t="str">
        <f>"6038070834  "</f>
        <v xml:space="preserve">6038070834  </v>
      </c>
      <c r="O2329">
        <v>231030</v>
      </c>
    </row>
    <row r="2330" spans="1:15" x14ac:dyDescent="0.25">
      <c r="A2330" t="s">
        <v>16</v>
      </c>
      <c r="B2330" t="s">
        <v>3221</v>
      </c>
      <c r="C2330">
        <v>979</v>
      </c>
      <c r="D2330" t="s">
        <v>413</v>
      </c>
      <c r="E2330" t="s">
        <v>414</v>
      </c>
      <c r="F2330">
        <v>368</v>
      </c>
      <c r="G2330">
        <v>230126</v>
      </c>
      <c r="H2330">
        <v>4534</v>
      </c>
      <c r="I2330" t="s">
        <v>273</v>
      </c>
      <c r="J2330">
        <v>456.32</v>
      </c>
      <c r="K2330">
        <v>88.32</v>
      </c>
      <c r="L2330">
        <v>67554</v>
      </c>
      <c r="M2330" t="s">
        <v>60</v>
      </c>
      <c r="N2330" t="str">
        <f>"2138821942  "</f>
        <v xml:space="preserve">2138821942  </v>
      </c>
      <c r="O2330">
        <v>230202</v>
      </c>
    </row>
    <row r="2331" spans="1:15" x14ac:dyDescent="0.25">
      <c r="A2331" t="s">
        <v>16</v>
      </c>
      <c r="B2331" t="s">
        <v>3221</v>
      </c>
      <c r="C2331">
        <v>8795</v>
      </c>
      <c r="D2331" t="s">
        <v>413</v>
      </c>
      <c r="E2331" t="s">
        <v>414</v>
      </c>
      <c r="F2331">
        <v>187.2</v>
      </c>
      <c r="G2331">
        <v>230602</v>
      </c>
      <c r="H2331">
        <v>4534</v>
      </c>
      <c r="I2331" t="s">
        <v>273</v>
      </c>
      <c r="J2331">
        <v>232.13</v>
      </c>
      <c r="K2331">
        <v>44.93</v>
      </c>
      <c r="L2331">
        <v>67554</v>
      </c>
      <c r="M2331" t="s">
        <v>60</v>
      </c>
      <c r="N2331" t="str">
        <f>"2138832526  "</f>
        <v xml:space="preserve">2138832526  </v>
      </c>
      <c r="O2331">
        <v>230615</v>
      </c>
    </row>
    <row r="2332" spans="1:15" x14ac:dyDescent="0.25">
      <c r="A2332" t="s">
        <v>16</v>
      </c>
      <c r="B2332" t="s">
        <v>3221</v>
      </c>
      <c r="C2332">
        <v>12779</v>
      </c>
      <c r="D2332" t="s">
        <v>413</v>
      </c>
      <c r="E2332" t="s">
        <v>414</v>
      </c>
      <c r="F2332">
        <v>459</v>
      </c>
      <c r="G2332">
        <v>230922</v>
      </c>
      <c r="H2332">
        <v>4580</v>
      </c>
      <c r="I2332" t="s">
        <v>35</v>
      </c>
      <c r="J2332">
        <v>569.16</v>
      </c>
      <c r="K2332">
        <v>110.16</v>
      </c>
      <c r="L2332">
        <v>67522</v>
      </c>
      <c r="M2332" t="s">
        <v>397</v>
      </c>
      <c r="N2332" t="str">
        <f>"2138840917  "</f>
        <v xml:space="preserve">2138840917  </v>
      </c>
      <c r="O2332">
        <v>230926</v>
      </c>
    </row>
    <row r="2333" spans="1:15" x14ac:dyDescent="0.25">
      <c r="A2333" t="s">
        <v>16</v>
      </c>
      <c r="B2333" t="s">
        <v>3221</v>
      </c>
      <c r="C2333">
        <v>760</v>
      </c>
      <c r="D2333" t="s">
        <v>413</v>
      </c>
      <c r="E2333" t="s">
        <v>414</v>
      </c>
      <c r="F2333">
        <v>787.42</v>
      </c>
      <c r="G2333">
        <v>230124</v>
      </c>
      <c r="H2333">
        <v>4400</v>
      </c>
      <c r="I2333" t="s">
        <v>348</v>
      </c>
      <c r="J2333">
        <v>976.4</v>
      </c>
      <c r="K2333">
        <v>188.98</v>
      </c>
      <c r="L2333">
        <v>67554</v>
      </c>
      <c r="M2333" t="s">
        <v>60</v>
      </c>
      <c r="N2333" t="str">
        <f>"2138821757  "</f>
        <v xml:space="preserve">2138821757  </v>
      </c>
      <c r="O2333">
        <v>230130</v>
      </c>
    </row>
    <row r="2334" spans="1:15" x14ac:dyDescent="0.25">
      <c r="A2334" t="s">
        <v>16</v>
      </c>
      <c r="B2334" t="s">
        <v>3221</v>
      </c>
      <c r="C2334">
        <v>2479</v>
      </c>
      <c r="D2334" t="s">
        <v>413</v>
      </c>
      <c r="E2334" t="s">
        <v>414</v>
      </c>
      <c r="F2334">
        <v>382.77</v>
      </c>
      <c r="G2334">
        <v>230223</v>
      </c>
      <c r="H2334">
        <v>4400</v>
      </c>
      <c r="I2334" t="s">
        <v>348</v>
      </c>
      <c r="J2334">
        <v>474.63</v>
      </c>
      <c r="K2334">
        <v>91.86</v>
      </c>
      <c r="L2334">
        <v>17737</v>
      </c>
      <c r="M2334" t="s">
        <v>279</v>
      </c>
      <c r="N2334" t="str">
        <f>"2138824384  "</f>
        <v xml:space="preserve">2138824384  </v>
      </c>
      <c r="O2334">
        <v>230228</v>
      </c>
    </row>
    <row r="2335" spans="1:15" x14ac:dyDescent="0.25">
      <c r="A2335" t="s">
        <v>16</v>
      </c>
      <c r="B2335" t="s">
        <v>3221</v>
      </c>
      <c r="C2335">
        <v>3071</v>
      </c>
      <c r="D2335" t="s">
        <v>413</v>
      </c>
      <c r="E2335" t="s">
        <v>414</v>
      </c>
      <c r="F2335">
        <v>780.37</v>
      </c>
      <c r="G2335">
        <v>230228</v>
      </c>
      <c r="H2335">
        <v>4400</v>
      </c>
      <c r="I2335" t="s">
        <v>348</v>
      </c>
      <c r="J2335">
        <v>967.66</v>
      </c>
      <c r="K2335">
        <v>187.29</v>
      </c>
      <c r="L2335">
        <v>67554</v>
      </c>
      <c r="M2335" t="s">
        <v>60</v>
      </c>
      <c r="N2335" t="str">
        <f>"2138824910  "</f>
        <v xml:space="preserve">2138824910  </v>
      </c>
      <c r="O2335">
        <v>230309</v>
      </c>
    </row>
    <row r="2336" spans="1:15" x14ac:dyDescent="0.25">
      <c r="A2336" t="s">
        <v>16</v>
      </c>
      <c r="B2336" t="s">
        <v>3221</v>
      </c>
      <c r="C2336">
        <v>3605</v>
      </c>
      <c r="D2336" t="s">
        <v>413</v>
      </c>
      <c r="E2336" t="s">
        <v>414</v>
      </c>
      <c r="F2336">
        <v>1423.3</v>
      </c>
      <c r="G2336">
        <v>230314</v>
      </c>
      <c r="H2336">
        <v>4400</v>
      </c>
      <c r="I2336" t="s">
        <v>348</v>
      </c>
      <c r="J2336">
        <v>1764.89</v>
      </c>
      <c r="K2336">
        <v>341.59</v>
      </c>
      <c r="L2336">
        <v>67554</v>
      </c>
      <c r="M2336" t="s">
        <v>60</v>
      </c>
      <c r="N2336" t="str">
        <f>"2138826160  "</f>
        <v xml:space="preserve">2138826160  </v>
      </c>
      <c r="O2336">
        <v>230317</v>
      </c>
    </row>
    <row r="2337" spans="1:15" x14ac:dyDescent="0.25">
      <c r="A2337" t="s">
        <v>16</v>
      </c>
      <c r="B2337" t="s">
        <v>3221</v>
      </c>
      <c r="C2337">
        <v>3901</v>
      </c>
      <c r="D2337" t="s">
        <v>413</v>
      </c>
      <c r="E2337" t="s">
        <v>414</v>
      </c>
      <c r="F2337">
        <v>584.99</v>
      </c>
      <c r="G2337">
        <v>230322</v>
      </c>
      <c r="H2337">
        <v>4400</v>
      </c>
      <c r="I2337" t="s">
        <v>348</v>
      </c>
      <c r="J2337">
        <v>725.39</v>
      </c>
      <c r="K2337">
        <v>140.4</v>
      </c>
      <c r="L2337">
        <v>67554</v>
      </c>
      <c r="M2337" t="s">
        <v>60</v>
      </c>
      <c r="N2337" t="str">
        <f>"2138826797  "</f>
        <v xml:space="preserve">2138826797  </v>
      </c>
      <c r="O2337">
        <v>230324</v>
      </c>
    </row>
    <row r="2338" spans="1:15" x14ac:dyDescent="0.25">
      <c r="A2338" t="s">
        <v>16</v>
      </c>
      <c r="B2338" t="s">
        <v>3221</v>
      </c>
      <c r="C2338">
        <v>4295</v>
      </c>
      <c r="D2338" t="s">
        <v>413</v>
      </c>
      <c r="E2338" t="s">
        <v>414</v>
      </c>
      <c r="F2338">
        <v>1481.2</v>
      </c>
      <c r="G2338">
        <v>230327</v>
      </c>
      <c r="H2338">
        <v>4400</v>
      </c>
      <c r="I2338" t="s">
        <v>348</v>
      </c>
      <c r="J2338">
        <v>1836.69</v>
      </c>
      <c r="K2338">
        <v>355.49</v>
      </c>
      <c r="L2338">
        <v>67554</v>
      </c>
      <c r="M2338" t="s">
        <v>60</v>
      </c>
      <c r="N2338" t="str">
        <f>"2138827007  "</f>
        <v xml:space="preserve">2138827007  </v>
      </c>
      <c r="O2338">
        <v>230404</v>
      </c>
    </row>
    <row r="2339" spans="1:15" x14ac:dyDescent="0.25">
      <c r="A2339" t="s">
        <v>16</v>
      </c>
      <c r="B2339" t="s">
        <v>3221</v>
      </c>
      <c r="C2339">
        <v>7403</v>
      </c>
      <c r="D2339" t="s">
        <v>413</v>
      </c>
      <c r="E2339" t="s">
        <v>414</v>
      </c>
      <c r="F2339">
        <v>3243.75</v>
      </c>
      <c r="G2339">
        <v>230528</v>
      </c>
      <c r="H2339">
        <v>4400</v>
      </c>
      <c r="I2339" t="s">
        <v>348</v>
      </c>
      <c r="J2339">
        <v>4022.25</v>
      </c>
      <c r="K2339">
        <v>778.5</v>
      </c>
      <c r="L2339">
        <v>67554</v>
      </c>
      <c r="M2339" t="s">
        <v>60</v>
      </c>
      <c r="N2339" t="str">
        <f>"2138831779  "</f>
        <v xml:space="preserve">2138831779  </v>
      </c>
      <c r="O2339">
        <v>230529</v>
      </c>
    </row>
    <row r="2340" spans="1:15" x14ac:dyDescent="0.25">
      <c r="A2340" t="s">
        <v>16</v>
      </c>
      <c r="B2340" t="s">
        <v>3221</v>
      </c>
      <c r="C2340">
        <v>8163</v>
      </c>
      <c r="D2340" t="s">
        <v>413</v>
      </c>
      <c r="E2340" t="s">
        <v>414</v>
      </c>
      <c r="F2340">
        <v>598.55999999999995</v>
      </c>
      <c r="G2340">
        <v>230531</v>
      </c>
      <c r="H2340">
        <v>4400</v>
      </c>
      <c r="I2340" t="s">
        <v>348</v>
      </c>
      <c r="J2340">
        <v>742.21</v>
      </c>
      <c r="K2340">
        <v>143.65</v>
      </c>
      <c r="L2340">
        <v>67554</v>
      </c>
      <c r="M2340" t="s">
        <v>60</v>
      </c>
      <c r="N2340" t="str">
        <f>"2138832364  "</f>
        <v xml:space="preserve">2138832364  </v>
      </c>
      <c r="O2340">
        <v>230607</v>
      </c>
    </row>
    <row r="2341" spans="1:15" x14ac:dyDescent="0.25">
      <c r="A2341" t="s">
        <v>16</v>
      </c>
      <c r="B2341" t="s">
        <v>3221</v>
      </c>
      <c r="C2341">
        <v>8253</v>
      </c>
      <c r="D2341" t="s">
        <v>413</v>
      </c>
      <c r="E2341" t="s">
        <v>414</v>
      </c>
      <c r="F2341">
        <v>905.58</v>
      </c>
      <c r="G2341">
        <v>230531</v>
      </c>
      <c r="H2341">
        <v>4400</v>
      </c>
      <c r="I2341" t="s">
        <v>348</v>
      </c>
      <c r="J2341">
        <v>1122.92</v>
      </c>
      <c r="K2341">
        <v>217.34</v>
      </c>
      <c r="L2341">
        <v>67554</v>
      </c>
      <c r="M2341" t="s">
        <v>60</v>
      </c>
      <c r="N2341" t="str">
        <f>"2138832307  "</f>
        <v xml:space="preserve">2138832307  </v>
      </c>
      <c r="O2341">
        <v>230608</v>
      </c>
    </row>
    <row r="2342" spans="1:15" x14ac:dyDescent="0.25">
      <c r="A2342" t="s">
        <v>16</v>
      </c>
      <c r="B2342" t="s">
        <v>3221</v>
      </c>
      <c r="C2342">
        <v>9128</v>
      </c>
      <c r="D2342" t="s">
        <v>413</v>
      </c>
      <c r="E2342" t="s">
        <v>414</v>
      </c>
      <c r="F2342">
        <v>968</v>
      </c>
      <c r="G2342">
        <v>230620</v>
      </c>
      <c r="H2342">
        <v>4400</v>
      </c>
      <c r="I2342" t="s">
        <v>348</v>
      </c>
      <c r="J2342">
        <v>1200.32</v>
      </c>
      <c r="K2342">
        <v>232.32</v>
      </c>
      <c r="L2342">
        <v>17737</v>
      </c>
      <c r="M2342" t="s">
        <v>279</v>
      </c>
      <c r="N2342" t="str">
        <f>"2138833670  "</f>
        <v xml:space="preserve">2138833670  </v>
      </c>
      <c r="O2342">
        <v>230628</v>
      </c>
    </row>
    <row r="2343" spans="1:15" x14ac:dyDescent="0.25">
      <c r="A2343" t="s">
        <v>16</v>
      </c>
      <c r="B2343" t="s">
        <v>3221</v>
      </c>
      <c r="C2343">
        <v>9386</v>
      </c>
      <c r="D2343" t="s">
        <v>413</v>
      </c>
      <c r="E2343" t="s">
        <v>414</v>
      </c>
      <c r="F2343">
        <v>3243.75</v>
      </c>
      <c r="G2343">
        <v>230702</v>
      </c>
      <c r="H2343">
        <v>4400</v>
      </c>
      <c r="I2343" t="s">
        <v>348</v>
      </c>
      <c r="J2343">
        <v>4022.25</v>
      </c>
      <c r="K2343">
        <v>778.5</v>
      </c>
      <c r="L2343">
        <v>67554</v>
      </c>
      <c r="M2343" t="s">
        <v>60</v>
      </c>
      <c r="N2343" t="str">
        <f>"2138834770  "</f>
        <v xml:space="preserve">2138834770  </v>
      </c>
      <c r="O2343">
        <v>230710</v>
      </c>
    </row>
    <row r="2344" spans="1:15" x14ac:dyDescent="0.25">
      <c r="A2344" t="s">
        <v>16</v>
      </c>
      <c r="B2344" t="s">
        <v>3221</v>
      </c>
      <c r="C2344">
        <v>10429</v>
      </c>
      <c r="D2344" t="s">
        <v>413</v>
      </c>
      <c r="E2344" t="s">
        <v>414</v>
      </c>
      <c r="F2344">
        <v>382.72</v>
      </c>
      <c r="G2344">
        <v>230731</v>
      </c>
      <c r="H2344">
        <v>4400</v>
      </c>
      <c r="I2344" t="s">
        <v>348</v>
      </c>
      <c r="J2344">
        <v>474.57</v>
      </c>
      <c r="K2344">
        <v>91.85</v>
      </c>
      <c r="L2344">
        <v>67554</v>
      </c>
      <c r="M2344" t="s">
        <v>60</v>
      </c>
      <c r="N2344" t="str">
        <f>"2138836669  "</f>
        <v xml:space="preserve">2138836669  </v>
      </c>
      <c r="O2344">
        <v>230815</v>
      </c>
    </row>
    <row r="2345" spans="1:15" x14ac:dyDescent="0.25">
      <c r="A2345" t="s">
        <v>16</v>
      </c>
      <c r="B2345" t="s">
        <v>3221</v>
      </c>
      <c r="C2345">
        <v>12118</v>
      </c>
      <c r="D2345" t="s">
        <v>413</v>
      </c>
      <c r="E2345" t="s">
        <v>414</v>
      </c>
      <c r="F2345">
        <v>1962.36</v>
      </c>
      <c r="G2345">
        <v>230911</v>
      </c>
      <c r="H2345">
        <v>4400</v>
      </c>
      <c r="I2345" t="s">
        <v>348</v>
      </c>
      <c r="J2345">
        <v>2433.33</v>
      </c>
      <c r="K2345">
        <v>470.97</v>
      </c>
      <c r="L2345">
        <v>17737</v>
      </c>
      <c r="M2345" t="s">
        <v>279</v>
      </c>
      <c r="N2345" t="str">
        <f>"2138840151  "</f>
        <v xml:space="preserve">2138840151  </v>
      </c>
      <c r="O2345">
        <v>230914</v>
      </c>
    </row>
    <row r="2346" spans="1:15" x14ac:dyDescent="0.25">
      <c r="A2346" t="s">
        <v>16</v>
      </c>
      <c r="B2346" t="s">
        <v>3221</v>
      </c>
      <c r="C2346">
        <v>13428</v>
      </c>
      <c r="D2346" t="s">
        <v>413</v>
      </c>
      <c r="E2346" t="s">
        <v>414</v>
      </c>
      <c r="F2346">
        <v>651.51</v>
      </c>
      <c r="G2346">
        <v>231005</v>
      </c>
      <c r="H2346">
        <v>4400</v>
      </c>
      <c r="I2346" t="s">
        <v>348</v>
      </c>
      <c r="J2346">
        <v>807.87</v>
      </c>
      <c r="K2346">
        <v>156.36000000000001</v>
      </c>
      <c r="L2346">
        <v>17737</v>
      </c>
      <c r="M2346" t="s">
        <v>279</v>
      </c>
      <c r="N2346" t="str">
        <f>"2138842321  "</f>
        <v xml:space="preserve">2138842321  </v>
      </c>
      <c r="O2346">
        <v>231010</v>
      </c>
    </row>
    <row r="2347" spans="1:15" x14ac:dyDescent="0.25">
      <c r="A2347" t="s">
        <v>16</v>
      </c>
      <c r="B2347" t="s">
        <v>3221</v>
      </c>
      <c r="C2347">
        <v>13523</v>
      </c>
      <c r="D2347" t="s">
        <v>413</v>
      </c>
      <c r="E2347" t="s">
        <v>414</v>
      </c>
      <c r="F2347">
        <v>3243.75</v>
      </c>
      <c r="G2347">
        <v>231002</v>
      </c>
      <c r="H2347">
        <v>4400</v>
      </c>
      <c r="I2347" t="s">
        <v>348</v>
      </c>
      <c r="J2347">
        <v>4022.25</v>
      </c>
      <c r="K2347">
        <v>778.5</v>
      </c>
      <c r="L2347">
        <v>67554</v>
      </c>
      <c r="M2347" t="s">
        <v>60</v>
      </c>
      <c r="N2347" t="str">
        <f>"2138842091  "</f>
        <v xml:space="preserve">2138842091  </v>
      </c>
      <c r="O2347">
        <v>231011</v>
      </c>
    </row>
    <row r="2348" spans="1:15" x14ac:dyDescent="0.25">
      <c r="A2348" t="s">
        <v>16</v>
      </c>
      <c r="B2348" t="s">
        <v>3221</v>
      </c>
      <c r="C2348">
        <v>14243</v>
      </c>
      <c r="D2348" t="s">
        <v>413</v>
      </c>
      <c r="E2348" t="s">
        <v>414</v>
      </c>
      <c r="F2348">
        <v>750.37</v>
      </c>
      <c r="G2348">
        <v>231012</v>
      </c>
      <c r="H2348">
        <v>4400</v>
      </c>
      <c r="I2348" t="s">
        <v>348</v>
      </c>
      <c r="J2348">
        <v>930.46</v>
      </c>
      <c r="K2348">
        <v>180.09</v>
      </c>
      <c r="L2348">
        <v>67554</v>
      </c>
      <c r="M2348" t="s">
        <v>60</v>
      </c>
      <c r="N2348" t="str">
        <f>"2138842755  "</f>
        <v xml:space="preserve">2138842755  </v>
      </c>
      <c r="O2348">
        <v>231025</v>
      </c>
    </row>
    <row r="2349" spans="1:15" x14ac:dyDescent="0.25">
      <c r="A2349" t="s">
        <v>16</v>
      </c>
      <c r="B2349" t="s">
        <v>3221</v>
      </c>
      <c r="C2349">
        <v>15998</v>
      </c>
      <c r="D2349" t="s">
        <v>413</v>
      </c>
      <c r="E2349" t="s">
        <v>414</v>
      </c>
      <c r="F2349">
        <v>223.23</v>
      </c>
      <c r="G2349">
        <v>231116</v>
      </c>
      <c r="H2349">
        <v>4400</v>
      </c>
      <c r="I2349" t="s">
        <v>348</v>
      </c>
      <c r="J2349">
        <v>276.8</v>
      </c>
      <c r="K2349">
        <v>53.57</v>
      </c>
      <c r="L2349">
        <v>17737</v>
      </c>
      <c r="M2349" t="s">
        <v>279</v>
      </c>
      <c r="N2349" t="str">
        <f>"2138845311  "</f>
        <v xml:space="preserve">2138845311  </v>
      </c>
      <c r="O2349">
        <v>231122</v>
      </c>
    </row>
    <row r="2350" spans="1:15" x14ac:dyDescent="0.25">
      <c r="A2350" t="s">
        <v>16</v>
      </c>
      <c r="B2350" t="s">
        <v>3221</v>
      </c>
      <c r="C2350">
        <v>17144</v>
      </c>
      <c r="D2350" t="s">
        <v>413</v>
      </c>
      <c r="E2350" t="s">
        <v>414</v>
      </c>
      <c r="F2350">
        <v>1675.05</v>
      </c>
      <c r="G2350">
        <v>231130</v>
      </c>
      <c r="H2350">
        <v>4400</v>
      </c>
      <c r="I2350" t="s">
        <v>348</v>
      </c>
      <c r="J2350">
        <v>2077.06</v>
      </c>
      <c r="K2350">
        <v>402.01</v>
      </c>
      <c r="L2350">
        <v>67554</v>
      </c>
      <c r="M2350" t="s">
        <v>60</v>
      </c>
      <c r="N2350" t="str">
        <f>"2138846612  "</f>
        <v xml:space="preserve">2138846612  </v>
      </c>
      <c r="O2350">
        <v>231212</v>
      </c>
    </row>
    <row r="2351" spans="1:15" x14ac:dyDescent="0.25">
      <c r="A2351" t="s">
        <v>16</v>
      </c>
      <c r="B2351" t="s">
        <v>3221</v>
      </c>
      <c r="C2351">
        <v>17370</v>
      </c>
      <c r="D2351" t="s">
        <v>413</v>
      </c>
      <c r="E2351" t="s">
        <v>414</v>
      </c>
      <c r="F2351">
        <v>3015.43</v>
      </c>
      <c r="G2351">
        <v>231130</v>
      </c>
      <c r="H2351">
        <v>4400</v>
      </c>
      <c r="I2351" t="s">
        <v>348</v>
      </c>
      <c r="J2351">
        <v>3739.13</v>
      </c>
      <c r="K2351">
        <v>723.7</v>
      </c>
      <c r="L2351">
        <v>67554</v>
      </c>
      <c r="M2351" t="s">
        <v>60</v>
      </c>
      <c r="N2351" t="str">
        <f>"2138846821  "</f>
        <v xml:space="preserve">2138846821  </v>
      </c>
      <c r="O2351">
        <v>231213</v>
      </c>
    </row>
    <row r="2352" spans="1:15" x14ac:dyDescent="0.25">
      <c r="A2352" t="s">
        <v>16</v>
      </c>
      <c r="B2352" t="s">
        <v>3221</v>
      </c>
      <c r="C2352">
        <v>17371</v>
      </c>
      <c r="D2352" t="s">
        <v>413</v>
      </c>
      <c r="E2352" t="s">
        <v>414</v>
      </c>
      <c r="F2352">
        <v>1362.33</v>
      </c>
      <c r="G2352">
        <v>231130</v>
      </c>
      <c r="H2352">
        <v>4400</v>
      </c>
      <c r="I2352" t="s">
        <v>348</v>
      </c>
      <c r="J2352">
        <v>1689.29</v>
      </c>
      <c r="K2352">
        <v>326.95999999999998</v>
      </c>
      <c r="L2352">
        <v>67554</v>
      </c>
      <c r="M2352" t="s">
        <v>60</v>
      </c>
      <c r="N2352" t="str">
        <f>"2138846822  "</f>
        <v xml:space="preserve">2138846822  </v>
      </c>
      <c r="O2352">
        <v>231213</v>
      </c>
    </row>
    <row r="2353" spans="1:15" x14ac:dyDescent="0.25">
      <c r="A2353" t="s">
        <v>16</v>
      </c>
      <c r="B2353" t="s">
        <v>3221</v>
      </c>
      <c r="C2353">
        <v>18467</v>
      </c>
      <c r="D2353" t="s">
        <v>413</v>
      </c>
      <c r="E2353" t="s">
        <v>414</v>
      </c>
      <c r="F2353">
        <v>184.66</v>
      </c>
      <c r="G2353">
        <v>231227</v>
      </c>
      <c r="H2353">
        <v>4400</v>
      </c>
      <c r="I2353" t="s">
        <v>348</v>
      </c>
      <c r="J2353">
        <v>228.98</v>
      </c>
      <c r="K2353">
        <v>44.32</v>
      </c>
      <c r="L2353">
        <v>17737</v>
      </c>
      <c r="M2353" t="s">
        <v>279</v>
      </c>
      <c r="N2353" t="str">
        <f>"2138848661  "</f>
        <v xml:space="preserve">2138848661  </v>
      </c>
      <c r="O2353">
        <v>240103</v>
      </c>
    </row>
    <row r="2354" spans="1:15" x14ac:dyDescent="0.25">
      <c r="A2354" t="s">
        <v>16</v>
      </c>
      <c r="B2354" t="s">
        <v>3221</v>
      </c>
      <c r="C2354">
        <v>18942</v>
      </c>
      <c r="D2354" t="s">
        <v>413</v>
      </c>
      <c r="E2354" t="s">
        <v>414</v>
      </c>
      <c r="F2354">
        <v>150</v>
      </c>
      <c r="G2354">
        <v>231229</v>
      </c>
      <c r="H2354">
        <v>4400</v>
      </c>
      <c r="I2354" t="s">
        <v>348</v>
      </c>
      <c r="J2354">
        <v>186</v>
      </c>
      <c r="K2354">
        <v>36</v>
      </c>
      <c r="L2354">
        <v>67554</v>
      </c>
      <c r="M2354" t="s">
        <v>60</v>
      </c>
      <c r="N2354" t="str">
        <f>"2138849122  "</f>
        <v xml:space="preserve">2138849122  </v>
      </c>
      <c r="O2354">
        <v>240109</v>
      </c>
    </row>
    <row r="2355" spans="1:15" x14ac:dyDescent="0.25">
      <c r="A2355" t="s">
        <v>16</v>
      </c>
      <c r="B2355" t="s">
        <v>3221</v>
      </c>
      <c r="C2355">
        <v>306</v>
      </c>
      <c r="D2355" t="s">
        <v>413</v>
      </c>
      <c r="E2355" t="s">
        <v>414</v>
      </c>
      <c r="F2355">
        <v>3138.8</v>
      </c>
      <c r="G2355">
        <v>230117</v>
      </c>
      <c r="H2355">
        <v>4840</v>
      </c>
      <c r="I2355" t="s">
        <v>19</v>
      </c>
      <c r="J2355">
        <v>3892.11</v>
      </c>
      <c r="K2355">
        <v>753.31</v>
      </c>
      <c r="L2355">
        <v>67554</v>
      </c>
      <c r="M2355" t="s">
        <v>60</v>
      </c>
      <c r="N2355" t="str">
        <f>"89601268    "</f>
        <v xml:space="preserve">89601268    </v>
      </c>
      <c r="O2355">
        <v>230118</v>
      </c>
    </row>
    <row r="2356" spans="1:15" x14ac:dyDescent="0.25">
      <c r="A2356" t="s">
        <v>16</v>
      </c>
      <c r="B2356" t="s">
        <v>3221</v>
      </c>
      <c r="C2356">
        <v>2236</v>
      </c>
      <c r="D2356" t="s">
        <v>413</v>
      </c>
      <c r="E2356" t="s">
        <v>414</v>
      </c>
      <c r="F2356">
        <v>3608.71</v>
      </c>
      <c r="G2356">
        <v>230214</v>
      </c>
      <c r="H2356">
        <v>4840</v>
      </c>
      <c r="I2356" t="s">
        <v>19</v>
      </c>
      <c r="J2356">
        <v>4474.8</v>
      </c>
      <c r="K2356">
        <v>866.09</v>
      </c>
      <c r="L2356">
        <v>67554</v>
      </c>
      <c r="M2356" t="s">
        <v>60</v>
      </c>
      <c r="N2356" t="str">
        <f>"89923225    "</f>
        <v xml:space="preserve">89923225    </v>
      </c>
      <c r="O2356">
        <v>230222</v>
      </c>
    </row>
    <row r="2357" spans="1:15" x14ac:dyDescent="0.25">
      <c r="A2357" t="s">
        <v>16</v>
      </c>
      <c r="B2357" t="s">
        <v>3221</v>
      </c>
      <c r="C2357">
        <v>3766</v>
      </c>
      <c r="D2357" t="s">
        <v>413</v>
      </c>
      <c r="E2357" t="s">
        <v>414</v>
      </c>
      <c r="F2357">
        <v>3311.26</v>
      </c>
      <c r="G2357">
        <v>230411</v>
      </c>
      <c r="H2357">
        <v>4840</v>
      </c>
      <c r="I2357" t="s">
        <v>19</v>
      </c>
      <c r="J2357">
        <v>4105.96</v>
      </c>
      <c r="K2357">
        <v>794.7</v>
      </c>
      <c r="L2357">
        <v>67554</v>
      </c>
      <c r="M2357" t="s">
        <v>60</v>
      </c>
      <c r="N2357" t="str">
        <f>"90291191    "</f>
        <v xml:space="preserve">90291191    </v>
      </c>
      <c r="O2357">
        <v>230321</v>
      </c>
    </row>
    <row r="2358" spans="1:15" x14ac:dyDescent="0.25">
      <c r="A2358" t="s">
        <v>16</v>
      </c>
      <c r="B2358" t="s">
        <v>3221</v>
      </c>
      <c r="C2358">
        <v>5161</v>
      </c>
      <c r="D2358" t="s">
        <v>413</v>
      </c>
      <c r="E2358" t="s">
        <v>414</v>
      </c>
      <c r="F2358">
        <v>3311.26</v>
      </c>
      <c r="G2358">
        <v>230511</v>
      </c>
      <c r="H2358">
        <v>4840</v>
      </c>
      <c r="I2358" t="s">
        <v>19</v>
      </c>
      <c r="J2358">
        <v>4105.96</v>
      </c>
      <c r="K2358">
        <v>794.7</v>
      </c>
      <c r="L2358">
        <v>67554</v>
      </c>
      <c r="M2358" t="s">
        <v>60</v>
      </c>
      <c r="N2358" t="str">
        <f>"90613227    "</f>
        <v xml:space="preserve">90613227    </v>
      </c>
      <c r="O2358">
        <v>230418</v>
      </c>
    </row>
    <row r="2359" spans="1:15" x14ac:dyDescent="0.25">
      <c r="A2359" t="s">
        <v>16</v>
      </c>
      <c r="B2359" t="s">
        <v>3221</v>
      </c>
      <c r="C2359">
        <v>6717</v>
      </c>
      <c r="D2359" t="s">
        <v>413</v>
      </c>
      <c r="E2359" t="s">
        <v>414</v>
      </c>
      <c r="F2359">
        <v>3311.26</v>
      </c>
      <c r="G2359">
        <v>230517</v>
      </c>
      <c r="H2359">
        <v>4840</v>
      </c>
      <c r="I2359" t="s">
        <v>19</v>
      </c>
      <c r="J2359">
        <v>4105.96</v>
      </c>
      <c r="K2359">
        <v>794.7</v>
      </c>
      <c r="L2359">
        <v>67554</v>
      </c>
      <c r="M2359" t="s">
        <v>60</v>
      </c>
      <c r="N2359" t="str">
        <f>"90969076    "</f>
        <v xml:space="preserve">90969076    </v>
      </c>
      <c r="O2359">
        <v>230522</v>
      </c>
    </row>
    <row r="2360" spans="1:15" x14ac:dyDescent="0.25">
      <c r="A2360" t="s">
        <v>16</v>
      </c>
      <c r="B2360" t="s">
        <v>3221</v>
      </c>
      <c r="C2360">
        <v>9166</v>
      </c>
      <c r="D2360" t="s">
        <v>413</v>
      </c>
      <c r="E2360" t="s">
        <v>414</v>
      </c>
      <c r="F2360">
        <v>3311.26</v>
      </c>
      <c r="G2360">
        <v>230616</v>
      </c>
      <c r="H2360">
        <v>4840</v>
      </c>
      <c r="I2360" t="s">
        <v>19</v>
      </c>
      <c r="J2360">
        <v>4105.96</v>
      </c>
      <c r="K2360">
        <v>794.7</v>
      </c>
      <c r="L2360">
        <v>67554</v>
      </c>
      <c r="M2360" t="s">
        <v>60</v>
      </c>
      <c r="N2360" t="str">
        <f>"91349670    "</f>
        <v xml:space="preserve">91349670    </v>
      </c>
      <c r="O2360">
        <v>230629</v>
      </c>
    </row>
    <row r="2361" spans="1:15" x14ac:dyDescent="0.25">
      <c r="A2361" t="s">
        <v>16</v>
      </c>
      <c r="B2361" t="s">
        <v>3221</v>
      </c>
      <c r="C2361">
        <v>9720</v>
      </c>
      <c r="D2361" t="s">
        <v>413</v>
      </c>
      <c r="E2361" t="s">
        <v>414</v>
      </c>
      <c r="F2361">
        <v>3311.26</v>
      </c>
      <c r="G2361">
        <v>230811</v>
      </c>
      <c r="H2361">
        <v>4840</v>
      </c>
      <c r="I2361" t="s">
        <v>19</v>
      </c>
      <c r="J2361">
        <v>4105.96</v>
      </c>
      <c r="K2361">
        <v>794.7</v>
      </c>
      <c r="L2361">
        <v>67554</v>
      </c>
      <c r="M2361" t="s">
        <v>60</v>
      </c>
      <c r="N2361" t="str">
        <f>"91687067    "</f>
        <v xml:space="preserve">91687067    </v>
      </c>
      <c r="O2361">
        <v>230720</v>
      </c>
    </row>
    <row r="2362" spans="1:15" x14ac:dyDescent="0.25">
      <c r="A2362" t="s">
        <v>16</v>
      </c>
      <c r="B2362" t="s">
        <v>3221</v>
      </c>
      <c r="C2362">
        <v>10877</v>
      </c>
      <c r="D2362" t="s">
        <v>413</v>
      </c>
      <c r="E2362" t="s">
        <v>414</v>
      </c>
      <c r="F2362">
        <v>3466.56</v>
      </c>
      <c r="G2362">
        <v>230901</v>
      </c>
      <c r="H2362">
        <v>4840</v>
      </c>
      <c r="I2362" t="s">
        <v>19</v>
      </c>
      <c r="J2362">
        <v>4298.53</v>
      </c>
      <c r="K2362">
        <v>831.97</v>
      </c>
      <c r="L2362">
        <v>67554</v>
      </c>
      <c r="M2362" t="s">
        <v>60</v>
      </c>
      <c r="N2362" t="str">
        <f>"92068435    "</f>
        <v xml:space="preserve">92068435    </v>
      </c>
      <c r="O2362">
        <v>230824</v>
      </c>
    </row>
    <row r="2363" spans="1:15" x14ac:dyDescent="0.25">
      <c r="A2363" t="s">
        <v>16</v>
      </c>
      <c r="B2363" t="s">
        <v>3221</v>
      </c>
      <c r="C2363">
        <v>12492</v>
      </c>
      <c r="D2363" t="s">
        <v>413</v>
      </c>
      <c r="E2363" t="s">
        <v>414</v>
      </c>
      <c r="F2363">
        <v>3368.85</v>
      </c>
      <c r="G2363">
        <v>231011</v>
      </c>
      <c r="H2363">
        <v>4840</v>
      </c>
      <c r="I2363" t="s">
        <v>19</v>
      </c>
      <c r="J2363">
        <v>4177.37</v>
      </c>
      <c r="K2363">
        <v>808.52</v>
      </c>
      <c r="L2363">
        <v>67554</v>
      </c>
      <c r="M2363" t="s">
        <v>60</v>
      </c>
      <c r="N2363" t="str">
        <f>"92458516    "</f>
        <v xml:space="preserve">92458516    </v>
      </c>
      <c r="O2363">
        <v>230920</v>
      </c>
    </row>
    <row r="2364" spans="1:15" x14ac:dyDescent="0.25">
      <c r="A2364" t="s">
        <v>16</v>
      </c>
      <c r="B2364" t="s">
        <v>3221</v>
      </c>
      <c r="C2364">
        <v>14535</v>
      </c>
      <c r="D2364" t="s">
        <v>413</v>
      </c>
      <c r="E2364" t="s">
        <v>414</v>
      </c>
      <c r="F2364">
        <v>3368.85</v>
      </c>
      <c r="G2364">
        <v>231101</v>
      </c>
      <c r="H2364">
        <v>4840</v>
      </c>
      <c r="I2364" t="s">
        <v>19</v>
      </c>
      <c r="J2364">
        <v>4177.37</v>
      </c>
      <c r="K2364">
        <v>808.52</v>
      </c>
      <c r="L2364">
        <v>67554</v>
      </c>
      <c r="M2364" t="s">
        <v>60</v>
      </c>
      <c r="N2364" t="str">
        <f>"92819361    "</f>
        <v xml:space="preserve">92819361    </v>
      </c>
      <c r="O2364">
        <v>231030</v>
      </c>
    </row>
    <row r="2365" spans="1:15" x14ac:dyDescent="0.25">
      <c r="A2365" t="s">
        <v>16</v>
      </c>
      <c r="B2365" t="s">
        <v>3221</v>
      </c>
      <c r="C2365">
        <v>16091</v>
      </c>
      <c r="D2365" t="s">
        <v>413</v>
      </c>
      <c r="E2365" t="s">
        <v>414</v>
      </c>
      <c r="F2365">
        <v>2282.15</v>
      </c>
      <c r="G2365">
        <v>231211</v>
      </c>
      <c r="H2365">
        <v>4840</v>
      </c>
      <c r="I2365" t="s">
        <v>19</v>
      </c>
      <c r="J2365">
        <v>2829.87</v>
      </c>
      <c r="K2365">
        <v>547.72</v>
      </c>
      <c r="L2365">
        <v>67554</v>
      </c>
      <c r="M2365" t="s">
        <v>60</v>
      </c>
      <c r="N2365" t="str">
        <f>"93192571    "</f>
        <v xml:space="preserve">93192571    </v>
      </c>
      <c r="O2365">
        <v>231122</v>
      </c>
    </row>
    <row r="2366" spans="1:15" x14ac:dyDescent="0.25">
      <c r="A2366" t="s">
        <v>16</v>
      </c>
      <c r="B2366" t="s">
        <v>3221</v>
      </c>
      <c r="C2366">
        <v>3605</v>
      </c>
      <c r="D2366" t="s">
        <v>413</v>
      </c>
      <c r="E2366" t="s">
        <v>414</v>
      </c>
      <c r="F2366">
        <v>113.71</v>
      </c>
      <c r="G2366">
        <v>230314</v>
      </c>
      <c r="H2366">
        <v>4420</v>
      </c>
      <c r="I2366" t="s">
        <v>132</v>
      </c>
      <c r="J2366">
        <v>141</v>
      </c>
      <c r="K2366">
        <v>27.29</v>
      </c>
      <c r="L2366">
        <v>67554</v>
      </c>
      <c r="M2366" t="s">
        <v>60</v>
      </c>
      <c r="N2366" t="str">
        <f>"2138826160  "</f>
        <v xml:space="preserve">2138826160  </v>
      </c>
      <c r="O2366">
        <v>230317</v>
      </c>
    </row>
    <row r="2367" spans="1:15" x14ac:dyDescent="0.25">
      <c r="A2367" t="s">
        <v>16</v>
      </c>
      <c r="B2367" t="s">
        <v>3221</v>
      </c>
      <c r="C2367">
        <v>15998</v>
      </c>
      <c r="D2367" t="s">
        <v>413</v>
      </c>
      <c r="E2367" t="s">
        <v>414</v>
      </c>
      <c r="F2367">
        <v>235.65</v>
      </c>
      <c r="G2367">
        <v>231116</v>
      </c>
      <c r="H2367">
        <v>4420</v>
      </c>
      <c r="I2367" t="s">
        <v>132</v>
      </c>
      <c r="J2367">
        <v>292.20999999999998</v>
      </c>
      <c r="K2367">
        <v>56.56</v>
      </c>
      <c r="L2367">
        <v>17737</v>
      </c>
      <c r="M2367" t="s">
        <v>279</v>
      </c>
      <c r="N2367" t="str">
        <f>"2138845311  "</f>
        <v xml:space="preserve">2138845311  </v>
      </c>
      <c r="O2367">
        <v>231122</v>
      </c>
    </row>
    <row r="2368" spans="1:15" x14ac:dyDescent="0.25">
      <c r="A2368" t="s">
        <v>16</v>
      </c>
      <c r="B2368" t="s">
        <v>3221</v>
      </c>
      <c r="C2368">
        <v>282</v>
      </c>
      <c r="D2368" t="s">
        <v>413</v>
      </c>
      <c r="E2368" t="s">
        <v>414</v>
      </c>
      <c r="F2368">
        <v>1052</v>
      </c>
      <c r="G2368">
        <v>230115</v>
      </c>
      <c r="H2368">
        <v>4600</v>
      </c>
      <c r="I2368" t="s">
        <v>105</v>
      </c>
      <c r="J2368">
        <v>1304.48</v>
      </c>
      <c r="K2368">
        <v>252.48</v>
      </c>
      <c r="L2368">
        <v>67554</v>
      </c>
      <c r="M2368" t="s">
        <v>60</v>
      </c>
      <c r="N2368" t="str">
        <f>"2138821171  "</f>
        <v xml:space="preserve">2138821171  </v>
      </c>
      <c r="O2368">
        <v>230117</v>
      </c>
    </row>
    <row r="2369" spans="1:15" x14ac:dyDescent="0.25">
      <c r="A2369" t="s">
        <v>16</v>
      </c>
      <c r="B2369" t="s">
        <v>3221</v>
      </c>
      <c r="C2369">
        <v>338</v>
      </c>
      <c r="D2369" t="s">
        <v>413</v>
      </c>
      <c r="E2369" t="s">
        <v>414</v>
      </c>
      <c r="F2369">
        <v>129.6</v>
      </c>
      <c r="G2369">
        <v>230116</v>
      </c>
      <c r="H2369">
        <v>4600</v>
      </c>
      <c r="I2369" t="s">
        <v>105</v>
      </c>
      <c r="J2369">
        <v>160.69999999999999</v>
      </c>
      <c r="K2369">
        <v>31.1</v>
      </c>
      <c r="L2369">
        <v>67554</v>
      </c>
      <c r="M2369" t="s">
        <v>60</v>
      </c>
      <c r="N2369" t="str">
        <f>"2138821274  "</f>
        <v xml:space="preserve">2138821274  </v>
      </c>
      <c r="O2369">
        <v>230118</v>
      </c>
    </row>
    <row r="2370" spans="1:15" x14ac:dyDescent="0.25">
      <c r="A2370" t="s">
        <v>16</v>
      </c>
      <c r="B2370" t="s">
        <v>3221</v>
      </c>
      <c r="C2370">
        <v>979</v>
      </c>
      <c r="D2370" t="s">
        <v>413</v>
      </c>
      <c r="E2370" t="s">
        <v>414</v>
      </c>
      <c r="F2370">
        <v>367.76</v>
      </c>
      <c r="G2370">
        <v>230126</v>
      </c>
      <c r="H2370">
        <v>4600</v>
      </c>
      <c r="I2370" t="s">
        <v>105</v>
      </c>
      <c r="J2370">
        <v>456.02</v>
      </c>
      <c r="K2370">
        <v>88.26</v>
      </c>
      <c r="L2370">
        <v>67554</v>
      </c>
      <c r="M2370" t="s">
        <v>60</v>
      </c>
      <c r="N2370" t="str">
        <f>"2138821942  "</f>
        <v xml:space="preserve">2138821942  </v>
      </c>
      <c r="O2370">
        <v>230202</v>
      </c>
    </row>
    <row r="2371" spans="1:15" x14ac:dyDescent="0.25">
      <c r="A2371" t="s">
        <v>16</v>
      </c>
      <c r="B2371" t="s">
        <v>3221</v>
      </c>
      <c r="C2371">
        <v>3072</v>
      </c>
      <c r="D2371" t="s">
        <v>413</v>
      </c>
      <c r="E2371" t="s">
        <v>414</v>
      </c>
      <c r="F2371">
        <v>563.85</v>
      </c>
      <c r="G2371">
        <v>230228</v>
      </c>
      <c r="H2371">
        <v>4600</v>
      </c>
      <c r="I2371" t="s">
        <v>105</v>
      </c>
      <c r="J2371">
        <v>699.17</v>
      </c>
      <c r="K2371">
        <v>135.32</v>
      </c>
      <c r="L2371">
        <v>67554</v>
      </c>
      <c r="M2371" t="s">
        <v>60</v>
      </c>
      <c r="N2371" t="str">
        <f>"2138824909  "</f>
        <v xml:space="preserve">2138824909  </v>
      </c>
      <c r="O2371">
        <v>230309</v>
      </c>
    </row>
    <row r="2372" spans="1:15" x14ac:dyDescent="0.25">
      <c r="A2372" t="s">
        <v>16</v>
      </c>
      <c r="B2372" t="s">
        <v>3221</v>
      </c>
      <c r="C2372">
        <v>3870</v>
      </c>
      <c r="D2372" t="s">
        <v>413</v>
      </c>
      <c r="E2372" t="s">
        <v>414</v>
      </c>
      <c r="F2372">
        <v>1221.55</v>
      </c>
      <c r="G2372">
        <v>230321</v>
      </c>
      <c r="H2372">
        <v>4600</v>
      </c>
      <c r="I2372" t="s">
        <v>105</v>
      </c>
      <c r="J2372">
        <v>1514.72</v>
      </c>
      <c r="K2372">
        <v>293.17</v>
      </c>
      <c r="L2372">
        <v>67554</v>
      </c>
      <c r="M2372" t="s">
        <v>60</v>
      </c>
      <c r="N2372" t="str">
        <f>"2138826590  "</f>
        <v xml:space="preserve">2138826590  </v>
      </c>
      <c r="O2372">
        <v>230323</v>
      </c>
    </row>
    <row r="2373" spans="1:15" x14ac:dyDescent="0.25">
      <c r="A2373" t="s">
        <v>16</v>
      </c>
      <c r="B2373" t="s">
        <v>3221</v>
      </c>
      <c r="C2373">
        <v>4229</v>
      </c>
      <c r="D2373" t="s">
        <v>413</v>
      </c>
      <c r="E2373" t="s">
        <v>414</v>
      </c>
      <c r="F2373">
        <v>162</v>
      </c>
      <c r="G2373">
        <v>230329</v>
      </c>
      <c r="H2373">
        <v>4600</v>
      </c>
      <c r="I2373" t="s">
        <v>105</v>
      </c>
      <c r="J2373">
        <v>200.88</v>
      </c>
      <c r="K2373">
        <v>38.880000000000003</v>
      </c>
      <c r="L2373">
        <v>67554</v>
      </c>
      <c r="M2373" t="s">
        <v>60</v>
      </c>
      <c r="N2373" t="str">
        <f>"2138827372  "</f>
        <v xml:space="preserve">2138827372  </v>
      </c>
      <c r="O2373">
        <v>230403</v>
      </c>
    </row>
    <row r="2374" spans="1:15" x14ac:dyDescent="0.25">
      <c r="A2374" t="s">
        <v>16</v>
      </c>
      <c r="B2374" t="s">
        <v>3221</v>
      </c>
      <c r="C2374">
        <v>4754</v>
      </c>
      <c r="D2374" t="s">
        <v>413</v>
      </c>
      <c r="E2374" t="s">
        <v>414</v>
      </c>
      <c r="F2374">
        <v>1052</v>
      </c>
      <c r="G2374">
        <v>230405</v>
      </c>
      <c r="H2374">
        <v>4600</v>
      </c>
      <c r="I2374" t="s">
        <v>105</v>
      </c>
      <c r="J2374">
        <v>1304.48</v>
      </c>
      <c r="K2374">
        <v>252.48</v>
      </c>
      <c r="L2374">
        <v>67554</v>
      </c>
      <c r="M2374" t="s">
        <v>60</v>
      </c>
      <c r="N2374" t="str">
        <f>"2138828318  "</f>
        <v xml:space="preserve">2138828318  </v>
      </c>
      <c r="O2374">
        <v>230412</v>
      </c>
    </row>
    <row r="2375" spans="1:15" x14ac:dyDescent="0.25">
      <c r="A2375" t="s">
        <v>16</v>
      </c>
      <c r="B2375" t="s">
        <v>3221</v>
      </c>
      <c r="C2375">
        <v>6942</v>
      </c>
      <c r="D2375" t="s">
        <v>413</v>
      </c>
      <c r="E2375" t="s">
        <v>414</v>
      </c>
      <c r="F2375">
        <v>73.8</v>
      </c>
      <c r="G2375">
        <v>230522</v>
      </c>
      <c r="H2375">
        <v>4600</v>
      </c>
      <c r="I2375" t="s">
        <v>105</v>
      </c>
      <c r="J2375">
        <v>91.51</v>
      </c>
      <c r="K2375">
        <v>17.71</v>
      </c>
      <c r="L2375">
        <v>67554</v>
      </c>
      <c r="M2375" t="s">
        <v>60</v>
      </c>
      <c r="N2375" t="str">
        <f>"2138831238  "</f>
        <v xml:space="preserve">2138831238  </v>
      </c>
      <c r="O2375">
        <v>230523</v>
      </c>
    </row>
    <row r="2376" spans="1:15" x14ac:dyDescent="0.25">
      <c r="A2376" t="s">
        <v>16</v>
      </c>
      <c r="B2376" t="s">
        <v>3221</v>
      </c>
      <c r="C2376">
        <v>8795</v>
      </c>
      <c r="D2376" t="s">
        <v>413</v>
      </c>
      <c r="E2376" t="s">
        <v>414</v>
      </c>
      <c r="F2376">
        <v>60.15</v>
      </c>
      <c r="G2376">
        <v>230602</v>
      </c>
      <c r="H2376">
        <v>4600</v>
      </c>
      <c r="I2376" t="s">
        <v>105</v>
      </c>
      <c r="J2376">
        <v>74.59</v>
      </c>
      <c r="K2376">
        <v>14.44</v>
      </c>
      <c r="L2376">
        <v>67554</v>
      </c>
      <c r="M2376" t="s">
        <v>60</v>
      </c>
      <c r="N2376" t="str">
        <f>"2138832526  "</f>
        <v xml:space="preserve">2138832526  </v>
      </c>
      <c r="O2376">
        <v>230615</v>
      </c>
    </row>
    <row r="2377" spans="1:15" x14ac:dyDescent="0.25">
      <c r="A2377" t="s">
        <v>16</v>
      </c>
      <c r="B2377" t="s">
        <v>3221</v>
      </c>
      <c r="C2377">
        <v>9809</v>
      </c>
      <c r="D2377" t="s">
        <v>413</v>
      </c>
      <c r="E2377" t="s">
        <v>414</v>
      </c>
      <c r="F2377">
        <v>1052</v>
      </c>
      <c r="G2377">
        <v>230723</v>
      </c>
      <c r="H2377">
        <v>4600</v>
      </c>
      <c r="I2377" t="s">
        <v>105</v>
      </c>
      <c r="J2377">
        <v>1304.48</v>
      </c>
      <c r="K2377">
        <v>252.48</v>
      </c>
      <c r="L2377">
        <v>67554</v>
      </c>
      <c r="M2377" t="s">
        <v>60</v>
      </c>
      <c r="N2377" t="str">
        <f>"2138836046  "</f>
        <v xml:space="preserve">2138836046  </v>
      </c>
      <c r="O2377">
        <v>230725</v>
      </c>
    </row>
    <row r="2378" spans="1:15" x14ac:dyDescent="0.25">
      <c r="A2378" t="s">
        <v>16</v>
      </c>
      <c r="B2378" t="s">
        <v>3221</v>
      </c>
      <c r="C2378">
        <v>11439</v>
      </c>
      <c r="D2378" t="s">
        <v>413</v>
      </c>
      <c r="E2378" t="s">
        <v>414</v>
      </c>
      <c r="F2378">
        <v>1967.9</v>
      </c>
      <c r="G2378">
        <v>230903</v>
      </c>
      <c r="H2378">
        <v>4600</v>
      </c>
      <c r="I2378" t="s">
        <v>105</v>
      </c>
      <c r="J2378">
        <v>2440.1999999999998</v>
      </c>
      <c r="K2378">
        <v>472.3</v>
      </c>
      <c r="L2378">
        <v>17737</v>
      </c>
      <c r="M2378" t="s">
        <v>279</v>
      </c>
      <c r="N2378" t="str">
        <f>"2138839681  "</f>
        <v xml:space="preserve">2138839681  </v>
      </c>
      <c r="O2378">
        <v>230905</v>
      </c>
    </row>
    <row r="2379" spans="1:15" x14ac:dyDescent="0.25">
      <c r="A2379" t="s">
        <v>16</v>
      </c>
      <c r="B2379" t="s">
        <v>3221</v>
      </c>
      <c r="C2379">
        <v>11850</v>
      </c>
      <c r="D2379" t="s">
        <v>413</v>
      </c>
      <c r="E2379" t="s">
        <v>414</v>
      </c>
      <c r="F2379">
        <v>424</v>
      </c>
      <c r="G2379">
        <v>230904</v>
      </c>
      <c r="H2379">
        <v>4600</v>
      </c>
      <c r="I2379" t="s">
        <v>105</v>
      </c>
      <c r="J2379">
        <v>525.76</v>
      </c>
      <c r="K2379">
        <v>101.76</v>
      </c>
      <c r="L2379">
        <v>67554</v>
      </c>
      <c r="M2379" t="s">
        <v>60</v>
      </c>
      <c r="N2379" t="str">
        <f>"2138839748  "</f>
        <v xml:space="preserve">2138839748  </v>
      </c>
      <c r="O2379">
        <v>230911</v>
      </c>
    </row>
    <row r="2380" spans="1:15" x14ac:dyDescent="0.25">
      <c r="A2380" t="s">
        <v>16</v>
      </c>
      <c r="B2380" t="s">
        <v>3221</v>
      </c>
      <c r="C2380">
        <v>12719</v>
      </c>
      <c r="D2380" t="s">
        <v>413</v>
      </c>
      <c r="E2380" t="s">
        <v>414</v>
      </c>
      <c r="F2380">
        <v>199.8</v>
      </c>
      <c r="G2380">
        <v>230917</v>
      </c>
      <c r="H2380">
        <v>4600</v>
      </c>
      <c r="I2380" t="s">
        <v>105</v>
      </c>
      <c r="J2380">
        <v>247.75</v>
      </c>
      <c r="K2380">
        <v>47.95</v>
      </c>
      <c r="L2380">
        <v>17737</v>
      </c>
      <c r="M2380" t="s">
        <v>279</v>
      </c>
      <c r="N2380" t="str">
        <f>"2138840443  "</f>
        <v xml:space="preserve">2138840443  </v>
      </c>
      <c r="O2380">
        <v>230925</v>
      </c>
    </row>
    <row r="2381" spans="1:15" x14ac:dyDescent="0.25">
      <c r="A2381" t="s">
        <v>16</v>
      </c>
      <c r="B2381" t="s">
        <v>3221</v>
      </c>
      <c r="C2381">
        <v>15992</v>
      </c>
      <c r="D2381" t="s">
        <v>413</v>
      </c>
      <c r="E2381" t="s">
        <v>414</v>
      </c>
      <c r="F2381">
        <v>1052</v>
      </c>
      <c r="G2381">
        <v>231116</v>
      </c>
      <c r="H2381">
        <v>4600</v>
      </c>
      <c r="I2381" t="s">
        <v>105</v>
      </c>
      <c r="J2381">
        <v>1304.48</v>
      </c>
      <c r="K2381">
        <v>252.48</v>
      </c>
      <c r="L2381">
        <v>67554</v>
      </c>
      <c r="M2381" t="s">
        <v>60</v>
      </c>
      <c r="N2381" t="str">
        <f>"2138845342  "</f>
        <v xml:space="preserve">2138845342  </v>
      </c>
      <c r="O2381">
        <v>231122</v>
      </c>
    </row>
    <row r="2382" spans="1:15" x14ac:dyDescent="0.25">
      <c r="A2382" t="s">
        <v>16</v>
      </c>
      <c r="B2382" t="s">
        <v>3221</v>
      </c>
      <c r="C2382">
        <v>18318</v>
      </c>
      <c r="D2382" t="s">
        <v>413</v>
      </c>
      <c r="E2382" t="s">
        <v>414</v>
      </c>
      <c r="F2382">
        <v>424</v>
      </c>
      <c r="G2382">
        <v>231222</v>
      </c>
      <c r="H2382">
        <v>4600</v>
      </c>
      <c r="I2382" t="s">
        <v>105</v>
      </c>
      <c r="J2382">
        <v>525.76</v>
      </c>
      <c r="K2382">
        <v>101.76</v>
      </c>
      <c r="L2382">
        <v>67554</v>
      </c>
      <c r="M2382" t="s">
        <v>60</v>
      </c>
      <c r="N2382" t="str">
        <f>"2138848468  "</f>
        <v xml:space="preserve">2138848468  </v>
      </c>
      <c r="O2382">
        <v>240102</v>
      </c>
    </row>
    <row r="2383" spans="1:15" x14ac:dyDescent="0.25">
      <c r="A2383" t="s">
        <v>16</v>
      </c>
      <c r="B2383" t="s">
        <v>3221</v>
      </c>
      <c r="C2383">
        <v>979</v>
      </c>
      <c r="D2383" t="s">
        <v>413</v>
      </c>
      <c r="E2383" t="s">
        <v>414</v>
      </c>
      <c r="F2383">
        <v>260</v>
      </c>
      <c r="G2383">
        <v>230126</v>
      </c>
      <c r="H2383">
        <v>4555</v>
      </c>
      <c r="I2383" t="s">
        <v>481</v>
      </c>
      <c r="J2383">
        <v>322.39999999999998</v>
      </c>
      <c r="K2383">
        <v>62.4</v>
      </c>
      <c r="L2383">
        <v>67554</v>
      </c>
      <c r="M2383" t="s">
        <v>60</v>
      </c>
      <c r="N2383" t="str">
        <f>"2138821942  "</f>
        <v xml:space="preserve">2138821942  </v>
      </c>
      <c r="O2383">
        <v>230202</v>
      </c>
    </row>
    <row r="2384" spans="1:15" x14ac:dyDescent="0.25">
      <c r="A2384" t="s">
        <v>16</v>
      </c>
      <c r="B2384" t="s">
        <v>3221</v>
      </c>
      <c r="C2384">
        <v>4229</v>
      </c>
      <c r="D2384" t="s">
        <v>413</v>
      </c>
      <c r="E2384" t="s">
        <v>414</v>
      </c>
      <c r="F2384">
        <v>504</v>
      </c>
      <c r="G2384">
        <v>230329</v>
      </c>
      <c r="H2384">
        <v>4555</v>
      </c>
      <c r="I2384" t="s">
        <v>481</v>
      </c>
      <c r="J2384">
        <v>624.96</v>
      </c>
      <c r="K2384">
        <v>120.96</v>
      </c>
      <c r="L2384">
        <v>67554</v>
      </c>
      <c r="M2384" t="s">
        <v>60</v>
      </c>
      <c r="N2384" t="str">
        <f>"2138827372  "</f>
        <v xml:space="preserve">2138827372  </v>
      </c>
      <c r="O2384">
        <v>230403</v>
      </c>
    </row>
    <row r="2385" spans="1:15" x14ac:dyDescent="0.25">
      <c r="A2385" t="s">
        <v>16</v>
      </c>
      <c r="B2385" t="s">
        <v>3221</v>
      </c>
      <c r="C2385">
        <v>13684</v>
      </c>
      <c r="D2385" t="s">
        <v>413</v>
      </c>
      <c r="E2385" t="s">
        <v>414</v>
      </c>
      <c r="F2385">
        <v>252</v>
      </c>
      <c r="G2385">
        <v>231002</v>
      </c>
      <c r="H2385">
        <v>4555</v>
      </c>
      <c r="I2385" t="s">
        <v>481</v>
      </c>
      <c r="J2385">
        <v>312.48</v>
      </c>
      <c r="K2385">
        <v>60.48</v>
      </c>
      <c r="L2385">
        <v>67554</v>
      </c>
      <c r="M2385" t="s">
        <v>60</v>
      </c>
      <c r="N2385" t="str">
        <f>"2138841699  "</f>
        <v xml:space="preserve">2138841699  </v>
      </c>
      <c r="O2385">
        <v>231012</v>
      </c>
    </row>
    <row r="2386" spans="1:15" x14ac:dyDescent="0.25">
      <c r="A2386" t="s">
        <v>16</v>
      </c>
      <c r="B2386" t="s">
        <v>3221</v>
      </c>
      <c r="C2386">
        <v>11850</v>
      </c>
      <c r="D2386" t="s">
        <v>413</v>
      </c>
      <c r="E2386" t="s">
        <v>414</v>
      </c>
      <c r="F2386">
        <v>142.4</v>
      </c>
      <c r="G2386">
        <v>230904</v>
      </c>
      <c r="H2386">
        <v>4560</v>
      </c>
      <c r="I2386" t="s">
        <v>345</v>
      </c>
      <c r="J2386">
        <v>176.58</v>
      </c>
      <c r="K2386">
        <v>34.18</v>
      </c>
      <c r="L2386">
        <v>67554</v>
      </c>
      <c r="M2386" t="s">
        <v>60</v>
      </c>
      <c r="N2386" t="str">
        <f>"2138839748  "</f>
        <v xml:space="preserve">2138839748  </v>
      </c>
      <c r="O2386">
        <v>230911</v>
      </c>
    </row>
    <row r="2387" spans="1:15" x14ac:dyDescent="0.25">
      <c r="A2387" t="s">
        <v>16</v>
      </c>
      <c r="B2387" t="s">
        <v>3221</v>
      </c>
      <c r="C2387">
        <v>16459</v>
      </c>
      <c r="D2387" t="s">
        <v>413</v>
      </c>
      <c r="E2387" t="s">
        <v>414</v>
      </c>
      <c r="F2387">
        <v>5160.93</v>
      </c>
      <c r="G2387">
        <v>231128</v>
      </c>
      <c r="H2387">
        <v>4390</v>
      </c>
      <c r="I2387" t="s">
        <v>98</v>
      </c>
      <c r="J2387">
        <v>5160.93</v>
      </c>
      <c r="K2387">
        <v>0</v>
      </c>
      <c r="L2387">
        <v>69501</v>
      </c>
      <c r="M2387" t="s">
        <v>185</v>
      </c>
      <c r="N2387" t="str">
        <f>"0020013425  "</f>
        <v xml:space="preserve">0020013425  </v>
      </c>
      <c r="O2387">
        <v>231129</v>
      </c>
    </row>
    <row r="2388" spans="1:15" x14ac:dyDescent="0.25">
      <c r="A2388" t="s">
        <v>16</v>
      </c>
      <c r="B2388" t="s">
        <v>3221</v>
      </c>
      <c r="C2388">
        <v>979</v>
      </c>
      <c r="D2388" t="s">
        <v>413</v>
      </c>
      <c r="E2388" t="s">
        <v>414</v>
      </c>
      <c r="F2388">
        <v>406.8</v>
      </c>
      <c r="G2388">
        <v>230126</v>
      </c>
      <c r="H2388">
        <v>4550</v>
      </c>
      <c r="I2388" t="s">
        <v>312</v>
      </c>
      <c r="J2388">
        <v>504.43</v>
      </c>
      <c r="K2388">
        <v>97.63</v>
      </c>
      <c r="L2388">
        <v>67554</v>
      </c>
      <c r="M2388" t="s">
        <v>60</v>
      </c>
      <c r="N2388" t="str">
        <f>"2138821942  "</f>
        <v xml:space="preserve">2138821942  </v>
      </c>
      <c r="O2388">
        <v>230202</v>
      </c>
    </row>
    <row r="2389" spans="1:15" x14ac:dyDescent="0.25">
      <c r="A2389" t="s">
        <v>16</v>
      </c>
      <c r="B2389" t="s">
        <v>3221</v>
      </c>
      <c r="C2389">
        <v>2424</v>
      </c>
      <c r="D2389" t="s">
        <v>413</v>
      </c>
      <c r="E2389" t="s">
        <v>414</v>
      </c>
      <c r="F2389">
        <v>114.4</v>
      </c>
      <c r="G2389">
        <v>230213</v>
      </c>
      <c r="H2389">
        <v>4550</v>
      </c>
      <c r="I2389" t="s">
        <v>312</v>
      </c>
      <c r="J2389">
        <v>141.86000000000001</v>
      </c>
      <c r="K2389">
        <v>27.46</v>
      </c>
      <c r="L2389">
        <v>67554</v>
      </c>
      <c r="M2389" t="s">
        <v>60</v>
      </c>
      <c r="N2389" t="str">
        <f>"2138823632  "</f>
        <v xml:space="preserve">2138823632  </v>
      </c>
      <c r="O2389">
        <v>230227</v>
      </c>
    </row>
    <row r="2390" spans="1:15" x14ac:dyDescent="0.25">
      <c r="A2390" t="s">
        <v>16</v>
      </c>
      <c r="B2390" t="s">
        <v>3221</v>
      </c>
      <c r="C2390">
        <v>4229</v>
      </c>
      <c r="D2390" t="s">
        <v>413</v>
      </c>
      <c r="E2390" t="s">
        <v>414</v>
      </c>
      <c r="F2390">
        <v>420.8</v>
      </c>
      <c r="G2390">
        <v>230329</v>
      </c>
      <c r="H2390">
        <v>4550</v>
      </c>
      <c r="I2390" t="s">
        <v>312</v>
      </c>
      <c r="J2390">
        <v>521.79</v>
      </c>
      <c r="K2390">
        <v>100.99</v>
      </c>
      <c r="L2390">
        <v>67554</v>
      </c>
      <c r="M2390" t="s">
        <v>60</v>
      </c>
      <c r="N2390" t="str">
        <f>"2138827372  "</f>
        <v xml:space="preserve">2138827372  </v>
      </c>
      <c r="O2390">
        <v>230403</v>
      </c>
    </row>
    <row r="2391" spans="1:15" x14ac:dyDescent="0.25">
      <c r="A2391" t="s">
        <v>16</v>
      </c>
      <c r="B2391" t="s">
        <v>3221</v>
      </c>
      <c r="C2391">
        <v>8795</v>
      </c>
      <c r="D2391" t="s">
        <v>413</v>
      </c>
      <c r="E2391" t="s">
        <v>414</v>
      </c>
      <c r="F2391">
        <v>701.6</v>
      </c>
      <c r="G2391">
        <v>230602</v>
      </c>
      <c r="H2391">
        <v>4550</v>
      </c>
      <c r="I2391" t="s">
        <v>312</v>
      </c>
      <c r="J2391">
        <v>869.99</v>
      </c>
      <c r="K2391">
        <v>168.39</v>
      </c>
      <c r="L2391">
        <v>67554</v>
      </c>
      <c r="M2391" t="s">
        <v>60</v>
      </c>
      <c r="N2391" t="str">
        <f>"2138832526  "</f>
        <v xml:space="preserve">2138832526  </v>
      </c>
      <c r="O2391">
        <v>230615</v>
      </c>
    </row>
    <row r="2392" spans="1:15" x14ac:dyDescent="0.25">
      <c r="A2392" t="s">
        <v>16</v>
      </c>
      <c r="B2392" t="s">
        <v>3221</v>
      </c>
      <c r="C2392">
        <v>11850</v>
      </c>
      <c r="D2392" t="s">
        <v>413</v>
      </c>
      <c r="E2392" t="s">
        <v>414</v>
      </c>
      <c r="F2392">
        <v>1066</v>
      </c>
      <c r="G2392">
        <v>230904</v>
      </c>
      <c r="H2392">
        <v>4550</v>
      </c>
      <c r="I2392" t="s">
        <v>312</v>
      </c>
      <c r="J2392">
        <v>1321.84</v>
      </c>
      <c r="K2392">
        <v>255.84</v>
      </c>
      <c r="L2392">
        <v>67554</v>
      </c>
      <c r="M2392" t="s">
        <v>60</v>
      </c>
      <c r="N2392" t="str">
        <f>"2138839748  "</f>
        <v xml:space="preserve">2138839748  </v>
      </c>
      <c r="O2392">
        <v>230911</v>
      </c>
    </row>
    <row r="2393" spans="1:15" x14ac:dyDescent="0.25">
      <c r="A2393" t="s">
        <v>16</v>
      </c>
      <c r="B2393" t="s">
        <v>3221</v>
      </c>
      <c r="C2393">
        <v>18318</v>
      </c>
      <c r="D2393" t="s">
        <v>413</v>
      </c>
      <c r="E2393" t="s">
        <v>414</v>
      </c>
      <c r="F2393">
        <v>1412</v>
      </c>
      <c r="G2393">
        <v>231222</v>
      </c>
      <c r="H2393">
        <v>4550</v>
      </c>
      <c r="I2393" t="s">
        <v>312</v>
      </c>
      <c r="J2393">
        <v>1750.88</v>
      </c>
      <c r="K2393">
        <v>338.88</v>
      </c>
      <c r="L2393">
        <v>67554</v>
      </c>
      <c r="M2393" t="s">
        <v>60</v>
      </c>
      <c r="N2393" t="str">
        <f>"2138848468  "</f>
        <v xml:space="preserve">2138848468  </v>
      </c>
      <c r="O2393">
        <v>240102</v>
      </c>
    </row>
    <row r="2394" spans="1:15" x14ac:dyDescent="0.25">
      <c r="A2394" t="s">
        <v>16</v>
      </c>
      <c r="B2394" t="s">
        <v>3221</v>
      </c>
      <c r="C2394">
        <v>924</v>
      </c>
      <c r="D2394" t="s">
        <v>796</v>
      </c>
      <c r="E2394" t="s">
        <v>797</v>
      </c>
      <c r="F2394">
        <v>63.6</v>
      </c>
      <c r="G2394">
        <v>230131</v>
      </c>
      <c r="H2394">
        <v>4410</v>
      </c>
      <c r="I2394" t="s">
        <v>517</v>
      </c>
      <c r="J2394">
        <v>72.5</v>
      </c>
      <c r="K2394">
        <v>8.9</v>
      </c>
      <c r="L2394">
        <v>13501</v>
      </c>
      <c r="M2394" t="s">
        <v>20</v>
      </c>
      <c r="N2394" t="str">
        <f>"137         "</f>
        <v xml:space="preserve">137         </v>
      </c>
      <c r="O2394">
        <v>230201</v>
      </c>
    </row>
    <row r="2395" spans="1:15" x14ac:dyDescent="0.25">
      <c r="A2395" t="s">
        <v>16</v>
      </c>
      <c r="B2395" t="s">
        <v>3221</v>
      </c>
      <c r="C2395">
        <v>924</v>
      </c>
      <c r="D2395" t="s">
        <v>796</v>
      </c>
      <c r="E2395" t="s">
        <v>797</v>
      </c>
      <c r="F2395">
        <v>213.64</v>
      </c>
      <c r="G2395">
        <v>230131</v>
      </c>
      <c r="H2395">
        <v>4440</v>
      </c>
      <c r="I2395" t="s">
        <v>250</v>
      </c>
      <c r="J2395">
        <v>235</v>
      </c>
      <c r="K2395">
        <v>21.36</v>
      </c>
      <c r="L2395">
        <v>13501</v>
      </c>
      <c r="M2395" t="s">
        <v>20</v>
      </c>
      <c r="N2395" t="str">
        <f>"137         "</f>
        <v xml:space="preserve">137         </v>
      </c>
      <c r="O2395">
        <v>230201</v>
      </c>
    </row>
    <row r="2396" spans="1:15" x14ac:dyDescent="0.25">
      <c r="A2396" t="s">
        <v>16</v>
      </c>
      <c r="B2396" t="s">
        <v>3221</v>
      </c>
      <c r="C2396">
        <v>924</v>
      </c>
      <c r="D2396" t="s">
        <v>796</v>
      </c>
      <c r="E2396" t="s">
        <v>797</v>
      </c>
      <c r="F2396">
        <v>4.03</v>
      </c>
      <c r="G2396">
        <v>230131</v>
      </c>
      <c r="H2396">
        <v>4347</v>
      </c>
      <c r="I2396" t="s">
        <v>193</v>
      </c>
      <c r="J2396">
        <v>5</v>
      </c>
      <c r="K2396">
        <v>0.97</v>
      </c>
      <c r="L2396">
        <v>13501</v>
      </c>
      <c r="M2396" t="s">
        <v>20</v>
      </c>
      <c r="N2396" t="str">
        <f>"137         "</f>
        <v xml:space="preserve">137         </v>
      </c>
      <c r="O2396">
        <v>230201</v>
      </c>
    </row>
    <row r="2397" spans="1:15" x14ac:dyDescent="0.25">
      <c r="A2397" t="s">
        <v>16</v>
      </c>
      <c r="B2397" t="s">
        <v>3221</v>
      </c>
      <c r="C2397">
        <v>2425</v>
      </c>
      <c r="D2397" t="s">
        <v>1394</v>
      </c>
      <c r="E2397" t="s">
        <v>1395</v>
      </c>
      <c r="F2397">
        <v>2128</v>
      </c>
      <c r="G2397">
        <v>230216</v>
      </c>
      <c r="H2397">
        <v>4400</v>
      </c>
      <c r="I2397" t="s">
        <v>348</v>
      </c>
      <c r="J2397">
        <v>2638.72</v>
      </c>
      <c r="K2397">
        <v>510.72</v>
      </c>
      <c r="L2397">
        <v>67554</v>
      </c>
      <c r="M2397" t="s">
        <v>60</v>
      </c>
      <c r="N2397" t="str">
        <f>"1001000065  "</f>
        <v xml:space="preserve">1001000065  </v>
      </c>
      <c r="O2397">
        <v>230227</v>
      </c>
    </row>
    <row r="2398" spans="1:15" x14ac:dyDescent="0.25">
      <c r="A2398" t="s">
        <v>16</v>
      </c>
      <c r="B2398" t="s">
        <v>3221</v>
      </c>
      <c r="C2398">
        <v>9722</v>
      </c>
      <c r="D2398" t="s">
        <v>1394</v>
      </c>
      <c r="E2398" t="s">
        <v>1395</v>
      </c>
      <c r="F2398">
        <v>828.27</v>
      </c>
      <c r="G2398">
        <v>230717</v>
      </c>
      <c r="H2398">
        <v>4400</v>
      </c>
      <c r="I2398" t="s">
        <v>348</v>
      </c>
      <c r="J2398">
        <v>1027.06</v>
      </c>
      <c r="K2398">
        <v>198.79</v>
      </c>
      <c r="L2398">
        <v>67554</v>
      </c>
      <c r="M2398" t="s">
        <v>60</v>
      </c>
      <c r="N2398" t="str">
        <f>"1001000391  "</f>
        <v xml:space="preserve">1001000391  </v>
      </c>
      <c r="O2398">
        <v>230720</v>
      </c>
    </row>
    <row r="2399" spans="1:15" x14ac:dyDescent="0.25">
      <c r="A2399" t="s">
        <v>16</v>
      </c>
      <c r="B2399" t="s">
        <v>3221</v>
      </c>
      <c r="C2399">
        <v>18117</v>
      </c>
      <c r="D2399" t="s">
        <v>1394</v>
      </c>
      <c r="E2399" t="s">
        <v>1395</v>
      </c>
      <c r="F2399">
        <v>545.32000000000005</v>
      </c>
      <c r="G2399">
        <v>231218</v>
      </c>
      <c r="H2399">
        <v>4400</v>
      </c>
      <c r="I2399" t="s">
        <v>348</v>
      </c>
      <c r="J2399">
        <v>676.2</v>
      </c>
      <c r="K2399">
        <v>130.88</v>
      </c>
      <c r="L2399">
        <v>67554</v>
      </c>
      <c r="M2399" t="s">
        <v>60</v>
      </c>
      <c r="N2399" t="str">
        <f>"1001000761  "</f>
        <v xml:space="preserve">1001000761  </v>
      </c>
      <c r="O2399">
        <v>240102</v>
      </c>
    </row>
    <row r="2400" spans="1:15" x14ac:dyDescent="0.25">
      <c r="A2400" t="s">
        <v>16</v>
      </c>
      <c r="B2400" t="s">
        <v>3221</v>
      </c>
      <c r="C2400">
        <v>18176</v>
      </c>
      <c r="D2400" t="s">
        <v>1394</v>
      </c>
      <c r="E2400" t="s">
        <v>1395</v>
      </c>
      <c r="F2400">
        <v>2627.74</v>
      </c>
      <c r="G2400">
        <v>231218</v>
      </c>
      <c r="H2400">
        <v>4400</v>
      </c>
      <c r="I2400" t="s">
        <v>348</v>
      </c>
      <c r="J2400">
        <v>3258.4</v>
      </c>
      <c r="K2400">
        <v>630.66</v>
      </c>
      <c r="L2400">
        <v>69501</v>
      </c>
      <c r="M2400" t="s">
        <v>185</v>
      </c>
      <c r="N2400" t="str">
        <f>"1001000760  "</f>
        <v xml:space="preserve">1001000760  </v>
      </c>
      <c r="O2400">
        <v>240102</v>
      </c>
    </row>
    <row r="2401" spans="1:15" x14ac:dyDescent="0.25">
      <c r="A2401" t="s">
        <v>16</v>
      </c>
      <c r="B2401" t="s">
        <v>3221</v>
      </c>
      <c r="C2401">
        <v>9332</v>
      </c>
      <c r="D2401" t="s">
        <v>1394</v>
      </c>
      <c r="E2401" t="s">
        <v>1395</v>
      </c>
      <c r="F2401">
        <v>6.2</v>
      </c>
      <c r="G2401">
        <v>230621</v>
      </c>
      <c r="H2401">
        <v>4412</v>
      </c>
      <c r="I2401" t="s">
        <v>149</v>
      </c>
      <c r="J2401">
        <v>6.2</v>
      </c>
      <c r="K2401">
        <v>0</v>
      </c>
      <c r="L2401">
        <v>67554</v>
      </c>
      <c r="M2401" t="s">
        <v>60</v>
      </c>
      <c r="N2401" t="str">
        <f>"1001000339  "</f>
        <v xml:space="preserve">1001000339  </v>
      </c>
      <c r="O2401">
        <v>230706</v>
      </c>
    </row>
    <row r="2402" spans="1:15" x14ac:dyDescent="0.25">
      <c r="A2402" t="s">
        <v>16</v>
      </c>
      <c r="B2402" t="s">
        <v>3221</v>
      </c>
      <c r="C2402">
        <v>9332</v>
      </c>
      <c r="D2402" t="s">
        <v>1394</v>
      </c>
      <c r="E2402" t="s">
        <v>1395</v>
      </c>
      <c r="F2402">
        <v>119.11</v>
      </c>
      <c r="G2402">
        <v>230621</v>
      </c>
      <c r="H2402">
        <v>4412</v>
      </c>
      <c r="I2402" t="s">
        <v>149</v>
      </c>
      <c r="J2402">
        <v>147.69999999999999</v>
      </c>
      <c r="K2402">
        <v>28.59</v>
      </c>
      <c r="L2402">
        <v>67554</v>
      </c>
      <c r="M2402" t="s">
        <v>60</v>
      </c>
      <c r="N2402" t="str">
        <f>"1001000339  "</f>
        <v xml:space="preserve">1001000339  </v>
      </c>
      <c r="O2402">
        <v>230706</v>
      </c>
    </row>
    <row r="2403" spans="1:15" x14ac:dyDescent="0.25">
      <c r="A2403" t="s">
        <v>16</v>
      </c>
      <c r="B2403" t="s">
        <v>3221</v>
      </c>
      <c r="C2403">
        <v>9722</v>
      </c>
      <c r="D2403" t="s">
        <v>1394</v>
      </c>
      <c r="E2403" t="s">
        <v>1395</v>
      </c>
      <c r="F2403">
        <v>363.6</v>
      </c>
      <c r="G2403">
        <v>230717</v>
      </c>
      <c r="H2403">
        <v>4420</v>
      </c>
      <c r="I2403" t="s">
        <v>132</v>
      </c>
      <c r="J2403">
        <v>450.86</v>
      </c>
      <c r="K2403">
        <v>87.26</v>
      </c>
      <c r="L2403">
        <v>67554</v>
      </c>
      <c r="M2403" t="s">
        <v>60</v>
      </c>
      <c r="N2403" t="str">
        <f>"1001000391  "</f>
        <v xml:space="preserve">1001000391  </v>
      </c>
      <c r="O2403">
        <v>230720</v>
      </c>
    </row>
    <row r="2404" spans="1:15" x14ac:dyDescent="0.25">
      <c r="A2404" t="s">
        <v>16</v>
      </c>
      <c r="B2404" t="s">
        <v>3221</v>
      </c>
      <c r="C2404">
        <v>9332</v>
      </c>
      <c r="D2404" t="s">
        <v>1394</v>
      </c>
      <c r="E2404" t="s">
        <v>1395</v>
      </c>
      <c r="F2404">
        <v>595</v>
      </c>
      <c r="G2404">
        <v>230621</v>
      </c>
      <c r="H2404">
        <v>4441</v>
      </c>
      <c r="I2404" t="s">
        <v>109</v>
      </c>
      <c r="J2404">
        <v>737.8</v>
      </c>
      <c r="K2404">
        <v>142.80000000000001</v>
      </c>
      <c r="L2404">
        <v>67554</v>
      </c>
      <c r="M2404" t="s">
        <v>60</v>
      </c>
      <c r="N2404" t="str">
        <f>"1001000339  "</f>
        <v xml:space="preserve">1001000339  </v>
      </c>
      <c r="O2404">
        <v>230706</v>
      </c>
    </row>
    <row r="2405" spans="1:15" x14ac:dyDescent="0.25">
      <c r="A2405" t="s">
        <v>16</v>
      </c>
      <c r="B2405" t="s">
        <v>3221</v>
      </c>
      <c r="C2405">
        <v>15634</v>
      </c>
      <c r="D2405" t="s">
        <v>2888</v>
      </c>
      <c r="E2405" t="s">
        <v>2889</v>
      </c>
      <c r="F2405">
        <v>167.27</v>
      </c>
      <c r="G2405">
        <v>231113</v>
      </c>
      <c r="H2405">
        <v>4534</v>
      </c>
      <c r="I2405" t="s">
        <v>273</v>
      </c>
      <c r="J2405">
        <v>207.42</v>
      </c>
      <c r="K2405">
        <v>40.15</v>
      </c>
      <c r="L2405">
        <v>54252</v>
      </c>
      <c r="M2405" t="s">
        <v>534</v>
      </c>
      <c r="N2405" t="str">
        <f>"58021       "</f>
        <v xml:space="preserve">58021       </v>
      </c>
      <c r="O2405">
        <v>231114</v>
      </c>
    </row>
    <row r="2406" spans="1:15" x14ac:dyDescent="0.25">
      <c r="A2406" t="s">
        <v>16</v>
      </c>
      <c r="B2406" t="s">
        <v>3221</v>
      </c>
      <c r="C2406">
        <v>1816</v>
      </c>
      <c r="D2406" t="s">
        <v>1205</v>
      </c>
      <c r="E2406" t="s">
        <v>1206</v>
      </c>
      <c r="F2406">
        <v>700</v>
      </c>
      <c r="G2406">
        <v>221229</v>
      </c>
      <c r="H2406">
        <v>4440</v>
      </c>
      <c r="I2406" t="s">
        <v>250</v>
      </c>
      <c r="J2406">
        <v>770</v>
      </c>
      <c r="K2406">
        <v>70</v>
      </c>
      <c r="L2406">
        <v>16930</v>
      </c>
      <c r="M2406" t="s">
        <v>450</v>
      </c>
      <c r="N2406" t="str">
        <f>"56547       "</f>
        <v xml:space="preserve">56547       </v>
      </c>
      <c r="O2406">
        <v>230214</v>
      </c>
    </row>
    <row r="2407" spans="1:15" x14ac:dyDescent="0.25">
      <c r="A2407" t="s">
        <v>16</v>
      </c>
      <c r="B2407" t="s">
        <v>3221</v>
      </c>
      <c r="C2407">
        <v>9015</v>
      </c>
      <c r="D2407" t="s">
        <v>1205</v>
      </c>
      <c r="E2407" t="s">
        <v>1206</v>
      </c>
      <c r="F2407">
        <v>300</v>
      </c>
      <c r="G2407">
        <v>230619</v>
      </c>
      <c r="H2407">
        <v>4440</v>
      </c>
      <c r="I2407" t="s">
        <v>250</v>
      </c>
      <c r="J2407">
        <v>300</v>
      </c>
      <c r="K2407">
        <v>0</v>
      </c>
      <c r="L2407">
        <v>16930</v>
      </c>
      <c r="M2407" t="s">
        <v>450</v>
      </c>
      <c r="N2407" t="str">
        <f>"57221       "</f>
        <v xml:space="preserve">57221       </v>
      </c>
      <c r="O2407">
        <v>230621</v>
      </c>
    </row>
    <row r="2408" spans="1:15" x14ac:dyDescent="0.25">
      <c r="A2408" t="s">
        <v>16</v>
      </c>
      <c r="B2408" t="s">
        <v>3221</v>
      </c>
      <c r="C2408">
        <v>18372</v>
      </c>
      <c r="D2408" t="s">
        <v>1205</v>
      </c>
      <c r="E2408" t="s">
        <v>1206</v>
      </c>
      <c r="F2408">
        <v>300</v>
      </c>
      <c r="G2408">
        <v>231227</v>
      </c>
      <c r="H2408">
        <v>4440</v>
      </c>
      <c r="I2408" t="s">
        <v>250</v>
      </c>
      <c r="J2408">
        <v>300</v>
      </c>
      <c r="K2408">
        <v>0</v>
      </c>
      <c r="L2408">
        <v>16930</v>
      </c>
      <c r="M2408" t="s">
        <v>450</v>
      </c>
      <c r="N2408" t="str">
        <f>"58458       "</f>
        <v xml:space="preserve">58458       </v>
      </c>
      <c r="O2408">
        <v>240103</v>
      </c>
    </row>
    <row r="2409" spans="1:15" x14ac:dyDescent="0.25">
      <c r="A2409" t="s">
        <v>16</v>
      </c>
      <c r="B2409" t="s">
        <v>3221</v>
      </c>
      <c r="C2409">
        <v>3313</v>
      </c>
      <c r="D2409" t="s">
        <v>1113</v>
      </c>
      <c r="E2409" t="s">
        <v>1114</v>
      </c>
      <c r="F2409">
        <v>486.38</v>
      </c>
      <c r="G2409">
        <v>230228</v>
      </c>
      <c r="H2409">
        <v>4346</v>
      </c>
      <c r="I2409" t="s">
        <v>197</v>
      </c>
      <c r="J2409">
        <v>603.11</v>
      </c>
      <c r="K2409">
        <v>116.73</v>
      </c>
      <c r="L2409">
        <v>11801</v>
      </c>
      <c r="M2409" t="s">
        <v>92</v>
      </c>
      <c r="N2409" t="str">
        <f>"100344      "</f>
        <v xml:space="preserve">100344      </v>
      </c>
      <c r="O2409">
        <v>230314</v>
      </c>
    </row>
    <row r="2410" spans="1:15" x14ac:dyDescent="0.25">
      <c r="A2410" t="s">
        <v>16</v>
      </c>
      <c r="B2410" t="s">
        <v>3221</v>
      </c>
      <c r="C2410">
        <v>1641</v>
      </c>
      <c r="D2410" t="s">
        <v>1113</v>
      </c>
      <c r="E2410" t="s">
        <v>1114</v>
      </c>
      <c r="F2410">
        <v>486.38</v>
      </c>
      <c r="G2410">
        <v>230131</v>
      </c>
      <c r="H2410">
        <v>4343</v>
      </c>
      <c r="I2410" t="s">
        <v>91</v>
      </c>
      <c r="J2410">
        <v>603.11</v>
      </c>
      <c r="K2410">
        <v>116.73</v>
      </c>
      <c r="L2410">
        <v>11801</v>
      </c>
      <c r="M2410" t="s">
        <v>92</v>
      </c>
      <c r="N2410" t="str">
        <f>"37815       "</f>
        <v xml:space="preserve">37815       </v>
      </c>
      <c r="O2410">
        <v>230213</v>
      </c>
    </row>
    <row r="2411" spans="1:15" x14ac:dyDescent="0.25">
      <c r="A2411" t="s">
        <v>16</v>
      </c>
      <c r="B2411" t="s">
        <v>3221</v>
      </c>
      <c r="C2411">
        <v>4877</v>
      </c>
      <c r="D2411" t="s">
        <v>1113</v>
      </c>
      <c r="E2411" t="s">
        <v>1114</v>
      </c>
      <c r="F2411">
        <v>486.38</v>
      </c>
      <c r="G2411">
        <v>230331</v>
      </c>
      <c r="H2411">
        <v>4362</v>
      </c>
      <c r="I2411" t="s">
        <v>79</v>
      </c>
      <c r="J2411">
        <v>603.11</v>
      </c>
      <c r="K2411">
        <v>116.73</v>
      </c>
      <c r="L2411">
        <v>11801</v>
      </c>
      <c r="M2411" t="s">
        <v>92</v>
      </c>
      <c r="N2411" t="str">
        <f>"100531      "</f>
        <v xml:space="preserve">100531      </v>
      </c>
      <c r="O2411">
        <v>230413</v>
      </c>
    </row>
    <row r="2412" spans="1:15" x14ac:dyDescent="0.25">
      <c r="A2412" t="s">
        <v>16</v>
      </c>
      <c r="B2412" t="s">
        <v>3221</v>
      </c>
      <c r="C2412">
        <v>6051</v>
      </c>
      <c r="D2412" t="s">
        <v>1113</v>
      </c>
      <c r="E2412" t="s">
        <v>1114</v>
      </c>
      <c r="F2412">
        <v>486.38</v>
      </c>
      <c r="G2412">
        <v>230430</v>
      </c>
      <c r="H2412">
        <v>4362</v>
      </c>
      <c r="I2412" t="s">
        <v>79</v>
      </c>
      <c r="J2412">
        <v>603.11</v>
      </c>
      <c r="K2412">
        <v>116.73</v>
      </c>
      <c r="L2412">
        <v>11801</v>
      </c>
      <c r="M2412" t="s">
        <v>92</v>
      </c>
      <c r="N2412" t="str">
        <f>"100711      "</f>
        <v xml:space="preserve">100711      </v>
      </c>
      <c r="O2412">
        <v>230508</v>
      </c>
    </row>
    <row r="2413" spans="1:15" x14ac:dyDescent="0.25">
      <c r="A2413" t="s">
        <v>16</v>
      </c>
      <c r="B2413" t="s">
        <v>3221</v>
      </c>
      <c r="C2413">
        <v>8622</v>
      </c>
      <c r="D2413" t="s">
        <v>1113</v>
      </c>
      <c r="E2413" t="s">
        <v>1114</v>
      </c>
      <c r="F2413">
        <v>486.38</v>
      </c>
      <c r="G2413">
        <v>230531</v>
      </c>
      <c r="H2413">
        <v>4362</v>
      </c>
      <c r="I2413" t="s">
        <v>79</v>
      </c>
      <c r="J2413">
        <v>603.11</v>
      </c>
      <c r="K2413">
        <v>116.73</v>
      </c>
      <c r="L2413">
        <v>11801</v>
      </c>
      <c r="M2413" t="s">
        <v>92</v>
      </c>
      <c r="N2413" t="str">
        <f>"100963      "</f>
        <v xml:space="preserve">100963      </v>
      </c>
      <c r="O2413">
        <v>230612</v>
      </c>
    </row>
    <row r="2414" spans="1:15" x14ac:dyDescent="0.25">
      <c r="A2414" t="s">
        <v>16</v>
      </c>
      <c r="B2414" t="s">
        <v>3221</v>
      </c>
      <c r="C2414">
        <v>9549</v>
      </c>
      <c r="D2414" t="s">
        <v>1113</v>
      </c>
      <c r="E2414" t="s">
        <v>1114</v>
      </c>
      <c r="F2414">
        <v>486.38</v>
      </c>
      <c r="G2414">
        <v>230630</v>
      </c>
      <c r="H2414">
        <v>4362</v>
      </c>
      <c r="I2414" t="s">
        <v>79</v>
      </c>
      <c r="J2414">
        <v>603.11</v>
      </c>
      <c r="K2414">
        <v>116.73</v>
      </c>
      <c r="L2414">
        <v>11801</v>
      </c>
      <c r="M2414" t="s">
        <v>92</v>
      </c>
      <c r="N2414" t="str">
        <f>"101135      "</f>
        <v xml:space="preserve">101135      </v>
      </c>
      <c r="O2414">
        <v>230717</v>
      </c>
    </row>
    <row r="2415" spans="1:15" x14ac:dyDescent="0.25">
      <c r="A2415" t="s">
        <v>16</v>
      </c>
      <c r="B2415" t="s">
        <v>3221</v>
      </c>
      <c r="C2415">
        <v>9886</v>
      </c>
      <c r="D2415" t="s">
        <v>1113</v>
      </c>
      <c r="E2415" t="s">
        <v>1114</v>
      </c>
      <c r="F2415">
        <v>486.38</v>
      </c>
      <c r="G2415">
        <v>230731</v>
      </c>
      <c r="H2415">
        <v>4362</v>
      </c>
      <c r="I2415" t="s">
        <v>79</v>
      </c>
      <c r="J2415">
        <v>603.11</v>
      </c>
      <c r="K2415">
        <v>116.73</v>
      </c>
      <c r="L2415">
        <v>11801</v>
      </c>
      <c r="M2415" t="s">
        <v>92</v>
      </c>
      <c r="N2415" t="str">
        <f>"101266      "</f>
        <v xml:space="preserve">101266      </v>
      </c>
      <c r="O2415">
        <v>230731</v>
      </c>
    </row>
    <row r="2416" spans="1:15" x14ac:dyDescent="0.25">
      <c r="A2416" t="s">
        <v>16</v>
      </c>
      <c r="B2416" t="s">
        <v>3221</v>
      </c>
      <c r="C2416">
        <v>11655</v>
      </c>
      <c r="D2416" t="s">
        <v>1113</v>
      </c>
      <c r="E2416" t="s">
        <v>1114</v>
      </c>
      <c r="F2416">
        <v>486.38</v>
      </c>
      <c r="G2416">
        <v>230831</v>
      </c>
      <c r="H2416">
        <v>4362</v>
      </c>
      <c r="I2416" t="s">
        <v>79</v>
      </c>
      <c r="J2416">
        <v>603.11</v>
      </c>
      <c r="K2416">
        <v>116.73</v>
      </c>
      <c r="L2416">
        <v>11801</v>
      </c>
      <c r="M2416" t="s">
        <v>92</v>
      </c>
      <c r="N2416" t="str">
        <f>"101460      "</f>
        <v xml:space="preserve">101460      </v>
      </c>
      <c r="O2416">
        <v>230908</v>
      </c>
    </row>
    <row r="2417" spans="1:15" x14ac:dyDescent="0.25">
      <c r="A2417" t="s">
        <v>16</v>
      </c>
      <c r="B2417" t="s">
        <v>3221</v>
      </c>
      <c r="C2417">
        <v>13338</v>
      </c>
      <c r="D2417" t="s">
        <v>1113</v>
      </c>
      <c r="E2417" t="s">
        <v>1114</v>
      </c>
      <c r="F2417">
        <v>486.38</v>
      </c>
      <c r="G2417">
        <v>230930</v>
      </c>
      <c r="H2417">
        <v>4362</v>
      </c>
      <c r="I2417" t="s">
        <v>79</v>
      </c>
      <c r="J2417">
        <v>603.11</v>
      </c>
      <c r="K2417">
        <v>116.73</v>
      </c>
      <c r="L2417">
        <v>11801</v>
      </c>
      <c r="M2417" t="s">
        <v>92</v>
      </c>
      <c r="N2417" t="str">
        <f>"101619      "</f>
        <v xml:space="preserve">101619      </v>
      </c>
      <c r="O2417">
        <v>231009</v>
      </c>
    </row>
    <row r="2418" spans="1:15" x14ac:dyDescent="0.25">
      <c r="A2418" t="s">
        <v>16</v>
      </c>
      <c r="B2418" t="s">
        <v>3221</v>
      </c>
      <c r="C2418">
        <v>14717</v>
      </c>
      <c r="D2418" t="s">
        <v>1113</v>
      </c>
      <c r="E2418" t="s">
        <v>1114</v>
      </c>
      <c r="F2418">
        <v>486.38</v>
      </c>
      <c r="G2418">
        <v>231031</v>
      </c>
      <c r="H2418">
        <v>4362</v>
      </c>
      <c r="I2418" t="s">
        <v>79</v>
      </c>
      <c r="J2418">
        <v>603.11</v>
      </c>
      <c r="K2418">
        <v>116.73</v>
      </c>
      <c r="L2418">
        <v>11801</v>
      </c>
      <c r="M2418" t="s">
        <v>92</v>
      </c>
      <c r="N2418" t="str">
        <f>"101871      "</f>
        <v xml:space="preserve">101871      </v>
      </c>
      <c r="O2418">
        <v>231101</v>
      </c>
    </row>
    <row r="2419" spans="1:15" x14ac:dyDescent="0.25">
      <c r="A2419" t="s">
        <v>16</v>
      </c>
      <c r="B2419" t="s">
        <v>3221</v>
      </c>
      <c r="C2419">
        <v>16664</v>
      </c>
      <c r="D2419" t="s">
        <v>1113</v>
      </c>
      <c r="E2419" t="s">
        <v>1114</v>
      </c>
      <c r="F2419">
        <v>486.38</v>
      </c>
      <c r="G2419">
        <v>231130</v>
      </c>
      <c r="H2419">
        <v>4362</v>
      </c>
      <c r="I2419" t="s">
        <v>79</v>
      </c>
      <c r="J2419">
        <v>603.11</v>
      </c>
      <c r="K2419">
        <v>116.73</v>
      </c>
      <c r="L2419">
        <v>11801</v>
      </c>
      <c r="M2419" t="s">
        <v>92</v>
      </c>
      <c r="N2419" t="str">
        <f>"102012      "</f>
        <v xml:space="preserve">102012      </v>
      </c>
      <c r="O2419">
        <v>231205</v>
      </c>
    </row>
    <row r="2420" spans="1:15" x14ac:dyDescent="0.25">
      <c r="A2420" t="s">
        <v>16</v>
      </c>
      <c r="B2420" t="s">
        <v>3221</v>
      </c>
      <c r="C2420">
        <v>18872</v>
      </c>
      <c r="D2420" t="s">
        <v>1113</v>
      </c>
      <c r="E2420" t="s">
        <v>1114</v>
      </c>
      <c r="F2420">
        <v>486.38</v>
      </c>
      <c r="G2420">
        <v>231231</v>
      </c>
      <c r="H2420">
        <v>4362</v>
      </c>
      <c r="I2420" t="s">
        <v>79</v>
      </c>
      <c r="J2420">
        <v>603.11</v>
      </c>
      <c r="K2420">
        <v>116.73</v>
      </c>
      <c r="L2420">
        <v>11801</v>
      </c>
      <c r="M2420" t="s">
        <v>92</v>
      </c>
      <c r="N2420" t="str">
        <f>"102208      "</f>
        <v xml:space="preserve">102208      </v>
      </c>
      <c r="O2420">
        <v>240108</v>
      </c>
    </row>
    <row r="2421" spans="1:15" x14ac:dyDescent="0.25">
      <c r="A2421" t="s">
        <v>16</v>
      </c>
      <c r="B2421" t="s">
        <v>3221</v>
      </c>
      <c r="C2421">
        <v>148</v>
      </c>
      <c r="D2421" t="s">
        <v>219</v>
      </c>
      <c r="E2421" t="s">
        <v>220</v>
      </c>
      <c r="F2421">
        <v>500</v>
      </c>
      <c r="G2421">
        <v>230109</v>
      </c>
      <c r="H2421">
        <v>4341</v>
      </c>
      <c r="I2421" t="s">
        <v>32</v>
      </c>
      <c r="J2421">
        <v>620</v>
      </c>
      <c r="K2421">
        <v>120</v>
      </c>
      <c r="L2421">
        <v>17802</v>
      </c>
      <c r="M2421" t="s">
        <v>174</v>
      </c>
      <c r="N2421" t="str">
        <f>"85262       "</f>
        <v xml:space="preserve">85262       </v>
      </c>
      <c r="O2421">
        <v>230113</v>
      </c>
    </row>
    <row r="2422" spans="1:15" x14ac:dyDescent="0.25">
      <c r="A2422" t="s">
        <v>16</v>
      </c>
      <c r="B2422" t="s">
        <v>3221</v>
      </c>
      <c r="C2422">
        <v>149</v>
      </c>
      <c r="D2422" t="s">
        <v>219</v>
      </c>
      <c r="E2422" t="s">
        <v>220</v>
      </c>
      <c r="F2422">
        <v>500</v>
      </c>
      <c r="G2422">
        <v>230109</v>
      </c>
      <c r="H2422">
        <v>4341</v>
      </c>
      <c r="I2422" t="s">
        <v>32</v>
      </c>
      <c r="J2422">
        <v>620</v>
      </c>
      <c r="K2422">
        <v>120</v>
      </c>
      <c r="L2422">
        <v>46557</v>
      </c>
      <c r="M2422" t="s">
        <v>221</v>
      </c>
      <c r="N2422" t="str">
        <f>"85263       "</f>
        <v xml:space="preserve">85263       </v>
      </c>
      <c r="O2422">
        <v>230113</v>
      </c>
    </row>
    <row r="2423" spans="1:15" x14ac:dyDescent="0.25">
      <c r="A2423" t="s">
        <v>16</v>
      </c>
      <c r="B2423" t="s">
        <v>3221</v>
      </c>
      <c r="C2423">
        <v>9745</v>
      </c>
      <c r="D2423" t="s">
        <v>219</v>
      </c>
      <c r="E2423" t="s">
        <v>220</v>
      </c>
      <c r="F2423">
        <v>270</v>
      </c>
      <c r="G2423">
        <v>230711</v>
      </c>
      <c r="H2423">
        <v>4341</v>
      </c>
      <c r="I2423" t="s">
        <v>32</v>
      </c>
      <c r="J2423">
        <v>334.8</v>
      </c>
      <c r="K2423">
        <v>64.8</v>
      </c>
      <c r="L2423">
        <v>56559</v>
      </c>
      <c r="M2423" t="s">
        <v>129</v>
      </c>
      <c r="N2423" t="str">
        <f>"90766       "</f>
        <v xml:space="preserve">90766       </v>
      </c>
      <c r="O2423">
        <v>230724</v>
      </c>
    </row>
    <row r="2424" spans="1:15" x14ac:dyDescent="0.25">
      <c r="A2424" t="s">
        <v>16</v>
      </c>
      <c r="B2424" t="s">
        <v>3221</v>
      </c>
      <c r="C2424">
        <v>3347</v>
      </c>
      <c r="D2424" t="s">
        <v>219</v>
      </c>
      <c r="E2424" t="s">
        <v>220</v>
      </c>
      <c r="F2424">
        <v>775.25</v>
      </c>
      <c r="G2424">
        <v>230309</v>
      </c>
      <c r="H2424">
        <v>4580</v>
      </c>
      <c r="I2424" t="s">
        <v>35</v>
      </c>
      <c r="J2424">
        <v>961.31</v>
      </c>
      <c r="K2424">
        <v>186.06</v>
      </c>
      <c r="L2424">
        <v>17802</v>
      </c>
      <c r="M2424" t="s">
        <v>174</v>
      </c>
      <c r="N2424" t="str">
        <f>"87091       "</f>
        <v xml:space="preserve">87091       </v>
      </c>
      <c r="O2424">
        <v>230315</v>
      </c>
    </row>
    <row r="2425" spans="1:15" x14ac:dyDescent="0.25">
      <c r="A2425" t="s">
        <v>16</v>
      </c>
      <c r="B2425" t="s">
        <v>3221</v>
      </c>
      <c r="C2425">
        <v>5530</v>
      </c>
      <c r="D2425" t="s">
        <v>219</v>
      </c>
      <c r="E2425" t="s">
        <v>220</v>
      </c>
      <c r="F2425">
        <v>30.5</v>
      </c>
      <c r="G2425">
        <v>230413</v>
      </c>
      <c r="H2425">
        <v>4580</v>
      </c>
      <c r="I2425" t="s">
        <v>35</v>
      </c>
      <c r="J2425">
        <v>37.82</v>
      </c>
      <c r="K2425">
        <v>7.32</v>
      </c>
      <c r="L2425">
        <v>17802</v>
      </c>
      <c r="M2425" t="s">
        <v>174</v>
      </c>
      <c r="N2425" t="str">
        <f>"88042       "</f>
        <v xml:space="preserve">88042       </v>
      </c>
      <c r="O2425">
        <v>230426</v>
      </c>
    </row>
    <row r="2426" spans="1:15" x14ac:dyDescent="0.25">
      <c r="A2426" t="s">
        <v>16</v>
      </c>
      <c r="B2426" t="s">
        <v>3221</v>
      </c>
      <c r="C2426">
        <v>7330</v>
      </c>
      <c r="D2426" t="s">
        <v>219</v>
      </c>
      <c r="E2426" t="s">
        <v>220</v>
      </c>
      <c r="F2426">
        <v>170</v>
      </c>
      <c r="G2426">
        <v>230523</v>
      </c>
      <c r="H2426">
        <v>4580</v>
      </c>
      <c r="I2426" t="s">
        <v>35</v>
      </c>
      <c r="J2426">
        <v>210.8</v>
      </c>
      <c r="K2426">
        <v>40.799999999999997</v>
      </c>
      <c r="L2426">
        <v>56559</v>
      </c>
      <c r="M2426" t="s">
        <v>129</v>
      </c>
      <c r="N2426" t="str">
        <f>"89339       "</f>
        <v xml:space="preserve">89339       </v>
      </c>
      <c r="O2426">
        <v>230529</v>
      </c>
    </row>
    <row r="2427" spans="1:15" x14ac:dyDescent="0.25">
      <c r="A2427" t="s">
        <v>16</v>
      </c>
      <c r="B2427" t="s">
        <v>3221</v>
      </c>
      <c r="C2427">
        <v>12399</v>
      </c>
      <c r="D2427" t="s">
        <v>219</v>
      </c>
      <c r="E2427" t="s">
        <v>220</v>
      </c>
      <c r="F2427">
        <v>218.25</v>
      </c>
      <c r="G2427">
        <v>230914</v>
      </c>
      <c r="H2427">
        <v>4580</v>
      </c>
      <c r="I2427" t="s">
        <v>35</v>
      </c>
      <c r="J2427">
        <v>270.63</v>
      </c>
      <c r="K2427">
        <v>52.38</v>
      </c>
      <c r="L2427">
        <v>56559</v>
      </c>
      <c r="M2427" t="s">
        <v>129</v>
      </c>
      <c r="N2427" t="str">
        <f>"92413       "</f>
        <v xml:space="preserve">92413       </v>
      </c>
      <c r="O2427">
        <v>230919</v>
      </c>
    </row>
    <row r="2428" spans="1:15" x14ac:dyDescent="0.25">
      <c r="A2428" t="s">
        <v>16</v>
      </c>
      <c r="B2428" t="s">
        <v>3221</v>
      </c>
      <c r="C2428">
        <v>14507</v>
      </c>
      <c r="D2428" t="s">
        <v>219</v>
      </c>
      <c r="E2428" t="s">
        <v>220</v>
      </c>
      <c r="F2428">
        <v>654</v>
      </c>
      <c r="G2428">
        <v>231025</v>
      </c>
      <c r="H2428">
        <v>4580</v>
      </c>
      <c r="I2428" t="s">
        <v>35</v>
      </c>
      <c r="J2428">
        <v>810.96</v>
      </c>
      <c r="K2428">
        <v>156.96</v>
      </c>
      <c r="L2428">
        <v>56559</v>
      </c>
      <c r="M2428" t="s">
        <v>129</v>
      </c>
      <c r="N2428" t="str">
        <f>"93718       "</f>
        <v xml:space="preserve">93718       </v>
      </c>
      <c r="O2428">
        <v>231030</v>
      </c>
    </row>
    <row r="2429" spans="1:15" x14ac:dyDescent="0.25">
      <c r="A2429" t="s">
        <v>16</v>
      </c>
      <c r="B2429" t="s">
        <v>3221</v>
      </c>
      <c r="C2429">
        <v>9872</v>
      </c>
      <c r="D2429" t="s">
        <v>219</v>
      </c>
      <c r="E2429" t="s">
        <v>220</v>
      </c>
      <c r="F2429">
        <v>12486.9</v>
      </c>
      <c r="G2429">
        <v>230719</v>
      </c>
      <c r="H2429">
        <v>1198</v>
      </c>
      <c r="I2429" t="s">
        <v>1128</v>
      </c>
      <c r="J2429">
        <v>15483.76</v>
      </c>
      <c r="K2429">
        <v>2996.86</v>
      </c>
      <c r="L2429">
        <v>97627</v>
      </c>
      <c r="M2429" t="s">
        <v>2332</v>
      </c>
      <c r="N2429" t="str">
        <f>"90961       "</f>
        <v xml:space="preserve">90961       </v>
      </c>
      <c r="O2429">
        <v>230731</v>
      </c>
    </row>
    <row r="2430" spans="1:15" x14ac:dyDescent="0.25">
      <c r="A2430" t="s">
        <v>16</v>
      </c>
      <c r="B2430" t="s">
        <v>3221</v>
      </c>
      <c r="C2430">
        <v>13865</v>
      </c>
      <c r="D2430" t="s">
        <v>219</v>
      </c>
      <c r="E2430" t="s">
        <v>220</v>
      </c>
      <c r="F2430">
        <v>218</v>
      </c>
      <c r="G2430">
        <v>231004</v>
      </c>
      <c r="H2430">
        <v>1198</v>
      </c>
      <c r="I2430" t="s">
        <v>1128</v>
      </c>
      <c r="J2430">
        <v>270.32</v>
      </c>
      <c r="K2430">
        <v>52.32</v>
      </c>
      <c r="L2430">
        <v>97627</v>
      </c>
      <c r="M2430" t="s">
        <v>2332</v>
      </c>
      <c r="N2430" t="str">
        <f>"93086       "</f>
        <v xml:space="preserve">93086       </v>
      </c>
      <c r="O2430">
        <v>231016</v>
      </c>
    </row>
    <row r="2431" spans="1:15" x14ac:dyDescent="0.25">
      <c r="A2431" t="s">
        <v>16</v>
      </c>
      <c r="B2431" t="s">
        <v>3221</v>
      </c>
      <c r="C2431">
        <v>1764</v>
      </c>
      <c r="D2431" t="s">
        <v>219</v>
      </c>
      <c r="E2431" t="s">
        <v>220</v>
      </c>
      <c r="F2431">
        <v>1233.49</v>
      </c>
      <c r="G2431">
        <v>230213</v>
      </c>
      <c r="H2431">
        <v>4400</v>
      </c>
      <c r="I2431" t="s">
        <v>348</v>
      </c>
      <c r="J2431">
        <v>1529.53</v>
      </c>
      <c r="K2431">
        <v>296.04000000000002</v>
      </c>
      <c r="L2431">
        <v>56559</v>
      </c>
      <c r="M2431" t="s">
        <v>129</v>
      </c>
      <c r="N2431" t="str">
        <f>"86105       "</f>
        <v xml:space="preserve">86105       </v>
      </c>
      <c r="O2431">
        <v>230213</v>
      </c>
    </row>
    <row r="2432" spans="1:15" x14ac:dyDescent="0.25">
      <c r="A2432" t="s">
        <v>16</v>
      </c>
      <c r="B2432" t="s">
        <v>3221</v>
      </c>
      <c r="C2432">
        <v>3194</v>
      </c>
      <c r="D2432" t="s">
        <v>219</v>
      </c>
      <c r="E2432" t="s">
        <v>220</v>
      </c>
      <c r="F2432">
        <v>1927.1</v>
      </c>
      <c r="G2432">
        <v>230227</v>
      </c>
      <c r="H2432">
        <v>4400</v>
      </c>
      <c r="I2432" t="s">
        <v>348</v>
      </c>
      <c r="J2432">
        <v>2389.6</v>
      </c>
      <c r="K2432">
        <v>462.5</v>
      </c>
      <c r="L2432">
        <v>17802</v>
      </c>
      <c r="M2432" t="s">
        <v>174</v>
      </c>
      <c r="N2432" t="str">
        <f>"86790       "</f>
        <v xml:space="preserve">86790       </v>
      </c>
      <c r="O2432">
        <v>230310</v>
      </c>
    </row>
    <row r="2433" spans="1:15" x14ac:dyDescent="0.25">
      <c r="A2433" t="s">
        <v>16</v>
      </c>
      <c r="B2433" t="s">
        <v>3221</v>
      </c>
      <c r="C2433">
        <v>4133</v>
      </c>
      <c r="D2433" t="s">
        <v>219</v>
      </c>
      <c r="E2433" t="s">
        <v>220</v>
      </c>
      <c r="F2433">
        <v>141</v>
      </c>
      <c r="G2433">
        <v>230327</v>
      </c>
      <c r="H2433">
        <v>4400</v>
      </c>
      <c r="I2433" t="s">
        <v>348</v>
      </c>
      <c r="J2433">
        <v>174.84</v>
      </c>
      <c r="K2433">
        <v>33.840000000000003</v>
      </c>
      <c r="L2433">
        <v>17802</v>
      </c>
      <c r="M2433" t="s">
        <v>174</v>
      </c>
      <c r="N2433" t="str">
        <f>"87483       "</f>
        <v xml:space="preserve">87483       </v>
      </c>
      <c r="O2433">
        <v>230330</v>
      </c>
    </row>
    <row r="2434" spans="1:15" x14ac:dyDescent="0.25">
      <c r="A2434" t="s">
        <v>16</v>
      </c>
      <c r="B2434" t="s">
        <v>3221</v>
      </c>
      <c r="C2434">
        <v>7628</v>
      </c>
      <c r="D2434" t="s">
        <v>219</v>
      </c>
      <c r="E2434" t="s">
        <v>220</v>
      </c>
      <c r="F2434">
        <v>368</v>
      </c>
      <c r="G2434">
        <v>230530</v>
      </c>
      <c r="H2434">
        <v>4400</v>
      </c>
      <c r="I2434" t="s">
        <v>348</v>
      </c>
      <c r="J2434">
        <v>456.32</v>
      </c>
      <c r="K2434">
        <v>88.32</v>
      </c>
      <c r="L2434">
        <v>56559</v>
      </c>
      <c r="M2434" t="s">
        <v>129</v>
      </c>
      <c r="N2434" t="str">
        <f>"89593       "</f>
        <v xml:space="preserve">89593       </v>
      </c>
      <c r="O2434">
        <v>230601</v>
      </c>
    </row>
    <row r="2435" spans="1:15" x14ac:dyDescent="0.25">
      <c r="A2435" t="s">
        <v>16</v>
      </c>
      <c r="B2435" t="s">
        <v>3221</v>
      </c>
      <c r="C2435">
        <v>18281</v>
      </c>
      <c r="D2435" t="s">
        <v>219</v>
      </c>
      <c r="E2435" t="s">
        <v>220</v>
      </c>
      <c r="F2435">
        <v>1302.5999999999999</v>
      </c>
      <c r="G2435">
        <v>231221</v>
      </c>
      <c r="H2435">
        <v>4400</v>
      </c>
      <c r="I2435" t="s">
        <v>348</v>
      </c>
      <c r="J2435">
        <v>1615.23</v>
      </c>
      <c r="K2435">
        <v>312.63</v>
      </c>
      <c r="L2435">
        <v>56559</v>
      </c>
      <c r="M2435" t="s">
        <v>129</v>
      </c>
      <c r="N2435" t="str">
        <f>"95673       "</f>
        <v xml:space="preserve">95673       </v>
      </c>
      <c r="O2435">
        <v>240102</v>
      </c>
    </row>
    <row r="2436" spans="1:15" x14ac:dyDescent="0.25">
      <c r="A2436" t="s">
        <v>16</v>
      </c>
      <c r="B2436" t="s">
        <v>3221</v>
      </c>
      <c r="C2436">
        <v>11016</v>
      </c>
      <c r="D2436" t="s">
        <v>219</v>
      </c>
      <c r="E2436" t="s">
        <v>220</v>
      </c>
      <c r="F2436">
        <v>283</v>
      </c>
      <c r="G2436">
        <v>230824</v>
      </c>
      <c r="H2436">
        <v>4600</v>
      </c>
      <c r="I2436" t="s">
        <v>105</v>
      </c>
      <c r="J2436">
        <v>350.92</v>
      </c>
      <c r="K2436">
        <v>67.92</v>
      </c>
      <c r="L2436">
        <v>56568</v>
      </c>
      <c r="M2436" t="s">
        <v>268</v>
      </c>
      <c r="N2436" t="str">
        <f>"91737       "</f>
        <v xml:space="preserve">91737       </v>
      </c>
      <c r="O2436">
        <v>230828</v>
      </c>
    </row>
    <row r="2437" spans="1:15" x14ac:dyDescent="0.25">
      <c r="A2437" t="s">
        <v>16</v>
      </c>
      <c r="B2437" t="s">
        <v>3221</v>
      </c>
      <c r="C2437">
        <v>253</v>
      </c>
      <c r="D2437" t="s">
        <v>379</v>
      </c>
      <c r="E2437" t="s">
        <v>380</v>
      </c>
      <c r="F2437">
        <v>100.81</v>
      </c>
      <c r="G2437">
        <v>230116</v>
      </c>
      <c r="H2437">
        <v>4441</v>
      </c>
      <c r="I2437" t="s">
        <v>109</v>
      </c>
      <c r="J2437">
        <v>125</v>
      </c>
      <c r="K2437">
        <v>24.19</v>
      </c>
      <c r="L2437">
        <v>11901</v>
      </c>
      <c r="M2437" t="s">
        <v>36</v>
      </c>
      <c r="N2437" t="str">
        <f>"160123      "</f>
        <v xml:space="preserve">160123      </v>
      </c>
      <c r="O2437">
        <v>230117</v>
      </c>
    </row>
    <row r="2438" spans="1:15" x14ac:dyDescent="0.25">
      <c r="A2438" t="s">
        <v>16</v>
      </c>
      <c r="B2438" t="s">
        <v>3221</v>
      </c>
      <c r="C2438">
        <v>253</v>
      </c>
      <c r="D2438" t="s">
        <v>379</v>
      </c>
      <c r="E2438" t="s">
        <v>380</v>
      </c>
      <c r="F2438">
        <v>60.48</v>
      </c>
      <c r="G2438">
        <v>230116</v>
      </c>
      <c r="H2438">
        <v>4441</v>
      </c>
      <c r="I2438" t="s">
        <v>109</v>
      </c>
      <c r="J2438">
        <v>75</v>
      </c>
      <c r="K2438">
        <v>14.52</v>
      </c>
      <c r="L2438">
        <v>11905</v>
      </c>
      <c r="M2438" t="s">
        <v>39</v>
      </c>
      <c r="N2438" t="str">
        <f>"160123      "</f>
        <v xml:space="preserve">160123      </v>
      </c>
      <c r="O2438">
        <v>230117</v>
      </c>
    </row>
    <row r="2439" spans="1:15" x14ac:dyDescent="0.25">
      <c r="A2439" t="s">
        <v>16</v>
      </c>
      <c r="B2439" t="s">
        <v>3221</v>
      </c>
      <c r="C2439">
        <v>9865</v>
      </c>
      <c r="D2439" t="s">
        <v>960</v>
      </c>
      <c r="E2439" t="s">
        <v>961</v>
      </c>
      <c r="F2439">
        <v>256</v>
      </c>
      <c r="G2439">
        <v>230712</v>
      </c>
      <c r="H2439">
        <v>4580</v>
      </c>
      <c r="I2439" t="s">
        <v>35</v>
      </c>
      <c r="J2439">
        <v>317.44</v>
      </c>
      <c r="K2439">
        <v>61.44</v>
      </c>
      <c r="L2439">
        <v>44222</v>
      </c>
      <c r="M2439" t="s">
        <v>232</v>
      </c>
      <c r="N2439" t="str">
        <f>"2689548     "</f>
        <v xml:space="preserve">2689548     </v>
      </c>
      <c r="O2439">
        <v>230731</v>
      </c>
    </row>
    <row r="2440" spans="1:15" x14ac:dyDescent="0.25">
      <c r="A2440" t="s">
        <v>16</v>
      </c>
      <c r="B2440" t="s">
        <v>3221</v>
      </c>
      <c r="C2440">
        <v>12372</v>
      </c>
      <c r="D2440" t="s">
        <v>960</v>
      </c>
      <c r="E2440" t="s">
        <v>961</v>
      </c>
      <c r="F2440">
        <v>718</v>
      </c>
      <c r="G2440">
        <v>230829</v>
      </c>
      <c r="H2440">
        <v>4580</v>
      </c>
      <c r="I2440" t="s">
        <v>35</v>
      </c>
      <c r="J2440">
        <v>890.32</v>
      </c>
      <c r="K2440">
        <v>172.32</v>
      </c>
      <c r="L2440">
        <v>14640</v>
      </c>
      <c r="M2440" t="s">
        <v>229</v>
      </c>
      <c r="N2440" t="str">
        <f>"2693218     "</f>
        <v xml:space="preserve">2693218     </v>
      </c>
      <c r="O2440">
        <v>230919</v>
      </c>
    </row>
    <row r="2441" spans="1:15" x14ac:dyDescent="0.25">
      <c r="A2441" t="s">
        <v>16</v>
      </c>
      <c r="B2441" t="s">
        <v>3221</v>
      </c>
      <c r="C2441">
        <v>14403</v>
      </c>
      <c r="D2441" t="s">
        <v>960</v>
      </c>
      <c r="E2441" t="s">
        <v>961</v>
      </c>
      <c r="F2441">
        <v>283.86</v>
      </c>
      <c r="G2441">
        <v>231006</v>
      </c>
      <c r="H2441">
        <v>4580</v>
      </c>
      <c r="I2441" t="s">
        <v>35</v>
      </c>
      <c r="J2441">
        <v>351.99</v>
      </c>
      <c r="K2441">
        <v>68.13</v>
      </c>
      <c r="L2441">
        <v>44222</v>
      </c>
      <c r="M2441" t="s">
        <v>232</v>
      </c>
      <c r="N2441" t="str">
        <f>"2696629     "</f>
        <v xml:space="preserve">2696629     </v>
      </c>
      <c r="O2441">
        <v>231030</v>
      </c>
    </row>
    <row r="2442" spans="1:15" x14ac:dyDescent="0.25">
      <c r="A2442" t="s">
        <v>16</v>
      </c>
      <c r="B2442" t="s">
        <v>3221</v>
      </c>
      <c r="C2442">
        <v>14403</v>
      </c>
      <c r="D2442" t="s">
        <v>960</v>
      </c>
      <c r="E2442" t="s">
        <v>961</v>
      </c>
      <c r="F2442">
        <v>709.68</v>
      </c>
      <c r="G2442">
        <v>231006</v>
      </c>
      <c r="H2442">
        <v>4580</v>
      </c>
      <c r="I2442" t="s">
        <v>35</v>
      </c>
      <c r="J2442">
        <v>880</v>
      </c>
      <c r="K2442">
        <v>170.32</v>
      </c>
      <c r="L2442">
        <v>44222</v>
      </c>
      <c r="M2442" t="s">
        <v>232</v>
      </c>
      <c r="N2442" t="str">
        <f>"2696629     "</f>
        <v xml:space="preserve">2696629     </v>
      </c>
      <c r="O2442">
        <v>231030</v>
      </c>
    </row>
    <row r="2443" spans="1:15" x14ac:dyDescent="0.25">
      <c r="A2443" t="s">
        <v>16</v>
      </c>
      <c r="B2443" t="s">
        <v>3221</v>
      </c>
      <c r="C2443">
        <v>10115</v>
      </c>
      <c r="D2443" t="s">
        <v>960</v>
      </c>
      <c r="E2443" t="s">
        <v>961</v>
      </c>
      <c r="F2443">
        <v>11739</v>
      </c>
      <c r="G2443">
        <v>230804</v>
      </c>
      <c r="H2443">
        <v>1198</v>
      </c>
      <c r="I2443" t="s">
        <v>1128</v>
      </c>
      <c r="J2443">
        <v>14556.36</v>
      </c>
      <c r="K2443">
        <v>2817.36</v>
      </c>
      <c r="L2443">
        <v>97627</v>
      </c>
      <c r="M2443" t="s">
        <v>2332</v>
      </c>
      <c r="N2443" t="str">
        <f>"2691098     "</f>
        <v xml:space="preserve">2691098     </v>
      </c>
      <c r="O2443">
        <v>230808</v>
      </c>
    </row>
    <row r="2444" spans="1:15" x14ac:dyDescent="0.25">
      <c r="A2444" t="s">
        <v>16</v>
      </c>
      <c r="B2444" t="s">
        <v>3221</v>
      </c>
      <c r="C2444">
        <v>10493</v>
      </c>
      <c r="D2444" t="s">
        <v>960</v>
      </c>
      <c r="E2444" t="s">
        <v>961</v>
      </c>
      <c r="F2444">
        <v>11739.01</v>
      </c>
      <c r="G2444">
        <v>230804</v>
      </c>
      <c r="H2444">
        <v>1198</v>
      </c>
      <c r="I2444" t="s">
        <v>1128</v>
      </c>
      <c r="J2444">
        <v>14556.37</v>
      </c>
      <c r="K2444">
        <v>2817.36</v>
      </c>
      <c r="L2444">
        <v>97711</v>
      </c>
      <c r="M2444" t="s">
        <v>2385</v>
      </c>
      <c r="N2444" t="str">
        <f>"2691099     "</f>
        <v xml:space="preserve">2691099     </v>
      </c>
      <c r="O2444">
        <v>230817</v>
      </c>
    </row>
    <row r="2445" spans="1:15" x14ac:dyDescent="0.25">
      <c r="A2445" t="s">
        <v>16</v>
      </c>
      <c r="B2445" t="s">
        <v>3221</v>
      </c>
      <c r="C2445">
        <v>10514</v>
      </c>
      <c r="D2445" t="s">
        <v>960</v>
      </c>
      <c r="E2445" t="s">
        <v>961</v>
      </c>
      <c r="F2445">
        <v>539.41999999999996</v>
      </c>
      <c r="G2445">
        <v>230802</v>
      </c>
      <c r="H2445">
        <v>1198</v>
      </c>
      <c r="I2445" t="s">
        <v>1128</v>
      </c>
      <c r="J2445">
        <v>668.88</v>
      </c>
      <c r="K2445">
        <v>129.46</v>
      </c>
      <c r="L2445">
        <v>97627</v>
      </c>
      <c r="M2445" t="s">
        <v>2332</v>
      </c>
      <c r="N2445" t="str">
        <f>"1003717     "</f>
        <v xml:space="preserve">1003717     </v>
      </c>
      <c r="O2445">
        <v>230817</v>
      </c>
    </row>
    <row r="2446" spans="1:15" x14ac:dyDescent="0.25">
      <c r="A2446" t="s">
        <v>16</v>
      </c>
      <c r="B2446" t="s">
        <v>3221</v>
      </c>
      <c r="C2446">
        <v>12461</v>
      </c>
      <c r="D2446" t="s">
        <v>960</v>
      </c>
      <c r="E2446" t="s">
        <v>961</v>
      </c>
      <c r="F2446">
        <v>533.85</v>
      </c>
      <c r="G2446">
        <v>230830</v>
      </c>
      <c r="H2446">
        <v>1198</v>
      </c>
      <c r="I2446" t="s">
        <v>1128</v>
      </c>
      <c r="J2446">
        <v>661.98</v>
      </c>
      <c r="K2446">
        <v>128.13</v>
      </c>
      <c r="L2446">
        <v>97711</v>
      </c>
      <c r="M2446" t="s">
        <v>2385</v>
      </c>
      <c r="N2446" t="str">
        <f>"1004304     "</f>
        <v xml:space="preserve">1004304     </v>
      </c>
      <c r="O2446">
        <v>230920</v>
      </c>
    </row>
    <row r="2447" spans="1:15" x14ac:dyDescent="0.25">
      <c r="A2447" t="s">
        <v>16</v>
      </c>
      <c r="B2447" t="s">
        <v>3221</v>
      </c>
      <c r="C2447">
        <v>4598</v>
      </c>
      <c r="D2447" t="s">
        <v>960</v>
      </c>
      <c r="E2447" t="s">
        <v>961</v>
      </c>
      <c r="F2447">
        <v>790.75</v>
      </c>
      <c r="G2447">
        <v>230330</v>
      </c>
      <c r="H2447">
        <v>4400</v>
      </c>
      <c r="I2447" t="s">
        <v>348</v>
      </c>
      <c r="J2447">
        <v>980.53</v>
      </c>
      <c r="K2447">
        <v>189.78</v>
      </c>
      <c r="L2447">
        <v>69501</v>
      </c>
      <c r="M2447" t="s">
        <v>185</v>
      </c>
      <c r="N2447" t="str">
        <f>"1000662     "</f>
        <v xml:space="preserve">1000662     </v>
      </c>
      <c r="O2447">
        <v>230411</v>
      </c>
    </row>
    <row r="2448" spans="1:15" x14ac:dyDescent="0.25">
      <c r="A2448" t="s">
        <v>16</v>
      </c>
      <c r="B2448" t="s">
        <v>3221</v>
      </c>
      <c r="C2448">
        <v>9589</v>
      </c>
      <c r="D2448" t="s">
        <v>960</v>
      </c>
      <c r="E2448" t="s">
        <v>961</v>
      </c>
      <c r="F2448">
        <v>232.81</v>
      </c>
      <c r="G2448">
        <v>230630</v>
      </c>
      <c r="H2448">
        <v>4400</v>
      </c>
      <c r="I2448" t="s">
        <v>348</v>
      </c>
      <c r="J2448">
        <v>288.68</v>
      </c>
      <c r="K2448">
        <v>55.87</v>
      </c>
      <c r="L2448">
        <v>17952</v>
      </c>
      <c r="M2448" t="s">
        <v>88</v>
      </c>
      <c r="N2448" t="str">
        <f>"1003033     "</f>
        <v xml:space="preserve">1003033     </v>
      </c>
      <c r="O2448">
        <v>230717</v>
      </c>
    </row>
    <row r="2449" spans="1:15" x14ac:dyDescent="0.25">
      <c r="A2449" t="s">
        <v>16</v>
      </c>
      <c r="B2449" t="s">
        <v>3221</v>
      </c>
      <c r="C2449">
        <v>11433</v>
      </c>
      <c r="D2449" t="s">
        <v>960</v>
      </c>
      <c r="E2449" t="s">
        <v>961</v>
      </c>
      <c r="F2449">
        <v>440.55</v>
      </c>
      <c r="G2449">
        <v>230830</v>
      </c>
      <c r="H2449">
        <v>4400</v>
      </c>
      <c r="I2449" t="s">
        <v>348</v>
      </c>
      <c r="J2449">
        <v>546.28</v>
      </c>
      <c r="K2449">
        <v>105.73</v>
      </c>
      <c r="L2449">
        <v>59504</v>
      </c>
      <c r="M2449" t="s">
        <v>71</v>
      </c>
      <c r="N2449" t="str">
        <f>"1004343     "</f>
        <v xml:space="preserve">1004343     </v>
      </c>
      <c r="O2449">
        <v>230905</v>
      </c>
    </row>
    <row r="2450" spans="1:15" x14ac:dyDescent="0.25">
      <c r="A2450" t="s">
        <v>16</v>
      </c>
      <c r="B2450" t="s">
        <v>3221</v>
      </c>
      <c r="C2450">
        <v>12660</v>
      </c>
      <c r="D2450" t="s">
        <v>960</v>
      </c>
      <c r="E2450" t="s">
        <v>961</v>
      </c>
      <c r="F2450">
        <v>1322.17</v>
      </c>
      <c r="G2450">
        <v>230919</v>
      </c>
      <c r="H2450">
        <v>4400</v>
      </c>
      <c r="I2450" t="s">
        <v>348</v>
      </c>
      <c r="J2450">
        <v>1639.49</v>
      </c>
      <c r="K2450">
        <v>317.32</v>
      </c>
      <c r="L2450">
        <v>14640</v>
      </c>
      <c r="M2450" t="s">
        <v>229</v>
      </c>
      <c r="N2450" t="str">
        <f>"1004919     "</f>
        <v xml:space="preserve">1004919     </v>
      </c>
      <c r="O2450">
        <v>230922</v>
      </c>
    </row>
    <row r="2451" spans="1:15" x14ac:dyDescent="0.25">
      <c r="A2451" t="s">
        <v>16</v>
      </c>
      <c r="B2451" t="s">
        <v>3221</v>
      </c>
      <c r="C2451">
        <v>16116</v>
      </c>
      <c r="D2451" t="s">
        <v>960</v>
      </c>
      <c r="E2451" t="s">
        <v>961</v>
      </c>
      <c r="F2451">
        <v>1484.3</v>
      </c>
      <c r="G2451">
        <v>231117</v>
      </c>
      <c r="H2451">
        <v>4400</v>
      </c>
      <c r="I2451" t="s">
        <v>348</v>
      </c>
      <c r="J2451">
        <v>1840.53</v>
      </c>
      <c r="K2451">
        <v>356.23</v>
      </c>
      <c r="L2451">
        <v>59114</v>
      </c>
      <c r="M2451" t="s">
        <v>556</v>
      </c>
      <c r="N2451" t="str">
        <f>"1006839     "</f>
        <v xml:space="preserve">1006839     </v>
      </c>
      <c r="O2451">
        <v>231122</v>
      </c>
    </row>
    <row r="2452" spans="1:15" x14ac:dyDescent="0.25">
      <c r="A2452" t="s">
        <v>16</v>
      </c>
      <c r="B2452" t="s">
        <v>3221</v>
      </c>
      <c r="C2452">
        <v>9589</v>
      </c>
      <c r="D2452" t="s">
        <v>960</v>
      </c>
      <c r="E2452" t="s">
        <v>961</v>
      </c>
      <c r="F2452">
        <v>87.1</v>
      </c>
      <c r="G2452">
        <v>230630</v>
      </c>
      <c r="H2452">
        <v>4420</v>
      </c>
      <c r="I2452" t="s">
        <v>132</v>
      </c>
      <c r="J2452">
        <v>108</v>
      </c>
      <c r="K2452">
        <v>20.9</v>
      </c>
      <c r="L2452">
        <v>17952</v>
      </c>
      <c r="M2452" t="s">
        <v>88</v>
      </c>
      <c r="N2452" t="str">
        <f>"1003033     "</f>
        <v xml:space="preserve">1003033     </v>
      </c>
      <c r="O2452">
        <v>230717</v>
      </c>
    </row>
    <row r="2453" spans="1:15" x14ac:dyDescent="0.25">
      <c r="A2453" t="s">
        <v>16</v>
      </c>
      <c r="B2453" t="s">
        <v>3221</v>
      </c>
      <c r="C2453">
        <v>10386</v>
      </c>
      <c r="D2453" t="s">
        <v>960</v>
      </c>
      <c r="E2453" t="s">
        <v>961</v>
      </c>
      <c r="F2453">
        <v>1740</v>
      </c>
      <c r="G2453">
        <v>230802</v>
      </c>
      <c r="H2453">
        <v>4600</v>
      </c>
      <c r="I2453" t="s">
        <v>105</v>
      </c>
      <c r="J2453">
        <v>2157.6</v>
      </c>
      <c r="K2453">
        <v>417.6</v>
      </c>
      <c r="L2453">
        <v>44222</v>
      </c>
      <c r="M2453" t="s">
        <v>232</v>
      </c>
      <c r="N2453" t="str">
        <f>"2690926     "</f>
        <v xml:space="preserve">2690926     </v>
      </c>
      <c r="O2453">
        <v>230815</v>
      </c>
    </row>
    <row r="2454" spans="1:15" x14ac:dyDescent="0.25">
      <c r="A2454" t="s">
        <v>16</v>
      </c>
      <c r="B2454" t="s">
        <v>3221</v>
      </c>
      <c r="C2454">
        <v>10493</v>
      </c>
      <c r="D2454" t="s">
        <v>960</v>
      </c>
      <c r="E2454" t="s">
        <v>961</v>
      </c>
      <c r="F2454">
        <v>12064.15</v>
      </c>
      <c r="G2454">
        <v>230804</v>
      </c>
      <c r="H2454">
        <v>4600</v>
      </c>
      <c r="I2454" t="s">
        <v>105</v>
      </c>
      <c r="J2454">
        <v>14959.55</v>
      </c>
      <c r="K2454">
        <v>2895.4</v>
      </c>
      <c r="L2454">
        <v>14640</v>
      </c>
      <c r="M2454" t="s">
        <v>229</v>
      </c>
      <c r="N2454" t="str">
        <f>"2691099     "</f>
        <v xml:space="preserve">2691099     </v>
      </c>
      <c r="O2454">
        <v>230817</v>
      </c>
    </row>
    <row r="2455" spans="1:15" x14ac:dyDescent="0.25">
      <c r="A2455" t="s">
        <v>16</v>
      </c>
      <c r="B2455" t="s">
        <v>3221</v>
      </c>
      <c r="C2455">
        <v>11143</v>
      </c>
      <c r="D2455" t="s">
        <v>960</v>
      </c>
      <c r="E2455" t="s">
        <v>961</v>
      </c>
      <c r="F2455">
        <v>452.75</v>
      </c>
      <c r="G2455">
        <v>230824</v>
      </c>
      <c r="H2455">
        <v>4600</v>
      </c>
      <c r="I2455" t="s">
        <v>105</v>
      </c>
      <c r="J2455">
        <v>561.41</v>
      </c>
      <c r="K2455">
        <v>108.66</v>
      </c>
      <c r="L2455">
        <v>11001</v>
      </c>
      <c r="M2455" t="s">
        <v>326</v>
      </c>
      <c r="N2455" t="str">
        <f>"2692799     "</f>
        <v xml:space="preserve">2692799     </v>
      </c>
      <c r="O2455">
        <v>230830</v>
      </c>
    </row>
    <row r="2456" spans="1:15" x14ac:dyDescent="0.25">
      <c r="A2456" t="s">
        <v>16</v>
      </c>
      <c r="B2456" t="s">
        <v>3221</v>
      </c>
      <c r="C2456">
        <v>11143</v>
      </c>
      <c r="D2456" t="s">
        <v>960</v>
      </c>
      <c r="E2456" t="s">
        <v>961</v>
      </c>
      <c r="F2456">
        <v>166.45</v>
      </c>
      <c r="G2456">
        <v>230824</v>
      </c>
      <c r="H2456">
        <v>4600</v>
      </c>
      <c r="I2456" t="s">
        <v>105</v>
      </c>
      <c r="J2456">
        <v>206.4</v>
      </c>
      <c r="K2456">
        <v>39.950000000000003</v>
      </c>
      <c r="L2456">
        <v>54451</v>
      </c>
      <c r="M2456" t="s">
        <v>158</v>
      </c>
      <c r="N2456" t="str">
        <f>"2692799     "</f>
        <v xml:space="preserve">2692799     </v>
      </c>
      <c r="O2456">
        <v>230830</v>
      </c>
    </row>
    <row r="2457" spans="1:15" x14ac:dyDescent="0.25">
      <c r="A2457" t="s">
        <v>16</v>
      </c>
      <c r="B2457" t="s">
        <v>3221</v>
      </c>
      <c r="C2457">
        <v>12268</v>
      </c>
      <c r="D2457" t="s">
        <v>960</v>
      </c>
      <c r="E2457" t="s">
        <v>961</v>
      </c>
      <c r="F2457">
        <v>222</v>
      </c>
      <c r="G2457">
        <v>230909</v>
      </c>
      <c r="H2457">
        <v>4600</v>
      </c>
      <c r="I2457" t="s">
        <v>105</v>
      </c>
      <c r="J2457">
        <v>275.27999999999997</v>
      </c>
      <c r="K2457">
        <v>53.28</v>
      </c>
      <c r="L2457">
        <v>11001</v>
      </c>
      <c r="M2457" t="s">
        <v>326</v>
      </c>
      <c r="N2457" t="str">
        <f>"2694242     "</f>
        <v xml:space="preserve">2694242     </v>
      </c>
      <c r="O2457">
        <v>230918</v>
      </c>
    </row>
    <row r="2458" spans="1:15" x14ac:dyDescent="0.25">
      <c r="A2458" t="s">
        <v>16</v>
      </c>
      <c r="B2458" t="s">
        <v>3221</v>
      </c>
      <c r="C2458">
        <v>12273</v>
      </c>
      <c r="D2458" t="s">
        <v>960</v>
      </c>
      <c r="E2458" t="s">
        <v>961</v>
      </c>
      <c r="F2458">
        <v>689.55</v>
      </c>
      <c r="G2458">
        <v>230825</v>
      </c>
      <c r="H2458">
        <v>4600</v>
      </c>
      <c r="I2458" t="s">
        <v>105</v>
      </c>
      <c r="J2458">
        <v>855.04</v>
      </c>
      <c r="K2458">
        <v>165.49</v>
      </c>
      <c r="L2458">
        <v>49501</v>
      </c>
      <c r="M2458" t="s">
        <v>177</v>
      </c>
      <c r="N2458" t="str">
        <f>"2692974     "</f>
        <v xml:space="preserve">2692974     </v>
      </c>
      <c r="O2458">
        <v>230918</v>
      </c>
    </row>
    <row r="2459" spans="1:15" x14ac:dyDescent="0.25">
      <c r="A2459" t="s">
        <v>16</v>
      </c>
      <c r="B2459" t="s">
        <v>3221</v>
      </c>
      <c r="C2459">
        <v>12411</v>
      </c>
      <c r="D2459" t="s">
        <v>960</v>
      </c>
      <c r="E2459" t="s">
        <v>961</v>
      </c>
      <c r="F2459">
        <v>127.95</v>
      </c>
      <c r="G2459">
        <v>230908</v>
      </c>
      <c r="H2459">
        <v>4600</v>
      </c>
      <c r="I2459" t="s">
        <v>105</v>
      </c>
      <c r="J2459">
        <v>158.66</v>
      </c>
      <c r="K2459">
        <v>30.71</v>
      </c>
      <c r="L2459">
        <v>49501</v>
      </c>
      <c r="M2459" t="s">
        <v>177</v>
      </c>
      <c r="N2459" t="str">
        <f>"2694106     "</f>
        <v xml:space="preserve">2694106     </v>
      </c>
      <c r="O2459">
        <v>230919</v>
      </c>
    </row>
    <row r="2460" spans="1:15" x14ac:dyDescent="0.25">
      <c r="A2460" t="s">
        <v>16</v>
      </c>
      <c r="B2460" t="s">
        <v>3221</v>
      </c>
      <c r="C2460">
        <v>1238</v>
      </c>
      <c r="D2460" t="s">
        <v>960</v>
      </c>
      <c r="E2460" t="s">
        <v>961</v>
      </c>
      <c r="F2460">
        <v>293.79000000000002</v>
      </c>
      <c r="G2460">
        <v>230201</v>
      </c>
      <c r="H2460">
        <v>4590</v>
      </c>
      <c r="I2460" t="s">
        <v>203</v>
      </c>
      <c r="J2460">
        <v>364.3</v>
      </c>
      <c r="K2460">
        <v>70.510000000000005</v>
      </c>
      <c r="L2460">
        <v>17951</v>
      </c>
      <c r="M2460" t="s">
        <v>87</v>
      </c>
      <c r="N2460" t="str">
        <f>"2675041     "</f>
        <v xml:space="preserve">2675041     </v>
      </c>
      <c r="O2460">
        <v>230206</v>
      </c>
    </row>
    <row r="2461" spans="1:15" x14ac:dyDescent="0.25">
      <c r="A2461" t="s">
        <v>16</v>
      </c>
      <c r="B2461" t="s">
        <v>3221</v>
      </c>
      <c r="C2461">
        <v>7981</v>
      </c>
      <c r="D2461" t="s">
        <v>2146</v>
      </c>
      <c r="E2461" t="s">
        <v>2147</v>
      </c>
      <c r="F2461">
        <v>180</v>
      </c>
      <c r="G2461">
        <v>230531</v>
      </c>
      <c r="H2461">
        <v>4346</v>
      </c>
      <c r="I2461" t="s">
        <v>197</v>
      </c>
      <c r="J2461">
        <v>223.2</v>
      </c>
      <c r="K2461">
        <v>43.2</v>
      </c>
      <c r="L2461">
        <v>11905</v>
      </c>
      <c r="M2461" t="s">
        <v>39</v>
      </c>
      <c r="N2461" t="str">
        <f>"1275        "</f>
        <v xml:space="preserve">1275        </v>
      </c>
      <c r="O2461">
        <v>230606</v>
      </c>
    </row>
    <row r="2462" spans="1:15" x14ac:dyDescent="0.25">
      <c r="A2462" t="s">
        <v>16</v>
      </c>
      <c r="B2462" t="s">
        <v>3221</v>
      </c>
      <c r="C2462">
        <v>9304</v>
      </c>
      <c r="D2462" t="s">
        <v>2146</v>
      </c>
      <c r="E2462" t="s">
        <v>2147</v>
      </c>
      <c r="F2462">
        <v>120</v>
      </c>
      <c r="G2462">
        <v>230630</v>
      </c>
      <c r="H2462">
        <v>4346</v>
      </c>
      <c r="I2462" t="s">
        <v>197</v>
      </c>
      <c r="J2462">
        <v>148.80000000000001</v>
      </c>
      <c r="K2462">
        <v>28.8</v>
      </c>
      <c r="L2462">
        <v>11905</v>
      </c>
      <c r="M2462" t="s">
        <v>39</v>
      </c>
      <c r="N2462" t="str">
        <f>"1282        "</f>
        <v xml:space="preserve">1282        </v>
      </c>
      <c r="O2462">
        <v>230705</v>
      </c>
    </row>
    <row r="2463" spans="1:15" x14ac:dyDescent="0.25">
      <c r="A2463" t="s">
        <v>16</v>
      </c>
      <c r="B2463" t="s">
        <v>3221</v>
      </c>
      <c r="C2463">
        <v>9307</v>
      </c>
      <c r="D2463" t="s">
        <v>2146</v>
      </c>
      <c r="E2463" t="s">
        <v>2147</v>
      </c>
      <c r="F2463">
        <v>255</v>
      </c>
      <c r="G2463">
        <v>230630</v>
      </c>
      <c r="H2463">
        <v>4346</v>
      </c>
      <c r="I2463" t="s">
        <v>197</v>
      </c>
      <c r="J2463">
        <v>316.2</v>
      </c>
      <c r="K2463">
        <v>61.2</v>
      </c>
      <c r="L2463">
        <v>11905</v>
      </c>
      <c r="M2463" t="s">
        <v>39</v>
      </c>
      <c r="N2463" t="str">
        <f>"1281        "</f>
        <v xml:space="preserve">1281        </v>
      </c>
      <c r="O2463">
        <v>230705</v>
      </c>
    </row>
    <row r="2464" spans="1:15" x14ac:dyDescent="0.25">
      <c r="A2464" t="s">
        <v>16</v>
      </c>
      <c r="B2464" t="s">
        <v>3221</v>
      </c>
      <c r="C2464">
        <v>11473</v>
      </c>
      <c r="D2464" t="s">
        <v>2146</v>
      </c>
      <c r="E2464" t="s">
        <v>2147</v>
      </c>
      <c r="F2464">
        <v>120</v>
      </c>
      <c r="G2464">
        <v>230831</v>
      </c>
      <c r="H2464">
        <v>4346</v>
      </c>
      <c r="I2464" t="s">
        <v>197</v>
      </c>
      <c r="J2464">
        <v>148.80000000000001</v>
      </c>
      <c r="K2464">
        <v>28.8</v>
      </c>
      <c r="L2464">
        <v>11905</v>
      </c>
      <c r="M2464" t="s">
        <v>39</v>
      </c>
      <c r="N2464" t="str">
        <f>"1293        "</f>
        <v xml:space="preserve">1293        </v>
      </c>
      <c r="O2464">
        <v>230906</v>
      </c>
    </row>
    <row r="2465" spans="1:15" x14ac:dyDescent="0.25">
      <c r="A2465" t="s">
        <v>16</v>
      </c>
      <c r="B2465" t="s">
        <v>3221</v>
      </c>
      <c r="C2465">
        <v>16676</v>
      </c>
      <c r="D2465" t="s">
        <v>3004</v>
      </c>
      <c r="E2465" t="s">
        <v>3005</v>
      </c>
      <c r="F2465">
        <v>100.99</v>
      </c>
      <c r="G2465">
        <v>231124</v>
      </c>
      <c r="H2465">
        <v>4600</v>
      </c>
      <c r="I2465" t="s">
        <v>105</v>
      </c>
      <c r="J2465">
        <v>125.23</v>
      </c>
      <c r="K2465">
        <v>24.24</v>
      </c>
      <c r="L2465">
        <v>56566</v>
      </c>
      <c r="M2465" t="s">
        <v>652</v>
      </c>
      <c r="N2465" t="str">
        <f>"12102       "</f>
        <v xml:space="preserve">12102       </v>
      </c>
      <c r="O2465">
        <v>231207</v>
      </c>
    </row>
    <row r="2466" spans="1:15" x14ac:dyDescent="0.25">
      <c r="A2466" t="s">
        <v>16</v>
      </c>
      <c r="B2466" t="s">
        <v>3221</v>
      </c>
      <c r="C2466">
        <v>16676</v>
      </c>
      <c r="D2466" t="s">
        <v>3004</v>
      </c>
      <c r="E2466" t="s">
        <v>3005</v>
      </c>
      <c r="F2466">
        <v>43.28</v>
      </c>
      <c r="G2466">
        <v>231124</v>
      </c>
      <c r="H2466">
        <v>4600</v>
      </c>
      <c r="I2466" t="s">
        <v>105</v>
      </c>
      <c r="J2466">
        <v>53.67</v>
      </c>
      <c r="K2466">
        <v>10.39</v>
      </c>
      <c r="L2466">
        <v>59802</v>
      </c>
      <c r="M2466" t="s">
        <v>73</v>
      </c>
      <c r="N2466" t="str">
        <f>"12102       "</f>
        <v xml:space="preserve">12102       </v>
      </c>
      <c r="O2466">
        <v>231207</v>
      </c>
    </row>
    <row r="2467" spans="1:15" x14ac:dyDescent="0.25">
      <c r="A2467" t="s">
        <v>16</v>
      </c>
      <c r="B2467" t="s">
        <v>3221</v>
      </c>
      <c r="C2467">
        <v>10951</v>
      </c>
      <c r="D2467" t="s">
        <v>1270</v>
      </c>
      <c r="E2467" t="s">
        <v>1271</v>
      </c>
      <c r="F2467">
        <v>344.79</v>
      </c>
      <c r="G2467">
        <v>230818</v>
      </c>
      <c r="H2467">
        <v>4534</v>
      </c>
      <c r="I2467" t="s">
        <v>273</v>
      </c>
      <c r="J2467">
        <v>427.54</v>
      </c>
      <c r="K2467">
        <v>82.75</v>
      </c>
      <c r="L2467">
        <v>54222</v>
      </c>
      <c r="M2467" t="s">
        <v>308</v>
      </c>
      <c r="N2467" t="str">
        <f>"20230763    "</f>
        <v xml:space="preserve">20230763    </v>
      </c>
      <c r="O2467">
        <v>230825</v>
      </c>
    </row>
    <row r="2468" spans="1:15" x14ac:dyDescent="0.25">
      <c r="A2468" t="s">
        <v>16</v>
      </c>
      <c r="B2468" t="s">
        <v>3221</v>
      </c>
      <c r="C2468">
        <v>10951</v>
      </c>
      <c r="D2468" t="s">
        <v>1270</v>
      </c>
      <c r="E2468" t="s">
        <v>1271</v>
      </c>
      <c r="F2468">
        <v>344.79</v>
      </c>
      <c r="G2468">
        <v>230818</v>
      </c>
      <c r="H2468">
        <v>4534</v>
      </c>
      <c r="I2468" t="s">
        <v>273</v>
      </c>
      <c r="J2468">
        <v>427.54</v>
      </c>
      <c r="K2468">
        <v>82.75</v>
      </c>
      <c r="L2468">
        <v>54252</v>
      </c>
      <c r="M2468" t="s">
        <v>534</v>
      </c>
      <c r="N2468" t="str">
        <f>"20230763    "</f>
        <v xml:space="preserve">20230763    </v>
      </c>
      <c r="O2468">
        <v>230825</v>
      </c>
    </row>
    <row r="2469" spans="1:15" x14ac:dyDescent="0.25">
      <c r="A2469" t="s">
        <v>16</v>
      </c>
      <c r="B2469" t="s">
        <v>3221</v>
      </c>
      <c r="C2469">
        <v>12588</v>
      </c>
      <c r="D2469" t="s">
        <v>1270</v>
      </c>
      <c r="E2469" t="s">
        <v>1271</v>
      </c>
      <c r="F2469">
        <v>184.99</v>
      </c>
      <c r="G2469">
        <v>230915</v>
      </c>
      <c r="H2469">
        <v>4580</v>
      </c>
      <c r="I2469" t="s">
        <v>35</v>
      </c>
      <c r="J2469">
        <v>229.39</v>
      </c>
      <c r="K2469">
        <v>44.4</v>
      </c>
      <c r="L2469">
        <v>54222</v>
      </c>
      <c r="M2469" t="s">
        <v>308</v>
      </c>
      <c r="N2469" t="str">
        <f>"20230829    "</f>
        <v xml:space="preserve">20230829    </v>
      </c>
      <c r="O2469">
        <v>230922</v>
      </c>
    </row>
    <row r="2470" spans="1:15" x14ac:dyDescent="0.25">
      <c r="A2470" t="s">
        <v>16</v>
      </c>
      <c r="B2470" t="s">
        <v>3221</v>
      </c>
      <c r="C2470">
        <v>12588</v>
      </c>
      <c r="D2470" t="s">
        <v>1270</v>
      </c>
      <c r="E2470" t="s">
        <v>1271</v>
      </c>
      <c r="F2470">
        <v>184.99</v>
      </c>
      <c r="G2470">
        <v>230915</v>
      </c>
      <c r="H2470">
        <v>4580</v>
      </c>
      <c r="I2470" t="s">
        <v>35</v>
      </c>
      <c r="J2470">
        <v>229.39</v>
      </c>
      <c r="K2470">
        <v>44.4</v>
      </c>
      <c r="L2470">
        <v>54252</v>
      </c>
      <c r="M2470" t="s">
        <v>534</v>
      </c>
      <c r="N2470" t="str">
        <f>"20230829    "</f>
        <v xml:space="preserve">20230829    </v>
      </c>
      <c r="O2470">
        <v>230922</v>
      </c>
    </row>
    <row r="2471" spans="1:15" x14ac:dyDescent="0.25">
      <c r="A2471" t="s">
        <v>16</v>
      </c>
      <c r="B2471" t="s">
        <v>3221</v>
      </c>
      <c r="C2471">
        <v>2044</v>
      </c>
      <c r="D2471" t="s">
        <v>1270</v>
      </c>
      <c r="E2471" t="s">
        <v>1271</v>
      </c>
      <c r="F2471">
        <v>121.48</v>
      </c>
      <c r="G2471">
        <v>230202</v>
      </c>
      <c r="H2471">
        <v>4600</v>
      </c>
      <c r="I2471" t="s">
        <v>105</v>
      </c>
      <c r="J2471">
        <v>150.63999999999999</v>
      </c>
      <c r="K2471">
        <v>29.16</v>
      </c>
      <c r="L2471">
        <v>54222</v>
      </c>
      <c r="M2471" t="s">
        <v>308</v>
      </c>
      <c r="N2471" t="str">
        <f>"20230100    "</f>
        <v xml:space="preserve">20230100    </v>
      </c>
      <c r="O2471">
        <v>230220</v>
      </c>
    </row>
    <row r="2472" spans="1:15" x14ac:dyDescent="0.25">
      <c r="A2472" t="s">
        <v>16</v>
      </c>
      <c r="B2472" t="s">
        <v>3221</v>
      </c>
      <c r="C2472">
        <v>4194</v>
      </c>
      <c r="D2472" t="s">
        <v>1270</v>
      </c>
      <c r="E2472" t="s">
        <v>1271</v>
      </c>
      <c r="F2472">
        <v>307.95</v>
      </c>
      <c r="G2472">
        <v>230324</v>
      </c>
      <c r="H2472">
        <v>4600</v>
      </c>
      <c r="I2472" t="s">
        <v>105</v>
      </c>
      <c r="J2472">
        <v>381.86</v>
      </c>
      <c r="K2472">
        <v>73.91</v>
      </c>
      <c r="L2472">
        <v>54222</v>
      </c>
      <c r="M2472" t="s">
        <v>308</v>
      </c>
      <c r="N2472" t="str">
        <f>"20230264    "</f>
        <v xml:space="preserve">20230264    </v>
      </c>
      <c r="O2472">
        <v>230331</v>
      </c>
    </row>
    <row r="2473" spans="1:15" x14ac:dyDescent="0.25">
      <c r="A2473" t="s">
        <v>16</v>
      </c>
      <c r="B2473" t="s">
        <v>3221</v>
      </c>
      <c r="C2473">
        <v>5315</v>
      </c>
      <c r="D2473" t="s">
        <v>1270</v>
      </c>
      <c r="E2473" t="s">
        <v>1271</v>
      </c>
      <c r="F2473">
        <v>75.41</v>
      </c>
      <c r="G2473">
        <v>230310</v>
      </c>
      <c r="H2473">
        <v>4600</v>
      </c>
      <c r="I2473" t="s">
        <v>105</v>
      </c>
      <c r="J2473">
        <v>93.51</v>
      </c>
      <c r="K2473">
        <v>18.100000000000001</v>
      </c>
      <c r="L2473">
        <v>54222</v>
      </c>
      <c r="M2473" t="s">
        <v>308</v>
      </c>
      <c r="N2473" t="str">
        <f>"20230352    "</f>
        <v xml:space="preserve">20230352    </v>
      </c>
      <c r="O2473">
        <v>230420</v>
      </c>
    </row>
    <row r="2474" spans="1:15" x14ac:dyDescent="0.25">
      <c r="A2474" t="s">
        <v>16</v>
      </c>
      <c r="B2474" t="s">
        <v>3221</v>
      </c>
      <c r="C2474">
        <v>5318</v>
      </c>
      <c r="D2474" t="s">
        <v>1270</v>
      </c>
      <c r="E2474" t="s">
        <v>1271</v>
      </c>
      <c r="F2474">
        <v>141.22999999999999</v>
      </c>
      <c r="G2474">
        <v>230406</v>
      </c>
      <c r="H2474">
        <v>4600</v>
      </c>
      <c r="I2474" t="s">
        <v>105</v>
      </c>
      <c r="J2474">
        <v>175.12</v>
      </c>
      <c r="K2474">
        <v>33.89</v>
      </c>
      <c r="L2474">
        <v>54222</v>
      </c>
      <c r="M2474" t="s">
        <v>308</v>
      </c>
      <c r="N2474" t="str">
        <f>"20230354    "</f>
        <v xml:space="preserve">20230354    </v>
      </c>
      <c r="O2474">
        <v>230420</v>
      </c>
    </row>
    <row r="2475" spans="1:15" x14ac:dyDescent="0.25">
      <c r="A2475" t="s">
        <v>16</v>
      </c>
      <c r="B2475" t="s">
        <v>3221</v>
      </c>
      <c r="C2475">
        <v>5318</v>
      </c>
      <c r="D2475" t="s">
        <v>1270</v>
      </c>
      <c r="E2475" t="s">
        <v>1271</v>
      </c>
      <c r="F2475">
        <v>141.22</v>
      </c>
      <c r="G2475">
        <v>230406</v>
      </c>
      <c r="H2475">
        <v>4600</v>
      </c>
      <c r="I2475" t="s">
        <v>105</v>
      </c>
      <c r="J2475">
        <v>175.11</v>
      </c>
      <c r="K2475">
        <v>33.89</v>
      </c>
      <c r="L2475">
        <v>54251</v>
      </c>
      <c r="M2475" t="s">
        <v>309</v>
      </c>
      <c r="N2475" t="str">
        <f>"20230354    "</f>
        <v xml:space="preserve">20230354    </v>
      </c>
      <c r="O2475">
        <v>230420</v>
      </c>
    </row>
    <row r="2476" spans="1:15" x14ac:dyDescent="0.25">
      <c r="A2476" t="s">
        <v>16</v>
      </c>
      <c r="B2476" t="s">
        <v>3221</v>
      </c>
      <c r="C2476">
        <v>5375</v>
      </c>
      <c r="D2476" t="s">
        <v>1270</v>
      </c>
      <c r="E2476" t="s">
        <v>1271</v>
      </c>
      <c r="F2476">
        <v>135.04</v>
      </c>
      <c r="G2476">
        <v>230328</v>
      </c>
      <c r="H2476">
        <v>4600</v>
      </c>
      <c r="I2476" t="s">
        <v>105</v>
      </c>
      <c r="J2476">
        <v>167.45</v>
      </c>
      <c r="K2476">
        <v>32.409999999999997</v>
      </c>
      <c r="L2476">
        <v>54222</v>
      </c>
      <c r="M2476" t="s">
        <v>308</v>
      </c>
      <c r="N2476" t="str">
        <f>"20230353    "</f>
        <v xml:space="preserve">20230353    </v>
      </c>
      <c r="O2476">
        <v>230421</v>
      </c>
    </row>
    <row r="2477" spans="1:15" x14ac:dyDescent="0.25">
      <c r="A2477" t="s">
        <v>16</v>
      </c>
      <c r="B2477" t="s">
        <v>3221</v>
      </c>
      <c r="C2477">
        <v>5375</v>
      </c>
      <c r="D2477" t="s">
        <v>1270</v>
      </c>
      <c r="E2477" t="s">
        <v>1271</v>
      </c>
      <c r="F2477">
        <v>135.04</v>
      </c>
      <c r="G2477">
        <v>230328</v>
      </c>
      <c r="H2477">
        <v>4600</v>
      </c>
      <c r="I2477" t="s">
        <v>105</v>
      </c>
      <c r="J2477">
        <v>167.45</v>
      </c>
      <c r="K2477">
        <v>32.409999999999997</v>
      </c>
      <c r="L2477">
        <v>54251</v>
      </c>
      <c r="M2477" t="s">
        <v>309</v>
      </c>
      <c r="N2477" t="str">
        <f>"20230353    "</f>
        <v xml:space="preserve">20230353    </v>
      </c>
      <c r="O2477">
        <v>230421</v>
      </c>
    </row>
    <row r="2478" spans="1:15" x14ac:dyDescent="0.25">
      <c r="A2478" t="s">
        <v>16</v>
      </c>
      <c r="B2478" t="s">
        <v>3221</v>
      </c>
      <c r="C2478">
        <v>5922</v>
      </c>
      <c r="D2478" t="s">
        <v>1270</v>
      </c>
      <c r="E2478" t="s">
        <v>1271</v>
      </c>
      <c r="F2478">
        <v>169.14</v>
      </c>
      <c r="G2478">
        <v>230425</v>
      </c>
      <c r="H2478">
        <v>4600</v>
      </c>
      <c r="I2478" t="s">
        <v>105</v>
      </c>
      <c r="J2478">
        <v>209.73</v>
      </c>
      <c r="K2478">
        <v>40.590000000000003</v>
      </c>
      <c r="L2478">
        <v>54251</v>
      </c>
      <c r="M2478" t="s">
        <v>309</v>
      </c>
      <c r="N2478" t="str">
        <f>"20230379    "</f>
        <v xml:space="preserve">20230379    </v>
      </c>
      <c r="O2478">
        <v>230503</v>
      </c>
    </row>
    <row r="2479" spans="1:15" x14ac:dyDescent="0.25">
      <c r="A2479" t="s">
        <v>16</v>
      </c>
      <c r="B2479" t="s">
        <v>3221</v>
      </c>
      <c r="C2479">
        <v>6311</v>
      </c>
      <c r="D2479" t="s">
        <v>1270</v>
      </c>
      <c r="E2479" t="s">
        <v>1271</v>
      </c>
      <c r="F2479">
        <v>96.2</v>
      </c>
      <c r="G2479">
        <v>230504</v>
      </c>
      <c r="H2479">
        <v>4600</v>
      </c>
      <c r="I2479" t="s">
        <v>105</v>
      </c>
      <c r="J2479">
        <v>119.29</v>
      </c>
      <c r="K2479">
        <v>23.09</v>
      </c>
      <c r="L2479">
        <v>54251</v>
      </c>
      <c r="M2479" t="s">
        <v>309</v>
      </c>
      <c r="N2479" t="str">
        <f>"20230432    "</f>
        <v xml:space="preserve">20230432    </v>
      </c>
      <c r="O2479">
        <v>230510</v>
      </c>
    </row>
    <row r="2480" spans="1:15" x14ac:dyDescent="0.25">
      <c r="A2480" t="s">
        <v>16</v>
      </c>
      <c r="B2480" t="s">
        <v>3221</v>
      </c>
      <c r="C2480">
        <v>10958</v>
      </c>
      <c r="D2480" t="s">
        <v>1270</v>
      </c>
      <c r="E2480" t="s">
        <v>1271</v>
      </c>
      <c r="F2480">
        <v>380.75</v>
      </c>
      <c r="G2480">
        <v>230822</v>
      </c>
      <c r="H2480">
        <v>4600</v>
      </c>
      <c r="I2480" t="s">
        <v>105</v>
      </c>
      <c r="J2480">
        <v>472.13</v>
      </c>
      <c r="K2480">
        <v>91.38</v>
      </c>
      <c r="L2480">
        <v>54222</v>
      </c>
      <c r="M2480" t="s">
        <v>308</v>
      </c>
      <c r="N2480" t="str">
        <f>"20230777    "</f>
        <v xml:space="preserve">20230777    </v>
      </c>
      <c r="O2480">
        <v>230825</v>
      </c>
    </row>
    <row r="2481" spans="1:15" x14ac:dyDescent="0.25">
      <c r="A2481" t="s">
        <v>16</v>
      </c>
      <c r="B2481" t="s">
        <v>3221</v>
      </c>
      <c r="C2481">
        <v>10958</v>
      </c>
      <c r="D2481" t="s">
        <v>1270</v>
      </c>
      <c r="E2481" t="s">
        <v>1271</v>
      </c>
      <c r="F2481">
        <v>380.74</v>
      </c>
      <c r="G2481">
        <v>230822</v>
      </c>
      <c r="H2481">
        <v>4600</v>
      </c>
      <c r="I2481" t="s">
        <v>105</v>
      </c>
      <c r="J2481">
        <v>472.12</v>
      </c>
      <c r="K2481">
        <v>91.38</v>
      </c>
      <c r="L2481">
        <v>54251</v>
      </c>
      <c r="M2481" t="s">
        <v>309</v>
      </c>
      <c r="N2481" t="str">
        <f>"20230777    "</f>
        <v xml:space="preserve">20230777    </v>
      </c>
      <c r="O2481">
        <v>230825</v>
      </c>
    </row>
    <row r="2482" spans="1:15" x14ac:dyDescent="0.25">
      <c r="A2482" t="s">
        <v>16</v>
      </c>
      <c r="B2482" t="s">
        <v>3221</v>
      </c>
      <c r="C2482">
        <v>11808</v>
      </c>
      <c r="D2482" t="s">
        <v>1270</v>
      </c>
      <c r="E2482" t="s">
        <v>1271</v>
      </c>
      <c r="F2482">
        <v>90.64</v>
      </c>
      <c r="G2482">
        <v>230830</v>
      </c>
      <c r="H2482">
        <v>4600</v>
      </c>
      <c r="I2482" t="s">
        <v>105</v>
      </c>
      <c r="J2482">
        <v>112.39</v>
      </c>
      <c r="K2482">
        <v>21.75</v>
      </c>
      <c r="L2482">
        <v>54222</v>
      </c>
      <c r="M2482" t="s">
        <v>308</v>
      </c>
      <c r="N2482" t="str">
        <f>"20230791    "</f>
        <v xml:space="preserve">20230791    </v>
      </c>
      <c r="O2482">
        <v>230911</v>
      </c>
    </row>
    <row r="2483" spans="1:15" x14ac:dyDescent="0.25">
      <c r="A2483" t="s">
        <v>16</v>
      </c>
      <c r="B2483" t="s">
        <v>3221</v>
      </c>
      <c r="C2483">
        <v>12600</v>
      </c>
      <c r="D2483" t="s">
        <v>1270</v>
      </c>
      <c r="E2483" t="s">
        <v>1271</v>
      </c>
      <c r="F2483">
        <v>86.35</v>
      </c>
      <c r="G2483">
        <v>230915</v>
      </c>
      <c r="H2483">
        <v>4600</v>
      </c>
      <c r="I2483" t="s">
        <v>105</v>
      </c>
      <c r="J2483">
        <v>107.08</v>
      </c>
      <c r="K2483">
        <v>20.73</v>
      </c>
      <c r="L2483">
        <v>54222</v>
      </c>
      <c r="M2483" t="s">
        <v>308</v>
      </c>
      <c r="N2483" t="str">
        <f>"20230830    "</f>
        <v xml:space="preserve">20230830    </v>
      </c>
      <c r="O2483">
        <v>230922</v>
      </c>
    </row>
    <row r="2484" spans="1:15" x14ac:dyDescent="0.25">
      <c r="A2484" t="s">
        <v>16</v>
      </c>
      <c r="B2484" t="s">
        <v>3221</v>
      </c>
      <c r="C2484">
        <v>12600</v>
      </c>
      <c r="D2484" t="s">
        <v>1270</v>
      </c>
      <c r="E2484" t="s">
        <v>1271</v>
      </c>
      <c r="F2484">
        <v>93.92</v>
      </c>
      <c r="G2484">
        <v>230915</v>
      </c>
      <c r="H2484">
        <v>4600</v>
      </c>
      <c r="I2484" t="s">
        <v>105</v>
      </c>
      <c r="J2484">
        <v>107.07</v>
      </c>
      <c r="K2484">
        <v>13.15</v>
      </c>
      <c r="L2484">
        <v>54252</v>
      </c>
      <c r="M2484" t="s">
        <v>534</v>
      </c>
      <c r="N2484" t="str">
        <f>"20230830    "</f>
        <v xml:space="preserve">20230830    </v>
      </c>
      <c r="O2484">
        <v>230922</v>
      </c>
    </row>
    <row r="2485" spans="1:15" x14ac:dyDescent="0.25">
      <c r="A2485" t="s">
        <v>16</v>
      </c>
      <c r="B2485" t="s">
        <v>3221</v>
      </c>
      <c r="C2485">
        <v>13212</v>
      </c>
      <c r="D2485" t="s">
        <v>1270</v>
      </c>
      <c r="E2485" t="s">
        <v>1271</v>
      </c>
      <c r="F2485">
        <v>276.26</v>
      </c>
      <c r="G2485">
        <v>230928</v>
      </c>
      <c r="H2485">
        <v>4600</v>
      </c>
      <c r="I2485" t="s">
        <v>105</v>
      </c>
      <c r="J2485">
        <v>342.56</v>
      </c>
      <c r="K2485">
        <v>66.3</v>
      </c>
      <c r="L2485">
        <v>54222</v>
      </c>
      <c r="M2485" t="s">
        <v>308</v>
      </c>
      <c r="N2485" t="str">
        <f>"20230860    "</f>
        <v xml:space="preserve">20230860    </v>
      </c>
      <c r="O2485">
        <v>231005</v>
      </c>
    </row>
    <row r="2486" spans="1:15" x14ac:dyDescent="0.25">
      <c r="A2486" t="s">
        <v>16</v>
      </c>
      <c r="B2486" t="s">
        <v>3221</v>
      </c>
      <c r="C2486">
        <v>15618</v>
      </c>
      <c r="D2486" t="s">
        <v>1270</v>
      </c>
      <c r="E2486" t="s">
        <v>1271</v>
      </c>
      <c r="F2486">
        <v>150.49</v>
      </c>
      <c r="G2486">
        <v>231110</v>
      </c>
      <c r="H2486">
        <v>4600</v>
      </c>
      <c r="I2486" t="s">
        <v>105</v>
      </c>
      <c r="J2486">
        <v>186.61</v>
      </c>
      <c r="K2486">
        <v>36.119999999999997</v>
      </c>
      <c r="L2486">
        <v>54222</v>
      </c>
      <c r="M2486" t="s">
        <v>308</v>
      </c>
      <c r="N2486" t="str">
        <f>"20230999    "</f>
        <v xml:space="preserve">20230999    </v>
      </c>
      <c r="O2486">
        <v>231114</v>
      </c>
    </row>
    <row r="2487" spans="1:15" x14ac:dyDescent="0.25">
      <c r="A2487" t="s">
        <v>16</v>
      </c>
      <c r="B2487" t="s">
        <v>3221</v>
      </c>
      <c r="C2487">
        <v>15618</v>
      </c>
      <c r="D2487" t="s">
        <v>1270</v>
      </c>
      <c r="E2487" t="s">
        <v>1271</v>
      </c>
      <c r="F2487">
        <v>150.49</v>
      </c>
      <c r="G2487">
        <v>231110</v>
      </c>
      <c r="H2487">
        <v>4600</v>
      </c>
      <c r="I2487" t="s">
        <v>105</v>
      </c>
      <c r="J2487">
        <v>186.61</v>
      </c>
      <c r="K2487">
        <v>36.119999999999997</v>
      </c>
      <c r="L2487">
        <v>54251</v>
      </c>
      <c r="M2487" t="s">
        <v>309</v>
      </c>
      <c r="N2487" t="str">
        <f>"20230999    "</f>
        <v xml:space="preserve">20230999    </v>
      </c>
      <c r="O2487">
        <v>231114</v>
      </c>
    </row>
    <row r="2488" spans="1:15" x14ac:dyDescent="0.25">
      <c r="A2488" t="s">
        <v>16</v>
      </c>
      <c r="B2488" t="s">
        <v>3221</v>
      </c>
      <c r="C2488">
        <v>16503</v>
      </c>
      <c r="D2488" t="s">
        <v>1270</v>
      </c>
      <c r="E2488" t="s">
        <v>1271</v>
      </c>
      <c r="F2488">
        <v>376.17</v>
      </c>
      <c r="G2488">
        <v>231128</v>
      </c>
      <c r="H2488">
        <v>4600</v>
      </c>
      <c r="I2488" t="s">
        <v>105</v>
      </c>
      <c r="J2488">
        <v>466.45</v>
      </c>
      <c r="K2488">
        <v>90.28</v>
      </c>
      <c r="L2488">
        <v>54251</v>
      </c>
      <c r="M2488" t="s">
        <v>309</v>
      </c>
      <c r="N2488" t="str">
        <f>"20231072    "</f>
        <v xml:space="preserve">20231072    </v>
      </c>
      <c r="O2488">
        <v>231201</v>
      </c>
    </row>
    <row r="2489" spans="1:15" x14ac:dyDescent="0.25">
      <c r="A2489" t="s">
        <v>16</v>
      </c>
      <c r="B2489" t="s">
        <v>3221</v>
      </c>
      <c r="C2489">
        <v>4021</v>
      </c>
      <c r="D2489" t="s">
        <v>1649</v>
      </c>
      <c r="E2489" t="s">
        <v>1650</v>
      </c>
      <c r="F2489">
        <v>2340</v>
      </c>
      <c r="G2489">
        <v>230317</v>
      </c>
      <c r="H2489">
        <v>4580</v>
      </c>
      <c r="I2489" t="s">
        <v>35</v>
      </c>
      <c r="J2489">
        <v>2901.6</v>
      </c>
      <c r="K2489">
        <v>561.6</v>
      </c>
      <c r="L2489">
        <v>54252</v>
      </c>
      <c r="M2489" t="s">
        <v>534</v>
      </c>
      <c r="N2489" t="str">
        <f>"23331       "</f>
        <v xml:space="preserve">23331       </v>
      </c>
      <c r="O2489">
        <v>230329</v>
      </c>
    </row>
    <row r="2490" spans="1:15" x14ac:dyDescent="0.25">
      <c r="A2490" t="s">
        <v>16</v>
      </c>
      <c r="B2490" t="s">
        <v>3221</v>
      </c>
      <c r="C2490">
        <v>13295</v>
      </c>
      <c r="D2490" t="s">
        <v>2658</v>
      </c>
      <c r="E2490" t="s">
        <v>2659</v>
      </c>
      <c r="F2490">
        <v>558.75</v>
      </c>
      <c r="G2490">
        <v>230925</v>
      </c>
      <c r="H2490">
        <v>4400</v>
      </c>
      <c r="I2490" t="s">
        <v>348</v>
      </c>
      <c r="J2490">
        <v>692.85</v>
      </c>
      <c r="K2490">
        <v>134.1</v>
      </c>
      <c r="L2490">
        <v>17803</v>
      </c>
      <c r="M2490" t="s">
        <v>389</v>
      </c>
      <c r="N2490" t="str">
        <f>"350/73502039"</f>
        <v>350/73502039</v>
      </c>
      <c r="O2490">
        <v>231009</v>
      </c>
    </row>
    <row r="2491" spans="1:15" x14ac:dyDescent="0.25">
      <c r="A2491" t="s">
        <v>16</v>
      </c>
      <c r="B2491" t="s">
        <v>3221</v>
      </c>
      <c r="C2491">
        <v>176</v>
      </c>
      <c r="D2491" t="s">
        <v>269</v>
      </c>
      <c r="E2491" t="s">
        <v>270</v>
      </c>
      <c r="F2491">
        <v>57.15</v>
      </c>
      <c r="G2491">
        <v>230105</v>
      </c>
      <c r="H2491">
        <v>4362</v>
      </c>
      <c r="I2491" t="s">
        <v>79</v>
      </c>
      <c r="J2491">
        <v>70.86</v>
      </c>
      <c r="K2491">
        <v>13.71</v>
      </c>
      <c r="L2491">
        <v>11801</v>
      </c>
      <c r="M2491" t="s">
        <v>92</v>
      </c>
      <c r="N2491" t="str">
        <f>"22499581    "</f>
        <v xml:space="preserve">22499581    </v>
      </c>
      <c r="O2491">
        <v>230116</v>
      </c>
    </row>
    <row r="2492" spans="1:15" x14ac:dyDescent="0.25">
      <c r="A2492" t="s">
        <v>16</v>
      </c>
      <c r="B2492" t="s">
        <v>3221</v>
      </c>
      <c r="C2492">
        <v>1875</v>
      </c>
      <c r="D2492" t="s">
        <v>269</v>
      </c>
      <c r="E2492" t="s">
        <v>270</v>
      </c>
      <c r="F2492">
        <v>8.3000000000000007</v>
      </c>
      <c r="G2492">
        <v>230213</v>
      </c>
      <c r="H2492">
        <v>4362</v>
      </c>
      <c r="I2492" t="s">
        <v>79</v>
      </c>
      <c r="J2492">
        <v>10.29</v>
      </c>
      <c r="K2492">
        <v>1.99</v>
      </c>
      <c r="L2492">
        <v>69501</v>
      </c>
      <c r="M2492" t="s">
        <v>185</v>
      </c>
      <c r="N2492" t="str">
        <f>"12301492125 "</f>
        <v xml:space="preserve">12301492125 </v>
      </c>
      <c r="O2492">
        <v>230215</v>
      </c>
    </row>
    <row r="2493" spans="1:15" x14ac:dyDescent="0.25">
      <c r="A2493" t="s">
        <v>16</v>
      </c>
      <c r="B2493" t="s">
        <v>3221</v>
      </c>
      <c r="C2493">
        <v>2614</v>
      </c>
      <c r="D2493" t="s">
        <v>269</v>
      </c>
      <c r="E2493" t="s">
        <v>270</v>
      </c>
      <c r="F2493">
        <v>57.15</v>
      </c>
      <c r="G2493">
        <v>230206</v>
      </c>
      <c r="H2493">
        <v>4362</v>
      </c>
      <c r="I2493" t="s">
        <v>79</v>
      </c>
      <c r="J2493">
        <v>70.86</v>
      </c>
      <c r="K2493">
        <v>13.71</v>
      </c>
      <c r="L2493">
        <v>11801</v>
      </c>
      <c r="M2493" t="s">
        <v>92</v>
      </c>
      <c r="N2493" t="str">
        <f>"23031110    "</f>
        <v xml:space="preserve">23031110    </v>
      </c>
      <c r="O2493">
        <v>230303</v>
      </c>
    </row>
    <row r="2494" spans="1:15" x14ac:dyDescent="0.25">
      <c r="A2494" t="s">
        <v>16</v>
      </c>
      <c r="B2494" t="s">
        <v>3221</v>
      </c>
      <c r="C2494">
        <v>3342</v>
      </c>
      <c r="D2494" t="s">
        <v>269</v>
      </c>
      <c r="E2494" t="s">
        <v>270</v>
      </c>
      <c r="F2494">
        <v>5.94</v>
      </c>
      <c r="G2494">
        <v>230313</v>
      </c>
      <c r="H2494">
        <v>4362</v>
      </c>
      <c r="I2494" t="s">
        <v>79</v>
      </c>
      <c r="J2494">
        <v>7.37</v>
      </c>
      <c r="K2494">
        <v>1.43</v>
      </c>
      <c r="L2494">
        <v>69501</v>
      </c>
      <c r="M2494" t="s">
        <v>185</v>
      </c>
      <c r="N2494" t="str">
        <f>"12302768710 "</f>
        <v xml:space="preserve">12302768710 </v>
      </c>
      <c r="O2494">
        <v>230315</v>
      </c>
    </row>
    <row r="2495" spans="1:15" x14ac:dyDescent="0.25">
      <c r="A2495" t="s">
        <v>16</v>
      </c>
      <c r="B2495" t="s">
        <v>3221</v>
      </c>
      <c r="C2495">
        <v>3982</v>
      </c>
      <c r="D2495" t="s">
        <v>269</v>
      </c>
      <c r="E2495" t="s">
        <v>270</v>
      </c>
      <c r="F2495">
        <v>57.15</v>
      </c>
      <c r="G2495">
        <v>230306</v>
      </c>
      <c r="H2495">
        <v>4362</v>
      </c>
      <c r="I2495" t="s">
        <v>79</v>
      </c>
      <c r="J2495">
        <v>70.86</v>
      </c>
      <c r="K2495">
        <v>13.71</v>
      </c>
      <c r="L2495">
        <v>11801</v>
      </c>
      <c r="M2495" t="s">
        <v>92</v>
      </c>
      <c r="N2495" t="str">
        <f>"23069593    "</f>
        <v xml:space="preserve">23069593    </v>
      </c>
      <c r="O2495">
        <v>230328</v>
      </c>
    </row>
    <row r="2496" spans="1:15" x14ac:dyDescent="0.25">
      <c r="A2496" t="s">
        <v>16</v>
      </c>
      <c r="B2496" t="s">
        <v>3221</v>
      </c>
      <c r="C2496">
        <v>4878</v>
      </c>
      <c r="D2496" t="s">
        <v>269</v>
      </c>
      <c r="E2496" t="s">
        <v>270</v>
      </c>
      <c r="F2496">
        <v>57.15</v>
      </c>
      <c r="G2496">
        <v>230406</v>
      </c>
      <c r="H2496">
        <v>4362</v>
      </c>
      <c r="I2496" t="s">
        <v>79</v>
      </c>
      <c r="J2496">
        <v>70.86</v>
      </c>
      <c r="K2496">
        <v>13.71</v>
      </c>
      <c r="L2496">
        <v>11801</v>
      </c>
      <c r="M2496" t="s">
        <v>92</v>
      </c>
      <c r="N2496" t="str">
        <f>"23107615    "</f>
        <v xml:space="preserve">23107615    </v>
      </c>
      <c r="O2496">
        <v>230413</v>
      </c>
    </row>
    <row r="2497" spans="1:15" x14ac:dyDescent="0.25">
      <c r="A2497" t="s">
        <v>16</v>
      </c>
      <c r="B2497" t="s">
        <v>3221</v>
      </c>
      <c r="C2497">
        <v>4881</v>
      </c>
      <c r="D2497" t="s">
        <v>269</v>
      </c>
      <c r="E2497" t="s">
        <v>270</v>
      </c>
      <c r="F2497">
        <v>4.99</v>
      </c>
      <c r="G2497">
        <v>230412</v>
      </c>
      <c r="H2497">
        <v>4362</v>
      </c>
      <c r="I2497" t="s">
        <v>79</v>
      </c>
      <c r="J2497">
        <v>6.19</v>
      </c>
      <c r="K2497">
        <v>1.2</v>
      </c>
      <c r="L2497">
        <v>69501</v>
      </c>
      <c r="M2497" t="s">
        <v>185</v>
      </c>
      <c r="N2497" t="str">
        <f>"12304248030 "</f>
        <v xml:space="preserve">12304248030 </v>
      </c>
      <c r="O2497">
        <v>230413</v>
      </c>
    </row>
    <row r="2498" spans="1:15" x14ac:dyDescent="0.25">
      <c r="A2498" t="s">
        <v>16</v>
      </c>
      <c r="B2498" t="s">
        <v>3221</v>
      </c>
      <c r="C2498">
        <v>6471</v>
      </c>
      <c r="D2498" t="s">
        <v>269</v>
      </c>
      <c r="E2498" t="s">
        <v>270</v>
      </c>
      <c r="F2498">
        <v>5.41</v>
      </c>
      <c r="G2498">
        <v>230510</v>
      </c>
      <c r="H2498">
        <v>4362</v>
      </c>
      <c r="I2498" t="s">
        <v>79</v>
      </c>
      <c r="J2498">
        <v>6.71</v>
      </c>
      <c r="K2498">
        <v>1.3</v>
      </c>
      <c r="L2498">
        <v>69501</v>
      </c>
      <c r="M2498" t="s">
        <v>185</v>
      </c>
      <c r="N2498" t="str">
        <f>"12305513253 "</f>
        <v xml:space="preserve">12305513253 </v>
      </c>
      <c r="O2498">
        <v>230512</v>
      </c>
    </row>
    <row r="2499" spans="1:15" x14ac:dyDescent="0.25">
      <c r="A2499" t="s">
        <v>16</v>
      </c>
      <c r="B2499" t="s">
        <v>3221</v>
      </c>
      <c r="C2499">
        <v>7090</v>
      </c>
      <c r="D2499" t="s">
        <v>269</v>
      </c>
      <c r="E2499" t="s">
        <v>270</v>
      </c>
      <c r="F2499">
        <v>60.8</v>
      </c>
      <c r="G2499">
        <v>230505</v>
      </c>
      <c r="H2499">
        <v>4362</v>
      </c>
      <c r="I2499" t="s">
        <v>79</v>
      </c>
      <c r="J2499">
        <v>75.39</v>
      </c>
      <c r="K2499">
        <v>14.59</v>
      </c>
      <c r="L2499">
        <v>11801</v>
      </c>
      <c r="M2499" t="s">
        <v>92</v>
      </c>
      <c r="N2499" t="str">
        <f>"23145183    "</f>
        <v xml:space="preserve">23145183    </v>
      </c>
      <c r="O2499">
        <v>230525</v>
      </c>
    </row>
    <row r="2500" spans="1:15" x14ac:dyDescent="0.25">
      <c r="A2500" t="s">
        <v>16</v>
      </c>
      <c r="B2500" t="s">
        <v>3221</v>
      </c>
      <c r="C2500">
        <v>8390</v>
      </c>
      <c r="D2500" t="s">
        <v>269</v>
      </c>
      <c r="E2500" t="s">
        <v>270</v>
      </c>
      <c r="F2500">
        <v>5.65</v>
      </c>
      <c r="G2500">
        <v>230607</v>
      </c>
      <c r="H2500">
        <v>4362</v>
      </c>
      <c r="I2500" t="s">
        <v>79</v>
      </c>
      <c r="J2500">
        <v>7.01</v>
      </c>
      <c r="K2500">
        <v>1.36</v>
      </c>
      <c r="L2500">
        <v>69501</v>
      </c>
      <c r="M2500" t="s">
        <v>185</v>
      </c>
      <c r="N2500" t="str">
        <f>"12306794163 "</f>
        <v xml:space="preserve">12306794163 </v>
      </c>
      <c r="O2500">
        <v>230608</v>
      </c>
    </row>
    <row r="2501" spans="1:15" x14ac:dyDescent="0.25">
      <c r="A2501" t="s">
        <v>16</v>
      </c>
      <c r="B2501" t="s">
        <v>3221</v>
      </c>
      <c r="C2501">
        <v>9034</v>
      </c>
      <c r="D2501" t="s">
        <v>269</v>
      </c>
      <c r="E2501" t="s">
        <v>270</v>
      </c>
      <c r="F2501">
        <v>60.8</v>
      </c>
      <c r="G2501">
        <v>230606</v>
      </c>
      <c r="H2501">
        <v>4362</v>
      </c>
      <c r="I2501" t="s">
        <v>79</v>
      </c>
      <c r="J2501">
        <v>75.39</v>
      </c>
      <c r="K2501">
        <v>14.59</v>
      </c>
      <c r="L2501">
        <v>14952</v>
      </c>
      <c r="M2501" t="s">
        <v>99</v>
      </c>
      <c r="N2501" t="str">
        <f>"23182388    "</f>
        <v xml:space="preserve">23182388    </v>
      </c>
      <c r="O2501">
        <v>230621</v>
      </c>
    </row>
    <row r="2502" spans="1:15" x14ac:dyDescent="0.25">
      <c r="A2502" t="s">
        <v>16</v>
      </c>
      <c r="B2502" t="s">
        <v>3221</v>
      </c>
      <c r="C2502">
        <v>9447</v>
      </c>
      <c r="D2502" t="s">
        <v>269</v>
      </c>
      <c r="E2502" t="s">
        <v>270</v>
      </c>
      <c r="F2502">
        <v>4.3</v>
      </c>
      <c r="G2502">
        <v>230706</v>
      </c>
      <c r="H2502">
        <v>4362</v>
      </c>
      <c r="I2502" t="s">
        <v>79</v>
      </c>
      <c r="J2502">
        <v>5.33</v>
      </c>
      <c r="K2502">
        <v>1.03</v>
      </c>
      <c r="L2502">
        <v>69501</v>
      </c>
      <c r="M2502" t="s">
        <v>185</v>
      </c>
      <c r="N2502" t="str">
        <f>"12308066682 "</f>
        <v xml:space="preserve">12308066682 </v>
      </c>
      <c r="O2502">
        <v>230711</v>
      </c>
    </row>
    <row r="2503" spans="1:15" x14ac:dyDescent="0.25">
      <c r="A2503" t="s">
        <v>16</v>
      </c>
      <c r="B2503" t="s">
        <v>3221</v>
      </c>
      <c r="C2503">
        <v>9650</v>
      </c>
      <c r="D2503" t="s">
        <v>269</v>
      </c>
      <c r="E2503" t="s">
        <v>270</v>
      </c>
      <c r="F2503">
        <v>16.34</v>
      </c>
      <c r="G2503">
        <v>230706</v>
      </c>
      <c r="H2503">
        <v>4362</v>
      </c>
      <c r="I2503" t="s">
        <v>79</v>
      </c>
      <c r="J2503">
        <v>20.260000000000002</v>
      </c>
      <c r="K2503">
        <v>3.92</v>
      </c>
      <c r="L2503">
        <v>11401</v>
      </c>
      <c r="M2503" t="s">
        <v>84</v>
      </c>
      <c r="N2503" t="str">
        <f>"23219284    "</f>
        <v xml:space="preserve">23219284    </v>
      </c>
      <c r="O2503">
        <v>230718</v>
      </c>
    </row>
    <row r="2504" spans="1:15" x14ac:dyDescent="0.25">
      <c r="A2504" t="s">
        <v>16</v>
      </c>
      <c r="B2504" t="s">
        <v>3221</v>
      </c>
      <c r="C2504">
        <v>9650</v>
      </c>
      <c r="D2504" t="s">
        <v>269</v>
      </c>
      <c r="E2504" t="s">
        <v>270</v>
      </c>
      <c r="F2504">
        <v>44.46</v>
      </c>
      <c r="G2504">
        <v>230706</v>
      </c>
      <c r="H2504">
        <v>4362</v>
      </c>
      <c r="I2504" t="s">
        <v>79</v>
      </c>
      <c r="J2504">
        <v>55.13</v>
      </c>
      <c r="K2504">
        <v>10.67</v>
      </c>
      <c r="L2504">
        <v>14952</v>
      </c>
      <c r="M2504" t="s">
        <v>99</v>
      </c>
      <c r="N2504" t="str">
        <f>"23219284    "</f>
        <v xml:space="preserve">23219284    </v>
      </c>
      <c r="O2504">
        <v>230718</v>
      </c>
    </row>
    <row r="2505" spans="1:15" x14ac:dyDescent="0.25">
      <c r="A2505" t="s">
        <v>16</v>
      </c>
      <c r="B2505" t="s">
        <v>3221</v>
      </c>
      <c r="C2505">
        <v>10108</v>
      </c>
      <c r="D2505" t="s">
        <v>269</v>
      </c>
      <c r="E2505" t="s">
        <v>270</v>
      </c>
      <c r="F2505">
        <v>16.34</v>
      </c>
      <c r="G2505">
        <v>230804</v>
      </c>
      <c r="H2505">
        <v>4362</v>
      </c>
      <c r="I2505" t="s">
        <v>79</v>
      </c>
      <c r="J2505">
        <v>20.260000000000002</v>
      </c>
      <c r="K2505">
        <v>3.92</v>
      </c>
      <c r="L2505">
        <v>11401</v>
      </c>
      <c r="M2505" t="s">
        <v>84</v>
      </c>
      <c r="N2505" t="str">
        <f>"23255748    "</f>
        <v xml:space="preserve">23255748    </v>
      </c>
      <c r="O2505">
        <v>230808</v>
      </c>
    </row>
    <row r="2506" spans="1:15" x14ac:dyDescent="0.25">
      <c r="A2506" t="s">
        <v>16</v>
      </c>
      <c r="B2506" t="s">
        <v>3221</v>
      </c>
      <c r="C2506">
        <v>10108</v>
      </c>
      <c r="D2506" t="s">
        <v>269</v>
      </c>
      <c r="E2506" t="s">
        <v>270</v>
      </c>
      <c r="F2506">
        <v>44.46</v>
      </c>
      <c r="G2506">
        <v>230804</v>
      </c>
      <c r="H2506">
        <v>4362</v>
      </c>
      <c r="I2506" t="s">
        <v>79</v>
      </c>
      <c r="J2506">
        <v>55.13</v>
      </c>
      <c r="K2506">
        <v>10.67</v>
      </c>
      <c r="L2506">
        <v>14952</v>
      </c>
      <c r="M2506" t="s">
        <v>99</v>
      </c>
      <c r="N2506" t="str">
        <f>"23255748    "</f>
        <v xml:space="preserve">23255748    </v>
      </c>
      <c r="O2506">
        <v>230808</v>
      </c>
    </row>
    <row r="2507" spans="1:15" x14ac:dyDescent="0.25">
      <c r="A2507" t="s">
        <v>16</v>
      </c>
      <c r="B2507" t="s">
        <v>3221</v>
      </c>
      <c r="C2507">
        <v>10300</v>
      </c>
      <c r="D2507" t="s">
        <v>269</v>
      </c>
      <c r="E2507" t="s">
        <v>270</v>
      </c>
      <c r="F2507">
        <v>4.3</v>
      </c>
      <c r="G2507">
        <v>230808</v>
      </c>
      <c r="H2507">
        <v>4362</v>
      </c>
      <c r="I2507" t="s">
        <v>79</v>
      </c>
      <c r="J2507">
        <v>5.33</v>
      </c>
      <c r="K2507">
        <v>1.03</v>
      </c>
      <c r="L2507">
        <v>69501</v>
      </c>
      <c r="M2507" t="s">
        <v>185</v>
      </c>
      <c r="N2507" t="str">
        <f>"12309329669 "</f>
        <v xml:space="preserve">12309329669 </v>
      </c>
      <c r="O2507">
        <v>230814</v>
      </c>
    </row>
    <row r="2508" spans="1:15" x14ac:dyDescent="0.25">
      <c r="A2508" t="s">
        <v>16</v>
      </c>
      <c r="B2508" t="s">
        <v>3221</v>
      </c>
      <c r="C2508">
        <v>11643</v>
      </c>
      <c r="D2508" t="s">
        <v>269</v>
      </c>
      <c r="E2508" t="s">
        <v>270</v>
      </c>
      <c r="F2508">
        <v>20.27</v>
      </c>
      <c r="G2508">
        <v>230906</v>
      </c>
      <c r="H2508">
        <v>4362</v>
      </c>
      <c r="I2508" t="s">
        <v>79</v>
      </c>
      <c r="J2508">
        <v>25.13</v>
      </c>
      <c r="K2508">
        <v>4.8600000000000003</v>
      </c>
      <c r="L2508">
        <v>11401</v>
      </c>
      <c r="M2508" t="s">
        <v>84</v>
      </c>
      <c r="N2508" t="str">
        <f>"23291757    "</f>
        <v xml:space="preserve">23291757    </v>
      </c>
      <c r="O2508">
        <v>230907</v>
      </c>
    </row>
    <row r="2509" spans="1:15" x14ac:dyDescent="0.25">
      <c r="A2509" t="s">
        <v>16</v>
      </c>
      <c r="B2509" t="s">
        <v>3221</v>
      </c>
      <c r="C2509">
        <v>11643</v>
      </c>
      <c r="D2509" t="s">
        <v>269</v>
      </c>
      <c r="E2509" t="s">
        <v>270</v>
      </c>
      <c r="F2509">
        <v>40.53</v>
      </c>
      <c r="G2509">
        <v>230906</v>
      </c>
      <c r="H2509">
        <v>4362</v>
      </c>
      <c r="I2509" t="s">
        <v>79</v>
      </c>
      <c r="J2509">
        <v>50.26</v>
      </c>
      <c r="K2509">
        <v>9.73</v>
      </c>
      <c r="L2509">
        <v>14952</v>
      </c>
      <c r="M2509" t="s">
        <v>99</v>
      </c>
      <c r="N2509" t="str">
        <f>"23291757    "</f>
        <v xml:space="preserve">23291757    </v>
      </c>
      <c r="O2509">
        <v>230907</v>
      </c>
    </row>
    <row r="2510" spans="1:15" x14ac:dyDescent="0.25">
      <c r="A2510" t="s">
        <v>16</v>
      </c>
      <c r="B2510" t="s">
        <v>3221</v>
      </c>
      <c r="C2510">
        <v>12053</v>
      </c>
      <c r="D2510" t="s">
        <v>269</v>
      </c>
      <c r="E2510" t="s">
        <v>270</v>
      </c>
      <c r="F2510">
        <v>7.6</v>
      </c>
      <c r="G2510">
        <v>230908</v>
      </c>
      <c r="H2510">
        <v>4362</v>
      </c>
      <c r="I2510" t="s">
        <v>79</v>
      </c>
      <c r="J2510">
        <v>9.42</v>
      </c>
      <c r="K2510">
        <v>1.82</v>
      </c>
      <c r="L2510">
        <v>69501</v>
      </c>
      <c r="M2510" t="s">
        <v>185</v>
      </c>
      <c r="N2510" t="str">
        <f>"12310598627 "</f>
        <v xml:space="preserve">12310598627 </v>
      </c>
      <c r="O2510">
        <v>230913</v>
      </c>
    </row>
    <row r="2511" spans="1:15" x14ac:dyDescent="0.25">
      <c r="A2511" t="s">
        <v>16</v>
      </c>
      <c r="B2511" t="s">
        <v>3221</v>
      </c>
      <c r="C2511">
        <v>13477</v>
      </c>
      <c r="D2511" t="s">
        <v>269</v>
      </c>
      <c r="E2511" t="s">
        <v>270</v>
      </c>
      <c r="F2511">
        <v>4.3</v>
      </c>
      <c r="G2511">
        <v>231009</v>
      </c>
      <c r="H2511">
        <v>4362</v>
      </c>
      <c r="I2511" t="s">
        <v>79</v>
      </c>
      <c r="J2511">
        <v>5.33</v>
      </c>
      <c r="K2511">
        <v>1.03</v>
      </c>
      <c r="L2511">
        <v>69501</v>
      </c>
      <c r="M2511" t="s">
        <v>185</v>
      </c>
      <c r="N2511" t="str">
        <f>"12311681658 "</f>
        <v xml:space="preserve">12311681658 </v>
      </c>
      <c r="O2511">
        <v>231010</v>
      </c>
    </row>
    <row r="2512" spans="1:15" x14ac:dyDescent="0.25">
      <c r="A2512" t="s">
        <v>16</v>
      </c>
      <c r="B2512" t="s">
        <v>3221</v>
      </c>
      <c r="C2512">
        <v>13793</v>
      </c>
      <c r="D2512" t="s">
        <v>269</v>
      </c>
      <c r="E2512" t="s">
        <v>270</v>
      </c>
      <c r="F2512">
        <v>20.27</v>
      </c>
      <c r="G2512">
        <v>231005</v>
      </c>
      <c r="H2512">
        <v>4362</v>
      </c>
      <c r="I2512" t="s">
        <v>79</v>
      </c>
      <c r="J2512">
        <v>25.13</v>
      </c>
      <c r="K2512">
        <v>4.8600000000000003</v>
      </c>
      <c r="L2512">
        <v>11401</v>
      </c>
      <c r="M2512" t="s">
        <v>84</v>
      </c>
      <c r="N2512" t="str">
        <f>"23327219    "</f>
        <v xml:space="preserve">23327219    </v>
      </c>
      <c r="O2512">
        <v>231013</v>
      </c>
    </row>
    <row r="2513" spans="1:15" x14ac:dyDescent="0.25">
      <c r="A2513" t="s">
        <v>16</v>
      </c>
      <c r="B2513" t="s">
        <v>3221</v>
      </c>
      <c r="C2513">
        <v>13793</v>
      </c>
      <c r="D2513" t="s">
        <v>269</v>
      </c>
      <c r="E2513" t="s">
        <v>270</v>
      </c>
      <c r="F2513">
        <v>40.53</v>
      </c>
      <c r="G2513">
        <v>231005</v>
      </c>
      <c r="H2513">
        <v>4362</v>
      </c>
      <c r="I2513" t="s">
        <v>79</v>
      </c>
      <c r="J2513">
        <v>50.26</v>
      </c>
      <c r="K2513">
        <v>9.73</v>
      </c>
      <c r="L2513">
        <v>14952</v>
      </c>
      <c r="M2513" t="s">
        <v>99</v>
      </c>
      <c r="N2513" t="str">
        <f>"23327219    "</f>
        <v xml:space="preserve">23327219    </v>
      </c>
      <c r="O2513">
        <v>231013</v>
      </c>
    </row>
    <row r="2514" spans="1:15" x14ac:dyDescent="0.25">
      <c r="A2514" t="s">
        <v>16</v>
      </c>
      <c r="B2514" t="s">
        <v>3221</v>
      </c>
      <c r="C2514">
        <v>15407</v>
      </c>
      <c r="D2514" t="s">
        <v>269</v>
      </c>
      <c r="E2514" t="s">
        <v>270</v>
      </c>
      <c r="F2514">
        <v>6.19</v>
      </c>
      <c r="G2514">
        <v>231108</v>
      </c>
      <c r="H2514">
        <v>4362</v>
      </c>
      <c r="I2514" t="s">
        <v>79</v>
      </c>
      <c r="J2514">
        <v>7.68</v>
      </c>
      <c r="K2514">
        <v>1.49</v>
      </c>
      <c r="L2514">
        <v>69501</v>
      </c>
      <c r="M2514" t="s">
        <v>185</v>
      </c>
      <c r="N2514" t="str">
        <f>"12313159999 "</f>
        <v xml:space="preserve">12313159999 </v>
      </c>
      <c r="O2514">
        <v>231113</v>
      </c>
    </row>
    <row r="2515" spans="1:15" x14ac:dyDescent="0.25">
      <c r="A2515" t="s">
        <v>16</v>
      </c>
      <c r="B2515" t="s">
        <v>3221</v>
      </c>
      <c r="C2515">
        <v>15536</v>
      </c>
      <c r="D2515" t="s">
        <v>269</v>
      </c>
      <c r="E2515" t="s">
        <v>270</v>
      </c>
      <c r="F2515">
        <v>20.27</v>
      </c>
      <c r="G2515">
        <v>231106</v>
      </c>
      <c r="H2515">
        <v>4362</v>
      </c>
      <c r="I2515" t="s">
        <v>79</v>
      </c>
      <c r="J2515">
        <v>25.13</v>
      </c>
      <c r="K2515">
        <v>4.8600000000000003</v>
      </c>
      <c r="L2515">
        <v>11401</v>
      </c>
      <c r="M2515" t="s">
        <v>84</v>
      </c>
      <c r="N2515" t="str">
        <f>"23362168    "</f>
        <v xml:space="preserve">23362168    </v>
      </c>
      <c r="O2515">
        <v>231113</v>
      </c>
    </row>
    <row r="2516" spans="1:15" x14ac:dyDescent="0.25">
      <c r="A2516" t="s">
        <v>16</v>
      </c>
      <c r="B2516" t="s">
        <v>3221</v>
      </c>
      <c r="C2516">
        <v>15536</v>
      </c>
      <c r="D2516" t="s">
        <v>269</v>
      </c>
      <c r="E2516" t="s">
        <v>270</v>
      </c>
      <c r="F2516">
        <v>40.53</v>
      </c>
      <c r="G2516">
        <v>231106</v>
      </c>
      <c r="H2516">
        <v>4362</v>
      </c>
      <c r="I2516" t="s">
        <v>79</v>
      </c>
      <c r="J2516">
        <v>50.26</v>
      </c>
      <c r="K2516">
        <v>9.73</v>
      </c>
      <c r="L2516">
        <v>14952</v>
      </c>
      <c r="M2516" t="s">
        <v>99</v>
      </c>
      <c r="N2516" t="str">
        <f>"23362168    "</f>
        <v xml:space="preserve">23362168    </v>
      </c>
      <c r="O2516">
        <v>231113</v>
      </c>
    </row>
    <row r="2517" spans="1:15" x14ac:dyDescent="0.25">
      <c r="A2517" t="s">
        <v>16</v>
      </c>
      <c r="B2517" t="s">
        <v>3221</v>
      </c>
      <c r="C2517">
        <v>17337</v>
      </c>
      <c r="D2517" t="s">
        <v>269</v>
      </c>
      <c r="E2517" t="s">
        <v>270</v>
      </c>
      <c r="F2517">
        <v>20.27</v>
      </c>
      <c r="G2517">
        <v>231207</v>
      </c>
      <c r="H2517">
        <v>4362</v>
      </c>
      <c r="I2517" t="s">
        <v>79</v>
      </c>
      <c r="J2517">
        <v>25.13</v>
      </c>
      <c r="K2517">
        <v>4.8600000000000003</v>
      </c>
      <c r="L2517">
        <v>11401</v>
      </c>
      <c r="M2517" t="s">
        <v>84</v>
      </c>
      <c r="N2517" t="str">
        <f>"23397030    "</f>
        <v xml:space="preserve">23397030    </v>
      </c>
      <c r="O2517">
        <v>231213</v>
      </c>
    </row>
    <row r="2518" spans="1:15" x14ac:dyDescent="0.25">
      <c r="A2518" t="s">
        <v>16</v>
      </c>
      <c r="B2518" t="s">
        <v>3221</v>
      </c>
      <c r="C2518">
        <v>17337</v>
      </c>
      <c r="D2518" t="s">
        <v>269</v>
      </c>
      <c r="E2518" t="s">
        <v>270</v>
      </c>
      <c r="F2518">
        <v>40.53</v>
      </c>
      <c r="G2518">
        <v>231207</v>
      </c>
      <c r="H2518">
        <v>4362</v>
      </c>
      <c r="I2518" t="s">
        <v>79</v>
      </c>
      <c r="J2518">
        <v>50.26</v>
      </c>
      <c r="K2518">
        <v>9.73</v>
      </c>
      <c r="L2518">
        <v>14952</v>
      </c>
      <c r="M2518" t="s">
        <v>99</v>
      </c>
      <c r="N2518" t="str">
        <f>"23397030    "</f>
        <v xml:space="preserve">23397030    </v>
      </c>
      <c r="O2518">
        <v>231213</v>
      </c>
    </row>
    <row r="2519" spans="1:15" x14ac:dyDescent="0.25">
      <c r="A2519" t="s">
        <v>16</v>
      </c>
      <c r="B2519" t="s">
        <v>3221</v>
      </c>
      <c r="C2519">
        <v>17519</v>
      </c>
      <c r="D2519" t="s">
        <v>269</v>
      </c>
      <c r="E2519" t="s">
        <v>270</v>
      </c>
      <c r="F2519">
        <v>5.24</v>
      </c>
      <c r="G2519">
        <v>231207</v>
      </c>
      <c r="H2519">
        <v>4362</v>
      </c>
      <c r="I2519" t="s">
        <v>79</v>
      </c>
      <c r="J2519">
        <v>6.5</v>
      </c>
      <c r="K2519">
        <v>1.26</v>
      </c>
      <c r="L2519">
        <v>69501</v>
      </c>
      <c r="M2519" t="s">
        <v>185</v>
      </c>
      <c r="N2519" t="str">
        <f>"12314240155 "</f>
        <v xml:space="preserve">12314240155 </v>
      </c>
      <c r="O2519">
        <v>231215</v>
      </c>
    </row>
    <row r="2520" spans="1:15" x14ac:dyDescent="0.25">
      <c r="A2520" t="s">
        <v>16</v>
      </c>
      <c r="B2520" t="s">
        <v>3221</v>
      </c>
      <c r="C2520">
        <v>19198</v>
      </c>
      <c r="D2520" t="s">
        <v>269</v>
      </c>
      <c r="E2520" t="s">
        <v>270</v>
      </c>
      <c r="F2520">
        <v>5.72</v>
      </c>
      <c r="G2520">
        <v>240108</v>
      </c>
      <c r="H2520">
        <v>4362</v>
      </c>
      <c r="I2520" t="s">
        <v>79</v>
      </c>
      <c r="J2520">
        <v>7.09</v>
      </c>
      <c r="K2520">
        <v>1.37</v>
      </c>
      <c r="L2520">
        <v>69501</v>
      </c>
      <c r="M2520" t="s">
        <v>185</v>
      </c>
      <c r="N2520" t="str">
        <f>"12400222263 "</f>
        <v xml:space="preserve">12400222263 </v>
      </c>
      <c r="O2520">
        <v>240112</v>
      </c>
    </row>
    <row r="2521" spans="1:15" x14ac:dyDescent="0.25">
      <c r="A2521" t="s">
        <v>16</v>
      </c>
      <c r="B2521" t="s">
        <v>3221</v>
      </c>
      <c r="C2521">
        <v>12870</v>
      </c>
      <c r="D2521" t="s">
        <v>1758</v>
      </c>
      <c r="E2521" t="s">
        <v>1759</v>
      </c>
      <c r="F2521">
        <v>96.53</v>
      </c>
      <c r="G2521">
        <v>230921</v>
      </c>
      <c r="H2521">
        <v>4600</v>
      </c>
      <c r="I2521" t="s">
        <v>105</v>
      </c>
      <c r="J2521">
        <v>119.7</v>
      </c>
      <c r="K2521">
        <v>23.17</v>
      </c>
      <c r="L2521">
        <v>56528</v>
      </c>
      <c r="M2521" t="s">
        <v>153</v>
      </c>
      <c r="N2521" t="str">
        <f>"18188       "</f>
        <v xml:space="preserve">18188       </v>
      </c>
      <c r="O2521">
        <v>230928</v>
      </c>
    </row>
    <row r="2522" spans="1:15" x14ac:dyDescent="0.25">
      <c r="A2522" t="s">
        <v>16</v>
      </c>
      <c r="B2522" t="s">
        <v>3221</v>
      </c>
      <c r="C2522">
        <v>4839</v>
      </c>
      <c r="D2522" t="s">
        <v>1758</v>
      </c>
      <c r="E2522" t="s">
        <v>1759</v>
      </c>
      <c r="F2522">
        <v>68.63</v>
      </c>
      <c r="G2522">
        <v>230404</v>
      </c>
      <c r="H2522">
        <v>4590</v>
      </c>
      <c r="I2522" t="s">
        <v>203</v>
      </c>
      <c r="J2522">
        <v>85.1</v>
      </c>
      <c r="K2522">
        <v>16.47</v>
      </c>
      <c r="L2522">
        <v>17638</v>
      </c>
      <c r="M2522" t="s">
        <v>765</v>
      </c>
      <c r="N2522" t="str">
        <f>"17472       "</f>
        <v xml:space="preserve">17472       </v>
      </c>
      <c r="O2522">
        <v>230413</v>
      </c>
    </row>
    <row r="2523" spans="1:15" x14ac:dyDescent="0.25">
      <c r="A2523" t="s">
        <v>16</v>
      </c>
      <c r="B2523" t="s">
        <v>3221</v>
      </c>
      <c r="C2523">
        <v>19241</v>
      </c>
      <c r="D2523" t="s">
        <v>3172</v>
      </c>
      <c r="E2523" t="s">
        <v>3173</v>
      </c>
      <c r="F2523">
        <v>19400</v>
      </c>
      <c r="G2523">
        <v>231231</v>
      </c>
      <c r="H2523">
        <v>1196</v>
      </c>
      <c r="I2523" t="s">
        <v>392</v>
      </c>
      <c r="J2523">
        <v>24056</v>
      </c>
      <c r="K2523">
        <v>4656</v>
      </c>
      <c r="L2523">
        <v>97602</v>
      </c>
      <c r="M2523" t="s">
        <v>2028</v>
      </c>
      <c r="N2523" t="str">
        <f>"6123120382  "</f>
        <v xml:space="preserve">6123120382  </v>
      </c>
      <c r="O2523">
        <v>240115</v>
      </c>
    </row>
    <row r="2524" spans="1:15" x14ac:dyDescent="0.25">
      <c r="A2524" t="s">
        <v>16</v>
      </c>
      <c r="B2524" t="s">
        <v>3221</v>
      </c>
      <c r="C2524">
        <v>18822</v>
      </c>
      <c r="D2524" t="s">
        <v>332</v>
      </c>
      <c r="E2524" t="s">
        <v>333</v>
      </c>
      <c r="F2524">
        <v>2480.06</v>
      </c>
      <c r="G2524">
        <v>231228</v>
      </c>
      <c r="H2524">
        <v>4580</v>
      </c>
      <c r="I2524" t="s">
        <v>35</v>
      </c>
      <c r="J2524">
        <v>3075.28</v>
      </c>
      <c r="K2524">
        <v>595.22</v>
      </c>
      <c r="L2524">
        <v>54222</v>
      </c>
      <c r="M2524" t="s">
        <v>308</v>
      </c>
      <c r="N2524" t="str">
        <f>"1495        "</f>
        <v xml:space="preserve">1495        </v>
      </c>
      <c r="O2524">
        <v>240108</v>
      </c>
    </row>
    <row r="2525" spans="1:15" x14ac:dyDescent="0.25">
      <c r="A2525" t="s">
        <v>16</v>
      </c>
      <c r="B2525" t="s">
        <v>3221</v>
      </c>
      <c r="C2525">
        <v>18822</v>
      </c>
      <c r="D2525" t="s">
        <v>332</v>
      </c>
      <c r="E2525" t="s">
        <v>333</v>
      </c>
      <c r="F2525">
        <v>2170.06</v>
      </c>
      <c r="G2525">
        <v>231228</v>
      </c>
      <c r="H2525">
        <v>4580</v>
      </c>
      <c r="I2525" t="s">
        <v>35</v>
      </c>
      <c r="J2525">
        <v>2690.88</v>
      </c>
      <c r="K2525">
        <v>520.82000000000005</v>
      </c>
      <c r="L2525">
        <v>54252</v>
      </c>
      <c r="M2525" t="s">
        <v>534</v>
      </c>
      <c r="N2525" t="str">
        <f>"1495        "</f>
        <v xml:space="preserve">1495        </v>
      </c>
      <c r="O2525">
        <v>240108</v>
      </c>
    </row>
    <row r="2526" spans="1:15" x14ac:dyDescent="0.25">
      <c r="A2526" t="s">
        <v>16</v>
      </c>
      <c r="B2526" t="s">
        <v>3221</v>
      </c>
      <c r="C2526">
        <v>212</v>
      </c>
      <c r="D2526" t="s">
        <v>332</v>
      </c>
      <c r="E2526" t="s">
        <v>333</v>
      </c>
      <c r="F2526">
        <v>240.1</v>
      </c>
      <c r="G2526">
        <v>230110</v>
      </c>
      <c r="H2526">
        <v>4600</v>
      </c>
      <c r="I2526" t="s">
        <v>105</v>
      </c>
      <c r="J2526">
        <v>297.73</v>
      </c>
      <c r="K2526">
        <v>57.63</v>
      </c>
      <c r="L2526">
        <v>54222</v>
      </c>
      <c r="M2526" t="s">
        <v>308</v>
      </c>
      <c r="N2526" t="str">
        <f>"1126        "</f>
        <v xml:space="preserve">1126        </v>
      </c>
      <c r="O2526">
        <v>230116</v>
      </c>
    </row>
    <row r="2527" spans="1:15" x14ac:dyDescent="0.25">
      <c r="A2527" t="s">
        <v>16</v>
      </c>
      <c r="B2527" t="s">
        <v>3221</v>
      </c>
      <c r="C2527">
        <v>373</v>
      </c>
      <c r="D2527" t="s">
        <v>332</v>
      </c>
      <c r="E2527" t="s">
        <v>333</v>
      </c>
      <c r="F2527">
        <v>686.2</v>
      </c>
      <c r="G2527">
        <v>230117</v>
      </c>
      <c r="H2527">
        <v>4600</v>
      </c>
      <c r="I2527" t="s">
        <v>105</v>
      </c>
      <c r="J2527">
        <v>850.89</v>
      </c>
      <c r="K2527">
        <v>164.69</v>
      </c>
      <c r="L2527">
        <v>44422</v>
      </c>
      <c r="M2527" t="s">
        <v>482</v>
      </c>
      <c r="N2527" t="str">
        <f>"1130        "</f>
        <v xml:space="preserve">1130        </v>
      </c>
      <c r="O2527">
        <v>230119</v>
      </c>
    </row>
    <row r="2528" spans="1:15" x14ac:dyDescent="0.25">
      <c r="A2528" t="s">
        <v>16</v>
      </c>
      <c r="B2528" t="s">
        <v>3221</v>
      </c>
      <c r="C2528">
        <v>373</v>
      </c>
      <c r="D2528" t="s">
        <v>332</v>
      </c>
      <c r="E2528" t="s">
        <v>333</v>
      </c>
      <c r="F2528">
        <v>98.02</v>
      </c>
      <c r="G2528">
        <v>230117</v>
      </c>
      <c r="H2528">
        <v>4600</v>
      </c>
      <c r="I2528" t="s">
        <v>105</v>
      </c>
      <c r="J2528">
        <v>121.55</v>
      </c>
      <c r="K2528">
        <v>23.53</v>
      </c>
      <c r="L2528">
        <v>44453</v>
      </c>
      <c r="M2528" t="s">
        <v>492</v>
      </c>
      <c r="N2528" t="str">
        <f>"1130        "</f>
        <v xml:space="preserve">1130        </v>
      </c>
      <c r="O2528">
        <v>230119</v>
      </c>
    </row>
    <row r="2529" spans="1:15" x14ac:dyDescent="0.25">
      <c r="A2529" t="s">
        <v>16</v>
      </c>
      <c r="B2529" t="s">
        <v>3221</v>
      </c>
      <c r="C2529">
        <v>10982</v>
      </c>
      <c r="D2529" t="s">
        <v>332</v>
      </c>
      <c r="E2529" t="s">
        <v>333</v>
      </c>
      <c r="F2529">
        <v>3452.12</v>
      </c>
      <c r="G2529">
        <v>230821</v>
      </c>
      <c r="H2529">
        <v>4600</v>
      </c>
      <c r="I2529" t="s">
        <v>105</v>
      </c>
      <c r="J2529">
        <v>4280.63</v>
      </c>
      <c r="K2529">
        <v>828.51</v>
      </c>
      <c r="L2529">
        <v>54222</v>
      </c>
      <c r="M2529" t="s">
        <v>308</v>
      </c>
      <c r="N2529" t="str">
        <f>"1367        "</f>
        <v xml:space="preserve">1367        </v>
      </c>
      <c r="O2529">
        <v>230825</v>
      </c>
    </row>
    <row r="2530" spans="1:15" x14ac:dyDescent="0.25">
      <c r="A2530" t="s">
        <v>16</v>
      </c>
      <c r="B2530" t="s">
        <v>3221</v>
      </c>
      <c r="C2530">
        <v>7624</v>
      </c>
      <c r="D2530" t="s">
        <v>33</v>
      </c>
      <c r="E2530" t="s">
        <v>34</v>
      </c>
      <c r="F2530">
        <v>1173</v>
      </c>
      <c r="G2530">
        <v>230516</v>
      </c>
      <c r="H2530">
        <v>4341</v>
      </c>
      <c r="I2530" t="s">
        <v>32</v>
      </c>
      <c r="J2530">
        <v>1454.52</v>
      </c>
      <c r="K2530">
        <v>281.52</v>
      </c>
      <c r="L2530">
        <v>47522</v>
      </c>
      <c r="M2530" t="s">
        <v>410</v>
      </c>
      <c r="N2530" t="str">
        <f>"835248      "</f>
        <v xml:space="preserve">835248      </v>
      </c>
      <c r="O2530">
        <v>230601</v>
      </c>
    </row>
    <row r="2531" spans="1:15" x14ac:dyDescent="0.25">
      <c r="A2531" t="s">
        <v>16</v>
      </c>
      <c r="B2531" t="s">
        <v>3221</v>
      </c>
      <c r="C2531">
        <v>10922</v>
      </c>
      <c r="D2531" t="s">
        <v>33</v>
      </c>
      <c r="E2531" t="s">
        <v>34</v>
      </c>
      <c r="F2531">
        <v>79.39</v>
      </c>
      <c r="G2531">
        <v>230823</v>
      </c>
      <c r="H2531">
        <v>4341</v>
      </c>
      <c r="I2531" t="s">
        <v>32</v>
      </c>
      <c r="J2531">
        <v>98.44</v>
      </c>
      <c r="K2531">
        <v>19.05</v>
      </c>
      <c r="L2531">
        <v>56562</v>
      </c>
      <c r="M2531" t="s">
        <v>126</v>
      </c>
      <c r="N2531" t="str">
        <f>"859353      "</f>
        <v xml:space="preserve">859353      </v>
      </c>
      <c r="O2531">
        <v>230825</v>
      </c>
    </row>
    <row r="2532" spans="1:15" x14ac:dyDescent="0.25">
      <c r="A2532" t="s">
        <v>16</v>
      </c>
      <c r="B2532" t="s">
        <v>3221</v>
      </c>
      <c r="C2532">
        <v>11362</v>
      </c>
      <c r="D2532" t="s">
        <v>33</v>
      </c>
      <c r="E2532" t="s">
        <v>34</v>
      </c>
      <c r="F2532">
        <v>37.590000000000003</v>
      </c>
      <c r="G2532">
        <v>230830</v>
      </c>
      <c r="H2532">
        <v>4341</v>
      </c>
      <c r="I2532" t="s">
        <v>32</v>
      </c>
      <c r="J2532">
        <v>46.61</v>
      </c>
      <c r="K2532">
        <v>9.02</v>
      </c>
      <c r="L2532">
        <v>56564</v>
      </c>
      <c r="M2532" t="s">
        <v>327</v>
      </c>
      <c r="N2532" t="str">
        <f>"861387      "</f>
        <v xml:space="preserve">861387      </v>
      </c>
      <c r="O2532">
        <v>230904</v>
      </c>
    </row>
    <row r="2533" spans="1:15" x14ac:dyDescent="0.25">
      <c r="A2533" t="s">
        <v>16</v>
      </c>
      <c r="B2533" t="s">
        <v>3221</v>
      </c>
      <c r="C2533">
        <v>11448</v>
      </c>
      <c r="D2533" t="s">
        <v>33</v>
      </c>
      <c r="E2533" t="s">
        <v>34</v>
      </c>
      <c r="F2533">
        <v>138</v>
      </c>
      <c r="G2533">
        <v>230831</v>
      </c>
      <c r="H2533">
        <v>4341</v>
      </c>
      <c r="I2533" t="s">
        <v>32</v>
      </c>
      <c r="J2533">
        <v>171.12</v>
      </c>
      <c r="K2533">
        <v>33.119999999999997</v>
      </c>
      <c r="L2533">
        <v>56564</v>
      </c>
      <c r="M2533" t="s">
        <v>327</v>
      </c>
      <c r="N2533" t="str">
        <f>"861954      "</f>
        <v xml:space="preserve">861954      </v>
      </c>
      <c r="O2533">
        <v>230905</v>
      </c>
    </row>
    <row r="2534" spans="1:15" x14ac:dyDescent="0.25">
      <c r="A2534" t="s">
        <v>16</v>
      </c>
      <c r="B2534" t="s">
        <v>3221</v>
      </c>
      <c r="C2534">
        <v>12783</v>
      </c>
      <c r="D2534" t="s">
        <v>33</v>
      </c>
      <c r="E2534" t="s">
        <v>34</v>
      </c>
      <c r="F2534">
        <v>37.24</v>
      </c>
      <c r="G2534">
        <v>230916</v>
      </c>
      <c r="H2534">
        <v>4341</v>
      </c>
      <c r="I2534" t="s">
        <v>32</v>
      </c>
      <c r="J2534">
        <v>46.18</v>
      </c>
      <c r="K2534">
        <v>8.94</v>
      </c>
      <c r="L2534">
        <v>56558</v>
      </c>
      <c r="M2534" t="s">
        <v>217</v>
      </c>
      <c r="N2534" t="str">
        <f>"867008      "</f>
        <v xml:space="preserve">867008      </v>
      </c>
      <c r="O2534">
        <v>230926</v>
      </c>
    </row>
    <row r="2535" spans="1:15" x14ac:dyDescent="0.25">
      <c r="A2535" t="s">
        <v>16</v>
      </c>
      <c r="B2535" t="s">
        <v>3221</v>
      </c>
      <c r="C2535">
        <v>13099</v>
      </c>
      <c r="D2535" t="s">
        <v>33</v>
      </c>
      <c r="E2535" t="s">
        <v>34</v>
      </c>
      <c r="F2535">
        <v>29</v>
      </c>
      <c r="G2535">
        <v>230926</v>
      </c>
      <c r="H2535">
        <v>4341</v>
      </c>
      <c r="I2535" t="s">
        <v>32</v>
      </c>
      <c r="J2535">
        <v>35.96</v>
      </c>
      <c r="K2535">
        <v>6.96</v>
      </c>
      <c r="L2535">
        <v>56559</v>
      </c>
      <c r="M2535" t="s">
        <v>129</v>
      </c>
      <c r="N2535" t="str">
        <f>"870039      "</f>
        <v xml:space="preserve">870039      </v>
      </c>
      <c r="O2535">
        <v>231003</v>
      </c>
    </row>
    <row r="2536" spans="1:15" x14ac:dyDescent="0.25">
      <c r="A2536" t="s">
        <v>16</v>
      </c>
      <c r="B2536" t="s">
        <v>3221</v>
      </c>
      <c r="C2536">
        <v>15180</v>
      </c>
      <c r="D2536" t="s">
        <v>33</v>
      </c>
      <c r="E2536" t="s">
        <v>34</v>
      </c>
      <c r="F2536">
        <v>249.2</v>
      </c>
      <c r="G2536">
        <v>231023</v>
      </c>
      <c r="H2536">
        <v>4341</v>
      </c>
      <c r="I2536" t="s">
        <v>32</v>
      </c>
      <c r="J2536">
        <v>309.01</v>
      </c>
      <c r="K2536">
        <v>59.81</v>
      </c>
      <c r="L2536">
        <v>17530</v>
      </c>
      <c r="M2536" t="s">
        <v>454</v>
      </c>
      <c r="N2536" t="str">
        <f>"878410      "</f>
        <v xml:space="preserve">878410      </v>
      </c>
      <c r="O2536">
        <v>231109</v>
      </c>
    </row>
    <row r="2537" spans="1:15" x14ac:dyDescent="0.25">
      <c r="A2537" t="s">
        <v>16</v>
      </c>
      <c r="B2537" t="s">
        <v>3221</v>
      </c>
      <c r="C2537">
        <v>15250</v>
      </c>
      <c r="D2537" t="s">
        <v>33</v>
      </c>
      <c r="E2537" t="s">
        <v>34</v>
      </c>
      <c r="F2537">
        <v>24.12</v>
      </c>
      <c r="G2537">
        <v>231026</v>
      </c>
      <c r="H2537">
        <v>4341</v>
      </c>
      <c r="I2537" t="s">
        <v>32</v>
      </c>
      <c r="J2537">
        <v>29.91</v>
      </c>
      <c r="K2537">
        <v>5.79</v>
      </c>
      <c r="L2537">
        <v>17802</v>
      </c>
      <c r="M2537" t="s">
        <v>174</v>
      </c>
      <c r="N2537" t="str">
        <f>"880008      "</f>
        <v xml:space="preserve">880008      </v>
      </c>
      <c r="O2537">
        <v>231109</v>
      </c>
    </row>
    <row r="2538" spans="1:15" x14ac:dyDescent="0.25">
      <c r="A2538" t="s">
        <v>16</v>
      </c>
      <c r="B2538" t="s">
        <v>3221</v>
      </c>
      <c r="C2538">
        <v>16086</v>
      </c>
      <c r="D2538" t="s">
        <v>33</v>
      </c>
      <c r="E2538" t="s">
        <v>34</v>
      </c>
      <c r="F2538">
        <v>94.72</v>
      </c>
      <c r="G2538">
        <v>231109</v>
      </c>
      <c r="H2538">
        <v>4341</v>
      </c>
      <c r="I2538" t="s">
        <v>32</v>
      </c>
      <c r="J2538">
        <v>117.45</v>
      </c>
      <c r="K2538">
        <v>22.73</v>
      </c>
      <c r="L2538">
        <v>17802</v>
      </c>
      <c r="M2538" t="s">
        <v>174</v>
      </c>
      <c r="N2538" t="str">
        <f>"885085      "</f>
        <v xml:space="preserve">885085      </v>
      </c>
      <c r="O2538">
        <v>231122</v>
      </c>
    </row>
    <row r="2539" spans="1:15" x14ac:dyDescent="0.25">
      <c r="A2539" t="s">
        <v>16</v>
      </c>
      <c r="B2539" t="s">
        <v>3221</v>
      </c>
      <c r="C2539">
        <v>18393</v>
      </c>
      <c r="D2539" t="s">
        <v>33</v>
      </c>
      <c r="E2539" t="s">
        <v>34</v>
      </c>
      <c r="F2539">
        <v>76.72</v>
      </c>
      <c r="G2539">
        <v>231213</v>
      </c>
      <c r="H2539">
        <v>4341</v>
      </c>
      <c r="I2539" t="s">
        <v>32</v>
      </c>
      <c r="J2539">
        <v>95.13</v>
      </c>
      <c r="K2539">
        <v>18.41</v>
      </c>
      <c r="L2539">
        <v>17521</v>
      </c>
      <c r="M2539" t="s">
        <v>133</v>
      </c>
      <c r="N2539" t="str">
        <f>"895307      "</f>
        <v xml:space="preserve">895307      </v>
      </c>
      <c r="O2539">
        <v>240103</v>
      </c>
    </row>
    <row r="2540" spans="1:15" x14ac:dyDescent="0.25">
      <c r="A2540" t="s">
        <v>16</v>
      </c>
      <c r="B2540" t="s">
        <v>3221</v>
      </c>
      <c r="C2540">
        <v>13847</v>
      </c>
      <c r="D2540" t="s">
        <v>33</v>
      </c>
      <c r="E2540" t="s">
        <v>34</v>
      </c>
      <c r="F2540">
        <v>138</v>
      </c>
      <c r="G2540">
        <v>231003</v>
      </c>
      <c r="H2540">
        <v>4532</v>
      </c>
      <c r="I2540" t="s">
        <v>116</v>
      </c>
      <c r="J2540">
        <v>171.12</v>
      </c>
      <c r="K2540">
        <v>33.119999999999997</v>
      </c>
      <c r="L2540">
        <v>56562</v>
      </c>
      <c r="M2540" t="s">
        <v>126</v>
      </c>
      <c r="N2540" t="str">
        <f>"872477      "</f>
        <v xml:space="preserve">872477      </v>
      </c>
      <c r="O2540">
        <v>231013</v>
      </c>
    </row>
    <row r="2541" spans="1:15" x14ac:dyDescent="0.25">
      <c r="A2541" t="s">
        <v>16</v>
      </c>
      <c r="B2541" t="s">
        <v>3221</v>
      </c>
      <c r="C2541">
        <v>11041</v>
      </c>
      <c r="D2541" t="s">
        <v>33</v>
      </c>
      <c r="E2541" t="s">
        <v>34</v>
      </c>
      <c r="F2541">
        <v>58</v>
      </c>
      <c r="G2541">
        <v>230812</v>
      </c>
      <c r="H2541">
        <v>4362</v>
      </c>
      <c r="I2541" t="s">
        <v>79</v>
      </c>
      <c r="J2541">
        <v>71.92</v>
      </c>
      <c r="K2541">
        <v>13.92</v>
      </c>
      <c r="L2541">
        <v>17521</v>
      </c>
      <c r="M2541" t="s">
        <v>133</v>
      </c>
      <c r="N2541" t="str">
        <f>"856134      "</f>
        <v xml:space="preserve">856134      </v>
      </c>
      <c r="O2541">
        <v>230828</v>
      </c>
    </row>
    <row r="2542" spans="1:15" x14ac:dyDescent="0.25">
      <c r="A2542" t="s">
        <v>16</v>
      </c>
      <c r="B2542" t="s">
        <v>3221</v>
      </c>
      <c r="C2542">
        <v>46</v>
      </c>
      <c r="D2542" t="s">
        <v>33</v>
      </c>
      <c r="E2542" t="s">
        <v>34</v>
      </c>
      <c r="F2542">
        <v>9.9</v>
      </c>
      <c r="G2542">
        <v>230102</v>
      </c>
      <c r="H2542">
        <v>4580</v>
      </c>
      <c r="I2542" t="s">
        <v>35</v>
      </c>
      <c r="J2542">
        <v>12.28</v>
      </c>
      <c r="K2542">
        <v>2.38</v>
      </c>
      <c r="L2542">
        <v>11901</v>
      </c>
      <c r="M2542" t="s">
        <v>36</v>
      </c>
      <c r="N2542" t="str">
        <f>"795118      "</f>
        <v xml:space="preserve">795118      </v>
      </c>
      <c r="O2542">
        <v>230104</v>
      </c>
    </row>
    <row r="2543" spans="1:15" x14ac:dyDescent="0.25">
      <c r="A2543" t="s">
        <v>16</v>
      </c>
      <c r="B2543" t="s">
        <v>3221</v>
      </c>
      <c r="C2543">
        <v>204</v>
      </c>
      <c r="D2543" t="s">
        <v>33</v>
      </c>
      <c r="E2543" t="s">
        <v>34</v>
      </c>
      <c r="F2543">
        <v>131.41999999999999</v>
      </c>
      <c r="G2543">
        <v>230104</v>
      </c>
      <c r="H2543">
        <v>4580</v>
      </c>
      <c r="I2543" t="s">
        <v>35</v>
      </c>
      <c r="J2543">
        <v>162.96</v>
      </c>
      <c r="K2543">
        <v>31.54</v>
      </c>
      <c r="L2543">
        <v>17538</v>
      </c>
      <c r="M2543" t="s">
        <v>24</v>
      </c>
      <c r="N2543" t="str">
        <f>"795910      "</f>
        <v xml:space="preserve">795910      </v>
      </c>
      <c r="O2543">
        <v>230116</v>
      </c>
    </row>
    <row r="2544" spans="1:15" x14ac:dyDescent="0.25">
      <c r="A2544" t="s">
        <v>16</v>
      </c>
      <c r="B2544" t="s">
        <v>3221</v>
      </c>
      <c r="C2544">
        <v>204</v>
      </c>
      <c r="D2544" t="s">
        <v>33</v>
      </c>
      <c r="E2544" t="s">
        <v>34</v>
      </c>
      <c r="F2544">
        <v>131.41999999999999</v>
      </c>
      <c r="G2544">
        <v>230104</v>
      </c>
      <c r="H2544">
        <v>4580</v>
      </c>
      <c r="I2544" t="s">
        <v>35</v>
      </c>
      <c r="J2544">
        <v>162.96</v>
      </c>
      <c r="K2544">
        <v>31.54</v>
      </c>
      <c r="L2544">
        <v>17862</v>
      </c>
      <c r="M2544" t="s">
        <v>319</v>
      </c>
      <c r="N2544" t="str">
        <f>"795910      "</f>
        <v xml:space="preserve">795910      </v>
      </c>
      <c r="O2544">
        <v>230116</v>
      </c>
    </row>
    <row r="2545" spans="1:15" x14ac:dyDescent="0.25">
      <c r="A2545" t="s">
        <v>16</v>
      </c>
      <c r="B2545" t="s">
        <v>3221</v>
      </c>
      <c r="C2545">
        <v>206</v>
      </c>
      <c r="D2545" t="s">
        <v>33</v>
      </c>
      <c r="E2545" t="s">
        <v>34</v>
      </c>
      <c r="F2545">
        <v>109</v>
      </c>
      <c r="G2545">
        <v>230105</v>
      </c>
      <c r="H2545">
        <v>4580</v>
      </c>
      <c r="I2545" t="s">
        <v>35</v>
      </c>
      <c r="J2545">
        <v>135.16</v>
      </c>
      <c r="K2545">
        <v>26.16</v>
      </c>
      <c r="L2545">
        <v>17971</v>
      </c>
      <c r="M2545" t="s">
        <v>138</v>
      </c>
      <c r="N2545" t="str">
        <f>"796326      "</f>
        <v xml:space="preserve">796326      </v>
      </c>
      <c r="O2545">
        <v>230116</v>
      </c>
    </row>
    <row r="2546" spans="1:15" x14ac:dyDescent="0.25">
      <c r="A2546" t="s">
        <v>16</v>
      </c>
      <c r="B2546" t="s">
        <v>3221</v>
      </c>
      <c r="C2546">
        <v>210</v>
      </c>
      <c r="D2546" t="s">
        <v>33</v>
      </c>
      <c r="E2546" t="s">
        <v>34</v>
      </c>
      <c r="F2546">
        <v>239.9</v>
      </c>
      <c r="G2546">
        <v>230109</v>
      </c>
      <c r="H2546">
        <v>4580</v>
      </c>
      <c r="I2546" t="s">
        <v>35</v>
      </c>
      <c r="J2546">
        <v>297.48</v>
      </c>
      <c r="K2546">
        <v>57.58</v>
      </c>
      <c r="L2546">
        <v>18120</v>
      </c>
      <c r="M2546" t="s">
        <v>329</v>
      </c>
      <c r="N2546" t="str">
        <f>"797052      "</f>
        <v xml:space="preserve">797052      </v>
      </c>
      <c r="O2546">
        <v>230116</v>
      </c>
    </row>
    <row r="2547" spans="1:15" x14ac:dyDescent="0.25">
      <c r="A2547" t="s">
        <v>16</v>
      </c>
      <c r="B2547" t="s">
        <v>3221</v>
      </c>
      <c r="C2547">
        <v>228</v>
      </c>
      <c r="D2547" t="s">
        <v>33</v>
      </c>
      <c r="E2547" t="s">
        <v>34</v>
      </c>
      <c r="F2547">
        <v>233.5</v>
      </c>
      <c r="G2547">
        <v>230110</v>
      </c>
      <c r="H2547">
        <v>4580</v>
      </c>
      <c r="I2547" t="s">
        <v>35</v>
      </c>
      <c r="J2547">
        <v>289.54000000000002</v>
      </c>
      <c r="K2547">
        <v>56.04</v>
      </c>
      <c r="L2547">
        <v>13561</v>
      </c>
      <c r="M2547" t="s">
        <v>246</v>
      </c>
      <c r="N2547" t="str">
        <f>"797511      "</f>
        <v xml:space="preserve">797511      </v>
      </c>
      <c r="O2547">
        <v>230116</v>
      </c>
    </row>
    <row r="2548" spans="1:15" x14ac:dyDescent="0.25">
      <c r="A2548" t="s">
        <v>16</v>
      </c>
      <c r="B2548" t="s">
        <v>3221</v>
      </c>
      <c r="C2548">
        <v>234</v>
      </c>
      <c r="D2548" t="s">
        <v>33</v>
      </c>
      <c r="E2548" t="s">
        <v>34</v>
      </c>
      <c r="F2548">
        <v>8.9</v>
      </c>
      <c r="G2548">
        <v>230111</v>
      </c>
      <c r="H2548">
        <v>4580</v>
      </c>
      <c r="I2548" t="s">
        <v>35</v>
      </c>
      <c r="J2548">
        <v>11.04</v>
      </c>
      <c r="K2548">
        <v>2.14</v>
      </c>
      <c r="L2548">
        <v>17535</v>
      </c>
      <c r="M2548" t="s">
        <v>357</v>
      </c>
      <c r="N2548" t="str">
        <f>"797783      "</f>
        <v xml:space="preserve">797783      </v>
      </c>
      <c r="O2548">
        <v>230116</v>
      </c>
    </row>
    <row r="2549" spans="1:15" x14ac:dyDescent="0.25">
      <c r="A2549" t="s">
        <v>16</v>
      </c>
      <c r="B2549" t="s">
        <v>3221</v>
      </c>
      <c r="C2549">
        <v>412</v>
      </c>
      <c r="D2549" t="s">
        <v>33</v>
      </c>
      <c r="E2549" t="s">
        <v>34</v>
      </c>
      <c r="F2549">
        <v>22.9</v>
      </c>
      <c r="G2549">
        <v>230118</v>
      </c>
      <c r="H2549">
        <v>4580</v>
      </c>
      <c r="I2549" t="s">
        <v>35</v>
      </c>
      <c r="J2549">
        <v>28.39</v>
      </c>
      <c r="K2549">
        <v>5.49</v>
      </c>
      <c r="L2549">
        <v>17805</v>
      </c>
      <c r="M2549" t="s">
        <v>102</v>
      </c>
      <c r="N2549" t="str">
        <f>"800110      "</f>
        <v xml:space="preserve">800110      </v>
      </c>
      <c r="O2549">
        <v>230120</v>
      </c>
    </row>
    <row r="2550" spans="1:15" x14ac:dyDescent="0.25">
      <c r="A2550" t="s">
        <v>16</v>
      </c>
      <c r="B2550" t="s">
        <v>3221</v>
      </c>
      <c r="C2550">
        <v>412</v>
      </c>
      <c r="D2550" t="s">
        <v>33</v>
      </c>
      <c r="E2550" t="s">
        <v>34</v>
      </c>
      <c r="F2550">
        <v>24.91</v>
      </c>
      <c r="G2550">
        <v>230118</v>
      </c>
      <c r="H2550">
        <v>4580</v>
      </c>
      <c r="I2550" t="s">
        <v>35</v>
      </c>
      <c r="J2550">
        <v>30.89</v>
      </c>
      <c r="K2550">
        <v>5.98</v>
      </c>
      <c r="L2550">
        <v>17807</v>
      </c>
      <c r="M2550" t="s">
        <v>318</v>
      </c>
      <c r="N2550" t="str">
        <f>"800110      "</f>
        <v xml:space="preserve">800110      </v>
      </c>
      <c r="O2550">
        <v>230120</v>
      </c>
    </row>
    <row r="2551" spans="1:15" x14ac:dyDescent="0.25">
      <c r="A2551" t="s">
        <v>16</v>
      </c>
      <c r="B2551" t="s">
        <v>3221</v>
      </c>
      <c r="C2551">
        <v>571</v>
      </c>
      <c r="D2551" t="s">
        <v>33</v>
      </c>
      <c r="E2551" t="s">
        <v>34</v>
      </c>
      <c r="F2551">
        <v>109</v>
      </c>
      <c r="G2551">
        <v>230123</v>
      </c>
      <c r="H2551">
        <v>4580</v>
      </c>
      <c r="I2551" t="s">
        <v>35</v>
      </c>
      <c r="J2551">
        <v>135.16</v>
      </c>
      <c r="K2551">
        <v>26.16</v>
      </c>
      <c r="L2551">
        <v>17972</v>
      </c>
      <c r="M2551" t="s">
        <v>248</v>
      </c>
      <c r="N2551" t="str">
        <f>"802017      "</f>
        <v xml:space="preserve">802017      </v>
      </c>
      <c r="O2551">
        <v>230124</v>
      </c>
    </row>
    <row r="2552" spans="1:15" x14ac:dyDescent="0.25">
      <c r="A2552" t="s">
        <v>16</v>
      </c>
      <c r="B2552" t="s">
        <v>3221</v>
      </c>
      <c r="C2552">
        <v>576</v>
      </c>
      <c r="D2552" t="s">
        <v>33</v>
      </c>
      <c r="E2552" t="s">
        <v>34</v>
      </c>
      <c r="F2552">
        <v>898.9</v>
      </c>
      <c r="G2552">
        <v>230123</v>
      </c>
      <c r="H2552">
        <v>4580</v>
      </c>
      <c r="I2552" t="s">
        <v>35</v>
      </c>
      <c r="J2552">
        <v>1114.6400000000001</v>
      </c>
      <c r="K2552">
        <v>215.74</v>
      </c>
      <c r="L2552">
        <v>16820</v>
      </c>
      <c r="M2552" t="s">
        <v>23</v>
      </c>
      <c r="N2552" t="str">
        <f>"801987      "</f>
        <v xml:space="preserve">801987      </v>
      </c>
      <c r="O2552">
        <v>230124</v>
      </c>
    </row>
    <row r="2553" spans="1:15" x14ac:dyDescent="0.25">
      <c r="A2553" t="s">
        <v>16</v>
      </c>
      <c r="B2553" t="s">
        <v>3221</v>
      </c>
      <c r="C2553">
        <v>717</v>
      </c>
      <c r="D2553" t="s">
        <v>33</v>
      </c>
      <c r="E2553" t="s">
        <v>34</v>
      </c>
      <c r="F2553">
        <v>394</v>
      </c>
      <c r="G2553">
        <v>230126</v>
      </c>
      <c r="H2553">
        <v>4580</v>
      </c>
      <c r="I2553" t="s">
        <v>35</v>
      </c>
      <c r="J2553">
        <v>488.56</v>
      </c>
      <c r="K2553">
        <v>94.56</v>
      </c>
      <c r="L2553">
        <v>16121</v>
      </c>
      <c r="M2553" t="s">
        <v>21</v>
      </c>
      <c r="N2553" t="str">
        <f>"803269      "</f>
        <v xml:space="preserve">803269      </v>
      </c>
      <c r="O2553">
        <v>230127</v>
      </c>
    </row>
    <row r="2554" spans="1:15" x14ac:dyDescent="0.25">
      <c r="A2554" t="s">
        <v>16</v>
      </c>
      <c r="B2554" t="s">
        <v>3221</v>
      </c>
      <c r="C2554">
        <v>788</v>
      </c>
      <c r="D2554" t="s">
        <v>33</v>
      </c>
      <c r="E2554" t="s">
        <v>34</v>
      </c>
      <c r="F2554">
        <v>155</v>
      </c>
      <c r="G2554">
        <v>230112</v>
      </c>
      <c r="H2554">
        <v>4580</v>
      </c>
      <c r="I2554" t="s">
        <v>35</v>
      </c>
      <c r="J2554">
        <v>192.2</v>
      </c>
      <c r="K2554">
        <v>37.200000000000003</v>
      </c>
      <c r="L2554">
        <v>13801</v>
      </c>
      <c r="M2554" t="s">
        <v>162</v>
      </c>
      <c r="N2554" t="str">
        <f>"798317      "</f>
        <v xml:space="preserve">798317      </v>
      </c>
      <c r="O2554">
        <v>230130</v>
      </c>
    </row>
    <row r="2555" spans="1:15" x14ac:dyDescent="0.25">
      <c r="A2555" t="s">
        <v>16</v>
      </c>
      <c r="B2555" t="s">
        <v>3221</v>
      </c>
      <c r="C2555">
        <v>793</v>
      </c>
      <c r="D2555" t="s">
        <v>33</v>
      </c>
      <c r="E2555" t="s">
        <v>34</v>
      </c>
      <c r="F2555">
        <v>119.5</v>
      </c>
      <c r="G2555">
        <v>230125</v>
      </c>
      <c r="H2555">
        <v>4580</v>
      </c>
      <c r="I2555" t="s">
        <v>35</v>
      </c>
      <c r="J2555">
        <v>148.18</v>
      </c>
      <c r="K2555">
        <v>28.68</v>
      </c>
      <c r="L2555">
        <v>13601</v>
      </c>
      <c r="M2555" t="s">
        <v>147</v>
      </c>
      <c r="N2555" t="str">
        <f>"802787      "</f>
        <v xml:space="preserve">802787      </v>
      </c>
      <c r="O2555">
        <v>230130</v>
      </c>
    </row>
    <row r="2556" spans="1:15" x14ac:dyDescent="0.25">
      <c r="A2556" t="s">
        <v>16</v>
      </c>
      <c r="B2556" t="s">
        <v>3221</v>
      </c>
      <c r="C2556">
        <v>794</v>
      </c>
      <c r="D2556" t="s">
        <v>33</v>
      </c>
      <c r="E2556" t="s">
        <v>34</v>
      </c>
      <c r="F2556">
        <v>72.33</v>
      </c>
      <c r="G2556">
        <v>230125</v>
      </c>
      <c r="H2556">
        <v>4580</v>
      </c>
      <c r="I2556" t="s">
        <v>35</v>
      </c>
      <c r="J2556">
        <v>89.69</v>
      </c>
      <c r="K2556">
        <v>17.36</v>
      </c>
      <c r="L2556">
        <v>13501</v>
      </c>
      <c r="M2556" t="s">
        <v>20</v>
      </c>
      <c r="N2556" t="str">
        <f>"802803      "</f>
        <v xml:space="preserve">802803      </v>
      </c>
      <c r="O2556">
        <v>230130</v>
      </c>
    </row>
    <row r="2557" spans="1:15" x14ac:dyDescent="0.25">
      <c r="A2557" t="s">
        <v>16</v>
      </c>
      <c r="B2557" t="s">
        <v>3221</v>
      </c>
      <c r="C2557">
        <v>794</v>
      </c>
      <c r="D2557" t="s">
        <v>33</v>
      </c>
      <c r="E2557" t="s">
        <v>34</v>
      </c>
      <c r="F2557">
        <v>72.33</v>
      </c>
      <c r="G2557">
        <v>230125</v>
      </c>
      <c r="H2557">
        <v>4580</v>
      </c>
      <c r="I2557" t="s">
        <v>35</v>
      </c>
      <c r="J2557">
        <v>89.69</v>
      </c>
      <c r="K2557">
        <v>17.36</v>
      </c>
      <c r="L2557">
        <v>16121</v>
      </c>
      <c r="M2557" t="s">
        <v>21</v>
      </c>
      <c r="N2557" t="str">
        <f>"802803      "</f>
        <v xml:space="preserve">802803      </v>
      </c>
      <c r="O2557">
        <v>230130</v>
      </c>
    </row>
    <row r="2558" spans="1:15" x14ac:dyDescent="0.25">
      <c r="A2558" t="s">
        <v>16</v>
      </c>
      <c r="B2558" t="s">
        <v>3221</v>
      </c>
      <c r="C2558">
        <v>794</v>
      </c>
      <c r="D2558" t="s">
        <v>33</v>
      </c>
      <c r="E2558" t="s">
        <v>34</v>
      </c>
      <c r="F2558">
        <v>72.34</v>
      </c>
      <c r="G2558">
        <v>230125</v>
      </c>
      <c r="H2558">
        <v>4580</v>
      </c>
      <c r="I2558" t="s">
        <v>35</v>
      </c>
      <c r="J2558">
        <v>89.7</v>
      </c>
      <c r="K2558">
        <v>17.36</v>
      </c>
      <c r="L2558">
        <v>17538</v>
      </c>
      <c r="M2558" t="s">
        <v>24</v>
      </c>
      <c r="N2558" t="str">
        <f>"802803      "</f>
        <v xml:space="preserve">802803      </v>
      </c>
      <c r="O2558">
        <v>230130</v>
      </c>
    </row>
    <row r="2559" spans="1:15" x14ac:dyDescent="0.25">
      <c r="A2559" t="s">
        <v>16</v>
      </c>
      <c r="B2559" t="s">
        <v>3221</v>
      </c>
      <c r="C2559">
        <v>863</v>
      </c>
      <c r="D2559" t="s">
        <v>33</v>
      </c>
      <c r="E2559" t="s">
        <v>34</v>
      </c>
      <c r="F2559">
        <v>271.25</v>
      </c>
      <c r="G2559">
        <v>230127</v>
      </c>
      <c r="H2559">
        <v>4580</v>
      </c>
      <c r="I2559" t="s">
        <v>35</v>
      </c>
      <c r="J2559">
        <v>336.35</v>
      </c>
      <c r="K2559">
        <v>65.099999999999994</v>
      </c>
      <c r="L2559">
        <v>17951</v>
      </c>
      <c r="M2559" t="s">
        <v>87</v>
      </c>
      <c r="N2559" t="str">
        <f>"803643      "</f>
        <v xml:space="preserve">803643      </v>
      </c>
      <c r="O2559">
        <v>230131</v>
      </c>
    </row>
    <row r="2560" spans="1:15" x14ac:dyDescent="0.25">
      <c r="A2560" t="s">
        <v>16</v>
      </c>
      <c r="B2560" t="s">
        <v>3221</v>
      </c>
      <c r="C2560">
        <v>917</v>
      </c>
      <c r="D2560" t="s">
        <v>33</v>
      </c>
      <c r="E2560" t="s">
        <v>34</v>
      </c>
      <c r="F2560">
        <v>6.84</v>
      </c>
      <c r="G2560">
        <v>230126</v>
      </c>
      <c r="H2560">
        <v>4580</v>
      </c>
      <c r="I2560" t="s">
        <v>35</v>
      </c>
      <c r="J2560">
        <v>8.48</v>
      </c>
      <c r="K2560">
        <v>1.64</v>
      </c>
      <c r="L2560">
        <v>56558</v>
      </c>
      <c r="M2560" t="s">
        <v>217</v>
      </c>
      <c r="N2560" t="str">
        <f>"803327      "</f>
        <v xml:space="preserve">803327      </v>
      </c>
      <c r="O2560">
        <v>230201</v>
      </c>
    </row>
    <row r="2561" spans="1:15" x14ac:dyDescent="0.25">
      <c r="A2561" t="s">
        <v>16</v>
      </c>
      <c r="B2561" t="s">
        <v>3221</v>
      </c>
      <c r="C2561">
        <v>921</v>
      </c>
      <c r="D2561" t="s">
        <v>33</v>
      </c>
      <c r="E2561" t="s">
        <v>34</v>
      </c>
      <c r="F2561">
        <v>5.95</v>
      </c>
      <c r="G2561">
        <v>230125</v>
      </c>
      <c r="H2561">
        <v>4580</v>
      </c>
      <c r="I2561" t="s">
        <v>35</v>
      </c>
      <c r="J2561">
        <v>7.38</v>
      </c>
      <c r="K2561">
        <v>1.43</v>
      </c>
      <c r="L2561">
        <v>13561</v>
      </c>
      <c r="M2561" t="s">
        <v>246</v>
      </c>
      <c r="N2561" t="str">
        <f>"802777      "</f>
        <v xml:space="preserve">802777      </v>
      </c>
      <c r="O2561">
        <v>230201</v>
      </c>
    </row>
    <row r="2562" spans="1:15" x14ac:dyDescent="0.25">
      <c r="A2562" t="s">
        <v>16</v>
      </c>
      <c r="B2562" t="s">
        <v>3221</v>
      </c>
      <c r="C2562">
        <v>921</v>
      </c>
      <c r="D2562" t="s">
        <v>33</v>
      </c>
      <c r="E2562" t="s">
        <v>34</v>
      </c>
      <c r="F2562">
        <v>5.95</v>
      </c>
      <c r="G2562">
        <v>230125</v>
      </c>
      <c r="H2562">
        <v>4580</v>
      </c>
      <c r="I2562" t="s">
        <v>35</v>
      </c>
      <c r="J2562">
        <v>7.38</v>
      </c>
      <c r="K2562">
        <v>1.43</v>
      </c>
      <c r="L2562">
        <v>17971</v>
      </c>
      <c r="M2562" t="s">
        <v>138</v>
      </c>
      <c r="N2562" t="str">
        <f>"802777      "</f>
        <v xml:space="preserve">802777      </v>
      </c>
      <c r="O2562">
        <v>230201</v>
      </c>
    </row>
    <row r="2563" spans="1:15" x14ac:dyDescent="0.25">
      <c r="A2563" t="s">
        <v>16</v>
      </c>
      <c r="B2563" t="s">
        <v>3221</v>
      </c>
      <c r="C2563">
        <v>921</v>
      </c>
      <c r="D2563" t="s">
        <v>33</v>
      </c>
      <c r="E2563" t="s">
        <v>34</v>
      </c>
      <c r="F2563">
        <v>5.96</v>
      </c>
      <c r="G2563">
        <v>230125</v>
      </c>
      <c r="H2563">
        <v>4580</v>
      </c>
      <c r="I2563" t="s">
        <v>35</v>
      </c>
      <c r="J2563">
        <v>7.39</v>
      </c>
      <c r="K2563">
        <v>1.43</v>
      </c>
      <c r="L2563">
        <v>17971</v>
      </c>
      <c r="M2563" t="s">
        <v>138</v>
      </c>
      <c r="N2563" t="str">
        <f>"802777      "</f>
        <v xml:space="preserve">802777      </v>
      </c>
      <c r="O2563">
        <v>230201</v>
      </c>
    </row>
    <row r="2564" spans="1:15" x14ac:dyDescent="0.25">
      <c r="A2564" t="s">
        <v>16</v>
      </c>
      <c r="B2564" t="s">
        <v>3221</v>
      </c>
      <c r="C2564">
        <v>1624</v>
      </c>
      <c r="D2564" t="s">
        <v>33</v>
      </c>
      <c r="E2564" t="s">
        <v>34</v>
      </c>
      <c r="F2564">
        <v>309</v>
      </c>
      <c r="G2564">
        <v>230206</v>
      </c>
      <c r="H2564">
        <v>4580</v>
      </c>
      <c r="I2564" t="s">
        <v>35</v>
      </c>
      <c r="J2564">
        <v>383.16</v>
      </c>
      <c r="K2564">
        <v>74.16</v>
      </c>
      <c r="L2564">
        <v>11908</v>
      </c>
      <c r="M2564" t="s">
        <v>598</v>
      </c>
      <c r="N2564" t="str">
        <f>"806612      "</f>
        <v xml:space="preserve">806612      </v>
      </c>
      <c r="O2564">
        <v>230210</v>
      </c>
    </row>
    <row r="2565" spans="1:15" x14ac:dyDescent="0.25">
      <c r="A2565" t="s">
        <v>16</v>
      </c>
      <c r="B2565" t="s">
        <v>3221</v>
      </c>
      <c r="C2565">
        <v>1625</v>
      </c>
      <c r="D2565" t="s">
        <v>33</v>
      </c>
      <c r="E2565" t="s">
        <v>34</v>
      </c>
      <c r="F2565">
        <v>309</v>
      </c>
      <c r="G2565">
        <v>230206</v>
      </c>
      <c r="H2565">
        <v>4580</v>
      </c>
      <c r="I2565" t="s">
        <v>35</v>
      </c>
      <c r="J2565">
        <v>383.16</v>
      </c>
      <c r="K2565">
        <v>74.16</v>
      </c>
      <c r="L2565">
        <v>11903</v>
      </c>
      <c r="M2565" t="s">
        <v>406</v>
      </c>
      <c r="N2565" t="str">
        <f>"806617      "</f>
        <v xml:space="preserve">806617      </v>
      </c>
      <c r="O2565">
        <v>230210</v>
      </c>
    </row>
    <row r="2566" spans="1:15" x14ac:dyDescent="0.25">
      <c r="A2566" t="s">
        <v>16</v>
      </c>
      <c r="B2566" t="s">
        <v>3221</v>
      </c>
      <c r="C2566">
        <v>1625</v>
      </c>
      <c r="D2566" t="s">
        <v>33</v>
      </c>
      <c r="E2566" t="s">
        <v>34</v>
      </c>
      <c r="F2566">
        <v>309</v>
      </c>
      <c r="G2566">
        <v>230206</v>
      </c>
      <c r="H2566">
        <v>4580</v>
      </c>
      <c r="I2566" t="s">
        <v>35</v>
      </c>
      <c r="J2566">
        <v>383.16</v>
      </c>
      <c r="K2566">
        <v>74.16</v>
      </c>
      <c r="L2566">
        <v>11905</v>
      </c>
      <c r="M2566" t="s">
        <v>39</v>
      </c>
      <c r="N2566" t="str">
        <f>"806617      "</f>
        <v xml:space="preserve">806617      </v>
      </c>
      <c r="O2566">
        <v>230210</v>
      </c>
    </row>
    <row r="2567" spans="1:15" x14ac:dyDescent="0.25">
      <c r="A2567" t="s">
        <v>16</v>
      </c>
      <c r="B2567" t="s">
        <v>3221</v>
      </c>
      <c r="C2567">
        <v>1627</v>
      </c>
      <c r="D2567" t="s">
        <v>33</v>
      </c>
      <c r="E2567" t="s">
        <v>34</v>
      </c>
      <c r="F2567">
        <v>35.799999999999997</v>
      </c>
      <c r="G2567">
        <v>230208</v>
      </c>
      <c r="H2567">
        <v>4580</v>
      </c>
      <c r="I2567" t="s">
        <v>35</v>
      </c>
      <c r="J2567">
        <v>44.39</v>
      </c>
      <c r="K2567">
        <v>8.59</v>
      </c>
      <c r="L2567">
        <v>17974</v>
      </c>
      <c r="M2567" t="s">
        <v>460</v>
      </c>
      <c r="N2567" t="str">
        <f>"807596      "</f>
        <v xml:space="preserve">807596      </v>
      </c>
      <c r="O2567">
        <v>230210</v>
      </c>
    </row>
    <row r="2568" spans="1:15" x14ac:dyDescent="0.25">
      <c r="A2568" t="s">
        <v>16</v>
      </c>
      <c r="B2568" t="s">
        <v>3221</v>
      </c>
      <c r="C2568">
        <v>1790</v>
      </c>
      <c r="D2568" t="s">
        <v>33</v>
      </c>
      <c r="E2568" t="s">
        <v>34</v>
      </c>
      <c r="F2568">
        <v>219</v>
      </c>
      <c r="G2568">
        <v>230203</v>
      </c>
      <c r="H2568">
        <v>4580</v>
      </c>
      <c r="I2568" t="s">
        <v>35</v>
      </c>
      <c r="J2568">
        <v>271.56</v>
      </c>
      <c r="K2568">
        <v>52.56</v>
      </c>
      <c r="L2568">
        <v>11201</v>
      </c>
      <c r="M2568" t="s">
        <v>305</v>
      </c>
      <c r="N2568" t="str">
        <f>"805897      "</f>
        <v xml:space="preserve">805897      </v>
      </c>
      <c r="O2568">
        <v>230214</v>
      </c>
    </row>
    <row r="2569" spans="1:15" x14ac:dyDescent="0.25">
      <c r="A2569" t="s">
        <v>16</v>
      </c>
      <c r="B2569" t="s">
        <v>3221</v>
      </c>
      <c r="C2569">
        <v>1850</v>
      </c>
      <c r="D2569" t="s">
        <v>33</v>
      </c>
      <c r="E2569" t="s">
        <v>34</v>
      </c>
      <c r="F2569">
        <v>469.8</v>
      </c>
      <c r="G2569">
        <v>230119</v>
      </c>
      <c r="H2569">
        <v>4580</v>
      </c>
      <c r="I2569" t="s">
        <v>35</v>
      </c>
      <c r="J2569">
        <v>582.54999999999995</v>
      </c>
      <c r="K2569">
        <v>112.75</v>
      </c>
      <c r="L2569">
        <v>18972</v>
      </c>
      <c r="M2569" t="s">
        <v>163</v>
      </c>
      <c r="N2569" t="str">
        <f>"800789      "</f>
        <v xml:space="preserve">800789      </v>
      </c>
      <c r="O2569">
        <v>230215</v>
      </c>
    </row>
    <row r="2570" spans="1:15" x14ac:dyDescent="0.25">
      <c r="A2570" t="s">
        <v>16</v>
      </c>
      <c r="B2570" t="s">
        <v>3221</v>
      </c>
      <c r="C2570">
        <v>2113</v>
      </c>
      <c r="D2570" t="s">
        <v>33</v>
      </c>
      <c r="E2570" t="s">
        <v>34</v>
      </c>
      <c r="F2570">
        <v>15.66</v>
      </c>
      <c r="G2570">
        <v>230215</v>
      </c>
      <c r="H2570">
        <v>4580</v>
      </c>
      <c r="I2570" t="s">
        <v>35</v>
      </c>
      <c r="J2570">
        <v>19.420000000000002</v>
      </c>
      <c r="K2570">
        <v>3.76</v>
      </c>
      <c r="L2570">
        <v>16121</v>
      </c>
      <c r="M2570" t="s">
        <v>21</v>
      </c>
      <c r="N2570" t="str">
        <f>"810099      "</f>
        <v xml:space="preserve">810099      </v>
      </c>
      <c r="O2570">
        <v>230221</v>
      </c>
    </row>
    <row r="2571" spans="1:15" x14ac:dyDescent="0.25">
      <c r="A2571" t="s">
        <v>16</v>
      </c>
      <c r="B2571" t="s">
        <v>3221</v>
      </c>
      <c r="C2571">
        <v>2114</v>
      </c>
      <c r="D2571" t="s">
        <v>33</v>
      </c>
      <c r="E2571" t="s">
        <v>34</v>
      </c>
      <c r="F2571">
        <v>17.5</v>
      </c>
      <c r="G2571">
        <v>230215</v>
      </c>
      <c r="H2571">
        <v>4580</v>
      </c>
      <c r="I2571" t="s">
        <v>35</v>
      </c>
      <c r="J2571">
        <v>21.7</v>
      </c>
      <c r="K2571">
        <v>4.2</v>
      </c>
      <c r="L2571">
        <v>17538</v>
      </c>
      <c r="M2571" t="s">
        <v>24</v>
      </c>
      <c r="N2571" t="str">
        <f>"810262      "</f>
        <v xml:space="preserve">810262      </v>
      </c>
      <c r="O2571">
        <v>230221</v>
      </c>
    </row>
    <row r="2572" spans="1:15" x14ac:dyDescent="0.25">
      <c r="A2572" t="s">
        <v>16</v>
      </c>
      <c r="B2572" t="s">
        <v>3221</v>
      </c>
      <c r="C2572">
        <v>2114</v>
      </c>
      <c r="D2572" t="s">
        <v>33</v>
      </c>
      <c r="E2572" t="s">
        <v>34</v>
      </c>
      <c r="F2572">
        <v>17.5</v>
      </c>
      <c r="G2572">
        <v>230215</v>
      </c>
      <c r="H2572">
        <v>4580</v>
      </c>
      <c r="I2572" t="s">
        <v>35</v>
      </c>
      <c r="J2572">
        <v>21.7</v>
      </c>
      <c r="K2572">
        <v>4.2</v>
      </c>
      <c r="L2572">
        <v>17862</v>
      </c>
      <c r="M2572" t="s">
        <v>319</v>
      </c>
      <c r="N2572" t="str">
        <f>"810262      "</f>
        <v xml:space="preserve">810262      </v>
      </c>
      <c r="O2572">
        <v>230221</v>
      </c>
    </row>
    <row r="2573" spans="1:15" x14ac:dyDescent="0.25">
      <c r="A2573" t="s">
        <v>16</v>
      </c>
      <c r="B2573" t="s">
        <v>3221</v>
      </c>
      <c r="C2573">
        <v>2115</v>
      </c>
      <c r="D2573" t="s">
        <v>33</v>
      </c>
      <c r="E2573" t="s">
        <v>34</v>
      </c>
      <c r="F2573">
        <v>39.5</v>
      </c>
      <c r="G2573">
        <v>230215</v>
      </c>
      <c r="H2573">
        <v>4580</v>
      </c>
      <c r="I2573" t="s">
        <v>35</v>
      </c>
      <c r="J2573">
        <v>48.98</v>
      </c>
      <c r="K2573">
        <v>9.48</v>
      </c>
      <c r="L2573">
        <v>16820</v>
      </c>
      <c r="M2573" t="s">
        <v>23</v>
      </c>
      <c r="N2573" t="str">
        <f>"810101      "</f>
        <v xml:space="preserve">810101      </v>
      </c>
      <c r="O2573">
        <v>230221</v>
      </c>
    </row>
    <row r="2574" spans="1:15" x14ac:dyDescent="0.25">
      <c r="A2574" t="s">
        <v>16</v>
      </c>
      <c r="B2574" t="s">
        <v>3221</v>
      </c>
      <c r="C2574">
        <v>2447</v>
      </c>
      <c r="D2574" t="s">
        <v>33</v>
      </c>
      <c r="E2574" t="s">
        <v>34</v>
      </c>
      <c r="F2574">
        <v>79</v>
      </c>
      <c r="G2574">
        <v>230222</v>
      </c>
      <c r="H2574">
        <v>4580</v>
      </c>
      <c r="I2574" t="s">
        <v>35</v>
      </c>
      <c r="J2574">
        <v>97.96</v>
      </c>
      <c r="K2574">
        <v>18.96</v>
      </c>
      <c r="L2574">
        <v>17635</v>
      </c>
      <c r="M2574" t="s">
        <v>349</v>
      </c>
      <c r="N2574" t="str">
        <f>"812122      "</f>
        <v xml:space="preserve">812122      </v>
      </c>
      <c r="O2574">
        <v>230227</v>
      </c>
    </row>
    <row r="2575" spans="1:15" x14ac:dyDescent="0.25">
      <c r="A2575" t="s">
        <v>16</v>
      </c>
      <c r="B2575" t="s">
        <v>3221</v>
      </c>
      <c r="C2575">
        <v>2538</v>
      </c>
      <c r="D2575" t="s">
        <v>33</v>
      </c>
      <c r="E2575" t="s">
        <v>34</v>
      </c>
      <c r="F2575">
        <v>41.12</v>
      </c>
      <c r="G2575">
        <v>230201</v>
      </c>
      <c r="H2575">
        <v>4580</v>
      </c>
      <c r="I2575" t="s">
        <v>35</v>
      </c>
      <c r="J2575">
        <v>50.99</v>
      </c>
      <c r="K2575">
        <v>9.8699999999999992</v>
      </c>
      <c r="L2575">
        <v>17974</v>
      </c>
      <c r="M2575" t="s">
        <v>460</v>
      </c>
      <c r="N2575" t="str">
        <f>"805285      "</f>
        <v xml:space="preserve">805285      </v>
      </c>
      <c r="O2575">
        <v>230302</v>
      </c>
    </row>
    <row r="2576" spans="1:15" x14ac:dyDescent="0.25">
      <c r="A2576" t="s">
        <v>16</v>
      </c>
      <c r="B2576" t="s">
        <v>3221</v>
      </c>
      <c r="C2576">
        <v>2565</v>
      </c>
      <c r="D2576" t="s">
        <v>33</v>
      </c>
      <c r="E2576" t="s">
        <v>34</v>
      </c>
      <c r="F2576">
        <v>446.5</v>
      </c>
      <c r="G2576">
        <v>230227</v>
      </c>
      <c r="H2576">
        <v>4580</v>
      </c>
      <c r="I2576" t="s">
        <v>35</v>
      </c>
      <c r="J2576">
        <v>553.66</v>
      </c>
      <c r="K2576">
        <v>107.16</v>
      </c>
      <c r="L2576">
        <v>13401</v>
      </c>
      <c r="M2576" t="s">
        <v>80</v>
      </c>
      <c r="N2576" t="str">
        <f>"813374      "</f>
        <v xml:space="preserve">813374      </v>
      </c>
      <c r="O2576">
        <v>230302</v>
      </c>
    </row>
    <row r="2577" spans="1:15" x14ac:dyDescent="0.25">
      <c r="A2577" t="s">
        <v>16</v>
      </c>
      <c r="B2577" t="s">
        <v>3221</v>
      </c>
      <c r="C2577">
        <v>3125</v>
      </c>
      <c r="D2577" t="s">
        <v>33</v>
      </c>
      <c r="E2577" t="s">
        <v>34</v>
      </c>
      <c r="F2577">
        <v>44.9</v>
      </c>
      <c r="G2577">
        <v>230301</v>
      </c>
      <c r="H2577">
        <v>4580</v>
      </c>
      <c r="I2577" t="s">
        <v>35</v>
      </c>
      <c r="J2577">
        <v>55.68</v>
      </c>
      <c r="K2577">
        <v>10.78</v>
      </c>
      <c r="L2577">
        <v>61122</v>
      </c>
      <c r="M2577" t="s">
        <v>402</v>
      </c>
      <c r="N2577" t="str">
        <f>"814290      "</f>
        <v xml:space="preserve">814290      </v>
      </c>
      <c r="O2577">
        <v>230309</v>
      </c>
    </row>
    <row r="2578" spans="1:15" x14ac:dyDescent="0.25">
      <c r="A2578" t="s">
        <v>16</v>
      </c>
      <c r="B2578" t="s">
        <v>3221</v>
      </c>
      <c r="C2578">
        <v>3353</v>
      </c>
      <c r="D2578" t="s">
        <v>33</v>
      </c>
      <c r="E2578" t="s">
        <v>34</v>
      </c>
      <c r="F2578">
        <v>549</v>
      </c>
      <c r="G2578">
        <v>230311</v>
      </c>
      <c r="H2578">
        <v>4580</v>
      </c>
      <c r="I2578" t="s">
        <v>35</v>
      </c>
      <c r="J2578">
        <v>680.76</v>
      </c>
      <c r="K2578">
        <v>131.76</v>
      </c>
      <c r="L2578">
        <v>14622</v>
      </c>
      <c r="M2578" t="s">
        <v>1005</v>
      </c>
      <c r="N2578" t="str">
        <f>"817291      "</f>
        <v xml:space="preserve">817291      </v>
      </c>
      <c r="O2578">
        <v>230315</v>
      </c>
    </row>
    <row r="2579" spans="1:15" x14ac:dyDescent="0.25">
      <c r="A2579" t="s">
        <v>16</v>
      </c>
      <c r="B2579" t="s">
        <v>3221</v>
      </c>
      <c r="C2579">
        <v>3381</v>
      </c>
      <c r="D2579" t="s">
        <v>33</v>
      </c>
      <c r="E2579" t="s">
        <v>34</v>
      </c>
      <c r="F2579">
        <v>14.9</v>
      </c>
      <c r="G2579">
        <v>230313</v>
      </c>
      <c r="H2579">
        <v>4580</v>
      </c>
      <c r="I2579" t="s">
        <v>35</v>
      </c>
      <c r="J2579">
        <v>18.48</v>
      </c>
      <c r="K2579">
        <v>3.58</v>
      </c>
      <c r="L2579">
        <v>46555</v>
      </c>
      <c r="M2579" t="s">
        <v>597</v>
      </c>
      <c r="N2579" t="str">
        <f>"817406      "</f>
        <v xml:space="preserve">817406      </v>
      </c>
      <c r="O2579">
        <v>230315</v>
      </c>
    </row>
    <row r="2580" spans="1:15" x14ac:dyDescent="0.25">
      <c r="A2580" t="s">
        <v>16</v>
      </c>
      <c r="B2580" t="s">
        <v>3221</v>
      </c>
      <c r="C2580">
        <v>3648</v>
      </c>
      <c r="D2580" t="s">
        <v>33</v>
      </c>
      <c r="E2580" t="s">
        <v>34</v>
      </c>
      <c r="F2580">
        <v>411.64</v>
      </c>
      <c r="G2580">
        <v>230313</v>
      </c>
      <c r="H2580">
        <v>4580</v>
      </c>
      <c r="I2580" t="s">
        <v>35</v>
      </c>
      <c r="J2580">
        <v>510.43</v>
      </c>
      <c r="K2580">
        <v>98.79</v>
      </c>
      <c r="L2580">
        <v>16820</v>
      </c>
      <c r="M2580" t="s">
        <v>23</v>
      </c>
      <c r="N2580" t="str">
        <f>"817635      "</f>
        <v xml:space="preserve">817635      </v>
      </c>
      <c r="O2580">
        <v>230320</v>
      </c>
    </row>
    <row r="2581" spans="1:15" x14ac:dyDescent="0.25">
      <c r="A2581" t="s">
        <v>16</v>
      </c>
      <c r="B2581" t="s">
        <v>3221</v>
      </c>
      <c r="C2581">
        <v>3653</v>
      </c>
      <c r="D2581" t="s">
        <v>33</v>
      </c>
      <c r="E2581" t="s">
        <v>34</v>
      </c>
      <c r="F2581">
        <v>64</v>
      </c>
      <c r="G2581">
        <v>230303</v>
      </c>
      <c r="H2581">
        <v>4580</v>
      </c>
      <c r="I2581" t="s">
        <v>35</v>
      </c>
      <c r="J2581">
        <v>79.36</v>
      </c>
      <c r="K2581">
        <v>15.36</v>
      </c>
      <c r="L2581">
        <v>17971</v>
      </c>
      <c r="M2581" t="s">
        <v>138</v>
      </c>
      <c r="N2581" t="str">
        <f>"815243      "</f>
        <v xml:space="preserve">815243      </v>
      </c>
      <c r="O2581">
        <v>230320</v>
      </c>
    </row>
    <row r="2582" spans="1:15" x14ac:dyDescent="0.25">
      <c r="A2582" t="s">
        <v>16</v>
      </c>
      <c r="B2582" t="s">
        <v>3221</v>
      </c>
      <c r="C2582">
        <v>3748</v>
      </c>
      <c r="D2582" t="s">
        <v>33</v>
      </c>
      <c r="E2582" t="s">
        <v>34</v>
      </c>
      <c r="F2582">
        <v>314.08</v>
      </c>
      <c r="G2582">
        <v>230316</v>
      </c>
      <c r="H2582">
        <v>4580</v>
      </c>
      <c r="I2582" t="s">
        <v>35</v>
      </c>
      <c r="J2582">
        <v>389.46</v>
      </c>
      <c r="K2582">
        <v>75.38</v>
      </c>
      <c r="L2582">
        <v>18972</v>
      </c>
      <c r="M2582" t="s">
        <v>163</v>
      </c>
      <c r="N2582" t="str">
        <f>"818808      "</f>
        <v xml:space="preserve">818808      </v>
      </c>
      <c r="O2582">
        <v>230321</v>
      </c>
    </row>
    <row r="2583" spans="1:15" x14ac:dyDescent="0.25">
      <c r="A2583" t="s">
        <v>16</v>
      </c>
      <c r="B2583" t="s">
        <v>3221</v>
      </c>
      <c r="C2583">
        <v>3857</v>
      </c>
      <c r="D2583" t="s">
        <v>33</v>
      </c>
      <c r="E2583" t="s">
        <v>34</v>
      </c>
      <c r="F2583">
        <v>160</v>
      </c>
      <c r="G2583">
        <v>230314</v>
      </c>
      <c r="H2583">
        <v>4580</v>
      </c>
      <c r="I2583" t="s">
        <v>35</v>
      </c>
      <c r="J2583">
        <v>198.4</v>
      </c>
      <c r="K2583">
        <v>38.4</v>
      </c>
      <c r="L2583">
        <v>14951</v>
      </c>
      <c r="M2583" t="s">
        <v>57</v>
      </c>
      <c r="N2583" t="str">
        <f>"817770      "</f>
        <v xml:space="preserve">817770      </v>
      </c>
      <c r="O2583">
        <v>230323</v>
      </c>
    </row>
    <row r="2584" spans="1:15" x14ac:dyDescent="0.25">
      <c r="A2584" t="s">
        <v>16</v>
      </c>
      <c r="B2584" t="s">
        <v>3221</v>
      </c>
      <c r="C2584">
        <v>3891</v>
      </c>
      <c r="D2584" t="s">
        <v>33</v>
      </c>
      <c r="E2584" t="s">
        <v>34</v>
      </c>
      <c r="F2584">
        <v>19.5</v>
      </c>
      <c r="G2584">
        <v>230321</v>
      </c>
      <c r="H2584">
        <v>4580</v>
      </c>
      <c r="I2584" t="s">
        <v>35</v>
      </c>
      <c r="J2584">
        <v>24.18</v>
      </c>
      <c r="K2584">
        <v>4.68</v>
      </c>
      <c r="L2584">
        <v>17533</v>
      </c>
      <c r="M2584" t="s">
        <v>990</v>
      </c>
      <c r="N2584" t="str">
        <f>"820111      "</f>
        <v xml:space="preserve">820111      </v>
      </c>
      <c r="O2584">
        <v>230324</v>
      </c>
    </row>
    <row r="2585" spans="1:15" x14ac:dyDescent="0.25">
      <c r="A2585" t="s">
        <v>16</v>
      </c>
      <c r="B2585" t="s">
        <v>3221</v>
      </c>
      <c r="C2585">
        <v>3911</v>
      </c>
      <c r="D2585" t="s">
        <v>33</v>
      </c>
      <c r="E2585" t="s">
        <v>34</v>
      </c>
      <c r="F2585">
        <v>89.09</v>
      </c>
      <c r="G2585">
        <v>230322</v>
      </c>
      <c r="H2585">
        <v>4580</v>
      </c>
      <c r="I2585" t="s">
        <v>35</v>
      </c>
      <c r="J2585">
        <v>110.47</v>
      </c>
      <c r="K2585">
        <v>21.38</v>
      </c>
      <c r="L2585">
        <v>17972</v>
      </c>
      <c r="M2585" t="s">
        <v>248</v>
      </c>
      <c r="N2585" t="str">
        <f>"820440      "</f>
        <v xml:space="preserve">820440      </v>
      </c>
      <c r="O2585">
        <v>230324</v>
      </c>
    </row>
    <row r="2586" spans="1:15" x14ac:dyDescent="0.25">
      <c r="A2586" t="s">
        <v>16</v>
      </c>
      <c r="B2586" t="s">
        <v>3221</v>
      </c>
      <c r="C2586">
        <v>4182</v>
      </c>
      <c r="D2586" t="s">
        <v>33</v>
      </c>
      <c r="E2586" t="s">
        <v>34</v>
      </c>
      <c r="F2586">
        <v>179.5</v>
      </c>
      <c r="G2586">
        <v>230329</v>
      </c>
      <c r="H2586">
        <v>4580</v>
      </c>
      <c r="I2586" t="s">
        <v>35</v>
      </c>
      <c r="J2586">
        <v>222.58</v>
      </c>
      <c r="K2586">
        <v>43.08</v>
      </c>
      <c r="L2586">
        <v>65222</v>
      </c>
      <c r="M2586" t="s">
        <v>487</v>
      </c>
      <c r="N2586" t="str">
        <f>"822249      "</f>
        <v xml:space="preserve">822249      </v>
      </c>
      <c r="O2586">
        <v>230331</v>
      </c>
    </row>
    <row r="2587" spans="1:15" x14ac:dyDescent="0.25">
      <c r="A2587" t="s">
        <v>16</v>
      </c>
      <c r="B2587" t="s">
        <v>3221</v>
      </c>
      <c r="C2587">
        <v>4240</v>
      </c>
      <c r="D2587" t="s">
        <v>33</v>
      </c>
      <c r="E2587" t="s">
        <v>34</v>
      </c>
      <c r="F2587">
        <v>84.12</v>
      </c>
      <c r="G2587">
        <v>230317</v>
      </c>
      <c r="H2587">
        <v>4580</v>
      </c>
      <c r="I2587" t="s">
        <v>35</v>
      </c>
      <c r="J2587">
        <v>104.31</v>
      </c>
      <c r="K2587">
        <v>20.190000000000001</v>
      </c>
      <c r="L2587">
        <v>59502</v>
      </c>
      <c r="M2587" t="s">
        <v>70</v>
      </c>
      <c r="N2587" t="str">
        <f>"819068      "</f>
        <v xml:space="preserve">819068      </v>
      </c>
      <c r="O2587">
        <v>230403</v>
      </c>
    </row>
    <row r="2588" spans="1:15" x14ac:dyDescent="0.25">
      <c r="A2588" t="s">
        <v>16</v>
      </c>
      <c r="B2588" t="s">
        <v>3221</v>
      </c>
      <c r="C2588">
        <v>4271</v>
      </c>
      <c r="D2588" t="s">
        <v>33</v>
      </c>
      <c r="E2588" t="s">
        <v>34</v>
      </c>
      <c r="F2588">
        <v>1620.6</v>
      </c>
      <c r="G2588">
        <v>230329</v>
      </c>
      <c r="H2588">
        <v>4580</v>
      </c>
      <c r="I2588" t="s">
        <v>35</v>
      </c>
      <c r="J2588">
        <v>2009.54</v>
      </c>
      <c r="K2588">
        <v>388.94</v>
      </c>
      <c r="L2588">
        <v>14622</v>
      </c>
      <c r="M2588" t="s">
        <v>1005</v>
      </c>
      <c r="N2588" t="str">
        <f>"822217      "</f>
        <v xml:space="preserve">822217      </v>
      </c>
      <c r="O2588">
        <v>230403</v>
      </c>
    </row>
    <row r="2589" spans="1:15" x14ac:dyDescent="0.25">
      <c r="A2589" t="s">
        <v>16</v>
      </c>
      <c r="B2589" t="s">
        <v>3221</v>
      </c>
      <c r="C2589">
        <v>4344</v>
      </c>
      <c r="D2589" t="s">
        <v>33</v>
      </c>
      <c r="E2589" t="s">
        <v>34</v>
      </c>
      <c r="F2589">
        <v>36.590000000000003</v>
      </c>
      <c r="G2589">
        <v>230330</v>
      </c>
      <c r="H2589">
        <v>4580</v>
      </c>
      <c r="I2589" t="s">
        <v>35</v>
      </c>
      <c r="J2589">
        <v>45.37</v>
      </c>
      <c r="K2589">
        <v>8.7799999999999994</v>
      </c>
      <c r="L2589">
        <v>17711</v>
      </c>
      <c r="M2589" t="s">
        <v>65</v>
      </c>
      <c r="N2589" t="str">
        <f>"822984      "</f>
        <v xml:space="preserve">822984      </v>
      </c>
      <c r="O2589">
        <v>230404</v>
      </c>
    </row>
    <row r="2590" spans="1:15" x14ac:dyDescent="0.25">
      <c r="A2590" t="s">
        <v>16</v>
      </c>
      <c r="B2590" t="s">
        <v>3221</v>
      </c>
      <c r="C2590">
        <v>4574</v>
      </c>
      <c r="D2590" t="s">
        <v>33</v>
      </c>
      <c r="E2590" t="s">
        <v>34</v>
      </c>
      <c r="F2590">
        <v>504.5</v>
      </c>
      <c r="G2590">
        <v>230331</v>
      </c>
      <c r="H2590">
        <v>4580</v>
      </c>
      <c r="I2590" t="s">
        <v>35</v>
      </c>
      <c r="J2590">
        <v>625.58000000000004</v>
      </c>
      <c r="K2590">
        <v>121.08</v>
      </c>
      <c r="L2590">
        <v>17131</v>
      </c>
      <c r="M2590" t="s">
        <v>64</v>
      </c>
      <c r="N2590" t="str">
        <f>"823282      "</f>
        <v xml:space="preserve">823282      </v>
      </c>
      <c r="O2590">
        <v>230406</v>
      </c>
    </row>
    <row r="2591" spans="1:15" x14ac:dyDescent="0.25">
      <c r="A2591" t="s">
        <v>16</v>
      </c>
      <c r="B2591" t="s">
        <v>3221</v>
      </c>
      <c r="C2591">
        <v>4574</v>
      </c>
      <c r="D2591" t="s">
        <v>33</v>
      </c>
      <c r="E2591" t="s">
        <v>34</v>
      </c>
      <c r="F2591">
        <v>504.5</v>
      </c>
      <c r="G2591">
        <v>230331</v>
      </c>
      <c r="H2591">
        <v>4580</v>
      </c>
      <c r="I2591" t="s">
        <v>35</v>
      </c>
      <c r="J2591">
        <v>625.58000000000004</v>
      </c>
      <c r="K2591">
        <v>121.08</v>
      </c>
      <c r="L2591">
        <v>17711</v>
      </c>
      <c r="M2591" t="s">
        <v>65</v>
      </c>
      <c r="N2591" t="str">
        <f>"823282      "</f>
        <v xml:space="preserve">823282      </v>
      </c>
      <c r="O2591">
        <v>230406</v>
      </c>
    </row>
    <row r="2592" spans="1:15" x14ac:dyDescent="0.25">
      <c r="A2592" t="s">
        <v>16</v>
      </c>
      <c r="B2592" t="s">
        <v>3221</v>
      </c>
      <c r="C2592">
        <v>4712</v>
      </c>
      <c r="D2592" t="s">
        <v>33</v>
      </c>
      <c r="E2592" t="s">
        <v>34</v>
      </c>
      <c r="F2592">
        <v>465.3</v>
      </c>
      <c r="G2592">
        <v>230403</v>
      </c>
      <c r="H2592">
        <v>4580</v>
      </c>
      <c r="I2592" t="s">
        <v>35</v>
      </c>
      <c r="J2592">
        <v>576.97</v>
      </c>
      <c r="K2592">
        <v>111.67</v>
      </c>
      <c r="L2592">
        <v>17802</v>
      </c>
      <c r="M2592" t="s">
        <v>174</v>
      </c>
      <c r="N2592" t="str">
        <f>"823608      "</f>
        <v xml:space="preserve">823608      </v>
      </c>
      <c r="O2592">
        <v>230412</v>
      </c>
    </row>
    <row r="2593" spans="1:15" x14ac:dyDescent="0.25">
      <c r="A2593" t="s">
        <v>16</v>
      </c>
      <c r="B2593" t="s">
        <v>3221</v>
      </c>
      <c r="C2593">
        <v>4729</v>
      </c>
      <c r="D2593" t="s">
        <v>33</v>
      </c>
      <c r="E2593" t="s">
        <v>34</v>
      </c>
      <c r="F2593">
        <v>136.13999999999999</v>
      </c>
      <c r="G2593">
        <v>230331</v>
      </c>
      <c r="H2593">
        <v>4580</v>
      </c>
      <c r="I2593" t="s">
        <v>35</v>
      </c>
      <c r="J2593">
        <v>168.81</v>
      </c>
      <c r="K2593">
        <v>32.67</v>
      </c>
      <c r="L2593">
        <v>69702</v>
      </c>
      <c r="M2593" t="s">
        <v>489</v>
      </c>
      <c r="N2593" t="str">
        <f>"823444      "</f>
        <v xml:space="preserve">823444      </v>
      </c>
      <c r="O2593">
        <v>230412</v>
      </c>
    </row>
    <row r="2594" spans="1:15" x14ac:dyDescent="0.25">
      <c r="A2594" t="s">
        <v>16</v>
      </c>
      <c r="B2594" t="s">
        <v>3221</v>
      </c>
      <c r="C2594">
        <v>5271</v>
      </c>
      <c r="D2594" t="s">
        <v>33</v>
      </c>
      <c r="E2594" t="s">
        <v>34</v>
      </c>
      <c r="F2594">
        <v>40.380000000000003</v>
      </c>
      <c r="G2594">
        <v>230417</v>
      </c>
      <c r="H2594">
        <v>4580</v>
      </c>
      <c r="I2594" t="s">
        <v>35</v>
      </c>
      <c r="J2594">
        <v>50.07</v>
      </c>
      <c r="K2594">
        <v>9.69</v>
      </c>
      <c r="L2594">
        <v>17808</v>
      </c>
      <c r="M2594" t="s">
        <v>322</v>
      </c>
      <c r="N2594" t="str">
        <f>"827034      "</f>
        <v xml:space="preserve">827034      </v>
      </c>
      <c r="O2594">
        <v>230419</v>
      </c>
    </row>
    <row r="2595" spans="1:15" x14ac:dyDescent="0.25">
      <c r="A2595" t="s">
        <v>16</v>
      </c>
      <c r="B2595" t="s">
        <v>3221</v>
      </c>
      <c r="C2595">
        <v>5283</v>
      </c>
      <c r="D2595" t="s">
        <v>33</v>
      </c>
      <c r="E2595" t="s">
        <v>34</v>
      </c>
      <c r="F2595">
        <v>173</v>
      </c>
      <c r="G2595">
        <v>230403</v>
      </c>
      <c r="H2595">
        <v>4580</v>
      </c>
      <c r="I2595" t="s">
        <v>35</v>
      </c>
      <c r="J2595">
        <v>214.52</v>
      </c>
      <c r="K2595">
        <v>41.52</v>
      </c>
      <c r="L2595">
        <v>41126</v>
      </c>
      <c r="M2595" t="s">
        <v>761</v>
      </c>
      <c r="N2595" t="str">
        <f>"823911      "</f>
        <v xml:space="preserve">823911      </v>
      </c>
      <c r="O2595">
        <v>230420</v>
      </c>
    </row>
    <row r="2596" spans="1:15" x14ac:dyDescent="0.25">
      <c r="A2596" t="s">
        <v>16</v>
      </c>
      <c r="B2596" t="s">
        <v>3221</v>
      </c>
      <c r="C2596">
        <v>5310</v>
      </c>
      <c r="D2596" t="s">
        <v>33</v>
      </c>
      <c r="E2596" t="s">
        <v>34</v>
      </c>
      <c r="F2596">
        <v>230.96</v>
      </c>
      <c r="G2596">
        <v>230417</v>
      </c>
      <c r="H2596">
        <v>4580</v>
      </c>
      <c r="I2596" t="s">
        <v>35</v>
      </c>
      <c r="J2596">
        <v>286.39</v>
      </c>
      <c r="K2596">
        <v>55.43</v>
      </c>
      <c r="L2596">
        <v>17971</v>
      </c>
      <c r="M2596" t="s">
        <v>138</v>
      </c>
      <c r="N2596" t="str">
        <f>"827033      "</f>
        <v xml:space="preserve">827033      </v>
      </c>
      <c r="O2596">
        <v>230420</v>
      </c>
    </row>
    <row r="2597" spans="1:15" x14ac:dyDescent="0.25">
      <c r="A2597" t="s">
        <v>16</v>
      </c>
      <c r="B2597" t="s">
        <v>3221</v>
      </c>
      <c r="C2597">
        <v>5446</v>
      </c>
      <c r="D2597" t="s">
        <v>33</v>
      </c>
      <c r="E2597" t="s">
        <v>34</v>
      </c>
      <c r="F2597">
        <v>43.5</v>
      </c>
      <c r="G2597">
        <v>230414</v>
      </c>
      <c r="H2597">
        <v>4580</v>
      </c>
      <c r="I2597" t="s">
        <v>35</v>
      </c>
      <c r="J2597">
        <v>53.94</v>
      </c>
      <c r="K2597">
        <v>10.44</v>
      </c>
      <c r="L2597">
        <v>13601</v>
      </c>
      <c r="M2597" t="s">
        <v>147</v>
      </c>
      <c r="N2597" t="str">
        <f>"826619      "</f>
        <v xml:space="preserve">826619      </v>
      </c>
      <c r="O2597">
        <v>230424</v>
      </c>
    </row>
    <row r="2598" spans="1:15" x14ac:dyDescent="0.25">
      <c r="A2598" t="s">
        <v>16</v>
      </c>
      <c r="B2598" t="s">
        <v>3221</v>
      </c>
      <c r="C2598">
        <v>5446</v>
      </c>
      <c r="D2598" t="s">
        <v>33</v>
      </c>
      <c r="E2598" t="s">
        <v>34</v>
      </c>
      <c r="F2598">
        <v>43.5</v>
      </c>
      <c r="G2598">
        <v>230414</v>
      </c>
      <c r="H2598">
        <v>4580</v>
      </c>
      <c r="I2598" t="s">
        <v>35</v>
      </c>
      <c r="J2598">
        <v>53.94</v>
      </c>
      <c r="K2598">
        <v>10.44</v>
      </c>
      <c r="L2598">
        <v>13802</v>
      </c>
      <c r="M2598" t="s">
        <v>200</v>
      </c>
      <c r="N2598" t="str">
        <f>"826619      "</f>
        <v xml:space="preserve">826619      </v>
      </c>
      <c r="O2598">
        <v>230424</v>
      </c>
    </row>
    <row r="2599" spans="1:15" x14ac:dyDescent="0.25">
      <c r="A2599" t="s">
        <v>16</v>
      </c>
      <c r="B2599" t="s">
        <v>3221</v>
      </c>
      <c r="C2599">
        <v>5664</v>
      </c>
      <c r="D2599" t="s">
        <v>33</v>
      </c>
      <c r="E2599" t="s">
        <v>34</v>
      </c>
      <c r="F2599">
        <v>719.9</v>
      </c>
      <c r="G2599">
        <v>230420</v>
      </c>
      <c r="H2599">
        <v>4580</v>
      </c>
      <c r="I2599" t="s">
        <v>35</v>
      </c>
      <c r="J2599">
        <v>892.68</v>
      </c>
      <c r="K2599">
        <v>172.78</v>
      </c>
      <c r="L2599">
        <v>47522</v>
      </c>
      <c r="M2599" t="s">
        <v>410</v>
      </c>
      <c r="N2599" t="str">
        <f>"828202      "</f>
        <v xml:space="preserve">828202      </v>
      </c>
      <c r="O2599">
        <v>230428</v>
      </c>
    </row>
    <row r="2600" spans="1:15" x14ac:dyDescent="0.25">
      <c r="A2600" t="s">
        <v>16</v>
      </c>
      <c r="B2600" t="s">
        <v>3221</v>
      </c>
      <c r="C2600">
        <v>5665</v>
      </c>
      <c r="D2600" t="s">
        <v>33</v>
      </c>
      <c r="E2600" t="s">
        <v>34</v>
      </c>
      <c r="F2600">
        <v>38</v>
      </c>
      <c r="G2600">
        <v>230420</v>
      </c>
      <c r="H2600">
        <v>4580</v>
      </c>
      <c r="I2600" t="s">
        <v>35</v>
      </c>
      <c r="J2600">
        <v>47.12</v>
      </c>
      <c r="K2600">
        <v>9.1199999999999992</v>
      </c>
      <c r="L2600">
        <v>16121</v>
      </c>
      <c r="M2600" t="s">
        <v>21</v>
      </c>
      <c r="N2600" t="str">
        <f>"828190      "</f>
        <v xml:space="preserve">828190      </v>
      </c>
      <c r="O2600">
        <v>230428</v>
      </c>
    </row>
    <row r="2601" spans="1:15" x14ac:dyDescent="0.25">
      <c r="A2601" t="s">
        <v>16</v>
      </c>
      <c r="B2601" t="s">
        <v>3221</v>
      </c>
      <c r="C2601">
        <v>5668</v>
      </c>
      <c r="D2601" t="s">
        <v>33</v>
      </c>
      <c r="E2601" t="s">
        <v>34</v>
      </c>
      <c r="F2601">
        <v>14.15</v>
      </c>
      <c r="G2601">
        <v>230424</v>
      </c>
      <c r="H2601">
        <v>4580</v>
      </c>
      <c r="I2601" t="s">
        <v>35</v>
      </c>
      <c r="J2601">
        <v>17.54</v>
      </c>
      <c r="K2601">
        <v>3.39</v>
      </c>
      <c r="L2601">
        <v>13540</v>
      </c>
      <c r="M2601" t="s">
        <v>85</v>
      </c>
      <c r="N2601" t="str">
        <f>"829030      "</f>
        <v xml:space="preserve">829030      </v>
      </c>
      <c r="O2601">
        <v>230428</v>
      </c>
    </row>
    <row r="2602" spans="1:15" x14ac:dyDescent="0.25">
      <c r="A2602" t="s">
        <v>16</v>
      </c>
      <c r="B2602" t="s">
        <v>3221</v>
      </c>
      <c r="C2602">
        <v>5668</v>
      </c>
      <c r="D2602" t="s">
        <v>33</v>
      </c>
      <c r="E2602" t="s">
        <v>34</v>
      </c>
      <c r="F2602">
        <v>114.47</v>
      </c>
      <c r="G2602">
        <v>230424</v>
      </c>
      <c r="H2602">
        <v>4580</v>
      </c>
      <c r="I2602" t="s">
        <v>35</v>
      </c>
      <c r="J2602">
        <v>141.94</v>
      </c>
      <c r="K2602">
        <v>27.47</v>
      </c>
      <c r="L2602">
        <v>17950</v>
      </c>
      <c r="M2602" t="s">
        <v>86</v>
      </c>
      <c r="N2602" t="str">
        <f>"829030      "</f>
        <v xml:space="preserve">829030      </v>
      </c>
      <c r="O2602">
        <v>230428</v>
      </c>
    </row>
    <row r="2603" spans="1:15" x14ac:dyDescent="0.25">
      <c r="A2603" t="s">
        <v>16</v>
      </c>
      <c r="B2603" t="s">
        <v>3221</v>
      </c>
      <c r="C2603">
        <v>6903</v>
      </c>
      <c r="D2603" t="s">
        <v>33</v>
      </c>
      <c r="E2603" t="s">
        <v>34</v>
      </c>
      <c r="F2603">
        <v>410</v>
      </c>
      <c r="G2603">
        <v>230503</v>
      </c>
      <c r="H2603">
        <v>4580</v>
      </c>
      <c r="I2603" t="s">
        <v>35</v>
      </c>
      <c r="J2603">
        <v>508.4</v>
      </c>
      <c r="K2603">
        <v>98.4</v>
      </c>
      <c r="L2603">
        <v>11801</v>
      </c>
      <c r="M2603" t="s">
        <v>92</v>
      </c>
      <c r="N2603" t="str">
        <f>"831526      "</f>
        <v xml:space="preserve">831526      </v>
      </c>
      <c r="O2603">
        <v>230523</v>
      </c>
    </row>
    <row r="2604" spans="1:15" x14ac:dyDescent="0.25">
      <c r="A2604" t="s">
        <v>16</v>
      </c>
      <c r="B2604" t="s">
        <v>3221</v>
      </c>
      <c r="C2604">
        <v>6928</v>
      </c>
      <c r="D2604" t="s">
        <v>33</v>
      </c>
      <c r="E2604" t="s">
        <v>34</v>
      </c>
      <c r="F2604">
        <v>216.81</v>
      </c>
      <c r="G2604">
        <v>230508</v>
      </c>
      <c r="H2604">
        <v>4580</v>
      </c>
      <c r="I2604" t="s">
        <v>35</v>
      </c>
      <c r="J2604">
        <v>268.83999999999997</v>
      </c>
      <c r="K2604">
        <v>52.03</v>
      </c>
      <c r="L2604">
        <v>18972</v>
      </c>
      <c r="M2604" t="s">
        <v>163</v>
      </c>
      <c r="N2604" t="str">
        <f>"832504      "</f>
        <v xml:space="preserve">832504      </v>
      </c>
      <c r="O2604">
        <v>230523</v>
      </c>
    </row>
    <row r="2605" spans="1:15" x14ac:dyDescent="0.25">
      <c r="A2605" t="s">
        <v>16</v>
      </c>
      <c r="B2605" t="s">
        <v>3221</v>
      </c>
      <c r="C2605">
        <v>6952</v>
      </c>
      <c r="D2605" t="s">
        <v>33</v>
      </c>
      <c r="E2605" t="s">
        <v>34</v>
      </c>
      <c r="F2605">
        <v>234.95</v>
      </c>
      <c r="G2605">
        <v>230515</v>
      </c>
      <c r="H2605">
        <v>4580</v>
      </c>
      <c r="I2605" t="s">
        <v>35</v>
      </c>
      <c r="J2605">
        <v>291.33999999999997</v>
      </c>
      <c r="K2605">
        <v>56.39</v>
      </c>
      <c r="L2605">
        <v>11101</v>
      </c>
      <c r="M2605" t="s">
        <v>110</v>
      </c>
      <c r="N2605" t="str">
        <f>"834734      "</f>
        <v xml:space="preserve">834734      </v>
      </c>
      <c r="O2605">
        <v>230523</v>
      </c>
    </row>
    <row r="2606" spans="1:15" x14ac:dyDescent="0.25">
      <c r="A2606" t="s">
        <v>16</v>
      </c>
      <c r="B2606" t="s">
        <v>3221</v>
      </c>
      <c r="C2606">
        <v>6955</v>
      </c>
      <c r="D2606" t="s">
        <v>33</v>
      </c>
      <c r="E2606" t="s">
        <v>34</v>
      </c>
      <c r="F2606">
        <v>604.04999999999995</v>
      </c>
      <c r="G2606">
        <v>230515</v>
      </c>
      <c r="H2606">
        <v>4580</v>
      </c>
      <c r="I2606" t="s">
        <v>35</v>
      </c>
      <c r="J2606">
        <v>749.02</v>
      </c>
      <c r="K2606">
        <v>144.97</v>
      </c>
      <c r="L2606">
        <v>14952</v>
      </c>
      <c r="M2606" t="s">
        <v>99</v>
      </c>
      <c r="N2606" t="str">
        <f>"834680      "</f>
        <v xml:space="preserve">834680      </v>
      </c>
      <c r="O2606">
        <v>230523</v>
      </c>
    </row>
    <row r="2607" spans="1:15" x14ac:dyDescent="0.25">
      <c r="A2607" t="s">
        <v>16</v>
      </c>
      <c r="B2607" t="s">
        <v>3221</v>
      </c>
      <c r="C2607">
        <v>7264</v>
      </c>
      <c r="D2607" t="s">
        <v>33</v>
      </c>
      <c r="E2607" t="s">
        <v>34</v>
      </c>
      <c r="F2607">
        <v>107.1</v>
      </c>
      <c r="G2607">
        <v>230522</v>
      </c>
      <c r="H2607">
        <v>4580</v>
      </c>
      <c r="I2607" t="s">
        <v>35</v>
      </c>
      <c r="J2607">
        <v>132.80000000000001</v>
      </c>
      <c r="K2607">
        <v>25.7</v>
      </c>
      <c r="L2607">
        <v>17808</v>
      </c>
      <c r="M2607" t="s">
        <v>322</v>
      </c>
      <c r="N2607" t="str">
        <f>"836609      "</f>
        <v xml:space="preserve">836609      </v>
      </c>
      <c r="O2607">
        <v>230526</v>
      </c>
    </row>
    <row r="2608" spans="1:15" x14ac:dyDescent="0.25">
      <c r="A2608" t="s">
        <v>16</v>
      </c>
      <c r="B2608" t="s">
        <v>3221</v>
      </c>
      <c r="C2608">
        <v>7267</v>
      </c>
      <c r="D2608" t="s">
        <v>33</v>
      </c>
      <c r="E2608" t="s">
        <v>34</v>
      </c>
      <c r="F2608">
        <v>272.19</v>
      </c>
      <c r="G2608">
        <v>230524</v>
      </c>
      <c r="H2608">
        <v>4580</v>
      </c>
      <c r="I2608" t="s">
        <v>35</v>
      </c>
      <c r="J2608">
        <v>337.52</v>
      </c>
      <c r="K2608">
        <v>65.33</v>
      </c>
      <c r="L2608">
        <v>11001</v>
      </c>
      <c r="M2608" t="s">
        <v>326</v>
      </c>
      <c r="N2608" t="str">
        <f>"837543      "</f>
        <v xml:space="preserve">837543      </v>
      </c>
      <c r="O2608">
        <v>230526</v>
      </c>
    </row>
    <row r="2609" spans="1:15" x14ac:dyDescent="0.25">
      <c r="A2609" t="s">
        <v>16</v>
      </c>
      <c r="B2609" t="s">
        <v>3221</v>
      </c>
      <c r="C2609">
        <v>7366</v>
      </c>
      <c r="D2609" t="s">
        <v>33</v>
      </c>
      <c r="E2609" t="s">
        <v>34</v>
      </c>
      <c r="F2609">
        <v>32</v>
      </c>
      <c r="G2609">
        <v>230526</v>
      </c>
      <c r="H2609">
        <v>4580</v>
      </c>
      <c r="I2609" t="s">
        <v>35</v>
      </c>
      <c r="J2609">
        <v>39.68</v>
      </c>
      <c r="K2609">
        <v>7.68</v>
      </c>
      <c r="L2609">
        <v>17913</v>
      </c>
      <c r="M2609" t="s">
        <v>431</v>
      </c>
      <c r="N2609" t="str">
        <f>"838152      "</f>
        <v xml:space="preserve">838152      </v>
      </c>
      <c r="O2609">
        <v>230529</v>
      </c>
    </row>
    <row r="2610" spans="1:15" x14ac:dyDescent="0.25">
      <c r="A2610" t="s">
        <v>16</v>
      </c>
      <c r="B2610" t="s">
        <v>3221</v>
      </c>
      <c r="C2610">
        <v>7435</v>
      </c>
      <c r="D2610" t="s">
        <v>33</v>
      </c>
      <c r="E2610" t="s">
        <v>34</v>
      </c>
      <c r="F2610">
        <v>1307</v>
      </c>
      <c r="G2610">
        <v>230526</v>
      </c>
      <c r="H2610">
        <v>4580</v>
      </c>
      <c r="I2610" t="s">
        <v>35</v>
      </c>
      <c r="J2610">
        <v>1620.68</v>
      </c>
      <c r="K2610">
        <v>313.68</v>
      </c>
      <c r="L2610">
        <v>14622</v>
      </c>
      <c r="M2610" t="s">
        <v>1005</v>
      </c>
      <c r="N2610" t="str">
        <f>"838021      "</f>
        <v xml:space="preserve">838021      </v>
      </c>
      <c r="O2610">
        <v>230530</v>
      </c>
    </row>
    <row r="2611" spans="1:15" x14ac:dyDescent="0.25">
      <c r="A2611" t="s">
        <v>16</v>
      </c>
      <c r="B2611" t="s">
        <v>3221</v>
      </c>
      <c r="C2611">
        <v>7580</v>
      </c>
      <c r="D2611" t="s">
        <v>33</v>
      </c>
      <c r="E2611" t="s">
        <v>34</v>
      </c>
      <c r="F2611">
        <v>269</v>
      </c>
      <c r="G2611">
        <v>230529</v>
      </c>
      <c r="H2611">
        <v>4580</v>
      </c>
      <c r="I2611" t="s">
        <v>35</v>
      </c>
      <c r="J2611">
        <v>333.56</v>
      </c>
      <c r="K2611">
        <v>64.56</v>
      </c>
      <c r="L2611">
        <v>14972</v>
      </c>
      <c r="M2611" t="s">
        <v>898</v>
      </c>
      <c r="N2611" t="str">
        <f>"838814      "</f>
        <v xml:space="preserve">838814      </v>
      </c>
      <c r="O2611">
        <v>230531</v>
      </c>
    </row>
    <row r="2612" spans="1:15" x14ac:dyDescent="0.25">
      <c r="A2612" t="s">
        <v>16</v>
      </c>
      <c r="B2612" t="s">
        <v>3221</v>
      </c>
      <c r="C2612">
        <v>7607</v>
      </c>
      <c r="D2612" t="s">
        <v>33</v>
      </c>
      <c r="E2612" t="s">
        <v>34</v>
      </c>
      <c r="F2612">
        <v>280</v>
      </c>
      <c r="G2612">
        <v>230526</v>
      </c>
      <c r="H2612">
        <v>4580</v>
      </c>
      <c r="I2612" t="s">
        <v>35</v>
      </c>
      <c r="J2612">
        <v>347.2</v>
      </c>
      <c r="K2612">
        <v>67.2</v>
      </c>
      <c r="L2612">
        <v>14952</v>
      </c>
      <c r="M2612" t="s">
        <v>99</v>
      </c>
      <c r="N2612" t="str">
        <f>"838143      "</f>
        <v xml:space="preserve">838143      </v>
      </c>
      <c r="O2612">
        <v>230601</v>
      </c>
    </row>
    <row r="2613" spans="1:15" x14ac:dyDescent="0.25">
      <c r="A2613" t="s">
        <v>16</v>
      </c>
      <c r="B2613" t="s">
        <v>3221</v>
      </c>
      <c r="C2613">
        <v>7608</v>
      </c>
      <c r="D2613" t="s">
        <v>33</v>
      </c>
      <c r="E2613" t="s">
        <v>34</v>
      </c>
      <c r="F2613">
        <v>36.28</v>
      </c>
      <c r="G2613">
        <v>230526</v>
      </c>
      <c r="H2613">
        <v>4580</v>
      </c>
      <c r="I2613" t="s">
        <v>35</v>
      </c>
      <c r="J2613">
        <v>44.99</v>
      </c>
      <c r="K2613">
        <v>8.7100000000000009</v>
      </c>
      <c r="L2613">
        <v>14952</v>
      </c>
      <c r="M2613" t="s">
        <v>99</v>
      </c>
      <c r="N2613" t="str">
        <f>"838071      "</f>
        <v xml:space="preserve">838071      </v>
      </c>
      <c r="O2613">
        <v>230601</v>
      </c>
    </row>
    <row r="2614" spans="1:15" x14ac:dyDescent="0.25">
      <c r="A2614" t="s">
        <v>16</v>
      </c>
      <c r="B2614" t="s">
        <v>3221</v>
      </c>
      <c r="C2614">
        <v>7736</v>
      </c>
      <c r="D2614" t="s">
        <v>33</v>
      </c>
      <c r="E2614" t="s">
        <v>34</v>
      </c>
      <c r="F2614">
        <v>140.61000000000001</v>
      </c>
      <c r="G2614">
        <v>230531</v>
      </c>
      <c r="H2614">
        <v>4580</v>
      </c>
      <c r="I2614" t="s">
        <v>35</v>
      </c>
      <c r="J2614">
        <v>174.36</v>
      </c>
      <c r="K2614">
        <v>33.75</v>
      </c>
      <c r="L2614">
        <v>16121</v>
      </c>
      <c r="M2614" t="s">
        <v>21</v>
      </c>
      <c r="N2614" t="str">
        <f>"839562      "</f>
        <v xml:space="preserve">839562      </v>
      </c>
      <c r="O2614">
        <v>230602</v>
      </c>
    </row>
    <row r="2615" spans="1:15" x14ac:dyDescent="0.25">
      <c r="A2615" t="s">
        <v>16</v>
      </c>
      <c r="B2615" t="s">
        <v>3221</v>
      </c>
      <c r="C2615">
        <v>7915</v>
      </c>
      <c r="D2615" t="s">
        <v>33</v>
      </c>
      <c r="E2615" t="s">
        <v>34</v>
      </c>
      <c r="F2615">
        <v>68.88</v>
      </c>
      <c r="G2615">
        <v>230531</v>
      </c>
      <c r="H2615">
        <v>4580</v>
      </c>
      <c r="I2615" t="s">
        <v>35</v>
      </c>
      <c r="J2615">
        <v>85.41</v>
      </c>
      <c r="K2615">
        <v>16.53</v>
      </c>
      <c r="L2615">
        <v>17808</v>
      </c>
      <c r="M2615" t="s">
        <v>322</v>
      </c>
      <c r="N2615" t="str">
        <f>"839714      "</f>
        <v xml:space="preserve">839714      </v>
      </c>
      <c r="O2615">
        <v>230605</v>
      </c>
    </row>
    <row r="2616" spans="1:15" x14ac:dyDescent="0.25">
      <c r="A2616" t="s">
        <v>16</v>
      </c>
      <c r="B2616" t="s">
        <v>3221</v>
      </c>
      <c r="C2616">
        <v>8189</v>
      </c>
      <c r="D2616" t="s">
        <v>33</v>
      </c>
      <c r="E2616" t="s">
        <v>34</v>
      </c>
      <c r="F2616">
        <v>178</v>
      </c>
      <c r="G2616">
        <v>230601</v>
      </c>
      <c r="H2616">
        <v>4580</v>
      </c>
      <c r="I2616" t="s">
        <v>35</v>
      </c>
      <c r="J2616">
        <v>220.72</v>
      </c>
      <c r="K2616">
        <v>42.72</v>
      </c>
      <c r="L2616">
        <v>69702</v>
      </c>
      <c r="M2616" t="s">
        <v>489</v>
      </c>
      <c r="N2616" t="str">
        <f>"839933      "</f>
        <v xml:space="preserve">839933      </v>
      </c>
      <c r="O2616">
        <v>230607</v>
      </c>
    </row>
    <row r="2617" spans="1:15" x14ac:dyDescent="0.25">
      <c r="A2617" t="s">
        <v>16</v>
      </c>
      <c r="B2617" t="s">
        <v>3221</v>
      </c>
      <c r="C2617">
        <v>8190</v>
      </c>
      <c r="D2617" t="s">
        <v>33</v>
      </c>
      <c r="E2617" t="s">
        <v>34</v>
      </c>
      <c r="F2617">
        <v>435</v>
      </c>
      <c r="G2617">
        <v>230605</v>
      </c>
      <c r="H2617">
        <v>4580</v>
      </c>
      <c r="I2617" t="s">
        <v>35</v>
      </c>
      <c r="J2617">
        <v>539.4</v>
      </c>
      <c r="K2617">
        <v>104.4</v>
      </c>
      <c r="L2617">
        <v>17807</v>
      </c>
      <c r="M2617" t="s">
        <v>318</v>
      </c>
      <c r="N2617" t="str">
        <f>"840850      "</f>
        <v xml:space="preserve">840850      </v>
      </c>
      <c r="O2617">
        <v>230607</v>
      </c>
    </row>
    <row r="2618" spans="1:15" x14ac:dyDescent="0.25">
      <c r="A2618" t="s">
        <v>16</v>
      </c>
      <c r="B2618" t="s">
        <v>3221</v>
      </c>
      <c r="C2618">
        <v>8596</v>
      </c>
      <c r="D2618" t="s">
        <v>33</v>
      </c>
      <c r="E2618" t="s">
        <v>34</v>
      </c>
      <c r="F2618">
        <v>74.2</v>
      </c>
      <c r="G2618">
        <v>230609</v>
      </c>
      <c r="H2618">
        <v>4580</v>
      </c>
      <c r="I2618" t="s">
        <v>35</v>
      </c>
      <c r="J2618">
        <v>92.01</v>
      </c>
      <c r="K2618">
        <v>17.809999999999999</v>
      </c>
      <c r="L2618">
        <v>17952</v>
      </c>
      <c r="M2618" t="s">
        <v>88</v>
      </c>
      <c r="N2618" t="str">
        <f>"842185      "</f>
        <v xml:space="preserve">842185      </v>
      </c>
      <c r="O2618">
        <v>230612</v>
      </c>
    </row>
    <row r="2619" spans="1:15" x14ac:dyDescent="0.25">
      <c r="A2619" t="s">
        <v>16</v>
      </c>
      <c r="B2619" t="s">
        <v>3221</v>
      </c>
      <c r="C2619">
        <v>8696</v>
      </c>
      <c r="D2619" t="s">
        <v>33</v>
      </c>
      <c r="E2619" t="s">
        <v>34</v>
      </c>
      <c r="F2619">
        <v>1038.48</v>
      </c>
      <c r="G2619">
        <v>230612</v>
      </c>
      <c r="H2619">
        <v>4580</v>
      </c>
      <c r="I2619" t="s">
        <v>35</v>
      </c>
      <c r="J2619">
        <v>1287.72</v>
      </c>
      <c r="K2619">
        <v>249.24</v>
      </c>
      <c r="L2619">
        <v>17952</v>
      </c>
      <c r="M2619" t="s">
        <v>88</v>
      </c>
      <c r="N2619" t="str">
        <f>"842511      "</f>
        <v xml:space="preserve">842511      </v>
      </c>
      <c r="O2619">
        <v>230613</v>
      </c>
    </row>
    <row r="2620" spans="1:15" x14ac:dyDescent="0.25">
      <c r="A2620" t="s">
        <v>16</v>
      </c>
      <c r="B2620" t="s">
        <v>3221</v>
      </c>
      <c r="C2620">
        <v>8697</v>
      </c>
      <c r="D2620" t="s">
        <v>33</v>
      </c>
      <c r="E2620" t="s">
        <v>34</v>
      </c>
      <c r="F2620">
        <v>114.8</v>
      </c>
      <c r="G2620">
        <v>230612</v>
      </c>
      <c r="H2620">
        <v>4580</v>
      </c>
      <c r="I2620" t="s">
        <v>35</v>
      </c>
      <c r="J2620">
        <v>142.35</v>
      </c>
      <c r="K2620">
        <v>27.55</v>
      </c>
      <c r="L2620">
        <v>17952</v>
      </c>
      <c r="M2620" t="s">
        <v>88</v>
      </c>
      <c r="N2620" t="str">
        <f>"842520      "</f>
        <v xml:space="preserve">842520      </v>
      </c>
      <c r="O2620">
        <v>230613</v>
      </c>
    </row>
    <row r="2621" spans="1:15" x14ac:dyDescent="0.25">
      <c r="A2621" t="s">
        <v>16</v>
      </c>
      <c r="B2621" t="s">
        <v>3221</v>
      </c>
      <c r="C2621">
        <v>9084</v>
      </c>
      <c r="D2621" t="s">
        <v>33</v>
      </c>
      <c r="E2621" t="s">
        <v>34</v>
      </c>
      <c r="F2621">
        <v>23.3</v>
      </c>
      <c r="G2621">
        <v>230620</v>
      </c>
      <c r="H2621">
        <v>4580</v>
      </c>
      <c r="I2621" t="s">
        <v>35</v>
      </c>
      <c r="J2621">
        <v>28.89</v>
      </c>
      <c r="K2621">
        <v>5.59</v>
      </c>
      <c r="L2621">
        <v>17952</v>
      </c>
      <c r="M2621" t="s">
        <v>88</v>
      </c>
      <c r="N2621" t="str">
        <f>"844879      "</f>
        <v xml:space="preserve">844879      </v>
      </c>
      <c r="O2621">
        <v>230622</v>
      </c>
    </row>
    <row r="2622" spans="1:15" x14ac:dyDescent="0.25">
      <c r="A2622" t="s">
        <v>16</v>
      </c>
      <c r="B2622" t="s">
        <v>3221</v>
      </c>
      <c r="C2622">
        <v>9187</v>
      </c>
      <c r="D2622" t="s">
        <v>33</v>
      </c>
      <c r="E2622" t="s">
        <v>34</v>
      </c>
      <c r="F2622">
        <v>1376.4</v>
      </c>
      <c r="G2622">
        <v>230626</v>
      </c>
      <c r="H2622">
        <v>4580</v>
      </c>
      <c r="I2622" t="s">
        <v>35</v>
      </c>
      <c r="J2622">
        <v>1706.74</v>
      </c>
      <c r="K2622">
        <v>330.34</v>
      </c>
      <c r="L2622">
        <v>17952</v>
      </c>
      <c r="M2622" t="s">
        <v>88</v>
      </c>
      <c r="N2622" t="str">
        <f>"846222      "</f>
        <v xml:space="preserve">846222      </v>
      </c>
      <c r="O2622">
        <v>230629</v>
      </c>
    </row>
    <row r="2623" spans="1:15" x14ac:dyDescent="0.25">
      <c r="A2623" t="s">
        <v>16</v>
      </c>
      <c r="B2623" t="s">
        <v>3221</v>
      </c>
      <c r="C2623">
        <v>9188</v>
      </c>
      <c r="D2623" t="s">
        <v>33</v>
      </c>
      <c r="E2623" t="s">
        <v>34</v>
      </c>
      <c r="F2623">
        <v>138.80000000000001</v>
      </c>
      <c r="G2623">
        <v>230626</v>
      </c>
      <c r="H2623">
        <v>4580</v>
      </c>
      <c r="I2623" t="s">
        <v>35</v>
      </c>
      <c r="J2623">
        <v>172.11</v>
      </c>
      <c r="K2623">
        <v>33.31</v>
      </c>
      <c r="L2623">
        <v>11001</v>
      </c>
      <c r="M2623" t="s">
        <v>326</v>
      </c>
      <c r="N2623" t="str">
        <f>"846035      "</f>
        <v xml:space="preserve">846035      </v>
      </c>
      <c r="O2623">
        <v>230629</v>
      </c>
    </row>
    <row r="2624" spans="1:15" x14ac:dyDescent="0.25">
      <c r="A2624" t="s">
        <v>16</v>
      </c>
      <c r="B2624" t="s">
        <v>3221</v>
      </c>
      <c r="C2624">
        <v>9902</v>
      </c>
      <c r="D2624" t="s">
        <v>33</v>
      </c>
      <c r="E2624" t="s">
        <v>34</v>
      </c>
      <c r="F2624">
        <v>319</v>
      </c>
      <c r="G2624">
        <v>230719</v>
      </c>
      <c r="H2624">
        <v>4580</v>
      </c>
      <c r="I2624" t="s">
        <v>35</v>
      </c>
      <c r="J2624">
        <v>395.56</v>
      </c>
      <c r="K2624">
        <v>76.56</v>
      </c>
      <c r="L2624">
        <v>46554</v>
      </c>
      <c r="M2624" t="s">
        <v>117</v>
      </c>
      <c r="N2624" t="str">
        <f>"850927      "</f>
        <v xml:space="preserve">850927      </v>
      </c>
      <c r="O2624">
        <v>230801</v>
      </c>
    </row>
    <row r="2625" spans="1:15" x14ac:dyDescent="0.25">
      <c r="A2625" t="s">
        <v>16</v>
      </c>
      <c r="B2625" t="s">
        <v>3221</v>
      </c>
      <c r="C2625">
        <v>9903</v>
      </c>
      <c r="D2625" t="s">
        <v>33</v>
      </c>
      <c r="E2625" t="s">
        <v>34</v>
      </c>
      <c r="F2625">
        <v>134.69999999999999</v>
      </c>
      <c r="G2625">
        <v>230728</v>
      </c>
      <c r="H2625">
        <v>4580</v>
      </c>
      <c r="I2625" t="s">
        <v>35</v>
      </c>
      <c r="J2625">
        <v>167.03</v>
      </c>
      <c r="K2625">
        <v>32.33</v>
      </c>
      <c r="L2625">
        <v>17529</v>
      </c>
      <c r="M2625" t="s">
        <v>453</v>
      </c>
      <c r="N2625" t="str">
        <f>"852583      "</f>
        <v xml:space="preserve">852583      </v>
      </c>
      <c r="O2625">
        <v>230801</v>
      </c>
    </row>
    <row r="2626" spans="1:15" x14ac:dyDescent="0.25">
      <c r="A2626" t="s">
        <v>16</v>
      </c>
      <c r="B2626" t="s">
        <v>3221</v>
      </c>
      <c r="C2626">
        <v>9942</v>
      </c>
      <c r="D2626" t="s">
        <v>33</v>
      </c>
      <c r="E2626" t="s">
        <v>34</v>
      </c>
      <c r="F2626">
        <v>105.77</v>
      </c>
      <c r="G2626">
        <v>230728</v>
      </c>
      <c r="H2626">
        <v>4580</v>
      </c>
      <c r="I2626" t="s">
        <v>35</v>
      </c>
      <c r="J2626">
        <v>131.15</v>
      </c>
      <c r="K2626">
        <v>25.38</v>
      </c>
      <c r="L2626">
        <v>67554</v>
      </c>
      <c r="M2626" t="s">
        <v>60</v>
      </c>
      <c r="N2626" t="str">
        <f>"852698      "</f>
        <v xml:space="preserve">852698      </v>
      </c>
      <c r="O2626">
        <v>230802</v>
      </c>
    </row>
    <row r="2627" spans="1:15" x14ac:dyDescent="0.25">
      <c r="A2627" t="s">
        <v>16</v>
      </c>
      <c r="B2627" t="s">
        <v>3221</v>
      </c>
      <c r="C2627">
        <v>9975</v>
      </c>
      <c r="D2627" t="s">
        <v>33</v>
      </c>
      <c r="E2627" t="s">
        <v>34</v>
      </c>
      <c r="F2627">
        <v>216.81</v>
      </c>
      <c r="G2627">
        <v>230801</v>
      </c>
      <c r="H2627">
        <v>4580</v>
      </c>
      <c r="I2627" t="s">
        <v>35</v>
      </c>
      <c r="J2627">
        <v>268.83999999999997</v>
      </c>
      <c r="K2627">
        <v>52.03</v>
      </c>
      <c r="L2627">
        <v>61122</v>
      </c>
      <c r="M2627" t="s">
        <v>402</v>
      </c>
      <c r="N2627" t="str">
        <f>"853380      "</f>
        <v xml:space="preserve">853380      </v>
      </c>
      <c r="O2627">
        <v>230803</v>
      </c>
    </row>
    <row r="2628" spans="1:15" x14ac:dyDescent="0.25">
      <c r="A2628" t="s">
        <v>16</v>
      </c>
      <c r="B2628" t="s">
        <v>3221</v>
      </c>
      <c r="C2628">
        <v>10042</v>
      </c>
      <c r="D2628" t="s">
        <v>33</v>
      </c>
      <c r="E2628" t="s">
        <v>34</v>
      </c>
      <c r="F2628">
        <v>302.06</v>
      </c>
      <c r="G2628">
        <v>230731</v>
      </c>
      <c r="H2628">
        <v>4580</v>
      </c>
      <c r="I2628" t="s">
        <v>35</v>
      </c>
      <c r="J2628">
        <v>374.55</v>
      </c>
      <c r="K2628">
        <v>72.489999999999995</v>
      </c>
      <c r="L2628">
        <v>14974</v>
      </c>
      <c r="M2628" t="s">
        <v>1340</v>
      </c>
      <c r="N2628" t="str">
        <f>"852899      "</f>
        <v xml:space="preserve">852899      </v>
      </c>
      <c r="O2628">
        <v>230807</v>
      </c>
    </row>
    <row r="2629" spans="1:15" x14ac:dyDescent="0.25">
      <c r="A2629" t="s">
        <v>16</v>
      </c>
      <c r="B2629" t="s">
        <v>3221</v>
      </c>
      <c r="C2629">
        <v>10236</v>
      </c>
      <c r="D2629" t="s">
        <v>33</v>
      </c>
      <c r="E2629" t="s">
        <v>34</v>
      </c>
      <c r="F2629">
        <v>138</v>
      </c>
      <c r="G2629">
        <v>230718</v>
      </c>
      <c r="H2629">
        <v>4580</v>
      </c>
      <c r="I2629" t="s">
        <v>35</v>
      </c>
      <c r="J2629">
        <v>171.12</v>
      </c>
      <c r="K2629">
        <v>33.119999999999997</v>
      </c>
      <c r="L2629">
        <v>56562</v>
      </c>
      <c r="M2629" t="s">
        <v>126</v>
      </c>
      <c r="N2629" t="str">
        <f>"850657      "</f>
        <v xml:space="preserve">850657      </v>
      </c>
      <c r="O2629">
        <v>230810</v>
      </c>
    </row>
    <row r="2630" spans="1:15" x14ac:dyDescent="0.25">
      <c r="A2630" t="s">
        <v>16</v>
      </c>
      <c r="B2630" t="s">
        <v>3221</v>
      </c>
      <c r="C2630">
        <v>10238</v>
      </c>
      <c r="D2630" t="s">
        <v>33</v>
      </c>
      <c r="E2630" t="s">
        <v>34</v>
      </c>
      <c r="F2630">
        <v>138</v>
      </c>
      <c r="G2630">
        <v>230718</v>
      </c>
      <c r="H2630">
        <v>4580</v>
      </c>
      <c r="I2630" t="s">
        <v>35</v>
      </c>
      <c r="J2630">
        <v>171.12</v>
      </c>
      <c r="K2630">
        <v>33.119999999999997</v>
      </c>
      <c r="L2630">
        <v>56560</v>
      </c>
      <c r="M2630" t="s">
        <v>654</v>
      </c>
      <c r="N2630" t="str">
        <f>"850659      "</f>
        <v xml:space="preserve">850659      </v>
      </c>
      <c r="O2630">
        <v>230810</v>
      </c>
    </row>
    <row r="2631" spans="1:15" x14ac:dyDescent="0.25">
      <c r="A2631" t="s">
        <v>16</v>
      </c>
      <c r="B2631" t="s">
        <v>3221</v>
      </c>
      <c r="C2631">
        <v>10239</v>
      </c>
      <c r="D2631" t="s">
        <v>33</v>
      </c>
      <c r="E2631" t="s">
        <v>34</v>
      </c>
      <c r="F2631">
        <v>138</v>
      </c>
      <c r="G2631">
        <v>230718</v>
      </c>
      <c r="H2631">
        <v>4580</v>
      </c>
      <c r="I2631" t="s">
        <v>35</v>
      </c>
      <c r="J2631">
        <v>171.12</v>
      </c>
      <c r="K2631">
        <v>33.119999999999997</v>
      </c>
      <c r="L2631">
        <v>59111</v>
      </c>
      <c r="M2631" t="s">
        <v>1010</v>
      </c>
      <c r="N2631" t="str">
        <f>"850660      "</f>
        <v xml:space="preserve">850660      </v>
      </c>
      <c r="O2631">
        <v>230810</v>
      </c>
    </row>
    <row r="2632" spans="1:15" x14ac:dyDescent="0.25">
      <c r="A2632" t="s">
        <v>16</v>
      </c>
      <c r="B2632" t="s">
        <v>3221</v>
      </c>
      <c r="C2632">
        <v>10240</v>
      </c>
      <c r="D2632" t="s">
        <v>33</v>
      </c>
      <c r="E2632" t="s">
        <v>34</v>
      </c>
      <c r="F2632">
        <v>138</v>
      </c>
      <c r="G2632">
        <v>230718</v>
      </c>
      <c r="H2632">
        <v>4580</v>
      </c>
      <c r="I2632" t="s">
        <v>35</v>
      </c>
      <c r="J2632">
        <v>171.12</v>
      </c>
      <c r="K2632">
        <v>33.119999999999997</v>
      </c>
      <c r="L2632">
        <v>56562</v>
      </c>
      <c r="M2632" t="s">
        <v>126</v>
      </c>
      <c r="N2632" t="str">
        <f>"850656      "</f>
        <v xml:space="preserve">850656      </v>
      </c>
      <c r="O2632">
        <v>230810</v>
      </c>
    </row>
    <row r="2633" spans="1:15" x14ac:dyDescent="0.25">
      <c r="A2633" t="s">
        <v>16</v>
      </c>
      <c r="B2633" t="s">
        <v>3221</v>
      </c>
      <c r="C2633">
        <v>10241</v>
      </c>
      <c r="D2633" t="s">
        <v>33</v>
      </c>
      <c r="E2633" t="s">
        <v>34</v>
      </c>
      <c r="F2633">
        <v>138</v>
      </c>
      <c r="G2633">
        <v>230718</v>
      </c>
      <c r="H2633">
        <v>4580</v>
      </c>
      <c r="I2633" t="s">
        <v>35</v>
      </c>
      <c r="J2633">
        <v>171.12</v>
      </c>
      <c r="K2633">
        <v>33.119999999999997</v>
      </c>
      <c r="L2633">
        <v>56558</v>
      </c>
      <c r="M2633" t="s">
        <v>217</v>
      </c>
      <c r="N2633" t="str">
        <f>"850658      "</f>
        <v xml:space="preserve">850658      </v>
      </c>
      <c r="O2633">
        <v>230810</v>
      </c>
    </row>
    <row r="2634" spans="1:15" x14ac:dyDescent="0.25">
      <c r="A2634" t="s">
        <v>16</v>
      </c>
      <c r="B2634" t="s">
        <v>3221</v>
      </c>
      <c r="C2634">
        <v>10354</v>
      </c>
      <c r="D2634" t="s">
        <v>33</v>
      </c>
      <c r="E2634" t="s">
        <v>34</v>
      </c>
      <c r="F2634">
        <v>132</v>
      </c>
      <c r="G2634">
        <v>230802</v>
      </c>
      <c r="H2634">
        <v>4580</v>
      </c>
      <c r="I2634" t="s">
        <v>35</v>
      </c>
      <c r="J2634">
        <v>163.68</v>
      </c>
      <c r="K2634">
        <v>31.68</v>
      </c>
      <c r="L2634">
        <v>49702</v>
      </c>
      <c r="M2634" t="s">
        <v>584</v>
      </c>
      <c r="N2634" t="str">
        <f>"853627      "</f>
        <v xml:space="preserve">853627      </v>
      </c>
      <c r="O2634">
        <v>230814</v>
      </c>
    </row>
    <row r="2635" spans="1:15" x14ac:dyDescent="0.25">
      <c r="A2635" t="s">
        <v>16</v>
      </c>
      <c r="B2635" t="s">
        <v>3221</v>
      </c>
      <c r="C2635">
        <v>10356</v>
      </c>
      <c r="D2635" t="s">
        <v>33</v>
      </c>
      <c r="E2635" t="s">
        <v>34</v>
      </c>
      <c r="F2635">
        <v>159.9</v>
      </c>
      <c r="G2635">
        <v>230804</v>
      </c>
      <c r="H2635">
        <v>4580</v>
      </c>
      <c r="I2635" t="s">
        <v>35</v>
      </c>
      <c r="J2635">
        <v>198.28</v>
      </c>
      <c r="K2635">
        <v>38.380000000000003</v>
      </c>
      <c r="L2635">
        <v>14912</v>
      </c>
      <c r="M2635" t="s">
        <v>230</v>
      </c>
      <c r="N2635" t="str">
        <f>"854263      "</f>
        <v xml:space="preserve">854263      </v>
      </c>
      <c r="O2635">
        <v>230814</v>
      </c>
    </row>
    <row r="2636" spans="1:15" x14ac:dyDescent="0.25">
      <c r="A2636" t="s">
        <v>16</v>
      </c>
      <c r="B2636" t="s">
        <v>3221</v>
      </c>
      <c r="C2636">
        <v>10365</v>
      </c>
      <c r="D2636" t="s">
        <v>33</v>
      </c>
      <c r="E2636" t="s">
        <v>34</v>
      </c>
      <c r="F2636">
        <v>45.8</v>
      </c>
      <c r="G2636">
        <v>230808</v>
      </c>
      <c r="H2636">
        <v>4580</v>
      </c>
      <c r="I2636" t="s">
        <v>35</v>
      </c>
      <c r="J2636">
        <v>56.79</v>
      </c>
      <c r="K2636">
        <v>10.99</v>
      </c>
      <c r="L2636">
        <v>11601</v>
      </c>
      <c r="M2636" t="s">
        <v>535</v>
      </c>
      <c r="N2636" t="str">
        <f>"854680      "</f>
        <v xml:space="preserve">854680      </v>
      </c>
      <c r="O2636">
        <v>230814</v>
      </c>
    </row>
    <row r="2637" spans="1:15" x14ac:dyDescent="0.25">
      <c r="A2637" t="s">
        <v>16</v>
      </c>
      <c r="B2637" t="s">
        <v>3221</v>
      </c>
      <c r="C2637">
        <v>10366</v>
      </c>
      <c r="D2637" t="s">
        <v>33</v>
      </c>
      <c r="E2637" t="s">
        <v>34</v>
      </c>
      <c r="F2637">
        <v>109</v>
      </c>
      <c r="G2637">
        <v>230808</v>
      </c>
      <c r="H2637">
        <v>4580</v>
      </c>
      <c r="I2637" t="s">
        <v>35</v>
      </c>
      <c r="J2637">
        <v>135.16</v>
      </c>
      <c r="K2637">
        <v>26.16</v>
      </c>
      <c r="L2637">
        <v>17737</v>
      </c>
      <c r="M2637" t="s">
        <v>279</v>
      </c>
      <c r="N2637" t="str">
        <f>"854956      "</f>
        <v xml:space="preserve">854956      </v>
      </c>
      <c r="O2637">
        <v>230814</v>
      </c>
    </row>
    <row r="2638" spans="1:15" x14ac:dyDescent="0.25">
      <c r="A2638" t="s">
        <v>16</v>
      </c>
      <c r="B2638" t="s">
        <v>3221</v>
      </c>
      <c r="C2638">
        <v>10367</v>
      </c>
      <c r="D2638" t="s">
        <v>33</v>
      </c>
      <c r="E2638" t="s">
        <v>34</v>
      </c>
      <c r="F2638">
        <v>131</v>
      </c>
      <c r="G2638">
        <v>230809</v>
      </c>
      <c r="H2638">
        <v>4580</v>
      </c>
      <c r="I2638" t="s">
        <v>35</v>
      </c>
      <c r="J2638">
        <v>162.44</v>
      </c>
      <c r="K2638">
        <v>31.44</v>
      </c>
      <c r="L2638">
        <v>13401</v>
      </c>
      <c r="M2638" t="s">
        <v>80</v>
      </c>
      <c r="N2638" t="str">
        <f>"855179      "</f>
        <v xml:space="preserve">855179      </v>
      </c>
      <c r="O2638">
        <v>230814</v>
      </c>
    </row>
    <row r="2639" spans="1:15" x14ac:dyDescent="0.25">
      <c r="A2639" t="s">
        <v>16</v>
      </c>
      <c r="B2639" t="s">
        <v>3221</v>
      </c>
      <c r="C2639">
        <v>10369</v>
      </c>
      <c r="D2639" t="s">
        <v>33</v>
      </c>
      <c r="E2639" t="s">
        <v>34</v>
      </c>
      <c r="F2639">
        <v>131</v>
      </c>
      <c r="G2639">
        <v>230809</v>
      </c>
      <c r="H2639">
        <v>4580</v>
      </c>
      <c r="I2639" t="s">
        <v>35</v>
      </c>
      <c r="J2639">
        <v>162.44</v>
      </c>
      <c r="K2639">
        <v>31.44</v>
      </c>
      <c r="L2639">
        <v>47522</v>
      </c>
      <c r="M2639" t="s">
        <v>410</v>
      </c>
      <c r="N2639" t="str">
        <f>"855186      "</f>
        <v xml:space="preserve">855186      </v>
      </c>
      <c r="O2639">
        <v>230814</v>
      </c>
    </row>
    <row r="2640" spans="1:15" x14ac:dyDescent="0.25">
      <c r="A2640" t="s">
        <v>16</v>
      </c>
      <c r="B2640" t="s">
        <v>3221</v>
      </c>
      <c r="C2640">
        <v>10389</v>
      </c>
      <c r="D2640" t="s">
        <v>33</v>
      </c>
      <c r="E2640" t="s">
        <v>34</v>
      </c>
      <c r="F2640">
        <v>253.5</v>
      </c>
      <c r="G2640">
        <v>230809</v>
      </c>
      <c r="H2640">
        <v>4580</v>
      </c>
      <c r="I2640" t="s">
        <v>35</v>
      </c>
      <c r="J2640">
        <v>314.33999999999997</v>
      </c>
      <c r="K2640">
        <v>60.84</v>
      </c>
      <c r="L2640">
        <v>46222</v>
      </c>
      <c r="M2640" t="s">
        <v>293</v>
      </c>
      <c r="N2640" t="str">
        <f>"855236      "</f>
        <v xml:space="preserve">855236      </v>
      </c>
      <c r="O2640">
        <v>230815</v>
      </c>
    </row>
    <row r="2641" spans="1:15" x14ac:dyDescent="0.25">
      <c r="A2641" t="s">
        <v>16</v>
      </c>
      <c r="B2641" t="s">
        <v>3221</v>
      </c>
      <c r="C2641">
        <v>10426</v>
      </c>
      <c r="D2641" t="s">
        <v>33</v>
      </c>
      <c r="E2641" t="s">
        <v>34</v>
      </c>
      <c r="F2641">
        <v>339.59</v>
      </c>
      <c r="G2641">
        <v>230809</v>
      </c>
      <c r="H2641">
        <v>4580</v>
      </c>
      <c r="I2641" t="s">
        <v>35</v>
      </c>
      <c r="J2641">
        <v>421.09</v>
      </c>
      <c r="K2641">
        <v>81.5</v>
      </c>
      <c r="L2641">
        <v>13801</v>
      </c>
      <c r="M2641" t="s">
        <v>162</v>
      </c>
      <c r="N2641" t="str">
        <f>"855333      "</f>
        <v xml:space="preserve">855333      </v>
      </c>
      <c r="O2641">
        <v>230815</v>
      </c>
    </row>
    <row r="2642" spans="1:15" x14ac:dyDescent="0.25">
      <c r="A2642" t="s">
        <v>16</v>
      </c>
      <c r="B2642" t="s">
        <v>3221</v>
      </c>
      <c r="C2642">
        <v>10505</v>
      </c>
      <c r="D2642" t="s">
        <v>33</v>
      </c>
      <c r="E2642" t="s">
        <v>34</v>
      </c>
      <c r="F2642">
        <v>39</v>
      </c>
      <c r="G2642">
        <v>230811</v>
      </c>
      <c r="H2642">
        <v>4580</v>
      </c>
      <c r="I2642" t="s">
        <v>35</v>
      </c>
      <c r="J2642">
        <v>48.36</v>
      </c>
      <c r="K2642">
        <v>9.36</v>
      </c>
      <c r="L2642">
        <v>56562</v>
      </c>
      <c r="M2642" t="s">
        <v>126</v>
      </c>
      <c r="N2642" t="str">
        <f>"856067      "</f>
        <v xml:space="preserve">856067      </v>
      </c>
      <c r="O2642">
        <v>230817</v>
      </c>
    </row>
    <row r="2643" spans="1:15" x14ac:dyDescent="0.25">
      <c r="A2643" t="s">
        <v>16</v>
      </c>
      <c r="B2643" t="s">
        <v>3221</v>
      </c>
      <c r="C2643">
        <v>10544</v>
      </c>
      <c r="D2643" t="s">
        <v>33</v>
      </c>
      <c r="E2643" t="s">
        <v>34</v>
      </c>
      <c r="F2643">
        <v>78.75</v>
      </c>
      <c r="G2643">
        <v>230810</v>
      </c>
      <c r="H2643">
        <v>4580</v>
      </c>
      <c r="I2643" t="s">
        <v>35</v>
      </c>
      <c r="J2643">
        <v>97.65</v>
      </c>
      <c r="K2643">
        <v>18.899999999999999</v>
      </c>
      <c r="L2643">
        <v>11401</v>
      </c>
      <c r="M2643" t="s">
        <v>84</v>
      </c>
      <c r="N2643" t="str">
        <f>"855538      "</f>
        <v xml:space="preserve">855538      </v>
      </c>
      <c r="O2643">
        <v>230818</v>
      </c>
    </row>
    <row r="2644" spans="1:15" x14ac:dyDescent="0.25">
      <c r="A2644" t="s">
        <v>16</v>
      </c>
      <c r="B2644" t="s">
        <v>3221</v>
      </c>
      <c r="C2644">
        <v>10565</v>
      </c>
      <c r="D2644" t="s">
        <v>33</v>
      </c>
      <c r="E2644" t="s">
        <v>34</v>
      </c>
      <c r="F2644">
        <v>19.5</v>
      </c>
      <c r="G2644">
        <v>230809</v>
      </c>
      <c r="H2644">
        <v>4580</v>
      </c>
      <c r="I2644" t="s">
        <v>35</v>
      </c>
      <c r="J2644">
        <v>24.18</v>
      </c>
      <c r="K2644">
        <v>4.68</v>
      </c>
      <c r="L2644">
        <v>17531</v>
      </c>
      <c r="M2644" t="s">
        <v>136</v>
      </c>
      <c r="N2644" t="str">
        <f>"855131      "</f>
        <v xml:space="preserve">855131      </v>
      </c>
      <c r="O2644">
        <v>230818</v>
      </c>
    </row>
    <row r="2645" spans="1:15" x14ac:dyDescent="0.25">
      <c r="A2645" t="s">
        <v>16</v>
      </c>
      <c r="B2645" t="s">
        <v>3221</v>
      </c>
      <c r="C2645">
        <v>10678</v>
      </c>
      <c r="D2645" t="s">
        <v>33</v>
      </c>
      <c r="E2645" t="s">
        <v>34</v>
      </c>
      <c r="F2645">
        <v>349.5</v>
      </c>
      <c r="G2645">
        <v>230802</v>
      </c>
      <c r="H2645">
        <v>4580</v>
      </c>
      <c r="I2645" t="s">
        <v>35</v>
      </c>
      <c r="J2645">
        <v>433.38</v>
      </c>
      <c r="K2645">
        <v>83.88</v>
      </c>
      <c r="L2645">
        <v>59501</v>
      </c>
      <c r="M2645" t="s">
        <v>69</v>
      </c>
      <c r="N2645" t="str">
        <f>"853696      "</f>
        <v xml:space="preserve">853696      </v>
      </c>
      <c r="O2645">
        <v>230821</v>
      </c>
    </row>
    <row r="2646" spans="1:15" x14ac:dyDescent="0.25">
      <c r="A2646" t="s">
        <v>16</v>
      </c>
      <c r="B2646" t="s">
        <v>3221</v>
      </c>
      <c r="C2646">
        <v>10723</v>
      </c>
      <c r="D2646" t="s">
        <v>33</v>
      </c>
      <c r="E2646" t="s">
        <v>34</v>
      </c>
      <c r="F2646">
        <v>131</v>
      </c>
      <c r="G2646">
        <v>230809</v>
      </c>
      <c r="H2646">
        <v>4580</v>
      </c>
      <c r="I2646" t="s">
        <v>35</v>
      </c>
      <c r="J2646">
        <v>162.44</v>
      </c>
      <c r="K2646">
        <v>31.44</v>
      </c>
      <c r="L2646">
        <v>49704</v>
      </c>
      <c r="M2646" t="s">
        <v>1065</v>
      </c>
      <c r="N2646" t="str">
        <f>"855189      "</f>
        <v xml:space="preserve">855189      </v>
      </c>
      <c r="O2646">
        <v>230822</v>
      </c>
    </row>
    <row r="2647" spans="1:15" x14ac:dyDescent="0.25">
      <c r="A2647" t="s">
        <v>16</v>
      </c>
      <c r="B2647" t="s">
        <v>3221</v>
      </c>
      <c r="C2647">
        <v>10730</v>
      </c>
      <c r="D2647" t="s">
        <v>33</v>
      </c>
      <c r="E2647" t="s">
        <v>34</v>
      </c>
      <c r="F2647">
        <v>138</v>
      </c>
      <c r="G2647">
        <v>230815</v>
      </c>
      <c r="H2647">
        <v>4580</v>
      </c>
      <c r="I2647" t="s">
        <v>35</v>
      </c>
      <c r="J2647">
        <v>171.12</v>
      </c>
      <c r="K2647">
        <v>33.119999999999997</v>
      </c>
      <c r="L2647">
        <v>17972</v>
      </c>
      <c r="M2647" t="s">
        <v>248</v>
      </c>
      <c r="N2647" t="str">
        <f>"856653      "</f>
        <v xml:space="preserve">856653      </v>
      </c>
      <c r="O2647">
        <v>230822</v>
      </c>
    </row>
    <row r="2648" spans="1:15" x14ac:dyDescent="0.25">
      <c r="A2648" t="s">
        <v>16</v>
      </c>
      <c r="B2648" t="s">
        <v>3221</v>
      </c>
      <c r="C2648">
        <v>10731</v>
      </c>
      <c r="D2648" t="s">
        <v>33</v>
      </c>
      <c r="E2648" t="s">
        <v>34</v>
      </c>
      <c r="F2648">
        <v>183</v>
      </c>
      <c r="G2648">
        <v>230815</v>
      </c>
      <c r="H2648">
        <v>4580</v>
      </c>
      <c r="I2648" t="s">
        <v>35</v>
      </c>
      <c r="J2648">
        <v>226.92</v>
      </c>
      <c r="K2648">
        <v>43.92</v>
      </c>
      <c r="L2648">
        <v>16121</v>
      </c>
      <c r="M2648" t="s">
        <v>21</v>
      </c>
      <c r="N2648" t="str">
        <f>"856660      "</f>
        <v xml:space="preserve">856660      </v>
      </c>
      <c r="O2648">
        <v>230822</v>
      </c>
    </row>
    <row r="2649" spans="1:15" x14ac:dyDescent="0.25">
      <c r="A2649" t="s">
        <v>16</v>
      </c>
      <c r="B2649" t="s">
        <v>3221</v>
      </c>
      <c r="C2649">
        <v>10837</v>
      </c>
      <c r="D2649" t="s">
        <v>33</v>
      </c>
      <c r="E2649" t="s">
        <v>34</v>
      </c>
      <c r="F2649">
        <v>15.9</v>
      </c>
      <c r="G2649">
        <v>230814</v>
      </c>
      <c r="H2649">
        <v>4580</v>
      </c>
      <c r="I2649" t="s">
        <v>35</v>
      </c>
      <c r="J2649">
        <v>19.72</v>
      </c>
      <c r="K2649">
        <v>3.82</v>
      </c>
      <c r="L2649">
        <v>11901</v>
      </c>
      <c r="M2649" t="s">
        <v>36</v>
      </c>
      <c r="N2649" t="str">
        <f>"856535      "</f>
        <v xml:space="preserve">856535      </v>
      </c>
      <c r="O2649">
        <v>230823</v>
      </c>
    </row>
    <row r="2650" spans="1:15" x14ac:dyDescent="0.25">
      <c r="A2650" t="s">
        <v>16</v>
      </c>
      <c r="B2650" t="s">
        <v>3221</v>
      </c>
      <c r="C2650">
        <v>10875</v>
      </c>
      <c r="D2650" t="s">
        <v>33</v>
      </c>
      <c r="E2650" t="s">
        <v>34</v>
      </c>
      <c r="F2650">
        <v>59.33</v>
      </c>
      <c r="G2650">
        <v>230807</v>
      </c>
      <c r="H2650">
        <v>4580</v>
      </c>
      <c r="I2650" t="s">
        <v>35</v>
      </c>
      <c r="J2650">
        <v>73.569999999999993</v>
      </c>
      <c r="K2650">
        <v>14.24</v>
      </c>
      <c r="L2650">
        <v>11601</v>
      </c>
      <c r="M2650" t="s">
        <v>535</v>
      </c>
      <c r="N2650" t="str">
        <f>"854354      "</f>
        <v xml:space="preserve">854354      </v>
      </c>
      <c r="O2650">
        <v>230824</v>
      </c>
    </row>
    <row r="2651" spans="1:15" x14ac:dyDescent="0.25">
      <c r="A2651" t="s">
        <v>16</v>
      </c>
      <c r="B2651" t="s">
        <v>3221</v>
      </c>
      <c r="C2651">
        <v>10893</v>
      </c>
      <c r="D2651" t="s">
        <v>33</v>
      </c>
      <c r="E2651" t="s">
        <v>34</v>
      </c>
      <c r="F2651">
        <v>249.5</v>
      </c>
      <c r="G2651">
        <v>230822</v>
      </c>
      <c r="H2651">
        <v>4580</v>
      </c>
      <c r="I2651" t="s">
        <v>35</v>
      </c>
      <c r="J2651">
        <v>309.38</v>
      </c>
      <c r="K2651">
        <v>59.88</v>
      </c>
      <c r="L2651">
        <v>14952</v>
      </c>
      <c r="M2651" t="s">
        <v>99</v>
      </c>
      <c r="N2651" t="str">
        <f>"858696      "</f>
        <v xml:space="preserve">858696      </v>
      </c>
      <c r="O2651">
        <v>230824</v>
      </c>
    </row>
    <row r="2652" spans="1:15" x14ac:dyDescent="0.25">
      <c r="A2652" t="s">
        <v>16</v>
      </c>
      <c r="B2652" t="s">
        <v>3221</v>
      </c>
      <c r="C2652">
        <v>10978</v>
      </c>
      <c r="D2652" t="s">
        <v>33</v>
      </c>
      <c r="E2652" t="s">
        <v>34</v>
      </c>
      <c r="F2652">
        <v>769.55</v>
      </c>
      <c r="G2652">
        <v>230818</v>
      </c>
      <c r="H2652">
        <v>4580</v>
      </c>
      <c r="I2652" t="s">
        <v>35</v>
      </c>
      <c r="J2652">
        <v>954.24</v>
      </c>
      <c r="K2652">
        <v>184.69</v>
      </c>
      <c r="L2652">
        <v>17529</v>
      </c>
      <c r="M2652" t="s">
        <v>453</v>
      </c>
      <c r="N2652" t="str">
        <f>"857978      "</f>
        <v xml:space="preserve">857978      </v>
      </c>
      <c r="O2652">
        <v>230825</v>
      </c>
    </row>
    <row r="2653" spans="1:15" x14ac:dyDescent="0.25">
      <c r="A2653" t="s">
        <v>16</v>
      </c>
      <c r="B2653" t="s">
        <v>3221</v>
      </c>
      <c r="C2653">
        <v>11022</v>
      </c>
      <c r="D2653" t="s">
        <v>33</v>
      </c>
      <c r="E2653" t="s">
        <v>34</v>
      </c>
      <c r="F2653">
        <v>369.06</v>
      </c>
      <c r="G2653">
        <v>230824</v>
      </c>
      <c r="H2653">
        <v>4580</v>
      </c>
      <c r="I2653" t="s">
        <v>35</v>
      </c>
      <c r="J2653">
        <v>457.63</v>
      </c>
      <c r="K2653">
        <v>88.57</v>
      </c>
      <c r="L2653">
        <v>14952</v>
      </c>
      <c r="M2653" t="s">
        <v>99</v>
      </c>
      <c r="N2653" t="str">
        <f>"859774      "</f>
        <v xml:space="preserve">859774      </v>
      </c>
      <c r="O2653">
        <v>230828</v>
      </c>
    </row>
    <row r="2654" spans="1:15" x14ac:dyDescent="0.25">
      <c r="A2654" t="s">
        <v>16</v>
      </c>
      <c r="B2654" t="s">
        <v>3221</v>
      </c>
      <c r="C2654">
        <v>11034</v>
      </c>
      <c r="D2654" t="s">
        <v>33</v>
      </c>
      <c r="E2654" t="s">
        <v>34</v>
      </c>
      <c r="F2654">
        <v>280</v>
      </c>
      <c r="G2654">
        <v>230825</v>
      </c>
      <c r="H2654">
        <v>4580</v>
      </c>
      <c r="I2654" t="s">
        <v>35</v>
      </c>
      <c r="J2654">
        <v>347.2</v>
      </c>
      <c r="K2654">
        <v>67.2</v>
      </c>
      <c r="L2654">
        <v>17807</v>
      </c>
      <c r="M2654" t="s">
        <v>318</v>
      </c>
      <c r="N2654" t="str">
        <f>"859835      "</f>
        <v xml:space="preserve">859835      </v>
      </c>
      <c r="O2654">
        <v>230828</v>
      </c>
    </row>
    <row r="2655" spans="1:15" x14ac:dyDescent="0.25">
      <c r="A2655" t="s">
        <v>16</v>
      </c>
      <c r="B2655" t="s">
        <v>3221</v>
      </c>
      <c r="C2655">
        <v>11116</v>
      </c>
      <c r="D2655" t="s">
        <v>33</v>
      </c>
      <c r="E2655" t="s">
        <v>34</v>
      </c>
      <c r="F2655">
        <v>26.78</v>
      </c>
      <c r="G2655">
        <v>230823</v>
      </c>
      <c r="H2655">
        <v>4580</v>
      </c>
      <c r="I2655" t="s">
        <v>35</v>
      </c>
      <c r="J2655">
        <v>33.21</v>
      </c>
      <c r="K2655">
        <v>6.43</v>
      </c>
      <c r="L2655">
        <v>17538</v>
      </c>
      <c r="M2655" t="s">
        <v>24</v>
      </c>
      <c r="N2655" t="str">
        <f>"859164      "</f>
        <v xml:space="preserve">859164      </v>
      </c>
      <c r="O2655">
        <v>230830</v>
      </c>
    </row>
    <row r="2656" spans="1:15" x14ac:dyDescent="0.25">
      <c r="A2656" t="s">
        <v>16</v>
      </c>
      <c r="B2656" t="s">
        <v>3221</v>
      </c>
      <c r="C2656">
        <v>11141</v>
      </c>
      <c r="D2656" t="s">
        <v>33</v>
      </c>
      <c r="E2656" t="s">
        <v>34</v>
      </c>
      <c r="F2656">
        <v>78.75</v>
      </c>
      <c r="G2656">
        <v>230824</v>
      </c>
      <c r="H2656">
        <v>4580</v>
      </c>
      <c r="I2656" t="s">
        <v>35</v>
      </c>
      <c r="J2656">
        <v>97.65</v>
      </c>
      <c r="K2656">
        <v>18.899999999999999</v>
      </c>
      <c r="L2656">
        <v>11401</v>
      </c>
      <c r="M2656" t="s">
        <v>84</v>
      </c>
      <c r="N2656" t="str">
        <f>"859550      "</f>
        <v xml:space="preserve">859550      </v>
      </c>
      <c r="O2656">
        <v>230830</v>
      </c>
    </row>
    <row r="2657" spans="1:15" x14ac:dyDescent="0.25">
      <c r="A2657" t="s">
        <v>16</v>
      </c>
      <c r="B2657" t="s">
        <v>3221</v>
      </c>
      <c r="C2657">
        <v>11348</v>
      </c>
      <c r="D2657" t="s">
        <v>33</v>
      </c>
      <c r="E2657" t="s">
        <v>34</v>
      </c>
      <c r="F2657">
        <v>15.44</v>
      </c>
      <c r="G2657">
        <v>230823</v>
      </c>
      <c r="H2657">
        <v>4580</v>
      </c>
      <c r="I2657" t="s">
        <v>35</v>
      </c>
      <c r="J2657">
        <v>19.149999999999999</v>
      </c>
      <c r="K2657">
        <v>3.71</v>
      </c>
      <c r="L2657">
        <v>17529</v>
      </c>
      <c r="M2657" t="s">
        <v>453</v>
      </c>
      <c r="N2657" t="str">
        <f>"859185      "</f>
        <v xml:space="preserve">859185      </v>
      </c>
      <c r="O2657">
        <v>230904</v>
      </c>
    </row>
    <row r="2658" spans="1:15" x14ac:dyDescent="0.25">
      <c r="A2658" t="s">
        <v>16</v>
      </c>
      <c r="B2658" t="s">
        <v>3221</v>
      </c>
      <c r="C2658">
        <v>11428</v>
      </c>
      <c r="D2658" t="s">
        <v>33</v>
      </c>
      <c r="E2658" t="s">
        <v>34</v>
      </c>
      <c r="F2658">
        <v>45</v>
      </c>
      <c r="G2658">
        <v>230830</v>
      </c>
      <c r="H2658">
        <v>4580</v>
      </c>
      <c r="I2658" t="s">
        <v>35</v>
      </c>
      <c r="J2658">
        <v>55.8</v>
      </c>
      <c r="K2658">
        <v>10.8</v>
      </c>
      <c r="L2658">
        <v>16121</v>
      </c>
      <c r="M2658" t="s">
        <v>21</v>
      </c>
      <c r="N2658" t="str">
        <f>"861298      "</f>
        <v xml:space="preserve">861298      </v>
      </c>
      <c r="O2658">
        <v>230905</v>
      </c>
    </row>
    <row r="2659" spans="1:15" x14ac:dyDescent="0.25">
      <c r="A2659" t="s">
        <v>16</v>
      </c>
      <c r="B2659" t="s">
        <v>3221</v>
      </c>
      <c r="C2659">
        <v>11432</v>
      </c>
      <c r="D2659" t="s">
        <v>33</v>
      </c>
      <c r="E2659" t="s">
        <v>34</v>
      </c>
      <c r="F2659">
        <v>97.5</v>
      </c>
      <c r="G2659">
        <v>230830</v>
      </c>
      <c r="H2659">
        <v>4580</v>
      </c>
      <c r="I2659" t="s">
        <v>35</v>
      </c>
      <c r="J2659">
        <v>120.9</v>
      </c>
      <c r="K2659">
        <v>23.4</v>
      </c>
      <c r="L2659">
        <v>17862</v>
      </c>
      <c r="M2659" t="s">
        <v>319</v>
      </c>
      <c r="N2659" t="str">
        <f>"861301      "</f>
        <v xml:space="preserve">861301      </v>
      </c>
      <c r="O2659">
        <v>230905</v>
      </c>
    </row>
    <row r="2660" spans="1:15" x14ac:dyDescent="0.25">
      <c r="A2660" t="s">
        <v>16</v>
      </c>
      <c r="B2660" t="s">
        <v>3221</v>
      </c>
      <c r="C2660">
        <v>11435</v>
      </c>
      <c r="D2660" t="s">
        <v>33</v>
      </c>
      <c r="E2660" t="s">
        <v>34</v>
      </c>
      <c r="F2660">
        <v>37.590000000000003</v>
      </c>
      <c r="G2660">
        <v>230830</v>
      </c>
      <c r="H2660">
        <v>4580</v>
      </c>
      <c r="I2660" t="s">
        <v>35</v>
      </c>
      <c r="J2660">
        <v>46.61</v>
      </c>
      <c r="K2660">
        <v>9.02</v>
      </c>
      <c r="L2660">
        <v>56562</v>
      </c>
      <c r="M2660" t="s">
        <v>126</v>
      </c>
      <c r="N2660" t="str">
        <f>"861391      "</f>
        <v xml:space="preserve">861391      </v>
      </c>
      <c r="O2660">
        <v>230905</v>
      </c>
    </row>
    <row r="2661" spans="1:15" x14ac:dyDescent="0.25">
      <c r="A2661" t="s">
        <v>16</v>
      </c>
      <c r="B2661" t="s">
        <v>3221</v>
      </c>
      <c r="C2661">
        <v>11446</v>
      </c>
      <c r="D2661" t="s">
        <v>33</v>
      </c>
      <c r="E2661" t="s">
        <v>34</v>
      </c>
      <c r="F2661">
        <v>138</v>
      </c>
      <c r="G2661">
        <v>230831</v>
      </c>
      <c r="H2661">
        <v>4580</v>
      </c>
      <c r="I2661" t="s">
        <v>35</v>
      </c>
      <c r="J2661">
        <v>171.12</v>
      </c>
      <c r="K2661">
        <v>33.119999999999997</v>
      </c>
      <c r="L2661">
        <v>56562</v>
      </c>
      <c r="M2661" t="s">
        <v>126</v>
      </c>
      <c r="N2661" t="str">
        <f>"861952      "</f>
        <v xml:space="preserve">861952      </v>
      </c>
      <c r="O2661">
        <v>230905</v>
      </c>
    </row>
    <row r="2662" spans="1:15" x14ac:dyDescent="0.25">
      <c r="A2662" t="s">
        <v>16</v>
      </c>
      <c r="B2662" t="s">
        <v>3221</v>
      </c>
      <c r="C2662">
        <v>11544</v>
      </c>
      <c r="D2662" t="s">
        <v>33</v>
      </c>
      <c r="E2662" t="s">
        <v>34</v>
      </c>
      <c r="F2662">
        <v>216.81</v>
      </c>
      <c r="G2662">
        <v>230814</v>
      </c>
      <c r="H2662">
        <v>4580</v>
      </c>
      <c r="I2662" t="s">
        <v>35</v>
      </c>
      <c r="J2662">
        <v>268.83999999999997</v>
      </c>
      <c r="K2662">
        <v>52.03</v>
      </c>
      <c r="L2662">
        <v>69112</v>
      </c>
      <c r="M2662" t="s">
        <v>313</v>
      </c>
      <c r="N2662" t="str">
        <f>"856507      "</f>
        <v xml:space="preserve">856507      </v>
      </c>
      <c r="O2662">
        <v>230907</v>
      </c>
    </row>
    <row r="2663" spans="1:15" x14ac:dyDescent="0.25">
      <c r="A2663" t="s">
        <v>16</v>
      </c>
      <c r="B2663" t="s">
        <v>3221</v>
      </c>
      <c r="C2663">
        <v>11593</v>
      </c>
      <c r="D2663" t="s">
        <v>33</v>
      </c>
      <c r="E2663" t="s">
        <v>34</v>
      </c>
      <c r="F2663">
        <v>7</v>
      </c>
      <c r="G2663">
        <v>230829</v>
      </c>
      <c r="H2663">
        <v>4580</v>
      </c>
      <c r="I2663" t="s">
        <v>35</v>
      </c>
      <c r="J2663">
        <v>8.68</v>
      </c>
      <c r="K2663">
        <v>1.68</v>
      </c>
      <c r="L2663">
        <v>17804</v>
      </c>
      <c r="M2663" t="s">
        <v>549</v>
      </c>
      <c r="N2663" t="str">
        <f>"860992      "</f>
        <v xml:space="preserve">860992      </v>
      </c>
      <c r="O2663">
        <v>230907</v>
      </c>
    </row>
    <row r="2664" spans="1:15" x14ac:dyDescent="0.25">
      <c r="A2664" t="s">
        <v>16</v>
      </c>
      <c r="B2664" t="s">
        <v>3221</v>
      </c>
      <c r="C2664">
        <v>11640</v>
      </c>
      <c r="D2664" t="s">
        <v>33</v>
      </c>
      <c r="E2664" t="s">
        <v>34</v>
      </c>
      <c r="F2664">
        <v>98.5</v>
      </c>
      <c r="G2664">
        <v>230904</v>
      </c>
      <c r="H2664">
        <v>4580</v>
      </c>
      <c r="I2664" t="s">
        <v>35</v>
      </c>
      <c r="J2664">
        <v>122.14</v>
      </c>
      <c r="K2664">
        <v>23.64</v>
      </c>
      <c r="L2664">
        <v>16820</v>
      </c>
      <c r="M2664" t="s">
        <v>23</v>
      </c>
      <c r="N2664" t="str">
        <f>"862930      "</f>
        <v xml:space="preserve">862930      </v>
      </c>
      <c r="O2664">
        <v>230907</v>
      </c>
    </row>
    <row r="2665" spans="1:15" x14ac:dyDescent="0.25">
      <c r="A2665" t="s">
        <v>16</v>
      </c>
      <c r="B2665" t="s">
        <v>3221</v>
      </c>
      <c r="C2665">
        <v>11841</v>
      </c>
      <c r="D2665" t="s">
        <v>33</v>
      </c>
      <c r="E2665" t="s">
        <v>34</v>
      </c>
      <c r="F2665">
        <v>805.9</v>
      </c>
      <c r="G2665">
        <v>230817</v>
      </c>
      <c r="H2665">
        <v>4580</v>
      </c>
      <c r="I2665" t="s">
        <v>35</v>
      </c>
      <c r="J2665">
        <v>999.32</v>
      </c>
      <c r="K2665">
        <v>193.42</v>
      </c>
      <c r="L2665">
        <v>44424</v>
      </c>
      <c r="M2665" t="s">
        <v>776</v>
      </c>
      <c r="N2665" t="str">
        <f>"857646      "</f>
        <v xml:space="preserve">857646      </v>
      </c>
      <c r="O2665">
        <v>230911</v>
      </c>
    </row>
    <row r="2666" spans="1:15" x14ac:dyDescent="0.25">
      <c r="A2666" t="s">
        <v>16</v>
      </c>
      <c r="B2666" t="s">
        <v>3221</v>
      </c>
      <c r="C2666">
        <v>12017</v>
      </c>
      <c r="D2666" t="s">
        <v>33</v>
      </c>
      <c r="E2666" t="s">
        <v>34</v>
      </c>
      <c r="F2666">
        <v>288</v>
      </c>
      <c r="G2666">
        <v>230905</v>
      </c>
      <c r="H2666">
        <v>4580</v>
      </c>
      <c r="I2666" t="s">
        <v>35</v>
      </c>
      <c r="J2666">
        <v>357.12</v>
      </c>
      <c r="K2666">
        <v>69.12</v>
      </c>
      <c r="L2666">
        <v>11301</v>
      </c>
      <c r="M2666" t="s">
        <v>29</v>
      </c>
      <c r="N2666" t="str">
        <f>"863334      "</f>
        <v xml:space="preserve">863334      </v>
      </c>
      <c r="O2666">
        <v>230912</v>
      </c>
    </row>
    <row r="2667" spans="1:15" x14ac:dyDescent="0.25">
      <c r="A2667" t="s">
        <v>16</v>
      </c>
      <c r="B2667" t="s">
        <v>3221</v>
      </c>
      <c r="C2667">
        <v>12018</v>
      </c>
      <c r="D2667" t="s">
        <v>33</v>
      </c>
      <c r="E2667" t="s">
        <v>34</v>
      </c>
      <c r="F2667">
        <v>100.5</v>
      </c>
      <c r="G2667">
        <v>230905</v>
      </c>
      <c r="H2667">
        <v>4580</v>
      </c>
      <c r="I2667" t="s">
        <v>35</v>
      </c>
      <c r="J2667">
        <v>124.62</v>
      </c>
      <c r="K2667">
        <v>24.12</v>
      </c>
      <c r="L2667">
        <v>11801</v>
      </c>
      <c r="M2667" t="s">
        <v>92</v>
      </c>
      <c r="N2667" t="str">
        <f>"863331      "</f>
        <v xml:space="preserve">863331      </v>
      </c>
      <c r="O2667">
        <v>230912</v>
      </c>
    </row>
    <row r="2668" spans="1:15" x14ac:dyDescent="0.25">
      <c r="A2668" t="s">
        <v>16</v>
      </c>
      <c r="B2668" t="s">
        <v>3221</v>
      </c>
      <c r="C2668">
        <v>12085</v>
      </c>
      <c r="D2668" t="s">
        <v>33</v>
      </c>
      <c r="E2668" t="s">
        <v>34</v>
      </c>
      <c r="F2668">
        <v>153.5</v>
      </c>
      <c r="G2668">
        <v>230905</v>
      </c>
      <c r="H2668">
        <v>4580</v>
      </c>
      <c r="I2668" t="s">
        <v>35</v>
      </c>
      <c r="J2668">
        <v>190.34</v>
      </c>
      <c r="K2668">
        <v>36.840000000000003</v>
      </c>
      <c r="L2668">
        <v>13401</v>
      </c>
      <c r="M2668" t="s">
        <v>80</v>
      </c>
      <c r="N2668" t="str">
        <f>"863385      "</f>
        <v xml:space="preserve">863385      </v>
      </c>
      <c r="O2668">
        <v>230913</v>
      </c>
    </row>
    <row r="2669" spans="1:15" x14ac:dyDescent="0.25">
      <c r="A2669" t="s">
        <v>16</v>
      </c>
      <c r="B2669" t="s">
        <v>3221</v>
      </c>
      <c r="C2669">
        <v>12086</v>
      </c>
      <c r="D2669" t="s">
        <v>33</v>
      </c>
      <c r="E2669" t="s">
        <v>34</v>
      </c>
      <c r="F2669">
        <v>138</v>
      </c>
      <c r="G2669">
        <v>230905</v>
      </c>
      <c r="H2669">
        <v>4580</v>
      </c>
      <c r="I2669" t="s">
        <v>35</v>
      </c>
      <c r="J2669">
        <v>171.12</v>
      </c>
      <c r="K2669">
        <v>33.119999999999997</v>
      </c>
      <c r="L2669">
        <v>66756</v>
      </c>
      <c r="M2669" t="s">
        <v>209</v>
      </c>
      <c r="N2669" t="str">
        <f>"863227      "</f>
        <v xml:space="preserve">863227      </v>
      </c>
      <c r="O2669">
        <v>230913</v>
      </c>
    </row>
    <row r="2670" spans="1:15" x14ac:dyDescent="0.25">
      <c r="A2670" t="s">
        <v>16</v>
      </c>
      <c r="B2670" t="s">
        <v>3221</v>
      </c>
      <c r="C2670">
        <v>12087</v>
      </c>
      <c r="D2670" t="s">
        <v>33</v>
      </c>
      <c r="E2670" t="s">
        <v>34</v>
      </c>
      <c r="F2670">
        <v>87.5</v>
      </c>
      <c r="G2670">
        <v>230905</v>
      </c>
      <c r="H2670">
        <v>4580</v>
      </c>
      <c r="I2670" t="s">
        <v>35</v>
      </c>
      <c r="J2670">
        <v>108.5</v>
      </c>
      <c r="K2670">
        <v>21</v>
      </c>
      <c r="L2670">
        <v>11801</v>
      </c>
      <c r="M2670" t="s">
        <v>92</v>
      </c>
      <c r="N2670" t="str">
        <f>"863392      "</f>
        <v xml:space="preserve">863392      </v>
      </c>
      <c r="O2670">
        <v>230913</v>
      </c>
    </row>
    <row r="2671" spans="1:15" x14ac:dyDescent="0.25">
      <c r="A2671" t="s">
        <v>16</v>
      </c>
      <c r="B2671" t="s">
        <v>3221</v>
      </c>
      <c r="C2671">
        <v>12089</v>
      </c>
      <c r="D2671" t="s">
        <v>33</v>
      </c>
      <c r="E2671" t="s">
        <v>34</v>
      </c>
      <c r="F2671">
        <v>216.81</v>
      </c>
      <c r="G2671">
        <v>230908</v>
      </c>
      <c r="H2671">
        <v>4580</v>
      </c>
      <c r="I2671" t="s">
        <v>35</v>
      </c>
      <c r="J2671">
        <v>268.83999999999997</v>
      </c>
      <c r="K2671">
        <v>52.03</v>
      </c>
      <c r="L2671">
        <v>69708</v>
      </c>
      <c r="M2671" t="s">
        <v>491</v>
      </c>
      <c r="N2671" t="str">
        <f>"864660      "</f>
        <v xml:space="preserve">864660      </v>
      </c>
      <c r="O2671">
        <v>230913</v>
      </c>
    </row>
    <row r="2672" spans="1:15" x14ac:dyDescent="0.25">
      <c r="A2672" t="s">
        <v>16</v>
      </c>
      <c r="B2672" t="s">
        <v>3221</v>
      </c>
      <c r="C2672">
        <v>12183</v>
      </c>
      <c r="D2672" t="s">
        <v>33</v>
      </c>
      <c r="E2672" t="s">
        <v>34</v>
      </c>
      <c r="F2672">
        <v>394.38</v>
      </c>
      <c r="G2672">
        <v>230906</v>
      </c>
      <c r="H2672">
        <v>4580</v>
      </c>
      <c r="I2672" t="s">
        <v>35</v>
      </c>
      <c r="J2672">
        <v>489.03</v>
      </c>
      <c r="K2672">
        <v>94.65</v>
      </c>
      <c r="L2672">
        <v>18971</v>
      </c>
      <c r="M2672" t="s">
        <v>63</v>
      </c>
      <c r="N2672" t="str">
        <f>"863753      "</f>
        <v xml:space="preserve">863753      </v>
      </c>
      <c r="O2672">
        <v>230915</v>
      </c>
    </row>
    <row r="2673" spans="1:15" x14ac:dyDescent="0.25">
      <c r="A2673" t="s">
        <v>16</v>
      </c>
      <c r="B2673" t="s">
        <v>3221</v>
      </c>
      <c r="C2673">
        <v>12185</v>
      </c>
      <c r="D2673" t="s">
        <v>33</v>
      </c>
      <c r="E2673" t="s">
        <v>34</v>
      </c>
      <c r="F2673">
        <v>199</v>
      </c>
      <c r="G2673">
        <v>230911</v>
      </c>
      <c r="H2673">
        <v>4580</v>
      </c>
      <c r="I2673" t="s">
        <v>35</v>
      </c>
      <c r="J2673">
        <v>246.76</v>
      </c>
      <c r="K2673">
        <v>47.76</v>
      </c>
      <c r="L2673">
        <v>56560</v>
      </c>
      <c r="M2673" t="s">
        <v>654</v>
      </c>
      <c r="N2673" t="str">
        <f>"865124      "</f>
        <v xml:space="preserve">865124      </v>
      </c>
      <c r="O2673">
        <v>230915</v>
      </c>
    </row>
    <row r="2674" spans="1:15" x14ac:dyDescent="0.25">
      <c r="A2674" t="s">
        <v>16</v>
      </c>
      <c r="B2674" t="s">
        <v>3221</v>
      </c>
      <c r="C2674">
        <v>12191</v>
      </c>
      <c r="D2674" t="s">
        <v>33</v>
      </c>
      <c r="E2674" t="s">
        <v>34</v>
      </c>
      <c r="F2674">
        <v>138</v>
      </c>
      <c r="G2674">
        <v>230913</v>
      </c>
      <c r="H2674">
        <v>4580</v>
      </c>
      <c r="I2674" t="s">
        <v>35</v>
      </c>
      <c r="J2674">
        <v>171.12</v>
      </c>
      <c r="K2674">
        <v>33.119999999999997</v>
      </c>
      <c r="L2674">
        <v>67522</v>
      </c>
      <c r="M2674" t="s">
        <v>397</v>
      </c>
      <c r="N2674" t="str">
        <f>"865960      "</f>
        <v xml:space="preserve">865960      </v>
      </c>
      <c r="O2674">
        <v>230915</v>
      </c>
    </row>
    <row r="2675" spans="1:15" x14ac:dyDescent="0.25">
      <c r="A2675" t="s">
        <v>16</v>
      </c>
      <c r="B2675" t="s">
        <v>3221</v>
      </c>
      <c r="C2675">
        <v>12408</v>
      </c>
      <c r="D2675" t="s">
        <v>33</v>
      </c>
      <c r="E2675" t="s">
        <v>34</v>
      </c>
      <c r="F2675">
        <v>124</v>
      </c>
      <c r="G2675">
        <v>230905</v>
      </c>
      <c r="H2675">
        <v>4580</v>
      </c>
      <c r="I2675" t="s">
        <v>35</v>
      </c>
      <c r="J2675">
        <v>153.76</v>
      </c>
      <c r="K2675">
        <v>29.76</v>
      </c>
      <c r="L2675">
        <v>14622</v>
      </c>
      <c r="M2675" t="s">
        <v>1005</v>
      </c>
      <c r="N2675" t="str">
        <f>"863387      "</f>
        <v xml:space="preserve">863387      </v>
      </c>
      <c r="O2675">
        <v>230919</v>
      </c>
    </row>
    <row r="2676" spans="1:15" x14ac:dyDescent="0.25">
      <c r="A2676" t="s">
        <v>16</v>
      </c>
      <c r="B2676" t="s">
        <v>3221</v>
      </c>
      <c r="C2676">
        <v>12662</v>
      </c>
      <c r="D2676" t="s">
        <v>33</v>
      </c>
      <c r="E2676" t="s">
        <v>34</v>
      </c>
      <c r="F2676">
        <v>128.99</v>
      </c>
      <c r="G2676">
        <v>230919</v>
      </c>
      <c r="H2676">
        <v>4580</v>
      </c>
      <c r="I2676" t="s">
        <v>35</v>
      </c>
      <c r="J2676">
        <v>159.94999999999999</v>
      </c>
      <c r="K2676">
        <v>30.96</v>
      </c>
      <c r="L2676">
        <v>17806</v>
      </c>
      <c r="M2676" t="s">
        <v>265</v>
      </c>
      <c r="N2676" t="str">
        <f>"867791      "</f>
        <v xml:space="preserve">867791      </v>
      </c>
      <c r="O2676">
        <v>230922</v>
      </c>
    </row>
    <row r="2677" spans="1:15" x14ac:dyDescent="0.25">
      <c r="A2677" t="s">
        <v>16</v>
      </c>
      <c r="B2677" t="s">
        <v>3221</v>
      </c>
      <c r="C2677">
        <v>12809</v>
      </c>
      <c r="D2677" t="s">
        <v>33</v>
      </c>
      <c r="E2677" t="s">
        <v>34</v>
      </c>
      <c r="F2677">
        <v>267.33</v>
      </c>
      <c r="G2677">
        <v>230920</v>
      </c>
      <c r="H2677">
        <v>4580</v>
      </c>
      <c r="I2677" t="s">
        <v>35</v>
      </c>
      <c r="J2677">
        <v>331.49</v>
      </c>
      <c r="K2677">
        <v>64.16</v>
      </c>
      <c r="L2677">
        <v>16820</v>
      </c>
      <c r="M2677" t="s">
        <v>23</v>
      </c>
      <c r="N2677" t="str">
        <f>"868187      "</f>
        <v xml:space="preserve">868187      </v>
      </c>
      <c r="O2677">
        <v>230926</v>
      </c>
    </row>
    <row r="2678" spans="1:15" x14ac:dyDescent="0.25">
      <c r="A2678" t="s">
        <v>16</v>
      </c>
      <c r="B2678" t="s">
        <v>3221</v>
      </c>
      <c r="C2678">
        <v>13097</v>
      </c>
      <c r="D2678" t="s">
        <v>33</v>
      </c>
      <c r="E2678" t="s">
        <v>34</v>
      </c>
      <c r="F2678">
        <v>377</v>
      </c>
      <c r="G2678">
        <v>230926</v>
      </c>
      <c r="H2678">
        <v>4580</v>
      </c>
      <c r="I2678" t="s">
        <v>35</v>
      </c>
      <c r="J2678">
        <v>467.48</v>
      </c>
      <c r="K2678">
        <v>90.48</v>
      </c>
      <c r="L2678">
        <v>56526</v>
      </c>
      <c r="M2678" t="s">
        <v>1217</v>
      </c>
      <c r="N2678" t="str">
        <f>"870028      "</f>
        <v xml:space="preserve">870028      </v>
      </c>
      <c r="O2678">
        <v>231003</v>
      </c>
    </row>
    <row r="2679" spans="1:15" x14ac:dyDescent="0.25">
      <c r="A2679" t="s">
        <v>16</v>
      </c>
      <c r="B2679" t="s">
        <v>3221</v>
      </c>
      <c r="C2679">
        <v>13104</v>
      </c>
      <c r="D2679" t="s">
        <v>33</v>
      </c>
      <c r="E2679" t="s">
        <v>34</v>
      </c>
      <c r="F2679">
        <v>498</v>
      </c>
      <c r="G2679">
        <v>230928</v>
      </c>
      <c r="H2679">
        <v>4580</v>
      </c>
      <c r="I2679" t="s">
        <v>35</v>
      </c>
      <c r="J2679">
        <v>617.52</v>
      </c>
      <c r="K2679">
        <v>119.52</v>
      </c>
      <c r="L2679">
        <v>69702</v>
      </c>
      <c r="M2679" t="s">
        <v>489</v>
      </c>
      <c r="N2679" t="str">
        <f>"871005      "</f>
        <v xml:space="preserve">871005      </v>
      </c>
      <c r="O2679">
        <v>231003</v>
      </c>
    </row>
    <row r="2680" spans="1:15" x14ac:dyDescent="0.25">
      <c r="A2680" t="s">
        <v>16</v>
      </c>
      <c r="B2680" t="s">
        <v>3221</v>
      </c>
      <c r="C2680">
        <v>13380</v>
      </c>
      <c r="D2680" t="s">
        <v>33</v>
      </c>
      <c r="E2680" t="s">
        <v>34</v>
      </c>
      <c r="F2680">
        <v>174</v>
      </c>
      <c r="G2680">
        <v>230926</v>
      </c>
      <c r="H2680">
        <v>4580</v>
      </c>
      <c r="I2680" t="s">
        <v>35</v>
      </c>
      <c r="J2680">
        <v>215.76</v>
      </c>
      <c r="K2680">
        <v>41.76</v>
      </c>
      <c r="L2680">
        <v>56558</v>
      </c>
      <c r="M2680" t="s">
        <v>217</v>
      </c>
      <c r="N2680" t="str">
        <f>"870034      "</f>
        <v xml:space="preserve">870034      </v>
      </c>
      <c r="O2680">
        <v>231009</v>
      </c>
    </row>
    <row r="2681" spans="1:15" x14ac:dyDescent="0.25">
      <c r="A2681" t="s">
        <v>16</v>
      </c>
      <c r="B2681" t="s">
        <v>3221</v>
      </c>
      <c r="C2681">
        <v>13448</v>
      </c>
      <c r="D2681" t="s">
        <v>33</v>
      </c>
      <c r="E2681" t="s">
        <v>34</v>
      </c>
      <c r="F2681">
        <v>409.52</v>
      </c>
      <c r="G2681">
        <v>230927</v>
      </c>
      <c r="H2681">
        <v>4580</v>
      </c>
      <c r="I2681" t="s">
        <v>35</v>
      </c>
      <c r="J2681">
        <v>507.81</v>
      </c>
      <c r="K2681">
        <v>98.29</v>
      </c>
      <c r="L2681">
        <v>17525</v>
      </c>
      <c r="M2681" t="s">
        <v>135</v>
      </c>
      <c r="N2681" t="str">
        <f>"870522      "</f>
        <v xml:space="preserve">870522      </v>
      </c>
      <c r="O2681">
        <v>231010</v>
      </c>
    </row>
    <row r="2682" spans="1:15" x14ac:dyDescent="0.25">
      <c r="A2682" t="s">
        <v>16</v>
      </c>
      <c r="B2682" t="s">
        <v>3221</v>
      </c>
      <c r="C2682">
        <v>13448</v>
      </c>
      <c r="D2682" t="s">
        <v>33</v>
      </c>
      <c r="E2682" t="s">
        <v>34</v>
      </c>
      <c r="F2682">
        <v>409.52</v>
      </c>
      <c r="G2682">
        <v>230927</v>
      </c>
      <c r="H2682">
        <v>4580</v>
      </c>
      <c r="I2682" t="s">
        <v>35</v>
      </c>
      <c r="J2682">
        <v>507.81</v>
      </c>
      <c r="K2682">
        <v>98.29</v>
      </c>
      <c r="L2682">
        <v>17529</v>
      </c>
      <c r="M2682" t="s">
        <v>453</v>
      </c>
      <c r="N2682" t="str">
        <f>"870522      "</f>
        <v xml:space="preserve">870522      </v>
      </c>
      <c r="O2682">
        <v>231010</v>
      </c>
    </row>
    <row r="2683" spans="1:15" x14ac:dyDescent="0.25">
      <c r="A2683" t="s">
        <v>16</v>
      </c>
      <c r="B2683" t="s">
        <v>3221</v>
      </c>
      <c r="C2683">
        <v>13565</v>
      </c>
      <c r="D2683" t="s">
        <v>33</v>
      </c>
      <c r="E2683" t="s">
        <v>34</v>
      </c>
      <c r="F2683">
        <v>37.840000000000003</v>
      </c>
      <c r="G2683">
        <v>230929</v>
      </c>
      <c r="H2683">
        <v>4580</v>
      </c>
      <c r="I2683" t="s">
        <v>35</v>
      </c>
      <c r="J2683">
        <v>46.92</v>
      </c>
      <c r="K2683">
        <v>9.08</v>
      </c>
      <c r="L2683">
        <v>59702</v>
      </c>
      <c r="M2683" t="s">
        <v>328</v>
      </c>
      <c r="N2683" t="str">
        <f>"871620      "</f>
        <v xml:space="preserve">871620      </v>
      </c>
      <c r="O2683">
        <v>231011</v>
      </c>
    </row>
    <row r="2684" spans="1:15" x14ac:dyDescent="0.25">
      <c r="A2684" t="s">
        <v>16</v>
      </c>
      <c r="B2684" t="s">
        <v>3221</v>
      </c>
      <c r="C2684">
        <v>13811</v>
      </c>
      <c r="D2684" t="s">
        <v>33</v>
      </c>
      <c r="E2684" t="s">
        <v>34</v>
      </c>
      <c r="F2684">
        <v>1173</v>
      </c>
      <c r="G2684">
        <v>231009</v>
      </c>
      <c r="H2684">
        <v>4580</v>
      </c>
      <c r="I2684" t="s">
        <v>35</v>
      </c>
      <c r="J2684">
        <v>1454.52</v>
      </c>
      <c r="K2684">
        <v>281.52</v>
      </c>
      <c r="L2684">
        <v>59501</v>
      </c>
      <c r="M2684" t="s">
        <v>69</v>
      </c>
      <c r="N2684" t="str">
        <f>"874312      "</f>
        <v xml:space="preserve">874312      </v>
      </c>
      <c r="O2684">
        <v>231013</v>
      </c>
    </row>
    <row r="2685" spans="1:15" x14ac:dyDescent="0.25">
      <c r="A2685" t="s">
        <v>16</v>
      </c>
      <c r="B2685" t="s">
        <v>3221</v>
      </c>
      <c r="C2685">
        <v>13966</v>
      </c>
      <c r="D2685" t="s">
        <v>33</v>
      </c>
      <c r="E2685" t="s">
        <v>34</v>
      </c>
      <c r="F2685">
        <v>138</v>
      </c>
      <c r="G2685">
        <v>231003</v>
      </c>
      <c r="H2685">
        <v>4580</v>
      </c>
      <c r="I2685" t="s">
        <v>35</v>
      </c>
      <c r="J2685">
        <v>171.12</v>
      </c>
      <c r="K2685">
        <v>33.119999999999997</v>
      </c>
      <c r="L2685">
        <v>18972</v>
      </c>
      <c r="M2685" t="s">
        <v>163</v>
      </c>
      <c r="N2685" t="str">
        <f>"872479      "</f>
        <v xml:space="preserve">872479      </v>
      </c>
      <c r="O2685">
        <v>231017</v>
      </c>
    </row>
    <row r="2686" spans="1:15" x14ac:dyDescent="0.25">
      <c r="A2686" t="s">
        <v>16</v>
      </c>
      <c r="B2686" t="s">
        <v>3221</v>
      </c>
      <c r="C2686">
        <v>13967</v>
      </c>
      <c r="D2686" t="s">
        <v>33</v>
      </c>
      <c r="E2686" t="s">
        <v>34</v>
      </c>
      <c r="F2686">
        <v>138</v>
      </c>
      <c r="G2686">
        <v>231004</v>
      </c>
      <c r="H2686">
        <v>4580</v>
      </c>
      <c r="I2686" t="s">
        <v>35</v>
      </c>
      <c r="J2686">
        <v>171.12</v>
      </c>
      <c r="K2686">
        <v>33.119999999999997</v>
      </c>
      <c r="L2686">
        <v>12010</v>
      </c>
      <c r="M2686" t="s">
        <v>2189</v>
      </c>
      <c r="N2686" t="str">
        <f>"872884      "</f>
        <v xml:space="preserve">872884      </v>
      </c>
      <c r="O2686">
        <v>231017</v>
      </c>
    </row>
    <row r="2687" spans="1:15" x14ac:dyDescent="0.25">
      <c r="A2687" t="s">
        <v>16</v>
      </c>
      <c r="B2687" t="s">
        <v>3221</v>
      </c>
      <c r="C2687">
        <v>13969</v>
      </c>
      <c r="D2687" t="s">
        <v>33</v>
      </c>
      <c r="E2687" t="s">
        <v>34</v>
      </c>
      <c r="F2687">
        <v>138</v>
      </c>
      <c r="G2687">
        <v>231006</v>
      </c>
      <c r="H2687">
        <v>4580</v>
      </c>
      <c r="I2687" t="s">
        <v>35</v>
      </c>
      <c r="J2687">
        <v>171.12</v>
      </c>
      <c r="K2687">
        <v>33.119999999999997</v>
      </c>
      <c r="L2687">
        <v>18972</v>
      </c>
      <c r="M2687" t="s">
        <v>163</v>
      </c>
      <c r="N2687" t="str">
        <f>"873670      "</f>
        <v xml:space="preserve">873670      </v>
      </c>
      <c r="O2687">
        <v>231017</v>
      </c>
    </row>
    <row r="2688" spans="1:15" x14ac:dyDescent="0.25">
      <c r="A2688" t="s">
        <v>16</v>
      </c>
      <c r="B2688" t="s">
        <v>3221</v>
      </c>
      <c r="C2688">
        <v>13972</v>
      </c>
      <c r="D2688" t="s">
        <v>33</v>
      </c>
      <c r="E2688" t="s">
        <v>34</v>
      </c>
      <c r="F2688">
        <v>139.6</v>
      </c>
      <c r="G2688">
        <v>231006</v>
      </c>
      <c r="H2688">
        <v>4580</v>
      </c>
      <c r="I2688" t="s">
        <v>35</v>
      </c>
      <c r="J2688">
        <v>173.1</v>
      </c>
      <c r="K2688">
        <v>33.5</v>
      </c>
      <c r="L2688">
        <v>46554</v>
      </c>
      <c r="M2688" t="s">
        <v>117</v>
      </c>
      <c r="N2688" t="str">
        <f>"873672      "</f>
        <v xml:space="preserve">873672      </v>
      </c>
      <c r="O2688">
        <v>231017</v>
      </c>
    </row>
    <row r="2689" spans="1:15" x14ac:dyDescent="0.25">
      <c r="A2689" t="s">
        <v>16</v>
      </c>
      <c r="B2689" t="s">
        <v>3221</v>
      </c>
      <c r="C2689">
        <v>13974</v>
      </c>
      <c r="D2689" t="s">
        <v>33</v>
      </c>
      <c r="E2689" t="s">
        <v>34</v>
      </c>
      <c r="F2689">
        <v>173.5</v>
      </c>
      <c r="G2689">
        <v>231006</v>
      </c>
      <c r="H2689">
        <v>4580</v>
      </c>
      <c r="I2689" t="s">
        <v>35</v>
      </c>
      <c r="J2689">
        <v>215.14</v>
      </c>
      <c r="K2689">
        <v>41.64</v>
      </c>
      <c r="L2689">
        <v>17530</v>
      </c>
      <c r="M2689" t="s">
        <v>454</v>
      </c>
      <c r="N2689" t="str">
        <f>"873611      "</f>
        <v xml:space="preserve">873611      </v>
      </c>
      <c r="O2689">
        <v>231017</v>
      </c>
    </row>
    <row r="2690" spans="1:15" x14ac:dyDescent="0.25">
      <c r="A2690" t="s">
        <v>16</v>
      </c>
      <c r="B2690" t="s">
        <v>3221</v>
      </c>
      <c r="C2690">
        <v>13987</v>
      </c>
      <c r="D2690" t="s">
        <v>33</v>
      </c>
      <c r="E2690" t="s">
        <v>34</v>
      </c>
      <c r="F2690">
        <v>176.68</v>
      </c>
      <c r="G2690">
        <v>231012</v>
      </c>
      <c r="H2690">
        <v>4580</v>
      </c>
      <c r="I2690" t="s">
        <v>35</v>
      </c>
      <c r="J2690">
        <v>219.08</v>
      </c>
      <c r="K2690">
        <v>42.4</v>
      </c>
      <c r="L2690">
        <v>11501</v>
      </c>
      <c r="M2690" t="s">
        <v>339</v>
      </c>
      <c r="N2690" t="str">
        <f>"875494      "</f>
        <v xml:space="preserve">875494      </v>
      </c>
      <c r="O2690">
        <v>231017</v>
      </c>
    </row>
    <row r="2691" spans="1:15" x14ac:dyDescent="0.25">
      <c r="A2691" t="s">
        <v>16</v>
      </c>
      <c r="B2691" t="s">
        <v>3221</v>
      </c>
      <c r="C2691">
        <v>13991</v>
      </c>
      <c r="D2691" t="s">
        <v>33</v>
      </c>
      <c r="E2691" t="s">
        <v>34</v>
      </c>
      <c r="F2691">
        <v>41.4</v>
      </c>
      <c r="G2691">
        <v>231012</v>
      </c>
      <c r="H2691">
        <v>4580</v>
      </c>
      <c r="I2691" t="s">
        <v>35</v>
      </c>
      <c r="J2691">
        <v>51.34</v>
      </c>
      <c r="K2691">
        <v>9.94</v>
      </c>
      <c r="L2691">
        <v>11001</v>
      </c>
      <c r="M2691" t="s">
        <v>326</v>
      </c>
      <c r="N2691" t="str">
        <f>"875742      "</f>
        <v xml:space="preserve">875742      </v>
      </c>
      <c r="O2691">
        <v>231017</v>
      </c>
    </row>
    <row r="2692" spans="1:15" x14ac:dyDescent="0.25">
      <c r="A2692" t="s">
        <v>16</v>
      </c>
      <c r="B2692" t="s">
        <v>3221</v>
      </c>
      <c r="C2692">
        <v>14146</v>
      </c>
      <c r="D2692" t="s">
        <v>33</v>
      </c>
      <c r="E2692" t="s">
        <v>34</v>
      </c>
      <c r="F2692">
        <v>181</v>
      </c>
      <c r="G2692">
        <v>231017</v>
      </c>
      <c r="H2692">
        <v>4580</v>
      </c>
      <c r="I2692" t="s">
        <v>35</v>
      </c>
      <c r="J2692">
        <v>224.44</v>
      </c>
      <c r="K2692">
        <v>43.44</v>
      </c>
      <c r="L2692">
        <v>17971</v>
      </c>
      <c r="M2692" t="s">
        <v>138</v>
      </c>
      <c r="N2692" t="str">
        <f>"876938      "</f>
        <v xml:space="preserve">876938      </v>
      </c>
      <c r="O2692">
        <v>231019</v>
      </c>
    </row>
    <row r="2693" spans="1:15" x14ac:dyDescent="0.25">
      <c r="A2693" t="s">
        <v>16</v>
      </c>
      <c r="B2693" t="s">
        <v>3221</v>
      </c>
      <c r="C2693">
        <v>14146</v>
      </c>
      <c r="D2693" t="s">
        <v>33</v>
      </c>
      <c r="E2693" t="s">
        <v>34</v>
      </c>
      <c r="F2693">
        <v>181</v>
      </c>
      <c r="G2693">
        <v>231017</v>
      </c>
      <c r="H2693">
        <v>4580</v>
      </c>
      <c r="I2693" t="s">
        <v>35</v>
      </c>
      <c r="J2693">
        <v>224.44</v>
      </c>
      <c r="K2693">
        <v>43.44</v>
      </c>
      <c r="L2693">
        <v>17972</v>
      </c>
      <c r="M2693" t="s">
        <v>248</v>
      </c>
      <c r="N2693" t="str">
        <f>"876938      "</f>
        <v xml:space="preserve">876938      </v>
      </c>
      <c r="O2693">
        <v>231019</v>
      </c>
    </row>
    <row r="2694" spans="1:15" x14ac:dyDescent="0.25">
      <c r="A2694" t="s">
        <v>16</v>
      </c>
      <c r="B2694" t="s">
        <v>3221</v>
      </c>
      <c r="C2694">
        <v>14146</v>
      </c>
      <c r="D2694" t="s">
        <v>33</v>
      </c>
      <c r="E2694" t="s">
        <v>34</v>
      </c>
      <c r="F2694">
        <v>181</v>
      </c>
      <c r="G2694">
        <v>231017</v>
      </c>
      <c r="H2694">
        <v>4580</v>
      </c>
      <c r="I2694" t="s">
        <v>35</v>
      </c>
      <c r="J2694">
        <v>224.44</v>
      </c>
      <c r="K2694">
        <v>43.44</v>
      </c>
      <c r="L2694">
        <v>17974</v>
      </c>
      <c r="M2694" t="s">
        <v>460</v>
      </c>
      <c r="N2694" t="str">
        <f>"876938      "</f>
        <v xml:space="preserve">876938      </v>
      </c>
      <c r="O2694">
        <v>231019</v>
      </c>
    </row>
    <row r="2695" spans="1:15" x14ac:dyDescent="0.25">
      <c r="A2695" t="s">
        <v>16</v>
      </c>
      <c r="B2695" t="s">
        <v>3221</v>
      </c>
      <c r="C2695">
        <v>14522</v>
      </c>
      <c r="D2695" t="s">
        <v>33</v>
      </c>
      <c r="E2695" t="s">
        <v>34</v>
      </c>
      <c r="F2695">
        <v>89.9</v>
      </c>
      <c r="G2695">
        <v>231011</v>
      </c>
      <c r="H2695">
        <v>4580</v>
      </c>
      <c r="I2695" t="s">
        <v>35</v>
      </c>
      <c r="J2695">
        <v>111.48</v>
      </c>
      <c r="K2695">
        <v>21.58</v>
      </c>
      <c r="L2695">
        <v>49702</v>
      </c>
      <c r="M2695" t="s">
        <v>584</v>
      </c>
      <c r="N2695" t="str">
        <f>"875117      "</f>
        <v xml:space="preserve">875117      </v>
      </c>
      <c r="O2695">
        <v>231030</v>
      </c>
    </row>
    <row r="2696" spans="1:15" x14ac:dyDescent="0.25">
      <c r="A2696" t="s">
        <v>16</v>
      </c>
      <c r="B2696" t="s">
        <v>3221</v>
      </c>
      <c r="C2696">
        <v>14605</v>
      </c>
      <c r="D2696" t="s">
        <v>33</v>
      </c>
      <c r="E2696" t="s">
        <v>34</v>
      </c>
      <c r="F2696">
        <v>94.77</v>
      </c>
      <c r="G2696">
        <v>231023</v>
      </c>
      <c r="H2696">
        <v>4580</v>
      </c>
      <c r="I2696" t="s">
        <v>35</v>
      </c>
      <c r="J2696">
        <v>117.51</v>
      </c>
      <c r="K2696">
        <v>22.74</v>
      </c>
      <c r="L2696">
        <v>18971</v>
      </c>
      <c r="M2696" t="s">
        <v>63</v>
      </c>
      <c r="N2696" t="str">
        <f>"878394      "</f>
        <v xml:space="preserve">878394      </v>
      </c>
      <c r="O2696">
        <v>231030</v>
      </c>
    </row>
    <row r="2697" spans="1:15" x14ac:dyDescent="0.25">
      <c r="A2697" t="s">
        <v>16</v>
      </c>
      <c r="B2697" t="s">
        <v>3221</v>
      </c>
      <c r="C2697">
        <v>14621</v>
      </c>
      <c r="D2697" t="s">
        <v>33</v>
      </c>
      <c r="E2697" t="s">
        <v>34</v>
      </c>
      <c r="F2697">
        <v>73.33</v>
      </c>
      <c r="G2697">
        <v>231024</v>
      </c>
      <c r="H2697">
        <v>4580</v>
      </c>
      <c r="I2697" t="s">
        <v>35</v>
      </c>
      <c r="J2697">
        <v>90.93</v>
      </c>
      <c r="K2697">
        <v>17.600000000000001</v>
      </c>
      <c r="L2697">
        <v>59702</v>
      </c>
      <c r="M2697" t="s">
        <v>328</v>
      </c>
      <c r="N2697" t="str">
        <f>"879108      "</f>
        <v xml:space="preserve">879108      </v>
      </c>
      <c r="O2697">
        <v>231030</v>
      </c>
    </row>
    <row r="2698" spans="1:15" x14ac:dyDescent="0.25">
      <c r="A2698" t="s">
        <v>16</v>
      </c>
      <c r="B2698" t="s">
        <v>3221</v>
      </c>
      <c r="C2698">
        <v>15117</v>
      </c>
      <c r="D2698" t="s">
        <v>33</v>
      </c>
      <c r="E2698" t="s">
        <v>34</v>
      </c>
      <c r="F2698">
        <v>240.5</v>
      </c>
      <c r="G2698">
        <v>231024</v>
      </c>
      <c r="H2698">
        <v>4580</v>
      </c>
      <c r="I2698" t="s">
        <v>35</v>
      </c>
      <c r="J2698">
        <v>298.22000000000003</v>
      </c>
      <c r="K2698">
        <v>57.72</v>
      </c>
      <c r="L2698">
        <v>17530</v>
      </c>
      <c r="M2698" t="s">
        <v>454</v>
      </c>
      <c r="N2698" t="str">
        <f>"878868      "</f>
        <v xml:space="preserve">878868      </v>
      </c>
      <c r="O2698">
        <v>231108</v>
      </c>
    </row>
    <row r="2699" spans="1:15" x14ac:dyDescent="0.25">
      <c r="A2699" t="s">
        <v>16</v>
      </c>
      <c r="B2699" t="s">
        <v>3221</v>
      </c>
      <c r="C2699">
        <v>15120</v>
      </c>
      <c r="D2699" t="s">
        <v>33</v>
      </c>
      <c r="E2699" t="s">
        <v>34</v>
      </c>
      <c r="F2699">
        <v>243.6</v>
      </c>
      <c r="G2699">
        <v>231024</v>
      </c>
      <c r="H2699">
        <v>4580</v>
      </c>
      <c r="I2699" t="s">
        <v>35</v>
      </c>
      <c r="J2699">
        <v>302.06</v>
      </c>
      <c r="K2699">
        <v>58.46</v>
      </c>
      <c r="L2699">
        <v>17530</v>
      </c>
      <c r="M2699" t="s">
        <v>454</v>
      </c>
      <c r="N2699" t="str">
        <f>"878885      "</f>
        <v xml:space="preserve">878885      </v>
      </c>
      <c r="O2699">
        <v>231108</v>
      </c>
    </row>
    <row r="2700" spans="1:15" x14ac:dyDescent="0.25">
      <c r="A2700" t="s">
        <v>16</v>
      </c>
      <c r="B2700" t="s">
        <v>3221</v>
      </c>
      <c r="C2700">
        <v>15210</v>
      </c>
      <c r="D2700" t="s">
        <v>33</v>
      </c>
      <c r="E2700" t="s">
        <v>34</v>
      </c>
      <c r="F2700">
        <v>137.12</v>
      </c>
      <c r="G2700">
        <v>231102</v>
      </c>
      <c r="H2700">
        <v>4580</v>
      </c>
      <c r="I2700" t="s">
        <v>35</v>
      </c>
      <c r="J2700">
        <v>170.03</v>
      </c>
      <c r="K2700">
        <v>32.909999999999997</v>
      </c>
      <c r="L2700">
        <v>13402</v>
      </c>
      <c r="M2700" t="s">
        <v>242</v>
      </c>
      <c r="N2700" t="str">
        <f>"882480      "</f>
        <v xml:space="preserve">882480      </v>
      </c>
      <c r="O2700">
        <v>231109</v>
      </c>
    </row>
    <row r="2701" spans="1:15" x14ac:dyDescent="0.25">
      <c r="A2701" t="s">
        <v>16</v>
      </c>
      <c r="B2701" t="s">
        <v>3221</v>
      </c>
      <c r="C2701">
        <v>15215</v>
      </c>
      <c r="D2701" t="s">
        <v>33</v>
      </c>
      <c r="E2701" t="s">
        <v>34</v>
      </c>
      <c r="F2701">
        <v>74.33</v>
      </c>
      <c r="G2701">
        <v>231031</v>
      </c>
      <c r="H2701">
        <v>4580</v>
      </c>
      <c r="I2701" t="s">
        <v>35</v>
      </c>
      <c r="J2701">
        <v>92.17</v>
      </c>
      <c r="K2701">
        <v>17.84</v>
      </c>
      <c r="L2701">
        <v>69112</v>
      </c>
      <c r="M2701" t="s">
        <v>313</v>
      </c>
      <c r="N2701" t="str">
        <f>"881407      "</f>
        <v xml:space="preserve">881407      </v>
      </c>
      <c r="O2701">
        <v>231109</v>
      </c>
    </row>
    <row r="2702" spans="1:15" x14ac:dyDescent="0.25">
      <c r="A2702" t="s">
        <v>16</v>
      </c>
      <c r="B2702" t="s">
        <v>3221</v>
      </c>
      <c r="C2702">
        <v>15215</v>
      </c>
      <c r="D2702" t="s">
        <v>33</v>
      </c>
      <c r="E2702" t="s">
        <v>34</v>
      </c>
      <c r="F2702">
        <v>4.13</v>
      </c>
      <c r="G2702">
        <v>231031</v>
      </c>
      <c r="H2702">
        <v>4580</v>
      </c>
      <c r="I2702" t="s">
        <v>35</v>
      </c>
      <c r="J2702">
        <v>5.12</v>
      </c>
      <c r="K2702">
        <v>0.99</v>
      </c>
      <c r="L2702">
        <v>69810</v>
      </c>
      <c r="M2702" t="s">
        <v>314</v>
      </c>
      <c r="N2702" t="str">
        <f>"881407      "</f>
        <v xml:space="preserve">881407      </v>
      </c>
      <c r="O2702">
        <v>231109</v>
      </c>
    </row>
    <row r="2703" spans="1:15" x14ac:dyDescent="0.25">
      <c r="A2703" t="s">
        <v>16</v>
      </c>
      <c r="B2703" t="s">
        <v>3221</v>
      </c>
      <c r="C2703">
        <v>15215</v>
      </c>
      <c r="D2703" t="s">
        <v>33</v>
      </c>
      <c r="E2703" t="s">
        <v>34</v>
      </c>
      <c r="F2703">
        <v>4.13</v>
      </c>
      <c r="G2703">
        <v>231031</v>
      </c>
      <c r="H2703">
        <v>4580</v>
      </c>
      <c r="I2703" t="s">
        <v>35</v>
      </c>
      <c r="J2703">
        <v>5.12</v>
      </c>
      <c r="K2703">
        <v>0.99</v>
      </c>
      <c r="L2703">
        <v>69811</v>
      </c>
      <c r="M2703" t="s">
        <v>315</v>
      </c>
      <c r="N2703" t="str">
        <f>"881407      "</f>
        <v xml:space="preserve">881407      </v>
      </c>
      <c r="O2703">
        <v>231109</v>
      </c>
    </row>
    <row r="2704" spans="1:15" x14ac:dyDescent="0.25">
      <c r="A2704" t="s">
        <v>16</v>
      </c>
      <c r="B2704" t="s">
        <v>3221</v>
      </c>
      <c r="C2704">
        <v>15226</v>
      </c>
      <c r="D2704" t="s">
        <v>33</v>
      </c>
      <c r="E2704" t="s">
        <v>34</v>
      </c>
      <c r="F2704">
        <v>11.88</v>
      </c>
      <c r="G2704">
        <v>231106</v>
      </c>
      <c r="H2704">
        <v>4580</v>
      </c>
      <c r="I2704" t="s">
        <v>35</v>
      </c>
      <c r="J2704">
        <v>14.73</v>
      </c>
      <c r="K2704">
        <v>2.85</v>
      </c>
      <c r="L2704">
        <v>17913</v>
      </c>
      <c r="M2704" t="s">
        <v>431</v>
      </c>
      <c r="N2704" t="str">
        <f>"883110      "</f>
        <v xml:space="preserve">883110      </v>
      </c>
      <c r="O2704">
        <v>231109</v>
      </c>
    </row>
    <row r="2705" spans="1:15" x14ac:dyDescent="0.25">
      <c r="A2705" t="s">
        <v>16</v>
      </c>
      <c r="B2705" t="s">
        <v>3221</v>
      </c>
      <c r="C2705">
        <v>15226</v>
      </c>
      <c r="D2705" t="s">
        <v>33</v>
      </c>
      <c r="E2705" t="s">
        <v>34</v>
      </c>
      <c r="F2705">
        <v>11.88</v>
      </c>
      <c r="G2705">
        <v>231106</v>
      </c>
      <c r="H2705">
        <v>4580</v>
      </c>
      <c r="I2705" t="s">
        <v>35</v>
      </c>
      <c r="J2705">
        <v>14.73</v>
      </c>
      <c r="K2705">
        <v>2.85</v>
      </c>
      <c r="L2705">
        <v>17951</v>
      </c>
      <c r="M2705" t="s">
        <v>87</v>
      </c>
      <c r="N2705" t="str">
        <f>"883110      "</f>
        <v xml:space="preserve">883110      </v>
      </c>
      <c r="O2705">
        <v>231109</v>
      </c>
    </row>
    <row r="2706" spans="1:15" x14ac:dyDescent="0.25">
      <c r="A2706" t="s">
        <v>16</v>
      </c>
      <c r="B2706" t="s">
        <v>3221</v>
      </c>
      <c r="C2706">
        <v>15528</v>
      </c>
      <c r="D2706" t="s">
        <v>33</v>
      </c>
      <c r="E2706" t="s">
        <v>34</v>
      </c>
      <c r="F2706">
        <v>139.9</v>
      </c>
      <c r="G2706">
        <v>231106</v>
      </c>
      <c r="H2706">
        <v>4580</v>
      </c>
      <c r="I2706" t="s">
        <v>35</v>
      </c>
      <c r="J2706">
        <v>173.48</v>
      </c>
      <c r="K2706">
        <v>33.58</v>
      </c>
      <c r="L2706">
        <v>43222</v>
      </c>
      <c r="M2706" t="s">
        <v>507</v>
      </c>
      <c r="N2706" t="str">
        <f>"883468      "</f>
        <v xml:space="preserve">883468      </v>
      </c>
      <c r="O2706">
        <v>231113</v>
      </c>
    </row>
    <row r="2707" spans="1:15" x14ac:dyDescent="0.25">
      <c r="A2707" t="s">
        <v>16</v>
      </c>
      <c r="B2707" t="s">
        <v>3221</v>
      </c>
      <c r="C2707">
        <v>15530</v>
      </c>
      <c r="D2707" t="s">
        <v>33</v>
      </c>
      <c r="E2707" t="s">
        <v>34</v>
      </c>
      <c r="F2707">
        <v>954.9</v>
      </c>
      <c r="G2707">
        <v>231106</v>
      </c>
      <c r="H2707">
        <v>4580</v>
      </c>
      <c r="I2707" t="s">
        <v>35</v>
      </c>
      <c r="J2707">
        <v>1184.08</v>
      </c>
      <c r="K2707">
        <v>229.18</v>
      </c>
      <c r="L2707">
        <v>44424</v>
      </c>
      <c r="M2707" t="s">
        <v>776</v>
      </c>
      <c r="N2707" t="str">
        <f>"883525      "</f>
        <v xml:space="preserve">883525      </v>
      </c>
      <c r="O2707">
        <v>231113</v>
      </c>
    </row>
    <row r="2708" spans="1:15" x14ac:dyDescent="0.25">
      <c r="A2708" t="s">
        <v>16</v>
      </c>
      <c r="B2708" t="s">
        <v>3221</v>
      </c>
      <c r="C2708">
        <v>15623</v>
      </c>
      <c r="D2708" t="s">
        <v>33</v>
      </c>
      <c r="E2708" t="s">
        <v>34</v>
      </c>
      <c r="F2708">
        <v>274.22000000000003</v>
      </c>
      <c r="G2708">
        <v>231103</v>
      </c>
      <c r="H2708">
        <v>4580</v>
      </c>
      <c r="I2708" t="s">
        <v>35</v>
      </c>
      <c r="J2708">
        <v>340.03</v>
      </c>
      <c r="K2708">
        <v>65.81</v>
      </c>
      <c r="L2708">
        <v>41126</v>
      </c>
      <c r="M2708" t="s">
        <v>761</v>
      </c>
      <c r="N2708" t="str">
        <f>"882810      "</f>
        <v xml:space="preserve">882810      </v>
      </c>
      <c r="O2708">
        <v>231114</v>
      </c>
    </row>
    <row r="2709" spans="1:15" x14ac:dyDescent="0.25">
      <c r="A2709" t="s">
        <v>16</v>
      </c>
      <c r="B2709" t="s">
        <v>3221</v>
      </c>
      <c r="C2709">
        <v>15624</v>
      </c>
      <c r="D2709" t="s">
        <v>33</v>
      </c>
      <c r="E2709" t="s">
        <v>34</v>
      </c>
      <c r="F2709">
        <v>93.43</v>
      </c>
      <c r="G2709">
        <v>231103</v>
      </c>
      <c r="H2709">
        <v>4580</v>
      </c>
      <c r="I2709" t="s">
        <v>35</v>
      </c>
      <c r="J2709">
        <v>115.85</v>
      </c>
      <c r="K2709">
        <v>22.42</v>
      </c>
      <c r="L2709">
        <v>13601</v>
      </c>
      <c r="M2709" t="s">
        <v>147</v>
      </c>
      <c r="N2709" t="str">
        <f>"882860      "</f>
        <v xml:space="preserve">882860      </v>
      </c>
      <c r="O2709">
        <v>231114</v>
      </c>
    </row>
    <row r="2710" spans="1:15" x14ac:dyDescent="0.25">
      <c r="A2710" t="s">
        <v>16</v>
      </c>
      <c r="B2710" t="s">
        <v>3221</v>
      </c>
      <c r="C2710">
        <v>15626</v>
      </c>
      <c r="D2710" t="s">
        <v>33</v>
      </c>
      <c r="E2710" t="s">
        <v>34</v>
      </c>
      <c r="F2710">
        <v>139.9</v>
      </c>
      <c r="G2710">
        <v>231106</v>
      </c>
      <c r="H2710">
        <v>4580</v>
      </c>
      <c r="I2710" t="s">
        <v>35</v>
      </c>
      <c r="J2710">
        <v>173.48</v>
      </c>
      <c r="K2710">
        <v>33.58</v>
      </c>
      <c r="L2710">
        <v>41126</v>
      </c>
      <c r="M2710" t="s">
        <v>761</v>
      </c>
      <c r="N2710" t="str">
        <f>"883462      "</f>
        <v xml:space="preserve">883462      </v>
      </c>
      <c r="O2710">
        <v>231114</v>
      </c>
    </row>
    <row r="2711" spans="1:15" x14ac:dyDescent="0.25">
      <c r="A2711" t="s">
        <v>16</v>
      </c>
      <c r="B2711" t="s">
        <v>3221</v>
      </c>
      <c r="C2711">
        <v>15672</v>
      </c>
      <c r="D2711" t="s">
        <v>33</v>
      </c>
      <c r="E2711" t="s">
        <v>34</v>
      </c>
      <c r="F2711">
        <v>209</v>
      </c>
      <c r="G2711">
        <v>231102</v>
      </c>
      <c r="H2711">
        <v>4580</v>
      </c>
      <c r="I2711" t="s">
        <v>35</v>
      </c>
      <c r="J2711">
        <v>259.16000000000003</v>
      </c>
      <c r="K2711">
        <v>50.16</v>
      </c>
      <c r="L2711">
        <v>17971</v>
      </c>
      <c r="M2711" t="s">
        <v>138</v>
      </c>
      <c r="N2711" t="str">
        <f>"882422      "</f>
        <v xml:space="preserve">882422      </v>
      </c>
      <c r="O2711">
        <v>231116</v>
      </c>
    </row>
    <row r="2712" spans="1:15" x14ac:dyDescent="0.25">
      <c r="A2712" t="s">
        <v>16</v>
      </c>
      <c r="B2712" t="s">
        <v>3221</v>
      </c>
      <c r="C2712">
        <v>15718</v>
      </c>
      <c r="D2712" t="s">
        <v>33</v>
      </c>
      <c r="E2712" t="s">
        <v>34</v>
      </c>
      <c r="F2712">
        <v>264</v>
      </c>
      <c r="G2712">
        <v>231113</v>
      </c>
      <c r="H2712">
        <v>4580</v>
      </c>
      <c r="I2712" t="s">
        <v>35</v>
      </c>
      <c r="J2712">
        <v>327.36</v>
      </c>
      <c r="K2712">
        <v>63.36</v>
      </c>
      <c r="L2712">
        <v>18972</v>
      </c>
      <c r="M2712" t="s">
        <v>163</v>
      </c>
      <c r="N2712" t="str">
        <f>"885621      "</f>
        <v xml:space="preserve">885621      </v>
      </c>
      <c r="O2712">
        <v>231116</v>
      </c>
    </row>
    <row r="2713" spans="1:15" x14ac:dyDescent="0.25">
      <c r="A2713" t="s">
        <v>16</v>
      </c>
      <c r="B2713" t="s">
        <v>3221</v>
      </c>
      <c r="C2713">
        <v>15846</v>
      </c>
      <c r="D2713" t="s">
        <v>33</v>
      </c>
      <c r="E2713" t="s">
        <v>34</v>
      </c>
      <c r="F2713">
        <v>179.9</v>
      </c>
      <c r="G2713">
        <v>231104</v>
      </c>
      <c r="H2713">
        <v>4580</v>
      </c>
      <c r="I2713" t="s">
        <v>35</v>
      </c>
      <c r="J2713">
        <v>223.08</v>
      </c>
      <c r="K2713">
        <v>43.18</v>
      </c>
      <c r="L2713">
        <v>59815</v>
      </c>
      <c r="M2713" t="s">
        <v>1182</v>
      </c>
      <c r="N2713" t="str">
        <f>"883038      "</f>
        <v xml:space="preserve">883038      </v>
      </c>
      <c r="O2713">
        <v>231120</v>
      </c>
    </row>
    <row r="2714" spans="1:15" x14ac:dyDescent="0.25">
      <c r="A2714" t="s">
        <v>16</v>
      </c>
      <c r="B2714" t="s">
        <v>3221</v>
      </c>
      <c r="C2714">
        <v>16083</v>
      </c>
      <c r="D2714" t="s">
        <v>33</v>
      </c>
      <c r="E2714" t="s">
        <v>34</v>
      </c>
      <c r="F2714">
        <v>117.63</v>
      </c>
      <c r="G2714">
        <v>231108</v>
      </c>
      <c r="H2714">
        <v>4580</v>
      </c>
      <c r="I2714" t="s">
        <v>35</v>
      </c>
      <c r="J2714">
        <v>145.86000000000001</v>
      </c>
      <c r="K2714">
        <v>28.23</v>
      </c>
      <c r="L2714">
        <v>11101</v>
      </c>
      <c r="M2714" t="s">
        <v>110</v>
      </c>
      <c r="N2714" t="str">
        <f>"884391      "</f>
        <v xml:space="preserve">884391      </v>
      </c>
      <c r="O2714">
        <v>231122</v>
      </c>
    </row>
    <row r="2715" spans="1:15" x14ac:dyDescent="0.25">
      <c r="A2715" t="s">
        <v>16</v>
      </c>
      <c r="B2715" t="s">
        <v>3221</v>
      </c>
      <c r="C2715">
        <v>16084</v>
      </c>
      <c r="D2715" t="s">
        <v>33</v>
      </c>
      <c r="E2715" t="s">
        <v>34</v>
      </c>
      <c r="F2715">
        <v>113.34</v>
      </c>
      <c r="G2715">
        <v>231109</v>
      </c>
      <c r="H2715">
        <v>4580</v>
      </c>
      <c r="I2715" t="s">
        <v>35</v>
      </c>
      <c r="J2715">
        <v>140.54</v>
      </c>
      <c r="K2715">
        <v>27.2</v>
      </c>
      <c r="L2715">
        <v>56566</v>
      </c>
      <c r="M2715" t="s">
        <v>652</v>
      </c>
      <c r="N2715" t="str">
        <f>"885096      "</f>
        <v xml:space="preserve">885096      </v>
      </c>
      <c r="O2715">
        <v>231122</v>
      </c>
    </row>
    <row r="2716" spans="1:15" x14ac:dyDescent="0.25">
      <c r="A2716" t="s">
        <v>16</v>
      </c>
      <c r="B2716" t="s">
        <v>3221</v>
      </c>
      <c r="C2716">
        <v>16088</v>
      </c>
      <c r="D2716" t="s">
        <v>33</v>
      </c>
      <c r="E2716" t="s">
        <v>34</v>
      </c>
      <c r="F2716">
        <v>37.78</v>
      </c>
      <c r="G2716">
        <v>231109</v>
      </c>
      <c r="H2716">
        <v>4580</v>
      </c>
      <c r="I2716" t="s">
        <v>35</v>
      </c>
      <c r="J2716">
        <v>46.85</v>
      </c>
      <c r="K2716">
        <v>9.07</v>
      </c>
      <c r="L2716">
        <v>54222</v>
      </c>
      <c r="M2716" t="s">
        <v>308</v>
      </c>
      <c r="N2716" t="str">
        <f>"885106      "</f>
        <v xml:space="preserve">885106      </v>
      </c>
      <c r="O2716">
        <v>231122</v>
      </c>
    </row>
    <row r="2717" spans="1:15" x14ac:dyDescent="0.25">
      <c r="A2717" t="s">
        <v>16</v>
      </c>
      <c r="B2717" t="s">
        <v>3221</v>
      </c>
      <c r="C2717">
        <v>16148</v>
      </c>
      <c r="D2717" t="s">
        <v>33</v>
      </c>
      <c r="E2717" t="s">
        <v>34</v>
      </c>
      <c r="F2717">
        <v>65</v>
      </c>
      <c r="G2717">
        <v>231122</v>
      </c>
      <c r="H2717">
        <v>4580</v>
      </c>
      <c r="I2717" t="s">
        <v>35</v>
      </c>
      <c r="J2717">
        <v>80.599999999999994</v>
      </c>
      <c r="K2717">
        <v>15.6</v>
      </c>
      <c r="L2717">
        <v>59705</v>
      </c>
      <c r="M2717" t="s">
        <v>843</v>
      </c>
      <c r="N2717" t="str">
        <f>"888784      "</f>
        <v xml:space="preserve">888784      </v>
      </c>
      <c r="O2717">
        <v>231123</v>
      </c>
    </row>
    <row r="2718" spans="1:15" x14ac:dyDescent="0.25">
      <c r="A2718" t="s">
        <v>16</v>
      </c>
      <c r="B2718" t="s">
        <v>3221</v>
      </c>
      <c r="C2718">
        <v>16371</v>
      </c>
      <c r="D2718" t="s">
        <v>33</v>
      </c>
      <c r="E2718" t="s">
        <v>34</v>
      </c>
      <c r="F2718">
        <v>954</v>
      </c>
      <c r="G2718">
        <v>231124</v>
      </c>
      <c r="H2718">
        <v>4580</v>
      </c>
      <c r="I2718" t="s">
        <v>35</v>
      </c>
      <c r="J2718">
        <v>1182.96</v>
      </c>
      <c r="K2718">
        <v>228.96</v>
      </c>
      <c r="L2718">
        <v>67522</v>
      </c>
      <c r="M2718" t="s">
        <v>397</v>
      </c>
      <c r="N2718" t="str">
        <f>"889648      "</f>
        <v xml:space="preserve">889648      </v>
      </c>
      <c r="O2718">
        <v>231128</v>
      </c>
    </row>
    <row r="2719" spans="1:15" x14ac:dyDescent="0.25">
      <c r="A2719" t="s">
        <v>16</v>
      </c>
      <c r="B2719" t="s">
        <v>3221</v>
      </c>
      <c r="C2719">
        <v>16381</v>
      </c>
      <c r="D2719" t="s">
        <v>33</v>
      </c>
      <c r="E2719" t="s">
        <v>34</v>
      </c>
      <c r="F2719">
        <v>350</v>
      </c>
      <c r="G2719">
        <v>231127</v>
      </c>
      <c r="H2719">
        <v>4580</v>
      </c>
      <c r="I2719" t="s">
        <v>35</v>
      </c>
      <c r="J2719">
        <v>434</v>
      </c>
      <c r="K2719">
        <v>84</v>
      </c>
      <c r="L2719">
        <v>17952</v>
      </c>
      <c r="M2719" t="s">
        <v>88</v>
      </c>
      <c r="N2719" t="str">
        <f>"890316      "</f>
        <v xml:space="preserve">890316      </v>
      </c>
      <c r="O2719">
        <v>231128</v>
      </c>
    </row>
    <row r="2720" spans="1:15" x14ac:dyDescent="0.25">
      <c r="A2720" t="s">
        <v>16</v>
      </c>
      <c r="B2720" t="s">
        <v>3221</v>
      </c>
      <c r="C2720">
        <v>16438</v>
      </c>
      <c r="D2720" t="s">
        <v>33</v>
      </c>
      <c r="E2720" t="s">
        <v>34</v>
      </c>
      <c r="F2720">
        <v>290</v>
      </c>
      <c r="G2720">
        <v>231113</v>
      </c>
      <c r="H2720">
        <v>4580</v>
      </c>
      <c r="I2720" t="s">
        <v>35</v>
      </c>
      <c r="J2720">
        <v>359.6</v>
      </c>
      <c r="K2720">
        <v>69.599999999999994</v>
      </c>
      <c r="L2720">
        <v>17804</v>
      </c>
      <c r="M2720" t="s">
        <v>549</v>
      </c>
      <c r="N2720" t="str">
        <f>"885590      "</f>
        <v xml:space="preserve">885590      </v>
      </c>
      <c r="O2720">
        <v>231129</v>
      </c>
    </row>
    <row r="2721" spans="1:15" x14ac:dyDescent="0.25">
      <c r="A2721" t="s">
        <v>16</v>
      </c>
      <c r="B2721" t="s">
        <v>3221</v>
      </c>
      <c r="C2721">
        <v>16562</v>
      </c>
      <c r="D2721" t="s">
        <v>33</v>
      </c>
      <c r="E2721" t="s">
        <v>34</v>
      </c>
      <c r="F2721">
        <v>285</v>
      </c>
      <c r="G2721">
        <v>231122</v>
      </c>
      <c r="H2721">
        <v>4580</v>
      </c>
      <c r="I2721" t="s">
        <v>35</v>
      </c>
      <c r="J2721">
        <v>353.4</v>
      </c>
      <c r="K2721">
        <v>68.400000000000006</v>
      </c>
      <c r="L2721">
        <v>17538</v>
      </c>
      <c r="M2721" t="s">
        <v>24</v>
      </c>
      <c r="N2721" t="str">
        <f>"888834      "</f>
        <v xml:space="preserve">888834      </v>
      </c>
      <c r="O2721">
        <v>231201</v>
      </c>
    </row>
    <row r="2722" spans="1:15" x14ac:dyDescent="0.25">
      <c r="A2722" t="s">
        <v>16</v>
      </c>
      <c r="B2722" t="s">
        <v>3221</v>
      </c>
      <c r="C2722">
        <v>16563</v>
      </c>
      <c r="D2722" t="s">
        <v>33</v>
      </c>
      <c r="E2722" t="s">
        <v>34</v>
      </c>
      <c r="F2722">
        <v>119.89</v>
      </c>
      <c r="G2722">
        <v>231123</v>
      </c>
      <c r="H2722">
        <v>4580</v>
      </c>
      <c r="I2722" t="s">
        <v>35</v>
      </c>
      <c r="J2722">
        <v>148.66</v>
      </c>
      <c r="K2722">
        <v>28.77</v>
      </c>
      <c r="L2722">
        <v>11101</v>
      </c>
      <c r="M2722" t="s">
        <v>110</v>
      </c>
      <c r="N2722" t="str">
        <f>"889449      "</f>
        <v xml:space="preserve">889449      </v>
      </c>
      <c r="O2722">
        <v>231201</v>
      </c>
    </row>
    <row r="2723" spans="1:15" x14ac:dyDescent="0.25">
      <c r="A2723" t="s">
        <v>16</v>
      </c>
      <c r="B2723" t="s">
        <v>3221</v>
      </c>
      <c r="C2723">
        <v>16756</v>
      </c>
      <c r="D2723" t="s">
        <v>33</v>
      </c>
      <c r="E2723" t="s">
        <v>34</v>
      </c>
      <c r="F2723">
        <v>279</v>
      </c>
      <c r="G2723">
        <v>231116</v>
      </c>
      <c r="H2723">
        <v>4580</v>
      </c>
      <c r="I2723" t="s">
        <v>35</v>
      </c>
      <c r="J2723">
        <v>345.96</v>
      </c>
      <c r="K2723">
        <v>66.959999999999994</v>
      </c>
      <c r="L2723">
        <v>49702</v>
      </c>
      <c r="M2723" t="s">
        <v>584</v>
      </c>
      <c r="N2723" t="str">
        <f>"886996      "</f>
        <v xml:space="preserve">886996      </v>
      </c>
      <c r="O2723">
        <v>231208</v>
      </c>
    </row>
    <row r="2724" spans="1:15" x14ac:dyDescent="0.25">
      <c r="A2724" t="s">
        <v>16</v>
      </c>
      <c r="B2724" t="s">
        <v>3221</v>
      </c>
      <c r="C2724">
        <v>17053</v>
      </c>
      <c r="D2724" t="s">
        <v>33</v>
      </c>
      <c r="E2724" t="s">
        <v>34</v>
      </c>
      <c r="F2724">
        <v>95</v>
      </c>
      <c r="G2724">
        <v>231201</v>
      </c>
      <c r="H2724">
        <v>4580</v>
      </c>
      <c r="I2724" t="s">
        <v>35</v>
      </c>
      <c r="J2724">
        <v>117.8</v>
      </c>
      <c r="K2724">
        <v>22.8</v>
      </c>
      <c r="L2724">
        <v>17971</v>
      </c>
      <c r="M2724" t="s">
        <v>138</v>
      </c>
      <c r="N2724" t="str">
        <f>"892397      "</f>
        <v xml:space="preserve">892397      </v>
      </c>
      <c r="O2724">
        <v>231212</v>
      </c>
    </row>
    <row r="2725" spans="1:15" x14ac:dyDescent="0.25">
      <c r="A2725" t="s">
        <v>16</v>
      </c>
      <c r="B2725" t="s">
        <v>3221</v>
      </c>
      <c r="C2725">
        <v>17415</v>
      </c>
      <c r="D2725" t="s">
        <v>33</v>
      </c>
      <c r="E2725" t="s">
        <v>34</v>
      </c>
      <c r="F2725">
        <v>64</v>
      </c>
      <c r="G2725">
        <v>231115</v>
      </c>
      <c r="H2725">
        <v>4580</v>
      </c>
      <c r="I2725" t="s">
        <v>35</v>
      </c>
      <c r="J2725">
        <v>79.36</v>
      </c>
      <c r="K2725">
        <v>15.36</v>
      </c>
      <c r="L2725">
        <v>17530</v>
      </c>
      <c r="M2725" t="s">
        <v>454</v>
      </c>
      <c r="N2725" t="str">
        <f>"886680      "</f>
        <v xml:space="preserve">886680      </v>
      </c>
      <c r="O2725">
        <v>231214</v>
      </c>
    </row>
    <row r="2726" spans="1:15" x14ac:dyDescent="0.25">
      <c r="A2726" t="s">
        <v>16</v>
      </c>
      <c r="B2726" t="s">
        <v>3221</v>
      </c>
      <c r="C2726">
        <v>17426</v>
      </c>
      <c r="D2726" t="s">
        <v>33</v>
      </c>
      <c r="E2726" t="s">
        <v>34</v>
      </c>
      <c r="F2726">
        <v>159.91999999999999</v>
      </c>
      <c r="G2726">
        <v>231128</v>
      </c>
      <c r="H2726">
        <v>4580</v>
      </c>
      <c r="I2726" t="s">
        <v>35</v>
      </c>
      <c r="J2726">
        <v>198.3</v>
      </c>
      <c r="K2726">
        <v>38.380000000000003</v>
      </c>
      <c r="L2726">
        <v>69113</v>
      </c>
      <c r="M2726" t="s">
        <v>282</v>
      </c>
      <c r="N2726" t="str">
        <f>"890841      "</f>
        <v xml:space="preserve">890841      </v>
      </c>
      <c r="O2726">
        <v>231214</v>
      </c>
    </row>
    <row r="2727" spans="1:15" x14ac:dyDescent="0.25">
      <c r="A2727" t="s">
        <v>16</v>
      </c>
      <c r="B2727" t="s">
        <v>3221</v>
      </c>
      <c r="C2727">
        <v>17426</v>
      </c>
      <c r="D2727" t="s">
        <v>33</v>
      </c>
      <c r="E2727" t="s">
        <v>34</v>
      </c>
      <c r="F2727">
        <v>19.989999999999998</v>
      </c>
      <c r="G2727">
        <v>231128</v>
      </c>
      <c r="H2727">
        <v>4580</v>
      </c>
      <c r="I2727" t="s">
        <v>35</v>
      </c>
      <c r="J2727">
        <v>24.79</v>
      </c>
      <c r="K2727">
        <v>4.8</v>
      </c>
      <c r="L2727">
        <v>69802</v>
      </c>
      <c r="M2727" t="s">
        <v>283</v>
      </c>
      <c r="N2727" t="str">
        <f>"890841      "</f>
        <v xml:space="preserve">890841      </v>
      </c>
      <c r="O2727">
        <v>231214</v>
      </c>
    </row>
    <row r="2728" spans="1:15" x14ac:dyDescent="0.25">
      <c r="A2728" t="s">
        <v>16</v>
      </c>
      <c r="B2728" t="s">
        <v>3221</v>
      </c>
      <c r="C2728">
        <v>17426</v>
      </c>
      <c r="D2728" t="s">
        <v>33</v>
      </c>
      <c r="E2728" t="s">
        <v>34</v>
      </c>
      <c r="F2728">
        <v>19.989999999999998</v>
      </c>
      <c r="G2728">
        <v>231128</v>
      </c>
      <c r="H2728">
        <v>4580</v>
      </c>
      <c r="I2728" t="s">
        <v>35</v>
      </c>
      <c r="J2728">
        <v>24.79</v>
      </c>
      <c r="K2728">
        <v>4.8</v>
      </c>
      <c r="L2728">
        <v>69804</v>
      </c>
      <c r="M2728" t="s">
        <v>284</v>
      </c>
      <c r="N2728" t="str">
        <f>"890841      "</f>
        <v xml:space="preserve">890841      </v>
      </c>
      <c r="O2728">
        <v>231214</v>
      </c>
    </row>
    <row r="2729" spans="1:15" x14ac:dyDescent="0.25">
      <c r="A2729" t="s">
        <v>16</v>
      </c>
      <c r="B2729" t="s">
        <v>3221</v>
      </c>
      <c r="C2729">
        <v>17449</v>
      </c>
      <c r="D2729" t="s">
        <v>33</v>
      </c>
      <c r="E2729" t="s">
        <v>34</v>
      </c>
      <c r="F2729">
        <v>255.9</v>
      </c>
      <c r="G2729">
        <v>231130</v>
      </c>
      <c r="H2729">
        <v>4580</v>
      </c>
      <c r="I2729" t="s">
        <v>35</v>
      </c>
      <c r="J2729">
        <v>317.31</v>
      </c>
      <c r="K2729">
        <v>61.41</v>
      </c>
      <c r="L2729">
        <v>59502</v>
      </c>
      <c r="M2729" t="s">
        <v>70</v>
      </c>
      <c r="N2729" t="str">
        <f>"891619      "</f>
        <v xml:space="preserve">891619      </v>
      </c>
      <c r="O2729">
        <v>231214</v>
      </c>
    </row>
    <row r="2730" spans="1:15" x14ac:dyDescent="0.25">
      <c r="A2730" t="s">
        <v>16</v>
      </c>
      <c r="B2730" t="s">
        <v>3221</v>
      </c>
      <c r="C2730">
        <v>17449</v>
      </c>
      <c r="D2730" t="s">
        <v>33</v>
      </c>
      <c r="E2730" t="s">
        <v>34</v>
      </c>
      <c r="F2730">
        <v>163.6</v>
      </c>
      <c r="G2730">
        <v>231130</v>
      </c>
      <c r="H2730">
        <v>4580</v>
      </c>
      <c r="I2730" t="s">
        <v>35</v>
      </c>
      <c r="J2730">
        <v>202.87</v>
      </c>
      <c r="K2730">
        <v>39.270000000000003</v>
      </c>
      <c r="L2730">
        <v>59802</v>
      </c>
      <c r="M2730" t="s">
        <v>73</v>
      </c>
      <c r="N2730" t="str">
        <f>"891619      "</f>
        <v xml:space="preserve">891619      </v>
      </c>
      <c r="O2730">
        <v>231214</v>
      </c>
    </row>
    <row r="2731" spans="1:15" x14ac:dyDescent="0.25">
      <c r="A2731" t="s">
        <v>16</v>
      </c>
      <c r="B2731" t="s">
        <v>3221</v>
      </c>
      <c r="C2731">
        <v>17460</v>
      </c>
      <c r="D2731" t="s">
        <v>33</v>
      </c>
      <c r="E2731" t="s">
        <v>34</v>
      </c>
      <c r="F2731">
        <v>181.9</v>
      </c>
      <c r="G2731">
        <v>231207</v>
      </c>
      <c r="H2731">
        <v>4580</v>
      </c>
      <c r="I2731" t="s">
        <v>35</v>
      </c>
      <c r="J2731">
        <v>225.56</v>
      </c>
      <c r="K2731">
        <v>43.66</v>
      </c>
      <c r="L2731">
        <v>47522</v>
      </c>
      <c r="M2731" t="s">
        <v>410</v>
      </c>
      <c r="N2731" t="str">
        <f>"893919      "</f>
        <v xml:space="preserve">893919      </v>
      </c>
      <c r="O2731">
        <v>231214</v>
      </c>
    </row>
    <row r="2732" spans="1:15" x14ac:dyDescent="0.25">
      <c r="A2732" t="s">
        <v>16</v>
      </c>
      <c r="B2732" t="s">
        <v>3221</v>
      </c>
      <c r="C2732">
        <v>17539</v>
      </c>
      <c r="D2732" t="s">
        <v>33</v>
      </c>
      <c r="E2732" t="s">
        <v>34</v>
      </c>
      <c r="F2732">
        <v>897.2</v>
      </c>
      <c r="G2732">
        <v>231212</v>
      </c>
      <c r="H2732">
        <v>4580</v>
      </c>
      <c r="I2732" t="s">
        <v>35</v>
      </c>
      <c r="J2732">
        <v>1112.53</v>
      </c>
      <c r="K2732">
        <v>215.33</v>
      </c>
      <c r="L2732">
        <v>17530</v>
      </c>
      <c r="M2732" t="s">
        <v>454</v>
      </c>
      <c r="N2732" t="str">
        <f>"895083      "</f>
        <v xml:space="preserve">895083      </v>
      </c>
      <c r="O2732">
        <v>231215</v>
      </c>
    </row>
    <row r="2733" spans="1:15" x14ac:dyDescent="0.25">
      <c r="A2733" t="s">
        <v>16</v>
      </c>
      <c r="B2733" t="s">
        <v>3221</v>
      </c>
      <c r="C2733">
        <v>17638</v>
      </c>
      <c r="D2733" t="s">
        <v>33</v>
      </c>
      <c r="E2733" t="s">
        <v>34</v>
      </c>
      <c r="F2733">
        <v>99.9</v>
      </c>
      <c r="G2733">
        <v>231129</v>
      </c>
      <c r="H2733">
        <v>4580</v>
      </c>
      <c r="I2733" t="s">
        <v>35</v>
      </c>
      <c r="J2733">
        <v>123.88</v>
      </c>
      <c r="K2733">
        <v>23.98</v>
      </c>
      <c r="L2733">
        <v>11801</v>
      </c>
      <c r="M2733" t="s">
        <v>92</v>
      </c>
      <c r="N2733" t="str">
        <f>"891416      "</f>
        <v xml:space="preserve">891416      </v>
      </c>
      <c r="O2733">
        <v>231218</v>
      </c>
    </row>
    <row r="2734" spans="1:15" x14ac:dyDescent="0.25">
      <c r="A2734" t="s">
        <v>16</v>
      </c>
      <c r="B2734" t="s">
        <v>3221</v>
      </c>
      <c r="C2734">
        <v>18394</v>
      </c>
      <c r="D2734" t="s">
        <v>33</v>
      </c>
      <c r="E2734" t="s">
        <v>34</v>
      </c>
      <c r="F2734">
        <v>64.12</v>
      </c>
      <c r="G2734">
        <v>231214</v>
      </c>
      <c r="H2734">
        <v>4580</v>
      </c>
      <c r="I2734" t="s">
        <v>35</v>
      </c>
      <c r="J2734">
        <v>79.510000000000005</v>
      </c>
      <c r="K2734">
        <v>15.39</v>
      </c>
      <c r="L2734">
        <v>59704</v>
      </c>
      <c r="M2734" t="s">
        <v>1103</v>
      </c>
      <c r="N2734" t="str">
        <f>"895798      "</f>
        <v xml:space="preserve">895798      </v>
      </c>
      <c r="O2734">
        <v>240103</v>
      </c>
    </row>
    <row r="2735" spans="1:15" x14ac:dyDescent="0.25">
      <c r="A2735" t="s">
        <v>16</v>
      </c>
      <c r="B2735" t="s">
        <v>3221</v>
      </c>
      <c r="C2735">
        <v>18562</v>
      </c>
      <c r="D2735" t="s">
        <v>33</v>
      </c>
      <c r="E2735" t="s">
        <v>34</v>
      </c>
      <c r="F2735">
        <v>18</v>
      </c>
      <c r="G2735">
        <v>231215</v>
      </c>
      <c r="H2735">
        <v>4580</v>
      </c>
      <c r="I2735" t="s">
        <v>35</v>
      </c>
      <c r="J2735">
        <v>22.32</v>
      </c>
      <c r="K2735">
        <v>4.32</v>
      </c>
      <c r="L2735">
        <v>16820</v>
      </c>
      <c r="M2735" t="s">
        <v>23</v>
      </c>
      <c r="N2735" t="str">
        <f>"896197      "</f>
        <v xml:space="preserve">896197      </v>
      </c>
      <c r="O2735">
        <v>240104</v>
      </c>
    </row>
    <row r="2736" spans="1:15" x14ac:dyDescent="0.25">
      <c r="A2736" t="s">
        <v>16</v>
      </c>
      <c r="B2736" t="s">
        <v>3221</v>
      </c>
      <c r="C2736">
        <v>18590</v>
      </c>
      <c r="D2736" t="s">
        <v>33</v>
      </c>
      <c r="E2736" t="s">
        <v>34</v>
      </c>
      <c r="F2736">
        <v>139.9</v>
      </c>
      <c r="G2736">
        <v>231215</v>
      </c>
      <c r="H2736">
        <v>4580</v>
      </c>
      <c r="I2736" t="s">
        <v>35</v>
      </c>
      <c r="J2736">
        <v>173.48</v>
      </c>
      <c r="K2736">
        <v>33.58</v>
      </c>
      <c r="L2736">
        <v>46555</v>
      </c>
      <c r="M2736" t="s">
        <v>597</v>
      </c>
      <c r="N2736" t="str">
        <f>"896139      "</f>
        <v xml:space="preserve">896139      </v>
      </c>
      <c r="O2736">
        <v>240104</v>
      </c>
    </row>
    <row r="2737" spans="1:15" x14ac:dyDescent="0.25">
      <c r="A2737" t="s">
        <v>16</v>
      </c>
      <c r="B2737" t="s">
        <v>3221</v>
      </c>
      <c r="C2737">
        <v>18613</v>
      </c>
      <c r="D2737" t="s">
        <v>33</v>
      </c>
      <c r="E2737" t="s">
        <v>34</v>
      </c>
      <c r="F2737">
        <v>181</v>
      </c>
      <c r="G2737">
        <v>231218</v>
      </c>
      <c r="H2737">
        <v>4580</v>
      </c>
      <c r="I2737" t="s">
        <v>35</v>
      </c>
      <c r="J2737">
        <v>224.44</v>
      </c>
      <c r="K2737">
        <v>43.44</v>
      </c>
      <c r="L2737">
        <v>11903</v>
      </c>
      <c r="M2737" t="s">
        <v>406</v>
      </c>
      <c r="N2737" t="str">
        <f>"896842      "</f>
        <v xml:space="preserve">896842      </v>
      </c>
      <c r="O2737">
        <v>240104</v>
      </c>
    </row>
    <row r="2738" spans="1:15" x14ac:dyDescent="0.25">
      <c r="A2738" t="s">
        <v>16</v>
      </c>
      <c r="B2738" t="s">
        <v>3221</v>
      </c>
      <c r="C2738">
        <v>18944</v>
      </c>
      <c r="D2738" t="s">
        <v>33</v>
      </c>
      <c r="E2738" t="s">
        <v>34</v>
      </c>
      <c r="F2738">
        <v>485.66</v>
      </c>
      <c r="G2738">
        <v>231221</v>
      </c>
      <c r="H2738">
        <v>4580</v>
      </c>
      <c r="I2738" t="s">
        <v>35</v>
      </c>
      <c r="J2738">
        <v>602.22</v>
      </c>
      <c r="K2738">
        <v>116.56</v>
      </c>
      <c r="L2738">
        <v>59502</v>
      </c>
      <c r="M2738" t="s">
        <v>70</v>
      </c>
      <c r="N2738" t="str">
        <f>"898014      "</f>
        <v xml:space="preserve">898014      </v>
      </c>
      <c r="O2738">
        <v>240109</v>
      </c>
    </row>
    <row r="2739" spans="1:15" x14ac:dyDescent="0.25">
      <c r="A2739" t="s">
        <v>16</v>
      </c>
      <c r="B2739" t="s">
        <v>3221</v>
      </c>
      <c r="C2739">
        <v>18944</v>
      </c>
      <c r="D2739" t="s">
        <v>33</v>
      </c>
      <c r="E2739" t="s">
        <v>34</v>
      </c>
      <c r="F2739">
        <v>310.5</v>
      </c>
      <c r="G2739">
        <v>231221</v>
      </c>
      <c r="H2739">
        <v>4580</v>
      </c>
      <c r="I2739" t="s">
        <v>35</v>
      </c>
      <c r="J2739">
        <v>385.02</v>
      </c>
      <c r="K2739">
        <v>74.52</v>
      </c>
      <c r="L2739">
        <v>59802</v>
      </c>
      <c r="M2739" t="s">
        <v>73</v>
      </c>
      <c r="N2739" t="str">
        <f>"898014      "</f>
        <v xml:space="preserve">898014      </v>
      </c>
      <c r="O2739">
        <v>240109</v>
      </c>
    </row>
    <row r="2740" spans="1:15" x14ac:dyDescent="0.25">
      <c r="A2740" t="s">
        <v>16</v>
      </c>
      <c r="B2740" t="s">
        <v>3221</v>
      </c>
      <c r="C2740">
        <v>19205</v>
      </c>
      <c r="D2740" t="s">
        <v>33</v>
      </c>
      <c r="E2740" t="s">
        <v>34</v>
      </c>
      <c r="F2740">
        <v>279</v>
      </c>
      <c r="G2740">
        <v>231218</v>
      </c>
      <c r="H2740">
        <v>4580</v>
      </c>
      <c r="I2740" t="s">
        <v>35</v>
      </c>
      <c r="J2740">
        <v>345.96</v>
      </c>
      <c r="K2740">
        <v>66.959999999999994</v>
      </c>
      <c r="L2740">
        <v>69708</v>
      </c>
      <c r="M2740" t="s">
        <v>491</v>
      </c>
      <c r="N2740" t="str">
        <f>"896646      "</f>
        <v xml:space="preserve">896646      </v>
      </c>
      <c r="O2740">
        <v>240112</v>
      </c>
    </row>
    <row r="2741" spans="1:15" x14ac:dyDescent="0.25">
      <c r="A2741" t="s">
        <v>16</v>
      </c>
      <c r="B2741" t="s">
        <v>3221</v>
      </c>
      <c r="C2741">
        <v>16447</v>
      </c>
      <c r="D2741" t="s">
        <v>33</v>
      </c>
      <c r="E2741" t="s">
        <v>34</v>
      </c>
      <c r="F2741">
        <v>4150</v>
      </c>
      <c r="G2741">
        <v>231125</v>
      </c>
      <c r="H2741">
        <v>1196</v>
      </c>
      <c r="I2741" t="s">
        <v>392</v>
      </c>
      <c r="J2741">
        <v>5146</v>
      </c>
      <c r="K2741">
        <v>996</v>
      </c>
      <c r="L2741">
        <v>96501</v>
      </c>
      <c r="M2741" t="s">
        <v>2361</v>
      </c>
      <c r="N2741" t="str">
        <f>"889989      "</f>
        <v xml:space="preserve">889989      </v>
      </c>
      <c r="O2741">
        <v>231129</v>
      </c>
    </row>
    <row r="2742" spans="1:15" x14ac:dyDescent="0.25">
      <c r="A2742" t="s">
        <v>16</v>
      </c>
      <c r="B2742" t="s">
        <v>3221</v>
      </c>
      <c r="C2742">
        <v>3397</v>
      </c>
      <c r="D2742" t="s">
        <v>33</v>
      </c>
      <c r="E2742" t="s">
        <v>34</v>
      </c>
      <c r="F2742">
        <v>229.5</v>
      </c>
      <c r="G2742">
        <v>230313</v>
      </c>
      <c r="H2742">
        <v>4400</v>
      </c>
      <c r="I2742" t="s">
        <v>348</v>
      </c>
      <c r="J2742">
        <v>284.58</v>
      </c>
      <c r="K2742">
        <v>55.08</v>
      </c>
      <c r="L2742">
        <v>17523</v>
      </c>
      <c r="M2742" t="s">
        <v>134</v>
      </c>
      <c r="N2742" t="str">
        <f>"817409      "</f>
        <v xml:space="preserve">817409      </v>
      </c>
      <c r="O2742">
        <v>230315</v>
      </c>
    </row>
    <row r="2743" spans="1:15" x14ac:dyDescent="0.25">
      <c r="A2743" t="s">
        <v>16</v>
      </c>
      <c r="B2743" t="s">
        <v>3221</v>
      </c>
      <c r="C2743">
        <v>13563</v>
      </c>
      <c r="D2743" t="s">
        <v>33</v>
      </c>
      <c r="E2743" t="s">
        <v>34</v>
      </c>
      <c r="F2743">
        <v>38.369999999999997</v>
      </c>
      <c r="G2743">
        <v>230929</v>
      </c>
      <c r="H2743">
        <v>4400</v>
      </c>
      <c r="I2743" t="s">
        <v>348</v>
      </c>
      <c r="J2743">
        <v>47.58</v>
      </c>
      <c r="K2743">
        <v>9.2100000000000009</v>
      </c>
      <c r="L2743">
        <v>17524</v>
      </c>
      <c r="M2743" t="s">
        <v>452</v>
      </c>
      <c r="N2743" t="str">
        <f>"871623      "</f>
        <v xml:space="preserve">871623      </v>
      </c>
      <c r="O2743">
        <v>231011</v>
      </c>
    </row>
    <row r="2744" spans="1:15" x14ac:dyDescent="0.25">
      <c r="A2744" t="s">
        <v>16</v>
      </c>
      <c r="B2744" t="s">
        <v>3221</v>
      </c>
      <c r="C2744">
        <v>3089</v>
      </c>
      <c r="D2744" t="s">
        <v>33</v>
      </c>
      <c r="E2744" t="s">
        <v>34</v>
      </c>
      <c r="F2744">
        <v>100</v>
      </c>
      <c r="G2744">
        <v>230216</v>
      </c>
      <c r="H2744">
        <v>4410</v>
      </c>
      <c r="I2744" t="s">
        <v>517</v>
      </c>
      <c r="J2744">
        <v>124</v>
      </c>
      <c r="K2744">
        <v>24</v>
      </c>
      <c r="L2744">
        <v>17530</v>
      </c>
      <c r="M2744" t="s">
        <v>454</v>
      </c>
      <c r="N2744" t="str">
        <f>"810788      "</f>
        <v xml:space="preserve">810788      </v>
      </c>
      <c r="O2744">
        <v>230309</v>
      </c>
    </row>
    <row r="2745" spans="1:15" x14ac:dyDescent="0.25">
      <c r="A2745" t="s">
        <v>16</v>
      </c>
      <c r="B2745" t="s">
        <v>3221</v>
      </c>
      <c r="C2745">
        <v>340</v>
      </c>
      <c r="D2745" t="s">
        <v>33</v>
      </c>
      <c r="E2745" t="s">
        <v>34</v>
      </c>
      <c r="F2745">
        <v>244.93</v>
      </c>
      <c r="G2745">
        <v>230117</v>
      </c>
      <c r="H2745">
        <v>4600</v>
      </c>
      <c r="I2745" t="s">
        <v>105</v>
      </c>
      <c r="J2745">
        <v>303.70999999999998</v>
      </c>
      <c r="K2745">
        <v>58.78</v>
      </c>
      <c r="L2745">
        <v>17807</v>
      </c>
      <c r="M2745" t="s">
        <v>318</v>
      </c>
      <c r="N2745" t="str">
        <f>"799867      "</f>
        <v xml:space="preserve">799867      </v>
      </c>
      <c r="O2745">
        <v>230118</v>
      </c>
    </row>
    <row r="2746" spans="1:15" x14ac:dyDescent="0.25">
      <c r="A2746" t="s">
        <v>16</v>
      </c>
      <c r="B2746" t="s">
        <v>3221</v>
      </c>
      <c r="C2746">
        <v>1745</v>
      </c>
      <c r="D2746" t="s">
        <v>33</v>
      </c>
      <c r="E2746" t="s">
        <v>34</v>
      </c>
      <c r="F2746">
        <v>1100</v>
      </c>
      <c r="G2746">
        <v>230206</v>
      </c>
      <c r="H2746">
        <v>4600</v>
      </c>
      <c r="I2746" t="s">
        <v>105</v>
      </c>
      <c r="J2746">
        <v>1364</v>
      </c>
      <c r="K2746">
        <v>264</v>
      </c>
      <c r="L2746">
        <v>49501</v>
      </c>
      <c r="M2746" t="s">
        <v>177</v>
      </c>
      <c r="N2746" t="str">
        <f>"806812      "</f>
        <v xml:space="preserve">806812      </v>
      </c>
      <c r="O2746">
        <v>230213</v>
      </c>
    </row>
    <row r="2747" spans="1:15" x14ac:dyDescent="0.25">
      <c r="A2747" t="s">
        <v>16</v>
      </c>
      <c r="B2747" t="s">
        <v>3221</v>
      </c>
      <c r="C2747">
        <v>3125</v>
      </c>
      <c r="D2747" t="s">
        <v>33</v>
      </c>
      <c r="E2747" t="s">
        <v>34</v>
      </c>
      <c r="F2747">
        <v>110.44</v>
      </c>
      <c r="G2747">
        <v>230301</v>
      </c>
      <c r="H2747">
        <v>4600</v>
      </c>
      <c r="I2747" t="s">
        <v>105</v>
      </c>
      <c r="J2747">
        <v>136.94</v>
      </c>
      <c r="K2747">
        <v>26.5</v>
      </c>
      <c r="L2747">
        <v>65222</v>
      </c>
      <c r="M2747" t="s">
        <v>487</v>
      </c>
      <c r="N2747" t="str">
        <f>"814290      "</f>
        <v xml:space="preserve">814290      </v>
      </c>
      <c r="O2747">
        <v>230309</v>
      </c>
    </row>
    <row r="2748" spans="1:15" x14ac:dyDescent="0.25">
      <c r="A2748" t="s">
        <v>16</v>
      </c>
      <c r="B2748" t="s">
        <v>3221</v>
      </c>
      <c r="C2748">
        <v>3559</v>
      </c>
      <c r="D2748" t="s">
        <v>33</v>
      </c>
      <c r="E2748" t="s">
        <v>34</v>
      </c>
      <c r="F2748">
        <v>20</v>
      </c>
      <c r="G2748">
        <v>230313</v>
      </c>
      <c r="H2748">
        <v>4600</v>
      </c>
      <c r="I2748" t="s">
        <v>105</v>
      </c>
      <c r="J2748">
        <v>24.8</v>
      </c>
      <c r="K2748">
        <v>4.8</v>
      </c>
      <c r="L2748">
        <v>46554</v>
      </c>
      <c r="M2748" t="s">
        <v>117</v>
      </c>
      <c r="N2748" t="str">
        <f>"817537      "</f>
        <v xml:space="preserve">817537      </v>
      </c>
      <c r="O2748">
        <v>230317</v>
      </c>
    </row>
    <row r="2749" spans="1:15" x14ac:dyDescent="0.25">
      <c r="A2749" t="s">
        <v>16</v>
      </c>
      <c r="B2749" t="s">
        <v>3221</v>
      </c>
      <c r="C2749">
        <v>3773</v>
      </c>
      <c r="D2749" t="s">
        <v>33</v>
      </c>
      <c r="E2749" t="s">
        <v>34</v>
      </c>
      <c r="F2749">
        <v>32.479999999999997</v>
      </c>
      <c r="G2749">
        <v>230316</v>
      </c>
      <c r="H2749">
        <v>4600</v>
      </c>
      <c r="I2749" t="s">
        <v>105</v>
      </c>
      <c r="J2749">
        <v>40.28</v>
      </c>
      <c r="K2749">
        <v>7.8</v>
      </c>
      <c r="L2749">
        <v>66756</v>
      </c>
      <c r="M2749" t="s">
        <v>209</v>
      </c>
      <c r="N2749" t="str">
        <f>"818605      "</f>
        <v xml:space="preserve">818605      </v>
      </c>
      <c r="O2749">
        <v>230322</v>
      </c>
    </row>
    <row r="2750" spans="1:15" x14ac:dyDescent="0.25">
      <c r="A2750" t="s">
        <v>16</v>
      </c>
      <c r="B2750" t="s">
        <v>3221</v>
      </c>
      <c r="C2750">
        <v>4138</v>
      </c>
      <c r="D2750" t="s">
        <v>33</v>
      </c>
      <c r="E2750" t="s">
        <v>34</v>
      </c>
      <c r="F2750">
        <v>37.9</v>
      </c>
      <c r="G2750">
        <v>230327</v>
      </c>
      <c r="H2750">
        <v>4600</v>
      </c>
      <c r="I2750" t="s">
        <v>105</v>
      </c>
      <c r="J2750">
        <v>47</v>
      </c>
      <c r="K2750">
        <v>9.1</v>
      </c>
      <c r="L2750">
        <v>65222</v>
      </c>
      <c r="M2750" t="s">
        <v>487</v>
      </c>
      <c r="N2750" t="str">
        <f>"821581      "</f>
        <v xml:space="preserve">821581      </v>
      </c>
      <c r="O2750">
        <v>230330</v>
      </c>
    </row>
    <row r="2751" spans="1:15" x14ac:dyDescent="0.25">
      <c r="A2751" t="s">
        <v>16</v>
      </c>
      <c r="B2751" t="s">
        <v>3221</v>
      </c>
      <c r="C2751">
        <v>4800</v>
      </c>
      <c r="D2751" t="s">
        <v>33</v>
      </c>
      <c r="E2751" t="s">
        <v>34</v>
      </c>
      <c r="F2751">
        <v>305.27</v>
      </c>
      <c r="G2751">
        <v>230317</v>
      </c>
      <c r="H2751">
        <v>4600</v>
      </c>
      <c r="I2751" t="s">
        <v>105</v>
      </c>
      <c r="J2751">
        <v>378.53</v>
      </c>
      <c r="K2751">
        <v>73.260000000000005</v>
      </c>
      <c r="L2751">
        <v>59702</v>
      </c>
      <c r="M2751" t="s">
        <v>328</v>
      </c>
      <c r="N2751" t="str">
        <f>"818922      "</f>
        <v xml:space="preserve">818922      </v>
      </c>
      <c r="O2751">
        <v>230412</v>
      </c>
    </row>
    <row r="2752" spans="1:15" x14ac:dyDescent="0.25">
      <c r="A2752" t="s">
        <v>16</v>
      </c>
      <c r="B2752" t="s">
        <v>3221</v>
      </c>
      <c r="C2752">
        <v>4850</v>
      </c>
      <c r="D2752" t="s">
        <v>33</v>
      </c>
      <c r="E2752" t="s">
        <v>34</v>
      </c>
      <c r="F2752">
        <v>24.5</v>
      </c>
      <c r="G2752">
        <v>230411</v>
      </c>
      <c r="H2752">
        <v>4600</v>
      </c>
      <c r="I2752" t="s">
        <v>105</v>
      </c>
      <c r="J2752">
        <v>30.38</v>
      </c>
      <c r="K2752">
        <v>5.88</v>
      </c>
      <c r="L2752">
        <v>17131</v>
      </c>
      <c r="M2752" t="s">
        <v>64</v>
      </c>
      <c r="N2752" t="str">
        <f>"825400      "</f>
        <v xml:space="preserve">825400      </v>
      </c>
      <c r="O2752">
        <v>230413</v>
      </c>
    </row>
    <row r="2753" spans="1:15" x14ac:dyDescent="0.25">
      <c r="A2753" t="s">
        <v>16</v>
      </c>
      <c r="B2753" t="s">
        <v>3221</v>
      </c>
      <c r="C2753">
        <v>4850</v>
      </c>
      <c r="D2753" t="s">
        <v>33</v>
      </c>
      <c r="E2753" t="s">
        <v>34</v>
      </c>
      <c r="F2753">
        <v>24.5</v>
      </c>
      <c r="G2753">
        <v>230411</v>
      </c>
      <c r="H2753">
        <v>4600</v>
      </c>
      <c r="I2753" t="s">
        <v>105</v>
      </c>
      <c r="J2753">
        <v>30.38</v>
      </c>
      <c r="K2753">
        <v>5.88</v>
      </c>
      <c r="L2753">
        <v>17711</v>
      </c>
      <c r="M2753" t="s">
        <v>65</v>
      </c>
      <c r="N2753" t="str">
        <f>"825400      "</f>
        <v xml:space="preserve">825400      </v>
      </c>
      <c r="O2753">
        <v>230413</v>
      </c>
    </row>
    <row r="2754" spans="1:15" x14ac:dyDescent="0.25">
      <c r="A2754" t="s">
        <v>16</v>
      </c>
      <c r="B2754" t="s">
        <v>3221</v>
      </c>
      <c r="C2754">
        <v>5154</v>
      </c>
      <c r="D2754" t="s">
        <v>33</v>
      </c>
      <c r="E2754" t="s">
        <v>34</v>
      </c>
      <c r="F2754">
        <v>59</v>
      </c>
      <c r="G2754">
        <v>230412</v>
      </c>
      <c r="H2754">
        <v>4600</v>
      </c>
      <c r="I2754" t="s">
        <v>105</v>
      </c>
      <c r="J2754">
        <v>73.16</v>
      </c>
      <c r="K2754">
        <v>14.16</v>
      </c>
      <c r="L2754">
        <v>17807</v>
      </c>
      <c r="M2754" t="s">
        <v>318</v>
      </c>
      <c r="N2754" t="str">
        <f>"825744      "</f>
        <v xml:space="preserve">825744      </v>
      </c>
      <c r="O2754">
        <v>230418</v>
      </c>
    </row>
    <row r="2755" spans="1:15" x14ac:dyDescent="0.25">
      <c r="A2755" t="s">
        <v>16</v>
      </c>
      <c r="B2755" t="s">
        <v>3221</v>
      </c>
      <c r="C2755">
        <v>5509</v>
      </c>
      <c r="D2755" t="s">
        <v>33</v>
      </c>
      <c r="E2755" t="s">
        <v>34</v>
      </c>
      <c r="F2755">
        <v>44.5</v>
      </c>
      <c r="G2755">
        <v>230421</v>
      </c>
      <c r="H2755">
        <v>4600</v>
      </c>
      <c r="I2755" t="s">
        <v>105</v>
      </c>
      <c r="J2755">
        <v>55.18</v>
      </c>
      <c r="K2755">
        <v>10.68</v>
      </c>
      <c r="L2755">
        <v>66754</v>
      </c>
      <c r="M2755" t="s">
        <v>239</v>
      </c>
      <c r="N2755" t="str">
        <f>"828476      "</f>
        <v xml:space="preserve">828476      </v>
      </c>
      <c r="O2755">
        <v>230426</v>
      </c>
    </row>
    <row r="2756" spans="1:15" x14ac:dyDescent="0.25">
      <c r="A2756" t="s">
        <v>16</v>
      </c>
      <c r="B2756" t="s">
        <v>3221</v>
      </c>
      <c r="C2756">
        <v>5509</v>
      </c>
      <c r="D2756" t="s">
        <v>33</v>
      </c>
      <c r="E2756" t="s">
        <v>34</v>
      </c>
      <c r="F2756">
        <v>44.5</v>
      </c>
      <c r="G2756">
        <v>230421</v>
      </c>
      <c r="H2756">
        <v>4600</v>
      </c>
      <c r="I2756" t="s">
        <v>105</v>
      </c>
      <c r="J2756">
        <v>55.18</v>
      </c>
      <c r="K2756">
        <v>10.68</v>
      </c>
      <c r="L2756">
        <v>66754</v>
      </c>
      <c r="M2756" t="s">
        <v>239</v>
      </c>
      <c r="N2756" t="str">
        <f>"828476      "</f>
        <v xml:space="preserve">828476      </v>
      </c>
      <c r="O2756">
        <v>230426</v>
      </c>
    </row>
    <row r="2757" spans="1:15" x14ac:dyDescent="0.25">
      <c r="A2757" t="s">
        <v>16</v>
      </c>
      <c r="B2757" t="s">
        <v>3221</v>
      </c>
      <c r="C2757">
        <v>6190</v>
      </c>
      <c r="D2757" t="s">
        <v>33</v>
      </c>
      <c r="E2757" t="s">
        <v>34</v>
      </c>
      <c r="F2757">
        <v>30.05</v>
      </c>
      <c r="G2757">
        <v>230427</v>
      </c>
      <c r="H2757">
        <v>4600</v>
      </c>
      <c r="I2757" t="s">
        <v>105</v>
      </c>
      <c r="J2757">
        <v>37.26</v>
      </c>
      <c r="K2757">
        <v>7.21</v>
      </c>
      <c r="L2757">
        <v>17529</v>
      </c>
      <c r="M2757" t="s">
        <v>453</v>
      </c>
      <c r="N2757" t="str">
        <f>"830219      "</f>
        <v xml:space="preserve">830219      </v>
      </c>
      <c r="O2757">
        <v>230508</v>
      </c>
    </row>
    <row r="2758" spans="1:15" x14ac:dyDescent="0.25">
      <c r="A2758" t="s">
        <v>16</v>
      </c>
      <c r="B2758" t="s">
        <v>3221</v>
      </c>
      <c r="C2758">
        <v>6191</v>
      </c>
      <c r="D2758" t="s">
        <v>33</v>
      </c>
      <c r="E2758" t="s">
        <v>34</v>
      </c>
      <c r="F2758">
        <v>44.9</v>
      </c>
      <c r="G2758">
        <v>230428</v>
      </c>
      <c r="H2758">
        <v>4600</v>
      </c>
      <c r="I2758" t="s">
        <v>105</v>
      </c>
      <c r="J2758">
        <v>55.68</v>
      </c>
      <c r="K2758">
        <v>10.78</v>
      </c>
      <c r="L2758">
        <v>54222</v>
      </c>
      <c r="M2758" t="s">
        <v>308</v>
      </c>
      <c r="N2758" t="str">
        <f>"830454      "</f>
        <v xml:space="preserve">830454      </v>
      </c>
      <c r="O2758">
        <v>230508</v>
      </c>
    </row>
    <row r="2759" spans="1:15" x14ac:dyDescent="0.25">
      <c r="A2759" t="s">
        <v>16</v>
      </c>
      <c r="B2759" t="s">
        <v>3221</v>
      </c>
      <c r="C2759">
        <v>9667</v>
      </c>
      <c r="D2759" t="s">
        <v>33</v>
      </c>
      <c r="E2759" t="s">
        <v>34</v>
      </c>
      <c r="F2759">
        <v>27.36</v>
      </c>
      <c r="G2759">
        <v>230704</v>
      </c>
      <c r="H2759">
        <v>4600</v>
      </c>
      <c r="I2759" t="s">
        <v>105</v>
      </c>
      <c r="J2759">
        <v>33.93</v>
      </c>
      <c r="K2759">
        <v>6.57</v>
      </c>
      <c r="L2759">
        <v>17912</v>
      </c>
      <c r="M2759" t="s">
        <v>419</v>
      </c>
      <c r="N2759" t="str">
        <f>"848266      "</f>
        <v xml:space="preserve">848266      </v>
      </c>
      <c r="O2759">
        <v>230718</v>
      </c>
    </row>
    <row r="2760" spans="1:15" x14ac:dyDescent="0.25">
      <c r="A2760" t="s">
        <v>16</v>
      </c>
      <c r="B2760" t="s">
        <v>3221</v>
      </c>
      <c r="C2760">
        <v>11149</v>
      </c>
      <c r="D2760" t="s">
        <v>33</v>
      </c>
      <c r="E2760" t="s">
        <v>34</v>
      </c>
      <c r="F2760">
        <v>144.62</v>
      </c>
      <c r="G2760">
        <v>230810</v>
      </c>
      <c r="H2760">
        <v>4600</v>
      </c>
      <c r="I2760" t="s">
        <v>105</v>
      </c>
      <c r="J2760">
        <v>179.33</v>
      </c>
      <c r="K2760">
        <v>34.71</v>
      </c>
      <c r="L2760">
        <v>59501</v>
      </c>
      <c r="M2760" t="s">
        <v>69</v>
      </c>
      <c r="N2760" t="str">
        <f>"855557      "</f>
        <v xml:space="preserve">855557      </v>
      </c>
      <c r="O2760">
        <v>230830</v>
      </c>
    </row>
    <row r="2761" spans="1:15" x14ac:dyDescent="0.25">
      <c r="A2761" t="s">
        <v>16</v>
      </c>
      <c r="B2761" t="s">
        <v>3221</v>
      </c>
      <c r="C2761">
        <v>11419</v>
      </c>
      <c r="D2761" t="s">
        <v>33</v>
      </c>
      <c r="E2761" t="s">
        <v>34</v>
      </c>
      <c r="F2761">
        <v>72</v>
      </c>
      <c r="G2761">
        <v>230823</v>
      </c>
      <c r="H2761">
        <v>4600</v>
      </c>
      <c r="I2761" t="s">
        <v>105</v>
      </c>
      <c r="J2761">
        <v>89.28</v>
      </c>
      <c r="K2761">
        <v>17.28</v>
      </c>
      <c r="L2761">
        <v>46222</v>
      </c>
      <c r="M2761" t="s">
        <v>293</v>
      </c>
      <c r="N2761" t="str">
        <f>"859138      "</f>
        <v xml:space="preserve">859138      </v>
      </c>
      <c r="O2761">
        <v>230905</v>
      </c>
    </row>
    <row r="2762" spans="1:15" x14ac:dyDescent="0.25">
      <c r="A2762" t="s">
        <v>16</v>
      </c>
      <c r="B2762" t="s">
        <v>3221</v>
      </c>
      <c r="C2762">
        <v>12542</v>
      </c>
      <c r="D2762" t="s">
        <v>33</v>
      </c>
      <c r="E2762" t="s">
        <v>34</v>
      </c>
      <c r="F2762">
        <v>71.5</v>
      </c>
      <c r="G2762">
        <v>230918</v>
      </c>
      <c r="H2762">
        <v>4600</v>
      </c>
      <c r="I2762" t="s">
        <v>105</v>
      </c>
      <c r="J2762">
        <v>88.66</v>
      </c>
      <c r="K2762">
        <v>17.16</v>
      </c>
      <c r="L2762">
        <v>17975</v>
      </c>
      <c r="M2762" t="s">
        <v>798</v>
      </c>
      <c r="N2762" t="str">
        <f>"867390      "</f>
        <v xml:space="preserve">867390      </v>
      </c>
      <c r="O2762">
        <v>230920</v>
      </c>
    </row>
    <row r="2763" spans="1:15" x14ac:dyDescent="0.25">
      <c r="A2763" t="s">
        <v>16</v>
      </c>
      <c r="B2763" t="s">
        <v>3221</v>
      </c>
      <c r="C2763">
        <v>13206</v>
      </c>
      <c r="D2763" t="s">
        <v>33</v>
      </c>
      <c r="E2763" t="s">
        <v>34</v>
      </c>
      <c r="F2763">
        <v>29</v>
      </c>
      <c r="G2763">
        <v>230926</v>
      </c>
      <c r="H2763">
        <v>4600</v>
      </c>
      <c r="I2763" t="s">
        <v>105</v>
      </c>
      <c r="J2763">
        <v>35.96</v>
      </c>
      <c r="K2763">
        <v>6.96</v>
      </c>
      <c r="L2763">
        <v>56565</v>
      </c>
      <c r="M2763" t="s">
        <v>758</v>
      </c>
      <c r="N2763" t="str">
        <f>"870037      "</f>
        <v xml:space="preserve">870037      </v>
      </c>
      <c r="O2763">
        <v>231005</v>
      </c>
    </row>
    <row r="2764" spans="1:15" x14ac:dyDescent="0.25">
      <c r="A2764" t="s">
        <v>16</v>
      </c>
      <c r="B2764" t="s">
        <v>3221</v>
      </c>
      <c r="C2764">
        <v>13216</v>
      </c>
      <c r="D2764" t="s">
        <v>33</v>
      </c>
      <c r="E2764" t="s">
        <v>34</v>
      </c>
      <c r="F2764">
        <v>12.02</v>
      </c>
      <c r="G2764">
        <v>230920</v>
      </c>
      <c r="H2764">
        <v>4600</v>
      </c>
      <c r="I2764" t="s">
        <v>105</v>
      </c>
      <c r="J2764">
        <v>14.9</v>
      </c>
      <c r="K2764">
        <v>2.88</v>
      </c>
      <c r="L2764">
        <v>56522</v>
      </c>
      <c r="M2764" t="s">
        <v>43</v>
      </c>
      <c r="N2764" t="str">
        <f>"868192      "</f>
        <v xml:space="preserve">868192      </v>
      </c>
      <c r="O2764">
        <v>231005</v>
      </c>
    </row>
    <row r="2765" spans="1:15" x14ac:dyDescent="0.25">
      <c r="A2765" t="s">
        <v>16</v>
      </c>
      <c r="B2765" t="s">
        <v>3221</v>
      </c>
      <c r="C2765">
        <v>13217</v>
      </c>
      <c r="D2765" t="s">
        <v>33</v>
      </c>
      <c r="E2765" t="s">
        <v>34</v>
      </c>
      <c r="F2765">
        <v>58</v>
      </c>
      <c r="G2765">
        <v>230926</v>
      </c>
      <c r="H2765">
        <v>4600</v>
      </c>
      <c r="I2765" t="s">
        <v>105</v>
      </c>
      <c r="J2765">
        <v>71.92</v>
      </c>
      <c r="K2765">
        <v>13.92</v>
      </c>
      <c r="L2765">
        <v>56522</v>
      </c>
      <c r="M2765" t="s">
        <v>43</v>
      </c>
      <c r="N2765" t="str">
        <f>"870031      "</f>
        <v xml:space="preserve">870031      </v>
      </c>
      <c r="O2765">
        <v>231005</v>
      </c>
    </row>
    <row r="2766" spans="1:15" x14ac:dyDescent="0.25">
      <c r="A2766" t="s">
        <v>16</v>
      </c>
      <c r="B2766" t="s">
        <v>3221</v>
      </c>
      <c r="C2766">
        <v>13623</v>
      </c>
      <c r="D2766" t="s">
        <v>33</v>
      </c>
      <c r="E2766" t="s">
        <v>34</v>
      </c>
      <c r="F2766">
        <v>29</v>
      </c>
      <c r="G2766">
        <v>230926</v>
      </c>
      <c r="H2766">
        <v>4600</v>
      </c>
      <c r="I2766" t="s">
        <v>105</v>
      </c>
      <c r="J2766">
        <v>35.96</v>
      </c>
      <c r="K2766">
        <v>6.96</v>
      </c>
      <c r="L2766">
        <v>56558</v>
      </c>
      <c r="M2766" t="s">
        <v>217</v>
      </c>
      <c r="N2766" t="str">
        <f>"870043      "</f>
        <v xml:space="preserve">870043      </v>
      </c>
      <c r="O2766">
        <v>231012</v>
      </c>
    </row>
    <row r="2767" spans="1:15" x14ac:dyDescent="0.25">
      <c r="A2767" t="s">
        <v>16</v>
      </c>
      <c r="B2767" t="s">
        <v>3221</v>
      </c>
      <c r="C2767">
        <v>13880</v>
      </c>
      <c r="D2767" t="s">
        <v>33</v>
      </c>
      <c r="E2767" t="s">
        <v>34</v>
      </c>
      <c r="F2767">
        <v>12.79</v>
      </c>
      <c r="G2767">
        <v>230929</v>
      </c>
      <c r="H2767">
        <v>4600</v>
      </c>
      <c r="I2767" t="s">
        <v>105</v>
      </c>
      <c r="J2767">
        <v>15.86</v>
      </c>
      <c r="K2767">
        <v>3.07</v>
      </c>
      <c r="L2767">
        <v>17529</v>
      </c>
      <c r="M2767" t="s">
        <v>453</v>
      </c>
      <c r="N2767" t="str">
        <f>"871415      "</f>
        <v xml:space="preserve">871415      </v>
      </c>
      <c r="O2767">
        <v>231016</v>
      </c>
    </row>
    <row r="2768" spans="1:15" x14ac:dyDescent="0.25">
      <c r="A2768" t="s">
        <v>16</v>
      </c>
      <c r="B2768" t="s">
        <v>3221</v>
      </c>
      <c r="C2768">
        <v>14539</v>
      </c>
      <c r="D2768" t="s">
        <v>33</v>
      </c>
      <c r="E2768" t="s">
        <v>34</v>
      </c>
      <c r="F2768">
        <v>138</v>
      </c>
      <c r="G2768">
        <v>231012</v>
      </c>
      <c r="H2768">
        <v>4600</v>
      </c>
      <c r="I2768" t="s">
        <v>105</v>
      </c>
      <c r="J2768">
        <v>171.12</v>
      </c>
      <c r="K2768">
        <v>33.119999999999997</v>
      </c>
      <c r="L2768">
        <v>54222</v>
      </c>
      <c r="M2768" t="s">
        <v>308</v>
      </c>
      <c r="N2768" t="str">
        <f>"875507      "</f>
        <v xml:space="preserve">875507      </v>
      </c>
      <c r="O2768">
        <v>231030</v>
      </c>
    </row>
    <row r="2769" spans="1:15" x14ac:dyDescent="0.25">
      <c r="A2769" t="s">
        <v>16</v>
      </c>
      <c r="B2769" t="s">
        <v>3221</v>
      </c>
      <c r="C2769">
        <v>14563</v>
      </c>
      <c r="D2769" t="s">
        <v>33</v>
      </c>
      <c r="E2769" t="s">
        <v>34</v>
      </c>
      <c r="F2769">
        <v>28.47</v>
      </c>
      <c r="G2769">
        <v>231017</v>
      </c>
      <c r="H2769">
        <v>4600</v>
      </c>
      <c r="I2769" t="s">
        <v>105</v>
      </c>
      <c r="J2769">
        <v>35.299999999999997</v>
      </c>
      <c r="K2769">
        <v>6.83</v>
      </c>
      <c r="L2769">
        <v>56564</v>
      </c>
      <c r="M2769" t="s">
        <v>327</v>
      </c>
      <c r="N2769" t="str">
        <f>"876732      "</f>
        <v xml:space="preserve">876732      </v>
      </c>
      <c r="O2769">
        <v>231030</v>
      </c>
    </row>
    <row r="2770" spans="1:15" x14ac:dyDescent="0.25">
      <c r="A2770" t="s">
        <v>16</v>
      </c>
      <c r="B2770" t="s">
        <v>3221</v>
      </c>
      <c r="C2770">
        <v>14564</v>
      </c>
      <c r="D2770" t="s">
        <v>33</v>
      </c>
      <c r="E2770" t="s">
        <v>34</v>
      </c>
      <c r="F2770">
        <v>28.47</v>
      </c>
      <c r="G2770">
        <v>231017</v>
      </c>
      <c r="H2770">
        <v>4600</v>
      </c>
      <c r="I2770" t="s">
        <v>105</v>
      </c>
      <c r="J2770">
        <v>35.299999999999997</v>
      </c>
      <c r="K2770">
        <v>6.83</v>
      </c>
      <c r="L2770">
        <v>56561</v>
      </c>
      <c r="M2770" t="s">
        <v>358</v>
      </c>
      <c r="N2770" t="str">
        <f>"876738      "</f>
        <v xml:space="preserve">876738      </v>
      </c>
      <c r="O2770">
        <v>231030</v>
      </c>
    </row>
    <row r="2771" spans="1:15" x14ac:dyDescent="0.25">
      <c r="A2771" t="s">
        <v>16</v>
      </c>
      <c r="B2771" t="s">
        <v>3221</v>
      </c>
      <c r="C2771">
        <v>14565</v>
      </c>
      <c r="D2771" t="s">
        <v>33</v>
      </c>
      <c r="E2771" t="s">
        <v>34</v>
      </c>
      <c r="F2771">
        <v>28.47</v>
      </c>
      <c r="G2771">
        <v>231017</v>
      </c>
      <c r="H2771">
        <v>4600</v>
      </c>
      <c r="I2771" t="s">
        <v>105</v>
      </c>
      <c r="J2771">
        <v>35.299999999999997</v>
      </c>
      <c r="K2771">
        <v>6.83</v>
      </c>
      <c r="L2771">
        <v>56562</v>
      </c>
      <c r="M2771" t="s">
        <v>126</v>
      </c>
      <c r="N2771" t="str">
        <f>"877155      "</f>
        <v xml:space="preserve">877155      </v>
      </c>
      <c r="O2771">
        <v>231030</v>
      </c>
    </row>
    <row r="2772" spans="1:15" x14ac:dyDescent="0.25">
      <c r="A2772" t="s">
        <v>16</v>
      </c>
      <c r="B2772" t="s">
        <v>3221</v>
      </c>
      <c r="C2772">
        <v>14595</v>
      </c>
      <c r="D2772" t="s">
        <v>33</v>
      </c>
      <c r="E2772" t="s">
        <v>34</v>
      </c>
      <c r="F2772">
        <v>25</v>
      </c>
      <c r="G2772">
        <v>231018</v>
      </c>
      <c r="H2772">
        <v>4600</v>
      </c>
      <c r="I2772" t="s">
        <v>105</v>
      </c>
      <c r="J2772">
        <v>31</v>
      </c>
      <c r="K2772">
        <v>6</v>
      </c>
      <c r="L2772">
        <v>59701</v>
      </c>
      <c r="M2772" t="s">
        <v>297</v>
      </c>
      <c r="N2772" t="str">
        <f>"877424      "</f>
        <v xml:space="preserve">877424      </v>
      </c>
      <c r="O2772">
        <v>231030</v>
      </c>
    </row>
    <row r="2773" spans="1:15" x14ac:dyDescent="0.25">
      <c r="A2773" t="s">
        <v>16</v>
      </c>
      <c r="B2773" t="s">
        <v>3221</v>
      </c>
      <c r="C2773">
        <v>14602</v>
      </c>
      <c r="D2773" t="s">
        <v>33</v>
      </c>
      <c r="E2773" t="s">
        <v>34</v>
      </c>
      <c r="F2773">
        <v>12.79</v>
      </c>
      <c r="G2773">
        <v>231020</v>
      </c>
      <c r="H2773">
        <v>4600</v>
      </c>
      <c r="I2773" t="s">
        <v>105</v>
      </c>
      <c r="J2773">
        <v>15.86</v>
      </c>
      <c r="K2773">
        <v>3.07</v>
      </c>
      <c r="L2773">
        <v>17804</v>
      </c>
      <c r="M2773" t="s">
        <v>549</v>
      </c>
      <c r="N2773" t="str">
        <f>"877980      "</f>
        <v xml:space="preserve">877980      </v>
      </c>
      <c r="O2773">
        <v>231030</v>
      </c>
    </row>
    <row r="2774" spans="1:15" x14ac:dyDescent="0.25">
      <c r="A2774" t="s">
        <v>16</v>
      </c>
      <c r="B2774" t="s">
        <v>3221</v>
      </c>
      <c r="C2774">
        <v>15520</v>
      </c>
      <c r="D2774" t="s">
        <v>33</v>
      </c>
      <c r="E2774" t="s">
        <v>34</v>
      </c>
      <c r="F2774">
        <v>40</v>
      </c>
      <c r="G2774">
        <v>231102</v>
      </c>
      <c r="H2774">
        <v>4600</v>
      </c>
      <c r="I2774" t="s">
        <v>105</v>
      </c>
      <c r="J2774">
        <v>49.6</v>
      </c>
      <c r="K2774">
        <v>9.6</v>
      </c>
      <c r="L2774">
        <v>17808</v>
      </c>
      <c r="M2774" t="s">
        <v>322</v>
      </c>
      <c r="N2774" t="str">
        <f>"882419      "</f>
        <v xml:space="preserve">882419      </v>
      </c>
      <c r="O2774">
        <v>231113</v>
      </c>
    </row>
    <row r="2775" spans="1:15" x14ac:dyDescent="0.25">
      <c r="A2775" t="s">
        <v>16</v>
      </c>
      <c r="B2775" t="s">
        <v>3221</v>
      </c>
      <c r="C2775">
        <v>16087</v>
      </c>
      <c r="D2775" t="s">
        <v>33</v>
      </c>
      <c r="E2775" t="s">
        <v>34</v>
      </c>
      <c r="F2775">
        <v>37.78</v>
      </c>
      <c r="G2775">
        <v>231109</v>
      </c>
      <c r="H2775">
        <v>4600</v>
      </c>
      <c r="I2775" t="s">
        <v>105</v>
      </c>
      <c r="J2775">
        <v>46.85</v>
      </c>
      <c r="K2775">
        <v>9.07</v>
      </c>
      <c r="L2775">
        <v>56558</v>
      </c>
      <c r="M2775" t="s">
        <v>217</v>
      </c>
      <c r="N2775" t="str">
        <f>"885110      "</f>
        <v xml:space="preserve">885110      </v>
      </c>
      <c r="O2775">
        <v>231122</v>
      </c>
    </row>
    <row r="2776" spans="1:15" x14ac:dyDescent="0.25">
      <c r="A2776" t="s">
        <v>16</v>
      </c>
      <c r="B2776" t="s">
        <v>3221</v>
      </c>
      <c r="C2776">
        <v>16137</v>
      </c>
      <c r="D2776" t="s">
        <v>33</v>
      </c>
      <c r="E2776" t="s">
        <v>34</v>
      </c>
      <c r="F2776">
        <v>88.5</v>
      </c>
      <c r="G2776">
        <v>231116</v>
      </c>
      <c r="H2776">
        <v>4600</v>
      </c>
      <c r="I2776" t="s">
        <v>105</v>
      </c>
      <c r="J2776">
        <v>109.74</v>
      </c>
      <c r="K2776">
        <v>21.24</v>
      </c>
      <c r="L2776">
        <v>17807</v>
      </c>
      <c r="M2776" t="s">
        <v>318</v>
      </c>
      <c r="N2776" t="str">
        <f>"887164      "</f>
        <v xml:space="preserve">887164      </v>
      </c>
      <c r="O2776">
        <v>231123</v>
      </c>
    </row>
    <row r="2777" spans="1:15" x14ac:dyDescent="0.25">
      <c r="A2777" t="s">
        <v>16</v>
      </c>
      <c r="B2777" t="s">
        <v>3221</v>
      </c>
      <c r="C2777">
        <v>16293</v>
      </c>
      <c r="D2777" t="s">
        <v>33</v>
      </c>
      <c r="E2777" t="s">
        <v>34</v>
      </c>
      <c r="F2777">
        <v>65</v>
      </c>
      <c r="G2777">
        <v>231117</v>
      </c>
      <c r="H2777">
        <v>4600</v>
      </c>
      <c r="I2777" t="s">
        <v>105</v>
      </c>
      <c r="J2777">
        <v>80.599999999999994</v>
      </c>
      <c r="K2777">
        <v>15.6</v>
      </c>
      <c r="L2777">
        <v>54222</v>
      </c>
      <c r="M2777" t="s">
        <v>308</v>
      </c>
      <c r="N2777" t="str">
        <f>"887407      "</f>
        <v xml:space="preserve">887407      </v>
      </c>
      <c r="O2777">
        <v>231127</v>
      </c>
    </row>
    <row r="2778" spans="1:15" x14ac:dyDescent="0.25">
      <c r="A2778" t="s">
        <v>16</v>
      </c>
      <c r="B2778" t="s">
        <v>3221</v>
      </c>
      <c r="C2778">
        <v>16295</v>
      </c>
      <c r="D2778" t="s">
        <v>33</v>
      </c>
      <c r="E2778" t="s">
        <v>34</v>
      </c>
      <c r="F2778">
        <v>19</v>
      </c>
      <c r="G2778">
        <v>231120</v>
      </c>
      <c r="H2778">
        <v>4600</v>
      </c>
      <c r="I2778" t="s">
        <v>105</v>
      </c>
      <c r="J2778">
        <v>23.56</v>
      </c>
      <c r="K2778">
        <v>4.5599999999999996</v>
      </c>
      <c r="L2778">
        <v>58601</v>
      </c>
      <c r="M2778" t="s">
        <v>251</v>
      </c>
      <c r="N2778" t="str">
        <f>"888203      "</f>
        <v xml:space="preserve">888203      </v>
      </c>
      <c r="O2778">
        <v>231127</v>
      </c>
    </row>
    <row r="2779" spans="1:15" x14ac:dyDescent="0.25">
      <c r="A2779" t="s">
        <v>16</v>
      </c>
      <c r="B2779" t="s">
        <v>3221</v>
      </c>
      <c r="C2779">
        <v>16302</v>
      </c>
      <c r="D2779" t="s">
        <v>33</v>
      </c>
      <c r="E2779" t="s">
        <v>34</v>
      </c>
      <c r="F2779">
        <v>64.900000000000006</v>
      </c>
      <c r="G2779">
        <v>231122</v>
      </c>
      <c r="H2779">
        <v>4600</v>
      </c>
      <c r="I2779" t="s">
        <v>105</v>
      </c>
      <c r="J2779">
        <v>80.48</v>
      </c>
      <c r="K2779">
        <v>15.58</v>
      </c>
      <c r="L2779">
        <v>65222</v>
      </c>
      <c r="M2779" t="s">
        <v>487</v>
      </c>
      <c r="N2779" t="str">
        <f>"888960      "</f>
        <v xml:space="preserve">888960      </v>
      </c>
      <c r="O2779">
        <v>231127</v>
      </c>
    </row>
    <row r="2780" spans="1:15" x14ac:dyDescent="0.25">
      <c r="A2780" t="s">
        <v>16</v>
      </c>
      <c r="B2780" t="s">
        <v>3221</v>
      </c>
      <c r="C2780">
        <v>16566</v>
      </c>
      <c r="D2780" t="s">
        <v>33</v>
      </c>
      <c r="E2780" t="s">
        <v>34</v>
      </c>
      <c r="F2780">
        <v>19</v>
      </c>
      <c r="G2780">
        <v>231127</v>
      </c>
      <c r="H2780">
        <v>4600</v>
      </c>
      <c r="I2780" t="s">
        <v>105</v>
      </c>
      <c r="J2780">
        <v>23.56</v>
      </c>
      <c r="K2780">
        <v>4.5599999999999996</v>
      </c>
      <c r="L2780">
        <v>59702</v>
      </c>
      <c r="M2780" t="s">
        <v>328</v>
      </c>
      <c r="N2780" t="str">
        <f>"890320      "</f>
        <v xml:space="preserve">890320      </v>
      </c>
      <c r="O2780">
        <v>231201</v>
      </c>
    </row>
    <row r="2781" spans="1:15" x14ac:dyDescent="0.25">
      <c r="A2781" t="s">
        <v>16</v>
      </c>
      <c r="B2781" t="s">
        <v>3221</v>
      </c>
      <c r="C2781">
        <v>16757</v>
      </c>
      <c r="D2781" t="s">
        <v>33</v>
      </c>
      <c r="E2781" t="s">
        <v>34</v>
      </c>
      <c r="F2781">
        <v>17.5</v>
      </c>
      <c r="G2781">
        <v>231123</v>
      </c>
      <c r="H2781">
        <v>4600</v>
      </c>
      <c r="I2781" t="s">
        <v>105</v>
      </c>
      <c r="J2781">
        <v>21.7</v>
      </c>
      <c r="K2781">
        <v>4.2</v>
      </c>
      <c r="L2781">
        <v>17807</v>
      </c>
      <c r="M2781" t="s">
        <v>318</v>
      </c>
      <c r="N2781" t="str">
        <f>"889520      "</f>
        <v xml:space="preserve">889520      </v>
      </c>
      <c r="O2781">
        <v>231208</v>
      </c>
    </row>
    <row r="2782" spans="1:15" x14ac:dyDescent="0.25">
      <c r="A2782" t="s">
        <v>16</v>
      </c>
      <c r="B2782" t="s">
        <v>3221</v>
      </c>
      <c r="C2782">
        <v>17427</v>
      </c>
      <c r="D2782" t="s">
        <v>33</v>
      </c>
      <c r="E2782" t="s">
        <v>34</v>
      </c>
      <c r="F2782">
        <v>23.5</v>
      </c>
      <c r="G2782">
        <v>231129</v>
      </c>
      <c r="H2782">
        <v>4600</v>
      </c>
      <c r="I2782" t="s">
        <v>105</v>
      </c>
      <c r="J2782">
        <v>29.14</v>
      </c>
      <c r="K2782">
        <v>5.64</v>
      </c>
      <c r="L2782">
        <v>65222</v>
      </c>
      <c r="M2782" t="s">
        <v>487</v>
      </c>
      <c r="N2782" t="str">
        <f>"891568      "</f>
        <v xml:space="preserve">891568      </v>
      </c>
      <c r="O2782">
        <v>231214</v>
      </c>
    </row>
    <row r="2783" spans="1:15" x14ac:dyDescent="0.25">
      <c r="A2783" t="s">
        <v>16</v>
      </c>
      <c r="B2783" t="s">
        <v>3221</v>
      </c>
      <c r="C2783">
        <v>18608</v>
      </c>
      <c r="D2783" t="s">
        <v>33</v>
      </c>
      <c r="E2783" t="s">
        <v>34</v>
      </c>
      <c r="F2783">
        <v>25</v>
      </c>
      <c r="G2783">
        <v>231218</v>
      </c>
      <c r="H2783">
        <v>4600</v>
      </c>
      <c r="I2783" t="s">
        <v>105</v>
      </c>
      <c r="J2783">
        <v>31</v>
      </c>
      <c r="K2783">
        <v>6</v>
      </c>
      <c r="L2783">
        <v>69701</v>
      </c>
      <c r="M2783" t="s">
        <v>488</v>
      </c>
      <c r="N2783" t="str">
        <f>"896780      "</f>
        <v xml:space="preserve">896780      </v>
      </c>
      <c r="O2783">
        <v>240104</v>
      </c>
    </row>
    <row r="2784" spans="1:15" x14ac:dyDescent="0.25">
      <c r="A2784" t="s">
        <v>16</v>
      </c>
      <c r="B2784" t="s">
        <v>3221</v>
      </c>
      <c r="C2784">
        <v>18608</v>
      </c>
      <c r="D2784" t="s">
        <v>33</v>
      </c>
      <c r="E2784" t="s">
        <v>34</v>
      </c>
      <c r="F2784">
        <v>25</v>
      </c>
      <c r="G2784">
        <v>231218</v>
      </c>
      <c r="H2784">
        <v>4600</v>
      </c>
      <c r="I2784" t="s">
        <v>105</v>
      </c>
      <c r="J2784">
        <v>31</v>
      </c>
      <c r="K2784">
        <v>6</v>
      </c>
      <c r="L2784">
        <v>69703</v>
      </c>
      <c r="M2784" t="s">
        <v>1036</v>
      </c>
      <c r="N2784" t="str">
        <f>"896780      "</f>
        <v xml:space="preserve">896780      </v>
      </c>
      <c r="O2784">
        <v>240104</v>
      </c>
    </row>
    <row r="2785" spans="1:15" x14ac:dyDescent="0.25">
      <c r="A2785" t="s">
        <v>16</v>
      </c>
      <c r="B2785" t="s">
        <v>3221</v>
      </c>
      <c r="C2785">
        <v>18608</v>
      </c>
      <c r="D2785" t="s">
        <v>33</v>
      </c>
      <c r="E2785" t="s">
        <v>34</v>
      </c>
      <c r="F2785">
        <v>25</v>
      </c>
      <c r="G2785">
        <v>231218</v>
      </c>
      <c r="H2785">
        <v>4600</v>
      </c>
      <c r="I2785" t="s">
        <v>105</v>
      </c>
      <c r="J2785">
        <v>31</v>
      </c>
      <c r="K2785">
        <v>6</v>
      </c>
      <c r="L2785">
        <v>69708</v>
      </c>
      <c r="M2785" t="s">
        <v>491</v>
      </c>
      <c r="N2785" t="str">
        <f>"896780      "</f>
        <v xml:space="preserve">896780      </v>
      </c>
      <c r="O2785">
        <v>240104</v>
      </c>
    </row>
    <row r="2786" spans="1:15" x14ac:dyDescent="0.25">
      <c r="A2786" t="s">
        <v>16</v>
      </c>
      <c r="B2786" t="s">
        <v>3221</v>
      </c>
      <c r="C2786">
        <v>10169</v>
      </c>
      <c r="D2786" t="s">
        <v>33</v>
      </c>
      <c r="E2786" t="s">
        <v>34</v>
      </c>
      <c r="F2786">
        <v>54.6</v>
      </c>
      <c r="G2786">
        <v>230731</v>
      </c>
      <c r="H2786">
        <v>4390</v>
      </c>
      <c r="I2786" t="s">
        <v>98</v>
      </c>
      <c r="J2786">
        <v>67.709999999999994</v>
      </c>
      <c r="K2786">
        <v>13.11</v>
      </c>
      <c r="L2786">
        <v>13540</v>
      </c>
      <c r="M2786" t="s">
        <v>85</v>
      </c>
      <c r="N2786" t="str">
        <f>"852906      "</f>
        <v xml:space="preserve">852906      </v>
      </c>
      <c r="O2786">
        <v>230809</v>
      </c>
    </row>
    <row r="2787" spans="1:15" x14ac:dyDescent="0.25">
      <c r="A2787" t="s">
        <v>16</v>
      </c>
      <c r="B2787" t="s">
        <v>3221</v>
      </c>
      <c r="C2787">
        <v>10169</v>
      </c>
      <c r="D2787" t="s">
        <v>33</v>
      </c>
      <c r="E2787" t="s">
        <v>34</v>
      </c>
      <c r="F2787">
        <v>441.82</v>
      </c>
      <c r="G2787">
        <v>230731</v>
      </c>
      <c r="H2787">
        <v>4390</v>
      </c>
      <c r="I2787" t="s">
        <v>98</v>
      </c>
      <c r="J2787">
        <v>547.86</v>
      </c>
      <c r="K2787">
        <v>106.04</v>
      </c>
      <c r="L2787">
        <v>17950</v>
      </c>
      <c r="M2787" t="s">
        <v>86</v>
      </c>
      <c r="N2787" t="str">
        <f>"852906      "</f>
        <v xml:space="preserve">852906      </v>
      </c>
      <c r="O2787">
        <v>230809</v>
      </c>
    </row>
    <row r="2788" spans="1:15" x14ac:dyDescent="0.25">
      <c r="A2788" t="s">
        <v>16</v>
      </c>
      <c r="B2788" t="s">
        <v>3221</v>
      </c>
      <c r="C2788">
        <v>11365</v>
      </c>
      <c r="D2788" t="s">
        <v>33</v>
      </c>
      <c r="E2788" t="s">
        <v>34</v>
      </c>
      <c r="F2788">
        <v>37.590000000000003</v>
      </c>
      <c r="G2788">
        <v>230830</v>
      </c>
      <c r="H2788">
        <v>4590</v>
      </c>
      <c r="I2788" t="s">
        <v>203</v>
      </c>
      <c r="J2788">
        <v>46.61</v>
      </c>
      <c r="K2788">
        <v>9.02</v>
      </c>
      <c r="L2788">
        <v>56561</v>
      </c>
      <c r="M2788" t="s">
        <v>358</v>
      </c>
      <c r="N2788" t="str">
        <f>"861402      "</f>
        <v xml:space="preserve">861402      </v>
      </c>
      <c r="O2788">
        <v>230904</v>
      </c>
    </row>
    <row r="2789" spans="1:15" x14ac:dyDescent="0.25">
      <c r="A2789" t="s">
        <v>16</v>
      </c>
      <c r="B2789" t="s">
        <v>3221</v>
      </c>
      <c r="C2789">
        <v>11447</v>
      </c>
      <c r="D2789" t="s">
        <v>33</v>
      </c>
      <c r="E2789" t="s">
        <v>34</v>
      </c>
      <c r="F2789">
        <v>138</v>
      </c>
      <c r="G2789">
        <v>230831</v>
      </c>
      <c r="H2789">
        <v>4590</v>
      </c>
      <c r="I2789" t="s">
        <v>203</v>
      </c>
      <c r="J2789">
        <v>171.12</v>
      </c>
      <c r="K2789">
        <v>33.119999999999997</v>
      </c>
      <c r="L2789">
        <v>56561</v>
      </c>
      <c r="M2789" t="s">
        <v>358</v>
      </c>
      <c r="N2789" t="str">
        <f>"861951      "</f>
        <v xml:space="preserve">861951      </v>
      </c>
      <c r="O2789">
        <v>230905</v>
      </c>
    </row>
    <row r="2790" spans="1:15" x14ac:dyDescent="0.25">
      <c r="A2790" t="s">
        <v>16</v>
      </c>
      <c r="B2790" t="s">
        <v>3221</v>
      </c>
      <c r="C2790">
        <v>562</v>
      </c>
      <c r="D2790" t="s">
        <v>33</v>
      </c>
      <c r="E2790" t="s">
        <v>34</v>
      </c>
      <c r="F2790">
        <v>240.75</v>
      </c>
      <c r="G2790">
        <v>230119</v>
      </c>
      <c r="H2790">
        <v>4500</v>
      </c>
      <c r="I2790" t="s">
        <v>212</v>
      </c>
      <c r="J2790">
        <v>298.52999999999997</v>
      </c>
      <c r="K2790">
        <v>57.78</v>
      </c>
      <c r="L2790">
        <v>13402</v>
      </c>
      <c r="M2790" t="s">
        <v>242</v>
      </c>
      <c r="N2790" t="str">
        <f>"800600      "</f>
        <v xml:space="preserve">800600      </v>
      </c>
      <c r="O2790">
        <v>230124</v>
      </c>
    </row>
    <row r="2791" spans="1:15" x14ac:dyDescent="0.25">
      <c r="A2791" t="s">
        <v>16</v>
      </c>
      <c r="B2791" t="s">
        <v>3221</v>
      </c>
      <c r="C2791">
        <v>623</v>
      </c>
      <c r="D2791" t="s">
        <v>33</v>
      </c>
      <c r="E2791" t="s">
        <v>34</v>
      </c>
      <c r="F2791">
        <v>24.94</v>
      </c>
      <c r="G2791">
        <v>230117</v>
      </c>
      <c r="H2791">
        <v>4500</v>
      </c>
      <c r="I2791" t="s">
        <v>212</v>
      </c>
      <c r="J2791">
        <v>30.93</v>
      </c>
      <c r="K2791">
        <v>5.99</v>
      </c>
      <c r="L2791">
        <v>13801</v>
      </c>
      <c r="M2791" t="s">
        <v>162</v>
      </c>
      <c r="N2791" t="str">
        <f>"799774      "</f>
        <v xml:space="preserve">799774      </v>
      </c>
      <c r="O2791">
        <v>230125</v>
      </c>
    </row>
    <row r="2792" spans="1:15" x14ac:dyDescent="0.25">
      <c r="A2792" t="s">
        <v>16</v>
      </c>
      <c r="B2792" t="s">
        <v>3221</v>
      </c>
      <c r="C2792">
        <v>625</v>
      </c>
      <c r="D2792" t="s">
        <v>33</v>
      </c>
      <c r="E2792" t="s">
        <v>34</v>
      </c>
      <c r="F2792">
        <v>25</v>
      </c>
      <c r="G2792">
        <v>230119</v>
      </c>
      <c r="H2792">
        <v>4500</v>
      </c>
      <c r="I2792" t="s">
        <v>212</v>
      </c>
      <c r="J2792">
        <v>31</v>
      </c>
      <c r="K2792">
        <v>6</v>
      </c>
      <c r="L2792">
        <v>13801</v>
      </c>
      <c r="M2792" t="s">
        <v>162</v>
      </c>
      <c r="N2792" t="str">
        <f>"800794      "</f>
        <v xml:space="preserve">800794      </v>
      </c>
      <c r="O2792">
        <v>230125</v>
      </c>
    </row>
    <row r="2793" spans="1:15" x14ac:dyDescent="0.25">
      <c r="A2793" t="s">
        <v>16</v>
      </c>
      <c r="B2793" t="s">
        <v>3221</v>
      </c>
      <c r="C2793">
        <v>694</v>
      </c>
      <c r="D2793" t="s">
        <v>33</v>
      </c>
      <c r="E2793" t="s">
        <v>34</v>
      </c>
      <c r="F2793">
        <v>110.72</v>
      </c>
      <c r="G2793">
        <v>230123</v>
      </c>
      <c r="H2793">
        <v>4500</v>
      </c>
      <c r="I2793" t="s">
        <v>212</v>
      </c>
      <c r="J2793">
        <v>137.29</v>
      </c>
      <c r="K2793">
        <v>26.57</v>
      </c>
      <c r="L2793">
        <v>65222</v>
      </c>
      <c r="M2793" t="s">
        <v>487</v>
      </c>
      <c r="N2793" t="str">
        <f>"802046      "</f>
        <v xml:space="preserve">802046      </v>
      </c>
      <c r="O2793">
        <v>230126</v>
      </c>
    </row>
    <row r="2794" spans="1:15" x14ac:dyDescent="0.25">
      <c r="A2794" t="s">
        <v>16</v>
      </c>
      <c r="B2794" t="s">
        <v>3221</v>
      </c>
      <c r="C2794">
        <v>714</v>
      </c>
      <c r="D2794" t="s">
        <v>33</v>
      </c>
      <c r="E2794" t="s">
        <v>34</v>
      </c>
      <c r="F2794">
        <v>24.9</v>
      </c>
      <c r="G2794">
        <v>230124</v>
      </c>
      <c r="H2794">
        <v>4500</v>
      </c>
      <c r="I2794" t="s">
        <v>212</v>
      </c>
      <c r="J2794">
        <v>30.88</v>
      </c>
      <c r="K2794">
        <v>5.98</v>
      </c>
      <c r="L2794">
        <v>17525</v>
      </c>
      <c r="M2794" t="s">
        <v>135</v>
      </c>
      <c r="N2794" t="str">
        <f>"802476      "</f>
        <v xml:space="preserve">802476      </v>
      </c>
      <c r="O2794">
        <v>230127</v>
      </c>
    </row>
    <row r="2795" spans="1:15" x14ac:dyDescent="0.25">
      <c r="A2795" t="s">
        <v>16</v>
      </c>
      <c r="B2795" t="s">
        <v>3221</v>
      </c>
      <c r="C2795">
        <v>937</v>
      </c>
      <c r="D2795" t="s">
        <v>33</v>
      </c>
      <c r="E2795" t="s">
        <v>34</v>
      </c>
      <c r="F2795">
        <v>106.4</v>
      </c>
      <c r="G2795">
        <v>230127</v>
      </c>
      <c r="H2795">
        <v>4500</v>
      </c>
      <c r="I2795" t="s">
        <v>212</v>
      </c>
      <c r="J2795">
        <v>131.94</v>
      </c>
      <c r="K2795">
        <v>25.54</v>
      </c>
      <c r="L2795">
        <v>13801</v>
      </c>
      <c r="M2795" t="s">
        <v>162</v>
      </c>
      <c r="N2795" t="str">
        <f>"803625      "</f>
        <v xml:space="preserve">803625      </v>
      </c>
      <c r="O2795">
        <v>230201</v>
      </c>
    </row>
    <row r="2796" spans="1:15" x14ac:dyDescent="0.25">
      <c r="A2796" t="s">
        <v>16</v>
      </c>
      <c r="B2796" t="s">
        <v>3221</v>
      </c>
      <c r="C2796">
        <v>1564</v>
      </c>
      <c r="D2796" t="s">
        <v>33</v>
      </c>
      <c r="E2796" t="s">
        <v>34</v>
      </c>
      <c r="F2796">
        <v>32.200000000000003</v>
      </c>
      <c r="G2796">
        <v>230119</v>
      </c>
      <c r="H2796">
        <v>4500</v>
      </c>
      <c r="I2796" t="s">
        <v>212</v>
      </c>
      <c r="J2796">
        <v>39.93</v>
      </c>
      <c r="K2796">
        <v>7.73</v>
      </c>
      <c r="L2796">
        <v>55222</v>
      </c>
      <c r="M2796" t="s">
        <v>873</v>
      </c>
      <c r="N2796" t="str">
        <f>"800981      "</f>
        <v xml:space="preserve">800981      </v>
      </c>
      <c r="O2796">
        <v>230209</v>
      </c>
    </row>
    <row r="2797" spans="1:15" x14ac:dyDescent="0.25">
      <c r="A2797" t="s">
        <v>16</v>
      </c>
      <c r="B2797" t="s">
        <v>3221</v>
      </c>
      <c r="C2797">
        <v>1727</v>
      </c>
      <c r="D2797" t="s">
        <v>33</v>
      </c>
      <c r="E2797" t="s">
        <v>34</v>
      </c>
      <c r="F2797">
        <v>59.09</v>
      </c>
      <c r="G2797">
        <v>230131</v>
      </c>
      <c r="H2797">
        <v>4500</v>
      </c>
      <c r="I2797" t="s">
        <v>212</v>
      </c>
      <c r="J2797">
        <v>73.27</v>
      </c>
      <c r="K2797">
        <v>14.18</v>
      </c>
      <c r="L2797">
        <v>61122</v>
      </c>
      <c r="M2797" t="s">
        <v>402</v>
      </c>
      <c r="N2797" t="str">
        <f>"804488      "</f>
        <v xml:space="preserve">804488      </v>
      </c>
      <c r="O2797">
        <v>230213</v>
      </c>
    </row>
    <row r="2798" spans="1:15" x14ac:dyDescent="0.25">
      <c r="A2798" t="s">
        <v>16</v>
      </c>
      <c r="B2798" t="s">
        <v>3221</v>
      </c>
      <c r="C2798">
        <v>1737</v>
      </c>
      <c r="D2798" t="s">
        <v>33</v>
      </c>
      <c r="E2798" t="s">
        <v>34</v>
      </c>
      <c r="F2798">
        <v>44.9</v>
      </c>
      <c r="G2798">
        <v>230131</v>
      </c>
      <c r="H2798">
        <v>4500</v>
      </c>
      <c r="I2798" t="s">
        <v>212</v>
      </c>
      <c r="J2798">
        <v>55.68</v>
      </c>
      <c r="K2798">
        <v>10.78</v>
      </c>
      <c r="L2798">
        <v>61122</v>
      </c>
      <c r="M2798" t="s">
        <v>402</v>
      </c>
      <c r="N2798" t="str">
        <f>"804597      "</f>
        <v xml:space="preserve">804597      </v>
      </c>
      <c r="O2798">
        <v>230213</v>
      </c>
    </row>
    <row r="2799" spans="1:15" x14ac:dyDescent="0.25">
      <c r="A2799" t="s">
        <v>16</v>
      </c>
      <c r="B2799" t="s">
        <v>3221</v>
      </c>
      <c r="C2799">
        <v>1750</v>
      </c>
      <c r="D2799" t="s">
        <v>33</v>
      </c>
      <c r="E2799" t="s">
        <v>34</v>
      </c>
      <c r="F2799">
        <v>342.67</v>
      </c>
      <c r="G2799">
        <v>230207</v>
      </c>
      <c r="H2799">
        <v>4500</v>
      </c>
      <c r="I2799" t="s">
        <v>212</v>
      </c>
      <c r="J2799">
        <v>424.91</v>
      </c>
      <c r="K2799">
        <v>82.24</v>
      </c>
      <c r="L2799">
        <v>13801</v>
      </c>
      <c r="M2799" t="s">
        <v>162</v>
      </c>
      <c r="N2799" t="str">
        <f>"807123      "</f>
        <v xml:space="preserve">807123      </v>
      </c>
      <c r="O2799">
        <v>230213</v>
      </c>
    </row>
    <row r="2800" spans="1:15" x14ac:dyDescent="0.25">
      <c r="A2800" t="s">
        <v>16</v>
      </c>
      <c r="B2800" t="s">
        <v>3221</v>
      </c>
      <c r="C2800">
        <v>1768</v>
      </c>
      <c r="D2800" t="s">
        <v>33</v>
      </c>
      <c r="E2800" t="s">
        <v>34</v>
      </c>
      <c r="F2800">
        <v>5.9</v>
      </c>
      <c r="G2800">
        <v>230206</v>
      </c>
      <c r="H2800">
        <v>4500</v>
      </c>
      <c r="I2800" t="s">
        <v>212</v>
      </c>
      <c r="J2800">
        <v>7.32</v>
      </c>
      <c r="K2800">
        <v>1.42</v>
      </c>
      <c r="L2800">
        <v>11801</v>
      </c>
      <c r="M2800" t="s">
        <v>92</v>
      </c>
      <c r="N2800" t="str">
        <f>"806619      "</f>
        <v xml:space="preserve">806619      </v>
      </c>
      <c r="O2800">
        <v>230213</v>
      </c>
    </row>
    <row r="2801" spans="1:15" x14ac:dyDescent="0.25">
      <c r="A2801" t="s">
        <v>16</v>
      </c>
      <c r="B2801" t="s">
        <v>3221</v>
      </c>
      <c r="C2801">
        <v>2117</v>
      </c>
      <c r="D2801" t="s">
        <v>33</v>
      </c>
      <c r="E2801" t="s">
        <v>34</v>
      </c>
      <c r="F2801">
        <v>20.67</v>
      </c>
      <c r="G2801">
        <v>230217</v>
      </c>
      <c r="H2801">
        <v>4500</v>
      </c>
      <c r="I2801" t="s">
        <v>212</v>
      </c>
      <c r="J2801">
        <v>25.63</v>
      </c>
      <c r="K2801">
        <v>4.96</v>
      </c>
      <c r="L2801">
        <v>13281</v>
      </c>
      <c r="M2801" t="s">
        <v>1296</v>
      </c>
      <c r="N2801" t="str">
        <f>"811279      "</f>
        <v xml:space="preserve">811279      </v>
      </c>
      <c r="O2801">
        <v>230221</v>
      </c>
    </row>
    <row r="2802" spans="1:15" x14ac:dyDescent="0.25">
      <c r="A2802" t="s">
        <v>16</v>
      </c>
      <c r="B2802" t="s">
        <v>3221</v>
      </c>
      <c r="C2802">
        <v>2118</v>
      </c>
      <c r="D2802" t="s">
        <v>33</v>
      </c>
      <c r="E2802" t="s">
        <v>34</v>
      </c>
      <c r="F2802">
        <v>20.71</v>
      </c>
      <c r="G2802">
        <v>230217</v>
      </c>
      <c r="H2802">
        <v>4500</v>
      </c>
      <c r="I2802" t="s">
        <v>212</v>
      </c>
      <c r="J2802">
        <v>25.68</v>
      </c>
      <c r="K2802">
        <v>4.97</v>
      </c>
      <c r="L2802">
        <v>13661</v>
      </c>
      <c r="M2802" t="s">
        <v>247</v>
      </c>
      <c r="N2802" t="str">
        <f>"811273      "</f>
        <v xml:space="preserve">811273      </v>
      </c>
      <c r="O2802">
        <v>230221</v>
      </c>
    </row>
    <row r="2803" spans="1:15" x14ac:dyDescent="0.25">
      <c r="A2803" t="s">
        <v>16</v>
      </c>
      <c r="B2803" t="s">
        <v>3221</v>
      </c>
      <c r="C2803">
        <v>2370</v>
      </c>
      <c r="D2803" t="s">
        <v>33</v>
      </c>
      <c r="E2803" t="s">
        <v>34</v>
      </c>
      <c r="F2803">
        <v>26</v>
      </c>
      <c r="G2803">
        <v>230215</v>
      </c>
      <c r="H2803">
        <v>4500</v>
      </c>
      <c r="I2803" t="s">
        <v>212</v>
      </c>
      <c r="J2803">
        <v>32.24</v>
      </c>
      <c r="K2803">
        <v>6.24</v>
      </c>
      <c r="L2803">
        <v>13802</v>
      </c>
      <c r="M2803" t="s">
        <v>200</v>
      </c>
      <c r="N2803" t="str">
        <f>"810054      "</f>
        <v xml:space="preserve">810054      </v>
      </c>
      <c r="O2803">
        <v>230224</v>
      </c>
    </row>
    <row r="2804" spans="1:15" x14ac:dyDescent="0.25">
      <c r="A2804" t="s">
        <v>16</v>
      </c>
      <c r="B2804" t="s">
        <v>3221</v>
      </c>
      <c r="C2804">
        <v>2618</v>
      </c>
      <c r="D2804" t="s">
        <v>33</v>
      </c>
      <c r="E2804" t="s">
        <v>34</v>
      </c>
      <c r="F2804">
        <v>449</v>
      </c>
      <c r="G2804">
        <v>230208</v>
      </c>
      <c r="H2804">
        <v>4500</v>
      </c>
      <c r="I2804" t="s">
        <v>212</v>
      </c>
      <c r="J2804">
        <v>556.76</v>
      </c>
      <c r="K2804">
        <v>107.76</v>
      </c>
      <c r="L2804">
        <v>11801</v>
      </c>
      <c r="M2804" t="s">
        <v>92</v>
      </c>
      <c r="N2804" t="str">
        <f>"807655      "</f>
        <v xml:space="preserve">807655      </v>
      </c>
      <c r="O2804">
        <v>230303</v>
      </c>
    </row>
    <row r="2805" spans="1:15" x14ac:dyDescent="0.25">
      <c r="A2805" t="s">
        <v>16</v>
      </c>
      <c r="B2805" t="s">
        <v>3221</v>
      </c>
      <c r="C2805">
        <v>3747</v>
      </c>
      <c r="D2805" t="s">
        <v>33</v>
      </c>
      <c r="E2805" t="s">
        <v>34</v>
      </c>
      <c r="F2805">
        <v>42.24</v>
      </c>
      <c r="G2805">
        <v>230315</v>
      </c>
      <c r="H2805">
        <v>4500</v>
      </c>
      <c r="I2805" t="s">
        <v>212</v>
      </c>
      <c r="J2805">
        <v>52.38</v>
      </c>
      <c r="K2805">
        <v>10.14</v>
      </c>
      <c r="L2805">
        <v>11301</v>
      </c>
      <c r="M2805" t="s">
        <v>29</v>
      </c>
      <c r="N2805" t="str">
        <f>"818196      "</f>
        <v xml:space="preserve">818196      </v>
      </c>
      <c r="O2805">
        <v>230321</v>
      </c>
    </row>
    <row r="2806" spans="1:15" x14ac:dyDescent="0.25">
      <c r="A2806" t="s">
        <v>16</v>
      </c>
      <c r="B2806" t="s">
        <v>3221</v>
      </c>
      <c r="C2806">
        <v>4153</v>
      </c>
      <c r="D2806" t="s">
        <v>33</v>
      </c>
      <c r="E2806" t="s">
        <v>34</v>
      </c>
      <c r="F2806">
        <v>4</v>
      </c>
      <c r="G2806">
        <v>230325</v>
      </c>
      <c r="H2806">
        <v>4500</v>
      </c>
      <c r="I2806" t="s">
        <v>212</v>
      </c>
      <c r="J2806">
        <v>4.96</v>
      </c>
      <c r="K2806">
        <v>0.96</v>
      </c>
      <c r="L2806">
        <v>11301</v>
      </c>
      <c r="M2806" t="s">
        <v>29</v>
      </c>
      <c r="N2806" t="str">
        <f>"821382      "</f>
        <v xml:space="preserve">821382      </v>
      </c>
      <c r="O2806">
        <v>230330</v>
      </c>
    </row>
    <row r="2807" spans="1:15" x14ac:dyDescent="0.25">
      <c r="A2807" t="s">
        <v>16</v>
      </c>
      <c r="B2807" t="s">
        <v>3221</v>
      </c>
      <c r="C2807">
        <v>5667</v>
      </c>
      <c r="D2807" t="s">
        <v>33</v>
      </c>
      <c r="E2807" t="s">
        <v>34</v>
      </c>
      <c r="F2807">
        <v>20.5</v>
      </c>
      <c r="G2807">
        <v>230424</v>
      </c>
      <c r="H2807">
        <v>4500</v>
      </c>
      <c r="I2807" t="s">
        <v>212</v>
      </c>
      <c r="J2807">
        <v>25.42</v>
      </c>
      <c r="K2807">
        <v>4.92</v>
      </c>
      <c r="L2807">
        <v>14972</v>
      </c>
      <c r="M2807" t="s">
        <v>898</v>
      </c>
      <c r="N2807" t="str">
        <f>"828813      "</f>
        <v xml:space="preserve">828813      </v>
      </c>
      <c r="O2807">
        <v>230428</v>
      </c>
    </row>
    <row r="2808" spans="1:15" x14ac:dyDescent="0.25">
      <c r="A2808" t="s">
        <v>16</v>
      </c>
      <c r="B2808" t="s">
        <v>3221</v>
      </c>
      <c r="C2808">
        <v>5957</v>
      </c>
      <c r="D2808" t="s">
        <v>33</v>
      </c>
      <c r="E2808" t="s">
        <v>34</v>
      </c>
      <c r="F2808">
        <v>70</v>
      </c>
      <c r="G2808">
        <v>230503</v>
      </c>
      <c r="H2808">
        <v>4500</v>
      </c>
      <c r="I2808" t="s">
        <v>212</v>
      </c>
      <c r="J2808">
        <v>86.8</v>
      </c>
      <c r="K2808">
        <v>16.8</v>
      </c>
      <c r="L2808">
        <v>11801</v>
      </c>
      <c r="M2808" t="s">
        <v>92</v>
      </c>
      <c r="N2808" t="str">
        <f>"831481      "</f>
        <v xml:space="preserve">831481      </v>
      </c>
      <c r="O2808">
        <v>230504</v>
      </c>
    </row>
    <row r="2809" spans="1:15" x14ac:dyDescent="0.25">
      <c r="A2809" t="s">
        <v>16</v>
      </c>
      <c r="B2809" t="s">
        <v>3221</v>
      </c>
      <c r="C2809">
        <v>6910</v>
      </c>
      <c r="D2809" t="s">
        <v>33</v>
      </c>
      <c r="E2809" t="s">
        <v>34</v>
      </c>
      <c r="F2809">
        <v>17.920000000000002</v>
      </c>
      <c r="G2809">
        <v>230504</v>
      </c>
      <c r="H2809">
        <v>4500</v>
      </c>
      <c r="I2809" t="s">
        <v>212</v>
      </c>
      <c r="J2809">
        <v>22.22</v>
      </c>
      <c r="K2809">
        <v>4.3</v>
      </c>
      <c r="L2809">
        <v>11801</v>
      </c>
      <c r="M2809" t="s">
        <v>92</v>
      </c>
      <c r="N2809" t="str">
        <f>"831821      "</f>
        <v xml:space="preserve">831821      </v>
      </c>
      <c r="O2809">
        <v>230523</v>
      </c>
    </row>
    <row r="2810" spans="1:15" x14ac:dyDescent="0.25">
      <c r="A2810" t="s">
        <v>16</v>
      </c>
      <c r="B2810" t="s">
        <v>3221</v>
      </c>
      <c r="C2810">
        <v>7525</v>
      </c>
      <c r="D2810" t="s">
        <v>33</v>
      </c>
      <c r="E2810" t="s">
        <v>34</v>
      </c>
      <c r="F2810">
        <v>5.35</v>
      </c>
      <c r="G2810">
        <v>230522</v>
      </c>
      <c r="H2810">
        <v>4500</v>
      </c>
      <c r="I2810" t="s">
        <v>212</v>
      </c>
      <c r="J2810">
        <v>6.63</v>
      </c>
      <c r="K2810">
        <v>1.28</v>
      </c>
      <c r="L2810">
        <v>56524</v>
      </c>
      <c r="M2810" t="s">
        <v>150</v>
      </c>
      <c r="N2810" t="str">
        <f>"836448      "</f>
        <v xml:space="preserve">836448      </v>
      </c>
      <c r="O2810">
        <v>230531</v>
      </c>
    </row>
    <row r="2811" spans="1:15" x14ac:dyDescent="0.25">
      <c r="A2811" t="s">
        <v>16</v>
      </c>
      <c r="B2811" t="s">
        <v>3221</v>
      </c>
      <c r="C2811">
        <v>7672</v>
      </c>
      <c r="D2811" t="s">
        <v>33</v>
      </c>
      <c r="E2811" t="s">
        <v>34</v>
      </c>
      <c r="F2811">
        <v>28.1</v>
      </c>
      <c r="G2811">
        <v>230529</v>
      </c>
      <c r="H2811">
        <v>4500</v>
      </c>
      <c r="I2811" t="s">
        <v>212</v>
      </c>
      <c r="J2811">
        <v>34.840000000000003</v>
      </c>
      <c r="K2811">
        <v>6.74</v>
      </c>
      <c r="L2811">
        <v>46554</v>
      </c>
      <c r="M2811" t="s">
        <v>117</v>
      </c>
      <c r="N2811" t="str">
        <f>"838660      "</f>
        <v xml:space="preserve">838660      </v>
      </c>
      <c r="O2811">
        <v>230601</v>
      </c>
    </row>
    <row r="2812" spans="1:15" x14ac:dyDescent="0.25">
      <c r="A2812" t="s">
        <v>16</v>
      </c>
      <c r="B2812" t="s">
        <v>3221</v>
      </c>
      <c r="C2812">
        <v>8192</v>
      </c>
      <c r="D2812" t="s">
        <v>33</v>
      </c>
      <c r="E2812" t="s">
        <v>34</v>
      </c>
      <c r="F2812">
        <v>42.63</v>
      </c>
      <c r="G2812">
        <v>230602</v>
      </c>
      <c r="H2812">
        <v>4500</v>
      </c>
      <c r="I2812" t="s">
        <v>212</v>
      </c>
      <c r="J2812">
        <v>52.86</v>
      </c>
      <c r="K2812">
        <v>10.23</v>
      </c>
      <c r="L2812">
        <v>65222</v>
      </c>
      <c r="M2812" t="s">
        <v>487</v>
      </c>
      <c r="N2812" t="str">
        <f>"840212      "</f>
        <v xml:space="preserve">840212      </v>
      </c>
      <c r="O2812">
        <v>230607</v>
      </c>
    </row>
    <row r="2813" spans="1:15" x14ac:dyDescent="0.25">
      <c r="A2813" t="s">
        <v>16</v>
      </c>
      <c r="B2813" t="s">
        <v>3221</v>
      </c>
      <c r="C2813">
        <v>8484</v>
      </c>
      <c r="D2813" t="s">
        <v>33</v>
      </c>
      <c r="E2813" t="s">
        <v>34</v>
      </c>
      <c r="F2813">
        <v>10.5</v>
      </c>
      <c r="G2813">
        <v>230602</v>
      </c>
      <c r="H2813">
        <v>4500</v>
      </c>
      <c r="I2813" t="s">
        <v>212</v>
      </c>
      <c r="J2813">
        <v>13.02</v>
      </c>
      <c r="K2813">
        <v>2.52</v>
      </c>
      <c r="L2813">
        <v>17523</v>
      </c>
      <c r="M2813" t="s">
        <v>134</v>
      </c>
      <c r="N2813" t="str">
        <f>"840234      "</f>
        <v xml:space="preserve">840234      </v>
      </c>
      <c r="O2813">
        <v>230609</v>
      </c>
    </row>
    <row r="2814" spans="1:15" x14ac:dyDescent="0.25">
      <c r="A2814" t="s">
        <v>16</v>
      </c>
      <c r="B2814" t="s">
        <v>3221</v>
      </c>
      <c r="C2814">
        <v>8665</v>
      </c>
      <c r="D2814" t="s">
        <v>33</v>
      </c>
      <c r="E2814" t="s">
        <v>34</v>
      </c>
      <c r="F2814">
        <v>30.9</v>
      </c>
      <c r="G2814">
        <v>230524</v>
      </c>
      <c r="H2814">
        <v>4500</v>
      </c>
      <c r="I2814" t="s">
        <v>212</v>
      </c>
      <c r="J2814">
        <v>38.32</v>
      </c>
      <c r="K2814">
        <v>7.42</v>
      </c>
      <c r="L2814">
        <v>11801</v>
      </c>
      <c r="M2814" t="s">
        <v>92</v>
      </c>
      <c r="N2814" t="str">
        <f>"837313      "</f>
        <v xml:space="preserve">837313      </v>
      </c>
      <c r="O2814">
        <v>230613</v>
      </c>
    </row>
    <row r="2815" spans="1:15" x14ac:dyDescent="0.25">
      <c r="A2815" t="s">
        <v>16</v>
      </c>
      <c r="B2815" t="s">
        <v>3221</v>
      </c>
      <c r="C2815">
        <v>8917</v>
      </c>
      <c r="D2815" t="s">
        <v>33</v>
      </c>
      <c r="E2815" t="s">
        <v>34</v>
      </c>
      <c r="F2815">
        <v>311.58</v>
      </c>
      <c r="G2815">
        <v>230602</v>
      </c>
      <c r="H2815">
        <v>4500</v>
      </c>
      <c r="I2815" t="s">
        <v>212</v>
      </c>
      <c r="J2815">
        <v>386.36</v>
      </c>
      <c r="K2815">
        <v>74.78</v>
      </c>
      <c r="L2815">
        <v>11801</v>
      </c>
      <c r="M2815" t="s">
        <v>92</v>
      </c>
      <c r="N2815" t="str">
        <f>"840225      "</f>
        <v xml:space="preserve">840225      </v>
      </c>
      <c r="O2815">
        <v>230619</v>
      </c>
    </row>
    <row r="2816" spans="1:15" x14ac:dyDescent="0.25">
      <c r="A2816" t="s">
        <v>16</v>
      </c>
      <c r="B2816" t="s">
        <v>3221</v>
      </c>
      <c r="C2816">
        <v>8918</v>
      </c>
      <c r="D2816" t="s">
        <v>33</v>
      </c>
      <c r="E2816" t="s">
        <v>34</v>
      </c>
      <c r="F2816">
        <v>155.79</v>
      </c>
      <c r="G2816">
        <v>230605</v>
      </c>
      <c r="H2816">
        <v>4500</v>
      </c>
      <c r="I2816" t="s">
        <v>212</v>
      </c>
      <c r="J2816">
        <v>193.18</v>
      </c>
      <c r="K2816">
        <v>37.39</v>
      </c>
      <c r="L2816">
        <v>11801</v>
      </c>
      <c r="M2816" t="s">
        <v>92</v>
      </c>
      <c r="N2816" t="str">
        <f>"840882      "</f>
        <v xml:space="preserve">840882      </v>
      </c>
      <c r="O2816">
        <v>230619</v>
      </c>
    </row>
    <row r="2817" spans="1:15" x14ac:dyDescent="0.25">
      <c r="A2817" t="s">
        <v>16</v>
      </c>
      <c r="B2817" t="s">
        <v>3221</v>
      </c>
      <c r="C2817">
        <v>8999</v>
      </c>
      <c r="D2817" t="s">
        <v>33</v>
      </c>
      <c r="E2817" t="s">
        <v>34</v>
      </c>
      <c r="F2817">
        <v>74.83</v>
      </c>
      <c r="G2817">
        <v>230616</v>
      </c>
      <c r="H2817">
        <v>4500</v>
      </c>
      <c r="I2817" t="s">
        <v>212</v>
      </c>
      <c r="J2817">
        <v>92.79</v>
      </c>
      <c r="K2817">
        <v>17.96</v>
      </c>
      <c r="L2817">
        <v>11801</v>
      </c>
      <c r="M2817" t="s">
        <v>92</v>
      </c>
      <c r="N2817" t="str">
        <f>"844384      "</f>
        <v xml:space="preserve">844384      </v>
      </c>
      <c r="O2817">
        <v>230620</v>
      </c>
    </row>
    <row r="2818" spans="1:15" x14ac:dyDescent="0.25">
      <c r="A2818" t="s">
        <v>16</v>
      </c>
      <c r="B2818" t="s">
        <v>3221</v>
      </c>
      <c r="C2818">
        <v>9743</v>
      </c>
      <c r="D2818" t="s">
        <v>33</v>
      </c>
      <c r="E2818" t="s">
        <v>34</v>
      </c>
      <c r="F2818">
        <v>135.75</v>
      </c>
      <c r="G2818">
        <v>230629</v>
      </c>
      <c r="H2818">
        <v>4500</v>
      </c>
      <c r="I2818" t="s">
        <v>212</v>
      </c>
      <c r="J2818">
        <v>168.33</v>
      </c>
      <c r="K2818">
        <v>32.58</v>
      </c>
      <c r="L2818">
        <v>11801</v>
      </c>
      <c r="M2818" t="s">
        <v>92</v>
      </c>
      <c r="N2818" t="str">
        <f>"847095      "</f>
        <v xml:space="preserve">847095      </v>
      </c>
      <c r="O2818">
        <v>230724</v>
      </c>
    </row>
    <row r="2819" spans="1:15" x14ac:dyDescent="0.25">
      <c r="A2819" t="s">
        <v>16</v>
      </c>
      <c r="B2819" t="s">
        <v>3221</v>
      </c>
      <c r="C2819">
        <v>9719</v>
      </c>
      <c r="D2819" t="s">
        <v>33</v>
      </c>
      <c r="E2819" t="s">
        <v>34</v>
      </c>
      <c r="F2819">
        <v>268.3</v>
      </c>
      <c r="G2819">
        <v>230710</v>
      </c>
      <c r="H2819">
        <v>4500</v>
      </c>
      <c r="I2819" t="s">
        <v>212</v>
      </c>
      <c r="J2819">
        <v>332.69</v>
      </c>
      <c r="K2819">
        <v>64.39</v>
      </c>
      <c r="L2819">
        <v>69702</v>
      </c>
      <c r="M2819" t="s">
        <v>489</v>
      </c>
      <c r="N2819" t="str">
        <f>"849273      "</f>
        <v xml:space="preserve">849273      </v>
      </c>
      <c r="O2819">
        <v>230720</v>
      </c>
    </row>
    <row r="2820" spans="1:15" x14ac:dyDescent="0.25">
      <c r="A2820" t="s">
        <v>16</v>
      </c>
      <c r="B2820" t="s">
        <v>3221</v>
      </c>
      <c r="C2820">
        <v>10021</v>
      </c>
      <c r="D2820" t="s">
        <v>33</v>
      </c>
      <c r="E2820" t="s">
        <v>34</v>
      </c>
      <c r="F2820">
        <v>57.67</v>
      </c>
      <c r="G2820">
        <v>230706</v>
      </c>
      <c r="H2820">
        <v>4500</v>
      </c>
      <c r="I2820" t="s">
        <v>212</v>
      </c>
      <c r="J2820">
        <v>71.510000000000005</v>
      </c>
      <c r="K2820">
        <v>13.84</v>
      </c>
      <c r="L2820">
        <v>56566</v>
      </c>
      <c r="M2820" t="s">
        <v>652</v>
      </c>
      <c r="N2820" t="str">
        <f>"848821      "</f>
        <v xml:space="preserve">848821      </v>
      </c>
      <c r="O2820">
        <v>230807</v>
      </c>
    </row>
    <row r="2821" spans="1:15" x14ac:dyDescent="0.25">
      <c r="A2821" t="s">
        <v>16</v>
      </c>
      <c r="B2821" t="s">
        <v>3221</v>
      </c>
      <c r="C2821">
        <v>10056</v>
      </c>
      <c r="D2821" t="s">
        <v>33</v>
      </c>
      <c r="E2821" t="s">
        <v>34</v>
      </c>
      <c r="F2821">
        <v>138</v>
      </c>
      <c r="G2821">
        <v>230718</v>
      </c>
      <c r="H2821">
        <v>4500</v>
      </c>
      <c r="I2821" t="s">
        <v>212</v>
      </c>
      <c r="J2821">
        <v>171.12</v>
      </c>
      <c r="K2821">
        <v>33.119999999999997</v>
      </c>
      <c r="L2821">
        <v>18120</v>
      </c>
      <c r="M2821" t="s">
        <v>329</v>
      </c>
      <c r="N2821" t="str">
        <f>"850661      "</f>
        <v xml:space="preserve">850661      </v>
      </c>
      <c r="O2821">
        <v>230808</v>
      </c>
    </row>
    <row r="2822" spans="1:15" x14ac:dyDescent="0.25">
      <c r="A2822" t="s">
        <v>16</v>
      </c>
      <c r="B2822" t="s">
        <v>3221</v>
      </c>
      <c r="C2822">
        <v>10826</v>
      </c>
      <c r="D2822" t="s">
        <v>33</v>
      </c>
      <c r="E2822" t="s">
        <v>34</v>
      </c>
      <c r="F2822">
        <v>58.3</v>
      </c>
      <c r="G2822">
        <v>230815</v>
      </c>
      <c r="H2822">
        <v>4500</v>
      </c>
      <c r="I2822" t="s">
        <v>212</v>
      </c>
      <c r="J2822">
        <v>72.290000000000006</v>
      </c>
      <c r="K2822">
        <v>13.99</v>
      </c>
      <c r="L2822">
        <v>46222</v>
      </c>
      <c r="M2822" t="s">
        <v>293</v>
      </c>
      <c r="N2822" t="str">
        <f>"856820      "</f>
        <v xml:space="preserve">856820      </v>
      </c>
      <c r="O2822">
        <v>230823</v>
      </c>
    </row>
    <row r="2823" spans="1:15" x14ac:dyDescent="0.25">
      <c r="A2823" t="s">
        <v>16</v>
      </c>
      <c r="B2823" t="s">
        <v>3221</v>
      </c>
      <c r="C2823">
        <v>10975</v>
      </c>
      <c r="D2823" t="s">
        <v>33</v>
      </c>
      <c r="E2823" t="s">
        <v>34</v>
      </c>
      <c r="F2823">
        <v>15.03</v>
      </c>
      <c r="G2823">
        <v>230815</v>
      </c>
      <c r="H2823">
        <v>4500</v>
      </c>
      <c r="I2823" t="s">
        <v>212</v>
      </c>
      <c r="J2823">
        <v>18.64</v>
      </c>
      <c r="K2823">
        <v>3.61</v>
      </c>
      <c r="L2823">
        <v>56524</v>
      </c>
      <c r="M2823" t="s">
        <v>150</v>
      </c>
      <c r="N2823" t="str">
        <f>"856860      "</f>
        <v xml:space="preserve">856860      </v>
      </c>
      <c r="O2823">
        <v>230825</v>
      </c>
    </row>
    <row r="2824" spans="1:15" x14ac:dyDescent="0.25">
      <c r="A2824" t="s">
        <v>16</v>
      </c>
      <c r="B2824" t="s">
        <v>3221</v>
      </c>
      <c r="C2824">
        <v>11144</v>
      </c>
      <c r="D2824" t="s">
        <v>33</v>
      </c>
      <c r="E2824" t="s">
        <v>34</v>
      </c>
      <c r="F2824">
        <v>20.48</v>
      </c>
      <c r="G2824">
        <v>230810</v>
      </c>
      <c r="H2824">
        <v>4500</v>
      </c>
      <c r="I2824" t="s">
        <v>212</v>
      </c>
      <c r="J2824">
        <v>25.4</v>
      </c>
      <c r="K2824">
        <v>4.92</v>
      </c>
      <c r="L2824">
        <v>56528</v>
      </c>
      <c r="M2824" t="s">
        <v>153</v>
      </c>
      <c r="N2824" t="str">
        <f>"855666      "</f>
        <v xml:space="preserve">855666      </v>
      </c>
      <c r="O2824">
        <v>230830</v>
      </c>
    </row>
    <row r="2825" spans="1:15" x14ac:dyDescent="0.25">
      <c r="A2825" t="s">
        <v>16</v>
      </c>
      <c r="B2825" t="s">
        <v>3221</v>
      </c>
      <c r="C2825">
        <v>11344</v>
      </c>
      <c r="D2825" t="s">
        <v>33</v>
      </c>
      <c r="E2825" t="s">
        <v>34</v>
      </c>
      <c r="F2825">
        <v>81.400000000000006</v>
      </c>
      <c r="G2825">
        <v>230822</v>
      </c>
      <c r="H2825">
        <v>4500</v>
      </c>
      <c r="I2825" t="s">
        <v>212</v>
      </c>
      <c r="J2825">
        <v>100.94</v>
      </c>
      <c r="K2825">
        <v>19.54</v>
      </c>
      <c r="L2825">
        <v>17530</v>
      </c>
      <c r="M2825" t="s">
        <v>454</v>
      </c>
      <c r="N2825" t="str">
        <f>"858764      "</f>
        <v xml:space="preserve">858764      </v>
      </c>
      <c r="O2825">
        <v>230904</v>
      </c>
    </row>
    <row r="2826" spans="1:15" x14ac:dyDescent="0.25">
      <c r="A2826" t="s">
        <v>16</v>
      </c>
      <c r="B2826" t="s">
        <v>3221</v>
      </c>
      <c r="C2826">
        <v>11430</v>
      </c>
      <c r="D2826" t="s">
        <v>33</v>
      </c>
      <c r="E2826" t="s">
        <v>34</v>
      </c>
      <c r="F2826">
        <v>80</v>
      </c>
      <c r="G2826">
        <v>230830</v>
      </c>
      <c r="H2826">
        <v>4500</v>
      </c>
      <c r="I2826" t="s">
        <v>212</v>
      </c>
      <c r="J2826">
        <v>99.2</v>
      </c>
      <c r="K2826">
        <v>19.2</v>
      </c>
      <c r="L2826">
        <v>17538</v>
      </c>
      <c r="M2826" t="s">
        <v>24</v>
      </c>
      <c r="N2826" t="str">
        <f>"861241      "</f>
        <v xml:space="preserve">861241      </v>
      </c>
      <c r="O2826">
        <v>230905</v>
      </c>
    </row>
    <row r="2827" spans="1:15" x14ac:dyDescent="0.25">
      <c r="A2827" t="s">
        <v>16</v>
      </c>
      <c r="B2827" t="s">
        <v>3221</v>
      </c>
      <c r="C2827">
        <v>11444</v>
      </c>
      <c r="D2827" t="s">
        <v>33</v>
      </c>
      <c r="E2827" t="s">
        <v>34</v>
      </c>
      <c r="F2827">
        <v>15.8</v>
      </c>
      <c r="G2827">
        <v>230831</v>
      </c>
      <c r="H2827">
        <v>4500</v>
      </c>
      <c r="I2827" t="s">
        <v>212</v>
      </c>
      <c r="J2827">
        <v>19.59</v>
      </c>
      <c r="K2827">
        <v>3.79</v>
      </c>
      <c r="L2827">
        <v>11801</v>
      </c>
      <c r="M2827" t="s">
        <v>92</v>
      </c>
      <c r="N2827" t="str">
        <f>"861897      "</f>
        <v xml:space="preserve">861897      </v>
      </c>
      <c r="O2827">
        <v>230905</v>
      </c>
    </row>
    <row r="2828" spans="1:15" x14ac:dyDescent="0.25">
      <c r="A2828" t="s">
        <v>16</v>
      </c>
      <c r="B2828" t="s">
        <v>3221</v>
      </c>
      <c r="C2828">
        <v>12516</v>
      </c>
      <c r="D2828" t="s">
        <v>33</v>
      </c>
      <c r="E2828" t="s">
        <v>34</v>
      </c>
      <c r="F2828">
        <v>138</v>
      </c>
      <c r="G2828">
        <v>230913</v>
      </c>
      <c r="H2828">
        <v>4500</v>
      </c>
      <c r="I2828" t="s">
        <v>212</v>
      </c>
      <c r="J2828">
        <v>171.12</v>
      </c>
      <c r="K2828">
        <v>33.119999999999997</v>
      </c>
      <c r="L2828">
        <v>17807</v>
      </c>
      <c r="M2828" t="s">
        <v>318</v>
      </c>
      <c r="N2828" t="str">
        <f>"865955      "</f>
        <v xml:space="preserve">865955      </v>
      </c>
      <c r="O2828">
        <v>230920</v>
      </c>
    </row>
    <row r="2829" spans="1:15" x14ac:dyDescent="0.25">
      <c r="A2829" t="s">
        <v>16</v>
      </c>
      <c r="B2829" t="s">
        <v>3221</v>
      </c>
      <c r="C2829">
        <v>12742</v>
      </c>
      <c r="D2829" t="s">
        <v>33</v>
      </c>
      <c r="E2829" t="s">
        <v>34</v>
      </c>
      <c r="F2829">
        <v>235</v>
      </c>
      <c r="G2829">
        <v>230921</v>
      </c>
      <c r="H2829">
        <v>4500</v>
      </c>
      <c r="I2829" t="s">
        <v>212</v>
      </c>
      <c r="J2829">
        <v>291.39999999999998</v>
      </c>
      <c r="K2829">
        <v>56.4</v>
      </c>
      <c r="L2829">
        <v>14622</v>
      </c>
      <c r="M2829" t="s">
        <v>1005</v>
      </c>
      <c r="N2829" t="str">
        <f>"868905      "</f>
        <v xml:space="preserve">868905      </v>
      </c>
      <c r="O2829">
        <v>230925</v>
      </c>
    </row>
    <row r="2830" spans="1:15" x14ac:dyDescent="0.25">
      <c r="A2830" t="s">
        <v>16</v>
      </c>
      <c r="B2830" t="s">
        <v>3221</v>
      </c>
      <c r="C2830">
        <v>12913</v>
      </c>
      <c r="D2830" t="s">
        <v>33</v>
      </c>
      <c r="E2830" t="s">
        <v>34</v>
      </c>
      <c r="F2830">
        <v>29</v>
      </c>
      <c r="G2830">
        <v>230926</v>
      </c>
      <c r="H2830">
        <v>4500</v>
      </c>
      <c r="I2830" t="s">
        <v>212</v>
      </c>
      <c r="J2830">
        <v>35.96</v>
      </c>
      <c r="K2830">
        <v>6.96</v>
      </c>
      <c r="L2830">
        <v>59501</v>
      </c>
      <c r="M2830" t="s">
        <v>69</v>
      </c>
      <c r="N2830" t="str">
        <f>"870046      "</f>
        <v xml:space="preserve">870046      </v>
      </c>
      <c r="O2830">
        <v>230929</v>
      </c>
    </row>
    <row r="2831" spans="1:15" x14ac:dyDescent="0.25">
      <c r="A2831" t="s">
        <v>16</v>
      </c>
      <c r="B2831" t="s">
        <v>3221</v>
      </c>
      <c r="C2831">
        <v>12915</v>
      </c>
      <c r="D2831" t="s">
        <v>33</v>
      </c>
      <c r="E2831" t="s">
        <v>34</v>
      </c>
      <c r="F2831">
        <v>899</v>
      </c>
      <c r="G2831">
        <v>230926</v>
      </c>
      <c r="H2831">
        <v>4500</v>
      </c>
      <c r="I2831" t="s">
        <v>212</v>
      </c>
      <c r="J2831">
        <v>1114.76</v>
      </c>
      <c r="K2831">
        <v>215.76</v>
      </c>
      <c r="L2831">
        <v>53222</v>
      </c>
      <c r="M2831" t="s">
        <v>445</v>
      </c>
      <c r="N2831" t="str">
        <f>"870061      "</f>
        <v xml:space="preserve">870061      </v>
      </c>
      <c r="O2831">
        <v>230929</v>
      </c>
    </row>
    <row r="2832" spans="1:15" x14ac:dyDescent="0.25">
      <c r="A2832" t="s">
        <v>16</v>
      </c>
      <c r="B2832" t="s">
        <v>3221</v>
      </c>
      <c r="C2832">
        <v>13044</v>
      </c>
      <c r="D2832" t="s">
        <v>33</v>
      </c>
      <c r="E2832" t="s">
        <v>34</v>
      </c>
      <c r="F2832">
        <v>12.01</v>
      </c>
      <c r="G2832">
        <v>230918</v>
      </c>
      <c r="H2832">
        <v>4500</v>
      </c>
      <c r="I2832" t="s">
        <v>212</v>
      </c>
      <c r="J2832">
        <v>14.89</v>
      </c>
      <c r="K2832">
        <v>2.88</v>
      </c>
      <c r="L2832">
        <v>56524</v>
      </c>
      <c r="M2832" t="s">
        <v>150</v>
      </c>
      <c r="N2832" t="str">
        <f>"867246      "</f>
        <v xml:space="preserve">867246      </v>
      </c>
      <c r="O2832">
        <v>231002</v>
      </c>
    </row>
    <row r="2833" spans="1:15" x14ac:dyDescent="0.25">
      <c r="A2833" t="s">
        <v>16</v>
      </c>
      <c r="B2833" t="s">
        <v>3221</v>
      </c>
      <c r="C2833">
        <v>13096</v>
      </c>
      <c r="D2833" t="s">
        <v>33</v>
      </c>
      <c r="E2833" t="s">
        <v>34</v>
      </c>
      <c r="F2833">
        <v>29</v>
      </c>
      <c r="G2833">
        <v>230926</v>
      </c>
      <c r="H2833">
        <v>4500</v>
      </c>
      <c r="I2833" t="s">
        <v>212</v>
      </c>
      <c r="J2833">
        <v>35.96</v>
      </c>
      <c r="K2833">
        <v>6.96</v>
      </c>
      <c r="L2833">
        <v>59113</v>
      </c>
      <c r="M2833" t="s">
        <v>235</v>
      </c>
      <c r="N2833" t="str">
        <f>"870047      "</f>
        <v xml:space="preserve">870047      </v>
      </c>
      <c r="O2833">
        <v>231003</v>
      </c>
    </row>
    <row r="2834" spans="1:15" x14ac:dyDescent="0.25">
      <c r="A2834" t="s">
        <v>16</v>
      </c>
      <c r="B2834" t="s">
        <v>3221</v>
      </c>
      <c r="C2834">
        <v>13105</v>
      </c>
      <c r="D2834" t="s">
        <v>33</v>
      </c>
      <c r="E2834" t="s">
        <v>34</v>
      </c>
      <c r="F2834">
        <v>44.04</v>
      </c>
      <c r="G2834">
        <v>230928</v>
      </c>
      <c r="H2834">
        <v>4500</v>
      </c>
      <c r="I2834" t="s">
        <v>212</v>
      </c>
      <c r="J2834">
        <v>54.61</v>
      </c>
      <c r="K2834">
        <v>10.57</v>
      </c>
      <c r="L2834">
        <v>13801</v>
      </c>
      <c r="M2834" t="s">
        <v>162</v>
      </c>
      <c r="N2834" t="str">
        <f>"871276      "</f>
        <v xml:space="preserve">871276      </v>
      </c>
      <c r="O2834">
        <v>231003</v>
      </c>
    </row>
    <row r="2835" spans="1:15" x14ac:dyDescent="0.25">
      <c r="A2835" t="s">
        <v>16</v>
      </c>
      <c r="B2835" t="s">
        <v>3221</v>
      </c>
      <c r="C2835">
        <v>13159</v>
      </c>
      <c r="D2835" t="s">
        <v>33</v>
      </c>
      <c r="E2835" t="s">
        <v>34</v>
      </c>
      <c r="F2835">
        <v>35.4</v>
      </c>
      <c r="G2835">
        <v>230927</v>
      </c>
      <c r="H2835">
        <v>4500</v>
      </c>
      <c r="I2835" t="s">
        <v>212</v>
      </c>
      <c r="J2835">
        <v>43.9</v>
      </c>
      <c r="K2835">
        <v>8.5</v>
      </c>
      <c r="L2835">
        <v>11001</v>
      </c>
      <c r="M2835" t="s">
        <v>326</v>
      </c>
      <c r="N2835" t="str">
        <f>"870726      "</f>
        <v xml:space="preserve">870726      </v>
      </c>
      <c r="O2835">
        <v>231004</v>
      </c>
    </row>
    <row r="2836" spans="1:15" x14ac:dyDescent="0.25">
      <c r="A2836" t="s">
        <v>16</v>
      </c>
      <c r="B2836" t="s">
        <v>3221</v>
      </c>
      <c r="C2836">
        <v>13344</v>
      </c>
      <c r="D2836" t="s">
        <v>33</v>
      </c>
      <c r="E2836" t="s">
        <v>34</v>
      </c>
      <c r="F2836">
        <v>17</v>
      </c>
      <c r="G2836">
        <v>230920</v>
      </c>
      <c r="H2836">
        <v>4500</v>
      </c>
      <c r="I2836" t="s">
        <v>212</v>
      </c>
      <c r="J2836">
        <v>21.08</v>
      </c>
      <c r="K2836">
        <v>4.08</v>
      </c>
      <c r="L2836">
        <v>11801</v>
      </c>
      <c r="M2836" t="s">
        <v>92</v>
      </c>
      <c r="N2836" t="str">
        <f>"868297      "</f>
        <v xml:space="preserve">868297      </v>
      </c>
      <c r="O2836">
        <v>231009</v>
      </c>
    </row>
    <row r="2837" spans="1:15" x14ac:dyDescent="0.25">
      <c r="A2837" t="s">
        <v>16</v>
      </c>
      <c r="B2837" t="s">
        <v>3221</v>
      </c>
      <c r="C2837">
        <v>13597</v>
      </c>
      <c r="D2837" t="s">
        <v>33</v>
      </c>
      <c r="E2837" t="s">
        <v>34</v>
      </c>
      <c r="F2837">
        <v>12.8</v>
      </c>
      <c r="G2837">
        <v>231006</v>
      </c>
      <c r="H2837">
        <v>4500</v>
      </c>
      <c r="I2837" t="s">
        <v>212</v>
      </c>
      <c r="J2837">
        <v>15.87</v>
      </c>
      <c r="K2837">
        <v>3.07</v>
      </c>
      <c r="L2837">
        <v>17523</v>
      </c>
      <c r="M2837" t="s">
        <v>134</v>
      </c>
      <c r="N2837" t="str">
        <f>"873626      "</f>
        <v xml:space="preserve">873626      </v>
      </c>
      <c r="O2837">
        <v>231011</v>
      </c>
    </row>
    <row r="2838" spans="1:15" x14ac:dyDescent="0.25">
      <c r="A2838" t="s">
        <v>16</v>
      </c>
      <c r="B2838" t="s">
        <v>3221</v>
      </c>
      <c r="C2838">
        <v>13673</v>
      </c>
      <c r="D2838" t="s">
        <v>33</v>
      </c>
      <c r="E2838" t="s">
        <v>34</v>
      </c>
      <c r="F2838">
        <v>59.9</v>
      </c>
      <c r="G2838">
        <v>231002</v>
      </c>
      <c r="H2838">
        <v>4500</v>
      </c>
      <c r="I2838" t="s">
        <v>212</v>
      </c>
      <c r="J2838">
        <v>74.28</v>
      </c>
      <c r="K2838">
        <v>14.38</v>
      </c>
      <c r="L2838">
        <v>14622</v>
      </c>
      <c r="M2838" t="s">
        <v>1005</v>
      </c>
      <c r="N2838" t="str">
        <f>"872009      "</f>
        <v xml:space="preserve">872009      </v>
      </c>
      <c r="O2838">
        <v>231012</v>
      </c>
    </row>
    <row r="2839" spans="1:15" x14ac:dyDescent="0.25">
      <c r="A2839" t="s">
        <v>16</v>
      </c>
      <c r="B2839" t="s">
        <v>3221</v>
      </c>
      <c r="C2839">
        <v>13806</v>
      </c>
      <c r="D2839" t="s">
        <v>33</v>
      </c>
      <c r="E2839" t="s">
        <v>34</v>
      </c>
      <c r="F2839">
        <v>15</v>
      </c>
      <c r="G2839">
        <v>231011</v>
      </c>
      <c r="H2839">
        <v>4500</v>
      </c>
      <c r="I2839" t="s">
        <v>212</v>
      </c>
      <c r="J2839">
        <v>18.600000000000001</v>
      </c>
      <c r="K2839">
        <v>3.6</v>
      </c>
      <c r="L2839">
        <v>13801</v>
      </c>
      <c r="M2839" t="s">
        <v>162</v>
      </c>
      <c r="N2839" t="str">
        <f>"875196      "</f>
        <v xml:space="preserve">875196      </v>
      </c>
      <c r="O2839">
        <v>231013</v>
      </c>
    </row>
    <row r="2840" spans="1:15" x14ac:dyDescent="0.25">
      <c r="A2840" t="s">
        <v>16</v>
      </c>
      <c r="B2840" t="s">
        <v>3221</v>
      </c>
      <c r="C2840">
        <v>14144</v>
      </c>
      <c r="D2840" t="s">
        <v>33</v>
      </c>
      <c r="E2840" t="s">
        <v>34</v>
      </c>
      <c r="F2840">
        <v>106.17</v>
      </c>
      <c r="G2840">
        <v>231013</v>
      </c>
      <c r="H2840">
        <v>4500</v>
      </c>
      <c r="I2840" t="s">
        <v>212</v>
      </c>
      <c r="J2840">
        <v>131.65</v>
      </c>
      <c r="K2840">
        <v>25.48</v>
      </c>
      <c r="L2840">
        <v>13802</v>
      </c>
      <c r="M2840" t="s">
        <v>200</v>
      </c>
      <c r="N2840" t="str">
        <f>"875876      "</f>
        <v xml:space="preserve">875876      </v>
      </c>
      <c r="O2840">
        <v>231019</v>
      </c>
    </row>
    <row r="2841" spans="1:15" x14ac:dyDescent="0.25">
      <c r="A2841" t="s">
        <v>16</v>
      </c>
      <c r="B2841" t="s">
        <v>3221</v>
      </c>
      <c r="C2841">
        <v>14601</v>
      </c>
      <c r="D2841" t="s">
        <v>33</v>
      </c>
      <c r="E2841" t="s">
        <v>34</v>
      </c>
      <c r="F2841">
        <v>221.25</v>
      </c>
      <c r="G2841">
        <v>231020</v>
      </c>
      <c r="H2841">
        <v>4500</v>
      </c>
      <c r="I2841" t="s">
        <v>212</v>
      </c>
      <c r="J2841">
        <v>274.35000000000002</v>
      </c>
      <c r="K2841">
        <v>53.1</v>
      </c>
      <c r="L2841">
        <v>65222</v>
      </c>
      <c r="M2841" t="s">
        <v>487</v>
      </c>
      <c r="N2841" t="str">
        <f>"878092      "</f>
        <v xml:space="preserve">878092      </v>
      </c>
      <c r="O2841">
        <v>231030</v>
      </c>
    </row>
    <row r="2842" spans="1:15" x14ac:dyDescent="0.25">
      <c r="A2842" t="s">
        <v>16</v>
      </c>
      <c r="B2842" t="s">
        <v>3221</v>
      </c>
      <c r="C2842">
        <v>14606</v>
      </c>
      <c r="D2842" t="s">
        <v>33</v>
      </c>
      <c r="E2842" t="s">
        <v>34</v>
      </c>
      <c r="F2842">
        <v>25</v>
      </c>
      <c r="G2842">
        <v>231023</v>
      </c>
      <c r="H2842">
        <v>4500</v>
      </c>
      <c r="I2842" t="s">
        <v>212</v>
      </c>
      <c r="J2842">
        <v>31</v>
      </c>
      <c r="K2842">
        <v>6</v>
      </c>
      <c r="L2842">
        <v>11751</v>
      </c>
      <c r="M2842" t="s">
        <v>1339</v>
      </c>
      <c r="N2842" t="str">
        <f>"878492      "</f>
        <v xml:space="preserve">878492      </v>
      </c>
      <c r="O2842">
        <v>231030</v>
      </c>
    </row>
    <row r="2843" spans="1:15" x14ac:dyDescent="0.25">
      <c r="A2843" t="s">
        <v>16</v>
      </c>
      <c r="B2843" t="s">
        <v>3221</v>
      </c>
      <c r="C2843">
        <v>14654</v>
      </c>
      <c r="D2843" t="s">
        <v>33</v>
      </c>
      <c r="E2843" t="s">
        <v>34</v>
      </c>
      <c r="F2843">
        <v>11.72</v>
      </c>
      <c r="G2843">
        <v>231025</v>
      </c>
      <c r="H2843">
        <v>4500</v>
      </c>
      <c r="I2843" t="s">
        <v>212</v>
      </c>
      <c r="J2843">
        <v>14.53</v>
      </c>
      <c r="K2843">
        <v>2.81</v>
      </c>
      <c r="L2843">
        <v>11501</v>
      </c>
      <c r="M2843" t="s">
        <v>339</v>
      </c>
      <c r="N2843" t="str">
        <f>"879504      "</f>
        <v xml:space="preserve">879504      </v>
      </c>
      <c r="O2843">
        <v>231031</v>
      </c>
    </row>
    <row r="2844" spans="1:15" x14ac:dyDescent="0.25">
      <c r="A2844" t="s">
        <v>16</v>
      </c>
      <c r="B2844" t="s">
        <v>3221</v>
      </c>
      <c r="C2844">
        <v>14663</v>
      </c>
      <c r="D2844" t="s">
        <v>33</v>
      </c>
      <c r="E2844" t="s">
        <v>34</v>
      </c>
      <c r="F2844">
        <v>49.5</v>
      </c>
      <c r="G2844">
        <v>231025</v>
      </c>
      <c r="H2844">
        <v>4500</v>
      </c>
      <c r="I2844" t="s">
        <v>212</v>
      </c>
      <c r="J2844">
        <v>61.38</v>
      </c>
      <c r="K2844">
        <v>11.88</v>
      </c>
      <c r="L2844">
        <v>11501</v>
      </c>
      <c r="M2844" t="s">
        <v>339</v>
      </c>
      <c r="N2844" t="str">
        <f>"879664      "</f>
        <v xml:space="preserve">879664      </v>
      </c>
      <c r="O2844">
        <v>231031</v>
      </c>
    </row>
    <row r="2845" spans="1:15" x14ac:dyDescent="0.25">
      <c r="A2845" t="s">
        <v>16</v>
      </c>
      <c r="B2845" t="s">
        <v>3221</v>
      </c>
      <c r="C2845">
        <v>15166</v>
      </c>
      <c r="D2845" t="s">
        <v>33</v>
      </c>
      <c r="E2845" t="s">
        <v>34</v>
      </c>
      <c r="F2845">
        <v>41</v>
      </c>
      <c r="G2845">
        <v>231023</v>
      </c>
      <c r="H2845">
        <v>4500</v>
      </c>
      <c r="I2845" t="s">
        <v>212</v>
      </c>
      <c r="J2845">
        <v>50.84</v>
      </c>
      <c r="K2845">
        <v>9.84</v>
      </c>
      <c r="L2845">
        <v>11903</v>
      </c>
      <c r="M2845" t="s">
        <v>406</v>
      </c>
      <c r="N2845" t="str">
        <f>"878480      "</f>
        <v xml:space="preserve">878480      </v>
      </c>
      <c r="O2845">
        <v>231109</v>
      </c>
    </row>
    <row r="2846" spans="1:15" x14ac:dyDescent="0.25">
      <c r="A2846" t="s">
        <v>16</v>
      </c>
      <c r="B2846" t="s">
        <v>3221</v>
      </c>
      <c r="C2846">
        <v>15252</v>
      </c>
      <c r="D2846" t="s">
        <v>33</v>
      </c>
      <c r="E2846" t="s">
        <v>34</v>
      </c>
      <c r="F2846">
        <v>64</v>
      </c>
      <c r="G2846">
        <v>231027</v>
      </c>
      <c r="H2846">
        <v>4500</v>
      </c>
      <c r="I2846" t="s">
        <v>212</v>
      </c>
      <c r="J2846">
        <v>79.36</v>
      </c>
      <c r="K2846">
        <v>15.36</v>
      </c>
      <c r="L2846">
        <v>13561</v>
      </c>
      <c r="M2846" t="s">
        <v>246</v>
      </c>
      <c r="N2846" t="str">
        <f>"880553      "</f>
        <v xml:space="preserve">880553      </v>
      </c>
      <c r="O2846">
        <v>231109</v>
      </c>
    </row>
    <row r="2847" spans="1:15" x14ac:dyDescent="0.25">
      <c r="A2847" t="s">
        <v>16</v>
      </c>
      <c r="B2847" t="s">
        <v>3221</v>
      </c>
      <c r="C2847">
        <v>15541</v>
      </c>
      <c r="D2847" t="s">
        <v>33</v>
      </c>
      <c r="E2847" t="s">
        <v>34</v>
      </c>
      <c r="F2847">
        <v>14.9</v>
      </c>
      <c r="G2847">
        <v>231108</v>
      </c>
      <c r="H2847">
        <v>4500</v>
      </c>
      <c r="I2847" t="s">
        <v>212</v>
      </c>
      <c r="J2847">
        <v>18.48</v>
      </c>
      <c r="K2847">
        <v>3.58</v>
      </c>
      <c r="L2847">
        <v>14640</v>
      </c>
      <c r="M2847" t="s">
        <v>229</v>
      </c>
      <c r="N2847" t="str">
        <f>"884575      "</f>
        <v xml:space="preserve">884575      </v>
      </c>
      <c r="O2847">
        <v>231113</v>
      </c>
    </row>
    <row r="2848" spans="1:15" x14ac:dyDescent="0.25">
      <c r="A2848" t="s">
        <v>16</v>
      </c>
      <c r="B2848" t="s">
        <v>3221</v>
      </c>
      <c r="C2848">
        <v>15751</v>
      </c>
      <c r="D2848" t="s">
        <v>33</v>
      </c>
      <c r="E2848" t="s">
        <v>34</v>
      </c>
      <c r="F2848">
        <v>118.38</v>
      </c>
      <c r="G2848">
        <v>231115</v>
      </c>
      <c r="H2848">
        <v>4500</v>
      </c>
      <c r="I2848" t="s">
        <v>212</v>
      </c>
      <c r="J2848">
        <v>146.79</v>
      </c>
      <c r="K2848">
        <v>28.41</v>
      </c>
      <c r="L2848">
        <v>16431</v>
      </c>
      <c r="M2848" t="s">
        <v>231</v>
      </c>
      <c r="N2848" t="str">
        <f>"886702      "</f>
        <v xml:space="preserve">886702      </v>
      </c>
      <c r="O2848">
        <v>231116</v>
      </c>
    </row>
    <row r="2849" spans="1:15" x14ac:dyDescent="0.25">
      <c r="A2849" t="s">
        <v>16</v>
      </c>
      <c r="B2849" t="s">
        <v>3221</v>
      </c>
      <c r="C2849">
        <v>16089</v>
      </c>
      <c r="D2849" t="s">
        <v>33</v>
      </c>
      <c r="E2849" t="s">
        <v>34</v>
      </c>
      <c r="F2849">
        <v>942</v>
      </c>
      <c r="G2849">
        <v>231110</v>
      </c>
      <c r="H2849">
        <v>4500</v>
      </c>
      <c r="I2849" t="s">
        <v>212</v>
      </c>
      <c r="J2849">
        <v>1168.08</v>
      </c>
      <c r="K2849">
        <v>226.08</v>
      </c>
      <c r="L2849">
        <v>17530</v>
      </c>
      <c r="M2849" t="s">
        <v>454</v>
      </c>
      <c r="N2849" t="str">
        <f>"885312      "</f>
        <v xml:space="preserve">885312      </v>
      </c>
      <c r="O2849">
        <v>231122</v>
      </c>
    </row>
    <row r="2850" spans="1:15" x14ac:dyDescent="0.25">
      <c r="A2850" t="s">
        <v>16</v>
      </c>
      <c r="B2850" t="s">
        <v>3221</v>
      </c>
      <c r="C2850">
        <v>16103</v>
      </c>
      <c r="D2850" t="s">
        <v>33</v>
      </c>
      <c r="E2850" t="s">
        <v>34</v>
      </c>
      <c r="F2850">
        <v>198.4</v>
      </c>
      <c r="G2850">
        <v>231115</v>
      </c>
      <c r="H2850">
        <v>4500</v>
      </c>
      <c r="I2850" t="s">
        <v>212</v>
      </c>
      <c r="J2850">
        <v>246.02</v>
      </c>
      <c r="K2850">
        <v>47.62</v>
      </c>
      <c r="L2850">
        <v>59702</v>
      </c>
      <c r="M2850" t="s">
        <v>328</v>
      </c>
      <c r="N2850" t="str">
        <f>"886578      "</f>
        <v xml:space="preserve">886578      </v>
      </c>
      <c r="O2850">
        <v>231122</v>
      </c>
    </row>
    <row r="2851" spans="1:15" x14ac:dyDescent="0.25">
      <c r="A2851" t="s">
        <v>16</v>
      </c>
      <c r="B2851" t="s">
        <v>3221</v>
      </c>
      <c r="C2851">
        <v>16114</v>
      </c>
      <c r="D2851" t="s">
        <v>33</v>
      </c>
      <c r="E2851" t="s">
        <v>34</v>
      </c>
      <c r="F2851">
        <v>13.87</v>
      </c>
      <c r="G2851">
        <v>231117</v>
      </c>
      <c r="H2851">
        <v>4500</v>
      </c>
      <c r="I2851" t="s">
        <v>212</v>
      </c>
      <c r="J2851">
        <v>17.2</v>
      </c>
      <c r="K2851">
        <v>3.33</v>
      </c>
      <c r="L2851">
        <v>56566</v>
      </c>
      <c r="M2851" t="s">
        <v>652</v>
      </c>
      <c r="N2851" t="str">
        <f>"887503      "</f>
        <v xml:space="preserve">887503      </v>
      </c>
      <c r="O2851">
        <v>231122</v>
      </c>
    </row>
    <row r="2852" spans="1:15" x14ac:dyDescent="0.25">
      <c r="A2852" t="s">
        <v>16</v>
      </c>
      <c r="B2852" t="s">
        <v>3221</v>
      </c>
      <c r="C2852">
        <v>16301</v>
      </c>
      <c r="D2852" t="s">
        <v>33</v>
      </c>
      <c r="E2852" t="s">
        <v>34</v>
      </c>
      <c r="F2852">
        <v>29.6</v>
      </c>
      <c r="G2852">
        <v>231122</v>
      </c>
      <c r="H2852">
        <v>4500</v>
      </c>
      <c r="I2852" t="s">
        <v>212</v>
      </c>
      <c r="J2852">
        <v>36.700000000000003</v>
      </c>
      <c r="K2852">
        <v>7.1</v>
      </c>
      <c r="L2852">
        <v>14972</v>
      </c>
      <c r="M2852" t="s">
        <v>898</v>
      </c>
      <c r="N2852" t="str">
        <f>"888953      "</f>
        <v xml:space="preserve">888953      </v>
      </c>
      <c r="O2852">
        <v>231127</v>
      </c>
    </row>
    <row r="2853" spans="1:15" x14ac:dyDescent="0.25">
      <c r="A2853" t="s">
        <v>16</v>
      </c>
      <c r="B2853" t="s">
        <v>3221</v>
      </c>
      <c r="C2853">
        <v>16438</v>
      </c>
      <c r="D2853" t="s">
        <v>33</v>
      </c>
      <c r="E2853" t="s">
        <v>34</v>
      </c>
      <c r="F2853">
        <v>290</v>
      </c>
      <c r="G2853">
        <v>231113</v>
      </c>
      <c r="H2853">
        <v>4500</v>
      </c>
      <c r="I2853" t="s">
        <v>212</v>
      </c>
      <c r="J2853">
        <v>359.6</v>
      </c>
      <c r="K2853">
        <v>69.599999999999994</v>
      </c>
      <c r="L2853">
        <v>13801</v>
      </c>
      <c r="M2853" t="s">
        <v>162</v>
      </c>
      <c r="N2853" t="str">
        <f>"885590      "</f>
        <v xml:space="preserve">885590      </v>
      </c>
      <c r="O2853">
        <v>231129</v>
      </c>
    </row>
    <row r="2854" spans="1:15" x14ac:dyDescent="0.25">
      <c r="A2854" t="s">
        <v>16</v>
      </c>
      <c r="B2854" t="s">
        <v>3221</v>
      </c>
      <c r="C2854">
        <v>16446</v>
      </c>
      <c r="D2854" t="s">
        <v>33</v>
      </c>
      <c r="E2854" t="s">
        <v>34</v>
      </c>
      <c r="F2854">
        <v>285</v>
      </c>
      <c r="G2854">
        <v>231124</v>
      </c>
      <c r="H2854">
        <v>4500</v>
      </c>
      <c r="I2854" t="s">
        <v>212</v>
      </c>
      <c r="J2854">
        <v>353.4</v>
      </c>
      <c r="K2854">
        <v>68.400000000000006</v>
      </c>
      <c r="L2854">
        <v>56562</v>
      </c>
      <c r="M2854" t="s">
        <v>126</v>
      </c>
      <c r="N2854" t="str">
        <f>"889978      "</f>
        <v xml:space="preserve">889978      </v>
      </c>
      <c r="O2854">
        <v>231129</v>
      </c>
    </row>
    <row r="2855" spans="1:15" x14ac:dyDescent="0.25">
      <c r="A2855" t="s">
        <v>16</v>
      </c>
      <c r="B2855" t="s">
        <v>3221</v>
      </c>
      <c r="C2855">
        <v>17286</v>
      </c>
      <c r="D2855" t="s">
        <v>33</v>
      </c>
      <c r="E2855" t="s">
        <v>34</v>
      </c>
      <c r="F2855">
        <v>149</v>
      </c>
      <c r="G2855">
        <v>231207</v>
      </c>
      <c r="H2855">
        <v>4500</v>
      </c>
      <c r="I2855" t="s">
        <v>212</v>
      </c>
      <c r="J2855">
        <v>184.76</v>
      </c>
      <c r="K2855">
        <v>35.76</v>
      </c>
      <c r="L2855">
        <v>18972</v>
      </c>
      <c r="M2855" t="s">
        <v>163</v>
      </c>
      <c r="N2855" t="str">
        <f>"893756      "</f>
        <v xml:space="preserve">893756      </v>
      </c>
      <c r="O2855">
        <v>231212</v>
      </c>
    </row>
    <row r="2856" spans="1:15" x14ac:dyDescent="0.25">
      <c r="A2856" t="s">
        <v>16</v>
      </c>
      <c r="B2856" t="s">
        <v>3221</v>
      </c>
      <c r="C2856">
        <v>17336</v>
      </c>
      <c r="D2856" t="s">
        <v>33</v>
      </c>
      <c r="E2856" t="s">
        <v>34</v>
      </c>
      <c r="F2856">
        <v>28.65</v>
      </c>
      <c r="G2856">
        <v>231207</v>
      </c>
      <c r="H2856">
        <v>4500</v>
      </c>
      <c r="I2856" t="s">
        <v>212</v>
      </c>
      <c r="J2856">
        <v>35.53</v>
      </c>
      <c r="K2856">
        <v>6.88</v>
      </c>
      <c r="L2856">
        <v>59701</v>
      </c>
      <c r="M2856" t="s">
        <v>297</v>
      </c>
      <c r="N2856" t="str">
        <f>"893938      "</f>
        <v xml:space="preserve">893938      </v>
      </c>
      <c r="O2856">
        <v>231213</v>
      </c>
    </row>
    <row r="2857" spans="1:15" x14ac:dyDescent="0.25">
      <c r="A2857" t="s">
        <v>16</v>
      </c>
      <c r="B2857" t="s">
        <v>3221</v>
      </c>
      <c r="C2857">
        <v>17447</v>
      </c>
      <c r="D2857" t="s">
        <v>33</v>
      </c>
      <c r="E2857" t="s">
        <v>34</v>
      </c>
      <c r="F2857">
        <v>80.36</v>
      </c>
      <c r="G2857">
        <v>231130</v>
      </c>
      <c r="H2857">
        <v>4500</v>
      </c>
      <c r="I2857" t="s">
        <v>212</v>
      </c>
      <c r="J2857">
        <v>99.65</v>
      </c>
      <c r="K2857">
        <v>19.29</v>
      </c>
      <c r="L2857">
        <v>59502</v>
      </c>
      <c r="M2857" t="s">
        <v>70</v>
      </c>
      <c r="N2857" t="str">
        <f>"892122      "</f>
        <v xml:space="preserve">892122      </v>
      </c>
      <c r="O2857">
        <v>231214</v>
      </c>
    </row>
    <row r="2858" spans="1:15" x14ac:dyDescent="0.25">
      <c r="A2858" t="s">
        <v>16</v>
      </c>
      <c r="B2858" t="s">
        <v>3221</v>
      </c>
      <c r="C2858">
        <v>17447</v>
      </c>
      <c r="D2858" t="s">
        <v>33</v>
      </c>
      <c r="E2858" t="s">
        <v>34</v>
      </c>
      <c r="F2858">
        <v>51.38</v>
      </c>
      <c r="G2858">
        <v>231130</v>
      </c>
      <c r="H2858">
        <v>4500</v>
      </c>
      <c r="I2858" t="s">
        <v>212</v>
      </c>
      <c r="J2858">
        <v>63.71</v>
      </c>
      <c r="K2858">
        <v>12.33</v>
      </c>
      <c r="L2858">
        <v>59802</v>
      </c>
      <c r="M2858" t="s">
        <v>73</v>
      </c>
      <c r="N2858" t="str">
        <f>"892122      "</f>
        <v xml:space="preserve">892122      </v>
      </c>
      <c r="O2858">
        <v>231214</v>
      </c>
    </row>
    <row r="2859" spans="1:15" x14ac:dyDescent="0.25">
      <c r="A2859" t="s">
        <v>16</v>
      </c>
      <c r="B2859" t="s">
        <v>3221</v>
      </c>
      <c r="C2859">
        <v>17997</v>
      </c>
      <c r="D2859" t="s">
        <v>33</v>
      </c>
      <c r="E2859" t="s">
        <v>34</v>
      </c>
      <c r="F2859">
        <v>59.9</v>
      </c>
      <c r="G2859">
        <v>231130</v>
      </c>
      <c r="H2859">
        <v>4500</v>
      </c>
      <c r="I2859" t="s">
        <v>212</v>
      </c>
      <c r="J2859">
        <v>74.28</v>
      </c>
      <c r="K2859">
        <v>14.38</v>
      </c>
      <c r="L2859">
        <v>11101</v>
      </c>
      <c r="M2859" t="s">
        <v>110</v>
      </c>
      <c r="N2859" t="str">
        <f>"891969      "</f>
        <v xml:space="preserve">891969      </v>
      </c>
      <c r="O2859">
        <v>231228</v>
      </c>
    </row>
    <row r="2860" spans="1:15" x14ac:dyDescent="0.25">
      <c r="A2860" t="s">
        <v>16</v>
      </c>
      <c r="B2860" t="s">
        <v>3221</v>
      </c>
      <c r="C2860">
        <v>18583</v>
      </c>
      <c r="D2860" t="s">
        <v>33</v>
      </c>
      <c r="E2860" t="s">
        <v>34</v>
      </c>
      <c r="F2860">
        <v>107.45</v>
      </c>
      <c r="G2860">
        <v>231214</v>
      </c>
      <c r="H2860">
        <v>4500</v>
      </c>
      <c r="I2860" t="s">
        <v>212</v>
      </c>
      <c r="J2860">
        <v>133.24</v>
      </c>
      <c r="K2860">
        <v>25.79</v>
      </c>
      <c r="L2860">
        <v>46222</v>
      </c>
      <c r="M2860" t="s">
        <v>293</v>
      </c>
      <c r="N2860" t="str">
        <f>"895839      "</f>
        <v xml:space="preserve">895839      </v>
      </c>
      <c r="O2860">
        <v>240104</v>
      </c>
    </row>
    <row r="2861" spans="1:15" x14ac:dyDescent="0.25">
      <c r="A2861" t="s">
        <v>16</v>
      </c>
      <c r="B2861" t="s">
        <v>3221</v>
      </c>
      <c r="C2861">
        <v>19105</v>
      </c>
      <c r="D2861" t="s">
        <v>3163</v>
      </c>
      <c r="E2861" t="s">
        <v>3164</v>
      </c>
      <c r="F2861">
        <v>91.52</v>
      </c>
      <c r="G2861">
        <v>231229</v>
      </c>
      <c r="H2861">
        <v>4400</v>
      </c>
      <c r="I2861" t="s">
        <v>348</v>
      </c>
      <c r="J2861">
        <v>113.48</v>
      </c>
      <c r="K2861">
        <v>21.96</v>
      </c>
      <c r="L2861">
        <v>17803</v>
      </c>
      <c r="M2861" t="s">
        <v>389</v>
      </c>
      <c r="N2861" t="str">
        <f>"23627       "</f>
        <v xml:space="preserve">23627       </v>
      </c>
      <c r="O2861">
        <v>240110</v>
      </c>
    </row>
    <row r="2862" spans="1:15" x14ac:dyDescent="0.25">
      <c r="A2862" t="s">
        <v>16</v>
      </c>
      <c r="B2862" t="s">
        <v>3221</v>
      </c>
      <c r="C2862">
        <v>12255</v>
      </c>
      <c r="D2862" t="s">
        <v>2551</v>
      </c>
      <c r="E2862" t="s">
        <v>2552</v>
      </c>
      <c r="F2862">
        <v>495.33</v>
      </c>
      <c r="G2862">
        <v>230907</v>
      </c>
      <c r="H2862">
        <v>4600</v>
      </c>
      <c r="I2862" t="s">
        <v>105</v>
      </c>
      <c r="J2862">
        <v>614.21</v>
      </c>
      <c r="K2862">
        <v>118.88</v>
      </c>
      <c r="L2862">
        <v>49112</v>
      </c>
      <c r="M2862" t="s">
        <v>233</v>
      </c>
      <c r="N2862" t="str">
        <f>"1058338     "</f>
        <v xml:space="preserve">1058338     </v>
      </c>
      <c r="O2862">
        <v>230918</v>
      </c>
    </row>
    <row r="2863" spans="1:15" x14ac:dyDescent="0.25">
      <c r="A2863" t="s">
        <v>16</v>
      </c>
      <c r="B2863" t="s">
        <v>3221</v>
      </c>
      <c r="C2863">
        <v>12571</v>
      </c>
      <c r="D2863" t="s">
        <v>2551</v>
      </c>
      <c r="E2863" t="s">
        <v>2552</v>
      </c>
      <c r="F2863">
        <v>444.52</v>
      </c>
      <c r="G2863">
        <v>230911</v>
      </c>
      <c r="H2863">
        <v>4600</v>
      </c>
      <c r="I2863" t="s">
        <v>105</v>
      </c>
      <c r="J2863">
        <v>551.20000000000005</v>
      </c>
      <c r="K2863">
        <v>106.68</v>
      </c>
      <c r="L2863">
        <v>49112</v>
      </c>
      <c r="M2863" t="s">
        <v>233</v>
      </c>
      <c r="N2863" t="str">
        <f>"1058795     "</f>
        <v xml:space="preserve">1058795     </v>
      </c>
      <c r="O2863">
        <v>230922</v>
      </c>
    </row>
    <row r="2864" spans="1:15" x14ac:dyDescent="0.25">
      <c r="A2864" t="s">
        <v>16</v>
      </c>
      <c r="B2864" t="s">
        <v>3221</v>
      </c>
      <c r="C2864">
        <v>13704</v>
      </c>
      <c r="D2864" t="s">
        <v>2551</v>
      </c>
      <c r="E2864" t="s">
        <v>2552</v>
      </c>
      <c r="F2864">
        <v>17.579999999999998</v>
      </c>
      <c r="G2864">
        <v>231006</v>
      </c>
      <c r="H2864">
        <v>4600</v>
      </c>
      <c r="I2864" t="s">
        <v>105</v>
      </c>
      <c r="J2864">
        <v>21.8</v>
      </c>
      <c r="K2864">
        <v>4.22</v>
      </c>
      <c r="L2864">
        <v>49112</v>
      </c>
      <c r="M2864" t="s">
        <v>233</v>
      </c>
      <c r="N2864" t="str">
        <f>"1062696     "</f>
        <v xml:space="preserve">1062696     </v>
      </c>
      <c r="O2864">
        <v>231012</v>
      </c>
    </row>
    <row r="2865" spans="1:15" x14ac:dyDescent="0.25">
      <c r="A2865" t="s">
        <v>16</v>
      </c>
      <c r="B2865" t="s">
        <v>3221</v>
      </c>
      <c r="C2865">
        <v>10243</v>
      </c>
      <c r="D2865" t="s">
        <v>3213</v>
      </c>
      <c r="E2865" t="s">
        <v>3214</v>
      </c>
      <c r="F2865">
        <v>5</v>
      </c>
      <c r="G2865">
        <v>230804</v>
      </c>
      <c r="H2865">
        <v>4470</v>
      </c>
      <c r="I2865" t="s">
        <v>83</v>
      </c>
      <c r="J2865">
        <v>6.2</v>
      </c>
      <c r="K2865">
        <v>1.2</v>
      </c>
      <c r="L2865">
        <v>54451</v>
      </c>
      <c r="M2865" t="s">
        <v>158</v>
      </c>
      <c r="N2865" t="str">
        <f>"AM00672072  "</f>
        <v xml:space="preserve">AM00672072  </v>
      </c>
      <c r="O2865">
        <v>230810</v>
      </c>
    </row>
    <row r="2866" spans="1:15" x14ac:dyDescent="0.25">
      <c r="A2866" t="s">
        <v>16</v>
      </c>
      <c r="B2866" t="s">
        <v>3221</v>
      </c>
      <c r="C2866">
        <v>12254</v>
      </c>
      <c r="D2866" t="s">
        <v>3213</v>
      </c>
      <c r="E2866" t="s">
        <v>3214</v>
      </c>
      <c r="F2866">
        <v>5.44</v>
      </c>
      <c r="G2866">
        <v>230907</v>
      </c>
      <c r="H2866">
        <v>4470</v>
      </c>
      <c r="I2866" t="s">
        <v>83</v>
      </c>
      <c r="J2866">
        <v>6.75</v>
      </c>
      <c r="K2866">
        <v>1.31</v>
      </c>
      <c r="L2866">
        <v>54451</v>
      </c>
      <c r="M2866" t="s">
        <v>158</v>
      </c>
      <c r="N2866" t="str">
        <f>"AM00680545  "</f>
        <v xml:space="preserve">AM00680545  </v>
      </c>
      <c r="O2866">
        <v>230918</v>
      </c>
    </row>
    <row r="2867" spans="1:15" x14ac:dyDescent="0.25">
      <c r="A2867" t="s">
        <v>16</v>
      </c>
      <c r="B2867" t="s">
        <v>3221</v>
      </c>
      <c r="C2867">
        <v>13548</v>
      </c>
      <c r="D2867" t="s">
        <v>3213</v>
      </c>
      <c r="E2867" t="s">
        <v>3214</v>
      </c>
      <c r="F2867">
        <v>5</v>
      </c>
      <c r="G2867">
        <v>230930</v>
      </c>
      <c r="H2867">
        <v>4470</v>
      </c>
      <c r="I2867" t="s">
        <v>83</v>
      </c>
      <c r="J2867">
        <v>6.2</v>
      </c>
      <c r="K2867">
        <v>1.2</v>
      </c>
      <c r="L2867">
        <v>54451</v>
      </c>
      <c r="M2867" t="s">
        <v>158</v>
      </c>
      <c r="N2867" t="str">
        <f>"AM00693833  "</f>
        <v xml:space="preserve">AM00693833  </v>
      </c>
      <c r="O2867">
        <v>231011</v>
      </c>
    </row>
    <row r="2868" spans="1:15" x14ac:dyDescent="0.25">
      <c r="A2868" t="s">
        <v>16</v>
      </c>
      <c r="B2868" t="s">
        <v>3221</v>
      </c>
      <c r="C2868">
        <v>13658</v>
      </c>
      <c r="D2868" t="s">
        <v>3213</v>
      </c>
      <c r="E2868" t="s">
        <v>3214</v>
      </c>
      <c r="F2868">
        <v>6.54</v>
      </c>
      <c r="G2868">
        <v>230930</v>
      </c>
      <c r="H2868">
        <v>4470</v>
      </c>
      <c r="I2868" t="s">
        <v>83</v>
      </c>
      <c r="J2868">
        <v>8.11</v>
      </c>
      <c r="K2868">
        <v>1.57</v>
      </c>
      <c r="L2868">
        <v>14432</v>
      </c>
      <c r="M2868" t="s">
        <v>862</v>
      </c>
      <c r="N2868" t="str">
        <f>"AM00690202  "</f>
        <v xml:space="preserve">AM00690202  </v>
      </c>
      <c r="O2868">
        <v>231012</v>
      </c>
    </row>
    <row r="2869" spans="1:15" x14ac:dyDescent="0.25">
      <c r="A2869" t="s">
        <v>16</v>
      </c>
      <c r="B2869" t="s">
        <v>3221</v>
      </c>
      <c r="C2869">
        <v>15102</v>
      </c>
      <c r="D2869" t="s">
        <v>3213</v>
      </c>
      <c r="E2869" t="s">
        <v>3214</v>
      </c>
      <c r="F2869">
        <v>5</v>
      </c>
      <c r="G2869">
        <v>231031</v>
      </c>
      <c r="H2869">
        <v>4470</v>
      </c>
      <c r="I2869" t="s">
        <v>83</v>
      </c>
      <c r="J2869">
        <v>6.2</v>
      </c>
      <c r="K2869">
        <v>1.2</v>
      </c>
      <c r="L2869">
        <v>54451</v>
      </c>
      <c r="M2869" t="s">
        <v>158</v>
      </c>
      <c r="N2869" t="str">
        <f>"AM00704421  "</f>
        <v xml:space="preserve">AM00704421  </v>
      </c>
      <c r="O2869">
        <v>231108</v>
      </c>
    </row>
    <row r="2870" spans="1:15" x14ac:dyDescent="0.25">
      <c r="A2870" t="s">
        <v>16</v>
      </c>
      <c r="B2870" t="s">
        <v>3221</v>
      </c>
      <c r="C2870">
        <v>15379</v>
      </c>
      <c r="D2870" t="s">
        <v>3213</v>
      </c>
      <c r="E2870" t="s">
        <v>3214</v>
      </c>
      <c r="F2870">
        <v>28.45</v>
      </c>
      <c r="G2870">
        <v>231031</v>
      </c>
      <c r="H2870">
        <v>4470</v>
      </c>
      <c r="I2870" t="s">
        <v>83</v>
      </c>
      <c r="J2870">
        <v>35.28</v>
      </c>
      <c r="K2870">
        <v>6.83</v>
      </c>
      <c r="L2870">
        <v>14432</v>
      </c>
      <c r="M2870" t="s">
        <v>862</v>
      </c>
      <c r="N2870" t="str">
        <f>"AM00700624  "</f>
        <v xml:space="preserve">AM00700624  </v>
      </c>
      <c r="O2870">
        <v>231113</v>
      </c>
    </row>
    <row r="2871" spans="1:15" x14ac:dyDescent="0.25">
      <c r="A2871" t="s">
        <v>16</v>
      </c>
      <c r="B2871" t="s">
        <v>3221</v>
      </c>
      <c r="C2871">
        <v>17115</v>
      </c>
      <c r="D2871" t="s">
        <v>3213</v>
      </c>
      <c r="E2871" t="s">
        <v>3214</v>
      </c>
      <c r="F2871">
        <v>5</v>
      </c>
      <c r="G2871">
        <v>231130</v>
      </c>
      <c r="H2871">
        <v>4470</v>
      </c>
      <c r="I2871" t="s">
        <v>83</v>
      </c>
      <c r="J2871">
        <v>6.2</v>
      </c>
      <c r="K2871">
        <v>1.2</v>
      </c>
      <c r="L2871">
        <v>54451</v>
      </c>
      <c r="M2871" t="s">
        <v>158</v>
      </c>
      <c r="N2871" t="str">
        <f>"AM00714209  "</f>
        <v xml:space="preserve">AM00714209  </v>
      </c>
      <c r="O2871">
        <v>231212</v>
      </c>
    </row>
    <row r="2872" spans="1:15" x14ac:dyDescent="0.25">
      <c r="A2872" t="s">
        <v>16</v>
      </c>
      <c r="B2872" t="s">
        <v>3221</v>
      </c>
      <c r="C2872">
        <v>17197</v>
      </c>
      <c r="D2872" t="s">
        <v>3213</v>
      </c>
      <c r="E2872" t="s">
        <v>3214</v>
      </c>
      <c r="F2872">
        <v>16.5</v>
      </c>
      <c r="G2872">
        <v>231205</v>
      </c>
      <c r="H2872">
        <v>4470</v>
      </c>
      <c r="I2872" t="s">
        <v>83</v>
      </c>
      <c r="J2872">
        <v>20.46</v>
      </c>
      <c r="K2872">
        <v>3.96</v>
      </c>
      <c r="L2872">
        <v>14432</v>
      </c>
      <c r="M2872" t="s">
        <v>862</v>
      </c>
      <c r="N2872" t="str">
        <f>"AM00710912  "</f>
        <v xml:space="preserve">AM00710912  </v>
      </c>
      <c r="O2872">
        <v>231212</v>
      </c>
    </row>
    <row r="2873" spans="1:15" x14ac:dyDescent="0.25">
      <c r="A2873" t="s">
        <v>16</v>
      </c>
      <c r="B2873" t="s">
        <v>3221</v>
      </c>
      <c r="C2873">
        <v>19145</v>
      </c>
      <c r="D2873" t="s">
        <v>3213</v>
      </c>
      <c r="E2873" t="s">
        <v>3214</v>
      </c>
      <c r="F2873">
        <v>5</v>
      </c>
      <c r="G2873">
        <v>231231</v>
      </c>
      <c r="H2873">
        <v>4470</v>
      </c>
      <c r="I2873" t="s">
        <v>83</v>
      </c>
      <c r="J2873">
        <v>6.2</v>
      </c>
      <c r="K2873">
        <v>1.2</v>
      </c>
      <c r="L2873">
        <v>54451</v>
      </c>
      <c r="M2873" t="s">
        <v>158</v>
      </c>
      <c r="N2873" t="str">
        <f>"AM00724526  "</f>
        <v xml:space="preserve">AM00724526  </v>
      </c>
      <c r="O2873">
        <v>240111</v>
      </c>
    </row>
    <row r="2874" spans="1:15" x14ac:dyDescent="0.25">
      <c r="A2874" t="s">
        <v>16</v>
      </c>
      <c r="B2874" t="s">
        <v>3221</v>
      </c>
      <c r="C2874">
        <v>19223</v>
      </c>
      <c r="D2874" t="s">
        <v>3213</v>
      </c>
      <c r="E2874" t="s">
        <v>3214</v>
      </c>
      <c r="F2874">
        <v>19.61</v>
      </c>
      <c r="G2874">
        <v>231231</v>
      </c>
      <c r="H2874">
        <v>4470</v>
      </c>
      <c r="I2874" t="s">
        <v>83</v>
      </c>
      <c r="J2874">
        <v>24.32</v>
      </c>
      <c r="K2874">
        <v>4.71</v>
      </c>
      <c r="L2874">
        <v>14432</v>
      </c>
      <c r="M2874" t="s">
        <v>862</v>
      </c>
      <c r="N2874" t="str">
        <f>"AM00721243  "</f>
        <v xml:space="preserve">AM00721243  </v>
      </c>
      <c r="O2874">
        <v>240115</v>
      </c>
    </row>
    <row r="2875" spans="1:15" x14ac:dyDescent="0.25">
      <c r="A2875" t="s">
        <v>16</v>
      </c>
      <c r="B2875" t="s">
        <v>3221</v>
      </c>
      <c r="C2875">
        <v>255</v>
      </c>
      <c r="D2875" t="s">
        <v>3213</v>
      </c>
      <c r="E2875" t="s">
        <v>3214</v>
      </c>
      <c r="F2875">
        <v>6.61</v>
      </c>
      <c r="G2875">
        <v>230105</v>
      </c>
      <c r="H2875">
        <v>4363</v>
      </c>
      <c r="I2875" t="s">
        <v>947</v>
      </c>
      <c r="J2875">
        <v>8.1999999999999993</v>
      </c>
      <c r="K2875">
        <v>1.59</v>
      </c>
      <c r="L2875">
        <v>54451</v>
      </c>
      <c r="M2875" t="s">
        <v>158</v>
      </c>
      <c r="N2875" t="str">
        <f>"AM00577511  "</f>
        <v xml:space="preserve">AM00577511  </v>
      </c>
      <c r="O2875">
        <v>230117</v>
      </c>
    </row>
    <row r="2876" spans="1:15" x14ac:dyDescent="0.25">
      <c r="A2876" t="s">
        <v>16</v>
      </c>
      <c r="B2876" t="s">
        <v>3221</v>
      </c>
      <c r="C2876">
        <v>1388</v>
      </c>
      <c r="D2876" t="s">
        <v>3213</v>
      </c>
      <c r="E2876" t="s">
        <v>3214</v>
      </c>
      <c r="F2876">
        <v>5</v>
      </c>
      <c r="G2876">
        <v>230206</v>
      </c>
      <c r="H2876">
        <v>4363</v>
      </c>
      <c r="I2876" t="s">
        <v>947</v>
      </c>
      <c r="J2876">
        <v>6.2</v>
      </c>
      <c r="K2876">
        <v>1.2</v>
      </c>
      <c r="L2876">
        <v>54451</v>
      </c>
      <c r="M2876" t="s">
        <v>158</v>
      </c>
      <c r="N2876" t="str">
        <f>"AM00609311  "</f>
        <v xml:space="preserve">AM00609311  </v>
      </c>
      <c r="O2876">
        <v>230208</v>
      </c>
    </row>
    <row r="2877" spans="1:15" x14ac:dyDescent="0.25">
      <c r="A2877" t="s">
        <v>16</v>
      </c>
      <c r="B2877" t="s">
        <v>3221</v>
      </c>
      <c r="C2877">
        <v>3548</v>
      </c>
      <c r="D2877" t="s">
        <v>3213</v>
      </c>
      <c r="E2877" t="s">
        <v>3214</v>
      </c>
      <c r="F2877">
        <v>5</v>
      </c>
      <c r="G2877">
        <v>230306</v>
      </c>
      <c r="H2877">
        <v>4363</v>
      </c>
      <c r="I2877" t="s">
        <v>947</v>
      </c>
      <c r="J2877">
        <v>6.2</v>
      </c>
      <c r="K2877">
        <v>1.2</v>
      </c>
      <c r="L2877">
        <v>54451</v>
      </c>
      <c r="M2877" t="s">
        <v>158</v>
      </c>
      <c r="N2877" t="str">
        <f>"AM00620159  "</f>
        <v xml:space="preserve">AM00620159  </v>
      </c>
      <c r="O2877">
        <v>230316</v>
      </c>
    </row>
    <row r="2878" spans="1:15" x14ac:dyDescent="0.25">
      <c r="A2878" t="s">
        <v>16</v>
      </c>
      <c r="B2878" t="s">
        <v>3221</v>
      </c>
      <c r="C2878">
        <v>5054</v>
      </c>
      <c r="D2878" t="s">
        <v>3213</v>
      </c>
      <c r="E2878" t="s">
        <v>3214</v>
      </c>
      <c r="F2878">
        <v>5</v>
      </c>
      <c r="G2878">
        <v>230406</v>
      </c>
      <c r="H2878">
        <v>4363</v>
      </c>
      <c r="I2878" t="s">
        <v>947</v>
      </c>
      <c r="J2878">
        <v>6.2</v>
      </c>
      <c r="K2878">
        <v>1.2</v>
      </c>
      <c r="L2878">
        <v>54451</v>
      </c>
      <c r="M2878" t="s">
        <v>158</v>
      </c>
      <c r="N2878" t="str">
        <f>"AM00630622  "</f>
        <v xml:space="preserve">AM00630622  </v>
      </c>
      <c r="O2878">
        <v>230418</v>
      </c>
    </row>
    <row r="2879" spans="1:15" x14ac:dyDescent="0.25">
      <c r="A2879" t="s">
        <v>16</v>
      </c>
      <c r="B2879" t="s">
        <v>3221</v>
      </c>
      <c r="C2879">
        <v>6313</v>
      </c>
      <c r="D2879" t="s">
        <v>3213</v>
      </c>
      <c r="E2879" t="s">
        <v>3214</v>
      </c>
      <c r="F2879">
        <v>5.3</v>
      </c>
      <c r="G2879">
        <v>230430</v>
      </c>
      <c r="H2879">
        <v>4363</v>
      </c>
      <c r="I2879" t="s">
        <v>947</v>
      </c>
      <c r="J2879">
        <v>6.57</v>
      </c>
      <c r="K2879">
        <v>1.27</v>
      </c>
      <c r="L2879">
        <v>54451</v>
      </c>
      <c r="M2879" t="s">
        <v>158</v>
      </c>
      <c r="N2879" t="str">
        <f>"AM00638802  "</f>
        <v xml:space="preserve">AM00638802  </v>
      </c>
      <c r="O2879">
        <v>230510</v>
      </c>
    </row>
    <row r="2880" spans="1:15" x14ac:dyDescent="0.25">
      <c r="A2880" t="s">
        <v>16</v>
      </c>
      <c r="B2880" t="s">
        <v>3221</v>
      </c>
      <c r="C2880">
        <v>8563</v>
      </c>
      <c r="D2880" t="s">
        <v>3213</v>
      </c>
      <c r="E2880" t="s">
        <v>3214</v>
      </c>
      <c r="F2880">
        <v>5</v>
      </c>
      <c r="G2880">
        <v>230605</v>
      </c>
      <c r="H2880">
        <v>4363</v>
      </c>
      <c r="I2880" t="s">
        <v>947</v>
      </c>
      <c r="J2880">
        <v>6.2</v>
      </c>
      <c r="K2880">
        <v>1.2</v>
      </c>
      <c r="L2880">
        <v>54451</v>
      </c>
      <c r="M2880" t="s">
        <v>158</v>
      </c>
      <c r="N2880" t="str">
        <f>"AM00651730  "</f>
        <v xml:space="preserve">AM00651730  </v>
      </c>
      <c r="O2880">
        <v>230612</v>
      </c>
    </row>
    <row r="2881" spans="1:15" x14ac:dyDescent="0.25">
      <c r="A2881" t="s">
        <v>16</v>
      </c>
      <c r="B2881" t="s">
        <v>3221</v>
      </c>
      <c r="C2881">
        <v>9429</v>
      </c>
      <c r="D2881" t="s">
        <v>3213</v>
      </c>
      <c r="E2881" t="s">
        <v>3214</v>
      </c>
      <c r="F2881">
        <v>5</v>
      </c>
      <c r="G2881">
        <v>230705</v>
      </c>
      <c r="H2881">
        <v>4363</v>
      </c>
      <c r="I2881" t="s">
        <v>947</v>
      </c>
      <c r="J2881">
        <v>6.2</v>
      </c>
      <c r="K2881">
        <v>1.2</v>
      </c>
      <c r="L2881">
        <v>54451</v>
      </c>
      <c r="M2881" t="s">
        <v>158</v>
      </c>
      <c r="N2881" t="str">
        <f>"AM00662237  "</f>
        <v xml:space="preserve">AM00662237  </v>
      </c>
      <c r="O2881">
        <v>230711</v>
      </c>
    </row>
    <row r="2882" spans="1:15" x14ac:dyDescent="0.25">
      <c r="A2882" t="s">
        <v>16</v>
      </c>
      <c r="B2882" t="s">
        <v>3221</v>
      </c>
      <c r="C2882">
        <v>926</v>
      </c>
      <c r="D2882" t="s">
        <v>446</v>
      </c>
      <c r="E2882" t="s">
        <v>447</v>
      </c>
      <c r="F2882">
        <v>103</v>
      </c>
      <c r="G2882">
        <v>230131</v>
      </c>
      <c r="H2882">
        <v>4343</v>
      </c>
      <c r="I2882" t="s">
        <v>91</v>
      </c>
      <c r="J2882">
        <v>113.3</v>
      </c>
      <c r="K2882">
        <v>10.3</v>
      </c>
      <c r="L2882">
        <v>61122</v>
      </c>
      <c r="M2882" t="s">
        <v>402</v>
      </c>
      <c r="N2882" t="str">
        <f>"CU_3912_2023"</f>
        <v>CU_3912_2023</v>
      </c>
      <c r="O2882">
        <v>230201</v>
      </c>
    </row>
    <row r="2883" spans="1:15" x14ac:dyDescent="0.25">
      <c r="A2883" t="s">
        <v>16</v>
      </c>
      <c r="B2883" t="s">
        <v>3221</v>
      </c>
      <c r="C2883">
        <v>1091</v>
      </c>
      <c r="D2883" t="s">
        <v>446</v>
      </c>
      <c r="E2883" t="s">
        <v>447</v>
      </c>
      <c r="F2883">
        <v>574.14</v>
      </c>
      <c r="G2883">
        <v>230131</v>
      </c>
      <c r="H2883">
        <v>4343</v>
      </c>
      <c r="I2883" t="s">
        <v>91</v>
      </c>
      <c r="J2883">
        <v>631.54999999999995</v>
      </c>
      <c r="K2883">
        <v>57.41</v>
      </c>
      <c r="L2883">
        <v>14121</v>
      </c>
      <c r="M2883" t="s">
        <v>880</v>
      </c>
      <c r="N2883" t="str">
        <f>"CU_3951_2023"</f>
        <v>CU_3951_2023</v>
      </c>
      <c r="O2883">
        <v>230203</v>
      </c>
    </row>
    <row r="2884" spans="1:15" x14ac:dyDescent="0.25">
      <c r="A2884" t="s">
        <v>16</v>
      </c>
      <c r="B2884" t="s">
        <v>3221</v>
      </c>
      <c r="C2884">
        <v>1091</v>
      </c>
      <c r="D2884" t="s">
        <v>446</v>
      </c>
      <c r="E2884" t="s">
        <v>447</v>
      </c>
      <c r="F2884">
        <v>574.14</v>
      </c>
      <c r="G2884">
        <v>230131</v>
      </c>
      <c r="H2884">
        <v>4343</v>
      </c>
      <c r="I2884" t="s">
        <v>91</v>
      </c>
      <c r="J2884">
        <v>631.54999999999995</v>
      </c>
      <c r="K2884">
        <v>57.41</v>
      </c>
      <c r="L2884">
        <v>16121</v>
      </c>
      <c r="M2884" t="s">
        <v>21</v>
      </c>
      <c r="N2884" t="str">
        <f>"CU_3951_2023"</f>
        <v>CU_3951_2023</v>
      </c>
      <c r="O2884">
        <v>230203</v>
      </c>
    </row>
    <row r="2885" spans="1:15" x14ac:dyDescent="0.25">
      <c r="A2885" t="s">
        <v>16</v>
      </c>
      <c r="B2885" t="s">
        <v>3221</v>
      </c>
      <c r="C2885">
        <v>1091</v>
      </c>
      <c r="D2885" t="s">
        <v>446</v>
      </c>
      <c r="E2885" t="s">
        <v>447</v>
      </c>
      <c r="F2885">
        <v>574.14</v>
      </c>
      <c r="G2885">
        <v>230131</v>
      </c>
      <c r="H2885">
        <v>4343</v>
      </c>
      <c r="I2885" t="s">
        <v>91</v>
      </c>
      <c r="J2885">
        <v>631.54999999999995</v>
      </c>
      <c r="K2885">
        <v>57.41</v>
      </c>
      <c r="L2885">
        <v>41126</v>
      </c>
      <c r="M2885" t="s">
        <v>761</v>
      </c>
      <c r="N2885" t="str">
        <f>"CU_3951_2023"</f>
        <v>CU_3951_2023</v>
      </c>
      <c r="O2885">
        <v>230203</v>
      </c>
    </row>
    <row r="2886" spans="1:15" x14ac:dyDescent="0.25">
      <c r="A2886" t="s">
        <v>16</v>
      </c>
      <c r="B2886" t="s">
        <v>3221</v>
      </c>
      <c r="C2886">
        <v>1091</v>
      </c>
      <c r="D2886" t="s">
        <v>446</v>
      </c>
      <c r="E2886" t="s">
        <v>447</v>
      </c>
      <c r="F2886">
        <v>574.13</v>
      </c>
      <c r="G2886">
        <v>230131</v>
      </c>
      <c r="H2886">
        <v>4343</v>
      </c>
      <c r="I2886" t="s">
        <v>91</v>
      </c>
      <c r="J2886">
        <v>631.54</v>
      </c>
      <c r="K2886">
        <v>57.41</v>
      </c>
      <c r="L2886">
        <v>61122</v>
      </c>
      <c r="M2886" t="s">
        <v>402</v>
      </c>
      <c r="N2886" t="str">
        <f>"CU_3951_2023"</f>
        <v>CU_3951_2023</v>
      </c>
      <c r="O2886">
        <v>230203</v>
      </c>
    </row>
    <row r="2887" spans="1:15" x14ac:dyDescent="0.25">
      <c r="A2887" t="s">
        <v>16</v>
      </c>
      <c r="B2887" t="s">
        <v>3221</v>
      </c>
      <c r="C2887">
        <v>3994</v>
      </c>
      <c r="D2887" t="s">
        <v>446</v>
      </c>
      <c r="E2887" t="s">
        <v>447</v>
      </c>
      <c r="F2887">
        <v>81.91</v>
      </c>
      <c r="G2887">
        <v>230324</v>
      </c>
      <c r="H2887">
        <v>4343</v>
      </c>
      <c r="I2887" t="s">
        <v>91</v>
      </c>
      <c r="J2887">
        <v>90.1</v>
      </c>
      <c r="K2887">
        <v>8.19</v>
      </c>
      <c r="L2887">
        <v>14121</v>
      </c>
      <c r="M2887" t="s">
        <v>880</v>
      </c>
      <c r="N2887" t="str">
        <f>"U_10248_2023"</f>
        <v>U_10248_2023</v>
      </c>
      <c r="O2887">
        <v>230329</v>
      </c>
    </row>
    <row r="2888" spans="1:15" x14ac:dyDescent="0.25">
      <c r="A2888" t="s">
        <v>16</v>
      </c>
      <c r="B2888" t="s">
        <v>3221</v>
      </c>
      <c r="C2888">
        <v>308</v>
      </c>
      <c r="D2888" t="s">
        <v>446</v>
      </c>
      <c r="E2888" t="s">
        <v>447</v>
      </c>
      <c r="F2888">
        <v>183.77</v>
      </c>
      <c r="G2888">
        <v>230117</v>
      </c>
      <c r="H2888">
        <v>4510</v>
      </c>
      <c r="I2888" t="s">
        <v>42</v>
      </c>
      <c r="J2888">
        <v>202.15</v>
      </c>
      <c r="K2888">
        <v>18.38</v>
      </c>
      <c r="L2888">
        <v>13502</v>
      </c>
      <c r="M2888" t="s">
        <v>243</v>
      </c>
      <c r="N2888" t="str">
        <f>"CU_2583_2023"</f>
        <v>CU_2583_2023</v>
      </c>
      <c r="O2888">
        <v>230118</v>
      </c>
    </row>
    <row r="2889" spans="1:15" x14ac:dyDescent="0.25">
      <c r="A2889" t="s">
        <v>16</v>
      </c>
      <c r="B2889" t="s">
        <v>3221</v>
      </c>
      <c r="C2889">
        <v>310</v>
      </c>
      <c r="D2889" t="s">
        <v>446</v>
      </c>
      <c r="E2889" t="s">
        <v>447</v>
      </c>
      <c r="F2889">
        <v>42.36</v>
      </c>
      <c r="G2889">
        <v>230117</v>
      </c>
      <c r="H2889">
        <v>4510</v>
      </c>
      <c r="I2889" t="s">
        <v>42</v>
      </c>
      <c r="J2889">
        <v>46.6</v>
      </c>
      <c r="K2889">
        <v>4.24</v>
      </c>
      <c r="L2889">
        <v>13502</v>
      </c>
      <c r="M2889" t="s">
        <v>243</v>
      </c>
      <c r="N2889" t="str">
        <f>"CU_2553_2023"</f>
        <v>CU_2553_2023</v>
      </c>
      <c r="O2889">
        <v>230118</v>
      </c>
    </row>
    <row r="2890" spans="1:15" x14ac:dyDescent="0.25">
      <c r="A2890" t="s">
        <v>16</v>
      </c>
      <c r="B2890" t="s">
        <v>3221</v>
      </c>
      <c r="C2890">
        <v>2490</v>
      </c>
      <c r="D2890" t="s">
        <v>446</v>
      </c>
      <c r="E2890" t="s">
        <v>447</v>
      </c>
      <c r="F2890">
        <v>43.23</v>
      </c>
      <c r="G2890">
        <v>230227</v>
      </c>
      <c r="H2890">
        <v>4510</v>
      </c>
      <c r="I2890" t="s">
        <v>42</v>
      </c>
      <c r="J2890">
        <v>47.55</v>
      </c>
      <c r="K2890">
        <v>4.32</v>
      </c>
      <c r="L2890">
        <v>13402</v>
      </c>
      <c r="M2890" t="s">
        <v>242</v>
      </c>
      <c r="N2890" t="str">
        <f>"CU_7052_2023"</f>
        <v>CU_7052_2023</v>
      </c>
      <c r="O2890">
        <v>230228</v>
      </c>
    </row>
    <row r="2891" spans="1:15" x14ac:dyDescent="0.25">
      <c r="A2891" t="s">
        <v>16</v>
      </c>
      <c r="B2891" t="s">
        <v>3221</v>
      </c>
      <c r="C2891">
        <v>2491</v>
      </c>
      <c r="D2891" t="s">
        <v>446</v>
      </c>
      <c r="E2891" t="s">
        <v>447</v>
      </c>
      <c r="F2891">
        <v>29.27</v>
      </c>
      <c r="G2891">
        <v>230227</v>
      </c>
      <c r="H2891">
        <v>4510</v>
      </c>
      <c r="I2891" t="s">
        <v>42</v>
      </c>
      <c r="J2891">
        <v>32.200000000000003</v>
      </c>
      <c r="K2891">
        <v>2.93</v>
      </c>
      <c r="L2891">
        <v>13402</v>
      </c>
      <c r="M2891" t="s">
        <v>242</v>
      </c>
      <c r="N2891" t="str">
        <f>"CU_7075_2023"</f>
        <v>CU_7075_2023</v>
      </c>
      <c r="O2891">
        <v>230228</v>
      </c>
    </row>
    <row r="2892" spans="1:15" x14ac:dyDescent="0.25">
      <c r="A2892" t="s">
        <v>16</v>
      </c>
      <c r="B2892" t="s">
        <v>3221</v>
      </c>
      <c r="C2892">
        <v>2918</v>
      </c>
      <c r="D2892" t="s">
        <v>446</v>
      </c>
      <c r="E2892" t="s">
        <v>447</v>
      </c>
      <c r="F2892">
        <v>52.14</v>
      </c>
      <c r="G2892">
        <v>230228</v>
      </c>
      <c r="H2892">
        <v>4510</v>
      </c>
      <c r="I2892" t="s">
        <v>42</v>
      </c>
      <c r="J2892">
        <v>57.35</v>
      </c>
      <c r="K2892">
        <v>5.21</v>
      </c>
      <c r="L2892">
        <v>59702</v>
      </c>
      <c r="M2892" t="s">
        <v>328</v>
      </c>
      <c r="N2892" t="str">
        <f>"CU_7350_2023"</f>
        <v>CU_7350_2023</v>
      </c>
      <c r="O2892">
        <v>230308</v>
      </c>
    </row>
    <row r="2893" spans="1:15" x14ac:dyDescent="0.25">
      <c r="A2893" t="s">
        <v>16</v>
      </c>
      <c r="B2893" t="s">
        <v>3221</v>
      </c>
      <c r="C2893">
        <v>7304</v>
      </c>
      <c r="D2893" t="s">
        <v>446</v>
      </c>
      <c r="E2893" t="s">
        <v>447</v>
      </c>
      <c r="F2893">
        <v>689.84</v>
      </c>
      <c r="G2893">
        <v>230517</v>
      </c>
      <c r="H2893">
        <v>4510</v>
      </c>
      <c r="I2893" t="s">
        <v>42</v>
      </c>
      <c r="J2893">
        <v>758.82</v>
      </c>
      <c r="K2893">
        <v>68.98</v>
      </c>
      <c r="L2893">
        <v>61122</v>
      </c>
      <c r="M2893" t="s">
        <v>402</v>
      </c>
      <c r="N2893" t="str">
        <f>"U_15938_2023"</f>
        <v>U_15938_2023</v>
      </c>
      <c r="O2893">
        <v>230526</v>
      </c>
    </row>
    <row r="2894" spans="1:15" x14ac:dyDescent="0.25">
      <c r="A2894" t="s">
        <v>16</v>
      </c>
      <c r="B2894" t="s">
        <v>3221</v>
      </c>
      <c r="C2894">
        <v>8464</v>
      </c>
      <c r="D2894" t="s">
        <v>446</v>
      </c>
      <c r="E2894" t="s">
        <v>447</v>
      </c>
      <c r="F2894">
        <v>27.15</v>
      </c>
      <c r="G2894">
        <v>230608</v>
      </c>
      <c r="H2894">
        <v>4510</v>
      </c>
      <c r="I2894" t="s">
        <v>42</v>
      </c>
      <c r="J2894">
        <v>29.87</v>
      </c>
      <c r="K2894">
        <v>2.72</v>
      </c>
      <c r="L2894">
        <v>41126</v>
      </c>
      <c r="M2894" t="s">
        <v>761</v>
      </c>
      <c r="N2894" t="str">
        <f>"U_17577_2023"</f>
        <v>U_17577_2023</v>
      </c>
      <c r="O2894">
        <v>230609</v>
      </c>
    </row>
    <row r="2895" spans="1:15" x14ac:dyDescent="0.25">
      <c r="A2895" t="s">
        <v>16</v>
      </c>
      <c r="B2895" t="s">
        <v>3221</v>
      </c>
      <c r="C2895">
        <v>8727</v>
      </c>
      <c r="D2895" t="s">
        <v>446</v>
      </c>
      <c r="E2895" t="s">
        <v>447</v>
      </c>
      <c r="F2895">
        <v>-27.15</v>
      </c>
      <c r="G2895">
        <v>230609</v>
      </c>
      <c r="H2895">
        <v>4510</v>
      </c>
      <c r="I2895" t="s">
        <v>42</v>
      </c>
      <c r="J2895">
        <v>-29.87</v>
      </c>
      <c r="K2895">
        <v>-2.72</v>
      </c>
      <c r="L2895">
        <v>41126</v>
      </c>
      <c r="M2895" t="s">
        <v>761</v>
      </c>
      <c r="N2895" t="str">
        <f>"CC_1547_2023"</f>
        <v>CC_1547_2023</v>
      </c>
      <c r="O2895">
        <v>230613</v>
      </c>
    </row>
    <row r="2896" spans="1:15" x14ac:dyDescent="0.25">
      <c r="A2896" t="s">
        <v>16</v>
      </c>
      <c r="B2896" t="s">
        <v>3221</v>
      </c>
      <c r="C2896">
        <v>9164</v>
      </c>
      <c r="D2896" t="s">
        <v>446</v>
      </c>
      <c r="E2896" t="s">
        <v>447</v>
      </c>
      <c r="F2896">
        <v>374.93</v>
      </c>
      <c r="G2896">
        <v>230626</v>
      </c>
      <c r="H2896">
        <v>4510</v>
      </c>
      <c r="I2896" t="s">
        <v>42</v>
      </c>
      <c r="J2896">
        <v>412.42</v>
      </c>
      <c r="K2896">
        <v>37.49</v>
      </c>
      <c r="L2896">
        <v>11903</v>
      </c>
      <c r="M2896" t="s">
        <v>406</v>
      </c>
      <c r="N2896" t="str">
        <f>"U_18304_2023"</f>
        <v>U_18304_2023</v>
      </c>
      <c r="O2896">
        <v>230629</v>
      </c>
    </row>
    <row r="2897" spans="1:15" x14ac:dyDescent="0.25">
      <c r="A2897" t="s">
        <v>16</v>
      </c>
      <c r="B2897" t="s">
        <v>3221</v>
      </c>
      <c r="C2897">
        <v>11061</v>
      </c>
      <c r="D2897" t="s">
        <v>446</v>
      </c>
      <c r="E2897" t="s">
        <v>447</v>
      </c>
      <c r="F2897">
        <v>804</v>
      </c>
      <c r="G2897">
        <v>230823</v>
      </c>
      <c r="H2897">
        <v>4510</v>
      </c>
      <c r="I2897" t="s">
        <v>42</v>
      </c>
      <c r="J2897">
        <v>884.4</v>
      </c>
      <c r="K2897">
        <v>80.400000000000006</v>
      </c>
      <c r="L2897">
        <v>11601</v>
      </c>
      <c r="M2897" t="s">
        <v>535</v>
      </c>
      <c r="N2897" t="str">
        <f>"U_23732_2023"</f>
        <v>U_23732_2023</v>
      </c>
      <c r="O2897">
        <v>230829</v>
      </c>
    </row>
    <row r="2898" spans="1:15" x14ac:dyDescent="0.25">
      <c r="A2898" t="s">
        <v>16</v>
      </c>
      <c r="B2898" t="s">
        <v>3221</v>
      </c>
      <c r="C2898">
        <v>11093</v>
      </c>
      <c r="D2898" t="s">
        <v>446</v>
      </c>
      <c r="E2898" t="s">
        <v>447</v>
      </c>
      <c r="F2898">
        <v>34.33</v>
      </c>
      <c r="G2898">
        <v>230828</v>
      </c>
      <c r="H2898">
        <v>4510</v>
      </c>
      <c r="I2898" t="s">
        <v>42</v>
      </c>
      <c r="J2898">
        <v>37.76</v>
      </c>
      <c r="K2898">
        <v>3.43</v>
      </c>
      <c r="L2898">
        <v>61122</v>
      </c>
      <c r="M2898" t="s">
        <v>402</v>
      </c>
      <c r="N2898" t="str">
        <f>"U_23978_2023"</f>
        <v>U_23978_2023</v>
      </c>
      <c r="O2898">
        <v>230830</v>
      </c>
    </row>
    <row r="2899" spans="1:15" x14ac:dyDescent="0.25">
      <c r="A2899" t="s">
        <v>16</v>
      </c>
      <c r="B2899" t="s">
        <v>3221</v>
      </c>
      <c r="C2899">
        <v>11474</v>
      </c>
      <c r="D2899" t="s">
        <v>446</v>
      </c>
      <c r="E2899" t="s">
        <v>447</v>
      </c>
      <c r="F2899">
        <v>29.68</v>
      </c>
      <c r="G2899">
        <v>230831</v>
      </c>
      <c r="H2899">
        <v>4510</v>
      </c>
      <c r="I2899" t="s">
        <v>42</v>
      </c>
      <c r="J2899">
        <v>32.65</v>
      </c>
      <c r="K2899">
        <v>2.97</v>
      </c>
      <c r="L2899">
        <v>14121</v>
      </c>
      <c r="M2899" t="s">
        <v>880</v>
      </c>
      <c r="N2899" t="str">
        <f>"U_25091_2023"</f>
        <v>U_25091_2023</v>
      </c>
      <c r="O2899">
        <v>230906</v>
      </c>
    </row>
    <row r="2900" spans="1:15" x14ac:dyDescent="0.25">
      <c r="A2900" t="s">
        <v>16</v>
      </c>
      <c r="B2900" t="s">
        <v>3221</v>
      </c>
      <c r="C2900">
        <v>11934</v>
      </c>
      <c r="D2900" t="s">
        <v>446</v>
      </c>
      <c r="E2900" t="s">
        <v>447</v>
      </c>
      <c r="F2900">
        <v>68.64</v>
      </c>
      <c r="G2900">
        <v>230831</v>
      </c>
      <c r="H2900">
        <v>4510</v>
      </c>
      <c r="I2900" t="s">
        <v>42</v>
      </c>
      <c r="J2900">
        <v>75.5</v>
      </c>
      <c r="K2900">
        <v>6.86</v>
      </c>
      <c r="L2900">
        <v>14121</v>
      </c>
      <c r="M2900" t="s">
        <v>880</v>
      </c>
      <c r="N2900" t="str">
        <f>"U_25094_2023"</f>
        <v>U_25094_2023</v>
      </c>
      <c r="O2900">
        <v>230912</v>
      </c>
    </row>
    <row r="2901" spans="1:15" x14ac:dyDescent="0.25">
      <c r="A2901" t="s">
        <v>16</v>
      </c>
      <c r="B2901" t="s">
        <v>3221</v>
      </c>
      <c r="C2901">
        <v>13121</v>
      </c>
      <c r="D2901" t="s">
        <v>446</v>
      </c>
      <c r="E2901" t="s">
        <v>447</v>
      </c>
      <c r="F2901">
        <v>10.76</v>
      </c>
      <c r="G2901">
        <v>230922</v>
      </c>
      <c r="H2901">
        <v>4510</v>
      </c>
      <c r="I2901" t="s">
        <v>42</v>
      </c>
      <c r="J2901">
        <v>11.84</v>
      </c>
      <c r="K2901">
        <v>1.08</v>
      </c>
      <c r="L2901">
        <v>61122</v>
      </c>
      <c r="M2901" t="s">
        <v>402</v>
      </c>
      <c r="N2901" t="str">
        <f>"U_27815_2023"</f>
        <v>U_27815_2023</v>
      </c>
      <c r="O2901">
        <v>231004</v>
      </c>
    </row>
    <row r="2902" spans="1:15" x14ac:dyDescent="0.25">
      <c r="A2902" t="s">
        <v>16</v>
      </c>
      <c r="B2902" t="s">
        <v>3221</v>
      </c>
      <c r="C2902">
        <v>2491</v>
      </c>
      <c r="D2902" t="s">
        <v>446</v>
      </c>
      <c r="E2902" t="s">
        <v>447</v>
      </c>
      <c r="F2902">
        <v>8.09</v>
      </c>
      <c r="G2902">
        <v>230227</v>
      </c>
      <c r="H2902">
        <v>4364</v>
      </c>
      <c r="I2902" t="s">
        <v>296</v>
      </c>
      <c r="J2902">
        <v>8.9</v>
      </c>
      <c r="K2902">
        <v>0.81</v>
      </c>
      <c r="L2902">
        <v>13402</v>
      </c>
      <c r="M2902" t="s">
        <v>242</v>
      </c>
      <c r="N2902" t="str">
        <f>"CU_7075_2023"</f>
        <v>CU_7075_2023</v>
      </c>
      <c r="O2902">
        <v>230228</v>
      </c>
    </row>
    <row r="2903" spans="1:15" x14ac:dyDescent="0.25">
      <c r="A2903" t="s">
        <v>16</v>
      </c>
      <c r="B2903" t="s">
        <v>3221</v>
      </c>
      <c r="C2903">
        <v>14348</v>
      </c>
      <c r="D2903" t="s">
        <v>2763</v>
      </c>
      <c r="E2903" t="s">
        <v>2764</v>
      </c>
      <c r="F2903">
        <v>239</v>
      </c>
      <c r="G2903">
        <v>231026</v>
      </c>
      <c r="H2903">
        <v>4441</v>
      </c>
      <c r="I2903" t="s">
        <v>109</v>
      </c>
      <c r="J2903">
        <v>296.36</v>
      </c>
      <c r="K2903">
        <v>57.36</v>
      </c>
      <c r="L2903">
        <v>46559</v>
      </c>
      <c r="M2903" t="s">
        <v>1104</v>
      </c>
      <c r="N2903" t="str">
        <f>"125         "</f>
        <v xml:space="preserve">125         </v>
      </c>
      <c r="O2903">
        <v>231027</v>
      </c>
    </row>
    <row r="2904" spans="1:15" x14ac:dyDescent="0.25">
      <c r="A2904" t="s">
        <v>16</v>
      </c>
      <c r="B2904" t="s">
        <v>3221</v>
      </c>
      <c r="C2904">
        <v>17335</v>
      </c>
      <c r="D2904" t="s">
        <v>3057</v>
      </c>
      <c r="E2904" t="s">
        <v>3058</v>
      </c>
      <c r="F2904">
        <v>2734.68</v>
      </c>
      <c r="G2904">
        <v>231211</v>
      </c>
      <c r="H2904">
        <v>4346</v>
      </c>
      <c r="I2904" t="s">
        <v>197</v>
      </c>
      <c r="J2904">
        <v>3391</v>
      </c>
      <c r="K2904">
        <v>656.32</v>
      </c>
      <c r="L2904">
        <v>11903</v>
      </c>
      <c r="M2904" t="s">
        <v>406</v>
      </c>
      <c r="N2904" t="str">
        <f>"1567404     "</f>
        <v xml:space="preserve">1567404     </v>
      </c>
      <c r="O2904">
        <v>231213</v>
      </c>
    </row>
    <row r="2905" spans="1:15" x14ac:dyDescent="0.25">
      <c r="A2905" t="s">
        <v>16</v>
      </c>
      <c r="B2905" t="s">
        <v>3221</v>
      </c>
      <c r="C2905">
        <v>303</v>
      </c>
      <c r="D2905" t="s">
        <v>438</v>
      </c>
      <c r="E2905" t="s">
        <v>439</v>
      </c>
      <c r="F2905">
        <v>1054</v>
      </c>
      <c r="G2905">
        <v>230113</v>
      </c>
      <c r="H2905">
        <v>4400</v>
      </c>
      <c r="I2905" t="s">
        <v>348</v>
      </c>
      <c r="J2905">
        <v>1306.96</v>
      </c>
      <c r="K2905">
        <v>252.96</v>
      </c>
      <c r="L2905">
        <v>17534</v>
      </c>
      <c r="M2905" t="s">
        <v>440</v>
      </c>
      <c r="N2905" t="str">
        <f>"322         "</f>
        <v xml:space="preserve">322         </v>
      </c>
      <c r="O2905">
        <v>230118</v>
      </c>
    </row>
    <row r="2906" spans="1:15" x14ac:dyDescent="0.25">
      <c r="A2906" t="s">
        <v>16</v>
      </c>
      <c r="B2906" t="s">
        <v>3221</v>
      </c>
      <c r="C2906">
        <v>1007</v>
      </c>
      <c r="D2906" t="s">
        <v>438</v>
      </c>
      <c r="E2906" t="s">
        <v>439</v>
      </c>
      <c r="F2906">
        <v>1906.64</v>
      </c>
      <c r="G2906">
        <v>230131</v>
      </c>
      <c r="H2906">
        <v>4400</v>
      </c>
      <c r="I2906" t="s">
        <v>348</v>
      </c>
      <c r="J2906">
        <v>2364.23</v>
      </c>
      <c r="K2906">
        <v>457.59</v>
      </c>
      <c r="L2906">
        <v>17534</v>
      </c>
      <c r="M2906" t="s">
        <v>440</v>
      </c>
      <c r="N2906" t="str">
        <f>"323         "</f>
        <v xml:space="preserve">323         </v>
      </c>
      <c r="O2906">
        <v>230202</v>
      </c>
    </row>
    <row r="2907" spans="1:15" x14ac:dyDescent="0.25">
      <c r="A2907" t="s">
        <v>16</v>
      </c>
      <c r="B2907" t="s">
        <v>3221</v>
      </c>
      <c r="C2907">
        <v>3771</v>
      </c>
      <c r="D2907" t="s">
        <v>1612</v>
      </c>
      <c r="E2907" t="s">
        <v>1613</v>
      </c>
      <c r="F2907">
        <v>454.44</v>
      </c>
      <c r="G2907">
        <v>230316</v>
      </c>
      <c r="H2907">
        <v>4600</v>
      </c>
      <c r="I2907" t="s">
        <v>105</v>
      </c>
      <c r="J2907">
        <v>563.5</v>
      </c>
      <c r="K2907">
        <v>109.06</v>
      </c>
      <c r="L2907">
        <v>67522</v>
      </c>
      <c r="M2907" t="s">
        <v>397</v>
      </c>
      <c r="N2907" t="str">
        <f>"8068        "</f>
        <v xml:space="preserve">8068        </v>
      </c>
      <c r="O2907">
        <v>230322</v>
      </c>
    </row>
    <row r="2908" spans="1:15" x14ac:dyDescent="0.25">
      <c r="A2908" t="s">
        <v>16</v>
      </c>
      <c r="B2908" t="s">
        <v>3221</v>
      </c>
      <c r="C2908">
        <v>11251</v>
      </c>
      <c r="D2908" t="s">
        <v>1612</v>
      </c>
      <c r="E2908" t="s">
        <v>1613</v>
      </c>
      <c r="F2908">
        <v>416.94</v>
      </c>
      <c r="G2908">
        <v>230831</v>
      </c>
      <c r="H2908">
        <v>4590</v>
      </c>
      <c r="I2908" t="s">
        <v>203</v>
      </c>
      <c r="J2908">
        <v>517</v>
      </c>
      <c r="K2908">
        <v>100.06</v>
      </c>
      <c r="L2908">
        <v>66756</v>
      </c>
      <c r="M2908" t="s">
        <v>209</v>
      </c>
      <c r="N2908" t="str">
        <f>"8849        "</f>
        <v xml:space="preserve">8849        </v>
      </c>
      <c r="O2908">
        <v>230904</v>
      </c>
    </row>
    <row r="2909" spans="1:15" x14ac:dyDescent="0.25">
      <c r="A2909" t="s">
        <v>16</v>
      </c>
      <c r="B2909" t="s">
        <v>3221</v>
      </c>
      <c r="C2909">
        <v>6906</v>
      </c>
      <c r="D2909" t="s">
        <v>1880</v>
      </c>
      <c r="E2909" t="s">
        <v>1881</v>
      </c>
      <c r="F2909">
        <v>585</v>
      </c>
      <c r="G2909">
        <v>230519</v>
      </c>
      <c r="H2909">
        <v>4580</v>
      </c>
      <c r="I2909" t="s">
        <v>35</v>
      </c>
      <c r="J2909">
        <v>725.4</v>
      </c>
      <c r="K2909">
        <v>140.4</v>
      </c>
      <c r="L2909">
        <v>46556</v>
      </c>
      <c r="M2909" t="s">
        <v>125</v>
      </c>
      <c r="N2909" t="str">
        <f>"4149        "</f>
        <v xml:space="preserve">4149        </v>
      </c>
      <c r="O2909">
        <v>230523</v>
      </c>
    </row>
    <row r="2910" spans="1:15" x14ac:dyDescent="0.25">
      <c r="A2910" t="s">
        <v>16</v>
      </c>
      <c r="B2910" t="s">
        <v>3221</v>
      </c>
      <c r="C2910">
        <v>17893</v>
      </c>
      <c r="D2910" t="s">
        <v>1880</v>
      </c>
      <c r="E2910" t="s">
        <v>1881</v>
      </c>
      <c r="F2910">
        <v>339.5</v>
      </c>
      <c r="G2910">
        <v>231214</v>
      </c>
      <c r="H2910">
        <v>4580</v>
      </c>
      <c r="I2910" t="s">
        <v>35</v>
      </c>
      <c r="J2910">
        <v>420.98</v>
      </c>
      <c r="K2910">
        <v>81.48</v>
      </c>
      <c r="L2910">
        <v>56561</v>
      </c>
      <c r="M2910" t="s">
        <v>358</v>
      </c>
      <c r="N2910" t="str">
        <f>"4839        "</f>
        <v xml:space="preserve">4839        </v>
      </c>
      <c r="O2910">
        <v>231227</v>
      </c>
    </row>
    <row r="2911" spans="1:15" x14ac:dyDescent="0.25">
      <c r="A2911" t="s">
        <v>16</v>
      </c>
      <c r="B2911" t="s">
        <v>3221</v>
      </c>
      <c r="C2911">
        <v>13868</v>
      </c>
      <c r="D2911" t="s">
        <v>1880</v>
      </c>
      <c r="E2911" t="s">
        <v>1881</v>
      </c>
      <c r="F2911">
        <v>630.5</v>
      </c>
      <c r="G2911">
        <v>231005</v>
      </c>
      <c r="H2911">
        <v>1196</v>
      </c>
      <c r="I2911" t="s">
        <v>392</v>
      </c>
      <c r="J2911">
        <v>781.82</v>
      </c>
      <c r="K2911">
        <v>151.32</v>
      </c>
      <c r="L2911">
        <v>97701</v>
      </c>
      <c r="M2911" t="s">
        <v>869</v>
      </c>
      <c r="N2911" t="str">
        <f>"4618        "</f>
        <v xml:space="preserve">4618        </v>
      </c>
      <c r="O2911">
        <v>231016</v>
      </c>
    </row>
    <row r="2912" spans="1:15" x14ac:dyDescent="0.25">
      <c r="A2912" t="s">
        <v>16</v>
      </c>
      <c r="B2912" t="s">
        <v>3221</v>
      </c>
      <c r="C2912">
        <v>5637</v>
      </c>
      <c r="D2912" t="s">
        <v>1880</v>
      </c>
      <c r="E2912" t="s">
        <v>1881</v>
      </c>
      <c r="F2912">
        <v>2375</v>
      </c>
      <c r="G2912">
        <v>230427</v>
      </c>
      <c r="H2912">
        <v>4420</v>
      </c>
      <c r="I2912" t="s">
        <v>132</v>
      </c>
      <c r="J2912">
        <v>2945</v>
      </c>
      <c r="K2912">
        <v>570</v>
      </c>
      <c r="L2912">
        <v>56564</v>
      </c>
      <c r="M2912" t="s">
        <v>327</v>
      </c>
      <c r="N2912" t="str">
        <f>"4083        "</f>
        <v xml:space="preserve">4083        </v>
      </c>
      <c r="O2912">
        <v>230428</v>
      </c>
    </row>
    <row r="2913" spans="1:16" x14ac:dyDescent="0.25">
      <c r="A2913" t="s">
        <v>16</v>
      </c>
      <c r="B2913" t="s">
        <v>3221</v>
      </c>
      <c r="C2913">
        <v>7989</v>
      </c>
      <c r="D2913" t="s">
        <v>1880</v>
      </c>
      <c r="E2913" t="s">
        <v>1881</v>
      </c>
      <c r="F2913">
        <v>1530</v>
      </c>
      <c r="G2913">
        <v>230601</v>
      </c>
      <c r="H2913">
        <v>4420</v>
      </c>
      <c r="I2913" t="s">
        <v>132</v>
      </c>
      <c r="J2913">
        <v>1897.2</v>
      </c>
      <c r="K2913">
        <v>367.2</v>
      </c>
      <c r="L2913">
        <v>56564</v>
      </c>
      <c r="M2913" t="s">
        <v>327</v>
      </c>
      <c r="N2913" t="str">
        <f>"4217        "</f>
        <v xml:space="preserve">4217        </v>
      </c>
      <c r="O2913">
        <v>230606</v>
      </c>
    </row>
    <row r="2914" spans="1:16" x14ac:dyDescent="0.25">
      <c r="A2914" t="s">
        <v>16</v>
      </c>
      <c r="B2914" t="s">
        <v>3221</v>
      </c>
      <c r="C2914">
        <v>9794</v>
      </c>
      <c r="D2914" t="s">
        <v>1880</v>
      </c>
      <c r="E2914" t="s">
        <v>1881</v>
      </c>
      <c r="F2914">
        <v>237.5</v>
      </c>
      <c r="G2914">
        <v>230707</v>
      </c>
      <c r="H2914">
        <v>4420</v>
      </c>
      <c r="I2914" t="s">
        <v>132</v>
      </c>
      <c r="J2914">
        <v>294.5</v>
      </c>
      <c r="K2914">
        <v>57</v>
      </c>
      <c r="L2914">
        <v>56564</v>
      </c>
      <c r="M2914" t="s">
        <v>327</v>
      </c>
      <c r="N2914" t="str">
        <f>"4330        "</f>
        <v xml:space="preserve">4330        </v>
      </c>
      <c r="O2914">
        <v>230725</v>
      </c>
    </row>
    <row r="2915" spans="1:16" x14ac:dyDescent="0.25">
      <c r="A2915" t="s">
        <v>16</v>
      </c>
      <c r="B2915" t="s">
        <v>3221</v>
      </c>
      <c r="C2915">
        <v>10479</v>
      </c>
      <c r="D2915" t="s">
        <v>1880</v>
      </c>
      <c r="E2915" t="s">
        <v>1881</v>
      </c>
      <c r="F2915">
        <v>142.5</v>
      </c>
      <c r="G2915">
        <v>230812</v>
      </c>
      <c r="H2915">
        <v>4390</v>
      </c>
      <c r="I2915" t="s">
        <v>98</v>
      </c>
      <c r="J2915">
        <v>176.7</v>
      </c>
      <c r="K2915">
        <v>34.200000000000003</v>
      </c>
      <c r="L2915">
        <v>56564</v>
      </c>
      <c r="M2915" t="s">
        <v>327</v>
      </c>
      <c r="N2915" t="str">
        <f>"4420        "</f>
        <v xml:space="preserve">4420        </v>
      </c>
      <c r="O2915">
        <v>230817</v>
      </c>
    </row>
    <row r="2916" spans="1:16" x14ac:dyDescent="0.25">
      <c r="A2916" t="s">
        <v>16</v>
      </c>
      <c r="B2916" t="s">
        <v>3221</v>
      </c>
      <c r="C2916">
        <v>5789</v>
      </c>
      <c r="D2916" t="s">
        <v>3439</v>
      </c>
      <c r="E2916" t="s">
        <v>3440</v>
      </c>
      <c r="F2916">
        <v>2350</v>
      </c>
      <c r="G2916">
        <v>230430</v>
      </c>
      <c r="H2916">
        <v>4580</v>
      </c>
      <c r="I2916" t="s">
        <v>35</v>
      </c>
      <c r="J2916">
        <v>2350</v>
      </c>
      <c r="K2916">
        <v>0</v>
      </c>
      <c r="L2916">
        <v>47522</v>
      </c>
      <c r="M2916" t="s">
        <v>410</v>
      </c>
      <c r="N2916" t="str">
        <f>"281022      "</f>
        <v xml:space="preserve">281022      </v>
      </c>
      <c r="O2916">
        <v>230502</v>
      </c>
      <c r="P2916" t="s">
        <v>3441</v>
      </c>
    </row>
    <row r="2917" spans="1:16" x14ac:dyDescent="0.25">
      <c r="A2917" t="s">
        <v>16</v>
      </c>
      <c r="B2917" t="s">
        <v>3221</v>
      </c>
      <c r="C2917">
        <v>16385</v>
      </c>
      <c r="D2917" t="s">
        <v>1717</v>
      </c>
      <c r="E2917" t="s">
        <v>1718</v>
      </c>
      <c r="F2917">
        <v>3900</v>
      </c>
      <c r="G2917">
        <v>231124</v>
      </c>
      <c r="H2917">
        <v>4580</v>
      </c>
      <c r="I2917" t="s">
        <v>35</v>
      </c>
      <c r="J2917">
        <v>4836</v>
      </c>
      <c r="K2917">
        <v>936</v>
      </c>
      <c r="L2917">
        <v>14432</v>
      </c>
      <c r="M2917" t="s">
        <v>862</v>
      </c>
      <c r="N2917" t="str">
        <f>"VA23015320  "</f>
        <v xml:space="preserve">VA23015320  </v>
      </c>
      <c r="O2917">
        <v>231128</v>
      </c>
    </row>
    <row r="2918" spans="1:16" x14ac:dyDescent="0.25">
      <c r="A2918" t="s">
        <v>16</v>
      </c>
      <c r="B2918" t="s">
        <v>3221</v>
      </c>
      <c r="C2918">
        <v>5617</v>
      </c>
      <c r="D2918" t="s">
        <v>1717</v>
      </c>
      <c r="E2918" t="s">
        <v>1718</v>
      </c>
      <c r="F2918">
        <v>43.12</v>
      </c>
      <c r="G2918">
        <v>230426</v>
      </c>
      <c r="H2918">
        <v>4400</v>
      </c>
      <c r="I2918" t="s">
        <v>348</v>
      </c>
      <c r="J2918">
        <v>53.47</v>
      </c>
      <c r="K2918">
        <v>10.35</v>
      </c>
      <c r="L2918">
        <v>13540</v>
      </c>
      <c r="M2918" t="s">
        <v>85</v>
      </c>
      <c r="N2918" t="str">
        <f>"VA23005105  "</f>
        <v xml:space="preserve">VA23005105  </v>
      </c>
      <c r="O2918">
        <v>230428</v>
      </c>
    </row>
    <row r="2919" spans="1:16" x14ac:dyDescent="0.25">
      <c r="A2919" t="s">
        <v>16</v>
      </c>
      <c r="B2919" t="s">
        <v>3221</v>
      </c>
      <c r="C2919">
        <v>5617</v>
      </c>
      <c r="D2919" t="s">
        <v>1717</v>
      </c>
      <c r="E2919" t="s">
        <v>1718</v>
      </c>
      <c r="F2919">
        <v>348.88</v>
      </c>
      <c r="G2919">
        <v>230426</v>
      </c>
      <c r="H2919">
        <v>4400</v>
      </c>
      <c r="I2919" t="s">
        <v>348</v>
      </c>
      <c r="J2919">
        <v>432.61</v>
      </c>
      <c r="K2919">
        <v>83.73</v>
      </c>
      <c r="L2919">
        <v>17950</v>
      </c>
      <c r="M2919" t="s">
        <v>86</v>
      </c>
      <c r="N2919" t="str">
        <f>"VA23005105  "</f>
        <v xml:space="preserve">VA23005105  </v>
      </c>
      <c r="O2919">
        <v>230428</v>
      </c>
    </row>
    <row r="2920" spans="1:16" x14ac:dyDescent="0.25">
      <c r="A2920" t="s">
        <v>16</v>
      </c>
      <c r="B2920" t="s">
        <v>3221</v>
      </c>
      <c r="C2920">
        <v>4444</v>
      </c>
      <c r="D2920" t="s">
        <v>1717</v>
      </c>
      <c r="E2920" t="s">
        <v>1718</v>
      </c>
      <c r="F2920">
        <v>260</v>
      </c>
      <c r="G2920">
        <v>230328</v>
      </c>
      <c r="H2920">
        <v>4600</v>
      </c>
      <c r="I2920" t="s">
        <v>105</v>
      </c>
      <c r="J2920">
        <v>322.39999999999998</v>
      </c>
      <c r="K2920">
        <v>62.4</v>
      </c>
      <c r="L2920">
        <v>59113</v>
      </c>
      <c r="M2920" t="s">
        <v>235</v>
      </c>
      <c r="N2920" t="str">
        <f>"VA23003909  "</f>
        <v xml:space="preserve">VA23003909  </v>
      </c>
      <c r="O2920">
        <v>230405</v>
      </c>
    </row>
    <row r="2921" spans="1:16" x14ac:dyDescent="0.25">
      <c r="A2921" t="s">
        <v>16</v>
      </c>
      <c r="B2921" t="s">
        <v>3221</v>
      </c>
      <c r="C2921">
        <v>12940</v>
      </c>
      <c r="D2921" t="s">
        <v>1717</v>
      </c>
      <c r="E2921" t="s">
        <v>1718</v>
      </c>
      <c r="F2921">
        <v>188.49</v>
      </c>
      <c r="G2921">
        <v>230922</v>
      </c>
      <c r="H2921">
        <v>4550</v>
      </c>
      <c r="I2921" t="s">
        <v>312</v>
      </c>
      <c r="J2921">
        <v>233.73</v>
      </c>
      <c r="K2921">
        <v>45.24</v>
      </c>
      <c r="L2921">
        <v>14422</v>
      </c>
      <c r="M2921" t="s">
        <v>228</v>
      </c>
      <c r="N2921" t="str">
        <f>"VA23011982  "</f>
        <v xml:space="preserve">VA23011982  </v>
      </c>
      <c r="O2921">
        <v>231002</v>
      </c>
    </row>
    <row r="2922" spans="1:16" x14ac:dyDescent="0.25">
      <c r="A2922" t="s">
        <v>16</v>
      </c>
      <c r="B2922" t="s">
        <v>3221</v>
      </c>
      <c r="C2922">
        <v>12974</v>
      </c>
      <c r="D2922" t="s">
        <v>1717</v>
      </c>
      <c r="E2922" t="s">
        <v>1718</v>
      </c>
      <c r="F2922">
        <v>176.51</v>
      </c>
      <c r="G2922">
        <v>230925</v>
      </c>
      <c r="H2922">
        <v>4550</v>
      </c>
      <c r="I2922" t="s">
        <v>312</v>
      </c>
      <c r="J2922">
        <v>218.87</v>
      </c>
      <c r="K2922">
        <v>42.36</v>
      </c>
      <c r="L2922">
        <v>14422</v>
      </c>
      <c r="M2922" t="s">
        <v>228</v>
      </c>
      <c r="N2922" t="str">
        <f>"VA23012083  "</f>
        <v xml:space="preserve">VA23012083  </v>
      </c>
      <c r="O2922">
        <v>231002</v>
      </c>
    </row>
    <row r="2923" spans="1:16" x14ac:dyDescent="0.25">
      <c r="A2923" t="s">
        <v>16</v>
      </c>
      <c r="B2923" t="s">
        <v>3221</v>
      </c>
      <c r="C2923">
        <v>13397</v>
      </c>
      <c r="D2923" t="s">
        <v>2666</v>
      </c>
      <c r="E2923" t="s">
        <v>2667</v>
      </c>
      <c r="F2923">
        <v>208.87</v>
      </c>
      <c r="G2923">
        <v>231004</v>
      </c>
      <c r="H2923">
        <v>4470</v>
      </c>
      <c r="I2923" t="s">
        <v>83</v>
      </c>
      <c r="J2923">
        <v>259</v>
      </c>
      <c r="K2923">
        <v>50.13</v>
      </c>
      <c r="L2923">
        <v>56568</v>
      </c>
      <c r="M2923" t="s">
        <v>268</v>
      </c>
      <c r="N2923" t="str">
        <f>"30234499    "</f>
        <v xml:space="preserve">30234499    </v>
      </c>
      <c r="O2923">
        <v>231010</v>
      </c>
    </row>
    <row r="2924" spans="1:16" x14ac:dyDescent="0.25">
      <c r="A2924" t="s">
        <v>16</v>
      </c>
      <c r="B2924" t="s">
        <v>3221</v>
      </c>
      <c r="C2924">
        <v>764</v>
      </c>
      <c r="D2924" t="s">
        <v>718</v>
      </c>
      <c r="E2924" t="s">
        <v>719</v>
      </c>
      <c r="F2924">
        <v>38.56</v>
      </c>
      <c r="G2924">
        <v>230123</v>
      </c>
      <c r="H2924">
        <v>4580</v>
      </c>
      <c r="I2924" t="s">
        <v>35</v>
      </c>
      <c r="J2924">
        <v>47.82</v>
      </c>
      <c r="K2924">
        <v>9.26</v>
      </c>
      <c r="L2924">
        <v>17526</v>
      </c>
      <c r="M2924" t="s">
        <v>437</v>
      </c>
      <c r="N2924" t="str">
        <f>"1038        "</f>
        <v xml:space="preserve">1038        </v>
      </c>
      <c r="O2924">
        <v>230130</v>
      </c>
    </row>
    <row r="2925" spans="1:16" x14ac:dyDescent="0.25">
      <c r="A2925" t="s">
        <v>16</v>
      </c>
      <c r="B2925" t="s">
        <v>3221</v>
      </c>
      <c r="C2925">
        <v>1197</v>
      </c>
      <c r="D2925" t="s">
        <v>941</v>
      </c>
      <c r="E2925" t="s">
        <v>942</v>
      </c>
      <c r="F2925">
        <v>367.55</v>
      </c>
      <c r="G2925">
        <v>230202</v>
      </c>
      <c r="H2925">
        <v>4572</v>
      </c>
      <c r="I2925" t="s">
        <v>122</v>
      </c>
      <c r="J2925">
        <v>455.76</v>
      </c>
      <c r="K2925">
        <v>88.21</v>
      </c>
      <c r="L2925">
        <v>17711</v>
      </c>
      <c r="M2925" t="s">
        <v>65</v>
      </c>
      <c r="N2925" t="str">
        <f>"6127578873  "</f>
        <v xml:space="preserve">6127578873  </v>
      </c>
      <c r="O2925">
        <v>230206</v>
      </c>
    </row>
    <row r="2926" spans="1:16" x14ac:dyDescent="0.25">
      <c r="A2926" t="s">
        <v>16</v>
      </c>
      <c r="B2926" t="s">
        <v>3221</v>
      </c>
      <c r="C2926">
        <v>1197</v>
      </c>
      <c r="D2926" t="s">
        <v>941</v>
      </c>
      <c r="E2926" t="s">
        <v>942</v>
      </c>
      <c r="F2926">
        <v>27.64</v>
      </c>
      <c r="G2926">
        <v>230202</v>
      </c>
      <c r="H2926">
        <v>4572</v>
      </c>
      <c r="I2926" t="s">
        <v>122</v>
      </c>
      <c r="J2926">
        <v>34.270000000000003</v>
      </c>
      <c r="K2926">
        <v>6.63</v>
      </c>
      <c r="L2926">
        <v>17737</v>
      </c>
      <c r="M2926" t="s">
        <v>279</v>
      </c>
      <c r="N2926" t="str">
        <f>"6127578873  "</f>
        <v xml:space="preserve">6127578873  </v>
      </c>
      <c r="O2926">
        <v>230206</v>
      </c>
    </row>
    <row r="2927" spans="1:16" x14ac:dyDescent="0.25">
      <c r="A2927" t="s">
        <v>16</v>
      </c>
      <c r="B2927" t="s">
        <v>3221</v>
      </c>
      <c r="C2927">
        <v>1197</v>
      </c>
      <c r="D2927" t="s">
        <v>941</v>
      </c>
      <c r="E2927" t="s">
        <v>942</v>
      </c>
      <c r="F2927">
        <v>157.52000000000001</v>
      </c>
      <c r="G2927">
        <v>230202</v>
      </c>
      <c r="H2927">
        <v>4572</v>
      </c>
      <c r="I2927" t="s">
        <v>122</v>
      </c>
      <c r="J2927">
        <v>195.32</v>
      </c>
      <c r="K2927">
        <v>37.799999999999997</v>
      </c>
      <c r="L2927">
        <v>17739</v>
      </c>
      <c r="M2927" t="s">
        <v>374</v>
      </c>
      <c r="N2927" t="str">
        <f>"6127578873  "</f>
        <v xml:space="preserve">6127578873  </v>
      </c>
      <c r="O2927">
        <v>230206</v>
      </c>
    </row>
    <row r="2928" spans="1:16" x14ac:dyDescent="0.25">
      <c r="A2928" t="s">
        <v>16</v>
      </c>
      <c r="B2928" t="s">
        <v>3221</v>
      </c>
      <c r="C2928">
        <v>1375</v>
      </c>
      <c r="D2928" t="s">
        <v>941</v>
      </c>
      <c r="E2928" t="s">
        <v>942</v>
      </c>
      <c r="F2928">
        <v>68.61</v>
      </c>
      <c r="G2928">
        <v>230207</v>
      </c>
      <c r="H2928">
        <v>4572</v>
      </c>
      <c r="I2928" t="s">
        <v>122</v>
      </c>
      <c r="J2928">
        <v>85.08</v>
      </c>
      <c r="K2928">
        <v>16.47</v>
      </c>
      <c r="L2928">
        <v>17952</v>
      </c>
      <c r="M2928" t="s">
        <v>88</v>
      </c>
      <c r="N2928" t="str">
        <f>"6127655337  "</f>
        <v xml:space="preserve">6127655337  </v>
      </c>
      <c r="O2928">
        <v>230208</v>
      </c>
    </row>
    <row r="2929" spans="1:15" x14ac:dyDescent="0.25">
      <c r="A2929" t="s">
        <v>16</v>
      </c>
      <c r="B2929" t="s">
        <v>3221</v>
      </c>
      <c r="C2929">
        <v>1480</v>
      </c>
      <c r="D2929" t="s">
        <v>941</v>
      </c>
      <c r="E2929" t="s">
        <v>942</v>
      </c>
      <c r="F2929">
        <v>217.24</v>
      </c>
      <c r="G2929">
        <v>230203</v>
      </c>
      <c r="H2929">
        <v>4572</v>
      </c>
      <c r="I2929" t="s">
        <v>122</v>
      </c>
      <c r="J2929">
        <v>269.38</v>
      </c>
      <c r="K2929">
        <v>52.14</v>
      </c>
      <c r="L2929">
        <v>17739</v>
      </c>
      <c r="M2929" t="s">
        <v>374</v>
      </c>
      <c r="N2929" t="str">
        <f>"6127646867  "</f>
        <v xml:space="preserve">6127646867  </v>
      </c>
      <c r="O2929">
        <v>230209</v>
      </c>
    </row>
    <row r="2930" spans="1:15" x14ac:dyDescent="0.25">
      <c r="A2930" t="s">
        <v>16</v>
      </c>
      <c r="B2930" t="s">
        <v>3221</v>
      </c>
      <c r="C2930">
        <v>1480</v>
      </c>
      <c r="D2930" t="s">
        <v>941</v>
      </c>
      <c r="E2930" t="s">
        <v>942</v>
      </c>
      <c r="F2930">
        <v>651.72</v>
      </c>
      <c r="G2930">
        <v>230203</v>
      </c>
      <c r="H2930">
        <v>4572</v>
      </c>
      <c r="I2930" t="s">
        <v>122</v>
      </c>
      <c r="J2930">
        <v>808.13</v>
      </c>
      <c r="K2930">
        <v>156.41</v>
      </c>
      <c r="L2930">
        <v>17912</v>
      </c>
      <c r="M2930" t="s">
        <v>419</v>
      </c>
      <c r="N2930" t="str">
        <f>"6127646867  "</f>
        <v xml:space="preserve">6127646867  </v>
      </c>
      <c r="O2930">
        <v>230209</v>
      </c>
    </row>
    <row r="2931" spans="1:15" x14ac:dyDescent="0.25">
      <c r="A2931" t="s">
        <v>16</v>
      </c>
      <c r="B2931" t="s">
        <v>3221</v>
      </c>
      <c r="C2931">
        <v>1480</v>
      </c>
      <c r="D2931" t="s">
        <v>941</v>
      </c>
      <c r="E2931" t="s">
        <v>942</v>
      </c>
      <c r="F2931">
        <v>1303.44</v>
      </c>
      <c r="G2931">
        <v>230203</v>
      </c>
      <c r="H2931">
        <v>4572</v>
      </c>
      <c r="I2931" t="s">
        <v>122</v>
      </c>
      <c r="J2931">
        <v>1616.27</v>
      </c>
      <c r="K2931">
        <v>312.83</v>
      </c>
      <c r="L2931">
        <v>17952</v>
      </c>
      <c r="M2931" t="s">
        <v>88</v>
      </c>
      <c r="N2931" t="str">
        <f>"6127646867  "</f>
        <v xml:space="preserve">6127646867  </v>
      </c>
      <c r="O2931">
        <v>230209</v>
      </c>
    </row>
    <row r="2932" spans="1:15" x14ac:dyDescent="0.25">
      <c r="A2932" t="s">
        <v>16</v>
      </c>
      <c r="B2932" t="s">
        <v>3221</v>
      </c>
      <c r="C2932">
        <v>1904</v>
      </c>
      <c r="D2932" t="s">
        <v>941</v>
      </c>
      <c r="E2932" t="s">
        <v>942</v>
      </c>
      <c r="F2932">
        <v>1664.08</v>
      </c>
      <c r="G2932">
        <v>230202</v>
      </c>
      <c r="H2932">
        <v>4572</v>
      </c>
      <c r="I2932" t="s">
        <v>122</v>
      </c>
      <c r="J2932">
        <v>2063.46</v>
      </c>
      <c r="K2932">
        <v>399.38</v>
      </c>
      <c r="L2932">
        <v>49501</v>
      </c>
      <c r="M2932" t="s">
        <v>177</v>
      </c>
      <c r="N2932" t="str">
        <f>"6127572828  "</f>
        <v xml:space="preserve">6127572828  </v>
      </c>
      <c r="O2932">
        <v>230215</v>
      </c>
    </row>
    <row r="2933" spans="1:15" x14ac:dyDescent="0.25">
      <c r="A2933" t="s">
        <v>16</v>
      </c>
      <c r="B2933" t="s">
        <v>3221</v>
      </c>
      <c r="C2933">
        <v>1904</v>
      </c>
      <c r="D2933" t="s">
        <v>941</v>
      </c>
      <c r="E2933" t="s">
        <v>942</v>
      </c>
      <c r="F2933">
        <v>87.58</v>
      </c>
      <c r="G2933">
        <v>230202</v>
      </c>
      <c r="H2933">
        <v>4572</v>
      </c>
      <c r="I2933" t="s">
        <v>122</v>
      </c>
      <c r="J2933">
        <v>108.6</v>
      </c>
      <c r="K2933">
        <v>21.02</v>
      </c>
      <c r="L2933">
        <v>49801</v>
      </c>
      <c r="M2933" t="s">
        <v>1227</v>
      </c>
      <c r="N2933" t="str">
        <f>"6127572828  "</f>
        <v xml:space="preserve">6127572828  </v>
      </c>
      <c r="O2933">
        <v>230215</v>
      </c>
    </row>
    <row r="2934" spans="1:15" x14ac:dyDescent="0.25">
      <c r="A2934" t="s">
        <v>16</v>
      </c>
      <c r="B2934" t="s">
        <v>3221</v>
      </c>
      <c r="C2934">
        <v>1908</v>
      </c>
      <c r="D2934" t="s">
        <v>941</v>
      </c>
      <c r="E2934" t="s">
        <v>942</v>
      </c>
      <c r="F2934">
        <v>11098.31</v>
      </c>
      <c r="G2934">
        <v>230203</v>
      </c>
      <c r="H2934">
        <v>4572</v>
      </c>
      <c r="I2934" t="s">
        <v>122</v>
      </c>
      <c r="J2934">
        <v>13761.91</v>
      </c>
      <c r="K2934">
        <v>2663.6</v>
      </c>
      <c r="L2934">
        <v>49501</v>
      </c>
      <c r="M2934" t="s">
        <v>177</v>
      </c>
      <c r="N2934" t="str">
        <f>"6127646536  "</f>
        <v xml:space="preserve">6127646536  </v>
      </c>
      <c r="O2934">
        <v>230215</v>
      </c>
    </row>
    <row r="2935" spans="1:15" x14ac:dyDescent="0.25">
      <c r="A2935" t="s">
        <v>16</v>
      </c>
      <c r="B2935" t="s">
        <v>3221</v>
      </c>
      <c r="C2935">
        <v>1908</v>
      </c>
      <c r="D2935" t="s">
        <v>941</v>
      </c>
      <c r="E2935" t="s">
        <v>942</v>
      </c>
      <c r="F2935">
        <v>602.19000000000005</v>
      </c>
      <c r="G2935">
        <v>230203</v>
      </c>
      <c r="H2935">
        <v>4572</v>
      </c>
      <c r="I2935" t="s">
        <v>122</v>
      </c>
      <c r="J2935">
        <v>746.71</v>
      </c>
      <c r="K2935">
        <v>144.52000000000001</v>
      </c>
      <c r="L2935">
        <v>49801</v>
      </c>
      <c r="M2935" t="s">
        <v>1227</v>
      </c>
      <c r="N2935" t="str">
        <f>"6127646536  "</f>
        <v xml:space="preserve">6127646536  </v>
      </c>
      <c r="O2935">
        <v>230215</v>
      </c>
    </row>
    <row r="2936" spans="1:15" x14ac:dyDescent="0.25">
      <c r="A2936" t="s">
        <v>16</v>
      </c>
      <c r="B2936" t="s">
        <v>3221</v>
      </c>
      <c r="C2936">
        <v>1908</v>
      </c>
      <c r="D2936" t="s">
        <v>941</v>
      </c>
      <c r="E2936" t="s">
        <v>942</v>
      </c>
      <c r="F2936">
        <v>343.25</v>
      </c>
      <c r="G2936">
        <v>230203</v>
      </c>
      <c r="H2936">
        <v>4572</v>
      </c>
      <c r="I2936" t="s">
        <v>122</v>
      </c>
      <c r="J2936">
        <v>425.63</v>
      </c>
      <c r="K2936">
        <v>82.38</v>
      </c>
      <c r="L2936">
        <v>49803</v>
      </c>
      <c r="M2936" t="s">
        <v>1229</v>
      </c>
      <c r="N2936" t="str">
        <f>"6127646536  "</f>
        <v xml:space="preserve">6127646536  </v>
      </c>
      <c r="O2936">
        <v>230215</v>
      </c>
    </row>
    <row r="2937" spans="1:15" x14ac:dyDescent="0.25">
      <c r="A2937" t="s">
        <v>16</v>
      </c>
      <c r="B2937" t="s">
        <v>3221</v>
      </c>
      <c r="C2937">
        <v>2950</v>
      </c>
      <c r="D2937" t="s">
        <v>941</v>
      </c>
      <c r="E2937" t="s">
        <v>942</v>
      </c>
      <c r="F2937">
        <v>295.77</v>
      </c>
      <c r="G2937">
        <v>230302</v>
      </c>
      <c r="H2937">
        <v>4572</v>
      </c>
      <c r="I2937" t="s">
        <v>122</v>
      </c>
      <c r="J2937">
        <v>366.75</v>
      </c>
      <c r="K2937">
        <v>70.98</v>
      </c>
      <c r="L2937">
        <v>17711</v>
      </c>
      <c r="M2937" t="s">
        <v>65</v>
      </c>
      <c r="N2937" t="str">
        <f>"6127819079  "</f>
        <v xml:space="preserve">6127819079  </v>
      </c>
      <c r="O2937">
        <v>230308</v>
      </c>
    </row>
    <row r="2938" spans="1:15" x14ac:dyDescent="0.25">
      <c r="A2938" t="s">
        <v>16</v>
      </c>
      <c r="B2938" t="s">
        <v>3221</v>
      </c>
      <c r="C2938">
        <v>2950</v>
      </c>
      <c r="D2938" t="s">
        <v>941</v>
      </c>
      <c r="E2938" t="s">
        <v>942</v>
      </c>
      <c r="F2938">
        <v>22.23</v>
      </c>
      <c r="G2938">
        <v>230302</v>
      </c>
      <c r="H2938">
        <v>4572</v>
      </c>
      <c r="I2938" t="s">
        <v>122</v>
      </c>
      <c r="J2938">
        <v>27.57</v>
      </c>
      <c r="K2938">
        <v>5.34</v>
      </c>
      <c r="L2938">
        <v>17737</v>
      </c>
      <c r="M2938" t="s">
        <v>279</v>
      </c>
      <c r="N2938" t="str">
        <f>"6127819079  "</f>
        <v xml:space="preserve">6127819079  </v>
      </c>
      <c r="O2938">
        <v>230308</v>
      </c>
    </row>
    <row r="2939" spans="1:15" x14ac:dyDescent="0.25">
      <c r="A2939" t="s">
        <v>16</v>
      </c>
      <c r="B2939" t="s">
        <v>3221</v>
      </c>
      <c r="C2939">
        <v>2950</v>
      </c>
      <c r="D2939" t="s">
        <v>941</v>
      </c>
      <c r="E2939" t="s">
        <v>942</v>
      </c>
      <c r="F2939">
        <v>126.76</v>
      </c>
      <c r="G2939">
        <v>230302</v>
      </c>
      <c r="H2939">
        <v>4572</v>
      </c>
      <c r="I2939" t="s">
        <v>122</v>
      </c>
      <c r="J2939">
        <v>157.18</v>
      </c>
      <c r="K2939">
        <v>30.42</v>
      </c>
      <c r="L2939">
        <v>17739</v>
      </c>
      <c r="M2939" t="s">
        <v>374</v>
      </c>
      <c r="N2939" t="str">
        <f>"6127819079  "</f>
        <v xml:space="preserve">6127819079  </v>
      </c>
      <c r="O2939">
        <v>230308</v>
      </c>
    </row>
    <row r="2940" spans="1:15" x14ac:dyDescent="0.25">
      <c r="A2940" t="s">
        <v>16</v>
      </c>
      <c r="B2940" t="s">
        <v>3221</v>
      </c>
      <c r="C2940">
        <v>3015</v>
      </c>
      <c r="D2940" t="s">
        <v>941</v>
      </c>
      <c r="E2940" t="s">
        <v>942</v>
      </c>
      <c r="F2940">
        <v>68.61</v>
      </c>
      <c r="G2940">
        <v>230307</v>
      </c>
      <c r="H2940">
        <v>4572</v>
      </c>
      <c r="I2940" t="s">
        <v>122</v>
      </c>
      <c r="J2940">
        <v>85.08</v>
      </c>
      <c r="K2940">
        <v>16.47</v>
      </c>
      <c r="L2940">
        <v>17952</v>
      </c>
      <c r="M2940" t="s">
        <v>88</v>
      </c>
      <c r="N2940" t="str">
        <f>"6128071702  "</f>
        <v xml:space="preserve">6128071702  </v>
      </c>
      <c r="O2940">
        <v>230308</v>
      </c>
    </row>
    <row r="2941" spans="1:15" x14ac:dyDescent="0.25">
      <c r="A2941" t="s">
        <v>16</v>
      </c>
      <c r="B2941" t="s">
        <v>3221</v>
      </c>
      <c r="C2941">
        <v>3016</v>
      </c>
      <c r="D2941" t="s">
        <v>941</v>
      </c>
      <c r="E2941" t="s">
        <v>942</v>
      </c>
      <c r="F2941">
        <v>67.069999999999993</v>
      </c>
      <c r="G2941">
        <v>230307</v>
      </c>
      <c r="H2941">
        <v>4572</v>
      </c>
      <c r="I2941" t="s">
        <v>122</v>
      </c>
      <c r="J2941">
        <v>83.17</v>
      </c>
      <c r="K2941">
        <v>16.100000000000001</v>
      </c>
      <c r="L2941">
        <v>13841</v>
      </c>
      <c r="M2941" t="s">
        <v>47</v>
      </c>
      <c r="N2941" t="str">
        <f>"6128077286  "</f>
        <v xml:space="preserve">6128077286  </v>
      </c>
      <c r="O2941">
        <v>230308</v>
      </c>
    </row>
    <row r="2942" spans="1:15" x14ac:dyDescent="0.25">
      <c r="A2942" t="s">
        <v>16</v>
      </c>
      <c r="B2942" t="s">
        <v>3221</v>
      </c>
      <c r="C2942">
        <v>3027</v>
      </c>
      <c r="D2942" t="s">
        <v>941</v>
      </c>
      <c r="E2942" t="s">
        <v>942</v>
      </c>
      <c r="F2942">
        <v>199.37</v>
      </c>
      <c r="G2942">
        <v>230306</v>
      </c>
      <c r="H2942">
        <v>4572</v>
      </c>
      <c r="I2942" t="s">
        <v>122</v>
      </c>
      <c r="J2942">
        <v>247.22</v>
      </c>
      <c r="K2942">
        <v>47.85</v>
      </c>
      <c r="L2942">
        <v>17739</v>
      </c>
      <c r="M2942" t="s">
        <v>374</v>
      </c>
      <c r="N2942" t="str">
        <f>"6127929032  "</f>
        <v xml:space="preserve">6127929032  </v>
      </c>
      <c r="O2942">
        <v>230308</v>
      </c>
    </row>
    <row r="2943" spans="1:15" x14ac:dyDescent="0.25">
      <c r="A2943" t="s">
        <v>16</v>
      </c>
      <c r="B2943" t="s">
        <v>3221</v>
      </c>
      <c r="C2943">
        <v>3027</v>
      </c>
      <c r="D2943" t="s">
        <v>941</v>
      </c>
      <c r="E2943" t="s">
        <v>942</v>
      </c>
      <c r="F2943">
        <v>598.1</v>
      </c>
      <c r="G2943">
        <v>230306</v>
      </c>
      <c r="H2943">
        <v>4572</v>
      </c>
      <c r="I2943" t="s">
        <v>122</v>
      </c>
      <c r="J2943">
        <v>741.65</v>
      </c>
      <c r="K2943">
        <v>143.55000000000001</v>
      </c>
      <c r="L2943">
        <v>17912</v>
      </c>
      <c r="M2943" t="s">
        <v>419</v>
      </c>
      <c r="N2943" t="str">
        <f>"6127929032  "</f>
        <v xml:space="preserve">6127929032  </v>
      </c>
      <c r="O2943">
        <v>230308</v>
      </c>
    </row>
    <row r="2944" spans="1:15" x14ac:dyDescent="0.25">
      <c r="A2944" t="s">
        <v>16</v>
      </c>
      <c r="B2944" t="s">
        <v>3221</v>
      </c>
      <c r="C2944">
        <v>3027</v>
      </c>
      <c r="D2944" t="s">
        <v>941</v>
      </c>
      <c r="E2944" t="s">
        <v>942</v>
      </c>
      <c r="F2944">
        <v>1196.22</v>
      </c>
      <c r="G2944">
        <v>230306</v>
      </c>
      <c r="H2944">
        <v>4572</v>
      </c>
      <c r="I2944" t="s">
        <v>122</v>
      </c>
      <c r="J2944">
        <v>1483.31</v>
      </c>
      <c r="K2944">
        <v>287.08999999999997</v>
      </c>
      <c r="L2944">
        <v>17952</v>
      </c>
      <c r="M2944" t="s">
        <v>88</v>
      </c>
      <c r="N2944" t="str">
        <f>"6127929032  "</f>
        <v xml:space="preserve">6127929032  </v>
      </c>
      <c r="O2944">
        <v>230308</v>
      </c>
    </row>
    <row r="2945" spans="1:15" x14ac:dyDescent="0.25">
      <c r="A2945" t="s">
        <v>16</v>
      </c>
      <c r="B2945" t="s">
        <v>3221</v>
      </c>
      <c r="C2945">
        <v>3453</v>
      </c>
      <c r="D2945" t="s">
        <v>941</v>
      </c>
      <c r="E2945" t="s">
        <v>942</v>
      </c>
      <c r="F2945">
        <v>3406.08</v>
      </c>
      <c r="G2945">
        <v>230306</v>
      </c>
      <c r="H2945">
        <v>4572</v>
      </c>
      <c r="I2945" t="s">
        <v>122</v>
      </c>
      <c r="J2945">
        <v>4223.54</v>
      </c>
      <c r="K2945">
        <v>817.46</v>
      </c>
      <c r="L2945">
        <v>49501</v>
      </c>
      <c r="M2945" t="s">
        <v>177</v>
      </c>
      <c r="N2945" t="str">
        <f>"6127900638  "</f>
        <v xml:space="preserve">6127900638  </v>
      </c>
      <c r="O2945">
        <v>230316</v>
      </c>
    </row>
    <row r="2946" spans="1:15" x14ac:dyDescent="0.25">
      <c r="A2946" t="s">
        <v>16</v>
      </c>
      <c r="B2946" t="s">
        <v>3221</v>
      </c>
      <c r="C2946">
        <v>3453</v>
      </c>
      <c r="D2946" t="s">
        <v>941</v>
      </c>
      <c r="E2946" t="s">
        <v>942</v>
      </c>
      <c r="F2946">
        <v>184.81</v>
      </c>
      <c r="G2946">
        <v>230306</v>
      </c>
      <c r="H2946">
        <v>4572</v>
      </c>
      <c r="I2946" t="s">
        <v>122</v>
      </c>
      <c r="J2946">
        <v>229.17</v>
      </c>
      <c r="K2946">
        <v>44.36</v>
      </c>
      <c r="L2946">
        <v>49801</v>
      </c>
      <c r="M2946" t="s">
        <v>1227</v>
      </c>
      <c r="N2946" t="str">
        <f>"6127900638  "</f>
        <v xml:space="preserve">6127900638  </v>
      </c>
      <c r="O2946">
        <v>230316</v>
      </c>
    </row>
    <row r="2947" spans="1:15" x14ac:dyDescent="0.25">
      <c r="A2947" t="s">
        <v>16</v>
      </c>
      <c r="B2947" t="s">
        <v>3221</v>
      </c>
      <c r="C2947">
        <v>3453</v>
      </c>
      <c r="D2947" t="s">
        <v>941</v>
      </c>
      <c r="E2947" t="s">
        <v>942</v>
      </c>
      <c r="F2947">
        <v>105.35</v>
      </c>
      <c r="G2947">
        <v>230306</v>
      </c>
      <c r="H2947">
        <v>4572</v>
      </c>
      <c r="I2947" t="s">
        <v>122</v>
      </c>
      <c r="J2947">
        <v>130.63</v>
      </c>
      <c r="K2947">
        <v>25.28</v>
      </c>
      <c r="L2947">
        <v>49803</v>
      </c>
      <c r="M2947" t="s">
        <v>1229</v>
      </c>
      <c r="N2947" t="str">
        <f>"6127900638  "</f>
        <v xml:space="preserve">6127900638  </v>
      </c>
      <c r="O2947">
        <v>230316</v>
      </c>
    </row>
    <row r="2948" spans="1:15" x14ac:dyDescent="0.25">
      <c r="A2948" t="s">
        <v>16</v>
      </c>
      <c r="B2948" t="s">
        <v>3221</v>
      </c>
      <c r="C2948">
        <v>3454</v>
      </c>
      <c r="D2948" t="s">
        <v>941</v>
      </c>
      <c r="E2948" t="s">
        <v>942</v>
      </c>
      <c r="F2948">
        <v>1543.05</v>
      </c>
      <c r="G2948">
        <v>230302</v>
      </c>
      <c r="H2948">
        <v>4572</v>
      </c>
      <c r="I2948" t="s">
        <v>122</v>
      </c>
      <c r="J2948">
        <v>1913.38</v>
      </c>
      <c r="K2948">
        <v>370.33</v>
      </c>
      <c r="L2948">
        <v>49501</v>
      </c>
      <c r="M2948" t="s">
        <v>177</v>
      </c>
      <c r="N2948" t="str">
        <f>"6127815845  "</f>
        <v xml:space="preserve">6127815845  </v>
      </c>
      <c r="O2948">
        <v>230316</v>
      </c>
    </row>
    <row r="2949" spans="1:15" x14ac:dyDescent="0.25">
      <c r="A2949" t="s">
        <v>16</v>
      </c>
      <c r="B2949" t="s">
        <v>3221</v>
      </c>
      <c r="C2949">
        <v>3454</v>
      </c>
      <c r="D2949" t="s">
        <v>941</v>
      </c>
      <c r="E2949" t="s">
        <v>942</v>
      </c>
      <c r="F2949">
        <v>81.209999999999994</v>
      </c>
      <c r="G2949">
        <v>230302</v>
      </c>
      <c r="H2949">
        <v>4572</v>
      </c>
      <c r="I2949" t="s">
        <v>122</v>
      </c>
      <c r="J2949">
        <v>100.7</v>
      </c>
      <c r="K2949">
        <v>19.489999999999998</v>
      </c>
      <c r="L2949">
        <v>49801</v>
      </c>
      <c r="M2949" t="s">
        <v>1227</v>
      </c>
      <c r="N2949" t="str">
        <f>"6127815845  "</f>
        <v xml:space="preserve">6127815845  </v>
      </c>
      <c r="O2949">
        <v>230316</v>
      </c>
    </row>
    <row r="2950" spans="1:15" x14ac:dyDescent="0.25">
      <c r="A2950" t="s">
        <v>16</v>
      </c>
      <c r="B2950" t="s">
        <v>3221</v>
      </c>
      <c r="C2950">
        <v>3462</v>
      </c>
      <c r="D2950" t="s">
        <v>941</v>
      </c>
      <c r="E2950" t="s">
        <v>942</v>
      </c>
      <c r="F2950">
        <v>2801.92</v>
      </c>
      <c r="G2950">
        <v>230307</v>
      </c>
      <c r="H2950">
        <v>4572</v>
      </c>
      <c r="I2950" t="s">
        <v>122</v>
      </c>
      <c r="J2950">
        <v>3474.38</v>
      </c>
      <c r="K2950">
        <v>672.46</v>
      </c>
      <c r="L2950">
        <v>49503</v>
      </c>
      <c r="M2950" t="s">
        <v>178</v>
      </c>
      <c r="N2950" t="str">
        <f>"6128033238  "</f>
        <v xml:space="preserve">6128033238  </v>
      </c>
      <c r="O2950">
        <v>230316</v>
      </c>
    </row>
    <row r="2951" spans="1:15" x14ac:dyDescent="0.25">
      <c r="A2951" t="s">
        <v>16</v>
      </c>
      <c r="B2951" t="s">
        <v>3221</v>
      </c>
      <c r="C2951">
        <v>4553</v>
      </c>
      <c r="D2951" t="s">
        <v>941</v>
      </c>
      <c r="E2951" t="s">
        <v>942</v>
      </c>
      <c r="F2951">
        <v>191.18</v>
      </c>
      <c r="G2951">
        <v>230404</v>
      </c>
      <c r="H2951">
        <v>4572</v>
      </c>
      <c r="I2951" t="s">
        <v>122</v>
      </c>
      <c r="J2951">
        <v>237.06</v>
      </c>
      <c r="K2951">
        <v>45.88</v>
      </c>
      <c r="L2951">
        <v>17739</v>
      </c>
      <c r="M2951" t="s">
        <v>374</v>
      </c>
      <c r="N2951" t="str">
        <f>"6128288357  "</f>
        <v xml:space="preserve">6128288357  </v>
      </c>
      <c r="O2951">
        <v>230406</v>
      </c>
    </row>
    <row r="2952" spans="1:15" x14ac:dyDescent="0.25">
      <c r="A2952" t="s">
        <v>16</v>
      </c>
      <c r="B2952" t="s">
        <v>3221</v>
      </c>
      <c r="C2952">
        <v>4553</v>
      </c>
      <c r="D2952" t="s">
        <v>941</v>
      </c>
      <c r="E2952" t="s">
        <v>942</v>
      </c>
      <c r="F2952">
        <v>573.54</v>
      </c>
      <c r="G2952">
        <v>230404</v>
      </c>
      <c r="H2952">
        <v>4572</v>
      </c>
      <c r="I2952" t="s">
        <v>122</v>
      </c>
      <c r="J2952">
        <v>711.19</v>
      </c>
      <c r="K2952">
        <v>137.65</v>
      </c>
      <c r="L2952">
        <v>17912</v>
      </c>
      <c r="M2952" t="s">
        <v>419</v>
      </c>
      <c r="N2952" t="str">
        <f>"6128288357  "</f>
        <v xml:space="preserve">6128288357  </v>
      </c>
      <c r="O2952">
        <v>230406</v>
      </c>
    </row>
    <row r="2953" spans="1:15" x14ac:dyDescent="0.25">
      <c r="A2953" t="s">
        <v>16</v>
      </c>
      <c r="B2953" t="s">
        <v>3221</v>
      </c>
      <c r="C2953">
        <v>4553</v>
      </c>
      <c r="D2953" t="s">
        <v>941</v>
      </c>
      <c r="E2953" t="s">
        <v>942</v>
      </c>
      <c r="F2953">
        <v>1147.07</v>
      </c>
      <c r="G2953">
        <v>230404</v>
      </c>
      <c r="H2953">
        <v>4572</v>
      </c>
      <c r="I2953" t="s">
        <v>122</v>
      </c>
      <c r="J2953">
        <v>1422.37</v>
      </c>
      <c r="K2953">
        <v>275.3</v>
      </c>
      <c r="L2953">
        <v>17952</v>
      </c>
      <c r="M2953" t="s">
        <v>88</v>
      </c>
      <c r="N2953" t="str">
        <f>"6128288357  "</f>
        <v xml:space="preserve">6128288357  </v>
      </c>
      <c r="O2953">
        <v>230406</v>
      </c>
    </row>
    <row r="2954" spans="1:15" x14ac:dyDescent="0.25">
      <c r="A2954" t="s">
        <v>16</v>
      </c>
      <c r="B2954" t="s">
        <v>3221</v>
      </c>
      <c r="C2954">
        <v>4554</v>
      </c>
      <c r="D2954" t="s">
        <v>941</v>
      </c>
      <c r="E2954" t="s">
        <v>942</v>
      </c>
      <c r="F2954">
        <v>310.37</v>
      </c>
      <c r="G2954">
        <v>230404</v>
      </c>
      <c r="H2954">
        <v>4572</v>
      </c>
      <c r="I2954" t="s">
        <v>122</v>
      </c>
      <c r="J2954">
        <v>384.86</v>
      </c>
      <c r="K2954">
        <v>74.489999999999995</v>
      </c>
      <c r="L2954">
        <v>17711</v>
      </c>
      <c r="M2954" t="s">
        <v>65</v>
      </c>
      <c r="N2954" t="str">
        <f>"6128312173  "</f>
        <v xml:space="preserve">6128312173  </v>
      </c>
      <c r="O2954">
        <v>230406</v>
      </c>
    </row>
    <row r="2955" spans="1:15" x14ac:dyDescent="0.25">
      <c r="A2955" t="s">
        <v>16</v>
      </c>
      <c r="B2955" t="s">
        <v>3221</v>
      </c>
      <c r="C2955">
        <v>4554</v>
      </c>
      <c r="D2955" t="s">
        <v>941</v>
      </c>
      <c r="E2955" t="s">
        <v>942</v>
      </c>
      <c r="F2955">
        <v>23.33</v>
      </c>
      <c r="G2955">
        <v>230404</v>
      </c>
      <c r="H2955">
        <v>4572</v>
      </c>
      <c r="I2955" t="s">
        <v>122</v>
      </c>
      <c r="J2955">
        <v>28.93</v>
      </c>
      <c r="K2955">
        <v>5.6</v>
      </c>
      <c r="L2955">
        <v>17737</v>
      </c>
      <c r="M2955" t="s">
        <v>279</v>
      </c>
      <c r="N2955" t="str">
        <f>"6128312173  "</f>
        <v xml:space="preserve">6128312173  </v>
      </c>
      <c r="O2955">
        <v>230406</v>
      </c>
    </row>
    <row r="2956" spans="1:15" x14ac:dyDescent="0.25">
      <c r="A2956" t="s">
        <v>16</v>
      </c>
      <c r="B2956" t="s">
        <v>3221</v>
      </c>
      <c r="C2956">
        <v>4554</v>
      </c>
      <c r="D2956" t="s">
        <v>941</v>
      </c>
      <c r="E2956" t="s">
        <v>942</v>
      </c>
      <c r="F2956">
        <v>133.02000000000001</v>
      </c>
      <c r="G2956">
        <v>230404</v>
      </c>
      <c r="H2956">
        <v>4572</v>
      </c>
      <c r="I2956" t="s">
        <v>122</v>
      </c>
      <c r="J2956">
        <v>164.94</v>
      </c>
      <c r="K2956">
        <v>31.92</v>
      </c>
      <c r="L2956">
        <v>17739</v>
      </c>
      <c r="M2956" t="s">
        <v>374</v>
      </c>
      <c r="N2956" t="str">
        <f>"6128312173  "</f>
        <v xml:space="preserve">6128312173  </v>
      </c>
      <c r="O2956">
        <v>230406</v>
      </c>
    </row>
    <row r="2957" spans="1:15" x14ac:dyDescent="0.25">
      <c r="A2957" t="s">
        <v>16</v>
      </c>
      <c r="B2957" t="s">
        <v>3221</v>
      </c>
      <c r="C2957">
        <v>4803</v>
      </c>
      <c r="D2957" t="s">
        <v>941</v>
      </c>
      <c r="E2957" t="s">
        <v>942</v>
      </c>
      <c r="F2957">
        <v>68.61</v>
      </c>
      <c r="G2957">
        <v>230411</v>
      </c>
      <c r="H2957">
        <v>4572</v>
      </c>
      <c r="I2957" t="s">
        <v>122</v>
      </c>
      <c r="J2957">
        <v>85.08</v>
      </c>
      <c r="K2957">
        <v>16.47</v>
      </c>
      <c r="L2957">
        <v>17952</v>
      </c>
      <c r="M2957" t="s">
        <v>88</v>
      </c>
      <c r="N2957" t="str">
        <f>"6128322571  "</f>
        <v xml:space="preserve">6128322571  </v>
      </c>
      <c r="O2957">
        <v>230412</v>
      </c>
    </row>
    <row r="2958" spans="1:15" x14ac:dyDescent="0.25">
      <c r="A2958" t="s">
        <v>16</v>
      </c>
      <c r="B2958" t="s">
        <v>3221</v>
      </c>
      <c r="C2958">
        <v>5202</v>
      </c>
      <c r="D2958" t="s">
        <v>941</v>
      </c>
      <c r="E2958" t="s">
        <v>942</v>
      </c>
      <c r="F2958">
        <v>1639.14</v>
      </c>
      <c r="G2958">
        <v>230404</v>
      </c>
      <c r="H2958">
        <v>4572</v>
      </c>
      <c r="I2958" t="s">
        <v>122</v>
      </c>
      <c r="J2958">
        <v>2032.53</v>
      </c>
      <c r="K2958">
        <v>393.39</v>
      </c>
      <c r="L2958">
        <v>49501</v>
      </c>
      <c r="M2958" t="s">
        <v>177</v>
      </c>
      <c r="N2958" t="str">
        <f>"6128290667  "</f>
        <v xml:space="preserve">6128290667  </v>
      </c>
      <c r="O2958">
        <v>230419</v>
      </c>
    </row>
    <row r="2959" spans="1:15" x14ac:dyDescent="0.25">
      <c r="A2959" t="s">
        <v>16</v>
      </c>
      <c r="B2959" t="s">
        <v>3221</v>
      </c>
      <c r="C2959">
        <v>5202</v>
      </c>
      <c r="D2959" t="s">
        <v>941</v>
      </c>
      <c r="E2959" t="s">
        <v>942</v>
      </c>
      <c r="F2959">
        <v>86.27</v>
      </c>
      <c r="G2959">
        <v>230404</v>
      </c>
      <c r="H2959">
        <v>4572</v>
      </c>
      <c r="I2959" t="s">
        <v>122</v>
      </c>
      <c r="J2959">
        <v>106.98</v>
      </c>
      <c r="K2959">
        <v>20.71</v>
      </c>
      <c r="L2959">
        <v>49801</v>
      </c>
      <c r="M2959" t="s">
        <v>1227</v>
      </c>
      <c r="N2959" t="str">
        <f>"6128290667  "</f>
        <v xml:space="preserve">6128290667  </v>
      </c>
      <c r="O2959">
        <v>230419</v>
      </c>
    </row>
    <row r="2960" spans="1:15" x14ac:dyDescent="0.25">
      <c r="A2960" t="s">
        <v>16</v>
      </c>
      <c r="B2960" t="s">
        <v>3221</v>
      </c>
      <c r="C2960">
        <v>5207</v>
      </c>
      <c r="D2960" t="s">
        <v>941</v>
      </c>
      <c r="E2960" t="s">
        <v>942</v>
      </c>
      <c r="F2960">
        <v>3560.71</v>
      </c>
      <c r="G2960">
        <v>230404</v>
      </c>
      <c r="H2960">
        <v>4572</v>
      </c>
      <c r="I2960" t="s">
        <v>122</v>
      </c>
      <c r="J2960">
        <v>4415.28</v>
      </c>
      <c r="K2960">
        <v>854.57</v>
      </c>
      <c r="L2960">
        <v>49501</v>
      </c>
      <c r="M2960" t="s">
        <v>177</v>
      </c>
      <c r="N2960" t="str">
        <f>"6128287709  "</f>
        <v xml:space="preserve">6128287709  </v>
      </c>
      <c r="O2960">
        <v>230419</v>
      </c>
    </row>
    <row r="2961" spans="1:15" x14ac:dyDescent="0.25">
      <c r="A2961" t="s">
        <v>16</v>
      </c>
      <c r="B2961" t="s">
        <v>3221</v>
      </c>
      <c r="C2961">
        <v>5207</v>
      </c>
      <c r="D2961" t="s">
        <v>941</v>
      </c>
      <c r="E2961" t="s">
        <v>942</v>
      </c>
      <c r="F2961">
        <v>193.2</v>
      </c>
      <c r="G2961">
        <v>230404</v>
      </c>
      <c r="H2961">
        <v>4572</v>
      </c>
      <c r="I2961" t="s">
        <v>122</v>
      </c>
      <c r="J2961">
        <v>239.57</v>
      </c>
      <c r="K2961">
        <v>46.37</v>
      </c>
      <c r="L2961">
        <v>49801</v>
      </c>
      <c r="M2961" t="s">
        <v>1227</v>
      </c>
      <c r="N2961" t="str">
        <f>"6128287709  "</f>
        <v xml:space="preserve">6128287709  </v>
      </c>
      <c r="O2961">
        <v>230419</v>
      </c>
    </row>
    <row r="2962" spans="1:15" x14ac:dyDescent="0.25">
      <c r="A2962" t="s">
        <v>16</v>
      </c>
      <c r="B2962" t="s">
        <v>3221</v>
      </c>
      <c r="C2962">
        <v>5207</v>
      </c>
      <c r="D2962" t="s">
        <v>941</v>
      </c>
      <c r="E2962" t="s">
        <v>942</v>
      </c>
      <c r="F2962">
        <v>110.12</v>
      </c>
      <c r="G2962">
        <v>230404</v>
      </c>
      <c r="H2962">
        <v>4572</v>
      </c>
      <c r="I2962" t="s">
        <v>122</v>
      </c>
      <c r="J2962">
        <v>136.55000000000001</v>
      </c>
      <c r="K2962">
        <v>26.43</v>
      </c>
      <c r="L2962">
        <v>49803</v>
      </c>
      <c r="M2962" t="s">
        <v>1229</v>
      </c>
      <c r="N2962" t="str">
        <f>"6128287709  "</f>
        <v xml:space="preserve">6128287709  </v>
      </c>
      <c r="O2962">
        <v>230419</v>
      </c>
    </row>
    <row r="2963" spans="1:15" x14ac:dyDescent="0.25">
      <c r="A2963" t="s">
        <v>16</v>
      </c>
      <c r="B2963" t="s">
        <v>3221</v>
      </c>
      <c r="C2963">
        <v>5929</v>
      </c>
      <c r="D2963" t="s">
        <v>941</v>
      </c>
      <c r="E2963" t="s">
        <v>942</v>
      </c>
      <c r="F2963">
        <v>124.54</v>
      </c>
      <c r="G2963">
        <v>230503</v>
      </c>
      <c r="H2963">
        <v>4572</v>
      </c>
      <c r="I2963" t="s">
        <v>122</v>
      </c>
      <c r="J2963">
        <v>154.43</v>
      </c>
      <c r="K2963">
        <v>29.89</v>
      </c>
      <c r="L2963">
        <v>17739</v>
      </c>
      <c r="M2963" t="s">
        <v>374</v>
      </c>
      <c r="N2963" t="str">
        <f>"6128590723  "</f>
        <v xml:space="preserve">6128590723  </v>
      </c>
      <c r="O2963">
        <v>230504</v>
      </c>
    </row>
    <row r="2964" spans="1:15" x14ac:dyDescent="0.25">
      <c r="A2964" t="s">
        <v>16</v>
      </c>
      <c r="B2964" t="s">
        <v>3221</v>
      </c>
      <c r="C2964">
        <v>5929</v>
      </c>
      <c r="D2964" t="s">
        <v>941</v>
      </c>
      <c r="E2964" t="s">
        <v>942</v>
      </c>
      <c r="F2964">
        <v>373.64</v>
      </c>
      <c r="G2964">
        <v>230503</v>
      </c>
      <c r="H2964">
        <v>4572</v>
      </c>
      <c r="I2964" t="s">
        <v>122</v>
      </c>
      <c r="J2964">
        <v>463.31</v>
      </c>
      <c r="K2964">
        <v>89.67</v>
      </c>
      <c r="L2964">
        <v>17912</v>
      </c>
      <c r="M2964" t="s">
        <v>419</v>
      </c>
      <c r="N2964" t="str">
        <f>"6128590723  "</f>
        <v xml:space="preserve">6128590723  </v>
      </c>
      <c r="O2964">
        <v>230504</v>
      </c>
    </row>
    <row r="2965" spans="1:15" x14ac:dyDescent="0.25">
      <c r="A2965" t="s">
        <v>16</v>
      </c>
      <c r="B2965" t="s">
        <v>3221</v>
      </c>
      <c r="C2965">
        <v>5929</v>
      </c>
      <c r="D2965" t="s">
        <v>941</v>
      </c>
      <c r="E2965" t="s">
        <v>942</v>
      </c>
      <c r="F2965">
        <v>747.27</v>
      </c>
      <c r="G2965">
        <v>230503</v>
      </c>
      <c r="H2965">
        <v>4572</v>
      </c>
      <c r="I2965" t="s">
        <v>122</v>
      </c>
      <c r="J2965">
        <v>926.61</v>
      </c>
      <c r="K2965">
        <v>179.34</v>
      </c>
      <c r="L2965">
        <v>17952</v>
      </c>
      <c r="M2965" t="s">
        <v>88</v>
      </c>
      <c r="N2965" t="str">
        <f>"6128590723  "</f>
        <v xml:space="preserve">6128590723  </v>
      </c>
      <c r="O2965">
        <v>230504</v>
      </c>
    </row>
    <row r="2966" spans="1:15" x14ac:dyDescent="0.25">
      <c r="A2966" t="s">
        <v>16</v>
      </c>
      <c r="B2966" t="s">
        <v>3221</v>
      </c>
      <c r="C2966">
        <v>5950</v>
      </c>
      <c r="D2966" t="s">
        <v>941</v>
      </c>
      <c r="E2966" t="s">
        <v>942</v>
      </c>
      <c r="F2966">
        <v>102.77</v>
      </c>
      <c r="G2966">
        <v>230502</v>
      </c>
      <c r="H2966">
        <v>4572</v>
      </c>
      <c r="I2966" t="s">
        <v>122</v>
      </c>
      <c r="J2966">
        <v>127.43</v>
      </c>
      <c r="K2966">
        <v>24.66</v>
      </c>
      <c r="L2966">
        <v>17711</v>
      </c>
      <c r="M2966" t="s">
        <v>65</v>
      </c>
      <c r="N2966" t="str">
        <f>"6128522503  "</f>
        <v xml:space="preserve">6128522503  </v>
      </c>
      <c r="O2966">
        <v>230504</v>
      </c>
    </row>
    <row r="2967" spans="1:15" x14ac:dyDescent="0.25">
      <c r="A2967" t="s">
        <v>16</v>
      </c>
      <c r="B2967" t="s">
        <v>3221</v>
      </c>
      <c r="C2967">
        <v>5950</v>
      </c>
      <c r="D2967" t="s">
        <v>941</v>
      </c>
      <c r="E2967" t="s">
        <v>942</v>
      </c>
      <c r="F2967">
        <v>18.03</v>
      </c>
      <c r="G2967">
        <v>230502</v>
      </c>
      <c r="H2967">
        <v>4572</v>
      </c>
      <c r="I2967" t="s">
        <v>122</v>
      </c>
      <c r="J2967">
        <v>22.36</v>
      </c>
      <c r="K2967">
        <v>4.33</v>
      </c>
      <c r="L2967">
        <v>17737</v>
      </c>
      <c r="M2967" t="s">
        <v>279</v>
      </c>
      <c r="N2967" t="str">
        <f>"6128522503  "</f>
        <v xml:space="preserve">6128522503  </v>
      </c>
      <c r="O2967">
        <v>230504</v>
      </c>
    </row>
    <row r="2968" spans="1:15" x14ac:dyDescent="0.25">
      <c r="A2968" t="s">
        <v>16</v>
      </c>
      <c r="B2968" t="s">
        <v>3221</v>
      </c>
      <c r="C2968">
        <v>5950</v>
      </c>
      <c r="D2968" t="s">
        <v>941</v>
      </c>
      <c r="E2968" t="s">
        <v>942</v>
      </c>
      <c r="F2968">
        <v>239.79</v>
      </c>
      <c r="G2968">
        <v>230502</v>
      </c>
      <c r="H2968">
        <v>4572</v>
      </c>
      <c r="I2968" t="s">
        <v>122</v>
      </c>
      <c r="J2968">
        <v>297.33999999999997</v>
      </c>
      <c r="K2968">
        <v>57.55</v>
      </c>
      <c r="L2968">
        <v>17737</v>
      </c>
      <c r="M2968" t="s">
        <v>279</v>
      </c>
      <c r="N2968" t="str">
        <f>"6128522503  "</f>
        <v xml:space="preserve">6128522503  </v>
      </c>
      <c r="O2968">
        <v>230504</v>
      </c>
    </row>
    <row r="2969" spans="1:15" x14ac:dyDescent="0.25">
      <c r="A2969" t="s">
        <v>16</v>
      </c>
      <c r="B2969" t="s">
        <v>3221</v>
      </c>
      <c r="C2969">
        <v>6161</v>
      </c>
      <c r="D2969" t="s">
        <v>941</v>
      </c>
      <c r="E2969" t="s">
        <v>942</v>
      </c>
      <c r="F2969">
        <v>63.91</v>
      </c>
      <c r="G2969">
        <v>230504</v>
      </c>
      <c r="H2969">
        <v>4572</v>
      </c>
      <c r="I2969" t="s">
        <v>122</v>
      </c>
      <c r="J2969">
        <v>79.25</v>
      </c>
      <c r="K2969">
        <v>15.34</v>
      </c>
      <c r="L2969">
        <v>13841</v>
      </c>
      <c r="M2969" t="s">
        <v>47</v>
      </c>
      <c r="N2969" t="str">
        <f>"6128719977  "</f>
        <v xml:space="preserve">6128719977  </v>
      </c>
      <c r="O2969">
        <v>230508</v>
      </c>
    </row>
    <row r="2970" spans="1:15" x14ac:dyDescent="0.25">
      <c r="A2970" t="s">
        <v>16</v>
      </c>
      <c r="B2970" t="s">
        <v>3221</v>
      </c>
      <c r="C2970">
        <v>6339</v>
      </c>
      <c r="D2970" t="s">
        <v>941</v>
      </c>
      <c r="E2970" t="s">
        <v>942</v>
      </c>
      <c r="F2970">
        <v>68.61</v>
      </c>
      <c r="G2970">
        <v>230508</v>
      </c>
      <c r="H2970">
        <v>4572</v>
      </c>
      <c r="I2970" t="s">
        <v>122</v>
      </c>
      <c r="J2970">
        <v>85.08</v>
      </c>
      <c r="K2970">
        <v>16.47</v>
      </c>
      <c r="L2970">
        <v>17952</v>
      </c>
      <c r="M2970" t="s">
        <v>88</v>
      </c>
      <c r="N2970" t="str">
        <f>"6128746980  "</f>
        <v xml:space="preserve">6128746980  </v>
      </c>
      <c r="O2970">
        <v>230510</v>
      </c>
    </row>
    <row r="2971" spans="1:15" x14ac:dyDescent="0.25">
      <c r="A2971" t="s">
        <v>16</v>
      </c>
      <c r="B2971" t="s">
        <v>3221</v>
      </c>
      <c r="C2971">
        <v>6668</v>
      </c>
      <c r="D2971" t="s">
        <v>941</v>
      </c>
      <c r="E2971" t="s">
        <v>942</v>
      </c>
      <c r="F2971">
        <v>1398.85</v>
      </c>
      <c r="G2971">
        <v>230502</v>
      </c>
      <c r="H2971">
        <v>4572</v>
      </c>
      <c r="I2971" t="s">
        <v>122</v>
      </c>
      <c r="J2971">
        <v>1734.57</v>
      </c>
      <c r="K2971">
        <v>335.72</v>
      </c>
      <c r="L2971">
        <v>49501</v>
      </c>
      <c r="M2971" t="s">
        <v>177</v>
      </c>
      <c r="N2971" t="str">
        <f>"6128470414  "</f>
        <v xml:space="preserve">6128470414  </v>
      </c>
      <c r="O2971">
        <v>230517</v>
      </c>
    </row>
    <row r="2972" spans="1:15" x14ac:dyDescent="0.25">
      <c r="A2972" t="s">
        <v>16</v>
      </c>
      <c r="B2972" t="s">
        <v>3221</v>
      </c>
      <c r="C2972">
        <v>6668</v>
      </c>
      <c r="D2972" t="s">
        <v>941</v>
      </c>
      <c r="E2972" t="s">
        <v>942</v>
      </c>
      <c r="F2972">
        <v>73.62</v>
      </c>
      <c r="G2972">
        <v>230502</v>
      </c>
      <c r="H2972">
        <v>4572</v>
      </c>
      <c r="I2972" t="s">
        <v>122</v>
      </c>
      <c r="J2972">
        <v>91.29</v>
      </c>
      <c r="K2972">
        <v>17.670000000000002</v>
      </c>
      <c r="L2972">
        <v>49801</v>
      </c>
      <c r="M2972" t="s">
        <v>1227</v>
      </c>
      <c r="N2972" t="str">
        <f>"6128470414  "</f>
        <v xml:space="preserve">6128470414  </v>
      </c>
      <c r="O2972">
        <v>230517</v>
      </c>
    </row>
    <row r="2973" spans="1:15" x14ac:dyDescent="0.25">
      <c r="A2973" t="s">
        <v>16</v>
      </c>
      <c r="B2973" t="s">
        <v>3221</v>
      </c>
      <c r="C2973">
        <v>6674</v>
      </c>
      <c r="D2973" t="s">
        <v>941</v>
      </c>
      <c r="E2973" t="s">
        <v>942</v>
      </c>
      <c r="F2973">
        <v>3252.17</v>
      </c>
      <c r="G2973">
        <v>230503</v>
      </c>
      <c r="H2973">
        <v>4572</v>
      </c>
      <c r="I2973" t="s">
        <v>122</v>
      </c>
      <c r="J2973">
        <v>4032.69</v>
      </c>
      <c r="K2973">
        <v>780.52</v>
      </c>
      <c r="L2973">
        <v>49501</v>
      </c>
      <c r="M2973" t="s">
        <v>177</v>
      </c>
      <c r="N2973" t="str">
        <f>"6128577861  "</f>
        <v xml:space="preserve">6128577861  </v>
      </c>
      <c r="O2973">
        <v>230517</v>
      </c>
    </row>
    <row r="2974" spans="1:15" x14ac:dyDescent="0.25">
      <c r="A2974" t="s">
        <v>16</v>
      </c>
      <c r="B2974" t="s">
        <v>3221</v>
      </c>
      <c r="C2974">
        <v>6674</v>
      </c>
      <c r="D2974" t="s">
        <v>941</v>
      </c>
      <c r="E2974" t="s">
        <v>942</v>
      </c>
      <c r="F2974">
        <v>176.46</v>
      </c>
      <c r="G2974">
        <v>230503</v>
      </c>
      <c r="H2974">
        <v>4572</v>
      </c>
      <c r="I2974" t="s">
        <v>122</v>
      </c>
      <c r="J2974">
        <v>218.81</v>
      </c>
      <c r="K2974">
        <v>42.35</v>
      </c>
      <c r="L2974">
        <v>49801</v>
      </c>
      <c r="M2974" t="s">
        <v>1227</v>
      </c>
      <c r="N2974" t="str">
        <f>"6128577861  "</f>
        <v xml:space="preserve">6128577861  </v>
      </c>
      <c r="O2974">
        <v>230517</v>
      </c>
    </row>
    <row r="2975" spans="1:15" x14ac:dyDescent="0.25">
      <c r="A2975" t="s">
        <v>16</v>
      </c>
      <c r="B2975" t="s">
        <v>3221</v>
      </c>
      <c r="C2975">
        <v>6674</v>
      </c>
      <c r="D2975" t="s">
        <v>941</v>
      </c>
      <c r="E2975" t="s">
        <v>942</v>
      </c>
      <c r="F2975">
        <v>100.58</v>
      </c>
      <c r="G2975">
        <v>230503</v>
      </c>
      <c r="H2975">
        <v>4572</v>
      </c>
      <c r="I2975" t="s">
        <v>122</v>
      </c>
      <c r="J2975">
        <v>124.72</v>
      </c>
      <c r="K2975">
        <v>24.14</v>
      </c>
      <c r="L2975">
        <v>49803</v>
      </c>
      <c r="M2975" t="s">
        <v>1229</v>
      </c>
      <c r="N2975" t="str">
        <f>"6128577861  "</f>
        <v xml:space="preserve">6128577861  </v>
      </c>
      <c r="O2975">
        <v>230517</v>
      </c>
    </row>
    <row r="2976" spans="1:15" x14ac:dyDescent="0.25">
      <c r="A2976" t="s">
        <v>16</v>
      </c>
      <c r="B2976" t="s">
        <v>3221</v>
      </c>
      <c r="C2976">
        <v>6729</v>
      </c>
      <c r="D2976" t="s">
        <v>941</v>
      </c>
      <c r="E2976" t="s">
        <v>942</v>
      </c>
      <c r="F2976">
        <v>2491.86</v>
      </c>
      <c r="G2976">
        <v>230504</v>
      </c>
      <c r="H2976">
        <v>4572</v>
      </c>
      <c r="I2976" t="s">
        <v>122</v>
      </c>
      <c r="J2976">
        <v>3089.91</v>
      </c>
      <c r="K2976">
        <v>598.04999999999995</v>
      </c>
      <c r="L2976">
        <v>49503</v>
      </c>
      <c r="M2976" t="s">
        <v>178</v>
      </c>
      <c r="N2976" t="str">
        <f>"6128692983  "</f>
        <v xml:space="preserve">6128692983  </v>
      </c>
      <c r="O2976">
        <v>230522</v>
      </c>
    </row>
    <row r="2977" spans="1:15" x14ac:dyDescent="0.25">
      <c r="A2977" t="s">
        <v>16</v>
      </c>
      <c r="B2977" t="s">
        <v>3221</v>
      </c>
      <c r="C2977">
        <v>8427</v>
      </c>
      <c r="D2977" t="s">
        <v>941</v>
      </c>
      <c r="E2977" t="s">
        <v>942</v>
      </c>
      <c r="F2977">
        <v>74.099999999999994</v>
      </c>
      <c r="G2977">
        <v>230607</v>
      </c>
      <c r="H2977">
        <v>4572</v>
      </c>
      <c r="I2977" t="s">
        <v>122</v>
      </c>
      <c r="J2977">
        <v>91.88</v>
      </c>
      <c r="K2977">
        <v>17.78</v>
      </c>
      <c r="L2977">
        <v>17952</v>
      </c>
      <c r="M2977" t="s">
        <v>88</v>
      </c>
      <c r="N2977" t="str">
        <f>"6128985085  "</f>
        <v xml:space="preserve">6128985085  </v>
      </c>
      <c r="O2977">
        <v>230608</v>
      </c>
    </row>
    <row r="2978" spans="1:15" x14ac:dyDescent="0.25">
      <c r="A2978" t="s">
        <v>16</v>
      </c>
      <c r="B2978" t="s">
        <v>3221</v>
      </c>
      <c r="C2978">
        <v>8461</v>
      </c>
      <c r="D2978" t="s">
        <v>941</v>
      </c>
      <c r="E2978" t="s">
        <v>942</v>
      </c>
      <c r="F2978">
        <v>183.27</v>
      </c>
      <c r="G2978">
        <v>230606</v>
      </c>
      <c r="H2978">
        <v>4572</v>
      </c>
      <c r="I2978" t="s">
        <v>122</v>
      </c>
      <c r="J2978">
        <v>227.25</v>
      </c>
      <c r="K2978">
        <v>43.98</v>
      </c>
      <c r="L2978">
        <v>17711</v>
      </c>
      <c r="M2978" t="s">
        <v>65</v>
      </c>
      <c r="N2978" t="str">
        <f>"6128972150  "</f>
        <v xml:space="preserve">6128972150  </v>
      </c>
      <c r="O2978">
        <v>230609</v>
      </c>
    </row>
    <row r="2979" spans="1:15" x14ac:dyDescent="0.25">
      <c r="A2979" t="s">
        <v>16</v>
      </c>
      <c r="B2979" t="s">
        <v>3221</v>
      </c>
      <c r="C2979">
        <v>8461</v>
      </c>
      <c r="D2979" t="s">
        <v>941</v>
      </c>
      <c r="E2979" t="s">
        <v>942</v>
      </c>
      <c r="F2979">
        <v>13.78</v>
      </c>
      <c r="G2979">
        <v>230606</v>
      </c>
      <c r="H2979">
        <v>4572</v>
      </c>
      <c r="I2979" t="s">
        <v>122</v>
      </c>
      <c r="J2979">
        <v>17.09</v>
      </c>
      <c r="K2979">
        <v>3.31</v>
      </c>
      <c r="L2979">
        <v>17737</v>
      </c>
      <c r="M2979" t="s">
        <v>279</v>
      </c>
      <c r="N2979" t="str">
        <f>"6128972150  "</f>
        <v xml:space="preserve">6128972150  </v>
      </c>
      <c r="O2979">
        <v>230609</v>
      </c>
    </row>
    <row r="2980" spans="1:15" x14ac:dyDescent="0.25">
      <c r="A2980" t="s">
        <v>16</v>
      </c>
      <c r="B2980" t="s">
        <v>3221</v>
      </c>
      <c r="C2980">
        <v>8461</v>
      </c>
      <c r="D2980" t="s">
        <v>941</v>
      </c>
      <c r="E2980" t="s">
        <v>942</v>
      </c>
      <c r="F2980">
        <v>78.540000000000006</v>
      </c>
      <c r="G2980">
        <v>230606</v>
      </c>
      <c r="H2980">
        <v>4572</v>
      </c>
      <c r="I2980" t="s">
        <v>122</v>
      </c>
      <c r="J2980">
        <v>97.39</v>
      </c>
      <c r="K2980">
        <v>18.850000000000001</v>
      </c>
      <c r="L2980">
        <v>17739</v>
      </c>
      <c r="M2980" t="s">
        <v>374</v>
      </c>
      <c r="N2980" t="str">
        <f>"6128972150  "</f>
        <v xml:space="preserve">6128972150  </v>
      </c>
      <c r="O2980">
        <v>230609</v>
      </c>
    </row>
    <row r="2981" spans="1:15" x14ac:dyDescent="0.25">
      <c r="A2981" t="s">
        <v>16</v>
      </c>
      <c r="B2981" t="s">
        <v>3221</v>
      </c>
      <c r="C2981">
        <v>8462</v>
      </c>
      <c r="D2981" t="s">
        <v>941</v>
      </c>
      <c r="E2981" t="s">
        <v>942</v>
      </c>
      <c r="F2981">
        <v>122.77</v>
      </c>
      <c r="G2981">
        <v>230606</v>
      </c>
      <c r="H2981">
        <v>4572</v>
      </c>
      <c r="I2981" t="s">
        <v>122</v>
      </c>
      <c r="J2981">
        <v>152.24</v>
      </c>
      <c r="K2981">
        <v>29.47</v>
      </c>
      <c r="L2981">
        <v>17739</v>
      </c>
      <c r="M2981" t="s">
        <v>374</v>
      </c>
      <c r="N2981" t="str">
        <f>"6128981137  "</f>
        <v xml:space="preserve">6128981137  </v>
      </c>
      <c r="O2981">
        <v>230609</v>
      </c>
    </row>
    <row r="2982" spans="1:15" x14ac:dyDescent="0.25">
      <c r="A2982" t="s">
        <v>16</v>
      </c>
      <c r="B2982" t="s">
        <v>3221</v>
      </c>
      <c r="C2982">
        <v>8462</v>
      </c>
      <c r="D2982" t="s">
        <v>941</v>
      </c>
      <c r="E2982" t="s">
        <v>942</v>
      </c>
      <c r="F2982">
        <v>368.32</v>
      </c>
      <c r="G2982">
        <v>230606</v>
      </c>
      <c r="H2982">
        <v>4572</v>
      </c>
      <c r="I2982" t="s">
        <v>122</v>
      </c>
      <c r="J2982">
        <v>456.72</v>
      </c>
      <c r="K2982">
        <v>88.4</v>
      </c>
      <c r="L2982">
        <v>17912</v>
      </c>
      <c r="M2982" t="s">
        <v>419</v>
      </c>
      <c r="N2982" t="str">
        <f>"6128981137  "</f>
        <v xml:space="preserve">6128981137  </v>
      </c>
      <c r="O2982">
        <v>230609</v>
      </c>
    </row>
    <row r="2983" spans="1:15" x14ac:dyDescent="0.25">
      <c r="A2983" t="s">
        <v>16</v>
      </c>
      <c r="B2983" t="s">
        <v>3221</v>
      </c>
      <c r="C2983">
        <v>8462</v>
      </c>
      <c r="D2983" t="s">
        <v>941</v>
      </c>
      <c r="E2983" t="s">
        <v>942</v>
      </c>
      <c r="F2983">
        <v>736.64</v>
      </c>
      <c r="G2983">
        <v>230606</v>
      </c>
      <c r="H2983">
        <v>4572</v>
      </c>
      <c r="I2983" t="s">
        <v>122</v>
      </c>
      <c r="J2983">
        <v>913.43</v>
      </c>
      <c r="K2983">
        <v>176.79</v>
      </c>
      <c r="L2983">
        <v>17952</v>
      </c>
      <c r="M2983" t="s">
        <v>88</v>
      </c>
      <c r="N2983" t="str">
        <f>"6128981137  "</f>
        <v xml:space="preserve">6128981137  </v>
      </c>
      <c r="O2983">
        <v>230609</v>
      </c>
    </row>
    <row r="2984" spans="1:15" x14ac:dyDescent="0.25">
      <c r="A2984" t="s">
        <v>16</v>
      </c>
      <c r="B2984" t="s">
        <v>3221</v>
      </c>
      <c r="C2984">
        <v>8551</v>
      </c>
      <c r="D2984" t="s">
        <v>941</v>
      </c>
      <c r="E2984" t="s">
        <v>942</v>
      </c>
      <c r="F2984">
        <v>1489.92</v>
      </c>
      <c r="G2984">
        <v>230606</v>
      </c>
      <c r="H2984">
        <v>4572</v>
      </c>
      <c r="I2984" t="s">
        <v>122</v>
      </c>
      <c r="J2984">
        <v>1847.5</v>
      </c>
      <c r="K2984">
        <v>357.58</v>
      </c>
      <c r="L2984">
        <v>49501</v>
      </c>
      <c r="M2984" t="s">
        <v>177</v>
      </c>
      <c r="N2984" t="str">
        <f>"6128978893  "</f>
        <v xml:space="preserve">6128978893  </v>
      </c>
      <c r="O2984">
        <v>230612</v>
      </c>
    </row>
    <row r="2985" spans="1:15" x14ac:dyDescent="0.25">
      <c r="A2985" t="s">
        <v>16</v>
      </c>
      <c r="B2985" t="s">
        <v>3221</v>
      </c>
      <c r="C2985">
        <v>8551</v>
      </c>
      <c r="D2985" t="s">
        <v>941</v>
      </c>
      <c r="E2985" t="s">
        <v>942</v>
      </c>
      <c r="F2985">
        <v>78.42</v>
      </c>
      <c r="G2985">
        <v>230606</v>
      </c>
      <c r="H2985">
        <v>4572</v>
      </c>
      <c r="I2985" t="s">
        <v>122</v>
      </c>
      <c r="J2985">
        <v>97.24</v>
      </c>
      <c r="K2985">
        <v>18.82</v>
      </c>
      <c r="L2985">
        <v>49801</v>
      </c>
      <c r="M2985" t="s">
        <v>1227</v>
      </c>
      <c r="N2985" t="str">
        <f>"6128978893  "</f>
        <v xml:space="preserve">6128978893  </v>
      </c>
      <c r="O2985">
        <v>230612</v>
      </c>
    </row>
    <row r="2986" spans="1:15" x14ac:dyDescent="0.25">
      <c r="A2986" t="s">
        <v>16</v>
      </c>
      <c r="B2986" t="s">
        <v>3221</v>
      </c>
      <c r="C2986">
        <v>8553</v>
      </c>
      <c r="D2986" t="s">
        <v>941</v>
      </c>
      <c r="E2986" t="s">
        <v>942</v>
      </c>
      <c r="F2986">
        <v>3375.32</v>
      </c>
      <c r="G2986">
        <v>230606</v>
      </c>
      <c r="H2986">
        <v>4572</v>
      </c>
      <c r="I2986" t="s">
        <v>122</v>
      </c>
      <c r="J2986">
        <v>4185.3999999999996</v>
      </c>
      <c r="K2986">
        <v>810.08</v>
      </c>
      <c r="L2986">
        <v>49501</v>
      </c>
      <c r="M2986" t="s">
        <v>177</v>
      </c>
      <c r="N2986" t="str">
        <f>"6128979684  "</f>
        <v xml:space="preserve">6128979684  </v>
      </c>
      <c r="O2986">
        <v>230612</v>
      </c>
    </row>
    <row r="2987" spans="1:15" x14ac:dyDescent="0.25">
      <c r="A2987" t="s">
        <v>16</v>
      </c>
      <c r="B2987" t="s">
        <v>3221</v>
      </c>
      <c r="C2987">
        <v>8553</v>
      </c>
      <c r="D2987" t="s">
        <v>941</v>
      </c>
      <c r="E2987" t="s">
        <v>942</v>
      </c>
      <c r="F2987">
        <v>183.15</v>
      </c>
      <c r="G2987">
        <v>230606</v>
      </c>
      <c r="H2987">
        <v>4572</v>
      </c>
      <c r="I2987" t="s">
        <v>122</v>
      </c>
      <c r="J2987">
        <v>227.1</v>
      </c>
      <c r="K2987">
        <v>43.95</v>
      </c>
      <c r="L2987">
        <v>49801</v>
      </c>
      <c r="M2987" t="s">
        <v>1227</v>
      </c>
      <c r="N2987" t="str">
        <f>"6128979684  "</f>
        <v xml:space="preserve">6128979684  </v>
      </c>
      <c r="O2987">
        <v>230612</v>
      </c>
    </row>
    <row r="2988" spans="1:15" x14ac:dyDescent="0.25">
      <c r="A2988" t="s">
        <v>16</v>
      </c>
      <c r="B2988" t="s">
        <v>3221</v>
      </c>
      <c r="C2988">
        <v>8553</v>
      </c>
      <c r="D2988" t="s">
        <v>941</v>
      </c>
      <c r="E2988" t="s">
        <v>942</v>
      </c>
      <c r="F2988">
        <v>104.4</v>
      </c>
      <c r="G2988">
        <v>230606</v>
      </c>
      <c r="H2988">
        <v>4572</v>
      </c>
      <c r="I2988" t="s">
        <v>122</v>
      </c>
      <c r="J2988">
        <v>129.44999999999999</v>
      </c>
      <c r="K2988">
        <v>25.05</v>
      </c>
      <c r="L2988">
        <v>49803</v>
      </c>
      <c r="M2988" t="s">
        <v>1229</v>
      </c>
      <c r="N2988" t="str">
        <f>"6128979684  "</f>
        <v xml:space="preserve">6128979684  </v>
      </c>
      <c r="O2988">
        <v>230612</v>
      </c>
    </row>
    <row r="2989" spans="1:15" x14ac:dyDescent="0.25">
      <c r="A2989" t="s">
        <v>16</v>
      </c>
      <c r="B2989" t="s">
        <v>3221</v>
      </c>
      <c r="C2989">
        <v>9293</v>
      </c>
      <c r="D2989" t="s">
        <v>941</v>
      </c>
      <c r="E2989" t="s">
        <v>942</v>
      </c>
      <c r="F2989">
        <v>118.98</v>
      </c>
      <c r="G2989">
        <v>230703</v>
      </c>
      <c r="H2989">
        <v>4572</v>
      </c>
      <c r="I2989" t="s">
        <v>122</v>
      </c>
      <c r="J2989">
        <v>147.53</v>
      </c>
      <c r="K2989">
        <v>28.55</v>
      </c>
      <c r="L2989">
        <v>17711</v>
      </c>
      <c r="M2989" t="s">
        <v>65</v>
      </c>
      <c r="N2989" t="str">
        <f>"6129177452  "</f>
        <v xml:space="preserve">6129177452  </v>
      </c>
      <c r="O2989">
        <v>230704</v>
      </c>
    </row>
    <row r="2990" spans="1:15" x14ac:dyDescent="0.25">
      <c r="A2990" t="s">
        <v>16</v>
      </c>
      <c r="B2990" t="s">
        <v>3221</v>
      </c>
      <c r="C2990">
        <v>9293</v>
      </c>
      <c r="D2990" t="s">
        <v>941</v>
      </c>
      <c r="E2990" t="s">
        <v>942</v>
      </c>
      <c r="F2990">
        <v>8.94</v>
      </c>
      <c r="G2990">
        <v>230703</v>
      </c>
      <c r="H2990">
        <v>4572</v>
      </c>
      <c r="I2990" t="s">
        <v>122</v>
      </c>
      <c r="J2990">
        <v>11.09</v>
      </c>
      <c r="K2990">
        <v>2.15</v>
      </c>
      <c r="L2990">
        <v>17737</v>
      </c>
      <c r="M2990" t="s">
        <v>279</v>
      </c>
      <c r="N2990" t="str">
        <f>"6129177452  "</f>
        <v xml:space="preserve">6129177452  </v>
      </c>
      <c r="O2990">
        <v>230704</v>
      </c>
    </row>
    <row r="2991" spans="1:15" x14ac:dyDescent="0.25">
      <c r="A2991" t="s">
        <v>16</v>
      </c>
      <c r="B2991" t="s">
        <v>3221</v>
      </c>
      <c r="C2991">
        <v>9293</v>
      </c>
      <c r="D2991" t="s">
        <v>941</v>
      </c>
      <c r="E2991" t="s">
        <v>942</v>
      </c>
      <c r="F2991">
        <v>50.99</v>
      </c>
      <c r="G2991">
        <v>230703</v>
      </c>
      <c r="H2991">
        <v>4572</v>
      </c>
      <c r="I2991" t="s">
        <v>122</v>
      </c>
      <c r="J2991">
        <v>63.23</v>
      </c>
      <c r="K2991">
        <v>12.24</v>
      </c>
      <c r="L2991">
        <v>17739</v>
      </c>
      <c r="M2991" t="s">
        <v>374</v>
      </c>
      <c r="N2991" t="str">
        <f>"6129177452  "</f>
        <v xml:space="preserve">6129177452  </v>
      </c>
      <c r="O2991">
        <v>230704</v>
      </c>
    </row>
    <row r="2992" spans="1:15" x14ac:dyDescent="0.25">
      <c r="A2992" t="s">
        <v>16</v>
      </c>
      <c r="B2992" t="s">
        <v>3221</v>
      </c>
      <c r="C2992">
        <v>9316</v>
      </c>
      <c r="D2992" t="s">
        <v>941</v>
      </c>
      <c r="E2992" t="s">
        <v>942</v>
      </c>
      <c r="F2992">
        <v>116.53</v>
      </c>
      <c r="G2992">
        <v>230704</v>
      </c>
      <c r="H2992">
        <v>4572</v>
      </c>
      <c r="I2992" t="s">
        <v>122</v>
      </c>
      <c r="J2992">
        <v>144.5</v>
      </c>
      <c r="K2992">
        <v>27.97</v>
      </c>
      <c r="L2992">
        <v>17739</v>
      </c>
      <c r="M2992" t="s">
        <v>374</v>
      </c>
      <c r="N2992" t="str">
        <f>"6129362406  "</f>
        <v xml:space="preserve">6129362406  </v>
      </c>
      <c r="O2992">
        <v>230705</v>
      </c>
    </row>
    <row r="2993" spans="1:15" x14ac:dyDescent="0.25">
      <c r="A2993" t="s">
        <v>16</v>
      </c>
      <c r="B2993" t="s">
        <v>3221</v>
      </c>
      <c r="C2993">
        <v>9316</v>
      </c>
      <c r="D2993" t="s">
        <v>941</v>
      </c>
      <c r="E2993" t="s">
        <v>942</v>
      </c>
      <c r="F2993">
        <v>349.59</v>
      </c>
      <c r="G2993">
        <v>230704</v>
      </c>
      <c r="H2993">
        <v>4572</v>
      </c>
      <c r="I2993" t="s">
        <v>122</v>
      </c>
      <c r="J2993">
        <v>433.49</v>
      </c>
      <c r="K2993">
        <v>83.9</v>
      </c>
      <c r="L2993">
        <v>17912</v>
      </c>
      <c r="M2993" t="s">
        <v>419</v>
      </c>
      <c r="N2993" t="str">
        <f>"6129362406  "</f>
        <v xml:space="preserve">6129362406  </v>
      </c>
      <c r="O2993">
        <v>230705</v>
      </c>
    </row>
    <row r="2994" spans="1:15" x14ac:dyDescent="0.25">
      <c r="A2994" t="s">
        <v>16</v>
      </c>
      <c r="B2994" t="s">
        <v>3221</v>
      </c>
      <c r="C2994">
        <v>9316</v>
      </c>
      <c r="D2994" t="s">
        <v>941</v>
      </c>
      <c r="E2994" t="s">
        <v>942</v>
      </c>
      <c r="F2994">
        <v>699.18</v>
      </c>
      <c r="G2994">
        <v>230704</v>
      </c>
      <c r="H2994">
        <v>4572</v>
      </c>
      <c r="I2994" t="s">
        <v>122</v>
      </c>
      <c r="J2994">
        <v>866.98</v>
      </c>
      <c r="K2994">
        <v>167.8</v>
      </c>
      <c r="L2994">
        <v>17952</v>
      </c>
      <c r="M2994" t="s">
        <v>88</v>
      </c>
      <c r="N2994" t="str">
        <f>"6129362406  "</f>
        <v xml:space="preserve">6129362406  </v>
      </c>
      <c r="O2994">
        <v>230705</v>
      </c>
    </row>
    <row r="2995" spans="1:15" x14ac:dyDescent="0.25">
      <c r="A2995" t="s">
        <v>16</v>
      </c>
      <c r="B2995" t="s">
        <v>3221</v>
      </c>
      <c r="C2995">
        <v>9427</v>
      </c>
      <c r="D2995" t="s">
        <v>941</v>
      </c>
      <c r="E2995" t="s">
        <v>942</v>
      </c>
      <c r="F2995">
        <v>74.099999999999994</v>
      </c>
      <c r="G2995">
        <v>230707</v>
      </c>
      <c r="H2995">
        <v>4572</v>
      </c>
      <c r="I2995" t="s">
        <v>122</v>
      </c>
      <c r="J2995">
        <v>91.88</v>
      </c>
      <c r="K2995">
        <v>17.78</v>
      </c>
      <c r="L2995">
        <v>17952</v>
      </c>
      <c r="M2995" t="s">
        <v>88</v>
      </c>
      <c r="N2995" t="str">
        <f>"6129405433  "</f>
        <v xml:space="preserve">6129405433  </v>
      </c>
      <c r="O2995">
        <v>230710</v>
      </c>
    </row>
    <row r="2996" spans="1:15" x14ac:dyDescent="0.25">
      <c r="A2996" t="s">
        <v>16</v>
      </c>
      <c r="B2996" t="s">
        <v>3221</v>
      </c>
      <c r="C2996">
        <v>9561</v>
      </c>
      <c r="D2996" t="s">
        <v>941</v>
      </c>
      <c r="E2996" t="s">
        <v>942</v>
      </c>
      <c r="F2996">
        <v>1496.44</v>
      </c>
      <c r="G2996">
        <v>230704</v>
      </c>
      <c r="H2996">
        <v>4572</v>
      </c>
      <c r="I2996" t="s">
        <v>122</v>
      </c>
      <c r="J2996">
        <v>1855.59</v>
      </c>
      <c r="K2996">
        <v>359.15</v>
      </c>
      <c r="L2996">
        <v>49503</v>
      </c>
      <c r="M2996" t="s">
        <v>178</v>
      </c>
      <c r="N2996" t="str">
        <f>"6129349340  "</f>
        <v xml:space="preserve">6129349340  </v>
      </c>
      <c r="O2996">
        <v>230717</v>
      </c>
    </row>
    <row r="2997" spans="1:15" x14ac:dyDescent="0.25">
      <c r="A2997" t="s">
        <v>16</v>
      </c>
      <c r="B2997" t="s">
        <v>3221</v>
      </c>
      <c r="C2997">
        <v>9693</v>
      </c>
      <c r="D2997" t="s">
        <v>941</v>
      </c>
      <c r="E2997" t="s">
        <v>942</v>
      </c>
      <c r="F2997">
        <v>2702.73</v>
      </c>
      <c r="G2997">
        <v>230704</v>
      </c>
      <c r="H2997">
        <v>4572</v>
      </c>
      <c r="I2997" t="s">
        <v>122</v>
      </c>
      <c r="J2997">
        <v>3351.38</v>
      </c>
      <c r="K2997">
        <v>648.65</v>
      </c>
      <c r="L2997">
        <v>49501</v>
      </c>
      <c r="M2997" t="s">
        <v>177</v>
      </c>
      <c r="N2997" t="str">
        <f>"6129359640  "</f>
        <v xml:space="preserve">6129359640  </v>
      </c>
      <c r="O2997">
        <v>230719</v>
      </c>
    </row>
    <row r="2998" spans="1:15" x14ac:dyDescent="0.25">
      <c r="A2998" t="s">
        <v>16</v>
      </c>
      <c r="B2998" t="s">
        <v>3221</v>
      </c>
      <c r="C2998">
        <v>9693</v>
      </c>
      <c r="D2998" t="s">
        <v>941</v>
      </c>
      <c r="E2998" t="s">
        <v>942</v>
      </c>
      <c r="F2998">
        <v>142.24</v>
      </c>
      <c r="G2998">
        <v>230704</v>
      </c>
      <c r="H2998">
        <v>4572</v>
      </c>
      <c r="I2998" t="s">
        <v>122</v>
      </c>
      <c r="J2998">
        <v>176.38</v>
      </c>
      <c r="K2998">
        <v>34.14</v>
      </c>
      <c r="L2998">
        <v>49801</v>
      </c>
      <c r="M2998" t="s">
        <v>1227</v>
      </c>
      <c r="N2998" t="str">
        <f>"6129359640  "</f>
        <v xml:space="preserve">6129359640  </v>
      </c>
      <c r="O2998">
        <v>230719</v>
      </c>
    </row>
    <row r="2999" spans="1:15" x14ac:dyDescent="0.25">
      <c r="A2999" t="s">
        <v>16</v>
      </c>
      <c r="B2999" t="s">
        <v>3221</v>
      </c>
      <c r="C2999">
        <v>9694</v>
      </c>
      <c r="D2999" t="s">
        <v>941</v>
      </c>
      <c r="E2999" t="s">
        <v>942</v>
      </c>
      <c r="F2999">
        <v>1260.78</v>
      </c>
      <c r="G2999">
        <v>230704</v>
      </c>
      <c r="H2999">
        <v>4572</v>
      </c>
      <c r="I2999" t="s">
        <v>122</v>
      </c>
      <c r="J2999">
        <v>1563.37</v>
      </c>
      <c r="K2999">
        <v>302.58999999999997</v>
      </c>
      <c r="L2999">
        <v>49501</v>
      </c>
      <c r="M2999" t="s">
        <v>177</v>
      </c>
      <c r="N2999" t="str">
        <f>"6129349447  "</f>
        <v xml:space="preserve">6129349447  </v>
      </c>
      <c r="O2999">
        <v>230719</v>
      </c>
    </row>
    <row r="3000" spans="1:15" x14ac:dyDescent="0.25">
      <c r="A3000" t="s">
        <v>16</v>
      </c>
      <c r="B3000" t="s">
        <v>3221</v>
      </c>
      <c r="C3000">
        <v>9694</v>
      </c>
      <c r="D3000" t="s">
        <v>941</v>
      </c>
      <c r="E3000" t="s">
        <v>942</v>
      </c>
      <c r="F3000">
        <v>66.349999999999994</v>
      </c>
      <c r="G3000">
        <v>230704</v>
      </c>
      <c r="H3000">
        <v>4572</v>
      </c>
      <c r="I3000" t="s">
        <v>122</v>
      </c>
      <c r="J3000">
        <v>82.28</v>
      </c>
      <c r="K3000">
        <v>15.93</v>
      </c>
      <c r="L3000">
        <v>49801</v>
      </c>
      <c r="M3000" t="s">
        <v>1227</v>
      </c>
      <c r="N3000" t="str">
        <f>"6129349447  "</f>
        <v xml:space="preserve">6129349447  </v>
      </c>
      <c r="O3000">
        <v>230719</v>
      </c>
    </row>
    <row r="3001" spans="1:15" x14ac:dyDescent="0.25">
      <c r="A3001" t="s">
        <v>16</v>
      </c>
      <c r="B3001" t="s">
        <v>3221</v>
      </c>
      <c r="C3001">
        <v>9731</v>
      </c>
      <c r="D3001" t="s">
        <v>941</v>
      </c>
      <c r="E3001" t="s">
        <v>942</v>
      </c>
      <c r="F3001">
        <v>42.96</v>
      </c>
      <c r="G3001">
        <v>230703</v>
      </c>
      <c r="H3001">
        <v>4572</v>
      </c>
      <c r="I3001" t="s">
        <v>122</v>
      </c>
      <c r="J3001">
        <v>53.27</v>
      </c>
      <c r="K3001">
        <v>10.31</v>
      </c>
      <c r="L3001">
        <v>13841</v>
      </c>
      <c r="M3001" t="s">
        <v>47</v>
      </c>
      <c r="N3001" t="str">
        <f>"6129324033  "</f>
        <v xml:space="preserve">6129324033  </v>
      </c>
      <c r="O3001">
        <v>230724</v>
      </c>
    </row>
    <row r="3002" spans="1:15" x14ac:dyDescent="0.25">
      <c r="A3002" t="s">
        <v>16</v>
      </c>
      <c r="B3002" t="s">
        <v>3221</v>
      </c>
      <c r="C3002">
        <v>9933</v>
      </c>
      <c r="D3002" t="s">
        <v>941</v>
      </c>
      <c r="E3002" t="s">
        <v>942</v>
      </c>
      <c r="F3002">
        <v>1231.44</v>
      </c>
      <c r="G3002">
        <v>230802</v>
      </c>
      <c r="H3002">
        <v>4572</v>
      </c>
      <c r="I3002" t="s">
        <v>122</v>
      </c>
      <c r="J3002">
        <v>1526.98</v>
      </c>
      <c r="K3002">
        <v>295.54000000000002</v>
      </c>
      <c r="L3002">
        <v>49501</v>
      </c>
      <c r="M3002" t="s">
        <v>177</v>
      </c>
      <c r="N3002" t="str">
        <f>"6129526962  "</f>
        <v xml:space="preserve">6129526962  </v>
      </c>
      <c r="O3002">
        <v>230802</v>
      </c>
    </row>
    <row r="3003" spans="1:15" x14ac:dyDescent="0.25">
      <c r="A3003" t="s">
        <v>16</v>
      </c>
      <c r="B3003" t="s">
        <v>3221</v>
      </c>
      <c r="C3003">
        <v>9933</v>
      </c>
      <c r="D3003" t="s">
        <v>941</v>
      </c>
      <c r="E3003" t="s">
        <v>942</v>
      </c>
      <c r="F3003">
        <v>64.81</v>
      </c>
      <c r="G3003">
        <v>230802</v>
      </c>
      <c r="H3003">
        <v>4572</v>
      </c>
      <c r="I3003" t="s">
        <v>122</v>
      </c>
      <c r="J3003">
        <v>80.37</v>
      </c>
      <c r="K3003">
        <v>15.56</v>
      </c>
      <c r="L3003">
        <v>49801</v>
      </c>
      <c r="M3003" t="s">
        <v>1227</v>
      </c>
      <c r="N3003" t="str">
        <f>"6129526962  "</f>
        <v xml:space="preserve">6129526962  </v>
      </c>
      <c r="O3003">
        <v>230802</v>
      </c>
    </row>
    <row r="3004" spans="1:15" x14ac:dyDescent="0.25">
      <c r="A3004" t="s">
        <v>16</v>
      </c>
      <c r="B3004" t="s">
        <v>3221</v>
      </c>
      <c r="C3004">
        <v>10043</v>
      </c>
      <c r="D3004" t="s">
        <v>941</v>
      </c>
      <c r="E3004" t="s">
        <v>942</v>
      </c>
      <c r="F3004">
        <v>74.099999999999994</v>
      </c>
      <c r="G3004">
        <v>230807</v>
      </c>
      <c r="H3004">
        <v>4572</v>
      </c>
      <c r="I3004" t="s">
        <v>122</v>
      </c>
      <c r="J3004">
        <v>91.88</v>
      </c>
      <c r="K3004">
        <v>17.78</v>
      </c>
      <c r="L3004">
        <v>17952</v>
      </c>
      <c r="M3004" t="s">
        <v>88</v>
      </c>
      <c r="N3004" t="str">
        <f>"6129652871  "</f>
        <v xml:space="preserve">6129652871  </v>
      </c>
      <c r="O3004">
        <v>230807</v>
      </c>
    </row>
    <row r="3005" spans="1:15" x14ac:dyDescent="0.25">
      <c r="A3005" t="s">
        <v>16</v>
      </c>
      <c r="B3005" t="s">
        <v>3221</v>
      </c>
      <c r="C3005">
        <v>10093</v>
      </c>
      <c r="D3005" t="s">
        <v>941</v>
      </c>
      <c r="E3005" t="s">
        <v>942</v>
      </c>
      <c r="F3005">
        <v>7.18</v>
      </c>
      <c r="G3005">
        <v>230802</v>
      </c>
      <c r="H3005">
        <v>4572</v>
      </c>
      <c r="I3005" t="s">
        <v>122</v>
      </c>
      <c r="J3005">
        <v>8.9</v>
      </c>
      <c r="K3005">
        <v>1.72</v>
      </c>
      <c r="L3005">
        <v>17737</v>
      </c>
      <c r="M3005" t="s">
        <v>279</v>
      </c>
      <c r="N3005" t="str">
        <f>"6129552419  "</f>
        <v xml:space="preserve">6129552419  </v>
      </c>
      <c r="O3005">
        <v>230808</v>
      </c>
    </row>
    <row r="3006" spans="1:15" x14ac:dyDescent="0.25">
      <c r="A3006" t="s">
        <v>16</v>
      </c>
      <c r="B3006" t="s">
        <v>3221</v>
      </c>
      <c r="C3006">
        <v>10093</v>
      </c>
      <c r="D3006" t="s">
        <v>941</v>
      </c>
      <c r="E3006" t="s">
        <v>942</v>
      </c>
      <c r="F3006">
        <v>95.45</v>
      </c>
      <c r="G3006">
        <v>230802</v>
      </c>
      <c r="H3006">
        <v>4572</v>
      </c>
      <c r="I3006" t="s">
        <v>122</v>
      </c>
      <c r="J3006">
        <v>118.36</v>
      </c>
      <c r="K3006">
        <v>22.91</v>
      </c>
      <c r="L3006">
        <v>17737</v>
      </c>
      <c r="M3006" t="s">
        <v>279</v>
      </c>
      <c r="N3006" t="str">
        <f>"6129552419  "</f>
        <v xml:space="preserve">6129552419  </v>
      </c>
      <c r="O3006">
        <v>230808</v>
      </c>
    </row>
    <row r="3007" spans="1:15" x14ac:dyDescent="0.25">
      <c r="A3007" t="s">
        <v>16</v>
      </c>
      <c r="B3007" t="s">
        <v>3221</v>
      </c>
      <c r="C3007">
        <v>10093</v>
      </c>
      <c r="D3007" t="s">
        <v>941</v>
      </c>
      <c r="E3007" t="s">
        <v>942</v>
      </c>
      <c r="F3007">
        <v>40.9</v>
      </c>
      <c r="G3007">
        <v>230802</v>
      </c>
      <c r="H3007">
        <v>4572</v>
      </c>
      <c r="I3007" t="s">
        <v>122</v>
      </c>
      <c r="J3007">
        <v>50.72</v>
      </c>
      <c r="K3007">
        <v>9.82</v>
      </c>
      <c r="L3007">
        <v>17739</v>
      </c>
      <c r="M3007" t="s">
        <v>374</v>
      </c>
      <c r="N3007" t="str">
        <f>"6129552419  "</f>
        <v xml:space="preserve">6129552419  </v>
      </c>
      <c r="O3007">
        <v>230808</v>
      </c>
    </row>
    <row r="3008" spans="1:15" x14ac:dyDescent="0.25">
      <c r="A3008" t="s">
        <v>16</v>
      </c>
      <c r="B3008" t="s">
        <v>3221</v>
      </c>
      <c r="C3008">
        <v>10102</v>
      </c>
      <c r="D3008" t="s">
        <v>941</v>
      </c>
      <c r="E3008" t="s">
        <v>942</v>
      </c>
      <c r="F3008">
        <v>2481.64</v>
      </c>
      <c r="G3008">
        <v>230803</v>
      </c>
      <c r="H3008">
        <v>4572</v>
      </c>
      <c r="I3008" t="s">
        <v>122</v>
      </c>
      <c r="J3008">
        <v>3077.23</v>
      </c>
      <c r="K3008">
        <v>595.59</v>
      </c>
      <c r="L3008">
        <v>49501</v>
      </c>
      <c r="M3008" t="s">
        <v>177</v>
      </c>
      <c r="N3008" t="str">
        <f>"6129649773  "</f>
        <v xml:space="preserve">6129649773  </v>
      </c>
      <c r="O3008">
        <v>230808</v>
      </c>
    </row>
    <row r="3009" spans="1:15" x14ac:dyDescent="0.25">
      <c r="A3009" t="s">
        <v>16</v>
      </c>
      <c r="B3009" t="s">
        <v>3221</v>
      </c>
      <c r="C3009">
        <v>10102</v>
      </c>
      <c r="D3009" t="s">
        <v>941</v>
      </c>
      <c r="E3009" t="s">
        <v>942</v>
      </c>
      <c r="F3009">
        <v>134.65</v>
      </c>
      <c r="G3009">
        <v>230803</v>
      </c>
      <c r="H3009">
        <v>4572</v>
      </c>
      <c r="I3009" t="s">
        <v>122</v>
      </c>
      <c r="J3009">
        <v>166.97</v>
      </c>
      <c r="K3009">
        <v>32.32</v>
      </c>
      <c r="L3009">
        <v>49801</v>
      </c>
      <c r="M3009" t="s">
        <v>1227</v>
      </c>
      <c r="N3009" t="str">
        <f>"6129649773  "</f>
        <v xml:space="preserve">6129649773  </v>
      </c>
      <c r="O3009">
        <v>230808</v>
      </c>
    </row>
    <row r="3010" spans="1:15" x14ac:dyDescent="0.25">
      <c r="A3010" t="s">
        <v>16</v>
      </c>
      <c r="B3010" t="s">
        <v>3221</v>
      </c>
      <c r="C3010">
        <v>10102</v>
      </c>
      <c r="D3010" t="s">
        <v>941</v>
      </c>
      <c r="E3010" t="s">
        <v>942</v>
      </c>
      <c r="F3010">
        <v>76.75</v>
      </c>
      <c r="G3010">
        <v>230803</v>
      </c>
      <c r="H3010">
        <v>4572</v>
      </c>
      <c r="I3010" t="s">
        <v>122</v>
      </c>
      <c r="J3010">
        <v>95.17</v>
      </c>
      <c r="K3010">
        <v>18.420000000000002</v>
      </c>
      <c r="L3010">
        <v>49803</v>
      </c>
      <c r="M3010" t="s">
        <v>1229</v>
      </c>
      <c r="N3010" t="str">
        <f>"6129649773  "</f>
        <v xml:space="preserve">6129649773  </v>
      </c>
      <c r="O3010">
        <v>230808</v>
      </c>
    </row>
    <row r="3011" spans="1:15" x14ac:dyDescent="0.25">
      <c r="A3011" t="s">
        <v>16</v>
      </c>
      <c r="B3011" t="s">
        <v>3221</v>
      </c>
      <c r="C3011">
        <v>10165</v>
      </c>
      <c r="D3011" t="s">
        <v>941</v>
      </c>
      <c r="E3011" t="s">
        <v>942</v>
      </c>
      <c r="F3011">
        <v>109.19</v>
      </c>
      <c r="G3011">
        <v>230803</v>
      </c>
      <c r="H3011">
        <v>4572</v>
      </c>
      <c r="I3011" t="s">
        <v>122</v>
      </c>
      <c r="J3011">
        <v>135.38999999999999</v>
      </c>
      <c r="K3011">
        <v>26.2</v>
      </c>
      <c r="L3011">
        <v>17739</v>
      </c>
      <c r="M3011" t="s">
        <v>374</v>
      </c>
      <c r="N3011" t="str">
        <f>"6129580003  "</f>
        <v xml:space="preserve">6129580003  </v>
      </c>
      <c r="O3011">
        <v>230809</v>
      </c>
    </row>
    <row r="3012" spans="1:15" x14ac:dyDescent="0.25">
      <c r="A3012" t="s">
        <v>16</v>
      </c>
      <c r="B3012" t="s">
        <v>3221</v>
      </c>
      <c r="C3012">
        <v>10165</v>
      </c>
      <c r="D3012" t="s">
        <v>941</v>
      </c>
      <c r="E3012" t="s">
        <v>942</v>
      </c>
      <c r="F3012">
        <v>327.55</v>
      </c>
      <c r="G3012">
        <v>230803</v>
      </c>
      <c r="H3012">
        <v>4572</v>
      </c>
      <c r="I3012" t="s">
        <v>122</v>
      </c>
      <c r="J3012">
        <v>406.16</v>
      </c>
      <c r="K3012">
        <v>78.61</v>
      </c>
      <c r="L3012">
        <v>17912</v>
      </c>
      <c r="M3012" t="s">
        <v>419</v>
      </c>
      <c r="N3012" t="str">
        <f>"6129580003  "</f>
        <v xml:space="preserve">6129580003  </v>
      </c>
      <c r="O3012">
        <v>230809</v>
      </c>
    </row>
    <row r="3013" spans="1:15" x14ac:dyDescent="0.25">
      <c r="A3013" t="s">
        <v>16</v>
      </c>
      <c r="B3013" t="s">
        <v>3221</v>
      </c>
      <c r="C3013">
        <v>10165</v>
      </c>
      <c r="D3013" t="s">
        <v>941</v>
      </c>
      <c r="E3013" t="s">
        <v>942</v>
      </c>
      <c r="F3013">
        <v>655.1</v>
      </c>
      <c r="G3013">
        <v>230803</v>
      </c>
      <c r="H3013">
        <v>4572</v>
      </c>
      <c r="I3013" t="s">
        <v>122</v>
      </c>
      <c r="J3013">
        <v>812.32</v>
      </c>
      <c r="K3013">
        <v>157.22</v>
      </c>
      <c r="L3013">
        <v>17952</v>
      </c>
      <c r="M3013" t="s">
        <v>88</v>
      </c>
      <c r="N3013" t="str">
        <f>"6129580003  "</f>
        <v xml:space="preserve">6129580003  </v>
      </c>
      <c r="O3013">
        <v>230809</v>
      </c>
    </row>
    <row r="3014" spans="1:15" x14ac:dyDescent="0.25">
      <c r="A3014" t="s">
        <v>16</v>
      </c>
      <c r="B3014" t="s">
        <v>3221</v>
      </c>
      <c r="C3014">
        <v>11440</v>
      </c>
      <c r="D3014" t="s">
        <v>941</v>
      </c>
      <c r="E3014" t="s">
        <v>942</v>
      </c>
      <c r="F3014">
        <v>112.39</v>
      </c>
      <c r="G3014">
        <v>230904</v>
      </c>
      <c r="H3014">
        <v>4572</v>
      </c>
      <c r="I3014" t="s">
        <v>122</v>
      </c>
      <c r="J3014">
        <v>139.36000000000001</v>
      </c>
      <c r="K3014">
        <v>26.97</v>
      </c>
      <c r="L3014">
        <v>17711</v>
      </c>
      <c r="M3014" t="s">
        <v>65</v>
      </c>
      <c r="N3014" t="str">
        <f>"6129771229  "</f>
        <v xml:space="preserve">6129771229  </v>
      </c>
      <c r="O3014">
        <v>230905</v>
      </c>
    </row>
    <row r="3015" spans="1:15" x14ac:dyDescent="0.25">
      <c r="A3015" t="s">
        <v>16</v>
      </c>
      <c r="B3015" t="s">
        <v>3221</v>
      </c>
      <c r="C3015">
        <v>11440</v>
      </c>
      <c r="D3015" t="s">
        <v>941</v>
      </c>
      <c r="E3015" t="s">
        <v>942</v>
      </c>
      <c r="F3015">
        <v>8.4499999999999993</v>
      </c>
      <c r="G3015">
        <v>230904</v>
      </c>
      <c r="H3015">
        <v>4572</v>
      </c>
      <c r="I3015" t="s">
        <v>122</v>
      </c>
      <c r="J3015">
        <v>10.48</v>
      </c>
      <c r="K3015">
        <v>2.0299999999999998</v>
      </c>
      <c r="L3015">
        <v>17737</v>
      </c>
      <c r="M3015" t="s">
        <v>279</v>
      </c>
      <c r="N3015" t="str">
        <f>"6129771229  "</f>
        <v xml:space="preserve">6129771229  </v>
      </c>
      <c r="O3015">
        <v>230905</v>
      </c>
    </row>
    <row r="3016" spans="1:15" x14ac:dyDescent="0.25">
      <c r="A3016" t="s">
        <v>16</v>
      </c>
      <c r="B3016" t="s">
        <v>3221</v>
      </c>
      <c r="C3016">
        <v>11440</v>
      </c>
      <c r="D3016" t="s">
        <v>941</v>
      </c>
      <c r="E3016" t="s">
        <v>942</v>
      </c>
      <c r="F3016">
        <v>48.17</v>
      </c>
      <c r="G3016">
        <v>230904</v>
      </c>
      <c r="H3016">
        <v>4572</v>
      </c>
      <c r="I3016" t="s">
        <v>122</v>
      </c>
      <c r="J3016">
        <v>59.73</v>
      </c>
      <c r="K3016">
        <v>11.56</v>
      </c>
      <c r="L3016">
        <v>17739</v>
      </c>
      <c r="M3016" t="s">
        <v>374</v>
      </c>
      <c r="N3016" t="str">
        <f>"6129771229  "</f>
        <v xml:space="preserve">6129771229  </v>
      </c>
      <c r="O3016">
        <v>230905</v>
      </c>
    </row>
    <row r="3017" spans="1:15" x14ac:dyDescent="0.25">
      <c r="A3017" t="s">
        <v>16</v>
      </c>
      <c r="B3017" t="s">
        <v>3221</v>
      </c>
      <c r="C3017">
        <v>11441</v>
      </c>
      <c r="D3017" t="s">
        <v>941</v>
      </c>
      <c r="E3017" t="s">
        <v>942</v>
      </c>
      <c r="F3017">
        <v>122.44</v>
      </c>
      <c r="G3017">
        <v>230904</v>
      </c>
      <c r="H3017">
        <v>4572</v>
      </c>
      <c r="I3017" t="s">
        <v>122</v>
      </c>
      <c r="J3017">
        <v>151.82</v>
      </c>
      <c r="K3017">
        <v>29.38</v>
      </c>
      <c r="L3017">
        <v>17739</v>
      </c>
      <c r="M3017" t="s">
        <v>374</v>
      </c>
      <c r="N3017" t="str">
        <f>"6130048218  "</f>
        <v xml:space="preserve">6130048218  </v>
      </c>
      <c r="O3017">
        <v>230905</v>
      </c>
    </row>
    <row r="3018" spans="1:15" x14ac:dyDescent="0.25">
      <c r="A3018" t="s">
        <v>16</v>
      </c>
      <c r="B3018" t="s">
        <v>3221</v>
      </c>
      <c r="C3018">
        <v>11441</v>
      </c>
      <c r="D3018" t="s">
        <v>941</v>
      </c>
      <c r="E3018" t="s">
        <v>942</v>
      </c>
      <c r="F3018">
        <v>367.31</v>
      </c>
      <c r="G3018">
        <v>230904</v>
      </c>
      <c r="H3018">
        <v>4572</v>
      </c>
      <c r="I3018" t="s">
        <v>122</v>
      </c>
      <c r="J3018">
        <v>455.46</v>
      </c>
      <c r="K3018">
        <v>88.15</v>
      </c>
      <c r="L3018">
        <v>17912</v>
      </c>
      <c r="M3018" t="s">
        <v>419</v>
      </c>
      <c r="N3018" t="str">
        <f>"6130048218  "</f>
        <v xml:space="preserve">6130048218  </v>
      </c>
      <c r="O3018">
        <v>230905</v>
      </c>
    </row>
    <row r="3019" spans="1:15" x14ac:dyDescent="0.25">
      <c r="A3019" t="s">
        <v>16</v>
      </c>
      <c r="B3019" t="s">
        <v>3221</v>
      </c>
      <c r="C3019">
        <v>11441</v>
      </c>
      <c r="D3019" t="s">
        <v>941</v>
      </c>
      <c r="E3019" t="s">
        <v>942</v>
      </c>
      <c r="F3019">
        <v>734.6</v>
      </c>
      <c r="G3019">
        <v>230904</v>
      </c>
      <c r="H3019">
        <v>4572</v>
      </c>
      <c r="I3019" t="s">
        <v>122</v>
      </c>
      <c r="J3019">
        <v>910.91</v>
      </c>
      <c r="K3019">
        <v>176.31</v>
      </c>
      <c r="L3019">
        <v>17952</v>
      </c>
      <c r="M3019" t="s">
        <v>88</v>
      </c>
      <c r="N3019" t="str">
        <f>"6130048218  "</f>
        <v xml:space="preserve">6130048218  </v>
      </c>
      <c r="O3019">
        <v>230905</v>
      </c>
    </row>
    <row r="3020" spans="1:15" x14ac:dyDescent="0.25">
      <c r="A3020" t="s">
        <v>16</v>
      </c>
      <c r="B3020" t="s">
        <v>3221</v>
      </c>
      <c r="C3020">
        <v>11539</v>
      </c>
      <c r="D3020" t="s">
        <v>941</v>
      </c>
      <c r="E3020" t="s">
        <v>942</v>
      </c>
      <c r="F3020">
        <v>42.42</v>
      </c>
      <c r="G3020">
        <v>230904</v>
      </c>
      <c r="H3020">
        <v>4572</v>
      </c>
      <c r="I3020" t="s">
        <v>122</v>
      </c>
      <c r="J3020">
        <v>52.6</v>
      </c>
      <c r="K3020">
        <v>10.18</v>
      </c>
      <c r="L3020">
        <v>13841</v>
      </c>
      <c r="M3020" t="s">
        <v>47</v>
      </c>
      <c r="N3020" t="str">
        <f>"6129883616  "</f>
        <v xml:space="preserve">6129883616  </v>
      </c>
      <c r="O3020">
        <v>230907</v>
      </c>
    </row>
    <row r="3021" spans="1:15" x14ac:dyDescent="0.25">
      <c r="A3021" t="s">
        <v>16</v>
      </c>
      <c r="B3021" t="s">
        <v>3221</v>
      </c>
      <c r="C3021">
        <v>11647</v>
      </c>
      <c r="D3021" t="s">
        <v>941</v>
      </c>
      <c r="E3021" t="s">
        <v>942</v>
      </c>
      <c r="F3021">
        <v>74.099999999999994</v>
      </c>
      <c r="G3021">
        <v>230907</v>
      </c>
      <c r="H3021">
        <v>4572</v>
      </c>
      <c r="I3021" t="s">
        <v>122</v>
      </c>
      <c r="J3021">
        <v>91.88</v>
      </c>
      <c r="K3021">
        <v>17.78</v>
      </c>
      <c r="L3021">
        <v>17952</v>
      </c>
      <c r="M3021" t="s">
        <v>88</v>
      </c>
      <c r="N3021" t="str">
        <f>"6130080357  "</f>
        <v xml:space="preserve">6130080357  </v>
      </c>
      <c r="O3021">
        <v>230907</v>
      </c>
    </row>
    <row r="3022" spans="1:15" x14ac:dyDescent="0.25">
      <c r="A3022" t="s">
        <v>16</v>
      </c>
      <c r="B3022" t="s">
        <v>3221</v>
      </c>
      <c r="C3022">
        <v>12249</v>
      </c>
      <c r="D3022" t="s">
        <v>941</v>
      </c>
      <c r="E3022" t="s">
        <v>942</v>
      </c>
      <c r="F3022">
        <v>1309.6199999999999</v>
      </c>
      <c r="G3022">
        <v>230904</v>
      </c>
      <c r="H3022">
        <v>4572</v>
      </c>
      <c r="I3022" t="s">
        <v>122</v>
      </c>
      <c r="J3022">
        <v>1623.93</v>
      </c>
      <c r="K3022">
        <v>314.31</v>
      </c>
      <c r="L3022">
        <v>49503</v>
      </c>
      <c r="M3022" t="s">
        <v>178</v>
      </c>
      <c r="N3022" t="str">
        <f>"6130046624  "</f>
        <v xml:space="preserve">6130046624  </v>
      </c>
      <c r="O3022">
        <v>230918</v>
      </c>
    </row>
    <row r="3023" spans="1:15" x14ac:dyDescent="0.25">
      <c r="A3023" t="s">
        <v>16</v>
      </c>
      <c r="B3023" t="s">
        <v>3221</v>
      </c>
      <c r="C3023">
        <v>12251</v>
      </c>
      <c r="D3023" t="s">
        <v>941</v>
      </c>
      <c r="E3023" t="s">
        <v>942</v>
      </c>
      <c r="F3023">
        <v>1440.95</v>
      </c>
      <c r="G3023">
        <v>230904</v>
      </c>
      <c r="H3023">
        <v>4572</v>
      </c>
      <c r="I3023" t="s">
        <v>122</v>
      </c>
      <c r="J3023">
        <v>1786.78</v>
      </c>
      <c r="K3023">
        <v>345.83</v>
      </c>
      <c r="L3023">
        <v>49501</v>
      </c>
      <c r="M3023" t="s">
        <v>177</v>
      </c>
      <c r="N3023" t="str">
        <f>"6130046422  "</f>
        <v xml:space="preserve">6130046422  </v>
      </c>
      <c r="O3023">
        <v>230918</v>
      </c>
    </row>
    <row r="3024" spans="1:15" x14ac:dyDescent="0.25">
      <c r="A3024" t="s">
        <v>16</v>
      </c>
      <c r="B3024" t="s">
        <v>3221</v>
      </c>
      <c r="C3024">
        <v>12251</v>
      </c>
      <c r="D3024" t="s">
        <v>941</v>
      </c>
      <c r="E3024" t="s">
        <v>942</v>
      </c>
      <c r="F3024">
        <v>75.84</v>
      </c>
      <c r="G3024">
        <v>230904</v>
      </c>
      <c r="H3024">
        <v>4572</v>
      </c>
      <c r="I3024" t="s">
        <v>122</v>
      </c>
      <c r="J3024">
        <v>94.04</v>
      </c>
      <c r="K3024">
        <v>18.2</v>
      </c>
      <c r="L3024">
        <v>49801</v>
      </c>
      <c r="M3024" t="s">
        <v>1227</v>
      </c>
      <c r="N3024" t="str">
        <f>"6130046422  "</f>
        <v xml:space="preserve">6130046422  </v>
      </c>
      <c r="O3024">
        <v>230918</v>
      </c>
    </row>
    <row r="3025" spans="1:15" x14ac:dyDescent="0.25">
      <c r="A3025" t="s">
        <v>16</v>
      </c>
      <c r="B3025" t="s">
        <v>3221</v>
      </c>
      <c r="C3025">
        <v>12252</v>
      </c>
      <c r="D3025" t="s">
        <v>941</v>
      </c>
      <c r="E3025" t="s">
        <v>942</v>
      </c>
      <c r="F3025">
        <v>3396.85</v>
      </c>
      <c r="G3025">
        <v>230904</v>
      </c>
      <c r="H3025">
        <v>4572</v>
      </c>
      <c r="I3025" t="s">
        <v>122</v>
      </c>
      <c r="J3025">
        <v>4212.09</v>
      </c>
      <c r="K3025">
        <v>815.24</v>
      </c>
      <c r="L3025">
        <v>49501</v>
      </c>
      <c r="M3025" t="s">
        <v>177</v>
      </c>
      <c r="N3025" t="str">
        <f>"6130046370  "</f>
        <v xml:space="preserve">6130046370  </v>
      </c>
      <c r="O3025">
        <v>230918</v>
      </c>
    </row>
    <row r="3026" spans="1:15" x14ac:dyDescent="0.25">
      <c r="A3026" t="s">
        <v>16</v>
      </c>
      <c r="B3026" t="s">
        <v>3221</v>
      </c>
      <c r="C3026">
        <v>12252</v>
      </c>
      <c r="D3026" t="s">
        <v>941</v>
      </c>
      <c r="E3026" t="s">
        <v>942</v>
      </c>
      <c r="F3026">
        <v>184.31</v>
      </c>
      <c r="G3026">
        <v>230904</v>
      </c>
      <c r="H3026">
        <v>4572</v>
      </c>
      <c r="I3026" t="s">
        <v>122</v>
      </c>
      <c r="J3026">
        <v>228.55</v>
      </c>
      <c r="K3026">
        <v>44.24</v>
      </c>
      <c r="L3026">
        <v>49801</v>
      </c>
      <c r="M3026" t="s">
        <v>1227</v>
      </c>
      <c r="N3026" t="str">
        <f>"6130046370  "</f>
        <v xml:space="preserve">6130046370  </v>
      </c>
      <c r="O3026">
        <v>230918</v>
      </c>
    </row>
    <row r="3027" spans="1:15" x14ac:dyDescent="0.25">
      <c r="A3027" t="s">
        <v>16</v>
      </c>
      <c r="B3027" t="s">
        <v>3221</v>
      </c>
      <c r="C3027">
        <v>12252</v>
      </c>
      <c r="D3027" t="s">
        <v>941</v>
      </c>
      <c r="E3027" t="s">
        <v>942</v>
      </c>
      <c r="F3027">
        <v>105.06</v>
      </c>
      <c r="G3027">
        <v>230904</v>
      </c>
      <c r="H3027">
        <v>4572</v>
      </c>
      <c r="I3027" t="s">
        <v>122</v>
      </c>
      <c r="J3027">
        <v>130.27000000000001</v>
      </c>
      <c r="K3027">
        <v>25.21</v>
      </c>
      <c r="L3027">
        <v>49803</v>
      </c>
      <c r="M3027" t="s">
        <v>1229</v>
      </c>
      <c r="N3027" t="str">
        <f>"6130046370  "</f>
        <v xml:space="preserve">6130046370  </v>
      </c>
      <c r="O3027">
        <v>230918</v>
      </c>
    </row>
    <row r="3028" spans="1:15" x14ac:dyDescent="0.25">
      <c r="A3028" t="s">
        <v>16</v>
      </c>
      <c r="B3028" t="s">
        <v>3221</v>
      </c>
      <c r="C3028">
        <v>13320</v>
      </c>
      <c r="D3028" t="s">
        <v>941</v>
      </c>
      <c r="E3028" t="s">
        <v>942</v>
      </c>
      <c r="F3028">
        <v>98</v>
      </c>
      <c r="G3028">
        <v>231003</v>
      </c>
      <c r="H3028">
        <v>4572</v>
      </c>
      <c r="I3028" t="s">
        <v>122</v>
      </c>
      <c r="J3028">
        <v>121.52</v>
      </c>
      <c r="K3028">
        <v>23.52</v>
      </c>
      <c r="L3028">
        <v>17739</v>
      </c>
      <c r="M3028" t="s">
        <v>374</v>
      </c>
      <c r="N3028" t="str">
        <f>"6130268248  "</f>
        <v xml:space="preserve">6130268248  </v>
      </c>
      <c r="O3028">
        <v>231009</v>
      </c>
    </row>
    <row r="3029" spans="1:15" x14ac:dyDescent="0.25">
      <c r="A3029" t="s">
        <v>16</v>
      </c>
      <c r="B3029" t="s">
        <v>3221</v>
      </c>
      <c r="C3029">
        <v>13320</v>
      </c>
      <c r="D3029" t="s">
        <v>941</v>
      </c>
      <c r="E3029" t="s">
        <v>942</v>
      </c>
      <c r="F3029">
        <v>294.01</v>
      </c>
      <c r="G3029">
        <v>231003</v>
      </c>
      <c r="H3029">
        <v>4572</v>
      </c>
      <c r="I3029" t="s">
        <v>122</v>
      </c>
      <c r="J3029">
        <v>364.57</v>
      </c>
      <c r="K3029">
        <v>70.56</v>
      </c>
      <c r="L3029">
        <v>17912</v>
      </c>
      <c r="M3029" t="s">
        <v>419</v>
      </c>
      <c r="N3029" t="str">
        <f>"6130268248  "</f>
        <v xml:space="preserve">6130268248  </v>
      </c>
      <c r="O3029">
        <v>231009</v>
      </c>
    </row>
    <row r="3030" spans="1:15" x14ac:dyDescent="0.25">
      <c r="A3030" t="s">
        <v>16</v>
      </c>
      <c r="B3030" t="s">
        <v>3221</v>
      </c>
      <c r="C3030">
        <v>13320</v>
      </c>
      <c r="D3030" t="s">
        <v>941</v>
      </c>
      <c r="E3030" t="s">
        <v>942</v>
      </c>
      <c r="F3030">
        <v>588.02</v>
      </c>
      <c r="G3030">
        <v>231003</v>
      </c>
      <c r="H3030">
        <v>4572</v>
      </c>
      <c r="I3030" t="s">
        <v>122</v>
      </c>
      <c r="J3030">
        <v>729.14</v>
      </c>
      <c r="K3030">
        <v>141.12</v>
      </c>
      <c r="L3030">
        <v>17952</v>
      </c>
      <c r="M3030" t="s">
        <v>88</v>
      </c>
      <c r="N3030" t="str">
        <f>"6130268248  "</f>
        <v xml:space="preserve">6130268248  </v>
      </c>
      <c r="O3030">
        <v>231009</v>
      </c>
    </row>
    <row r="3031" spans="1:15" x14ac:dyDescent="0.25">
      <c r="A3031" t="s">
        <v>16</v>
      </c>
      <c r="B3031" t="s">
        <v>3221</v>
      </c>
      <c r="C3031">
        <v>13324</v>
      </c>
      <c r="D3031" t="s">
        <v>941</v>
      </c>
      <c r="E3031" t="s">
        <v>942</v>
      </c>
      <c r="F3031">
        <v>3488.29</v>
      </c>
      <c r="G3031">
        <v>231003</v>
      </c>
      <c r="H3031">
        <v>4572</v>
      </c>
      <c r="I3031" t="s">
        <v>122</v>
      </c>
      <c r="J3031">
        <v>4325.4799999999996</v>
      </c>
      <c r="K3031">
        <v>837.19</v>
      </c>
      <c r="L3031">
        <v>49501</v>
      </c>
      <c r="M3031" t="s">
        <v>177</v>
      </c>
      <c r="N3031" t="str">
        <f>"6130297208  "</f>
        <v xml:space="preserve">6130297208  </v>
      </c>
      <c r="O3031">
        <v>231009</v>
      </c>
    </row>
    <row r="3032" spans="1:15" x14ac:dyDescent="0.25">
      <c r="A3032" t="s">
        <v>16</v>
      </c>
      <c r="B3032" t="s">
        <v>3221</v>
      </c>
      <c r="C3032">
        <v>13324</v>
      </c>
      <c r="D3032" t="s">
        <v>941</v>
      </c>
      <c r="E3032" t="s">
        <v>942</v>
      </c>
      <c r="F3032">
        <v>189.27</v>
      </c>
      <c r="G3032">
        <v>231003</v>
      </c>
      <c r="H3032">
        <v>4572</v>
      </c>
      <c r="I3032" t="s">
        <v>122</v>
      </c>
      <c r="J3032">
        <v>234.7</v>
      </c>
      <c r="K3032">
        <v>45.43</v>
      </c>
      <c r="L3032">
        <v>49801</v>
      </c>
      <c r="M3032" t="s">
        <v>1227</v>
      </c>
      <c r="N3032" t="str">
        <f>"6130297208  "</f>
        <v xml:space="preserve">6130297208  </v>
      </c>
      <c r="O3032">
        <v>231009</v>
      </c>
    </row>
    <row r="3033" spans="1:15" x14ac:dyDescent="0.25">
      <c r="A3033" t="s">
        <v>16</v>
      </c>
      <c r="B3033" t="s">
        <v>3221</v>
      </c>
      <c r="C3033">
        <v>13324</v>
      </c>
      <c r="D3033" t="s">
        <v>941</v>
      </c>
      <c r="E3033" t="s">
        <v>942</v>
      </c>
      <c r="F3033">
        <v>107.89</v>
      </c>
      <c r="G3033">
        <v>231003</v>
      </c>
      <c r="H3033">
        <v>4572</v>
      </c>
      <c r="I3033" t="s">
        <v>122</v>
      </c>
      <c r="J3033">
        <v>133.78</v>
      </c>
      <c r="K3033">
        <v>25.89</v>
      </c>
      <c r="L3033">
        <v>49803</v>
      </c>
      <c r="M3033" t="s">
        <v>1229</v>
      </c>
      <c r="N3033" t="str">
        <f>"6130297208  "</f>
        <v xml:space="preserve">6130297208  </v>
      </c>
      <c r="O3033">
        <v>231009</v>
      </c>
    </row>
    <row r="3034" spans="1:15" x14ac:dyDescent="0.25">
      <c r="A3034" t="s">
        <v>16</v>
      </c>
      <c r="B3034" t="s">
        <v>3221</v>
      </c>
      <c r="C3034">
        <v>13426</v>
      </c>
      <c r="D3034" t="s">
        <v>941</v>
      </c>
      <c r="E3034" t="s">
        <v>942</v>
      </c>
      <c r="F3034">
        <v>106.31</v>
      </c>
      <c r="G3034">
        <v>231002</v>
      </c>
      <c r="H3034">
        <v>4572</v>
      </c>
      <c r="I3034" t="s">
        <v>122</v>
      </c>
      <c r="J3034">
        <v>131.83000000000001</v>
      </c>
      <c r="K3034">
        <v>25.52</v>
      </c>
      <c r="L3034">
        <v>17711</v>
      </c>
      <c r="M3034" t="s">
        <v>65</v>
      </c>
      <c r="N3034" t="str">
        <f>"6130216273  "</f>
        <v xml:space="preserve">6130216273  </v>
      </c>
      <c r="O3034">
        <v>231010</v>
      </c>
    </row>
    <row r="3035" spans="1:15" x14ac:dyDescent="0.25">
      <c r="A3035" t="s">
        <v>16</v>
      </c>
      <c r="B3035" t="s">
        <v>3221</v>
      </c>
      <c r="C3035">
        <v>13426</v>
      </c>
      <c r="D3035" t="s">
        <v>941</v>
      </c>
      <c r="E3035" t="s">
        <v>942</v>
      </c>
      <c r="F3035">
        <v>7.99</v>
      </c>
      <c r="G3035">
        <v>231002</v>
      </c>
      <c r="H3035">
        <v>4572</v>
      </c>
      <c r="I3035" t="s">
        <v>122</v>
      </c>
      <c r="J3035">
        <v>9.91</v>
      </c>
      <c r="K3035">
        <v>1.92</v>
      </c>
      <c r="L3035">
        <v>17737</v>
      </c>
      <c r="M3035" t="s">
        <v>279</v>
      </c>
      <c r="N3035" t="str">
        <f>"6130216273  "</f>
        <v xml:space="preserve">6130216273  </v>
      </c>
      <c r="O3035">
        <v>231010</v>
      </c>
    </row>
    <row r="3036" spans="1:15" x14ac:dyDescent="0.25">
      <c r="A3036" t="s">
        <v>16</v>
      </c>
      <c r="B3036" t="s">
        <v>3221</v>
      </c>
      <c r="C3036">
        <v>13426</v>
      </c>
      <c r="D3036" t="s">
        <v>941</v>
      </c>
      <c r="E3036" t="s">
        <v>942</v>
      </c>
      <c r="F3036">
        <v>45.56</v>
      </c>
      <c r="G3036">
        <v>231002</v>
      </c>
      <c r="H3036">
        <v>4572</v>
      </c>
      <c r="I3036" t="s">
        <v>122</v>
      </c>
      <c r="J3036">
        <v>56.5</v>
      </c>
      <c r="K3036">
        <v>10.94</v>
      </c>
      <c r="L3036">
        <v>17739</v>
      </c>
      <c r="M3036" t="s">
        <v>374</v>
      </c>
      <c r="N3036" t="str">
        <f>"6130216273  "</f>
        <v xml:space="preserve">6130216273  </v>
      </c>
      <c r="O3036">
        <v>231010</v>
      </c>
    </row>
    <row r="3037" spans="1:15" x14ac:dyDescent="0.25">
      <c r="A3037" t="s">
        <v>16</v>
      </c>
      <c r="B3037" t="s">
        <v>3221</v>
      </c>
      <c r="C3037">
        <v>13443</v>
      </c>
      <c r="D3037" t="s">
        <v>941</v>
      </c>
      <c r="E3037" t="s">
        <v>942</v>
      </c>
      <c r="F3037">
        <v>74.099999999999994</v>
      </c>
      <c r="G3037">
        <v>231009</v>
      </c>
      <c r="H3037">
        <v>4572</v>
      </c>
      <c r="I3037" t="s">
        <v>122</v>
      </c>
      <c r="J3037">
        <v>91.88</v>
      </c>
      <c r="K3037">
        <v>17.78</v>
      </c>
      <c r="L3037">
        <v>17952</v>
      </c>
      <c r="M3037" t="s">
        <v>88</v>
      </c>
      <c r="N3037" t="str">
        <f>"6130317583  "</f>
        <v xml:space="preserve">6130317583  </v>
      </c>
      <c r="O3037">
        <v>231010</v>
      </c>
    </row>
    <row r="3038" spans="1:15" x14ac:dyDescent="0.25">
      <c r="A3038" t="s">
        <v>16</v>
      </c>
      <c r="B3038" t="s">
        <v>3221</v>
      </c>
      <c r="C3038">
        <v>13939</v>
      </c>
      <c r="D3038" t="s">
        <v>941</v>
      </c>
      <c r="E3038" t="s">
        <v>942</v>
      </c>
      <c r="F3038">
        <v>1462.62</v>
      </c>
      <c r="G3038">
        <v>231002</v>
      </c>
      <c r="H3038">
        <v>4572</v>
      </c>
      <c r="I3038" t="s">
        <v>122</v>
      </c>
      <c r="J3038">
        <v>1813.65</v>
      </c>
      <c r="K3038">
        <v>351.03</v>
      </c>
      <c r="L3038">
        <v>49501</v>
      </c>
      <c r="M3038" t="s">
        <v>177</v>
      </c>
      <c r="N3038" t="str">
        <f>"6130223888  "</f>
        <v xml:space="preserve">6130223888  </v>
      </c>
      <c r="O3038">
        <v>231017</v>
      </c>
    </row>
    <row r="3039" spans="1:15" x14ac:dyDescent="0.25">
      <c r="A3039" t="s">
        <v>16</v>
      </c>
      <c r="B3039" t="s">
        <v>3221</v>
      </c>
      <c r="C3039">
        <v>13939</v>
      </c>
      <c r="D3039" t="s">
        <v>941</v>
      </c>
      <c r="E3039" t="s">
        <v>942</v>
      </c>
      <c r="F3039">
        <v>76.98</v>
      </c>
      <c r="G3039">
        <v>231002</v>
      </c>
      <c r="H3039">
        <v>4572</v>
      </c>
      <c r="I3039" t="s">
        <v>122</v>
      </c>
      <c r="J3039">
        <v>95.45</v>
      </c>
      <c r="K3039">
        <v>18.47</v>
      </c>
      <c r="L3039">
        <v>49801</v>
      </c>
      <c r="M3039" t="s">
        <v>1227</v>
      </c>
      <c r="N3039" t="str">
        <f>"6130223888  "</f>
        <v xml:space="preserve">6130223888  </v>
      </c>
      <c r="O3039">
        <v>231017</v>
      </c>
    </row>
    <row r="3040" spans="1:15" x14ac:dyDescent="0.25">
      <c r="A3040" t="s">
        <v>16</v>
      </c>
      <c r="B3040" t="s">
        <v>3221</v>
      </c>
      <c r="C3040">
        <v>15176</v>
      </c>
      <c r="D3040" t="s">
        <v>941</v>
      </c>
      <c r="E3040" t="s">
        <v>942</v>
      </c>
      <c r="F3040">
        <v>60.42</v>
      </c>
      <c r="G3040">
        <v>231106</v>
      </c>
      <c r="H3040">
        <v>4572</v>
      </c>
      <c r="I3040" t="s">
        <v>122</v>
      </c>
      <c r="J3040">
        <v>74.92</v>
      </c>
      <c r="K3040">
        <v>14.5</v>
      </c>
      <c r="L3040">
        <v>13841</v>
      </c>
      <c r="M3040" t="s">
        <v>47</v>
      </c>
      <c r="N3040" t="str">
        <f>"6130621325  "</f>
        <v xml:space="preserve">6130621325  </v>
      </c>
      <c r="O3040">
        <v>231109</v>
      </c>
    </row>
    <row r="3041" spans="1:15" x14ac:dyDescent="0.25">
      <c r="A3041" t="s">
        <v>16</v>
      </c>
      <c r="B3041" t="s">
        <v>3221</v>
      </c>
      <c r="C3041">
        <v>15273</v>
      </c>
      <c r="D3041" t="s">
        <v>941</v>
      </c>
      <c r="E3041" t="s">
        <v>942</v>
      </c>
      <c r="F3041">
        <v>74.099999999999994</v>
      </c>
      <c r="G3041">
        <v>231108</v>
      </c>
      <c r="H3041">
        <v>4572</v>
      </c>
      <c r="I3041" t="s">
        <v>122</v>
      </c>
      <c r="J3041">
        <v>91.88</v>
      </c>
      <c r="K3041">
        <v>17.78</v>
      </c>
      <c r="L3041">
        <v>17952</v>
      </c>
      <c r="M3041" t="s">
        <v>88</v>
      </c>
      <c r="N3041" t="str">
        <f>"6130712948  "</f>
        <v xml:space="preserve">6130712948  </v>
      </c>
      <c r="O3041">
        <v>231109</v>
      </c>
    </row>
    <row r="3042" spans="1:15" x14ac:dyDescent="0.25">
      <c r="A3042" t="s">
        <v>16</v>
      </c>
      <c r="B3042" t="s">
        <v>3221</v>
      </c>
      <c r="C3042">
        <v>15658</v>
      </c>
      <c r="D3042" t="s">
        <v>941</v>
      </c>
      <c r="E3042" t="s">
        <v>942</v>
      </c>
      <c r="F3042">
        <v>222.06</v>
      </c>
      <c r="G3042">
        <v>231108</v>
      </c>
      <c r="H3042">
        <v>4572</v>
      </c>
      <c r="I3042" t="s">
        <v>122</v>
      </c>
      <c r="J3042">
        <v>275.35000000000002</v>
      </c>
      <c r="K3042">
        <v>53.29</v>
      </c>
      <c r="L3042">
        <v>17711</v>
      </c>
      <c r="M3042" t="s">
        <v>65</v>
      </c>
      <c r="N3042" t="str">
        <f>"6130723648  "</f>
        <v xml:space="preserve">6130723648  </v>
      </c>
      <c r="O3042">
        <v>231116</v>
      </c>
    </row>
    <row r="3043" spans="1:15" x14ac:dyDescent="0.25">
      <c r="A3043" t="s">
        <v>16</v>
      </c>
      <c r="B3043" t="s">
        <v>3221</v>
      </c>
      <c r="C3043">
        <v>15658</v>
      </c>
      <c r="D3043" t="s">
        <v>941</v>
      </c>
      <c r="E3043" t="s">
        <v>942</v>
      </c>
      <c r="F3043">
        <v>16.690000000000001</v>
      </c>
      <c r="G3043">
        <v>231108</v>
      </c>
      <c r="H3043">
        <v>4572</v>
      </c>
      <c r="I3043" t="s">
        <v>122</v>
      </c>
      <c r="J3043">
        <v>20.7</v>
      </c>
      <c r="K3043">
        <v>4.01</v>
      </c>
      <c r="L3043">
        <v>17737</v>
      </c>
      <c r="M3043" t="s">
        <v>279</v>
      </c>
      <c r="N3043" t="str">
        <f>"6130723648  "</f>
        <v xml:space="preserve">6130723648  </v>
      </c>
      <c r="O3043">
        <v>231116</v>
      </c>
    </row>
    <row r="3044" spans="1:15" x14ac:dyDescent="0.25">
      <c r="A3044" t="s">
        <v>16</v>
      </c>
      <c r="B3044" t="s">
        <v>3221</v>
      </c>
      <c r="C3044">
        <v>15658</v>
      </c>
      <c r="D3044" t="s">
        <v>941</v>
      </c>
      <c r="E3044" t="s">
        <v>942</v>
      </c>
      <c r="F3044">
        <v>95.17</v>
      </c>
      <c r="G3044">
        <v>231108</v>
      </c>
      <c r="H3044">
        <v>4572</v>
      </c>
      <c r="I3044" t="s">
        <v>122</v>
      </c>
      <c r="J3044">
        <v>118.01</v>
      </c>
      <c r="K3044">
        <v>22.84</v>
      </c>
      <c r="L3044">
        <v>17739</v>
      </c>
      <c r="M3044" t="s">
        <v>374</v>
      </c>
      <c r="N3044" t="str">
        <f>"6130723648  "</f>
        <v xml:space="preserve">6130723648  </v>
      </c>
      <c r="O3044">
        <v>231116</v>
      </c>
    </row>
    <row r="3045" spans="1:15" x14ac:dyDescent="0.25">
      <c r="A3045" t="s">
        <v>16</v>
      </c>
      <c r="B3045" t="s">
        <v>3221</v>
      </c>
      <c r="C3045">
        <v>15662</v>
      </c>
      <c r="D3045" t="s">
        <v>941</v>
      </c>
      <c r="E3045" t="s">
        <v>942</v>
      </c>
      <c r="F3045">
        <v>3425.76</v>
      </c>
      <c r="G3045">
        <v>231108</v>
      </c>
      <c r="H3045">
        <v>4572</v>
      </c>
      <c r="I3045" t="s">
        <v>122</v>
      </c>
      <c r="J3045">
        <v>4247.9399999999996</v>
      </c>
      <c r="K3045">
        <v>822.18</v>
      </c>
      <c r="L3045">
        <v>49501</v>
      </c>
      <c r="M3045" t="s">
        <v>177</v>
      </c>
      <c r="N3045" t="str">
        <f>"6130721273  "</f>
        <v xml:space="preserve">6130721273  </v>
      </c>
      <c r="O3045">
        <v>231116</v>
      </c>
    </row>
    <row r="3046" spans="1:15" x14ac:dyDescent="0.25">
      <c r="A3046" t="s">
        <v>16</v>
      </c>
      <c r="B3046" t="s">
        <v>3221</v>
      </c>
      <c r="C3046">
        <v>15662</v>
      </c>
      <c r="D3046" t="s">
        <v>941</v>
      </c>
      <c r="E3046" t="s">
        <v>942</v>
      </c>
      <c r="F3046">
        <v>185.88</v>
      </c>
      <c r="G3046">
        <v>231108</v>
      </c>
      <c r="H3046">
        <v>4572</v>
      </c>
      <c r="I3046" t="s">
        <v>122</v>
      </c>
      <c r="J3046">
        <v>230.49</v>
      </c>
      <c r="K3046">
        <v>44.61</v>
      </c>
      <c r="L3046">
        <v>49801</v>
      </c>
      <c r="M3046" t="s">
        <v>1227</v>
      </c>
      <c r="N3046" t="str">
        <f>"6130721273  "</f>
        <v xml:space="preserve">6130721273  </v>
      </c>
      <c r="O3046">
        <v>231116</v>
      </c>
    </row>
    <row r="3047" spans="1:15" x14ac:dyDescent="0.25">
      <c r="A3047" t="s">
        <v>16</v>
      </c>
      <c r="B3047" t="s">
        <v>3221</v>
      </c>
      <c r="C3047">
        <v>15662</v>
      </c>
      <c r="D3047" t="s">
        <v>941</v>
      </c>
      <c r="E3047" t="s">
        <v>942</v>
      </c>
      <c r="F3047">
        <v>105.95</v>
      </c>
      <c r="G3047">
        <v>231108</v>
      </c>
      <c r="H3047">
        <v>4572</v>
      </c>
      <c r="I3047" t="s">
        <v>122</v>
      </c>
      <c r="J3047">
        <v>131.38</v>
      </c>
      <c r="K3047">
        <v>25.43</v>
      </c>
      <c r="L3047">
        <v>49803</v>
      </c>
      <c r="M3047" t="s">
        <v>1229</v>
      </c>
      <c r="N3047" t="str">
        <f>"6130721273  "</f>
        <v xml:space="preserve">6130721273  </v>
      </c>
      <c r="O3047">
        <v>231116</v>
      </c>
    </row>
    <row r="3048" spans="1:15" x14ac:dyDescent="0.25">
      <c r="A3048" t="s">
        <v>16</v>
      </c>
      <c r="B3048" t="s">
        <v>3221</v>
      </c>
      <c r="C3048">
        <v>15663</v>
      </c>
      <c r="D3048" t="s">
        <v>941</v>
      </c>
      <c r="E3048" t="s">
        <v>942</v>
      </c>
      <c r="F3048">
        <v>137.47999999999999</v>
      </c>
      <c r="G3048">
        <v>231108</v>
      </c>
      <c r="H3048">
        <v>4572</v>
      </c>
      <c r="I3048" t="s">
        <v>122</v>
      </c>
      <c r="J3048">
        <v>170.48</v>
      </c>
      <c r="K3048">
        <v>33</v>
      </c>
      <c r="L3048">
        <v>17739</v>
      </c>
      <c r="M3048" t="s">
        <v>374</v>
      </c>
      <c r="N3048" t="str">
        <f>"6130718286  "</f>
        <v xml:space="preserve">6130718286  </v>
      </c>
      <c r="O3048">
        <v>231116</v>
      </c>
    </row>
    <row r="3049" spans="1:15" x14ac:dyDescent="0.25">
      <c r="A3049" t="s">
        <v>16</v>
      </c>
      <c r="B3049" t="s">
        <v>3221</v>
      </c>
      <c r="C3049">
        <v>15663</v>
      </c>
      <c r="D3049" t="s">
        <v>941</v>
      </c>
      <c r="E3049" t="s">
        <v>942</v>
      </c>
      <c r="F3049">
        <v>412.45</v>
      </c>
      <c r="G3049">
        <v>231108</v>
      </c>
      <c r="H3049">
        <v>4572</v>
      </c>
      <c r="I3049" t="s">
        <v>122</v>
      </c>
      <c r="J3049">
        <v>511.44</v>
      </c>
      <c r="K3049">
        <v>98.99</v>
      </c>
      <c r="L3049">
        <v>17912</v>
      </c>
      <c r="M3049" t="s">
        <v>419</v>
      </c>
      <c r="N3049" t="str">
        <f>"6130718286  "</f>
        <v xml:space="preserve">6130718286  </v>
      </c>
      <c r="O3049">
        <v>231116</v>
      </c>
    </row>
    <row r="3050" spans="1:15" x14ac:dyDescent="0.25">
      <c r="A3050" t="s">
        <v>16</v>
      </c>
      <c r="B3050" t="s">
        <v>3221</v>
      </c>
      <c r="C3050">
        <v>15663</v>
      </c>
      <c r="D3050" t="s">
        <v>941</v>
      </c>
      <c r="E3050" t="s">
        <v>942</v>
      </c>
      <c r="F3050">
        <v>824.91</v>
      </c>
      <c r="G3050">
        <v>231108</v>
      </c>
      <c r="H3050">
        <v>4572</v>
      </c>
      <c r="I3050" t="s">
        <v>122</v>
      </c>
      <c r="J3050">
        <v>1022.89</v>
      </c>
      <c r="K3050">
        <v>197.98</v>
      </c>
      <c r="L3050">
        <v>17952</v>
      </c>
      <c r="M3050" t="s">
        <v>88</v>
      </c>
      <c r="N3050" t="str">
        <f>"6130718286  "</f>
        <v xml:space="preserve">6130718286  </v>
      </c>
      <c r="O3050">
        <v>231116</v>
      </c>
    </row>
    <row r="3051" spans="1:15" x14ac:dyDescent="0.25">
      <c r="A3051" t="s">
        <v>16</v>
      </c>
      <c r="B3051" t="s">
        <v>3221</v>
      </c>
      <c r="C3051">
        <v>15699</v>
      </c>
      <c r="D3051" t="s">
        <v>941</v>
      </c>
      <c r="E3051" t="s">
        <v>942</v>
      </c>
      <c r="F3051">
        <v>1899.68</v>
      </c>
      <c r="G3051">
        <v>231107</v>
      </c>
      <c r="H3051">
        <v>4572</v>
      </c>
      <c r="I3051" t="s">
        <v>122</v>
      </c>
      <c r="J3051">
        <v>2355.6</v>
      </c>
      <c r="K3051">
        <v>455.92</v>
      </c>
      <c r="L3051">
        <v>49503</v>
      </c>
      <c r="M3051" t="s">
        <v>178</v>
      </c>
      <c r="N3051" t="str">
        <f>"6130705372  "</f>
        <v xml:space="preserve">6130705372  </v>
      </c>
      <c r="O3051">
        <v>231116</v>
      </c>
    </row>
    <row r="3052" spans="1:15" x14ac:dyDescent="0.25">
      <c r="A3052" t="s">
        <v>16</v>
      </c>
      <c r="B3052" t="s">
        <v>3221</v>
      </c>
      <c r="C3052">
        <v>15705</v>
      </c>
      <c r="D3052" t="s">
        <v>941</v>
      </c>
      <c r="E3052" t="s">
        <v>942</v>
      </c>
      <c r="F3052">
        <v>1507.96</v>
      </c>
      <c r="G3052">
        <v>231108</v>
      </c>
      <c r="H3052">
        <v>4572</v>
      </c>
      <c r="I3052" t="s">
        <v>122</v>
      </c>
      <c r="J3052">
        <v>1869.87</v>
      </c>
      <c r="K3052">
        <v>361.91</v>
      </c>
      <c r="L3052">
        <v>49501</v>
      </c>
      <c r="M3052" t="s">
        <v>177</v>
      </c>
      <c r="N3052" t="str">
        <f>"6130723366  "</f>
        <v xml:space="preserve">6130723366  </v>
      </c>
      <c r="O3052">
        <v>231116</v>
      </c>
    </row>
    <row r="3053" spans="1:15" x14ac:dyDescent="0.25">
      <c r="A3053" t="s">
        <v>16</v>
      </c>
      <c r="B3053" t="s">
        <v>3221</v>
      </c>
      <c r="C3053">
        <v>15705</v>
      </c>
      <c r="D3053" t="s">
        <v>941</v>
      </c>
      <c r="E3053" t="s">
        <v>942</v>
      </c>
      <c r="F3053">
        <v>79.36</v>
      </c>
      <c r="G3053">
        <v>231108</v>
      </c>
      <c r="H3053">
        <v>4572</v>
      </c>
      <c r="I3053" t="s">
        <v>122</v>
      </c>
      <c r="J3053">
        <v>98.41</v>
      </c>
      <c r="K3053">
        <v>19.05</v>
      </c>
      <c r="L3053">
        <v>49801</v>
      </c>
      <c r="M3053" t="s">
        <v>1227</v>
      </c>
      <c r="N3053" t="str">
        <f>"6130723366  "</f>
        <v xml:space="preserve">6130723366  </v>
      </c>
      <c r="O3053">
        <v>231116</v>
      </c>
    </row>
    <row r="3054" spans="1:15" x14ac:dyDescent="0.25">
      <c r="A3054" t="s">
        <v>16</v>
      </c>
      <c r="B3054" t="s">
        <v>3221</v>
      </c>
      <c r="C3054">
        <v>16864</v>
      </c>
      <c r="D3054" t="s">
        <v>941</v>
      </c>
      <c r="E3054" t="s">
        <v>942</v>
      </c>
      <c r="F3054">
        <v>180.97</v>
      </c>
      <c r="G3054">
        <v>231204</v>
      </c>
      <c r="H3054">
        <v>4572</v>
      </c>
      <c r="I3054" t="s">
        <v>122</v>
      </c>
      <c r="J3054">
        <v>224.4</v>
      </c>
      <c r="K3054">
        <v>43.43</v>
      </c>
      <c r="L3054">
        <v>17739</v>
      </c>
      <c r="M3054" t="s">
        <v>374</v>
      </c>
      <c r="N3054" t="str">
        <f>"6130945368  "</f>
        <v xml:space="preserve">6130945368  </v>
      </c>
      <c r="O3054">
        <v>231211</v>
      </c>
    </row>
    <row r="3055" spans="1:15" x14ac:dyDescent="0.25">
      <c r="A3055" t="s">
        <v>16</v>
      </c>
      <c r="B3055" t="s">
        <v>3221</v>
      </c>
      <c r="C3055">
        <v>16864</v>
      </c>
      <c r="D3055" t="s">
        <v>941</v>
      </c>
      <c r="E3055" t="s">
        <v>942</v>
      </c>
      <c r="F3055">
        <v>542.89</v>
      </c>
      <c r="G3055">
        <v>231204</v>
      </c>
      <c r="H3055">
        <v>4572</v>
      </c>
      <c r="I3055" t="s">
        <v>122</v>
      </c>
      <c r="J3055">
        <v>673.18</v>
      </c>
      <c r="K3055">
        <v>130.29</v>
      </c>
      <c r="L3055">
        <v>17912</v>
      </c>
      <c r="M3055" t="s">
        <v>419</v>
      </c>
      <c r="N3055" t="str">
        <f>"6130945368  "</f>
        <v xml:space="preserve">6130945368  </v>
      </c>
      <c r="O3055">
        <v>231211</v>
      </c>
    </row>
    <row r="3056" spans="1:15" x14ac:dyDescent="0.25">
      <c r="A3056" t="s">
        <v>16</v>
      </c>
      <c r="B3056" t="s">
        <v>3221</v>
      </c>
      <c r="C3056">
        <v>16864</v>
      </c>
      <c r="D3056" t="s">
        <v>941</v>
      </c>
      <c r="E3056" t="s">
        <v>942</v>
      </c>
      <c r="F3056">
        <v>1085.78</v>
      </c>
      <c r="G3056">
        <v>231204</v>
      </c>
      <c r="H3056">
        <v>4572</v>
      </c>
      <c r="I3056" t="s">
        <v>122</v>
      </c>
      <c r="J3056">
        <v>1346.37</v>
      </c>
      <c r="K3056">
        <v>260.58999999999997</v>
      </c>
      <c r="L3056">
        <v>17952</v>
      </c>
      <c r="M3056" t="s">
        <v>88</v>
      </c>
      <c r="N3056" t="str">
        <f>"6130945368  "</f>
        <v xml:space="preserve">6130945368  </v>
      </c>
      <c r="O3056">
        <v>231211</v>
      </c>
    </row>
    <row r="3057" spans="1:15" x14ac:dyDescent="0.25">
      <c r="A3057" t="s">
        <v>16</v>
      </c>
      <c r="B3057" t="s">
        <v>3221</v>
      </c>
      <c r="C3057">
        <v>16915</v>
      </c>
      <c r="D3057" t="s">
        <v>941</v>
      </c>
      <c r="E3057" t="s">
        <v>942</v>
      </c>
      <c r="F3057">
        <v>343.3</v>
      </c>
      <c r="G3057">
        <v>231204</v>
      </c>
      <c r="H3057">
        <v>4572</v>
      </c>
      <c r="I3057" t="s">
        <v>122</v>
      </c>
      <c r="J3057">
        <v>425.69</v>
      </c>
      <c r="K3057">
        <v>82.39</v>
      </c>
      <c r="L3057">
        <v>17711</v>
      </c>
      <c r="M3057" t="s">
        <v>65</v>
      </c>
      <c r="N3057" t="str">
        <f>"6130966664  "</f>
        <v xml:space="preserve">6130966664  </v>
      </c>
      <c r="O3057">
        <v>231211</v>
      </c>
    </row>
    <row r="3058" spans="1:15" x14ac:dyDescent="0.25">
      <c r="A3058" t="s">
        <v>16</v>
      </c>
      <c r="B3058" t="s">
        <v>3221</v>
      </c>
      <c r="C3058">
        <v>16915</v>
      </c>
      <c r="D3058" t="s">
        <v>941</v>
      </c>
      <c r="E3058" t="s">
        <v>942</v>
      </c>
      <c r="F3058">
        <v>25.81</v>
      </c>
      <c r="G3058">
        <v>231204</v>
      </c>
      <c r="H3058">
        <v>4572</v>
      </c>
      <c r="I3058" t="s">
        <v>122</v>
      </c>
      <c r="J3058">
        <v>32.01</v>
      </c>
      <c r="K3058">
        <v>6.2</v>
      </c>
      <c r="L3058">
        <v>17737</v>
      </c>
      <c r="M3058" t="s">
        <v>279</v>
      </c>
      <c r="N3058" t="str">
        <f>"6130966664  "</f>
        <v xml:space="preserve">6130966664  </v>
      </c>
      <c r="O3058">
        <v>231211</v>
      </c>
    </row>
    <row r="3059" spans="1:15" x14ac:dyDescent="0.25">
      <c r="A3059" t="s">
        <v>16</v>
      </c>
      <c r="B3059" t="s">
        <v>3221</v>
      </c>
      <c r="C3059">
        <v>16915</v>
      </c>
      <c r="D3059" t="s">
        <v>941</v>
      </c>
      <c r="E3059" t="s">
        <v>942</v>
      </c>
      <c r="F3059">
        <v>147.13</v>
      </c>
      <c r="G3059">
        <v>231204</v>
      </c>
      <c r="H3059">
        <v>4572</v>
      </c>
      <c r="I3059" t="s">
        <v>122</v>
      </c>
      <c r="J3059">
        <v>182.44</v>
      </c>
      <c r="K3059">
        <v>35.31</v>
      </c>
      <c r="L3059">
        <v>17739</v>
      </c>
      <c r="M3059" t="s">
        <v>374</v>
      </c>
      <c r="N3059" t="str">
        <f>"6130966664  "</f>
        <v xml:space="preserve">6130966664  </v>
      </c>
      <c r="O3059">
        <v>231211</v>
      </c>
    </row>
    <row r="3060" spans="1:15" x14ac:dyDescent="0.25">
      <c r="A3060" t="s">
        <v>16</v>
      </c>
      <c r="B3060" t="s">
        <v>3221</v>
      </c>
      <c r="C3060">
        <v>17308</v>
      </c>
      <c r="D3060" t="s">
        <v>941</v>
      </c>
      <c r="E3060" t="s">
        <v>942</v>
      </c>
      <c r="F3060">
        <v>74.099999999999994</v>
      </c>
      <c r="G3060">
        <v>231207</v>
      </c>
      <c r="H3060">
        <v>4572</v>
      </c>
      <c r="I3060" t="s">
        <v>122</v>
      </c>
      <c r="J3060">
        <v>91.88</v>
      </c>
      <c r="K3060">
        <v>17.78</v>
      </c>
      <c r="L3060">
        <v>17952</v>
      </c>
      <c r="M3060" t="s">
        <v>88</v>
      </c>
      <c r="N3060" t="str">
        <f>"6130984973  "</f>
        <v xml:space="preserve">6130984973  </v>
      </c>
      <c r="O3060">
        <v>231212</v>
      </c>
    </row>
    <row r="3061" spans="1:15" x14ac:dyDescent="0.25">
      <c r="A3061" t="s">
        <v>16</v>
      </c>
      <c r="B3061" t="s">
        <v>3221</v>
      </c>
      <c r="C3061">
        <v>17631</v>
      </c>
      <c r="D3061" t="s">
        <v>941</v>
      </c>
      <c r="E3061" t="s">
        <v>942</v>
      </c>
      <c r="F3061">
        <v>2253.81</v>
      </c>
      <c r="G3061">
        <v>231204</v>
      </c>
      <c r="H3061">
        <v>4572</v>
      </c>
      <c r="I3061" t="s">
        <v>122</v>
      </c>
      <c r="J3061">
        <v>2794.72</v>
      </c>
      <c r="K3061">
        <v>540.91</v>
      </c>
      <c r="L3061">
        <v>49501</v>
      </c>
      <c r="M3061" t="s">
        <v>177</v>
      </c>
      <c r="N3061" t="str">
        <f>"6130943288  "</f>
        <v xml:space="preserve">6130943288  </v>
      </c>
      <c r="O3061">
        <v>231215</v>
      </c>
    </row>
    <row r="3062" spans="1:15" x14ac:dyDescent="0.25">
      <c r="A3062" t="s">
        <v>16</v>
      </c>
      <c r="B3062" t="s">
        <v>3221</v>
      </c>
      <c r="C3062">
        <v>17631</v>
      </c>
      <c r="D3062" t="s">
        <v>941</v>
      </c>
      <c r="E3062" t="s">
        <v>942</v>
      </c>
      <c r="F3062">
        <v>22.81</v>
      </c>
      <c r="G3062">
        <v>231204</v>
      </c>
      <c r="H3062">
        <v>4572</v>
      </c>
      <c r="I3062" t="s">
        <v>122</v>
      </c>
      <c r="J3062">
        <v>22.81</v>
      </c>
      <c r="K3062">
        <v>0</v>
      </c>
      <c r="L3062">
        <v>49801</v>
      </c>
      <c r="M3062" t="s">
        <v>1227</v>
      </c>
      <c r="N3062" t="str">
        <f>"6130943288  "</f>
        <v xml:space="preserve">6130943288  </v>
      </c>
      <c r="O3062">
        <v>231215</v>
      </c>
    </row>
    <row r="3063" spans="1:15" x14ac:dyDescent="0.25">
      <c r="A3063" t="s">
        <v>16</v>
      </c>
      <c r="B3063" t="s">
        <v>3221</v>
      </c>
      <c r="C3063">
        <v>17631</v>
      </c>
      <c r="D3063" t="s">
        <v>941</v>
      </c>
      <c r="E3063" t="s">
        <v>942</v>
      </c>
      <c r="F3063">
        <v>27.6</v>
      </c>
      <c r="G3063">
        <v>231204</v>
      </c>
      <c r="H3063">
        <v>4572</v>
      </c>
      <c r="I3063" t="s">
        <v>122</v>
      </c>
      <c r="J3063">
        <v>34.22</v>
      </c>
      <c r="K3063">
        <v>6.62</v>
      </c>
      <c r="L3063">
        <v>49801</v>
      </c>
      <c r="M3063" t="s">
        <v>1227</v>
      </c>
      <c r="N3063" t="str">
        <f>"6130943288  "</f>
        <v xml:space="preserve">6130943288  </v>
      </c>
      <c r="O3063">
        <v>231215</v>
      </c>
    </row>
    <row r="3064" spans="1:15" x14ac:dyDescent="0.25">
      <c r="A3064" t="s">
        <v>16</v>
      </c>
      <c r="B3064" t="s">
        <v>3221</v>
      </c>
      <c r="C3064">
        <v>17632</v>
      </c>
      <c r="D3064" t="s">
        <v>941</v>
      </c>
      <c r="E3064" t="s">
        <v>942</v>
      </c>
      <c r="F3064">
        <v>3549.48</v>
      </c>
      <c r="G3064">
        <v>231204</v>
      </c>
      <c r="H3064">
        <v>4572</v>
      </c>
      <c r="I3064" t="s">
        <v>122</v>
      </c>
      <c r="J3064">
        <v>4401.3500000000004</v>
      </c>
      <c r="K3064">
        <v>851.87</v>
      </c>
      <c r="L3064">
        <v>49501</v>
      </c>
      <c r="M3064" t="s">
        <v>177</v>
      </c>
      <c r="N3064" t="str">
        <f>"6130942938  "</f>
        <v xml:space="preserve">6130942938  </v>
      </c>
      <c r="O3064">
        <v>231215</v>
      </c>
    </row>
    <row r="3065" spans="1:15" x14ac:dyDescent="0.25">
      <c r="A3065" t="s">
        <v>16</v>
      </c>
      <c r="B3065" t="s">
        <v>3221</v>
      </c>
      <c r="C3065">
        <v>17632</v>
      </c>
      <c r="D3065" t="s">
        <v>941</v>
      </c>
      <c r="E3065" t="s">
        <v>942</v>
      </c>
      <c r="F3065">
        <v>192.59</v>
      </c>
      <c r="G3065">
        <v>231204</v>
      </c>
      <c r="H3065">
        <v>4572</v>
      </c>
      <c r="I3065" t="s">
        <v>122</v>
      </c>
      <c r="J3065">
        <v>238.81</v>
      </c>
      <c r="K3065">
        <v>46.22</v>
      </c>
      <c r="L3065">
        <v>49801</v>
      </c>
      <c r="M3065" t="s">
        <v>1227</v>
      </c>
      <c r="N3065" t="str">
        <f>"6130942938  "</f>
        <v xml:space="preserve">6130942938  </v>
      </c>
      <c r="O3065">
        <v>231215</v>
      </c>
    </row>
    <row r="3066" spans="1:15" x14ac:dyDescent="0.25">
      <c r="A3066" t="s">
        <v>16</v>
      </c>
      <c r="B3066" t="s">
        <v>3221</v>
      </c>
      <c r="C3066">
        <v>17632</v>
      </c>
      <c r="D3066" t="s">
        <v>941</v>
      </c>
      <c r="E3066" t="s">
        <v>942</v>
      </c>
      <c r="F3066">
        <v>109.77</v>
      </c>
      <c r="G3066">
        <v>231204</v>
      </c>
      <c r="H3066">
        <v>4572</v>
      </c>
      <c r="I3066" t="s">
        <v>122</v>
      </c>
      <c r="J3066">
        <v>136.12</v>
      </c>
      <c r="K3066">
        <v>26.35</v>
      </c>
      <c r="L3066">
        <v>49803</v>
      </c>
      <c r="M3066" t="s">
        <v>1229</v>
      </c>
      <c r="N3066" t="str">
        <f>"6130942938  "</f>
        <v xml:space="preserve">6130942938  </v>
      </c>
      <c r="O3066">
        <v>231215</v>
      </c>
    </row>
    <row r="3067" spans="1:15" x14ac:dyDescent="0.25">
      <c r="A3067" t="s">
        <v>16</v>
      </c>
      <c r="B3067" t="s">
        <v>3221</v>
      </c>
      <c r="C3067">
        <v>18863</v>
      </c>
      <c r="D3067" t="s">
        <v>941</v>
      </c>
      <c r="E3067" t="s">
        <v>942</v>
      </c>
      <c r="F3067">
        <v>64.75</v>
      </c>
      <c r="G3067">
        <v>240103</v>
      </c>
      <c r="H3067">
        <v>4572</v>
      </c>
      <c r="I3067" t="s">
        <v>122</v>
      </c>
      <c r="J3067">
        <v>80.290000000000006</v>
      </c>
      <c r="K3067">
        <v>15.54</v>
      </c>
      <c r="L3067">
        <v>13841</v>
      </c>
      <c r="M3067" t="s">
        <v>47</v>
      </c>
      <c r="N3067" t="str">
        <f>"6131210903  "</f>
        <v xml:space="preserve">6131210903  </v>
      </c>
      <c r="O3067">
        <v>240108</v>
      </c>
    </row>
    <row r="3068" spans="1:15" x14ac:dyDescent="0.25">
      <c r="A3068" t="s">
        <v>16</v>
      </c>
      <c r="B3068" t="s">
        <v>3221</v>
      </c>
      <c r="C3068">
        <v>18890</v>
      </c>
      <c r="D3068" t="s">
        <v>941</v>
      </c>
      <c r="E3068" t="s">
        <v>942</v>
      </c>
      <c r="F3068">
        <v>184.42</v>
      </c>
      <c r="G3068">
        <v>240104</v>
      </c>
      <c r="H3068">
        <v>4572</v>
      </c>
      <c r="I3068" t="s">
        <v>122</v>
      </c>
      <c r="J3068">
        <v>228.68</v>
      </c>
      <c r="K3068">
        <v>44.26</v>
      </c>
      <c r="L3068">
        <v>17739</v>
      </c>
      <c r="M3068" t="s">
        <v>374</v>
      </c>
      <c r="N3068" t="str">
        <f>"6131320279  "</f>
        <v xml:space="preserve">6131320279  </v>
      </c>
      <c r="O3068">
        <v>240108</v>
      </c>
    </row>
    <row r="3069" spans="1:15" x14ac:dyDescent="0.25">
      <c r="A3069" t="s">
        <v>16</v>
      </c>
      <c r="B3069" t="s">
        <v>3221</v>
      </c>
      <c r="C3069">
        <v>18890</v>
      </c>
      <c r="D3069" t="s">
        <v>941</v>
      </c>
      <c r="E3069" t="s">
        <v>942</v>
      </c>
      <c r="F3069">
        <v>553.26</v>
      </c>
      <c r="G3069">
        <v>240104</v>
      </c>
      <c r="H3069">
        <v>4572</v>
      </c>
      <c r="I3069" t="s">
        <v>122</v>
      </c>
      <c r="J3069">
        <v>686.04</v>
      </c>
      <c r="K3069">
        <v>132.78</v>
      </c>
      <c r="L3069">
        <v>17912</v>
      </c>
      <c r="M3069" t="s">
        <v>419</v>
      </c>
      <c r="N3069" t="str">
        <f>"6131320279  "</f>
        <v xml:space="preserve">6131320279  </v>
      </c>
      <c r="O3069">
        <v>240108</v>
      </c>
    </row>
    <row r="3070" spans="1:15" x14ac:dyDescent="0.25">
      <c r="A3070" t="s">
        <v>16</v>
      </c>
      <c r="B3070" t="s">
        <v>3221</v>
      </c>
      <c r="C3070">
        <v>18890</v>
      </c>
      <c r="D3070" t="s">
        <v>941</v>
      </c>
      <c r="E3070" t="s">
        <v>942</v>
      </c>
      <c r="F3070">
        <v>1106.52</v>
      </c>
      <c r="G3070">
        <v>240104</v>
      </c>
      <c r="H3070">
        <v>4572</v>
      </c>
      <c r="I3070" t="s">
        <v>122</v>
      </c>
      <c r="J3070">
        <v>1372.09</v>
      </c>
      <c r="K3070">
        <v>265.57</v>
      </c>
      <c r="L3070">
        <v>17952</v>
      </c>
      <c r="M3070" t="s">
        <v>88</v>
      </c>
      <c r="N3070" t="str">
        <f>"6131320279  "</f>
        <v xml:space="preserve">6131320279  </v>
      </c>
      <c r="O3070">
        <v>240108</v>
      </c>
    </row>
    <row r="3071" spans="1:15" x14ac:dyDescent="0.25">
      <c r="A3071" t="s">
        <v>16</v>
      </c>
      <c r="B3071" t="s">
        <v>3221</v>
      </c>
      <c r="C3071">
        <v>18894</v>
      </c>
      <c r="D3071" t="s">
        <v>941</v>
      </c>
      <c r="E3071" t="s">
        <v>942</v>
      </c>
      <c r="F3071">
        <v>453.48</v>
      </c>
      <c r="G3071">
        <v>240104</v>
      </c>
      <c r="H3071">
        <v>4572</v>
      </c>
      <c r="I3071" t="s">
        <v>122</v>
      </c>
      <c r="J3071">
        <v>562.30999999999995</v>
      </c>
      <c r="K3071">
        <v>108.83</v>
      </c>
      <c r="L3071">
        <v>17711</v>
      </c>
      <c r="M3071" t="s">
        <v>65</v>
      </c>
      <c r="N3071" t="str">
        <f>"6131359828  "</f>
        <v xml:space="preserve">6131359828  </v>
      </c>
      <c r="O3071">
        <v>240108</v>
      </c>
    </row>
    <row r="3072" spans="1:15" x14ac:dyDescent="0.25">
      <c r="A3072" t="s">
        <v>16</v>
      </c>
      <c r="B3072" t="s">
        <v>3221</v>
      </c>
      <c r="C3072">
        <v>18894</v>
      </c>
      <c r="D3072" t="s">
        <v>941</v>
      </c>
      <c r="E3072" t="s">
        <v>942</v>
      </c>
      <c r="F3072">
        <v>34.1</v>
      </c>
      <c r="G3072">
        <v>240104</v>
      </c>
      <c r="H3072">
        <v>4572</v>
      </c>
      <c r="I3072" t="s">
        <v>122</v>
      </c>
      <c r="J3072">
        <v>42.28</v>
      </c>
      <c r="K3072">
        <v>8.18</v>
      </c>
      <c r="L3072">
        <v>17737</v>
      </c>
      <c r="M3072" t="s">
        <v>279</v>
      </c>
      <c r="N3072" t="str">
        <f>"6131359828  "</f>
        <v xml:space="preserve">6131359828  </v>
      </c>
      <c r="O3072">
        <v>240108</v>
      </c>
    </row>
    <row r="3073" spans="1:15" x14ac:dyDescent="0.25">
      <c r="A3073" t="s">
        <v>16</v>
      </c>
      <c r="B3073" t="s">
        <v>3221</v>
      </c>
      <c r="C3073">
        <v>18894</v>
      </c>
      <c r="D3073" t="s">
        <v>941</v>
      </c>
      <c r="E3073" t="s">
        <v>942</v>
      </c>
      <c r="F3073">
        <v>194.35</v>
      </c>
      <c r="G3073">
        <v>240104</v>
      </c>
      <c r="H3073">
        <v>4572</v>
      </c>
      <c r="I3073" t="s">
        <v>122</v>
      </c>
      <c r="J3073">
        <v>240.99</v>
      </c>
      <c r="K3073">
        <v>46.64</v>
      </c>
      <c r="L3073">
        <v>17739</v>
      </c>
      <c r="M3073" t="s">
        <v>374</v>
      </c>
      <c r="N3073" t="str">
        <f>"6131359828  "</f>
        <v xml:space="preserve">6131359828  </v>
      </c>
      <c r="O3073">
        <v>240108</v>
      </c>
    </row>
    <row r="3074" spans="1:15" x14ac:dyDescent="0.25">
      <c r="A3074" t="s">
        <v>16</v>
      </c>
      <c r="B3074" t="s">
        <v>3221</v>
      </c>
      <c r="C3074">
        <v>19108</v>
      </c>
      <c r="D3074" t="s">
        <v>941</v>
      </c>
      <c r="E3074" t="s">
        <v>942</v>
      </c>
      <c r="F3074">
        <v>49.27</v>
      </c>
      <c r="G3074">
        <v>240108</v>
      </c>
      <c r="H3074">
        <v>4572</v>
      </c>
      <c r="I3074" t="s">
        <v>122</v>
      </c>
      <c r="J3074">
        <v>61.1</v>
      </c>
      <c r="K3074">
        <v>11.83</v>
      </c>
      <c r="L3074">
        <v>17711</v>
      </c>
      <c r="M3074" t="s">
        <v>65</v>
      </c>
      <c r="N3074" t="str">
        <f>"6131396635  "</f>
        <v xml:space="preserve">6131396635  </v>
      </c>
      <c r="O3074">
        <v>240110</v>
      </c>
    </row>
    <row r="3075" spans="1:15" x14ac:dyDescent="0.25">
      <c r="A3075" t="s">
        <v>16</v>
      </c>
      <c r="B3075" t="s">
        <v>3221</v>
      </c>
      <c r="C3075">
        <v>19108</v>
      </c>
      <c r="D3075" t="s">
        <v>941</v>
      </c>
      <c r="E3075" t="s">
        <v>942</v>
      </c>
      <c r="F3075">
        <v>3.7</v>
      </c>
      <c r="G3075">
        <v>240108</v>
      </c>
      <c r="H3075">
        <v>4572</v>
      </c>
      <c r="I3075" t="s">
        <v>122</v>
      </c>
      <c r="J3075">
        <v>4.59</v>
      </c>
      <c r="K3075">
        <v>0.89</v>
      </c>
      <c r="L3075">
        <v>17737</v>
      </c>
      <c r="M3075" t="s">
        <v>279</v>
      </c>
      <c r="N3075" t="str">
        <f>"6131396635  "</f>
        <v xml:space="preserve">6131396635  </v>
      </c>
      <c r="O3075">
        <v>240110</v>
      </c>
    </row>
    <row r="3076" spans="1:15" x14ac:dyDescent="0.25">
      <c r="A3076" t="s">
        <v>16</v>
      </c>
      <c r="B3076" t="s">
        <v>3221</v>
      </c>
      <c r="C3076">
        <v>19108</v>
      </c>
      <c r="D3076" t="s">
        <v>941</v>
      </c>
      <c r="E3076" t="s">
        <v>942</v>
      </c>
      <c r="F3076">
        <v>21.12</v>
      </c>
      <c r="G3076">
        <v>240108</v>
      </c>
      <c r="H3076">
        <v>4572</v>
      </c>
      <c r="I3076" t="s">
        <v>122</v>
      </c>
      <c r="J3076">
        <v>26.19</v>
      </c>
      <c r="K3076">
        <v>5.07</v>
      </c>
      <c r="L3076">
        <v>17739</v>
      </c>
      <c r="M3076" t="s">
        <v>374</v>
      </c>
      <c r="N3076" t="str">
        <f>"6131396635  "</f>
        <v xml:space="preserve">6131396635  </v>
      </c>
      <c r="O3076">
        <v>240110</v>
      </c>
    </row>
    <row r="3077" spans="1:15" x14ac:dyDescent="0.25">
      <c r="A3077" t="s">
        <v>16</v>
      </c>
      <c r="B3077" t="s">
        <v>3221</v>
      </c>
      <c r="C3077">
        <v>19151</v>
      </c>
      <c r="D3077" t="s">
        <v>941</v>
      </c>
      <c r="E3077" t="s">
        <v>942</v>
      </c>
      <c r="F3077">
        <v>3032.95</v>
      </c>
      <c r="G3077">
        <v>240103</v>
      </c>
      <c r="H3077">
        <v>4572</v>
      </c>
      <c r="I3077" t="s">
        <v>122</v>
      </c>
      <c r="J3077">
        <v>3760.86</v>
      </c>
      <c r="K3077">
        <v>727.91</v>
      </c>
      <c r="L3077">
        <v>49503</v>
      </c>
      <c r="M3077" t="s">
        <v>178</v>
      </c>
      <c r="N3077" t="str">
        <f>"6131261021  "</f>
        <v xml:space="preserve">6131261021  </v>
      </c>
      <c r="O3077">
        <v>240111</v>
      </c>
    </row>
    <row r="3078" spans="1:15" x14ac:dyDescent="0.25">
      <c r="A3078" t="s">
        <v>16</v>
      </c>
      <c r="B3078" t="s">
        <v>3221</v>
      </c>
      <c r="C3078">
        <v>19154</v>
      </c>
      <c r="D3078" t="s">
        <v>941</v>
      </c>
      <c r="E3078" t="s">
        <v>942</v>
      </c>
      <c r="F3078">
        <v>1881.74</v>
      </c>
      <c r="G3078">
        <v>240104</v>
      </c>
      <c r="H3078">
        <v>4572</v>
      </c>
      <c r="I3078" t="s">
        <v>122</v>
      </c>
      <c r="J3078">
        <v>2333.36</v>
      </c>
      <c r="K3078">
        <v>451.62</v>
      </c>
      <c r="L3078">
        <v>49501</v>
      </c>
      <c r="M3078" t="s">
        <v>177</v>
      </c>
      <c r="N3078" t="str">
        <f>"6131384533  "</f>
        <v xml:space="preserve">6131384533  </v>
      </c>
      <c r="O3078">
        <v>240111</v>
      </c>
    </row>
    <row r="3079" spans="1:15" x14ac:dyDescent="0.25">
      <c r="A3079" t="s">
        <v>16</v>
      </c>
      <c r="B3079" t="s">
        <v>3221</v>
      </c>
      <c r="C3079">
        <v>19154</v>
      </c>
      <c r="D3079" t="s">
        <v>941</v>
      </c>
      <c r="E3079" t="s">
        <v>942</v>
      </c>
      <c r="F3079">
        <v>99.04</v>
      </c>
      <c r="G3079">
        <v>240104</v>
      </c>
      <c r="H3079">
        <v>4572</v>
      </c>
      <c r="I3079" t="s">
        <v>122</v>
      </c>
      <c r="J3079">
        <v>122.81</v>
      </c>
      <c r="K3079">
        <v>23.77</v>
      </c>
      <c r="L3079">
        <v>49801</v>
      </c>
      <c r="M3079" t="s">
        <v>1227</v>
      </c>
      <c r="N3079" t="str">
        <f>"6131384533  "</f>
        <v xml:space="preserve">6131384533  </v>
      </c>
      <c r="O3079">
        <v>240111</v>
      </c>
    </row>
    <row r="3080" spans="1:15" x14ac:dyDescent="0.25">
      <c r="A3080" t="s">
        <v>16</v>
      </c>
      <c r="B3080" t="s">
        <v>3221</v>
      </c>
      <c r="C3080">
        <v>19337</v>
      </c>
      <c r="D3080" t="s">
        <v>941</v>
      </c>
      <c r="E3080" t="s">
        <v>942</v>
      </c>
      <c r="F3080">
        <v>2966.19</v>
      </c>
      <c r="G3080">
        <v>240104</v>
      </c>
      <c r="H3080">
        <v>4572</v>
      </c>
      <c r="I3080" t="s">
        <v>122</v>
      </c>
      <c r="J3080">
        <v>3678.07</v>
      </c>
      <c r="K3080">
        <v>711.88</v>
      </c>
      <c r="L3080">
        <v>49501</v>
      </c>
      <c r="M3080" t="s">
        <v>177</v>
      </c>
      <c r="N3080" t="str">
        <f>"6131327347  "</f>
        <v xml:space="preserve">6131327347  </v>
      </c>
      <c r="O3080">
        <v>240117</v>
      </c>
    </row>
    <row r="3081" spans="1:15" x14ac:dyDescent="0.25">
      <c r="A3081" t="s">
        <v>16</v>
      </c>
      <c r="B3081" t="s">
        <v>3221</v>
      </c>
      <c r="C3081">
        <v>19337</v>
      </c>
      <c r="D3081" t="s">
        <v>941</v>
      </c>
      <c r="E3081" t="s">
        <v>942</v>
      </c>
      <c r="F3081">
        <v>523.44000000000005</v>
      </c>
      <c r="G3081">
        <v>240104</v>
      </c>
      <c r="H3081">
        <v>4572</v>
      </c>
      <c r="I3081" t="s">
        <v>122</v>
      </c>
      <c r="J3081">
        <v>649.07000000000005</v>
      </c>
      <c r="K3081">
        <v>125.63</v>
      </c>
      <c r="L3081">
        <v>49801</v>
      </c>
      <c r="M3081" t="s">
        <v>1227</v>
      </c>
      <c r="N3081" t="str">
        <f>"6131327347  "</f>
        <v xml:space="preserve">6131327347  </v>
      </c>
      <c r="O3081">
        <v>240117</v>
      </c>
    </row>
    <row r="3082" spans="1:15" x14ac:dyDescent="0.25">
      <c r="A3082" t="s">
        <v>16</v>
      </c>
      <c r="B3082" t="s">
        <v>3221</v>
      </c>
      <c r="C3082">
        <v>1584</v>
      </c>
      <c r="D3082" t="s">
        <v>1090</v>
      </c>
      <c r="E3082" t="s">
        <v>1091</v>
      </c>
      <c r="F3082">
        <v>60.61</v>
      </c>
      <c r="G3082">
        <v>230130</v>
      </c>
      <c r="H3082">
        <v>4600</v>
      </c>
      <c r="I3082" t="s">
        <v>105</v>
      </c>
      <c r="J3082">
        <v>75.16</v>
      </c>
      <c r="K3082">
        <v>14.55</v>
      </c>
      <c r="L3082">
        <v>56560</v>
      </c>
      <c r="M3082" t="s">
        <v>654</v>
      </c>
      <c r="N3082" t="str">
        <f>"279642      "</f>
        <v xml:space="preserve">279642      </v>
      </c>
      <c r="O3082">
        <v>230210</v>
      </c>
    </row>
    <row r="3083" spans="1:15" x14ac:dyDescent="0.25">
      <c r="A3083" t="s">
        <v>16</v>
      </c>
      <c r="B3083" t="s">
        <v>3221</v>
      </c>
      <c r="C3083">
        <v>12395</v>
      </c>
      <c r="D3083" t="s">
        <v>1090</v>
      </c>
      <c r="E3083" t="s">
        <v>1091</v>
      </c>
      <c r="F3083">
        <v>131.72</v>
      </c>
      <c r="G3083">
        <v>230911</v>
      </c>
      <c r="H3083">
        <v>4600</v>
      </c>
      <c r="I3083" t="s">
        <v>105</v>
      </c>
      <c r="J3083">
        <v>163.33000000000001</v>
      </c>
      <c r="K3083">
        <v>31.61</v>
      </c>
      <c r="L3083">
        <v>56560</v>
      </c>
      <c r="M3083" t="s">
        <v>654</v>
      </c>
      <c r="N3083" t="str">
        <f>"298199      "</f>
        <v xml:space="preserve">298199      </v>
      </c>
      <c r="O3083">
        <v>230919</v>
      </c>
    </row>
    <row r="3084" spans="1:15" x14ac:dyDescent="0.25">
      <c r="A3084" t="s">
        <v>16</v>
      </c>
      <c r="B3084" t="s">
        <v>3221</v>
      </c>
      <c r="C3084">
        <v>5962</v>
      </c>
      <c r="D3084" t="s">
        <v>3447</v>
      </c>
      <c r="F3084">
        <v>300</v>
      </c>
      <c r="G3084">
        <v>230502</v>
      </c>
      <c r="H3084">
        <v>4440</v>
      </c>
      <c r="I3084" t="s">
        <v>250</v>
      </c>
      <c r="J3084">
        <v>300</v>
      </c>
      <c r="K3084">
        <v>0</v>
      </c>
      <c r="L3084">
        <v>56563</v>
      </c>
      <c r="M3084" t="s">
        <v>953</v>
      </c>
      <c r="N3084" t="str">
        <f>"020523      "</f>
        <v xml:space="preserve">020523      </v>
      </c>
      <c r="O3084">
        <v>230504</v>
      </c>
    </row>
    <row r="3085" spans="1:15" x14ac:dyDescent="0.25">
      <c r="A3085" t="s">
        <v>16</v>
      </c>
      <c r="B3085" t="s">
        <v>3221</v>
      </c>
      <c r="C3085">
        <v>4998</v>
      </c>
      <c r="D3085" t="s">
        <v>3423</v>
      </c>
      <c r="E3085" t="s">
        <v>3424</v>
      </c>
      <c r="F3085">
        <v>60.8</v>
      </c>
      <c r="G3085">
        <v>230404</v>
      </c>
      <c r="H3085">
        <v>4510</v>
      </c>
      <c r="I3085" t="s">
        <v>42</v>
      </c>
      <c r="J3085">
        <v>66.88</v>
      </c>
      <c r="K3085">
        <v>6.08</v>
      </c>
      <c r="L3085">
        <v>49112</v>
      </c>
      <c r="M3085" t="s">
        <v>233</v>
      </c>
      <c r="N3085" t="str">
        <f>"3303880     "</f>
        <v xml:space="preserve">3303880     </v>
      </c>
      <c r="O3085">
        <v>230417</v>
      </c>
    </row>
    <row r="3086" spans="1:15" x14ac:dyDescent="0.25">
      <c r="A3086" t="s">
        <v>16</v>
      </c>
      <c r="B3086" t="s">
        <v>3221</v>
      </c>
      <c r="C3086">
        <v>5037</v>
      </c>
      <c r="D3086" t="s">
        <v>3423</v>
      </c>
      <c r="E3086" t="s">
        <v>3424</v>
      </c>
      <c r="F3086">
        <v>60.8</v>
      </c>
      <c r="G3086">
        <v>230404</v>
      </c>
      <c r="H3086">
        <v>4510</v>
      </c>
      <c r="I3086" t="s">
        <v>42</v>
      </c>
      <c r="J3086">
        <v>66.88</v>
      </c>
      <c r="K3086">
        <v>6.08</v>
      </c>
      <c r="L3086">
        <v>56563</v>
      </c>
      <c r="M3086" t="s">
        <v>953</v>
      </c>
      <c r="N3086" t="str">
        <f>"3303873     "</f>
        <v xml:space="preserve">3303873     </v>
      </c>
      <c r="O3086">
        <v>230417</v>
      </c>
    </row>
    <row r="3087" spans="1:15" x14ac:dyDescent="0.25">
      <c r="A3087" t="s">
        <v>16</v>
      </c>
      <c r="B3087" t="s">
        <v>3221</v>
      </c>
      <c r="C3087">
        <v>166</v>
      </c>
      <c r="D3087" t="s">
        <v>252</v>
      </c>
      <c r="E3087" t="s">
        <v>253</v>
      </c>
      <c r="F3087">
        <v>64.94</v>
      </c>
      <c r="G3087">
        <v>230109</v>
      </c>
      <c r="H3087">
        <v>4520</v>
      </c>
      <c r="I3087" t="s">
        <v>254</v>
      </c>
      <c r="J3087">
        <v>74.03</v>
      </c>
      <c r="K3087">
        <v>9.09</v>
      </c>
      <c r="L3087">
        <v>59113</v>
      </c>
      <c r="M3087" t="s">
        <v>235</v>
      </c>
      <c r="N3087" t="str">
        <f>"413828      "</f>
        <v xml:space="preserve">413828      </v>
      </c>
      <c r="O3087">
        <v>230116</v>
      </c>
    </row>
    <row r="3088" spans="1:15" x14ac:dyDescent="0.25">
      <c r="A3088" t="s">
        <v>16</v>
      </c>
      <c r="B3088" t="s">
        <v>3221</v>
      </c>
      <c r="C3088">
        <v>1867</v>
      </c>
      <c r="D3088" t="s">
        <v>252</v>
      </c>
      <c r="E3088" t="s">
        <v>253</v>
      </c>
      <c r="F3088">
        <v>589.51</v>
      </c>
      <c r="G3088">
        <v>230213</v>
      </c>
      <c r="H3088">
        <v>4520</v>
      </c>
      <c r="I3088" t="s">
        <v>254</v>
      </c>
      <c r="J3088">
        <v>672.04</v>
      </c>
      <c r="K3088">
        <v>82.53</v>
      </c>
      <c r="L3088">
        <v>59113</v>
      </c>
      <c r="M3088" t="s">
        <v>235</v>
      </c>
      <c r="N3088" t="str">
        <f>"415630      "</f>
        <v xml:space="preserve">415630      </v>
      </c>
      <c r="O3088">
        <v>230215</v>
      </c>
    </row>
    <row r="3089" spans="1:15" x14ac:dyDescent="0.25">
      <c r="A3089" t="s">
        <v>16</v>
      </c>
      <c r="B3089" t="s">
        <v>3221</v>
      </c>
      <c r="C3089">
        <v>1867</v>
      </c>
      <c r="D3089" t="s">
        <v>252</v>
      </c>
      <c r="E3089" t="s">
        <v>253</v>
      </c>
      <c r="F3089">
        <v>104.04</v>
      </c>
      <c r="G3089">
        <v>230213</v>
      </c>
      <c r="H3089">
        <v>4520</v>
      </c>
      <c r="I3089" t="s">
        <v>254</v>
      </c>
      <c r="J3089">
        <v>118.6</v>
      </c>
      <c r="K3089">
        <v>14.56</v>
      </c>
      <c r="L3089">
        <v>59803</v>
      </c>
      <c r="M3089" t="s">
        <v>533</v>
      </c>
      <c r="N3089" t="str">
        <f>"415630      "</f>
        <v xml:space="preserve">415630      </v>
      </c>
      <c r="O3089">
        <v>230215</v>
      </c>
    </row>
    <row r="3090" spans="1:15" x14ac:dyDescent="0.25">
      <c r="A3090" t="s">
        <v>16</v>
      </c>
      <c r="B3090" t="s">
        <v>3221</v>
      </c>
      <c r="C3090">
        <v>1674</v>
      </c>
      <c r="D3090" t="s">
        <v>1135</v>
      </c>
      <c r="E3090" t="s">
        <v>256</v>
      </c>
      <c r="F3090">
        <v>69.989999999999995</v>
      </c>
      <c r="G3090">
        <v>230203</v>
      </c>
      <c r="H3090">
        <v>4362</v>
      </c>
      <c r="I3090" t="s">
        <v>79</v>
      </c>
      <c r="J3090">
        <v>86.79</v>
      </c>
      <c r="K3090">
        <v>16.8</v>
      </c>
      <c r="L3090">
        <v>11001</v>
      </c>
      <c r="M3090" t="s">
        <v>326</v>
      </c>
      <c r="N3090" t="str">
        <f>"90396625382 "</f>
        <v xml:space="preserve">90396625382 </v>
      </c>
      <c r="O3090">
        <v>230213</v>
      </c>
    </row>
    <row r="3091" spans="1:15" x14ac:dyDescent="0.25">
      <c r="A3091" t="s">
        <v>16</v>
      </c>
      <c r="B3091" t="s">
        <v>3221</v>
      </c>
      <c r="C3091">
        <v>2805</v>
      </c>
      <c r="D3091" t="s">
        <v>1135</v>
      </c>
      <c r="E3091" t="s">
        <v>256</v>
      </c>
      <c r="F3091">
        <v>69.989999999999995</v>
      </c>
      <c r="G3091">
        <v>230303</v>
      </c>
      <c r="H3091">
        <v>4362</v>
      </c>
      <c r="I3091" t="s">
        <v>79</v>
      </c>
      <c r="J3091">
        <v>86.79</v>
      </c>
      <c r="K3091">
        <v>16.8</v>
      </c>
      <c r="L3091">
        <v>11001</v>
      </c>
      <c r="M3091" t="s">
        <v>326</v>
      </c>
      <c r="N3091" t="str">
        <f>"90398980287 "</f>
        <v xml:space="preserve">90398980287 </v>
      </c>
      <c r="O3091">
        <v>230307</v>
      </c>
    </row>
    <row r="3092" spans="1:15" x14ac:dyDescent="0.25">
      <c r="A3092" t="s">
        <v>16</v>
      </c>
      <c r="B3092" t="s">
        <v>3221</v>
      </c>
      <c r="C3092">
        <v>4624</v>
      </c>
      <c r="D3092" t="s">
        <v>1135</v>
      </c>
      <c r="E3092" t="s">
        <v>256</v>
      </c>
      <c r="F3092">
        <v>69.989999999999995</v>
      </c>
      <c r="G3092">
        <v>230403</v>
      </c>
      <c r="H3092">
        <v>4362</v>
      </c>
      <c r="I3092" t="s">
        <v>79</v>
      </c>
      <c r="J3092">
        <v>86.79</v>
      </c>
      <c r="K3092">
        <v>16.8</v>
      </c>
      <c r="L3092">
        <v>11001</v>
      </c>
      <c r="M3092" t="s">
        <v>326</v>
      </c>
      <c r="N3092" t="str">
        <f>"90401384143 "</f>
        <v xml:space="preserve">90401384143 </v>
      </c>
      <c r="O3092">
        <v>230411</v>
      </c>
    </row>
    <row r="3093" spans="1:15" x14ac:dyDescent="0.25">
      <c r="A3093" t="s">
        <v>16</v>
      </c>
      <c r="B3093" t="s">
        <v>3221</v>
      </c>
      <c r="C3093">
        <v>5949</v>
      </c>
      <c r="D3093" t="s">
        <v>1135</v>
      </c>
      <c r="E3093" t="s">
        <v>256</v>
      </c>
      <c r="F3093">
        <v>69.989999999999995</v>
      </c>
      <c r="G3093">
        <v>230503</v>
      </c>
      <c r="H3093">
        <v>4362</v>
      </c>
      <c r="I3093" t="s">
        <v>79</v>
      </c>
      <c r="J3093">
        <v>86.79</v>
      </c>
      <c r="K3093">
        <v>16.8</v>
      </c>
      <c r="L3093">
        <v>11001</v>
      </c>
      <c r="M3093" t="s">
        <v>326</v>
      </c>
      <c r="N3093" t="str">
        <f>"90403682240 "</f>
        <v xml:space="preserve">90403682240 </v>
      </c>
      <c r="O3093">
        <v>230504</v>
      </c>
    </row>
    <row r="3094" spans="1:15" x14ac:dyDescent="0.25">
      <c r="A3094" t="s">
        <v>16</v>
      </c>
      <c r="B3094" t="s">
        <v>3221</v>
      </c>
      <c r="C3094">
        <v>8097</v>
      </c>
      <c r="D3094" t="s">
        <v>1135</v>
      </c>
      <c r="E3094" t="s">
        <v>256</v>
      </c>
      <c r="F3094">
        <v>69.989999999999995</v>
      </c>
      <c r="G3094">
        <v>230603</v>
      </c>
      <c r="H3094">
        <v>4362</v>
      </c>
      <c r="I3094" t="s">
        <v>79</v>
      </c>
      <c r="J3094">
        <v>86.79</v>
      </c>
      <c r="K3094">
        <v>16.8</v>
      </c>
      <c r="L3094">
        <v>11001</v>
      </c>
      <c r="M3094" t="s">
        <v>326</v>
      </c>
      <c r="N3094" t="str">
        <f>"90406047646 "</f>
        <v xml:space="preserve">90406047646 </v>
      </c>
      <c r="O3094">
        <v>230607</v>
      </c>
    </row>
    <row r="3095" spans="1:15" x14ac:dyDescent="0.25">
      <c r="A3095" t="s">
        <v>16</v>
      </c>
      <c r="B3095" t="s">
        <v>3221</v>
      </c>
      <c r="C3095">
        <v>9392</v>
      </c>
      <c r="D3095" t="s">
        <v>1135</v>
      </c>
      <c r="E3095" t="s">
        <v>256</v>
      </c>
      <c r="F3095">
        <v>69.989999999999995</v>
      </c>
      <c r="G3095">
        <v>230703</v>
      </c>
      <c r="H3095">
        <v>4362</v>
      </c>
      <c r="I3095" t="s">
        <v>79</v>
      </c>
      <c r="J3095">
        <v>86.79</v>
      </c>
      <c r="K3095">
        <v>16.8</v>
      </c>
      <c r="L3095">
        <v>11001</v>
      </c>
      <c r="M3095" t="s">
        <v>326</v>
      </c>
      <c r="N3095" t="str">
        <f>"90408338217 "</f>
        <v xml:space="preserve">90408338217 </v>
      </c>
      <c r="O3095">
        <v>230710</v>
      </c>
    </row>
    <row r="3096" spans="1:15" x14ac:dyDescent="0.25">
      <c r="A3096" t="s">
        <v>16</v>
      </c>
      <c r="B3096" t="s">
        <v>3221</v>
      </c>
      <c r="C3096">
        <v>9497</v>
      </c>
      <c r="D3096" t="s">
        <v>1135</v>
      </c>
      <c r="E3096" t="s">
        <v>256</v>
      </c>
      <c r="F3096">
        <v>13.23</v>
      </c>
      <c r="G3096">
        <v>230708</v>
      </c>
      <c r="H3096">
        <v>4362</v>
      </c>
      <c r="I3096" t="s">
        <v>79</v>
      </c>
      <c r="J3096">
        <v>16.41</v>
      </c>
      <c r="K3096">
        <v>3.18</v>
      </c>
      <c r="L3096">
        <v>69501</v>
      </c>
      <c r="M3096" t="s">
        <v>185</v>
      </c>
      <c r="N3096" t="str">
        <f>"90408541886 "</f>
        <v xml:space="preserve">90408541886 </v>
      </c>
      <c r="O3096">
        <v>230712</v>
      </c>
    </row>
    <row r="3097" spans="1:15" x14ac:dyDescent="0.25">
      <c r="A3097" t="s">
        <v>16</v>
      </c>
      <c r="B3097" t="s">
        <v>3221</v>
      </c>
      <c r="C3097">
        <v>10281</v>
      </c>
      <c r="D3097" t="s">
        <v>1135</v>
      </c>
      <c r="E3097" t="s">
        <v>256</v>
      </c>
      <c r="F3097">
        <v>69.989999999999995</v>
      </c>
      <c r="G3097">
        <v>230803</v>
      </c>
      <c r="H3097">
        <v>4362</v>
      </c>
      <c r="I3097" t="s">
        <v>79</v>
      </c>
      <c r="J3097">
        <v>86.79</v>
      </c>
      <c r="K3097">
        <v>16.8</v>
      </c>
      <c r="L3097">
        <v>11001</v>
      </c>
      <c r="M3097" t="s">
        <v>326</v>
      </c>
      <c r="N3097" t="str">
        <f>"90410625740 "</f>
        <v xml:space="preserve">90410625740 </v>
      </c>
      <c r="O3097">
        <v>230814</v>
      </c>
    </row>
    <row r="3098" spans="1:15" x14ac:dyDescent="0.25">
      <c r="A3098" t="s">
        <v>16</v>
      </c>
      <c r="B3098" t="s">
        <v>3221</v>
      </c>
      <c r="C3098">
        <v>11783</v>
      </c>
      <c r="D3098" t="s">
        <v>1135</v>
      </c>
      <c r="E3098" t="s">
        <v>256</v>
      </c>
      <c r="F3098">
        <v>69.989999999999995</v>
      </c>
      <c r="G3098">
        <v>230903</v>
      </c>
      <c r="H3098">
        <v>4362</v>
      </c>
      <c r="I3098" t="s">
        <v>79</v>
      </c>
      <c r="J3098">
        <v>86.79</v>
      </c>
      <c r="K3098">
        <v>16.8</v>
      </c>
      <c r="L3098">
        <v>11001</v>
      </c>
      <c r="M3098" t="s">
        <v>326</v>
      </c>
      <c r="N3098" t="str">
        <f>"90412908559 "</f>
        <v xml:space="preserve">90412908559 </v>
      </c>
      <c r="O3098">
        <v>230911</v>
      </c>
    </row>
    <row r="3099" spans="1:15" x14ac:dyDescent="0.25">
      <c r="A3099" t="s">
        <v>16</v>
      </c>
      <c r="B3099" t="s">
        <v>3221</v>
      </c>
      <c r="C3099">
        <v>13294</v>
      </c>
      <c r="D3099" t="s">
        <v>1135</v>
      </c>
      <c r="E3099" t="s">
        <v>256</v>
      </c>
      <c r="F3099">
        <v>69.989999999999995</v>
      </c>
      <c r="G3099">
        <v>231003</v>
      </c>
      <c r="H3099">
        <v>4362</v>
      </c>
      <c r="I3099" t="s">
        <v>79</v>
      </c>
      <c r="J3099">
        <v>86.79</v>
      </c>
      <c r="K3099">
        <v>16.8</v>
      </c>
      <c r="L3099">
        <v>11001</v>
      </c>
      <c r="M3099" t="s">
        <v>326</v>
      </c>
      <c r="N3099" t="str">
        <f>"90415187822 "</f>
        <v xml:space="preserve">90415187822 </v>
      </c>
      <c r="O3099">
        <v>231009</v>
      </c>
    </row>
    <row r="3100" spans="1:15" x14ac:dyDescent="0.25">
      <c r="A3100" t="s">
        <v>16</v>
      </c>
      <c r="B3100" t="s">
        <v>3221</v>
      </c>
      <c r="C3100">
        <v>15357</v>
      </c>
      <c r="D3100" t="s">
        <v>1135</v>
      </c>
      <c r="E3100" t="s">
        <v>256</v>
      </c>
      <c r="F3100">
        <v>69.989999999999995</v>
      </c>
      <c r="G3100">
        <v>231103</v>
      </c>
      <c r="H3100">
        <v>4362</v>
      </c>
      <c r="I3100" t="s">
        <v>79</v>
      </c>
      <c r="J3100">
        <v>86.79</v>
      </c>
      <c r="K3100">
        <v>16.8</v>
      </c>
      <c r="L3100">
        <v>11001</v>
      </c>
      <c r="M3100" t="s">
        <v>326</v>
      </c>
      <c r="N3100" t="str">
        <f>"90417723106 "</f>
        <v xml:space="preserve">90417723106 </v>
      </c>
      <c r="O3100">
        <v>231113</v>
      </c>
    </row>
    <row r="3101" spans="1:15" x14ac:dyDescent="0.25">
      <c r="A3101" t="s">
        <v>16</v>
      </c>
      <c r="B3101" t="s">
        <v>3221</v>
      </c>
      <c r="C3101">
        <v>16930</v>
      </c>
      <c r="D3101" t="s">
        <v>1135</v>
      </c>
      <c r="E3101" t="s">
        <v>256</v>
      </c>
      <c r="F3101">
        <v>69.989999999999995</v>
      </c>
      <c r="G3101">
        <v>231203</v>
      </c>
      <c r="H3101">
        <v>4362</v>
      </c>
      <c r="I3101" t="s">
        <v>79</v>
      </c>
      <c r="J3101">
        <v>86.79</v>
      </c>
      <c r="K3101">
        <v>16.8</v>
      </c>
      <c r="L3101">
        <v>11001</v>
      </c>
      <c r="M3101" t="s">
        <v>326</v>
      </c>
      <c r="N3101" t="str">
        <f>"90420032922 "</f>
        <v xml:space="preserve">90420032922 </v>
      </c>
      <c r="O3101">
        <v>231211</v>
      </c>
    </row>
    <row r="3102" spans="1:15" x14ac:dyDescent="0.25">
      <c r="A3102" t="s">
        <v>16</v>
      </c>
      <c r="B3102" t="s">
        <v>3221</v>
      </c>
      <c r="C3102">
        <v>18750</v>
      </c>
      <c r="D3102" t="s">
        <v>1135</v>
      </c>
      <c r="E3102" t="s">
        <v>256</v>
      </c>
      <c r="F3102">
        <v>69.989999999999995</v>
      </c>
      <c r="G3102">
        <v>240103</v>
      </c>
      <c r="H3102">
        <v>4362</v>
      </c>
      <c r="I3102" t="s">
        <v>79</v>
      </c>
      <c r="J3102">
        <v>86.79</v>
      </c>
      <c r="K3102">
        <v>16.8</v>
      </c>
      <c r="L3102">
        <v>11001</v>
      </c>
      <c r="M3102" t="s">
        <v>326</v>
      </c>
      <c r="N3102" t="str">
        <f>"90422364122 "</f>
        <v xml:space="preserve">90422364122 </v>
      </c>
      <c r="O3102">
        <v>240105</v>
      </c>
    </row>
    <row r="3103" spans="1:15" x14ac:dyDescent="0.25">
      <c r="A3103" t="s">
        <v>16</v>
      </c>
      <c r="B3103" t="s">
        <v>3221</v>
      </c>
      <c r="C3103">
        <v>2314</v>
      </c>
      <c r="D3103" t="s">
        <v>1135</v>
      </c>
      <c r="E3103" t="s">
        <v>256</v>
      </c>
      <c r="F3103">
        <v>202.48</v>
      </c>
      <c r="G3103">
        <v>230216</v>
      </c>
      <c r="H3103">
        <v>4471</v>
      </c>
      <c r="I3103" t="s">
        <v>68</v>
      </c>
      <c r="J3103">
        <v>251.08</v>
      </c>
      <c r="K3103">
        <v>48.6</v>
      </c>
      <c r="L3103">
        <v>14951</v>
      </c>
      <c r="M3103" t="s">
        <v>57</v>
      </c>
      <c r="N3103" t="str">
        <f>"97130828    "</f>
        <v xml:space="preserve">97130828    </v>
      </c>
      <c r="O3103">
        <v>230224</v>
      </c>
    </row>
    <row r="3104" spans="1:15" x14ac:dyDescent="0.25">
      <c r="A3104" t="s">
        <v>16</v>
      </c>
      <c r="B3104" t="s">
        <v>3221</v>
      </c>
      <c r="C3104">
        <v>3541</v>
      </c>
      <c r="D3104" t="s">
        <v>1135</v>
      </c>
      <c r="E3104" t="s">
        <v>256</v>
      </c>
      <c r="F3104">
        <v>205.53</v>
      </c>
      <c r="G3104">
        <v>230316</v>
      </c>
      <c r="H3104">
        <v>4471</v>
      </c>
      <c r="I3104" t="s">
        <v>68</v>
      </c>
      <c r="J3104">
        <v>254.86</v>
      </c>
      <c r="K3104">
        <v>49.33</v>
      </c>
      <c r="L3104">
        <v>14951</v>
      </c>
      <c r="M3104" t="s">
        <v>57</v>
      </c>
      <c r="N3104" t="str">
        <f>"97178523    "</f>
        <v xml:space="preserve">97178523    </v>
      </c>
      <c r="O3104">
        <v>230316</v>
      </c>
    </row>
    <row r="3105" spans="1:15" x14ac:dyDescent="0.25">
      <c r="A3105" t="s">
        <v>16</v>
      </c>
      <c r="B3105" t="s">
        <v>3221</v>
      </c>
      <c r="C3105">
        <v>5117</v>
      </c>
      <c r="D3105" t="s">
        <v>1135</v>
      </c>
      <c r="E3105" t="s">
        <v>256</v>
      </c>
      <c r="F3105">
        <v>312.43</v>
      </c>
      <c r="G3105">
        <v>230414</v>
      </c>
      <c r="H3105">
        <v>4471</v>
      </c>
      <c r="I3105" t="s">
        <v>68</v>
      </c>
      <c r="J3105">
        <v>387.41</v>
      </c>
      <c r="K3105">
        <v>74.98</v>
      </c>
      <c r="L3105">
        <v>14951</v>
      </c>
      <c r="M3105" t="s">
        <v>57</v>
      </c>
      <c r="N3105" t="str">
        <f>"97226580    "</f>
        <v xml:space="preserve">97226580    </v>
      </c>
      <c r="O3105">
        <v>230418</v>
      </c>
    </row>
    <row r="3106" spans="1:15" x14ac:dyDescent="0.25">
      <c r="A3106" t="s">
        <v>16</v>
      </c>
      <c r="B3106" t="s">
        <v>3221</v>
      </c>
      <c r="C3106">
        <v>6738</v>
      </c>
      <c r="D3106" t="s">
        <v>1135</v>
      </c>
      <c r="E3106" t="s">
        <v>256</v>
      </c>
      <c r="F3106">
        <v>272</v>
      </c>
      <c r="G3106">
        <v>230511</v>
      </c>
      <c r="H3106">
        <v>4471</v>
      </c>
      <c r="I3106" t="s">
        <v>68</v>
      </c>
      <c r="J3106">
        <v>337.28</v>
      </c>
      <c r="K3106">
        <v>65.28</v>
      </c>
      <c r="L3106">
        <v>14951</v>
      </c>
      <c r="M3106" t="s">
        <v>57</v>
      </c>
      <c r="N3106" t="str">
        <f>"97274050    "</f>
        <v xml:space="preserve">97274050    </v>
      </c>
      <c r="O3106">
        <v>230522</v>
      </c>
    </row>
    <row r="3107" spans="1:15" x14ac:dyDescent="0.25">
      <c r="A3107" t="s">
        <v>16</v>
      </c>
      <c r="B3107" t="s">
        <v>3221</v>
      </c>
      <c r="C3107">
        <v>8826</v>
      </c>
      <c r="D3107" t="s">
        <v>1135</v>
      </c>
      <c r="E3107" t="s">
        <v>256</v>
      </c>
      <c r="F3107">
        <v>265.94</v>
      </c>
      <c r="G3107">
        <v>230615</v>
      </c>
      <c r="H3107">
        <v>4471</v>
      </c>
      <c r="I3107" t="s">
        <v>68</v>
      </c>
      <c r="J3107">
        <v>329.77</v>
      </c>
      <c r="K3107">
        <v>63.83</v>
      </c>
      <c r="L3107">
        <v>14951</v>
      </c>
      <c r="M3107" t="s">
        <v>57</v>
      </c>
      <c r="N3107" t="str">
        <f>"97321272    "</f>
        <v xml:space="preserve">97321272    </v>
      </c>
      <c r="O3107">
        <v>230616</v>
      </c>
    </row>
    <row r="3108" spans="1:15" x14ac:dyDescent="0.25">
      <c r="A3108" t="s">
        <v>16</v>
      </c>
      <c r="B3108" t="s">
        <v>3221</v>
      </c>
      <c r="C3108">
        <v>9829</v>
      </c>
      <c r="D3108" t="s">
        <v>1135</v>
      </c>
      <c r="E3108" t="s">
        <v>256</v>
      </c>
      <c r="F3108">
        <v>254.09</v>
      </c>
      <c r="G3108">
        <v>230713</v>
      </c>
      <c r="H3108">
        <v>4471</v>
      </c>
      <c r="I3108" t="s">
        <v>68</v>
      </c>
      <c r="J3108">
        <v>315.07</v>
      </c>
      <c r="K3108">
        <v>60.98</v>
      </c>
      <c r="L3108">
        <v>14951</v>
      </c>
      <c r="M3108" t="s">
        <v>57</v>
      </c>
      <c r="N3108" t="str">
        <f>"97367851    "</f>
        <v xml:space="preserve">97367851    </v>
      </c>
      <c r="O3108">
        <v>230726</v>
      </c>
    </row>
    <row r="3109" spans="1:15" x14ac:dyDescent="0.25">
      <c r="A3109" t="s">
        <v>16</v>
      </c>
      <c r="B3109" t="s">
        <v>3221</v>
      </c>
      <c r="C3109">
        <v>10327</v>
      </c>
      <c r="D3109" t="s">
        <v>1135</v>
      </c>
      <c r="E3109" t="s">
        <v>256</v>
      </c>
      <c r="F3109">
        <v>253.48</v>
      </c>
      <c r="G3109">
        <v>230810</v>
      </c>
      <c r="H3109">
        <v>4471</v>
      </c>
      <c r="I3109" t="s">
        <v>68</v>
      </c>
      <c r="J3109">
        <v>314.31</v>
      </c>
      <c r="K3109">
        <v>60.83</v>
      </c>
      <c r="L3109">
        <v>14951</v>
      </c>
      <c r="M3109" t="s">
        <v>57</v>
      </c>
      <c r="N3109" t="str">
        <f>"97413917    "</f>
        <v xml:space="preserve">97413917    </v>
      </c>
      <c r="O3109">
        <v>230814</v>
      </c>
    </row>
    <row r="3110" spans="1:15" x14ac:dyDescent="0.25">
      <c r="A3110" t="s">
        <v>16</v>
      </c>
      <c r="B3110" t="s">
        <v>3221</v>
      </c>
      <c r="C3110">
        <v>12462</v>
      </c>
      <c r="D3110" t="s">
        <v>1135</v>
      </c>
      <c r="E3110" t="s">
        <v>256</v>
      </c>
      <c r="F3110">
        <v>260.52999999999997</v>
      </c>
      <c r="G3110">
        <v>230915</v>
      </c>
      <c r="H3110">
        <v>4471</v>
      </c>
      <c r="I3110" t="s">
        <v>68</v>
      </c>
      <c r="J3110">
        <v>323.06</v>
      </c>
      <c r="K3110">
        <v>62.53</v>
      </c>
      <c r="L3110">
        <v>14951</v>
      </c>
      <c r="M3110" t="s">
        <v>57</v>
      </c>
      <c r="N3110" t="str">
        <f>"97459787    "</f>
        <v xml:space="preserve">97459787    </v>
      </c>
      <c r="O3110">
        <v>230920</v>
      </c>
    </row>
    <row r="3111" spans="1:15" x14ac:dyDescent="0.25">
      <c r="A3111" t="s">
        <v>16</v>
      </c>
      <c r="B3111" t="s">
        <v>3221</v>
      </c>
      <c r="C3111">
        <v>13909</v>
      </c>
      <c r="D3111" t="s">
        <v>1135</v>
      </c>
      <c r="E3111" t="s">
        <v>256</v>
      </c>
      <c r="F3111">
        <v>263.52999999999997</v>
      </c>
      <c r="G3111">
        <v>231012</v>
      </c>
      <c r="H3111">
        <v>4471</v>
      </c>
      <c r="I3111" t="s">
        <v>68</v>
      </c>
      <c r="J3111">
        <v>326.77999999999997</v>
      </c>
      <c r="K3111">
        <v>63.25</v>
      </c>
      <c r="L3111">
        <v>14951</v>
      </c>
      <c r="M3111" t="s">
        <v>57</v>
      </c>
      <c r="N3111" t="str">
        <f>"97505135    "</f>
        <v xml:space="preserve">97505135    </v>
      </c>
      <c r="O3111">
        <v>231016</v>
      </c>
    </row>
    <row r="3112" spans="1:15" x14ac:dyDescent="0.25">
      <c r="A3112" t="s">
        <v>16</v>
      </c>
      <c r="B3112" t="s">
        <v>3221</v>
      </c>
      <c r="C3112">
        <v>15822</v>
      </c>
      <c r="D3112" t="s">
        <v>1135</v>
      </c>
      <c r="E3112" t="s">
        <v>256</v>
      </c>
      <c r="F3112">
        <v>269.66000000000003</v>
      </c>
      <c r="G3112">
        <v>231116</v>
      </c>
      <c r="H3112">
        <v>4471</v>
      </c>
      <c r="I3112" t="s">
        <v>68</v>
      </c>
      <c r="J3112">
        <v>334.38</v>
      </c>
      <c r="K3112">
        <v>64.72</v>
      </c>
      <c r="L3112">
        <v>14951</v>
      </c>
      <c r="M3112" t="s">
        <v>57</v>
      </c>
      <c r="N3112" t="str">
        <f>"97550278    "</f>
        <v xml:space="preserve">97550278    </v>
      </c>
      <c r="O3112">
        <v>231120</v>
      </c>
    </row>
    <row r="3113" spans="1:15" x14ac:dyDescent="0.25">
      <c r="A3113" t="s">
        <v>16</v>
      </c>
      <c r="B3113" t="s">
        <v>3221</v>
      </c>
      <c r="C3113">
        <v>17880</v>
      </c>
      <c r="D3113" t="s">
        <v>1135</v>
      </c>
      <c r="E3113" t="s">
        <v>256</v>
      </c>
      <c r="F3113">
        <v>260.58</v>
      </c>
      <c r="G3113">
        <v>231214</v>
      </c>
      <c r="H3113">
        <v>4471</v>
      </c>
      <c r="I3113" t="s">
        <v>68</v>
      </c>
      <c r="J3113">
        <v>323.12</v>
      </c>
      <c r="K3113">
        <v>62.54</v>
      </c>
      <c r="L3113">
        <v>14951</v>
      </c>
      <c r="M3113" t="s">
        <v>57</v>
      </c>
      <c r="N3113" t="str">
        <f>"97595193    "</f>
        <v xml:space="preserve">97595193    </v>
      </c>
      <c r="O3113">
        <v>231227</v>
      </c>
    </row>
    <row r="3114" spans="1:15" x14ac:dyDescent="0.25">
      <c r="A3114" t="s">
        <v>16</v>
      </c>
      <c r="B3114" t="s">
        <v>3221</v>
      </c>
      <c r="C3114">
        <v>19254</v>
      </c>
      <c r="D3114" t="s">
        <v>1135</v>
      </c>
      <c r="E3114" t="s">
        <v>256</v>
      </c>
      <c r="F3114">
        <v>245.2</v>
      </c>
      <c r="G3114">
        <v>240111</v>
      </c>
      <c r="H3114">
        <v>4471</v>
      </c>
      <c r="I3114" t="s">
        <v>68</v>
      </c>
      <c r="J3114">
        <v>304.05</v>
      </c>
      <c r="K3114">
        <v>58.85</v>
      </c>
      <c r="L3114">
        <v>14951</v>
      </c>
      <c r="M3114" t="s">
        <v>57</v>
      </c>
      <c r="N3114" t="str">
        <f>"97639658    "</f>
        <v xml:space="preserve">97639658    </v>
      </c>
      <c r="O3114">
        <v>240115</v>
      </c>
    </row>
    <row r="3115" spans="1:15" x14ac:dyDescent="0.25">
      <c r="A3115" t="s">
        <v>16</v>
      </c>
      <c r="B3115" t="s">
        <v>3221</v>
      </c>
      <c r="C3115">
        <v>8965</v>
      </c>
      <c r="D3115" t="s">
        <v>2230</v>
      </c>
      <c r="E3115" t="s">
        <v>2231</v>
      </c>
      <c r="F3115">
        <v>633.04</v>
      </c>
      <c r="G3115">
        <v>230619</v>
      </c>
      <c r="H3115">
        <v>4580</v>
      </c>
      <c r="I3115" t="s">
        <v>35</v>
      </c>
      <c r="J3115">
        <v>784.97</v>
      </c>
      <c r="K3115">
        <v>151.93</v>
      </c>
      <c r="L3115">
        <v>18680</v>
      </c>
      <c r="M3115" t="s">
        <v>2232</v>
      </c>
      <c r="N3115" t="str">
        <f>"140345      "</f>
        <v xml:space="preserve">140345      </v>
      </c>
      <c r="O3115">
        <v>230620</v>
      </c>
    </row>
    <row r="3116" spans="1:15" x14ac:dyDescent="0.25">
      <c r="A3116" t="s">
        <v>16</v>
      </c>
      <c r="B3116" t="s">
        <v>3221</v>
      </c>
      <c r="C3116">
        <v>8966</v>
      </c>
      <c r="D3116" t="s">
        <v>2230</v>
      </c>
      <c r="E3116" t="s">
        <v>2231</v>
      </c>
      <c r="F3116">
        <v>224.4</v>
      </c>
      <c r="G3116">
        <v>230619</v>
      </c>
      <c r="H3116">
        <v>4580</v>
      </c>
      <c r="I3116" t="s">
        <v>35</v>
      </c>
      <c r="J3116">
        <v>278.26</v>
      </c>
      <c r="K3116">
        <v>53.86</v>
      </c>
      <c r="L3116">
        <v>18680</v>
      </c>
      <c r="M3116" t="s">
        <v>2232</v>
      </c>
      <c r="N3116" t="str">
        <f>"140346      "</f>
        <v xml:space="preserve">140346      </v>
      </c>
      <c r="O3116">
        <v>230620</v>
      </c>
    </row>
    <row r="3117" spans="1:15" x14ac:dyDescent="0.25">
      <c r="A3117" t="s">
        <v>16</v>
      </c>
      <c r="B3117" t="s">
        <v>3221</v>
      </c>
      <c r="C3117">
        <v>8967</v>
      </c>
      <c r="D3117" t="s">
        <v>2230</v>
      </c>
      <c r="E3117" t="s">
        <v>2231</v>
      </c>
      <c r="F3117">
        <v>51.1</v>
      </c>
      <c r="G3117">
        <v>230619</v>
      </c>
      <c r="H3117">
        <v>4580</v>
      </c>
      <c r="I3117" t="s">
        <v>35</v>
      </c>
      <c r="J3117">
        <v>63.36</v>
      </c>
      <c r="K3117">
        <v>12.26</v>
      </c>
      <c r="L3117">
        <v>18680</v>
      </c>
      <c r="M3117" t="s">
        <v>2232</v>
      </c>
      <c r="N3117" t="str">
        <f>"140342      "</f>
        <v xml:space="preserve">140342      </v>
      </c>
      <c r="O3117">
        <v>230620</v>
      </c>
    </row>
    <row r="3118" spans="1:15" x14ac:dyDescent="0.25">
      <c r="A3118" t="s">
        <v>16</v>
      </c>
      <c r="B3118" t="s">
        <v>3221</v>
      </c>
      <c r="C3118">
        <v>8969</v>
      </c>
      <c r="D3118" t="s">
        <v>2230</v>
      </c>
      <c r="E3118" t="s">
        <v>2231</v>
      </c>
      <c r="F3118">
        <v>283.2</v>
      </c>
      <c r="G3118">
        <v>230619</v>
      </c>
      <c r="H3118">
        <v>4580</v>
      </c>
      <c r="I3118" t="s">
        <v>35</v>
      </c>
      <c r="J3118">
        <v>351.17</v>
      </c>
      <c r="K3118">
        <v>67.97</v>
      </c>
      <c r="L3118">
        <v>18680</v>
      </c>
      <c r="M3118" t="s">
        <v>2232</v>
      </c>
      <c r="N3118" t="str">
        <f>"140343      "</f>
        <v xml:space="preserve">140343      </v>
      </c>
      <c r="O3118">
        <v>230620</v>
      </c>
    </row>
    <row r="3119" spans="1:15" x14ac:dyDescent="0.25">
      <c r="A3119" t="s">
        <v>16</v>
      </c>
      <c r="B3119" t="s">
        <v>3221</v>
      </c>
      <c r="C3119">
        <v>8971</v>
      </c>
      <c r="D3119" t="s">
        <v>2230</v>
      </c>
      <c r="E3119" t="s">
        <v>2231</v>
      </c>
      <c r="F3119">
        <v>101.45</v>
      </c>
      <c r="G3119">
        <v>230619</v>
      </c>
      <c r="H3119">
        <v>4580</v>
      </c>
      <c r="I3119" t="s">
        <v>35</v>
      </c>
      <c r="J3119">
        <v>125.8</v>
      </c>
      <c r="K3119">
        <v>24.35</v>
      </c>
      <c r="L3119">
        <v>18680</v>
      </c>
      <c r="M3119" t="s">
        <v>2232</v>
      </c>
      <c r="N3119" t="str">
        <f>"140344      "</f>
        <v xml:space="preserve">140344      </v>
      </c>
      <c r="O3119">
        <v>230620</v>
      </c>
    </row>
    <row r="3120" spans="1:15" x14ac:dyDescent="0.25">
      <c r="A3120" t="s">
        <v>16</v>
      </c>
      <c r="B3120" t="s">
        <v>3221</v>
      </c>
      <c r="C3120">
        <v>2607</v>
      </c>
      <c r="D3120" t="s">
        <v>261</v>
      </c>
      <c r="E3120" t="s">
        <v>262</v>
      </c>
      <c r="F3120">
        <v>451.48</v>
      </c>
      <c r="G3120">
        <v>230215</v>
      </c>
      <c r="H3120">
        <v>4346</v>
      </c>
      <c r="I3120" t="s">
        <v>197</v>
      </c>
      <c r="J3120">
        <v>559.83000000000004</v>
      </c>
      <c r="K3120">
        <v>108.35</v>
      </c>
      <c r="L3120">
        <v>11801</v>
      </c>
      <c r="M3120" t="s">
        <v>92</v>
      </c>
      <c r="N3120" t="str">
        <f>"23011627    "</f>
        <v xml:space="preserve">23011627    </v>
      </c>
      <c r="O3120">
        <v>230302</v>
      </c>
    </row>
    <row r="3121" spans="1:15" x14ac:dyDescent="0.25">
      <c r="A3121" t="s">
        <v>16</v>
      </c>
      <c r="B3121" t="s">
        <v>3221</v>
      </c>
      <c r="C3121">
        <v>171</v>
      </c>
      <c r="D3121" t="s">
        <v>261</v>
      </c>
      <c r="E3121" t="s">
        <v>262</v>
      </c>
      <c r="F3121">
        <v>104.6</v>
      </c>
      <c r="G3121">
        <v>230105</v>
      </c>
      <c r="H3121">
        <v>4362</v>
      </c>
      <c r="I3121" t="s">
        <v>79</v>
      </c>
      <c r="J3121">
        <v>129.69999999999999</v>
      </c>
      <c r="K3121">
        <v>25.1</v>
      </c>
      <c r="L3121">
        <v>11801</v>
      </c>
      <c r="M3121" t="s">
        <v>92</v>
      </c>
      <c r="N3121" t="str">
        <f>"23004868    "</f>
        <v xml:space="preserve">23004868    </v>
      </c>
      <c r="O3121">
        <v>230116</v>
      </c>
    </row>
    <row r="3122" spans="1:15" x14ac:dyDescent="0.25">
      <c r="A3122" t="s">
        <v>16</v>
      </c>
      <c r="B3122" t="s">
        <v>3221</v>
      </c>
      <c r="C3122">
        <v>274</v>
      </c>
      <c r="D3122" t="s">
        <v>261</v>
      </c>
      <c r="E3122" t="s">
        <v>262</v>
      </c>
      <c r="F3122">
        <v>38.090000000000003</v>
      </c>
      <c r="G3122">
        <v>230105</v>
      </c>
      <c r="H3122">
        <v>4362</v>
      </c>
      <c r="I3122" t="s">
        <v>79</v>
      </c>
      <c r="J3122">
        <v>47.23</v>
      </c>
      <c r="K3122">
        <v>9.14</v>
      </c>
      <c r="L3122">
        <v>49501</v>
      </c>
      <c r="M3122" t="s">
        <v>177</v>
      </c>
      <c r="N3122" t="str">
        <f>"23002601    "</f>
        <v xml:space="preserve">23002601    </v>
      </c>
      <c r="O3122">
        <v>230117</v>
      </c>
    </row>
    <row r="3123" spans="1:15" x14ac:dyDescent="0.25">
      <c r="A3123" t="s">
        <v>16</v>
      </c>
      <c r="B3123" t="s">
        <v>3221</v>
      </c>
      <c r="C3123">
        <v>1431</v>
      </c>
      <c r="D3123" t="s">
        <v>261</v>
      </c>
      <c r="E3123" t="s">
        <v>262</v>
      </c>
      <c r="F3123">
        <v>38.090000000000003</v>
      </c>
      <c r="G3123">
        <v>230206</v>
      </c>
      <c r="H3123">
        <v>4362</v>
      </c>
      <c r="I3123" t="s">
        <v>79</v>
      </c>
      <c r="J3123">
        <v>47.23</v>
      </c>
      <c r="K3123">
        <v>9.14</v>
      </c>
      <c r="L3123">
        <v>49501</v>
      </c>
      <c r="M3123" t="s">
        <v>177</v>
      </c>
      <c r="N3123" t="str">
        <f>"23008593    "</f>
        <v xml:space="preserve">23008593    </v>
      </c>
      <c r="O3123">
        <v>230208</v>
      </c>
    </row>
    <row r="3124" spans="1:15" x14ac:dyDescent="0.25">
      <c r="A3124" t="s">
        <v>16</v>
      </c>
      <c r="B3124" t="s">
        <v>3221</v>
      </c>
      <c r="C3124">
        <v>1744</v>
      </c>
      <c r="D3124" t="s">
        <v>261</v>
      </c>
      <c r="E3124" t="s">
        <v>262</v>
      </c>
      <c r="F3124">
        <v>104.6</v>
      </c>
      <c r="G3124">
        <v>230206</v>
      </c>
      <c r="H3124">
        <v>4362</v>
      </c>
      <c r="I3124" t="s">
        <v>79</v>
      </c>
      <c r="J3124">
        <v>129.69999999999999</v>
      </c>
      <c r="K3124">
        <v>25.1</v>
      </c>
      <c r="L3124">
        <v>11801</v>
      </c>
      <c r="M3124" t="s">
        <v>92</v>
      </c>
      <c r="N3124" t="str">
        <f>"23010836    "</f>
        <v xml:space="preserve">23010836    </v>
      </c>
      <c r="O3124">
        <v>230213</v>
      </c>
    </row>
    <row r="3125" spans="1:15" x14ac:dyDescent="0.25">
      <c r="A3125" t="s">
        <v>16</v>
      </c>
      <c r="B3125" t="s">
        <v>3221</v>
      </c>
      <c r="C3125">
        <v>3465</v>
      </c>
      <c r="D3125" t="s">
        <v>261</v>
      </c>
      <c r="E3125" t="s">
        <v>262</v>
      </c>
      <c r="F3125">
        <v>41.44</v>
      </c>
      <c r="G3125">
        <v>230306</v>
      </c>
      <c r="H3125">
        <v>4362</v>
      </c>
      <c r="I3125" t="s">
        <v>79</v>
      </c>
      <c r="J3125">
        <v>51.39</v>
      </c>
      <c r="K3125">
        <v>9.9499999999999993</v>
      </c>
      <c r="L3125">
        <v>49501</v>
      </c>
      <c r="M3125" t="s">
        <v>177</v>
      </c>
      <c r="N3125" t="str">
        <f>"23014282    "</f>
        <v xml:space="preserve">23014282    </v>
      </c>
      <c r="O3125">
        <v>230316</v>
      </c>
    </row>
    <row r="3126" spans="1:15" x14ac:dyDescent="0.25">
      <c r="A3126" t="s">
        <v>16</v>
      </c>
      <c r="B3126" t="s">
        <v>3221</v>
      </c>
      <c r="C3126">
        <v>3737</v>
      </c>
      <c r="D3126" t="s">
        <v>261</v>
      </c>
      <c r="E3126" t="s">
        <v>262</v>
      </c>
      <c r="F3126">
        <v>72.42</v>
      </c>
      <c r="G3126">
        <v>230306</v>
      </c>
      <c r="H3126">
        <v>4362</v>
      </c>
      <c r="I3126" t="s">
        <v>79</v>
      </c>
      <c r="J3126">
        <v>89.8</v>
      </c>
      <c r="K3126">
        <v>17.38</v>
      </c>
      <c r="L3126">
        <v>11801</v>
      </c>
      <c r="M3126" t="s">
        <v>92</v>
      </c>
      <c r="N3126" t="str">
        <f>"23016521    "</f>
        <v xml:space="preserve">23016521    </v>
      </c>
      <c r="O3126">
        <v>230321</v>
      </c>
    </row>
    <row r="3127" spans="1:15" x14ac:dyDescent="0.25">
      <c r="A3127" t="s">
        <v>16</v>
      </c>
      <c r="B3127" t="s">
        <v>3221</v>
      </c>
      <c r="C3127">
        <v>3737</v>
      </c>
      <c r="D3127" t="s">
        <v>261</v>
      </c>
      <c r="E3127" t="s">
        <v>262</v>
      </c>
      <c r="F3127">
        <v>36.21</v>
      </c>
      <c r="G3127">
        <v>230306</v>
      </c>
      <c r="H3127">
        <v>4362</v>
      </c>
      <c r="I3127" t="s">
        <v>79</v>
      </c>
      <c r="J3127">
        <v>44.9</v>
      </c>
      <c r="K3127">
        <v>8.69</v>
      </c>
      <c r="L3127">
        <v>46222</v>
      </c>
      <c r="M3127" t="s">
        <v>293</v>
      </c>
      <c r="N3127" t="str">
        <f>"23016521    "</f>
        <v xml:space="preserve">23016521    </v>
      </c>
      <c r="O3127">
        <v>230321</v>
      </c>
    </row>
    <row r="3128" spans="1:15" x14ac:dyDescent="0.25">
      <c r="A3128" t="s">
        <v>16</v>
      </c>
      <c r="B3128" t="s">
        <v>3221</v>
      </c>
      <c r="C3128">
        <v>4932</v>
      </c>
      <c r="D3128" t="s">
        <v>261</v>
      </c>
      <c r="E3128" t="s">
        <v>262</v>
      </c>
      <c r="F3128">
        <v>72.42</v>
      </c>
      <c r="G3128">
        <v>230405</v>
      </c>
      <c r="H3128">
        <v>4362</v>
      </c>
      <c r="I3128" t="s">
        <v>79</v>
      </c>
      <c r="J3128">
        <v>89.8</v>
      </c>
      <c r="K3128">
        <v>17.38</v>
      </c>
      <c r="L3128">
        <v>11801</v>
      </c>
      <c r="M3128" t="s">
        <v>92</v>
      </c>
      <c r="N3128" t="str">
        <f>"23022133    "</f>
        <v xml:space="preserve">23022133    </v>
      </c>
      <c r="O3128">
        <v>230414</v>
      </c>
    </row>
    <row r="3129" spans="1:15" x14ac:dyDescent="0.25">
      <c r="A3129" t="s">
        <v>16</v>
      </c>
      <c r="B3129" t="s">
        <v>3221</v>
      </c>
      <c r="C3129">
        <v>4932</v>
      </c>
      <c r="D3129" t="s">
        <v>261</v>
      </c>
      <c r="E3129" t="s">
        <v>262</v>
      </c>
      <c r="F3129">
        <v>36.21</v>
      </c>
      <c r="G3129">
        <v>230405</v>
      </c>
      <c r="H3129">
        <v>4362</v>
      </c>
      <c r="I3129" t="s">
        <v>79</v>
      </c>
      <c r="J3129">
        <v>44.9</v>
      </c>
      <c r="K3129">
        <v>8.69</v>
      </c>
      <c r="L3129">
        <v>46222</v>
      </c>
      <c r="M3129" t="s">
        <v>293</v>
      </c>
      <c r="N3129" t="str">
        <f>"23022133    "</f>
        <v xml:space="preserve">23022133    </v>
      </c>
      <c r="O3129">
        <v>230414</v>
      </c>
    </row>
    <row r="3130" spans="1:15" x14ac:dyDescent="0.25">
      <c r="A3130" t="s">
        <v>16</v>
      </c>
      <c r="B3130" t="s">
        <v>3221</v>
      </c>
      <c r="C3130">
        <v>5802</v>
      </c>
      <c r="D3130" t="s">
        <v>261</v>
      </c>
      <c r="E3130" t="s">
        <v>262</v>
      </c>
      <c r="F3130">
        <v>41.44</v>
      </c>
      <c r="G3130">
        <v>230405</v>
      </c>
      <c r="H3130">
        <v>4362</v>
      </c>
      <c r="I3130" t="s">
        <v>79</v>
      </c>
      <c r="J3130">
        <v>51.39</v>
      </c>
      <c r="K3130">
        <v>9.9499999999999993</v>
      </c>
      <c r="L3130">
        <v>49501</v>
      </c>
      <c r="M3130" t="s">
        <v>177</v>
      </c>
      <c r="N3130" t="str">
        <f>"23019996    "</f>
        <v xml:space="preserve">23019996    </v>
      </c>
      <c r="O3130">
        <v>230503</v>
      </c>
    </row>
    <row r="3131" spans="1:15" x14ac:dyDescent="0.25">
      <c r="A3131" t="s">
        <v>16</v>
      </c>
      <c r="B3131" t="s">
        <v>3221</v>
      </c>
      <c r="C3131">
        <v>7114</v>
      </c>
      <c r="D3131" t="s">
        <v>261</v>
      </c>
      <c r="E3131" t="s">
        <v>262</v>
      </c>
      <c r="F3131">
        <v>72.42</v>
      </c>
      <c r="G3131">
        <v>230505</v>
      </c>
      <c r="H3131">
        <v>4362</v>
      </c>
      <c r="I3131" t="s">
        <v>79</v>
      </c>
      <c r="J3131">
        <v>89.8</v>
      </c>
      <c r="K3131">
        <v>17.38</v>
      </c>
      <c r="L3131">
        <v>11801</v>
      </c>
      <c r="M3131" t="s">
        <v>92</v>
      </c>
      <c r="N3131" t="str">
        <f>"23027850    "</f>
        <v xml:space="preserve">23027850    </v>
      </c>
      <c r="O3131">
        <v>230525</v>
      </c>
    </row>
    <row r="3132" spans="1:15" x14ac:dyDescent="0.25">
      <c r="A3132" t="s">
        <v>16</v>
      </c>
      <c r="B3132" t="s">
        <v>3221</v>
      </c>
      <c r="C3132">
        <v>7114</v>
      </c>
      <c r="D3132" t="s">
        <v>261</v>
      </c>
      <c r="E3132" t="s">
        <v>262</v>
      </c>
      <c r="F3132">
        <v>36.21</v>
      </c>
      <c r="G3132">
        <v>230505</v>
      </c>
      <c r="H3132">
        <v>4362</v>
      </c>
      <c r="I3132" t="s">
        <v>79</v>
      </c>
      <c r="J3132">
        <v>44.9</v>
      </c>
      <c r="K3132">
        <v>8.69</v>
      </c>
      <c r="L3132">
        <v>46222</v>
      </c>
      <c r="M3132" t="s">
        <v>293</v>
      </c>
      <c r="N3132" t="str">
        <f>"23027850    "</f>
        <v xml:space="preserve">23027850    </v>
      </c>
      <c r="O3132">
        <v>230525</v>
      </c>
    </row>
    <row r="3133" spans="1:15" x14ac:dyDescent="0.25">
      <c r="A3133" t="s">
        <v>16</v>
      </c>
      <c r="B3133" t="s">
        <v>3221</v>
      </c>
      <c r="C3133">
        <v>7216</v>
      </c>
      <c r="D3133" t="s">
        <v>261</v>
      </c>
      <c r="E3133" t="s">
        <v>262</v>
      </c>
      <c r="F3133">
        <v>41.44</v>
      </c>
      <c r="G3133">
        <v>230505</v>
      </c>
      <c r="H3133">
        <v>4362</v>
      </c>
      <c r="I3133" t="s">
        <v>79</v>
      </c>
      <c r="J3133">
        <v>51.39</v>
      </c>
      <c r="K3133">
        <v>9.9499999999999993</v>
      </c>
      <c r="L3133">
        <v>49501</v>
      </c>
      <c r="M3133" t="s">
        <v>177</v>
      </c>
      <c r="N3133" t="str">
        <f>"23025611    "</f>
        <v xml:space="preserve">23025611    </v>
      </c>
      <c r="O3133">
        <v>230526</v>
      </c>
    </row>
    <row r="3134" spans="1:15" x14ac:dyDescent="0.25">
      <c r="A3134" t="s">
        <v>16</v>
      </c>
      <c r="B3134" t="s">
        <v>3221</v>
      </c>
      <c r="C3134">
        <v>8588</v>
      </c>
      <c r="D3134" t="s">
        <v>261</v>
      </c>
      <c r="E3134" t="s">
        <v>262</v>
      </c>
      <c r="F3134">
        <v>41.44</v>
      </c>
      <c r="G3134">
        <v>230605</v>
      </c>
      <c r="H3134">
        <v>4362</v>
      </c>
      <c r="I3134" t="s">
        <v>79</v>
      </c>
      <c r="J3134">
        <v>51.39</v>
      </c>
      <c r="K3134">
        <v>9.9499999999999993</v>
      </c>
      <c r="L3134">
        <v>49501</v>
      </c>
      <c r="M3134" t="s">
        <v>177</v>
      </c>
      <c r="N3134" t="str">
        <f>"23031483    "</f>
        <v xml:space="preserve">23031483    </v>
      </c>
      <c r="O3134">
        <v>230612</v>
      </c>
    </row>
    <row r="3135" spans="1:15" x14ac:dyDescent="0.25">
      <c r="A3135" t="s">
        <v>16</v>
      </c>
      <c r="B3135" t="s">
        <v>3221</v>
      </c>
      <c r="C3135">
        <v>8711</v>
      </c>
      <c r="D3135" t="s">
        <v>261</v>
      </c>
      <c r="E3135" t="s">
        <v>262</v>
      </c>
      <c r="F3135">
        <v>72.42</v>
      </c>
      <c r="G3135">
        <v>230605</v>
      </c>
      <c r="H3135">
        <v>4362</v>
      </c>
      <c r="I3135" t="s">
        <v>79</v>
      </c>
      <c r="J3135">
        <v>89.8</v>
      </c>
      <c r="K3135">
        <v>17.38</v>
      </c>
      <c r="L3135">
        <v>11801</v>
      </c>
      <c r="M3135" t="s">
        <v>92</v>
      </c>
      <c r="N3135" t="str">
        <f>"23033702    "</f>
        <v xml:space="preserve">23033702    </v>
      </c>
      <c r="O3135">
        <v>230613</v>
      </c>
    </row>
    <row r="3136" spans="1:15" x14ac:dyDescent="0.25">
      <c r="A3136" t="s">
        <v>16</v>
      </c>
      <c r="B3136" t="s">
        <v>3221</v>
      </c>
      <c r="C3136">
        <v>8711</v>
      </c>
      <c r="D3136" t="s">
        <v>261</v>
      </c>
      <c r="E3136" t="s">
        <v>262</v>
      </c>
      <c r="F3136">
        <v>36.21</v>
      </c>
      <c r="G3136">
        <v>230605</v>
      </c>
      <c r="H3136">
        <v>4362</v>
      </c>
      <c r="I3136" t="s">
        <v>79</v>
      </c>
      <c r="J3136">
        <v>44.9</v>
      </c>
      <c r="K3136">
        <v>8.69</v>
      </c>
      <c r="L3136">
        <v>46222</v>
      </c>
      <c r="M3136" t="s">
        <v>293</v>
      </c>
      <c r="N3136" t="str">
        <f>"23033702    "</f>
        <v xml:space="preserve">23033702    </v>
      </c>
      <c r="O3136">
        <v>230613</v>
      </c>
    </row>
    <row r="3137" spans="1:15" x14ac:dyDescent="0.25">
      <c r="A3137" t="s">
        <v>16</v>
      </c>
      <c r="B3137" t="s">
        <v>3221</v>
      </c>
      <c r="C3137">
        <v>9747</v>
      </c>
      <c r="D3137" t="s">
        <v>261</v>
      </c>
      <c r="E3137" t="s">
        <v>262</v>
      </c>
      <c r="F3137">
        <v>41.44</v>
      </c>
      <c r="G3137">
        <v>230705</v>
      </c>
      <c r="H3137">
        <v>4362</v>
      </c>
      <c r="I3137" t="s">
        <v>79</v>
      </c>
      <c r="J3137">
        <v>51.39</v>
      </c>
      <c r="K3137">
        <v>9.9499999999999993</v>
      </c>
      <c r="L3137">
        <v>49501</v>
      </c>
      <c r="M3137" t="s">
        <v>177</v>
      </c>
      <c r="N3137" t="str">
        <f>"23037210    "</f>
        <v xml:space="preserve">23037210    </v>
      </c>
      <c r="O3137">
        <v>230724</v>
      </c>
    </row>
    <row r="3138" spans="1:15" x14ac:dyDescent="0.25">
      <c r="A3138" t="s">
        <v>16</v>
      </c>
      <c r="B3138" t="s">
        <v>3221</v>
      </c>
      <c r="C3138">
        <v>9848</v>
      </c>
      <c r="D3138" t="s">
        <v>261</v>
      </c>
      <c r="E3138" t="s">
        <v>262</v>
      </c>
      <c r="F3138">
        <v>72.42</v>
      </c>
      <c r="G3138">
        <v>230705</v>
      </c>
      <c r="H3138">
        <v>4362</v>
      </c>
      <c r="I3138" t="s">
        <v>79</v>
      </c>
      <c r="J3138">
        <v>89.8</v>
      </c>
      <c r="K3138">
        <v>17.38</v>
      </c>
      <c r="L3138">
        <v>11801</v>
      </c>
      <c r="M3138" t="s">
        <v>92</v>
      </c>
      <c r="N3138" t="str">
        <f>"23039463    "</f>
        <v xml:space="preserve">23039463    </v>
      </c>
      <c r="O3138">
        <v>230731</v>
      </c>
    </row>
    <row r="3139" spans="1:15" x14ac:dyDescent="0.25">
      <c r="A3139" t="s">
        <v>16</v>
      </c>
      <c r="B3139" t="s">
        <v>3221</v>
      </c>
      <c r="C3139">
        <v>9848</v>
      </c>
      <c r="D3139" t="s">
        <v>261</v>
      </c>
      <c r="E3139" t="s">
        <v>262</v>
      </c>
      <c r="F3139">
        <v>36.21</v>
      </c>
      <c r="G3139">
        <v>230705</v>
      </c>
      <c r="H3139">
        <v>4362</v>
      </c>
      <c r="I3139" t="s">
        <v>79</v>
      </c>
      <c r="J3139">
        <v>44.9</v>
      </c>
      <c r="K3139">
        <v>8.69</v>
      </c>
      <c r="L3139">
        <v>46222</v>
      </c>
      <c r="M3139" t="s">
        <v>293</v>
      </c>
      <c r="N3139" t="str">
        <f>"23039463    "</f>
        <v xml:space="preserve">23039463    </v>
      </c>
      <c r="O3139">
        <v>230731</v>
      </c>
    </row>
    <row r="3140" spans="1:15" x14ac:dyDescent="0.25">
      <c r="A3140" t="s">
        <v>16</v>
      </c>
      <c r="B3140" t="s">
        <v>3221</v>
      </c>
      <c r="C3140">
        <v>10357</v>
      </c>
      <c r="D3140" t="s">
        <v>261</v>
      </c>
      <c r="E3140" t="s">
        <v>262</v>
      </c>
      <c r="F3140">
        <v>41.44</v>
      </c>
      <c r="G3140">
        <v>230804</v>
      </c>
      <c r="H3140">
        <v>4362</v>
      </c>
      <c r="I3140" t="s">
        <v>79</v>
      </c>
      <c r="J3140">
        <v>51.39</v>
      </c>
      <c r="K3140">
        <v>9.9499999999999993</v>
      </c>
      <c r="L3140">
        <v>49501</v>
      </c>
      <c r="M3140" t="s">
        <v>177</v>
      </c>
      <c r="N3140" t="str">
        <f>"23043081    "</f>
        <v xml:space="preserve">23043081    </v>
      </c>
      <c r="O3140">
        <v>230814</v>
      </c>
    </row>
    <row r="3141" spans="1:15" x14ac:dyDescent="0.25">
      <c r="A3141" t="s">
        <v>16</v>
      </c>
      <c r="B3141" t="s">
        <v>3221</v>
      </c>
      <c r="C3141">
        <v>10388</v>
      </c>
      <c r="D3141" t="s">
        <v>261</v>
      </c>
      <c r="E3141" t="s">
        <v>262</v>
      </c>
      <c r="F3141">
        <v>72.42</v>
      </c>
      <c r="G3141">
        <v>230804</v>
      </c>
      <c r="H3141">
        <v>4362</v>
      </c>
      <c r="I3141" t="s">
        <v>79</v>
      </c>
      <c r="J3141">
        <v>89.8</v>
      </c>
      <c r="K3141">
        <v>17.38</v>
      </c>
      <c r="L3141">
        <v>11801</v>
      </c>
      <c r="M3141" t="s">
        <v>92</v>
      </c>
      <c r="N3141" t="str">
        <f>"23045230    "</f>
        <v xml:space="preserve">23045230    </v>
      </c>
      <c r="O3141">
        <v>230815</v>
      </c>
    </row>
    <row r="3142" spans="1:15" x14ac:dyDescent="0.25">
      <c r="A3142" t="s">
        <v>16</v>
      </c>
      <c r="B3142" t="s">
        <v>3221</v>
      </c>
      <c r="C3142">
        <v>10388</v>
      </c>
      <c r="D3142" t="s">
        <v>261</v>
      </c>
      <c r="E3142" t="s">
        <v>262</v>
      </c>
      <c r="F3142">
        <v>36.21</v>
      </c>
      <c r="G3142">
        <v>230804</v>
      </c>
      <c r="H3142">
        <v>4362</v>
      </c>
      <c r="I3142" t="s">
        <v>79</v>
      </c>
      <c r="J3142">
        <v>44.9</v>
      </c>
      <c r="K3142">
        <v>8.69</v>
      </c>
      <c r="L3142">
        <v>46222</v>
      </c>
      <c r="M3142" t="s">
        <v>293</v>
      </c>
      <c r="N3142" t="str">
        <f>"23045230    "</f>
        <v xml:space="preserve">23045230    </v>
      </c>
      <c r="O3142">
        <v>230815</v>
      </c>
    </row>
    <row r="3143" spans="1:15" x14ac:dyDescent="0.25">
      <c r="A3143" t="s">
        <v>16</v>
      </c>
      <c r="B3143" t="s">
        <v>3221</v>
      </c>
      <c r="C3143">
        <v>12019</v>
      </c>
      <c r="D3143" t="s">
        <v>261</v>
      </c>
      <c r="E3143" t="s">
        <v>262</v>
      </c>
      <c r="F3143">
        <v>72.42</v>
      </c>
      <c r="G3143">
        <v>230905</v>
      </c>
      <c r="H3143">
        <v>4362</v>
      </c>
      <c r="I3143" t="s">
        <v>79</v>
      </c>
      <c r="J3143">
        <v>89.8</v>
      </c>
      <c r="K3143">
        <v>17.38</v>
      </c>
      <c r="L3143">
        <v>11801</v>
      </c>
      <c r="M3143" t="s">
        <v>92</v>
      </c>
      <c r="N3143" t="str">
        <f>"23051466    "</f>
        <v xml:space="preserve">23051466    </v>
      </c>
      <c r="O3143">
        <v>230912</v>
      </c>
    </row>
    <row r="3144" spans="1:15" x14ac:dyDescent="0.25">
      <c r="A3144" t="s">
        <v>16</v>
      </c>
      <c r="B3144" t="s">
        <v>3221</v>
      </c>
      <c r="C3144">
        <v>12019</v>
      </c>
      <c r="D3144" t="s">
        <v>261</v>
      </c>
      <c r="E3144" t="s">
        <v>262</v>
      </c>
      <c r="F3144">
        <v>36.21</v>
      </c>
      <c r="G3144">
        <v>230905</v>
      </c>
      <c r="H3144">
        <v>4362</v>
      </c>
      <c r="I3144" t="s">
        <v>79</v>
      </c>
      <c r="J3144">
        <v>44.9</v>
      </c>
      <c r="K3144">
        <v>8.69</v>
      </c>
      <c r="L3144">
        <v>46222</v>
      </c>
      <c r="M3144" t="s">
        <v>293</v>
      </c>
      <c r="N3144" t="str">
        <f>"23051466    "</f>
        <v xml:space="preserve">23051466    </v>
      </c>
      <c r="O3144">
        <v>230912</v>
      </c>
    </row>
    <row r="3145" spans="1:15" x14ac:dyDescent="0.25">
      <c r="A3145" t="s">
        <v>16</v>
      </c>
      <c r="B3145" t="s">
        <v>3221</v>
      </c>
      <c r="C3145">
        <v>12020</v>
      </c>
      <c r="D3145" t="s">
        <v>261</v>
      </c>
      <c r="E3145" t="s">
        <v>262</v>
      </c>
      <c r="F3145">
        <v>41.44</v>
      </c>
      <c r="G3145">
        <v>230905</v>
      </c>
      <c r="H3145">
        <v>4362</v>
      </c>
      <c r="I3145" t="s">
        <v>79</v>
      </c>
      <c r="J3145">
        <v>51.39</v>
      </c>
      <c r="K3145">
        <v>9.9499999999999993</v>
      </c>
      <c r="L3145">
        <v>49501</v>
      </c>
      <c r="M3145" t="s">
        <v>177</v>
      </c>
      <c r="N3145" t="str">
        <f>"23049171    "</f>
        <v xml:space="preserve">23049171    </v>
      </c>
      <c r="O3145">
        <v>230912</v>
      </c>
    </row>
    <row r="3146" spans="1:15" x14ac:dyDescent="0.25">
      <c r="A3146" t="s">
        <v>16</v>
      </c>
      <c r="B3146" t="s">
        <v>3221</v>
      </c>
      <c r="C3146">
        <v>13975</v>
      </c>
      <c r="D3146" t="s">
        <v>261</v>
      </c>
      <c r="E3146" t="s">
        <v>262</v>
      </c>
      <c r="F3146">
        <v>41.44</v>
      </c>
      <c r="G3146">
        <v>231005</v>
      </c>
      <c r="H3146">
        <v>4362</v>
      </c>
      <c r="I3146" t="s">
        <v>79</v>
      </c>
      <c r="J3146">
        <v>51.39</v>
      </c>
      <c r="K3146">
        <v>9.9499999999999993</v>
      </c>
      <c r="L3146">
        <v>49501</v>
      </c>
      <c r="M3146" t="s">
        <v>177</v>
      </c>
      <c r="N3146" t="str">
        <f>"23055287    "</f>
        <v xml:space="preserve">23055287    </v>
      </c>
      <c r="O3146">
        <v>231017</v>
      </c>
    </row>
    <row r="3147" spans="1:15" x14ac:dyDescent="0.25">
      <c r="A3147" t="s">
        <v>16</v>
      </c>
      <c r="B3147" t="s">
        <v>3221</v>
      </c>
      <c r="C3147">
        <v>14425</v>
      </c>
      <c r="D3147" t="s">
        <v>261</v>
      </c>
      <c r="E3147" t="s">
        <v>262</v>
      </c>
      <c r="F3147">
        <v>72.42</v>
      </c>
      <c r="G3147">
        <v>231005</v>
      </c>
      <c r="H3147">
        <v>4362</v>
      </c>
      <c r="I3147" t="s">
        <v>79</v>
      </c>
      <c r="J3147">
        <v>89.8</v>
      </c>
      <c r="K3147">
        <v>17.38</v>
      </c>
      <c r="L3147">
        <v>11801</v>
      </c>
      <c r="M3147" t="s">
        <v>92</v>
      </c>
      <c r="N3147" t="str">
        <f>"23057412    "</f>
        <v xml:space="preserve">23057412    </v>
      </c>
      <c r="O3147">
        <v>231030</v>
      </c>
    </row>
    <row r="3148" spans="1:15" x14ac:dyDescent="0.25">
      <c r="A3148" t="s">
        <v>16</v>
      </c>
      <c r="B3148" t="s">
        <v>3221</v>
      </c>
      <c r="C3148">
        <v>14425</v>
      </c>
      <c r="D3148" t="s">
        <v>261</v>
      </c>
      <c r="E3148" t="s">
        <v>262</v>
      </c>
      <c r="F3148">
        <v>36.21</v>
      </c>
      <c r="G3148">
        <v>231005</v>
      </c>
      <c r="H3148">
        <v>4362</v>
      </c>
      <c r="I3148" t="s">
        <v>79</v>
      </c>
      <c r="J3148">
        <v>44.9</v>
      </c>
      <c r="K3148">
        <v>8.69</v>
      </c>
      <c r="L3148">
        <v>46222</v>
      </c>
      <c r="M3148" t="s">
        <v>293</v>
      </c>
      <c r="N3148" t="str">
        <f>"23057412    "</f>
        <v xml:space="preserve">23057412    </v>
      </c>
      <c r="O3148">
        <v>231030</v>
      </c>
    </row>
    <row r="3149" spans="1:15" x14ac:dyDescent="0.25">
      <c r="A3149" t="s">
        <v>16</v>
      </c>
      <c r="B3149" t="s">
        <v>3221</v>
      </c>
      <c r="C3149">
        <v>15604</v>
      </c>
      <c r="D3149" t="s">
        <v>261</v>
      </c>
      <c r="E3149" t="s">
        <v>262</v>
      </c>
      <c r="F3149">
        <v>41.44</v>
      </c>
      <c r="G3149">
        <v>231106</v>
      </c>
      <c r="H3149">
        <v>4362</v>
      </c>
      <c r="I3149" t="s">
        <v>79</v>
      </c>
      <c r="J3149">
        <v>51.39</v>
      </c>
      <c r="K3149">
        <v>9.9499999999999993</v>
      </c>
      <c r="L3149">
        <v>49501</v>
      </c>
      <c r="M3149" t="s">
        <v>177</v>
      </c>
      <c r="N3149" t="str">
        <f>"23061263    "</f>
        <v xml:space="preserve">23061263    </v>
      </c>
      <c r="O3149">
        <v>231114</v>
      </c>
    </row>
    <row r="3150" spans="1:15" x14ac:dyDescent="0.25">
      <c r="A3150" t="s">
        <v>16</v>
      </c>
      <c r="B3150" t="s">
        <v>3221</v>
      </c>
      <c r="C3150">
        <v>16080</v>
      </c>
      <c r="D3150" t="s">
        <v>261</v>
      </c>
      <c r="E3150" t="s">
        <v>262</v>
      </c>
      <c r="F3150">
        <v>72.42</v>
      </c>
      <c r="G3150">
        <v>231106</v>
      </c>
      <c r="H3150">
        <v>4362</v>
      </c>
      <c r="I3150" t="s">
        <v>79</v>
      </c>
      <c r="J3150">
        <v>89.8</v>
      </c>
      <c r="K3150">
        <v>17.38</v>
      </c>
      <c r="L3150">
        <v>11801</v>
      </c>
      <c r="M3150" t="s">
        <v>92</v>
      </c>
      <c r="N3150" t="str">
        <f>"23063448    "</f>
        <v xml:space="preserve">23063448    </v>
      </c>
      <c r="O3150">
        <v>231122</v>
      </c>
    </row>
    <row r="3151" spans="1:15" x14ac:dyDescent="0.25">
      <c r="A3151" t="s">
        <v>16</v>
      </c>
      <c r="B3151" t="s">
        <v>3221</v>
      </c>
      <c r="C3151">
        <v>16080</v>
      </c>
      <c r="D3151" t="s">
        <v>261</v>
      </c>
      <c r="E3151" t="s">
        <v>262</v>
      </c>
      <c r="F3151">
        <v>36.21</v>
      </c>
      <c r="G3151">
        <v>231106</v>
      </c>
      <c r="H3151">
        <v>4362</v>
      </c>
      <c r="I3151" t="s">
        <v>79</v>
      </c>
      <c r="J3151">
        <v>44.9</v>
      </c>
      <c r="K3151">
        <v>8.69</v>
      </c>
      <c r="L3151">
        <v>46222</v>
      </c>
      <c r="M3151" t="s">
        <v>293</v>
      </c>
      <c r="N3151" t="str">
        <f>"23063448    "</f>
        <v xml:space="preserve">23063448    </v>
      </c>
      <c r="O3151">
        <v>231122</v>
      </c>
    </row>
    <row r="3152" spans="1:15" x14ac:dyDescent="0.25">
      <c r="A3152" t="s">
        <v>16</v>
      </c>
      <c r="B3152" t="s">
        <v>3221</v>
      </c>
      <c r="C3152">
        <v>17458</v>
      </c>
      <c r="D3152" t="s">
        <v>261</v>
      </c>
      <c r="E3152" t="s">
        <v>262</v>
      </c>
      <c r="F3152">
        <v>108.63</v>
      </c>
      <c r="G3152">
        <v>231205</v>
      </c>
      <c r="H3152">
        <v>4362</v>
      </c>
      <c r="I3152" t="s">
        <v>79</v>
      </c>
      <c r="J3152">
        <v>134.69999999999999</v>
      </c>
      <c r="K3152">
        <v>26.07</v>
      </c>
      <c r="L3152">
        <v>11801</v>
      </c>
      <c r="M3152" t="s">
        <v>92</v>
      </c>
      <c r="N3152" t="str">
        <f>"23069662    "</f>
        <v xml:space="preserve">23069662    </v>
      </c>
      <c r="O3152">
        <v>231214</v>
      </c>
    </row>
    <row r="3153" spans="1:15" x14ac:dyDescent="0.25">
      <c r="A3153" t="s">
        <v>16</v>
      </c>
      <c r="B3153" t="s">
        <v>3221</v>
      </c>
      <c r="C3153">
        <v>9360</v>
      </c>
      <c r="D3153" t="s">
        <v>1912</v>
      </c>
      <c r="E3153" t="s">
        <v>1913</v>
      </c>
      <c r="F3153">
        <v>322.58</v>
      </c>
      <c r="G3153">
        <v>230705</v>
      </c>
      <c r="H3153">
        <v>4341</v>
      </c>
      <c r="I3153" t="s">
        <v>32</v>
      </c>
      <c r="J3153">
        <v>400</v>
      </c>
      <c r="K3153">
        <v>77.42</v>
      </c>
      <c r="L3153">
        <v>11900</v>
      </c>
      <c r="M3153" t="s">
        <v>1105</v>
      </c>
      <c r="N3153" t="str">
        <f>"19323       "</f>
        <v xml:space="preserve">19323       </v>
      </c>
      <c r="O3153">
        <v>230710</v>
      </c>
    </row>
    <row r="3154" spans="1:15" x14ac:dyDescent="0.25">
      <c r="A3154" t="s">
        <v>16</v>
      </c>
      <c r="B3154" t="s">
        <v>3221</v>
      </c>
      <c r="C3154">
        <v>13459</v>
      </c>
      <c r="D3154" t="s">
        <v>1912</v>
      </c>
      <c r="E3154" t="s">
        <v>1913</v>
      </c>
      <c r="F3154">
        <v>241.94</v>
      </c>
      <c r="G3154">
        <v>231004</v>
      </c>
      <c r="H3154">
        <v>4341</v>
      </c>
      <c r="I3154" t="s">
        <v>32</v>
      </c>
      <c r="J3154">
        <v>300</v>
      </c>
      <c r="K3154">
        <v>58.06</v>
      </c>
      <c r="L3154">
        <v>11900</v>
      </c>
      <c r="M3154" t="s">
        <v>1105</v>
      </c>
      <c r="N3154" t="str">
        <f>"20962       "</f>
        <v xml:space="preserve">20962       </v>
      </c>
      <c r="O3154">
        <v>231010</v>
      </c>
    </row>
    <row r="3155" spans="1:15" x14ac:dyDescent="0.25">
      <c r="A3155" t="s">
        <v>16</v>
      </c>
      <c r="B3155" t="s">
        <v>3221</v>
      </c>
      <c r="C3155">
        <v>6853</v>
      </c>
      <c r="D3155" t="s">
        <v>1912</v>
      </c>
      <c r="E3155" t="s">
        <v>1913</v>
      </c>
      <c r="F3155">
        <v>411.29</v>
      </c>
      <c r="G3155">
        <v>230508</v>
      </c>
      <c r="H3155">
        <v>4410</v>
      </c>
      <c r="I3155" t="s">
        <v>517</v>
      </c>
      <c r="J3155">
        <v>510</v>
      </c>
      <c r="K3155">
        <v>98.71</v>
      </c>
      <c r="L3155">
        <v>13601</v>
      </c>
      <c r="M3155" t="s">
        <v>147</v>
      </c>
      <c r="N3155" t="str">
        <f>"18422       "</f>
        <v xml:space="preserve">18422       </v>
      </c>
      <c r="O3155">
        <v>230523</v>
      </c>
    </row>
    <row r="3156" spans="1:15" x14ac:dyDescent="0.25">
      <c r="A3156" t="s">
        <v>16</v>
      </c>
      <c r="B3156" t="s">
        <v>3221</v>
      </c>
      <c r="C3156">
        <v>6853</v>
      </c>
      <c r="D3156" t="s">
        <v>1912</v>
      </c>
      <c r="E3156" t="s">
        <v>1913</v>
      </c>
      <c r="F3156">
        <v>3850.01</v>
      </c>
      <c r="G3156">
        <v>230508</v>
      </c>
      <c r="H3156">
        <v>4410</v>
      </c>
      <c r="I3156" t="s">
        <v>517</v>
      </c>
      <c r="J3156">
        <v>3850.01</v>
      </c>
      <c r="K3156">
        <v>0</v>
      </c>
      <c r="L3156">
        <v>13601</v>
      </c>
      <c r="M3156" t="s">
        <v>147</v>
      </c>
      <c r="N3156" t="str">
        <f>"18422       "</f>
        <v xml:space="preserve">18422       </v>
      </c>
      <c r="O3156">
        <v>230523</v>
      </c>
    </row>
    <row r="3157" spans="1:15" x14ac:dyDescent="0.25">
      <c r="A3157" t="s">
        <v>16</v>
      </c>
      <c r="B3157" t="s">
        <v>3221</v>
      </c>
      <c r="C3157">
        <v>16823</v>
      </c>
      <c r="D3157" t="s">
        <v>1912</v>
      </c>
      <c r="E3157" t="s">
        <v>1913</v>
      </c>
      <c r="F3157">
        <v>929.2</v>
      </c>
      <c r="G3157">
        <v>231207</v>
      </c>
      <c r="H3157">
        <v>4410</v>
      </c>
      <c r="I3157" t="s">
        <v>517</v>
      </c>
      <c r="J3157">
        <v>929.2</v>
      </c>
      <c r="K3157">
        <v>0</v>
      </c>
      <c r="L3157">
        <v>11902</v>
      </c>
      <c r="M3157" t="s">
        <v>1443</v>
      </c>
      <c r="N3157" t="str">
        <f>"22146       "</f>
        <v xml:space="preserve">22146       </v>
      </c>
      <c r="O3157">
        <v>231211</v>
      </c>
    </row>
    <row r="3158" spans="1:15" x14ac:dyDescent="0.25">
      <c r="A3158" t="s">
        <v>16</v>
      </c>
      <c r="B3158" t="s">
        <v>3221</v>
      </c>
      <c r="C3158">
        <v>5882</v>
      </c>
      <c r="D3158" t="s">
        <v>1912</v>
      </c>
      <c r="E3158" t="s">
        <v>1913</v>
      </c>
      <c r="F3158">
        <v>1050</v>
      </c>
      <c r="G3158">
        <v>230427</v>
      </c>
      <c r="H3158">
        <v>4420</v>
      </c>
      <c r="I3158" t="s">
        <v>132</v>
      </c>
      <c r="J3158">
        <v>1050</v>
      </c>
      <c r="K3158">
        <v>0</v>
      </c>
      <c r="L3158">
        <v>13601</v>
      </c>
      <c r="M3158" t="s">
        <v>147</v>
      </c>
      <c r="N3158" t="str">
        <f>"18251       "</f>
        <v xml:space="preserve">18251       </v>
      </c>
      <c r="O3158">
        <v>230503</v>
      </c>
    </row>
    <row r="3159" spans="1:15" x14ac:dyDescent="0.25">
      <c r="A3159" t="s">
        <v>16</v>
      </c>
      <c r="B3159" t="s">
        <v>3221</v>
      </c>
      <c r="C3159">
        <v>6853</v>
      </c>
      <c r="D3159" t="s">
        <v>1912</v>
      </c>
      <c r="E3159" t="s">
        <v>1913</v>
      </c>
      <c r="F3159">
        <v>1202.42</v>
      </c>
      <c r="G3159">
        <v>230508</v>
      </c>
      <c r="H3159">
        <v>4420</v>
      </c>
      <c r="I3159" t="s">
        <v>132</v>
      </c>
      <c r="J3159">
        <v>1491</v>
      </c>
      <c r="K3159">
        <v>288.58</v>
      </c>
      <c r="L3159">
        <v>13601</v>
      </c>
      <c r="M3159" t="s">
        <v>147</v>
      </c>
      <c r="N3159" t="str">
        <f>"18422       "</f>
        <v xml:space="preserve">18422       </v>
      </c>
      <c r="O3159">
        <v>230523</v>
      </c>
    </row>
    <row r="3160" spans="1:15" x14ac:dyDescent="0.25">
      <c r="A3160" t="s">
        <v>16</v>
      </c>
      <c r="B3160" t="s">
        <v>3221</v>
      </c>
      <c r="C3160">
        <v>6853</v>
      </c>
      <c r="D3160" t="s">
        <v>1912</v>
      </c>
      <c r="E3160" t="s">
        <v>1913</v>
      </c>
      <c r="F3160">
        <v>5691</v>
      </c>
      <c r="G3160">
        <v>230508</v>
      </c>
      <c r="H3160">
        <v>4420</v>
      </c>
      <c r="I3160" t="s">
        <v>132</v>
      </c>
      <c r="J3160">
        <v>5691</v>
      </c>
      <c r="K3160">
        <v>0</v>
      </c>
      <c r="L3160">
        <v>13601</v>
      </c>
      <c r="M3160" t="s">
        <v>147</v>
      </c>
      <c r="N3160" t="str">
        <f>"18422       "</f>
        <v xml:space="preserve">18422       </v>
      </c>
      <c r="O3160">
        <v>230523</v>
      </c>
    </row>
    <row r="3161" spans="1:15" x14ac:dyDescent="0.25">
      <c r="A3161" t="s">
        <v>16</v>
      </c>
      <c r="B3161" t="s">
        <v>3221</v>
      </c>
      <c r="C3161">
        <v>8908</v>
      </c>
      <c r="D3161" t="s">
        <v>1912</v>
      </c>
      <c r="E3161" t="s">
        <v>1913</v>
      </c>
      <c r="F3161">
        <v>774.96</v>
      </c>
      <c r="G3161">
        <v>230614</v>
      </c>
      <c r="H3161">
        <v>4420</v>
      </c>
      <c r="I3161" t="s">
        <v>132</v>
      </c>
      <c r="J3161">
        <v>774.96</v>
      </c>
      <c r="K3161">
        <v>0</v>
      </c>
      <c r="L3161">
        <v>11902</v>
      </c>
      <c r="M3161" t="s">
        <v>1443</v>
      </c>
      <c r="N3161" t="str">
        <f>"19020       "</f>
        <v xml:space="preserve">19020       </v>
      </c>
      <c r="O3161">
        <v>230619</v>
      </c>
    </row>
    <row r="3162" spans="1:15" x14ac:dyDescent="0.25">
      <c r="A3162" t="s">
        <v>16</v>
      </c>
      <c r="B3162" t="s">
        <v>3221</v>
      </c>
      <c r="C3162">
        <v>8908</v>
      </c>
      <c r="D3162" t="s">
        <v>1912</v>
      </c>
      <c r="E3162" t="s">
        <v>1913</v>
      </c>
      <c r="F3162">
        <v>193.74</v>
      </c>
      <c r="G3162">
        <v>230614</v>
      </c>
      <c r="H3162">
        <v>4420</v>
      </c>
      <c r="I3162" t="s">
        <v>132</v>
      </c>
      <c r="J3162">
        <v>193.74</v>
      </c>
      <c r="K3162">
        <v>0</v>
      </c>
      <c r="L3162">
        <v>11902</v>
      </c>
      <c r="M3162" t="s">
        <v>1443</v>
      </c>
      <c r="N3162" t="str">
        <f>"19020       "</f>
        <v xml:space="preserve">19020       </v>
      </c>
      <c r="O3162">
        <v>230619</v>
      </c>
    </row>
    <row r="3163" spans="1:15" x14ac:dyDescent="0.25">
      <c r="A3163" t="s">
        <v>16</v>
      </c>
      <c r="B3163" t="s">
        <v>3221</v>
      </c>
      <c r="C3163">
        <v>8933</v>
      </c>
      <c r="D3163" t="s">
        <v>1912</v>
      </c>
      <c r="E3163" t="s">
        <v>1913</v>
      </c>
      <c r="F3163">
        <v>550.1</v>
      </c>
      <c r="G3163">
        <v>230616</v>
      </c>
      <c r="H3163">
        <v>4420</v>
      </c>
      <c r="I3163" t="s">
        <v>132</v>
      </c>
      <c r="J3163">
        <v>550.1</v>
      </c>
      <c r="K3163">
        <v>0</v>
      </c>
      <c r="L3163">
        <v>13501</v>
      </c>
      <c r="M3163" t="s">
        <v>20</v>
      </c>
      <c r="N3163" t="str">
        <f>"19053       "</f>
        <v xml:space="preserve">19053       </v>
      </c>
      <c r="O3163">
        <v>230620</v>
      </c>
    </row>
    <row r="3164" spans="1:15" x14ac:dyDescent="0.25">
      <c r="A3164" t="s">
        <v>16</v>
      </c>
      <c r="B3164" t="s">
        <v>3221</v>
      </c>
      <c r="C3164">
        <v>12034</v>
      </c>
      <c r="D3164" t="s">
        <v>1912</v>
      </c>
      <c r="E3164" t="s">
        <v>1913</v>
      </c>
      <c r="F3164">
        <v>1678.44</v>
      </c>
      <c r="G3164">
        <v>230909</v>
      </c>
      <c r="H3164">
        <v>4420</v>
      </c>
      <c r="I3164" t="s">
        <v>132</v>
      </c>
      <c r="J3164">
        <v>1678.44</v>
      </c>
      <c r="K3164">
        <v>0</v>
      </c>
      <c r="L3164">
        <v>11902</v>
      </c>
      <c r="M3164" t="s">
        <v>1443</v>
      </c>
      <c r="N3164" t="str">
        <f>"20360       "</f>
        <v xml:space="preserve">20360       </v>
      </c>
      <c r="O3164">
        <v>230913</v>
      </c>
    </row>
    <row r="3165" spans="1:15" x14ac:dyDescent="0.25">
      <c r="A3165" t="s">
        <v>16</v>
      </c>
      <c r="B3165" t="s">
        <v>3221</v>
      </c>
      <c r="C3165">
        <v>12879</v>
      </c>
      <c r="D3165" t="s">
        <v>1912</v>
      </c>
      <c r="E3165" t="s">
        <v>1913</v>
      </c>
      <c r="F3165">
        <v>719.94</v>
      </c>
      <c r="G3165">
        <v>230926</v>
      </c>
      <c r="H3165">
        <v>4420</v>
      </c>
      <c r="I3165" t="s">
        <v>132</v>
      </c>
      <c r="J3165">
        <v>719.94</v>
      </c>
      <c r="K3165">
        <v>0</v>
      </c>
      <c r="L3165">
        <v>17131</v>
      </c>
      <c r="M3165" t="s">
        <v>64</v>
      </c>
      <c r="N3165" t="str">
        <f>"20710       "</f>
        <v xml:space="preserve">20710       </v>
      </c>
      <c r="O3165">
        <v>230929</v>
      </c>
    </row>
    <row r="3166" spans="1:15" x14ac:dyDescent="0.25">
      <c r="A3166" t="s">
        <v>16</v>
      </c>
      <c r="B3166" t="s">
        <v>3221</v>
      </c>
      <c r="C3166">
        <v>12946</v>
      </c>
      <c r="D3166" t="s">
        <v>1912</v>
      </c>
      <c r="E3166" t="s">
        <v>1913</v>
      </c>
      <c r="F3166">
        <v>1324.61</v>
      </c>
      <c r="G3166">
        <v>230926</v>
      </c>
      <c r="H3166">
        <v>4420</v>
      </c>
      <c r="I3166" t="s">
        <v>132</v>
      </c>
      <c r="J3166">
        <v>1324.61</v>
      </c>
      <c r="K3166">
        <v>0</v>
      </c>
      <c r="L3166">
        <v>11902</v>
      </c>
      <c r="M3166" t="s">
        <v>1443</v>
      </c>
      <c r="N3166" t="str">
        <f>"20714       "</f>
        <v xml:space="preserve">20714       </v>
      </c>
      <c r="O3166">
        <v>231002</v>
      </c>
    </row>
    <row r="3167" spans="1:15" x14ac:dyDescent="0.25">
      <c r="A3167" t="s">
        <v>16</v>
      </c>
      <c r="B3167" t="s">
        <v>3221</v>
      </c>
      <c r="C3167">
        <v>12947</v>
      </c>
      <c r="D3167" t="s">
        <v>1912</v>
      </c>
      <c r="E3167" t="s">
        <v>1913</v>
      </c>
      <c r="F3167">
        <v>1223.3900000000001</v>
      </c>
      <c r="G3167">
        <v>230926</v>
      </c>
      <c r="H3167">
        <v>4420</v>
      </c>
      <c r="I3167" t="s">
        <v>132</v>
      </c>
      <c r="J3167">
        <v>1223.3900000000001</v>
      </c>
      <c r="K3167">
        <v>0</v>
      </c>
      <c r="L3167">
        <v>11902</v>
      </c>
      <c r="M3167" t="s">
        <v>1443</v>
      </c>
      <c r="N3167" t="str">
        <f>"20713       "</f>
        <v xml:space="preserve">20713       </v>
      </c>
      <c r="O3167">
        <v>231002</v>
      </c>
    </row>
    <row r="3168" spans="1:15" x14ac:dyDescent="0.25">
      <c r="A3168" t="s">
        <v>16</v>
      </c>
      <c r="B3168" t="s">
        <v>3221</v>
      </c>
      <c r="C3168">
        <v>13456</v>
      </c>
      <c r="D3168" t="s">
        <v>1912</v>
      </c>
      <c r="E3168" t="s">
        <v>1913</v>
      </c>
      <c r="F3168">
        <v>278.92</v>
      </c>
      <c r="G3168">
        <v>231003</v>
      </c>
      <c r="H3168">
        <v>4420</v>
      </c>
      <c r="I3168" t="s">
        <v>132</v>
      </c>
      <c r="J3168">
        <v>278.92</v>
      </c>
      <c r="K3168">
        <v>0</v>
      </c>
      <c r="L3168">
        <v>11900</v>
      </c>
      <c r="M3168" t="s">
        <v>1105</v>
      </c>
      <c r="N3168" t="str">
        <f>"20905       "</f>
        <v xml:space="preserve">20905       </v>
      </c>
      <c r="O3168">
        <v>231010</v>
      </c>
    </row>
    <row r="3169" spans="1:15" x14ac:dyDescent="0.25">
      <c r="A3169" t="s">
        <v>16</v>
      </c>
      <c r="B3169" t="s">
        <v>3221</v>
      </c>
      <c r="C3169">
        <v>13457</v>
      </c>
      <c r="D3169" t="s">
        <v>1912</v>
      </c>
      <c r="E3169" t="s">
        <v>1913</v>
      </c>
      <c r="F3169">
        <v>351.22</v>
      </c>
      <c r="G3169">
        <v>231003</v>
      </c>
      <c r="H3169">
        <v>4420</v>
      </c>
      <c r="I3169" t="s">
        <v>132</v>
      </c>
      <c r="J3169">
        <v>351.22</v>
      </c>
      <c r="K3169">
        <v>0</v>
      </c>
      <c r="L3169">
        <v>11900</v>
      </c>
      <c r="M3169" t="s">
        <v>1105</v>
      </c>
      <c r="N3169" t="str">
        <f>"20906       "</f>
        <v xml:space="preserve">20906       </v>
      </c>
      <c r="O3169">
        <v>231010</v>
      </c>
    </row>
    <row r="3170" spans="1:15" x14ac:dyDescent="0.25">
      <c r="A3170" t="s">
        <v>16</v>
      </c>
      <c r="B3170" t="s">
        <v>3221</v>
      </c>
      <c r="C3170">
        <v>13539</v>
      </c>
      <c r="D3170" t="s">
        <v>1912</v>
      </c>
      <c r="E3170" t="s">
        <v>1913</v>
      </c>
      <c r="F3170">
        <v>70</v>
      </c>
      <c r="G3170">
        <v>231010</v>
      </c>
      <c r="H3170">
        <v>4420</v>
      </c>
      <c r="I3170" t="s">
        <v>132</v>
      </c>
      <c r="J3170">
        <v>70</v>
      </c>
      <c r="K3170">
        <v>0</v>
      </c>
      <c r="L3170">
        <v>11900</v>
      </c>
      <c r="M3170" t="s">
        <v>1105</v>
      </c>
      <c r="N3170" t="str">
        <f>"21072       "</f>
        <v xml:space="preserve">21072       </v>
      </c>
      <c r="O3170">
        <v>231011</v>
      </c>
    </row>
    <row r="3171" spans="1:15" x14ac:dyDescent="0.25">
      <c r="A3171" t="s">
        <v>16</v>
      </c>
      <c r="B3171" t="s">
        <v>3221</v>
      </c>
      <c r="C3171">
        <v>15759</v>
      </c>
      <c r="D3171" t="s">
        <v>1912</v>
      </c>
      <c r="E3171" t="s">
        <v>1913</v>
      </c>
      <c r="F3171">
        <v>156.77000000000001</v>
      </c>
      <c r="G3171">
        <v>231114</v>
      </c>
      <c r="H3171">
        <v>4420</v>
      </c>
      <c r="I3171" t="s">
        <v>132</v>
      </c>
      <c r="J3171">
        <v>156.77000000000001</v>
      </c>
      <c r="K3171">
        <v>0</v>
      </c>
      <c r="L3171">
        <v>11902</v>
      </c>
      <c r="M3171" t="s">
        <v>1443</v>
      </c>
      <c r="N3171" t="str">
        <f>"21789       "</f>
        <v xml:space="preserve">21789       </v>
      </c>
      <c r="O3171">
        <v>231116</v>
      </c>
    </row>
    <row r="3172" spans="1:15" x14ac:dyDescent="0.25">
      <c r="A3172" t="s">
        <v>16</v>
      </c>
      <c r="B3172" t="s">
        <v>3221</v>
      </c>
      <c r="C3172">
        <v>16661</v>
      </c>
      <c r="D3172" t="s">
        <v>1912</v>
      </c>
      <c r="E3172" t="s">
        <v>1913</v>
      </c>
      <c r="F3172">
        <v>445.9</v>
      </c>
      <c r="G3172">
        <v>231129</v>
      </c>
      <c r="H3172">
        <v>4420</v>
      </c>
      <c r="I3172" t="s">
        <v>132</v>
      </c>
      <c r="J3172">
        <v>445.9</v>
      </c>
      <c r="K3172">
        <v>0</v>
      </c>
      <c r="L3172">
        <v>13501</v>
      </c>
      <c r="M3172" t="s">
        <v>20</v>
      </c>
      <c r="N3172" t="str">
        <f>"22056       "</f>
        <v xml:space="preserve">22056       </v>
      </c>
      <c r="O3172">
        <v>231205</v>
      </c>
    </row>
    <row r="3173" spans="1:15" x14ac:dyDescent="0.25">
      <c r="A3173" t="s">
        <v>16</v>
      </c>
      <c r="B3173" t="s">
        <v>3221</v>
      </c>
      <c r="C3173">
        <v>16662</v>
      </c>
      <c r="D3173" t="s">
        <v>1912</v>
      </c>
      <c r="E3173" t="s">
        <v>1913</v>
      </c>
      <c r="F3173">
        <v>2236.16</v>
      </c>
      <c r="G3173">
        <v>231130</v>
      </c>
      <c r="H3173">
        <v>4420</v>
      </c>
      <c r="I3173" t="s">
        <v>132</v>
      </c>
      <c r="J3173">
        <v>2236.16</v>
      </c>
      <c r="K3173">
        <v>0</v>
      </c>
      <c r="L3173">
        <v>11902</v>
      </c>
      <c r="M3173" t="s">
        <v>1443</v>
      </c>
      <c r="N3173" t="str">
        <f>"22057       "</f>
        <v xml:space="preserve">22057       </v>
      </c>
      <c r="O3173">
        <v>231205</v>
      </c>
    </row>
    <row r="3174" spans="1:15" x14ac:dyDescent="0.25">
      <c r="A3174" t="s">
        <v>16</v>
      </c>
      <c r="B3174" t="s">
        <v>3221</v>
      </c>
      <c r="C3174">
        <v>17717</v>
      </c>
      <c r="D3174" t="s">
        <v>1912</v>
      </c>
      <c r="E3174" t="s">
        <v>1913</v>
      </c>
      <c r="F3174">
        <v>365.16</v>
      </c>
      <c r="G3174">
        <v>231216</v>
      </c>
      <c r="H3174">
        <v>4420</v>
      </c>
      <c r="I3174" t="s">
        <v>132</v>
      </c>
      <c r="J3174">
        <v>365.16</v>
      </c>
      <c r="K3174">
        <v>0</v>
      </c>
      <c r="L3174">
        <v>11902</v>
      </c>
      <c r="M3174" t="s">
        <v>1443</v>
      </c>
      <c r="N3174" t="str">
        <f>"22289       "</f>
        <v xml:space="preserve">22289       </v>
      </c>
      <c r="O3174">
        <v>231221</v>
      </c>
    </row>
    <row r="3175" spans="1:15" x14ac:dyDescent="0.25">
      <c r="A3175" t="s">
        <v>16</v>
      </c>
      <c r="B3175" t="s">
        <v>3221</v>
      </c>
      <c r="C3175">
        <v>18915</v>
      </c>
      <c r="D3175" t="s">
        <v>1912</v>
      </c>
      <c r="E3175" t="s">
        <v>1913</v>
      </c>
      <c r="F3175">
        <v>2360.34</v>
      </c>
      <c r="G3175">
        <v>231227</v>
      </c>
      <c r="H3175">
        <v>4420</v>
      </c>
      <c r="I3175" t="s">
        <v>132</v>
      </c>
      <c r="J3175">
        <v>2360.34</v>
      </c>
      <c r="K3175">
        <v>0</v>
      </c>
      <c r="L3175">
        <v>11902</v>
      </c>
      <c r="M3175" t="s">
        <v>1443</v>
      </c>
      <c r="N3175" t="str">
        <f>"22385       "</f>
        <v xml:space="preserve">22385       </v>
      </c>
      <c r="O3175">
        <v>240108</v>
      </c>
    </row>
    <row r="3176" spans="1:15" x14ac:dyDescent="0.25">
      <c r="A3176" t="s">
        <v>16</v>
      </c>
      <c r="B3176" t="s">
        <v>3221</v>
      </c>
      <c r="C3176">
        <v>5882</v>
      </c>
      <c r="D3176" t="s">
        <v>1912</v>
      </c>
      <c r="E3176" t="s">
        <v>1913</v>
      </c>
      <c r="F3176">
        <v>592.74</v>
      </c>
      <c r="G3176">
        <v>230427</v>
      </c>
      <c r="H3176">
        <v>4347</v>
      </c>
      <c r="I3176" t="s">
        <v>193</v>
      </c>
      <c r="J3176">
        <v>735</v>
      </c>
      <c r="K3176">
        <v>142.26</v>
      </c>
      <c r="L3176">
        <v>13601</v>
      </c>
      <c r="M3176" t="s">
        <v>147</v>
      </c>
      <c r="N3176" t="str">
        <f>"18251       "</f>
        <v xml:space="preserve">18251       </v>
      </c>
      <c r="O3176">
        <v>230503</v>
      </c>
    </row>
    <row r="3177" spans="1:15" x14ac:dyDescent="0.25">
      <c r="A3177" t="s">
        <v>16</v>
      </c>
      <c r="B3177" t="s">
        <v>3221</v>
      </c>
      <c r="C3177">
        <v>6853</v>
      </c>
      <c r="D3177" t="s">
        <v>1912</v>
      </c>
      <c r="E3177" t="s">
        <v>1913</v>
      </c>
      <c r="F3177">
        <v>96.77</v>
      </c>
      <c r="G3177">
        <v>230508</v>
      </c>
      <c r="H3177">
        <v>4347</v>
      </c>
      <c r="I3177" t="s">
        <v>193</v>
      </c>
      <c r="J3177">
        <v>119.99</v>
      </c>
      <c r="K3177">
        <v>23.22</v>
      </c>
      <c r="L3177">
        <v>13601</v>
      </c>
      <c r="M3177" t="s">
        <v>147</v>
      </c>
      <c r="N3177" t="str">
        <f>"18422       "</f>
        <v xml:space="preserve">18422       </v>
      </c>
      <c r="O3177">
        <v>230523</v>
      </c>
    </row>
    <row r="3178" spans="1:15" x14ac:dyDescent="0.25">
      <c r="A3178" t="s">
        <v>16</v>
      </c>
      <c r="B3178" t="s">
        <v>3221</v>
      </c>
      <c r="C3178">
        <v>12158</v>
      </c>
      <c r="D3178" t="s">
        <v>2545</v>
      </c>
      <c r="E3178" t="s">
        <v>2546</v>
      </c>
      <c r="F3178">
        <v>241.13</v>
      </c>
      <c r="G3178">
        <v>230901</v>
      </c>
      <c r="H3178">
        <v>4600</v>
      </c>
      <c r="I3178" t="s">
        <v>105</v>
      </c>
      <c r="J3178">
        <v>299</v>
      </c>
      <c r="K3178">
        <v>57.87</v>
      </c>
      <c r="L3178">
        <v>59504</v>
      </c>
      <c r="M3178" t="s">
        <v>71</v>
      </c>
      <c r="N3178" t="str">
        <f>"10747       "</f>
        <v xml:space="preserve">10747       </v>
      </c>
      <c r="O3178">
        <v>230914</v>
      </c>
    </row>
    <row r="3179" spans="1:15" x14ac:dyDescent="0.25">
      <c r="A3179" t="s">
        <v>16</v>
      </c>
      <c r="B3179" t="s">
        <v>3221</v>
      </c>
      <c r="C3179">
        <v>3879</v>
      </c>
      <c r="D3179" t="s">
        <v>1632</v>
      </c>
      <c r="E3179" t="s">
        <v>1633</v>
      </c>
      <c r="F3179">
        <v>802.93</v>
      </c>
      <c r="G3179">
        <v>230322</v>
      </c>
      <c r="H3179">
        <v>4600</v>
      </c>
      <c r="I3179" t="s">
        <v>105</v>
      </c>
      <c r="J3179">
        <v>995.63</v>
      </c>
      <c r="K3179">
        <v>192.7</v>
      </c>
      <c r="L3179">
        <v>17523</v>
      </c>
      <c r="M3179" t="s">
        <v>134</v>
      </c>
      <c r="N3179" t="str">
        <f>"70051       "</f>
        <v xml:space="preserve">70051       </v>
      </c>
      <c r="O3179">
        <v>230324</v>
      </c>
    </row>
    <row r="3180" spans="1:15" x14ac:dyDescent="0.25">
      <c r="A3180" t="s">
        <v>16</v>
      </c>
      <c r="B3180" t="s">
        <v>3221</v>
      </c>
      <c r="C3180">
        <v>11689</v>
      </c>
      <c r="D3180" t="s">
        <v>1632</v>
      </c>
      <c r="E3180" t="s">
        <v>1633</v>
      </c>
      <c r="F3180">
        <v>258.79000000000002</v>
      </c>
      <c r="G3180">
        <v>230906</v>
      </c>
      <c r="H3180">
        <v>4600</v>
      </c>
      <c r="I3180" t="s">
        <v>105</v>
      </c>
      <c r="J3180">
        <v>320.89999999999998</v>
      </c>
      <c r="K3180">
        <v>62.11</v>
      </c>
      <c r="L3180">
        <v>17523</v>
      </c>
      <c r="M3180" t="s">
        <v>134</v>
      </c>
      <c r="N3180" t="str">
        <f>"71697       "</f>
        <v xml:space="preserve">71697       </v>
      </c>
      <c r="O3180">
        <v>230908</v>
      </c>
    </row>
    <row r="3181" spans="1:15" x14ac:dyDescent="0.25">
      <c r="A3181" t="s">
        <v>16</v>
      </c>
      <c r="B3181" t="s">
        <v>3221</v>
      </c>
      <c r="C3181">
        <v>11689</v>
      </c>
      <c r="D3181" t="s">
        <v>1632</v>
      </c>
      <c r="E3181" t="s">
        <v>1633</v>
      </c>
      <c r="F3181">
        <v>603.83000000000004</v>
      </c>
      <c r="G3181">
        <v>230906</v>
      </c>
      <c r="H3181">
        <v>4600</v>
      </c>
      <c r="I3181" t="s">
        <v>105</v>
      </c>
      <c r="J3181">
        <v>748.75</v>
      </c>
      <c r="K3181">
        <v>144.91999999999999</v>
      </c>
      <c r="L3181">
        <v>17523</v>
      </c>
      <c r="M3181" t="s">
        <v>134</v>
      </c>
      <c r="N3181" t="str">
        <f>"71697       "</f>
        <v xml:space="preserve">71697       </v>
      </c>
      <c r="O3181">
        <v>230908</v>
      </c>
    </row>
    <row r="3182" spans="1:15" x14ac:dyDescent="0.25">
      <c r="A3182" t="s">
        <v>16</v>
      </c>
      <c r="B3182" t="s">
        <v>3221</v>
      </c>
      <c r="C3182">
        <v>7726</v>
      </c>
      <c r="D3182" t="s">
        <v>2122</v>
      </c>
      <c r="E3182" t="s">
        <v>2123</v>
      </c>
      <c r="F3182">
        <v>275.81</v>
      </c>
      <c r="G3182">
        <v>230531</v>
      </c>
      <c r="H3182">
        <v>4530</v>
      </c>
      <c r="I3182" t="s">
        <v>342</v>
      </c>
      <c r="J3182">
        <v>342</v>
      </c>
      <c r="K3182">
        <v>66.19</v>
      </c>
      <c r="L3182">
        <v>16133</v>
      </c>
      <c r="M3182" t="s">
        <v>2124</v>
      </c>
      <c r="N3182" t="str">
        <f>"1230500093  "</f>
        <v xml:space="preserve">1230500093  </v>
      </c>
      <c r="O3182">
        <v>230602</v>
      </c>
    </row>
    <row r="3183" spans="1:15" x14ac:dyDescent="0.25">
      <c r="A3183" t="s">
        <v>16</v>
      </c>
      <c r="B3183" t="s">
        <v>3221</v>
      </c>
      <c r="C3183">
        <v>3079</v>
      </c>
      <c r="D3183" t="s">
        <v>931</v>
      </c>
      <c r="E3183" t="s">
        <v>932</v>
      </c>
      <c r="F3183">
        <v>4.62</v>
      </c>
      <c r="G3183">
        <v>230228</v>
      </c>
      <c r="H3183">
        <v>4840</v>
      </c>
      <c r="I3183" t="s">
        <v>19</v>
      </c>
      <c r="J3183">
        <v>5.73</v>
      </c>
      <c r="K3183">
        <v>1.1100000000000001</v>
      </c>
      <c r="L3183">
        <v>13540</v>
      </c>
      <c r="M3183" t="s">
        <v>85</v>
      </c>
      <c r="N3183" t="str">
        <f>"100196013   "</f>
        <v xml:space="preserve">100196013   </v>
      </c>
      <c r="O3183">
        <v>230309</v>
      </c>
    </row>
    <row r="3184" spans="1:15" x14ac:dyDescent="0.25">
      <c r="A3184" t="s">
        <v>16</v>
      </c>
      <c r="B3184" t="s">
        <v>3221</v>
      </c>
      <c r="C3184">
        <v>3079</v>
      </c>
      <c r="D3184" t="s">
        <v>931</v>
      </c>
      <c r="E3184" t="s">
        <v>932</v>
      </c>
      <c r="F3184">
        <v>31.5</v>
      </c>
      <c r="G3184">
        <v>230228</v>
      </c>
      <c r="H3184">
        <v>4840</v>
      </c>
      <c r="I3184" t="s">
        <v>19</v>
      </c>
      <c r="J3184">
        <v>39.06</v>
      </c>
      <c r="K3184">
        <v>7.56</v>
      </c>
      <c r="L3184">
        <v>17950</v>
      </c>
      <c r="M3184" t="s">
        <v>86</v>
      </c>
      <c r="N3184" t="str">
        <f>"100196013   "</f>
        <v xml:space="preserve">100196013   </v>
      </c>
      <c r="O3184">
        <v>230309</v>
      </c>
    </row>
    <row r="3185" spans="1:15" x14ac:dyDescent="0.25">
      <c r="A3185" t="s">
        <v>16</v>
      </c>
      <c r="B3185" t="s">
        <v>3221</v>
      </c>
      <c r="C3185">
        <v>3079</v>
      </c>
      <c r="D3185" t="s">
        <v>931</v>
      </c>
      <c r="E3185" t="s">
        <v>932</v>
      </c>
      <c r="F3185">
        <v>5.88</v>
      </c>
      <c r="G3185">
        <v>230228</v>
      </c>
      <c r="H3185">
        <v>4840</v>
      </c>
      <c r="I3185" t="s">
        <v>19</v>
      </c>
      <c r="J3185">
        <v>7.29</v>
      </c>
      <c r="K3185">
        <v>1.41</v>
      </c>
      <c r="L3185">
        <v>17956</v>
      </c>
      <c r="M3185" t="s">
        <v>53</v>
      </c>
      <c r="N3185" t="str">
        <f>"100196013   "</f>
        <v xml:space="preserve">100196013   </v>
      </c>
      <c r="O3185">
        <v>230309</v>
      </c>
    </row>
    <row r="3186" spans="1:15" x14ac:dyDescent="0.25">
      <c r="A3186" t="s">
        <v>16</v>
      </c>
      <c r="B3186" t="s">
        <v>3221</v>
      </c>
      <c r="C3186">
        <v>10279</v>
      </c>
      <c r="D3186" t="s">
        <v>931</v>
      </c>
      <c r="E3186" t="s">
        <v>932</v>
      </c>
      <c r="F3186">
        <v>22.21</v>
      </c>
      <c r="G3186">
        <v>230731</v>
      </c>
      <c r="H3186">
        <v>4840</v>
      </c>
      <c r="I3186" t="s">
        <v>19</v>
      </c>
      <c r="J3186">
        <v>27.54</v>
      </c>
      <c r="K3186">
        <v>5.33</v>
      </c>
      <c r="L3186">
        <v>11101</v>
      </c>
      <c r="M3186" t="s">
        <v>110</v>
      </c>
      <c r="N3186" t="str">
        <f>"100221179   "</f>
        <v xml:space="preserve">100221179   </v>
      </c>
      <c r="O3186">
        <v>230814</v>
      </c>
    </row>
    <row r="3187" spans="1:15" x14ac:dyDescent="0.25">
      <c r="A3187" t="s">
        <v>16</v>
      </c>
      <c r="B3187" t="s">
        <v>3221</v>
      </c>
      <c r="C3187">
        <v>10279</v>
      </c>
      <c r="D3187" t="s">
        <v>931</v>
      </c>
      <c r="E3187" t="s">
        <v>932</v>
      </c>
      <c r="F3187">
        <v>95.62</v>
      </c>
      <c r="G3187">
        <v>230731</v>
      </c>
      <c r="H3187">
        <v>4840</v>
      </c>
      <c r="I3187" t="s">
        <v>19</v>
      </c>
      <c r="J3187">
        <v>118.57</v>
      </c>
      <c r="K3187">
        <v>22.95</v>
      </c>
      <c r="L3187">
        <v>17808</v>
      </c>
      <c r="M3187" t="s">
        <v>322</v>
      </c>
      <c r="N3187" t="str">
        <f>"100221179   "</f>
        <v xml:space="preserve">100221179   </v>
      </c>
      <c r="O3187">
        <v>230814</v>
      </c>
    </row>
    <row r="3188" spans="1:15" x14ac:dyDescent="0.25">
      <c r="A3188" t="s">
        <v>16</v>
      </c>
      <c r="B3188" t="s">
        <v>3221</v>
      </c>
      <c r="C3188">
        <v>17043</v>
      </c>
      <c r="D3188" t="s">
        <v>931</v>
      </c>
      <c r="E3188" t="s">
        <v>932</v>
      </c>
      <c r="F3188">
        <v>42.9</v>
      </c>
      <c r="G3188">
        <v>231130</v>
      </c>
      <c r="H3188">
        <v>4840</v>
      </c>
      <c r="I3188" t="s">
        <v>19</v>
      </c>
      <c r="J3188">
        <v>53.2</v>
      </c>
      <c r="K3188">
        <v>10.3</v>
      </c>
      <c r="L3188">
        <v>18971</v>
      </c>
      <c r="M3188" t="s">
        <v>63</v>
      </c>
      <c r="N3188" t="str">
        <f>"100241651   "</f>
        <v xml:space="preserve">100241651   </v>
      </c>
      <c r="O3188">
        <v>231212</v>
      </c>
    </row>
    <row r="3189" spans="1:15" x14ac:dyDescent="0.25">
      <c r="A3189" t="s">
        <v>16</v>
      </c>
      <c r="B3189" t="s">
        <v>3221</v>
      </c>
      <c r="C3189">
        <v>17473</v>
      </c>
      <c r="D3189" t="s">
        <v>931</v>
      </c>
      <c r="E3189" t="s">
        <v>932</v>
      </c>
      <c r="F3189">
        <v>4.72</v>
      </c>
      <c r="G3189">
        <v>231130</v>
      </c>
      <c r="H3189">
        <v>4840</v>
      </c>
      <c r="I3189" t="s">
        <v>19</v>
      </c>
      <c r="J3189">
        <v>5.85</v>
      </c>
      <c r="K3189">
        <v>1.1299999999999999</v>
      </c>
      <c r="L3189">
        <v>13540</v>
      </c>
      <c r="M3189" t="s">
        <v>85</v>
      </c>
      <c r="N3189" t="str">
        <f>"100241656   "</f>
        <v xml:space="preserve">100241656   </v>
      </c>
      <c r="O3189">
        <v>231214</v>
      </c>
    </row>
    <row r="3190" spans="1:15" x14ac:dyDescent="0.25">
      <c r="A3190" t="s">
        <v>16</v>
      </c>
      <c r="B3190" t="s">
        <v>3221</v>
      </c>
      <c r="C3190">
        <v>17473</v>
      </c>
      <c r="D3190" t="s">
        <v>931</v>
      </c>
      <c r="E3190" t="s">
        <v>932</v>
      </c>
      <c r="F3190">
        <v>32.18</v>
      </c>
      <c r="G3190">
        <v>231130</v>
      </c>
      <c r="H3190">
        <v>4840</v>
      </c>
      <c r="I3190" t="s">
        <v>19</v>
      </c>
      <c r="J3190">
        <v>39.9</v>
      </c>
      <c r="K3190">
        <v>7.72</v>
      </c>
      <c r="L3190">
        <v>17950</v>
      </c>
      <c r="M3190" t="s">
        <v>86</v>
      </c>
      <c r="N3190" t="str">
        <f>"100241656   "</f>
        <v xml:space="preserve">100241656   </v>
      </c>
      <c r="O3190">
        <v>231214</v>
      </c>
    </row>
    <row r="3191" spans="1:15" x14ac:dyDescent="0.25">
      <c r="A3191" t="s">
        <v>16</v>
      </c>
      <c r="B3191" t="s">
        <v>3221</v>
      </c>
      <c r="C3191">
        <v>17473</v>
      </c>
      <c r="D3191" t="s">
        <v>931</v>
      </c>
      <c r="E3191" t="s">
        <v>932</v>
      </c>
      <c r="F3191">
        <v>6.01</v>
      </c>
      <c r="G3191">
        <v>231130</v>
      </c>
      <c r="H3191">
        <v>4840</v>
      </c>
      <c r="I3191" t="s">
        <v>19</v>
      </c>
      <c r="J3191">
        <v>7.45</v>
      </c>
      <c r="K3191">
        <v>1.44</v>
      </c>
      <c r="L3191">
        <v>17956</v>
      </c>
      <c r="M3191" t="s">
        <v>53</v>
      </c>
      <c r="N3191" t="str">
        <f>"100241656   "</f>
        <v xml:space="preserve">100241656   </v>
      </c>
      <c r="O3191">
        <v>231214</v>
      </c>
    </row>
    <row r="3192" spans="1:15" x14ac:dyDescent="0.25">
      <c r="A3192" t="s">
        <v>16</v>
      </c>
      <c r="B3192" t="s">
        <v>3221</v>
      </c>
      <c r="C3192">
        <v>11827</v>
      </c>
      <c r="D3192" t="s">
        <v>931</v>
      </c>
      <c r="E3192" t="s">
        <v>932</v>
      </c>
      <c r="F3192">
        <v>15.6</v>
      </c>
      <c r="G3192">
        <v>230831</v>
      </c>
      <c r="H3192">
        <v>4420</v>
      </c>
      <c r="I3192" t="s">
        <v>132</v>
      </c>
      <c r="J3192">
        <v>19.34</v>
      </c>
      <c r="K3192">
        <v>3.74</v>
      </c>
      <c r="L3192">
        <v>56566</v>
      </c>
      <c r="M3192" t="s">
        <v>652</v>
      </c>
      <c r="N3192" t="str">
        <f>"100225698   "</f>
        <v xml:space="preserve">100225698   </v>
      </c>
      <c r="O3192">
        <v>230911</v>
      </c>
    </row>
    <row r="3193" spans="1:15" x14ac:dyDescent="0.25">
      <c r="A3193" t="s">
        <v>16</v>
      </c>
      <c r="B3193" t="s">
        <v>3221</v>
      </c>
      <c r="C3193">
        <v>1910</v>
      </c>
      <c r="D3193" t="s">
        <v>931</v>
      </c>
      <c r="E3193" t="s">
        <v>932</v>
      </c>
      <c r="F3193">
        <v>1.72</v>
      </c>
      <c r="G3193">
        <v>230131</v>
      </c>
      <c r="H3193">
        <v>4470</v>
      </c>
      <c r="I3193" t="s">
        <v>83</v>
      </c>
      <c r="J3193">
        <v>2.13</v>
      </c>
      <c r="K3193">
        <v>0.41</v>
      </c>
      <c r="L3193">
        <v>13561</v>
      </c>
      <c r="M3193" t="s">
        <v>246</v>
      </c>
      <c r="N3193" t="str">
        <f>"100191743   "</f>
        <v xml:space="preserve">100191743   </v>
      </c>
      <c r="O3193">
        <v>230216</v>
      </c>
    </row>
    <row r="3194" spans="1:15" x14ac:dyDescent="0.25">
      <c r="A3194" t="s">
        <v>16</v>
      </c>
      <c r="B3194" t="s">
        <v>3221</v>
      </c>
      <c r="C3194">
        <v>1910</v>
      </c>
      <c r="D3194" t="s">
        <v>931</v>
      </c>
      <c r="E3194" t="s">
        <v>932</v>
      </c>
      <c r="F3194">
        <v>13.89</v>
      </c>
      <c r="G3194">
        <v>230131</v>
      </c>
      <c r="H3194">
        <v>4470</v>
      </c>
      <c r="I3194" t="s">
        <v>83</v>
      </c>
      <c r="J3194">
        <v>17.22</v>
      </c>
      <c r="K3194">
        <v>3.33</v>
      </c>
      <c r="L3194">
        <v>17971</v>
      </c>
      <c r="M3194" t="s">
        <v>138</v>
      </c>
      <c r="N3194" t="str">
        <f>"100191743   "</f>
        <v xml:space="preserve">100191743   </v>
      </c>
      <c r="O3194">
        <v>230216</v>
      </c>
    </row>
    <row r="3195" spans="1:15" x14ac:dyDescent="0.25">
      <c r="A3195" t="s">
        <v>16</v>
      </c>
      <c r="B3195" t="s">
        <v>3221</v>
      </c>
      <c r="C3195">
        <v>2625</v>
      </c>
      <c r="D3195" t="s">
        <v>931</v>
      </c>
      <c r="E3195" t="s">
        <v>932</v>
      </c>
      <c r="F3195">
        <v>221.96</v>
      </c>
      <c r="G3195">
        <v>230228</v>
      </c>
      <c r="H3195">
        <v>4470</v>
      </c>
      <c r="I3195" t="s">
        <v>83</v>
      </c>
      <c r="J3195">
        <v>275.23</v>
      </c>
      <c r="K3195">
        <v>53.27</v>
      </c>
      <c r="L3195">
        <v>69501</v>
      </c>
      <c r="M3195" t="s">
        <v>185</v>
      </c>
      <c r="N3195" t="str">
        <f>"100196008   "</f>
        <v xml:space="preserve">100196008   </v>
      </c>
      <c r="O3195">
        <v>230303</v>
      </c>
    </row>
    <row r="3196" spans="1:15" x14ac:dyDescent="0.25">
      <c r="A3196" t="s">
        <v>16</v>
      </c>
      <c r="B3196" t="s">
        <v>3221</v>
      </c>
      <c r="C3196">
        <v>2878</v>
      </c>
      <c r="D3196" t="s">
        <v>931</v>
      </c>
      <c r="E3196" t="s">
        <v>932</v>
      </c>
      <c r="F3196">
        <v>9.07</v>
      </c>
      <c r="G3196">
        <v>230228</v>
      </c>
      <c r="H3196">
        <v>4470</v>
      </c>
      <c r="I3196" t="s">
        <v>83</v>
      </c>
      <c r="J3196">
        <v>11.25</v>
      </c>
      <c r="K3196">
        <v>2.1800000000000002</v>
      </c>
      <c r="L3196">
        <v>13561</v>
      </c>
      <c r="M3196" t="s">
        <v>246</v>
      </c>
      <c r="N3196" t="str">
        <f>"100195852   "</f>
        <v xml:space="preserve">100195852   </v>
      </c>
      <c r="O3196">
        <v>230308</v>
      </c>
    </row>
    <row r="3197" spans="1:15" x14ac:dyDescent="0.25">
      <c r="A3197" t="s">
        <v>16</v>
      </c>
      <c r="B3197" t="s">
        <v>3221</v>
      </c>
      <c r="C3197">
        <v>2878</v>
      </c>
      <c r="D3197" t="s">
        <v>931</v>
      </c>
      <c r="E3197" t="s">
        <v>932</v>
      </c>
      <c r="F3197">
        <v>73.44</v>
      </c>
      <c r="G3197">
        <v>230228</v>
      </c>
      <c r="H3197">
        <v>4470</v>
      </c>
      <c r="I3197" t="s">
        <v>83</v>
      </c>
      <c r="J3197">
        <v>91.06</v>
      </c>
      <c r="K3197">
        <v>17.62</v>
      </c>
      <c r="L3197">
        <v>17971</v>
      </c>
      <c r="M3197" t="s">
        <v>138</v>
      </c>
      <c r="N3197" t="str">
        <f>"100195852   "</f>
        <v xml:space="preserve">100195852   </v>
      </c>
      <c r="O3197">
        <v>230308</v>
      </c>
    </row>
    <row r="3198" spans="1:15" x14ac:dyDescent="0.25">
      <c r="A3198" t="s">
        <v>16</v>
      </c>
      <c r="B3198" t="s">
        <v>3221</v>
      </c>
      <c r="C3198">
        <v>7896</v>
      </c>
      <c r="D3198" t="s">
        <v>931</v>
      </c>
      <c r="E3198" t="s">
        <v>932</v>
      </c>
      <c r="F3198">
        <v>49.4</v>
      </c>
      <c r="G3198">
        <v>230531</v>
      </c>
      <c r="H3198">
        <v>4470</v>
      </c>
      <c r="I3198" t="s">
        <v>83</v>
      </c>
      <c r="J3198">
        <v>61.26</v>
      </c>
      <c r="K3198">
        <v>11.86</v>
      </c>
      <c r="L3198">
        <v>69501</v>
      </c>
      <c r="M3198" t="s">
        <v>185</v>
      </c>
      <c r="N3198" t="str">
        <f>"100210379   "</f>
        <v xml:space="preserve">100210379   </v>
      </c>
      <c r="O3198">
        <v>230605</v>
      </c>
    </row>
    <row r="3199" spans="1:15" x14ac:dyDescent="0.25">
      <c r="A3199" t="s">
        <v>16</v>
      </c>
      <c r="B3199" t="s">
        <v>3221</v>
      </c>
      <c r="C3199">
        <v>16905</v>
      </c>
      <c r="D3199" t="s">
        <v>931</v>
      </c>
      <c r="E3199" t="s">
        <v>932</v>
      </c>
      <c r="F3199">
        <v>50.3</v>
      </c>
      <c r="G3199">
        <v>231130</v>
      </c>
      <c r="H3199">
        <v>4470</v>
      </c>
      <c r="I3199" t="s">
        <v>83</v>
      </c>
      <c r="J3199">
        <v>62.37</v>
      </c>
      <c r="K3199">
        <v>12.07</v>
      </c>
      <c r="L3199">
        <v>69501</v>
      </c>
      <c r="M3199" t="s">
        <v>185</v>
      </c>
      <c r="N3199" t="str">
        <f>"100241652   "</f>
        <v xml:space="preserve">100241652   </v>
      </c>
      <c r="O3199">
        <v>231211</v>
      </c>
    </row>
    <row r="3200" spans="1:15" x14ac:dyDescent="0.25">
      <c r="A3200" t="s">
        <v>16</v>
      </c>
      <c r="B3200" t="s">
        <v>3221</v>
      </c>
      <c r="C3200">
        <v>1586</v>
      </c>
      <c r="D3200" t="s">
        <v>931</v>
      </c>
      <c r="E3200" t="s">
        <v>932</v>
      </c>
      <c r="F3200">
        <v>8.02</v>
      </c>
      <c r="G3200">
        <v>230131</v>
      </c>
      <c r="H3200">
        <v>4860</v>
      </c>
      <c r="I3200" t="s">
        <v>28</v>
      </c>
      <c r="J3200">
        <v>9.9499999999999993</v>
      </c>
      <c r="K3200">
        <v>1.93</v>
      </c>
      <c r="L3200">
        <v>11501</v>
      </c>
      <c r="M3200" t="s">
        <v>339</v>
      </c>
      <c r="N3200" t="str">
        <f>"100191521   "</f>
        <v xml:space="preserve">100191521   </v>
      </c>
      <c r="O3200">
        <v>230210</v>
      </c>
    </row>
    <row r="3201" spans="1:15" x14ac:dyDescent="0.25">
      <c r="A3201" t="s">
        <v>16</v>
      </c>
      <c r="B3201" t="s">
        <v>3221</v>
      </c>
      <c r="C3201">
        <v>1586</v>
      </c>
      <c r="D3201" t="s">
        <v>931</v>
      </c>
      <c r="E3201" t="s">
        <v>932</v>
      </c>
      <c r="F3201">
        <v>8.02</v>
      </c>
      <c r="G3201">
        <v>230131</v>
      </c>
      <c r="H3201">
        <v>4860</v>
      </c>
      <c r="I3201" t="s">
        <v>28</v>
      </c>
      <c r="J3201">
        <v>9.9499999999999993</v>
      </c>
      <c r="K3201">
        <v>1.93</v>
      </c>
      <c r="L3201">
        <v>18972</v>
      </c>
      <c r="M3201" t="s">
        <v>163</v>
      </c>
      <c r="N3201" t="str">
        <f>"100191521   "</f>
        <v xml:space="preserve">100191521   </v>
      </c>
      <c r="O3201">
        <v>230210</v>
      </c>
    </row>
    <row r="3202" spans="1:15" x14ac:dyDescent="0.25">
      <c r="A3202" t="s">
        <v>16</v>
      </c>
      <c r="B3202" t="s">
        <v>3221</v>
      </c>
      <c r="C3202">
        <v>1586</v>
      </c>
      <c r="D3202" t="s">
        <v>931</v>
      </c>
      <c r="E3202" t="s">
        <v>932</v>
      </c>
      <c r="F3202">
        <v>48.15</v>
      </c>
      <c r="G3202">
        <v>230131</v>
      </c>
      <c r="H3202">
        <v>4860</v>
      </c>
      <c r="I3202" t="s">
        <v>28</v>
      </c>
      <c r="J3202">
        <v>59.71</v>
      </c>
      <c r="K3202">
        <v>11.56</v>
      </c>
      <c r="L3202">
        <v>59701</v>
      </c>
      <c r="M3202" t="s">
        <v>297</v>
      </c>
      <c r="N3202" t="str">
        <f>"100191521   "</f>
        <v xml:space="preserve">100191521   </v>
      </c>
      <c r="O3202">
        <v>230210</v>
      </c>
    </row>
    <row r="3203" spans="1:15" x14ac:dyDescent="0.25">
      <c r="A3203" t="s">
        <v>16</v>
      </c>
      <c r="B3203" t="s">
        <v>3221</v>
      </c>
      <c r="C3203">
        <v>2895</v>
      </c>
      <c r="D3203" t="s">
        <v>931</v>
      </c>
      <c r="E3203" t="s">
        <v>932</v>
      </c>
      <c r="F3203">
        <v>120.88</v>
      </c>
      <c r="G3203">
        <v>230228</v>
      </c>
      <c r="H3203">
        <v>4860</v>
      </c>
      <c r="I3203" t="s">
        <v>28</v>
      </c>
      <c r="J3203">
        <v>149.88999999999999</v>
      </c>
      <c r="K3203">
        <v>29.01</v>
      </c>
      <c r="L3203">
        <v>59701</v>
      </c>
      <c r="M3203" t="s">
        <v>297</v>
      </c>
      <c r="N3203" t="str">
        <f>"100196011   "</f>
        <v xml:space="preserve">100196011   </v>
      </c>
      <c r="O3203">
        <v>230308</v>
      </c>
    </row>
    <row r="3204" spans="1:15" x14ac:dyDescent="0.25">
      <c r="A3204" t="s">
        <v>16</v>
      </c>
      <c r="B3204" t="s">
        <v>3221</v>
      </c>
      <c r="C3204">
        <v>3021</v>
      </c>
      <c r="D3204" t="s">
        <v>931</v>
      </c>
      <c r="E3204" t="s">
        <v>932</v>
      </c>
      <c r="F3204">
        <v>49.4</v>
      </c>
      <c r="G3204">
        <v>230228</v>
      </c>
      <c r="H3204">
        <v>4860</v>
      </c>
      <c r="I3204" t="s">
        <v>28</v>
      </c>
      <c r="J3204">
        <v>61.26</v>
      </c>
      <c r="K3204">
        <v>11.86</v>
      </c>
      <c r="L3204">
        <v>69703</v>
      </c>
      <c r="M3204" t="s">
        <v>1036</v>
      </c>
      <c r="N3204" t="str">
        <f>"100196009   "</f>
        <v xml:space="preserve">100196009   </v>
      </c>
      <c r="O3204">
        <v>230308</v>
      </c>
    </row>
    <row r="3205" spans="1:15" x14ac:dyDescent="0.25">
      <c r="A3205" t="s">
        <v>16</v>
      </c>
      <c r="B3205" t="s">
        <v>3221</v>
      </c>
      <c r="C3205">
        <v>4472</v>
      </c>
      <c r="D3205" t="s">
        <v>931</v>
      </c>
      <c r="E3205" t="s">
        <v>932</v>
      </c>
      <c r="F3205">
        <v>42</v>
      </c>
      <c r="G3205">
        <v>230331</v>
      </c>
      <c r="H3205">
        <v>4860</v>
      </c>
      <c r="I3205" t="s">
        <v>28</v>
      </c>
      <c r="J3205">
        <v>52.08</v>
      </c>
      <c r="K3205">
        <v>10.08</v>
      </c>
      <c r="L3205">
        <v>18971</v>
      </c>
      <c r="M3205" t="s">
        <v>63</v>
      </c>
      <c r="N3205" t="str">
        <f>"100199260   "</f>
        <v xml:space="preserve">100199260   </v>
      </c>
      <c r="O3205">
        <v>230406</v>
      </c>
    </row>
    <row r="3206" spans="1:15" x14ac:dyDescent="0.25">
      <c r="A3206" t="s">
        <v>16</v>
      </c>
      <c r="B3206" t="s">
        <v>3221</v>
      </c>
      <c r="C3206">
        <v>5001</v>
      </c>
      <c r="D3206" t="s">
        <v>931</v>
      </c>
      <c r="E3206" t="s">
        <v>932</v>
      </c>
      <c r="F3206">
        <v>8.02</v>
      </c>
      <c r="G3206">
        <v>230331</v>
      </c>
      <c r="H3206">
        <v>4860</v>
      </c>
      <c r="I3206" t="s">
        <v>28</v>
      </c>
      <c r="J3206">
        <v>9.9499999999999993</v>
      </c>
      <c r="K3206">
        <v>1.93</v>
      </c>
      <c r="L3206">
        <v>11501</v>
      </c>
      <c r="M3206" t="s">
        <v>339</v>
      </c>
      <c r="N3206" t="str">
        <f>"100199016   "</f>
        <v xml:space="preserve">100199016   </v>
      </c>
      <c r="O3206">
        <v>230417</v>
      </c>
    </row>
    <row r="3207" spans="1:15" x14ac:dyDescent="0.25">
      <c r="A3207" t="s">
        <v>16</v>
      </c>
      <c r="B3207" t="s">
        <v>3221</v>
      </c>
      <c r="C3207">
        <v>5001</v>
      </c>
      <c r="D3207" t="s">
        <v>931</v>
      </c>
      <c r="E3207" t="s">
        <v>932</v>
      </c>
      <c r="F3207">
        <v>8.02</v>
      </c>
      <c r="G3207">
        <v>230331</v>
      </c>
      <c r="H3207">
        <v>4860</v>
      </c>
      <c r="I3207" t="s">
        <v>28</v>
      </c>
      <c r="J3207">
        <v>9.9499999999999993</v>
      </c>
      <c r="K3207">
        <v>1.93</v>
      </c>
      <c r="L3207">
        <v>18972</v>
      </c>
      <c r="M3207" t="s">
        <v>163</v>
      </c>
      <c r="N3207" t="str">
        <f>"100199016   "</f>
        <v xml:space="preserve">100199016   </v>
      </c>
      <c r="O3207">
        <v>230417</v>
      </c>
    </row>
    <row r="3208" spans="1:15" x14ac:dyDescent="0.25">
      <c r="A3208" t="s">
        <v>16</v>
      </c>
      <c r="B3208" t="s">
        <v>3221</v>
      </c>
      <c r="C3208">
        <v>5001</v>
      </c>
      <c r="D3208" t="s">
        <v>931</v>
      </c>
      <c r="E3208" t="s">
        <v>932</v>
      </c>
      <c r="F3208">
        <v>48.15</v>
      </c>
      <c r="G3208">
        <v>230331</v>
      </c>
      <c r="H3208">
        <v>4860</v>
      </c>
      <c r="I3208" t="s">
        <v>28</v>
      </c>
      <c r="J3208">
        <v>59.71</v>
      </c>
      <c r="K3208">
        <v>11.56</v>
      </c>
      <c r="L3208">
        <v>59701</v>
      </c>
      <c r="M3208" t="s">
        <v>297</v>
      </c>
      <c r="N3208" t="str">
        <f>"100199016   "</f>
        <v xml:space="preserve">100199016   </v>
      </c>
      <c r="O3208">
        <v>230417</v>
      </c>
    </row>
    <row r="3209" spans="1:15" x14ac:dyDescent="0.25">
      <c r="A3209" t="s">
        <v>16</v>
      </c>
      <c r="B3209" t="s">
        <v>3221</v>
      </c>
      <c r="C3209">
        <v>6356</v>
      </c>
      <c r="D3209" t="s">
        <v>931</v>
      </c>
      <c r="E3209" t="s">
        <v>932</v>
      </c>
      <c r="F3209">
        <v>42</v>
      </c>
      <c r="G3209">
        <v>230430</v>
      </c>
      <c r="H3209">
        <v>4860</v>
      </c>
      <c r="I3209" t="s">
        <v>28</v>
      </c>
      <c r="J3209">
        <v>52.08</v>
      </c>
      <c r="K3209">
        <v>10.08</v>
      </c>
      <c r="L3209">
        <v>59502</v>
      </c>
      <c r="M3209" t="s">
        <v>70</v>
      </c>
      <c r="N3209" t="str">
        <f>"100204542   "</f>
        <v xml:space="preserve">100204542   </v>
      </c>
      <c r="O3209">
        <v>230510</v>
      </c>
    </row>
    <row r="3210" spans="1:15" x14ac:dyDescent="0.25">
      <c r="A3210" t="s">
        <v>16</v>
      </c>
      <c r="B3210" t="s">
        <v>3221</v>
      </c>
      <c r="C3210">
        <v>6412</v>
      </c>
      <c r="D3210" t="s">
        <v>931</v>
      </c>
      <c r="E3210" t="s">
        <v>932</v>
      </c>
      <c r="F3210">
        <v>42</v>
      </c>
      <c r="G3210">
        <v>230430</v>
      </c>
      <c r="H3210">
        <v>4860</v>
      </c>
      <c r="I3210" t="s">
        <v>28</v>
      </c>
      <c r="J3210">
        <v>52.08</v>
      </c>
      <c r="K3210">
        <v>10.08</v>
      </c>
      <c r="L3210">
        <v>59505</v>
      </c>
      <c r="M3210" t="s">
        <v>72</v>
      </c>
      <c r="N3210" t="str">
        <f>"100204529   "</f>
        <v xml:space="preserve">100204529   </v>
      </c>
      <c r="O3210">
        <v>230511</v>
      </c>
    </row>
    <row r="3211" spans="1:15" x14ac:dyDescent="0.25">
      <c r="A3211" t="s">
        <v>16</v>
      </c>
      <c r="B3211" t="s">
        <v>3221</v>
      </c>
      <c r="C3211">
        <v>8068</v>
      </c>
      <c r="D3211" t="s">
        <v>931</v>
      </c>
      <c r="E3211" t="s">
        <v>932</v>
      </c>
      <c r="F3211">
        <v>7.4</v>
      </c>
      <c r="G3211">
        <v>230531</v>
      </c>
      <c r="H3211">
        <v>4860</v>
      </c>
      <c r="I3211" t="s">
        <v>28</v>
      </c>
      <c r="J3211">
        <v>9.18</v>
      </c>
      <c r="K3211">
        <v>1.78</v>
      </c>
      <c r="L3211">
        <v>59502</v>
      </c>
      <c r="M3211" t="s">
        <v>70</v>
      </c>
      <c r="N3211" t="str">
        <f>"100210157   "</f>
        <v xml:space="preserve">100210157   </v>
      </c>
      <c r="O3211">
        <v>230607</v>
      </c>
    </row>
    <row r="3212" spans="1:15" x14ac:dyDescent="0.25">
      <c r="A3212" t="s">
        <v>16</v>
      </c>
      <c r="B3212" t="s">
        <v>3221</v>
      </c>
      <c r="C3212">
        <v>8071</v>
      </c>
      <c r="D3212" t="s">
        <v>931</v>
      </c>
      <c r="E3212" t="s">
        <v>932</v>
      </c>
      <c r="F3212">
        <v>7.4</v>
      </c>
      <c r="G3212">
        <v>230531</v>
      </c>
      <c r="H3212">
        <v>4860</v>
      </c>
      <c r="I3212" t="s">
        <v>28</v>
      </c>
      <c r="J3212">
        <v>9.18</v>
      </c>
      <c r="K3212">
        <v>1.78</v>
      </c>
      <c r="L3212">
        <v>59505</v>
      </c>
      <c r="M3212" t="s">
        <v>72</v>
      </c>
      <c r="N3212" t="str">
        <f>"100210143   "</f>
        <v xml:space="preserve">100210143   </v>
      </c>
      <c r="O3212">
        <v>230607</v>
      </c>
    </row>
    <row r="3213" spans="1:15" x14ac:dyDescent="0.25">
      <c r="A3213" t="s">
        <v>16</v>
      </c>
      <c r="B3213" t="s">
        <v>3221</v>
      </c>
      <c r="C3213">
        <v>8073</v>
      </c>
      <c r="D3213" t="s">
        <v>931</v>
      </c>
      <c r="E3213" t="s">
        <v>932</v>
      </c>
      <c r="F3213">
        <v>7.4</v>
      </c>
      <c r="G3213">
        <v>230531</v>
      </c>
      <c r="H3213">
        <v>4860</v>
      </c>
      <c r="I3213" t="s">
        <v>28</v>
      </c>
      <c r="J3213">
        <v>9.18</v>
      </c>
      <c r="K3213">
        <v>1.78</v>
      </c>
      <c r="L3213">
        <v>11501</v>
      </c>
      <c r="M3213" t="s">
        <v>339</v>
      </c>
      <c r="N3213" t="str">
        <f>"100210129   "</f>
        <v xml:space="preserve">100210129   </v>
      </c>
      <c r="O3213">
        <v>230607</v>
      </c>
    </row>
    <row r="3214" spans="1:15" x14ac:dyDescent="0.25">
      <c r="A3214" t="s">
        <v>16</v>
      </c>
      <c r="B3214" t="s">
        <v>3221</v>
      </c>
      <c r="C3214">
        <v>8073</v>
      </c>
      <c r="D3214" t="s">
        <v>931</v>
      </c>
      <c r="E3214" t="s">
        <v>932</v>
      </c>
      <c r="F3214">
        <v>7.4</v>
      </c>
      <c r="G3214">
        <v>230531</v>
      </c>
      <c r="H3214">
        <v>4860</v>
      </c>
      <c r="I3214" t="s">
        <v>28</v>
      </c>
      <c r="J3214">
        <v>9.18</v>
      </c>
      <c r="K3214">
        <v>1.78</v>
      </c>
      <c r="L3214">
        <v>18972</v>
      </c>
      <c r="M3214" t="s">
        <v>163</v>
      </c>
      <c r="N3214" t="str">
        <f>"100210129   "</f>
        <v xml:space="preserve">100210129   </v>
      </c>
      <c r="O3214">
        <v>230607</v>
      </c>
    </row>
    <row r="3215" spans="1:15" x14ac:dyDescent="0.25">
      <c r="A3215" t="s">
        <v>16</v>
      </c>
      <c r="B3215" t="s">
        <v>3221</v>
      </c>
      <c r="C3215">
        <v>8073</v>
      </c>
      <c r="D3215" t="s">
        <v>931</v>
      </c>
      <c r="E3215" t="s">
        <v>932</v>
      </c>
      <c r="F3215">
        <v>44.39</v>
      </c>
      <c r="G3215">
        <v>230531</v>
      </c>
      <c r="H3215">
        <v>4860</v>
      </c>
      <c r="I3215" t="s">
        <v>28</v>
      </c>
      <c r="J3215">
        <v>55.04</v>
      </c>
      <c r="K3215">
        <v>10.65</v>
      </c>
      <c r="L3215">
        <v>59701</v>
      </c>
      <c r="M3215" t="s">
        <v>297</v>
      </c>
      <c r="N3215" t="str">
        <f>"100210129   "</f>
        <v xml:space="preserve">100210129   </v>
      </c>
      <c r="O3215">
        <v>230607</v>
      </c>
    </row>
    <row r="3216" spans="1:15" x14ac:dyDescent="0.25">
      <c r="A3216" t="s">
        <v>16</v>
      </c>
      <c r="B3216" t="s">
        <v>3221</v>
      </c>
      <c r="C3216">
        <v>8172</v>
      </c>
      <c r="D3216" t="s">
        <v>931</v>
      </c>
      <c r="E3216" t="s">
        <v>932</v>
      </c>
      <c r="F3216">
        <v>49.4</v>
      </c>
      <c r="G3216">
        <v>230531</v>
      </c>
      <c r="H3216">
        <v>4860</v>
      </c>
      <c r="I3216" t="s">
        <v>28</v>
      </c>
      <c r="J3216">
        <v>61.26</v>
      </c>
      <c r="K3216">
        <v>11.86</v>
      </c>
      <c r="L3216">
        <v>69703</v>
      </c>
      <c r="M3216" t="s">
        <v>1036</v>
      </c>
      <c r="N3216" t="str">
        <f>"100210380   "</f>
        <v xml:space="preserve">100210380   </v>
      </c>
      <c r="O3216">
        <v>230607</v>
      </c>
    </row>
    <row r="3217" spans="1:15" x14ac:dyDescent="0.25">
      <c r="A3217" t="s">
        <v>16</v>
      </c>
      <c r="B3217" t="s">
        <v>3221</v>
      </c>
      <c r="C3217">
        <v>10232</v>
      </c>
      <c r="D3217" t="s">
        <v>931</v>
      </c>
      <c r="E3217" t="s">
        <v>932</v>
      </c>
      <c r="F3217">
        <v>8.14</v>
      </c>
      <c r="G3217">
        <v>230731</v>
      </c>
      <c r="H3217">
        <v>4860</v>
      </c>
      <c r="I3217" t="s">
        <v>28</v>
      </c>
      <c r="J3217">
        <v>10.09</v>
      </c>
      <c r="K3217">
        <v>1.95</v>
      </c>
      <c r="L3217">
        <v>11501</v>
      </c>
      <c r="M3217" t="s">
        <v>339</v>
      </c>
      <c r="N3217" t="str">
        <f>"100221176   "</f>
        <v xml:space="preserve">100221176   </v>
      </c>
      <c r="O3217">
        <v>230810</v>
      </c>
    </row>
    <row r="3218" spans="1:15" x14ac:dyDescent="0.25">
      <c r="A3218" t="s">
        <v>16</v>
      </c>
      <c r="B3218" t="s">
        <v>3221</v>
      </c>
      <c r="C3218">
        <v>10232</v>
      </c>
      <c r="D3218" t="s">
        <v>931</v>
      </c>
      <c r="E3218" t="s">
        <v>932</v>
      </c>
      <c r="F3218">
        <v>8.14</v>
      </c>
      <c r="G3218">
        <v>230731</v>
      </c>
      <c r="H3218">
        <v>4860</v>
      </c>
      <c r="I3218" t="s">
        <v>28</v>
      </c>
      <c r="J3218">
        <v>10.09</v>
      </c>
      <c r="K3218">
        <v>1.95</v>
      </c>
      <c r="L3218">
        <v>18972</v>
      </c>
      <c r="M3218" t="s">
        <v>163</v>
      </c>
      <c r="N3218" t="str">
        <f>"100221176   "</f>
        <v xml:space="preserve">100221176   </v>
      </c>
      <c r="O3218">
        <v>230810</v>
      </c>
    </row>
    <row r="3219" spans="1:15" x14ac:dyDescent="0.25">
      <c r="A3219" t="s">
        <v>16</v>
      </c>
      <c r="B3219" t="s">
        <v>3221</v>
      </c>
      <c r="C3219">
        <v>10232</v>
      </c>
      <c r="D3219" t="s">
        <v>931</v>
      </c>
      <c r="E3219" t="s">
        <v>932</v>
      </c>
      <c r="F3219">
        <v>48.82</v>
      </c>
      <c r="G3219">
        <v>230731</v>
      </c>
      <c r="H3219">
        <v>4860</v>
      </c>
      <c r="I3219" t="s">
        <v>28</v>
      </c>
      <c r="J3219">
        <v>60.54</v>
      </c>
      <c r="K3219">
        <v>11.72</v>
      </c>
      <c r="L3219">
        <v>59701</v>
      </c>
      <c r="M3219" t="s">
        <v>297</v>
      </c>
      <c r="N3219" t="str">
        <f>"100221176   "</f>
        <v xml:space="preserve">100221176   </v>
      </c>
      <c r="O3219">
        <v>230810</v>
      </c>
    </row>
    <row r="3220" spans="1:15" x14ac:dyDescent="0.25">
      <c r="A3220" t="s">
        <v>16</v>
      </c>
      <c r="B3220" t="s">
        <v>3221</v>
      </c>
      <c r="C3220">
        <v>11819</v>
      </c>
      <c r="D3220" t="s">
        <v>931</v>
      </c>
      <c r="E3220" t="s">
        <v>932</v>
      </c>
      <c r="F3220">
        <v>50.3</v>
      </c>
      <c r="G3220">
        <v>230831</v>
      </c>
      <c r="H3220">
        <v>4860</v>
      </c>
      <c r="I3220" t="s">
        <v>28</v>
      </c>
      <c r="J3220">
        <v>62.37</v>
      </c>
      <c r="K3220">
        <v>12.07</v>
      </c>
      <c r="L3220">
        <v>69701</v>
      </c>
      <c r="M3220" t="s">
        <v>488</v>
      </c>
      <c r="N3220" t="str">
        <f>"100225932   "</f>
        <v xml:space="preserve">100225932   </v>
      </c>
      <c r="O3220">
        <v>230911</v>
      </c>
    </row>
    <row r="3221" spans="1:15" x14ac:dyDescent="0.25">
      <c r="A3221" t="s">
        <v>16</v>
      </c>
      <c r="B3221" t="s">
        <v>3221</v>
      </c>
      <c r="C3221">
        <v>11827</v>
      </c>
      <c r="D3221" t="s">
        <v>931</v>
      </c>
      <c r="E3221" t="s">
        <v>932</v>
      </c>
      <c r="F3221">
        <v>5.36</v>
      </c>
      <c r="G3221">
        <v>230831</v>
      </c>
      <c r="H3221">
        <v>4860</v>
      </c>
      <c r="I3221" t="s">
        <v>28</v>
      </c>
      <c r="J3221">
        <v>6.65</v>
      </c>
      <c r="K3221">
        <v>1.29</v>
      </c>
      <c r="L3221">
        <v>11501</v>
      </c>
      <c r="M3221" t="s">
        <v>339</v>
      </c>
      <c r="N3221" t="str">
        <f>"100225698   "</f>
        <v xml:space="preserve">100225698   </v>
      </c>
      <c r="O3221">
        <v>230911</v>
      </c>
    </row>
    <row r="3222" spans="1:15" x14ac:dyDescent="0.25">
      <c r="A3222" t="s">
        <v>16</v>
      </c>
      <c r="B3222" t="s">
        <v>3221</v>
      </c>
      <c r="C3222">
        <v>11827</v>
      </c>
      <c r="D3222" t="s">
        <v>931</v>
      </c>
      <c r="E3222" t="s">
        <v>932</v>
      </c>
      <c r="F3222">
        <v>5.36</v>
      </c>
      <c r="G3222">
        <v>230831</v>
      </c>
      <c r="H3222">
        <v>4860</v>
      </c>
      <c r="I3222" t="s">
        <v>28</v>
      </c>
      <c r="J3222">
        <v>6.65</v>
      </c>
      <c r="K3222">
        <v>1.29</v>
      </c>
      <c r="L3222">
        <v>18972</v>
      </c>
      <c r="M3222" t="s">
        <v>163</v>
      </c>
      <c r="N3222" t="str">
        <f>"100225698   "</f>
        <v xml:space="preserve">100225698   </v>
      </c>
      <c r="O3222">
        <v>230911</v>
      </c>
    </row>
    <row r="3223" spans="1:15" x14ac:dyDescent="0.25">
      <c r="A3223" t="s">
        <v>16</v>
      </c>
      <c r="B3223" t="s">
        <v>3221</v>
      </c>
      <c r="C3223">
        <v>11827</v>
      </c>
      <c r="D3223" t="s">
        <v>931</v>
      </c>
      <c r="E3223" t="s">
        <v>932</v>
      </c>
      <c r="F3223">
        <v>32.18</v>
      </c>
      <c r="G3223">
        <v>230831</v>
      </c>
      <c r="H3223">
        <v>4860</v>
      </c>
      <c r="I3223" t="s">
        <v>28</v>
      </c>
      <c r="J3223">
        <v>39.9</v>
      </c>
      <c r="K3223">
        <v>7.72</v>
      </c>
      <c r="L3223">
        <v>59701</v>
      </c>
      <c r="M3223" t="s">
        <v>297</v>
      </c>
      <c r="N3223" t="str">
        <f>"100225698   "</f>
        <v xml:space="preserve">100225698   </v>
      </c>
      <c r="O3223">
        <v>230911</v>
      </c>
    </row>
    <row r="3224" spans="1:15" x14ac:dyDescent="0.25">
      <c r="A3224" t="s">
        <v>16</v>
      </c>
      <c r="B3224" t="s">
        <v>3221</v>
      </c>
      <c r="C3224">
        <v>11830</v>
      </c>
      <c r="D3224" t="s">
        <v>931</v>
      </c>
      <c r="E3224" t="s">
        <v>932</v>
      </c>
      <c r="F3224">
        <v>50.3</v>
      </c>
      <c r="G3224">
        <v>230831</v>
      </c>
      <c r="H3224">
        <v>4860</v>
      </c>
      <c r="I3224" t="s">
        <v>28</v>
      </c>
      <c r="J3224">
        <v>62.37</v>
      </c>
      <c r="K3224">
        <v>12.07</v>
      </c>
      <c r="L3224">
        <v>69703</v>
      </c>
      <c r="M3224" t="s">
        <v>1036</v>
      </c>
      <c r="N3224" t="str">
        <f>"100225933   "</f>
        <v xml:space="preserve">100225933   </v>
      </c>
      <c r="O3224">
        <v>230911</v>
      </c>
    </row>
    <row r="3225" spans="1:15" x14ac:dyDescent="0.25">
      <c r="A3225" t="s">
        <v>16</v>
      </c>
      <c r="B3225" t="s">
        <v>3221</v>
      </c>
      <c r="C3225">
        <v>13308</v>
      </c>
      <c r="D3225" t="s">
        <v>931</v>
      </c>
      <c r="E3225" t="s">
        <v>932</v>
      </c>
      <c r="F3225">
        <v>5.36</v>
      </c>
      <c r="G3225">
        <v>230930</v>
      </c>
      <c r="H3225">
        <v>4860</v>
      </c>
      <c r="I3225" t="s">
        <v>28</v>
      </c>
      <c r="J3225">
        <v>6.65</v>
      </c>
      <c r="K3225">
        <v>1.29</v>
      </c>
      <c r="L3225">
        <v>11501</v>
      </c>
      <c r="M3225" t="s">
        <v>339</v>
      </c>
      <c r="N3225" t="str">
        <f>"100230230   "</f>
        <v xml:space="preserve">100230230   </v>
      </c>
      <c r="O3225">
        <v>231009</v>
      </c>
    </row>
    <row r="3226" spans="1:15" x14ac:dyDescent="0.25">
      <c r="A3226" t="s">
        <v>16</v>
      </c>
      <c r="B3226" t="s">
        <v>3221</v>
      </c>
      <c r="C3226">
        <v>13308</v>
      </c>
      <c r="D3226" t="s">
        <v>931</v>
      </c>
      <c r="E3226" t="s">
        <v>932</v>
      </c>
      <c r="F3226">
        <v>5.36</v>
      </c>
      <c r="G3226">
        <v>230930</v>
      </c>
      <c r="H3226">
        <v>4860</v>
      </c>
      <c r="I3226" t="s">
        <v>28</v>
      </c>
      <c r="J3226">
        <v>6.65</v>
      </c>
      <c r="K3226">
        <v>1.29</v>
      </c>
      <c r="L3226">
        <v>18972</v>
      </c>
      <c r="M3226" t="s">
        <v>163</v>
      </c>
      <c r="N3226" t="str">
        <f>"100230230   "</f>
        <v xml:space="preserve">100230230   </v>
      </c>
      <c r="O3226">
        <v>231009</v>
      </c>
    </row>
    <row r="3227" spans="1:15" x14ac:dyDescent="0.25">
      <c r="A3227" t="s">
        <v>16</v>
      </c>
      <c r="B3227" t="s">
        <v>3221</v>
      </c>
      <c r="C3227">
        <v>13308</v>
      </c>
      <c r="D3227" t="s">
        <v>931</v>
      </c>
      <c r="E3227" t="s">
        <v>932</v>
      </c>
      <c r="F3227">
        <v>32.18</v>
      </c>
      <c r="G3227">
        <v>230930</v>
      </c>
      <c r="H3227">
        <v>4860</v>
      </c>
      <c r="I3227" t="s">
        <v>28</v>
      </c>
      <c r="J3227">
        <v>39.9</v>
      </c>
      <c r="K3227">
        <v>7.72</v>
      </c>
      <c r="L3227">
        <v>59701</v>
      </c>
      <c r="M3227" t="s">
        <v>297</v>
      </c>
      <c r="N3227" t="str">
        <f>"100230230   "</f>
        <v xml:space="preserve">100230230   </v>
      </c>
      <c r="O3227">
        <v>231009</v>
      </c>
    </row>
    <row r="3228" spans="1:15" x14ac:dyDescent="0.25">
      <c r="A3228" t="s">
        <v>16</v>
      </c>
      <c r="B3228" t="s">
        <v>3221</v>
      </c>
      <c r="C3228">
        <v>15344</v>
      </c>
      <c r="D3228" t="s">
        <v>931</v>
      </c>
      <c r="E3228" t="s">
        <v>932</v>
      </c>
      <c r="F3228">
        <v>42.9</v>
      </c>
      <c r="G3228">
        <v>231031</v>
      </c>
      <c r="H3228">
        <v>4860</v>
      </c>
      <c r="I3228" t="s">
        <v>28</v>
      </c>
      <c r="J3228">
        <v>53.2</v>
      </c>
      <c r="K3228">
        <v>10.3</v>
      </c>
      <c r="L3228">
        <v>59502</v>
      </c>
      <c r="M3228" t="s">
        <v>70</v>
      </c>
      <c r="N3228" t="str">
        <f>"100235989   "</f>
        <v xml:space="preserve">100235989   </v>
      </c>
      <c r="O3228">
        <v>231113</v>
      </c>
    </row>
    <row r="3229" spans="1:15" x14ac:dyDescent="0.25">
      <c r="A3229" t="s">
        <v>16</v>
      </c>
      <c r="B3229" t="s">
        <v>3221</v>
      </c>
      <c r="C3229">
        <v>15415</v>
      </c>
      <c r="D3229" t="s">
        <v>931</v>
      </c>
      <c r="E3229" t="s">
        <v>932</v>
      </c>
      <c r="F3229">
        <v>42.9</v>
      </c>
      <c r="G3229">
        <v>231031</v>
      </c>
      <c r="H3229">
        <v>4860</v>
      </c>
      <c r="I3229" t="s">
        <v>28</v>
      </c>
      <c r="J3229">
        <v>53.2</v>
      </c>
      <c r="K3229">
        <v>10.3</v>
      </c>
      <c r="L3229">
        <v>59502</v>
      </c>
      <c r="M3229" t="s">
        <v>70</v>
      </c>
      <c r="N3229" t="str">
        <f>"100236005   "</f>
        <v xml:space="preserve">100236005   </v>
      </c>
      <c r="O3229">
        <v>231113</v>
      </c>
    </row>
    <row r="3230" spans="1:15" x14ac:dyDescent="0.25">
      <c r="A3230" t="s">
        <v>16</v>
      </c>
      <c r="B3230" t="s">
        <v>3221</v>
      </c>
      <c r="C3230">
        <v>15416</v>
      </c>
      <c r="D3230" t="s">
        <v>931</v>
      </c>
      <c r="E3230" t="s">
        <v>932</v>
      </c>
      <c r="F3230">
        <v>4.29</v>
      </c>
      <c r="G3230">
        <v>231031</v>
      </c>
      <c r="H3230">
        <v>4860</v>
      </c>
      <c r="I3230" t="s">
        <v>28</v>
      </c>
      <c r="J3230">
        <v>5.32</v>
      </c>
      <c r="K3230">
        <v>1.03</v>
      </c>
      <c r="L3230">
        <v>11501</v>
      </c>
      <c r="M3230" t="s">
        <v>339</v>
      </c>
      <c r="N3230" t="str">
        <f>"100235969   "</f>
        <v xml:space="preserve">100235969   </v>
      </c>
      <c r="O3230">
        <v>231113</v>
      </c>
    </row>
    <row r="3231" spans="1:15" x14ac:dyDescent="0.25">
      <c r="A3231" t="s">
        <v>16</v>
      </c>
      <c r="B3231" t="s">
        <v>3221</v>
      </c>
      <c r="C3231">
        <v>15416</v>
      </c>
      <c r="D3231" t="s">
        <v>931</v>
      </c>
      <c r="E3231" t="s">
        <v>932</v>
      </c>
      <c r="F3231">
        <v>4.29</v>
      </c>
      <c r="G3231">
        <v>231031</v>
      </c>
      <c r="H3231">
        <v>4860</v>
      </c>
      <c r="I3231" t="s">
        <v>28</v>
      </c>
      <c r="J3231">
        <v>5.32</v>
      </c>
      <c r="K3231">
        <v>1.03</v>
      </c>
      <c r="L3231">
        <v>18972</v>
      </c>
      <c r="M3231" t="s">
        <v>163</v>
      </c>
      <c r="N3231" t="str">
        <f>"100235969   "</f>
        <v xml:space="preserve">100235969   </v>
      </c>
      <c r="O3231">
        <v>231113</v>
      </c>
    </row>
    <row r="3232" spans="1:15" x14ac:dyDescent="0.25">
      <c r="A3232" t="s">
        <v>16</v>
      </c>
      <c r="B3232" t="s">
        <v>3221</v>
      </c>
      <c r="C3232">
        <v>15416</v>
      </c>
      <c r="D3232" t="s">
        <v>931</v>
      </c>
      <c r="E3232" t="s">
        <v>932</v>
      </c>
      <c r="F3232">
        <v>8.58</v>
      </c>
      <c r="G3232">
        <v>231031</v>
      </c>
      <c r="H3232">
        <v>4860</v>
      </c>
      <c r="I3232" t="s">
        <v>28</v>
      </c>
      <c r="J3232">
        <v>10.64</v>
      </c>
      <c r="K3232">
        <v>2.06</v>
      </c>
      <c r="L3232">
        <v>59501</v>
      </c>
      <c r="M3232" t="s">
        <v>69</v>
      </c>
      <c r="N3232" t="str">
        <f>"100235969   "</f>
        <v xml:space="preserve">100235969   </v>
      </c>
      <c r="O3232">
        <v>231113</v>
      </c>
    </row>
    <row r="3233" spans="1:15" x14ac:dyDescent="0.25">
      <c r="A3233" t="s">
        <v>16</v>
      </c>
      <c r="B3233" t="s">
        <v>3221</v>
      </c>
      <c r="C3233">
        <v>15416</v>
      </c>
      <c r="D3233" t="s">
        <v>931</v>
      </c>
      <c r="E3233" t="s">
        <v>932</v>
      </c>
      <c r="F3233">
        <v>25.74</v>
      </c>
      <c r="G3233">
        <v>231031</v>
      </c>
      <c r="H3233">
        <v>4860</v>
      </c>
      <c r="I3233" t="s">
        <v>28</v>
      </c>
      <c r="J3233">
        <v>31.92</v>
      </c>
      <c r="K3233">
        <v>6.18</v>
      </c>
      <c r="L3233">
        <v>59701</v>
      </c>
      <c r="M3233" t="s">
        <v>297</v>
      </c>
      <c r="N3233" t="str">
        <f>"100235969   "</f>
        <v xml:space="preserve">100235969   </v>
      </c>
      <c r="O3233">
        <v>231113</v>
      </c>
    </row>
    <row r="3234" spans="1:15" x14ac:dyDescent="0.25">
      <c r="A3234" t="s">
        <v>16</v>
      </c>
      <c r="B3234" t="s">
        <v>3221</v>
      </c>
      <c r="C3234">
        <v>17038</v>
      </c>
      <c r="D3234" t="s">
        <v>931</v>
      </c>
      <c r="E3234" t="s">
        <v>932</v>
      </c>
      <c r="F3234">
        <v>4.29</v>
      </c>
      <c r="G3234">
        <v>231130</v>
      </c>
      <c r="H3234">
        <v>4860</v>
      </c>
      <c r="I3234" t="s">
        <v>28</v>
      </c>
      <c r="J3234">
        <v>5.32</v>
      </c>
      <c r="K3234">
        <v>1.03</v>
      </c>
      <c r="L3234">
        <v>11501</v>
      </c>
      <c r="M3234" t="s">
        <v>339</v>
      </c>
      <c r="N3234" t="str">
        <f>"100241416   "</f>
        <v xml:space="preserve">100241416   </v>
      </c>
      <c r="O3234">
        <v>231212</v>
      </c>
    </row>
    <row r="3235" spans="1:15" x14ac:dyDescent="0.25">
      <c r="A3235" t="s">
        <v>16</v>
      </c>
      <c r="B3235" t="s">
        <v>3221</v>
      </c>
      <c r="C3235">
        <v>17038</v>
      </c>
      <c r="D3235" t="s">
        <v>931</v>
      </c>
      <c r="E3235" t="s">
        <v>932</v>
      </c>
      <c r="F3235">
        <v>4.29</v>
      </c>
      <c r="G3235">
        <v>231130</v>
      </c>
      <c r="H3235">
        <v>4860</v>
      </c>
      <c r="I3235" t="s">
        <v>28</v>
      </c>
      <c r="J3235">
        <v>5.32</v>
      </c>
      <c r="K3235">
        <v>1.03</v>
      </c>
      <c r="L3235">
        <v>18972</v>
      </c>
      <c r="M3235" t="s">
        <v>163</v>
      </c>
      <c r="N3235" t="str">
        <f>"100241416   "</f>
        <v xml:space="preserve">100241416   </v>
      </c>
      <c r="O3235">
        <v>231212</v>
      </c>
    </row>
    <row r="3236" spans="1:15" x14ac:dyDescent="0.25">
      <c r="A3236" t="s">
        <v>16</v>
      </c>
      <c r="B3236" t="s">
        <v>3221</v>
      </c>
      <c r="C3236">
        <v>17038</v>
      </c>
      <c r="D3236" t="s">
        <v>931</v>
      </c>
      <c r="E3236" t="s">
        <v>932</v>
      </c>
      <c r="F3236">
        <v>8.58</v>
      </c>
      <c r="G3236">
        <v>231130</v>
      </c>
      <c r="H3236">
        <v>4860</v>
      </c>
      <c r="I3236" t="s">
        <v>28</v>
      </c>
      <c r="J3236">
        <v>10.64</v>
      </c>
      <c r="K3236">
        <v>2.06</v>
      </c>
      <c r="L3236">
        <v>59501</v>
      </c>
      <c r="M3236" t="s">
        <v>69</v>
      </c>
      <c r="N3236" t="str">
        <f>"100241416   "</f>
        <v xml:space="preserve">100241416   </v>
      </c>
      <c r="O3236">
        <v>231212</v>
      </c>
    </row>
    <row r="3237" spans="1:15" x14ac:dyDescent="0.25">
      <c r="A3237" t="s">
        <v>16</v>
      </c>
      <c r="B3237" t="s">
        <v>3221</v>
      </c>
      <c r="C3237">
        <v>17038</v>
      </c>
      <c r="D3237" t="s">
        <v>931</v>
      </c>
      <c r="E3237" t="s">
        <v>932</v>
      </c>
      <c r="F3237">
        <v>25.74</v>
      </c>
      <c r="G3237">
        <v>231130</v>
      </c>
      <c r="H3237">
        <v>4860</v>
      </c>
      <c r="I3237" t="s">
        <v>28</v>
      </c>
      <c r="J3237">
        <v>31.92</v>
      </c>
      <c r="K3237">
        <v>6.18</v>
      </c>
      <c r="L3237">
        <v>59701</v>
      </c>
      <c r="M3237" t="s">
        <v>297</v>
      </c>
      <c r="N3237" t="str">
        <f>"100241416   "</f>
        <v xml:space="preserve">100241416   </v>
      </c>
      <c r="O3237">
        <v>231212</v>
      </c>
    </row>
    <row r="3238" spans="1:15" x14ac:dyDescent="0.25">
      <c r="A3238" t="s">
        <v>16</v>
      </c>
      <c r="B3238" t="s">
        <v>3221</v>
      </c>
      <c r="C3238">
        <v>17569</v>
      </c>
      <c r="D3238" t="s">
        <v>931</v>
      </c>
      <c r="E3238" t="s">
        <v>932</v>
      </c>
      <c r="F3238">
        <v>50.3</v>
      </c>
      <c r="G3238">
        <v>231130</v>
      </c>
      <c r="H3238">
        <v>4860</v>
      </c>
      <c r="I3238" t="s">
        <v>28</v>
      </c>
      <c r="J3238">
        <v>62.37</v>
      </c>
      <c r="K3238">
        <v>12.07</v>
      </c>
      <c r="L3238">
        <v>69703</v>
      </c>
      <c r="M3238" t="s">
        <v>1036</v>
      </c>
      <c r="N3238" t="str">
        <f>"100241653   "</f>
        <v xml:space="preserve">100241653   </v>
      </c>
      <c r="O3238">
        <v>231215</v>
      </c>
    </row>
    <row r="3239" spans="1:15" x14ac:dyDescent="0.25">
      <c r="A3239" t="s">
        <v>16</v>
      </c>
      <c r="B3239" t="s">
        <v>3221</v>
      </c>
      <c r="C3239">
        <v>18869</v>
      </c>
      <c r="D3239" t="s">
        <v>931</v>
      </c>
      <c r="E3239" t="s">
        <v>932</v>
      </c>
      <c r="F3239">
        <v>4.29</v>
      </c>
      <c r="G3239">
        <v>231231</v>
      </c>
      <c r="H3239">
        <v>4860</v>
      </c>
      <c r="I3239" t="s">
        <v>28</v>
      </c>
      <c r="J3239">
        <v>5.32</v>
      </c>
      <c r="K3239">
        <v>1.03</v>
      </c>
      <c r="L3239">
        <v>11501</v>
      </c>
      <c r="M3239" t="s">
        <v>339</v>
      </c>
      <c r="N3239" t="str">
        <f>"100244553   "</f>
        <v xml:space="preserve">100244553   </v>
      </c>
      <c r="O3239">
        <v>240108</v>
      </c>
    </row>
    <row r="3240" spans="1:15" x14ac:dyDescent="0.25">
      <c r="A3240" t="s">
        <v>16</v>
      </c>
      <c r="B3240" t="s">
        <v>3221</v>
      </c>
      <c r="C3240">
        <v>18869</v>
      </c>
      <c r="D3240" t="s">
        <v>931</v>
      </c>
      <c r="E3240" t="s">
        <v>932</v>
      </c>
      <c r="F3240">
        <v>4.29</v>
      </c>
      <c r="G3240">
        <v>231231</v>
      </c>
      <c r="H3240">
        <v>4860</v>
      </c>
      <c r="I3240" t="s">
        <v>28</v>
      </c>
      <c r="J3240">
        <v>5.32</v>
      </c>
      <c r="K3240">
        <v>1.03</v>
      </c>
      <c r="L3240">
        <v>18972</v>
      </c>
      <c r="M3240" t="s">
        <v>163</v>
      </c>
      <c r="N3240" t="str">
        <f>"100244553   "</f>
        <v xml:space="preserve">100244553   </v>
      </c>
      <c r="O3240">
        <v>240108</v>
      </c>
    </row>
    <row r="3241" spans="1:15" x14ac:dyDescent="0.25">
      <c r="A3241" t="s">
        <v>16</v>
      </c>
      <c r="B3241" t="s">
        <v>3221</v>
      </c>
      <c r="C3241">
        <v>18869</v>
      </c>
      <c r="D3241" t="s">
        <v>931</v>
      </c>
      <c r="E3241" t="s">
        <v>932</v>
      </c>
      <c r="F3241">
        <v>8.58</v>
      </c>
      <c r="G3241">
        <v>231231</v>
      </c>
      <c r="H3241">
        <v>4860</v>
      </c>
      <c r="I3241" t="s">
        <v>28</v>
      </c>
      <c r="J3241">
        <v>10.64</v>
      </c>
      <c r="K3241">
        <v>2.06</v>
      </c>
      <c r="L3241">
        <v>59501</v>
      </c>
      <c r="M3241" t="s">
        <v>69</v>
      </c>
      <c r="N3241" t="str">
        <f>"100244553   "</f>
        <v xml:space="preserve">100244553   </v>
      </c>
      <c r="O3241">
        <v>240108</v>
      </c>
    </row>
    <row r="3242" spans="1:15" x14ac:dyDescent="0.25">
      <c r="A3242" t="s">
        <v>16</v>
      </c>
      <c r="B3242" t="s">
        <v>3221</v>
      </c>
      <c r="C3242">
        <v>18869</v>
      </c>
      <c r="D3242" t="s">
        <v>931</v>
      </c>
      <c r="E3242" t="s">
        <v>932</v>
      </c>
      <c r="F3242">
        <v>25.74</v>
      </c>
      <c r="G3242">
        <v>231231</v>
      </c>
      <c r="H3242">
        <v>4860</v>
      </c>
      <c r="I3242" t="s">
        <v>28</v>
      </c>
      <c r="J3242">
        <v>31.92</v>
      </c>
      <c r="K3242">
        <v>6.18</v>
      </c>
      <c r="L3242">
        <v>59701</v>
      </c>
      <c r="M3242" t="s">
        <v>297</v>
      </c>
      <c r="N3242" t="str">
        <f>"100244553   "</f>
        <v xml:space="preserve">100244553   </v>
      </c>
      <c r="O3242">
        <v>240108</v>
      </c>
    </row>
    <row r="3243" spans="1:15" x14ac:dyDescent="0.25">
      <c r="A3243" t="s">
        <v>16</v>
      </c>
      <c r="B3243" t="s">
        <v>3221</v>
      </c>
      <c r="C3243">
        <v>18899</v>
      </c>
      <c r="D3243" t="s">
        <v>931</v>
      </c>
      <c r="E3243" t="s">
        <v>932</v>
      </c>
      <c r="F3243">
        <v>42.9</v>
      </c>
      <c r="G3243">
        <v>231231</v>
      </c>
      <c r="H3243">
        <v>4860</v>
      </c>
      <c r="I3243" t="s">
        <v>28</v>
      </c>
      <c r="J3243">
        <v>53.2</v>
      </c>
      <c r="K3243">
        <v>10.3</v>
      </c>
      <c r="L3243">
        <v>59701</v>
      </c>
      <c r="M3243" t="s">
        <v>297</v>
      </c>
      <c r="N3243" t="str">
        <f>"100244759   "</f>
        <v xml:space="preserve">100244759   </v>
      </c>
      <c r="O3243">
        <v>240108</v>
      </c>
    </row>
    <row r="3244" spans="1:15" x14ac:dyDescent="0.25">
      <c r="A3244" t="s">
        <v>16</v>
      </c>
      <c r="B3244" t="s">
        <v>3221</v>
      </c>
      <c r="C3244">
        <v>1910</v>
      </c>
      <c r="D3244" t="s">
        <v>931</v>
      </c>
      <c r="E3244" t="s">
        <v>932</v>
      </c>
      <c r="F3244">
        <v>1.75</v>
      </c>
      <c r="G3244">
        <v>230131</v>
      </c>
      <c r="H3244">
        <v>4364</v>
      </c>
      <c r="I3244" t="s">
        <v>296</v>
      </c>
      <c r="J3244">
        <v>2.17</v>
      </c>
      <c r="K3244">
        <v>0.42</v>
      </c>
      <c r="L3244">
        <v>17971</v>
      </c>
      <c r="M3244" t="s">
        <v>138</v>
      </c>
      <c r="N3244" t="str">
        <f>"100191743   "</f>
        <v xml:space="preserve">100191743   </v>
      </c>
      <c r="O3244">
        <v>230216</v>
      </c>
    </row>
    <row r="3245" spans="1:15" x14ac:dyDescent="0.25">
      <c r="A3245" t="s">
        <v>16</v>
      </c>
      <c r="B3245" t="s">
        <v>3221</v>
      </c>
      <c r="C3245">
        <v>14987</v>
      </c>
      <c r="D3245" t="s">
        <v>931</v>
      </c>
      <c r="E3245" t="s">
        <v>932</v>
      </c>
      <c r="F3245">
        <v>107.91</v>
      </c>
      <c r="G3245">
        <v>231031</v>
      </c>
      <c r="H3245">
        <v>4364</v>
      </c>
      <c r="I3245" t="s">
        <v>296</v>
      </c>
      <c r="J3245">
        <v>133.81</v>
      </c>
      <c r="K3245">
        <v>25.9</v>
      </c>
      <c r="L3245">
        <v>11501</v>
      </c>
      <c r="M3245" t="s">
        <v>339</v>
      </c>
      <c r="N3245" t="str">
        <f>"100236067   "</f>
        <v xml:space="preserve">100236067   </v>
      </c>
      <c r="O3245">
        <v>231107</v>
      </c>
    </row>
    <row r="3246" spans="1:15" x14ac:dyDescent="0.25">
      <c r="A3246" t="s">
        <v>16</v>
      </c>
      <c r="B3246" t="s">
        <v>3221</v>
      </c>
      <c r="C3246">
        <v>1163</v>
      </c>
      <c r="D3246" t="s">
        <v>931</v>
      </c>
      <c r="E3246" t="s">
        <v>932</v>
      </c>
      <c r="F3246">
        <v>147.36000000000001</v>
      </c>
      <c r="G3246">
        <v>230131</v>
      </c>
      <c r="H3246">
        <v>4380</v>
      </c>
      <c r="I3246" t="s">
        <v>113</v>
      </c>
      <c r="J3246">
        <v>182.73</v>
      </c>
      <c r="K3246">
        <v>35.369999999999997</v>
      </c>
      <c r="L3246">
        <v>17971</v>
      </c>
      <c r="M3246" t="s">
        <v>138</v>
      </c>
      <c r="N3246" t="str">
        <f>"100191527   "</f>
        <v xml:space="preserve">100191527   </v>
      </c>
      <c r="O3246">
        <v>230206</v>
      </c>
    </row>
    <row r="3247" spans="1:15" x14ac:dyDescent="0.25">
      <c r="A3247" t="s">
        <v>16</v>
      </c>
      <c r="B3247" t="s">
        <v>3221</v>
      </c>
      <c r="C3247">
        <v>2868</v>
      </c>
      <c r="D3247" t="s">
        <v>931</v>
      </c>
      <c r="E3247" t="s">
        <v>932</v>
      </c>
      <c r="F3247">
        <v>271.24</v>
      </c>
      <c r="G3247">
        <v>230228</v>
      </c>
      <c r="H3247">
        <v>4380</v>
      </c>
      <c r="I3247" t="s">
        <v>113</v>
      </c>
      <c r="J3247">
        <v>336.34</v>
      </c>
      <c r="K3247">
        <v>65.099999999999994</v>
      </c>
      <c r="L3247">
        <v>17971</v>
      </c>
      <c r="M3247" t="s">
        <v>138</v>
      </c>
      <c r="N3247" t="str">
        <f>"100195778   "</f>
        <v xml:space="preserve">100195778   </v>
      </c>
      <c r="O3247">
        <v>230308</v>
      </c>
    </row>
    <row r="3248" spans="1:15" x14ac:dyDescent="0.25">
      <c r="A3248" t="s">
        <v>16</v>
      </c>
      <c r="B3248" t="s">
        <v>3221</v>
      </c>
      <c r="C3248">
        <v>2875</v>
      </c>
      <c r="D3248" t="s">
        <v>931</v>
      </c>
      <c r="E3248" t="s">
        <v>932</v>
      </c>
      <c r="F3248">
        <v>42</v>
      </c>
      <c r="G3248">
        <v>230228</v>
      </c>
      <c r="H3248">
        <v>4380</v>
      </c>
      <c r="I3248" t="s">
        <v>113</v>
      </c>
      <c r="J3248">
        <v>52.08</v>
      </c>
      <c r="K3248">
        <v>10.08</v>
      </c>
      <c r="L3248">
        <v>17971</v>
      </c>
      <c r="M3248" t="s">
        <v>138</v>
      </c>
      <c r="N3248" t="str">
        <f>"100195845   "</f>
        <v xml:space="preserve">100195845   </v>
      </c>
      <c r="O3248">
        <v>230308</v>
      </c>
    </row>
    <row r="3249" spans="1:15" x14ac:dyDescent="0.25">
      <c r="A3249" t="s">
        <v>16</v>
      </c>
      <c r="B3249" t="s">
        <v>3221</v>
      </c>
      <c r="C3249">
        <v>4476</v>
      </c>
      <c r="D3249" t="s">
        <v>931</v>
      </c>
      <c r="E3249" t="s">
        <v>932</v>
      </c>
      <c r="F3249">
        <v>200.83</v>
      </c>
      <c r="G3249">
        <v>230331</v>
      </c>
      <c r="H3249">
        <v>4380</v>
      </c>
      <c r="I3249" t="s">
        <v>113</v>
      </c>
      <c r="J3249">
        <v>249.03</v>
      </c>
      <c r="K3249">
        <v>48.2</v>
      </c>
      <c r="L3249">
        <v>17971</v>
      </c>
      <c r="M3249" t="s">
        <v>138</v>
      </c>
      <c r="N3249" t="str">
        <f>"100199019   "</f>
        <v xml:space="preserve">100199019   </v>
      </c>
      <c r="O3249">
        <v>230406</v>
      </c>
    </row>
    <row r="3250" spans="1:15" x14ac:dyDescent="0.25">
      <c r="A3250" t="s">
        <v>16</v>
      </c>
      <c r="B3250" t="s">
        <v>3221</v>
      </c>
      <c r="C3250">
        <v>6066</v>
      </c>
      <c r="D3250" t="s">
        <v>931</v>
      </c>
      <c r="E3250" t="s">
        <v>932</v>
      </c>
      <c r="F3250">
        <v>106.62</v>
      </c>
      <c r="G3250">
        <v>230430</v>
      </c>
      <c r="H3250">
        <v>4380</v>
      </c>
      <c r="I3250" t="s">
        <v>113</v>
      </c>
      <c r="J3250">
        <v>132.21</v>
      </c>
      <c r="K3250">
        <v>25.59</v>
      </c>
      <c r="L3250">
        <v>17971</v>
      </c>
      <c r="M3250" t="s">
        <v>138</v>
      </c>
      <c r="N3250" t="str">
        <f>"100204516   "</f>
        <v xml:space="preserve">100204516   </v>
      </c>
      <c r="O3250">
        <v>230508</v>
      </c>
    </row>
    <row r="3251" spans="1:15" x14ac:dyDescent="0.25">
      <c r="A3251" t="s">
        <v>16</v>
      </c>
      <c r="B3251" t="s">
        <v>3221</v>
      </c>
      <c r="C3251">
        <v>8002</v>
      </c>
      <c r="D3251" t="s">
        <v>931</v>
      </c>
      <c r="E3251" t="s">
        <v>932</v>
      </c>
      <c r="F3251">
        <v>116.93</v>
      </c>
      <c r="G3251">
        <v>230531</v>
      </c>
      <c r="H3251">
        <v>4380</v>
      </c>
      <c r="I3251" t="s">
        <v>113</v>
      </c>
      <c r="J3251">
        <v>144.99</v>
      </c>
      <c r="K3251">
        <v>28.06</v>
      </c>
      <c r="L3251">
        <v>17971</v>
      </c>
      <c r="M3251" t="s">
        <v>138</v>
      </c>
      <c r="N3251" t="str">
        <f>"100210192   "</f>
        <v xml:space="preserve">100210192   </v>
      </c>
      <c r="O3251">
        <v>230606</v>
      </c>
    </row>
    <row r="3252" spans="1:15" x14ac:dyDescent="0.25">
      <c r="A3252" t="s">
        <v>16</v>
      </c>
      <c r="B3252" t="s">
        <v>3221</v>
      </c>
      <c r="C3252">
        <v>8068</v>
      </c>
      <c r="D3252" t="s">
        <v>931</v>
      </c>
      <c r="E3252" t="s">
        <v>932</v>
      </c>
      <c r="F3252">
        <v>87.98</v>
      </c>
      <c r="G3252">
        <v>230531</v>
      </c>
      <c r="H3252">
        <v>4380</v>
      </c>
      <c r="I3252" t="s">
        <v>113</v>
      </c>
      <c r="J3252">
        <v>109.09</v>
      </c>
      <c r="K3252">
        <v>21.11</v>
      </c>
      <c r="L3252">
        <v>59502</v>
      </c>
      <c r="M3252" t="s">
        <v>70</v>
      </c>
      <c r="N3252" t="str">
        <f>"100210157   "</f>
        <v xml:space="preserve">100210157   </v>
      </c>
      <c r="O3252">
        <v>230607</v>
      </c>
    </row>
    <row r="3253" spans="1:15" x14ac:dyDescent="0.25">
      <c r="A3253" t="s">
        <v>16</v>
      </c>
      <c r="B3253" t="s">
        <v>3221</v>
      </c>
      <c r="C3253">
        <v>8071</v>
      </c>
      <c r="D3253" t="s">
        <v>931</v>
      </c>
      <c r="E3253" t="s">
        <v>932</v>
      </c>
      <c r="F3253">
        <v>92.44</v>
      </c>
      <c r="G3253">
        <v>230531</v>
      </c>
      <c r="H3253">
        <v>4380</v>
      </c>
      <c r="I3253" t="s">
        <v>113</v>
      </c>
      <c r="J3253">
        <v>114.62</v>
      </c>
      <c r="K3253">
        <v>22.18</v>
      </c>
      <c r="L3253">
        <v>59505</v>
      </c>
      <c r="M3253" t="s">
        <v>72</v>
      </c>
      <c r="N3253" t="str">
        <f>"100210143   "</f>
        <v xml:space="preserve">100210143   </v>
      </c>
      <c r="O3253">
        <v>230607</v>
      </c>
    </row>
    <row r="3254" spans="1:15" x14ac:dyDescent="0.25">
      <c r="A3254" t="s">
        <v>16</v>
      </c>
      <c r="B3254" t="s">
        <v>3221</v>
      </c>
      <c r="C3254">
        <v>8073</v>
      </c>
      <c r="D3254" t="s">
        <v>931</v>
      </c>
      <c r="E3254" t="s">
        <v>932</v>
      </c>
      <c r="F3254">
        <v>60.39</v>
      </c>
      <c r="G3254">
        <v>230531</v>
      </c>
      <c r="H3254">
        <v>4380</v>
      </c>
      <c r="I3254" t="s">
        <v>113</v>
      </c>
      <c r="J3254">
        <v>74.88</v>
      </c>
      <c r="K3254">
        <v>14.49</v>
      </c>
      <c r="L3254">
        <v>11501</v>
      </c>
      <c r="M3254" t="s">
        <v>339</v>
      </c>
      <c r="N3254" t="str">
        <f>"100210129   "</f>
        <v xml:space="preserve">100210129   </v>
      </c>
      <c r="O3254">
        <v>230607</v>
      </c>
    </row>
    <row r="3255" spans="1:15" x14ac:dyDescent="0.25">
      <c r="A3255" t="s">
        <v>16</v>
      </c>
      <c r="B3255" t="s">
        <v>3221</v>
      </c>
      <c r="C3255">
        <v>8073</v>
      </c>
      <c r="D3255" t="s">
        <v>931</v>
      </c>
      <c r="E3255" t="s">
        <v>932</v>
      </c>
      <c r="F3255">
        <v>60.39</v>
      </c>
      <c r="G3255">
        <v>230531</v>
      </c>
      <c r="H3255">
        <v>4380</v>
      </c>
      <c r="I3255" t="s">
        <v>113</v>
      </c>
      <c r="J3255">
        <v>74.88</v>
      </c>
      <c r="K3255">
        <v>14.49</v>
      </c>
      <c r="L3255">
        <v>18972</v>
      </c>
      <c r="M3255" t="s">
        <v>163</v>
      </c>
      <c r="N3255" t="str">
        <f>"100210129   "</f>
        <v xml:space="preserve">100210129   </v>
      </c>
      <c r="O3255">
        <v>230607</v>
      </c>
    </row>
    <row r="3256" spans="1:15" x14ac:dyDescent="0.25">
      <c r="A3256" t="s">
        <v>16</v>
      </c>
      <c r="B3256" t="s">
        <v>3221</v>
      </c>
      <c r="C3256">
        <v>8073</v>
      </c>
      <c r="D3256" t="s">
        <v>931</v>
      </c>
      <c r="E3256" t="s">
        <v>932</v>
      </c>
      <c r="F3256">
        <v>362.31</v>
      </c>
      <c r="G3256">
        <v>230531</v>
      </c>
      <c r="H3256">
        <v>4380</v>
      </c>
      <c r="I3256" t="s">
        <v>113</v>
      </c>
      <c r="J3256">
        <v>449.27</v>
      </c>
      <c r="K3256">
        <v>86.96</v>
      </c>
      <c r="L3256">
        <v>59701</v>
      </c>
      <c r="M3256" t="s">
        <v>297</v>
      </c>
      <c r="N3256" t="str">
        <f>"100210129   "</f>
        <v xml:space="preserve">100210129   </v>
      </c>
      <c r="O3256">
        <v>230607</v>
      </c>
    </row>
    <row r="3257" spans="1:15" x14ac:dyDescent="0.25">
      <c r="A3257" t="s">
        <v>16</v>
      </c>
      <c r="B3257" t="s">
        <v>3221</v>
      </c>
      <c r="C3257">
        <v>9314</v>
      </c>
      <c r="D3257" t="s">
        <v>931</v>
      </c>
      <c r="E3257" t="s">
        <v>932</v>
      </c>
      <c r="F3257">
        <v>139.93</v>
      </c>
      <c r="G3257">
        <v>230630</v>
      </c>
      <c r="H3257">
        <v>4380</v>
      </c>
      <c r="I3257" t="s">
        <v>113</v>
      </c>
      <c r="J3257">
        <v>173.51</v>
      </c>
      <c r="K3257">
        <v>33.58</v>
      </c>
      <c r="L3257">
        <v>17971</v>
      </c>
      <c r="M3257" t="s">
        <v>138</v>
      </c>
      <c r="N3257" t="str">
        <f>"100214074   "</f>
        <v xml:space="preserve">100214074   </v>
      </c>
      <c r="O3257">
        <v>230705</v>
      </c>
    </row>
    <row r="3258" spans="1:15" x14ac:dyDescent="0.25">
      <c r="A3258" t="s">
        <v>16</v>
      </c>
      <c r="B3258" t="s">
        <v>3221</v>
      </c>
      <c r="C3258">
        <v>9420</v>
      </c>
      <c r="D3258" t="s">
        <v>931</v>
      </c>
      <c r="E3258" t="s">
        <v>932</v>
      </c>
      <c r="F3258">
        <v>120.84</v>
      </c>
      <c r="G3258">
        <v>230630</v>
      </c>
      <c r="H3258">
        <v>4380</v>
      </c>
      <c r="I3258" t="s">
        <v>113</v>
      </c>
      <c r="J3258">
        <v>149.84</v>
      </c>
      <c r="K3258">
        <v>29</v>
      </c>
      <c r="L3258">
        <v>18972</v>
      </c>
      <c r="M3258" t="s">
        <v>163</v>
      </c>
      <c r="N3258" t="str">
        <f>"100214073   "</f>
        <v xml:space="preserve">100214073   </v>
      </c>
      <c r="O3258">
        <v>230710</v>
      </c>
    </row>
    <row r="3259" spans="1:15" x14ac:dyDescent="0.25">
      <c r="A3259" t="s">
        <v>16</v>
      </c>
      <c r="B3259" t="s">
        <v>3221</v>
      </c>
      <c r="C3259">
        <v>9553</v>
      </c>
      <c r="D3259" t="s">
        <v>931</v>
      </c>
      <c r="E3259" t="s">
        <v>932</v>
      </c>
      <c r="F3259">
        <v>51.8</v>
      </c>
      <c r="G3259">
        <v>230630</v>
      </c>
      <c r="H3259">
        <v>4380</v>
      </c>
      <c r="I3259" t="s">
        <v>113</v>
      </c>
      <c r="J3259">
        <v>64.23</v>
      </c>
      <c r="K3259">
        <v>12.43</v>
      </c>
      <c r="L3259">
        <v>18972</v>
      </c>
      <c r="M3259" t="s">
        <v>163</v>
      </c>
      <c r="N3259" t="str">
        <f>"100214932   "</f>
        <v xml:space="preserve">100214932   </v>
      </c>
      <c r="O3259">
        <v>230717</v>
      </c>
    </row>
    <row r="3260" spans="1:15" x14ac:dyDescent="0.25">
      <c r="A3260" t="s">
        <v>16</v>
      </c>
      <c r="B3260" t="s">
        <v>3221</v>
      </c>
      <c r="C3260">
        <v>10129</v>
      </c>
      <c r="D3260" t="s">
        <v>931</v>
      </c>
      <c r="E3260" t="s">
        <v>932</v>
      </c>
      <c r="F3260">
        <v>135.76</v>
      </c>
      <c r="G3260">
        <v>230731</v>
      </c>
      <c r="H3260">
        <v>4380</v>
      </c>
      <c r="I3260" t="s">
        <v>113</v>
      </c>
      <c r="J3260">
        <v>168.34</v>
      </c>
      <c r="K3260">
        <v>32.58</v>
      </c>
      <c r="L3260">
        <v>17971</v>
      </c>
      <c r="M3260" t="s">
        <v>138</v>
      </c>
      <c r="N3260" t="str">
        <f>"100221251   "</f>
        <v xml:space="preserve">100221251   </v>
      </c>
      <c r="O3260">
        <v>230808</v>
      </c>
    </row>
    <row r="3261" spans="1:15" x14ac:dyDescent="0.25">
      <c r="A3261" t="s">
        <v>16</v>
      </c>
      <c r="B3261" t="s">
        <v>3221</v>
      </c>
      <c r="C3261">
        <v>11814</v>
      </c>
      <c r="D3261" t="s">
        <v>931</v>
      </c>
      <c r="E3261" t="s">
        <v>932</v>
      </c>
      <c r="F3261">
        <v>51.3</v>
      </c>
      <c r="G3261">
        <v>230831</v>
      </c>
      <c r="H3261">
        <v>4380</v>
      </c>
      <c r="I3261" t="s">
        <v>113</v>
      </c>
      <c r="J3261">
        <v>63.61</v>
      </c>
      <c r="K3261">
        <v>12.31</v>
      </c>
      <c r="L3261">
        <v>17971</v>
      </c>
      <c r="M3261" t="s">
        <v>138</v>
      </c>
      <c r="N3261" t="str">
        <f>"100225699   "</f>
        <v xml:space="preserve">100225699   </v>
      </c>
      <c r="O3261">
        <v>230911</v>
      </c>
    </row>
    <row r="3262" spans="1:15" x14ac:dyDescent="0.25">
      <c r="A3262" t="s">
        <v>16</v>
      </c>
      <c r="B3262" t="s">
        <v>3221</v>
      </c>
      <c r="C3262">
        <v>11818</v>
      </c>
      <c r="D3262" t="s">
        <v>931</v>
      </c>
      <c r="E3262" t="s">
        <v>932</v>
      </c>
      <c r="F3262">
        <v>218.09</v>
      </c>
      <c r="G3262">
        <v>230831</v>
      </c>
      <c r="H3262">
        <v>4380</v>
      </c>
      <c r="I3262" t="s">
        <v>113</v>
      </c>
      <c r="J3262">
        <v>270.43</v>
      </c>
      <c r="K3262">
        <v>52.34</v>
      </c>
      <c r="L3262">
        <v>17971</v>
      </c>
      <c r="M3262" t="s">
        <v>138</v>
      </c>
      <c r="N3262" t="str">
        <f>"100225765   "</f>
        <v xml:space="preserve">100225765   </v>
      </c>
      <c r="O3262">
        <v>230911</v>
      </c>
    </row>
    <row r="3263" spans="1:15" x14ac:dyDescent="0.25">
      <c r="A3263" t="s">
        <v>16</v>
      </c>
      <c r="B3263" t="s">
        <v>3221</v>
      </c>
      <c r="C3263">
        <v>17020</v>
      </c>
      <c r="D3263" t="s">
        <v>931</v>
      </c>
      <c r="E3263" t="s">
        <v>932</v>
      </c>
      <c r="F3263">
        <v>207.56</v>
      </c>
      <c r="G3263">
        <v>231130</v>
      </c>
      <c r="H3263">
        <v>4380</v>
      </c>
      <c r="I3263" t="s">
        <v>113</v>
      </c>
      <c r="J3263">
        <v>257.37</v>
      </c>
      <c r="K3263">
        <v>49.81</v>
      </c>
      <c r="L3263">
        <v>17971</v>
      </c>
      <c r="M3263" t="s">
        <v>138</v>
      </c>
      <c r="N3263" t="str">
        <f>"100241417   "</f>
        <v xml:space="preserve">100241417   </v>
      </c>
      <c r="O3263">
        <v>231211</v>
      </c>
    </row>
    <row r="3264" spans="1:15" x14ac:dyDescent="0.25">
      <c r="A3264" t="s">
        <v>16</v>
      </c>
      <c r="B3264" t="s">
        <v>3221</v>
      </c>
      <c r="C3264">
        <v>18751</v>
      </c>
      <c r="D3264" t="s">
        <v>931</v>
      </c>
      <c r="E3264" t="s">
        <v>932</v>
      </c>
      <c r="F3264">
        <v>205.1</v>
      </c>
      <c r="G3264">
        <v>231231</v>
      </c>
      <c r="H3264">
        <v>4380</v>
      </c>
      <c r="I3264" t="s">
        <v>113</v>
      </c>
      <c r="J3264">
        <v>254.32</v>
      </c>
      <c r="K3264">
        <v>49.22</v>
      </c>
      <c r="L3264">
        <v>14951</v>
      </c>
      <c r="M3264" t="s">
        <v>57</v>
      </c>
      <c r="N3264" t="str">
        <f>"100245672   "</f>
        <v xml:space="preserve">100245672   </v>
      </c>
      <c r="O3264">
        <v>240105</v>
      </c>
    </row>
    <row r="3265" spans="1:15" x14ac:dyDescent="0.25">
      <c r="A3265" t="s">
        <v>16</v>
      </c>
      <c r="B3265" t="s">
        <v>3221</v>
      </c>
      <c r="C3265">
        <v>1910</v>
      </c>
      <c r="D3265" t="s">
        <v>931</v>
      </c>
      <c r="E3265" t="s">
        <v>932</v>
      </c>
      <c r="F3265">
        <v>1.98</v>
      </c>
      <c r="G3265">
        <v>230131</v>
      </c>
      <c r="H3265">
        <v>4500</v>
      </c>
      <c r="I3265" t="s">
        <v>212</v>
      </c>
      <c r="J3265">
        <v>2.4500000000000002</v>
      </c>
      <c r="K3265">
        <v>0.47</v>
      </c>
      <c r="L3265">
        <v>13561</v>
      </c>
      <c r="M3265" t="s">
        <v>246</v>
      </c>
      <c r="N3265" t="str">
        <f>"100191743   "</f>
        <v xml:space="preserve">100191743   </v>
      </c>
      <c r="O3265">
        <v>230216</v>
      </c>
    </row>
    <row r="3266" spans="1:15" x14ac:dyDescent="0.25">
      <c r="A3266" t="s">
        <v>16</v>
      </c>
      <c r="B3266" t="s">
        <v>3221</v>
      </c>
      <c r="C3266">
        <v>1910</v>
      </c>
      <c r="D3266" t="s">
        <v>931</v>
      </c>
      <c r="E3266" t="s">
        <v>932</v>
      </c>
      <c r="F3266">
        <v>15.97</v>
      </c>
      <c r="G3266">
        <v>230131</v>
      </c>
      <c r="H3266">
        <v>4500</v>
      </c>
      <c r="I3266" t="s">
        <v>212</v>
      </c>
      <c r="J3266">
        <v>19.8</v>
      </c>
      <c r="K3266">
        <v>3.83</v>
      </c>
      <c r="L3266">
        <v>17971</v>
      </c>
      <c r="M3266" t="s">
        <v>138</v>
      </c>
      <c r="N3266" t="str">
        <f>"100191743   "</f>
        <v xml:space="preserve">100191743   </v>
      </c>
      <c r="O3266">
        <v>230216</v>
      </c>
    </row>
    <row r="3267" spans="1:15" x14ac:dyDescent="0.25">
      <c r="A3267" t="s">
        <v>16</v>
      </c>
      <c r="B3267" t="s">
        <v>3221</v>
      </c>
      <c r="C3267">
        <v>1910</v>
      </c>
      <c r="D3267" t="s">
        <v>931</v>
      </c>
      <c r="E3267" t="s">
        <v>932</v>
      </c>
      <c r="F3267">
        <v>4.03</v>
      </c>
      <c r="G3267">
        <v>230131</v>
      </c>
      <c r="H3267">
        <v>4347</v>
      </c>
      <c r="I3267" t="s">
        <v>193</v>
      </c>
      <c r="J3267">
        <v>5</v>
      </c>
      <c r="K3267">
        <v>0.97</v>
      </c>
      <c r="L3267">
        <v>17971</v>
      </c>
      <c r="M3267" t="s">
        <v>138</v>
      </c>
      <c r="N3267" t="str">
        <f>"100191743   "</f>
        <v xml:space="preserve">100191743   </v>
      </c>
      <c r="O3267">
        <v>230216</v>
      </c>
    </row>
    <row r="3268" spans="1:15" x14ac:dyDescent="0.25">
      <c r="A3268" t="s">
        <v>16</v>
      </c>
      <c r="B3268" t="s">
        <v>3221</v>
      </c>
      <c r="C3268">
        <v>5067</v>
      </c>
      <c r="D3268" t="s">
        <v>931</v>
      </c>
      <c r="E3268" t="s">
        <v>932</v>
      </c>
      <c r="F3268">
        <v>9.82</v>
      </c>
      <c r="G3268">
        <v>230331</v>
      </c>
      <c r="H3268">
        <v>4347</v>
      </c>
      <c r="I3268" t="s">
        <v>193</v>
      </c>
      <c r="J3268">
        <v>12.18</v>
      </c>
      <c r="K3268">
        <v>2.36</v>
      </c>
      <c r="L3268">
        <v>13561</v>
      </c>
      <c r="M3268" t="s">
        <v>246</v>
      </c>
      <c r="N3268" t="str">
        <f>"100199096   "</f>
        <v xml:space="preserve">100199096   </v>
      </c>
      <c r="O3268">
        <v>230418</v>
      </c>
    </row>
    <row r="3269" spans="1:15" x14ac:dyDescent="0.25">
      <c r="A3269" t="s">
        <v>16</v>
      </c>
      <c r="B3269" t="s">
        <v>3221</v>
      </c>
      <c r="C3269">
        <v>5067</v>
      </c>
      <c r="D3269" t="s">
        <v>931</v>
      </c>
      <c r="E3269" t="s">
        <v>932</v>
      </c>
      <c r="F3269">
        <v>79.48</v>
      </c>
      <c r="G3269">
        <v>230331</v>
      </c>
      <c r="H3269">
        <v>4347</v>
      </c>
      <c r="I3269" t="s">
        <v>193</v>
      </c>
      <c r="J3269">
        <v>98.56</v>
      </c>
      <c r="K3269">
        <v>19.079999999999998</v>
      </c>
      <c r="L3269">
        <v>17971</v>
      </c>
      <c r="M3269" t="s">
        <v>138</v>
      </c>
      <c r="N3269" t="str">
        <f>"100199096   "</f>
        <v xml:space="preserve">100199096   </v>
      </c>
      <c r="O3269">
        <v>230418</v>
      </c>
    </row>
    <row r="3270" spans="1:15" x14ac:dyDescent="0.25">
      <c r="A3270" t="s">
        <v>16</v>
      </c>
      <c r="B3270" t="s">
        <v>3221</v>
      </c>
      <c r="C3270">
        <v>9324</v>
      </c>
      <c r="D3270" t="s">
        <v>931</v>
      </c>
      <c r="E3270" t="s">
        <v>932</v>
      </c>
      <c r="F3270">
        <v>244</v>
      </c>
      <c r="G3270">
        <v>230630</v>
      </c>
      <c r="H3270">
        <v>4347</v>
      </c>
      <c r="I3270" t="s">
        <v>193</v>
      </c>
      <c r="J3270">
        <v>302.56</v>
      </c>
      <c r="K3270">
        <v>58.56</v>
      </c>
      <c r="L3270">
        <v>13461</v>
      </c>
      <c r="M3270" t="s">
        <v>1413</v>
      </c>
      <c r="N3270" t="str">
        <f>"100214568   "</f>
        <v xml:space="preserve">100214568   </v>
      </c>
      <c r="O3270">
        <v>230706</v>
      </c>
    </row>
    <row r="3271" spans="1:15" x14ac:dyDescent="0.25">
      <c r="A3271" t="s">
        <v>16</v>
      </c>
      <c r="B3271" t="s">
        <v>3221</v>
      </c>
      <c r="C3271">
        <v>10623</v>
      </c>
      <c r="D3271" t="s">
        <v>931</v>
      </c>
      <c r="E3271" t="s">
        <v>932</v>
      </c>
      <c r="F3271">
        <v>42.9</v>
      </c>
      <c r="G3271">
        <v>230731</v>
      </c>
      <c r="H3271">
        <v>4347</v>
      </c>
      <c r="I3271" t="s">
        <v>193</v>
      </c>
      <c r="J3271">
        <v>53.2</v>
      </c>
      <c r="K3271">
        <v>10.3</v>
      </c>
      <c r="L3271">
        <v>59701</v>
      </c>
      <c r="M3271" t="s">
        <v>297</v>
      </c>
      <c r="N3271" t="str">
        <f>"100221405   "</f>
        <v xml:space="preserve">100221405   </v>
      </c>
      <c r="O3271">
        <v>230821</v>
      </c>
    </row>
    <row r="3272" spans="1:15" x14ac:dyDescent="0.25">
      <c r="A3272" t="s">
        <v>16</v>
      </c>
      <c r="B3272" t="s">
        <v>3221</v>
      </c>
      <c r="C3272">
        <v>691</v>
      </c>
      <c r="D3272" t="s">
        <v>686</v>
      </c>
      <c r="E3272" t="s">
        <v>687</v>
      </c>
      <c r="F3272">
        <v>480</v>
      </c>
      <c r="G3272">
        <v>230125</v>
      </c>
      <c r="H3272">
        <v>4341</v>
      </c>
      <c r="I3272" t="s">
        <v>32</v>
      </c>
      <c r="J3272">
        <v>595.20000000000005</v>
      </c>
      <c r="K3272">
        <v>115.2</v>
      </c>
      <c r="L3272">
        <v>17951</v>
      </c>
      <c r="M3272" t="s">
        <v>87</v>
      </c>
      <c r="N3272" t="str">
        <f>"9230100089  "</f>
        <v xml:space="preserve">9230100089  </v>
      </c>
      <c r="O3272">
        <v>230126</v>
      </c>
    </row>
    <row r="3273" spans="1:15" x14ac:dyDescent="0.25">
      <c r="A3273" t="s">
        <v>16</v>
      </c>
      <c r="B3273" t="s">
        <v>3221</v>
      </c>
      <c r="C3273">
        <v>754</v>
      </c>
      <c r="D3273" t="s">
        <v>686</v>
      </c>
      <c r="E3273" t="s">
        <v>687</v>
      </c>
      <c r="F3273">
        <v>900</v>
      </c>
      <c r="G3273">
        <v>230126</v>
      </c>
      <c r="H3273">
        <v>4341</v>
      </c>
      <c r="I3273" t="s">
        <v>32</v>
      </c>
      <c r="J3273">
        <v>1116</v>
      </c>
      <c r="K3273">
        <v>216</v>
      </c>
      <c r="L3273">
        <v>17952</v>
      </c>
      <c r="M3273" t="s">
        <v>88</v>
      </c>
      <c r="N3273" t="str">
        <f>"1230100012  "</f>
        <v xml:space="preserve">1230100012  </v>
      </c>
      <c r="O3273">
        <v>230130</v>
      </c>
    </row>
    <row r="3274" spans="1:15" x14ac:dyDescent="0.25">
      <c r="A3274" t="s">
        <v>16</v>
      </c>
      <c r="B3274" t="s">
        <v>3221</v>
      </c>
      <c r="C3274">
        <v>790</v>
      </c>
      <c r="D3274" t="s">
        <v>686</v>
      </c>
      <c r="E3274" t="s">
        <v>687</v>
      </c>
      <c r="F3274">
        <v>66</v>
      </c>
      <c r="G3274">
        <v>230125</v>
      </c>
      <c r="H3274">
        <v>4341</v>
      </c>
      <c r="I3274" t="s">
        <v>32</v>
      </c>
      <c r="J3274">
        <v>81.84</v>
      </c>
      <c r="K3274">
        <v>15.84</v>
      </c>
      <c r="L3274">
        <v>13540</v>
      </c>
      <c r="M3274" t="s">
        <v>85</v>
      </c>
      <c r="N3274" t="str">
        <f>"9230100090  "</f>
        <v xml:space="preserve">9230100090  </v>
      </c>
      <c r="O3274">
        <v>230130</v>
      </c>
    </row>
    <row r="3275" spans="1:15" x14ac:dyDescent="0.25">
      <c r="A3275" t="s">
        <v>16</v>
      </c>
      <c r="B3275" t="s">
        <v>3221</v>
      </c>
      <c r="C3275">
        <v>790</v>
      </c>
      <c r="D3275" t="s">
        <v>686</v>
      </c>
      <c r="E3275" t="s">
        <v>687</v>
      </c>
      <c r="F3275">
        <v>534</v>
      </c>
      <c r="G3275">
        <v>230125</v>
      </c>
      <c r="H3275">
        <v>4341</v>
      </c>
      <c r="I3275" t="s">
        <v>32</v>
      </c>
      <c r="J3275">
        <v>662.16</v>
      </c>
      <c r="K3275">
        <v>128.16</v>
      </c>
      <c r="L3275">
        <v>17950</v>
      </c>
      <c r="M3275" t="s">
        <v>86</v>
      </c>
      <c r="N3275" t="str">
        <f>"9230100090  "</f>
        <v xml:space="preserve">9230100090  </v>
      </c>
      <c r="O3275">
        <v>230130</v>
      </c>
    </row>
    <row r="3276" spans="1:15" x14ac:dyDescent="0.25">
      <c r="A3276" t="s">
        <v>16</v>
      </c>
      <c r="B3276" t="s">
        <v>3221</v>
      </c>
      <c r="C3276">
        <v>1650</v>
      </c>
      <c r="D3276" t="s">
        <v>686</v>
      </c>
      <c r="E3276" t="s">
        <v>687</v>
      </c>
      <c r="F3276">
        <v>420</v>
      </c>
      <c r="G3276">
        <v>230125</v>
      </c>
      <c r="H3276">
        <v>4341</v>
      </c>
      <c r="I3276" t="s">
        <v>32</v>
      </c>
      <c r="J3276">
        <v>520.79999999999995</v>
      </c>
      <c r="K3276">
        <v>100.8</v>
      </c>
      <c r="L3276">
        <v>49501</v>
      </c>
      <c r="M3276" t="s">
        <v>177</v>
      </c>
      <c r="N3276" t="str">
        <f>"9230100091  "</f>
        <v xml:space="preserve">9230100091  </v>
      </c>
      <c r="O3276">
        <v>230213</v>
      </c>
    </row>
    <row r="3277" spans="1:15" x14ac:dyDescent="0.25">
      <c r="A3277" t="s">
        <v>16</v>
      </c>
      <c r="B3277" t="s">
        <v>3221</v>
      </c>
      <c r="C3277">
        <v>5505</v>
      </c>
      <c r="D3277" t="s">
        <v>686</v>
      </c>
      <c r="E3277" t="s">
        <v>687</v>
      </c>
      <c r="F3277">
        <v>270</v>
      </c>
      <c r="G3277">
        <v>230424</v>
      </c>
      <c r="H3277">
        <v>4341</v>
      </c>
      <c r="I3277" t="s">
        <v>32</v>
      </c>
      <c r="J3277">
        <v>334.8</v>
      </c>
      <c r="K3277">
        <v>64.8</v>
      </c>
      <c r="L3277">
        <v>17952</v>
      </c>
      <c r="M3277" t="s">
        <v>88</v>
      </c>
      <c r="N3277" t="str">
        <f>"9230400077  "</f>
        <v xml:space="preserve">9230400077  </v>
      </c>
      <c r="O3277">
        <v>230426</v>
      </c>
    </row>
    <row r="3278" spans="1:15" x14ac:dyDescent="0.25">
      <c r="A3278" t="s">
        <v>16</v>
      </c>
      <c r="B3278" t="s">
        <v>3221</v>
      </c>
      <c r="C3278">
        <v>14583</v>
      </c>
      <c r="D3278" t="s">
        <v>686</v>
      </c>
      <c r="E3278" t="s">
        <v>687</v>
      </c>
      <c r="F3278">
        <v>270</v>
      </c>
      <c r="G3278">
        <v>231023</v>
      </c>
      <c r="H3278">
        <v>4341</v>
      </c>
      <c r="I3278" t="s">
        <v>32</v>
      </c>
      <c r="J3278">
        <v>334.8</v>
      </c>
      <c r="K3278">
        <v>64.8</v>
      </c>
      <c r="L3278">
        <v>17952</v>
      </c>
      <c r="M3278" t="s">
        <v>88</v>
      </c>
      <c r="N3278" t="str">
        <f>"9231000064  "</f>
        <v xml:space="preserve">9231000064  </v>
      </c>
      <c r="O3278">
        <v>231030</v>
      </c>
    </row>
    <row r="3279" spans="1:15" x14ac:dyDescent="0.25">
      <c r="A3279" t="s">
        <v>16</v>
      </c>
      <c r="B3279" t="s">
        <v>3221</v>
      </c>
      <c r="C3279">
        <v>7707</v>
      </c>
      <c r="D3279" t="s">
        <v>686</v>
      </c>
      <c r="E3279" t="s">
        <v>687</v>
      </c>
      <c r="F3279">
        <v>1125</v>
      </c>
      <c r="G3279">
        <v>230522</v>
      </c>
      <c r="H3279">
        <v>4400</v>
      </c>
      <c r="I3279" t="s">
        <v>348</v>
      </c>
      <c r="J3279">
        <v>1395</v>
      </c>
      <c r="K3279">
        <v>270</v>
      </c>
      <c r="L3279">
        <v>49501</v>
      </c>
      <c r="M3279" t="s">
        <v>177</v>
      </c>
      <c r="N3279" t="str">
        <f>"1230500003  "</f>
        <v xml:space="preserve">1230500003  </v>
      </c>
      <c r="O3279">
        <v>230602</v>
      </c>
    </row>
    <row r="3280" spans="1:15" x14ac:dyDescent="0.25">
      <c r="A3280" t="s">
        <v>16</v>
      </c>
      <c r="B3280" t="s">
        <v>3221</v>
      </c>
      <c r="C3280">
        <v>9688</v>
      </c>
      <c r="D3280" t="s">
        <v>686</v>
      </c>
      <c r="E3280" t="s">
        <v>687</v>
      </c>
      <c r="F3280">
        <v>420</v>
      </c>
      <c r="G3280">
        <v>230711</v>
      </c>
      <c r="H3280">
        <v>4400</v>
      </c>
      <c r="I3280" t="s">
        <v>348</v>
      </c>
      <c r="J3280">
        <v>520.79999999999995</v>
      </c>
      <c r="K3280">
        <v>100.8</v>
      </c>
      <c r="L3280">
        <v>49501</v>
      </c>
      <c r="M3280" t="s">
        <v>177</v>
      </c>
      <c r="N3280" t="str">
        <f>"9230700081  "</f>
        <v xml:space="preserve">9230700081  </v>
      </c>
      <c r="O3280">
        <v>230719</v>
      </c>
    </row>
    <row r="3281" spans="1:15" x14ac:dyDescent="0.25">
      <c r="A3281" t="s">
        <v>16</v>
      </c>
      <c r="B3281" t="s">
        <v>3221</v>
      </c>
      <c r="C3281">
        <v>9852</v>
      </c>
      <c r="D3281" t="s">
        <v>686</v>
      </c>
      <c r="E3281" t="s">
        <v>687</v>
      </c>
      <c r="F3281">
        <v>480</v>
      </c>
      <c r="G3281">
        <v>230711</v>
      </c>
      <c r="H3281">
        <v>4390</v>
      </c>
      <c r="I3281" t="s">
        <v>98</v>
      </c>
      <c r="J3281">
        <v>595.20000000000005</v>
      </c>
      <c r="K3281">
        <v>115.2</v>
      </c>
      <c r="L3281">
        <v>17951</v>
      </c>
      <c r="M3281" t="s">
        <v>87</v>
      </c>
      <c r="N3281" t="str">
        <f>"9230700079  "</f>
        <v xml:space="preserve">9230700079  </v>
      </c>
      <c r="O3281">
        <v>230731</v>
      </c>
    </row>
    <row r="3282" spans="1:15" x14ac:dyDescent="0.25">
      <c r="A3282" t="s">
        <v>16</v>
      </c>
      <c r="B3282" t="s">
        <v>3221</v>
      </c>
      <c r="C3282">
        <v>9854</v>
      </c>
      <c r="D3282" t="s">
        <v>686</v>
      </c>
      <c r="E3282" t="s">
        <v>687</v>
      </c>
      <c r="F3282">
        <v>270</v>
      </c>
      <c r="G3282">
        <v>230711</v>
      </c>
      <c r="H3282">
        <v>4390</v>
      </c>
      <c r="I3282" t="s">
        <v>98</v>
      </c>
      <c r="J3282">
        <v>334.8</v>
      </c>
      <c r="K3282">
        <v>64.8</v>
      </c>
      <c r="L3282">
        <v>17952</v>
      </c>
      <c r="M3282" t="s">
        <v>88</v>
      </c>
      <c r="N3282" t="str">
        <f>"9230700056  "</f>
        <v xml:space="preserve">9230700056  </v>
      </c>
      <c r="O3282">
        <v>230731</v>
      </c>
    </row>
    <row r="3283" spans="1:15" x14ac:dyDescent="0.25">
      <c r="A3283" t="s">
        <v>16</v>
      </c>
      <c r="B3283" t="s">
        <v>3221</v>
      </c>
      <c r="C3283">
        <v>9864</v>
      </c>
      <c r="D3283" t="s">
        <v>686</v>
      </c>
      <c r="E3283" t="s">
        <v>687</v>
      </c>
      <c r="F3283">
        <v>66</v>
      </c>
      <c r="G3283">
        <v>230711</v>
      </c>
      <c r="H3283">
        <v>4390</v>
      </c>
      <c r="I3283" t="s">
        <v>98</v>
      </c>
      <c r="J3283">
        <v>81.84</v>
      </c>
      <c r="K3283">
        <v>15.84</v>
      </c>
      <c r="L3283">
        <v>13540</v>
      </c>
      <c r="M3283" t="s">
        <v>85</v>
      </c>
      <c r="N3283" t="str">
        <f>"9230700080  "</f>
        <v xml:space="preserve">9230700080  </v>
      </c>
      <c r="O3283">
        <v>230731</v>
      </c>
    </row>
    <row r="3284" spans="1:15" x14ac:dyDescent="0.25">
      <c r="A3284" t="s">
        <v>16</v>
      </c>
      <c r="B3284" t="s">
        <v>3221</v>
      </c>
      <c r="C3284">
        <v>9864</v>
      </c>
      <c r="D3284" t="s">
        <v>686</v>
      </c>
      <c r="E3284" t="s">
        <v>687</v>
      </c>
      <c r="F3284">
        <v>450</v>
      </c>
      <c r="G3284">
        <v>230711</v>
      </c>
      <c r="H3284">
        <v>4390</v>
      </c>
      <c r="I3284" t="s">
        <v>98</v>
      </c>
      <c r="J3284">
        <v>558</v>
      </c>
      <c r="K3284">
        <v>108</v>
      </c>
      <c r="L3284">
        <v>17950</v>
      </c>
      <c r="M3284" t="s">
        <v>86</v>
      </c>
      <c r="N3284" t="str">
        <f>"9230700080  "</f>
        <v xml:space="preserve">9230700080  </v>
      </c>
      <c r="O3284">
        <v>230731</v>
      </c>
    </row>
    <row r="3285" spans="1:15" x14ac:dyDescent="0.25">
      <c r="A3285" t="s">
        <v>16</v>
      </c>
      <c r="B3285" t="s">
        <v>3221</v>
      </c>
      <c r="C3285">
        <v>9864</v>
      </c>
      <c r="D3285" t="s">
        <v>686</v>
      </c>
      <c r="E3285" t="s">
        <v>687</v>
      </c>
      <c r="F3285">
        <v>84</v>
      </c>
      <c r="G3285">
        <v>230711</v>
      </c>
      <c r="H3285">
        <v>4390</v>
      </c>
      <c r="I3285" t="s">
        <v>98</v>
      </c>
      <c r="J3285">
        <v>104.16</v>
      </c>
      <c r="K3285">
        <v>20.16</v>
      </c>
      <c r="L3285">
        <v>17956</v>
      </c>
      <c r="M3285" t="s">
        <v>53</v>
      </c>
      <c r="N3285" t="str">
        <f>"9230700080  "</f>
        <v xml:space="preserve">9230700080  </v>
      </c>
      <c r="O3285">
        <v>230731</v>
      </c>
    </row>
    <row r="3286" spans="1:15" x14ac:dyDescent="0.25">
      <c r="A3286" t="s">
        <v>16</v>
      </c>
      <c r="B3286" t="s">
        <v>3221</v>
      </c>
      <c r="C3286">
        <v>93</v>
      </c>
      <c r="D3286" t="s">
        <v>103</v>
      </c>
      <c r="E3286" t="s">
        <v>104</v>
      </c>
      <c r="F3286">
        <v>2438.8000000000002</v>
      </c>
      <c r="G3286">
        <v>230101</v>
      </c>
      <c r="H3286">
        <v>4600</v>
      </c>
      <c r="I3286" t="s">
        <v>105</v>
      </c>
      <c r="J3286">
        <v>3024.11</v>
      </c>
      <c r="K3286">
        <v>585.30999999999995</v>
      </c>
      <c r="L3286">
        <v>11605</v>
      </c>
      <c r="M3286" t="s">
        <v>106</v>
      </c>
      <c r="N3286" t="str">
        <f>"860754      "</f>
        <v xml:space="preserve">860754      </v>
      </c>
      <c r="O3286">
        <v>230110</v>
      </c>
    </row>
    <row r="3287" spans="1:15" x14ac:dyDescent="0.25">
      <c r="A3287" t="s">
        <v>16</v>
      </c>
      <c r="B3287" t="s">
        <v>3221</v>
      </c>
      <c r="C3287">
        <v>93</v>
      </c>
      <c r="D3287" t="s">
        <v>103</v>
      </c>
      <c r="E3287" t="s">
        <v>104</v>
      </c>
      <c r="F3287">
        <v>13434.98</v>
      </c>
      <c r="G3287">
        <v>230101</v>
      </c>
      <c r="H3287">
        <v>4600</v>
      </c>
      <c r="I3287" t="s">
        <v>105</v>
      </c>
      <c r="J3287">
        <v>13434.98</v>
      </c>
      <c r="K3287">
        <v>0</v>
      </c>
      <c r="L3287">
        <v>11605</v>
      </c>
      <c r="M3287" t="s">
        <v>106</v>
      </c>
      <c r="N3287" t="str">
        <f>"860754      "</f>
        <v xml:space="preserve">860754      </v>
      </c>
      <c r="O3287">
        <v>230110</v>
      </c>
    </row>
    <row r="3288" spans="1:15" x14ac:dyDescent="0.25">
      <c r="A3288" t="s">
        <v>16</v>
      </c>
      <c r="B3288" t="s">
        <v>3221</v>
      </c>
      <c r="C3288">
        <v>2223</v>
      </c>
      <c r="D3288" t="s">
        <v>103</v>
      </c>
      <c r="E3288" t="s">
        <v>104</v>
      </c>
      <c r="F3288">
        <v>93</v>
      </c>
      <c r="G3288">
        <v>230221</v>
      </c>
      <c r="H3288">
        <v>4600</v>
      </c>
      <c r="I3288" t="s">
        <v>105</v>
      </c>
      <c r="J3288">
        <v>115.32</v>
      </c>
      <c r="K3288">
        <v>22.32</v>
      </c>
      <c r="L3288">
        <v>11605</v>
      </c>
      <c r="M3288" t="s">
        <v>106</v>
      </c>
      <c r="N3288" t="str">
        <f>"871204      "</f>
        <v xml:space="preserve">871204      </v>
      </c>
      <c r="O3288">
        <v>230222</v>
      </c>
    </row>
    <row r="3289" spans="1:15" x14ac:dyDescent="0.25">
      <c r="A3289" t="s">
        <v>16</v>
      </c>
      <c r="B3289" t="s">
        <v>3221</v>
      </c>
      <c r="C3289">
        <v>2223</v>
      </c>
      <c r="D3289" t="s">
        <v>103</v>
      </c>
      <c r="E3289" t="s">
        <v>104</v>
      </c>
      <c r="F3289">
        <v>9380.48</v>
      </c>
      <c r="G3289">
        <v>230221</v>
      </c>
      <c r="H3289">
        <v>4600</v>
      </c>
      <c r="I3289" t="s">
        <v>105</v>
      </c>
      <c r="J3289">
        <v>9380.48</v>
      </c>
      <c r="K3289">
        <v>0</v>
      </c>
      <c r="L3289">
        <v>11605</v>
      </c>
      <c r="M3289" t="s">
        <v>106</v>
      </c>
      <c r="N3289" t="str">
        <f>"871204      "</f>
        <v xml:space="preserve">871204      </v>
      </c>
      <c r="O3289">
        <v>230222</v>
      </c>
    </row>
    <row r="3290" spans="1:15" x14ac:dyDescent="0.25">
      <c r="A3290" t="s">
        <v>16</v>
      </c>
      <c r="B3290" t="s">
        <v>3221</v>
      </c>
      <c r="C3290">
        <v>4478</v>
      </c>
      <c r="D3290" t="s">
        <v>103</v>
      </c>
      <c r="E3290" t="s">
        <v>104</v>
      </c>
      <c r="F3290">
        <v>46.8</v>
      </c>
      <c r="G3290">
        <v>230401</v>
      </c>
      <c r="H3290">
        <v>4600</v>
      </c>
      <c r="I3290" t="s">
        <v>105</v>
      </c>
      <c r="J3290">
        <v>58.03</v>
      </c>
      <c r="K3290">
        <v>11.23</v>
      </c>
      <c r="L3290">
        <v>11605</v>
      </c>
      <c r="M3290" t="s">
        <v>106</v>
      </c>
      <c r="N3290" t="str">
        <f>"885762      "</f>
        <v xml:space="preserve">885762      </v>
      </c>
      <c r="O3290">
        <v>230406</v>
      </c>
    </row>
    <row r="3291" spans="1:15" x14ac:dyDescent="0.25">
      <c r="A3291" t="s">
        <v>16</v>
      </c>
      <c r="B3291" t="s">
        <v>3221</v>
      </c>
      <c r="C3291">
        <v>4478</v>
      </c>
      <c r="D3291" t="s">
        <v>103</v>
      </c>
      <c r="E3291" t="s">
        <v>104</v>
      </c>
      <c r="F3291">
        <v>5107.0200000000004</v>
      </c>
      <c r="G3291">
        <v>230401</v>
      </c>
      <c r="H3291">
        <v>4600</v>
      </c>
      <c r="I3291" t="s">
        <v>105</v>
      </c>
      <c r="J3291">
        <v>5107.0200000000004</v>
      </c>
      <c r="K3291">
        <v>0</v>
      </c>
      <c r="L3291">
        <v>11605</v>
      </c>
      <c r="M3291" t="s">
        <v>106</v>
      </c>
      <c r="N3291" t="str">
        <f>"885762      "</f>
        <v xml:space="preserve">885762      </v>
      </c>
      <c r="O3291">
        <v>230406</v>
      </c>
    </row>
    <row r="3292" spans="1:15" x14ac:dyDescent="0.25">
      <c r="A3292" t="s">
        <v>16</v>
      </c>
      <c r="B3292" t="s">
        <v>3221</v>
      </c>
      <c r="C3292">
        <v>9321</v>
      </c>
      <c r="D3292" t="s">
        <v>103</v>
      </c>
      <c r="E3292" t="s">
        <v>104</v>
      </c>
      <c r="F3292">
        <v>41.6</v>
      </c>
      <c r="G3292">
        <v>230701</v>
      </c>
      <c r="H3292">
        <v>4600</v>
      </c>
      <c r="I3292" t="s">
        <v>105</v>
      </c>
      <c r="J3292">
        <v>51.58</v>
      </c>
      <c r="K3292">
        <v>9.98</v>
      </c>
      <c r="L3292">
        <v>11605</v>
      </c>
      <c r="M3292" t="s">
        <v>106</v>
      </c>
      <c r="N3292" t="str">
        <f>"904059      "</f>
        <v xml:space="preserve">904059      </v>
      </c>
      <c r="O3292">
        <v>230706</v>
      </c>
    </row>
    <row r="3293" spans="1:15" x14ac:dyDescent="0.25">
      <c r="A3293" t="s">
        <v>16</v>
      </c>
      <c r="B3293" t="s">
        <v>3221</v>
      </c>
      <c r="C3293">
        <v>9321</v>
      </c>
      <c r="D3293" t="s">
        <v>103</v>
      </c>
      <c r="E3293" t="s">
        <v>104</v>
      </c>
      <c r="F3293">
        <v>8109.03</v>
      </c>
      <c r="G3293">
        <v>230701</v>
      </c>
      <c r="H3293">
        <v>4600</v>
      </c>
      <c r="I3293" t="s">
        <v>105</v>
      </c>
      <c r="J3293">
        <v>8109.03</v>
      </c>
      <c r="K3293">
        <v>0</v>
      </c>
      <c r="L3293">
        <v>11605</v>
      </c>
      <c r="M3293" t="s">
        <v>106</v>
      </c>
      <c r="N3293" t="str">
        <f>"904059      "</f>
        <v xml:space="preserve">904059      </v>
      </c>
      <c r="O3293">
        <v>230706</v>
      </c>
    </row>
    <row r="3294" spans="1:15" x14ac:dyDescent="0.25">
      <c r="A3294" t="s">
        <v>16</v>
      </c>
      <c r="B3294" t="s">
        <v>3221</v>
      </c>
      <c r="C3294">
        <v>9322</v>
      </c>
      <c r="D3294" t="s">
        <v>103</v>
      </c>
      <c r="E3294" t="s">
        <v>104</v>
      </c>
      <c r="F3294">
        <v>121.4</v>
      </c>
      <c r="G3294">
        <v>230701</v>
      </c>
      <c r="H3294">
        <v>4600</v>
      </c>
      <c r="I3294" t="s">
        <v>105</v>
      </c>
      <c r="J3294">
        <v>150.54</v>
      </c>
      <c r="K3294">
        <v>29.14</v>
      </c>
      <c r="L3294">
        <v>11605</v>
      </c>
      <c r="M3294" t="s">
        <v>106</v>
      </c>
      <c r="N3294" t="str">
        <f>"904058      "</f>
        <v xml:space="preserve">904058      </v>
      </c>
      <c r="O3294">
        <v>230706</v>
      </c>
    </row>
    <row r="3295" spans="1:15" x14ac:dyDescent="0.25">
      <c r="A3295" t="s">
        <v>16</v>
      </c>
      <c r="B3295" t="s">
        <v>3221</v>
      </c>
      <c r="C3295">
        <v>13612</v>
      </c>
      <c r="D3295" t="s">
        <v>103</v>
      </c>
      <c r="E3295" t="s">
        <v>104</v>
      </c>
      <c r="F3295">
        <v>124.8</v>
      </c>
      <c r="G3295">
        <v>231001</v>
      </c>
      <c r="H3295">
        <v>4600</v>
      </c>
      <c r="I3295" t="s">
        <v>105</v>
      </c>
      <c r="J3295">
        <v>154.75</v>
      </c>
      <c r="K3295">
        <v>29.95</v>
      </c>
      <c r="L3295">
        <v>11605</v>
      </c>
      <c r="M3295" t="s">
        <v>106</v>
      </c>
      <c r="N3295" t="str">
        <f>"923457      "</f>
        <v xml:space="preserve">923457      </v>
      </c>
      <c r="O3295">
        <v>231011</v>
      </c>
    </row>
    <row r="3296" spans="1:15" x14ac:dyDescent="0.25">
      <c r="A3296" t="s">
        <v>16</v>
      </c>
      <c r="B3296" t="s">
        <v>3221</v>
      </c>
      <c r="C3296">
        <v>13612</v>
      </c>
      <c r="D3296" t="s">
        <v>103</v>
      </c>
      <c r="E3296" t="s">
        <v>104</v>
      </c>
      <c r="F3296">
        <v>7443.57</v>
      </c>
      <c r="G3296">
        <v>231001</v>
      </c>
      <c r="H3296">
        <v>4600</v>
      </c>
      <c r="I3296" t="s">
        <v>105</v>
      </c>
      <c r="J3296">
        <v>7443.57</v>
      </c>
      <c r="K3296">
        <v>0</v>
      </c>
      <c r="L3296">
        <v>11605</v>
      </c>
      <c r="M3296" t="s">
        <v>106</v>
      </c>
      <c r="N3296" t="str">
        <f>"923457      "</f>
        <v xml:space="preserve">923457      </v>
      </c>
      <c r="O3296">
        <v>231011</v>
      </c>
    </row>
    <row r="3297" spans="1:15" x14ac:dyDescent="0.25">
      <c r="A3297" t="s">
        <v>16</v>
      </c>
      <c r="B3297" t="s">
        <v>3221</v>
      </c>
      <c r="C3297">
        <v>16936</v>
      </c>
      <c r="D3297" t="s">
        <v>103</v>
      </c>
      <c r="E3297" t="s">
        <v>104</v>
      </c>
      <c r="F3297">
        <v>67.599999999999994</v>
      </c>
      <c r="G3297">
        <v>231201</v>
      </c>
      <c r="H3297">
        <v>4600</v>
      </c>
      <c r="I3297" t="s">
        <v>105</v>
      </c>
      <c r="J3297">
        <v>83.82</v>
      </c>
      <c r="K3297">
        <v>16.22</v>
      </c>
      <c r="L3297">
        <v>11605</v>
      </c>
      <c r="M3297" t="s">
        <v>106</v>
      </c>
      <c r="N3297" t="str">
        <f>"940137      "</f>
        <v xml:space="preserve">940137      </v>
      </c>
      <c r="O3297">
        <v>231211</v>
      </c>
    </row>
    <row r="3298" spans="1:15" x14ac:dyDescent="0.25">
      <c r="A3298" t="s">
        <v>16</v>
      </c>
      <c r="B3298" t="s">
        <v>3221</v>
      </c>
      <c r="C3298">
        <v>16936</v>
      </c>
      <c r="D3298" t="s">
        <v>103</v>
      </c>
      <c r="E3298" t="s">
        <v>104</v>
      </c>
      <c r="F3298">
        <v>5120.4399999999996</v>
      </c>
      <c r="G3298">
        <v>231201</v>
      </c>
      <c r="H3298">
        <v>4600</v>
      </c>
      <c r="I3298" t="s">
        <v>105</v>
      </c>
      <c r="J3298">
        <v>5120.4399999999996</v>
      </c>
      <c r="K3298">
        <v>0</v>
      </c>
      <c r="L3298">
        <v>11605</v>
      </c>
      <c r="M3298" t="s">
        <v>106</v>
      </c>
      <c r="N3298" t="str">
        <f>"940137      "</f>
        <v xml:space="preserve">940137      </v>
      </c>
      <c r="O3298">
        <v>231211</v>
      </c>
    </row>
    <row r="3299" spans="1:15" x14ac:dyDescent="0.25">
      <c r="A3299" t="s">
        <v>16</v>
      </c>
      <c r="B3299" t="s">
        <v>3221</v>
      </c>
      <c r="C3299">
        <v>18705</v>
      </c>
      <c r="D3299" t="s">
        <v>103</v>
      </c>
      <c r="E3299" t="s">
        <v>104</v>
      </c>
      <c r="F3299">
        <v>147.56</v>
      </c>
      <c r="G3299">
        <v>231231</v>
      </c>
      <c r="H3299">
        <v>4470</v>
      </c>
      <c r="I3299" t="s">
        <v>83</v>
      </c>
      <c r="J3299">
        <v>147.56</v>
      </c>
      <c r="K3299">
        <v>0</v>
      </c>
      <c r="L3299">
        <v>11605</v>
      </c>
      <c r="M3299" t="s">
        <v>106</v>
      </c>
      <c r="N3299" t="str">
        <f>"948748      "</f>
        <v xml:space="preserve">948748      </v>
      </c>
      <c r="O3299">
        <v>240105</v>
      </c>
    </row>
    <row r="3300" spans="1:15" x14ac:dyDescent="0.25">
      <c r="A3300" t="s">
        <v>16</v>
      </c>
      <c r="B3300" t="s">
        <v>3221</v>
      </c>
      <c r="C3300">
        <v>14975</v>
      </c>
      <c r="D3300" t="s">
        <v>2830</v>
      </c>
      <c r="E3300" t="s">
        <v>2831</v>
      </c>
      <c r="F3300">
        <v>341.94</v>
      </c>
      <c r="G3300">
        <v>231101</v>
      </c>
      <c r="H3300">
        <v>4580</v>
      </c>
      <c r="I3300" t="s">
        <v>35</v>
      </c>
      <c r="J3300">
        <v>424</v>
      </c>
      <c r="K3300">
        <v>82.06</v>
      </c>
      <c r="L3300">
        <v>17711</v>
      </c>
      <c r="M3300" t="s">
        <v>65</v>
      </c>
      <c r="N3300" t="str">
        <f>"1097        "</f>
        <v xml:space="preserve">1097        </v>
      </c>
      <c r="O3300">
        <v>231107</v>
      </c>
    </row>
    <row r="3301" spans="1:15" x14ac:dyDescent="0.25">
      <c r="A3301" t="s">
        <v>16</v>
      </c>
      <c r="B3301" t="s">
        <v>3221</v>
      </c>
      <c r="C3301">
        <v>8808</v>
      </c>
      <c r="D3301" t="s">
        <v>2209</v>
      </c>
      <c r="E3301" t="s">
        <v>940</v>
      </c>
      <c r="F3301">
        <v>136</v>
      </c>
      <c r="G3301">
        <v>230529</v>
      </c>
      <c r="H3301">
        <v>4600</v>
      </c>
      <c r="I3301" t="s">
        <v>105</v>
      </c>
      <c r="J3301">
        <v>168.64</v>
      </c>
      <c r="K3301">
        <v>32.64</v>
      </c>
      <c r="L3301">
        <v>41126</v>
      </c>
      <c r="M3301" t="s">
        <v>761</v>
      </c>
      <c r="N3301" t="str">
        <f t="shared" ref="N3301:N3306" si="71">"3012593     "</f>
        <v xml:space="preserve">3012593     </v>
      </c>
      <c r="O3301">
        <v>230615</v>
      </c>
    </row>
    <row r="3302" spans="1:15" x14ac:dyDescent="0.25">
      <c r="A3302" t="s">
        <v>16</v>
      </c>
      <c r="B3302" t="s">
        <v>3221</v>
      </c>
      <c r="C3302">
        <v>8808</v>
      </c>
      <c r="D3302" t="s">
        <v>2209</v>
      </c>
      <c r="E3302" t="s">
        <v>940</v>
      </c>
      <c r="F3302">
        <v>136</v>
      </c>
      <c r="G3302">
        <v>230529</v>
      </c>
      <c r="H3302">
        <v>4600</v>
      </c>
      <c r="I3302" t="s">
        <v>105</v>
      </c>
      <c r="J3302">
        <v>168.64</v>
      </c>
      <c r="K3302">
        <v>32.64</v>
      </c>
      <c r="L3302">
        <v>43222</v>
      </c>
      <c r="M3302" t="s">
        <v>507</v>
      </c>
      <c r="N3302" t="str">
        <f t="shared" si="71"/>
        <v xml:space="preserve">3012593     </v>
      </c>
      <c r="O3302">
        <v>230615</v>
      </c>
    </row>
    <row r="3303" spans="1:15" x14ac:dyDescent="0.25">
      <c r="A3303" t="s">
        <v>16</v>
      </c>
      <c r="B3303" t="s">
        <v>3221</v>
      </c>
      <c r="C3303">
        <v>8808</v>
      </c>
      <c r="D3303" t="s">
        <v>2209</v>
      </c>
      <c r="E3303" t="s">
        <v>940</v>
      </c>
      <c r="F3303">
        <v>136</v>
      </c>
      <c r="G3303">
        <v>230529</v>
      </c>
      <c r="H3303">
        <v>4600</v>
      </c>
      <c r="I3303" t="s">
        <v>105</v>
      </c>
      <c r="J3303">
        <v>168.64</v>
      </c>
      <c r="K3303">
        <v>32.64</v>
      </c>
      <c r="L3303">
        <v>44222</v>
      </c>
      <c r="M3303" t="s">
        <v>232</v>
      </c>
      <c r="N3303" t="str">
        <f t="shared" si="71"/>
        <v xml:space="preserve">3012593     </v>
      </c>
      <c r="O3303">
        <v>230615</v>
      </c>
    </row>
    <row r="3304" spans="1:15" x14ac:dyDescent="0.25">
      <c r="A3304" t="s">
        <v>16</v>
      </c>
      <c r="B3304" t="s">
        <v>3221</v>
      </c>
      <c r="C3304">
        <v>8808</v>
      </c>
      <c r="D3304" t="s">
        <v>2209</v>
      </c>
      <c r="E3304" t="s">
        <v>940</v>
      </c>
      <c r="F3304">
        <v>136</v>
      </c>
      <c r="G3304">
        <v>230529</v>
      </c>
      <c r="H3304">
        <v>4600</v>
      </c>
      <c r="I3304" t="s">
        <v>105</v>
      </c>
      <c r="J3304">
        <v>168.64</v>
      </c>
      <c r="K3304">
        <v>32.64</v>
      </c>
      <c r="L3304">
        <v>44422</v>
      </c>
      <c r="M3304" t="s">
        <v>482</v>
      </c>
      <c r="N3304" t="str">
        <f t="shared" si="71"/>
        <v xml:space="preserve">3012593     </v>
      </c>
      <c r="O3304">
        <v>230615</v>
      </c>
    </row>
    <row r="3305" spans="1:15" x14ac:dyDescent="0.25">
      <c r="A3305" t="s">
        <v>16</v>
      </c>
      <c r="B3305" t="s">
        <v>3221</v>
      </c>
      <c r="C3305">
        <v>8808</v>
      </c>
      <c r="D3305" t="s">
        <v>2209</v>
      </c>
      <c r="E3305" t="s">
        <v>940</v>
      </c>
      <c r="F3305">
        <v>136</v>
      </c>
      <c r="G3305">
        <v>230529</v>
      </c>
      <c r="H3305">
        <v>4600</v>
      </c>
      <c r="I3305" t="s">
        <v>105</v>
      </c>
      <c r="J3305">
        <v>168.64</v>
      </c>
      <c r="K3305">
        <v>32.64</v>
      </c>
      <c r="L3305">
        <v>44423</v>
      </c>
      <c r="M3305" t="s">
        <v>502</v>
      </c>
      <c r="N3305" t="str">
        <f t="shared" si="71"/>
        <v xml:space="preserve">3012593     </v>
      </c>
      <c r="O3305">
        <v>230615</v>
      </c>
    </row>
    <row r="3306" spans="1:15" x14ac:dyDescent="0.25">
      <c r="A3306" t="s">
        <v>16</v>
      </c>
      <c r="B3306" t="s">
        <v>3221</v>
      </c>
      <c r="C3306">
        <v>8808</v>
      </c>
      <c r="D3306" t="s">
        <v>2209</v>
      </c>
      <c r="E3306" t="s">
        <v>940</v>
      </c>
      <c r="F3306">
        <v>136</v>
      </c>
      <c r="G3306">
        <v>230529</v>
      </c>
      <c r="H3306">
        <v>4600</v>
      </c>
      <c r="I3306" t="s">
        <v>105</v>
      </c>
      <c r="J3306">
        <v>168.64</v>
      </c>
      <c r="K3306">
        <v>32.64</v>
      </c>
      <c r="L3306">
        <v>48601</v>
      </c>
      <c r="M3306" t="s">
        <v>1047</v>
      </c>
      <c r="N3306" t="str">
        <f t="shared" si="71"/>
        <v xml:space="preserve">3012593     </v>
      </c>
      <c r="O3306">
        <v>230615</v>
      </c>
    </row>
    <row r="3307" spans="1:15" x14ac:dyDescent="0.25">
      <c r="A3307" t="s">
        <v>16</v>
      </c>
      <c r="B3307" t="s">
        <v>3221</v>
      </c>
      <c r="C3307">
        <v>2138</v>
      </c>
      <c r="D3307" t="s">
        <v>1302</v>
      </c>
      <c r="E3307" t="s">
        <v>1303</v>
      </c>
      <c r="F3307">
        <v>17.27</v>
      </c>
      <c r="G3307">
        <v>230216</v>
      </c>
      <c r="H3307">
        <v>4510</v>
      </c>
      <c r="I3307" t="s">
        <v>42</v>
      </c>
      <c r="J3307">
        <v>19</v>
      </c>
      <c r="K3307">
        <v>1.73</v>
      </c>
      <c r="L3307">
        <v>17805</v>
      </c>
      <c r="M3307" t="s">
        <v>102</v>
      </c>
      <c r="N3307" t="str">
        <f>"22085       "</f>
        <v xml:space="preserve">22085       </v>
      </c>
      <c r="O3307">
        <v>230221</v>
      </c>
    </row>
    <row r="3308" spans="1:15" x14ac:dyDescent="0.25">
      <c r="A3308" t="s">
        <v>16</v>
      </c>
      <c r="B3308" t="s">
        <v>3221</v>
      </c>
      <c r="C3308">
        <v>743</v>
      </c>
      <c r="D3308" t="s">
        <v>708</v>
      </c>
      <c r="E3308" t="s">
        <v>709</v>
      </c>
      <c r="F3308">
        <v>160</v>
      </c>
      <c r="G3308">
        <v>230126</v>
      </c>
      <c r="H3308">
        <v>4600</v>
      </c>
      <c r="I3308" t="s">
        <v>105</v>
      </c>
      <c r="J3308">
        <v>160</v>
      </c>
      <c r="K3308">
        <v>0</v>
      </c>
      <c r="L3308">
        <v>56568</v>
      </c>
      <c r="M3308" t="s">
        <v>268</v>
      </c>
      <c r="N3308" t="str">
        <f>"38793       "</f>
        <v xml:space="preserve">38793       </v>
      </c>
      <c r="O3308">
        <v>230130</v>
      </c>
    </row>
    <row r="3309" spans="1:15" x14ac:dyDescent="0.25">
      <c r="A3309" t="s">
        <v>16</v>
      </c>
      <c r="B3309" t="s">
        <v>3221</v>
      </c>
      <c r="C3309">
        <v>743</v>
      </c>
      <c r="D3309" t="s">
        <v>708</v>
      </c>
      <c r="E3309" t="s">
        <v>709</v>
      </c>
      <c r="F3309">
        <v>28.23</v>
      </c>
      <c r="G3309">
        <v>230126</v>
      </c>
      <c r="H3309">
        <v>4470</v>
      </c>
      <c r="I3309" t="s">
        <v>83</v>
      </c>
      <c r="J3309">
        <v>35</v>
      </c>
      <c r="K3309">
        <v>6.77</v>
      </c>
      <c r="L3309">
        <v>56568</v>
      </c>
      <c r="M3309" t="s">
        <v>268</v>
      </c>
      <c r="N3309" t="str">
        <f>"38793       "</f>
        <v xml:space="preserve">38793       </v>
      </c>
      <c r="O3309">
        <v>230130</v>
      </c>
    </row>
    <row r="3310" spans="1:15" x14ac:dyDescent="0.25">
      <c r="A3310" t="s">
        <v>16</v>
      </c>
      <c r="B3310" t="s">
        <v>3221</v>
      </c>
      <c r="C3310">
        <v>4996</v>
      </c>
      <c r="D3310" t="s">
        <v>1778</v>
      </c>
      <c r="E3310" t="s">
        <v>1779</v>
      </c>
      <c r="F3310">
        <v>129.22</v>
      </c>
      <c r="G3310">
        <v>230331</v>
      </c>
      <c r="H3310">
        <v>4380</v>
      </c>
      <c r="I3310" t="s">
        <v>113</v>
      </c>
      <c r="J3310">
        <v>160.22999999999999</v>
      </c>
      <c r="K3310">
        <v>31.01</v>
      </c>
      <c r="L3310">
        <v>49501</v>
      </c>
      <c r="M3310" t="s">
        <v>177</v>
      </c>
      <c r="N3310" t="str">
        <f>"539518      "</f>
        <v xml:space="preserve">539518      </v>
      </c>
      <c r="O3310">
        <v>230417</v>
      </c>
    </row>
    <row r="3311" spans="1:15" x14ac:dyDescent="0.25">
      <c r="A3311" t="s">
        <v>16</v>
      </c>
      <c r="B3311" t="s">
        <v>3221</v>
      </c>
      <c r="C3311">
        <v>9532</v>
      </c>
      <c r="D3311" t="s">
        <v>1778</v>
      </c>
      <c r="E3311" t="s">
        <v>1779</v>
      </c>
      <c r="F3311">
        <v>101.66</v>
      </c>
      <c r="G3311">
        <v>230630</v>
      </c>
      <c r="H3311">
        <v>4380</v>
      </c>
      <c r="I3311" t="s">
        <v>113</v>
      </c>
      <c r="J3311">
        <v>126.06</v>
      </c>
      <c r="K3311">
        <v>24.4</v>
      </c>
      <c r="L3311">
        <v>49501</v>
      </c>
      <c r="M3311" t="s">
        <v>177</v>
      </c>
      <c r="N3311" t="str">
        <f>"546290      "</f>
        <v xml:space="preserve">546290      </v>
      </c>
      <c r="O3311">
        <v>230717</v>
      </c>
    </row>
    <row r="3312" spans="1:15" x14ac:dyDescent="0.25">
      <c r="A3312" t="s">
        <v>16</v>
      </c>
      <c r="B3312" t="s">
        <v>3221</v>
      </c>
      <c r="C3312">
        <v>13292</v>
      </c>
      <c r="D3312" t="s">
        <v>1778</v>
      </c>
      <c r="E3312" t="s">
        <v>1779</v>
      </c>
      <c r="F3312">
        <v>115.44</v>
      </c>
      <c r="G3312">
        <v>230930</v>
      </c>
      <c r="H3312">
        <v>4380</v>
      </c>
      <c r="I3312" t="s">
        <v>113</v>
      </c>
      <c r="J3312">
        <v>143.15</v>
      </c>
      <c r="K3312">
        <v>27.71</v>
      </c>
      <c r="L3312">
        <v>49501</v>
      </c>
      <c r="M3312" t="s">
        <v>177</v>
      </c>
      <c r="N3312" t="str">
        <f>"552739      "</f>
        <v xml:space="preserve">552739      </v>
      </c>
      <c r="O3312">
        <v>231009</v>
      </c>
    </row>
    <row r="3313" spans="1:15" x14ac:dyDescent="0.25">
      <c r="A3313" t="s">
        <v>16</v>
      </c>
      <c r="B3313" t="s">
        <v>3221</v>
      </c>
      <c r="C3313">
        <v>19048</v>
      </c>
      <c r="D3313" t="s">
        <v>1778</v>
      </c>
      <c r="E3313" t="s">
        <v>1779</v>
      </c>
      <c r="F3313">
        <v>144.56</v>
      </c>
      <c r="G3313">
        <v>231231</v>
      </c>
      <c r="H3313">
        <v>4380</v>
      </c>
      <c r="I3313" t="s">
        <v>113</v>
      </c>
      <c r="J3313">
        <v>179.25</v>
      </c>
      <c r="K3313">
        <v>34.69</v>
      </c>
      <c r="L3313">
        <v>49501</v>
      </c>
      <c r="M3313" t="s">
        <v>177</v>
      </c>
      <c r="N3313" t="str">
        <f>"559790      "</f>
        <v xml:space="preserve">559790      </v>
      </c>
      <c r="O3313">
        <v>240110</v>
      </c>
    </row>
    <row r="3314" spans="1:15" x14ac:dyDescent="0.25">
      <c r="A3314" t="s">
        <v>16</v>
      </c>
      <c r="B3314" t="s">
        <v>3221</v>
      </c>
      <c r="C3314">
        <v>12348</v>
      </c>
      <c r="D3314" t="s">
        <v>2567</v>
      </c>
      <c r="E3314" t="s">
        <v>2568</v>
      </c>
      <c r="F3314">
        <v>252.42</v>
      </c>
      <c r="G3314">
        <v>230915</v>
      </c>
      <c r="H3314">
        <v>4600</v>
      </c>
      <c r="I3314" t="s">
        <v>105</v>
      </c>
      <c r="J3314">
        <v>313</v>
      </c>
      <c r="K3314">
        <v>60.58</v>
      </c>
      <c r="L3314">
        <v>54451</v>
      </c>
      <c r="M3314" t="s">
        <v>158</v>
      </c>
      <c r="N3314" t="str">
        <f>"6023090083  "</f>
        <v xml:space="preserve">6023090083  </v>
      </c>
      <c r="O3314">
        <v>230918</v>
      </c>
    </row>
    <row r="3315" spans="1:15" x14ac:dyDescent="0.25">
      <c r="A3315" t="s">
        <v>16</v>
      </c>
      <c r="B3315" t="s">
        <v>3221</v>
      </c>
      <c r="C3315">
        <v>12348</v>
      </c>
      <c r="D3315" t="s">
        <v>2567</v>
      </c>
      <c r="E3315" t="s">
        <v>2568</v>
      </c>
      <c r="F3315">
        <v>323.02</v>
      </c>
      <c r="G3315">
        <v>230915</v>
      </c>
      <c r="H3315">
        <v>4600</v>
      </c>
      <c r="I3315" t="s">
        <v>105</v>
      </c>
      <c r="J3315">
        <v>400.54</v>
      </c>
      <c r="K3315">
        <v>77.52</v>
      </c>
      <c r="L3315">
        <v>56563</v>
      </c>
      <c r="M3315" t="s">
        <v>953</v>
      </c>
      <c r="N3315" t="str">
        <f>"6023090083  "</f>
        <v xml:space="preserve">6023090083  </v>
      </c>
      <c r="O3315">
        <v>230918</v>
      </c>
    </row>
    <row r="3316" spans="1:15" x14ac:dyDescent="0.25">
      <c r="A3316" t="s">
        <v>16</v>
      </c>
      <c r="B3316" t="s">
        <v>3221</v>
      </c>
      <c r="C3316">
        <v>11081</v>
      </c>
      <c r="D3316" t="s">
        <v>1821</v>
      </c>
      <c r="E3316" t="s">
        <v>1822</v>
      </c>
      <c r="F3316">
        <v>235.34</v>
      </c>
      <c r="G3316">
        <v>230825</v>
      </c>
      <c r="H3316">
        <v>4510</v>
      </c>
      <c r="I3316" t="s">
        <v>42</v>
      </c>
      <c r="J3316">
        <v>258.87</v>
      </c>
      <c r="K3316">
        <v>23.53</v>
      </c>
      <c r="L3316">
        <v>43222</v>
      </c>
      <c r="M3316" t="s">
        <v>507</v>
      </c>
      <c r="N3316" t="str">
        <f>"2332        "</f>
        <v xml:space="preserve">2332        </v>
      </c>
      <c r="O3316">
        <v>230830</v>
      </c>
    </row>
    <row r="3317" spans="1:15" x14ac:dyDescent="0.25">
      <c r="A3317" t="s">
        <v>16</v>
      </c>
      <c r="B3317" t="s">
        <v>3221</v>
      </c>
      <c r="C3317">
        <v>14153</v>
      </c>
      <c r="D3317" t="s">
        <v>1821</v>
      </c>
      <c r="E3317" t="s">
        <v>1822</v>
      </c>
      <c r="F3317">
        <v>39.24</v>
      </c>
      <c r="G3317">
        <v>231005</v>
      </c>
      <c r="H3317">
        <v>4420</v>
      </c>
      <c r="I3317" t="s">
        <v>132</v>
      </c>
      <c r="J3317">
        <v>48.66</v>
      </c>
      <c r="K3317">
        <v>9.42</v>
      </c>
      <c r="L3317">
        <v>13601</v>
      </c>
      <c r="M3317" t="s">
        <v>147</v>
      </c>
      <c r="N3317" t="str">
        <f>"2497        "</f>
        <v xml:space="preserve">2497        </v>
      </c>
      <c r="O3317">
        <v>231019</v>
      </c>
    </row>
    <row r="3318" spans="1:15" x14ac:dyDescent="0.25">
      <c r="A3318" t="s">
        <v>16</v>
      </c>
      <c r="B3318" t="s">
        <v>3221</v>
      </c>
      <c r="C3318">
        <v>5254</v>
      </c>
      <c r="D3318" t="s">
        <v>1821</v>
      </c>
      <c r="E3318" t="s">
        <v>1822</v>
      </c>
      <c r="F3318">
        <v>282.93</v>
      </c>
      <c r="G3318">
        <v>230417</v>
      </c>
      <c r="H3318">
        <v>4600</v>
      </c>
      <c r="I3318" t="s">
        <v>105</v>
      </c>
      <c r="J3318">
        <v>350.83</v>
      </c>
      <c r="K3318">
        <v>67.900000000000006</v>
      </c>
      <c r="L3318">
        <v>17951</v>
      </c>
      <c r="M3318" t="s">
        <v>87</v>
      </c>
      <c r="N3318" t="str">
        <f>"1651        "</f>
        <v xml:space="preserve">1651        </v>
      </c>
      <c r="O3318">
        <v>230419</v>
      </c>
    </row>
    <row r="3319" spans="1:15" x14ac:dyDescent="0.25">
      <c r="A3319" t="s">
        <v>16</v>
      </c>
      <c r="B3319" t="s">
        <v>3221</v>
      </c>
      <c r="C3319">
        <v>6222</v>
      </c>
      <c r="D3319" t="s">
        <v>1821</v>
      </c>
      <c r="E3319" t="s">
        <v>1822</v>
      </c>
      <c r="F3319">
        <v>38.6</v>
      </c>
      <c r="G3319">
        <v>230428</v>
      </c>
      <c r="H3319">
        <v>4350</v>
      </c>
      <c r="I3319" t="s">
        <v>546</v>
      </c>
      <c r="J3319">
        <v>47.86</v>
      </c>
      <c r="K3319">
        <v>9.26</v>
      </c>
      <c r="L3319">
        <v>14432</v>
      </c>
      <c r="M3319" t="s">
        <v>862</v>
      </c>
      <c r="N3319" t="str">
        <f>"1715        "</f>
        <v xml:space="preserve">1715        </v>
      </c>
      <c r="O3319">
        <v>230509</v>
      </c>
    </row>
    <row r="3320" spans="1:15" x14ac:dyDescent="0.25">
      <c r="A3320" t="s">
        <v>16</v>
      </c>
      <c r="B3320" t="s">
        <v>3221</v>
      </c>
      <c r="C3320">
        <v>10438</v>
      </c>
      <c r="D3320" t="s">
        <v>1821</v>
      </c>
      <c r="E3320" t="s">
        <v>1822</v>
      </c>
      <c r="F3320">
        <v>3547</v>
      </c>
      <c r="G3320">
        <v>230807</v>
      </c>
      <c r="H3320">
        <v>4350</v>
      </c>
      <c r="I3320" t="s">
        <v>546</v>
      </c>
      <c r="J3320">
        <v>4398.28</v>
      </c>
      <c r="K3320">
        <v>851.28</v>
      </c>
      <c r="L3320">
        <v>11301</v>
      </c>
      <c r="M3320" t="s">
        <v>29</v>
      </c>
      <c r="N3320" t="str">
        <f>"2188        "</f>
        <v xml:space="preserve">2188        </v>
      </c>
      <c r="O3320">
        <v>230816</v>
      </c>
    </row>
    <row r="3321" spans="1:15" x14ac:dyDescent="0.25">
      <c r="A3321" t="s">
        <v>16</v>
      </c>
      <c r="B3321" t="s">
        <v>3221</v>
      </c>
      <c r="C3321">
        <v>12035</v>
      </c>
      <c r="D3321" t="s">
        <v>1821</v>
      </c>
      <c r="E3321" t="s">
        <v>1822</v>
      </c>
      <c r="F3321">
        <v>37.35</v>
      </c>
      <c r="G3321">
        <v>230904</v>
      </c>
      <c r="H3321">
        <v>4350</v>
      </c>
      <c r="I3321" t="s">
        <v>546</v>
      </c>
      <c r="J3321">
        <v>46.32</v>
      </c>
      <c r="K3321">
        <v>8.9700000000000006</v>
      </c>
      <c r="L3321">
        <v>14422</v>
      </c>
      <c r="M3321" t="s">
        <v>228</v>
      </c>
      <c r="N3321" t="str">
        <f>"2362        "</f>
        <v xml:space="preserve">2362        </v>
      </c>
      <c r="O3321">
        <v>230913</v>
      </c>
    </row>
    <row r="3322" spans="1:15" x14ac:dyDescent="0.25">
      <c r="A3322" t="s">
        <v>16</v>
      </c>
      <c r="B3322" t="s">
        <v>3221</v>
      </c>
      <c r="C3322">
        <v>12035</v>
      </c>
      <c r="D3322" t="s">
        <v>1821</v>
      </c>
      <c r="E3322" t="s">
        <v>1822</v>
      </c>
      <c r="F3322">
        <v>37.35</v>
      </c>
      <c r="G3322">
        <v>230904</v>
      </c>
      <c r="H3322">
        <v>4350</v>
      </c>
      <c r="I3322" t="s">
        <v>546</v>
      </c>
      <c r="J3322">
        <v>46.32</v>
      </c>
      <c r="K3322">
        <v>8.9700000000000006</v>
      </c>
      <c r="L3322">
        <v>14432</v>
      </c>
      <c r="M3322" t="s">
        <v>862</v>
      </c>
      <c r="N3322" t="str">
        <f>"2362        "</f>
        <v xml:space="preserve">2362        </v>
      </c>
      <c r="O3322">
        <v>230913</v>
      </c>
    </row>
    <row r="3323" spans="1:15" x14ac:dyDescent="0.25">
      <c r="A3323" t="s">
        <v>16</v>
      </c>
      <c r="B3323" t="s">
        <v>3221</v>
      </c>
      <c r="C3323">
        <v>12035</v>
      </c>
      <c r="D3323" t="s">
        <v>1821</v>
      </c>
      <c r="E3323" t="s">
        <v>1822</v>
      </c>
      <c r="F3323">
        <v>37.369999999999997</v>
      </c>
      <c r="G3323">
        <v>230904</v>
      </c>
      <c r="H3323">
        <v>4350</v>
      </c>
      <c r="I3323" t="s">
        <v>546</v>
      </c>
      <c r="J3323">
        <v>46.34</v>
      </c>
      <c r="K3323">
        <v>8.9700000000000006</v>
      </c>
      <c r="L3323">
        <v>14640</v>
      </c>
      <c r="M3323" t="s">
        <v>229</v>
      </c>
      <c r="N3323" t="str">
        <f>"2362        "</f>
        <v xml:space="preserve">2362        </v>
      </c>
      <c r="O3323">
        <v>230913</v>
      </c>
    </row>
    <row r="3324" spans="1:15" x14ac:dyDescent="0.25">
      <c r="A3324" t="s">
        <v>16</v>
      </c>
      <c r="B3324" t="s">
        <v>3221</v>
      </c>
      <c r="C3324">
        <v>14153</v>
      </c>
      <c r="D3324" t="s">
        <v>1821</v>
      </c>
      <c r="E3324" t="s">
        <v>1822</v>
      </c>
      <c r="F3324">
        <v>2157.9</v>
      </c>
      <c r="G3324">
        <v>231005</v>
      </c>
      <c r="H3324">
        <v>4350</v>
      </c>
      <c r="I3324" t="s">
        <v>546</v>
      </c>
      <c r="J3324">
        <v>2675.8</v>
      </c>
      <c r="K3324">
        <v>517.9</v>
      </c>
      <c r="L3324">
        <v>11301</v>
      </c>
      <c r="M3324" t="s">
        <v>29</v>
      </c>
      <c r="N3324" t="str">
        <f>"2497        "</f>
        <v xml:space="preserve">2497        </v>
      </c>
      <c r="O3324">
        <v>231019</v>
      </c>
    </row>
    <row r="3325" spans="1:15" x14ac:dyDescent="0.25">
      <c r="A3325" t="s">
        <v>16</v>
      </c>
      <c r="B3325" t="s">
        <v>3221</v>
      </c>
      <c r="C3325">
        <v>14153</v>
      </c>
      <c r="D3325" t="s">
        <v>1821</v>
      </c>
      <c r="E3325" t="s">
        <v>1822</v>
      </c>
      <c r="F3325">
        <v>88</v>
      </c>
      <c r="G3325">
        <v>231005</v>
      </c>
      <c r="H3325">
        <v>4350</v>
      </c>
      <c r="I3325" t="s">
        <v>546</v>
      </c>
      <c r="J3325">
        <v>109.12</v>
      </c>
      <c r="K3325">
        <v>21.12</v>
      </c>
      <c r="L3325">
        <v>13601</v>
      </c>
      <c r="M3325" t="s">
        <v>147</v>
      </c>
      <c r="N3325" t="str">
        <f>"2497        "</f>
        <v xml:space="preserve">2497        </v>
      </c>
      <c r="O3325">
        <v>231019</v>
      </c>
    </row>
    <row r="3326" spans="1:15" x14ac:dyDescent="0.25">
      <c r="A3326" t="s">
        <v>16</v>
      </c>
      <c r="B3326" t="s">
        <v>3221</v>
      </c>
      <c r="C3326">
        <v>14713</v>
      </c>
      <c r="D3326" t="s">
        <v>1821</v>
      </c>
      <c r="E3326" t="s">
        <v>1822</v>
      </c>
      <c r="F3326">
        <v>148.91999999999999</v>
      </c>
      <c r="G3326">
        <v>231026</v>
      </c>
      <c r="H3326">
        <v>4350</v>
      </c>
      <c r="I3326" t="s">
        <v>546</v>
      </c>
      <c r="J3326">
        <v>184.66</v>
      </c>
      <c r="K3326">
        <v>35.74</v>
      </c>
      <c r="L3326">
        <v>44453</v>
      </c>
      <c r="M3326" t="s">
        <v>492</v>
      </c>
      <c r="N3326" t="str">
        <f>"2624        "</f>
        <v xml:space="preserve">2624        </v>
      </c>
      <c r="O3326">
        <v>231101</v>
      </c>
    </row>
    <row r="3327" spans="1:15" x14ac:dyDescent="0.25">
      <c r="A3327" t="s">
        <v>16</v>
      </c>
      <c r="B3327" t="s">
        <v>3221</v>
      </c>
      <c r="C3327">
        <v>15269</v>
      </c>
      <c r="D3327" t="s">
        <v>1821</v>
      </c>
      <c r="E3327" t="s">
        <v>1822</v>
      </c>
      <c r="F3327">
        <v>1905.43</v>
      </c>
      <c r="G3327">
        <v>231106</v>
      </c>
      <c r="H3327">
        <v>4350</v>
      </c>
      <c r="I3327" t="s">
        <v>546</v>
      </c>
      <c r="J3327">
        <v>2362.73</v>
      </c>
      <c r="K3327">
        <v>457.3</v>
      </c>
      <c r="L3327">
        <v>11301</v>
      </c>
      <c r="M3327" t="s">
        <v>29</v>
      </c>
      <c r="N3327" t="str">
        <f>"2667        "</f>
        <v xml:space="preserve">2667        </v>
      </c>
      <c r="O3327">
        <v>231109</v>
      </c>
    </row>
    <row r="3328" spans="1:15" x14ac:dyDescent="0.25">
      <c r="A3328" t="s">
        <v>16</v>
      </c>
      <c r="B3328" t="s">
        <v>3221</v>
      </c>
      <c r="C3328">
        <v>16361</v>
      </c>
      <c r="D3328" t="s">
        <v>1821</v>
      </c>
      <c r="E3328" t="s">
        <v>1822</v>
      </c>
      <c r="F3328">
        <v>111.91</v>
      </c>
      <c r="G3328">
        <v>231121</v>
      </c>
      <c r="H3328">
        <v>4350</v>
      </c>
      <c r="I3328" t="s">
        <v>546</v>
      </c>
      <c r="J3328">
        <v>138.77000000000001</v>
      </c>
      <c r="K3328">
        <v>26.86</v>
      </c>
      <c r="L3328">
        <v>11001</v>
      </c>
      <c r="M3328" t="s">
        <v>326</v>
      </c>
      <c r="N3328" t="str">
        <f>"2785        "</f>
        <v xml:space="preserve">2785        </v>
      </c>
      <c r="O3328">
        <v>231128</v>
      </c>
    </row>
    <row r="3329" spans="1:15" x14ac:dyDescent="0.25">
      <c r="A3329" t="s">
        <v>16</v>
      </c>
      <c r="B3329" t="s">
        <v>3221</v>
      </c>
      <c r="C3329">
        <v>16361</v>
      </c>
      <c r="D3329" t="s">
        <v>1821</v>
      </c>
      <c r="E3329" t="s">
        <v>1822</v>
      </c>
      <c r="F3329">
        <v>98.7</v>
      </c>
      <c r="G3329">
        <v>231121</v>
      </c>
      <c r="H3329">
        <v>4350</v>
      </c>
      <c r="I3329" t="s">
        <v>546</v>
      </c>
      <c r="J3329">
        <v>122.39</v>
      </c>
      <c r="K3329">
        <v>23.69</v>
      </c>
      <c r="L3329">
        <v>11301</v>
      </c>
      <c r="M3329" t="s">
        <v>29</v>
      </c>
      <c r="N3329" t="str">
        <f>"2785        "</f>
        <v xml:space="preserve">2785        </v>
      </c>
      <c r="O3329">
        <v>231128</v>
      </c>
    </row>
    <row r="3330" spans="1:15" x14ac:dyDescent="0.25">
      <c r="A3330" t="s">
        <v>16</v>
      </c>
      <c r="B3330" t="s">
        <v>3221</v>
      </c>
      <c r="C3330">
        <v>18274</v>
      </c>
      <c r="D3330" t="s">
        <v>1821</v>
      </c>
      <c r="E3330" t="s">
        <v>1822</v>
      </c>
      <c r="F3330">
        <v>3360.39</v>
      </c>
      <c r="G3330">
        <v>231221</v>
      </c>
      <c r="H3330">
        <v>4350</v>
      </c>
      <c r="I3330" t="s">
        <v>546</v>
      </c>
      <c r="J3330">
        <v>4166.88</v>
      </c>
      <c r="K3330">
        <v>806.49</v>
      </c>
      <c r="L3330">
        <v>11301</v>
      </c>
      <c r="M3330" t="s">
        <v>29</v>
      </c>
      <c r="N3330" t="str">
        <f>"2936        "</f>
        <v xml:space="preserve">2936        </v>
      </c>
      <c r="O3330">
        <v>240102</v>
      </c>
    </row>
    <row r="3331" spans="1:15" x14ac:dyDescent="0.25">
      <c r="A3331" t="s">
        <v>16</v>
      </c>
      <c r="B3331" t="s">
        <v>3221</v>
      </c>
      <c r="C3331">
        <v>18356</v>
      </c>
      <c r="D3331" t="s">
        <v>1821</v>
      </c>
      <c r="E3331" t="s">
        <v>1822</v>
      </c>
      <c r="F3331">
        <v>3165</v>
      </c>
      <c r="G3331">
        <v>231222</v>
      </c>
      <c r="H3331">
        <v>4350</v>
      </c>
      <c r="I3331" t="s">
        <v>546</v>
      </c>
      <c r="J3331">
        <v>3924.6</v>
      </c>
      <c r="K3331">
        <v>759.6</v>
      </c>
      <c r="L3331">
        <v>11301</v>
      </c>
      <c r="M3331" t="s">
        <v>29</v>
      </c>
      <c r="N3331" t="str">
        <f>"2963        "</f>
        <v xml:space="preserve">2963        </v>
      </c>
      <c r="O3331">
        <v>240103</v>
      </c>
    </row>
    <row r="3332" spans="1:15" x14ac:dyDescent="0.25">
      <c r="A3332" t="s">
        <v>16</v>
      </c>
      <c r="B3332" t="s">
        <v>3221</v>
      </c>
      <c r="C3332">
        <v>16361</v>
      </c>
      <c r="D3332" t="s">
        <v>1821</v>
      </c>
      <c r="E3332" t="s">
        <v>1822</v>
      </c>
      <c r="F3332">
        <v>14.38</v>
      </c>
      <c r="G3332">
        <v>231121</v>
      </c>
      <c r="H3332">
        <v>4364</v>
      </c>
      <c r="I3332" t="s">
        <v>296</v>
      </c>
      <c r="J3332">
        <v>17.829999999999998</v>
      </c>
      <c r="K3332">
        <v>3.45</v>
      </c>
      <c r="L3332">
        <v>11301</v>
      </c>
      <c r="M3332" t="s">
        <v>29</v>
      </c>
      <c r="N3332" t="str">
        <f>"2785        "</f>
        <v xml:space="preserve">2785        </v>
      </c>
      <c r="O3332">
        <v>231128</v>
      </c>
    </row>
    <row r="3333" spans="1:15" x14ac:dyDescent="0.25">
      <c r="A3333" t="s">
        <v>16</v>
      </c>
      <c r="B3333" t="s">
        <v>3221</v>
      </c>
      <c r="C3333">
        <v>18356</v>
      </c>
      <c r="D3333" t="s">
        <v>1821</v>
      </c>
      <c r="E3333" t="s">
        <v>1822</v>
      </c>
      <c r="F3333">
        <v>102.77</v>
      </c>
      <c r="G3333">
        <v>231222</v>
      </c>
      <c r="H3333">
        <v>4364</v>
      </c>
      <c r="I3333" t="s">
        <v>296</v>
      </c>
      <c r="J3333">
        <v>127.43</v>
      </c>
      <c r="K3333">
        <v>24.66</v>
      </c>
      <c r="L3333">
        <v>11301</v>
      </c>
      <c r="M3333" t="s">
        <v>29</v>
      </c>
      <c r="N3333" t="str">
        <f>"2963        "</f>
        <v xml:space="preserve">2963        </v>
      </c>
      <c r="O3333">
        <v>240103</v>
      </c>
    </row>
    <row r="3334" spans="1:15" x14ac:dyDescent="0.25">
      <c r="A3334" t="s">
        <v>16</v>
      </c>
      <c r="B3334" t="s">
        <v>3221</v>
      </c>
      <c r="C3334">
        <v>374</v>
      </c>
      <c r="D3334" t="s">
        <v>493</v>
      </c>
      <c r="E3334" t="s">
        <v>494</v>
      </c>
      <c r="F3334">
        <v>289.60000000000002</v>
      </c>
      <c r="G3334">
        <v>230117</v>
      </c>
      <c r="H3334">
        <v>4600</v>
      </c>
      <c r="I3334" t="s">
        <v>105</v>
      </c>
      <c r="J3334">
        <v>359.1</v>
      </c>
      <c r="K3334">
        <v>69.5</v>
      </c>
      <c r="L3334">
        <v>17632</v>
      </c>
      <c r="M3334" t="s">
        <v>495</v>
      </c>
      <c r="N3334" t="str">
        <f>"2056        "</f>
        <v xml:space="preserve">2056        </v>
      </c>
      <c r="O3334">
        <v>230119</v>
      </c>
    </row>
    <row r="3335" spans="1:15" x14ac:dyDescent="0.25">
      <c r="A3335" t="s">
        <v>16</v>
      </c>
      <c r="B3335" t="s">
        <v>3221</v>
      </c>
      <c r="C3335">
        <v>1873</v>
      </c>
      <c r="D3335" t="s">
        <v>1225</v>
      </c>
      <c r="E3335" t="s">
        <v>1226</v>
      </c>
      <c r="F3335">
        <v>286.08999999999997</v>
      </c>
      <c r="G3335">
        <v>230214</v>
      </c>
      <c r="H3335">
        <v>4400</v>
      </c>
      <c r="I3335" t="s">
        <v>348</v>
      </c>
      <c r="J3335">
        <v>354.75</v>
      </c>
      <c r="K3335">
        <v>68.66</v>
      </c>
      <c r="L3335">
        <v>66756</v>
      </c>
      <c r="M3335" t="s">
        <v>209</v>
      </c>
      <c r="N3335" t="str">
        <f>"6060        "</f>
        <v xml:space="preserve">6060        </v>
      </c>
      <c r="O3335">
        <v>230215</v>
      </c>
    </row>
    <row r="3336" spans="1:15" x14ac:dyDescent="0.25">
      <c r="A3336" t="s">
        <v>16</v>
      </c>
      <c r="B3336" t="s">
        <v>3221</v>
      </c>
      <c r="C3336">
        <v>2462</v>
      </c>
      <c r="D3336" t="s">
        <v>1225</v>
      </c>
      <c r="E3336" t="s">
        <v>1226</v>
      </c>
      <c r="F3336">
        <v>123.39</v>
      </c>
      <c r="G3336">
        <v>230227</v>
      </c>
      <c r="H3336">
        <v>4400</v>
      </c>
      <c r="I3336" t="s">
        <v>348</v>
      </c>
      <c r="J3336">
        <v>153</v>
      </c>
      <c r="K3336">
        <v>29.61</v>
      </c>
      <c r="L3336">
        <v>69111</v>
      </c>
      <c r="M3336" t="s">
        <v>471</v>
      </c>
      <c r="N3336" t="str">
        <f>"6122        "</f>
        <v xml:space="preserve">6122        </v>
      </c>
      <c r="O3336">
        <v>230228</v>
      </c>
    </row>
    <row r="3337" spans="1:15" x14ac:dyDescent="0.25">
      <c r="A3337" t="s">
        <v>16</v>
      </c>
      <c r="B3337" t="s">
        <v>3221</v>
      </c>
      <c r="C3337">
        <v>2576</v>
      </c>
      <c r="D3337" t="s">
        <v>1225</v>
      </c>
      <c r="E3337" t="s">
        <v>1226</v>
      </c>
      <c r="F3337">
        <v>364.52</v>
      </c>
      <c r="G3337">
        <v>230227</v>
      </c>
      <c r="H3337">
        <v>4400</v>
      </c>
      <c r="I3337" t="s">
        <v>348</v>
      </c>
      <c r="J3337">
        <v>452</v>
      </c>
      <c r="K3337">
        <v>87.48</v>
      </c>
      <c r="L3337">
        <v>67522</v>
      </c>
      <c r="M3337" t="s">
        <v>397</v>
      </c>
      <c r="N3337" t="str">
        <f>"6121        "</f>
        <v xml:space="preserve">6121        </v>
      </c>
      <c r="O3337">
        <v>230302</v>
      </c>
    </row>
    <row r="3338" spans="1:15" x14ac:dyDescent="0.25">
      <c r="A3338" t="s">
        <v>16</v>
      </c>
      <c r="B3338" t="s">
        <v>3221</v>
      </c>
      <c r="C3338">
        <v>7822</v>
      </c>
      <c r="D3338" t="s">
        <v>1225</v>
      </c>
      <c r="E3338" t="s">
        <v>1226</v>
      </c>
      <c r="F3338">
        <v>111.29</v>
      </c>
      <c r="G3338">
        <v>230601</v>
      </c>
      <c r="H3338">
        <v>4400</v>
      </c>
      <c r="I3338" t="s">
        <v>348</v>
      </c>
      <c r="J3338">
        <v>138</v>
      </c>
      <c r="K3338">
        <v>26.71</v>
      </c>
      <c r="L3338">
        <v>69501</v>
      </c>
      <c r="M3338" t="s">
        <v>185</v>
      </c>
      <c r="N3338" t="str">
        <f>"6414        "</f>
        <v xml:space="preserve">6414        </v>
      </c>
      <c r="O3338">
        <v>230605</v>
      </c>
    </row>
    <row r="3339" spans="1:15" x14ac:dyDescent="0.25">
      <c r="A3339" t="s">
        <v>16</v>
      </c>
      <c r="B3339" t="s">
        <v>3221</v>
      </c>
      <c r="C3339">
        <v>8753</v>
      </c>
      <c r="D3339" t="s">
        <v>1225</v>
      </c>
      <c r="E3339" t="s">
        <v>1226</v>
      </c>
      <c r="F3339">
        <v>211.81</v>
      </c>
      <c r="G3339">
        <v>230605</v>
      </c>
      <c r="H3339">
        <v>4400</v>
      </c>
      <c r="I3339" t="s">
        <v>348</v>
      </c>
      <c r="J3339">
        <v>262.64999999999998</v>
      </c>
      <c r="K3339">
        <v>50.84</v>
      </c>
      <c r="L3339">
        <v>69701</v>
      </c>
      <c r="M3339" t="s">
        <v>488</v>
      </c>
      <c r="N3339" t="str">
        <f>"6460        "</f>
        <v xml:space="preserve">6460        </v>
      </c>
      <c r="O3339">
        <v>230613</v>
      </c>
    </row>
    <row r="3340" spans="1:15" x14ac:dyDescent="0.25">
      <c r="A3340" t="s">
        <v>16</v>
      </c>
      <c r="B3340" t="s">
        <v>3221</v>
      </c>
      <c r="C3340">
        <v>8754</v>
      </c>
      <c r="D3340" t="s">
        <v>1225</v>
      </c>
      <c r="E3340" t="s">
        <v>1226</v>
      </c>
      <c r="F3340">
        <v>752.13</v>
      </c>
      <c r="G3340">
        <v>230605</v>
      </c>
      <c r="H3340">
        <v>4400</v>
      </c>
      <c r="I3340" t="s">
        <v>348</v>
      </c>
      <c r="J3340">
        <v>932.64</v>
      </c>
      <c r="K3340">
        <v>180.51</v>
      </c>
      <c r="L3340">
        <v>69701</v>
      </c>
      <c r="M3340" t="s">
        <v>488</v>
      </c>
      <c r="N3340" t="str">
        <f>"6459        "</f>
        <v xml:space="preserve">6459        </v>
      </c>
      <c r="O3340">
        <v>230613</v>
      </c>
    </row>
    <row r="3341" spans="1:15" x14ac:dyDescent="0.25">
      <c r="A3341" t="s">
        <v>16</v>
      </c>
      <c r="B3341" t="s">
        <v>3221</v>
      </c>
      <c r="C3341">
        <v>9099</v>
      </c>
      <c r="D3341" t="s">
        <v>1225</v>
      </c>
      <c r="E3341" t="s">
        <v>1226</v>
      </c>
      <c r="F3341">
        <v>283.82</v>
      </c>
      <c r="G3341">
        <v>230613</v>
      </c>
      <c r="H3341">
        <v>4400</v>
      </c>
      <c r="I3341" t="s">
        <v>348</v>
      </c>
      <c r="J3341">
        <v>351.94</v>
      </c>
      <c r="K3341">
        <v>68.12</v>
      </c>
      <c r="L3341">
        <v>69501</v>
      </c>
      <c r="M3341" t="s">
        <v>185</v>
      </c>
      <c r="N3341" t="str">
        <f>"6499        "</f>
        <v xml:space="preserve">6499        </v>
      </c>
      <c r="O3341">
        <v>230627</v>
      </c>
    </row>
    <row r="3342" spans="1:15" x14ac:dyDescent="0.25">
      <c r="A3342" t="s">
        <v>16</v>
      </c>
      <c r="B3342" t="s">
        <v>3221</v>
      </c>
      <c r="C3342">
        <v>10830</v>
      </c>
      <c r="D3342" t="s">
        <v>1225</v>
      </c>
      <c r="E3342" t="s">
        <v>1226</v>
      </c>
      <c r="F3342">
        <v>447.58</v>
      </c>
      <c r="G3342">
        <v>230822</v>
      </c>
      <c r="H3342">
        <v>4400</v>
      </c>
      <c r="I3342" t="s">
        <v>348</v>
      </c>
      <c r="J3342">
        <v>555</v>
      </c>
      <c r="K3342">
        <v>107.42</v>
      </c>
      <c r="L3342">
        <v>67554</v>
      </c>
      <c r="M3342" t="s">
        <v>60</v>
      </c>
      <c r="N3342" t="str">
        <f>"6694        "</f>
        <v xml:space="preserve">6694        </v>
      </c>
      <c r="O3342">
        <v>230823</v>
      </c>
    </row>
    <row r="3343" spans="1:15" x14ac:dyDescent="0.25">
      <c r="A3343" t="s">
        <v>16</v>
      </c>
      <c r="B3343" t="s">
        <v>3221</v>
      </c>
      <c r="C3343">
        <v>12039</v>
      </c>
      <c r="D3343" t="s">
        <v>1225</v>
      </c>
      <c r="E3343" t="s">
        <v>1226</v>
      </c>
      <c r="F3343">
        <v>653.23</v>
      </c>
      <c r="G3343">
        <v>230905</v>
      </c>
      <c r="H3343">
        <v>4400</v>
      </c>
      <c r="I3343" t="s">
        <v>348</v>
      </c>
      <c r="J3343">
        <v>810</v>
      </c>
      <c r="K3343">
        <v>156.77000000000001</v>
      </c>
      <c r="L3343">
        <v>66756</v>
      </c>
      <c r="M3343" t="s">
        <v>209</v>
      </c>
      <c r="N3343" t="str">
        <f>"6799        "</f>
        <v xml:space="preserve">6799        </v>
      </c>
      <c r="O3343">
        <v>230913</v>
      </c>
    </row>
    <row r="3344" spans="1:15" x14ac:dyDescent="0.25">
      <c r="A3344" t="s">
        <v>16</v>
      </c>
      <c r="B3344" t="s">
        <v>3221</v>
      </c>
      <c r="C3344">
        <v>12177</v>
      </c>
      <c r="D3344" t="s">
        <v>1225</v>
      </c>
      <c r="E3344" t="s">
        <v>1226</v>
      </c>
      <c r="F3344">
        <v>72.58</v>
      </c>
      <c r="G3344">
        <v>230908</v>
      </c>
      <c r="H3344">
        <v>4400</v>
      </c>
      <c r="I3344" t="s">
        <v>348</v>
      </c>
      <c r="J3344">
        <v>90</v>
      </c>
      <c r="K3344">
        <v>17.420000000000002</v>
      </c>
      <c r="L3344">
        <v>69501</v>
      </c>
      <c r="M3344" t="s">
        <v>185</v>
      </c>
      <c r="N3344" t="str">
        <f>"6807        "</f>
        <v xml:space="preserve">6807        </v>
      </c>
      <c r="O3344">
        <v>230915</v>
      </c>
    </row>
    <row r="3345" spans="1:15" x14ac:dyDescent="0.25">
      <c r="A3345" t="s">
        <v>16</v>
      </c>
      <c r="B3345" t="s">
        <v>3221</v>
      </c>
      <c r="C3345">
        <v>13090</v>
      </c>
      <c r="D3345" t="s">
        <v>1225</v>
      </c>
      <c r="E3345" t="s">
        <v>1226</v>
      </c>
      <c r="F3345">
        <v>1370.97</v>
      </c>
      <c r="G3345">
        <v>230929</v>
      </c>
      <c r="H3345">
        <v>4400</v>
      </c>
      <c r="I3345" t="s">
        <v>348</v>
      </c>
      <c r="J3345">
        <v>1700</v>
      </c>
      <c r="K3345">
        <v>329.03</v>
      </c>
      <c r="L3345">
        <v>67522</v>
      </c>
      <c r="M3345" t="s">
        <v>397</v>
      </c>
      <c r="N3345" t="str">
        <f>"6909        "</f>
        <v xml:space="preserve">6909        </v>
      </c>
      <c r="O3345">
        <v>231003</v>
      </c>
    </row>
    <row r="3346" spans="1:15" x14ac:dyDescent="0.25">
      <c r="A3346" t="s">
        <v>16</v>
      </c>
      <c r="B3346" t="s">
        <v>3221</v>
      </c>
      <c r="C3346">
        <v>16188</v>
      </c>
      <c r="D3346" t="s">
        <v>1225</v>
      </c>
      <c r="E3346" t="s">
        <v>1226</v>
      </c>
      <c r="F3346">
        <v>181.77</v>
      </c>
      <c r="G3346">
        <v>231115</v>
      </c>
      <c r="H3346">
        <v>4400</v>
      </c>
      <c r="I3346" t="s">
        <v>348</v>
      </c>
      <c r="J3346">
        <v>225.4</v>
      </c>
      <c r="K3346">
        <v>43.63</v>
      </c>
      <c r="L3346">
        <v>67522</v>
      </c>
      <c r="M3346" t="s">
        <v>397</v>
      </c>
      <c r="N3346" t="str">
        <f>"7069        "</f>
        <v xml:space="preserve">7069        </v>
      </c>
      <c r="O3346">
        <v>231127</v>
      </c>
    </row>
    <row r="3347" spans="1:15" x14ac:dyDescent="0.25">
      <c r="A3347" t="s">
        <v>16</v>
      </c>
      <c r="B3347" t="s">
        <v>3221</v>
      </c>
      <c r="C3347">
        <v>18177</v>
      </c>
      <c r="D3347" t="s">
        <v>1225</v>
      </c>
      <c r="E3347" t="s">
        <v>1226</v>
      </c>
      <c r="F3347">
        <v>301.61</v>
      </c>
      <c r="G3347">
        <v>231218</v>
      </c>
      <c r="H3347">
        <v>4400</v>
      </c>
      <c r="I3347" t="s">
        <v>348</v>
      </c>
      <c r="J3347">
        <v>374</v>
      </c>
      <c r="K3347">
        <v>72.39</v>
      </c>
      <c r="L3347">
        <v>67522</v>
      </c>
      <c r="M3347" t="s">
        <v>397</v>
      </c>
      <c r="N3347" t="str">
        <f>"7201        "</f>
        <v xml:space="preserve">7201        </v>
      </c>
      <c r="O3347">
        <v>240102</v>
      </c>
    </row>
    <row r="3348" spans="1:15" x14ac:dyDescent="0.25">
      <c r="A3348" t="s">
        <v>16</v>
      </c>
      <c r="B3348" t="s">
        <v>3221</v>
      </c>
      <c r="C3348">
        <v>13526</v>
      </c>
      <c r="D3348" t="s">
        <v>2688</v>
      </c>
      <c r="E3348" t="s">
        <v>2689</v>
      </c>
      <c r="F3348">
        <v>263</v>
      </c>
      <c r="G3348">
        <v>231002</v>
      </c>
      <c r="H3348">
        <v>4600</v>
      </c>
      <c r="I3348" t="s">
        <v>105</v>
      </c>
      <c r="J3348">
        <v>326.12</v>
      </c>
      <c r="K3348">
        <v>63.12</v>
      </c>
      <c r="L3348">
        <v>59803</v>
      </c>
      <c r="M3348" t="s">
        <v>533</v>
      </c>
      <c r="N3348" t="str">
        <f>"27775       "</f>
        <v xml:space="preserve">27775       </v>
      </c>
      <c r="O3348">
        <v>231011</v>
      </c>
    </row>
    <row r="3349" spans="1:15" x14ac:dyDescent="0.25">
      <c r="A3349" t="s">
        <v>16</v>
      </c>
      <c r="B3349" t="s">
        <v>3221</v>
      </c>
      <c r="C3349">
        <v>13526</v>
      </c>
      <c r="D3349" t="s">
        <v>2688</v>
      </c>
      <c r="E3349" t="s">
        <v>2689</v>
      </c>
      <c r="F3349">
        <v>298.33999999999997</v>
      </c>
      <c r="G3349">
        <v>231002</v>
      </c>
      <c r="H3349">
        <v>4550</v>
      </c>
      <c r="I3349" t="s">
        <v>312</v>
      </c>
      <c r="J3349">
        <v>369.94</v>
      </c>
      <c r="K3349">
        <v>71.599999999999994</v>
      </c>
      <c r="L3349">
        <v>59803</v>
      </c>
      <c r="M3349" t="s">
        <v>533</v>
      </c>
      <c r="N3349" t="str">
        <f>"27775       "</f>
        <v xml:space="preserve">27775       </v>
      </c>
      <c r="O3349">
        <v>231011</v>
      </c>
    </row>
    <row r="3350" spans="1:15" x14ac:dyDescent="0.25">
      <c r="A3350" t="s">
        <v>16</v>
      </c>
      <c r="B3350" t="s">
        <v>3221</v>
      </c>
      <c r="C3350">
        <v>3341</v>
      </c>
      <c r="D3350" t="s">
        <v>3622</v>
      </c>
      <c r="E3350" t="s">
        <v>3243</v>
      </c>
      <c r="F3350">
        <v>520</v>
      </c>
      <c r="G3350">
        <v>230228</v>
      </c>
      <c r="H3350">
        <v>4820</v>
      </c>
      <c r="I3350" t="s">
        <v>50</v>
      </c>
      <c r="J3350">
        <v>644.79999999999995</v>
      </c>
      <c r="K3350">
        <v>124.8</v>
      </c>
      <c r="L3350">
        <v>18420</v>
      </c>
      <c r="M3350" t="s">
        <v>1489</v>
      </c>
      <c r="N3350" t="str">
        <f>"52320070    "</f>
        <v xml:space="preserve">52320070    </v>
      </c>
      <c r="O3350">
        <v>230315</v>
      </c>
    </row>
    <row r="3351" spans="1:15" x14ac:dyDescent="0.25">
      <c r="A3351" t="s">
        <v>16</v>
      </c>
      <c r="B3351" t="s">
        <v>3221</v>
      </c>
      <c r="C3351">
        <v>5706</v>
      </c>
      <c r="D3351" t="s">
        <v>1890</v>
      </c>
      <c r="E3351" t="s">
        <v>1891</v>
      </c>
      <c r="F3351">
        <v>4.03</v>
      </c>
      <c r="G3351">
        <v>230426</v>
      </c>
      <c r="H3351">
        <v>4412</v>
      </c>
      <c r="I3351" t="s">
        <v>149</v>
      </c>
      <c r="J3351">
        <v>5</v>
      </c>
      <c r="K3351">
        <v>0.97</v>
      </c>
      <c r="L3351">
        <v>67522</v>
      </c>
      <c r="M3351" t="s">
        <v>397</v>
      </c>
      <c r="N3351" t="str">
        <f>"3003125727  "</f>
        <v xml:space="preserve">3003125727  </v>
      </c>
      <c r="O3351">
        <v>230502</v>
      </c>
    </row>
    <row r="3352" spans="1:15" x14ac:dyDescent="0.25">
      <c r="A3352" t="s">
        <v>16</v>
      </c>
      <c r="B3352" t="s">
        <v>3221</v>
      </c>
      <c r="C3352">
        <v>5706</v>
      </c>
      <c r="D3352" t="s">
        <v>1890</v>
      </c>
      <c r="E3352" t="s">
        <v>1891</v>
      </c>
      <c r="F3352">
        <v>12</v>
      </c>
      <c r="G3352">
        <v>230426</v>
      </c>
      <c r="H3352">
        <v>4412</v>
      </c>
      <c r="I3352" t="s">
        <v>149</v>
      </c>
      <c r="J3352">
        <v>12</v>
      </c>
      <c r="K3352">
        <v>0</v>
      </c>
      <c r="L3352">
        <v>67522</v>
      </c>
      <c r="M3352" t="s">
        <v>397</v>
      </c>
      <c r="N3352" t="str">
        <f>"3003125727  "</f>
        <v xml:space="preserve">3003125727  </v>
      </c>
      <c r="O3352">
        <v>230502</v>
      </c>
    </row>
    <row r="3353" spans="1:15" x14ac:dyDescent="0.25">
      <c r="A3353" t="s">
        <v>16</v>
      </c>
      <c r="B3353" t="s">
        <v>3221</v>
      </c>
      <c r="C3353">
        <v>5706</v>
      </c>
      <c r="D3353" t="s">
        <v>1890</v>
      </c>
      <c r="E3353" t="s">
        <v>1891</v>
      </c>
      <c r="F3353">
        <v>94.28</v>
      </c>
      <c r="G3353">
        <v>230426</v>
      </c>
      <c r="H3353">
        <v>4412</v>
      </c>
      <c r="I3353" t="s">
        <v>149</v>
      </c>
      <c r="J3353">
        <v>103.71</v>
      </c>
      <c r="K3353">
        <v>9.43</v>
      </c>
      <c r="L3353">
        <v>67522</v>
      </c>
      <c r="M3353" t="s">
        <v>397</v>
      </c>
      <c r="N3353" t="str">
        <f>"3003125727  "</f>
        <v xml:space="preserve">3003125727  </v>
      </c>
      <c r="O3353">
        <v>230502</v>
      </c>
    </row>
    <row r="3354" spans="1:15" x14ac:dyDescent="0.25">
      <c r="A3354" t="s">
        <v>16</v>
      </c>
      <c r="B3354" t="s">
        <v>3221</v>
      </c>
      <c r="C3354">
        <v>2278</v>
      </c>
      <c r="D3354" t="s">
        <v>1346</v>
      </c>
      <c r="E3354" t="s">
        <v>1347</v>
      </c>
      <c r="F3354">
        <v>890.6</v>
      </c>
      <c r="G3354">
        <v>230222</v>
      </c>
      <c r="H3354">
        <v>4350</v>
      </c>
      <c r="I3354" t="s">
        <v>546</v>
      </c>
      <c r="J3354">
        <v>1104.3399999999999</v>
      </c>
      <c r="K3354">
        <v>213.74</v>
      </c>
      <c r="L3354">
        <v>11301</v>
      </c>
      <c r="M3354" t="s">
        <v>29</v>
      </c>
      <c r="N3354" t="str">
        <f>"987843      "</f>
        <v xml:space="preserve">987843      </v>
      </c>
      <c r="O3354">
        <v>230223</v>
      </c>
    </row>
    <row r="3355" spans="1:15" x14ac:dyDescent="0.25">
      <c r="A3355" t="s">
        <v>16</v>
      </c>
      <c r="B3355" t="s">
        <v>3221</v>
      </c>
      <c r="C3355">
        <v>2814</v>
      </c>
      <c r="D3355" t="s">
        <v>1346</v>
      </c>
      <c r="E3355" t="s">
        <v>1347</v>
      </c>
      <c r="F3355">
        <v>2505</v>
      </c>
      <c r="G3355">
        <v>230228</v>
      </c>
      <c r="H3355">
        <v>4350</v>
      </c>
      <c r="I3355" t="s">
        <v>546</v>
      </c>
      <c r="J3355">
        <v>3106.2</v>
      </c>
      <c r="K3355">
        <v>601.20000000000005</v>
      </c>
      <c r="L3355">
        <v>11301</v>
      </c>
      <c r="M3355" t="s">
        <v>29</v>
      </c>
      <c r="N3355" t="str">
        <f>"988764      "</f>
        <v xml:space="preserve">988764      </v>
      </c>
      <c r="O3355">
        <v>230307</v>
      </c>
    </row>
    <row r="3356" spans="1:15" x14ac:dyDescent="0.25">
      <c r="A3356" t="s">
        <v>16</v>
      </c>
      <c r="B3356" t="s">
        <v>3221</v>
      </c>
      <c r="C3356">
        <v>4376</v>
      </c>
      <c r="D3356" t="s">
        <v>1346</v>
      </c>
      <c r="E3356" t="s">
        <v>1347</v>
      </c>
      <c r="F3356">
        <v>337.05</v>
      </c>
      <c r="G3356">
        <v>230331</v>
      </c>
      <c r="H3356">
        <v>4350</v>
      </c>
      <c r="I3356" t="s">
        <v>546</v>
      </c>
      <c r="J3356">
        <v>417.94</v>
      </c>
      <c r="K3356">
        <v>80.89</v>
      </c>
      <c r="L3356">
        <v>49702</v>
      </c>
      <c r="M3356" t="s">
        <v>584</v>
      </c>
      <c r="N3356" t="str">
        <f>"992390      "</f>
        <v xml:space="preserve">992390      </v>
      </c>
      <c r="O3356">
        <v>230405</v>
      </c>
    </row>
    <row r="3357" spans="1:15" x14ac:dyDescent="0.25">
      <c r="A3357" t="s">
        <v>16</v>
      </c>
      <c r="B3357" t="s">
        <v>3221</v>
      </c>
      <c r="C3357">
        <v>12632</v>
      </c>
      <c r="D3357" t="s">
        <v>1346</v>
      </c>
      <c r="E3357" t="s">
        <v>1347</v>
      </c>
      <c r="F3357">
        <v>3820</v>
      </c>
      <c r="G3357">
        <v>230920</v>
      </c>
      <c r="H3357">
        <v>4350</v>
      </c>
      <c r="I3357" t="s">
        <v>546</v>
      </c>
      <c r="J3357">
        <v>4736.8</v>
      </c>
      <c r="K3357">
        <v>916.8</v>
      </c>
      <c r="L3357">
        <v>11301</v>
      </c>
      <c r="M3357" t="s">
        <v>29</v>
      </c>
      <c r="N3357" t="str">
        <f>"1006912     "</f>
        <v xml:space="preserve">1006912     </v>
      </c>
      <c r="O3357">
        <v>230922</v>
      </c>
    </row>
    <row r="3358" spans="1:15" x14ac:dyDescent="0.25">
      <c r="A3358" t="s">
        <v>16</v>
      </c>
      <c r="B3358" t="s">
        <v>3221</v>
      </c>
      <c r="C3358">
        <v>15595</v>
      </c>
      <c r="D3358" t="s">
        <v>1346</v>
      </c>
      <c r="E3358" t="s">
        <v>1347</v>
      </c>
      <c r="F3358">
        <v>337.05</v>
      </c>
      <c r="G3358">
        <v>231108</v>
      </c>
      <c r="H3358">
        <v>4350</v>
      </c>
      <c r="I3358" t="s">
        <v>546</v>
      </c>
      <c r="J3358">
        <v>417.94</v>
      </c>
      <c r="K3358">
        <v>80.89</v>
      </c>
      <c r="L3358">
        <v>49702</v>
      </c>
      <c r="M3358" t="s">
        <v>584</v>
      </c>
      <c r="N3358" t="str">
        <f>"1011111     "</f>
        <v xml:space="preserve">1011111     </v>
      </c>
      <c r="O3358">
        <v>231114</v>
      </c>
    </row>
    <row r="3359" spans="1:15" x14ac:dyDescent="0.25">
      <c r="A3359" t="s">
        <v>16</v>
      </c>
      <c r="B3359" t="s">
        <v>3221</v>
      </c>
      <c r="C3359">
        <v>3095</v>
      </c>
      <c r="D3359" t="s">
        <v>1510</v>
      </c>
      <c r="E3359" t="s">
        <v>1511</v>
      </c>
      <c r="F3359">
        <v>795</v>
      </c>
      <c r="G3359">
        <v>230307</v>
      </c>
      <c r="H3359">
        <v>4580</v>
      </c>
      <c r="I3359" t="s">
        <v>35</v>
      </c>
      <c r="J3359">
        <v>985.8</v>
      </c>
      <c r="K3359">
        <v>190.8</v>
      </c>
      <c r="L3359">
        <v>66754</v>
      </c>
      <c r="M3359" t="s">
        <v>239</v>
      </c>
      <c r="N3359" t="str">
        <f>"10009       "</f>
        <v xml:space="preserve">10009       </v>
      </c>
      <c r="O3359">
        <v>230309</v>
      </c>
    </row>
    <row r="3360" spans="1:15" x14ac:dyDescent="0.25">
      <c r="A3360" t="s">
        <v>16</v>
      </c>
      <c r="B3360" t="s">
        <v>3221</v>
      </c>
      <c r="C3360">
        <v>3095</v>
      </c>
      <c r="D3360" t="s">
        <v>1510</v>
      </c>
      <c r="E3360" t="s">
        <v>1511</v>
      </c>
      <c r="F3360">
        <v>128.88999999999999</v>
      </c>
      <c r="G3360">
        <v>230307</v>
      </c>
      <c r="H3360">
        <v>4470</v>
      </c>
      <c r="I3360" t="s">
        <v>83</v>
      </c>
      <c r="J3360">
        <v>159.82</v>
      </c>
      <c r="K3360">
        <v>30.93</v>
      </c>
      <c r="L3360">
        <v>66754</v>
      </c>
      <c r="M3360" t="s">
        <v>239</v>
      </c>
      <c r="N3360" t="str">
        <f>"10009       "</f>
        <v xml:space="preserve">10009       </v>
      </c>
      <c r="O3360">
        <v>230309</v>
      </c>
    </row>
    <row r="3361" spans="1:15" x14ac:dyDescent="0.25">
      <c r="A3361" t="s">
        <v>16</v>
      </c>
      <c r="B3361" t="s">
        <v>3221</v>
      </c>
      <c r="C3361">
        <v>3095</v>
      </c>
      <c r="D3361" t="s">
        <v>1510</v>
      </c>
      <c r="E3361" t="s">
        <v>1511</v>
      </c>
      <c r="F3361">
        <v>387.42</v>
      </c>
      <c r="G3361">
        <v>230307</v>
      </c>
      <c r="H3361">
        <v>4500</v>
      </c>
      <c r="I3361" t="s">
        <v>212</v>
      </c>
      <c r="J3361">
        <v>480.4</v>
      </c>
      <c r="K3361">
        <v>92.98</v>
      </c>
      <c r="L3361">
        <v>66754</v>
      </c>
      <c r="M3361" t="s">
        <v>239</v>
      </c>
      <c r="N3361" t="str">
        <f>"10009       "</f>
        <v xml:space="preserve">10009       </v>
      </c>
      <c r="O3361">
        <v>230309</v>
      </c>
    </row>
    <row r="3362" spans="1:15" x14ac:dyDescent="0.25">
      <c r="A3362" t="s">
        <v>16</v>
      </c>
      <c r="B3362" t="s">
        <v>3221</v>
      </c>
      <c r="C3362">
        <v>1042</v>
      </c>
      <c r="D3362" t="s">
        <v>846</v>
      </c>
      <c r="E3362" t="s">
        <v>847</v>
      </c>
      <c r="F3362">
        <v>383.2</v>
      </c>
      <c r="G3362">
        <v>230201</v>
      </c>
      <c r="H3362">
        <v>4600</v>
      </c>
      <c r="I3362" t="s">
        <v>105</v>
      </c>
      <c r="J3362">
        <v>475.17</v>
      </c>
      <c r="K3362">
        <v>91.97</v>
      </c>
      <c r="L3362">
        <v>17807</v>
      </c>
      <c r="M3362" t="s">
        <v>318</v>
      </c>
      <c r="N3362" t="str">
        <f>"2303000722  "</f>
        <v xml:space="preserve">2303000722  </v>
      </c>
      <c r="O3362">
        <v>230202</v>
      </c>
    </row>
    <row r="3363" spans="1:15" x14ac:dyDescent="0.25">
      <c r="A3363" t="s">
        <v>16</v>
      </c>
      <c r="B3363" t="s">
        <v>3221</v>
      </c>
      <c r="C3363">
        <v>1685</v>
      </c>
      <c r="D3363" t="s">
        <v>846</v>
      </c>
      <c r="E3363" t="s">
        <v>847</v>
      </c>
      <c r="F3363">
        <v>129.81</v>
      </c>
      <c r="G3363">
        <v>230207</v>
      </c>
      <c r="H3363">
        <v>4600</v>
      </c>
      <c r="I3363" t="s">
        <v>105</v>
      </c>
      <c r="J3363">
        <v>160.96</v>
      </c>
      <c r="K3363">
        <v>31.15</v>
      </c>
      <c r="L3363">
        <v>17807</v>
      </c>
      <c r="M3363" t="s">
        <v>318</v>
      </c>
      <c r="N3363" t="str">
        <f>"2303000836  "</f>
        <v xml:space="preserve">2303000836  </v>
      </c>
      <c r="O3363">
        <v>230213</v>
      </c>
    </row>
    <row r="3364" spans="1:15" x14ac:dyDescent="0.25">
      <c r="A3364" t="s">
        <v>16</v>
      </c>
      <c r="B3364" t="s">
        <v>3221</v>
      </c>
      <c r="C3364">
        <v>1692</v>
      </c>
      <c r="D3364" t="s">
        <v>846</v>
      </c>
      <c r="E3364" t="s">
        <v>847</v>
      </c>
      <c r="F3364">
        <v>43.76</v>
      </c>
      <c r="G3364">
        <v>230207</v>
      </c>
      <c r="H3364">
        <v>4600</v>
      </c>
      <c r="I3364" t="s">
        <v>105</v>
      </c>
      <c r="J3364">
        <v>54.26</v>
      </c>
      <c r="K3364">
        <v>10.5</v>
      </c>
      <c r="L3364">
        <v>17807</v>
      </c>
      <c r="M3364" t="s">
        <v>318</v>
      </c>
      <c r="N3364" t="str">
        <f>"2303000837  "</f>
        <v xml:space="preserve">2303000837  </v>
      </c>
      <c r="O3364">
        <v>230213</v>
      </c>
    </row>
    <row r="3365" spans="1:15" x14ac:dyDescent="0.25">
      <c r="A3365" t="s">
        <v>16</v>
      </c>
      <c r="B3365" t="s">
        <v>3221</v>
      </c>
      <c r="C3365">
        <v>2345</v>
      </c>
      <c r="D3365" t="s">
        <v>846</v>
      </c>
      <c r="E3365" t="s">
        <v>847</v>
      </c>
      <c r="F3365">
        <v>338.5</v>
      </c>
      <c r="G3365">
        <v>230222</v>
      </c>
      <c r="H3365">
        <v>4600</v>
      </c>
      <c r="I3365" t="s">
        <v>105</v>
      </c>
      <c r="J3365">
        <v>419.74</v>
      </c>
      <c r="K3365">
        <v>81.239999999999995</v>
      </c>
      <c r="L3365">
        <v>17807</v>
      </c>
      <c r="M3365" t="s">
        <v>318</v>
      </c>
      <c r="N3365" t="str">
        <f>"2303001182  "</f>
        <v xml:space="preserve">2303001182  </v>
      </c>
      <c r="O3365">
        <v>230224</v>
      </c>
    </row>
    <row r="3366" spans="1:15" x14ac:dyDescent="0.25">
      <c r="A3366" t="s">
        <v>16</v>
      </c>
      <c r="B3366" t="s">
        <v>3221</v>
      </c>
      <c r="C3366">
        <v>3483</v>
      </c>
      <c r="D3366" t="s">
        <v>846</v>
      </c>
      <c r="E3366" t="s">
        <v>847</v>
      </c>
      <c r="F3366">
        <v>269.2</v>
      </c>
      <c r="G3366">
        <v>230314</v>
      </c>
      <c r="H3366">
        <v>4600</v>
      </c>
      <c r="I3366" t="s">
        <v>105</v>
      </c>
      <c r="J3366">
        <v>333.81</v>
      </c>
      <c r="K3366">
        <v>64.61</v>
      </c>
      <c r="L3366">
        <v>17807</v>
      </c>
      <c r="M3366" t="s">
        <v>318</v>
      </c>
      <c r="N3366" t="str">
        <f>"2303001672  "</f>
        <v xml:space="preserve">2303001672  </v>
      </c>
      <c r="O3366">
        <v>230316</v>
      </c>
    </row>
    <row r="3367" spans="1:15" x14ac:dyDescent="0.25">
      <c r="A3367" t="s">
        <v>16</v>
      </c>
      <c r="B3367" t="s">
        <v>3221</v>
      </c>
      <c r="C3367">
        <v>4700</v>
      </c>
      <c r="D3367" t="s">
        <v>846</v>
      </c>
      <c r="E3367" t="s">
        <v>847</v>
      </c>
      <c r="F3367">
        <v>252.6</v>
      </c>
      <c r="G3367">
        <v>230330</v>
      </c>
      <c r="H3367">
        <v>4600</v>
      </c>
      <c r="I3367" t="s">
        <v>105</v>
      </c>
      <c r="J3367">
        <v>313.22000000000003</v>
      </c>
      <c r="K3367">
        <v>60.62</v>
      </c>
      <c r="L3367">
        <v>17807</v>
      </c>
      <c r="M3367" t="s">
        <v>318</v>
      </c>
      <c r="N3367" t="str">
        <f>"2303002048  "</f>
        <v xml:space="preserve">2303002048  </v>
      </c>
      <c r="O3367">
        <v>230412</v>
      </c>
    </row>
    <row r="3368" spans="1:15" x14ac:dyDescent="0.25">
      <c r="A3368" t="s">
        <v>16</v>
      </c>
      <c r="B3368" t="s">
        <v>3221</v>
      </c>
      <c r="C3368">
        <v>5701</v>
      </c>
      <c r="D3368" t="s">
        <v>846</v>
      </c>
      <c r="E3368" t="s">
        <v>847</v>
      </c>
      <c r="F3368">
        <v>138.19999999999999</v>
      </c>
      <c r="G3368">
        <v>230425</v>
      </c>
      <c r="H3368">
        <v>4600</v>
      </c>
      <c r="I3368" t="s">
        <v>105</v>
      </c>
      <c r="J3368">
        <v>171.37</v>
      </c>
      <c r="K3368">
        <v>33.17</v>
      </c>
      <c r="L3368">
        <v>17807</v>
      </c>
      <c r="M3368" t="s">
        <v>318</v>
      </c>
      <c r="N3368" t="str">
        <f>"2303002570  "</f>
        <v xml:space="preserve">2303002570  </v>
      </c>
      <c r="O3368">
        <v>230502</v>
      </c>
    </row>
    <row r="3369" spans="1:15" x14ac:dyDescent="0.25">
      <c r="A3369" t="s">
        <v>16</v>
      </c>
      <c r="B3369" t="s">
        <v>3221</v>
      </c>
      <c r="C3369">
        <v>7010</v>
      </c>
      <c r="D3369" t="s">
        <v>846</v>
      </c>
      <c r="E3369" t="s">
        <v>847</v>
      </c>
      <c r="F3369">
        <v>340.31</v>
      </c>
      <c r="G3369">
        <v>230511</v>
      </c>
      <c r="H3369">
        <v>4600</v>
      </c>
      <c r="I3369" t="s">
        <v>105</v>
      </c>
      <c r="J3369">
        <v>421.98</v>
      </c>
      <c r="K3369">
        <v>81.67</v>
      </c>
      <c r="L3369">
        <v>17807</v>
      </c>
      <c r="M3369" t="s">
        <v>318</v>
      </c>
      <c r="N3369" t="str">
        <f>"2303002969  "</f>
        <v xml:space="preserve">2303002969  </v>
      </c>
      <c r="O3369">
        <v>230524</v>
      </c>
    </row>
    <row r="3370" spans="1:15" x14ac:dyDescent="0.25">
      <c r="A3370" t="s">
        <v>16</v>
      </c>
      <c r="B3370" t="s">
        <v>3221</v>
      </c>
      <c r="C3370">
        <v>7821</v>
      </c>
      <c r="D3370" t="s">
        <v>846</v>
      </c>
      <c r="E3370" t="s">
        <v>847</v>
      </c>
      <c r="F3370">
        <v>221.24</v>
      </c>
      <c r="G3370">
        <v>230521</v>
      </c>
      <c r="H3370">
        <v>4600</v>
      </c>
      <c r="I3370" t="s">
        <v>105</v>
      </c>
      <c r="J3370">
        <v>274.33999999999997</v>
      </c>
      <c r="K3370">
        <v>53.1</v>
      </c>
      <c r="L3370">
        <v>56560</v>
      </c>
      <c r="M3370" t="s">
        <v>654</v>
      </c>
      <c r="N3370" t="str">
        <f>"2303003117  "</f>
        <v xml:space="preserve">2303003117  </v>
      </c>
      <c r="O3370">
        <v>230605</v>
      </c>
    </row>
    <row r="3371" spans="1:15" x14ac:dyDescent="0.25">
      <c r="A3371" t="s">
        <v>16</v>
      </c>
      <c r="B3371" t="s">
        <v>3221</v>
      </c>
      <c r="C3371">
        <v>10607</v>
      </c>
      <c r="D3371" t="s">
        <v>846</v>
      </c>
      <c r="E3371" t="s">
        <v>847</v>
      </c>
      <c r="F3371">
        <v>196.42</v>
      </c>
      <c r="G3371">
        <v>230817</v>
      </c>
      <c r="H3371">
        <v>4600</v>
      </c>
      <c r="I3371" t="s">
        <v>105</v>
      </c>
      <c r="J3371">
        <v>243.56</v>
      </c>
      <c r="K3371">
        <v>47.14</v>
      </c>
      <c r="L3371">
        <v>17807</v>
      </c>
      <c r="M3371" t="s">
        <v>318</v>
      </c>
      <c r="N3371" t="str">
        <f>"2303005016  "</f>
        <v xml:space="preserve">2303005016  </v>
      </c>
      <c r="O3371">
        <v>230818</v>
      </c>
    </row>
    <row r="3372" spans="1:15" x14ac:dyDescent="0.25">
      <c r="A3372" t="s">
        <v>16</v>
      </c>
      <c r="B3372" t="s">
        <v>3221</v>
      </c>
      <c r="C3372">
        <v>12396</v>
      </c>
      <c r="D3372" t="s">
        <v>846</v>
      </c>
      <c r="E3372" t="s">
        <v>847</v>
      </c>
      <c r="F3372">
        <v>228.81</v>
      </c>
      <c r="G3372">
        <v>230911</v>
      </c>
      <c r="H3372">
        <v>4600</v>
      </c>
      <c r="I3372" t="s">
        <v>105</v>
      </c>
      <c r="J3372">
        <v>283.73</v>
      </c>
      <c r="K3372">
        <v>54.92</v>
      </c>
      <c r="L3372">
        <v>56560</v>
      </c>
      <c r="M3372" t="s">
        <v>654</v>
      </c>
      <c r="N3372" t="str">
        <f>"2303005679  "</f>
        <v xml:space="preserve">2303005679  </v>
      </c>
      <c r="O3372">
        <v>230919</v>
      </c>
    </row>
    <row r="3373" spans="1:15" x14ac:dyDescent="0.25">
      <c r="A3373" t="s">
        <v>16</v>
      </c>
      <c r="B3373" t="s">
        <v>3221</v>
      </c>
      <c r="C3373">
        <v>13194</v>
      </c>
      <c r="D3373" t="s">
        <v>846</v>
      </c>
      <c r="E3373" t="s">
        <v>847</v>
      </c>
      <c r="F3373">
        <v>247.76</v>
      </c>
      <c r="G3373">
        <v>230919</v>
      </c>
      <c r="H3373">
        <v>4600</v>
      </c>
      <c r="I3373" t="s">
        <v>105</v>
      </c>
      <c r="J3373">
        <v>307.22000000000003</v>
      </c>
      <c r="K3373">
        <v>59.46</v>
      </c>
      <c r="L3373">
        <v>56560</v>
      </c>
      <c r="M3373" t="s">
        <v>654</v>
      </c>
      <c r="N3373" t="str">
        <f>"2303005876  "</f>
        <v xml:space="preserve">2303005876  </v>
      </c>
      <c r="O3373">
        <v>231005</v>
      </c>
    </row>
    <row r="3374" spans="1:15" x14ac:dyDescent="0.25">
      <c r="A3374" t="s">
        <v>16</v>
      </c>
      <c r="B3374" t="s">
        <v>3221</v>
      </c>
      <c r="C3374">
        <v>14993</v>
      </c>
      <c r="D3374" t="s">
        <v>846</v>
      </c>
      <c r="E3374" t="s">
        <v>847</v>
      </c>
      <c r="F3374">
        <v>211.15</v>
      </c>
      <c r="G3374">
        <v>231025</v>
      </c>
      <c r="H3374">
        <v>4600</v>
      </c>
      <c r="I3374" t="s">
        <v>105</v>
      </c>
      <c r="J3374">
        <v>261.83</v>
      </c>
      <c r="K3374">
        <v>50.68</v>
      </c>
      <c r="L3374">
        <v>56560</v>
      </c>
      <c r="M3374" t="s">
        <v>654</v>
      </c>
      <c r="N3374" t="str">
        <f>"2303006925  "</f>
        <v xml:space="preserve">2303006925  </v>
      </c>
      <c r="O3374">
        <v>231108</v>
      </c>
    </row>
    <row r="3375" spans="1:15" x14ac:dyDescent="0.25">
      <c r="A3375" t="s">
        <v>16</v>
      </c>
      <c r="B3375" t="s">
        <v>3221</v>
      </c>
      <c r="C3375">
        <v>15649</v>
      </c>
      <c r="D3375" t="s">
        <v>846</v>
      </c>
      <c r="E3375" t="s">
        <v>847</v>
      </c>
      <c r="F3375">
        <v>100.5</v>
      </c>
      <c r="G3375">
        <v>231103</v>
      </c>
      <c r="H3375">
        <v>4600</v>
      </c>
      <c r="I3375" t="s">
        <v>105</v>
      </c>
      <c r="J3375">
        <v>124.62</v>
      </c>
      <c r="K3375">
        <v>24.12</v>
      </c>
      <c r="L3375">
        <v>17807</v>
      </c>
      <c r="M3375" t="s">
        <v>318</v>
      </c>
      <c r="N3375" t="str">
        <f>"2303007196  "</f>
        <v xml:space="preserve">2303007196  </v>
      </c>
      <c r="O3375">
        <v>231116</v>
      </c>
    </row>
    <row r="3376" spans="1:15" x14ac:dyDescent="0.25">
      <c r="A3376" t="s">
        <v>16</v>
      </c>
      <c r="B3376" t="s">
        <v>3221</v>
      </c>
      <c r="C3376">
        <v>17133</v>
      </c>
      <c r="D3376" t="s">
        <v>846</v>
      </c>
      <c r="E3376" t="s">
        <v>847</v>
      </c>
      <c r="F3376">
        <v>120.42</v>
      </c>
      <c r="G3376">
        <v>231205</v>
      </c>
      <c r="H3376">
        <v>4600</v>
      </c>
      <c r="I3376" t="s">
        <v>105</v>
      </c>
      <c r="J3376">
        <v>149.32</v>
      </c>
      <c r="K3376">
        <v>28.9</v>
      </c>
      <c r="L3376">
        <v>56560</v>
      </c>
      <c r="M3376" t="s">
        <v>654</v>
      </c>
      <c r="N3376" t="str">
        <f>"2303007986  "</f>
        <v xml:space="preserve">2303007986  </v>
      </c>
      <c r="O3376">
        <v>231212</v>
      </c>
    </row>
    <row r="3377" spans="1:16" x14ac:dyDescent="0.25">
      <c r="A3377" t="s">
        <v>16</v>
      </c>
      <c r="B3377" t="s">
        <v>3221</v>
      </c>
      <c r="C3377">
        <v>1335</v>
      </c>
      <c r="D3377" t="s">
        <v>832</v>
      </c>
      <c r="E3377" t="s">
        <v>833</v>
      </c>
      <c r="F3377">
        <v>29.95</v>
      </c>
      <c r="G3377">
        <v>230126</v>
      </c>
      <c r="H3377">
        <v>4580</v>
      </c>
      <c r="I3377" t="s">
        <v>35</v>
      </c>
      <c r="J3377">
        <v>37.14</v>
      </c>
      <c r="K3377">
        <v>7.19</v>
      </c>
      <c r="L3377">
        <v>17525</v>
      </c>
      <c r="M3377" t="s">
        <v>135</v>
      </c>
      <c r="N3377" t="str">
        <f>"23663471    "</f>
        <v xml:space="preserve">23663471    </v>
      </c>
      <c r="O3377">
        <v>230208</v>
      </c>
    </row>
    <row r="3378" spans="1:16" x14ac:dyDescent="0.25">
      <c r="A3378" t="s">
        <v>16</v>
      </c>
      <c r="B3378" t="s">
        <v>3221</v>
      </c>
      <c r="C3378">
        <v>11274</v>
      </c>
      <c r="D3378" t="s">
        <v>832</v>
      </c>
      <c r="E3378" t="s">
        <v>833</v>
      </c>
      <c r="F3378">
        <v>116.5</v>
      </c>
      <c r="G3378">
        <v>230828</v>
      </c>
      <c r="H3378">
        <v>4580</v>
      </c>
      <c r="I3378" t="s">
        <v>35</v>
      </c>
      <c r="J3378">
        <v>144.46</v>
      </c>
      <c r="K3378">
        <v>27.96</v>
      </c>
      <c r="L3378">
        <v>17525</v>
      </c>
      <c r="M3378" t="s">
        <v>135</v>
      </c>
      <c r="N3378" t="str">
        <f>"24016798    "</f>
        <v xml:space="preserve">24016798    </v>
      </c>
      <c r="O3378">
        <v>230904</v>
      </c>
    </row>
    <row r="3379" spans="1:16" x14ac:dyDescent="0.25">
      <c r="A3379" t="s">
        <v>16</v>
      </c>
      <c r="B3379" t="s">
        <v>3221</v>
      </c>
      <c r="C3379">
        <v>11804</v>
      </c>
      <c r="D3379" t="s">
        <v>832</v>
      </c>
      <c r="E3379" t="s">
        <v>833</v>
      </c>
      <c r="F3379">
        <v>99.46</v>
      </c>
      <c r="G3379">
        <v>230903</v>
      </c>
      <c r="H3379">
        <v>4580</v>
      </c>
      <c r="I3379" t="s">
        <v>35</v>
      </c>
      <c r="J3379">
        <v>123.33</v>
      </c>
      <c r="K3379">
        <v>23.87</v>
      </c>
      <c r="L3379">
        <v>56528</v>
      </c>
      <c r="M3379" t="s">
        <v>153</v>
      </c>
      <c r="N3379" t="str">
        <f>"24031000    "</f>
        <v xml:space="preserve">24031000    </v>
      </c>
      <c r="O3379">
        <v>230911</v>
      </c>
    </row>
    <row r="3380" spans="1:16" x14ac:dyDescent="0.25">
      <c r="A3380" t="s">
        <v>16</v>
      </c>
      <c r="B3380" t="s">
        <v>3221</v>
      </c>
      <c r="C3380">
        <v>18758</v>
      </c>
      <c r="D3380" t="s">
        <v>832</v>
      </c>
      <c r="E3380" t="s">
        <v>833</v>
      </c>
      <c r="F3380">
        <v>253.27</v>
      </c>
      <c r="G3380">
        <v>231227</v>
      </c>
      <c r="H3380">
        <v>4580</v>
      </c>
      <c r="I3380" t="s">
        <v>35</v>
      </c>
      <c r="J3380">
        <v>314.05</v>
      </c>
      <c r="K3380">
        <v>60.78</v>
      </c>
      <c r="L3380">
        <v>56559</v>
      </c>
      <c r="M3380" t="s">
        <v>129</v>
      </c>
      <c r="N3380" t="str">
        <f>"24223463    "</f>
        <v xml:space="preserve">24223463    </v>
      </c>
      <c r="O3380">
        <v>240105</v>
      </c>
    </row>
    <row r="3381" spans="1:16" x14ac:dyDescent="0.25">
      <c r="A3381" t="s">
        <v>16</v>
      </c>
      <c r="B3381" t="s">
        <v>3221</v>
      </c>
      <c r="C3381">
        <v>1006</v>
      </c>
      <c r="D3381" t="s">
        <v>832</v>
      </c>
      <c r="E3381" t="s">
        <v>833</v>
      </c>
      <c r="F3381">
        <v>17.96</v>
      </c>
      <c r="G3381">
        <v>230126</v>
      </c>
      <c r="H3381">
        <v>4600</v>
      </c>
      <c r="I3381" t="s">
        <v>105</v>
      </c>
      <c r="J3381">
        <v>22.27</v>
      </c>
      <c r="K3381">
        <v>4.3099999999999996</v>
      </c>
      <c r="L3381">
        <v>17525</v>
      </c>
      <c r="M3381" t="s">
        <v>135</v>
      </c>
      <c r="N3381" t="str">
        <f>"23664113    "</f>
        <v xml:space="preserve">23664113    </v>
      </c>
      <c r="O3381">
        <v>230202</v>
      </c>
    </row>
    <row r="3382" spans="1:16" x14ac:dyDescent="0.25">
      <c r="A3382" t="s">
        <v>16</v>
      </c>
      <c r="B3382" t="s">
        <v>3221</v>
      </c>
      <c r="C3382">
        <v>1006</v>
      </c>
      <c r="D3382" t="s">
        <v>832</v>
      </c>
      <c r="E3382" t="s">
        <v>833</v>
      </c>
      <c r="F3382">
        <v>73.42</v>
      </c>
      <c r="G3382">
        <v>230126</v>
      </c>
      <c r="H3382">
        <v>4600</v>
      </c>
      <c r="I3382" t="s">
        <v>105</v>
      </c>
      <c r="J3382">
        <v>91.04</v>
      </c>
      <c r="K3382">
        <v>17.62</v>
      </c>
      <c r="L3382">
        <v>17529</v>
      </c>
      <c r="M3382" t="s">
        <v>453</v>
      </c>
      <c r="N3382" t="str">
        <f>"23664113    "</f>
        <v xml:space="preserve">23664113    </v>
      </c>
      <c r="O3382">
        <v>230202</v>
      </c>
    </row>
    <row r="3383" spans="1:16" x14ac:dyDescent="0.25">
      <c r="A3383" t="s">
        <v>16</v>
      </c>
      <c r="B3383" t="s">
        <v>3221</v>
      </c>
      <c r="C3383">
        <v>1335</v>
      </c>
      <c r="D3383" t="s">
        <v>832</v>
      </c>
      <c r="E3383" t="s">
        <v>833</v>
      </c>
      <c r="F3383">
        <v>91.54</v>
      </c>
      <c r="G3383">
        <v>230126</v>
      </c>
      <c r="H3383">
        <v>4600</v>
      </c>
      <c r="I3383" t="s">
        <v>105</v>
      </c>
      <c r="J3383">
        <v>113.51</v>
      </c>
      <c r="K3383">
        <v>21.97</v>
      </c>
      <c r="L3383">
        <v>17529</v>
      </c>
      <c r="M3383" t="s">
        <v>453</v>
      </c>
      <c r="N3383" t="str">
        <f>"23663471    "</f>
        <v xml:space="preserve">23663471    </v>
      </c>
      <c r="O3383">
        <v>230208</v>
      </c>
    </row>
    <row r="3384" spans="1:16" x14ac:dyDescent="0.25">
      <c r="A3384" t="s">
        <v>16</v>
      </c>
      <c r="B3384" t="s">
        <v>3221</v>
      </c>
      <c r="C3384">
        <v>1336</v>
      </c>
      <c r="D3384" t="s">
        <v>832</v>
      </c>
      <c r="E3384" t="s">
        <v>833</v>
      </c>
      <c r="F3384">
        <v>-83.29</v>
      </c>
      <c r="G3384">
        <v>230201</v>
      </c>
      <c r="H3384">
        <v>4600</v>
      </c>
      <c r="I3384" t="s">
        <v>105</v>
      </c>
      <c r="J3384">
        <v>-103.28</v>
      </c>
      <c r="K3384">
        <v>-19.989999999999998</v>
      </c>
      <c r="L3384">
        <v>17529</v>
      </c>
      <c r="M3384" t="s">
        <v>453</v>
      </c>
      <c r="N3384" t="str">
        <f>"9118049     "</f>
        <v xml:space="preserve">9118049     </v>
      </c>
      <c r="O3384">
        <v>230208</v>
      </c>
    </row>
    <row r="3385" spans="1:16" x14ac:dyDescent="0.25">
      <c r="A3385" t="s">
        <v>16</v>
      </c>
      <c r="B3385" t="s">
        <v>3221</v>
      </c>
      <c r="C3385">
        <v>1639</v>
      </c>
      <c r="D3385" t="s">
        <v>832</v>
      </c>
      <c r="E3385" t="s">
        <v>833</v>
      </c>
      <c r="F3385">
        <v>67.17</v>
      </c>
      <c r="G3385">
        <v>230201</v>
      </c>
      <c r="H3385">
        <v>4600</v>
      </c>
      <c r="I3385" t="s">
        <v>105</v>
      </c>
      <c r="J3385">
        <v>83.29</v>
      </c>
      <c r="K3385">
        <v>16.12</v>
      </c>
      <c r="L3385">
        <v>17529</v>
      </c>
      <c r="M3385" t="s">
        <v>453</v>
      </c>
      <c r="N3385" t="str">
        <f>"23678068    "</f>
        <v xml:space="preserve">23678068    </v>
      </c>
      <c r="O3385">
        <v>230210</v>
      </c>
    </row>
    <row r="3386" spans="1:16" x14ac:dyDescent="0.25">
      <c r="A3386" t="s">
        <v>16</v>
      </c>
      <c r="B3386" t="s">
        <v>3221</v>
      </c>
      <c r="C3386">
        <v>2135</v>
      </c>
      <c r="D3386" t="s">
        <v>832</v>
      </c>
      <c r="E3386" t="s">
        <v>833</v>
      </c>
      <c r="F3386">
        <v>20.7</v>
      </c>
      <c r="G3386">
        <v>230216</v>
      </c>
      <c r="H3386">
        <v>4600</v>
      </c>
      <c r="I3386" t="s">
        <v>105</v>
      </c>
      <c r="J3386">
        <v>25.67</v>
      </c>
      <c r="K3386">
        <v>4.97</v>
      </c>
      <c r="L3386">
        <v>17711</v>
      </c>
      <c r="M3386" t="s">
        <v>65</v>
      </c>
      <c r="N3386" t="str">
        <f>"23703813    "</f>
        <v xml:space="preserve">23703813    </v>
      </c>
      <c r="O3386">
        <v>230221</v>
      </c>
    </row>
    <row r="3387" spans="1:16" x14ac:dyDescent="0.25">
      <c r="A3387" t="s">
        <v>16</v>
      </c>
      <c r="B3387" t="s">
        <v>3221</v>
      </c>
      <c r="C3387">
        <v>2658</v>
      </c>
      <c r="D3387" t="s">
        <v>832</v>
      </c>
      <c r="E3387" t="s">
        <v>833</v>
      </c>
      <c r="F3387">
        <v>73.209999999999994</v>
      </c>
      <c r="G3387">
        <v>230219</v>
      </c>
      <c r="H3387">
        <v>4600</v>
      </c>
      <c r="I3387" t="s">
        <v>105</v>
      </c>
      <c r="J3387">
        <v>90.78</v>
      </c>
      <c r="K3387">
        <v>17.57</v>
      </c>
      <c r="L3387">
        <v>47522</v>
      </c>
      <c r="M3387" t="s">
        <v>410</v>
      </c>
      <c r="N3387" t="str">
        <f>"23705270    "</f>
        <v xml:space="preserve">23705270    </v>
      </c>
      <c r="O3387">
        <v>230306</v>
      </c>
    </row>
    <row r="3388" spans="1:16" x14ac:dyDescent="0.25">
      <c r="A3388" t="s">
        <v>16</v>
      </c>
      <c r="B3388" t="s">
        <v>3221</v>
      </c>
      <c r="C3388">
        <v>4391</v>
      </c>
      <c r="D3388" t="s">
        <v>832</v>
      </c>
      <c r="E3388" t="s">
        <v>833</v>
      </c>
      <c r="F3388">
        <v>305.5</v>
      </c>
      <c r="G3388">
        <v>230320</v>
      </c>
      <c r="H3388">
        <v>4600</v>
      </c>
      <c r="I3388" t="s">
        <v>105</v>
      </c>
      <c r="J3388">
        <v>378.82</v>
      </c>
      <c r="K3388">
        <v>73.319999999999993</v>
      </c>
      <c r="L3388">
        <v>17521</v>
      </c>
      <c r="M3388" t="s">
        <v>133</v>
      </c>
      <c r="N3388" t="str">
        <f>"23755127    "</f>
        <v xml:space="preserve">23755127    </v>
      </c>
      <c r="O3388">
        <v>230405</v>
      </c>
    </row>
    <row r="3389" spans="1:16" x14ac:dyDescent="0.25">
      <c r="A3389" t="s">
        <v>16</v>
      </c>
      <c r="B3389" t="s">
        <v>3221</v>
      </c>
      <c r="C3389">
        <v>14014</v>
      </c>
      <c r="D3389" t="s">
        <v>832</v>
      </c>
      <c r="E3389" t="s">
        <v>833</v>
      </c>
      <c r="F3389">
        <v>298.31</v>
      </c>
      <c r="G3389">
        <v>231008</v>
      </c>
      <c r="H3389">
        <v>4600</v>
      </c>
      <c r="I3389" t="s">
        <v>105</v>
      </c>
      <c r="J3389">
        <v>369.9</v>
      </c>
      <c r="K3389">
        <v>71.59</v>
      </c>
      <c r="L3389">
        <v>46554</v>
      </c>
      <c r="M3389" t="s">
        <v>117</v>
      </c>
      <c r="N3389" t="str">
        <f>"24090474    "</f>
        <v xml:space="preserve">24090474    </v>
      </c>
      <c r="O3389">
        <v>231017</v>
      </c>
    </row>
    <row r="3390" spans="1:16" x14ac:dyDescent="0.25">
      <c r="A3390" t="s">
        <v>16</v>
      </c>
      <c r="B3390" t="s">
        <v>3221</v>
      </c>
      <c r="C3390">
        <v>14566</v>
      </c>
      <c r="D3390" t="s">
        <v>832</v>
      </c>
      <c r="E3390" t="s">
        <v>833</v>
      </c>
      <c r="F3390">
        <v>269.36</v>
      </c>
      <c r="G3390">
        <v>231017</v>
      </c>
      <c r="H3390">
        <v>4600</v>
      </c>
      <c r="I3390" t="s">
        <v>105</v>
      </c>
      <c r="J3390">
        <v>334.01</v>
      </c>
      <c r="K3390">
        <v>64.650000000000006</v>
      </c>
      <c r="L3390">
        <v>69501</v>
      </c>
      <c r="M3390" t="s">
        <v>185</v>
      </c>
      <c r="N3390" t="str">
        <f>"24106841    "</f>
        <v xml:space="preserve">24106841    </v>
      </c>
      <c r="O3390">
        <v>231030</v>
      </c>
    </row>
    <row r="3391" spans="1:16" x14ac:dyDescent="0.25">
      <c r="A3391" t="s">
        <v>16</v>
      </c>
      <c r="B3391" t="s">
        <v>3221</v>
      </c>
      <c r="C3391">
        <v>18248</v>
      </c>
      <c r="D3391" t="s">
        <v>832</v>
      </c>
      <c r="E3391" t="s">
        <v>833</v>
      </c>
      <c r="F3391">
        <v>32.5</v>
      </c>
      <c r="G3391">
        <v>231220</v>
      </c>
      <c r="H3391">
        <v>4600</v>
      </c>
      <c r="I3391" t="s">
        <v>105</v>
      </c>
      <c r="J3391">
        <v>40.299999999999997</v>
      </c>
      <c r="K3391">
        <v>7.8</v>
      </c>
      <c r="L3391">
        <v>17525</v>
      </c>
      <c r="M3391" t="s">
        <v>135</v>
      </c>
      <c r="N3391" t="str">
        <f>"24218675    "</f>
        <v xml:space="preserve">24218675    </v>
      </c>
      <c r="O3391">
        <v>240102</v>
      </c>
    </row>
    <row r="3392" spans="1:16" x14ac:dyDescent="0.25">
      <c r="A3392" t="s">
        <v>16</v>
      </c>
      <c r="B3392" t="s">
        <v>3221</v>
      </c>
      <c r="C3392">
        <v>14062</v>
      </c>
      <c r="D3392" t="s">
        <v>3373</v>
      </c>
      <c r="E3392" t="s">
        <v>3374</v>
      </c>
      <c r="F3392">
        <v>870</v>
      </c>
      <c r="G3392">
        <v>231016</v>
      </c>
      <c r="H3392">
        <v>4410</v>
      </c>
      <c r="I3392" t="s">
        <v>517</v>
      </c>
      <c r="J3392">
        <v>870</v>
      </c>
      <c r="K3392">
        <v>0</v>
      </c>
      <c r="L3392">
        <v>11902</v>
      </c>
      <c r="M3392" t="s">
        <v>1443</v>
      </c>
      <c r="N3392" t="str">
        <f>"2023FUE89   "</f>
        <v xml:space="preserve">2023FUE89   </v>
      </c>
      <c r="O3392">
        <v>231018</v>
      </c>
      <c r="P3392" t="s">
        <v>3375</v>
      </c>
    </row>
    <row r="3393" spans="1:16" x14ac:dyDescent="0.25">
      <c r="A3393" t="s">
        <v>16</v>
      </c>
      <c r="B3393" t="s">
        <v>3221</v>
      </c>
      <c r="C3393">
        <v>16358</v>
      </c>
      <c r="D3393" t="s">
        <v>3373</v>
      </c>
      <c r="E3393" t="s">
        <v>3374</v>
      </c>
      <c r="F3393">
        <v>1615</v>
      </c>
      <c r="G3393">
        <v>231123</v>
      </c>
      <c r="H3393">
        <v>4410</v>
      </c>
      <c r="I3393" t="s">
        <v>517</v>
      </c>
      <c r="J3393">
        <v>1615</v>
      </c>
      <c r="K3393">
        <v>0</v>
      </c>
      <c r="L3393">
        <v>11902</v>
      </c>
      <c r="M3393" t="s">
        <v>1443</v>
      </c>
      <c r="N3393" t="str">
        <f>"2023FUE100  "</f>
        <v xml:space="preserve">2023FUE100  </v>
      </c>
      <c r="O3393">
        <v>231128</v>
      </c>
      <c r="P3393" t="s">
        <v>3375</v>
      </c>
    </row>
    <row r="3394" spans="1:16" x14ac:dyDescent="0.25">
      <c r="A3394" t="s">
        <v>16</v>
      </c>
      <c r="B3394" t="s">
        <v>3221</v>
      </c>
      <c r="C3394">
        <v>14062</v>
      </c>
      <c r="D3394" t="s">
        <v>3373</v>
      </c>
      <c r="E3394" t="s">
        <v>3374</v>
      </c>
      <c r="F3394">
        <v>120</v>
      </c>
      <c r="G3394">
        <v>231016</v>
      </c>
      <c r="H3394">
        <v>4420</v>
      </c>
      <c r="I3394" t="s">
        <v>132</v>
      </c>
      <c r="J3394">
        <v>120</v>
      </c>
      <c r="K3394">
        <v>0</v>
      </c>
      <c r="L3394">
        <v>11902</v>
      </c>
      <c r="M3394" t="s">
        <v>1443</v>
      </c>
      <c r="N3394" t="str">
        <f>"2023FUE89   "</f>
        <v xml:space="preserve">2023FUE89   </v>
      </c>
      <c r="O3394">
        <v>231018</v>
      </c>
      <c r="P3394" t="s">
        <v>3375</v>
      </c>
    </row>
    <row r="3395" spans="1:16" x14ac:dyDescent="0.25">
      <c r="A3395" t="s">
        <v>16</v>
      </c>
      <c r="B3395" t="s">
        <v>3221</v>
      </c>
      <c r="C3395">
        <v>16358</v>
      </c>
      <c r="D3395" t="s">
        <v>3373</v>
      </c>
      <c r="E3395" t="s">
        <v>3374</v>
      </c>
      <c r="F3395">
        <v>140</v>
      </c>
      <c r="G3395">
        <v>231123</v>
      </c>
      <c r="H3395">
        <v>4420</v>
      </c>
      <c r="I3395" t="s">
        <v>132</v>
      </c>
      <c r="J3395">
        <v>140</v>
      </c>
      <c r="K3395">
        <v>0</v>
      </c>
      <c r="L3395">
        <v>11902</v>
      </c>
      <c r="M3395" t="s">
        <v>1443</v>
      </c>
      <c r="N3395" t="str">
        <f>"2023FUE100  "</f>
        <v xml:space="preserve">2023FUE100  </v>
      </c>
      <c r="O3395">
        <v>231128</v>
      </c>
      <c r="P3395" t="s">
        <v>3375</v>
      </c>
    </row>
    <row r="3396" spans="1:16" x14ac:dyDescent="0.25">
      <c r="A3396" t="s">
        <v>16</v>
      </c>
      <c r="B3396" t="s">
        <v>3221</v>
      </c>
      <c r="C3396">
        <v>2405</v>
      </c>
      <c r="D3396" t="s">
        <v>3373</v>
      </c>
      <c r="E3396" t="s">
        <v>3374</v>
      </c>
      <c r="F3396">
        <v>400</v>
      </c>
      <c r="G3396">
        <v>230220</v>
      </c>
      <c r="H3396">
        <v>4440</v>
      </c>
      <c r="I3396" t="s">
        <v>250</v>
      </c>
      <c r="J3396">
        <v>400</v>
      </c>
      <c r="K3396">
        <v>0</v>
      </c>
      <c r="L3396">
        <v>11902</v>
      </c>
      <c r="M3396" t="s">
        <v>1443</v>
      </c>
      <c r="N3396" t="str">
        <f>"2023FUE15   "</f>
        <v xml:space="preserve">2023FUE15   </v>
      </c>
      <c r="O3396">
        <v>230227</v>
      </c>
      <c r="P3396" t="s">
        <v>3375</v>
      </c>
    </row>
    <row r="3397" spans="1:16" x14ac:dyDescent="0.25">
      <c r="A3397" t="s">
        <v>16</v>
      </c>
      <c r="B3397" t="s">
        <v>3221</v>
      </c>
      <c r="C3397">
        <v>2405</v>
      </c>
      <c r="D3397" t="s">
        <v>3373</v>
      </c>
      <c r="E3397" t="s">
        <v>3374</v>
      </c>
      <c r="F3397">
        <v>600</v>
      </c>
      <c r="G3397">
        <v>230220</v>
      </c>
      <c r="H3397">
        <v>4440</v>
      </c>
      <c r="I3397" t="s">
        <v>250</v>
      </c>
      <c r="J3397">
        <v>600</v>
      </c>
      <c r="K3397">
        <v>0</v>
      </c>
      <c r="L3397">
        <v>11902</v>
      </c>
      <c r="M3397" t="s">
        <v>1443</v>
      </c>
      <c r="N3397" t="str">
        <f>"2023FUE15   "</f>
        <v xml:space="preserve">2023FUE15   </v>
      </c>
      <c r="O3397">
        <v>230227</v>
      </c>
      <c r="P3397" t="s">
        <v>3375</v>
      </c>
    </row>
    <row r="3398" spans="1:16" x14ac:dyDescent="0.25">
      <c r="A3398" t="s">
        <v>16</v>
      </c>
      <c r="B3398" t="s">
        <v>3221</v>
      </c>
      <c r="C3398">
        <v>12757</v>
      </c>
      <c r="D3398" t="s">
        <v>3373</v>
      </c>
      <c r="E3398" t="s">
        <v>3374</v>
      </c>
      <c r="F3398">
        <v>750</v>
      </c>
      <c r="G3398">
        <v>230922</v>
      </c>
      <c r="H3398">
        <v>4440</v>
      </c>
      <c r="I3398" t="s">
        <v>250</v>
      </c>
      <c r="J3398">
        <v>750</v>
      </c>
      <c r="K3398">
        <v>0</v>
      </c>
      <c r="L3398">
        <v>11902</v>
      </c>
      <c r="M3398" t="s">
        <v>1443</v>
      </c>
      <c r="N3398" t="str">
        <f>"2023FUE82   "</f>
        <v xml:space="preserve">2023FUE82   </v>
      </c>
      <c r="O3398">
        <v>230926</v>
      </c>
      <c r="P3398" t="s">
        <v>3375</v>
      </c>
    </row>
    <row r="3399" spans="1:16" x14ac:dyDescent="0.25">
      <c r="A3399" t="s">
        <v>16</v>
      </c>
      <c r="B3399" t="s">
        <v>3221</v>
      </c>
      <c r="C3399">
        <v>14062</v>
      </c>
      <c r="D3399" t="s">
        <v>3373</v>
      </c>
      <c r="E3399" t="s">
        <v>3374</v>
      </c>
      <c r="F3399">
        <v>750</v>
      </c>
      <c r="G3399">
        <v>231016</v>
      </c>
      <c r="H3399">
        <v>4440</v>
      </c>
      <c r="I3399" t="s">
        <v>250</v>
      </c>
      <c r="J3399">
        <v>750</v>
      </c>
      <c r="K3399">
        <v>0</v>
      </c>
      <c r="L3399">
        <v>11902</v>
      </c>
      <c r="M3399" t="s">
        <v>1443</v>
      </c>
      <c r="N3399" t="str">
        <f>"2023FUE89   "</f>
        <v xml:space="preserve">2023FUE89   </v>
      </c>
      <c r="O3399">
        <v>231018</v>
      </c>
      <c r="P3399" t="s">
        <v>3375</v>
      </c>
    </row>
    <row r="3400" spans="1:16" x14ac:dyDescent="0.25">
      <c r="A3400" t="s">
        <v>16</v>
      </c>
      <c r="B3400" t="s">
        <v>3221</v>
      </c>
      <c r="C3400">
        <v>16358</v>
      </c>
      <c r="D3400" t="s">
        <v>3373</v>
      </c>
      <c r="E3400" t="s">
        <v>3374</v>
      </c>
      <c r="F3400">
        <v>400</v>
      </c>
      <c r="G3400">
        <v>231123</v>
      </c>
      <c r="H3400">
        <v>4440</v>
      </c>
      <c r="I3400" t="s">
        <v>250</v>
      </c>
      <c r="J3400">
        <v>400</v>
      </c>
      <c r="K3400">
        <v>0</v>
      </c>
      <c r="L3400">
        <v>11902</v>
      </c>
      <c r="M3400" t="s">
        <v>1443</v>
      </c>
      <c r="N3400" t="str">
        <f>"2023FUE100  "</f>
        <v xml:space="preserve">2023FUE100  </v>
      </c>
      <c r="O3400">
        <v>231128</v>
      </c>
      <c r="P3400" t="s">
        <v>3375</v>
      </c>
    </row>
    <row r="3401" spans="1:16" x14ac:dyDescent="0.25">
      <c r="A3401" t="s">
        <v>16</v>
      </c>
      <c r="B3401" t="s">
        <v>3221</v>
      </c>
      <c r="C3401">
        <v>16063</v>
      </c>
      <c r="D3401" t="s">
        <v>2492</v>
      </c>
      <c r="E3401" t="s">
        <v>2493</v>
      </c>
      <c r="F3401">
        <v>18</v>
      </c>
      <c r="G3401">
        <v>231120</v>
      </c>
      <c r="H3401">
        <v>4420</v>
      </c>
      <c r="I3401" t="s">
        <v>132</v>
      </c>
      <c r="J3401">
        <v>22.32</v>
      </c>
      <c r="K3401">
        <v>4.32</v>
      </c>
      <c r="L3401">
        <v>13801</v>
      </c>
      <c r="M3401" t="s">
        <v>162</v>
      </c>
      <c r="N3401" t="str">
        <f>"2303002524  "</f>
        <v xml:space="preserve">2303002524  </v>
      </c>
      <c r="O3401">
        <v>231122</v>
      </c>
    </row>
    <row r="3402" spans="1:16" x14ac:dyDescent="0.25">
      <c r="A3402" t="s">
        <v>16</v>
      </c>
      <c r="B3402" t="s">
        <v>3221</v>
      </c>
      <c r="C3402">
        <v>11478</v>
      </c>
      <c r="D3402" t="s">
        <v>2492</v>
      </c>
      <c r="E3402" t="s">
        <v>2493</v>
      </c>
      <c r="F3402">
        <v>39.549999999999997</v>
      </c>
      <c r="G3402">
        <v>230822</v>
      </c>
      <c r="H3402">
        <v>4600</v>
      </c>
      <c r="I3402" t="s">
        <v>105</v>
      </c>
      <c r="J3402">
        <v>49.04</v>
      </c>
      <c r="K3402">
        <v>9.49</v>
      </c>
      <c r="L3402">
        <v>17522</v>
      </c>
      <c r="M3402" t="s">
        <v>451</v>
      </c>
      <c r="N3402" t="str">
        <f>"2303001836  "</f>
        <v xml:space="preserve">2303001836  </v>
      </c>
      <c r="O3402">
        <v>230906</v>
      </c>
    </row>
    <row r="3403" spans="1:16" x14ac:dyDescent="0.25">
      <c r="A3403" t="s">
        <v>16</v>
      </c>
      <c r="B3403" t="s">
        <v>3221</v>
      </c>
      <c r="C3403">
        <v>11478</v>
      </c>
      <c r="D3403" t="s">
        <v>2492</v>
      </c>
      <c r="E3403" t="s">
        <v>2493</v>
      </c>
      <c r="F3403">
        <v>171.37</v>
      </c>
      <c r="G3403">
        <v>230822</v>
      </c>
      <c r="H3403">
        <v>4600</v>
      </c>
      <c r="I3403" t="s">
        <v>105</v>
      </c>
      <c r="J3403">
        <v>212.5</v>
      </c>
      <c r="K3403">
        <v>41.13</v>
      </c>
      <c r="L3403">
        <v>17647</v>
      </c>
      <c r="M3403" t="s">
        <v>1132</v>
      </c>
      <c r="N3403" t="str">
        <f>"2303001836  "</f>
        <v xml:space="preserve">2303001836  </v>
      </c>
      <c r="O3403">
        <v>230906</v>
      </c>
    </row>
    <row r="3404" spans="1:16" x14ac:dyDescent="0.25">
      <c r="A3404" t="s">
        <v>16</v>
      </c>
      <c r="B3404" t="s">
        <v>3221</v>
      </c>
      <c r="C3404">
        <v>16063</v>
      </c>
      <c r="D3404" t="s">
        <v>2492</v>
      </c>
      <c r="E3404" t="s">
        <v>2493</v>
      </c>
      <c r="F3404">
        <v>116.2</v>
      </c>
      <c r="G3404">
        <v>231120</v>
      </c>
      <c r="H3404">
        <v>4600</v>
      </c>
      <c r="I3404" t="s">
        <v>105</v>
      </c>
      <c r="J3404">
        <v>144.09</v>
      </c>
      <c r="K3404">
        <v>27.89</v>
      </c>
      <c r="L3404">
        <v>13801</v>
      </c>
      <c r="M3404" t="s">
        <v>162</v>
      </c>
      <c r="N3404" t="str">
        <f>"2303002524  "</f>
        <v xml:space="preserve">2303002524  </v>
      </c>
      <c r="O3404">
        <v>231122</v>
      </c>
    </row>
    <row r="3405" spans="1:16" x14ac:dyDescent="0.25">
      <c r="A3405" t="s">
        <v>16</v>
      </c>
      <c r="B3405" t="s">
        <v>3221</v>
      </c>
      <c r="C3405">
        <v>16147</v>
      </c>
      <c r="D3405" t="s">
        <v>1975</v>
      </c>
      <c r="E3405" t="s">
        <v>1976</v>
      </c>
      <c r="F3405">
        <v>300</v>
      </c>
      <c r="G3405">
        <v>231122</v>
      </c>
      <c r="H3405">
        <v>4580</v>
      </c>
      <c r="I3405" t="s">
        <v>35</v>
      </c>
      <c r="J3405">
        <v>300</v>
      </c>
      <c r="K3405">
        <v>0</v>
      </c>
      <c r="L3405">
        <v>59704</v>
      </c>
      <c r="M3405" t="s">
        <v>1103</v>
      </c>
      <c r="N3405" t="str">
        <f>"55365       "</f>
        <v xml:space="preserve">55365       </v>
      </c>
      <c r="O3405">
        <v>231123</v>
      </c>
    </row>
    <row r="3406" spans="1:16" x14ac:dyDescent="0.25">
      <c r="A3406" t="s">
        <v>16</v>
      </c>
      <c r="B3406" t="s">
        <v>3221</v>
      </c>
      <c r="C3406">
        <v>6544</v>
      </c>
      <c r="D3406" t="s">
        <v>1975</v>
      </c>
      <c r="E3406" t="s">
        <v>1976</v>
      </c>
      <c r="F3406">
        <v>350</v>
      </c>
      <c r="G3406">
        <v>230511</v>
      </c>
      <c r="H3406">
        <v>4600</v>
      </c>
      <c r="I3406" t="s">
        <v>105</v>
      </c>
      <c r="J3406">
        <v>350</v>
      </c>
      <c r="K3406">
        <v>0</v>
      </c>
      <c r="L3406">
        <v>69702</v>
      </c>
      <c r="M3406" t="s">
        <v>489</v>
      </c>
      <c r="N3406" t="str">
        <f>"54012       "</f>
        <v xml:space="preserve">54012       </v>
      </c>
      <c r="O3406">
        <v>230512</v>
      </c>
    </row>
    <row r="3407" spans="1:16" x14ac:dyDescent="0.25">
      <c r="A3407" t="s">
        <v>16</v>
      </c>
      <c r="B3407" t="s">
        <v>3221</v>
      </c>
      <c r="C3407">
        <v>7459</v>
      </c>
      <c r="D3407" t="s">
        <v>1975</v>
      </c>
      <c r="E3407" t="s">
        <v>1976</v>
      </c>
      <c r="F3407">
        <v>411.29</v>
      </c>
      <c r="G3407">
        <v>230529</v>
      </c>
      <c r="H3407">
        <v>4600</v>
      </c>
      <c r="I3407" t="s">
        <v>105</v>
      </c>
      <c r="J3407">
        <v>510</v>
      </c>
      <c r="K3407">
        <v>98.71</v>
      </c>
      <c r="L3407">
        <v>69704</v>
      </c>
      <c r="M3407" t="s">
        <v>325</v>
      </c>
      <c r="N3407" t="str">
        <f>"54137       "</f>
        <v xml:space="preserve">54137       </v>
      </c>
      <c r="O3407">
        <v>230531</v>
      </c>
    </row>
    <row r="3408" spans="1:16" x14ac:dyDescent="0.25">
      <c r="A3408" t="s">
        <v>16</v>
      </c>
      <c r="B3408" t="s">
        <v>3221</v>
      </c>
      <c r="C3408">
        <v>9072</v>
      </c>
      <c r="D3408" t="s">
        <v>1975</v>
      </c>
      <c r="E3408" t="s">
        <v>1976</v>
      </c>
      <c r="F3408">
        <v>250</v>
      </c>
      <c r="G3408">
        <v>230619</v>
      </c>
      <c r="H3408">
        <v>4600</v>
      </c>
      <c r="I3408" t="s">
        <v>105</v>
      </c>
      <c r="J3408">
        <v>250</v>
      </c>
      <c r="K3408">
        <v>0</v>
      </c>
      <c r="L3408">
        <v>59501</v>
      </c>
      <c r="M3408" t="s">
        <v>69</v>
      </c>
      <c r="N3408" t="str">
        <f>"54272       "</f>
        <v xml:space="preserve">54272       </v>
      </c>
      <c r="O3408">
        <v>230622</v>
      </c>
    </row>
    <row r="3409" spans="1:15" x14ac:dyDescent="0.25">
      <c r="A3409" t="s">
        <v>16</v>
      </c>
      <c r="B3409" t="s">
        <v>3221</v>
      </c>
      <c r="C3409">
        <v>17483</v>
      </c>
      <c r="D3409" t="s">
        <v>661</v>
      </c>
      <c r="E3409" t="s">
        <v>662</v>
      </c>
      <c r="F3409">
        <v>39.630000000000003</v>
      </c>
      <c r="G3409">
        <v>231209</v>
      </c>
      <c r="H3409">
        <v>4580</v>
      </c>
      <c r="I3409" t="s">
        <v>35</v>
      </c>
      <c r="J3409">
        <v>49.14</v>
      </c>
      <c r="K3409">
        <v>9.51</v>
      </c>
      <c r="L3409">
        <v>67522</v>
      </c>
      <c r="M3409" t="s">
        <v>397</v>
      </c>
      <c r="N3409" t="str">
        <f>"75742       "</f>
        <v xml:space="preserve">75742       </v>
      </c>
      <c r="O3409">
        <v>231214</v>
      </c>
    </row>
    <row r="3410" spans="1:15" x14ac:dyDescent="0.25">
      <c r="A3410" t="s">
        <v>16</v>
      </c>
      <c r="B3410" t="s">
        <v>3221</v>
      </c>
      <c r="C3410">
        <v>1264</v>
      </c>
      <c r="D3410" t="s">
        <v>661</v>
      </c>
      <c r="E3410" t="s">
        <v>662</v>
      </c>
      <c r="F3410">
        <v>126.65</v>
      </c>
      <c r="G3410">
        <v>230202</v>
      </c>
      <c r="H3410">
        <v>4600</v>
      </c>
      <c r="I3410" t="s">
        <v>105</v>
      </c>
      <c r="J3410">
        <v>157.05000000000001</v>
      </c>
      <c r="K3410">
        <v>30.4</v>
      </c>
      <c r="L3410">
        <v>66722</v>
      </c>
      <c r="M3410" t="s">
        <v>518</v>
      </c>
      <c r="N3410" t="str">
        <f>"73442       "</f>
        <v xml:space="preserve">73442       </v>
      </c>
      <c r="O3410">
        <v>230207</v>
      </c>
    </row>
    <row r="3411" spans="1:15" x14ac:dyDescent="0.25">
      <c r="A3411" t="s">
        <v>16</v>
      </c>
      <c r="B3411" t="s">
        <v>3221</v>
      </c>
      <c r="C3411">
        <v>1264</v>
      </c>
      <c r="D3411" t="s">
        <v>661</v>
      </c>
      <c r="E3411" t="s">
        <v>662</v>
      </c>
      <c r="F3411">
        <v>20.89</v>
      </c>
      <c r="G3411">
        <v>230202</v>
      </c>
      <c r="H3411">
        <v>4600</v>
      </c>
      <c r="I3411" t="s">
        <v>105</v>
      </c>
      <c r="J3411">
        <v>25.9</v>
      </c>
      <c r="K3411">
        <v>5.01</v>
      </c>
      <c r="L3411">
        <v>66754</v>
      </c>
      <c r="M3411" t="s">
        <v>239</v>
      </c>
      <c r="N3411" t="str">
        <f>"73442       "</f>
        <v xml:space="preserve">73442       </v>
      </c>
      <c r="O3411">
        <v>230207</v>
      </c>
    </row>
    <row r="3412" spans="1:15" x14ac:dyDescent="0.25">
      <c r="A3412" t="s">
        <v>16</v>
      </c>
      <c r="B3412" t="s">
        <v>3221</v>
      </c>
      <c r="C3412">
        <v>3769</v>
      </c>
      <c r="D3412" t="s">
        <v>661</v>
      </c>
      <c r="E3412" t="s">
        <v>662</v>
      </c>
      <c r="F3412">
        <v>123.6</v>
      </c>
      <c r="G3412">
        <v>230313</v>
      </c>
      <c r="H3412">
        <v>4600</v>
      </c>
      <c r="I3412" t="s">
        <v>105</v>
      </c>
      <c r="J3412">
        <v>153.26</v>
      </c>
      <c r="K3412">
        <v>29.66</v>
      </c>
      <c r="L3412">
        <v>66722</v>
      </c>
      <c r="M3412" t="s">
        <v>518</v>
      </c>
      <c r="N3412" t="str">
        <f>"73737       "</f>
        <v xml:space="preserve">73737       </v>
      </c>
      <c r="O3412">
        <v>230322</v>
      </c>
    </row>
    <row r="3413" spans="1:15" x14ac:dyDescent="0.25">
      <c r="A3413" t="s">
        <v>16</v>
      </c>
      <c r="B3413" t="s">
        <v>3221</v>
      </c>
      <c r="C3413">
        <v>8155</v>
      </c>
      <c r="D3413" t="s">
        <v>661</v>
      </c>
      <c r="E3413" t="s">
        <v>662</v>
      </c>
      <c r="F3413">
        <v>21.41</v>
      </c>
      <c r="G3413">
        <v>230529</v>
      </c>
      <c r="H3413">
        <v>4600</v>
      </c>
      <c r="I3413" t="s">
        <v>105</v>
      </c>
      <c r="J3413">
        <v>26.55</v>
      </c>
      <c r="K3413">
        <v>5.14</v>
      </c>
      <c r="L3413">
        <v>69501</v>
      </c>
      <c r="M3413" t="s">
        <v>185</v>
      </c>
      <c r="N3413" t="str">
        <f>"74286       "</f>
        <v xml:space="preserve">74286       </v>
      </c>
      <c r="O3413">
        <v>230607</v>
      </c>
    </row>
    <row r="3414" spans="1:15" x14ac:dyDescent="0.25">
      <c r="A3414" t="s">
        <v>16</v>
      </c>
      <c r="B3414" t="s">
        <v>3221</v>
      </c>
      <c r="C3414">
        <v>9883</v>
      </c>
      <c r="D3414" t="s">
        <v>661</v>
      </c>
      <c r="E3414" t="s">
        <v>662</v>
      </c>
      <c r="F3414">
        <v>19.23</v>
      </c>
      <c r="G3414">
        <v>230725</v>
      </c>
      <c r="H3414">
        <v>4600</v>
      </c>
      <c r="I3414" t="s">
        <v>105</v>
      </c>
      <c r="J3414">
        <v>23.85</v>
      </c>
      <c r="K3414">
        <v>4.62</v>
      </c>
      <c r="L3414">
        <v>67554</v>
      </c>
      <c r="M3414" t="s">
        <v>60</v>
      </c>
      <c r="N3414" t="str">
        <f>"74762       "</f>
        <v xml:space="preserve">74762       </v>
      </c>
      <c r="O3414">
        <v>230731</v>
      </c>
    </row>
    <row r="3415" spans="1:15" x14ac:dyDescent="0.25">
      <c r="A3415" t="s">
        <v>16</v>
      </c>
      <c r="B3415" t="s">
        <v>3221</v>
      </c>
      <c r="C3415">
        <v>10080</v>
      </c>
      <c r="D3415" t="s">
        <v>661</v>
      </c>
      <c r="E3415" t="s">
        <v>662</v>
      </c>
      <c r="F3415">
        <v>46.15</v>
      </c>
      <c r="G3415">
        <v>230802</v>
      </c>
      <c r="H3415">
        <v>4600</v>
      </c>
      <c r="I3415" t="s">
        <v>105</v>
      </c>
      <c r="J3415">
        <v>57.22</v>
      </c>
      <c r="K3415">
        <v>11.07</v>
      </c>
      <c r="L3415">
        <v>69501</v>
      </c>
      <c r="M3415" t="s">
        <v>185</v>
      </c>
      <c r="N3415" t="str">
        <f>"74849       "</f>
        <v xml:space="preserve">74849       </v>
      </c>
      <c r="O3415">
        <v>230808</v>
      </c>
    </row>
    <row r="3416" spans="1:15" x14ac:dyDescent="0.25">
      <c r="A3416" t="s">
        <v>16</v>
      </c>
      <c r="B3416" t="s">
        <v>3221</v>
      </c>
      <c r="C3416">
        <v>15836</v>
      </c>
      <c r="D3416" t="s">
        <v>661</v>
      </c>
      <c r="E3416" t="s">
        <v>662</v>
      </c>
      <c r="F3416">
        <v>19.11</v>
      </c>
      <c r="G3416">
        <v>231108</v>
      </c>
      <c r="H3416">
        <v>4600</v>
      </c>
      <c r="I3416" t="s">
        <v>105</v>
      </c>
      <c r="J3416">
        <v>23.7</v>
      </c>
      <c r="K3416">
        <v>4.59</v>
      </c>
      <c r="L3416">
        <v>66754</v>
      </c>
      <c r="M3416" t="s">
        <v>239</v>
      </c>
      <c r="N3416" t="str">
        <f>"75538       "</f>
        <v xml:space="preserve">75538       </v>
      </c>
      <c r="O3416">
        <v>231120</v>
      </c>
    </row>
    <row r="3417" spans="1:15" x14ac:dyDescent="0.25">
      <c r="A3417" t="s">
        <v>16</v>
      </c>
      <c r="B3417" t="s">
        <v>3221</v>
      </c>
      <c r="C3417">
        <v>15836</v>
      </c>
      <c r="D3417" t="s">
        <v>661</v>
      </c>
      <c r="E3417" t="s">
        <v>662</v>
      </c>
      <c r="F3417">
        <v>32.18</v>
      </c>
      <c r="G3417">
        <v>231108</v>
      </c>
      <c r="H3417">
        <v>4600</v>
      </c>
      <c r="I3417" t="s">
        <v>105</v>
      </c>
      <c r="J3417">
        <v>39.9</v>
      </c>
      <c r="K3417">
        <v>7.72</v>
      </c>
      <c r="L3417">
        <v>69501</v>
      </c>
      <c r="M3417" t="s">
        <v>185</v>
      </c>
      <c r="N3417" t="str">
        <f>"75538       "</f>
        <v xml:space="preserve">75538       </v>
      </c>
      <c r="O3417">
        <v>231120</v>
      </c>
    </row>
    <row r="3418" spans="1:15" x14ac:dyDescent="0.25">
      <c r="A3418" t="s">
        <v>16</v>
      </c>
      <c r="B3418" t="s">
        <v>3221</v>
      </c>
      <c r="C3418">
        <v>17108</v>
      </c>
      <c r="D3418" t="s">
        <v>661</v>
      </c>
      <c r="E3418" t="s">
        <v>662</v>
      </c>
      <c r="F3418">
        <v>8.15</v>
      </c>
      <c r="G3418">
        <v>231129</v>
      </c>
      <c r="H3418">
        <v>4600</v>
      </c>
      <c r="I3418" t="s">
        <v>105</v>
      </c>
      <c r="J3418">
        <v>10.11</v>
      </c>
      <c r="K3418">
        <v>1.96</v>
      </c>
      <c r="L3418">
        <v>69501</v>
      </c>
      <c r="M3418" t="s">
        <v>185</v>
      </c>
      <c r="N3418" t="str">
        <f>"75662       "</f>
        <v xml:space="preserve">75662       </v>
      </c>
      <c r="O3418">
        <v>231212</v>
      </c>
    </row>
    <row r="3419" spans="1:15" x14ac:dyDescent="0.25">
      <c r="A3419" t="s">
        <v>16</v>
      </c>
      <c r="B3419" t="s">
        <v>3221</v>
      </c>
      <c r="C3419">
        <v>18290</v>
      </c>
      <c r="D3419" t="s">
        <v>661</v>
      </c>
      <c r="E3419" t="s">
        <v>662</v>
      </c>
      <c r="F3419">
        <v>52.55</v>
      </c>
      <c r="G3419">
        <v>231221</v>
      </c>
      <c r="H3419">
        <v>4600</v>
      </c>
      <c r="I3419" t="s">
        <v>105</v>
      </c>
      <c r="J3419">
        <v>65.16</v>
      </c>
      <c r="K3419">
        <v>12.61</v>
      </c>
      <c r="L3419">
        <v>69501</v>
      </c>
      <c r="M3419" t="s">
        <v>185</v>
      </c>
      <c r="N3419" t="str">
        <f>"75818       "</f>
        <v xml:space="preserve">75818       </v>
      </c>
      <c r="O3419">
        <v>240102</v>
      </c>
    </row>
    <row r="3420" spans="1:15" x14ac:dyDescent="0.25">
      <c r="A3420" t="s">
        <v>16</v>
      </c>
      <c r="B3420" t="s">
        <v>3221</v>
      </c>
      <c r="C3420">
        <v>3023</v>
      </c>
      <c r="D3420" t="s">
        <v>661</v>
      </c>
      <c r="E3420" t="s">
        <v>662</v>
      </c>
      <c r="F3420">
        <v>31.94</v>
      </c>
      <c r="G3420">
        <v>230303</v>
      </c>
      <c r="H3420">
        <v>4555</v>
      </c>
      <c r="I3420" t="s">
        <v>481</v>
      </c>
      <c r="J3420">
        <v>39.6</v>
      </c>
      <c r="K3420">
        <v>7.66</v>
      </c>
      <c r="L3420">
        <v>69501</v>
      </c>
      <c r="M3420" t="s">
        <v>185</v>
      </c>
      <c r="N3420" t="str">
        <f>"73678       "</f>
        <v xml:space="preserve">73678       </v>
      </c>
      <c r="O3420">
        <v>230308</v>
      </c>
    </row>
    <row r="3421" spans="1:15" x14ac:dyDescent="0.25">
      <c r="A3421" t="s">
        <v>16</v>
      </c>
      <c r="B3421" t="s">
        <v>3221</v>
      </c>
      <c r="C3421">
        <v>5372</v>
      </c>
      <c r="D3421" t="s">
        <v>661</v>
      </c>
      <c r="E3421" t="s">
        <v>662</v>
      </c>
      <c r="F3421">
        <v>55.89</v>
      </c>
      <c r="G3421">
        <v>230420</v>
      </c>
      <c r="H3421">
        <v>4555</v>
      </c>
      <c r="I3421" t="s">
        <v>481</v>
      </c>
      <c r="J3421">
        <v>69.3</v>
      </c>
      <c r="K3421">
        <v>13.41</v>
      </c>
      <c r="L3421">
        <v>69501</v>
      </c>
      <c r="M3421" t="s">
        <v>185</v>
      </c>
      <c r="N3421" t="str">
        <f>"73988       "</f>
        <v xml:space="preserve">73988       </v>
      </c>
      <c r="O3421">
        <v>230421</v>
      </c>
    </row>
    <row r="3422" spans="1:15" x14ac:dyDescent="0.25">
      <c r="A3422" t="s">
        <v>16</v>
      </c>
      <c r="B3422" t="s">
        <v>3221</v>
      </c>
      <c r="C3422">
        <v>5877</v>
      </c>
      <c r="D3422" t="s">
        <v>661</v>
      </c>
      <c r="E3422" t="s">
        <v>662</v>
      </c>
      <c r="F3422">
        <v>56.15</v>
      </c>
      <c r="G3422">
        <v>230426</v>
      </c>
      <c r="H3422">
        <v>4555</v>
      </c>
      <c r="I3422" t="s">
        <v>481</v>
      </c>
      <c r="J3422">
        <v>69.62</v>
      </c>
      <c r="K3422">
        <v>13.47</v>
      </c>
      <c r="L3422">
        <v>69501</v>
      </c>
      <c r="M3422" t="s">
        <v>185</v>
      </c>
      <c r="N3422" t="str">
        <f>"74026       "</f>
        <v xml:space="preserve">74026       </v>
      </c>
      <c r="O3422">
        <v>230503</v>
      </c>
    </row>
    <row r="3423" spans="1:15" x14ac:dyDescent="0.25">
      <c r="A3423" t="s">
        <v>16</v>
      </c>
      <c r="B3423" t="s">
        <v>3221</v>
      </c>
      <c r="C3423">
        <v>17108</v>
      </c>
      <c r="D3423" t="s">
        <v>661</v>
      </c>
      <c r="E3423" t="s">
        <v>662</v>
      </c>
      <c r="F3423">
        <v>70.650000000000006</v>
      </c>
      <c r="G3423">
        <v>231129</v>
      </c>
      <c r="H3423">
        <v>4555</v>
      </c>
      <c r="I3423" t="s">
        <v>481</v>
      </c>
      <c r="J3423">
        <v>87.61</v>
      </c>
      <c r="K3423">
        <v>16.96</v>
      </c>
      <c r="L3423">
        <v>69501</v>
      </c>
      <c r="M3423" t="s">
        <v>185</v>
      </c>
      <c r="N3423" t="str">
        <f>"75662       "</f>
        <v xml:space="preserve">75662       </v>
      </c>
      <c r="O3423">
        <v>231212</v>
      </c>
    </row>
    <row r="3424" spans="1:15" x14ac:dyDescent="0.25">
      <c r="A3424" t="s">
        <v>16</v>
      </c>
      <c r="B3424" t="s">
        <v>3221</v>
      </c>
      <c r="C3424">
        <v>9883</v>
      </c>
      <c r="D3424" t="s">
        <v>661</v>
      </c>
      <c r="E3424" t="s">
        <v>662</v>
      </c>
      <c r="F3424">
        <v>30.13</v>
      </c>
      <c r="G3424">
        <v>230725</v>
      </c>
      <c r="H3424">
        <v>4560</v>
      </c>
      <c r="I3424" t="s">
        <v>345</v>
      </c>
      <c r="J3424">
        <v>37.36</v>
      </c>
      <c r="K3424">
        <v>7.23</v>
      </c>
      <c r="L3424">
        <v>67554</v>
      </c>
      <c r="M3424" t="s">
        <v>60</v>
      </c>
      <c r="N3424" t="str">
        <f>"74762       "</f>
        <v xml:space="preserve">74762       </v>
      </c>
      <c r="O3424">
        <v>230731</v>
      </c>
    </row>
    <row r="3425" spans="1:15" x14ac:dyDescent="0.25">
      <c r="A3425" t="s">
        <v>16</v>
      </c>
      <c r="B3425" t="s">
        <v>3221</v>
      </c>
      <c r="C3425">
        <v>644</v>
      </c>
      <c r="D3425" t="s">
        <v>661</v>
      </c>
      <c r="E3425" t="s">
        <v>662</v>
      </c>
      <c r="F3425">
        <v>21.69</v>
      </c>
      <c r="G3425">
        <v>230117</v>
      </c>
      <c r="H3425">
        <v>4590</v>
      </c>
      <c r="I3425" t="s">
        <v>203</v>
      </c>
      <c r="J3425">
        <v>26.9</v>
      </c>
      <c r="K3425">
        <v>5.21</v>
      </c>
      <c r="L3425">
        <v>67554</v>
      </c>
      <c r="M3425" t="s">
        <v>60</v>
      </c>
      <c r="N3425" t="str">
        <f>"73330       "</f>
        <v xml:space="preserve">73330       </v>
      </c>
      <c r="O3425">
        <v>230126</v>
      </c>
    </row>
    <row r="3426" spans="1:15" x14ac:dyDescent="0.25">
      <c r="A3426" t="s">
        <v>16</v>
      </c>
      <c r="B3426" t="s">
        <v>3221</v>
      </c>
      <c r="C3426">
        <v>1264</v>
      </c>
      <c r="D3426" t="s">
        <v>661</v>
      </c>
      <c r="E3426" t="s">
        <v>662</v>
      </c>
      <c r="F3426">
        <v>44.58</v>
      </c>
      <c r="G3426">
        <v>230202</v>
      </c>
      <c r="H3426">
        <v>4590</v>
      </c>
      <c r="I3426" t="s">
        <v>203</v>
      </c>
      <c r="J3426">
        <v>55.28</v>
      </c>
      <c r="K3426">
        <v>10.7</v>
      </c>
      <c r="L3426">
        <v>69501</v>
      </c>
      <c r="M3426" t="s">
        <v>185</v>
      </c>
      <c r="N3426" t="str">
        <f>"73442       "</f>
        <v xml:space="preserve">73442       </v>
      </c>
      <c r="O3426">
        <v>230207</v>
      </c>
    </row>
    <row r="3427" spans="1:15" x14ac:dyDescent="0.25">
      <c r="A3427" t="s">
        <v>16</v>
      </c>
      <c r="B3427" t="s">
        <v>3221</v>
      </c>
      <c r="C3427">
        <v>5372</v>
      </c>
      <c r="D3427" t="s">
        <v>661</v>
      </c>
      <c r="E3427" t="s">
        <v>662</v>
      </c>
      <c r="F3427">
        <v>120.97</v>
      </c>
      <c r="G3427">
        <v>230420</v>
      </c>
      <c r="H3427">
        <v>4590</v>
      </c>
      <c r="I3427" t="s">
        <v>203</v>
      </c>
      <c r="J3427">
        <v>150</v>
      </c>
      <c r="K3427">
        <v>29.03</v>
      </c>
      <c r="L3427">
        <v>69501</v>
      </c>
      <c r="M3427" t="s">
        <v>185</v>
      </c>
      <c r="N3427" t="str">
        <f>"73988       "</f>
        <v xml:space="preserve">73988       </v>
      </c>
      <c r="O3427">
        <v>230421</v>
      </c>
    </row>
    <row r="3428" spans="1:15" x14ac:dyDescent="0.25">
      <c r="A3428" t="s">
        <v>16</v>
      </c>
      <c r="B3428" t="s">
        <v>3221</v>
      </c>
      <c r="C3428">
        <v>5877</v>
      </c>
      <c r="D3428" t="s">
        <v>661</v>
      </c>
      <c r="E3428" t="s">
        <v>662</v>
      </c>
      <c r="F3428">
        <v>61.3</v>
      </c>
      <c r="G3428">
        <v>230426</v>
      </c>
      <c r="H3428">
        <v>4590</v>
      </c>
      <c r="I3428" t="s">
        <v>203</v>
      </c>
      <c r="J3428">
        <v>76.010000000000005</v>
      </c>
      <c r="K3428">
        <v>14.71</v>
      </c>
      <c r="L3428">
        <v>69501</v>
      </c>
      <c r="M3428" t="s">
        <v>185</v>
      </c>
      <c r="N3428" t="str">
        <f>"74026       "</f>
        <v xml:space="preserve">74026       </v>
      </c>
      <c r="O3428">
        <v>230503</v>
      </c>
    </row>
    <row r="3429" spans="1:15" x14ac:dyDescent="0.25">
      <c r="A3429" t="s">
        <v>16</v>
      </c>
      <c r="B3429" t="s">
        <v>3221</v>
      </c>
      <c r="C3429">
        <v>6711</v>
      </c>
      <c r="D3429" t="s">
        <v>661</v>
      </c>
      <c r="E3429" t="s">
        <v>662</v>
      </c>
      <c r="F3429">
        <v>22.94</v>
      </c>
      <c r="G3429">
        <v>230512</v>
      </c>
      <c r="H3429">
        <v>4590</v>
      </c>
      <c r="I3429" t="s">
        <v>203</v>
      </c>
      <c r="J3429">
        <v>28.44</v>
      </c>
      <c r="K3429">
        <v>5.5</v>
      </c>
      <c r="L3429">
        <v>66756</v>
      </c>
      <c r="M3429" t="s">
        <v>209</v>
      </c>
      <c r="N3429" t="str">
        <f>"74144       "</f>
        <v xml:space="preserve">74144       </v>
      </c>
      <c r="O3429">
        <v>230517</v>
      </c>
    </row>
    <row r="3430" spans="1:15" x14ac:dyDescent="0.25">
      <c r="A3430" t="s">
        <v>16</v>
      </c>
      <c r="B3430" t="s">
        <v>3221</v>
      </c>
      <c r="C3430">
        <v>6711</v>
      </c>
      <c r="D3430" t="s">
        <v>661</v>
      </c>
      <c r="E3430" t="s">
        <v>662</v>
      </c>
      <c r="F3430">
        <v>4.67</v>
      </c>
      <c r="G3430">
        <v>230512</v>
      </c>
      <c r="H3430">
        <v>4590</v>
      </c>
      <c r="I3430" t="s">
        <v>203</v>
      </c>
      <c r="J3430">
        <v>5.79</v>
      </c>
      <c r="K3430">
        <v>1.1200000000000001</v>
      </c>
      <c r="L3430">
        <v>69501</v>
      </c>
      <c r="M3430" t="s">
        <v>185</v>
      </c>
      <c r="N3430" t="str">
        <f>"74144       "</f>
        <v xml:space="preserve">74144       </v>
      </c>
      <c r="O3430">
        <v>230517</v>
      </c>
    </row>
    <row r="3431" spans="1:15" x14ac:dyDescent="0.25">
      <c r="A3431" t="s">
        <v>16</v>
      </c>
      <c r="B3431" t="s">
        <v>3221</v>
      </c>
      <c r="C3431">
        <v>11054</v>
      </c>
      <c r="D3431" t="s">
        <v>661</v>
      </c>
      <c r="E3431" t="s">
        <v>662</v>
      </c>
      <c r="F3431">
        <v>412.14</v>
      </c>
      <c r="G3431">
        <v>230825</v>
      </c>
      <c r="H3431">
        <v>4590</v>
      </c>
      <c r="I3431" t="s">
        <v>203</v>
      </c>
      <c r="J3431">
        <v>511.05</v>
      </c>
      <c r="K3431">
        <v>98.91</v>
      </c>
      <c r="L3431">
        <v>66756</v>
      </c>
      <c r="M3431" t="s">
        <v>209</v>
      </c>
      <c r="N3431" t="str">
        <f>"74995       "</f>
        <v xml:space="preserve">74995       </v>
      </c>
      <c r="O3431">
        <v>230829</v>
      </c>
    </row>
    <row r="3432" spans="1:15" x14ac:dyDescent="0.25">
      <c r="A3432" t="s">
        <v>16</v>
      </c>
      <c r="B3432" t="s">
        <v>3221</v>
      </c>
      <c r="C3432">
        <v>12062</v>
      </c>
      <c r="D3432" t="s">
        <v>661</v>
      </c>
      <c r="E3432" t="s">
        <v>662</v>
      </c>
      <c r="F3432">
        <v>306.98</v>
      </c>
      <c r="G3432">
        <v>230911</v>
      </c>
      <c r="H3432">
        <v>4590</v>
      </c>
      <c r="I3432" t="s">
        <v>203</v>
      </c>
      <c r="J3432">
        <v>380.66</v>
      </c>
      <c r="K3432">
        <v>73.680000000000007</v>
      </c>
      <c r="L3432">
        <v>69501</v>
      </c>
      <c r="M3432" t="s">
        <v>185</v>
      </c>
      <c r="N3432" t="str">
        <f>"75109       "</f>
        <v xml:space="preserve">75109       </v>
      </c>
      <c r="O3432">
        <v>230913</v>
      </c>
    </row>
    <row r="3433" spans="1:15" x14ac:dyDescent="0.25">
      <c r="A3433" t="s">
        <v>16</v>
      </c>
      <c r="B3433" t="s">
        <v>3221</v>
      </c>
      <c r="C3433">
        <v>13508</v>
      </c>
      <c r="D3433" t="s">
        <v>661</v>
      </c>
      <c r="E3433" t="s">
        <v>662</v>
      </c>
      <c r="F3433">
        <v>79.86</v>
      </c>
      <c r="G3433">
        <v>231003</v>
      </c>
      <c r="H3433">
        <v>4590</v>
      </c>
      <c r="I3433" t="s">
        <v>203</v>
      </c>
      <c r="J3433">
        <v>99.03</v>
      </c>
      <c r="K3433">
        <v>19.170000000000002</v>
      </c>
      <c r="L3433">
        <v>69111</v>
      </c>
      <c r="M3433" t="s">
        <v>471</v>
      </c>
      <c r="N3433" t="str">
        <f>"75284       "</f>
        <v xml:space="preserve">75284       </v>
      </c>
      <c r="O3433">
        <v>231010</v>
      </c>
    </row>
    <row r="3434" spans="1:15" x14ac:dyDescent="0.25">
      <c r="A3434" t="s">
        <v>16</v>
      </c>
      <c r="B3434" t="s">
        <v>3221</v>
      </c>
      <c r="C3434">
        <v>13508</v>
      </c>
      <c r="D3434" t="s">
        <v>661</v>
      </c>
      <c r="E3434" t="s">
        <v>662</v>
      </c>
      <c r="F3434">
        <v>45.9</v>
      </c>
      <c r="G3434">
        <v>231003</v>
      </c>
      <c r="H3434">
        <v>4590</v>
      </c>
      <c r="I3434" t="s">
        <v>203</v>
      </c>
      <c r="J3434">
        <v>56.91</v>
      </c>
      <c r="K3434">
        <v>11.01</v>
      </c>
      <c r="L3434">
        <v>69501</v>
      </c>
      <c r="M3434" t="s">
        <v>185</v>
      </c>
      <c r="N3434" t="str">
        <f>"75284       "</f>
        <v xml:space="preserve">75284       </v>
      </c>
      <c r="O3434">
        <v>231010</v>
      </c>
    </row>
    <row r="3435" spans="1:15" x14ac:dyDescent="0.25">
      <c r="A3435" t="s">
        <v>16</v>
      </c>
      <c r="B3435" t="s">
        <v>3221</v>
      </c>
      <c r="C3435">
        <v>14161</v>
      </c>
      <c r="D3435" t="s">
        <v>661</v>
      </c>
      <c r="E3435" t="s">
        <v>662</v>
      </c>
      <c r="F3435">
        <v>161.5</v>
      </c>
      <c r="G3435">
        <v>231009</v>
      </c>
      <c r="H3435">
        <v>4590</v>
      </c>
      <c r="I3435" t="s">
        <v>203</v>
      </c>
      <c r="J3435">
        <v>200.26</v>
      </c>
      <c r="K3435">
        <v>38.76</v>
      </c>
      <c r="L3435">
        <v>69111</v>
      </c>
      <c r="M3435" t="s">
        <v>471</v>
      </c>
      <c r="N3435" t="str">
        <f>"75334       "</f>
        <v xml:space="preserve">75334       </v>
      </c>
      <c r="O3435">
        <v>231023</v>
      </c>
    </row>
    <row r="3436" spans="1:15" x14ac:dyDescent="0.25">
      <c r="A3436" t="s">
        <v>16</v>
      </c>
      <c r="B3436" t="s">
        <v>3221</v>
      </c>
      <c r="C3436">
        <v>14479</v>
      </c>
      <c r="D3436" t="s">
        <v>661</v>
      </c>
      <c r="E3436" t="s">
        <v>662</v>
      </c>
      <c r="F3436">
        <v>35.68</v>
      </c>
      <c r="G3436">
        <v>231024</v>
      </c>
      <c r="H3436">
        <v>4590</v>
      </c>
      <c r="I3436" t="s">
        <v>203</v>
      </c>
      <c r="J3436">
        <v>44.24</v>
      </c>
      <c r="K3436">
        <v>8.56</v>
      </c>
      <c r="L3436">
        <v>69501</v>
      </c>
      <c r="M3436" t="s">
        <v>185</v>
      </c>
      <c r="N3436" t="str">
        <f>"75438       "</f>
        <v xml:space="preserve">75438       </v>
      </c>
      <c r="O3436">
        <v>231030</v>
      </c>
    </row>
    <row r="3437" spans="1:15" x14ac:dyDescent="0.25">
      <c r="A3437" t="s">
        <v>16</v>
      </c>
      <c r="B3437" t="s">
        <v>3221</v>
      </c>
      <c r="C3437">
        <v>17483</v>
      </c>
      <c r="D3437" t="s">
        <v>661</v>
      </c>
      <c r="E3437" t="s">
        <v>662</v>
      </c>
      <c r="F3437">
        <v>30.68</v>
      </c>
      <c r="G3437">
        <v>231209</v>
      </c>
      <c r="H3437">
        <v>4590</v>
      </c>
      <c r="I3437" t="s">
        <v>203</v>
      </c>
      <c r="J3437">
        <v>38.04</v>
      </c>
      <c r="K3437">
        <v>7.36</v>
      </c>
      <c r="L3437">
        <v>69501</v>
      </c>
      <c r="M3437" t="s">
        <v>185</v>
      </c>
      <c r="N3437" t="str">
        <f>"75742       "</f>
        <v xml:space="preserve">75742       </v>
      </c>
      <c r="O3437">
        <v>231214</v>
      </c>
    </row>
    <row r="3438" spans="1:15" x14ac:dyDescent="0.25">
      <c r="A3438" t="s">
        <v>16</v>
      </c>
      <c r="B3438" t="s">
        <v>3221</v>
      </c>
      <c r="C3438">
        <v>17547</v>
      </c>
      <c r="D3438" t="s">
        <v>661</v>
      </c>
      <c r="E3438" t="s">
        <v>662</v>
      </c>
      <c r="F3438">
        <v>72.180000000000007</v>
      </c>
      <c r="G3438">
        <v>231212</v>
      </c>
      <c r="H3438">
        <v>4590</v>
      </c>
      <c r="I3438" t="s">
        <v>203</v>
      </c>
      <c r="J3438">
        <v>89.5</v>
      </c>
      <c r="K3438">
        <v>17.32</v>
      </c>
      <c r="L3438">
        <v>67522</v>
      </c>
      <c r="M3438" t="s">
        <v>397</v>
      </c>
      <c r="N3438" t="str">
        <f>"75764       "</f>
        <v xml:space="preserve">75764       </v>
      </c>
      <c r="O3438">
        <v>231215</v>
      </c>
    </row>
    <row r="3439" spans="1:15" x14ac:dyDescent="0.25">
      <c r="A3439" t="s">
        <v>16</v>
      </c>
      <c r="B3439" t="s">
        <v>3221</v>
      </c>
      <c r="C3439">
        <v>17547</v>
      </c>
      <c r="D3439" t="s">
        <v>661</v>
      </c>
      <c r="E3439" t="s">
        <v>662</v>
      </c>
      <c r="F3439">
        <v>14.44</v>
      </c>
      <c r="G3439">
        <v>231212</v>
      </c>
      <c r="H3439">
        <v>4590</v>
      </c>
      <c r="I3439" t="s">
        <v>203</v>
      </c>
      <c r="J3439">
        <v>17.91</v>
      </c>
      <c r="K3439">
        <v>3.47</v>
      </c>
      <c r="L3439">
        <v>69501</v>
      </c>
      <c r="M3439" t="s">
        <v>185</v>
      </c>
      <c r="N3439" t="str">
        <f>"75764       "</f>
        <v xml:space="preserve">75764       </v>
      </c>
      <c r="O3439">
        <v>231215</v>
      </c>
    </row>
    <row r="3440" spans="1:15" x14ac:dyDescent="0.25">
      <c r="A3440" t="s">
        <v>16</v>
      </c>
      <c r="B3440" t="s">
        <v>3221</v>
      </c>
      <c r="C3440">
        <v>16128</v>
      </c>
      <c r="D3440" t="s">
        <v>661</v>
      </c>
      <c r="E3440" t="s">
        <v>662</v>
      </c>
      <c r="F3440">
        <v>50.58</v>
      </c>
      <c r="G3440">
        <v>231121</v>
      </c>
      <c r="H3440">
        <v>4530</v>
      </c>
      <c r="I3440" t="s">
        <v>342</v>
      </c>
      <c r="J3440">
        <v>62.72</v>
      </c>
      <c r="K3440">
        <v>12.14</v>
      </c>
      <c r="L3440">
        <v>69501</v>
      </c>
      <c r="M3440" t="s">
        <v>185</v>
      </c>
      <c r="N3440" t="str">
        <f>"75615       "</f>
        <v xml:space="preserve">75615       </v>
      </c>
      <c r="O3440">
        <v>231123</v>
      </c>
    </row>
    <row r="3441" spans="1:15" x14ac:dyDescent="0.25">
      <c r="A3441" t="s">
        <v>16</v>
      </c>
      <c r="B3441" t="s">
        <v>3221</v>
      </c>
      <c r="C3441">
        <v>232</v>
      </c>
      <c r="D3441" t="s">
        <v>353</v>
      </c>
      <c r="E3441" t="s">
        <v>354</v>
      </c>
      <c r="F3441">
        <v>46</v>
      </c>
      <c r="G3441">
        <v>230111</v>
      </c>
      <c r="H3441">
        <v>4470</v>
      </c>
      <c r="I3441" t="s">
        <v>83</v>
      </c>
      <c r="J3441">
        <v>57.04</v>
      </c>
      <c r="K3441">
        <v>11.04</v>
      </c>
      <c r="L3441">
        <v>17711</v>
      </c>
      <c r="M3441" t="s">
        <v>65</v>
      </c>
      <c r="N3441" t="str">
        <f>"2023000149  "</f>
        <v xml:space="preserve">2023000149  </v>
      </c>
      <c r="O3441">
        <v>230116</v>
      </c>
    </row>
    <row r="3442" spans="1:15" x14ac:dyDescent="0.25">
      <c r="A3442" t="s">
        <v>16</v>
      </c>
      <c r="B3442" t="s">
        <v>3221</v>
      </c>
      <c r="C3442">
        <v>6569</v>
      </c>
      <c r="D3442" t="s">
        <v>353</v>
      </c>
      <c r="E3442" t="s">
        <v>354</v>
      </c>
      <c r="F3442">
        <v>211</v>
      </c>
      <c r="G3442">
        <v>230510</v>
      </c>
      <c r="H3442">
        <v>4470</v>
      </c>
      <c r="I3442" t="s">
        <v>83</v>
      </c>
      <c r="J3442">
        <v>261.64</v>
      </c>
      <c r="K3442">
        <v>50.64</v>
      </c>
      <c r="L3442">
        <v>17147</v>
      </c>
      <c r="M3442" t="s">
        <v>1734</v>
      </c>
      <c r="N3442" t="str">
        <f>"2023003043  "</f>
        <v xml:space="preserve">2023003043  </v>
      </c>
      <c r="O3442">
        <v>230515</v>
      </c>
    </row>
    <row r="3443" spans="1:15" x14ac:dyDescent="0.25">
      <c r="A3443" t="s">
        <v>16</v>
      </c>
      <c r="B3443" t="s">
        <v>3221</v>
      </c>
      <c r="C3443">
        <v>9713</v>
      </c>
      <c r="D3443" t="s">
        <v>353</v>
      </c>
      <c r="E3443" t="s">
        <v>354</v>
      </c>
      <c r="F3443">
        <v>122.5</v>
      </c>
      <c r="G3443">
        <v>230713</v>
      </c>
      <c r="H3443">
        <v>4470</v>
      </c>
      <c r="I3443" t="s">
        <v>83</v>
      </c>
      <c r="J3443">
        <v>151.9</v>
      </c>
      <c r="K3443">
        <v>29.4</v>
      </c>
      <c r="L3443">
        <v>67554</v>
      </c>
      <c r="M3443" t="s">
        <v>60</v>
      </c>
      <c r="N3443" t="str">
        <f>"2023008078  "</f>
        <v xml:space="preserve">2023008078  </v>
      </c>
      <c r="O3443">
        <v>230720</v>
      </c>
    </row>
    <row r="3444" spans="1:15" x14ac:dyDescent="0.25">
      <c r="A3444" t="s">
        <v>16</v>
      </c>
      <c r="B3444" t="s">
        <v>3221</v>
      </c>
      <c r="C3444">
        <v>17150</v>
      </c>
      <c r="D3444" t="s">
        <v>353</v>
      </c>
      <c r="E3444" t="s">
        <v>354</v>
      </c>
      <c r="F3444">
        <v>115.8</v>
      </c>
      <c r="G3444">
        <v>231205</v>
      </c>
      <c r="H3444">
        <v>4470</v>
      </c>
      <c r="I3444" t="s">
        <v>83</v>
      </c>
      <c r="J3444">
        <v>143.59</v>
      </c>
      <c r="K3444">
        <v>27.79</v>
      </c>
      <c r="L3444">
        <v>17737</v>
      </c>
      <c r="M3444" t="s">
        <v>279</v>
      </c>
      <c r="N3444" t="str">
        <f>"2023017993  "</f>
        <v xml:space="preserve">2023017993  </v>
      </c>
      <c r="O3444">
        <v>231212</v>
      </c>
    </row>
    <row r="3445" spans="1:15" x14ac:dyDescent="0.25">
      <c r="A3445" t="s">
        <v>16</v>
      </c>
      <c r="B3445" t="s">
        <v>3221</v>
      </c>
      <c r="C3445">
        <v>18510</v>
      </c>
      <c r="D3445" t="s">
        <v>353</v>
      </c>
      <c r="E3445" t="s">
        <v>354</v>
      </c>
      <c r="F3445">
        <v>927.9</v>
      </c>
      <c r="G3445">
        <v>231221</v>
      </c>
      <c r="H3445">
        <v>4470</v>
      </c>
      <c r="I3445" t="s">
        <v>83</v>
      </c>
      <c r="J3445">
        <v>1150.5999999999999</v>
      </c>
      <c r="K3445">
        <v>222.7</v>
      </c>
      <c r="L3445">
        <v>17737</v>
      </c>
      <c r="M3445" t="s">
        <v>279</v>
      </c>
      <c r="N3445" t="str">
        <f>"2023019136  "</f>
        <v xml:space="preserve">2023019136  </v>
      </c>
      <c r="O3445">
        <v>240103</v>
      </c>
    </row>
    <row r="3446" spans="1:15" x14ac:dyDescent="0.25">
      <c r="A3446" t="s">
        <v>16</v>
      </c>
      <c r="B3446" t="s">
        <v>3221</v>
      </c>
      <c r="C3446">
        <v>17369</v>
      </c>
      <c r="D3446" t="s">
        <v>720</v>
      </c>
      <c r="E3446" t="s">
        <v>721</v>
      </c>
      <c r="F3446">
        <v>21.44</v>
      </c>
      <c r="G3446">
        <v>231204</v>
      </c>
      <c r="H3446">
        <v>4520</v>
      </c>
      <c r="I3446" t="s">
        <v>254</v>
      </c>
      <c r="J3446">
        <v>24.44</v>
      </c>
      <c r="K3446">
        <v>3</v>
      </c>
      <c r="L3446">
        <v>13661</v>
      </c>
      <c r="M3446" t="s">
        <v>247</v>
      </c>
      <c r="N3446" t="str">
        <f>"30167       "</f>
        <v xml:space="preserve">30167       </v>
      </c>
      <c r="O3446">
        <v>231213</v>
      </c>
    </row>
    <row r="3447" spans="1:15" x14ac:dyDescent="0.25">
      <c r="A3447" t="s">
        <v>16</v>
      </c>
      <c r="B3447" t="s">
        <v>3221</v>
      </c>
      <c r="C3447">
        <v>765</v>
      </c>
      <c r="D3447" t="s">
        <v>720</v>
      </c>
      <c r="E3447" t="s">
        <v>721</v>
      </c>
      <c r="F3447">
        <v>40.119999999999997</v>
      </c>
      <c r="G3447">
        <v>230124</v>
      </c>
      <c r="H3447">
        <v>4600</v>
      </c>
      <c r="I3447" t="s">
        <v>105</v>
      </c>
      <c r="J3447">
        <v>49.75</v>
      </c>
      <c r="K3447">
        <v>9.6300000000000008</v>
      </c>
      <c r="L3447">
        <v>13601</v>
      </c>
      <c r="M3447" t="s">
        <v>147</v>
      </c>
      <c r="N3447" t="str">
        <f>"27698       "</f>
        <v xml:space="preserve">27698       </v>
      </c>
      <c r="O3447">
        <v>230130</v>
      </c>
    </row>
    <row r="3448" spans="1:15" x14ac:dyDescent="0.25">
      <c r="A3448" t="s">
        <v>16</v>
      </c>
      <c r="B3448" t="s">
        <v>3221</v>
      </c>
      <c r="C3448">
        <v>1940</v>
      </c>
      <c r="D3448" t="s">
        <v>720</v>
      </c>
      <c r="E3448" t="s">
        <v>721</v>
      </c>
      <c r="F3448">
        <v>145</v>
      </c>
      <c r="G3448">
        <v>230210</v>
      </c>
      <c r="H3448">
        <v>4600</v>
      </c>
      <c r="I3448" t="s">
        <v>105</v>
      </c>
      <c r="J3448">
        <v>179.8</v>
      </c>
      <c r="K3448">
        <v>34.799999999999997</v>
      </c>
      <c r="L3448">
        <v>13601</v>
      </c>
      <c r="M3448" t="s">
        <v>147</v>
      </c>
      <c r="N3448" t="str">
        <f>"27854       "</f>
        <v xml:space="preserve">27854       </v>
      </c>
      <c r="O3448">
        <v>230216</v>
      </c>
    </row>
    <row r="3449" spans="1:15" x14ac:dyDescent="0.25">
      <c r="A3449" t="s">
        <v>16</v>
      </c>
      <c r="B3449" t="s">
        <v>3221</v>
      </c>
      <c r="C3449">
        <v>2478</v>
      </c>
      <c r="D3449" t="s">
        <v>720</v>
      </c>
      <c r="E3449" t="s">
        <v>721</v>
      </c>
      <c r="F3449">
        <v>154.65</v>
      </c>
      <c r="G3449">
        <v>230224</v>
      </c>
      <c r="H3449">
        <v>4600</v>
      </c>
      <c r="I3449" t="s">
        <v>105</v>
      </c>
      <c r="J3449">
        <v>191.76</v>
      </c>
      <c r="K3449">
        <v>37.11</v>
      </c>
      <c r="L3449">
        <v>13801</v>
      </c>
      <c r="M3449" t="s">
        <v>162</v>
      </c>
      <c r="N3449" t="str">
        <f>"27969       "</f>
        <v xml:space="preserve">27969       </v>
      </c>
      <c r="O3449">
        <v>230228</v>
      </c>
    </row>
    <row r="3450" spans="1:15" x14ac:dyDescent="0.25">
      <c r="A3450" t="s">
        <v>16</v>
      </c>
      <c r="B3450" t="s">
        <v>3221</v>
      </c>
      <c r="C3450">
        <v>3687</v>
      </c>
      <c r="D3450" t="s">
        <v>720</v>
      </c>
      <c r="E3450" t="s">
        <v>721</v>
      </c>
      <c r="F3450">
        <v>92.2</v>
      </c>
      <c r="G3450">
        <v>230316</v>
      </c>
      <c r="H3450">
        <v>4600</v>
      </c>
      <c r="I3450" t="s">
        <v>105</v>
      </c>
      <c r="J3450">
        <v>114.33</v>
      </c>
      <c r="K3450">
        <v>22.13</v>
      </c>
      <c r="L3450">
        <v>13801</v>
      </c>
      <c r="M3450" t="s">
        <v>162</v>
      </c>
      <c r="N3450" t="str">
        <f>"28083       "</f>
        <v xml:space="preserve">28083       </v>
      </c>
      <c r="O3450">
        <v>230321</v>
      </c>
    </row>
    <row r="3451" spans="1:15" x14ac:dyDescent="0.25">
      <c r="A3451" t="s">
        <v>16</v>
      </c>
      <c r="B3451" t="s">
        <v>3221</v>
      </c>
      <c r="C3451">
        <v>3827</v>
      </c>
      <c r="D3451" t="s">
        <v>720</v>
      </c>
      <c r="E3451" t="s">
        <v>721</v>
      </c>
      <c r="F3451">
        <v>40.119999999999997</v>
      </c>
      <c r="G3451">
        <v>230316</v>
      </c>
      <c r="H3451">
        <v>4600</v>
      </c>
      <c r="I3451" t="s">
        <v>105</v>
      </c>
      <c r="J3451">
        <v>49.75</v>
      </c>
      <c r="K3451">
        <v>9.6300000000000008</v>
      </c>
      <c r="L3451">
        <v>13601</v>
      </c>
      <c r="M3451" t="s">
        <v>147</v>
      </c>
      <c r="N3451" t="str">
        <f>"28081       "</f>
        <v xml:space="preserve">28081       </v>
      </c>
      <c r="O3451">
        <v>230323</v>
      </c>
    </row>
    <row r="3452" spans="1:15" x14ac:dyDescent="0.25">
      <c r="A3452" t="s">
        <v>16</v>
      </c>
      <c r="B3452" t="s">
        <v>3221</v>
      </c>
      <c r="C3452">
        <v>5823</v>
      </c>
      <c r="D3452" t="s">
        <v>720</v>
      </c>
      <c r="E3452" t="s">
        <v>721</v>
      </c>
      <c r="F3452">
        <v>11.78</v>
      </c>
      <c r="G3452">
        <v>230428</v>
      </c>
      <c r="H3452">
        <v>4600</v>
      </c>
      <c r="I3452" t="s">
        <v>105</v>
      </c>
      <c r="J3452">
        <v>14.61</v>
      </c>
      <c r="K3452">
        <v>2.83</v>
      </c>
      <c r="L3452">
        <v>13801</v>
      </c>
      <c r="M3452" t="s">
        <v>162</v>
      </c>
      <c r="N3452" t="str">
        <f>"28368       "</f>
        <v xml:space="preserve">28368       </v>
      </c>
      <c r="O3452">
        <v>230503</v>
      </c>
    </row>
    <row r="3453" spans="1:15" x14ac:dyDescent="0.25">
      <c r="A3453" t="s">
        <v>16</v>
      </c>
      <c r="B3453" t="s">
        <v>3221</v>
      </c>
      <c r="C3453">
        <v>10656</v>
      </c>
      <c r="D3453" t="s">
        <v>720</v>
      </c>
      <c r="E3453" t="s">
        <v>721</v>
      </c>
      <c r="F3453">
        <v>80.44</v>
      </c>
      <c r="G3453">
        <v>230816</v>
      </c>
      <c r="H3453">
        <v>4600</v>
      </c>
      <c r="I3453" t="s">
        <v>105</v>
      </c>
      <c r="J3453">
        <v>99.75</v>
      </c>
      <c r="K3453">
        <v>19.309999999999999</v>
      </c>
      <c r="L3453">
        <v>13601</v>
      </c>
      <c r="M3453" t="s">
        <v>147</v>
      </c>
      <c r="N3453" t="str">
        <f>"29180       "</f>
        <v xml:space="preserve">29180       </v>
      </c>
      <c r="O3453">
        <v>230821</v>
      </c>
    </row>
    <row r="3454" spans="1:15" x14ac:dyDescent="0.25">
      <c r="A3454" t="s">
        <v>16</v>
      </c>
      <c r="B3454" t="s">
        <v>3221</v>
      </c>
      <c r="C3454">
        <v>12872</v>
      </c>
      <c r="D3454" t="s">
        <v>720</v>
      </c>
      <c r="E3454" t="s">
        <v>721</v>
      </c>
      <c r="F3454">
        <v>32.1</v>
      </c>
      <c r="G3454">
        <v>230925</v>
      </c>
      <c r="H3454">
        <v>4600</v>
      </c>
      <c r="I3454" t="s">
        <v>105</v>
      </c>
      <c r="J3454">
        <v>39.799999999999997</v>
      </c>
      <c r="K3454">
        <v>7.7</v>
      </c>
      <c r="L3454">
        <v>13601</v>
      </c>
      <c r="M3454" t="s">
        <v>147</v>
      </c>
      <c r="N3454" t="str">
        <f>"29541       "</f>
        <v xml:space="preserve">29541       </v>
      </c>
      <c r="O3454">
        <v>230928</v>
      </c>
    </row>
    <row r="3455" spans="1:15" x14ac:dyDescent="0.25">
      <c r="A3455" t="s">
        <v>16</v>
      </c>
      <c r="B3455" t="s">
        <v>3221</v>
      </c>
      <c r="C3455">
        <v>12872</v>
      </c>
      <c r="D3455" t="s">
        <v>720</v>
      </c>
      <c r="E3455" t="s">
        <v>721</v>
      </c>
      <c r="F3455">
        <v>36.15</v>
      </c>
      <c r="G3455">
        <v>230925</v>
      </c>
      <c r="H3455">
        <v>4600</v>
      </c>
      <c r="I3455" t="s">
        <v>105</v>
      </c>
      <c r="J3455">
        <v>44.82</v>
      </c>
      <c r="K3455">
        <v>8.67</v>
      </c>
      <c r="L3455">
        <v>13801</v>
      </c>
      <c r="M3455" t="s">
        <v>162</v>
      </c>
      <c r="N3455" t="str">
        <f>"29541       "</f>
        <v xml:space="preserve">29541       </v>
      </c>
      <c r="O3455">
        <v>230928</v>
      </c>
    </row>
    <row r="3456" spans="1:15" x14ac:dyDescent="0.25">
      <c r="A3456" t="s">
        <v>16</v>
      </c>
      <c r="B3456" t="s">
        <v>3221</v>
      </c>
      <c r="C3456">
        <v>13688</v>
      </c>
      <c r="D3456" t="s">
        <v>720</v>
      </c>
      <c r="E3456" t="s">
        <v>721</v>
      </c>
      <c r="F3456">
        <v>29.73</v>
      </c>
      <c r="G3456">
        <v>230925</v>
      </c>
      <c r="H3456">
        <v>4600</v>
      </c>
      <c r="I3456" t="s">
        <v>105</v>
      </c>
      <c r="J3456">
        <v>36.869999999999997</v>
      </c>
      <c r="K3456">
        <v>7.14</v>
      </c>
      <c r="L3456">
        <v>13802</v>
      </c>
      <c r="M3456" t="s">
        <v>200</v>
      </c>
      <c r="N3456" t="str">
        <f>"29543       "</f>
        <v xml:space="preserve">29543       </v>
      </c>
      <c r="O3456">
        <v>231012</v>
      </c>
    </row>
    <row r="3457" spans="1:15" x14ac:dyDescent="0.25">
      <c r="A3457" t="s">
        <v>16</v>
      </c>
      <c r="B3457" t="s">
        <v>3221</v>
      </c>
      <c r="C3457">
        <v>13688</v>
      </c>
      <c r="D3457" t="s">
        <v>720</v>
      </c>
      <c r="E3457" t="s">
        <v>721</v>
      </c>
      <c r="F3457">
        <v>47.05</v>
      </c>
      <c r="G3457">
        <v>230925</v>
      </c>
      <c r="H3457">
        <v>4600</v>
      </c>
      <c r="I3457" t="s">
        <v>105</v>
      </c>
      <c r="J3457">
        <v>58.34</v>
      </c>
      <c r="K3457">
        <v>11.29</v>
      </c>
      <c r="L3457">
        <v>13802</v>
      </c>
      <c r="M3457" t="s">
        <v>200</v>
      </c>
      <c r="N3457" t="str">
        <f>"29543       "</f>
        <v xml:space="preserve">29543       </v>
      </c>
      <c r="O3457">
        <v>231012</v>
      </c>
    </row>
    <row r="3458" spans="1:15" x14ac:dyDescent="0.25">
      <c r="A3458" t="s">
        <v>16</v>
      </c>
      <c r="B3458" t="s">
        <v>3221</v>
      </c>
      <c r="C3458">
        <v>14069</v>
      </c>
      <c r="D3458" t="s">
        <v>720</v>
      </c>
      <c r="E3458" t="s">
        <v>721</v>
      </c>
      <c r="F3458">
        <v>36.979999999999997</v>
      </c>
      <c r="G3458">
        <v>231012</v>
      </c>
      <c r="H3458">
        <v>4600</v>
      </c>
      <c r="I3458" t="s">
        <v>105</v>
      </c>
      <c r="J3458">
        <v>45.86</v>
      </c>
      <c r="K3458">
        <v>8.8800000000000008</v>
      </c>
      <c r="L3458">
        <v>13601</v>
      </c>
      <c r="M3458" t="s">
        <v>147</v>
      </c>
      <c r="N3458" t="str">
        <f>"29692       "</f>
        <v xml:space="preserve">29692       </v>
      </c>
      <c r="O3458">
        <v>231018</v>
      </c>
    </row>
    <row r="3459" spans="1:15" x14ac:dyDescent="0.25">
      <c r="A3459" t="s">
        <v>16</v>
      </c>
      <c r="B3459" t="s">
        <v>3221</v>
      </c>
      <c r="C3459">
        <v>14865</v>
      </c>
      <c r="D3459" t="s">
        <v>720</v>
      </c>
      <c r="E3459" t="s">
        <v>721</v>
      </c>
      <c r="F3459">
        <v>22.47</v>
      </c>
      <c r="G3459">
        <v>231031</v>
      </c>
      <c r="H3459">
        <v>4600</v>
      </c>
      <c r="I3459" t="s">
        <v>105</v>
      </c>
      <c r="J3459">
        <v>27.86</v>
      </c>
      <c r="K3459">
        <v>5.39</v>
      </c>
      <c r="L3459">
        <v>13802</v>
      </c>
      <c r="M3459" t="s">
        <v>200</v>
      </c>
      <c r="N3459" t="str">
        <f>"29851       "</f>
        <v xml:space="preserve">29851       </v>
      </c>
      <c r="O3459">
        <v>231107</v>
      </c>
    </row>
    <row r="3460" spans="1:15" x14ac:dyDescent="0.25">
      <c r="A3460" t="s">
        <v>16</v>
      </c>
      <c r="B3460" t="s">
        <v>3221</v>
      </c>
      <c r="C3460">
        <v>16031</v>
      </c>
      <c r="D3460" t="s">
        <v>720</v>
      </c>
      <c r="E3460" t="s">
        <v>721</v>
      </c>
      <c r="F3460">
        <v>22.49</v>
      </c>
      <c r="G3460">
        <v>231117</v>
      </c>
      <c r="H3460">
        <v>4600</v>
      </c>
      <c r="I3460" t="s">
        <v>105</v>
      </c>
      <c r="J3460">
        <v>27.89</v>
      </c>
      <c r="K3460">
        <v>5.4</v>
      </c>
      <c r="L3460">
        <v>13801</v>
      </c>
      <c r="M3460" t="s">
        <v>162</v>
      </c>
      <c r="N3460" t="str">
        <f>"30014       "</f>
        <v xml:space="preserve">30014       </v>
      </c>
      <c r="O3460">
        <v>231122</v>
      </c>
    </row>
    <row r="3461" spans="1:15" x14ac:dyDescent="0.25">
      <c r="A3461" t="s">
        <v>16</v>
      </c>
      <c r="B3461" t="s">
        <v>3221</v>
      </c>
      <c r="C3461">
        <v>17388</v>
      </c>
      <c r="D3461" t="s">
        <v>720</v>
      </c>
      <c r="E3461" t="s">
        <v>721</v>
      </c>
      <c r="F3461">
        <v>17.45</v>
      </c>
      <c r="G3461">
        <v>231204</v>
      </c>
      <c r="H3461">
        <v>4600</v>
      </c>
      <c r="I3461" t="s">
        <v>105</v>
      </c>
      <c r="J3461">
        <v>21.64</v>
      </c>
      <c r="K3461">
        <v>4.1900000000000004</v>
      </c>
      <c r="L3461">
        <v>13821</v>
      </c>
      <c r="M3461" t="s">
        <v>540</v>
      </c>
      <c r="N3461" t="str">
        <f>"30170       "</f>
        <v xml:space="preserve">30170       </v>
      </c>
      <c r="O3461">
        <v>231213</v>
      </c>
    </row>
    <row r="3462" spans="1:15" x14ac:dyDescent="0.25">
      <c r="A3462" t="s">
        <v>16</v>
      </c>
      <c r="B3462" t="s">
        <v>3221</v>
      </c>
      <c r="C3462">
        <v>18178</v>
      </c>
      <c r="D3462" t="s">
        <v>720</v>
      </c>
      <c r="E3462" t="s">
        <v>721</v>
      </c>
      <c r="F3462">
        <v>34.340000000000003</v>
      </c>
      <c r="G3462">
        <v>231218</v>
      </c>
      <c r="H3462">
        <v>4600</v>
      </c>
      <c r="I3462" t="s">
        <v>105</v>
      </c>
      <c r="J3462">
        <v>42.58</v>
      </c>
      <c r="K3462">
        <v>8.24</v>
      </c>
      <c r="L3462">
        <v>13821</v>
      </c>
      <c r="M3462" t="s">
        <v>540</v>
      </c>
      <c r="N3462" t="str">
        <f>"30310       "</f>
        <v xml:space="preserve">30310       </v>
      </c>
      <c r="O3462">
        <v>240102</v>
      </c>
    </row>
    <row r="3463" spans="1:15" x14ac:dyDescent="0.25">
      <c r="A3463" t="s">
        <v>16</v>
      </c>
      <c r="B3463" t="s">
        <v>3221</v>
      </c>
      <c r="C3463">
        <v>2695</v>
      </c>
      <c r="D3463" t="s">
        <v>720</v>
      </c>
      <c r="E3463" t="s">
        <v>721</v>
      </c>
      <c r="F3463">
        <v>28.19</v>
      </c>
      <c r="G3463">
        <v>230224</v>
      </c>
      <c r="H3463">
        <v>4550</v>
      </c>
      <c r="I3463" t="s">
        <v>312</v>
      </c>
      <c r="J3463">
        <v>34.950000000000003</v>
      </c>
      <c r="K3463">
        <v>6.76</v>
      </c>
      <c r="L3463">
        <v>13801</v>
      </c>
      <c r="M3463" t="s">
        <v>162</v>
      </c>
      <c r="N3463" t="str">
        <f>"27971       "</f>
        <v xml:space="preserve">27971       </v>
      </c>
      <c r="O3463">
        <v>230307</v>
      </c>
    </row>
    <row r="3464" spans="1:15" x14ac:dyDescent="0.25">
      <c r="A3464" t="s">
        <v>16</v>
      </c>
      <c r="B3464" t="s">
        <v>3221</v>
      </c>
      <c r="C3464">
        <v>938</v>
      </c>
      <c r="D3464" t="s">
        <v>720</v>
      </c>
      <c r="E3464" t="s">
        <v>721</v>
      </c>
      <c r="F3464">
        <v>120.92</v>
      </c>
      <c r="G3464">
        <v>230124</v>
      </c>
      <c r="H3464">
        <v>4500</v>
      </c>
      <c r="I3464" t="s">
        <v>212</v>
      </c>
      <c r="J3464">
        <v>149.94</v>
      </c>
      <c r="K3464">
        <v>29.02</v>
      </c>
      <c r="L3464">
        <v>13802</v>
      </c>
      <c r="M3464" t="s">
        <v>200</v>
      </c>
      <c r="N3464" t="str">
        <f>"27700       "</f>
        <v xml:space="preserve">27700       </v>
      </c>
      <c r="O3464">
        <v>230201</v>
      </c>
    </row>
    <row r="3465" spans="1:15" x14ac:dyDescent="0.25">
      <c r="A3465" t="s">
        <v>16</v>
      </c>
      <c r="B3465" t="s">
        <v>3221</v>
      </c>
      <c r="C3465">
        <v>2673</v>
      </c>
      <c r="D3465" t="s">
        <v>720</v>
      </c>
      <c r="E3465" t="s">
        <v>721</v>
      </c>
      <c r="F3465">
        <v>53.13</v>
      </c>
      <c r="G3465">
        <v>230224</v>
      </c>
      <c r="H3465">
        <v>4500</v>
      </c>
      <c r="I3465" t="s">
        <v>212</v>
      </c>
      <c r="J3465">
        <v>65.88</v>
      </c>
      <c r="K3465">
        <v>12.75</v>
      </c>
      <c r="L3465">
        <v>13802</v>
      </c>
      <c r="M3465" t="s">
        <v>200</v>
      </c>
      <c r="N3465" t="str">
        <f>"27979       "</f>
        <v xml:space="preserve">27979       </v>
      </c>
      <c r="O3465">
        <v>230306</v>
      </c>
    </row>
    <row r="3466" spans="1:15" x14ac:dyDescent="0.25">
      <c r="A3466" t="s">
        <v>16</v>
      </c>
      <c r="B3466" t="s">
        <v>3221</v>
      </c>
      <c r="C3466">
        <v>3687</v>
      </c>
      <c r="D3466" t="s">
        <v>720</v>
      </c>
      <c r="E3466" t="s">
        <v>721</v>
      </c>
      <c r="F3466">
        <v>4.76</v>
      </c>
      <c r="G3466">
        <v>230316</v>
      </c>
      <c r="H3466">
        <v>4500</v>
      </c>
      <c r="I3466" t="s">
        <v>212</v>
      </c>
      <c r="J3466">
        <v>5.9</v>
      </c>
      <c r="K3466">
        <v>1.1399999999999999</v>
      </c>
      <c r="L3466">
        <v>13821</v>
      </c>
      <c r="M3466" t="s">
        <v>540</v>
      </c>
      <c r="N3466" t="str">
        <f>"28083       "</f>
        <v xml:space="preserve">28083       </v>
      </c>
      <c r="O3466">
        <v>230321</v>
      </c>
    </row>
    <row r="3467" spans="1:15" x14ac:dyDescent="0.25">
      <c r="A3467" t="s">
        <v>16</v>
      </c>
      <c r="B3467" t="s">
        <v>3221</v>
      </c>
      <c r="C3467">
        <v>3827</v>
      </c>
      <c r="D3467" t="s">
        <v>720</v>
      </c>
      <c r="E3467" t="s">
        <v>721</v>
      </c>
      <c r="F3467">
        <v>46.02</v>
      </c>
      <c r="G3467">
        <v>230316</v>
      </c>
      <c r="H3467">
        <v>4500</v>
      </c>
      <c r="I3467" t="s">
        <v>212</v>
      </c>
      <c r="J3467">
        <v>57.07</v>
      </c>
      <c r="K3467">
        <v>11.05</v>
      </c>
      <c r="L3467">
        <v>13802</v>
      </c>
      <c r="M3467" t="s">
        <v>200</v>
      </c>
      <c r="N3467" t="str">
        <f>"28081       "</f>
        <v xml:space="preserve">28081       </v>
      </c>
      <c r="O3467">
        <v>230323</v>
      </c>
    </row>
    <row r="3468" spans="1:15" x14ac:dyDescent="0.25">
      <c r="A3468" t="s">
        <v>16</v>
      </c>
      <c r="B3468" t="s">
        <v>3221</v>
      </c>
      <c r="C3468">
        <v>5189</v>
      </c>
      <c r="D3468" t="s">
        <v>720</v>
      </c>
      <c r="E3468" t="s">
        <v>721</v>
      </c>
      <c r="F3468">
        <v>34.590000000000003</v>
      </c>
      <c r="G3468">
        <v>230404</v>
      </c>
      <c r="H3468">
        <v>4500</v>
      </c>
      <c r="I3468" t="s">
        <v>212</v>
      </c>
      <c r="J3468">
        <v>42.89</v>
      </c>
      <c r="K3468">
        <v>8.3000000000000007</v>
      </c>
      <c r="L3468">
        <v>13802</v>
      </c>
      <c r="M3468" t="s">
        <v>200</v>
      </c>
      <c r="N3468" t="str">
        <f>"28221       "</f>
        <v xml:space="preserve">28221       </v>
      </c>
      <c r="O3468">
        <v>230419</v>
      </c>
    </row>
    <row r="3469" spans="1:15" x14ac:dyDescent="0.25">
      <c r="A3469" t="s">
        <v>16</v>
      </c>
      <c r="B3469" t="s">
        <v>3221</v>
      </c>
      <c r="C3469">
        <v>6214</v>
      </c>
      <c r="D3469" t="s">
        <v>720</v>
      </c>
      <c r="E3469" t="s">
        <v>721</v>
      </c>
      <c r="F3469">
        <v>21.75</v>
      </c>
      <c r="G3469">
        <v>230428</v>
      </c>
      <c r="H3469">
        <v>4500</v>
      </c>
      <c r="I3469" t="s">
        <v>212</v>
      </c>
      <c r="J3469">
        <v>26.97</v>
      </c>
      <c r="K3469">
        <v>5.22</v>
      </c>
      <c r="L3469">
        <v>13802</v>
      </c>
      <c r="M3469" t="s">
        <v>200</v>
      </c>
      <c r="N3469" t="str">
        <f>"28366       "</f>
        <v xml:space="preserve">28366       </v>
      </c>
      <c r="O3469">
        <v>230508</v>
      </c>
    </row>
    <row r="3470" spans="1:15" x14ac:dyDescent="0.25">
      <c r="A3470" t="s">
        <v>16</v>
      </c>
      <c r="B3470" t="s">
        <v>3221</v>
      </c>
      <c r="C3470">
        <v>6550</v>
      </c>
      <c r="D3470" t="s">
        <v>720</v>
      </c>
      <c r="E3470" t="s">
        <v>721</v>
      </c>
      <c r="F3470">
        <v>13.16</v>
      </c>
      <c r="G3470">
        <v>230428</v>
      </c>
      <c r="H3470">
        <v>4500</v>
      </c>
      <c r="I3470" t="s">
        <v>212</v>
      </c>
      <c r="J3470">
        <v>16.32</v>
      </c>
      <c r="K3470">
        <v>3.16</v>
      </c>
      <c r="L3470">
        <v>13802</v>
      </c>
      <c r="M3470" t="s">
        <v>200</v>
      </c>
      <c r="N3470" t="str">
        <f>"28381       "</f>
        <v xml:space="preserve">28381       </v>
      </c>
      <c r="O3470">
        <v>230515</v>
      </c>
    </row>
    <row r="3471" spans="1:15" x14ac:dyDescent="0.25">
      <c r="A3471" t="s">
        <v>16</v>
      </c>
      <c r="B3471" t="s">
        <v>3221</v>
      </c>
      <c r="C3471">
        <v>11853</v>
      </c>
      <c r="D3471" t="s">
        <v>720</v>
      </c>
      <c r="E3471" t="s">
        <v>721</v>
      </c>
      <c r="F3471">
        <v>41.57</v>
      </c>
      <c r="G3471">
        <v>230905</v>
      </c>
      <c r="H3471">
        <v>4500</v>
      </c>
      <c r="I3471" t="s">
        <v>212</v>
      </c>
      <c r="J3471">
        <v>51.55</v>
      </c>
      <c r="K3471">
        <v>9.98</v>
      </c>
      <c r="L3471">
        <v>13802</v>
      </c>
      <c r="M3471" t="s">
        <v>200</v>
      </c>
      <c r="N3471" t="str">
        <f>"29365       "</f>
        <v xml:space="preserve">29365       </v>
      </c>
      <c r="O3471">
        <v>230911</v>
      </c>
    </row>
    <row r="3472" spans="1:15" x14ac:dyDescent="0.25">
      <c r="A3472" t="s">
        <v>16</v>
      </c>
      <c r="B3472" t="s">
        <v>3221</v>
      </c>
      <c r="C3472">
        <v>11853</v>
      </c>
      <c r="D3472" t="s">
        <v>720</v>
      </c>
      <c r="E3472" t="s">
        <v>721</v>
      </c>
      <c r="F3472">
        <v>52.73</v>
      </c>
      <c r="G3472">
        <v>230905</v>
      </c>
      <c r="H3472">
        <v>4500</v>
      </c>
      <c r="I3472" t="s">
        <v>212</v>
      </c>
      <c r="J3472">
        <v>65.38</v>
      </c>
      <c r="K3472">
        <v>12.65</v>
      </c>
      <c r="L3472">
        <v>13802</v>
      </c>
      <c r="M3472" t="s">
        <v>200</v>
      </c>
      <c r="N3472" t="str">
        <f>"29365       "</f>
        <v xml:space="preserve">29365       </v>
      </c>
      <c r="O3472">
        <v>230911</v>
      </c>
    </row>
    <row r="3473" spans="1:15" x14ac:dyDescent="0.25">
      <c r="A3473" t="s">
        <v>16</v>
      </c>
      <c r="B3473" t="s">
        <v>3221</v>
      </c>
      <c r="C3473">
        <v>12403</v>
      </c>
      <c r="D3473" t="s">
        <v>720</v>
      </c>
      <c r="E3473" t="s">
        <v>721</v>
      </c>
      <c r="F3473">
        <v>179.75</v>
      </c>
      <c r="G3473">
        <v>230905</v>
      </c>
      <c r="H3473">
        <v>4500</v>
      </c>
      <c r="I3473" t="s">
        <v>212</v>
      </c>
      <c r="J3473">
        <v>222.89</v>
      </c>
      <c r="K3473">
        <v>43.14</v>
      </c>
      <c r="L3473">
        <v>13802</v>
      </c>
      <c r="M3473" t="s">
        <v>200</v>
      </c>
      <c r="N3473" t="str">
        <f>"29374       "</f>
        <v xml:space="preserve">29374       </v>
      </c>
      <c r="O3473">
        <v>230919</v>
      </c>
    </row>
    <row r="3474" spans="1:15" x14ac:dyDescent="0.25">
      <c r="A3474" t="s">
        <v>16</v>
      </c>
      <c r="B3474" t="s">
        <v>3221</v>
      </c>
      <c r="C3474">
        <v>15739</v>
      </c>
      <c r="D3474" t="s">
        <v>720</v>
      </c>
      <c r="E3474" t="s">
        <v>721</v>
      </c>
      <c r="F3474">
        <v>57.1</v>
      </c>
      <c r="G3474">
        <v>231031</v>
      </c>
      <c r="H3474">
        <v>4500</v>
      </c>
      <c r="I3474" t="s">
        <v>212</v>
      </c>
      <c r="J3474">
        <v>70.81</v>
      </c>
      <c r="K3474">
        <v>13.71</v>
      </c>
      <c r="L3474">
        <v>13802</v>
      </c>
      <c r="M3474" t="s">
        <v>200</v>
      </c>
      <c r="N3474" t="str">
        <f>"29860       "</f>
        <v xml:space="preserve">29860       </v>
      </c>
      <c r="O3474">
        <v>231116</v>
      </c>
    </row>
    <row r="3475" spans="1:15" x14ac:dyDescent="0.25">
      <c r="A3475" t="s">
        <v>16</v>
      </c>
      <c r="B3475" t="s">
        <v>3221</v>
      </c>
      <c r="C3475">
        <v>11822</v>
      </c>
      <c r="D3475" t="s">
        <v>1148</v>
      </c>
      <c r="E3475" t="s">
        <v>1149</v>
      </c>
      <c r="F3475">
        <v>83.98</v>
      </c>
      <c r="G3475">
        <v>230831</v>
      </c>
      <c r="H3475">
        <v>4600</v>
      </c>
      <c r="I3475" t="s">
        <v>105</v>
      </c>
      <c r="J3475">
        <v>104.14</v>
      </c>
      <c r="K3475">
        <v>20.16</v>
      </c>
      <c r="L3475">
        <v>13802</v>
      </c>
      <c r="M3475" t="s">
        <v>200</v>
      </c>
      <c r="N3475" t="str">
        <f>"23551119    "</f>
        <v xml:space="preserve">23551119    </v>
      </c>
      <c r="O3475">
        <v>230911</v>
      </c>
    </row>
    <row r="3476" spans="1:15" x14ac:dyDescent="0.25">
      <c r="A3476" t="s">
        <v>16</v>
      </c>
      <c r="B3476" t="s">
        <v>3221</v>
      </c>
      <c r="C3476">
        <v>13900</v>
      </c>
      <c r="D3476" t="s">
        <v>1148</v>
      </c>
      <c r="E3476" t="s">
        <v>1149</v>
      </c>
      <c r="F3476">
        <v>92.96</v>
      </c>
      <c r="G3476">
        <v>230929</v>
      </c>
      <c r="H3476">
        <v>4600</v>
      </c>
      <c r="I3476" t="s">
        <v>105</v>
      </c>
      <c r="J3476">
        <v>115.27</v>
      </c>
      <c r="K3476">
        <v>22.31</v>
      </c>
      <c r="L3476">
        <v>13802</v>
      </c>
      <c r="M3476" t="s">
        <v>200</v>
      </c>
      <c r="N3476" t="str">
        <f>"24511750    "</f>
        <v xml:space="preserve">24511750    </v>
      </c>
      <c r="O3476">
        <v>231016</v>
      </c>
    </row>
    <row r="3477" spans="1:15" x14ac:dyDescent="0.25">
      <c r="A3477" t="s">
        <v>16</v>
      </c>
      <c r="B3477" t="s">
        <v>3221</v>
      </c>
      <c r="C3477">
        <v>14857</v>
      </c>
      <c r="D3477" t="s">
        <v>1148</v>
      </c>
      <c r="E3477" t="s">
        <v>1149</v>
      </c>
      <c r="F3477">
        <v>83.32</v>
      </c>
      <c r="G3477">
        <v>231031</v>
      </c>
      <c r="H3477">
        <v>4600</v>
      </c>
      <c r="I3477" t="s">
        <v>105</v>
      </c>
      <c r="J3477">
        <v>103.32</v>
      </c>
      <c r="K3477">
        <v>20</v>
      </c>
      <c r="L3477">
        <v>13821</v>
      </c>
      <c r="M3477" t="s">
        <v>540</v>
      </c>
      <c r="N3477" t="str">
        <f>"24526602    "</f>
        <v xml:space="preserve">24526602    </v>
      </c>
      <c r="O3477">
        <v>231107</v>
      </c>
    </row>
    <row r="3478" spans="1:15" x14ac:dyDescent="0.25">
      <c r="A3478" t="s">
        <v>16</v>
      </c>
      <c r="B3478" t="s">
        <v>3221</v>
      </c>
      <c r="C3478">
        <v>1703</v>
      </c>
      <c r="D3478" t="s">
        <v>1148</v>
      </c>
      <c r="E3478" t="s">
        <v>1149</v>
      </c>
      <c r="F3478">
        <v>215.91</v>
      </c>
      <c r="G3478">
        <v>230131</v>
      </c>
      <c r="H3478">
        <v>4500</v>
      </c>
      <c r="I3478" t="s">
        <v>212</v>
      </c>
      <c r="J3478">
        <v>267.73</v>
      </c>
      <c r="K3478">
        <v>51.82</v>
      </c>
      <c r="L3478">
        <v>13802</v>
      </c>
      <c r="M3478" t="s">
        <v>200</v>
      </c>
      <c r="N3478" t="str">
        <f>"23428335    "</f>
        <v xml:space="preserve">23428335    </v>
      </c>
      <c r="O3478">
        <v>230213</v>
      </c>
    </row>
    <row r="3479" spans="1:15" x14ac:dyDescent="0.25">
      <c r="A3479" t="s">
        <v>16</v>
      </c>
      <c r="B3479" t="s">
        <v>3221</v>
      </c>
      <c r="C3479">
        <v>4769</v>
      </c>
      <c r="D3479" t="s">
        <v>1148</v>
      </c>
      <c r="E3479" t="s">
        <v>1149</v>
      </c>
      <c r="F3479">
        <v>44.1</v>
      </c>
      <c r="G3479">
        <v>230331</v>
      </c>
      <c r="H3479">
        <v>4500</v>
      </c>
      <c r="I3479" t="s">
        <v>212</v>
      </c>
      <c r="J3479">
        <v>54.68</v>
      </c>
      <c r="K3479">
        <v>10.58</v>
      </c>
      <c r="L3479">
        <v>13802</v>
      </c>
      <c r="M3479" t="s">
        <v>200</v>
      </c>
      <c r="N3479" t="str">
        <f>"23438262    "</f>
        <v xml:space="preserve">23438262    </v>
      </c>
      <c r="O3479">
        <v>230412</v>
      </c>
    </row>
    <row r="3480" spans="1:15" x14ac:dyDescent="0.25">
      <c r="A3480" t="s">
        <v>16</v>
      </c>
      <c r="B3480" t="s">
        <v>3221</v>
      </c>
      <c r="C3480">
        <v>9987</v>
      </c>
      <c r="D3480" t="s">
        <v>1148</v>
      </c>
      <c r="E3480" t="s">
        <v>1149</v>
      </c>
      <c r="F3480">
        <v>2749.87</v>
      </c>
      <c r="G3480">
        <v>230801</v>
      </c>
      <c r="H3480">
        <v>4530</v>
      </c>
      <c r="I3480" t="s">
        <v>342</v>
      </c>
      <c r="J3480">
        <v>3409.84</v>
      </c>
      <c r="K3480">
        <v>659.97</v>
      </c>
      <c r="L3480">
        <v>17952</v>
      </c>
      <c r="M3480" t="s">
        <v>88</v>
      </c>
      <c r="N3480" t="str">
        <f>"23539861    "</f>
        <v xml:space="preserve">23539861    </v>
      </c>
      <c r="O3480">
        <v>230803</v>
      </c>
    </row>
    <row r="3481" spans="1:15" x14ac:dyDescent="0.25">
      <c r="A3481" t="s">
        <v>16</v>
      </c>
      <c r="B3481" t="s">
        <v>3221</v>
      </c>
      <c r="C3481">
        <v>17576</v>
      </c>
      <c r="D3481" t="s">
        <v>3073</v>
      </c>
      <c r="E3481" t="s">
        <v>3074</v>
      </c>
      <c r="F3481">
        <v>11.29</v>
      </c>
      <c r="G3481">
        <v>231207</v>
      </c>
      <c r="H3481">
        <v>4470</v>
      </c>
      <c r="I3481" t="s">
        <v>83</v>
      </c>
      <c r="J3481">
        <v>14</v>
      </c>
      <c r="K3481">
        <v>2.71</v>
      </c>
      <c r="L3481">
        <v>17538</v>
      </c>
      <c r="M3481" t="s">
        <v>24</v>
      </c>
      <c r="N3481" t="str">
        <f>"569316      "</f>
        <v xml:space="preserve">569316      </v>
      </c>
      <c r="O3481">
        <v>231215</v>
      </c>
    </row>
    <row r="3482" spans="1:15" x14ac:dyDescent="0.25">
      <c r="A3482" t="s">
        <v>16</v>
      </c>
      <c r="B3482" t="s">
        <v>3221</v>
      </c>
      <c r="C3482">
        <v>17576</v>
      </c>
      <c r="D3482" t="s">
        <v>3073</v>
      </c>
      <c r="E3482" t="s">
        <v>3074</v>
      </c>
      <c r="F3482">
        <v>4.03</v>
      </c>
      <c r="G3482">
        <v>231207</v>
      </c>
      <c r="H3482">
        <v>4364</v>
      </c>
      <c r="I3482" t="s">
        <v>296</v>
      </c>
      <c r="J3482">
        <v>5</v>
      </c>
      <c r="K3482">
        <v>0.97</v>
      </c>
      <c r="L3482">
        <v>17538</v>
      </c>
      <c r="M3482" t="s">
        <v>24</v>
      </c>
      <c r="N3482" t="str">
        <f>"569316      "</f>
        <v xml:space="preserve">569316      </v>
      </c>
      <c r="O3482">
        <v>231215</v>
      </c>
    </row>
    <row r="3483" spans="1:15" x14ac:dyDescent="0.25">
      <c r="A3483" t="s">
        <v>16</v>
      </c>
      <c r="B3483" t="s">
        <v>3221</v>
      </c>
      <c r="C3483">
        <v>2193</v>
      </c>
      <c r="D3483" t="s">
        <v>3368</v>
      </c>
      <c r="E3483" t="s">
        <v>3369</v>
      </c>
      <c r="F3483">
        <v>100</v>
      </c>
      <c r="G3483">
        <v>230216</v>
      </c>
      <c r="H3483">
        <v>4470</v>
      </c>
      <c r="I3483" t="s">
        <v>83</v>
      </c>
      <c r="J3483">
        <v>100</v>
      </c>
      <c r="K3483">
        <v>0</v>
      </c>
      <c r="L3483">
        <v>17131</v>
      </c>
      <c r="M3483" t="s">
        <v>64</v>
      </c>
      <c r="N3483" t="str">
        <f>"1/2022      "</f>
        <v xml:space="preserve">1/2022      </v>
      </c>
      <c r="O3483">
        <v>230222</v>
      </c>
    </row>
    <row r="3484" spans="1:15" x14ac:dyDescent="0.25">
      <c r="A3484" t="s">
        <v>16</v>
      </c>
      <c r="B3484" t="s">
        <v>3221</v>
      </c>
      <c r="C3484">
        <v>3154</v>
      </c>
      <c r="D3484" t="s">
        <v>1516</v>
      </c>
      <c r="E3484" t="s">
        <v>1517</v>
      </c>
      <c r="F3484">
        <v>350</v>
      </c>
      <c r="G3484">
        <v>230307</v>
      </c>
      <c r="H3484">
        <v>4860</v>
      </c>
      <c r="I3484" t="s">
        <v>28</v>
      </c>
      <c r="J3484">
        <v>434</v>
      </c>
      <c r="K3484">
        <v>84</v>
      </c>
      <c r="L3484">
        <v>13501</v>
      </c>
      <c r="M3484" t="s">
        <v>20</v>
      </c>
      <c r="N3484" t="str">
        <f>"1570        "</f>
        <v xml:space="preserve">1570        </v>
      </c>
      <c r="O3484">
        <v>230309</v>
      </c>
    </row>
    <row r="3485" spans="1:15" x14ac:dyDescent="0.25">
      <c r="A3485" t="s">
        <v>16</v>
      </c>
      <c r="B3485" t="s">
        <v>3221</v>
      </c>
      <c r="C3485">
        <v>9029</v>
      </c>
      <c r="D3485" t="s">
        <v>2241</v>
      </c>
      <c r="E3485" t="s">
        <v>2242</v>
      </c>
      <c r="F3485">
        <v>45.93</v>
      </c>
      <c r="G3485">
        <v>230620</v>
      </c>
      <c r="H3485">
        <v>4600</v>
      </c>
      <c r="I3485" t="s">
        <v>105</v>
      </c>
      <c r="J3485">
        <v>56.95</v>
      </c>
      <c r="K3485">
        <v>11.02</v>
      </c>
      <c r="L3485">
        <v>17711</v>
      </c>
      <c r="M3485" t="s">
        <v>65</v>
      </c>
      <c r="N3485" t="str">
        <f>"9180        "</f>
        <v xml:space="preserve">9180        </v>
      </c>
      <c r="O3485">
        <v>230621</v>
      </c>
    </row>
    <row r="3486" spans="1:15" x14ac:dyDescent="0.25">
      <c r="A3486" t="s">
        <v>16</v>
      </c>
      <c r="B3486" t="s">
        <v>3221</v>
      </c>
      <c r="C3486">
        <v>9029</v>
      </c>
      <c r="D3486" t="s">
        <v>2241</v>
      </c>
      <c r="E3486" t="s">
        <v>2242</v>
      </c>
      <c r="F3486">
        <v>45.93</v>
      </c>
      <c r="G3486">
        <v>230620</v>
      </c>
      <c r="H3486">
        <v>4600</v>
      </c>
      <c r="I3486" t="s">
        <v>105</v>
      </c>
      <c r="J3486">
        <v>56.95</v>
      </c>
      <c r="K3486">
        <v>11.02</v>
      </c>
      <c r="L3486">
        <v>67522</v>
      </c>
      <c r="M3486" t="s">
        <v>397</v>
      </c>
      <c r="N3486" t="str">
        <f>"9180        "</f>
        <v xml:space="preserve">9180        </v>
      </c>
      <c r="O3486">
        <v>230621</v>
      </c>
    </row>
    <row r="3487" spans="1:15" x14ac:dyDescent="0.25">
      <c r="A3487" t="s">
        <v>16</v>
      </c>
      <c r="B3487" t="s">
        <v>3221</v>
      </c>
      <c r="C3487">
        <v>17685</v>
      </c>
      <c r="D3487" t="s">
        <v>3089</v>
      </c>
      <c r="E3487" t="s">
        <v>3090</v>
      </c>
      <c r="F3487">
        <v>78.900000000000006</v>
      </c>
      <c r="G3487">
        <v>231204</v>
      </c>
      <c r="H3487">
        <v>4600</v>
      </c>
      <c r="I3487" t="s">
        <v>105</v>
      </c>
      <c r="J3487">
        <v>97.83</v>
      </c>
      <c r="K3487">
        <v>18.93</v>
      </c>
      <c r="L3487">
        <v>18994</v>
      </c>
      <c r="M3487" t="s">
        <v>1940</v>
      </c>
      <c r="N3487" t="str">
        <f>"6535        "</f>
        <v xml:space="preserve">6535        </v>
      </c>
      <c r="O3487">
        <v>231221</v>
      </c>
    </row>
    <row r="3488" spans="1:15" x14ac:dyDescent="0.25">
      <c r="A3488" t="s">
        <v>16</v>
      </c>
      <c r="B3488" t="s">
        <v>3221</v>
      </c>
      <c r="C3488">
        <v>18897</v>
      </c>
      <c r="D3488" t="s">
        <v>277</v>
      </c>
      <c r="E3488" t="s">
        <v>278</v>
      </c>
      <c r="F3488">
        <v>-256.8</v>
      </c>
      <c r="G3488">
        <v>231231</v>
      </c>
      <c r="H3488">
        <v>4346</v>
      </c>
      <c r="I3488" t="s">
        <v>197</v>
      </c>
      <c r="J3488">
        <v>-256.8</v>
      </c>
      <c r="K3488">
        <v>0</v>
      </c>
      <c r="L3488">
        <v>17737</v>
      </c>
      <c r="M3488" t="s">
        <v>279</v>
      </c>
      <c r="N3488" t="str">
        <f>"2229688     "</f>
        <v xml:space="preserve">2229688     </v>
      </c>
      <c r="O3488">
        <v>240108</v>
      </c>
    </row>
    <row r="3489" spans="1:15" x14ac:dyDescent="0.25">
      <c r="A3489" t="s">
        <v>16</v>
      </c>
      <c r="B3489" t="s">
        <v>3221</v>
      </c>
      <c r="C3489">
        <v>18897</v>
      </c>
      <c r="D3489" t="s">
        <v>277</v>
      </c>
      <c r="E3489" t="s">
        <v>278</v>
      </c>
      <c r="F3489">
        <v>256.8</v>
      </c>
      <c r="G3489">
        <v>231231</v>
      </c>
      <c r="H3489">
        <v>4346</v>
      </c>
      <c r="I3489" t="s">
        <v>197</v>
      </c>
      <c r="J3489">
        <v>318.43</v>
      </c>
      <c r="K3489">
        <v>61.63</v>
      </c>
      <c r="L3489">
        <v>17737</v>
      </c>
      <c r="M3489" t="s">
        <v>279</v>
      </c>
      <c r="N3489" t="str">
        <f>"2229688     "</f>
        <v xml:space="preserve">2229688     </v>
      </c>
      <c r="O3489">
        <v>240108</v>
      </c>
    </row>
    <row r="3490" spans="1:15" x14ac:dyDescent="0.25">
      <c r="A3490" t="s">
        <v>16</v>
      </c>
      <c r="B3490" t="s">
        <v>3221</v>
      </c>
      <c r="C3490">
        <v>3304</v>
      </c>
      <c r="D3490" t="s">
        <v>277</v>
      </c>
      <c r="E3490" t="s">
        <v>278</v>
      </c>
      <c r="F3490">
        <v>145.80000000000001</v>
      </c>
      <c r="G3490">
        <v>230228</v>
      </c>
      <c r="H3490">
        <v>4343</v>
      </c>
      <c r="I3490" t="s">
        <v>91</v>
      </c>
      <c r="J3490">
        <v>180.79</v>
      </c>
      <c r="K3490">
        <v>34.99</v>
      </c>
      <c r="L3490">
        <v>67554</v>
      </c>
      <c r="M3490" t="s">
        <v>60</v>
      </c>
      <c r="N3490" t="str">
        <f>"2214551     "</f>
        <v xml:space="preserve">2214551     </v>
      </c>
      <c r="O3490">
        <v>230314</v>
      </c>
    </row>
    <row r="3491" spans="1:15" x14ac:dyDescent="0.25">
      <c r="A3491" t="s">
        <v>16</v>
      </c>
      <c r="B3491" t="s">
        <v>3221</v>
      </c>
      <c r="C3491">
        <v>4551</v>
      </c>
      <c r="D3491" t="s">
        <v>277</v>
      </c>
      <c r="E3491" t="s">
        <v>278</v>
      </c>
      <c r="F3491">
        <v>198.96</v>
      </c>
      <c r="G3491">
        <v>230331</v>
      </c>
      <c r="H3491">
        <v>4343</v>
      </c>
      <c r="I3491" t="s">
        <v>91</v>
      </c>
      <c r="J3491">
        <v>246.71</v>
      </c>
      <c r="K3491">
        <v>47.75</v>
      </c>
      <c r="L3491">
        <v>17737</v>
      </c>
      <c r="M3491" t="s">
        <v>279</v>
      </c>
      <c r="N3491" t="str">
        <f>"2216283     "</f>
        <v xml:space="preserve">2216283     </v>
      </c>
      <c r="O3491">
        <v>230406</v>
      </c>
    </row>
    <row r="3492" spans="1:15" x14ac:dyDescent="0.25">
      <c r="A3492" t="s">
        <v>16</v>
      </c>
      <c r="B3492" t="s">
        <v>3221</v>
      </c>
      <c r="C3492">
        <v>19267</v>
      </c>
      <c r="D3492" t="s">
        <v>277</v>
      </c>
      <c r="E3492" t="s">
        <v>278</v>
      </c>
      <c r="F3492">
        <v>105</v>
      </c>
      <c r="G3492">
        <v>231231</v>
      </c>
      <c r="H3492">
        <v>4343</v>
      </c>
      <c r="I3492" t="s">
        <v>91</v>
      </c>
      <c r="J3492">
        <v>130.19999999999999</v>
      </c>
      <c r="K3492">
        <v>25.2</v>
      </c>
      <c r="L3492">
        <v>67554</v>
      </c>
      <c r="M3492" t="s">
        <v>60</v>
      </c>
      <c r="N3492" t="str">
        <f>"2229587     "</f>
        <v xml:space="preserve">2229587     </v>
      </c>
      <c r="O3492">
        <v>240115</v>
      </c>
    </row>
    <row r="3493" spans="1:15" x14ac:dyDescent="0.25">
      <c r="A3493" t="s">
        <v>16</v>
      </c>
      <c r="B3493" t="s">
        <v>3221</v>
      </c>
      <c r="C3493">
        <v>17474</v>
      </c>
      <c r="D3493" t="s">
        <v>277</v>
      </c>
      <c r="E3493" t="s">
        <v>278</v>
      </c>
      <c r="F3493">
        <v>1487.7</v>
      </c>
      <c r="G3493">
        <v>231130</v>
      </c>
      <c r="H3493">
        <v>4385</v>
      </c>
      <c r="I3493" t="s">
        <v>365</v>
      </c>
      <c r="J3493">
        <v>1844.75</v>
      </c>
      <c r="K3493">
        <v>357.05</v>
      </c>
      <c r="L3493">
        <v>67554</v>
      </c>
      <c r="M3493" t="s">
        <v>60</v>
      </c>
      <c r="N3493" t="str">
        <f>"2227678     "</f>
        <v xml:space="preserve">2227678     </v>
      </c>
      <c r="O3493">
        <v>231214</v>
      </c>
    </row>
    <row r="3494" spans="1:15" x14ac:dyDescent="0.25">
      <c r="A3494" t="s">
        <v>16</v>
      </c>
      <c r="B3494" t="s">
        <v>3221</v>
      </c>
      <c r="C3494">
        <v>4679</v>
      </c>
      <c r="D3494" t="s">
        <v>277</v>
      </c>
      <c r="E3494" t="s">
        <v>278</v>
      </c>
      <c r="F3494">
        <v>198.96</v>
      </c>
      <c r="G3494">
        <v>230331</v>
      </c>
      <c r="H3494">
        <v>4362</v>
      </c>
      <c r="I3494" t="s">
        <v>79</v>
      </c>
      <c r="J3494">
        <v>246.71</v>
      </c>
      <c r="K3494">
        <v>47.75</v>
      </c>
      <c r="L3494">
        <v>67554</v>
      </c>
      <c r="M3494" t="s">
        <v>60</v>
      </c>
      <c r="N3494" t="str">
        <f>"2216205     "</f>
        <v xml:space="preserve">2216205     </v>
      </c>
      <c r="O3494">
        <v>230411</v>
      </c>
    </row>
    <row r="3495" spans="1:15" x14ac:dyDescent="0.25">
      <c r="A3495" t="s">
        <v>16</v>
      </c>
      <c r="B3495" t="s">
        <v>3221</v>
      </c>
      <c r="C3495">
        <v>8110</v>
      </c>
      <c r="D3495" t="s">
        <v>277</v>
      </c>
      <c r="E3495" t="s">
        <v>278</v>
      </c>
      <c r="F3495">
        <v>111.9</v>
      </c>
      <c r="G3495">
        <v>230531</v>
      </c>
      <c r="H3495">
        <v>4580</v>
      </c>
      <c r="I3495" t="s">
        <v>35</v>
      </c>
      <c r="J3495">
        <v>138.76</v>
      </c>
      <c r="K3495">
        <v>26.86</v>
      </c>
      <c r="L3495">
        <v>17737</v>
      </c>
      <c r="M3495" t="s">
        <v>279</v>
      </c>
      <c r="N3495" t="str">
        <f>"2220797     "</f>
        <v xml:space="preserve">2220797     </v>
      </c>
      <c r="O3495">
        <v>230607</v>
      </c>
    </row>
    <row r="3496" spans="1:15" x14ac:dyDescent="0.25">
      <c r="A3496" t="s">
        <v>16</v>
      </c>
      <c r="B3496" t="s">
        <v>3221</v>
      </c>
      <c r="C3496">
        <v>179</v>
      </c>
      <c r="D3496" t="s">
        <v>277</v>
      </c>
      <c r="E3496" t="s">
        <v>278</v>
      </c>
      <c r="F3496">
        <v>65.45</v>
      </c>
      <c r="G3496">
        <v>230109</v>
      </c>
      <c r="H3496">
        <v>4510</v>
      </c>
      <c r="I3496" t="s">
        <v>42</v>
      </c>
      <c r="J3496">
        <v>72</v>
      </c>
      <c r="K3496">
        <v>6.55</v>
      </c>
      <c r="L3496">
        <v>17737</v>
      </c>
      <c r="M3496" t="s">
        <v>279</v>
      </c>
      <c r="N3496" t="str">
        <f>"2211227     "</f>
        <v xml:space="preserve">2211227     </v>
      </c>
      <c r="O3496">
        <v>230116</v>
      </c>
    </row>
    <row r="3497" spans="1:15" x14ac:dyDescent="0.25">
      <c r="A3497" t="s">
        <v>16</v>
      </c>
      <c r="B3497" t="s">
        <v>3221</v>
      </c>
      <c r="C3497">
        <v>251</v>
      </c>
      <c r="D3497" t="s">
        <v>277</v>
      </c>
      <c r="E3497" t="s">
        <v>278</v>
      </c>
      <c r="F3497">
        <v>65.45</v>
      </c>
      <c r="G3497">
        <v>230109</v>
      </c>
      <c r="H3497">
        <v>4510</v>
      </c>
      <c r="I3497" t="s">
        <v>42</v>
      </c>
      <c r="J3497">
        <v>72</v>
      </c>
      <c r="K3497">
        <v>6.55</v>
      </c>
      <c r="L3497">
        <v>67554</v>
      </c>
      <c r="M3497" t="s">
        <v>60</v>
      </c>
      <c r="N3497" t="str">
        <f>"2210852     "</f>
        <v xml:space="preserve">2210852     </v>
      </c>
      <c r="O3497">
        <v>230116</v>
      </c>
    </row>
    <row r="3498" spans="1:15" x14ac:dyDescent="0.25">
      <c r="A3498" t="s">
        <v>16</v>
      </c>
      <c r="B3498" t="s">
        <v>3221</v>
      </c>
      <c r="C3498">
        <v>17474</v>
      </c>
      <c r="D3498" t="s">
        <v>277</v>
      </c>
      <c r="E3498" t="s">
        <v>278</v>
      </c>
      <c r="F3498">
        <v>89</v>
      </c>
      <c r="G3498">
        <v>231130</v>
      </c>
      <c r="H3498">
        <v>4533</v>
      </c>
      <c r="I3498" t="s">
        <v>366</v>
      </c>
      <c r="J3498">
        <v>97.9</v>
      </c>
      <c r="K3498">
        <v>8.9</v>
      </c>
      <c r="L3498">
        <v>67554</v>
      </c>
      <c r="M3498" t="s">
        <v>60</v>
      </c>
      <c r="N3498" t="str">
        <f>"2227678     "</f>
        <v xml:space="preserve">2227678     </v>
      </c>
      <c r="O3498">
        <v>231214</v>
      </c>
    </row>
    <row r="3499" spans="1:15" x14ac:dyDescent="0.25">
      <c r="A3499" t="s">
        <v>16</v>
      </c>
      <c r="B3499" t="s">
        <v>3221</v>
      </c>
      <c r="C3499">
        <v>10428</v>
      </c>
      <c r="D3499" t="s">
        <v>277</v>
      </c>
      <c r="E3499" t="s">
        <v>278</v>
      </c>
      <c r="F3499">
        <v>106</v>
      </c>
      <c r="G3499">
        <v>230731</v>
      </c>
      <c r="H3499">
        <v>4420</v>
      </c>
      <c r="I3499" t="s">
        <v>132</v>
      </c>
      <c r="J3499">
        <v>131.44</v>
      </c>
      <c r="K3499">
        <v>25.44</v>
      </c>
      <c r="L3499">
        <v>67554</v>
      </c>
      <c r="M3499" t="s">
        <v>60</v>
      </c>
      <c r="N3499" t="str">
        <f>"2222455     "</f>
        <v xml:space="preserve">2222455     </v>
      </c>
      <c r="O3499">
        <v>230815</v>
      </c>
    </row>
    <row r="3500" spans="1:15" x14ac:dyDescent="0.25">
      <c r="A3500" t="s">
        <v>16</v>
      </c>
      <c r="B3500" t="s">
        <v>3221</v>
      </c>
      <c r="C3500">
        <v>19267</v>
      </c>
      <c r="D3500" t="s">
        <v>277</v>
      </c>
      <c r="E3500" t="s">
        <v>278</v>
      </c>
      <c r="F3500">
        <v>230.8</v>
      </c>
      <c r="G3500">
        <v>231231</v>
      </c>
      <c r="H3500">
        <v>4600</v>
      </c>
      <c r="I3500" t="s">
        <v>105</v>
      </c>
      <c r="J3500">
        <v>286.19</v>
      </c>
      <c r="K3500">
        <v>55.39</v>
      </c>
      <c r="L3500">
        <v>67554</v>
      </c>
      <c r="M3500" t="s">
        <v>60</v>
      </c>
      <c r="N3500" t="str">
        <f>"2229587     "</f>
        <v xml:space="preserve">2229587     </v>
      </c>
      <c r="O3500">
        <v>240115</v>
      </c>
    </row>
    <row r="3501" spans="1:15" x14ac:dyDescent="0.25">
      <c r="A3501" t="s">
        <v>16</v>
      </c>
      <c r="B3501" t="s">
        <v>3221</v>
      </c>
      <c r="C3501">
        <v>10428</v>
      </c>
      <c r="D3501" t="s">
        <v>277</v>
      </c>
      <c r="E3501" t="s">
        <v>278</v>
      </c>
      <c r="F3501">
        <v>300</v>
      </c>
      <c r="G3501">
        <v>230731</v>
      </c>
      <c r="H3501">
        <v>4470</v>
      </c>
      <c r="I3501" t="s">
        <v>83</v>
      </c>
      <c r="J3501">
        <v>372</v>
      </c>
      <c r="K3501">
        <v>72</v>
      </c>
      <c r="L3501">
        <v>67554</v>
      </c>
      <c r="M3501" t="s">
        <v>60</v>
      </c>
      <c r="N3501" t="str">
        <f>"2222455     "</f>
        <v xml:space="preserve">2222455     </v>
      </c>
      <c r="O3501">
        <v>230815</v>
      </c>
    </row>
    <row r="3502" spans="1:15" x14ac:dyDescent="0.25">
      <c r="A3502" t="s">
        <v>16</v>
      </c>
      <c r="B3502" t="s">
        <v>3221</v>
      </c>
      <c r="C3502">
        <v>10428</v>
      </c>
      <c r="D3502" t="s">
        <v>277</v>
      </c>
      <c r="E3502" t="s">
        <v>278</v>
      </c>
      <c r="F3502">
        <v>-406</v>
      </c>
      <c r="G3502">
        <v>230731</v>
      </c>
      <c r="H3502">
        <v>4470</v>
      </c>
      <c r="I3502" t="s">
        <v>83</v>
      </c>
      <c r="J3502">
        <v>-406</v>
      </c>
      <c r="K3502">
        <v>0</v>
      </c>
      <c r="L3502">
        <v>67554</v>
      </c>
      <c r="M3502" t="s">
        <v>60</v>
      </c>
      <c r="N3502" t="str">
        <f>"2222455     "</f>
        <v xml:space="preserve">2222455     </v>
      </c>
      <c r="O3502">
        <v>230815</v>
      </c>
    </row>
    <row r="3503" spans="1:15" x14ac:dyDescent="0.25">
      <c r="A3503" t="s">
        <v>16</v>
      </c>
      <c r="B3503" t="s">
        <v>3221</v>
      </c>
      <c r="C3503">
        <v>1391</v>
      </c>
      <c r="D3503" t="s">
        <v>277</v>
      </c>
      <c r="E3503" t="s">
        <v>278</v>
      </c>
      <c r="F3503">
        <v>56.9</v>
      </c>
      <c r="G3503">
        <v>230131</v>
      </c>
      <c r="H3503">
        <v>4554</v>
      </c>
      <c r="I3503" t="s">
        <v>371</v>
      </c>
      <c r="J3503">
        <v>64.87</v>
      </c>
      <c r="K3503">
        <v>7.97</v>
      </c>
      <c r="L3503">
        <v>67554</v>
      </c>
      <c r="M3503" t="s">
        <v>60</v>
      </c>
      <c r="N3503" t="str">
        <f>"2213291     "</f>
        <v xml:space="preserve">2213291     </v>
      </c>
      <c r="O3503">
        <v>230208</v>
      </c>
    </row>
    <row r="3504" spans="1:15" x14ac:dyDescent="0.25">
      <c r="A3504" t="s">
        <v>16</v>
      </c>
      <c r="B3504" t="s">
        <v>3221</v>
      </c>
      <c r="C3504">
        <v>3304</v>
      </c>
      <c r="D3504" t="s">
        <v>277</v>
      </c>
      <c r="E3504" t="s">
        <v>278</v>
      </c>
      <c r="F3504">
        <v>62.9</v>
      </c>
      <c r="G3504">
        <v>230228</v>
      </c>
      <c r="H3504">
        <v>4554</v>
      </c>
      <c r="I3504" t="s">
        <v>371</v>
      </c>
      <c r="J3504">
        <v>71.709999999999994</v>
      </c>
      <c r="K3504">
        <v>8.81</v>
      </c>
      <c r="L3504">
        <v>67554</v>
      </c>
      <c r="M3504" t="s">
        <v>60</v>
      </c>
      <c r="N3504" t="str">
        <f>"2214551     "</f>
        <v xml:space="preserve">2214551     </v>
      </c>
      <c r="O3504">
        <v>230314</v>
      </c>
    </row>
    <row r="3505" spans="1:15" x14ac:dyDescent="0.25">
      <c r="A3505" t="s">
        <v>16</v>
      </c>
      <c r="B3505" t="s">
        <v>3221</v>
      </c>
      <c r="C3505">
        <v>13885</v>
      </c>
      <c r="D3505" t="s">
        <v>277</v>
      </c>
      <c r="E3505" t="s">
        <v>278</v>
      </c>
      <c r="F3505">
        <v>199.9</v>
      </c>
      <c r="G3505">
        <v>230930</v>
      </c>
      <c r="H3505">
        <v>4554</v>
      </c>
      <c r="I3505" t="s">
        <v>371</v>
      </c>
      <c r="J3505">
        <v>227.89</v>
      </c>
      <c r="K3505">
        <v>27.99</v>
      </c>
      <c r="L3505">
        <v>67554</v>
      </c>
      <c r="M3505" t="s">
        <v>60</v>
      </c>
      <c r="N3505" t="str">
        <f>"2225950     "</f>
        <v xml:space="preserve">2225950     </v>
      </c>
      <c r="O3505">
        <v>231016</v>
      </c>
    </row>
    <row r="3506" spans="1:15" x14ac:dyDescent="0.25">
      <c r="A3506" t="s">
        <v>16</v>
      </c>
      <c r="B3506" t="s">
        <v>3221</v>
      </c>
      <c r="C3506">
        <v>8715</v>
      </c>
      <c r="D3506" t="s">
        <v>2198</v>
      </c>
      <c r="E3506" t="s">
        <v>2199</v>
      </c>
      <c r="F3506">
        <v>2000</v>
      </c>
      <c r="G3506">
        <v>230611</v>
      </c>
      <c r="H3506">
        <v>4440</v>
      </c>
      <c r="I3506" t="s">
        <v>250</v>
      </c>
      <c r="J3506">
        <v>2480</v>
      </c>
      <c r="K3506">
        <v>480</v>
      </c>
      <c r="L3506">
        <v>16133</v>
      </c>
      <c r="M3506" t="s">
        <v>2124</v>
      </c>
      <c r="N3506" t="str">
        <f>"6023060013  "</f>
        <v xml:space="preserve">6023060013  </v>
      </c>
      <c r="O3506">
        <v>230613</v>
      </c>
    </row>
    <row r="3507" spans="1:15" x14ac:dyDescent="0.25">
      <c r="A3507" t="s">
        <v>16</v>
      </c>
      <c r="B3507" t="s">
        <v>3221</v>
      </c>
      <c r="C3507">
        <v>12555</v>
      </c>
      <c r="D3507" t="s">
        <v>2580</v>
      </c>
      <c r="E3507" t="s">
        <v>2581</v>
      </c>
      <c r="F3507">
        <v>500</v>
      </c>
      <c r="G3507">
        <v>230918</v>
      </c>
      <c r="H3507">
        <v>4346</v>
      </c>
      <c r="I3507" t="s">
        <v>197</v>
      </c>
      <c r="J3507">
        <v>620</v>
      </c>
      <c r="K3507">
        <v>120</v>
      </c>
      <c r="L3507">
        <v>17538</v>
      </c>
      <c r="M3507" t="s">
        <v>24</v>
      </c>
      <c r="N3507" t="str">
        <f>"776         "</f>
        <v xml:space="preserve">776         </v>
      </c>
      <c r="O3507">
        <v>230921</v>
      </c>
    </row>
    <row r="3508" spans="1:15" x14ac:dyDescent="0.25">
      <c r="A3508" t="s">
        <v>16</v>
      </c>
      <c r="B3508" t="s">
        <v>3221</v>
      </c>
      <c r="C3508">
        <v>356</v>
      </c>
      <c r="D3508" t="s">
        <v>483</v>
      </c>
      <c r="E3508" t="s">
        <v>484</v>
      </c>
      <c r="F3508">
        <v>76.73</v>
      </c>
      <c r="G3508">
        <v>230116</v>
      </c>
      <c r="H3508">
        <v>4520</v>
      </c>
      <c r="I3508" t="s">
        <v>254</v>
      </c>
      <c r="J3508">
        <v>87.47</v>
      </c>
      <c r="K3508">
        <v>10.74</v>
      </c>
      <c r="L3508">
        <v>49112</v>
      </c>
      <c r="M3508" t="s">
        <v>233</v>
      </c>
      <c r="N3508" t="str">
        <f>"9954962340  "</f>
        <v xml:space="preserve">9954962340  </v>
      </c>
      <c r="O3508">
        <v>230119</v>
      </c>
    </row>
    <row r="3509" spans="1:15" x14ac:dyDescent="0.25">
      <c r="A3509" t="s">
        <v>16</v>
      </c>
      <c r="B3509" t="s">
        <v>3221</v>
      </c>
      <c r="C3509">
        <v>1111</v>
      </c>
      <c r="D3509" t="s">
        <v>483</v>
      </c>
      <c r="E3509" t="s">
        <v>484</v>
      </c>
      <c r="F3509">
        <v>98.4</v>
      </c>
      <c r="G3509">
        <v>230131</v>
      </c>
      <c r="H3509">
        <v>4520</v>
      </c>
      <c r="I3509" t="s">
        <v>254</v>
      </c>
      <c r="J3509">
        <v>112.18</v>
      </c>
      <c r="K3509">
        <v>13.78</v>
      </c>
      <c r="L3509">
        <v>49112</v>
      </c>
      <c r="M3509" t="s">
        <v>233</v>
      </c>
      <c r="N3509" t="str">
        <f>"9954997360  "</f>
        <v xml:space="preserve">9954997360  </v>
      </c>
      <c r="O3509">
        <v>230203</v>
      </c>
    </row>
    <row r="3510" spans="1:15" x14ac:dyDescent="0.25">
      <c r="A3510" t="s">
        <v>16</v>
      </c>
      <c r="B3510" t="s">
        <v>3221</v>
      </c>
      <c r="C3510">
        <v>1682</v>
      </c>
      <c r="D3510" t="s">
        <v>483</v>
      </c>
      <c r="E3510" t="s">
        <v>484</v>
      </c>
      <c r="F3510">
        <v>89.64</v>
      </c>
      <c r="G3510">
        <v>230207</v>
      </c>
      <c r="H3510">
        <v>4520</v>
      </c>
      <c r="I3510" t="s">
        <v>254</v>
      </c>
      <c r="J3510">
        <v>102.19</v>
      </c>
      <c r="K3510">
        <v>12.55</v>
      </c>
      <c r="L3510">
        <v>49112</v>
      </c>
      <c r="M3510" t="s">
        <v>233</v>
      </c>
      <c r="N3510" t="str">
        <f>"9955014774  "</f>
        <v xml:space="preserve">9955014774  </v>
      </c>
      <c r="O3510">
        <v>230213</v>
      </c>
    </row>
    <row r="3511" spans="1:15" x14ac:dyDescent="0.25">
      <c r="A3511" t="s">
        <v>16</v>
      </c>
      <c r="B3511" t="s">
        <v>3221</v>
      </c>
      <c r="C3511">
        <v>3466</v>
      </c>
      <c r="D3511" t="s">
        <v>483</v>
      </c>
      <c r="E3511" t="s">
        <v>484</v>
      </c>
      <c r="F3511">
        <v>81.83</v>
      </c>
      <c r="G3511">
        <v>230307</v>
      </c>
      <c r="H3511">
        <v>4520</v>
      </c>
      <c r="I3511" t="s">
        <v>254</v>
      </c>
      <c r="J3511">
        <v>93.29</v>
      </c>
      <c r="K3511">
        <v>11.46</v>
      </c>
      <c r="L3511">
        <v>49112</v>
      </c>
      <c r="M3511" t="s">
        <v>233</v>
      </c>
      <c r="N3511" t="str">
        <f>"9955083296  "</f>
        <v xml:space="preserve">9955083296  </v>
      </c>
      <c r="O3511">
        <v>230316</v>
      </c>
    </row>
    <row r="3512" spans="1:15" x14ac:dyDescent="0.25">
      <c r="A3512" t="s">
        <v>16</v>
      </c>
      <c r="B3512" t="s">
        <v>3221</v>
      </c>
      <c r="C3512">
        <v>4000</v>
      </c>
      <c r="D3512" t="s">
        <v>483</v>
      </c>
      <c r="E3512" t="s">
        <v>484</v>
      </c>
      <c r="F3512">
        <v>79.28</v>
      </c>
      <c r="G3512">
        <v>230323</v>
      </c>
      <c r="H3512">
        <v>4520</v>
      </c>
      <c r="I3512" t="s">
        <v>254</v>
      </c>
      <c r="J3512">
        <v>90.38</v>
      </c>
      <c r="K3512">
        <v>11.1</v>
      </c>
      <c r="L3512">
        <v>49112</v>
      </c>
      <c r="M3512" t="s">
        <v>233</v>
      </c>
      <c r="N3512" t="str">
        <f>"9955120740  "</f>
        <v xml:space="preserve">9955120740  </v>
      </c>
      <c r="O3512">
        <v>230329</v>
      </c>
    </row>
    <row r="3513" spans="1:15" x14ac:dyDescent="0.25">
      <c r="A3513" t="s">
        <v>16</v>
      </c>
      <c r="B3513" t="s">
        <v>3221</v>
      </c>
      <c r="C3513">
        <v>6121</v>
      </c>
      <c r="D3513" t="s">
        <v>483</v>
      </c>
      <c r="E3513" t="s">
        <v>484</v>
      </c>
      <c r="F3513">
        <v>70.72</v>
      </c>
      <c r="G3513">
        <v>230430</v>
      </c>
      <c r="H3513">
        <v>4520</v>
      </c>
      <c r="I3513" t="s">
        <v>254</v>
      </c>
      <c r="J3513">
        <v>80.62</v>
      </c>
      <c r="K3513">
        <v>9.9</v>
      </c>
      <c r="L3513">
        <v>49112</v>
      </c>
      <c r="M3513" t="s">
        <v>233</v>
      </c>
      <c r="N3513" t="str">
        <f>"9955204585  "</f>
        <v xml:space="preserve">9955204585  </v>
      </c>
      <c r="O3513">
        <v>230508</v>
      </c>
    </row>
    <row r="3514" spans="1:15" x14ac:dyDescent="0.25">
      <c r="A3514" t="s">
        <v>16</v>
      </c>
      <c r="B3514" t="s">
        <v>3221</v>
      </c>
      <c r="C3514">
        <v>6726</v>
      </c>
      <c r="D3514" t="s">
        <v>483</v>
      </c>
      <c r="E3514" t="s">
        <v>484</v>
      </c>
      <c r="F3514">
        <v>55.17</v>
      </c>
      <c r="G3514">
        <v>230508</v>
      </c>
      <c r="H3514">
        <v>4520</v>
      </c>
      <c r="I3514" t="s">
        <v>254</v>
      </c>
      <c r="J3514">
        <v>62.89</v>
      </c>
      <c r="K3514">
        <v>7.72</v>
      </c>
      <c r="L3514">
        <v>49112</v>
      </c>
      <c r="M3514" t="s">
        <v>233</v>
      </c>
      <c r="N3514" t="str">
        <f>"9955221233  "</f>
        <v xml:space="preserve">9955221233  </v>
      </c>
      <c r="O3514">
        <v>230522</v>
      </c>
    </row>
    <row r="3515" spans="1:15" x14ac:dyDescent="0.25">
      <c r="A3515" t="s">
        <v>16</v>
      </c>
      <c r="B3515" t="s">
        <v>3221</v>
      </c>
      <c r="C3515">
        <v>8274</v>
      </c>
      <c r="D3515" t="s">
        <v>483</v>
      </c>
      <c r="E3515" t="s">
        <v>484</v>
      </c>
      <c r="F3515">
        <v>25.05</v>
      </c>
      <c r="G3515">
        <v>230531</v>
      </c>
      <c r="H3515">
        <v>4520</v>
      </c>
      <c r="I3515" t="s">
        <v>254</v>
      </c>
      <c r="J3515">
        <v>28.56</v>
      </c>
      <c r="K3515">
        <v>3.51</v>
      </c>
      <c r="L3515">
        <v>49112</v>
      </c>
      <c r="M3515" t="s">
        <v>233</v>
      </c>
      <c r="N3515" t="str">
        <f>"9955274515  "</f>
        <v xml:space="preserve">9955274515  </v>
      </c>
      <c r="O3515">
        <v>230608</v>
      </c>
    </row>
    <row r="3516" spans="1:15" x14ac:dyDescent="0.25">
      <c r="A3516" t="s">
        <v>16</v>
      </c>
      <c r="B3516" t="s">
        <v>3221</v>
      </c>
      <c r="C3516">
        <v>10301</v>
      </c>
      <c r="D3516" t="s">
        <v>483</v>
      </c>
      <c r="E3516" t="s">
        <v>484</v>
      </c>
      <c r="F3516">
        <v>88.77</v>
      </c>
      <c r="G3516">
        <v>230808</v>
      </c>
      <c r="H3516">
        <v>4520</v>
      </c>
      <c r="I3516" t="s">
        <v>254</v>
      </c>
      <c r="J3516">
        <v>101.2</v>
      </c>
      <c r="K3516">
        <v>12.43</v>
      </c>
      <c r="L3516">
        <v>49112</v>
      </c>
      <c r="M3516" t="s">
        <v>233</v>
      </c>
      <c r="N3516" t="str">
        <f>"9955427864  "</f>
        <v xml:space="preserve">9955427864  </v>
      </c>
      <c r="O3516">
        <v>230814</v>
      </c>
    </row>
    <row r="3517" spans="1:15" x14ac:dyDescent="0.25">
      <c r="A3517" t="s">
        <v>16</v>
      </c>
      <c r="B3517" t="s">
        <v>3221</v>
      </c>
      <c r="C3517">
        <v>11369</v>
      </c>
      <c r="D3517" t="s">
        <v>483</v>
      </c>
      <c r="E3517" t="s">
        <v>484</v>
      </c>
      <c r="F3517">
        <v>85.76</v>
      </c>
      <c r="G3517">
        <v>230824</v>
      </c>
      <c r="H3517">
        <v>4520</v>
      </c>
      <c r="I3517" t="s">
        <v>254</v>
      </c>
      <c r="J3517">
        <v>97.77</v>
      </c>
      <c r="K3517">
        <v>12.01</v>
      </c>
      <c r="L3517">
        <v>49112</v>
      </c>
      <c r="M3517" t="s">
        <v>233</v>
      </c>
      <c r="N3517" t="str">
        <f>"9955465041  "</f>
        <v xml:space="preserve">9955465041  </v>
      </c>
      <c r="O3517">
        <v>230905</v>
      </c>
    </row>
    <row r="3518" spans="1:15" x14ac:dyDescent="0.25">
      <c r="A3518" t="s">
        <v>16</v>
      </c>
      <c r="B3518" t="s">
        <v>3221</v>
      </c>
      <c r="C3518">
        <v>11379</v>
      </c>
      <c r="D3518" t="s">
        <v>483</v>
      </c>
      <c r="E3518" t="s">
        <v>484</v>
      </c>
      <c r="F3518">
        <v>91.35</v>
      </c>
      <c r="G3518">
        <v>230831</v>
      </c>
      <c r="H3518">
        <v>4520</v>
      </c>
      <c r="I3518" t="s">
        <v>254</v>
      </c>
      <c r="J3518">
        <v>104.14</v>
      </c>
      <c r="K3518">
        <v>12.79</v>
      </c>
      <c r="L3518">
        <v>49112</v>
      </c>
      <c r="M3518" t="s">
        <v>233</v>
      </c>
      <c r="N3518" t="str">
        <f>"9955481764  "</f>
        <v xml:space="preserve">9955481764  </v>
      </c>
      <c r="O3518">
        <v>230905</v>
      </c>
    </row>
    <row r="3519" spans="1:15" x14ac:dyDescent="0.25">
      <c r="A3519" t="s">
        <v>16</v>
      </c>
      <c r="B3519" t="s">
        <v>3221</v>
      </c>
      <c r="C3519">
        <v>12265</v>
      </c>
      <c r="D3519" t="s">
        <v>483</v>
      </c>
      <c r="E3519" t="s">
        <v>484</v>
      </c>
      <c r="F3519">
        <v>109.63</v>
      </c>
      <c r="G3519">
        <v>230908</v>
      </c>
      <c r="H3519">
        <v>4520</v>
      </c>
      <c r="I3519" t="s">
        <v>254</v>
      </c>
      <c r="J3519">
        <v>124.98</v>
      </c>
      <c r="K3519">
        <v>15.35</v>
      </c>
      <c r="L3519">
        <v>49112</v>
      </c>
      <c r="M3519" t="s">
        <v>233</v>
      </c>
      <c r="N3519" t="str">
        <f>"9955500758  "</f>
        <v xml:space="preserve">9955500758  </v>
      </c>
      <c r="O3519">
        <v>230918</v>
      </c>
    </row>
    <row r="3520" spans="1:15" x14ac:dyDescent="0.25">
      <c r="A3520" t="s">
        <v>16</v>
      </c>
      <c r="B3520" t="s">
        <v>3221</v>
      </c>
      <c r="C3520">
        <v>13655</v>
      </c>
      <c r="D3520" t="s">
        <v>483</v>
      </c>
      <c r="E3520" t="s">
        <v>484</v>
      </c>
      <c r="F3520">
        <v>131.1</v>
      </c>
      <c r="G3520">
        <v>230930</v>
      </c>
      <c r="H3520">
        <v>4520</v>
      </c>
      <c r="I3520" t="s">
        <v>254</v>
      </c>
      <c r="J3520">
        <v>149.44999999999999</v>
      </c>
      <c r="K3520">
        <v>18.350000000000001</v>
      </c>
      <c r="L3520">
        <v>49112</v>
      </c>
      <c r="M3520" t="s">
        <v>233</v>
      </c>
      <c r="N3520" t="str">
        <f>"9955553735  "</f>
        <v xml:space="preserve">9955553735  </v>
      </c>
      <c r="O3520">
        <v>231012</v>
      </c>
    </row>
    <row r="3521" spans="1:15" x14ac:dyDescent="0.25">
      <c r="A3521" t="s">
        <v>16</v>
      </c>
      <c r="B3521" t="s">
        <v>3221</v>
      </c>
      <c r="C3521">
        <v>14259</v>
      </c>
      <c r="D3521" t="s">
        <v>483</v>
      </c>
      <c r="E3521" t="s">
        <v>484</v>
      </c>
      <c r="F3521">
        <v>94.01</v>
      </c>
      <c r="G3521">
        <v>231016</v>
      </c>
      <c r="H3521">
        <v>4520</v>
      </c>
      <c r="I3521" t="s">
        <v>254</v>
      </c>
      <c r="J3521">
        <v>107.17</v>
      </c>
      <c r="K3521">
        <v>13.16</v>
      </c>
      <c r="L3521">
        <v>49112</v>
      </c>
      <c r="M3521" t="s">
        <v>233</v>
      </c>
      <c r="N3521" t="str">
        <f>"9955588841  "</f>
        <v xml:space="preserve">9955588841  </v>
      </c>
      <c r="O3521">
        <v>231025</v>
      </c>
    </row>
    <row r="3522" spans="1:15" x14ac:dyDescent="0.25">
      <c r="A3522" t="s">
        <v>16</v>
      </c>
      <c r="B3522" t="s">
        <v>3221</v>
      </c>
      <c r="C3522">
        <v>14770</v>
      </c>
      <c r="D3522" t="s">
        <v>483</v>
      </c>
      <c r="E3522" t="s">
        <v>484</v>
      </c>
      <c r="F3522">
        <v>92.82</v>
      </c>
      <c r="G3522">
        <v>231024</v>
      </c>
      <c r="H3522">
        <v>4520</v>
      </c>
      <c r="I3522" t="s">
        <v>254</v>
      </c>
      <c r="J3522">
        <v>105.81</v>
      </c>
      <c r="K3522">
        <v>12.99</v>
      </c>
      <c r="L3522">
        <v>49112</v>
      </c>
      <c r="M3522" t="s">
        <v>233</v>
      </c>
      <c r="N3522" t="str">
        <f>"9955607725  "</f>
        <v xml:space="preserve">9955607725  </v>
      </c>
      <c r="O3522">
        <v>231106</v>
      </c>
    </row>
    <row r="3523" spans="1:15" x14ac:dyDescent="0.25">
      <c r="A3523" t="s">
        <v>16</v>
      </c>
      <c r="B3523" t="s">
        <v>3221</v>
      </c>
      <c r="C3523">
        <v>16182</v>
      </c>
      <c r="D3523" t="s">
        <v>483</v>
      </c>
      <c r="E3523" t="s">
        <v>484</v>
      </c>
      <c r="F3523">
        <v>207.58</v>
      </c>
      <c r="G3523">
        <v>231115</v>
      </c>
      <c r="H3523">
        <v>4520</v>
      </c>
      <c r="I3523" t="s">
        <v>254</v>
      </c>
      <c r="J3523">
        <v>236.64</v>
      </c>
      <c r="K3523">
        <v>29.06</v>
      </c>
      <c r="L3523">
        <v>49112</v>
      </c>
      <c r="M3523" t="s">
        <v>233</v>
      </c>
      <c r="N3523" t="str">
        <f>"9955658252  "</f>
        <v xml:space="preserve">9955658252  </v>
      </c>
      <c r="O3523">
        <v>231127</v>
      </c>
    </row>
    <row r="3524" spans="1:15" x14ac:dyDescent="0.25">
      <c r="A3524" t="s">
        <v>16</v>
      </c>
      <c r="B3524" t="s">
        <v>3221</v>
      </c>
      <c r="C3524">
        <v>17968</v>
      </c>
      <c r="D3524" t="s">
        <v>483</v>
      </c>
      <c r="E3524" t="s">
        <v>484</v>
      </c>
      <c r="F3524">
        <v>79.62</v>
      </c>
      <c r="G3524">
        <v>231215</v>
      </c>
      <c r="H3524">
        <v>4520</v>
      </c>
      <c r="I3524" t="s">
        <v>254</v>
      </c>
      <c r="J3524">
        <v>90.77</v>
      </c>
      <c r="K3524">
        <v>11.15</v>
      </c>
      <c r="L3524">
        <v>49112</v>
      </c>
      <c r="M3524" t="s">
        <v>233</v>
      </c>
      <c r="N3524" t="str">
        <f>"9955724724  "</f>
        <v xml:space="preserve">9955724724  </v>
      </c>
      <c r="O3524">
        <v>231228</v>
      </c>
    </row>
    <row r="3525" spans="1:15" x14ac:dyDescent="0.25">
      <c r="A3525" t="s">
        <v>16</v>
      </c>
      <c r="B3525" t="s">
        <v>3221</v>
      </c>
      <c r="C3525">
        <v>1117</v>
      </c>
      <c r="D3525" t="s">
        <v>3623</v>
      </c>
      <c r="E3525" t="s">
        <v>891</v>
      </c>
      <c r="F3525">
        <v>258.82</v>
      </c>
      <c r="G3525">
        <v>230131</v>
      </c>
      <c r="H3525">
        <v>4343</v>
      </c>
      <c r="I3525" t="s">
        <v>91</v>
      </c>
      <c r="J3525">
        <v>320.94</v>
      </c>
      <c r="K3525">
        <v>62.12</v>
      </c>
      <c r="L3525">
        <v>11601</v>
      </c>
      <c r="M3525" t="s">
        <v>535</v>
      </c>
      <c r="N3525" t="str">
        <f>"34 203415605"</f>
        <v>34 203415605</v>
      </c>
      <c r="O3525">
        <v>230203</v>
      </c>
    </row>
    <row r="3526" spans="1:15" x14ac:dyDescent="0.25">
      <c r="A3526" t="s">
        <v>16</v>
      </c>
      <c r="B3526" t="s">
        <v>3221</v>
      </c>
      <c r="C3526">
        <v>2503</v>
      </c>
      <c r="D3526" t="s">
        <v>3623</v>
      </c>
      <c r="E3526" t="s">
        <v>891</v>
      </c>
      <c r="F3526">
        <v>258.82</v>
      </c>
      <c r="G3526">
        <v>230224</v>
      </c>
      <c r="H3526">
        <v>4343</v>
      </c>
      <c r="I3526" t="s">
        <v>91</v>
      </c>
      <c r="J3526">
        <v>320.94</v>
      </c>
      <c r="K3526">
        <v>62.12</v>
      </c>
      <c r="L3526">
        <v>11601</v>
      </c>
      <c r="M3526" t="s">
        <v>535</v>
      </c>
      <c r="N3526" t="str">
        <f>"34 203415892"</f>
        <v>34 203415892</v>
      </c>
      <c r="O3526">
        <v>230301</v>
      </c>
    </row>
    <row r="3527" spans="1:15" x14ac:dyDescent="0.25">
      <c r="A3527" t="s">
        <v>16</v>
      </c>
      <c r="B3527" t="s">
        <v>3221</v>
      </c>
      <c r="C3527">
        <v>4009</v>
      </c>
      <c r="D3527" t="s">
        <v>3623</v>
      </c>
      <c r="E3527" t="s">
        <v>891</v>
      </c>
      <c r="F3527">
        <v>258.82</v>
      </c>
      <c r="G3527">
        <v>230327</v>
      </c>
      <c r="H3527">
        <v>4343</v>
      </c>
      <c r="I3527" t="s">
        <v>91</v>
      </c>
      <c r="J3527">
        <v>320.94</v>
      </c>
      <c r="K3527">
        <v>62.12</v>
      </c>
      <c r="L3527">
        <v>11601</v>
      </c>
      <c r="M3527" t="s">
        <v>535</v>
      </c>
      <c r="N3527" t="str">
        <f>"34 203416177"</f>
        <v>34 203416177</v>
      </c>
      <c r="O3527">
        <v>230329</v>
      </c>
    </row>
    <row r="3528" spans="1:15" x14ac:dyDescent="0.25">
      <c r="A3528" t="s">
        <v>16</v>
      </c>
      <c r="B3528" t="s">
        <v>3221</v>
      </c>
      <c r="C3528">
        <v>5722</v>
      </c>
      <c r="D3528" t="s">
        <v>3623</v>
      </c>
      <c r="E3528" t="s">
        <v>891</v>
      </c>
      <c r="F3528">
        <v>258.82</v>
      </c>
      <c r="G3528">
        <v>230427</v>
      </c>
      <c r="H3528">
        <v>4343</v>
      </c>
      <c r="I3528" t="s">
        <v>91</v>
      </c>
      <c r="J3528">
        <v>320.94</v>
      </c>
      <c r="K3528">
        <v>62.12</v>
      </c>
      <c r="L3528">
        <v>11601</v>
      </c>
      <c r="M3528" t="s">
        <v>535</v>
      </c>
      <c r="N3528" t="str">
        <f>"34 203416536"</f>
        <v>34 203416536</v>
      </c>
      <c r="O3528">
        <v>230502</v>
      </c>
    </row>
    <row r="3529" spans="1:15" x14ac:dyDescent="0.25">
      <c r="A3529" t="s">
        <v>16</v>
      </c>
      <c r="B3529" t="s">
        <v>3221</v>
      </c>
      <c r="C3529">
        <v>7497</v>
      </c>
      <c r="D3529" t="s">
        <v>3623</v>
      </c>
      <c r="E3529" t="s">
        <v>891</v>
      </c>
      <c r="F3529">
        <v>258.82</v>
      </c>
      <c r="G3529">
        <v>230529</v>
      </c>
      <c r="H3529">
        <v>4343</v>
      </c>
      <c r="I3529" t="s">
        <v>91</v>
      </c>
      <c r="J3529">
        <v>320.94</v>
      </c>
      <c r="K3529">
        <v>62.12</v>
      </c>
      <c r="L3529">
        <v>11601</v>
      </c>
      <c r="M3529" t="s">
        <v>535</v>
      </c>
      <c r="N3529" t="str">
        <f>"34 203416732"</f>
        <v>34 203416732</v>
      </c>
      <c r="O3529">
        <v>230531</v>
      </c>
    </row>
    <row r="3530" spans="1:15" x14ac:dyDescent="0.25">
      <c r="A3530" t="s">
        <v>16</v>
      </c>
      <c r="B3530" t="s">
        <v>3221</v>
      </c>
      <c r="C3530">
        <v>9146</v>
      </c>
      <c r="D3530" t="s">
        <v>3623</v>
      </c>
      <c r="E3530" t="s">
        <v>891</v>
      </c>
      <c r="F3530">
        <v>258.82</v>
      </c>
      <c r="G3530">
        <v>230622</v>
      </c>
      <c r="H3530">
        <v>4343</v>
      </c>
      <c r="I3530" t="s">
        <v>91</v>
      </c>
      <c r="J3530">
        <v>320.94</v>
      </c>
      <c r="K3530">
        <v>62.12</v>
      </c>
      <c r="L3530">
        <v>11601</v>
      </c>
      <c r="M3530" t="s">
        <v>535</v>
      </c>
      <c r="N3530" t="str">
        <f>"34 203416940"</f>
        <v>34 203416940</v>
      </c>
      <c r="O3530">
        <v>230628</v>
      </c>
    </row>
    <row r="3531" spans="1:15" x14ac:dyDescent="0.25">
      <c r="A3531" t="s">
        <v>16</v>
      </c>
      <c r="B3531" t="s">
        <v>3221</v>
      </c>
      <c r="C3531">
        <v>9574</v>
      </c>
      <c r="D3531" t="s">
        <v>3623</v>
      </c>
      <c r="E3531" t="s">
        <v>891</v>
      </c>
      <c r="F3531">
        <v>258.82</v>
      </c>
      <c r="G3531">
        <v>230711</v>
      </c>
      <c r="H3531">
        <v>4343</v>
      </c>
      <c r="I3531" t="s">
        <v>91</v>
      </c>
      <c r="J3531">
        <v>320.94</v>
      </c>
      <c r="K3531">
        <v>62.12</v>
      </c>
      <c r="L3531">
        <v>11601</v>
      </c>
      <c r="M3531" t="s">
        <v>535</v>
      </c>
      <c r="N3531" t="str">
        <f>"34 203417505"</f>
        <v>34 203417505</v>
      </c>
      <c r="O3531">
        <v>230717</v>
      </c>
    </row>
    <row r="3532" spans="1:15" x14ac:dyDescent="0.25">
      <c r="A3532" t="s">
        <v>16</v>
      </c>
      <c r="B3532" t="s">
        <v>3221</v>
      </c>
      <c r="C3532">
        <v>12147</v>
      </c>
      <c r="D3532" t="s">
        <v>3623</v>
      </c>
      <c r="E3532" t="s">
        <v>891</v>
      </c>
      <c r="F3532">
        <v>258.82</v>
      </c>
      <c r="G3532">
        <v>230831</v>
      </c>
      <c r="H3532">
        <v>4343</v>
      </c>
      <c r="I3532" t="s">
        <v>91</v>
      </c>
      <c r="J3532">
        <v>320.94</v>
      </c>
      <c r="K3532">
        <v>62.12</v>
      </c>
      <c r="L3532">
        <v>11601</v>
      </c>
      <c r="M3532" t="s">
        <v>535</v>
      </c>
      <c r="N3532" t="str">
        <f>"34 203417724"</f>
        <v>34 203417724</v>
      </c>
      <c r="O3532">
        <v>230914</v>
      </c>
    </row>
    <row r="3533" spans="1:15" x14ac:dyDescent="0.25">
      <c r="A3533" t="s">
        <v>16</v>
      </c>
      <c r="B3533" t="s">
        <v>3221</v>
      </c>
      <c r="C3533">
        <v>13065</v>
      </c>
      <c r="D3533" t="s">
        <v>3623</v>
      </c>
      <c r="E3533" t="s">
        <v>891</v>
      </c>
      <c r="F3533">
        <v>258.82</v>
      </c>
      <c r="G3533">
        <v>230929</v>
      </c>
      <c r="H3533">
        <v>4343</v>
      </c>
      <c r="I3533" t="s">
        <v>91</v>
      </c>
      <c r="J3533">
        <v>320.94</v>
      </c>
      <c r="K3533">
        <v>62.12</v>
      </c>
      <c r="L3533">
        <v>11601</v>
      </c>
      <c r="M3533" t="s">
        <v>535</v>
      </c>
      <c r="N3533" t="str">
        <f>"34 203417874"</f>
        <v>34 203417874</v>
      </c>
      <c r="O3533">
        <v>231003</v>
      </c>
    </row>
    <row r="3534" spans="1:15" x14ac:dyDescent="0.25">
      <c r="A3534" t="s">
        <v>16</v>
      </c>
      <c r="B3534" t="s">
        <v>3221</v>
      </c>
      <c r="C3534">
        <v>14421</v>
      </c>
      <c r="D3534" t="s">
        <v>3623</v>
      </c>
      <c r="E3534" t="s">
        <v>891</v>
      </c>
      <c r="F3534">
        <v>258.82</v>
      </c>
      <c r="G3534">
        <v>231023</v>
      </c>
      <c r="H3534">
        <v>4343</v>
      </c>
      <c r="I3534" t="s">
        <v>91</v>
      </c>
      <c r="J3534">
        <v>320.94</v>
      </c>
      <c r="K3534">
        <v>62.12</v>
      </c>
      <c r="L3534">
        <v>11601</v>
      </c>
      <c r="M3534" t="s">
        <v>535</v>
      </c>
      <c r="N3534" t="str">
        <f>"34 203418058"</f>
        <v>34 203418058</v>
      </c>
      <c r="O3534">
        <v>231030</v>
      </c>
    </row>
    <row r="3535" spans="1:15" x14ac:dyDescent="0.25">
      <c r="A3535" t="s">
        <v>16</v>
      </c>
      <c r="B3535" t="s">
        <v>3221</v>
      </c>
      <c r="C3535">
        <v>16403</v>
      </c>
      <c r="D3535" t="s">
        <v>3623</v>
      </c>
      <c r="E3535" t="s">
        <v>891</v>
      </c>
      <c r="F3535">
        <v>500</v>
      </c>
      <c r="G3535">
        <v>231123</v>
      </c>
      <c r="H3535">
        <v>4343</v>
      </c>
      <c r="I3535" t="s">
        <v>91</v>
      </c>
      <c r="J3535">
        <v>620</v>
      </c>
      <c r="K3535">
        <v>120</v>
      </c>
      <c r="L3535">
        <v>11601</v>
      </c>
      <c r="M3535" t="s">
        <v>535</v>
      </c>
      <c r="N3535" t="str">
        <f>"34 203418230"</f>
        <v>34 203418230</v>
      </c>
      <c r="O3535">
        <v>231129</v>
      </c>
    </row>
    <row r="3536" spans="1:15" x14ac:dyDescent="0.25">
      <c r="A3536" t="s">
        <v>16</v>
      </c>
      <c r="B3536" t="s">
        <v>3221</v>
      </c>
      <c r="C3536">
        <v>12828</v>
      </c>
      <c r="D3536" t="s">
        <v>3623</v>
      </c>
      <c r="E3536" t="s">
        <v>891</v>
      </c>
      <c r="F3536">
        <v>495</v>
      </c>
      <c r="G3536">
        <v>230922</v>
      </c>
      <c r="H3536">
        <v>4441</v>
      </c>
      <c r="I3536" t="s">
        <v>109</v>
      </c>
      <c r="J3536">
        <v>613.79999999999995</v>
      </c>
      <c r="K3536">
        <v>118.8</v>
      </c>
      <c r="L3536">
        <v>14971</v>
      </c>
      <c r="M3536" t="s">
        <v>1259</v>
      </c>
      <c r="N3536" t="str">
        <f>"36 203622409"</f>
        <v>36 203622409</v>
      </c>
      <c r="O3536">
        <v>230926</v>
      </c>
    </row>
    <row r="3537" spans="1:15" x14ac:dyDescent="0.25">
      <c r="A3537" t="s">
        <v>16</v>
      </c>
      <c r="B3537" t="s">
        <v>3221</v>
      </c>
      <c r="C3537">
        <v>13599</v>
      </c>
      <c r="D3537" t="s">
        <v>3623</v>
      </c>
      <c r="E3537" t="s">
        <v>891</v>
      </c>
      <c r="F3537">
        <v>595</v>
      </c>
      <c r="G3537">
        <v>231006</v>
      </c>
      <c r="H3537">
        <v>4441</v>
      </c>
      <c r="I3537" t="s">
        <v>109</v>
      </c>
      <c r="J3537">
        <v>737.8</v>
      </c>
      <c r="K3537">
        <v>142.80000000000001</v>
      </c>
      <c r="L3537">
        <v>10003</v>
      </c>
      <c r="M3537" t="s">
        <v>2070</v>
      </c>
      <c r="N3537" t="str">
        <f>"36 203622930"</f>
        <v>36 203622930</v>
      </c>
      <c r="O3537">
        <v>231011</v>
      </c>
    </row>
    <row r="3538" spans="1:15" x14ac:dyDescent="0.25">
      <c r="A3538" t="s">
        <v>16</v>
      </c>
      <c r="B3538" t="s">
        <v>3221</v>
      </c>
      <c r="C3538">
        <v>15995</v>
      </c>
      <c r="D3538" t="s">
        <v>3623</v>
      </c>
      <c r="E3538" t="s">
        <v>891</v>
      </c>
      <c r="F3538">
        <v>1185</v>
      </c>
      <c r="G3538">
        <v>231116</v>
      </c>
      <c r="H3538">
        <v>4441</v>
      </c>
      <c r="I3538" t="s">
        <v>109</v>
      </c>
      <c r="J3538">
        <v>1469.4</v>
      </c>
      <c r="K3538">
        <v>284.39999999999998</v>
      </c>
      <c r="L3538">
        <v>11501</v>
      </c>
      <c r="M3538" t="s">
        <v>339</v>
      </c>
      <c r="N3538" t="str">
        <f>"36 203624242"</f>
        <v>36 203624242</v>
      </c>
      <c r="O3538">
        <v>231122</v>
      </c>
    </row>
    <row r="3539" spans="1:15" x14ac:dyDescent="0.25">
      <c r="A3539" t="s">
        <v>16</v>
      </c>
      <c r="B3539" t="s">
        <v>3221</v>
      </c>
      <c r="C3539">
        <v>16264</v>
      </c>
      <c r="D3539" t="s">
        <v>3623</v>
      </c>
      <c r="E3539" t="s">
        <v>891</v>
      </c>
      <c r="F3539">
        <v>395</v>
      </c>
      <c r="G3539">
        <v>231121</v>
      </c>
      <c r="H3539">
        <v>4441</v>
      </c>
      <c r="I3539" t="s">
        <v>109</v>
      </c>
      <c r="J3539">
        <v>489.8</v>
      </c>
      <c r="K3539">
        <v>94.8</v>
      </c>
      <c r="L3539">
        <v>11101</v>
      </c>
      <c r="M3539" t="s">
        <v>110</v>
      </c>
      <c r="N3539" t="str">
        <f>"36 203624504"</f>
        <v>36 203624504</v>
      </c>
      <c r="O3539">
        <v>231127</v>
      </c>
    </row>
    <row r="3540" spans="1:15" x14ac:dyDescent="0.25">
      <c r="A3540" t="s">
        <v>16</v>
      </c>
      <c r="B3540" t="s">
        <v>3221</v>
      </c>
      <c r="C3540">
        <v>16626</v>
      </c>
      <c r="D3540" t="s">
        <v>3623</v>
      </c>
      <c r="E3540" t="s">
        <v>891</v>
      </c>
      <c r="F3540">
        <v>595</v>
      </c>
      <c r="G3540">
        <v>231130</v>
      </c>
      <c r="H3540">
        <v>4441</v>
      </c>
      <c r="I3540" t="s">
        <v>109</v>
      </c>
      <c r="J3540">
        <v>737.8</v>
      </c>
      <c r="K3540">
        <v>142.80000000000001</v>
      </c>
      <c r="L3540">
        <v>11701</v>
      </c>
      <c r="M3540" t="s">
        <v>1204</v>
      </c>
      <c r="N3540" t="str">
        <f>"36 203624980"</f>
        <v>36 203624980</v>
      </c>
      <c r="O3540">
        <v>231204</v>
      </c>
    </row>
    <row r="3541" spans="1:15" x14ac:dyDescent="0.25">
      <c r="A3541" t="s">
        <v>16</v>
      </c>
      <c r="B3541" t="s">
        <v>3221</v>
      </c>
      <c r="C3541">
        <v>17306</v>
      </c>
      <c r="D3541" t="s">
        <v>3623</v>
      </c>
      <c r="E3541" t="s">
        <v>891</v>
      </c>
      <c r="F3541">
        <v>315</v>
      </c>
      <c r="G3541">
        <v>231211</v>
      </c>
      <c r="H3541">
        <v>4441</v>
      </c>
      <c r="I3541" t="s">
        <v>109</v>
      </c>
      <c r="J3541">
        <v>390.6</v>
      </c>
      <c r="K3541">
        <v>75.599999999999994</v>
      </c>
      <c r="L3541">
        <v>11601</v>
      </c>
      <c r="M3541" t="s">
        <v>535</v>
      </c>
      <c r="N3541" t="str">
        <f>"36 203625150"</f>
        <v>36 203625150</v>
      </c>
      <c r="O3541">
        <v>231212</v>
      </c>
    </row>
    <row r="3542" spans="1:15" x14ac:dyDescent="0.25">
      <c r="A3542" t="s">
        <v>16</v>
      </c>
      <c r="B3542" t="s">
        <v>3221</v>
      </c>
      <c r="C3542">
        <v>3630</v>
      </c>
      <c r="D3542" t="s">
        <v>1580</v>
      </c>
      <c r="E3542" t="s">
        <v>1581</v>
      </c>
      <c r="F3542">
        <v>390</v>
      </c>
      <c r="G3542">
        <v>230308</v>
      </c>
      <c r="H3542">
        <v>4343</v>
      </c>
      <c r="I3542" t="s">
        <v>91</v>
      </c>
      <c r="J3542">
        <v>483.6</v>
      </c>
      <c r="K3542">
        <v>93.6</v>
      </c>
      <c r="L3542">
        <v>18972</v>
      </c>
      <c r="M3542" t="s">
        <v>163</v>
      </c>
      <c r="N3542" t="str">
        <f>"8089        "</f>
        <v xml:space="preserve">8089        </v>
      </c>
      <c r="O3542">
        <v>230320</v>
      </c>
    </row>
    <row r="3543" spans="1:15" x14ac:dyDescent="0.25">
      <c r="A3543" t="s">
        <v>16</v>
      </c>
      <c r="B3543" t="s">
        <v>3221</v>
      </c>
      <c r="C3543">
        <v>6938</v>
      </c>
      <c r="D3543" t="s">
        <v>1543</v>
      </c>
      <c r="E3543" t="s">
        <v>1544</v>
      </c>
      <c r="F3543">
        <v>805.06</v>
      </c>
      <c r="G3543">
        <v>230522</v>
      </c>
      <c r="H3543">
        <v>4441</v>
      </c>
      <c r="I3543" t="s">
        <v>109</v>
      </c>
      <c r="J3543">
        <v>998.27</v>
      </c>
      <c r="K3543">
        <v>193.21</v>
      </c>
      <c r="L3543">
        <v>69702</v>
      </c>
      <c r="M3543" t="s">
        <v>489</v>
      </c>
      <c r="N3543" t="str">
        <f>"230523      "</f>
        <v xml:space="preserve">230523      </v>
      </c>
      <c r="O3543">
        <v>230523</v>
      </c>
    </row>
    <row r="3544" spans="1:15" x14ac:dyDescent="0.25">
      <c r="A3544" t="s">
        <v>16</v>
      </c>
      <c r="B3544" t="s">
        <v>3221</v>
      </c>
      <c r="C3544">
        <v>3309</v>
      </c>
      <c r="D3544" t="s">
        <v>1543</v>
      </c>
      <c r="E3544" t="s">
        <v>1544</v>
      </c>
      <c r="F3544">
        <v>980</v>
      </c>
      <c r="G3544">
        <v>230310</v>
      </c>
      <c r="H3544">
        <v>4440</v>
      </c>
      <c r="I3544" t="s">
        <v>250</v>
      </c>
      <c r="J3544">
        <v>1215.2</v>
      </c>
      <c r="K3544">
        <v>235.2</v>
      </c>
      <c r="L3544">
        <v>66722</v>
      </c>
      <c r="M3544" t="s">
        <v>518</v>
      </c>
      <c r="N3544" t="str">
        <f>"7184        "</f>
        <v xml:space="preserve">7184        </v>
      </c>
      <c r="O3544">
        <v>230314</v>
      </c>
    </row>
    <row r="3545" spans="1:15" x14ac:dyDescent="0.25">
      <c r="A3545" t="s">
        <v>16</v>
      </c>
      <c r="B3545" t="s">
        <v>3221</v>
      </c>
      <c r="C3545">
        <v>3944</v>
      </c>
      <c r="D3545" t="s">
        <v>1543</v>
      </c>
      <c r="E3545" t="s">
        <v>1544</v>
      </c>
      <c r="F3545">
        <v>980</v>
      </c>
      <c r="G3545">
        <v>230324</v>
      </c>
      <c r="H3545">
        <v>4440</v>
      </c>
      <c r="I3545" t="s">
        <v>250</v>
      </c>
      <c r="J3545">
        <v>1215.2</v>
      </c>
      <c r="K3545">
        <v>235.2</v>
      </c>
      <c r="L3545">
        <v>67522</v>
      </c>
      <c r="M3545" t="s">
        <v>397</v>
      </c>
      <c r="N3545" t="str">
        <f>"240323      "</f>
        <v xml:space="preserve">240323      </v>
      </c>
      <c r="O3545">
        <v>230327</v>
      </c>
    </row>
    <row r="3546" spans="1:15" x14ac:dyDescent="0.25">
      <c r="A3546" t="s">
        <v>16</v>
      </c>
      <c r="B3546" t="s">
        <v>3221</v>
      </c>
      <c r="C3546">
        <v>14417</v>
      </c>
      <c r="D3546" t="s">
        <v>1543</v>
      </c>
      <c r="E3546" t="s">
        <v>1544</v>
      </c>
      <c r="F3546">
        <v>1080</v>
      </c>
      <c r="G3546">
        <v>231020</v>
      </c>
      <c r="H3546">
        <v>4440</v>
      </c>
      <c r="I3546" t="s">
        <v>250</v>
      </c>
      <c r="J3546">
        <v>1339.2</v>
      </c>
      <c r="K3546">
        <v>259.2</v>
      </c>
      <c r="L3546">
        <v>67522</v>
      </c>
      <c r="M3546" t="s">
        <v>397</v>
      </c>
      <c r="N3546" t="str">
        <f>"7187        "</f>
        <v xml:space="preserve">7187        </v>
      </c>
      <c r="O3546">
        <v>231030</v>
      </c>
    </row>
    <row r="3547" spans="1:15" x14ac:dyDescent="0.25">
      <c r="A3547" t="s">
        <v>16</v>
      </c>
      <c r="B3547" t="s">
        <v>3221</v>
      </c>
      <c r="C3547">
        <v>15966</v>
      </c>
      <c r="D3547" t="s">
        <v>1543</v>
      </c>
      <c r="E3547" t="s">
        <v>1544</v>
      </c>
      <c r="F3547">
        <v>980</v>
      </c>
      <c r="G3547">
        <v>231115</v>
      </c>
      <c r="H3547">
        <v>4440</v>
      </c>
      <c r="I3547" t="s">
        <v>250</v>
      </c>
      <c r="J3547">
        <v>1215.2</v>
      </c>
      <c r="K3547">
        <v>235.2</v>
      </c>
      <c r="L3547">
        <v>67522</v>
      </c>
      <c r="M3547" t="s">
        <v>397</v>
      </c>
      <c r="N3547" t="str">
        <f>"7186        "</f>
        <v xml:space="preserve">7186        </v>
      </c>
      <c r="O3547">
        <v>231122</v>
      </c>
    </row>
    <row r="3548" spans="1:15" x14ac:dyDescent="0.25">
      <c r="A3548" t="s">
        <v>16</v>
      </c>
      <c r="B3548" t="s">
        <v>3221</v>
      </c>
      <c r="C3548">
        <v>16436</v>
      </c>
      <c r="D3548" t="s">
        <v>1543</v>
      </c>
      <c r="E3548" t="s">
        <v>1544</v>
      </c>
      <c r="F3548">
        <v>980</v>
      </c>
      <c r="G3548">
        <v>231128</v>
      </c>
      <c r="H3548">
        <v>4440</v>
      </c>
      <c r="I3548" t="s">
        <v>250</v>
      </c>
      <c r="J3548">
        <v>1215.2</v>
      </c>
      <c r="K3548">
        <v>235.2</v>
      </c>
      <c r="L3548">
        <v>67522</v>
      </c>
      <c r="M3548" t="s">
        <v>397</v>
      </c>
      <c r="N3548" t="str">
        <f>"7189        "</f>
        <v xml:space="preserve">7189        </v>
      </c>
      <c r="O3548">
        <v>231129</v>
      </c>
    </row>
    <row r="3549" spans="1:15" x14ac:dyDescent="0.25">
      <c r="A3549" t="s">
        <v>16</v>
      </c>
      <c r="B3549" t="s">
        <v>3221</v>
      </c>
      <c r="C3549">
        <v>10977</v>
      </c>
      <c r="D3549" t="s">
        <v>2435</v>
      </c>
      <c r="E3549" t="s">
        <v>2436</v>
      </c>
      <c r="F3549">
        <v>89.13</v>
      </c>
      <c r="G3549">
        <v>230818</v>
      </c>
      <c r="H3549">
        <v>4400</v>
      </c>
      <c r="I3549" t="s">
        <v>348</v>
      </c>
      <c r="J3549">
        <v>110.52</v>
      </c>
      <c r="K3549">
        <v>21.39</v>
      </c>
      <c r="L3549">
        <v>17524</v>
      </c>
      <c r="M3549" t="s">
        <v>452</v>
      </c>
      <c r="N3549" t="str">
        <f>"1420607840  "</f>
        <v xml:space="preserve">1420607840  </v>
      </c>
      <c r="O3549">
        <v>230825</v>
      </c>
    </row>
    <row r="3550" spans="1:15" x14ac:dyDescent="0.25">
      <c r="A3550" t="s">
        <v>16</v>
      </c>
      <c r="B3550" t="s">
        <v>3221</v>
      </c>
      <c r="C3550">
        <v>1901</v>
      </c>
      <c r="D3550" t="s">
        <v>498</v>
      </c>
      <c r="E3550" t="s">
        <v>499</v>
      </c>
      <c r="F3550">
        <v>1411.06</v>
      </c>
      <c r="G3550">
        <v>230131</v>
      </c>
      <c r="H3550">
        <v>4580</v>
      </c>
      <c r="I3550" t="s">
        <v>35</v>
      </c>
      <c r="J3550">
        <v>1749.71</v>
      </c>
      <c r="K3550">
        <v>338.65</v>
      </c>
      <c r="L3550">
        <v>17523</v>
      </c>
      <c r="M3550" t="s">
        <v>134</v>
      </c>
      <c r="N3550" t="str">
        <f>"446102      "</f>
        <v xml:space="preserve">446102      </v>
      </c>
      <c r="O3550">
        <v>230215</v>
      </c>
    </row>
    <row r="3551" spans="1:15" x14ac:dyDescent="0.25">
      <c r="A3551" t="s">
        <v>16</v>
      </c>
      <c r="B3551" t="s">
        <v>3221</v>
      </c>
      <c r="C3551">
        <v>376</v>
      </c>
      <c r="D3551" t="s">
        <v>498</v>
      </c>
      <c r="E3551" t="s">
        <v>499</v>
      </c>
      <c r="F3551">
        <v>1102.54</v>
      </c>
      <c r="G3551">
        <v>230116</v>
      </c>
      <c r="H3551">
        <v>4400</v>
      </c>
      <c r="I3551" t="s">
        <v>348</v>
      </c>
      <c r="J3551">
        <v>1367.15</v>
      </c>
      <c r="K3551">
        <v>264.61</v>
      </c>
      <c r="L3551">
        <v>17523</v>
      </c>
      <c r="M3551" t="s">
        <v>134</v>
      </c>
      <c r="N3551" t="str">
        <f>"445663      "</f>
        <v xml:space="preserve">445663      </v>
      </c>
      <c r="O3551">
        <v>230119</v>
      </c>
    </row>
    <row r="3552" spans="1:15" x14ac:dyDescent="0.25">
      <c r="A3552" t="s">
        <v>16</v>
      </c>
      <c r="B3552" t="s">
        <v>3221</v>
      </c>
      <c r="C3552">
        <v>5503</v>
      </c>
      <c r="D3552" t="s">
        <v>3437</v>
      </c>
      <c r="E3552" t="s">
        <v>3438</v>
      </c>
      <c r="F3552">
        <v>50.91</v>
      </c>
      <c r="G3552">
        <v>230425</v>
      </c>
      <c r="H3552">
        <v>4510</v>
      </c>
      <c r="I3552" t="s">
        <v>42</v>
      </c>
      <c r="J3552">
        <v>56</v>
      </c>
      <c r="K3552">
        <v>5.09</v>
      </c>
      <c r="L3552">
        <v>56522</v>
      </c>
      <c r="M3552" t="s">
        <v>43</v>
      </c>
      <c r="N3552" t="str">
        <f>"250423      "</f>
        <v xml:space="preserve">250423      </v>
      </c>
      <c r="O3552">
        <v>230426</v>
      </c>
    </row>
    <row r="3553" spans="1:15" x14ac:dyDescent="0.25">
      <c r="A3553" t="s">
        <v>16</v>
      </c>
      <c r="B3553" t="s">
        <v>3221</v>
      </c>
      <c r="C3553">
        <v>2039</v>
      </c>
      <c r="D3553" t="s">
        <v>1266</v>
      </c>
      <c r="E3553" t="s">
        <v>1267</v>
      </c>
      <c r="F3553">
        <v>1517.77</v>
      </c>
      <c r="G3553">
        <v>230206</v>
      </c>
      <c r="H3553">
        <v>4600</v>
      </c>
      <c r="I3553" t="s">
        <v>105</v>
      </c>
      <c r="J3553">
        <v>1882.03</v>
      </c>
      <c r="K3553">
        <v>364.26</v>
      </c>
      <c r="L3553">
        <v>49501</v>
      </c>
      <c r="M3553" t="s">
        <v>177</v>
      </c>
      <c r="N3553" t="str">
        <f>"35100       "</f>
        <v xml:space="preserve">35100       </v>
      </c>
      <c r="O3553">
        <v>230220</v>
      </c>
    </row>
    <row r="3554" spans="1:15" x14ac:dyDescent="0.25">
      <c r="A3554" t="s">
        <v>16</v>
      </c>
      <c r="B3554" t="s">
        <v>3221</v>
      </c>
      <c r="C3554">
        <v>11043</v>
      </c>
      <c r="D3554" t="s">
        <v>1266</v>
      </c>
      <c r="E3554" t="s">
        <v>1267</v>
      </c>
      <c r="F3554">
        <v>264.5</v>
      </c>
      <c r="G3554">
        <v>230816</v>
      </c>
      <c r="H3554">
        <v>4600</v>
      </c>
      <c r="I3554" t="s">
        <v>105</v>
      </c>
      <c r="J3554">
        <v>327.98</v>
      </c>
      <c r="K3554">
        <v>63.48</v>
      </c>
      <c r="L3554">
        <v>49501</v>
      </c>
      <c r="M3554" t="s">
        <v>177</v>
      </c>
      <c r="N3554" t="str">
        <f>"37531       "</f>
        <v xml:space="preserve">37531       </v>
      </c>
      <c r="O3554">
        <v>230829</v>
      </c>
    </row>
    <row r="3555" spans="1:15" x14ac:dyDescent="0.25">
      <c r="A3555" t="s">
        <v>16</v>
      </c>
      <c r="B3555" t="s">
        <v>3221</v>
      </c>
      <c r="C3555">
        <v>17938</v>
      </c>
      <c r="D3555" t="s">
        <v>1266</v>
      </c>
      <c r="E3555" t="s">
        <v>1267</v>
      </c>
      <c r="F3555">
        <v>2339.2600000000002</v>
      </c>
      <c r="G3555">
        <v>231215</v>
      </c>
      <c r="H3555">
        <v>4600</v>
      </c>
      <c r="I3555" t="s">
        <v>105</v>
      </c>
      <c r="J3555">
        <v>2900.68</v>
      </c>
      <c r="K3555">
        <v>561.41999999999996</v>
      </c>
      <c r="L3555">
        <v>49501</v>
      </c>
      <c r="M3555" t="s">
        <v>177</v>
      </c>
      <c r="N3555" t="str">
        <f>"39406       "</f>
        <v xml:space="preserve">39406       </v>
      </c>
      <c r="O3555">
        <v>231228</v>
      </c>
    </row>
    <row r="3556" spans="1:15" x14ac:dyDescent="0.25">
      <c r="A3556" t="s">
        <v>16</v>
      </c>
      <c r="B3556" t="s">
        <v>3221</v>
      </c>
      <c r="C3556">
        <v>13863</v>
      </c>
      <c r="D3556" t="s">
        <v>2707</v>
      </c>
      <c r="E3556" t="s">
        <v>2708</v>
      </c>
      <c r="F3556">
        <v>150</v>
      </c>
      <c r="G3556">
        <v>231003</v>
      </c>
      <c r="H3556">
        <v>4470</v>
      </c>
      <c r="I3556" t="s">
        <v>83</v>
      </c>
      <c r="J3556">
        <v>150</v>
      </c>
      <c r="K3556">
        <v>0</v>
      </c>
      <c r="L3556">
        <v>47522</v>
      </c>
      <c r="M3556" t="s">
        <v>410</v>
      </c>
      <c r="N3556" t="str">
        <f>"6310994     "</f>
        <v xml:space="preserve">6310994     </v>
      </c>
      <c r="O3556">
        <v>231016</v>
      </c>
    </row>
    <row r="3557" spans="1:15" x14ac:dyDescent="0.25">
      <c r="A3557" t="s">
        <v>16</v>
      </c>
      <c r="B3557" t="s">
        <v>3221</v>
      </c>
      <c r="C3557">
        <v>2368</v>
      </c>
      <c r="D3557" t="s">
        <v>1001</v>
      </c>
      <c r="E3557" t="s">
        <v>1002</v>
      </c>
      <c r="F3557">
        <v>5734.14</v>
      </c>
      <c r="G3557">
        <v>230214</v>
      </c>
      <c r="H3557">
        <v>4590</v>
      </c>
      <c r="I3557" t="s">
        <v>203</v>
      </c>
      <c r="J3557">
        <v>7110.33</v>
      </c>
      <c r="K3557">
        <v>1376.19</v>
      </c>
      <c r="L3557">
        <v>13401</v>
      </c>
      <c r="M3557" t="s">
        <v>80</v>
      </c>
      <c r="N3557" t="str">
        <f>"21258993    "</f>
        <v xml:space="preserve">21258993    </v>
      </c>
      <c r="O3557">
        <v>230224</v>
      </c>
    </row>
    <row r="3558" spans="1:15" x14ac:dyDescent="0.25">
      <c r="A3558" t="s">
        <v>16</v>
      </c>
      <c r="B3558" t="s">
        <v>3221</v>
      </c>
      <c r="C3558">
        <v>1328</v>
      </c>
      <c r="D3558" t="s">
        <v>1001</v>
      </c>
      <c r="E3558" t="s">
        <v>1002</v>
      </c>
      <c r="F3558">
        <v>174.38</v>
      </c>
      <c r="G3558">
        <v>230202</v>
      </c>
      <c r="H3558">
        <v>4500</v>
      </c>
      <c r="I3558" t="s">
        <v>212</v>
      </c>
      <c r="J3558">
        <v>216.23</v>
      </c>
      <c r="K3558">
        <v>41.85</v>
      </c>
      <c r="L3558">
        <v>69702</v>
      </c>
      <c r="M3558" t="s">
        <v>489</v>
      </c>
      <c r="N3558" t="str">
        <f>"21257602    "</f>
        <v xml:space="preserve">21257602    </v>
      </c>
      <c r="O3558">
        <v>230207</v>
      </c>
    </row>
    <row r="3559" spans="1:15" x14ac:dyDescent="0.25">
      <c r="A3559" t="s">
        <v>16</v>
      </c>
      <c r="B3559" t="s">
        <v>3221</v>
      </c>
      <c r="C3559">
        <v>642</v>
      </c>
      <c r="D3559" t="s">
        <v>659</v>
      </c>
      <c r="E3559" t="s">
        <v>660</v>
      </c>
      <c r="F3559">
        <v>960</v>
      </c>
      <c r="G3559">
        <v>230123</v>
      </c>
      <c r="H3559">
        <v>4346</v>
      </c>
      <c r="I3559" t="s">
        <v>197</v>
      </c>
      <c r="J3559">
        <v>1190.4000000000001</v>
      </c>
      <c r="K3559">
        <v>230.4</v>
      </c>
      <c r="L3559">
        <v>17131</v>
      </c>
      <c r="M3559" t="s">
        <v>64</v>
      </c>
      <c r="N3559" t="str">
        <f>"1104        "</f>
        <v xml:space="preserve">1104        </v>
      </c>
      <c r="O3559">
        <v>230126</v>
      </c>
    </row>
    <row r="3560" spans="1:15" x14ac:dyDescent="0.25">
      <c r="A3560" t="s">
        <v>16</v>
      </c>
      <c r="B3560" t="s">
        <v>3221</v>
      </c>
      <c r="C3560">
        <v>12239</v>
      </c>
      <c r="D3560" t="s">
        <v>2549</v>
      </c>
      <c r="E3560" t="s">
        <v>2550</v>
      </c>
      <c r="F3560">
        <v>1980</v>
      </c>
      <c r="G3560">
        <v>230907</v>
      </c>
      <c r="H3560">
        <v>1198</v>
      </c>
      <c r="I3560" t="s">
        <v>1128</v>
      </c>
      <c r="J3560">
        <v>2455.1999999999998</v>
      </c>
      <c r="K3560">
        <v>475.2</v>
      </c>
      <c r="L3560">
        <v>96511</v>
      </c>
      <c r="M3560" t="s">
        <v>2452</v>
      </c>
      <c r="N3560" t="str">
        <f>"104263      "</f>
        <v xml:space="preserve">104263      </v>
      </c>
      <c r="O3560">
        <v>230918</v>
      </c>
    </row>
    <row r="3561" spans="1:15" x14ac:dyDescent="0.25">
      <c r="A3561" t="s">
        <v>16</v>
      </c>
      <c r="B3561" t="s">
        <v>3221</v>
      </c>
      <c r="C3561">
        <v>16238</v>
      </c>
      <c r="D3561" t="s">
        <v>2943</v>
      </c>
      <c r="E3561" t="s">
        <v>2944</v>
      </c>
      <c r="F3561">
        <v>1882.98</v>
      </c>
      <c r="G3561">
        <v>231121</v>
      </c>
      <c r="H3561">
        <v>4410</v>
      </c>
      <c r="I3561" t="s">
        <v>517</v>
      </c>
      <c r="J3561">
        <v>2146.6</v>
      </c>
      <c r="K3561">
        <v>263.62</v>
      </c>
      <c r="L3561">
        <v>17538</v>
      </c>
      <c r="M3561" t="s">
        <v>24</v>
      </c>
      <c r="N3561" t="str">
        <f>"2109        "</f>
        <v xml:space="preserve">2109        </v>
      </c>
      <c r="O3561">
        <v>231127</v>
      </c>
    </row>
    <row r="3562" spans="1:15" x14ac:dyDescent="0.25">
      <c r="A3562" t="s">
        <v>16</v>
      </c>
      <c r="B3562" t="s">
        <v>3221</v>
      </c>
      <c r="C3562">
        <v>16238</v>
      </c>
      <c r="D3562" t="s">
        <v>2943</v>
      </c>
      <c r="E3562" t="s">
        <v>2944</v>
      </c>
      <c r="F3562">
        <v>16.13</v>
      </c>
      <c r="G3562">
        <v>231121</v>
      </c>
      <c r="H3562">
        <v>4347</v>
      </c>
      <c r="I3562" t="s">
        <v>193</v>
      </c>
      <c r="J3562">
        <v>20</v>
      </c>
      <c r="K3562">
        <v>3.87</v>
      </c>
      <c r="L3562">
        <v>17538</v>
      </c>
      <c r="M3562" t="s">
        <v>24</v>
      </c>
      <c r="N3562" t="str">
        <f>"2109        "</f>
        <v xml:space="preserve">2109        </v>
      </c>
      <c r="O3562">
        <v>231127</v>
      </c>
    </row>
    <row r="3563" spans="1:15" x14ac:dyDescent="0.25">
      <c r="A3563" t="s">
        <v>16</v>
      </c>
      <c r="B3563" t="s">
        <v>3221</v>
      </c>
      <c r="C3563">
        <v>4048</v>
      </c>
      <c r="D3563" t="s">
        <v>1657</v>
      </c>
      <c r="E3563" t="s">
        <v>1658</v>
      </c>
      <c r="F3563">
        <v>15</v>
      </c>
      <c r="G3563">
        <v>230316</v>
      </c>
      <c r="H3563">
        <v>4600</v>
      </c>
      <c r="I3563" t="s">
        <v>105</v>
      </c>
      <c r="J3563">
        <v>16.5</v>
      </c>
      <c r="K3563">
        <v>1.5</v>
      </c>
      <c r="L3563">
        <v>14861</v>
      </c>
      <c r="M3563" t="s">
        <v>785</v>
      </c>
      <c r="N3563" t="str">
        <f>"647         "</f>
        <v xml:space="preserve">647         </v>
      </c>
      <c r="O3563">
        <v>230330</v>
      </c>
    </row>
    <row r="3564" spans="1:15" x14ac:dyDescent="0.25">
      <c r="A3564" t="s">
        <v>16</v>
      </c>
      <c r="B3564" t="s">
        <v>3221</v>
      </c>
      <c r="C3564">
        <v>4048</v>
      </c>
      <c r="D3564" t="s">
        <v>1657</v>
      </c>
      <c r="E3564" t="s">
        <v>1658</v>
      </c>
      <c r="F3564">
        <v>35</v>
      </c>
      <c r="G3564">
        <v>230316</v>
      </c>
      <c r="H3564">
        <v>4600</v>
      </c>
      <c r="I3564" t="s">
        <v>105</v>
      </c>
      <c r="J3564">
        <v>35</v>
      </c>
      <c r="K3564">
        <v>0</v>
      </c>
      <c r="L3564">
        <v>14861</v>
      </c>
      <c r="M3564" t="s">
        <v>785</v>
      </c>
      <c r="N3564" t="str">
        <f>"647         "</f>
        <v xml:space="preserve">647         </v>
      </c>
      <c r="O3564">
        <v>230330</v>
      </c>
    </row>
    <row r="3565" spans="1:15" x14ac:dyDescent="0.25">
      <c r="A3565" t="s">
        <v>16</v>
      </c>
      <c r="B3565" t="s">
        <v>3221</v>
      </c>
      <c r="C3565">
        <v>11201</v>
      </c>
      <c r="D3565" t="s">
        <v>2455</v>
      </c>
      <c r="E3565" t="s">
        <v>2456</v>
      </c>
      <c r="F3565">
        <v>66.989999999999995</v>
      </c>
      <c r="G3565">
        <v>230830</v>
      </c>
      <c r="H3565">
        <v>4600</v>
      </c>
      <c r="I3565" t="s">
        <v>105</v>
      </c>
      <c r="J3565">
        <v>83.07</v>
      </c>
      <c r="K3565">
        <v>16.079999999999998</v>
      </c>
      <c r="L3565">
        <v>56573</v>
      </c>
      <c r="M3565" t="s">
        <v>521</v>
      </c>
      <c r="N3565" t="str">
        <f>"142547      "</f>
        <v xml:space="preserve">142547      </v>
      </c>
      <c r="O3565">
        <v>230831</v>
      </c>
    </row>
    <row r="3566" spans="1:15" x14ac:dyDescent="0.25">
      <c r="A3566" t="s">
        <v>16</v>
      </c>
      <c r="B3566" t="s">
        <v>3221</v>
      </c>
      <c r="C3566">
        <v>4368</v>
      </c>
      <c r="D3566" t="s">
        <v>1698</v>
      </c>
      <c r="E3566" t="s">
        <v>1699</v>
      </c>
      <c r="F3566">
        <v>30</v>
      </c>
      <c r="G3566">
        <v>230329</v>
      </c>
      <c r="H3566">
        <v>4470</v>
      </c>
      <c r="I3566" t="s">
        <v>83</v>
      </c>
      <c r="J3566">
        <v>37.200000000000003</v>
      </c>
      <c r="K3566">
        <v>7.2</v>
      </c>
      <c r="L3566">
        <v>47522</v>
      </c>
      <c r="M3566" t="s">
        <v>410</v>
      </c>
      <c r="N3566" t="str">
        <f>"0090060134  "</f>
        <v xml:space="preserve">0090060134  </v>
      </c>
      <c r="O3566">
        <v>230405</v>
      </c>
    </row>
    <row r="3567" spans="1:15" x14ac:dyDescent="0.25">
      <c r="A3567" t="s">
        <v>16</v>
      </c>
      <c r="B3567" t="s">
        <v>3221</v>
      </c>
      <c r="C3567">
        <v>5678</v>
      </c>
      <c r="D3567" t="s">
        <v>1888</v>
      </c>
      <c r="E3567" t="s">
        <v>1889</v>
      </c>
      <c r="F3567">
        <v>-41.95</v>
      </c>
      <c r="G3567">
        <v>230427</v>
      </c>
      <c r="H3567">
        <v>4520</v>
      </c>
      <c r="I3567" t="s">
        <v>254</v>
      </c>
      <c r="J3567">
        <v>-47.82</v>
      </c>
      <c r="K3567">
        <v>-5.87</v>
      </c>
      <c r="L3567">
        <v>56563</v>
      </c>
      <c r="M3567" t="s">
        <v>953</v>
      </c>
      <c r="N3567" t="str">
        <f>"104730      "</f>
        <v xml:space="preserve">104730      </v>
      </c>
      <c r="O3567">
        <v>230502</v>
      </c>
    </row>
    <row r="3568" spans="1:15" x14ac:dyDescent="0.25">
      <c r="A3568" t="s">
        <v>16</v>
      </c>
      <c r="B3568" t="s">
        <v>3221</v>
      </c>
      <c r="C3568">
        <v>5678</v>
      </c>
      <c r="D3568" t="s">
        <v>1888</v>
      </c>
      <c r="E3568" t="s">
        <v>1889</v>
      </c>
      <c r="F3568">
        <v>-73.59</v>
      </c>
      <c r="G3568">
        <v>230427</v>
      </c>
      <c r="H3568">
        <v>4520</v>
      </c>
      <c r="I3568" t="s">
        <v>254</v>
      </c>
      <c r="J3568">
        <v>-91.25</v>
      </c>
      <c r="K3568">
        <v>-17.66</v>
      </c>
      <c r="L3568">
        <v>56563</v>
      </c>
      <c r="M3568" t="s">
        <v>953</v>
      </c>
      <c r="N3568" t="str">
        <f>"104730      "</f>
        <v xml:space="preserve">104730      </v>
      </c>
      <c r="O3568">
        <v>230502</v>
      </c>
    </row>
    <row r="3569" spans="1:15" x14ac:dyDescent="0.25">
      <c r="A3569" t="s">
        <v>16</v>
      </c>
      <c r="B3569" t="s">
        <v>3221</v>
      </c>
      <c r="C3569">
        <v>12347</v>
      </c>
      <c r="D3569" t="s">
        <v>1888</v>
      </c>
      <c r="E3569" t="s">
        <v>1889</v>
      </c>
      <c r="F3569">
        <v>74.28</v>
      </c>
      <c r="G3569">
        <v>230914</v>
      </c>
      <c r="H3569">
        <v>4520</v>
      </c>
      <c r="I3569" t="s">
        <v>254</v>
      </c>
      <c r="J3569">
        <v>92.11</v>
      </c>
      <c r="K3569">
        <v>17.829999999999998</v>
      </c>
      <c r="L3569">
        <v>54422</v>
      </c>
      <c r="M3569" t="s">
        <v>234</v>
      </c>
      <c r="N3569" t="str">
        <f>"154964      "</f>
        <v xml:space="preserve">154964      </v>
      </c>
      <c r="O3569">
        <v>230918</v>
      </c>
    </row>
    <row r="3570" spans="1:15" x14ac:dyDescent="0.25">
      <c r="A3570" t="s">
        <v>16</v>
      </c>
      <c r="B3570" t="s">
        <v>3221</v>
      </c>
      <c r="C3570">
        <v>12347</v>
      </c>
      <c r="D3570" t="s">
        <v>1888</v>
      </c>
      <c r="E3570" t="s">
        <v>1889</v>
      </c>
      <c r="F3570">
        <v>592.46</v>
      </c>
      <c r="G3570">
        <v>230914</v>
      </c>
      <c r="H3570">
        <v>4520</v>
      </c>
      <c r="I3570" t="s">
        <v>254</v>
      </c>
      <c r="J3570">
        <v>675.4</v>
      </c>
      <c r="K3570">
        <v>82.94</v>
      </c>
      <c r="L3570">
        <v>54422</v>
      </c>
      <c r="M3570" t="s">
        <v>234</v>
      </c>
      <c r="N3570" t="str">
        <f>"154964      "</f>
        <v xml:space="preserve">154964      </v>
      </c>
      <c r="O3570">
        <v>230918</v>
      </c>
    </row>
    <row r="3571" spans="1:15" x14ac:dyDescent="0.25">
      <c r="A3571" t="s">
        <v>16</v>
      </c>
      <c r="B3571" t="s">
        <v>3221</v>
      </c>
      <c r="C3571">
        <v>16344</v>
      </c>
      <c r="D3571" t="s">
        <v>1888</v>
      </c>
      <c r="E3571" t="s">
        <v>1889</v>
      </c>
      <c r="F3571">
        <v>77.2</v>
      </c>
      <c r="G3571">
        <v>231123</v>
      </c>
      <c r="H3571">
        <v>4520</v>
      </c>
      <c r="I3571" t="s">
        <v>254</v>
      </c>
      <c r="J3571">
        <v>95.73</v>
      </c>
      <c r="K3571">
        <v>18.53</v>
      </c>
      <c r="L3571">
        <v>56563</v>
      </c>
      <c r="M3571" t="s">
        <v>953</v>
      </c>
      <c r="N3571" t="str">
        <f>"156063      "</f>
        <v xml:space="preserve">156063      </v>
      </c>
      <c r="O3571">
        <v>231128</v>
      </c>
    </row>
    <row r="3572" spans="1:15" x14ac:dyDescent="0.25">
      <c r="A3572" t="s">
        <v>16</v>
      </c>
      <c r="B3572" t="s">
        <v>3221</v>
      </c>
      <c r="C3572">
        <v>16347</v>
      </c>
      <c r="D3572" t="s">
        <v>1888</v>
      </c>
      <c r="E3572" t="s">
        <v>1889</v>
      </c>
      <c r="F3572">
        <v>105.27</v>
      </c>
      <c r="G3572">
        <v>231124</v>
      </c>
      <c r="H3572">
        <v>4520</v>
      </c>
      <c r="I3572" t="s">
        <v>254</v>
      </c>
      <c r="J3572">
        <v>120.01</v>
      </c>
      <c r="K3572">
        <v>14.74</v>
      </c>
      <c r="L3572">
        <v>54422</v>
      </c>
      <c r="M3572" t="s">
        <v>234</v>
      </c>
      <c r="N3572" t="str">
        <f>"156040      "</f>
        <v xml:space="preserve">156040      </v>
      </c>
      <c r="O3572">
        <v>231128</v>
      </c>
    </row>
    <row r="3573" spans="1:15" x14ac:dyDescent="0.25">
      <c r="A3573" t="s">
        <v>16</v>
      </c>
      <c r="B3573" t="s">
        <v>3221</v>
      </c>
      <c r="C3573">
        <v>7755</v>
      </c>
      <c r="D3573" t="s">
        <v>1888</v>
      </c>
      <c r="E3573" t="s">
        <v>1889</v>
      </c>
      <c r="F3573">
        <v>278.10000000000002</v>
      </c>
      <c r="G3573">
        <v>230529</v>
      </c>
      <c r="H3573">
        <v>4580</v>
      </c>
      <c r="I3573" t="s">
        <v>35</v>
      </c>
      <c r="J3573">
        <v>344.84</v>
      </c>
      <c r="K3573">
        <v>66.739999999999995</v>
      </c>
      <c r="L3573">
        <v>56563</v>
      </c>
      <c r="M3573" t="s">
        <v>953</v>
      </c>
      <c r="N3573" t="str">
        <f>"153660      "</f>
        <v xml:space="preserve">153660      </v>
      </c>
      <c r="O3573">
        <v>230602</v>
      </c>
    </row>
    <row r="3574" spans="1:15" x14ac:dyDescent="0.25">
      <c r="A3574" t="s">
        <v>16</v>
      </c>
      <c r="B3574" t="s">
        <v>3221</v>
      </c>
      <c r="C3574">
        <v>5679</v>
      </c>
      <c r="D3574" t="s">
        <v>1888</v>
      </c>
      <c r="E3574" t="s">
        <v>1889</v>
      </c>
      <c r="F3574">
        <v>2075.14</v>
      </c>
      <c r="G3574">
        <v>230414</v>
      </c>
      <c r="H3574">
        <v>4600</v>
      </c>
      <c r="I3574" t="s">
        <v>105</v>
      </c>
      <c r="J3574">
        <v>2573.17</v>
      </c>
      <c r="K3574">
        <v>498.03</v>
      </c>
      <c r="L3574">
        <v>56563</v>
      </c>
      <c r="M3574" t="s">
        <v>953</v>
      </c>
      <c r="N3574" t="str">
        <f>"153050      "</f>
        <v xml:space="preserve">153050      </v>
      </c>
      <c r="O3574">
        <v>230502</v>
      </c>
    </row>
    <row r="3575" spans="1:15" x14ac:dyDescent="0.25">
      <c r="A3575" t="s">
        <v>16</v>
      </c>
      <c r="B3575" t="s">
        <v>3221</v>
      </c>
      <c r="C3575">
        <v>12583</v>
      </c>
      <c r="D3575" t="s">
        <v>1888</v>
      </c>
      <c r="E3575" t="s">
        <v>1889</v>
      </c>
      <c r="F3575">
        <v>25.8</v>
      </c>
      <c r="G3575">
        <v>230802</v>
      </c>
      <c r="H3575">
        <v>4600</v>
      </c>
      <c r="I3575" t="s">
        <v>105</v>
      </c>
      <c r="J3575">
        <v>31.99</v>
      </c>
      <c r="K3575">
        <v>6.19</v>
      </c>
      <c r="L3575">
        <v>56563</v>
      </c>
      <c r="M3575" t="s">
        <v>953</v>
      </c>
      <c r="N3575" t="str">
        <f>"154456      "</f>
        <v xml:space="preserve">154456      </v>
      </c>
      <c r="O3575">
        <v>230922</v>
      </c>
    </row>
    <row r="3576" spans="1:15" x14ac:dyDescent="0.25">
      <c r="A3576" t="s">
        <v>16</v>
      </c>
      <c r="B3576" t="s">
        <v>3221</v>
      </c>
      <c r="C3576">
        <v>16347</v>
      </c>
      <c r="D3576" t="s">
        <v>1888</v>
      </c>
      <c r="E3576" t="s">
        <v>1889</v>
      </c>
      <c r="F3576">
        <v>15</v>
      </c>
      <c r="G3576">
        <v>231124</v>
      </c>
      <c r="H3576">
        <v>4600</v>
      </c>
      <c r="I3576" t="s">
        <v>105</v>
      </c>
      <c r="J3576">
        <v>18.600000000000001</v>
      </c>
      <c r="K3576">
        <v>3.6</v>
      </c>
      <c r="L3576">
        <v>54422</v>
      </c>
      <c r="M3576" t="s">
        <v>234</v>
      </c>
      <c r="N3576" t="str">
        <f>"156040      "</f>
        <v xml:space="preserve">156040      </v>
      </c>
      <c r="O3576">
        <v>231128</v>
      </c>
    </row>
    <row r="3577" spans="1:15" x14ac:dyDescent="0.25">
      <c r="A3577" t="s">
        <v>16</v>
      </c>
      <c r="B3577" t="s">
        <v>3221</v>
      </c>
      <c r="C3577">
        <v>14420</v>
      </c>
      <c r="D3577" t="s">
        <v>2770</v>
      </c>
      <c r="E3577" t="s">
        <v>2771</v>
      </c>
      <c r="F3577">
        <v>1765.82</v>
      </c>
      <c r="G3577">
        <v>231023</v>
      </c>
      <c r="H3577">
        <v>4470</v>
      </c>
      <c r="I3577" t="s">
        <v>83</v>
      </c>
      <c r="J3577">
        <v>1942.4</v>
      </c>
      <c r="K3577">
        <v>176.58</v>
      </c>
      <c r="L3577">
        <v>14972</v>
      </c>
      <c r="M3577" t="s">
        <v>898</v>
      </c>
      <c r="N3577" t="str">
        <f>"803068467   "</f>
        <v xml:space="preserve">803068467   </v>
      </c>
      <c r="O3577">
        <v>231030</v>
      </c>
    </row>
    <row r="3578" spans="1:15" x14ac:dyDescent="0.25">
      <c r="A3578" t="s">
        <v>16</v>
      </c>
      <c r="B3578" t="s">
        <v>3221</v>
      </c>
      <c r="C3578">
        <v>14420</v>
      </c>
      <c r="D3578" t="s">
        <v>2770</v>
      </c>
      <c r="E3578" t="s">
        <v>2771</v>
      </c>
      <c r="F3578">
        <v>858.18</v>
      </c>
      <c r="G3578">
        <v>231023</v>
      </c>
      <c r="H3578">
        <v>4470</v>
      </c>
      <c r="I3578" t="s">
        <v>83</v>
      </c>
      <c r="J3578">
        <v>944</v>
      </c>
      <c r="K3578">
        <v>85.82</v>
      </c>
      <c r="L3578">
        <v>14986</v>
      </c>
      <c r="M3578" t="s">
        <v>2059</v>
      </c>
      <c r="N3578" t="str">
        <f>"803068467   "</f>
        <v xml:space="preserve">803068467   </v>
      </c>
      <c r="O3578">
        <v>231030</v>
      </c>
    </row>
    <row r="3579" spans="1:15" x14ac:dyDescent="0.25">
      <c r="A3579" t="s">
        <v>16</v>
      </c>
      <c r="B3579" t="s">
        <v>3221</v>
      </c>
      <c r="C3579">
        <v>17209</v>
      </c>
      <c r="D3579" t="s">
        <v>2770</v>
      </c>
      <c r="E3579" t="s">
        <v>2771</v>
      </c>
      <c r="F3579">
        <v>1400</v>
      </c>
      <c r="G3579">
        <v>231208</v>
      </c>
      <c r="H3579">
        <v>4440</v>
      </c>
      <c r="I3579" t="s">
        <v>250</v>
      </c>
      <c r="J3579">
        <v>1540</v>
      </c>
      <c r="K3579">
        <v>140</v>
      </c>
      <c r="L3579">
        <v>11301</v>
      </c>
      <c r="M3579" t="s">
        <v>29</v>
      </c>
      <c r="N3579" t="str">
        <f>"803069491   "</f>
        <v xml:space="preserve">803069491   </v>
      </c>
      <c r="O3579">
        <v>231212</v>
      </c>
    </row>
    <row r="3580" spans="1:15" x14ac:dyDescent="0.25">
      <c r="A3580" t="s">
        <v>16</v>
      </c>
      <c r="B3580" t="s">
        <v>3221</v>
      </c>
      <c r="C3580">
        <v>17915</v>
      </c>
      <c r="D3580" t="s">
        <v>2770</v>
      </c>
      <c r="E3580" t="s">
        <v>2771</v>
      </c>
      <c r="F3580">
        <v>1400</v>
      </c>
      <c r="G3580">
        <v>231214</v>
      </c>
      <c r="H3580">
        <v>4440</v>
      </c>
      <c r="I3580" t="s">
        <v>250</v>
      </c>
      <c r="J3580">
        <v>1540</v>
      </c>
      <c r="K3580">
        <v>140</v>
      </c>
      <c r="L3580">
        <v>11301</v>
      </c>
      <c r="M3580" t="s">
        <v>29</v>
      </c>
      <c r="N3580" t="str">
        <f>"803069666   "</f>
        <v xml:space="preserve">803069666   </v>
      </c>
      <c r="O3580">
        <v>231227</v>
      </c>
    </row>
    <row r="3581" spans="1:15" x14ac:dyDescent="0.25">
      <c r="A3581" t="s">
        <v>16</v>
      </c>
      <c r="B3581" t="s">
        <v>3221</v>
      </c>
      <c r="C3581">
        <v>18366</v>
      </c>
      <c r="D3581" t="s">
        <v>3135</v>
      </c>
      <c r="E3581" t="s">
        <v>3136</v>
      </c>
      <c r="F3581">
        <v>15867</v>
      </c>
      <c r="G3581">
        <v>231229</v>
      </c>
      <c r="H3581">
        <v>1198</v>
      </c>
      <c r="I3581" t="s">
        <v>1128</v>
      </c>
      <c r="J3581">
        <v>19675.080000000002</v>
      </c>
      <c r="K3581">
        <v>3808.08</v>
      </c>
      <c r="L3581">
        <v>96511</v>
      </c>
      <c r="M3581" t="s">
        <v>2452</v>
      </c>
      <c r="N3581" t="str">
        <f>"2809        "</f>
        <v xml:space="preserve">2809        </v>
      </c>
      <c r="O3581">
        <v>240103</v>
      </c>
    </row>
    <row r="3582" spans="1:15" x14ac:dyDescent="0.25">
      <c r="A3582" t="s">
        <v>16</v>
      </c>
      <c r="B3582" t="s">
        <v>3221</v>
      </c>
      <c r="C3582">
        <v>7070</v>
      </c>
      <c r="D3582" t="s">
        <v>2055</v>
      </c>
      <c r="E3582" t="s">
        <v>2056</v>
      </c>
      <c r="F3582">
        <v>194.43</v>
      </c>
      <c r="G3582">
        <v>230517</v>
      </c>
      <c r="H3582">
        <v>4400</v>
      </c>
      <c r="I3582" t="s">
        <v>348</v>
      </c>
      <c r="J3582">
        <v>241.09</v>
      </c>
      <c r="K3582">
        <v>46.66</v>
      </c>
      <c r="L3582">
        <v>17737</v>
      </c>
      <c r="M3582" t="s">
        <v>279</v>
      </c>
      <c r="N3582" t="str">
        <f>"96002503    "</f>
        <v xml:space="preserve">96002503    </v>
      </c>
      <c r="O3582">
        <v>230525</v>
      </c>
    </row>
    <row r="3583" spans="1:15" x14ac:dyDescent="0.25">
      <c r="A3583" t="s">
        <v>16</v>
      </c>
      <c r="B3583" t="s">
        <v>3221</v>
      </c>
      <c r="C3583">
        <v>17783</v>
      </c>
      <c r="D3583" t="s">
        <v>595</v>
      </c>
      <c r="E3583" t="s">
        <v>596</v>
      </c>
      <c r="F3583">
        <v>2722.8</v>
      </c>
      <c r="G3583">
        <v>231213</v>
      </c>
      <c r="H3583">
        <v>1196</v>
      </c>
      <c r="I3583" t="s">
        <v>392</v>
      </c>
      <c r="J3583">
        <v>3376.27</v>
      </c>
      <c r="K3583">
        <v>653.47</v>
      </c>
      <c r="L3583">
        <v>96501</v>
      </c>
      <c r="M3583" t="s">
        <v>2361</v>
      </c>
      <c r="N3583" t="str">
        <f>"3080868     "</f>
        <v xml:space="preserve">3080868     </v>
      </c>
      <c r="O3583">
        <v>231227</v>
      </c>
    </row>
    <row r="3584" spans="1:15" x14ac:dyDescent="0.25">
      <c r="A3584" t="s">
        <v>16</v>
      </c>
      <c r="B3584" t="s">
        <v>3221</v>
      </c>
      <c r="C3584">
        <v>17835</v>
      </c>
      <c r="D3584" t="s">
        <v>595</v>
      </c>
      <c r="E3584" t="s">
        <v>596</v>
      </c>
      <c r="F3584">
        <v>1391.9</v>
      </c>
      <c r="G3584">
        <v>231213</v>
      </c>
      <c r="H3584">
        <v>1196</v>
      </c>
      <c r="I3584" t="s">
        <v>392</v>
      </c>
      <c r="J3584">
        <v>1725.96</v>
      </c>
      <c r="K3584">
        <v>334.06</v>
      </c>
      <c r="L3584">
        <v>96501</v>
      </c>
      <c r="M3584" t="s">
        <v>2361</v>
      </c>
      <c r="N3584" t="str">
        <f>"3080869     "</f>
        <v xml:space="preserve">3080869     </v>
      </c>
      <c r="O3584">
        <v>231227</v>
      </c>
    </row>
    <row r="3585" spans="1:15" x14ac:dyDescent="0.25">
      <c r="A3585" t="s">
        <v>16</v>
      </c>
      <c r="B3585" t="s">
        <v>3221</v>
      </c>
      <c r="C3585">
        <v>18075</v>
      </c>
      <c r="D3585" t="s">
        <v>595</v>
      </c>
      <c r="E3585" t="s">
        <v>596</v>
      </c>
      <c r="F3585">
        <v>1532.41</v>
      </c>
      <c r="G3585">
        <v>231219</v>
      </c>
      <c r="H3585">
        <v>1196</v>
      </c>
      <c r="I3585" t="s">
        <v>392</v>
      </c>
      <c r="J3585">
        <v>1900.19</v>
      </c>
      <c r="K3585">
        <v>367.78</v>
      </c>
      <c r="L3585">
        <v>96501</v>
      </c>
      <c r="M3585" t="s">
        <v>2361</v>
      </c>
      <c r="N3585" t="str">
        <f>"3080972     "</f>
        <v xml:space="preserve">3080972     </v>
      </c>
      <c r="O3585">
        <v>240102</v>
      </c>
    </row>
    <row r="3586" spans="1:15" x14ac:dyDescent="0.25">
      <c r="A3586" t="s">
        <v>16</v>
      </c>
      <c r="B3586" t="s">
        <v>3221</v>
      </c>
      <c r="C3586">
        <v>18085</v>
      </c>
      <c r="D3586" t="s">
        <v>595</v>
      </c>
      <c r="E3586" t="s">
        <v>596</v>
      </c>
      <c r="F3586">
        <v>1644.56</v>
      </c>
      <c r="G3586">
        <v>231219</v>
      </c>
      <c r="H3586">
        <v>1196</v>
      </c>
      <c r="I3586" t="s">
        <v>392</v>
      </c>
      <c r="J3586">
        <v>2039.25</v>
      </c>
      <c r="K3586">
        <v>394.69</v>
      </c>
      <c r="L3586">
        <v>96501</v>
      </c>
      <c r="M3586" t="s">
        <v>2361</v>
      </c>
      <c r="N3586" t="str">
        <f>"3080970     "</f>
        <v xml:space="preserve">3080970     </v>
      </c>
      <c r="O3586">
        <v>240102</v>
      </c>
    </row>
    <row r="3587" spans="1:15" x14ac:dyDescent="0.25">
      <c r="A3587" t="s">
        <v>16</v>
      </c>
      <c r="B3587" t="s">
        <v>3221</v>
      </c>
      <c r="C3587">
        <v>18098</v>
      </c>
      <c r="D3587" t="s">
        <v>595</v>
      </c>
      <c r="E3587" t="s">
        <v>596</v>
      </c>
      <c r="F3587">
        <v>1129.92</v>
      </c>
      <c r="G3587">
        <v>231219</v>
      </c>
      <c r="H3587">
        <v>1196</v>
      </c>
      <c r="I3587" t="s">
        <v>392</v>
      </c>
      <c r="J3587">
        <v>1401.1</v>
      </c>
      <c r="K3587">
        <v>271.18</v>
      </c>
      <c r="L3587">
        <v>96501</v>
      </c>
      <c r="M3587" t="s">
        <v>2361</v>
      </c>
      <c r="N3587" t="str">
        <f>"3080971     "</f>
        <v xml:space="preserve">3080971     </v>
      </c>
      <c r="O3587">
        <v>240102</v>
      </c>
    </row>
    <row r="3588" spans="1:15" x14ac:dyDescent="0.25">
      <c r="A3588" t="s">
        <v>16</v>
      </c>
      <c r="B3588" t="s">
        <v>3221</v>
      </c>
      <c r="C3588">
        <v>512</v>
      </c>
      <c r="D3588" t="s">
        <v>595</v>
      </c>
      <c r="E3588" t="s">
        <v>596</v>
      </c>
      <c r="F3588">
        <v>214.82</v>
      </c>
      <c r="G3588">
        <v>230119</v>
      </c>
      <c r="H3588">
        <v>4600</v>
      </c>
      <c r="I3588" t="s">
        <v>105</v>
      </c>
      <c r="J3588">
        <v>266.38</v>
      </c>
      <c r="K3588">
        <v>51.56</v>
      </c>
      <c r="L3588">
        <v>46555</v>
      </c>
      <c r="M3588" t="s">
        <v>597</v>
      </c>
      <c r="N3588" t="str">
        <f>"3072234     "</f>
        <v xml:space="preserve">3072234     </v>
      </c>
      <c r="O3588">
        <v>230124</v>
      </c>
    </row>
    <row r="3589" spans="1:15" x14ac:dyDescent="0.25">
      <c r="A3589" t="s">
        <v>16</v>
      </c>
      <c r="B3589" t="s">
        <v>3221</v>
      </c>
      <c r="C3589">
        <v>526</v>
      </c>
      <c r="D3589" t="s">
        <v>595</v>
      </c>
      <c r="E3589" t="s">
        <v>596</v>
      </c>
      <c r="F3589">
        <v>172.8</v>
      </c>
      <c r="G3589">
        <v>230120</v>
      </c>
      <c r="H3589">
        <v>4600</v>
      </c>
      <c r="I3589" t="s">
        <v>105</v>
      </c>
      <c r="J3589">
        <v>214.27</v>
      </c>
      <c r="K3589">
        <v>41.47</v>
      </c>
      <c r="L3589">
        <v>46555</v>
      </c>
      <c r="M3589" t="s">
        <v>597</v>
      </c>
      <c r="N3589" t="str">
        <f>"3072306     "</f>
        <v xml:space="preserve">3072306     </v>
      </c>
      <c r="O3589">
        <v>230124</v>
      </c>
    </row>
    <row r="3590" spans="1:15" x14ac:dyDescent="0.25">
      <c r="A3590" t="s">
        <v>16</v>
      </c>
      <c r="B3590" t="s">
        <v>3221</v>
      </c>
      <c r="C3590">
        <v>731</v>
      </c>
      <c r="D3590" t="s">
        <v>595</v>
      </c>
      <c r="E3590" t="s">
        <v>596</v>
      </c>
      <c r="F3590">
        <v>300.05</v>
      </c>
      <c r="G3590">
        <v>230125</v>
      </c>
      <c r="H3590">
        <v>4600</v>
      </c>
      <c r="I3590" t="s">
        <v>105</v>
      </c>
      <c r="J3590">
        <v>372.06</v>
      </c>
      <c r="K3590">
        <v>72.010000000000005</v>
      </c>
      <c r="L3590">
        <v>46555</v>
      </c>
      <c r="M3590" t="s">
        <v>597</v>
      </c>
      <c r="N3590" t="str">
        <f>"3072438     "</f>
        <v xml:space="preserve">3072438     </v>
      </c>
      <c r="O3590">
        <v>230127</v>
      </c>
    </row>
    <row r="3591" spans="1:15" x14ac:dyDescent="0.25">
      <c r="A3591" t="s">
        <v>16</v>
      </c>
      <c r="B3591" t="s">
        <v>3221</v>
      </c>
      <c r="C3591">
        <v>1030</v>
      </c>
      <c r="D3591" t="s">
        <v>595</v>
      </c>
      <c r="E3591" t="s">
        <v>596</v>
      </c>
      <c r="F3591">
        <v>103.5</v>
      </c>
      <c r="G3591">
        <v>230201</v>
      </c>
      <c r="H3591">
        <v>4600</v>
      </c>
      <c r="I3591" t="s">
        <v>105</v>
      </c>
      <c r="J3591">
        <v>128.34</v>
      </c>
      <c r="K3591">
        <v>24.84</v>
      </c>
      <c r="L3591">
        <v>46555</v>
      </c>
      <c r="M3591" t="s">
        <v>597</v>
      </c>
      <c r="N3591" t="str">
        <f>"3072636     "</f>
        <v xml:space="preserve">3072636     </v>
      </c>
      <c r="O3591">
        <v>230202</v>
      </c>
    </row>
    <row r="3592" spans="1:15" x14ac:dyDescent="0.25">
      <c r="A3592" t="s">
        <v>16</v>
      </c>
      <c r="B3592" t="s">
        <v>3221</v>
      </c>
      <c r="C3592">
        <v>1752</v>
      </c>
      <c r="D3592" t="s">
        <v>595</v>
      </c>
      <c r="E3592" t="s">
        <v>596</v>
      </c>
      <c r="F3592">
        <v>736.95</v>
      </c>
      <c r="G3592">
        <v>230208</v>
      </c>
      <c r="H3592">
        <v>4600</v>
      </c>
      <c r="I3592" t="s">
        <v>105</v>
      </c>
      <c r="J3592">
        <v>913.82</v>
      </c>
      <c r="K3592">
        <v>176.87</v>
      </c>
      <c r="L3592">
        <v>46555</v>
      </c>
      <c r="M3592" t="s">
        <v>597</v>
      </c>
      <c r="N3592" t="str">
        <f>"3072848     "</f>
        <v xml:space="preserve">3072848     </v>
      </c>
      <c r="O3592">
        <v>230213</v>
      </c>
    </row>
    <row r="3593" spans="1:15" x14ac:dyDescent="0.25">
      <c r="A3593" t="s">
        <v>16</v>
      </c>
      <c r="B3593" t="s">
        <v>3221</v>
      </c>
      <c r="C3593">
        <v>2084</v>
      </c>
      <c r="D3593" t="s">
        <v>595</v>
      </c>
      <c r="E3593" t="s">
        <v>596</v>
      </c>
      <c r="F3593">
        <v>62.64</v>
      </c>
      <c r="G3593">
        <v>230216</v>
      </c>
      <c r="H3593">
        <v>4600</v>
      </c>
      <c r="I3593" t="s">
        <v>105</v>
      </c>
      <c r="J3593">
        <v>77.67</v>
      </c>
      <c r="K3593">
        <v>15.03</v>
      </c>
      <c r="L3593">
        <v>46555</v>
      </c>
      <c r="M3593" t="s">
        <v>597</v>
      </c>
      <c r="N3593" t="str">
        <f>"3073049     "</f>
        <v xml:space="preserve">3073049     </v>
      </c>
      <c r="O3593">
        <v>230220</v>
      </c>
    </row>
    <row r="3594" spans="1:15" x14ac:dyDescent="0.25">
      <c r="A3594" t="s">
        <v>16</v>
      </c>
      <c r="B3594" t="s">
        <v>3221</v>
      </c>
      <c r="C3594">
        <v>2414</v>
      </c>
      <c r="D3594" t="s">
        <v>595</v>
      </c>
      <c r="E3594" t="s">
        <v>596</v>
      </c>
      <c r="F3594">
        <v>134.28</v>
      </c>
      <c r="G3594">
        <v>230223</v>
      </c>
      <c r="H3594">
        <v>4600</v>
      </c>
      <c r="I3594" t="s">
        <v>105</v>
      </c>
      <c r="J3594">
        <v>166.51</v>
      </c>
      <c r="K3594">
        <v>32.229999999999997</v>
      </c>
      <c r="L3594">
        <v>49501</v>
      </c>
      <c r="M3594" t="s">
        <v>177</v>
      </c>
      <c r="N3594" t="str">
        <f>"3073246     "</f>
        <v xml:space="preserve">3073246     </v>
      </c>
      <c r="O3594">
        <v>230227</v>
      </c>
    </row>
    <row r="3595" spans="1:15" x14ac:dyDescent="0.25">
      <c r="A3595" t="s">
        <v>16</v>
      </c>
      <c r="B3595" t="s">
        <v>3221</v>
      </c>
      <c r="C3595">
        <v>2518</v>
      </c>
      <c r="D3595" t="s">
        <v>595</v>
      </c>
      <c r="E3595" t="s">
        <v>596</v>
      </c>
      <c r="F3595">
        <v>123.12</v>
      </c>
      <c r="G3595">
        <v>230223</v>
      </c>
      <c r="H3595">
        <v>4600</v>
      </c>
      <c r="I3595" t="s">
        <v>105</v>
      </c>
      <c r="J3595">
        <v>152.66999999999999</v>
      </c>
      <c r="K3595">
        <v>29.55</v>
      </c>
      <c r="L3595">
        <v>46555</v>
      </c>
      <c r="M3595" t="s">
        <v>597</v>
      </c>
      <c r="N3595" t="str">
        <f>"3073248     "</f>
        <v xml:space="preserve">3073248     </v>
      </c>
      <c r="O3595">
        <v>230301</v>
      </c>
    </row>
    <row r="3596" spans="1:15" x14ac:dyDescent="0.25">
      <c r="A3596" t="s">
        <v>16</v>
      </c>
      <c r="B3596" t="s">
        <v>3221</v>
      </c>
      <c r="C3596">
        <v>3565</v>
      </c>
      <c r="D3596" t="s">
        <v>595</v>
      </c>
      <c r="E3596" t="s">
        <v>596</v>
      </c>
      <c r="F3596">
        <v>893.12</v>
      </c>
      <c r="G3596">
        <v>230315</v>
      </c>
      <c r="H3596">
        <v>4600</v>
      </c>
      <c r="I3596" t="s">
        <v>105</v>
      </c>
      <c r="J3596">
        <v>1107.47</v>
      </c>
      <c r="K3596">
        <v>214.35</v>
      </c>
      <c r="L3596">
        <v>46555</v>
      </c>
      <c r="M3596" t="s">
        <v>597</v>
      </c>
      <c r="N3596" t="str">
        <f>"3073747     "</f>
        <v xml:space="preserve">3073747     </v>
      </c>
      <c r="O3596">
        <v>230317</v>
      </c>
    </row>
    <row r="3597" spans="1:15" x14ac:dyDescent="0.25">
      <c r="A3597" t="s">
        <v>16</v>
      </c>
      <c r="B3597" t="s">
        <v>3221</v>
      </c>
      <c r="C3597">
        <v>4364</v>
      </c>
      <c r="D3597" t="s">
        <v>595</v>
      </c>
      <c r="E3597" t="s">
        <v>596</v>
      </c>
      <c r="F3597">
        <v>61.63</v>
      </c>
      <c r="G3597">
        <v>230323</v>
      </c>
      <c r="H3597">
        <v>4600</v>
      </c>
      <c r="I3597" t="s">
        <v>105</v>
      </c>
      <c r="J3597">
        <v>76.42</v>
      </c>
      <c r="K3597">
        <v>14.79</v>
      </c>
      <c r="L3597">
        <v>46555</v>
      </c>
      <c r="M3597" t="s">
        <v>597</v>
      </c>
      <c r="N3597" t="str">
        <f>"3073965     "</f>
        <v xml:space="preserve">3073965     </v>
      </c>
      <c r="O3597">
        <v>230405</v>
      </c>
    </row>
    <row r="3598" spans="1:15" x14ac:dyDescent="0.25">
      <c r="A3598" t="s">
        <v>16</v>
      </c>
      <c r="B3598" t="s">
        <v>3221</v>
      </c>
      <c r="C3598">
        <v>4491</v>
      </c>
      <c r="D3598" t="s">
        <v>595</v>
      </c>
      <c r="E3598" t="s">
        <v>596</v>
      </c>
      <c r="F3598">
        <v>597.64</v>
      </c>
      <c r="G3598">
        <v>230405</v>
      </c>
      <c r="H3598">
        <v>4600</v>
      </c>
      <c r="I3598" t="s">
        <v>105</v>
      </c>
      <c r="J3598">
        <v>741.07</v>
      </c>
      <c r="K3598">
        <v>143.43</v>
      </c>
      <c r="L3598">
        <v>46555</v>
      </c>
      <c r="M3598" t="s">
        <v>597</v>
      </c>
      <c r="N3598" t="str">
        <f>"3074274     "</f>
        <v xml:space="preserve">3074274     </v>
      </c>
      <c r="O3598">
        <v>230406</v>
      </c>
    </row>
    <row r="3599" spans="1:15" x14ac:dyDescent="0.25">
      <c r="A3599" t="s">
        <v>16</v>
      </c>
      <c r="B3599" t="s">
        <v>3221</v>
      </c>
      <c r="C3599">
        <v>6082</v>
      </c>
      <c r="D3599" t="s">
        <v>595</v>
      </c>
      <c r="E3599" t="s">
        <v>596</v>
      </c>
      <c r="F3599">
        <v>32.31</v>
      </c>
      <c r="G3599">
        <v>230427</v>
      </c>
      <c r="H3599">
        <v>4600</v>
      </c>
      <c r="I3599" t="s">
        <v>105</v>
      </c>
      <c r="J3599">
        <v>40.06</v>
      </c>
      <c r="K3599">
        <v>7.75</v>
      </c>
      <c r="L3599">
        <v>56560</v>
      </c>
      <c r="M3599" t="s">
        <v>654</v>
      </c>
      <c r="N3599" t="str">
        <f>"3074719     "</f>
        <v xml:space="preserve">3074719     </v>
      </c>
      <c r="O3599">
        <v>230508</v>
      </c>
    </row>
    <row r="3600" spans="1:15" x14ac:dyDescent="0.25">
      <c r="A3600" t="s">
        <v>16</v>
      </c>
      <c r="B3600" t="s">
        <v>3221</v>
      </c>
      <c r="C3600">
        <v>10569</v>
      </c>
      <c r="D3600" t="s">
        <v>595</v>
      </c>
      <c r="E3600" t="s">
        <v>596</v>
      </c>
      <c r="F3600">
        <v>1059.3499999999999</v>
      </c>
      <c r="G3600">
        <v>230815</v>
      </c>
      <c r="H3600">
        <v>4600</v>
      </c>
      <c r="I3600" t="s">
        <v>105</v>
      </c>
      <c r="J3600">
        <v>1313.59</v>
      </c>
      <c r="K3600">
        <v>254.24</v>
      </c>
      <c r="L3600">
        <v>46555</v>
      </c>
      <c r="M3600" t="s">
        <v>597</v>
      </c>
      <c r="N3600" t="str">
        <f>"3077324     "</f>
        <v xml:space="preserve">3077324     </v>
      </c>
      <c r="O3600">
        <v>230818</v>
      </c>
    </row>
    <row r="3601" spans="1:15" x14ac:dyDescent="0.25">
      <c r="A3601" t="s">
        <v>16</v>
      </c>
      <c r="B3601" t="s">
        <v>3221</v>
      </c>
      <c r="C3601">
        <v>11053</v>
      </c>
      <c r="D3601" t="s">
        <v>595</v>
      </c>
      <c r="E3601" t="s">
        <v>596</v>
      </c>
      <c r="F3601">
        <v>85.5</v>
      </c>
      <c r="G3601">
        <v>230824</v>
      </c>
      <c r="H3601">
        <v>4600</v>
      </c>
      <c r="I3601" t="s">
        <v>105</v>
      </c>
      <c r="J3601">
        <v>106.02</v>
      </c>
      <c r="K3601">
        <v>20.52</v>
      </c>
      <c r="L3601">
        <v>46555</v>
      </c>
      <c r="M3601" t="s">
        <v>597</v>
      </c>
      <c r="N3601" t="str">
        <f>"3077608     "</f>
        <v xml:space="preserve">3077608     </v>
      </c>
      <c r="O3601">
        <v>230829</v>
      </c>
    </row>
    <row r="3602" spans="1:15" x14ac:dyDescent="0.25">
      <c r="A3602" t="s">
        <v>16</v>
      </c>
      <c r="B3602" t="s">
        <v>3221</v>
      </c>
      <c r="C3602">
        <v>12230</v>
      </c>
      <c r="D3602" t="s">
        <v>595</v>
      </c>
      <c r="E3602" t="s">
        <v>596</v>
      </c>
      <c r="F3602">
        <v>193.4</v>
      </c>
      <c r="G3602">
        <v>230914</v>
      </c>
      <c r="H3602">
        <v>4600</v>
      </c>
      <c r="I3602" t="s">
        <v>105</v>
      </c>
      <c r="J3602">
        <v>239.82</v>
      </c>
      <c r="K3602">
        <v>46.42</v>
      </c>
      <c r="L3602">
        <v>56560</v>
      </c>
      <c r="M3602" t="s">
        <v>654</v>
      </c>
      <c r="N3602" t="str">
        <f>"3078236     "</f>
        <v xml:space="preserve">3078236     </v>
      </c>
      <c r="O3602">
        <v>230915</v>
      </c>
    </row>
    <row r="3603" spans="1:15" x14ac:dyDescent="0.25">
      <c r="A3603" t="s">
        <v>16</v>
      </c>
      <c r="B3603" t="s">
        <v>3221</v>
      </c>
      <c r="C3603">
        <v>13183</v>
      </c>
      <c r="D3603" t="s">
        <v>595</v>
      </c>
      <c r="E3603" t="s">
        <v>596</v>
      </c>
      <c r="F3603">
        <v>574.70000000000005</v>
      </c>
      <c r="G3603">
        <v>230926</v>
      </c>
      <c r="H3603">
        <v>4600</v>
      </c>
      <c r="I3603" t="s">
        <v>105</v>
      </c>
      <c r="J3603">
        <v>712.63</v>
      </c>
      <c r="K3603">
        <v>137.93</v>
      </c>
      <c r="L3603">
        <v>46555</v>
      </c>
      <c r="M3603" t="s">
        <v>597</v>
      </c>
      <c r="N3603" t="str">
        <f>"3078570     "</f>
        <v xml:space="preserve">3078570     </v>
      </c>
      <c r="O3603">
        <v>231005</v>
      </c>
    </row>
    <row r="3604" spans="1:15" x14ac:dyDescent="0.25">
      <c r="A3604" t="s">
        <v>16</v>
      </c>
      <c r="B3604" t="s">
        <v>3221</v>
      </c>
      <c r="C3604">
        <v>14212</v>
      </c>
      <c r="D3604" t="s">
        <v>595</v>
      </c>
      <c r="E3604" t="s">
        <v>596</v>
      </c>
      <c r="F3604">
        <v>361.7</v>
      </c>
      <c r="G3604">
        <v>231011</v>
      </c>
      <c r="H3604">
        <v>4600</v>
      </c>
      <c r="I3604" t="s">
        <v>105</v>
      </c>
      <c r="J3604">
        <v>448.51</v>
      </c>
      <c r="K3604">
        <v>86.81</v>
      </c>
      <c r="L3604">
        <v>46222</v>
      </c>
      <c r="M3604" t="s">
        <v>293</v>
      </c>
      <c r="N3604" t="str">
        <f>"3079064     "</f>
        <v xml:space="preserve">3079064     </v>
      </c>
      <c r="O3604">
        <v>231024</v>
      </c>
    </row>
    <row r="3605" spans="1:15" x14ac:dyDescent="0.25">
      <c r="A3605" t="s">
        <v>16</v>
      </c>
      <c r="B3605" t="s">
        <v>3221</v>
      </c>
      <c r="C3605">
        <v>14500</v>
      </c>
      <c r="D3605" t="s">
        <v>595</v>
      </c>
      <c r="E3605" t="s">
        <v>596</v>
      </c>
      <c r="F3605">
        <v>156.33000000000001</v>
      </c>
      <c r="G3605">
        <v>231025</v>
      </c>
      <c r="H3605">
        <v>4600</v>
      </c>
      <c r="I3605" t="s">
        <v>105</v>
      </c>
      <c r="J3605">
        <v>193.85</v>
      </c>
      <c r="K3605">
        <v>37.520000000000003</v>
      </c>
      <c r="L3605">
        <v>46555</v>
      </c>
      <c r="M3605" t="s">
        <v>597</v>
      </c>
      <c r="N3605" t="str">
        <f>"3079495     "</f>
        <v xml:space="preserve">3079495     </v>
      </c>
      <c r="O3605">
        <v>231030</v>
      </c>
    </row>
    <row r="3606" spans="1:15" x14ac:dyDescent="0.25">
      <c r="A3606" t="s">
        <v>16</v>
      </c>
      <c r="B3606" t="s">
        <v>3221</v>
      </c>
      <c r="C3606">
        <v>15074</v>
      </c>
      <c r="D3606" t="s">
        <v>595</v>
      </c>
      <c r="E3606" t="s">
        <v>596</v>
      </c>
      <c r="F3606">
        <v>278</v>
      </c>
      <c r="G3606">
        <v>231103</v>
      </c>
      <c r="H3606">
        <v>4600</v>
      </c>
      <c r="I3606" t="s">
        <v>105</v>
      </c>
      <c r="J3606">
        <v>344.72</v>
      </c>
      <c r="K3606">
        <v>66.72</v>
      </c>
      <c r="L3606">
        <v>46555</v>
      </c>
      <c r="M3606" t="s">
        <v>597</v>
      </c>
      <c r="N3606" t="str">
        <f>"3079777     "</f>
        <v xml:space="preserve">3079777     </v>
      </c>
      <c r="O3606">
        <v>231108</v>
      </c>
    </row>
    <row r="3607" spans="1:15" x14ac:dyDescent="0.25">
      <c r="A3607" t="s">
        <v>16</v>
      </c>
      <c r="B3607" t="s">
        <v>3221</v>
      </c>
      <c r="C3607">
        <v>17797</v>
      </c>
      <c r="D3607" t="s">
        <v>595</v>
      </c>
      <c r="E3607" t="s">
        <v>596</v>
      </c>
      <c r="F3607">
        <v>59.4</v>
      </c>
      <c r="G3607">
        <v>231213</v>
      </c>
      <c r="H3607">
        <v>4600</v>
      </c>
      <c r="I3607" t="s">
        <v>105</v>
      </c>
      <c r="J3607">
        <v>73.66</v>
      </c>
      <c r="K3607">
        <v>14.26</v>
      </c>
      <c r="L3607">
        <v>56522</v>
      </c>
      <c r="M3607" t="s">
        <v>43</v>
      </c>
      <c r="N3607" t="str">
        <f>"3080844     "</f>
        <v xml:space="preserve">3080844     </v>
      </c>
      <c r="O3607">
        <v>231227</v>
      </c>
    </row>
    <row r="3608" spans="1:15" x14ac:dyDescent="0.25">
      <c r="A3608" t="s">
        <v>16</v>
      </c>
      <c r="B3608" t="s">
        <v>3221</v>
      </c>
      <c r="C3608">
        <v>1862</v>
      </c>
      <c r="D3608" t="s">
        <v>595</v>
      </c>
      <c r="E3608" t="s">
        <v>596</v>
      </c>
      <c r="F3608">
        <v>1310.81</v>
      </c>
      <c r="G3608">
        <v>230213</v>
      </c>
      <c r="H3608">
        <v>4590</v>
      </c>
      <c r="I3608" t="s">
        <v>203</v>
      </c>
      <c r="J3608">
        <v>1625.4</v>
      </c>
      <c r="K3608">
        <v>314.58999999999997</v>
      </c>
      <c r="L3608">
        <v>13401</v>
      </c>
      <c r="M3608" t="s">
        <v>80</v>
      </c>
      <c r="N3608" t="str">
        <f>"3072951     "</f>
        <v xml:space="preserve">3072951     </v>
      </c>
      <c r="O3608">
        <v>230215</v>
      </c>
    </row>
    <row r="3609" spans="1:15" x14ac:dyDescent="0.25">
      <c r="A3609" t="s">
        <v>16</v>
      </c>
      <c r="B3609" t="s">
        <v>3221</v>
      </c>
      <c r="C3609">
        <v>2331</v>
      </c>
      <c r="D3609" t="s">
        <v>595</v>
      </c>
      <c r="E3609" t="s">
        <v>596</v>
      </c>
      <c r="F3609">
        <v>289.29000000000002</v>
      </c>
      <c r="G3609">
        <v>230217</v>
      </c>
      <c r="H3609">
        <v>4590</v>
      </c>
      <c r="I3609" t="s">
        <v>203</v>
      </c>
      <c r="J3609">
        <v>358.72</v>
      </c>
      <c r="K3609">
        <v>69.430000000000007</v>
      </c>
      <c r="L3609">
        <v>49501</v>
      </c>
      <c r="M3609" t="s">
        <v>177</v>
      </c>
      <c r="N3609" t="str">
        <f>"3073095     "</f>
        <v xml:space="preserve">3073095     </v>
      </c>
      <c r="O3609">
        <v>230224</v>
      </c>
    </row>
    <row r="3610" spans="1:15" x14ac:dyDescent="0.25">
      <c r="A3610" t="s">
        <v>16</v>
      </c>
      <c r="B3610" t="s">
        <v>3221</v>
      </c>
      <c r="C3610">
        <v>4360</v>
      </c>
      <c r="D3610" t="s">
        <v>595</v>
      </c>
      <c r="E3610" t="s">
        <v>596</v>
      </c>
      <c r="F3610">
        <v>918.75</v>
      </c>
      <c r="G3610">
        <v>230322</v>
      </c>
      <c r="H3610">
        <v>4590</v>
      </c>
      <c r="I3610" t="s">
        <v>203</v>
      </c>
      <c r="J3610">
        <v>1139.25</v>
      </c>
      <c r="K3610">
        <v>220.5</v>
      </c>
      <c r="L3610">
        <v>49501</v>
      </c>
      <c r="M3610" t="s">
        <v>177</v>
      </c>
      <c r="N3610" t="str">
        <f>"3073928     "</f>
        <v xml:space="preserve">3073928     </v>
      </c>
      <c r="O3610">
        <v>230405</v>
      </c>
    </row>
    <row r="3611" spans="1:15" x14ac:dyDescent="0.25">
      <c r="A3611" t="s">
        <v>16</v>
      </c>
      <c r="B3611" t="s">
        <v>3221</v>
      </c>
      <c r="C3611">
        <v>4364</v>
      </c>
      <c r="D3611" t="s">
        <v>595</v>
      </c>
      <c r="E3611" t="s">
        <v>596</v>
      </c>
      <c r="F3611">
        <v>755.7</v>
      </c>
      <c r="G3611">
        <v>230323</v>
      </c>
      <c r="H3611">
        <v>4590</v>
      </c>
      <c r="I3611" t="s">
        <v>203</v>
      </c>
      <c r="J3611">
        <v>937.07</v>
      </c>
      <c r="K3611">
        <v>181.37</v>
      </c>
      <c r="L3611">
        <v>49501</v>
      </c>
      <c r="M3611" t="s">
        <v>177</v>
      </c>
      <c r="N3611" t="str">
        <f>"3073965     "</f>
        <v xml:space="preserve">3073965     </v>
      </c>
      <c r="O3611">
        <v>230405</v>
      </c>
    </row>
    <row r="3612" spans="1:15" x14ac:dyDescent="0.25">
      <c r="A3612" t="s">
        <v>16</v>
      </c>
      <c r="B3612" t="s">
        <v>3221</v>
      </c>
      <c r="C3612">
        <v>14426</v>
      </c>
      <c r="D3612" t="s">
        <v>751</v>
      </c>
      <c r="E3612" t="s">
        <v>752</v>
      </c>
      <c r="F3612">
        <v>180</v>
      </c>
      <c r="G3612">
        <v>231023</v>
      </c>
      <c r="H3612">
        <v>4400</v>
      </c>
      <c r="I3612" t="s">
        <v>348</v>
      </c>
      <c r="J3612">
        <v>223.2</v>
      </c>
      <c r="K3612">
        <v>43.2</v>
      </c>
      <c r="L3612">
        <v>56564</v>
      </c>
      <c r="M3612" t="s">
        <v>327</v>
      </c>
      <c r="N3612" t="str">
        <f>"48802       "</f>
        <v xml:space="preserve">48802       </v>
      </c>
      <c r="O3612">
        <v>231030</v>
      </c>
    </row>
    <row r="3613" spans="1:15" x14ac:dyDescent="0.25">
      <c r="A3613" t="s">
        <v>16</v>
      </c>
      <c r="B3613" t="s">
        <v>3221</v>
      </c>
      <c r="C3613">
        <v>799</v>
      </c>
      <c r="D3613" t="s">
        <v>751</v>
      </c>
      <c r="E3613" t="s">
        <v>752</v>
      </c>
      <c r="F3613">
        <v>645.02</v>
      </c>
      <c r="G3613">
        <v>230127</v>
      </c>
      <c r="H3613">
        <v>4590</v>
      </c>
      <c r="I3613" t="s">
        <v>203</v>
      </c>
      <c r="J3613">
        <v>799.82</v>
      </c>
      <c r="K3613">
        <v>154.80000000000001</v>
      </c>
      <c r="L3613">
        <v>59504</v>
      </c>
      <c r="M3613" t="s">
        <v>71</v>
      </c>
      <c r="N3613" t="str">
        <f>"19108       "</f>
        <v xml:space="preserve">19108       </v>
      </c>
      <c r="O3613">
        <v>230130</v>
      </c>
    </row>
    <row r="3614" spans="1:15" x14ac:dyDescent="0.25">
      <c r="A3614" t="s">
        <v>16</v>
      </c>
      <c r="B3614" t="s">
        <v>3221</v>
      </c>
      <c r="C3614">
        <v>1259</v>
      </c>
      <c r="D3614" t="s">
        <v>751</v>
      </c>
      <c r="E3614" t="s">
        <v>752</v>
      </c>
      <c r="F3614">
        <v>57.02</v>
      </c>
      <c r="G3614">
        <v>230201</v>
      </c>
      <c r="H3614">
        <v>4590</v>
      </c>
      <c r="I3614" t="s">
        <v>203</v>
      </c>
      <c r="J3614">
        <v>70.7</v>
      </c>
      <c r="K3614">
        <v>13.68</v>
      </c>
      <c r="L3614">
        <v>59504</v>
      </c>
      <c r="M3614" t="s">
        <v>71</v>
      </c>
      <c r="N3614" t="str">
        <f>"19137       "</f>
        <v xml:space="preserve">19137       </v>
      </c>
      <c r="O3614">
        <v>230207</v>
      </c>
    </row>
    <row r="3615" spans="1:15" x14ac:dyDescent="0.25">
      <c r="A3615" t="s">
        <v>16</v>
      </c>
      <c r="B3615" t="s">
        <v>3221</v>
      </c>
      <c r="C3615">
        <v>2146</v>
      </c>
      <c r="D3615" t="s">
        <v>751</v>
      </c>
      <c r="E3615" t="s">
        <v>752</v>
      </c>
      <c r="F3615">
        <v>1032.77</v>
      </c>
      <c r="G3615">
        <v>230217</v>
      </c>
      <c r="H3615">
        <v>4590</v>
      </c>
      <c r="I3615" t="s">
        <v>203</v>
      </c>
      <c r="J3615">
        <v>1280.6300000000001</v>
      </c>
      <c r="K3615">
        <v>247.86</v>
      </c>
      <c r="L3615">
        <v>56562</v>
      </c>
      <c r="M3615" t="s">
        <v>126</v>
      </c>
      <c r="N3615" t="str">
        <f>"46320       "</f>
        <v xml:space="preserve">46320       </v>
      </c>
      <c r="O3615">
        <v>230221</v>
      </c>
    </row>
    <row r="3616" spans="1:15" x14ac:dyDescent="0.25">
      <c r="A3616" t="s">
        <v>16</v>
      </c>
      <c r="B3616" t="s">
        <v>3221</v>
      </c>
      <c r="C3616">
        <v>3419</v>
      </c>
      <c r="D3616" t="s">
        <v>751</v>
      </c>
      <c r="E3616" t="s">
        <v>752</v>
      </c>
      <c r="F3616">
        <v>54.44</v>
      </c>
      <c r="G3616">
        <v>230314</v>
      </c>
      <c r="H3616">
        <v>4590</v>
      </c>
      <c r="I3616" t="s">
        <v>203</v>
      </c>
      <c r="J3616">
        <v>67.5</v>
      </c>
      <c r="K3616">
        <v>13.06</v>
      </c>
      <c r="L3616">
        <v>59504</v>
      </c>
      <c r="M3616" t="s">
        <v>71</v>
      </c>
      <c r="N3616" t="str">
        <f>"19269       "</f>
        <v xml:space="preserve">19269       </v>
      </c>
      <c r="O3616">
        <v>230315</v>
      </c>
    </row>
    <row r="3617" spans="1:15" x14ac:dyDescent="0.25">
      <c r="A3617" t="s">
        <v>16</v>
      </c>
      <c r="B3617" t="s">
        <v>3221</v>
      </c>
      <c r="C3617">
        <v>14849</v>
      </c>
      <c r="D3617" t="s">
        <v>751</v>
      </c>
      <c r="E3617" t="s">
        <v>752</v>
      </c>
      <c r="F3617">
        <v>265.18</v>
      </c>
      <c r="G3617">
        <v>231031</v>
      </c>
      <c r="H3617">
        <v>4590</v>
      </c>
      <c r="I3617" t="s">
        <v>203</v>
      </c>
      <c r="J3617">
        <v>328.82</v>
      </c>
      <c r="K3617">
        <v>63.64</v>
      </c>
      <c r="L3617">
        <v>56562</v>
      </c>
      <c r="M3617" t="s">
        <v>126</v>
      </c>
      <c r="N3617" t="str">
        <f>"48863       "</f>
        <v xml:space="preserve">48863       </v>
      </c>
      <c r="O3617">
        <v>231107</v>
      </c>
    </row>
    <row r="3618" spans="1:15" x14ac:dyDescent="0.25">
      <c r="A3618" t="s">
        <v>16</v>
      </c>
      <c r="B3618" t="s">
        <v>3221</v>
      </c>
      <c r="C3618">
        <v>12314</v>
      </c>
      <c r="D3618" t="s">
        <v>2555</v>
      </c>
      <c r="E3618" t="s">
        <v>2556</v>
      </c>
      <c r="F3618">
        <v>369.2</v>
      </c>
      <c r="G3618">
        <v>230912</v>
      </c>
      <c r="H3618">
        <v>4400</v>
      </c>
      <c r="I3618" t="s">
        <v>348</v>
      </c>
      <c r="J3618">
        <v>457.81</v>
      </c>
      <c r="K3618">
        <v>88.61</v>
      </c>
      <c r="L3618">
        <v>46554</v>
      </c>
      <c r="M3618" t="s">
        <v>117</v>
      </c>
      <c r="N3618" t="str">
        <f>"320968      "</f>
        <v xml:space="preserve">320968      </v>
      </c>
      <c r="O3618">
        <v>230918</v>
      </c>
    </row>
    <row r="3619" spans="1:15" x14ac:dyDescent="0.25">
      <c r="A3619" t="s">
        <v>16</v>
      </c>
      <c r="B3619" t="s">
        <v>3221</v>
      </c>
      <c r="C3619">
        <v>18479</v>
      </c>
      <c r="D3619" t="s">
        <v>2555</v>
      </c>
      <c r="E3619" t="s">
        <v>2556</v>
      </c>
      <c r="F3619">
        <v>712</v>
      </c>
      <c r="G3619">
        <v>231222</v>
      </c>
      <c r="H3619">
        <v>4400</v>
      </c>
      <c r="I3619" t="s">
        <v>348</v>
      </c>
      <c r="J3619">
        <v>882.88</v>
      </c>
      <c r="K3619">
        <v>170.88</v>
      </c>
      <c r="L3619">
        <v>46554</v>
      </c>
      <c r="M3619" t="s">
        <v>117</v>
      </c>
      <c r="N3619" t="str">
        <f>"322148      "</f>
        <v xml:space="preserve">322148      </v>
      </c>
      <c r="O3619">
        <v>240103</v>
      </c>
    </row>
    <row r="3620" spans="1:15" x14ac:dyDescent="0.25">
      <c r="A3620" t="s">
        <v>16</v>
      </c>
      <c r="B3620" t="s">
        <v>3221</v>
      </c>
      <c r="C3620">
        <v>2017</v>
      </c>
      <c r="D3620" t="s">
        <v>1260</v>
      </c>
      <c r="E3620" t="s">
        <v>1261</v>
      </c>
      <c r="F3620">
        <v>173.99</v>
      </c>
      <c r="G3620">
        <v>230215</v>
      </c>
      <c r="H3620">
        <v>4600</v>
      </c>
      <c r="I3620" t="s">
        <v>105</v>
      </c>
      <c r="J3620">
        <v>215.75</v>
      </c>
      <c r="K3620">
        <v>41.76</v>
      </c>
      <c r="L3620">
        <v>17807</v>
      </c>
      <c r="M3620" t="s">
        <v>318</v>
      </c>
      <c r="N3620" t="str">
        <f>"84060       "</f>
        <v xml:space="preserve">84060       </v>
      </c>
      <c r="O3620">
        <v>230217</v>
      </c>
    </row>
    <row r="3621" spans="1:15" x14ac:dyDescent="0.25">
      <c r="A3621" t="s">
        <v>16</v>
      </c>
      <c r="B3621" t="s">
        <v>3221</v>
      </c>
      <c r="C3621">
        <v>11401</v>
      </c>
      <c r="D3621" t="s">
        <v>1260</v>
      </c>
      <c r="E3621" t="s">
        <v>1261</v>
      </c>
      <c r="F3621">
        <v>274.60000000000002</v>
      </c>
      <c r="G3621">
        <v>230901</v>
      </c>
      <c r="H3621">
        <v>4600</v>
      </c>
      <c r="I3621" t="s">
        <v>105</v>
      </c>
      <c r="J3621">
        <v>340.5</v>
      </c>
      <c r="K3621">
        <v>65.900000000000006</v>
      </c>
      <c r="L3621">
        <v>17807</v>
      </c>
      <c r="M3621" t="s">
        <v>318</v>
      </c>
      <c r="N3621" t="str">
        <f>"87263       "</f>
        <v xml:space="preserve">87263       </v>
      </c>
      <c r="O3621">
        <v>230905</v>
      </c>
    </row>
    <row r="3622" spans="1:15" x14ac:dyDescent="0.25">
      <c r="A3622" t="s">
        <v>16</v>
      </c>
      <c r="B3622" t="s">
        <v>3221</v>
      </c>
      <c r="C3622">
        <v>16307</v>
      </c>
      <c r="D3622" t="s">
        <v>1260</v>
      </c>
      <c r="E3622" t="s">
        <v>1261</v>
      </c>
      <c r="F3622">
        <v>467.52</v>
      </c>
      <c r="G3622">
        <v>231124</v>
      </c>
      <c r="H3622">
        <v>4600</v>
      </c>
      <c r="I3622" t="s">
        <v>105</v>
      </c>
      <c r="J3622">
        <v>579.72</v>
      </c>
      <c r="K3622">
        <v>112.2</v>
      </c>
      <c r="L3622">
        <v>17807</v>
      </c>
      <c r="M3622" t="s">
        <v>318</v>
      </c>
      <c r="N3622" t="str">
        <f>"88908       "</f>
        <v xml:space="preserve">88908       </v>
      </c>
      <c r="O3622">
        <v>231127</v>
      </c>
    </row>
    <row r="3623" spans="1:15" x14ac:dyDescent="0.25">
      <c r="A3623" t="s">
        <v>16</v>
      </c>
      <c r="B3623" t="s">
        <v>3221</v>
      </c>
      <c r="C3623">
        <v>3874</v>
      </c>
      <c r="D3623" t="s">
        <v>1630</v>
      </c>
      <c r="E3623" t="s">
        <v>1631</v>
      </c>
      <c r="F3623">
        <v>37.51</v>
      </c>
      <c r="G3623">
        <v>230314</v>
      </c>
      <c r="H3623">
        <v>4580</v>
      </c>
      <c r="I3623" t="s">
        <v>35</v>
      </c>
      <c r="J3623">
        <v>46.51</v>
      </c>
      <c r="K3623">
        <v>9</v>
      </c>
      <c r="L3623">
        <v>13540</v>
      </c>
      <c r="M3623" t="s">
        <v>85</v>
      </c>
      <c r="N3623" t="str">
        <f>"276507      "</f>
        <v xml:space="preserve">276507      </v>
      </c>
      <c r="O3623">
        <v>230324</v>
      </c>
    </row>
    <row r="3624" spans="1:15" x14ac:dyDescent="0.25">
      <c r="A3624" t="s">
        <v>16</v>
      </c>
      <c r="B3624" t="s">
        <v>3221</v>
      </c>
      <c r="C3624">
        <v>3874</v>
      </c>
      <c r="D3624" t="s">
        <v>1630</v>
      </c>
      <c r="E3624" t="s">
        <v>1631</v>
      </c>
      <c r="F3624">
        <v>65</v>
      </c>
      <c r="G3624">
        <v>230314</v>
      </c>
      <c r="H3624">
        <v>4580</v>
      </c>
      <c r="I3624" t="s">
        <v>35</v>
      </c>
      <c r="J3624">
        <v>80.599999999999994</v>
      </c>
      <c r="K3624">
        <v>15.6</v>
      </c>
      <c r="L3624">
        <v>17529</v>
      </c>
      <c r="M3624" t="s">
        <v>453</v>
      </c>
      <c r="N3624" t="str">
        <f>"276507      "</f>
        <v xml:space="preserve">276507      </v>
      </c>
      <c r="O3624">
        <v>230324</v>
      </c>
    </row>
    <row r="3625" spans="1:15" x14ac:dyDescent="0.25">
      <c r="A3625" t="s">
        <v>16</v>
      </c>
      <c r="B3625" t="s">
        <v>3221</v>
      </c>
      <c r="C3625">
        <v>3874</v>
      </c>
      <c r="D3625" t="s">
        <v>1630</v>
      </c>
      <c r="E3625" t="s">
        <v>1631</v>
      </c>
      <c r="F3625">
        <v>255.75</v>
      </c>
      <c r="G3625">
        <v>230314</v>
      </c>
      <c r="H3625">
        <v>4580</v>
      </c>
      <c r="I3625" t="s">
        <v>35</v>
      </c>
      <c r="J3625">
        <v>317.13</v>
      </c>
      <c r="K3625">
        <v>61.38</v>
      </c>
      <c r="L3625">
        <v>17950</v>
      </c>
      <c r="M3625" t="s">
        <v>86</v>
      </c>
      <c r="N3625" t="str">
        <f>"276507      "</f>
        <v xml:space="preserve">276507      </v>
      </c>
      <c r="O3625">
        <v>230324</v>
      </c>
    </row>
    <row r="3626" spans="1:15" x14ac:dyDescent="0.25">
      <c r="A3626" t="s">
        <v>16</v>
      </c>
      <c r="B3626" t="s">
        <v>3221</v>
      </c>
      <c r="C3626">
        <v>3874</v>
      </c>
      <c r="D3626" t="s">
        <v>1630</v>
      </c>
      <c r="E3626" t="s">
        <v>1631</v>
      </c>
      <c r="F3626">
        <v>47.74</v>
      </c>
      <c r="G3626">
        <v>230314</v>
      </c>
      <c r="H3626">
        <v>4580</v>
      </c>
      <c r="I3626" t="s">
        <v>35</v>
      </c>
      <c r="J3626">
        <v>59.2</v>
      </c>
      <c r="K3626">
        <v>11.46</v>
      </c>
      <c r="L3626">
        <v>17956</v>
      </c>
      <c r="M3626" t="s">
        <v>53</v>
      </c>
      <c r="N3626" t="str">
        <f>"276507      "</f>
        <v xml:space="preserve">276507      </v>
      </c>
      <c r="O3626">
        <v>230324</v>
      </c>
    </row>
    <row r="3627" spans="1:15" x14ac:dyDescent="0.25">
      <c r="A3627" t="s">
        <v>16</v>
      </c>
      <c r="B3627" t="s">
        <v>3221</v>
      </c>
      <c r="C3627">
        <v>14515</v>
      </c>
      <c r="D3627" t="s">
        <v>1630</v>
      </c>
      <c r="E3627" t="s">
        <v>1631</v>
      </c>
      <c r="F3627">
        <v>4210</v>
      </c>
      <c r="G3627">
        <v>231026</v>
      </c>
      <c r="H3627">
        <v>4580</v>
      </c>
      <c r="I3627" t="s">
        <v>35</v>
      </c>
      <c r="J3627">
        <v>5220.3999999999996</v>
      </c>
      <c r="K3627">
        <v>1010.4</v>
      </c>
      <c r="L3627">
        <v>17913</v>
      </c>
      <c r="M3627" t="s">
        <v>431</v>
      </c>
      <c r="N3627" t="str">
        <f>"287817      "</f>
        <v xml:space="preserve">287817      </v>
      </c>
      <c r="O3627">
        <v>231030</v>
      </c>
    </row>
    <row r="3628" spans="1:15" x14ac:dyDescent="0.25">
      <c r="A3628" t="s">
        <v>16</v>
      </c>
      <c r="B3628" t="s">
        <v>3221</v>
      </c>
      <c r="C3628">
        <v>2507</v>
      </c>
      <c r="D3628" t="s">
        <v>1416</v>
      </c>
      <c r="E3628" t="s">
        <v>1417</v>
      </c>
      <c r="F3628">
        <v>441.4</v>
      </c>
      <c r="G3628">
        <v>230223</v>
      </c>
      <c r="H3628">
        <v>4600</v>
      </c>
      <c r="I3628" t="s">
        <v>105</v>
      </c>
      <c r="J3628">
        <v>547.34</v>
      </c>
      <c r="K3628">
        <v>105.94</v>
      </c>
      <c r="L3628">
        <v>17526</v>
      </c>
      <c r="M3628" t="s">
        <v>437</v>
      </c>
      <c r="N3628" t="str">
        <f>"2302000167  "</f>
        <v xml:space="preserve">2302000167  </v>
      </c>
      <c r="O3628">
        <v>230301</v>
      </c>
    </row>
    <row r="3629" spans="1:15" x14ac:dyDescent="0.25">
      <c r="A3629" t="s">
        <v>16</v>
      </c>
      <c r="B3629" t="s">
        <v>3221</v>
      </c>
      <c r="C3629">
        <v>5625</v>
      </c>
      <c r="D3629" t="s">
        <v>1416</v>
      </c>
      <c r="E3629" t="s">
        <v>1417</v>
      </c>
      <c r="F3629">
        <v>114.56</v>
      </c>
      <c r="G3629">
        <v>230426</v>
      </c>
      <c r="H3629">
        <v>4600</v>
      </c>
      <c r="I3629" t="s">
        <v>105</v>
      </c>
      <c r="J3629">
        <v>142.06</v>
      </c>
      <c r="K3629">
        <v>27.5</v>
      </c>
      <c r="L3629">
        <v>17526</v>
      </c>
      <c r="M3629" t="s">
        <v>437</v>
      </c>
      <c r="N3629" t="str">
        <f>"2302000240  "</f>
        <v xml:space="preserve">2302000240  </v>
      </c>
      <c r="O3629">
        <v>230428</v>
      </c>
    </row>
    <row r="3630" spans="1:15" x14ac:dyDescent="0.25">
      <c r="A3630" t="s">
        <v>16</v>
      </c>
      <c r="B3630" t="s">
        <v>3221</v>
      </c>
      <c r="C3630">
        <v>11663</v>
      </c>
      <c r="D3630" t="s">
        <v>1416</v>
      </c>
      <c r="E3630" t="s">
        <v>1417</v>
      </c>
      <c r="F3630">
        <v>61.98</v>
      </c>
      <c r="G3630">
        <v>230825</v>
      </c>
      <c r="H3630">
        <v>4600</v>
      </c>
      <c r="I3630" t="s">
        <v>105</v>
      </c>
      <c r="J3630">
        <v>76.849999999999994</v>
      </c>
      <c r="K3630">
        <v>14.87</v>
      </c>
      <c r="L3630">
        <v>17523</v>
      </c>
      <c r="M3630" t="s">
        <v>134</v>
      </c>
      <c r="N3630" t="str">
        <f>"2402000036  "</f>
        <v xml:space="preserve">2402000036  </v>
      </c>
      <c r="O3630">
        <v>230908</v>
      </c>
    </row>
    <row r="3631" spans="1:15" x14ac:dyDescent="0.25">
      <c r="A3631" t="s">
        <v>16</v>
      </c>
      <c r="B3631" t="s">
        <v>3221</v>
      </c>
      <c r="C3631">
        <v>11663</v>
      </c>
      <c r="D3631" t="s">
        <v>1416</v>
      </c>
      <c r="E3631" t="s">
        <v>1417</v>
      </c>
      <c r="F3631">
        <v>144.62</v>
      </c>
      <c r="G3631">
        <v>230825</v>
      </c>
      <c r="H3631">
        <v>4600</v>
      </c>
      <c r="I3631" t="s">
        <v>105</v>
      </c>
      <c r="J3631">
        <v>179.33</v>
      </c>
      <c r="K3631">
        <v>34.71</v>
      </c>
      <c r="L3631">
        <v>17523</v>
      </c>
      <c r="M3631" t="s">
        <v>134</v>
      </c>
      <c r="N3631" t="str">
        <f>"2402000036  "</f>
        <v xml:space="preserve">2402000036  </v>
      </c>
      <c r="O3631">
        <v>230908</v>
      </c>
    </row>
    <row r="3632" spans="1:15" x14ac:dyDescent="0.25">
      <c r="A3632" t="s">
        <v>16</v>
      </c>
      <c r="B3632" t="s">
        <v>3221</v>
      </c>
      <c r="C3632">
        <v>12559</v>
      </c>
      <c r="D3632" t="s">
        <v>2582</v>
      </c>
      <c r="E3632" t="s">
        <v>2583</v>
      </c>
      <c r="F3632">
        <v>33.729999999999997</v>
      </c>
      <c r="G3632">
        <v>230919</v>
      </c>
      <c r="H3632">
        <v>4500</v>
      </c>
      <c r="I3632" t="s">
        <v>212</v>
      </c>
      <c r="J3632">
        <v>41.83</v>
      </c>
      <c r="K3632">
        <v>8.1</v>
      </c>
      <c r="L3632">
        <v>59702</v>
      </c>
      <c r="M3632" t="s">
        <v>328</v>
      </c>
      <c r="N3632" t="str">
        <f>"603039      "</f>
        <v xml:space="preserve">603039      </v>
      </c>
      <c r="O3632">
        <v>230921</v>
      </c>
    </row>
    <row r="3633" spans="1:15" x14ac:dyDescent="0.25">
      <c r="A3633" t="s">
        <v>16</v>
      </c>
      <c r="B3633" t="s">
        <v>3221</v>
      </c>
      <c r="C3633">
        <v>2655</v>
      </c>
      <c r="D3633" t="s">
        <v>1441</v>
      </c>
      <c r="E3633" t="s">
        <v>1442</v>
      </c>
      <c r="F3633">
        <v>48.39</v>
      </c>
      <c r="G3633">
        <v>230222</v>
      </c>
      <c r="H3633">
        <v>4600</v>
      </c>
      <c r="I3633" t="s">
        <v>105</v>
      </c>
      <c r="J3633">
        <v>60</v>
      </c>
      <c r="K3633">
        <v>11.61</v>
      </c>
      <c r="L3633">
        <v>13601</v>
      </c>
      <c r="M3633" t="s">
        <v>147</v>
      </c>
      <c r="N3633" t="str">
        <f>"1932        "</f>
        <v xml:space="preserve">1932        </v>
      </c>
      <c r="O3633">
        <v>230306</v>
      </c>
    </row>
    <row r="3634" spans="1:15" x14ac:dyDescent="0.25">
      <c r="A3634" t="s">
        <v>16</v>
      </c>
      <c r="B3634" t="s">
        <v>3221</v>
      </c>
      <c r="C3634">
        <v>2655</v>
      </c>
      <c r="D3634" t="s">
        <v>1441</v>
      </c>
      <c r="E3634" t="s">
        <v>1442</v>
      </c>
      <c r="F3634">
        <v>36.29</v>
      </c>
      <c r="G3634">
        <v>230222</v>
      </c>
      <c r="H3634">
        <v>4600</v>
      </c>
      <c r="I3634" t="s">
        <v>105</v>
      </c>
      <c r="J3634">
        <v>45</v>
      </c>
      <c r="K3634">
        <v>8.7100000000000009</v>
      </c>
      <c r="L3634">
        <v>13861</v>
      </c>
      <c r="M3634" t="s">
        <v>1143</v>
      </c>
      <c r="N3634" t="str">
        <f>"1932        "</f>
        <v xml:space="preserve">1932        </v>
      </c>
      <c r="O3634">
        <v>230306</v>
      </c>
    </row>
    <row r="3635" spans="1:15" x14ac:dyDescent="0.25">
      <c r="A3635" t="s">
        <v>16</v>
      </c>
      <c r="B3635" t="s">
        <v>3221</v>
      </c>
      <c r="C3635">
        <v>2655</v>
      </c>
      <c r="D3635" t="s">
        <v>1441</v>
      </c>
      <c r="E3635" t="s">
        <v>1442</v>
      </c>
      <c r="F3635">
        <v>5.65</v>
      </c>
      <c r="G3635">
        <v>230222</v>
      </c>
      <c r="H3635">
        <v>4600</v>
      </c>
      <c r="I3635" t="s">
        <v>105</v>
      </c>
      <c r="J3635">
        <v>7</v>
      </c>
      <c r="K3635">
        <v>1.35</v>
      </c>
      <c r="L3635">
        <v>16321</v>
      </c>
      <c r="M3635" t="s">
        <v>423</v>
      </c>
      <c r="N3635" t="str">
        <f>"1932        "</f>
        <v xml:space="preserve">1932        </v>
      </c>
      <c r="O3635">
        <v>230306</v>
      </c>
    </row>
    <row r="3636" spans="1:15" x14ac:dyDescent="0.25">
      <c r="A3636" t="s">
        <v>16</v>
      </c>
      <c r="B3636" t="s">
        <v>3221</v>
      </c>
      <c r="C3636">
        <v>2655</v>
      </c>
      <c r="D3636" t="s">
        <v>1441</v>
      </c>
      <c r="E3636" t="s">
        <v>1442</v>
      </c>
      <c r="F3636">
        <v>8.8699999999999992</v>
      </c>
      <c r="G3636">
        <v>230222</v>
      </c>
      <c r="H3636">
        <v>4600</v>
      </c>
      <c r="I3636" t="s">
        <v>105</v>
      </c>
      <c r="J3636">
        <v>11</v>
      </c>
      <c r="K3636">
        <v>2.13</v>
      </c>
      <c r="L3636">
        <v>16321</v>
      </c>
      <c r="M3636" t="s">
        <v>423</v>
      </c>
      <c r="N3636" t="str">
        <f>"1932        "</f>
        <v xml:space="preserve">1932        </v>
      </c>
      <c r="O3636">
        <v>230306</v>
      </c>
    </row>
    <row r="3637" spans="1:15" x14ac:dyDescent="0.25">
      <c r="A3637" t="s">
        <v>16</v>
      </c>
      <c r="B3637" t="s">
        <v>3221</v>
      </c>
      <c r="C3637">
        <v>9119</v>
      </c>
      <c r="D3637" t="s">
        <v>1441</v>
      </c>
      <c r="E3637" t="s">
        <v>1442</v>
      </c>
      <c r="F3637">
        <v>21.77</v>
      </c>
      <c r="G3637">
        <v>230620</v>
      </c>
      <c r="H3637">
        <v>4600</v>
      </c>
      <c r="I3637" t="s">
        <v>105</v>
      </c>
      <c r="J3637">
        <v>27</v>
      </c>
      <c r="K3637">
        <v>5.23</v>
      </c>
      <c r="L3637">
        <v>13601</v>
      </c>
      <c r="M3637" t="s">
        <v>147</v>
      </c>
      <c r="N3637" t="str">
        <f>"2104        "</f>
        <v xml:space="preserve">2104        </v>
      </c>
      <c r="O3637">
        <v>230628</v>
      </c>
    </row>
    <row r="3638" spans="1:15" x14ac:dyDescent="0.25">
      <c r="A3638" t="s">
        <v>16</v>
      </c>
      <c r="B3638" t="s">
        <v>3221</v>
      </c>
      <c r="C3638">
        <v>9119</v>
      </c>
      <c r="D3638" t="s">
        <v>1441</v>
      </c>
      <c r="E3638" t="s">
        <v>1442</v>
      </c>
      <c r="F3638">
        <v>62</v>
      </c>
      <c r="G3638">
        <v>230620</v>
      </c>
      <c r="H3638">
        <v>4600</v>
      </c>
      <c r="I3638" t="s">
        <v>105</v>
      </c>
      <c r="J3638">
        <v>62</v>
      </c>
      <c r="K3638">
        <v>0</v>
      </c>
      <c r="L3638">
        <v>13601</v>
      </c>
      <c r="M3638" t="s">
        <v>147</v>
      </c>
      <c r="N3638" t="str">
        <f>"2104        "</f>
        <v xml:space="preserve">2104        </v>
      </c>
      <c r="O3638">
        <v>230628</v>
      </c>
    </row>
    <row r="3639" spans="1:15" x14ac:dyDescent="0.25">
      <c r="A3639" t="s">
        <v>16</v>
      </c>
      <c r="B3639" t="s">
        <v>3221</v>
      </c>
      <c r="C3639">
        <v>9119</v>
      </c>
      <c r="D3639" t="s">
        <v>1441</v>
      </c>
      <c r="E3639" t="s">
        <v>1442</v>
      </c>
      <c r="F3639">
        <v>20.16</v>
      </c>
      <c r="G3639">
        <v>230620</v>
      </c>
      <c r="H3639">
        <v>4600</v>
      </c>
      <c r="I3639" t="s">
        <v>105</v>
      </c>
      <c r="J3639">
        <v>25</v>
      </c>
      <c r="K3639">
        <v>4.84</v>
      </c>
      <c r="L3639">
        <v>13802</v>
      </c>
      <c r="M3639" t="s">
        <v>200</v>
      </c>
      <c r="N3639" t="str">
        <f>"2104        "</f>
        <v xml:space="preserve">2104        </v>
      </c>
      <c r="O3639">
        <v>230628</v>
      </c>
    </row>
    <row r="3640" spans="1:15" x14ac:dyDescent="0.25">
      <c r="A3640" t="s">
        <v>16</v>
      </c>
      <c r="B3640" t="s">
        <v>3221</v>
      </c>
      <c r="C3640">
        <v>9119</v>
      </c>
      <c r="D3640" t="s">
        <v>1441</v>
      </c>
      <c r="E3640" t="s">
        <v>1442</v>
      </c>
      <c r="F3640">
        <v>32.26</v>
      </c>
      <c r="G3640">
        <v>230620</v>
      </c>
      <c r="H3640">
        <v>4600</v>
      </c>
      <c r="I3640" t="s">
        <v>105</v>
      </c>
      <c r="J3640">
        <v>40</v>
      </c>
      <c r="K3640">
        <v>7.74</v>
      </c>
      <c r="L3640">
        <v>13861</v>
      </c>
      <c r="M3640" t="s">
        <v>1143</v>
      </c>
      <c r="N3640" t="str">
        <f>"2104        "</f>
        <v xml:space="preserve">2104        </v>
      </c>
      <c r="O3640">
        <v>230628</v>
      </c>
    </row>
    <row r="3641" spans="1:15" x14ac:dyDescent="0.25">
      <c r="A3641" t="s">
        <v>16</v>
      </c>
      <c r="B3641" t="s">
        <v>3221</v>
      </c>
      <c r="C3641">
        <v>9119</v>
      </c>
      <c r="D3641" t="s">
        <v>1441</v>
      </c>
      <c r="E3641" t="s">
        <v>1442</v>
      </c>
      <c r="F3641">
        <v>25.81</v>
      </c>
      <c r="G3641">
        <v>230620</v>
      </c>
      <c r="H3641">
        <v>4600</v>
      </c>
      <c r="I3641" t="s">
        <v>105</v>
      </c>
      <c r="J3641">
        <v>32</v>
      </c>
      <c r="K3641">
        <v>6.19</v>
      </c>
      <c r="L3641">
        <v>16321</v>
      </c>
      <c r="M3641" t="s">
        <v>423</v>
      </c>
      <c r="N3641" t="str">
        <f>"2104        "</f>
        <v xml:space="preserve">2104        </v>
      </c>
      <c r="O3641">
        <v>230628</v>
      </c>
    </row>
    <row r="3642" spans="1:15" x14ac:dyDescent="0.25">
      <c r="A3642" t="s">
        <v>16</v>
      </c>
      <c r="B3642" t="s">
        <v>3221</v>
      </c>
      <c r="C3642">
        <v>15290</v>
      </c>
      <c r="D3642" t="s">
        <v>1441</v>
      </c>
      <c r="E3642" t="s">
        <v>1442</v>
      </c>
      <c r="F3642">
        <v>71.77</v>
      </c>
      <c r="G3642">
        <v>231103</v>
      </c>
      <c r="H3642">
        <v>4600</v>
      </c>
      <c r="I3642" t="s">
        <v>105</v>
      </c>
      <c r="J3642">
        <v>89</v>
      </c>
      <c r="K3642">
        <v>17.23</v>
      </c>
      <c r="L3642">
        <v>13601</v>
      </c>
      <c r="M3642" t="s">
        <v>147</v>
      </c>
      <c r="N3642" t="str">
        <f>"2333        "</f>
        <v xml:space="preserve">2333        </v>
      </c>
      <c r="O3642">
        <v>231110</v>
      </c>
    </row>
    <row r="3643" spans="1:15" x14ac:dyDescent="0.25">
      <c r="A3643" t="s">
        <v>16</v>
      </c>
      <c r="B3643" t="s">
        <v>3221</v>
      </c>
      <c r="C3643">
        <v>15290</v>
      </c>
      <c r="D3643" t="s">
        <v>1441</v>
      </c>
      <c r="E3643" t="s">
        <v>1442</v>
      </c>
      <c r="F3643">
        <v>12.9</v>
      </c>
      <c r="G3643">
        <v>231103</v>
      </c>
      <c r="H3643">
        <v>4600</v>
      </c>
      <c r="I3643" t="s">
        <v>105</v>
      </c>
      <c r="J3643">
        <v>16</v>
      </c>
      <c r="K3643">
        <v>3.1</v>
      </c>
      <c r="L3643">
        <v>16321</v>
      </c>
      <c r="M3643" t="s">
        <v>423</v>
      </c>
      <c r="N3643" t="str">
        <f>"2333        "</f>
        <v xml:space="preserve">2333        </v>
      </c>
      <c r="O3643">
        <v>231110</v>
      </c>
    </row>
    <row r="3644" spans="1:15" x14ac:dyDescent="0.25">
      <c r="A3644" t="s">
        <v>16</v>
      </c>
      <c r="B3644" t="s">
        <v>3221</v>
      </c>
      <c r="C3644">
        <v>17425</v>
      </c>
      <c r="D3644" t="s">
        <v>1441</v>
      </c>
      <c r="E3644" t="s">
        <v>1442</v>
      </c>
      <c r="F3644">
        <v>15.32</v>
      </c>
      <c r="G3644">
        <v>231204</v>
      </c>
      <c r="H3644">
        <v>4600</v>
      </c>
      <c r="I3644" t="s">
        <v>105</v>
      </c>
      <c r="J3644">
        <v>19</v>
      </c>
      <c r="K3644">
        <v>3.68</v>
      </c>
      <c r="L3644">
        <v>16321</v>
      </c>
      <c r="M3644" t="s">
        <v>423</v>
      </c>
      <c r="N3644" t="str">
        <f>"2398        "</f>
        <v xml:space="preserve">2398        </v>
      </c>
      <c r="O3644">
        <v>231214</v>
      </c>
    </row>
    <row r="3645" spans="1:15" x14ac:dyDescent="0.25">
      <c r="A3645" t="s">
        <v>16</v>
      </c>
      <c r="B3645" t="s">
        <v>3221</v>
      </c>
      <c r="C3645">
        <v>19305</v>
      </c>
      <c r="D3645" t="s">
        <v>1441</v>
      </c>
      <c r="E3645" t="s">
        <v>1442</v>
      </c>
      <c r="F3645">
        <v>35.479999999999997</v>
      </c>
      <c r="G3645">
        <v>231227</v>
      </c>
      <c r="H3645">
        <v>4600</v>
      </c>
      <c r="I3645" t="s">
        <v>105</v>
      </c>
      <c r="J3645">
        <v>44</v>
      </c>
      <c r="K3645">
        <v>8.52</v>
      </c>
      <c r="L3645">
        <v>13601</v>
      </c>
      <c r="M3645" t="s">
        <v>147</v>
      </c>
      <c r="N3645" t="str">
        <f>"2419        "</f>
        <v xml:space="preserve">2419        </v>
      </c>
      <c r="O3645">
        <v>240117</v>
      </c>
    </row>
    <row r="3646" spans="1:15" x14ac:dyDescent="0.25">
      <c r="A3646" t="s">
        <v>16</v>
      </c>
      <c r="B3646" t="s">
        <v>3221</v>
      </c>
      <c r="C3646">
        <v>19305</v>
      </c>
      <c r="D3646" t="s">
        <v>1441</v>
      </c>
      <c r="E3646" t="s">
        <v>1442</v>
      </c>
      <c r="F3646">
        <v>20.16</v>
      </c>
      <c r="G3646">
        <v>231227</v>
      </c>
      <c r="H3646">
        <v>4600</v>
      </c>
      <c r="I3646" t="s">
        <v>105</v>
      </c>
      <c r="J3646">
        <v>25</v>
      </c>
      <c r="K3646">
        <v>4.84</v>
      </c>
      <c r="L3646">
        <v>13801</v>
      </c>
      <c r="M3646" t="s">
        <v>162</v>
      </c>
      <c r="N3646" t="str">
        <f>"2419        "</f>
        <v xml:space="preserve">2419        </v>
      </c>
      <c r="O3646">
        <v>240117</v>
      </c>
    </row>
    <row r="3647" spans="1:15" x14ac:dyDescent="0.25">
      <c r="A3647" t="s">
        <v>16</v>
      </c>
      <c r="B3647" t="s">
        <v>3221</v>
      </c>
      <c r="C3647">
        <v>19305</v>
      </c>
      <c r="D3647" t="s">
        <v>1441</v>
      </c>
      <c r="E3647" t="s">
        <v>1442</v>
      </c>
      <c r="F3647">
        <v>44</v>
      </c>
      <c r="G3647">
        <v>231227</v>
      </c>
      <c r="H3647">
        <v>4600</v>
      </c>
      <c r="I3647" t="s">
        <v>105</v>
      </c>
      <c r="J3647">
        <v>44</v>
      </c>
      <c r="K3647">
        <v>0</v>
      </c>
      <c r="L3647">
        <v>13801</v>
      </c>
      <c r="M3647" t="s">
        <v>162</v>
      </c>
      <c r="N3647" t="str">
        <f>"2419        "</f>
        <v xml:space="preserve">2419        </v>
      </c>
      <c r="O3647">
        <v>240117</v>
      </c>
    </row>
    <row r="3648" spans="1:15" x14ac:dyDescent="0.25">
      <c r="A3648" t="s">
        <v>16</v>
      </c>
      <c r="B3648" t="s">
        <v>3221</v>
      </c>
      <c r="C3648">
        <v>19305</v>
      </c>
      <c r="D3648" t="s">
        <v>1441</v>
      </c>
      <c r="E3648" t="s">
        <v>1442</v>
      </c>
      <c r="F3648">
        <v>6.45</v>
      </c>
      <c r="G3648">
        <v>231227</v>
      </c>
      <c r="H3648">
        <v>4600</v>
      </c>
      <c r="I3648" t="s">
        <v>105</v>
      </c>
      <c r="J3648">
        <v>8</v>
      </c>
      <c r="K3648">
        <v>1.55</v>
      </c>
      <c r="L3648">
        <v>16321</v>
      </c>
      <c r="M3648" t="s">
        <v>423</v>
      </c>
      <c r="N3648" t="str">
        <f>"2419        "</f>
        <v xml:space="preserve">2419        </v>
      </c>
      <c r="O3648">
        <v>240117</v>
      </c>
    </row>
    <row r="3649" spans="1:15" x14ac:dyDescent="0.25">
      <c r="A3649" t="s">
        <v>16</v>
      </c>
      <c r="B3649" t="s">
        <v>3221</v>
      </c>
      <c r="C3649">
        <v>18378</v>
      </c>
      <c r="D3649" t="s">
        <v>3139</v>
      </c>
      <c r="E3649" t="s">
        <v>3140</v>
      </c>
      <c r="F3649">
        <v>15000</v>
      </c>
      <c r="G3649">
        <v>231222</v>
      </c>
      <c r="H3649">
        <v>1198</v>
      </c>
      <c r="I3649" t="s">
        <v>1128</v>
      </c>
      <c r="J3649">
        <v>18600</v>
      </c>
      <c r="K3649">
        <v>3600</v>
      </c>
      <c r="L3649">
        <v>96511</v>
      </c>
      <c r="M3649" t="s">
        <v>2452</v>
      </c>
      <c r="N3649" t="str">
        <f>"10726       "</f>
        <v xml:space="preserve">10726       </v>
      </c>
      <c r="O3649">
        <v>240103</v>
      </c>
    </row>
    <row r="3650" spans="1:15" x14ac:dyDescent="0.25">
      <c r="A3650" t="s">
        <v>16</v>
      </c>
      <c r="B3650" t="s">
        <v>3221</v>
      </c>
      <c r="C3650">
        <v>2455</v>
      </c>
      <c r="D3650" t="s">
        <v>1400</v>
      </c>
      <c r="E3650" t="s">
        <v>1401</v>
      </c>
      <c r="F3650">
        <v>52.99</v>
      </c>
      <c r="G3650">
        <v>230214</v>
      </c>
      <c r="H3650">
        <v>4580</v>
      </c>
      <c r="I3650" t="s">
        <v>35</v>
      </c>
      <c r="J3650">
        <v>65.709999999999994</v>
      </c>
      <c r="K3650">
        <v>12.72</v>
      </c>
      <c r="L3650">
        <v>13601</v>
      </c>
      <c r="M3650" t="s">
        <v>147</v>
      </c>
      <c r="N3650" t="str">
        <f>"1652177     "</f>
        <v xml:space="preserve">1652177     </v>
      </c>
      <c r="O3650">
        <v>230228</v>
      </c>
    </row>
    <row r="3651" spans="1:15" x14ac:dyDescent="0.25">
      <c r="A3651" t="s">
        <v>16</v>
      </c>
      <c r="B3651" t="s">
        <v>3221</v>
      </c>
      <c r="C3651">
        <v>12685</v>
      </c>
      <c r="D3651" t="s">
        <v>1400</v>
      </c>
      <c r="E3651" t="s">
        <v>1401</v>
      </c>
      <c r="F3651">
        <v>5</v>
      </c>
      <c r="G3651">
        <v>230919</v>
      </c>
      <c r="H3651">
        <v>4510</v>
      </c>
      <c r="I3651" t="s">
        <v>42</v>
      </c>
      <c r="J3651">
        <v>6.2</v>
      </c>
      <c r="K3651">
        <v>1.2</v>
      </c>
      <c r="L3651">
        <v>13601</v>
      </c>
      <c r="M3651" t="s">
        <v>147</v>
      </c>
      <c r="N3651" t="str">
        <f>"1658018     "</f>
        <v xml:space="preserve">1658018     </v>
      </c>
      <c r="O3651">
        <v>230925</v>
      </c>
    </row>
    <row r="3652" spans="1:15" x14ac:dyDescent="0.25">
      <c r="A3652" t="s">
        <v>16</v>
      </c>
      <c r="B3652" t="s">
        <v>3221</v>
      </c>
      <c r="C3652">
        <v>12685</v>
      </c>
      <c r="D3652" t="s">
        <v>1400</v>
      </c>
      <c r="E3652" t="s">
        <v>1401</v>
      </c>
      <c r="F3652">
        <v>19.91</v>
      </c>
      <c r="G3652">
        <v>230919</v>
      </c>
      <c r="H3652">
        <v>4510</v>
      </c>
      <c r="I3652" t="s">
        <v>42</v>
      </c>
      <c r="J3652">
        <v>21.9</v>
      </c>
      <c r="K3652">
        <v>1.99</v>
      </c>
      <c r="L3652">
        <v>13601</v>
      </c>
      <c r="M3652" t="s">
        <v>147</v>
      </c>
      <c r="N3652" t="str">
        <f>"1658018     "</f>
        <v xml:space="preserve">1658018     </v>
      </c>
      <c r="O3652">
        <v>230925</v>
      </c>
    </row>
    <row r="3653" spans="1:15" x14ac:dyDescent="0.25">
      <c r="A3653" t="s">
        <v>16</v>
      </c>
      <c r="B3653" t="s">
        <v>3221</v>
      </c>
      <c r="C3653">
        <v>1991</v>
      </c>
      <c r="D3653" t="s">
        <v>1249</v>
      </c>
      <c r="E3653" t="s">
        <v>1250</v>
      </c>
      <c r="F3653">
        <v>1600</v>
      </c>
      <c r="G3653">
        <v>230215</v>
      </c>
      <c r="H3653">
        <v>4440</v>
      </c>
      <c r="I3653" t="s">
        <v>250</v>
      </c>
      <c r="J3653">
        <v>1984</v>
      </c>
      <c r="K3653">
        <v>384</v>
      </c>
      <c r="L3653">
        <v>18972</v>
      </c>
      <c r="M3653" t="s">
        <v>163</v>
      </c>
      <c r="N3653" t="str">
        <f>"1365        "</f>
        <v xml:space="preserve">1365        </v>
      </c>
      <c r="O3653">
        <v>230217</v>
      </c>
    </row>
    <row r="3654" spans="1:15" x14ac:dyDescent="0.25">
      <c r="A3654" t="s">
        <v>16</v>
      </c>
      <c r="B3654" t="s">
        <v>3221</v>
      </c>
      <c r="C3654">
        <v>15051</v>
      </c>
      <c r="D3654" t="s">
        <v>2844</v>
      </c>
      <c r="E3654" t="s">
        <v>2845</v>
      </c>
      <c r="F3654">
        <v>33.53</v>
      </c>
      <c r="G3654">
        <v>231030</v>
      </c>
      <c r="H3654">
        <v>4600</v>
      </c>
      <c r="I3654" t="s">
        <v>105</v>
      </c>
      <c r="J3654">
        <v>41.58</v>
      </c>
      <c r="K3654">
        <v>8.0500000000000007</v>
      </c>
      <c r="L3654">
        <v>17529</v>
      </c>
      <c r="M3654" t="s">
        <v>453</v>
      </c>
      <c r="N3654" t="str">
        <f>"23009806    "</f>
        <v xml:space="preserve">23009806    </v>
      </c>
      <c r="O3654">
        <v>231108</v>
      </c>
    </row>
    <row r="3655" spans="1:15" x14ac:dyDescent="0.25">
      <c r="A3655" t="s">
        <v>16</v>
      </c>
      <c r="B3655" t="s">
        <v>3221</v>
      </c>
      <c r="C3655">
        <v>15051</v>
      </c>
      <c r="D3655" t="s">
        <v>2844</v>
      </c>
      <c r="E3655" t="s">
        <v>2845</v>
      </c>
      <c r="F3655">
        <v>35</v>
      </c>
      <c r="G3655">
        <v>231030</v>
      </c>
      <c r="H3655">
        <v>4600</v>
      </c>
      <c r="I3655" t="s">
        <v>105</v>
      </c>
      <c r="J3655">
        <v>43.4</v>
      </c>
      <c r="K3655">
        <v>8.4</v>
      </c>
      <c r="L3655">
        <v>17636</v>
      </c>
      <c r="M3655" t="s">
        <v>352</v>
      </c>
      <c r="N3655" t="str">
        <f>"23009806    "</f>
        <v xml:space="preserve">23009806    </v>
      </c>
      <c r="O3655">
        <v>231108</v>
      </c>
    </row>
    <row r="3656" spans="1:15" x14ac:dyDescent="0.25">
      <c r="A3656" t="s">
        <v>16</v>
      </c>
      <c r="B3656" t="s">
        <v>3221</v>
      </c>
      <c r="C3656">
        <v>422</v>
      </c>
      <c r="D3656" t="s">
        <v>527</v>
      </c>
      <c r="E3656" t="s">
        <v>528</v>
      </c>
      <c r="F3656">
        <v>110.82</v>
      </c>
      <c r="G3656">
        <v>230112</v>
      </c>
      <c r="H3656">
        <v>4510</v>
      </c>
      <c r="I3656" t="s">
        <v>42</v>
      </c>
      <c r="J3656">
        <v>121.9</v>
      </c>
      <c r="K3656">
        <v>11.08</v>
      </c>
      <c r="L3656">
        <v>56524</v>
      </c>
      <c r="M3656" t="s">
        <v>150</v>
      </c>
      <c r="N3656" t="str">
        <f>"2080732     "</f>
        <v xml:space="preserve">2080732     </v>
      </c>
      <c r="O3656">
        <v>230123</v>
      </c>
    </row>
    <row r="3657" spans="1:15" x14ac:dyDescent="0.25">
      <c r="A3657" t="s">
        <v>16</v>
      </c>
      <c r="B3657" t="s">
        <v>3221</v>
      </c>
      <c r="C3657">
        <v>2636</v>
      </c>
      <c r="D3657" t="s">
        <v>527</v>
      </c>
      <c r="E3657" t="s">
        <v>528</v>
      </c>
      <c r="F3657">
        <v>81.73</v>
      </c>
      <c r="G3657">
        <v>230214</v>
      </c>
      <c r="H3657">
        <v>4510</v>
      </c>
      <c r="I3657" t="s">
        <v>42</v>
      </c>
      <c r="J3657">
        <v>89.9</v>
      </c>
      <c r="K3657">
        <v>8.17</v>
      </c>
      <c r="L3657">
        <v>56559</v>
      </c>
      <c r="M3657" t="s">
        <v>129</v>
      </c>
      <c r="N3657" t="str">
        <f>"2101703     "</f>
        <v xml:space="preserve">2101703     </v>
      </c>
      <c r="O3657">
        <v>230306</v>
      </c>
    </row>
    <row r="3658" spans="1:15" x14ac:dyDescent="0.25">
      <c r="A3658" t="s">
        <v>16</v>
      </c>
      <c r="B3658" t="s">
        <v>3221</v>
      </c>
      <c r="C3658">
        <v>115</v>
      </c>
      <c r="D3658" t="s">
        <v>159</v>
      </c>
      <c r="E3658" t="s">
        <v>160</v>
      </c>
      <c r="F3658">
        <v>2.4</v>
      </c>
      <c r="G3658">
        <v>230103</v>
      </c>
      <c r="H3658">
        <v>4362</v>
      </c>
      <c r="I3658" t="s">
        <v>79</v>
      </c>
      <c r="J3658">
        <v>2.98</v>
      </c>
      <c r="K3658">
        <v>0.57999999999999996</v>
      </c>
      <c r="L3658">
        <v>13201</v>
      </c>
      <c r="M3658" t="s">
        <v>161</v>
      </c>
      <c r="N3658" t="str">
        <f t="shared" ref="N3658:N3663" si="72">"913210429   "</f>
        <v xml:space="preserve">913210429   </v>
      </c>
      <c r="O3658">
        <v>230111</v>
      </c>
    </row>
    <row r="3659" spans="1:15" x14ac:dyDescent="0.25">
      <c r="A3659" t="s">
        <v>16</v>
      </c>
      <c r="B3659" t="s">
        <v>3221</v>
      </c>
      <c r="C3659">
        <v>115</v>
      </c>
      <c r="D3659" t="s">
        <v>159</v>
      </c>
      <c r="E3659" t="s">
        <v>160</v>
      </c>
      <c r="F3659">
        <v>20.8</v>
      </c>
      <c r="G3659">
        <v>230103</v>
      </c>
      <c r="H3659">
        <v>4362</v>
      </c>
      <c r="I3659" t="s">
        <v>79</v>
      </c>
      <c r="J3659">
        <v>25.79</v>
      </c>
      <c r="K3659">
        <v>4.99</v>
      </c>
      <c r="L3659">
        <v>13401</v>
      </c>
      <c r="M3659" t="s">
        <v>80</v>
      </c>
      <c r="N3659" t="str">
        <f t="shared" si="72"/>
        <v xml:space="preserve">913210429   </v>
      </c>
      <c r="O3659">
        <v>230111</v>
      </c>
    </row>
    <row r="3660" spans="1:15" x14ac:dyDescent="0.25">
      <c r="A3660" t="s">
        <v>16</v>
      </c>
      <c r="B3660" t="s">
        <v>3221</v>
      </c>
      <c r="C3660">
        <v>115</v>
      </c>
      <c r="D3660" t="s">
        <v>159</v>
      </c>
      <c r="E3660" t="s">
        <v>160</v>
      </c>
      <c r="F3660">
        <v>20.8</v>
      </c>
      <c r="G3660">
        <v>230103</v>
      </c>
      <c r="H3660">
        <v>4362</v>
      </c>
      <c r="I3660" t="s">
        <v>79</v>
      </c>
      <c r="J3660">
        <v>25.79</v>
      </c>
      <c r="K3660">
        <v>4.99</v>
      </c>
      <c r="L3660">
        <v>13501</v>
      </c>
      <c r="M3660" t="s">
        <v>20</v>
      </c>
      <c r="N3660" t="str">
        <f t="shared" si="72"/>
        <v xml:space="preserve">913210429   </v>
      </c>
      <c r="O3660">
        <v>230111</v>
      </c>
    </row>
    <row r="3661" spans="1:15" x14ac:dyDescent="0.25">
      <c r="A3661" t="s">
        <v>16</v>
      </c>
      <c r="B3661" t="s">
        <v>3221</v>
      </c>
      <c r="C3661">
        <v>115</v>
      </c>
      <c r="D3661" t="s">
        <v>159</v>
      </c>
      <c r="E3661" t="s">
        <v>160</v>
      </c>
      <c r="F3661">
        <v>18.399999999999999</v>
      </c>
      <c r="G3661">
        <v>230103</v>
      </c>
      <c r="H3661">
        <v>4362</v>
      </c>
      <c r="I3661" t="s">
        <v>79</v>
      </c>
      <c r="J3661">
        <v>22.82</v>
      </c>
      <c r="K3661">
        <v>4.42</v>
      </c>
      <c r="L3661">
        <v>13601</v>
      </c>
      <c r="M3661" t="s">
        <v>147</v>
      </c>
      <c r="N3661" t="str">
        <f t="shared" si="72"/>
        <v xml:space="preserve">913210429   </v>
      </c>
      <c r="O3661">
        <v>230111</v>
      </c>
    </row>
    <row r="3662" spans="1:15" x14ac:dyDescent="0.25">
      <c r="A3662" t="s">
        <v>16</v>
      </c>
      <c r="B3662" t="s">
        <v>3221</v>
      </c>
      <c r="C3662">
        <v>115</v>
      </c>
      <c r="D3662" t="s">
        <v>159</v>
      </c>
      <c r="E3662" t="s">
        <v>160</v>
      </c>
      <c r="F3662">
        <v>17.600000000000001</v>
      </c>
      <c r="G3662">
        <v>230103</v>
      </c>
      <c r="H3662">
        <v>4362</v>
      </c>
      <c r="I3662" t="s">
        <v>79</v>
      </c>
      <c r="J3662">
        <v>21.82</v>
      </c>
      <c r="K3662">
        <v>4.22</v>
      </c>
      <c r="L3662">
        <v>13801</v>
      </c>
      <c r="M3662" t="s">
        <v>162</v>
      </c>
      <c r="N3662" t="str">
        <f t="shared" si="72"/>
        <v xml:space="preserve">913210429   </v>
      </c>
      <c r="O3662">
        <v>230111</v>
      </c>
    </row>
    <row r="3663" spans="1:15" x14ac:dyDescent="0.25">
      <c r="A3663" t="s">
        <v>16</v>
      </c>
      <c r="B3663" t="s">
        <v>3221</v>
      </c>
      <c r="C3663">
        <v>115</v>
      </c>
      <c r="D3663" t="s">
        <v>159</v>
      </c>
      <c r="E3663" t="s">
        <v>160</v>
      </c>
      <c r="F3663">
        <v>80</v>
      </c>
      <c r="G3663">
        <v>230103</v>
      </c>
      <c r="H3663">
        <v>4362</v>
      </c>
      <c r="I3663" t="s">
        <v>79</v>
      </c>
      <c r="J3663">
        <v>99.2</v>
      </c>
      <c r="K3663">
        <v>19.2</v>
      </c>
      <c r="L3663">
        <v>18972</v>
      </c>
      <c r="M3663" t="s">
        <v>163</v>
      </c>
      <c r="N3663" t="str">
        <f t="shared" si="72"/>
        <v xml:space="preserve">913210429   </v>
      </c>
      <c r="O3663">
        <v>230111</v>
      </c>
    </row>
    <row r="3664" spans="1:15" x14ac:dyDescent="0.25">
      <c r="A3664" t="s">
        <v>16</v>
      </c>
      <c r="B3664" t="s">
        <v>3221</v>
      </c>
      <c r="C3664">
        <v>1540</v>
      </c>
      <c r="D3664" t="s">
        <v>159</v>
      </c>
      <c r="E3664" t="s">
        <v>160</v>
      </c>
      <c r="F3664">
        <v>2.4</v>
      </c>
      <c r="G3664">
        <v>230203</v>
      </c>
      <c r="H3664">
        <v>4362</v>
      </c>
      <c r="I3664" t="s">
        <v>79</v>
      </c>
      <c r="J3664">
        <v>2.98</v>
      </c>
      <c r="K3664">
        <v>0.57999999999999996</v>
      </c>
      <c r="L3664">
        <v>13201</v>
      </c>
      <c r="M3664" t="s">
        <v>161</v>
      </c>
      <c r="N3664" t="str">
        <f t="shared" ref="N3664:N3669" si="73">"913222005   "</f>
        <v xml:space="preserve">913222005   </v>
      </c>
      <c r="O3664">
        <v>230209</v>
      </c>
    </row>
    <row r="3665" spans="1:15" x14ac:dyDescent="0.25">
      <c r="A3665" t="s">
        <v>16</v>
      </c>
      <c r="B3665" t="s">
        <v>3221</v>
      </c>
      <c r="C3665">
        <v>1540</v>
      </c>
      <c r="D3665" t="s">
        <v>159</v>
      </c>
      <c r="E3665" t="s">
        <v>160</v>
      </c>
      <c r="F3665">
        <v>20.8</v>
      </c>
      <c r="G3665">
        <v>230203</v>
      </c>
      <c r="H3665">
        <v>4362</v>
      </c>
      <c r="I3665" t="s">
        <v>79</v>
      </c>
      <c r="J3665">
        <v>25.79</v>
      </c>
      <c r="K3665">
        <v>4.99</v>
      </c>
      <c r="L3665">
        <v>13401</v>
      </c>
      <c r="M3665" t="s">
        <v>80</v>
      </c>
      <c r="N3665" t="str">
        <f t="shared" si="73"/>
        <v xml:space="preserve">913222005   </v>
      </c>
      <c r="O3665">
        <v>230209</v>
      </c>
    </row>
    <row r="3666" spans="1:15" x14ac:dyDescent="0.25">
      <c r="A3666" t="s">
        <v>16</v>
      </c>
      <c r="B3666" t="s">
        <v>3221</v>
      </c>
      <c r="C3666">
        <v>1540</v>
      </c>
      <c r="D3666" t="s">
        <v>159</v>
      </c>
      <c r="E3666" t="s">
        <v>160</v>
      </c>
      <c r="F3666">
        <v>20.8</v>
      </c>
      <c r="G3666">
        <v>230203</v>
      </c>
      <c r="H3666">
        <v>4362</v>
      </c>
      <c r="I3666" t="s">
        <v>79</v>
      </c>
      <c r="J3666">
        <v>25.79</v>
      </c>
      <c r="K3666">
        <v>4.99</v>
      </c>
      <c r="L3666">
        <v>13501</v>
      </c>
      <c r="M3666" t="s">
        <v>20</v>
      </c>
      <c r="N3666" t="str">
        <f t="shared" si="73"/>
        <v xml:space="preserve">913222005   </v>
      </c>
      <c r="O3666">
        <v>230209</v>
      </c>
    </row>
    <row r="3667" spans="1:15" x14ac:dyDescent="0.25">
      <c r="A3667" t="s">
        <v>16</v>
      </c>
      <c r="B3667" t="s">
        <v>3221</v>
      </c>
      <c r="C3667">
        <v>1540</v>
      </c>
      <c r="D3667" t="s">
        <v>159</v>
      </c>
      <c r="E3667" t="s">
        <v>160</v>
      </c>
      <c r="F3667">
        <v>18.399999999999999</v>
      </c>
      <c r="G3667">
        <v>230203</v>
      </c>
      <c r="H3667">
        <v>4362</v>
      </c>
      <c r="I3667" t="s">
        <v>79</v>
      </c>
      <c r="J3667">
        <v>22.82</v>
      </c>
      <c r="K3667">
        <v>4.42</v>
      </c>
      <c r="L3667">
        <v>13601</v>
      </c>
      <c r="M3667" t="s">
        <v>147</v>
      </c>
      <c r="N3667" t="str">
        <f t="shared" si="73"/>
        <v xml:space="preserve">913222005   </v>
      </c>
      <c r="O3667">
        <v>230209</v>
      </c>
    </row>
    <row r="3668" spans="1:15" x14ac:dyDescent="0.25">
      <c r="A3668" t="s">
        <v>16</v>
      </c>
      <c r="B3668" t="s">
        <v>3221</v>
      </c>
      <c r="C3668">
        <v>1540</v>
      </c>
      <c r="D3668" t="s">
        <v>159</v>
      </c>
      <c r="E3668" t="s">
        <v>160</v>
      </c>
      <c r="F3668">
        <v>17.600000000000001</v>
      </c>
      <c r="G3668">
        <v>230203</v>
      </c>
      <c r="H3668">
        <v>4362</v>
      </c>
      <c r="I3668" t="s">
        <v>79</v>
      </c>
      <c r="J3668">
        <v>21.82</v>
      </c>
      <c r="K3668">
        <v>4.22</v>
      </c>
      <c r="L3668">
        <v>13801</v>
      </c>
      <c r="M3668" t="s">
        <v>162</v>
      </c>
      <c r="N3668" t="str">
        <f t="shared" si="73"/>
        <v xml:space="preserve">913222005   </v>
      </c>
      <c r="O3668">
        <v>230209</v>
      </c>
    </row>
    <row r="3669" spans="1:15" x14ac:dyDescent="0.25">
      <c r="A3669" t="s">
        <v>16</v>
      </c>
      <c r="B3669" t="s">
        <v>3221</v>
      </c>
      <c r="C3669">
        <v>1540</v>
      </c>
      <c r="D3669" t="s">
        <v>159</v>
      </c>
      <c r="E3669" t="s">
        <v>160</v>
      </c>
      <c r="F3669">
        <v>80</v>
      </c>
      <c r="G3669">
        <v>230203</v>
      </c>
      <c r="H3669">
        <v>4362</v>
      </c>
      <c r="I3669" t="s">
        <v>79</v>
      </c>
      <c r="J3669">
        <v>99.2</v>
      </c>
      <c r="K3669">
        <v>19.2</v>
      </c>
      <c r="L3669">
        <v>18972</v>
      </c>
      <c r="M3669" t="s">
        <v>163</v>
      </c>
      <c r="N3669" t="str">
        <f t="shared" si="73"/>
        <v xml:space="preserve">913222005   </v>
      </c>
      <c r="O3669">
        <v>230209</v>
      </c>
    </row>
    <row r="3670" spans="1:15" x14ac:dyDescent="0.25">
      <c r="A3670" t="s">
        <v>16</v>
      </c>
      <c r="B3670" t="s">
        <v>3221</v>
      </c>
      <c r="C3670">
        <v>2806</v>
      </c>
      <c r="D3670" t="s">
        <v>159</v>
      </c>
      <c r="E3670" t="s">
        <v>160</v>
      </c>
      <c r="F3670">
        <v>2.4</v>
      </c>
      <c r="G3670">
        <v>230303</v>
      </c>
      <c r="H3670">
        <v>4362</v>
      </c>
      <c r="I3670" t="s">
        <v>79</v>
      </c>
      <c r="J3670">
        <v>2.98</v>
      </c>
      <c r="K3670">
        <v>0.57999999999999996</v>
      </c>
      <c r="L3670">
        <v>13201</v>
      </c>
      <c r="M3670" t="s">
        <v>161</v>
      </c>
      <c r="N3670" t="str">
        <f t="shared" ref="N3670:N3675" si="74">"913232771   "</f>
        <v xml:space="preserve">913232771   </v>
      </c>
      <c r="O3670">
        <v>230307</v>
      </c>
    </row>
    <row r="3671" spans="1:15" x14ac:dyDescent="0.25">
      <c r="A3671" t="s">
        <v>16</v>
      </c>
      <c r="B3671" t="s">
        <v>3221</v>
      </c>
      <c r="C3671">
        <v>2806</v>
      </c>
      <c r="D3671" t="s">
        <v>159</v>
      </c>
      <c r="E3671" t="s">
        <v>160</v>
      </c>
      <c r="F3671">
        <v>20.8</v>
      </c>
      <c r="G3671">
        <v>230303</v>
      </c>
      <c r="H3671">
        <v>4362</v>
      </c>
      <c r="I3671" t="s">
        <v>79</v>
      </c>
      <c r="J3671">
        <v>25.79</v>
      </c>
      <c r="K3671">
        <v>4.99</v>
      </c>
      <c r="L3671">
        <v>13401</v>
      </c>
      <c r="M3671" t="s">
        <v>80</v>
      </c>
      <c r="N3671" t="str">
        <f t="shared" si="74"/>
        <v xml:space="preserve">913232771   </v>
      </c>
      <c r="O3671">
        <v>230307</v>
      </c>
    </row>
    <row r="3672" spans="1:15" x14ac:dyDescent="0.25">
      <c r="A3672" t="s">
        <v>16</v>
      </c>
      <c r="B3672" t="s">
        <v>3221</v>
      </c>
      <c r="C3672">
        <v>2806</v>
      </c>
      <c r="D3672" t="s">
        <v>159</v>
      </c>
      <c r="E3672" t="s">
        <v>160</v>
      </c>
      <c r="F3672">
        <v>20.8</v>
      </c>
      <c r="G3672">
        <v>230303</v>
      </c>
      <c r="H3672">
        <v>4362</v>
      </c>
      <c r="I3672" t="s">
        <v>79</v>
      </c>
      <c r="J3672">
        <v>25.79</v>
      </c>
      <c r="K3672">
        <v>4.99</v>
      </c>
      <c r="L3672">
        <v>13501</v>
      </c>
      <c r="M3672" t="s">
        <v>20</v>
      </c>
      <c r="N3672" t="str">
        <f t="shared" si="74"/>
        <v xml:space="preserve">913232771   </v>
      </c>
      <c r="O3672">
        <v>230307</v>
      </c>
    </row>
    <row r="3673" spans="1:15" x14ac:dyDescent="0.25">
      <c r="A3673" t="s">
        <v>16</v>
      </c>
      <c r="B3673" t="s">
        <v>3221</v>
      </c>
      <c r="C3673">
        <v>2806</v>
      </c>
      <c r="D3673" t="s">
        <v>159</v>
      </c>
      <c r="E3673" t="s">
        <v>160</v>
      </c>
      <c r="F3673">
        <v>18.399999999999999</v>
      </c>
      <c r="G3673">
        <v>230303</v>
      </c>
      <c r="H3673">
        <v>4362</v>
      </c>
      <c r="I3673" t="s">
        <v>79</v>
      </c>
      <c r="J3673">
        <v>22.82</v>
      </c>
      <c r="K3673">
        <v>4.42</v>
      </c>
      <c r="L3673">
        <v>13601</v>
      </c>
      <c r="M3673" t="s">
        <v>147</v>
      </c>
      <c r="N3673" t="str">
        <f t="shared" si="74"/>
        <v xml:space="preserve">913232771   </v>
      </c>
      <c r="O3673">
        <v>230307</v>
      </c>
    </row>
    <row r="3674" spans="1:15" x14ac:dyDescent="0.25">
      <c r="A3674" t="s">
        <v>16</v>
      </c>
      <c r="B3674" t="s">
        <v>3221</v>
      </c>
      <c r="C3674">
        <v>2806</v>
      </c>
      <c r="D3674" t="s">
        <v>159</v>
      </c>
      <c r="E3674" t="s">
        <v>160</v>
      </c>
      <c r="F3674">
        <v>17.600000000000001</v>
      </c>
      <c r="G3674">
        <v>230303</v>
      </c>
      <c r="H3674">
        <v>4362</v>
      </c>
      <c r="I3674" t="s">
        <v>79</v>
      </c>
      <c r="J3674">
        <v>21.82</v>
      </c>
      <c r="K3674">
        <v>4.22</v>
      </c>
      <c r="L3674">
        <v>13801</v>
      </c>
      <c r="M3674" t="s">
        <v>162</v>
      </c>
      <c r="N3674" t="str">
        <f t="shared" si="74"/>
        <v xml:space="preserve">913232771   </v>
      </c>
      <c r="O3674">
        <v>230307</v>
      </c>
    </row>
    <row r="3675" spans="1:15" x14ac:dyDescent="0.25">
      <c r="A3675" t="s">
        <v>16</v>
      </c>
      <c r="B3675" t="s">
        <v>3221</v>
      </c>
      <c r="C3675">
        <v>2806</v>
      </c>
      <c r="D3675" t="s">
        <v>159</v>
      </c>
      <c r="E3675" t="s">
        <v>160</v>
      </c>
      <c r="F3675">
        <v>80</v>
      </c>
      <c r="G3675">
        <v>230303</v>
      </c>
      <c r="H3675">
        <v>4362</v>
      </c>
      <c r="I3675" t="s">
        <v>79</v>
      </c>
      <c r="J3675">
        <v>99.2</v>
      </c>
      <c r="K3675">
        <v>19.2</v>
      </c>
      <c r="L3675">
        <v>18972</v>
      </c>
      <c r="M3675" t="s">
        <v>163</v>
      </c>
      <c r="N3675" t="str">
        <f t="shared" si="74"/>
        <v xml:space="preserve">913232771   </v>
      </c>
      <c r="O3675">
        <v>230307</v>
      </c>
    </row>
    <row r="3676" spans="1:15" x14ac:dyDescent="0.25">
      <c r="A3676" t="s">
        <v>16</v>
      </c>
      <c r="B3676" t="s">
        <v>3221</v>
      </c>
      <c r="C3676">
        <v>5031</v>
      </c>
      <c r="D3676" t="s">
        <v>159</v>
      </c>
      <c r="E3676" t="s">
        <v>160</v>
      </c>
      <c r="F3676">
        <v>2.4</v>
      </c>
      <c r="G3676">
        <v>230403</v>
      </c>
      <c r="H3676">
        <v>4362</v>
      </c>
      <c r="I3676" t="s">
        <v>79</v>
      </c>
      <c r="J3676">
        <v>2.98</v>
      </c>
      <c r="K3676">
        <v>0.57999999999999996</v>
      </c>
      <c r="L3676">
        <v>13201</v>
      </c>
      <c r="M3676" t="s">
        <v>161</v>
      </c>
      <c r="N3676" t="str">
        <f t="shared" ref="N3676:N3681" si="75">"913242834   "</f>
        <v xml:space="preserve">913242834   </v>
      </c>
      <c r="O3676">
        <v>230417</v>
      </c>
    </row>
    <row r="3677" spans="1:15" x14ac:dyDescent="0.25">
      <c r="A3677" t="s">
        <v>16</v>
      </c>
      <c r="B3677" t="s">
        <v>3221</v>
      </c>
      <c r="C3677">
        <v>5031</v>
      </c>
      <c r="D3677" t="s">
        <v>159</v>
      </c>
      <c r="E3677" t="s">
        <v>160</v>
      </c>
      <c r="F3677">
        <v>20.8</v>
      </c>
      <c r="G3677">
        <v>230403</v>
      </c>
      <c r="H3677">
        <v>4362</v>
      </c>
      <c r="I3677" t="s">
        <v>79</v>
      </c>
      <c r="J3677">
        <v>25.79</v>
      </c>
      <c r="K3677">
        <v>4.99</v>
      </c>
      <c r="L3677">
        <v>13401</v>
      </c>
      <c r="M3677" t="s">
        <v>80</v>
      </c>
      <c r="N3677" t="str">
        <f t="shared" si="75"/>
        <v xml:space="preserve">913242834   </v>
      </c>
      <c r="O3677">
        <v>230417</v>
      </c>
    </row>
    <row r="3678" spans="1:15" x14ac:dyDescent="0.25">
      <c r="A3678" t="s">
        <v>16</v>
      </c>
      <c r="B3678" t="s">
        <v>3221</v>
      </c>
      <c r="C3678">
        <v>5031</v>
      </c>
      <c r="D3678" t="s">
        <v>159</v>
      </c>
      <c r="E3678" t="s">
        <v>160</v>
      </c>
      <c r="F3678">
        <v>20.8</v>
      </c>
      <c r="G3678">
        <v>230403</v>
      </c>
      <c r="H3678">
        <v>4362</v>
      </c>
      <c r="I3678" t="s">
        <v>79</v>
      </c>
      <c r="J3678">
        <v>25.79</v>
      </c>
      <c r="K3678">
        <v>4.99</v>
      </c>
      <c r="L3678">
        <v>13501</v>
      </c>
      <c r="M3678" t="s">
        <v>20</v>
      </c>
      <c r="N3678" t="str">
        <f t="shared" si="75"/>
        <v xml:space="preserve">913242834   </v>
      </c>
      <c r="O3678">
        <v>230417</v>
      </c>
    </row>
    <row r="3679" spans="1:15" x14ac:dyDescent="0.25">
      <c r="A3679" t="s">
        <v>16</v>
      </c>
      <c r="B3679" t="s">
        <v>3221</v>
      </c>
      <c r="C3679">
        <v>5031</v>
      </c>
      <c r="D3679" t="s">
        <v>159</v>
      </c>
      <c r="E3679" t="s">
        <v>160</v>
      </c>
      <c r="F3679">
        <v>18.399999999999999</v>
      </c>
      <c r="G3679">
        <v>230403</v>
      </c>
      <c r="H3679">
        <v>4362</v>
      </c>
      <c r="I3679" t="s">
        <v>79</v>
      </c>
      <c r="J3679">
        <v>22.82</v>
      </c>
      <c r="K3679">
        <v>4.42</v>
      </c>
      <c r="L3679">
        <v>13601</v>
      </c>
      <c r="M3679" t="s">
        <v>147</v>
      </c>
      <c r="N3679" t="str">
        <f t="shared" si="75"/>
        <v xml:space="preserve">913242834   </v>
      </c>
      <c r="O3679">
        <v>230417</v>
      </c>
    </row>
    <row r="3680" spans="1:15" x14ac:dyDescent="0.25">
      <c r="A3680" t="s">
        <v>16</v>
      </c>
      <c r="B3680" t="s">
        <v>3221</v>
      </c>
      <c r="C3680">
        <v>5031</v>
      </c>
      <c r="D3680" t="s">
        <v>159</v>
      </c>
      <c r="E3680" t="s">
        <v>160</v>
      </c>
      <c r="F3680">
        <v>17.600000000000001</v>
      </c>
      <c r="G3680">
        <v>230403</v>
      </c>
      <c r="H3680">
        <v>4362</v>
      </c>
      <c r="I3680" t="s">
        <v>79</v>
      </c>
      <c r="J3680">
        <v>21.82</v>
      </c>
      <c r="K3680">
        <v>4.22</v>
      </c>
      <c r="L3680">
        <v>13801</v>
      </c>
      <c r="M3680" t="s">
        <v>162</v>
      </c>
      <c r="N3680" t="str">
        <f t="shared" si="75"/>
        <v xml:space="preserve">913242834   </v>
      </c>
      <c r="O3680">
        <v>230417</v>
      </c>
    </row>
    <row r="3681" spans="1:15" x14ac:dyDescent="0.25">
      <c r="A3681" t="s">
        <v>16</v>
      </c>
      <c r="B3681" t="s">
        <v>3221</v>
      </c>
      <c r="C3681">
        <v>5031</v>
      </c>
      <c r="D3681" t="s">
        <v>159</v>
      </c>
      <c r="E3681" t="s">
        <v>160</v>
      </c>
      <c r="F3681">
        <v>80</v>
      </c>
      <c r="G3681">
        <v>230403</v>
      </c>
      <c r="H3681">
        <v>4362</v>
      </c>
      <c r="I3681" t="s">
        <v>79</v>
      </c>
      <c r="J3681">
        <v>99.2</v>
      </c>
      <c r="K3681">
        <v>19.2</v>
      </c>
      <c r="L3681">
        <v>18972</v>
      </c>
      <c r="M3681" t="s">
        <v>163</v>
      </c>
      <c r="N3681" t="str">
        <f t="shared" si="75"/>
        <v xml:space="preserve">913242834   </v>
      </c>
      <c r="O3681">
        <v>230417</v>
      </c>
    </row>
    <row r="3682" spans="1:15" x14ac:dyDescent="0.25">
      <c r="A3682" t="s">
        <v>16</v>
      </c>
      <c r="B3682" t="s">
        <v>3221</v>
      </c>
      <c r="C3682">
        <v>6227</v>
      </c>
      <c r="D3682" t="s">
        <v>159</v>
      </c>
      <c r="E3682" t="s">
        <v>160</v>
      </c>
      <c r="F3682">
        <v>2.4</v>
      </c>
      <c r="G3682">
        <v>230503</v>
      </c>
      <c r="H3682">
        <v>4362</v>
      </c>
      <c r="I3682" t="s">
        <v>79</v>
      </c>
      <c r="J3682">
        <v>2.98</v>
      </c>
      <c r="K3682">
        <v>0.57999999999999996</v>
      </c>
      <c r="L3682">
        <v>13201</v>
      </c>
      <c r="M3682" t="s">
        <v>161</v>
      </c>
      <c r="N3682" t="str">
        <f t="shared" ref="N3682:N3687" si="76">"913253986   "</f>
        <v xml:space="preserve">913253986   </v>
      </c>
      <c r="O3682">
        <v>230509</v>
      </c>
    </row>
    <row r="3683" spans="1:15" x14ac:dyDescent="0.25">
      <c r="A3683" t="s">
        <v>16</v>
      </c>
      <c r="B3683" t="s">
        <v>3221</v>
      </c>
      <c r="C3683">
        <v>6227</v>
      </c>
      <c r="D3683" t="s">
        <v>159</v>
      </c>
      <c r="E3683" t="s">
        <v>160</v>
      </c>
      <c r="F3683">
        <v>20.8</v>
      </c>
      <c r="G3683">
        <v>230503</v>
      </c>
      <c r="H3683">
        <v>4362</v>
      </c>
      <c r="I3683" t="s">
        <v>79</v>
      </c>
      <c r="J3683">
        <v>25.79</v>
      </c>
      <c r="K3683">
        <v>4.99</v>
      </c>
      <c r="L3683">
        <v>13401</v>
      </c>
      <c r="M3683" t="s">
        <v>80</v>
      </c>
      <c r="N3683" t="str">
        <f t="shared" si="76"/>
        <v xml:space="preserve">913253986   </v>
      </c>
      <c r="O3683">
        <v>230509</v>
      </c>
    </row>
    <row r="3684" spans="1:15" x14ac:dyDescent="0.25">
      <c r="A3684" t="s">
        <v>16</v>
      </c>
      <c r="B3684" t="s">
        <v>3221</v>
      </c>
      <c r="C3684">
        <v>6227</v>
      </c>
      <c r="D3684" t="s">
        <v>159</v>
      </c>
      <c r="E3684" t="s">
        <v>160</v>
      </c>
      <c r="F3684">
        <v>20.8</v>
      </c>
      <c r="G3684">
        <v>230503</v>
      </c>
      <c r="H3684">
        <v>4362</v>
      </c>
      <c r="I3684" t="s">
        <v>79</v>
      </c>
      <c r="J3684">
        <v>25.79</v>
      </c>
      <c r="K3684">
        <v>4.99</v>
      </c>
      <c r="L3684">
        <v>13501</v>
      </c>
      <c r="M3684" t="s">
        <v>20</v>
      </c>
      <c r="N3684" t="str">
        <f t="shared" si="76"/>
        <v xml:space="preserve">913253986   </v>
      </c>
      <c r="O3684">
        <v>230509</v>
      </c>
    </row>
    <row r="3685" spans="1:15" x14ac:dyDescent="0.25">
      <c r="A3685" t="s">
        <v>16</v>
      </c>
      <c r="B3685" t="s">
        <v>3221</v>
      </c>
      <c r="C3685">
        <v>6227</v>
      </c>
      <c r="D3685" t="s">
        <v>159</v>
      </c>
      <c r="E3685" t="s">
        <v>160</v>
      </c>
      <c r="F3685">
        <v>18.399999999999999</v>
      </c>
      <c r="G3685">
        <v>230503</v>
      </c>
      <c r="H3685">
        <v>4362</v>
      </c>
      <c r="I3685" t="s">
        <v>79</v>
      </c>
      <c r="J3685">
        <v>22.82</v>
      </c>
      <c r="K3685">
        <v>4.42</v>
      </c>
      <c r="L3685">
        <v>13601</v>
      </c>
      <c r="M3685" t="s">
        <v>147</v>
      </c>
      <c r="N3685" t="str">
        <f t="shared" si="76"/>
        <v xml:space="preserve">913253986   </v>
      </c>
      <c r="O3685">
        <v>230509</v>
      </c>
    </row>
    <row r="3686" spans="1:15" x14ac:dyDescent="0.25">
      <c r="A3686" t="s">
        <v>16</v>
      </c>
      <c r="B3686" t="s">
        <v>3221</v>
      </c>
      <c r="C3686">
        <v>6227</v>
      </c>
      <c r="D3686" t="s">
        <v>159</v>
      </c>
      <c r="E3686" t="s">
        <v>160</v>
      </c>
      <c r="F3686">
        <v>17.600000000000001</v>
      </c>
      <c r="G3686">
        <v>230503</v>
      </c>
      <c r="H3686">
        <v>4362</v>
      </c>
      <c r="I3686" t="s">
        <v>79</v>
      </c>
      <c r="J3686">
        <v>21.82</v>
      </c>
      <c r="K3686">
        <v>4.22</v>
      </c>
      <c r="L3686">
        <v>13801</v>
      </c>
      <c r="M3686" t="s">
        <v>162</v>
      </c>
      <c r="N3686" t="str">
        <f t="shared" si="76"/>
        <v xml:space="preserve">913253986   </v>
      </c>
      <c r="O3686">
        <v>230509</v>
      </c>
    </row>
    <row r="3687" spans="1:15" x14ac:dyDescent="0.25">
      <c r="A3687" t="s">
        <v>16</v>
      </c>
      <c r="B3687" t="s">
        <v>3221</v>
      </c>
      <c r="C3687">
        <v>6227</v>
      </c>
      <c r="D3687" t="s">
        <v>159</v>
      </c>
      <c r="E3687" t="s">
        <v>160</v>
      </c>
      <c r="F3687">
        <v>80</v>
      </c>
      <c r="G3687">
        <v>230503</v>
      </c>
      <c r="H3687">
        <v>4362</v>
      </c>
      <c r="I3687" t="s">
        <v>79</v>
      </c>
      <c r="J3687">
        <v>99.2</v>
      </c>
      <c r="K3687">
        <v>19.2</v>
      </c>
      <c r="L3687">
        <v>18972</v>
      </c>
      <c r="M3687" t="s">
        <v>163</v>
      </c>
      <c r="N3687" t="str">
        <f t="shared" si="76"/>
        <v xml:space="preserve">913253986   </v>
      </c>
      <c r="O3687">
        <v>230509</v>
      </c>
    </row>
    <row r="3688" spans="1:15" x14ac:dyDescent="0.25">
      <c r="A3688" t="s">
        <v>16</v>
      </c>
      <c r="B3688" t="s">
        <v>3221</v>
      </c>
      <c r="C3688">
        <v>8532</v>
      </c>
      <c r="D3688" t="s">
        <v>159</v>
      </c>
      <c r="E3688" t="s">
        <v>160</v>
      </c>
      <c r="F3688">
        <v>2.4</v>
      </c>
      <c r="G3688">
        <v>230605</v>
      </c>
      <c r="H3688">
        <v>4362</v>
      </c>
      <c r="I3688" t="s">
        <v>79</v>
      </c>
      <c r="J3688">
        <v>2.98</v>
      </c>
      <c r="K3688">
        <v>0.57999999999999996</v>
      </c>
      <c r="L3688">
        <v>13201</v>
      </c>
      <c r="M3688" t="s">
        <v>161</v>
      </c>
      <c r="N3688" t="str">
        <f t="shared" ref="N3688:N3693" si="77">"913264606   "</f>
        <v xml:space="preserve">913264606   </v>
      </c>
      <c r="O3688">
        <v>230612</v>
      </c>
    </row>
    <row r="3689" spans="1:15" x14ac:dyDescent="0.25">
      <c r="A3689" t="s">
        <v>16</v>
      </c>
      <c r="B3689" t="s">
        <v>3221</v>
      </c>
      <c r="C3689">
        <v>8532</v>
      </c>
      <c r="D3689" t="s">
        <v>159</v>
      </c>
      <c r="E3689" t="s">
        <v>160</v>
      </c>
      <c r="F3689">
        <v>20.8</v>
      </c>
      <c r="G3689">
        <v>230605</v>
      </c>
      <c r="H3689">
        <v>4362</v>
      </c>
      <c r="I3689" t="s">
        <v>79</v>
      </c>
      <c r="J3689">
        <v>25.79</v>
      </c>
      <c r="K3689">
        <v>4.99</v>
      </c>
      <c r="L3689">
        <v>13401</v>
      </c>
      <c r="M3689" t="s">
        <v>80</v>
      </c>
      <c r="N3689" t="str">
        <f t="shared" si="77"/>
        <v xml:space="preserve">913264606   </v>
      </c>
      <c r="O3689">
        <v>230612</v>
      </c>
    </row>
    <row r="3690" spans="1:15" x14ac:dyDescent="0.25">
      <c r="A3690" t="s">
        <v>16</v>
      </c>
      <c r="B3690" t="s">
        <v>3221</v>
      </c>
      <c r="C3690">
        <v>8532</v>
      </c>
      <c r="D3690" t="s">
        <v>159</v>
      </c>
      <c r="E3690" t="s">
        <v>160</v>
      </c>
      <c r="F3690">
        <v>20.8</v>
      </c>
      <c r="G3690">
        <v>230605</v>
      </c>
      <c r="H3690">
        <v>4362</v>
      </c>
      <c r="I3690" t="s">
        <v>79</v>
      </c>
      <c r="J3690">
        <v>25.79</v>
      </c>
      <c r="K3690">
        <v>4.99</v>
      </c>
      <c r="L3690">
        <v>13501</v>
      </c>
      <c r="M3690" t="s">
        <v>20</v>
      </c>
      <c r="N3690" t="str">
        <f t="shared" si="77"/>
        <v xml:space="preserve">913264606   </v>
      </c>
      <c r="O3690">
        <v>230612</v>
      </c>
    </row>
    <row r="3691" spans="1:15" x14ac:dyDescent="0.25">
      <c r="A3691" t="s">
        <v>16</v>
      </c>
      <c r="B3691" t="s">
        <v>3221</v>
      </c>
      <c r="C3691">
        <v>8532</v>
      </c>
      <c r="D3691" t="s">
        <v>159</v>
      </c>
      <c r="E3691" t="s">
        <v>160</v>
      </c>
      <c r="F3691">
        <v>18.399999999999999</v>
      </c>
      <c r="G3691">
        <v>230605</v>
      </c>
      <c r="H3691">
        <v>4362</v>
      </c>
      <c r="I3691" t="s">
        <v>79</v>
      </c>
      <c r="J3691">
        <v>22.82</v>
      </c>
      <c r="K3691">
        <v>4.42</v>
      </c>
      <c r="L3691">
        <v>13601</v>
      </c>
      <c r="M3691" t="s">
        <v>147</v>
      </c>
      <c r="N3691" t="str">
        <f t="shared" si="77"/>
        <v xml:space="preserve">913264606   </v>
      </c>
      <c r="O3691">
        <v>230612</v>
      </c>
    </row>
    <row r="3692" spans="1:15" x14ac:dyDescent="0.25">
      <c r="A3692" t="s">
        <v>16</v>
      </c>
      <c r="B3692" t="s">
        <v>3221</v>
      </c>
      <c r="C3692">
        <v>8532</v>
      </c>
      <c r="D3692" t="s">
        <v>159</v>
      </c>
      <c r="E3692" t="s">
        <v>160</v>
      </c>
      <c r="F3692">
        <v>17.600000000000001</v>
      </c>
      <c r="G3692">
        <v>230605</v>
      </c>
      <c r="H3692">
        <v>4362</v>
      </c>
      <c r="I3692" t="s">
        <v>79</v>
      </c>
      <c r="J3692">
        <v>21.82</v>
      </c>
      <c r="K3692">
        <v>4.22</v>
      </c>
      <c r="L3692">
        <v>13801</v>
      </c>
      <c r="M3692" t="s">
        <v>162</v>
      </c>
      <c r="N3692" t="str">
        <f t="shared" si="77"/>
        <v xml:space="preserve">913264606   </v>
      </c>
      <c r="O3692">
        <v>230612</v>
      </c>
    </row>
    <row r="3693" spans="1:15" x14ac:dyDescent="0.25">
      <c r="A3693" t="s">
        <v>16</v>
      </c>
      <c r="B3693" t="s">
        <v>3221</v>
      </c>
      <c r="C3693">
        <v>8532</v>
      </c>
      <c r="D3693" t="s">
        <v>159</v>
      </c>
      <c r="E3693" t="s">
        <v>160</v>
      </c>
      <c r="F3693">
        <v>80</v>
      </c>
      <c r="G3693">
        <v>230605</v>
      </c>
      <c r="H3693">
        <v>4362</v>
      </c>
      <c r="I3693" t="s">
        <v>79</v>
      </c>
      <c r="J3693">
        <v>99.2</v>
      </c>
      <c r="K3693">
        <v>19.2</v>
      </c>
      <c r="L3693">
        <v>18972</v>
      </c>
      <c r="M3693" t="s">
        <v>163</v>
      </c>
      <c r="N3693" t="str">
        <f t="shared" si="77"/>
        <v xml:space="preserve">913264606   </v>
      </c>
      <c r="O3693">
        <v>230612</v>
      </c>
    </row>
    <row r="3694" spans="1:15" x14ac:dyDescent="0.25">
      <c r="A3694" t="s">
        <v>16</v>
      </c>
      <c r="B3694" t="s">
        <v>3221</v>
      </c>
      <c r="C3694">
        <v>9536</v>
      </c>
      <c r="D3694" t="s">
        <v>159</v>
      </c>
      <c r="E3694" t="s">
        <v>160</v>
      </c>
      <c r="F3694">
        <v>2.4</v>
      </c>
      <c r="G3694">
        <v>230703</v>
      </c>
      <c r="H3694">
        <v>4362</v>
      </c>
      <c r="I3694" t="s">
        <v>79</v>
      </c>
      <c r="J3694">
        <v>2.98</v>
      </c>
      <c r="K3694">
        <v>0.57999999999999996</v>
      </c>
      <c r="L3694">
        <v>13201</v>
      </c>
      <c r="M3694" t="s">
        <v>161</v>
      </c>
      <c r="N3694" t="str">
        <f t="shared" ref="N3694:N3699" si="78">"913274338   "</f>
        <v xml:space="preserve">913274338   </v>
      </c>
      <c r="O3694">
        <v>230717</v>
      </c>
    </row>
    <row r="3695" spans="1:15" x14ac:dyDescent="0.25">
      <c r="A3695" t="s">
        <v>16</v>
      </c>
      <c r="B3695" t="s">
        <v>3221</v>
      </c>
      <c r="C3695">
        <v>9536</v>
      </c>
      <c r="D3695" t="s">
        <v>159</v>
      </c>
      <c r="E3695" t="s">
        <v>160</v>
      </c>
      <c r="F3695">
        <v>20.8</v>
      </c>
      <c r="G3695">
        <v>230703</v>
      </c>
      <c r="H3695">
        <v>4362</v>
      </c>
      <c r="I3695" t="s">
        <v>79</v>
      </c>
      <c r="J3695">
        <v>25.79</v>
      </c>
      <c r="K3695">
        <v>4.99</v>
      </c>
      <c r="L3695">
        <v>13401</v>
      </c>
      <c r="M3695" t="s">
        <v>80</v>
      </c>
      <c r="N3695" t="str">
        <f t="shared" si="78"/>
        <v xml:space="preserve">913274338   </v>
      </c>
      <c r="O3695">
        <v>230717</v>
      </c>
    </row>
    <row r="3696" spans="1:15" x14ac:dyDescent="0.25">
      <c r="A3696" t="s">
        <v>16</v>
      </c>
      <c r="B3696" t="s">
        <v>3221</v>
      </c>
      <c r="C3696">
        <v>9536</v>
      </c>
      <c r="D3696" t="s">
        <v>159</v>
      </c>
      <c r="E3696" t="s">
        <v>160</v>
      </c>
      <c r="F3696">
        <v>20.8</v>
      </c>
      <c r="G3696">
        <v>230703</v>
      </c>
      <c r="H3696">
        <v>4362</v>
      </c>
      <c r="I3696" t="s">
        <v>79</v>
      </c>
      <c r="J3696">
        <v>25.79</v>
      </c>
      <c r="K3696">
        <v>4.99</v>
      </c>
      <c r="L3696">
        <v>13501</v>
      </c>
      <c r="M3696" t="s">
        <v>20</v>
      </c>
      <c r="N3696" t="str">
        <f t="shared" si="78"/>
        <v xml:space="preserve">913274338   </v>
      </c>
      <c r="O3696">
        <v>230717</v>
      </c>
    </row>
    <row r="3697" spans="1:15" x14ac:dyDescent="0.25">
      <c r="A3697" t="s">
        <v>16</v>
      </c>
      <c r="B3697" t="s">
        <v>3221</v>
      </c>
      <c r="C3697">
        <v>9536</v>
      </c>
      <c r="D3697" t="s">
        <v>159</v>
      </c>
      <c r="E3697" t="s">
        <v>160</v>
      </c>
      <c r="F3697">
        <v>18.399999999999999</v>
      </c>
      <c r="G3697">
        <v>230703</v>
      </c>
      <c r="H3697">
        <v>4362</v>
      </c>
      <c r="I3697" t="s">
        <v>79</v>
      </c>
      <c r="J3697">
        <v>22.82</v>
      </c>
      <c r="K3697">
        <v>4.42</v>
      </c>
      <c r="L3697">
        <v>13601</v>
      </c>
      <c r="M3697" t="s">
        <v>147</v>
      </c>
      <c r="N3697" t="str">
        <f t="shared" si="78"/>
        <v xml:space="preserve">913274338   </v>
      </c>
      <c r="O3697">
        <v>230717</v>
      </c>
    </row>
    <row r="3698" spans="1:15" x14ac:dyDescent="0.25">
      <c r="A3698" t="s">
        <v>16</v>
      </c>
      <c r="B3698" t="s">
        <v>3221</v>
      </c>
      <c r="C3698">
        <v>9536</v>
      </c>
      <c r="D3698" t="s">
        <v>159</v>
      </c>
      <c r="E3698" t="s">
        <v>160</v>
      </c>
      <c r="F3698">
        <v>17.600000000000001</v>
      </c>
      <c r="G3698">
        <v>230703</v>
      </c>
      <c r="H3698">
        <v>4362</v>
      </c>
      <c r="I3698" t="s">
        <v>79</v>
      </c>
      <c r="J3698">
        <v>21.82</v>
      </c>
      <c r="K3698">
        <v>4.22</v>
      </c>
      <c r="L3698">
        <v>13801</v>
      </c>
      <c r="M3698" t="s">
        <v>162</v>
      </c>
      <c r="N3698" t="str">
        <f t="shared" si="78"/>
        <v xml:space="preserve">913274338   </v>
      </c>
      <c r="O3698">
        <v>230717</v>
      </c>
    </row>
    <row r="3699" spans="1:15" x14ac:dyDescent="0.25">
      <c r="A3699" t="s">
        <v>16</v>
      </c>
      <c r="B3699" t="s">
        <v>3221</v>
      </c>
      <c r="C3699">
        <v>9536</v>
      </c>
      <c r="D3699" t="s">
        <v>159</v>
      </c>
      <c r="E3699" t="s">
        <v>160</v>
      </c>
      <c r="F3699">
        <v>80</v>
      </c>
      <c r="G3699">
        <v>230703</v>
      </c>
      <c r="H3699">
        <v>4362</v>
      </c>
      <c r="I3699" t="s">
        <v>79</v>
      </c>
      <c r="J3699">
        <v>99.2</v>
      </c>
      <c r="K3699">
        <v>19.2</v>
      </c>
      <c r="L3699">
        <v>18972</v>
      </c>
      <c r="M3699" t="s">
        <v>163</v>
      </c>
      <c r="N3699" t="str">
        <f t="shared" si="78"/>
        <v xml:space="preserve">913274338   </v>
      </c>
      <c r="O3699">
        <v>230717</v>
      </c>
    </row>
    <row r="3700" spans="1:15" x14ac:dyDescent="0.25">
      <c r="A3700" t="s">
        <v>16</v>
      </c>
      <c r="B3700" t="s">
        <v>3221</v>
      </c>
      <c r="C3700">
        <v>10411</v>
      </c>
      <c r="D3700" t="s">
        <v>159</v>
      </c>
      <c r="E3700" t="s">
        <v>160</v>
      </c>
      <c r="F3700">
        <v>2.4</v>
      </c>
      <c r="G3700">
        <v>230803</v>
      </c>
      <c r="H3700">
        <v>4362</v>
      </c>
      <c r="I3700" t="s">
        <v>79</v>
      </c>
      <c r="J3700">
        <v>2.98</v>
      </c>
      <c r="K3700">
        <v>0.57999999999999996</v>
      </c>
      <c r="L3700">
        <v>13201</v>
      </c>
      <c r="M3700" t="s">
        <v>161</v>
      </c>
      <c r="N3700" t="str">
        <f t="shared" ref="N3700:N3705" si="79">"913284424   "</f>
        <v xml:space="preserve">913284424   </v>
      </c>
      <c r="O3700">
        <v>230815</v>
      </c>
    </row>
    <row r="3701" spans="1:15" x14ac:dyDescent="0.25">
      <c r="A3701" t="s">
        <v>16</v>
      </c>
      <c r="B3701" t="s">
        <v>3221</v>
      </c>
      <c r="C3701">
        <v>10411</v>
      </c>
      <c r="D3701" t="s">
        <v>159</v>
      </c>
      <c r="E3701" t="s">
        <v>160</v>
      </c>
      <c r="F3701">
        <v>20.8</v>
      </c>
      <c r="G3701">
        <v>230803</v>
      </c>
      <c r="H3701">
        <v>4362</v>
      </c>
      <c r="I3701" t="s">
        <v>79</v>
      </c>
      <c r="J3701">
        <v>25.79</v>
      </c>
      <c r="K3701">
        <v>4.99</v>
      </c>
      <c r="L3701">
        <v>13401</v>
      </c>
      <c r="M3701" t="s">
        <v>80</v>
      </c>
      <c r="N3701" t="str">
        <f t="shared" si="79"/>
        <v xml:space="preserve">913284424   </v>
      </c>
      <c r="O3701">
        <v>230815</v>
      </c>
    </row>
    <row r="3702" spans="1:15" x14ac:dyDescent="0.25">
      <c r="A3702" t="s">
        <v>16</v>
      </c>
      <c r="B3702" t="s">
        <v>3221</v>
      </c>
      <c r="C3702">
        <v>10411</v>
      </c>
      <c r="D3702" t="s">
        <v>159</v>
      </c>
      <c r="E3702" t="s">
        <v>160</v>
      </c>
      <c r="F3702">
        <v>20.8</v>
      </c>
      <c r="G3702">
        <v>230803</v>
      </c>
      <c r="H3702">
        <v>4362</v>
      </c>
      <c r="I3702" t="s">
        <v>79</v>
      </c>
      <c r="J3702">
        <v>25.79</v>
      </c>
      <c r="K3702">
        <v>4.99</v>
      </c>
      <c r="L3702">
        <v>13501</v>
      </c>
      <c r="M3702" t="s">
        <v>20</v>
      </c>
      <c r="N3702" t="str">
        <f t="shared" si="79"/>
        <v xml:space="preserve">913284424   </v>
      </c>
      <c r="O3702">
        <v>230815</v>
      </c>
    </row>
    <row r="3703" spans="1:15" x14ac:dyDescent="0.25">
      <c r="A3703" t="s">
        <v>16</v>
      </c>
      <c r="B3703" t="s">
        <v>3221</v>
      </c>
      <c r="C3703">
        <v>10411</v>
      </c>
      <c r="D3703" t="s">
        <v>159</v>
      </c>
      <c r="E3703" t="s">
        <v>160</v>
      </c>
      <c r="F3703">
        <v>18.399999999999999</v>
      </c>
      <c r="G3703">
        <v>230803</v>
      </c>
      <c r="H3703">
        <v>4362</v>
      </c>
      <c r="I3703" t="s">
        <v>79</v>
      </c>
      <c r="J3703">
        <v>22.82</v>
      </c>
      <c r="K3703">
        <v>4.42</v>
      </c>
      <c r="L3703">
        <v>13601</v>
      </c>
      <c r="M3703" t="s">
        <v>147</v>
      </c>
      <c r="N3703" t="str">
        <f t="shared" si="79"/>
        <v xml:space="preserve">913284424   </v>
      </c>
      <c r="O3703">
        <v>230815</v>
      </c>
    </row>
    <row r="3704" spans="1:15" x14ac:dyDescent="0.25">
      <c r="A3704" t="s">
        <v>16</v>
      </c>
      <c r="B3704" t="s">
        <v>3221</v>
      </c>
      <c r="C3704">
        <v>10411</v>
      </c>
      <c r="D3704" t="s">
        <v>159</v>
      </c>
      <c r="E3704" t="s">
        <v>160</v>
      </c>
      <c r="F3704">
        <v>17.600000000000001</v>
      </c>
      <c r="G3704">
        <v>230803</v>
      </c>
      <c r="H3704">
        <v>4362</v>
      </c>
      <c r="I3704" t="s">
        <v>79</v>
      </c>
      <c r="J3704">
        <v>21.82</v>
      </c>
      <c r="K3704">
        <v>4.22</v>
      </c>
      <c r="L3704">
        <v>13801</v>
      </c>
      <c r="M3704" t="s">
        <v>162</v>
      </c>
      <c r="N3704" t="str">
        <f t="shared" si="79"/>
        <v xml:space="preserve">913284424   </v>
      </c>
      <c r="O3704">
        <v>230815</v>
      </c>
    </row>
    <row r="3705" spans="1:15" x14ac:dyDescent="0.25">
      <c r="A3705" t="s">
        <v>16</v>
      </c>
      <c r="B3705" t="s">
        <v>3221</v>
      </c>
      <c r="C3705">
        <v>10411</v>
      </c>
      <c r="D3705" t="s">
        <v>159</v>
      </c>
      <c r="E3705" t="s">
        <v>160</v>
      </c>
      <c r="F3705">
        <v>80</v>
      </c>
      <c r="G3705">
        <v>230803</v>
      </c>
      <c r="H3705">
        <v>4362</v>
      </c>
      <c r="I3705" t="s">
        <v>79</v>
      </c>
      <c r="J3705">
        <v>99.2</v>
      </c>
      <c r="K3705">
        <v>19.2</v>
      </c>
      <c r="L3705">
        <v>18972</v>
      </c>
      <c r="M3705" t="s">
        <v>163</v>
      </c>
      <c r="N3705" t="str">
        <f t="shared" si="79"/>
        <v xml:space="preserve">913284424   </v>
      </c>
      <c r="O3705">
        <v>230815</v>
      </c>
    </row>
    <row r="3706" spans="1:15" x14ac:dyDescent="0.25">
      <c r="A3706" t="s">
        <v>16</v>
      </c>
      <c r="B3706" t="s">
        <v>3221</v>
      </c>
      <c r="C3706">
        <v>11940</v>
      </c>
      <c r="D3706" t="s">
        <v>159</v>
      </c>
      <c r="E3706" t="s">
        <v>160</v>
      </c>
      <c r="F3706">
        <v>2.4</v>
      </c>
      <c r="G3706">
        <v>230904</v>
      </c>
      <c r="H3706">
        <v>4362</v>
      </c>
      <c r="I3706" t="s">
        <v>79</v>
      </c>
      <c r="J3706">
        <v>2.98</v>
      </c>
      <c r="K3706">
        <v>0.57999999999999996</v>
      </c>
      <c r="L3706">
        <v>13201</v>
      </c>
      <c r="M3706" t="s">
        <v>161</v>
      </c>
      <c r="N3706" t="str">
        <f t="shared" ref="N3706:N3711" si="80">"913294579   "</f>
        <v xml:space="preserve">913294579   </v>
      </c>
      <c r="O3706">
        <v>230912</v>
      </c>
    </row>
    <row r="3707" spans="1:15" x14ac:dyDescent="0.25">
      <c r="A3707" t="s">
        <v>16</v>
      </c>
      <c r="B3707" t="s">
        <v>3221</v>
      </c>
      <c r="C3707">
        <v>11940</v>
      </c>
      <c r="D3707" t="s">
        <v>159</v>
      </c>
      <c r="E3707" t="s">
        <v>160</v>
      </c>
      <c r="F3707">
        <v>20.8</v>
      </c>
      <c r="G3707">
        <v>230904</v>
      </c>
      <c r="H3707">
        <v>4362</v>
      </c>
      <c r="I3707" t="s">
        <v>79</v>
      </c>
      <c r="J3707">
        <v>25.79</v>
      </c>
      <c r="K3707">
        <v>4.99</v>
      </c>
      <c r="L3707">
        <v>13401</v>
      </c>
      <c r="M3707" t="s">
        <v>80</v>
      </c>
      <c r="N3707" t="str">
        <f t="shared" si="80"/>
        <v xml:space="preserve">913294579   </v>
      </c>
      <c r="O3707">
        <v>230912</v>
      </c>
    </row>
    <row r="3708" spans="1:15" x14ac:dyDescent="0.25">
      <c r="A3708" t="s">
        <v>16</v>
      </c>
      <c r="B3708" t="s">
        <v>3221</v>
      </c>
      <c r="C3708">
        <v>11940</v>
      </c>
      <c r="D3708" t="s">
        <v>159</v>
      </c>
      <c r="E3708" t="s">
        <v>160</v>
      </c>
      <c r="F3708">
        <v>20.8</v>
      </c>
      <c r="G3708">
        <v>230904</v>
      </c>
      <c r="H3708">
        <v>4362</v>
      </c>
      <c r="I3708" t="s">
        <v>79</v>
      </c>
      <c r="J3708">
        <v>25.79</v>
      </c>
      <c r="K3708">
        <v>4.99</v>
      </c>
      <c r="L3708">
        <v>13501</v>
      </c>
      <c r="M3708" t="s">
        <v>20</v>
      </c>
      <c r="N3708" t="str">
        <f t="shared" si="80"/>
        <v xml:space="preserve">913294579   </v>
      </c>
      <c r="O3708">
        <v>230912</v>
      </c>
    </row>
    <row r="3709" spans="1:15" x14ac:dyDescent="0.25">
      <c r="A3709" t="s">
        <v>16</v>
      </c>
      <c r="B3709" t="s">
        <v>3221</v>
      </c>
      <c r="C3709">
        <v>11940</v>
      </c>
      <c r="D3709" t="s">
        <v>159</v>
      </c>
      <c r="E3709" t="s">
        <v>160</v>
      </c>
      <c r="F3709">
        <v>18.399999999999999</v>
      </c>
      <c r="G3709">
        <v>230904</v>
      </c>
      <c r="H3709">
        <v>4362</v>
      </c>
      <c r="I3709" t="s">
        <v>79</v>
      </c>
      <c r="J3709">
        <v>22.82</v>
      </c>
      <c r="K3709">
        <v>4.42</v>
      </c>
      <c r="L3709">
        <v>13601</v>
      </c>
      <c r="M3709" t="s">
        <v>147</v>
      </c>
      <c r="N3709" t="str">
        <f t="shared" si="80"/>
        <v xml:space="preserve">913294579   </v>
      </c>
      <c r="O3709">
        <v>230912</v>
      </c>
    </row>
    <row r="3710" spans="1:15" x14ac:dyDescent="0.25">
      <c r="A3710" t="s">
        <v>16</v>
      </c>
      <c r="B3710" t="s">
        <v>3221</v>
      </c>
      <c r="C3710">
        <v>11940</v>
      </c>
      <c r="D3710" t="s">
        <v>159</v>
      </c>
      <c r="E3710" t="s">
        <v>160</v>
      </c>
      <c r="F3710">
        <v>17.600000000000001</v>
      </c>
      <c r="G3710">
        <v>230904</v>
      </c>
      <c r="H3710">
        <v>4362</v>
      </c>
      <c r="I3710" t="s">
        <v>79</v>
      </c>
      <c r="J3710">
        <v>21.82</v>
      </c>
      <c r="K3710">
        <v>4.22</v>
      </c>
      <c r="L3710">
        <v>13801</v>
      </c>
      <c r="M3710" t="s">
        <v>162</v>
      </c>
      <c r="N3710" t="str">
        <f t="shared" si="80"/>
        <v xml:space="preserve">913294579   </v>
      </c>
      <c r="O3710">
        <v>230912</v>
      </c>
    </row>
    <row r="3711" spans="1:15" x14ac:dyDescent="0.25">
      <c r="A3711" t="s">
        <v>16</v>
      </c>
      <c r="B3711" t="s">
        <v>3221</v>
      </c>
      <c r="C3711">
        <v>11940</v>
      </c>
      <c r="D3711" t="s">
        <v>159</v>
      </c>
      <c r="E3711" t="s">
        <v>160</v>
      </c>
      <c r="F3711">
        <v>80</v>
      </c>
      <c r="G3711">
        <v>230904</v>
      </c>
      <c r="H3711">
        <v>4362</v>
      </c>
      <c r="I3711" t="s">
        <v>79</v>
      </c>
      <c r="J3711">
        <v>99.2</v>
      </c>
      <c r="K3711">
        <v>19.2</v>
      </c>
      <c r="L3711">
        <v>18972</v>
      </c>
      <c r="M3711" t="s">
        <v>163</v>
      </c>
      <c r="N3711" t="str">
        <f t="shared" si="80"/>
        <v xml:space="preserve">913294579   </v>
      </c>
      <c r="O3711">
        <v>230912</v>
      </c>
    </row>
    <row r="3712" spans="1:15" x14ac:dyDescent="0.25">
      <c r="A3712" t="s">
        <v>16</v>
      </c>
      <c r="B3712" t="s">
        <v>3221</v>
      </c>
      <c r="C3712">
        <v>13920</v>
      </c>
      <c r="D3712" t="s">
        <v>159</v>
      </c>
      <c r="E3712" t="s">
        <v>160</v>
      </c>
      <c r="F3712">
        <v>2.4</v>
      </c>
      <c r="G3712">
        <v>231003</v>
      </c>
      <c r="H3712">
        <v>4362</v>
      </c>
      <c r="I3712" t="s">
        <v>79</v>
      </c>
      <c r="J3712">
        <v>2.98</v>
      </c>
      <c r="K3712">
        <v>0.57999999999999996</v>
      </c>
      <c r="L3712">
        <v>13201</v>
      </c>
      <c r="M3712" t="s">
        <v>161</v>
      </c>
      <c r="N3712" t="str">
        <f t="shared" ref="N3712:N3717" si="81">"913305279   "</f>
        <v xml:space="preserve">913305279   </v>
      </c>
      <c r="O3712">
        <v>231016</v>
      </c>
    </row>
    <row r="3713" spans="1:15" x14ac:dyDescent="0.25">
      <c r="A3713" t="s">
        <v>16</v>
      </c>
      <c r="B3713" t="s">
        <v>3221</v>
      </c>
      <c r="C3713">
        <v>13920</v>
      </c>
      <c r="D3713" t="s">
        <v>159</v>
      </c>
      <c r="E3713" t="s">
        <v>160</v>
      </c>
      <c r="F3713">
        <v>20.8</v>
      </c>
      <c r="G3713">
        <v>231003</v>
      </c>
      <c r="H3713">
        <v>4362</v>
      </c>
      <c r="I3713" t="s">
        <v>79</v>
      </c>
      <c r="J3713">
        <v>25.79</v>
      </c>
      <c r="K3713">
        <v>4.99</v>
      </c>
      <c r="L3713">
        <v>13401</v>
      </c>
      <c r="M3713" t="s">
        <v>80</v>
      </c>
      <c r="N3713" t="str">
        <f t="shared" si="81"/>
        <v xml:space="preserve">913305279   </v>
      </c>
      <c r="O3713">
        <v>231016</v>
      </c>
    </row>
    <row r="3714" spans="1:15" x14ac:dyDescent="0.25">
      <c r="A3714" t="s">
        <v>16</v>
      </c>
      <c r="B3714" t="s">
        <v>3221</v>
      </c>
      <c r="C3714">
        <v>13920</v>
      </c>
      <c r="D3714" t="s">
        <v>159</v>
      </c>
      <c r="E3714" t="s">
        <v>160</v>
      </c>
      <c r="F3714">
        <v>20.8</v>
      </c>
      <c r="G3714">
        <v>231003</v>
      </c>
      <c r="H3714">
        <v>4362</v>
      </c>
      <c r="I3714" t="s">
        <v>79</v>
      </c>
      <c r="J3714">
        <v>25.79</v>
      </c>
      <c r="K3714">
        <v>4.99</v>
      </c>
      <c r="L3714">
        <v>13501</v>
      </c>
      <c r="M3714" t="s">
        <v>20</v>
      </c>
      <c r="N3714" t="str">
        <f t="shared" si="81"/>
        <v xml:space="preserve">913305279   </v>
      </c>
      <c r="O3714">
        <v>231016</v>
      </c>
    </row>
    <row r="3715" spans="1:15" x14ac:dyDescent="0.25">
      <c r="A3715" t="s">
        <v>16</v>
      </c>
      <c r="B3715" t="s">
        <v>3221</v>
      </c>
      <c r="C3715">
        <v>13920</v>
      </c>
      <c r="D3715" t="s">
        <v>159</v>
      </c>
      <c r="E3715" t="s">
        <v>160</v>
      </c>
      <c r="F3715">
        <v>18.399999999999999</v>
      </c>
      <c r="G3715">
        <v>231003</v>
      </c>
      <c r="H3715">
        <v>4362</v>
      </c>
      <c r="I3715" t="s">
        <v>79</v>
      </c>
      <c r="J3715">
        <v>22.82</v>
      </c>
      <c r="K3715">
        <v>4.42</v>
      </c>
      <c r="L3715">
        <v>13601</v>
      </c>
      <c r="M3715" t="s">
        <v>147</v>
      </c>
      <c r="N3715" t="str">
        <f t="shared" si="81"/>
        <v xml:space="preserve">913305279   </v>
      </c>
      <c r="O3715">
        <v>231016</v>
      </c>
    </row>
    <row r="3716" spans="1:15" x14ac:dyDescent="0.25">
      <c r="A3716" t="s">
        <v>16</v>
      </c>
      <c r="B3716" t="s">
        <v>3221</v>
      </c>
      <c r="C3716">
        <v>13920</v>
      </c>
      <c r="D3716" t="s">
        <v>159</v>
      </c>
      <c r="E3716" t="s">
        <v>160</v>
      </c>
      <c r="F3716">
        <v>17.600000000000001</v>
      </c>
      <c r="G3716">
        <v>231003</v>
      </c>
      <c r="H3716">
        <v>4362</v>
      </c>
      <c r="I3716" t="s">
        <v>79</v>
      </c>
      <c r="J3716">
        <v>21.82</v>
      </c>
      <c r="K3716">
        <v>4.22</v>
      </c>
      <c r="L3716">
        <v>13801</v>
      </c>
      <c r="M3716" t="s">
        <v>162</v>
      </c>
      <c r="N3716" t="str">
        <f t="shared" si="81"/>
        <v xml:space="preserve">913305279   </v>
      </c>
      <c r="O3716">
        <v>231016</v>
      </c>
    </row>
    <row r="3717" spans="1:15" x14ac:dyDescent="0.25">
      <c r="A3717" t="s">
        <v>16</v>
      </c>
      <c r="B3717" t="s">
        <v>3221</v>
      </c>
      <c r="C3717">
        <v>13920</v>
      </c>
      <c r="D3717" t="s">
        <v>159</v>
      </c>
      <c r="E3717" t="s">
        <v>160</v>
      </c>
      <c r="F3717">
        <v>80</v>
      </c>
      <c r="G3717">
        <v>231003</v>
      </c>
      <c r="H3717">
        <v>4362</v>
      </c>
      <c r="I3717" t="s">
        <v>79</v>
      </c>
      <c r="J3717">
        <v>99.2</v>
      </c>
      <c r="K3717">
        <v>19.2</v>
      </c>
      <c r="L3717">
        <v>18972</v>
      </c>
      <c r="M3717" t="s">
        <v>163</v>
      </c>
      <c r="N3717" t="str">
        <f t="shared" si="81"/>
        <v xml:space="preserve">913305279   </v>
      </c>
      <c r="O3717">
        <v>231016</v>
      </c>
    </row>
    <row r="3718" spans="1:15" x14ac:dyDescent="0.25">
      <c r="A3718" t="s">
        <v>16</v>
      </c>
      <c r="B3718" t="s">
        <v>3221</v>
      </c>
      <c r="C3718">
        <v>15361</v>
      </c>
      <c r="D3718" t="s">
        <v>159</v>
      </c>
      <c r="E3718" t="s">
        <v>160</v>
      </c>
      <c r="F3718">
        <v>2.4</v>
      </c>
      <c r="G3718">
        <v>231103</v>
      </c>
      <c r="H3718">
        <v>4362</v>
      </c>
      <c r="I3718" t="s">
        <v>79</v>
      </c>
      <c r="J3718">
        <v>2.98</v>
      </c>
      <c r="K3718">
        <v>0.57999999999999996</v>
      </c>
      <c r="L3718">
        <v>13201</v>
      </c>
      <c r="M3718" t="s">
        <v>161</v>
      </c>
      <c r="N3718" t="str">
        <f t="shared" ref="N3718:N3723" si="82">"913316060   "</f>
        <v xml:space="preserve">913316060   </v>
      </c>
      <c r="O3718">
        <v>231113</v>
      </c>
    </row>
    <row r="3719" spans="1:15" x14ac:dyDescent="0.25">
      <c r="A3719" t="s">
        <v>16</v>
      </c>
      <c r="B3719" t="s">
        <v>3221</v>
      </c>
      <c r="C3719">
        <v>15361</v>
      </c>
      <c r="D3719" t="s">
        <v>159</v>
      </c>
      <c r="E3719" t="s">
        <v>160</v>
      </c>
      <c r="F3719">
        <v>20.8</v>
      </c>
      <c r="G3719">
        <v>231103</v>
      </c>
      <c r="H3719">
        <v>4362</v>
      </c>
      <c r="I3719" t="s">
        <v>79</v>
      </c>
      <c r="J3719">
        <v>25.79</v>
      </c>
      <c r="K3719">
        <v>4.99</v>
      </c>
      <c r="L3719">
        <v>13401</v>
      </c>
      <c r="M3719" t="s">
        <v>80</v>
      </c>
      <c r="N3719" t="str">
        <f t="shared" si="82"/>
        <v xml:space="preserve">913316060   </v>
      </c>
      <c r="O3719">
        <v>231113</v>
      </c>
    </row>
    <row r="3720" spans="1:15" x14ac:dyDescent="0.25">
      <c r="A3720" t="s">
        <v>16</v>
      </c>
      <c r="B3720" t="s">
        <v>3221</v>
      </c>
      <c r="C3720">
        <v>15361</v>
      </c>
      <c r="D3720" t="s">
        <v>159</v>
      </c>
      <c r="E3720" t="s">
        <v>160</v>
      </c>
      <c r="F3720">
        <v>20.8</v>
      </c>
      <c r="G3720">
        <v>231103</v>
      </c>
      <c r="H3720">
        <v>4362</v>
      </c>
      <c r="I3720" t="s">
        <v>79</v>
      </c>
      <c r="J3720">
        <v>25.79</v>
      </c>
      <c r="K3720">
        <v>4.99</v>
      </c>
      <c r="L3720">
        <v>13501</v>
      </c>
      <c r="M3720" t="s">
        <v>20</v>
      </c>
      <c r="N3720" t="str">
        <f t="shared" si="82"/>
        <v xml:space="preserve">913316060   </v>
      </c>
      <c r="O3720">
        <v>231113</v>
      </c>
    </row>
    <row r="3721" spans="1:15" x14ac:dyDescent="0.25">
      <c r="A3721" t="s">
        <v>16</v>
      </c>
      <c r="B3721" t="s">
        <v>3221</v>
      </c>
      <c r="C3721">
        <v>15361</v>
      </c>
      <c r="D3721" t="s">
        <v>159</v>
      </c>
      <c r="E3721" t="s">
        <v>160</v>
      </c>
      <c r="F3721">
        <v>18.399999999999999</v>
      </c>
      <c r="G3721">
        <v>231103</v>
      </c>
      <c r="H3721">
        <v>4362</v>
      </c>
      <c r="I3721" t="s">
        <v>79</v>
      </c>
      <c r="J3721">
        <v>22.82</v>
      </c>
      <c r="K3721">
        <v>4.42</v>
      </c>
      <c r="L3721">
        <v>13601</v>
      </c>
      <c r="M3721" t="s">
        <v>147</v>
      </c>
      <c r="N3721" t="str">
        <f t="shared" si="82"/>
        <v xml:space="preserve">913316060   </v>
      </c>
      <c r="O3721">
        <v>231113</v>
      </c>
    </row>
    <row r="3722" spans="1:15" x14ac:dyDescent="0.25">
      <c r="A3722" t="s">
        <v>16</v>
      </c>
      <c r="B3722" t="s">
        <v>3221</v>
      </c>
      <c r="C3722">
        <v>15361</v>
      </c>
      <c r="D3722" t="s">
        <v>159</v>
      </c>
      <c r="E3722" t="s">
        <v>160</v>
      </c>
      <c r="F3722">
        <v>17.600000000000001</v>
      </c>
      <c r="G3722">
        <v>231103</v>
      </c>
      <c r="H3722">
        <v>4362</v>
      </c>
      <c r="I3722" t="s">
        <v>79</v>
      </c>
      <c r="J3722">
        <v>21.82</v>
      </c>
      <c r="K3722">
        <v>4.22</v>
      </c>
      <c r="L3722">
        <v>13801</v>
      </c>
      <c r="M3722" t="s">
        <v>162</v>
      </c>
      <c r="N3722" t="str">
        <f t="shared" si="82"/>
        <v xml:space="preserve">913316060   </v>
      </c>
      <c r="O3722">
        <v>231113</v>
      </c>
    </row>
    <row r="3723" spans="1:15" x14ac:dyDescent="0.25">
      <c r="A3723" t="s">
        <v>16</v>
      </c>
      <c r="B3723" t="s">
        <v>3221</v>
      </c>
      <c r="C3723">
        <v>15361</v>
      </c>
      <c r="D3723" t="s">
        <v>159</v>
      </c>
      <c r="E3723" t="s">
        <v>160</v>
      </c>
      <c r="F3723">
        <v>80</v>
      </c>
      <c r="G3723">
        <v>231103</v>
      </c>
      <c r="H3723">
        <v>4362</v>
      </c>
      <c r="I3723" t="s">
        <v>79</v>
      </c>
      <c r="J3723">
        <v>99.2</v>
      </c>
      <c r="K3723">
        <v>19.2</v>
      </c>
      <c r="L3723">
        <v>18972</v>
      </c>
      <c r="M3723" t="s">
        <v>163</v>
      </c>
      <c r="N3723" t="str">
        <f t="shared" si="82"/>
        <v xml:space="preserve">913316060   </v>
      </c>
      <c r="O3723">
        <v>231113</v>
      </c>
    </row>
    <row r="3724" spans="1:15" x14ac:dyDescent="0.25">
      <c r="A3724" t="s">
        <v>16</v>
      </c>
      <c r="B3724" t="s">
        <v>3221</v>
      </c>
      <c r="C3724">
        <v>17368</v>
      </c>
      <c r="D3724" t="s">
        <v>159</v>
      </c>
      <c r="E3724" t="s">
        <v>160</v>
      </c>
      <c r="F3724">
        <v>2.4</v>
      </c>
      <c r="G3724">
        <v>231204</v>
      </c>
      <c r="H3724">
        <v>4362</v>
      </c>
      <c r="I3724" t="s">
        <v>79</v>
      </c>
      <c r="J3724">
        <v>2.98</v>
      </c>
      <c r="K3724">
        <v>0.57999999999999996</v>
      </c>
      <c r="L3724">
        <v>13201</v>
      </c>
      <c r="M3724" t="s">
        <v>161</v>
      </c>
      <c r="N3724" t="str">
        <f t="shared" ref="N3724:N3729" si="83">"913326822   "</f>
        <v xml:space="preserve">913326822   </v>
      </c>
      <c r="O3724">
        <v>231213</v>
      </c>
    </row>
    <row r="3725" spans="1:15" x14ac:dyDescent="0.25">
      <c r="A3725" t="s">
        <v>16</v>
      </c>
      <c r="B3725" t="s">
        <v>3221</v>
      </c>
      <c r="C3725">
        <v>17368</v>
      </c>
      <c r="D3725" t="s">
        <v>159</v>
      </c>
      <c r="E3725" t="s">
        <v>160</v>
      </c>
      <c r="F3725">
        <v>20.8</v>
      </c>
      <c r="G3725">
        <v>231204</v>
      </c>
      <c r="H3725">
        <v>4362</v>
      </c>
      <c r="I3725" t="s">
        <v>79</v>
      </c>
      <c r="J3725">
        <v>25.79</v>
      </c>
      <c r="K3725">
        <v>4.99</v>
      </c>
      <c r="L3725">
        <v>13401</v>
      </c>
      <c r="M3725" t="s">
        <v>80</v>
      </c>
      <c r="N3725" t="str">
        <f t="shared" si="83"/>
        <v xml:space="preserve">913326822   </v>
      </c>
      <c r="O3725">
        <v>231213</v>
      </c>
    </row>
    <row r="3726" spans="1:15" x14ac:dyDescent="0.25">
      <c r="A3726" t="s">
        <v>16</v>
      </c>
      <c r="B3726" t="s">
        <v>3221</v>
      </c>
      <c r="C3726">
        <v>17368</v>
      </c>
      <c r="D3726" t="s">
        <v>159</v>
      </c>
      <c r="E3726" t="s">
        <v>160</v>
      </c>
      <c r="F3726">
        <v>20.8</v>
      </c>
      <c r="G3726">
        <v>231204</v>
      </c>
      <c r="H3726">
        <v>4362</v>
      </c>
      <c r="I3726" t="s">
        <v>79</v>
      </c>
      <c r="J3726">
        <v>25.79</v>
      </c>
      <c r="K3726">
        <v>4.99</v>
      </c>
      <c r="L3726">
        <v>13501</v>
      </c>
      <c r="M3726" t="s">
        <v>20</v>
      </c>
      <c r="N3726" t="str">
        <f t="shared" si="83"/>
        <v xml:space="preserve">913326822   </v>
      </c>
      <c r="O3726">
        <v>231213</v>
      </c>
    </row>
    <row r="3727" spans="1:15" x14ac:dyDescent="0.25">
      <c r="A3727" t="s">
        <v>16</v>
      </c>
      <c r="B3727" t="s">
        <v>3221</v>
      </c>
      <c r="C3727">
        <v>17368</v>
      </c>
      <c r="D3727" t="s">
        <v>159</v>
      </c>
      <c r="E3727" t="s">
        <v>160</v>
      </c>
      <c r="F3727">
        <v>18.399999999999999</v>
      </c>
      <c r="G3727">
        <v>231204</v>
      </c>
      <c r="H3727">
        <v>4362</v>
      </c>
      <c r="I3727" t="s">
        <v>79</v>
      </c>
      <c r="J3727">
        <v>22.82</v>
      </c>
      <c r="K3727">
        <v>4.42</v>
      </c>
      <c r="L3727">
        <v>13601</v>
      </c>
      <c r="M3727" t="s">
        <v>147</v>
      </c>
      <c r="N3727" t="str">
        <f t="shared" si="83"/>
        <v xml:space="preserve">913326822   </v>
      </c>
      <c r="O3727">
        <v>231213</v>
      </c>
    </row>
    <row r="3728" spans="1:15" x14ac:dyDescent="0.25">
      <c r="A3728" t="s">
        <v>16</v>
      </c>
      <c r="B3728" t="s">
        <v>3221</v>
      </c>
      <c r="C3728">
        <v>17368</v>
      </c>
      <c r="D3728" t="s">
        <v>159</v>
      </c>
      <c r="E3728" t="s">
        <v>160</v>
      </c>
      <c r="F3728">
        <v>17.600000000000001</v>
      </c>
      <c r="G3728">
        <v>231204</v>
      </c>
      <c r="H3728">
        <v>4362</v>
      </c>
      <c r="I3728" t="s">
        <v>79</v>
      </c>
      <c r="J3728">
        <v>21.82</v>
      </c>
      <c r="K3728">
        <v>4.22</v>
      </c>
      <c r="L3728">
        <v>13801</v>
      </c>
      <c r="M3728" t="s">
        <v>162</v>
      </c>
      <c r="N3728" t="str">
        <f t="shared" si="83"/>
        <v xml:space="preserve">913326822   </v>
      </c>
      <c r="O3728">
        <v>231213</v>
      </c>
    </row>
    <row r="3729" spans="1:15" x14ac:dyDescent="0.25">
      <c r="A3729" t="s">
        <v>16</v>
      </c>
      <c r="B3729" t="s">
        <v>3221</v>
      </c>
      <c r="C3729">
        <v>17368</v>
      </c>
      <c r="D3729" t="s">
        <v>159</v>
      </c>
      <c r="E3729" t="s">
        <v>160</v>
      </c>
      <c r="F3729">
        <v>80</v>
      </c>
      <c r="G3729">
        <v>231204</v>
      </c>
      <c r="H3729">
        <v>4362</v>
      </c>
      <c r="I3729" t="s">
        <v>79</v>
      </c>
      <c r="J3729">
        <v>99.2</v>
      </c>
      <c r="K3729">
        <v>19.2</v>
      </c>
      <c r="L3729">
        <v>18972</v>
      </c>
      <c r="M3729" t="s">
        <v>163</v>
      </c>
      <c r="N3729" t="str">
        <f t="shared" si="83"/>
        <v xml:space="preserve">913326822   </v>
      </c>
      <c r="O3729">
        <v>231213</v>
      </c>
    </row>
    <row r="3730" spans="1:15" x14ac:dyDescent="0.25">
      <c r="A3730" t="s">
        <v>16</v>
      </c>
      <c r="B3730" t="s">
        <v>3221</v>
      </c>
      <c r="C3730">
        <v>4303</v>
      </c>
      <c r="D3730" t="s">
        <v>1011</v>
      </c>
      <c r="E3730" t="s">
        <v>1012</v>
      </c>
      <c r="F3730">
        <v>31.5</v>
      </c>
      <c r="G3730">
        <v>230330</v>
      </c>
      <c r="H3730">
        <v>4520</v>
      </c>
      <c r="I3730" t="s">
        <v>254</v>
      </c>
      <c r="J3730">
        <v>39.06</v>
      </c>
      <c r="K3730">
        <v>7.56</v>
      </c>
      <c r="L3730">
        <v>17915</v>
      </c>
      <c r="M3730" t="s">
        <v>572</v>
      </c>
      <c r="N3730" t="str">
        <f>"12133       "</f>
        <v xml:space="preserve">12133       </v>
      </c>
      <c r="O3730">
        <v>230404</v>
      </c>
    </row>
    <row r="3731" spans="1:15" x14ac:dyDescent="0.25">
      <c r="A3731" t="s">
        <v>16</v>
      </c>
      <c r="B3731" t="s">
        <v>3221</v>
      </c>
      <c r="C3731">
        <v>4303</v>
      </c>
      <c r="D3731" t="s">
        <v>1011</v>
      </c>
      <c r="E3731" t="s">
        <v>1012</v>
      </c>
      <c r="F3731">
        <v>103.68</v>
      </c>
      <c r="G3731">
        <v>230330</v>
      </c>
      <c r="H3731">
        <v>4520</v>
      </c>
      <c r="I3731" t="s">
        <v>254</v>
      </c>
      <c r="J3731">
        <v>118.2</v>
      </c>
      <c r="K3731">
        <v>14.52</v>
      </c>
      <c r="L3731">
        <v>17915</v>
      </c>
      <c r="M3731" t="s">
        <v>572</v>
      </c>
      <c r="N3731" t="str">
        <f>"12133       "</f>
        <v xml:space="preserve">12133       </v>
      </c>
      <c r="O3731">
        <v>230404</v>
      </c>
    </row>
    <row r="3732" spans="1:15" x14ac:dyDescent="0.25">
      <c r="A3732" t="s">
        <v>16</v>
      </c>
      <c r="B3732" t="s">
        <v>3221</v>
      </c>
      <c r="C3732">
        <v>4303</v>
      </c>
      <c r="D3732" t="s">
        <v>1011</v>
      </c>
      <c r="E3732" t="s">
        <v>1012</v>
      </c>
      <c r="F3732">
        <v>3.5</v>
      </c>
      <c r="G3732">
        <v>230330</v>
      </c>
      <c r="H3732">
        <v>4520</v>
      </c>
      <c r="I3732" t="s">
        <v>254</v>
      </c>
      <c r="J3732">
        <v>4.34</v>
      </c>
      <c r="K3732">
        <v>0.84</v>
      </c>
      <c r="L3732">
        <v>17982</v>
      </c>
      <c r="M3732" t="s">
        <v>432</v>
      </c>
      <c r="N3732" t="str">
        <f>"12133       "</f>
        <v xml:space="preserve">12133       </v>
      </c>
      <c r="O3732">
        <v>230404</v>
      </c>
    </row>
    <row r="3733" spans="1:15" x14ac:dyDescent="0.25">
      <c r="A3733" t="s">
        <v>16</v>
      </c>
      <c r="B3733" t="s">
        <v>3221</v>
      </c>
      <c r="C3733">
        <v>4303</v>
      </c>
      <c r="D3733" t="s">
        <v>1011</v>
      </c>
      <c r="E3733" t="s">
        <v>1012</v>
      </c>
      <c r="F3733">
        <v>11.52</v>
      </c>
      <c r="G3733">
        <v>230330</v>
      </c>
      <c r="H3733">
        <v>4520</v>
      </c>
      <c r="I3733" t="s">
        <v>254</v>
      </c>
      <c r="J3733">
        <v>13.13</v>
      </c>
      <c r="K3733">
        <v>1.61</v>
      </c>
      <c r="L3733">
        <v>17982</v>
      </c>
      <c r="M3733" t="s">
        <v>432</v>
      </c>
      <c r="N3733" t="str">
        <f>"12133       "</f>
        <v xml:space="preserve">12133       </v>
      </c>
      <c r="O3733">
        <v>230404</v>
      </c>
    </row>
    <row r="3734" spans="1:15" x14ac:dyDescent="0.25">
      <c r="A3734" t="s">
        <v>16</v>
      </c>
      <c r="B3734" t="s">
        <v>3221</v>
      </c>
      <c r="C3734">
        <v>4703</v>
      </c>
      <c r="D3734" t="s">
        <v>1011</v>
      </c>
      <c r="E3734" t="s">
        <v>1012</v>
      </c>
      <c r="F3734">
        <v>31.5</v>
      </c>
      <c r="G3734">
        <v>230330</v>
      </c>
      <c r="H3734">
        <v>4520</v>
      </c>
      <c r="I3734" t="s">
        <v>254</v>
      </c>
      <c r="J3734">
        <v>39.06</v>
      </c>
      <c r="K3734">
        <v>7.56</v>
      </c>
      <c r="L3734">
        <v>17913</v>
      </c>
      <c r="M3734" t="s">
        <v>431</v>
      </c>
      <c r="N3734" t="str">
        <f>"12132       "</f>
        <v xml:space="preserve">12132       </v>
      </c>
      <c r="O3734">
        <v>230412</v>
      </c>
    </row>
    <row r="3735" spans="1:15" x14ac:dyDescent="0.25">
      <c r="A3735" t="s">
        <v>16</v>
      </c>
      <c r="B3735" t="s">
        <v>3221</v>
      </c>
      <c r="C3735">
        <v>4703</v>
      </c>
      <c r="D3735" t="s">
        <v>1011</v>
      </c>
      <c r="E3735" t="s">
        <v>1012</v>
      </c>
      <c r="F3735">
        <v>123.48</v>
      </c>
      <c r="G3735">
        <v>230330</v>
      </c>
      <c r="H3735">
        <v>4520</v>
      </c>
      <c r="I3735" t="s">
        <v>254</v>
      </c>
      <c r="J3735">
        <v>140.77000000000001</v>
      </c>
      <c r="K3735">
        <v>17.29</v>
      </c>
      <c r="L3735">
        <v>17913</v>
      </c>
      <c r="M3735" t="s">
        <v>431</v>
      </c>
      <c r="N3735" t="str">
        <f>"12132       "</f>
        <v xml:space="preserve">12132       </v>
      </c>
      <c r="O3735">
        <v>230412</v>
      </c>
    </row>
    <row r="3736" spans="1:15" x14ac:dyDescent="0.25">
      <c r="A3736" t="s">
        <v>16</v>
      </c>
      <c r="B3736" t="s">
        <v>3221</v>
      </c>
      <c r="C3736">
        <v>4703</v>
      </c>
      <c r="D3736" t="s">
        <v>1011</v>
      </c>
      <c r="E3736" t="s">
        <v>1012</v>
      </c>
      <c r="F3736">
        <v>3.5</v>
      </c>
      <c r="G3736">
        <v>230330</v>
      </c>
      <c r="H3736">
        <v>4520</v>
      </c>
      <c r="I3736" t="s">
        <v>254</v>
      </c>
      <c r="J3736">
        <v>4.34</v>
      </c>
      <c r="K3736">
        <v>0.84</v>
      </c>
      <c r="L3736">
        <v>17982</v>
      </c>
      <c r="M3736" t="s">
        <v>432</v>
      </c>
      <c r="N3736" t="str">
        <f>"12132       "</f>
        <v xml:space="preserve">12132       </v>
      </c>
      <c r="O3736">
        <v>230412</v>
      </c>
    </row>
    <row r="3737" spans="1:15" x14ac:dyDescent="0.25">
      <c r="A3737" t="s">
        <v>16</v>
      </c>
      <c r="B3737" t="s">
        <v>3221</v>
      </c>
      <c r="C3737">
        <v>4703</v>
      </c>
      <c r="D3737" t="s">
        <v>1011</v>
      </c>
      <c r="E3737" t="s">
        <v>1012</v>
      </c>
      <c r="F3737">
        <v>13.72</v>
      </c>
      <c r="G3737">
        <v>230330</v>
      </c>
      <c r="H3737">
        <v>4520</v>
      </c>
      <c r="I3737" t="s">
        <v>254</v>
      </c>
      <c r="J3737">
        <v>15.64</v>
      </c>
      <c r="K3737">
        <v>1.92</v>
      </c>
      <c r="L3737">
        <v>17982</v>
      </c>
      <c r="M3737" t="s">
        <v>432</v>
      </c>
      <c r="N3737" t="str">
        <f>"12132       "</f>
        <v xml:space="preserve">12132       </v>
      </c>
      <c r="O3737">
        <v>230412</v>
      </c>
    </row>
    <row r="3738" spans="1:15" x14ac:dyDescent="0.25">
      <c r="A3738" t="s">
        <v>16</v>
      </c>
      <c r="B3738" t="s">
        <v>3221</v>
      </c>
      <c r="C3738">
        <v>10926</v>
      </c>
      <c r="D3738" t="s">
        <v>1011</v>
      </c>
      <c r="E3738" t="s">
        <v>1012</v>
      </c>
      <c r="F3738">
        <v>274.39999999999998</v>
      </c>
      <c r="G3738">
        <v>230823</v>
      </c>
      <c r="H3738">
        <v>4520</v>
      </c>
      <c r="I3738" t="s">
        <v>254</v>
      </c>
      <c r="J3738">
        <v>312.82</v>
      </c>
      <c r="K3738">
        <v>38.42</v>
      </c>
      <c r="L3738">
        <v>17913</v>
      </c>
      <c r="M3738" t="s">
        <v>431</v>
      </c>
      <c r="N3738" t="str">
        <f>"12384       "</f>
        <v xml:space="preserve">12384       </v>
      </c>
      <c r="O3738">
        <v>230825</v>
      </c>
    </row>
    <row r="3739" spans="1:15" x14ac:dyDescent="0.25">
      <c r="A3739" t="s">
        <v>16</v>
      </c>
      <c r="B3739" t="s">
        <v>3221</v>
      </c>
      <c r="C3739">
        <v>11331</v>
      </c>
      <c r="D3739" t="s">
        <v>1011</v>
      </c>
      <c r="E3739" t="s">
        <v>1012</v>
      </c>
      <c r="F3739">
        <v>115.2</v>
      </c>
      <c r="G3739">
        <v>230901</v>
      </c>
      <c r="H3739">
        <v>4520</v>
      </c>
      <c r="I3739" t="s">
        <v>254</v>
      </c>
      <c r="J3739">
        <v>131.33000000000001</v>
      </c>
      <c r="K3739">
        <v>16.13</v>
      </c>
      <c r="L3739">
        <v>17915</v>
      </c>
      <c r="M3739" t="s">
        <v>572</v>
      </c>
      <c r="N3739" t="str">
        <f>"12406       "</f>
        <v xml:space="preserve">12406       </v>
      </c>
      <c r="O3739">
        <v>230904</v>
      </c>
    </row>
    <row r="3740" spans="1:15" x14ac:dyDescent="0.25">
      <c r="A3740" t="s">
        <v>16</v>
      </c>
      <c r="B3740" t="s">
        <v>3221</v>
      </c>
      <c r="C3740">
        <v>12573</v>
      </c>
      <c r="D3740" t="s">
        <v>1011</v>
      </c>
      <c r="E3740" t="s">
        <v>1012</v>
      </c>
      <c r="F3740">
        <v>343</v>
      </c>
      <c r="G3740">
        <v>230912</v>
      </c>
      <c r="H3740">
        <v>4520</v>
      </c>
      <c r="I3740" t="s">
        <v>254</v>
      </c>
      <c r="J3740">
        <v>391.02</v>
      </c>
      <c r="K3740">
        <v>48.02</v>
      </c>
      <c r="L3740">
        <v>49112</v>
      </c>
      <c r="M3740" t="s">
        <v>233</v>
      </c>
      <c r="N3740" t="str">
        <f>"12447       "</f>
        <v xml:space="preserve">12447       </v>
      </c>
      <c r="O3740">
        <v>230922</v>
      </c>
    </row>
    <row r="3741" spans="1:15" x14ac:dyDescent="0.25">
      <c r="A3741" t="s">
        <v>16</v>
      </c>
      <c r="B3741" t="s">
        <v>3221</v>
      </c>
      <c r="C3741">
        <v>16656</v>
      </c>
      <c r="D3741" t="s">
        <v>1011</v>
      </c>
      <c r="E3741" t="s">
        <v>1012</v>
      </c>
      <c r="F3741">
        <v>31.5</v>
      </c>
      <c r="G3741">
        <v>231201</v>
      </c>
      <c r="H3741">
        <v>4520</v>
      </c>
      <c r="I3741" t="s">
        <v>254</v>
      </c>
      <c r="J3741">
        <v>39.06</v>
      </c>
      <c r="K3741">
        <v>7.56</v>
      </c>
      <c r="L3741">
        <v>17915</v>
      </c>
      <c r="M3741" t="s">
        <v>572</v>
      </c>
      <c r="N3741" t="str">
        <f>"12693       "</f>
        <v xml:space="preserve">12693       </v>
      </c>
      <c r="O3741">
        <v>231205</v>
      </c>
    </row>
    <row r="3742" spans="1:15" x14ac:dyDescent="0.25">
      <c r="A3742" t="s">
        <v>16</v>
      </c>
      <c r="B3742" t="s">
        <v>3221</v>
      </c>
      <c r="C3742">
        <v>16656</v>
      </c>
      <c r="D3742" t="s">
        <v>1011</v>
      </c>
      <c r="E3742" t="s">
        <v>1012</v>
      </c>
      <c r="F3742">
        <v>103.68</v>
      </c>
      <c r="G3742">
        <v>231201</v>
      </c>
      <c r="H3742">
        <v>4520</v>
      </c>
      <c r="I3742" t="s">
        <v>254</v>
      </c>
      <c r="J3742">
        <v>118.2</v>
      </c>
      <c r="K3742">
        <v>14.52</v>
      </c>
      <c r="L3742">
        <v>17915</v>
      </c>
      <c r="M3742" t="s">
        <v>572</v>
      </c>
      <c r="N3742" t="str">
        <f>"12693       "</f>
        <v xml:space="preserve">12693       </v>
      </c>
      <c r="O3742">
        <v>231205</v>
      </c>
    </row>
    <row r="3743" spans="1:15" x14ac:dyDescent="0.25">
      <c r="A3743" t="s">
        <v>16</v>
      </c>
      <c r="B3743" t="s">
        <v>3221</v>
      </c>
      <c r="C3743">
        <v>16656</v>
      </c>
      <c r="D3743" t="s">
        <v>1011</v>
      </c>
      <c r="E3743" t="s">
        <v>1012</v>
      </c>
      <c r="F3743">
        <v>3.5</v>
      </c>
      <c r="G3743">
        <v>231201</v>
      </c>
      <c r="H3743">
        <v>4520</v>
      </c>
      <c r="I3743" t="s">
        <v>254</v>
      </c>
      <c r="J3743">
        <v>4.34</v>
      </c>
      <c r="K3743">
        <v>0.84</v>
      </c>
      <c r="L3743">
        <v>17982</v>
      </c>
      <c r="M3743" t="s">
        <v>432</v>
      </c>
      <c r="N3743" t="str">
        <f>"12693       "</f>
        <v xml:space="preserve">12693       </v>
      </c>
      <c r="O3743">
        <v>231205</v>
      </c>
    </row>
    <row r="3744" spans="1:15" x14ac:dyDescent="0.25">
      <c r="A3744" t="s">
        <v>16</v>
      </c>
      <c r="B3744" t="s">
        <v>3221</v>
      </c>
      <c r="C3744">
        <v>16656</v>
      </c>
      <c r="D3744" t="s">
        <v>1011</v>
      </c>
      <c r="E3744" t="s">
        <v>1012</v>
      </c>
      <c r="F3744">
        <v>11.52</v>
      </c>
      <c r="G3744">
        <v>231201</v>
      </c>
      <c r="H3744">
        <v>4520</v>
      </c>
      <c r="I3744" t="s">
        <v>254</v>
      </c>
      <c r="J3744">
        <v>13.13</v>
      </c>
      <c r="K3744">
        <v>1.61</v>
      </c>
      <c r="L3744">
        <v>17982</v>
      </c>
      <c r="M3744" t="s">
        <v>432</v>
      </c>
      <c r="N3744" t="str">
        <f>"12693       "</f>
        <v xml:space="preserve">12693       </v>
      </c>
      <c r="O3744">
        <v>231205</v>
      </c>
    </row>
    <row r="3745" spans="1:15" x14ac:dyDescent="0.25">
      <c r="A3745" t="s">
        <v>16</v>
      </c>
      <c r="B3745" t="s">
        <v>3221</v>
      </c>
      <c r="C3745">
        <v>10926</v>
      </c>
      <c r="D3745" t="s">
        <v>1011</v>
      </c>
      <c r="E3745" t="s">
        <v>1012</v>
      </c>
      <c r="F3745">
        <v>20</v>
      </c>
      <c r="G3745">
        <v>230823</v>
      </c>
      <c r="H3745">
        <v>4420</v>
      </c>
      <c r="I3745" t="s">
        <v>132</v>
      </c>
      <c r="J3745">
        <v>24.8</v>
      </c>
      <c r="K3745">
        <v>4.8</v>
      </c>
      <c r="L3745">
        <v>17913</v>
      </c>
      <c r="M3745" t="s">
        <v>431</v>
      </c>
      <c r="N3745" t="str">
        <f>"12384       "</f>
        <v xml:space="preserve">12384       </v>
      </c>
      <c r="O3745">
        <v>230825</v>
      </c>
    </row>
    <row r="3746" spans="1:15" x14ac:dyDescent="0.25">
      <c r="A3746" t="s">
        <v>16</v>
      </c>
      <c r="B3746" t="s">
        <v>3221</v>
      </c>
      <c r="C3746">
        <v>11331</v>
      </c>
      <c r="D3746" t="s">
        <v>1011</v>
      </c>
      <c r="E3746" t="s">
        <v>1012</v>
      </c>
      <c r="F3746">
        <v>35</v>
      </c>
      <c r="G3746">
        <v>230901</v>
      </c>
      <c r="H3746">
        <v>4420</v>
      </c>
      <c r="I3746" t="s">
        <v>132</v>
      </c>
      <c r="J3746">
        <v>43.4</v>
      </c>
      <c r="K3746">
        <v>8.4</v>
      </c>
      <c r="L3746">
        <v>17915</v>
      </c>
      <c r="M3746" t="s">
        <v>572</v>
      </c>
      <c r="N3746" t="str">
        <f>"12406       "</f>
        <v xml:space="preserve">12406       </v>
      </c>
      <c r="O3746">
        <v>230904</v>
      </c>
    </row>
    <row r="3747" spans="1:15" x14ac:dyDescent="0.25">
      <c r="A3747" t="s">
        <v>16</v>
      </c>
      <c r="B3747" t="s">
        <v>3221</v>
      </c>
      <c r="C3747">
        <v>12573</v>
      </c>
      <c r="D3747" t="s">
        <v>1011</v>
      </c>
      <c r="E3747" t="s">
        <v>1012</v>
      </c>
      <c r="F3747">
        <v>20</v>
      </c>
      <c r="G3747">
        <v>230912</v>
      </c>
      <c r="H3747">
        <v>4420</v>
      </c>
      <c r="I3747" t="s">
        <v>132</v>
      </c>
      <c r="J3747">
        <v>24.8</v>
      </c>
      <c r="K3747">
        <v>4.8</v>
      </c>
      <c r="L3747">
        <v>49112</v>
      </c>
      <c r="M3747" t="s">
        <v>233</v>
      </c>
      <c r="N3747" t="str">
        <f>"12447       "</f>
        <v xml:space="preserve">12447       </v>
      </c>
      <c r="O3747">
        <v>230922</v>
      </c>
    </row>
    <row r="3748" spans="1:15" x14ac:dyDescent="0.25">
      <c r="A3748" t="s">
        <v>16</v>
      </c>
      <c r="B3748" t="s">
        <v>3221</v>
      </c>
      <c r="C3748">
        <v>1346</v>
      </c>
      <c r="D3748" t="s">
        <v>1011</v>
      </c>
      <c r="E3748" t="s">
        <v>1012</v>
      </c>
      <c r="F3748">
        <v>550</v>
      </c>
      <c r="G3748">
        <v>230201</v>
      </c>
      <c r="H3748">
        <v>4600</v>
      </c>
      <c r="I3748" t="s">
        <v>105</v>
      </c>
      <c r="J3748">
        <v>682</v>
      </c>
      <c r="K3748">
        <v>132</v>
      </c>
      <c r="L3748">
        <v>49112</v>
      </c>
      <c r="M3748" t="s">
        <v>233</v>
      </c>
      <c r="N3748" t="str">
        <f>"20903       "</f>
        <v xml:space="preserve">20903       </v>
      </c>
      <c r="O3748">
        <v>230208</v>
      </c>
    </row>
    <row r="3749" spans="1:15" x14ac:dyDescent="0.25">
      <c r="A3749" t="s">
        <v>16</v>
      </c>
      <c r="B3749" t="s">
        <v>3221</v>
      </c>
      <c r="C3749">
        <v>10045</v>
      </c>
      <c r="D3749" t="s">
        <v>1011</v>
      </c>
      <c r="E3749" t="s">
        <v>1012</v>
      </c>
      <c r="F3749">
        <v>550</v>
      </c>
      <c r="G3749">
        <v>230801</v>
      </c>
      <c r="H3749">
        <v>4600</v>
      </c>
      <c r="I3749" t="s">
        <v>105</v>
      </c>
      <c r="J3749">
        <v>682</v>
      </c>
      <c r="K3749">
        <v>132</v>
      </c>
      <c r="L3749">
        <v>49112</v>
      </c>
      <c r="M3749" t="s">
        <v>233</v>
      </c>
      <c r="N3749" t="str">
        <f>"20967       "</f>
        <v xml:space="preserve">20967       </v>
      </c>
      <c r="O3749">
        <v>230807</v>
      </c>
    </row>
    <row r="3750" spans="1:15" x14ac:dyDescent="0.25">
      <c r="A3750" t="s">
        <v>16</v>
      </c>
      <c r="B3750" t="s">
        <v>3221</v>
      </c>
      <c r="C3750">
        <v>15642</v>
      </c>
      <c r="D3750" t="s">
        <v>2890</v>
      </c>
      <c r="E3750" t="s">
        <v>2891</v>
      </c>
      <c r="F3750">
        <v>6.9</v>
      </c>
      <c r="G3750">
        <v>231026</v>
      </c>
      <c r="H3750">
        <v>4600</v>
      </c>
      <c r="I3750" t="s">
        <v>105</v>
      </c>
      <c r="J3750">
        <v>8.56</v>
      </c>
      <c r="K3750">
        <v>1.66</v>
      </c>
      <c r="L3750">
        <v>17131</v>
      </c>
      <c r="M3750" t="s">
        <v>64</v>
      </c>
      <c r="N3750" t="str">
        <f>"308767      "</f>
        <v xml:space="preserve">308767      </v>
      </c>
      <c r="O3750">
        <v>231116</v>
      </c>
    </row>
    <row r="3751" spans="1:15" x14ac:dyDescent="0.25">
      <c r="A3751" t="s">
        <v>16</v>
      </c>
      <c r="B3751" t="s">
        <v>3221</v>
      </c>
      <c r="C3751">
        <v>15642</v>
      </c>
      <c r="D3751" t="s">
        <v>2890</v>
      </c>
      <c r="E3751" t="s">
        <v>2891</v>
      </c>
      <c r="F3751">
        <v>218.1</v>
      </c>
      <c r="G3751">
        <v>231026</v>
      </c>
      <c r="H3751">
        <v>4600</v>
      </c>
      <c r="I3751" t="s">
        <v>105</v>
      </c>
      <c r="J3751">
        <v>248.63</v>
      </c>
      <c r="K3751">
        <v>30.53</v>
      </c>
      <c r="L3751">
        <v>17131</v>
      </c>
      <c r="M3751" t="s">
        <v>64</v>
      </c>
      <c r="N3751" t="str">
        <f>"308767      "</f>
        <v xml:space="preserve">308767      </v>
      </c>
      <c r="O3751">
        <v>231116</v>
      </c>
    </row>
    <row r="3752" spans="1:15" x14ac:dyDescent="0.25">
      <c r="A3752" t="s">
        <v>16</v>
      </c>
      <c r="B3752" t="s">
        <v>3221</v>
      </c>
      <c r="C3752">
        <v>12225</v>
      </c>
      <c r="D3752" t="s">
        <v>3624</v>
      </c>
      <c r="E3752" t="s">
        <v>1436</v>
      </c>
      <c r="F3752">
        <v>12.02</v>
      </c>
      <c r="G3752">
        <v>230913</v>
      </c>
      <c r="H3752">
        <v>4400</v>
      </c>
      <c r="I3752" t="s">
        <v>348</v>
      </c>
      <c r="J3752">
        <v>14.91</v>
      </c>
      <c r="K3752">
        <v>2.89</v>
      </c>
      <c r="L3752">
        <v>17913</v>
      </c>
      <c r="M3752" t="s">
        <v>431</v>
      </c>
      <c r="N3752" t="str">
        <f>"1230900040  "</f>
        <v xml:space="preserve">1230900040  </v>
      </c>
      <c r="O3752">
        <v>230915</v>
      </c>
    </row>
    <row r="3753" spans="1:15" x14ac:dyDescent="0.25">
      <c r="A3753" t="s">
        <v>16</v>
      </c>
      <c r="B3753" t="s">
        <v>3221</v>
      </c>
      <c r="C3753">
        <v>12225</v>
      </c>
      <c r="D3753" t="s">
        <v>3624</v>
      </c>
      <c r="E3753" t="s">
        <v>1436</v>
      </c>
      <c r="F3753">
        <v>12.02</v>
      </c>
      <c r="G3753">
        <v>230913</v>
      </c>
      <c r="H3753">
        <v>4420</v>
      </c>
      <c r="I3753" t="s">
        <v>132</v>
      </c>
      <c r="J3753">
        <v>14.9</v>
      </c>
      <c r="K3753">
        <v>2.88</v>
      </c>
      <c r="L3753">
        <v>17913</v>
      </c>
      <c r="M3753" t="s">
        <v>431</v>
      </c>
      <c r="N3753" t="str">
        <f>"1230900040  "</f>
        <v xml:space="preserve">1230900040  </v>
      </c>
      <c r="O3753">
        <v>230915</v>
      </c>
    </row>
    <row r="3754" spans="1:15" x14ac:dyDescent="0.25">
      <c r="A3754" t="s">
        <v>16</v>
      </c>
      <c r="B3754" t="s">
        <v>3221</v>
      </c>
      <c r="C3754">
        <v>2641</v>
      </c>
      <c r="D3754" t="s">
        <v>3624</v>
      </c>
      <c r="E3754" t="s">
        <v>1436</v>
      </c>
      <c r="F3754">
        <v>132.18</v>
      </c>
      <c r="G3754">
        <v>230228</v>
      </c>
      <c r="H3754">
        <v>4600</v>
      </c>
      <c r="I3754" t="s">
        <v>105</v>
      </c>
      <c r="J3754">
        <v>163.9</v>
      </c>
      <c r="K3754">
        <v>31.72</v>
      </c>
      <c r="L3754">
        <v>56560</v>
      </c>
      <c r="M3754" t="s">
        <v>654</v>
      </c>
      <c r="N3754" t="str">
        <f>"1230200109  "</f>
        <v xml:space="preserve">1230200109  </v>
      </c>
      <c r="O3754">
        <v>230306</v>
      </c>
    </row>
    <row r="3755" spans="1:15" x14ac:dyDescent="0.25">
      <c r="A3755" t="s">
        <v>16</v>
      </c>
      <c r="B3755" t="s">
        <v>3221</v>
      </c>
      <c r="C3755">
        <v>16972</v>
      </c>
      <c r="D3755" t="s">
        <v>3624</v>
      </c>
      <c r="E3755" t="s">
        <v>1436</v>
      </c>
      <c r="F3755">
        <v>36.130000000000003</v>
      </c>
      <c r="G3755">
        <v>231204</v>
      </c>
      <c r="H3755">
        <v>4600</v>
      </c>
      <c r="I3755" t="s">
        <v>105</v>
      </c>
      <c r="J3755">
        <v>44.8</v>
      </c>
      <c r="K3755">
        <v>8.67</v>
      </c>
      <c r="L3755">
        <v>56560</v>
      </c>
      <c r="M3755" t="s">
        <v>654</v>
      </c>
      <c r="N3755" t="str">
        <f>"1231200003  "</f>
        <v xml:space="preserve">1231200003  </v>
      </c>
      <c r="O3755">
        <v>231211</v>
      </c>
    </row>
    <row r="3756" spans="1:15" x14ac:dyDescent="0.25">
      <c r="A3756" t="s">
        <v>16</v>
      </c>
      <c r="B3756" t="s">
        <v>3221</v>
      </c>
      <c r="C3756">
        <v>12225</v>
      </c>
      <c r="D3756" t="s">
        <v>3624</v>
      </c>
      <c r="E3756" t="s">
        <v>1436</v>
      </c>
      <c r="F3756">
        <v>8.06</v>
      </c>
      <c r="G3756">
        <v>230913</v>
      </c>
      <c r="H3756">
        <v>4347</v>
      </c>
      <c r="I3756" t="s">
        <v>193</v>
      </c>
      <c r="J3756">
        <v>9.99</v>
      </c>
      <c r="K3756">
        <v>1.93</v>
      </c>
      <c r="L3756">
        <v>17913</v>
      </c>
      <c r="M3756" t="s">
        <v>431</v>
      </c>
      <c r="N3756" t="str">
        <f>"1230900040  "</f>
        <v xml:space="preserve">1230900040  </v>
      </c>
      <c r="O3756">
        <v>230915</v>
      </c>
    </row>
    <row r="3757" spans="1:15" x14ac:dyDescent="0.25">
      <c r="A3757" t="s">
        <v>16</v>
      </c>
      <c r="B3757" t="s">
        <v>3221</v>
      </c>
      <c r="C3757">
        <v>5524</v>
      </c>
      <c r="D3757" t="s">
        <v>1857</v>
      </c>
      <c r="E3757" t="s">
        <v>1858</v>
      </c>
      <c r="F3757">
        <v>210</v>
      </c>
      <c r="G3757">
        <v>230331</v>
      </c>
      <c r="H3757">
        <v>4346</v>
      </c>
      <c r="I3757" t="s">
        <v>197</v>
      </c>
      <c r="J3757">
        <v>260.39999999999998</v>
      </c>
      <c r="K3757">
        <v>50.4</v>
      </c>
      <c r="L3757">
        <v>18972</v>
      </c>
      <c r="M3757" t="s">
        <v>163</v>
      </c>
      <c r="N3757" t="str">
        <f>"1184        "</f>
        <v xml:space="preserve">1184        </v>
      </c>
      <c r="O3757">
        <v>230426</v>
      </c>
    </row>
    <row r="3758" spans="1:15" x14ac:dyDescent="0.25">
      <c r="A3758" t="s">
        <v>16</v>
      </c>
      <c r="B3758" t="s">
        <v>3221</v>
      </c>
      <c r="C3758">
        <v>6395</v>
      </c>
      <c r="D3758" t="s">
        <v>1857</v>
      </c>
      <c r="E3758" t="s">
        <v>1858</v>
      </c>
      <c r="F3758">
        <v>1295</v>
      </c>
      <c r="G3758">
        <v>230430</v>
      </c>
      <c r="H3758">
        <v>4346</v>
      </c>
      <c r="I3758" t="s">
        <v>197</v>
      </c>
      <c r="J3758">
        <v>1605.8</v>
      </c>
      <c r="K3758">
        <v>310.8</v>
      </c>
      <c r="L3758">
        <v>18972</v>
      </c>
      <c r="M3758" t="s">
        <v>163</v>
      </c>
      <c r="N3758" t="str">
        <f>"1245        "</f>
        <v xml:space="preserve">1245        </v>
      </c>
      <c r="O3758">
        <v>230510</v>
      </c>
    </row>
    <row r="3759" spans="1:15" x14ac:dyDescent="0.25">
      <c r="A3759" t="s">
        <v>16</v>
      </c>
      <c r="B3759" t="s">
        <v>3221</v>
      </c>
      <c r="C3759">
        <v>8812</v>
      </c>
      <c r="D3759" t="s">
        <v>1857</v>
      </c>
      <c r="E3759" t="s">
        <v>1858</v>
      </c>
      <c r="F3759">
        <v>350</v>
      </c>
      <c r="G3759">
        <v>230531</v>
      </c>
      <c r="H3759">
        <v>4346</v>
      </c>
      <c r="I3759" t="s">
        <v>197</v>
      </c>
      <c r="J3759">
        <v>434</v>
      </c>
      <c r="K3759">
        <v>84</v>
      </c>
      <c r="L3759">
        <v>18972</v>
      </c>
      <c r="M3759" t="s">
        <v>163</v>
      </c>
      <c r="N3759" t="str">
        <f>"1304        "</f>
        <v xml:space="preserve">1304        </v>
      </c>
      <c r="O3759">
        <v>230615</v>
      </c>
    </row>
    <row r="3760" spans="1:15" x14ac:dyDescent="0.25">
      <c r="A3760" t="s">
        <v>16</v>
      </c>
      <c r="B3760" t="s">
        <v>3221</v>
      </c>
      <c r="C3760">
        <v>18987</v>
      </c>
      <c r="D3760" t="s">
        <v>3159</v>
      </c>
      <c r="E3760" t="s">
        <v>3160</v>
      </c>
      <c r="F3760">
        <v>68.06</v>
      </c>
      <c r="G3760">
        <v>231222</v>
      </c>
      <c r="H3760">
        <v>4580</v>
      </c>
      <c r="I3760" t="s">
        <v>35</v>
      </c>
      <c r="J3760">
        <v>84.4</v>
      </c>
      <c r="K3760">
        <v>16.34</v>
      </c>
      <c r="L3760">
        <v>17537</v>
      </c>
      <c r="M3760" t="s">
        <v>455</v>
      </c>
      <c r="N3760" t="str">
        <f>"9017        "</f>
        <v xml:space="preserve">9017        </v>
      </c>
      <c r="O3760">
        <v>240109</v>
      </c>
    </row>
    <row r="3761" spans="1:15" x14ac:dyDescent="0.25">
      <c r="A3761" t="s">
        <v>16</v>
      </c>
      <c r="B3761" t="s">
        <v>3221</v>
      </c>
      <c r="C3761">
        <v>6461</v>
      </c>
      <c r="D3761" t="s">
        <v>1971</v>
      </c>
      <c r="E3761" t="s">
        <v>1972</v>
      </c>
      <c r="F3761">
        <v>630.65</v>
      </c>
      <c r="G3761">
        <v>230509</v>
      </c>
      <c r="H3761">
        <v>4600</v>
      </c>
      <c r="I3761" t="s">
        <v>105</v>
      </c>
      <c r="J3761">
        <v>782.01</v>
      </c>
      <c r="K3761">
        <v>151.36000000000001</v>
      </c>
      <c r="L3761">
        <v>46555</v>
      </c>
      <c r="M3761" t="s">
        <v>597</v>
      </c>
      <c r="N3761" t="str">
        <f>"682         "</f>
        <v xml:space="preserve">682         </v>
      </c>
      <c r="O3761">
        <v>230512</v>
      </c>
    </row>
    <row r="3762" spans="1:15" x14ac:dyDescent="0.25">
      <c r="A3762" t="s">
        <v>16</v>
      </c>
      <c r="B3762" t="s">
        <v>3221</v>
      </c>
      <c r="C3762">
        <v>4196</v>
      </c>
      <c r="D3762" t="s">
        <v>1670</v>
      </c>
      <c r="E3762" t="s">
        <v>1671</v>
      </c>
      <c r="F3762">
        <v>221.9</v>
      </c>
      <c r="G3762">
        <v>230328</v>
      </c>
      <c r="H3762">
        <v>4600</v>
      </c>
      <c r="I3762" t="s">
        <v>105</v>
      </c>
      <c r="J3762">
        <v>275.16000000000003</v>
      </c>
      <c r="K3762">
        <v>53.26</v>
      </c>
      <c r="L3762">
        <v>54222</v>
      </c>
      <c r="M3762" t="s">
        <v>308</v>
      </c>
      <c r="N3762" t="str">
        <f>"119038      "</f>
        <v xml:space="preserve">119038      </v>
      </c>
      <c r="O3762">
        <v>230331</v>
      </c>
    </row>
    <row r="3763" spans="1:15" x14ac:dyDescent="0.25">
      <c r="A3763" t="s">
        <v>16</v>
      </c>
      <c r="B3763" t="s">
        <v>3221</v>
      </c>
      <c r="C3763">
        <v>4196</v>
      </c>
      <c r="D3763" t="s">
        <v>1670</v>
      </c>
      <c r="E3763" t="s">
        <v>1671</v>
      </c>
      <c r="F3763">
        <v>221.9</v>
      </c>
      <c r="G3763">
        <v>230328</v>
      </c>
      <c r="H3763">
        <v>4600</v>
      </c>
      <c r="I3763" t="s">
        <v>105</v>
      </c>
      <c r="J3763">
        <v>275.16000000000003</v>
      </c>
      <c r="K3763">
        <v>53.26</v>
      </c>
      <c r="L3763">
        <v>54251</v>
      </c>
      <c r="M3763" t="s">
        <v>309</v>
      </c>
      <c r="N3763" t="str">
        <f>"119038      "</f>
        <v xml:space="preserve">119038      </v>
      </c>
      <c r="O3763">
        <v>230331</v>
      </c>
    </row>
    <row r="3764" spans="1:15" x14ac:dyDescent="0.25">
      <c r="A3764" t="s">
        <v>16</v>
      </c>
      <c r="B3764" t="s">
        <v>3221</v>
      </c>
      <c r="C3764">
        <v>16988</v>
      </c>
      <c r="D3764" t="s">
        <v>1670</v>
      </c>
      <c r="E3764" t="s">
        <v>1671</v>
      </c>
      <c r="F3764">
        <v>126.1</v>
      </c>
      <c r="G3764">
        <v>231201</v>
      </c>
      <c r="H3764">
        <v>4600</v>
      </c>
      <c r="I3764" t="s">
        <v>105</v>
      </c>
      <c r="J3764">
        <v>156.36000000000001</v>
      </c>
      <c r="K3764">
        <v>30.26</v>
      </c>
      <c r="L3764">
        <v>54251</v>
      </c>
      <c r="M3764" t="s">
        <v>309</v>
      </c>
      <c r="N3764" t="str">
        <f>"135212      "</f>
        <v xml:space="preserve">135212      </v>
      </c>
      <c r="O3764">
        <v>231211</v>
      </c>
    </row>
    <row r="3765" spans="1:15" x14ac:dyDescent="0.25">
      <c r="A3765" t="s">
        <v>16</v>
      </c>
      <c r="B3765" t="s">
        <v>3221</v>
      </c>
      <c r="C3765">
        <v>6562</v>
      </c>
      <c r="D3765" t="s">
        <v>1980</v>
      </c>
      <c r="E3765" t="s">
        <v>1981</v>
      </c>
      <c r="F3765">
        <v>145.16</v>
      </c>
      <c r="G3765">
        <v>230508</v>
      </c>
      <c r="H3765">
        <v>4346</v>
      </c>
      <c r="I3765" t="s">
        <v>197</v>
      </c>
      <c r="J3765">
        <v>180</v>
      </c>
      <c r="K3765">
        <v>34.840000000000003</v>
      </c>
      <c r="L3765">
        <v>17131</v>
      </c>
      <c r="M3765" t="s">
        <v>64</v>
      </c>
      <c r="N3765" t="str">
        <f>"118763      "</f>
        <v xml:space="preserve">118763      </v>
      </c>
      <c r="O3765">
        <v>230515</v>
      </c>
    </row>
    <row r="3766" spans="1:15" x14ac:dyDescent="0.25">
      <c r="A3766" t="s">
        <v>16</v>
      </c>
      <c r="B3766" t="s">
        <v>3221</v>
      </c>
      <c r="C3766">
        <v>7000</v>
      </c>
      <c r="D3766" t="s">
        <v>1980</v>
      </c>
      <c r="E3766" t="s">
        <v>1981</v>
      </c>
      <c r="F3766">
        <v>348.97</v>
      </c>
      <c r="G3766">
        <v>230516</v>
      </c>
      <c r="H3766">
        <v>4346</v>
      </c>
      <c r="I3766" t="s">
        <v>197</v>
      </c>
      <c r="J3766">
        <v>432.72</v>
      </c>
      <c r="K3766">
        <v>83.75</v>
      </c>
      <c r="L3766">
        <v>17131</v>
      </c>
      <c r="M3766" t="s">
        <v>64</v>
      </c>
      <c r="N3766" t="str">
        <f>"118842      "</f>
        <v xml:space="preserve">118842      </v>
      </c>
      <c r="O3766">
        <v>230524</v>
      </c>
    </row>
    <row r="3767" spans="1:15" x14ac:dyDescent="0.25">
      <c r="A3767" t="s">
        <v>16</v>
      </c>
      <c r="B3767" t="s">
        <v>3221</v>
      </c>
      <c r="C3767">
        <v>278</v>
      </c>
      <c r="D3767" t="s">
        <v>3625</v>
      </c>
      <c r="E3767" t="s">
        <v>403</v>
      </c>
      <c r="F3767">
        <v>72.02</v>
      </c>
      <c r="G3767">
        <v>230113</v>
      </c>
      <c r="H3767">
        <v>4580</v>
      </c>
      <c r="I3767" t="s">
        <v>35</v>
      </c>
      <c r="J3767">
        <v>89.3</v>
      </c>
      <c r="K3767">
        <v>17.28</v>
      </c>
      <c r="L3767">
        <v>14640</v>
      </c>
      <c r="M3767" t="s">
        <v>229</v>
      </c>
      <c r="N3767" t="str">
        <f>"137816      "</f>
        <v xml:space="preserve">137816      </v>
      </c>
      <c r="O3767">
        <v>230117</v>
      </c>
    </row>
    <row r="3768" spans="1:15" x14ac:dyDescent="0.25">
      <c r="A3768" t="s">
        <v>16</v>
      </c>
      <c r="B3768" t="s">
        <v>3221</v>
      </c>
      <c r="C3768">
        <v>284</v>
      </c>
      <c r="D3768" t="s">
        <v>3625</v>
      </c>
      <c r="E3768" t="s">
        <v>403</v>
      </c>
      <c r="F3768">
        <v>336</v>
      </c>
      <c r="G3768">
        <v>230116</v>
      </c>
      <c r="H3768">
        <v>4580</v>
      </c>
      <c r="I3768" t="s">
        <v>35</v>
      </c>
      <c r="J3768">
        <v>416.64</v>
      </c>
      <c r="K3768">
        <v>80.64</v>
      </c>
      <c r="L3768">
        <v>14640</v>
      </c>
      <c r="M3768" t="s">
        <v>229</v>
      </c>
      <c r="N3768" t="str">
        <f>"137839      "</f>
        <v xml:space="preserve">137839      </v>
      </c>
      <c r="O3768">
        <v>230117</v>
      </c>
    </row>
    <row r="3769" spans="1:15" x14ac:dyDescent="0.25">
      <c r="A3769" t="s">
        <v>16</v>
      </c>
      <c r="B3769" t="s">
        <v>3221</v>
      </c>
      <c r="C3769">
        <v>1094</v>
      </c>
      <c r="D3769" t="s">
        <v>881</v>
      </c>
      <c r="E3769" t="s">
        <v>882</v>
      </c>
      <c r="F3769">
        <v>225.2</v>
      </c>
      <c r="G3769">
        <v>230119</v>
      </c>
      <c r="H3769">
        <v>4600</v>
      </c>
      <c r="I3769" t="s">
        <v>105</v>
      </c>
      <c r="J3769">
        <v>279.25</v>
      </c>
      <c r="K3769">
        <v>54.05</v>
      </c>
      <c r="L3769">
        <v>55222</v>
      </c>
      <c r="M3769" t="s">
        <v>873</v>
      </c>
      <c r="N3769" t="str">
        <f>"2330000905  "</f>
        <v xml:space="preserve">2330000905  </v>
      </c>
      <c r="O3769">
        <v>230203</v>
      </c>
    </row>
    <row r="3770" spans="1:15" x14ac:dyDescent="0.25">
      <c r="A3770" t="s">
        <v>16</v>
      </c>
      <c r="B3770" t="s">
        <v>3221</v>
      </c>
      <c r="C3770">
        <v>1094</v>
      </c>
      <c r="D3770" t="s">
        <v>881</v>
      </c>
      <c r="E3770" t="s">
        <v>882</v>
      </c>
      <c r="F3770">
        <v>154.63999999999999</v>
      </c>
      <c r="G3770">
        <v>230119</v>
      </c>
      <c r="H3770">
        <v>4600</v>
      </c>
      <c r="I3770" t="s">
        <v>105</v>
      </c>
      <c r="J3770">
        <v>191.75</v>
      </c>
      <c r="K3770">
        <v>37.11</v>
      </c>
      <c r="L3770">
        <v>56560</v>
      </c>
      <c r="M3770" t="s">
        <v>654</v>
      </c>
      <c r="N3770" t="str">
        <f>"2330000905  "</f>
        <v xml:space="preserve">2330000905  </v>
      </c>
      <c r="O3770">
        <v>230203</v>
      </c>
    </row>
    <row r="3771" spans="1:15" x14ac:dyDescent="0.25">
      <c r="A3771" t="s">
        <v>16</v>
      </c>
      <c r="B3771" t="s">
        <v>3221</v>
      </c>
      <c r="C3771">
        <v>104</v>
      </c>
      <c r="D3771" t="s">
        <v>127</v>
      </c>
      <c r="E3771" t="s">
        <v>128</v>
      </c>
      <c r="F3771">
        <v>210</v>
      </c>
      <c r="G3771">
        <v>230104</v>
      </c>
      <c r="H3771">
        <v>4341</v>
      </c>
      <c r="I3771" t="s">
        <v>32</v>
      </c>
      <c r="J3771">
        <v>260.39999999999998</v>
      </c>
      <c r="K3771">
        <v>50.4</v>
      </c>
      <c r="L3771">
        <v>56559</v>
      </c>
      <c r="M3771" t="s">
        <v>129</v>
      </c>
      <c r="N3771" t="str">
        <f>"990306110   "</f>
        <v xml:space="preserve">990306110   </v>
      </c>
      <c r="O3771">
        <v>230110</v>
      </c>
    </row>
    <row r="3772" spans="1:15" x14ac:dyDescent="0.25">
      <c r="A3772" t="s">
        <v>16</v>
      </c>
      <c r="B3772" t="s">
        <v>3221</v>
      </c>
      <c r="C3772">
        <v>185</v>
      </c>
      <c r="D3772" t="s">
        <v>127</v>
      </c>
      <c r="E3772" t="s">
        <v>128</v>
      </c>
      <c r="F3772">
        <v>264</v>
      </c>
      <c r="G3772">
        <v>230111</v>
      </c>
      <c r="H3772">
        <v>4341</v>
      </c>
      <c r="I3772" t="s">
        <v>32</v>
      </c>
      <c r="J3772">
        <v>327.36</v>
      </c>
      <c r="K3772">
        <v>63.36</v>
      </c>
      <c r="L3772">
        <v>46557</v>
      </c>
      <c r="M3772" t="s">
        <v>221</v>
      </c>
      <c r="N3772" t="str">
        <f>"990307334   "</f>
        <v xml:space="preserve">990307334   </v>
      </c>
      <c r="O3772">
        <v>230116</v>
      </c>
    </row>
    <row r="3773" spans="1:15" x14ac:dyDescent="0.25">
      <c r="A3773" t="s">
        <v>16</v>
      </c>
      <c r="B3773" t="s">
        <v>3221</v>
      </c>
      <c r="C3773">
        <v>726</v>
      </c>
      <c r="D3773" t="s">
        <v>127</v>
      </c>
      <c r="E3773" t="s">
        <v>128</v>
      </c>
      <c r="F3773">
        <v>46.36</v>
      </c>
      <c r="G3773">
        <v>230123</v>
      </c>
      <c r="H3773">
        <v>4341</v>
      </c>
      <c r="I3773" t="s">
        <v>32</v>
      </c>
      <c r="J3773">
        <v>57.49</v>
      </c>
      <c r="K3773">
        <v>11.13</v>
      </c>
      <c r="L3773">
        <v>46557</v>
      </c>
      <c r="M3773" t="s">
        <v>221</v>
      </c>
      <c r="N3773" t="str">
        <f>"990308911   "</f>
        <v xml:space="preserve">990308911   </v>
      </c>
      <c r="O3773">
        <v>230127</v>
      </c>
    </row>
    <row r="3774" spans="1:15" x14ac:dyDescent="0.25">
      <c r="A3774" t="s">
        <v>16</v>
      </c>
      <c r="B3774" t="s">
        <v>3221</v>
      </c>
      <c r="C3774">
        <v>4973</v>
      </c>
      <c r="D3774" t="s">
        <v>127</v>
      </c>
      <c r="E3774" t="s">
        <v>128</v>
      </c>
      <c r="F3774">
        <v>72.819999999999993</v>
      </c>
      <c r="G3774">
        <v>230413</v>
      </c>
      <c r="H3774">
        <v>4341</v>
      </c>
      <c r="I3774" t="s">
        <v>32</v>
      </c>
      <c r="J3774">
        <v>90.3</v>
      </c>
      <c r="K3774">
        <v>17.48</v>
      </c>
      <c r="L3774">
        <v>56559</v>
      </c>
      <c r="M3774" t="s">
        <v>129</v>
      </c>
      <c r="N3774" t="str">
        <f>"990312519   "</f>
        <v xml:space="preserve">990312519   </v>
      </c>
      <c r="O3774">
        <v>230414</v>
      </c>
    </row>
    <row r="3775" spans="1:15" x14ac:dyDescent="0.25">
      <c r="A3775" t="s">
        <v>16</v>
      </c>
      <c r="B3775" t="s">
        <v>3221</v>
      </c>
      <c r="C3775">
        <v>5253</v>
      </c>
      <c r="D3775" t="s">
        <v>127</v>
      </c>
      <c r="E3775" t="s">
        <v>128</v>
      </c>
      <c r="F3775">
        <v>210</v>
      </c>
      <c r="G3775">
        <v>230417</v>
      </c>
      <c r="H3775">
        <v>4341</v>
      </c>
      <c r="I3775" t="s">
        <v>32</v>
      </c>
      <c r="J3775">
        <v>260.39999999999998</v>
      </c>
      <c r="K3775">
        <v>50.4</v>
      </c>
      <c r="L3775">
        <v>56559</v>
      </c>
      <c r="M3775" t="s">
        <v>129</v>
      </c>
      <c r="N3775" t="str">
        <f>"990313390   "</f>
        <v xml:space="preserve">990313390   </v>
      </c>
      <c r="O3775">
        <v>230419</v>
      </c>
    </row>
    <row r="3776" spans="1:15" x14ac:dyDescent="0.25">
      <c r="A3776" t="s">
        <v>16</v>
      </c>
      <c r="B3776" t="s">
        <v>3221</v>
      </c>
      <c r="C3776">
        <v>5702</v>
      </c>
      <c r="D3776" t="s">
        <v>127</v>
      </c>
      <c r="E3776" t="s">
        <v>128</v>
      </c>
      <c r="F3776">
        <v>264</v>
      </c>
      <c r="G3776">
        <v>230425</v>
      </c>
      <c r="H3776">
        <v>4341</v>
      </c>
      <c r="I3776" t="s">
        <v>32</v>
      </c>
      <c r="J3776">
        <v>327.36</v>
      </c>
      <c r="K3776">
        <v>63.36</v>
      </c>
      <c r="L3776">
        <v>46557</v>
      </c>
      <c r="M3776" t="s">
        <v>221</v>
      </c>
      <c r="N3776" t="str">
        <f>"990315947   "</f>
        <v xml:space="preserve">990315947   </v>
      </c>
      <c r="O3776">
        <v>230502</v>
      </c>
    </row>
    <row r="3777" spans="1:15" x14ac:dyDescent="0.25">
      <c r="A3777" t="s">
        <v>16</v>
      </c>
      <c r="B3777" t="s">
        <v>3221</v>
      </c>
      <c r="C3777">
        <v>9637</v>
      </c>
      <c r="D3777" t="s">
        <v>127</v>
      </c>
      <c r="E3777" t="s">
        <v>128</v>
      </c>
      <c r="F3777">
        <v>20.78</v>
      </c>
      <c r="G3777">
        <v>230711</v>
      </c>
      <c r="H3777">
        <v>4341</v>
      </c>
      <c r="I3777" t="s">
        <v>32</v>
      </c>
      <c r="J3777">
        <v>25.77</v>
      </c>
      <c r="K3777">
        <v>4.99</v>
      </c>
      <c r="L3777">
        <v>46557</v>
      </c>
      <c r="M3777" t="s">
        <v>221</v>
      </c>
      <c r="N3777" t="str">
        <f>"990318971   "</f>
        <v xml:space="preserve">990318971   </v>
      </c>
      <c r="O3777">
        <v>230718</v>
      </c>
    </row>
    <row r="3778" spans="1:15" x14ac:dyDescent="0.25">
      <c r="A3778" t="s">
        <v>16</v>
      </c>
      <c r="B3778" t="s">
        <v>3221</v>
      </c>
      <c r="C3778">
        <v>9763</v>
      </c>
      <c r="D3778" t="s">
        <v>127</v>
      </c>
      <c r="E3778" t="s">
        <v>128</v>
      </c>
      <c r="F3778">
        <v>450</v>
      </c>
      <c r="G3778">
        <v>230706</v>
      </c>
      <c r="H3778">
        <v>4341</v>
      </c>
      <c r="I3778" t="s">
        <v>32</v>
      </c>
      <c r="J3778">
        <v>558</v>
      </c>
      <c r="K3778">
        <v>108</v>
      </c>
      <c r="L3778">
        <v>17802</v>
      </c>
      <c r="M3778" t="s">
        <v>174</v>
      </c>
      <c r="N3778" t="str">
        <f>"990317606   "</f>
        <v xml:space="preserve">990317606   </v>
      </c>
      <c r="O3778">
        <v>230725</v>
      </c>
    </row>
    <row r="3779" spans="1:15" x14ac:dyDescent="0.25">
      <c r="A3779" t="s">
        <v>16</v>
      </c>
      <c r="B3779" t="s">
        <v>3221</v>
      </c>
      <c r="C3779">
        <v>14495</v>
      </c>
      <c r="D3779" t="s">
        <v>127</v>
      </c>
      <c r="E3779" t="s">
        <v>128</v>
      </c>
      <c r="F3779">
        <v>450</v>
      </c>
      <c r="G3779">
        <v>231025</v>
      </c>
      <c r="H3779">
        <v>4341</v>
      </c>
      <c r="I3779" t="s">
        <v>32</v>
      </c>
      <c r="J3779">
        <v>558</v>
      </c>
      <c r="K3779">
        <v>108</v>
      </c>
      <c r="L3779">
        <v>17802</v>
      </c>
      <c r="M3779" t="s">
        <v>174</v>
      </c>
      <c r="N3779" t="str">
        <f>"990327348   "</f>
        <v xml:space="preserve">990327348   </v>
      </c>
      <c r="O3779">
        <v>231030</v>
      </c>
    </row>
    <row r="3780" spans="1:15" x14ac:dyDescent="0.25">
      <c r="A3780" t="s">
        <v>16</v>
      </c>
      <c r="B3780" t="s">
        <v>3221</v>
      </c>
      <c r="C3780">
        <v>14506</v>
      </c>
      <c r="D3780" t="s">
        <v>127</v>
      </c>
      <c r="E3780" t="s">
        <v>128</v>
      </c>
      <c r="F3780">
        <v>210</v>
      </c>
      <c r="G3780">
        <v>231025</v>
      </c>
      <c r="H3780">
        <v>4341</v>
      </c>
      <c r="I3780" t="s">
        <v>32</v>
      </c>
      <c r="J3780">
        <v>260.39999999999998</v>
      </c>
      <c r="K3780">
        <v>50.4</v>
      </c>
      <c r="L3780">
        <v>56559</v>
      </c>
      <c r="M3780" t="s">
        <v>129</v>
      </c>
      <c r="N3780" t="str">
        <f>"990327347   "</f>
        <v xml:space="preserve">990327347   </v>
      </c>
      <c r="O3780">
        <v>231030</v>
      </c>
    </row>
    <row r="3781" spans="1:15" x14ac:dyDescent="0.25">
      <c r="A3781" t="s">
        <v>16</v>
      </c>
      <c r="B3781" t="s">
        <v>3221</v>
      </c>
      <c r="C3781">
        <v>14528</v>
      </c>
      <c r="D3781" t="s">
        <v>127</v>
      </c>
      <c r="E3781" t="s">
        <v>128</v>
      </c>
      <c r="F3781">
        <v>58.02</v>
      </c>
      <c r="G3781">
        <v>231027</v>
      </c>
      <c r="H3781">
        <v>4341</v>
      </c>
      <c r="I3781" t="s">
        <v>32</v>
      </c>
      <c r="J3781">
        <v>71.94</v>
      </c>
      <c r="K3781">
        <v>13.92</v>
      </c>
      <c r="L3781">
        <v>56559</v>
      </c>
      <c r="M3781" t="s">
        <v>129</v>
      </c>
      <c r="N3781" t="str">
        <f>"990327862   "</f>
        <v xml:space="preserve">990327862   </v>
      </c>
      <c r="O3781">
        <v>231030</v>
      </c>
    </row>
    <row r="3782" spans="1:15" x14ac:dyDescent="0.25">
      <c r="A3782" t="s">
        <v>16</v>
      </c>
      <c r="B3782" t="s">
        <v>3221</v>
      </c>
      <c r="C3782">
        <v>15475</v>
      </c>
      <c r="D3782" t="s">
        <v>127</v>
      </c>
      <c r="E3782" t="s">
        <v>128</v>
      </c>
      <c r="F3782">
        <v>652</v>
      </c>
      <c r="G3782">
        <v>231110</v>
      </c>
      <c r="H3782">
        <v>4341</v>
      </c>
      <c r="I3782" t="s">
        <v>32</v>
      </c>
      <c r="J3782">
        <v>808.48</v>
      </c>
      <c r="K3782">
        <v>156.47999999999999</v>
      </c>
      <c r="L3782">
        <v>56559</v>
      </c>
      <c r="M3782" t="s">
        <v>129</v>
      </c>
      <c r="N3782" t="str">
        <f>"990329078   "</f>
        <v xml:space="preserve">990329078   </v>
      </c>
      <c r="O3782">
        <v>231113</v>
      </c>
    </row>
    <row r="3783" spans="1:15" x14ac:dyDescent="0.25">
      <c r="A3783" t="s">
        <v>16</v>
      </c>
      <c r="B3783" t="s">
        <v>3221</v>
      </c>
      <c r="C3783">
        <v>19229</v>
      </c>
      <c r="D3783" t="s">
        <v>127</v>
      </c>
      <c r="E3783" t="s">
        <v>128</v>
      </c>
      <c r="F3783">
        <v>91.74</v>
      </c>
      <c r="G3783">
        <v>240109</v>
      </c>
      <c r="H3783">
        <v>4341</v>
      </c>
      <c r="I3783" t="s">
        <v>32</v>
      </c>
      <c r="J3783">
        <v>113.76</v>
      </c>
      <c r="K3783">
        <v>22.02</v>
      </c>
      <c r="L3783">
        <v>56559</v>
      </c>
      <c r="M3783" t="s">
        <v>129</v>
      </c>
      <c r="N3783" t="str">
        <f>"990330752   "</f>
        <v xml:space="preserve">990330752   </v>
      </c>
      <c r="O3783">
        <v>240115</v>
      </c>
    </row>
    <row r="3784" spans="1:15" x14ac:dyDescent="0.25">
      <c r="A3784" t="s">
        <v>16</v>
      </c>
      <c r="B3784" t="s">
        <v>3221</v>
      </c>
      <c r="C3784">
        <v>122</v>
      </c>
      <c r="D3784" t="s">
        <v>127</v>
      </c>
      <c r="E3784" t="s">
        <v>128</v>
      </c>
      <c r="F3784">
        <v>450</v>
      </c>
      <c r="G3784">
        <v>230104</v>
      </c>
      <c r="H3784">
        <v>4343</v>
      </c>
      <c r="I3784" t="s">
        <v>91</v>
      </c>
      <c r="J3784">
        <v>558</v>
      </c>
      <c r="K3784">
        <v>108</v>
      </c>
      <c r="L3784">
        <v>17802</v>
      </c>
      <c r="M3784" t="s">
        <v>174</v>
      </c>
      <c r="N3784" t="str">
        <f>"990306111   "</f>
        <v xml:space="preserve">990306111   </v>
      </c>
      <c r="O3784">
        <v>230112</v>
      </c>
    </row>
    <row r="3785" spans="1:15" x14ac:dyDescent="0.25">
      <c r="A3785" t="s">
        <v>16</v>
      </c>
      <c r="B3785" t="s">
        <v>3221</v>
      </c>
      <c r="C3785">
        <v>5572</v>
      </c>
      <c r="D3785" t="s">
        <v>127</v>
      </c>
      <c r="E3785" t="s">
        <v>128</v>
      </c>
      <c r="F3785">
        <v>450</v>
      </c>
      <c r="G3785">
        <v>230417</v>
      </c>
      <c r="H3785">
        <v>4343</v>
      </c>
      <c r="I3785" t="s">
        <v>91</v>
      </c>
      <c r="J3785">
        <v>558</v>
      </c>
      <c r="K3785">
        <v>108</v>
      </c>
      <c r="L3785">
        <v>17802</v>
      </c>
      <c r="M3785" t="s">
        <v>174</v>
      </c>
      <c r="N3785" t="str">
        <f>"990313391   "</f>
        <v xml:space="preserve">990313391   </v>
      </c>
      <c r="O3785">
        <v>230426</v>
      </c>
    </row>
    <row r="3786" spans="1:15" x14ac:dyDescent="0.25">
      <c r="A3786" t="s">
        <v>16</v>
      </c>
      <c r="B3786" t="s">
        <v>3221</v>
      </c>
      <c r="C3786">
        <v>9793</v>
      </c>
      <c r="D3786" t="s">
        <v>127</v>
      </c>
      <c r="E3786" t="s">
        <v>128</v>
      </c>
      <c r="F3786">
        <v>210</v>
      </c>
      <c r="G3786">
        <v>230706</v>
      </c>
      <c r="H3786">
        <v>4343</v>
      </c>
      <c r="I3786" t="s">
        <v>91</v>
      </c>
      <c r="J3786">
        <v>260.39999999999998</v>
      </c>
      <c r="K3786">
        <v>50.4</v>
      </c>
      <c r="L3786">
        <v>56559</v>
      </c>
      <c r="M3786" t="s">
        <v>129</v>
      </c>
      <c r="N3786" t="str">
        <f>"990317605   "</f>
        <v xml:space="preserve">990317605   </v>
      </c>
      <c r="O3786">
        <v>230725</v>
      </c>
    </row>
    <row r="3787" spans="1:15" x14ac:dyDescent="0.25">
      <c r="A3787" t="s">
        <v>16</v>
      </c>
      <c r="B3787" t="s">
        <v>3221</v>
      </c>
      <c r="C3787">
        <v>9824</v>
      </c>
      <c r="D3787" t="s">
        <v>127</v>
      </c>
      <c r="E3787" t="s">
        <v>128</v>
      </c>
      <c r="F3787">
        <v>264</v>
      </c>
      <c r="G3787">
        <v>230718</v>
      </c>
      <c r="H3787">
        <v>4343</v>
      </c>
      <c r="I3787" t="s">
        <v>91</v>
      </c>
      <c r="J3787">
        <v>327.36</v>
      </c>
      <c r="K3787">
        <v>63.36</v>
      </c>
      <c r="L3787">
        <v>46557</v>
      </c>
      <c r="M3787" t="s">
        <v>221</v>
      </c>
      <c r="N3787" t="str">
        <f>"990320391   "</f>
        <v xml:space="preserve">990320391   </v>
      </c>
      <c r="O3787">
        <v>230726</v>
      </c>
    </row>
    <row r="3788" spans="1:15" x14ac:dyDescent="0.25">
      <c r="A3788" t="s">
        <v>16</v>
      </c>
      <c r="B3788" t="s">
        <v>3221</v>
      </c>
      <c r="C3788">
        <v>14342</v>
      </c>
      <c r="D3788" t="s">
        <v>127</v>
      </c>
      <c r="E3788" t="s">
        <v>128</v>
      </c>
      <c r="F3788">
        <v>264</v>
      </c>
      <c r="G3788">
        <v>231018</v>
      </c>
      <c r="H3788">
        <v>4343</v>
      </c>
      <c r="I3788" t="s">
        <v>91</v>
      </c>
      <c r="J3788">
        <v>327.36</v>
      </c>
      <c r="K3788">
        <v>63.36</v>
      </c>
      <c r="L3788">
        <v>46557</v>
      </c>
      <c r="M3788" t="s">
        <v>221</v>
      </c>
      <c r="N3788" t="str">
        <f>"990326474   "</f>
        <v xml:space="preserve">990326474   </v>
      </c>
      <c r="O3788">
        <v>231027</v>
      </c>
    </row>
    <row r="3789" spans="1:15" x14ac:dyDescent="0.25">
      <c r="A3789" t="s">
        <v>16</v>
      </c>
      <c r="B3789" t="s">
        <v>3221</v>
      </c>
      <c r="C3789">
        <v>14529</v>
      </c>
      <c r="D3789" t="s">
        <v>127</v>
      </c>
      <c r="E3789" t="s">
        <v>128</v>
      </c>
      <c r="F3789">
        <v>15.88</v>
      </c>
      <c r="G3789">
        <v>231027</v>
      </c>
      <c r="H3789">
        <v>4343</v>
      </c>
      <c r="I3789" t="s">
        <v>91</v>
      </c>
      <c r="J3789">
        <v>19.690000000000001</v>
      </c>
      <c r="K3789">
        <v>3.81</v>
      </c>
      <c r="L3789">
        <v>46557</v>
      </c>
      <c r="M3789" t="s">
        <v>221</v>
      </c>
      <c r="N3789" t="str">
        <f>"990327615   "</f>
        <v xml:space="preserve">990327615   </v>
      </c>
      <c r="O3789">
        <v>231030</v>
      </c>
    </row>
    <row r="3790" spans="1:15" x14ac:dyDescent="0.25">
      <c r="A3790" t="s">
        <v>16</v>
      </c>
      <c r="B3790" t="s">
        <v>3221</v>
      </c>
      <c r="C3790">
        <v>18275</v>
      </c>
      <c r="D3790" t="s">
        <v>127</v>
      </c>
      <c r="E3790" t="s">
        <v>128</v>
      </c>
      <c r="F3790">
        <v>775</v>
      </c>
      <c r="G3790">
        <v>231221</v>
      </c>
      <c r="H3790">
        <v>4343</v>
      </c>
      <c r="I3790" t="s">
        <v>91</v>
      </c>
      <c r="J3790">
        <v>961</v>
      </c>
      <c r="K3790">
        <v>186</v>
      </c>
      <c r="L3790">
        <v>17802</v>
      </c>
      <c r="M3790" t="s">
        <v>174</v>
      </c>
      <c r="N3790" t="str">
        <f>"990329454   "</f>
        <v xml:space="preserve">990329454   </v>
      </c>
      <c r="O3790">
        <v>240102</v>
      </c>
    </row>
    <row r="3791" spans="1:15" x14ac:dyDescent="0.25">
      <c r="A3791" t="s">
        <v>16</v>
      </c>
      <c r="B3791" t="s">
        <v>3221</v>
      </c>
      <c r="C3791">
        <v>5673</v>
      </c>
      <c r="D3791" t="s">
        <v>127</v>
      </c>
      <c r="E3791" t="s">
        <v>128</v>
      </c>
      <c r="F3791">
        <v>28.72</v>
      </c>
      <c r="G3791">
        <v>230413</v>
      </c>
      <c r="H3791">
        <v>4470</v>
      </c>
      <c r="I3791" t="s">
        <v>83</v>
      </c>
      <c r="J3791">
        <v>35.61</v>
      </c>
      <c r="K3791">
        <v>6.89</v>
      </c>
      <c r="L3791">
        <v>46557</v>
      </c>
      <c r="M3791" t="s">
        <v>221</v>
      </c>
      <c r="N3791" t="str">
        <f>"990312520   "</f>
        <v xml:space="preserve">990312520   </v>
      </c>
      <c r="O3791">
        <v>230428</v>
      </c>
    </row>
    <row r="3792" spans="1:15" x14ac:dyDescent="0.25">
      <c r="A3792" t="s">
        <v>16</v>
      </c>
      <c r="B3792" t="s">
        <v>3221</v>
      </c>
      <c r="C3792">
        <v>9800</v>
      </c>
      <c r="D3792" t="s">
        <v>127</v>
      </c>
      <c r="E3792" t="s">
        <v>128</v>
      </c>
      <c r="F3792">
        <v>85.56</v>
      </c>
      <c r="G3792">
        <v>230711</v>
      </c>
      <c r="H3792">
        <v>4470</v>
      </c>
      <c r="I3792" t="s">
        <v>83</v>
      </c>
      <c r="J3792">
        <v>106.09</v>
      </c>
      <c r="K3792">
        <v>20.53</v>
      </c>
      <c r="L3792">
        <v>56559</v>
      </c>
      <c r="M3792" t="s">
        <v>129</v>
      </c>
      <c r="N3792" t="str">
        <f>"990318970   "</f>
        <v xml:space="preserve">990318970   </v>
      </c>
      <c r="O3792">
        <v>230725</v>
      </c>
    </row>
    <row r="3793" spans="1:15" x14ac:dyDescent="0.25">
      <c r="A3793" t="s">
        <v>16</v>
      </c>
      <c r="B3793" t="s">
        <v>3221</v>
      </c>
      <c r="C3793">
        <v>19304</v>
      </c>
      <c r="D3793" t="s">
        <v>127</v>
      </c>
      <c r="E3793" t="s">
        <v>128</v>
      </c>
      <c r="F3793">
        <v>26.81</v>
      </c>
      <c r="G3793">
        <v>240109</v>
      </c>
      <c r="H3793">
        <v>4470</v>
      </c>
      <c r="I3793" t="s">
        <v>83</v>
      </c>
      <c r="J3793">
        <v>33.24</v>
      </c>
      <c r="K3793">
        <v>6.43</v>
      </c>
      <c r="L3793">
        <v>46564</v>
      </c>
      <c r="M3793" t="s">
        <v>727</v>
      </c>
      <c r="N3793" t="str">
        <f>"990330753   "</f>
        <v xml:space="preserve">990330753   </v>
      </c>
      <c r="O3793">
        <v>240116</v>
      </c>
    </row>
    <row r="3794" spans="1:15" x14ac:dyDescent="0.25">
      <c r="A3794" t="s">
        <v>16</v>
      </c>
      <c r="B3794" t="s">
        <v>3221</v>
      </c>
      <c r="C3794">
        <v>16343</v>
      </c>
      <c r="D3794" t="s">
        <v>2955</v>
      </c>
      <c r="E3794" t="s">
        <v>2956</v>
      </c>
      <c r="F3794">
        <v>144.03</v>
      </c>
      <c r="G3794">
        <v>231121</v>
      </c>
      <c r="H3794">
        <v>4534</v>
      </c>
      <c r="I3794" t="s">
        <v>273</v>
      </c>
      <c r="J3794">
        <v>178.6</v>
      </c>
      <c r="K3794">
        <v>34.57</v>
      </c>
      <c r="L3794">
        <v>53222</v>
      </c>
      <c r="M3794" t="s">
        <v>445</v>
      </c>
      <c r="N3794" t="str">
        <f>"I01-00060382"</f>
        <v>I01-00060382</v>
      </c>
      <c r="O3794">
        <v>231128</v>
      </c>
    </row>
    <row r="3795" spans="1:15" x14ac:dyDescent="0.25">
      <c r="A3795" t="s">
        <v>16</v>
      </c>
      <c r="B3795" t="s">
        <v>3221</v>
      </c>
      <c r="C3795">
        <v>16542</v>
      </c>
      <c r="D3795" t="s">
        <v>2955</v>
      </c>
      <c r="E3795" t="s">
        <v>2956</v>
      </c>
      <c r="F3795">
        <v>432.64</v>
      </c>
      <c r="G3795">
        <v>231130</v>
      </c>
      <c r="H3795">
        <v>4534</v>
      </c>
      <c r="I3795" t="s">
        <v>273</v>
      </c>
      <c r="J3795">
        <v>536.47</v>
      </c>
      <c r="K3795">
        <v>103.83</v>
      </c>
      <c r="L3795">
        <v>53222</v>
      </c>
      <c r="M3795" t="s">
        <v>445</v>
      </c>
      <c r="N3795" t="str">
        <f>"I01-00061024"</f>
        <v>I01-00061024</v>
      </c>
      <c r="O3795">
        <v>231201</v>
      </c>
    </row>
    <row r="3796" spans="1:15" x14ac:dyDescent="0.25">
      <c r="A3796" t="s">
        <v>16</v>
      </c>
      <c r="B3796" t="s">
        <v>3221</v>
      </c>
      <c r="C3796">
        <v>2346</v>
      </c>
      <c r="D3796" t="s">
        <v>3247</v>
      </c>
      <c r="E3796" t="s">
        <v>3248</v>
      </c>
      <c r="F3796">
        <v>350</v>
      </c>
      <c r="G3796">
        <v>230224</v>
      </c>
      <c r="H3796">
        <v>4440</v>
      </c>
      <c r="I3796" t="s">
        <v>250</v>
      </c>
      <c r="J3796">
        <v>350</v>
      </c>
      <c r="K3796">
        <v>0</v>
      </c>
      <c r="L3796">
        <v>16930</v>
      </c>
      <c r="M3796" t="s">
        <v>450</v>
      </c>
      <c r="N3796" t="str">
        <f>"2111295     "</f>
        <v xml:space="preserve">2111295     </v>
      </c>
      <c r="O3796">
        <v>230224</v>
      </c>
    </row>
    <row r="3797" spans="1:15" x14ac:dyDescent="0.25">
      <c r="A3797" t="s">
        <v>16</v>
      </c>
      <c r="B3797" t="s">
        <v>3221</v>
      </c>
      <c r="C3797">
        <v>7086</v>
      </c>
      <c r="D3797" t="s">
        <v>2060</v>
      </c>
      <c r="E3797" t="s">
        <v>2061</v>
      </c>
      <c r="F3797">
        <v>905.7</v>
      </c>
      <c r="G3797">
        <v>230522</v>
      </c>
      <c r="H3797">
        <v>4400</v>
      </c>
      <c r="I3797" t="s">
        <v>348</v>
      </c>
      <c r="J3797">
        <v>1123.07</v>
      </c>
      <c r="K3797">
        <v>217.37</v>
      </c>
      <c r="L3797">
        <v>17804</v>
      </c>
      <c r="M3797" t="s">
        <v>549</v>
      </c>
      <c r="N3797" t="str">
        <f>"940067395   "</f>
        <v xml:space="preserve">940067395   </v>
      </c>
      <c r="O3797">
        <v>230525</v>
      </c>
    </row>
    <row r="3798" spans="1:15" x14ac:dyDescent="0.25">
      <c r="A3798" t="s">
        <v>16</v>
      </c>
      <c r="B3798" t="s">
        <v>3221</v>
      </c>
      <c r="C3798">
        <v>7095</v>
      </c>
      <c r="D3798" t="s">
        <v>2060</v>
      </c>
      <c r="E3798" t="s">
        <v>2061</v>
      </c>
      <c r="F3798">
        <v>1756.93</v>
      </c>
      <c r="G3798">
        <v>230522</v>
      </c>
      <c r="H3798">
        <v>4400</v>
      </c>
      <c r="I3798" t="s">
        <v>348</v>
      </c>
      <c r="J3798">
        <v>2178.59</v>
      </c>
      <c r="K3798">
        <v>421.66</v>
      </c>
      <c r="L3798">
        <v>17803</v>
      </c>
      <c r="M3798" t="s">
        <v>389</v>
      </c>
      <c r="N3798" t="str">
        <f>"940067394   "</f>
        <v xml:space="preserve">940067394   </v>
      </c>
      <c r="O3798">
        <v>230525</v>
      </c>
    </row>
    <row r="3799" spans="1:15" x14ac:dyDescent="0.25">
      <c r="A3799" t="s">
        <v>16</v>
      </c>
      <c r="B3799" t="s">
        <v>3221</v>
      </c>
      <c r="C3799">
        <v>16685</v>
      </c>
      <c r="D3799" t="s">
        <v>2060</v>
      </c>
      <c r="E3799" t="s">
        <v>2061</v>
      </c>
      <c r="F3799">
        <v>5236.26</v>
      </c>
      <c r="G3799">
        <v>231120</v>
      </c>
      <c r="H3799">
        <v>4400</v>
      </c>
      <c r="I3799" t="s">
        <v>348</v>
      </c>
      <c r="J3799">
        <v>6492.96</v>
      </c>
      <c r="K3799">
        <v>1256.7</v>
      </c>
      <c r="L3799">
        <v>49501</v>
      </c>
      <c r="M3799" t="s">
        <v>177</v>
      </c>
      <c r="N3799" t="str">
        <f>"940073111   "</f>
        <v xml:space="preserve">940073111   </v>
      </c>
      <c r="O3799">
        <v>231207</v>
      </c>
    </row>
    <row r="3800" spans="1:15" x14ac:dyDescent="0.25">
      <c r="A3800" t="s">
        <v>16</v>
      </c>
      <c r="B3800" t="s">
        <v>3221</v>
      </c>
      <c r="C3800">
        <v>16462</v>
      </c>
      <c r="D3800" t="s">
        <v>2977</v>
      </c>
      <c r="E3800" t="s">
        <v>2978</v>
      </c>
      <c r="F3800">
        <v>97.58</v>
      </c>
      <c r="G3800">
        <v>231118</v>
      </c>
      <c r="H3800">
        <v>4410</v>
      </c>
      <c r="I3800" t="s">
        <v>517</v>
      </c>
      <c r="J3800">
        <v>121</v>
      </c>
      <c r="K3800">
        <v>23.42</v>
      </c>
      <c r="L3800">
        <v>11605</v>
      </c>
      <c r="M3800" t="s">
        <v>106</v>
      </c>
      <c r="N3800" t="str">
        <f>"116         "</f>
        <v xml:space="preserve">116         </v>
      </c>
      <c r="O3800">
        <v>231201</v>
      </c>
    </row>
    <row r="3801" spans="1:15" x14ac:dyDescent="0.25">
      <c r="A3801" t="s">
        <v>16</v>
      </c>
      <c r="B3801" t="s">
        <v>3221</v>
      </c>
      <c r="C3801">
        <v>16462</v>
      </c>
      <c r="D3801" t="s">
        <v>2977</v>
      </c>
      <c r="E3801" t="s">
        <v>2978</v>
      </c>
      <c r="F3801">
        <v>407.89</v>
      </c>
      <c r="G3801">
        <v>231118</v>
      </c>
      <c r="H3801">
        <v>4410</v>
      </c>
      <c r="I3801" t="s">
        <v>517</v>
      </c>
      <c r="J3801">
        <v>465</v>
      </c>
      <c r="K3801">
        <v>57.11</v>
      </c>
      <c r="L3801">
        <v>11605</v>
      </c>
      <c r="M3801" t="s">
        <v>106</v>
      </c>
      <c r="N3801" t="str">
        <f>"116         "</f>
        <v xml:space="preserve">116         </v>
      </c>
      <c r="O3801">
        <v>231201</v>
      </c>
    </row>
    <row r="3802" spans="1:15" x14ac:dyDescent="0.25">
      <c r="A3802" t="s">
        <v>16</v>
      </c>
      <c r="B3802" t="s">
        <v>3221</v>
      </c>
      <c r="C3802">
        <v>13181</v>
      </c>
      <c r="D3802" t="s">
        <v>2642</v>
      </c>
      <c r="E3802" t="s">
        <v>2643</v>
      </c>
      <c r="F3802">
        <v>119</v>
      </c>
      <c r="G3802">
        <v>231003</v>
      </c>
      <c r="H3802">
        <v>4580</v>
      </c>
      <c r="I3802" t="s">
        <v>35</v>
      </c>
      <c r="J3802">
        <v>147.56</v>
      </c>
      <c r="K3802">
        <v>28.56</v>
      </c>
      <c r="L3802">
        <v>17952</v>
      </c>
      <c r="M3802" t="s">
        <v>88</v>
      </c>
      <c r="N3802" t="str">
        <f>"0251689     "</f>
        <v xml:space="preserve">0251689     </v>
      </c>
      <c r="O3802">
        <v>231005</v>
      </c>
    </row>
    <row r="3803" spans="1:15" x14ac:dyDescent="0.25">
      <c r="A3803" t="s">
        <v>16</v>
      </c>
      <c r="B3803" t="s">
        <v>3221</v>
      </c>
      <c r="C3803">
        <v>14138</v>
      </c>
      <c r="D3803" t="s">
        <v>512</v>
      </c>
      <c r="E3803" t="s">
        <v>513</v>
      </c>
      <c r="F3803">
        <v>992.5</v>
      </c>
      <c r="G3803">
        <v>231011</v>
      </c>
      <c r="H3803">
        <v>4580</v>
      </c>
      <c r="I3803" t="s">
        <v>35</v>
      </c>
      <c r="J3803">
        <v>1230.7</v>
      </c>
      <c r="K3803">
        <v>238.2</v>
      </c>
      <c r="L3803">
        <v>17912</v>
      </c>
      <c r="M3803" t="s">
        <v>419</v>
      </c>
      <c r="N3803" t="str">
        <f>"9167311395  "</f>
        <v xml:space="preserve">9167311395  </v>
      </c>
      <c r="O3803">
        <v>231019</v>
      </c>
    </row>
    <row r="3804" spans="1:15" x14ac:dyDescent="0.25">
      <c r="A3804" t="s">
        <v>16</v>
      </c>
      <c r="B3804" t="s">
        <v>3221</v>
      </c>
      <c r="C3804">
        <v>19253</v>
      </c>
      <c r="D3804" t="s">
        <v>512</v>
      </c>
      <c r="E3804" t="s">
        <v>513</v>
      </c>
      <c r="F3804">
        <v>299</v>
      </c>
      <c r="G3804">
        <v>231229</v>
      </c>
      <c r="H3804">
        <v>4580</v>
      </c>
      <c r="I3804" t="s">
        <v>35</v>
      </c>
      <c r="J3804">
        <v>299</v>
      </c>
      <c r="K3804">
        <v>0</v>
      </c>
      <c r="L3804">
        <v>17522</v>
      </c>
      <c r="M3804" t="s">
        <v>451</v>
      </c>
      <c r="N3804" t="str">
        <f>"9179080649  "</f>
        <v xml:space="preserve">9179080649  </v>
      </c>
      <c r="O3804">
        <v>240115</v>
      </c>
    </row>
    <row r="3805" spans="1:15" x14ac:dyDescent="0.25">
      <c r="A3805" t="s">
        <v>16</v>
      </c>
      <c r="B3805" t="s">
        <v>3221</v>
      </c>
      <c r="C3805">
        <v>7612</v>
      </c>
      <c r="D3805" t="s">
        <v>512</v>
      </c>
      <c r="E3805" t="s">
        <v>513</v>
      </c>
      <c r="F3805">
        <v>219</v>
      </c>
      <c r="G3805">
        <v>230530</v>
      </c>
      <c r="H3805">
        <v>4600</v>
      </c>
      <c r="I3805" t="s">
        <v>105</v>
      </c>
      <c r="J3805">
        <v>219</v>
      </c>
      <c r="K3805">
        <v>0</v>
      </c>
      <c r="L3805">
        <v>14972</v>
      </c>
      <c r="M3805" t="s">
        <v>898</v>
      </c>
      <c r="N3805" t="str">
        <f>"9152526838  "</f>
        <v xml:space="preserve">9152526838  </v>
      </c>
      <c r="O3805">
        <v>230601</v>
      </c>
    </row>
    <row r="3806" spans="1:15" x14ac:dyDescent="0.25">
      <c r="A3806" t="s">
        <v>16</v>
      </c>
      <c r="B3806" t="s">
        <v>3221</v>
      </c>
      <c r="C3806">
        <v>392</v>
      </c>
      <c r="D3806" t="s">
        <v>512</v>
      </c>
      <c r="E3806" t="s">
        <v>513</v>
      </c>
      <c r="F3806">
        <v>241.94</v>
      </c>
      <c r="G3806">
        <v>230119</v>
      </c>
      <c r="H3806">
        <v>4940</v>
      </c>
      <c r="I3806" t="s">
        <v>514</v>
      </c>
      <c r="J3806">
        <v>300</v>
      </c>
      <c r="K3806">
        <v>58.06</v>
      </c>
      <c r="L3806">
        <v>13561</v>
      </c>
      <c r="M3806" t="s">
        <v>246</v>
      </c>
      <c r="N3806" t="str">
        <f>"9139818647  "</f>
        <v xml:space="preserve">9139818647  </v>
      </c>
      <c r="O3806">
        <v>230119</v>
      </c>
    </row>
    <row r="3807" spans="1:15" x14ac:dyDescent="0.25">
      <c r="A3807" t="s">
        <v>16</v>
      </c>
      <c r="B3807" t="s">
        <v>3221</v>
      </c>
      <c r="C3807">
        <v>16121</v>
      </c>
      <c r="D3807" t="s">
        <v>2928</v>
      </c>
      <c r="E3807" t="s">
        <v>2929</v>
      </c>
      <c r="F3807">
        <v>805.37</v>
      </c>
      <c r="G3807">
        <v>231114</v>
      </c>
      <c r="H3807">
        <v>4343</v>
      </c>
      <c r="I3807" t="s">
        <v>91</v>
      </c>
      <c r="J3807">
        <v>998.66</v>
      </c>
      <c r="K3807">
        <v>193.29</v>
      </c>
      <c r="L3807">
        <v>11301</v>
      </c>
      <c r="M3807" t="s">
        <v>29</v>
      </c>
      <c r="N3807" t="str">
        <f>"32118       "</f>
        <v xml:space="preserve">32118       </v>
      </c>
      <c r="O3807">
        <v>231123</v>
      </c>
    </row>
    <row r="3808" spans="1:15" x14ac:dyDescent="0.25">
      <c r="A3808" t="s">
        <v>16</v>
      </c>
      <c r="B3808" t="s">
        <v>3221</v>
      </c>
      <c r="C3808">
        <v>11938</v>
      </c>
      <c r="D3808" t="s">
        <v>2525</v>
      </c>
      <c r="E3808" t="s">
        <v>2526</v>
      </c>
      <c r="F3808">
        <v>27</v>
      </c>
      <c r="G3808">
        <v>230903</v>
      </c>
      <c r="H3808">
        <v>4410</v>
      </c>
      <c r="I3808" t="s">
        <v>517</v>
      </c>
      <c r="J3808">
        <v>27</v>
      </c>
      <c r="K3808">
        <v>0</v>
      </c>
      <c r="L3808">
        <v>11605</v>
      </c>
      <c r="M3808" t="s">
        <v>106</v>
      </c>
      <c r="N3808" t="str">
        <f>"50230001157 "</f>
        <v xml:space="preserve">50230001157 </v>
      </c>
      <c r="O3808">
        <v>230912</v>
      </c>
    </row>
    <row r="3809" spans="1:15" x14ac:dyDescent="0.25">
      <c r="A3809" t="s">
        <v>16</v>
      </c>
      <c r="B3809" t="s">
        <v>3221</v>
      </c>
      <c r="C3809">
        <v>11938</v>
      </c>
      <c r="D3809" t="s">
        <v>2525</v>
      </c>
      <c r="E3809" t="s">
        <v>2526</v>
      </c>
      <c r="F3809">
        <v>71.819999999999993</v>
      </c>
      <c r="G3809">
        <v>230903</v>
      </c>
      <c r="H3809">
        <v>4410</v>
      </c>
      <c r="I3809" t="s">
        <v>517</v>
      </c>
      <c r="J3809">
        <v>79</v>
      </c>
      <c r="K3809">
        <v>7.18</v>
      </c>
      <c r="L3809">
        <v>11605</v>
      </c>
      <c r="M3809" t="s">
        <v>106</v>
      </c>
      <c r="N3809" t="str">
        <f>"50230001157 "</f>
        <v xml:space="preserve">50230001157 </v>
      </c>
      <c r="O3809">
        <v>230912</v>
      </c>
    </row>
    <row r="3810" spans="1:15" x14ac:dyDescent="0.25">
      <c r="A3810" t="s">
        <v>16</v>
      </c>
      <c r="B3810" t="s">
        <v>3221</v>
      </c>
      <c r="C3810">
        <v>11939</v>
      </c>
      <c r="D3810" t="s">
        <v>2525</v>
      </c>
      <c r="E3810" t="s">
        <v>2526</v>
      </c>
      <c r="F3810">
        <v>8.06</v>
      </c>
      <c r="G3810">
        <v>230903</v>
      </c>
      <c r="H3810">
        <v>4420</v>
      </c>
      <c r="I3810" t="s">
        <v>132</v>
      </c>
      <c r="J3810">
        <v>10</v>
      </c>
      <c r="K3810">
        <v>1.94</v>
      </c>
      <c r="L3810">
        <v>11605</v>
      </c>
      <c r="M3810" t="s">
        <v>106</v>
      </c>
      <c r="N3810" t="str">
        <f>"50230001160 "</f>
        <v xml:space="preserve">50230001160 </v>
      </c>
      <c r="O3810">
        <v>230912</v>
      </c>
    </row>
    <row r="3811" spans="1:15" x14ac:dyDescent="0.25">
      <c r="A3811" t="s">
        <v>16</v>
      </c>
      <c r="B3811" t="s">
        <v>3221</v>
      </c>
      <c r="C3811">
        <v>11939</v>
      </c>
      <c r="D3811" t="s">
        <v>2525</v>
      </c>
      <c r="E3811" t="s">
        <v>2526</v>
      </c>
      <c r="F3811">
        <v>36</v>
      </c>
      <c r="G3811">
        <v>230903</v>
      </c>
      <c r="H3811">
        <v>4420</v>
      </c>
      <c r="I3811" t="s">
        <v>132</v>
      </c>
      <c r="J3811">
        <v>36</v>
      </c>
      <c r="K3811">
        <v>0</v>
      </c>
      <c r="L3811">
        <v>11605</v>
      </c>
      <c r="M3811" t="s">
        <v>106</v>
      </c>
      <c r="N3811" t="str">
        <f>"50230001160 "</f>
        <v xml:space="preserve">50230001160 </v>
      </c>
      <c r="O3811">
        <v>230912</v>
      </c>
    </row>
    <row r="3812" spans="1:15" x14ac:dyDescent="0.25">
      <c r="A3812" t="s">
        <v>16</v>
      </c>
      <c r="B3812" t="s">
        <v>3221</v>
      </c>
      <c r="C3812">
        <v>11939</v>
      </c>
      <c r="D3812" t="s">
        <v>2525</v>
      </c>
      <c r="E3812" t="s">
        <v>2526</v>
      </c>
      <c r="F3812">
        <v>190.91</v>
      </c>
      <c r="G3812">
        <v>230903</v>
      </c>
      <c r="H3812">
        <v>4420</v>
      </c>
      <c r="I3812" t="s">
        <v>132</v>
      </c>
      <c r="J3812">
        <v>210</v>
      </c>
      <c r="K3812">
        <v>19.09</v>
      </c>
      <c r="L3812">
        <v>11605</v>
      </c>
      <c r="M3812" t="s">
        <v>106</v>
      </c>
      <c r="N3812" t="str">
        <f>"50230001160 "</f>
        <v xml:space="preserve">50230001160 </v>
      </c>
      <c r="O3812">
        <v>230912</v>
      </c>
    </row>
    <row r="3813" spans="1:15" x14ac:dyDescent="0.25">
      <c r="A3813" t="s">
        <v>16</v>
      </c>
      <c r="B3813" t="s">
        <v>3221</v>
      </c>
      <c r="C3813">
        <v>307</v>
      </c>
      <c r="D3813" t="s">
        <v>443</v>
      </c>
      <c r="E3813" t="s">
        <v>444</v>
      </c>
      <c r="F3813">
        <v>129.04</v>
      </c>
      <c r="G3813">
        <v>230117</v>
      </c>
      <c r="H3813">
        <v>4346</v>
      </c>
      <c r="I3813" t="s">
        <v>197</v>
      </c>
      <c r="J3813">
        <v>160.01</v>
      </c>
      <c r="K3813">
        <v>30.97</v>
      </c>
      <c r="L3813">
        <v>53222</v>
      </c>
      <c r="M3813" t="s">
        <v>445</v>
      </c>
      <c r="N3813" t="str">
        <f>"7889        "</f>
        <v xml:space="preserve">7889        </v>
      </c>
      <c r="O3813">
        <v>230118</v>
      </c>
    </row>
    <row r="3814" spans="1:15" x14ac:dyDescent="0.25">
      <c r="A3814" t="s">
        <v>16</v>
      </c>
      <c r="B3814" t="s">
        <v>3221</v>
      </c>
      <c r="C3814">
        <v>14399</v>
      </c>
      <c r="D3814" t="s">
        <v>3626</v>
      </c>
      <c r="E3814" t="s">
        <v>2769</v>
      </c>
      <c r="F3814">
        <v>4.84</v>
      </c>
      <c r="G3814">
        <v>231022</v>
      </c>
      <c r="H3814">
        <v>4440</v>
      </c>
      <c r="I3814" t="s">
        <v>250</v>
      </c>
      <c r="J3814">
        <v>6</v>
      </c>
      <c r="K3814">
        <v>1.1599999999999999</v>
      </c>
      <c r="L3814">
        <v>56560</v>
      </c>
      <c r="M3814" t="s">
        <v>654</v>
      </c>
      <c r="N3814" t="str">
        <f>"2797        "</f>
        <v xml:space="preserve">2797        </v>
      </c>
      <c r="O3814">
        <v>231030</v>
      </c>
    </row>
    <row r="3815" spans="1:15" x14ac:dyDescent="0.25">
      <c r="A3815" t="s">
        <v>16</v>
      </c>
      <c r="B3815" t="s">
        <v>3221</v>
      </c>
      <c r="C3815">
        <v>14399</v>
      </c>
      <c r="D3815" t="s">
        <v>3626</v>
      </c>
      <c r="E3815" t="s">
        <v>2769</v>
      </c>
      <c r="F3815">
        <v>21.82</v>
      </c>
      <c r="G3815">
        <v>231022</v>
      </c>
      <c r="H3815">
        <v>4440</v>
      </c>
      <c r="I3815" t="s">
        <v>250</v>
      </c>
      <c r="J3815">
        <v>24</v>
      </c>
      <c r="K3815">
        <v>2.1800000000000002</v>
      </c>
      <c r="L3815">
        <v>56560</v>
      </c>
      <c r="M3815" t="s">
        <v>654</v>
      </c>
      <c r="N3815" t="str">
        <f>"2797        "</f>
        <v xml:space="preserve">2797        </v>
      </c>
      <c r="O3815">
        <v>231030</v>
      </c>
    </row>
    <row r="3816" spans="1:15" x14ac:dyDescent="0.25">
      <c r="A3816" t="s">
        <v>16</v>
      </c>
      <c r="B3816" t="s">
        <v>3221</v>
      </c>
      <c r="C3816">
        <v>14399</v>
      </c>
      <c r="D3816" t="s">
        <v>3626</v>
      </c>
      <c r="E3816" t="s">
        <v>2769</v>
      </c>
      <c r="F3816">
        <v>21.81</v>
      </c>
      <c r="G3816">
        <v>231022</v>
      </c>
      <c r="H3816">
        <v>4440</v>
      </c>
      <c r="I3816" t="s">
        <v>250</v>
      </c>
      <c r="J3816">
        <v>23.99</v>
      </c>
      <c r="K3816">
        <v>2.1800000000000002</v>
      </c>
      <c r="L3816">
        <v>56562</v>
      </c>
      <c r="M3816" t="s">
        <v>126</v>
      </c>
      <c r="N3816" t="str">
        <f>"2797        "</f>
        <v xml:space="preserve">2797        </v>
      </c>
      <c r="O3816">
        <v>231030</v>
      </c>
    </row>
    <row r="3817" spans="1:15" x14ac:dyDescent="0.25">
      <c r="A3817" t="s">
        <v>16</v>
      </c>
      <c r="B3817" t="s">
        <v>3221</v>
      </c>
      <c r="C3817">
        <v>6497</v>
      </c>
      <c r="D3817" t="s">
        <v>1973</v>
      </c>
      <c r="E3817" t="s">
        <v>1974</v>
      </c>
      <c r="F3817">
        <v>106.08</v>
      </c>
      <c r="G3817">
        <v>230509</v>
      </c>
      <c r="H3817">
        <v>4400</v>
      </c>
      <c r="I3817" t="s">
        <v>348</v>
      </c>
      <c r="J3817">
        <v>106.08</v>
      </c>
      <c r="K3817">
        <v>0</v>
      </c>
      <c r="L3817">
        <v>17737</v>
      </c>
      <c r="M3817" t="s">
        <v>279</v>
      </c>
      <c r="N3817" t="str">
        <f>"1345183     "</f>
        <v xml:space="preserve">1345183     </v>
      </c>
      <c r="O3817">
        <v>230512</v>
      </c>
    </row>
    <row r="3818" spans="1:15" x14ac:dyDescent="0.25">
      <c r="A3818" t="s">
        <v>16</v>
      </c>
      <c r="B3818" t="s">
        <v>3221</v>
      </c>
      <c r="C3818">
        <v>3757</v>
      </c>
      <c r="D3818" t="s">
        <v>1608</v>
      </c>
      <c r="E3818" t="s">
        <v>1609</v>
      </c>
      <c r="F3818">
        <v>2310</v>
      </c>
      <c r="G3818">
        <v>230303</v>
      </c>
      <c r="H3818">
        <v>4341</v>
      </c>
      <c r="I3818" t="s">
        <v>32</v>
      </c>
      <c r="J3818">
        <v>2864.4</v>
      </c>
      <c r="K3818">
        <v>554.4</v>
      </c>
      <c r="L3818">
        <v>11602</v>
      </c>
      <c r="M3818" t="s">
        <v>714</v>
      </c>
      <c r="N3818" t="str">
        <f>"7014        "</f>
        <v xml:space="preserve">7014        </v>
      </c>
      <c r="O3818">
        <v>230321</v>
      </c>
    </row>
    <row r="3819" spans="1:15" x14ac:dyDescent="0.25">
      <c r="A3819" t="s">
        <v>16</v>
      </c>
      <c r="B3819" t="s">
        <v>3221</v>
      </c>
      <c r="C3819">
        <v>4407</v>
      </c>
      <c r="D3819" t="s">
        <v>1608</v>
      </c>
      <c r="E3819" t="s">
        <v>1609</v>
      </c>
      <c r="F3819">
        <v>155</v>
      </c>
      <c r="G3819">
        <v>230403</v>
      </c>
      <c r="H3819">
        <v>4341</v>
      </c>
      <c r="I3819" t="s">
        <v>32</v>
      </c>
      <c r="J3819">
        <v>192.2</v>
      </c>
      <c r="K3819">
        <v>37.200000000000003</v>
      </c>
      <c r="L3819">
        <v>11602</v>
      </c>
      <c r="M3819" t="s">
        <v>714</v>
      </c>
      <c r="N3819" t="str">
        <f>"7254        "</f>
        <v xml:space="preserve">7254        </v>
      </c>
      <c r="O3819">
        <v>230405</v>
      </c>
    </row>
    <row r="3820" spans="1:15" x14ac:dyDescent="0.25">
      <c r="A3820" t="s">
        <v>16</v>
      </c>
      <c r="B3820" t="s">
        <v>3221</v>
      </c>
      <c r="C3820">
        <v>12713</v>
      </c>
      <c r="D3820" t="s">
        <v>1608</v>
      </c>
      <c r="E3820" t="s">
        <v>1609</v>
      </c>
      <c r="F3820">
        <v>435.17</v>
      </c>
      <c r="G3820">
        <v>230902</v>
      </c>
      <c r="H3820">
        <v>4343</v>
      </c>
      <c r="I3820" t="s">
        <v>91</v>
      </c>
      <c r="J3820">
        <v>539.61</v>
      </c>
      <c r="K3820">
        <v>104.44</v>
      </c>
      <c r="L3820">
        <v>11601</v>
      </c>
      <c r="M3820" t="s">
        <v>535</v>
      </c>
      <c r="N3820" t="str">
        <f>"7946        "</f>
        <v xml:space="preserve">7946        </v>
      </c>
      <c r="O3820">
        <v>230925</v>
      </c>
    </row>
    <row r="3821" spans="1:15" x14ac:dyDescent="0.25">
      <c r="A3821" t="s">
        <v>16</v>
      </c>
      <c r="B3821" t="s">
        <v>3221</v>
      </c>
      <c r="C3821">
        <v>5537</v>
      </c>
      <c r="D3821" t="s">
        <v>759</v>
      </c>
      <c r="E3821" t="s">
        <v>760</v>
      </c>
      <c r="F3821">
        <v>587.09</v>
      </c>
      <c r="G3821">
        <v>230424</v>
      </c>
      <c r="H3821">
        <v>1196</v>
      </c>
      <c r="I3821" t="s">
        <v>392</v>
      </c>
      <c r="J3821">
        <v>727.99</v>
      </c>
      <c r="K3821">
        <v>140.9</v>
      </c>
      <c r="L3821">
        <v>97501</v>
      </c>
      <c r="M3821" t="s">
        <v>393</v>
      </c>
      <c r="N3821" t="str">
        <f>"23065350    "</f>
        <v xml:space="preserve">23065350    </v>
      </c>
      <c r="O3821">
        <v>230426</v>
      </c>
    </row>
    <row r="3822" spans="1:15" x14ac:dyDescent="0.25">
      <c r="A3822" t="s">
        <v>16</v>
      </c>
      <c r="B3822" t="s">
        <v>3221</v>
      </c>
      <c r="C3822">
        <v>816</v>
      </c>
      <c r="D3822" t="s">
        <v>759</v>
      </c>
      <c r="E3822" t="s">
        <v>760</v>
      </c>
      <c r="F3822">
        <v>22.9</v>
      </c>
      <c r="G3822">
        <v>230125</v>
      </c>
      <c r="H3822">
        <v>4510</v>
      </c>
      <c r="I3822" t="s">
        <v>42</v>
      </c>
      <c r="J3822">
        <v>28.4</v>
      </c>
      <c r="K3822">
        <v>5.5</v>
      </c>
      <c r="L3822">
        <v>56566</v>
      </c>
      <c r="M3822" t="s">
        <v>652</v>
      </c>
      <c r="N3822" t="str">
        <f>"23030499    "</f>
        <v xml:space="preserve">23030499    </v>
      </c>
      <c r="O3822">
        <v>230130</v>
      </c>
    </row>
    <row r="3823" spans="1:15" x14ac:dyDescent="0.25">
      <c r="A3823" t="s">
        <v>16</v>
      </c>
      <c r="B3823" t="s">
        <v>3221</v>
      </c>
      <c r="C3823">
        <v>1460</v>
      </c>
      <c r="D3823" t="s">
        <v>759</v>
      </c>
      <c r="E3823" t="s">
        <v>760</v>
      </c>
      <c r="F3823">
        <v>22.9</v>
      </c>
      <c r="G3823">
        <v>230206</v>
      </c>
      <c r="H3823">
        <v>4510</v>
      </c>
      <c r="I3823" t="s">
        <v>42</v>
      </c>
      <c r="J3823">
        <v>28.4</v>
      </c>
      <c r="K3823">
        <v>5.5</v>
      </c>
      <c r="L3823">
        <v>46554</v>
      </c>
      <c r="M3823" t="s">
        <v>117</v>
      </c>
      <c r="N3823" t="str">
        <f>"23036939    "</f>
        <v xml:space="preserve">23036939    </v>
      </c>
      <c r="O3823">
        <v>230209</v>
      </c>
    </row>
    <row r="3824" spans="1:15" x14ac:dyDescent="0.25">
      <c r="A3824" t="s">
        <v>16</v>
      </c>
      <c r="B3824" t="s">
        <v>3221</v>
      </c>
      <c r="C3824">
        <v>6609</v>
      </c>
      <c r="D3824" t="s">
        <v>759</v>
      </c>
      <c r="E3824" t="s">
        <v>760</v>
      </c>
      <c r="F3824">
        <v>37.950000000000003</v>
      </c>
      <c r="G3824">
        <v>230508</v>
      </c>
      <c r="H3824">
        <v>4510</v>
      </c>
      <c r="I3824" t="s">
        <v>42</v>
      </c>
      <c r="J3824">
        <v>47.06</v>
      </c>
      <c r="K3824">
        <v>9.11</v>
      </c>
      <c r="L3824">
        <v>46554</v>
      </c>
      <c r="M3824" t="s">
        <v>117</v>
      </c>
      <c r="N3824" t="str">
        <f>"23073144    "</f>
        <v xml:space="preserve">23073144    </v>
      </c>
      <c r="O3824">
        <v>230516</v>
      </c>
    </row>
    <row r="3825" spans="1:15" x14ac:dyDescent="0.25">
      <c r="A3825" t="s">
        <v>16</v>
      </c>
      <c r="B3825" t="s">
        <v>3221</v>
      </c>
      <c r="C3825">
        <v>7568</v>
      </c>
      <c r="D3825" t="s">
        <v>759</v>
      </c>
      <c r="E3825" t="s">
        <v>760</v>
      </c>
      <c r="F3825">
        <v>37.950000000000003</v>
      </c>
      <c r="G3825">
        <v>230530</v>
      </c>
      <c r="H3825">
        <v>4510</v>
      </c>
      <c r="I3825" t="s">
        <v>42</v>
      </c>
      <c r="J3825">
        <v>47.06</v>
      </c>
      <c r="K3825">
        <v>9.11</v>
      </c>
      <c r="L3825">
        <v>56566</v>
      </c>
      <c r="M3825" t="s">
        <v>652</v>
      </c>
      <c r="N3825" t="str">
        <f>"23080240    "</f>
        <v xml:space="preserve">23080240    </v>
      </c>
      <c r="O3825">
        <v>230531</v>
      </c>
    </row>
    <row r="3826" spans="1:15" x14ac:dyDescent="0.25">
      <c r="A3826" t="s">
        <v>16</v>
      </c>
      <c r="B3826" t="s">
        <v>3221</v>
      </c>
      <c r="C3826">
        <v>14341</v>
      </c>
      <c r="D3826" t="s">
        <v>759</v>
      </c>
      <c r="E3826" t="s">
        <v>760</v>
      </c>
      <c r="F3826">
        <v>37.950000000000003</v>
      </c>
      <c r="G3826">
        <v>231018</v>
      </c>
      <c r="H3826">
        <v>4510</v>
      </c>
      <c r="I3826" t="s">
        <v>42</v>
      </c>
      <c r="J3826">
        <v>47.06</v>
      </c>
      <c r="K3826">
        <v>9.11</v>
      </c>
      <c r="L3826">
        <v>56566</v>
      </c>
      <c r="M3826" t="s">
        <v>652</v>
      </c>
      <c r="N3826" t="str">
        <f>"23135467    "</f>
        <v xml:space="preserve">23135467    </v>
      </c>
      <c r="O3826">
        <v>231027</v>
      </c>
    </row>
    <row r="3827" spans="1:15" x14ac:dyDescent="0.25">
      <c r="A3827" t="s">
        <v>16</v>
      </c>
      <c r="B3827" t="s">
        <v>3221</v>
      </c>
      <c r="C3827">
        <v>16379</v>
      </c>
      <c r="D3827" t="s">
        <v>759</v>
      </c>
      <c r="E3827" t="s">
        <v>760</v>
      </c>
      <c r="F3827">
        <v>37.950000000000003</v>
      </c>
      <c r="G3827">
        <v>231123</v>
      </c>
      <c r="H3827">
        <v>4510</v>
      </c>
      <c r="I3827" t="s">
        <v>42</v>
      </c>
      <c r="J3827">
        <v>47.06</v>
      </c>
      <c r="K3827">
        <v>9.11</v>
      </c>
      <c r="L3827">
        <v>17711</v>
      </c>
      <c r="M3827" t="s">
        <v>65</v>
      </c>
      <c r="N3827" t="str">
        <f>"24005266    "</f>
        <v xml:space="preserve">24005266    </v>
      </c>
      <c r="O3827">
        <v>231128</v>
      </c>
    </row>
    <row r="3828" spans="1:15" x14ac:dyDescent="0.25">
      <c r="A3828" t="s">
        <v>16</v>
      </c>
      <c r="B3828" t="s">
        <v>3221</v>
      </c>
      <c r="C3828">
        <v>12237</v>
      </c>
      <c r="D3828" t="s">
        <v>759</v>
      </c>
      <c r="E3828" t="s">
        <v>760</v>
      </c>
      <c r="F3828">
        <v>37.950000000000003</v>
      </c>
      <c r="G3828">
        <v>230831</v>
      </c>
      <c r="H3828">
        <v>4600</v>
      </c>
      <c r="I3828" t="s">
        <v>105</v>
      </c>
      <c r="J3828">
        <v>47.06</v>
      </c>
      <c r="K3828">
        <v>9.11</v>
      </c>
      <c r="L3828">
        <v>46559</v>
      </c>
      <c r="M3828" t="s">
        <v>1104</v>
      </c>
      <c r="N3828" t="str">
        <f>"23113342    "</f>
        <v xml:space="preserve">23113342    </v>
      </c>
      <c r="O3828">
        <v>230918</v>
      </c>
    </row>
    <row r="3829" spans="1:15" x14ac:dyDescent="0.25">
      <c r="A3829" t="s">
        <v>16</v>
      </c>
      <c r="B3829" t="s">
        <v>3221</v>
      </c>
      <c r="C3829">
        <v>16817</v>
      </c>
      <c r="D3829" t="s">
        <v>759</v>
      </c>
      <c r="E3829" t="s">
        <v>760</v>
      </c>
      <c r="F3829">
        <v>60.19</v>
      </c>
      <c r="G3829">
        <v>231130</v>
      </c>
      <c r="H3829">
        <v>4470</v>
      </c>
      <c r="I3829" t="s">
        <v>83</v>
      </c>
      <c r="J3829">
        <v>74.64</v>
      </c>
      <c r="K3829">
        <v>14.45</v>
      </c>
      <c r="L3829">
        <v>17950</v>
      </c>
      <c r="M3829" t="s">
        <v>86</v>
      </c>
      <c r="N3829" t="str">
        <f>"24009205    "</f>
        <v xml:space="preserve">24009205    </v>
      </c>
      <c r="O3829">
        <v>231211</v>
      </c>
    </row>
    <row r="3830" spans="1:15" x14ac:dyDescent="0.25">
      <c r="A3830" t="s">
        <v>16</v>
      </c>
      <c r="B3830" t="s">
        <v>3221</v>
      </c>
      <c r="C3830">
        <v>12853</v>
      </c>
      <c r="D3830" t="s">
        <v>759</v>
      </c>
      <c r="E3830" t="s">
        <v>760</v>
      </c>
      <c r="F3830">
        <v>244.66</v>
      </c>
      <c r="G3830">
        <v>230925</v>
      </c>
      <c r="H3830">
        <v>4350</v>
      </c>
      <c r="I3830" t="s">
        <v>546</v>
      </c>
      <c r="J3830">
        <v>303.38</v>
      </c>
      <c r="K3830">
        <v>58.72</v>
      </c>
      <c r="L3830">
        <v>18972</v>
      </c>
      <c r="M3830" t="s">
        <v>163</v>
      </c>
      <c r="N3830" t="str">
        <f>"23124573    "</f>
        <v xml:space="preserve">23124573    </v>
      </c>
      <c r="O3830">
        <v>230928</v>
      </c>
    </row>
    <row r="3831" spans="1:15" x14ac:dyDescent="0.25">
      <c r="A3831" t="s">
        <v>16</v>
      </c>
      <c r="B3831" t="s">
        <v>3221</v>
      </c>
      <c r="C3831">
        <v>13410</v>
      </c>
      <c r="D3831" t="s">
        <v>759</v>
      </c>
      <c r="E3831" t="s">
        <v>760</v>
      </c>
      <c r="F3831">
        <v>73.290000000000006</v>
      </c>
      <c r="G3831">
        <v>230930</v>
      </c>
      <c r="H3831">
        <v>4350</v>
      </c>
      <c r="I3831" t="s">
        <v>546</v>
      </c>
      <c r="J3831">
        <v>90.88</v>
      </c>
      <c r="K3831">
        <v>17.59</v>
      </c>
      <c r="L3831">
        <v>11301</v>
      </c>
      <c r="M3831" t="s">
        <v>29</v>
      </c>
      <c r="N3831" t="str">
        <f>"23127252    "</f>
        <v xml:space="preserve">23127252    </v>
      </c>
      <c r="O3831">
        <v>231010</v>
      </c>
    </row>
    <row r="3832" spans="1:15" x14ac:dyDescent="0.25">
      <c r="A3832" t="s">
        <v>16</v>
      </c>
      <c r="B3832" t="s">
        <v>3221</v>
      </c>
      <c r="C3832">
        <v>18594</v>
      </c>
      <c r="D3832" t="s">
        <v>759</v>
      </c>
      <c r="E3832" t="s">
        <v>760</v>
      </c>
      <c r="F3832">
        <v>528.91</v>
      </c>
      <c r="G3832">
        <v>231231</v>
      </c>
      <c r="H3832">
        <v>4350</v>
      </c>
      <c r="I3832" t="s">
        <v>546</v>
      </c>
      <c r="J3832">
        <v>655.85</v>
      </c>
      <c r="K3832">
        <v>126.94</v>
      </c>
      <c r="L3832">
        <v>11301</v>
      </c>
      <c r="M3832" t="s">
        <v>29</v>
      </c>
      <c r="N3832" t="str">
        <f>"24018898    "</f>
        <v xml:space="preserve">24018898    </v>
      </c>
      <c r="O3832">
        <v>240104</v>
      </c>
    </row>
    <row r="3833" spans="1:15" x14ac:dyDescent="0.25">
      <c r="A3833" t="s">
        <v>16</v>
      </c>
      <c r="B3833" t="s">
        <v>3221</v>
      </c>
      <c r="C3833">
        <v>18598</v>
      </c>
      <c r="D3833" t="s">
        <v>759</v>
      </c>
      <c r="E3833" t="s">
        <v>760</v>
      </c>
      <c r="F3833">
        <v>557.80999999999995</v>
      </c>
      <c r="G3833">
        <v>231231</v>
      </c>
      <c r="H3833">
        <v>4350</v>
      </c>
      <c r="I3833" t="s">
        <v>546</v>
      </c>
      <c r="J3833">
        <v>691.68</v>
      </c>
      <c r="K3833">
        <v>133.87</v>
      </c>
      <c r="L3833">
        <v>11301</v>
      </c>
      <c r="M3833" t="s">
        <v>29</v>
      </c>
      <c r="N3833" t="str">
        <f>"24018899    "</f>
        <v xml:space="preserve">24018899    </v>
      </c>
      <c r="O3833">
        <v>240104</v>
      </c>
    </row>
    <row r="3834" spans="1:15" x14ac:dyDescent="0.25">
      <c r="A3834" t="s">
        <v>16</v>
      </c>
      <c r="B3834" t="s">
        <v>3221</v>
      </c>
      <c r="C3834">
        <v>18644</v>
      </c>
      <c r="D3834" t="s">
        <v>759</v>
      </c>
      <c r="E3834" t="s">
        <v>760</v>
      </c>
      <c r="F3834">
        <v>1761.95</v>
      </c>
      <c r="G3834">
        <v>231229</v>
      </c>
      <c r="H3834">
        <v>4350</v>
      </c>
      <c r="I3834" t="s">
        <v>546</v>
      </c>
      <c r="J3834">
        <v>2184.8200000000002</v>
      </c>
      <c r="K3834">
        <v>422.87</v>
      </c>
      <c r="L3834">
        <v>11301</v>
      </c>
      <c r="M3834" t="s">
        <v>29</v>
      </c>
      <c r="N3834" t="str">
        <f>"24018017    "</f>
        <v xml:space="preserve">24018017    </v>
      </c>
      <c r="O3834">
        <v>240104</v>
      </c>
    </row>
    <row r="3835" spans="1:15" x14ac:dyDescent="0.25">
      <c r="A3835" t="s">
        <v>16</v>
      </c>
      <c r="B3835" t="s">
        <v>3221</v>
      </c>
      <c r="C3835">
        <v>2690</v>
      </c>
      <c r="D3835" t="s">
        <v>759</v>
      </c>
      <c r="E3835" t="s">
        <v>760</v>
      </c>
      <c r="F3835">
        <v>776.22</v>
      </c>
      <c r="G3835">
        <v>230222</v>
      </c>
      <c r="H3835">
        <v>4347</v>
      </c>
      <c r="I3835" t="s">
        <v>193</v>
      </c>
      <c r="J3835">
        <v>962.51</v>
      </c>
      <c r="K3835">
        <v>186.29</v>
      </c>
      <c r="L3835">
        <v>59503</v>
      </c>
      <c r="M3835" t="s">
        <v>194</v>
      </c>
      <c r="N3835" t="str">
        <f>"23041655    "</f>
        <v xml:space="preserve">23041655    </v>
      </c>
      <c r="O3835">
        <v>230307</v>
      </c>
    </row>
    <row r="3836" spans="1:15" x14ac:dyDescent="0.25">
      <c r="A3836" t="s">
        <v>16</v>
      </c>
      <c r="B3836" t="s">
        <v>3221</v>
      </c>
      <c r="C3836">
        <v>4219</v>
      </c>
      <c r="D3836" t="s">
        <v>759</v>
      </c>
      <c r="E3836" t="s">
        <v>760</v>
      </c>
      <c r="F3836">
        <v>521.35</v>
      </c>
      <c r="G3836">
        <v>230323</v>
      </c>
      <c r="H3836">
        <v>4347</v>
      </c>
      <c r="I3836" t="s">
        <v>193</v>
      </c>
      <c r="J3836">
        <v>646.47</v>
      </c>
      <c r="K3836">
        <v>125.12</v>
      </c>
      <c r="L3836">
        <v>59503</v>
      </c>
      <c r="M3836" t="s">
        <v>194</v>
      </c>
      <c r="N3836" t="str">
        <f>"23053012    "</f>
        <v xml:space="preserve">23053012    </v>
      </c>
      <c r="O3836">
        <v>230403</v>
      </c>
    </row>
    <row r="3837" spans="1:15" x14ac:dyDescent="0.25">
      <c r="A3837" t="s">
        <v>16</v>
      </c>
      <c r="B3837" t="s">
        <v>3221</v>
      </c>
      <c r="C3837">
        <v>6117</v>
      </c>
      <c r="D3837" t="s">
        <v>759</v>
      </c>
      <c r="E3837" t="s">
        <v>760</v>
      </c>
      <c r="F3837">
        <v>108.66</v>
      </c>
      <c r="G3837">
        <v>230424</v>
      </c>
      <c r="H3837">
        <v>4347</v>
      </c>
      <c r="I3837" t="s">
        <v>193</v>
      </c>
      <c r="J3837">
        <v>134.74</v>
      </c>
      <c r="K3837">
        <v>26.08</v>
      </c>
      <c r="L3837">
        <v>49501</v>
      </c>
      <c r="M3837" t="s">
        <v>177</v>
      </c>
      <c r="N3837" t="str">
        <f>"23065349    "</f>
        <v xml:space="preserve">23065349    </v>
      </c>
      <c r="O3837">
        <v>230508</v>
      </c>
    </row>
    <row r="3838" spans="1:15" x14ac:dyDescent="0.25">
      <c r="A3838" t="s">
        <v>16</v>
      </c>
      <c r="B3838" t="s">
        <v>3221</v>
      </c>
      <c r="C3838">
        <v>18299</v>
      </c>
      <c r="D3838" t="s">
        <v>759</v>
      </c>
      <c r="E3838" t="s">
        <v>760</v>
      </c>
      <c r="F3838">
        <v>80.89</v>
      </c>
      <c r="G3838">
        <v>231221</v>
      </c>
      <c r="H3838">
        <v>4347</v>
      </c>
      <c r="I3838" t="s">
        <v>193</v>
      </c>
      <c r="J3838">
        <v>100.3</v>
      </c>
      <c r="K3838">
        <v>19.41</v>
      </c>
      <c r="L3838">
        <v>14952</v>
      </c>
      <c r="M3838" t="s">
        <v>99</v>
      </c>
      <c r="N3838" t="str">
        <f>"24016360    "</f>
        <v xml:space="preserve">24016360    </v>
      </c>
      <c r="O3838">
        <v>240102</v>
      </c>
    </row>
    <row r="3839" spans="1:15" x14ac:dyDescent="0.25">
      <c r="A3839" t="s">
        <v>16</v>
      </c>
      <c r="B3839" t="s">
        <v>3221</v>
      </c>
      <c r="C3839">
        <v>18299</v>
      </c>
      <c r="D3839" t="s">
        <v>759</v>
      </c>
      <c r="E3839" t="s">
        <v>760</v>
      </c>
      <c r="F3839">
        <v>188.73</v>
      </c>
      <c r="G3839">
        <v>231221</v>
      </c>
      <c r="H3839">
        <v>4347</v>
      </c>
      <c r="I3839" t="s">
        <v>193</v>
      </c>
      <c r="J3839">
        <v>234.02</v>
      </c>
      <c r="K3839">
        <v>45.29</v>
      </c>
      <c r="L3839">
        <v>14981</v>
      </c>
      <c r="M3839" t="s">
        <v>1211</v>
      </c>
      <c r="N3839" t="str">
        <f>"24016360    "</f>
        <v xml:space="preserve">24016360    </v>
      </c>
      <c r="O3839">
        <v>240102</v>
      </c>
    </row>
    <row r="3840" spans="1:15" x14ac:dyDescent="0.25">
      <c r="A3840" t="s">
        <v>16</v>
      </c>
      <c r="B3840" t="s">
        <v>3221</v>
      </c>
      <c r="C3840">
        <v>5407</v>
      </c>
      <c r="D3840" t="s">
        <v>1845</v>
      </c>
      <c r="E3840" t="s">
        <v>1846</v>
      </c>
      <c r="F3840">
        <v>10</v>
      </c>
      <c r="G3840">
        <v>230420</v>
      </c>
      <c r="H3840">
        <v>4410</v>
      </c>
      <c r="I3840" t="s">
        <v>517</v>
      </c>
      <c r="J3840">
        <v>10</v>
      </c>
      <c r="K3840">
        <v>0</v>
      </c>
      <c r="L3840">
        <v>17131</v>
      </c>
      <c r="M3840" t="s">
        <v>64</v>
      </c>
      <c r="N3840" t="str">
        <f>"234002302   "</f>
        <v xml:space="preserve">234002302   </v>
      </c>
      <c r="O3840">
        <v>230424</v>
      </c>
    </row>
    <row r="3841" spans="1:15" x14ac:dyDescent="0.25">
      <c r="A3841" t="s">
        <v>16</v>
      </c>
      <c r="B3841" t="s">
        <v>3221</v>
      </c>
      <c r="C3841">
        <v>5407</v>
      </c>
      <c r="D3841" t="s">
        <v>1845</v>
      </c>
      <c r="E3841" t="s">
        <v>1846</v>
      </c>
      <c r="F3841">
        <v>68.180000000000007</v>
      </c>
      <c r="G3841">
        <v>230420</v>
      </c>
      <c r="H3841">
        <v>4410</v>
      </c>
      <c r="I3841" t="s">
        <v>517</v>
      </c>
      <c r="J3841">
        <v>75</v>
      </c>
      <c r="K3841">
        <v>6.82</v>
      </c>
      <c r="L3841">
        <v>17131</v>
      </c>
      <c r="M3841" t="s">
        <v>64</v>
      </c>
      <c r="N3841" t="str">
        <f>"234002302   "</f>
        <v xml:space="preserve">234002302   </v>
      </c>
      <c r="O3841">
        <v>230424</v>
      </c>
    </row>
    <row r="3842" spans="1:15" x14ac:dyDescent="0.25">
      <c r="A3842" t="s">
        <v>16</v>
      </c>
      <c r="B3842" t="s">
        <v>3221</v>
      </c>
      <c r="C3842">
        <v>5407</v>
      </c>
      <c r="D3842" t="s">
        <v>1845</v>
      </c>
      <c r="E3842" t="s">
        <v>1846</v>
      </c>
      <c r="F3842">
        <v>5.65</v>
      </c>
      <c r="G3842">
        <v>230420</v>
      </c>
      <c r="H3842">
        <v>4347</v>
      </c>
      <c r="I3842" t="s">
        <v>193</v>
      </c>
      <c r="J3842">
        <v>7</v>
      </c>
      <c r="K3842">
        <v>1.35</v>
      </c>
      <c r="L3842">
        <v>17131</v>
      </c>
      <c r="M3842" t="s">
        <v>64</v>
      </c>
      <c r="N3842" t="str">
        <f>"234002302   "</f>
        <v xml:space="preserve">234002302   </v>
      </c>
      <c r="O3842">
        <v>230424</v>
      </c>
    </row>
    <row r="3843" spans="1:15" x14ac:dyDescent="0.25">
      <c r="A3843" t="s">
        <v>16</v>
      </c>
      <c r="B3843" t="s">
        <v>3221</v>
      </c>
      <c r="C3843">
        <v>8482</v>
      </c>
      <c r="D3843" t="s">
        <v>17</v>
      </c>
      <c r="E3843" t="s">
        <v>18</v>
      </c>
      <c r="F3843">
        <v>399.01</v>
      </c>
      <c r="G3843">
        <v>230606</v>
      </c>
      <c r="H3843">
        <v>4341</v>
      </c>
      <c r="I3843" t="s">
        <v>32</v>
      </c>
      <c r="J3843">
        <v>494.77</v>
      </c>
      <c r="K3843">
        <v>95.76</v>
      </c>
      <c r="L3843">
        <v>13554</v>
      </c>
      <c r="M3843" t="s">
        <v>1691</v>
      </c>
      <c r="N3843" t="str">
        <f>"0072909/2023"</f>
        <v>0072909/2023</v>
      </c>
      <c r="O3843">
        <v>230609</v>
      </c>
    </row>
    <row r="3844" spans="1:15" x14ac:dyDescent="0.25">
      <c r="A3844" t="s">
        <v>16</v>
      </c>
      <c r="B3844" t="s">
        <v>3221</v>
      </c>
      <c r="C3844">
        <v>8482</v>
      </c>
      <c r="D3844" t="s">
        <v>17</v>
      </c>
      <c r="E3844" t="s">
        <v>18</v>
      </c>
      <c r="F3844">
        <v>798.02</v>
      </c>
      <c r="G3844">
        <v>230606</v>
      </c>
      <c r="H3844">
        <v>4341</v>
      </c>
      <c r="I3844" t="s">
        <v>32</v>
      </c>
      <c r="J3844">
        <v>989.55</v>
      </c>
      <c r="K3844">
        <v>191.53</v>
      </c>
      <c r="L3844">
        <v>17972</v>
      </c>
      <c r="M3844" t="s">
        <v>248</v>
      </c>
      <c r="N3844" t="str">
        <f>"0072909/2023"</f>
        <v>0072909/2023</v>
      </c>
      <c r="O3844">
        <v>230609</v>
      </c>
    </row>
    <row r="3845" spans="1:15" x14ac:dyDescent="0.25">
      <c r="A3845" t="s">
        <v>16</v>
      </c>
      <c r="B3845" t="s">
        <v>3221</v>
      </c>
      <c r="C3845">
        <v>17</v>
      </c>
      <c r="D3845" t="s">
        <v>17</v>
      </c>
      <c r="E3845" t="s">
        <v>18</v>
      </c>
      <c r="F3845">
        <v>399.01</v>
      </c>
      <c r="G3845">
        <v>221205</v>
      </c>
      <c r="H3845">
        <v>4840</v>
      </c>
      <c r="I3845" t="s">
        <v>19</v>
      </c>
      <c r="J3845">
        <v>494.77</v>
      </c>
      <c r="K3845">
        <v>95.76</v>
      </c>
      <c r="L3845">
        <v>13501</v>
      </c>
      <c r="M3845" t="s">
        <v>20</v>
      </c>
      <c r="N3845" t="str">
        <f>"0002527/2023"</f>
        <v>0002527/2023</v>
      </c>
      <c r="O3845">
        <v>221229</v>
      </c>
    </row>
    <row r="3846" spans="1:15" x14ac:dyDescent="0.25">
      <c r="A3846" t="s">
        <v>16</v>
      </c>
      <c r="B3846" t="s">
        <v>3221</v>
      </c>
      <c r="C3846">
        <v>17</v>
      </c>
      <c r="D3846" t="s">
        <v>17</v>
      </c>
      <c r="E3846" t="s">
        <v>18</v>
      </c>
      <c r="F3846">
        <v>133.01</v>
      </c>
      <c r="G3846">
        <v>221205</v>
      </c>
      <c r="H3846">
        <v>4840</v>
      </c>
      <c r="I3846" t="s">
        <v>19</v>
      </c>
      <c r="J3846">
        <v>164.93</v>
      </c>
      <c r="K3846">
        <v>31.92</v>
      </c>
      <c r="L3846">
        <v>16121</v>
      </c>
      <c r="M3846" t="s">
        <v>21</v>
      </c>
      <c r="N3846" t="str">
        <f>"0002527/2023"</f>
        <v>0002527/2023</v>
      </c>
      <c r="O3846">
        <v>221229</v>
      </c>
    </row>
    <row r="3847" spans="1:15" x14ac:dyDescent="0.25">
      <c r="A3847" t="s">
        <v>16</v>
      </c>
      <c r="B3847" t="s">
        <v>3221</v>
      </c>
      <c r="C3847">
        <v>17</v>
      </c>
      <c r="D3847" t="s">
        <v>17</v>
      </c>
      <c r="E3847" t="s">
        <v>18</v>
      </c>
      <c r="F3847">
        <v>133</v>
      </c>
      <c r="G3847">
        <v>221205</v>
      </c>
      <c r="H3847">
        <v>4840</v>
      </c>
      <c r="I3847" t="s">
        <v>19</v>
      </c>
      <c r="J3847">
        <v>164.92</v>
      </c>
      <c r="K3847">
        <v>31.92</v>
      </c>
      <c r="L3847">
        <v>16322</v>
      </c>
      <c r="M3847" t="s">
        <v>22</v>
      </c>
      <c r="N3847" t="str">
        <f>"0002527/2023"</f>
        <v>0002527/2023</v>
      </c>
      <c r="O3847">
        <v>221229</v>
      </c>
    </row>
    <row r="3848" spans="1:15" x14ac:dyDescent="0.25">
      <c r="A3848" t="s">
        <v>16</v>
      </c>
      <c r="B3848" t="s">
        <v>3221</v>
      </c>
      <c r="C3848">
        <v>17</v>
      </c>
      <c r="D3848" t="s">
        <v>17</v>
      </c>
      <c r="E3848" t="s">
        <v>18</v>
      </c>
      <c r="F3848">
        <v>133.01</v>
      </c>
      <c r="G3848">
        <v>221205</v>
      </c>
      <c r="H3848">
        <v>4840</v>
      </c>
      <c r="I3848" t="s">
        <v>19</v>
      </c>
      <c r="J3848">
        <v>164.93</v>
      </c>
      <c r="K3848">
        <v>31.92</v>
      </c>
      <c r="L3848">
        <v>16820</v>
      </c>
      <c r="M3848" t="s">
        <v>23</v>
      </c>
      <c r="N3848" t="str">
        <f>"0002527/2023"</f>
        <v>0002527/2023</v>
      </c>
      <c r="O3848">
        <v>221229</v>
      </c>
    </row>
    <row r="3849" spans="1:15" x14ac:dyDescent="0.25">
      <c r="A3849" t="s">
        <v>16</v>
      </c>
      <c r="B3849" t="s">
        <v>3221</v>
      </c>
      <c r="C3849">
        <v>17</v>
      </c>
      <c r="D3849" t="s">
        <v>17</v>
      </c>
      <c r="E3849" t="s">
        <v>18</v>
      </c>
      <c r="F3849">
        <v>399.01</v>
      </c>
      <c r="G3849">
        <v>221205</v>
      </c>
      <c r="H3849">
        <v>4840</v>
      </c>
      <c r="I3849" t="s">
        <v>19</v>
      </c>
      <c r="J3849">
        <v>494.77</v>
      </c>
      <c r="K3849">
        <v>95.76</v>
      </c>
      <c r="L3849">
        <v>17538</v>
      </c>
      <c r="M3849" t="s">
        <v>24</v>
      </c>
      <c r="N3849" t="str">
        <f>"0002527/2023"</f>
        <v>0002527/2023</v>
      </c>
      <c r="O3849">
        <v>221229</v>
      </c>
    </row>
    <row r="3850" spans="1:15" x14ac:dyDescent="0.25">
      <c r="A3850" t="s">
        <v>16</v>
      </c>
      <c r="B3850" t="s">
        <v>3221</v>
      </c>
      <c r="C3850">
        <v>3400</v>
      </c>
      <c r="D3850" t="s">
        <v>17</v>
      </c>
      <c r="E3850" t="s">
        <v>18</v>
      </c>
      <c r="F3850">
        <v>399.09</v>
      </c>
      <c r="G3850">
        <v>230307</v>
      </c>
      <c r="H3850">
        <v>4840</v>
      </c>
      <c r="I3850" t="s">
        <v>19</v>
      </c>
      <c r="J3850">
        <v>494.87</v>
      </c>
      <c r="K3850">
        <v>95.78</v>
      </c>
      <c r="L3850">
        <v>13501</v>
      </c>
      <c r="M3850" t="s">
        <v>20</v>
      </c>
      <c r="N3850" t="str">
        <f>"0040265/2023"</f>
        <v>0040265/2023</v>
      </c>
      <c r="O3850">
        <v>230315</v>
      </c>
    </row>
    <row r="3851" spans="1:15" x14ac:dyDescent="0.25">
      <c r="A3851" t="s">
        <v>16</v>
      </c>
      <c r="B3851" t="s">
        <v>3221</v>
      </c>
      <c r="C3851">
        <v>3400</v>
      </c>
      <c r="D3851" t="s">
        <v>17</v>
      </c>
      <c r="E3851" t="s">
        <v>18</v>
      </c>
      <c r="F3851">
        <v>132.99</v>
      </c>
      <c r="G3851">
        <v>230307</v>
      </c>
      <c r="H3851">
        <v>4840</v>
      </c>
      <c r="I3851" t="s">
        <v>19</v>
      </c>
      <c r="J3851">
        <v>164.91</v>
      </c>
      <c r="K3851">
        <v>31.92</v>
      </c>
      <c r="L3851">
        <v>16121</v>
      </c>
      <c r="M3851" t="s">
        <v>21</v>
      </c>
      <c r="N3851" t="str">
        <f>"0040265/2023"</f>
        <v>0040265/2023</v>
      </c>
      <c r="O3851">
        <v>230315</v>
      </c>
    </row>
    <row r="3852" spans="1:15" x14ac:dyDescent="0.25">
      <c r="A3852" t="s">
        <v>16</v>
      </c>
      <c r="B3852" t="s">
        <v>3221</v>
      </c>
      <c r="C3852">
        <v>3400</v>
      </c>
      <c r="D3852" t="s">
        <v>17</v>
      </c>
      <c r="E3852" t="s">
        <v>18</v>
      </c>
      <c r="F3852">
        <v>132.99</v>
      </c>
      <c r="G3852">
        <v>230307</v>
      </c>
      <c r="H3852">
        <v>4840</v>
      </c>
      <c r="I3852" t="s">
        <v>19</v>
      </c>
      <c r="J3852">
        <v>164.91</v>
      </c>
      <c r="K3852">
        <v>31.92</v>
      </c>
      <c r="L3852">
        <v>16322</v>
      </c>
      <c r="M3852" t="s">
        <v>22</v>
      </c>
      <c r="N3852" t="str">
        <f>"0040265/2023"</f>
        <v>0040265/2023</v>
      </c>
      <c r="O3852">
        <v>230315</v>
      </c>
    </row>
    <row r="3853" spans="1:15" x14ac:dyDescent="0.25">
      <c r="A3853" t="s">
        <v>16</v>
      </c>
      <c r="B3853" t="s">
        <v>3221</v>
      </c>
      <c r="C3853">
        <v>3400</v>
      </c>
      <c r="D3853" t="s">
        <v>17</v>
      </c>
      <c r="E3853" t="s">
        <v>18</v>
      </c>
      <c r="F3853">
        <v>132.99</v>
      </c>
      <c r="G3853">
        <v>230307</v>
      </c>
      <c r="H3853">
        <v>4840</v>
      </c>
      <c r="I3853" t="s">
        <v>19</v>
      </c>
      <c r="J3853">
        <v>164.91</v>
      </c>
      <c r="K3853">
        <v>31.92</v>
      </c>
      <c r="L3853">
        <v>16820</v>
      </c>
      <c r="M3853" t="s">
        <v>23</v>
      </c>
      <c r="N3853" t="str">
        <f>"0040265/2023"</f>
        <v>0040265/2023</v>
      </c>
      <c r="O3853">
        <v>230315</v>
      </c>
    </row>
    <row r="3854" spans="1:15" x14ac:dyDescent="0.25">
      <c r="A3854" t="s">
        <v>16</v>
      </c>
      <c r="B3854" t="s">
        <v>3221</v>
      </c>
      <c r="C3854">
        <v>3400</v>
      </c>
      <c r="D3854" t="s">
        <v>17</v>
      </c>
      <c r="E3854" t="s">
        <v>18</v>
      </c>
      <c r="F3854">
        <v>398.97</v>
      </c>
      <c r="G3854">
        <v>230307</v>
      </c>
      <c r="H3854">
        <v>4840</v>
      </c>
      <c r="I3854" t="s">
        <v>19</v>
      </c>
      <c r="J3854">
        <v>494.72</v>
      </c>
      <c r="K3854">
        <v>95.75</v>
      </c>
      <c r="L3854">
        <v>17538</v>
      </c>
      <c r="M3854" t="s">
        <v>24</v>
      </c>
      <c r="N3854" t="str">
        <f>"0040265/2023"</f>
        <v>0040265/2023</v>
      </c>
      <c r="O3854">
        <v>230315</v>
      </c>
    </row>
    <row r="3855" spans="1:15" x14ac:dyDescent="0.25">
      <c r="A3855" t="s">
        <v>16</v>
      </c>
      <c r="B3855" t="s">
        <v>3221</v>
      </c>
      <c r="C3855">
        <v>12764</v>
      </c>
      <c r="D3855" t="s">
        <v>17</v>
      </c>
      <c r="E3855" t="s">
        <v>18</v>
      </c>
      <c r="F3855">
        <v>399.02</v>
      </c>
      <c r="G3855">
        <v>230905</v>
      </c>
      <c r="H3855">
        <v>4840</v>
      </c>
      <c r="I3855" t="s">
        <v>19</v>
      </c>
      <c r="J3855">
        <v>494.78</v>
      </c>
      <c r="K3855">
        <v>95.76</v>
      </c>
      <c r="L3855">
        <v>13501</v>
      </c>
      <c r="M3855" t="s">
        <v>20</v>
      </c>
      <c r="N3855" t="str">
        <f>"0110758/2023"</f>
        <v>0110758/2023</v>
      </c>
      <c r="O3855">
        <v>230926</v>
      </c>
    </row>
    <row r="3856" spans="1:15" x14ac:dyDescent="0.25">
      <c r="A3856" t="s">
        <v>16</v>
      </c>
      <c r="B3856" t="s">
        <v>3221</v>
      </c>
      <c r="C3856">
        <v>12764</v>
      </c>
      <c r="D3856" t="s">
        <v>17</v>
      </c>
      <c r="E3856" t="s">
        <v>18</v>
      </c>
      <c r="F3856">
        <v>133.01</v>
      </c>
      <c r="G3856">
        <v>230905</v>
      </c>
      <c r="H3856">
        <v>4840</v>
      </c>
      <c r="I3856" t="s">
        <v>19</v>
      </c>
      <c r="J3856">
        <v>164.93</v>
      </c>
      <c r="K3856">
        <v>31.92</v>
      </c>
      <c r="L3856">
        <v>16121</v>
      </c>
      <c r="M3856" t="s">
        <v>21</v>
      </c>
      <c r="N3856" t="str">
        <f>"0110758/2023"</f>
        <v>0110758/2023</v>
      </c>
      <c r="O3856">
        <v>230926</v>
      </c>
    </row>
    <row r="3857" spans="1:15" x14ac:dyDescent="0.25">
      <c r="A3857" t="s">
        <v>16</v>
      </c>
      <c r="B3857" t="s">
        <v>3221</v>
      </c>
      <c r="C3857">
        <v>12764</v>
      </c>
      <c r="D3857" t="s">
        <v>17</v>
      </c>
      <c r="E3857" t="s">
        <v>18</v>
      </c>
      <c r="F3857">
        <v>133</v>
      </c>
      <c r="G3857">
        <v>230905</v>
      </c>
      <c r="H3857">
        <v>4840</v>
      </c>
      <c r="I3857" t="s">
        <v>19</v>
      </c>
      <c r="J3857">
        <v>164.92</v>
      </c>
      <c r="K3857">
        <v>31.92</v>
      </c>
      <c r="L3857">
        <v>16322</v>
      </c>
      <c r="M3857" t="s">
        <v>22</v>
      </c>
      <c r="N3857" t="str">
        <f>"0110758/2023"</f>
        <v>0110758/2023</v>
      </c>
      <c r="O3857">
        <v>230926</v>
      </c>
    </row>
    <row r="3858" spans="1:15" x14ac:dyDescent="0.25">
      <c r="A3858" t="s">
        <v>16</v>
      </c>
      <c r="B3858" t="s">
        <v>3221</v>
      </c>
      <c r="C3858">
        <v>12764</v>
      </c>
      <c r="D3858" t="s">
        <v>17</v>
      </c>
      <c r="E3858" t="s">
        <v>18</v>
      </c>
      <c r="F3858">
        <v>133</v>
      </c>
      <c r="G3858">
        <v>230905</v>
      </c>
      <c r="H3858">
        <v>4840</v>
      </c>
      <c r="I3858" t="s">
        <v>19</v>
      </c>
      <c r="J3858">
        <v>164.92</v>
      </c>
      <c r="K3858">
        <v>31.92</v>
      </c>
      <c r="L3858">
        <v>16820</v>
      </c>
      <c r="M3858" t="s">
        <v>23</v>
      </c>
      <c r="N3858" t="str">
        <f>"0110758/2023"</f>
        <v>0110758/2023</v>
      </c>
      <c r="O3858">
        <v>230926</v>
      </c>
    </row>
    <row r="3859" spans="1:15" x14ac:dyDescent="0.25">
      <c r="A3859" t="s">
        <v>16</v>
      </c>
      <c r="B3859" t="s">
        <v>3221</v>
      </c>
      <c r="C3859">
        <v>12764</v>
      </c>
      <c r="D3859" t="s">
        <v>17</v>
      </c>
      <c r="E3859" t="s">
        <v>18</v>
      </c>
      <c r="F3859">
        <v>399.01</v>
      </c>
      <c r="G3859">
        <v>230905</v>
      </c>
      <c r="H3859">
        <v>4840</v>
      </c>
      <c r="I3859" t="s">
        <v>19</v>
      </c>
      <c r="J3859">
        <v>494.77</v>
      </c>
      <c r="K3859">
        <v>95.76</v>
      </c>
      <c r="L3859">
        <v>17538</v>
      </c>
      <c r="M3859" t="s">
        <v>24</v>
      </c>
      <c r="N3859" t="str">
        <f>"0110758/2023"</f>
        <v>0110758/2023</v>
      </c>
      <c r="O3859">
        <v>230926</v>
      </c>
    </row>
    <row r="3860" spans="1:15" x14ac:dyDescent="0.25">
      <c r="A3860" t="s">
        <v>16</v>
      </c>
      <c r="B3860" t="s">
        <v>3221</v>
      </c>
      <c r="C3860">
        <v>24</v>
      </c>
      <c r="D3860" t="s">
        <v>17</v>
      </c>
      <c r="E3860" t="s">
        <v>18</v>
      </c>
      <c r="F3860">
        <v>52.94</v>
      </c>
      <c r="G3860">
        <v>221206</v>
      </c>
      <c r="H3860">
        <v>4370</v>
      </c>
      <c r="I3860" t="s">
        <v>25</v>
      </c>
      <c r="J3860">
        <v>52.94</v>
      </c>
      <c r="K3860">
        <v>0</v>
      </c>
      <c r="L3860">
        <v>13501</v>
      </c>
      <c r="M3860" t="s">
        <v>20</v>
      </c>
      <c r="N3860" t="str">
        <f>"0022900/2023"</f>
        <v>0022900/2023</v>
      </c>
      <c r="O3860">
        <v>221229</v>
      </c>
    </row>
    <row r="3861" spans="1:15" x14ac:dyDescent="0.25">
      <c r="A3861" t="s">
        <v>16</v>
      </c>
      <c r="B3861" t="s">
        <v>3221</v>
      </c>
      <c r="C3861">
        <v>24</v>
      </c>
      <c r="D3861" t="s">
        <v>17</v>
      </c>
      <c r="E3861" t="s">
        <v>18</v>
      </c>
      <c r="F3861">
        <v>17.649999999999999</v>
      </c>
      <c r="G3861">
        <v>221206</v>
      </c>
      <c r="H3861">
        <v>4370</v>
      </c>
      <c r="I3861" t="s">
        <v>25</v>
      </c>
      <c r="J3861">
        <v>17.649999999999999</v>
      </c>
      <c r="K3861">
        <v>0</v>
      </c>
      <c r="L3861">
        <v>16121</v>
      </c>
      <c r="M3861" t="s">
        <v>21</v>
      </c>
      <c r="N3861" t="str">
        <f>"0022900/2023"</f>
        <v>0022900/2023</v>
      </c>
      <c r="O3861">
        <v>221229</v>
      </c>
    </row>
    <row r="3862" spans="1:15" x14ac:dyDescent="0.25">
      <c r="A3862" t="s">
        <v>16</v>
      </c>
      <c r="B3862" t="s">
        <v>3221</v>
      </c>
      <c r="C3862">
        <v>24</v>
      </c>
      <c r="D3862" t="s">
        <v>17</v>
      </c>
      <c r="E3862" t="s">
        <v>18</v>
      </c>
      <c r="F3862">
        <v>17.64</v>
      </c>
      <c r="G3862">
        <v>221206</v>
      </c>
      <c r="H3862">
        <v>4370</v>
      </c>
      <c r="I3862" t="s">
        <v>25</v>
      </c>
      <c r="J3862">
        <v>17.64</v>
      </c>
      <c r="K3862">
        <v>0</v>
      </c>
      <c r="L3862">
        <v>16322</v>
      </c>
      <c r="M3862" t="s">
        <v>22</v>
      </c>
      <c r="N3862" t="str">
        <f>"0022900/2023"</f>
        <v>0022900/2023</v>
      </c>
      <c r="O3862">
        <v>221229</v>
      </c>
    </row>
    <row r="3863" spans="1:15" x14ac:dyDescent="0.25">
      <c r="A3863" t="s">
        <v>16</v>
      </c>
      <c r="B3863" t="s">
        <v>3221</v>
      </c>
      <c r="C3863">
        <v>24</v>
      </c>
      <c r="D3863" t="s">
        <v>17</v>
      </c>
      <c r="E3863" t="s">
        <v>18</v>
      </c>
      <c r="F3863">
        <v>17.64</v>
      </c>
      <c r="G3863">
        <v>221206</v>
      </c>
      <c r="H3863">
        <v>4370</v>
      </c>
      <c r="I3863" t="s">
        <v>25</v>
      </c>
      <c r="J3863">
        <v>17.64</v>
      </c>
      <c r="K3863">
        <v>0</v>
      </c>
      <c r="L3863">
        <v>16820</v>
      </c>
      <c r="M3863" t="s">
        <v>23</v>
      </c>
      <c r="N3863" t="str">
        <f>"0022900/2023"</f>
        <v>0022900/2023</v>
      </c>
      <c r="O3863">
        <v>221229</v>
      </c>
    </row>
    <row r="3864" spans="1:15" x14ac:dyDescent="0.25">
      <c r="A3864" t="s">
        <v>16</v>
      </c>
      <c r="B3864" t="s">
        <v>3221</v>
      </c>
      <c r="C3864">
        <v>24</v>
      </c>
      <c r="D3864" t="s">
        <v>17</v>
      </c>
      <c r="E3864" t="s">
        <v>18</v>
      </c>
      <c r="F3864">
        <v>52.93</v>
      </c>
      <c r="G3864">
        <v>221206</v>
      </c>
      <c r="H3864">
        <v>4370</v>
      </c>
      <c r="I3864" t="s">
        <v>25</v>
      </c>
      <c r="J3864">
        <v>52.93</v>
      </c>
      <c r="K3864">
        <v>0</v>
      </c>
      <c r="L3864">
        <v>17538</v>
      </c>
      <c r="M3864" t="s">
        <v>24</v>
      </c>
      <c r="N3864" t="str">
        <f>"0022900/2023"</f>
        <v>0022900/2023</v>
      </c>
      <c r="O3864">
        <v>221229</v>
      </c>
    </row>
    <row r="3865" spans="1:15" x14ac:dyDescent="0.25">
      <c r="A3865" t="s">
        <v>16</v>
      </c>
      <c r="B3865" t="s">
        <v>3221</v>
      </c>
      <c r="C3865">
        <v>4262</v>
      </c>
      <c r="D3865" t="s">
        <v>3411</v>
      </c>
      <c r="E3865" t="s">
        <v>3412</v>
      </c>
      <c r="F3865">
        <v>105.89</v>
      </c>
      <c r="G3865">
        <v>230327</v>
      </c>
      <c r="H3865">
        <v>4470</v>
      </c>
      <c r="I3865" t="s">
        <v>83</v>
      </c>
      <c r="J3865">
        <v>116.48</v>
      </c>
      <c r="K3865">
        <v>10.59</v>
      </c>
      <c r="L3865">
        <v>14432</v>
      </c>
      <c r="M3865" t="s">
        <v>862</v>
      </c>
      <c r="N3865" t="str">
        <f>"2384796     "</f>
        <v xml:space="preserve">2384796     </v>
      </c>
      <c r="O3865">
        <v>230403</v>
      </c>
    </row>
    <row r="3866" spans="1:15" x14ac:dyDescent="0.25">
      <c r="A3866" t="s">
        <v>16</v>
      </c>
      <c r="B3866" t="s">
        <v>3221</v>
      </c>
      <c r="C3866">
        <v>4262</v>
      </c>
      <c r="D3866" t="s">
        <v>3411</v>
      </c>
      <c r="E3866" t="s">
        <v>3412</v>
      </c>
      <c r="F3866">
        <v>103.89</v>
      </c>
      <c r="G3866">
        <v>230327</v>
      </c>
      <c r="H3866">
        <v>4470</v>
      </c>
      <c r="I3866" t="s">
        <v>83</v>
      </c>
      <c r="J3866">
        <v>114.28</v>
      </c>
      <c r="K3866">
        <v>10.39</v>
      </c>
      <c r="L3866">
        <v>44251</v>
      </c>
      <c r="M3866" t="s">
        <v>156</v>
      </c>
      <c r="N3866" t="str">
        <f>"2384796     "</f>
        <v xml:space="preserve">2384796     </v>
      </c>
      <c r="O3866">
        <v>230403</v>
      </c>
    </row>
    <row r="3867" spans="1:15" x14ac:dyDescent="0.25">
      <c r="A3867" t="s">
        <v>16</v>
      </c>
      <c r="B3867" t="s">
        <v>3221</v>
      </c>
      <c r="C3867">
        <v>4262</v>
      </c>
      <c r="D3867" t="s">
        <v>3411</v>
      </c>
      <c r="E3867" t="s">
        <v>3412</v>
      </c>
      <c r="F3867">
        <v>66.040000000000006</v>
      </c>
      <c r="G3867">
        <v>230327</v>
      </c>
      <c r="H3867">
        <v>4470</v>
      </c>
      <c r="I3867" t="s">
        <v>83</v>
      </c>
      <c r="J3867">
        <v>72.64</v>
      </c>
      <c r="K3867">
        <v>6.6</v>
      </c>
      <c r="L3867">
        <v>44453</v>
      </c>
      <c r="M3867" t="s">
        <v>492</v>
      </c>
      <c r="N3867" t="str">
        <f>"2384796     "</f>
        <v xml:space="preserve">2384796     </v>
      </c>
      <c r="O3867">
        <v>230403</v>
      </c>
    </row>
    <row r="3868" spans="1:15" x14ac:dyDescent="0.25">
      <c r="A3868" t="s">
        <v>16</v>
      </c>
      <c r="B3868" t="s">
        <v>3221</v>
      </c>
      <c r="C3868">
        <v>4262</v>
      </c>
      <c r="D3868" t="s">
        <v>3411</v>
      </c>
      <c r="E3868" t="s">
        <v>3412</v>
      </c>
      <c r="F3868">
        <v>68.94</v>
      </c>
      <c r="G3868">
        <v>230327</v>
      </c>
      <c r="H3868">
        <v>4470</v>
      </c>
      <c r="I3868" t="s">
        <v>83</v>
      </c>
      <c r="J3868">
        <v>75.83</v>
      </c>
      <c r="K3868">
        <v>6.89</v>
      </c>
      <c r="L3868">
        <v>49701</v>
      </c>
      <c r="M3868" t="s">
        <v>166</v>
      </c>
      <c r="N3868" t="str">
        <f>"2384796     "</f>
        <v xml:space="preserve">2384796     </v>
      </c>
      <c r="O3868">
        <v>230403</v>
      </c>
    </row>
    <row r="3869" spans="1:15" x14ac:dyDescent="0.25">
      <c r="A3869" t="s">
        <v>16</v>
      </c>
      <c r="B3869" t="s">
        <v>3221</v>
      </c>
      <c r="C3869">
        <v>4262</v>
      </c>
      <c r="D3869" t="s">
        <v>3411</v>
      </c>
      <c r="E3869" t="s">
        <v>3412</v>
      </c>
      <c r="F3869">
        <v>178.55</v>
      </c>
      <c r="G3869">
        <v>230327</v>
      </c>
      <c r="H3869">
        <v>4470</v>
      </c>
      <c r="I3869" t="s">
        <v>83</v>
      </c>
      <c r="J3869">
        <v>196.41</v>
      </c>
      <c r="K3869">
        <v>17.86</v>
      </c>
      <c r="L3869">
        <v>54252</v>
      </c>
      <c r="M3869" t="s">
        <v>534</v>
      </c>
      <c r="N3869" t="str">
        <f>"2384796     "</f>
        <v xml:space="preserve">2384796     </v>
      </c>
      <c r="O3869">
        <v>230403</v>
      </c>
    </row>
    <row r="3870" spans="1:15" x14ac:dyDescent="0.25">
      <c r="A3870" t="s">
        <v>16</v>
      </c>
      <c r="B3870" t="s">
        <v>3221</v>
      </c>
      <c r="C3870">
        <v>8658</v>
      </c>
      <c r="D3870" t="s">
        <v>3411</v>
      </c>
      <c r="E3870" t="s">
        <v>3412</v>
      </c>
      <c r="F3870">
        <v>36.630000000000003</v>
      </c>
      <c r="G3870">
        <v>230605</v>
      </c>
      <c r="H3870">
        <v>4470</v>
      </c>
      <c r="I3870" t="s">
        <v>83</v>
      </c>
      <c r="J3870">
        <v>40.29</v>
      </c>
      <c r="K3870">
        <v>3.66</v>
      </c>
      <c r="L3870">
        <v>14432</v>
      </c>
      <c r="M3870" t="s">
        <v>862</v>
      </c>
      <c r="N3870" t="str">
        <f t="shared" ref="N3870:N3875" si="84">"2393540     "</f>
        <v xml:space="preserve">2393540     </v>
      </c>
      <c r="O3870">
        <v>230613</v>
      </c>
    </row>
    <row r="3871" spans="1:15" x14ac:dyDescent="0.25">
      <c r="A3871" t="s">
        <v>16</v>
      </c>
      <c r="B3871" t="s">
        <v>3221</v>
      </c>
      <c r="C3871">
        <v>8658</v>
      </c>
      <c r="D3871" t="s">
        <v>3411</v>
      </c>
      <c r="E3871" t="s">
        <v>3412</v>
      </c>
      <c r="F3871">
        <v>69.260000000000005</v>
      </c>
      <c r="G3871">
        <v>230605</v>
      </c>
      <c r="H3871">
        <v>4470</v>
      </c>
      <c r="I3871" t="s">
        <v>83</v>
      </c>
      <c r="J3871">
        <v>76.19</v>
      </c>
      <c r="K3871">
        <v>6.93</v>
      </c>
      <c r="L3871">
        <v>44251</v>
      </c>
      <c r="M3871" t="s">
        <v>156</v>
      </c>
      <c r="N3871" t="str">
        <f t="shared" si="84"/>
        <v xml:space="preserve">2393540     </v>
      </c>
      <c r="O3871">
        <v>230613</v>
      </c>
    </row>
    <row r="3872" spans="1:15" x14ac:dyDescent="0.25">
      <c r="A3872" t="s">
        <v>16</v>
      </c>
      <c r="B3872" t="s">
        <v>3221</v>
      </c>
      <c r="C3872">
        <v>8658</v>
      </c>
      <c r="D3872" t="s">
        <v>3411</v>
      </c>
      <c r="E3872" t="s">
        <v>3412</v>
      </c>
      <c r="F3872">
        <v>44.02</v>
      </c>
      <c r="G3872">
        <v>230605</v>
      </c>
      <c r="H3872">
        <v>4470</v>
      </c>
      <c r="I3872" t="s">
        <v>83</v>
      </c>
      <c r="J3872">
        <v>48.42</v>
      </c>
      <c r="K3872">
        <v>4.4000000000000004</v>
      </c>
      <c r="L3872">
        <v>44453</v>
      </c>
      <c r="M3872" t="s">
        <v>492</v>
      </c>
      <c r="N3872" t="str">
        <f t="shared" si="84"/>
        <v xml:space="preserve">2393540     </v>
      </c>
      <c r="O3872">
        <v>230613</v>
      </c>
    </row>
    <row r="3873" spans="1:15" x14ac:dyDescent="0.25">
      <c r="A3873" t="s">
        <v>16</v>
      </c>
      <c r="B3873" t="s">
        <v>3221</v>
      </c>
      <c r="C3873">
        <v>8658</v>
      </c>
      <c r="D3873" t="s">
        <v>3411</v>
      </c>
      <c r="E3873" t="s">
        <v>3412</v>
      </c>
      <c r="F3873">
        <v>46.62</v>
      </c>
      <c r="G3873">
        <v>230605</v>
      </c>
      <c r="H3873">
        <v>4470</v>
      </c>
      <c r="I3873" t="s">
        <v>83</v>
      </c>
      <c r="J3873">
        <v>51.28</v>
      </c>
      <c r="K3873">
        <v>4.66</v>
      </c>
      <c r="L3873">
        <v>49701</v>
      </c>
      <c r="M3873" t="s">
        <v>166</v>
      </c>
      <c r="N3873" t="str">
        <f t="shared" si="84"/>
        <v xml:space="preserve">2393540     </v>
      </c>
      <c r="O3873">
        <v>230613</v>
      </c>
    </row>
    <row r="3874" spans="1:15" x14ac:dyDescent="0.25">
      <c r="A3874" t="s">
        <v>16</v>
      </c>
      <c r="B3874" t="s">
        <v>3221</v>
      </c>
      <c r="C3874">
        <v>8658</v>
      </c>
      <c r="D3874" t="s">
        <v>3411</v>
      </c>
      <c r="E3874" t="s">
        <v>3412</v>
      </c>
      <c r="F3874">
        <v>38.840000000000003</v>
      </c>
      <c r="G3874">
        <v>230605</v>
      </c>
      <c r="H3874">
        <v>4470</v>
      </c>
      <c r="I3874" t="s">
        <v>83</v>
      </c>
      <c r="J3874">
        <v>42.72</v>
      </c>
      <c r="K3874">
        <v>3.88</v>
      </c>
      <c r="L3874">
        <v>54251</v>
      </c>
      <c r="M3874" t="s">
        <v>309</v>
      </c>
      <c r="N3874" t="str">
        <f t="shared" si="84"/>
        <v xml:space="preserve">2393540     </v>
      </c>
      <c r="O3874">
        <v>230613</v>
      </c>
    </row>
    <row r="3875" spans="1:15" x14ac:dyDescent="0.25">
      <c r="A3875" t="s">
        <v>16</v>
      </c>
      <c r="B3875" t="s">
        <v>3221</v>
      </c>
      <c r="C3875">
        <v>8658</v>
      </c>
      <c r="D3875" t="s">
        <v>3411</v>
      </c>
      <c r="E3875" t="s">
        <v>3412</v>
      </c>
      <c r="F3875">
        <v>44.02</v>
      </c>
      <c r="G3875">
        <v>230605</v>
      </c>
      <c r="H3875">
        <v>4470</v>
      </c>
      <c r="I3875" t="s">
        <v>83</v>
      </c>
      <c r="J3875">
        <v>48.42</v>
      </c>
      <c r="K3875">
        <v>4.4000000000000004</v>
      </c>
      <c r="L3875">
        <v>54252</v>
      </c>
      <c r="M3875" t="s">
        <v>534</v>
      </c>
      <c r="N3875" t="str">
        <f t="shared" si="84"/>
        <v xml:space="preserve">2393540     </v>
      </c>
      <c r="O3875">
        <v>230613</v>
      </c>
    </row>
    <row r="3876" spans="1:15" x14ac:dyDescent="0.25">
      <c r="A3876" t="s">
        <v>16</v>
      </c>
      <c r="B3876" t="s">
        <v>3221</v>
      </c>
      <c r="C3876">
        <v>13210</v>
      </c>
      <c r="D3876" t="s">
        <v>3411</v>
      </c>
      <c r="E3876" t="s">
        <v>3412</v>
      </c>
      <c r="F3876">
        <v>36.630000000000003</v>
      </c>
      <c r="G3876">
        <v>230925</v>
      </c>
      <c r="H3876">
        <v>4470</v>
      </c>
      <c r="I3876" t="s">
        <v>83</v>
      </c>
      <c r="J3876">
        <v>40.29</v>
      </c>
      <c r="K3876">
        <v>3.66</v>
      </c>
      <c r="L3876">
        <v>14432</v>
      </c>
      <c r="M3876" t="s">
        <v>862</v>
      </c>
      <c r="N3876" t="str">
        <f t="shared" ref="N3876:N3881" si="85">"2411011     "</f>
        <v xml:space="preserve">2411011     </v>
      </c>
      <c r="O3876">
        <v>231005</v>
      </c>
    </row>
    <row r="3877" spans="1:15" x14ac:dyDescent="0.25">
      <c r="A3877" t="s">
        <v>16</v>
      </c>
      <c r="B3877" t="s">
        <v>3221</v>
      </c>
      <c r="C3877">
        <v>13210</v>
      </c>
      <c r="D3877" t="s">
        <v>3411</v>
      </c>
      <c r="E3877" t="s">
        <v>3412</v>
      </c>
      <c r="F3877">
        <v>34.630000000000003</v>
      </c>
      <c r="G3877">
        <v>230925</v>
      </c>
      <c r="H3877">
        <v>4470</v>
      </c>
      <c r="I3877" t="s">
        <v>83</v>
      </c>
      <c r="J3877">
        <v>38.090000000000003</v>
      </c>
      <c r="K3877">
        <v>3.46</v>
      </c>
      <c r="L3877">
        <v>44251</v>
      </c>
      <c r="M3877" t="s">
        <v>156</v>
      </c>
      <c r="N3877" t="str">
        <f t="shared" si="85"/>
        <v xml:space="preserve">2411011     </v>
      </c>
      <c r="O3877">
        <v>231005</v>
      </c>
    </row>
    <row r="3878" spans="1:15" x14ac:dyDescent="0.25">
      <c r="A3878" t="s">
        <v>16</v>
      </c>
      <c r="B3878" t="s">
        <v>3221</v>
      </c>
      <c r="C3878">
        <v>13210</v>
      </c>
      <c r="D3878" t="s">
        <v>3411</v>
      </c>
      <c r="E3878" t="s">
        <v>3412</v>
      </c>
      <c r="F3878">
        <v>22.02</v>
      </c>
      <c r="G3878">
        <v>230925</v>
      </c>
      <c r="H3878">
        <v>4470</v>
      </c>
      <c r="I3878" t="s">
        <v>83</v>
      </c>
      <c r="J3878">
        <v>24.22</v>
      </c>
      <c r="K3878">
        <v>2.2000000000000002</v>
      </c>
      <c r="L3878">
        <v>44453</v>
      </c>
      <c r="M3878" t="s">
        <v>492</v>
      </c>
      <c r="N3878" t="str">
        <f t="shared" si="85"/>
        <v xml:space="preserve">2411011     </v>
      </c>
      <c r="O3878">
        <v>231005</v>
      </c>
    </row>
    <row r="3879" spans="1:15" x14ac:dyDescent="0.25">
      <c r="A3879" t="s">
        <v>16</v>
      </c>
      <c r="B3879" t="s">
        <v>3221</v>
      </c>
      <c r="C3879">
        <v>13210</v>
      </c>
      <c r="D3879" t="s">
        <v>3411</v>
      </c>
      <c r="E3879" t="s">
        <v>3412</v>
      </c>
      <c r="F3879">
        <v>24.32</v>
      </c>
      <c r="G3879">
        <v>230925</v>
      </c>
      <c r="H3879">
        <v>4470</v>
      </c>
      <c r="I3879" t="s">
        <v>83</v>
      </c>
      <c r="J3879">
        <v>26.75</v>
      </c>
      <c r="K3879">
        <v>2.4300000000000002</v>
      </c>
      <c r="L3879">
        <v>49701</v>
      </c>
      <c r="M3879" t="s">
        <v>166</v>
      </c>
      <c r="N3879" t="str">
        <f t="shared" si="85"/>
        <v xml:space="preserve">2411011     </v>
      </c>
      <c r="O3879">
        <v>231005</v>
      </c>
    </row>
    <row r="3880" spans="1:15" x14ac:dyDescent="0.25">
      <c r="A3880" t="s">
        <v>16</v>
      </c>
      <c r="B3880" t="s">
        <v>3221</v>
      </c>
      <c r="C3880">
        <v>13210</v>
      </c>
      <c r="D3880" t="s">
        <v>3411</v>
      </c>
      <c r="E3880" t="s">
        <v>3412</v>
      </c>
      <c r="F3880">
        <v>36.840000000000003</v>
      </c>
      <c r="G3880">
        <v>230925</v>
      </c>
      <c r="H3880">
        <v>4470</v>
      </c>
      <c r="I3880" t="s">
        <v>83</v>
      </c>
      <c r="J3880">
        <v>40.520000000000003</v>
      </c>
      <c r="K3880">
        <v>3.68</v>
      </c>
      <c r="L3880">
        <v>54251</v>
      </c>
      <c r="M3880" t="s">
        <v>309</v>
      </c>
      <c r="N3880" t="str">
        <f t="shared" si="85"/>
        <v xml:space="preserve">2411011     </v>
      </c>
      <c r="O3880">
        <v>231005</v>
      </c>
    </row>
    <row r="3881" spans="1:15" x14ac:dyDescent="0.25">
      <c r="A3881" t="s">
        <v>16</v>
      </c>
      <c r="B3881" t="s">
        <v>3221</v>
      </c>
      <c r="C3881">
        <v>13210</v>
      </c>
      <c r="D3881" t="s">
        <v>3411</v>
      </c>
      <c r="E3881" t="s">
        <v>3412</v>
      </c>
      <c r="F3881">
        <v>24.02</v>
      </c>
      <c r="G3881">
        <v>230925</v>
      </c>
      <c r="H3881">
        <v>4470</v>
      </c>
      <c r="I3881" t="s">
        <v>83</v>
      </c>
      <c r="J3881">
        <v>26.42</v>
      </c>
      <c r="K3881">
        <v>2.4</v>
      </c>
      <c r="L3881">
        <v>54252</v>
      </c>
      <c r="M3881" t="s">
        <v>534</v>
      </c>
      <c r="N3881" t="str">
        <f t="shared" si="85"/>
        <v xml:space="preserve">2411011     </v>
      </c>
      <c r="O3881">
        <v>231005</v>
      </c>
    </row>
    <row r="3882" spans="1:15" x14ac:dyDescent="0.25">
      <c r="A3882" t="s">
        <v>16</v>
      </c>
      <c r="B3882" t="s">
        <v>3221</v>
      </c>
      <c r="C3882">
        <v>16718</v>
      </c>
      <c r="D3882" t="s">
        <v>3411</v>
      </c>
      <c r="E3882" t="s">
        <v>3412</v>
      </c>
      <c r="F3882">
        <v>105.89</v>
      </c>
      <c r="G3882">
        <v>231127</v>
      </c>
      <c r="H3882">
        <v>4470</v>
      </c>
      <c r="I3882" t="s">
        <v>83</v>
      </c>
      <c r="J3882">
        <v>116.48</v>
      </c>
      <c r="K3882">
        <v>10.59</v>
      </c>
      <c r="L3882">
        <v>14432</v>
      </c>
      <c r="M3882" t="s">
        <v>862</v>
      </c>
      <c r="N3882" t="str">
        <f t="shared" ref="N3882:N3887" si="86">"2425115     "</f>
        <v xml:space="preserve">2425115     </v>
      </c>
      <c r="O3882">
        <v>231208</v>
      </c>
    </row>
    <row r="3883" spans="1:15" x14ac:dyDescent="0.25">
      <c r="A3883" t="s">
        <v>16</v>
      </c>
      <c r="B3883" t="s">
        <v>3221</v>
      </c>
      <c r="C3883">
        <v>16718</v>
      </c>
      <c r="D3883" t="s">
        <v>3411</v>
      </c>
      <c r="E3883" t="s">
        <v>3412</v>
      </c>
      <c r="F3883">
        <v>103.89</v>
      </c>
      <c r="G3883">
        <v>231127</v>
      </c>
      <c r="H3883">
        <v>4470</v>
      </c>
      <c r="I3883" t="s">
        <v>83</v>
      </c>
      <c r="J3883">
        <v>114.28</v>
      </c>
      <c r="K3883">
        <v>10.39</v>
      </c>
      <c r="L3883">
        <v>44251</v>
      </c>
      <c r="M3883" t="s">
        <v>156</v>
      </c>
      <c r="N3883" t="str">
        <f t="shared" si="86"/>
        <v xml:space="preserve">2425115     </v>
      </c>
      <c r="O3883">
        <v>231208</v>
      </c>
    </row>
    <row r="3884" spans="1:15" x14ac:dyDescent="0.25">
      <c r="A3884" t="s">
        <v>16</v>
      </c>
      <c r="B3884" t="s">
        <v>3221</v>
      </c>
      <c r="C3884">
        <v>16718</v>
      </c>
      <c r="D3884" t="s">
        <v>3411</v>
      </c>
      <c r="E3884" t="s">
        <v>3412</v>
      </c>
      <c r="F3884">
        <v>66.040000000000006</v>
      </c>
      <c r="G3884">
        <v>231127</v>
      </c>
      <c r="H3884">
        <v>4470</v>
      </c>
      <c r="I3884" t="s">
        <v>83</v>
      </c>
      <c r="J3884">
        <v>72.64</v>
      </c>
      <c r="K3884">
        <v>6.6</v>
      </c>
      <c r="L3884">
        <v>44453</v>
      </c>
      <c r="M3884" t="s">
        <v>492</v>
      </c>
      <c r="N3884" t="str">
        <f t="shared" si="86"/>
        <v xml:space="preserve">2425115     </v>
      </c>
      <c r="O3884">
        <v>231208</v>
      </c>
    </row>
    <row r="3885" spans="1:15" x14ac:dyDescent="0.25">
      <c r="A3885" t="s">
        <v>16</v>
      </c>
      <c r="B3885" t="s">
        <v>3221</v>
      </c>
      <c r="C3885">
        <v>16718</v>
      </c>
      <c r="D3885" t="s">
        <v>3411</v>
      </c>
      <c r="E3885" t="s">
        <v>3412</v>
      </c>
      <c r="F3885">
        <v>68.94</v>
      </c>
      <c r="G3885">
        <v>231127</v>
      </c>
      <c r="H3885">
        <v>4470</v>
      </c>
      <c r="I3885" t="s">
        <v>83</v>
      </c>
      <c r="J3885">
        <v>75.83</v>
      </c>
      <c r="K3885">
        <v>6.89</v>
      </c>
      <c r="L3885">
        <v>49701</v>
      </c>
      <c r="M3885" t="s">
        <v>166</v>
      </c>
      <c r="N3885" t="str">
        <f t="shared" si="86"/>
        <v xml:space="preserve">2425115     </v>
      </c>
      <c r="O3885">
        <v>231208</v>
      </c>
    </row>
    <row r="3886" spans="1:15" x14ac:dyDescent="0.25">
      <c r="A3886" t="s">
        <v>16</v>
      </c>
      <c r="B3886" t="s">
        <v>3221</v>
      </c>
      <c r="C3886">
        <v>16718</v>
      </c>
      <c r="D3886" t="s">
        <v>3411</v>
      </c>
      <c r="E3886" t="s">
        <v>3412</v>
      </c>
      <c r="F3886">
        <v>112.52</v>
      </c>
      <c r="G3886">
        <v>231127</v>
      </c>
      <c r="H3886">
        <v>4470</v>
      </c>
      <c r="I3886" t="s">
        <v>83</v>
      </c>
      <c r="J3886">
        <v>123.77</v>
      </c>
      <c r="K3886">
        <v>11.25</v>
      </c>
      <c r="L3886">
        <v>54251</v>
      </c>
      <c r="M3886" t="s">
        <v>309</v>
      </c>
      <c r="N3886" t="str">
        <f t="shared" si="86"/>
        <v xml:space="preserve">2425115     </v>
      </c>
      <c r="O3886">
        <v>231208</v>
      </c>
    </row>
    <row r="3887" spans="1:15" x14ac:dyDescent="0.25">
      <c r="A3887" t="s">
        <v>16</v>
      </c>
      <c r="B3887" t="s">
        <v>3221</v>
      </c>
      <c r="C3887">
        <v>16718</v>
      </c>
      <c r="D3887" t="s">
        <v>3411</v>
      </c>
      <c r="E3887" t="s">
        <v>3412</v>
      </c>
      <c r="F3887">
        <v>66.040000000000006</v>
      </c>
      <c r="G3887">
        <v>231127</v>
      </c>
      <c r="H3887">
        <v>4470</v>
      </c>
      <c r="I3887" t="s">
        <v>83</v>
      </c>
      <c r="J3887">
        <v>72.64</v>
      </c>
      <c r="K3887">
        <v>6.6</v>
      </c>
      <c r="L3887">
        <v>54252</v>
      </c>
      <c r="M3887" t="s">
        <v>534</v>
      </c>
      <c r="N3887" t="str">
        <f t="shared" si="86"/>
        <v xml:space="preserve">2425115     </v>
      </c>
      <c r="O3887">
        <v>231208</v>
      </c>
    </row>
    <row r="3888" spans="1:15" x14ac:dyDescent="0.25">
      <c r="A3888" t="s">
        <v>16</v>
      </c>
      <c r="B3888" t="s">
        <v>3221</v>
      </c>
      <c r="C3888">
        <v>7529</v>
      </c>
      <c r="D3888" t="s">
        <v>725</v>
      </c>
      <c r="E3888" t="s">
        <v>726</v>
      </c>
      <c r="F3888">
        <v>431.85</v>
      </c>
      <c r="G3888">
        <v>230530</v>
      </c>
      <c r="H3888">
        <v>4580</v>
      </c>
      <c r="I3888" t="s">
        <v>35</v>
      </c>
      <c r="J3888">
        <v>535.5</v>
      </c>
      <c r="K3888">
        <v>103.65</v>
      </c>
      <c r="L3888">
        <v>46557</v>
      </c>
      <c r="M3888" t="s">
        <v>221</v>
      </c>
      <c r="N3888" t="str">
        <f>"1764        "</f>
        <v xml:space="preserve">1764        </v>
      </c>
      <c r="O3888">
        <v>230531</v>
      </c>
    </row>
    <row r="3889" spans="1:15" x14ac:dyDescent="0.25">
      <c r="A3889" t="s">
        <v>16</v>
      </c>
      <c r="B3889" t="s">
        <v>3221</v>
      </c>
      <c r="C3889">
        <v>767</v>
      </c>
      <c r="D3889" t="s">
        <v>725</v>
      </c>
      <c r="E3889" t="s">
        <v>726</v>
      </c>
      <c r="F3889">
        <v>61.75</v>
      </c>
      <c r="G3889">
        <v>230126</v>
      </c>
      <c r="H3889">
        <v>4600</v>
      </c>
      <c r="I3889" t="s">
        <v>105</v>
      </c>
      <c r="J3889">
        <v>76.569999999999993</v>
      </c>
      <c r="K3889">
        <v>14.82</v>
      </c>
      <c r="L3889">
        <v>46557</v>
      </c>
      <c r="M3889" t="s">
        <v>221</v>
      </c>
      <c r="N3889" t="str">
        <f>"1635        "</f>
        <v xml:space="preserve">1635        </v>
      </c>
      <c r="O3889">
        <v>230130</v>
      </c>
    </row>
    <row r="3890" spans="1:15" x14ac:dyDescent="0.25">
      <c r="A3890" t="s">
        <v>16</v>
      </c>
      <c r="B3890" t="s">
        <v>3221</v>
      </c>
      <c r="C3890">
        <v>767</v>
      </c>
      <c r="D3890" t="s">
        <v>725</v>
      </c>
      <c r="E3890" t="s">
        <v>726</v>
      </c>
      <c r="F3890">
        <v>810.45</v>
      </c>
      <c r="G3890">
        <v>230126</v>
      </c>
      <c r="H3890">
        <v>4600</v>
      </c>
      <c r="I3890" t="s">
        <v>105</v>
      </c>
      <c r="J3890">
        <v>1004.96</v>
      </c>
      <c r="K3890">
        <v>194.51</v>
      </c>
      <c r="L3890">
        <v>46564</v>
      </c>
      <c r="M3890" t="s">
        <v>727</v>
      </c>
      <c r="N3890" t="str">
        <f>"1635        "</f>
        <v xml:space="preserve">1635        </v>
      </c>
      <c r="O3890">
        <v>230130</v>
      </c>
    </row>
    <row r="3891" spans="1:15" x14ac:dyDescent="0.25">
      <c r="A3891" t="s">
        <v>16</v>
      </c>
      <c r="B3891" t="s">
        <v>3221</v>
      </c>
      <c r="C3891">
        <v>767</v>
      </c>
      <c r="D3891" t="s">
        <v>725</v>
      </c>
      <c r="E3891" t="s">
        <v>726</v>
      </c>
      <c r="F3891">
        <v>362.92</v>
      </c>
      <c r="G3891">
        <v>230126</v>
      </c>
      <c r="H3891">
        <v>4600</v>
      </c>
      <c r="I3891" t="s">
        <v>105</v>
      </c>
      <c r="J3891">
        <v>450.02</v>
      </c>
      <c r="K3891">
        <v>87.1</v>
      </c>
      <c r="L3891">
        <v>49701</v>
      </c>
      <c r="M3891" t="s">
        <v>166</v>
      </c>
      <c r="N3891" t="str">
        <f>"1635        "</f>
        <v xml:space="preserve">1635        </v>
      </c>
      <c r="O3891">
        <v>230130</v>
      </c>
    </row>
    <row r="3892" spans="1:15" x14ac:dyDescent="0.25">
      <c r="A3892" t="s">
        <v>16</v>
      </c>
      <c r="B3892" t="s">
        <v>3221</v>
      </c>
      <c r="C3892">
        <v>2003</v>
      </c>
      <c r="D3892" t="s">
        <v>725</v>
      </c>
      <c r="E3892" t="s">
        <v>726</v>
      </c>
      <c r="F3892">
        <v>176.62</v>
      </c>
      <c r="G3892">
        <v>230214</v>
      </c>
      <c r="H3892">
        <v>4600</v>
      </c>
      <c r="I3892" t="s">
        <v>105</v>
      </c>
      <c r="J3892">
        <v>219.01</v>
      </c>
      <c r="K3892">
        <v>42.39</v>
      </c>
      <c r="L3892">
        <v>46557</v>
      </c>
      <c r="M3892" t="s">
        <v>221</v>
      </c>
      <c r="N3892" t="str">
        <f>"1654        "</f>
        <v xml:space="preserve">1654        </v>
      </c>
      <c r="O3892">
        <v>230217</v>
      </c>
    </row>
    <row r="3893" spans="1:15" x14ac:dyDescent="0.25">
      <c r="A3893" t="s">
        <v>16</v>
      </c>
      <c r="B3893" t="s">
        <v>3221</v>
      </c>
      <c r="C3893">
        <v>2003</v>
      </c>
      <c r="D3893" t="s">
        <v>725</v>
      </c>
      <c r="E3893" t="s">
        <v>726</v>
      </c>
      <c r="F3893">
        <v>701.09</v>
      </c>
      <c r="G3893">
        <v>230214</v>
      </c>
      <c r="H3893">
        <v>4600</v>
      </c>
      <c r="I3893" t="s">
        <v>105</v>
      </c>
      <c r="J3893">
        <v>869.35</v>
      </c>
      <c r="K3893">
        <v>168.26</v>
      </c>
      <c r="L3893">
        <v>46564</v>
      </c>
      <c r="M3893" t="s">
        <v>727</v>
      </c>
      <c r="N3893" t="str">
        <f>"1654        "</f>
        <v xml:space="preserve">1654        </v>
      </c>
      <c r="O3893">
        <v>230217</v>
      </c>
    </row>
    <row r="3894" spans="1:15" x14ac:dyDescent="0.25">
      <c r="A3894" t="s">
        <v>16</v>
      </c>
      <c r="B3894" t="s">
        <v>3221</v>
      </c>
      <c r="C3894">
        <v>2003</v>
      </c>
      <c r="D3894" t="s">
        <v>725</v>
      </c>
      <c r="E3894" t="s">
        <v>726</v>
      </c>
      <c r="F3894">
        <v>176.92</v>
      </c>
      <c r="G3894">
        <v>230214</v>
      </c>
      <c r="H3894">
        <v>4600</v>
      </c>
      <c r="I3894" t="s">
        <v>105</v>
      </c>
      <c r="J3894">
        <v>219.38</v>
      </c>
      <c r="K3894">
        <v>42.46</v>
      </c>
      <c r="L3894">
        <v>49701</v>
      </c>
      <c r="M3894" t="s">
        <v>166</v>
      </c>
      <c r="N3894" t="str">
        <f>"1654        "</f>
        <v xml:space="preserve">1654        </v>
      </c>
      <c r="O3894">
        <v>230217</v>
      </c>
    </row>
    <row r="3895" spans="1:15" x14ac:dyDescent="0.25">
      <c r="A3895" t="s">
        <v>16</v>
      </c>
      <c r="B3895" t="s">
        <v>3221</v>
      </c>
      <c r="C3895">
        <v>3074</v>
      </c>
      <c r="D3895" t="s">
        <v>725</v>
      </c>
      <c r="E3895" t="s">
        <v>726</v>
      </c>
      <c r="F3895">
        <v>135.97</v>
      </c>
      <c r="G3895">
        <v>230307</v>
      </c>
      <c r="H3895">
        <v>4600</v>
      </c>
      <c r="I3895" t="s">
        <v>105</v>
      </c>
      <c r="J3895">
        <v>168.6</v>
      </c>
      <c r="K3895">
        <v>32.630000000000003</v>
      </c>
      <c r="L3895">
        <v>46557</v>
      </c>
      <c r="M3895" t="s">
        <v>221</v>
      </c>
      <c r="N3895" t="str">
        <f>"1682        "</f>
        <v xml:space="preserve">1682        </v>
      </c>
      <c r="O3895">
        <v>230309</v>
      </c>
    </row>
    <row r="3896" spans="1:15" x14ac:dyDescent="0.25">
      <c r="A3896" t="s">
        <v>16</v>
      </c>
      <c r="B3896" t="s">
        <v>3221</v>
      </c>
      <c r="C3896">
        <v>3074</v>
      </c>
      <c r="D3896" t="s">
        <v>725</v>
      </c>
      <c r="E3896" t="s">
        <v>726</v>
      </c>
      <c r="F3896">
        <v>323.81</v>
      </c>
      <c r="G3896">
        <v>230307</v>
      </c>
      <c r="H3896">
        <v>4600</v>
      </c>
      <c r="I3896" t="s">
        <v>105</v>
      </c>
      <c r="J3896">
        <v>401.52</v>
      </c>
      <c r="K3896">
        <v>77.709999999999994</v>
      </c>
      <c r="L3896">
        <v>46564</v>
      </c>
      <c r="M3896" t="s">
        <v>727</v>
      </c>
      <c r="N3896" t="str">
        <f>"1682        "</f>
        <v xml:space="preserve">1682        </v>
      </c>
      <c r="O3896">
        <v>230309</v>
      </c>
    </row>
    <row r="3897" spans="1:15" x14ac:dyDescent="0.25">
      <c r="A3897" t="s">
        <v>16</v>
      </c>
      <c r="B3897" t="s">
        <v>3221</v>
      </c>
      <c r="C3897">
        <v>3074</v>
      </c>
      <c r="D3897" t="s">
        <v>725</v>
      </c>
      <c r="E3897" t="s">
        <v>726</v>
      </c>
      <c r="F3897">
        <v>8.75</v>
      </c>
      <c r="G3897">
        <v>230307</v>
      </c>
      <c r="H3897">
        <v>4600</v>
      </c>
      <c r="I3897" t="s">
        <v>105</v>
      </c>
      <c r="J3897">
        <v>10.85</v>
      </c>
      <c r="K3897">
        <v>2.1</v>
      </c>
      <c r="L3897">
        <v>49701</v>
      </c>
      <c r="M3897" t="s">
        <v>166</v>
      </c>
      <c r="N3897" t="str">
        <f>"1682        "</f>
        <v xml:space="preserve">1682        </v>
      </c>
      <c r="O3897">
        <v>230309</v>
      </c>
    </row>
    <row r="3898" spans="1:15" x14ac:dyDescent="0.25">
      <c r="A3898" t="s">
        <v>16</v>
      </c>
      <c r="B3898" t="s">
        <v>3221</v>
      </c>
      <c r="C3898">
        <v>3810</v>
      </c>
      <c r="D3898" t="s">
        <v>725</v>
      </c>
      <c r="E3898" t="s">
        <v>726</v>
      </c>
      <c r="F3898">
        <v>72.400000000000006</v>
      </c>
      <c r="G3898">
        <v>230318</v>
      </c>
      <c r="H3898">
        <v>4600</v>
      </c>
      <c r="I3898" t="s">
        <v>105</v>
      </c>
      <c r="J3898">
        <v>89.78</v>
      </c>
      <c r="K3898">
        <v>17.38</v>
      </c>
      <c r="L3898">
        <v>46557</v>
      </c>
      <c r="M3898" t="s">
        <v>221</v>
      </c>
      <c r="N3898" t="str">
        <f>"1699        "</f>
        <v xml:space="preserve">1699        </v>
      </c>
      <c r="O3898">
        <v>230323</v>
      </c>
    </row>
    <row r="3899" spans="1:15" x14ac:dyDescent="0.25">
      <c r="A3899" t="s">
        <v>16</v>
      </c>
      <c r="B3899" t="s">
        <v>3221</v>
      </c>
      <c r="C3899">
        <v>3810</v>
      </c>
      <c r="D3899" t="s">
        <v>725</v>
      </c>
      <c r="E3899" t="s">
        <v>726</v>
      </c>
      <c r="F3899">
        <v>327.07</v>
      </c>
      <c r="G3899">
        <v>230318</v>
      </c>
      <c r="H3899">
        <v>4600</v>
      </c>
      <c r="I3899" t="s">
        <v>105</v>
      </c>
      <c r="J3899">
        <v>405.57</v>
      </c>
      <c r="K3899">
        <v>78.5</v>
      </c>
      <c r="L3899">
        <v>46564</v>
      </c>
      <c r="M3899" t="s">
        <v>727</v>
      </c>
      <c r="N3899" t="str">
        <f>"1699        "</f>
        <v xml:space="preserve">1699        </v>
      </c>
      <c r="O3899">
        <v>230323</v>
      </c>
    </row>
    <row r="3900" spans="1:15" x14ac:dyDescent="0.25">
      <c r="A3900" t="s">
        <v>16</v>
      </c>
      <c r="B3900" t="s">
        <v>3221</v>
      </c>
      <c r="C3900">
        <v>3810</v>
      </c>
      <c r="D3900" t="s">
        <v>725</v>
      </c>
      <c r="E3900" t="s">
        <v>726</v>
      </c>
      <c r="F3900">
        <v>36</v>
      </c>
      <c r="G3900">
        <v>230318</v>
      </c>
      <c r="H3900">
        <v>4600</v>
      </c>
      <c r="I3900" t="s">
        <v>105</v>
      </c>
      <c r="J3900">
        <v>44.64</v>
      </c>
      <c r="K3900">
        <v>8.64</v>
      </c>
      <c r="L3900">
        <v>49701</v>
      </c>
      <c r="M3900" t="s">
        <v>166</v>
      </c>
      <c r="N3900" t="str">
        <f>"1699        "</f>
        <v xml:space="preserve">1699        </v>
      </c>
      <c r="O3900">
        <v>230323</v>
      </c>
    </row>
    <row r="3901" spans="1:15" x14ac:dyDescent="0.25">
      <c r="A3901" t="s">
        <v>16</v>
      </c>
      <c r="B3901" t="s">
        <v>3221</v>
      </c>
      <c r="C3901">
        <v>4290</v>
      </c>
      <c r="D3901" t="s">
        <v>725</v>
      </c>
      <c r="E3901" t="s">
        <v>726</v>
      </c>
      <c r="F3901">
        <v>323.20999999999998</v>
      </c>
      <c r="G3901">
        <v>230403</v>
      </c>
      <c r="H3901">
        <v>4600</v>
      </c>
      <c r="I3901" t="s">
        <v>105</v>
      </c>
      <c r="J3901">
        <v>400.78</v>
      </c>
      <c r="K3901">
        <v>77.569999999999993</v>
      </c>
      <c r="L3901">
        <v>46557</v>
      </c>
      <c r="M3901" t="s">
        <v>221</v>
      </c>
      <c r="N3901" t="str">
        <f>"1717        "</f>
        <v xml:space="preserve">1717        </v>
      </c>
      <c r="O3901">
        <v>230404</v>
      </c>
    </row>
    <row r="3902" spans="1:15" x14ac:dyDescent="0.25">
      <c r="A3902" t="s">
        <v>16</v>
      </c>
      <c r="B3902" t="s">
        <v>3221</v>
      </c>
      <c r="C3902">
        <v>4290</v>
      </c>
      <c r="D3902" t="s">
        <v>725</v>
      </c>
      <c r="E3902" t="s">
        <v>726</v>
      </c>
      <c r="F3902">
        <v>466.64</v>
      </c>
      <c r="G3902">
        <v>230403</v>
      </c>
      <c r="H3902">
        <v>4600</v>
      </c>
      <c r="I3902" t="s">
        <v>105</v>
      </c>
      <c r="J3902">
        <v>578.63</v>
      </c>
      <c r="K3902">
        <v>111.99</v>
      </c>
      <c r="L3902">
        <v>46564</v>
      </c>
      <c r="M3902" t="s">
        <v>727</v>
      </c>
      <c r="N3902" t="str">
        <f>"1717        "</f>
        <v xml:space="preserve">1717        </v>
      </c>
      <c r="O3902">
        <v>230404</v>
      </c>
    </row>
    <row r="3903" spans="1:15" x14ac:dyDescent="0.25">
      <c r="A3903" t="s">
        <v>16</v>
      </c>
      <c r="B3903" t="s">
        <v>3221</v>
      </c>
      <c r="C3903">
        <v>4290</v>
      </c>
      <c r="D3903" t="s">
        <v>725</v>
      </c>
      <c r="E3903" t="s">
        <v>726</v>
      </c>
      <c r="F3903">
        <v>351.02</v>
      </c>
      <c r="G3903">
        <v>230403</v>
      </c>
      <c r="H3903">
        <v>4600</v>
      </c>
      <c r="I3903" t="s">
        <v>105</v>
      </c>
      <c r="J3903">
        <v>435.26</v>
      </c>
      <c r="K3903">
        <v>84.24</v>
      </c>
      <c r="L3903">
        <v>49701</v>
      </c>
      <c r="M3903" t="s">
        <v>166</v>
      </c>
      <c r="N3903" t="str">
        <f>"1717        "</f>
        <v xml:space="preserve">1717        </v>
      </c>
      <c r="O3903">
        <v>230404</v>
      </c>
    </row>
    <row r="3904" spans="1:15" x14ac:dyDescent="0.25">
      <c r="A3904" t="s">
        <v>16</v>
      </c>
      <c r="B3904" t="s">
        <v>3221</v>
      </c>
      <c r="C3904">
        <v>5450</v>
      </c>
      <c r="D3904" t="s">
        <v>725</v>
      </c>
      <c r="E3904" t="s">
        <v>726</v>
      </c>
      <c r="F3904">
        <v>435.21</v>
      </c>
      <c r="G3904">
        <v>230424</v>
      </c>
      <c r="H3904">
        <v>4600</v>
      </c>
      <c r="I3904" t="s">
        <v>105</v>
      </c>
      <c r="J3904">
        <v>539.66</v>
      </c>
      <c r="K3904">
        <v>104.45</v>
      </c>
      <c r="L3904">
        <v>46557</v>
      </c>
      <c r="M3904" t="s">
        <v>221</v>
      </c>
      <c r="N3904" t="str">
        <f>"1728        "</f>
        <v xml:space="preserve">1728        </v>
      </c>
      <c r="O3904">
        <v>230425</v>
      </c>
    </row>
    <row r="3905" spans="1:15" x14ac:dyDescent="0.25">
      <c r="A3905" t="s">
        <v>16</v>
      </c>
      <c r="B3905" t="s">
        <v>3221</v>
      </c>
      <c r="C3905">
        <v>5450</v>
      </c>
      <c r="D3905" t="s">
        <v>725</v>
      </c>
      <c r="E3905" t="s">
        <v>726</v>
      </c>
      <c r="F3905">
        <v>652.53</v>
      </c>
      <c r="G3905">
        <v>230424</v>
      </c>
      <c r="H3905">
        <v>4600</v>
      </c>
      <c r="I3905" t="s">
        <v>105</v>
      </c>
      <c r="J3905">
        <v>809.14</v>
      </c>
      <c r="K3905">
        <v>156.61000000000001</v>
      </c>
      <c r="L3905">
        <v>46564</v>
      </c>
      <c r="M3905" t="s">
        <v>727</v>
      </c>
      <c r="N3905" t="str">
        <f>"1728        "</f>
        <v xml:space="preserve">1728        </v>
      </c>
      <c r="O3905">
        <v>230425</v>
      </c>
    </row>
    <row r="3906" spans="1:15" x14ac:dyDescent="0.25">
      <c r="A3906" t="s">
        <v>16</v>
      </c>
      <c r="B3906" t="s">
        <v>3221</v>
      </c>
      <c r="C3906">
        <v>5450</v>
      </c>
      <c r="D3906" t="s">
        <v>725</v>
      </c>
      <c r="E3906" t="s">
        <v>726</v>
      </c>
      <c r="F3906">
        <v>90.41</v>
      </c>
      <c r="G3906">
        <v>230424</v>
      </c>
      <c r="H3906">
        <v>4600</v>
      </c>
      <c r="I3906" t="s">
        <v>105</v>
      </c>
      <c r="J3906">
        <v>112.11</v>
      </c>
      <c r="K3906">
        <v>21.7</v>
      </c>
      <c r="L3906">
        <v>49701</v>
      </c>
      <c r="M3906" t="s">
        <v>166</v>
      </c>
      <c r="N3906" t="str">
        <f>"1728        "</f>
        <v xml:space="preserve">1728        </v>
      </c>
      <c r="O3906">
        <v>230425</v>
      </c>
    </row>
    <row r="3907" spans="1:15" x14ac:dyDescent="0.25">
      <c r="A3907" t="s">
        <v>16</v>
      </c>
      <c r="B3907" t="s">
        <v>3221</v>
      </c>
      <c r="C3907">
        <v>5987</v>
      </c>
      <c r="D3907" t="s">
        <v>725</v>
      </c>
      <c r="E3907" t="s">
        <v>726</v>
      </c>
      <c r="F3907">
        <v>92.02</v>
      </c>
      <c r="G3907">
        <v>230429</v>
      </c>
      <c r="H3907">
        <v>4600</v>
      </c>
      <c r="I3907" t="s">
        <v>105</v>
      </c>
      <c r="J3907">
        <v>114.1</v>
      </c>
      <c r="K3907">
        <v>22.08</v>
      </c>
      <c r="L3907">
        <v>46557</v>
      </c>
      <c r="M3907" t="s">
        <v>221</v>
      </c>
      <c r="N3907" t="str">
        <f>"1736        "</f>
        <v xml:space="preserve">1736        </v>
      </c>
      <c r="O3907">
        <v>230504</v>
      </c>
    </row>
    <row r="3908" spans="1:15" x14ac:dyDescent="0.25">
      <c r="A3908" t="s">
        <v>16</v>
      </c>
      <c r="B3908" t="s">
        <v>3221</v>
      </c>
      <c r="C3908">
        <v>5987</v>
      </c>
      <c r="D3908" t="s">
        <v>725</v>
      </c>
      <c r="E3908" t="s">
        <v>726</v>
      </c>
      <c r="F3908">
        <v>386.41</v>
      </c>
      <c r="G3908">
        <v>230429</v>
      </c>
      <c r="H3908">
        <v>4600</v>
      </c>
      <c r="I3908" t="s">
        <v>105</v>
      </c>
      <c r="J3908">
        <v>479.15</v>
      </c>
      <c r="K3908">
        <v>92.74</v>
      </c>
      <c r="L3908">
        <v>46564</v>
      </c>
      <c r="M3908" t="s">
        <v>727</v>
      </c>
      <c r="N3908" t="str">
        <f>"1736        "</f>
        <v xml:space="preserve">1736        </v>
      </c>
      <c r="O3908">
        <v>230504</v>
      </c>
    </row>
    <row r="3909" spans="1:15" x14ac:dyDescent="0.25">
      <c r="A3909" t="s">
        <v>16</v>
      </c>
      <c r="B3909" t="s">
        <v>3221</v>
      </c>
      <c r="C3909">
        <v>6679</v>
      </c>
      <c r="D3909" t="s">
        <v>725</v>
      </c>
      <c r="E3909" t="s">
        <v>726</v>
      </c>
      <c r="F3909">
        <v>28.06</v>
      </c>
      <c r="G3909">
        <v>230513</v>
      </c>
      <c r="H3909">
        <v>4600</v>
      </c>
      <c r="I3909" t="s">
        <v>105</v>
      </c>
      <c r="J3909">
        <v>34.799999999999997</v>
      </c>
      <c r="K3909">
        <v>6.74</v>
      </c>
      <c r="L3909">
        <v>46557</v>
      </c>
      <c r="M3909" t="s">
        <v>221</v>
      </c>
      <c r="N3909" t="str">
        <f>"1756        "</f>
        <v xml:space="preserve">1756        </v>
      </c>
      <c r="O3909">
        <v>230517</v>
      </c>
    </row>
    <row r="3910" spans="1:15" x14ac:dyDescent="0.25">
      <c r="A3910" t="s">
        <v>16</v>
      </c>
      <c r="B3910" t="s">
        <v>3221</v>
      </c>
      <c r="C3910">
        <v>6679</v>
      </c>
      <c r="D3910" t="s">
        <v>725</v>
      </c>
      <c r="E3910" t="s">
        <v>726</v>
      </c>
      <c r="F3910">
        <v>442.57</v>
      </c>
      <c r="G3910">
        <v>230513</v>
      </c>
      <c r="H3910">
        <v>4600</v>
      </c>
      <c r="I3910" t="s">
        <v>105</v>
      </c>
      <c r="J3910">
        <v>548.79</v>
      </c>
      <c r="K3910">
        <v>106.22</v>
      </c>
      <c r="L3910">
        <v>46564</v>
      </c>
      <c r="M3910" t="s">
        <v>727</v>
      </c>
      <c r="N3910" t="str">
        <f>"1756        "</f>
        <v xml:space="preserve">1756        </v>
      </c>
      <c r="O3910">
        <v>230517</v>
      </c>
    </row>
    <row r="3911" spans="1:15" x14ac:dyDescent="0.25">
      <c r="A3911" t="s">
        <v>16</v>
      </c>
      <c r="B3911" t="s">
        <v>3221</v>
      </c>
      <c r="C3911">
        <v>6679</v>
      </c>
      <c r="D3911" t="s">
        <v>725</v>
      </c>
      <c r="E3911" t="s">
        <v>726</v>
      </c>
      <c r="F3911">
        <v>32.97</v>
      </c>
      <c r="G3911">
        <v>230513</v>
      </c>
      <c r="H3911">
        <v>4600</v>
      </c>
      <c r="I3911" t="s">
        <v>105</v>
      </c>
      <c r="J3911">
        <v>40.880000000000003</v>
      </c>
      <c r="K3911">
        <v>7.91</v>
      </c>
      <c r="L3911">
        <v>49701</v>
      </c>
      <c r="M3911" t="s">
        <v>166</v>
      </c>
      <c r="N3911" t="str">
        <f>"1756        "</f>
        <v xml:space="preserve">1756        </v>
      </c>
      <c r="O3911">
        <v>230517</v>
      </c>
    </row>
    <row r="3912" spans="1:15" x14ac:dyDescent="0.25">
      <c r="A3912" t="s">
        <v>16</v>
      </c>
      <c r="B3912" t="s">
        <v>3221</v>
      </c>
      <c r="C3912">
        <v>7529</v>
      </c>
      <c r="D3912" t="s">
        <v>725</v>
      </c>
      <c r="E3912" t="s">
        <v>726</v>
      </c>
      <c r="F3912">
        <v>28.05</v>
      </c>
      <c r="G3912">
        <v>230530</v>
      </c>
      <c r="H3912">
        <v>4600</v>
      </c>
      <c r="I3912" t="s">
        <v>105</v>
      </c>
      <c r="J3912">
        <v>34.78</v>
      </c>
      <c r="K3912">
        <v>6.73</v>
      </c>
      <c r="L3912">
        <v>46564</v>
      </c>
      <c r="M3912" t="s">
        <v>727</v>
      </c>
      <c r="N3912" t="str">
        <f>"1764        "</f>
        <v xml:space="preserve">1764        </v>
      </c>
      <c r="O3912">
        <v>230531</v>
      </c>
    </row>
    <row r="3913" spans="1:15" x14ac:dyDescent="0.25">
      <c r="A3913" t="s">
        <v>16</v>
      </c>
      <c r="B3913" t="s">
        <v>3221</v>
      </c>
      <c r="C3913">
        <v>10950</v>
      </c>
      <c r="D3913" t="s">
        <v>725</v>
      </c>
      <c r="E3913" t="s">
        <v>726</v>
      </c>
      <c r="F3913">
        <v>309.44</v>
      </c>
      <c r="G3913">
        <v>230825</v>
      </c>
      <c r="H3913">
        <v>4600</v>
      </c>
      <c r="I3913" t="s">
        <v>105</v>
      </c>
      <c r="J3913">
        <v>383.71</v>
      </c>
      <c r="K3913">
        <v>74.27</v>
      </c>
      <c r="L3913">
        <v>46557</v>
      </c>
      <c r="M3913" t="s">
        <v>221</v>
      </c>
      <c r="N3913" t="str">
        <f>"1825        "</f>
        <v xml:space="preserve">1825        </v>
      </c>
      <c r="O3913">
        <v>230825</v>
      </c>
    </row>
    <row r="3914" spans="1:15" x14ac:dyDescent="0.25">
      <c r="A3914" t="s">
        <v>16</v>
      </c>
      <c r="B3914" t="s">
        <v>3221</v>
      </c>
      <c r="C3914">
        <v>10950</v>
      </c>
      <c r="D3914" t="s">
        <v>725</v>
      </c>
      <c r="E3914" t="s">
        <v>726</v>
      </c>
      <c r="F3914">
        <v>691.16</v>
      </c>
      <c r="G3914">
        <v>230825</v>
      </c>
      <c r="H3914">
        <v>4600</v>
      </c>
      <c r="I3914" t="s">
        <v>105</v>
      </c>
      <c r="J3914">
        <v>857.04</v>
      </c>
      <c r="K3914">
        <v>165.88</v>
      </c>
      <c r="L3914">
        <v>46564</v>
      </c>
      <c r="M3914" t="s">
        <v>727</v>
      </c>
      <c r="N3914" t="str">
        <f>"1825        "</f>
        <v xml:space="preserve">1825        </v>
      </c>
      <c r="O3914">
        <v>230825</v>
      </c>
    </row>
    <row r="3915" spans="1:15" x14ac:dyDescent="0.25">
      <c r="A3915" t="s">
        <v>16</v>
      </c>
      <c r="B3915" t="s">
        <v>3221</v>
      </c>
      <c r="C3915">
        <v>10950</v>
      </c>
      <c r="D3915" t="s">
        <v>725</v>
      </c>
      <c r="E3915" t="s">
        <v>726</v>
      </c>
      <c r="F3915">
        <v>17.84</v>
      </c>
      <c r="G3915">
        <v>230825</v>
      </c>
      <c r="H3915">
        <v>4600</v>
      </c>
      <c r="I3915" t="s">
        <v>105</v>
      </c>
      <c r="J3915">
        <v>22.12</v>
      </c>
      <c r="K3915">
        <v>4.28</v>
      </c>
      <c r="L3915">
        <v>49701</v>
      </c>
      <c r="M3915" t="s">
        <v>166</v>
      </c>
      <c r="N3915" t="str">
        <f>"1825        "</f>
        <v xml:space="preserve">1825        </v>
      </c>
      <c r="O3915">
        <v>230825</v>
      </c>
    </row>
    <row r="3916" spans="1:15" x14ac:dyDescent="0.25">
      <c r="A3916" t="s">
        <v>16</v>
      </c>
      <c r="B3916" t="s">
        <v>3221</v>
      </c>
      <c r="C3916">
        <v>12259</v>
      </c>
      <c r="D3916" t="s">
        <v>725</v>
      </c>
      <c r="E3916" t="s">
        <v>726</v>
      </c>
      <c r="F3916">
        <v>194.84</v>
      </c>
      <c r="G3916">
        <v>230914</v>
      </c>
      <c r="H3916">
        <v>4600</v>
      </c>
      <c r="I3916" t="s">
        <v>105</v>
      </c>
      <c r="J3916">
        <v>241.6</v>
      </c>
      <c r="K3916">
        <v>46.76</v>
      </c>
      <c r="L3916">
        <v>46557</v>
      </c>
      <c r="M3916" t="s">
        <v>221</v>
      </c>
      <c r="N3916" t="str">
        <f>"1833        "</f>
        <v xml:space="preserve">1833        </v>
      </c>
      <c r="O3916">
        <v>230918</v>
      </c>
    </row>
    <row r="3917" spans="1:15" x14ac:dyDescent="0.25">
      <c r="A3917" t="s">
        <v>16</v>
      </c>
      <c r="B3917" t="s">
        <v>3221</v>
      </c>
      <c r="C3917">
        <v>12259</v>
      </c>
      <c r="D3917" t="s">
        <v>725</v>
      </c>
      <c r="E3917" t="s">
        <v>726</v>
      </c>
      <c r="F3917">
        <v>529.33000000000004</v>
      </c>
      <c r="G3917">
        <v>230914</v>
      </c>
      <c r="H3917">
        <v>4600</v>
      </c>
      <c r="I3917" t="s">
        <v>105</v>
      </c>
      <c r="J3917">
        <v>656.37</v>
      </c>
      <c r="K3917">
        <v>127.04</v>
      </c>
      <c r="L3917">
        <v>46564</v>
      </c>
      <c r="M3917" t="s">
        <v>727</v>
      </c>
      <c r="N3917" t="str">
        <f>"1833        "</f>
        <v xml:space="preserve">1833        </v>
      </c>
      <c r="O3917">
        <v>230918</v>
      </c>
    </row>
    <row r="3918" spans="1:15" x14ac:dyDescent="0.25">
      <c r="A3918" t="s">
        <v>16</v>
      </c>
      <c r="B3918" t="s">
        <v>3221</v>
      </c>
      <c r="C3918">
        <v>12259</v>
      </c>
      <c r="D3918" t="s">
        <v>725</v>
      </c>
      <c r="E3918" t="s">
        <v>726</v>
      </c>
      <c r="F3918">
        <v>703.18</v>
      </c>
      <c r="G3918">
        <v>230914</v>
      </c>
      <c r="H3918">
        <v>4600</v>
      </c>
      <c r="I3918" t="s">
        <v>105</v>
      </c>
      <c r="J3918">
        <v>871.94</v>
      </c>
      <c r="K3918">
        <v>168.76</v>
      </c>
      <c r="L3918">
        <v>49701</v>
      </c>
      <c r="M3918" t="s">
        <v>166</v>
      </c>
      <c r="N3918" t="str">
        <f>"1833        "</f>
        <v xml:space="preserve">1833        </v>
      </c>
      <c r="O3918">
        <v>230918</v>
      </c>
    </row>
    <row r="3919" spans="1:15" x14ac:dyDescent="0.25">
      <c r="A3919" t="s">
        <v>16</v>
      </c>
      <c r="B3919" t="s">
        <v>3221</v>
      </c>
      <c r="C3919">
        <v>13861</v>
      </c>
      <c r="D3919" t="s">
        <v>725</v>
      </c>
      <c r="E3919" t="s">
        <v>726</v>
      </c>
      <c r="F3919">
        <v>257.73</v>
      </c>
      <c r="G3919">
        <v>231009</v>
      </c>
      <c r="H3919">
        <v>4600</v>
      </c>
      <c r="I3919" t="s">
        <v>105</v>
      </c>
      <c r="J3919">
        <v>319.58999999999997</v>
      </c>
      <c r="K3919">
        <v>61.86</v>
      </c>
      <c r="L3919">
        <v>46557</v>
      </c>
      <c r="M3919" t="s">
        <v>221</v>
      </c>
      <c r="N3919" t="str">
        <f>"1850        "</f>
        <v xml:space="preserve">1850        </v>
      </c>
      <c r="O3919">
        <v>231016</v>
      </c>
    </row>
    <row r="3920" spans="1:15" x14ac:dyDescent="0.25">
      <c r="A3920" t="s">
        <v>16</v>
      </c>
      <c r="B3920" t="s">
        <v>3221</v>
      </c>
      <c r="C3920">
        <v>13861</v>
      </c>
      <c r="D3920" t="s">
        <v>725</v>
      </c>
      <c r="E3920" t="s">
        <v>726</v>
      </c>
      <c r="F3920">
        <v>911.66</v>
      </c>
      <c r="G3920">
        <v>231009</v>
      </c>
      <c r="H3920">
        <v>4600</v>
      </c>
      <c r="I3920" t="s">
        <v>105</v>
      </c>
      <c r="J3920">
        <v>1130.46</v>
      </c>
      <c r="K3920">
        <v>218.8</v>
      </c>
      <c r="L3920">
        <v>46564</v>
      </c>
      <c r="M3920" t="s">
        <v>727</v>
      </c>
      <c r="N3920" t="str">
        <f>"1850        "</f>
        <v xml:space="preserve">1850        </v>
      </c>
      <c r="O3920">
        <v>231016</v>
      </c>
    </row>
    <row r="3921" spans="1:15" x14ac:dyDescent="0.25">
      <c r="A3921" t="s">
        <v>16</v>
      </c>
      <c r="B3921" t="s">
        <v>3221</v>
      </c>
      <c r="C3921">
        <v>14447</v>
      </c>
      <c r="D3921" t="s">
        <v>725</v>
      </c>
      <c r="E3921" t="s">
        <v>726</v>
      </c>
      <c r="F3921">
        <v>249.3</v>
      </c>
      <c r="G3921">
        <v>231025</v>
      </c>
      <c r="H3921">
        <v>4600</v>
      </c>
      <c r="I3921" t="s">
        <v>105</v>
      </c>
      <c r="J3921">
        <v>309.13</v>
      </c>
      <c r="K3921">
        <v>59.83</v>
      </c>
      <c r="L3921">
        <v>46557</v>
      </c>
      <c r="M3921" t="s">
        <v>221</v>
      </c>
      <c r="N3921" t="str">
        <f>"1866        "</f>
        <v xml:space="preserve">1866        </v>
      </c>
      <c r="O3921">
        <v>231030</v>
      </c>
    </row>
    <row r="3922" spans="1:15" x14ac:dyDescent="0.25">
      <c r="A3922" t="s">
        <v>16</v>
      </c>
      <c r="B3922" t="s">
        <v>3221</v>
      </c>
      <c r="C3922">
        <v>14447</v>
      </c>
      <c r="D3922" t="s">
        <v>725</v>
      </c>
      <c r="E3922" t="s">
        <v>726</v>
      </c>
      <c r="F3922">
        <v>834.32</v>
      </c>
      <c r="G3922">
        <v>231025</v>
      </c>
      <c r="H3922">
        <v>4600</v>
      </c>
      <c r="I3922" t="s">
        <v>105</v>
      </c>
      <c r="J3922">
        <v>1034.56</v>
      </c>
      <c r="K3922">
        <v>200.24</v>
      </c>
      <c r="L3922">
        <v>46564</v>
      </c>
      <c r="M3922" t="s">
        <v>727</v>
      </c>
      <c r="N3922" t="str">
        <f>"1866        "</f>
        <v xml:space="preserve">1866        </v>
      </c>
      <c r="O3922">
        <v>231030</v>
      </c>
    </row>
    <row r="3923" spans="1:15" x14ac:dyDescent="0.25">
      <c r="A3923" t="s">
        <v>16</v>
      </c>
      <c r="B3923" t="s">
        <v>3221</v>
      </c>
      <c r="C3923">
        <v>15389</v>
      </c>
      <c r="D3923" t="s">
        <v>725</v>
      </c>
      <c r="E3923" t="s">
        <v>726</v>
      </c>
      <c r="F3923">
        <v>138.31</v>
      </c>
      <c r="G3923">
        <v>231108</v>
      </c>
      <c r="H3923">
        <v>4600</v>
      </c>
      <c r="I3923" t="s">
        <v>105</v>
      </c>
      <c r="J3923">
        <v>171.51</v>
      </c>
      <c r="K3923">
        <v>33.200000000000003</v>
      </c>
      <c r="L3923">
        <v>46557</v>
      </c>
      <c r="M3923" t="s">
        <v>221</v>
      </c>
      <c r="N3923" t="str">
        <f>"1875        "</f>
        <v xml:space="preserve">1875        </v>
      </c>
      <c r="O3923">
        <v>231113</v>
      </c>
    </row>
    <row r="3924" spans="1:15" x14ac:dyDescent="0.25">
      <c r="A3924" t="s">
        <v>16</v>
      </c>
      <c r="B3924" t="s">
        <v>3221</v>
      </c>
      <c r="C3924">
        <v>15389</v>
      </c>
      <c r="D3924" t="s">
        <v>725</v>
      </c>
      <c r="E3924" t="s">
        <v>726</v>
      </c>
      <c r="F3924">
        <v>622.99</v>
      </c>
      <c r="G3924">
        <v>231108</v>
      </c>
      <c r="H3924">
        <v>4600</v>
      </c>
      <c r="I3924" t="s">
        <v>105</v>
      </c>
      <c r="J3924">
        <v>772.51</v>
      </c>
      <c r="K3924">
        <v>149.52000000000001</v>
      </c>
      <c r="L3924">
        <v>46564</v>
      </c>
      <c r="M3924" t="s">
        <v>727</v>
      </c>
      <c r="N3924" t="str">
        <f>"1875        "</f>
        <v xml:space="preserve">1875        </v>
      </c>
      <c r="O3924">
        <v>231113</v>
      </c>
    </row>
    <row r="3925" spans="1:15" x14ac:dyDescent="0.25">
      <c r="A3925" t="s">
        <v>16</v>
      </c>
      <c r="B3925" t="s">
        <v>3221</v>
      </c>
      <c r="C3925">
        <v>15389</v>
      </c>
      <c r="D3925" t="s">
        <v>725</v>
      </c>
      <c r="E3925" t="s">
        <v>726</v>
      </c>
      <c r="F3925">
        <v>203.78</v>
      </c>
      <c r="G3925">
        <v>231108</v>
      </c>
      <c r="H3925">
        <v>4600</v>
      </c>
      <c r="I3925" t="s">
        <v>105</v>
      </c>
      <c r="J3925">
        <v>252.69</v>
      </c>
      <c r="K3925">
        <v>48.91</v>
      </c>
      <c r="L3925">
        <v>49701</v>
      </c>
      <c r="M3925" t="s">
        <v>166</v>
      </c>
      <c r="N3925" t="str">
        <f>"1875        "</f>
        <v xml:space="preserve">1875        </v>
      </c>
      <c r="O3925">
        <v>231113</v>
      </c>
    </row>
    <row r="3926" spans="1:15" x14ac:dyDescent="0.25">
      <c r="A3926" t="s">
        <v>16</v>
      </c>
      <c r="B3926" t="s">
        <v>3221</v>
      </c>
      <c r="C3926">
        <v>16674</v>
      </c>
      <c r="D3926" t="s">
        <v>725</v>
      </c>
      <c r="E3926" t="s">
        <v>726</v>
      </c>
      <c r="F3926">
        <v>26.61</v>
      </c>
      <c r="G3926">
        <v>231130</v>
      </c>
      <c r="H3926">
        <v>4600</v>
      </c>
      <c r="I3926" t="s">
        <v>105</v>
      </c>
      <c r="J3926">
        <v>33</v>
      </c>
      <c r="K3926">
        <v>6.39</v>
      </c>
      <c r="L3926">
        <v>46557</v>
      </c>
      <c r="M3926" t="s">
        <v>221</v>
      </c>
      <c r="N3926" t="str">
        <f>"1891        "</f>
        <v xml:space="preserve">1891        </v>
      </c>
      <c r="O3926">
        <v>231207</v>
      </c>
    </row>
    <row r="3927" spans="1:15" x14ac:dyDescent="0.25">
      <c r="A3927" t="s">
        <v>16</v>
      </c>
      <c r="B3927" t="s">
        <v>3221</v>
      </c>
      <c r="C3927">
        <v>16674</v>
      </c>
      <c r="D3927" t="s">
        <v>725</v>
      </c>
      <c r="E3927" t="s">
        <v>726</v>
      </c>
      <c r="F3927">
        <v>293.64999999999998</v>
      </c>
      <c r="G3927">
        <v>231130</v>
      </c>
      <c r="H3927">
        <v>4600</v>
      </c>
      <c r="I3927" t="s">
        <v>105</v>
      </c>
      <c r="J3927">
        <v>364.12</v>
      </c>
      <c r="K3927">
        <v>70.47</v>
      </c>
      <c r="L3927">
        <v>46564</v>
      </c>
      <c r="M3927" t="s">
        <v>727</v>
      </c>
      <c r="N3927" t="str">
        <f>"1891        "</f>
        <v xml:space="preserve">1891        </v>
      </c>
      <c r="O3927">
        <v>231207</v>
      </c>
    </row>
    <row r="3928" spans="1:15" x14ac:dyDescent="0.25">
      <c r="A3928" t="s">
        <v>16</v>
      </c>
      <c r="B3928" t="s">
        <v>3221</v>
      </c>
      <c r="C3928">
        <v>16674</v>
      </c>
      <c r="D3928" t="s">
        <v>725</v>
      </c>
      <c r="E3928" t="s">
        <v>726</v>
      </c>
      <c r="F3928">
        <v>63.39</v>
      </c>
      <c r="G3928">
        <v>231130</v>
      </c>
      <c r="H3928">
        <v>4600</v>
      </c>
      <c r="I3928" t="s">
        <v>105</v>
      </c>
      <c r="J3928">
        <v>78.599999999999994</v>
      </c>
      <c r="K3928">
        <v>15.21</v>
      </c>
      <c r="L3928">
        <v>49701</v>
      </c>
      <c r="M3928" t="s">
        <v>166</v>
      </c>
      <c r="N3928" t="str">
        <f>"1891        "</f>
        <v xml:space="preserve">1891        </v>
      </c>
      <c r="O3928">
        <v>231207</v>
      </c>
    </row>
    <row r="3929" spans="1:15" x14ac:dyDescent="0.25">
      <c r="A3929" t="s">
        <v>16</v>
      </c>
      <c r="B3929" t="s">
        <v>3221</v>
      </c>
      <c r="C3929">
        <v>18026</v>
      </c>
      <c r="D3929" t="s">
        <v>725</v>
      </c>
      <c r="E3929" t="s">
        <v>726</v>
      </c>
      <c r="F3929">
        <v>1183.9000000000001</v>
      </c>
      <c r="G3929">
        <v>231219</v>
      </c>
      <c r="H3929">
        <v>4600</v>
      </c>
      <c r="I3929" t="s">
        <v>105</v>
      </c>
      <c r="J3929">
        <v>1468.04</v>
      </c>
      <c r="K3929">
        <v>284.14</v>
      </c>
      <c r="L3929">
        <v>46564</v>
      </c>
      <c r="M3929" t="s">
        <v>727</v>
      </c>
      <c r="N3929" t="str">
        <f>"1902        "</f>
        <v xml:space="preserve">1902        </v>
      </c>
      <c r="O3929">
        <v>231229</v>
      </c>
    </row>
    <row r="3930" spans="1:15" x14ac:dyDescent="0.25">
      <c r="A3930" t="s">
        <v>16</v>
      </c>
      <c r="B3930" t="s">
        <v>3221</v>
      </c>
      <c r="C3930">
        <v>801</v>
      </c>
      <c r="D3930" t="s">
        <v>753</v>
      </c>
      <c r="E3930" t="s">
        <v>754</v>
      </c>
      <c r="F3930">
        <v>90.56</v>
      </c>
      <c r="G3930">
        <v>230124</v>
      </c>
      <c r="H3930">
        <v>4534</v>
      </c>
      <c r="I3930" t="s">
        <v>273</v>
      </c>
      <c r="J3930">
        <v>112.3</v>
      </c>
      <c r="K3930">
        <v>21.74</v>
      </c>
      <c r="L3930">
        <v>14321</v>
      </c>
      <c r="M3930" t="s">
        <v>717</v>
      </c>
      <c r="N3930" t="str">
        <f>"233004      "</f>
        <v xml:space="preserve">233004      </v>
      </c>
      <c r="O3930">
        <v>230130</v>
      </c>
    </row>
    <row r="3931" spans="1:15" x14ac:dyDescent="0.25">
      <c r="A3931" t="s">
        <v>16</v>
      </c>
      <c r="B3931" t="s">
        <v>3221</v>
      </c>
      <c r="C3931">
        <v>14352</v>
      </c>
      <c r="D3931" t="s">
        <v>3627</v>
      </c>
      <c r="E3931" t="s">
        <v>3396</v>
      </c>
      <c r="F3931">
        <v>68.55</v>
      </c>
      <c r="G3931">
        <v>231011</v>
      </c>
      <c r="H3931">
        <v>4470</v>
      </c>
      <c r="I3931" t="s">
        <v>83</v>
      </c>
      <c r="J3931">
        <v>85</v>
      </c>
      <c r="K3931">
        <v>16.45</v>
      </c>
      <c r="L3931">
        <v>18972</v>
      </c>
      <c r="M3931" t="s">
        <v>163</v>
      </c>
      <c r="N3931" t="str">
        <f>"6654        "</f>
        <v xml:space="preserve">6654        </v>
      </c>
      <c r="O3931">
        <v>231027</v>
      </c>
    </row>
    <row r="3932" spans="1:15" x14ac:dyDescent="0.25">
      <c r="A3932" t="s">
        <v>16</v>
      </c>
      <c r="B3932" t="s">
        <v>3221</v>
      </c>
      <c r="C3932">
        <v>3527</v>
      </c>
      <c r="D3932" t="s">
        <v>3627</v>
      </c>
      <c r="E3932" t="s">
        <v>3396</v>
      </c>
      <c r="F3932">
        <v>20.16</v>
      </c>
      <c r="G3932">
        <v>230313</v>
      </c>
      <c r="H3932">
        <v>4440</v>
      </c>
      <c r="I3932" t="s">
        <v>250</v>
      </c>
      <c r="J3932">
        <v>25</v>
      </c>
      <c r="K3932">
        <v>4.84</v>
      </c>
      <c r="L3932">
        <v>48601</v>
      </c>
      <c r="M3932" t="s">
        <v>1047</v>
      </c>
      <c r="N3932" t="str">
        <f>"6508        "</f>
        <v xml:space="preserve">6508        </v>
      </c>
      <c r="O3932">
        <v>230316</v>
      </c>
    </row>
    <row r="3933" spans="1:15" x14ac:dyDescent="0.25">
      <c r="A3933" t="s">
        <v>16</v>
      </c>
      <c r="B3933" t="s">
        <v>3221</v>
      </c>
      <c r="C3933">
        <v>7450</v>
      </c>
      <c r="D3933" t="s">
        <v>3627</v>
      </c>
      <c r="E3933" t="s">
        <v>3396</v>
      </c>
      <c r="F3933">
        <v>111.29</v>
      </c>
      <c r="G3933">
        <v>230519</v>
      </c>
      <c r="H3933">
        <v>4440</v>
      </c>
      <c r="I3933" t="s">
        <v>250</v>
      </c>
      <c r="J3933">
        <v>138</v>
      </c>
      <c r="K3933">
        <v>26.71</v>
      </c>
      <c r="L3933">
        <v>11902</v>
      </c>
      <c r="M3933" t="s">
        <v>1443</v>
      </c>
      <c r="N3933" t="str">
        <f>"6542        "</f>
        <v xml:space="preserve">6542        </v>
      </c>
      <c r="O3933">
        <v>230531</v>
      </c>
    </row>
    <row r="3934" spans="1:15" x14ac:dyDescent="0.25">
      <c r="A3934" t="s">
        <v>16</v>
      </c>
      <c r="B3934" t="s">
        <v>3221</v>
      </c>
      <c r="C3934">
        <v>7450</v>
      </c>
      <c r="D3934" t="s">
        <v>3627</v>
      </c>
      <c r="E3934" t="s">
        <v>3396</v>
      </c>
      <c r="F3934">
        <v>167.74</v>
      </c>
      <c r="G3934">
        <v>230519</v>
      </c>
      <c r="H3934">
        <v>4440</v>
      </c>
      <c r="I3934" t="s">
        <v>250</v>
      </c>
      <c r="J3934">
        <v>208</v>
      </c>
      <c r="K3934">
        <v>40.26</v>
      </c>
      <c r="L3934">
        <v>18972</v>
      </c>
      <c r="M3934" t="s">
        <v>163</v>
      </c>
      <c r="N3934" t="str">
        <f>"6542        "</f>
        <v xml:space="preserve">6542        </v>
      </c>
      <c r="O3934">
        <v>230531</v>
      </c>
    </row>
    <row r="3935" spans="1:15" x14ac:dyDescent="0.25">
      <c r="A3935" t="s">
        <v>16</v>
      </c>
      <c r="B3935" t="s">
        <v>3221</v>
      </c>
      <c r="C3935">
        <v>14011</v>
      </c>
      <c r="D3935" t="s">
        <v>3627</v>
      </c>
      <c r="E3935" t="s">
        <v>3396</v>
      </c>
      <c r="F3935">
        <v>33.270000000000003</v>
      </c>
      <c r="G3935">
        <v>231006</v>
      </c>
      <c r="H3935">
        <v>4440</v>
      </c>
      <c r="I3935" t="s">
        <v>250</v>
      </c>
      <c r="J3935">
        <v>41.25</v>
      </c>
      <c r="K3935">
        <v>7.98</v>
      </c>
      <c r="L3935">
        <v>43222</v>
      </c>
      <c r="M3935" t="s">
        <v>507</v>
      </c>
      <c r="N3935" t="str">
        <f>"4883        "</f>
        <v xml:space="preserve">4883        </v>
      </c>
      <c r="O3935">
        <v>231017</v>
      </c>
    </row>
    <row r="3936" spans="1:15" x14ac:dyDescent="0.25">
      <c r="A3936" t="s">
        <v>16</v>
      </c>
      <c r="B3936" t="s">
        <v>3221</v>
      </c>
      <c r="C3936">
        <v>14011</v>
      </c>
      <c r="D3936" t="s">
        <v>3627</v>
      </c>
      <c r="E3936" t="s">
        <v>3396</v>
      </c>
      <c r="F3936">
        <v>33.270000000000003</v>
      </c>
      <c r="G3936">
        <v>231006</v>
      </c>
      <c r="H3936">
        <v>4440</v>
      </c>
      <c r="I3936" t="s">
        <v>250</v>
      </c>
      <c r="J3936">
        <v>41.25</v>
      </c>
      <c r="K3936">
        <v>7.98</v>
      </c>
      <c r="L3936">
        <v>44424</v>
      </c>
      <c r="M3936" t="s">
        <v>776</v>
      </c>
      <c r="N3936" t="str">
        <f>"4883        "</f>
        <v xml:space="preserve">4883        </v>
      </c>
      <c r="O3936">
        <v>231017</v>
      </c>
    </row>
    <row r="3937" spans="1:15" x14ac:dyDescent="0.25">
      <c r="A3937" t="s">
        <v>16</v>
      </c>
      <c r="B3937" t="s">
        <v>3221</v>
      </c>
      <c r="C3937">
        <v>14011</v>
      </c>
      <c r="D3937" t="s">
        <v>3627</v>
      </c>
      <c r="E3937" t="s">
        <v>3396</v>
      </c>
      <c r="F3937">
        <v>33.270000000000003</v>
      </c>
      <c r="G3937">
        <v>231006</v>
      </c>
      <c r="H3937">
        <v>4440</v>
      </c>
      <c r="I3937" t="s">
        <v>250</v>
      </c>
      <c r="J3937">
        <v>41.25</v>
      </c>
      <c r="K3937">
        <v>7.98</v>
      </c>
      <c r="L3937">
        <v>46559</v>
      </c>
      <c r="M3937" t="s">
        <v>1104</v>
      </c>
      <c r="N3937" t="str">
        <f>"4883        "</f>
        <v xml:space="preserve">4883        </v>
      </c>
      <c r="O3937">
        <v>231017</v>
      </c>
    </row>
    <row r="3938" spans="1:15" x14ac:dyDescent="0.25">
      <c r="A3938" t="s">
        <v>16</v>
      </c>
      <c r="B3938" t="s">
        <v>3221</v>
      </c>
      <c r="C3938">
        <v>14011</v>
      </c>
      <c r="D3938" t="s">
        <v>3627</v>
      </c>
      <c r="E3938" t="s">
        <v>3396</v>
      </c>
      <c r="F3938">
        <v>33.270000000000003</v>
      </c>
      <c r="G3938">
        <v>231006</v>
      </c>
      <c r="H3938">
        <v>4440</v>
      </c>
      <c r="I3938" t="s">
        <v>250</v>
      </c>
      <c r="J3938">
        <v>41.25</v>
      </c>
      <c r="K3938">
        <v>7.98</v>
      </c>
      <c r="L3938">
        <v>47522</v>
      </c>
      <c r="M3938" t="s">
        <v>410</v>
      </c>
      <c r="N3938" t="str">
        <f>"4883        "</f>
        <v xml:space="preserve">4883        </v>
      </c>
      <c r="O3938">
        <v>231017</v>
      </c>
    </row>
    <row r="3939" spans="1:15" x14ac:dyDescent="0.25">
      <c r="A3939" t="s">
        <v>16</v>
      </c>
      <c r="B3939" t="s">
        <v>3221</v>
      </c>
      <c r="C3939">
        <v>14800</v>
      </c>
      <c r="D3939" t="s">
        <v>3627</v>
      </c>
      <c r="E3939" t="s">
        <v>3396</v>
      </c>
      <c r="F3939">
        <v>36.29</v>
      </c>
      <c r="G3939">
        <v>231026</v>
      </c>
      <c r="H3939">
        <v>4440</v>
      </c>
      <c r="I3939" t="s">
        <v>250</v>
      </c>
      <c r="J3939">
        <v>45</v>
      </c>
      <c r="K3939">
        <v>8.7100000000000009</v>
      </c>
      <c r="L3939">
        <v>48601</v>
      </c>
      <c r="M3939" t="s">
        <v>1047</v>
      </c>
      <c r="N3939" t="str">
        <f>"4888        "</f>
        <v xml:space="preserve">4888        </v>
      </c>
      <c r="O3939">
        <v>231106</v>
      </c>
    </row>
    <row r="3940" spans="1:15" x14ac:dyDescent="0.25">
      <c r="A3940" t="s">
        <v>16</v>
      </c>
      <c r="B3940" t="s">
        <v>3221</v>
      </c>
      <c r="C3940">
        <v>7450</v>
      </c>
      <c r="D3940" t="s">
        <v>3627</v>
      </c>
      <c r="E3940" t="s">
        <v>3396</v>
      </c>
      <c r="F3940">
        <v>4.03</v>
      </c>
      <c r="G3940">
        <v>230519</v>
      </c>
      <c r="H3940">
        <v>4347</v>
      </c>
      <c r="I3940" t="s">
        <v>193</v>
      </c>
      <c r="J3940">
        <v>5</v>
      </c>
      <c r="K3940">
        <v>0.97</v>
      </c>
      <c r="L3940">
        <v>11902</v>
      </c>
      <c r="M3940" t="s">
        <v>1443</v>
      </c>
      <c r="N3940" t="str">
        <f>"6542        "</f>
        <v xml:space="preserve">6542        </v>
      </c>
      <c r="O3940">
        <v>230531</v>
      </c>
    </row>
    <row r="3941" spans="1:15" x14ac:dyDescent="0.25">
      <c r="A3941" t="s">
        <v>16</v>
      </c>
      <c r="B3941" t="s">
        <v>3221</v>
      </c>
      <c r="C3941">
        <v>17730</v>
      </c>
      <c r="D3941" t="s">
        <v>3095</v>
      </c>
      <c r="E3941" t="s">
        <v>3096</v>
      </c>
      <c r="F3941">
        <v>568.38</v>
      </c>
      <c r="G3941">
        <v>231210</v>
      </c>
      <c r="H3941">
        <v>4400</v>
      </c>
      <c r="I3941" t="s">
        <v>348</v>
      </c>
      <c r="J3941">
        <v>568.38</v>
      </c>
      <c r="K3941">
        <v>0</v>
      </c>
      <c r="L3941">
        <v>14432</v>
      </c>
      <c r="M3941" t="s">
        <v>862</v>
      </c>
      <c r="N3941" t="str">
        <f>"1001001387  "</f>
        <v xml:space="preserve">1001001387  </v>
      </c>
      <c r="O3941">
        <v>231222</v>
      </c>
    </row>
    <row r="3942" spans="1:15" x14ac:dyDescent="0.25">
      <c r="A3942" t="s">
        <v>16</v>
      </c>
      <c r="B3942" t="s">
        <v>3221</v>
      </c>
      <c r="C3942">
        <v>13431</v>
      </c>
      <c r="D3942" t="s">
        <v>2675</v>
      </c>
      <c r="E3942" t="s">
        <v>2676</v>
      </c>
      <c r="F3942">
        <v>1761.1</v>
      </c>
      <c r="G3942">
        <v>231005</v>
      </c>
      <c r="H3942">
        <v>4600</v>
      </c>
      <c r="I3942" t="s">
        <v>105</v>
      </c>
      <c r="J3942">
        <v>2183.7600000000002</v>
      </c>
      <c r="K3942">
        <v>422.66</v>
      </c>
      <c r="L3942">
        <v>17633</v>
      </c>
      <c r="M3942" t="s">
        <v>724</v>
      </c>
      <c r="N3942" t="str">
        <f>"202327231   "</f>
        <v xml:space="preserve">202327231   </v>
      </c>
      <c r="O3942">
        <v>231010</v>
      </c>
    </row>
    <row r="3943" spans="1:15" x14ac:dyDescent="0.25">
      <c r="A3943" t="s">
        <v>16</v>
      </c>
      <c r="B3943" t="s">
        <v>3221</v>
      </c>
      <c r="C3943">
        <v>15967</v>
      </c>
      <c r="D3943" t="s">
        <v>2920</v>
      </c>
      <c r="E3943" t="s">
        <v>2921</v>
      </c>
      <c r="F3943">
        <v>796.4</v>
      </c>
      <c r="G3943">
        <v>231115</v>
      </c>
      <c r="H3943">
        <v>4590</v>
      </c>
      <c r="I3943" t="s">
        <v>203</v>
      </c>
      <c r="J3943">
        <v>987.54</v>
      </c>
      <c r="K3943">
        <v>191.14</v>
      </c>
      <c r="L3943">
        <v>56571</v>
      </c>
      <c r="M3943" t="s">
        <v>204</v>
      </c>
      <c r="N3943" t="str">
        <f>"4638        "</f>
        <v xml:space="preserve">4638        </v>
      </c>
      <c r="O3943">
        <v>231122</v>
      </c>
    </row>
    <row r="3944" spans="1:15" x14ac:dyDescent="0.25">
      <c r="A3944" t="s">
        <v>16</v>
      </c>
      <c r="B3944" t="s">
        <v>3221</v>
      </c>
      <c r="C3944">
        <v>8262</v>
      </c>
      <c r="D3944" t="s">
        <v>1867</v>
      </c>
      <c r="E3944" t="s">
        <v>1868</v>
      </c>
      <c r="F3944">
        <v>1694.35</v>
      </c>
      <c r="G3944">
        <v>230601</v>
      </c>
      <c r="H3944">
        <v>4400</v>
      </c>
      <c r="I3944" t="s">
        <v>348</v>
      </c>
      <c r="J3944">
        <v>2101</v>
      </c>
      <c r="K3944">
        <v>406.65</v>
      </c>
      <c r="L3944">
        <v>17524</v>
      </c>
      <c r="M3944" t="s">
        <v>452</v>
      </c>
      <c r="N3944" t="str">
        <f>"15504       "</f>
        <v xml:space="preserve">15504       </v>
      </c>
      <c r="O3944">
        <v>230608</v>
      </c>
    </row>
    <row r="3945" spans="1:15" x14ac:dyDescent="0.25">
      <c r="A3945" t="s">
        <v>16</v>
      </c>
      <c r="B3945" t="s">
        <v>3221</v>
      </c>
      <c r="C3945">
        <v>5597</v>
      </c>
      <c r="D3945" t="s">
        <v>1867</v>
      </c>
      <c r="E3945" t="s">
        <v>1868</v>
      </c>
      <c r="F3945">
        <v>1311.29</v>
      </c>
      <c r="G3945">
        <v>230417</v>
      </c>
      <c r="H3945">
        <v>4600</v>
      </c>
      <c r="I3945" t="s">
        <v>105</v>
      </c>
      <c r="J3945">
        <v>1626</v>
      </c>
      <c r="K3945">
        <v>314.70999999999998</v>
      </c>
      <c r="L3945">
        <v>17526</v>
      </c>
      <c r="M3945" t="s">
        <v>437</v>
      </c>
      <c r="N3945" t="str">
        <f>"15468       "</f>
        <v xml:space="preserve">15468       </v>
      </c>
      <c r="O3945">
        <v>230428</v>
      </c>
    </row>
    <row r="3946" spans="1:15" x14ac:dyDescent="0.25">
      <c r="A3946" t="s">
        <v>16</v>
      </c>
      <c r="B3946" t="s">
        <v>3221</v>
      </c>
      <c r="C3946">
        <v>8262</v>
      </c>
      <c r="D3946" t="s">
        <v>1867</v>
      </c>
      <c r="E3946" t="s">
        <v>1868</v>
      </c>
      <c r="F3946">
        <v>1695.16</v>
      </c>
      <c r="G3946">
        <v>230601</v>
      </c>
      <c r="H3946">
        <v>4600</v>
      </c>
      <c r="I3946" t="s">
        <v>105</v>
      </c>
      <c r="J3946">
        <v>2102</v>
      </c>
      <c r="K3946">
        <v>406.84</v>
      </c>
      <c r="L3946">
        <v>17524</v>
      </c>
      <c r="M3946" t="s">
        <v>452</v>
      </c>
      <c r="N3946" t="str">
        <f>"15504       "</f>
        <v xml:space="preserve">15504       </v>
      </c>
      <c r="O3946">
        <v>230608</v>
      </c>
    </row>
    <row r="3947" spans="1:15" x14ac:dyDescent="0.25">
      <c r="A3947" t="s">
        <v>16</v>
      </c>
      <c r="B3947" t="s">
        <v>3221</v>
      </c>
      <c r="C3947">
        <v>15653</v>
      </c>
      <c r="D3947" t="s">
        <v>1867</v>
      </c>
      <c r="E3947" t="s">
        <v>1868</v>
      </c>
      <c r="F3947">
        <v>1935.48</v>
      </c>
      <c r="G3947">
        <v>231106</v>
      </c>
      <c r="H3947">
        <v>4600</v>
      </c>
      <c r="I3947" t="s">
        <v>105</v>
      </c>
      <c r="J3947">
        <v>2400</v>
      </c>
      <c r="K3947">
        <v>464.52</v>
      </c>
      <c r="L3947">
        <v>17632</v>
      </c>
      <c r="M3947" t="s">
        <v>495</v>
      </c>
      <c r="N3947" t="str">
        <f>"15638       "</f>
        <v xml:space="preserve">15638       </v>
      </c>
      <c r="O3947">
        <v>231116</v>
      </c>
    </row>
    <row r="3948" spans="1:15" x14ac:dyDescent="0.25">
      <c r="A3948" t="s">
        <v>16</v>
      </c>
      <c r="B3948" t="s">
        <v>3221</v>
      </c>
      <c r="C3948">
        <v>11464</v>
      </c>
      <c r="D3948" t="s">
        <v>2488</v>
      </c>
      <c r="E3948" t="s">
        <v>2489</v>
      </c>
      <c r="F3948">
        <v>57.77</v>
      </c>
      <c r="G3948">
        <v>230901</v>
      </c>
      <c r="H3948">
        <v>4420</v>
      </c>
      <c r="I3948" t="s">
        <v>132</v>
      </c>
      <c r="J3948">
        <v>71.63</v>
      </c>
      <c r="K3948">
        <v>13.86</v>
      </c>
      <c r="L3948">
        <v>11908</v>
      </c>
      <c r="M3948" t="s">
        <v>598</v>
      </c>
      <c r="N3948" t="str">
        <f>"14/040923   "</f>
        <v xml:space="preserve">14/040923   </v>
      </c>
      <c r="O3948">
        <v>230906</v>
      </c>
    </row>
    <row r="3949" spans="1:15" x14ac:dyDescent="0.25">
      <c r="A3949" t="s">
        <v>16</v>
      </c>
      <c r="B3949" t="s">
        <v>3221</v>
      </c>
      <c r="C3949">
        <v>877</v>
      </c>
      <c r="D3949" t="s">
        <v>781</v>
      </c>
      <c r="E3949" t="s">
        <v>421</v>
      </c>
      <c r="F3949">
        <v>3.85</v>
      </c>
      <c r="G3949">
        <v>230116</v>
      </c>
      <c r="H3949">
        <v>4550</v>
      </c>
      <c r="I3949" t="s">
        <v>312</v>
      </c>
      <c r="J3949">
        <v>4.78</v>
      </c>
      <c r="K3949">
        <v>0.93</v>
      </c>
      <c r="L3949">
        <v>13801</v>
      </c>
      <c r="M3949" t="s">
        <v>162</v>
      </c>
      <c r="N3949" t="str">
        <f>"28519067    "</f>
        <v xml:space="preserve">28519067    </v>
      </c>
      <c r="O3949">
        <v>230131</v>
      </c>
    </row>
    <row r="3950" spans="1:15" x14ac:dyDescent="0.25">
      <c r="A3950" t="s">
        <v>16</v>
      </c>
      <c r="B3950" t="s">
        <v>3221</v>
      </c>
      <c r="C3950">
        <v>10502</v>
      </c>
      <c r="D3950" t="s">
        <v>361</v>
      </c>
      <c r="E3950" t="s">
        <v>362</v>
      </c>
      <c r="F3950">
        <v>54.4</v>
      </c>
      <c r="G3950">
        <v>230815</v>
      </c>
      <c r="H3950">
        <v>4532</v>
      </c>
      <c r="I3950" t="s">
        <v>116</v>
      </c>
      <c r="J3950">
        <v>67.45</v>
      </c>
      <c r="K3950">
        <v>13.05</v>
      </c>
      <c r="L3950">
        <v>17711</v>
      </c>
      <c r="M3950" t="s">
        <v>65</v>
      </c>
      <c r="N3950" t="str">
        <f>"13119032    "</f>
        <v xml:space="preserve">13119032    </v>
      </c>
      <c r="O3950">
        <v>230817</v>
      </c>
    </row>
    <row r="3951" spans="1:15" x14ac:dyDescent="0.25">
      <c r="A3951" t="s">
        <v>16</v>
      </c>
      <c r="B3951" t="s">
        <v>3221</v>
      </c>
      <c r="C3951">
        <v>10502</v>
      </c>
      <c r="D3951" t="s">
        <v>361</v>
      </c>
      <c r="E3951" t="s">
        <v>362</v>
      </c>
      <c r="F3951">
        <v>65.28</v>
      </c>
      <c r="G3951">
        <v>230815</v>
      </c>
      <c r="H3951">
        <v>4532</v>
      </c>
      <c r="I3951" t="s">
        <v>116</v>
      </c>
      <c r="J3951">
        <v>80.95</v>
      </c>
      <c r="K3951">
        <v>15.67</v>
      </c>
      <c r="L3951">
        <v>17711</v>
      </c>
      <c r="M3951" t="s">
        <v>65</v>
      </c>
      <c r="N3951" t="str">
        <f>"13119032    "</f>
        <v xml:space="preserve">13119032    </v>
      </c>
      <c r="O3951">
        <v>230817</v>
      </c>
    </row>
    <row r="3952" spans="1:15" x14ac:dyDescent="0.25">
      <c r="A3952" t="s">
        <v>16</v>
      </c>
      <c r="B3952" t="s">
        <v>3221</v>
      </c>
      <c r="C3952">
        <v>14121</v>
      </c>
      <c r="D3952" t="s">
        <v>361</v>
      </c>
      <c r="E3952" t="s">
        <v>362</v>
      </c>
      <c r="F3952">
        <v>278.64</v>
      </c>
      <c r="G3952">
        <v>231013</v>
      </c>
      <c r="H3952">
        <v>4532</v>
      </c>
      <c r="I3952" t="s">
        <v>116</v>
      </c>
      <c r="J3952">
        <v>345.51</v>
      </c>
      <c r="K3952">
        <v>66.87</v>
      </c>
      <c r="L3952">
        <v>17737</v>
      </c>
      <c r="M3952" t="s">
        <v>279</v>
      </c>
      <c r="N3952" t="str">
        <f>"13156659    "</f>
        <v xml:space="preserve">13156659    </v>
      </c>
      <c r="O3952">
        <v>231019</v>
      </c>
    </row>
    <row r="3953" spans="1:15" x14ac:dyDescent="0.25">
      <c r="A3953" t="s">
        <v>16</v>
      </c>
      <c r="B3953" t="s">
        <v>3221</v>
      </c>
      <c r="C3953">
        <v>16638</v>
      </c>
      <c r="D3953" t="s">
        <v>361</v>
      </c>
      <c r="E3953" t="s">
        <v>362</v>
      </c>
      <c r="F3953">
        <v>26.81</v>
      </c>
      <c r="G3953">
        <v>231130</v>
      </c>
      <c r="H3953">
        <v>4532</v>
      </c>
      <c r="I3953" t="s">
        <v>116</v>
      </c>
      <c r="J3953">
        <v>33.24</v>
      </c>
      <c r="K3953">
        <v>6.43</v>
      </c>
      <c r="L3953">
        <v>17951</v>
      </c>
      <c r="M3953" t="s">
        <v>87</v>
      </c>
      <c r="N3953" t="str">
        <f>"13179036    "</f>
        <v xml:space="preserve">13179036    </v>
      </c>
      <c r="O3953">
        <v>231205</v>
      </c>
    </row>
    <row r="3954" spans="1:15" x14ac:dyDescent="0.25">
      <c r="A3954" t="s">
        <v>16</v>
      </c>
      <c r="B3954" t="s">
        <v>3221</v>
      </c>
      <c r="C3954">
        <v>4550</v>
      </c>
      <c r="D3954" t="s">
        <v>361</v>
      </c>
      <c r="E3954" t="s">
        <v>362</v>
      </c>
      <c r="F3954">
        <v>47.14</v>
      </c>
      <c r="G3954">
        <v>230331</v>
      </c>
      <c r="H3954">
        <v>4534</v>
      </c>
      <c r="I3954" t="s">
        <v>273</v>
      </c>
      <c r="J3954">
        <v>58.45</v>
      </c>
      <c r="K3954">
        <v>11.31</v>
      </c>
      <c r="L3954">
        <v>17711</v>
      </c>
      <c r="M3954" t="s">
        <v>65</v>
      </c>
      <c r="N3954" t="str">
        <f>"13030185    "</f>
        <v xml:space="preserve">13030185    </v>
      </c>
      <c r="O3954">
        <v>230406</v>
      </c>
    </row>
    <row r="3955" spans="1:15" x14ac:dyDescent="0.25">
      <c r="A3955" t="s">
        <v>16</v>
      </c>
      <c r="B3955" t="s">
        <v>3221</v>
      </c>
      <c r="C3955">
        <v>10502</v>
      </c>
      <c r="D3955" t="s">
        <v>361</v>
      </c>
      <c r="E3955" t="s">
        <v>362</v>
      </c>
      <c r="F3955">
        <v>26.11</v>
      </c>
      <c r="G3955">
        <v>230815</v>
      </c>
      <c r="H3955">
        <v>4534</v>
      </c>
      <c r="I3955" t="s">
        <v>273</v>
      </c>
      <c r="J3955">
        <v>32.380000000000003</v>
      </c>
      <c r="K3955">
        <v>6.27</v>
      </c>
      <c r="L3955">
        <v>17711</v>
      </c>
      <c r="M3955" t="s">
        <v>65</v>
      </c>
      <c r="N3955" t="str">
        <f>"13119032    "</f>
        <v xml:space="preserve">13119032    </v>
      </c>
      <c r="O3955">
        <v>230817</v>
      </c>
    </row>
    <row r="3956" spans="1:15" x14ac:dyDescent="0.25">
      <c r="A3956" t="s">
        <v>16</v>
      </c>
      <c r="B3956" t="s">
        <v>3221</v>
      </c>
      <c r="C3956">
        <v>1472</v>
      </c>
      <c r="D3956" t="s">
        <v>361</v>
      </c>
      <c r="E3956" t="s">
        <v>362</v>
      </c>
      <c r="F3956">
        <v>128.99</v>
      </c>
      <c r="G3956">
        <v>230131</v>
      </c>
      <c r="H3956">
        <v>4580</v>
      </c>
      <c r="I3956" t="s">
        <v>35</v>
      </c>
      <c r="J3956">
        <v>159.94999999999999</v>
      </c>
      <c r="K3956">
        <v>30.96</v>
      </c>
      <c r="L3956">
        <v>17711</v>
      </c>
      <c r="M3956" t="s">
        <v>65</v>
      </c>
      <c r="N3956" t="str">
        <f>"13007881    "</f>
        <v xml:space="preserve">13007881    </v>
      </c>
      <c r="O3956">
        <v>230209</v>
      </c>
    </row>
    <row r="3957" spans="1:15" x14ac:dyDescent="0.25">
      <c r="A3957" t="s">
        <v>16</v>
      </c>
      <c r="B3957" t="s">
        <v>3221</v>
      </c>
      <c r="C3957">
        <v>2027</v>
      </c>
      <c r="D3957" t="s">
        <v>361</v>
      </c>
      <c r="E3957" t="s">
        <v>362</v>
      </c>
      <c r="F3957">
        <v>118.1</v>
      </c>
      <c r="G3957">
        <v>230215</v>
      </c>
      <c r="H3957">
        <v>4580</v>
      </c>
      <c r="I3957" t="s">
        <v>35</v>
      </c>
      <c r="J3957">
        <v>146.44</v>
      </c>
      <c r="K3957">
        <v>28.34</v>
      </c>
      <c r="L3957">
        <v>17711</v>
      </c>
      <c r="M3957" t="s">
        <v>65</v>
      </c>
      <c r="N3957" t="str">
        <f>"13013292    "</f>
        <v xml:space="preserve">13013292    </v>
      </c>
      <c r="O3957">
        <v>230217</v>
      </c>
    </row>
    <row r="3958" spans="1:15" x14ac:dyDescent="0.25">
      <c r="A3958" t="s">
        <v>16</v>
      </c>
      <c r="B3958" t="s">
        <v>3221</v>
      </c>
      <c r="C3958">
        <v>3826</v>
      </c>
      <c r="D3958" t="s">
        <v>361</v>
      </c>
      <c r="E3958" t="s">
        <v>362</v>
      </c>
      <c r="F3958">
        <v>9.08</v>
      </c>
      <c r="G3958">
        <v>230315</v>
      </c>
      <c r="H3958">
        <v>4580</v>
      </c>
      <c r="I3958" t="s">
        <v>35</v>
      </c>
      <c r="J3958">
        <v>11.26</v>
      </c>
      <c r="K3958">
        <v>2.1800000000000002</v>
      </c>
      <c r="L3958">
        <v>17711</v>
      </c>
      <c r="M3958" t="s">
        <v>65</v>
      </c>
      <c r="N3958" t="str">
        <f>"13023666    "</f>
        <v xml:space="preserve">13023666    </v>
      </c>
      <c r="O3958">
        <v>230323</v>
      </c>
    </row>
    <row r="3959" spans="1:15" x14ac:dyDescent="0.25">
      <c r="A3959" t="s">
        <v>16</v>
      </c>
      <c r="B3959" t="s">
        <v>3221</v>
      </c>
      <c r="C3959">
        <v>8273</v>
      </c>
      <c r="D3959" t="s">
        <v>361</v>
      </c>
      <c r="E3959" t="s">
        <v>362</v>
      </c>
      <c r="F3959">
        <v>44.27</v>
      </c>
      <c r="G3959">
        <v>230531</v>
      </c>
      <c r="H3959">
        <v>4580</v>
      </c>
      <c r="I3959" t="s">
        <v>35</v>
      </c>
      <c r="J3959">
        <v>54.9</v>
      </c>
      <c r="K3959">
        <v>10.63</v>
      </c>
      <c r="L3959">
        <v>17131</v>
      </c>
      <c r="M3959" t="s">
        <v>64</v>
      </c>
      <c r="N3959" t="str">
        <f>"13071713    "</f>
        <v xml:space="preserve">13071713    </v>
      </c>
      <c r="O3959">
        <v>230608</v>
      </c>
    </row>
    <row r="3960" spans="1:15" x14ac:dyDescent="0.25">
      <c r="A3960" t="s">
        <v>16</v>
      </c>
      <c r="B3960" t="s">
        <v>3221</v>
      </c>
      <c r="C3960">
        <v>9222</v>
      </c>
      <c r="D3960" t="s">
        <v>361</v>
      </c>
      <c r="E3960" t="s">
        <v>362</v>
      </c>
      <c r="F3960">
        <v>3777.95</v>
      </c>
      <c r="G3960">
        <v>230629</v>
      </c>
      <c r="H3960">
        <v>4580</v>
      </c>
      <c r="I3960" t="s">
        <v>35</v>
      </c>
      <c r="J3960">
        <v>4684.66</v>
      </c>
      <c r="K3960">
        <v>906.71</v>
      </c>
      <c r="L3960">
        <v>17711</v>
      </c>
      <c r="M3960" t="s">
        <v>65</v>
      </c>
      <c r="N3960" t="str">
        <f>"13092395    "</f>
        <v xml:space="preserve">13092395    </v>
      </c>
      <c r="O3960">
        <v>230630</v>
      </c>
    </row>
    <row r="3961" spans="1:15" x14ac:dyDescent="0.25">
      <c r="A3961" t="s">
        <v>16</v>
      </c>
      <c r="B3961" t="s">
        <v>3221</v>
      </c>
      <c r="C3961">
        <v>9289</v>
      </c>
      <c r="D3961" t="s">
        <v>361</v>
      </c>
      <c r="E3961" t="s">
        <v>362</v>
      </c>
      <c r="F3961">
        <v>25.81</v>
      </c>
      <c r="G3961">
        <v>230630</v>
      </c>
      <c r="H3961">
        <v>4580</v>
      </c>
      <c r="I3961" t="s">
        <v>35</v>
      </c>
      <c r="J3961">
        <v>32</v>
      </c>
      <c r="K3961">
        <v>6.19</v>
      </c>
      <c r="L3961">
        <v>17737</v>
      </c>
      <c r="M3961" t="s">
        <v>279</v>
      </c>
      <c r="N3961" t="str">
        <f>"13094830    "</f>
        <v xml:space="preserve">13094830    </v>
      </c>
      <c r="O3961">
        <v>230704</v>
      </c>
    </row>
    <row r="3962" spans="1:15" x14ac:dyDescent="0.25">
      <c r="A3962" t="s">
        <v>16</v>
      </c>
      <c r="B3962" t="s">
        <v>3221</v>
      </c>
      <c r="C3962">
        <v>9916</v>
      </c>
      <c r="D3962" t="s">
        <v>361</v>
      </c>
      <c r="E3962" t="s">
        <v>362</v>
      </c>
      <c r="F3962">
        <v>766.65</v>
      </c>
      <c r="G3962">
        <v>230731</v>
      </c>
      <c r="H3962">
        <v>4580</v>
      </c>
      <c r="I3962" t="s">
        <v>35</v>
      </c>
      <c r="J3962">
        <v>950.64</v>
      </c>
      <c r="K3962">
        <v>183.99</v>
      </c>
      <c r="L3962">
        <v>67554</v>
      </c>
      <c r="M3962" t="s">
        <v>60</v>
      </c>
      <c r="N3962" t="str">
        <f>"13111094    "</f>
        <v xml:space="preserve">13111094    </v>
      </c>
      <c r="O3962">
        <v>230802</v>
      </c>
    </row>
    <row r="3963" spans="1:15" x14ac:dyDescent="0.25">
      <c r="A3963" t="s">
        <v>16</v>
      </c>
      <c r="B3963" t="s">
        <v>3221</v>
      </c>
      <c r="C3963">
        <v>10529</v>
      </c>
      <c r="D3963" t="s">
        <v>361</v>
      </c>
      <c r="E3963" t="s">
        <v>362</v>
      </c>
      <c r="F3963">
        <v>1048.3900000000001</v>
      </c>
      <c r="G3963">
        <v>230815</v>
      </c>
      <c r="H3963">
        <v>4580</v>
      </c>
      <c r="I3963" t="s">
        <v>35</v>
      </c>
      <c r="J3963">
        <v>1300</v>
      </c>
      <c r="K3963">
        <v>251.61</v>
      </c>
      <c r="L3963">
        <v>17737</v>
      </c>
      <c r="M3963" t="s">
        <v>279</v>
      </c>
      <c r="N3963" t="str">
        <f>"13119031    "</f>
        <v xml:space="preserve">13119031    </v>
      </c>
      <c r="O3963">
        <v>230817</v>
      </c>
    </row>
    <row r="3964" spans="1:15" x14ac:dyDescent="0.25">
      <c r="A3964" t="s">
        <v>16</v>
      </c>
      <c r="B3964" t="s">
        <v>3221</v>
      </c>
      <c r="C3964">
        <v>11823</v>
      </c>
      <c r="D3964" t="s">
        <v>361</v>
      </c>
      <c r="E3964" t="s">
        <v>362</v>
      </c>
      <c r="F3964">
        <v>339.23</v>
      </c>
      <c r="G3964">
        <v>230831</v>
      </c>
      <c r="H3964">
        <v>4580</v>
      </c>
      <c r="I3964" t="s">
        <v>35</v>
      </c>
      <c r="J3964">
        <v>420.64</v>
      </c>
      <c r="K3964">
        <v>81.41</v>
      </c>
      <c r="L3964">
        <v>66722</v>
      </c>
      <c r="M3964" t="s">
        <v>518</v>
      </c>
      <c r="N3964" t="str">
        <f>"13129160    "</f>
        <v xml:space="preserve">13129160    </v>
      </c>
      <c r="O3964">
        <v>230911</v>
      </c>
    </row>
    <row r="3965" spans="1:15" x14ac:dyDescent="0.25">
      <c r="A3965" t="s">
        <v>16</v>
      </c>
      <c r="B3965" t="s">
        <v>3221</v>
      </c>
      <c r="C3965">
        <v>12717</v>
      </c>
      <c r="D3965" t="s">
        <v>361</v>
      </c>
      <c r="E3965" t="s">
        <v>362</v>
      </c>
      <c r="F3965">
        <v>42.18</v>
      </c>
      <c r="G3965">
        <v>230915</v>
      </c>
      <c r="H3965">
        <v>4580</v>
      </c>
      <c r="I3965" t="s">
        <v>35</v>
      </c>
      <c r="J3965">
        <v>52.3</v>
      </c>
      <c r="K3965">
        <v>10.119999999999999</v>
      </c>
      <c r="L3965">
        <v>17711</v>
      </c>
      <c r="M3965" t="s">
        <v>65</v>
      </c>
      <c r="N3965" t="str">
        <f>"13139267    "</f>
        <v xml:space="preserve">13139267    </v>
      </c>
      <c r="O3965">
        <v>230925</v>
      </c>
    </row>
    <row r="3966" spans="1:15" x14ac:dyDescent="0.25">
      <c r="A3966" t="s">
        <v>16</v>
      </c>
      <c r="B3966" t="s">
        <v>3221</v>
      </c>
      <c r="C3966">
        <v>13384</v>
      </c>
      <c r="D3966" t="s">
        <v>361</v>
      </c>
      <c r="E3966" t="s">
        <v>362</v>
      </c>
      <c r="F3966">
        <v>322.01</v>
      </c>
      <c r="G3966">
        <v>230930</v>
      </c>
      <c r="H3966">
        <v>4580</v>
      </c>
      <c r="I3966" t="s">
        <v>35</v>
      </c>
      <c r="J3966">
        <v>399.29</v>
      </c>
      <c r="K3966">
        <v>77.28</v>
      </c>
      <c r="L3966">
        <v>66722</v>
      </c>
      <c r="M3966" t="s">
        <v>518</v>
      </c>
      <c r="N3966" t="str">
        <f>"13149184    "</f>
        <v xml:space="preserve">13149184    </v>
      </c>
      <c r="O3966">
        <v>231009</v>
      </c>
    </row>
    <row r="3967" spans="1:15" x14ac:dyDescent="0.25">
      <c r="A3967" t="s">
        <v>16</v>
      </c>
      <c r="B3967" t="s">
        <v>3221</v>
      </c>
      <c r="C3967">
        <v>13996</v>
      </c>
      <c r="D3967" t="s">
        <v>361</v>
      </c>
      <c r="E3967" t="s">
        <v>362</v>
      </c>
      <c r="F3967">
        <v>458.87</v>
      </c>
      <c r="G3967">
        <v>231013</v>
      </c>
      <c r="H3967">
        <v>4580</v>
      </c>
      <c r="I3967" t="s">
        <v>35</v>
      </c>
      <c r="J3967">
        <v>569</v>
      </c>
      <c r="K3967">
        <v>110.13</v>
      </c>
      <c r="L3967">
        <v>17737</v>
      </c>
      <c r="M3967" t="s">
        <v>279</v>
      </c>
      <c r="N3967" t="str">
        <f>"13156658    "</f>
        <v xml:space="preserve">13156658    </v>
      </c>
      <c r="O3967">
        <v>231017</v>
      </c>
    </row>
    <row r="3968" spans="1:15" x14ac:dyDescent="0.25">
      <c r="A3968" t="s">
        <v>16</v>
      </c>
      <c r="B3968" t="s">
        <v>3221</v>
      </c>
      <c r="C3968">
        <v>15182</v>
      </c>
      <c r="D3968" t="s">
        <v>361</v>
      </c>
      <c r="E3968" t="s">
        <v>362</v>
      </c>
      <c r="F3968">
        <v>750</v>
      </c>
      <c r="G3968">
        <v>231024</v>
      </c>
      <c r="H3968">
        <v>4580</v>
      </c>
      <c r="I3968" t="s">
        <v>35</v>
      </c>
      <c r="J3968">
        <v>930</v>
      </c>
      <c r="K3968">
        <v>180</v>
      </c>
      <c r="L3968">
        <v>13801</v>
      </c>
      <c r="M3968" t="s">
        <v>162</v>
      </c>
      <c r="N3968" t="str">
        <f>"13162002    "</f>
        <v xml:space="preserve">13162002    </v>
      </c>
      <c r="O3968">
        <v>231109</v>
      </c>
    </row>
    <row r="3969" spans="1:15" x14ac:dyDescent="0.25">
      <c r="A3969" t="s">
        <v>16</v>
      </c>
      <c r="B3969" t="s">
        <v>3221</v>
      </c>
      <c r="C3969">
        <v>15974</v>
      </c>
      <c r="D3969" t="s">
        <v>361</v>
      </c>
      <c r="E3969" t="s">
        <v>362</v>
      </c>
      <c r="F3969">
        <v>63.67</v>
      </c>
      <c r="G3969">
        <v>231115</v>
      </c>
      <c r="H3969">
        <v>4580</v>
      </c>
      <c r="I3969" t="s">
        <v>35</v>
      </c>
      <c r="J3969">
        <v>78.95</v>
      </c>
      <c r="K3969">
        <v>15.28</v>
      </c>
      <c r="L3969">
        <v>17951</v>
      </c>
      <c r="M3969" t="s">
        <v>87</v>
      </c>
      <c r="N3969" t="str">
        <f>"13172202    "</f>
        <v xml:space="preserve">13172202    </v>
      </c>
      <c r="O3969">
        <v>231122</v>
      </c>
    </row>
    <row r="3970" spans="1:15" x14ac:dyDescent="0.25">
      <c r="A3970" t="s">
        <v>16</v>
      </c>
      <c r="B3970" t="s">
        <v>3221</v>
      </c>
      <c r="C3970">
        <v>18573</v>
      </c>
      <c r="D3970" t="s">
        <v>361</v>
      </c>
      <c r="E3970" t="s">
        <v>362</v>
      </c>
      <c r="F3970">
        <v>36.22</v>
      </c>
      <c r="G3970">
        <v>231229</v>
      </c>
      <c r="H3970">
        <v>4580</v>
      </c>
      <c r="I3970" t="s">
        <v>35</v>
      </c>
      <c r="J3970">
        <v>44.91</v>
      </c>
      <c r="K3970">
        <v>8.69</v>
      </c>
      <c r="L3970">
        <v>17711</v>
      </c>
      <c r="M3970" t="s">
        <v>65</v>
      </c>
      <c r="N3970" t="str">
        <f>"13190891    "</f>
        <v xml:space="preserve">13190891    </v>
      </c>
      <c r="O3970">
        <v>240104</v>
      </c>
    </row>
    <row r="3971" spans="1:15" x14ac:dyDescent="0.25">
      <c r="A3971" t="s">
        <v>16</v>
      </c>
      <c r="B3971" t="s">
        <v>3221</v>
      </c>
      <c r="C3971">
        <v>2593</v>
      </c>
      <c r="D3971" t="s">
        <v>361</v>
      </c>
      <c r="E3971" t="s">
        <v>362</v>
      </c>
      <c r="F3971">
        <v>136.37</v>
      </c>
      <c r="G3971">
        <v>230228</v>
      </c>
      <c r="H3971">
        <v>4553</v>
      </c>
      <c r="I3971" t="s">
        <v>1385</v>
      </c>
      <c r="J3971">
        <v>169.1</v>
      </c>
      <c r="K3971">
        <v>32.729999999999997</v>
      </c>
      <c r="L3971">
        <v>66754</v>
      </c>
      <c r="M3971" t="s">
        <v>239</v>
      </c>
      <c r="N3971" t="str">
        <f>"13017948    "</f>
        <v xml:space="preserve">13017948    </v>
      </c>
      <c r="O3971">
        <v>230302</v>
      </c>
    </row>
    <row r="3972" spans="1:15" x14ac:dyDescent="0.25">
      <c r="A3972" t="s">
        <v>16</v>
      </c>
      <c r="B3972" t="s">
        <v>3221</v>
      </c>
      <c r="C3972">
        <v>5866</v>
      </c>
      <c r="D3972" t="s">
        <v>361</v>
      </c>
      <c r="E3972" t="s">
        <v>362</v>
      </c>
      <c r="F3972">
        <v>1833.87</v>
      </c>
      <c r="G3972">
        <v>230424</v>
      </c>
      <c r="H3972">
        <v>4553</v>
      </c>
      <c r="I3972" t="s">
        <v>1385</v>
      </c>
      <c r="J3972">
        <v>2274</v>
      </c>
      <c r="K3972">
        <v>440.13</v>
      </c>
      <c r="L3972">
        <v>67554</v>
      </c>
      <c r="M3972" t="s">
        <v>60</v>
      </c>
      <c r="N3972" t="str">
        <f>"13042632    "</f>
        <v xml:space="preserve">13042632    </v>
      </c>
      <c r="O3972">
        <v>230503</v>
      </c>
    </row>
    <row r="3973" spans="1:15" x14ac:dyDescent="0.25">
      <c r="A3973" t="s">
        <v>16</v>
      </c>
      <c r="B3973" t="s">
        <v>3221</v>
      </c>
      <c r="C3973">
        <v>5899</v>
      </c>
      <c r="D3973" t="s">
        <v>361</v>
      </c>
      <c r="E3973" t="s">
        <v>362</v>
      </c>
      <c r="F3973">
        <v>17.809999999999999</v>
      </c>
      <c r="G3973">
        <v>230430</v>
      </c>
      <c r="H3973">
        <v>4553</v>
      </c>
      <c r="I3973" t="s">
        <v>1385</v>
      </c>
      <c r="J3973">
        <v>22.08</v>
      </c>
      <c r="K3973">
        <v>4.2699999999999996</v>
      </c>
      <c r="L3973">
        <v>66754</v>
      </c>
      <c r="M3973" t="s">
        <v>239</v>
      </c>
      <c r="N3973" t="str">
        <f>"13047979    "</f>
        <v xml:space="preserve">13047979    </v>
      </c>
      <c r="O3973">
        <v>230503</v>
      </c>
    </row>
    <row r="3974" spans="1:15" x14ac:dyDescent="0.25">
      <c r="A3974" t="s">
        <v>16</v>
      </c>
      <c r="B3974" t="s">
        <v>3221</v>
      </c>
      <c r="C3974">
        <v>9345</v>
      </c>
      <c r="D3974" t="s">
        <v>361</v>
      </c>
      <c r="E3974" t="s">
        <v>362</v>
      </c>
      <c r="F3974">
        <v>237.42</v>
      </c>
      <c r="G3974">
        <v>230630</v>
      </c>
      <c r="H3974">
        <v>4553</v>
      </c>
      <c r="I3974" t="s">
        <v>1385</v>
      </c>
      <c r="J3974">
        <v>294.39999999999998</v>
      </c>
      <c r="K3974">
        <v>56.98</v>
      </c>
      <c r="L3974">
        <v>67554</v>
      </c>
      <c r="M3974" t="s">
        <v>60</v>
      </c>
      <c r="N3974" t="str">
        <f>"13094831    "</f>
        <v xml:space="preserve">13094831    </v>
      </c>
      <c r="O3974">
        <v>230706</v>
      </c>
    </row>
    <row r="3975" spans="1:15" x14ac:dyDescent="0.25">
      <c r="A3975" t="s">
        <v>16</v>
      </c>
      <c r="B3975" t="s">
        <v>3221</v>
      </c>
      <c r="C3975">
        <v>2593</v>
      </c>
      <c r="D3975" t="s">
        <v>361</v>
      </c>
      <c r="E3975" t="s">
        <v>362</v>
      </c>
      <c r="F3975">
        <v>8.69</v>
      </c>
      <c r="G3975">
        <v>230228</v>
      </c>
      <c r="H3975">
        <v>4557</v>
      </c>
      <c r="I3975" t="s">
        <v>238</v>
      </c>
      <c r="J3975">
        <v>10.77</v>
      </c>
      <c r="K3975">
        <v>2.08</v>
      </c>
      <c r="L3975">
        <v>66754</v>
      </c>
      <c r="M3975" t="s">
        <v>239</v>
      </c>
      <c r="N3975" t="str">
        <f>"13017948    "</f>
        <v xml:space="preserve">13017948    </v>
      </c>
      <c r="O3975">
        <v>230302</v>
      </c>
    </row>
    <row r="3976" spans="1:15" x14ac:dyDescent="0.25">
      <c r="A3976" t="s">
        <v>16</v>
      </c>
      <c r="B3976" t="s">
        <v>3221</v>
      </c>
      <c r="C3976">
        <v>4307</v>
      </c>
      <c r="D3976" t="s">
        <v>361</v>
      </c>
      <c r="E3976" t="s">
        <v>362</v>
      </c>
      <c r="F3976">
        <v>43.17</v>
      </c>
      <c r="G3976">
        <v>230331</v>
      </c>
      <c r="H3976">
        <v>4557</v>
      </c>
      <c r="I3976" t="s">
        <v>238</v>
      </c>
      <c r="J3976">
        <v>53.53</v>
      </c>
      <c r="K3976">
        <v>10.36</v>
      </c>
      <c r="L3976">
        <v>17131</v>
      </c>
      <c r="M3976" t="s">
        <v>64</v>
      </c>
      <c r="N3976" t="str">
        <f>"13030186    "</f>
        <v xml:space="preserve">13030186    </v>
      </c>
      <c r="O3976">
        <v>230404</v>
      </c>
    </row>
    <row r="3977" spans="1:15" x14ac:dyDescent="0.25">
      <c r="A3977" t="s">
        <v>16</v>
      </c>
      <c r="B3977" t="s">
        <v>3221</v>
      </c>
      <c r="C3977">
        <v>5483</v>
      </c>
      <c r="D3977" t="s">
        <v>361</v>
      </c>
      <c r="E3977" t="s">
        <v>362</v>
      </c>
      <c r="F3977">
        <v>43.15</v>
      </c>
      <c r="G3977">
        <v>230414</v>
      </c>
      <c r="H3977">
        <v>4557</v>
      </c>
      <c r="I3977" t="s">
        <v>238</v>
      </c>
      <c r="J3977">
        <v>53.5</v>
      </c>
      <c r="K3977">
        <v>10.35</v>
      </c>
      <c r="L3977">
        <v>17131</v>
      </c>
      <c r="M3977" t="s">
        <v>64</v>
      </c>
      <c r="N3977" t="str">
        <f>"13037067    "</f>
        <v xml:space="preserve">13037067    </v>
      </c>
      <c r="O3977">
        <v>230425</v>
      </c>
    </row>
    <row r="3978" spans="1:15" x14ac:dyDescent="0.25">
      <c r="A3978" t="s">
        <v>16</v>
      </c>
      <c r="B3978" t="s">
        <v>3221</v>
      </c>
      <c r="C3978">
        <v>8273</v>
      </c>
      <c r="D3978" t="s">
        <v>361</v>
      </c>
      <c r="E3978" t="s">
        <v>362</v>
      </c>
      <c r="F3978">
        <v>26.59</v>
      </c>
      <c r="G3978">
        <v>230531</v>
      </c>
      <c r="H3978">
        <v>4557</v>
      </c>
      <c r="I3978" t="s">
        <v>238</v>
      </c>
      <c r="J3978">
        <v>32.97</v>
      </c>
      <c r="K3978">
        <v>6.38</v>
      </c>
      <c r="L3978">
        <v>17131</v>
      </c>
      <c r="M3978" t="s">
        <v>64</v>
      </c>
      <c r="N3978" t="str">
        <f>"13071713    "</f>
        <v xml:space="preserve">13071713    </v>
      </c>
      <c r="O3978">
        <v>230608</v>
      </c>
    </row>
    <row r="3979" spans="1:15" x14ac:dyDescent="0.25">
      <c r="A3979" t="s">
        <v>16</v>
      </c>
      <c r="B3979" t="s">
        <v>3221</v>
      </c>
      <c r="C3979">
        <v>13384</v>
      </c>
      <c r="D3979" t="s">
        <v>361</v>
      </c>
      <c r="E3979" t="s">
        <v>362</v>
      </c>
      <c r="F3979">
        <v>105.37</v>
      </c>
      <c r="G3979">
        <v>230930</v>
      </c>
      <c r="H3979">
        <v>4557</v>
      </c>
      <c r="I3979" t="s">
        <v>238</v>
      </c>
      <c r="J3979">
        <v>130.66</v>
      </c>
      <c r="K3979">
        <v>25.29</v>
      </c>
      <c r="L3979">
        <v>66722</v>
      </c>
      <c r="M3979" t="s">
        <v>518</v>
      </c>
      <c r="N3979" t="str">
        <f>"13149184    "</f>
        <v xml:space="preserve">13149184    </v>
      </c>
      <c r="O3979">
        <v>231009</v>
      </c>
    </row>
    <row r="3980" spans="1:15" x14ac:dyDescent="0.25">
      <c r="A3980" t="s">
        <v>16</v>
      </c>
      <c r="B3980" t="s">
        <v>3221</v>
      </c>
      <c r="C3980">
        <v>14225</v>
      </c>
      <c r="D3980" t="s">
        <v>361</v>
      </c>
      <c r="E3980" t="s">
        <v>362</v>
      </c>
      <c r="F3980">
        <v>17.73</v>
      </c>
      <c r="G3980">
        <v>231013</v>
      </c>
      <c r="H3980">
        <v>4557</v>
      </c>
      <c r="I3980" t="s">
        <v>238</v>
      </c>
      <c r="J3980">
        <v>21.98</v>
      </c>
      <c r="K3980">
        <v>4.25</v>
      </c>
      <c r="L3980">
        <v>17912</v>
      </c>
      <c r="M3980" t="s">
        <v>419</v>
      </c>
      <c r="N3980" t="str">
        <f>"13156657    "</f>
        <v xml:space="preserve">13156657    </v>
      </c>
      <c r="O3980">
        <v>231024</v>
      </c>
    </row>
    <row r="3981" spans="1:15" x14ac:dyDescent="0.25">
      <c r="A3981" t="s">
        <v>16</v>
      </c>
      <c r="B3981" t="s">
        <v>3221</v>
      </c>
      <c r="C3981">
        <v>13101</v>
      </c>
      <c r="D3981" t="s">
        <v>361</v>
      </c>
      <c r="E3981" t="s">
        <v>362</v>
      </c>
      <c r="F3981">
        <v>118400</v>
      </c>
      <c r="G3981">
        <v>230927</v>
      </c>
      <c r="H3981">
        <v>1198</v>
      </c>
      <c r="I3981" t="s">
        <v>1128</v>
      </c>
      <c r="J3981">
        <v>146816</v>
      </c>
      <c r="K3981">
        <v>28416</v>
      </c>
      <c r="L3981">
        <v>97511</v>
      </c>
      <c r="M3981" t="s">
        <v>2522</v>
      </c>
      <c r="N3981" t="str">
        <f>"13146244    "</f>
        <v xml:space="preserve">13146244    </v>
      </c>
      <c r="O3981">
        <v>231003</v>
      </c>
    </row>
    <row r="3982" spans="1:15" x14ac:dyDescent="0.25">
      <c r="A3982" t="s">
        <v>16</v>
      </c>
      <c r="B3982" t="s">
        <v>3221</v>
      </c>
      <c r="C3982">
        <v>9749</v>
      </c>
      <c r="D3982" t="s">
        <v>361</v>
      </c>
      <c r="E3982" t="s">
        <v>362</v>
      </c>
      <c r="F3982">
        <v>15.15</v>
      </c>
      <c r="G3982">
        <v>230714</v>
      </c>
      <c r="H3982">
        <v>4551</v>
      </c>
      <c r="I3982" t="s">
        <v>1020</v>
      </c>
      <c r="J3982">
        <v>18.78</v>
      </c>
      <c r="K3982">
        <v>3.63</v>
      </c>
      <c r="L3982">
        <v>17952</v>
      </c>
      <c r="M3982" t="s">
        <v>88</v>
      </c>
      <c r="N3982" t="str">
        <f>"13103834    "</f>
        <v xml:space="preserve">13103834    </v>
      </c>
      <c r="O3982">
        <v>230724</v>
      </c>
    </row>
    <row r="3983" spans="1:15" x14ac:dyDescent="0.25">
      <c r="A3983" t="s">
        <v>16</v>
      </c>
      <c r="B3983" t="s">
        <v>3221</v>
      </c>
      <c r="C3983">
        <v>16275</v>
      </c>
      <c r="D3983" t="s">
        <v>361</v>
      </c>
      <c r="E3983" t="s">
        <v>362</v>
      </c>
      <c r="F3983">
        <v>2679.19</v>
      </c>
      <c r="G3983">
        <v>231109</v>
      </c>
      <c r="H3983">
        <v>4551</v>
      </c>
      <c r="I3983" t="s">
        <v>1020</v>
      </c>
      <c r="J3983">
        <v>3322.2</v>
      </c>
      <c r="K3983">
        <v>643.01</v>
      </c>
      <c r="L3983">
        <v>67554</v>
      </c>
      <c r="M3983" t="s">
        <v>60</v>
      </c>
      <c r="N3983" t="str">
        <f>"13169954    "</f>
        <v xml:space="preserve">13169954    </v>
      </c>
      <c r="O3983">
        <v>231127</v>
      </c>
    </row>
    <row r="3984" spans="1:15" x14ac:dyDescent="0.25">
      <c r="A3984" t="s">
        <v>16</v>
      </c>
      <c r="B3984" t="s">
        <v>3221</v>
      </c>
      <c r="C3984">
        <v>323</v>
      </c>
      <c r="D3984" t="s">
        <v>361</v>
      </c>
      <c r="E3984" t="s">
        <v>362</v>
      </c>
      <c r="F3984">
        <v>1560.89</v>
      </c>
      <c r="G3984">
        <v>230112</v>
      </c>
      <c r="H3984">
        <v>4571</v>
      </c>
      <c r="I3984" t="s">
        <v>181</v>
      </c>
      <c r="J3984">
        <v>1935.5</v>
      </c>
      <c r="K3984">
        <v>374.61</v>
      </c>
      <c r="L3984">
        <v>69501</v>
      </c>
      <c r="M3984" t="s">
        <v>185</v>
      </c>
      <c r="N3984" t="str">
        <f>"13001737    "</f>
        <v xml:space="preserve">13001737    </v>
      </c>
      <c r="O3984">
        <v>230118</v>
      </c>
    </row>
    <row r="3985" spans="1:15" x14ac:dyDescent="0.25">
      <c r="A3985" t="s">
        <v>16</v>
      </c>
      <c r="B3985" t="s">
        <v>3221</v>
      </c>
      <c r="C3985">
        <v>2564</v>
      </c>
      <c r="D3985" t="s">
        <v>361</v>
      </c>
      <c r="E3985" t="s">
        <v>362</v>
      </c>
      <c r="F3985">
        <v>1369.19</v>
      </c>
      <c r="G3985">
        <v>230224</v>
      </c>
      <c r="H3985">
        <v>4571</v>
      </c>
      <c r="I3985" t="s">
        <v>181</v>
      </c>
      <c r="J3985">
        <v>1697.8</v>
      </c>
      <c r="K3985">
        <v>328.61</v>
      </c>
      <c r="L3985">
        <v>69501</v>
      </c>
      <c r="M3985" t="s">
        <v>185</v>
      </c>
      <c r="N3985" t="str">
        <f>"13016780    "</f>
        <v xml:space="preserve">13016780    </v>
      </c>
      <c r="O3985">
        <v>230302</v>
      </c>
    </row>
    <row r="3986" spans="1:15" x14ac:dyDescent="0.25">
      <c r="A3986" t="s">
        <v>16</v>
      </c>
      <c r="B3986" t="s">
        <v>3221</v>
      </c>
      <c r="C3986">
        <v>4750</v>
      </c>
      <c r="D3986" t="s">
        <v>361</v>
      </c>
      <c r="E3986" t="s">
        <v>362</v>
      </c>
      <c r="F3986">
        <v>990.63</v>
      </c>
      <c r="G3986">
        <v>230403</v>
      </c>
      <c r="H3986">
        <v>4571</v>
      </c>
      <c r="I3986" t="s">
        <v>181</v>
      </c>
      <c r="J3986">
        <v>1228.3800000000001</v>
      </c>
      <c r="K3986">
        <v>237.75</v>
      </c>
      <c r="L3986">
        <v>69501</v>
      </c>
      <c r="M3986" t="s">
        <v>185</v>
      </c>
      <c r="N3986" t="str">
        <f>"13032218    "</f>
        <v xml:space="preserve">13032218    </v>
      </c>
      <c r="O3986">
        <v>230412</v>
      </c>
    </row>
    <row r="3987" spans="1:15" x14ac:dyDescent="0.25">
      <c r="A3987" t="s">
        <v>16</v>
      </c>
      <c r="B3987" t="s">
        <v>3221</v>
      </c>
      <c r="C3987">
        <v>15041</v>
      </c>
      <c r="D3987" t="s">
        <v>361</v>
      </c>
      <c r="E3987" t="s">
        <v>362</v>
      </c>
      <c r="F3987">
        <v>1230.55</v>
      </c>
      <c r="G3987">
        <v>231103</v>
      </c>
      <c r="H3987">
        <v>4571</v>
      </c>
      <c r="I3987" t="s">
        <v>181</v>
      </c>
      <c r="J3987">
        <v>1525.88</v>
      </c>
      <c r="K3987">
        <v>295.33</v>
      </c>
      <c r="L3987">
        <v>69501</v>
      </c>
      <c r="M3987" t="s">
        <v>185</v>
      </c>
      <c r="N3987" t="str">
        <f>"13168369    "</f>
        <v xml:space="preserve">13168369    </v>
      </c>
      <c r="O3987">
        <v>231108</v>
      </c>
    </row>
    <row r="3988" spans="1:15" x14ac:dyDescent="0.25">
      <c r="A3988" t="s">
        <v>16</v>
      </c>
      <c r="B3988" t="s">
        <v>3221</v>
      </c>
      <c r="C3988">
        <v>17526</v>
      </c>
      <c r="D3988" t="s">
        <v>361</v>
      </c>
      <c r="E3988" t="s">
        <v>362</v>
      </c>
      <c r="F3988">
        <v>1145.1600000000001</v>
      </c>
      <c r="G3988">
        <v>231211</v>
      </c>
      <c r="H3988">
        <v>4571</v>
      </c>
      <c r="I3988" t="s">
        <v>181</v>
      </c>
      <c r="J3988">
        <v>1420</v>
      </c>
      <c r="K3988">
        <v>274.83999999999997</v>
      </c>
      <c r="L3988">
        <v>69501</v>
      </c>
      <c r="M3988" t="s">
        <v>185</v>
      </c>
      <c r="N3988" t="str">
        <f>"13183083    "</f>
        <v xml:space="preserve">13183083    </v>
      </c>
      <c r="O3988">
        <v>231215</v>
      </c>
    </row>
    <row r="3989" spans="1:15" x14ac:dyDescent="0.25">
      <c r="A3989" t="s">
        <v>16</v>
      </c>
      <c r="B3989" t="s">
        <v>3221</v>
      </c>
      <c r="C3989">
        <v>238</v>
      </c>
      <c r="D3989" t="s">
        <v>361</v>
      </c>
      <c r="E3989" t="s">
        <v>362</v>
      </c>
      <c r="F3989">
        <v>66.61</v>
      </c>
      <c r="G3989">
        <v>230113</v>
      </c>
      <c r="H3989">
        <v>4600</v>
      </c>
      <c r="I3989" t="s">
        <v>105</v>
      </c>
      <c r="J3989">
        <v>82.6</v>
      </c>
      <c r="K3989">
        <v>15.99</v>
      </c>
      <c r="L3989">
        <v>17711</v>
      </c>
      <c r="M3989" t="s">
        <v>65</v>
      </c>
      <c r="N3989" t="str">
        <f>"13002531    "</f>
        <v xml:space="preserve">13002531    </v>
      </c>
      <c r="O3989">
        <v>230116</v>
      </c>
    </row>
    <row r="3990" spans="1:15" x14ac:dyDescent="0.25">
      <c r="A3990" t="s">
        <v>16</v>
      </c>
      <c r="B3990" t="s">
        <v>3221</v>
      </c>
      <c r="C3990">
        <v>238</v>
      </c>
      <c r="D3990" t="s">
        <v>361</v>
      </c>
      <c r="E3990" t="s">
        <v>362</v>
      </c>
      <c r="F3990">
        <v>12.82</v>
      </c>
      <c r="G3990">
        <v>230113</v>
      </c>
      <c r="H3990">
        <v>4600</v>
      </c>
      <c r="I3990" t="s">
        <v>105</v>
      </c>
      <c r="J3990">
        <v>15.9</v>
      </c>
      <c r="K3990">
        <v>3.08</v>
      </c>
      <c r="L3990">
        <v>17737</v>
      </c>
      <c r="M3990" t="s">
        <v>279</v>
      </c>
      <c r="N3990" t="str">
        <f>"13002531    "</f>
        <v xml:space="preserve">13002531    </v>
      </c>
      <c r="O3990">
        <v>230116</v>
      </c>
    </row>
    <row r="3991" spans="1:15" x14ac:dyDescent="0.25">
      <c r="A3991" t="s">
        <v>16</v>
      </c>
      <c r="B3991" t="s">
        <v>3221</v>
      </c>
      <c r="C3991">
        <v>852</v>
      </c>
      <c r="D3991" t="s">
        <v>361</v>
      </c>
      <c r="E3991" t="s">
        <v>362</v>
      </c>
      <c r="F3991">
        <v>180</v>
      </c>
      <c r="G3991">
        <v>230118</v>
      </c>
      <c r="H3991">
        <v>4600</v>
      </c>
      <c r="I3991" t="s">
        <v>105</v>
      </c>
      <c r="J3991">
        <v>223.2</v>
      </c>
      <c r="K3991">
        <v>43.2</v>
      </c>
      <c r="L3991">
        <v>17711</v>
      </c>
      <c r="M3991" t="s">
        <v>65</v>
      </c>
      <c r="N3991" t="str">
        <f>"13004447    "</f>
        <v xml:space="preserve">13004447    </v>
      </c>
      <c r="O3991">
        <v>230131</v>
      </c>
    </row>
    <row r="3992" spans="1:15" x14ac:dyDescent="0.25">
      <c r="A3992" t="s">
        <v>16</v>
      </c>
      <c r="B3992" t="s">
        <v>3221</v>
      </c>
      <c r="C3992">
        <v>2159</v>
      </c>
      <c r="D3992" t="s">
        <v>361</v>
      </c>
      <c r="E3992" t="s">
        <v>362</v>
      </c>
      <c r="F3992">
        <v>68.27</v>
      </c>
      <c r="G3992">
        <v>230215</v>
      </c>
      <c r="H3992">
        <v>4600</v>
      </c>
      <c r="I3992" t="s">
        <v>105</v>
      </c>
      <c r="J3992">
        <v>84.65</v>
      </c>
      <c r="K3992">
        <v>16.38</v>
      </c>
      <c r="L3992">
        <v>17711</v>
      </c>
      <c r="M3992" t="s">
        <v>65</v>
      </c>
      <c r="N3992" t="str">
        <f>"13013293    "</f>
        <v xml:space="preserve">13013293    </v>
      </c>
      <c r="O3992">
        <v>230221</v>
      </c>
    </row>
    <row r="3993" spans="1:15" x14ac:dyDescent="0.25">
      <c r="A3993" t="s">
        <v>16</v>
      </c>
      <c r="B3993" t="s">
        <v>3221</v>
      </c>
      <c r="C3993">
        <v>2593</v>
      </c>
      <c r="D3993" t="s">
        <v>361</v>
      </c>
      <c r="E3993" t="s">
        <v>362</v>
      </c>
      <c r="F3993">
        <v>112.49</v>
      </c>
      <c r="G3993">
        <v>230228</v>
      </c>
      <c r="H3993">
        <v>4600</v>
      </c>
      <c r="I3993" t="s">
        <v>105</v>
      </c>
      <c r="J3993">
        <v>139.49</v>
      </c>
      <c r="K3993">
        <v>27</v>
      </c>
      <c r="L3993">
        <v>67522</v>
      </c>
      <c r="M3993" t="s">
        <v>397</v>
      </c>
      <c r="N3993" t="str">
        <f>"13017948    "</f>
        <v xml:space="preserve">13017948    </v>
      </c>
      <c r="O3993">
        <v>230302</v>
      </c>
    </row>
    <row r="3994" spans="1:15" x14ac:dyDescent="0.25">
      <c r="A3994" t="s">
        <v>16</v>
      </c>
      <c r="B3994" t="s">
        <v>3221</v>
      </c>
      <c r="C3994">
        <v>2593</v>
      </c>
      <c r="D3994" t="s">
        <v>361</v>
      </c>
      <c r="E3994" t="s">
        <v>362</v>
      </c>
      <c r="F3994">
        <v>15.97</v>
      </c>
      <c r="G3994">
        <v>230228</v>
      </c>
      <c r="H3994">
        <v>4600</v>
      </c>
      <c r="I3994" t="s">
        <v>105</v>
      </c>
      <c r="J3994">
        <v>19.8</v>
      </c>
      <c r="K3994">
        <v>3.83</v>
      </c>
      <c r="L3994">
        <v>67554</v>
      </c>
      <c r="M3994" t="s">
        <v>60</v>
      </c>
      <c r="N3994" t="str">
        <f>"13017948    "</f>
        <v xml:space="preserve">13017948    </v>
      </c>
      <c r="O3994">
        <v>230302</v>
      </c>
    </row>
    <row r="3995" spans="1:15" x14ac:dyDescent="0.25">
      <c r="A3995" t="s">
        <v>16</v>
      </c>
      <c r="B3995" t="s">
        <v>3221</v>
      </c>
      <c r="C3995">
        <v>4310</v>
      </c>
      <c r="D3995" t="s">
        <v>361</v>
      </c>
      <c r="E3995" t="s">
        <v>362</v>
      </c>
      <c r="F3995">
        <v>29.83</v>
      </c>
      <c r="G3995">
        <v>230331</v>
      </c>
      <c r="H3995">
        <v>4600</v>
      </c>
      <c r="I3995" t="s">
        <v>105</v>
      </c>
      <c r="J3995">
        <v>36.99</v>
      </c>
      <c r="K3995">
        <v>7.16</v>
      </c>
      <c r="L3995">
        <v>17711</v>
      </c>
      <c r="M3995" t="s">
        <v>65</v>
      </c>
      <c r="N3995" t="str">
        <f>"13030188    "</f>
        <v xml:space="preserve">13030188    </v>
      </c>
      <c r="O3995">
        <v>230404</v>
      </c>
    </row>
    <row r="3996" spans="1:15" x14ac:dyDescent="0.25">
      <c r="A3996" t="s">
        <v>16</v>
      </c>
      <c r="B3996" t="s">
        <v>3221</v>
      </c>
      <c r="C3996">
        <v>4318</v>
      </c>
      <c r="D3996" t="s">
        <v>361</v>
      </c>
      <c r="E3996" t="s">
        <v>362</v>
      </c>
      <c r="F3996">
        <v>33.06</v>
      </c>
      <c r="G3996">
        <v>230331</v>
      </c>
      <c r="H3996">
        <v>4600</v>
      </c>
      <c r="I3996" t="s">
        <v>105</v>
      </c>
      <c r="J3996">
        <v>41</v>
      </c>
      <c r="K3996">
        <v>7.94</v>
      </c>
      <c r="L3996">
        <v>17711</v>
      </c>
      <c r="M3996" t="s">
        <v>65</v>
      </c>
      <c r="N3996" t="str">
        <f>"13030187    "</f>
        <v xml:space="preserve">13030187    </v>
      </c>
      <c r="O3996">
        <v>230404</v>
      </c>
    </row>
    <row r="3997" spans="1:15" x14ac:dyDescent="0.25">
      <c r="A3997" t="s">
        <v>16</v>
      </c>
      <c r="B3997" t="s">
        <v>3221</v>
      </c>
      <c r="C3997">
        <v>5899</v>
      </c>
      <c r="D3997" t="s">
        <v>361</v>
      </c>
      <c r="E3997" t="s">
        <v>362</v>
      </c>
      <c r="F3997">
        <v>72.989999999999995</v>
      </c>
      <c r="G3997">
        <v>230430</v>
      </c>
      <c r="H3997">
        <v>4600</v>
      </c>
      <c r="I3997" t="s">
        <v>105</v>
      </c>
      <c r="J3997">
        <v>90.51</v>
      </c>
      <c r="K3997">
        <v>17.52</v>
      </c>
      <c r="L3997">
        <v>67554</v>
      </c>
      <c r="M3997" t="s">
        <v>60</v>
      </c>
      <c r="N3997" t="str">
        <f>"13047979    "</f>
        <v xml:space="preserve">13047979    </v>
      </c>
      <c r="O3997">
        <v>230503</v>
      </c>
    </row>
    <row r="3998" spans="1:15" x14ac:dyDescent="0.25">
      <c r="A3998" t="s">
        <v>16</v>
      </c>
      <c r="B3998" t="s">
        <v>3221</v>
      </c>
      <c r="C3998">
        <v>5964</v>
      </c>
      <c r="D3998" t="s">
        <v>361</v>
      </c>
      <c r="E3998" t="s">
        <v>362</v>
      </c>
      <c r="F3998">
        <v>14.9</v>
      </c>
      <c r="G3998">
        <v>230428</v>
      </c>
      <c r="H3998">
        <v>4600</v>
      </c>
      <c r="I3998" t="s">
        <v>105</v>
      </c>
      <c r="J3998">
        <v>18.47</v>
      </c>
      <c r="K3998">
        <v>3.57</v>
      </c>
      <c r="L3998">
        <v>17737</v>
      </c>
      <c r="M3998" t="s">
        <v>279</v>
      </c>
      <c r="N3998" t="str">
        <f>"13045939    "</f>
        <v xml:space="preserve">13045939    </v>
      </c>
      <c r="O3998">
        <v>230504</v>
      </c>
    </row>
    <row r="3999" spans="1:15" x14ac:dyDescent="0.25">
      <c r="A3999" t="s">
        <v>16</v>
      </c>
      <c r="B3999" t="s">
        <v>3221</v>
      </c>
      <c r="C3999">
        <v>6809</v>
      </c>
      <c r="D3999" t="s">
        <v>361</v>
      </c>
      <c r="E3999" t="s">
        <v>362</v>
      </c>
      <c r="F3999">
        <v>37.85</v>
      </c>
      <c r="G3999">
        <v>230515</v>
      </c>
      <c r="H3999">
        <v>4600</v>
      </c>
      <c r="I3999" t="s">
        <v>105</v>
      </c>
      <c r="J3999">
        <v>46.94</v>
      </c>
      <c r="K3999">
        <v>9.09</v>
      </c>
      <c r="L3999">
        <v>67554</v>
      </c>
      <c r="M3999" t="s">
        <v>60</v>
      </c>
      <c r="N3999" t="str">
        <f>"13058720    "</f>
        <v xml:space="preserve">13058720    </v>
      </c>
      <c r="O3999">
        <v>230522</v>
      </c>
    </row>
    <row r="4000" spans="1:15" x14ac:dyDescent="0.25">
      <c r="A4000" t="s">
        <v>16</v>
      </c>
      <c r="B4000" t="s">
        <v>3221</v>
      </c>
      <c r="C4000">
        <v>6809</v>
      </c>
      <c r="D4000" t="s">
        <v>361</v>
      </c>
      <c r="E4000" t="s">
        <v>362</v>
      </c>
      <c r="F4000">
        <v>23.95</v>
      </c>
      <c r="G4000">
        <v>230515</v>
      </c>
      <c r="H4000">
        <v>4600</v>
      </c>
      <c r="I4000" t="s">
        <v>105</v>
      </c>
      <c r="J4000">
        <v>29.7</v>
      </c>
      <c r="K4000">
        <v>5.75</v>
      </c>
      <c r="L4000">
        <v>67554</v>
      </c>
      <c r="M4000" t="s">
        <v>60</v>
      </c>
      <c r="N4000" t="str">
        <f>"13058720    "</f>
        <v xml:space="preserve">13058720    </v>
      </c>
      <c r="O4000">
        <v>230522</v>
      </c>
    </row>
    <row r="4001" spans="1:15" x14ac:dyDescent="0.25">
      <c r="A4001" t="s">
        <v>16</v>
      </c>
      <c r="B4001" t="s">
        <v>3221</v>
      </c>
      <c r="C4001">
        <v>6809</v>
      </c>
      <c r="D4001" t="s">
        <v>361</v>
      </c>
      <c r="E4001" t="s">
        <v>362</v>
      </c>
      <c r="F4001">
        <v>45.09</v>
      </c>
      <c r="G4001">
        <v>230515</v>
      </c>
      <c r="H4001">
        <v>4600</v>
      </c>
      <c r="I4001" t="s">
        <v>105</v>
      </c>
      <c r="J4001">
        <v>55.91</v>
      </c>
      <c r="K4001">
        <v>10.82</v>
      </c>
      <c r="L4001">
        <v>67554</v>
      </c>
      <c r="M4001" t="s">
        <v>60</v>
      </c>
      <c r="N4001" t="str">
        <f>"13058720    "</f>
        <v xml:space="preserve">13058720    </v>
      </c>
      <c r="O4001">
        <v>230522</v>
      </c>
    </row>
    <row r="4002" spans="1:15" x14ac:dyDescent="0.25">
      <c r="A4002" t="s">
        <v>16</v>
      </c>
      <c r="B4002" t="s">
        <v>3221</v>
      </c>
      <c r="C4002">
        <v>7419</v>
      </c>
      <c r="D4002" t="s">
        <v>361</v>
      </c>
      <c r="E4002" t="s">
        <v>362</v>
      </c>
      <c r="F4002">
        <v>168.13</v>
      </c>
      <c r="G4002">
        <v>230515</v>
      </c>
      <c r="H4002">
        <v>4600</v>
      </c>
      <c r="I4002" t="s">
        <v>105</v>
      </c>
      <c r="J4002">
        <v>208.48</v>
      </c>
      <c r="K4002">
        <v>40.35</v>
      </c>
      <c r="L4002">
        <v>17711</v>
      </c>
      <c r="M4002" t="s">
        <v>65</v>
      </c>
      <c r="N4002" t="str">
        <f>"13058719    "</f>
        <v xml:space="preserve">13058719    </v>
      </c>
      <c r="O4002">
        <v>230530</v>
      </c>
    </row>
    <row r="4003" spans="1:15" x14ac:dyDescent="0.25">
      <c r="A4003" t="s">
        <v>16</v>
      </c>
      <c r="B4003" t="s">
        <v>3221</v>
      </c>
      <c r="C4003">
        <v>7615</v>
      </c>
      <c r="D4003" t="s">
        <v>361</v>
      </c>
      <c r="E4003" t="s">
        <v>362</v>
      </c>
      <c r="F4003">
        <v>63.35</v>
      </c>
      <c r="G4003">
        <v>230531</v>
      </c>
      <c r="H4003">
        <v>4600</v>
      </c>
      <c r="I4003" t="s">
        <v>105</v>
      </c>
      <c r="J4003">
        <v>78.55</v>
      </c>
      <c r="K4003">
        <v>15.2</v>
      </c>
      <c r="L4003">
        <v>17951</v>
      </c>
      <c r="M4003" t="s">
        <v>87</v>
      </c>
      <c r="N4003" t="str">
        <f>"13071710    "</f>
        <v xml:space="preserve">13071710    </v>
      </c>
      <c r="O4003">
        <v>230601</v>
      </c>
    </row>
    <row r="4004" spans="1:15" x14ac:dyDescent="0.25">
      <c r="A4004" t="s">
        <v>16</v>
      </c>
      <c r="B4004" t="s">
        <v>3221</v>
      </c>
      <c r="C4004">
        <v>7730</v>
      </c>
      <c r="D4004" t="s">
        <v>361</v>
      </c>
      <c r="E4004" t="s">
        <v>362</v>
      </c>
      <c r="F4004">
        <v>268.45</v>
      </c>
      <c r="G4004">
        <v>230531</v>
      </c>
      <c r="H4004">
        <v>4600</v>
      </c>
      <c r="I4004" t="s">
        <v>105</v>
      </c>
      <c r="J4004">
        <v>332.88</v>
      </c>
      <c r="K4004">
        <v>64.430000000000007</v>
      </c>
      <c r="L4004">
        <v>67554</v>
      </c>
      <c r="M4004" t="s">
        <v>60</v>
      </c>
      <c r="N4004" t="str">
        <f>"13071715    "</f>
        <v xml:space="preserve">13071715    </v>
      </c>
      <c r="O4004">
        <v>230602</v>
      </c>
    </row>
    <row r="4005" spans="1:15" x14ac:dyDescent="0.25">
      <c r="A4005" t="s">
        <v>16</v>
      </c>
      <c r="B4005" t="s">
        <v>3221</v>
      </c>
      <c r="C4005">
        <v>7743</v>
      </c>
      <c r="D4005" t="s">
        <v>361</v>
      </c>
      <c r="E4005" t="s">
        <v>362</v>
      </c>
      <c r="F4005">
        <v>48.06</v>
      </c>
      <c r="G4005">
        <v>230531</v>
      </c>
      <c r="H4005">
        <v>4600</v>
      </c>
      <c r="I4005" t="s">
        <v>105</v>
      </c>
      <c r="J4005">
        <v>59.59</v>
      </c>
      <c r="K4005">
        <v>11.53</v>
      </c>
      <c r="L4005">
        <v>17912</v>
      </c>
      <c r="M4005" t="s">
        <v>419</v>
      </c>
      <c r="N4005" t="str">
        <f>"13071712    "</f>
        <v xml:space="preserve">13071712    </v>
      </c>
      <c r="O4005">
        <v>230602</v>
      </c>
    </row>
    <row r="4006" spans="1:15" x14ac:dyDescent="0.25">
      <c r="A4006" t="s">
        <v>16</v>
      </c>
      <c r="B4006" t="s">
        <v>3221</v>
      </c>
      <c r="C4006">
        <v>7744</v>
      </c>
      <c r="D4006" t="s">
        <v>361</v>
      </c>
      <c r="E4006" t="s">
        <v>362</v>
      </c>
      <c r="F4006">
        <v>36.69</v>
      </c>
      <c r="G4006">
        <v>230531</v>
      </c>
      <c r="H4006">
        <v>4600</v>
      </c>
      <c r="I4006" t="s">
        <v>105</v>
      </c>
      <c r="J4006">
        <v>45.5</v>
      </c>
      <c r="K4006">
        <v>8.81</v>
      </c>
      <c r="L4006">
        <v>17527</v>
      </c>
      <c r="M4006" t="s">
        <v>422</v>
      </c>
      <c r="N4006" t="str">
        <f>"13071709    "</f>
        <v xml:space="preserve">13071709    </v>
      </c>
      <c r="O4006">
        <v>230602</v>
      </c>
    </row>
    <row r="4007" spans="1:15" x14ac:dyDescent="0.25">
      <c r="A4007" t="s">
        <v>16</v>
      </c>
      <c r="B4007" t="s">
        <v>3221</v>
      </c>
      <c r="C4007">
        <v>7949</v>
      </c>
      <c r="D4007" t="s">
        <v>361</v>
      </c>
      <c r="E4007" t="s">
        <v>362</v>
      </c>
      <c r="F4007">
        <v>35.29</v>
      </c>
      <c r="G4007">
        <v>230531</v>
      </c>
      <c r="H4007">
        <v>4600</v>
      </c>
      <c r="I4007" t="s">
        <v>105</v>
      </c>
      <c r="J4007">
        <v>43.76</v>
      </c>
      <c r="K4007">
        <v>8.4700000000000006</v>
      </c>
      <c r="L4007">
        <v>17711</v>
      </c>
      <c r="M4007" t="s">
        <v>65</v>
      </c>
      <c r="N4007" t="str">
        <f>"13071714    "</f>
        <v xml:space="preserve">13071714    </v>
      </c>
      <c r="O4007">
        <v>230606</v>
      </c>
    </row>
    <row r="4008" spans="1:15" x14ac:dyDescent="0.25">
      <c r="A4008" t="s">
        <v>16</v>
      </c>
      <c r="B4008" t="s">
        <v>3221</v>
      </c>
      <c r="C4008">
        <v>8830</v>
      </c>
      <c r="D4008" t="s">
        <v>361</v>
      </c>
      <c r="E4008" t="s">
        <v>362</v>
      </c>
      <c r="F4008">
        <v>17.7</v>
      </c>
      <c r="G4008">
        <v>230615</v>
      </c>
      <c r="H4008">
        <v>4600</v>
      </c>
      <c r="I4008" t="s">
        <v>105</v>
      </c>
      <c r="J4008">
        <v>21.95</v>
      </c>
      <c r="K4008">
        <v>4.25</v>
      </c>
      <c r="L4008">
        <v>17951</v>
      </c>
      <c r="M4008" t="s">
        <v>87</v>
      </c>
      <c r="N4008" t="str">
        <f>"13083437    "</f>
        <v xml:space="preserve">13083437    </v>
      </c>
      <c r="O4008">
        <v>230616</v>
      </c>
    </row>
    <row r="4009" spans="1:15" x14ac:dyDescent="0.25">
      <c r="A4009" t="s">
        <v>16</v>
      </c>
      <c r="B4009" t="s">
        <v>3221</v>
      </c>
      <c r="C4009">
        <v>8852</v>
      </c>
      <c r="D4009" t="s">
        <v>361</v>
      </c>
      <c r="E4009" t="s">
        <v>362</v>
      </c>
      <c r="F4009">
        <v>62.85</v>
      </c>
      <c r="G4009">
        <v>230615</v>
      </c>
      <c r="H4009">
        <v>4600</v>
      </c>
      <c r="I4009" t="s">
        <v>105</v>
      </c>
      <c r="J4009">
        <v>77.94</v>
      </c>
      <c r="K4009">
        <v>15.09</v>
      </c>
      <c r="L4009">
        <v>67554</v>
      </c>
      <c r="M4009" t="s">
        <v>60</v>
      </c>
      <c r="N4009" t="str">
        <f>"13083442    "</f>
        <v xml:space="preserve">13083442    </v>
      </c>
      <c r="O4009">
        <v>230619</v>
      </c>
    </row>
    <row r="4010" spans="1:15" x14ac:dyDescent="0.25">
      <c r="A4010" t="s">
        <v>16</v>
      </c>
      <c r="B4010" t="s">
        <v>3221</v>
      </c>
      <c r="C4010">
        <v>8949</v>
      </c>
      <c r="D4010" t="s">
        <v>361</v>
      </c>
      <c r="E4010" t="s">
        <v>362</v>
      </c>
      <c r="F4010">
        <v>143.36000000000001</v>
      </c>
      <c r="G4010">
        <v>230615</v>
      </c>
      <c r="H4010">
        <v>4600</v>
      </c>
      <c r="I4010" t="s">
        <v>105</v>
      </c>
      <c r="J4010">
        <v>177.77</v>
      </c>
      <c r="K4010">
        <v>34.409999999999997</v>
      </c>
      <c r="L4010">
        <v>17147</v>
      </c>
      <c r="M4010" t="s">
        <v>1734</v>
      </c>
      <c r="N4010" t="str">
        <f>"13083441    "</f>
        <v xml:space="preserve">13083441    </v>
      </c>
      <c r="O4010">
        <v>230620</v>
      </c>
    </row>
    <row r="4011" spans="1:15" x14ac:dyDescent="0.25">
      <c r="A4011" t="s">
        <v>16</v>
      </c>
      <c r="B4011" t="s">
        <v>3221</v>
      </c>
      <c r="C4011">
        <v>9224</v>
      </c>
      <c r="D4011" t="s">
        <v>361</v>
      </c>
      <c r="E4011" t="s">
        <v>362</v>
      </c>
      <c r="F4011">
        <v>443.55</v>
      </c>
      <c r="G4011">
        <v>230629</v>
      </c>
      <c r="H4011">
        <v>4600</v>
      </c>
      <c r="I4011" t="s">
        <v>105</v>
      </c>
      <c r="J4011">
        <v>550</v>
      </c>
      <c r="K4011">
        <v>106.45</v>
      </c>
      <c r="L4011">
        <v>17737</v>
      </c>
      <c r="M4011" t="s">
        <v>279</v>
      </c>
      <c r="N4011" t="str">
        <f>"13092396    "</f>
        <v xml:space="preserve">13092396    </v>
      </c>
      <c r="O4011">
        <v>230630</v>
      </c>
    </row>
    <row r="4012" spans="1:15" x14ac:dyDescent="0.25">
      <c r="A4012" t="s">
        <v>16</v>
      </c>
      <c r="B4012" t="s">
        <v>3221</v>
      </c>
      <c r="C4012">
        <v>9289</v>
      </c>
      <c r="D4012" t="s">
        <v>361</v>
      </c>
      <c r="E4012" t="s">
        <v>362</v>
      </c>
      <c r="F4012">
        <v>130.9</v>
      </c>
      <c r="G4012">
        <v>230630</v>
      </c>
      <c r="H4012">
        <v>4600</v>
      </c>
      <c r="I4012" t="s">
        <v>105</v>
      </c>
      <c r="J4012">
        <v>162.32</v>
      </c>
      <c r="K4012">
        <v>31.42</v>
      </c>
      <c r="L4012">
        <v>17711</v>
      </c>
      <c r="M4012" t="s">
        <v>65</v>
      </c>
      <c r="N4012" t="str">
        <f>"13094830    "</f>
        <v xml:space="preserve">13094830    </v>
      </c>
      <c r="O4012">
        <v>230704</v>
      </c>
    </row>
    <row r="4013" spans="1:15" x14ac:dyDescent="0.25">
      <c r="A4013" t="s">
        <v>16</v>
      </c>
      <c r="B4013" t="s">
        <v>3221</v>
      </c>
      <c r="C4013">
        <v>9289</v>
      </c>
      <c r="D4013" t="s">
        <v>361</v>
      </c>
      <c r="E4013" t="s">
        <v>362</v>
      </c>
      <c r="F4013">
        <v>173.39</v>
      </c>
      <c r="G4013">
        <v>230630</v>
      </c>
      <c r="H4013">
        <v>4600</v>
      </c>
      <c r="I4013" t="s">
        <v>105</v>
      </c>
      <c r="J4013">
        <v>215</v>
      </c>
      <c r="K4013">
        <v>41.61</v>
      </c>
      <c r="L4013">
        <v>17737</v>
      </c>
      <c r="M4013" t="s">
        <v>279</v>
      </c>
      <c r="N4013" t="str">
        <f>"13094830    "</f>
        <v xml:space="preserve">13094830    </v>
      </c>
      <c r="O4013">
        <v>230704</v>
      </c>
    </row>
    <row r="4014" spans="1:15" x14ac:dyDescent="0.25">
      <c r="A4014" t="s">
        <v>16</v>
      </c>
      <c r="B4014" t="s">
        <v>3221</v>
      </c>
      <c r="C4014">
        <v>9289</v>
      </c>
      <c r="D4014" t="s">
        <v>361</v>
      </c>
      <c r="E4014" t="s">
        <v>362</v>
      </c>
      <c r="F4014">
        <v>7.56</v>
      </c>
      <c r="G4014">
        <v>230630</v>
      </c>
      <c r="H4014">
        <v>4600</v>
      </c>
      <c r="I4014" t="s">
        <v>105</v>
      </c>
      <c r="J4014">
        <v>9.3800000000000008</v>
      </c>
      <c r="K4014">
        <v>1.82</v>
      </c>
      <c r="L4014">
        <v>17737</v>
      </c>
      <c r="M4014" t="s">
        <v>279</v>
      </c>
      <c r="N4014" t="str">
        <f>"13094830    "</f>
        <v xml:space="preserve">13094830    </v>
      </c>
      <c r="O4014">
        <v>230704</v>
      </c>
    </row>
    <row r="4015" spans="1:15" x14ac:dyDescent="0.25">
      <c r="A4015" t="s">
        <v>16</v>
      </c>
      <c r="B4015" t="s">
        <v>3221</v>
      </c>
      <c r="C4015">
        <v>9289</v>
      </c>
      <c r="D4015" t="s">
        <v>361</v>
      </c>
      <c r="E4015" t="s">
        <v>362</v>
      </c>
      <c r="F4015">
        <v>44.03</v>
      </c>
      <c r="G4015">
        <v>230630</v>
      </c>
      <c r="H4015">
        <v>4600</v>
      </c>
      <c r="I4015" t="s">
        <v>105</v>
      </c>
      <c r="J4015">
        <v>54.6</v>
      </c>
      <c r="K4015">
        <v>10.57</v>
      </c>
      <c r="L4015">
        <v>17737</v>
      </c>
      <c r="M4015" t="s">
        <v>279</v>
      </c>
      <c r="N4015" t="str">
        <f>"13094830    "</f>
        <v xml:space="preserve">13094830    </v>
      </c>
      <c r="O4015">
        <v>230704</v>
      </c>
    </row>
    <row r="4016" spans="1:15" x14ac:dyDescent="0.25">
      <c r="A4016" t="s">
        <v>16</v>
      </c>
      <c r="B4016" t="s">
        <v>3221</v>
      </c>
      <c r="C4016">
        <v>9352</v>
      </c>
      <c r="D4016" t="s">
        <v>361</v>
      </c>
      <c r="E4016" t="s">
        <v>362</v>
      </c>
      <c r="F4016">
        <v>280.64999999999998</v>
      </c>
      <c r="G4016">
        <v>230622</v>
      </c>
      <c r="H4016">
        <v>4600</v>
      </c>
      <c r="I4016" t="s">
        <v>105</v>
      </c>
      <c r="J4016">
        <v>348</v>
      </c>
      <c r="K4016">
        <v>67.349999999999994</v>
      </c>
      <c r="L4016">
        <v>17711</v>
      </c>
      <c r="M4016" t="s">
        <v>65</v>
      </c>
      <c r="N4016" t="str">
        <f>"13090006    "</f>
        <v xml:space="preserve">13090006    </v>
      </c>
      <c r="O4016">
        <v>230710</v>
      </c>
    </row>
    <row r="4017" spans="1:15" x14ac:dyDescent="0.25">
      <c r="A4017" t="s">
        <v>16</v>
      </c>
      <c r="B4017" t="s">
        <v>3221</v>
      </c>
      <c r="C4017">
        <v>9352</v>
      </c>
      <c r="D4017" t="s">
        <v>361</v>
      </c>
      <c r="E4017" t="s">
        <v>362</v>
      </c>
      <c r="F4017">
        <v>922.58</v>
      </c>
      <c r="G4017">
        <v>230622</v>
      </c>
      <c r="H4017">
        <v>4600</v>
      </c>
      <c r="I4017" t="s">
        <v>105</v>
      </c>
      <c r="J4017">
        <v>1144</v>
      </c>
      <c r="K4017">
        <v>221.42</v>
      </c>
      <c r="L4017">
        <v>17737</v>
      </c>
      <c r="M4017" t="s">
        <v>279</v>
      </c>
      <c r="N4017" t="str">
        <f>"13090006    "</f>
        <v xml:space="preserve">13090006    </v>
      </c>
      <c r="O4017">
        <v>230710</v>
      </c>
    </row>
    <row r="4018" spans="1:15" x14ac:dyDescent="0.25">
      <c r="A4018" t="s">
        <v>16</v>
      </c>
      <c r="B4018" t="s">
        <v>3221</v>
      </c>
      <c r="C4018">
        <v>9750</v>
      </c>
      <c r="D4018" t="s">
        <v>361</v>
      </c>
      <c r="E4018" t="s">
        <v>362</v>
      </c>
      <c r="F4018">
        <v>17.399999999999999</v>
      </c>
      <c r="G4018">
        <v>230714</v>
      </c>
      <c r="H4018">
        <v>4600</v>
      </c>
      <c r="I4018" t="s">
        <v>105</v>
      </c>
      <c r="J4018">
        <v>21.57</v>
      </c>
      <c r="K4018">
        <v>4.17</v>
      </c>
      <c r="L4018">
        <v>17711</v>
      </c>
      <c r="M4018" t="s">
        <v>65</v>
      </c>
      <c r="N4018" t="str">
        <f>"13103832    "</f>
        <v xml:space="preserve">13103832    </v>
      </c>
      <c r="O4018">
        <v>230724</v>
      </c>
    </row>
    <row r="4019" spans="1:15" x14ac:dyDescent="0.25">
      <c r="A4019" t="s">
        <v>16</v>
      </c>
      <c r="B4019" t="s">
        <v>3221</v>
      </c>
      <c r="C4019">
        <v>9750</v>
      </c>
      <c r="D4019" t="s">
        <v>361</v>
      </c>
      <c r="E4019" t="s">
        <v>362</v>
      </c>
      <c r="F4019">
        <v>45.44</v>
      </c>
      <c r="G4019">
        <v>230714</v>
      </c>
      <c r="H4019">
        <v>4600</v>
      </c>
      <c r="I4019" t="s">
        <v>105</v>
      </c>
      <c r="J4019">
        <v>56.34</v>
      </c>
      <c r="K4019">
        <v>10.9</v>
      </c>
      <c r="L4019">
        <v>17737</v>
      </c>
      <c r="M4019" t="s">
        <v>279</v>
      </c>
      <c r="N4019" t="str">
        <f>"13103832    "</f>
        <v xml:space="preserve">13103832    </v>
      </c>
      <c r="O4019">
        <v>230724</v>
      </c>
    </row>
    <row r="4020" spans="1:15" x14ac:dyDescent="0.25">
      <c r="A4020" t="s">
        <v>16</v>
      </c>
      <c r="B4020" t="s">
        <v>3221</v>
      </c>
      <c r="C4020">
        <v>9914</v>
      </c>
      <c r="D4020" t="s">
        <v>361</v>
      </c>
      <c r="E4020" t="s">
        <v>362</v>
      </c>
      <c r="F4020">
        <v>338.71</v>
      </c>
      <c r="G4020">
        <v>230731</v>
      </c>
      <c r="H4020">
        <v>4600</v>
      </c>
      <c r="I4020" t="s">
        <v>105</v>
      </c>
      <c r="J4020">
        <v>420</v>
      </c>
      <c r="K4020">
        <v>81.290000000000006</v>
      </c>
      <c r="L4020">
        <v>67554</v>
      </c>
      <c r="M4020" t="s">
        <v>60</v>
      </c>
      <c r="N4020" t="str">
        <f>"13111095    "</f>
        <v xml:space="preserve">13111095    </v>
      </c>
      <c r="O4020">
        <v>230802</v>
      </c>
    </row>
    <row r="4021" spans="1:15" x14ac:dyDescent="0.25">
      <c r="A4021" t="s">
        <v>16</v>
      </c>
      <c r="B4021" t="s">
        <v>3221</v>
      </c>
      <c r="C4021">
        <v>9916</v>
      </c>
      <c r="D4021" t="s">
        <v>361</v>
      </c>
      <c r="E4021" t="s">
        <v>362</v>
      </c>
      <c r="F4021">
        <v>85.48</v>
      </c>
      <c r="G4021">
        <v>230731</v>
      </c>
      <c r="H4021">
        <v>4600</v>
      </c>
      <c r="I4021" t="s">
        <v>105</v>
      </c>
      <c r="J4021">
        <v>106</v>
      </c>
      <c r="K4021">
        <v>20.52</v>
      </c>
      <c r="L4021">
        <v>67522</v>
      </c>
      <c r="M4021" t="s">
        <v>397</v>
      </c>
      <c r="N4021" t="str">
        <f>"13111094    "</f>
        <v xml:space="preserve">13111094    </v>
      </c>
      <c r="O4021">
        <v>230802</v>
      </c>
    </row>
    <row r="4022" spans="1:15" x14ac:dyDescent="0.25">
      <c r="A4022" t="s">
        <v>16</v>
      </c>
      <c r="B4022" t="s">
        <v>3221</v>
      </c>
      <c r="C4022">
        <v>11823</v>
      </c>
      <c r="D4022" t="s">
        <v>361</v>
      </c>
      <c r="E4022" t="s">
        <v>362</v>
      </c>
      <c r="F4022">
        <v>302.33</v>
      </c>
      <c r="G4022">
        <v>230831</v>
      </c>
      <c r="H4022">
        <v>4600</v>
      </c>
      <c r="I4022" t="s">
        <v>105</v>
      </c>
      <c r="J4022">
        <v>374.89</v>
      </c>
      <c r="K4022">
        <v>72.56</v>
      </c>
      <c r="L4022">
        <v>67522</v>
      </c>
      <c r="M4022" t="s">
        <v>397</v>
      </c>
      <c r="N4022" t="str">
        <f>"13129160    "</f>
        <v xml:space="preserve">13129160    </v>
      </c>
      <c r="O4022">
        <v>230911</v>
      </c>
    </row>
    <row r="4023" spans="1:15" x14ac:dyDescent="0.25">
      <c r="A4023" t="s">
        <v>16</v>
      </c>
      <c r="B4023" t="s">
        <v>3221</v>
      </c>
      <c r="C4023">
        <v>11823</v>
      </c>
      <c r="D4023" t="s">
        <v>361</v>
      </c>
      <c r="E4023" t="s">
        <v>362</v>
      </c>
      <c r="F4023">
        <v>351.61</v>
      </c>
      <c r="G4023">
        <v>230831</v>
      </c>
      <c r="H4023">
        <v>4600</v>
      </c>
      <c r="I4023" t="s">
        <v>105</v>
      </c>
      <c r="J4023">
        <v>436</v>
      </c>
      <c r="K4023">
        <v>84.39</v>
      </c>
      <c r="L4023">
        <v>67554</v>
      </c>
      <c r="M4023" t="s">
        <v>60</v>
      </c>
      <c r="N4023" t="str">
        <f>"13129160    "</f>
        <v xml:space="preserve">13129160    </v>
      </c>
      <c r="O4023">
        <v>230911</v>
      </c>
    </row>
    <row r="4024" spans="1:15" x14ac:dyDescent="0.25">
      <c r="A4024" t="s">
        <v>16</v>
      </c>
      <c r="B4024" t="s">
        <v>3221</v>
      </c>
      <c r="C4024">
        <v>12649</v>
      </c>
      <c r="D4024" t="s">
        <v>361</v>
      </c>
      <c r="E4024" t="s">
        <v>362</v>
      </c>
      <c r="F4024">
        <v>26.52</v>
      </c>
      <c r="G4024">
        <v>230915</v>
      </c>
      <c r="H4024">
        <v>4600</v>
      </c>
      <c r="I4024" t="s">
        <v>105</v>
      </c>
      <c r="J4024">
        <v>32.880000000000003</v>
      </c>
      <c r="K4024">
        <v>6.36</v>
      </c>
      <c r="L4024">
        <v>17802</v>
      </c>
      <c r="M4024" t="s">
        <v>174</v>
      </c>
      <c r="N4024" t="str">
        <f>"13139269    "</f>
        <v xml:space="preserve">13139269    </v>
      </c>
      <c r="O4024">
        <v>230922</v>
      </c>
    </row>
    <row r="4025" spans="1:15" x14ac:dyDescent="0.25">
      <c r="A4025" t="s">
        <v>16</v>
      </c>
      <c r="B4025" t="s">
        <v>3221</v>
      </c>
      <c r="C4025">
        <v>12718</v>
      </c>
      <c r="D4025" t="s">
        <v>361</v>
      </c>
      <c r="E4025" t="s">
        <v>362</v>
      </c>
      <c r="F4025">
        <v>88.73</v>
      </c>
      <c r="G4025">
        <v>230915</v>
      </c>
      <c r="H4025">
        <v>4600</v>
      </c>
      <c r="I4025" t="s">
        <v>105</v>
      </c>
      <c r="J4025">
        <v>110.02</v>
      </c>
      <c r="K4025">
        <v>21.29</v>
      </c>
      <c r="L4025">
        <v>17737</v>
      </c>
      <c r="M4025" t="s">
        <v>279</v>
      </c>
      <c r="N4025" t="str">
        <f>"13139270    "</f>
        <v xml:space="preserve">13139270    </v>
      </c>
      <c r="O4025">
        <v>230925</v>
      </c>
    </row>
    <row r="4026" spans="1:15" x14ac:dyDescent="0.25">
      <c r="A4026" t="s">
        <v>16</v>
      </c>
      <c r="B4026" t="s">
        <v>3221</v>
      </c>
      <c r="C4026">
        <v>13538</v>
      </c>
      <c r="D4026" t="s">
        <v>361</v>
      </c>
      <c r="E4026" t="s">
        <v>362</v>
      </c>
      <c r="F4026">
        <v>189.48</v>
      </c>
      <c r="G4026">
        <v>230929</v>
      </c>
      <c r="H4026">
        <v>4600</v>
      </c>
      <c r="I4026" t="s">
        <v>105</v>
      </c>
      <c r="J4026">
        <v>234.95</v>
      </c>
      <c r="K4026">
        <v>45.47</v>
      </c>
      <c r="L4026">
        <v>17737</v>
      </c>
      <c r="M4026" t="s">
        <v>279</v>
      </c>
      <c r="N4026" t="str">
        <f>"13147445    "</f>
        <v xml:space="preserve">13147445    </v>
      </c>
      <c r="O4026">
        <v>231011</v>
      </c>
    </row>
    <row r="4027" spans="1:15" x14ac:dyDescent="0.25">
      <c r="A4027" t="s">
        <v>16</v>
      </c>
      <c r="B4027" t="s">
        <v>3221</v>
      </c>
      <c r="C4027">
        <v>14863</v>
      </c>
      <c r="D4027" t="s">
        <v>361</v>
      </c>
      <c r="E4027" t="s">
        <v>362</v>
      </c>
      <c r="F4027">
        <v>93.79</v>
      </c>
      <c r="G4027">
        <v>231031</v>
      </c>
      <c r="H4027">
        <v>4600</v>
      </c>
      <c r="I4027" t="s">
        <v>105</v>
      </c>
      <c r="J4027">
        <v>116.3</v>
      </c>
      <c r="K4027">
        <v>22.51</v>
      </c>
      <c r="L4027">
        <v>17711</v>
      </c>
      <c r="M4027" t="s">
        <v>65</v>
      </c>
      <c r="N4027" t="str">
        <f>"13165408    "</f>
        <v xml:space="preserve">13165408    </v>
      </c>
      <c r="O4027">
        <v>231107</v>
      </c>
    </row>
    <row r="4028" spans="1:15" x14ac:dyDescent="0.25">
      <c r="A4028" t="s">
        <v>16</v>
      </c>
      <c r="B4028" t="s">
        <v>3221</v>
      </c>
      <c r="C4028">
        <v>14939</v>
      </c>
      <c r="D4028" t="s">
        <v>361</v>
      </c>
      <c r="E4028" t="s">
        <v>362</v>
      </c>
      <c r="F4028">
        <v>92.48</v>
      </c>
      <c r="G4028">
        <v>231031</v>
      </c>
      <c r="H4028">
        <v>4600</v>
      </c>
      <c r="I4028" t="s">
        <v>105</v>
      </c>
      <c r="J4028">
        <v>114.68</v>
      </c>
      <c r="K4028">
        <v>22.2</v>
      </c>
      <c r="L4028">
        <v>17737</v>
      </c>
      <c r="M4028" t="s">
        <v>279</v>
      </c>
      <c r="N4028" t="str">
        <f>"13165407    "</f>
        <v xml:space="preserve">13165407    </v>
      </c>
      <c r="O4028">
        <v>231107</v>
      </c>
    </row>
    <row r="4029" spans="1:15" x14ac:dyDescent="0.25">
      <c r="A4029" t="s">
        <v>16</v>
      </c>
      <c r="B4029" t="s">
        <v>3221</v>
      </c>
      <c r="C4029">
        <v>15814</v>
      </c>
      <c r="D4029" t="s">
        <v>361</v>
      </c>
      <c r="E4029" t="s">
        <v>362</v>
      </c>
      <c r="F4029">
        <v>34.04</v>
      </c>
      <c r="G4029">
        <v>231115</v>
      </c>
      <c r="H4029">
        <v>4600</v>
      </c>
      <c r="I4029" t="s">
        <v>105</v>
      </c>
      <c r="J4029">
        <v>42.21</v>
      </c>
      <c r="K4029">
        <v>8.17</v>
      </c>
      <c r="L4029">
        <v>17711</v>
      </c>
      <c r="M4029" t="s">
        <v>65</v>
      </c>
      <c r="N4029" t="str">
        <f>"13172199    "</f>
        <v xml:space="preserve">13172199    </v>
      </c>
      <c r="O4029">
        <v>231120</v>
      </c>
    </row>
    <row r="4030" spans="1:15" x14ac:dyDescent="0.25">
      <c r="A4030" t="s">
        <v>16</v>
      </c>
      <c r="B4030" t="s">
        <v>3221</v>
      </c>
      <c r="C4030">
        <v>15968</v>
      </c>
      <c r="D4030" t="s">
        <v>361</v>
      </c>
      <c r="E4030" t="s">
        <v>362</v>
      </c>
      <c r="F4030">
        <v>134.66</v>
      </c>
      <c r="G4030">
        <v>231115</v>
      </c>
      <c r="H4030">
        <v>4600</v>
      </c>
      <c r="I4030" t="s">
        <v>105</v>
      </c>
      <c r="J4030">
        <v>166.98</v>
      </c>
      <c r="K4030">
        <v>32.32</v>
      </c>
      <c r="L4030">
        <v>17711</v>
      </c>
      <c r="M4030" t="s">
        <v>65</v>
      </c>
      <c r="N4030" t="str">
        <f>"13172200    "</f>
        <v xml:space="preserve">13172200    </v>
      </c>
      <c r="O4030">
        <v>231122</v>
      </c>
    </row>
    <row r="4031" spans="1:15" x14ac:dyDescent="0.25">
      <c r="A4031" t="s">
        <v>16</v>
      </c>
      <c r="B4031" t="s">
        <v>3221</v>
      </c>
      <c r="C4031">
        <v>16631</v>
      </c>
      <c r="D4031" t="s">
        <v>361</v>
      </c>
      <c r="E4031" t="s">
        <v>362</v>
      </c>
      <c r="F4031">
        <v>16.649999999999999</v>
      </c>
      <c r="G4031">
        <v>231130</v>
      </c>
      <c r="H4031">
        <v>4600</v>
      </c>
      <c r="I4031" t="s">
        <v>105</v>
      </c>
      <c r="J4031">
        <v>20.65</v>
      </c>
      <c r="K4031">
        <v>4</v>
      </c>
      <c r="L4031">
        <v>17951</v>
      </c>
      <c r="M4031" t="s">
        <v>87</v>
      </c>
      <c r="N4031" t="str">
        <f>"13179039    "</f>
        <v xml:space="preserve">13179039    </v>
      </c>
      <c r="O4031">
        <v>231205</v>
      </c>
    </row>
    <row r="4032" spans="1:15" x14ac:dyDescent="0.25">
      <c r="A4032" t="s">
        <v>16</v>
      </c>
      <c r="B4032" t="s">
        <v>3221</v>
      </c>
      <c r="C4032">
        <v>18689</v>
      </c>
      <c r="D4032" t="s">
        <v>361</v>
      </c>
      <c r="E4032" t="s">
        <v>362</v>
      </c>
      <c r="F4032">
        <v>5.79</v>
      </c>
      <c r="G4032">
        <v>231229</v>
      </c>
      <c r="H4032">
        <v>4600</v>
      </c>
      <c r="I4032" t="s">
        <v>105</v>
      </c>
      <c r="J4032">
        <v>7.18</v>
      </c>
      <c r="K4032">
        <v>1.39</v>
      </c>
      <c r="L4032">
        <v>17951</v>
      </c>
      <c r="M4032" t="s">
        <v>87</v>
      </c>
      <c r="N4032" t="str">
        <f>"13190890    "</f>
        <v xml:space="preserve">13190890    </v>
      </c>
      <c r="O4032">
        <v>240104</v>
      </c>
    </row>
    <row r="4033" spans="1:15" x14ac:dyDescent="0.25">
      <c r="A4033" t="s">
        <v>16</v>
      </c>
      <c r="B4033" t="s">
        <v>3221</v>
      </c>
      <c r="C4033">
        <v>9059</v>
      </c>
      <c r="D4033" t="s">
        <v>361</v>
      </c>
      <c r="E4033" t="s">
        <v>362</v>
      </c>
      <c r="F4033">
        <v>215.48</v>
      </c>
      <c r="G4033">
        <v>230615</v>
      </c>
      <c r="H4033">
        <v>4555</v>
      </c>
      <c r="I4033" t="s">
        <v>481</v>
      </c>
      <c r="J4033">
        <v>267.2</v>
      </c>
      <c r="K4033">
        <v>51.72</v>
      </c>
      <c r="L4033">
        <v>59815</v>
      </c>
      <c r="M4033" t="s">
        <v>1182</v>
      </c>
      <c r="N4033" t="str">
        <f>"13083436    "</f>
        <v xml:space="preserve">13083436    </v>
      </c>
      <c r="O4033">
        <v>230622</v>
      </c>
    </row>
    <row r="4034" spans="1:15" x14ac:dyDescent="0.25">
      <c r="A4034" t="s">
        <v>16</v>
      </c>
      <c r="B4034" t="s">
        <v>3221</v>
      </c>
      <c r="C4034">
        <v>238</v>
      </c>
      <c r="D4034" t="s">
        <v>361</v>
      </c>
      <c r="E4034" t="s">
        <v>362</v>
      </c>
      <c r="F4034">
        <v>24.11</v>
      </c>
      <c r="G4034">
        <v>230113</v>
      </c>
      <c r="H4034">
        <v>4560</v>
      </c>
      <c r="I4034" t="s">
        <v>345</v>
      </c>
      <c r="J4034">
        <v>29.9</v>
      </c>
      <c r="K4034">
        <v>5.79</v>
      </c>
      <c r="L4034">
        <v>17711</v>
      </c>
      <c r="M4034" t="s">
        <v>65</v>
      </c>
      <c r="N4034" t="str">
        <f>"13002531    "</f>
        <v xml:space="preserve">13002531    </v>
      </c>
      <c r="O4034">
        <v>230116</v>
      </c>
    </row>
    <row r="4035" spans="1:15" x14ac:dyDescent="0.25">
      <c r="A4035" t="s">
        <v>16</v>
      </c>
      <c r="B4035" t="s">
        <v>3221</v>
      </c>
      <c r="C4035">
        <v>339</v>
      </c>
      <c r="D4035" t="s">
        <v>361</v>
      </c>
      <c r="E4035" t="s">
        <v>362</v>
      </c>
      <c r="F4035">
        <v>2623.55</v>
      </c>
      <c r="G4035">
        <v>230117</v>
      </c>
      <c r="H4035">
        <v>4560</v>
      </c>
      <c r="I4035" t="s">
        <v>345</v>
      </c>
      <c r="J4035">
        <v>3253.2</v>
      </c>
      <c r="K4035">
        <v>629.65</v>
      </c>
      <c r="L4035">
        <v>17737</v>
      </c>
      <c r="M4035" t="s">
        <v>279</v>
      </c>
      <c r="N4035" t="str">
        <f>"13004149    "</f>
        <v xml:space="preserve">13004149    </v>
      </c>
      <c r="O4035">
        <v>230118</v>
      </c>
    </row>
    <row r="4036" spans="1:15" x14ac:dyDescent="0.25">
      <c r="A4036" t="s">
        <v>16</v>
      </c>
      <c r="B4036" t="s">
        <v>3221</v>
      </c>
      <c r="C4036">
        <v>5918</v>
      </c>
      <c r="D4036" t="s">
        <v>361</v>
      </c>
      <c r="E4036" t="s">
        <v>362</v>
      </c>
      <c r="F4036">
        <v>5266.13</v>
      </c>
      <c r="G4036">
        <v>230428</v>
      </c>
      <c r="H4036">
        <v>4560</v>
      </c>
      <c r="I4036" t="s">
        <v>345</v>
      </c>
      <c r="J4036">
        <v>6530</v>
      </c>
      <c r="K4036">
        <v>1263.8699999999999</v>
      </c>
      <c r="L4036">
        <v>67554</v>
      </c>
      <c r="M4036" t="s">
        <v>60</v>
      </c>
      <c r="N4036" t="str">
        <f>"13045941    "</f>
        <v xml:space="preserve">13045941    </v>
      </c>
      <c r="O4036">
        <v>230503</v>
      </c>
    </row>
    <row r="4037" spans="1:15" x14ac:dyDescent="0.25">
      <c r="A4037" t="s">
        <v>16</v>
      </c>
      <c r="B4037" t="s">
        <v>3221</v>
      </c>
      <c r="C4037">
        <v>6499</v>
      </c>
      <c r="D4037" t="s">
        <v>361</v>
      </c>
      <c r="E4037" t="s">
        <v>362</v>
      </c>
      <c r="F4037">
        <v>1940.95</v>
      </c>
      <c r="G4037">
        <v>230509</v>
      </c>
      <c r="H4037">
        <v>4560</v>
      </c>
      <c r="I4037" t="s">
        <v>345</v>
      </c>
      <c r="J4037">
        <v>2406.7800000000002</v>
      </c>
      <c r="K4037">
        <v>465.83</v>
      </c>
      <c r="L4037">
        <v>17131</v>
      </c>
      <c r="M4037" t="s">
        <v>64</v>
      </c>
      <c r="N4037" t="str">
        <f>"13054328    "</f>
        <v xml:space="preserve">13054328    </v>
      </c>
      <c r="O4037">
        <v>230512</v>
      </c>
    </row>
    <row r="4038" spans="1:15" x14ac:dyDescent="0.25">
      <c r="A4038" t="s">
        <v>16</v>
      </c>
      <c r="B4038" t="s">
        <v>3221</v>
      </c>
      <c r="C4038">
        <v>6499</v>
      </c>
      <c r="D4038" t="s">
        <v>361</v>
      </c>
      <c r="E4038" t="s">
        <v>362</v>
      </c>
      <c r="F4038">
        <v>1940.96</v>
      </c>
      <c r="G4038">
        <v>230509</v>
      </c>
      <c r="H4038">
        <v>4560</v>
      </c>
      <c r="I4038" t="s">
        <v>345</v>
      </c>
      <c r="J4038">
        <v>2406.79</v>
      </c>
      <c r="K4038">
        <v>465.83</v>
      </c>
      <c r="L4038">
        <v>17711</v>
      </c>
      <c r="M4038" t="s">
        <v>65</v>
      </c>
      <c r="N4038" t="str">
        <f>"13054328    "</f>
        <v xml:space="preserve">13054328    </v>
      </c>
      <c r="O4038">
        <v>230512</v>
      </c>
    </row>
    <row r="4039" spans="1:15" x14ac:dyDescent="0.25">
      <c r="A4039" t="s">
        <v>16</v>
      </c>
      <c r="B4039" t="s">
        <v>3221</v>
      </c>
      <c r="C4039">
        <v>7615</v>
      </c>
      <c r="D4039" t="s">
        <v>361</v>
      </c>
      <c r="E4039" t="s">
        <v>362</v>
      </c>
      <c r="F4039">
        <v>19.309999999999999</v>
      </c>
      <c r="G4039">
        <v>230531</v>
      </c>
      <c r="H4039">
        <v>4560</v>
      </c>
      <c r="I4039" t="s">
        <v>345</v>
      </c>
      <c r="J4039">
        <v>23.95</v>
      </c>
      <c r="K4039">
        <v>4.6399999999999997</v>
      </c>
      <c r="L4039">
        <v>17951</v>
      </c>
      <c r="M4039" t="s">
        <v>87</v>
      </c>
      <c r="N4039" t="str">
        <f>"13071710    "</f>
        <v xml:space="preserve">13071710    </v>
      </c>
      <c r="O4039">
        <v>230601</v>
      </c>
    </row>
    <row r="4040" spans="1:15" x14ac:dyDescent="0.25">
      <c r="A4040" t="s">
        <v>16</v>
      </c>
      <c r="B4040" t="s">
        <v>3221</v>
      </c>
      <c r="C4040">
        <v>8830</v>
      </c>
      <c r="D4040" t="s">
        <v>361</v>
      </c>
      <c r="E4040" t="s">
        <v>362</v>
      </c>
      <c r="F4040">
        <v>38.630000000000003</v>
      </c>
      <c r="G4040">
        <v>230615</v>
      </c>
      <c r="H4040">
        <v>4560</v>
      </c>
      <c r="I4040" t="s">
        <v>345</v>
      </c>
      <c r="J4040">
        <v>47.9</v>
      </c>
      <c r="K4040">
        <v>9.27</v>
      </c>
      <c r="L4040">
        <v>17951</v>
      </c>
      <c r="M4040" t="s">
        <v>87</v>
      </c>
      <c r="N4040" t="str">
        <f>"13083437    "</f>
        <v xml:space="preserve">13083437    </v>
      </c>
      <c r="O4040">
        <v>230616</v>
      </c>
    </row>
    <row r="4041" spans="1:15" x14ac:dyDescent="0.25">
      <c r="A4041" t="s">
        <v>16</v>
      </c>
      <c r="B4041" t="s">
        <v>3221</v>
      </c>
      <c r="C4041">
        <v>8894</v>
      </c>
      <c r="D4041" t="s">
        <v>361</v>
      </c>
      <c r="E4041" t="s">
        <v>362</v>
      </c>
      <c r="F4041">
        <v>51.52</v>
      </c>
      <c r="G4041">
        <v>230615</v>
      </c>
      <c r="H4041">
        <v>4560</v>
      </c>
      <c r="I4041" t="s">
        <v>345</v>
      </c>
      <c r="J4041">
        <v>63.89</v>
      </c>
      <c r="K4041">
        <v>12.37</v>
      </c>
      <c r="L4041">
        <v>17737</v>
      </c>
      <c r="M4041" t="s">
        <v>279</v>
      </c>
      <c r="N4041" t="str">
        <f>"13083438    "</f>
        <v xml:space="preserve">13083438    </v>
      </c>
      <c r="O4041">
        <v>230619</v>
      </c>
    </row>
    <row r="4042" spans="1:15" x14ac:dyDescent="0.25">
      <c r="A4042" t="s">
        <v>16</v>
      </c>
      <c r="B4042" t="s">
        <v>3221</v>
      </c>
      <c r="C4042">
        <v>9866</v>
      </c>
      <c r="D4042" t="s">
        <v>361</v>
      </c>
      <c r="E4042" t="s">
        <v>362</v>
      </c>
      <c r="F4042">
        <v>3165.45</v>
      </c>
      <c r="G4042">
        <v>230712</v>
      </c>
      <c r="H4042">
        <v>4560</v>
      </c>
      <c r="I4042" t="s">
        <v>345</v>
      </c>
      <c r="J4042">
        <v>3925.16</v>
      </c>
      <c r="K4042">
        <v>759.71</v>
      </c>
      <c r="L4042">
        <v>17737</v>
      </c>
      <c r="M4042" t="s">
        <v>279</v>
      </c>
      <c r="N4042" t="str">
        <f>"13102024    "</f>
        <v xml:space="preserve">13102024    </v>
      </c>
      <c r="O4042">
        <v>230731</v>
      </c>
    </row>
    <row r="4043" spans="1:15" x14ac:dyDescent="0.25">
      <c r="A4043" t="s">
        <v>16</v>
      </c>
      <c r="B4043" t="s">
        <v>3221</v>
      </c>
      <c r="C4043">
        <v>11825</v>
      </c>
      <c r="D4043" t="s">
        <v>361</v>
      </c>
      <c r="E4043" t="s">
        <v>362</v>
      </c>
      <c r="F4043">
        <v>3866.1</v>
      </c>
      <c r="G4043">
        <v>230905</v>
      </c>
      <c r="H4043">
        <v>4560</v>
      </c>
      <c r="I4043" t="s">
        <v>345</v>
      </c>
      <c r="J4043">
        <v>4793.96</v>
      </c>
      <c r="K4043">
        <v>927.86</v>
      </c>
      <c r="L4043">
        <v>67554</v>
      </c>
      <c r="M4043" t="s">
        <v>60</v>
      </c>
      <c r="N4043" t="str">
        <f>"13133472    "</f>
        <v xml:space="preserve">13133472    </v>
      </c>
      <c r="O4043">
        <v>230911</v>
      </c>
    </row>
    <row r="4044" spans="1:15" x14ac:dyDescent="0.25">
      <c r="A4044" t="s">
        <v>16</v>
      </c>
      <c r="B4044" t="s">
        <v>3221</v>
      </c>
      <c r="C4044">
        <v>12124</v>
      </c>
      <c r="D4044" t="s">
        <v>361</v>
      </c>
      <c r="E4044" t="s">
        <v>362</v>
      </c>
      <c r="F4044">
        <v>3698.42</v>
      </c>
      <c r="G4044">
        <v>230912</v>
      </c>
      <c r="H4044">
        <v>4560</v>
      </c>
      <c r="I4044" t="s">
        <v>345</v>
      </c>
      <c r="J4044">
        <v>4586.04</v>
      </c>
      <c r="K4044">
        <v>887.62</v>
      </c>
      <c r="L4044">
        <v>17711</v>
      </c>
      <c r="M4044" t="s">
        <v>65</v>
      </c>
      <c r="N4044" t="str">
        <f>"13136315    "</f>
        <v xml:space="preserve">13136315    </v>
      </c>
      <c r="O4044">
        <v>230914</v>
      </c>
    </row>
    <row r="4045" spans="1:15" x14ac:dyDescent="0.25">
      <c r="A4045" t="s">
        <v>16</v>
      </c>
      <c r="B4045" t="s">
        <v>3221</v>
      </c>
      <c r="C4045">
        <v>12432</v>
      </c>
      <c r="D4045" t="s">
        <v>361</v>
      </c>
      <c r="E4045" t="s">
        <v>362</v>
      </c>
      <c r="F4045">
        <v>38.630000000000003</v>
      </c>
      <c r="G4045">
        <v>230915</v>
      </c>
      <c r="H4045">
        <v>4560</v>
      </c>
      <c r="I4045" t="s">
        <v>345</v>
      </c>
      <c r="J4045">
        <v>47.9</v>
      </c>
      <c r="K4045">
        <v>9.27</v>
      </c>
      <c r="L4045">
        <v>17951</v>
      </c>
      <c r="M4045" t="s">
        <v>87</v>
      </c>
      <c r="N4045" t="str">
        <f>"13139268    "</f>
        <v xml:space="preserve">13139268    </v>
      </c>
      <c r="O4045">
        <v>230919</v>
      </c>
    </row>
    <row r="4046" spans="1:15" x14ac:dyDescent="0.25">
      <c r="A4046" t="s">
        <v>16</v>
      </c>
      <c r="B4046" t="s">
        <v>3221</v>
      </c>
      <c r="C4046">
        <v>13538</v>
      </c>
      <c r="D4046" t="s">
        <v>361</v>
      </c>
      <c r="E4046" t="s">
        <v>362</v>
      </c>
      <c r="F4046">
        <v>86.05</v>
      </c>
      <c r="G4046">
        <v>230929</v>
      </c>
      <c r="H4046">
        <v>4560</v>
      </c>
      <c r="I4046" t="s">
        <v>345</v>
      </c>
      <c r="J4046">
        <v>106.7</v>
      </c>
      <c r="K4046">
        <v>20.65</v>
      </c>
      <c r="L4046">
        <v>17711</v>
      </c>
      <c r="M4046" t="s">
        <v>65</v>
      </c>
      <c r="N4046" t="str">
        <f>"13147445    "</f>
        <v xml:space="preserve">13147445    </v>
      </c>
      <c r="O4046">
        <v>231011</v>
      </c>
    </row>
    <row r="4047" spans="1:15" x14ac:dyDescent="0.25">
      <c r="A4047" t="s">
        <v>16</v>
      </c>
      <c r="B4047" t="s">
        <v>3221</v>
      </c>
      <c r="C4047">
        <v>14132</v>
      </c>
      <c r="D4047" t="s">
        <v>361</v>
      </c>
      <c r="E4047" t="s">
        <v>362</v>
      </c>
      <c r="F4047">
        <v>1323.83</v>
      </c>
      <c r="G4047">
        <v>231017</v>
      </c>
      <c r="H4047">
        <v>4560</v>
      </c>
      <c r="I4047" t="s">
        <v>345</v>
      </c>
      <c r="J4047">
        <v>1641.55</v>
      </c>
      <c r="K4047">
        <v>317.72000000000003</v>
      </c>
      <c r="L4047">
        <v>17711</v>
      </c>
      <c r="M4047" t="s">
        <v>65</v>
      </c>
      <c r="N4047" t="str">
        <f>"13159565    "</f>
        <v xml:space="preserve">13159565    </v>
      </c>
      <c r="O4047">
        <v>231019</v>
      </c>
    </row>
    <row r="4048" spans="1:15" x14ac:dyDescent="0.25">
      <c r="A4048" t="s">
        <v>16</v>
      </c>
      <c r="B4048" t="s">
        <v>3221</v>
      </c>
      <c r="C4048">
        <v>14132</v>
      </c>
      <c r="D4048" t="s">
        <v>361</v>
      </c>
      <c r="E4048" t="s">
        <v>362</v>
      </c>
      <c r="F4048">
        <v>967.74</v>
      </c>
      <c r="G4048">
        <v>231017</v>
      </c>
      <c r="H4048">
        <v>4560</v>
      </c>
      <c r="I4048" t="s">
        <v>345</v>
      </c>
      <c r="J4048">
        <v>1200</v>
      </c>
      <c r="K4048">
        <v>232.26</v>
      </c>
      <c r="L4048">
        <v>17737</v>
      </c>
      <c r="M4048" t="s">
        <v>279</v>
      </c>
      <c r="N4048" t="str">
        <f>"13159565    "</f>
        <v xml:space="preserve">13159565    </v>
      </c>
      <c r="O4048">
        <v>231019</v>
      </c>
    </row>
    <row r="4049" spans="1:15" x14ac:dyDescent="0.25">
      <c r="A4049" t="s">
        <v>16</v>
      </c>
      <c r="B4049" t="s">
        <v>3221</v>
      </c>
      <c r="C4049">
        <v>14132</v>
      </c>
      <c r="D4049" t="s">
        <v>361</v>
      </c>
      <c r="E4049" t="s">
        <v>362</v>
      </c>
      <c r="F4049">
        <v>241.94</v>
      </c>
      <c r="G4049">
        <v>231017</v>
      </c>
      <c r="H4049">
        <v>4560</v>
      </c>
      <c r="I4049" t="s">
        <v>345</v>
      </c>
      <c r="J4049">
        <v>300</v>
      </c>
      <c r="K4049">
        <v>58.06</v>
      </c>
      <c r="L4049">
        <v>17737</v>
      </c>
      <c r="M4049" t="s">
        <v>279</v>
      </c>
      <c r="N4049" t="str">
        <f>"13159565    "</f>
        <v xml:space="preserve">13159565    </v>
      </c>
      <c r="O4049">
        <v>231019</v>
      </c>
    </row>
    <row r="4050" spans="1:15" x14ac:dyDescent="0.25">
      <c r="A4050" t="s">
        <v>16</v>
      </c>
      <c r="B4050" t="s">
        <v>3221</v>
      </c>
      <c r="C4050">
        <v>16615</v>
      </c>
      <c r="D4050" t="s">
        <v>361</v>
      </c>
      <c r="E4050" t="s">
        <v>362</v>
      </c>
      <c r="F4050">
        <v>1502.6</v>
      </c>
      <c r="G4050">
        <v>231129</v>
      </c>
      <c r="H4050">
        <v>4560</v>
      </c>
      <c r="I4050" t="s">
        <v>345</v>
      </c>
      <c r="J4050">
        <v>1863.23</v>
      </c>
      <c r="K4050">
        <v>360.63</v>
      </c>
      <c r="L4050">
        <v>17131</v>
      </c>
      <c r="M4050" t="s">
        <v>64</v>
      </c>
      <c r="N4050" t="str">
        <f>"13177753    "</f>
        <v xml:space="preserve">13177753    </v>
      </c>
      <c r="O4050">
        <v>231204</v>
      </c>
    </row>
    <row r="4051" spans="1:15" x14ac:dyDescent="0.25">
      <c r="A4051" t="s">
        <v>16</v>
      </c>
      <c r="B4051" t="s">
        <v>3221</v>
      </c>
      <c r="C4051">
        <v>16615</v>
      </c>
      <c r="D4051" t="s">
        <v>361</v>
      </c>
      <c r="E4051" t="s">
        <v>362</v>
      </c>
      <c r="F4051">
        <v>1502.61</v>
      </c>
      <c r="G4051">
        <v>231129</v>
      </c>
      <c r="H4051">
        <v>4560</v>
      </c>
      <c r="I4051" t="s">
        <v>345</v>
      </c>
      <c r="J4051">
        <v>1863.24</v>
      </c>
      <c r="K4051">
        <v>360.63</v>
      </c>
      <c r="L4051">
        <v>17711</v>
      </c>
      <c r="M4051" t="s">
        <v>65</v>
      </c>
      <c r="N4051" t="str">
        <f>"13177753    "</f>
        <v xml:space="preserve">13177753    </v>
      </c>
      <c r="O4051">
        <v>231204</v>
      </c>
    </row>
    <row r="4052" spans="1:15" x14ac:dyDescent="0.25">
      <c r="A4052" t="s">
        <v>16</v>
      </c>
      <c r="B4052" t="s">
        <v>3221</v>
      </c>
      <c r="C4052">
        <v>443</v>
      </c>
      <c r="D4052" t="s">
        <v>361</v>
      </c>
      <c r="E4052" t="s">
        <v>362</v>
      </c>
      <c r="F4052">
        <v>168.82</v>
      </c>
      <c r="G4052">
        <v>230118</v>
      </c>
      <c r="H4052">
        <v>4590</v>
      </c>
      <c r="I4052" t="s">
        <v>203</v>
      </c>
      <c r="J4052">
        <v>209.34</v>
      </c>
      <c r="K4052">
        <v>40.520000000000003</v>
      </c>
      <c r="L4052">
        <v>17806</v>
      </c>
      <c r="M4052" t="s">
        <v>265</v>
      </c>
      <c r="N4052" t="str">
        <f>"13004446    "</f>
        <v xml:space="preserve">13004446    </v>
      </c>
      <c r="O4052">
        <v>230123</v>
      </c>
    </row>
    <row r="4053" spans="1:15" x14ac:dyDescent="0.25">
      <c r="A4053" t="s">
        <v>16</v>
      </c>
      <c r="B4053" t="s">
        <v>3221</v>
      </c>
      <c r="C4053">
        <v>985</v>
      </c>
      <c r="D4053" t="s">
        <v>361</v>
      </c>
      <c r="E4053" t="s">
        <v>362</v>
      </c>
      <c r="F4053">
        <v>11.29</v>
      </c>
      <c r="G4053">
        <v>230131</v>
      </c>
      <c r="H4053">
        <v>4590</v>
      </c>
      <c r="I4053" t="s">
        <v>203</v>
      </c>
      <c r="J4053">
        <v>14</v>
      </c>
      <c r="K4053">
        <v>2.71</v>
      </c>
      <c r="L4053">
        <v>17951</v>
      </c>
      <c r="M4053" t="s">
        <v>87</v>
      </c>
      <c r="N4053" t="str">
        <f>"13007882    "</f>
        <v xml:space="preserve">13007882    </v>
      </c>
      <c r="O4053">
        <v>230202</v>
      </c>
    </row>
    <row r="4054" spans="1:15" x14ac:dyDescent="0.25">
      <c r="A4054" t="s">
        <v>16</v>
      </c>
      <c r="B4054" t="s">
        <v>3221</v>
      </c>
      <c r="C4054">
        <v>2079</v>
      </c>
      <c r="D4054" t="s">
        <v>361</v>
      </c>
      <c r="E4054" t="s">
        <v>362</v>
      </c>
      <c r="F4054">
        <v>124.3</v>
      </c>
      <c r="G4054">
        <v>230215</v>
      </c>
      <c r="H4054">
        <v>4590</v>
      </c>
      <c r="I4054" t="s">
        <v>203</v>
      </c>
      <c r="J4054">
        <v>154.13</v>
      </c>
      <c r="K4054">
        <v>29.83</v>
      </c>
      <c r="L4054">
        <v>17711</v>
      </c>
      <c r="M4054" t="s">
        <v>65</v>
      </c>
      <c r="N4054" t="str">
        <f>"13013295    "</f>
        <v xml:space="preserve">13013295    </v>
      </c>
      <c r="O4054">
        <v>230220</v>
      </c>
    </row>
    <row r="4055" spans="1:15" x14ac:dyDescent="0.25">
      <c r="A4055" t="s">
        <v>16</v>
      </c>
      <c r="B4055" t="s">
        <v>3221</v>
      </c>
      <c r="C4055">
        <v>2082</v>
      </c>
      <c r="D4055" t="s">
        <v>361</v>
      </c>
      <c r="E4055" t="s">
        <v>362</v>
      </c>
      <c r="F4055">
        <v>370.19</v>
      </c>
      <c r="G4055">
        <v>230215</v>
      </c>
      <c r="H4055">
        <v>4590</v>
      </c>
      <c r="I4055" t="s">
        <v>203</v>
      </c>
      <c r="J4055">
        <v>459.03</v>
      </c>
      <c r="K4055">
        <v>88.84</v>
      </c>
      <c r="L4055">
        <v>17806</v>
      </c>
      <c r="M4055" t="s">
        <v>265</v>
      </c>
      <c r="N4055" t="str">
        <f>"13013294    "</f>
        <v xml:space="preserve">13013294    </v>
      </c>
      <c r="O4055">
        <v>230220</v>
      </c>
    </row>
    <row r="4056" spans="1:15" x14ac:dyDescent="0.25">
      <c r="A4056" t="s">
        <v>16</v>
      </c>
      <c r="B4056" t="s">
        <v>3221</v>
      </c>
      <c r="C4056">
        <v>5114</v>
      </c>
      <c r="D4056" t="s">
        <v>361</v>
      </c>
      <c r="E4056" t="s">
        <v>362</v>
      </c>
      <c r="F4056">
        <v>107.48</v>
      </c>
      <c r="G4056">
        <v>230414</v>
      </c>
      <c r="H4056">
        <v>4590</v>
      </c>
      <c r="I4056" t="s">
        <v>203</v>
      </c>
      <c r="J4056">
        <v>133.28</v>
      </c>
      <c r="K4056">
        <v>25.8</v>
      </c>
      <c r="L4056">
        <v>17806</v>
      </c>
      <c r="M4056" t="s">
        <v>265</v>
      </c>
      <c r="N4056" t="str">
        <f>"13037065    "</f>
        <v xml:space="preserve">13037065    </v>
      </c>
      <c r="O4056">
        <v>230418</v>
      </c>
    </row>
    <row r="4057" spans="1:15" x14ac:dyDescent="0.25">
      <c r="A4057" t="s">
        <v>16</v>
      </c>
      <c r="B4057" t="s">
        <v>3221</v>
      </c>
      <c r="C4057">
        <v>6812</v>
      </c>
      <c r="D4057" t="s">
        <v>361</v>
      </c>
      <c r="E4057" t="s">
        <v>362</v>
      </c>
      <c r="F4057">
        <v>255.06</v>
      </c>
      <c r="G4057">
        <v>230515</v>
      </c>
      <c r="H4057">
        <v>4590</v>
      </c>
      <c r="I4057" t="s">
        <v>203</v>
      </c>
      <c r="J4057">
        <v>316.27</v>
      </c>
      <c r="K4057">
        <v>61.21</v>
      </c>
      <c r="L4057">
        <v>17806</v>
      </c>
      <c r="M4057" t="s">
        <v>265</v>
      </c>
      <c r="N4057" t="str">
        <f>"13058718    "</f>
        <v xml:space="preserve">13058718    </v>
      </c>
      <c r="O4057">
        <v>230522</v>
      </c>
    </row>
    <row r="4058" spans="1:15" x14ac:dyDescent="0.25">
      <c r="A4058" t="s">
        <v>16</v>
      </c>
      <c r="B4058" t="s">
        <v>3221</v>
      </c>
      <c r="C4058">
        <v>7871</v>
      </c>
      <c r="D4058" t="s">
        <v>361</v>
      </c>
      <c r="E4058" t="s">
        <v>362</v>
      </c>
      <c r="F4058">
        <v>14.52</v>
      </c>
      <c r="G4058">
        <v>230531</v>
      </c>
      <c r="H4058">
        <v>4590</v>
      </c>
      <c r="I4058" t="s">
        <v>203</v>
      </c>
      <c r="J4058">
        <v>18</v>
      </c>
      <c r="K4058">
        <v>3.48</v>
      </c>
      <c r="L4058">
        <v>17806</v>
      </c>
      <c r="M4058" t="s">
        <v>265</v>
      </c>
      <c r="N4058" t="str">
        <f>"13071711    "</f>
        <v xml:space="preserve">13071711    </v>
      </c>
      <c r="O4058">
        <v>230605</v>
      </c>
    </row>
    <row r="4059" spans="1:15" x14ac:dyDescent="0.25">
      <c r="A4059" t="s">
        <v>16</v>
      </c>
      <c r="B4059" t="s">
        <v>3221</v>
      </c>
      <c r="C4059">
        <v>8831</v>
      </c>
      <c r="D4059" t="s">
        <v>361</v>
      </c>
      <c r="E4059" t="s">
        <v>362</v>
      </c>
      <c r="F4059">
        <v>19.87</v>
      </c>
      <c r="G4059">
        <v>230615</v>
      </c>
      <c r="H4059">
        <v>4590</v>
      </c>
      <c r="I4059" t="s">
        <v>203</v>
      </c>
      <c r="J4059">
        <v>24.64</v>
      </c>
      <c r="K4059">
        <v>4.7699999999999996</v>
      </c>
      <c r="L4059">
        <v>17952</v>
      </c>
      <c r="M4059" t="s">
        <v>88</v>
      </c>
      <c r="N4059" t="str">
        <f>"13083440    "</f>
        <v xml:space="preserve">13083440    </v>
      </c>
      <c r="O4059">
        <v>230616</v>
      </c>
    </row>
    <row r="4060" spans="1:15" x14ac:dyDescent="0.25">
      <c r="A4060" t="s">
        <v>16</v>
      </c>
      <c r="B4060" t="s">
        <v>3221</v>
      </c>
      <c r="C4060">
        <v>9778</v>
      </c>
      <c r="D4060" t="s">
        <v>361</v>
      </c>
      <c r="E4060" t="s">
        <v>362</v>
      </c>
      <c r="F4060">
        <v>304</v>
      </c>
      <c r="G4060">
        <v>230714</v>
      </c>
      <c r="H4060">
        <v>4590</v>
      </c>
      <c r="I4060" t="s">
        <v>203</v>
      </c>
      <c r="J4060">
        <v>376.96</v>
      </c>
      <c r="K4060">
        <v>72.959999999999994</v>
      </c>
      <c r="L4060">
        <v>17711</v>
      </c>
      <c r="M4060" t="s">
        <v>65</v>
      </c>
      <c r="N4060" t="str">
        <f>"13103833    "</f>
        <v xml:space="preserve">13103833    </v>
      </c>
      <c r="O4060">
        <v>230725</v>
      </c>
    </row>
    <row r="4061" spans="1:15" x14ac:dyDescent="0.25">
      <c r="A4061" t="s">
        <v>16</v>
      </c>
      <c r="B4061" t="s">
        <v>3221</v>
      </c>
      <c r="C4061">
        <v>13113</v>
      </c>
      <c r="D4061" t="s">
        <v>361</v>
      </c>
      <c r="E4061" t="s">
        <v>362</v>
      </c>
      <c r="F4061">
        <v>82.63</v>
      </c>
      <c r="G4061">
        <v>230915</v>
      </c>
      <c r="H4061">
        <v>4590</v>
      </c>
      <c r="I4061" t="s">
        <v>203</v>
      </c>
      <c r="J4061">
        <v>102.46</v>
      </c>
      <c r="K4061">
        <v>19.829999999999998</v>
      </c>
      <c r="L4061">
        <v>17957</v>
      </c>
      <c r="M4061" t="s">
        <v>2626</v>
      </c>
      <c r="N4061" t="str">
        <f>"13139271    "</f>
        <v xml:space="preserve">13139271    </v>
      </c>
      <c r="O4061">
        <v>231004</v>
      </c>
    </row>
    <row r="4062" spans="1:15" x14ac:dyDescent="0.25">
      <c r="A4062" t="s">
        <v>16</v>
      </c>
      <c r="B4062" t="s">
        <v>3221</v>
      </c>
      <c r="C4062">
        <v>14225</v>
      </c>
      <c r="D4062" t="s">
        <v>361</v>
      </c>
      <c r="E4062" t="s">
        <v>362</v>
      </c>
      <c r="F4062">
        <v>108.15</v>
      </c>
      <c r="G4062">
        <v>231013</v>
      </c>
      <c r="H4062">
        <v>4590</v>
      </c>
      <c r="I4062" t="s">
        <v>203</v>
      </c>
      <c r="J4062">
        <v>134.1</v>
      </c>
      <c r="K4062">
        <v>25.95</v>
      </c>
      <c r="L4062">
        <v>17711</v>
      </c>
      <c r="M4062" t="s">
        <v>65</v>
      </c>
      <c r="N4062" t="str">
        <f>"13156657    "</f>
        <v xml:space="preserve">13156657    </v>
      </c>
      <c r="O4062">
        <v>231024</v>
      </c>
    </row>
    <row r="4063" spans="1:15" x14ac:dyDescent="0.25">
      <c r="A4063" t="s">
        <v>16</v>
      </c>
      <c r="B4063" t="s">
        <v>3221</v>
      </c>
      <c r="C4063">
        <v>16641</v>
      </c>
      <c r="D4063" t="s">
        <v>361</v>
      </c>
      <c r="E4063" t="s">
        <v>362</v>
      </c>
      <c r="F4063">
        <v>31.18</v>
      </c>
      <c r="G4063">
        <v>231130</v>
      </c>
      <c r="H4063">
        <v>4590</v>
      </c>
      <c r="I4063" t="s">
        <v>203</v>
      </c>
      <c r="J4063">
        <v>38.659999999999997</v>
      </c>
      <c r="K4063">
        <v>7.48</v>
      </c>
      <c r="L4063">
        <v>17951</v>
      </c>
      <c r="M4063" t="s">
        <v>87</v>
      </c>
      <c r="N4063" t="str">
        <f>"13179037    "</f>
        <v xml:space="preserve">13179037    </v>
      </c>
      <c r="O4063">
        <v>231205</v>
      </c>
    </row>
    <row r="4064" spans="1:15" x14ac:dyDescent="0.25">
      <c r="A4064" t="s">
        <v>16</v>
      </c>
      <c r="B4064" t="s">
        <v>3221</v>
      </c>
      <c r="C4064">
        <v>16822</v>
      </c>
      <c r="D4064" t="s">
        <v>361</v>
      </c>
      <c r="E4064" t="s">
        <v>362</v>
      </c>
      <c r="F4064">
        <v>104.63</v>
      </c>
      <c r="G4064">
        <v>231130</v>
      </c>
      <c r="H4064">
        <v>4590</v>
      </c>
      <c r="I4064" t="s">
        <v>203</v>
      </c>
      <c r="J4064">
        <v>129.74</v>
      </c>
      <c r="K4064">
        <v>25.11</v>
      </c>
      <c r="L4064">
        <v>17711</v>
      </c>
      <c r="M4064" t="s">
        <v>65</v>
      </c>
      <c r="N4064" t="str">
        <f>"13179040    "</f>
        <v xml:space="preserve">13179040    </v>
      </c>
      <c r="O4064">
        <v>231211</v>
      </c>
    </row>
    <row r="4065" spans="1:15" x14ac:dyDescent="0.25">
      <c r="A4065" t="s">
        <v>16</v>
      </c>
      <c r="B4065" t="s">
        <v>3221</v>
      </c>
      <c r="C4065">
        <v>258</v>
      </c>
      <c r="D4065" t="s">
        <v>361</v>
      </c>
      <c r="E4065" t="s">
        <v>362</v>
      </c>
      <c r="F4065">
        <v>2695.9</v>
      </c>
      <c r="G4065">
        <v>230111</v>
      </c>
      <c r="H4065">
        <v>4554</v>
      </c>
      <c r="I4065" t="s">
        <v>371</v>
      </c>
      <c r="J4065">
        <v>3073.33</v>
      </c>
      <c r="K4065">
        <v>377.43</v>
      </c>
      <c r="L4065">
        <v>67554</v>
      </c>
      <c r="M4065" t="s">
        <v>60</v>
      </c>
      <c r="N4065" t="str">
        <f>"000997099   "</f>
        <v xml:space="preserve">000997099   </v>
      </c>
      <c r="O4065">
        <v>230117</v>
      </c>
    </row>
    <row r="4066" spans="1:15" x14ac:dyDescent="0.25">
      <c r="A4066" t="s">
        <v>16</v>
      </c>
      <c r="B4066" t="s">
        <v>3221</v>
      </c>
      <c r="C4066">
        <v>335</v>
      </c>
      <c r="D4066" t="s">
        <v>361</v>
      </c>
      <c r="E4066" t="s">
        <v>362</v>
      </c>
      <c r="F4066">
        <v>1079.1500000000001</v>
      </c>
      <c r="G4066">
        <v>230112</v>
      </c>
      <c r="H4066">
        <v>4554</v>
      </c>
      <c r="I4066" t="s">
        <v>371</v>
      </c>
      <c r="J4066">
        <v>1230.23</v>
      </c>
      <c r="K4066">
        <v>151.08000000000001</v>
      </c>
      <c r="L4066">
        <v>67554</v>
      </c>
      <c r="M4066" t="s">
        <v>60</v>
      </c>
      <c r="N4066" t="str">
        <f>"13001736    "</f>
        <v xml:space="preserve">13001736    </v>
      </c>
      <c r="O4066">
        <v>230118</v>
      </c>
    </row>
    <row r="4067" spans="1:15" x14ac:dyDescent="0.25">
      <c r="A4067" t="s">
        <v>16</v>
      </c>
      <c r="B4067" t="s">
        <v>3221</v>
      </c>
      <c r="C4067">
        <v>1472</v>
      </c>
      <c r="D4067" t="s">
        <v>361</v>
      </c>
      <c r="E4067" t="s">
        <v>362</v>
      </c>
      <c r="F4067">
        <v>125.36</v>
      </c>
      <c r="G4067">
        <v>230131</v>
      </c>
      <c r="H4067">
        <v>4554</v>
      </c>
      <c r="I4067" t="s">
        <v>371</v>
      </c>
      <c r="J4067">
        <v>142.91</v>
      </c>
      <c r="K4067">
        <v>17.55</v>
      </c>
      <c r="L4067">
        <v>17711</v>
      </c>
      <c r="M4067" t="s">
        <v>65</v>
      </c>
      <c r="N4067" t="str">
        <f>"13007881    "</f>
        <v xml:space="preserve">13007881    </v>
      </c>
      <c r="O4067">
        <v>230209</v>
      </c>
    </row>
    <row r="4068" spans="1:15" x14ac:dyDescent="0.25">
      <c r="A4068" t="s">
        <v>16</v>
      </c>
      <c r="B4068" t="s">
        <v>3221</v>
      </c>
      <c r="C4068">
        <v>2027</v>
      </c>
      <c r="D4068" t="s">
        <v>361</v>
      </c>
      <c r="E4068" t="s">
        <v>362</v>
      </c>
      <c r="F4068">
        <v>43.82</v>
      </c>
      <c r="G4068">
        <v>230215</v>
      </c>
      <c r="H4068">
        <v>4554</v>
      </c>
      <c r="I4068" t="s">
        <v>371</v>
      </c>
      <c r="J4068">
        <v>49.95</v>
      </c>
      <c r="K4068">
        <v>6.13</v>
      </c>
      <c r="L4068">
        <v>17711</v>
      </c>
      <c r="M4068" t="s">
        <v>65</v>
      </c>
      <c r="N4068" t="str">
        <f>"13013292    "</f>
        <v xml:space="preserve">13013292    </v>
      </c>
      <c r="O4068">
        <v>230217</v>
      </c>
    </row>
    <row r="4069" spans="1:15" x14ac:dyDescent="0.25">
      <c r="A4069" t="s">
        <v>16</v>
      </c>
      <c r="B4069" t="s">
        <v>3221</v>
      </c>
      <c r="C4069">
        <v>3354</v>
      </c>
      <c r="D4069" t="s">
        <v>361</v>
      </c>
      <c r="E4069" t="s">
        <v>362</v>
      </c>
      <c r="F4069">
        <v>1078.68</v>
      </c>
      <c r="G4069">
        <v>230313</v>
      </c>
      <c r="H4069">
        <v>4554</v>
      </c>
      <c r="I4069" t="s">
        <v>371</v>
      </c>
      <c r="J4069">
        <v>1229.69</v>
      </c>
      <c r="K4069">
        <v>151.01</v>
      </c>
      <c r="L4069">
        <v>67554</v>
      </c>
      <c r="M4069" t="s">
        <v>60</v>
      </c>
      <c r="N4069" t="str">
        <f>"13022323    "</f>
        <v xml:space="preserve">13022323    </v>
      </c>
      <c r="O4069">
        <v>230315</v>
      </c>
    </row>
    <row r="4070" spans="1:15" x14ac:dyDescent="0.25">
      <c r="A4070" t="s">
        <v>16</v>
      </c>
      <c r="B4070" t="s">
        <v>3221</v>
      </c>
      <c r="C4070">
        <v>3506</v>
      </c>
      <c r="D4070" t="s">
        <v>361</v>
      </c>
      <c r="E4070" t="s">
        <v>362</v>
      </c>
      <c r="F4070">
        <v>4706.97</v>
      </c>
      <c r="G4070">
        <v>230313</v>
      </c>
      <c r="H4070">
        <v>4554</v>
      </c>
      <c r="I4070" t="s">
        <v>371</v>
      </c>
      <c r="J4070">
        <v>5365.95</v>
      </c>
      <c r="K4070">
        <v>658.98</v>
      </c>
      <c r="L4070">
        <v>67554</v>
      </c>
      <c r="M4070" t="s">
        <v>60</v>
      </c>
      <c r="N4070" t="str">
        <f>"001016011   "</f>
        <v xml:space="preserve">001016011   </v>
      </c>
      <c r="O4070">
        <v>230316</v>
      </c>
    </row>
    <row r="4071" spans="1:15" x14ac:dyDescent="0.25">
      <c r="A4071" t="s">
        <v>16</v>
      </c>
      <c r="B4071" t="s">
        <v>3221</v>
      </c>
      <c r="C4071">
        <v>3826</v>
      </c>
      <c r="D4071" t="s">
        <v>361</v>
      </c>
      <c r="E4071" t="s">
        <v>362</v>
      </c>
      <c r="F4071">
        <v>111.18</v>
      </c>
      <c r="G4071">
        <v>230315</v>
      </c>
      <c r="H4071">
        <v>4554</v>
      </c>
      <c r="I4071" t="s">
        <v>371</v>
      </c>
      <c r="J4071">
        <v>126.75</v>
      </c>
      <c r="K4071">
        <v>15.57</v>
      </c>
      <c r="L4071">
        <v>17711</v>
      </c>
      <c r="M4071" t="s">
        <v>65</v>
      </c>
      <c r="N4071" t="str">
        <f>"13023666    "</f>
        <v xml:space="preserve">13023666    </v>
      </c>
      <c r="O4071">
        <v>230323</v>
      </c>
    </row>
    <row r="4072" spans="1:15" x14ac:dyDescent="0.25">
      <c r="A4072" t="s">
        <v>16</v>
      </c>
      <c r="B4072" t="s">
        <v>3221</v>
      </c>
      <c r="C4072">
        <v>4550</v>
      </c>
      <c r="D4072" t="s">
        <v>361</v>
      </c>
      <c r="E4072" t="s">
        <v>362</v>
      </c>
      <c r="F4072">
        <v>86.91</v>
      </c>
      <c r="G4072">
        <v>230331</v>
      </c>
      <c r="H4072">
        <v>4554</v>
      </c>
      <c r="I4072" t="s">
        <v>371</v>
      </c>
      <c r="J4072">
        <v>99.08</v>
      </c>
      <c r="K4072">
        <v>12.17</v>
      </c>
      <c r="L4072">
        <v>17711</v>
      </c>
      <c r="M4072" t="s">
        <v>65</v>
      </c>
      <c r="N4072" t="str">
        <f>"13030185    "</f>
        <v xml:space="preserve">13030185    </v>
      </c>
      <c r="O4072">
        <v>230406</v>
      </c>
    </row>
    <row r="4073" spans="1:15" x14ac:dyDescent="0.25">
      <c r="A4073" t="s">
        <v>16</v>
      </c>
      <c r="B4073" t="s">
        <v>3221</v>
      </c>
      <c r="C4073">
        <v>4882</v>
      </c>
      <c r="D4073" t="s">
        <v>361</v>
      </c>
      <c r="E4073" t="s">
        <v>362</v>
      </c>
      <c r="F4073">
        <v>603.1</v>
      </c>
      <c r="G4073">
        <v>230412</v>
      </c>
      <c r="H4073">
        <v>4554</v>
      </c>
      <c r="I4073" t="s">
        <v>371</v>
      </c>
      <c r="J4073">
        <v>687.53</v>
      </c>
      <c r="K4073">
        <v>84.43</v>
      </c>
      <c r="L4073">
        <v>67554</v>
      </c>
      <c r="M4073" t="s">
        <v>60</v>
      </c>
      <c r="N4073" t="str">
        <f>"13034943    "</f>
        <v xml:space="preserve">13034943    </v>
      </c>
      <c r="O4073">
        <v>230413</v>
      </c>
    </row>
    <row r="4074" spans="1:15" x14ac:dyDescent="0.25">
      <c r="A4074" t="s">
        <v>16</v>
      </c>
      <c r="B4074" t="s">
        <v>3221</v>
      </c>
      <c r="C4074">
        <v>5585</v>
      </c>
      <c r="D4074" t="s">
        <v>361</v>
      </c>
      <c r="E4074" t="s">
        <v>362</v>
      </c>
      <c r="F4074">
        <v>907.82</v>
      </c>
      <c r="G4074">
        <v>230424</v>
      </c>
      <c r="H4074">
        <v>4554</v>
      </c>
      <c r="I4074" t="s">
        <v>371</v>
      </c>
      <c r="J4074">
        <v>1034.9100000000001</v>
      </c>
      <c r="K4074">
        <v>127.09</v>
      </c>
      <c r="L4074">
        <v>67554</v>
      </c>
      <c r="M4074" t="s">
        <v>60</v>
      </c>
      <c r="N4074" t="str">
        <f>"13042631    "</f>
        <v xml:space="preserve">13042631    </v>
      </c>
      <c r="O4074">
        <v>230427</v>
      </c>
    </row>
    <row r="4075" spans="1:15" x14ac:dyDescent="0.25">
      <c r="A4075" t="s">
        <v>16</v>
      </c>
      <c r="B4075" t="s">
        <v>3221</v>
      </c>
      <c r="C4075">
        <v>5585</v>
      </c>
      <c r="D4075" t="s">
        <v>361</v>
      </c>
      <c r="E4075" t="s">
        <v>362</v>
      </c>
      <c r="F4075">
        <v>422.71</v>
      </c>
      <c r="G4075">
        <v>230424</v>
      </c>
      <c r="H4075">
        <v>4554</v>
      </c>
      <c r="I4075" t="s">
        <v>371</v>
      </c>
      <c r="J4075">
        <v>481.89</v>
      </c>
      <c r="K4075">
        <v>59.18</v>
      </c>
      <c r="L4075">
        <v>67554</v>
      </c>
      <c r="M4075" t="s">
        <v>60</v>
      </c>
      <c r="N4075" t="str">
        <f>"13042631    "</f>
        <v xml:space="preserve">13042631    </v>
      </c>
      <c r="O4075">
        <v>230427</v>
      </c>
    </row>
    <row r="4076" spans="1:15" x14ac:dyDescent="0.25">
      <c r="A4076" t="s">
        <v>16</v>
      </c>
      <c r="B4076" t="s">
        <v>3221</v>
      </c>
      <c r="C4076">
        <v>5654</v>
      </c>
      <c r="D4076" t="s">
        <v>361</v>
      </c>
      <c r="E4076" t="s">
        <v>362</v>
      </c>
      <c r="F4076">
        <v>4454.4399999999996</v>
      </c>
      <c r="G4076">
        <v>230427</v>
      </c>
      <c r="H4076">
        <v>4554</v>
      </c>
      <c r="I4076" t="s">
        <v>371</v>
      </c>
      <c r="J4076">
        <v>5078.0600000000004</v>
      </c>
      <c r="K4076">
        <v>623.62</v>
      </c>
      <c r="L4076">
        <v>67554</v>
      </c>
      <c r="M4076" t="s">
        <v>60</v>
      </c>
      <c r="N4076" t="str">
        <f>"001031574   "</f>
        <v xml:space="preserve">001031574   </v>
      </c>
      <c r="O4076">
        <v>230428</v>
      </c>
    </row>
    <row r="4077" spans="1:15" x14ac:dyDescent="0.25">
      <c r="A4077" t="s">
        <v>16</v>
      </c>
      <c r="B4077" t="s">
        <v>3221</v>
      </c>
      <c r="C4077">
        <v>6034</v>
      </c>
      <c r="D4077" t="s">
        <v>361</v>
      </c>
      <c r="E4077" t="s">
        <v>362</v>
      </c>
      <c r="F4077">
        <v>14.68</v>
      </c>
      <c r="G4077">
        <v>230428</v>
      </c>
      <c r="H4077">
        <v>4554</v>
      </c>
      <c r="I4077" t="s">
        <v>371</v>
      </c>
      <c r="J4077">
        <v>16.73</v>
      </c>
      <c r="K4077">
        <v>2.0499999999999998</v>
      </c>
      <c r="L4077">
        <v>17711</v>
      </c>
      <c r="M4077" t="s">
        <v>65</v>
      </c>
      <c r="N4077" t="str">
        <f>"13045940    "</f>
        <v xml:space="preserve">13045940    </v>
      </c>
      <c r="O4077">
        <v>230505</v>
      </c>
    </row>
    <row r="4078" spans="1:15" x14ac:dyDescent="0.25">
      <c r="A4078" t="s">
        <v>16</v>
      </c>
      <c r="B4078" t="s">
        <v>3221</v>
      </c>
      <c r="C4078">
        <v>7419</v>
      </c>
      <c r="D4078" t="s">
        <v>361</v>
      </c>
      <c r="E4078" t="s">
        <v>362</v>
      </c>
      <c r="F4078">
        <v>29.12</v>
      </c>
      <c r="G4078">
        <v>230515</v>
      </c>
      <c r="H4078">
        <v>4554</v>
      </c>
      <c r="I4078" t="s">
        <v>371</v>
      </c>
      <c r="J4078">
        <v>33.200000000000003</v>
      </c>
      <c r="K4078">
        <v>4.08</v>
      </c>
      <c r="L4078">
        <v>17711</v>
      </c>
      <c r="M4078" t="s">
        <v>65</v>
      </c>
      <c r="N4078" t="str">
        <f>"13058719    "</f>
        <v xml:space="preserve">13058719    </v>
      </c>
      <c r="O4078">
        <v>230530</v>
      </c>
    </row>
    <row r="4079" spans="1:15" x14ac:dyDescent="0.25">
      <c r="A4079" t="s">
        <v>16</v>
      </c>
      <c r="B4079" t="s">
        <v>3221</v>
      </c>
      <c r="C4079">
        <v>7949</v>
      </c>
      <c r="D4079" t="s">
        <v>361</v>
      </c>
      <c r="E4079" t="s">
        <v>362</v>
      </c>
      <c r="F4079">
        <v>91.97</v>
      </c>
      <c r="G4079">
        <v>230531</v>
      </c>
      <c r="H4079">
        <v>4554</v>
      </c>
      <c r="I4079" t="s">
        <v>371</v>
      </c>
      <c r="J4079">
        <v>104.85</v>
      </c>
      <c r="K4079">
        <v>12.88</v>
      </c>
      <c r="L4079">
        <v>17711</v>
      </c>
      <c r="M4079" t="s">
        <v>65</v>
      </c>
      <c r="N4079" t="str">
        <f>"13071714    "</f>
        <v xml:space="preserve">13071714    </v>
      </c>
      <c r="O4079">
        <v>230606</v>
      </c>
    </row>
    <row r="4080" spans="1:15" x14ac:dyDescent="0.25">
      <c r="A4080" t="s">
        <v>16</v>
      </c>
      <c r="B4080" t="s">
        <v>3221</v>
      </c>
      <c r="C4080">
        <v>8890</v>
      </c>
      <c r="D4080" t="s">
        <v>361</v>
      </c>
      <c r="E4080" t="s">
        <v>362</v>
      </c>
      <c r="F4080">
        <v>57.81</v>
      </c>
      <c r="G4080">
        <v>230615</v>
      </c>
      <c r="H4080">
        <v>4554</v>
      </c>
      <c r="I4080" t="s">
        <v>371</v>
      </c>
      <c r="J4080">
        <v>65.900000000000006</v>
      </c>
      <c r="K4080">
        <v>8.09</v>
      </c>
      <c r="L4080">
        <v>17711</v>
      </c>
      <c r="M4080" t="s">
        <v>65</v>
      </c>
      <c r="N4080" t="str">
        <f>"13083439    "</f>
        <v xml:space="preserve">13083439    </v>
      </c>
      <c r="O4080">
        <v>230619</v>
      </c>
    </row>
    <row r="4081" spans="1:15" x14ac:dyDescent="0.25">
      <c r="A4081" t="s">
        <v>16</v>
      </c>
      <c r="B4081" t="s">
        <v>3221</v>
      </c>
      <c r="C4081">
        <v>9289</v>
      </c>
      <c r="D4081" t="s">
        <v>361</v>
      </c>
      <c r="E4081" t="s">
        <v>362</v>
      </c>
      <c r="F4081">
        <v>10.35</v>
      </c>
      <c r="G4081">
        <v>230630</v>
      </c>
      <c r="H4081">
        <v>4554</v>
      </c>
      <c r="I4081" t="s">
        <v>371</v>
      </c>
      <c r="J4081">
        <v>11.8</v>
      </c>
      <c r="K4081">
        <v>1.45</v>
      </c>
      <c r="L4081">
        <v>17711</v>
      </c>
      <c r="M4081" t="s">
        <v>65</v>
      </c>
      <c r="N4081" t="str">
        <f>"13094830    "</f>
        <v xml:space="preserve">13094830    </v>
      </c>
      <c r="O4081">
        <v>230704</v>
      </c>
    </row>
    <row r="4082" spans="1:15" x14ac:dyDescent="0.25">
      <c r="A4082" t="s">
        <v>16</v>
      </c>
      <c r="B4082" t="s">
        <v>3221</v>
      </c>
      <c r="C4082">
        <v>9708</v>
      </c>
      <c r="D4082" t="s">
        <v>361</v>
      </c>
      <c r="E4082" t="s">
        <v>362</v>
      </c>
      <c r="F4082">
        <v>6341.46</v>
      </c>
      <c r="G4082">
        <v>230712</v>
      </c>
      <c r="H4082">
        <v>4554</v>
      </c>
      <c r="I4082" t="s">
        <v>371</v>
      </c>
      <c r="J4082">
        <v>7229.26</v>
      </c>
      <c r="K4082">
        <v>887.8</v>
      </c>
      <c r="L4082">
        <v>67554</v>
      </c>
      <c r="M4082" t="s">
        <v>60</v>
      </c>
      <c r="N4082" t="str">
        <f>"001055095   "</f>
        <v xml:space="preserve">001055095   </v>
      </c>
      <c r="O4082">
        <v>230720</v>
      </c>
    </row>
    <row r="4083" spans="1:15" x14ac:dyDescent="0.25">
      <c r="A4083" t="s">
        <v>16</v>
      </c>
      <c r="B4083" t="s">
        <v>3221</v>
      </c>
      <c r="C4083">
        <v>9778</v>
      </c>
      <c r="D4083" t="s">
        <v>361</v>
      </c>
      <c r="E4083" t="s">
        <v>362</v>
      </c>
      <c r="F4083">
        <v>39.75</v>
      </c>
      <c r="G4083">
        <v>230714</v>
      </c>
      <c r="H4083">
        <v>4554</v>
      </c>
      <c r="I4083" t="s">
        <v>371</v>
      </c>
      <c r="J4083">
        <v>45.32</v>
      </c>
      <c r="K4083">
        <v>5.57</v>
      </c>
      <c r="L4083">
        <v>17711</v>
      </c>
      <c r="M4083" t="s">
        <v>65</v>
      </c>
      <c r="N4083" t="str">
        <f>"13103833    "</f>
        <v xml:space="preserve">13103833    </v>
      </c>
      <c r="O4083">
        <v>230725</v>
      </c>
    </row>
    <row r="4084" spans="1:15" x14ac:dyDescent="0.25">
      <c r="A4084" t="s">
        <v>16</v>
      </c>
      <c r="B4084" t="s">
        <v>3221</v>
      </c>
      <c r="C4084">
        <v>11721</v>
      </c>
      <c r="D4084" t="s">
        <v>361</v>
      </c>
      <c r="E4084" t="s">
        <v>362</v>
      </c>
      <c r="F4084">
        <v>51.6</v>
      </c>
      <c r="G4084">
        <v>230831</v>
      </c>
      <c r="H4084">
        <v>4554</v>
      </c>
      <c r="I4084" t="s">
        <v>371</v>
      </c>
      <c r="J4084">
        <v>58.82</v>
      </c>
      <c r="K4084">
        <v>7.22</v>
      </c>
      <c r="L4084">
        <v>17711</v>
      </c>
      <c r="M4084" t="s">
        <v>65</v>
      </c>
      <c r="N4084" t="str">
        <f>"13129159    "</f>
        <v xml:space="preserve">13129159    </v>
      </c>
      <c r="O4084">
        <v>230908</v>
      </c>
    </row>
    <row r="4085" spans="1:15" x14ac:dyDescent="0.25">
      <c r="A4085" t="s">
        <v>16</v>
      </c>
      <c r="B4085" t="s">
        <v>3221</v>
      </c>
      <c r="C4085">
        <v>11823</v>
      </c>
      <c r="D4085" t="s">
        <v>361</v>
      </c>
      <c r="E4085" t="s">
        <v>362</v>
      </c>
      <c r="F4085">
        <v>37.86</v>
      </c>
      <c r="G4085">
        <v>230831</v>
      </c>
      <c r="H4085">
        <v>4554</v>
      </c>
      <c r="I4085" t="s">
        <v>371</v>
      </c>
      <c r="J4085">
        <v>46.95</v>
      </c>
      <c r="K4085">
        <v>9.09</v>
      </c>
      <c r="L4085">
        <v>67554</v>
      </c>
      <c r="M4085" t="s">
        <v>60</v>
      </c>
      <c r="N4085" t="str">
        <f>"13129160    "</f>
        <v xml:space="preserve">13129160    </v>
      </c>
      <c r="O4085">
        <v>230911</v>
      </c>
    </row>
    <row r="4086" spans="1:15" x14ac:dyDescent="0.25">
      <c r="A4086" t="s">
        <v>16</v>
      </c>
      <c r="B4086" t="s">
        <v>3221</v>
      </c>
      <c r="C4086">
        <v>12540</v>
      </c>
      <c r="D4086" t="s">
        <v>361</v>
      </c>
      <c r="E4086" t="s">
        <v>362</v>
      </c>
      <c r="F4086">
        <v>4788.51</v>
      </c>
      <c r="G4086">
        <v>230914</v>
      </c>
      <c r="H4086">
        <v>4554</v>
      </c>
      <c r="I4086" t="s">
        <v>371</v>
      </c>
      <c r="J4086">
        <v>5458.9</v>
      </c>
      <c r="K4086">
        <v>670.39</v>
      </c>
      <c r="L4086">
        <v>67554</v>
      </c>
      <c r="M4086" t="s">
        <v>60</v>
      </c>
      <c r="N4086" t="str">
        <f>"13137473    "</f>
        <v xml:space="preserve">13137473    </v>
      </c>
      <c r="O4086">
        <v>230920</v>
      </c>
    </row>
    <row r="4087" spans="1:15" x14ac:dyDescent="0.25">
      <c r="A4087" t="s">
        <v>16</v>
      </c>
      <c r="B4087" t="s">
        <v>3221</v>
      </c>
      <c r="C4087">
        <v>12717</v>
      </c>
      <c r="D4087" t="s">
        <v>361</v>
      </c>
      <c r="E4087" t="s">
        <v>362</v>
      </c>
      <c r="F4087">
        <v>14.68</v>
      </c>
      <c r="G4087">
        <v>230915</v>
      </c>
      <c r="H4087">
        <v>4554</v>
      </c>
      <c r="I4087" t="s">
        <v>371</v>
      </c>
      <c r="J4087">
        <v>16.73</v>
      </c>
      <c r="K4087">
        <v>2.0499999999999998</v>
      </c>
      <c r="L4087">
        <v>17711</v>
      </c>
      <c r="M4087" t="s">
        <v>65</v>
      </c>
      <c r="N4087" t="str">
        <f>"13139267    "</f>
        <v xml:space="preserve">13139267    </v>
      </c>
      <c r="O4087">
        <v>230925</v>
      </c>
    </row>
    <row r="4088" spans="1:15" x14ac:dyDescent="0.25">
      <c r="A4088" t="s">
        <v>16</v>
      </c>
      <c r="B4088" t="s">
        <v>3221</v>
      </c>
      <c r="C4088">
        <v>14225</v>
      </c>
      <c r="D4088" t="s">
        <v>361</v>
      </c>
      <c r="E4088" t="s">
        <v>362</v>
      </c>
      <c r="F4088">
        <v>140.41999999999999</v>
      </c>
      <c r="G4088">
        <v>231013</v>
      </c>
      <c r="H4088">
        <v>4554</v>
      </c>
      <c r="I4088" t="s">
        <v>371</v>
      </c>
      <c r="J4088">
        <v>160.08000000000001</v>
      </c>
      <c r="K4088">
        <v>19.66</v>
      </c>
      <c r="L4088">
        <v>17711</v>
      </c>
      <c r="M4088" t="s">
        <v>65</v>
      </c>
      <c r="N4088" t="str">
        <f>"13156657    "</f>
        <v xml:space="preserve">13156657    </v>
      </c>
      <c r="O4088">
        <v>231024</v>
      </c>
    </row>
    <row r="4089" spans="1:15" x14ac:dyDescent="0.25">
      <c r="A4089" t="s">
        <v>16</v>
      </c>
      <c r="B4089" t="s">
        <v>3221</v>
      </c>
      <c r="C4089">
        <v>15983</v>
      </c>
      <c r="D4089" t="s">
        <v>361</v>
      </c>
      <c r="E4089" t="s">
        <v>362</v>
      </c>
      <c r="F4089">
        <v>149.16999999999999</v>
      </c>
      <c r="G4089">
        <v>231115</v>
      </c>
      <c r="H4089">
        <v>4554</v>
      </c>
      <c r="I4089" t="s">
        <v>371</v>
      </c>
      <c r="J4089">
        <v>170.05</v>
      </c>
      <c r="K4089">
        <v>20.88</v>
      </c>
      <c r="L4089">
        <v>17711</v>
      </c>
      <c r="M4089" t="s">
        <v>65</v>
      </c>
      <c r="N4089" t="str">
        <f>"13172201    "</f>
        <v xml:space="preserve">13172201    </v>
      </c>
      <c r="O4089">
        <v>231122</v>
      </c>
    </row>
    <row r="4090" spans="1:15" x14ac:dyDescent="0.25">
      <c r="A4090" t="s">
        <v>16</v>
      </c>
      <c r="B4090" t="s">
        <v>3221</v>
      </c>
      <c r="C4090">
        <v>16366</v>
      </c>
      <c r="D4090" t="s">
        <v>361</v>
      </c>
      <c r="E4090" t="s">
        <v>362</v>
      </c>
      <c r="F4090">
        <v>1404.83</v>
      </c>
      <c r="G4090">
        <v>231124</v>
      </c>
      <c r="H4090">
        <v>4554</v>
      </c>
      <c r="I4090" t="s">
        <v>371</v>
      </c>
      <c r="J4090">
        <v>1601.51</v>
      </c>
      <c r="K4090">
        <v>196.68</v>
      </c>
      <c r="L4090">
        <v>17711</v>
      </c>
      <c r="M4090" t="s">
        <v>65</v>
      </c>
      <c r="N4090" t="str">
        <f>"13176472    "</f>
        <v xml:space="preserve">13176472    </v>
      </c>
      <c r="O4090">
        <v>231128</v>
      </c>
    </row>
    <row r="4091" spans="1:15" x14ac:dyDescent="0.25">
      <c r="A4091" t="s">
        <v>16</v>
      </c>
      <c r="B4091" t="s">
        <v>3221</v>
      </c>
      <c r="C4091">
        <v>16366</v>
      </c>
      <c r="D4091" t="s">
        <v>361</v>
      </c>
      <c r="E4091" t="s">
        <v>362</v>
      </c>
      <c r="F4091">
        <v>602.07000000000005</v>
      </c>
      <c r="G4091">
        <v>231124</v>
      </c>
      <c r="H4091">
        <v>4554</v>
      </c>
      <c r="I4091" t="s">
        <v>371</v>
      </c>
      <c r="J4091">
        <v>686.36</v>
      </c>
      <c r="K4091">
        <v>84.29</v>
      </c>
      <c r="L4091">
        <v>17739</v>
      </c>
      <c r="M4091" t="s">
        <v>374</v>
      </c>
      <c r="N4091" t="str">
        <f>"13176472    "</f>
        <v xml:space="preserve">13176472    </v>
      </c>
      <c r="O4091">
        <v>231128</v>
      </c>
    </row>
    <row r="4092" spans="1:15" x14ac:dyDescent="0.25">
      <c r="A4092" t="s">
        <v>16</v>
      </c>
      <c r="B4092" t="s">
        <v>3221</v>
      </c>
      <c r="C4092">
        <v>16367</v>
      </c>
      <c r="D4092" t="s">
        <v>361</v>
      </c>
      <c r="E4092" t="s">
        <v>362</v>
      </c>
      <c r="F4092">
        <v>1404.83</v>
      </c>
      <c r="G4092">
        <v>231124</v>
      </c>
      <c r="H4092">
        <v>4554</v>
      </c>
      <c r="I4092" t="s">
        <v>371</v>
      </c>
      <c r="J4092">
        <v>1601.51</v>
      </c>
      <c r="K4092">
        <v>196.68</v>
      </c>
      <c r="L4092">
        <v>17711</v>
      </c>
      <c r="M4092" t="s">
        <v>65</v>
      </c>
      <c r="N4092" t="str">
        <f>"13176473    "</f>
        <v xml:space="preserve">13176473    </v>
      </c>
      <c r="O4092">
        <v>231128</v>
      </c>
    </row>
    <row r="4093" spans="1:15" x14ac:dyDescent="0.25">
      <c r="A4093" t="s">
        <v>16</v>
      </c>
      <c r="B4093" t="s">
        <v>3221</v>
      </c>
      <c r="C4093">
        <v>16367</v>
      </c>
      <c r="D4093" t="s">
        <v>361</v>
      </c>
      <c r="E4093" t="s">
        <v>362</v>
      </c>
      <c r="F4093">
        <v>602.07000000000005</v>
      </c>
      <c r="G4093">
        <v>231124</v>
      </c>
      <c r="H4093">
        <v>4554</v>
      </c>
      <c r="I4093" t="s">
        <v>371</v>
      </c>
      <c r="J4093">
        <v>686.36</v>
      </c>
      <c r="K4093">
        <v>84.29</v>
      </c>
      <c r="L4093">
        <v>17739</v>
      </c>
      <c r="M4093" t="s">
        <v>374</v>
      </c>
      <c r="N4093" t="str">
        <f>"13176473    "</f>
        <v xml:space="preserve">13176473    </v>
      </c>
      <c r="O4093">
        <v>231128</v>
      </c>
    </row>
    <row r="4094" spans="1:15" x14ac:dyDescent="0.25">
      <c r="A4094" t="s">
        <v>16</v>
      </c>
      <c r="B4094" t="s">
        <v>3221</v>
      </c>
      <c r="C4094">
        <v>16368</v>
      </c>
      <c r="D4094" t="s">
        <v>361</v>
      </c>
      <c r="E4094" t="s">
        <v>362</v>
      </c>
      <c r="F4094">
        <v>1404.83</v>
      </c>
      <c r="G4094">
        <v>231124</v>
      </c>
      <c r="H4094">
        <v>4554</v>
      </c>
      <c r="I4094" t="s">
        <v>371</v>
      </c>
      <c r="J4094">
        <v>1601.51</v>
      </c>
      <c r="K4094">
        <v>196.68</v>
      </c>
      <c r="L4094">
        <v>17711</v>
      </c>
      <c r="M4094" t="s">
        <v>65</v>
      </c>
      <c r="N4094" t="str">
        <f>"13176474    "</f>
        <v xml:space="preserve">13176474    </v>
      </c>
      <c r="O4094">
        <v>231128</v>
      </c>
    </row>
    <row r="4095" spans="1:15" x14ac:dyDescent="0.25">
      <c r="A4095" t="s">
        <v>16</v>
      </c>
      <c r="B4095" t="s">
        <v>3221</v>
      </c>
      <c r="C4095">
        <v>16368</v>
      </c>
      <c r="D4095" t="s">
        <v>361</v>
      </c>
      <c r="E4095" t="s">
        <v>362</v>
      </c>
      <c r="F4095">
        <v>602.07000000000005</v>
      </c>
      <c r="G4095">
        <v>231124</v>
      </c>
      <c r="H4095">
        <v>4554</v>
      </c>
      <c r="I4095" t="s">
        <v>371</v>
      </c>
      <c r="J4095">
        <v>686.36</v>
      </c>
      <c r="K4095">
        <v>84.29</v>
      </c>
      <c r="L4095">
        <v>17739</v>
      </c>
      <c r="M4095" t="s">
        <v>374</v>
      </c>
      <c r="N4095" t="str">
        <f>"13176474    "</f>
        <v xml:space="preserve">13176474    </v>
      </c>
      <c r="O4095">
        <v>231128</v>
      </c>
    </row>
    <row r="4096" spans="1:15" x14ac:dyDescent="0.25">
      <c r="A4096" t="s">
        <v>16</v>
      </c>
      <c r="B4096" t="s">
        <v>3221</v>
      </c>
      <c r="C4096">
        <v>16621</v>
      </c>
      <c r="D4096" t="s">
        <v>361</v>
      </c>
      <c r="E4096" t="s">
        <v>362</v>
      </c>
      <c r="F4096">
        <v>20.350000000000001</v>
      </c>
      <c r="G4096">
        <v>231130</v>
      </c>
      <c r="H4096">
        <v>4554</v>
      </c>
      <c r="I4096" t="s">
        <v>371</v>
      </c>
      <c r="J4096">
        <v>23.2</v>
      </c>
      <c r="K4096">
        <v>2.85</v>
      </c>
      <c r="L4096">
        <v>17711</v>
      </c>
      <c r="M4096" t="s">
        <v>65</v>
      </c>
      <c r="N4096" t="str">
        <f>"13179038    "</f>
        <v xml:space="preserve">13179038    </v>
      </c>
      <c r="O4096">
        <v>231204</v>
      </c>
    </row>
    <row r="4097" spans="1:15" x14ac:dyDescent="0.25">
      <c r="A4097" t="s">
        <v>16</v>
      </c>
      <c r="B4097" t="s">
        <v>3221</v>
      </c>
      <c r="C4097">
        <v>16624</v>
      </c>
      <c r="D4097" t="s">
        <v>361</v>
      </c>
      <c r="E4097" t="s">
        <v>362</v>
      </c>
      <c r="F4097">
        <v>10.34</v>
      </c>
      <c r="G4097">
        <v>231130</v>
      </c>
      <c r="H4097">
        <v>4554</v>
      </c>
      <c r="I4097" t="s">
        <v>371</v>
      </c>
      <c r="J4097">
        <v>11.79</v>
      </c>
      <c r="K4097">
        <v>1.45</v>
      </c>
      <c r="L4097">
        <v>17711</v>
      </c>
      <c r="M4097" t="s">
        <v>65</v>
      </c>
      <c r="N4097" t="str">
        <f>"13179035    "</f>
        <v xml:space="preserve">13179035    </v>
      </c>
      <c r="O4097">
        <v>231204</v>
      </c>
    </row>
    <row r="4098" spans="1:15" x14ac:dyDescent="0.25">
      <c r="A4098" t="s">
        <v>16</v>
      </c>
      <c r="B4098" t="s">
        <v>3221</v>
      </c>
      <c r="C4098">
        <v>18573</v>
      </c>
      <c r="D4098" t="s">
        <v>361</v>
      </c>
      <c r="E4098" t="s">
        <v>362</v>
      </c>
      <c r="F4098">
        <v>83.82</v>
      </c>
      <c r="G4098">
        <v>231229</v>
      </c>
      <c r="H4098">
        <v>4554</v>
      </c>
      <c r="I4098" t="s">
        <v>371</v>
      </c>
      <c r="J4098">
        <v>95.56</v>
      </c>
      <c r="K4098">
        <v>11.74</v>
      </c>
      <c r="L4098">
        <v>17711</v>
      </c>
      <c r="M4098" t="s">
        <v>65</v>
      </c>
      <c r="N4098" t="str">
        <f>"13190891    "</f>
        <v xml:space="preserve">13190891    </v>
      </c>
      <c r="O4098">
        <v>240104</v>
      </c>
    </row>
    <row r="4099" spans="1:15" x14ac:dyDescent="0.25">
      <c r="A4099" t="s">
        <v>16</v>
      </c>
      <c r="B4099" t="s">
        <v>3221</v>
      </c>
      <c r="C4099">
        <v>18696</v>
      </c>
      <c r="D4099" t="s">
        <v>361</v>
      </c>
      <c r="E4099" t="s">
        <v>362</v>
      </c>
      <c r="F4099">
        <v>-5830.05</v>
      </c>
      <c r="G4099">
        <v>231129</v>
      </c>
      <c r="H4099">
        <v>4554</v>
      </c>
      <c r="I4099" t="s">
        <v>371</v>
      </c>
      <c r="J4099">
        <v>-7229.26</v>
      </c>
      <c r="K4099">
        <v>-1399.21</v>
      </c>
      <c r="L4099">
        <v>67554</v>
      </c>
      <c r="M4099" t="s">
        <v>60</v>
      </c>
      <c r="N4099" t="str">
        <f>"001101091   "</f>
        <v xml:space="preserve">001101091   </v>
      </c>
      <c r="O4099">
        <v>240104</v>
      </c>
    </row>
    <row r="4100" spans="1:15" x14ac:dyDescent="0.25">
      <c r="A4100" t="s">
        <v>16</v>
      </c>
      <c r="B4100" t="s">
        <v>3221</v>
      </c>
      <c r="C4100">
        <v>18697</v>
      </c>
      <c r="D4100" t="s">
        <v>361</v>
      </c>
      <c r="E4100" t="s">
        <v>362</v>
      </c>
      <c r="F4100">
        <v>5108.07</v>
      </c>
      <c r="G4100">
        <v>231130</v>
      </c>
      <c r="H4100">
        <v>4554</v>
      </c>
      <c r="I4100" t="s">
        <v>371</v>
      </c>
      <c r="J4100">
        <v>6334.01</v>
      </c>
      <c r="K4100">
        <v>1225.94</v>
      </c>
      <c r="L4100">
        <v>67554</v>
      </c>
      <c r="M4100" t="s">
        <v>60</v>
      </c>
      <c r="N4100" t="str">
        <f>"001101591   "</f>
        <v xml:space="preserve">001101591   </v>
      </c>
      <c r="O4100">
        <v>240104</v>
      </c>
    </row>
    <row r="4101" spans="1:15" x14ac:dyDescent="0.25">
      <c r="A4101" t="s">
        <v>16</v>
      </c>
      <c r="B4101" t="s">
        <v>3221</v>
      </c>
      <c r="C4101">
        <v>18698</v>
      </c>
      <c r="D4101" t="s">
        <v>361</v>
      </c>
      <c r="E4101" t="s">
        <v>362</v>
      </c>
      <c r="F4101">
        <v>5557.76</v>
      </c>
      <c r="G4101">
        <v>231129</v>
      </c>
      <c r="H4101">
        <v>4554</v>
      </c>
      <c r="I4101" t="s">
        <v>371</v>
      </c>
      <c r="J4101">
        <v>6891.62</v>
      </c>
      <c r="K4101">
        <v>1333.86</v>
      </c>
      <c r="L4101">
        <v>67554</v>
      </c>
      <c r="M4101" t="s">
        <v>60</v>
      </c>
      <c r="N4101" t="str">
        <f>"001101093   "</f>
        <v xml:space="preserve">001101093   </v>
      </c>
      <c r="O4101">
        <v>240104</v>
      </c>
    </row>
    <row r="4102" spans="1:15" x14ac:dyDescent="0.25">
      <c r="A4102" t="s">
        <v>16</v>
      </c>
      <c r="B4102" t="s">
        <v>3221</v>
      </c>
      <c r="C4102">
        <v>5242</v>
      </c>
      <c r="D4102" t="s">
        <v>361</v>
      </c>
      <c r="E4102" t="s">
        <v>362</v>
      </c>
      <c r="F4102">
        <v>12.89</v>
      </c>
      <c r="G4102">
        <v>230414</v>
      </c>
      <c r="H4102">
        <v>4550</v>
      </c>
      <c r="I4102" t="s">
        <v>312</v>
      </c>
      <c r="J4102">
        <v>15.98</v>
      </c>
      <c r="K4102">
        <v>3.09</v>
      </c>
      <c r="L4102">
        <v>17711</v>
      </c>
      <c r="M4102" t="s">
        <v>65</v>
      </c>
      <c r="N4102" t="str">
        <f>"13037066    "</f>
        <v xml:space="preserve">13037066    </v>
      </c>
      <c r="O4102">
        <v>230419</v>
      </c>
    </row>
    <row r="4103" spans="1:15" x14ac:dyDescent="0.25">
      <c r="A4103" t="s">
        <v>16</v>
      </c>
      <c r="B4103" t="s">
        <v>3221</v>
      </c>
      <c r="C4103">
        <v>11721</v>
      </c>
      <c r="D4103" t="s">
        <v>361</v>
      </c>
      <c r="E4103" t="s">
        <v>362</v>
      </c>
      <c r="F4103">
        <v>1.05</v>
      </c>
      <c r="G4103">
        <v>230831</v>
      </c>
      <c r="H4103">
        <v>4550</v>
      </c>
      <c r="I4103" t="s">
        <v>312</v>
      </c>
      <c r="J4103">
        <v>1.3</v>
      </c>
      <c r="K4103">
        <v>0.25</v>
      </c>
      <c r="L4103">
        <v>17711</v>
      </c>
      <c r="M4103" t="s">
        <v>65</v>
      </c>
      <c r="N4103" t="str">
        <f>"13129159    "</f>
        <v xml:space="preserve">13129159    </v>
      </c>
      <c r="O4103">
        <v>230908</v>
      </c>
    </row>
    <row r="4104" spans="1:15" x14ac:dyDescent="0.25">
      <c r="A4104" t="s">
        <v>16</v>
      </c>
      <c r="B4104" t="s">
        <v>3221</v>
      </c>
      <c r="C4104">
        <v>11823</v>
      </c>
      <c r="D4104" t="s">
        <v>361</v>
      </c>
      <c r="E4104" t="s">
        <v>362</v>
      </c>
      <c r="F4104">
        <v>32.22</v>
      </c>
      <c r="G4104">
        <v>230831</v>
      </c>
      <c r="H4104">
        <v>4550</v>
      </c>
      <c r="I4104" t="s">
        <v>312</v>
      </c>
      <c r="J4104">
        <v>39.950000000000003</v>
      </c>
      <c r="K4104">
        <v>7.73</v>
      </c>
      <c r="L4104">
        <v>67522</v>
      </c>
      <c r="M4104" t="s">
        <v>397</v>
      </c>
      <c r="N4104" t="str">
        <f>"13129160    "</f>
        <v xml:space="preserve">13129160    </v>
      </c>
      <c r="O4104">
        <v>230911</v>
      </c>
    </row>
    <row r="4105" spans="1:15" x14ac:dyDescent="0.25">
      <c r="A4105" t="s">
        <v>16</v>
      </c>
      <c r="B4105" t="s">
        <v>3221</v>
      </c>
      <c r="C4105">
        <v>18854</v>
      </c>
      <c r="D4105" t="s">
        <v>361</v>
      </c>
      <c r="E4105" t="s">
        <v>362</v>
      </c>
      <c r="F4105">
        <v>25.77</v>
      </c>
      <c r="G4105">
        <v>231231</v>
      </c>
      <c r="H4105">
        <v>4572</v>
      </c>
      <c r="I4105" t="s">
        <v>122</v>
      </c>
      <c r="J4105">
        <v>31.96</v>
      </c>
      <c r="K4105">
        <v>6.19</v>
      </c>
      <c r="L4105">
        <v>67522</v>
      </c>
      <c r="M4105" t="s">
        <v>397</v>
      </c>
      <c r="N4105" t="str">
        <f>"13192666    "</f>
        <v xml:space="preserve">13192666    </v>
      </c>
      <c r="O4105">
        <v>240108</v>
      </c>
    </row>
    <row r="4106" spans="1:15" x14ac:dyDescent="0.25">
      <c r="A4106" t="s">
        <v>16</v>
      </c>
      <c r="B4106" t="s">
        <v>3221</v>
      </c>
      <c r="C4106">
        <v>3993</v>
      </c>
      <c r="D4106" t="s">
        <v>361</v>
      </c>
      <c r="E4106" t="s">
        <v>362</v>
      </c>
      <c r="F4106">
        <v>42.38</v>
      </c>
      <c r="G4106">
        <v>230315</v>
      </c>
      <c r="H4106">
        <v>4500</v>
      </c>
      <c r="I4106" t="s">
        <v>212</v>
      </c>
      <c r="J4106">
        <v>52.55</v>
      </c>
      <c r="K4106">
        <v>10.17</v>
      </c>
      <c r="L4106">
        <v>13801</v>
      </c>
      <c r="M4106" t="s">
        <v>162</v>
      </c>
      <c r="N4106" t="str">
        <f>"13023665    "</f>
        <v xml:space="preserve">13023665    </v>
      </c>
      <c r="O4106">
        <v>230329</v>
      </c>
    </row>
    <row r="4107" spans="1:15" x14ac:dyDescent="0.25">
      <c r="A4107" t="s">
        <v>16</v>
      </c>
      <c r="B4107" t="s">
        <v>3221</v>
      </c>
      <c r="C4107">
        <v>7744</v>
      </c>
      <c r="D4107" t="s">
        <v>361</v>
      </c>
      <c r="E4107" t="s">
        <v>362</v>
      </c>
      <c r="F4107">
        <v>128.22999999999999</v>
      </c>
      <c r="G4107">
        <v>230531</v>
      </c>
      <c r="H4107">
        <v>4530</v>
      </c>
      <c r="I4107" t="s">
        <v>342</v>
      </c>
      <c r="J4107">
        <v>159</v>
      </c>
      <c r="K4107">
        <v>30.77</v>
      </c>
      <c r="L4107">
        <v>17952</v>
      </c>
      <c r="M4107" t="s">
        <v>88</v>
      </c>
      <c r="N4107" t="str">
        <f>"13071709    "</f>
        <v xml:space="preserve">13071709    </v>
      </c>
      <c r="O4107">
        <v>230602</v>
      </c>
    </row>
    <row r="4108" spans="1:15" x14ac:dyDescent="0.25">
      <c r="A4108" t="s">
        <v>16</v>
      </c>
      <c r="B4108" t="s">
        <v>3221</v>
      </c>
      <c r="C4108">
        <v>11823</v>
      </c>
      <c r="D4108" t="s">
        <v>361</v>
      </c>
      <c r="E4108" t="s">
        <v>362</v>
      </c>
      <c r="F4108">
        <v>60.42</v>
      </c>
      <c r="G4108">
        <v>230831</v>
      </c>
      <c r="H4108">
        <v>4530</v>
      </c>
      <c r="I4108" t="s">
        <v>342</v>
      </c>
      <c r="J4108">
        <v>74.92</v>
      </c>
      <c r="K4108">
        <v>14.5</v>
      </c>
      <c r="L4108">
        <v>67522</v>
      </c>
      <c r="M4108" t="s">
        <v>397</v>
      </c>
      <c r="N4108" t="str">
        <f>"13129160    "</f>
        <v xml:space="preserve">13129160    </v>
      </c>
      <c r="O4108">
        <v>230911</v>
      </c>
    </row>
    <row r="4109" spans="1:15" x14ac:dyDescent="0.25">
      <c r="A4109" t="s">
        <v>16</v>
      </c>
      <c r="B4109" t="s">
        <v>3221</v>
      </c>
      <c r="C4109">
        <v>18090</v>
      </c>
      <c r="D4109" t="s">
        <v>3122</v>
      </c>
      <c r="E4109" t="s">
        <v>3123</v>
      </c>
      <c r="F4109">
        <v>13105</v>
      </c>
      <c r="G4109">
        <v>231219</v>
      </c>
      <c r="H4109">
        <v>4600</v>
      </c>
      <c r="I4109" t="s">
        <v>105</v>
      </c>
      <c r="J4109">
        <v>16250.2</v>
      </c>
      <c r="K4109">
        <v>3145.2</v>
      </c>
      <c r="L4109">
        <v>11301</v>
      </c>
      <c r="M4109" t="s">
        <v>29</v>
      </c>
      <c r="N4109" t="str">
        <f>"6023120010  "</f>
        <v xml:space="preserve">6023120010  </v>
      </c>
      <c r="O4109">
        <v>240102</v>
      </c>
    </row>
    <row r="4110" spans="1:15" x14ac:dyDescent="0.25">
      <c r="A4110" t="s">
        <v>16</v>
      </c>
      <c r="B4110" t="s">
        <v>3221</v>
      </c>
      <c r="C4110">
        <v>3429</v>
      </c>
      <c r="D4110" t="s">
        <v>1555</v>
      </c>
      <c r="E4110" t="s">
        <v>1556</v>
      </c>
      <c r="F4110">
        <v>15.2</v>
      </c>
      <c r="G4110">
        <v>230313</v>
      </c>
      <c r="H4110">
        <v>4410</v>
      </c>
      <c r="I4110" t="s">
        <v>517</v>
      </c>
      <c r="J4110">
        <v>15.2</v>
      </c>
      <c r="K4110">
        <v>0</v>
      </c>
      <c r="L4110">
        <v>17711</v>
      </c>
      <c r="M4110" t="s">
        <v>65</v>
      </c>
      <c r="N4110" t="str">
        <f>"123/825     "</f>
        <v xml:space="preserve">123/825     </v>
      </c>
      <c r="O4110">
        <v>230315</v>
      </c>
    </row>
    <row r="4111" spans="1:15" x14ac:dyDescent="0.25">
      <c r="A4111" t="s">
        <v>16</v>
      </c>
      <c r="B4111" t="s">
        <v>3221</v>
      </c>
      <c r="C4111">
        <v>3429</v>
      </c>
      <c r="D4111" t="s">
        <v>1555</v>
      </c>
      <c r="E4111" t="s">
        <v>1556</v>
      </c>
      <c r="F4111">
        <v>18.07</v>
      </c>
      <c r="G4111">
        <v>230313</v>
      </c>
      <c r="H4111">
        <v>4410</v>
      </c>
      <c r="I4111" t="s">
        <v>517</v>
      </c>
      <c r="J4111">
        <v>20.6</v>
      </c>
      <c r="K4111">
        <v>2.5299999999999998</v>
      </c>
      <c r="L4111">
        <v>17711</v>
      </c>
      <c r="M4111" t="s">
        <v>65</v>
      </c>
      <c r="N4111" t="str">
        <f>"123/825     "</f>
        <v xml:space="preserve">123/825     </v>
      </c>
      <c r="O4111">
        <v>230315</v>
      </c>
    </row>
    <row r="4112" spans="1:15" x14ac:dyDescent="0.25">
      <c r="A4112" t="s">
        <v>16</v>
      </c>
      <c r="B4112" t="s">
        <v>3221</v>
      </c>
      <c r="C4112">
        <v>3429</v>
      </c>
      <c r="D4112" t="s">
        <v>1555</v>
      </c>
      <c r="E4112" t="s">
        <v>1556</v>
      </c>
      <c r="F4112">
        <v>50</v>
      </c>
      <c r="G4112">
        <v>230313</v>
      </c>
      <c r="H4112">
        <v>4410</v>
      </c>
      <c r="I4112" t="s">
        <v>517</v>
      </c>
      <c r="J4112">
        <v>55</v>
      </c>
      <c r="K4112">
        <v>5</v>
      </c>
      <c r="L4112">
        <v>17711</v>
      </c>
      <c r="M4112" t="s">
        <v>65</v>
      </c>
      <c r="N4112" t="str">
        <f>"123/825     "</f>
        <v xml:space="preserve">123/825     </v>
      </c>
      <c r="O4112">
        <v>230315</v>
      </c>
    </row>
    <row r="4113" spans="1:15" x14ac:dyDescent="0.25">
      <c r="A4113" t="s">
        <v>16</v>
      </c>
      <c r="B4113" t="s">
        <v>3221</v>
      </c>
      <c r="C4113">
        <v>8968</v>
      </c>
      <c r="D4113" t="s">
        <v>1555</v>
      </c>
      <c r="E4113" t="s">
        <v>1556</v>
      </c>
      <c r="F4113">
        <v>54.55</v>
      </c>
      <c r="G4113">
        <v>230619</v>
      </c>
      <c r="H4113">
        <v>4410</v>
      </c>
      <c r="I4113" t="s">
        <v>517</v>
      </c>
      <c r="J4113">
        <v>60</v>
      </c>
      <c r="K4113">
        <v>5.45</v>
      </c>
      <c r="L4113">
        <v>17972</v>
      </c>
      <c r="M4113" t="s">
        <v>248</v>
      </c>
      <c r="N4113" t="str">
        <f>"123/4246    "</f>
        <v xml:space="preserve">123/4246    </v>
      </c>
      <c r="O4113">
        <v>230620</v>
      </c>
    </row>
    <row r="4114" spans="1:15" x14ac:dyDescent="0.25">
      <c r="A4114" t="s">
        <v>16</v>
      </c>
      <c r="B4114" t="s">
        <v>3221</v>
      </c>
      <c r="C4114">
        <v>8968</v>
      </c>
      <c r="D4114" t="s">
        <v>1555</v>
      </c>
      <c r="E4114" t="s">
        <v>1556</v>
      </c>
      <c r="F4114">
        <v>102.08</v>
      </c>
      <c r="G4114">
        <v>230619</v>
      </c>
      <c r="H4114">
        <v>4410</v>
      </c>
      <c r="I4114" t="s">
        <v>517</v>
      </c>
      <c r="J4114">
        <v>116.37</v>
      </c>
      <c r="K4114">
        <v>14.29</v>
      </c>
      <c r="L4114">
        <v>17972</v>
      </c>
      <c r="M4114" t="s">
        <v>248</v>
      </c>
      <c r="N4114" t="str">
        <f>"123/4246    "</f>
        <v xml:space="preserve">123/4246    </v>
      </c>
      <c r="O4114">
        <v>230620</v>
      </c>
    </row>
    <row r="4115" spans="1:15" x14ac:dyDescent="0.25">
      <c r="A4115" t="s">
        <v>16</v>
      </c>
      <c r="B4115" t="s">
        <v>3221</v>
      </c>
      <c r="C4115">
        <v>8968</v>
      </c>
      <c r="D4115" t="s">
        <v>1555</v>
      </c>
      <c r="E4115" t="s">
        <v>1556</v>
      </c>
      <c r="F4115">
        <v>80.650000000000006</v>
      </c>
      <c r="G4115">
        <v>230619</v>
      </c>
      <c r="H4115">
        <v>4600</v>
      </c>
      <c r="I4115" t="s">
        <v>105</v>
      </c>
      <c r="J4115">
        <v>100</v>
      </c>
      <c r="K4115">
        <v>19.350000000000001</v>
      </c>
      <c r="L4115">
        <v>17972</v>
      </c>
      <c r="M4115" t="s">
        <v>248</v>
      </c>
      <c r="N4115" t="str">
        <f>"123/4246    "</f>
        <v xml:space="preserve">123/4246    </v>
      </c>
      <c r="O4115">
        <v>230620</v>
      </c>
    </row>
    <row r="4116" spans="1:15" x14ac:dyDescent="0.25">
      <c r="A4116" t="s">
        <v>16</v>
      </c>
      <c r="B4116" t="s">
        <v>3221</v>
      </c>
      <c r="C4116">
        <v>9111</v>
      </c>
      <c r="D4116" t="s">
        <v>1555</v>
      </c>
      <c r="E4116" t="s">
        <v>1556</v>
      </c>
      <c r="F4116">
        <v>15.2</v>
      </c>
      <c r="G4116">
        <v>230619</v>
      </c>
      <c r="H4116">
        <v>4441</v>
      </c>
      <c r="I4116" t="s">
        <v>109</v>
      </c>
      <c r="J4116">
        <v>15.2</v>
      </c>
      <c r="K4116">
        <v>0</v>
      </c>
      <c r="L4116">
        <v>69701</v>
      </c>
      <c r="M4116" t="s">
        <v>488</v>
      </c>
      <c r="N4116" t="str">
        <f>"123/4245    "</f>
        <v xml:space="preserve">123/4245    </v>
      </c>
      <c r="O4116">
        <v>230627</v>
      </c>
    </row>
    <row r="4117" spans="1:15" x14ac:dyDescent="0.25">
      <c r="A4117" t="s">
        <v>16</v>
      </c>
      <c r="B4117" t="s">
        <v>3221</v>
      </c>
      <c r="C4117">
        <v>9111</v>
      </c>
      <c r="D4117" t="s">
        <v>1555</v>
      </c>
      <c r="E4117" t="s">
        <v>1556</v>
      </c>
      <c r="F4117">
        <v>109.09</v>
      </c>
      <c r="G4117">
        <v>230619</v>
      </c>
      <c r="H4117">
        <v>4441</v>
      </c>
      <c r="I4117" t="s">
        <v>109</v>
      </c>
      <c r="J4117">
        <v>120</v>
      </c>
      <c r="K4117">
        <v>10.91</v>
      </c>
      <c r="L4117">
        <v>69701</v>
      </c>
      <c r="M4117" t="s">
        <v>488</v>
      </c>
      <c r="N4117" t="str">
        <f>"123/4245    "</f>
        <v xml:space="preserve">123/4245    </v>
      </c>
      <c r="O4117">
        <v>230627</v>
      </c>
    </row>
    <row r="4118" spans="1:15" x14ac:dyDescent="0.25">
      <c r="A4118" t="s">
        <v>16</v>
      </c>
      <c r="B4118" t="s">
        <v>3221</v>
      </c>
      <c r="C4118">
        <v>9111</v>
      </c>
      <c r="D4118" t="s">
        <v>1555</v>
      </c>
      <c r="E4118" t="s">
        <v>1556</v>
      </c>
      <c r="F4118">
        <v>161.29</v>
      </c>
      <c r="G4118">
        <v>230619</v>
      </c>
      <c r="H4118">
        <v>4441</v>
      </c>
      <c r="I4118" t="s">
        <v>109</v>
      </c>
      <c r="J4118">
        <v>200</v>
      </c>
      <c r="K4118">
        <v>38.71</v>
      </c>
      <c r="L4118">
        <v>69701</v>
      </c>
      <c r="M4118" t="s">
        <v>488</v>
      </c>
      <c r="N4118" t="str">
        <f>"123/4245    "</f>
        <v xml:space="preserve">123/4245    </v>
      </c>
      <c r="O4118">
        <v>230627</v>
      </c>
    </row>
    <row r="4119" spans="1:15" x14ac:dyDescent="0.25">
      <c r="A4119" t="s">
        <v>16</v>
      </c>
      <c r="B4119" t="s">
        <v>3221</v>
      </c>
      <c r="C4119">
        <v>9111</v>
      </c>
      <c r="D4119" t="s">
        <v>1555</v>
      </c>
      <c r="E4119" t="s">
        <v>1556</v>
      </c>
      <c r="F4119">
        <v>190.82</v>
      </c>
      <c r="G4119">
        <v>230619</v>
      </c>
      <c r="H4119">
        <v>4441</v>
      </c>
      <c r="I4119" t="s">
        <v>109</v>
      </c>
      <c r="J4119">
        <v>217.54</v>
      </c>
      <c r="K4119">
        <v>26.72</v>
      </c>
      <c r="L4119">
        <v>69701</v>
      </c>
      <c r="M4119" t="s">
        <v>488</v>
      </c>
      <c r="N4119" t="str">
        <f>"123/4245    "</f>
        <v xml:space="preserve">123/4245    </v>
      </c>
      <c r="O4119">
        <v>230627</v>
      </c>
    </row>
    <row r="4120" spans="1:15" x14ac:dyDescent="0.25">
      <c r="A4120" t="s">
        <v>16</v>
      </c>
      <c r="B4120" t="s">
        <v>3221</v>
      </c>
      <c r="C4120">
        <v>14223</v>
      </c>
      <c r="D4120" t="s">
        <v>1815</v>
      </c>
      <c r="E4120" t="s">
        <v>1816</v>
      </c>
      <c r="F4120">
        <v>2765</v>
      </c>
      <c r="G4120">
        <v>231017</v>
      </c>
      <c r="H4120">
        <v>4346</v>
      </c>
      <c r="I4120" t="s">
        <v>197</v>
      </c>
      <c r="J4120">
        <v>3428.6</v>
      </c>
      <c r="K4120">
        <v>663.6</v>
      </c>
      <c r="L4120">
        <v>13601</v>
      </c>
      <c r="M4120" t="s">
        <v>147</v>
      </c>
      <c r="N4120" t="str">
        <f>"1224        "</f>
        <v xml:space="preserve">1224        </v>
      </c>
      <c r="O4120">
        <v>231024</v>
      </c>
    </row>
    <row r="4121" spans="1:15" x14ac:dyDescent="0.25">
      <c r="A4121" t="s">
        <v>16</v>
      </c>
      <c r="B4121" t="s">
        <v>3221</v>
      </c>
      <c r="C4121">
        <v>5226</v>
      </c>
      <c r="D4121" t="s">
        <v>1815</v>
      </c>
      <c r="E4121" t="s">
        <v>1816</v>
      </c>
      <c r="F4121">
        <v>1920</v>
      </c>
      <c r="G4121">
        <v>230417</v>
      </c>
      <c r="H4121">
        <v>4400</v>
      </c>
      <c r="I4121" t="s">
        <v>348</v>
      </c>
      <c r="J4121">
        <v>2380.8000000000002</v>
      </c>
      <c r="K4121">
        <v>460.8</v>
      </c>
      <c r="L4121">
        <v>13601</v>
      </c>
      <c r="M4121" t="s">
        <v>147</v>
      </c>
      <c r="N4121" t="str">
        <f>"1211        "</f>
        <v xml:space="preserve">1211        </v>
      </c>
      <c r="O4121">
        <v>230419</v>
      </c>
    </row>
    <row r="4122" spans="1:15" x14ac:dyDescent="0.25">
      <c r="A4122" t="s">
        <v>16</v>
      </c>
      <c r="B4122" t="s">
        <v>3221</v>
      </c>
      <c r="C4122">
        <v>766</v>
      </c>
      <c r="D4122" t="s">
        <v>722</v>
      </c>
      <c r="E4122" t="s">
        <v>723</v>
      </c>
      <c r="F4122">
        <v>205.65</v>
      </c>
      <c r="G4122">
        <v>230109</v>
      </c>
      <c r="H4122">
        <v>4600</v>
      </c>
      <c r="I4122" t="s">
        <v>105</v>
      </c>
      <c r="J4122">
        <v>255</v>
      </c>
      <c r="K4122">
        <v>49.35</v>
      </c>
      <c r="L4122">
        <v>17522</v>
      </c>
      <c r="M4122" t="s">
        <v>451</v>
      </c>
      <c r="N4122" t="str">
        <f>"4496164     "</f>
        <v xml:space="preserve">4496164     </v>
      </c>
      <c r="O4122">
        <v>230130</v>
      </c>
    </row>
    <row r="4123" spans="1:15" x14ac:dyDescent="0.25">
      <c r="A4123" t="s">
        <v>16</v>
      </c>
      <c r="B4123" t="s">
        <v>3221</v>
      </c>
      <c r="C4123">
        <v>766</v>
      </c>
      <c r="D4123" t="s">
        <v>722</v>
      </c>
      <c r="E4123" t="s">
        <v>723</v>
      </c>
      <c r="F4123">
        <v>595</v>
      </c>
      <c r="G4123">
        <v>230109</v>
      </c>
      <c r="H4123">
        <v>4600</v>
      </c>
      <c r="I4123" t="s">
        <v>105</v>
      </c>
      <c r="J4123">
        <v>737.8</v>
      </c>
      <c r="K4123">
        <v>142.80000000000001</v>
      </c>
      <c r="L4123">
        <v>17633</v>
      </c>
      <c r="M4123" t="s">
        <v>724</v>
      </c>
      <c r="N4123" t="str">
        <f>"4496164     "</f>
        <v xml:space="preserve">4496164     </v>
      </c>
      <c r="O4123">
        <v>230130</v>
      </c>
    </row>
    <row r="4124" spans="1:15" x14ac:dyDescent="0.25">
      <c r="A4124" t="s">
        <v>16</v>
      </c>
      <c r="B4124" t="s">
        <v>3221</v>
      </c>
      <c r="C4124">
        <v>3873</v>
      </c>
      <c r="D4124" t="s">
        <v>722</v>
      </c>
      <c r="E4124" t="s">
        <v>723</v>
      </c>
      <c r="F4124">
        <v>388.99</v>
      </c>
      <c r="G4124">
        <v>230307</v>
      </c>
      <c r="H4124">
        <v>4600</v>
      </c>
      <c r="I4124" t="s">
        <v>105</v>
      </c>
      <c r="J4124">
        <v>482.35</v>
      </c>
      <c r="K4124">
        <v>93.36</v>
      </c>
      <c r="L4124">
        <v>17522</v>
      </c>
      <c r="M4124" t="s">
        <v>451</v>
      </c>
      <c r="N4124" t="str">
        <f>"4517537     "</f>
        <v xml:space="preserve">4517537     </v>
      </c>
      <c r="O4124">
        <v>230324</v>
      </c>
    </row>
    <row r="4125" spans="1:15" x14ac:dyDescent="0.25">
      <c r="A4125" t="s">
        <v>16</v>
      </c>
      <c r="B4125" t="s">
        <v>3221</v>
      </c>
      <c r="C4125">
        <v>3873</v>
      </c>
      <c r="D4125" t="s">
        <v>722</v>
      </c>
      <c r="E4125" t="s">
        <v>723</v>
      </c>
      <c r="F4125">
        <v>1555.98</v>
      </c>
      <c r="G4125">
        <v>230307</v>
      </c>
      <c r="H4125">
        <v>4600</v>
      </c>
      <c r="I4125" t="s">
        <v>105</v>
      </c>
      <c r="J4125">
        <v>1929.41</v>
      </c>
      <c r="K4125">
        <v>373.43</v>
      </c>
      <c r="L4125">
        <v>17633</v>
      </c>
      <c r="M4125" t="s">
        <v>724</v>
      </c>
      <c r="N4125" t="str">
        <f>"4517537     "</f>
        <v xml:space="preserve">4517537     </v>
      </c>
      <c r="O4125">
        <v>230324</v>
      </c>
    </row>
    <row r="4126" spans="1:15" x14ac:dyDescent="0.25">
      <c r="A4126" t="s">
        <v>16</v>
      </c>
      <c r="B4126" t="s">
        <v>3221</v>
      </c>
      <c r="C4126">
        <v>5604</v>
      </c>
      <c r="D4126" t="s">
        <v>722</v>
      </c>
      <c r="E4126" t="s">
        <v>723</v>
      </c>
      <c r="F4126">
        <v>1073.97</v>
      </c>
      <c r="G4126">
        <v>230414</v>
      </c>
      <c r="H4126">
        <v>4600</v>
      </c>
      <c r="I4126" t="s">
        <v>105</v>
      </c>
      <c r="J4126">
        <v>1331.72</v>
      </c>
      <c r="K4126">
        <v>257.75</v>
      </c>
      <c r="L4126">
        <v>17633</v>
      </c>
      <c r="M4126" t="s">
        <v>724</v>
      </c>
      <c r="N4126" t="str">
        <f>"4531081     "</f>
        <v xml:space="preserve">4531081     </v>
      </c>
      <c r="O4126">
        <v>230428</v>
      </c>
    </row>
    <row r="4127" spans="1:15" x14ac:dyDescent="0.25">
      <c r="A4127" t="s">
        <v>16</v>
      </c>
      <c r="B4127" t="s">
        <v>3221</v>
      </c>
      <c r="C4127">
        <v>6619</v>
      </c>
      <c r="D4127" t="s">
        <v>722</v>
      </c>
      <c r="E4127" t="s">
        <v>723</v>
      </c>
      <c r="F4127">
        <v>777.98</v>
      </c>
      <c r="G4127">
        <v>230504</v>
      </c>
      <c r="H4127">
        <v>4600</v>
      </c>
      <c r="I4127" t="s">
        <v>105</v>
      </c>
      <c r="J4127">
        <v>964.69</v>
      </c>
      <c r="K4127">
        <v>186.71</v>
      </c>
      <c r="L4127">
        <v>17633</v>
      </c>
      <c r="M4127" t="s">
        <v>724</v>
      </c>
      <c r="N4127" t="str">
        <f>"4538704     "</f>
        <v xml:space="preserve">4538704     </v>
      </c>
      <c r="O4127">
        <v>230516</v>
      </c>
    </row>
    <row r="4128" spans="1:15" x14ac:dyDescent="0.25">
      <c r="A4128" t="s">
        <v>16</v>
      </c>
      <c r="B4128" t="s">
        <v>3221</v>
      </c>
      <c r="C4128">
        <v>7080</v>
      </c>
      <c r="D4128" t="s">
        <v>722</v>
      </c>
      <c r="E4128" t="s">
        <v>723</v>
      </c>
      <c r="F4128">
        <v>365.18</v>
      </c>
      <c r="G4128">
        <v>230512</v>
      </c>
      <c r="H4128">
        <v>4600</v>
      </c>
      <c r="I4128" t="s">
        <v>105</v>
      </c>
      <c r="J4128">
        <v>452.82</v>
      </c>
      <c r="K4128">
        <v>87.64</v>
      </c>
      <c r="L4128">
        <v>17633</v>
      </c>
      <c r="M4128" t="s">
        <v>724</v>
      </c>
      <c r="N4128" t="str">
        <f>"4542641     "</f>
        <v xml:space="preserve">4542641     </v>
      </c>
      <c r="O4128">
        <v>230525</v>
      </c>
    </row>
    <row r="4129" spans="1:15" x14ac:dyDescent="0.25">
      <c r="A4129" t="s">
        <v>16</v>
      </c>
      <c r="B4129" t="s">
        <v>3221</v>
      </c>
      <c r="C4129">
        <v>11374</v>
      </c>
      <c r="D4129" t="s">
        <v>722</v>
      </c>
      <c r="E4129" t="s">
        <v>723</v>
      </c>
      <c r="F4129">
        <v>1053.0999999999999</v>
      </c>
      <c r="G4129">
        <v>230821</v>
      </c>
      <c r="H4129">
        <v>4600</v>
      </c>
      <c r="I4129" t="s">
        <v>105</v>
      </c>
      <c r="J4129">
        <v>1305.8499999999999</v>
      </c>
      <c r="K4129">
        <v>252.75</v>
      </c>
      <c r="L4129">
        <v>17522</v>
      </c>
      <c r="M4129" t="s">
        <v>451</v>
      </c>
      <c r="N4129" t="str">
        <f>"4584615     "</f>
        <v xml:space="preserve">4584615     </v>
      </c>
      <c r="O4129">
        <v>230905</v>
      </c>
    </row>
    <row r="4130" spans="1:15" x14ac:dyDescent="0.25">
      <c r="A4130" t="s">
        <v>16</v>
      </c>
      <c r="B4130" t="s">
        <v>3221</v>
      </c>
      <c r="C4130">
        <v>11374</v>
      </c>
      <c r="D4130" t="s">
        <v>722</v>
      </c>
      <c r="E4130" t="s">
        <v>723</v>
      </c>
      <c r="F4130">
        <v>620.97</v>
      </c>
      <c r="G4130">
        <v>230821</v>
      </c>
      <c r="H4130">
        <v>4600</v>
      </c>
      <c r="I4130" t="s">
        <v>105</v>
      </c>
      <c r="J4130">
        <v>770</v>
      </c>
      <c r="K4130">
        <v>149.03</v>
      </c>
      <c r="L4130">
        <v>17633</v>
      </c>
      <c r="M4130" t="s">
        <v>724</v>
      </c>
      <c r="N4130" t="str">
        <f>"4584615     "</f>
        <v xml:space="preserve">4584615     </v>
      </c>
      <c r="O4130">
        <v>230905</v>
      </c>
    </row>
    <row r="4131" spans="1:15" x14ac:dyDescent="0.25">
      <c r="A4131" t="s">
        <v>16</v>
      </c>
      <c r="B4131" t="s">
        <v>3221</v>
      </c>
      <c r="C4131">
        <v>14290</v>
      </c>
      <c r="D4131" t="s">
        <v>722</v>
      </c>
      <c r="E4131" t="s">
        <v>723</v>
      </c>
      <c r="F4131">
        <v>363.71</v>
      </c>
      <c r="G4131">
        <v>231011</v>
      </c>
      <c r="H4131">
        <v>4600</v>
      </c>
      <c r="I4131" t="s">
        <v>105</v>
      </c>
      <c r="J4131">
        <v>451</v>
      </c>
      <c r="K4131">
        <v>87.29</v>
      </c>
      <c r="L4131">
        <v>17522</v>
      </c>
      <c r="M4131" t="s">
        <v>451</v>
      </c>
      <c r="N4131" t="str">
        <f>"4606240     "</f>
        <v xml:space="preserve">4606240     </v>
      </c>
      <c r="O4131">
        <v>231025</v>
      </c>
    </row>
    <row r="4132" spans="1:15" x14ac:dyDescent="0.25">
      <c r="A4132" t="s">
        <v>16</v>
      </c>
      <c r="B4132" t="s">
        <v>3221</v>
      </c>
      <c r="C4132">
        <v>14290</v>
      </c>
      <c r="D4132" t="s">
        <v>722</v>
      </c>
      <c r="E4132" t="s">
        <v>723</v>
      </c>
      <c r="F4132">
        <v>848.66</v>
      </c>
      <c r="G4132">
        <v>231011</v>
      </c>
      <c r="H4132">
        <v>4600</v>
      </c>
      <c r="I4132" t="s">
        <v>105</v>
      </c>
      <c r="J4132">
        <v>1052.3399999999999</v>
      </c>
      <c r="K4132">
        <v>203.68</v>
      </c>
      <c r="L4132">
        <v>17633</v>
      </c>
      <c r="M4132" t="s">
        <v>724</v>
      </c>
      <c r="N4132" t="str">
        <f>"4606240     "</f>
        <v xml:space="preserve">4606240     </v>
      </c>
      <c r="O4132">
        <v>231025</v>
      </c>
    </row>
    <row r="4133" spans="1:15" x14ac:dyDescent="0.25">
      <c r="A4133" t="s">
        <v>16</v>
      </c>
      <c r="B4133" t="s">
        <v>3221</v>
      </c>
      <c r="C4133">
        <v>15191</v>
      </c>
      <c r="D4133" t="s">
        <v>722</v>
      </c>
      <c r="E4133" t="s">
        <v>723</v>
      </c>
      <c r="F4133">
        <v>430.24</v>
      </c>
      <c r="G4133">
        <v>231103</v>
      </c>
      <c r="H4133">
        <v>4600</v>
      </c>
      <c r="I4133" t="s">
        <v>105</v>
      </c>
      <c r="J4133">
        <v>533.5</v>
      </c>
      <c r="K4133">
        <v>103.26</v>
      </c>
      <c r="L4133">
        <v>17633</v>
      </c>
      <c r="M4133" t="s">
        <v>724</v>
      </c>
      <c r="N4133" t="str">
        <f>"4615905     "</f>
        <v xml:space="preserve">4615905     </v>
      </c>
      <c r="O4133">
        <v>231109</v>
      </c>
    </row>
    <row r="4134" spans="1:15" x14ac:dyDescent="0.25">
      <c r="A4134" t="s">
        <v>16</v>
      </c>
      <c r="B4134" t="s">
        <v>3221</v>
      </c>
      <c r="C4134">
        <v>6249</v>
      </c>
      <c r="D4134" t="s">
        <v>1364</v>
      </c>
      <c r="E4134" t="s">
        <v>1365</v>
      </c>
      <c r="F4134">
        <v>21.69</v>
      </c>
      <c r="G4134">
        <v>230428</v>
      </c>
      <c r="H4134">
        <v>4600</v>
      </c>
      <c r="I4134" t="s">
        <v>105</v>
      </c>
      <c r="J4134">
        <v>26.9</v>
      </c>
      <c r="K4134">
        <v>5.21</v>
      </c>
      <c r="L4134">
        <v>67522</v>
      </c>
      <c r="M4134" t="s">
        <v>397</v>
      </c>
      <c r="N4134" t="str">
        <f>"279         "</f>
        <v xml:space="preserve">279         </v>
      </c>
      <c r="O4134">
        <v>230509</v>
      </c>
    </row>
    <row r="4135" spans="1:15" x14ac:dyDescent="0.25">
      <c r="A4135" t="s">
        <v>16</v>
      </c>
      <c r="B4135" t="s">
        <v>3221</v>
      </c>
      <c r="C4135">
        <v>9336</v>
      </c>
      <c r="D4135" t="s">
        <v>1364</v>
      </c>
      <c r="E4135" t="s">
        <v>1365</v>
      </c>
      <c r="F4135">
        <v>29.31</v>
      </c>
      <c r="G4135">
        <v>230629</v>
      </c>
      <c r="H4135">
        <v>4600</v>
      </c>
      <c r="I4135" t="s">
        <v>105</v>
      </c>
      <c r="J4135">
        <v>36.35</v>
      </c>
      <c r="K4135">
        <v>7.04</v>
      </c>
      <c r="L4135">
        <v>67522</v>
      </c>
      <c r="M4135" t="s">
        <v>397</v>
      </c>
      <c r="N4135" t="str">
        <f>"283         "</f>
        <v xml:space="preserve">283         </v>
      </c>
      <c r="O4135">
        <v>230706</v>
      </c>
    </row>
    <row r="4136" spans="1:15" x14ac:dyDescent="0.25">
      <c r="A4136" t="s">
        <v>16</v>
      </c>
      <c r="B4136" t="s">
        <v>3221</v>
      </c>
      <c r="C4136">
        <v>9452</v>
      </c>
      <c r="D4136" t="s">
        <v>1364</v>
      </c>
      <c r="E4136" t="s">
        <v>1365</v>
      </c>
      <c r="F4136">
        <v>15.48</v>
      </c>
      <c r="G4136">
        <v>230706</v>
      </c>
      <c r="H4136">
        <v>4600</v>
      </c>
      <c r="I4136" t="s">
        <v>105</v>
      </c>
      <c r="J4136">
        <v>19.2</v>
      </c>
      <c r="K4136">
        <v>3.72</v>
      </c>
      <c r="L4136">
        <v>67522</v>
      </c>
      <c r="M4136" t="s">
        <v>397</v>
      </c>
      <c r="N4136" t="str">
        <f>"287         "</f>
        <v xml:space="preserve">287         </v>
      </c>
      <c r="O4136">
        <v>230711</v>
      </c>
    </row>
    <row r="4137" spans="1:15" x14ac:dyDescent="0.25">
      <c r="A4137" t="s">
        <v>16</v>
      </c>
      <c r="B4137" t="s">
        <v>3221</v>
      </c>
      <c r="C4137">
        <v>10994</v>
      </c>
      <c r="D4137" t="s">
        <v>1364</v>
      </c>
      <c r="E4137" t="s">
        <v>1365</v>
      </c>
      <c r="F4137">
        <v>21.45</v>
      </c>
      <c r="G4137">
        <v>230825</v>
      </c>
      <c r="H4137">
        <v>4600</v>
      </c>
      <c r="I4137" t="s">
        <v>105</v>
      </c>
      <c r="J4137">
        <v>26.6</v>
      </c>
      <c r="K4137">
        <v>5.15</v>
      </c>
      <c r="L4137">
        <v>67522</v>
      </c>
      <c r="M4137" t="s">
        <v>397</v>
      </c>
      <c r="N4137" t="str">
        <f>"296         "</f>
        <v xml:space="preserve">296         </v>
      </c>
      <c r="O4137">
        <v>230828</v>
      </c>
    </row>
    <row r="4138" spans="1:15" x14ac:dyDescent="0.25">
      <c r="A4138" t="s">
        <v>16</v>
      </c>
      <c r="B4138" t="s">
        <v>3221</v>
      </c>
      <c r="C4138">
        <v>12928</v>
      </c>
      <c r="D4138" t="s">
        <v>1364</v>
      </c>
      <c r="E4138" t="s">
        <v>1365</v>
      </c>
      <c r="F4138">
        <v>25.6</v>
      </c>
      <c r="G4138">
        <v>230921</v>
      </c>
      <c r="H4138">
        <v>4600</v>
      </c>
      <c r="I4138" t="s">
        <v>105</v>
      </c>
      <c r="J4138">
        <v>31.75</v>
      </c>
      <c r="K4138">
        <v>6.15</v>
      </c>
      <c r="L4138">
        <v>67522</v>
      </c>
      <c r="M4138" t="s">
        <v>397</v>
      </c>
      <c r="N4138" t="str">
        <f>"301         "</f>
        <v xml:space="preserve">301         </v>
      </c>
      <c r="O4138">
        <v>231002</v>
      </c>
    </row>
    <row r="4139" spans="1:15" x14ac:dyDescent="0.25">
      <c r="A4139" t="s">
        <v>16</v>
      </c>
      <c r="B4139" t="s">
        <v>3221</v>
      </c>
      <c r="C4139">
        <v>14203</v>
      </c>
      <c r="D4139" t="s">
        <v>1364</v>
      </c>
      <c r="E4139" t="s">
        <v>1365</v>
      </c>
      <c r="F4139">
        <v>191.77</v>
      </c>
      <c r="G4139">
        <v>231009</v>
      </c>
      <c r="H4139">
        <v>4600</v>
      </c>
      <c r="I4139" t="s">
        <v>105</v>
      </c>
      <c r="J4139">
        <v>237.8</v>
      </c>
      <c r="K4139">
        <v>46.03</v>
      </c>
      <c r="L4139">
        <v>67522</v>
      </c>
      <c r="M4139" t="s">
        <v>397</v>
      </c>
      <c r="N4139" t="str">
        <f>"304         "</f>
        <v xml:space="preserve">304         </v>
      </c>
      <c r="O4139">
        <v>231024</v>
      </c>
    </row>
    <row r="4140" spans="1:15" x14ac:dyDescent="0.25">
      <c r="A4140" t="s">
        <v>16</v>
      </c>
      <c r="B4140" t="s">
        <v>3221</v>
      </c>
      <c r="C4140">
        <v>12928</v>
      </c>
      <c r="D4140" t="s">
        <v>1364</v>
      </c>
      <c r="E4140" t="s">
        <v>1365</v>
      </c>
      <c r="F4140">
        <v>108.87</v>
      </c>
      <c r="G4140">
        <v>230921</v>
      </c>
      <c r="H4140">
        <v>4555</v>
      </c>
      <c r="I4140" t="s">
        <v>481</v>
      </c>
      <c r="J4140">
        <v>135</v>
      </c>
      <c r="K4140">
        <v>26.13</v>
      </c>
      <c r="L4140">
        <v>67522</v>
      </c>
      <c r="M4140" t="s">
        <v>397</v>
      </c>
      <c r="N4140" t="str">
        <f>"301         "</f>
        <v xml:space="preserve">301         </v>
      </c>
      <c r="O4140">
        <v>231002</v>
      </c>
    </row>
    <row r="4141" spans="1:15" x14ac:dyDescent="0.25">
      <c r="A4141" t="s">
        <v>16</v>
      </c>
      <c r="B4141" t="s">
        <v>3221</v>
      </c>
      <c r="C4141">
        <v>2340</v>
      </c>
      <c r="D4141" t="s">
        <v>1364</v>
      </c>
      <c r="E4141" t="s">
        <v>1365</v>
      </c>
      <c r="F4141">
        <v>201.58</v>
      </c>
      <c r="G4141">
        <v>230222</v>
      </c>
      <c r="H4141">
        <v>4554</v>
      </c>
      <c r="I4141" t="s">
        <v>371</v>
      </c>
      <c r="J4141">
        <v>229.8</v>
      </c>
      <c r="K4141">
        <v>28.22</v>
      </c>
      <c r="L4141">
        <v>67522</v>
      </c>
      <c r="M4141" t="s">
        <v>397</v>
      </c>
      <c r="N4141" t="str">
        <f>"271         "</f>
        <v xml:space="preserve">271         </v>
      </c>
      <c r="O4141">
        <v>230224</v>
      </c>
    </row>
    <row r="4142" spans="1:15" x14ac:dyDescent="0.25">
      <c r="A4142" t="s">
        <v>16</v>
      </c>
      <c r="B4142" t="s">
        <v>3221</v>
      </c>
      <c r="C4142">
        <v>3578</v>
      </c>
      <c r="D4142" t="s">
        <v>1364</v>
      </c>
      <c r="E4142" t="s">
        <v>1365</v>
      </c>
      <c r="F4142">
        <v>197.54</v>
      </c>
      <c r="G4142">
        <v>230316</v>
      </c>
      <c r="H4142">
        <v>4554</v>
      </c>
      <c r="I4142" t="s">
        <v>371</v>
      </c>
      <c r="J4142">
        <v>225.2</v>
      </c>
      <c r="K4142">
        <v>27.66</v>
      </c>
      <c r="L4142">
        <v>67522</v>
      </c>
      <c r="M4142" t="s">
        <v>397</v>
      </c>
      <c r="N4142" t="str">
        <f>"274         "</f>
        <v xml:space="preserve">274         </v>
      </c>
      <c r="O4142">
        <v>230317</v>
      </c>
    </row>
    <row r="4143" spans="1:15" x14ac:dyDescent="0.25">
      <c r="A4143" t="s">
        <v>16</v>
      </c>
      <c r="B4143" t="s">
        <v>3221</v>
      </c>
      <c r="C4143">
        <v>6249</v>
      </c>
      <c r="D4143" t="s">
        <v>1364</v>
      </c>
      <c r="E4143" t="s">
        <v>1365</v>
      </c>
      <c r="F4143">
        <v>176.51</v>
      </c>
      <c r="G4143">
        <v>230428</v>
      </c>
      <c r="H4143">
        <v>4554</v>
      </c>
      <c r="I4143" t="s">
        <v>371</v>
      </c>
      <c r="J4143">
        <v>201.22</v>
      </c>
      <c r="K4143">
        <v>24.71</v>
      </c>
      <c r="L4143">
        <v>67522</v>
      </c>
      <c r="M4143" t="s">
        <v>397</v>
      </c>
      <c r="N4143" t="str">
        <f>"279         "</f>
        <v xml:space="preserve">279         </v>
      </c>
      <c r="O4143">
        <v>230509</v>
      </c>
    </row>
    <row r="4144" spans="1:15" x14ac:dyDescent="0.25">
      <c r="A4144" t="s">
        <v>16</v>
      </c>
      <c r="B4144" t="s">
        <v>3221</v>
      </c>
      <c r="C4144">
        <v>9136</v>
      </c>
      <c r="D4144" t="s">
        <v>1364</v>
      </c>
      <c r="E4144" t="s">
        <v>1365</v>
      </c>
      <c r="F4144">
        <v>138.46</v>
      </c>
      <c r="G4144">
        <v>230621</v>
      </c>
      <c r="H4144">
        <v>4554</v>
      </c>
      <c r="I4144" t="s">
        <v>371</v>
      </c>
      <c r="J4144">
        <v>157.85</v>
      </c>
      <c r="K4144">
        <v>19.39</v>
      </c>
      <c r="L4144">
        <v>67522</v>
      </c>
      <c r="M4144" t="s">
        <v>397</v>
      </c>
      <c r="N4144" t="str">
        <f>"285         "</f>
        <v xml:space="preserve">285         </v>
      </c>
      <c r="O4144">
        <v>230628</v>
      </c>
    </row>
    <row r="4145" spans="1:15" x14ac:dyDescent="0.25">
      <c r="A4145" t="s">
        <v>16</v>
      </c>
      <c r="B4145" t="s">
        <v>3221</v>
      </c>
      <c r="C4145">
        <v>9336</v>
      </c>
      <c r="D4145" t="s">
        <v>1364</v>
      </c>
      <c r="E4145" t="s">
        <v>1365</v>
      </c>
      <c r="F4145">
        <v>725.31</v>
      </c>
      <c r="G4145">
        <v>230629</v>
      </c>
      <c r="H4145">
        <v>4554</v>
      </c>
      <c r="I4145" t="s">
        <v>371</v>
      </c>
      <c r="J4145">
        <v>826.85</v>
      </c>
      <c r="K4145">
        <v>101.54</v>
      </c>
      <c r="L4145">
        <v>67522</v>
      </c>
      <c r="M4145" t="s">
        <v>397</v>
      </c>
      <c r="N4145" t="str">
        <f>"283         "</f>
        <v xml:space="preserve">283         </v>
      </c>
      <c r="O4145">
        <v>230706</v>
      </c>
    </row>
    <row r="4146" spans="1:15" x14ac:dyDescent="0.25">
      <c r="A4146" t="s">
        <v>16</v>
      </c>
      <c r="B4146" t="s">
        <v>3221</v>
      </c>
      <c r="C4146">
        <v>9452</v>
      </c>
      <c r="D4146" t="s">
        <v>1364</v>
      </c>
      <c r="E4146" t="s">
        <v>1365</v>
      </c>
      <c r="F4146">
        <v>100.35</v>
      </c>
      <c r="G4146">
        <v>230706</v>
      </c>
      <c r="H4146">
        <v>4554</v>
      </c>
      <c r="I4146" t="s">
        <v>371</v>
      </c>
      <c r="J4146">
        <v>114.4</v>
      </c>
      <c r="K4146">
        <v>14.05</v>
      </c>
      <c r="L4146">
        <v>67522</v>
      </c>
      <c r="M4146" t="s">
        <v>397</v>
      </c>
      <c r="N4146" t="str">
        <f>"287         "</f>
        <v xml:space="preserve">287         </v>
      </c>
      <c r="O4146">
        <v>230711</v>
      </c>
    </row>
    <row r="4147" spans="1:15" x14ac:dyDescent="0.25">
      <c r="A4147" t="s">
        <v>16</v>
      </c>
      <c r="B4147" t="s">
        <v>3221</v>
      </c>
      <c r="C4147">
        <v>10994</v>
      </c>
      <c r="D4147" t="s">
        <v>1364</v>
      </c>
      <c r="E4147" t="s">
        <v>1365</v>
      </c>
      <c r="F4147">
        <v>78.31</v>
      </c>
      <c r="G4147">
        <v>230825</v>
      </c>
      <c r="H4147">
        <v>4554</v>
      </c>
      <c r="I4147" t="s">
        <v>371</v>
      </c>
      <c r="J4147">
        <v>89.27</v>
      </c>
      <c r="K4147">
        <v>10.96</v>
      </c>
      <c r="L4147">
        <v>67522</v>
      </c>
      <c r="M4147" t="s">
        <v>397</v>
      </c>
      <c r="N4147" t="str">
        <f>"296         "</f>
        <v xml:space="preserve">296         </v>
      </c>
      <c r="O4147">
        <v>230828</v>
      </c>
    </row>
    <row r="4148" spans="1:15" x14ac:dyDescent="0.25">
      <c r="A4148" t="s">
        <v>16</v>
      </c>
      <c r="B4148" t="s">
        <v>3221</v>
      </c>
      <c r="C4148">
        <v>12928</v>
      </c>
      <c r="D4148" t="s">
        <v>1364</v>
      </c>
      <c r="E4148" t="s">
        <v>1365</v>
      </c>
      <c r="F4148">
        <v>83.71</v>
      </c>
      <c r="G4148">
        <v>230921</v>
      </c>
      <c r="H4148">
        <v>4554</v>
      </c>
      <c r="I4148" t="s">
        <v>371</v>
      </c>
      <c r="J4148">
        <v>103.8</v>
      </c>
      <c r="K4148">
        <v>20.09</v>
      </c>
      <c r="L4148">
        <v>67522</v>
      </c>
      <c r="M4148" t="s">
        <v>397</v>
      </c>
      <c r="N4148" t="str">
        <f>"301         "</f>
        <v xml:space="preserve">301         </v>
      </c>
      <c r="O4148">
        <v>231002</v>
      </c>
    </row>
    <row r="4149" spans="1:15" x14ac:dyDescent="0.25">
      <c r="A4149" t="s">
        <v>16</v>
      </c>
      <c r="B4149" t="s">
        <v>3221</v>
      </c>
      <c r="C4149">
        <v>14203</v>
      </c>
      <c r="D4149" t="s">
        <v>1364</v>
      </c>
      <c r="E4149" t="s">
        <v>1365</v>
      </c>
      <c r="F4149">
        <v>106.8</v>
      </c>
      <c r="G4149">
        <v>231009</v>
      </c>
      <c r="H4149">
        <v>4554</v>
      </c>
      <c r="I4149" t="s">
        <v>371</v>
      </c>
      <c r="J4149">
        <v>121.75</v>
      </c>
      <c r="K4149">
        <v>14.95</v>
      </c>
      <c r="L4149">
        <v>67522</v>
      </c>
      <c r="M4149" t="s">
        <v>397</v>
      </c>
      <c r="N4149" t="str">
        <f>"304         "</f>
        <v xml:space="preserve">304         </v>
      </c>
      <c r="O4149">
        <v>231024</v>
      </c>
    </row>
    <row r="4150" spans="1:15" x14ac:dyDescent="0.25">
      <c r="A4150" t="s">
        <v>16</v>
      </c>
      <c r="B4150" t="s">
        <v>3221</v>
      </c>
      <c r="C4150">
        <v>13476</v>
      </c>
      <c r="D4150" t="s">
        <v>2214</v>
      </c>
      <c r="E4150" t="s">
        <v>2215</v>
      </c>
      <c r="F4150">
        <v>115.9</v>
      </c>
      <c r="G4150">
        <v>231006</v>
      </c>
      <c r="H4150">
        <v>4580</v>
      </c>
      <c r="I4150" t="s">
        <v>35</v>
      </c>
      <c r="J4150">
        <v>143.72</v>
      </c>
      <c r="K4150">
        <v>27.82</v>
      </c>
      <c r="L4150">
        <v>66754</v>
      </c>
      <c r="M4150" t="s">
        <v>239</v>
      </c>
      <c r="N4150" t="str">
        <f>"1037603     "</f>
        <v xml:space="preserve">1037603     </v>
      </c>
      <c r="O4150">
        <v>231010</v>
      </c>
    </row>
    <row r="4151" spans="1:15" x14ac:dyDescent="0.25">
      <c r="A4151" t="s">
        <v>16</v>
      </c>
      <c r="B4151" t="s">
        <v>3221</v>
      </c>
      <c r="C4151">
        <v>14433</v>
      </c>
      <c r="D4151" t="s">
        <v>2214</v>
      </c>
      <c r="E4151" t="s">
        <v>2215</v>
      </c>
      <c r="F4151">
        <v>145.09</v>
      </c>
      <c r="G4151">
        <v>231023</v>
      </c>
      <c r="H4151">
        <v>4400</v>
      </c>
      <c r="I4151" t="s">
        <v>348</v>
      </c>
      <c r="J4151">
        <v>179.91</v>
      </c>
      <c r="K4151">
        <v>34.82</v>
      </c>
      <c r="L4151">
        <v>66754</v>
      </c>
      <c r="M4151" t="s">
        <v>239</v>
      </c>
      <c r="N4151" t="str">
        <f>"1037706     "</f>
        <v xml:space="preserve">1037706     </v>
      </c>
      <c r="O4151">
        <v>231030</v>
      </c>
    </row>
    <row r="4152" spans="1:15" x14ac:dyDescent="0.25">
      <c r="A4152" t="s">
        <v>16</v>
      </c>
      <c r="B4152" t="s">
        <v>3221</v>
      </c>
      <c r="C4152">
        <v>8846</v>
      </c>
      <c r="D4152" t="s">
        <v>2214</v>
      </c>
      <c r="E4152" t="s">
        <v>2215</v>
      </c>
      <c r="F4152">
        <v>31.65</v>
      </c>
      <c r="G4152">
        <v>230612</v>
      </c>
      <c r="H4152">
        <v>4600</v>
      </c>
      <c r="I4152" t="s">
        <v>105</v>
      </c>
      <c r="J4152">
        <v>39.25</v>
      </c>
      <c r="K4152">
        <v>7.6</v>
      </c>
      <c r="L4152">
        <v>66754</v>
      </c>
      <c r="M4152" t="s">
        <v>239</v>
      </c>
      <c r="N4152" t="str">
        <f>"1036163     "</f>
        <v xml:space="preserve">1036163     </v>
      </c>
      <c r="O4152">
        <v>230619</v>
      </c>
    </row>
    <row r="4153" spans="1:15" x14ac:dyDescent="0.25">
      <c r="A4153" t="s">
        <v>16</v>
      </c>
      <c r="B4153" t="s">
        <v>3221</v>
      </c>
      <c r="C4153">
        <v>6682</v>
      </c>
      <c r="D4153" t="s">
        <v>1454</v>
      </c>
      <c r="E4153" t="s">
        <v>1455</v>
      </c>
      <c r="F4153">
        <v>810</v>
      </c>
      <c r="G4153">
        <v>230508</v>
      </c>
      <c r="H4153">
        <v>4400</v>
      </c>
      <c r="I4153" t="s">
        <v>348</v>
      </c>
      <c r="J4153">
        <v>1004.4</v>
      </c>
      <c r="K4153">
        <v>194.4</v>
      </c>
      <c r="L4153">
        <v>49501</v>
      </c>
      <c r="M4153" t="s">
        <v>177</v>
      </c>
      <c r="N4153" t="str">
        <f>"48047       "</f>
        <v xml:space="preserve">48047       </v>
      </c>
      <c r="O4153">
        <v>230517</v>
      </c>
    </row>
    <row r="4154" spans="1:15" x14ac:dyDescent="0.25">
      <c r="A4154" t="s">
        <v>16</v>
      </c>
      <c r="B4154" t="s">
        <v>3221</v>
      </c>
      <c r="C4154">
        <v>2678</v>
      </c>
      <c r="D4154" t="s">
        <v>1454</v>
      </c>
      <c r="E4154" t="s">
        <v>1455</v>
      </c>
      <c r="F4154">
        <v>79</v>
      </c>
      <c r="G4154">
        <v>230227</v>
      </c>
      <c r="H4154">
        <v>4600</v>
      </c>
      <c r="I4154" t="s">
        <v>105</v>
      </c>
      <c r="J4154">
        <v>97.96</v>
      </c>
      <c r="K4154">
        <v>18.96</v>
      </c>
      <c r="L4154">
        <v>56560</v>
      </c>
      <c r="M4154" t="s">
        <v>654</v>
      </c>
      <c r="N4154" t="str">
        <f>"47645       "</f>
        <v xml:space="preserve">47645       </v>
      </c>
      <c r="O4154">
        <v>230306</v>
      </c>
    </row>
    <row r="4155" spans="1:15" x14ac:dyDescent="0.25">
      <c r="A4155" t="s">
        <v>16</v>
      </c>
      <c r="B4155" t="s">
        <v>3221</v>
      </c>
      <c r="C4155">
        <v>9269</v>
      </c>
      <c r="D4155" t="s">
        <v>1454</v>
      </c>
      <c r="E4155" t="s">
        <v>1455</v>
      </c>
      <c r="F4155">
        <v>252.2</v>
      </c>
      <c r="G4155">
        <v>230628</v>
      </c>
      <c r="H4155">
        <v>4600</v>
      </c>
      <c r="I4155" t="s">
        <v>105</v>
      </c>
      <c r="J4155">
        <v>312.73</v>
      </c>
      <c r="K4155">
        <v>60.53</v>
      </c>
      <c r="L4155">
        <v>17951</v>
      </c>
      <c r="M4155" t="s">
        <v>87</v>
      </c>
      <c r="N4155" t="str">
        <f>"48328       "</f>
        <v xml:space="preserve">48328       </v>
      </c>
      <c r="O4155">
        <v>230703</v>
      </c>
    </row>
    <row r="4156" spans="1:15" x14ac:dyDescent="0.25">
      <c r="A4156" t="s">
        <v>16</v>
      </c>
      <c r="B4156" t="s">
        <v>3221</v>
      </c>
      <c r="C4156">
        <v>14998</v>
      </c>
      <c r="D4156" t="s">
        <v>2834</v>
      </c>
      <c r="E4156" t="s">
        <v>2835</v>
      </c>
      <c r="F4156">
        <v>9900</v>
      </c>
      <c r="G4156">
        <v>231102</v>
      </c>
      <c r="H4156">
        <v>4346</v>
      </c>
      <c r="I4156" t="s">
        <v>197</v>
      </c>
      <c r="J4156">
        <v>12276</v>
      </c>
      <c r="K4156">
        <v>2376</v>
      </c>
      <c r="L4156">
        <v>11903</v>
      </c>
      <c r="M4156" t="s">
        <v>406</v>
      </c>
      <c r="N4156" t="str">
        <f>"550         "</f>
        <v xml:space="preserve">550         </v>
      </c>
      <c r="O4156">
        <v>231108</v>
      </c>
    </row>
    <row r="4157" spans="1:15" x14ac:dyDescent="0.25">
      <c r="A4157" t="s">
        <v>16</v>
      </c>
      <c r="B4157" t="s">
        <v>3221</v>
      </c>
      <c r="C4157">
        <v>4959</v>
      </c>
      <c r="D4157" t="s">
        <v>3628</v>
      </c>
      <c r="E4157" t="s">
        <v>1773</v>
      </c>
      <c r="F4157">
        <v>63</v>
      </c>
      <c r="G4157">
        <v>230412</v>
      </c>
      <c r="H4157">
        <v>4510</v>
      </c>
      <c r="I4157" t="s">
        <v>42</v>
      </c>
      <c r="J4157">
        <v>69.3</v>
      </c>
      <c r="K4157">
        <v>6.3</v>
      </c>
      <c r="L4157">
        <v>66754</v>
      </c>
      <c r="M4157" t="s">
        <v>239</v>
      </c>
      <c r="N4157" t="str">
        <f>"10497       "</f>
        <v xml:space="preserve">10497       </v>
      </c>
      <c r="O4157">
        <v>230414</v>
      </c>
    </row>
    <row r="4158" spans="1:15" x14ac:dyDescent="0.25">
      <c r="A4158" t="s">
        <v>16</v>
      </c>
      <c r="B4158" t="s">
        <v>3221</v>
      </c>
      <c r="C4158">
        <v>8848</v>
      </c>
      <c r="D4158" t="s">
        <v>3628</v>
      </c>
      <c r="E4158" t="s">
        <v>1773</v>
      </c>
      <c r="F4158">
        <v>60</v>
      </c>
      <c r="G4158">
        <v>230613</v>
      </c>
      <c r="H4158">
        <v>4510</v>
      </c>
      <c r="I4158" t="s">
        <v>42</v>
      </c>
      <c r="J4158">
        <v>74.400000000000006</v>
      </c>
      <c r="K4158">
        <v>14.4</v>
      </c>
      <c r="L4158">
        <v>66754</v>
      </c>
      <c r="M4158" t="s">
        <v>239</v>
      </c>
      <c r="N4158" t="str">
        <f>"10530       "</f>
        <v xml:space="preserve">10530       </v>
      </c>
      <c r="O4158">
        <v>230619</v>
      </c>
    </row>
    <row r="4159" spans="1:15" x14ac:dyDescent="0.25">
      <c r="A4159" t="s">
        <v>16</v>
      </c>
      <c r="B4159" t="s">
        <v>3221</v>
      </c>
      <c r="C4159">
        <v>13131</v>
      </c>
      <c r="D4159" t="s">
        <v>2634</v>
      </c>
      <c r="E4159" t="s">
        <v>2635</v>
      </c>
      <c r="F4159">
        <v>208.17</v>
      </c>
      <c r="G4159">
        <v>230927</v>
      </c>
      <c r="H4159">
        <v>4580</v>
      </c>
      <c r="I4159" t="s">
        <v>35</v>
      </c>
      <c r="J4159">
        <v>258.13</v>
      </c>
      <c r="K4159">
        <v>49.96</v>
      </c>
      <c r="L4159">
        <v>17525</v>
      </c>
      <c r="M4159" t="s">
        <v>135</v>
      </c>
      <c r="N4159" t="str">
        <f>"1001011926  "</f>
        <v xml:space="preserve">1001011926  </v>
      </c>
      <c r="O4159">
        <v>231004</v>
      </c>
    </row>
    <row r="4160" spans="1:15" x14ac:dyDescent="0.25">
      <c r="A4160" t="s">
        <v>16</v>
      </c>
      <c r="B4160" t="s">
        <v>3221</v>
      </c>
      <c r="C4160">
        <v>13131</v>
      </c>
      <c r="D4160" t="s">
        <v>2634</v>
      </c>
      <c r="E4160" t="s">
        <v>2635</v>
      </c>
      <c r="F4160">
        <v>84.68</v>
      </c>
      <c r="G4160">
        <v>230927</v>
      </c>
      <c r="H4160">
        <v>4600</v>
      </c>
      <c r="I4160" t="s">
        <v>105</v>
      </c>
      <c r="J4160">
        <v>105</v>
      </c>
      <c r="K4160">
        <v>20.32</v>
      </c>
      <c r="L4160">
        <v>17636</v>
      </c>
      <c r="M4160" t="s">
        <v>352</v>
      </c>
      <c r="N4160" t="str">
        <f>"1001011926  "</f>
        <v xml:space="preserve">1001011926  </v>
      </c>
      <c r="O4160">
        <v>231004</v>
      </c>
    </row>
    <row r="4161" spans="1:15" x14ac:dyDescent="0.25">
      <c r="A4161" t="s">
        <v>16</v>
      </c>
      <c r="B4161" t="s">
        <v>3221</v>
      </c>
      <c r="C4161">
        <v>5120</v>
      </c>
      <c r="D4161" t="s">
        <v>1796</v>
      </c>
      <c r="E4161" t="s">
        <v>1797</v>
      </c>
      <c r="F4161">
        <v>2271.92</v>
      </c>
      <c r="G4161">
        <v>230414</v>
      </c>
      <c r="H4161">
        <v>4440</v>
      </c>
      <c r="I4161" t="s">
        <v>250</v>
      </c>
      <c r="J4161">
        <v>2817.18</v>
      </c>
      <c r="K4161">
        <v>545.26</v>
      </c>
      <c r="L4161">
        <v>17521</v>
      </c>
      <c r="M4161" t="s">
        <v>133</v>
      </c>
      <c r="N4161" t="str">
        <f>"2260        "</f>
        <v xml:space="preserve">2260        </v>
      </c>
      <c r="O4161">
        <v>230418</v>
      </c>
    </row>
    <row r="4162" spans="1:15" x14ac:dyDescent="0.25">
      <c r="A4162" t="s">
        <v>16</v>
      </c>
      <c r="B4162" t="s">
        <v>3221</v>
      </c>
      <c r="C4162">
        <v>1713</v>
      </c>
      <c r="D4162" t="s">
        <v>1156</v>
      </c>
      <c r="E4162" t="s">
        <v>1157</v>
      </c>
      <c r="F4162">
        <v>245.13</v>
      </c>
      <c r="G4162">
        <v>230131</v>
      </c>
      <c r="H4162">
        <v>4520</v>
      </c>
      <c r="I4162" t="s">
        <v>254</v>
      </c>
      <c r="J4162">
        <v>279.45</v>
      </c>
      <c r="K4162">
        <v>34.32</v>
      </c>
      <c r="L4162">
        <v>54451</v>
      </c>
      <c r="M4162" t="s">
        <v>158</v>
      </c>
      <c r="N4162" t="str">
        <f>"16193       "</f>
        <v xml:space="preserve">16193       </v>
      </c>
      <c r="O4162">
        <v>230213</v>
      </c>
    </row>
    <row r="4163" spans="1:15" x14ac:dyDescent="0.25">
      <c r="A4163" t="s">
        <v>16</v>
      </c>
      <c r="B4163" t="s">
        <v>3221</v>
      </c>
      <c r="C4163">
        <v>1782</v>
      </c>
      <c r="D4163" t="s">
        <v>1156</v>
      </c>
      <c r="E4163" t="s">
        <v>1157</v>
      </c>
      <c r="F4163">
        <v>192.36</v>
      </c>
      <c r="G4163">
        <v>230131</v>
      </c>
      <c r="H4163">
        <v>4520</v>
      </c>
      <c r="I4163" t="s">
        <v>254</v>
      </c>
      <c r="J4163">
        <v>219.29</v>
      </c>
      <c r="K4163">
        <v>26.93</v>
      </c>
      <c r="L4163">
        <v>59113</v>
      </c>
      <c r="M4163" t="s">
        <v>235</v>
      </c>
      <c r="N4163" t="str">
        <f>"16194       "</f>
        <v xml:space="preserve">16194       </v>
      </c>
      <c r="O4163">
        <v>230214</v>
      </c>
    </row>
    <row r="4164" spans="1:15" x14ac:dyDescent="0.25">
      <c r="A4164" t="s">
        <v>16</v>
      </c>
      <c r="B4164" t="s">
        <v>3221</v>
      </c>
      <c r="C4164">
        <v>1782</v>
      </c>
      <c r="D4164" t="s">
        <v>1156</v>
      </c>
      <c r="E4164" t="s">
        <v>1157</v>
      </c>
      <c r="F4164">
        <v>33.950000000000003</v>
      </c>
      <c r="G4164">
        <v>230131</v>
      </c>
      <c r="H4164">
        <v>4520</v>
      </c>
      <c r="I4164" t="s">
        <v>254</v>
      </c>
      <c r="J4164">
        <v>38.700000000000003</v>
      </c>
      <c r="K4164">
        <v>4.75</v>
      </c>
      <c r="L4164">
        <v>59803</v>
      </c>
      <c r="M4164" t="s">
        <v>533</v>
      </c>
      <c r="N4164" t="str">
        <f>"16194       "</f>
        <v xml:space="preserve">16194       </v>
      </c>
      <c r="O4164">
        <v>230214</v>
      </c>
    </row>
    <row r="4165" spans="1:15" x14ac:dyDescent="0.25">
      <c r="A4165" t="s">
        <v>16</v>
      </c>
      <c r="B4165" t="s">
        <v>3221</v>
      </c>
      <c r="C4165">
        <v>2831</v>
      </c>
      <c r="D4165" t="s">
        <v>1156</v>
      </c>
      <c r="E4165" t="s">
        <v>1157</v>
      </c>
      <c r="F4165">
        <v>73.73</v>
      </c>
      <c r="G4165">
        <v>230228</v>
      </c>
      <c r="H4165">
        <v>4520</v>
      </c>
      <c r="I4165" t="s">
        <v>254</v>
      </c>
      <c r="J4165">
        <v>84.05</v>
      </c>
      <c r="K4165">
        <v>10.32</v>
      </c>
      <c r="L4165">
        <v>59803</v>
      </c>
      <c r="M4165" t="s">
        <v>533</v>
      </c>
      <c r="N4165" t="str">
        <f>"16428       "</f>
        <v xml:space="preserve">16428       </v>
      </c>
      <c r="O4165">
        <v>230308</v>
      </c>
    </row>
    <row r="4166" spans="1:15" x14ac:dyDescent="0.25">
      <c r="A4166" t="s">
        <v>16</v>
      </c>
      <c r="B4166" t="s">
        <v>3221</v>
      </c>
      <c r="C4166">
        <v>3029</v>
      </c>
      <c r="D4166" t="s">
        <v>1156</v>
      </c>
      <c r="E4166" t="s">
        <v>1157</v>
      </c>
      <c r="F4166">
        <v>313.94</v>
      </c>
      <c r="G4166">
        <v>230228</v>
      </c>
      <c r="H4166">
        <v>4520</v>
      </c>
      <c r="I4166" t="s">
        <v>254</v>
      </c>
      <c r="J4166">
        <v>357.89</v>
      </c>
      <c r="K4166">
        <v>43.95</v>
      </c>
      <c r="L4166">
        <v>54451</v>
      </c>
      <c r="M4166" t="s">
        <v>158</v>
      </c>
      <c r="N4166" t="str">
        <f>"16429       "</f>
        <v xml:space="preserve">16429       </v>
      </c>
      <c r="O4166">
        <v>230308</v>
      </c>
    </row>
    <row r="4167" spans="1:15" x14ac:dyDescent="0.25">
      <c r="A4167" t="s">
        <v>16</v>
      </c>
      <c r="B4167" t="s">
        <v>3221</v>
      </c>
      <c r="C4167">
        <v>4766</v>
      </c>
      <c r="D4167" t="s">
        <v>1156</v>
      </c>
      <c r="E4167" t="s">
        <v>1157</v>
      </c>
      <c r="F4167">
        <v>192.64</v>
      </c>
      <c r="G4167">
        <v>230331</v>
      </c>
      <c r="H4167">
        <v>4520</v>
      </c>
      <c r="I4167" t="s">
        <v>254</v>
      </c>
      <c r="J4167">
        <v>219.61</v>
      </c>
      <c r="K4167">
        <v>26.97</v>
      </c>
      <c r="L4167">
        <v>59113</v>
      </c>
      <c r="M4167" t="s">
        <v>235</v>
      </c>
      <c r="N4167" t="str">
        <f>"16705       "</f>
        <v xml:space="preserve">16705       </v>
      </c>
      <c r="O4167">
        <v>230412</v>
      </c>
    </row>
    <row r="4168" spans="1:15" x14ac:dyDescent="0.25">
      <c r="A4168" t="s">
        <v>16</v>
      </c>
      <c r="B4168" t="s">
        <v>3221</v>
      </c>
      <c r="C4168">
        <v>4766</v>
      </c>
      <c r="D4168" t="s">
        <v>1156</v>
      </c>
      <c r="E4168" t="s">
        <v>1157</v>
      </c>
      <c r="F4168">
        <v>33.99</v>
      </c>
      <c r="G4168">
        <v>230331</v>
      </c>
      <c r="H4168">
        <v>4520</v>
      </c>
      <c r="I4168" t="s">
        <v>254</v>
      </c>
      <c r="J4168">
        <v>38.75</v>
      </c>
      <c r="K4168">
        <v>4.76</v>
      </c>
      <c r="L4168">
        <v>59803</v>
      </c>
      <c r="M4168" t="s">
        <v>533</v>
      </c>
      <c r="N4168" t="str">
        <f>"16705       "</f>
        <v xml:space="preserve">16705       </v>
      </c>
      <c r="O4168">
        <v>230412</v>
      </c>
    </row>
    <row r="4169" spans="1:15" x14ac:dyDescent="0.25">
      <c r="A4169" t="s">
        <v>16</v>
      </c>
      <c r="B4169" t="s">
        <v>3221</v>
      </c>
      <c r="C4169">
        <v>5058</v>
      </c>
      <c r="D4169" t="s">
        <v>1156</v>
      </c>
      <c r="E4169" t="s">
        <v>1157</v>
      </c>
      <c r="F4169">
        <v>326.83999999999997</v>
      </c>
      <c r="G4169">
        <v>230331</v>
      </c>
      <c r="H4169">
        <v>4520</v>
      </c>
      <c r="I4169" t="s">
        <v>254</v>
      </c>
      <c r="J4169">
        <v>372.6</v>
      </c>
      <c r="K4169">
        <v>45.76</v>
      </c>
      <c r="L4169">
        <v>54451</v>
      </c>
      <c r="M4169" t="s">
        <v>158</v>
      </c>
      <c r="N4169" t="str">
        <f>"16704       "</f>
        <v xml:space="preserve">16704       </v>
      </c>
      <c r="O4169">
        <v>230418</v>
      </c>
    </row>
    <row r="4170" spans="1:15" x14ac:dyDescent="0.25">
      <c r="A4170" t="s">
        <v>16</v>
      </c>
      <c r="B4170" t="s">
        <v>3221</v>
      </c>
      <c r="C4170">
        <v>5971</v>
      </c>
      <c r="D4170" t="s">
        <v>1156</v>
      </c>
      <c r="E4170" t="s">
        <v>1157</v>
      </c>
      <c r="F4170">
        <v>121.68</v>
      </c>
      <c r="G4170">
        <v>230430</v>
      </c>
      <c r="H4170">
        <v>4520</v>
      </c>
      <c r="I4170" t="s">
        <v>254</v>
      </c>
      <c r="J4170">
        <v>138.71</v>
      </c>
      <c r="K4170">
        <v>17.03</v>
      </c>
      <c r="L4170">
        <v>59803</v>
      </c>
      <c r="M4170" t="s">
        <v>533</v>
      </c>
      <c r="N4170" t="str">
        <f>"16936       "</f>
        <v xml:space="preserve">16936       </v>
      </c>
      <c r="O4170">
        <v>230504</v>
      </c>
    </row>
    <row r="4171" spans="1:15" x14ac:dyDescent="0.25">
      <c r="A4171" t="s">
        <v>16</v>
      </c>
      <c r="B4171" t="s">
        <v>3221</v>
      </c>
      <c r="C4171">
        <v>5971</v>
      </c>
      <c r="D4171" t="s">
        <v>1156</v>
      </c>
      <c r="E4171" t="s">
        <v>1157</v>
      </c>
      <c r="F4171">
        <v>26.32</v>
      </c>
      <c r="G4171">
        <v>230430</v>
      </c>
      <c r="H4171">
        <v>4520</v>
      </c>
      <c r="I4171" t="s">
        <v>254</v>
      </c>
      <c r="J4171">
        <v>30</v>
      </c>
      <c r="K4171">
        <v>3.68</v>
      </c>
      <c r="L4171">
        <v>59805</v>
      </c>
      <c r="M4171" t="s">
        <v>1716</v>
      </c>
      <c r="N4171" t="str">
        <f>"16936       "</f>
        <v xml:space="preserve">16936       </v>
      </c>
      <c r="O4171">
        <v>230504</v>
      </c>
    </row>
    <row r="4172" spans="1:15" x14ac:dyDescent="0.25">
      <c r="A4172" t="s">
        <v>16</v>
      </c>
      <c r="B4172" t="s">
        <v>3221</v>
      </c>
      <c r="C4172">
        <v>6130</v>
      </c>
      <c r="D4172" t="s">
        <v>1156</v>
      </c>
      <c r="E4172" t="s">
        <v>1157</v>
      </c>
      <c r="F4172">
        <v>236.53</v>
      </c>
      <c r="G4172">
        <v>230430</v>
      </c>
      <c r="H4172">
        <v>4520</v>
      </c>
      <c r="I4172" t="s">
        <v>254</v>
      </c>
      <c r="J4172">
        <v>269.64</v>
      </c>
      <c r="K4172">
        <v>33.11</v>
      </c>
      <c r="L4172">
        <v>54451</v>
      </c>
      <c r="M4172" t="s">
        <v>158</v>
      </c>
      <c r="N4172" t="str">
        <f>"16935       "</f>
        <v xml:space="preserve">16935       </v>
      </c>
      <c r="O4172">
        <v>230508</v>
      </c>
    </row>
    <row r="4173" spans="1:15" x14ac:dyDescent="0.25">
      <c r="A4173" t="s">
        <v>16</v>
      </c>
      <c r="B4173" t="s">
        <v>3221</v>
      </c>
      <c r="C4173">
        <v>8834</v>
      </c>
      <c r="D4173" t="s">
        <v>1156</v>
      </c>
      <c r="E4173" t="s">
        <v>1157</v>
      </c>
      <c r="F4173">
        <v>255.17</v>
      </c>
      <c r="G4173">
        <v>230531</v>
      </c>
      <c r="H4173">
        <v>4520</v>
      </c>
      <c r="I4173" t="s">
        <v>254</v>
      </c>
      <c r="J4173">
        <v>290.89</v>
      </c>
      <c r="K4173">
        <v>35.72</v>
      </c>
      <c r="L4173">
        <v>54451</v>
      </c>
      <c r="M4173" t="s">
        <v>158</v>
      </c>
      <c r="N4173" t="str">
        <f>"17313       "</f>
        <v xml:space="preserve">17313       </v>
      </c>
      <c r="O4173">
        <v>230616</v>
      </c>
    </row>
    <row r="4174" spans="1:15" x14ac:dyDescent="0.25">
      <c r="A4174" t="s">
        <v>16</v>
      </c>
      <c r="B4174" t="s">
        <v>3221</v>
      </c>
      <c r="C4174">
        <v>8863</v>
      </c>
      <c r="D4174" t="s">
        <v>1156</v>
      </c>
      <c r="E4174" t="s">
        <v>1157</v>
      </c>
      <c r="F4174">
        <v>61.2</v>
      </c>
      <c r="G4174">
        <v>230531</v>
      </c>
      <c r="H4174">
        <v>4520</v>
      </c>
      <c r="I4174" t="s">
        <v>254</v>
      </c>
      <c r="J4174">
        <v>69.77</v>
      </c>
      <c r="K4174">
        <v>8.57</v>
      </c>
      <c r="L4174">
        <v>59113</v>
      </c>
      <c r="M4174" t="s">
        <v>235</v>
      </c>
      <c r="N4174" t="str">
        <f>"17314       "</f>
        <v xml:space="preserve">17314       </v>
      </c>
      <c r="O4174">
        <v>230619</v>
      </c>
    </row>
    <row r="4175" spans="1:15" x14ac:dyDescent="0.25">
      <c r="A4175" t="s">
        <v>16</v>
      </c>
      <c r="B4175" t="s">
        <v>3221</v>
      </c>
      <c r="C4175">
        <v>11499</v>
      </c>
      <c r="D4175" t="s">
        <v>1156</v>
      </c>
      <c r="E4175" t="s">
        <v>1157</v>
      </c>
      <c r="F4175">
        <v>179.38</v>
      </c>
      <c r="G4175">
        <v>230831</v>
      </c>
      <c r="H4175">
        <v>4520</v>
      </c>
      <c r="I4175" t="s">
        <v>254</v>
      </c>
      <c r="J4175">
        <v>204.49</v>
      </c>
      <c r="K4175">
        <v>25.11</v>
      </c>
      <c r="L4175">
        <v>59113</v>
      </c>
      <c r="M4175" t="s">
        <v>235</v>
      </c>
      <c r="N4175" t="str">
        <f>"17968       "</f>
        <v xml:space="preserve">17968       </v>
      </c>
      <c r="O4175">
        <v>230907</v>
      </c>
    </row>
    <row r="4176" spans="1:15" x14ac:dyDescent="0.25">
      <c r="A4176" t="s">
        <v>16</v>
      </c>
      <c r="B4176" t="s">
        <v>3221</v>
      </c>
      <c r="C4176">
        <v>11501</v>
      </c>
      <c r="D4176" t="s">
        <v>1156</v>
      </c>
      <c r="E4176" t="s">
        <v>1157</v>
      </c>
      <c r="F4176">
        <v>43.04</v>
      </c>
      <c r="G4176">
        <v>230831</v>
      </c>
      <c r="H4176">
        <v>4520</v>
      </c>
      <c r="I4176" t="s">
        <v>254</v>
      </c>
      <c r="J4176">
        <v>49.06</v>
      </c>
      <c r="K4176">
        <v>6.02</v>
      </c>
      <c r="L4176">
        <v>59114</v>
      </c>
      <c r="M4176" t="s">
        <v>556</v>
      </c>
      <c r="N4176" t="str">
        <f>"17969       "</f>
        <v xml:space="preserve">17969       </v>
      </c>
      <c r="O4176">
        <v>230907</v>
      </c>
    </row>
    <row r="4177" spans="1:15" x14ac:dyDescent="0.25">
      <c r="A4177" t="s">
        <v>16</v>
      </c>
      <c r="B4177" t="s">
        <v>3221</v>
      </c>
      <c r="C4177">
        <v>11809</v>
      </c>
      <c r="D4177" t="s">
        <v>1156</v>
      </c>
      <c r="E4177" t="s">
        <v>1157</v>
      </c>
      <c r="F4177">
        <v>217.78</v>
      </c>
      <c r="G4177">
        <v>230831</v>
      </c>
      <c r="H4177">
        <v>4520</v>
      </c>
      <c r="I4177" t="s">
        <v>254</v>
      </c>
      <c r="J4177">
        <v>248.27</v>
      </c>
      <c r="K4177">
        <v>30.49</v>
      </c>
      <c r="L4177">
        <v>54451</v>
      </c>
      <c r="M4177" t="s">
        <v>158</v>
      </c>
      <c r="N4177" t="str">
        <f>"17967       "</f>
        <v xml:space="preserve">17967       </v>
      </c>
      <c r="O4177">
        <v>230911</v>
      </c>
    </row>
    <row r="4178" spans="1:15" x14ac:dyDescent="0.25">
      <c r="A4178" t="s">
        <v>16</v>
      </c>
      <c r="B4178" t="s">
        <v>3221</v>
      </c>
      <c r="C4178">
        <v>14286</v>
      </c>
      <c r="D4178" t="s">
        <v>1156</v>
      </c>
      <c r="E4178" t="s">
        <v>1157</v>
      </c>
      <c r="F4178">
        <v>86.37</v>
      </c>
      <c r="G4178">
        <v>230930</v>
      </c>
      <c r="H4178">
        <v>4520</v>
      </c>
      <c r="I4178" t="s">
        <v>254</v>
      </c>
      <c r="J4178">
        <v>98.46</v>
      </c>
      <c r="K4178">
        <v>12.09</v>
      </c>
      <c r="L4178">
        <v>59114</v>
      </c>
      <c r="M4178" t="s">
        <v>556</v>
      </c>
      <c r="N4178" t="str">
        <f>"18374       "</f>
        <v xml:space="preserve">18374       </v>
      </c>
      <c r="O4178">
        <v>231025</v>
      </c>
    </row>
    <row r="4179" spans="1:15" x14ac:dyDescent="0.25">
      <c r="A4179" t="s">
        <v>16</v>
      </c>
      <c r="B4179" t="s">
        <v>3221</v>
      </c>
      <c r="C4179">
        <v>14296</v>
      </c>
      <c r="D4179" t="s">
        <v>1156</v>
      </c>
      <c r="E4179" t="s">
        <v>1157</v>
      </c>
      <c r="F4179">
        <v>389.1</v>
      </c>
      <c r="G4179">
        <v>230930</v>
      </c>
      <c r="H4179">
        <v>4520</v>
      </c>
      <c r="I4179" t="s">
        <v>254</v>
      </c>
      <c r="J4179">
        <v>443.57</v>
      </c>
      <c r="K4179">
        <v>54.47</v>
      </c>
      <c r="L4179">
        <v>59803</v>
      </c>
      <c r="M4179" t="s">
        <v>533</v>
      </c>
      <c r="N4179" t="str">
        <f>"18373       "</f>
        <v xml:space="preserve">18373       </v>
      </c>
      <c r="O4179">
        <v>231025</v>
      </c>
    </row>
    <row r="4180" spans="1:15" x14ac:dyDescent="0.25">
      <c r="A4180" t="s">
        <v>16</v>
      </c>
      <c r="B4180" t="s">
        <v>3221</v>
      </c>
      <c r="C4180">
        <v>14317</v>
      </c>
      <c r="D4180" t="s">
        <v>1156</v>
      </c>
      <c r="E4180" t="s">
        <v>1157</v>
      </c>
      <c r="F4180">
        <v>221.74</v>
      </c>
      <c r="G4180">
        <v>230930</v>
      </c>
      <c r="H4180">
        <v>4520</v>
      </c>
      <c r="I4180" t="s">
        <v>254</v>
      </c>
      <c r="J4180">
        <v>252.78</v>
      </c>
      <c r="K4180">
        <v>31.04</v>
      </c>
      <c r="L4180">
        <v>54451</v>
      </c>
      <c r="M4180" t="s">
        <v>158</v>
      </c>
      <c r="N4180" t="str">
        <f>"18372       "</f>
        <v xml:space="preserve">18372       </v>
      </c>
      <c r="O4180">
        <v>231026</v>
      </c>
    </row>
    <row r="4181" spans="1:15" x14ac:dyDescent="0.25">
      <c r="A4181" t="s">
        <v>16</v>
      </c>
      <c r="B4181" t="s">
        <v>3221</v>
      </c>
      <c r="C4181">
        <v>15044</v>
      </c>
      <c r="D4181" t="s">
        <v>1156</v>
      </c>
      <c r="E4181" t="s">
        <v>1157</v>
      </c>
      <c r="F4181">
        <v>197.16</v>
      </c>
      <c r="G4181">
        <v>231031</v>
      </c>
      <c r="H4181">
        <v>4520</v>
      </c>
      <c r="I4181" t="s">
        <v>254</v>
      </c>
      <c r="J4181">
        <v>224.76</v>
      </c>
      <c r="K4181">
        <v>27.6</v>
      </c>
      <c r="L4181">
        <v>59803</v>
      </c>
      <c r="M4181" t="s">
        <v>533</v>
      </c>
      <c r="N4181" t="str">
        <f>"18436       "</f>
        <v xml:space="preserve">18436       </v>
      </c>
      <c r="O4181">
        <v>231108</v>
      </c>
    </row>
    <row r="4182" spans="1:15" x14ac:dyDescent="0.25">
      <c r="A4182" t="s">
        <v>16</v>
      </c>
      <c r="B4182" t="s">
        <v>3221</v>
      </c>
      <c r="C4182">
        <v>15045</v>
      </c>
      <c r="D4182" t="s">
        <v>1156</v>
      </c>
      <c r="E4182" t="s">
        <v>1157</v>
      </c>
      <c r="F4182">
        <v>71.709999999999994</v>
      </c>
      <c r="G4182">
        <v>231031</v>
      </c>
      <c r="H4182">
        <v>4520</v>
      </c>
      <c r="I4182" t="s">
        <v>254</v>
      </c>
      <c r="J4182">
        <v>81.75</v>
      </c>
      <c r="K4182">
        <v>10.039999999999999</v>
      </c>
      <c r="L4182">
        <v>59114</v>
      </c>
      <c r="M4182" t="s">
        <v>556</v>
      </c>
      <c r="N4182" t="str">
        <f>"18435       "</f>
        <v xml:space="preserve">18435       </v>
      </c>
      <c r="O4182">
        <v>231108</v>
      </c>
    </row>
    <row r="4183" spans="1:15" x14ac:dyDescent="0.25">
      <c r="A4183" t="s">
        <v>16</v>
      </c>
      <c r="B4183" t="s">
        <v>3221</v>
      </c>
      <c r="C4183">
        <v>15047</v>
      </c>
      <c r="D4183" t="s">
        <v>1156</v>
      </c>
      <c r="E4183" t="s">
        <v>1157</v>
      </c>
      <c r="F4183">
        <v>206.4</v>
      </c>
      <c r="G4183">
        <v>231031</v>
      </c>
      <c r="H4183">
        <v>4520</v>
      </c>
      <c r="I4183" t="s">
        <v>254</v>
      </c>
      <c r="J4183">
        <v>235.3</v>
      </c>
      <c r="K4183">
        <v>28.9</v>
      </c>
      <c r="L4183">
        <v>54451</v>
      </c>
      <c r="M4183" t="s">
        <v>158</v>
      </c>
      <c r="N4183" t="str">
        <f>"18437       "</f>
        <v xml:space="preserve">18437       </v>
      </c>
      <c r="O4183">
        <v>231108</v>
      </c>
    </row>
    <row r="4184" spans="1:15" x14ac:dyDescent="0.25">
      <c r="A4184" t="s">
        <v>16</v>
      </c>
      <c r="B4184" t="s">
        <v>3221</v>
      </c>
      <c r="C4184">
        <v>16944</v>
      </c>
      <c r="D4184" t="s">
        <v>1156</v>
      </c>
      <c r="E4184" t="s">
        <v>1157</v>
      </c>
      <c r="F4184">
        <v>232.22</v>
      </c>
      <c r="G4184">
        <v>231130</v>
      </c>
      <c r="H4184">
        <v>4520</v>
      </c>
      <c r="I4184" t="s">
        <v>254</v>
      </c>
      <c r="J4184">
        <v>264.73</v>
      </c>
      <c r="K4184">
        <v>32.51</v>
      </c>
      <c r="L4184">
        <v>54451</v>
      </c>
      <c r="M4184" t="s">
        <v>158</v>
      </c>
      <c r="N4184" t="str">
        <f>"18680       "</f>
        <v xml:space="preserve">18680       </v>
      </c>
      <c r="O4184">
        <v>231211</v>
      </c>
    </row>
    <row r="4185" spans="1:15" x14ac:dyDescent="0.25">
      <c r="A4185" t="s">
        <v>16</v>
      </c>
      <c r="B4185" t="s">
        <v>3221</v>
      </c>
      <c r="C4185">
        <v>17041</v>
      </c>
      <c r="D4185" t="s">
        <v>1156</v>
      </c>
      <c r="E4185" t="s">
        <v>1157</v>
      </c>
      <c r="F4185">
        <v>30.85</v>
      </c>
      <c r="G4185">
        <v>231130</v>
      </c>
      <c r="H4185">
        <v>4520</v>
      </c>
      <c r="I4185" t="s">
        <v>254</v>
      </c>
      <c r="J4185">
        <v>35.17</v>
      </c>
      <c r="K4185">
        <v>4.32</v>
      </c>
      <c r="L4185">
        <v>59803</v>
      </c>
      <c r="M4185" t="s">
        <v>533</v>
      </c>
      <c r="N4185" t="str">
        <f>"18679       "</f>
        <v xml:space="preserve">18679       </v>
      </c>
      <c r="O4185">
        <v>231212</v>
      </c>
    </row>
    <row r="4186" spans="1:15" x14ac:dyDescent="0.25">
      <c r="A4186" t="s">
        <v>16</v>
      </c>
      <c r="B4186" t="s">
        <v>3221</v>
      </c>
      <c r="C4186">
        <v>17041</v>
      </c>
      <c r="D4186" t="s">
        <v>1156</v>
      </c>
      <c r="E4186" t="s">
        <v>1157</v>
      </c>
      <c r="F4186">
        <v>83.34</v>
      </c>
      <c r="G4186">
        <v>231130</v>
      </c>
      <c r="H4186">
        <v>4520</v>
      </c>
      <c r="I4186" t="s">
        <v>254</v>
      </c>
      <c r="J4186">
        <v>95.01</v>
      </c>
      <c r="K4186">
        <v>11.67</v>
      </c>
      <c r="L4186">
        <v>59805</v>
      </c>
      <c r="M4186" t="s">
        <v>1716</v>
      </c>
      <c r="N4186" t="str">
        <f>"18679       "</f>
        <v xml:space="preserve">18679       </v>
      </c>
      <c r="O4186">
        <v>231212</v>
      </c>
    </row>
    <row r="4187" spans="1:15" x14ac:dyDescent="0.25">
      <c r="A4187" t="s">
        <v>16</v>
      </c>
      <c r="B4187" t="s">
        <v>3221</v>
      </c>
      <c r="C4187">
        <v>17042</v>
      </c>
      <c r="D4187" t="s">
        <v>1156</v>
      </c>
      <c r="E4187" t="s">
        <v>1157</v>
      </c>
      <c r="F4187">
        <v>70.819999999999993</v>
      </c>
      <c r="G4187">
        <v>231130</v>
      </c>
      <c r="H4187">
        <v>4520</v>
      </c>
      <c r="I4187" t="s">
        <v>254</v>
      </c>
      <c r="J4187">
        <v>80.739999999999995</v>
      </c>
      <c r="K4187">
        <v>9.92</v>
      </c>
      <c r="L4187">
        <v>59114</v>
      </c>
      <c r="M4187" t="s">
        <v>556</v>
      </c>
      <c r="N4187" t="str">
        <f>"18678       "</f>
        <v xml:space="preserve">18678       </v>
      </c>
      <c r="O4187">
        <v>231212</v>
      </c>
    </row>
    <row r="4188" spans="1:15" x14ac:dyDescent="0.25">
      <c r="A4188" t="s">
        <v>16</v>
      </c>
      <c r="B4188" t="s">
        <v>3221</v>
      </c>
      <c r="C4188">
        <v>18726</v>
      </c>
      <c r="D4188" t="s">
        <v>1156</v>
      </c>
      <c r="E4188" t="s">
        <v>1157</v>
      </c>
      <c r="F4188">
        <v>79.2</v>
      </c>
      <c r="G4188">
        <v>231228</v>
      </c>
      <c r="H4188">
        <v>4520</v>
      </c>
      <c r="I4188" t="s">
        <v>254</v>
      </c>
      <c r="J4188">
        <v>90.29</v>
      </c>
      <c r="K4188">
        <v>11.09</v>
      </c>
      <c r="L4188">
        <v>54451</v>
      </c>
      <c r="M4188" t="s">
        <v>158</v>
      </c>
      <c r="N4188" t="str">
        <f>"19009       "</f>
        <v xml:space="preserve">19009       </v>
      </c>
      <c r="O4188">
        <v>240105</v>
      </c>
    </row>
    <row r="4189" spans="1:15" x14ac:dyDescent="0.25">
      <c r="A4189" t="s">
        <v>16</v>
      </c>
      <c r="B4189" t="s">
        <v>3221</v>
      </c>
      <c r="C4189">
        <v>18819</v>
      </c>
      <c r="D4189" t="s">
        <v>1156</v>
      </c>
      <c r="E4189" t="s">
        <v>1157</v>
      </c>
      <c r="F4189">
        <v>36.619999999999997</v>
      </c>
      <c r="G4189">
        <v>231228</v>
      </c>
      <c r="H4189">
        <v>4520</v>
      </c>
      <c r="I4189" t="s">
        <v>254</v>
      </c>
      <c r="J4189">
        <v>41.75</v>
      </c>
      <c r="K4189">
        <v>5.13</v>
      </c>
      <c r="L4189">
        <v>59114</v>
      </c>
      <c r="M4189" t="s">
        <v>556</v>
      </c>
      <c r="N4189" t="str">
        <f>"19007       "</f>
        <v xml:space="preserve">19007       </v>
      </c>
      <c r="O4189">
        <v>240108</v>
      </c>
    </row>
    <row r="4190" spans="1:15" x14ac:dyDescent="0.25">
      <c r="A4190" t="s">
        <v>16</v>
      </c>
      <c r="B4190" t="s">
        <v>3221</v>
      </c>
      <c r="C4190">
        <v>18904</v>
      </c>
      <c r="D4190" t="s">
        <v>1156</v>
      </c>
      <c r="E4190" t="s">
        <v>1157</v>
      </c>
      <c r="F4190">
        <v>83.81</v>
      </c>
      <c r="G4190">
        <v>231228</v>
      </c>
      <c r="H4190">
        <v>4520</v>
      </c>
      <c r="I4190" t="s">
        <v>254</v>
      </c>
      <c r="J4190">
        <v>103.92</v>
      </c>
      <c r="K4190">
        <v>20.11</v>
      </c>
      <c r="L4190">
        <v>59803</v>
      </c>
      <c r="M4190" t="s">
        <v>533</v>
      </c>
      <c r="N4190" t="str">
        <f>"19008       "</f>
        <v xml:space="preserve">19008       </v>
      </c>
      <c r="O4190">
        <v>240108</v>
      </c>
    </row>
    <row r="4191" spans="1:15" x14ac:dyDescent="0.25">
      <c r="A4191" t="s">
        <v>16</v>
      </c>
      <c r="B4191" t="s">
        <v>3221</v>
      </c>
      <c r="C4191">
        <v>2224</v>
      </c>
      <c r="D4191" t="s">
        <v>1156</v>
      </c>
      <c r="E4191" t="s">
        <v>1157</v>
      </c>
      <c r="F4191">
        <v>28.29</v>
      </c>
      <c r="G4191">
        <v>230221</v>
      </c>
      <c r="H4191">
        <v>4410</v>
      </c>
      <c r="I4191" t="s">
        <v>517</v>
      </c>
      <c r="J4191">
        <v>32.25</v>
      </c>
      <c r="K4191">
        <v>3.96</v>
      </c>
      <c r="L4191">
        <v>18972</v>
      </c>
      <c r="M4191" t="s">
        <v>163</v>
      </c>
      <c r="N4191" t="str">
        <f>"16399       "</f>
        <v xml:space="preserve">16399       </v>
      </c>
      <c r="O4191">
        <v>230222</v>
      </c>
    </row>
    <row r="4192" spans="1:15" x14ac:dyDescent="0.25">
      <c r="A4192" t="s">
        <v>16</v>
      </c>
      <c r="B4192" t="s">
        <v>3221</v>
      </c>
      <c r="C4192">
        <v>6907</v>
      </c>
      <c r="D4192" t="s">
        <v>1156</v>
      </c>
      <c r="E4192" t="s">
        <v>1157</v>
      </c>
      <c r="F4192">
        <v>34.19</v>
      </c>
      <c r="G4192">
        <v>230519</v>
      </c>
      <c r="H4192">
        <v>4410</v>
      </c>
      <c r="I4192" t="s">
        <v>517</v>
      </c>
      <c r="J4192">
        <v>38.979999999999997</v>
      </c>
      <c r="K4192">
        <v>4.79</v>
      </c>
      <c r="L4192">
        <v>18971</v>
      </c>
      <c r="M4192" t="s">
        <v>63</v>
      </c>
      <c r="N4192" t="str">
        <f>"17167       "</f>
        <v xml:space="preserve">17167       </v>
      </c>
      <c r="O4192">
        <v>230523</v>
      </c>
    </row>
    <row r="4193" spans="1:15" x14ac:dyDescent="0.25">
      <c r="A4193" t="s">
        <v>16</v>
      </c>
      <c r="B4193" t="s">
        <v>3221</v>
      </c>
      <c r="C4193">
        <v>5942</v>
      </c>
      <c r="D4193" t="s">
        <v>1916</v>
      </c>
      <c r="E4193" t="s">
        <v>1917</v>
      </c>
      <c r="F4193">
        <v>254.03</v>
      </c>
      <c r="G4193">
        <v>230429</v>
      </c>
      <c r="H4193">
        <v>4440</v>
      </c>
      <c r="I4193" t="s">
        <v>250</v>
      </c>
      <c r="J4193">
        <v>315</v>
      </c>
      <c r="K4193">
        <v>60.97</v>
      </c>
      <c r="L4193">
        <v>17711</v>
      </c>
      <c r="M4193" t="s">
        <v>65</v>
      </c>
      <c r="N4193" t="str">
        <f>"1379        "</f>
        <v xml:space="preserve">1379        </v>
      </c>
      <c r="O4193">
        <v>230504</v>
      </c>
    </row>
    <row r="4194" spans="1:15" x14ac:dyDescent="0.25">
      <c r="A4194" t="s">
        <v>16</v>
      </c>
      <c r="B4194" t="s">
        <v>3221</v>
      </c>
      <c r="C4194">
        <v>15090</v>
      </c>
      <c r="D4194" t="s">
        <v>2846</v>
      </c>
      <c r="E4194" t="s">
        <v>2847</v>
      </c>
      <c r="F4194">
        <v>313.10000000000002</v>
      </c>
      <c r="G4194">
        <v>231106</v>
      </c>
      <c r="H4194">
        <v>4600</v>
      </c>
      <c r="I4194" t="s">
        <v>105</v>
      </c>
      <c r="J4194">
        <v>388.24</v>
      </c>
      <c r="K4194">
        <v>75.14</v>
      </c>
      <c r="L4194">
        <v>54422</v>
      </c>
      <c r="M4194" t="s">
        <v>234</v>
      </c>
      <c r="N4194" t="str">
        <f>"192936      "</f>
        <v xml:space="preserve">192936      </v>
      </c>
      <c r="O4194">
        <v>231108</v>
      </c>
    </row>
    <row r="4195" spans="1:15" x14ac:dyDescent="0.25">
      <c r="A4195" t="s">
        <v>16</v>
      </c>
      <c r="B4195" t="s">
        <v>3221</v>
      </c>
      <c r="C4195">
        <v>17928</v>
      </c>
      <c r="D4195" t="s">
        <v>3111</v>
      </c>
      <c r="E4195" t="s">
        <v>3112</v>
      </c>
      <c r="F4195">
        <v>775.44</v>
      </c>
      <c r="G4195">
        <v>231218</v>
      </c>
      <c r="H4195">
        <v>4520</v>
      </c>
      <c r="I4195" t="s">
        <v>254</v>
      </c>
      <c r="J4195">
        <v>884</v>
      </c>
      <c r="K4195">
        <v>108.56</v>
      </c>
      <c r="L4195">
        <v>17972</v>
      </c>
      <c r="M4195" t="s">
        <v>248</v>
      </c>
      <c r="N4195" t="str">
        <f>"253         "</f>
        <v xml:space="preserve">253         </v>
      </c>
      <c r="O4195">
        <v>231228</v>
      </c>
    </row>
    <row r="4196" spans="1:15" x14ac:dyDescent="0.25">
      <c r="A4196" t="s">
        <v>16</v>
      </c>
      <c r="B4196" t="s">
        <v>3221</v>
      </c>
      <c r="C4196">
        <v>11023</v>
      </c>
      <c r="D4196" t="s">
        <v>2439</v>
      </c>
      <c r="E4196" t="s">
        <v>2440</v>
      </c>
      <c r="F4196">
        <v>89.92</v>
      </c>
      <c r="G4196">
        <v>230812</v>
      </c>
      <c r="H4196">
        <v>4500</v>
      </c>
      <c r="I4196" t="s">
        <v>212</v>
      </c>
      <c r="J4196">
        <v>111.5</v>
      </c>
      <c r="K4196">
        <v>21.58</v>
      </c>
      <c r="L4196">
        <v>13802</v>
      </c>
      <c r="M4196" t="s">
        <v>200</v>
      </c>
      <c r="N4196" t="str">
        <f>"26230       "</f>
        <v xml:space="preserve">26230       </v>
      </c>
      <c r="O4196">
        <v>230828</v>
      </c>
    </row>
    <row r="4197" spans="1:15" x14ac:dyDescent="0.25">
      <c r="A4197" t="s">
        <v>16</v>
      </c>
      <c r="B4197" t="s">
        <v>3221</v>
      </c>
      <c r="C4197">
        <v>4411</v>
      </c>
      <c r="D4197" t="s">
        <v>1712</v>
      </c>
      <c r="E4197" t="s">
        <v>1713</v>
      </c>
      <c r="F4197">
        <v>556.44000000000005</v>
      </c>
      <c r="G4197">
        <v>230327</v>
      </c>
      <c r="H4197">
        <v>4600</v>
      </c>
      <c r="I4197" t="s">
        <v>105</v>
      </c>
      <c r="J4197">
        <v>689.99</v>
      </c>
      <c r="K4197">
        <v>133.55000000000001</v>
      </c>
      <c r="L4197">
        <v>17521</v>
      </c>
      <c r="M4197" t="s">
        <v>133</v>
      </c>
      <c r="N4197" t="str">
        <f>"492212      "</f>
        <v xml:space="preserve">492212      </v>
      </c>
      <c r="O4197">
        <v>230405</v>
      </c>
    </row>
    <row r="4198" spans="1:15" x14ac:dyDescent="0.25">
      <c r="A4198" t="s">
        <v>16</v>
      </c>
      <c r="B4198" t="s">
        <v>3221</v>
      </c>
      <c r="C4198">
        <v>9253</v>
      </c>
      <c r="D4198" t="s">
        <v>3296</v>
      </c>
      <c r="E4198" t="s">
        <v>3297</v>
      </c>
      <c r="F4198">
        <v>81.81</v>
      </c>
      <c r="G4198">
        <v>230629</v>
      </c>
      <c r="H4198">
        <v>4410</v>
      </c>
      <c r="I4198" t="s">
        <v>517</v>
      </c>
      <c r="J4198">
        <v>89.99</v>
      </c>
      <c r="K4198">
        <v>8.18</v>
      </c>
      <c r="L4198">
        <v>13451</v>
      </c>
      <c r="M4198" t="s">
        <v>190</v>
      </c>
      <c r="N4198" t="str">
        <f>"2000275896  "</f>
        <v xml:space="preserve">2000275896  </v>
      </c>
      <c r="O4198">
        <v>230703</v>
      </c>
    </row>
    <row r="4199" spans="1:15" x14ac:dyDescent="0.25">
      <c r="A4199" t="s">
        <v>16</v>
      </c>
      <c r="B4199" t="s">
        <v>3221</v>
      </c>
      <c r="C4199">
        <v>9253</v>
      </c>
      <c r="D4199" t="s">
        <v>3296</v>
      </c>
      <c r="E4199" t="s">
        <v>3297</v>
      </c>
      <c r="F4199">
        <v>97.62</v>
      </c>
      <c r="G4199">
        <v>230629</v>
      </c>
      <c r="H4199">
        <v>4410</v>
      </c>
      <c r="I4199" t="s">
        <v>517</v>
      </c>
      <c r="J4199">
        <v>111.29</v>
      </c>
      <c r="K4199">
        <v>13.67</v>
      </c>
      <c r="L4199">
        <v>13452</v>
      </c>
      <c r="M4199" t="s">
        <v>3226</v>
      </c>
      <c r="N4199" t="str">
        <f>"2000275896  "</f>
        <v xml:space="preserve">2000275896  </v>
      </c>
      <c r="O4199">
        <v>230703</v>
      </c>
    </row>
    <row r="4200" spans="1:15" x14ac:dyDescent="0.25">
      <c r="A4200" t="s">
        <v>16</v>
      </c>
      <c r="B4200" t="s">
        <v>3221</v>
      </c>
      <c r="C4200">
        <v>15810</v>
      </c>
      <c r="D4200" t="s">
        <v>3296</v>
      </c>
      <c r="E4200" t="s">
        <v>3297</v>
      </c>
      <c r="F4200">
        <v>1067.78</v>
      </c>
      <c r="G4200">
        <v>231031</v>
      </c>
      <c r="H4200">
        <v>4410</v>
      </c>
      <c r="I4200" t="s">
        <v>517</v>
      </c>
      <c r="J4200">
        <v>1217.27</v>
      </c>
      <c r="K4200">
        <v>149.49</v>
      </c>
      <c r="L4200">
        <v>13452</v>
      </c>
      <c r="M4200" t="s">
        <v>3226</v>
      </c>
      <c r="N4200" t="str">
        <f>"2000281960  "</f>
        <v xml:space="preserve">2000281960  </v>
      </c>
      <c r="O4200">
        <v>231120</v>
      </c>
    </row>
    <row r="4201" spans="1:15" x14ac:dyDescent="0.25">
      <c r="A4201" t="s">
        <v>16</v>
      </c>
      <c r="B4201" t="s">
        <v>3221</v>
      </c>
      <c r="C4201">
        <v>4837</v>
      </c>
      <c r="D4201" t="s">
        <v>3421</v>
      </c>
      <c r="E4201" t="s">
        <v>3422</v>
      </c>
      <c r="F4201">
        <v>5500</v>
      </c>
      <c r="G4201">
        <v>230331</v>
      </c>
      <c r="H4201">
        <v>4440</v>
      </c>
      <c r="I4201" t="s">
        <v>250</v>
      </c>
      <c r="J4201">
        <v>5500</v>
      </c>
      <c r="K4201">
        <v>0</v>
      </c>
      <c r="L4201">
        <v>18120</v>
      </c>
      <c r="M4201" t="s">
        <v>329</v>
      </c>
      <c r="N4201" t="str">
        <f>"1625        "</f>
        <v xml:space="preserve">1625        </v>
      </c>
      <c r="O4201">
        <v>230413</v>
      </c>
    </row>
    <row r="4202" spans="1:15" x14ac:dyDescent="0.25">
      <c r="A4202" t="s">
        <v>16</v>
      </c>
      <c r="B4202" t="s">
        <v>3221</v>
      </c>
      <c r="C4202">
        <v>6958</v>
      </c>
      <c r="D4202" t="s">
        <v>3421</v>
      </c>
      <c r="E4202" t="s">
        <v>3422</v>
      </c>
      <c r="F4202">
        <v>5500</v>
      </c>
      <c r="G4202">
        <v>230516</v>
      </c>
      <c r="H4202">
        <v>4440</v>
      </c>
      <c r="I4202" t="s">
        <v>250</v>
      </c>
      <c r="J4202">
        <v>5500</v>
      </c>
      <c r="K4202">
        <v>0</v>
      </c>
      <c r="L4202">
        <v>18120</v>
      </c>
      <c r="M4202" t="s">
        <v>329</v>
      </c>
      <c r="N4202" t="str">
        <f>"1707        "</f>
        <v xml:space="preserve">1707        </v>
      </c>
      <c r="O4202">
        <v>230523</v>
      </c>
    </row>
    <row r="4203" spans="1:15" x14ac:dyDescent="0.25">
      <c r="A4203" t="s">
        <v>16</v>
      </c>
      <c r="B4203" t="s">
        <v>3221</v>
      </c>
      <c r="C4203">
        <v>11519</v>
      </c>
      <c r="D4203" t="s">
        <v>3421</v>
      </c>
      <c r="E4203" t="s">
        <v>3422</v>
      </c>
      <c r="F4203">
        <v>5500</v>
      </c>
      <c r="G4203">
        <v>230904</v>
      </c>
      <c r="H4203">
        <v>4440</v>
      </c>
      <c r="I4203" t="s">
        <v>250</v>
      </c>
      <c r="J4203">
        <v>5500</v>
      </c>
      <c r="K4203">
        <v>0</v>
      </c>
      <c r="L4203">
        <v>18120</v>
      </c>
      <c r="M4203" t="s">
        <v>329</v>
      </c>
      <c r="N4203" t="str">
        <f>"1836        "</f>
        <v xml:space="preserve">1836        </v>
      </c>
      <c r="O4203">
        <v>230907</v>
      </c>
    </row>
    <row r="4204" spans="1:15" x14ac:dyDescent="0.25">
      <c r="A4204" t="s">
        <v>16</v>
      </c>
      <c r="B4204" t="s">
        <v>3221</v>
      </c>
      <c r="C4204">
        <v>17068</v>
      </c>
      <c r="D4204" t="s">
        <v>3421</v>
      </c>
      <c r="E4204" t="s">
        <v>3422</v>
      </c>
      <c r="F4204">
        <v>9600</v>
      </c>
      <c r="G4204">
        <v>231204</v>
      </c>
      <c r="H4204">
        <v>4440</v>
      </c>
      <c r="I4204" t="s">
        <v>250</v>
      </c>
      <c r="J4204">
        <v>9600</v>
      </c>
      <c r="K4204">
        <v>0</v>
      </c>
      <c r="L4204">
        <v>18120</v>
      </c>
      <c r="M4204" t="s">
        <v>329</v>
      </c>
      <c r="N4204" t="str">
        <f>"1930        "</f>
        <v xml:space="preserve">1930        </v>
      </c>
      <c r="O4204">
        <v>231212</v>
      </c>
    </row>
    <row r="4205" spans="1:15" x14ac:dyDescent="0.25">
      <c r="A4205" t="s">
        <v>16</v>
      </c>
      <c r="B4205" t="s">
        <v>3221</v>
      </c>
      <c r="C4205">
        <v>17077</v>
      </c>
      <c r="D4205" t="s">
        <v>3421</v>
      </c>
      <c r="E4205" t="s">
        <v>3422</v>
      </c>
      <c r="F4205">
        <v>5500</v>
      </c>
      <c r="G4205">
        <v>231204</v>
      </c>
      <c r="H4205">
        <v>4440</v>
      </c>
      <c r="I4205" t="s">
        <v>250</v>
      </c>
      <c r="J4205">
        <v>5500</v>
      </c>
      <c r="K4205">
        <v>0</v>
      </c>
      <c r="L4205">
        <v>18120</v>
      </c>
      <c r="M4205" t="s">
        <v>329</v>
      </c>
      <c r="N4205" t="str">
        <f>"1936        "</f>
        <v xml:space="preserve">1936        </v>
      </c>
      <c r="O4205">
        <v>231212</v>
      </c>
    </row>
    <row r="4206" spans="1:15" x14ac:dyDescent="0.25">
      <c r="A4206" t="s">
        <v>16</v>
      </c>
      <c r="B4206" t="s">
        <v>3221</v>
      </c>
      <c r="C4206">
        <v>18307</v>
      </c>
      <c r="D4206" t="s">
        <v>3421</v>
      </c>
      <c r="E4206" t="s">
        <v>3422</v>
      </c>
      <c r="F4206">
        <v>3200</v>
      </c>
      <c r="G4206">
        <v>231221</v>
      </c>
      <c r="H4206">
        <v>4440</v>
      </c>
      <c r="I4206" t="s">
        <v>250</v>
      </c>
      <c r="J4206">
        <v>3200</v>
      </c>
      <c r="K4206">
        <v>0</v>
      </c>
      <c r="L4206">
        <v>18120</v>
      </c>
      <c r="M4206" t="s">
        <v>329</v>
      </c>
      <c r="N4206" t="str">
        <f>"1940        "</f>
        <v xml:space="preserve">1940        </v>
      </c>
      <c r="O4206">
        <v>240102</v>
      </c>
    </row>
    <row r="4207" spans="1:15" x14ac:dyDescent="0.25">
      <c r="A4207" t="s">
        <v>16</v>
      </c>
      <c r="B4207" t="s">
        <v>3221</v>
      </c>
      <c r="C4207">
        <v>18682</v>
      </c>
      <c r="D4207" t="s">
        <v>3421</v>
      </c>
      <c r="E4207" t="s">
        <v>3422</v>
      </c>
      <c r="F4207">
        <v>18560</v>
      </c>
      <c r="G4207">
        <v>231231</v>
      </c>
      <c r="H4207">
        <v>4440</v>
      </c>
      <c r="I4207" t="s">
        <v>250</v>
      </c>
      <c r="J4207">
        <v>18560</v>
      </c>
      <c r="K4207">
        <v>0</v>
      </c>
      <c r="L4207">
        <v>18120</v>
      </c>
      <c r="M4207" t="s">
        <v>329</v>
      </c>
      <c r="N4207" t="str">
        <f>"1946        "</f>
        <v xml:space="preserve">1946        </v>
      </c>
      <c r="O4207">
        <v>240104</v>
      </c>
    </row>
    <row r="4208" spans="1:15" x14ac:dyDescent="0.25">
      <c r="A4208" t="s">
        <v>16</v>
      </c>
      <c r="B4208" t="s">
        <v>3221</v>
      </c>
      <c r="C4208">
        <v>18346</v>
      </c>
      <c r="D4208" t="s">
        <v>3133</v>
      </c>
      <c r="E4208" t="s">
        <v>3134</v>
      </c>
      <c r="F4208">
        <v>750</v>
      </c>
      <c r="G4208">
        <v>231213</v>
      </c>
      <c r="H4208">
        <v>4555</v>
      </c>
      <c r="I4208" t="s">
        <v>481</v>
      </c>
      <c r="J4208">
        <v>930</v>
      </c>
      <c r="K4208">
        <v>180</v>
      </c>
      <c r="L4208">
        <v>44453</v>
      </c>
      <c r="M4208" t="s">
        <v>492</v>
      </c>
      <c r="N4208" t="str">
        <f>"174821301   "</f>
        <v xml:space="preserve">174821301   </v>
      </c>
      <c r="O4208">
        <v>240103</v>
      </c>
    </row>
    <row r="4209" spans="1:15" x14ac:dyDescent="0.25">
      <c r="A4209" t="s">
        <v>16</v>
      </c>
      <c r="B4209" t="s">
        <v>3221</v>
      </c>
      <c r="C4209">
        <v>1756</v>
      </c>
      <c r="D4209" t="s">
        <v>1180</v>
      </c>
      <c r="E4209" t="s">
        <v>1181</v>
      </c>
      <c r="F4209">
        <v>75</v>
      </c>
      <c r="G4209">
        <v>230208</v>
      </c>
      <c r="H4209">
        <v>4600</v>
      </c>
      <c r="I4209" t="s">
        <v>105</v>
      </c>
      <c r="J4209">
        <v>93</v>
      </c>
      <c r="K4209">
        <v>18</v>
      </c>
      <c r="L4209">
        <v>17807</v>
      </c>
      <c r="M4209" t="s">
        <v>318</v>
      </c>
      <c r="N4209" t="str">
        <f>"V152128     "</f>
        <v xml:space="preserve">V152128     </v>
      </c>
      <c r="O4209">
        <v>230213</v>
      </c>
    </row>
    <row r="4210" spans="1:15" x14ac:dyDescent="0.25">
      <c r="A4210" t="s">
        <v>16</v>
      </c>
      <c r="B4210" t="s">
        <v>3221</v>
      </c>
      <c r="C4210">
        <v>4707</v>
      </c>
      <c r="D4210" t="s">
        <v>1180</v>
      </c>
      <c r="E4210" t="s">
        <v>1181</v>
      </c>
      <c r="F4210">
        <v>389.5</v>
      </c>
      <c r="G4210">
        <v>230331</v>
      </c>
      <c r="H4210">
        <v>4600</v>
      </c>
      <c r="I4210" t="s">
        <v>105</v>
      </c>
      <c r="J4210">
        <v>482.98</v>
      </c>
      <c r="K4210">
        <v>93.48</v>
      </c>
      <c r="L4210">
        <v>17807</v>
      </c>
      <c r="M4210" t="s">
        <v>318</v>
      </c>
      <c r="N4210" t="str">
        <f>"V152617     "</f>
        <v xml:space="preserve">V152617     </v>
      </c>
      <c r="O4210">
        <v>230412</v>
      </c>
    </row>
    <row r="4211" spans="1:15" x14ac:dyDescent="0.25">
      <c r="A4211" t="s">
        <v>16</v>
      </c>
      <c r="B4211" t="s">
        <v>3221</v>
      </c>
      <c r="C4211">
        <v>4733</v>
      </c>
      <c r="D4211" t="s">
        <v>1180</v>
      </c>
      <c r="E4211" t="s">
        <v>1181</v>
      </c>
      <c r="F4211">
        <v>30</v>
      </c>
      <c r="G4211">
        <v>230331</v>
      </c>
      <c r="H4211">
        <v>4600</v>
      </c>
      <c r="I4211" t="s">
        <v>105</v>
      </c>
      <c r="J4211">
        <v>37.200000000000003</v>
      </c>
      <c r="K4211">
        <v>7.2</v>
      </c>
      <c r="L4211">
        <v>17807</v>
      </c>
      <c r="M4211" t="s">
        <v>318</v>
      </c>
      <c r="N4211" t="str">
        <f>"V152616     "</f>
        <v xml:space="preserve">V152616     </v>
      </c>
      <c r="O4211">
        <v>230412</v>
      </c>
    </row>
    <row r="4212" spans="1:15" x14ac:dyDescent="0.25">
      <c r="A4212" t="s">
        <v>16</v>
      </c>
      <c r="B4212" t="s">
        <v>3221</v>
      </c>
      <c r="C4212">
        <v>5733</v>
      </c>
      <c r="D4212" t="s">
        <v>1180</v>
      </c>
      <c r="E4212" t="s">
        <v>1181</v>
      </c>
      <c r="F4212">
        <v>310.5</v>
      </c>
      <c r="G4212">
        <v>230428</v>
      </c>
      <c r="H4212">
        <v>4600</v>
      </c>
      <c r="I4212" t="s">
        <v>105</v>
      </c>
      <c r="J4212">
        <v>385.02</v>
      </c>
      <c r="K4212">
        <v>74.52</v>
      </c>
      <c r="L4212">
        <v>56560</v>
      </c>
      <c r="M4212" t="s">
        <v>654</v>
      </c>
      <c r="N4212" t="str">
        <f>"V153312     "</f>
        <v xml:space="preserve">V153312     </v>
      </c>
      <c r="O4212">
        <v>230502</v>
      </c>
    </row>
    <row r="4213" spans="1:15" x14ac:dyDescent="0.25">
      <c r="A4213" t="s">
        <v>16</v>
      </c>
      <c r="B4213" t="s">
        <v>3221</v>
      </c>
      <c r="C4213">
        <v>1769</v>
      </c>
      <c r="D4213" t="s">
        <v>1180</v>
      </c>
      <c r="E4213" t="s">
        <v>1181</v>
      </c>
      <c r="F4213">
        <v>75</v>
      </c>
      <c r="G4213">
        <v>230208</v>
      </c>
      <c r="H4213">
        <v>4460</v>
      </c>
      <c r="I4213" t="s">
        <v>524</v>
      </c>
      <c r="J4213">
        <v>93</v>
      </c>
      <c r="K4213">
        <v>18</v>
      </c>
      <c r="L4213">
        <v>56560</v>
      </c>
      <c r="M4213" t="s">
        <v>654</v>
      </c>
      <c r="N4213" t="str">
        <f>"V152127     "</f>
        <v xml:space="preserve">V152127     </v>
      </c>
      <c r="O4213">
        <v>230213</v>
      </c>
    </row>
    <row r="4214" spans="1:15" x14ac:dyDescent="0.25">
      <c r="A4214" t="s">
        <v>16</v>
      </c>
      <c r="B4214" t="s">
        <v>3221</v>
      </c>
      <c r="C4214">
        <v>12944</v>
      </c>
      <c r="D4214" t="s">
        <v>1061</v>
      </c>
      <c r="E4214" t="s">
        <v>1062</v>
      </c>
      <c r="F4214">
        <v>94.86</v>
      </c>
      <c r="G4214">
        <v>230921</v>
      </c>
      <c r="H4214">
        <v>4534</v>
      </c>
      <c r="I4214" t="s">
        <v>273</v>
      </c>
      <c r="J4214">
        <v>117.63</v>
      </c>
      <c r="K4214">
        <v>22.77</v>
      </c>
      <c r="L4214">
        <v>17711</v>
      </c>
      <c r="M4214" t="s">
        <v>65</v>
      </c>
      <c r="N4214" t="str">
        <f>"2315428     "</f>
        <v xml:space="preserve">2315428     </v>
      </c>
      <c r="O4214">
        <v>231002</v>
      </c>
    </row>
    <row r="4215" spans="1:15" x14ac:dyDescent="0.25">
      <c r="A4215" t="s">
        <v>16</v>
      </c>
      <c r="B4215" t="s">
        <v>3221</v>
      </c>
      <c r="C4215">
        <v>14696</v>
      </c>
      <c r="D4215" t="s">
        <v>1061</v>
      </c>
      <c r="E4215" t="s">
        <v>1062</v>
      </c>
      <c r="F4215">
        <v>30.36</v>
      </c>
      <c r="G4215">
        <v>231020</v>
      </c>
      <c r="H4215">
        <v>4534</v>
      </c>
      <c r="I4215" t="s">
        <v>273</v>
      </c>
      <c r="J4215">
        <v>37.65</v>
      </c>
      <c r="K4215">
        <v>7.29</v>
      </c>
      <c r="L4215">
        <v>17711</v>
      </c>
      <c r="M4215" t="s">
        <v>65</v>
      </c>
      <c r="N4215" t="str">
        <f>"2317278     "</f>
        <v xml:space="preserve">2317278     </v>
      </c>
      <c r="O4215">
        <v>231101</v>
      </c>
    </row>
    <row r="4216" spans="1:15" x14ac:dyDescent="0.25">
      <c r="A4216" t="s">
        <v>16</v>
      </c>
      <c r="B4216" t="s">
        <v>3221</v>
      </c>
      <c r="C4216">
        <v>18656</v>
      </c>
      <c r="D4216" t="s">
        <v>1061</v>
      </c>
      <c r="E4216" t="s">
        <v>1062</v>
      </c>
      <c r="F4216">
        <v>22.35</v>
      </c>
      <c r="G4216">
        <v>231227</v>
      </c>
      <c r="H4216">
        <v>4534</v>
      </c>
      <c r="I4216" t="s">
        <v>273</v>
      </c>
      <c r="J4216">
        <v>27.72</v>
      </c>
      <c r="K4216">
        <v>5.37</v>
      </c>
      <c r="L4216">
        <v>17711</v>
      </c>
      <c r="M4216" t="s">
        <v>65</v>
      </c>
      <c r="N4216" t="str">
        <f>"2322175     "</f>
        <v xml:space="preserve">2322175     </v>
      </c>
      <c r="O4216">
        <v>240104</v>
      </c>
    </row>
    <row r="4217" spans="1:15" x14ac:dyDescent="0.25">
      <c r="A4217" t="s">
        <v>16</v>
      </c>
      <c r="B4217" t="s">
        <v>3221</v>
      </c>
      <c r="C4217">
        <v>1489</v>
      </c>
      <c r="D4217" t="s">
        <v>1061</v>
      </c>
      <c r="E4217" t="s">
        <v>1062</v>
      </c>
      <c r="F4217">
        <v>94.94</v>
      </c>
      <c r="G4217">
        <v>230131</v>
      </c>
      <c r="H4217">
        <v>4580</v>
      </c>
      <c r="I4217" t="s">
        <v>35</v>
      </c>
      <c r="J4217">
        <v>117.72</v>
      </c>
      <c r="K4217">
        <v>22.78</v>
      </c>
      <c r="L4217">
        <v>17711</v>
      </c>
      <c r="M4217" t="s">
        <v>65</v>
      </c>
      <c r="N4217" t="str">
        <f>"231976      "</f>
        <v xml:space="preserve">231976      </v>
      </c>
      <c r="O4217">
        <v>230209</v>
      </c>
    </row>
    <row r="4218" spans="1:15" x14ac:dyDescent="0.25">
      <c r="A4218" t="s">
        <v>16</v>
      </c>
      <c r="B4218" t="s">
        <v>3221</v>
      </c>
      <c r="C4218">
        <v>3376</v>
      </c>
      <c r="D4218" t="s">
        <v>1061</v>
      </c>
      <c r="E4218" t="s">
        <v>1062</v>
      </c>
      <c r="F4218">
        <v>13.26</v>
      </c>
      <c r="G4218">
        <v>230228</v>
      </c>
      <c r="H4218">
        <v>4580</v>
      </c>
      <c r="I4218" t="s">
        <v>35</v>
      </c>
      <c r="J4218">
        <v>16.440000000000001</v>
      </c>
      <c r="K4218">
        <v>3.18</v>
      </c>
      <c r="L4218">
        <v>17711</v>
      </c>
      <c r="M4218" t="s">
        <v>65</v>
      </c>
      <c r="N4218" t="str">
        <f>"233293      "</f>
        <v xml:space="preserve">233293      </v>
      </c>
      <c r="O4218">
        <v>230315</v>
      </c>
    </row>
    <row r="4219" spans="1:15" x14ac:dyDescent="0.25">
      <c r="A4219" t="s">
        <v>16</v>
      </c>
      <c r="B4219" t="s">
        <v>3221</v>
      </c>
      <c r="C4219">
        <v>12944</v>
      </c>
      <c r="D4219" t="s">
        <v>1061</v>
      </c>
      <c r="E4219" t="s">
        <v>1062</v>
      </c>
      <c r="F4219">
        <v>107.64</v>
      </c>
      <c r="G4219">
        <v>230921</v>
      </c>
      <c r="H4219">
        <v>4580</v>
      </c>
      <c r="I4219" t="s">
        <v>35</v>
      </c>
      <c r="J4219">
        <v>133.47</v>
      </c>
      <c r="K4219">
        <v>25.83</v>
      </c>
      <c r="L4219">
        <v>17711</v>
      </c>
      <c r="M4219" t="s">
        <v>65</v>
      </c>
      <c r="N4219" t="str">
        <f>"2315428     "</f>
        <v xml:space="preserve">2315428     </v>
      </c>
      <c r="O4219">
        <v>231002</v>
      </c>
    </row>
    <row r="4220" spans="1:15" x14ac:dyDescent="0.25">
      <c r="A4220" t="s">
        <v>16</v>
      </c>
      <c r="B4220" t="s">
        <v>3221</v>
      </c>
      <c r="C4220">
        <v>14696</v>
      </c>
      <c r="D4220" t="s">
        <v>1061</v>
      </c>
      <c r="E4220" t="s">
        <v>1062</v>
      </c>
      <c r="F4220">
        <v>124.89</v>
      </c>
      <c r="G4220">
        <v>231020</v>
      </c>
      <c r="H4220">
        <v>4580</v>
      </c>
      <c r="I4220" t="s">
        <v>35</v>
      </c>
      <c r="J4220">
        <v>154.86000000000001</v>
      </c>
      <c r="K4220">
        <v>29.97</v>
      </c>
      <c r="L4220">
        <v>17711</v>
      </c>
      <c r="M4220" t="s">
        <v>65</v>
      </c>
      <c r="N4220" t="str">
        <f>"2317278     "</f>
        <v xml:space="preserve">2317278     </v>
      </c>
      <c r="O4220">
        <v>231101</v>
      </c>
    </row>
    <row r="4221" spans="1:15" x14ac:dyDescent="0.25">
      <c r="A4221" t="s">
        <v>16</v>
      </c>
      <c r="B4221" t="s">
        <v>3221</v>
      </c>
      <c r="C4221">
        <v>3376</v>
      </c>
      <c r="D4221" t="s">
        <v>1061</v>
      </c>
      <c r="E4221" t="s">
        <v>1062</v>
      </c>
      <c r="F4221">
        <v>10.36</v>
      </c>
      <c r="G4221">
        <v>230228</v>
      </c>
      <c r="H4221">
        <v>4364</v>
      </c>
      <c r="I4221" t="s">
        <v>296</v>
      </c>
      <c r="J4221">
        <v>12.85</v>
      </c>
      <c r="K4221">
        <v>2.4900000000000002</v>
      </c>
      <c r="L4221">
        <v>17711</v>
      </c>
      <c r="M4221" t="s">
        <v>65</v>
      </c>
      <c r="N4221" t="str">
        <f>"233293      "</f>
        <v xml:space="preserve">233293      </v>
      </c>
      <c r="O4221">
        <v>230315</v>
      </c>
    </row>
    <row r="4222" spans="1:15" x14ac:dyDescent="0.25">
      <c r="A4222" t="s">
        <v>16</v>
      </c>
      <c r="B4222" t="s">
        <v>3221</v>
      </c>
      <c r="C4222">
        <v>4560</v>
      </c>
      <c r="D4222" t="s">
        <v>1061</v>
      </c>
      <c r="E4222" t="s">
        <v>1062</v>
      </c>
      <c r="F4222">
        <v>11.53</v>
      </c>
      <c r="G4222">
        <v>230331</v>
      </c>
      <c r="H4222">
        <v>4364</v>
      </c>
      <c r="I4222" t="s">
        <v>296</v>
      </c>
      <c r="J4222">
        <v>14.3</v>
      </c>
      <c r="K4222">
        <v>2.77</v>
      </c>
      <c r="L4222">
        <v>17711</v>
      </c>
      <c r="M4222" t="s">
        <v>65</v>
      </c>
      <c r="N4222" t="str">
        <f>"235001      "</f>
        <v xml:space="preserve">235001      </v>
      </c>
      <c r="O4222">
        <v>230406</v>
      </c>
    </row>
    <row r="4223" spans="1:15" x14ac:dyDescent="0.25">
      <c r="A4223" t="s">
        <v>16</v>
      </c>
      <c r="B4223" t="s">
        <v>3221</v>
      </c>
      <c r="C4223">
        <v>8881</v>
      </c>
      <c r="D4223" t="s">
        <v>1061</v>
      </c>
      <c r="E4223" t="s">
        <v>1062</v>
      </c>
      <c r="F4223">
        <v>11.53</v>
      </c>
      <c r="G4223">
        <v>230609</v>
      </c>
      <c r="H4223">
        <v>4364</v>
      </c>
      <c r="I4223" t="s">
        <v>296</v>
      </c>
      <c r="J4223">
        <v>14.3</v>
      </c>
      <c r="K4223">
        <v>2.77</v>
      </c>
      <c r="L4223">
        <v>17711</v>
      </c>
      <c r="M4223" t="s">
        <v>65</v>
      </c>
      <c r="N4223" t="str">
        <f>"238881      "</f>
        <v xml:space="preserve">238881      </v>
      </c>
      <c r="O4223">
        <v>230619</v>
      </c>
    </row>
    <row r="4224" spans="1:15" x14ac:dyDescent="0.25">
      <c r="A4224" t="s">
        <v>16</v>
      </c>
      <c r="B4224" t="s">
        <v>3221</v>
      </c>
      <c r="C4224">
        <v>11185</v>
      </c>
      <c r="D4224" t="s">
        <v>1061</v>
      </c>
      <c r="E4224" t="s">
        <v>1062</v>
      </c>
      <c r="F4224">
        <v>11.53</v>
      </c>
      <c r="G4224">
        <v>230824</v>
      </c>
      <c r="H4224">
        <v>4364</v>
      </c>
      <c r="I4224" t="s">
        <v>296</v>
      </c>
      <c r="J4224">
        <v>14.3</v>
      </c>
      <c r="K4224">
        <v>2.77</v>
      </c>
      <c r="L4224">
        <v>17711</v>
      </c>
      <c r="M4224" t="s">
        <v>65</v>
      </c>
      <c r="N4224" t="str">
        <f>"2313495     "</f>
        <v xml:space="preserve">2313495     </v>
      </c>
      <c r="O4224">
        <v>230831</v>
      </c>
    </row>
    <row r="4225" spans="1:15" x14ac:dyDescent="0.25">
      <c r="A4225" t="s">
        <v>16</v>
      </c>
      <c r="B4225" t="s">
        <v>3221</v>
      </c>
      <c r="C4225">
        <v>12944</v>
      </c>
      <c r="D4225" t="s">
        <v>1061</v>
      </c>
      <c r="E4225" t="s">
        <v>1062</v>
      </c>
      <c r="F4225">
        <v>12.34</v>
      </c>
      <c r="G4225">
        <v>230921</v>
      </c>
      <c r="H4225">
        <v>4364</v>
      </c>
      <c r="I4225" t="s">
        <v>296</v>
      </c>
      <c r="J4225">
        <v>15.3</v>
      </c>
      <c r="K4225">
        <v>2.96</v>
      </c>
      <c r="L4225">
        <v>17711</v>
      </c>
      <c r="M4225" t="s">
        <v>65</v>
      </c>
      <c r="N4225" t="str">
        <f>"2315428     "</f>
        <v xml:space="preserve">2315428     </v>
      </c>
      <c r="O4225">
        <v>231002</v>
      </c>
    </row>
    <row r="4226" spans="1:15" x14ac:dyDescent="0.25">
      <c r="A4226" t="s">
        <v>16</v>
      </c>
      <c r="B4226" t="s">
        <v>3221</v>
      </c>
      <c r="C4226">
        <v>14696</v>
      </c>
      <c r="D4226" t="s">
        <v>1061</v>
      </c>
      <c r="E4226" t="s">
        <v>1062</v>
      </c>
      <c r="F4226">
        <v>10.65</v>
      </c>
      <c r="G4226">
        <v>231020</v>
      </c>
      <c r="H4226">
        <v>4364</v>
      </c>
      <c r="I4226" t="s">
        <v>296</v>
      </c>
      <c r="J4226">
        <v>13.2</v>
      </c>
      <c r="K4226">
        <v>2.5499999999999998</v>
      </c>
      <c r="L4226">
        <v>17711</v>
      </c>
      <c r="M4226" t="s">
        <v>65</v>
      </c>
      <c r="N4226" t="str">
        <f>"2317278     "</f>
        <v xml:space="preserve">2317278     </v>
      </c>
      <c r="O4226">
        <v>231101</v>
      </c>
    </row>
    <row r="4227" spans="1:15" x14ac:dyDescent="0.25">
      <c r="A4227" t="s">
        <v>16</v>
      </c>
      <c r="B4227" t="s">
        <v>3221</v>
      </c>
      <c r="C4227">
        <v>18656</v>
      </c>
      <c r="D4227" t="s">
        <v>1061</v>
      </c>
      <c r="E4227" t="s">
        <v>1062</v>
      </c>
      <c r="F4227">
        <v>13.15</v>
      </c>
      <c r="G4227">
        <v>231227</v>
      </c>
      <c r="H4227">
        <v>4364</v>
      </c>
      <c r="I4227" t="s">
        <v>296</v>
      </c>
      <c r="J4227">
        <v>16.3</v>
      </c>
      <c r="K4227">
        <v>3.15</v>
      </c>
      <c r="L4227">
        <v>17711</v>
      </c>
      <c r="M4227" t="s">
        <v>65</v>
      </c>
      <c r="N4227" t="str">
        <f>"2322175     "</f>
        <v xml:space="preserve">2322175     </v>
      </c>
      <c r="O4227">
        <v>240104</v>
      </c>
    </row>
    <row r="4228" spans="1:15" x14ac:dyDescent="0.25">
      <c r="A4228" t="s">
        <v>16</v>
      </c>
      <c r="B4228" t="s">
        <v>3221</v>
      </c>
      <c r="C4228">
        <v>3376</v>
      </c>
      <c r="D4228" t="s">
        <v>1061</v>
      </c>
      <c r="E4228" t="s">
        <v>1062</v>
      </c>
      <c r="F4228">
        <v>224.56</v>
      </c>
      <c r="G4228">
        <v>230228</v>
      </c>
      <c r="H4228">
        <v>4554</v>
      </c>
      <c r="I4228" t="s">
        <v>371</v>
      </c>
      <c r="J4228">
        <v>256</v>
      </c>
      <c r="K4228">
        <v>31.44</v>
      </c>
      <c r="L4228">
        <v>17711</v>
      </c>
      <c r="M4228" t="s">
        <v>65</v>
      </c>
      <c r="N4228" t="str">
        <f>"233293      "</f>
        <v xml:space="preserve">233293      </v>
      </c>
      <c r="O4228">
        <v>230315</v>
      </c>
    </row>
    <row r="4229" spans="1:15" x14ac:dyDescent="0.25">
      <c r="A4229" t="s">
        <v>16</v>
      </c>
      <c r="B4229" t="s">
        <v>3221</v>
      </c>
      <c r="C4229">
        <v>4560</v>
      </c>
      <c r="D4229" t="s">
        <v>1061</v>
      </c>
      <c r="E4229" t="s">
        <v>1062</v>
      </c>
      <c r="F4229">
        <v>71.23</v>
      </c>
      <c r="G4229">
        <v>230331</v>
      </c>
      <c r="H4229">
        <v>4554</v>
      </c>
      <c r="I4229" t="s">
        <v>371</v>
      </c>
      <c r="J4229">
        <v>81.2</v>
      </c>
      <c r="K4229">
        <v>9.9700000000000006</v>
      </c>
      <c r="L4229">
        <v>17711</v>
      </c>
      <c r="M4229" t="s">
        <v>65</v>
      </c>
      <c r="N4229" t="str">
        <f>"235001      "</f>
        <v xml:space="preserve">235001      </v>
      </c>
      <c r="O4229">
        <v>230406</v>
      </c>
    </row>
    <row r="4230" spans="1:15" x14ac:dyDescent="0.25">
      <c r="A4230" t="s">
        <v>16</v>
      </c>
      <c r="B4230" t="s">
        <v>3221</v>
      </c>
      <c r="C4230">
        <v>8881</v>
      </c>
      <c r="D4230" t="s">
        <v>1061</v>
      </c>
      <c r="E4230" t="s">
        <v>1062</v>
      </c>
      <c r="F4230">
        <v>48.33</v>
      </c>
      <c r="G4230">
        <v>230609</v>
      </c>
      <c r="H4230">
        <v>4554</v>
      </c>
      <c r="I4230" t="s">
        <v>371</v>
      </c>
      <c r="J4230">
        <v>55.1</v>
      </c>
      <c r="K4230">
        <v>6.77</v>
      </c>
      <c r="L4230">
        <v>17711</v>
      </c>
      <c r="M4230" t="s">
        <v>65</v>
      </c>
      <c r="N4230" t="str">
        <f>"238881      "</f>
        <v xml:space="preserve">238881      </v>
      </c>
      <c r="O4230">
        <v>230619</v>
      </c>
    </row>
    <row r="4231" spans="1:15" x14ac:dyDescent="0.25">
      <c r="A4231" t="s">
        <v>16</v>
      </c>
      <c r="B4231" t="s">
        <v>3221</v>
      </c>
      <c r="C4231">
        <v>11185</v>
      </c>
      <c r="D4231" t="s">
        <v>1061</v>
      </c>
      <c r="E4231" t="s">
        <v>1062</v>
      </c>
      <c r="F4231">
        <v>72.5</v>
      </c>
      <c r="G4231">
        <v>230824</v>
      </c>
      <c r="H4231">
        <v>4554</v>
      </c>
      <c r="I4231" t="s">
        <v>371</v>
      </c>
      <c r="J4231">
        <v>82.65</v>
      </c>
      <c r="K4231">
        <v>10.15</v>
      </c>
      <c r="L4231">
        <v>17711</v>
      </c>
      <c r="M4231" t="s">
        <v>65</v>
      </c>
      <c r="N4231" t="str">
        <f>"2313495     "</f>
        <v xml:space="preserve">2313495     </v>
      </c>
      <c r="O4231">
        <v>230831</v>
      </c>
    </row>
    <row r="4232" spans="1:15" x14ac:dyDescent="0.25">
      <c r="A4232" t="s">
        <v>16</v>
      </c>
      <c r="B4232" t="s">
        <v>3221</v>
      </c>
      <c r="C4232">
        <v>14696</v>
      </c>
      <c r="D4232" t="s">
        <v>1061</v>
      </c>
      <c r="E4232" t="s">
        <v>1062</v>
      </c>
      <c r="F4232">
        <v>72.5</v>
      </c>
      <c r="G4232">
        <v>231020</v>
      </c>
      <c r="H4232">
        <v>4554</v>
      </c>
      <c r="I4232" t="s">
        <v>371</v>
      </c>
      <c r="J4232">
        <v>82.65</v>
      </c>
      <c r="K4232">
        <v>10.15</v>
      </c>
      <c r="L4232">
        <v>17711</v>
      </c>
      <c r="M4232" t="s">
        <v>65</v>
      </c>
      <c r="N4232" t="str">
        <f>"2317278     "</f>
        <v xml:space="preserve">2317278     </v>
      </c>
      <c r="O4232">
        <v>231101</v>
      </c>
    </row>
    <row r="4233" spans="1:15" x14ac:dyDescent="0.25">
      <c r="A4233" t="s">
        <v>16</v>
      </c>
      <c r="B4233" t="s">
        <v>3221</v>
      </c>
      <c r="C4233">
        <v>18656</v>
      </c>
      <c r="D4233" t="s">
        <v>1061</v>
      </c>
      <c r="E4233" t="s">
        <v>1062</v>
      </c>
      <c r="F4233">
        <v>96.67</v>
      </c>
      <c r="G4233">
        <v>231227</v>
      </c>
      <c r="H4233">
        <v>4554</v>
      </c>
      <c r="I4233" t="s">
        <v>371</v>
      </c>
      <c r="J4233">
        <v>110.2</v>
      </c>
      <c r="K4233">
        <v>13.53</v>
      </c>
      <c r="L4233">
        <v>17711</v>
      </c>
      <c r="M4233" t="s">
        <v>65</v>
      </c>
      <c r="N4233" t="str">
        <f>"2322175     "</f>
        <v xml:space="preserve">2322175     </v>
      </c>
      <c r="O4233">
        <v>240104</v>
      </c>
    </row>
    <row r="4234" spans="1:15" x14ac:dyDescent="0.25">
      <c r="A4234" t="s">
        <v>16</v>
      </c>
      <c r="B4234" t="s">
        <v>3221</v>
      </c>
      <c r="C4234">
        <v>13437</v>
      </c>
      <c r="D4234" t="s">
        <v>2679</v>
      </c>
      <c r="E4234" t="s">
        <v>2680</v>
      </c>
      <c r="F4234">
        <v>252</v>
      </c>
      <c r="G4234">
        <v>230929</v>
      </c>
      <c r="H4234">
        <v>4580</v>
      </c>
      <c r="I4234" t="s">
        <v>35</v>
      </c>
      <c r="J4234">
        <v>312.48</v>
      </c>
      <c r="K4234">
        <v>60.48</v>
      </c>
      <c r="L4234">
        <v>56564</v>
      </c>
      <c r="M4234" t="s">
        <v>327</v>
      </c>
      <c r="N4234" t="str">
        <f>"16028       "</f>
        <v xml:space="preserve">16028       </v>
      </c>
      <c r="O4234">
        <v>231010</v>
      </c>
    </row>
    <row r="4235" spans="1:15" x14ac:dyDescent="0.25">
      <c r="A4235" t="s">
        <v>16</v>
      </c>
      <c r="B4235" t="s">
        <v>3221</v>
      </c>
      <c r="C4235">
        <v>14449</v>
      </c>
      <c r="D4235" t="s">
        <v>2774</v>
      </c>
      <c r="E4235" t="s">
        <v>2775</v>
      </c>
      <c r="F4235">
        <v>579</v>
      </c>
      <c r="G4235">
        <v>231016</v>
      </c>
      <c r="H4235">
        <v>4580</v>
      </c>
      <c r="I4235" t="s">
        <v>35</v>
      </c>
      <c r="J4235">
        <v>717.96</v>
      </c>
      <c r="K4235">
        <v>138.96</v>
      </c>
      <c r="L4235">
        <v>17527</v>
      </c>
      <c r="M4235" t="s">
        <v>422</v>
      </c>
      <c r="N4235" t="str">
        <f>"1149130     "</f>
        <v xml:space="preserve">1149130     </v>
      </c>
      <c r="O4235">
        <v>231030</v>
      </c>
    </row>
    <row r="4236" spans="1:15" x14ac:dyDescent="0.25">
      <c r="A4236" t="s">
        <v>16</v>
      </c>
      <c r="B4236" t="s">
        <v>3221</v>
      </c>
      <c r="C4236">
        <v>15893</v>
      </c>
      <c r="D4236" t="s">
        <v>2774</v>
      </c>
      <c r="E4236" t="s">
        <v>2775</v>
      </c>
      <c r="F4236">
        <v>579</v>
      </c>
      <c r="G4236">
        <v>231110</v>
      </c>
      <c r="H4236">
        <v>4580</v>
      </c>
      <c r="I4236" t="s">
        <v>35</v>
      </c>
      <c r="J4236">
        <v>717.96</v>
      </c>
      <c r="K4236">
        <v>138.96</v>
      </c>
      <c r="L4236">
        <v>17527</v>
      </c>
      <c r="M4236" t="s">
        <v>422</v>
      </c>
      <c r="N4236" t="str">
        <f>"1149997     "</f>
        <v xml:space="preserve">1149997     </v>
      </c>
      <c r="O4236">
        <v>231121</v>
      </c>
    </row>
    <row r="4237" spans="1:15" x14ac:dyDescent="0.25">
      <c r="A4237" t="s">
        <v>16</v>
      </c>
      <c r="B4237" t="s">
        <v>3221</v>
      </c>
      <c r="C4237">
        <v>16061</v>
      </c>
      <c r="D4237" t="s">
        <v>2774</v>
      </c>
      <c r="E4237" t="s">
        <v>2775</v>
      </c>
      <c r="F4237">
        <v>96.9</v>
      </c>
      <c r="G4237">
        <v>231120</v>
      </c>
      <c r="H4237">
        <v>4580</v>
      </c>
      <c r="I4237" t="s">
        <v>35</v>
      </c>
      <c r="J4237">
        <v>120.16</v>
      </c>
      <c r="K4237">
        <v>23.26</v>
      </c>
      <c r="L4237">
        <v>47522</v>
      </c>
      <c r="M4237" t="s">
        <v>410</v>
      </c>
      <c r="N4237" t="str">
        <f>"1150224     "</f>
        <v xml:space="preserve">1150224     </v>
      </c>
      <c r="O4237">
        <v>231122</v>
      </c>
    </row>
    <row r="4238" spans="1:15" x14ac:dyDescent="0.25">
      <c r="A4238" t="s">
        <v>16</v>
      </c>
      <c r="B4238" t="s">
        <v>3221</v>
      </c>
      <c r="C4238">
        <v>14449</v>
      </c>
      <c r="D4238" t="s">
        <v>2774</v>
      </c>
      <c r="E4238" t="s">
        <v>2775</v>
      </c>
      <c r="F4238">
        <v>127</v>
      </c>
      <c r="G4238">
        <v>231016</v>
      </c>
      <c r="H4238">
        <v>4364</v>
      </c>
      <c r="I4238" t="s">
        <v>296</v>
      </c>
      <c r="J4238">
        <v>157.47999999999999</v>
      </c>
      <c r="K4238">
        <v>30.48</v>
      </c>
      <c r="L4238">
        <v>17527</v>
      </c>
      <c r="M4238" t="s">
        <v>422</v>
      </c>
      <c r="N4238" t="str">
        <f>"1149130     "</f>
        <v xml:space="preserve">1149130     </v>
      </c>
      <c r="O4238">
        <v>231030</v>
      </c>
    </row>
    <row r="4239" spans="1:15" x14ac:dyDescent="0.25">
      <c r="A4239" t="s">
        <v>16</v>
      </c>
      <c r="B4239" t="s">
        <v>3221</v>
      </c>
      <c r="C4239">
        <v>15652</v>
      </c>
      <c r="D4239" t="s">
        <v>2896</v>
      </c>
      <c r="E4239" t="s">
        <v>2897</v>
      </c>
      <c r="F4239">
        <v>58.06</v>
      </c>
      <c r="G4239">
        <v>231110</v>
      </c>
      <c r="H4239">
        <v>4600</v>
      </c>
      <c r="I4239" t="s">
        <v>105</v>
      </c>
      <c r="J4239">
        <v>72</v>
      </c>
      <c r="K4239">
        <v>13.94</v>
      </c>
      <c r="L4239">
        <v>56568</v>
      </c>
      <c r="M4239" t="s">
        <v>268</v>
      </c>
      <c r="N4239" t="str">
        <f>"4559        "</f>
        <v xml:space="preserve">4559        </v>
      </c>
      <c r="O4239">
        <v>231116</v>
      </c>
    </row>
    <row r="4240" spans="1:15" x14ac:dyDescent="0.25">
      <c r="A4240" t="s">
        <v>16</v>
      </c>
      <c r="B4240" t="s">
        <v>3221</v>
      </c>
      <c r="C4240">
        <v>1701</v>
      </c>
      <c r="D4240" t="s">
        <v>1146</v>
      </c>
      <c r="E4240" t="s">
        <v>1147</v>
      </c>
      <c r="F4240">
        <v>429</v>
      </c>
      <c r="G4240">
        <v>230130</v>
      </c>
      <c r="H4240">
        <v>4470</v>
      </c>
      <c r="I4240" t="s">
        <v>83</v>
      </c>
      <c r="J4240">
        <v>531.96</v>
      </c>
      <c r="K4240">
        <v>102.96</v>
      </c>
      <c r="L4240">
        <v>67554</v>
      </c>
      <c r="M4240" t="s">
        <v>60</v>
      </c>
      <c r="N4240" t="str">
        <f>"7766        "</f>
        <v xml:space="preserve">7766        </v>
      </c>
      <c r="O4240">
        <v>230213</v>
      </c>
    </row>
    <row r="4241" spans="1:15" x14ac:dyDescent="0.25">
      <c r="A4241" t="s">
        <v>16</v>
      </c>
      <c r="B4241" t="s">
        <v>3221</v>
      </c>
      <c r="C4241">
        <v>3505</v>
      </c>
      <c r="D4241" t="s">
        <v>1146</v>
      </c>
      <c r="E4241" t="s">
        <v>1147</v>
      </c>
      <c r="F4241">
        <v>429</v>
      </c>
      <c r="G4241">
        <v>230310</v>
      </c>
      <c r="H4241">
        <v>4470</v>
      </c>
      <c r="I4241" t="s">
        <v>83</v>
      </c>
      <c r="J4241">
        <v>531.96</v>
      </c>
      <c r="K4241">
        <v>102.96</v>
      </c>
      <c r="L4241">
        <v>67554</v>
      </c>
      <c r="M4241" t="s">
        <v>60</v>
      </c>
      <c r="N4241" t="str">
        <f>"7843        "</f>
        <v xml:space="preserve">7843        </v>
      </c>
      <c r="O4241">
        <v>230316</v>
      </c>
    </row>
    <row r="4242" spans="1:15" x14ac:dyDescent="0.25">
      <c r="A4242" t="s">
        <v>16</v>
      </c>
      <c r="B4242" t="s">
        <v>3221</v>
      </c>
      <c r="C4242">
        <v>4599</v>
      </c>
      <c r="D4242" t="s">
        <v>1146</v>
      </c>
      <c r="E4242" t="s">
        <v>1147</v>
      </c>
      <c r="F4242">
        <v>363</v>
      </c>
      <c r="G4242">
        <v>230330</v>
      </c>
      <c r="H4242">
        <v>4470</v>
      </c>
      <c r="I4242" t="s">
        <v>83</v>
      </c>
      <c r="J4242">
        <v>450.12</v>
      </c>
      <c r="K4242">
        <v>87.12</v>
      </c>
      <c r="L4242">
        <v>67554</v>
      </c>
      <c r="M4242" t="s">
        <v>60</v>
      </c>
      <c r="N4242" t="str">
        <f>"7893        "</f>
        <v xml:space="preserve">7893        </v>
      </c>
      <c r="O4242">
        <v>230411</v>
      </c>
    </row>
    <row r="4243" spans="1:15" x14ac:dyDescent="0.25">
      <c r="A4243" t="s">
        <v>16</v>
      </c>
      <c r="B4243" t="s">
        <v>3221</v>
      </c>
      <c r="C4243">
        <v>5890</v>
      </c>
      <c r="D4243" t="s">
        <v>1146</v>
      </c>
      <c r="E4243" t="s">
        <v>1147</v>
      </c>
      <c r="F4243">
        <v>330</v>
      </c>
      <c r="G4243">
        <v>230425</v>
      </c>
      <c r="H4243">
        <v>4470</v>
      </c>
      <c r="I4243" t="s">
        <v>83</v>
      </c>
      <c r="J4243">
        <v>409.2</v>
      </c>
      <c r="K4243">
        <v>79.2</v>
      </c>
      <c r="L4243">
        <v>67554</v>
      </c>
      <c r="M4243" t="s">
        <v>60</v>
      </c>
      <c r="N4243" t="str">
        <f>"7951        "</f>
        <v xml:space="preserve">7951        </v>
      </c>
      <c r="O4243">
        <v>230503</v>
      </c>
    </row>
    <row r="4244" spans="1:15" x14ac:dyDescent="0.25">
      <c r="A4244" t="s">
        <v>16</v>
      </c>
      <c r="B4244" t="s">
        <v>3221</v>
      </c>
      <c r="C4244">
        <v>7402</v>
      </c>
      <c r="D4244" t="s">
        <v>1146</v>
      </c>
      <c r="E4244" t="s">
        <v>1147</v>
      </c>
      <c r="F4244">
        <v>576.5</v>
      </c>
      <c r="G4244">
        <v>230529</v>
      </c>
      <c r="H4244">
        <v>4470</v>
      </c>
      <c r="I4244" t="s">
        <v>83</v>
      </c>
      <c r="J4244">
        <v>714.86</v>
      </c>
      <c r="K4244">
        <v>138.36000000000001</v>
      </c>
      <c r="L4244">
        <v>67554</v>
      </c>
      <c r="M4244" t="s">
        <v>60</v>
      </c>
      <c r="N4244" t="str">
        <f>"8017        "</f>
        <v xml:space="preserve">8017        </v>
      </c>
      <c r="O4244">
        <v>230529</v>
      </c>
    </row>
    <row r="4245" spans="1:15" x14ac:dyDescent="0.25">
      <c r="A4245" t="s">
        <v>16</v>
      </c>
      <c r="B4245" t="s">
        <v>3221</v>
      </c>
      <c r="C4245">
        <v>9704</v>
      </c>
      <c r="D4245" t="s">
        <v>1146</v>
      </c>
      <c r="E4245" t="s">
        <v>1147</v>
      </c>
      <c r="F4245">
        <v>330</v>
      </c>
      <c r="G4245">
        <v>230706</v>
      </c>
      <c r="H4245">
        <v>4470</v>
      </c>
      <c r="I4245" t="s">
        <v>83</v>
      </c>
      <c r="J4245">
        <v>409.2</v>
      </c>
      <c r="K4245">
        <v>79.2</v>
      </c>
      <c r="L4245">
        <v>67554</v>
      </c>
      <c r="M4245" t="s">
        <v>60</v>
      </c>
      <c r="N4245" t="str">
        <f>"8093        "</f>
        <v xml:space="preserve">8093        </v>
      </c>
      <c r="O4245">
        <v>230720</v>
      </c>
    </row>
    <row r="4246" spans="1:15" x14ac:dyDescent="0.25">
      <c r="A4246" t="s">
        <v>16</v>
      </c>
      <c r="B4246" t="s">
        <v>3221</v>
      </c>
      <c r="C4246">
        <v>10446</v>
      </c>
      <c r="D4246" t="s">
        <v>1146</v>
      </c>
      <c r="E4246" t="s">
        <v>1147</v>
      </c>
      <c r="F4246">
        <v>330</v>
      </c>
      <c r="G4246">
        <v>230808</v>
      </c>
      <c r="H4246">
        <v>4470</v>
      </c>
      <c r="I4246" t="s">
        <v>83</v>
      </c>
      <c r="J4246">
        <v>409.2</v>
      </c>
      <c r="K4246">
        <v>79.2</v>
      </c>
      <c r="L4246">
        <v>67554</v>
      </c>
      <c r="M4246" t="s">
        <v>60</v>
      </c>
      <c r="N4246" t="str">
        <f>"8146        "</f>
        <v xml:space="preserve">8146        </v>
      </c>
      <c r="O4246">
        <v>230816</v>
      </c>
    </row>
    <row r="4247" spans="1:15" x14ac:dyDescent="0.25">
      <c r="A4247" t="s">
        <v>16</v>
      </c>
      <c r="B4247" t="s">
        <v>3221</v>
      </c>
      <c r="C4247">
        <v>12745</v>
      </c>
      <c r="D4247" t="s">
        <v>1146</v>
      </c>
      <c r="E4247" t="s">
        <v>1147</v>
      </c>
      <c r="F4247">
        <v>363</v>
      </c>
      <c r="G4247">
        <v>230914</v>
      </c>
      <c r="H4247">
        <v>4470</v>
      </c>
      <c r="I4247" t="s">
        <v>83</v>
      </c>
      <c r="J4247">
        <v>450.12</v>
      </c>
      <c r="K4247">
        <v>87.12</v>
      </c>
      <c r="L4247">
        <v>67554</v>
      </c>
      <c r="M4247" t="s">
        <v>60</v>
      </c>
      <c r="N4247" t="str">
        <f>"8217        "</f>
        <v xml:space="preserve">8217        </v>
      </c>
      <c r="O4247">
        <v>230925</v>
      </c>
    </row>
    <row r="4248" spans="1:15" x14ac:dyDescent="0.25">
      <c r="A4248" t="s">
        <v>16</v>
      </c>
      <c r="B4248" t="s">
        <v>3221</v>
      </c>
      <c r="C4248">
        <v>15341</v>
      </c>
      <c r="D4248" t="s">
        <v>1146</v>
      </c>
      <c r="E4248" t="s">
        <v>1147</v>
      </c>
      <c r="F4248">
        <v>330</v>
      </c>
      <c r="G4248">
        <v>231102</v>
      </c>
      <c r="H4248">
        <v>4470</v>
      </c>
      <c r="I4248" t="s">
        <v>83</v>
      </c>
      <c r="J4248">
        <v>409.2</v>
      </c>
      <c r="K4248">
        <v>79.2</v>
      </c>
      <c r="L4248">
        <v>67554</v>
      </c>
      <c r="M4248" t="s">
        <v>60</v>
      </c>
      <c r="N4248" t="str">
        <f>"8316        "</f>
        <v xml:space="preserve">8316        </v>
      </c>
      <c r="O4248">
        <v>231113</v>
      </c>
    </row>
    <row r="4249" spans="1:15" x14ac:dyDescent="0.25">
      <c r="A4249" t="s">
        <v>16</v>
      </c>
      <c r="B4249" t="s">
        <v>3221</v>
      </c>
      <c r="C4249">
        <v>17491</v>
      </c>
      <c r="D4249" t="s">
        <v>1146</v>
      </c>
      <c r="E4249" t="s">
        <v>1147</v>
      </c>
      <c r="F4249">
        <v>330</v>
      </c>
      <c r="G4249">
        <v>231207</v>
      </c>
      <c r="H4249">
        <v>4470</v>
      </c>
      <c r="I4249" t="s">
        <v>83</v>
      </c>
      <c r="J4249">
        <v>409.2</v>
      </c>
      <c r="K4249">
        <v>79.2</v>
      </c>
      <c r="L4249">
        <v>67554</v>
      </c>
      <c r="M4249" t="s">
        <v>60</v>
      </c>
      <c r="N4249" t="str">
        <f>"8379        "</f>
        <v xml:space="preserve">8379        </v>
      </c>
      <c r="O4249">
        <v>231214</v>
      </c>
    </row>
    <row r="4250" spans="1:15" x14ac:dyDescent="0.25">
      <c r="A4250" t="s">
        <v>16</v>
      </c>
      <c r="B4250" t="s">
        <v>3221</v>
      </c>
      <c r="C4250">
        <v>1701</v>
      </c>
      <c r="D4250" t="s">
        <v>1146</v>
      </c>
      <c r="E4250" t="s">
        <v>1147</v>
      </c>
      <c r="F4250">
        <v>2320.59</v>
      </c>
      <c r="G4250">
        <v>230130</v>
      </c>
      <c r="H4250">
        <v>4554</v>
      </c>
      <c r="I4250" t="s">
        <v>371</v>
      </c>
      <c r="J4250">
        <v>2645.47</v>
      </c>
      <c r="K4250">
        <v>324.88</v>
      </c>
      <c r="L4250">
        <v>67554</v>
      </c>
      <c r="M4250" t="s">
        <v>60</v>
      </c>
      <c r="N4250" t="str">
        <f>"7766        "</f>
        <v xml:space="preserve">7766        </v>
      </c>
      <c r="O4250">
        <v>230213</v>
      </c>
    </row>
    <row r="4251" spans="1:15" x14ac:dyDescent="0.25">
      <c r="A4251" t="s">
        <v>16</v>
      </c>
      <c r="B4251" t="s">
        <v>3221</v>
      </c>
      <c r="C4251">
        <v>3505</v>
      </c>
      <c r="D4251" t="s">
        <v>1146</v>
      </c>
      <c r="E4251" t="s">
        <v>1147</v>
      </c>
      <c r="F4251">
        <v>2320.59</v>
      </c>
      <c r="G4251">
        <v>230310</v>
      </c>
      <c r="H4251">
        <v>4554</v>
      </c>
      <c r="I4251" t="s">
        <v>371</v>
      </c>
      <c r="J4251">
        <v>2645.47</v>
      </c>
      <c r="K4251">
        <v>324.88</v>
      </c>
      <c r="L4251">
        <v>67554</v>
      </c>
      <c r="M4251" t="s">
        <v>60</v>
      </c>
      <c r="N4251" t="str">
        <f>"7843        "</f>
        <v xml:space="preserve">7843        </v>
      </c>
      <c r="O4251">
        <v>230316</v>
      </c>
    </row>
    <row r="4252" spans="1:15" x14ac:dyDescent="0.25">
      <c r="A4252" t="s">
        <v>16</v>
      </c>
      <c r="B4252" t="s">
        <v>3221</v>
      </c>
      <c r="C4252">
        <v>4599</v>
      </c>
      <c r="D4252" t="s">
        <v>1146</v>
      </c>
      <c r="E4252" t="s">
        <v>1147</v>
      </c>
      <c r="F4252">
        <v>1975.24</v>
      </c>
      <c r="G4252">
        <v>230330</v>
      </c>
      <c r="H4252">
        <v>4554</v>
      </c>
      <c r="I4252" t="s">
        <v>371</v>
      </c>
      <c r="J4252">
        <v>2251.77</v>
      </c>
      <c r="K4252">
        <v>276.52999999999997</v>
      </c>
      <c r="L4252">
        <v>67554</v>
      </c>
      <c r="M4252" t="s">
        <v>60</v>
      </c>
      <c r="N4252" t="str">
        <f>"7893        "</f>
        <v xml:space="preserve">7893        </v>
      </c>
      <c r="O4252">
        <v>230411</v>
      </c>
    </row>
    <row r="4253" spans="1:15" x14ac:dyDescent="0.25">
      <c r="A4253" t="s">
        <v>16</v>
      </c>
      <c r="B4253" t="s">
        <v>3221</v>
      </c>
      <c r="C4253">
        <v>5890</v>
      </c>
      <c r="D4253" t="s">
        <v>1146</v>
      </c>
      <c r="E4253" t="s">
        <v>1147</v>
      </c>
      <c r="F4253">
        <v>1757.56</v>
      </c>
      <c r="G4253">
        <v>230425</v>
      </c>
      <c r="H4253">
        <v>4554</v>
      </c>
      <c r="I4253" t="s">
        <v>371</v>
      </c>
      <c r="J4253">
        <v>2003.62</v>
      </c>
      <c r="K4253">
        <v>246.06</v>
      </c>
      <c r="L4253">
        <v>67554</v>
      </c>
      <c r="M4253" t="s">
        <v>60</v>
      </c>
      <c r="N4253" t="str">
        <f>"7951        "</f>
        <v xml:space="preserve">7951        </v>
      </c>
      <c r="O4253">
        <v>230503</v>
      </c>
    </row>
    <row r="4254" spans="1:15" x14ac:dyDescent="0.25">
      <c r="A4254" t="s">
        <v>16</v>
      </c>
      <c r="B4254" t="s">
        <v>3221</v>
      </c>
      <c r="C4254">
        <v>7402</v>
      </c>
      <c r="D4254" t="s">
        <v>1146</v>
      </c>
      <c r="E4254" t="s">
        <v>1147</v>
      </c>
      <c r="F4254">
        <v>1658.79</v>
      </c>
      <c r="G4254">
        <v>230529</v>
      </c>
      <c r="H4254">
        <v>4554</v>
      </c>
      <c r="I4254" t="s">
        <v>371</v>
      </c>
      <c r="J4254">
        <v>1891.02</v>
      </c>
      <c r="K4254">
        <v>232.23</v>
      </c>
      <c r="L4254">
        <v>67554</v>
      </c>
      <c r="M4254" t="s">
        <v>60</v>
      </c>
      <c r="N4254" t="str">
        <f>"8017        "</f>
        <v xml:space="preserve">8017        </v>
      </c>
      <c r="O4254">
        <v>230529</v>
      </c>
    </row>
    <row r="4255" spans="1:15" x14ac:dyDescent="0.25">
      <c r="A4255" t="s">
        <v>16</v>
      </c>
      <c r="B4255" t="s">
        <v>3221</v>
      </c>
      <c r="C4255">
        <v>9704</v>
      </c>
      <c r="D4255" t="s">
        <v>1146</v>
      </c>
      <c r="E4255" t="s">
        <v>1147</v>
      </c>
      <c r="F4255">
        <v>1733.3</v>
      </c>
      <c r="G4255">
        <v>230706</v>
      </c>
      <c r="H4255">
        <v>4554</v>
      </c>
      <c r="I4255" t="s">
        <v>371</v>
      </c>
      <c r="J4255">
        <v>1975.96</v>
      </c>
      <c r="K4255">
        <v>242.66</v>
      </c>
      <c r="L4255">
        <v>67554</v>
      </c>
      <c r="M4255" t="s">
        <v>60</v>
      </c>
      <c r="N4255" t="str">
        <f>"8093        "</f>
        <v xml:space="preserve">8093        </v>
      </c>
      <c r="O4255">
        <v>230720</v>
      </c>
    </row>
    <row r="4256" spans="1:15" x14ac:dyDescent="0.25">
      <c r="A4256" t="s">
        <v>16</v>
      </c>
      <c r="B4256" t="s">
        <v>3221</v>
      </c>
      <c r="C4256">
        <v>10446</v>
      </c>
      <c r="D4256" t="s">
        <v>1146</v>
      </c>
      <c r="E4256" t="s">
        <v>1147</v>
      </c>
      <c r="F4256">
        <v>1701.6</v>
      </c>
      <c r="G4256">
        <v>230808</v>
      </c>
      <c r="H4256">
        <v>4554</v>
      </c>
      <c r="I4256" t="s">
        <v>371</v>
      </c>
      <c r="J4256">
        <v>1939.82</v>
      </c>
      <c r="K4256">
        <v>238.22</v>
      </c>
      <c r="L4256">
        <v>67554</v>
      </c>
      <c r="M4256" t="s">
        <v>60</v>
      </c>
      <c r="N4256" t="str">
        <f>"8146        "</f>
        <v xml:space="preserve">8146        </v>
      </c>
      <c r="O4256">
        <v>230816</v>
      </c>
    </row>
    <row r="4257" spans="1:15" x14ac:dyDescent="0.25">
      <c r="A4257" t="s">
        <v>16</v>
      </c>
      <c r="B4257" t="s">
        <v>3221</v>
      </c>
      <c r="C4257">
        <v>12745</v>
      </c>
      <c r="D4257" t="s">
        <v>1146</v>
      </c>
      <c r="E4257" t="s">
        <v>1147</v>
      </c>
      <c r="F4257">
        <v>1833.97</v>
      </c>
      <c r="G4257">
        <v>230914</v>
      </c>
      <c r="H4257">
        <v>4554</v>
      </c>
      <c r="I4257" t="s">
        <v>371</v>
      </c>
      <c r="J4257">
        <v>2090.73</v>
      </c>
      <c r="K4257">
        <v>256.76</v>
      </c>
      <c r="L4257">
        <v>67554</v>
      </c>
      <c r="M4257" t="s">
        <v>60</v>
      </c>
      <c r="N4257" t="str">
        <f>"8217        "</f>
        <v xml:space="preserve">8217        </v>
      </c>
      <c r="O4257">
        <v>230925</v>
      </c>
    </row>
    <row r="4258" spans="1:15" x14ac:dyDescent="0.25">
      <c r="A4258" t="s">
        <v>16</v>
      </c>
      <c r="B4258" t="s">
        <v>3221</v>
      </c>
      <c r="C4258">
        <v>15341</v>
      </c>
      <c r="D4258" t="s">
        <v>1146</v>
      </c>
      <c r="E4258" t="s">
        <v>1147</v>
      </c>
      <c r="F4258">
        <v>1712.04</v>
      </c>
      <c r="G4258">
        <v>231102</v>
      </c>
      <c r="H4258">
        <v>4554</v>
      </c>
      <c r="I4258" t="s">
        <v>371</v>
      </c>
      <c r="J4258">
        <v>1951.73</v>
      </c>
      <c r="K4258">
        <v>239.69</v>
      </c>
      <c r="L4258">
        <v>67554</v>
      </c>
      <c r="M4258" t="s">
        <v>60</v>
      </c>
      <c r="N4258" t="str">
        <f>"8316        "</f>
        <v xml:space="preserve">8316        </v>
      </c>
      <c r="O4258">
        <v>231113</v>
      </c>
    </row>
    <row r="4259" spans="1:15" x14ac:dyDescent="0.25">
      <c r="A4259" t="s">
        <v>16</v>
      </c>
      <c r="B4259" t="s">
        <v>3221</v>
      </c>
      <c r="C4259">
        <v>17491</v>
      </c>
      <c r="D4259" t="s">
        <v>1146</v>
      </c>
      <c r="E4259" t="s">
        <v>1147</v>
      </c>
      <c r="F4259">
        <v>1712.04</v>
      </c>
      <c r="G4259">
        <v>231207</v>
      </c>
      <c r="H4259">
        <v>4554</v>
      </c>
      <c r="I4259" t="s">
        <v>371</v>
      </c>
      <c r="J4259">
        <v>1951.73</v>
      </c>
      <c r="K4259">
        <v>239.69</v>
      </c>
      <c r="L4259">
        <v>67554</v>
      </c>
      <c r="M4259" t="s">
        <v>60</v>
      </c>
      <c r="N4259" t="str">
        <f>"8379        "</f>
        <v xml:space="preserve">8379        </v>
      </c>
      <c r="O4259">
        <v>231214</v>
      </c>
    </row>
    <row r="4260" spans="1:15" x14ac:dyDescent="0.25">
      <c r="A4260" t="s">
        <v>16</v>
      </c>
      <c r="B4260" t="s">
        <v>3221</v>
      </c>
      <c r="C4260">
        <v>13411</v>
      </c>
      <c r="D4260" t="s">
        <v>2670</v>
      </c>
      <c r="E4260" t="s">
        <v>551</v>
      </c>
      <c r="F4260">
        <v>14.8</v>
      </c>
      <c r="G4260">
        <v>230926</v>
      </c>
      <c r="H4260">
        <v>4410</v>
      </c>
      <c r="I4260" t="s">
        <v>517</v>
      </c>
      <c r="J4260">
        <v>14.8</v>
      </c>
      <c r="K4260">
        <v>0</v>
      </c>
      <c r="L4260">
        <v>11001</v>
      </c>
      <c r="M4260" t="s">
        <v>326</v>
      </c>
      <c r="N4260" t="str">
        <f t="shared" ref="N4260:N4288" si="87">"53505817    "</f>
        <v xml:space="preserve">53505817    </v>
      </c>
      <c r="O4260">
        <v>231010</v>
      </c>
    </row>
    <row r="4261" spans="1:15" x14ac:dyDescent="0.25">
      <c r="A4261" t="s">
        <v>16</v>
      </c>
      <c r="B4261" t="s">
        <v>3221</v>
      </c>
      <c r="C4261">
        <v>13411</v>
      </c>
      <c r="D4261" t="s">
        <v>2670</v>
      </c>
      <c r="E4261" t="s">
        <v>551</v>
      </c>
      <c r="F4261">
        <v>14.8</v>
      </c>
      <c r="G4261">
        <v>230926</v>
      </c>
      <c r="H4261">
        <v>4410</v>
      </c>
      <c r="I4261" t="s">
        <v>517</v>
      </c>
      <c r="J4261">
        <v>14.8</v>
      </c>
      <c r="K4261">
        <v>0</v>
      </c>
      <c r="L4261">
        <v>11001</v>
      </c>
      <c r="M4261" t="s">
        <v>326</v>
      </c>
      <c r="N4261" t="str">
        <f t="shared" si="87"/>
        <v xml:space="preserve">53505817    </v>
      </c>
      <c r="O4261">
        <v>231010</v>
      </c>
    </row>
    <row r="4262" spans="1:15" x14ac:dyDescent="0.25">
      <c r="A4262" t="s">
        <v>16</v>
      </c>
      <c r="B4262" t="s">
        <v>3221</v>
      </c>
      <c r="C4262">
        <v>13411</v>
      </c>
      <c r="D4262" t="s">
        <v>2670</v>
      </c>
      <c r="E4262" t="s">
        <v>551</v>
      </c>
      <c r="F4262">
        <v>26.61</v>
      </c>
      <c r="G4262">
        <v>230926</v>
      </c>
      <c r="H4262">
        <v>4410</v>
      </c>
      <c r="I4262" t="s">
        <v>517</v>
      </c>
      <c r="J4262">
        <v>33</v>
      </c>
      <c r="K4262">
        <v>6.39</v>
      </c>
      <c r="L4262">
        <v>11001</v>
      </c>
      <c r="M4262" t="s">
        <v>326</v>
      </c>
      <c r="N4262" t="str">
        <f t="shared" si="87"/>
        <v xml:space="preserve">53505817    </v>
      </c>
      <c r="O4262">
        <v>231010</v>
      </c>
    </row>
    <row r="4263" spans="1:15" x14ac:dyDescent="0.25">
      <c r="A4263" t="s">
        <v>16</v>
      </c>
      <c r="B4263" t="s">
        <v>3221</v>
      </c>
      <c r="C4263">
        <v>13411</v>
      </c>
      <c r="D4263" t="s">
        <v>2670</v>
      </c>
      <c r="E4263" t="s">
        <v>551</v>
      </c>
      <c r="F4263">
        <v>125.4</v>
      </c>
      <c r="G4263">
        <v>230926</v>
      </c>
      <c r="H4263">
        <v>4410</v>
      </c>
      <c r="I4263" t="s">
        <v>517</v>
      </c>
      <c r="J4263">
        <v>125.4</v>
      </c>
      <c r="K4263">
        <v>0</v>
      </c>
      <c r="L4263">
        <v>11001</v>
      </c>
      <c r="M4263" t="s">
        <v>326</v>
      </c>
      <c r="N4263" t="str">
        <f t="shared" si="87"/>
        <v xml:space="preserve">53505817    </v>
      </c>
      <c r="O4263">
        <v>231010</v>
      </c>
    </row>
    <row r="4264" spans="1:15" x14ac:dyDescent="0.25">
      <c r="A4264" t="s">
        <v>16</v>
      </c>
      <c r="B4264" t="s">
        <v>3221</v>
      </c>
      <c r="C4264">
        <v>13411</v>
      </c>
      <c r="D4264" t="s">
        <v>2670</v>
      </c>
      <c r="E4264" t="s">
        <v>551</v>
      </c>
      <c r="F4264">
        <v>128.36000000000001</v>
      </c>
      <c r="G4264">
        <v>230926</v>
      </c>
      <c r="H4264">
        <v>4410</v>
      </c>
      <c r="I4264" t="s">
        <v>517</v>
      </c>
      <c r="J4264">
        <v>141.19999999999999</v>
      </c>
      <c r="K4264">
        <v>12.84</v>
      </c>
      <c r="L4264">
        <v>11001</v>
      </c>
      <c r="M4264" t="s">
        <v>326</v>
      </c>
      <c r="N4264" t="str">
        <f t="shared" si="87"/>
        <v xml:space="preserve">53505817    </v>
      </c>
      <c r="O4264">
        <v>231010</v>
      </c>
    </row>
    <row r="4265" spans="1:15" x14ac:dyDescent="0.25">
      <c r="A4265" t="s">
        <v>16</v>
      </c>
      <c r="B4265" t="s">
        <v>3221</v>
      </c>
      <c r="C4265">
        <v>13411</v>
      </c>
      <c r="D4265" t="s">
        <v>2670</v>
      </c>
      <c r="E4265" t="s">
        <v>551</v>
      </c>
      <c r="F4265">
        <v>128.36000000000001</v>
      </c>
      <c r="G4265">
        <v>230926</v>
      </c>
      <c r="H4265">
        <v>4410</v>
      </c>
      <c r="I4265" t="s">
        <v>517</v>
      </c>
      <c r="J4265">
        <v>141.19999999999999</v>
      </c>
      <c r="K4265">
        <v>12.84</v>
      </c>
      <c r="L4265">
        <v>11001</v>
      </c>
      <c r="M4265" t="s">
        <v>326</v>
      </c>
      <c r="N4265" t="str">
        <f t="shared" si="87"/>
        <v xml:space="preserve">53505817    </v>
      </c>
      <c r="O4265">
        <v>231010</v>
      </c>
    </row>
    <row r="4266" spans="1:15" x14ac:dyDescent="0.25">
      <c r="A4266" t="s">
        <v>16</v>
      </c>
      <c r="B4266" t="s">
        <v>3221</v>
      </c>
      <c r="C4266">
        <v>13411</v>
      </c>
      <c r="D4266" t="s">
        <v>2670</v>
      </c>
      <c r="E4266" t="s">
        <v>551</v>
      </c>
      <c r="F4266">
        <v>1312.28</v>
      </c>
      <c r="G4266">
        <v>230926</v>
      </c>
      <c r="H4266">
        <v>4410</v>
      </c>
      <c r="I4266" t="s">
        <v>517</v>
      </c>
      <c r="J4266">
        <v>1496</v>
      </c>
      <c r="K4266">
        <v>183.72</v>
      </c>
      <c r="L4266">
        <v>11001</v>
      </c>
      <c r="M4266" t="s">
        <v>326</v>
      </c>
      <c r="N4266" t="str">
        <f t="shared" si="87"/>
        <v xml:space="preserve">53505817    </v>
      </c>
      <c r="O4266">
        <v>231010</v>
      </c>
    </row>
    <row r="4267" spans="1:15" x14ac:dyDescent="0.25">
      <c r="A4267" t="s">
        <v>16</v>
      </c>
      <c r="B4267" t="s">
        <v>3221</v>
      </c>
      <c r="C4267">
        <v>13411</v>
      </c>
      <c r="D4267" t="s">
        <v>2670</v>
      </c>
      <c r="E4267" t="s">
        <v>551</v>
      </c>
      <c r="F4267">
        <v>14.8</v>
      </c>
      <c r="G4267">
        <v>230926</v>
      </c>
      <c r="H4267">
        <v>4410</v>
      </c>
      <c r="I4267" t="s">
        <v>517</v>
      </c>
      <c r="J4267">
        <v>14.8</v>
      </c>
      <c r="K4267">
        <v>0</v>
      </c>
      <c r="L4267">
        <v>11101</v>
      </c>
      <c r="M4267" t="s">
        <v>110</v>
      </c>
      <c r="N4267" t="str">
        <f t="shared" si="87"/>
        <v xml:space="preserve">53505817    </v>
      </c>
      <c r="O4267">
        <v>231010</v>
      </c>
    </row>
    <row r="4268" spans="1:15" x14ac:dyDescent="0.25">
      <c r="A4268" t="s">
        <v>16</v>
      </c>
      <c r="B4268" t="s">
        <v>3221</v>
      </c>
      <c r="C4268">
        <v>13411</v>
      </c>
      <c r="D4268" t="s">
        <v>2670</v>
      </c>
      <c r="E4268" t="s">
        <v>551</v>
      </c>
      <c r="F4268">
        <v>128.36000000000001</v>
      </c>
      <c r="G4268">
        <v>230926</v>
      </c>
      <c r="H4268">
        <v>4410</v>
      </c>
      <c r="I4268" t="s">
        <v>517</v>
      </c>
      <c r="J4268">
        <v>141.19999999999999</v>
      </c>
      <c r="K4268">
        <v>12.84</v>
      </c>
      <c r="L4268">
        <v>11101</v>
      </c>
      <c r="M4268" t="s">
        <v>110</v>
      </c>
      <c r="N4268" t="str">
        <f t="shared" si="87"/>
        <v xml:space="preserve">53505817    </v>
      </c>
      <c r="O4268">
        <v>231010</v>
      </c>
    </row>
    <row r="4269" spans="1:15" x14ac:dyDescent="0.25">
      <c r="A4269" t="s">
        <v>16</v>
      </c>
      <c r="B4269" t="s">
        <v>3221</v>
      </c>
      <c r="C4269">
        <v>13411</v>
      </c>
      <c r="D4269" t="s">
        <v>2670</v>
      </c>
      <c r="E4269" t="s">
        <v>551</v>
      </c>
      <c r="F4269">
        <v>14.8</v>
      </c>
      <c r="G4269">
        <v>230926</v>
      </c>
      <c r="H4269">
        <v>4410</v>
      </c>
      <c r="I4269" t="s">
        <v>517</v>
      </c>
      <c r="J4269">
        <v>14.8</v>
      </c>
      <c r="K4269">
        <v>0</v>
      </c>
      <c r="L4269">
        <v>11603</v>
      </c>
      <c r="M4269" t="s">
        <v>945</v>
      </c>
      <c r="N4269" t="str">
        <f t="shared" si="87"/>
        <v xml:space="preserve">53505817    </v>
      </c>
      <c r="O4269">
        <v>231010</v>
      </c>
    </row>
    <row r="4270" spans="1:15" x14ac:dyDescent="0.25">
      <c r="A4270" t="s">
        <v>16</v>
      </c>
      <c r="B4270" t="s">
        <v>3221</v>
      </c>
      <c r="C4270">
        <v>13411</v>
      </c>
      <c r="D4270" t="s">
        <v>2670</v>
      </c>
      <c r="E4270" t="s">
        <v>551</v>
      </c>
      <c r="F4270">
        <v>128.36000000000001</v>
      </c>
      <c r="G4270">
        <v>230926</v>
      </c>
      <c r="H4270">
        <v>4410</v>
      </c>
      <c r="I4270" t="s">
        <v>517</v>
      </c>
      <c r="J4270">
        <v>141.19999999999999</v>
      </c>
      <c r="K4270">
        <v>12.84</v>
      </c>
      <c r="L4270">
        <v>11603</v>
      </c>
      <c r="M4270" t="s">
        <v>945</v>
      </c>
      <c r="N4270" t="str">
        <f t="shared" si="87"/>
        <v xml:space="preserve">53505817    </v>
      </c>
      <c r="O4270">
        <v>231010</v>
      </c>
    </row>
    <row r="4271" spans="1:15" x14ac:dyDescent="0.25">
      <c r="A4271" t="s">
        <v>16</v>
      </c>
      <c r="B4271" t="s">
        <v>3221</v>
      </c>
      <c r="C4271">
        <v>13411</v>
      </c>
      <c r="D4271" t="s">
        <v>2670</v>
      </c>
      <c r="E4271" t="s">
        <v>551</v>
      </c>
      <c r="F4271">
        <v>14.8</v>
      </c>
      <c r="G4271">
        <v>230926</v>
      </c>
      <c r="H4271">
        <v>4410</v>
      </c>
      <c r="I4271" t="s">
        <v>517</v>
      </c>
      <c r="J4271">
        <v>14.8</v>
      </c>
      <c r="K4271">
        <v>0</v>
      </c>
      <c r="L4271">
        <v>13461</v>
      </c>
      <c r="M4271" t="s">
        <v>1413</v>
      </c>
      <c r="N4271" t="str">
        <f t="shared" si="87"/>
        <v xml:space="preserve">53505817    </v>
      </c>
      <c r="O4271">
        <v>231010</v>
      </c>
    </row>
    <row r="4272" spans="1:15" x14ac:dyDescent="0.25">
      <c r="A4272" t="s">
        <v>16</v>
      </c>
      <c r="B4272" t="s">
        <v>3221</v>
      </c>
      <c r="C4272">
        <v>13411</v>
      </c>
      <c r="D4272" t="s">
        <v>2670</v>
      </c>
      <c r="E4272" t="s">
        <v>551</v>
      </c>
      <c r="F4272">
        <v>128.36000000000001</v>
      </c>
      <c r="G4272">
        <v>230926</v>
      </c>
      <c r="H4272">
        <v>4410</v>
      </c>
      <c r="I4272" t="s">
        <v>517</v>
      </c>
      <c r="J4272">
        <v>141.19999999999999</v>
      </c>
      <c r="K4272">
        <v>12.84</v>
      </c>
      <c r="L4272">
        <v>13461</v>
      </c>
      <c r="M4272" t="s">
        <v>1413</v>
      </c>
      <c r="N4272" t="str">
        <f t="shared" si="87"/>
        <v xml:space="preserve">53505817    </v>
      </c>
      <c r="O4272">
        <v>231010</v>
      </c>
    </row>
    <row r="4273" spans="1:15" x14ac:dyDescent="0.25">
      <c r="A4273" t="s">
        <v>16</v>
      </c>
      <c r="B4273" t="s">
        <v>3221</v>
      </c>
      <c r="C4273">
        <v>13411</v>
      </c>
      <c r="D4273" t="s">
        <v>2670</v>
      </c>
      <c r="E4273" t="s">
        <v>551</v>
      </c>
      <c r="F4273">
        <v>14.8</v>
      </c>
      <c r="G4273">
        <v>230926</v>
      </c>
      <c r="H4273">
        <v>4410</v>
      </c>
      <c r="I4273" t="s">
        <v>517</v>
      </c>
      <c r="J4273">
        <v>14.8</v>
      </c>
      <c r="K4273">
        <v>0</v>
      </c>
      <c r="L4273">
        <v>13561</v>
      </c>
      <c r="M4273" t="s">
        <v>246</v>
      </c>
      <c r="N4273" t="str">
        <f t="shared" si="87"/>
        <v xml:space="preserve">53505817    </v>
      </c>
      <c r="O4273">
        <v>231010</v>
      </c>
    </row>
    <row r="4274" spans="1:15" x14ac:dyDescent="0.25">
      <c r="A4274" t="s">
        <v>16</v>
      </c>
      <c r="B4274" t="s">
        <v>3221</v>
      </c>
      <c r="C4274">
        <v>13411</v>
      </c>
      <c r="D4274" t="s">
        <v>2670</v>
      </c>
      <c r="E4274" t="s">
        <v>551</v>
      </c>
      <c r="F4274">
        <v>128.36000000000001</v>
      </c>
      <c r="G4274">
        <v>230926</v>
      </c>
      <c r="H4274">
        <v>4410</v>
      </c>
      <c r="I4274" t="s">
        <v>517</v>
      </c>
      <c r="J4274">
        <v>141.19999999999999</v>
      </c>
      <c r="K4274">
        <v>12.84</v>
      </c>
      <c r="L4274">
        <v>13561</v>
      </c>
      <c r="M4274" t="s">
        <v>246</v>
      </c>
      <c r="N4274" t="str">
        <f t="shared" si="87"/>
        <v xml:space="preserve">53505817    </v>
      </c>
      <c r="O4274">
        <v>231010</v>
      </c>
    </row>
    <row r="4275" spans="1:15" x14ac:dyDescent="0.25">
      <c r="A4275" t="s">
        <v>16</v>
      </c>
      <c r="B4275" t="s">
        <v>3221</v>
      </c>
      <c r="C4275">
        <v>13411</v>
      </c>
      <c r="D4275" t="s">
        <v>2670</v>
      </c>
      <c r="E4275" t="s">
        <v>551</v>
      </c>
      <c r="F4275">
        <v>14.8</v>
      </c>
      <c r="G4275">
        <v>230926</v>
      </c>
      <c r="H4275">
        <v>4410</v>
      </c>
      <c r="I4275" t="s">
        <v>517</v>
      </c>
      <c r="J4275">
        <v>14.8</v>
      </c>
      <c r="K4275">
        <v>0</v>
      </c>
      <c r="L4275">
        <v>14972</v>
      </c>
      <c r="M4275" t="s">
        <v>898</v>
      </c>
      <c r="N4275" t="str">
        <f t="shared" si="87"/>
        <v xml:space="preserve">53505817    </v>
      </c>
      <c r="O4275">
        <v>231010</v>
      </c>
    </row>
    <row r="4276" spans="1:15" x14ac:dyDescent="0.25">
      <c r="A4276" t="s">
        <v>16</v>
      </c>
      <c r="B4276" t="s">
        <v>3221</v>
      </c>
      <c r="C4276">
        <v>13411</v>
      </c>
      <c r="D4276" t="s">
        <v>2670</v>
      </c>
      <c r="E4276" t="s">
        <v>551</v>
      </c>
      <c r="F4276">
        <v>128.36000000000001</v>
      </c>
      <c r="G4276">
        <v>230926</v>
      </c>
      <c r="H4276">
        <v>4410</v>
      </c>
      <c r="I4276" t="s">
        <v>517</v>
      </c>
      <c r="J4276">
        <v>141.19999999999999</v>
      </c>
      <c r="K4276">
        <v>12.84</v>
      </c>
      <c r="L4276">
        <v>14972</v>
      </c>
      <c r="M4276" t="s">
        <v>898</v>
      </c>
      <c r="N4276" t="str">
        <f t="shared" si="87"/>
        <v xml:space="preserve">53505817    </v>
      </c>
      <c r="O4276">
        <v>231010</v>
      </c>
    </row>
    <row r="4277" spans="1:15" x14ac:dyDescent="0.25">
      <c r="A4277" t="s">
        <v>16</v>
      </c>
      <c r="B4277" t="s">
        <v>3221</v>
      </c>
      <c r="C4277">
        <v>13411</v>
      </c>
      <c r="D4277" t="s">
        <v>2670</v>
      </c>
      <c r="E4277" t="s">
        <v>551</v>
      </c>
      <c r="F4277">
        <v>14.8</v>
      </c>
      <c r="G4277">
        <v>230926</v>
      </c>
      <c r="H4277">
        <v>4410</v>
      </c>
      <c r="I4277" t="s">
        <v>517</v>
      </c>
      <c r="J4277">
        <v>14.8</v>
      </c>
      <c r="K4277">
        <v>0</v>
      </c>
      <c r="L4277">
        <v>17972</v>
      </c>
      <c r="M4277" t="s">
        <v>248</v>
      </c>
      <c r="N4277" t="str">
        <f t="shared" si="87"/>
        <v xml:space="preserve">53505817    </v>
      </c>
      <c r="O4277">
        <v>231010</v>
      </c>
    </row>
    <row r="4278" spans="1:15" x14ac:dyDescent="0.25">
      <c r="A4278" t="s">
        <v>16</v>
      </c>
      <c r="B4278" t="s">
        <v>3221</v>
      </c>
      <c r="C4278">
        <v>13411</v>
      </c>
      <c r="D4278" t="s">
        <v>2670</v>
      </c>
      <c r="E4278" t="s">
        <v>551</v>
      </c>
      <c r="F4278">
        <v>128.36000000000001</v>
      </c>
      <c r="G4278">
        <v>230926</v>
      </c>
      <c r="H4278">
        <v>4410</v>
      </c>
      <c r="I4278" t="s">
        <v>517</v>
      </c>
      <c r="J4278">
        <v>141.19999999999999</v>
      </c>
      <c r="K4278">
        <v>12.84</v>
      </c>
      <c r="L4278">
        <v>17972</v>
      </c>
      <c r="M4278" t="s">
        <v>248</v>
      </c>
      <c r="N4278" t="str">
        <f t="shared" si="87"/>
        <v xml:space="preserve">53505817    </v>
      </c>
      <c r="O4278">
        <v>231010</v>
      </c>
    </row>
    <row r="4279" spans="1:15" x14ac:dyDescent="0.25">
      <c r="A4279" t="s">
        <v>16</v>
      </c>
      <c r="B4279" t="s">
        <v>3221</v>
      </c>
      <c r="C4279">
        <v>13411</v>
      </c>
      <c r="D4279" t="s">
        <v>2670</v>
      </c>
      <c r="E4279" t="s">
        <v>551</v>
      </c>
      <c r="F4279">
        <v>14.8</v>
      </c>
      <c r="G4279">
        <v>230926</v>
      </c>
      <c r="H4279">
        <v>4410</v>
      </c>
      <c r="I4279" t="s">
        <v>517</v>
      </c>
      <c r="J4279">
        <v>14.8</v>
      </c>
      <c r="K4279">
        <v>0</v>
      </c>
      <c r="L4279">
        <v>18972</v>
      </c>
      <c r="M4279" t="s">
        <v>163</v>
      </c>
      <c r="N4279" t="str">
        <f t="shared" si="87"/>
        <v xml:space="preserve">53505817    </v>
      </c>
      <c r="O4279">
        <v>231010</v>
      </c>
    </row>
    <row r="4280" spans="1:15" x14ac:dyDescent="0.25">
      <c r="A4280" t="s">
        <v>16</v>
      </c>
      <c r="B4280" t="s">
        <v>3221</v>
      </c>
      <c r="C4280">
        <v>13411</v>
      </c>
      <c r="D4280" t="s">
        <v>2670</v>
      </c>
      <c r="E4280" t="s">
        <v>551</v>
      </c>
      <c r="F4280">
        <v>128.36000000000001</v>
      </c>
      <c r="G4280">
        <v>230926</v>
      </c>
      <c r="H4280">
        <v>4410</v>
      </c>
      <c r="I4280" t="s">
        <v>517</v>
      </c>
      <c r="J4280">
        <v>141.19999999999999</v>
      </c>
      <c r="K4280">
        <v>12.84</v>
      </c>
      <c r="L4280">
        <v>18972</v>
      </c>
      <c r="M4280" t="s">
        <v>163</v>
      </c>
      <c r="N4280" t="str">
        <f t="shared" si="87"/>
        <v xml:space="preserve">53505817    </v>
      </c>
      <c r="O4280">
        <v>231010</v>
      </c>
    </row>
    <row r="4281" spans="1:15" x14ac:dyDescent="0.25">
      <c r="A4281" t="s">
        <v>16</v>
      </c>
      <c r="B4281" t="s">
        <v>3221</v>
      </c>
      <c r="C4281">
        <v>13411</v>
      </c>
      <c r="D4281" t="s">
        <v>2670</v>
      </c>
      <c r="E4281" t="s">
        <v>551</v>
      </c>
      <c r="F4281">
        <v>14.8</v>
      </c>
      <c r="G4281">
        <v>230926</v>
      </c>
      <c r="H4281">
        <v>4410</v>
      </c>
      <c r="I4281" t="s">
        <v>517</v>
      </c>
      <c r="J4281">
        <v>14.8</v>
      </c>
      <c r="K4281">
        <v>0</v>
      </c>
      <c r="L4281">
        <v>49702</v>
      </c>
      <c r="M4281" t="s">
        <v>584</v>
      </c>
      <c r="N4281" t="str">
        <f t="shared" si="87"/>
        <v xml:space="preserve">53505817    </v>
      </c>
      <c r="O4281">
        <v>231010</v>
      </c>
    </row>
    <row r="4282" spans="1:15" x14ac:dyDescent="0.25">
      <c r="A4282" t="s">
        <v>16</v>
      </c>
      <c r="B4282" t="s">
        <v>3221</v>
      </c>
      <c r="C4282">
        <v>13411</v>
      </c>
      <c r="D4282" t="s">
        <v>2670</v>
      </c>
      <c r="E4282" t="s">
        <v>551</v>
      </c>
      <c r="F4282">
        <v>128.36000000000001</v>
      </c>
      <c r="G4282">
        <v>230926</v>
      </c>
      <c r="H4282">
        <v>4410</v>
      </c>
      <c r="I4282" t="s">
        <v>517</v>
      </c>
      <c r="J4282">
        <v>141.19999999999999</v>
      </c>
      <c r="K4282">
        <v>12.84</v>
      </c>
      <c r="L4282">
        <v>49702</v>
      </c>
      <c r="M4282" t="s">
        <v>584</v>
      </c>
      <c r="N4282" t="str">
        <f t="shared" si="87"/>
        <v xml:space="preserve">53505817    </v>
      </c>
      <c r="O4282">
        <v>231010</v>
      </c>
    </row>
    <row r="4283" spans="1:15" x14ac:dyDescent="0.25">
      <c r="A4283" t="s">
        <v>16</v>
      </c>
      <c r="B4283" t="s">
        <v>3221</v>
      </c>
      <c r="C4283">
        <v>13411</v>
      </c>
      <c r="D4283" t="s">
        <v>2670</v>
      </c>
      <c r="E4283" t="s">
        <v>551</v>
      </c>
      <c r="F4283">
        <v>7.4</v>
      </c>
      <c r="G4283">
        <v>230926</v>
      </c>
      <c r="H4283">
        <v>4410</v>
      </c>
      <c r="I4283" t="s">
        <v>517</v>
      </c>
      <c r="J4283">
        <v>7.4</v>
      </c>
      <c r="K4283">
        <v>0</v>
      </c>
      <c r="L4283">
        <v>69702</v>
      </c>
      <c r="M4283" t="s">
        <v>489</v>
      </c>
      <c r="N4283" t="str">
        <f t="shared" si="87"/>
        <v xml:space="preserve">53505817    </v>
      </c>
      <c r="O4283">
        <v>231010</v>
      </c>
    </row>
    <row r="4284" spans="1:15" x14ac:dyDescent="0.25">
      <c r="A4284" t="s">
        <v>16</v>
      </c>
      <c r="B4284" t="s">
        <v>3221</v>
      </c>
      <c r="C4284">
        <v>13411</v>
      </c>
      <c r="D4284" t="s">
        <v>2670</v>
      </c>
      <c r="E4284" t="s">
        <v>551</v>
      </c>
      <c r="F4284">
        <v>64.180000000000007</v>
      </c>
      <c r="G4284">
        <v>230926</v>
      </c>
      <c r="H4284">
        <v>4410</v>
      </c>
      <c r="I4284" t="s">
        <v>517</v>
      </c>
      <c r="J4284">
        <v>70.599999999999994</v>
      </c>
      <c r="K4284">
        <v>6.42</v>
      </c>
      <c r="L4284">
        <v>69702</v>
      </c>
      <c r="M4284" t="s">
        <v>489</v>
      </c>
      <c r="N4284" t="str">
        <f t="shared" si="87"/>
        <v xml:space="preserve">53505817    </v>
      </c>
      <c r="O4284">
        <v>231010</v>
      </c>
    </row>
    <row r="4285" spans="1:15" x14ac:dyDescent="0.25">
      <c r="A4285" t="s">
        <v>16</v>
      </c>
      <c r="B4285" t="s">
        <v>3221</v>
      </c>
      <c r="C4285">
        <v>13411</v>
      </c>
      <c r="D4285" t="s">
        <v>2670</v>
      </c>
      <c r="E4285" t="s">
        <v>551</v>
      </c>
      <c r="F4285">
        <v>7.4</v>
      </c>
      <c r="G4285">
        <v>230926</v>
      </c>
      <c r="H4285">
        <v>4410</v>
      </c>
      <c r="I4285" t="s">
        <v>517</v>
      </c>
      <c r="J4285">
        <v>7.4</v>
      </c>
      <c r="K4285">
        <v>0</v>
      </c>
      <c r="L4285">
        <v>69704</v>
      </c>
      <c r="M4285" t="s">
        <v>325</v>
      </c>
      <c r="N4285" t="str">
        <f t="shared" si="87"/>
        <v xml:space="preserve">53505817    </v>
      </c>
      <c r="O4285">
        <v>231010</v>
      </c>
    </row>
    <row r="4286" spans="1:15" x14ac:dyDescent="0.25">
      <c r="A4286" t="s">
        <v>16</v>
      </c>
      <c r="B4286" t="s">
        <v>3221</v>
      </c>
      <c r="C4286">
        <v>13411</v>
      </c>
      <c r="D4286" t="s">
        <v>2670</v>
      </c>
      <c r="E4286" t="s">
        <v>551</v>
      </c>
      <c r="F4286">
        <v>64.180000000000007</v>
      </c>
      <c r="G4286">
        <v>230926</v>
      </c>
      <c r="H4286">
        <v>4410</v>
      </c>
      <c r="I4286" t="s">
        <v>517</v>
      </c>
      <c r="J4286">
        <v>70.599999999999994</v>
      </c>
      <c r="K4286">
        <v>6.42</v>
      </c>
      <c r="L4286">
        <v>69704</v>
      </c>
      <c r="M4286" t="s">
        <v>325</v>
      </c>
      <c r="N4286" t="str">
        <f t="shared" si="87"/>
        <v xml:space="preserve">53505817    </v>
      </c>
      <c r="O4286">
        <v>231010</v>
      </c>
    </row>
    <row r="4287" spans="1:15" x14ac:dyDescent="0.25">
      <c r="A4287" t="s">
        <v>16</v>
      </c>
      <c r="B4287" t="s">
        <v>3221</v>
      </c>
      <c r="C4287">
        <v>13411</v>
      </c>
      <c r="D4287" t="s">
        <v>2670</v>
      </c>
      <c r="E4287" t="s">
        <v>551</v>
      </c>
      <c r="F4287">
        <v>56.45</v>
      </c>
      <c r="G4287">
        <v>230926</v>
      </c>
      <c r="H4287">
        <v>4420</v>
      </c>
      <c r="I4287" t="s">
        <v>132</v>
      </c>
      <c r="J4287">
        <v>70</v>
      </c>
      <c r="K4287">
        <v>13.55</v>
      </c>
      <c r="L4287">
        <v>11001</v>
      </c>
      <c r="M4287" t="s">
        <v>326</v>
      </c>
      <c r="N4287" t="str">
        <f t="shared" si="87"/>
        <v xml:space="preserve">53505817    </v>
      </c>
      <c r="O4287">
        <v>231010</v>
      </c>
    </row>
    <row r="4288" spans="1:15" x14ac:dyDescent="0.25">
      <c r="A4288" t="s">
        <v>16</v>
      </c>
      <c r="B4288" t="s">
        <v>3221</v>
      </c>
      <c r="C4288">
        <v>13411</v>
      </c>
      <c r="D4288" t="s">
        <v>2670</v>
      </c>
      <c r="E4288" t="s">
        <v>551</v>
      </c>
      <c r="F4288">
        <v>28.23</v>
      </c>
      <c r="G4288">
        <v>230926</v>
      </c>
      <c r="H4288">
        <v>4420</v>
      </c>
      <c r="I4288" t="s">
        <v>132</v>
      </c>
      <c r="J4288">
        <v>35</v>
      </c>
      <c r="K4288">
        <v>6.77</v>
      </c>
      <c r="L4288">
        <v>11603</v>
      </c>
      <c r="M4288" t="s">
        <v>945</v>
      </c>
      <c r="N4288" t="str">
        <f t="shared" si="87"/>
        <v xml:space="preserve">53505817    </v>
      </c>
      <c r="O4288">
        <v>231010</v>
      </c>
    </row>
    <row r="4289" spans="1:15" x14ac:dyDescent="0.25">
      <c r="A4289" t="s">
        <v>16</v>
      </c>
      <c r="B4289" t="s">
        <v>3221</v>
      </c>
      <c r="C4289">
        <v>13412</v>
      </c>
      <c r="D4289" t="s">
        <v>2670</v>
      </c>
      <c r="E4289" t="s">
        <v>551</v>
      </c>
      <c r="F4289">
        <v>-28.23</v>
      </c>
      <c r="G4289">
        <v>231002</v>
      </c>
      <c r="H4289">
        <v>4420</v>
      </c>
      <c r="I4289" t="s">
        <v>132</v>
      </c>
      <c r="J4289">
        <v>-35</v>
      </c>
      <c r="K4289">
        <v>-6.77</v>
      </c>
      <c r="L4289">
        <v>11001</v>
      </c>
      <c r="M4289" t="s">
        <v>326</v>
      </c>
      <c r="N4289" t="str">
        <f>"53506227    "</f>
        <v xml:space="preserve">53506227    </v>
      </c>
      <c r="O4289">
        <v>231010</v>
      </c>
    </row>
    <row r="4290" spans="1:15" x14ac:dyDescent="0.25">
      <c r="A4290" t="s">
        <v>16</v>
      </c>
      <c r="B4290" t="s">
        <v>3221</v>
      </c>
      <c r="C4290">
        <v>14003</v>
      </c>
      <c r="D4290" t="s">
        <v>2723</v>
      </c>
      <c r="E4290" t="s">
        <v>2724</v>
      </c>
      <c r="F4290">
        <v>64.47</v>
      </c>
      <c r="G4290">
        <v>231011</v>
      </c>
      <c r="H4290">
        <v>4410</v>
      </c>
      <c r="I4290" t="s">
        <v>517</v>
      </c>
      <c r="J4290">
        <v>73.5</v>
      </c>
      <c r="K4290">
        <v>9.0299999999999994</v>
      </c>
      <c r="L4290">
        <v>69112</v>
      </c>
      <c r="M4290" t="s">
        <v>313</v>
      </c>
      <c r="N4290" t="str">
        <f>"2384        "</f>
        <v xml:space="preserve">2384        </v>
      </c>
      <c r="O4290">
        <v>231017</v>
      </c>
    </row>
    <row r="4291" spans="1:15" x14ac:dyDescent="0.25">
      <c r="A4291" t="s">
        <v>16</v>
      </c>
      <c r="B4291" t="s">
        <v>3221</v>
      </c>
      <c r="C4291">
        <v>17109</v>
      </c>
      <c r="D4291" t="s">
        <v>3036</v>
      </c>
      <c r="E4291" t="s">
        <v>3037</v>
      </c>
      <c r="F4291">
        <v>179.5</v>
      </c>
      <c r="G4291">
        <v>231204</v>
      </c>
      <c r="H4291">
        <v>4470</v>
      </c>
      <c r="I4291" t="s">
        <v>83</v>
      </c>
      <c r="J4291">
        <v>222.58</v>
      </c>
      <c r="K4291">
        <v>43.08</v>
      </c>
      <c r="L4291">
        <v>56559</v>
      </c>
      <c r="M4291" t="s">
        <v>129</v>
      </c>
      <c r="N4291" t="str">
        <f>"2498109     "</f>
        <v xml:space="preserve">2498109     </v>
      </c>
      <c r="O4291">
        <v>231212</v>
      </c>
    </row>
    <row r="4292" spans="1:15" x14ac:dyDescent="0.25">
      <c r="A4292" t="s">
        <v>16</v>
      </c>
      <c r="B4292" t="s">
        <v>3221</v>
      </c>
      <c r="C4292">
        <v>1558</v>
      </c>
      <c r="D4292" t="s">
        <v>1087</v>
      </c>
      <c r="E4292" t="s">
        <v>298</v>
      </c>
      <c r="F4292">
        <v>112.91</v>
      </c>
      <c r="G4292">
        <v>230208</v>
      </c>
      <c r="H4292">
        <v>4470</v>
      </c>
      <c r="I4292" t="s">
        <v>83</v>
      </c>
      <c r="J4292">
        <v>140.01</v>
      </c>
      <c r="K4292">
        <v>27.1</v>
      </c>
      <c r="L4292">
        <v>56568</v>
      </c>
      <c r="M4292" t="s">
        <v>268</v>
      </c>
      <c r="N4292" t="str">
        <f>"2039148     "</f>
        <v xml:space="preserve">2039148     </v>
      </c>
      <c r="O4292">
        <v>230209</v>
      </c>
    </row>
    <row r="4293" spans="1:15" x14ac:dyDescent="0.25">
      <c r="A4293" t="s">
        <v>16</v>
      </c>
      <c r="B4293" t="s">
        <v>3221</v>
      </c>
      <c r="C4293">
        <v>1697</v>
      </c>
      <c r="D4293" t="s">
        <v>1144</v>
      </c>
      <c r="E4293" t="s">
        <v>1145</v>
      </c>
      <c r="F4293">
        <v>56.45</v>
      </c>
      <c r="G4293">
        <v>230208</v>
      </c>
      <c r="H4293">
        <v>4510</v>
      </c>
      <c r="I4293" t="s">
        <v>42</v>
      </c>
      <c r="J4293">
        <v>70</v>
      </c>
      <c r="K4293">
        <v>13.55</v>
      </c>
      <c r="L4293">
        <v>13501</v>
      </c>
      <c r="M4293" t="s">
        <v>20</v>
      </c>
      <c r="N4293" t="str">
        <f>"29836       "</f>
        <v xml:space="preserve">29836       </v>
      </c>
      <c r="O4293">
        <v>230213</v>
      </c>
    </row>
    <row r="4294" spans="1:15" x14ac:dyDescent="0.25">
      <c r="A4294" t="s">
        <v>16</v>
      </c>
      <c r="B4294" t="s">
        <v>3221</v>
      </c>
      <c r="C4294">
        <v>11533</v>
      </c>
      <c r="D4294" t="s">
        <v>1144</v>
      </c>
      <c r="E4294" t="s">
        <v>1145</v>
      </c>
      <c r="F4294">
        <v>56.45</v>
      </c>
      <c r="G4294">
        <v>230905</v>
      </c>
      <c r="H4294">
        <v>4510</v>
      </c>
      <c r="I4294" t="s">
        <v>42</v>
      </c>
      <c r="J4294">
        <v>70</v>
      </c>
      <c r="K4294">
        <v>13.55</v>
      </c>
      <c r="L4294">
        <v>13502</v>
      </c>
      <c r="M4294" t="s">
        <v>243</v>
      </c>
      <c r="N4294" t="str">
        <f>"30083       "</f>
        <v xml:space="preserve">30083       </v>
      </c>
      <c r="O4294">
        <v>230907</v>
      </c>
    </row>
    <row r="4295" spans="1:15" x14ac:dyDescent="0.25">
      <c r="A4295" t="s">
        <v>16</v>
      </c>
      <c r="B4295" t="s">
        <v>3221</v>
      </c>
      <c r="C4295">
        <v>10863</v>
      </c>
      <c r="D4295" t="s">
        <v>2427</v>
      </c>
      <c r="E4295" t="s">
        <v>2428</v>
      </c>
      <c r="F4295">
        <v>1445</v>
      </c>
      <c r="G4295">
        <v>230822</v>
      </c>
      <c r="H4295">
        <v>4600</v>
      </c>
      <c r="I4295" t="s">
        <v>105</v>
      </c>
      <c r="J4295">
        <v>1791.8</v>
      </c>
      <c r="K4295">
        <v>346.8</v>
      </c>
      <c r="L4295">
        <v>17523</v>
      </c>
      <c r="M4295" t="s">
        <v>134</v>
      </c>
      <c r="N4295" t="str">
        <f>"9735        "</f>
        <v xml:space="preserve">9735        </v>
      </c>
      <c r="O4295">
        <v>230824</v>
      </c>
    </row>
    <row r="4296" spans="1:15" x14ac:dyDescent="0.25">
      <c r="A4296" t="s">
        <v>16</v>
      </c>
      <c r="B4296" t="s">
        <v>3221</v>
      </c>
      <c r="C4296">
        <v>10914</v>
      </c>
      <c r="D4296" t="s">
        <v>788</v>
      </c>
      <c r="E4296" t="s">
        <v>789</v>
      </c>
      <c r="F4296">
        <v>16.02</v>
      </c>
      <c r="G4296">
        <v>230822</v>
      </c>
      <c r="H4296">
        <v>4370</v>
      </c>
      <c r="I4296" t="s">
        <v>25</v>
      </c>
      <c r="J4296">
        <v>19.87</v>
      </c>
      <c r="K4296">
        <v>3.85</v>
      </c>
      <c r="L4296">
        <v>17737</v>
      </c>
      <c r="M4296" t="s">
        <v>279</v>
      </c>
      <c r="N4296" t="str">
        <f>"40348245    "</f>
        <v xml:space="preserve">40348245    </v>
      </c>
      <c r="O4296">
        <v>230825</v>
      </c>
    </row>
    <row r="4297" spans="1:15" x14ac:dyDescent="0.25">
      <c r="A4297" t="s">
        <v>16</v>
      </c>
      <c r="B4297" t="s">
        <v>3221</v>
      </c>
      <c r="C4297">
        <v>700</v>
      </c>
      <c r="D4297" t="s">
        <v>692</v>
      </c>
      <c r="E4297" t="s">
        <v>693</v>
      </c>
      <c r="F4297">
        <v>96.13</v>
      </c>
      <c r="G4297">
        <v>230123</v>
      </c>
      <c r="H4297">
        <v>4600</v>
      </c>
      <c r="I4297" t="s">
        <v>105</v>
      </c>
      <c r="J4297">
        <v>119.2</v>
      </c>
      <c r="K4297">
        <v>23.07</v>
      </c>
      <c r="L4297">
        <v>17525</v>
      </c>
      <c r="M4297" t="s">
        <v>135</v>
      </c>
      <c r="N4297" t="str">
        <f>"6964        "</f>
        <v xml:space="preserve">6964        </v>
      </c>
      <c r="O4297">
        <v>230127</v>
      </c>
    </row>
    <row r="4298" spans="1:15" x14ac:dyDescent="0.25">
      <c r="A4298" t="s">
        <v>16</v>
      </c>
      <c r="B4298" t="s">
        <v>3221</v>
      </c>
      <c r="C4298">
        <v>2556</v>
      </c>
      <c r="D4298" t="s">
        <v>1424</v>
      </c>
      <c r="E4298" t="s">
        <v>1425</v>
      </c>
      <c r="F4298">
        <v>100</v>
      </c>
      <c r="G4298">
        <v>230224</v>
      </c>
      <c r="H4298">
        <v>4346</v>
      </c>
      <c r="I4298" t="s">
        <v>197</v>
      </c>
      <c r="J4298">
        <v>124</v>
      </c>
      <c r="K4298">
        <v>24</v>
      </c>
      <c r="L4298">
        <v>17131</v>
      </c>
      <c r="M4298" t="s">
        <v>64</v>
      </c>
      <c r="N4298" t="str">
        <f>"1001        "</f>
        <v xml:space="preserve">1001        </v>
      </c>
      <c r="O4298">
        <v>230302</v>
      </c>
    </row>
    <row r="4299" spans="1:15" x14ac:dyDescent="0.25">
      <c r="A4299" t="s">
        <v>16</v>
      </c>
      <c r="B4299" t="s">
        <v>3221</v>
      </c>
      <c r="C4299">
        <v>4926</v>
      </c>
      <c r="D4299" t="s">
        <v>1768</v>
      </c>
      <c r="E4299" t="s">
        <v>1769</v>
      </c>
      <c r="F4299">
        <v>64.52</v>
      </c>
      <c r="G4299">
        <v>230413</v>
      </c>
      <c r="H4299">
        <v>4820</v>
      </c>
      <c r="I4299" t="s">
        <v>50</v>
      </c>
      <c r="J4299">
        <v>80</v>
      </c>
      <c r="K4299">
        <v>15.48</v>
      </c>
      <c r="L4299">
        <v>14121</v>
      </c>
      <c r="M4299" t="s">
        <v>880</v>
      </c>
      <c r="N4299" t="str">
        <f>"50327816    "</f>
        <v xml:space="preserve">50327816    </v>
      </c>
      <c r="O4299">
        <v>230414</v>
      </c>
    </row>
    <row r="4300" spans="1:15" x14ac:dyDescent="0.25">
      <c r="A4300" t="s">
        <v>16</v>
      </c>
      <c r="B4300" t="s">
        <v>3221</v>
      </c>
      <c r="C4300">
        <v>4926</v>
      </c>
      <c r="D4300" t="s">
        <v>1768</v>
      </c>
      <c r="E4300" t="s">
        <v>1769</v>
      </c>
      <c r="F4300">
        <v>64.52</v>
      </c>
      <c r="G4300">
        <v>230413</v>
      </c>
      <c r="H4300">
        <v>4820</v>
      </c>
      <c r="I4300" t="s">
        <v>50</v>
      </c>
      <c r="J4300">
        <v>80</v>
      </c>
      <c r="K4300">
        <v>15.48</v>
      </c>
      <c r="L4300">
        <v>14541</v>
      </c>
      <c r="M4300" t="s">
        <v>626</v>
      </c>
      <c r="N4300" t="str">
        <f>"50327816    "</f>
        <v xml:space="preserve">50327816    </v>
      </c>
      <c r="O4300">
        <v>230414</v>
      </c>
    </row>
    <row r="4301" spans="1:15" x14ac:dyDescent="0.25">
      <c r="A4301" t="s">
        <v>16</v>
      </c>
      <c r="B4301" t="s">
        <v>3221</v>
      </c>
      <c r="C4301">
        <v>658</v>
      </c>
      <c r="D4301" t="s">
        <v>3629</v>
      </c>
      <c r="E4301" t="s">
        <v>673</v>
      </c>
      <c r="F4301">
        <v>764.36</v>
      </c>
      <c r="G4301">
        <v>230124</v>
      </c>
      <c r="H4301">
        <v>4600</v>
      </c>
      <c r="I4301" t="s">
        <v>105</v>
      </c>
      <c r="J4301">
        <v>947.81</v>
      </c>
      <c r="K4301">
        <v>183.45</v>
      </c>
      <c r="L4301">
        <v>17523</v>
      </c>
      <c r="M4301" t="s">
        <v>134</v>
      </c>
      <c r="N4301" t="str">
        <f>"34565       "</f>
        <v xml:space="preserve">34565       </v>
      </c>
      <c r="O4301">
        <v>230126</v>
      </c>
    </row>
    <row r="4302" spans="1:15" x14ac:dyDescent="0.25">
      <c r="A4302" t="s">
        <v>16</v>
      </c>
      <c r="B4302" t="s">
        <v>3221</v>
      </c>
      <c r="C4302">
        <v>9318</v>
      </c>
      <c r="D4302" t="s">
        <v>3497</v>
      </c>
      <c r="E4302" t="s">
        <v>3498</v>
      </c>
      <c r="F4302">
        <v>585.48</v>
      </c>
      <c r="G4302">
        <v>230626</v>
      </c>
      <c r="H4302">
        <v>4820</v>
      </c>
      <c r="I4302" t="s">
        <v>50</v>
      </c>
      <c r="J4302">
        <v>726</v>
      </c>
      <c r="K4302">
        <v>140.52000000000001</v>
      </c>
      <c r="L4302">
        <v>13841</v>
      </c>
      <c r="M4302" t="s">
        <v>47</v>
      </c>
      <c r="N4302" t="str">
        <f>"499         "</f>
        <v xml:space="preserve">499         </v>
      </c>
      <c r="O4302">
        <v>230706</v>
      </c>
    </row>
    <row r="4303" spans="1:15" x14ac:dyDescent="0.25">
      <c r="A4303" t="s">
        <v>16</v>
      </c>
      <c r="B4303" t="s">
        <v>3221</v>
      </c>
      <c r="C4303">
        <v>5152</v>
      </c>
      <c r="D4303" t="s">
        <v>1152</v>
      </c>
      <c r="E4303" t="s">
        <v>1153</v>
      </c>
      <c r="F4303">
        <v>73.38</v>
      </c>
      <c r="G4303">
        <v>230406</v>
      </c>
      <c r="H4303">
        <v>4383</v>
      </c>
      <c r="I4303" t="s">
        <v>1800</v>
      </c>
      <c r="J4303">
        <v>90.99</v>
      </c>
      <c r="K4303">
        <v>17.61</v>
      </c>
      <c r="L4303">
        <v>67554</v>
      </c>
      <c r="M4303" t="s">
        <v>60</v>
      </c>
      <c r="N4303" t="str">
        <f>"30004687    "</f>
        <v xml:space="preserve">30004687    </v>
      </c>
      <c r="O4303">
        <v>230418</v>
      </c>
    </row>
    <row r="4304" spans="1:15" x14ac:dyDescent="0.25">
      <c r="A4304" t="s">
        <v>16</v>
      </c>
      <c r="B4304" t="s">
        <v>3221</v>
      </c>
      <c r="C4304">
        <v>7228</v>
      </c>
      <c r="D4304" t="s">
        <v>1152</v>
      </c>
      <c r="E4304" t="s">
        <v>1153</v>
      </c>
      <c r="F4304">
        <v>39.29</v>
      </c>
      <c r="G4304">
        <v>230524</v>
      </c>
      <c r="H4304">
        <v>4383</v>
      </c>
      <c r="I4304" t="s">
        <v>1800</v>
      </c>
      <c r="J4304">
        <v>48.72</v>
      </c>
      <c r="K4304">
        <v>9.43</v>
      </c>
      <c r="L4304">
        <v>67554</v>
      </c>
      <c r="M4304" t="s">
        <v>60</v>
      </c>
      <c r="N4304" t="str">
        <f>"825885      "</f>
        <v xml:space="preserve">825885      </v>
      </c>
      <c r="O4304">
        <v>230526</v>
      </c>
    </row>
    <row r="4305" spans="1:15" x14ac:dyDescent="0.25">
      <c r="A4305" t="s">
        <v>16</v>
      </c>
      <c r="B4305" t="s">
        <v>3221</v>
      </c>
      <c r="C4305">
        <v>10901</v>
      </c>
      <c r="D4305" t="s">
        <v>1152</v>
      </c>
      <c r="E4305" t="s">
        <v>1153</v>
      </c>
      <c r="F4305">
        <v>73.38</v>
      </c>
      <c r="G4305">
        <v>230814</v>
      </c>
      <c r="H4305">
        <v>4383</v>
      </c>
      <c r="I4305" t="s">
        <v>1800</v>
      </c>
      <c r="J4305">
        <v>90.99</v>
      </c>
      <c r="K4305">
        <v>17.61</v>
      </c>
      <c r="L4305">
        <v>17737</v>
      </c>
      <c r="M4305" t="s">
        <v>279</v>
      </c>
      <c r="N4305" t="str">
        <f>"30015365    "</f>
        <v xml:space="preserve">30015365    </v>
      </c>
      <c r="O4305">
        <v>230825</v>
      </c>
    </row>
    <row r="4306" spans="1:15" x14ac:dyDescent="0.25">
      <c r="A4306" t="s">
        <v>16</v>
      </c>
      <c r="B4306" t="s">
        <v>3221</v>
      </c>
      <c r="C4306">
        <v>11725</v>
      </c>
      <c r="D4306" t="s">
        <v>1152</v>
      </c>
      <c r="E4306" t="s">
        <v>1153</v>
      </c>
      <c r="F4306">
        <v>116.96</v>
      </c>
      <c r="G4306">
        <v>230904</v>
      </c>
      <c r="H4306">
        <v>4383</v>
      </c>
      <c r="I4306" t="s">
        <v>1800</v>
      </c>
      <c r="J4306">
        <v>145.03</v>
      </c>
      <c r="K4306">
        <v>28.07</v>
      </c>
      <c r="L4306">
        <v>17737</v>
      </c>
      <c r="M4306" t="s">
        <v>279</v>
      </c>
      <c r="N4306" t="str">
        <f>"30017168    "</f>
        <v xml:space="preserve">30017168    </v>
      </c>
      <c r="O4306">
        <v>230908</v>
      </c>
    </row>
    <row r="4307" spans="1:15" x14ac:dyDescent="0.25">
      <c r="A4307" t="s">
        <v>16</v>
      </c>
      <c r="B4307" t="s">
        <v>3221</v>
      </c>
      <c r="C4307">
        <v>11884</v>
      </c>
      <c r="D4307" t="s">
        <v>1152</v>
      </c>
      <c r="E4307" t="s">
        <v>1153</v>
      </c>
      <c r="F4307">
        <v>116.96</v>
      </c>
      <c r="G4307">
        <v>230908</v>
      </c>
      <c r="H4307">
        <v>4383</v>
      </c>
      <c r="I4307" t="s">
        <v>1800</v>
      </c>
      <c r="J4307">
        <v>145.03</v>
      </c>
      <c r="K4307">
        <v>28.07</v>
      </c>
      <c r="L4307">
        <v>17737</v>
      </c>
      <c r="M4307" t="s">
        <v>279</v>
      </c>
      <c r="N4307" t="str">
        <f>"30017589    "</f>
        <v xml:space="preserve">30017589    </v>
      </c>
      <c r="O4307">
        <v>230911</v>
      </c>
    </row>
    <row r="4308" spans="1:15" x14ac:dyDescent="0.25">
      <c r="A4308" t="s">
        <v>16</v>
      </c>
      <c r="B4308" t="s">
        <v>3221</v>
      </c>
      <c r="C4308">
        <v>12189</v>
      </c>
      <c r="D4308" t="s">
        <v>1152</v>
      </c>
      <c r="E4308" t="s">
        <v>1153</v>
      </c>
      <c r="F4308">
        <v>73.38</v>
      </c>
      <c r="G4308">
        <v>230913</v>
      </c>
      <c r="H4308">
        <v>4383</v>
      </c>
      <c r="I4308" t="s">
        <v>1800</v>
      </c>
      <c r="J4308">
        <v>90.99</v>
      </c>
      <c r="K4308">
        <v>17.61</v>
      </c>
      <c r="L4308">
        <v>17737</v>
      </c>
      <c r="M4308" t="s">
        <v>279</v>
      </c>
      <c r="N4308" t="str">
        <f>"30017905    "</f>
        <v xml:space="preserve">30017905    </v>
      </c>
      <c r="O4308">
        <v>230915</v>
      </c>
    </row>
    <row r="4309" spans="1:15" x14ac:dyDescent="0.25">
      <c r="A4309" t="s">
        <v>16</v>
      </c>
      <c r="B4309" t="s">
        <v>3221</v>
      </c>
      <c r="C4309">
        <v>12976</v>
      </c>
      <c r="D4309" t="s">
        <v>1152</v>
      </c>
      <c r="E4309" t="s">
        <v>1153</v>
      </c>
      <c r="F4309">
        <v>116.96</v>
      </c>
      <c r="G4309">
        <v>230925</v>
      </c>
      <c r="H4309">
        <v>4383</v>
      </c>
      <c r="I4309" t="s">
        <v>1800</v>
      </c>
      <c r="J4309">
        <v>145.03</v>
      </c>
      <c r="K4309">
        <v>28.07</v>
      </c>
      <c r="L4309">
        <v>67554</v>
      </c>
      <c r="M4309" t="s">
        <v>60</v>
      </c>
      <c r="N4309" t="str">
        <f>"30018786    "</f>
        <v xml:space="preserve">30018786    </v>
      </c>
      <c r="O4309">
        <v>231002</v>
      </c>
    </row>
    <row r="4310" spans="1:15" x14ac:dyDescent="0.25">
      <c r="A4310" t="s">
        <v>16</v>
      </c>
      <c r="B4310" t="s">
        <v>3221</v>
      </c>
      <c r="C4310">
        <v>17656</v>
      </c>
      <c r="D4310" t="s">
        <v>1152</v>
      </c>
      <c r="E4310" t="s">
        <v>1153</v>
      </c>
      <c r="F4310">
        <v>116.96</v>
      </c>
      <c r="G4310">
        <v>231207</v>
      </c>
      <c r="H4310">
        <v>4383</v>
      </c>
      <c r="I4310" t="s">
        <v>1800</v>
      </c>
      <c r="J4310">
        <v>145.03</v>
      </c>
      <c r="K4310">
        <v>28.07</v>
      </c>
      <c r="L4310">
        <v>67554</v>
      </c>
      <c r="M4310" t="s">
        <v>60</v>
      </c>
      <c r="N4310" t="str">
        <f>"30024225    "</f>
        <v xml:space="preserve">30024225    </v>
      </c>
      <c r="O4310">
        <v>231218</v>
      </c>
    </row>
    <row r="4311" spans="1:15" x14ac:dyDescent="0.25">
      <c r="A4311" t="s">
        <v>16</v>
      </c>
      <c r="B4311" t="s">
        <v>3221</v>
      </c>
      <c r="C4311">
        <v>18282</v>
      </c>
      <c r="D4311" t="s">
        <v>1152</v>
      </c>
      <c r="E4311" t="s">
        <v>1153</v>
      </c>
      <c r="F4311">
        <v>116.96</v>
      </c>
      <c r="G4311">
        <v>231221</v>
      </c>
      <c r="H4311">
        <v>4383</v>
      </c>
      <c r="I4311" t="s">
        <v>1800</v>
      </c>
      <c r="J4311">
        <v>145.03</v>
      </c>
      <c r="K4311">
        <v>28.07</v>
      </c>
      <c r="L4311">
        <v>67554</v>
      </c>
      <c r="M4311" t="s">
        <v>60</v>
      </c>
      <c r="N4311" t="str">
        <f>"30025218    "</f>
        <v xml:space="preserve">30025218    </v>
      </c>
      <c r="O4311">
        <v>240102</v>
      </c>
    </row>
    <row r="4312" spans="1:15" x14ac:dyDescent="0.25">
      <c r="A4312" t="s">
        <v>16</v>
      </c>
      <c r="B4312" t="s">
        <v>3221</v>
      </c>
      <c r="C4312">
        <v>7035</v>
      </c>
      <c r="D4312" t="s">
        <v>1152</v>
      </c>
      <c r="E4312" t="s">
        <v>1153</v>
      </c>
      <c r="F4312">
        <v>39.29</v>
      </c>
      <c r="G4312">
        <v>230517</v>
      </c>
      <c r="H4312">
        <v>4600</v>
      </c>
      <c r="I4312" t="s">
        <v>105</v>
      </c>
      <c r="J4312">
        <v>48.72</v>
      </c>
      <c r="K4312">
        <v>9.43</v>
      </c>
      <c r="L4312">
        <v>17737</v>
      </c>
      <c r="M4312" t="s">
        <v>279</v>
      </c>
      <c r="N4312" t="str">
        <f>"825834      "</f>
        <v xml:space="preserve">825834      </v>
      </c>
      <c r="O4312">
        <v>230524</v>
      </c>
    </row>
    <row r="4313" spans="1:15" x14ac:dyDescent="0.25">
      <c r="A4313" t="s">
        <v>16</v>
      </c>
      <c r="B4313" t="s">
        <v>3221</v>
      </c>
      <c r="C4313">
        <v>1709</v>
      </c>
      <c r="D4313" t="s">
        <v>1152</v>
      </c>
      <c r="E4313" t="s">
        <v>1153</v>
      </c>
      <c r="F4313">
        <v>116.96</v>
      </c>
      <c r="G4313">
        <v>230208</v>
      </c>
      <c r="H4313">
        <v>4470</v>
      </c>
      <c r="I4313" t="s">
        <v>83</v>
      </c>
      <c r="J4313">
        <v>145.03</v>
      </c>
      <c r="K4313">
        <v>28.07</v>
      </c>
      <c r="L4313">
        <v>67554</v>
      </c>
      <c r="M4313" t="s">
        <v>60</v>
      </c>
      <c r="N4313" t="str">
        <f>"30000426    "</f>
        <v xml:space="preserve">30000426    </v>
      </c>
      <c r="O4313">
        <v>230213</v>
      </c>
    </row>
    <row r="4314" spans="1:15" x14ac:dyDescent="0.25">
      <c r="A4314" t="s">
        <v>16</v>
      </c>
      <c r="B4314" t="s">
        <v>3221</v>
      </c>
      <c r="C4314">
        <v>2470</v>
      </c>
      <c r="D4314" t="s">
        <v>1404</v>
      </c>
      <c r="E4314" t="s">
        <v>1405</v>
      </c>
      <c r="F4314">
        <v>337.5</v>
      </c>
      <c r="G4314">
        <v>230221</v>
      </c>
      <c r="H4314">
        <v>4600</v>
      </c>
      <c r="I4314" t="s">
        <v>105</v>
      </c>
      <c r="J4314">
        <v>418.5</v>
      </c>
      <c r="K4314">
        <v>81</v>
      </c>
      <c r="L4314">
        <v>17711</v>
      </c>
      <c r="M4314" t="s">
        <v>65</v>
      </c>
      <c r="N4314" t="str">
        <f>"19061       "</f>
        <v xml:space="preserve">19061       </v>
      </c>
      <c r="O4314">
        <v>230228</v>
      </c>
    </row>
    <row r="4315" spans="1:15" x14ac:dyDescent="0.25">
      <c r="A4315" t="s">
        <v>16</v>
      </c>
      <c r="B4315" t="s">
        <v>3221</v>
      </c>
      <c r="C4315">
        <v>2470</v>
      </c>
      <c r="D4315" t="s">
        <v>1404</v>
      </c>
      <c r="E4315" t="s">
        <v>1405</v>
      </c>
      <c r="F4315">
        <v>112.5</v>
      </c>
      <c r="G4315">
        <v>230221</v>
      </c>
      <c r="H4315">
        <v>4600</v>
      </c>
      <c r="I4315" t="s">
        <v>105</v>
      </c>
      <c r="J4315">
        <v>139.5</v>
      </c>
      <c r="K4315">
        <v>27</v>
      </c>
      <c r="L4315">
        <v>17739</v>
      </c>
      <c r="M4315" t="s">
        <v>374</v>
      </c>
      <c r="N4315" t="str">
        <f>"19061       "</f>
        <v xml:space="preserve">19061       </v>
      </c>
      <c r="O4315">
        <v>230228</v>
      </c>
    </row>
    <row r="4316" spans="1:15" x14ac:dyDescent="0.25">
      <c r="A4316" t="s">
        <v>16</v>
      </c>
      <c r="B4316" t="s">
        <v>3221</v>
      </c>
      <c r="C4316">
        <v>14130</v>
      </c>
      <c r="D4316" t="s">
        <v>1404</v>
      </c>
      <c r="E4316" t="s">
        <v>1405</v>
      </c>
      <c r="F4316">
        <v>450</v>
      </c>
      <c r="G4316">
        <v>231017</v>
      </c>
      <c r="H4316">
        <v>4600</v>
      </c>
      <c r="I4316" t="s">
        <v>105</v>
      </c>
      <c r="J4316">
        <v>558</v>
      </c>
      <c r="K4316">
        <v>108</v>
      </c>
      <c r="L4316">
        <v>17711</v>
      </c>
      <c r="M4316" t="s">
        <v>65</v>
      </c>
      <c r="N4316" t="str">
        <f>"123/157     "</f>
        <v xml:space="preserve">123/157     </v>
      </c>
      <c r="O4316">
        <v>231019</v>
      </c>
    </row>
    <row r="4317" spans="1:15" x14ac:dyDescent="0.25">
      <c r="A4317" t="s">
        <v>16</v>
      </c>
      <c r="B4317" t="s">
        <v>3221</v>
      </c>
      <c r="C4317">
        <v>2470</v>
      </c>
      <c r="D4317" t="s">
        <v>1404</v>
      </c>
      <c r="E4317" t="s">
        <v>1405</v>
      </c>
      <c r="F4317">
        <v>112.5</v>
      </c>
      <c r="G4317">
        <v>230221</v>
      </c>
      <c r="H4317">
        <v>4364</v>
      </c>
      <c r="I4317" t="s">
        <v>296</v>
      </c>
      <c r="J4317">
        <v>139.5</v>
      </c>
      <c r="K4317">
        <v>27</v>
      </c>
      <c r="L4317">
        <v>17711</v>
      </c>
      <c r="M4317" t="s">
        <v>65</v>
      </c>
      <c r="N4317" t="str">
        <f>"19061       "</f>
        <v xml:space="preserve">19061       </v>
      </c>
      <c r="O4317">
        <v>230228</v>
      </c>
    </row>
    <row r="4318" spans="1:15" x14ac:dyDescent="0.25">
      <c r="A4318" t="s">
        <v>16</v>
      </c>
      <c r="B4318" t="s">
        <v>3221</v>
      </c>
      <c r="C4318">
        <v>2470</v>
      </c>
      <c r="D4318" t="s">
        <v>1404</v>
      </c>
      <c r="E4318" t="s">
        <v>1405</v>
      </c>
      <c r="F4318">
        <v>37.5</v>
      </c>
      <c r="G4318">
        <v>230221</v>
      </c>
      <c r="H4318">
        <v>4364</v>
      </c>
      <c r="I4318" t="s">
        <v>296</v>
      </c>
      <c r="J4318">
        <v>46.5</v>
      </c>
      <c r="K4318">
        <v>9</v>
      </c>
      <c r="L4318">
        <v>17739</v>
      </c>
      <c r="M4318" t="s">
        <v>374</v>
      </c>
      <c r="N4318" t="str">
        <f>"19061       "</f>
        <v xml:space="preserve">19061       </v>
      </c>
      <c r="O4318">
        <v>230228</v>
      </c>
    </row>
    <row r="4319" spans="1:15" x14ac:dyDescent="0.25">
      <c r="A4319" t="s">
        <v>16</v>
      </c>
      <c r="B4319" t="s">
        <v>3221</v>
      </c>
      <c r="C4319">
        <v>14130</v>
      </c>
      <c r="D4319" t="s">
        <v>1404</v>
      </c>
      <c r="E4319" t="s">
        <v>1405</v>
      </c>
      <c r="F4319">
        <v>150</v>
      </c>
      <c r="G4319">
        <v>231017</v>
      </c>
      <c r="H4319">
        <v>4364</v>
      </c>
      <c r="I4319" t="s">
        <v>296</v>
      </c>
      <c r="J4319">
        <v>186</v>
      </c>
      <c r="K4319">
        <v>36</v>
      </c>
      <c r="L4319">
        <v>17711</v>
      </c>
      <c r="M4319" t="s">
        <v>65</v>
      </c>
      <c r="N4319" t="str">
        <f>"123/157     "</f>
        <v xml:space="preserve">123/157     </v>
      </c>
      <c r="O4319">
        <v>231019</v>
      </c>
    </row>
    <row r="4320" spans="1:15" x14ac:dyDescent="0.25">
      <c r="A4320" t="s">
        <v>16</v>
      </c>
      <c r="B4320" t="s">
        <v>3221</v>
      </c>
      <c r="C4320">
        <v>16876</v>
      </c>
      <c r="D4320" t="s">
        <v>1054</v>
      </c>
      <c r="E4320" t="s">
        <v>1055</v>
      </c>
      <c r="F4320">
        <v>165.96</v>
      </c>
      <c r="G4320">
        <v>231130</v>
      </c>
      <c r="H4320">
        <v>4532</v>
      </c>
      <c r="I4320" t="s">
        <v>116</v>
      </c>
      <c r="J4320">
        <v>205.79</v>
      </c>
      <c r="K4320">
        <v>39.83</v>
      </c>
      <c r="L4320">
        <v>17711</v>
      </c>
      <c r="M4320" t="s">
        <v>65</v>
      </c>
      <c r="N4320" t="str">
        <f>"8020073     "</f>
        <v xml:space="preserve">8020073     </v>
      </c>
      <c r="O4320">
        <v>231211</v>
      </c>
    </row>
    <row r="4321" spans="1:15" x14ac:dyDescent="0.25">
      <c r="A4321" t="s">
        <v>16</v>
      </c>
      <c r="B4321" t="s">
        <v>3221</v>
      </c>
      <c r="C4321">
        <v>11723</v>
      </c>
      <c r="D4321" t="s">
        <v>1054</v>
      </c>
      <c r="E4321" t="s">
        <v>1055</v>
      </c>
      <c r="F4321">
        <v>17.420000000000002</v>
      </c>
      <c r="G4321">
        <v>230831</v>
      </c>
      <c r="H4321">
        <v>4534</v>
      </c>
      <c r="I4321" t="s">
        <v>273</v>
      </c>
      <c r="J4321">
        <v>21.6</v>
      </c>
      <c r="K4321">
        <v>4.18</v>
      </c>
      <c r="L4321">
        <v>17711</v>
      </c>
      <c r="M4321" t="s">
        <v>65</v>
      </c>
      <c r="N4321" t="str">
        <f>"8019580     "</f>
        <v xml:space="preserve">8019580     </v>
      </c>
      <c r="O4321">
        <v>230908</v>
      </c>
    </row>
    <row r="4322" spans="1:15" x14ac:dyDescent="0.25">
      <c r="A4322" t="s">
        <v>16</v>
      </c>
      <c r="B4322" t="s">
        <v>3221</v>
      </c>
      <c r="C4322">
        <v>13201</v>
      </c>
      <c r="D4322" t="s">
        <v>1054</v>
      </c>
      <c r="E4322" t="s">
        <v>1055</v>
      </c>
      <c r="F4322">
        <v>57.34</v>
      </c>
      <c r="G4322">
        <v>230930</v>
      </c>
      <c r="H4322">
        <v>4534</v>
      </c>
      <c r="I4322" t="s">
        <v>273</v>
      </c>
      <c r="J4322">
        <v>71.099999999999994</v>
      </c>
      <c r="K4322">
        <v>13.76</v>
      </c>
      <c r="L4322">
        <v>17711</v>
      </c>
      <c r="M4322" t="s">
        <v>65</v>
      </c>
      <c r="N4322" t="str">
        <f>"8019746     "</f>
        <v xml:space="preserve">8019746     </v>
      </c>
      <c r="O4322">
        <v>231005</v>
      </c>
    </row>
    <row r="4323" spans="1:15" x14ac:dyDescent="0.25">
      <c r="A4323" t="s">
        <v>16</v>
      </c>
      <c r="B4323" t="s">
        <v>3221</v>
      </c>
      <c r="C4323">
        <v>1474</v>
      </c>
      <c r="D4323" t="s">
        <v>1054</v>
      </c>
      <c r="E4323" t="s">
        <v>1055</v>
      </c>
      <c r="F4323">
        <v>35.36</v>
      </c>
      <c r="G4323">
        <v>230131</v>
      </c>
      <c r="H4323">
        <v>4580</v>
      </c>
      <c r="I4323" t="s">
        <v>35</v>
      </c>
      <c r="J4323">
        <v>43.85</v>
      </c>
      <c r="K4323">
        <v>8.49</v>
      </c>
      <c r="L4323">
        <v>17711</v>
      </c>
      <c r="M4323" t="s">
        <v>65</v>
      </c>
      <c r="N4323" t="str">
        <f>"8018601     "</f>
        <v xml:space="preserve">8018601     </v>
      </c>
      <c r="O4323">
        <v>230209</v>
      </c>
    </row>
    <row r="4324" spans="1:15" x14ac:dyDescent="0.25">
      <c r="A4324" t="s">
        <v>16</v>
      </c>
      <c r="B4324" t="s">
        <v>3221</v>
      </c>
      <c r="C4324">
        <v>11723</v>
      </c>
      <c r="D4324" t="s">
        <v>1054</v>
      </c>
      <c r="E4324" t="s">
        <v>1055</v>
      </c>
      <c r="F4324">
        <v>200.56</v>
      </c>
      <c r="G4324">
        <v>230831</v>
      </c>
      <c r="H4324">
        <v>4580</v>
      </c>
      <c r="I4324" t="s">
        <v>35</v>
      </c>
      <c r="J4324">
        <v>248.69</v>
      </c>
      <c r="K4324">
        <v>48.13</v>
      </c>
      <c r="L4324">
        <v>17711</v>
      </c>
      <c r="M4324" t="s">
        <v>65</v>
      </c>
      <c r="N4324" t="str">
        <f>"8019580     "</f>
        <v xml:space="preserve">8019580     </v>
      </c>
      <c r="O4324">
        <v>230908</v>
      </c>
    </row>
    <row r="4325" spans="1:15" x14ac:dyDescent="0.25">
      <c r="A4325" t="s">
        <v>16</v>
      </c>
      <c r="B4325" t="s">
        <v>3221</v>
      </c>
      <c r="C4325">
        <v>15097</v>
      </c>
      <c r="D4325" t="s">
        <v>1054</v>
      </c>
      <c r="E4325" t="s">
        <v>1055</v>
      </c>
      <c r="F4325">
        <v>29.03</v>
      </c>
      <c r="G4325">
        <v>231031</v>
      </c>
      <c r="H4325">
        <v>4580</v>
      </c>
      <c r="I4325" t="s">
        <v>35</v>
      </c>
      <c r="J4325">
        <v>36</v>
      </c>
      <c r="K4325">
        <v>6.97</v>
      </c>
      <c r="L4325">
        <v>17711</v>
      </c>
      <c r="M4325" t="s">
        <v>65</v>
      </c>
      <c r="N4325" t="str">
        <f>"8019924     "</f>
        <v xml:space="preserve">8019924     </v>
      </c>
      <c r="O4325">
        <v>231108</v>
      </c>
    </row>
    <row r="4326" spans="1:15" x14ac:dyDescent="0.25">
      <c r="A4326" t="s">
        <v>16</v>
      </c>
      <c r="B4326" t="s">
        <v>3221</v>
      </c>
      <c r="C4326">
        <v>16420</v>
      </c>
      <c r="D4326" t="s">
        <v>2967</v>
      </c>
      <c r="E4326" t="s">
        <v>2968</v>
      </c>
      <c r="F4326">
        <v>222.96</v>
      </c>
      <c r="G4326">
        <v>231122</v>
      </c>
      <c r="H4326">
        <v>4600</v>
      </c>
      <c r="I4326" t="s">
        <v>105</v>
      </c>
      <c r="J4326">
        <v>276.47000000000003</v>
      </c>
      <c r="K4326">
        <v>53.51</v>
      </c>
      <c r="L4326">
        <v>17525</v>
      </c>
      <c r="M4326" t="s">
        <v>135</v>
      </c>
      <c r="N4326" t="str">
        <f>"90032       "</f>
        <v xml:space="preserve">90032       </v>
      </c>
      <c r="O4326">
        <v>231129</v>
      </c>
    </row>
    <row r="4327" spans="1:15" x14ac:dyDescent="0.25">
      <c r="A4327" t="s">
        <v>16</v>
      </c>
      <c r="B4327" t="s">
        <v>3221</v>
      </c>
      <c r="C4327">
        <v>13265</v>
      </c>
      <c r="D4327" t="s">
        <v>2650</v>
      </c>
      <c r="E4327" t="s">
        <v>2651</v>
      </c>
      <c r="F4327">
        <v>3</v>
      </c>
      <c r="G4327">
        <v>230930</v>
      </c>
      <c r="H4327">
        <v>4412</v>
      </c>
      <c r="I4327" t="s">
        <v>149</v>
      </c>
      <c r="J4327">
        <v>3</v>
      </c>
      <c r="K4327">
        <v>0</v>
      </c>
      <c r="L4327">
        <v>47522</v>
      </c>
      <c r="M4327" t="s">
        <v>410</v>
      </c>
      <c r="N4327" t="str">
        <f>"6282        "</f>
        <v xml:space="preserve">6282        </v>
      </c>
      <c r="O4327">
        <v>231009</v>
      </c>
    </row>
    <row r="4328" spans="1:15" x14ac:dyDescent="0.25">
      <c r="A4328" t="s">
        <v>16</v>
      </c>
      <c r="B4328" t="s">
        <v>3221</v>
      </c>
      <c r="C4328">
        <v>13265</v>
      </c>
      <c r="D4328" t="s">
        <v>2650</v>
      </c>
      <c r="E4328" t="s">
        <v>2651</v>
      </c>
      <c r="F4328">
        <v>163.63999999999999</v>
      </c>
      <c r="G4328">
        <v>230930</v>
      </c>
      <c r="H4328">
        <v>4412</v>
      </c>
      <c r="I4328" t="s">
        <v>149</v>
      </c>
      <c r="J4328">
        <v>180</v>
      </c>
      <c r="K4328">
        <v>16.36</v>
      </c>
      <c r="L4328">
        <v>47522</v>
      </c>
      <c r="M4328" t="s">
        <v>410</v>
      </c>
      <c r="N4328" t="str">
        <f>"6282        "</f>
        <v xml:space="preserve">6282        </v>
      </c>
      <c r="O4328">
        <v>231009</v>
      </c>
    </row>
    <row r="4329" spans="1:15" x14ac:dyDescent="0.25">
      <c r="A4329" t="s">
        <v>16</v>
      </c>
      <c r="B4329" t="s">
        <v>3221</v>
      </c>
      <c r="C4329">
        <v>9126</v>
      </c>
      <c r="D4329" t="s">
        <v>2257</v>
      </c>
      <c r="E4329" t="s">
        <v>2258</v>
      </c>
      <c r="F4329">
        <v>10</v>
      </c>
      <c r="G4329">
        <v>230627</v>
      </c>
      <c r="H4329">
        <v>4412</v>
      </c>
      <c r="I4329" t="s">
        <v>149</v>
      </c>
      <c r="J4329">
        <v>10</v>
      </c>
      <c r="K4329">
        <v>0</v>
      </c>
      <c r="L4329">
        <v>59705</v>
      </c>
      <c r="M4329" t="s">
        <v>843</v>
      </c>
      <c r="N4329" t="str">
        <f>"1218        "</f>
        <v xml:space="preserve">1218        </v>
      </c>
      <c r="O4329">
        <v>230628</v>
      </c>
    </row>
    <row r="4330" spans="1:15" x14ac:dyDescent="0.25">
      <c r="A4330" t="s">
        <v>16</v>
      </c>
      <c r="B4330" t="s">
        <v>3221</v>
      </c>
      <c r="C4330">
        <v>9126</v>
      </c>
      <c r="D4330" t="s">
        <v>2257</v>
      </c>
      <c r="E4330" t="s">
        <v>2258</v>
      </c>
      <c r="F4330">
        <v>181.82</v>
      </c>
      <c r="G4330">
        <v>230627</v>
      </c>
      <c r="H4330">
        <v>4412</v>
      </c>
      <c r="I4330" t="s">
        <v>149</v>
      </c>
      <c r="J4330">
        <v>200</v>
      </c>
      <c r="K4330">
        <v>18.18</v>
      </c>
      <c r="L4330">
        <v>59705</v>
      </c>
      <c r="M4330" t="s">
        <v>843</v>
      </c>
      <c r="N4330" t="str">
        <f>"1218        "</f>
        <v xml:space="preserve">1218        </v>
      </c>
      <c r="O4330">
        <v>230628</v>
      </c>
    </row>
    <row r="4331" spans="1:15" x14ac:dyDescent="0.25">
      <c r="A4331" t="s">
        <v>16</v>
      </c>
      <c r="B4331" t="s">
        <v>3221</v>
      </c>
      <c r="C4331">
        <v>6380</v>
      </c>
      <c r="D4331" t="s">
        <v>1962</v>
      </c>
      <c r="E4331" t="s">
        <v>1963</v>
      </c>
      <c r="F4331">
        <v>400</v>
      </c>
      <c r="G4331">
        <v>230503</v>
      </c>
      <c r="H4331">
        <v>4440</v>
      </c>
      <c r="I4331" t="s">
        <v>250</v>
      </c>
      <c r="J4331">
        <v>496</v>
      </c>
      <c r="K4331">
        <v>96</v>
      </c>
      <c r="L4331">
        <v>18974</v>
      </c>
      <c r="M4331" t="s">
        <v>1663</v>
      </c>
      <c r="N4331" t="str">
        <f>"12581       "</f>
        <v xml:space="preserve">12581       </v>
      </c>
      <c r="O4331">
        <v>230510</v>
      </c>
    </row>
    <row r="4332" spans="1:15" x14ac:dyDescent="0.25">
      <c r="A4332" t="s">
        <v>16</v>
      </c>
      <c r="B4332" t="s">
        <v>3221</v>
      </c>
      <c r="C4332">
        <v>2024</v>
      </c>
      <c r="D4332" t="s">
        <v>1262</v>
      </c>
      <c r="E4332" t="s">
        <v>1263</v>
      </c>
      <c r="F4332">
        <v>444</v>
      </c>
      <c r="G4332">
        <v>230126</v>
      </c>
      <c r="H4332">
        <v>4400</v>
      </c>
      <c r="I4332" t="s">
        <v>348</v>
      </c>
      <c r="J4332">
        <v>550.55999999999995</v>
      </c>
      <c r="K4332">
        <v>106.56</v>
      </c>
      <c r="L4332">
        <v>13401</v>
      </c>
      <c r="M4332" t="s">
        <v>80</v>
      </c>
      <c r="N4332" t="str">
        <f>"8032337     "</f>
        <v xml:space="preserve">8032337     </v>
      </c>
      <c r="O4332">
        <v>230217</v>
      </c>
    </row>
    <row r="4333" spans="1:15" x14ac:dyDescent="0.25">
      <c r="A4333" t="s">
        <v>16</v>
      </c>
      <c r="B4333" t="s">
        <v>3221</v>
      </c>
      <c r="C4333">
        <v>12692</v>
      </c>
      <c r="D4333" t="s">
        <v>3592</v>
      </c>
      <c r="E4333" t="s">
        <v>2598</v>
      </c>
      <c r="F4333">
        <v>400</v>
      </c>
      <c r="G4333">
        <v>230921</v>
      </c>
      <c r="H4333">
        <v>4860</v>
      </c>
      <c r="I4333" t="s">
        <v>28</v>
      </c>
      <c r="J4333">
        <v>496</v>
      </c>
      <c r="K4333">
        <v>96</v>
      </c>
      <c r="L4333">
        <v>18420</v>
      </c>
      <c r="M4333" t="s">
        <v>1489</v>
      </c>
      <c r="N4333" t="str">
        <f>"54494       "</f>
        <v xml:space="preserve">54494       </v>
      </c>
      <c r="O4333">
        <v>230925</v>
      </c>
    </row>
    <row r="4334" spans="1:15" x14ac:dyDescent="0.25">
      <c r="A4334" t="s">
        <v>16</v>
      </c>
      <c r="B4334" t="s">
        <v>3221</v>
      </c>
      <c r="C4334">
        <v>17994</v>
      </c>
      <c r="D4334" t="s">
        <v>3592</v>
      </c>
      <c r="E4334" t="s">
        <v>2598</v>
      </c>
      <c r="F4334">
        <v>404.03</v>
      </c>
      <c r="G4334">
        <v>231215</v>
      </c>
      <c r="H4334">
        <v>4820</v>
      </c>
      <c r="I4334" t="s">
        <v>50</v>
      </c>
      <c r="J4334">
        <v>501</v>
      </c>
      <c r="K4334">
        <v>96.97</v>
      </c>
      <c r="L4334">
        <v>18420</v>
      </c>
      <c r="M4334" t="s">
        <v>1489</v>
      </c>
      <c r="N4334" t="str">
        <f>"55048       "</f>
        <v xml:space="preserve">55048       </v>
      </c>
      <c r="O4334">
        <v>231228</v>
      </c>
    </row>
    <row r="4335" spans="1:15" x14ac:dyDescent="0.25">
      <c r="A4335" t="s">
        <v>16</v>
      </c>
      <c r="B4335" t="s">
        <v>3221</v>
      </c>
      <c r="C4335">
        <v>13460</v>
      </c>
      <c r="D4335" t="s">
        <v>2683</v>
      </c>
      <c r="E4335" t="s">
        <v>2684</v>
      </c>
      <c r="F4335">
        <v>212</v>
      </c>
      <c r="G4335">
        <v>230929</v>
      </c>
      <c r="H4335">
        <v>4600</v>
      </c>
      <c r="I4335" t="s">
        <v>105</v>
      </c>
      <c r="J4335">
        <v>262.88</v>
      </c>
      <c r="K4335">
        <v>50.88</v>
      </c>
      <c r="L4335">
        <v>59113</v>
      </c>
      <c r="M4335" t="s">
        <v>235</v>
      </c>
      <c r="N4335" t="str">
        <f>"14124       "</f>
        <v xml:space="preserve">14124       </v>
      </c>
      <c r="O4335">
        <v>231010</v>
      </c>
    </row>
    <row r="4336" spans="1:15" x14ac:dyDescent="0.25">
      <c r="A4336" t="s">
        <v>16</v>
      </c>
      <c r="B4336" t="s">
        <v>3221</v>
      </c>
      <c r="C4336">
        <v>7199</v>
      </c>
      <c r="D4336" t="s">
        <v>2077</v>
      </c>
      <c r="E4336" t="s">
        <v>2078</v>
      </c>
      <c r="F4336">
        <v>950</v>
      </c>
      <c r="G4336">
        <v>230522</v>
      </c>
      <c r="H4336">
        <v>4346</v>
      </c>
      <c r="I4336" t="s">
        <v>197</v>
      </c>
      <c r="J4336">
        <v>1178</v>
      </c>
      <c r="K4336">
        <v>228</v>
      </c>
      <c r="L4336">
        <v>11908</v>
      </c>
      <c r="M4336" t="s">
        <v>598</v>
      </c>
      <c r="N4336" t="str">
        <f>"151/2       "</f>
        <v xml:space="preserve">151/2       </v>
      </c>
      <c r="O4336">
        <v>230526</v>
      </c>
    </row>
    <row r="4337" spans="1:15" x14ac:dyDescent="0.25">
      <c r="A4337" t="s">
        <v>16</v>
      </c>
      <c r="B4337" t="s">
        <v>3221</v>
      </c>
      <c r="C4337">
        <v>16976</v>
      </c>
      <c r="D4337" t="s">
        <v>3024</v>
      </c>
      <c r="E4337" t="s">
        <v>3025</v>
      </c>
      <c r="F4337">
        <v>500</v>
      </c>
      <c r="G4337">
        <v>231204</v>
      </c>
      <c r="H4337">
        <v>4580</v>
      </c>
      <c r="I4337" t="s">
        <v>35</v>
      </c>
      <c r="J4337">
        <v>620</v>
      </c>
      <c r="K4337">
        <v>120</v>
      </c>
      <c r="L4337">
        <v>47522</v>
      </c>
      <c r="M4337" t="s">
        <v>410</v>
      </c>
      <c r="N4337" t="str">
        <f>"522023      "</f>
        <v xml:space="preserve">522023      </v>
      </c>
      <c r="O4337">
        <v>231211</v>
      </c>
    </row>
    <row r="4338" spans="1:15" x14ac:dyDescent="0.25">
      <c r="A4338" t="s">
        <v>16</v>
      </c>
      <c r="B4338" t="s">
        <v>3221</v>
      </c>
      <c r="C4338">
        <v>3746</v>
      </c>
      <c r="D4338" t="s">
        <v>1606</v>
      </c>
      <c r="E4338" t="s">
        <v>1607</v>
      </c>
      <c r="F4338">
        <v>2060.9899999999998</v>
      </c>
      <c r="G4338">
        <v>230312</v>
      </c>
      <c r="H4338">
        <v>4557</v>
      </c>
      <c r="I4338" t="s">
        <v>238</v>
      </c>
      <c r="J4338">
        <v>2555.63</v>
      </c>
      <c r="K4338">
        <v>494.64</v>
      </c>
      <c r="L4338">
        <v>66754</v>
      </c>
      <c r="M4338" t="s">
        <v>239</v>
      </c>
      <c r="N4338" t="str">
        <f>"1650579     "</f>
        <v xml:space="preserve">1650579     </v>
      </c>
      <c r="O4338">
        <v>230321</v>
      </c>
    </row>
    <row r="4339" spans="1:15" x14ac:dyDescent="0.25">
      <c r="A4339" t="s">
        <v>16</v>
      </c>
      <c r="B4339" t="s">
        <v>3221</v>
      </c>
      <c r="C4339">
        <v>4154</v>
      </c>
      <c r="D4339" t="s">
        <v>1606</v>
      </c>
      <c r="E4339" t="s">
        <v>1607</v>
      </c>
      <c r="F4339">
        <v>1381.97</v>
      </c>
      <c r="G4339">
        <v>230326</v>
      </c>
      <c r="H4339">
        <v>4557</v>
      </c>
      <c r="I4339" t="s">
        <v>238</v>
      </c>
      <c r="J4339">
        <v>1713.64</v>
      </c>
      <c r="K4339">
        <v>331.67</v>
      </c>
      <c r="L4339">
        <v>66754</v>
      </c>
      <c r="M4339" t="s">
        <v>239</v>
      </c>
      <c r="N4339" t="str">
        <f>"1651872     "</f>
        <v xml:space="preserve">1651872     </v>
      </c>
      <c r="O4339">
        <v>230330</v>
      </c>
    </row>
    <row r="4340" spans="1:15" x14ac:dyDescent="0.25">
      <c r="A4340" t="s">
        <v>16</v>
      </c>
      <c r="B4340" t="s">
        <v>3221</v>
      </c>
      <c r="C4340">
        <v>4958</v>
      </c>
      <c r="D4340" t="s">
        <v>1606</v>
      </c>
      <c r="E4340" t="s">
        <v>1607</v>
      </c>
      <c r="F4340">
        <v>1768.88</v>
      </c>
      <c r="G4340">
        <v>230409</v>
      </c>
      <c r="H4340">
        <v>4557</v>
      </c>
      <c r="I4340" t="s">
        <v>238</v>
      </c>
      <c r="J4340">
        <v>2193.41</v>
      </c>
      <c r="K4340">
        <v>424.53</v>
      </c>
      <c r="L4340">
        <v>66754</v>
      </c>
      <c r="M4340" t="s">
        <v>239</v>
      </c>
      <c r="N4340" t="str">
        <f>"1653220     "</f>
        <v xml:space="preserve">1653220     </v>
      </c>
      <c r="O4340">
        <v>230414</v>
      </c>
    </row>
    <row r="4341" spans="1:15" x14ac:dyDescent="0.25">
      <c r="A4341" t="s">
        <v>16</v>
      </c>
      <c r="B4341" t="s">
        <v>3221</v>
      </c>
      <c r="C4341">
        <v>5589</v>
      </c>
      <c r="D4341" t="s">
        <v>1606</v>
      </c>
      <c r="E4341" t="s">
        <v>1607</v>
      </c>
      <c r="F4341">
        <v>83.19</v>
      </c>
      <c r="G4341">
        <v>230423</v>
      </c>
      <c r="H4341">
        <v>4557</v>
      </c>
      <c r="I4341" t="s">
        <v>238</v>
      </c>
      <c r="J4341">
        <v>103.16</v>
      </c>
      <c r="K4341">
        <v>19.97</v>
      </c>
      <c r="L4341">
        <v>66754</v>
      </c>
      <c r="M4341" t="s">
        <v>239</v>
      </c>
      <c r="N4341" t="str">
        <f>"1654175     "</f>
        <v xml:space="preserve">1654175     </v>
      </c>
      <c r="O4341">
        <v>230427</v>
      </c>
    </row>
    <row r="4342" spans="1:15" x14ac:dyDescent="0.25">
      <c r="A4342" t="s">
        <v>16</v>
      </c>
      <c r="B4342" t="s">
        <v>3221</v>
      </c>
      <c r="C4342">
        <v>9891</v>
      </c>
      <c r="D4342" t="s">
        <v>1606</v>
      </c>
      <c r="E4342" t="s">
        <v>1607</v>
      </c>
      <c r="F4342">
        <v>691.86</v>
      </c>
      <c r="G4342">
        <v>230723</v>
      </c>
      <c r="H4342">
        <v>4557</v>
      </c>
      <c r="I4342" t="s">
        <v>238</v>
      </c>
      <c r="J4342">
        <v>857.91</v>
      </c>
      <c r="K4342">
        <v>166.05</v>
      </c>
      <c r="L4342">
        <v>66754</v>
      </c>
      <c r="M4342" t="s">
        <v>239</v>
      </c>
      <c r="N4342" t="str">
        <f>"1661136     "</f>
        <v xml:space="preserve">1661136     </v>
      </c>
      <c r="O4342">
        <v>230731</v>
      </c>
    </row>
    <row r="4343" spans="1:15" x14ac:dyDescent="0.25">
      <c r="A4343" t="s">
        <v>16</v>
      </c>
      <c r="B4343" t="s">
        <v>3221</v>
      </c>
      <c r="C4343">
        <v>10355</v>
      </c>
      <c r="D4343" t="s">
        <v>1606</v>
      </c>
      <c r="E4343" t="s">
        <v>1607</v>
      </c>
      <c r="F4343">
        <v>231.86</v>
      </c>
      <c r="G4343">
        <v>230731</v>
      </c>
      <c r="H4343">
        <v>4557</v>
      </c>
      <c r="I4343" t="s">
        <v>238</v>
      </c>
      <c r="J4343">
        <v>287.51</v>
      </c>
      <c r="K4343">
        <v>55.65</v>
      </c>
      <c r="L4343">
        <v>66754</v>
      </c>
      <c r="M4343" t="s">
        <v>239</v>
      </c>
      <c r="N4343" t="str">
        <f>"1661697     "</f>
        <v xml:space="preserve">1661697     </v>
      </c>
      <c r="O4343">
        <v>230814</v>
      </c>
    </row>
    <row r="4344" spans="1:15" x14ac:dyDescent="0.25">
      <c r="A4344" t="s">
        <v>16</v>
      </c>
      <c r="B4344" t="s">
        <v>3221</v>
      </c>
      <c r="C4344">
        <v>10881</v>
      </c>
      <c r="D4344" t="s">
        <v>1606</v>
      </c>
      <c r="E4344" t="s">
        <v>1607</v>
      </c>
      <c r="F4344">
        <v>713.6</v>
      </c>
      <c r="G4344">
        <v>230813</v>
      </c>
      <c r="H4344">
        <v>4557</v>
      </c>
      <c r="I4344" t="s">
        <v>238</v>
      </c>
      <c r="J4344">
        <v>884.86</v>
      </c>
      <c r="K4344">
        <v>171.26</v>
      </c>
      <c r="L4344">
        <v>66754</v>
      </c>
      <c r="M4344" t="s">
        <v>239</v>
      </c>
      <c r="N4344" t="str">
        <f>"1662317     "</f>
        <v xml:space="preserve">1662317     </v>
      </c>
      <c r="O4344">
        <v>230824</v>
      </c>
    </row>
    <row r="4345" spans="1:15" x14ac:dyDescent="0.25">
      <c r="A4345" t="s">
        <v>16</v>
      </c>
      <c r="B4345" t="s">
        <v>3221</v>
      </c>
      <c r="C4345">
        <v>12021</v>
      </c>
      <c r="D4345" t="s">
        <v>1606</v>
      </c>
      <c r="E4345" t="s">
        <v>1607</v>
      </c>
      <c r="F4345">
        <v>270.33</v>
      </c>
      <c r="G4345">
        <v>230831</v>
      </c>
      <c r="H4345">
        <v>4557</v>
      </c>
      <c r="I4345" t="s">
        <v>238</v>
      </c>
      <c r="J4345">
        <v>335.21</v>
      </c>
      <c r="K4345">
        <v>64.88</v>
      </c>
      <c r="L4345">
        <v>66754</v>
      </c>
      <c r="M4345" t="s">
        <v>239</v>
      </c>
      <c r="N4345" t="str">
        <f>"1663381     "</f>
        <v xml:space="preserve">1663381     </v>
      </c>
      <c r="O4345">
        <v>230912</v>
      </c>
    </row>
    <row r="4346" spans="1:15" x14ac:dyDescent="0.25">
      <c r="A4346" t="s">
        <v>16</v>
      </c>
      <c r="B4346" t="s">
        <v>3221</v>
      </c>
      <c r="C4346">
        <v>12517</v>
      </c>
      <c r="D4346" t="s">
        <v>1606</v>
      </c>
      <c r="E4346" t="s">
        <v>1607</v>
      </c>
      <c r="F4346">
        <v>68</v>
      </c>
      <c r="G4346">
        <v>230910</v>
      </c>
      <c r="H4346">
        <v>4557</v>
      </c>
      <c r="I4346" t="s">
        <v>238</v>
      </c>
      <c r="J4346">
        <v>84.32</v>
      </c>
      <c r="K4346">
        <v>16.32</v>
      </c>
      <c r="L4346">
        <v>66754</v>
      </c>
      <c r="M4346" t="s">
        <v>239</v>
      </c>
      <c r="N4346" t="str">
        <f>"1663650     "</f>
        <v xml:space="preserve">1663650     </v>
      </c>
      <c r="O4346">
        <v>230920</v>
      </c>
    </row>
    <row r="4347" spans="1:15" x14ac:dyDescent="0.25">
      <c r="A4347" t="s">
        <v>16</v>
      </c>
      <c r="B4347" t="s">
        <v>3221</v>
      </c>
      <c r="C4347">
        <v>13981</v>
      </c>
      <c r="D4347" t="s">
        <v>1606</v>
      </c>
      <c r="E4347" t="s">
        <v>1607</v>
      </c>
      <c r="F4347">
        <v>1067.74</v>
      </c>
      <c r="G4347">
        <v>231008</v>
      </c>
      <c r="H4347">
        <v>4557</v>
      </c>
      <c r="I4347" t="s">
        <v>238</v>
      </c>
      <c r="J4347">
        <v>1324</v>
      </c>
      <c r="K4347">
        <v>256.26</v>
      </c>
      <c r="L4347">
        <v>66754</v>
      </c>
      <c r="M4347" t="s">
        <v>239</v>
      </c>
      <c r="N4347" t="str">
        <f>"1664756     "</f>
        <v xml:space="preserve">1664756     </v>
      </c>
      <c r="O4347">
        <v>231017</v>
      </c>
    </row>
    <row r="4348" spans="1:15" x14ac:dyDescent="0.25">
      <c r="A4348" t="s">
        <v>16</v>
      </c>
      <c r="B4348" t="s">
        <v>3221</v>
      </c>
      <c r="C4348">
        <v>508</v>
      </c>
      <c r="D4348" t="s">
        <v>590</v>
      </c>
      <c r="E4348" t="s">
        <v>591</v>
      </c>
      <c r="F4348">
        <v>571.54999999999995</v>
      </c>
      <c r="G4348">
        <v>230115</v>
      </c>
      <c r="H4348">
        <v>4600</v>
      </c>
      <c r="I4348" t="s">
        <v>105</v>
      </c>
      <c r="J4348">
        <v>708.72</v>
      </c>
      <c r="K4348">
        <v>137.16999999999999</v>
      </c>
      <c r="L4348">
        <v>66722</v>
      </c>
      <c r="M4348" t="s">
        <v>518</v>
      </c>
      <c r="N4348" t="str">
        <f>"3063971     "</f>
        <v xml:space="preserve">3063971     </v>
      </c>
      <c r="O4348">
        <v>230124</v>
      </c>
    </row>
    <row r="4349" spans="1:15" x14ac:dyDescent="0.25">
      <c r="A4349" t="s">
        <v>16</v>
      </c>
      <c r="B4349" t="s">
        <v>3221</v>
      </c>
      <c r="C4349">
        <v>811</v>
      </c>
      <c r="D4349" t="s">
        <v>590</v>
      </c>
      <c r="E4349" t="s">
        <v>591</v>
      </c>
      <c r="F4349">
        <v>643.9</v>
      </c>
      <c r="G4349">
        <v>230122</v>
      </c>
      <c r="H4349">
        <v>4600</v>
      </c>
      <c r="I4349" t="s">
        <v>105</v>
      </c>
      <c r="J4349">
        <v>798.44</v>
      </c>
      <c r="K4349">
        <v>154.54</v>
      </c>
      <c r="L4349">
        <v>66722</v>
      </c>
      <c r="M4349" t="s">
        <v>518</v>
      </c>
      <c r="N4349" t="str">
        <f>"3064425     "</f>
        <v xml:space="preserve">3064425     </v>
      </c>
      <c r="O4349">
        <v>230130</v>
      </c>
    </row>
    <row r="4350" spans="1:15" x14ac:dyDescent="0.25">
      <c r="A4350" t="s">
        <v>16</v>
      </c>
      <c r="B4350" t="s">
        <v>3221</v>
      </c>
      <c r="C4350">
        <v>2380</v>
      </c>
      <c r="D4350" t="s">
        <v>590</v>
      </c>
      <c r="E4350" t="s">
        <v>591</v>
      </c>
      <c r="F4350">
        <v>260</v>
      </c>
      <c r="G4350">
        <v>230131</v>
      </c>
      <c r="H4350">
        <v>4600</v>
      </c>
      <c r="I4350" t="s">
        <v>105</v>
      </c>
      <c r="J4350">
        <v>322.39999999999998</v>
      </c>
      <c r="K4350">
        <v>62.4</v>
      </c>
      <c r="L4350">
        <v>66722</v>
      </c>
      <c r="M4350" t="s">
        <v>518</v>
      </c>
      <c r="N4350" t="str">
        <f>"3065551     "</f>
        <v xml:space="preserve">3065551     </v>
      </c>
      <c r="O4350">
        <v>230227</v>
      </c>
    </row>
    <row r="4351" spans="1:15" x14ac:dyDescent="0.25">
      <c r="A4351" t="s">
        <v>16</v>
      </c>
      <c r="B4351" t="s">
        <v>3221</v>
      </c>
      <c r="C4351">
        <v>2400</v>
      </c>
      <c r="D4351" t="s">
        <v>590</v>
      </c>
      <c r="E4351" t="s">
        <v>591</v>
      </c>
      <c r="F4351">
        <v>107</v>
      </c>
      <c r="G4351">
        <v>230219</v>
      </c>
      <c r="H4351">
        <v>4600</v>
      </c>
      <c r="I4351" t="s">
        <v>105</v>
      </c>
      <c r="J4351">
        <v>132.68</v>
      </c>
      <c r="K4351">
        <v>25.68</v>
      </c>
      <c r="L4351">
        <v>66754</v>
      </c>
      <c r="M4351" t="s">
        <v>239</v>
      </c>
      <c r="N4351" t="str">
        <f>"3066854     "</f>
        <v xml:space="preserve">3066854     </v>
      </c>
      <c r="O4351">
        <v>230227</v>
      </c>
    </row>
    <row r="4352" spans="1:15" x14ac:dyDescent="0.25">
      <c r="A4352" t="s">
        <v>16</v>
      </c>
      <c r="B4352" t="s">
        <v>3221</v>
      </c>
      <c r="C4352">
        <v>3244</v>
      </c>
      <c r="D4352" t="s">
        <v>590</v>
      </c>
      <c r="E4352" t="s">
        <v>591</v>
      </c>
      <c r="F4352">
        <v>763.6</v>
      </c>
      <c r="G4352">
        <v>230228</v>
      </c>
      <c r="H4352">
        <v>4600</v>
      </c>
      <c r="I4352" t="s">
        <v>105</v>
      </c>
      <c r="J4352">
        <v>946.86</v>
      </c>
      <c r="K4352">
        <v>183.26</v>
      </c>
      <c r="L4352">
        <v>66722</v>
      </c>
      <c r="M4352" t="s">
        <v>518</v>
      </c>
      <c r="N4352" t="str">
        <f>"3067551     "</f>
        <v xml:space="preserve">3067551     </v>
      </c>
      <c r="O4352">
        <v>230310</v>
      </c>
    </row>
    <row r="4353" spans="1:15" x14ac:dyDescent="0.25">
      <c r="A4353" t="s">
        <v>16</v>
      </c>
      <c r="B4353" t="s">
        <v>3221</v>
      </c>
      <c r="C4353">
        <v>3770</v>
      </c>
      <c r="D4353" t="s">
        <v>590</v>
      </c>
      <c r="E4353" t="s">
        <v>591</v>
      </c>
      <c r="F4353">
        <v>293.95</v>
      </c>
      <c r="G4353">
        <v>230312</v>
      </c>
      <c r="H4353">
        <v>4600</v>
      </c>
      <c r="I4353" t="s">
        <v>105</v>
      </c>
      <c r="J4353">
        <v>364.5</v>
      </c>
      <c r="K4353">
        <v>70.55</v>
      </c>
      <c r="L4353">
        <v>66722</v>
      </c>
      <c r="M4353" t="s">
        <v>518</v>
      </c>
      <c r="N4353" t="str">
        <f>"3068246     "</f>
        <v xml:space="preserve">3068246     </v>
      </c>
      <c r="O4353">
        <v>230322</v>
      </c>
    </row>
    <row r="4354" spans="1:15" x14ac:dyDescent="0.25">
      <c r="A4354" t="s">
        <v>16</v>
      </c>
      <c r="B4354" t="s">
        <v>3221</v>
      </c>
      <c r="C4354">
        <v>3890</v>
      </c>
      <c r="D4354" t="s">
        <v>590</v>
      </c>
      <c r="E4354" t="s">
        <v>591</v>
      </c>
      <c r="F4354">
        <v>119.1</v>
      </c>
      <c r="G4354">
        <v>230319</v>
      </c>
      <c r="H4354">
        <v>4600</v>
      </c>
      <c r="I4354" t="s">
        <v>105</v>
      </c>
      <c r="J4354">
        <v>147.68</v>
      </c>
      <c r="K4354">
        <v>28.58</v>
      </c>
      <c r="L4354">
        <v>66722</v>
      </c>
      <c r="M4354" t="s">
        <v>518</v>
      </c>
      <c r="N4354" t="str">
        <f>"3068720     "</f>
        <v xml:space="preserve">3068720     </v>
      </c>
      <c r="O4354">
        <v>230324</v>
      </c>
    </row>
    <row r="4355" spans="1:15" x14ac:dyDescent="0.25">
      <c r="A4355" t="s">
        <v>16</v>
      </c>
      <c r="B4355" t="s">
        <v>3221</v>
      </c>
      <c r="C4355">
        <v>4146</v>
      </c>
      <c r="D4355" t="s">
        <v>590</v>
      </c>
      <c r="E4355" t="s">
        <v>591</v>
      </c>
      <c r="F4355">
        <v>763.4</v>
      </c>
      <c r="G4355">
        <v>230326</v>
      </c>
      <c r="H4355">
        <v>4600</v>
      </c>
      <c r="I4355" t="s">
        <v>105</v>
      </c>
      <c r="J4355">
        <v>946.62</v>
      </c>
      <c r="K4355">
        <v>183.22</v>
      </c>
      <c r="L4355">
        <v>65422</v>
      </c>
      <c r="M4355" t="s">
        <v>602</v>
      </c>
      <c r="N4355" t="str">
        <f>"3069185     "</f>
        <v xml:space="preserve">3069185     </v>
      </c>
      <c r="O4355">
        <v>230330</v>
      </c>
    </row>
    <row r="4356" spans="1:15" x14ac:dyDescent="0.25">
      <c r="A4356" t="s">
        <v>16</v>
      </c>
      <c r="B4356" t="s">
        <v>3221</v>
      </c>
      <c r="C4356">
        <v>4230</v>
      </c>
      <c r="D4356" t="s">
        <v>590</v>
      </c>
      <c r="E4356" t="s">
        <v>591</v>
      </c>
      <c r="F4356">
        <v>352.8</v>
      </c>
      <c r="G4356">
        <v>230326</v>
      </c>
      <c r="H4356">
        <v>4600</v>
      </c>
      <c r="I4356" t="s">
        <v>105</v>
      </c>
      <c r="J4356">
        <v>437.47</v>
      </c>
      <c r="K4356">
        <v>84.67</v>
      </c>
      <c r="L4356">
        <v>66754</v>
      </c>
      <c r="M4356" t="s">
        <v>239</v>
      </c>
      <c r="N4356" t="str">
        <f>"3069292     "</f>
        <v xml:space="preserve">3069292     </v>
      </c>
      <c r="O4356">
        <v>230403</v>
      </c>
    </row>
    <row r="4357" spans="1:15" x14ac:dyDescent="0.25">
      <c r="A4357" t="s">
        <v>16</v>
      </c>
      <c r="B4357" t="s">
        <v>3221</v>
      </c>
      <c r="C4357">
        <v>4232</v>
      </c>
      <c r="D4357" t="s">
        <v>590</v>
      </c>
      <c r="E4357" t="s">
        <v>591</v>
      </c>
      <c r="F4357">
        <v>400.55</v>
      </c>
      <c r="G4357">
        <v>230326</v>
      </c>
      <c r="H4357">
        <v>4600</v>
      </c>
      <c r="I4357" t="s">
        <v>105</v>
      </c>
      <c r="J4357">
        <v>496.68</v>
      </c>
      <c r="K4357">
        <v>96.13</v>
      </c>
      <c r="L4357">
        <v>66754</v>
      </c>
      <c r="M4357" t="s">
        <v>239</v>
      </c>
      <c r="N4357" t="str">
        <f>"3069186     "</f>
        <v xml:space="preserve">3069186     </v>
      </c>
      <c r="O4357">
        <v>230403</v>
      </c>
    </row>
    <row r="4358" spans="1:15" x14ac:dyDescent="0.25">
      <c r="A4358" t="s">
        <v>16</v>
      </c>
      <c r="B4358" t="s">
        <v>3221</v>
      </c>
      <c r="C4358">
        <v>4233</v>
      </c>
      <c r="D4358" t="s">
        <v>590</v>
      </c>
      <c r="E4358" t="s">
        <v>591</v>
      </c>
      <c r="F4358">
        <v>173.6</v>
      </c>
      <c r="G4358">
        <v>230326</v>
      </c>
      <c r="H4358">
        <v>4600</v>
      </c>
      <c r="I4358" t="s">
        <v>105</v>
      </c>
      <c r="J4358">
        <v>215.26</v>
      </c>
      <c r="K4358">
        <v>41.66</v>
      </c>
      <c r="L4358">
        <v>66754</v>
      </c>
      <c r="M4358" t="s">
        <v>239</v>
      </c>
      <c r="N4358" t="str">
        <f>"3069187     "</f>
        <v xml:space="preserve">3069187     </v>
      </c>
      <c r="O4358">
        <v>230403</v>
      </c>
    </row>
    <row r="4359" spans="1:15" x14ac:dyDescent="0.25">
      <c r="A4359" t="s">
        <v>16</v>
      </c>
      <c r="B4359" t="s">
        <v>3221</v>
      </c>
      <c r="C4359">
        <v>4652</v>
      </c>
      <c r="D4359" t="s">
        <v>590</v>
      </c>
      <c r="E4359" t="s">
        <v>591</v>
      </c>
      <c r="F4359">
        <v>140.88</v>
      </c>
      <c r="G4359">
        <v>230331</v>
      </c>
      <c r="H4359">
        <v>4600</v>
      </c>
      <c r="I4359" t="s">
        <v>105</v>
      </c>
      <c r="J4359">
        <v>174.69</v>
      </c>
      <c r="K4359">
        <v>33.81</v>
      </c>
      <c r="L4359">
        <v>66754</v>
      </c>
      <c r="M4359" t="s">
        <v>239</v>
      </c>
      <c r="N4359" t="str">
        <f>"3069702     "</f>
        <v xml:space="preserve">3069702     </v>
      </c>
      <c r="O4359">
        <v>230411</v>
      </c>
    </row>
    <row r="4360" spans="1:15" x14ac:dyDescent="0.25">
      <c r="A4360" t="s">
        <v>16</v>
      </c>
      <c r="B4360" t="s">
        <v>3221</v>
      </c>
      <c r="C4360">
        <v>4659</v>
      </c>
      <c r="D4360" t="s">
        <v>590</v>
      </c>
      <c r="E4360" t="s">
        <v>591</v>
      </c>
      <c r="F4360">
        <v>250.5</v>
      </c>
      <c r="G4360">
        <v>230331</v>
      </c>
      <c r="H4360">
        <v>4600</v>
      </c>
      <c r="I4360" t="s">
        <v>105</v>
      </c>
      <c r="J4360">
        <v>310.62</v>
      </c>
      <c r="K4360">
        <v>60.12</v>
      </c>
      <c r="L4360">
        <v>65422</v>
      </c>
      <c r="M4360" t="s">
        <v>602</v>
      </c>
      <c r="N4360" t="str">
        <f>"3069700     "</f>
        <v xml:space="preserve">3069700     </v>
      </c>
      <c r="O4360">
        <v>230411</v>
      </c>
    </row>
    <row r="4361" spans="1:15" x14ac:dyDescent="0.25">
      <c r="A4361" t="s">
        <v>16</v>
      </c>
      <c r="B4361" t="s">
        <v>3221</v>
      </c>
      <c r="C4361">
        <v>4660</v>
      </c>
      <c r="D4361" t="s">
        <v>590</v>
      </c>
      <c r="E4361" t="s">
        <v>591</v>
      </c>
      <c r="F4361">
        <v>235.3</v>
      </c>
      <c r="G4361">
        <v>230331</v>
      </c>
      <c r="H4361">
        <v>4600</v>
      </c>
      <c r="I4361" t="s">
        <v>105</v>
      </c>
      <c r="J4361">
        <v>291.77</v>
      </c>
      <c r="K4361">
        <v>56.47</v>
      </c>
      <c r="L4361">
        <v>66722</v>
      </c>
      <c r="M4361" t="s">
        <v>518</v>
      </c>
      <c r="N4361" t="str">
        <f>"3069701     "</f>
        <v xml:space="preserve">3069701     </v>
      </c>
      <c r="O4361">
        <v>230411</v>
      </c>
    </row>
    <row r="4362" spans="1:15" x14ac:dyDescent="0.25">
      <c r="A4362" t="s">
        <v>16</v>
      </c>
      <c r="B4362" t="s">
        <v>3221</v>
      </c>
      <c r="C4362">
        <v>4879</v>
      </c>
      <c r="D4362" t="s">
        <v>590</v>
      </c>
      <c r="E4362" t="s">
        <v>591</v>
      </c>
      <c r="F4362">
        <v>39</v>
      </c>
      <c r="G4362">
        <v>230409</v>
      </c>
      <c r="H4362">
        <v>4600</v>
      </c>
      <c r="I4362" t="s">
        <v>105</v>
      </c>
      <c r="J4362">
        <v>48.36</v>
      </c>
      <c r="K4362">
        <v>9.36</v>
      </c>
      <c r="L4362">
        <v>66754</v>
      </c>
      <c r="M4362" t="s">
        <v>239</v>
      </c>
      <c r="N4362" t="str">
        <f>"3070247     "</f>
        <v xml:space="preserve">3070247     </v>
      </c>
      <c r="O4362">
        <v>230413</v>
      </c>
    </row>
    <row r="4363" spans="1:15" x14ac:dyDescent="0.25">
      <c r="A4363" t="s">
        <v>16</v>
      </c>
      <c r="B4363" t="s">
        <v>3221</v>
      </c>
      <c r="C4363">
        <v>5019</v>
      </c>
      <c r="D4363" t="s">
        <v>590</v>
      </c>
      <c r="E4363" t="s">
        <v>591</v>
      </c>
      <c r="F4363">
        <v>346.85</v>
      </c>
      <c r="G4363">
        <v>230409</v>
      </c>
      <c r="H4363">
        <v>4600</v>
      </c>
      <c r="I4363" t="s">
        <v>105</v>
      </c>
      <c r="J4363">
        <v>430.09</v>
      </c>
      <c r="K4363">
        <v>83.24</v>
      </c>
      <c r="L4363">
        <v>65422</v>
      </c>
      <c r="M4363" t="s">
        <v>602</v>
      </c>
      <c r="N4363" t="str">
        <f>"3070246     "</f>
        <v xml:space="preserve">3070246     </v>
      </c>
      <c r="O4363">
        <v>230417</v>
      </c>
    </row>
    <row r="4364" spans="1:15" x14ac:dyDescent="0.25">
      <c r="A4364" t="s">
        <v>16</v>
      </c>
      <c r="B4364" t="s">
        <v>3221</v>
      </c>
      <c r="C4364">
        <v>5511</v>
      </c>
      <c r="D4364" t="s">
        <v>590</v>
      </c>
      <c r="E4364" t="s">
        <v>591</v>
      </c>
      <c r="F4364">
        <v>59.25</v>
      </c>
      <c r="G4364">
        <v>230416</v>
      </c>
      <c r="H4364">
        <v>4600</v>
      </c>
      <c r="I4364" t="s">
        <v>105</v>
      </c>
      <c r="J4364">
        <v>73.47</v>
      </c>
      <c r="K4364">
        <v>14.22</v>
      </c>
      <c r="L4364">
        <v>66754</v>
      </c>
      <c r="M4364" t="s">
        <v>239</v>
      </c>
      <c r="N4364" t="str">
        <f>"3070446     "</f>
        <v xml:space="preserve">3070446     </v>
      </c>
      <c r="O4364">
        <v>230426</v>
      </c>
    </row>
    <row r="4365" spans="1:15" x14ac:dyDescent="0.25">
      <c r="A4365" t="s">
        <v>16</v>
      </c>
      <c r="B4365" t="s">
        <v>3221</v>
      </c>
      <c r="C4365">
        <v>5512</v>
      </c>
      <c r="D4365" t="s">
        <v>590</v>
      </c>
      <c r="E4365" t="s">
        <v>591</v>
      </c>
      <c r="F4365">
        <v>52.02</v>
      </c>
      <c r="G4365">
        <v>230416</v>
      </c>
      <c r="H4365">
        <v>4600</v>
      </c>
      <c r="I4365" t="s">
        <v>105</v>
      </c>
      <c r="J4365">
        <v>64.510000000000005</v>
      </c>
      <c r="K4365">
        <v>12.49</v>
      </c>
      <c r="L4365">
        <v>65422</v>
      </c>
      <c r="M4365" t="s">
        <v>602</v>
      </c>
      <c r="N4365" t="str">
        <f>"3070447     "</f>
        <v xml:space="preserve">3070447     </v>
      </c>
      <c r="O4365">
        <v>230426</v>
      </c>
    </row>
    <row r="4366" spans="1:15" x14ac:dyDescent="0.25">
      <c r="A4366" t="s">
        <v>16</v>
      </c>
      <c r="B4366" t="s">
        <v>3221</v>
      </c>
      <c r="C4366">
        <v>5512</v>
      </c>
      <c r="D4366" t="s">
        <v>590</v>
      </c>
      <c r="E4366" t="s">
        <v>591</v>
      </c>
      <c r="F4366">
        <v>294.82</v>
      </c>
      <c r="G4366">
        <v>230416</v>
      </c>
      <c r="H4366">
        <v>4600</v>
      </c>
      <c r="I4366" t="s">
        <v>105</v>
      </c>
      <c r="J4366">
        <v>365.58</v>
      </c>
      <c r="K4366">
        <v>70.760000000000005</v>
      </c>
      <c r="L4366">
        <v>65422</v>
      </c>
      <c r="M4366" t="s">
        <v>602</v>
      </c>
      <c r="N4366" t="str">
        <f>"3070447     "</f>
        <v xml:space="preserve">3070447     </v>
      </c>
      <c r="O4366">
        <v>230426</v>
      </c>
    </row>
    <row r="4367" spans="1:15" x14ac:dyDescent="0.25">
      <c r="A4367" t="s">
        <v>16</v>
      </c>
      <c r="B4367" t="s">
        <v>3221</v>
      </c>
      <c r="C4367">
        <v>5512</v>
      </c>
      <c r="D4367" t="s">
        <v>590</v>
      </c>
      <c r="E4367" t="s">
        <v>591</v>
      </c>
      <c r="F4367">
        <v>60</v>
      </c>
      <c r="G4367">
        <v>230416</v>
      </c>
      <c r="H4367">
        <v>4600</v>
      </c>
      <c r="I4367" t="s">
        <v>105</v>
      </c>
      <c r="J4367">
        <v>74.400000000000006</v>
      </c>
      <c r="K4367">
        <v>14.4</v>
      </c>
      <c r="L4367">
        <v>66754</v>
      </c>
      <c r="M4367" t="s">
        <v>239</v>
      </c>
      <c r="N4367" t="str">
        <f>"3070447     "</f>
        <v xml:space="preserve">3070447     </v>
      </c>
      <c r="O4367">
        <v>230426</v>
      </c>
    </row>
    <row r="4368" spans="1:15" x14ac:dyDescent="0.25">
      <c r="A4368" t="s">
        <v>16</v>
      </c>
      <c r="B4368" t="s">
        <v>3221</v>
      </c>
      <c r="C4368">
        <v>5586</v>
      </c>
      <c r="D4368" t="s">
        <v>590</v>
      </c>
      <c r="E4368" t="s">
        <v>591</v>
      </c>
      <c r="F4368">
        <v>29.6</v>
      </c>
      <c r="G4368">
        <v>230423</v>
      </c>
      <c r="H4368">
        <v>4600</v>
      </c>
      <c r="I4368" t="s">
        <v>105</v>
      </c>
      <c r="J4368">
        <v>36.700000000000003</v>
      </c>
      <c r="K4368">
        <v>7.1</v>
      </c>
      <c r="L4368">
        <v>66754</v>
      </c>
      <c r="M4368" t="s">
        <v>239</v>
      </c>
      <c r="N4368" t="str">
        <f>"3071189     "</f>
        <v xml:space="preserve">3071189     </v>
      </c>
      <c r="O4368">
        <v>230427</v>
      </c>
    </row>
    <row r="4369" spans="1:15" x14ac:dyDescent="0.25">
      <c r="A4369" t="s">
        <v>16</v>
      </c>
      <c r="B4369" t="s">
        <v>3221</v>
      </c>
      <c r="C4369">
        <v>5687</v>
      </c>
      <c r="D4369" t="s">
        <v>590</v>
      </c>
      <c r="E4369" t="s">
        <v>591</v>
      </c>
      <c r="F4369">
        <v>144.1</v>
      </c>
      <c r="G4369">
        <v>230416</v>
      </c>
      <c r="H4369">
        <v>4600</v>
      </c>
      <c r="I4369" t="s">
        <v>105</v>
      </c>
      <c r="J4369">
        <v>178.68</v>
      </c>
      <c r="K4369">
        <v>34.58</v>
      </c>
      <c r="L4369">
        <v>65422</v>
      </c>
      <c r="M4369" t="s">
        <v>602</v>
      </c>
      <c r="N4369" t="str">
        <f>"3070445     "</f>
        <v xml:space="preserve">3070445     </v>
      </c>
      <c r="O4369">
        <v>230502</v>
      </c>
    </row>
    <row r="4370" spans="1:15" x14ac:dyDescent="0.25">
      <c r="A4370" t="s">
        <v>16</v>
      </c>
      <c r="B4370" t="s">
        <v>3221</v>
      </c>
      <c r="C4370">
        <v>5705</v>
      </c>
      <c r="D4370" t="s">
        <v>590</v>
      </c>
      <c r="E4370" t="s">
        <v>591</v>
      </c>
      <c r="F4370">
        <v>143.35</v>
      </c>
      <c r="G4370">
        <v>230423</v>
      </c>
      <c r="H4370">
        <v>4600</v>
      </c>
      <c r="I4370" t="s">
        <v>105</v>
      </c>
      <c r="J4370">
        <v>177.75</v>
      </c>
      <c r="K4370">
        <v>34.4</v>
      </c>
      <c r="L4370">
        <v>66722</v>
      </c>
      <c r="M4370" t="s">
        <v>518</v>
      </c>
      <c r="N4370" t="str">
        <f>"3071188     "</f>
        <v xml:space="preserve">3071188     </v>
      </c>
      <c r="O4370">
        <v>230502</v>
      </c>
    </row>
    <row r="4371" spans="1:15" x14ac:dyDescent="0.25">
      <c r="A4371" t="s">
        <v>16</v>
      </c>
      <c r="B4371" t="s">
        <v>3221</v>
      </c>
      <c r="C4371">
        <v>5805</v>
      </c>
      <c r="D4371" t="s">
        <v>590</v>
      </c>
      <c r="E4371" t="s">
        <v>591</v>
      </c>
      <c r="F4371">
        <v>241.2</v>
      </c>
      <c r="G4371">
        <v>230423</v>
      </c>
      <c r="H4371">
        <v>4600</v>
      </c>
      <c r="I4371" t="s">
        <v>105</v>
      </c>
      <c r="J4371">
        <v>299.08999999999997</v>
      </c>
      <c r="K4371">
        <v>57.89</v>
      </c>
      <c r="L4371">
        <v>65422</v>
      </c>
      <c r="M4371" t="s">
        <v>602</v>
      </c>
      <c r="N4371" t="str">
        <f>"3071187     "</f>
        <v xml:space="preserve">3071187     </v>
      </c>
      <c r="O4371">
        <v>230503</v>
      </c>
    </row>
    <row r="4372" spans="1:15" x14ac:dyDescent="0.25">
      <c r="A4372" t="s">
        <v>16</v>
      </c>
      <c r="B4372" t="s">
        <v>3221</v>
      </c>
      <c r="C4372">
        <v>6391</v>
      </c>
      <c r="D4372" t="s">
        <v>590</v>
      </c>
      <c r="E4372" t="s">
        <v>591</v>
      </c>
      <c r="F4372">
        <v>140.80000000000001</v>
      </c>
      <c r="G4372">
        <v>230430</v>
      </c>
      <c r="H4372">
        <v>4600</v>
      </c>
      <c r="I4372" t="s">
        <v>105</v>
      </c>
      <c r="J4372">
        <v>174.59</v>
      </c>
      <c r="K4372">
        <v>33.79</v>
      </c>
      <c r="L4372">
        <v>66754</v>
      </c>
      <c r="M4372" t="s">
        <v>239</v>
      </c>
      <c r="N4372" t="str">
        <f>"3071705     "</f>
        <v xml:space="preserve">3071705     </v>
      </c>
      <c r="O4372">
        <v>230510</v>
      </c>
    </row>
    <row r="4373" spans="1:15" x14ac:dyDescent="0.25">
      <c r="A4373" t="s">
        <v>16</v>
      </c>
      <c r="B4373" t="s">
        <v>3221</v>
      </c>
      <c r="C4373">
        <v>6467</v>
      </c>
      <c r="D4373" t="s">
        <v>590</v>
      </c>
      <c r="E4373" t="s">
        <v>591</v>
      </c>
      <c r="F4373">
        <v>217</v>
      </c>
      <c r="G4373">
        <v>230507</v>
      </c>
      <c r="H4373">
        <v>4600</v>
      </c>
      <c r="I4373" t="s">
        <v>105</v>
      </c>
      <c r="J4373">
        <v>269.08</v>
      </c>
      <c r="K4373">
        <v>52.08</v>
      </c>
      <c r="L4373">
        <v>66754</v>
      </c>
      <c r="M4373" t="s">
        <v>239</v>
      </c>
      <c r="N4373" t="str">
        <f>"3072270     "</f>
        <v xml:space="preserve">3072270     </v>
      </c>
      <c r="O4373">
        <v>230512</v>
      </c>
    </row>
    <row r="4374" spans="1:15" x14ac:dyDescent="0.25">
      <c r="A4374" t="s">
        <v>16</v>
      </c>
      <c r="B4374" t="s">
        <v>3221</v>
      </c>
      <c r="C4374">
        <v>6595</v>
      </c>
      <c r="D4374" t="s">
        <v>590</v>
      </c>
      <c r="E4374" t="s">
        <v>591</v>
      </c>
      <c r="F4374">
        <v>228.2</v>
      </c>
      <c r="G4374">
        <v>230430</v>
      </c>
      <c r="H4374">
        <v>4600</v>
      </c>
      <c r="I4374" t="s">
        <v>105</v>
      </c>
      <c r="J4374">
        <v>282.97000000000003</v>
      </c>
      <c r="K4374">
        <v>54.77</v>
      </c>
      <c r="L4374">
        <v>66722</v>
      </c>
      <c r="M4374" t="s">
        <v>518</v>
      </c>
      <c r="N4374" t="str">
        <f>"3071704     "</f>
        <v xml:space="preserve">3071704     </v>
      </c>
      <c r="O4374">
        <v>230516</v>
      </c>
    </row>
    <row r="4375" spans="1:15" x14ac:dyDescent="0.25">
      <c r="A4375" t="s">
        <v>16</v>
      </c>
      <c r="B4375" t="s">
        <v>3221</v>
      </c>
      <c r="C4375">
        <v>6820</v>
      </c>
      <c r="D4375" t="s">
        <v>590</v>
      </c>
      <c r="E4375" t="s">
        <v>591</v>
      </c>
      <c r="F4375">
        <v>96.25</v>
      </c>
      <c r="G4375">
        <v>230514</v>
      </c>
      <c r="H4375">
        <v>4600</v>
      </c>
      <c r="I4375" t="s">
        <v>105</v>
      </c>
      <c r="J4375">
        <v>119.35</v>
      </c>
      <c r="K4375">
        <v>23.1</v>
      </c>
      <c r="L4375">
        <v>66754</v>
      </c>
      <c r="M4375" t="s">
        <v>239</v>
      </c>
      <c r="N4375" t="str">
        <f>"3072880     "</f>
        <v xml:space="preserve">3072880     </v>
      </c>
      <c r="O4375">
        <v>230522</v>
      </c>
    </row>
    <row r="4376" spans="1:15" x14ac:dyDescent="0.25">
      <c r="A4376" t="s">
        <v>16</v>
      </c>
      <c r="B4376" t="s">
        <v>3221</v>
      </c>
      <c r="C4376">
        <v>8060</v>
      </c>
      <c r="D4376" t="s">
        <v>590</v>
      </c>
      <c r="E4376" t="s">
        <v>591</v>
      </c>
      <c r="F4376">
        <v>26.95</v>
      </c>
      <c r="G4376">
        <v>230528</v>
      </c>
      <c r="H4376">
        <v>4600</v>
      </c>
      <c r="I4376" t="s">
        <v>105</v>
      </c>
      <c r="J4376">
        <v>33.42</v>
      </c>
      <c r="K4376">
        <v>6.47</v>
      </c>
      <c r="L4376">
        <v>65422</v>
      </c>
      <c r="M4376" t="s">
        <v>602</v>
      </c>
      <c r="N4376" t="str">
        <f>"3073959     "</f>
        <v xml:space="preserve">3073959     </v>
      </c>
      <c r="O4376">
        <v>230607</v>
      </c>
    </row>
    <row r="4377" spans="1:15" x14ac:dyDescent="0.25">
      <c r="A4377" t="s">
        <v>16</v>
      </c>
      <c r="B4377" t="s">
        <v>3221</v>
      </c>
      <c r="C4377">
        <v>8060</v>
      </c>
      <c r="D4377" t="s">
        <v>590</v>
      </c>
      <c r="E4377" t="s">
        <v>591</v>
      </c>
      <c r="F4377">
        <v>242.6</v>
      </c>
      <c r="G4377">
        <v>230528</v>
      </c>
      <c r="H4377">
        <v>4600</v>
      </c>
      <c r="I4377" t="s">
        <v>105</v>
      </c>
      <c r="J4377">
        <v>300.82</v>
      </c>
      <c r="K4377">
        <v>58.22</v>
      </c>
      <c r="L4377">
        <v>66754</v>
      </c>
      <c r="M4377" t="s">
        <v>239</v>
      </c>
      <c r="N4377" t="str">
        <f>"3073959     "</f>
        <v xml:space="preserve">3073959     </v>
      </c>
      <c r="O4377">
        <v>230607</v>
      </c>
    </row>
    <row r="4378" spans="1:15" x14ac:dyDescent="0.25">
      <c r="A4378" t="s">
        <v>16</v>
      </c>
      <c r="B4378" t="s">
        <v>3221</v>
      </c>
      <c r="C4378">
        <v>8407</v>
      </c>
      <c r="D4378" t="s">
        <v>590</v>
      </c>
      <c r="E4378" t="s">
        <v>591</v>
      </c>
      <c r="F4378">
        <v>114</v>
      </c>
      <c r="G4378">
        <v>230531</v>
      </c>
      <c r="H4378">
        <v>4600</v>
      </c>
      <c r="I4378" t="s">
        <v>105</v>
      </c>
      <c r="J4378">
        <v>141.36000000000001</v>
      </c>
      <c r="K4378">
        <v>27.36</v>
      </c>
      <c r="L4378">
        <v>66722</v>
      </c>
      <c r="M4378" t="s">
        <v>518</v>
      </c>
      <c r="N4378" t="str">
        <f>"3074510     "</f>
        <v xml:space="preserve">3074510     </v>
      </c>
      <c r="O4378">
        <v>230608</v>
      </c>
    </row>
    <row r="4379" spans="1:15" x14ac:dyDescent="0.25">
      <c r="A4379" t="s">
        <v>16</v>
      </c>
      <c r="B4379" t="s">
        <v>3221</v>
      </c>
      <c r="C4379">
        <v>8829</v>
      </c>
      <c r="D4379" t="s">
        <v>590</v>
      </c>
      <c r="E4379" t="s">
        <v>591</v>
      </c>
      <c r="F4379">
        <v>116.45</v>
      </c>
      <c r="G4379">
        <v>230611</v>
      </c>
      <c r="H4379">
        <v>4600</v>
      </c>
      <c r="I4379" t="s">
        <v>105</v>
      </c>
      <c r="J4379">
        <v>144.4</v>
      </c>
      <c r="K4379">
        <v>27.95</v>
      </c>
      <c r="L4379">
        <v>66754</v>
      </c>
      <c r="M4379" t="s">
        <v>239</v>
      </c>
      <c r="N4379" t="str">
        <f>"3075258     "</f>
        <v xml:space="preserve">3075258     </v>
      </c>
      <c r="O4379">
        <v>230616</v>
      </c>
    </row>
    <row r="4380" spans="1:15" x14ac:dyDescent="0.25">
      <c r="A4380" t="s">
        <v>16</v>
      </c>
      <c r="B4380" t="s">
        <v>3221</v>
      </c>
      <c r="C4380">
        <v>9028</v>
      </c>
      <c r="D4380" t="s">
        <v>590</v>
      </c>
      <c r="E4380" t="s">
        <v>591</v>
      </c>
      <c r="F4380">
        <v>96.1</v>
      </c>
      <c r="G4380">
        <v>230618</v>
      </c>
      <c r="H4380">
        <v>4600</v>
      </c>
      <c r="I4380" t="s">
        <v>105</v>
      </c>
      <c r="J4380">
        <v>119.16</v>
      </c>
      <c r="K4380">
        <v>23.06</v>
      </c>
      <c r="L4380">
        <v>66754</v>
      </c>
      <c r="M4380" t="s">
        <v>239</v>
      </c>
      <c r="N4380" t="str">
        <f>"3075445     "</f>
        <v xml:space="preserve">3075445     </v>
      </c>
      <c r="O4380">
        <v>230621</v>
      </c>
    </row>
    <row r="4381" spans="1:15" x14ac:dyDescent="0.25">
      <c r="A4381" t="s">
        <v>16</v>
      </c>
      <c r="B4381" t="s">
        <v>3221</v>
      </c>
      <c r="C4381">
        <v>9404</v>
      </c>
      <c r="D4381" t="s">
        <v>590</v>
      </c>
      <c r="E4381" t="s">
        <v>591</v>
      </c>
      <c r="F4381">
        <v>304</v>
      </c>
      <c r="G4381">
        <v>230630</v>
      </c>
      <c r="H4381">
        <v>4600</v>
      </c>
      <c r="I4381" t="s">
        <v>105</v>
      </c>
      <c r="J4381">
        <v>376.96</v>
      </c>
      <c r="K4381">
        <v>72.959999999999994</v>
      </c>
      <c r="L4381">
        <v>66754</v>
      </c>
      <c r="M4381" t="s">
        <v>239</v>
      </c>
      <c r="N4381" t="str">
        <f>"3076563     "</f>
        <v xml:space="preserve">3076563     </v>
      </c>
      <c r="O4381">
        <v>230710</v>
      </c>
    </row>
    <row r="4382" spans="1:15" x14ac:dyDescent="0.25">
      <c r="A4382" t="s">
        <v>16</v>
      </c>
      <c r="B4382" t="s">
        <v>3221</v>
      </c>
      <c r="C4382">
        <v>9627</v>
      </c>
      <c r="D4382" t="s">
        <v>590</v>
      </c>
      <c r="E4382" t="s">
        <v>591</v>
      </c>
      <c r="F4382">
        <v>102</v>
      </c>
      <c r="G4382">
        <v>230709</v>
      </c>
      <c r="H4382">
        <v>4600</v>
      </c>
      <c r="I4382" t="s">
        <v>105</v>
      </c>
      <c r="J4382">
        <v>126.48</v>
      </c>
      <c r="K4382">
        <v>24.48</v>
      </c>
      <c r="L4382">
        <v>66754</v>
      </c>
      <c r="M4382" t="s">
        <v>239</v>
      </c>
      <c r="N4382" t="str">
        <f>"3076887     "</f>
        <v xml:space="preserve">3076887     </v>
      </c>
      <c r="O4382">
        <v>230717</v>
      </c>
    </row>
    <row r="4383" spans="1:15" x14ac:dyDescent="0.25">
      <c r="A4383" t="s">
        <v>16</v>
      </c>
      <c r="B4383" t="s">
        <v>3221</v>
      </c>
      <c r="C4383">
        <v>9805</v>
      </c>
      <c r="D4383" t="s">
        <v>590</v>
      </c>
      <c r="E4383" t="s">
        <v>591</v>
      </c>
      <c r="F4383">
        <v>83.8</v>
      </c>
      <c r="G4383">
        <v>230716</v>
      </c>
      <c r="H4383">
        <v>4600</v>
      </c>
      <c r="I4383" t="s">
        <v>105</v>
      </c>
      <c r="J4383">
        <v>103.91</v>
      </c>
      <c r="K4383">
        <v>20.11</v>
      </c>
      <c r="L4383">
        <v>66754</v>
      </c>
      <c r="M4383" t="s">
        <v>239</v>
      </c>
      <c r="N4383" t="str">
        <f>"3077297     "</f>
        <v xml:space="preserve">3077297     </v>
      </c>
      <c r="O4383">
        <v>230725</v>
      </c>
    </row>
    <row r="4384" spans="1:15" x14ac:dyDescent="0.25">
      <c r="A4384" t="s">
        <v>16</v>
      </c>
      <c r="B4384" t="s">
        <v>3221</v>
      </c>
      <c r="C4384">
        <v>9885</v>
      </c>
      <c r="D4384" t="s">
        <v>590</v>
      </c>
      <c r="E4384" t="s">
        <v>591</v>
      </c>
      <c r="F4384">
        <v>84.45</v>
      </c>
      <c r="G4384">
        <v>230723</v>
      </c>
      <c r="H4384">
        <v>4600</v>
      </c>
      <c r="I4384" t="s">
        <v>105</v>
      </c>
      <c r="J4384">
        <v>104.72</v>
      </c>
      <c r="K4384">
        <v>20.27</v>
      </c>
      <c r="L4384">
        <v>66754</v>
      </c>
      <c r="M4384" t="s">
        <v>239</v>
      </c>
      <c r="N4384" t="str">
        <f>"3077687     "</f>
        <v xml:space="preserve">3077687     </v>
      </c>
      <c r="O4384">
        <v>230731</v>
      </c>
    </row>
    <row r="4385" spans="1:15" x14ac:dyDescent="0.25">
      <c r="A4385" t="s">
        <v>16</v>
      </c>
      <c r="B4385" t="s">
        <v>3221</v>
      </c>
      <c r="C4385">
        <v>10271</v>
      </c>
      <c r="D4385" t="s">
        <v>590</v>
      </c>
      <c r="E4385" t="s">
        <v>591</v>
      </c>
      <c r="F4385">
        <v>180.15</v>
      </c>
      <c r="G4385">
        <v>230731</v>
      </c>
      <c r="H4385">
        <v>4600</v>
      </c>
      <c r="I4385" t="s">
        <v>105</v>
      </c>
      <c r="J4385">
        <v>223.39</v>
      </c>
      <c r="K4385">
        <v>43.24</v>
      </c>
      <c r="L4385">
        <v>66754</v>
      </c>
      <c r="M4385" t="s">
        <v>239</v>
      </c>
      <c r="N4385" t="str">
        <f>"3078288     "</f>
        <v xml:space="preserve">3078288     </v>
      </c>
      <c r="O4385">
        <v>230814</v>
      </c>
    </row>
    <row r="4386" spans="1:15" x14ac:dyDescent="0.25">
      <c r="A4386" t="s">
        <v>16</v>
      </c>
      <c r="B4386" t="s">
        <v>3221</v>
      </c>
      <c r="C4386">
        <v>10272</v>
      </c>
      <c r="D4386" t="s">
        <v>590</v>
      </c>
      <c r="E4386" t="s">
        <v>591</v>
      </c>
      <c r="F4386">
        <v>87.95</v>
      </c>
      <c r="G4386">
        <v>230731</v>
      </c>
      <c r="H4386">
        <v>4600</v>
      </c>
      <c r="I4386" t="s">
        <v>105</v>
      </c>
      <c r="J4386">
        <v>109.06</v>
      </c>
      <c r="K4386">
        <v>21.11</v>
      </c>
      <c r="L4386">
        <v>66754</v>
      </c>
      <c r="M4386" t="s">
        <v>239</v>
      </c>
      <c r="N4386" t="str">
        <f>"3078124     "</f>
        <v xml:space="preserve">3078124     </v>
      </c>
      <c r="O4386">
        <v>230814</v>
      </c>
    </row>
    <row r="4387" spans="1:15" x14ac:dyDescent="0.25">
      <c r="A4387" t="s">
        <v>16</v>
      </c>
      <c r="B4387" t="s">
        <v>3221</v>
      </c>
      <c r="C4387">
        <v>10273</v>
      </c>
      <c r="D4387" t="s">
        <v>590</v>
      </c>
      <c r="E4387" t="s">
        <v>591</v>
      </c>
      <c r="F4387">
        <v>-20.399999999999999</v>
      </c>
      <c r="G4387">
        <v>230731</v>
      </c>
      <c r="H4387">
        <v>4600</v>
      </c>
      <c r="I4387" t="s">
        <v>105</v>
      </c>
      <c r="J4387">
        <v>-25.3</v>
      </c>
      <c r="K4387">
        <v>-4.9000000000000004</v>
      </c>
      <c r="L4387">
        <v>66754</v>
      </c>
      <c r="M4387" t="s">
        <v>239</v>
      </c>
      <c r="N4387" t="str">
        <f>"9303604     "</f>
        <v xml:space="preserve">9303604     </v>
      </c>
      <c r="O4387">
        <v>230814</v>
      </c>
    </row>
    <row r="4388" spans="1:15" x14ac:dyDescent="0.25">
      <c r="A4388" t="s">
        <v>16</v>
      </c>
      <c r="B4388" t="s">
        <v>3221</v>
      </c>
      <c r="C4388">
        <v>10831</v>
      </c>
      <c r="D4388" t="s">
        <v>590</v>
      </c>
      <c r="E4388" t="s">
        <v>591</v>
      </c>
      <c r="F4388">
        <v>88.35</v>
      </c>
      <c r="G4388">
        <v>230813</v>
      </c>
      <c r="H4388">
        <v>4600</v>
      </c>
      <c r="I4388" t="s">
        <v>105</v>
      </c>
      <c r="J4388">
        <v>109.55</v>
      </c>
      <c r="K4388">
        <v>21.2</v>
      </c>
      <c r="L4388">
        <v>66754</v>
      </c>
      <c r="M4388" t="s">
        <v>239</v>
      </c>
      <c r="N4388" t="str">
        <f>"3078692     "</f>
        <v xml:space="preserve">3078692     </v>
      </c>
      <c r="O4388">
        <v>230823</v>
      </c>
    </row>
    <row r="4389" spans="1:15" x14ac:dyDescent="0.25">
      <c r="A4389" t="s">
        <v>16</v>
      </c>
      <c r="B4389" t="s">
        <v>3221</v>
      </c>
      <c r="C4389">
        <v>11009</v>
      </c>
      <c r="D4389" t="s">
        <v>590</v>
      </c>
      <c r="E4389" t="s">
        <v>591</v>
      </c>
      <c r="F4389">
        <v>139.15</v>
      </c>
      <c r="G4389">
        <v>230820</v>
      </c>
      <c r="H4389">
        <v>4600</v>
      </c>
      <c r="I4389" t="s">
        <v>105</v>
      </c>
      <c r="J4389">
        <v>172.55</v>
      </c>
      <c r="K4389">
        <v>33.4</v>
      </c>
      <c r="L4389">
        <v>66754</v>
      </c>
      <c r="M4389" t="s">
        <v>239</v>
      </c>
      <c r="N4389" t="str">
        <f>"3079155     "</f>
        <v xml:space="preserve">3079155     </v>
      </c>
      <c r="O4389">
        <v>230828</v>
      </c>
    </row>
    <row r="4390" spans="1:15" x14ac:dyDescent="0.25">
      <c r="A4390" t="s">
        <v>16</v>
      </c>
      <c r="B4390" t="s">
        <v>3221</v>
      </c>
      <c r="C4390">
        <v>11232</v>
      </c>
      <c r="D4390" t="s">
        <v>590</v>
      </c>
      <c r="E4390" t="s">
        <v>591</v>
      </c>
      <c r="F4390">
        <v>281.95</v>
      </c>
      <c r="G4390">
        <v>230827</v>
      </c>
      <c r="H4390">
        <v>4600</v>
      </c>
      <c r="I4390" t="s">
        <v>105</v>
      </c>
      <c r="J4390">
        <v>349.62</v>
      </c>
      <c r="K4390">
        <v>67.67</v>
      </c>
      <c r="L4390">
        <v>66722</v>
      </c>
      <c r="M4390" t="s">
        <v>518</v>
      </c>
      <c r="N4390" t="str">
        <f>"3079877     "</f>
        <v xml:space="preserve">3079877     </v>
      </c>
      <c r="O4390">
        <v>230901</v>
      </c>
    </row>
    <row r="4391" spans="1:15" x14ac:dyDescent="0.25">
      <c r="A4391" t="s">
        <v>16</v>
      </c>
      <c r="B4391" t="s">
        <v>3221</v>
      </c>
      <c r="C4391">
        <v>12338</v>
      </c>
      <c r="D4391" t="s">
        <v>590</v>
      </c>
      <c r="E4391" t="s">
        <v>591</v>
      </c>
      <c r="F4391">
        <v>236.6</v>
      </c>
      <c r="G4391">
        <v>230910</v>
      </c>
      <c r="H4391">
        <v>4600</v>
      </c>
      <c r="I4391" t="s">
        <v>105</v>
      </c>
      <c r="J4391">
        <v>293.38</v>
      </c>
      <c r="K4391">
        <v>56.78</v>
      </c>
      <c r="L4391">
        <v>66754</v>
      </c>
      <c r="M4391" t="s">
        <v>239</v>
      </c>
      <c r="N4391" t="str">
        <f>"3080843     "</f>
        <v xml:space="preserve">3080843     </v>
      </c>
      <c r="O4391">
        <v>230918</v>
      </c>
    </row>
    <row r="4392" spans="1:15" x14ac:dyDescent="0.25">
      <c r="A4392" t="s">
        <v>16</v>
      </c>
      <c r="B4392" t="s">
        <v>3221</v>
      </c>
      <c r="C4392">
        <v>12449</v>
      </c>
      <c r="D4392" t="s">
        <v>590</v>
      </c>
      <c r="E4392" t="s">
        <v>591</v>
      </c>
      <c r="F4392">
        <v>168.8</v>
      </c>
      <c r="G4392">
        <v>230910</v>
      </c>
      <c r="H4392">
        <v>4600</v>
      </c>
      <c r="I4392" t="s">
        <v>105</v>
      </c>
      <c r="J4392">
        <v>209.31</v>
      </c>
      <c r="K4392">
        <v>40.51</v>
      </c>
      <c r="L4392">
        <v>66722</v>
      </c>
      <c r="M4392" t="s">
        <v>518</v>
      </c>
      <c r="N4392" t="str">
        <f>"3080842     "</f>
        <v xml:space="preserve">3080842     </v>
      </c>
      <c r="O4392">
        <v>230920</v>
      </c>
    </row>
    <row r="4393" spans="1:15" x14ac:dyDescent="0.25">
      <c r="A4393" t="s">
        <v>16</v>
      </c>
      <c r="B4393" t="s">
        <v>3221</v>
      </c>
      <c r="C4393">
        <v>12767</v>
      </c>
      <c r="D4393" t="s">
        <v>590</v>
      </c>
      <c r="E4393" t="s">
        <v>591</v>
      </c>
      <c r="F4393">
        <v>138</v>
      </c>
      <c r="G4393">
        <v>230917</v>
      </c>
      <c r="H4393">
        <v>4600</v>
      </c>
      <c r="I4393" t="s">
        <v>105</v>
      </c>
      <c r="J4393">
        <v>171.12</v>
      </c>
      <c r="K4393">
        <v>33.119999999999997</v>
      </c>
      <c r="L4393">
        <v>66754</v>
      </c>
      <c r="M4393" t="s">
        <v>239</v>
      </c>
      <c r="N4393" t="str">
        <f>"3081453     "</f>
        <v xml:space="preserve">3081453     </v>
      </c>
      <c r="O4393">
        <v>230926</v>
      </c>
    </row>
    <row r="4394" spans="1:15" x14ac:dyDescent="0.25">
      <c r="A4394" t="s">
        <v>16</v>
      </c>
      <c r="B4394" t="s">
        <v>3221</v>
      </c>
      <c r="C4394">
        <v>12988</v>
      </c>
      <c r="D4394" t="s">
        <v>590</v>
      </c>
      <c r="E4394" t="s">
        <v>591</v>
      </c>
      <c r="F4394">
        <v>268.85000000000002</v>
      </c>
      <c r="G4394">
        <v>230924</v>
      </c>
      <c r="H4394">
        <v>4600</v>
      </c>
      <c r="I4394" t="s">
        <v>105</v>
      </c>
      <c r="J4394">
        <v>333.37</v>
      </c>
      <c r="K4394">
        <v>64.52</v>
      </c>
      <c r="L4394">
        <v>66754</v>
      </c>
      <c r="M4394" t="s">
        <v>239</v>
      </c>
      <c r="N4394" t="str">
        <f>"3081795     "</f>
        <v xml:space="preserve">3081795     </v>
      </c>
      <c r="O4394">
        <v>231002</v>
      </c>
    </row>
    <row r="4395" spans="1:15" x14ac:dyDescent="0.25">
      <c r="A4395" t="s">
        <v>16</v>
      </c>
      <c r="B4395" t="s">
        <v>3221</v>
      </c>
      <c r="C4395">
        <v>12998</v>
      </c>
      <c r="D4395" t="s">
        <v>590</v>
      </c>
      <c r="E4395" t="s">
        <v>591</v>
      </c>
      <c r="F4395">
        <v>445.7</v>
      </c>
      <c r="G4395">
        <v>230924</v>
      </c>
      <c r="H4395">
        <v>4600</v>
      </c>
      <c r="I4395" t="s">
        <v>105</v>
      </c>
      <c r="J4395">
        <v>552.66999999999996</v>
      </c>
      <c r="K4395">
        <v>106.97</v>
      </c>
      <c r="L4395">
        <v>66754</v>
      </c>
      <c r="M4395" t="s">
        <v>239</v>
      </c>
      <c r="N4395" t="str">
        <f>"3081794     "</f>
        <v xml:space="preserve">3081794     </v>
      </c>
      <c r="O4395">
        <v>231002</v>
      </c>
    </row>
    <row r="4396" spans="1:15" x14ac:dyDescent="0.25">
      <c r="A4396" t="s">
        <v>16</v>
      </c>
      <c r="B4396" t="s">
        <v>3221</v>
      </c>
      <c r="C4396">
        <v>13345</v>
      </c>
      <c r="D4396" t="s">
        <v>590</v>
      </c>
      <c r="E4396" t="s">
        <v>591</v>
      </c>
      <c r="F4396">
        <v>154.69999999999999</v>
      </c>
      <c r="G4396">
        <v>230930</v>
      </c>
      <c r="H4396">
        <v>4600</v>
      </c>
      <c r="I4396" t="s">
        <v>105</v>
      </c>
      <c r="J4396">
        <v>191.83</v>
      </c>
      <c r="K4396">
        <v>37.130000000000003</v>
      </c>
      <c r="L4396">
        <v>66754</v>
      </c>
      <c r="M4396" t="s">
        <v>239</v>
      </c>
      <c r="N4396" t="str">
        <f>"3082266     "</f>
        <v xml:space="preserve">3082266     </v>
      </c>
      <c r="O4396">
        <v>231009</v>
      </c>
    </row>
    <row r="4397" spans="1:15" x14ac:dyDescent="0.25">
      <c r="A4397" t="s">
        <v>16</v>
      </c>
      <c r="B4397" t="s">
        <v>3221</v>
      </c>
      <c r="C4397">
        <v>14024</v>
      </c>
      <c r="D4397" t="s">
        <v>590</v>
      </c>
      <c r="E4397" t="s">
        <v>591</v>
      </c>
      <c r="F4397">
        <v>142.05000000000001</v>
      </c>
      <c r="G4397">
        <v>231008</v>
      </c>
      <c r="H4397">
        <v>4600</v>
      </c>
      <c r="I4397" t="s">
        <v>105</v>
      </c>
      <c r="J4397">
        <v>176.14</v>
      </c>
      <c r="K4397">
        <v>34.090000000000003</v>
      </c>
      <c r="L4397">
        <v>66754</v>
      </c>
      <c r="M4397" t="s">
        <v>239</v>
      </c>
      <c r="N4397" t="str">
        <f>"3082771     "</f>
        <v xml:space="preserve">3082771     </v>
      </c>
      <c r="O4397">
        <v>231017</v>
      </c>
    </row>
    <row r="4398" spans="1:15" x14ac:dyDescent="0.25">
      <c r="A4398" t="s">
        <v>16</v>
      </c>
      <c r="B4398" t="s">
        <v>3221</v>
      </c>
      <c r="C4398">
        <v>14237</v>
      </c>
      <c r="D4398" t="s">
        <v>590</v>
      </c>
      <c r="E4398" t="s">
        <v>591</v>
      </c>
      <c r="F4398">
        <v>76.349999999999994</v>
      </c>
      <c r="G4398">
        <v>230930</v>
      </c>
      <c r="H4398">
        <v>4600</v>
      </c>
      <c r="I4398" t="s">
        <v>105</v>
      </c>
      <c r="J4398">
        <v>94.67</v>
      </c>
      <c r="K4398">
        <v>18.32</v>
      </c>
      <c r="L4398">
        <v>14972</v>
      </c>
      <c r="M4398" t="s">
        <v>898</v>
      </c>
      <c r="N4398" t="str">
        <f>"3082296     "</f>
        <v xml:space="preserve">3082296     </v>
      </c>
      <c r="O4398">
        <v>231025</v>
      </c>
    </row>
    <row r="4399" spans="1:15" x14ac:dyDescent="0.25">
      <c r="A4399" t="s">
        <v>16</v>
      </c>
      <c r="B4399" t="s">
        <v>3221</v>
      </c>
      <c r="C4399">
        <v>14291</v>
      </c>
      <c r="D4399" t="s">
        <v>590</v>
      </c>
      <c r="E4399" t="s">
        <v>591</v>
      </c>
      <c r="F4399">
        <v>438.24</v>
      </c>
      <c r="G4399">
        <v>231015</v>
      </c>
      <c r="H4399">
        <v>4600</v>
      </c>
      <c r="I4399" t="s">
        <v>105</v>
      </c>
      <c r="J4399">
        <v>543.41999999999996</v>
      </c>
      <c r="K4399">
        <v>105.18</v>
      </c>
      <c r="L4399">
        <v>66754</v>
      </c>
      <c r="M4399" t="s">
        <v>239</v>
      </c>
      <c r="N4399" t="str">
        <f>"3083266     "</f>
        <v xml:space="preserve">3083266     </v>
      </c>
      <c r="O4399">
        <v>231025</v>
      </c>
    </row>
    <row r="4400" spans="1:15" x14ac:dyDescent="0.25">
      <c r="A4400" t="s">
        <v>16</v>
      </c>
      <c r="B4400" t="s">
        <v>3221</v>
      </c>
      <c r="C4400">
        <v>14292</v>
      </c>
      <c r="D4400" t="s">
        <v>590</v>
      </c>
      <c r="E4400" t="s">
        <v>591</v>
      </c>
      <c r="F4400">
        <v>498.5</v>
      </c>
      <c r="G4400">
        <v>231015</v>
      </c>
      <c r="H4400">
        <v>4600</v>
      </c>
      <c r="I4400" t="s">
        <v>105</v>
      </c>
      <c r="J4400">
        <v>618.14</v>
      </c>
      <c r="K4400">
        <v>119.64</v>
      </c>
      <c r="L4400">
        <v>66722</v>
      </c>
      <c r="M4400" t="s">
        <v>518</v>
      </c>
      <c r="N4400" t="str">
        <f>"3083267     "</f>
        <v xml:space="preserve">3083267     </v>
      </c>
      <c r="O4400">
        <v>231025</v>
      </c>
    </row>
    <row r="4401" spans="1:15" x14ac:dyDescent="0.25">
      <c r="A4401" t="s">
        <v>16</v>
      </c>
      <c r="B4401" t="s">
        <v>3221</v>
      </c>
      <c r="C4401">
        <v>14494</v>
      </c>
      <c r="D4401" t="s">
        <v>590</v>
      </c>
      <c r="E4401" t="s">
        <v>591</v>
      </c>
      <c r="F4401">
        <v>179.6</v>
      </c>
      <c r="G4401">
        <v>231022</v>
      </c>
      <c r="H4401">
        <v>4600</v>
      </c>
      <c r="I4401" t="s">
        <v>105</v>
      </c>
      <c r="J4401">
        <v>222.7</v>
      </c>
      <c r="K4401">
        <v>43.1</v>
      </c>
      <c r="L4401">
        <v>65422</v>
      </c>
      <c r="M4401" t="s">
        <v>602</v>
      </c>
      <c r="N4401" t="str">
        <f>"3083732     "</f>
        <v xml:space="preserve">3083732     </v>
      </c>
      <c r="O4401">
        <v>231030</v>
      </c>
    </row>
    <row r="4402" spans="1:15" x14ac:dyDescent="0.25">
      <c r="A4402" t="s">
        <v>16</v>
      </c>
      <c r="B4402" t="s">
        <v>3221</v>
      </c>
      <c r="C4402">
        <v>14508</v>
      </c>
      <c r="D4402" t="s">
        <v>590</v>
      </c>
      <c r="E4402" t="s">
        <v>591</v>
      </c>
      <c r="F4402">
        <v>87.64</v>
      </c>
      <c r="G4402">
        <v>231022</v>
      </c>
      <c r="H4402">
        <v>4600</v>
      </c>
      <c r="I4402" t="s">
        <v>105</v>
      </c>
      <c r="J4402">
        <v>108.67</v>
      </c>
      <c r="K4402">
        <v>21.03</v>
      </c>
      <c r="L4402">
        <v>66754</v>
      </c>
      <c r="M4402" t="s">
        <v>239</v>
      </c>
      <c r="N4402" t="str">
        <f>"3083733     "</f>
        <v xml:space="preserve">3083733     </v>
      </c>
      <c r="O4402">
        <v>231030</v>
      </c>
    </row>
    <row r="4403" spans="1:15" x14ac:dyDescent="0.25">
      <c r="A4403" t="s">
        <v>16</v>
      </c>
      <c r="B4403" t="s">
        <v>3221</v>
      </c>
      <c r="C4403">
        <v>15099</v>
      </c>
      <c r="D4403" t="s">
        <v>590</v>
      </c>
      <c r="E4403" t="s">
        <v>591</v>
      </c>
      <c r="F4403">
        <v>400.11</v>
      </c>
      <c r="G4403">
        <v>231031</v>
      </c>
      <c r="H4403">
        <v>4600</v>
      </c>
      <c r="I4403" t="s">
        <v>105</v>
      </c>
      <c r="J4403">
        <v>496.14</v>
      </c>
      <c r="K4403">
        <v>96.03</v>
      </c>
      <c r="L4403">
        <v>66754</v>
      </c>
      <c r="M4403" t="s">
        <v>239</v>
      </c>
      <c r="N4403" t="str">
        <f>"3084510     "</f>
        <v xml:space="preserve">3084510     </v>
      </c>
      <c r="O4403">
        <v>231108</v>
      </c>
    </row>
    <row r="4404" spans="1:15" x14ac:dyDescent="0.25">
      <c r="A4404" t="s">
        <v>16</v>
      </c>
      <c r="B4404" t="s">
        <v>3221</v>
      </c>
      <c r="C4404">
        <v>15138</v>
      </c>
      <c r="D4404" t="s">
        <v>590</v>
      </c>
      <c r="E4404" t="s">
        <v>591</v>
      </c>
      <c r="F4404">
        <v>77</v>
      </c>
      <c r="G4404">
        <v>231029</v>
      </c>
      <c r="H4404">
        <v>4600</v>
      </c>
      <c r="I4404" t="s">
        <v>105</v>
      </c>
      <c r="J4404">
        <v>95.48</v>
      </c>
      <c r="K4404">
        <v>18.48</v>
      </c>
      <c r="L4404">
        <v>66754</v>
      </c>
      <c r="M4404" t="s">
        <v>239</v>
      </c>
      <c r="N4404" t="str">
        <f>"3084164     "</f>
        <v xml:space="preserve">3084164     </v>
      </c>
      <c r="O4404">
        <v>231109</v>
      </c>
    </row>
    <row r="4405" spans="1:15" x14ac:dyDescent="0.25">
      <c r="A4405" t="s">
        <v>16</v>
      </c>
      <c r="B4405" t="s">
        <v>3221</v>
      </c>
      <c r="C4405">
        <v>15963</v>
      </c>
      <c r="D4405" t="s">
        <v>590</v>
      </c>
      <c r="E4405" t="s">
        <v>591</v>
      </c>
      <c r="F4405">
        <v>599.79999999999995</v>
      </c>
      <c r="G4405">
        <v>231112</v>
      </c>
      <c r="H4405">
        <v>4600</v>
      </c>
      <c r="I4405" t="s">
        <v>105</v>
      </c>
      <c r="J4405">
        <v>743.75</v>
      </c>
      <c r="K4405">
        <v>143.94999999999999</v>
      </c>
      <c r="L4405">
        <v>65422</v>
      </c>
      <c r="M4405" t="s">
        <v>602</v>
      </c>
      <c r="N4405" t="str">
        <f>"3085106     "</f>
        <v xml:space="preserve">3085106     </v>
      </c>
      <c r="O4405">
        <v>231122</v>
      </c>
    </row>
    <row r="4406" spans="1:15" x14ac:dyDescent="0.25">
      <c r="A4406" t="s">
        <v>16</v>
      </c>
      <c r="B4406" t="s">
        <v>3221</v>
      </c>
      <c r="C4406">
        <v>15975</v>
      </c>
      <c r="D4406" t="s">
        <v>590</v>
      </c>
      <c r="E4406" t="s">
        <v>591</v>
      </c>
      <c r="F4406">
        <v>165.95</v>
      </c>
      <c r="G4406">
        <v>231112</v>
      </c>
      <c r="H4406">
        <v>4600</v>
      </c>
      <c r="I4406" t="s">
        <v>105</v>
      </c>
      <c r="J4406">
        <v>205.78</v>
      </c>
      <c r="K4406">
        <v>39.83</v>
      </c>
      <c r="L4406">
        <v>66754</v>
      </c>
      <c r="M4406" t="s">
        <v>239</v>
      </c>
      <c r="N4406" t="str">
        <f>"3085107     "</f>
        <v xml:space="preserve">3085107     </v>
      </c>
      <c r="O4406">
        <v>231122</v>
      </c>
    </row>
    <row r="4407" spans="1:15" x14ac:dyDescent="0.25">
      <c r="A4407" t="s">
        <v>16</v>
      </c>
      <c r="B4407" t="s">
        <v>3221</v>
      </c>
      <c r="C4407">
        <v>16208</v>
      </c>
      <c r="D4407" t="s">
        <v>590</v>
      </c>
      <c r="E4407" t="s">
        <v>591</v>
      </c>
      <c r="F4407">
        <v>69.150000000000006</v>
      </c>
      <c r="G4407">
        <v>231119</v>
      </c>
      <c r="H4407">
        <v>4600</v>
      </c>
      <c r="I4407" t="s">
        <v>105</v>
      </c>
      <c r="J4407">
        <v>85.75</v>
      </c>
      <c r="K4407">
        <v>16.600000000000001</v>
      </c>
      <c r="L4407">
        <v>66754</v>
      </c>
      <c r="M4407" t="s">
        <v>239</v>
      </c>
      <c r="N4407" t="str">
        <f>"3085530     "</f>
        <v xml:space="preserve">3085530     </v>
      </c>
      <c r="O4407">
        <v>231127</v>
      </c>
    </row>
    <row r="4408" spans="1:15" x14ac:dyDescent="0.25">
      <c r="A4408" t="s">
        <v>16</v>
      </c>
      <c r="B4408" t="s">
        <v>3221</v>
      </c>
      <c r="C4408">
        <v>16230</v>
      </c>
      <c r="D4408" t="s">
        <v>590</v>
      </c>
      <c r="E4408" t="s">
        <v>591</v>
      </c>
      <c r="F4408">
        <v>404.45</v>
      </c>
      <c r="G4408">
        <v>231119</v>
      </c>
      <c r="H4408">
        <v>4600</v>
      </c>
      <c r="I4408" t="s">
        <v>105</v>
      </c>
      <c r="J4408">
        <v>501.52</v>
      </c>
      <c r="K4408">
        <v>97.07</v>
      </c>
      <c r="L4408">
        <v>65422</v>
      </c>
      <c r="M4408" t="s">
        <v>602</v>
      </c>
      <c r="N4408" t="str">
        <f>"3085529     "</f>
        <v xml:space="preserve">3085529     </v>
      </c>
      <c r="O4408">
        <v>231127</v>
      </c>
    </row>
    <row r="4409" spans="1:15" x14ac:dyDescent="0.25">
      <c r="A4409" t="s">
        <v>16</v>
      </c>
      <c r="B4409" t="s">
        <v>3221</v>
      </c>
      <c r="C4409">
        <v>16383</v>
      </c>
      <c r="D4409" t="s">
        <v>590</v>
      </c>
      <c r="E4409" t="s">
        <v>591</v>
      </c>
      <c r="F4409">
        <v>127.8</v>
      </c>
      <c r="G4409">
        <v>231121</v>
      </c>
      <c r="H4409">
        <v>4600</v>
      </c>
      <c r="I4409" t="s">
        <v>105</v>
      </c>
      <c r="J4409">
        <v>158.47</v>
      </c>
      <c r="K4409">
        <v>30.67</v>
      </c>
      <c r="L4409">
        <v>66754</v>
      </c>
      <c r="M4409" t="s">
        <v>239</v>
      </c>
      <c r="N4409" t="str">
        <f>"3085886     "</f>
        <v xml:space="preserve">3085886     </v>
      </c>
      <c r="O4409">
        <v>231128</v>
      </c>
    </row>
    <row r="4410" spans="1:15" x14ac:dyDescent="0.25">
      <c r="A4410" t="s">
        <v>16</v>
      </c>
      <c r="B4410" t="s">
        <v>3221</v>
      </c>
      <c r="C4410">
        <v>17141</v>
      </c>
      <c r="D4410" t="s">
        <v>590</v>
      </c>
      <c r="E4410" t="s">
        <v>591</v>
      </c>
      <c r="F4410">
        <v>405.95</v>
      </c>
      <c r="G4410">
        <v>231128</v>
      </c>
      <c r="H4410">
        <v>4600</v>
      </c>
      <c r="I4410" t="s">
        <v>105</v>
      </c>
      <c r="J4410">
        <v>503.38</v>
      </c>
      <c r="K4410">
        <v>97.43</v>
      </c>
      <c r="L4410">
        <v>66722</v>
      </c>
      <c r="M4410" t="s">
        <v>518</v>
      </c>
      <c r="N4410" t="str">
        <f>"3086486     "</f>
        <v xml:space="preserve">3086486     </v>
      </c>
      <c r="O4410">
        <v>231212</v>
      </c>
    </row>
    <row r="4411" spans="1:15" x14ac:dyDescent="0.25">
      <c r="A4411" t="s">
        <v>16</v>
      </c>
      <c r="B4411" t="s">
        <v>3221</v>
      </c>
      <c r="C4411">
        <v>17142</v>
      </c>
      <c r="D4411" t="s">
        <v>590</v>
      </c>
      <c r="E4411" t="s">
        <v>591</v>
      </c>
      <c r="F4411">
        <v>394.25</v>
      </c>
      <c r="G4411">
        <v>231128</v>
      </c>
      <c r="H4411">
        <v>4600</v>
      </c>
      <c r="I4411" t="s">
        <v>105</v>
      </c>
      <c r="J4411">
        <v>488.87</v>
      </c>
      <c r="K4411">
        <v>94.62</v>
      </c>
      <c r="L4411">
        <v>66754</v>
      </c>
      <c r="M4411" t="s">
        <v>239</v>
      </c>
      <c r="N4411" t="str">
        <f>"3086438     "</f>
        <v xml:space="preserve">3086438     </v>
      </c>
      <c r="O4411">
        <v>231212</v>
      </c>
    </row>
    <row r="4412" spans="1:15" x14ac:dyDescent="0.25">
      <c r="A4412" t="s">
        <v>16</v>
      </c>
      <c r="B4412" t="s">
        <v>3221</v>
      </c>
      <c r="C4412">
        <v>17490</v>
      </c>
      <c r="D4412" t="s">
        <v>590</v>
      </c>
      <c r="E4412" t="s">
        <v>591</v>
      </c>
      <c r="F4412">
        <v>163.5</v>
      </c>
      <c r="G4412">
        <v>231206</v>
      </c>
      <c r="H4412">
        <v>4600</v>
      </c>
      <c r="I4412" t="s">
        <v>105</v>
      </c>
      <c r="J4412">
        <v>202.74</v>
      </c>
      <c r="K4412">
        <v>39.24</v>
      </c>
      <c r="L4412">
        <v>66754</v>
      </c>
      <c r="M4412" t="s">
        <v>239</v>
      </c>
      <c r="N4412" t="str">
        <f>"3087211     "</f>
        <v xml:space="preserve">3087211     </v>
      </c>
      <c r="O4412">
        <v>231214</v>
      </c>
    </row>
    <row r="4413" spans="1:15" x14ac:dyDescent="0.25">
      <c r="A4413" t="s">
        <v>16</v>
      </c>
      <c r="B4413" t="s">
        <v>3221</v>
      </c>
      <c r="C4413">
        <v>17521</v>
      </c>
      <c r="D4413" t="s">
        <v>590</v>
      </c>
      <c r="E4413" t="s">
        <v>591</v>
      </c>
      <c r="F4413">
        <v>243.9</v>
      </c>
      <c r="G4413">
        <v>231206</v>
      </c>
      <c r="H4413">
        <v>4600</v>
      </c>
      <c r="I4413" t="s">
        <v>105</v>
      </c>
      <c r="J4413">
        <v>302.44</v>
      </c>
      <c r="K4413">
        <v>58.54</v>
      </c>
      <c r="L4413">
        <v>66722</v>
      </c>
      <c r="M4413" t="s">
        <v>518</v>
      </c>
      <c r="N4413" t="str">
        <f>"3087212     "</f>
        <v xml:space="preserve">3087212     </v>
      </c>
      <c r="O4413">
        <v>231215</v>
      </c>
    </row>
    <row r="4414" spans="1:15" x14ac:dyDescent="0.25">
      <c r="A4414" t="s">
        <v>16</v>
      </c>
      <c r="B4414" t="s">
        <v>3221</v>
      </c>
      <c r="C4414">
        <v>17541</v>
      </c>
      <c r="D4414" t="s">
        <v>590</v>
      </c>
      <c r="E4414" t="s">
        <v>591</v>
      </c>
      <c r="F4414">
        <v>833.5</v>
      </c>
      <c r="G4414">
        <v>231212</v>
      </c>
      <c r="H4414">
        <v>4600</v>
      </c>
      <c r="I4414" t="s">
        <v>105</v>
      </c>
      <c r="J4414">
        <v>1033.54</v>
      </c>
      <c r="K4414">
        <v>200.04</v>
      </c>
      <c r="L4414">
        <v>66754</v>
      </c>
      <c r="M4414" t="s">
        <v>239</v>
      </c>
      <c r="N4414" t="str">
        <f>"3087864     "</f>
        <v xml:space="preserve">3087864     </v>
      </c>
      <c r="O4414">
        <v>231215</v>
      </c>
    </row>
    <row r="4415" spans="1:15" x14ac:dyDescent="0.25">
      <c r="A4415" t="s">
        <v>16</v>
      </c>
      <c r="B4415" t="s">
        <v>3221</v>
      </c>
      <c r="C4415">
        <v>17546</v>
      </c>
      <c r="D4415" t="s">
        <v>590</v>
      </c>
      <c r="E4415" t="s">
        <v>591</v>
      </c>
      <c r="F4415">
        <v>250.95</v>
      </c>
      <c r="G4415">
        <v>231212</v>
      </c>
      <c r="H4415">
        <v>4600</v>
      </c>
      <c r="I4415" t="s">
        <v>105</v>
      </c>
      <c r="J4415">
        <v>311.18</v>
      </c>
      <c r="K4415">
        <v>60.23</v>
      </c>
      <c r="L4415">
        <v>66722</v>
      </c>
      <c r="M4415" t="s">
        <v>518</v>
      </c>
      <c r="N4415" t="str">
        <f>"3087863     "</f>
        <v xml:space="preserve">3087863     </v>
      </c>
      <c r="O4415">
        <v>231215</v>
      </c>
    </row>
    <row r="4416" spans="1:15" x14ac:dyDescent="0.25">
      <c r="A4416" t="s">
        <v>16</v>
      </c>
      <c r="B4416" t="s">
        <v>3221</v>
      </c>
      <c r="C4416">
        <v>18156</v>
      </c>
      <c r="D4416" t="s">
        <v>590</v>
      </c>
      <c r="E4416" t="s">
        <v>591</v>
      </c>
      <c r="F4416">
        <v>250.8</v>
      </c>
      <c r="G4416">
        <v>231217</v>
      </c>
      <c r="H4416">
        <v>4600</v>
      </c>
      <c r="I4416" t="s">
        <v>105</v>
      </c>
      <c r="J4416">
        <v>310.99</v>
      </c>
      <c r="K4416">
        <v>60.19</v>
      </c>
      <c r="L4416">
        <v>66722</v>
      </c>
      <c r="M4416" t="s">
        <v>518</v>
      </c>
      <c r="N4416" t="str">
        <f>"3088217     "</f>
        <v xml:space="preserve">3088217     </v>
      </c>
      <c r="O4416">
        <v>240102</v>
      </c>
    </row>
    <row r="4417" spans="1:15" x14ac:dyDescent="0.25">
      <c r="A4417" t="s">
        <v>16</v>
      </c>
      <c r="B4417" t="s">
        <v>3221</v>
      </c>
      <c r="C4417">
        <v>18158</v>
      </c>
      <c r="D4417" t="s">
        <v>590</v>
      </c>
      <c r="E4417" t="s">
        <v>591</v>
      </c>
      <c r="F4417">
        <v>35.6</v>
      </c>
      <c r="G4417">
        <v>231217</v>
      </c>
      <c r="H4417">
        <v>4600</v>
      </c>
      <c r="I4417" t="s">
        <v>105</v>
      </c>
      <c r="J4417">
        <v>44.14</v>
      </c>
      <c r="K4417">
        <v>8.5399999999999991</v>
      </c>
      <c r="L4417">
        <v>66754</v>
      </c>
      <c r="M4417" t="s">
        <v>239</v>
      </c>
      <c r="N4417" t="str">
        <f>"3088216     "</f>
        <v xml:space="preserve">3088216     </v>
      </c>
      <c r="O4417">
        <v>240102</v>
      </c>
    </row>
    <row r="4418" spans="1:15" x14ac:dyDescent="0.25">
      <c r="A4418" t="s">
        <v>16</v>
      </c>
      <c r="B4418" t="s">
        <v>3221</v>
      </c>
      <c r="C4418">
        <v>18218</v>
      </c>
      <c r="D4418" t="s">
        <v>590</v>
      </c>
      <c r="E4418" t="s">
        <v>591</v>
      </c>
      <c r="F4418">
        <v>119.4</v>
      </c>
      <c r="G4418">
        <v>231219</v>
      </c>
      <c r="H4418">
        <v>4600</v>
      </c>
      <c r="I4418" t="s">
        <v>105</v>
      </c>
      <c r="J4418">
        <v>148.06</v>
      </c>
      <c r="K4418">
        <v>28.66</v>
      </c>
      <c r="L4418">
        <v>66722</v>
      </c>
      <c r="M4418" t="s">
        <v>518</v>
      </c>
      <c r="N4418" t="str">
        <f>"3088565     "</f>
        <v xml:space="preserve">3088565     </v>
      </c>
      <c r="O4418">
        <v>240102</v>
      </c>
    </row>
    <row r="4419" spans="1:15" x14ac:dyDescent="0.25">
      <c r="A4419" t="s">
        <v>16</v>
      </c>
      <c r="B4419" t="s">
        <v>3221</v>
      </c>
      <c r="C4419">
        <v>18245</v>
      </c>
      <c r="D4419" t="s">
        <v>590</v>
      </c>
      <c r="E4419" t="s">
        <v>591</v>
      </c>
      <c r="F4419">
        <v>96.7</v>
      </c>
      <c r="G4419">
        <v>231219</v>
      </c>
      <c r="H4419">
        <v>4600</v>
      </c>
      <c r="I4419" t="s">
        <v>105</v>
      </c>
      <c r="J4419">
        <v>119.91</v>
      </c>
      <c r="K4419">
        <v>23.21</v>
      </c>
      <c r="L4419">
        <v>66754</v>
      </c>
      <c r="M4419" t="s">
        <v>239</v>
      </c>
      <c r="N4419" t="str">
        <f>"3088566     "</f>
        <v xml:space="preserve">3088566     </v>
      </c>
      <c r="O4419">
        <v>240102</v>
      </c>
    </row>
    <row r="4420" spans="1:15" x14ac:dyDescent="0.25">
      <c r="A4420" t="s">
        <v>16</v>
      </c>
      <c r="B4420" t="s">
        <v>3221</v>
      </c>
      <c r="C4420">
        <v>13172</v>
      </c>
      <c r="D4420" t="s">
        <v>590</v>
      </c>
      <c r="E4420" t="s">
        <v>591</v>
      </c>
      <c r="F4420">
        <v>323.89999999999998</v>
      </c>
      <c r="G4420">
        <v>230917</v>
      </c>
      <c r="H4420">
        <v>4460</v>
      </c>
      <c r="I4420" t="s">
        <v>524</v>
      </c>
      <c r="J4420">
        <v>401.64</v>
      </c>
      <c r="K4420">
        <v>77.739999999999995</v>
      </c>
      <c r="L4420">
        <v>65422</v>
      </c>
      <c r="M4420" t="s">
        <v>602</v>
      </c>
      <c r="N4420" t="str">
        <f>"3081310     "</f>
        <v xml:space="preserve">3081310     </v>
      </c>
      <c r="O4420">
        <v>231005</v>
      </c>
    </row>
    <row r="4421" spans="1:15" x14ac:dyDescent="0.25">
      <c r="A4421" t="s">
        <v>16</v>
      </c>
      <c r="B4421" t="s">
        <v>3221</v>
      </c>
      <c r="C4421">
        <v>3713</v>
      </c>
      <c r="D4421" t="s">
        <v>590</v>
      </c>
      <c r="E4421" t="s">
        <v>591</v>
      </c>
      <c r="F4421">
        <v>184.3</v>
      </c>
      <c r="G4421">
        <v>230312</v>
      </c>
      <c r="H4421">
        <v>4440</v>
      </c>
      <c r="I4421" t="s">
        <v>250</v>
      </c>
      <c r="J4421">
        <v>228.53</v>
      </c>
      <c r="K4421">
        <v>44.23</v>
      </c>
      <c r="L4421">
        <v>65422</v>
      </c>
      <c r="M4421" t="s">
        <v>602</v>
      </c>
      <c r="N4421" t="str">
        <f>"3068245     "</f>
        <v xml:space="preserve">3068245     </v>
      </c>
      <c r="O4421">
        <v>230321</v>
      </c>
    </row>
    <row r="4422" spans="1:15" x14ac:dyDescent="0.25">
      <c r="A4422" t="s">
        <v>16</v>
      </c>
      <c r="B4422" t="s">
        <v>3221</v>
      </c>
      <c r="C4422">
        <v>48</v>
      </c>
      <c r="D4422" t="s">
        <v>3192</v>
      </c>
      <c r="E4422" t="s">
        <v>3193</v>
      </c>
      <c r="F4422">
        <v>11941.6</v>
      </c>
      <c r="G4422">
        <v>230101</v>
      </c>
      <c r="H4422">
        <v>4820</v>
      </c>
      <c r="I4422" t="s">
        <v>50</v>
      </c>
      <c r="J4422">
        <v>14807.58</v>
      </c>
      <c r="K4422">
        <v>2865.98</v>
      </c>
      <c r="L4422">
        <v>69502</v>
      </c>
      <c r="M4422" t="s">
        <v>978</v>
      </c>
      <c r="N4422" t="str">
        <f>"48012350    "</f>
        <v xml:space="preserve">48012350    </v>
      </c>
      <c r="O4422">
        <v>230104</v>
      </c>
    </row>
    <row r="4423" spans="1:15" x14ac:dyDescent="0.25">
      <c r="A4423" t="s">
        <v>16</v>
      </c>
      <c r="B4423" t="s">
        <v>3221</v>
      </c>
      <c r="C4423">
        <v>49</v>
      </c>
      <c r="D4423" t="s">
        <v>3192</v>
      </c>
      <c r="E4423" t="s">
        <v>3193</v>
      </c>
      <c r="F4423">
        <v>475.75</v>
      </c>
      <c r="G4423">
        <v>230101</v>
      </c>
      <c r="H4423">
        <v>4820</v>
      </c>
      <c r="I4423" t="s">
        <v>50</v>
      </c>
      <c r="J4423">
        <v>589.92999999999995</v>
      </c>
      <c r="K4423">
        <v>114.18</v>
      </c>
      <c r="L4423">
        <v>69502</v>
      </c>
      <c r="M4423" t="s">
        <v>978</v>
      </c>
      <c r="N4423" t="str">
        <f>"48012386    "</f>
        <v xml:space="preserve">48012386    </v>
      </c>
      <c r="O4423">
        <v>230104</v>
      </c>
    </row>
    <row r="4424" spans="1:15" x14ac:dyDescent="0.25">
      <c r="A4424" t="s">
        <v>16</v>
      </c>
      <c r="B4424" t="s">
        <v>3221</v>
      </c>
      <c r="C4424">
        <v>477</v>
      </c>
      <c r="D4424" t="s">
        <v>3192</v>
      </c>
      <c r="E4424" t="s">
        <v>3193</v>
      </c>
      <c r="F4424">
        <v>475.75</v>
      </c>
      <c r="G4424">
        <v>230201</v>
      </c>
      <c r="H4424">
        <v>4820</v>
      </c>
      <c r="I4424" t="s">
        <v>50</v>
      </c>
      <c r="J4424">
        <v>589.92999999999995</v>
      </c>
      <c r="K4424">
        <v>114.18</v>
      </c>
      <c r="L4424">
        <v>69502</v>
      </c>
      <c r="M4424" t="s">
        <v>978</v>
      </c>
      <c r="N4424" t="str">
        <f>"48012418    "</f>
        <v xml:space="preserve">48012418    </v>
      </c>
      <c r="O4424">
        <v>230123</v>
      </c>
    </row>
    <row r="4425" spans="1:15" x14ac:dyDescent="0.25">
      <c r="A4425" t="s">
        <v>16</v>
      </c>
      <c r="B4425" t="s">
        <v>3221</v>
      </c>
      <c r="C4425">
        <v>478</v>
      </c>
      <c r="D4425" t="s">
        <v>3192</v>
      </c>
      <c r="E4425" t="s">
        <v>3193</v>
      </c>
      <c r="F4425">
        <v>11941.6</v>
      </c>
      <c r="G4425">
        <v>230201</v>
      </c>
      <c r="H4425">
        <v>4820</v>
      </c>
      <c r="I4425" t="s">
        <v>50</v>
      </c>
      <c r="J4425">
        <v>14807.58</v>
      </c>
      <c r="K4425">
        <v>2865.98</v>
      </c>
      <c r="L4425">
        <v>69502</v>
      </c>
      <c r="M4425" t="s">
        <v>978</v>
      </c>
      <c r="N4425" t="str">
        <f>"48012417    "</f>
        <v xml:space="preserve">48012417    </v>
      </c>
      <c r="O4425">
        <v>230123</v>
      </c>
    </row>
    <row r="4426" spans="1:15" x14ac:dyDescent="0.25">
      <c r="A4426" t="s">
        <v>16</v>
      </c>
      <c r="B4426" t="s">
        <v>3221</v>
      </c>
      <c r="C4426">
        <v>2237</v>
      </c>
      <c r="D4426" t="s">
        <v>3192</v>
      </c>
      <c r="E4426" t="s">
        <v>3193</v>
      </c>
      <c r="F4426">
        <v>475.75</v>
      </c>
      <c r="G4426">
        <v>230301</v>
      </c>
      <c r="H4426">
        <v>4820</v>
      </c>
      <c r="I4426" t="s">
        <v>50</v>
      </c>
      <c r="J4426">
        <v>589.92999999999995</v>
      </c>
      <c r="K4426">
        <v>114.18</v>
      </c>
      <c r="L4426">
        <v>69502</v>
      </c>
      <c r="M4426" t="s">
        <v>978</v>
      </c>
      <c r="N4426" t="str">
        <f>"48012481    "</f>
        <v xml:space="preserve">48012481    </v>
      </c>
      <c r="O4426">
        <v>230222</v>
      </c>
    </row>
    <row r="4427" spans="1:15" x14ac:dyDescent="0.25">
      <c r="A4427" t="s">
        <v>16</v>
      </c>
      <c r="B4427" t="s">
        <v>3221</v>
      </c>
      <c r="C4427">
        <v>2399</v>
      </c>
      <c r="D4427" t="s">
        <v>3192</v>
      </c>
      <c r="E4427" t="s">
        <v>3193</v>
      </c>
      <c r="F4427">
        <v>10514.35</v>
      </c>
      <c r="G4427">
        <v>230301</v>
      </c>
      <c r="H4427">
        <v>4820</v>
      </c>
      <c r="I4427" t="s">
        <v>50</v>
      </c>
      <c r="J4427">
        <v>13037.79</v>
      </c>
      <c r="K4427">
        <v>2523.44</v>
      </c>
      <c r="L4427">
        <v>69502</v>
      </c>
      <c r="M4427" t="s">
        <v>978</v>
      </c>
      <c r="N4427" t="str">
        <f>"48012544    "</f>
        <v xml:space="preserve">48012544    </v>
      </c>
      <c r="O4427">
        <v>230227</v>
      </c>
    </row>
    <row r="4428" spans="1:15" x14ac:dyDescent="0.25">
      <c r="A4428" t="s">
        <v>16</v>
      </c>
      <c r="B4428" t="s">
        <v>3221</v>
      </c>
      <c r="C4428">
        <v>3764</v>
      </c>
      <c r="D4428" t="s">
        <v>3192</v>
      </c>
      <c r="E4428" t="s">
        <v>3193</v>
      </c>
      <c r="F4428">
        <v>11465.85</v>
      </c>
      <c r="G4428">
        <v>230401</v>
      </c>
      <c r="H4428">
        <v>4820</v>
      </c>
      <c r="I4428" t="s">
        <v>50</v>
      </c>
      <c r="J4428">
        <v>14217.65</v>
      </c>
      <c r="K4428">
        <v>2751.8</v>
      </c>
      <c r="L4428">
        <v>69502</v>
      </c>
      <c r="M4428" t="s">
        <v>978</v>
      </c>
      <c r="N4428" t="str">
        <f>"48012567    "</f>
        <v xml:space="preserve">48012567    </v>
      </c>
      <c r="O4428">
        <v>230321</v>
      </c>
    </row>
    <row r="4429" spans="1:15" x14ac:dyDescent="0.25">
      <c r="A4429" t="s">
        <v>16</v>
      </c>
      <c r="B4429" t="s">
        <v>3221</v>
      </c>
      <c r="C4429">
        <v>3767</v>
      </c>
      <c r="D4429" t="s">
        <v>3192</v>
      </c>
      <c r="E4429" t="s">
        <v>3193</v>
      </c>
      <c r="F4429">
        <v>475.75</v>
      </c>
      <c r="G4429">
        <v>230401</v>
      </c>
      <c r="H4429">
        <v>4820</v>
      </c>
      <c r="I4429" t="s">
        <v>50</v>
      </c>
      <c r="J4429">
        <v>589.92999999999995</v>
      </c>
      <c r="K4429">
        <v>114.18</v>
      </c>
      <c r="L4429">
        <v>69502</v>
      </c>
      <c r="M4429" t="s">
        <v>978</v>
      </c>
      <c r="N4429" t="str">
        <f>"48012568    "</f>
        <v xml:space="preserve">48012568    </v>
      </c>
      <c r="O4429">
        <v>230321</v>
      </c>
    </row>
    <row r="4430" spans="1:15" x14ac:dyDescent="0.25">
      <c r="A4430" t="s">
        <v>16</v>
      </c>
      <c r="B4430" t="s">
        <v>3221</v>
      </c>
      <c r="C4430">
        <v>5265</v>
      </c>
      <c r="D4430" t="s">
        <v>3192</v>
      </c>
      <c r="E4430" t="s">
        <v>3193</v>
      </c>
      <c r="F4430">
        <v>11465.85</v>
      </c>
      <c r="G4430">
        <v>230501</v>
      </c>
      <c r="H4430">
        <v>4820</v>
      </c>
      <c r="I4430" t="s">
        <v>50</v>
      </c>
      <c r="J4430">
        <v>14217.65</v>
      </c>
      <c r="K4430">
        <v>2751.8</v>
      </c>
      <c r="L4430">
        <v>69502</v>
      </c>
      <c r="M4430" t="s">
        <v>978</v>
      </c>
      <c r="N4430" t="str">
        <f>"48012624    "</f>
        <v xml:space="preserve">48012624    </v>
      </c>
      <c r="O4430">
        <v>230419</v>
      </c>
    </row>
    <row r="4431" spans="1:15" x14ac:dyDescent="0.25">
      <c r="A4431" t="s">
        <v>16</v>
      </c>
      <c r="B4431" t="s">
        <v>3221</v>
      </c>
      <c r="C4431">
        <v>5270</v>
      </c>
      <c r="D4431" t="s">
        <v>3192</v>
      </c>
      <c r="E4431" t="s">
        <v>3193</v>
      </c>
      <c r="F4431">
        <v>475.75</v>
      </c>
      <c r="G4431">
        <v>230501</v>
      </c>
      <c r="H4431">
        <v>4820</v>
      </c>
      <c r="I4431" t="s">
        <v>50</v>
      </c>
      <c r="J4431">
        <v>589.92999999999995</v>
      </c>
      <c r="K4431">
        <v>114.18</v>
      </c>
      <c r="L4431">
        <v>69502</v>
      </c>
      <c r="M4431" t="s">
        <v>978</v>
      </c>
      <c r="N4431" t="str">
        <f>"48012625    "</f>
        <v xml:space="preserve">48012625    </v>
      </c>
      <c r="O4431">
        <v>230419</v>
      </c>
    </row>
    <row r="4432" spans="1:15" x14ac:dyDescent="0.25">
      <c r="A4432" t="s">
        <v>16</v>
      </c>
      <c r="B4432" t="s">
        <v>3221</v>
      </c>
      <c r="C4432">
        <v>6922</v>
      </c>
      <c r="D4432" t="s">
        <v>3192</v>
      </c>
      <c r="E4432" t="s">
        <v>3193</v>
      </c>
      <c r="F4432">
        <v>11465.85</v>
      </c>
      <c r="G4432">
        <v>230519</v>
      </c>
      <c r="H4432">
        <v>4820</v>
      </c>
      <c r="I4432" t="s">
        <v>50</v>
      </c>
      <c r="J4432">
        <v>14217.65</v>
      </c>
      <c r="K4432">
        <v>2751.8</v>
      </c>
      <c r="L4432">
        <v>69502</v>
      </c>
      <c r="M4432" t="s">
        <v>978</v>
      </c>
      <c r="N4432" t="str">
        <f>"48012860    "</f>
        <v xml:space="preserve">48012860    </v>
      </c>
      <c r="O4432">
        <v>230523</v>
      </c>
    </row>
    <row r="4433" spans="1:15" x14ac:dyDescent="0.25">
      <c r="A4433" t="s">
        <v>16</v>
      </c>
      <c r="B4433" t="s">
        <v>3221</v>
      </c>
      <c r="C4433">
        <v>6956</v>
      </c>
      <c r="D4433" t="s">
        <v>3192</v>
      </c>
      <c r="E4433" t="s">
        <v>3193</v>
      </c>
      <c r="F4433">
        <v>475.75</v>
      </c>
      <c r="G4433">
        <v>230601</v>
      </c>
      <c r="H4433">
        <v>4820</v>
      </c>
      <c r="I4433" t="s">
        <v>50</v>
      </c>
      <c r="J4433">
        <v>589.92999999999995</v>
      </c>
      <c r="K4433">
        <v>114.18</v>
      </c>
      <c r="L4433">
        <v>69502</v>
      </c>
      <c r="M4433" t="s">
        <v>978</v>
      </c>
      <c r="N4433" t="str">
        <f>"48012861    "</f>
        <v xml:space="preserve">48012861    </v>
      </c>
      <c r="O4433">
        <v>230523</v>
      </c>
    </row>
    <row r="4434" spans="1:15" x14ac:dyDescent="0.25">
      <c r="A4434" t="s">
        <v>16</v>
      </c>
      <c r="B4434" t="s">
        <v>3221</v>
      </c>
      <c r="C4434">
        <v>8988</v>
      </c>
      <c r="D4434" t="s">
        <v>3192</v>
      </c>
      <c r="E4434" t="s">
        <v>3193</v>
      </c>
      <c r="F4434">
        <v>11465.85</v>
      </c>
      <c r="G4434">
        <v>230701</v>
      </c>
      <c r="H4434">
        <v>4820</v>
      </c>
      <c r="I4434" t="s">
        <v>50</v>
      </c>
      <c r="J4434">
        <v>14217.65</v>
      </c>
      <c r="K4434">
        <v>2751.8</v>
      </c>
      <c r="L4434">
        <v>69502</v>
      </c>
      <c r="M4434" t="s">
        <v>978</v>
      </c>
      <c r="N4434" t="str">
        <f>"48012921    "</f>
        <v xml:space="preserve">48012921    </v>
      </c>
      <c r="O4434">
        <v>230620</v>
      </c>
    </row>
    <row r="4435" spans="1:15" x14ac:dyDescent="0.25">
      <c r="A4435" t="s">
        <v>16</v>
      </c>
      <c r="B4435" t="s">
        <v>3221</v>
      </c>
      <c r="C4435">
        <v>9001</v>
      </c>
      <c r="D4435" t="s">
        <v>3192</v>
      </c>
      <c r="E4435" t="s">
        <v>3193</v>
      </c>
      <c r="F4435">
        <v>475.75</v>
      </c>
      <c r="G4435">
        <v>230701</v>
      </c>
      <c r="H4435">
        <v>4820</v>
      </c>
      <c r="I4435" t="s">
        <v>50</v>
      </c>
      <c r="J4435">
        <v>589.92999999999995</v>
      </c>
      <c r="K4435">
        <v>114.18</v>
      </c>
      <c r="L4435">
        <v>69502</v>
      </c>
      <c r="M4435" t="s">
        <v>978</v>
      </c>
      <c r="N4435" t="str">
        <f>"48012922    "</f>
        <v xml:space="preserve">48012922    </v>
      </c>
      <c r="O4435">
        <v>230620</v>
      </c>
    </row>
    <row r="4436" spans="1:15" x14ac:dyDescent="0.25">
      <c r="A4436" t="s">
        <v>16</v>
      </c>
      <c r="B4436" t="s">
        <v>3221</v>
      </c>
      <c r="C4436">
        <v>9590</v>
      </c>
      <c r="D4436" t="s">
        <v>3192</v>
      </c>
      <c r="E4436" t="s">
        <v>3193</v>
      </c>
      <c r="F4436">
        <v>11465.85</v>
      </c>
      <c r="G4436">
        <v>230801</v>
      </c>
      <c r="H4436">
        <v>4820</v>
      </c>
      <c r="I4436" t="s">
        <v>50</v>
      </c>
      <c r="J4436">
        <v>14217.65</v>
      </c>
      <c r="K4436">
        <v>2751.8</v>
      </c>
      <c r="L4436">
        <v>69502</v>
      </c>
      <c r="M4436" t="s">
        <v>978</v>
      </c>
      <c r="N4436" t="str">
        <f>"48012982    "</f>
        <v xml:space="preserve">48012982    </v>
      </c>
      <c r="O4436">
        <v>230717</v>
      </c>
    </row>
    <row r="4437" spans="1:15" x14ac:dyDescent="0.25">
      <c r="A4437" t="s">
        <v>16</v>
      </c>
      <c r="B4437" t="s">
        <v>3221</v>
      </c>
      <c r="C4437">
        <v>9591</v>
      </c>
      <c r="D4437" t="s">
        <v>3192</v>
      </c>
      <c r="E4437" t="s">
        <v>3193</v>
      </c>
      <c r="F4437">
        <v>475.75</v>
      </c>
      <c r="G4437">
        <v>230801</v>
      </c>
      <c r="H4437">
        <v>4820</v>
      </c>
      <c r="I4437" t="s">
        <v>50</v>
      </c>
      <c r="J4437">
        <v>589.92999999999995</v>
      </c>
      <c r="K4437">
        <v>114.18</v>
      </c>
      <c r="L4437">
        <v>69502</v>
      </c>
      <c r="M4437" t="s">
        <v>978</v>
      </c>
      <c r="N4437" t="str">
        <f>"48012983    "</f>
        <v xml:space="preserve">48012983    </v>
      </c>
      <c r="O4437">
        <v>230717</v>
      </c>
    </row>
    <row r="4438" spans="1:15" x14ac:dyDescent="0.25">
      <c r="A4438" t="s">
        <v>16</v>
      </c>
      <c r="B4438" t="s">
        <v>3221</v>
      </c>
      <c r="C4438">
        <v>10711</v>
      </c>
      <c r="D4438" t="s">
        <v>3192</v>
      </c>
      <c r="E4438" t="s">
        <v>3193</v>
      </c>
      <c r="F4438">
        <v>11465.85</v>
      </c>
      <c r="G4438">
        <v>230901</v>
      </c>
      <c r="H4438">
        <v>4820</v>
      </c>
      <c r="I4438" t="s">
        <v>50</v>
      </c>
      <c r="J4438">
        <v>14217.65</v>
      </c>
      <c r="K4438">
        <v>2751.8</v>
      </c>
      <c r="L4438">
        <v>69502</v>
      </c>
      <c r="M4438" t="s">
        <v>978</v>
      </c>
      <c r="N4438" t="str">
        <f>"48013040    "</f>
        <v xml:space="preserve">48013040    </v>
      </c>
      <c r="O4438">
        <v>230822</v>
      </c>
    </row>
    <row r="4439" spans="1:15" x14ac:dyDescent="0.25">
      <c r="A4439" t="s">
        <v>16</v>
      </c>
      <c r="B4439" t="s">
        <v>3221</v>
      </c>
      <c r="C4439">
        <v>10736</v>
      </c>
      <c r="D4439" t="s">
        <v>3192</v>
      </c>
      <c r="E4439" t="s">
        <v>3193</v>
      </c>
      <c r="F4439">
        <v>475.75</v>
      </c>
      <c r="G4439">
        <v>230901</v>
      </c>
      <c r="H4439">
        <v>4820</v>
      </c>
      <c r="I4439" t="s">
        <v>50</v>
      </c>
      <c r="J4439">
        <v>589.92999999999995</v>
      </c>
      <c r="K4439">
        <v>114.18</v>
      </c>
      <c r="L4439">
        <v>69502</v>
      </c>
      <c r="M4439" t="s">
        <v>978</v>
      </c>
      <c r="N4439" t="str">
        <f>"48013041    "</f>
        <v xml:space="preserve">48013041    </v>
      </c>
      <c r="O4439">
        <v>230822</v>
      </c>
    </row>
    <row r="4440" spans="1:15" x14ac:dyDescent="0.25">
      <c r="A4440" t="s">
        <v>16</v>
      </c>
      <c r="B4440" t="s">
        <v>3221</v>
      </c>
      <c r="C4440">
        <v>12768</v>
      </c>
      <c r="D4440" t="s">
        <v>3192</v>
      </c>
      <c r="E4440" t="s">
        <v>3193</v>
      </c>
      <c r="F4440">
        <v>11465.85</v>
      </c>
      <c r="G4440">
        <v>231001</v>
      </c>
      <c r="H4440">
        <v>4820</v>
      </c>
      <c r="I4440" t="s">
        <v>50</v>
      </c>
      <c r="J4440">
        <v>14217.65</v>
      </c>
      <c r="K4440">
        <v>2751.8</v>
      </c>
      <c r="L4440">
        <v>69502</v>
      </c>
      <c r="M4440" t="s">
        <v>978</v>
      </c>
      <c r="N4440" t="str">
        <f>"48013107    "</f>
        <v xml:space="preserve">48013107    </v>
      </c>
      <c r="O4440">
        <v>230926</v>
      </c>
    </row>
    <row r="4441" spans="1:15" x14ac:dyDescent="0.25">
      <c r="A4441" t="s">
        <v>16</v>
      </c>
      <c r="B4441" t="s">
        <v>3221</v>
      </c>
      <c r="C4441">
        <v>12784</v>
      </c>
      <c r="D4441" t="s">
        <v>3192</v>
      </c>
      <c r="E4441" t="s">
        <v>3193</v>
      </c>
      <c r="F4441">
        <v>475.75</v>
      </c>
      <c r="G4441">
        <v>231001</v>
      </c>
      <c r="H4441">
        <v>4820</v>
      </c>
      <c r="I4441" t="s">
        <v>50</v>
      </c>
      <c r="J4441">
        <v>589.92999999999995</v>
      </c>
      <c r="K4441">
        <v>114.18</v>
      </c>
      <c r="L4441">
        <v>69502</v>
      </c>
      <c r="M4441" t="s">
        <v>978</v>
      </c>
      <c r="N4441" t="str">
        <f>"48013108    "</f>
        <v xml:space="preserve">48013108    </v>
      </c>
      <c r="O4441">
        <v>230926</v>
      </c>
    </row>
    <row r="4442" spans="1:15" x14ac:dyDescent="0.25">
      <c r="A4442" t="s">
        <v>16</v>
      </c>
      <c r="B4442" t="s">
        <v>3221</v>
      </c>
      <c r="C4442">
        <v>14438</v>
      </c>
      <c r="D4442" t="s">
        <v>3192</v>
      </c>
      <c r="E4442" t="s">
        <v>3193</v>
      </c>
      <c r="F4442">
        <v>11465.85</v>
      </c>
      <c r="G4442">
        <v>231101</v>
      </c>
      <c r="H4442">
        <v>4820</v>
      </c>
      <c r="I4442" t="s">
        <v>50</v>
      </c>
      <c r="J4442">
        <v>14217.65</v>
      </c>
      <c r="K4442">
        <v>2751.8</v>
      </c>
      <c r="L4442">
        <v>69502</v>
      </c>
      <c r="M4442" t="s">
        <v>978</v>
      </c>
      <c r="N4442" t="str">
        <f>"48013163    "</f>
        <v xml:space="preserve">48013163    </v>
      </c>
      <c r="O4442">
        <v>231030</v>
      </c>
    </row>
    <row r="4443" spans="1:15" x14ac:dyDescent="0.25">
      <c r="A4443" t="s">
        <v>16</v>
      </c>
      <c r="B4443" t="s">
        <v>3221</v>
      </c>
      <c r="C4443">
        <v>14443</v>
      </c>
      <c r="D4443" t="s">
        <v>3192</v>
      </c>
      <c r="E4443" t="s">
        <v>3193</v>
      </c>
      <c r="F4443">
        <v>475.75</v>
      </c>
      <c r="G4443">
        <v>231101</v>
      </c>
      <c r="H4443">
        <v>4820</v>
      </c>
      <c r="I4443" t="s">
        <v>50</v>
      </c>
      <c r="J4443">
        <v>589.92999999999995</v>
      </c>
      <c r="K4443">
        <v>114.18</v>
      </c>
      <c r="L4443">
        <v>69502</v>
      </c>
      <c r="M4443" t="s">
        <v>978</v>
      </c>
      <c r="N4443" t="str">
        <f>"48013164    "</f>
        <v xml:space="preserve">48013164    </v>
      </c>
      <c r="O4443">
        <v>231030</v>
      </c>
    </row>
    <row r="4444" spans="1:15" x14ac:dyDescent="0.25">
      <c r="A4444" t="s">
        <v>16</v>
      </c>
      <c r="B4444" t="s">
        <v>3221</v>
      </c>
      <c r="C4444">
        <v>16039</v>
      </c>
      <c r="D4444" t="s">
        <v>3192</v>
      </c>
      <c r="E4444" t="s">
        <v>3193</v>
      </c>
      <c r="F4444">
        <v>475.75</v>
      </c>
      <c r="G4444">
        <v>231201</v>
      </c>
      <c r="H4444">
        <v>4820</v>
      </c>
      <c r="I4444" t="s">
        <v>50</v>
      </c>
      <c r="J4444">
        <v>589.92999999999995</v>
      </c>
      <c r="K4444">
        <v>114.18</v>
      </c>
      <c r="L4444">
        <v>69502</v>
      </c>
      <c r="M4444" t="s">
        <v>978</v>
      </c>
      <c r="N4444" t="str">
        <f>"48013221    "</f>
        <v xml:space="preserve">48013221    </v>
      </c>
      <c r="O4444">
        <v>231122</v>
      </c>
    </row>
    <row r="4445" spans="1:15" x14ac:dyDescent="0.25">
      <c r="A4445" t="s">
        <v>16</v>
      </c>
      <c r="B4445" t="s">
        <v>3221</v>
      </c>
      <c r="C4445">
        <v>16068</v>
      </c>
      <c r="D4445" t="s">
        <v>3192</v>
      </c>
      <c r="E4445" t="s">
        <v>3193</v>
      </c>
      <c r="F4445">
        <v>11264.23</v>
      </c>
      <c r="G4445">
        <v>231201</v>
      </c>
      <c r="H4445">
        <v>4820</v>
      </c>
      <c r="I4445" t="s">
        <v>50</v>
      </c>
      <c r="J4445">
        <v>13967.65</v>
      </c>
      <c r="K4445">
        <v>2703.42</v>
      </c>
      <c r="L4445">
        <v>69502</v>
      </c>
      <c r="M4445" t="s">
        <v>978</v>
      </c>
      <c r="N4445" t="str">
        <f>"48013220    "</f>
        <v xml:space="preserve">48013220    </v>
      </c>
      <c r="O4445">
        <v>231122</v>
      </c>
    </row>
    <row r="4446" spans="1:15" x14ac:dyDescent="0.25">
      <c r="A4446" t="s">
        <v>16</v>
      </c>
      <c r="B4446" t="s">
        <v>3221</v>
      </c>
      <c r="C4446">
        <v>16068</v>
      </c>
      <c r="D4446" t="s">
        <v>3192</v>
      </c>
      <c r="E4446" t="s">
        <v>3193</v>
      </c>
      <c r="F4446">
        <v>201.61</v>
      </c>
      <c r="G4446">
        <v>231201</v>
      </c>
      <c r="H4446">
        <v>4820</v>
      </c>
      <c r="I4446" t="s">
        <v>50</v>
      </c>
      <c r="J4446">
        <v>250</v>
      </c>
      <c r="K4446">
        <v>48.39</v>
      </c>
      <c r="L4446">
        <v>69809</v>
      </c>
      <c r="M4446" t="s">
        <v>3305</v>
      </c>
      <c r="N4446" t="str">
        <f>"48013220    "</f>
        <v xml:space="preserve">48013220    </v>
      </c>
      <c r="O4446">
        <v>231122</v>
      </c>
    </row>
    <row r="4447" spans="1:15" x14ac:dyDescent="0.25">
      <c r="A4447" t="s">
        <v>16</v>
      </c>
      <c r="B4447" t="s">
        <v>3221</v>
      </c>
      <c r="C4447">
        <v>12927</v>
      </c>
      <c r="D4447" t="s">
        <v>3630</v>
      </c>
      <c r="E4447" t="s">
        <v>249</v>
      </c>
      <c r="F4447">
        <v>15.68</v>
      </c>
      <c r="G4447">
        <v>230927</v>
      </c>
      <c r="H4447">
        <v>4860</v>
      </c>
      <c r="I4447" t="s">
        <v>28</v>
      </c>
      <c r="J4447">
        <v>19.440000000000001</v>
      </c>
      <c r="K4447">
        <v>3.76</v>
      </c>
      <c r="L4447">
        <v>56566</v>
      </c>
      <c r="M4447" t="s">
        <v>652</v>
      </c>
      <c r="N4447" t="str">
        <f>"1497        "</f>
        <v xml:space="preserve">1497        </v>
      </c>
      <c r="O4447">
        <v>231002</v>
      </c>
    </row>
    <row r="4448" spans="1:15" x14ac:dyDescent="0.25">
      <c r="A4448" t="s">
        <v>16</v>
      </c>
      <c r="B4448" t="s">
        <v>3221</v>
      </c>
      <c r="C4448">
        <v>16329</v>
      </c>
      <c r="D4448" t="s">
        <v>3630</v>
      </c>
      <c r="E4448" t="s">
        <v>249</v>
      </c>
      <c r="F4448">
        <v>18.899999999999999</v>
      </c>
      <c r="G4448">
        <v>231124</v>
      </c>
      <c r="H4448">
        <v>4860</v>
      </c>
      <c r="I4448" t="s">
        <v>28</v>
      </c>
      <c r="J4448">
        <v>23.44</v>
      </c>
      <c r="K4448">
        <v>4.54</v>
      </c>
      <c r="L4448">
        <v>54422</v>
      </c>
      <c r="M4448" t="s">
        <v>234</v>
      </c>
      <c r="N4448" t="str">
        <f>"1526        "</f>
        <v xml:space="preserve">1526        </v>
      </c>
      <c r="O4448">
        <v>231128</v>
      </c>
    </row>
    <row r="4449" spans="1:15" x14ac:dyDescent="0.25">
      <c r="A4449" t="s">
        <v>16</v>
      </c>
      <c r="B4449" t="s">
        <v>3221</v>
      </c>
      <c r="C4449">
        <v>165</v>
      </c>
      <c r="D4449" t="s">
        <v>3630</v>
      </c>
      <c r="E4449" t="s">
        <v>249</v>
      </c>
      <c r="F4449">
        <v>5</v>
      </c>
      <c r="G4449">
        <v>230111</v>
      </c>
      <c r="H4449">
        <v>4440</v>
      </c>
      <c r="I4449" t="s">
        <v>250</v>
      </c>
      <c r="J4449">
        <v>6.2</v>
      </c>
      <c r="K4449">
        <v>1.2</v>
      </c>
      <c r="L4449">
        <v>58601</v>
      </c>
      <c r="M4449" t="s">
        <v>251</v>
      </c>
      <c r="N4449" t="str">
        <f>"1412        "</f>
        <v xml:space="preserve">1412        </v>
      </c>
      <c r="O4449">
        <v>230116</v>
      </c>
    </row>
    <row r="4450" spans="1:15" x14ac:dyDescent="0.25">
      <c r="A4450" t="s">
        <v>16</v>
      </c>
      <c r="B4450" t="s">
        <v>3221</v>
      </c>
      <c r="C4450">
        <v>165</v>
      </c>
      <c r="D4450" t="s">
        <v>3630</v>
      </c>
      <c r="E4450" t="s">
        <v>249</v>
      </c>
      <c r="F4450">
        <v>72.73</v>
      </c>
      <c r="G4450">
        <v>230111</v>
      </c>
      <c r="H4450">
        <v>4440</v>
      </c>
      <c r="I4450" t="s">
        <v>250</v>
      </c>
      <c r="J4450">
        <v>80</v>
      </c>
      <c r="K4450">
        <v>7.27</v>
      </c>
      <c r="L4450">
        <v>58601</v>
      </c>
      <c r="M4450" t="s">
        <v>251</v>
      </c>
      <c r="N4450" t="str">
        <f>"1412        "</f>
        <v xml:space="preserve">1412        </v>
      </c>
      <c r="O4450">
        <v>230116</v>
      </c>
    </row>
    <row r="4451" spans="1:15" x14ac:dyDescent="0.25">
      <c r="A4451" t="s">
        <v>16</v>
      </c>
      <c r="B4451" t="s">
        <v>3221</v>
      </c>
      <c r="C4451">
        <v>4972</v>
      </c>
      <c r="D4451" t="s">
        <v>3630</v>
      </c>
      <c r="E4451" t="s">
        <v>249</v>
      </c>
      <c r="F4451">
        <v>6</v>
      </c>
      <c r="G4451">
        <v>230413</v>
      </c>
      <c r="H4451">
        <v>4440</v>
      </c>
      <c r="I4451" t="s">
        <v>250</v>
      </c>
      <c r="J4451">
        <v>7.44</v>
      </c>
      <c r="K4451">
        <v>1.44</v>
      </c>
      <c r="L4451">
        <v>56559</v>
      </c>
      <c r="M4451" t="s">
        <v>129</v>
      </c>
      <c r="N4451" t="str">
        <f>"1450        "</f>
        <v xml:space="preserve">1450        </v>
      </c>
      <c r="O4451">
        <v>230414</v>
      </c>
    </row>
    <row r="4452" spans="1:15" x14ac:dyDescent="0.25">
      <c r="A4452" t="s">
        <v>16</v>
      </c>
      <c r="B4452" t="s">
        <v>3221</v>
      </c>
      <c r="C4452">
        <v>4972</v>
      </c>
      <c r="D4452" t="s">
        <v>3630</v>
      </c>
      <c r="E4452" t="s">
        <v>249</v>
      </c>
      <c r="F4452">
        <v>74.55</v>
      </c>
      <c r="G4452">
        <v>230413</v>
      </c>
      <c r="H4452">
        <v>4440</v>
      </c>
      <c r="I4452" t="s">
        <v>250</v>
      </c>
      <c r="J4452">
        <v>82</v>
      </c>
      <c r="K4452">
        <v>7.45</v>
      </c>
      <c r="L4452">
        <v>56559</v>
      </c>
      <c r="M4452" t="s">
        <v>129</v>
      </c>
      <c r="N4452" t="str">
        <f>"1450        "</f>
        <v xml:space="preserve">1450        </v>
      </c>
      <c r="O4452">
        <v>230414</v>
      </c>
    </row>
    <row r="4453" spans="1:15" x14ac:dyDescent="0.25">
      <c r="A4453" t="s">
        <v>16</v>
      </c>
      <c r="B4453" t="s">
        <v>3221</v>
      </c>
      <c r="C4453">
        <v>12927</v>
      </c>
      <c r="D4453" t="s">
        <v>3630</v>
      </c>
      <c r="E4453" t="s">
        <v>249</v>
      </c>
      <c r="F4453">
        <v>58.73</v>
      </c>
      <c r="G4453">
        <v>230927</v>
      </c>
      <c r="H4453">
        <v>4440</v>
      </c>
      <c r="I4453" t="s">
        <v>250</v>
      </c>
      <c r="J4453">
        <v>64.599999999999994</v>
      </c>
      <c r="K4453">
        <v>5.87</v>
      </c>
      <c r="L4453">
        <v>56566</v>
      </c>
      <c r="M4453" t="s">
        <v>652</v>
      </c>
      <c r="N4453" t="str">
        <f>"1497        "</f>
        <v xml:space="preserve">1497        </v>
      </c>
      <c r="O4453">
        <v>231002</v>
      </c>
    </row>
    <row r="4454" spans="1:15" x14ac:dyDescent="0.25">
      <c r="A4454" t="s">
        <v>16</v>
      </c>
      <c r="B4454" t="s">
        <v>3221</v>
      </c>
      <c r="C4454">
        <v>13053</v>
      </c>
      <c r="D4454" t="s">
        <v>3630</v>
      </c>
      <c r="E4454" t="s">
        <v>249</v>
      </c>
      <c r="F4454">
        <v>6</v>
      </c>
      <c r="G4454">
        <v>230929</v>
      </c>
      <c r="H4454">
        <v>4440</v>
      </c>
      <c r="I4454" t="s">
        <v>250</v>
      </c>
      <c r="J4454">
        <v>7.44</v>
      </c>
      <c r="K4454">
        <v>1.44</v>
      </c>
      <c r="L4454">
        <v>61122</v>
      </c>
      <c r="M4454" t="s">
        <v>402</v>
      </c>
      <c r="N4454" t="str">
        <f>"1500        "</f>
        <v xml:space="preserve">1500        </v>
      </c>
      <c r="O4454">
        <v>231003</v>
      </c>
    </row>
    <row r="4455" spans="1:15" x14ac:dyDescent="0.25">
      <c r="A4455" t="s">
        <v>16</v>
      </c>
      <c r="B4455" t="s">
        <v>3221</v>
      </c>
      <c r="C4455">
        <v>13053</v>
      </c>
      <c r="D4455" t="s">
        <v>3630</v>
      </c>
      <c r="E4455" t="s">
        <v>249</v>
      </c>
      <c r="F4455">
        <v>76.36</v>
      </c>
      <c r="G4455">
        <v>230929</v>
      </c>
      <c r="H4455">
        <v>4440</v>
      </c>
      <c r="I4455" t="s">
        <v>250</v>
      </c>
      <c r="J4455">
        <v>84</v>
      </c>
      <c r="K4455">
        <v>7.64</v>
      </c>
      <c r="L4455">
        <v>61122</v>
      </c>
      <c r="M4455" t="s">
        <v>402</v>
      </c>
      <c r="N4455" t="str">
        <f>"1500        "</f>
        <v xml:space="preserve">1500        </v>
      </c>
      <c r="O4455">
        <v>231003</v>
      </c>
    </row>
    <row r="4456" spans="1:15" x14ac:dyDescent="0.25">
      <c r="A4456" t="s">
        <v>16</v>
      </c>
      <c r="B4456" t="s">
        <v>3221</v>
      </c>
      <c r="C4456">
        <v>13271</v>
      </c>
      <c r="D4456" t="s">
        <v>3630</v>
      </c>
      <c r="E4456" t="s">
        <v>249</v>
      </c>
      <c r="F4456">
        <v>6</v>
      </c>
      <c r="G4456">
        <v>231005</v>
      </c>
      <c r="H4456">
        <v>4440</v>
      </c>
      <c r="I4456" t="s">
        <v>250</v>
      </c>
      <c r="J4456">
        <v>7.44</v>
      </c>
      <c r="K4456">
        <v>1.44</v>
      </c>
      <c r="L4456">
        <v>61122</v>
      </c>
      <c r="M4456" t="s">
        <v>402</v>
      </c>
      <c r="N4456" t="str">
        <f>"1504        "</f>
        <v xml:space="preserve">1504        </v>
      </c>
      <c r="O4456">
        <v>231009</v>
      </c>
    </row>
    <row r="4457" spans="1:15" x14ac:dyDescent="0.25">
      <c r="A4457" t="s">
        <v>16</v>
      </c>
      <c r="B4457" t="s">
        <v>3221</v>
      </c>
      <c r="C4457">
        <v>13271</v>
      </c>
      <c r="D4457" t="s">
        <v>3630</v>
      </c>
      <c r="E4457" t="s">
        <v>249</v>
      </c>
      <c r="F4457">
        <v>54.55</v>
      </c>
      <c r="G4457">
        <v>231005</v>
      </c>
      <c r="H4457">
        <v>4440</v>
      </c>
      <c r="I4457" t="s">
        <v>250</v>
      </c>
      <c r="J4457">
        <v>60</v>
      </c>
      <c r="K4457">
        <v>5.45</v>
      </c>
      <c r="L4457">
        <v>61122</v>
      </c>
      <c r="M4457" t="s">
        <v>402</v>
      </c>
      <c r="N4457" t="str">
        <f>"1504        "</f>
        <v xml:space="preserve">1504        </v>
      </c>
      <c r="O4457">
        <v>231009</v>
      </c>
    </row>
    <row r="4458" spans="1:15" x14ac:dyDescent="0.25">
      <c r="A4458" t="s">
        <v>16</v>
      </c>
      <c r="B4458" t="s">
        <v>3221</v>
      </c>
      <c r="C4458">
        <v>13395</v>
      </c>
      <c r="D4458" t="s">
        <v>3630</v>
      </c>
      <c r="E4458" t="s">
        <v>249</v>
      </c>
      <c r="F4458">
        <v>6</v>
      </c>
      <c r="G4458">
        <v>231003</v>
      </c>
      <c r="H4458">
        <v>4440</v>
      </c>
      <c r="I4458" t="s">
        <v>250</v>
      </c>
      <c r="J4458">
        <v>7.44</v>
      </c>
      <c r="K4458">
        <v>1.44</v>
      </c>
      <c r="L4458">
        <v>65222</v>
      </c>
      <c r="M4458" t="s">
        <v>487</v>
      </c>
      <c r="N4458" t="str">
        <f>"1501        "</f>
        <v xml:space="preserve">1501        </v>
      </c>
      <c r="O4458">
        <v>231010</v>
      </c>
    </row>
    <row r="4459" spans="1:15" x14ac:dyDescent="0.25">
      <c r="A4459" t="s">
        <v>16</v>
      </c>
      <c r="B4459" t="s">
        <v>3221</v>
      </c>
      <c r="C4459">
        <v>13395</v>
      </c>
      <c r="D4459" t="s">
        <v>3630</v>
      </c>
      <c r="E4459" t="s">
        <v>249</v>
      </c>
      <c r="F4459">
        <v>100</v>
      </c>
      <c r="G4459">
        <v>231003</v>
      </c>
      <c r="H4459">
        <v>4440</v>
      </c>
      <c r="I4459" t="s">
        <v>250</v>
      </c>
      <c r="J4459">
        <v>110</v>
      </c>
      <c r="K4459">
        <v>10</v>
      </c>
      <c r="L4459">
        <v>65222</v>
      </c>
      <c r="M4459" t="s">
        <v>487</v>
      </c>
      <c r="N4459" t="str">
        <f>"1501        "</f>
        <v xml:space="preserve">1501        </v>
      </c>
      <c r="O4459">
        <v>231010</v>
      </c>
    </row>
    <row r="4460" spans="1:15" x14ac:dyDescent="0.25">
      <c r="A4460" t="s">
        <v>16</v>
      </c>
      <c r="B4460" t="s">
        <v>3221</v>
      </c>
      <c r="C4460">
        <v>13870</v>
      </c>
      <c r="D4460" t="s">
        <v>3630</v>
      </c>
      <c r="E4460" t="s">
        <v>249</v>
      </c>
      <c r="F4460">
        <v>34.04</v>
      </c>
      <c r="G4460">
        <v>231012</v>
      </c>
      <c r="H4460">
        <v>4440</v>
      </c>
      <c r="I4460" t="s">
        <v>250</v>
      </c>
      <c r="J4460">
        <v>37.44</v>
      </c>
      <c r="K4460">
        <v>3.4</v>
      </c>
      <c r="L4460">
        <v>56526</v>
      </c>
      <c r="M4460" t="s">
        <v>1217</v>
      </c>
      <c r="N4460" t="str">
        <f>"1507        "</f>
        <v xml:space="preserve">1507        </v>
      </c>
      <c r="O4460">
        <v>231016</v>
      </c>
    </row>
    <row r="4461" spans="1:15" x14ac:dyDescent="0.25">
      <c r="A4461" t="s">
        <v>16</v>
      </c>
      <c r="B4461" t="s">
        <v>3221</v>
      </c>
      <c r="C4461">
        <v>13923</v>
      </c>
      <c r="D4461" t="s">
        <v>3630</v>
      </c>
      <c r="E4461" t="s">
        <v>249</v>
      </c>
      <c r="F4461">
        <v>6</v>
      </c>
      <c r="G4461">
        <v>231012</v>
      </c>
      <c r="H4461">
        <v>4440</v>
      </c>
      <c r="I4461" t="s">
        <v>250</v>
      </c>
      <c r="J4461">
        <v>7.44</v>
      </c>
      <c r="K4461">
        <v>1.44</v>
      </c>
      <c r="L4461">
        <v>68601</v>
      </c>
      <c r="M4461" t="s">
        <v>2370</v>
      </c>
      <c r="N4461" t="str">
        <f>"1506        "</f>
        <v xml:space="preserve">1506        </v>
      </c>
      <c r="O4461">
        <v>231016</v>
      </c>
    </row>
    <row r="4462" spans="1:15" x14ac:dyDescent="0.25">
      <c r="A4462" t="s">
        <v>16</v>
      </c>
      <c r="B4462" t="s">
        <v>3221</v>
      </c>
      <c r="C4462">
        <v>13923</v>
      </c>
      <c r="D4462" t="s">
        <v>3630</v>
      </c>
      <c r="E4462" t="s">
        <v>249</v>
      </c>
      <c r="F4462">
        <v>92.73</v>
      </c>
      <c r="G4462">
        <v>231012</v>
      </c>
      <c r="H4462">
        <v>4440</v>
      </c>
      <c r="I4462" t="s">
        <v>250</v>
      </c>
      <c r="J4462">
        <v>102</v>
      </c>
      <c r="K4462">
        <v>9.27</v>
      </c>
      <c r="L4462">
        <v>68601</v>
      </c>
      <c r="M4462" t="s">
        <v>2370</v>
      </c>
      <c r="N4462" t="str">
        <f>"1506        "</f>
        <v xml:space="preserve">1506        </v>
      </c>
      <c r="O4462">
        <v>231016</v>
      </c>
    </row>
    <row r="4463" spans="1:15" x14ac:dyDescent="0.25">
      <c r="A4463" t="s">
        <v>16</v>
      </c>
      <c r="B4463" t="s">
        <v>3221</v>
      </c>
      <c r="C4463">
        <v>15578</v>
      </c>
      <c r="D4463" t="s">
        <v>3630</v>
      </c>
      <c r="E4463" t="s">
        <v>249</v>
      </c>
      <c r="F4463">
        <v>6</v>
      </c>
      <c r="G4463">
        <v>231110</v>
      </c>
      <c r="H4463">
        <v>4440</v>
      </c>
      <c r="I4463" t="s">
        <v>250</v>
      </c>
      <c r="J4463">
        <v>7.44</v>
      </c>
      <c r="K4463">
        <v>1.44</v>
      </c>
      <c r="L4463">
        <v>54222</v>
      </c>
      <c r="M4463" t="s">
        <v>308</v>
      </c>
      <c r="N4463" t="str">
        <f>"1520        "</f>
        <v xml:space="preserve">1520        </v>
      </c>
      <c r="O4463">
        <v>231114</v>
      </c>
    </row>
    <row r="4464" spans="1:15" x14ac:dyDescent="0.25">
      <c r="A4464" t="s">
        <v>16</v>
      </c>
      <c r="B4464" t="s">
        <v>3221</v>
      </c>
      <c r="C4464">
        <v>15578</v>
      </c>
      <c r="D4464" t="s">
        <v>3630</v>
      </c>
      <c r="E4464" t="s">
        <v>249</v>
      </c>
      <c r="F4464">
        <v>52.73</v>
      </c>
      <c r="G4464">
        <v>231110</v>
      </c>
      <c r="H4464">
        <v>4440</v>
      </c>
      <c r="I4464" t="s">
        <v>250</v>
      </c>
      <c r="J4464">
        <v>58</v>
      </c>
      <c r="K4464">
        <v>5.27</v>
      </c>
      <c r="L4464">
        <v>54222</v>
      </c>
      <c r="M4464" t="s">
        <v>308</v>
      </c>
      <c r="N4464" t="str">
        <f>"1520        "</f>
        <v xml:space="preserve">1520        </v>
      </c>
      <c r="O4464">
        <v>231114</v>
      </c>
    </row>
    <row r="4465" spans="1:15" x14ac:dyDescent="0.25">
      <c r="A4465" t="s">
        <v>16</v>
      </c>
      <c r="B4465" t="s">
        <v>3221</v>
      </c>
      <c r="C4465">
        <v>16329</v>
      </c>
      <c r="D4465" t="s">
        <v>3630</v>
      </c>
      <c r="E4465" t="s">
        <v>249</v>
      </c>
      <c r="F4465">
        <v>40</v>
      </c>
      <c r="G4465">
        <v>231124</v>
      </c>
      <c r="H4465">
        <v>4440</v>
      </c>
      <c r="I4465" t="s">
        <v>250</v>
      </c>
      <c r="J4465">
        <v>44</v>
      </c>
      <c r="K4465">
        <v>4</v>
      </c>
      <c r="L4465">
        <v>54422</v>
      </c>
      <c r="M4465" t="s">
        <v>234</v>
      </c>
      <c r="N4465" t="str">
        <f>"1526        "</f>
        <v xml:space="preserve">1526        </v>
      </c>
      <c r="O4465">
        <v>231128</v>
      </c>
    </row>
    <row r="4466" spans="1:15" x14ac:dyDescent="0.25">
      <c r="A4466" t="s">
        <v>16</v>
      </c>
      <c r="B4466" t="s">
        <v>3221</v>
      </c>
      <c r="C4466">
        <v>16678</v>
      </c>
      <c r="D4466" t="s">
        <v>3630</v>
      </c>
      <c r="E4466" t="s">
        <v>249</v>
      </c>
      <c r="F4466">
        <v>6</v>
      </c>
      <c r="G4466">
        <v>231201</v>
      </c>
      <c r="H4466">
        <v>4440</v>
      </c>
      <c r="I4466" t="s">
        <v>250</v>
      </c>
      <c r="J4466">
        <v>7.44</v>
      </c>
      <c r="K4466">
        <v>1.44</v>
      </c>
      <c r="L4466">
        <v>53222</v>
      </c>
      <c r="M4466" t="s">
        <v>445</v>
      </c>
      <c r="N4466" t="str">
        <f>"1534        "</f>
        <v xml:space="preserve">1534        </v>
      </c>
      <c r="O4466">
        <v>231207</v>
      </c>
    </row>
    <row r="4467" spans="1:15" x14ac:dyDescent="0.25">
      <c r="A4467" t="s">
        <v>16</v>
      </c>
      <c r="B4467" t="s">
        <v>3221</v>
      </c>
      <c r="C4467">
        <v>16678</v>
      </c>
      <c r="D4467" t="s">
        <v>3630</v>
      </c>
      <c r="E4467" t="s">
        <v>249</v>
      </c>
      <c r="F4467">
        <v>78.180000000000007</v>
      </c>
      <c r="G4467">
        <v>231201</v>
      </c>
      <c r="H4467">
        <v>4440</v>
      </c>
      <c r="I4467" t="s">
        <v>250</v>
      </c>
      <c r="J4467">
        <v>86</v>
      </c>
      <c r="K4467">
        <v>7.82</v>
      </c>
      <c r="L4467">
        <v>53222</v>
      </c>
      <c r="M4467" t="s">
        <v>445</v>
      </c>
      <c r="N4467" t="str">
        <f>"1534        "</f>
        <v xml:space="preserve">1534        </v>
      </c>
      <c r="O4467">
        <v>231207</v>
      </c>
    </row>
    <row r="4468" spans="1:15" x14ac:dyDescent="0.25">
      <c r="A4468" t="s">
        <v>16</v>
      </c>
      <c r="B4468" t="s">
        <v>3221</v>
      </c>
      <c r="C4468">
        <v>2572</v>
      </c>
      <c r="D4468" t="s">
        <v>1274</v>
      </c>
      <c r="E4468" t="s">
        <v>1275</v>
      </c>
      <c r="F4468">
        <v>99.09</v>
      </c>
      <c r="G4468">
        <v>230301</v>
      </c>
      <c r="H4468">
        <v>4510</v>
      </c>
      <c r="I4468" t="s">
        <v>42</v>
      </c>
      <c r="J4468">
        <v>109</v>
      </c>
      <c r="K4468">
        <v>9.91</v>
      </c>
      <c r="L4468">
        <v>69704</v>
      </c>
      <c r="M4468" t="s">
        <v>325</v>
      </c>
      <c r="N4468" t="str">
        <f>"148032      "</f>
        <v xml:space="preserve">148032      </v>
      </c>
      <c r="O4468">
        <v>230302</v>
      </c>
    </row>
    <row r="4469" spans="1:15" x14ac:dyDescent="0.25">
      <c r="A4469" t="s">
        <v>16</v>
      </c>
      <c r="B4469" t="s">
        <v>3221</v>
      </c>
      <c r="C4469">
        <v>2047</v>
      </c>
      <c r="D4469" t="s">
        <v>1274</v>
      </c>
      <c r="E4469" t="s">
        <v>1275</v>
      </c>
      <c r="F4469">
        <v>1200</v>
      </c>
      <c r="G4469">
        <v>230214</v>
      </c>
      <c r="H4469">
        <v>4350</v>
      </c>
      <c r="I4469" t="s">
        <v>546</v>
      </c>
      <c r="J4469">
        <v>1488</v>
      </c>
      <c r="K4469">
        <v>288</v>
      </c>
      <c r="L4469">
        <v>59702</v>
      </c>
      <c r="M4469" t="s">
        <v>328</v>
      </c>
      <c r="N4469" t="str">
        <f>"470505      "</f>
        <v xml:space="preserve">470505      </v>
      </c>
      <c r="O4469">
        <v>230220</v>
      </c>
    </row>
    <row r="4470" spans="1:15" x14ac:dyDescent="0.25">
      <c r="A4470" t="s">
        <v>16</v>
      </c>
      <c r="B4470" t="s">
        <v>3221</v>
      </c>
      <c r="C4470">
        <v>3142</v>
      </c>
      <c r="D4470" t="s">
        <v>1274</v>
      </c>
      <c r="E4470" t="s">
        <v>1275</v>
      </c>
      <c r="F4470">
        <v>330</v>
      </c>
      <c r="G4470">
        <v>230308</v>
      </c>
      <c r="H4470">
        <v>4350</v>
      </c>
      <c r="I4470" t="s">
        <v>546</v>
      </c>
      <c r="J4470">
        <v>409.2</v>
      </c>
      <c r="K4470">
        <v>79.2</v>
      </c>
      <c r="L4470">
        <v>11908</v>
      </c>
      <c r="M4470" t="s">
        <v>598</v>
      </c>
      <c r="N4470" t="str">
        <f>"267585      "</f>
        <v xml:space="preserve">267585      </v>
      </c>
      <c r="O4470">
        <v>230309</v>
      </c>
    </row>
    <row r="4471" spans="1:15" x14ac:dyDescent="0.25">
      <c r="A4471" t="s">
        <v>16</v>
      </c>
      <c r="B4471" t="s">
        <v>3221</v>
      </c>
      <c r="C4471">
        <v>11856</v>
      </c>
      <c r="D4471" t="s">
        <v>1274</v>
      </c>
      <c r="E4471" t="s">
        <v>1275</v>
      </c>
      <c r="F4471">
        <v>330</v>
      </c>
      <c r="G4471">
        <v>230906</v>
      </c>
      <c r="H4471">
        <v>4350</v>
      </c>
      <c r="I4471" t="s">
        <v>546</v>
      </c>
      <c r="J4471">
        <v>409.2</v>
      </c>
      <c r="K4471">
        <v>79.2</v>
      </c>
      <c r="L4471">
        <v>11908</v>
      </c>
      <c r="M4471" t="s">
        <v>598</v>
      </c>
      <c r="N4471" t="str">
        <f>"268334      "</f>
        <v xml:space="preserve">268334      </v>
      </c>
      <c r="O4471">
        <v>230911</v>
      </c>
    </row>
    <row r="4472" spans="1:15" x14ac:dyDescent="0.25">
      <c r="A4472" t="s">
        <v>16</v>
      </c>
      <c r="B4472" t="s">
        <v>3221</v>
      </c>
      <c r="C4472">
        <v>13510</v>
      </c>
      <c r="D4472" t="s">
        <v>1274</v>
      </c>
      <c r="E4472" t="s">
        <v>1275</v>
      </c>
      <c r="F4472">
        <v>200</v>
      </c>
      <c r="G4472">
        <v>231004</v>
      </c>
      <c r="H4472">
        <v>4350</v>
      </c>
      <c r="I4472" t="s">
        <v>546</v>
      </c>
      <c r="J4472">
        <v>248</v>
      </c>
      <c r="K4472">
        <v>48</v>
      </c>
      <c r="L4472">
        <v>69702</v>
      </c>
      <c r="M4472" t="s">
        <v>489</v>
      </c>
      <c r="N4472" t="str">
        <f>"470680      "</f>
        <v xml:space="preserve">470680      </v>
      </c>
      <c r="O4472">
        <v>231010</v>
      </c>
    </row>
    <row r="4473" spans="1:15" x14ac:dyDescent="0.25">
      <c r="A4473" t="s">
        <v>16</v>
      </c>
      <c r="B4473" t="s">
        <v>3221</v>
      </c>
      <c r="C4473">
        <v>13510</v>
      </c>
      <c r="D4473" t="s">
        <v>1274</v>
      </c>
      <c r="E4473" t="s">
        <v>1275</v>
      </c>
      <c r="F4473">
        <v>200</v>
      </c>
      <c r="G4473">
        <v>231004</v>
      </c>
      <c r="H4473">
        <v>4350</v>
      </c>
      <c r="I4473" t="s">
        <v>546</v>
      </c>
      <c r="J4473">
        <v>248</v>
      </c>
      <c r="K4473">
        <v>48</v>
      </c>
      <c r="L4473">
        <v>69704</v>
      </c>
      <c r="M4473" t="s">
        <v>325</v>
      </c>
      <c r="N4473" t="str">
        <f>"470680      "</f>
        <v xml:space="preserve">470680      </v>
      </c>
      <c r="O4473">
        <v>231010</v>
      </c>
    </row>
    <row r="4474" spans="1:15" x14ac:dyDescent="0.25">
      <c r="A4474" t="s">
        <v>16</v>
      </c>
      <c r="B4474" t="s">
        <v>3221</v>
      </c>
      <c r="C4474">
        <v>2494</v>
      </c>
      <c r="D4474" t="s">
        <v>3727</v>
      </c>
      <c r="E4474" t="s">
        <v>1411</v>
      </c>
      <c r="F4474">
        <v>137.1</v>
      </c>
      <c r="G4474">
        <v>230220</v>
      </c>
      <c r="H4474">
        <v>4440</v>
      </c>
      <c r="I4474" t="s">
        <v>250</v>
      </c>
      <c r="J4474">
        <v>170</v>
      </c>
      <c r="K4474">
        <v>32.9</v>
      </c>
      <c r="L4474">
        <v>61122</v>
      </c>
      <c r="M4474" t="s">
        <v>402</v>
      </c>
      <c r="N4474" t="str">
        <f>"20230216    "</f>
        <v xml:space="preserve">20230216    </v>
      </c>
      <c r="O4474">
        <v>230228</v>
      </c>
    </row>
    <row r="4475" spans="1:15" x14ac:dyDescent="0.25">
      <c r="A4475" t="s">
        <v>16</v>
      </c>
      <c r="B4475" t="s">
        <v>3221</v>
      </c>
      <c r="C4475">
        <v>14957</v>
      </c>
      <c r="D4475" t="s">
        <v>2823</v>
      </c>
      <c r="E4475" t="s">
        <v>2824</v>
      </c>
      <c r="F4475">
        <v>6037.5</v>
      </c>
      <c r="G4475">
        <v>231031</v>
      </c>
      <c r="H4475">
        <v>4470</v>
      </c>
      <c r="I4475" t="s">
        <v>83</v>
      </c>
      <c r="J4475">
        <v>7486.5</v>
      </c>
      <c r="K4475">
        <v>1449</v>
      </c>
      <c r="L4475">
        <v>67554</v>
      </c>
      <c r="M4475" t="s">
        <v>60</v>
      </c>
      <c r="N4475" t="str">
        <f>"6023100004  "</f>
        <v xml:space="preserve">6023100004  </v>
      </c>
      <c r="O4475">
        <v>231107</v>
      </c>
    </row>
    <row r="4476" spans="1:15" x14ac:dyDescent="0.25">
      <c r="A4476" t="s">
        <v>16</v>
      </c>
      <c r="B4476" t="s">
        <v>3221</v>
      </c>
      <c r="C4476">
        <v>16477</v>
      </c>
      <c r="D4476" t="s">
        <v>2981</v>
      </c>
      <c r="E4476" t="s">
        <v>2982</v>
      </c>
      <c r="F4476">
        <v>150</v>
      </c>
      <c r="G4476">
        <v>231128</v>
      </c>
      <c r="H4476">
        <v>4600</v>
      </c>
      <c r="I4476" t="s">
        <v>105</v>
      </c>
      <c r="J4476">
        <v>150</v>
      </c>
      <c r="K4476">
        <v>0</v>
      </c>
      <c r="L4476">
        <v>56559</v>
      </c>
      <c r="M4476" t="s">
        <v>129</v>
      </c>
      <c r="N4476" t="str">
        <f>"14731       "</f>
        <v xml:space="preserve">14731       </v>
      </c>
      <c r="O4476">
        <v>231201</v>
      </c>
    </row>
    <row r="4477" spans="1:15" x14ac:dyDescent="0.25">
      <c r="A4477" t="s">
        <v>16</v>
      </c>
      <c r="B4477" t="s">
        <v>3221</v>
      </c>
      <c r="C4477">
        <v>9406</v>
      </c>
      <c r="D4477" t="s">
        <v>2293</v>
      </c>
      <c r="E4477" t="s">
        <v>2294</v>
      </c>
      <c r="F4477">
        <v>340</v>
      </c>
      <c r="G4477">
        <v>230703</v>
      </c>
      <c r="H4477">
        <v>4551</v>
      </c>
      <c r="I4477" t="s">
        <v>1020</v>
      </c>
      <c r="J4477">
        <v>421.6</v>
      </c>
      <c r="K4477">
        <v>81.599999999999994</v>
      </c>
      <c r="L4477">
        <v>17737</v>
      </c>
      <c r="M4477" t="s">
        <v>279</v>
      </c>
      <c r="N4477" t="str">
        <f>"4186        "</f>
        <v xml:space="preserve">4186        </v>
      </c>
      <c r="O4477">
        <v>230710</v>
      </c>
    </row>
    <row r="4478" spans="1:15" x14ac:dyDescent="0.25">
      <c r="A4478" t="s">
        <v>16</v>
      </c>
      <c r="B4478" t="s">
        <v>3221</v>
      </c>
      <c r="C4478">
        <v>19228</v>
      </c>
      <c r="D4478" t="s">
        <v>3168</v>
      </c>
      <c r="E4478" t="s">
        <v>3169</v>
      </c>
      <c r="F4478">
        <v>420</v>
      </c>
      <c r="G4478">
        <v>240112</v>
      </c>
      <c r="H4478">
        <v>4820</v>
      </c>
      <c r="I4478" t="s">
        <v>50</v>
      </c>
      <c r="J4478">
        <v>462</v>
      </c>
      <c r="K4478">
        <v>42</v>
      </c>
      <c r="L4478">
        <v>17538</v>
      </c>
      <c r="M4478" t="s">
        <v>24</v>
      </c>
      <c r="N4478" t="str">
        <f>"2402        "</f>
        <v xml:space="preserve">2402        </v>
      </c>
      <c r="O4478">
        <v>240115</v>
      </c>
    </row>
    <row r="4479" spans="1:15" x14ac:dyDescent="0.25">
      <c r="A4479" t="s">
        <v>16</v>
      </c>
      <c r="B4479" t="s">
        <v>3221</v>
      </c>
      <c r="C4479">
        <v>14485</v>
      </c>
      <c r="D4479" t="s">
        <v>2776</v>
      </c>
      <c r="E4479" t="s">
        <v>2777</v>
      </c>
      <c r="F4479">
        <v>322.2</v>
      </c>
      <c r="G4479">
        <v>231027</v>
      </c>
      <c r="H4479">
        <v>4400</v>
      </c>
      <c r="I4479" t="s">
        <v>348</v>
      </c>
      <c r="J4479">
        <v>399.53</v>
      </c>
      <c r="K4479">
        <v>77.33</v>
      </c>
      <c r="L4479">
        <v>59501</v>
      </c>
      <c r="M4479" t="s">
        <v>69</v>
      </c>
      <c r="N4479" t="str">
        <f>"3424        "</f>
        <v xml:space="preserve">3424        </v>
      </c>
      <c r="O4479">
        <v>231030</v>
      </c>
    </row>
    <row r="4480" spans="1:15" x14ac:dyDescent="0.25">
      <c r="A4480" t="s">
        <v>16</v>
      </c>
      <c r="B4480" t="s">
        <v>3221</v>
      </c>
      <c r="C4480">
        <v>786</v>
      </c>
      <c r="D4480" t="s">
        <v>743</v>
      </c>
      <c r="E4480" t="s">
        <v>744</v>
      </c>
      <c r="F4480">
        <v>288.35000000000002</v>
      </c>
      <c r="G4480">
        <v>230127</v>
      </c>
      <c r="H4480">
        <v>4400</v>
      </c>
      <c r="I4480" t="s">
        <v>348</v>
      </c>
      <c r="J4480">
        <v>357.56</v>
      </c>
      <c r="K4480">
        <v>69.209999999999994</v>
      </c>
      <c r="L4480">
        <v>59501</v>
      </c>
      <c r="M4480" t="s">
        <v>69</v>
      </c>
      <c r="N4480" t="str">
        <f>"86730       "</f>
        <v xml:space="preserve">86730       </v>
      </c>
      <c r="O4480">
        <v>230130</v>
      </c>
    </row>
    <row r="4481" spans="1:15" x14ac:dyDescent="0.25">
      <c r="A4481" t="s">
        <v>16</v>
      </c>
      <c r="B4481" t="s">
        <v>3221</v>
      </c>
      <c r="C4481">
        <v>6891</v>
      </c>
      <c r="D4481" t="s">
        <v>743</v>
      </c>
      <c r="E4481" t="s">
        <v>744</v>
      </c>
      <c r="F4481">
        <v>1631.73</v>
      </c>
      <c r="G4481">
        <v>230517</v>
      </c>
      <c r="H4481">
        <v>4400</v>
      </c>
      <c r="I4481" t="s">
        <v>348</v>
      </c>
      <c r="J4481">
        <v>2023.34</v>
      </c>
      <c r="K4481">
        <v>391.61</v>
      </c>
      <c r="L4481">
        <v>59501</v>
      </c>
      <c r="M4481" t="s">
        <v>69</v>
      </c>
      <c r="N4481" t="str">
        <f>"92544       "</f>
        <v xml:space="preserve">92544       </v>
      </c>
      <c r="O4481">
        <v>230523</v>
      </c>
    </row>
    <row r="4482" spans="1:15" x14ac:dyDescent="0.25">
      <c r="A4482" t="s">
        <v>16</v>
      </c>
      <c r="B4482" t="s">
        <v>3221</v>
      </c>
      <c r="C4482">
        <v>8078</v>
      </c>
      <c r="D4482" t="s">
        <v>2152</v>
      </c>
      <c r="E4482" t="s">
        <v>2153</v>
      </c>
      <c r="F4482">
        <v>360</v>
      </c>
      <c r="G4482">
        <v>230603</v>
      </c>
      <c r="H4482">
        <v>4410</v>
      </c>
      <c r="I4482" t="s">
        <v>517</v>
      </c>
      <c r="J4482">
        <v>410.4</v>
      </c>
      <c r="K4482">
        <v>50.4</v>
      </c>
      <c r="L4482">
        <v>11902</v>
      </c>
      <c r="M4482" t="s">
        <v>1443</v>
      </c>
      <c r="N4482" t="str">
        <f>"1645        "</f>
        <v xml:space="preserve">1645        </v>
      </c>
      <c r="O4482">
        <v>230607</v>
      </c>
    </row>
    <row r="4483" spans="1:15" x14ac:dyDescent="0.25">
      <c r="A4483" t="s">
        <v>16</v>
      </c>
      <c r="B4483" t="s">
        <v>3221</v>
      </c>
      <c r="C4483">
        <v>2156</v>
      </c>
      <c r="D4483" t="s">
        <v>1313</v>
      </c>
      <c r="E4483" t="s">
        <v>1314</v>
      </c>
      <c r="F4483">
        <v>279.60000000000002</v>
      </c>
      <c r="G4483">
        <v>230220</v>
      </c>
      <c r="H4483">
        <v>4400</v>
      </c>
      <c r="I4483" t="s">
        <v>348</v>
      </c>
      <c r="J4483">
        <v>346.7</v>
      </c>
      <c r="K4483">
        <v>67.099999999999994</v>
      </c>
      <c r="L4483">
        <v>69501</v>
      </c>
      <c r="M4483" t="s">
        <v>185</v>
      </c>
      <c r="N4483" t="str">
        <f>"64190       "</f>
        <v xml:space="preserve">64190       </v>
      </c>
      <c r="O4483">
        <v>230221</v>
      </c>
    </row>
    <row r="4484" spans="1:15" x14ac:dyDescent="0.25">
      <c r="A4484" t="s">
        <v>16</v>
      </c>
      <c r="B4484" t="s">
        <v>3221</v>
      </c>
      <c r="C4484">
        <v>14698</v>
      </c>
      <c r="D4484" t="s">
        <v>2792</v>
      </c>
      <c r="E4484" t="s">
        <v>2793</v>
      </c>
      <c r="F4484">
        <v>420.1</v>
      </c>
      <c r="G4484">
        <v>231020</v>
      </c>
      <c r="H4484">
        <v>4600</v>
      </c>
      <c r="I4484" t="s">
        <v>105</v>
      </c>
      <c r="J4484">
        <v>520.91999999999996</v>
      </c>
      <c r="K4484">
        <v>100.82</v>
      </c>
      <c r="L4484">
        <v>66754</v>
      </c>
      <c r="M4484" t="s">
        <v>239</v>
      </c>
      <c r="N4484" t="str">
        <f>"7701        "</f>
        <v xml:space="preserve">7701        </v>
      </c>
      <c r="O4484">
        <v>231101</v>
      </c>
    </row>
    <row r="4485" spans="1:15" x14ac:dyDescent="0.25">
      <c r="A4485" t="s">
        <v>16</v>
      </c>
      <c r="B4485" t="s">
        <v>3221</v>
      </c>
      <c r="C4485">
        <v>4248</v>
      </c>
      <c r="D4485" t="s">
        <v>1679</v>
      </c>
      <c r="E4485" t="s">
        <v>1680</v>
      </c>
      <c r="F4485">
        <v>390</v>
      </c>
      <c r="G4485">
        <v>230330</v>
      </c>
      <c r="H4485">
        <v>4440</v>
      </c>
      <c r="I4485" t="s">
        <v>250</v>
      </c>
      <c r="J4485">
        <v>483.6</v>
      </c>
      <c r="K4485">
        <v>93.6</v>
      </c>
      <c r="L4485">
        <v>18974</v>
      </c>
      <c r="M4485" t="s">
        <v>1663</v>
      </c>
      <c r="N4485" t="str">
        <f>"INV12030    "</f>
        <v xml:space="preserve">INV12030    </v>
      </c>
      <c r="O4485">
        <v>230403</v>
      </c>
    </row>
    <row r="4486" spans="1:15" x14ac:dyDescent="0.25">
      <c r="A4486" t="s">
        <v>16</v>
      </c>
      <c r="B4486" t="s">
        <v>3221</v>
      </c>
      <c r="C4486">
        <v>6990</v>
      </c>
      <c r="D4486" t="s">
        <v>2042</v>
      </c>
      <c r="E4486" t="s">
        <v>2043</v>
      </c>
      <c r="F4486">
        <v>36.200000000000003</v>
      </c>
      <c r="G4486">
        <v>230517</v>
      </c>
      <c r="H4486">
        <v>4600</v>
      </c>
      <c r="I4486" t="s">
        <v>105</v>
      </c>
      <c r="J4486">
        <v>44.89</v>
      </c>
      <c r="K4486">
        <v>8.69</v>
      </c>
      <c r="L4486">
        <v>56565</v>
      </c>
      <c r="M4486" t="s">
        <v>758</v>
      </c>
      <c r="N4486" t="str">
        <f>"170523      "</f>
        <v xml:space="preserve">170523      </v>
      </c>
      <c r="O4486">
        <v>230524</v>
      </c>
    </row>
    <row r="4487" spans="1:15" x14ac:dyDescent="0.25">
      <c r="A4487" t="s">
        <v>16</v>
      </c>
      <c r="B4487" t="s">
        <v>3221</v>
      </c>
      <c r="C4487">
        <v>13150</v>
      </c>
      <c r="D4487" t="s">
        <v>2042</v>
      </c>
      <c r="E4487" t="s">
        <v>2043</v>
      </c>
      <c r="F4487">
        <v>510.8</v>
      </c>
      <c r="G4487">
        <v>231002</v>
      </c>
      <c r="H4487">
        <v>4600</v>
      </c>
      <c r="I4487" t="s">
        <v>105</v>
      </c>
      <c r="J4487">
        <v>633.39</v>
      </c>
      <c r="K4487">
        <v>122.59</v>
      </c>
      <c r="L4487">
        <v>56564</v>
      </c>
      <c r="M4487" t="s">
        <v>327</v>
      </c>
      <c r="N4487" t="str">
        <f>"31529       "</f>
        <v xml:space="preserve">31529       </v>
      </c>
      <c r="O4487">
        <v>231004</v>
      </c>
    </row>
    <row r="4488" spans="1:15" x14ac:dyDescent="0.25">
      <c r="A4488" t="s">
        <v>16</v>
      </c>
      <c r="B4488" t="s">
        <v>3221</v>
      </c>
      <c r="C4488">
        <v>14714</v>
      </c>
      <c r="D4488" t="s">
        <v>2042</v>
      </c>
      <c r="E4488" t="s">
        <v>2043</v>
      </c>
      <c r="F4488">
        <v>109.19</v>
      </c>
      <c r="G4488">
        <v>231026</v>
      </c>
      <c r="H4488">
        <v>4600</v>
      </c>
      <c r="I4488" t="s">
        <v>105</v>
      </c>
      <c r="J4488">
        <v>135.4</v>
      </c>
      <c r="K4488">
        <v>26.21</v>
      </c>
      <c r="L4488">
        <v>56564</v>
      </c>
      <c r="M4488" t="s">
        <v>327</v>
      </c>
      <c r="N4488" t="str">
        <f>"31602       "</f>
        <v xml:space="preserve">31602       </v>
      </c>
      <c r="O4488">
        <v>231101</v>
      </c>
    </row>
    <row r="4489" spans="1:15" x14ac:dyDescent="0.25">
      <c r="A4489" t="s">
        <v>16</v>
      </c>
      <c r="B4489" t="s">
        <v>3221</v>
      </c>
      <c r="C4489">
        <v>15461</v>
      </c>
      <c r="D4489" t="s">
        <v>2042</v>
      </c>
      <c r="E4489" t="s">
        <v>2043</v>
      </c>
      <c r="F4489">
        <v>18.3</v>
      </c>
      <c r="G4489">
        <v>231109</v>
      </c>
      <c r="H4489">
        <v>4600</v>
      </c>
      <c r="I4489" t="s">
        <v>105</v>
      </c>
      <c r="J4489">
        <v>22.69</v>
      </c>
      <c r="K4489">
        <v>4.3899999999999997</v>
      </c>
      <c r="L4489">
        <v>56573</v>
      </c>
      <c r="M4489" t="s">
        <v>521</v>
      </c>
      <c r="N4489" t="str">
        <f>"31632       "</f>
        <v xml:space="preserve">31632       </v>
      </c>
      <c r="O4489">
        <v>231113</v>
      </c>
    </row>
    <row r="4490" spans="1:15" x14ac:dyDescent="0.25">
      <c r="A4490" t="s">
        <v>16</v>
      </c>
      <c r="B4490" t="s">
        <v>3221</v>
      </c>
      <c r="C4490">
        <v>13429</v>
      </c>
      <c r="D4490" t="s">
        <v>2673</v>
      </c>
      <c r="E4490" t="s">
        <v>2674</v>
      </c>
      <c r="F4490">
        <v>169.35</v>
      </c>
      <c r="G4490">
        <v>230930</v>
      </c>
      <c r="H4490">
        <v>3271</v>
      </c>
      <c r="I4490" t="s">
        <v>1410</v>
      </c>
      <c r="J4490">
        <v>210</v>
      </c>
      <c r="K4490">
        <v>40.65</v>
      </c>
      <c r="L4490">
        <v>17711</v>
      </c>
      <c r="M4490" t="s">
        <v>65</v>
      </c>
      <c r="N4490" t="str">
        <f>"ML23000432  "</f>
        <v xml:space="preserve">ML23000432  </v>
      </c>
      <c r="O4490">
        <v>231010</v>
      </c>
    </row>
    <row r="4491" spans="1:15" x14ac:dyDescent="0.25">
      <c r="A4491" t="s">
        <v>16</v>
      </c>
      <c r="B4491" t="s">
        <v>3221</v>
      </c>
      <c r="C4491">
        <v>13835</v>
      </c>
      <c r="D4491" t="s">
        <v>2673</v>
      </c>
      <c r="E4491" t="s">
        <v>2674</v>
      </c>
      <c r="F4491">
        <v>169.35</v>
      </c>
      <c r="G4491">
        <v>230930</v>
      </c>
      <c r="H4491">
        <v>3271</v>
      </c>
      <c r="I4491" t="s">
        <v>1410</v>
      </c>
      <c r="J4491">
        <v>210</v>
      </c>
      <c r="K4491">
        <v>40.65</v>
      </c>
      <c r="L4491">
        <v>17711</v>
      </c>
      <c r="M4491" t="s">
        <v>65</v>
      </c>
      <c r="N4491" t="str">
        <f>"ML23000430  "</f>
        <v xml:space="preserve">ML23000430  </v>
      </c>
      <c r="O4491">
        <v>231013</v>
      </c>
    </row>
    <row r="4492" spans="1:15" x14ac:dyDescent="0.25">
      <c r="A4492" t="s">
        <v>16</v>
      </c>
      <c r="B4492" t="s">
        <v>3221</v>
      </c>
      <c r="C4492">
        <v>13836</v>
      </c>
      <c r="D4492" t="s">
        <v>2673</v>
      </c>
      <c r="E4492" t="s">
        <v>2674</v>
      </c>
      <c r="F4492">
        <v>169.35</v>
      </c>
      <c r="G4492">
        <v>230930</v>
      </c>
      <c r="H4492">
        <v>3271</v>
      </c>
      <c r="I4492" t="s">
        <v>1410</v>
      </c>
      <c r="J4492">
        <v>210</v>
      </c>
      <c r="K4492">
        <v>40.65</v>
      </c>
      <c r="L4492">
        <v>17711</v>
      </c>
      <c r="M4492" t="s">
        <v>65</v>
      </c>
      <c r="N4492" t="str">
        <f>"ML23000431  "</f>
        <v xml:space="preserve">ML23000431  </v>
      </c>
      <c r="O4492">
        <v>231013</v>
      </c>
    </row>
    <row r="4493" spans="1:15" x14ac:dyDescent="0.25">
      <c r="A4493" t="s">
        <v>16</v>
      </c>
      <c r="B4493" t="s">
        <v>3221</v>
      </c>
      <c r="C4493">
        <v>15970</v>
      </c>
      <c r="D4493" t="s">
        <v>3567</v>
      </c>
      <c r="E4493" t="s">
        <v>3568</v>
      </c>
      <c r="F4493">
        <v>66.36</v>
      </c>
      <c r="G4493">
        <v>231115</v>
      </c>
      <c r="H4493">
        <v>4410</v>
      </c>
      <c r="I4493" t="s">
        <v>517</v>
      </c>
      <c r="J4493">
        <v>75.650000000000006</v>
      </c>
      <c r="K4493">
        <v>9.2899999999999991</v>
      </c>
      <c r="L4493">
        <v>17521</v>
      </c>
      <c r="M4493" t="s">
        <v>133</v>
      </c>
      <c r="N4493" t="str">
        <f>"ML23001910  "</f>
        <v xml:space="preserve">ML23001910  </v>
      </c>
      <c r="O4493">
        <v>231122</v>
      </c>
    </row>
    <row r="4494" spans="1:15" x14ac:dyDescent="0.25">
      <c r="A4494" t="s">
        <v>16</v>
      </c>
      <c r="B4494" t="s">
        <v>3221</v>
      </c>
      <c r="C4494">
        <v>5478</v>
      </c>
      <c r="D4494" t="s">
        <v>3409</v>
      </c>
      <c r="E4494" t="s">
        <v>3410</v>
      </c>
      <c r="F4494">
        <v>63.95</v>
      </c>
      <c r="G4494">
        <v>230417</v>
      </c>
      <c r="H4494">
        <v>4557</v>
      </c>
      <c r="I4494" t="s">
        <v>238</v>
      </c>
      <c r="J4494">
        <v>79.3</v>
      </c>
      <c r="K4494">
        <v>15.35</v>
      </c>
      <c r="L4494">
        <v>17131</v>
      </c>
      <c r="M4494" t="s">
        <v>64</v>
      </c>
      <c r="N4494" t="str">
        <f>"246898      "</f>
        <v xml:space="preserve">246898      </v>
      </c>
      <c r="O4494">
        <v>230425</v>
      </c>
    </row>
    <row r="4495" spans="1:15" x14ac:dyDescent="0.25">
      <c r="A4495" t="s">
        <v>16</v>
      </c>
      <c r="B4495" t="s">
        <v>3221</v>
      </c>
      <c r="C4495">
        <v>4006</v>
      </c>
      <c r="D4495" t="s">
        <v>3409</v>
      </c>
      <c r="E4495" t="s">
        <v>3410</v>
      </c>
      <c r="F4495">
        <v>29</v>
      </c>
      <c r="G4495">
        <v>230327</v>
      </c>
      <c r="H4495">
        <v>4510</v>
      </c>
      <c r="I4495" t="s">
        <v>42</v>
      </c>
      <c r="J4495">
        <v>29</v>
      </c>
      <c r="K4495">
        <v>0</v>
      </c>
      <c r="L4495">
        <v>17131</v>
      </c>
      <c r="M4495" t="s">
        <v>64</v>
      </c>
      <c r="N4495" t="str">
        <f>"245948      "</f>
        <v xml:space="preserve">245948      </v>
      </c>
      <c r="O4495">
        <v>230329</v>
      </c>
    </row>
    <row r="4496" spans="1:15" x14ac:dyDescent="0.25">
      <c r="A4496" t="s">
        <v>16</v>
      </c>
      <c r="B4496" t="s">
        <v>3221</v>
      </c>
      <c r="C4496">
        <v>4965</v>
      </c>
      <c r="D4496" t="s">
        <v>1774</v>
      </c>
      <c r="E4496" t="s">
        <v>1775</v>
      </c>
      <c r="F4496">
        <v>260</v>
      </c>
      <c r="G4496">
        <v>230327</v>
      </c>
      <c r="H4496">
        <v>4510</v>
      </c>
      <c r="I4496" t="s">
        <v>42</v>
      </c>
      <c r="J4496">
        <v>286</v>
      </c>
      <c r="K4496">
        <v>26</v>
      </c>
      <c r="L4496">
        <v>44422</v>
      </c>
      <c r="M4496" t="s">
        <v>482</v>
      </c>
      <c r="N4496" t="str">
        <f>"2084        "</f>
        <v xml:space="preserve">2084        </v>
      </c>
      <c r="O4496">
        <v>230414</v>
      </c>
    </row>
    <row r="4497" spans="1:15" x14ac:dyDescent="0.25">
      <c r="A4497" t="s">
        <v>16</v>
      </c>
      <c r="B4497" t="s">
        <v>3221</v>
      </c>
      <c r="C4497">
        <v>5345</v>
      </c>
      <c r="D4497" t="s">
        <v>1774</v>
      </c>
      <c r="E4497" t="s">
        <v>1775</v>
      </c>
      <c r="F4497">
        <v>244.65</v>
      </c>
      <c r="G4497">
        <v>230420</v>
      </c>
      <c r="H4497">
        <v>4600</v>
      </c>
      <c r="I4497" t="s">
        <v>105</v>
      </c>
      <c r="J4497">
        <v>303.36</v>
      </c>
      <c r="K4497">
        <v>58.71</v>
      </c>
      <c r="L4497">
        <v>54222</v>
      </c>
      <c r="M4497" t="s">
        <v>308</v>
      </c>
      <c r="N4497" t="str">
        <f>"2099        "</f>
        <v xml:space="preserve">2099        </v>
      </c>
      <c r="O4497">
        <v>230421</v>
      </c>
    </row>
    <row r="4498" spans="1:15" x14ac:dyDescent="0.25">
      <c r="A4498" t="s">
        <v>16</v>
      </c>
      <c r="B4498" t="s">
        <v>3221</v>
      </c>
      <c r="C4498">
        <v>4965</v>
      </c>
      <c r="D4498" t="s">
        <v>1774</v>
      </c>
      <c r="E4498" t="s">
        <v>1775</v>
      </c>
      <c r="F4498">
        <v>14</v>
      </c>
      <c r="G4498">
        <v>230327</v>
      </c>
      <c r="H4498">
        <v>4364</v>
      </c>
      <c r="I4498" t="s">
        <v>296</v>
      </c>
      <c r="J4498">
        <v>17.36</v>
      </c>
      <c r="K4498">
        <v>3.36</v>
      </c>
      <c r="L4498">
        <v>44422</v>
      </c>
      <c r="M4498" t="s">
        <v>482</v>
      </c>
      <c r="N4498" t="str">
        <f>"2084        "</f>
        <v xml:space="preserve">2084        </v>
      </c>
      <c r="O4498">
        <v>230414</v>
      </c>
    </row>
    <row r="4499" spans="1:15" x14ac:dyDescent="0.25">
      <c r="A4499" t="s">
        <v>16</v>
      </c>
      <c r="B4499" t="s">
        <v>3221</v>
      </c>
      <c r="C4499">
        <v>13151</v>
      </c>
      <c r="D4499" t="s">
        <v>2638</v>
      </c>
      <c r="E4499" t="s">
        <v>2639</v>
      </c>
      <c r="F4499">
        <v>160.26</v>
      </c>
      <c r="G4499">
        <v>230907</v>
      </c>
      <c r="H4499">
        <v>4600</v>
      </c>
      <c r="I4499" t="s">
        <v>105</v>
      </c>
      <c r="J4499">
        <v>160.26</v>
      </c>
      <c r="K4499">
        <v>0</v>
      </c>
      <c r="L4499">
        <v>17634</v>
      </c>
      <c r="M4499" t="s">
        <v>2485</v>
      </c>
      <c r="N4499" t="str">
        <f>"108571838   "</f>
        <v xml:space="preserve">108571838   </v>
      </c>
      <c r="O4499">
        <v>231004</v>
      </c>
    </row>
    <row r="4500" spans="1:15" x14ac:dyDescent="0.25">
      <c r="A4500" t="s">
        <v>16</v>
      </c>
      <c r="B4500" t="s">
        <v>3221</v>
      </c>
      <c r="C4500">
        <v>16569</v>
      </c>
      <c r="D4500" t="s">
        <v>2638</v>
      </c>
      <c r="E4500" t="s">
        <v>2639</v>
      </c>
      <c r="F4500">
        <v>484.3</v>
      </c>
      <c r="G4500">
        <v>231121</v>
      </c>
      <c r="H4500">
        <v>4600</v>
      </c>
      <c r="I4500" t="s">
        <v>105</v>
      </c>
      <c r="J4500">
        <v>484.3</v>
      </c>
      <c r="K4500">
        <v>0</v>
      </c>
      <c r="L4500">
        <v>17634</v>
      </c>
      <c r="M4500" t="s">
        <v>2485</v>
      </c>
      <c r="N4500" t="str">
        <f>"108729885   "</f>
        <v xml:space="preserve">108729885   </v>
      </c>
      <c r="O4500">
        <v>231201</v>
      </c>
    </row>
    <row r="4501" spans="1:15" x14ac:dyDescent="0.25">
      <c r="A4501" t="s">
        <v>16</v>
      </c>
      <c r="B4501" t="s">
        <v>3221</v>
      </c>
      <c r="C4501">
        <v>18376</v>
      </c>
      <c r="D4501" t="s">
        <v>2638</v>
      </c>
      <c r="E4501" t="s">
        <v>2639</v>
      </c>
      <c r="F4501">
        <v>210.24</v>
      </c>
      <c r="G4501">
        <v>231204</v>
      </c>
      <c r="H4501">
        <v>4600</v>
      </c>
      <c r="I4501" t="s">
        <v>105</v>
      </c>
      <c r="J4501">
        <v>260.7</v>
      </c>
      <c r="K4501">
        <v>50.46</v>
      </c>
      <c r="L4501">
        <v>17523</v>
      </c>
      <c r="M4501" t="s">
        <v>134</v>
      </c>
      <c r="N4501" t="str">
        <f>"108793060   "</f>
        <v xml:space="preserve">108793060   </v>
      </c>
      <c r="O4501">
        <v>240103</v>
      </c>
    </row>
    <row r="4502" spans="1:15" x14ac:dyDescent="0.25">
      <c r="A4502" t="s">
        <v>16</v>
      </c>
      <c r="B4502" t="s">
        <v>3221</v>
      </c>
      <c r="C4502">
        <v>11293</v>
      </c>
      <c r="D4502" t="s">
        <v>830</v>
      </c>
      <c r="E4502" t="s">
        <v>831</v>
      </c>
      <c r="F4502">
        <v>86.85</v>
      </c>
      <c r="G4502">
        <v>230901</v>
      </c>
      <c r="H4502">
        <v>4580</v>
      </c>
      <c r="I4502" t="s">
        <v>35</v>
      </c>
      <c r="J4502">
        <v>107.69</v>
      </c>
      <c r="K4502">
        <v>20.84</v>
      </c>
      <c r="L4502">
        <v>59504</v>
      </c>
      <c r="M4502" t="s">
        <v>71</v>
      </c>
      <c r="N4502" t="str">
        <f>"202202259   "</f>
        <v xml:space="preserve">202202259   </v>
      </c>
      <c r="O4502">
        <v>230904</v>
      </c>
    </row>
    <row r="4503" spans="1:15" x14ac:dyDescent="0.25">
      <c r="A4503" t="s">
        <v>16</v>
      </c>
      <c r="B4503" t="s">
        <v>3221</v>
      </c>
      <c r="C4503">
        <v>6062</v>
      </c>
      <c r="D4503" t="s">
        <v>830</v>
      </c>
      <c r="E4503" t="s">
        <v>831</v>
      </c>
      <c r="F4503">
        <v>44.23</v>
      </c>
      <c r="G4503">
        <v>230504</v>
      </c>
      <c r="H4503">
        <v>4600</v>
      </c>
      <c r="I4503" t="s">
        <v>105</v>
      </c>
      <c r="J4503">
        <v>54.85</v>
      </c>
      <c r="K4503">
        <v>10.62</v>
      </c>
      <c r="L4503">
        <v>59504</v>
      </c>
      <c r="M4503" t="s">
        <v>71</v>
      </c>
      <c r="N4503" t="str">
        <f>"202202187   "</f>
        <v xml:space="preserve">202202187   </v>
      </c>
      <c r="O4503">
        <v>230508</v>
      </c>
    </row>
    <row r="4504" spans="1:15" x14ac:dyDescent="0.25">
      <c r="A4504" t="s">
        <v>16</v>
      </c>
      <c r="B4504" t="s">
        <v>3221</v>
      </c>
      <c r="C4504">
        <v>9402</v>
      </c>
      <c r="D4504" t="s">
        <v>830</v>
      </c>
      <c r="E4504" t="s">
        <v>831</v>
      </c>
      <c r="F4504">
        <v>51.04</v>
      </c>
      <c r="G4504">
        <v>230703</v>
      </c>
      <c r="H4504">
        <v>4600</v>
      </c>
      <c r="I4504" t="s">
        <v>105</v>
      </c>
      <c r="J4504">
        <v>63.29</v>
      </c>
      <c r="K4504">
        <v>12.25</v>
      </c>
      <c r="L4504">
        <v>59504</v>
      </c>
      <c r="M4504" t="s">
        <v>71</v>
      </c>
      <c r="N4504" t="str">
        <f>"202202222   "</f>
        <v xml:space="preserve">202202222   </v>
      </c>
      <c r="O4504">
        <v>230710</v>
      </c>
    </row>
    <row r="4505" spans="1:15" x14ac:dyDescent="0.25">
      <c r="A4505" t="s">
        <v>16</v>
      </c>
      <c r="B4505" t="s">
        <v>3221</v>
      </c>
      <c r="C4505">
        <v>4374</v>
      </c>
      <c r="D4505" t="s">
        <v>830</v>
      </c>
      <c r="E4505" t="s">
        <v>831</v>
      </c>
      <c r="F4505">
        <v>5.0599999999999996</v>
      </c>
      <c r="G4505">
        <v>230403</v>
      </c>
      <c r="H4505">
        <v>4555</v>
      </c>
      <c r="I4505" t="s">
        <v>481</v>
      </c>
      <c r="J4505">
        <v>6.28</v>
      </c>
      <c r="K4505">
        <v>1.22</v>
      </c>
      <c r="L4505">
        <v>59504</v>
      </c>
      <c r="M4505" t="s">
        <v>71</v>
      </c>
      <c r="N4505" t="str">
        <f>"202202171   "</f>
        <v xml:space="preserve">202202171   </v>
      </c>
      <c r="O4505">
        <v>230405</v>
      </c>
    </row>
    <row r="4506" spans="1:15" x14ac:dyDescent="0.25">
      <c r="A4506" t="s">
        <v>16</v>
      </c>
      <c r="B4506" t="s">
        <v>3221</v>
      </c>
      <c r="C4506">
        <v>9402</v>
      </c>
      <c r="D4506" t="s">
        <v>830</v>
      </c>
      <c r="E4506" t="s">
        <v>831</v>
      </c>
      <c r="F4506">
        <v>23.99</v>
      </c>
      <c r="G4506">
        <v>230703</v>
      </c>
      <c r="H4506">
        <v>4555</v>
      </c>
      <c r="I4506" t="s">
        <v>481</v>
      </c>
      <c r="J4506">
        <v>29.75</v>
      </c>
      <c r="K4506">
        <v>5.76</v>
      </c>
      <c r="L4506">
        <v>59504</v>
      </c>
      <c r="M4506" t="s">
        <v>71</v>
      </c>
      <c r="N4506" t="str">
        <f>"202202222   "</f>
        <v xml:space="preserve">202202222   </v>
      </c>
      <c r="O4506">
        <v>230710</v>
      </c>
    </row>
    <row r="4507" spans="1:15" x14ac:dyDescent="0.25">
      <c r="A4507" t="s">
        <v>16</v>
      </c>
      <c r="B4507" t="s">
        <v>3221</v>
      </c>
      <c r="C4507">
        <v>2650</v>
      </c>
      <c r="D4507" t="s">
        <v>830</v>
      </c>
      <c r="E4507" t="s">
        <v>831</v>
      </c>
      <c r="F4507">
        <v>27.81</v>
      </c>
      <c r="G4507">
        <v>230301</v>
      </c>
      <c r="H4507">
        <v>4560</v>
      </c>
      <c r="I4507" t="s">
        <v>345</v>
      </c>
      <c r="J4507">
        <v>34.479999999999997</v>
      </c>
      <c r="K4507">
        <v>6.67</v>
      </c>
      <c r="L4507">
        <v>59504</v>
      </c>
      <c r="M4507" t="s">
        <v>71</v>
      </c>
      <c r="N4507" t="str">
        <f>"202202157   "</f>
        <v xml:space="preserve">202202157   </v>
      </c>
      <c r="O4507">
        <v>230306</v>
      </c>
    </row>
    <row r="4508" spans="1:15" x14ac:dyDescent="0.25">
      <c r="A4508" t="s">
        <v>16</v>
      </c>
      <c r="B4508" t="s">
        <v>3221</v>
      </c>
      <c r="C4508">
        <v>13227</v>
      </c>
      <c r="D4508" t="s">
        <v>830</v>
      </c>
      <c r="E4508" t="s">
        <v>831</v>
      </c>
      <c r="F4508">
        <v>166.27</v>
      </c>
      <c r="G4508">
        <v>231002</v>
      </c>
      <c r="H4508">
        <v>4590</v>
      </c>
      <c r="I4508" t="s">
        <v>203</v>
      </c>
      <c r="J4508">
        <v>206.18</v>
      </c>
      <c r="K4508">
        <v>39.909999999999997</v>
      </c>
      <c r="L4508">
        <v>59504</v>
      </c>
      <c r="M4508" t="s">
        <v>71</v>
      </c>
      <c r="N4508" t="str">
        <f>"202202280   "</f>
        <v xml:space="preserve">202202280   </v>
      </c>
      <c r="O4508">
        <v>231006</v>
      </c>
    </row>
    <row r="4509" spans="1:15" x14ac:dyDescent="0.25">
      <c r="A4509" t="s">
        <v>16</v>
      </c>
      <c r="B4509" t="s">
        <v>3221</v>
      </c>
      <c r="C4509">
        <v>1005</v>
      </c>
      <c r="D4509" t="s">
        <v>830</v>
      </c>
      <c r="E4509" t="s">
        <v>831</v>
      </c>
      <c r="F4509">
        <v>9.8699999999999992</v>
      </c>
      <c r="G4509">
        <v>230201</v>
      </c>
      <c r="H4509">
        <v>4572</v>
      </c>
      <c r="I4509" t="s">
        <v>122</v>
      </c>
      <c r="J4509">
        <v>12.24</v>
      </c>
      <c r="K4509">
        <v>2.37</v>
      </c>
      <c r="L4509">
        <v>59504</v>
      </c>
      <c r="M4509" t="s">
        <v>71</v>
      </c>
      <c r="N4509" t="str">
        <f>"202202145   "</f>
        <v xml:space="preserve">202202145   </v>
      </c>
      <c r="O4509">
        <v>230202</v>
      </c>
    </row>
    <row r="4510" spans="1:15" x14ac:dyDescent="0.25">
      <c r="A4510" t="s">
        <v>16</v>
      </c>
      <c r="B4510" t="s">
        <v>3221</v>
      </c>
      <c r="C4510">
        <v>13019</v>
      </c>
      <c r="D4510" t="s">
        <v>2614</v>
      </c>
      <c r="E4510" t="s">
        <v>2615</v>
      </c>
      <c r="F4510">
        <v>77.42</v>
      </c>
      <c r="G4510">
        <v>230929</v>
      </c>
      <c r="H4510">
        <v>4530</v>
      </c>
      <c r="I4510" t="s">
        <v>342</v>
      </c>
      <c r="J4510">
        <v>96</v>
      </c>
      <c r="K4510">
        <v>18.579999999999998</v>
      </c>
      <c r="L4510">
        <v>13501</v>
      </c>
      <c r="M4510" t="s">
        <v>20</v>
      </c>
      <c r="N4510" t="str">
        <f>"6023090004  "</f>
        <v xml:space="preserve">6023090004  </v>
      </c>
      <c r="O4510">
        <v>231002</v>
      </c>
    </row>
    <row r="4511" spans="1:15" x14ac:dyDescent="0.25">
      <c r="A4511" t="s">
        <v>16</v>
      </c>
      <c r="B4511" t="s">
        <v>3221</v>
      </c>
      <c r="C4511">
        <v>888</v>
      </c>
      <c r="D4511" t="s">
        <v>3224</v>
      </c>
      <c r="E4511" t="s">
        <v>3225</v>
      </c>
      <c r="F4511">
        <v>25000</v>
      </c>
      <c r="G4511">
        <v>230127</v>
      </c>
      <c r="H4511">
        <v>4346</v>
      </c>
      <c r="I4511" t="s">
        <v>197</v>
      </c>
      <c r="J4511">
        <v>31000</v>
      </c>
      <c r="K4511">
        <v>6000</v>
      </c>
      <c r="L4511">
        <v>11903</v>
      </c>
      <c r="M4511" t="s">
        <v>406</v>
      </c>
      <c r="N4511" t="str">
        <f>"18 109      "</f>
        <v xml:space="preserve">18 109      </v>
      </c>
      <c r="O4511">
        <v>230201</v>
      </c>
    </row>
    <row r="4512" spans="1:15" x14ac:dyDescent="0.25">
      <c r="A4512" t="s">
        <v>16</v>
      </c>
      <c r="B4512" t="s">
        <v>3221</v>
      </c>
      <c r="C4512">
        <v>16360</v>
      </c>
      <c r="D4512" t="s">
        <v>3224</v>
      </c>
      <c r="E4512" t="s">
        <v>3225</v>
      </c>
      <c r="F4512">
        <v>25000</v>
      </c>
      <c r="G4512">
        <v>231120</v>
      </c>
      <c r="H4512">
        <v>4346</v>
      </c>
      <c r="I4512" t="s">
        <v>197</v>
      </c>
      <c r="J4512">
        <v>31000</v>
      </c>
      <c r="K4512">
        <v>6000</v>
      </c>
      <c r="L4512">
        <v>11903</v>
      </c>
      <c r="M4512" t="s">
        <v>406</v>
      </c>
      <c r="N4512" t="str">
        <f>"231151      "</f>
        <v xml:space="preserve">231151      </v>
      </c>
      <c r="O4512">
        <v>231128</v>
      </c>
    </row>
    <row r="4513" spans="1:15" x14ac:dyDescent="0.25">
      <c r="A4513" t="s">
        <v>16</v>
      </c>
      <c r="B4513" t="s">
        <v>3221</v>
      </c>
      <c r="C4513">
        <v>18197</v>
      </c>
      <c r="D4513" t="s">
        <v>3224</v>
      </c>
      <c r="E4513" t="s">
        <v>3225</v>
      </c>
      <c r="F4513">
        <v>9</v>
      </c>
      <c r="G4513">
        <v>231220</v>
      </c>
      <c r="H4513">
        <v>4410</v>
      </c>
      <c r="I4513" t="s">
        <v>517</v>
      </c>
      <c r="J4513">
        <v>10.26</v>
      </c>
      <c r="K4513">
        <v>1.26</v>
      </c>
      <c r="L4513">
        <v>67522</v>
      </c>
      <c r="M4513" t="s">
        <v>397</v>
      </c>
      <c r="N4513" t="str">
        <f>"231457      "</f>
        <v xml:space="preserve">231457      </v>
      </c>
      <c r="O4513">
        <v>240102</v>
      </c>
    </row>
    <row r="4514" spans="1:15" x14ac:dyDescent="0.25">
      <c r="A4514" t="s">
        <v>16</v>
      </c>
      <c r="B4514" t="s">
        <v>3221</v>
      </c>
      <c r="C4514">
        <v>18197</v>
      </c>
      <c r="D4514" t="s">
        <v>3224</v>
      </c>
      <c r="E4514" t="s">
        <v>3225</v>
      </c>
      <c r="F4514">
        <v>76.7</v>
      </c>
      <c r="G4514">
        <v>231220</v>
      </c>
      <c r="H4514">
        <v>4410</v>
      </c>
      <c r="I4514" t="s">
        <v>517</v>
      </c>
      <c r="J4514">
        <v>87.44</v>
      </c>
      <c r="K4514">
        <v>10.74</v>
      </c>
      <c r="L4514">
        <v>69113</v>
      </c>
      <c r="M4514" t="s">
        <v>282</v>
      </c>
      <c r="N4514" t="str">
        <f>"231457      "</f>
        <v xml:space="preserve">231457      </v>
      </c>
      <c r="O4514">
        <v>240102</v>
      </c>
    </row>
    <row r="4515" spans="1:15" x14ac:dyDescent="0.25">
      <c r="A4515" t="s">
        <v>16</v>
      </c>
      <c r="B4515" t="s">
        <v>3221</v>
      </c>
      <c r="C4515">
        <v>1795</v>
      </c>
      <c r="D4515" t="s">
        <v>3224</v>
      </c>
      <c r="E4515" t="s">
        <v>3225</v>
      </c>
      <c r="F4515">
        <v>660</v>
      </c>
      <c r="G4515">
        <v>230202</v>
      </c>
      <c r="H4515">
        <v>4441</v>
      </c>
      <c r="I4515" t="s">
        <v>109</v>
      </c>
      <c r="J4515">
        <v>660</v>
      </c>
      <c r="K4515">
        <v>0</v>
      </c>
      <c r="L4515">
        <v>18972</v>
      </c>
      <c r="M4515" t="s">
        <v>163</v>
      </c>
      <c r="N4515" t="str">
        <f>"18 147      "</f>
        <v xml:space="preserve">18 147      </v>
      </c>
      <c r="O4515">
        <v>230214</v>
      </c>
    </row>
    <row r="4516" spans="1:15" x14ac:dyDescent="0.25">
      <c r="A4516" t="s">
        <v>16</v>
      </c>
      <c r="B4516" t="s">
        <v>3221</v>
      </c>
      <c r="C4516">
        <v>8463</v>
      </c>
      <c r="D4516" t="s">
        <v>2185</v>
      </c>
      <c r="E4516" t="s">
        <v>2186</v>
      </c>
      <c r="F4516">
        <v>20</v>
      </c>
      <c r="G4516">
        <v>230608</v>
      </c>
      <c r="H4516">
        <v>4470</v>
      </c>
      <c r="I4516" t="s">
        <v>83</v>
      </c>
      <c r="J4516">
        <v>24.8</v>
      </c>
      <c r="K4516">
        <v>4.8</v>
      </c>
      <c r="L4516">
        <v>17951</v>
      </c>
      <c r="M4516" t="s">
        <v>87</v>
      </c>
      <c r="N4516" t="str">
        <f>"1098        "</f>
        <v xml:space="preserve">1098        </v>
      </c>
      <c r="O4516">
        <v>230609</v>
      </c>
    </row>
    <row r="4517" spans="1:15" x14ac:dyDescent="0.25">
      <c r="A4517" t="s">
        <v>16</v>
      </c>
      <c r="B4517" t="s">
        <v>3221</v>
      </c>
      <c r="C4517">
        <v>8463</v>
      </c>
      <c r="D4517" t="s">
        <v>2185</v>
      </c>
      <c r="E4517" t="s">
        <v>2186</v>
      </c>
      <c r="F4517">
        <v>160.4</v>
      </c>
      <c r="G4517">
        <v>230608</v>
      </c>
      <c r="H4517">
        <v>4380</v>
      </c>
      <c r="I4517" t="s">
        <v>113</v>
      </c>
      <c r="J4517">
        <v>198.9</v>
      </c>
      <c r="K4517">
        <v>38.5</v>
      </c>
      <c r="L4517">
        <v>17951</v>
      </c>
      <c r="M4517" t="s">
        <v>87</v>
      </c>
      <c r="N4517" t="str">
        <f>"1098        "</f>
        <v xml:space="preserve">1098        </v>
      </c>
      <c r="O4517">
        <v>230609</v>
      </c>
    </row>
    <row r="4518" spans="1:15" x14ac:dyDescent="0.25">
      <c r="A4518" t="s">
        <v>16</v>
      </c>
      <c r="B4518" t="s">
        <v>3221</v>
      </c>
      <c r="C4518">
        <v>10309</v>
      </c>
      <c r="D4518" t="s">
        <v>2364</v>
      </c>
      <c r="E4518" t="s">
        <v>2365</v>
      </c>
      <c r="F4518">
        <v>5450</v>
      </c>
      <c r="G4518">
        <v>230809</v>
      </c>
      <c r="H4518">
        <v>4390</v>
      </c>
      <c r="I4518" t="s">
        <v>98</v>
      </c>
      <c r="J4518">
        <v>5450</v>
      </c>
      <c r="K4518">
        <v>0</v>
      </c>
      <c r="L4518">
        <v>17951</v>
      </c>
      <c r="M4518" t="s">
        <v>87</v>
      </c>
      <c r="N4518" t="str">
        <f>"7759        "</f>
        <v xml:space="preserve">7759        </v>
      </c>
      <c r="O4518">
        <v>230814</v>
      </c>
    </row>
    <row r="4519" spans="1:15" x14ac:dyDescent="0.25">
      <c r="A4519" t="s">
        <v>16</v>
      </c>
      <c r="B4519" t="s">
        <v>3221</v>
      </c>
      <c r="C4519">
        <v>17459</v>
      </c>
      <c r="D4519" t="s">
        <v>3063</v>
      </c>
      <c r="E4519" t="s">
        <v>3064</v>
      </c>
      <c r="F4519">
        <v>358.17</v>
      </c>
      <c r="G4519">
        <v>231205</v>
      </c>
      <c r="H4519">
        <v>4600</v>
      </c>
      <c r="I4519" t="s">
        <v>105</v>
      </c>
      <c r="J4519">
        <v>444.13</v>
      </c>
      <c r="K4519">
        <v>85.96</v>
      </c>
      <c r="L4519">
        <v>49501</v>
      </c>
      <c r="M4519" t="s">
        <v>177</v>
      </c>
      <c r="N4519" t="str">
        <f>"821547      "</f>
        <v xml:space="preserve">821547      </v>
      </c>
      <c r="O4519">
        <v>231214</v>
      </c>
    </row>
    <row r="4520" spans="1:15" x14ac:dyDescent="0.25">
      <c r="A4520" t="s">
        <v>16</v>
      </c>
      <c r="B4520" t="s">
        <v>3221</v>
      </c>
      <c r="C4520">
        <v>10621</v>
      </c>
      <c r="D4520" t="s">
        <v>2399</v>
      </c>
      <c r="E4520" t="s">
        <v>2400</v>
      </c>
      <c r="F4520">
        <v>878</v>
      </c>
      <c r="G4520">
        <v>230811</v>
      </c>
      <c r="H4520">
        <v>4400</v>
      </c>
      <c r="I4520" t="s">
        <v>348</v>
      </c>
      <c r="J4520">
        <v>1088.72</v>
      </c>
      <c r="K4520">
        <v>210.72</v>
      </c>
      <c r="L4520">
        <v>56559</v>
      </c>
      <c r="M4520" t="s">
        <v>129</v>
      </c>
      <c r="N4520" t="str">
        <f>"129423      "</f>
        <v xml:space="preserve">129423      </v>
      </c>
      <c r="O4520">
        <v>230821</v>
      </c>
    </row>
    <row r="4521" spans="1:15" x14ac:dyDescent="0.25">
      <c r="A4521" t="s">
        <v>16</v>
      </c>
      <c r="B4521" t="s">
        <v>3221</v>
      </c>
      <c r="C4521">
        <v>983</v>
      </c>
      <c r="D4521" t="s">
        <v>818</v>
      </c>
      <c r="E4521" t="s">
        <v>819</v>
      </c>
      <c r="F4521">
        <v>54000</v>
      </c>
      <c r="G4521">
        <v>230123</v>
      </c>
      <c r="H4521">
        <v>1196</v>
      </c>
      <c r="I4521" t="s">
        <v>392</v>
      </c>
      <c r="J4521">
        <v>54000</v>
      </c>
      <c r="K4521">
        <v>0</v>
      </c>
      <c r="L4521">
        <v>95501</v>
      </c>
      <c r="M4521" t="s">
        <v>623</v>
      </c>
      <c r="N4521" t="str">
        <f>"3525        "</f>
        <v xml:space="preserve">3525        </v>
      </c>
      <c r="O4521">
        <v>230202</v>
      </c>
    </row>
    <row r="4522" spans="1:15" x14ac:dyDescent="0.25">
      <c r="A4522" t="s">
        <v>16</v>
      </c>
      <c r="B4522" t="s">
        <v>3221</v>
      </c>
      <c r="C4522">
        <v>1622</v>
      </c>
      <c r="D4522" t="s">
        <v>818</v>
      </c>
      <c r="E4522" t="s">
        <v>819</v>
      </c>
      <c r="F4522">
        <v>40000</v>
      </c>
      <c r="G4522">
        <v>230207</v>
      </c>
      <c r="H4522">
        <v>1196</v>
      </c>
      <c r="I4522" t="s">
        <v>392</v>
      </c>
      <c r="J4522">
        <v>40000</v>
      </c>
      <c r="K4522">
        <v>0</v>
      </c>
      <c r="L4522">
        <v>95501</v>
      </c>
      <c r="M4522" t="s">
        <v>623</v>
      </c>
      <c r="N4522" t="str">
        <f>"3534        "</f>
        <v xml:space="preserve">3534        </v>
      </c>
      <c r="O4522">
        <v>230210</v>
      </c>
    </row>
    <row r="4523" spans="1:15" x14ac:dyDescent="0.25">
      <c r="A4523" t="s">
        <v>16</v>
      </c>
      <c r="B4523" t="s">
        <v>3221</v>
      </c>
      <c r="C4523">
        <v>1622</v>
      </c>
      <c r="D4523" t="s">
        <v>818</v>
      </c>
      <c r="E4523" t="s">
        <v>819</v>
      </c>
      <c r="F4523">
        <v>55856</v>
      </c>
      <c r="G4523">
        <v>230207</v>
      </c>
      <c r="H4523">
        <v>1196</v>
      </c>
      <c r="I4523" t="s">
        <v>392</v>
      </c>
      <c r="J4523">
        <v>55856</v>
      </c>
      <c r="K4523">
        <v>0</v>
      </c>
      <c r="L4523">
        <v>95501</v>
      </c>
      <c r="M4523" t="s">
        <v>623</v>
      </c>
      <c r="N4523" t="str">
        <f>"3534        "</f>
        <v xml:space="preserve">3534        </v>
      </c>
      <c r="O4523">
        <v>230210</v>
      </c>
    </row>
    <row r="4524" spans="1:15" x14ac:dyDescent="0.25">
      <c r="A4524" t="s">
        <v>16</v>
      </c>
      <c r="B4524" t="s">
        <v>3221</v>
      </c>
      <c r="C4524">
        <v>2095</v>
      </c>
      <c r="D4524" t="s">
        <v>818</v>
      </c>
      <c r="E4524" t="s">
        <v>819</v>
      </c>
      <c r="F4524">
        <v>53000</v>
      </c>
      <c r="G4524">
        <v>230213</v>
      </c>
      <c r="H4524">
        <v>1196</v>
      </c>
      <c r="I4524" t="s">
        <v>392</v>
      </c>
      <c r="J4524">
        <v>53000</v>
      </c>
      <c r="K4524">
        <v>0</v>
      </c>
      <c r="L4524">
        <v>95501</v>
      </c>
      <c r="M4524" t="s">
        <v>623</v>
      </c>
      <c r="N4524" t="str">
        <f>"3536        "</f>
        <v xml:space="preserve">3536        </v>
      </c>
      <c r="O4524">
        <v>230220</v>
      </c>
    </row>
    <row r="4525" spans="1:15" x14ac:dyDescent="0.25">
      <c r="A4525" t="s">
        <v>16</v>
      </c>
      <c r="B4525" t="s">
        <v>3221</v>
      </c>
      <c r="C4525">
        <v>2366</v>
      </c>
      <c r="D4525" t="s">
        <v>818</v>
      </c>
      <c r="E4525" t="s">
        <v>819</v>
      </c>
      <c r="F4525">
        <v>162000</v>
      </c>
      <c r="G4525">
        <v>230221</v>
      </c>
      <c r="H4525">
        <v>1196</v>
      </c>
      <c r="I4525" t="s">
        <v>392</v>
      </c>
      <c r="J4525">
        <v>162000</v>
      </c>
      <c r="K4525">
        <v>0</v>
      </c>
      <c r="L4525">
        <v>95501</v>
      </c>
      <c r="M4525" t="s">
        <v>623</v>
      </c>
      <c r="N4525" t="str">
        <f>"3540        "</f>
        <v xml:space="preserve">3540        </v>
      </c>
      <c r="O4525">
        <v>230224</v>
      </c>
    </row>
    <row r="4526" spans="1:15" x14ac:dyDescent="0.25">
      <c r="A4526" t="s">
        <v>16</v>
      </c>
      <c r="B4526" t="s">
        <v>3221</v>
      </c>
      <c r="C4526">
        <v>2935</v>
      </c>
      <c r="D4526" t="s">
        <v>818</v>
      </c>
      <c r="E4526" t="s">
        <v>819</v>
      </c>
      <c r="F4526">
        <v>15500</v>
      </c>
      <c r="G4526">
        <v>230224</v>
      </c>
      <c r="H4526">
        <v>1196</v>
      </c>
      <c r="I4526" t="s">
        <v>392</v>
      </c>
      <c r="J4526">
        <v>15500</v>
      </c>
      <c r="K4526">
        <v>0</v>
      </c>
      <c r="L4526">
        <v>95501</v>
      </c>
      <c r="M4526" t="s">
        <v>623</v>
      </c>
      <c r="N4526" t="str">
        <f>"3547        "</f>
        <v xml:space="preserve">3547        </v>
      </c>
      <c r="O4526">
        <v>230308</v>
      </c>
    </row>
    <row r="4527" spans="1:15" x14ac:dyDescent="0.25">
      <c r="A4527" t="s">
        <v>16</v>
      </c>
      <c r="B4527" t="s">
        <v>3221</v>
      </c>
      <c r="C4527">
        <v>2952</v>
      </c>
      <c r="D4527" t="s">
        <v>818</v>
      </c>
      <c r="E4527" t="s">
        <v>819</v>
      </c>
      <c r="F4527">
        <v>47000</v>
      </c>
      <c r="G4527">
        <v>230306</v>
      </c>
      <c r="H4527">
        <v>1196</v>
      </c>
      <c r="I4527" t="s">
        <v>392</v>
      </c>
      <c r="J4527">
        <v>47000</v>
      </c>
      <c r="K4527">
        <v>0</v>
      </c>
      <c r="L4527">
        <v>95501</v>
      </c>
      <c r="M4527" t="s">
        <v>623</v>
      </c>
      <c r="N4527" t="str">
        <f>"3548        "</f>
        <v xml:space="preserve">3548        </v>
      </c>
      <c r="O4527">
        <v>230308</v>
      </c>
    </row>
    <row r="4528" spans="1:15" x14ac:dyDescent="0.25">
      <c r="A4528" t="s">
        <v>16</v>
      </c>
      <c r="B4528" t="s">
        <v>3221</v>
      </c>
      <c r="C4528">
        <v>2952</v>
      </c>
      <c r="D4528" t="s">
        <v>818</v>
      </c>
      <c r="E4528" t="s">
        <v>819</v>
      </c>
      <c r="F4528">
        <v>27800</v>
      </c>
      <c r="G4528">
        <v>230306</v>
      </c>
      <c r="H4528">
        <v>1196</v>
      </c>
      <c r="I4528" t="s">
        <v>392</v>
      </c>
      <c r="J4528">
        <v>27800</v>
      </c>
      <c r="K4528">
        <v>0</v>
      </c>
      <c r="L4528">
        <v>95501</v>
      </c>
      <c r="M4528" t="s">
        <v>623</v>
      </c>
      <c r="N4528" t="str">
        <f>"3548        "</f>
        <v xml:space="preserve">3548        </v>
      </c>
      <c r="O4528">
        <v>230308</v>
      </c>
    </row>
    <row r="4529" spans="1:15" x14ac:dyDescent="0.25">
      <c r="A4529" t="s">
        <v>16</v>
      </c>
      <c r="B4529" t="s">
        <v>3221</v>
      </c>
      <c r="C4529">
        <v>3568</v>
      </c>
      <c r="D4529" t="s">
        <v>818</v>
      </c>
      <c r="E4529" t="s">
        <v>819</v>
      </c>
      <c r="F4529">
        <v>21000</v>
      </c>
      <c r="G4529">
        <v>230313</v>
      </c>
      <c r="H4529">
        <v>1196</v>
      </c>
      <c r="I4529" t="s">
        <v>392</v>
      </c>
      <c r="J4529">
        <v>21000</v>
      </c>
      <c r="K4529">
        <v>0</v>
      </c>
      <c r="L4529">
        <v>95501</v>
      </c>
      <c r="M4529" t="s">
        <v>623</v>
      </c>
      <c r="N4529" t="str">
        <f>"3554        "</f>
        <v xml:space="preserve">3554        </v>
      </c>
      <c r="O4529">
        <v>230317</v>
      </c>
    </row>
    <row r="4530" spans="1:15" x14ac:dyDescent="0.25">
      <c r="A4530" t="s">
        <v>16</v>
      </c>
      <c r="B4530" t="s">
        <v>3221</v>
      </c>
      <c r="C4530">
        <v>3568</v>
      </c>
      <c r="D4530" t="s">
        <v>818</v>
      </c>
      <c r="E4530" t="s">
        <v>819</v>
      </c>
      <c r="F4530">
        <v>35550</v>
      </c>
      <c r="G4530">
        <v>230313</v>
      </c>
      <c r="H4530">
        <v>1196</v>
      </c>
      <c r="I4530" t="s">
        <v>392</v>
      </c>
      <c r="J4530">
        <v>35550</v>
      </c>
      <c r="K4530">
        <v>0</v>
      </c>
      <c r="L4530">
        <v>95501</v>
      </c>
      <c r="M4530" t="s">
        <v>623</v>
      </c>
      <c r="N4530" t="str">
        <f>"3554        "</f>
        <v xml:space="preserve">3554        </v>
      </c>
      <c r="O4530">
        <v>230317</v>
      </c>
    </row>
    <row r="4531" spans="1:15" x14ac:dyDescent="0.25">
      <c r="A4531" t="s">
        <v>16</v>
      </c>
      <c r="B4531" t="s">
        <v>3221</v>
      </c>
      <c r="C4531">
        <v>3568</v>
      </c>
      <c r="D4531" t="s">
        <v>818</v>
      </c>
      <c r="E4531" t="s">
        <v>819</v>
      </c>
      <c r="F4531">
        <v>2990.4</v>
      </c>
      <c r="G4531">
        <v>230313</v>
      </c>
      <c r="H4531">
        <v>1196</v>
      </c>
      <c r="I4531" t="s">
        <v>392</v>
      </c>
      <c r="J4531">
        <v>2990.4</v>
      </c>
      <c r="K4531">
        <v>0</v>
      </c>
      <c r="L4531">
        <v>95501</v>
      </c>
      <c r="M4531" t="s">
        <v>623</v>
      </c>
      <c r="N4531" t="str">
        <f>"3554        "</f>
        <v xml:space="preserve">3554        </v>
      </c>
      <c r="O4531">
        <v>230317</v>
      </c>
    </row>
    <row r="4532" spans="1:15" x14ac:dyDescent="0.25">
      <c r="A4532" t="s">
        <v>16</v>
      </c>
      <c r="B4532" t="s">
        <v>3221</v>
      </c>
      <c r="C4532">
        <v>3902</v>
      </c>
      <c r="D4532" t="s">
        <v>818</v>
      </c>
      <c r="E4532" t="s">
        <v>819</v>
      </c>
      <c r="F4532">
        <v>28000</v>
      </c>
      <c r="G4532">
        <v>230319</v>
      </c>
      <c r="H4532">
        <v>1196</v>
      </c>
      <c r="I4532" t="s">
        <v>392</v>
      </c>
      <c r="J4532">
        <v>28000</v>
      </c>
      <c r="K4532">
        <v>0</v>
      </c>
      <c r="L4532">
        <v>95501</v>
      </c>
      <c r="M4532" t="s">
        <v>623</v>
      </c>
      <c r="N4532" t="str">
        <f>"3555        "</f>
        <v xml:space="preserve">3555        </v>
      </c>
      <c r="O4532">
        <v>230324</v>
      </c>
    </row>
    <row r="4533" spans="1:15" x14ac:dyDescent="0.25">
      <c r="A4533" t="s">
        <v>16</v>
      </c>
      <c r="B4533" t="s">
        <v>3221</v>
      </c>
      <c r="C4533">
        <v>3902</v>
      </c>
      <c r="D4533" t="s">
        <v>818</v>
      </c>
      <c r="E4533" t="s">
        <v>819</v>
      </c>
      <c r="F4533">
        <v>33000</v>
      </c>
      <c r="G4533">
        <v>230319</v>
      </c>
      <c r="H4533">
        <v>1196</v>
      </c>
      <c r="I4533" t="s">
        <v>392</v>
      </c>
      <c r="J4533">
        <v>33000</v>
      </c>
      <c r="K4533">
        <v>0</v>
      </c>
      <c r="L4533">
        <v>95501</v>
      </c>
      <c r="M4533" t="s">
        <v>623</v>
      </c>
      <c r="N4533" t="str">
        <f>"3555        "</f>
        <v xml:space="preserve">3555        </v>
      </c>
      <c r="O4533">
        <v>230324</v>
      </c>
    </row>
    <row r="4534" spans="1:15" x14ac:dyDescent="0.25">
      <c r="A4534" t="s">
        <v>16</v>
      </c>
      <c r="B4534" t="s">
        <v>3221</v>
      </c>
      <c r="C4534">
        <v>4797</v>
      </c>
      <c r="D4534" t="s">
        <v>818</v>
      </c>
      <c r="E4534" t="s">
        <v>819</v>
      </c>
      <c r="F4534">
        <v>43000</v>
      </c>
      <c r="G4534">
        <v>230325</v>
      </c>
      <c r="H4534">
        <v>1196</v>
      </c>
      <c r="I4534" t="s">
        <v>392</v>
      </c>
      <c r="J4534">
        <v>43000</v>
      </c>
      <c r="K4534">
        <v>0</v>
      </c>
      <c r="L4534">
        <v>95501</v>
      </c>
      <c r="M4534" t="s">
        <v>623</v>
      </c>
      <c r="N4534" t="str">
        <f>"3559        "</f>
        <v xml:space="preserve">3559        </v>
      </c>
      <c r="O4534">
        <v>230412</v>
      </c>
    </row>
    <row r="4535" spans="1:15" x14ac:dyDescent="0.25">
      <c r="A4535" t="s">
        <v>16</v>
      </c>
      <c r="B4535" t="s">
        <v>3221</v>
      </c>
      <c r="C4535">
        <v>4927</v>
      </c>
      <c r="D4535" t="s">
        <v>818</v>
      </c>
      <c r="E4535" t="s">
        <v>819</v>
      </c>
      <c r="F4535">
        <v>58112</v>
      </c>
      <c r="G4535">
        <v>230329</v>
      </c>
      <c r="H4535">
        <v>1196</v>
      </c>
      <c r="I4535" t="s">
        <v>392</v>
      </c>
      <c r="J4535">
        <v>58112</v>
      </c>
      <c r="K4535">
        <v>0</v>
      </c>
      <c r="L4535">
        <v>95501</v>
      </c>
      <c r="M4535" t="s">
        <v>623</v>
      </c>
      <c r="N4535" t="str">
        <f>"3562        "</f>
        <v xml:space="preserve">3562        </v>
      </c>
      <c r="O4535">
        <v>230414</v>
      </c>
    </row>
    <row r="4536" spans="1:15" x14ac:dyDescent="0.25">
      <c r="A4536" t="s">
        <v>16</v>
      </c>
      <c r="B4536" t="s">
        <v>3221</v>
      </c>
      <c r="C4536">
        <v>4928</v>
      </c>
      <c r="D4536" t="s">
        <v>818</v>
      </c>
      <c r="E4536" t="s">
        <v>819</v>
      </c>
      <c r="F4536">
        <v>20000</v>
      </c>
      <c r="G4536">
        <v>230401</v>
      </c>
      <c r="H4536">
        <v>1196</v>
      </c>
      <c r="I4536" t="s">
        <v>392</v>
      </c>
      <c r="J4536">
        <v>20000</v>
      </c>
      <c r="K4536">
        <v>0</v>
      </c>
      <c r="L4536">
        <v>95501</v>
      </c>
      <c r="M4536" t="s">
        <v>623</v>
      </c>
      <c r="N4536" t="str">
        <f>"3565        "</f>
        <v xml:space="preserve">3565        </v>
      </c>
      <c r="O4536">
        <v>230414</v>
      </c>
    </row>
    <row r="4537" spans="1:15" x14ac:dyDescent="0.25">
      <c r="A4537" t="s">
        <v>16</v>
      </c>
      <c r="B4537" t="s">
        <v>3221</v>
      </c>
      <c r="C4537">
        <v>4928</v>
      </c>
      <c r="D4537" t="s">
        <v>818</v>
      </c>
      <c r="E4537" t="s">
        <v>819</v>
      </c>
      <c r="F4537">
        <v>13300</v>
      </c>
      <c r="G4537">
        <v>230401</v>
      </c>
      <c r="H4537">
        <v>1196</v>
      </c>
      <c r="I4537" t="s">
        <v>392</v>
      </c>
      <c r="J4537">
        <v>13300</v>
      </c>
      <c r="K4537">
        <v>0</v>
      </c>
      <c r="L4537">
        <v>95501</v>
      </c>
      <c r="M4537" t="s">
        <v>623</v>
      </c>
      <c r="N4537" t="str">
        <f>"3565        "</f>
        <v xml:space="preserve">3565        </v>
      </c>
      <c r="O4537">
        <v>230414</v>
      </c>
    </row>
    <row r="4538" spans="1:15" x14ac:dyDescent="0.25">
      <c r="A4538" t="s">
        <v>16</v>
      </c>
      <c r="B4538" t="s">
        <v>3221</v>
      </c>
      <c r="C4538">
        <v>4928</v>
      </c>
      <c r="D4538" t="s">
        <v>818</v>
      </c>
      <c r="E4538" t="s">
        <v>819</v>
      </c>
      <c r="F4538">
        <v>88285</v>
      </c>
      <c r="G4538">
        <v>230401</v>
      </c>
      <c r="H4538">
        <v>1196</v>
      </c>
      <c r="I4538" t="s">
        <v>392</v>
      </c>
      <c r="J4538">
        <v>88285</v>
      </c>
      <c r="K4538">
        <v>0</v>
      </c>
      <c r="L4538">
        <v>95501</v>
      </c>
      <c r="M4538" t="s">
        <v>623</v>
      </c>
      <c r="N4538" t="str">
        <f>"3565        "</f>
        <v xml:space="preserve">3565        </v>
      </c>
      <c r="O4538">
        <v>230414</v>
      </c>
    </row>
    <row r="4539" spans="1:15" x14ac:dyDescent="0.25">
      <c r="A4539" t="s">
        <v>16</v>
      </c>
      <c r="B4539" t="s">
        <v>3221</v>
      </c>
      <c r="C4539">
        <v>5607</v>
      </c>
      <c r="D4539" t="s">
        <v>818</v>
      </c>
      <c r="E4539" t="s">
        <v>819</v>
      </c>
      <c r="F4539">
        <v>74100</v>
      </c>
      <c r="G4539">
        <v>230416</v>
      </c>
      <c r="H4539">
        <v>1196</v>
      </c>
      <c r="I4539" t="s">
        <v>392</v>
      </c>
      <c r="J4539">
        <v>74100</v>
      </c>
      <c r="K4539">
        <v>0</v>
      </c>
      <c r="L4539">
        <v>95501</v>
      </c>
      <c r="M4539" t="s">
        <v>623</v>
      </c>
      <c r="N4539" t="str">
        <f>"3567        "</f>
        <v xml:space="preserve">3567        </v>
      </c>
      <c r="O4539">
        <v>230428</v>
      </c>
    </row>
    <row r="4540" spans="1:15" x14ac:dyDescent="0.25">
      <c r="A4540" t="s">
        <v>16</v>
      </c>
      <c r="B4540" t="s">
        <v>3221</v>
      </c>
      <c r="C4540">
        <v>5607</v>
      </c>
      <c r="D4540" t="s">
        <v>818</v>
      </c>
      <c r="E4540" t="s">
        <v>819</v>
      </c>
      <c r="F4540">
        <v>34379.269999999997</v>
      </c>
      <c r="G4540">
        <v>230416</v>
      </c>
      <c r="H4540">
        <v>1196</v>
      </c>
      <c r="I4540" t="s">
        <v>392</v>
      </c>
      <c r="J4540">
        <v>34379.269999999997</v>
      </c>
      <c r="K4540">
        <v>0</v>
      </c>
      <c r="L4540">
        <v>95501</v>
      </c>
      <c r="M4540" t="s">
        <v>623</v>
      </c>
      <c r="N4540" t="str">
        <f>"3567        "</f>
        <v xml:space="preserve">3567        </v>
      </c>
      <c r="O4540">
        <v>230428</v>
      </c>
    </row>
    <row r="4541" spans="1:15" x14ac:dyDescent="0.25">
      <c r="A4541" t="s">
        <v>16</v>
      </c>
      <c r="B4541" t="s">
        <v>3221</v>
      </c>
      <c r="C4541">
        <v>5607</v>
      </c>
      <c r="D4541" t="s">
        <v>818</v>
      </c>
      <c r="E4541" t="s">
        <v>819</v>
      </c>
      <c r="F4541">
        <v>55200</v>
      </c>
      <c r="G4541">
        <v>230416</v>
      </c>
      <c r="H4541">
        <v>1196</v>
      </c>
      <c r="I4541" t="s">
        <v>392</v>
      </c>
      <c r="J4541">
        <v>55200</v>
      </c>
      <c r="K4541">
        <v>0</v>
      </c>
      <c r="L4541">
        <v>95501</v>
      </c>
      <c r="M4541" t="s">
        <v>623</v>
      </c>
      <c r="N4541" t="str">
        <f>"3567        "</f>
        <v xml:space="preserve">3567        </v>
      </c>
      <c r="O4541">
        <v>230428</v>
      </c>
    </row>
    <row r="4542" spans="1:15" x14ac:dyDescent="0.25">
      <c r="A4542" t="s">
        <v>16</v>
      </c>
      <c r="B4542" t="s">
        <v>3221</v>
      </c>
      <c r="C4542">
        <v>5607</v>
      </c>
      <c r="D4542" t="s">
        <v>818</v>
      </c>
      <c r="E4542" t="s">
        <v>819</v>
      </c>
      <c r="F4542">
        <v>50950</v>
      </c>
      <c r="G4542">
        <v>230416</v>
      </c>
      <c r="H4542">
        <v>1196</v>
      </c>
      <c r="I4542" t="s">
        <v>392</v>
      </c>
      <c r="J4542">
        <v>50950</v>
      </c>
      <c r="K4542">
        <v>0</v>
      </c>
      <c r="L4542">
        <v>95501</v>
      </c>
      <c r="M4542" t="s">
        <v>623</v>
      </c>
      <c r="N4542" t="str">
        <f>"3567        "</f>
        <v xml:space="preserve">3567        </v>
      </c>
      <c r="O4542">
        <v>230428</v>
      </c>
    </row>
    <row r="4543" spans="1:15" x14ac:dyDescent="0.25">
      <c r="A4543" t="s">
        <v>16</v>
      </c>
      <c r="B4543" t="s">
        <v>3221</v>
      </c>
      <c r="C4543">
        <v>5642</v>
      </c>
      <c r="D4543" t="s">
        <v>818</v>
      </c>
      <c r="E4543" t="s">
        <v>819</v>
      </c>
      <c r="F4543">
        <v>48000</v>
      </c>
      <c r="G4543">
        <v>230423</v>
      </c>
      <c r="H4543">
        <v>1196</v>
      </c>
      <c r="I4543" t="s">
        <v>392</v>
      </c>
      <c r="J4543">
        <v>48000</v>
      </c>
      <c r="K4543">
        <v>0</v>
      </c>
      <c r="L4543">
        <v>95501</v>
      </c>
      <c r="M4543" t="s">
        <v>623</v>
      </c>
      <c r="N4543" t="str">
        <f>"3570        "</f>
        <v xml:space="preserve">3570        </v>
      </c>
      <c r="O4543">
        <v>230428</v>
      </c>
    </row>
    <row r="4544" spans="1:15" x14ac:dyDescent="0.25">
      <c r="A4544" t="s">
        <v>16</v>
      </c>
      <c r="B4544" t="s">
        <v>3221</v>
      </c>
      <c r="C4544">
        <v>6577</v>
      </c>
      <c r="D4544" t="s">
        <v>818</v>
      </c>
      <c r="E4544" t="s">
        <v>819</v>
      </c>
      <c r="F4544">
        <v>39000</v>
      </c>
      <c r="G4544">
        <v>230508</v>
      </c>
      <c r="H4544">
        <v>1196</v>
      </c>
      <c r="I4544" t="s">
        <v>392</v>
      </c>
      <c r="J4544">
        <v>39000</v>
      </c>
      <c r="K4544">
        <v>0</v>
      </c>
      <c r="L4544">
        <v>95501</v>
      </c>
      <c r="M4544" t="s">
        <v>623</v>
      </c>
      <c r="N4544" t="str">
        <f>"3579        "</f>
        <v xml:space="preserve">3579        </v>
      </c>
      <c r="O4544">
        <v>230515</v>
      </c>
    </row>
    <row r="4545" spans="1:15" x14ac:dyDescent="0.25">
      <c r="A4545" t="s">
        <v>16</v>
      </c>
      <c r="B4545" t="s">
        <v>3221</v>
      </c>
      <c r="C4545">
        <v>6578</v>
      </c>
      <c r="D4545" t="s">
        <v>818</v>
      </c>
      <c r="E4545" t="s">
        <v>819</v>
      </c>
      <c r="F4545">
        <v>35500</v>
      </c>
      <c r="G4545">
        <v>230501</v>
      </c>
      <c r="H4545">
        <v>1196</v>
      </c>
      <c r="I4545" t="s">
        <v>392</v>
      </c>
      <c r="J4545">
        <v>35500</v>
      </c>
      <c r="K4545">
        <v>0</v>
      </c>
      <c r="L4545">
        <v>95501</v>
      </c>
      <c r="M4545" t="s">
        <v>623</v>
      </c>
      <c r="N4545" t="str">
        <f>"3576        "</f>
        <v xml:space="preserve">3576        </v>
      </c>
      <c r="O4545">
        <v>230515</v>
      </c>
    </row>
    <row r="4546" spans="1:15" x14ac:dyDescent="0.25">
      <c r="A4546" t="s">
        <v>16</v>
      </c>
      <c r="B4546" t="s">
        <v>3221</v>
      </c>
      <c r="C4546">
        <v>6912</v>
      </c>
      <c r="D4546" t="s">
        <v>818</v>
      </c>
      <c r="E4546" t="s">
        <v>819</v>
      </c>
      <c r="F4546">
        <v>37000</v>
      </c>
      <c r="G4546">
        <v>230514</v>
      </c>
      <c r="H4546">
        <v>1196</v>
      </c>
      <c r="I4546" t="s">
        <v>392</v>
      </c>
      <c r="J4546">
        <v>37000</v>
      </c>
      <c r="K4546">
        <v>0</v>
      </c>
      <c r="L4546">
        <v>95501</v>
      </c>
      <c r="M4546" t="s">
        <v>623</v>
      </c>
      <c r="N4546" t="str">
        <f>"3584        "</f>
        <v xml:space="preserve">3584        </v>
      </c>
      <c r="O4546">
        <v>230523</v>
      </c>
    </row>
    <row r="4547" spans="1:15" x14ac:dyDescent="0.25">
      <c r="A4547" t="s">
        <v>16</v>
      </c>
      <c r="B4547" t="s">
        <v>3221</v>
      </c>
      <c r="C4547">
        <v>6912</v>
      </c>
      <c r="D4547" t="s">
        <v>818</v>
      </c>
      <c r="E4547" t="s">
        <v>819</v>
      </c>
      <c r="F4547">
        <v>61800</v>
      </c>
      <c r="G4547">
        <v>230514</v>
      </c>
      <c r="H4547">
        <v>1196</v>
      </c>
      <c r="I4547" t="s">
        <v>392</v>
      </c>
      <c r="J4547">
        <v>61800</v>
      </c>
      <c r="K4547">
        <v>0</v>
      </c>
      <c r="L4547">
        <v>95501</v>
      </c>
      <c r="M4547" t="s">
        <v>623</v>
      </c>
      <c r="N4547" t="str">
        <f>"3584        "</f>
        <v xml:space="preserve">3584        </v>
      </c>
      <c r="O4547">
        <v>230523</v>
      </c>
    </row>
    <row r="4548" spans="1:15" x14ac:dyDescent="0.25">
      <c r="A4548" t="s">
        <v>16</v>
      </c>
      <c r="B4548" t="s">
        <v>3221</v>
      </c>
      <c r="C4548">
        <v>6926</v>
      </c>
      <c r="D4548" t="s">
        <v>818</v>
      </c>
      <c r="E4548" t="s">
        <v>819</v>
      </c>
      <c r="F4548">
        <v>28498</v>
      </c>
      <c r="G4548">
        <v>230516</v>
      </c>
      <c r="H4548">
        <v>1196</v>
      </c>
      <c r="I4548" t="s">
        <v>392</v>
      </c>
      <c r="J4548">
        <v>28498</v>
      </c>
      <c r="K4548">
        <v>0</v>
      </c>
      <c r="L4548">
        <v>95501</v>
      </c>
      <c r="M4548" t="s">
        <v>623</v>
      </c>
      <c r="N4548" t="str">
        <f>"3585        "</f>
        <v xml:space="preserve">3585        </v>
      </c>
      <c r="O4548">
        <v>230523</v>
      </c>
    </row>
    <row r="4549" spans="1:15" x14ac:dyDescent="0.25">
      <c r="A4549" t="s">
        <v>16</v>
      </c>
      <c r="B4549" t="s">
        <v>3221</v>
      </c>
      <c r="C4549">
        <v>7502</v>
      </c>
      <c r="D4549" t="s">
        <v>818</v>
      </c>
      <c r="E4549" t="s">
        <v>819</v>
      </c>
      <c r="F4549">
        <v>13000</v>
      </c>
      <c r="G4549">
        <v>230525</v>
      </c>
      <c r="H4549">
        <v>1196</v>
      </c>
      <c r="I4549" t="s">
        <v>392</v>
      </c>
      <c r="J4549">
        <v>13000</v>
      </c>
      <c r="K4549">
        <v>0</v>
      </c>
      <c r="L4549">
        <v>95501</v>
      </c>
      <c r="M4549" t="s">
        <v>623</v>
      </c>
      <c r="N4549" t="str">
        <f>"3590        "</f>
        <v xml:space="preserve">3590        </v>
      </c>
      <c r="O4549">
        <v>230531</v>
      </c>
    </row>
    <row r="4550" spans="1:15" x14ac:dyDescent="0.25">
      <c r="A4550" t="s">
        <v>16</v>
      </c>
      <c r="B4550" t="s">
        <v>3221</v>
      </c>
      <c r="C4550">
        <v>7502</v>
      </c>
      <c r="D4550" t="s">
        <v>818</v>
      </c>
      <c r="E4550" t="s">
        <v>819</v>
      </c>
      <c r="F4550">
        <v>43300</v>
      </c>
      <c r="G4550">
        <v>230525</v>
      </c>
      <c r="H4550">
        <v>1196</v>
      </c>
      <c r="I4550" t="s">
        <v>392</v>
      </c>
      <c r="J4550">
        <v>43300</v>
      </c>
      <c r="K4550">
        <v>0</v>
      </c>
      <c r="L4550">
        <v>95501</v>
      </c>
      <c r="M4550" t="s">
        <v>623</v>
      </c>
      <c r="N4550" t="str">
        <f>"3590        "</f>
        <v xml:space="preserve">3590        </v>
      </c>
      <c r="O4550">
        <v>230531</v>
      </c>
    </row>
    <row r="4551" spans="1:15" x14ac:dyDescent="0.25">
      <c r="A4551" t="s">
        <v>16</v>
      </c>
      <c r="B4551" t="s">
        <v>3221</v>
      </c>
      <c r="C4551">
        <v>8416</v>
      </c>
      <c r="D4551" t="s">
        <v>818</v>
      </c>
      <c r="E4551" t="s">
        <v>819</v>
      </c>
      <c r="F4551">
        <v>62000</v>
      </c>
      <c r="G4551">
        <v>230604</v>
      </c>
      <c r="H4551">
        <v>1196</v>
      </c>
      <c r="I4551" t="s">
        <v>392</v>
      </c>
      <c r="J4551">
        <v>62000</v>
      </c>
      <c r="K4551">
        <v>0</v>
      </c>
      <c r="L4551">
        <v>95501</v>
      </c>
      <c r="M4551" t="s">
        <v>623</v>
      </c>
      <c r="N4551" t="str">
        <f>"3593        "</f>
        <v xml:space="preserve">3593        </v>
      </c>
      <c r="O4551">
        <v>230608</v>
      </c>
    </row>
    <row r="4552" spans="1:15" x14ac:dyDescent="0.25">
      <c r="A4552" t="s">
        <v>16</v>
      </c>
      <c r="B4552" t="s">
        <v>3221</v>
      </c>
      <c r="C4552">
        <v>8416</v>
      </c>
      <c r="D4552" t="s">
        <v>818</v>
      </c>
      <c r="E4552" t="s">
        <v>819</v>
      </c>
      <c r="F4552">
        <v>26218</v>
      </c>
      <c r="G4552">
        <v>230604</v>
      </c>
      <c r="H4552">
        <v>1196</v>
      </c>
      <c r="I4552" t="s">
        <v>392</v>
      </c>
      <c r="J4552">
        <v>26218</v>
      </c>
      <c r="K4552">
        <v>0</v>
      </c>
      <c r="L4552">
        <v>95501</v>
      </c>
      <c r="M4552" t="s">
        <v>623</v>
      </c>
      <c r="N4552" t="str">
        <f>"3593        "</f>
        <v xml:space="preserve">3593        </v>
      </c>
      <c r="O4552">
        <v>230608</v>
      </c>
    </row>
    <row r="4553" spans="1:15" x14ac:dyDescent="0.25">
      <c r="A4553" t="s">
        <v>16</v>
      </c>
      <c r="B4553" t="s">
        <v>3221</v>
      </c>
      <c r="C4553">
        <v>9064</v>
      </c>
      <c r="D4553" t="s">
        <v>818</v>
      </c>
      <c r="E4553" t="s">
        <v>819</v>
      </c>
      <c r="F4553">
        <v>52950</v>
      </c>
      <c r="G4553">
        <v>230609</v>
      </c>
      <c r="H4553">
        <v>1196</v>
      </c>
      <c r="I4553" t="s">
        <v>392</v>
      </c>
      <c r="J4553">
        <v>52950</v>
      </c>
      <c r="K4553">
        <v>0</v>
      </c>
      <c r="L4553">
        <v>95501</v>
      </c>
      <c r="M4553" t="s">
        <v>623</v>
      </c>
      <c r="N4553" t="str">
        <f>"3599        "</f>
        <v xml:space="preserve">3599        </v>
      </c>
      <c r="O4553">
        <v>230622</v>
      </c>
    </row>
    <row r="4554" spans="1:15" x14ac:dyDescent="0.25">
      <c r="A4554" t="s">
        <v>16</v>
      </c>
      <c r="B4554" t="s">
        <v>3221</v>
      </c>
      <c r="C4554">
        <v>9064</v>
      </c>
      <c r="D4554" t="s">
        <v>818</v>
      </c>
      <c r="E4554" t="s">
        <v>819</v>
      </c>
      <c r="F4554">
        <v>32400</v>
      </c>
      <c r="G4554">
        <v>230609</v>
      </c>
      <c r="H4554">
        <v>1196</v>
      </c>
      <c r="I4554" t="s">
        <v>392</v>
      </c>
      <c r="J4554">
        <v>32400</v>
      </c>
      <c r="K4554">
        <v>0</v>
      </c>
      <c r="L4554">
        <v>95501</v>
      </c>
      <c r="M4554" t="s">
        <v>623</v>
      </c>
      <c r="N4554" t="str">
        <f>"3599        "</f>
        <v xml:space="preserve">3599        </v>
      </c>
      <c r="O4554">
        <v>230622</v>
      </c>
    </row>
    <row r="4555" spans="1:15" x14ac:dyDescent="0.25">
      <c r="A4555" t="s">
        <v>16</v>
      </c>
      <c r="B4555" t="s">
        <v>3221</v>
      </c>
      <c r="C4555">
        <v>9069</v>
      </c>
      <c r="D4555" t="s">
        <v>818</v>
      </c>
      <c r="E4555" t="s">
        <v>819</v>
      </c>
      <c r="F4555">
        <v>56000</v>
      </c>
      <c r="G4555">
        <v>230616</v>
      </c>
      <c r="H4555">
        <v>1196</v>
      </c>
      <c r="I4555" t="s">
        <v>392</v>
      </c>
      <c r="J4555">
        <v>56000</v>
      </c>
      <c r="K4555">
        <v>0</v>
      </c>
      <c r="L4555">
        <v>95501</v>
      </c>
      <c r="M4555" t="s">
        <v>623</v>
      </c>
      <c r="N4555" t="str">
        <f>"3601        "</f>
        <v xml:space="preserve">3601        </v>
      </c>
      <c r="O4555">
        <v>230622</v>
      </c>
    </row>
    <row r="4556" spans="1:15" x14ac:dyDescent="0.25">
      <c r="A4556" t="s">
        <v>16</v>
      </c>
      <c r="B4556" t="s">
        <v>3221</v>
      </c>
      <c r="C4556">
        <v>9078</v>
      </c>
      <c r="D4556" t="s">
        <v>818</v>
      </c>
      <c r="E4556" t="s">
        <v>819</v>
      </c>
      <c r="F4556">
        <v>23732</v>
      </c>
      <c r="G4556">
        <v>230616</v>
      </c>
      <c r="H4556">
        <v>1196</v>
      </c>
      <c r="I4556" t="s">
        <v>392</v>
      </c>
      <c r="J4556">
        <v>23732</v>
      </c>
      <c r="K4556">
        <v>0</v>
      </c>
      <c r="L4556">
        <v>95501</v>
      </c>
      <c r="M4556" t="s">
        <v>623</v>
      </c>
      <c r="N4556" t="str">
        <f>"3603        "</f>
        <v xml:space="preserve">3603        </v>
      </c>
      <c r="O4556">
        <v>230622</v>
      </c>
    </row>
    <row r="4557" spans="1:15" x14ac:dyDescent="0.25">
      <c r="A4557" t="s">
        <v>16</v>
      </c>
      <c r="B4557" t="s">
        <v>3221</v>
      </c>
      <c r="C4557">
        <v>9171</v>
      </c>
      <c r="D4557" t="s">
        <v>818</v>
      </c>
      <c r="E4557" t="s">
        <v>819</v>
      </c>
      <c r="F4557">
        <v>46500</v>
      </c>
      <c r="G4557">
        <v>230621</v>
      </c>
      <c r="H4557">
        <v>1196</v>
      </c>
      <c r="I4557" t="s">
        <v>392</v>
      </c>
      <c r="J4557">
        <v>46500</v>
      </c>
      <c r="K4557">
        <v>0</v>
      </c>
      <c r="L4557">
        <v>95501</v>
      </c>
      <c r="M4557" t="s">
        <v>623</v>
      </c>
      <c r="N4557" t="str">
        <f>"3602        "</f>
        <v xml:space="preserve">3602        </v>
      </c>
      <c r="O4557">
        <v>230629</v>
      </c>
    </row>
    <row r="4558" spans="1:15" x14ac:dyDescent="0.25">
      <c r="A4558" t="s">
        <v>16</v>
      </c>
      <c r="B4558" t="s">
        <v>3221</v>
      </c>
      <c r="C4558">
        <v>9171</v>
      </c>
      <c r="D4558" t="s">
        <v>818</v>
      </c>
      <c r="E4558" t="s">
        <v>819</v>
      </c>
      <c r="F4558">
        <v>17000</v>
      </c>
      <c r="G4558">
        <v>230621</v>
      </c>
      <c r="H4558">
        <v>1196</v>
      </c>
      <c r="I4558" t="s">
        <v>392</v>
      </c>
      <c r="J4558">
        <v>17000</v>
      </c>
      <c r="K4558">
        <v>0</v>
      </c>
      <c r="L4558">
        <v>95501</v>
      </c>
      <c r="M4558" t="s">
        <v>623</v>
      </c>
      <c r="N4558" t="str">
        <f>"3602        "</f>
        <v xml:space="preserve">3602        </v>
      </c>
      <c r="O4558">
        <v>230629</v>
      </c>
    </row>
    <row r="4559" spans="1:15" x14ac:dyDescent="0.25">
      <c r="A4559" t="s">
        <v>16</v>
      </c>
      <c r="B4559" t="s">
        <v>3221</v>
      </c>
      <c r="C4559">
        <v>9461</v>
      </c>
      <c r="D4559" t="s">
        <v>818</v>
      </c>
      <c r="E4559" t="s">
        <v>819</v>
      </c>
      <c r="F4559">
        <v>27000</v>
      </c>
      <c r="G4559">
        <v>230630</v>
      </c>
      <c r="H4559">
        <v>1196</v>
      </c>
      <c r="I4559" t="s">
        <v>392</v>
      </c>
      <c r="J4559">
        <v>27000</v>
      </c>
      <c r="K4559">
        <v>0</v>
      </c>
      <c r="L4559">
        <v>95501</v>
      </c>
      <c r="M4559" t="s">
        <v>623</v>
      </c>
      <c r="N4559" t="str">
        <f>"3610        "</f>
        <v xml:space="preserve">3610        </v>
      </c>
      <c r="O4559">
        <v>230711</v>
      </c>
    </row>
    <row r="4560" spans="1:15" x14ac:dyDescent="0.25">
      <c r="A4560" t="s">
        <v>16</v>
      </c>
      <c r="B4560" t="s">
        <v>3221</v>
      </c>
      <c r="C4560">
        <v>9461</v>
      </c>
      <c r="D4560" t="s">
        <v>818</v>
      </c>
      <c r="E4560" t="s">
        <v>819</v>
      </c>
      <c r="F4560">
        <v>35500</v>
      </c>
      <c r="G4560">
        <v>230630</v>
      </c>
      <c r="H4560">
        <v>1196</v>
      </c>
      <c r="I4560" t="s">
        <v>392</v>
      </c>
      <c r="J4560">
        <v>35500</v>
      </c>
      <c r="K4560">
        <v>0</v>
      </c>
      <c r="L4560">
        <v>95501</v>
      </c>
      <c r="M4560" t="s">
        <v>623</v>
      </c>
      <c r="N4560" t="str">
        <f>"3610        "</f>
        <v xml:space="preserve">3610        </v>
      </c>
      <c r="O4560">
        <v>230711</v>
      </c>
    </row>
    <row r="4561" spans="1:15" x14ac:dyDescent="0.25">
      <c r="A4561" t="s">
        <v>16</v>
      </c>
      <c r="B4561" t="s">
        <v>3221</v>
      </c>
      <c r="C4561">
        <v>9461</v>
      </c>
      <c r="D4561" t="s">
        <v>818</v>
      </c>
      <c r="E4561" t="s">
        <v>819</v>
      </c>
      <c r="F4561">
        <v>20116</v>
      </c>
      <c r="G4561">
        <v>230630</v>
      </c>
      <c r="H4561">
        <v>1196</v>
      </c>
      <c r="I4561" t="s">
        <v>392</v>
      </c>
      <c r="J4561">
        <v>20116</v>
      </c>
      <c r="K4561">
        <v>0</v>
      </c>
      <c r="L4561">
        <v>95501</v>
      </c>
      <c r="M4561" t="s">
        <v>623</v>
      </c>
      <c r="N4561" t="str">
        <f>"3610        "</f>
        <v xml:space="preserve">3610        </v>
      </c>
      <c r="O4561">
        <v>230711</v>
      </c>
    </row>
    <row r="4562" spans="1:15" x14ac:dyDescent="0.25">
      <c r="A4562" t="s">
        <v>16</v>
      </c>
      <c r="B4562" t="s">
        <v>3221</v>
      </c>
      <c r="C4562">
        <v>9461</v>
      </c>
      <c r="D4562" t="s">
        <v>818</v>
      </c>
      <c r="E4562" t="s">
        <v>819</v>
      </c>
      <c r="F4562">
        <v>13350</v>
      </c>
      <c r="G4562">
        <v>230630</v>
      </c>
      <c r="H4562">
        <v>1196</v>
      </c>
      <c r="I4562" t="s">
        <v>392</v>
      </c>
      <c r="J4562">
        <v>13350</v>
      </c>
      <c r="K4562">
        <v>0</v>
      </c>
      <c r="L4562">
        <v>95501</v>
      </c>
      <c r="M4562" t="s">
        <v>623</v>
      </c>
      <c r="N4562" t="str">
        <f>"3610        "</f>
        <v xml:space="preserve">3610        </v>
      </c>
      <c r="O4562">
        <v>230711</v>
      </c>
    </row>
    <row r="4563" spans="1:15" x14ac:dyDescent="0.25">
      <c r="A4563" t="s">
        <v>16</v>
      </c>
      <c r="B4563" t="s">
        <v>3221</v>
      </c>
      <c r="C4563">
        <v>9466</v>
      </c>
      <c r="D4563" t="s">
        <v>818</v>
      </c>
      <c r="E4563" t="s">
        <v>819</v>
      </c>
      <c r="F4563">
        <v>24160.63</v>
      </c>
      <c r="G4563">
        <v>230630</v>
      </c>
      <c r="H4563">
        <v>1196</v>
      </c>
      <c r="I4563" t="s">
        <v>392</v>
      </c>
      <c r="J4563">
        <v>24160.63</v>
      </c>
      <c r="K4563">
        <v>0</v>
      </c>
      <c r="L4563">
        <v>95501</v>
      </c>
      <c r="M4563" t="s">
        <v>623</v>
      </c>
      <c r="N4563" t="str">
        <f>"3611        "</f>
        <v xml:space="preserve">3611        </v>
      </c>
      <c r="O4563">
        <v>230711</v>
      </c>
    </row>
    <row r="4564" spans="1:15" x14ac:dyDescent="0.25">
      <c r="A4564" t="s">
        <v>16</v>
      </c>
      <c r="B4564" t="s">
        <v>3221</v>
      </c>
      <c r="C4564">
        <v>10242</v>
      </c>
      <c r="D4564" t="s">
        <v>818</v>
      </c>
      <c r="E4564" t="s">
        <v>819</v>
      </c>
      <c r="F4564">
        <v>16000</v>
      </c>
      <c r="G4564">
        <v>230728</v>
      </c>
      <c r="H4564">
        <v>1196</v>
      </c>
      <c r="I4564" t="s">
        <v>392</v>
      </c>
      <c r="J4564">
        <v>16000</v>
      </c>
      <c r="K4564">
        <v>0</v>
      </c>
      <c r="L4564">
        <v>95501</v>
      </c>
      <c r="M4564" t="s">
        <v>623</v>
      </c>
      <c r="N4564" t="str">
        <f>"3621        "</f>
        <v xml:space="preserve">3621        </v>
      </c>
      <c r="O4564">
        <v>230810</v>
      </c>
    </row>
    <row r="4565" spans="1:15" x14ac:dyDescent="0.25">
      <c r="A4565" t="s">
        <v>16</v>
      </c>
      <c r="B4565" t="s">
        <v>3221</v>
      </c>
      <c r="C4565">
        <v>11760</v>
      </c>
      <c r="D4565" t="s">
        <v>818</v>
      </c>
      <c r="E4565" t="s">
        <v>819</v>
      </c>
      <c r="F4565">
        <v>30000</v>
      </c>
      <c r="G4565">
        <v>230903</v>
      </c>
      <c r="H4565">
        <v>1196</v>
      </c>
      <c r="I4565" t="s">
        <v>392</v>
      </c>
      <c r="J4565">
        <v>30000</v>
      </c>
      <c r="K4565">
        <v>0</v>
      </c>
      <c r="L4565">
        <v>95501</v>
      </c>
      <c r="M4565" t="s">
        <v>623</v>
      </c>
      <c r="N4565" t="str">
        <f>"3632        "</f>
        <v xml:space="preserve">3632        </v>
      </c>
      <c r="O4565">
        <v>230908</v>
      </c>
    </row>
    <row r="4566" spans="1:15" x14ac:dyDescent="0.25">
      <c r="A4566" t="s">
        <v>16</v>
      </c>
      <c r="B4566" t="s">
        <v>3221</v>
      </c>
      <c r="C4566">
        <v>11760</v>
      </c>
      <c r="D4566" t="s">
        <v>818</v>
      </c>
      <c r="E4566" t="s">
        <v>819</v>
      </c>
      <c r="F4566">
        <v>5000</v>
      </c>
      <c r="G4566">
        <v>230903</v>
      </c>
      <c r="H4566">
        <v>1196</v>
      </c>
      <c r="I4566" t="s">
        <v>392</v>
      </c>
      <c r="J4566">
        <v>5000</v>
      </c>
      <c r="K4566">
        <v>0</v>
      </c>
      <c r="L4566">
        <v>95501</v>
      </c>
      <c r="M4566" t="s">
        <v>623</v>
      </c>
      <c r="N4566" t="str">
        <f>"3632        "</f>
        <v xml:space="preserve">3632        </v>
      </c>
      <c r="O4566">
        <v>230908</v>
      </c>
    </row>
    <row r="4567" spans="1:15" x14ac:dyDescent="0.25">
      <c r="A4567" t="s">
        <v>16</v>
      </c>
      <c r="B4567" t="s">
        <v>3221</v>
      </c>
      <c r="C4567">
        <v>12096</v>
      </c>
      <c r="D4567" t="s">
        <v>818</v>
      </c>
      <c r="E4567" t="s">
        <v>819</v>
      </c>
      <c r="F4567">
        <v>48000</v>
      </c>
      <c r="G4567">
        <v>230908</v>
      </c>
      <c r="H4567">
        <v>1196</v>
      </c>
      <c r="I4567" t="s">
        <v>392</v>
      </c>
      <c r="J4567">
        <v>48000</v>
      </c>
      <c r="K4567">
        <v>0</v>
      </c>
      <c r="L4567">
        <v>95501</v>
      </c>
      <c r="M4567" t="s">
        <v>623</v>
      </c>
      <c r="N4567" t="str">
        <f>"3633        "</f>
        <v xml:space="preserve">3633        </v>
      </c>
      <c r="O4567">
        <v>230913</v>
      </c>
    </row>
    <row r="4568" spans="1:15" x14ac:dyDescent="0.25">
      <c r="A4568" t="s">
        <v>16</v>
      </c>
      <c r="B4568" t="s">
        <v>3221</v>
      </c>
      <c r="C4568">
        <v>12379</v>
      </c>
      <c r="D4568" t="s">
        <v>818</v>
      </c>
      <c r="E4568" t="s">
        <v>819</v>
      </c>
      <c r="F4568">
        <v>7000</v>
      </c>
      <c r="G4568">
        <v>230914</v>
      </c>
      <c r="H4568">
        <v>1196</v>
      </c>
      <c r="I4568" t="s">
        <v>392</v>
      </c>
      <c r="J4568">
        <v>7000</v>
      </c>
      <c r="K4568">
        <v>0</v>
      </c>
      <c r="L4568">
        <v>95501</v>
      </c>
      <c r="M4568" t="s">
        <v>623</v>
      </c>
      <c r="N4568" t="str">
        <f>"20326       "</f>
        <v xml:space="preserve">20326       </v>
      </c>
      <c r="O4568">
        <v>230919</v>
      </c>
    </row>
    <row r="4569" spans="1:15" x14ac:dyDescent="0.25">
      <c r="A4569" t="s">
        <v>16</v>
      </c>
      <c r="B4569" t="s">
        <v>3221</v>
      </c>
      <c r="C4569">
        <v>12380</v>
      </c>
      <c r="D4569" t="s">
        <v>818</v>
      </c>
      <c r="E4569" t="s">
        <v>819</v>
      </c>
      <c r="F4569">
        <v>5000</v>
      </c>
      <c r="G4569">
        <v>230827</v>
      </c>
      <c r="H4569">
        <v>1196</v>
      </c>
      <c r="I4569" t="s">
        <v>392</v>
      </c>
      <c r="J4569">
        <v>5000</v>
      </c>
      <c r="K4569">
        <v>0</v>
      </c>
      <c r="L4569">
        <v>95501</v>
      </c>
      <c r="M4569" t="s">
        <v>623</v>
      </c>
      <c r="N4569" t="str">
        <f>"3631        "</f>
        <v xml:space="preserve">3631        </v>
      </c>
      <c r="O4569">
        <v>230919</v>
      </c>
    </row>
    <row r="4570" spans="1:15" x14ac:dyDescent="0.25">
      <c r="A4570" t="s">
        <v>16</v>
      </c>
      <c r="B4570" t="s">
        <v>3221</v>
      </c>
      <c r="C4570">
        <v>12380</v>
      </c>
      <c r="D4570" t="s">
        <v>818</v>
      </c>
      <c r="E4570" t="s">
        <v>819</v>
      </c>
      <c r="F4570">
        <v>7000</v>
      </c>
      <c r="G4570">
        <v>230827</v>
      </c>
      <c r="H4570">
        <v>1196</v>
      </c>
      <c r="I4570" t="s">
        <v>392</v>
      </c>
      <c r="J4570">
        <v>7000</v>
      </c>
      <c r="K4570">
        <v>0</v>
      </c>
      <c r="L4570">
        <v>95501</v>
      </c>
      <c r="M4570" t="s">
        <v>623</v>
      </c>
      <c r="N4570" t="str">
        <f>"3631        "</f>
        <v xml:space="preserve">3631        </v>
      </c>
      <c r="O4570">
        <v>230919</v>
      </c>
    </row>
    <row r="4571" spans="1:15" x14ac:dyDescent="0.25">
      <c r="A4571" t="s">
        <v>16</v>
      </c>
      <c r="B4571" t="s">
        <v>3221</v>
      </c>
      <c r="C4571">
        <v>12380</v>
      </c>
      <c r="D4571" t="s">
        <v>818</v>
      </c>
      <c r="E4571" t="s">
        <v>819</v>
      </c>
      <c r="F4571">
        <v>41377</v>
      </c>
      <c r="G4571">
        <v>230827</v>
      </c>
      <c r="H4571">
        <v>1196</v>
      </c>
      <c r="I4571" t="s">
        <v>392</v>
      </c>
      <c r="J4571">
        <v>41377</v>
      </c>
      <c r="K4571">
        <v>0</v>
      </c>
      <c r="L4571">
        <v>95501</v>
      </c>
      <c r="M4571" t="s">
        <v>623</v>
      </c>
      <c r="N4571" t="str">
        <f>"3631        "</f>
        <v xml:space="preserve">3631        </v>
      </c>
      <c r="O4571">
        <v>230919</v>
      </c>
    </row>
    <row r="4572" spans="1:15" x14ac:dyDescent="0.25">
      <c r="A4572" t="s">
        <v>16</v>
      </c>
      <c r="B4572" t="s">
        <v>3221</v>
      </c>
      <c r="C4572">
        <v>12380</v>
      </c>
      <c r="D4572" t="s">
        <v>818</v>
      </c>
      <c r="E4572" t="s">
        <v>819</v>
      </c>
      <c r="F4572">
        <v>12200</v>
      </c>
      <c r="G4572">
        <v>230827</v>
      </c>
      <c r="H4572">
        <v>1196</v>
      </c>
      <c r="I4572" t="s">
        <v>392</v>
      </c>
      <c r="J4572">
        <v>12200</v>
      </c>
      <c r="K4572">
        <v>0</v>
      </c>
      <c r="L4572">
        <v>95501</v>
      </c>
      <c r="M4572" t="s">
        <v>623</v>
      </c>
      <c r="N4572" t="str">
        <f>"3631        "</f>
        <v xml:space="preserve">3631        </v>
      </c>
      <c r="O4572">
        <v>230919</v>
      </c>
    </row>
    <row r="4573" spans="1:15" x14ac:dyDescent="0.25">
      <c r="A4573" t="s">
        <v>16</v>
      </c>
      <c r="B4573" t="s">
        <v>3221</v>
      </c>
      <c r="C4573">
        <v>12381</v>
      </c>
      <c r="D4573" t="s">
        <v>818</v>
      </c>
      <c r="E4573" t="s">
        <v>819</v>
      </c>
      <c r="F4573">
        <v>-7000</v>
      </c>
      <c r="G4573">
        <v>230914</v>
      </c>
      <c r="H4573">
        <v>1196</v>
      </c>
      <c r="I4573" t="s">
        <v>392</v>
      </c>
      <c r="J4573">
        <v>-7000</v>
      </c>
      <c r="K4573">
        <v>0</v>
      </c>
      <c r="L4573">
        <v>95501</v>
      </c>
      <c r="M4573" t="s">
        <v>623</v>
      </c>
      <c r="N4573" t="str">
        <f>"20325       "</f>
        <v xml:space="preserve">20325       </v>
      </c>
      <c r="O4573">
        <v>230919</v>
      </c>
    </row>
    <row r="4574" spans="1:15" x14ac:dyDescent="0.25">
      <c r="A4574" t="s">
        <v>16</v>
      </c>
      <c r="B4574" t="s">
        <v>3221</v>
      </c>
      <c r="C4574">
        <v>12865</v>
      </c>
      <c r="D4574" t="s">
        <v>818</v>
      </c>
      <c r="E4574" t="s">
        <v>819</v>
      </c>
      <c r="F4574">
        <v>503764.5</v>
      </c>
      <c r="G4574">
        <v>230630</v>
      </c>
      <c r="H4574">
        <v>1196</v>
      </c>
      <c r="I4574" t="s">
        <v>392</v>
      </c>
      <c r="J4574">
        <v>503764.5</v>
      </c>
      <c r="K4574">
        <v>0</v>
      </c>
      <c r="L4574">
        <v>95501</v>
      </c>
      <c r="M4574" t="s">
        <v>623</v>
      </c>
      <c r="N4574" t="str">
        <f>"3612        "</f>
        <v xml:space="preserve">3612        </v>
      </c>
      <c r="O4574">
        <v>230928</v>
      </c>
    </row>
    <row r="4575" spans="1:15" x14ac:dyDescent="0.25">
      <c r="A4575" t="s">
        <v>16</v>
      </c>
      <c r="B4575" t="s">
        <v>3221</v>
      </c>
      <c r="C4575">
        <v>13244</v>
      </c>
      <c r="D4575" t="s">
        <v>818</v>
      </c>
      <c r="E4575" t="s">
        <v>819</v>
      </c>
      <c r="F4575">
        <v>21500</v>
      </c>
      <c r="G4575">
        <v>230922</v>
      </c>
      <c r="H4575">
        <v>1196</v>
      </c>
      <c r="I4575" t="s">
        <v>392</v>
      </c>
      <c r="J4575">
        <v>21500</v>
      </c>
      <c r="K4575">
        <v>0</v>
      </c>
      <c r="L4575">
        <v>95501</v>
      </c>
      <c r="M4575" t="s">
        <v>623</v>
      </c>
      <c r="N4575" t="str">
        <f>"3635        "</f>
        <v xml:space="preserve">3635        </v>
      </c>
      <c r="O4575">
        <v>231006</v>
      </c>
    </row>
    <row r="4576" spans="1:15" x14ac:dyDescent="0.25">
      <c r="A4576" t="s">
        <v>16</v>
      </c>
      <c r="B4576" t="s">
        <v>3221</v>
      </c>
      <c r="C4576">
        <v>13692</v>
      </c>
      <c r="D4576" t="s">
        <v>818</v>
      </c>
      <c r="E4576" t="s">
        <v>819</v>
      </c>
      <c r="F4576">
        <v>53399.65</v>
      </c>
      <c r="G4576">
        <v>231002</v>
      </c>
      <c r="H4576">
        <v>1196</v>
      </c>
      <c r="I4576" t="s">
        <v>392</v>
      </c>
      <c r="J4576">
        <v>53399.65</v>
      </c>
      <c r="K4576">
        <v>0</v>
      </c>
      <c r="L4576">
        <v>95501</v>
      </c>
      <c r="M4576" t="s">
        <v>623</v>
      </c>
      <c r="N4576" t="str">
        <f>"3639        "</f>
        <v xml:space="preserve">3639        </v>
      </c>
      <c r="O4576">
        <v>231012</v>
      </c>
    </row>
    <row r="4577" spans="1:15" x14ac:dyDescent="0.25">
      <c r="A4577" t="s">
        <v>16</v>
      </c>
      <c r="B4577" t="s">
        <v>3221</v>
      </c>
      <c r="C4577">
        <v>13791</v>
      </c>
      <c r="D4577" t="s">
        <v>818</v>
      </c>
      <c r="E4577" t="s">
        <v>819</v>
      </c>
      <c r="F4577">
        <v>59585</v>
      </c>
      <c r="G4577">
        <v>231006</v>
      </c>
      <c r="H4577">
        <v>1196</v>
      </c>
      <c r="I4577" t="s">
        <v>392</v>
      </c>
      <c r="J4577">
        <v>59585</v>
      </c>
      <c r="K4577">
        <v>0</v>
      </c>
      <c r="L4577">
        <v>95501</v>
      </c>
      <c r="M4577" t="s">
        <v>623</v>
      </c>
      <c r="N4577" t="str">
        <f>"3644        "</f>
        <v xml:space="preserve">3644        </v>
      </c>
      <c r="O4577">
        <v>231013</v>
      </c>
    </row>
    <row r="4578" spans="1:15" x14ac:dyDescent="0.25">
      <c r="A4578" t="s">
        <v>16</v>
      </c>
      <c r="B4578" t="s">
        <v>3221</v>
      </c>
      <c r="C4578">
        <v>16133</v>
      </c>
      <c r="D4578" t="s">
        <v>818</v>
      </c>
      <c r="E4578" t="s">
        <v>819</v>
      </c>
      <c r="F4578">
        <v>43966.54</v>
      </c>
      <c r="G4578">
        <v>231116</v>
      </c>
      <c r="H4578">
        <v>1196</v>
      </c>
      <c r="I4578" t="s">
        <v>392</v>
      </c>
      <c r="J4578">
        <v>43966.54</v>
      </c>
      <c r="K4578">
        <v>0</v>
      </c>
      <c r="L4578">
        <v>95501</v>
      </c>
      <c r="M4578" t="s">
        <v>623</v>
      </c>
      <c r="N4578" t="str">
        <f>"3655        "</f>
        <v xml:space="preserve">3655        </v>
      </c>
      <c r="O4578">
        <v>231123</v>
      </c>
    </row>
    <row r="4579" spans="1:15" x14ac:dyDescent="0.25">
      <c r="A4579" t="s">
        <v>16</v>
      </c>
      <c r="B4579" t="s">
        <v>3221</v>
      </c>
      <c r="C4579">
        <v>16557</v>
      </c>
      <c r="D4579" t="s">
        <v>818</v>
      </c>
      <c r="E4579" t="s">
        <v>819</v>
      </c>
      <c r="F4579">
        <v>40030.03</v>
      </c>
      <c r="G4579">
        <v>231127</v>
      </c>
      <c r="H4579">
        <v>1196</v>
      </c>
      <c r="I4579" t="s">
        <v>392</v>
      </c>
      <c r="J4579">
        <v>40030.03</v>
      </c>
      <c r="K4579">
        <v>0</v>
      </c>
      <c r="L4579">
        <v>95501</v>
      </c>
      <c r="M4579" t="s">
        <v>623</v>
      </c>
      <c r="N4579" t="str">
        <f>"3659        "</f>
        <v xml:space="preserve">3659        </v>
      </c>
      <c r="O4579">
        <v>231201</v>
      </c>
    </row>
    <row r="4580" spans="1:15" x14ac:dyDescent="0.25">
      <c r="A4580" t="s">
        <v>16</v>
      </c>
      <c r="B4580" t="s">
        <v>3221</v>
      </c>
      <c r="C4580">
        <v>18818</v>
      </c>
      <c r="D4580" t="s">
        <v>818</v>
      </c>
      <c r="E4580" t="s">
        <v>819</v>
      </c>
      <c r="F4580">
        <v>5000</v>
      </c>
      <c r="G4580">
        <v>231227</v>
      </c>
      <c r="H4580">
        <v>1196</v>
      </c>
      <c r="I4580" t="s">
        <v>392</v>
      </c>
      <c r="J4580">
        <v>5000</v>
      </c>
      <c r="K4580">
        <v>0</v>
      </c>
      <c r="L4580">
        <v>95501</v>
      </c>
      <c r="M4580" t="s">
        <v>623</v>
      </c>
      <c r="N4580" t="str">
        <f>"3669        "</f>
        <v xml:space="preserve">3669        </v>
      </c>
      <c r="O4580">
        <v>240108</v>
      </c>
    </row>
    <row r="4581" spans="1:15" x14ac:dyDescent="0.25">
      <c r="A4581" t="s">
        <v>16</v>
      </c>
      <c r="B4581" t="s">
        <v>3221</v>
      </c>
      <c r="C4581">
        <v>18818</v>
      </c>
      <c r="D4581" t="s">
        <v>818</v>
      </c>
      <c r="E4581" t="s">
        <v>819</v>
      </c>
      <c r="F4581">
        <v>-15112.8</v>
      </c>
      <c r="G4581">
        <v>231227</v>
      </c>
      <c r="H4581">
        <v>1196</v>
      </c>
      <c r="I4581" t="s">
        <v>392</v>
      </c>
      <c r="J4581">
        <v>-15112.8</v>
      </c>
      <c r="K4581">
        <v>0</v>
      </c>
      <c r="L4581">
        <v>95501</v>
      </c>
      <c r="M4581" t="s">
        <v>623</v>
      </c>
      <c r="N4581" t="str">
        <f>"3669        "</f>
        <v xml:space="preserve">3669        </v>
      </c>
      <c r="O4581">
        <v>240108</v>
      </c>
    </row>
    <row r="4582" spans="1:15" x14ac:dyDescent="0.25">
      <c r="A4582" t="s">
        <v>16</v>
      </c>
      <c r="B4582" t="s">
        <v>3221</v>
      </c>
      <c r="C4582">
        <v>18818</v>
      </c>
      <c r="D4582" t="s">
        <v>818</v>
      </c>
      <c r="E4582" t="s">
        <v>819</v>
      </c>
      <c r="F4582">
        <v>33586.379999999997</v>
      </c>
      <c r="G4582">
        <v>231227</v>
      </c>
      <c r="H4582">
        <v>1196</v>
      </c>
      <c r="I4582" t="s">
        <v>392</v>
      </c>
      <c r="J4582">
        <v>33586.379999999997</v>
      </c>
      <c r="K4582">
        <v>0</v>
      </c>
      <c r="L4582">
        <v>95501</v>
      </c>
      <c r="M4582" t="s">
        <v>623</v>
      </c>
      <c r="N4582" t="str">
        <f>"3669        "</f>
        <v xml:space="preserve">3669        </v>
      </c>
      <c r="O4582">
        <v>240108</v>
      </c>
    </row>
    <row r="4583" spans="1:15" x14ac:dyDescent="0.25">
      <c r="A4583" t="s">
        <v>16</v>
      </c>
      <c r="B4583" t="s">
        <v>3221</v>
      </c>
      <c r="C4583">
        <v>18818</v>
      </c>
      <c r="D4583" t="s">
        <v>818</v>
      </c>
      <c r="E4583" t="s">
        <v>819</v>
      </c>
      <c r="F4583">
        <v>6670</v>
      </c>
      <c r="G4583">
        <v>231227</v>
      </c>
      <c r="H4583">
        <v>1196</v>
      </c>
      <c r="I4583" t="s">
        <v>392</v>
      </c>
      <c r="J4583">
        <v>6670</v>
      </c>
      <c r="K4583">
        <v>0</v>
      </c>
      <c r="L4583">
        <v>95501</v>
      </c>
      <c r="M4583" t="s">
        <v>623</v>
      </c>
      <c r="N4583" t="str">
        <f>"3669        "</f>
        <v xml:space="preserve">3669        </v>
      </c>
      <c r="O4583">
        <v>240108</v>
      </c>
    </row>
    <row r="4584" spans="1:15" x14ac:dyDescent="0.25">
      <c r="A4584" t="s">
        <v>16</v>
      </c>
      <c r="B4584" t="s">
        <v>3221</v>
      </c>
      <c r="C4584">
        <v>7433</v>
      </c>
      <c r="D4584" t="s">
        <v>818</v>
      </c>
      <c r="E4584" t="s">
        <v>819</v>
      </c>
      <c r="F4584">
        <v>1523.2</v>
      </c>
      <c r="G4584">
        <v>230525</v>
      </c>
      <c r="H4584">
        <v>4390</v>
      </c>
      <c r="I4584" t="s">
        <v>98</v>
      </c>
      <c r="J4584">
        <v>1523.2</v>
      </c>
      <c r="K4584">
        <v>0</v>
      </c>
      <c r="L4584">
        <v>17951</v>
      </c>
      <c r="M4584" t="s">
        <v>87</v>
      </c>
      <c r="N4584" t="str">
        <f>"3589        "</f>
        <v xml:space="preserve">3589        </v>
      </c>
      <c r="O4584">
        <v>230530</v>
      </c>
    </row>
    <row r="4585" spans="1:15" x14ac:dyDescent="0.25">
      <c r="A4585" t="s">
        <v>16</v>
      </c>
      <c r="B4585" t="s">
        <v>3221</v>
      </c>
      <c r="C4585">
        <v>13953</v>
      </c>
      <c r="D4585" t="s">
        <v>2719</v>
      </c>
      <c r="E4585" t="s">
        <v>2720</v>
      </c>
      <c r="F4585">
        <v>378</v>
      </c>
      <c r="G4585">
        <v>231013</v>
      </c>
      <c r="H4585">
        <v>4400</v>
      </c>
      <c r="I4585" t="s">
        <v>348</v>
      </c>
      <c r="J4585">
        <v>468.72</v>
      </c>
      <c r="K4585">
        <v>90.72</v>
      </c>
      <c r="L4585">
        <v>49501</v>
      </c>
      <c r="M4585" t="s">
        <v>177</v>
      </c>
      <c r="N4585" t="str">
        <f>"6386        "</f>
        <v xml:space="preserve">6386        </v>
      </c>
      <c r="O4585">
        <v>231017</v>
      </c>
    </row>
    <row r="4586" spans="1:15" x14ac:dyDescent="0.25">
      <c r="A4586" t="s">
        <v>16</v>
      </c>
      <c r="B4586" t="s">
        <v>3221</v>
      </c>
      <c r="C4586">
        <v>9932</v>
      </c>
      <c r="D4586" t="s">
        <v>3249</v>
      </c>
      <c r="E4586" t="s">
        <v>3250</v>
      </c>
      <c r="F4586">
        <v>4238.5</v>
      </c>
      <c r="G4586">
        <v>230720</v>
      </c>
      <c r="H4586">
        <v>4800</v>
      </c>
      <c r="I4586" t="s">
        <v>3276</v>
      </c>
      <c r="J4586">
        <v>4238.5</v>
      </c>
      <c r="K4586">
        <v>0</v>
      </c>
      <c r="L4586">
        <v>17737</v>
      </c>
      <c r="M4586" t="s">
        <v>279</v>
      </c>
      <c r="N4586" t="str">
        <f>"50013825    "</f>
        <v xml:space="preserve">50013825    </v>
      </c>
      <c r="O4586">
        <v>230802</v>
      </c>
    </row>
    <row r="4587" spans="1:15" x14ac:dyDescent="0.25">
      <c r="A4587" t="s">
        <v>16</v>
      </c>
      <c r="B4587" t="s">
        <v>3221</v>
      </c>
      <c r="C4587">
        <v>11916</v>
      </c>
      <c r="D4587" t="s">
        <v>3249</v>
      </c>
      <c r="E4587" t="s">
        <v>3250</v>
      </c>
      <c r="F4587">
        <v>317.81</v>
      </c>
      <c r="G4587">
        <v>230907</v>
      </c>
      <c r="H4587">
        <v>4800</v>
      </c>
      <c r="I4587" t="s">
        <v>3276</v>
      </c>
      <c r="J4587">
        <v>317.81</v>
      </c>
      <c r="K4587">
        <v>0</v>
      </c>
      <c r="L4587">
        <v>17951</v>
      </c>
      <c r="M4587" t="s">
        <v>87</v>
      </c>
      <c r="N4587" t="str">
        <f>"10007469    "</f>
        <v xml:space="preserve">10007469    </v>
      </c>
      <c r="O4587">
        <v>230911</v>
      </c>
    </row>
    <row r="4588" spans="1:15" x14ac:dyDescent="0.25">
      <c r="A4588" t="s">
        <v>16</v>
      </c>
      <c r="B4588" t="s">
        <v>3221</v>
      </c>
      <c r="C4588">
        <v>14412</v>
      </c>
      <c r="D4588" t="s">
        <v>3249</v>
      </c>
      <c r="E4588" t="s">
        <v>3250</v>
      </c>
      <c r="F4588">
        <v>1596</v>
      </c>
      <c r="G4588">
        <v>231017</v>
      </c>
      <c r="H4588">
        <v>4800</v>
      </c>
      <c r="I4588" t="s">
        <v>3276</v>
      </c>
      <c r="J4588">
        <v>1596</v>
      </c>
      <c r="K4588">
        <v>0</v>
      </c>
      <c r="L4588">
        <v>17951</v>
      </c>
      <c r="M4588" t="s">
        <v>87</v>
      </c>
      <c r="N4588" t="str">
        <f>"10007524    "</f>
        <v xml:space="preserve">10007524    </v>
      </c>
      <c r="O4588">
        <v>231030</v>
      </c>
    </row>
    <row r="4589" spans="1:15" x14ac:dyDescent="0.25">
      <c r="A4589" t="s">
        <v>16</v>
      </c>
      <c r="B4589" t="s">
        <v>3221</v>
      </c>
      <c r="C4589">
        <v>11036</v>
      </c>
      <c r="D4589" t="s">
        <v>3249</v>
      </c>
      <c r="E4589" t="s">
        <v>3250</v>
      </c>
      <c r="F4589">
        <v>449.84</v>
      </c>
      <c r="G4589">
        <v>230801</v>
      </c>
      <c r="H4589">
        <v>4410</v>
      </c>
      <c r="I4589" t="s">
        <v>517</v>
      </c>
      <c r="J4589">
        <v>512.82000000000005</v>
      </c>
      <c r="K4589">
        <v>62.98</v>
      </c>
      <c r="L4589">
        <v>17918</v>
      </c>
      <c r="M4589" t="s">
        <v>137</v>
      </c>
      <c r="N4589" t="str">
        <f>"50013668    "</f>
        <v xml:space="preserve">50013668    </v>
      </c>
      <c r="O4589">
        <v>230829</v>
      </c>
    </row>
    <row r="4590" spans="1:15" x14ac:dyDescent="0.25">
      <c r="A4590" t="s">
        <v>16</v>
      </c>
      <c r="B4590" t="s">
        <v>3221</v>
      </c>
      <c r="C4590">
        <v>2532</v>
      </c>
      <c r="D4590" t="s">
        <v>3249</v>
      </c>
      <c r="E4590" t="s">
        <v>3250</v>
      </c>
      <c r="F4590">
        <v>1305.1600000000001</v>
      </c>
      <c r="G4590">
        <v>230228</v>
      </c>
      <c r="H4590">
        <v>4380</v>
      </c>
      <c r="I4590" t="s">
        <v>113</v>
      </c>
      <c r="J4590">
        <v>1618.4</v>
      </c>
      <c r="K4590">
        <v>313.24</v>
      </c>
      <c r="L4590">
        <v>17952</v>
      </c>
      <c r="M4590" t="s">
        <v>88</v>
      </c>
      <c r="N4590" t="str">
        <f>"2693644     "</f>
        <v xml:space="preserve">2693644     </v>
      </c>
      <c r="O4590">
        <v>230302</v>
      </c>
    </row>
    <row r="4591" spans="1:15" x14ac:dyDescent="0.25">
      <c r="A4591" t="s">
        <v>16</v>
      </c>
      <c r="B4591" t="s">
        <v>3221</v>
      </c>
      <c r="C4591">
        <v>2534</v>
      </c>
      <c r="D4591" t="s">
        <v>3249</v>
      </c>
      <c r="E4591" t="s">
        <v>3250</v>
      </c>
      <c r="F4591">
        <v>140.19</v>
      </c>
      <c r="G4591">
        <v>230227</v>
      </c>
      <c r="H4591">
        <v>4380</v>
      </c>
      <c r="I4591" t="s">
        <v>113</v>
      </c>
      <c r="J4591">
        <v>173.83</v>
      </c>
      <c r="K4591">
        <v>33.64</v>
      </c>
      <c r="L4591">
        <v>17951</v>
      </c>
      <c r="M4591" t="s">
        <v>87</v>
      </c>
      <c r="N4591" t="str">
        <f>"2692833     "</f>
        <v xml:space="preserve">2692833     </v>
      </c>
      <c r="O4591">
        <v>230302</v>
      </c>
    </row>
    <row r="4592" spans="1:15" x14ac:dyDescent="0.25">
      <c r="A4592" t="s">
        <v>16</v>
      </c>
      <c r="B4592" t="s">
        <v>3221</v>
      </c>
      <c r="C4592">
        <v>2535</v>
      </c>
      <c r="D4592" t="s">
        <v>3249</v>
      </c>
      <c r="E4592" t="s">
        <v>3250</v>
      </c>
      <c r="F4592">
        <v>904.71</v>
      </c>
      <c r="G4592">
        <v>230227</v>
      </c>
      <c r="H4592">
        <v>4380</v>
      </c>
      <c r="I4592" t="s">
        <v>113</v>
      </c>
      <c r="J4592">
        <v>1121.8399999999999</v>
      </c>
      <c r="K4592">
        <v>217.13</v>
      </c>
      <c r="L4592">
        <v>17951</v>
      </c>
      <c r="M4592" t="s">
        <v>87</v>
      </c>
      <c r="N4592" t="str">
        <f>"2692784     "</f>
        <v xml:space="preserve">2692784     </v>
      </c>
      <c r="O4592">
        <v>230302</v>
      </c>
    </row>
    <row r="4593" spans="1:15" x14ac:dyDescent="0.25">
      <c r="A4593" t="s">
        <v>16</v>
      </c>
      <c r="B4593" t="s">
        <v>3221</v>
      </c>
      <c r="C4593">
        <v>8444</v>
      </c>
      <c r="D4593" t="s">
        <v>3249</v>
      </c>
      <c r="E4593" t="s">
        <v>3250</v>
      </c>
      <c r="F4593">
        <v>124.4</v>
      </c>
      <c r="G4593">
        <v>230607</v>
      </c>
      <c r="H4593">
        <v>4380</v>
      </c>
      <c r="I4593" t="s">
        <v>113</v>
      </c>
      <c r="J4593">
        <v>154.26</v>
      </c>
      <c r="K4593">
        <v>29.86</v>
      </c>
      <c r="L4593">
        <v>17951</v>
      </c>
      <c r="M4593" t="s">
        <v>87</v>
      </c>
      <c r="N4593" t="str">
        <f>"2695749     "</f>
        <v xml:space="preserve">2695749     </v>
      </c>
      <c r="O4593">
        <v>230608</v>
      </c>
    </row>
    <row r="4594" spans="1:15" x14ac:dyDescent="0.25">
      <c r="A4594" t="s">
        <v>16</v>
      </c>
      <c r="B4594" t="s">
        <v>3221</v>
      </c>
      <c r="C4594">
        <v>8446</v>
      </c>
      <c r="D4594" t="s">
        <v>3249</v>
      </c>
      <c r="E4594" t="s">
        <v>3250</v>
      </c>
      <c r="F4594">
        <v>899.97</v>
      </c>
      <c r="G4594">
        <v>230607</v>
      </c>
      <c r="H4594">
        <v>4380</v>
      </c>
      <c r="I4594" t="s">
        <v>113</v>
      </c>
      <c r="J4594">
        <v>1115.96</v>
      </c>
      <c r="K4594">
        <v>215.99</v>
      </c>
      <c r="L4594">
        <v>17951</v>
      </c>
      <c r="M4594" t="s">
        <v>87</v>
      </c>
      <c r="N4594" t="str">
        <f>"2695700     "</f>
        <v xml:space="preserve">2695700     </v>
      </c>
      <c r="O4594">
        <v>230608</v>
      </c>
    </row>
    <row r="4595" spans="1:15" x14ac:dyDescent="0.25">
      <c r="A4595" t="s">
        <v>16</v>
      </c>
      <c r="B4595" t="s">
        <v>3221</v>
      </c>
      <c r="C4595">
        <v>8690</v>
      </c>
      <c r="D4595" t="s">
        <v>3249</v>
      </c>
      <c r="E4595" t="s">
        <v>3250</v>
      </c>
      <c r="F4595">
        <v>131.9</v>
      </c>
      <c r="G4595">
        <v>230608</v>
      </c>
      <c r="H4595">
        <v>4380</v>
      </c>
      <c r="I4595" t="s">
        <v>113</v>
      </c>
      <c r="J4595">
        <v>163.55000000000001</v>
      </c>
      <c r="K4595">
        <v>31.65</v>
      </c>
      <c r="L4595">
        <v>17739</v>
      </c>
      <c r="M4595" t="s">
        <v>374</v>
      </c>
      <c r="N4595" t="str">
        <f>"2696520     "</f>
        <v xml:space="preserve">2696520     </v>
      </c>
      <c r="O4595">
        <v>230613</v>
      </c>
    </row>
    <row r="4596" spans="1:15" x14ac:dyDescent="0.25">
      <c r="A4596" t="s">
        <v>16</v>
      </c>
      <c r="B4596" t="s">
        <v>3221</v>
      </c>
      <c r="C4596">
        <v>8690</v>
      </c>
      <c r="D4596" t="s">
        <v>3249</v>
      </c>
      <c r="E4596" t="s">
        <v>3250</v>
      </c>
      <c r="F4596">
        <v>395.69</v>
      </c>
      <c r="G4596">
        <v>230608</v>
      </c>
      <c r="H4596">
        <v>4380</v>
      </c>
      <c r="I4596" t="s">
        <v>113</v>
      </c>
      <c r="J4596">
        <v>490.66</v>
      </c>
      <c r="K4596">
        <v>94.97</v>
      </c>
      <c r="L4596">
        <v>17912</v>
      </c>
      <c r="M4596" t="s">
        <v>419</v>
      </c>
      <c r="N4596" t="str">
        <f>"2696520     "</f>
        <v xml:space="preserve">2696520     </v>
      </c>
      <c r="O4596">
        <v>230613</v>
      </c>
    </row>
    <row r="4597" spans="1:15" x14ac:dyDescent="0.25">
      <c r="A4597" t="s">
        <v>16</v>
      </c>
      <c r="B4597" t="s">
        <v>3221</v>
      </c>
      <c r="C4597">
        <v>8690</v>
      </c>
      <c r="D4597" t="s">
        <v>3249</v>
      </c>
      <c r="E4597" t="s">
        <v>3250</v>
      </c>
      <c r="F4597">
        <v>791.38</v>
      </c>
      <c r="G4597">
        <v>230608</v>
      </c>
      <c r="H4597">
        <v>4380</v>
      </c>
      <c r="I4597" t="s">
        <v>113</v>
      </c>
      <c r="J4597">
        <v>981.31</v>
      </c>
      <c r="K4597">
        <v>189.93</v>
      </c>
      <c r="L4597">
        <v>17952</v>
      </c>
      <c r="M4597" t="s">
        <v>88</v>
      </c>
      <c r="N4597" t="str">
        <f>"2696520     "</f>
        <v xml:space="preserve">2696520     </v>
      </c>
      <c r="O4597">
        <v>230613</v>
      </c>
    </row>
    <row r="4598" spans="1:15" x14ac:dyDescent="0.25">
      <c r="A4598" t="s">
        <v>16</v>
      </c>
      <c r="B4598" t="s">
        <v>3221</v>
      </c>
      <c r="C4598">
        <v>11262</v>
      </c>
      <c r="D4598" t="s">
        <v>3249</v>
      </c>
      <c r="E4598" t="s">
        <v>3250</v>
      </c>
      <c r="F4598">
        <v>678.4</v>
      </c>
      <c r="G4598">
        <v>230831</v>
      </c>
      <c r="H4598">
        <v>4380</v>
      </c>
      <c r="I4598" t="s">
        <v>113</v>
      </c>
      <c r="J4598">
        <v>841.21</v>
      </c>
      <c r="K4598">
        <v>162.81</v>
      </c>
      <c r="L4598">
        <v>17951</v>
      </c>
      <c r="M4598" t="s">
        <v>87</v>
      </c>
      <c r="N4598" t="str">
        <f>"2698624     "</f>
        <v xml:space="preserve">2698624     </v>
      </c>
      <c r="O4598">
        <v>230904</v>
      </c>
    </row>
    <row r="4599" spans="1:15" x14ac:dyDescent="0.25">
      <c r="A4599" t="s">
        <v>16</v>
      </c>
      <c r="B4599" t="s">
        <v>3221</v>
      </c>
      <c r="C4599">
        <v>11263</v>
      </c>
      <c r="D4599" t="s">
        <v>3249</v>
      </c>
      <c r="E4599" t="s">
        <v>3250</v>
      </c>
      <c r="F4599">
        <v>413.44</v>
      </c>
      <c r="G4599">
        <v>230831</v>
      </c>
      <c r="H4599">
        <v>4380</v>
      </c>
      <c r="I4599" t="s">
        <v>113</v>
      </c>
      <c r="J4599">
        <v>512.66</v>
      </c>
      <c r="K4599">
        <v>99.22</v>
      </c>
      <c r="L4599">
        <v>17951</v>
      </c>
      <c r="M4599" t="s">
        <v>87</v>
      </c>
      <c r="N4599" t="str">
        <f>"2698673     "</f>
        <v xml:space="preserve">2698673     </v>
      </c>
      <c r="O4599">
        <v>230904</v>
      </c>
    </row>
    <row r="4600" spans="1:15" x14ac:dyDescent="0.25">
      <c r="A4600" t="s">
        <v>16</v>
      </c>
      <c r="B4600" t="s">
        <v>3221</v>
      </c>
      <c r="C4600">
        <v>11451</v>
      </c>
      <c r="D4600" t="s">
        <v>3249</v>
      </c>
      <c r="E4600" t="s">
        <v>3250</v>
      </c>
      <c r="F4600">
        <v>523.27</v>
      </c>
      <c r="G4600">
        <v>230901</v>
      </c>
      <c r="H4600">
        <v>4380</v>
      </c>
      <c r="I4600" t="s">
        <v>113</v>
      </c>
      <c r="J4600">
        <v>648.85</v>
      </c>
      <c r="K4600">
        <v>125.58</v>
      </c>
      <c r="L4600">
        <v>17739</v>
      </c>
      <c r="M4600" t="s">
        <v>374</v>
      </c>
      <c r="N4600" t="str">
        <f>"2699496     "</f>
        <v xml:space="preserve">2699496     </v>
      </c>
      <c r="O4600">
        <v>230905</v>
      </c>
    </row>
    <row r="4601" spans="1:15" x14ac:dyDescent="0.25">
      <c r="A4601" t="s">
        <v>16</v>
      </c>
      <c r="B4601" t="s">
        <v>3221</v>
      </c>
      <c r="C4601">
        <v>11451</v>
      </c>
      <c r="D4601" t="s">
        <v>3249</v>
      </c>
      <c r="E4601" t="s">
        <v>3250</v>
      </c>
      <c r="F4601">
        <v>1569.79</v>
      </c>
      <c r="G4601">
        <v>230901</v>
      </c>
      <c r="H4601">
        <v>4380</v>
      </c>
      <c r="I4601" t="s">
        <v>113</v>
      </c>
      <c r="J4601">
        <v>1946.54</v>
      </c>
      <c r="K4601">
        <v>376.75</v>
      </c>
      <c r="L4601">
        <v>17912</v>
      </c>
      <c r="M4601" t="s">
        <v>419</v>
      </c>
      <c r="N4601" t="str">
        <f>"2699496     "</f>
        <v xml:space="preserve">2699496     </v>
      </c>
      <c r="O4601">
        <v>230905</v>
      </c>
    </row>
    <row r="4602" spans="1:15" x14ac:dyDescent="0.25">
      <c r="A4602" t="s">
        <v>16</v>
      </c>
      <c r="B4602" t="s">
        <v>3221</v>
      </c>
      <c r="C4602">
        <v>11451</v>
      </c>
      <c r="D4602" t="s">
        <v>3249</v>
      </c>
      <c r="E4602" t="s">
        <v>3250</v>
      </c>
      <c r="F4602">
        <v>3139.59</v>
      </c>
      <c r="G4602">
        <v>230901</v>
      </c>
      <c r="H4602">
        <v>4380</v>
      </c>
      <c r="I4602" t="s">
        <v>113</v>
      </c>
      <c r="J4602">
        <v>3893.09</v>
      </c>
      <c r="K4602">
        <v>753.5</v>
      </c>
      <c r="L4602">
        <v>17952</v>
      </c>
      <c r="M4602" t="s">
        <v>88</v>
      </c>
      <c r="N4602" t="str">
        <f>"2699496     "</f>
        <v xml:space="preserve">2699496     </v>
      </c>
      <c r="O4602">
        <v>230905</v>
      </c>
    </row>
    <row r="4603" spans="1:15" x14ac:dyDescent="0.25">
      <c r="A4603" t="s">
        <v>16</v>
      </c>
      <c r="B4603" t="s">
        <v>3221</v>
      </c>
      <c r="C4603">
        <v>16386</v>
      </c>
      <c r="D4603" t="s">
        <v>3249</v>
      </c>
      <c r="E4603" t="s">
        <v>3250</v>
      </c>
      <c r="F4603">
        <v>869.33</v>
      </c>
      <c r="G4603">
        <v>231127</v>
      </c>
      <c r="H4603">
        <v>4380</v>
      </c>
      <c r="I4603" t="s">
        <v>113</v>
      </c>
      <c r="J4603">
        <v>1077.97</v>
      </c>
      <c r="K4603">
        <v>208.64</v>
      </c>
      <c r="L4603">
        <v>17951</v>
      </c>
      <c r="M4603" t="s">
        <v>87</v>
      </c>
      <c r="N4603" t="str">
        <f>"2702121     "</f>
        <v xml:space="preserve">2702121     </v>
      </c>
      <c r="O4603">
        <v>231128</v>
      </c>
    </row>
    <row r="4604" spans="1:15" x14ac:dyDescent="0.25">
      <c r="A4604" t="s">
        <v>16</v>
      </c>
      <c r="B4604" t="s">
        <v>3221</v>
      </c>
      <c r="C4604">
        <v>16387</v>
      </c>
      <c r="D4604" t="s">
        <v>3249</v>
      </c>
      <c r="E4604" t="s">
        <v>3250</v>
      </c>
      <c r="F4604">
        <v>198.65</v>
      </c>
      <c r="G4604">
        <v>231127</v>
      </c>
      <c r="H4604">
        <v>4380</v>
      </c>
      <c r="I4604" t="s">
        <v>113</v>
      </c>
      <c r="J4604">
        <v>246.33</v>
      </c>
      <c r="K4604">
        <v>47.68</v>
      </c>
      <c r="L4604">
        <v>17951</v>
      </c>
      <c r="M4604" t="s">
        <v>87</v>
      </c>
      <c r="N4604" t="str">
        <f>"2702170     "</f>
        <v xml:space="preserve">2702170     </v>
      </c>
      <c r="O4604">
        <v>231128</v>
      </c>
    </row>
    <row r="4605" spans="1:15" x14ac:dyDescent="0.25">
      <c r="A4605" t="s">
        <v>16</v>
      </c>
      <c r="B4605" t="s">
        <v>3221</v>
      </c>
      <c r="C4605">
        <v>16564</v>
      </c>
      <c r="D4605" t="s">
        <v>3249</v>
      </c>
      <c r="E4605" t="s">
        <v>3250</v>
      </c>
      <c r="F4605">
        <v>2266.9899999999998</v>
      </c>
      <c r="G4605">
        <v>231128</v>
      </c>
      <c r="H4605">
        <v>4380</v>
      </c>
      <c r="I4605" t="s">
        <v>113</v>
      </c>
      <c r="J4605">
        <v>2811.07</v>
      </c>
      <c r="K4605">
        <v>544.08000000000004</v>
      </c>
      <c r="L4605">
        <v>17952</v>
      </c>
      <c r="M4605" t="s">
        <v>88</v>
      </c>
      <c r="N4605" t="str">
        <f>"2702940     "</f>
        <v xml:space="preserve">2702940     </v>
      </c>
      <c r="O4605">
        <v>231201</v>
      </c>
    </row>
    <row r="4606" spans="1:15" x14ac:dyDescent="0.25">
      <c r="A4606" t="s">
        <v>16</v>
      </c>
      <c r="B4606" t="s">
        <v>3221</v>
      </c>
      <c r="C4606">
        <v>9090</v>
      </c>
      <c r="D4606" t="s">
        <v>3249</v>
      </c>
      <c r="E4606" t="s">
        <v>3250</v>
      </c>
      <c r="F4606">
        <v>6329</v>
      </c>
      <c r="G4606">
        <v>230621</v>
      </c>
      <c r="H4606">
        <v>4820</v>
      </c>
      <c r="I4606" t="s">
        <v>50</v>
      </c>
      <c r="J4606">
        <v>6961.9</v>
      </c>
      <c r="K4606">
        <v>632.9</v>
      </c>
      <c r="L4606">
        <v>13841</v>
      </c>
      <c r="M4606" t="s">
        <v>47</v>
      </c>
      <c r="N4606" t="str">
        <f>"40040336    "</f>
        <v xml:space="preserve">40040336    </v>
      </c>
      <c r="O4606">
        <v>230622</v>
      </c>
    </row>
    <row r="4607" spans="1:15" x14ac:dyDescent="0.25">
      <c r="A4607" t="s">
        <v>16</v>
      </c>
      <c r="B4607" t="s">
        <v>3221</v>
      </c>
      <c r="C4607">
        <v>9090</v>
      </c>
      <c r="D4607" t="s">
        <v>3249</v>
      </c>
      <c r="E4607" t="s">
        <v>3250</v>
      </c>
      <c r="F4607">
        <v>8692</v>
      </c>
      <c r="G4607">
        <v>230621</v>
      </c>
      <c r="H4607">
        <v>4820</v>
      </c>
      <c r="I4607" t="s">
        <v>50</v>
      </c>
      <c r="J4607">
        <v>10778.08</v>
      </c>
      <c r="K4607">
        <v>2086.08</v>
      </c>
      <c r="L4607">
        <v>13841</v>
      </c>
      <c r="M4607" t="s">
        <v>47</v>
      </c>
      <c r="N4607" t="str">
        <f>"40040336    "</f>
        <v xml:space="preserve">40040336    </v>
      </c>
      <c r="O4607">
        <v>230622</v>
      </c>
    </row>
    <row r="4608" spans="1:15" x14ac:dyDescent="0.25">
      <c r="A4608" t="s">
        <v>16</v>
      </c>
      <c r="B4608" t="s">
        <v>3221</v>
      </c>
      <c r="C4608">
        <v>17904</v>
      </c>
      <c r="D4608" t="s">
        <v>3249</v>
      </c>
      <c r="E4608" t="s">
        <v>3250</v>
      </c>
      <c r="F4608">
        <v>1080</v>
      </c>
      <c r="G4608">
        <v>231218</v>
      </c>
      <c r="H4608">
        <v>4820</v>
      </c>
      <c r="I4608" t="s">
        <v>50</v>
      </c>
      <c r="J4608">
        <v>1339.2</v>
      </c>
      <c r="K4608">
        <v>259.2</v>
      </c>
      <c r="L4608">
        <v>13841</v>
      </c>
      <c r="M4608" t="s">
        <v>47</v>
      </c>
      <c r="N4608" t="str">
        <f>"40040775    "</f>
        <v xml:space="preserve">40040775    </v>
      </c>
      <c r="O4608">
        <v>231227</v>
      </c>
    </row>
    <row r="4609" spans="1:15" x14ac:dyDescent="0.25">
      <c r="A4609" t="s">
        <v>16</v>
      </c>
      <c r="B4609" t="s">
        <v>3221</v>
      </c>
      <c r="C4609">
        <v>19268</v>
      </c>
      <c r="D4609" t="s">
        <v>3249</v>
      </c>
      <c r="E4609" t="s">
        <v>3250</v>
      </c>
      <c r="F4609">
        <v>5610</v>
      </c>
      <c r="G4609">
        <v>231231</v>
      </c>
      <c r="H4609">
        <v>4820</v>
      </c>
      <c r="I4609" t="s">
        <v>50</v>
      </c>
      <c r="J4609">
        <v>6956.4</v>
      </c>
      <c r="K4609">
        <v>1346.4</v>
      </c>
      <c r="L4609">
        <v>13841</v>
      </c>
      <c r="M4609" t="s">
        <v>47</v>
      </c>
      <c r="N4609" t="str">
        <f>"40040900    "</f>
        <v xml:space="preserve">40040900    </v>
      </c>
      <c r="O4609">
        <v>240115</v>
      </c>
    </row>
    <row r="4610" spans="1:15" x14ac:dyDescent="0.25">
      <c r="A4610" t="s">
        <v>16</v>
      </c>
      <c r="B4610" t="s">
        <v>3221</v>
      </c>
      <c r="C4610">
        <v>19327</v>
      </c>
      <c r="D4610" t="s">
        <v>3249</v>
      </c>
      <c r="E4610" t="s">
        <v>3250</v>
      </c>
      <c r="F4610">
        <v>856.34</v>
      </c>
      <c r="G4610">
        <v>231230</v>
      </c>
      <c r="H4610">
        <v>4820</v>
      </c>
      <c r="I4610" t="s">
        <v>50</v>
      </c>
      <c r="J4610">
        <v>941.97</v>
      </c>
      <c r="K4610">
        <v>85.63</v>
      </c>
      <c r="L4610">
        <v>13841</v>
      </c>
      <c r="M4610" t="s">
        <v>47</v>
      </c>
      <c r="N4610" t="str">
        <f>"40040908    "</f>
        <v xml:space="preserve">40040908    </v>
      </c>
      <c r="O4610">
        <v>240117</v>
      </c>
    </row>
    <row r="4611" spans="1:15" x14ac:dyDescent="0.25">
      <c r="A4611" t="s">
        <v>16</v>
      </c>
      <c r="B4611" t="s">
        <v>3221</v>
      </c>
      <c r="C4611">
        <v>2534</v>
      </c>
      <c r="D4611" t="s">
        <v>3249</v>
      </c>
      <c r="E4611" t="s">
        <v>3250</v>
      </c>
      <c r="F4611">
        <v>82.28</v>
      </c>
      <c r="G4611">
        <v>230227</v>
      </c>
      <c r="H4611">
        <v>4573</v>
      </c>
      <c r="I4611" t="s">
        <v>46</v>
      </c>
      <c r="J4611">
        <v>102.03</v>
      </c>
      <c r="K4611">
        <v>19.75</v>
      </c>
      <c r="L4611">
        <v>17951</v>
      </c>
      <c r="M4611" t="s">
        <v>87</v>
      </c>
      <c r="N4611" t="str">
        <f>"2692833     "</f>
        <v xml:space="preserve">2692833     </v>
      </c>
      <c r="O4611">
        <v>230302</v>
      </c>
    </row>
    <row r="4612" spans="1:15" x14ac:dyDescent="0.25">
      <c r="A4612" t="s">
        <v>16</v>
      </c>
      <c r="B4612" t="s">
        <v>3221</v>
      </c>
      <c r="C4612">
        <v>2535</v>
      </c>
      <c r="D4612" t="s">
        <v>3249</v>
      </c>
      <c r="E4612" t="s">
        <v>3250</v>
      </c>
      <c r="F4612">
        <v>547.65</v>
      </c>
      <c r="G4612">
        <v>230227</v>
      </c>
      <c r="H4612">
        <v>4573</v>
      </c>
      <c r="I4612" t="s">
        <v>46</v>
      </c>
      <c r="J4612">
        <v>679.08</v>
      </c>
      <c r="K4612">
        <v>131.43</v>
      </c>
      <c r="L4612">
        <v>17951</v>
      </c>
      <c r="M4612" t="s">
        <v>87</v>
      </c>
      <c r="N4612" t="str">
        <f>"2692784     "</f>
        <v xml:space="preserve">2692784     </v>
      </c>
      <c r="O4612">
        <v>230302</v>
      </c>
    </row>
    <row r="4613" spans="1:15" x14ac:dyDescent="0.25">
      <c r="A4613" t="s">
        <v>16</v>
      </c>
      <c r="B4613" t="s">
        <v>3221</v>
      </c>
      <c r="C4613">
        <v>8444</v>
      </c>
      <c r="D4613" t="s">
        <v>3249</v>
      </c>
      <c r="E4613" t="s">
        <v>3250</v>
      </c>
      <c r="F4613">
        <v>98.06</v>
      </c>
      <c r="G4613">
        <v>230607</v>
      </c>
      <c r="H4613">
        <v>4573</v>
      </c>
      <c r="I4613" t="s">
        <v>46</v>
      </c>
      <c r="J4613">
        <v>121.6</v>
      </c>
      <c r="K4613">
        <v>23.54</v>
      </c>
      <c r="L4613">
        <v>17951</v>
      </c>
      <c r="M4613" t="s">
        <v>87</v>
      </c>
      <c r="N4613" t="str">
        <f>"2695749     "</f>
        <v xml:space="preserve">2695749     </v>
      </c>
      <c r="O4613">
        <v>230608</v>
      </c>
    </row>
    <row r="4614" spans="1:15" x14ac:dyDescent="0.25">
      <c r="A4614" t="s">
        <v>16</v>
      </c>
      <c r="B4614" t="s">
        <v>3221</v>
      </c>
      <c r="C4614">
        <v>8446</v>
      </c>
      <c r="D4614" t="s">
        <v>3249</v>
      </c>
      <c r="E4614" t="s">
        <v>3250</v>
      </c>
      <c r="F4614">
        <v>570.15</v>
      </c>
      <c r="G4614">
        <v>230607</v>
      </c>
      <c r="H4614">
        <v>4573</v>
      </c>
      <c r="I4614" t="s">
        <v>46</v>
      </c>
      <c r="J4614">
        <v>706.98</v>
      </c>
      <c r="K4614">
        <v>136.83000000000001</v>
      </c>
      <c r="L4614">
        <v>17951</v>
      </c>
      <c r="M4614" t="s">
        <v>87</v>
      </c>
      <c r="N4614" t="str">
        <f>"2695700     "</f>
        <v xml:space="preserve">2695700     </v>
      </c>
      <c r="O4614">
        <v>230608</v>
      </c>
    </row>
    <row r="4615" spans="1:15" x14ac:dyDescent="0.25">
      <c r="A4615" t="s">
        <v>16</v>
      </c>
      <c r="B4615" t="s">
        <v>3221</v>
      </c>
      <c r="C4615">
        <v>11262</v>
      </c>
      <c r="D4615" t="s">
        <v>3249</v>
      </c>
      <c r="E4615" t="s">
        <v>3250</v>
      </c>
      <c r="F4615">
        <v>409.9</v>
      </c>
      <c r="G4615">
        <v>230831</v>
      </c>
      <c r="H4615">
        <v>4573</v>
      </c>
      <c r="I4615" t="s">
        <v>46</v>
      </c>
      <c r="J4615">
        <v>508.27</v>
      </c>
      <c r="K4615">
        <v>98.37</v>
      </c>
      <c r="L4615">
        <v>17951</v>
      </c>
      <c r="M4615" t="s">
        <v>87</v>
      </c>
      <c r="N4615" t="str">
        <f>"2698624     "</f>
        <v xml:space="preserve">2698624     </v>
      </c>
      <c r="O4615">
        <v>230904</v>
      </c>
    </row>
    <row r="4616" spans="1:15" x14ac:dyDescent="0.25">
      <c r="A4616" t="s">
        <v>16</v>
      </c>
      <c r="B4616" t="s">
        <v>3221</v>
      </c>
      <c r="C4616">
        <v>11263</v>
      </c>
      <c r="D4616" t="s">
        <v>3249</v>
      </c>
      <c r="E4616" t="s">
        <v>3250</v>
      </c>
      <c r="F4616">
        <v>248.6</v>
      </c>
      <c r="G4616">
        <v>230831</v>
      </c>
      <c r="H4616">
        <v>4573</v>
      </c>
      <c r="I4616" t="s">
        <v>46</v>
      </c>
      <c r="J4616">
        <v>308.27</v>
      </c>
      <c r="K4616">
        <v>59.67</v>
      </c>
      <c r="L4616">
        <v>17951</v>
      </c>
      <c r="M4616" t="s">
        <v>87</v>
      </c>
      <c r="N4616" t="str">
        <f>"2698673     "</f>
        <v xml:space="preserve">2698673     </v>
      </c>
      <c r="O4616">
        <v>230904</v>
      </c>
    </row>
    <row r="4617" spans="1:15" x14ac:dyDescent="0.25">
      <c r="A4617" t="s">
        <v>16</v>
      </c>
      <c r="B4617" t="s">
        <v>3221</v>
      </c>
      <c r="C4617">
        <v>16386</v>
      </c>
      <c r="D4617" t="s">
        <v>3249</v>
      </c>
      <c r="E4617" t="s">
        <v>3250</v>
      </c>
      <c r="F4617">
        <v>525.80999999999995</v>
      </c>
      <c r="G4617">
        <v>231127</v>
      </c>
      <c r="H4617">
        <v>4573</v>
      </c>
      <c r="I4617" t="s">
        <v>46</v>
      </c>
      <c r="J4617">
        <v>652.01</v>
      </c>
      <c r="K4617">
        <v>126.2</v>
      </c>
      <c r="L4617">
        <v>17951</v>
      </c>
      <c r="M4617" t="s">
        <v>87</v>
      </c>
      <c r="N4617" t="str">
        <f>"2702121     "</f>
        <v xml:space="preserve">2702121     </v>
      </c>
      <c r="O4617">
        <v>231128</v>
      </c>
    </row>
    <row r="4618" spans="1:15" x14ac:dyDescent="0.25">
      <c r="A4618" t="s">
        <v>16</v>
      </c>
      <c r="B4618" t="s">
        <v>3221</v>
      </c>
      <c r="C4618">
        <v>16387</v>
      </c>
      <c r="D4618" t="s">
        <v>3249</v>
      </c>
      <c r="E4618" t="s">
        <v>3250</v>
      </c>
      <c r="F4618">
        <v>117.57</v>
      </c>
      <c r="G4618">
        <v>231127</v>
      </c>
      <c r="H4618">
        <v>4573</v>
      </c>
      <c r="I4618" t="s">
        <v>46</v>
      </c>
      <c r="J4618">
        <v>145.79</v>
      </c>
      <c r="K4618">
        <v>28.22</v>
      </c>
      <c r="L4618">
        <v>17951</v>
      </c>
      <c r="M4618" t="s">
        <v>87</v>
      </c>
      <c r="N4618" t="str">
        <f>"2702170     "</f>
        <v xml:space="preserve">2702170     </v>
      </c>
      <c r="O4618">
        <v>231128</v>
      </c>
    </row>
    <row r="4619" spans="1:15" x14ac:dyDescent="0.25">
      <c r="A4619" t="s">
        <v>16</v>
      </c>
      <c r="B4619" t="s">
        <v>3221</v>
      </c>
      <c r="C4619">
        <v>2841</v>
      </c>
      <c r="D4619" t="s">
        <v>1482</v>
      </c>
      <c r="E4619" t="s">
        <v>1483</v>
      </c>
      <c r="F4619">
        <v>88.71</v>
      </c>
      <c r="G4619">
        <v>230228</v>
      </c>
      <c r="H4619">
        <v>4600</v>
      </c>
      <c r="I4619" t="s">
        <v>105</v>
      </c>
      <c r="J4619">
        <v>110</v>
      </c>
      <c r="K4619">
        <v>21.29</v>
      </c>
      <c r="L4619">
        <v>17812</v>
      </c>
      <c r="M4619" t="s">
        <v>594</v>
      </c>
      <c r="N4619" t="str">
        <f>"2095        "</f>
        <v xml:space="preserve">2095        </v>
      </c>
      <c r="O4619">
        <v>230308</v>
      </c>
    </row>
    <row r="4620" spans="1:15" x14ac:dyDescent="0.25">
      <c r="A4620" t="s">
        <v>16</v>
      </c>
      <c r="B4620" t="s">
        <v>3221</v>
      </c>
      <c r="C4620">
        <v>4705</v>
      </c>
      <c r="D4620" t="s">
        <v>1482</v>
      </c>
      <c r="E4620" t="s">
        <v>1483</v>
      </c>
      <c r="F4620">
        <v>44.35</v>
      </c>
      <c r="G4620">
        <v>230331</v>
      </c>
      <c r="H4620">
        <v>4600</v>
      </c>
      <c r="I4620" t="s">
        <v>105</v>
      </c>
      <c r="J4620">
        <v>55</v>
      </c>
      <c r="K4620">
        <v>10.65</v>
      </c>
      <c r="L4620">
        <v>17802</v>
      </c>
      <c r="M4620" t="s">
        <v>174</v>
      </c>
      <c r="N4620" t="str">
        <f>"2126        "</f>
        <v xml:space="preserve">2126        </v>
      </c>
      <c r="O4620">
        <v>230412</v>
      </c>
    </row>
    <row r="4621" spans="1:15" x14ac:dyDescent="0.25">
      <c r="A4621" t="s">
        <v>16</v>
      </c>
      <c r="B4621" t="s">
        <v>3221</v>
      </c>
      <c r="C4621">
        <v>13852</v>
      </c>
      <c r="D4621" t="s">
        <v>1482</v>
      </c>
      <c r="E4621" t="s">
        <v>1483</v>
      </c>
      <c r="F4621">
        <v>52.42</v>
      </c>
      <c r="G4621">
        <v>230929</v>
      </c>
      <c r="H4621">
        <v>4600</v>
      </c>
      <c r="I4621" t="s">
        <v>105</v>
      </c>
      <c r="J4621">
        <v>65</v>
      </c>
      <c r="K4621">
        <v>12.58</v>
      </c>
      <c r="L4621">
        <v>17812</v>
      </c>
      <c r="M4621" t="s">
        <v>594</v>
      </c>
      <c r="N4621" t="str">
        <f>"2247        "</f>
        <v xml:space="preserve">2247        </v>
      </c>
      <c r="O4621">
        <v>231016</v>
      </c>
    </row>
    <row r="4622" spans="1:15" x14ac:dyDescent="0.25">
      <c r="A4622" t="s">
        <v>16</v>
      </c>
      <c r="B4622" t="s">
        <v>3221</v>
      </c>
      <c r="C4622">
        <v>16743</v>
      </c>
      <c r="D4622" t="s">
        <v>1482</v>
      </c>
      <c r="E4622" t="s">
        <v>1483</v>
      </c>
      <c r="F4622">
        <v>44.35</v>
      </c>
      <c r="G4622">
        <v>231130</v>
      </c>
      <c r="H4622">
        <v>4600</v>
      </c>
      <c r="I4622" t="s">
        <v>105</v>
      </c>
      <c r="J4622">
        <v>55</v>
      </c>
      <c r="K4622">
        <v>10.65</v>
      </c>
      <c r="L4622">
        <v>17812</v>
      </c>
      <c r="M4622" t="s">
        <v>594</v>
      </c>
      <c r="N4622" t="str">
        <f>"2290        "</f>
        <v xml:space="preserve">2290        </v>
      </c>
      <c r="O4622">
        <v>231208</v>
      </c>
    </row>
    <row r="4623" spans="1:15" x14ac:dyDescent="0.25">
      <c r="A4623" t="s">
        <v>16</v>
      </c>
      <c r="B4623" t="s">
        <v>3221</v>
      </c>
      <c r="C4623">
        <v>16835</v>
      </c>
      <c r="D4623" t="s">
        <v>1482</v>
      </c>
      <c r="E4623" t="s">
        <v>1483</v>
      </c>
      <c r="F4623">
        <v>44.35</v>
      </c>
      <c r="G4623">
        <v>231130</v>
      </c>
      <c r="H4623">
        <v>4470</v>
      </c>
      <c r="I4623" t="s">
        <v>83</v>
      </c>
      <c r="J4623">
        <v>55</v>
      </c>
      <c r="K4623">
        <v>10.65</v>
      </c>
      <c r="L4623">
        <v>17808</v>
      </c>
      <c r="M4623" t="s">
        <v>322</v>
      </c>
      <c r="N4623" t="str">
        <f>"2284        "</f>
        <v xml:space="preserve">2284        </v>
      </c>
      <c r="O4623">
        <v>231211</v>
      </c>
    </row>
    <row r="4624" spans="1:15" x14ac:dyDescent="0.25">
      <c r="A4624" t="s">
        <v>16</v>
      </c>
      <c r="B4624" t="s">
        <v>3221</v>
      </c>
      <c r="C4624">
        <v>5883</v>
      </c>
      <c r="D4624" t="s">
        <v>3446</v>
      </c>
      <c r="F4624">
        <v>155</v>
      </c>
      <c r="G4624">
        <v>230430</v>
      </c>
      <c r="H4624">
        <v>4410</v>
      </c>
      <c r="I4624" t="s">
        <v>517</v>
      </c>
      <c r="J4624">
        <v>155</v>
      </c>
      <c r="K4624">
        <v>0</v>
      </c>
      <c r="L4624">
        <v>13801</v>
      </c>
      <c r="M4624" t="s">
        <v>162</v>
      </c>
      <c r="N4624" t="str">
        <f>"030523      "</f>
        <v xml:space="preserve">030523      </v>
      </c>
      <c r="O4624">
        <v>230503</v>
      </c>
    </row>
    <row r="4625" spans="1:15" x14ac:dyDescent="0.25">
      <c r="A4625" t="s">
        <v>16</v>
      </c>
      <c r="B4625" t="s">
        <v>3221</v>
      </c>
      <c r="C4625">
        <v>15834</v>
      </c>
      <c r="D4625" t="s">
        <v>2182</v>
      </c>
      <c r="E4625" t="s">
        <v>2183</v>
      </c>
      <c r="F4625">
        <v>693.55</v>
      </c>
      <c r="G4625">
        <v>231107</v>
      </c>
      <c r="H4625">
        <v>4580</v>
      </c>
      <c r="I4625" t="s">
        <v>35</v>
      </c>
      <c r="J4625">
        <v>860</v>
      </c>
      <c r="K4625">
        <v>166.45</v>
      </c>
      <c r="L4625">
        <v>17808</v>
      </c>
      <c r="M4625" t="s">
        <v>322</v>
      </c>
      <c r="N4625" t="str">
        <f>"1310        "</f>
        <v xml:space="preserve">1310        </v>
      </c>
      <c r="O4625">
        <v>231120</v>
      </c>
    </row>
    <row r="4626" spans="1:15" x14ac:dyDescent="0.25">
      <c r="A4626" t="s">
        <v>16</v>
      </c>
      <c r="B4626" t="s">
        <v>3221</v>
      </c>
      <c r="C4626">
        <v>19074</v>
      </c>
      <c r="D4626" t="s">
        <v>2182</v>
      </c>
      <c r="E4626" t="s">
        <v>2183</v>
      </c>
      <c r="F4626">
        <v>258.06</v>
      </c>
      <c r="G4626">
        <v>231220</v>
      </c>
      <c r="H4626">
        <v>4580</v>
      </c>
      <c r="I4626" t="s">
        <v>35</v>
      </c>
      <c r="J4626">
        <v>320</v>
      </c>
      <c r="K4626">
        <v>61.94</v>
      </c>
      <c r="L4626">
        <v>17711</v>
      </c>
      <c r="M4626" t="s">
        <v>65</v>
      </c>
      <c r="N4626" t="str">
        <f>"1374        "</f>
        <v xml:space="preserve">1374        </v>
      </c>
      <c r="O4626">
        <v>240110</v>
      </c>
    </row>
    <row r="4627" spans="1:15" x14ac:dyDescent="0.25">
      <c r="A4627" t="s">
        <v>16</v>
      </c>
      <c r="B4627" t="s">
        <v>3221</v>
      </c>
      <c r="C4627">
        <v>19074</v>
      </c>
      <c r="D4627" t="s">
        <v>2182</v>
      </c>
      <c r="E4627" t="s">
        <v>2183</v>
      </c>
      <c r="F4627">
        <v>177.42</v>
      </c>
      <c r="G4627">
        <v>231220</v>
      </c>
      <c r="H4627">
        <v>4580</v>
      </c>
      <c r="I4627" t="s">
        <v>35</v>
      </c>
      <c r="J4627">
        <v>220</v>
      </c>
      <c r="K4627">
        <v>42.58</v>
      </c>
      <c r="L4627">
        <v>17737</v>
      </c>
      <c r="M4627" t="s">
        <v>279</v>
      </c>
      <c r="N4627" t="str">
        <f>"1374        "</f>
        <v xml:space="preserve">1374        </v>
      </c>
      <c r="O4627">
        <v>240110</v>
      </c>
    </row>
    <row r="4628" spans="1:15" x14ac:dyDescent="0.25">
      <c r="A4628" t="s">
        <v>16</v>
      </c>
      <c r="B4628" t="s">
        <v>3221</v>
      </c>
      <c r="C4628">
        <v>8458</v>
      </c>
      <c r="D4628" t="s">
        <v>2182</v>
      </c>
      <c r="E4628" t="s">
        <v>2183</v>
      </c>
      <c r="F4628">
        <v>84.68</v>
      </c>
      <c r="G4628">
        <v>230608</v>
      </c>
      <c r="H4628">
        <v>4400</v>
      </c>
      <c r="I4628" t="s">
        <v>348</v>
      </c>
      <c r="J4628">
        <v>105</v>
      </c>
      <c r="K4628">
        <v>20.32</v>
      </c>
      <c r="L4628">
        <v>17737</v>
      </c>
      <c r="M4628" t="s">
        <v>279</v>
      </c>
      <c r="N4628" t="str">
        <f>"989         "</f>
        <v xml:space="preserve">989         </v>
      </c>
      <c r="O4628">
        <v>230609</v>
      </c>
    </row>
    <row r="4629" spans="1:15" x14ac:dyDescent="0.25">
      <c r="A4629" t="s">
        <v>16</v>
      </c>
      <c r="B4629" t="s">
        <v>3221</v>
      </c>
      <c r="C4629">
        <v>15834</v>
      </c>
      <c r="D4629" t="s">
        <v>2182</v>
      </c>
      <c r="E4629" t="s">
        <v>2183</v>
      </c>
      <c r="F4629">
        <v>28.23</v>
      </c>
      <c r="G4629">
        <v>231107</v>
      </c>
      <c r="H4629">
        <v>4600</v>
      </c>
      <c r="I4629" t="s">
        <v>105</v>
      </c>
      <c r="J4629">
        <v>35</v>
      </c>
      <c r="K4629">
        <v>6.77</v>
      </c>
      <c r="L4629">
        <v>17802</v>
      </c>
      <c r="M4629" t="s">
        <v>174</v>
      </c>
      <c r="N4629" t="str">
        <f>"1310        "</f>
        <v xml:space="preserve">1310        </v>
      </c>
      <c r="O4629">
        <v>231120</v>
      </c>
    </row>
    <row r="4630" spans="1:15" x14ac:dyDescent="0.25">
      <c r="A4630" t="s">
        <v>16</v>
      </c>
      <c r="B4630" t="s">
        <v>3221</v>
      </c>
      <c r="C4630">
        <v>15834</v>
      </c>
      <c r="D4630" t="s">
        <v>2182</v>
      </c>
      <c r="E4630" t="s">
        <v>2183</v>
      </c>
      <c r="F4630">
        <v>241.94</v>
      </c>
      <c r="G4630">
        <v>231107</v>
      </c>
      <c r="H4630">
        <v>4600</v>
      </c>
      <c r="I4630" t="s">
        <v>105</v>
      </c>
      <c r="J4630">
        <v>300</v>
      </c>
      <c r="K4630">
        <v>58.06</v>
      </c>
      <c r="L4630">
        <v>17812</v>
      </c>
      <c r="M4630" t="s">
        <v>594</v>
      </c>
      <c r="N4630" t="str">
        <f>"1310        "</f>
        <v xml:space="preserve">1310        </v>
      </c>
      <c r="O4630">
        <v>231120</v>
      </c>
    </row>
    <row r="4631" spans="1:15" x14ac:dyDescent="0.25">
      <c r="A4631" t="s">
        <v>16</v>
      </c>
      <c r="B4631" t="s">
        <v>3221</v>
      </c>
      <c r="C4631">
        <v>9368</v>
      </c>
      <c r="D4631" t="s">
        <v>2182</v>
      </c>
      <c r="E4631" t="s">
        <v>2183</v>
      </c>
      <c r="F4631">
        <v>70.56</v>
      </c>
      <c r="G4631">
        <v>230630</v>
      </c>
      <c r="H4631">
        <v>4470</v>
      </c>
      <c r="I4631" t="s">
        <v>83</v>
      </c>
      <c r="J4631">
        <v>87.5</v>
      </c>
      <c r="K4631">
        <v>16.940000000000001</v>
      </c>
      <c r="L4631">
        <v>17131</v>
      </c>
      <c r="M4631" t="s">
        <v>64</v>
      </c>
      <c r="N4631" t="str">
        <f>"1067        "</f>
        <v xml:space="preserve">1067        </v>
      </c>
      <c r="O4631">
        <v>230710</v>
      </c>
    </row>
    <row r="4632" spans="1:15" x14ac:dyDescent="0.25">
      <c r="A4632" t="s">
        <v>16</v>
      </c>
      <c r="B4632" t="s">
        <v>3221</v>
      </c>
      <c r="C4632">
        <v>9368</v>
      </c>
      <c r="D4632" t="s">
        <v>2182</v>
      </c>
      <c r="E4632" t="s">
        <v>2183</v>
      </c>
      <c r="F4632">
        <v>70.56</v>
      </c>
      <c r="G4632">
        <v>230630</v>
      </c>
      <c r="H4632">
        <v>4470</v>
      </c>
      <c r="I4632" t="s">
        <v>83</v>
      </c>
      <c r="J4632">
        <v>87.5</v>
      </c>
      <c r="K4632">
        <v>16.940000000000001</v>
      </c>
      <c r="L4632">
        <v>17711</v>
      </c>
      <c r="M4632" t="s">
        <v>65</v>
      </c>
      <c r="N4632" t="str">
        <f>"1067        "</f>
        <v xml:space="preserve">1067        </v>
      </c>
      <c r="O4632">
        <v>230710</v>
      </c>
    </row>
    <row r="4633" spans="1:15" x14ac:dyDescent="0.25">
      <c r="A4633" t="s">
        <v>16</v>
      </c>
      <c r="B4633" t="s">
        <v>3221</v>
      </c>
      <c r="C4633">
        <v>859</v>
      </c>
      <c r="D4633" t="s">
        <v>774</v>
      </c>
      <c r="E4633" t="s">
        <v>775</v>
      </c>
      <c r="F4633">
        <v>422.17</v>
      </c>
      <c r="G4633">
        <v>230130</v>
      </c>
      <c r="H4633">
        <v>4580</v>
      </c>
      <c r="I4633" t="s">
        <v>35</v>
      </c>
      <c r="J4633">
        <v>523.49</v>
      </c>
      <c r="K4633">
        <v>101.32</v>
      </c>
      <c r="L4633">
        <v>17951</v>
      </c>
      <c r="M4633" t="s">
        <v>87</v>
      </c>
      <c r="N4633" t="str">
        <f>"37001       "</f>
        <v xml:space="preserve">37001       </v>
      </c>
      <c r="O4633">
        <v>230131</v>
      </c>
    </row>
    <row r="4634" spans="1:15" x14ac:dyDescent="0.25">
      <c r="A4634" t="s">
        <v>16</v>
      </c>
      <c r="B4634" t="s">
        <v>3221</v>
      </c>
      <c r="C4634">
        <v>6292</v>
      </c>
      <c r="D4634" t="s">
        <v>774</v>
      </c>
      <c r="E4634" t="s">
        <v>775</v>
      </c>
      <c r="F4634">
        <v>124.37</v>
      </c>
      <c r="G4634">
        <v>230429</v>
      </c>
      <c r="H4634">
        <v>4580</v>
      </c>
      <c r="I4634" t="s">
        <v>35</v>
      </c>
      <c r="J4634">
        <v>154.22</v>
      </c>
      <c r="K4634">
        <v>29.85</v>
      </c>
      <c r="L4634">
        <v>17802</v>
      </c>
      <c r="M4634" t="s">
        <v>174</v>
      </c>
      <c r="N4634" t="str">
        <f>"37341       "</f>
        <v xml:space="preserve">37341       </v>
      </c>
      <c r="O4634">
        <v>230510</v>
      </c>
    </row>
    <row r="4635" spans="1:15" x14ac:dyDescent="0.25">
      <c r="A4635" t="s">
        <v>16</v>
      </c>
      <c r="B4635" t="s">
        <v>3221</v>
      </c>
      <c r="C4635">
        <v>6292</v>
      </c>
      <c r="D4635" t="s">
        <v>774</v>
      </c>
      <c r="E4635" t="s">
        <v>775</v>
      </c>
      <c r="F4635">
        <v>88.55</v>
      </c>
      <c r="G4635">
        <v>230429</v>
      </c>
      <c r="H4635">
        <v>4580</v>
      </c>
      <c r="I4635" t="s">
        <v>35</v>
      </c>
      <c r="J4635">
        <v>109.8</v>
      </c>
      <c r="K4635">
        <v>21.25</v>
      </c>
      <c r="L4635">
        <v>17803</v>
      </c>
      <c r="M4635" t="s">
        <v>389</v>
      </c>
      <c r="N4635" t="str">
        <f>"37341       "</f>
        <v xml:space="preserve">37341       </v>
      </c>
      <c r="O4635">
        <v>230510</v>
      </c>
    </row>
    <row r="4636" spans="1:15" x14ac:dyDescent="0.25">
      <c r="A4636" t="s">
        <v>16</v>
      </c>
      <c r="B4636" t="s">
        <v>3221</v>
      </c>
      <c r="C4636">
        <v>19350</v>
      </c>
      <c r="D4636" t="s">
        <v>774</v>
      </c>
      <c r="E4636" t="s">
        <v>775</v>
      </c>
      <c r="F4636">
        <v>1200</v>
      </c>
      <c r="G4636">
        <v>231231</v>
      </c>
      <c r="H4636">
        <v>1196</v>
      </c>
      <c r="I4636" t="s">
        <v>392</v>
      </c>
      <c r="J4636">
        <v>1488</v>
      </c>
      <c r="K4636">
        <v>288</v>
      </c>
      <c r="L4636">
        <v>97603</v>
      </c>
      <c r="M4636" t="s">
        <v>478</v>
      </c>
      <c r="N4636" t="str">
        <f>"38173       "</f>
        <v xml:space="preserve">38173       </v>
      </c>
      <c r="O4636">
        <v>240118</v>
      </c>
    </row>
    <row r="4637" spans="1:15" x14ac:dyDescent="0.25">
      <c r="A4637" t="s">
        <v>16</v>
      </c>
      <c r="B4637" t="s">
        <v>3221</v>
      </c>
      <c r="C4637">
        <v>9527</v>
      </c>
      <c r="D4637" t="s">
        <v>774</v>
      </c>
      <c r="E4637" t="s">
        <v>775</v>
      </c>
      <c r="F4637">
        <v>161.29</v>
      </c>
      <c r="G4637">
        <v>230630</v>
      </c>
      <c r="H4637">
        <v>4400</v>
      </c>
      <c r="I4637" t="s">
        <v>348</v>
      </c>
      <c r="J4637">
        <v>161.29</v>
      </c>
      <c r="K4637">
        <v>0</v>
      </c>
      <c r="L4637">
        <v>13801</v>
      </c>
      <c r="M4637" t="s">
        <v>162</v>
      </c>
      <c r="N4637" t="str">
        <f>"37481       "</f>
        <v xml:space="preserve">37481       </v>
      </c>
      <c r="O4637">
        <v>230717</v>
      </c>
    </row>
    <row r="4638" spans="1:15" x14ac:dyDescent="0.25">
      <c r="A4638" t="s">
        <v>16</v>
      </c>
      <c r="B4638" t="s">
        <v>3221</v>
      </c>
      <c r="C4638">
        <v>1069</v>
      </c>
      <c r="D4638" t="s">
        <v>774</v>
      </c>
      <c r="E4638" t="s">
        <v>775</v>
      </c>
      <c r="F4638">
        <v>185.46</v>
      </c>
      <c r="G4638">
        <v>230130</v>
      </c>
      <c r="H4638">
        <v>4390</v>
      </c>
      <c r="I4638" t="s">
        <v>98</v>
      </c>
      <c r="J4638">
        <v>185.46</v>
      </c>
      <c r="K4638">
        <v>0</v>
      </c>
      <c r="L4638">
        <v>17952</v>
      </c>
      <c r="M4638" t="s">
        <v>88</v>
      </c>
      <c r="N4638" t="str">
        <f>"37002       "</f>
        <v xml:space="preserve">37002       </v>
      </c>
      <c r="O4638">
        <v>230203</v>
      </c>
    </row>
    <row r="4639" spans="1:15" x14ac:dyDescent="0.25">
      <c r="A4639" t="s">
        <v>16</v>
      </c>
      <c r="B4639" t="s">
        <v>3221</v>
      </c>
      <c r="C4639">
        <v>4261</v>
      </c>
      <c r="D4639" t="s">
        <v>774</v>
      </c>
      <c r="E4639" t="s">
        <v>775</v>
      </c>
      <c r="F4639">
        <v>1235.4000000000001</v>
      </c>
      <c r="G4639">
        <v>230330</v>
      </c>
      <c r="H4639">
        <v>4390</v>
      </c>
      <c r="I4639" t="s">
        <v>98</v>
      </c>
      <c r="J4639">
        <v>1235.4000000000001</v>
      </c>
      <c r="K4639">
        <v>0</v>
      </c>
      <c r="L4639">
        <v>17951</v>
      </c>
      <c r="M4639" t="s">
        <v>87</v>
      </c>
      <c r="N4639" t="str">
        <f>"37210       "</f>
        <v xml:space="preserve">37210       </v>
      </c>
      <c r="O4639">
        <v>230403</v>
      </c>
    </row>
    <row r="4640" spans="1:15" x14ac:dyDescent="0.25">
      <c r="A4640" t="s">
        <v>16</v>
      </c>
      <c r="B4640" t="s">
        <v>3221</v>
      </c>
      <c r="C4640">
        <v>9264</v>
      </c>
      <c r="D4640" t="s">
        <v>774</v>
      </c>
      <c r="E4640" t="s">
        <v>775</v>
      </c>
      <c r="F4640">
        <v>78.349999999999994</v>
      </c>
      <c r="G4640">
        <v>230630</v>
      </c>
      <c r="H4640">
        <v>4390</v>
      </c>
      <c r="I4640" t="s">
        <v>98</v>
      </c>
      <c r="J4640">
        <v>78.349999999999994</v>
      </c>
      <c r="K4640">
        <v>0</v>
      </c>
      <c r="L4640">
        <v>17952</v>
      </c>
      <c r="M4640" t="s">
        <v>88</v>
      </c>
      <c r="N4640" t="str">
        <f>"37496       "</f>
        <v xml:space="preserve">37496       </v>
      </c>
      <c r="O4640">
        <v>230703</v>
      </c>
    </row>
    <row r="4641" spans="1:15" x14ac:dyDescent="0.25">
      <c r="A4641" t="s">
        <v>16</v>
      </c>
      <c r="B4641" t="s">
        <v>3221</v>
      </c>
      <c r="C4641">
        <v>11238</v>
      </c>
      <c r="D4641" t="s">
        <v>774</v>
      </c>
      <c r="E4641" t="s">
        <v>775</v>
      </c>
      <c r="F4641">
        <v>1349.5</v>
      </c>
      <c r="G4641">
        <v>230831</v>
      </c>
      <c r="H4641">
        <v>4390</v>
      </c>
      <c r="I4641" t="s">
        <v>98</v>
      </c>
      <c r="J4641">
        <v>1349.5</v>
      </c>
      <c r="K4641">
        <v>0</v>
      </c>
      <c r="L4641">
        <v>17951</v>
      </c>
      <c r="M4641" t="s">
        <v>87</v>
      </c>
      <c r="N4641" t="str">
        <f>"37682       "</f>
        <v xml:space="preserve">37682       </v>
      </c>
      <c r="O4641">
        <v>230901</v>
      </c>
    </row>
    <row r="4642" spans="1:15" x14ac:dyDescent="0.25">
      <c r="A4642" t="s">
        <v>16</v>
      </c>
      <c r="B4642" t="s">
        <v>3221</v>
      </c>
      <c r="C4642">
        <v>14726</v>
      </c>
      <c r="D4642" t="s">
        <v>774</v>
      </c>
      <c r="E4642" t="s">
        <v>775</v>
      </c>
      <c r="F4642">
        <v>3304.58</v>
      </c>
      <c r="G4642">
        <v>231031</v>
      </c>
      <c r="H4642">
        <v>4390</v>
      </c>
      <c r="I4642" t="s">
        <v>98</v>
      </c>
      <c r="J4642">
        <v>3304.58</v>
      </c>
      <c r="K4642">
        <v>0</v>
      </c>
      <c r="L4642">
        <v>17951</v>
      </c>
      <c r="M4642" t="s">
        <v>87</v>
      </c>
      <c r="N4642" t="str">
        <f>"37853       "</f>
        <v xml:space="preserve">37853       </v>
      </c>
      <c r="O4642">
        <v>231101</v>
      </c>
    </row>
    <row r="4643" spans="1:15" x14ac:dyDescent="0.25">
      <c r="A4643" t="s">
        <v>16</v>
      </c>
      <c r="B4643" t="s">
        <v>3221</v>
      </c>
      <c r="C4643">
        <v>14809</v>
      </c>
      <c r="D4643" t="s">
        <v>774</v>
      </c>
      <c r="E4643" t="s">
        <v>775</v>
      </c>
      <c r="F4643">
        <v>189.55</v>
      </c>
      <c r="G4643">
        <v>231031</v>
      </c>
      <c r="H4643">
        <v>4390</v>
      </c>
      <c r="I4643" t="s">
        <v>98</v>
      </c>
      <c r="J4643">
        <v>189.55</v>
      </c>
      <c r="K4643">
        <v>0</v>
      </c>
      <c r="L4643">
        <v>17951</v>
      </c>
      <c r="M4643" t="s">
        <v>87</v>
      </c>
      <c r="N4643" t="str">
        <f>"37883       "</f>
        <v xml:space="preserve">37883       </v>
      </c>
      <c r="O4643">
        <v>231106</v>
      </c>
    </row>
    <row r="4644" spans="1:15" x14ac:dyDescent="0.25">
      <c r="A4644" t="s">
        <v>16</v>
      </c>
      <c r="B4644" t="s">
        <v>3221</v>
      </c>
      <c r="C4644">
        <v>18445</v>
      </c>
      <c r="D4644" t="s">
        <v>774</v>
      </c>
      <c r="E4644" t="s">
        <v>775</v>
      </c>
      <c r="F4644">
        <v>291.49</v>
      </c>
      <c r="G4644">
        <v>231231</v>
      </c>
      <c r="H4644">
        <v>4390</v>
      </c>
      <c r="I4644" t="s">
        <v>98</v>
      </c>
      <c r="J4644">
        <v>291.49</v>
      </c>
      <c r="K4644">
        <v>0</v>
      </c>
      <c r="L4644">
        <v>17952</v>
      </c>
      <c r="M4644" t="s">
        <v>88</v>
      </c>
      <c r="N4644" t="str">
        <f>"38110       "</f>
        <v xml:space="preserve">38110       </v>
      </c>
      <c r="O4644">
        <v>240103</v>
      </c>
    </row>
    <row r="4645" spans="1:15" x14ac:dyDescent="0.25">
      <c r="A4645" t="s">
        <v>16</v>
      </c>
      <c r="B4645" t="s">
        <v>3221</v>
      </c>
      <c r="C4645">
        <v>4449</v>
      </c>
      <c r="D4645" t="s">
        <v>774</v>
      </c>
      <c r="E4645" t="s">
        <v>775</v>
      </c>
      <c r="F4645">
        <v>398.98</v>
      </c>
      <c r="G4645">
        <v>230330</v>
      </c>
      <c r="H4645">
        <v>4572</v>
      </c>
      <c r="I4645" t="s">
        <v>122</v>
      </c>
      <c r="J4645">
        <v>494.74</v>
      </c>
      <c r="K4645">
        <v>95.76</v>
      </c>
      <c r="L4645">
        <v>13841</v>
      </c>
      <c r="M4645" t="s">
        <v>47</v>
      </c>
      <c r="N4645" t="str">
        <f>"37208       "</f>
        <v xml:space="preserve">37208       </v>
      </c>
      <c r="O4645">
        <v>230406</v>
      </c>
    </row>
    <row r="4646" spans="1:15" x14ac:dyDescent="0.25">
      <c r="A4646" t="s">
        <v>16</v>
      </c>
      <c r="B4646" t="s">
        <v>3221</v>
      </c>
      <c r="C4646">
        <v>7595</v>
      </c>
      <c r="D4646" t="s">
        <v>774</v>
      </c>
      <c r="E4646" t="s">
        <v>775</v>
      </c>
      <c r="F4646">
        <v>201.61</v>
      </c>
      <c r="G4646">
        <v>230530</v>
      </c>
      <c r="H4646">
        <v>4572</v>
      </c>
      <c r="I4646" t="s">
        <v>122</v>
      </c>
      <c r="J4646">
        <v>250</v>
      </c>
      <c r="K4646">
        <v>48.39</v>
      </c>
      <c r="L4646">
        <v>17951</v>
      </c>
      <c r="M4646" t="s">
        <v>87</v>
      </c>
      <c r="N4646" t="str">
        <f>"37448       "</f>
        <v xml:space="preserve">37448       </v>
      </c>
      <c r="O4646">
        <v>230601</v>
      </c>
    </row>
    <row r="4647" spans="1:15" x14ac:dyDescent="0.25">
      <c r="A4647" t="s">
        <v>16</v>
      </c>
      <c r="B4647" t="s">
        <v>3221</v>
      </c>
      <c r="C4647">
        <v>9265</v>
      </c>
      <c r="D4647" t="s">
        <v>774</v>
      </c>
      <c r="E4647" t="s">
        <v>775</v>
      </c>
      <c r="F4647">
        <v>194.22</v>
      </c>
      <c r="G4647">
        <v>230630</v>
      </c>
      <c r="H4647">
        <v>4572</v>
      </c>
      <c r="I4647" t="s">
        <v>122</v>
      </c>
      <c r="J4647">
        <v>240.83</v>
      </c>
      <c r="K4647">
        <v>46.61</v>
      </c>
      <c r="L4647">
        <v>17951</v>
      </c>
      <c r="M4647" t="s">
        <v>87</v>
      </c>
      <c r="N4647" t="str">
        <f>"37497       "</f>
        <v xml:space="preserve">37497       </v>
      </c>
      <c r="O4647">
        <v>230703</v>
      </c>
    </row>
    <row r="4648" spans="1:15" x14ac:dyDescent="0.25">
      <c r="A4648" t="s">
        <v>16</v>
      </c>
      <c r="B4648" t="s">
        <v>3221</v>
      </c>
      <c r="C4648">
        <v>11241</v>
      </c>
      <c r="D4648" t="s">
        <v>774</v>
      </c>
      <c r="E4648" t="s">
        <v>775</v>
      </c>
      <c r="F4648">
        <v>257.85000000000002</v>
      </c>
      <c r="G4648">
        <v>230831</v>
      </c>
      <c r="H4648">
        <v>4572</v>
      </c>
      <c r="I4648" t="s">
        <v>122</v>
      </c>
      <c r="J4648">
        <v>319.73</v>
      </c>
      <c r="K4648">
        <v>61.88</v>
      </c>
      <c r="L4648">
        <v>17951</v>
      </c>
      <c r="M4648" t="s">
        <v>87</v>
      </c>
      <c r="N4648" t="str">
        <f>"37681       "</f>
        <v xml:space="preserve">37681       </v>
      </c>
      <c r="O4648">
        <v>230901</v>
      </c>
    </row>
    <row r="4649" spans="1:15" x14ac:dyDescent="0.25">
      <c r="A4649" t="s">
        <v>16</v>
      </c>
      <c r="B4649" t="s">
        <v>3221</v>
      </c>
      <c r="C4649">
        <v>16598</v>
      </c>
      <c r="D4649" t="s">
        <v>774</v>
      </c>
      <c r="E4649" t="s">
        <v>775</v>
      </c>
      <c r="F4649">
        <v>596.25</v>
      </c>
      <c r="G4649">
        <v>231130</v>
      </c>
      <c r="H4649">
        <v>4572</v>
      </c>
      <c r="I4649" t="s">
        <v>122</v>
      </c>
      <c r="J4649">
        <v>596.25</v>
      </c>
      <c r="K4649">
        <v>0</v>
      </c>
      <c r="L4649">
        <v>17951</v>
      </c>
      <c r="M4649" t="s">
        <v>87</v>
      </c>
      <c r="N4649" t="str">
        <f>"37991       "</f>
        <v xml:space="preserve">37991       </v>
      </c>
      <c r="O4649">
        <v>231204</v>
      </c>
    </row>
    <row r="4650" spans="1:15" x14ac:dyDescent="0.25">
      <c r="A4650" t="s">
        <v>16</v>
      </c>
      <c r="B4650" t="s">
        <v>3221</v>
      </c>
      <c r="C4650">
        <v>6857</v>
      </c>
      <c r="D4650" t="s">
        <v>3474</v>
      </c>
      <c r="E4650" t="s">
        <v>3475</v>
      </c>
      <c r="F4650">
        <v>180</v>
      </c>
      <c r="G4650">
        <v>230516</v>
      </c>
      <c r="H4650">
        <v>4470</v>
      </c>
      <c r="I4650" t="s">
        <v>83</v>
      </c>
      <c r="J4650">
        <v>180</v>
      </c>
      <c r="K4650">
        <v>0</v>
      </c>
      <c r="L4650">
        <v>11902</v>
      </c>
      <c r="M4650" t="s">
        <v>1443</v>
      </c>
      <c r="N4650" t="str">
        <f>"160523      "</f>
        <v xml:space="preserve">160523      </v>
      </c>
      <c r="O4650">
        <v>230523</v>
      </c>
    </row>
    <row r="4651" spans="1:15" x14ac:dyDescent="0.25">
      <c r="A4651" t="s">
        <v>16</v>
      </c>
      <c r="B4651" t="s">
        <v>3221</v>
      </c>
      <c r="C4651">
        <v>409</v>
      </c>
      <c r="D4651" t="s">
        <v>387</v>
      </c>
      <c r="E4651" t="s">
        <v>388</v>
      </c>
      <c r="F4651">
        <v>106.01</v>
      </c>
      <c r="G4651">
        <v>230116</v>
      </c>
      <c r="H4651">
        <v>4580</v>
      </c>
      <c r="I4651" t="s">
        <v>35</v>
      </c>
      <c r="J4651">
        <v>131.44999999999999</v>
      </c>
      <c r="K4651">
        <v>25.44</v>
      </c>
      <c r="L4651">
        <v>17802</v>
      </c>
      <c r="M4651" t="s">
        <v>174</v>
      </c>
      <c r="N4651" t="str">
        <f>"991234372   "</f>
        <v xml:space="preserve">991234372   </v>
      </c>
      <c r="O4651">
        <v>230120</v>
      </c>
    </row>
    <row r="4652" spans="1:15" x14ac:dyDescent="0.25">
      <c r="A4652" t="s">
        <v>16</v>
      </c>
      <c r="B4652" t="s">
        <v>3221</v>
      </c>
      <c r="C4652">
        <v>2291</v>
      </c>
      <c r="D4652" t="s">
        <v>387</v>
      </c>
      <c r="E4652" t="s">
        <v>388</v>
      </c>
      <c r="F4652">
        <v>45.24</v>
      </c>
      <c r="G4652">
        <v>230215</v>
      </c>
      <c r="H4652">
        <v>4580</v>
      </c>
      <c r="I4652" t="s">
        <v>35</v>
      </c>
      <c r="J4652">
        <v>56.1</v>
      </c>
      <c r="K4652">
        <v>10.86</v>
      </c>
      <c r="L4652">
        <v>17802</v>
      </c>
      <c r="M4652" t="s">
        <v>174</v>
      </c>
      <c r="N4652" t="str">
        <f>"991234520   "</f>
        <v xml:space="preserve">991234520   </v>
      </c>
      <c r="O4652">
        <v>230224</v>
      </c>
    </row>
    <row r="4653" spans="1:15" x14ac:dyDescent="0.25">
      <c r="A4653" t="s">
        <v>16</v>
      </c>
      <c r="B4653" t="s">
        <v>3221</v>
      </c>
      <c r="C4653">
        <v>3248</v>
      </c>
      <c r="D4653" t="s">
        <v>387</v>
      </c>
      <c r="E4653" t="s">
        <v>388</v>
      </c>
      <c r="F4653">
        <v>99.35</v>
      </c>
      <c r="G4653">
        <v>230228</v>
      </c>
      <c r="H4653">
        <v>4580</v>
      </c>
      <c r="I4653" t="s">
        <v>35</v>
      </c>
      <c r="J4653">
        <v>123.2</v>
      </c>
      <c r="K4653">
        <v>23.85</v>
      </c>
      <c r="L4653">
        <v>17802</v>
      </c>
      <c r="M4653" t="s">
        <v>174</v>
      </c>
      <c r="N4653" t="str">
        <f>"991234594   "</f>
        <v xml:space="preserve">991234594   </v>
      </c>
      <c r="O4653">
        <v>230310</v>
      </c>
    </row>
    <row r="4654" spans="1:15" x14ac:dyDescent="0.25">
      <c r="A4654" t="s">
        <v>16</v>
      </c>
      <c r="B4654" t="s">
        <v>3221</v>
      </c>
      <c r="C4654">
        <v>4730</v>
      </c>
      <c r="D4654" t="s">
        <v>387</v>
      </c>
      <c r="E4654" t="s">
        <v>388</v>
      </c>
      <c r="F4654">
        <v>141.13</v>
      </c>
      <c r="G4654">
        <v>230331</v>
      </c>
      <c r="H4654">
        <v>4580</v>
      </c>
      <c r="I4654" t="s">
        <v>35</v>
      </c>
      <c r="J4654">
        <v>175</v>
      </c>
      <c r="K4654">
        <v>33.869999999999997</v>
      </c>
      <c r="L4654">
        <v>17802</v>
      </c>
      <c r="M4654" t="s">
        <v>174</v>
      </c>
      <c r="N4654" t="str">
        <f>"991234726   "</f>
        <v xml:space="preserve">991234726   </v>
      </c>
      <c r="O4654">
        <v>230412</v>
      </c>
    </row>
    <row r="4655" spans="1:15" x14ac:dyDescent="0.25">
      <c r="A4655" t="s">
        <v>16</v>
      </c>
      <c r="B4655" t="s">
        <v>3221</v>
      </c>
      <c r="C4655">
        <v>5531</v>
      </c>
      <c r="D4655" t="s">
        <v>387</v>
      </c>
      <c r="E4655" t="s">
        <v>388</v>
      </c>
      <c r="F4655">
        <v>557.41999999999996</v>
      </c>
      <c r="G4655">
        <v>230414</v>
      </c>
      <c r="H4655">
        <v>4580</v>
      </c>
      <c r="I4655" t="s">
        <v>35</v>
      </c>
      <c r="J4655">
        <v>691.2</v>
      </c>
      <c r="K4655">
        <v>133.78</v>
      </c>
      <c r="L4655">
        <v>17802</v>
      </c>
      <c r="M4655" t="s">
        <v>174</v>
      </c>
      <c r="N4655" t="str">
        <f>"991234799   "</f>
        <v xml:space="preserve">991234799   </v>
      </c>
      <c r="O4655">
        <v>230426</v>
      </c>
    </row>
    <row r="4656" spans="1:15" x14ac:dyDescent="0.25">
      <c r="A4656" t="s">
        <v>16</v>
      </c>
      <c r="B4656" t="s">
        <v>3221</v>
      </c>
      <c r="C4656">
        <v>7501</v>
      </c>
      <c r="D4656" t="s">
        <v>387</v>
      </c>
      <c r="E4656" t="s">
        <v>388</v>
      </c>
      <c r="F4656">
        <v>29.92</v>
      </c>
      <c r="G4656">
        <v>230530</v>
      </c>
      <c r="H4656">
        <v>4580</v>
      </c>
      <c r="I4656" t="s">
        <v>35</v>
      </c>
      <c r="J4656">
        <v>37.1</v>
      </c>
      <c r="K4656">
        <v>7.18</v>
      </c>
      <c r="L4656">
        <v>17802</v>
      </c>
      <c r="M4656" t="s">
        <v>174</v>
      </c>
      <c r="N4656" t="str">
        <f>"991235011   "</f>
        <v xml:space="preserve">991235011   </v>
      </c>
      <c r="O4656">
        <v>230531</v>
      </c>
    </row>
    <row r="4657" spans="1:15" x14ac:dyDescent="0.25">
      <c r="A4657" t="s">
        <v>16</v>
      </c>
      <c r="B4657" t="s">
        <v>3221</v>
      </c>
      <c r="C4657">
        <v>11659</v>
      </c>
      <c r="D4657" t="s">
        <v>387</v>
      </c>
      <c r="E4657" t="s">
        <v>388</v>
      </c>
      <c r="F4657">
        <v>134.03</v>
      </c>
      <c r="G4657">
        <v>230831</v>
      </c>
      <c r="H4657">
        <v>4580</v>
      </c>
      <c r="I4657" t="s">
        <v>35</v>
      </c>
      <c r="J4657">
        <v>166.2</v>
      </c>
      <c r="K4657">
        <v>32.17</v>
      </c>
      <c r="L4657">
        <v>17802</v>
      </c>
      <c r="M4657" t="s">
        <v>174</v>
      </c>
      <c r="N4657" t="str">
        <f>"991235447   "</f>
        <v xml:space="preserve">991235447   </v>
      </c>
      <c r="O4657">
        <v>230908</v>
      </c>
    </row>
    <row r="4658" spans="1:15" x14ac:dyDescent="0.25">
      <c r="A4658" t="s">
        <v>16</v>
      </c>
      <c r="B4658" t="s">
        <v>3221</v>
      </c>
      <c r="C4658">
        <v>12351</v>
      </c>
      <c r="D4658" t="s">
        <v>387</v>
      </c>
      <c r="E4658" t="s">
        <v>388</v>
      </c>
      <c r="F4658">
        <v>65.44</v>
      </c>
      <c r="G4658">
        <v>230915</v>
      </c>
      <c r="H4658">
        <v>4580</v>
      </c>
      <c r="I4658" t="s">
        <v>35</v>
      </c>
      <c r="J4658">
        <v>81.150000000000006</v>
      </c>
      <c r="K4658">
        <v>15.71</v>
      </c>
      <c r="L4658">
        <v>17802</v>
      </c>
      <c r="M4658" t="s">
        <v>174</v>
      </c>
      <c r="N4658" t="str">
        <f>"991235517   "</f>
        <v xml:space="preserve">991235517   </v>
      </c>
      <c r="O4658">
        <v>230918</v>
      </c>
    </row>
    <row r="4659" spans="1:15" x14ac:dyDescent="0.25">
      <c r="A4659" t="s">
        <v>16</v>
      </c>
      <c r="B4659" t="s">
        <v>3221</v>
      </c>
      <c r="C4659">
        <v>13299</v>
      </c>
      <c r="D4659" t="s">
        <v>387</v>
      </c>
      <c r="E4659" t="s">
        <v>388</v>
      </c>
      <c r="F4659">
        <v>536.73</v>
      </c>
      <c r="G4659">
        <v>230929</v>
      </c>
      <c r="H4659">
        <v>4580</v>
      </c>
      <c r="I4659" t="s">
        <v>35</v>
      </c>
      <c r="J4659">
        <v>665.55</v>
      </c>
      <c r="K4659">
        <v>128.82</v>
      </c>
      <c r="L4659">
        <v>17802</v>
      </c>
      <c r="M4659" t="s">
        <v>174</v>
      </c>
      <c r="N4659" t="str">
        <f>"991235613   "</f>
        <v xml:space="preserve">991235613   </v>
      </c>
      <c r="O4659">
        <v>231009</v>
      </c>
    </row>
    <row r="4660" spans="1:15" x14ac:dyDescent="0.25">
      <c r="A4660" t="s">
        <v>16</v>
      </c>
      <c r="B4660" t="s">
        <v>3221</v>
      </c>
      <c r="C4660">
        <v>14226</v>
      </c>
      <c r="D4660" t="s">
        <v>387</v>
      </c>
      <c r="E4660" t="s">
        <v>388</v>
      </c>
      <c r="F4660">
        <v>79.84</v>
      </c>
      <c r="G4660">
        <v>231013</v>
      </c>
      <c r="H4660">
        <v>4580</v>
      </c>
      <c r="I4660" t="s">
        <v>35</v>
      </c>
      <c r="J4660">
        <v>99</v>
      </c>
      <c r="K4660">
        <v>19.16</v>
      </c>
      <c r="L4660">
        <v>17802</v>
      </c>
      <c r="M4660" t="s">
        <v>174</v>
      </c>
      <c r="N4660" t="str">
        <f>"991235684   "</f>
        <v xml:space="preserve">991235684   </v>
      </c>
      <c r="O4660">
        <v>231024</v>
      </c>
    </row>
    <row r="4661" spans="1:15" x14ac:dyDescent="0.25">
      <c r="A4661" t="s">
        <v>16</v>
      </c>
      <c r="B4661" t="s">
        <v>3221</v>
      </c>
      <c r="C4661">
        <v>14858</v>
      </c>
      <c r="D4661" t="s">
        <v>387</v>
      </c>
      <c r="E4661" t="s">
        <v>388</v>
      </c>
      <c r="F4661">
        <v>183.06</v>
      </c>
      <c r="G4661">
        <v>231031</v>
      </c>
      <c r="H4661">
        <v>4580</v>
      </c>
      <c r="I4661" t="s">
        <v>35</v>
      </c>
      <c r="J4661">
        <v>227</v>
      </c>
      <c r="K4661">
        <v>43.94</v>
      </c>
      <c r="L4661">
        <v>17802</v>
      </c>
      <c r="M4661" t="s">
        <v>174</v>
      </c>
      <c r="N4661" t="str">
        <f>"991235753   "</f>
        <v xml:space="preserve">991235753   </v>
      </c>
      <c r="O4661">
        <v>231107</v>
      </c>
    </row>
    <row r="4662" spans="1:15" x14ac:dyDescent="0.25">
      <c r="A4662" t="s">
        <v>16</v>
      </c>
      <c r="B4662" t="s">
        <v>3221</v>
      </c>
      <c r="C4662">
        <v>2293</v>
      </c>
      <c r="D4662" t="s">
        <v>387</v>
      </c>
      <c r="E4662" t="s">
        <v>388</v>
      </c>
      <c r="F4662">
        <v>100.81</v>
      </c>
      <c r="G4662">
        <v>230215</v>
      </c>
      <c r="H4662">
        <v>4400</v>
      </c>
      <c r="I4662" t="s">
        <v>348</v>
      </c>
      <c r="J4662">
        <v>125</v>
      </c>
      <c r="K4662">
        <v>24.19</v>
      </c>
      <c r="L4662">
        <v>17808</v>
      </c>
      <c r="M4662" t="s">
        <v>322</v>
      </c>
      <c r="N4662" t="str">
        <f>"991234521   "</f>
        <v xml:space="preserve">991234521   </v>
      </c>
      <c r="O4662">
        <v>230224</v>
      </c>
    </row>
    <row r="4663" spans="1:15" x14ac:dyDescent="0.25">
      <c r="A4663" t="s">
        <v>16</v>
      </c>
      <c r="B4663" t="s">
        <v>3221</v>
      </c>
      <c r="C4663">
        <v>7523</v>
      </c>
      <c r="D4663" t="s">
        <v>387</v>
      </c>
      <c r="E4663" t="s">
        <v>388</v>
      </c>
      <c r="F4663">
        <v>47.3</v>
      </c>
      <c r="G4663">
        <v>230530</v>
      </c>
      <c r="H4663">
        <v>4400</v>
      </c>
      <c r="I4663" t="s">
        <v>348</v>
      </c>
      <c r="J4663">
        <v>58.65</v>
      </c>
      <c r="K4663">
        <v>11.35</v>
      </c>
      <c r="L4663">
        <v>17808</v>
      </c>
      <c r="M4663" t="s">
        <v>322</v>
      </c>
      <c r="N4663" t="str">
        <f>"991235010   "</f>
        <v xml:space="preserve">991235010   </v>
      </c>
      <c r="O4663">
        <v>230531</v>
      </c>
    </row>
    <row r="4664" spans="1:15" x14ac:dyDescent="0.25">
      <c r="A4664" t="s">
        <v>16</v>
      </c>
      <c r="B4664" t="s">
        <v>3221</v>
      </c>
      <c r="C4664">
        <v>11225</v>
      </c>
      <c r="D4664" t="s">
        <v>387</v>
      </c>
      <c r="E4664" t="s">
        <v>388</v>
      </c>
      <c r="F4664">
        <v>106.13</v>
      </c>
      <c r="G4664">
        <v>230829</v>
      </c>
      <c r="H4664">
        <v>4400</v>
      </c>
      <c r="I4664" t="s">
        <v>348</v>
      </c>
      <c r="J4664">
        <v>131.6</v>
      </c>
      <c r="K4664">
        <v>25.47</v>
      </c>
      <c r="L4664">
        <v>17808</v>
      </c>
      <c r="M4664" t="s">
        <v>322</v>
      </c>
      <c r="N4664" t="str">
        <f>"991235437   "</f>
        <v xml:space="preserve">991235437   </v>
      </c>
      <c r="O4664">
        <v>230901</v>
      </c>
    </row>
    <row r="4665" spans="1:15" x14ac:dyDescent="0.25">
      <c r="A4665" t="s">
        <v>16</v>
      </c>
      <c r="B4665" t="s">
        <v>3221</v>
      </c>
      <c r="C4665">
        <v>14851</v>
      </c>
      <c r="D4665" t="s">
        <v>387</v>
      </c>
      <c r="E4665" t="s">
        <v>388</v>
      </c>
      <c r="F4665">
        <v>8.7100000000000009</v>
      </c>
      <c r="G4665">
        <v>231031</v>
      </c>
      <c r="H4665">
        <v>4400</v>
      </c>
      <c r="I4665" t="s">
        <v>348</v>
      </c>
      <c r="J4665">
        <v>10.8</v>
      </c>
      <c r="K4665">
        <v>2.09</v>
      </c>
      <c r="L4665">
        <v>17803</v>
      </c>
      <c r="M4665" t="s">
        <v>389</v>
      </c>
      <c r="N4665" t="str">
        <f>"991235756   "</f>
        <v xml:space="preserve">991235756   </v>
      </c>
      <c r="O4665">
        <v>231107</v>
      </c>
    </row>
    <row r="4666" spans="1:15" x14ac:dyDescent="0.25">
      <c r="A4666" t="s">
        <v>16</v>
      </c>
      <c r="B4666" t="s">
        <v>3221</v>
      </c>
      <c r="C4666">
        <v>15957</v>
      </c>
      <c r="D4666" t="s">
        <v>387</v>
      </c>
      <c r="E4666" t="s">
        <v>388</v>
      </c>
      <c r="F4666">
        <v>447.1</v>
      </c>
      <c r="G4666">
        <v>231115</v>
      </c>
      <c r="H4666">
        <v>4400</v>
      </c>
      <c r="I4666" t="s">
        <v>348</v>
      </c>
      <c r="J4666">
        <v>554.4</v>
      </c>
      <c r="K4666">
        <v>107.3</v>
      </c>
      <c r="L4666">
        <v>17808</v>
      </c>
      <c r="M4666" t="s">
        <v>322</v>
      </c>
      <c r="N4666" t="str">
        <f>"991235844   "</f>
        <v xml:space="preserve">991235844   </v>
      </c>
      <c r="O4666">
        <v>231122</v>
      </c>
    </row>
    <row r="4667" spans="1:15" x14ac:dyDescent="0.25">
      <c r="A4667" t="s">
        <v>16</v>
      </c>
      <c r="B4667" t="s">
        <v>3221</v>
      </c>
      <c r="C4667">
        <v>17973</v>
      </c>
      <c r="D4667" t="s">
        <v>387</v>
      </c>
      <c r="E4667" t="s">
        <v>388</v>
      </c>
      <c r="F4667">
        <v>45.85</v>
      </c>
      <c r="G4667">
        <v>231215</v>
      </c>
      <c r="H4667">
        <v>4400</v>
      </c>
      <c r="I4667" t="s">
        <v>348</v>
      </c>
      <c r="J4667">
        <v>56.85</v>
      </c>
      <c r="K4667">
        <v>11</v>
      </c>
      <c r="L4667">
        <v>17808</v>
      </c>
      <c r="M4667" t="s">
        <v>322</v>
      </c>
      <c r="N4667" t="str">
        <f>"991235991   "</f>
        <v xml:space="preserve">991235991   </v>
      </c>
      <c r="O4667">
        <v>231228</v>
      </c>
    </row>
    <row r="4668" spans="1:15" x14ac:dyDescent="0.25">
      <c r="A4668" t="s">
        <v>16</v>
      </c>
      <c r="B4668" t="s">
        <v>3221</v>
      </c>
      <c r="C4668">
        <v>266</v>
      </c>
      <c r="D4668" t="s">
        <v>387</v>
      </c>
      <c r="E4668" t="s">
        <v>388</v>
      </c>
      <c r="F4668">
        <v>12.58</v>
      </c>
      <c r="G4668">
        <v>230116</v>
      </c>
      <c r="H4668">
        <v>4600</v>
      </c>
      <c r="I4668" t="s">
        <v>105</v>
      </c>
      <c r="J4668">
        <v>15.6</v>
      </c>
      <c r="K4668">
        <v>3.02</v>
      </c>
      <c r="L4668">
        <v>17803</v>
      </c>
      <c r="M4668" t="s">
        <v>389</v>
      </c>
      <c r="N4668" t="str">
        <f>"991234376   "</f>
        <v xml:space="preserve">991234376   </v>
      </c>
      <c r="O4668">
        <v>230117</v>
      </c>
    </row>
    <row r="4669" spans="1:15" x14ac:dyDescent="0.25">
      <c r="A4669" t="s">
        <v>16</v>
      </c>
      <c r="B4669" t="s">
        <v>3221</v>
      </c>
      <c r="C4669">
        <v>1014</v>
      </c>
      <c r="D4669" t="s">
        <v>387</v>
      </c>
      <c r="E4669" t="s">
        <v>388</v>
      </c>
      <c r="F4669">
        <v>328.75</v>
      </c>
      <c r="G4669">
        <v>230131</v>
      </c>
      <c r="H4669">
        <v>4600</v>
      </c>
      <c r="I4669" t="s">
        <v>105</v>
      </c>
      <c r="J4669">
        <v>407.65</v>
      </c>
      <c r="K4669">
        <v>78.900000000000006</v>
      </c>
      <c r="L4669">
        <v>17711</v>
      </c>
      <c r="M4669" t="s">
        <v>65</v>
      </c>
      <c r="N4669" t="str">
        <f>"991234445   "</f>
        <v xml:space="preserve">991234445   </v>
      </c>
      <c r="O4669">
        <v>230202</v>
      </c>
    </row>
    <row r="4670" spans="1:15" x14ac:dyDescent="0.25">
      <c r="A4670" t="s">
        <v>16</v>
      </c>
      <c r="B4670" t="s">
        <v>3221</v>
      </c>
      <c r="C4670">
        <v>1495</v>
      </c>
      <c r="D4670" t="s">
        <v>387</v>
      </c>
      <c r="E4670" t="s">
        <v>388</v>
      </c>
      <c r="F4670">
        <v>114.11</v>
      </c>
      <c r="G4670">
        <v>230131</v>
      </c>
      <c r="H4670">
        <v>4600</v>
      </c>
      <c r="I4670" t="s">
        <v>105</v>
      </c>
      <c r="J4670">
        <v>141.5</v>
      </c>
      <c r="K4670">
        <v>27.39</v>
      </c>
      <c r="L4670">
        <v>17802</v>
      </c>
      <c r="M4670" t="s">
        <v>174</v>
      </c>
      <c r="N4670" t="str">
        <f>"991234443   "</f>
        <v xml:space="preserve">991234443   </v>
      </c>
      <c r="O4670">
        <v>230209</v>
      </c>
    </row>
    <row r="4671" spans="1:15" x14ac:dyDescent="0.25">
      <c r="A4671" t="s">
        <v>16</v>
      </c>
      <c r="B4671" t="s">
        <v>3221</v>
      </c>
      <c r="C4671">
        <v>1497</v>
      </c>
      <c r="D4671" t="s">
        <v>387</v>
      </c>
      <c r="E4671" t="s">
        <v>388</v>
      </c>
      <c r="F4671">
        <v>335.48</v>
      </c>
      <c r="G4671">
        <v>230131</v>
      </c>
      <c r="H4671">
        <v>4600</v>
      </c>
      <c r="I4671" t="s">
        <v>105</v>
      </c>
      <c r="J4671">
        <v>416</v>
      </c>
      <c r="K4671">
        <v>80.52</v>
      </c>
      <c r="L4671">
        <v>17802</v>
      </c>
      <c r="M4671" t="s">
        <v>174</v>
      </c>
      <c r="N4671" t="str">
        <f>"991234444   "</f>
        <v xml:space="preserve">991234444   </v>
      </c>
      <c r="O4671">
        <v>230209</v>
      </c>
    </row>
    <row r="4672" spans="1:15" x14ac:dyDescent="0.25">
      <c r="A4672" t="s">
        <v>16</v>
      </c>
      <c r="B4672" t="s">
        <v>3221</v>
      </c>
      <c r="C4672">
        <v>1497</v>
      </c>
      <c r="D4672" t="s">
        <v>387</v>
      </c>
      <c r="E4672" t="s">
        <v>388</v>
      </c>
      <c r="F4672">
        <v>1713.83</v>
      </c>
      <c r="G4672">
        <v>230131</v>
      </c>
      <c r="H4672">
        <v>4600</v>
      </c>
      <c r="I4672" t="s">
        <v>105</v>
      </c>
      <c r="J4672">
        <v>2125.15</v>
      </c>
      <c r="K4672">
        <v>411.32</v>
      </c>
      <c r="L4672">
        <v>17812</v>
      </c>
      <c r="M4672" t="s">
        <v>594</v>
      </c>
      <c r="N4672" t="str">
        <f>"991234444   "</f>
        <v xml:space="preserve">991234444   </v>
      </c>
      <c r="O4672">
        <v>230209</v>
      </c>
    </row>
    <row r="4673" spans="1:15" x14ac:dyDescent="0.25">
      <c r="A4673" t="s">
        <v>16</v>
      </c>
      <c r="B4673" t="s">
        <v>3221</v>
      </c>
      <c r="C4673">
        <v>2143</v>
      </c>
      <c r="D4673" t="s">
        <v>387</v>
      </c>
      <c r="E4673" t="s">
        <v>388</v>
      </c>
      <c r="F4673">
        <v>78.52</v>
      </c>
      <c r="G4673">
        <v>230215</v>
      </c>
      <c r="H4673">
        <v>4600</v>
      </c>
      <c r="I4673" t="s">
        <v>105</v>
      </c>
      <c r="J4673">
        <v>97.37</v>
      </c>
      <c r="K4673">
        <v>18.850000000000001</v>
      </c>
      <c r="L4673">
        <v>17711</v>
      </c>
      <c r="M4673" t="s">
        <v>65</v>
      </c>
      <c r="N4673" t="str">
        <f>"991234524   "</f>
        <v xml:space="preserve">991234524   </v>
      </c>
      <c r="O4673">
        <v>230221</v>
      </c>
    </row>
    <row r="4674" spans="1:15" x14ac:dyDescent="0.25">
      <c r="A4674" t="s">
        <v>16</v>
      </c>
      <c r="B4674" t="s">
        <v>3221</v>
      </c>
      <c r="C4674">
        <v>2143</v>
      </c>
      <c r="D4674" t="s">
        <v>387</v>
      </c>
      <c r="E4674" t="s">
        <v>388</v>
      </c>
      <c r="F4674">
        <v>245.02</v>
      </c>
      <c r="G4674">
        <v>230215</v>
      </c>
      <c r="H4674">
        <v>4600</v>
      </c>
      <c r="I4674" t="s">
        <v>105</v>
      </c>
      <c r="J4674">
        <v>303.83</v>
      </c>
      <c r="K4674">
        <v>58.81</v>
      </c>
      <c r="L4674">
        <v>17711</v>
      </c>
      <c r="M4674" t="s">
        <v>65</v>
      </c>
      <c r="N4674" t="str">
        <f>"991234524   "</f>
        <v xml:space="preserve">991234524   </v>
      </c>
      <c r="O4674">
        <v>230221</v>
      </c>
    </row>
    <row r="4675" spans="1:15" x14ac:dyDescent="0.25">
      <c r="A4675" t="s">
        <v>16</v>
      </c>
      <c r="B4675" t="s">
        <v>3221</v>
      </c>
      <c r="C4675">
        <v>2250</v>
      </c>
      <c r="D4675" t="s">
        <v>387</v>
      </c>
      <c r="E4675" t="s">
        <v>388</v>
      </c>
      <c r="F4675">
        <v>173.79</v>
      </c>
      <c r="G4675">
        <v>230215</v>
      </c>
      <c r="H4675">
        <v>4600</v>
      </c>
      <c r="I4675" t="s">
        <v>105</v>
      </c>
      <c r="J4675">
        <v>215.5</v>
      </c>
      <c r="K4675">
        <v>41.71</v>
      </c>
      <c r="L4675">
        <v>17802</v>
      </c>
      <c r="M4675" t="s">
        <v>174</v>
      </c>
      <c r="N4675" t="str">
        <f>"991234522   "</f>
        <v xml:space="preserve">991234522   </v>
      </c>
      <c r="O4675">
        <v>230223</v>
      </c>
    </row>
    <row r="4676" spans="1:15" x14ac:dyDescent="0.25">
      <c r="A4676" t="s">
        <v>16</v>
      </c>
      <c r="B4676" t="s">
        <v>3221</v>
      </c>
      <c r="C4676">
        <v>2294</v>
      </c>
      <c r="D4676" t="s">
        <v>387</v>
      </c>
      <c r="E4676" t="s">
        <v>388</v>
      </c>
      <c r="F4676">
        <v>1127.3800000000001</v>
      </c>
      <c r="G4676">
        <v>230215</v>
      </c>
      <c r="H4676">
        <v>4600</v>
      </c>
      <c r="I4676" t="s">
        <v>105</v>
      </c>
      <c r="J4676">
        <v>1397.95</v>
      </c>
      <c r="K4676">
        <v>270.57</v>
      </c>
      <c r="L4676">
        <v>17812</v>
      </c>
      <c r="M4676" t="s">
        <v>594</v>
      </c>
      <c r="N4676" t="str">
        <f>"991234523   "</f>
        <v xml:space="preserve">991234523   </v>
      </c>
      <c r="O4676">
        <v>230224</v>
      </c>
    </row>
    <row r="4677" spans="1:15" x14ac:dyDescent="0.25">
      <c r="A4677" t="s">
        <v>16</v>
      </c>
      <c r="B4677" t="s">
        <v>3221</v>
      </c>
      <c r="C4677">
        <v>3193</v>
      </c>
      <c r="D4677" t="s">
        <v>387</v>
      </c>
      <c r="E4677" t="s">
        <v>388</v>
      </c>
      <c r="F4677">
        <v>371.49</v>
      </c>
      <c r="G4677">
        <v>230228</v>
      </c>
      <c r="H4677">
        <v>4600</v>
      </c>
      <c r="I4677" t="s">
        <v>105</v>
      </c>
      <c r="J4677">
        <v>460.65</v>
      </c>
      <c r="K4677">
        <v>89.16</v>
      </c>
      <c r="L4677">
        <v>17812</v>
      </c>
      <c r="M4677" t="s">
        <v>594</v>
      </c>
      <c r="N4677" t="str">
        <f>"991234596   "</f>
        <v xml:space="preserve">991234596   </v>
      </c>
      <c r="O4677">
        <v>230310</v>
      </c>
    </row>
    <row r="4678" spans="1:15" x14ac:dyDescent="0.25">
      <c r="A4678" t="s">
        <v>16</v>
      </c>
      <c r="B4678" t="s">
        <v>3221</v>
      </c>
      <c r="C4678">
        <v>3249</v>
      </c>
      <c r="D4678" t="s">
        <v>387</v>
      </c>
      <c r="E4678" t="s">
        <v>388</v>
      </c>
      <c r="F4678">
        <v>337.98</v>
      </c>
      <c r="G4678">
        <v>230228</v>
      </c>
      <c r="H4678">
        <v>4600</v>
      </c>
      <c r="I4678" t="s">
        <v>105</v>
      </c>
      <c r="J4678">
        <v>419.1</v>
      </c>
      <c r="K4678">
        <v>81.12</v>
      </c>
      <c r="L4678">
        <v>17802</v>
      </c>
      <c r="M4678" t="s">
        <v>174</v>
      </c>
      <c r="N4678" t="str">
        <f>"991234595   "</f>
        <v xml:space="preserve">991234595   </v>
      </c>
      <c r="O4678">
        <v>230310</v>
      </c>
    </row>
    <row r="4679" spans="1:15" x14ac:dyDescent="0.25">
      <c r="A4679" t="s">
        <v>16</v>
      </c>
      <c r="B4679" t="s">
        <v>3221</v>
      </c>
      <c r="C4679">
        <v>3804</v>
      </c>
      <c r="D4679" t="s">
        <v>387</v>
      </c>
      <c r="E4679" t="s">
        <v>388</v>
      </c>
      <c r="F4679">
        <v>448.75</v>
      </c>
      <c r="G4679">
        <v>230315</v>
      </c>
      <c r="H4679">
        <v>4600</v>
      </c>
      <c r="I4679" t="s">
        <v>105</v>
      </c>
      <c r="J4679">
        <v>556.45000000000005</v>
      </c>
      <c r="K4679">
        <v>107.7</v>
      </c>
      <c r="L4679">
        <v>17812</v>
      </c>
      <c r="M4679" t="s">
        <v>594</v>
      </c>
      <c r="N4679" t="str">
        <f>"991234658   "</f>
        <v xml:space="preserve">991234658   </v>
      </c>
      <c r="O4679">
        <v>230322</v>
      </c>
    </row>
    <row r="4680" spans="1:15" x14ac:dyDescent="0.25">
      <c r="A4680" t="s">
        <v>16</v>
      </c>
      <c r="B4680" t="s">
        <v>3221</v>
      </c>
      <c r="C4680">
        <v>3815</v>
      </c>
      <c r="D4680" t="s">
        <v>387</v>
      </c>
      <c r="E4680" t="s">
        <v>388</v>
      </c>
      <c r="F4680">
        <v>134.19</v>
      </c>
      <c r="G4680">
        <v>230315</v>
      </c>
      <c r="H4680">
        <v>4600</v>
      </c>
      <c r="I4680" t="s">
        <v>105</v>
      </c>
      <c r="J4680">
        <v>166.4</v>
      </c>
      <c r="K4680">
        <v>32.21</v>
      </c>
      <c r="L4680">
        <v>17802</v>
      </c>
      <c r="M4680" t="s">
        <v>174</v>
      </c>
      <c r="N4680" t="str">
        <f>"991234657   "</f>
        <v xml:space="preserve">991234657   </v>
      </c>
      <c r="O4680">
        <v>230323</v>
      </c>
    </row>
    <row r="4681" spans="1:15" x14ac:dyDescent="0.25">
      <c r="A4681" t="s">
        <v>16</v>
      </c>
      <c r="B4681" t="s">
        <v>3221</v>
      </c>
      <c r="C4681">
        <v>4321</v>
      </c>
      <c r="D4681" t="s">
        <v>387</v>
      </c>
      <c r="E4681" t="s">
        <v>388</v>
      </c>
      <c r="F4681">
        <v>53.99</v>
      </c>
      <c r="G4681">
        <v>230331</v>
      </c>
      <c r="H4681">
        <v>4600</v>
      </c>
      <c r="I4681" t="s">
        <v>105</v>
      </c>
      <c r="J4681">
        <v>66.95</v>
      </c>
      <c r="K4681">
        <v>12.96</v>
      </c>
      <c r="L4681">
        <v>17711</v>
      </c>
      <c r="M4681" t="s">
        <v>65</v>
      </c>
      <c r="N4681" t="str">
        <f>"991234729   "</f>
        <v xml:space="preserve">991234729   </v>
      </c>
      <c r="O4681">
        <v>230404</v>
      </c>
    </row>
    <row r="4682" spans="1:15" x14ac:dyDescent="0.25">
      <c r="A4682" t="s">
        <v>16</v>
      </c>
      <c r="B4682" t="s">
        <v>3221</v>
      </c>
      <c r="C4682">
        <v>4706</v>
      </c>
      <c r="D4682" t="s">
        <v>387</v>
      </c>
      <c r="E4682" t="s">
        <v>388</v>
      </c>
      <c r="F4682">
        <v>474.64</v>
      </c>
      <c r="G4682">
        <v>230331</v>
      </c>
      <c r="H4682">
        <v>4600</v>
      </c>
      <c r="I4682" t="s">
        <v>105</v>
      </c>
      <c r="J4682">
        <v>588.54999999999995</v>
      </c>
      <c r="K4682">
        <v>113.91</v>
      </c>
      <c r="L4682">
        <v>17802</v>
      </c>
      <c r="M4682" t="s">
        <v>174</v>
      </c>
      <c r="N4682" t="str">
        <f>"991234727   "</f>
        <v xml:space="preserve">991234727   </v>
      </c>
      <c r="O4682">
        <v>230412</v>
      </c>
    </row>
    <row r="4683" spans="1:15" x14ac:dyDescent="0.25">
      <c r="A4683" t="s">
        <v>16</v>
      </c>
      <c r="B4683" t="s">
        <v>3221</v>
      </c>
      <c r="C4683">
        <v>4741</v>
      </c>
      <c r="D4683" t="s">
        <v>387</v>
      </c>
      <c r="E4683" t="s">
        <v>388</v>
      </c>
      <c r="F4683">
        <v>850.85</v>
      </c>
      <c r="G4683">
        <v>230331</v>
      </c>
      <c r="H4683">
        <v>4600</v>
      </c>
      <c r="I4683" t="s">
        <v>105</v>
      </c>
      <c r="J4683">
        <v>1055.05</v>
      </c>
      <c r="K4683">
        <v>204.2</v>
      </c>
      <c r="L4683">
        <v>17812</v>
      </c>
      <c r="M4683" t="s">
        <v>594</v>
      </c>
      <c r="N4683" t="str">
        <f>"991234728   "</f>
        <v xml:space="preserve">991234728   </v>
      </c>
      <c r="O4683">
        <v>230412</v>
      </c>
    </row>
    <row r="4684" spans="1:15" x14ac:dyDescent="0.25">
      <c r="A4684" t="s">
        <v>16</v>
      </c>
      <c r="B4684" t="s">
        <v>3221</v>
      </c>
      <c r="C4684">
        <v>5533</v>
      </c>
      <c r="D4684" t="s">
        <v>387</v>
      </c>
      <c r="E4684" t="s">
        <v>388</v>
      </c>
      <c r="F4684">
        <v>24.27</v>
      </c>
      <c r="G4684">
        <v>230414</v>
      </c>
      <c r="H4684">
        <v>4600</v>
      </c>
      <c r="I4684" t="s">
        <v>105</v>
      </c>
      <c r="J4684">
        <v>30.1</v>
      </c>
      <c r="K4684">
        <v>5.83</v>
      </c>
      <c r="L4684">
        <v>17802</v>
      </c>
      <c r="M4684" t="s">
        <v>174</v>
      </c>
      <c r="N4684" t="str">
        <f>"991234800   "</f>
        <v xml:space="preserve">991234800   </v>
      </c>
      <c r="O4684">
        <v>230426</v>
      </c>
    </row>
    <row r="4685" spans="1:15" x14ac:dyDescent="0.25">
      <c r="A4685" t="s">
        <v>16</v>
      </c>
      <c r="B4685" t="s">
        <v>3221</v>
      </c>
      <c r="C4685">
        <v>5534</v>
      </c>
      <c r="D4685" t="s">
        <v>387</v>
      </c>
      <c r="E4685" t="s">
        <v>388</v>
      </c>
      <c r="F4685">
        <v>795.16</v>
      </c>
      <c r="G4685">
        <v>230414</v>
      </c>
      <c r="H4685">
        <v>4600</v>
      </c>
      <c r="I4685" t="s">
        <v>105</v>
      </c>
      <c r="J4685">
        <v>986</v>
      </c>
      <c r="K4685">
        <v>190.84</v>
      </c>
      <c r="L4685">
        <v>17812</v>
      </c>
      <c r="M4685" t="s">
        <v>594</v>
      </c>
      <c r="N4685" t="str">
        <f>"991234802   "</f>
        <v xml:space="preserve">991234802   </v>
      </c>
      <c r="O4685">
        <v>230426</v>
      </c>
    </row>
    <row r="4686" spans="1:15" x14ac:dyDescent="0.25">
      <c r="A4686" t="s">
        <v>16</v>
      </c>
      <c r="B4686" t="s">
        <v>3221</v>
      </c>
      <c r="C4686">
        <v>5535</v>
      </c>
      <c r="D4686" t="s">
        <v>387</v>
      </c>
      <c r="E4686" t="s">
        <v>388</v>
      </c>
      <c r="F4686">
        <v>107.46</v>
      </c>
      <c r="G4686">
        <v>230414</v>
      </c>
      <c r="H4686">
        <v>4600</v>
      </c>
      <c r="I4686" t="s">
        <v>105</v>
      </c>
      <c r="J4686">
        <v>133.25</v>
      </c>
      <c r="K4686">
        <v>25.79</v>
      </c>
      <c r="L4686">
        <v>17802</v>
      </c>
      <c r="M4686" t="s">
        <v>174</v>
      </c>
      <c r="N4686" t="str">
        <f>"991234801   "</f>
        <v xml:space="preserve">991234801   </v>
      </c>
      <c r="O4686">
        <v>230426</v>
      </c>
    </row>
    <row r="4687" spans="1:15" x14ac:dyDescent="0.25">
      <c r="A4687" t="s">
        <v>16</v>
      </c>
      <c r="B4687" t="s">
        <v>3221</v>
      </c>
      <c r="C4687">
        <v>6090</v>
      </c>
      <c r="D4687" t="s">
        <v>387</v>
      </c>
      <c r="E4687" t="s">
        <v>388</v>
      </c>
      <c r="F4687">
        <v>507.1</v>
      </c>
      <c r="G4687">
        <v>230428</v>
      </c>
      <c r="H4687">
        <v>4600</v>
      </c>
      <c r="I4687" t="s">
        <v>105</v>
      </c>
      <c r="J4687">
        <v>628.79999999999995</v>
      </c>
      <c r="K4687">
        <v>121.7</v>
      </c>
      <c r="L4687">
        <v>17812</v>
      </c>
      <c r="M4687" t="s">
        <v>594</v>
      </c>
      <c r="N4687" t="str">
        <f>"991234874   "</f>
        <v xml:space="preserve">991234874   </v>
      </c>
      <c r="O4687">
        <v>230508</v>
      </c>
    </row>
    <row r="4688" spans="1:15" x14ac:dyDescent="0.25">
      <c r="A4688" t="s">
        <v>16</v>
      </c>
      <c r="B4688" t="s">
        <v>3221</v>
      </c>
      <c r="C4688">
        <v>6091</v>
      </c>
      <c r="D4688" t="s">
        <v>387</v>
      </c>
      <c r="E4688" t="s">
        <v>388</v>
      </c>
      <c r="F4688">
        <v>120.6</v>
      </c>
      <c r="G4688">
        <v>230428</v>
      </c>
      <c r="H4688">
        <v>4600</v>
      </c>
      <c r="I4688" t="s">
        <v>105</v>
      </c>
      <c r="J4688">
        <v>149.55000000000001</v>
      </c>
      <c r="K4688">
        <v>28.95</v>
      </c>
      <c r="L4688">
        <v>17802</v>
      </c>
      <c r="M4688" t="s">
        <v>174</v>
      </c>
      <c r="N4688" t="str">
        <f>"991234873   "</f>
        <v xml:space="preserve">991234873   </v>
      </c>
      <c r="O4688">
        <v>230508</v>
      </c>
    </row>
    <row r="4689" spans="1:15" x14ac:dyDescent="0.25">
      <c r="A4689" t="s">
        <v>16</v>
      </c>
      <c r="B4689" t="s">
        <v>3221</v>
      </c>
      <c r="C4689">
        <v>6776</v>
      </c>
      <c r="D4689" t="s">
        <v>387</v>
      </c>
      <c r="E4689" t="s">
        <v>388</v>
      </c>
      <c r="F4689">
        <v>559.88</v>
      </c>
      <c r="G4689">
        <v>230515</v>
      </c>
      <c r="H4689">
        <v>4600</v>
      </c>
      <c r="I4689" t="s">
        <v>105</v>
      </c>
      <c r="J4689">
        <v>694.25</v>
      </c>
      <c r="K4689">
        <v>134.37</v>
      </c>
      <c r="L4689">
        <v>17812</v>
      </c>
      <c r="M4689" t="s">
        <v>594</v>
      </c>
      <c r="N4689" t="str">
        <f>"991234957   "</f>
        <v xml:space="preserve">991234957   </v>
      </c>
      <c r="O4689">
        <v>230522</v>
      </c>
    </row>
    <row r="4690" spans="1:15" x14ac:dyDescent="0.25">
      <c r="A4690" t="s">
        <v>16</v>
      </c>
      <c r="B4690" t="s">
        <v>3221</v>
      </c>
      <c r="C4690">
        <v>7241</v>
      </c>
      <c r="D4690" t="s">
        <v>387</v>
      </c>
      <c r="E4690" t="s">
        <v>388</v>
      </c>
      <c r="F4690">
        <v>175.65</v>
      </c>
      <c r="G4690">
        <v>230515</v>
      </c>
      <c r="H4690">
        <v>4600</v>
      </c>
      <c r="I4690" t="s">
        <v>105</v>
      </c>
      <c r="J4690">
        <v>217.8</v>
      </c>
      <c r="K4690">
        <v>42.15</v>
      </c>
      <c r="L4690">
        <v>17802</v>
      </c>
      <c r="M4690" t="s">
        <v>174</v>
      </c>
      <c r="N4690" t="str">
        <f>"991234956   "</f>
        <v xml:space="preserve">991234956   </v>
      </c>
      <c r="O4690">
        <v>230526</v>
      </c>
    </row>
    <row r="4691" spans="1:15" x14ac:dyDescent="0.25">
      <c r="A4691" t="s">
        <v>16</v>
      </c>
      <c r="B4691" t="s">
        <v>3221</v>
      </c>
      <c r="C4691">
        <v>7499</v>
      </c>
      <c r="D4691" t="s">
        <v>387</v>
      </c>
      <c r="E4691" t="s">
        <v>388</v>
      </c>
      <c r="F4691">
        <v>236.98</v>
      </c>
      <c r="G4691">
        <v>230530</v>
      </c>
      <c r="H4691">
        <v>4600</v>
      </c>
      <c r="I4691" t="s">
        <v>105</v>
      </c>
      <c r="J4691">
        <v>293.85000000000002</v>
      </c>
      <c r="K4691">
        <v>56.87</v>
      </c>
      <c r="L4691">
        <v>17812</v>
      </c>
      <c r="M4691" t="s">
        <v>594</v>
      </c>
      <c r="N4691" t="str">
        <f>"991235009   "</f>
        <v xml:space="preserve">991235009   </v>
      </c>
      <c r="O4691">
        <v>230531</v>
      </c>
    </row>
    <row r="4692" spans="1:15" x14ac:dyDescent="0.25">
      <c r="A4692" t="s">
        <v>16</v>
      </c>
      <c r="B4692" t="s">
        <v>3221</v>
      </c>
      <c r="C4692">
        <v>7500</v>
      </c>
      <c r="D4692" t="s">
        <v>387</v>
      </c>
      <c r="E4692" t="s">
        <v>388</v>
      </c>
      <c r="F4692">
        <v>43.63</v>
      </c>
      <c r="G4692">
        <v>230530</v>
      </c>
      <c r="H4692">
        <v>4600</v>
      </c>
      <c r="I4692" t="s">
        <v>105</v>
      </c>
      <c r="J4692">
        <v>54.1</v>
      </c>
      <c r="K4692">
        <v>10.47</v>
      </c>
      <c r="L4692">
        <v>17802</v>
      </c>
      <c r="M4692" t="s">
        <v>174</v>
      </c>
      <c r="N4692" t="str">
        <f>"991235008   "</f>
        <v xml:space="preserve">991235008   </v>
      </c>
      <c r="O4692">
        <v>230531</v>
      </c>
    </row>
    <row r="4693" spans="1:15" x14ac:dyDescent="0.25">
      <c r="A4693" t="s">
        <v>16</v>
      </c>
      <c r="B4693" t="s">
        <v>3221</v>
      </c>
      <c r="C4693">
        <v>11145</v>
      </c>
      <c r="D4693" t="s">
        <v>387</v>
      </c>
      <c r="E4693" t="s">
        <v>388</v>
      </c>
      <c r="F4693">
        <v>98.99</v>
      </c>
      <c r="G4693">
        <v>230829</v>
      </c>
      <c r="H4693">
        <v>4600</v>
      </c>
      <c r="I4693" t="s">
        <v>105</v>
      </c>
      <c r="J4693">
        <v>122.75</v>
      </c>
      <c r="K4693">
        <v>23.76</v>
      </c>
      <c r="L4693">
        <v>17802</v>
      </c>
      <c r="M4693" t="s">
        <v>174</v>
      </c>
      <c r="N4693" t="str">
        <f>"991235440   "</f>
        <v xml:space="preserve">991235440   </v>
      </c>
      <c r="O4693">
        <v>230830</v>
      </c>
    </row>
    <row r="4694" spans="1:15" x14ac:dyDescent="0.25">
      <c r="A4694" t="s">
        <v>16</v>
      </c>
      <c r="B4694" t="s">
        <v>3221</v>
      </c>
      <c r="C4694">
        <v>11226</v>
      </c>
      <c r="D4694" t="s">
        <v>387</v>
      </c>
      <c r="E4694" t="s">
        <v>388</v>
      </c>
      <c r="F4694">
        <v>322.77999999999997</v>
      </c>
      <c r="G4694">
        <v>230829</v>
      </c>
      <c r="H4694">
        <v>4600</v>
      </c>
      <c r="I4694" t="s">
        <v>105</v>
      </c>
      <c r="J4694">
        <v>400.25</v>
      </c>
      <c r="K4694">
        <v>77.47</v>
      </c>
      <c r="L4694">
        <v>17802</v>
      </c>
      <c r="M4694" t="s">
        <v>174</v>
      </c>
      <c r="N4694" t="str">
        <f>"991235439   "</f>
        <v xml:space="preserve">991235439   </v>
      </c>
      <c r="O4694">
        <v>230901</v>
      </c>
    </row>
    <row r="4695" spans="1:15" x14ac:dyDescent="0.25">
      <c r="A4695" t="s">
        <v>16</v>
      </c>
      <c r="B4695" t="s">
        <v>3221</v>
      </c>
      <c r="C4695">
        <v>11231</v>
      </c>
      <c r="D4695" t="s">
        <v>387</v>
      </c>
      <c r="E4695" t="s">
        <v>388</v>
      </c>
      <c r="F4695">
        <v>1258.9100000000001</v>
      </c>
      <c r="G4695">
        <v>230829</v>
      </c>
      <c r="H4695">
        <v>4600</v>
      </c>
      <c r="I4695" t="s">
        <v>105</v>
      </c>
      <c r="J4695">
        <v>1561.05</v>
      </c>
      <c r="K4695">
        <v>302.14</v>
      </c>
      <c r="L4695">
        <v>17812</v>
      </c>
      <c r="M4695" t="s">
        <v>594</v>
      </c>
      <c r="N4695" t="str">
        <f>"991235438   "</f>
        <v xml:space="preserve">991235438   </v>
      </c>
      <c r="O4695">
        <v>230901</v>
      </c>
    </row>
    <row r="4696" spans="1:15" x14ac:dyDescent="0.25">
      <c r="A4696" t="s">
        <v>16</v>
      </c>
      <c r="B4696" t="s">
        <v>3221</v>
      </c>
      <c r="C4696">
        <v>11984</v>
      </c>
      <c r="D4696" t="s">
        <v>387</v>
      </c>
      <c r="E4696" t="s">
        <v>388</v>
      </c>
      <c r="F4696">
        <v>222.3</v>
      </c>
      <c r="G4696">
        <v>230831</v>
      </c>
      <c r="H4696">
        <v>4600</v>
      </c>
      <c r="I4696" t="s">
        <v>105</v>
      </c>
      <c r="J4696">
        <v>275.64999999999998</v>
      </c>
      <c r="K4696">
        <v>53.35</v>
      </c>
      <c r="L4696">
        <v>17812</v>
      </c>
      <c r="M4696" t="s">
        <v>594</v>
      </c>
      <c r="N4696" t="str">
        <f>"991235448   "</f>
        <v xml:space="preserve">991235448   </v>
      </c>
      <c r="O4696">
        <v>230912</v>
      </c>
    </row>
    <row r="4697" spans="1:15" x14ac:dyDescent="0.25">
      <c r="A4697" t="s">
        <v>16</v>
      </c>
      <c r="B4697" t="s">
        <v>3221</v>
      </c>
      <c r="C4697">
        <v>12595</v>
      </c>
      <c r="D4697" t="s">
        <v>387</v>
      </c>
      <c r="E4697" t="s">
        <v>388</v>
      </c>
      <c r="F4697">
        <v>28.06</v>
      </c>
      <c r="G4697">
        <v>230915</v>
      </c>
      <c r="H4697">
        <v>4600</v>
      </c>
      <c r="I4697" t="s">
        <v>105</v>
      </c>
      <c r="J4697">
        <v>34.79</v>
      </c>
      <c r="K4697">
        <v>6.73</v>
      </c>
      <c r="L4697">
        <v>17802</v>
      </c>
      <c r="M4697" t="s">
        <v>174</v>
      </c>
      <c r="N4697" t="str">
        <f>"991235519   "</f>
        <v xml:space="preserve">991235519   </v>
      </c>
      <c r="O4697">
        <v>230922</v>
      </c>
    </row>
    <row r="4698" spans="1:15" x14ac:dyDescent="0.25">
      <c r="A4698" t="s">
        <v>16</v>
      </c>
      <c r="B4698" t="s">
        <v>3221</v>
      </c>
      <c r="C4698">
        <v>12595</v>
      </c>
      <c r="D4698" t="s">
        <v>387</v>
      </c>
      <c r="E4698" t="s">
        <v>388</v>
      </c>
      <c r="F4698">
        <v>1134.97</v>
      </c>
      <c r="G4698">
        <v>230915</v>
      </c>
      <c r="H4698">
        <v>4600</v>
      </c>
      <c r="I4698" t="s">
        <v>105</v>
      </c>
      <c r="J4698">
        <v>1407.36</v>
      </c>
      <c r="K4698">
        <v>272.39</v>
      </c>
      <c r="L4698">
        <v>17812</v>
      </c>
      <c r="M4698" t="s">
        <v>594</v>
      </c>
      <c r="N4698" t="str">
        <f>"991235519   "</f>
        <v xml:space="preserve">991235519   </v>
      </c>
      <c r="O4698">
        <v>230922</v>
      </c>
    </row>
    <row r="4699" spans="1:15" x14ac:dyDescent="0.25">
      <c r="A4699" t="s">
        <v>16</v>
      </c>
      <c r="B4699" t="s">
        <v>3221</v>
      </c>
      <c r="C4699">
        <v>12650</v>
      </c>
      <c r="D4699" t="s">
        <v>387</v>
      </c>
      <c r="E4699" t="s">
        <v>388</v>
      </c>
      <c r="F4699">
        <v>445.77</v>
      </c>
      <c r="G4699">
        <v>230915</v>
      </c>
      <c r="H4699">
        <v>4600</v>
      </c>
      <c r="I4699" t="s">
        <v>105</v>
      </c>
      <c r="J4699">
        <v>552.75</v>
      </c>
      <c r="K4699">
        <v>106.98</v>
      </c>
      <c r="L4699">
        <v>17802</v>
      </c>
      <c r="M4699" t="s">
        <v>174</v>
      </c>
      <c r="N4699" t="str">
        <f>"991235518   "</f>
        <v xml:space="preserve">991235518   </v>
      </c>
      <c r="O4699">
        <v>230922</v>
      </c>
    </row>
    <row r="4700" spans="1:15" x14ac:dyDescent="0.25">
      <c r="A4700" t="s">
        <v>16</v>
      </c>
      <c r="B4700" t="s">
        <v>3221</v>
      </c>
      <c r="C4700">
        <v>13298</v>
      </c>
      <c r="D4700" t="s">
        <v>387</v>
      </c>
      <c r="E4700" t="s">
        <v>388</v>
      </c>
      <c r="F4700">
        <v>902.46</v>
      </c>
      <c r="G4700">
        <v>230929</v>
      </c>
      <c r="H4700">
        <v>4600</v>
      </c>
      <c r="I4700" t="s">
        <v>105</v>
      </c>
      <c r="J4700">
        <v>1119.05</v>
      </c>
      <c r="K4700">
        <v>216.59</v>
      </c>
      <c r="L4700">
        <v>17812</v>
      </c>
      <c r="M4700" t="s">
        <v>594</v>
      </c>
      <c r="N4700" t="str">
        <f>"991235614   "</f>
        <v xml:space="preserve">991235614   </v>
      </c>
      <c r="O4700">
        <v>231009</v>
      </c>
    </row>
    <row r="4701" spans="1:15" x14ac:dyDescent="0.25">
      <c r="A4701" t="s">
        <v>16</v>
      </c>
      <c r="B4701" t="s">
        <v>3221</v>
      </c>
      <c r="C4701">
        <v>13300</v>
      </c>
      <c r="D4701" t="s">
        <v>387</v>
      </c>
      <c r="E4701" t="s">
        <v>388</v>
      </c>
      <c r="F4701">
        <v>21.37</v>
      </c>
      <c r="G4701">
        <v>230929</v>
      </c>
      <c r="H4701">
        <v>4600</v>
      </c>
      <c r="I4701" t="s">
        <v>105</v>
      </c>
      <c r="J4701">
        <v>26.5</v>
      </c>
      <c r="K4701">
        <v>5.13</v>
      </c>
      <c r="L4701">
        <v>17802</v>
      </c>
      <c r="M4701" t="s">
        <v>174</v>
      </c>
      <c r="N4701" t="str">
        <f>"991235615   "</f>
        <v xml:space="preserve">991235615   </v>
      </c>
      <c r="O4701">
        <v>231009</v>
      </c>
    </row>
    <row r="4702" spans="1:15" x14ac:dyDescent="0.25">
      <c r="A4702" t="s">
        <v>16</v>
      </c>
      <c r="B4702" t="s">
        <v>3221</v>
      </c>
      <c r="C4702">
        <v>14229</v>
      </c>
      <c r="D4702" t="s">
        <v>387</v>
      </c>
      <c r="E4702" t="s">
        <v>388</v>
      </c>
      <c r="F4702">
        <v>1277.42</v>
      </c>
      <c r="G4702">
        <v>231013</v>
      </c>
      <c r="H4702">
        <v>4600</v>
      </c>
      <c r="I4702" t="s">
        <v>105</v>
      </c>
      <c r="J4702">
        <v>1584</v>
      </c>
      <c r="K4702">
        <v>306.58</v>
      </c>
      <c r="L4702">
        <v>17812</v>
      </c>
      <c r="M4702" t="s">
        <v>594</v>
      </c>
      <c r="N4702" t="str">
        <f>"991235686   "</f>
        <v xml:space="preserve">991235686   </v>
      </c>
      <c r="O4702">
        <v>231024</v>
      </c>
    </row>
    <row r="4703" spans="1:15" x14ac:dyDescent="0.25">
      <c r="A4703" t="s">
        <v>16</v>
      </c>
      <c r="B4703" t="s">
        <v>3221</v>
      </c>
      <c r="C4703">
        <v>14744</v>
      </c>
      <c r="D4703" t="s">
        <v>387</v>
      </c>
      <c r="E4703" t="s">
        <v>388</v>
      </c>
      <c r="F4703">
        <v>230.24</v>
      </c>
      <c r="G4703">
        <v>231013</v>
      </c>
      <c r="H4703">
        <v>4600</v>
      </c>
      <c r="I4703" t="s">
        <v>105</v>
      </c>
      <c r="J4703">
        <v>285.5</v>
      </c>
      <c r="K4703">
        <v>55.26</v>
      </c>
      <c r="L4703">
        <v>17802</v>
      </c>
      <c r="M4703" t="s">
        <v>174</v>
      </c>
      <c r="N4703" t="str">
        <f>"991235685   "</f>
        <v xml:space="preserve">991235685   </v>
      </c>
      <c r="O4703">
        <v>231102</v>
      </c>
    </row>
    <row r="4704" spans="1:15" x14ac:dyDescent="0.25">
      <c r="A4704" t="s">
        <v>16</v>
      </c>
      <c r="B4704" t="s">
        <v>3221</v>
      </c>
      <c r="C4704">
        <v>14868</v>
      </c>
      <c r="D4704" t="s">
        <v>387</v>
      </c>
      <c r="E4704" t="s">
        <v>388</v>
      </c>
      <c r="F4704">
        <v>390.44</v>
      </c>
      <c r="G4704">
        <v>231031</v>
      </c>
      <c r="H4704">
        <v>4600</v>
      </c>
      <c r="I4704" t="s">
        <v>105</v>
      </c>
      <c r="J4704">
        <v>484.15</v>
      </c>
      <c r="K4704">
        <v>93.71</v>
      </c>
      <c r="L4704">
        <v>17812</v>
      </c>
      <c r="M4704" t="s">
        <v>594</v>
      </c>
      <c r="N4704" t="str">
        <f>"991235755   "</f>
        <v xml:space="preserve">991235755   </v>
      </c>
      <c r="O4704">
        <v>231107</v>
      </c>
    </row>
    <row r="4705" spans="1:15" x14ac:dyDescent="0.25">
      <c r="A4705" t="s">
        <v>16</v>
      </c>
      <c r="B4705" t="s">
        <v>3221</v>
      </c>
      <c r="C4705">
        <v>14870</v>
      </c>
      <c r="D4705" t="s">
        <v>387</v>
      </c>
      <c r="E4705" t="s">
        <v>388</v>
      </c>
      <c r="F4705">
        <v>102.18</v>
      </c>
      <c r="G4705">
        <v>231031</v>
      </c>
      <c r="H4705">
        <v>4600</v>
      </c>
      <c r="I4705" t="s">
        <v>105</v>
      </c>
      <c r="J4705">
        <v>126.7</v>
      </c>
      <c r="K4705">
        <v>24.52</v>
      </c>
      <c r="L4705">
        <v>17802</v>
      </c>
      <c r="M4705" t="s">
        <v>174</v>
      </c>
      <c r="N4705" t="str">
        <f>"991235754   "</f>
        <v xml:space="preserve">991235754   </v>
      </c>
      <c r="O4705">
        <v>231107</v>
      </c>
    </row>
    <row r="4706" spans="1:15" x14ac:dyDescent="0.25">
      <c r="A4706" t="s">
        <v>16</v>
      </c>
      <c r="B4706" t="s">
        <v>3221</v>
      </c>
      <c r="C4706">
        <v>15957</v>
      </c>
      <c r="D4706" t="s">
        <v>387</v>
      </c>
      <c r="E4706" t="s">
        <v>388</v>
      </c>
      <c r="F4706">
        <v>447.1</v>
      </c>
      <c r="G4706">
        <v>231115</v>
      </c>
      <c r="H4706">
        <v>4600</v>
      </c>
      <c r="I4706" t="s">
        <v>105</v>
      </c>
      <c r="J4706">
        <v>554.4</v>
      </c>
      <c r="K4706">
        <v>107.3</v>
      </c>
      <c r="L4706">
        <v>17802</v>
      </c>
      <c r="M4706" t="s">
        <v>174</v>
      </c>
      <c r="N4706" t="str">
        <f>"991235844   "</f>
        <v xml:space="preserve">991235844   </v>
      </c>
      <c r="O4706">
        <v>231122</v>
      </c>
    </row>
    <row r="4707" spans="1:15" x14ac:dyDescent="0.25">
      <c r="A4707" t="s">
        <v>16</v>
      </c>
      <c r="B4707" t="s">
        <v>3221</v>
      </c>
      <c r="C4707">
        <v>15957</v>
      </c>
      <c r="D4707" t="s">
        <v>387</v>
      </c>
      <c r="E4707" t="s">
        <v>388</v>
      </c>
      <c r="F4707">
        <v>1311.61</v>
      </c>
      <c r="G4707">
        <v>231115</v>
      </c>
      <c r="H4707">
        <v>4600</v>
      </c>
      <c r="I4707" t="s">
        <v>105</v>
      </c>
      <c r="J4707">
        <v>1626.4</v>
      </c>
      <c r="K4707">
        <v>314.79000000000002</v>
      </c>
      <c r="L4707">
        <v>17812</v>
      </c>
      <c r="M4707" t="s">
        <v>594</v>
      </c>
      <c r="N4707" t="str">
        <f>"991235844   "</f>
        <v xml:space="preserve">991235844   </v>
      </c>
      <c r="O4707">
        <v>231122</v>
      </c>
    </row>
    <row r="4708" spans="1:15" x14ac:dyDescent="0.25">
      <c r="A4708" t="s">
        <v>16</v>
      </c>
      <c r="B4708" t="s">
        <v>3221</v>
      </c>
      <c r="C4708">
        <v>15960</v>
      </c>
      <c r="D4708" t="s">
        <v>387</v>
      </c>
      <c r="E4708" t="s">
        <v>388</v>
      </c>
      <c r="F4708">
        <v>233.43</v>
      </c>
      <c r="G4708">
        <v>231115</v>
      </c>
      <c r="H4708">
        <v>4600</v>
      </c>
      <c r="I4708" t="s">
        <v>105</v>
      </c>
      <c r="J4708">
        <v>289.45</v>
      </c>
      <c r="K4708">
        <v>56.02</v>
      </c>
      <c r="L4708">
        <v>17802</v>
      </c>
      <c r="M4708" t="s">
        <v>174</v>
      </c>
      <c r="N4708" t="str">
        <f>"991235843   "</f>
        <v xml:space="preserve">991235843   </v>
      </c>
      <c r="O4708">
        <v>231122</v>
      </c>
    </row>
    <row r="4709" spans="1:15" x14ac:dyDescent="0.25">
      <c r="A4709" t="s">
        <v>16</v>
      </c>
      <c r="B4709" t="s">
        <v>3221</v>
      </c>
      <c r="C4709">
        <v>15973</v>
      </c>
      <c r="D4709" t="s">
        <v>387</v>
      </c>
      <c r="E4709" t="s">
        <v>388</v>
      </c>
      <c r="F4709">
        <v>1.88</v>
      </c>
      <c r="G4709">
        <v>231115</v>
      </c>
      <c r="H4709">
        <v>4600</v>
      </c>
      <c r="I4709" t="s">
        <v>105</v>
      </c>
      <c r="J4709">
        <v>2.33</v>
      </c>
      <c r="K4709">
        <v>0.45</v>
      </c>
      <c r="L4709">
        <v>17711</v>
      </c>
      <c r="M4709" t="s">
        <v>65</v>
      </c>
      <c r="N4709" t="str">
        <f>"991235845   "</f>
        <v xml:space="preserve">991235845   </v>
      </c>
      <c r="O4709">
        <v>231122</v>
      </c>
    </row>
    <row r="4710" spans="1:15" x14ac:dyDescent="0.25">
      <c r="A4710" t="s">
        <v>16</v>
      </c>
      <c r="B4710" t="s">
        <v>3221</v>
      </c>
      <c r="C4710">
        <v>15973</v>
      </c>
      <c r="D4710" t="s">
        <v>387</v>
      </c>
      <c r="E4710" t="s">
        <v>388</v>
      </c>
      <c r="F4710">
        <v>78.16</v>
      </c>
      <c r="G4710">
        <v>231115</v>
      </c>
      <c r="H4710">
        <v>4600</v>
      </c>
      <c r="I4710" t="s">
        <v>105</v>
      </c>
      <c r="J4710">
        <v>96.92</v>
      </c>
      <c r="K4710">
        <v>18.760000000000002</v>
      </c>
      <c r="L4710">
        <v>17711</v>
      </c>
      <c r="M4710" t="s">
        <v>65</v>
      </c>
      <c r="N4710" t="str">
        <f>"991235845   "</f>
        <v xml:space="preserve">991235845   </v>
      </c>
      <c r="O4710">
        <v>231122</v>
      </c>
    </row>
    <row r="4711" spans="1:15" x14ac:dyDescent="0.25">
      <c r="A4711" t="s">
        <v>16</v>
      </c>
      <c r="B4711" t="s">
        <v>3221</v>
      </c>
      <c r="C4711">
        <v>16426</v>
      </c>
      <c r="D4711" t="s">
        <v>387</v>
      </c>
      <c r="E4711" t="s">
        <v>388</v>
      </c>
      <c r="F4711">
        <v>977.26</v>
      </c>
      <c r="G4711">
        <v>231124</v>
      </c>
      <c r="H4711">
        <v>4600</v>
      </c>
      <c r="I4711" t="s">
        <v>105</v>
      </c>
      <c r="J4711">
        <v>1211.8</v>
      </c>
      <c r="K4711">
        <v>234.54</v>
      </c>
      <c r="L4711">
        <v>17812</v>
      </c>
      <c r="M4711" t="s">
        <v>594</v>
      </c>
      <c r="N4711" t="str">
        <f>"991235885   "</f>
        <v xml:space="preserve">991235885   </v>
      </c>
      <c r="O4711">
        <v>231129</v>
      </c>
    </row>
    <row r="4712" spans="1:15" x14ac:dyDescent="0.25">
      <c r="A4712" t="s">
        <v>16</v>
      </c>
      <c r="B4712" t="s">
        <v>3221</v>
      </c>
      <c r="C4712">
        <v>16428</v>
      </c>
      <c r="D4712" t="s">
        <v>387</v>
      </c>
      <c r="E4712" t="s">
        <v>388</v>
      </c>
      <c r="F4712">
        <v>846.65</v>
      </c>
      <c r="G4712">
        <v>231124</v>
      </c>
      <c r="H4712">
        <v>4600</v>
      </c>
      <c r="I4712" t="s">
        <v>105</v>
      </c>
      <c r="J4712">
        <v>1049.8499999999999</v>
      </c>
      <c r="K4712">
        <v>203.2</v>
      </c>
      <c r="L4712">
        <v>17802</v>
      </c>
      <c r="M4712" t="s">
        <v>174</v>
      </c>
      <c r="N4712" t="str">
        <f>"991235884   "</f>
        <v xml:space="preserve">991235884   </v>
      </c>
      <c r="O4712">
        <v>231129</v>
      </c>
    </row>
    <row r="4713" spans="1:15" x14ac:dyDescent="0.25">
      <c r="A4713" t="s">
        <v>16</v>
      </c>
      <c r="B4713" t="s">
        <v>3221</v>
      </c>
      <c r="C4713">
        <v>16786</v>
      </c>
      <c r="D4713" t="s">
        <v>387</v>
      </c>
      <c r="E4713" t="s">
        <v>388</v>
      </c>
      <c r="F4713">
        <v>140.56</v>
      </c>
      <c r="G4713">
        <v>231130</v>
      </c>
      <c r="H4713">
        <v>4600</v>
      </c>
      <c r="I4713" t="s">
        <v>105</v>
      </c>
      <c r="J4713">
        <v>174.3</v>
      </c>
      <c r="K4713">
        <v>33.74</v>
      </c>
      <c r="L4713">
        <v>17812</v>
      </c>
      <c r="M4713" t="s">
        <v>594</v>
      </c>
      <c r="N4713" t="str">
        <f>"991235927   "</f>
        <v xml:space="preserve">991235927   </v>
      </c>
      <c r="O4713">
        <v>231211</v>
      </c>
    </row>
    <row r="4714" spans="1:15" x14ac:dyDescent="0.25">
      <c r="A4714" t="s">
        <v>16</v>
      </c>
      <c r="B4714" t="s">
        <v>3221</v>
      </c>
      <c r="C4714">
        <v>16837</v>
      </c>
      <c r="D4714" t="s">
        <v>387</v>
      </c>
      <c r="E4714" t="s">
        <v>388</v>
      </c>
      <c r="F4714">
        <v>92.62</v>
      </c>
      <c r="G4714">
        <v>231130</v>
      </c>
      <c r="H4714">
        <v>4600</v>
      </c>
      <c r="I4714" t="s">
        <v>105</v>
      </c>
      <c r="J4714">
        <v>114.85</v>
      </c>
      <c r="K4714">
        <v>22.23</v>
      </c>
      <c r="L4714">
        <v>17802</v>
      </c>
      <c r="M4714" t="s">
        <v>174</v>
      </c>
      <c r="N4714" t="str">
        <f>"991235928   "</f>
        <v xml:space="preserve">991235928   </v>
      </c>
      <c r="O4714">
        <v>231211</v>
      </c>
    </row>
    <row r="4715" spans="1:15" x14ac:dyDescent="0.25">
      <c r="A4715" t="s">
        <v>16</v>
      </c>
      <c r="B4715" t="s">
        <v>3221</v>
      </c>
      <c r="C4715">
        <v>16837</v>
      </c>
      <c r="D4715" t="s">
        <v>387</v>
      </c>
      <c r="E4715" t="s">
        <v>388</v>
      </c>
      <c r="F4715">
        <v>62.94</v>
      </c>
      <c r="G4715">
        <v>231130</v>
      </c>
      <c r="H4715">
        <v>4600</v>
      </c>
      <c r="I4715" t="s">
        <v>105</v>
      </c>
      <c r="J4715">
        <v>78.05</v>
      </c>
      <c r="K4715">
        <v>15.11</v>
      </c>
      <c r="L4715">
        <v>17812</v>
      </c>
      <c r="M4715" t="s">
        <v>594</v>
      </c>
      <c r="N4715" t="str">
        <f>"991235928   "</f>
        <v xml:space="preserve">991235928   </v>
      </c>
      <c r="O4715">
        <v>231211</v>
      </c>
    </row>
    <row r="4716" spans="1:15" x14ac:dyDescent="0.25">
      <c r="A4716" t="s">
        <v>16</v>
      </c>
      <c r="B4716" t="s">
        <v>3221</v>
      </c>
      <c r="C4716">
        <v>17992</v>
      </c>
      <c r="D4716" t="s">
        <v>387</v>
      </c>
      <c r="E4716" t="s">
        <v>388</v>
      </c>
      <c r="F4716">
        <v>118.15</v>
      </c>
      <c r="G4716">
        <v>231215</v>
      </c>
      <c r="H4716">
        <v>4600</v>
      </c>
      <c r="I4716" t="s">
        <v>105</v>
      </c>
      <c r="J4716">
        <v>146.5</v>
      </c>
      <c r="K4716">
        <v>28.35</v>
      </c>
      <c r="L4716">
        <v>17802</v>
      </c>
      <c r="M4716" t="s">
        <v>174</v>
      </c>
      <c r="N4716" t="str">
        <f>"991235990   "</f>
        <v xml:space="preserve">991235990   </v>
      </c>
      <c r="O4716">
        <v>231228</v>
      </c>
    </row>
    <row r="4717" spans="1:15" x14ac:dyDescent="0.25">
      <c r="A4717" t="s">
        <v>16</v>
      </c>
      <c r="B4717" t="s">
        <v>3221</v>
      </c>
      <c r="C4717">
        <v>1497</v>
      </c>
      <c r="D4717" t="s">
        <v>387</v>
      </c>
      <c r="E4717" t="s">
        <v>388</v>
      </c>
      <c r="F4717">
        <v>201.61</v>
      </c>
      <c r="G4717">
        <v>230131</v>
      </c>
      <c r="H4717">
        <v>4560</v>
      </c>
      <c r="I4717" t="s">
        <v>345</v>
      </c>
      <c r="J4717">
        <v>250</v>
      </c>
      <c r="K4717">
        <v>48.39</v>
      </c>
      <c r="L4717">
        <v>17808</v>
      </c>
      <c r="M4717" t="s">
        <v>322</v>
      </c>
      <c r="N4717" t="str">
        <f>"991234444   "</f>
        <v xml:space="preserve">991234444   </v>
      </c>
      <c r="O4717">
        <v>230209</v>
      </c>
    </row>
    <row r="4718" spans="1:15" x14ac:dyDescent="0.25">
      <c r="A4718" t="s">
        <v>16</v>
      </c>
      <c r="B4718" t="s">
        <v>3221</v>
      </c>
      <c r="C4718">
        <v>2143</v>
      </c>
      <c r="D4718" t="s">
        <v>387</v>
      </c>
      <c r="E4718" t="s">
        <v>388</v>
      </c>
      <c r="F4718">
        <v>20.32</v>
      </c>
      <c r="G4718">
        <v>230215</v>
      </c>
      <c r="H4718">
        <v>4560</v>
      </c>
      <c r="I4718" t="s">
        <v>345</v>
      </c>
      <c r="J4718">
        <v>25.2</v>
      </c>
      <c r="K4718">
        <v>4.88</v>
      </c>
      <c r="L4718">
        <v>17711</v>
      </c>
      <c r="M4718" t="s">
        <v>65</v>
      </c>
      <c r="N4718" t="str">
        <f>"991234524   "</f>
        <v xml:space="preserve">991234524   </v>
      </c>
      <c r="O4718">
        <v>230221</v>
      </c>
    </row>
    <row r="4719" spans="1:15" x14ac:dyDescent="0.25">
      <c r="A4719" t="s">
        <v>16</v>
      </c>
      <c r="B4719" t="s">
        <v>3221</v>
      </c>
      <c r="C4719">
        <v>5455</v>
      </c>
      <c r="D4719" t="s">
        <v>1849</v>
      </c>
      <c r="E4719" t="s">
        <v>1850</v>
      </c>
      <c r="F4719">
        <v>209.68</v>
      </c>
      <c r="G4719">
        <v>230331</v>
      </c>
      <c r="H4719">
        <v>4820</v>
      </c>
      <c r="I4719" t="s">
        <v>50</v>
      </c>
      <c r="J4719">
        <v>260</v>
      </c>
      <c r="K4719">
        <v>50.32</v>
      </c>
      <c r="L4719">
        <v>18420</v>
      </c>
      <c r="M4719" t="s">
        <v>1489</v>
      </c>
      <c r="N4719" t="str">
        <f>"7863000489  "</f>
        <v xml:space="preserve">7863000489  </v>
      </c>
      <c r="O4719">
        <v>230425</v>
      </c>
    </row>
    <row r="4720" spans="1:15" x14ac:dyDescent="0.25">
      <c r="A4720" t="s">
        <v>16</v>
      </c>
      <c r="B4720" t="s">
        <v>3221</v>
      </c>
      <c r="C4720">
        <v>2709</v>
      </c>
      <c r="D4720" t="s">
        <v>3233</v>
      </c>
      <c r="E4720" t="s">
        <v>3234</v>
      </c>
      <c r="F4720">
        <v>192</v>
      </c>
      <c r="G4720">
        <v>230207</v>
      </c>
      <c r="H4720">
        <v>4362</v>
      </c>
      <c r="I4720" t="s">
        <v>79</v>
      </c>
      <c r="J4720">
        <v>192</v>
      </c>
      <c r="K4720">
        <v>0</v>
      </c>
      <c r="L4720">
        <v>59501</v>
      </c>
      <c r="M4720" t="s">
        <v>69</v>
      </c>
      <c r="N4720" t="str">
        <f>"2480137456  "</f>
        <v xml:space="preserve">2480137456  </v>
      </c>
      <c r="O4720">
        <v>230307</v>
      </c>
    </row>
    <row r="4721" spans="1:15" x14ac:dyDescent="0.25">
      <c r="A4721" t="s">
        <v>16</v>
      </c>
      <c r="B4721" t="s">
        <v>3221</v>
      </c>
      <c r="C4721">
        <v>1305</v>
      </c>
      <c r="D4721" t="s">
        <v>3233</v>
      </c>
      <c r="E4721" t="s">
        <v>3234</v>
      </c>
      <c r="F4721">
        <v>228</v>
      </c>
      <c r="G4721">
        <v>230207</v>
      </c>
      <c r="H4721">
        <v>4940</v>
      </c>
      <c r="I4721" t="s">
        <v>514</v>
      </c>
      <c r="J4721">
        <v>282.72000000000003</v>
      </c>
      <c r="K4721">
        <v>54.72</v>
      </c>
      <c r="L4721">
        <v>69501</v>
      </c>
      <c r="M4721" t="s">
        <v>185</v>
      </c>
      <c r="N4721" t="str">
        <f>"2480137454  "</f>
        <v xml:space="preserve">2480137454  </v>
      </c>
      <c r="O4721">
        <v>230207</v>
      </c>
    </row>
    <row r="4722" spans="1:15" x14ac:dyDescent="0.25">
      <c r="A4722" t="s">
        <v>16</v>
      </c>
      <c r="B4722" t="s">
        <v>3221</v>
      </c>
      <c r="C4722">
        <v>1427</v>
      </c>
      <c r="D4722" t="s">
        <v>3233</v>
      </c>
      <c r="E4722" t="s">
        <v>3234</v>
      </c>
      <c r="F4722">
        <v>192</v>
      </c>
      <c r="G4722">
        <v>230207</v>
      </c>
      <c r="H4722">
        <v>4940</v>
      </c>
      <c r="I4722" t="s">
        <v>514</v>
      </c>
      <c r="J4722">
        <v>192</v>
      </c>
      <c r="K4722">
        <v>0</v>
      </c>
      <c r="L4722">
        <v>17956</v>
      </c>
      <c r="M4722" t="s">
        <v>53</v>
      </c>
      <c r="N4722" t="str">
        <f>"2480137453  "</f>
        <v xml:space="preserve">2480137453  </v>
      </c>
      <c r="O4722">
        <v>230208</v>
      </c>
    </row>
    <row r="4723" spans="1:15" x14ac:dyDescent="0.25">
      <c r="A4723" t="s">
        <v>16</v>
      </c>
      <c r="B4723" t="s">
        <v>3221</v>
      </c>
      <c r="C4723">
        <v>1936</v>
      </c>
      <c r="D4723" t="s">
        <v>3233</v>
      </c>
      <c r="E4723" t="s">
        <v>3234</v>
      </c>
      <c r="F4723">
        <v>21.12</v>
      </c>
      <c r="G4723">
        <v>230207</v>
      </c>
      <c r="H4723">
        <v>4940</v>
      </c>
      <c r="I4723" t="s">
        <v>514</v>
      </c>
      <c r="J4723">
        <v>21.12</v>
      </c>
      <c r="K4723">
        <v>0</v>
      </c>
      <c r="L4723">
        <v>13540</v>
      </c>
      <c r="M4723" t="s">
        <v>85</v>
      </c>
      <c r="N4723" t="str">
        <f t="shared" ref="N4723:N4729" si="88">"2480137452  "</f>
        <v xml:space="preserve">2480137452  </v>
      </c>
      <c r="O4723">
        <v>230216</v>
      </c>
    </row>
    <row r="4724" spans="1:15" x14ac:dyDescent="0.25">
      <c r="A4724" t="s">
        <v>16</v>
      </c>
      <c r="B4724" t="s">
        <v>3221</v>
      </c>
      <c r="C4724">
        <v>1936</v>
      </c>
      <c r="D4724" t="s">
        <v>3233</v>
      </c>
      <c r="E4724" t="s">
        <v>3234</v>
      </c>
      <c r="F4724">
        <v>170.88</v>
      </c>
      <c r="G4724">
        <v>230207</v>
      </c>
      <c r="H4724">
        <v>4940</v>
      </c>
      <c r="I4724" t="s">
        <v>514</v>
      </c>
      <c r="J4724">
        <v>170.88</v>
      </c>
      <c r="K4724">
        <v>0</v>
      </c>
      <c r="L4724">
        <v>17950</v>
      </c>
      <c r="M4724" t="s">
        <v>86</v>
      </c>
      <c r="N4724" t="str">
        <f t="shared" si="88"/>
        <v xml:space="preserve">2480137452  </v>
      </c>
      <c r="O4724">
        <v>230216</v>
      </c>
    </row>
    <row r="4725" spans="1:15" x14ac:dyDescent="0.25">
      <c r="A4725" t="s">
        <v>16</v>
      </c>
      <c r="B4725" t="s">
        <v>3221</v>
      </c>
      <c r="C4725">
        <v>1936</v>
      </c>
      <c r="D4725" t="s">
        <v>3233</v>
      </c>
      <c r="E4725" t="s">
        <v>3234</v>
      </c>
      <c r="F4725">
        <v>192</v>
      </c>
      <c r="G4725">
        <v>230207</v>
      </c>
      <c r="H4725">
        <v>4940</v>
      </c>
      <c r="I4725" t="s">
        <v>514</v>
      </c>
      <c r="J4725">
        <v>192</v>
      </c>
      <c r="K4725">
        <v>0</v>
      </c>
      <c r="L4725">
        <v>17951</v>
      </c>
      <c r="M4725" t="s">
        <v>87</v>
      </c>
      <c r="N4725" t="str">
        <f t="shared" si="88"/>
        <v xml:space="preserve">2480137452  </v>
      </c>
      <c r="O4725">
        <v>230216</v>
      </c>
    </row>
    <row r="4726" spans="1:15" x14ac:dyDescent="0.25">
      <c r="A4726" t="s">
        <v>16</v>
      </c>
      <c r="B4726" t="s">
        <v>3221</v>
      </c>
      <c r="C4726">
        <v>1936</v>
      </c>
      <c r="D4726" t="s">
        <v>3233</v>
      </c>
      <c r="E4726" t="s">
        <v>3234</v>
      </c>
      <c r="F4726">
        <v>384</v>
      </c>
      <c r="G4726">
        <v>230207</v>
      </c>
      <c r="H4726">
        <v>4940</v>
      </c>
      <c r="I4726" t="s">
        <v>514</v>
      </c>
      <c r="J4726">
        <v>384</v>
      </c>
      <c r="K4726">
        <v>0</v>
      </c>
      <c r="L4726">
        <v>49501</v>
      </c>
      <c r="M4726" t="s">
        <v>177</v>
      </c>
      <c r="N4726" t="str">
        <f t="shared" si="88"/>
        <v xml:space="preserve">2480137452  </v>
      </c>
      <c r="O4726">
        <v>230216</v>
      </c>
    </row>
    <row r="4727" spans="1:15" x14ac:dyDescent="0.25">
      <c r="A4727" t="s">
        <v>16</v>
      </c>
      <c r="B4727" t="s">
        <v>3221</v>
      </c>
      <c r="C4727">
        <v>1936</v>
      </c>
      <c r="D4727" t="s">
        <v>3233</v>
      </c>
      <c r="E4727" t="s">
        <v>3234</v>
      </c>
      <c r="F4727">
        <v>192</v>
      </c>
      <c r="G4727">
        <v>230207</v>
      </c>
      <c r="H4727">
        <v>4940</v>
      </c>
      <c r="I4727" t="s">
        <v>514</v>
      </c>
      <c r="J4727">
        <v>192</v>
      </c>
      <c r="K4727">
        <v>0</v>
      </c>
      <c r="L4727">
        <v>49503</v>
      </c>
      <c r="M4727" t="s">
        <v>178</v>
      </c>
      <c r="N4727" t="str">
        <f t="shared" si="88"/>
        <v xml:space="preserve">2480137452  </v>
      </c>
      <c r="O4727">
        <v>230216</v>
      </c>
    </row>
    <row r="4728" spans="1:15" x14ac:dyDescent="0.25">
      <c r="A4728" t="s">
        <v>16</v>
      </c>
      <c r="B4728" t="s">
        <v>3221</v>
      </c>
      <c r="C4728">
        <v>1936</v>
      </c>
      <c r="D4728" t="s">
        <v>3233</v>
      </c>
      <c r="E4728" t="s">
        <v>3234</v>
      </c>
      <c r="F4728">
        <v>117.12</v>
      </c>
      <c r="G4728">
        <v>230207</v>
      </c>
      <c r="H4728">
        <v>4940</v>
      </c>
      <c r="I4728" t="s">
        <v>514</v>
      </c>
      <c r="J4728">
        <v>117.12</v>
      </c>
      <c r="K4728">
        <v>0</v>
      </c>
      <c r="L4728">
        <v>59502</v>
      </c>
      <c r="M4728" t="s">
        <v>70</v>
      </c>
      <c r="N4728" t="str">
        <f t="shared" si="88"/>
        <v xml:space="preserve">2480137452  </v>
      </c>
      <c r="O4728">
        <v>230216</v>
      </c>
    </row>
    <row r="4729" spans="1:15" x14ac:dyDescent="0.25">
      <c r="A4729" t="s">
        <v>16</v>
      </c>
      <c r="B4729" t="s">
        <v>3221</v>
      </c>
      <c r="C4729">
        <v>1936</v>
      </c>
      <c r="D4729" t="s">
        <v>3233</v>
      </c>
      <c r="E4729" t="s">
        <v>3234</v>
      </c>
      <c r="F4729">
        <v>74.88</v>
      </c>
      <c r="G4729">
        <v>230207</v>
      </c>
      <c r="H4729">
        <v>4940</v>
      </c>
      <c r="I4729" t="s">
        <v>514</v>
      </c>
      <c r="J4729">
        <v>74.88</v>
      </c>
      <c r="K4729">
        <v>0</v>
      </c>
      <c r="L4729">
        <v>59802</v>
      </c>
      <c r="M4729" t="s">
        <v>73</v>
      </c>
      <c r="N4729" t="str">
        <f t="shared" si="88"/>
        <v xml:space="preserve">2480137452  </v>
      </c>
      <c r="O4729">
        <v>230216</v>
      </c>
    </row>
    <row r="4730" spans="1:15" x14ac:dyDescent="0.25">
      <c r="A4730" t="s">
        <v>16</v>
      </c>
      <c r="B4730" t="s">
        <v>3221</v>
      </c>
      <c r="C4730">
        <v>2326</v>
      </c>
      <c r="D4730" t="s">
        <v>3233</v>
      </c>
      <c r="E4730" t="s">
        <v>3234</v>
      </c>
      <c r="F4730">
        <v>66.67</v>
      </c>
      <c r="G4730">
        <v>230207</v>
      </c>
      <c r="H4730">
        <v>4940</v>
      </c>
      <c r="I4730" t="s">
        <v>514</v>
      </c>
      <c r="J4730">
        <v>66.67</v>
      </c>
      <c r="K4730">
        <v>0</v>
      </c>
      <c r="L4730">
        <v>11401</v>
      </c>
      <c r="M4730" t="s">
        <v>84</v>
      </c>
      <c r="N4730" t="str">
        <f>"2480137455  "</f>
        <v xml:space="preserve">2480137455  </v>
      </c>
      <c r="O4730">
        <v>230224</v>
      </c>
    </row>
    <row r="4731" spans="1:15" x14ac:dyDescent="0.25">
      <c r="A4731" t="s">
        <v>16</v>
      </c>
      <c r="B4731" t="s">
        <v>3221</v>
      </c>
      <c r="C4731">
        <v>2326</v>
      </c>
      <c r="D4731" t="s">
        <v>3233</v>
      </c>
      <c r="E4731" t="s">
        <v>3234</v>
      </c>
      <c r="F4731">
        <v>125.33</v>
      </c>
      <c r="G4731">
        <v>230207</v>
      </c>
      <c r="H4731">
        <v>4940</v>
      </c>
      <c r="I4731" t="s">
        <v>514</v>
      </c>
      <c r="J4731">
        <v>125.33</v>
      </c>
      <c r="K4731">
        <v>0</v>
      </c>
      <c r="L4731">
        <v>14952</v>
      </c>
      <c r="M4731" t="s">
        <v>99</v>
      </c>
      <c r="N4731" t="str">
        <f>"2480137455  "</f>
        <v xml:space="preserve">2480137455  </v>
      </c>
      <c r="O4731">
        <v>230224</v>
      </c>
    </row>
    <row r="4732" spans="1:15" x14ac:dyDescent="0.25">
      <c r="A4732" t="s">
        <v>16</v>
      </c>
      <c r="B4732" t="s">
        <v>3221</v>
      </c>
      <c r="C4732">
        <v>842</v>
      </c>
      <c r="D4732" t="s">
        <v>768</v>
      </c>
      <c r="E4732" t="s">
        <v>769</v>
      </c>
      <c r="F4732">
        <v>95.4</v>
      </c>
      <c r="G4732">
        <v>230125</v>
      </c>
      <c r="H4732">
        <v>4580</v>
      </c>
      <c r="I4732" t="s">
        <v>35</v>
      </c>
      <c r="J4732">
        <v>118.3</v>
      </c>
      <c r="K4732">
        <v>22.9</v>
      </c>
      <c r="L4732">
        <v>17711</v>
      </c>
      <c r="M4732" t="s">
        <v>65</v>
      </c>
      <c r="N4732" t="str">
        <f>"43718683    "</f>
        <v xml:space="preserve">43718683    </v>
      </c>
      <c r="O4732">
        <v>230131</v>
      </c>
    </row>
    <row r="4733" spans="1:15" x14ac:dyDescent="0.25">
      <c r="A4733" t="s">
        <v>16</v>
      </c>
      <c r="B4733" t="s">
        <v>3221</v>
      </c>
      <c r="C4733">
        <v>1461</v>
      </c>
      <c r="D4733" t="s">
        <v>768</v>
      </c>
      <c r="E4733" t="s">
        <v>769</v>
      </c>
      <c r="F4733">
        <v>90.97</v>
      </c>
      <c r="G4733">
        <v>230203</v>
      </c>
      <c r="H4733">
        <v>4580</v>
      </c>
      <c r="I4733" t="s">
        <v>35</v>
      </c>
      <c r="J4733">
        <v>112.8</v>
      </c>
      <c r="K4733">
        <v>21.83</v>
      </c>
      <c r="L4733">
        <v>17711</v>
      </c>
      <c r="M4733" t="s">
        <v>65</v>
      </c>
      <c r="N4733" t="str">
        <f>"43723071/2  "</f>
        <v xml:space="preserve">43723071/2  </v>
      </c>
      <c r="O4733">
        <v>230209</v>
      </c>
    </row>
    <row r="4734" spans="1:15" x14ac:dyDescent="0.25">
      <c r="A4734" t="s">
        <v>16</v>
      </c>
      <c r="B4734" t="s">
        <v>3221</v>
      </c>
      <c r="C4734">
        <v>1462</v>
      </c>
      <c r="D4734" t="s">
        <v>768</v>
      </c>
      <c r="E4734" t="s">
        <v>769</v>
      </c>
      <c r="F4734">
        <v>-54.07</v>
      </c>
      <c r="G4734">
        <v>230201</v>
      </c>
      <c r="H4734">
        <v>4580</v>
      </c>
      <c r="I4734" t="s">
        <v>35</v>
      </c>
      <c r="J4734">
        <v>-67.05</v>
      </c>
      <c r="K4734">
        <v>-12.98</v>
      </c>
      <c r="L4734">
        <v>17711</v>
      </c>
      <c r="M4734" t="s">
        <v>65</v>
      </c>
      <c r="N4734" t="str">
        <f>"43723089    "</f>
        <v xml:space="preserve">43723089    </v>
      </c>
      <c r="O4734">
        <v>230209</v>
      </c>
    </row>
    <row r="4735" spans="1:15" x14ac:dyDescent="0.25">
      <c r="A4735" t="s">
        <v>16</v>
      </c>
      <c r="B4735" t="s">
        <v>3221</v>
      </c>
      <c r="C4735">
        <v>649</v>
      </c>
      <c r="D4735" t="s">
        <v>667</v>
      </c>
      <c r="E4735" t="s">
        <v>668</v>
      </c>
      <c r="F4735">
        <v>71.77</v>
      </c>
      <c r="G4735">
        <v>230119</v>
      </c>
      <c r="H4735">
        <v>4440</v>
      </c>
      <c r="I4735" t="s">
        <v>250</v>
      </c>
      <c r="J4735">
        <v>88.99</v>
      </c>
      <c r="K4735">
        <v>17.22</v>
      </c>
      <c r="L4735">
        <v>17131</v>
      </c>
      <c r="M4735" t="s">
        <v>64</v>
      </c>
      <c r="N4735" t="str">
        <f>"1021        "</f>
        <v xml:space="preserve">1021        </v>
      </c>
      <c r="O4735">
        <v>230126</v>
      </c>
    </row>
    <row r="4736" spans="1:15" x14ac:dyDescent="0.25">
      <c r="A4736" t="s">
        <v>16</v>
      </c>
      <c r="B4736" t="s">
        <v>3221</v>
      </c>
      <c r="C4736">
        <v>1557</v>
      </c>
      <c r="D4736" t="s">
        <v>667</v>
      </c>
      <c r="E4736" t="s">
        <v>668</v>
      </c>
      <c r="F4736">
        <v>408.06</v>
      </c>
      <c r="G4736">
        <v>230208</v>
      </c>
      <c r="H4736">
        <v>4440</v>
      </c>
      <c r="I4736" t="s">
        <v>250</v>
      </c>
      <c r="J4736">
        <v>505.99</v>
      </c>
      <c r="K4736">
        <v>97.93</v>
      </c>
      <c r="L4736">
        <v>17131</v>
      </c>
      <c r="M4736" t="s">
        <v>64</v>
      </c>
      <c r="N4736" t="str">
        <f>"1028        "</f>
        <v xml:space="preserve">1028        </v>
      </c>
      <c r="O4736">
        <v>230209</v>
      </c>
    </row>
    <row r="4737" spans="1:15" x14ac:dyDescent="0.25">
      <c r="A4737" t="s">
        <v>16</v>
      </c>
      <c r="B4737" t="s">
        <v>3221</v>
      </c>
      <c r="C4737">
        <v>4047</v>
      </c>
      <c r="D4737" t="s">
        <v>1655</v>
      </c>
      <c r="E4737" t="s">
        <v>1656</v>
      </c>
      <c r="F4737">
        <v>264</v>
      </c>
      <c r="G4737">
        <v>230310</v>
      </c>
      <c r="H4737">
        <v>4555</v>
      </c>
      <c r="I4737" t="s">
        <v>481</v>
      </c>
      <c r="J4737">
        <v>327.36</v>
      </c>
      <c r="K4737">
        <v>63.36</v>
      </c>
      <c r="L4737">
        <v>44453</v>
      </c>
      <c r="M4737" t="s">
        <v>492</v>
      </c>
      <c r="N4737" t="str">
        <f>"520794      "</f>
        <v xml:space="preserve">520794      </v>
      </c>
      <c r="O4737">
        <v>230330</v>
      </c>
    </row>
    <row r="4738" spans="1:15" x14ac:dyDescent="0.25">
      <c r="A4738" t="s">
        <v>16</v>
      </c>
      <c r="B4738" t="s">
        <v>3221</v>
      </c>
      <c r="C4738">
        <v>11148</v>
      </c>
      <c r="D4738" t="s">
        <v>3185</v>
      </c>
      <c r="E4738" t="s">
        <v>3186</v>
      </c>
      <c r="F4738">
        <v>391.8</v>
      </c>
      <c r="G4738">
        <v>230824</v>
      </c>
      <c r="H4738">
        <v>4470</v>
      </c>
      <c r="I4738" t="s">
        <v>83</v>
      </c>
      <c r="J4738">
        <v>391.8</v>
      </c>
      <c r="K4738">
        <v>0</v>
      </c>
      <c r="L4738">
        <v>59702</v>
      </c>
      <c r="M4738" t="s">
        <v>328</v>
      </c>
      <c r="N4738" t="str">
        <f>"240823      "</f>
        <v xml:space="preserve">240823      </v>
      </c>
      <c r="O4738">
        <v>230830</v>
      </c>
    </row>
    <row r="4739" spans="1:15" x14ac:dyDescent="0.25">
      <c r="A4739" t="s">
        <v>16</v>
      </c>
      <c r="B4739" t="s">
        <v>3221</v>
      </c>
      <c r="C4739">
        <v>1</v>
      </c>
      <c r="D4739" t="s">
        <v>3185</v>
      </c>
      <c r="E4739" t="s">
        <v>3186</v>
      </c>
      <c r="F4739">
        <v>111.72</v>
      </c>
      <c r="G4739">
        <v>230101</v>
      </c>
      <c r="H4739">
        <v>4370</v>
      </c>
      <c r="I4739" t="s">
        <v>25</v>
      </c>
      <c r="J4739">
        <v>111.72</v>
      </c>
      <c r="K4739">
        <v>0</v>
      </c>
      <c r="L4739">
        <v>13441</v>
      </c>
      <c r="M4739" t="s">
        <v>3187</v>
      </c>
      <c r="N4739" t="str">
        <f>"84223460249 "</f>
        <v xml:space="preserve">84223460249 </v>
      </c>
      <c r="O4739">
        <v>221124</v>
      </c>
    </row>
    <row r="4740" spans="1:15" x14ac:dyDescent="0.25">
      <c r="A4740" t="s">
        <v>16</v>
      </c>
      <c r="B4740" t="s">
        <v>3221</v>
      </c>
      <c r="C4740">
        <v>2</v>
      </c>
      <c r="D4740" t="s">
        <v>3185</v>
      </c>
      <c r="E4740" t="s">
        <v>3186</v>
      </c>
      <c r="F4740">
        <v>54.27</v>
      </c>
      <c r="G4740">
        <v>230101</v>
      </c>
      <c r="H4740">
        <v>4370</v>
      </c>
      <c r="I4740" t="s">
        <v>25</v>
      </c>
      <c r="J4740">
        <v>54.27</v>
      </c>
      <c r="K4740">
        <v>0</v>
      </c>
      <c r="L4740">
        <v>13861</v>
      </c>
      <c r="M4740" t="s">
        <v>1143</v>
      </c>
      <c r="N4740" t="str">
        <f>"84224487632 "</f>
        <v xml:space="preserve">84224487632 </v>
      </c>
      <c r="O4740">
        <v>221124</v>
      </c>
    </row>
    <row r="4741" spans="1:15" x14ac:dyDescent="0.25">
      <c r="A4741" t="s">
        <v>16</v>
      </c>
      <c r="B4741" t="s">
        <v>3221</v>
      </c>
      <c r="C4741">
        <v>3</v>
      </c>
      <c r="D4741" t="s">
        <v>3185</v>
      </c>
      <c r="E4741" t="s">
        <v>3186</v>
      </c>
      <c r="F4741">
        <v>124.82</v>
      </c>
      <c r="G4741">
        <v>230101</v>
      </c>
      <c r="H4741">
        <v>4370</v>
      </c>
      <c r="I4741" t="s">
        <v>25</v>
      </c>
      <c r="J4741">
        <v>124.82</v>
      </c>
      <c r="K4741">
        <v>0</v>
      </c>
      <c r="L4741">
        <v>13661</v>
      </c>
      <c r="M4741" t="s">
        <v>247</v>
      </c>
      <c r="N4741" t="str">
        <f>"84223691652 "</f>
        <v xml:space="preserve">84223691652 </v>
      </c>
      <c r="O4741">
        <v>221128</v>
      </c>
    </row>
    <row r="4742" spans="1:15" x14ac:dyDescent="0.25">
      <c r="A4742" t="s">
        <v>16</v>
      </c>
      <c r="B4742" t="s">
        <v>3221</v>
      </c>
      <c r="C4742">
        <v>4</v>
      </c>
      <c r="D4742" t="s">
        <v>3185</v>
      </c>
      <c r="E4742" t="s">
        <v>3186</v>
      </c>
      <c r="F4742">
        <v>362.69</v>
      </c>
      <c r="G4742">
        <v>230101</v>
      </c>
      <c r="H4742">
        <v>4370</v>
      </c>
      <c r="I4742" t="s">
        <v>25</v>
      </c>
      <c r="J4742">
        <v>362.69</v>
      </c>
      <c r="K4742">
        <v>0</v>
      </c>
      <c r="L4742">
        <v>13540</v>
      </c>
      <c r="M4742" t="s">
        <v>85</v>
      </c>
      <c r="N4742" t="str">
        <f>"84225804735 "</f>
        <v xml:space="preserve">84225804735 </v>
      </c>
      <c r="O4742">
        <v>221129</v>
      </c>
    </row>
    <row r="4743" spans="1:15" x14ac:dyDescent="0.25">
      <c r="A4743" t="s">
        <v>16</v>
      </c>
      <c r="B4743" t="s">
        <v>3221</v>
      </c>
      <c r="C4743">
        <v>4</v>
      </c>
      <c r="D4743" t="s">
        <v>3185</v>
      </c>
      <c r="E4743" t="s">
        <v>3186</v>
      </c>
      <c r="F4743">
        <v>725.38</v>
      </c>
      <c r="G4743">
        <v>230101</v>
      </c>
      <c r="H4743">
        <v>4370</v>
      </c>
      <c r="I4743" t="s">
        <v>25</v>
      </c>
      <c r="J4743">
        <v>725.38</v>
      </c>
      <c r="K4743">
        <v>0</v>
      </c>
      <c r="L4743">
        <v>17950</v>
      </c>
      <c r="M4743" t="s">
        <v>86</v>
      </c>
      <c r="N4743" t="str">
        <f>"84225804735 "</f>
        <v xml:space="preserve">84225804735 </v>
      </c>
      <c r="O4743">
        <v>221129</v>
      </c>
    </row>
    <row r="4744" spans="1:15" x14ac:dyDescent="0.25">
      <c r="A4744" t="s">
        <v>16</v>
      </c>
      <c r="B4744" t="s">
        <v>3221</v>
      </c>
      <c r="C4744">
        <v>5</v>
      </c>
      <c r="D4744" t="s">
        <v>3185</v>
      </c>
      <c r="E4744" t="s">
        <v>3186</v>
      </c>
      <c r="F4744">
        <v>48.35</v>
      </c>
      <c r="G4744">
        <v>230101</v>
      </c>
      <c r="H4744">
        <v>4370</v>
      </c>
      <c r="I4744" t="s">
        <v>25</v>
      </c>
      <c r="J4744">
        <v>48.35</v>
      </c>
      <c r="K4744">
        <v>0</v>
      </c>
      <c r="L4744">
        <v>13540</v>
      </c>
      <c r="M4744" t="s">
        <v>85</v>
      </c>
      <c r="N4744" t="str">
        <f>"84225765748 "</f>
        <v xml:space="preserve">84225765748 </v>
      </c>
      <c r="O4744">
        <v>221129</v>
      </c>
    </row>
    <row r="4745" spans="1:15" x14ac:dyDescent="0.25">
      <c r="A4745" t="s">
        <v>16</v>
      </c>
      <c r="B4745" t="s">
        <v>3221</v>
      </c>
      <c r="C4745">
        <v>5</v>
      </c>
      <c r="D4745" t="s">
        <v>3185</v>
      </c>
      <c r="E4745" t="s">
        <v>3186</v>
      </c>
      <c r="F4745">
        <v>2716.24</v>
      </c>
      <c r="G4745">
        <v>230101</v>
      </c>
      <c r="H4745">
        <v>4370</v>
      </c>
      <c r="I4745" t="s">
        <v>25</v>
      </c>
      <c r="J4745">
        <v>2716.24</v>
      </c>
      <c r="K4745">
        <v>0</v>
      </c>
      <c r="L4745">
        <v>17950</v>
      </c>
      <c r="M4745" t="s">
        <v>86</v>
      </c>
      <c r="N4745" t="str">
        <f>"84225765748 "</f>
        <v xml:space="preserve">84225765748 </v>
      </c>
      <c r="O4745">
        <v>221129</v>
      </c>
    </row>
    <row r="4746" spans="1:15" x14ac:dyDescent="0.25">
      <c r="A4746" t="s">
        <v>16</v>
      </c>
      <c r="B4746" t="s">
        <v>3221</v>
      </c>
      <c r="C4746">
        <v>5</v>
      </c>
      <c r="D4746" t="s">
        <v>3185</v>
      </c>
      <c r="E4746" t="s">
        <v>3186</v>
      </c>
      <c r="F4746">
        <v>229.15</v>
      </c>
      <c r="G4746">
        <v>230101</v>
      </c>
      <c r="H4746">
        <v>4370</v>
      </c>
      <c r="I4746" t="s">
        <v>25</v>
      </c>
      <c r="J4746">
        <v>229.15</v>
      </c>
      <c r="K4746">
        <v>0</v>
      </c>
      <c r="L4746">
        <v>17956</v>
      </c>
      <c r="M4746" t="s">
        <v>53</v>
      </c>
      <c r="N4746" t="str">
        <f>"84225765748 "</f>
        <v xml:space="preserve">84225765748 </v>
      </c>
      <c r="O4746">
        <v>221129</v>
      </c>
    </row>
    <row r="4747" spans="1:15" x14ac:dyDescent="0.25">
      <c r="A4747" t="s">
        <v>16</v>
      </c>
      <c r="B4747" t="s">
        <v>3221</v>
      </c>
      <c r="C4747">
        <v>6</v>
      </c>
      <c r="D4747" t="s">
        <v>3185</v>
      </c>
      <c r="E4747" t="s">
        <v>3186</v>
      </c>
      <c r="F4747">
        <v>663.08</v>
      </c>
      <c r="G4747">
        <v>230101</v>
      </c>
      <c r="H4747">
        <v>4370</v>
      </c>
      <c r="I4747" t="s">
        <v>25</v>
      </c>
      <c r="J4747">
        <v>663.08</v>
      </c>
      <c r="K4747">
        <v>0</v>
      </c>
      <c r="L4747">
        <v>67554</v>
      </c>
      <c r="M4747" t="s">
        <v>60</v>
      </c>
      <c r="N4747" t="str">
        <f>"84225814770 "</f>
        <v xml:space="preserve">84225814770 </v>
      </c>
      <c r="O4747">
        <v>221202</v>
      </c>
    </row>
    <row r="4748" spans="1:15" x14ac:dyDescent="0.25">
      <c r="A4748" t="s">
        <v>16</v>
      </c>
      <c r="B4748" t="s">
        <v>3221</v>
      </c>
      <c r="C4748">
        <v>6</v>
      </c>
      <c r="D4748" t="s">
        <v>3185</v>
      </c>
      <c r="E4748" t="s">
        <v>3186</v>
      </c>
      <c r="F4748">
        <v>2035.19</v>
      </c>
      <c r="G4748">
        <v>230101</v>
      </c>
      <c r="H4748">
        <v>4370</v>
      </c>
      <c r="I4748" t="s">
        <v>25</v>
      </c>
      <c r="J4748">
        <v>2035.19</v>
      </c>
      <c r="K4748">
        <v>0</v>
      </c>
      <c r="L4748">
        <v>69111</v>
      </c>
      <c r="M4748" t="s">
        <v>471</v>
      </c>
      <c r="N4748" t="str">
        <f>"84225814770 "</f>
        <v xml:space="preserve">84225814770 </v>
      </c>
      <c r="O4748">
        <v>221202</v>
      </c>
    </row>
    <row r="4749" spans="1:15" x14ac:dyDescent="0.25">
      <c r="A4749" t="s">
        <v>16</v>
      </c>
      <c r="B4749" t="s">
        <v>3221</v>
      </c>
      <c r="C4749">
        <v>6</v>
      </c>
      <c r="D4749" t="s">
        <v>3185</v>
      </c>
      <c r="E4749" t="s">
        <v>3186</v>
      </c>
      <c r="F4749">
        <v>5531.93</v>
      </c>
      <c r="G4749">
        <v>230101</v>
      </c>
      <c r="H4749">
        <v>4370</v>
      </c>
      <c r="I4749" t="s">
        <v>25</v>
      </c>
      <c r="J4749">
        <v>5531.93</v>
      </c>
      <c r="K4749">
        <v>0</v>
      </c>
      <c r="L4749">
        <v>69501</v>
      </c>
      <c r="M4749" t="s">
        <v>185</v>
      </c>
      <c r="N4749" t="str">
        <f>"84225814770 "</f>
        <v xml:space="preserve">84225814770 </v>
      </c>
      <c r="O4749">
        <v>221202</v>
      </c>
    </row>
    <row r="4750" spans="1:15" x14ac:dyDescent="0.25">
      <c r="A4750" t="s">
        <v>16</v>
      </c>
      <c r="B4750" t="s">
        <v>3221</v>
      </c>
      <c r="C4750">
        <v>6</v>
      </c>
      <c r="D4750" t="s">
        <v>3185</v>
      </c>
      <c r="E4750" t="s">
        <v>3186</v>
      </c>
      <c r="F4750">
        <v>199.58</v>
      </c>
      <c r="G4750">
        <v>230101</v>
      </c>
      <c r="H4750">
        <v>4370</v>
      </c>
      <c r="I4750" t="s">
        <v>25</v>
      </c>
      <c r="J4750">
        <v>199.58</v>
      </c>
      <c r="K4750">
        <v>0</v>
      </c>
      <c r="L4750">
        <v>69704</v>
      </c>
      <c r="M4750" t="s">
        <v>325</v>
      </c>
      <c r="N4750" t="str">
        <f>"84225814770 "</f>
        <v xml:space="preserve">84225814770 </v>
      </c>
      <c r="O4750">
        <v>221202</v>
      </c>
    </row>
    <row r="4751" spans="1:15" x14ac:dyDescent="0.25">
      <c r="A4751" t="s">
        <v>16</v>
      </c>
      <c r="B4751" t="s">
        <v>3221</v>
      </c>
      <c r="C4751">
        <v>6</v>
      </c>
      <c r="D4751" t="s">
        <v>3185</v>
      </c>
      <c r="E4751" t="s">
        <v>3186</v>
      </c>
      <c r="F4751">
        <v>116.93</v>
      </c>
      <c r="G4751">
        <v>230101</v>
      </c>
      <c r="H4751">
        <v>4370</v>
      </c>
      <c r="I4751" t="s">
        <v>25</v>
      </c>
      <c r="J4751">
        <v>116.93</v>
      </c>
      <c r="K4751">
        <v>0</v>
      </c>
      <c r="L4751">
        <v>69803</v>
      </c>
      <c r="M4751" t="s">
        <v>755</v>
      </c>
      <c r="N4751" t="str">
        <f>"84225814770 "</f>
        <v xml:space="preserve">84225814770 </v>
      </c>
      <c r="O4751">
        <v>221202</v>
      </c>
    </row>
    <row r="4752" spans="1:15" x14ac:dyDescent="0.25">
      <c r="A4752" t="s">
        <v>16</v>
      </c>
      <c r="B4752" t="s">
        <v>3221</v>
      </c>
      <c r="C4752">
        <v>10</v>
      </c>
      <c r="D4752" t="s">
        <v>3185</v>
      </c>
      <c r="E4752" t="s">
        <v>3186</v>
      </c>
      <c r="F4752">
        <v>215.77</v>
      </c>
      <c r="G4752">
        <v>230101</v>
      </c>
      <c r="H4752">
        <v>4370</v>
      </c>
      <c r="I4752" t="s">
        <v>25</v>
      </c>
      <c r="J4752">
        <v>215.77</v>
      </c>
      <c r="K4752">
        <v>0</v>
      </c>
      <c r="L4752">
        <v>18951</v>
      </c>
      <c r="M4752" t="s">
        <v>1017</v>
      </c>
      <c r="N4752" t="str">
        <f>"84225805297 "</f>
        <v xml:space="preserve">84225805297 </v>
      </c>
      <c r="O4752">
        <v>221227</v>
      </c>
    </row>
    <row r="4753" spans="1:15" x14ac:dyDescent="0.25">
      <c r="A4753" t="s">
        <v>16</v>
      </c>
      <c r="B4753" t="s">
        <v>3221</v>
      </c>
      <c r="C4753">
        <v>10</v>
      </c>
      <c r="D4753" t="s">
        <v>3185</v>
      </c>
      <c r="E4753" t="s">
        <v>3186</v>
      </c>
      <c r="F4753">
        <v>23.31</v>
      </c>
      <c r="G4753">
        <v>230101</v>
      </c>
      <c r="H4753">
        <v>4370</v>
      </c>
      <c r="I4753" t="s">
        <v>25</v>
      </c>
      <c r="J4753">
        <v>23.31</v>
      </c>
      <c r="K4753">
        <v>0</v>
      </c>
      <c r="L4753">
        <v>54222</v>
      </c>
      <c r="M4753" t="s">
        <v>308</v>
      </c>
      <c r="N4753" t="str">
        <f>"84225805297 "</f>
        <v xml:space="preserve">84225805297 </v>
      </c>
      <c r="O4753">
        <v>221227</v>
      </c>
    </row>
    <row r="4754" spans="1:15" x14ac:dyDescent="0.25">
      <c r="A4754" t="s">
        <v>16</v>
      </c>
      <c r="B4754" t="s">
        <v>3221</v>
      </c>
      <c r="C4754">
        <v>10</v>
      </c>
      <c r="D4754" t="s">
        <v>3185</v>
      </c>
      <c r="E4754" t="s">
        <v>3186</v>
      </c>
      <c r="F4754">
        <v>138.34</v>
      </c>
      <c r="G4754">
        <v>230101</v>
      </c>
      <c r="H4754">
        <v>4370</v>
      </c>
      <c r="I4754" t="s">
        <v>25</v>
      </c>
      <c r="J4754">
        <v>138.34</v>
      </c>
      <c r="K4754">
        <v>0</v>
      </c>
      <c r="L4754">
        <v>55222</v>
      </c>
      <c r="M4754" t="s">
        <v>873</v>
      </c>
      <c r="N4754" t="str">
        <f>"84225805297 "</f>
        <v xml:space="preserve">84225805297 </v>
      </c>
      <c r="O4754">
        <v>221227</v>
      </c>
    </row>
    <row r="4755" spans="1:15" x14ac:dyDescent="0.25">
      <c r="A4755" t="s">
        <v>16</v>
      </c>
      <c r="B4755" t="s">
        <v>3221</v>
      </c>
      <c r="C4755">
        <v>10</v>
      </c>
      <c r="D4755" t="s">
        <v>3185</v>
      </c>
      <c r="E4755" t="s">
        <v>3186</v>
      </c>
      <c r="F4755">
        <v>299.94</v>
      </c>
      <c r="G4755">
        <v>230101</v>
      </c>
      <c r="H4755">
        <v>4370</v>
      </c>
      <c r="I4755" t="s">
        <v>25</v>
      </c>
      <c r="J4755">
        <v>299.94</v>
      </c>
      <c r="K4755">
        <v>0</v>
      </c>
      <c r="L4755">
        <v>59112</v>
      </c>
      <c r="M4755" t="s">
        <v>182</v>
      </c>
      <c r="N4755" t="str">
        <f>"84225805297 "</f>
        <v xml:space="preserve">84225805297 </v>
      </c>
      <c r="O4755">
        <v>221227</v>
      </c>
    </row>
    <row r="4756" spans="1:15" x14ac:dyDescent="0.25">
      <c r="A4756" t="s">
        <v>16</v>
      </c>
      <c r="B4756" t="s">
        <v>3221</v>
      </c>
      <c r="C4756">
        <v>10</v>
      </c>
      <c r="D4756" t="s">
        <v>3185</v>
      </c>
      <c r="E4756" t="s">
        <v>3186</v>
      </c>
      <c r="F4756">
        <v>316.36</v>
      </c>
      <c r="G4756">
        <v>230101</v>
      </c>
      <c r="H4756">
        <v>4370</v>
      </c>
      <c r="I4756" t="s">
        <v>25</v>
      </c>
      <c r="J4756">
        <v>316.36</v>
      </c>
      <c r="K4756">
        <v>0</v>
      </c>
      <c r="L4756">
        <v>59504</v>
      </c>
      <c r="M4756" t="s">
        <v>71</v>
      </c>
      <c r="N4756" t="str">
        <f>"84225805297 "</f>
        <v xml:space="preserve">84225805297 </v>
      </c>
      <c r="O4756">
        <v>221227</v>
      </c>
    </row>
    <row r="4757" spans="1:15" x14ac:dyDescent="0.25">
      <c r="A4757" t="s">
        <v>16</v>
      </c>
      <c r="B4757" t="s">
        <v>3221</v>
      </c>
      <c r="C4757">
        <v>11</v>
      </c>
      <c r="D4757" t="s">
        <v>3185</v>
      </c>
      <c r="E4757" t="s">
        <v>3186</v>
      </c>
      <c r="F4757">
        <v>275.05</v>
      </c>
      <c r="G4757">
        <v>230101</v>
      </c>
      <c r="H4757">
        <v>4370</v>
      </c>
      <c r="I4757" t="s">
        <v>25</v>
      </c>
      <c r="J4757">
        <v>275.05</v>
      </c>
      <c r="K4757">
        <v>0</v>
      </c>
      <c r="L4757">
        <v>59505</v>
      </c>
      <c r="M4757" t="s">
        <v>72</v>
      </c>
      <c r="N4757" t="str">
        <f>"84225828533 "</f>
        <v xml:space="preserve">84225828533 </v>
      </c>
      <c r="O4757">
        <v>221227</v>
      </c>
    </row>
    <row r="4758" spans="1:15" x14ac:dyDescent="0.25">
      <c r="A4758" t="s">
        <v>16</v>
      </c>
      <c r="B4758" t="s">
        <v>3221</v>
      </c>
      <c r="C4758">
        <v>11</v>
      </c>
      <c r="D4758" t="s">
        <v>3185</v>
      </c>
      <c r="E4758" t="s">
        <v>3186</v>
      </c>
      <c r="F4758">
        <v>115.92</v>
      </c>
      <c r="G4758">
        <v>230101</v>
      </c>
      <c r="H4758">
        <v>4370</v>
      </c>
      <c r="I4758" t="s">
        <v>25</v>
      </c>
      <c r="J4758">
        <v>115.92</v>
      </c>
      <c r="K4758">
        <v>0</v>
      </c>
      <c r="L4758">
        <v>59812</v>
      </c>
      <c r="M4758" t="s">
        <v>74</v>
      </c>
      <c r="N4758" t="str">
        <f>"84225828533 "</f>
        <v xml:space="preserve">84225828533 </v>
      </c>
      <c r="O4758">
        <v>221227</v>
      </c>
    </row>
    <row r="4759" spans="1:15" x14ac:dyDescent="0.25">
      <c r="A4759" t="s">
        <v>16</v>
      </c>
      <c r="B4759" t="s">
        <v>3221</v>
      </c>
      <c r="C4759">
        <v>11</v>
      </c>
      <c r="D4759" t="s">
        <v>3185</v>
      </c>
      <c r="E4759" t="s">
        <v>3186</v>
      </c>
      <c r="F4759">
        <v>118.03</v>
      </c>
      <c r="G4759">
        <v>230101</v>
      </c>
      <c r="H4759">
        <v>4370</v>
      </c>
      <c r="I4759" t="s">
        <v>25</v>
      </c>
      <c r="J4759">
        <v>118.03</v>
      </c>
      <c r="K4759">
        <v>0</v>
      </c>
      <c r="L4759">
        <v>59813</v>
      </c>
      <c r="M4759" t="s">
        <v>915</v>
      </c>
      <c r="N4759" t="str">
        <f>"84225828533 "</f>
        <v xml:space="preserve">84225828533 </v>
      </c>
      <c r="O4759">
        <v>221227</v>
      </c>
    </row>
    <row r="4760" spans="1:15" x14ac:dyDescent="0.25">
      <c r="A4760" t="s">
        <v>16</v>
      </c>
      <c r="B4760" t="s">
        <v>3221</v>
      </c>
      <c r="C4760">
        <v>15</v>
      </c>
      <c r="D4760" t="s">
        <v>3185</v>
      </c>
      <c r="E4760" t="s">
        <v>3186</v>
      </c>
      <c r="F4760">
        <v>28.47</v>
      </c>
      <c r="G4760">
        <v>230101</v>
      </c>
      <c r="H4760">
        <v>4370</v>
      </c>
      <c r="I4760" t="s">
        <v>25</v>
      </c>
      <c r="J4760">
        <v>28.47</v>
      </c>
      <c r="K4760">
        <v>0</v>
      </c>
      <c r="L4760">
        <v>13201</v>
      </c>
      <c r="M4760" t="s">
        <v>161</v>
      </c>
      <c r="N4760" t="str">
        <f t="shared" ref="N4760:N4768" si="89">"84226864295 "</f>
        <v xml:space="preserve">84226864295 </v>
      </c>
      <c r="O4760">
        <v>221228</v>
      </c>
    </row>
    <row r="4761" spans="1:15" x14ac:dyDescent="0.25">
      <c r="A4761" t="s">
        <v>16</v>
      </c>
      <c r="B4761" t="s">
        <v>3221</v>
      </c>
      <c r="C4761">
        <v>15</v>
      </c>
      <c r="D4761" t="s">
        <v>3185</v>
      </c>
      <c r="E4761" t="s">
        <v>3186</v>
      </c>
      <c r="F4761">
        <v>297.60000000000002</v>
      </c>
      <c r="G4761">
        <v>230101</v>
      </c>
      <c r="H4761">
        <v>4370</v>
      </c>
      <c r="I4761" t="s">
        <v>25</v>
      </c>
      <c r="J4761">
        <v>297.60000000000002</v>
      </c>
      <c r="K4761">
        <v>0</v>
      </c>
      <c r="L4761">
        <v>13401</v>
      </c>
      <c r="M4761" t="s">
        <v>80</v>
      </c>
      <c r="N4761" t="str">
        <f t="shared" si="89"/>
        <v xml:space="preserve">84226864295 </v>
      </c>
      <c r="O4761">
        <v>221228</v>
      </c>
    </row>
    <row r="4762" spans="1:15" x14ac:dyDescent="0.25">
      <c r="A4762" t="s">
        <v>16</v>
      </c>
      <c r="B4762" t="s">
        <v>3221</v>
      </c>
      <c r="C4762">
        <v>15</v>
      </c>
      <c r="D4762" t="s">
        <v>3185</v>
      </c>
      <c r="E4762" t="s">
        <v>3186</v>
      </c>
      <c r="F4762">
        <v>212.2</v>
      </c>
      <c r="G4762">
        <v>230101</v>
      </c>
      <c r="H4762">
        <v>4370</v>
      </c>
      <c r="I4762" t="s">
        <v>25</v>
      </c>
      <c r="J4762">
        <v>212.2</v>
      </c>
      <c r="K4762">
        <v>0</v>
      </c>
      <c r="L4762">
        <v>13501</v>
      </c>
      <c r="M4762" t="s">
        <v>20</v>
      </c>
      <c r="N4762" t="str">
        <f t="shared" si="89"/>
        <v xml:space="preserve">84226864295 </v>
      </c>
      <c r="O4762">
        <v>221228</v>
      </c>
    </row>
    <row r="4763" spans="1:15" x14ac:dyDescent="0.25">
      <c r="A4763" t="s">
        <v>16</v>
      </c>
      <c r="B4763" t="s">
        <v>3221</v>
      </c>
      <c r="C4763">
        <v>15</v>
      </c>
      <c r="D4763" t="s">
        <v>3185</v>
      </c>
      <c r="E4763" t="s">
        <v>3186</v>
      </c>
      <c r="F4763">
        <v>893.89</v>
      </c>
      <c r="G4763">
        <v>230101</v>
      </c>
      <c r="H4763">
        <v>4370</v>
      </c>
      <c r="I4763" t="s">
        <v>25</v>
      </c>
      <c r="J4763">
        <v>893.89</v>
      </c>
      <c r="K4763">
        <v>0</v>
      </c>
      <c r="L4763">
        <v>18010</v>
      </c>
      <c r="M4763" t="s">
        <v>1344</v>
      </c>
      <c r="N4763" t="str">
        <f t="shared" si="89"/>
        <v xml:space="preserve">84226864295 </v>
      </c>
      <c r="O4763">
        <v>221228</v>
      </c>
    </row>
    <row r="4764" spans="1:15" x14ac:dyDescent="0.25">
      <c r="A4764" t="s">
        <v>16</v>
      </c>
      <c r="B4764" t="s">
        <v>3221</v>
      </c>
      <c r="C4764">
        <v>15</v>
      </c>
      <c r="D4764" t="s">
        <v>3185</v>
      </c>
      <c r="E4764" t="s">
        <v>3186</v>
      </c>
      <c r="F4764">
        <v>50.19</v>
      </c>
      <c r="G4764">
        <v>230101</v>
      </c>
      <c r="H4764">
        <v>4370</v>
      </c>
      <c r="I4764" t="s">
        <v>25</v>
      </c>
      <c r="J4764">
        <v>50.19</v>
      </c>
      <c r="K4764">
        <v>0</v>
      </c>
      <c r="L4764">
        <v>18010</v>
      </c>
      <c r="M4764" t="s">
        <v>1344</v>
      </c>
      <c r="N4764" t="str">
        <f t="shared" si="89"/>
        <v xml:space="preserve">84226864295 </v>
      </c>
      <c r="O4764">
        <v>221228</v>
      </c>
    </row>
    <row r="4765" spans="1:15" x14ac:dyDescent="0.25">
      <c r="A4765" t="s">
        <v>16</v>
      </c>
      <c r="B4765" t="s">
        <v>3221</v>
      </c>
      <c r="C4765">
        <v>15</v>
      </c>
      <c r="D4765" t="s">
        <v>3185</v>
      </c>
      <c r="E4765" t="s">
        <v>3186</v>
      </c>
      <c r="F4765">
        <v>8556.9599999999991</v>
      </c>
      <c r="G4765">
        <v>230101</v>
      </c>
      <c r="H4765">
        <v>4370</v>
      </c>
      <c r="I4765" t="s">
        <v>25</v>
      </c>
      <c r="J4765">
        <v>8556.9599999999991</v>
      </c>
      <c r="K4765">
        <v>0</v>
      </c>
      <c r="L4765">
        <v>18010</v>
      </c>
      <c r="M4765" t="s">
        <v>1344</v>
      </c>
      <c r="N4765" t="str">
        <f t="shared" si="89"/>
        <v xml:space="preserve">84226864295 </v>
      </c>
      <c r="O4765">
        <v>221228</v>
      </c>
    </row>
    <row r="4766" spans="1:15" x14ac:dyDescent="0.25">
      <c r="A4766" t="s">
        <v>16</v>
      </c>
      <c r="B4766" t="s">
        <v>3221</v>
      </c>
      <c r="C4766">
        <v>15</v>
      </c>
      <c r="D4766" t="s">
        <v>3185</v>
      </c>
      <c r="E4766" t="s">
        <v>3186</v>
      </c>
      <c r="F4766">
        <v>3125.24</v>
      </c>
      <c r="G4766">
        <v>230101</v>
      </c>
      <c r="H4766">
        <v>4370</v>
      </c>
      <c r="I4766" t="s">
        <v>25</v>
      </c>
      <c r="J4766">
        <v>3125.24</v>
      </c>
      <c r="K4766">
        <v>0</v>
      </c>
      <c r="L4766">
        <v>18010</v>
      </c>
      <c r="M4766" t="s">
        <v>1344</v>
      </c>
      <c r="N4766" t="str">
        <f t="shared" si="89"/>
        <v xml:space="preserve">84226864295 </v>
      </c>
      <c r="O4766">
        <v>221228</v>
      </c>
    </row>
    <row r="4767" spans="1:15" x14ac:dyDescent="0.25">
      <c r="A4767" t="s">
        <v>16</v>
      </c>
      <c r="B4767" t="s">
        <v>3221</v>
      </c>
      <c r="C4767">
        <v>15</v>
      </c>
      <c r="D4767" t="s">
        <v>3185</v>
      </c>
      <c r="E4767" t="s">
        <v>3186</v>
      </c>
      <c r="F4767">
        <v>882.83</v>
      </c>
      <c r="G4767">
        <v>230101</v>
      </c>
      <c r="H4767">
        <v>4370</v>
      </c>
      <c r="I4767" t="s">
        <v>25</v>
      </c>
      <c r="J4767">
        <v>882.83</v>
      </c>
      <c r="K4767">
        <v>0</v>
      </c>
      <c r="L4767">
        <v>18010</v>
      </c>
      <c r="M4767" t="s">
        <v>1344</v>
      </c>
      <c r="N4767" t="str">
        <f t="shared" si="89"/>
        <v xml:space="preserve">84226864295 </v>
      </c>
      <c r="O4767">
        <v>221228</v>
      </c>
    </row>
    <row r="4768" spans="1:15" x14ac:dyDescent="0.25">
      <c r="A4768" t="s">
        <v>16</v>
      </c>
      <c r="B4768" t="s">
        <v>3221</v>
      </c>
      <c r="C4768">
        <v>15</v>
      </c>
      <c r="D4768" t="s">
        <v>3185</v>
      </c>
      <c r="E4768" t="s">
        <v>3186</v>
      </c>
      <c r="F4768">
        <v>192.94</v>
      </c>
      <c r="G4768">
        <v>230101</v>
      </c>
      <c r="H4768">
        <v>4370</v>
      </c>
      <c r="I4768" t="s">
        <v>25</v>
      </c>
      <c r="J4768">
        <v>192.94</v>
      </c>
      <c r="K4768">
        <v>0</v>
      </c>
      <c r="L4768">
        <v>18010</v>
      </c>
      <c r="M4768" t="s">
        <v>1344</v>
      </c>
      <c r="N4768" t="str">
        <f t="shared" si="89"/>
        <v xml:space="preserve">84226864295 </v>
      </c>
      <c r="O4768">
        <v>221228</v>
      </c>
    </row>
    <row r="4769" spans="1:15" x14ac:dyDescent="0.25">
      <c r="A4769" t="s">
        <v>16</v>
      </c>
      <c r="B4769" t="s">
        <v>3221</v>
      </c>
      <c r="C4769">
        <v>16</v>
      </c>
      <c r="D4769" t="s">
        <v>3185</v>
      </c>
      <c r="E4769" t="s">
        <v>3186</v>
      </c>
      <c r="F4769">
        <v>271.89999999999998</v>
      </c>
      <c r="G4769">
        <v>230101</v>
      </c>
      <c r="H4769">
        <v>4370</v>
      </c>
      <c r="I4769" t="s">
        <v>25</v>
      </c>
      <c r="J4769">
        <v>271.89999999999998</v>
      </c>
      <c r="K4769">
        <v>0</v>
      </c>
      <c r="L4769">
        <v>46554</v>
      </c>
      <c r="M4769" t="s">
        <v>117</v>
      </c>
      <c r="N4769" t="str">
        <f t="shared" ref="N4769:N4774" si="90">"84227352340 "</f>
        <v xml:space="preserve">84227352340 </v>
      </c>
      <c r="O4769">
        <v>221228</v>
      </c>
    </row>
    <row r="4770" spans="1:15" x14ac:dyDescent="0.25">
      <c r="A4770" t="s">
        <v>16</v>
      </c>
      <c r="B4770" t="s">
        <v>3221</v>
      </c>
      <c r="C4770">
        <v>16</v>
      </c>
      <c r="D4770" t="s">
        <v>3185</v>
      </c>
      <c r="E4770" t="s">
        <v>3186</v>
      </c>
      <c r="F4770">
        <v>29.71</v>
      </c>
      <c r="G4770">
        <v>230101</v>
      </c>
      <c r="H4770">
        <v>4370</v>
      </c>
      <c r="I4770" t="s">
        <v>25</v>
      </c>
      <c r="J4770">
        <v>29.71</v>
      </c>
      <c r="K4770">
        <v>0</v>
      </c>
      <c r="L4770">
        <v>46555</v>
      </c>
      <c r="M4770" t="s">
        <v>597</v>
      </c>
      <c r="N4770" t="str">
        <f t="shared" si="90"/>
        <v xml:space="preserve">84227352340 </v>
      </c>
      <c r="O4770">
        <v>221228</v>
      </c>
    </row>
    <row r="4771" spans="1:15" x14ac:dyDescent="0.25">
      <c r="A4771" t="s">
        <v>16</v>
      </c>
      <c r="B4771" t="s">
        <v>3221</v>
      </c>
      <c r="C4771">
        <v>16</v>
      </c>
      <c r="D4771" t="s">
        <v>3185</v>
      </c>
      <c r="E4771" t="s">
        <v>3186</v>
      </c>
      <c r="F4771">
        <v>10.39</v>
      </c>
      <c r="G4771">
        <v>230101</v>
      </c>
      <c r="H4771">
        <v>4370</v>
      </c>
      <c r="I4771" t="s">
        <v>25</v>
      </c>
      <c r="J4771">
        <v>10.39</v>
      </c>
      <c r="K4771">
        <v>0</v>
      </c>
      <c r="L4771">
        <v>46557</v>
      </c>
      <c r="M4771" t="s">
        <v>221</v>
      </c>
      <c r="N4771" t="str">
        <f t="shared" si="90"/>
        <v xml:space="preserve">84227352340 </v>
      </c>
      <c r="O4771">
        <v>221228</v>
      </c>
    </row>
    <row r="4772" spans="1:15" x14ac:dyDescent="0.25">
      <c r="A4772" t="s">
        <v>16</v>
      </c>
      <c r="B4772" t="s">
        <v>3221</v>
      </c>
      <c r="C4772">
        <v>16</v>
      </c>
      <c r="D4772" t="s">
        <v>3185</v>
      </c>
      <c r="E4772" t="s">
        <v>3186</v>
      </c>
      <c r="F4772">
        <v>243</v>
      </c>
      <c r="G4772">
        <v>230101</v>
      </c>
      <c r="H4772">
        <v>4370</v>
      </c>
      <c r="I4772" t="s">
        <v>25</v>
      </c>
      <c r="J4772">
        <v>243</v>
      </c>
      <c r="K4772">
        <v>0</v>
      </c>
      <c r="L4772">
        <v>47522</v>
      </c>
      <c r="M4772" t="s">
        <v>410</v>
      </c>
      <c r="N4772" t="str">
        <f t="shared" si="90"/>
        <v xml:space="preserve">84227352340 </v>
      </c>
      <c r="O4772">
        <v>221228</v>
      </c>
    </row>
    <row r="4773" spans="1:15" x14ac:dyDescent="0.25">
      <c r="A4773" t="s">
        <v>16</v>
      </c>
      <c r="B4773" t="s">
        <v>3221</v>
      </c>
      <c r="C4773">
        <v>16</v>
      </c>
      <c r="D4773" t="s">
        <v>3185</v>
      </c>
      <c r="E4773" t="s">
        <v>3186</v>
      </c>
      <c r="F4773">
        <v>1194.8699999999999</v>
      </c>
      <c r="G4773">
        <v>230101</v>
      </c>
      <c r="H4773">
        <v>4370</v>
      </c>
      <c r="I4773" t="s">
        <v>25</v>
      </c>
      <c r="J4773">
        <v>1194.8699999999999</v>
      </c>
      <c r="K4773">
        <v>0</v>
      </c>
      <c r="L4773">
        <v>49501</v>
      </c>
      <c r="M4773" t="s">
        <v>177</v>
      </c>
      <c r="N4773" t="str">
        <f t="shared" si="90"/>
        <v xml:space="preserve">84227352340 </v>
      </c>
      <c r="O4773">
        <v>221228</v>
      </c>
    </row>
    <row r="4774" spans="1:15" x14ac:dyDescent="0.25">
      <c r="A4774" t="s">
        <v>16</v>
      </c>
      <c r="B4774" t="s">
        <v>3221</v>
      </c>
      <c r="C4774">
        <v>16</v>
      </c>
      <c r="D4774" t="s">
        <v>3185</v>
      </c>
      <c r="E4774" t="s">
        <v>3186</v>
      </c>
      <c r="F4774">
        <v>98.59</v>
      </c>
      <c r="G4774">
        <v>230101</v>
      </c>
      <c r="H4774">
        <v>4370</v>
      </c>
      <c r="I4774" t="s">
        <v>25</v>
      </c>
      <c r="J4774">
        <v>98.59</v>
      </c>
      <c r="K4774">
        <v>0</v>
      </c>
      <c r="L4774">
        <v>49503</v>
      </c>
      <c r="M4774" t="s">
        <v>178</v>
      </c>
      <c r="N4774" t="str">
        <f t="shared" si="90"/>
        <v xml:space="preserve">84227352340 </v>
      </c>
      <c r="O4774">
        <v>221228</v>
      </c>
    </row>
    <row r="4775" spans="1:15" x14ac:dyDescent="0.25">
      <c r="A4775" t="s">
        <v>16</v>
      </c>
      <c r="B4775" t="s">
        <v>3221</v>
      </c>
      <c r="C4775">
        <v>18</v>
      </c>
      <c r="D4775" t="s">
        <v>3185</v>
      </c>
      <c r="E4775" t="s">
        <v>3186</v>
      </c>
      <c r="F4775">
        <v>171.6</v>
      </c>
      <c r="G4775">
        <v>230101</v>
      </c>
      <c r="H4775">
        <v>4370</v>
      </c>
      <c r="I4775" t="s">
        <v>25</v>
      </c>
      <c r="J4775">
        <v>171.6</v>
      </c>
      <c r="K4775">
        <v>0</v>
      </c>
      <c r="L4775">
        <v>17802</v>
      </c>
      <c r="M4775" t="s">
        <v>174</v>
      </c>
      <c r="N4775" t="str">
        <f t="shared" ref="N4775:N4780" si="91">"84225865127 "</f>
        <v xml:space="preserve">84225865127 </v>
      </c>
      <c r="O4775">
        <v>221229</v>
      </c>
    </row>
    <row r="4776" spans="1:15" x14ac:dyDescent="0.25">
      <c r="A4776" t="s">
        <v>16</v>
      </c>
      <c r="B4776" t="s">
        <v>3221</v>
      </c>
      <c r="C4776">
        <v>18</v>
      </c>
      <c r="D4776" t="s">
        <v>3185</v>
      </c>
      <c r="E4776" t="s">
        <v>3186</v>
      </c>
      <c r="F4776">
        <v>19.93</v>
      </c>
      <c r="G4776">
        <v>230101</v>
      </c>
      <c r="H4776">
        <v>4370</v>
      </c>
      <c r="I4776" t="s">
        <v>25</v>
      </c>
      <c r="J4776">
        <v>19.93</v>
      </c>
      <c r="K4776">
        <v>0</v>
      </c>
      <c r="L4776">
        <v>17806</v>
      </c>
      <c r="M4776" t="s">
        <v>265</v>
      </c>
      <c r="N4776" t="str">
        <f t="shared" si="91"/>
        <v xml:space="preserve">84225865127 </v>
      </c>
      <c r="O4776">
        <v>221229</v>
      </c>
    </row>
    <row r="4777" spans="1:15" x14ac:dyDescent="0.25">
      <c r="A4777" t="s">
        <v>16</v>
      </c>
      <c r="B4777" t="s">
        <v>3221</v>
      </c>
      <c r="C4777">
        <v>18</v>
      </c>
      <c r="D4777" t="s">
        <v>3185</v>
      </c>
      <c r="E4777" t="s">
        <v>3186</v>
      </c>
      <c r="F4777">
        <v>19.93</v>
      </c>
      <c r="G4777">
        <v>230101</v>
      </c>
      <c r="H4777">
        <v>4370</v>
      </c>
      <c r="I4777" t="s">
        <v>25</v>
      </c>
      <c r="J4777">
        <v>19.93</v>
      </c>
      <c r="K4777">
        <v>0</v>
      </c>
      <c r="L4777">
        <v>46556</v>
      </c>
      <c r="M4777" t="s">
        <v>125</v>
      </c>
      <c r="N4777" t="str">
        <f t="shared" si="91"/>
        <v xml:space="preserve">84225865127 </v>
      </c>
      <c r="O4777">
        <v>221229</v>
      </c>
    </row>
    <row r="4778" spans="1:15" x14ac:dyDescent="0.25">
      <c r="A4778" t="s">
        <v>16</v>
      </c>
      <c r="B4778" t="s">
        <v>3221</v>
      </c>
      <c r="C4778">
        <v>18</v>
      </c>
      <c r="D4778" t="s">
        <v>3185</v>
      </c>
      <c r="E4778" t="s">
        <v>3186</v>
      </c>
      <c r="F4778">
        <v>171.6</v>
      </c>
      <c r="G4778">
        <v>230101</v>
      </c>
      <c r="H4778">
        <v>4370</v>
      </c>
      <c r="I4778" t="s">
        <v>25</v>
      </c>
      <c r="J4778">
        <v>171.6</v>
      </c>
      <c r="K4778">
        <v>0</v>
      </c>
      <c r="L4778">
        <v>46557</v>
      </c>
      <c r="M4778" t="s">
        <v>221</v>
      </c>
      <c r="N4778" t="str">
        <f t="shared" si="91"/>
        <v xml:space="preserve">84225865127 </v>
      </c>
      <c r="O4778">
        <v>221229</v>
      </c>
    </row>
    <row r="4779" spans="1:15" x14ac:dyDescent="0.25">
      <c r="A4779" t="s">
        <v>16</v>
      </c>
      <c r="B4779" t="s">
        <v>3221</v>
      </c>
      <c r="C4779">
        <v>18</v>
      </c>
      <c r="D4779" t="s">
        <v>3185</v>
      </c>
      <c r="E4779" t="s">
        <v>3186</v>
      </c>
      <c r="F4779">
        <v>171.6</v>
      </c>
      <c r="G4779">
        <v>230101</v>
      </c>
      <c r="H4779">
        <v>4370</v>
      </c>
      <c r="I4779" t="s">
        <v>25</v>
      </c>
      <c r="J4779">
        <v>171.6</v>
      </c>
      <c r="K4779">
        <v>0</v>
      </c>
      <c r="L4779">
        <v>56559</v>
      </c>
      <c r="M4779" t="s">
        <v>129</v>
      </c>
      <c r="N4779" t="str">
        <f t="shared" si="91"/>
        <v xml:space="preserve">84225865127 </v>
      </c>
      <c r="O4779">
        <v>221229</v>
      </c>
    </row>
    <row r="4780" spans="1:15" x14ac:dyDescent="0.25">
      <c r="A4780" t="s">
        <v>16</v>
      </c>
      <c r="B4780" t="s">
        <v>3221</v>
      </c>
      <c r="C4780">
        <v>18</v>
      </c>
      <c r="D4780" t="s">
        <v>3185</v>
      </c>
      <c r="E4780" t="s">
        <v>3186</v>
      </c>
      <c r="F4780">
        <v>19.93</v>
      </c>
      <c r="G4780">
        <v>230101</v>
      </c>
      <c r="H4780">
        <v>4370</v>
      </c>
      <c r="I4780" t="s">
        <v>25</v>
      </c>
      <c r="J4780">
        <v>19.93</v>
      </c>
      <c r="K4780">
        <v>0</v>
      </c>
      <c r="L4780">
        <v>56562</v>
      </c>
      <c r="M4780" t="s">
        <v>126</v>
      </c>
      <c r="N4780" t="str">
        <f t="shared" si="91"/>
        <v xml:space="preserve">84225865127 </v>
      </c>
      <c r="O4780">
        <v>221229</v>
      </c>
    </row>
    <row r="4781" spans="1:15" x14ac:dyDescent="0.25">
      <c r="A4781" t="s">
        <v>16</v>
      </c>
      <c r="B4781" t="s">
        <v>3221</v>
      </c>
      <c r="C4781">
        <v>25</v>
      </c>
      <c r="D4781" t="s">
        <v>3185</v>
      </c>
      <c r="E4781" t="s">
        <v>3186</v>
      </c>
      <c r="F4781">
        <v>251.8</v>
      </c>
      <c r="G4781">
        <v>230101</v>
      </c>
      <c r="H4781">
        <v>4370</v>
      </c>
      <c r="I4781" t="s">
        <v>25</v>
      </c>
      <c r="J4781">
        <v>251.8</v>
      </c>
      <c r="K4781">
        <v>0</v>
      </c>
      <c r="L4781">
        <v>56558</v>
      </c>
      <c r="M4781" t="s">
        <v>217</v>
      </c>
      <c r="N4781" t="str">
        <f t="shared" ref="N4781:N4790" si="92">"84226010353 "</f>
        <v xml:space="preserve">84226010353 </v>
      </c>
      <c r="O4781">
        <v>221229</v>
      </c>
    </row>
    <row r="4782" spans="1:15" x14ac:dyDescent="0.25">
      <c r="A4782" t="s">
        <v>16</v>
      </c>
      <c r="B4782" t="s">
        <v>3221</v>
      </c>
      <c r="C4782">
        <v>25</v>
      </c>
      <c r="D4782" t="s">
        <v>3185</v>
      </c>
      <c r="E4782" t="s">
        <v>3186</v>
      </c>
      <c r="F4782">
        <v>53.2</v>
      </c>
      <c r="G4782">
        <v>230101</v>
      </c>
      <c r="H4782">
        <v>4370</v>
      </c>
      <c r="I4782" t="s">
        <v>25</v>
      </c>
      <c r="J4782">
        <v>53.2</v>
      </c>
      <c r="K4782">
        <v>0</v>
      </c>
      <c r="L4782">
        <v>56559</v>
      </c>
      <c r="M4782" t="s">
        <v>129</v>
      </c>
      <c r="N4782" t="str">
        <f t="shared" si="92"/>
        <v xml:space="preserve">84226010353 </v>
      </c>
      <c r="O4782">
        <v>221229</v>
      </c>
    </row>
    <row r="4783" spans="1:15" x14ac:dyDescent="0.25">
      <c r="A4783" t="s">
        <v>16</v>
      </c>
      <c r="B4783" t="s">
        <v>3221</v>
      </c>
      <c r="C4783">
        <v>25</v>
      </c>
      <c r="D4783" t="s">
        <v>3185</v>
      </c>
      <c r="E4783" t="s">
        <v>3186</v>
      </c>
      <c r="F4783">
        <v>85.41</v>
      </c>
      <c r="G4783">
        <v>230101</v>
      </c>
      <c r="H4783">
        <v>4370</v>
      </c>
      <c r="I4783" t="s">
        <v>25</v>
      </c>
      <c r="J4783">
        <v>85.41</v>
      </c>
      <c r="K4783">
        <v>0</v>
      </c>
      <c r="L4783">
        <v>56561</v>
      </c>
      <c r="M4783" t="s">
        <v>358</v>
      </c>
      <c r="N4783" t="str">
        <f t="shared" si="92"/>
        <v xml:space="preserve">84226010353 </v>
      </c>
      <c r="O4783">
        <v>221229</v>
      </c>
    </row>
    <row r="4784" spans="1:15" x14ac:dyDescent="0.25">
      <c r="A4784" t="s">
        <v>16</v>
      </c>
      <c r="B4784" t="s">
        <v>3221</v>
      </c>
      <c r="C4784">
        <v>25</v>
      </c>
      <c r="D4784" t="s">
        <v>3185</v>
      </c>
      <c r="E4784" t="s">
        <v>3186</v>
      </c>
      <c r="F4784">
        <v>40.659999999999997</v>
      </c>
      <c r="G4784">
        <v>230101</v>
      </c>
      <c r="H4784">
        <v>4370</v>
      </c>
      <c r="I4784" t="s">
        <v>25</v>
      </c>
      <c r="J4784">
        <v>40.659999999999997</v>
      </c>
      <c r="K4784">
        <v>0</v>
      </c>
      <c r="L4784">
        <v>56564</v>
      </c>
      <c r="M4784" t="s">
        <v>327</v>
      </c>
      <c r="N4784" t="str">
        <f t="shared" si="92"/>
        <v xml:space="preserve">84226010353 </v>
      </c>
      <c r="O4784">
        <v>221229</v>
      </c>
    </row>
    <row r="4785" spans="1:15" x14ac:dyDescent="0.25">
      <c r="A4785" t="s">
        <v>16</v>
      </c>
      <c r="B4785" t="s">
        <v>3221</v>
      </c>
      <c r="C4785">
        <v>25</v>
      </c>
      <c r="D4785" t="s">
        <v>3185</v>
      </c>
      <c r="E4785" t="s">
        <v>3186</v>
      </c>
      <c r="F4785">
        <v>36.380000000000003</v>
      </c>
      <c r="G4785">
        <v>230101</v>
      </c>
      <c r="H4785">
        <v>4370</v>
      </c>
      <c r="I4785" t="s">
        <v>25</v>
      </c>
      <c r="J4785">
        <v>36.380000000000003</v>
      </c>
      <c r="K4785">
        <v>0</v>
      </c>
      <c r="L4785">
        <v>56575</v>
      </c>
      <c r="M4785" t="s">
        <v>95</v>
      </c>
      <c r="N4785" t="str">
        <f t="shared" si="92"/>
        <v xml:space="preserve">84226010353 </v>
      </c>
      <c r="O4785">
        <v>221229</v>
      </c>
    </row>
    <row r="4786" spans="1:15" x14ac:dyDescent="0.25">
      <c r="A4786" t="s">
        <v>16</v>
      </c>
      <c r="B4786" t="s">
        <v>3221</v>
      </c>
      <c r="C4786">
        <v>25</v>
      </c>
      <c r="D4786" t="s">
        <v>3185</v>
      </c>
      <c r="E4786" t="s">
        <v>3186</v>
      </c>
      <c r="F4786">
        <v>37.42</v>
      </c>
      <c r="G4786">
        <v>230101</v>
      </c>
      <c r="H4786">
        <v>4370</v>
      </c>
      <c r="I4786" t="s">
        <v>25</v>
      </c>
      <c r="J4786">
        <v>37.42</v>
      </c>
      <c r="K4786">
        <v>0</v>
      </c>
      <c r="L4786">
        <v>56575</v>
      </c>
      <c r="M4786" t="s">
        <v>95</v>
      </c>
      <c r="N4786" t="str">
        <f t="shared" si="92"/>
        <v xml:space="preserve">84226010353 </v>
      </c>
      <c r="O4786">
        <v>221229</v>
      </c>
    </row>
    <row r="4787" spans="1:15" x14ac:dyDescent="0.25">
      <c r="A4787" t="s">
        <v>16</v>
      </c>
      <c r="B4787" t="s">
        <v>3221</v>
      </c>
      <c r="C4787">
        <v>25</v>
      </c>
      <c r="D4787" t="s">
        <v>3185</v>
      </c>
      <c r="E4787" t="s">
        <v>3186</v>
      </c>
      <c r="F4787">
        <v>292.39999999999998</v>
      </c>
      <c r="G4787">
        <v>230101</v>
      </c>
      <c r="H4787">
        <v>4370</v>
      </c>
      <c r="I4787" t="s">
        <v>25</v>
      </c>
      <c r="J4787">
        <v>292.39999999999998</v>
      </c>
      <c r="K4787">
        <v>0</v>
      </c>
      <c r="L4787">
        <v>59111</v>
      </c>
      <c r="M4787" t="s">
        <v>1010</v>
      </c>
      <c r="N4787" t="str">
        <f t="shared" si="92"/>
        <v xml:space="preserve">84226010353 </v>
      </c>
      <c r="O4787">
        <v>221229</v>
      </c>
    </row>
    <row r="4788" spans="1:15" x14ac:dyDescent="0.25">
      <c r="A4788" t="s">
        <v>16</v>
      </c>
      <c r="B4788" t="s">
        <v>3221</v>
      </c>
      <c r="C4788">
        <v>25</v>
      </c>
      <c r="D4788" t="s">
        <v>3185</v>
      </c>
      <c r="E4788" t="s">
        <v>3186</v>
      </c>
      <c r="F4788">
        <v>893.71</v>
      </c>
      <c r="G4788">
        <v>230101</v>
      </c>
      <c r="H4788">
        <v>4370</v>
      </c>
      <c r="I4788" t="s">
        <v>25</v>
      </c>
      <c r="J4788">
        <v>893.71</v>
      </c>
      <c r="K4788">
        <v>0</v>
      </c>
      <c r="L4788">
        <v>59501</v>
      </c>
      <c r="M4788" t="s">
        <v>69</v>
      </c>
      <c r="N4788" t="str">
        <f t="shared" si="92"/>
        <v xml:space="preserve">84226010353 </v>
      </c>
      <c r="O4788">
        <v>221229</v>
      </c>
    </row>
    <row r="4789" spans="1:15" x14ac:dyDescent="0.25">
      <c r="A4789" t="s">
        <v>16</v>
      </c>
      <c r="B4789" t="s">
        <v>3221</v>
      </c>
      <c r="C4789">
        <v>25</v>
      </c>
      <c r="D4789" t="s">
        <v>3185</v>
      </c>
      <c r="E4789" t="s">
        <v>3186</v>
      </c>
      <c r="F4789">
        <v>127.77</v>
      </c>
      <c r="G4789">
        <v>230101</v>
      </c>
      <c r="H4789">
        <v>4370</v>
      </c>
      <c r="I4789" t="s">
        <v>25</v>
      </c>
      <c r="J4789">
        <v>127.77</v>
      </c>
      <c r="K4789">
        <v>0</v>
      </c>
      <c r="L4789">
        <v>59502</v>
      </c>
      <c r="M4789" t="s">
        <v>70</v>
      </c>
      <c r="N4789" t="str">
        <f t="shared" si="92"/>
        <v xml:space="preserve">84226010353 </v>
      </c>
      <c r="O4789">
        <v>221229</v>
      </c>
    </row>
    <row r="4790" spans="1:15" x14ac:dyDescent="0.25">
      <c r="A4790" t="s">
        <v>16</v>
      </c>
      <c r="B4790" t="s">
        <v>3221</v>
      </c>
      <c r="C4790">
        <v>25</v>
      </c>
      <c r="D4790" t="s">
        <v>3185</v>
      </c>
      <c r="E4790" t="s">
        <v>3186</v>
      </c>
      <c r="F4790">
        <v>81.69</v>
      </c>
      <c r="G4790">
        <v>230101</v>
      </c>
      <c r="H4790">
        <v>4370</v>
      </c>
      <c r="I4790" t="s">
        <v>25</v>
      </c>
      <c r="J4790">
        <v>81.69</v>
      </c>
      <c r="K4790">
        <v>0</v>
      </c>
      <c r="L4790">
        <v>59802</v>
      </c>
      <c r="M4790" t="s">
        <v>73</v>
      </c>
      <c r="N4790" t="str">
        <f t="shared" si="92"/>
        <v xml:space="preserve">84226010353 </v>
      </c>
      <c r="O4790">
        <v>221229</v>
      </c>
    </row>
    <row r="4791" spans="1:15" x14ac:dyDescent="0.25">
      <c r="A4791" t="s">
        <v>16</v>
      </c>
      <c r="B4791" t="s">
        <v>3221</v>
      </c>
      <c r="C4791">
        <v>27</v>
      </c>
      <c r="D4791" t="s">
        <v>3185</v>
      </c>
      <c r="E4791" t="s">
        <v>3186</v>
      </c>
      <c r="F4791">
        <v>804.14</v>
      </c>
      <c r="G4791">
        <v>230101</v>
      </c>
      <c r="H4791">
        <v>4370</v>
      </c>
      <c r="I4791" t="s">
        <v>25</v>
      </c>
      <c r="J4791">
        <v>804.14</v>
      </c>
      <c r="K4791">
        <v>0</v>
      </c>
      <c r="L4791">
        <v>11501</v>
      </c>
      <c r="M4791" t="s">
        <v>339</v>
      </c>
      <c r="N4791" t="str">
        <f>"84223836967 "</f>
        <v xml:space="preserve">84223836967 </v>
      </c>
      <c r="O4791">
        <v>221229</v>
      </c>
    </row>
    <row r="4792" spans="1:15" x14ac:dyDescent="0.25">
      <c r="A4792" t="s">
        <v>16</v>
      </c>
      <c r="B4792" t="s">
        <v>3221</v>
      </c>
      <c r="C4792">
        <v>28</v>
      </c>
      <c r="D4792" t="s">
        <v>3185</v>
      </c>
      <c r="E4792" t="s">
        <v>3186</v>
      </c>
      <c r="F4792">
        <v>924.6</v>
      </c>
      <c r="G4792">
        <v>230101</v>
      </c>
      <c r="H4792">
        <v>4370</v>
      </c>
      <c r="I4792" t="s">
        <v>25</v>
      </c>
      <c r="J4792">
        <v>924.6</v>
      </c>
      <c r="K4792">
        <v>0</v>
      </c>
      <c r="L4792">
        <v>11401</v>
      </c>
      <c r="M4792" t="s">
        <v>84</v>
      </c>
      <c r="N4792" t="str">
        <f>"84226174341 "</f>
        <v xml:space="preserve">84226174341 </v>
      </c>
      <c r="O4792">
        <v>221229</v>
      </c>
    </row>
    <row r="4793" spans="1:15" x14ac:dyDescent="0.25">
      <c r="A4793" t="s">
        <v>16</v>
      </c>
      <c r="B4793" t="s">
        <v>3221</v>
      </c>
      <c r="C4793">
        <v>31</v>
      </c>
      <c r="D4793" t="s">
        <v>3185</v>
      </c>
      <c r="E4793" t="s">
        <v>3186</v>
      </c>
      <c r="F4793">
        <v>1794.59</v>
      </c>
      <c r="G4793">
        <v>230101</v>
      </c>
      <c r="H4793">
        <v>4370</v>
      </c>
      <c r="I4793" t="s">
        <v>25</v>
      </c>
      <c r="J4793">
        <v>1794.59</v>
      </c>
      <c r="K4793">
        <v>0</v>
      </c>
      <c r="L4793">
        <v>18972</v>
      </c>
      <c r="M4793" t="s">
        <v>163</v>
      </c>
      <c r="N4793" t="str">
        <f>"84226856562 "</f>
        <v xml:space="preserve">84226856562 </v>
      </c>
      <c r="O4793">
        <v>221230</v>
      </c>
    </row>
    <row r="4794" spans="1:15" x14ac:dyDescent="0.25">
      <c r="A4794" t="s">
        <v>16</v>
      </c>
      <c r="B4794" t="s">
        <v>3221</v>
      </c>
      <c r="C4794">
        <v>32</v>
      </c>
      <c r="D4794" t="s">
        <v>3185</v>
      </c>
      <c r="E4794" t="s">
        <v>3186</v>
      </c>
      <c r="F4794">
        <v>376.09</v>
      </c>
      <c r="G4794">
        <v>230101</v>
      </c>
      <c r="H4794">
        <v>4370</v>
      </c>
      <c r="I4794" t="s">
        <v>25</v>
      </c>
      <c r="J4794">
        <v>376.09</v>
      </c>
      <c r="K4794">
        <v>0</v>
      </c>
      <c r="L4794">
        <v>17803</v>
      </c>
      <c r="M4794" t="s">
        <v>389</v>
      </c>
      <c r="N4794" t="str">
        <f t="shared" ref="N4794:N4799" si="93">"84227351943 "</f>
        <v xml:space="preserve">84227351943 </v>
      </c>
      <c r="O4794">
        <v>221230</v>
      </c>
    </row>
    <row r="4795" spans="1:15" x14ac:dyDescent="0.25">
      <c r="A4795" t="s">
        <v>16</v>
      </c>
      <c r="B4795" t="s">
        <v>3221</v>
      </c>
      <c r="C4795">
        <v>32</v>
      </c>
      <c r="D4795" t="s">
        <v>3185</v>
      </c>
      <c r="E4795" t="s">
        <v>3186</v>
      </c>
      <c r="F4795">
        <v>2735.4</v>
      </c>
      <c r="G4795">
        <v>230101</v>
      </c>
      <c r="H4795">
        <v>4370</v>
      </c>
      <c r="I4795" t="s">
        <v>25</v>
      </c>
      <c r="J4795">
        <v>2735.4</v>
      </c>
      <c r="K4795">
        <v>0</v>
      </c>
      <c r="L4795">
        <v>17951</v>
      </c>
      <c r="M4795" t="s">
        <v>87</v>
      </c>
      <c r="N4795" t="str">
        <f t="shared" si="93"/>
        <v xml:space="preserve">84227351943 </v>
      </c>
      <c r="O4795">
        <v>221230</v>
      </c>
    </row>
    <row r="4796" spans="1:15" x14ac:dyDescent="0.25">
      <c r="A4796" t="s">
        <v>16</v>
      </c>
      <c r="B4796" t="s">
        <v>3221</v>
      </c>
      <c r="C4796">
        <v>32</v>
      </c>
      <c r="D4796" t="s">
        <v>3185</v>
      </c>
      <c r="E4796" t="s">
        <v>3186</v>
      </c>
      <c r="F4796">
        <v>4414.32</v>
      </c>
      <c r="G4796">
        <v>230101</v>
      </c>
      <c r="H4796">
        <v>4370</v>
      </c>
      <c r="I4796" t="s">
        <v>25</v>
      </c>
      <c r="J4796">
        <v>4414.32</v>
      </c>
      <c r="K4796">
        <v>0</v>
      </c>
      <c r="L4796">
        <v>17952</v>
      </c>
      <c r="M4796" t="s">
        <v>88</v>
      </c>
      <c r="N4796" t="str">
        <f t="shared" si="93"/>
        <v xml:space="preserve">84227351943 </v>
      </c>
      <c r="O4796">
        <v>221230</v>
      </c>
    </row>
    <row r="4797" spans="1:15" x14ac:dyDescent="0.25">
      <c r="A4797" t="s">
        <v>16</v>
      </c>
      <c r="B4797" t="s">
        <v>3221</v>
      </c>
      <c r="C4797">
        <v>32</v>
      </c>
      <c r="D4797" t="s">
        <v>3185</v>
      </c>
      <c r="E4797" t="s">
        <v>3186</v>
      </c>
      <c r="F4797">
        <v>61.43</v>
      </c>
      <c r="G4797">
        <v>230101</v>
      </c>
      <c r="H4797">
        <v>4370</v>
      </c>
      <c r="I4797" t="s">
        <v>25</v>
      </c>
      <c r="J4797">
        <v>61.43</v>
      </c>
      <c r="K4797">
        <v>0</v>
      </c>
      <c r="L4797">
        <v>17955</v>
      </c>
      <c r="M4797" t="s">
        <v>933</v>
      </c>
      <c r="N4797" t="str">
        <f t="shared" si="93"/>
        <v xml:space="preserve">84227351943 </v>
      </c>
      <c r="O4797">
        <v>221230</v>
      </c>
    </row>
    <row r="4798" spans="1:15" x14ac:dyDescent="0.25">
      <c r="A4798" t="s">
        <v>16</v>
      </c>
      <c r="B4798" t="s">
        <v>3221</v>
      </c>
      <c r="C4798">
        <v>32</v>
      </c>
      <c r="D4798" t="s">
        <v>3185</v>
      </c>
      <c r="E4798" t="s">
        <v>3186</v>
      </c>
      <c r="F4798">
        <v>558.98</v>
      </c>
      <c r="G4798">
        <v>230101</v>
      </c>
      <c r="H4798">
        <v>4370</v>
      </c>
      <c r="I4798" t="s">
        <v>25</v>
      </c>
      <c r="J4798">
        <v>558.98</v>
      </c>
      <c r="K4798">
        <v>0</v>
      </c>
      <c r="L4798">
        <v>46554</v>
      </c>
      <c r="M4798" t="s">
        <v>117</v>
      </c>
      <c r="N4798" t="str">
        <f t="shared" si="93"/>
        <v xml:space="preserve">84227351943 </v>
      </c>
      <c r="O4798">
        <v>221230</v>
      </c>
    </row>
    <row r="4799" spans="1:15" x14ac:dyDescent="0.25">
      <c r="A4799" t="s">
        <v>16</v>
      </c>
      <c r="B4799" t="s">
        <v>3221</v>
      </c>
      <c r="C4799">
        <v>32</v>
      </c>
      <c r="D4799" t="s">
        <v>3185</v>
      </c>
      <c r="E4799" t="s">
        <v>3186</v>
      </c>
      <c r="F4799">
        <v>88.17</v>
      </c>
      <c r="G4799">
        <v>230101</v>
      </c>
      <c r="H4799">
        <v>4370</v>
      </c>
      <c r="I4799" t="s">
        <v>25</v>
      </c>
      <c r="J4799">
        <v>88.17</v>
      </c>
      <c r="K4799">
        <v>0</v>
      </c>
      <c r="L4799">
        <v>49701</v>
      </c>
      <c r="M4799" t="s">
        <v>166</v>
      </c>
      <c r="N4799" t="str">
        <f t="shared" si="93"/>
        <v xml:space="preserve">84227351943 </v>
      </c>
      <c r="O4799">
        <v>221230</v>
      </c>
    </row>
    <row r="4800" spans="1:15" x14ac:dyDescent="0.25">
      <c r="A4800" t="s">
        <v>16</v>
      </c>
      <c r="B4800" t="s">
        <v>3221</v>
      </c>
      <c r="C4800">
        <v>39</v>
      </c>
      <c r="D4800" t="s">
        <v>3185</v>
      </c>
      <c r="E4800" t="s">
        <v>3186</v>
      </c>
      <c r="F4800">
        <v>4263.97</v>
      </c>
      <c r="G4800">
        <v>230101</v>
      </c>
      <c r="H4800">
        <v>4370</v>
      </c>
      <c r="I4800" t="s">
        <v>25</v>
      </c>
      <c r="J4800">
        <v>4263.97</v>
      </c>
      <c r="K4800">
        <v>0</v>
      </c>
      <c r="L4800">
        <v>17711</v>
      </c>
      <c r="M4800" t="s">
        <v>65</v>
      </c>
      <c r="N4800" t="str">
        <f t="shared" ref="N4800:N4810" si="94">"84225868674 "</f>
        <v xml:space="preserve">84225868674 </v>
      </c>
      <c r="O4800">
        <v>230102</v>
      </c>
    </row>
    <row r="4801" spans="1:15" x14ac:dyDescent="0.25">
      <c r="A4801" t="s">
        <v>16</v>
      </c>
      <c r="B4801" t="s">
        <v>3221</v>
      </c>
      <c r="C4801">
        <v>39</v>
      </c>
      <c r="D4801" t="s">
        <v>3185</v>
      </c>
      <c r="E4801" t="s">
        <v>3186</v>
      </c>
      <c r="F4801">
        <v>57.21</v>
      </c>
      <c r="G4801">
        <v>230101</v>
      </c>
      <c r="H4801">
        <v>4370</v>
      </c>
      <c r="I4801" t="s">
        <v>25</v>
      </c>
      <c r="J4801">
        <v>57.21</v>
      </c>
      <c r="K4801">
        <v>0</v>
      </c>
      <c r="L4801">
        <v>17737</v>
      </c>
      <c r="M4801" t="s">
        <v>279</v>
      </c>
      <c r="N4801" t="str">
        <f t="shared" si="94"/>
        <v xml:space="preserve">84225868674 </v>
      </c>
      <c r="O4801">
        <v>230102</v>
      </c>
    </row>
    <row r="4802" spans="1:15" x14ac:dyDescent="0.25">
      <c r="A4802" t="s">
        <v>16</v>
      </c>
      <c r="B4802" t="s">
        <v>3221</v>
      </c>
      <c r="C4802">
        <v>39</v>
      </c>
      <c r="D4802" t="s">
        <v>3185</v>
      </c>
      <c r="E4802" t="s">
        <v>3186</v>
      </c>
      <c r="F4802">
        <v>158.57</v>
      </c>
      <c r="G4802">
        <v>230101</v>
      </c>
      <c r="H4802">
        <v>4370</v>
      </c>
      <c r="I4802" t="s">
        <v>25</v>
      </c>
      <c r="J4802">
        <v>158.57</v>
      </c>
      <c r="K4802">
        <v>0</v>
      </c>
      <c r="L4802">
        <v>17737</v>
      </c>
      <c r="M4802" t="s">
        <v>279</v>
      </c>
      <c r="N4802" t="str">
        <f t="shared" si="94"/>
        <v xml:space="preserve">84225868674 </v>
      </c>
      <c r="O4802">
        <v>230102</v>
      </c>
    </row>
    <row r="4803" spans="1:15" x14ac:dyDescent="0.25">
      <c r="A4803" t="s">
        <v>16</v>
      </c>
      <c r="B4803" t="s">
        <v>3221</v>
      </c>
      <c r="C4803">
        <v>39</v>
      </c>
      <c r="D4803" t="s">
        <v>3185</v>
      </c>
      <c r="E4803" t="s">
        <v>3186</v>
      </c>
      <c r="F4803">
        <v>261.11</v>
      </c>
      <c r="G4803">
        <v>230101</v>
      </c>
      <c r="H4803">
        <v>4370</v>
      </c>
      <c r="I4803" t="s">
        <v>25</v>
      </c>
      <c r="J4803">
        <v>261.11</v>
      </c>
      <c r="K4803">
        <v>0</v>
      </c>
      <c r="L4803">
        <v>17737</v>
      </c>
      <c r="M4803" t="s">
        <v>279</v>
      </c>
      <c r="N4803" t="str">
        <f t="shared" si="94"/>
        <v xml:space="preserve">84225868674 </v>
      </c>
      <c r="O4803">
        <v>230102</v>
      </c>
    </row>
    <row r="4804" spans="1:15" x14ac:dyDescent="0.25">
      <c r="A4804" t="s">
        <v>16</v>
      </c>
      <c r="B4804" t="s">
        <v>3221</v>
      </c>
      <c r="C4804">
        <v>39</v>
      </c>
      <c r="D4804" t="s">
        <v>3185</v>
      </c>
      <c r="E4804" t="s">
        <v>3186</v>
      </c>
      <c r="F4804">
        <v>6.68</v>
      </c>
      <c r="G4804">
        <v>230101</v>
      </c>
      <c r="H4804">
        <v>4370</v>
      </c>
      <c r="I4804" t="s">
        <v>25</v>
      </c>
      <c r="J4804">
        <v>6.68</v>
      </c>
      <c r="K4804">
        <v>0</v>
      </c>
      <c r="L4804">
        <v>17737</v>
      </c>
      <c r="M4804" t="s">
        <v>279</v>
      </c>
      <c r="N4804" t="str">
        <f t="shared" si="94"/>
        <v xml:space="preserve">84225868674 </v>
      </c>
      <c r="O4804">
        <v>230102</v>
      </c>
    </row>
    <row r="4805" spans="1:15" x14ac:dyDescent="0.25">
      <c r="A4805" t="s">
        <v>16</v>
      </c>
      <c r="B4805" t="s">
        <v>3221</v>
      </c>
      <c r="C4805">
        <v>39</v>
      </c>
      <c r="D4805" t="s">
        <v>3185</v>
      </c>
      <c r="E4805" t="s">
        <v>3186</v>
      </c>
      <c r="F4805">
        <v>104.4</v>
      </c>
      <c r="G4805">
        <v>230101</v>
      </c>
      <c r="H4805">
        <v>4370</v>
      </c>
      <c r="I4805" t="s">
        <v>25</v>
      </c>
      <c r="J4805">
        <v>104.4</v>
      </c>
      <c r="K4805">
        <v>0</v>
      </c>
      <c r="L4805">
        <v>66754</v>
      </c>
      <c r="M4805" t="s">
        <v>239</v>
      </c>
      <c r="N4805" t="str">
        <f t="shared" si="94"/>
        <v xml:space="preserve">84225868674 </v>
      </c>
      <c r="O4805">
        <v>230102</v>
      </c>
    </row>
    <row r="4806" spans="1:15" x14ac:dyDescent="0.25">
      <c r="A4806" t="s">
        <v>16</v>
      </c>
      <c r="B4806" t="s">
        <v>3221</v>
      </c>
      <c r="C4806">
        <v>39</v>
      </c>
      <c r="D4806" t="s">
        <v>3185</v>
      </c>
      <c r="E4806" t="s">
        <v>3186</v>
      </c>
      <c r="F4806">
        <v>91.61</v>
      </c>
      <c r="G4806">
        <v>230101</v>
      </c>
      <c r="H4806">
        <v>4370</v>
      </c>
      <c r="I4806" t="s">
        <v>25</v>
      </c>
      <c r="J4806">
        <v>91.61</v>
      </c>
      <c r="K4806">
        <v>0</v>
      </c>
      <c r="L4806">
        <v>66754</v>
      </c>
      <c r="M4806" t="s">
        <v>239</v>
      </c>
      <c r="N4806" t="str">
        <f t="shared" si="94"/>
        <v xml:space="preserve">84225868674 </v>
      </c>
      <c r="O4806">
        <v>230102</v>
      </c>
    </row>
    <row r="4807" spans="1:15" x14ac:dyDescent="0.25">
      <c r="A4807" t="s">
        <v>16</v>
      </c>
      <c r="B4807" t="s">
        <v>3221</v>
      </c>
      <c r="C4807">
        <v>39</v>
      </c>
      <c r="D4807" t="s">
        <v>3185</v>
      </c>
      <c r="E4807" t="s">
        <v>3186</v>
      </c>
      <c r="F4807">
        <v>74.08</v>
      </c>
      <c r="G4807">
        <v>230101</v>
      </c>
      <c r="H4807">
        <v>4370</v>
      </c>
      <c r="I4807" t="s">
        <v>25</v>
      </c>
      <c r="J4807">
        <v>74.08</v>
      </c>
      <c r="K4807">
        <v>0</v>
      </c>
      <c r="L4807">
        <v>67522</v>
      </c>
      <c r="M4807" t="s">
        <v>397</v>
      </c>
      <c r="N4807" t="str">
        <f t="shared" si="94"/>
        <v xml:space="preserve">84225868674 </v>
      </c>
      <c r="O4807">
        <v>230102</v>
      </c>
    </row>
    <row r="4808" spans="1:15" x14ac:dyDescent="0.25">
      <c r="A4808" t="s">
        <v>16</v>
      </c>
      <c r="B4808" t="s">
        <v>3221</v>
      </c>
      <c r="C4808">
        <v>39</v>
      </c>
      <c r="D4808" t="s">
        <v>3185</v>
      </c>
      <c r="E4808" t="s">
        <v>3186</v>
      </c>
      <c r="F4808">
        <v>130.79</v>
      </c>
      <c r="G4808">
        <v>230101</v>
      </c>
      <c r="H4808">
        <v>4370</v>
      </c>
      <c r="I4808" t="s">
        <v>25</v>
      </c>
      <c r="J4808">
        <v>130.79</v>
      </c>
      <c r="K4808">
        <v>0</v>
      </c>
      <c r="L4808">
        <v>67554</v>
      </c>
      <c r="M4808" t="s">
        <v>60</v>
      </c>
      <c r="N4808" t="str">
        <f t="shared" si="94"/>
        <v xml:space="preserve">84225868674 </v>
      </c>
      <c r="O4808">
        <v>230102</v>
      </c>
    </row>
    <row r="4809" spans="1:15" x14ac:dyDescent="0.25">
      <c r="A4809" t="s">
        <v>16</v>
      </c>
      <c r="B4809" t="s">
        <v>3221</v>
      </c>
      <c r="C4809">
        <v>39</v>
      </c>
      <c r="D4809" t="s">
        <v>3185</v>
      </c>
      <c r="E4809" t="s">
        <v>3186</v>
      </c>
      <c r="F4809">
        <v>533.32000000000005</v>
      </c>
      <c r="G4809">
        <v>230101</v>
      </c>
      <c r="H4809">
        <v>4370</v>
      </c>
      <c r="I4809" t="s">
        <v>25</v>
      </c>
      <c r="J4809">
        <v>533.32000000000005</v>
      </c>
      <c r="K4809">
        <v>0</v>
      </c>
      <c r="L4809">
        <v>67554</v>
      </c>
      <c r="M4809" t="s">
        <v>60</v>
      </c>
      <c r="N4809" t="str">
        <f t="shared" si="94"/>
        <v xml:space="preserve">84225868674 </v>
      </c>
      <c r="O4809">
        <v>230102</v>
      </c>
    </row>
    <row r="4810" spans="1:15" x14ac:dyDescent="0.25">
      <c r="A4810" t="s">
        <v>16</v>
      </c>
      <c r="B4810" t="s">
        <v>3221</v>
      </c>
      <c r="C4810">
        <v>39</v>
      </c>
      <c r="D4810" t="s">
        <v>3185</v>
      </c>
      <c r="E4810" t="s">
        <v>3186</v>
      </c>
      <c r="F4810">
        <v>10.76</v>
      </c>
      <c r="G4810">
        <v>230101</v>
      </c>
      <c r="H4810">
        <v>4370</v>
      </c>
      <c r="I4810" t="s">
        <v>25</v>
      </c>
      <c r="J4810">
        <v>10.76</v>
      </c>
      <c r="K4810">
        <v>0</v>
      </c>
      <c r="L4810">
        <v>67554</v>
      </c>
      <c r="M4810" t="s">
        <v>60</v>
      </c>
      <c r="N4810" t="str">
        <f t="shared" si="94"/>
        <v xml:space="preserve">84225868674 </v>
      </c>
      <c r="O4810">
        <v>230102</v>
      </c>
    </row>
    <row r="4811" spans="1:15" x14ac:dyDescent="0.25">
      <c r="A4811" t="s">
        <v>16</v>
      </c>
      <c r="B4811" t="s">
        <v>3221</v>
      </c>
      <c r="C4811">
        <v>40</v>
      </c>
      <c r="D4811" t="s">
        <v>3185</v>
      </c>
      <c r="E4811" t="s">
        <v>3186</v>
      </c>
      <c r="F4811">
        <v>152.52000000000001</v>
      </c>
      <c r="G4811">
        <v>230101</v>
      </c>
      <c r="H4811">
        <v>4370</v>
      </c>
      <c r="I4811" t="s">
        <v>25</v>
      </c>
      <c r="J4811">
        <v>152.52000000000001</v>
      </c>
      <c r="K4811">
        <v>0</v>
      </c>
      <c r="L4811">
        <v>11501</v>
      </c>
      <c r="M4811" t="s">
        <v>339</v>
      </c>
      <c r="N4811" t="str">
        <f t="shared" ref="N4811:N4816" si="95">"84225869796 "</f>
        <v xml:space="preserve">84225869796 </v>
      </c>
      <c r="O4811">
        <v>230102</v>
      </c>
    </row>
    <row r="4812" spans="1:15" x14ac:dyDescent="0.25">
      <c r="A4812" t="s">
        <v>16</v>
      </c>
      <c r="B4812" t="s">
        <v>3221</v>
      </c>
      <c r="C4812">
        <v>40</v>
      </c>
      <c r="D4812" t="s">
        <v>3185</v>
      </c>
      <c r="E4812" t="s">
        <v>3186</v>
      </c>
      <c r="F4812">
        <v>18.23</v>
      </c>
      <c r="G4812">
        <v>230101</v>
      </c>
      <c r="H4812">
        <v>4370</v>
      </c>
      <c r="I4812" t="s">
        <v>25</v>
      </c>
      <c r="J4812">
        <v>18.23</v>
      </c>
      <c r="K4812">
        <v>0</v>
      </c>
      <c r="L4812">
        <v>14951</v>
      </c>
      <c r="M4812" t="s">
        <v>57</v>
      </c>
      <c r="N4812" t="str">
        <f t="shared" si="95"/>
        <v xml:space="preserve">84225869796 </v>
      </c>
      <c r="O4812">
        <v>230102</v>
      </c>
    </row>
    <row r="4813" spans="1:15" x14ac:dyDescent="0.25">
      <c r="A4813" t="s">
        <v>16</v>
      </c>
      <c r="B4813" t="s">
        <v>3221</v>
      </c>
      <c r="C4813">
        <v>40</v>
      </c>
      <c r="D4813" t="s">
        <v>3185</v>
      </c>
      <c r="E4813" t="s">
        <v>3186</v>
      </c>
      <c r="F4813">
        <v>94.66</v>
      </c>
      <c r="G4813">
        <v>230101</v>
      </c>
      <c r="H4813">
        <v>4370</v>
      </c>
      <c r="I4813" t="s">
        <v>25</v>
      </c>
      <c r="J4813">
        <v>94.66</v>
      </c>
      <c r="K4813">
        <v>0</v>
      </c>
      <c r="L4813">
        <v>14951</v>
      </c>
      <c r="M4813" t="s">
        <v>57</v>
      </c>
      <c r="N4813" t="str">
        <f t="shared" si="95"/>
        <v xml:space="preserve">84225869796 </v>
      </c>
      <c r="O4813">
        <v>230102</v>
      </c>
    </row>
    <row r="4814" spans="1:15" x14ac:dyDescent="0.25">
      <c r="A4814" t="s">
        <v>16</v>
      </c>
      <c r="B4814" t="s">
        <v>3221</v>
      </c>
      <c r="C4814">
        <v>40</v>
      </c>
      <c r="D4814" t="s">
        <v>3185</v>
      </c>
      <c r="E4814" t="s">
        <v>3186</v>
      </c>
      <c r="F4814">
        <v>152.13999999999999</v>
      </c>
      <c r="G4814">
        <v>230101</v>
      </c>
      <c r="H4814">
        <v>4370</v>
      </c>
      <c r="I4814" t="s">
        <v>25</v>
      </c>
      <c r="J4814">
        <v>152.13999999999999</v>
      </c>
      <c r="K4814">
        <v>0</v>
      </c>
      <c r="L4814">
        <v>14952</v>
      </c>
      <c r="M4814" t="s">
        <v>99</v>
      </c>
      <c r="N4814" t="str">
        <f t="shared" si="95"/>
        <v xml:space="preserve">84225869796 </v>
      </c>
      <c r="O4814">
        <v>230102</v>
      </c>
    </row>
    <row r="4815" spans="1:15" x14ac:dyDescent="0.25">
      <c r="A4815" t="s">
        <v>16</v>
      </c>
      <c r="B4815" t="s">
        <v>3221</v>
      </c>
      <c r="C4815">
        <v>40</v>
      </c>
      <c r="D4815" t="s">
        <v>3185</v>
      </c>
      <c r="E4815" t="s">
        <v>3186</v>
      </c>
      <c r="F4815">
        <v>305.06</v>
      </c>
      <c r="G4815">
        <v>230101</v>
      </c>
      <c r="H4815">
        <v>4370</v>
      </c>
      <c r="I4815" t="s">
        <v>25</v>
      </c>
      <c r="J4815">
        <v>305.06</v>
      </c>
      <c r="K4815">
        <v>0</v>
      </c>
      <c r="L4815">
        <v>14952</v>
      </c>
      <c r="M4815" t="s">
        <v>99</v>
      </c>
      <c r="N4815" t="str">
        <f t="shared" si="95"/>
        <v xml:space="preserve">84225869796 </v>
      </c>
      <c r="O4815">
        <v>230102</v>
      </c>
    </row>
    <row r="4816" spans="1:15" x14ac:dyDescent="0.25">
      <c r="A4816" t="s">
        <v>16</v>
      </c>
      <c r="B4816" t="s">
        <v>3221</v>
      </c>
      <c r="C4816">
        <v>40</v>
      </c>
      <c r="D4816" t="s">
        <v>3185</v>
      </c>
      <c r="E4816" t="s">
        <v>3186</v>
      </c>
      <c r="F4816">
        <v>355.02</v>
      </c>
      <c r="G4816">
        <v>230101</v>
      </c>
      <c r="H4816">
        <v>4370</v>
      </c>
      <c r="I4816" t="s">
        <v>25</v>
      </c>
      <c r="J4816">
        <v>355.02</v>
      </c>
      <c r="K4816">
        <v>0</v>
      </c>
      <c r="L4816">
        <v>14981</v>
      </c>
      <c r="M4816" t="s">
        <v>1211</v>
      </c>
      <c r="N4816" t="str">
        <f t="shared" si="95"/>
        <v xml:space="preserve">84225869796 </v>
      </c>
      <c r="O4816">
        <v>230102</v>
      </c>
    </row>
    <row r="4817" spans="1:15" x14ac:dyDescent="0.25">
      <c r="A4817" t="s">
        <v>16</v>
      </c>
      <c r="B4817" t="s">
        <v>3221</v>
      </c>
      <c r="C4817">
        <v>50</v>
      </c>
      <c r="D4817" t="s">
        <v>3185</v>
      </c>
      <c r="E4817" t="s">
        <v>3186</v>
      </c>
      <c r="F4817">
        <v>172.53</v>
      </c>
      <c r="G4817">
        <v>230101</v>
      </c>
      <c r="H4817">
        <v>4370</v>
      </c>
      <c r="I4817" t="s">
        <v>25</v>
      </c>
      <c r="J4817">
        <v>172.53</v>
      </c>
      <c r="K4817">
        <v>0</v>
      </c>
      <c r="L4817">
        <v>56571</v>
      </c>
      <c r="M4817" t="s">
        <v>204</v>
      </c>
      <c r="N4817" t="str">
        <f>"84229843255 "</f>
        <v xml:space="preserve">84229843255 </v>
      </c>
      <c r="O4817">
        <v>230104</v>
      </c>
    </row>
    <row r="4818" spans="1:15" x14ac:dyDescent="0.25">
      <c r="A4818" t="s">
        <v>16</v>
      </c>
      <c r="B4818" t="s">
        <v>3221</v>
      </c>
      <c r="C4818">
        <v>2287</v>
      </c>
      <c r="D4818" t="s">
        <v>3185</v>
      </c>
      <c r="E4818" t="s">
        <v>3186</v>
      </c>
      <c r="F4818">
        <v>892.09</v>
      </c>
      <c r="G4818">
        <v>230201</v>
      </c>
      <c r="H4818">
        <v>4370</v>
      </c>
      <c r="I4818" t="s">
        <v>25</v>
      </c>
      <c r="J4818">
        <v>892.09</v>
      </c>
      <c r="K4818">
        <v>0</v>
      </c>
      <c r="L4818">
        <v>11001</v>
      </c>
      <c r="M4818" t="s">
        <v>326</v>
      </c>
      <c r="N4818" t="str">
        <f t="shared" ref="N4818:N4850" si="96">"1017156405  "</f>
        <v xml:space="preserve">1017156405  </v>
      </c>
      <c r="O4818">
        <v>230224</v>
      </c>
    </row>
    <row r="4819" spans="1:15" x14ac:dyDescent="0.25">
      <c r="A4819" t="s">
        <v>16</v>
      </c>
      <c r="B4819" t="s">
        <v>3221</v>
      </c>
      <c r="C4819">
        <v>2287</v>
      </c>
      <c r="D4819" t="s">
        <v>3185</v>
      </c>
      <c r="E4819" t="s">
        <v>3186</v>
      </c>
      <c r="F4819">
        <v>730.59</v>
      </c>
      <c r="G4819">
        <v>230201</v>
      </c>
      <c r="H4819">
        <v>4370</v>
      </c>
      <c r="I4819" t="s">
        <v>25</v>
      </c>
      <c r="J4819">
        <v>730.59</v>
      </c>
      <c r="K4819">
        <v>0</v>
      </c>
      <c r="L4819">
        <v>17527</v>
      </c>
      <c r="M4819" t="s">
        <v>422</v>
      </c>
      <c r="N4819" t="str">
        <f t="shared" si="96"/>
        <v xml:space="preserve">1017156405  </v>
      </c>
      <c r="O4819">
        <v>230224</v>
      </c>
    </row>
    <row r="4820" spans="1:15" x14ac:dyDescent="0.25">
      <c r="A4820" t="s">
        <v>16</v>
      </c>
      <c r="B4820" t="s">
        <v>3221</v>
      </c>
      <c r="C4820">
        <v>2287</v>
      </c>
      <c r="D4820" t="s">
        <v>3185</v>
      </c>
      <c r="E4820" t="s">
        <v>3186</v>
      </c>
      <c r="F4820">
        <v>2180.46</v>
      </c>
      <c r="G4820">
        <v>230201</v>
      </c>
      <c r="H4820">
        <v>4370</v>
      </c>
      <c r="I4820" t="s">
        <v>25</v>
      </c>
      <c r="J4820">
        <v>2180.46</v>
      </c>
      <c r="K4820">
        <v>0</v>
      </c>
      <c r="L4820">
        <v>17538</v>
      </c>
      <c r="M4820" t="s">
        <v>24</v>
      </c>
      <c r="N4820" t="str">
        <f t="shared" si="96"/>
        <v xml:space="preserve">1017156405  </v>
      </c>
      <c r="O4820">
        <v>230224</v>
      </c>
    </row>
    <row r="4821" spans="1:15" x14ac:dyDescent="0.25">
      <c r="A4821" t="s">
        <v>16</v>
      </c>
      <c r="B4821" t="s">
        <v>3221</v>
      </c>
      <c r="C4821">
        <v>2287</v>
      </c>
      <c r="D4821" t="s">
        <v>3185</v>
      </c>
      <c r="E4821" t="s">
        <v>3186</v>
      </c>
      <c r="F4821">
        <v>715.9</v>
      </c>
      <c r="G4821">
        <v>230201</v>
      </c>
      <c r="H4821">
        <v>4370</v>
      </c>
      <c r="I4821" t="s">
        <v>25</v>
      </c>
      <c r="J4821">
        <v>715.9</v>
      </c>
      <c r="K4821">
        <v>0</v>
      </c>
      <c r="L4821">
        <v>17711</v>
      </c>
      <c r="M4821" t="s">
        <v>65</v>
      </c>
      <c r="N4821" t="str">
        <f t="shared" si="96"/>
        <v xml:space="preserve">1017156405  </v>
      </c>
      <c r="O4821">
        <v>230224</v>
      </c>
    </row>
    <row r="4822" spans="1:15" x14ac:dyDescent="0.25">
      <c r="A4822" t="s">
        <v>16</v>
      </c>
      <c r="B4822" t="s">
        <v>3221</v>
      </c>
      <c r="C4822">
        <v>2287</v>
      </c>
      <c r="D4822" t="s">
        <v>3185</v>
      </c>
      <c r="E4822" t="s">
        <v>3186</v>
      </c>
      <c r="F4822">
        <v>1640.07</v>
      </c>
      <c r="G4822">
        <v>230201</v>
      </c>
      <c r="H4822">
        <v>4370</v>
      </c>
      <c r="I4822" t="s">
        <v>25</v>
      </c>
      <c r="J4822">
        <v>1640.07</v>
      </c>
      <c r="K4822">
        <v>0</v>
      </c>
      <c r="L4822">
        <v>17711</v>
      </c>
      <c r="M4822" t="s">
        <v>65</v>
      </c>
      <c r="N4822" t="str">
        <f t="shared" si="96"/>
        <v xml:space="preserve">1017156405  </v>
      </c>
      <c r="O4822">
        <v>230224</v>
      </c>
    </row>
    <row r="4823" spans="1:15" x14ac:dyDescent="0.25">
      <c r="A4823" t="s">
        <v>16</v>
      </c>
      <c r="B4823" t="s">
        <v>3221</v>
      </c>
      <c r="C4823">
        <v>2287</v>
      </c>
      <c r="D4823" t="s">
        <v>3185</v>
      </c>
      <c r="E4823" t="s">
        <v>3186</v>
      </c>
      <c r="F4823">
        <v>924.17</v>
      </c>
      <c r="G4823">
        <v>230201</v>
      </c>
      <c r="H4823">
        <v>4370</v>
      </c>
      <c r="I4823" t="s">
        <v>25</v>
      </c>
      <c r="J4823">
        <v>924.17</v>
      </c>
      <c r="K4823">
        <v>0</v>
      </c>
      <c r="L4823">
        <v>17737</v>
      </c>
      <c r="M4823" t="s">
        <v>279</v>
      </c>
      <c r="N4823" t="str">
        <f t="shared" si="96"/>
        <v xml:space="preserve">1017156405  </v>
      </c>
      <c r="O4823">
        <v>230224</v>
      </c>
    </row>
    <row r="4824" spans="1:15" x14ac:dyDescent="0.25">
      <c r="A4824" t="s">
        <v>16</v>
      </c>
      <c r="B4824" t="s">
        <v>3221</v>
      </c>
      <c r="C4824">
        <v>2287</v>
      </c>
      <c r="D4824" t="s">
        <v>3185</v>
      </c>
      <c r="E4824" t="s">
        <v>3186</v>
      </c>
      <c r="F4824">
        <v>1549.93</v>
      </c>
      <c r="G4824">
        <v>230201</v>
      </c>
      <c r="H4824">
        <v>4370</v>
      </c>
      <c r="I4824" t="s">
        <v>25</v>
      </c>
      <c r="J4824">
        <v>1549.93</v>
      </c>
      <c r="K4824">
        <v>0</v>
      </c>
      <c r="L4824">
        <v>17802</v>
      </c>
      <c r="M4824" t="s">
        <v>174</v>
      </c>
      <c r="N4824" t="str">
        <f t="shared" si="96"/>
        <v xml:space="preserve">1017156405  </v>
      </c>
      <c r="O4824">
        <v>230224</v>
      </c>
    </row>
    <row r="4825" spans="1:15" x14ac:dyDescent="0.25">
      <c r="A4825" t="s">
        <v>16</v>
      </c>
      <c r="B4825" t="s">
        <v>3221</v>
      </c>
      <c r="C4825">
        <v>2287</v>
      </c>
      <c r="D4825" t="s">
        <v>3185</v>
      </c>
      <c r="E4825" t="s">
        <v>3186</v>
      </c>
      <c r="F4825">
        <v>20.6</v>
      </c>
      <c r="G4825">
        <v>230201</v>
      </c>
      <c r="H4825">
        <v>4370</v>
      </c>
      <c r="I4825" t="s">
        <v>25</v>
      </c>
      <c r="J4825">
        <v>20.6</v>
      </c>
      <c r="K4825">
        <v>0</v>
      </c>
      <c r="L4825">
        <v>17803</v>
      </c>
      <c r="M4825" t="s">
        <v>389</v>
      </c>
      <c r="N4825" t="str">
        <f t="shared" si="96"/>
        <v xml:space="preserve">1017156405  </v>
      </c>
      <c r="O4825">
        <v>230224</v>
      </c>
    </row>
    <row r="4826" spans="1:15" x14ac:dyDescent="0.25">
      <c r="A4826" t="s">
        <v>16</v>
      </c>
      <c r="B4826" t="s">
        <v>3221</v>
      </c>
      <c r="C4826">
        <v>2287</v>
      </c>
      <c r="D4826" t="s">
        <v>3185</v>
      </c>
      <c r="E4826" t="s">
        <v>3186</v>
      </c>
      <c r="F4826">
        <v>2083.94</v>
      </c>
      <c r="G4826">
        <v>230201</v>
      </c>
      <c r="H4826">
        <v>4370</v>
      </c>
      <c r="I4826" t="s">
        <v>25</v>
      </c>
      <c r="J4826">
        <v>2083.94</v>
      </c>
      <c r="K4826">
        <v>0</v>
      </c>
      <c r="L4826">
        <v>17808</v>
      </c>
      <c r="M4826" t="s">
        <v>322</v>
      </c>
      <c r="N4826" t="str">
        <f t="shared" si="96"/>
        <v xml:space="preserve">1017156405  </v>
      </c>
      <c r="O4826">
        <v>230224</v>
      </c>
    </row>
    <row r="4827" spans="1:15" x14ac:dyDescent="0.25">
      <c r="A4827" t="s">
        <v>16</v>
      </c>
      <c r="B4827" t="s">
        <v>3221</v>
      </c>
      <c r="C4827">
        <v>2287</v>
      </c>
      <c r="D4827" t="s">
        <v>3185</v>
      </c>
      <c r="E4827" t="s">
        <v>3186</v>
      </c>
      <c r="F4827">
        <v>570.84</v>
      </c>
      <c r="G4827">
        <v>230201</v>
      </c>
      <c r="H4827">
        <v>4370</v>
      </c>
      <c r="I4827" t="s">
        <v>25</v>
      </c>
      <c r="J4827">
        <v>570.84</v>
      </c>
      <c r="K4827">
        <v>0</v>
      </c>
      <c r="L4827">
        <v>17809</v>
      </c>
      <c r="M4827" t="s">
        <v>376</v>
      </c>
      <c r="N4827" t="str">
        <f t="shared" si="96"/>
        <v xml:space="preserve">1017156405  </v>
      </c>
      <c r="O4827">
        <v>230224</v>
      </c>
    </row>
    <row r="4828" spans="1:15" x14ac:dyDescent="0.25">
      <c r="A4828" t="s">
        <v>16</v>
      </c>
      <c r="B4828" t="s">
        <v>3221</v>
      </c>
      <c r="C4828">
        <v>2287</v>
      </c>
      <c r="D4828" t="s">
        <v>3185</v>
      </c>
      <c r="E4828" t="s">
        <v>3186</v>
      </c>
      <c r="F4828">
        <v>892.09</v>
      </c>
      <c r="G4828">
        <v>230201</v>
      </c>
      <c r="H4828">
        <v>4370</v>
      </c>
      <c r="I4828" t="s">
        <v>25</v>
      </c>
      <c r="J4828">
        <v>892.09</v>
      </c>
      <c r="K4828">
        <v>0</v>
      </c>
      <c r="L4828">
        <v>18972</v>
      </c>
      <c r="M4828" t="s">
        <v>163</v>
      </c>
      <c r="N4828" t="str">
        <f t="shared" si="96"/>
        <v xml:space="preserve">1017156405  </v>
      </c>
      <c r="O4828">
        <v>230224</v>
      </c>
    </row>
    <row r="4829" spans="1:15" x14ac:dyDescent="0.25">
      <c r="A4829" t="s">
        <v>16</v>
      </c>
      <c r="B4829" t="s">
        <v>3221</v>
      </c>
      <c r="C4829">
        <v>2287</v>
      </c>
      <c r="D4829" t="s">
        <v>3185</v>
      </c>
      <c r="E4829" t="s">
        <v>3186</v>
      </c>
      <c r="F4829">
        <v>52.84</v>
      </c>
      <c r="G4829">
        <v>230201</v>
      </c>
      <c r="H4829">
        <v>4370</v>
      </c>
      <c r="I4829" t="s">
        <v>25</v>
      </c>
      <c r="J4829">
        <v>52.84</v>
      </c>
      <c r="K4829">
        <v>0</v>
      </c>
      <c r="L4829">
        <v>46554</v>
      </c>
      <c r="M4829" t="s">
        <v>117</v>
      </c>
      <c r="N4829" t="str">
        <f t="shared" si="96"/>
        <v xml:space="preserve">1017156405  </v>
      </c>
      <c r="O4829">
        <v>230224</v>
      </c>
    </row>
    <row r="4830" spans="1:15" x14ac:dyDescent="0.25">
      <c r="A4830" t="s">
        <v>16</v>
      </c>
      <c r="B4830" t="s">
        <v>3221</v>
      </c>
      <c r="C4830">
        <v>2287</v>
      </c>
      <c r="D4830" t="s">
        <v>3185</v>
      </c>
      <c r="E4830" t="s">
        <v>3186</v>
      </c>
      <c r="F4830">
        <v>222.49</v>
      </c>
      <c r="G4830">
        <v>230201</v>
      </c>
      <c r="H4830">
        <v>4370</v>
      </c>
      <c r="I4830" t="s">
        <v>25</v>
      </c>
      <c r="J4830">
        <v>222.49</v>
      </c>
      <c r="K4830">
        <v>0</v>
      </c>
      <c r="L4830">
        <v>46556</v>
      </c>
      <c r="M4830" t="s">
        <v>125</v>
      </c>
      <c r="N4830" t="str">
        <f t="shared" si="96"/>
        <v xml:space="preserve">1017156405  </v>
      </c>
      <c r="O4830">
        <v>230224</v>
      </c>
    </row>
    <row r="4831" spans="1:15" x14ac:dyDescent="0.25">
      <c r="A4831" t="s">
        <v>16</v>
      </c>
      <c r="B4831" t="s">
        <v>3221</v>
      </c>
      <c r="C4831">
        <v>2287</v>
      </c>
      <c r="D4831" t="s">
        <v>3185</v>
      </c>
      <c r="E4831" t="s">
        <v>3186</v>
      </c>
      <c r="F4831">
        <v>91.37</v>
      </c>
      <c r="G4831">
        <v>230201</v>
      </c>
      <c r="H4831">
        <v>4370</v>
      </c>
      <c r="I4831" t="s">
        <v>25</v>
      </c>
      <c r="J4831">
        <v>91.37</v>
      </c>
      <c r="K4831">
        <v>0</v>
      </c>
      <c r="L4831">
        <v>47522</v>
      </c>
      <c r="M4831" t="s">
        <v>410</v>
      </c>
      <c r="N4831" t="str">
        <f t="shared" si="96"/>
        <v xml:space="preserve">1017156405  </v>
      </c>
      <c r="O4831">
        <v>230224</v>
      </c>
    </row>
    <row r="4832" spans="1:15" x14ac:dyDescent="0.25">
      <c r="A4832" t="s">
        <v>16</v>
      </c>
      <c r="B4832" t="s">
        <v>3221</v>
      </c>
      <c r="C4832">
        <v>2287</v>
      </c>
      <c r="D4832" t="s">
        <v>3185</v>
      </c>
      <c r="E4832" t="s">
        <v>3186</v>
      </c>
      <c r="F4832">
        <v>93.41</v>
      </c>
      <c r="G4832">
        <v>230201</v>
      </c>
      <c r="H4832">
        <v>4370</v>
      </c>
      <c r="I4832" t="s">
        <v>25</v>
      </c>
      <c r="J4832">
        <v>93.41</v>
      </c>
      <c r="K4832">
        <v>0</v>
      </c>
      <c r="L4832">
        <v>49501</v>
      </c>
      <c r="M4832" t="s">
        <v>177</v>
      </c>
      <c r="N4832" t="str">
        <f t="shared" si="96"/>
        <v xml:space="preserve">1017156405  </v>
      </c>
      <c r="O4832">
        <v>230224</v>
      </c>
    </row>
    <row r="4833" spans="1:15" x14ac:dyDescent="0.25">
      <c r="A4833" t="s">
        <v>16</v>
      </c>
      <c r="B4833" t="s">
        <v>3221</v>
      </c>
      <c r="C4833">
        <v>2287</v>
      </c>
      <c r="D4833" t="s">
        <v>3185</v>
      </c>
      <c r="E4833" t="s">
        <v>3186</v>
      </c>
      <c r="F4833">
        <v>531.95000000000005</v>
      </c>
      <c r="G4833">
        <v>230201</v>
      </c>
      <c r="H4833">
        <v>4370</v>
      </c>
      <c r="I4833" t="s">
        <v>25</v>
      </c>
      <c r="J4833">
        <v>531.95000000000005</v>
      </c>
      <c r="K4833">
        <v>0</v>
      </c>
      <c r="L4833">
        <v>49701</v>
      </c>
      <c r="M4833" t="s">
        <v>166</v>
      </c>
      <c r="N4833" t="str">
        <f t="shared" si="96"/>
        <v xml:space="preserve">1017156405  </v>
      </c>
      <c r="O4833">
        <v>230224</v>
      </c>
    </row>
    <row r="4834" spans="1:15" x14ac:dyDescent="0.25">
      <c r="A4834" t="s">
        <v>16</v>
      </c>
      <c r="B4834" t="s">
        <v>3221</v>
      </c>
      <c r="C4834">
        <v>2287</v>
      </c>
      <c r="D4834" t="s">
        <v>3185</v>
      </c>
      <c r="E4834" t="s">
        <v>3186</v>
      </c>
      <c r="F4834">
        <v>125.05</v>
      </c>
      <c r="G4834">
        <v>230201</v>
      </c>
      <c r="H4834">
        <v>4370</v>
      </c>
      <c r="I4834" t="s">
        <v>25</v>
      </c>
      <c r="J4834">
        <v>125.05</v>
      </c>
      <c r="K4834">
        <v>0</v>
      </c>
      <c r="L4834">
        <v>56558</v>
      </c>
      <c r="M4834" t="s">
        <v>217</v>
      </c>
      <c r="N4834" t="str">
        <f t="shared" si="96"/>
        <v xml:space="preserve">1017156405  </v>
      </c>
      <c r="O4834">
        <v>230224</v>
      </c>
    </row>
    <row r="4835" spans="1:15" x14ac:dyDescent="0.25">
      <c r="A4835" t="s">
        <v>16</v>
      </c>
      <c r="B4835" t="s">
        <v>3221</v>
      </c>
      <c r="C4835">
        <v>2287</v>
      </c>
      <c r="D4835" t="s">
        <v>3185</v>
      </c>
      <c r="E4835" t="s">
        <v>3186</v>
      </c>
      <c r="F4835">
        <v>261.39</v>
      </c>
      <c r="G4835">
        <v>230201</v>
      </c>
      <c r="H4835">
        <v>4370</v>
      </c>
      <c r="I4835" t="s">
        <v>25</v>
      </c>
      <c r="J4835">
        <v>261.39</v>
      </c>
      <c r="K4835">
        <v>0</v>
      </c>
      <c r="L4835">
        <v>56559</v>
      </c>
      <c r="M4835" t="s">
        <v>129</v>
      </c>
      <c r="N4835" t="str">
        <f t="shared" si="96"/>
        <v xml:space="preserve">1017156405  </v>
      </c>
      <c r="O4835">
        <v>230224</v>
      </c>
    </row>
    <row r="4836" spans="1:15" x14ac:dyDescent="0.25">
      <c r="A4836" t="s">
        <v>16</v>
      </c>
      <c r="B4836" t="s">
        <v>3221</v>
      </c>
      <c r="C4836">
        <v>2287</v>
      </c>
      <c r="D4836" t="s">
        <v>3185</v>
      </c>
      <c r="E4836" t="s">
        <v>3186</v>
      </c>
      <c r="F4836">
        <v>102.08</v>
      </c>
      <c r="G4836">
        <v>230201</v>
      </c>
      <c r="H4836">
        <v>4370</v>
      </c>
      <c r="I4836" t="s">
        <v>25</v>
      </c>
      <c r="J4836">
        <v>102.08</v>
      </c>
      <c r="K4836">
        <v>0</v>
      </c>
      <c r="L4836">
        <v>56562</v>
      </c>
      <c r="M4836" t="s">
        <v>126</v>
      </c>
      <c r="N4836" t="str">
        <f t="shared" si="96"/>
        <v xml:space="preserve">1017156405  </v>
      </c>
      <c r="O4836">
        <v>230224</v>
      </c>
    </row>
    <row r="4837" spans="1:15" x14ac:dyDescent="0.25">
      <c r="A4837" t="s">
        <v>16</v>
      </c>
      <c r="B4837" t="s">
        <v>3221</v>
      </c>
      <c r="C4837">
        <v>2287</v>
      </c>
      <c r="D4837" t="s">
        <v>3185</v>
      </c>
      <c r="E4837" t="s">
        <v>3186</v>
      </c>
      <c r="F4837">
        <v>298.19</v>
      </c>
      <c r="G4837">
        <v>230201</v>
      </c>
      <c r="H4837">
        <v>4370</v>
      </c>
      <c r="I4837" t="s">
        <v>25</v>
      </c>
      <c r="J4837">
        <v>298.19</v>
      </c>
      <c r="K4837">
        <v>0</v>
      </c>
      <c r="L4837">
        <v>56564</v>
      </c>
      <c r="M4837" t="s">
        <v>327</v>
      </c>
      <c r="N4837" t="str">
        <f t="shared" si="96"/>
        <v xml:space="preserve">1017156405  </v>
      </c>
      <c r="O4837">
        <v>230224</v>
      </c>
    </row>
    <row r="4838" spans="1:15" x14ac:dyDescent="0.25">
      <c r="A4838" t="s">
        <v>16</v>
      </c>
      <c r="B4838" t="s">
        <v>3221</v>
      </c>
      <c r="C4838">
        <v>2287</v>
      </c>
      <c r="D4838" t="s">
        <v>3185</v>
      </c>
      <c r="E4838" t="s">
        <v>3186</v>
      </c>
      <c r="F4838">
        <v>105.9</v>
      </c>
      <c r="G4838">
        <v>230201</v>
      </c>
      <c r="H4838">
        <v>4370</v>
      </c>
      <c r="I4838" t="s">
        <v>25</v>
      </c>
      <c r="J4838">
        <v>105.9</v>
      </c>
      <c r="K4838">
        <v>0</v>
      </c>
      <c r="L4838">
        <v>59501</v>
      </c>
      <c r="M4838" t="s">
        <v>69</v>
      </c>
      <c r="N4838" t="str">
        <f t="shared" si="96"/>
        <v xml:space="preserve">1017156405  </v>
      </c>
      <c r="O4838">
        <v>230224</v>
      </c>
    </row>
    <row r="4839" spans="1:15" x14ac:dyDescent="0.25">
      <c r="A4839" t="s">
        <v>16</v>
      </c>
      <c r="B4839" t="s">
        <v>3221</v>
      </c>
      <c r="C4839">
        <v>2287</v>
      </c>
      <c r="D4839" t="s">
        <v>3185</v>
      </c>
      <c r="E4839" t="s">
        <v>3186</v>
      </c>
      <c r="F4839">
        <v>58.08</v>
      </c>
      <c r="G4839">
        <v>230201</v>
      </c>
      <c r="H4839">
        <v>4370</v>
      </c>
      <c r="I4839" t="s">
        <v>25</v>
      </c>
      <c r="J4839">
        <v>58.08</v>
      </c>
      <c r="K4839">
        <v>0</v>
      </c>
      <c r="L4839">
        <v>59504</v>
      </c>
      <c r="M4839" t="s">
        <v>71</v>
      </c>
      <c r="N4839" t="str">
        <f t="shared" si="96"/>
        <v xml:space="preserve">1017156405  </v>
      </c>
      <c r="O4839">
        <v>230224</v>
      </c>
    </row>
    <row r="4840" spans="1:15" x14ac:dyDescent="0.25">
      <c r="A4840" t="s">
        <v>16</v>
      </c>
      <c r="B4840" t="s">
        <v>3221</v>
      </c>
      <c r="C4840">
        <v>2287</v>
      </c>
      <c r="D4840" t="s">
        <v>3185</v>
      </c>
      <c r="E4840" t="s">
        <v>3186</v>
      </c>
      <c r="F4840">
        <v>63.23</v>
      </c>
      <c r="G4840">
        <v>230201</v>
      </c>
      <c r="H4840">
        <v>4370</v>
      </c>
      <c r="I4840" t="s">
        <v>25</v>
      </c>
      <c r="J4840">
        <v>63.23</v>
      </c>
      <c r="K4840">
        <v>0</v>
      </c>
      <c r="L4840">
        <v>59505</v>
      </c>
      <c r="M4840" t="s">
        <v>72</v>
      </c>
      <c r="N4840" t="str">
        <f t="shared" si="96"/>
        <v xml:space="preserve">1017156405  </v>
      </c>
      <c r="O4840">
        <v>230224</v>
      </c>
    </row>
    <row r="4841" spans="1:15" x14ac:dyDescent="0.25">
      <c r="A4841" t="s">
        <v>16</v>
      </c>
      <c r="B4841" t="s">
        <v>3221</v>
      </c>
      <c r="C4841">
        <v>2287</v>
      </c>
      <c r="D4841" t="s">
        <v>3185</v>
      </c>
      <c r="E4841" t="s">
        <v>3186</v>
      </c>
      <c r="F4841">
        <v>711.22</v>
      </c>
      <c r="G4841">
        <v>230201</v>
      </c>
      <c r="H4841">
        <v>4370</v>
      </c>
      <c r="I4841" t="s">
        <v>25</v>
      </c>
      <c r="J4841">
        <v>711.22</v>
      </c>
      <c r="K4841">
        <v>0</v>
      </c>
      <c r="L4841">
        <v>59702</v>
      </c>
      <c r="M4841" t="s">
        <v>328</v>
      </c>
      <c r="N4841" t="str">
        <f t="shared" si="96"/>
        <v xml:space="preserve">1017156405  </v>
      </c>
      <c r="O4841">
        <v>230224</v>
      </c>
    </row>
    <row r="4842" spans="1:15" x14ac:dyDescent="0.25">
      <c r="A4842" t="s">
        <v>16</v>
      </c>
      <c r="B4842" t="s">
        <v>3221</v>
      </c>
      <c r="C4842">
        <v>2287</v>
      </c>
      <c r="D4842" t="s">
        <v>3185</v>
      </c>
      <c r="E4842" t="s">
        <v>3186</v>
      </c>
      <c r="F4842">
        <v>193.67</v>
      </c>
      <c r="G4842">
        <v>230201</v>
      </c>
      <c r="H4842">
        <v>4370</v>
      </c>
      <c r="I4842" t="s">
        <v>25</v>
      </c>
      <c r="J4842">
        <v>193.67</v>
      </c>
      <c r="K4842">
        <v>0</v>
      </c>
      <c r="L4842">
        <v>66722</v>
      </c>
      <c r="M4842" t="s">
        <v>518</v>
      </c>
      <c r="N4842" t="str">
        <f t="shared" si="96"/>
        <v xml:space="preserve">1017156405  </v>
      </c>
      <c r="O4842">
        <v>230224</v>
      </c>
    </row>
    <row r="4843" spans="1:15" x14ac:dyDescent="0.25">
      <c r="A4843" t="s">
        <v>16</v>
      </c>
      <c r="B4843" t="s">
        <v>3221</v>
      </c>
      <c r="C4843">
        <v>2287</v>
      </c>
      <c r="D4843" t="s">
        <v>3185</v>
      </c>
      <c r="E4843" t="s">
        <v>3186</v>
      </c>
      <c r="F4843">
        <v>781.41</v>
      </c>
      <c r="G4843">
        <v>230201</v>
      </c>
      <c r="H4843">
        <v>4370</v>
      </c>
      <c r="I4843" t="s">
        <v>25</v>
      </c>
      <c r="J4843">
        <v>781.41</v>
      </c>
      <c r="K4843">
        <v>0</v>
      </c>
      <c r="L4843">
        <v>66754</v>
      </c>
      <c r="M4843" t="s">
        <v>239</v>
      </c>
      <c r="N4843" t="str">
        <f t="shared" si="96"/>
        <v xml:space="preserve">1017156405  </v>
      </c>
      <c r="O4843">
        <v>230224</v>
      </c>
    </row>
    <row r="4844" spans="1:15" x14ac:dyDescent="0.25">
      <c r="A4844" t="s">
        <v>16</v>
      </c>
      <c r="B4844" t="s">
        <v>3221</v>
      </c>
      <c r="C4844">
        <v>2287</v>
      </c>
      <c r="D4844" t="s">
        <v>3185</v>
      </c>
      <c r="E4844" t="s">
        <v>3186</v>
      </c>
      <c r="F4844">
        <v>319.18</v>
      </c>
      <c r="G4844">
        <v>230201</v>
      </c>
      <c r="H4844">
        <v>4370</v>
      </c>
      <c r="I4844" t="s">
        <v>25</v>
      </c>
      <c r="J4844">
        <v>319.18</v>
      </c>
      <c r="K4844">
        <v>0</v>
      </c>
      <c r="L4844">
        <v>66756</v>
      </c>
      <c r="M4844" t="s">
        <v>209</v>
      </c>
      <c r="N4844" t="str">
        <f t="shared" si="96"/>
        <v xml:space="preserve">1017156405  </v>
      </c>
      <c r="O4844">
        <v>230224</v>
      </c>
    </row>
    <row r="4845" spans="1:15" x14ac:dyDescent="0.25">
      <c r="A4845" t="s">
        <v>16</v>
      </c>
      <c r="B4845" t="s">
        <v>3221</v>
      </c>
      <c r="C4845">
        <v>2287</v>
      </c>
      <c r="D4845" t="s">
        <v>3185</v>
      </c>
      <c r="E4845" t="s">
        <v>3186</v>
      </c>
      <c r="F4845">
        <v>1463.62</v>
      </c>
      <c r="G4845">
        <v>230201</v>
      </c>
      <c r="H4845">
        <v>4370</v>
      </c>
      <c r="I4845" t="s">
        <v>25</v>
      </c>
      <c r="J4845">
        <v>1463.62</v>
      </c>
      <c r="K4845">
        <v>0</v>
      </c>
      <c r="L4845">
        <v>67522</v>
      </c>
      <c r="M4845" t="s">
        <v>397</v>
      </c>
      <c r="N4845" t="str">
        <f t="shared" si="96"/>
        <v xml:space="preserve">1017156405  </v>
      </c>
      <c r="O4845">
        <v>230224</v>
      </c>
    </row>
    <row r="4846" spans="1:15" x14ac:dyDescent="0.25">
      <c r="A4846" t="s">
        <v>16</v>
      </c>
      <c r="B4846" t="s">
        <v>3221</v>
      </c>
      <c r="C4846">
        <v>2287</v>
      </c>
      <c r="D4846" t="s">
        <v>3185</v>
      </c>
      <c r="E4846" t="s">
        <v>3186</v>
      </c>
      <c r="F4846">
        <v>730.8</v>
      </c>
      <c r="G4846">
        <v>230201</v>
      </c>
      <c r="H4846">
        <v>4370</v>
      </c>
      <c r="I4846" t="s">
        <v>25</v>
      </c>
      <c r="J4846">
        <v>730.8</v>
      </c>
      <c r="K4846">
        <v>0</v>
      </c>
      <c r="L4846">
        <v>67522</v>
      </c>
      <c r="M4846" t="s">
        <v>397</v>
      </c>
      <c r="N4846" t="str">
        <f t="shared" si="96"/>
        <v xml:space="preserve">1017156405  </v>
      </c>
      <c r="O4846">
        <v>230224</v>
      </c>
    </row>
    <row r="4847" spans="1:15" x14ac:dyDescent="0.25">
      <c r="A4847" t="s">
        <v>16</v>
      </c>
      <c r="B4847" t="s">
        <v>3221</v>
      </c>
      <c r="C4847">
        <v>2287</v>
      </c>
      <c r="D4847" t="s">
        <v>3185</v>
      </c>
      <c r="E4847" t="s">
        <v>3186</v>
      </c>
      <c r="F4847">
        <v>1959.6</v>
      </c>
      <c r="G4847">
        <v>230201</v>
      </c>
      <c r="H4847">
        <v>4370</v>
      </c>
      <c r="I4847" t="s">
        <v>25</v>
      </c>
      <c r="J4847">
        <v>1959.6</v>
      </c>
      <c r="K4847">
        <v>0</v>
      </c>
      <c r="L4847">
        <v>67554</v>
      </c>
      <c r="M4847" t="s">
        <v>60</v>
      </c>
      <c r="N4847" t="str">
        <f t="shared" si="96"/>
        <v xml:space="preserve">1017156405  </v>
      </c>
      <c r="O4847">
        <v>230224</v>
      </c>
    </row>
    <row r="4848" spans="1:15" x14ac:dyDescent="0.25">
      <c r="A4848" t="s">
        <v>16</v>
      </c>
      <c r="B4848" t="s">
        <v>3221</v>
      </c>
      <c r="C4848">
        <v>2287</v>
      </c>
      <c r="D4848" t="s">
        <v>3185</v>
      </c>
      <c r="E4848" t="s">
        <v>3186</v>
      </c>
      <c r="F4848">
        <v>406.9</v>
      </c>
      <c r="G4848">
        <v>230201</v>
      </c>
      <c r="H4848">
        <v>4370</v>
      </c>
      <c r="I4848" t="s">
        <v>25</v>
      </c>
      <c r="J4848">
        <v>406.9</v>
      </c>
      <c r="K4848">
        <v>0</v>
      </c>
      <c r="L4848">
        <v>69111</v>
      </c>
      <c r="M4848" t="s">
        <v>471</v>
      </c>
      <c r="N4848" t="str">
        <f t="shared" si="96"/>
        <v xml:space="preserve">1017156405  </v>
      </c>
      <c r="O4848">
        <v>230224</v>
      </c>
    </row>
    <row r="4849" spans="1:15" x14ac:dyDescent="0.25">
      <c r="A4849" t="s">
        <v>16</v>
      </c>
      <c r="B4849" t="s">
        <v>3221</v>
      </c>
      <c r="C4849">
        <v>2287</v>
      </c>
      <c r="D4849" t="s">
        <v>3185</v>
      </c>
      <c r="E4849" t="s">
        <v>3186</v>
      </c>
      <c r="F4849">
        <v>464.93</v>
      </c>
      <c r="G4849">
        <v>230201</v>
      </c>
      <c r="H4849">
        <v>4370</v>
      </c>
      <c r="I4849" t="s">
        <v>25</v>
      </c>
      <c r="J4849">
        <v>464.93</v>
      </c>
      <c r="K4849">
        <v>0</v>
      </c>
      <c r="L4849">
        <v>69501</v>
      </c>
      <c r="M4849" t="s">
        <v>185</v>
      </c>
      <c r="N4849" t="str">
        <f t="shared" si="96"/>
        <v xml:space="preserve">1017156405  </v>
      </c>
      <c r="O4849">
        <v>230224</v>
      </c>
    </row>
    <row r="4850" spans="1:15" x14ac:dyDescent="0.25">
      <c r="A4850" t="s">
        <v>16</v>
      </c>
      <c r="B4850" t="s">
        <v>3221</v>
      </c>
      <c r="C4850">
        <v>2287</v>
      </c>
      <c r="D4850" t="s">
        <v>3185</v>
      </c>
      <c r="E4850" t="s">
        <v>3186</v>
      </c>
      <c r="F4850">
        <v>427.81</v>
      </c>
      <c r="G4850">
        <v>230201</v>
      </c>
      <c r="H4850">
        <v>4370</v>
      </c>
      <c r="I4850" t="s">
        <v>25</v>
      </c>
      <c r="J4850">
        <v>427.81</v>
      </c>
      <c r="K4850">
        <v>0</v>
      </c>
      <c r="L4850">
        <v>69702</v>
      </c>
      <c r="M4850" t="s">
        <v>489</v>
      </c>
      <c r="N4850" t="str">
        <f t="shared" si="96"/>
        <v xml:space="preserve">1017156405  </v>
      </c>
      <c r="O4850">
        <v>230224</v>
      </c>
    </row>
    <row r="4851" spans="1:15" x14ac:dyDescent="0.25">
      <c r="A4851" t="s">
        <v>16</v>
      </c>
      <c r="B4851" t="s">
        <v>3221</v>
      </c>
      <c r="C4851">
        <v>3241</v>
      </c>
      <c r="D4851" t="s">
        <v>3185</v>
      </c>
      <c r="E4851" t="s">
        <v>3186</v>
      </c>
      <c r="F4851">
        <v>763.22</v>
      </c>
      <c r="G4851">
        <v>230227</v>
      </c>
      <c r="H4851">
        <v>4370</v>
      </c>
      <c r="I4851" t="s">
        <v>25</v>
      </c>
      <c r="J4851">
        <v>763.22</v>
      </c>
      <c r="K4851">
        <v>0</v>
      </c>
      <c r="L4851">
        <v>56559</v>
      </c>
      <c r="M4851" t="s">
        <v>129</v>
      </c>
      <c r="N4851" t="str">
        <f>"1017158453  "</f>
        <v xml:space="preserve">1017158453  </v>
      </c>
      <c r="O4851">
        <v>230310</v>
      </c>
    </row>
    <row r="4852" spans="1:15" x14ac:dyDescent="0.25">
      <c r="A4852" t="s">
        <v>16</v>
      </c>
      <c r="B4852" t="s">
        <v>3221</v>
      </c>
      <c r="C4852">
        <v>5156</v>
      </c>
      <c r="D4852" t="s">
        <v>3185</v>
      </c>
      <c r="E4852" t="s">
        <v>3186</v>
      </c>
      <c r="F4852">
        <v>34.21</v>
      </c>
      <c r="G4852">
        <v>230412</v>
      </c>
      <c r="H4852">
        <v>4370</v>
      </c>
      <c r="I4852" t="s">
        <v>25</v>
      </c>
      <c r="J4852">
        <v>34.21</v>
      </c>
      <c r="K4852">
        <v>0</v>
      </c>
      <c r="L4852">
        <v>17737</v>
      </c>
      <c r="M4852" t="s">
        <v>279</v>
      </c>
      <c r="N4852" t="str">
        <f>"1017161981  "</f>
        <v xml:space="preserve">1017161981  </v>
      </c>
      <c r="O4852">
        <v>230418</v>
      </c>
    </row>
    <row r="4853" spans="1:15" x14ac:dyDescent="0.25">
      <c r="A4853" t="s">
        <v>16</v>
      </c>
      <c r="B4853" t="s">
        <v>3221</v>
      </c>
      <c r="C4853">
        <v>9644</v>
      </c>
      <c r="D4853" t="s">
        <v>3185</v>
      </c>
      <c r="E4853" t="s">
        <v>3186</v>
      </c>
      <c r="F4853">
        <v>104.75</v>
      </c>
      <c r="G4853">
        <v>230704</v>
      </c>
      <c r="H4853">
        <v>4370</v>
      </c>
      <c r="I4853" t="s">
        <v>25</v>
      </c>
      <c r="J4853">
        <v>104.75</v>
      </c>
      <c r="K4853">
        <v>0</v>
      </c>
      <c r="L4853">
        <v>69501</v>
      </c>
      <c r="M4853" t="s">
        <v>185</v>
      </c>
      <c r="N4853" t="str">
        <f>"1017167489  "</f>
        <v xml:space="preserve">1017167489  </v>
      </c>
      <c r="O4853">
        <v>230718</v>
      </c>
    </row>
    <row r="4854" spans="1:15" x14ac:dyDescent="0.25">
      <c r="A4854" t="s">
        <v>16</v>
      </c>
      <c r="B4854" t="s">
        <v>3221</v>
      </c>
      <c r="C4854">
        <v>9660</v>
      </c>
      <c r="D4854" t="s">
        <v>3185</v>
      </c>
      <c r="E4854" t="s">
        <v>3186</v>
      </c>
      <c r="F4854">
        <v>112.78</v>
      </c>
      <c r="G4854">
        <v>230703</v>
      </c>
      <c r="H4854">
        <v>4370</v>
      </c>
      <c r="I4854" t="s">
        <v>25</v>
      </c>
      <c r="J4854">
        <v>112.78</v>
      </c>
      <c r="K4854">
        <v>0</v>
      </c>
      <c r="L4854">
        <v>17912</v>
      </c>
      <c r="M4854" t="s">
        <v>419</v>
      </c>
      <c r="N4854" t="str">
        <f>"84314612896 "</f>
        <v xml:space="preserve">84314612896 </v>
      </c>
      <c r="O4854">
        <v>230718</v>
      </c>
    </row>
    <row r="4855" spans="1:15" x14ac:dyDescent="0.25">
      <c r="A4855" t="s">
        <v>16</v>
      </c>
      <c r="B4855" t="s">
        <v>3221</v>
      </c>
      <c r="C4855">
        <v>10385</v>
      </c>
      <c r="D4855" t="s">
        <v>3185</v>
      </c>
      <c r="E4855" t="s">
        <v>3186</v>
      </c>
      <c r="F4855">
        <v>88.86</v>
      </c>
      <c r="G4855">
        <v>230801</v>
      </c>
      <c r="H4855">
        <v>4370</v>
      </c>
      <c r="I4855" t="s">
        <v>25</v>
      </c>
      <c r="J4855">
        <v>88.86</v>
      </c>
      <c r="K4855">
        <v>0</v>
      </c>
      <c r="L4855">
        <v>66756</v>
      </c>
      <c r="M4855" t="s">
        <v>209</v>
      </c>
      <c r="N4855" t="str">
        <f>"1017169212  "</f>
        <v xml:space="preserve">1017169212  </v>
      </c>
      <c r="O4855">
        <v>230815</v>
      </c>
    </row>
    <row r="4856" spans="1:15" x14ac:dyDescent="0.25">
      <c r="A4856" t="s">
        <v>16</v>
      </c>
      <c r="B4856" t="s">
        <v>3221</v>
      </c>
      <c r="C4856">
        <v>10385</v>
      </c>
      <c r="D4856" t="s">
        <v>3185</v>
      </c>
      <c r="E4856" t="s">
        <v>3186</v>
      </c>
      <c r="F4856">
        <v>288.44</v>
      </c>
      <c r="G4856">
        <v>230801</v>
      </c>
      <c r="H4856">
        <v>4370</v>
      </c>
      <c r="I4856" t="s">
        <v>25</v>
      </c>
      <c r="J4856">
        <v>288.44</v>
      </c>
      <c r="K4856">
        <v>0</v>
      </c>
      <c r="L4856">
        <v>67522</v>
      </c>
      <c r="M4856" t="s">
        <v>397</v>
      </c>
      <c r="N4856" t="str">
        <f>"1017169212  "</f>
        <v xml:space="preserve">1017169212  </v>
      </c>
      <c r="O4856">
        <v>230815</v>
      </c>
    </row>
    <row r="4857" spans="1:15" x14ac:dyDescent="0.25">
      <c r="A4857" t="s">
        <v>16</v>
      </c>
      <c r="B4857" t="s">
        <v>3221</v>
      </c>
      <c r="C4857">
        <v>10385</v>
      </c>
      <c r="D4857" t="s">
        <v>3185</v>
      </c>
      <c r="E4857" t="s">
        <v>3186</v>
      </c>
      <c r="F4857">
        <v>134.26</v>
      </c>
      <c r="G4857">
        <v>230801</v>
      </c>
      <c r="H4857">
        <v>4370</v>
      </c>
      <c r="I4857" t="s">
        <v>25</v>
      </c>
      <c r="J4857">
        <v>134.26</v>
      </c>
      <c r="K4857">
        <v>0</v>
      </c>
      <c r="L4857">
        <v>67522</v>
      </c>
      <c r="M4857" t="s">
        <v>397</v>
      </c>
      <c r="N4857" t="str">
        <f>"1017169212  "</f>
        <v xml:space="preserve">1017169212  </v>
      </c>
      <c r="O4857">
        <v>230815</v>
      </c>
    </row>
    <row r="4858" spans="1:15" x14ac:dyDescent="0.25">
      <c r="A4858" t="s">
        <v>16</v>
      </c>
      <c r="B4858" t="s">
        <v>3221</v>
      </c>
      <c r="C4858">
        <v>10385</v>
      </c>
      <c r="D4858" t="s">
        <v>3185</v>
      </c>
      <c r="E4858" t="s">
        <v>3186</v>
      </c>
      <c r="F4858">
        <v>120.61</v>
      </c>
      <c r="G4858">
        <v>230801</v>
      </c>
      <c r="H4858">
        <v>4370</v>
      </c>
      <c r="I4858" t="s">
        <v>25</v>
      </c>
      <c r="J4858">
        <v>120.61</v>
      </c>
      <c r="K4858">
        <v>0</v>
      </c>
      <c r="L4858">
        <v>69111</v>
      </c>
      <c r="M4858" t="s">
        <v>471</v>
      </c>
      <c r="N4858" t="str">
        <f>"1017169212  "</f>
        <v xml:space="preserve">1017169212  </v>
      </c>
      <c r="O4858">
        <v>230815</v>
      </c>
    </row>
    <row r="4859" spans="1:15" x14ac:dyDescent="0.25">
      <c r="A4859" t="s">
        <v>16</v>
      </c>
      <c r="B4859" t="s">
        <v>3221</v>
      </c>
      <c r="C4859">
        <v>10724</v>
      </c>
      <c r="D4859" t="s">
        <v>3185</v>
      </c>
      <c r="E4859" t="s">
        <v>3186</v>
      </c>
      <c r="F4859">
        <v>326.33999999999997</v>
      </c>
      <c r="G4859">
        <v>230809</v>
      </c>
      <c r="H4859">
        <v>4370</v>
      </c>
      <c r="I4859" t="s">
        <v>25</v>
      </c>
      <c r="J4859">
        <v>326.33999999999997</v>
      </c>
      <c r="K4859">
        <v>0</v>
      </c>
      <c r="L4859">
        <v>46556</v>
      </c>
      <c r="M4859" t="s">
        <v>125</v>
      </c>
      <c r="N4859" t="str">
        <f>"1017169693  "</f>
        <v xml:space="preserve">1017169693  </v>
      </c>
      <c r="O4859">
        <v>230822</v>
      </c>
    </row>
    <row r="4860" spans="1:15" x14ac:dyDescent="0.25">
      <c r="A4860" t="s">
        <v>16</v>
      </c>
      <c r="B4860" t="s">
        <v>3221</v>
      </c>
      <c r="C4860">
        <v>10724</v>
      </c>
      <c r="D4860" t="s">
        <v>3185</v>
      </c>
      <c r="E4860" t="s">
        <v>3186</v>
      </c>
      <c r="F4860">
        <v>213.81</v>
      </c>
      <c r="G4860">
        <v>230809</v>
      </c>
      <c r="H4860">
        <v>4370</v>
      </c>
      <c r="I4860" t="s">
        <v>25</v>
      </c>
      <c r="J4860">
        <v>213.81</v>
      </c>
      <c r="K4860">
        <v>0</v>
      </c>
      <c r="L4860">
        <v>49701</v>
      </c>
      <c r="M4860" t="s">
        <v>166</v>
      </c>
      <c r="N4860" t="str">
        <f>"1017169693  "</f>
        <v xml:space="preserve">1017169693  </v>
      </c>
      <c r="O4860">
        <v>230822</v>
      </c>
    </row>
    <row r="4861" spans="1:15" x14ac:dyDescent="0.25">
      <c r="A4861" t="s">
        <v>16</v>
      </c>
      <c r="B4861" t="s">
        <v>3221</v>
      </c>
      <c r="C4861">
        <v>11196</v>
      </c>
      <c r="D4861" t="s">
        <v>3185</v>
      </c>
      <c r="E4861" t="s">
        <v>3186</v>
      </c>
      <c r="F4861">
        <v>140.08000000000001</v>
      </c>
      <c r="G4861">
        <v>230818</v>
      </c>
      <c r="H4861">
        <v>4370</v>
      </c>
      <c r="I4861" t="s">
        <v>25</v>
      </c>
      <c r="J4861">
        <v>140.08000000000001</v>
      </c>
      <c r="K4861">
        <v>0</v>
      </c>
      <c r="L4861">
        <v>11501</v>
      </c>
      <c r="M4861" t="s">
        <v>339</v>
      </c>
      <c r="N4861" t="str">
        <f>"84317629873 "</f>
        <v xml:space="preserve">84317629873 </v>
      </c>
      <c r="O4861">
        <v>230831</v>
      </c>
    </row>
    <row r="4862" spans="1:15" x14ac:dyDescent="0.25">
      <c r="A4862" t="s">
        <v>16</v>
      </c>
      <c r="B4862" t="s">
        <v>3221</v>
      </c>
      <c r="C4862">
        <v>12142</v>
      </c>
      <c r="D4862" t="s">
        <v>3185</v>
      </c>
      <c r="E4862" t="s">
        <v>3186</v>
      </c>
      <c r="F4862">
        <v>299.82</v>
      </c>
      <c r="G4862">
        <v>230831</v>
      </c>
      <c r="H4862">
        <v>4370</v>
      </c>
      <c r="I4862" t="s">
        <v>25</v>
      </c>
      <c r="J4862">
        <v>299.82</v>
      </c>
      <c r="K4862">
        <v>0</v>
      </c>
      <c r="L4862">
        <v>11001</v>
      </c>
      <c r="M4862" t="s">
        <v>326</v>
      </c>
      <c r="N4862" t="str">
        <f>"1017171183  "</f>
        <v xml:space="preserve">1017171183  </v>
      </c>
      <c r="O4862">
        <v>230914</v>
      </c>
    </row>
    <row r="4863" spans="1:15" x14ac:dyDescent="0.25">
      <c r="A4863" t="s">
        <v>16</v>
      </c>
      <c r="B4863" t="s">
        <v>3221</v>
      </c>
      <c r="C4863">
        <v>13170</v>
      </c>
      <c r="D4863" t="s">
        <v>3185</v>
      </c>
      <c r="E4863" t="s">
        <v>3186</v>
      </c>
      <c r="F4863">
        <v>8.5</v>
      </c>
      <c r="G4863">
        <v>231002</v>
      </c>
      <c r="H4863">
        <v>4370</v>
      </c>
      <c r="I4863" t="s">
        <v>25</v>
      </c>
      <c r="J4863">
        <v>8.5</v>
      </c>
      <c r="K4863">
        <v>0</v>
      </c>
      <c r="L4863">
        <v>67522</v>
      </c>
      <c r="M4863" t="s">
        <v>397</v>
      </c>
      <c r="N4863" t="str">
        <f>"1017172546  "</f>
        <v xml:space="preserve">1017172546  </v>
      </c>
      <c r="O4863">
        <v>231004</v>
      </c>
    </row>
    <row r="4864" spans="1:15" x14ac:dyDescent="0.25">
      <c r="A4864" t="s">
        <v>16</v>
      </c>
      <c r="B4864" t="s">
        <v>3221</v>
      </c>
      <c r="C4864">
        <v>13562</v>
      </c>
      <c r="D4864" t="s">
        <v>3185</v>
      </c>
      <c r="E4864" t="s">
        <v>3186</v>
      </c>
      <c r="F4864">
        <v>25.23</v>
      </c>
      <c r="G4864">
        <v>230921</v>
      </c>
      <c r="H4864">
        <v>4370</v>
      </c>
      <c r="I4864" t="s">
        <v>25</v>
      </c>
      <c r="J4864">
        <v>25.23</v>
      </c>
      <c r="K4864">
        <v>0</v>
      </c>
      <c r="L4864">
        <v>67522</v>
      </c>
      <c r="M4864" t="s">
        <v>397</v>
      </c>
      <c r="N4864" t="str">
        <f>"1017172560  "</f>
        <v xml:space="preserve">1017172560  </v>
      </c>
      <c r="O4864">
        <v>231011</v>
      </c>
    </row>
    <row r="4865" spans="1:15" x14ac:dyDescent="0.25">
      <c r="A4865" t="s">
        <v>16</v>
      </c>
      <c r="B4865" t="s">
        <v>3221</v>
      </c>
      <c r="C4865">
        <v>13977</v>
      </c>
      <c r="D4865" t="s">
        <v>3185</v>
      </c>
      <c r="E4865" t="s">
        <v>3186</v>
      </c>
      <c r="F4865">
        <v>91.05</v>
      </c>
      <c r="G4865">
        <v>231005</v>
      </c>
      <c r="H4865">
        <v>4370</v>
      </c>
      <c r="I4865" t="s">
        <v>25</v>
      </c>
      <c r="J4865">
        <v>91.05</v>
      </c>
      <c r="K4865">
        <v>0</v>
      </c>
      <c r="L4865">
        <v>67522</v>
      </c>
      <c r="M4865" t="s">
        <v>397</v>
      </c>
      <c r="N4865" t="str">
        <f>"1017173518  "</f>
        <v xml:space="preserve">1017173518  </v>
      </c>
      <c r="O4865">
        <v>231017</v>
      </c>
    </row>
    <row r="4866" spans="1:15" x14ac:dyDescent="0.25">
      <c r="A4866" t="s">
        <v>16</v>
      </c>
      <c r="B4866" t="s">
        <v>3221</v>
      </c>
      <c r="C4866">
        <v>14427</v>
      </c>
      <c r="D4866" t="s">
        <v>3185</v>
      </c>
      <c r="E4866" t="s">
        <v>3186</v>
      </c>
      <c r="F4866">
        <v>414.08</v>
      </c>
      <c r="G4866">
        <v>231005</v>
      </c>
      <c r="H4866">
        <v>4370</v>
      </c>
      <c r="I4866" t="s">
        <v>25</v>
      </c>
      <c r="J4866">
        <v>414.08</v>
      </c>
      <c r="K4866">
        <v>0</v>
      </c>
      <c r="L4866">
        <v>59501</v>
      </c>
      <c r="M4866" t="s">
        <v>69</v>
      </c>
      <c r="N4866" t="str">
        <f>"84321392099 "</f>
        <v xml:space="preserve">84321392099 </v>
      </c>
      <c r="O4866">
        <v>231030</v>
      </c>
    </row>
    <row r="4867" spans="1:15" x14ac:dyDescent="0.25">
      <c r="A4867" t="s">
        <v>16</v>
      </c>
      <c r="B4867" t="s">
        <v>3221</v>
      </c>
      <c r="C4867">
        <v>14653</v>
      </c>
      <c r="D4867" t="s">
        <v>3185</v>
      </c>
      <c r="E4867" t="s">
        <v>3186</v>
      </c>
      <c r="F4867">
        <v>10.56</v>
      </c>
      <c r="G4867">
        <v>231025</v>
      </c>
      <c r="H4867">
        <v>4370</v>
      </c>
      <c r="I4867" t="s">
        <v>25</v>
      </c>
      <c r="J4867">
        <v>10.56</v>
      </c>
      <c r="K4867">
        <v>0</v>
      </c>
      <c r="L4867">
        <v>13601</v>
      </c>
      <c r="M4867" t="s">
        <v>147</v>
      </c>
      <c r="N4867" t="str">
        <f>"84322878473 "</f>
        <v xml:space="preserve">84322878473 </v>
      </c>
      <c r="O4867">
        <v>231031</v>
      </c>
    </row>
    <row r="4868" spans="1:15" x14ac:dyDescent="0.25">
      <c r="A4868" t="s">
        <v>16</v>
      </c>
      <c r="B4868" t="s">
        <v>3221</v>
      </c>
      <c r="C4868">
        <v>15282</v>
      </c>
      <c r="D4868" t="s">
        <v>3185</v>
      </c>
      <c r="E4868" t="s">
        <v>3186</v>
      </c>
      <c r="F4868">
        <v>63.75</v>
      </c>
      <c r="G4868">
        <v>231027</v>
      </c>
      <c r="H4868">
        <v>4370</v>
      </c>
      <c r="I4868" t="s">
        <v>25</v>
      </c>
      <c r="J4868">
        <v>63.75</v>
      </c>
      <c r="K4868">
        <v>0</v>
      </c>
      <c r="L4868">
        <v>46554</v>
      </c>
      <c r="M4868" t="s">
        <v>117</v>
      </c>
      <c r="N4868" t="str">
        <f>"84323108799 "</f>
        <v xml:space="preserve">84323108799 </v>
      </c>
      <c r="O4868">
        <v>231109</v>
      </c>
    </row>
    <row r="4869" spans="1:15" x14ac:dyDescent="0.25">
      <c r="A4869" t="s">
        <v>16</v>
      </c>
      <c r="B4869" t="s">
        <v>3221</v>
      </c>
      <c r="C4869">
        <v>15282</v>
      </c>
      <c r="D4869" t="s">
        <v>3185</v>
      </c>
      <c r="E4869" t="s">
        <v>3186</v>
      </c>
      <c r="F4869">
        <v>25.85</v>
      </c>
      <c r="G4869">
        <v>231027</v>
      </c>
      <c r="H4869">
        <v>4370</v>
      </c>
      <c r="I4869" t="s">
        <v>25</v>
      </c>
      <c r="J4869">
        <v>25.85</v>
      </c>
      <c r="K4869">
        <v>0</v>
      </c>
      <c r="L4869">
        <v>47522</v>
      </c>
      <c r="M4869" t="s">
        <v>410</v>
      </c>
      <c r="N4869" t="str">
        <f>"84323108799 "</f>
        <v xml:space="preserve">84323108799 </v>
      </c>
      <c r="O4869">
        <v>231109</v>
      </c>
    </row>
    <row r="4870" spans="1:15" x14ac:dyDescent="0.25">
      <c r="A4870" t="s">
        <v>16</v>
      </c>
      <c r="B4870" t="s">
        <v>3221</v>
      </c>
      <c r="C4870">
        <v>15755</v>
      </c>
      <c r="D4870" t="s">
        <v>3185</v>
      </c>
      <c r="E4870" t="s">
        <v>3186</v>
      </c>
      <c r="F4870">
        <v>63.75</v>
      </c>
      <c r="G4870">
        <v>231110</v>
      </c>
      <c r="H4870">
        <v>4370</v>
      </c>
      <c r="I4870" t="s">
        <v>25</v>
      </c>
      <c r="J4870">
        <v>63.75</v>
      </c>
      <c r="K4870">
        <v>0</v>
      </c>
      <c r="L4870">
        <v>46554</v>
      </c>
      <c r="M4870" t="s">
        <v>117</v>
      </c>
      <c r="N4870" t="str">
        <f>"84324991413 "</f>
        <v xml:space="preserve">84324991413 </v>
      </c>
      <c r="O4870">
        <v>231116</v>
      </c>
    </row>
    <row r="4871" spans="1:15" x14ac:dyDescent="0.25">
      <c r="A4871" t="s">
        <v>16</v>
      </c>
      <c r="B4871" t="s">
        <v>3221</v>
      </c>
      <c r="C4871">
        <v>15755</v>
      </c>
      <c r="D4871" t="s">
        <v>3185</v>
      </c>
      <c r="E4871" t="s">
        <v>3186</v>
      </c>
      <c r="F4871">
        <v>25.85</v>
      </c>
      <c r="G4871">
        <v>231110</v>
      </c>
      <c r="H4871">
        <v>4370</v>
      </c>
      <c r="I4871" t="s">
        <v>25</v>
      </c>
      <c r="J4871">
        <v>25.85</v>
      </c>
      <c r="K4871">
        <v>0</v>
      </c>
      <c r="L4871">
        <v>47522</v>
      </c>
      <c r="M4871" t="s">
        <v>410</v>
      </c>
      <c r="N4871" t="str">
        <f>"84324991413 "</f>
        <v xml:space="preserve">84324991413 </v>
      </c>
      <c r="O4871">
        <v>231116</v>
      </c>
    </row>
    <row r="4872" spans="1:15" x14ac:dyDescent="0.25">
      <c r="A4872" t="s">
        <v>16</v>
      </c>
      <c r="B4872" t="s">
        <v>3221</v>
      </c>
      <c r="C4872">
        <v>15756</v>
      </c>
      <c r="D4872" t="s">
        <v>3185</v>
      </c>
      <c r="E4872" t="s">
        <v>3186</v>
      </c>
      <c r="F4872">
        <v>-63.75</v>
      </c>
      <c r="G4872">
        <v>231110</v>
      </c>
      <c r="H4872">
        <v>4370</v>
      </c>
      <c r="I4872" t="s">
        <v>25</v>
      </c>
      <c r="J4872">
        <v>-63.75</v>
      </c>
      <c r="K4872">
        <v>0</v>
      </c>
      <c r="L4872">
        <v>46554</v>
      </c>
      <c r="M4872" t="s">
        <v>117</v>
      </c>
      <c r="N4872" t="str">
        <f>"59324991299 "</f>
        <v xml:space="preserve">59324991299 </v>
      </c>
      <c r="O4872">
        <v>231116</v>
      </c>
    </row>
    <row r="4873" spans="1:15" x14ac:dyDescent="0.25">
      <c r="A4873" t="s">
        <v>16</v>
      </c>
      <c r="B4873" t="s">
        <v>3221</v>
      </c>
      <c r="C4873">
        <v>15756</v>
      </c>
      <c r="D4873" t="s">
        <v>3185</v>
      </c>
      <c r="E4873" t="s">
        <v>3186</v>
      </c>
      <c r="F4873">
        <v>-25.85</v>
      </c>
      <c r="G4873">
        <v>231110</v>
      </c>
      <c r="H4873">
        <v>4370</v>
      </c>
      <c r="I4873" t="s">
        <v>25</v>
      </c>
      <c r="J4873">
        <v>-25.85</v>
      </c>
      <c r="K4873">
        <v>0</v>
      </c>
      <c r="L4873">
        <v>47522</v>
      </c>
      <c r="M4873" t="s">
        <v>410</v>
      </c>
      <c r="N4873" t="str">
        <f>"59324991299 "</f>
        <v xml:space="preserve">59324991299 </v>
      </c>
      <c r="O4873">
        <v>231116</v>
      </c>
    </row>
    <row r="4874" spans="1:15" x14ac:dyDescent="0.25">
      <c r="A4874" t="s">
        <v>16</v>
      </c>
      <c r="B4874" t="s">
        <v>3221</v>
      </c>
      <c r="C4874">
        <v>16053</v>
      </c>
      <c r="D4874" t="s">
        <v>3185</v>
      </c>
      <c r="E4874" t="s">
        <v>3186</v>
      </c>
      <c r="F4874">
        <v>13.85</v>
      </c>
      <c r="G4874">
        <v>231102</v>
      </c>
      <c r="H4874">
        <v>4370</v>
      </c>
      <c r="I4874" t="s">
        <v>25</v>
      </c>
      <c r="J4874">
        <v>13.85</v>
      </c>
      <c r="K4874">
        <v>0</v>
      </c>
      <c r="L4874">
        <v>56561</v>
      </c>
      <c r="M4874" t="s">
        <v>358</v>
      </c>
      <c r="N4874" t="str">
        <f>"84324008788 "</f>
        <v xml:space="preserve">84324008788 </v>
      </c>
      <c r="O4874">
        <v>231122</v>
      </c>
    </row>
    <row r="4875" spans="1:15" x14ac:dyDescent="0.25">
      <c r="A4875" t="s">
        <v>16</v>
      </c>
      <c r="B4875" t="s">
        <v>3221</v>
      </c>
      <c r="C4875">
        <v>16053</v>
      </c>
      <c r="D4875" t="s">
        <v>3185</v>
      </c>
      <c r="E4875" t="s">
        <v>3186</v>
      </c>
      <c r="F4875">
        <v>10.98</v>
      </c>
      <c r="G4875">
        <v>231102</v>
      </c>
      <c r="H4875">
        <v>4370</v>
      </c>
      <c r="I4875" t="s">
        <v>25</v>
      </c>
      <c r="J4875">
        <v>10.98</v>
      </c>
      <c r="K4875">
        <v>0</v>
      </c>
      <c r="L4875">
        <v>56564</v>
      </c>
      <c r="M4875" t="s">
        <v>327</v>
      </c>
      <c r="N4875" t="str">
        <f>"84324008788 "</f>
        <v xml:space="preserve">84324008788 </v>
      </c>
      <c r="O4875">
        <v>231122</v>
      </c>
    </row>
    <row r="4876" spans="1:15" x14ac:dyDescent="0.25">
      <c r="A4876" t="s">
        <v>16</v>
      </c>
      <c r="B4876" t="s">
        <v>3221</v>
      </c>
      <c r="C4876">
        <v>16053</v>
      </c>
      <c r="D4876" t="s">
        <v>3185</v>
      </c>
      <c r="E4876" t="s">
        <v>3186</v>
      </c>
      <c r="F4876">
        <v>59.69</v>
      </c>
      <c r="G4876">
        <v>231102</v>
      </c>
      <c r="H4876">
        <v>4370</v>
      </c>
      <c r="I4876" t="s">
        <v>25</v>
      </c>
      <c r="J4876">
        <v>59.69</v>
      </c>
      <c r="K4876">
        <v>0</v>
      </c>
      <c r="L4876">
        <v>59501</v>
      </c>
      <c r="M4876" t="s">
        <v>69</v>
      </c>
      <c r="N4876" t="str">
        <f>"84324008788 "</f>
        <v xml:space="preserve">84324008788 </v>
      </c>
      <c r="O4876">
        <v>231122</v>
      </c>
    </row>
    <row r="4877" spans="1:15" x14ac:dyDescent="0.25">
      <c r="A4877" t="s">
        <v>16</v>
      </c>
      <c r="B4877" t="s">
        <v>3221</v>
      </c>
      <c r="C4877">
        <v>16289</v>
      </c>
      <c r="D4877" t="s">
        <v>3185</v>
      </c>
      <c r="E4877" t="s">
        <v>3186</v>
      </c>
      <c r="F4877">
        <v>99.72</v>
      </c>
      <c r="G4877">
        <v>231115</v>
      </c>
      <c r="H4877">
        <v>4370</v>
      </c>
      <c r="I4877" t="s">
        <v>25</v>
      </c>
      <c r="J4877">
        <v>99.72</v>
      </c>
      <c r="K4877">
        <v>0</v>
      </c>
      <c r="L4877">
        <v>46556</v>
      </c>
      <c r="M4877" t="s">
        <v>125</v>
      </c>
      <c r="N4877" t="str">
        <f>"1017176803  "</f>
        <v xml:space="preserve">1017176803  </v>
      </c>
      <c r="O4877">
        <v>231127</v>
      </c>
    </row>
    <row r="4878" spans="1:15" x14ac:dyDescent="0.25">
      <c r="A4878" t="s">
        <v>16</v>
      </c>
      <c r="B4878" t="s">
        <v>3221</v>
      </c>
      <c r="C4878">
        <v>17062</v>
      </c>
      <c r="D4878" t="s">
        <v>3185</v>
      </c>
      <c r="E4878" t="s">
        <v>3186</v>
      </c>
      <c r="F4878">
        <v>46.94</v>
      </c>
      <c r="G4878">
        <v>231120</v>
      </c>
      <c r="H4878">
        <v>4370</v>
      </c>
      <c r="I4878" t="s">
        <v>25</v>
      </c>
      <c r="J4878">
        <v>46.94</v>
      </c>
      <c r="K4878">
        <v>0</v>
      </c>
      <c r="L4878">
        <v>47522</v>
      </c>
      <c r="M4878" t="s">
        <v>410</v>
      </c>
      <c r="N4878" t="str">
        <f>"1017177702  "</f>
        <v xml:space="preserve">1017177702  </v>
      </c>
      <c r="O4878">
        <v>231212</v>
      </c>
    </row>
    <row r="4879" spans="1:15" x14ac:dyDescent="0.25">
      <c r="A4879" t="s">
        <v>16</v>
      </c>
      <c r="B4879" t="s">
        <v>3221</v>
      </c>
      <c r="C4879">
        <v>18683</v>
      </c>
      <c r="D4879" t="s">
        <v>3185</v>
      </c>
      <c r="E4879" t="s">
        <v>3186</v>
      </c>
      <c r="F4879">
        <v>18.600000000000001</v>
      </c>
      <c r="G4879">
        <v>231231</v>
      </c>
      <c r="H4879">
        <v>4370</v>
      </c>
      <c r="I4879" t="s">
        <v>25</v>
      </c>
      <c r="J4879">
        <v>18.600000000000001</v>
      </c>
      <c r="K4879">
        <v>0</v>
      </c>
      <c r="L4879">
        <v>17711</v>
      </c>
      <c r="M4879" t="s">
        <v>65</v>
      </c>
      <c r="N4879" t="str">
        <f>"84330131584 "</f>
        <v xml:space="preserve">84330131584 </v>
      </c>
      <c r="O4879">
        <v>240104</v>
      </c>
    </row>
    <row r="4880" spans="1:15" x14ac:dyDescent="0.25">
      <c r="A4880" t="s">
        <v>16</v>
      </c>
      <c r="B4880" t="s">
        <v>3221</v>
      </c>
      <c r="C4880">
        <v>18996</v>
      </c>
      <c r="D4880" t="s">
        <v>3185</v>
      </c>
      <c r="E4880" t="s">
        <v>3186</v>
      </c>
      <c r="F4880">
        <v>15.52</v>
      </c>
      <c r="G4880">
        <v>231231</v>
      </c>
      <c r="H4880">
        <v>4370</v>
      </c>
      <c r="I4880" t="s">
        <v>25</v>
      </c>
      <c r="J4880">
        <v>15.52</v>
      </c>
      <c r="K4880">
        <v>0</v>
      </c>
      <c r="L4880">
        <v>49501</v>
      </c>
      <c r="M4880" t="s">
        <v>177</v>
      </c>
      <c r="N4880" t="str">
        <f>"1017180379  "</f>
        <v xml:space="preserve">1017180379  </v>
      </c>
      <c r="O4880">
        <v>240109</v>
      </c>
    </row>
    <row r="4881" spans="1:15" x14ac:dyDescent="0.25">
      <c r="A4881" t="s">
        <v>16</v>
      </c>
      <c r="B4881" t="s">
        <v>3221</v>
      </c>
      <c r="C4881">
        <v>18996</v>
      </c>
      <c r="D4881" t="s">
        <v>3185</v>
      </c>
      <c r="E4881" t="s">
        <v>3186</v>
      </c>
      <c r="F4881">
        <v>-3.2</v>
      </c>
      <c r="G4881">
        <v>231231</v>
      </c>
      <c r="H4881">
        <v>4370</v>
      </c>
      <c r="I4881" t="s">
        <v>25</v>
      </c>
      <c r="J4881">
        <v>-3.2</v>
      </c>
      <c r="K4881">
        <v>0</v>
      </c>
      <c r="L4881">
        <v>56562</v>
      </c>
      <c r="M4881" t="s">
        <v>126</v>
      </c>
      <c r="N4881" t="str">
        <f>"1017180379  "</f>
        <v xml:space="preserve">1017180379  </v>
      </c>
      <c r="O4881">
        <v>240109</v>
      </c>
    </row>
    <row r="4882" spans="1:15" x14ac:dyDescent="0.25">
      <c r="A4882" t="s">
        <v>16</v>
      </c>
      <c r="B4882" t="s">
        <v>3221</v>
      </c>
      <c r="C4882">
        <v>16152</v>
      </c>
      <c r="D4882" t="s">
        <v>289</v>
      </c>
      <c r="E4882" t="s">
        <v>290</v>
      </c>
      <c r="F4882">
        <v>536.84</v>
      </c>
      <c r="G4882">
        <v>231115</v>
      </c>
      <c r="H4882">
        <v>4412</v>
      </c>
      <c r="I4882" t="s">
        <v>149</v>
      </c>
      <c r="J4882">
        <v>612</v>
      </c>
      <c r="K4882">
        <v>75.16</v>
      </c>
      <c r="L4882">
        <v>13401</v>
      </c>
      <c r="M4882" t="s">
        <v>80</v>
      </c>
      <c r="N4882" t="str">
        <f>"3855        "</f>
        <v xml:space="preserve">3855        </v>
      </c>
      <c r="O4882">
        <v>231123</v>
      </c>
    </row>
    <row r="4883" spans="1:15" x14ac:dyDescent="0.25">
      <c r="A4883" t="s">
        <v>16</v>
      </c>
      <c r="B4883" t="s">
        <v>3221</v>
      </c>
      <c r="C4883">
        <v>16152</v>
      </c>
      <c r="D4883" t="s">
        <v>289</v>
      </c>
      <c r="E4883" t="s">
        <v>290</v>
      </c>
      <c r="F4883">
        <v>536.84</v>
      </c>
      <c r="G4883">
        <v>231115</v>
      </c>
      <c r="H4883">
        <v>4412</v>
      </c>
      <c r="I4883" t="s">
        <v>149</v>
      </c>
      <c r="J4883">
        <v>612</v>
      </c>
      <c r="K4883">
        <v>75.16</v>
      </c>
      <c r="L4883">
        <v>13501</v>
      </c>
      <c r="M4883" t="s">
        <v>20</v>
      </c>
      <c r="N4883" t="str">
        <f>"3855        "</f>
        <v xml:space="preserve">3855        </v>
      </c>
      <c r="O4883">
        <v>231123</v>
      </c>
    </row>
    <row r="4884" spans="1:15" x14ac:dyDescent="0.25">
      <c r="A4884" t="s">
        <v>16</v>
      </c>
      <c r="B4884" t="s">
        <v>3221</v>
      </c>
      <c r="C4884">
        <v>2638</v>
      </c>
      <c r="D4884" t="s">
        <v>289</v>
      </c>
      <c r="E4884" t="s">
        <v>290</v>
      </c>
      <c r="F4884">
        <v>8.77</v>
      </c>
      <c r="G4884">
        <v>230223</v>
      </c>
      <c r="H4884">
        <v>4410</v>
      </c>
      <c r="I4884" t="s">
        <v>517</v>
      </c>
      <c r="J4884">
        <v>10</v>
      </c>
      <c r="K4884">
        <v>1.23</v>
      </c>
      <c r="L4884">
        <v>16930</v>
      </c>
      <c r="M4884" t="s">
        <v>450</v>
      </c>
      <c r="N4884" t="str">
        <f>"52 / 2017401"</f>
        <v>52 / 2017401</v>
      </c>
      <c r="O4884">
        <v>230306</v>
      </c>
    </row>
    <row r="4885" spans="1:15" x14ac:dyDescent="0.25">
      <c r="A4885" t="s">
        <v>16</v>
      </c>
      <c r="B4885" t="s">
        <v>3221</v>
      </c>
      <c r="C4885">
        <v>2638</v>
      </c>
      <c r="D4885" t="s">
        <v>289</v>
      </c>
      <c r="E4885" t="s">
        <v>290</v>
      </c>
      <c r="F4885">
        <v>108.19</v>
      </c>
      <c r="G4885">
        <v>230223</v>
      </c>
      <c r="H4885">
        <v>4410</v>
      </c>
      <c r="I4885" t="s">
        <v>517</v>
      </c>
      <c r="J4885">
        <v>119.01</v>
      </c>
      <c r="K4885">
        <v>10.82</v>
      </c>
      <c r="L4885">
        <v>16930</v>
      </c>
      <c r="M4885" t="s">
        <v>450</v>
      </c>
      <c r="N4885" t="str">
        <f>"52 / 2017401"</f>
        <v>52 / 2017401</v>
      </c>
      <c r="O4885">
        <v>230306</v>
      </c>
    </row>
    <row r="4886" spans="1:15" x14ac:dyDescent="0.25">
      <c r="A4886" t="s">
        <v>16</v>
      </c>
      <c r="B4886" t="s">
        <v>3221</v>
      </c>
      <c r="C4886">
        <v>2654</v>
      </c>
      <c r="D4886" t="s">
        <v>289</v>
      </c>
      <c r="E4886" t="s">
        <v>290</v>
      </c>
      <c r="F4886">
        <v>8.77</v>
      </c>
      <c r="G4886">
        <v>230224</v>
      </c>
      <c r="H4886">
        <v>4410</v>
      </c>
      <c r="I4886" t="s">
        <v>517</v>
      </c>
      <c r="J4886">
        <v>10</v>
      </c>
      <c r="K4886">
        <v>1.23</v>
      </c>
      <c r="L4886">
        <v>17521</v>
      </c>
      <c r="M4886" t="s">
        <v>133</v>
      </c>
      <c r="N4886" t="str">
        <f>"57 / 2017405"</f>
        <v>57 / 2017405</v>
      </c>
      <c r="O4886">
        <v>230306</v>
      </c>
    </row>
    <row r="4887" spans="1:15" x14ac:dyDescent="0.25">
      <c r="A4887" t="s">
        <v>16</v>
      </c>
      <c r="B4887" t="s">
        <v>3221</v>
      </c>
      <c r="C4887">
        <v>2654</v>
      </c>
      <c r="D4887" t="s">
        <v>289</v>
      </c>
      <c r="E4887" t="s">
        <v>290</v>
      </c>
      <c r="F4887">
        <v>108.19</v>
      </c>
      <c r="G4887">
        <v>230224</v>
      </c>
      <c r="H4887">
        <v>4410</v>
      </c>
      <c r="I4887" t="s">
        <v>517</v>
      </c>
      <c r="J4887">
        <v>119.01</v>
      </c>
      <c r="K4887">
        <v>10.82</v>
      </c>
      <c r="L4887">
        <v>17521</v>
      </c>
      <c r="M4887" t="s">
        <v>133</v>
      </c>
      <c r="N4887" t="str">
        <f>"57 / 2017405"</f>
        <v>57 / 2017405</v>
      </c>
      <c r="O4887">
        <v>230306</v>
      </c>
    </row>
    <row r="4888" spans="1:15" x14ac:dyDescent="0.25">
      <c r="A4888" t="s">
        <v>16</v>
      </c>
      <c r="B4888" t="s">
        <v>3221</v>
      </c>
      <c r="C4888">
        <v>3628</v>
      </c>
      <c r="D4888" t="s">
        <v>289</v>
      </c>
      <c r="E4888" t="s">
        <v>290</v>
      </c>
      <c r="F4888">
        <v>6.5</v>
      </c>
      <c r="G4888">
        <v>230308</v>
      </c>
      <c r="H4888">
        <v>4410</v>
      </c>
      <c r="I4888" t="s">
        <v>517</v>
      </c>
      <c r="J4888">
        <v>8.06</v>
      </c>
      <c r="K4888">
        <v>1.56</v>
      </c>
      <c r="L4888">
        <v>17521</v>
      </c>
      <c r="M4888" t="s">
        <v>133</v>
      </c>
      <c r="N4888" t="str">
        <f>"83 / 2030286"</f>
        <v>83 / 2030286</v>
      </c>
      <c r="O4888">
        <v>230320</v>
      </c>
    </row>
    <row r="4889" spans="1:15" x14ac:dyDescent="0.25">
      <c r="A4889" t="s">
        <v>16</v>
      </c>
      <c r="B4889" t="s">
        <v>3221</v>
      </c>
      <c r="C4889">
        <v>3628</v>
      </c>
      <c r="D4889" t="s">
        <v>289</v>
      </c>
      <c r="E4889" t="s">
        <v>290</v>
      </c>
      <c r="F4889">
        <v>15.95</v>
      </c>
      <c r="G4889">
        <v>230308</v>
      </c>
      <c r="H4889">
        <v>4410</v>
      </c>
      <c r="I4889" t="s">
        <v>517</v>
      </c>
      <c r="J4889">
        <v>17.54</v>
      </c>
      <c r="K4889">
        <v>1.59</v>
      </c>
      <c r="L4889">
        <v>17521</v>
      </c>
      <c r="M4889" t="s">
        <v>133</v>
      </c>
      <c r="N4889" t="str">
        <f>"83 / 2030286"</f>
        <v>83 / 2030286</v>
      </c>
      <c r="O4889">
        <v>230320</v>
      </c>
    </row>
    <row r="4890" spans="1:15" x14ac:dyDescent="0.25">
      <c r="A4890" t="s">
        <v>16</v>
      </c>
      <c r="B4890" t="s">
        <v>3221</v>
      </c>
      <c r="C4890">
        <v>3628</v>
      </c>
      <c r="D4890" t="s">
        <v>289</v>
      </c>
      <c r="E4890" t="s">
        <v>290</v>
      </c>
      <c r="F4890">
        <v>124.91</v>
      </c>
      <c r="G4890">
        <v>230308</v>
      </c>
      <c r="H4890">
        <v>4410</v>
      </c>
      <c r="I4890" t="s">
        <v>517</v>
      </c>
      <c r="J4890">
        <v>142.4</v>
      </c>
      <c r="K4890">
        <v>17.489999999999998</v>
      </c>
      <c r="L4890">
        <v>17521</v>
      </c>
      <c r="M4890" t="s">
        <v>133</v>
      </c>
      <c r="N4890" t="str">
        <f>"83 / 2030286"</f>
        <v>83 / 2030286</v>
      </c>
      <c r="O4890">
        <v>230320</v>
      </c>
    </row>
    <row r="4891" spans="1:15" x14ac:dyDescent="0.25">
      <c r="A4891" t="s">
        <v>16</v>
      </c>
      <c r="B4891" t="s">
        <v>3221</v>
      </c>
      <c r="C4891">
        <v>4576</v>
      </c>
      <c r="D4891" t="s">
        <v>289</v>
      </c>
      <c r="E4891" t="s">
        <v>290</v>
      </c>
      <c r="F4891">
        <v>8.06</v>
      </c>
      <c r="G4891">
        <v>230331</v>
      </c>
      <c r="H4891">
        <v>4410</v>
      </c>
      <c r="I4891" t="s">
        <v>517</v>
      </c>
      <c r="J4891">
        <v>10</v>
      </c>
      <c r="K4891">
        <v>1.94</v>
      </c>
      <c r="L4891">
        <v>17535</v>
      </c>
      <c r="M4891" t="s">
        <v>357</v>
      </c>
      <c r="N4891" t="str">
        <f>"98 / 2052214"</f>
        <v>98 / 2052214</v>
      </c>
      <c r="O4891">
        <v>230406</v>
      </c>
    </row>
    <row r="4892" spans="1:15" x14ac:dyDescent="0.25">
      <c r="A4892" t="s">
        <v>16</v>
      </c>
      <c r="B4892" t="s">
        <v>3221</v>
      </c>
      <c r="C4892">
        <v>4576</v>
      </c>
      <c r="D4892" t="s">
        <v>289</v>
      </c>
      <c r="E4892" t="s">
        <v>290</v>
      </c>
      <c r="F4892">
        <v>98.86</v>
      </c>
      <c r="G4892">
        <v>230331</v>
      </c>
      <c r="H4892">
        <v>4410</v>
      </c>
      <c r="I4892" t="s">
        <v>517</v>
      </c>
      <c r="J4892">
        <v>112.7</v>
      </c>
      <c r="K4892">
        <v>13.84</v>
      </c>
      <c r="L4892">
        <v>17535</v>
      </c>
      <c r="M4892" t="s">
        <v>357</v>
      </c>
      <c r="N4892" t="str">
        <f>"98 / 2052214"</f>
        <v>98 / 2052214</v>
      </c>
      <c r="O4892">
        <v>230406</v>
      </c>
    </row>
    <row r="4893" spans="1:15" x14ac:dyDescent="0.25">
      <c r="A4893" t="s">
        <v>16</v>
      </c>
      <c r="B4893" t="s">
        <v>3221</v>
      </c>
      <c r="C4893">
        <v>5884</v>
      </c>
      <c r="D4893" t="s">
        <v>289</v>
      </c>
      <c r="E4893" t="s">
        <v>290</v>
      </c>
      <c r="F4893">
        <v>90.7</v>
      </c>
      <c r="G4893">
        <v>230425</v>
      </c>
      <c r="H4893">
        <v>4410</v>
      </c>
      <c r="I4893" t="s">
        <v>517</v>
      </c>
      <c r="J4893">
        <v>103.4</v>
      </c>
      <c r="K4893">
        <v>12.7</v>
      </c>
      <c r="L4893">
        <v>13501</v>
      </c>
      <c r="M4893" t="s">
        <v>20</v>
      </c>
      <c r="N4893" t="str">
        <f>"64 / 2075354"</f>
        <v>64 / 2075354</v>
      </c>
      <c r="O4893">
        <v>230503</v>
      </c>
    </row>
    <row r="4894" spans="1:15" x14ac:dyDescent="0.25">
      <c r="A4894" t="s">
        <v>16</v>
      </c>
      <c r="B4894" t="s">
        <v>3221</v>
      </c>
      <c r="C4894">
        <v>7065</v>
      </c>
      <c r="D4894" t="s">
        <v>289</v>
      </c>
      <c r="E4894" t="s">
        <v>290</v>
      </c>
      <c r="F4894">
        <v>8.06</v>
      </c>
      <c r="G4894">
        <v>230511</v>
      </c>
      <c r="H4894">
        <v>4410</v>
      </c>
      <c r="I4894" t="s">
        <v>517</v>
      </c>
      <c r="J4894">
        <v>10</v>
      </c>
      <c r="K4894">
        <v>1.94</v>
      </c>
      <c r="L4894">
        <v>17521</v>
      </c>
      <c r="M4894" t="s">
        <v>133</v>
      </c>
      <c r="N4894" t="str">
        <f>"28 / 2091800"</f>
        <v>28 / 2091800</v>
      </c>
      <c r="O4894">
        <v>230525</v>
      </c>
    </row>
    <row r="4895" spans="1:15" x14ac:dyDescent="0.25">
      <c r="A4895" t="s">
        <v>16</v>
      </c>
      <c r="B4895" t="s">
        <v>3221</v>
      </c>
      <c r="C4895">
        <v>7065</v>
      </c>
      <c r="D4895" t="s">
        <v>289</v>
      </c>
      <c r="E4895" t="s">
        <v>290</v>
      </c>
      <c r="F4895">
        <v>26.32</v>
      </c>
      <c r="G4895">
        <v>230511</v>
      </c>
      <c r="H4895">
        <v>4410</v>
      </c>
      <c r="I4895" t="s">
        <v>517</v>
      </c>
      <c r="J4895">
        <v>30</v>
      </c>
      <c r="K4895">
        <v>3.68</v>
      </c>
      <c r="L4895">
        <v>17521</v>
      </c>
      <c r="M4895" t="s">
        <v>133</v>
      </c>
      <c r="N4895" t="str">
        <f>"28 / 2091800"</f>
        <v>28 / 2091800</v>
      </c>
      <c r="O4895">
        <v>230525</v>
      </c>
    </row>
    <row r="4896" spans="1:15" x14ac:dyDescent="0.25">
      <c r="A4896" t="s">
        <v>16</v>
      </c>
      <c r="B4896" t="s">
        <v>3221</v>
      </c>
      <c r="C4896">
        <v>7065</v>
      </c>
      <c r="D4896" t="s">
        <v>289</v>
      </c>
      <c r="E4896" t="s">
        <v>290</v>
      </c>
      <c r="F4896">
        <v>351.82</v>
      </c>
      <c r="G4896">
        <v>230511</v>
      </c>
      <c r="H4896">
        <v>4410</v>
      </c>
      <c r="I4896" t="s">
        <v>517</v>
      </c>
      <c r="J4896">
        <v>387</v>
      </c>
      <c r="K4896">
        <v>35.18</v>
      </c>
      <c r="L4896">
        <v>17521</v>
      </c>
      <c r="M4896" t="s">
        <v>133</v>
      </c>
      <c r="N4896" t="str">
        <f>"28 / 2091800"</f>
        <v>28 / 2091800</v>
      </c>
      <c r="O4896">
        <v>230525</v>
      </c>
    </row>
    <row r="4897" spans="1:15" x14ac:dyDescent="0.25">
      <c r="A4897" t="s">
        <v>16</v>
      </c>
      <c r="B4897" t="s">
        <v>3221</v>
      </c>
      <c r="C4897">
        <v>8939</v>
      </c>
      <c r="D4897" t="s">
        <v>289</v>
      </c>
      <c r="E4897" t="s">
        <v>290</v>
      </c>
      <c r="F4897">
        <v>152.88999999999999</v>
      </c>
      <c r="G4897">
        <v>230614</v>
      </c>
      <c r="H4897">
        <v>4410</v>
      </c>
      <c r="I4897" t="s">
        <v>517</v>
      </c>
      <c r="J4897">
        <v>174.3</v>
      </c>
      <c r="K4897">
        <v>21.41</v>
      </c>
      <c r="L4897">
        <v>13281</v>
      </c>
      <c r="M4897" t="s">
        <v>1296</v>
      </c>
      <c r="N4897" t="str">
        <f>"90 / 2123342"</f>
        <v>90 / 2123342</v>
      </c>
      <c r="O4897">
        <v>230620</v>
      </c>
    </row>
    <row r="4898" spans="1:15" x14ac:dyDescent="0.25">
      <c r="A4898" t="s">
        <v>16</v>
      </c>
      <c r="B4898" t="s">
        <v>3221</v>
      </c>
      <c r="C4898">
        <v>12478</v>
      </c>
      <c r="D4898" t="s">
        <v>289</v>
      </c>
      <c r="E4898" t="s">
        <v>290</v>
      </c>
      <c r="F4898">
        <v>8.77</v>
      </c>
      <c r="G4898">
        <v>230915</v>
      </c>
      <c r="H4898">
        <v>4410</v>
      </c>
      <c r="I4898" t="s">
        <v>517</v>
      </c>
      <c r="J4898">
        <v>10</v>
      </c>
      <c r="K4898">
        <v>1.23</v>
      </c>
      <c r="L4898">
        <v>16930</v>
      </c>
      <c r="M4898" t="s">
        <v>450</v>
      </c>
      <c r="N4898" t="str">
        <f>"3545        "</f>
        <v xml:space="preserve">3545        </v>
      </c>
      <c r="O4898">
        <v>230920</v>
      </c>
    </row>
    <row r="4899" spans="1:15" x14ac:dyDescent="0.25">
      <c r="A4899" t="s">
        <v>16</v>
      </c>
      <c r="B4899" t="s">
        <v>3221</v>
      </c>
      <c r="C4899">
        <v>12478</v>
      </c>
      <c r="D4899" t="s">
        <v>289</v>
      </c>
      <c r="E4899" t="s">
        <v>290</v>
      </c>
      <c r="F4899">
        <v>126.36</v>
      </c>
      <c r="G4899">
        <v>230915</v>
      </c>
      <c r="H4899">
        <v>4410</v>
      </c>
      <c r="I4899" t="s">
        <v>517</v>
      </c>
      <c r="J4899">
        <v>139</v>
      </c>
      <c r="K4899">
        <v>12.64</v>
      </c>
      <c r="L4899">
        <v>16930</v>
      </c>
      <c r="M4899" t="s">
        <v>450</v>
      </c>
      <c r="N4899" t="str">
        <f>"3545        "</f>
        <v xml:space="preserve">3545        </v>
      </c>
      <c r="O4899">
        <v>230920</v>
      </c>
    </row>
    <row r="4900" spans="1:15" x14ac:dyDescent="0.25">
      <c r="A4900" t="s">
        <v>16</v>
      </c>
      <c r="B4900" t="s">
        <v>3221</v>
      </c>
      <c r="C4900">
        <v>13393</v>
      </c>
      <c r="D4900" t="s">
        <v>289</v>
      </c>
      <c r="E4900" t="s">
        <v>290</v>
      </c>
      <c r="F4900">
        <v>8.06</v>
      </c>
      <c r="G4900">
        <v>230929</v>
      </c>
      <c r="H4900">
        <v>4410</v>
      </c>
      <c r="I4900" t="s">
        <v>517</v>
      </c>
      <c r="J4900">
        <v>10</v>
      </c>
      <c r="K4900">
        <v>1.94</v>
      </c>
      <c r="L4900">
        <v>16930</v>
      </c>
      <c r="M4900" t="s">
        <v>450</v>
      </c>
      <c r="N4900" t="str">
        <f>"3626        "</f>
        <v xml:space="preserve">3626        </v>
      </c>
      <c r="O4900">
        <v>231010</v>
      </c>
    </row>
    <row r="4901" spans="1:15" x14ac:dyDescent="0.25">
      <c r="A4901" t="s">
        <v>16</v>
      </c>
      <c r="B4901" t="s">
        <v>3221</v>
      </c>
      <c r="C4901">
        <v>13393</v>
      </c>
      <c r="D4901" t="s">
        <v>289</v>
      </c>
      <c r="E4901" t="s">
        <v>290</v>
      </c>
      <c r="F4901">
        <v>26.32</v>
      </c>
      <c r="G4901">
        <v>230929</v>
      </c>
      <c r="H4901">
        <v>4410</v>
      </c>
      <c r="I4901" t="s">
        <v>517</v>
      </c>
      <c r="J4901">
        <v>30</v>
      </c>
      <c r="K4901">
        <v>3.68</v>
      </c>
      <c r="L4901">
        <v>16930</v>
      </c>
      <c r="M4901" t="s">
        <v>450</v>
      </c>
      <c r="N4901" t="str">
        <f>"3626        "</f>
        <v xml:space="preserve">3626        </v>
      </c>
      <c r="O4901">
        <v>231010</v>
      </c>
    </row>
    <row r="4902" spans="1:15" x14ac:dyDescent="0.25">
      <c r="A4902" t="s">
        <v>16</v>
      </c>
      <c r="B4902" t="s">
        <v>3221</v>
      </c>
      <c r="C4902">
        <v>13393</v>
      </c>
      <c r="D4902" t="s">
        <v>289</v>
      </c>
      <c r="E4902" t="s">
        <v>290</v>
      </c>
      <c r="F4902">
        <v>251.82</v>
      </c>
      <c r="G4902">
        <v>230929</v>
      </c>
      <c r="H4902">
        <v>4410</v>
      </c>
      <c r="I4902" t="s">
        <v>517</v>
      </c>
      <c r="J4902">
        <v>277</v>
      </c>
      <c r="K4902">
        <v>25.18</v>
      </c>
      <c r="L4902">
        <v>16930</v>
      </c>
      <c r="M4902" t="s">
        <v>450</v>
      </c>
      <c r="N4902" t="str">
        <f>"3626        "</f>
        <v xml:space="preserve">3626        </v>
      </c>
      <c r="O4902">
        <v>231010</v>
      </c>
    </row>
    <row r="4903" spans="1:15" x14ac:dyDescent="0.25">
      <c r="A4903" t="s">
        <v>16</v>
      </c>
      <c r="B4903" t="s">
        <v>3221</v>
      </c>
      <c r="C4903">
        <v>17666</v>
      </c>
      <c r="D4903" t="s">
        <v>289</v>
      </c>
      <c r="E4903" t="s">
        <v>290</v>
      </c>
      <c r="F4903">
        <v>6.5</v>
      </c>
      <c r="G4903">
        <v>231206</v>
      </c>
      <c r="H4903">
        <v>4410</v>
      </c>
      <c r="I4903" t="s">
        <v>517</v>
      </c>
      <c r="J4903">
        <v>8.06</v>
      </c>
      <c r="K4903">
        <v>1.56</v>
      </c>
      <c r="L4903">
        <v>17521</v>
      </c>
      <c r="M4903" t="s">
        <v>133</v>
      </c>
      <c r="N4903" t="str">
        <f>"3997        "</f>
        <v xml:space="preserve">3997        </v>
      </c>
      <c r="O4903">
        <v>231219</v>
      </c>
    </row>
    <row r="4904" spans="1:15" x14ac:dyDescent="0.25">
      <c r="A4904" t="s">
        <v>16</v>
      </c>
      <c r="B4904" t="s">
        <v>3221</v>
      </c>
      <c r="C4904">
        <v>17666</v>
      </c>
      <c r="D4904" t="s">
        <v>289</v>
      </c>
      <c r="E4904" t="s">
        <v>290</v>
      </c>
      <c r="F4904">
        <v>88.12</v>
      </c>
      <c r="G4904">
        <v>231206</v>
      </c>
      <c r="H4904">
        <v>4410</v>
      </c>
      <c r="I4904" t="s">
        <v>517</v>
      </c>
      <c r="J4904">
        <v>96.93</v>
      </c>
      <c r="K4904">
        <v>8.81</v>
      </c>
      <c r="L4904">
        <v>17521</v>
      </c>
      <c r="M4904" t="s">
        <v>133</v>
      </c>
      <c r="N4904" t="str">
        <f>"3997        "</f>
        <v xml:space="preserve">3997        </v>
      </c>
      <c r="O4904">
        <v>231219</v>
      </c>
    </row>
    <row r="4905" spans="1:15" x14ac:dyDescent="0.25">
      <c r="A4905" t="s">
        <v>16</v>
      </c>
      <c r="B4905" t="s">
        <v>3221</v>
      </c>
      <c r="C4905">
        <v>7078</v>
      </c>
      <c r="D4905" t="s">
        <v>289</v>
      </c>
      <c r="E4905" t="s">
        <v>290</v>
      </c>
      <c r="F4905">
        <v>8.06</v>
      </c>
      <c r="G4905">
        <v>230523</v>
      </c>
      <c r="H4905">
        <v>4425</v>
      </c>
      <c r="I4905" t="s">
        <v>1345</v>
      </c>
      <c r="J4905">
        <v>10</v>
      </c>
      <c r="K4905">
        <v>1.94</v>
      </c>
      <c r="L4905">
        <v>18994</v>
      </c>
      <c r="M4905" t="s">
        <v>1940</v>
      </c>
      <c r="N4905" t="str">
        <f>"74 / 2100867"</f>
        <v>74 / 2100867</v>
      </c>
      <c r="O4905">
        <v>230525</v>
      </c>
    </row>
    <row r="4906" spans="1:15" x14ac:dyDescent="0.25">
      <c r="A4906" t="s">
        <v>16</v>
      </c>
      <c r="B4906" t="s">
        <v>3221</v>
      </c>
      <c r="C4906">
        <v>7078</v>
      </c>
      <c r="D4906" t="s">
        <v>289</v>
      </c>
      <c r="E4906" t="s">
        <v>290</v>
      </c>
      <c r="F4906">
        <v>160</v>
      </c>
      <c r="G4906">
        <v>230523</v>
      </c>
      <c r="H4906">
        <v>4425</v>
      </c>
      <c r="I4906" t="s">
        <v>1345</v>
      </c>
      <c r="J4906">
        <v>160</v>
      </c>
      <c r="K4906">
        <v>0</v>
      </c>
      <c r="L4906">
        <v>18994</v>
      </c>
      <c r="M4906" t="s">
        <v>1940</v>
      </c>
      <c r="N4906" t="str">
        <f>"74 / 2100867"</f>
        <v>74 / 2100867</v>
      </c>
      <c r="O4906">
        <v>230525</v>
      </c>
    </row>
    <row r="4907" spans="1:15" x14ac:dyDescent="0.25">
      <c r="A4907" t="s">
        <v>16</v>
      </c>
      <c r="B4907" t="s">
        <v>3221</v>
      </c>
      <c r="C4907">
        <v>7078</v>
      </c>
      <c r="D4907" t="s">
        <v>289</v>
      </c>
      <c r="E4907" t="s">
        <v>290</v>
      </c>
      <c r="F4907">
        <v>980.91</v>
      </c>
      <c r="G4907">
        <v>230523</v>
      </c>
      <c r="H4907">
        <v>4425</v>
      </c>
      <c r="I4907" t="s">
        <v>1345</v>
      </c>
      <c r="J4907">
        <v>1079</v>
      </c>
      <c r="K4907">
        <v>98.09</v>
      </c>
      <c r="L4907">
        <v>18994</v>
      </c>
      <c r="M4907" t="s">
        <v>1940</v>
      </c>
      <c r="N4907" t="str">
        <f>"74 / 2100867"</f>
        <v>74 / 2100867</v>
      </c>
      <c r="O4907">
        <v>230525</v>
      </c>
    </row>
    <row r="4908" spans="1:15" x14ac:dyDescent="0.25">
      <c r="A4908" t="s">
        <v>16</v>
      </c>
      <c r="B4908" t="s">
        <v>3221</v>
      </c>
      <c r="C4908">
        <v>8939</v>
      </c>
      <c r="D4908" t="s">
        <v>289</v>
      </c>
      <c r="E4908" t="s">
        <v>290</v>
      </c>
      <c r="F4908">
        <v>8.06</v>
      </c>
      <c r="G4908">
        <v>230614</v>
      </c>
      <c r="H4908">
        <v>4940</v>
      </c>
      <c r="I4908" t="s">
        <v>514</v>
      </c>
      <c r="J4908">
        <v>9.99</v>
      </c>
      <c r="K4908">
        <v>1.93</v>
      </c>
      <c r="L4908">
        <v>13281</v>
      </c>
      <c r="M4908" t="s">
        <v>1296</v>
      </c>
      <c r="N4908" t="str">
        <f>"90 / 2123342"</f>
        <v>90 / 2123342</v>
      </c>
      <c r="O4908">
        <v>230620</v>
      </c>
    </row>
    <row r="4909" spans="1:15" x14ac:dyDescent="0.25">
      <c r="A4909" t="s">
        <v>16</v>
      </c>
      <c r="B4909" t="s">
        <v>3221</v>
      </c>
      <c r="C4909">
        <v>183</v>
      </c>
      <c r="D4909" t="s">
        <v>289</v>
      </c>
      <c r="E4909" t="s">
        <v>290</v>
      </c>
      <c r="F4909">
        <v>96.77</v>
      </c>
      <c r="G4909">
        <v>230114</v>
      </c>
      <c r="H4909">
        <v>4470</v>
      </c>
      <c r="I4909" t="s">
        <v>83</v>
      </c>
      <c r="J4909">
        <v>120</v>
      </c>
      <c r="K4909">
        <v>23.23</v>
      </c>
      <c r="L4909">
        <v>16322</v>
      </c>
      <c r="M4909" t="s">
        <v>22</v>
      </c>
      <c r="N4909" t="str">
        <f>"08 / 1980554"</f>
        <v>08 / 1980554</v>
      </c>
      <c r="O4909">
        <v>230116</v>
      </c>
    </row>
    <row r="4910" spans="1:15" x14ac:dyDescent="0.25">
      <c r="A4910" t="s">
        <v>16</v>
      </c>
      <c r="B4910" t="s">
        <v>3221</v>
      </c>
      <c r="C4910">
        <v>2638</v>
      </c>
      <c r="D4910" t="s">
        <v>289</v>
      </c>
      <c r="E4910" t="s">
        <v>290</v>
      </c>
      <c r="F4910">
        <v>8.06</v>
      </c>
      <c r="G4910">
        <v>230223</v>
      </c>
      <c r="H4910">
        <v>4470</v>
      </c>
      <c r="I4910" t="s">
        <v>83</v>
      </c>
      <c r="J4910">
        <v>9.99</v>
      </c>
      <c r="K4910">
        <v>1.93</v>
      </c>
      <c r="L4910">
        <v>16930</v>
      </c>
      <c r="M4910" t="s">
        <v>450</v>
      </c>
      <c r="N4910" t="str">
        <f>"52 / 2017401"</f>
        <v>52 / 2017401</v>
      </c>
      <c r="O4910">
        <v>230306</v>
      </c>
    </row>
    <row r="4911" spans="1:15" x14ac:dyDescent="0.25">
      <c r="A4911" t="s">
        <v>16</v>
      </c>
      <c r="B4911" t="s">
        <v>3221</v>
      </c>
      <c r="C4911">
        <v>3129</v>
      </c>
      <c r="D4911" t="s">
        <v>289</v>
      </c>
      <c r="E4911" t="s">
        <v>290</v>
      </c>
      <c r="F4911">
        <v>136.36000000000001</v>
      </c>
      <c r="G4911">
        <v>230220</v>
      </c>
      <c r="H4911">
        <v>4470</v>
      </c>
      <c r="I4911" t="s">
        <v>83</v>
      </c>
      <c r="J4911">
        <v>150</v>
      </c>
      <c r="K4911">
        <v>13.64</v>
      </c>
      <c r="L4911">
        <v>11902</v>
      </c>
      <c r="M4911" t="s">
        <v>1443</v>
      </c>
      <c r="N4911" t="str">
        <f>"37 / 2015046"</f>
        <v>37 / 2015046</v>
      </c>
      <c r="O4911">
        <v>230309</v>
      </c>
    </row>
    <row r="4912" spans="1:15" x14ac:dyDescent="0.25">
      <c r="A4912" t="s">
        <v>16</v>
      </c>
      <c r="B4912" t="s">
        <v>3221</v>
      </c>
      <c r="C4912">
        <v>5934</v>
      </c>
      <c r="D4912" t="s">
        <v>289</v>
      </c>
      <c r="E4912" t="s">
        <v>290</v>
      </c>
      <c r="F4912">
        <v>36</v>
      </c>
      <c r="G4912">
        <v>230427</v>
      </c>
      <c r="H4912">
        <v>4470</v>
      </c>
      <c r="I4912" t="s">
        <v>83</v>
      </c>
      <c r="J4912">
        <v>36</v>
      </c>
      <c r="K4912">
        <v>0</v>
      </c>
      <c r="L4912">
        <v>17971</v>
      </c>
      <c r="M4912" t="s">
        <v>138</v>
      </c>
      <c r="N4912" t="str">
        <f>"67 / 2076185"</f>
        <v>67 / 2076185</v>
      </c>
      <c r="O4912">
        <v>230504</v>
      </c>
    </row>
    <row r="4913" spans="1:15" x14ac:dyDescent="0.25">
      <c r="A4913" t="s">
        <v>16</v>
      </c>
      <c r="B4913" t="s">
        <v>3221</v>
      </c>
      <c r="C4913">
        <v>8939</v>
      </c>
      <c r="D4913" t="s">
        <v>289</v>
      </c>
      <c r="E4913" t="s">
        <v>290</v>
      </c>
      <c r="F4913">
        <v>40.33</v>
      </c>
      <c r="G4913">
        <v>230614</v>
      </c>
      <c r="H4913">
        <v>4860</v>
      </c>
      <c r="I4913" t="s">
        <v>28</v>
      </c>
      <c r="J4913">
        <v>50.01</v>
      </c>
      <c r="K4913">
        <v>9.68</v>
      </c>
      <c r="L4913">
        <v>13281</v>
      </c>
      <c r="M4913" t="s">
        <v>1296</v>
      </c>
      <c r="N4913" t="str">
        <f>"90 / 2123342"</f>
        <v>90 / 2123342</v>
      </c>
      <c r="O4913">
        <v>230620</v>
      </c>
    </row>
    <row r="4914" spans="1:15" x14ac:dyDescent="0.25">
      <c r="A4914" t="s">
        <v>16</v>
      </c>
      <c r="B4914" t="s">
        <v>3221</v>
      </c>
      <c r="C4914">
        <v>12648</v>
      </c>
      <c r="D4914" t="s">
        <v>289</v>
      </c>
      <c r="E4914" t="s">
        <v>290</v>
      </c>
      <c r="F4914">
        <v>86.36</v>
      </c>
      <c r="G4914">
        <v>230916</v>
      </c>
      <c r="H4914">
        <v>4441</v>
      </c>
      <c r="I4914" t="s">
        <v>109</v>
      </c>
      <c r="J4914">
        <v>95</v>
      </c>
      <c r="K4914">
        <v>8.64</v>
      </c>
      <c r="L4914">
        <v>55255</v>
      </c>
      <c r="M4914" t="s">
        <v>1174</v>
      </c>
      <c r="N4914" t="str">
        <f t="shared" ref="N4914:N4919" si="97">"3554        "</f>
        <v xml:space="preserve">3554        </v>
      </c>
      <c r="O4914">
        <v>230922</v>
      </c>
    </row>
    <row r="4915" spans="1:15" x14ac:dyDescent="0.25">
      <c r="A4915" t="s">
        <v>16</v>
      </c>
      <c r="B4915" t="s">
        <v>3221</v>
      </c>
      <c r="C4915">
        <v>12648</v>
      </c>
      <c r="D4915" t="s">
        <v>289</v>
      </c>
      <c r="E4915" t="s">
        <v>290</v>
      </c>
      <c r="F4915">
        <v>86.36</v>
      </c>
      <c r="G4915">
        <v>230916</v>
      </c>
      <c r="H4915">
        <v>4441</v>
      </c>
      <c r="I4915" t="s">
        <v>109</v>
      </c>
      <c r="J4915">
        <v>95</v>
      </c>
      <c r="K4915">
        <v>8.64</v>
      </c>
      <c r="L4915">
        <v>56522</v>
      </c>
      <c r="M4915" t="s">
        <v>43</v>
      </c>
      <c r="N4915" t="str">
        <f t="shared" si="97"/>
        <v xml:space="preserve">3554        </v>
      </c>
      <c r="O4915">
        <v>230922</v>
      </c>
    </row>
    <row r="4916" spans="1:15" x14ac:dyDescent="0.25">
      <c r="A4916" t="s">
        <v>16</v>
      </c>
      <c r="B4916" t="s">
        <v>3221</v>
      </c>
      <c r="C4916">
        <v>12648</v>
      </c>
      <c r="D4916" t="s">
        <v>289</v>
      </c>
      <c r="E4916" t="s">
        <v>290</v>
      </c>
      <c r="F4916">
        <v>86.36</v>
      </c>
      <c r="G4916">
        <v>230916</v>
      </c>
      <c r="H4916">
        <v>4441</v>
      </c>
      <c r="I4916" t="s">
        <v>109</v>
      </c>
      <c r="J4916">
        <v>95</v>
      </c>
      <c r="K4916">
        <v>8.64</v>
      </c>
      <c r="L4916">
        <v>56524</v>
      </c>
      <c r="M4916" t="s">
        <v>150</v>
      </c>
      <c r="N4916" t="str">
        <f t="shared" si="97"/>
        <v xml:space="preserve">3554        </v>
      </c>
      <c r="O4916">
        <v>230922</v>
      </c>
    </row>
    <row r="4917" spans="1:15" x14ac:dyDescent="0.25">
      <c r="A4917" t="s">
        <v>16</v>
      </c>
      <c r="B4917" t="s">
        <v>3221</v>
      </c>
      <c r="C4917">
        <v>12648</v>
      </c>
      <c r="D4917" t="s">
        <v>289</v>
      </c>
      <c r="E4917" t="s">
        <v>290</v>
      </c>
      <c r="F4917">
        <v>50</v>
      </c>
      <c r="G4917">
        <v>230916</v>
      </c>
      <c r="H4917">
        <v>4441</v>
      </c>
      <c r="I4917" t="s">
        <v>109</v>
      </c>
      <c r="J4917">
        <v>50</v>
      </c>
      <c r="K4917">
        <v>0</v>
      </c>
      <c r="L4917">
        <v>56528</v>
      </c>
      <c r="M4917" t="s">
        <v>153</v>
      </c>
      <c r="N4917" t="str">
        <f t="shared" si="97"/>
        <v xml:space="preserve">3554        </v>
      </c>
      <c r="O4917">
        <v>230922</v>
      </c>
    </row>
    <row r="4918" spans="1:15" x14ac:dyDescent="0.25">
      <c r="A4918" t="s">
        <v>16</v>
      </c>
      <c r="B4918" t="s">
        <v>3221</v>
      </c>
      <c r="C4918">
        <v>12648</v>
      </c>
      <c r="D4918" t="s">
        <v>289</v>
      </c>
      <c r="E4918" t="s">
        <v>290</v>
      </c>
      <c r="F4918">
        <v>49.09</v>
      </c>
      <c r="G4918">
        <v>230916</v>
      </c>
      <c r="H4918">
        <v>4441</v>
      </c>
      <c r="I4918" t="s">
        <v>109</v>
      </c>
      <c r="J4918">
        <v>54</v>
      </c>
      <c r="K4918">
        <v>4.91</v>
      </c>
      <c r="L4918">
        <v>56528</v>
      </c>
      <c r="M4918" t="s">
        <v>153</v>
      </c>
      <c r="N4918" t="str">
        <f t="shared" si="97"/>
        <v xml:space="preserve">3554        </v>
      </c>
      <c r="O4918">
        <v>230922</v>
      </c>
    </row>
    <row r="4919" spans="1:15" x14ac:dyDescent="0.25">
      <c r="A4919" t="s">
        <v>16</v>
      </c>
      <c r="B4919" t="s">
        <v>3221</v>
      </c>
      <c r="C4919">
        <v>12648</v>
      </c>
      <c r="D4919" t="s">
        <v>289</v>
      </c>
      <c r="E4919" t="s">
        <v>290</v>
      </c>
      <c r="F4919">
        <v>8.06</v>
      </c>
      <c r="G4919">
        <v>230916</v>
      </c>
      <c r="H4919">
        <v>4441</v>
      </c>
      <c r="I4919" t="s">
        <v>109</v>
      </c>
      <c r="J4919">
        <v>9.99</v>
      </c>
      <c r="K4919">
        <v>1.93</v>
      </c>
      <c r="L4919">
        <v>59702</v>
      </c>
      <c r="M4919" t="s">
        <v>328</v>
      </c>
      <c r="N4919" t="str">
        <f t="shared" si="97"/>
        <v xml:space="preserve">3554        </v>
      </c>
      <c r="O4919">
        <v>230922</v>
      </c>
    </row>
    <row r="4920" spans="1:15" x14ac:dyDescent="0.25">
      <c r="A4920" t="s">
        <v>16</v>
      </c>
      <c r="B4920" t="s">
        <v>3221</v>
      </c>
      <c r="C4920">
        <v>16152</v>
      </c>
      <c r="D4920" t="s">
        <v>289</v>
      </c>
      <c r="E4920" t="s">
        <v>290</v>
      </c>
      <c r="F4920">
        <v>143.55000000000001</v>
      </c>
      <c r="G4920">
        <v>231115</v>
      </c>
      <c r="H4920">
        <v>4820</v>
      </c>
      <c r="I4920" t="s">
        <v>50</v>
      </c>
      <c r="J4920">
        <v>178</v>
      </c>
      <c r="K4920">
        <v>34.450000000000003</v>
      </c>
      <c r="L4920">
        <v>13401</v>
      </c>
      <c r="M4920" t="s">
        <v>80</v>
      </c>
      <c r="N4920" t="str">
        <f>"3855        "</f>
        <v xml:space="preserve">3855        </v>
      </c>
      <c r="O4920">
        <v>231123</v>
      </c>
    </row>
    <row r="4921" spans="1:15" x14ac:dyDescent="0.25">
      <c r="A4921" t="s">
        <v>16</v>
      </c>
      <c r="B4921" t="s">
        <v>3221</v>
      </c>
      <c r="C4921">
        <v>16152</v>
      </c>
      <c r="D4921" t="s">
        <v>289</v>
      </c>
      <c r="E4921" t="s">
        <v>290</v>
      </c>
      <c r="F4921">
        <v>143.55000000000001</v>
      </c>
      <c r="G4921">
        <v>231115</v>
      </c>
      <c r="H4921">
        <v>4820</v>
      </c>
      <c r="I4921" t="s">
        <v>50</v>
      </c>
      <c r="J4921">
        <v>178</v>
      </c>
      <c r="K4921">
        <v>34.450000000000003</v>
      </c>
      <c r="L4921">
        <v>13501</v>
      </c>
      <c r="M4921" t="s">
        <v>20</v>
      </c>
      <c r="N4921" t="str">
        <f>"3855        "</f>
        <v xml:space="preserve">3855        </v>
      </c>
      <c r="O4921">
        <v>231123</v>
      </c>
    </row>
    <row r="4922" spans="1:15" x14ac:dyDescent="0.25">
      <c r="A4922" t="s">
        <v>16</v>
      </c>
      <c r="B4922" t="s">
        <v>3221</v>
      </c>
      <c r="C4922">
        <v>2654</v>
      </c>
      <c r="D4922" t="s">
        <v>289</v>
      </c>
      <c r="E4922" t="s">
        <v>290</v>
      </c>
      <c r="F4922">
        <v>8.06</v>
      </c>
      <c r="G4922">
        <v>230224</v>
      </c>
      <c r="H4922">
        <v>4347</v>
      </c>
      <c r="I4922" t="s">
        <v>193</v>
      </c>
      <c r="J4922">
        <v>9.99</v>
      </c>
      <c r="K4922">
        <v>1.93</v>
      </c>
      <c r="L4922">
        <v>17521</v>
      </c>
      <c r="M4922" t="s">
        <v>133</v>
      </c>
      <c r="N4922" t="str">
        <f>"57 / 2017405"</f>
        <v>57 / 2017405</v>
      </c>
      <c r="O4922">
        <v>230306</v>
      </c>
    </row>
    <row r="4923" spans="1:15" x14ac:dyDescent="0.25">
      <c r="A4923" t="s">
        <v>16</v>
      </c>
      <c r="B4923" t="s">
        <v>3221</v>
      </c>
      <c r="C4923">
        <v>5884</v>
      </c>
      <c r="D4923" t="s">
        <v>289</v>
      </c>
      <c r="E4923" t="s">
        <v>290</v>
      </c>
      <c r="F4923">
        <v>8.06</v>
      </c>
      <c r="G4923">
        <v>230425</v>
      </c>
      <c r="H4923">
        <v>4347</v>
      </c>
      <c r="I4923" t="s">
        <v>193</v>
      </c>
      <c r="J4923">
        <v>10</v>
      </c>
      <c r="K4923">
        <v>1.94</v>
      </c>
      <c r="L4923">
        <v>13501</v>
      </c>
      <c r="M4923" t="s">
        <v>20</v>
      </c>
      <c r="N4923" t="str">
        <f>"64 / 2075354"</f>
        <v>64 / 2075354</v>
      </c>
      <c r="O4923">
        <v>230503</v>
      </c>
    </row>
    <row r="4924" spans="1:15" x14ac:dyDescent="0.25">
      <c r="A4924" t="s">
        <v>16</v>
      </c>
      <c r="B4924" t="s">
        <v>3221</v>
      </c>
      <c r="C4924">
        <v>12478</v>
      </c>
      <c r="D4924" t="s">
        <v>289</v>
      </c>
      <c r="E4924" t="s">
        <v>290</v>
      </c>
      <c r="F4924">
        <v>8.06</v>
      </c>
      <c r="G4924">
        <v>230915</v>
      </c>
      <c r="H4924">
        <v>4347</v>
      </c>
      <c r="I4924" t="s">
        <v>193</v>
      </c>
      <c r="J4924">
        <v>9.99</v>
      </c>
      <c r="K4924">
        <v>1.93</v>
      </c>
      <c r="L4924">
        <v>16930</v>
      </c>
      <c r="M4924" t="s">
        <v>450</v>
      </c>
      <c r="N4924" t="str">
        <f>"3545        "</f>
        <v xml:space="preserve">3545        </v>
      </c>
      <c r="O4924">
        <v>230920</v>
      </c>
    </row>
    <row r="4925" spans="1:15" x14ac:dyDescent="0.25">
      <c r="A4925" t="s">
        <v>16</v>
      </c>
      <c r="B4925" t="s">
        <v>3221</v>
      </c>
      <c r="C4925">
        <v>16152</v>
      </c>
      <c r="D4925" t="s">
        <v>289</v>
      </c>
      <c r="E4925" t="s">
        <v>290</v>
      </c>
      <c r="F4925">
        <v>4.03</v>
      </c>
      <c r="G4925">
        <v>231115</v>
      </c>
      <c r="H4925">
        <v>4347</v>
      </c>
      <c r="I4925" t="s">
        <v>193</v>
      </c>
      <c r="J4925">
        <v>5</v>
      </c>
      <c r="K4925">
        <v>0.97</v>
      </c>
      <c r="L4925">
        <v>13401</v>
      </c>
      <c r="M4925" t="s">
        <v>80</v>
      </c>
      <c r="N4925" t="str">
        <f>"3855        "</f>
        <v xml:space="preserve">3855        </v>
      </c>
      <c r="O4925">
        <v>231123</v>
      </c>
    </row>
    <row r="4926" spans="1:15" x14ac:dyDescent="0.25">
      <c r="A4926" t="s">
        <v>16</v>
      </c>
      <c r="B4926" t="s">
        <v>3221</v>
      </c>
      <c r="C4926">
        <v>16152</v>
      </c>
      <c r="D4926" t="s">
        <v>289</v>
      </c>
      <c r="E4926" t="s">
        <v>290</v>
      </c>
      <c r="F4926">
        <v>4.03</v>
      </c>
      <c r="G4926">
        <v>231115</v>
      </c>
      <c r="H4926">
        <v>4347</v>
      </c>
      <c r="I4926" t="s">
        <v>193</v>
      </c>
      <c r="J4926">
        <v>5</v>
      </c>
      <c r="K4926">
        <v>0.97</v>
      </c>
      <c r="L4926">
        <v>13501</v>
      </c>
      <c r="M4926" t="s">
        <v>20</v>
      </c>
      <c r="N4926" t="str">
        <f>"3855        "</f>
        <v xml:space="preserve">3855        </v>
      </c>
      <c r="O4926">
        <v>231123</v>
      </c>
    </row>
    <row r="4927" spans="1:15" x14ac:dyDescent="0.25">
      <c r="A4927" t="s">
        <v>16</v>
      </c>
      <c r="B4927" t="s">
        <v>3221</v>
      </c>
      <c r="C4927">
        <v>16351</v>
      </c>
      <c r="D4927" t="s">
        <v>3570</v>
      </c>
      <c r="E4927" t="s">
        <v>3571</v>
      </c>
      <c r="F4927">
        <v>130</v>
      </c>
      <c r="G4927">
        <v>231123</v>
      </c>
      <c r="H4927">
        <v>4350</v>
      </c>
      <c r="I4927" t="s">
        <v>546</v>
      </c>
      <c r="J4927">
        <v>130</v>
      </c>
      <c r="K4927">
        <v>0</v>
      </c>
      <c r="L4927">
        <v>17972</v>
      </c>
      <c r="M4927" t="s">
        <v>248</v>
      </c>
      <c r="N4927" t="str">
        <f>"23162       "</f>
        <v xml:space="preserve">23162       </v>
      </c>
      <c r="O4927">
        <v>231128</v>
      </c>
    </row>
    <row r="4928" spans="1:15" x14ac:dyDescent="0.25">
      <c r="A4928" t="s">
        <v>16</v>
      </c>
      <c r="B4928" t="s">
        <v>3221</v>
      </c>
      <c r="C4928">
        <v>6664</v>
      </c>
      <c r="D4928" t="s">
        <v>3631</v>
      </c>
      <c r="E4928" t="s">
        <v>2005</v>
      </c>
      <c r="F4928">
        <v>471.63</v>
      </c>
      <c r="G4928">
        <v>230512</v>
      </c>
      <c r="H4928">
        <v>4400</v>
      </c>
      <c r="I4928" t="s">
        <v>348</v>
      </c>
      <c r="J4928">
        <v>584.82000000000005</v>
      </c>
      <c r="K4928">
        <v>113.19</v>
      </c>
      <c r="L4928">
        <v>17131</v>
      </c>
      <c r="M4928" t="s">
        <v>64</v>
      </c>
      <c r="N4928" t="str">
        <f>"6786        "</f>
        <v xml:space="preserve">6786        </v>
      </c>
      <c r="O4928">
        <v>230517</v>
      </c>
    </row>
    <row r="4929" spans="1:15" x14ac:dyDescent="0.25">
      <c r="A4929" t="s">
        <v>16</v>
      </c>
      <c r="B4929" t="s">
        <v>3221</v>
      </c>
      <c r="C4929">
        <v>6664</v>
      </c>
      <c r="D4929" t="s">
        <v>3631</v>
      </c>
      <c r="E4929" t="s">
        <v>2005</v>
      </c>
      <c r="F4929">
        <v>471.63</v>
      </c>
      <c r="G4929">
        <v>230512</v>
      </c>
      <c r="H4929">
        <v>4400</v>
      </c>
      <c r="I4929" t="s">
        <v>348</v>
      </c>
      <c r="J4929">
        <v>584.82000000000005</v>
      </c>
      <c r="K4929">
        <v>113.19</v>
      </c>
      <c r="L4929">
        <v>17711</v>
      </c>
      <c r="M4929" t="s">
        <v>65</v>
      </c>
      <c r="N4929" t="str">
        <f>"6786        "</f>
        <v xml:space="preserve">6786        </v>
      </c>
      <c r="O4929">
        <v>230517</v>
      </c>
    </row>
    <row r="4930" spans="1:15" x14ac:dyDescent="0.25">
      <c r="A4930" t="s">
        <v>16</v>
      </c>
      <c r="B4930" t="s">
        <v>3221</v>
      </c>
      <c r="C4930">
        <v>9258</v>
      </c>
      <c r="D4930" t="s">
        <v>3631</v>
      </c>
      <c r="E4930" t="s">
        <v>2005</v>
      </c>
      <c r="F4930">
        <v>413.43</v>
      </c>
      <c r="G4930">
        <v>230629</v>
      </c>
      <c r="H4930">
        <v>4400</v>
      </c>
      <c r="I4930" t="s">
        <v>348</v>
      </c>
      <c r="J4930">
        <v>512.65</v>
      </c>
      <c r="K4930">
        <v>99.22</v>
      </c>
      <c r="L4930">
        <v>17131</v>
      </c>
      <c r="M4930" t="s">
        <v>64</v>
      </c>
      <c r="N4930" t="str">
        <f>"6887        "</f>
        <v xml:space="preserve">6887        </v>
      </c>
      <c r="O4930">
        <v>230703</v>
      </c>
    </row>
    <row r="4931" spans="1:15" x14ac:dyDescent="0.25">
      <c r="A4931" t="s">
        <v>16</v>
      </c>
      <c r="B4931" t="s">
        <v>3221</v>
      </c>
      <c r="C4931">
        <v>9258</v>
      </c>
      <c r="D4931" t="s">
        <v>3631</v>
      </c>
      <c r="E4931" t="s">
        <v>2005</v>
      </c>
      <c r="F4931">
        <v>413.42</v>
      </c>
      <c r="G4931">
        <v>230629</v>
      </c>
      <c r="H4931">
        <v>4400</v>
      </c>
      <c r="I4931" t="s">
        <v>348</v>
      </c>
      <c r="J4931">
        <v>512.64</v>
      </c>
      <c r="K4931">
        <v>99.22</v>
      </c>
      <c r="L4931">
        <v>17711</v>
      </c>
      <c r="M4931" t="s">
        <v>65</v>
      </c>
      <c r="N4931" t="str">
        <f>"6887        "</f>
        <v xml:space="preserve">6887        </v>
      </c>
      <c r="O4931">
        <v>230703</v>
      </c>
    </row>
    <row r="4932" spans="1:15" x14ac:dyDescent="0.25">
      <c r="A4932" t="s">
        <v>16</v>
      </c>
      <c r="B4932" t="s">
        <v>3221</v>
      </c>
      <c r="C4932">
        <v>14708</v>
      </c>
      <c r="D4932" t="s">
        <v>3631</v>
      </c>
      <c r="E4932" t="s">
        <v>2005</v>
      </c>
      <c r="F4932">
        <v>561.46</v>
      </c>
      <c r="G4932">
        <v>231024</v>
      </c>
      <c r="H4932">
        <v>4400</v>
      </c>
      <c r="I4932" t="s">
        <v>348</v>
      </c>
      <c r="J4932">
        <v>696.21</v>
      </c>
      <c r="K4932">
        <v>134.75</v>
      </c>
      <c r="L4932">
        <v>17131</v>
      </c>
      <c r="M4932" t="s">
        <v>64</v>
      </c>
      <c r="N4932" t="str">
        <f>"7066        "</f>
        <v xml:space="preserve">7066        </v>
      </c>
      <c r="O4932">
        <v>231101</v>
      </c>
    </row>
    <row r="4933" spans="1:15" x14ac:dyDescent="0.25">
      <c r="A4933" t="s">
        <v>16</v>
      </c>
      <c r="B4933" t="s">
        <v>3221</v>
      </c>
      <c r="C4933">
        <v>14708</v>
      </c>
      <c r="D4933" t="s">
        <v>3631</v>
      </c>
      <c r="E4933" t="s">
        <v>2005</v>
      </c>
      <c r="F4933">
        <v>561.45000000000005</v>
      </c>
      <c r="G4933">
        <v>231024</v>
      </c>
      <c r="H4933">
        <v>4400</v>
      </c>
      <c r="I4933" t="s">
        <v>348</v>
      </c>
      <c r="J4933">
        <v>696.2</v>
      </c>
      <c r="K4933">
        <v>134.75</v>
      </c>
      <c r="L4933">
        <v>17711</v>
      </c>
      <c r="M4933" t="s">
        <v>65</v>
      </c>
      <c r="N4933" t="str">
        <f>"7066        "</f>
        <v xml:space="preserve">7066        </v>
      </c>
      <c r="O4933">
        <v>231101</v>
      </c>
    </row>
    <row r="4934" spans="1:15" x14ac:dyDescent="0.25">
      <c r="A4934" t="s">
        <v>16</v>
      </c>
      <c r="B4934" t="s">
        <v>3221</v>
      </c>
      <c r="C4934">
        <v>15683</v>
      </c>
      <c r="D4934" t="s">
        <v>3631</v>
      </c>
      <c r="E4934" t="s">
        <v>2005</v>
      </c>
      <c r="F4934">
        <v>759.41</v>
      </c>
      <c r="G4934">
        <v>231109</v>
      </c>
      <c r="H4934">
        <v>4400</v>
      </c>
      <c r="I4934" t="s">
        <v>348</v>
      </c>
      <c r="J4934">
        <v>941.67</v>
      </c>
      <c r="K4934">
        <v>182.26</v>
      </c>
      <c r="L4934">
        <v>17538</v>
      </c>
      <c r="M4934" t="s">
        <v>24</v>
      </c>
      <c r="N4934" t="str">
        <f>"7103        "</f>
        <v xml:space="preserve">7103        </v>
      </c>
      <c r="O4934">
        <v>231116</v>
      </c>
    </row>
    <row r="4935" spans="1:15" x14ac:dyDescent="0.25">
      <c r="A4935" t="s">
        <v>16</v>
      </c>
      <c r="B4935" t="s">
        <v>3221</v>
      </c>
      <c r="C4935">
        <v>2088</v>
      </c>
      <c r="D4935" t="s">
        <v>1290</v>
      </c>
      <c r="E4935" t="s">
        <v>1291</v>
      </c>
      <c r="F4935">
        <v>1300</v>
      </c>
      <c r="G4935">
        <v>230217</v>
      </c>
      <c r="H4935">
        <v>4426</v>
      </c>
      <c r="I4935" t="s">
        <v>1172</v>
      </c>
      <c r="J4935">
        <v>1300</v>
      </c>
      <c r="K4935">
        <v>0</v>
      </c>
      <c r="L4935">
        <v>13553</v>
      </c>
      <c r="M4935" t="s">
        <v>1173</v>
      </c>
      <c r="N4935" t="str">
        <f>"7918        "</f>
        <v xml:space="preserve">7918        </v>
      </c>
      <c r="O4935">
        <v>230220</v>
      </c>
    </row>
    <row r="4936" spans="1:15" x14ac:dyDescent="0.25">
      <c r="A4936" t="s">
        <v>16</v>
      </c>
      <c r="B4936" t="s">
        <v>3221</v>
      </c>
      <c r="C4936">
        <v>2090</v>
      </c>
      <c r="D4936" t="s">
        <v>1290</v>
      </c>
      <c r="E4936" t="s">
        <v>1291</v>
      </c>
      <c r="F4936">
        <v>942.3</v>
      </c>
      <c r="G4936">
        <v>230217</v>
      </c>
      <c r="H4936">
        <v>4426</v>
      </c>
      <c r="I4936" t="s">
        <v>1172</v>
      </c>
      <c r="J4936">
        <v>942.3</v>
      </c>
      <c r="K4936">
        <v>0</v>
      </c>
      <c r="L4936">
        <v>13553</v>
      </c>
      <c r="M4936" t="s">
        <v>1173</v>
      </c>
      <c r="N4936" t="str">
        <f>"7919        "</f>
        <v xml:space="preserve">7919        </v>
      </c>
      <c r="O4936">
        <v>230220</v>
      </c>
    </row>
    <row r="4937" spans="1:15" x14ac:dyDescent="0.25">
      <c r="A4937" t="s">
        <v>16</v>
      </c>
      <c r="B4937" t="s">
        <v>3221</v>
      </c>
      <c r="C4937">
        <v>2801</v>
      </c>
      <c r="D4937" t="s">
        <v>1290</v>
      </c>
      <c r="E4937" t="s">
        <v>1291</v>
      </c>
      <c r="F4937">
        <v>1300</v>
      </c>
      <c r="G4937">
        <v>230303</v>
      </c>
      <c r="H4937">
        <v>4426</v>
      </c>
      <c r="I4937" t="s">
        <v>1172</v>
      </c>
      <c r="J4937">
        <v>1300</v>
      </c>
      <c r="K4937">
        <v>0</v>
      </c>
      <c r="L4937">
        <v>13553</v>
      </c>
      <c r="M4937" t="s">
        <v>1173</v>
      </c>
      <c r="N4937" t="str">
        <f>"7928        "</f>
        <v xml:space="preserve">7928        </v>
      </c>
      <c r="O4937">
        <v>230307</v>
      </c>
    </row>
    <row r="4938" spans="1:15" x14ac:dyDescent="0.25">
      <c r="A4938" t="s">
        <v>16</v>
      </c>
      <c r="B4938" t="s">
        <v>3221</v>
      </c>
      <c r="C4938">
        <v>2824</v>
      </c>
      <c r="D4938" t="s">
        <v>1290</v>
      </c>
      <c r="E4938" t="s">
        <v>1291</v>
      </c>
      <c r="F4938">
        <v>456</v>
      </c>
      <c r="G4938">
        <v>230303</v>
      </c>
      <c r="H4938">
        <v>4426</v>
      </c>
      <c r="I4938" t="s">
        <v>1172</v>
      </c>
      <c r="J4938">
        <v>456</v>
      </c>
      <c r="K4938">
        <v>0</v>
      </c>
      <c r="L4938">
        <v>13553</v>
      </c>
      <c r="M4938" t="s">
        <v>1173</v>
      </c>
      <c r="N4938" t="str">
        <f>"7929        "</f>
        <v xml:space="preserve">7929        </v>
      </c>
      <c r="O4938">
        <v>230307</v>
      </c>
    </row>
    <row r="4939" spans="1:15" x14ac:dyDescent="0.25">
      <c r="A4939" t="s">
        <v>16</v>
      </c>
      <c r="B4939" t="s">
        <v>3221</v>
      </c>
      <c r="C4939">
        <v>4667</v>
      </c>
      <c r="D4939" t="s">
        <v>1290</v>
      </c>
      <c r="E4939" t="s">
        <v>1291</v>
      </c>
      <c r="F4939">
        <v>393.3</v>
      </c>
      <c r="G4939">
        <v>230405</v>
      </c>
      <c r="H4939">
        <v>4426</v>
      </c>
      <c r="I4939" t="s">
        <v>1172</v>
      </c>
      <c r="J4939">
        <v>393.3</v>
      </c>
      <c r="K4939">
        <v>0</v>
      </c>
      <c r="L4939">
        <v>13553</v>
      </c>
      <c r="M4939" t="s">
        <v>1173</v>
      </c>
      <c r="N4939" t="str">
        <f>"7962        "</f>
        <v xml:space="preserve">7962        </v>
      </c>
      <c r="O4939">
        <v>230411</v>
      </c>
    </row>
    <row r="4940" spans="1:15" x14ac:dyDescent="0.25">
      <c r="A4940" t="s">
        <v>16</v>
      </c>
      <c r="B4940" t="s">
        <v>3221</v>
      </c>
      <c r="C4940">
        <v>4669</v>
      </c>
      <c r="D4940" t="s">
        <v>1290</v>
      </c>
      <c r="E4940" t="s">
        <v>1291</v>
      </c>
      <c r="F4940">
        <v>1300</v>
      </c>
      <c r="G4940">
        <v>230405</v>
      </c>
      <c r="H4940">
        <v>4426</v>
      </c>
      <c r="I4940" t="s">
        <v>1172</v>
      </c>
      <c r="J4940">
        <v>1300</v>
      </c>
      <c r="K4940">
        <v>0</v>
      </c>
      <c r="L4940">
        <v>13553</v>
      </c>
      <c r="M4940" t="s">
        <v>1173</v>
      </c>
      <c r="N4940" t="str">
        <f>"7961        "</f>
        <v xml:space="preserve">7961        </v>
      </c>
      <c r="O4940">
        <v>230411</v>
      </c>
    </row>
    <row r="4941" spans="1:15" x14ac:dyDescent="0.25">
      <c r="A4941" t="s">
        <v>16</v>
      </c>
      <c r="B4941" t="s">
        <v>3221</v>
      </c>
      <c r="C4941">
        <v>6198</v>
      </c>
      <c r="D4941" t="s">
        <v>1290</v>
      </c>
      <c r="E4941" t="s">
        <v>1291</v>
      </c>
      <c r="F4941">
        <v>1300</v>
      </c>
      <c r="G4941">
        <v>230507</v>
      </c>
      <c r="H4941">
        <v>4426</v>
      </c>
      <c r="I4941" t="s">
        <v>1172</v>
      </c>
      <c r="J4941">
        <v>1300</v>
      </c>
      <c r="K4941">
        <v>0</v>
      </c>
      <c r="L4941">
        <v>13553</v>
      </c>
      <c r="M4941" t="s">
        <v>1173</v>
      </c>
      <c r="N4941" t="str">
        <f>"7981        "</f>
        <v xml:space="preserve">7981        </v>
      </c>
      <c r="O4941">
        <v>230508</v>
      </c>
    </row>
    <row r="4942" spans="1:15" x14ac:dyDescent="0.25">
      <c r="A4942" t="s">
        <v>16</v>
      </c>
      <c r="B4942" t="s">
        <v>3221</v>
      </c>
      <c r="C4942">
        <v>6199</v>
      </c>
      <c r="D4942" t="s">
        <v>1290</v>
      </c>
      <c r="E4942" t="s">
        <v>1291</v>
      </c>
      <c r="F4942">
        <v>382</v>
      </c>
      <c r="G4942">
        <v>230507</v>
      </c>
      <c r="H4942">
        <v>4426</v>
      </c>
      <c r="I4942" t="s">
        <v>1172</v>
      </c>
      <c r="J4942">
        <v>382</v>
      </c>
      <c r="K4942">
        <v>0</v>
      </c>
      <c r="L4942">
        <v>13553</v>
      </c>
      <c r="M4942" t="s">
        <v>1173</v>
      </c>
      <c r="N4942" t="str">
        <f>"7982        "</f>
        <v xml:space="preserve">7982        </v>
      </c>
      <c r="O4942">
        <v>230508</v>
      </c>
    </row>
    <row r="4943" spans="1:15" x14ac:dyDescent="0.25">
      <c r="A4943" t="s">
        <v>16</v>
      </c>
      <c r="B4943" t="s">
        <v>3221</v>
      </c>
      <c r="C4943">
        <v>8112</v>
      </c>
      <c r="D4943" t="s">
        <v>1290</v>
      </c>
      <c r="E4943" t="s">
        <v>1291</v>
      </c>
      <c r="F4943">
        <v>367</v>
      </c>
      <c r="G4943">
        <v>230606</v>
      </c>
      <c r="H4943">
        <v>4426</v>
      </c>
      <c r="I4943" t="s">
        <v>1172</v>
      </c>
      <c r="J4943">
        <v>403.7</v>
      </c>
      <c r="K4943">
        <v>36.700000000000003</v>
      </c>
      <c r="L4943">
        <v>13553</v>
      </c>
      <c r="M4943" t="s">
        <v>1173</v>
      </c>
      <c r="N4943" t="str">
        <f>"8008        "</f>
        <v xml:space="preserve">8008        </v>
      </c>
      <c r="O4943">
        <v>230607</v>
      </c>
    </row>
    <row r="4944" spans="1:15" x14ac:dyDescent="0.25">
      <c r="A4944" t="s">
        <v>16</v>
      </c>
      <c r="B4944" t="s">
        <v>3221</v>
      </c>
      <c r="C4944">
        <v>8116</v>
      </c>
      <c r="D4944" t="s">
        <v>1290</v>
      </c>
      <c r="E4944" t="s">
        <v>1291</v>
      </c>
      <c r="F4944">
        <v>1359.09</v>
      </c>
      <c r="G4944">
        <v>230606</v>
      </c>
      <c r="H4944">
        <v>4426</v>
      </c>
      <c r="I4944" t="s">
        <v>1172</v>
      </c>
      <c r="J4944">
        <v>1495</v>
      </c>
      <c r="K4944">
        <v>135.91</v>
      </c>
      <c r="L4944">
        <v>13553</v>
      </c>
      <c r="M4944" t="s">
        <v>1173</v>
      </c>
      <c r="N4944" t="str">
        <f>"8009        "</f>
        <v xml:space="preserve">8009        </v>
      </c>
      <c r="O4944">
        <v>230607</v>
      </c>
    </row>
    <row r="4945" spans="1:15" x14ac:dyDescent="0.25">
      <c r="A4945" t="s">
        <v>16</v>
      </c>
      <c r="B4945" t="s">
        <v>3221</v>
      </c>
      <c r="C4945">
        <v>2120</v>
      </c>
      <c r="D4945" t="s">
        <v>1290</v>
      </c>
      <c r="E4945" t="s">
        <v>1291</v>
      </c>
      <c r="F4945">
        <v>400</v>
      </c>
      <c r="G4945">
        <v>230217</v>
      </c>
      <c r="H4945">
        <v>4420</v>
      </c>
      <c r="I4945" t="s">
        <v>132</v>
      </c>
      <c r="J4945">
        <v>400</v>
      </c>
      <c r="K4945">
        <v>0</v>
      </c>
      <c r="L4945">
        <v>11908</v>
      </c>
      <c r="M4945" t="s">
        <v>598</v>
      </c>
      <c r="N4945" t="str">
        <f>"7910        "</f>
        <v xml:space="preserve">7910        </v>
      </c>
      <c r="O4945">
        <v>230221</v>
      </c>
    </row>
    <row r="4946" spans="1:15" x14ac:dyDescent="0.25">
      <c r="A4946" t="s">
        <v>16</v>
      </c>
      <c r="B4946" t="s">
        <v>3221</v>
      </c>
      <c r="C4946">
        <v>2270</v>
      </c>
      <c r="D4946" t="s">
        <v>1290</v>
      </c>
      <c r="E4946" t="s">
        <v>1291</v>
      </c>
      <c r="F4946">
        <v>50</v>
      </c>
      <c r="G4946">
        <v>230217</v>
      </c>
      <c r="H4946">
        <v>4420</v>
      </c>
      <c r="I4946" t="s">
        <v>132</v>
      </c>
      <c r="J4946">
        <v>50</v>
      </c>
      <c r="K4946">
        <v>0</v>
      </c>
      <c r="L4946">
        <v>13501</v>
      </c>
      <c r="M4946" t="s">
        <v>20</v>
      </c>
      <c r="N4946" t="str">
        <f>"7906        "</f>
        <v xml:space="preserve">7906        </v>
      </c>
      <c r="O4946">
        <v>230223</v>
      </c>
    </row>
    <row r="4947" spans="1:15" x14ac:dyDescent="0.25">
      <c r="A4947" t="s">
        <v>16</v>
      </c>
      <c r="B4947" t="s">
        <v>3221</v>
      </c>
      <c r="C4947">
        <v>2270</v>
      </c>
      <c r="D4947" t="s">
        <v>1290</v>
      </c>
      <c r="E4947" t="s">
        <v>1291</v>
      </c>
      <c r="F4947">
        <v>50</v>
      </c>
      <c r="G4947">
        <v>230217</v>
      </c>
      <c r="H4947">
        <v>4420</v>
      </c>
      <c r="I4947" t="s">
        <v>132</v>
      </c>
      <c r="J4947">
        <v>50</v>
      </c>
      <c r="K4947">
        <v>0</v>
      </c>
      <c r="L4947">
        <v>16121</v>
      </c>
      <c r="M4947" t="s">
        <v>21</v>
      </c>
      <c r="N4947" t="str">
        <f>"7906        "</f>
        <v xml:space="preserve">7906        </v>
      </c>
      <c r="O4947">
        <v>230223</v>
      </c>
    </row>
    <row r="4948" spans="1:15" x14ac:dyDescent="0.25">
      <c r="A4948" t="s">
        <v>16</v>
      </c>
      <c r="B4948" t="s">
        <v>3221</v>
      </c>
      <c r="C4948">
        <v>2270</v>
      </c>
      <c r="D4948" t="s">
        <v>1290</v>
      </c>
      <c r="E4948" t="s">
        <v>1291</v>
      </c>
      <c r="F4948">
        <v>50</v>
      </c>
      <c r="G4948">
        <v>230217</v>
      </c>
      <c r="H4948">
        <v>4420</v>
      </c>
      <c r="I4948" t="s">
        <v>132</v>
      </c>
      <c r="J4948">
        <v>50</v>
      </c>
      <c r="K4948">
        <v>0</v>
      </c>
      <c r="L4948">
        <v>17538</v>
      </c>
      <c r="M4948" t="s">
        <v>24</v>
      </c>
      <c r="N4948" t="str">
        <f>"7906        "</f>
        <v xml:space="preserve">7906        </v>
      </c>
      <c r="O4948">
        <v>230223</v>
      </c>
    </row>
    <row r="4949" spans="1:15" x14ac:dyDescent="0.25">
      <c r="A4949" t="s">
        <v>16</v>
      </c>
      <c r="B4949" t="s">
        <v>3221</v>
      </c>
      <c r="C4949">
        <v>6487</v>
      </c>
      <c r="D4949" t="s">
        <v>1290</v>
      </c>
      <c r="E4949" t="s">
        <v>1291</v>
      </c>
      <c r="F4949">
        <v>1140</v>
      </c>
      <c r="G4949">
        <v>230507</v>
      </c>
      <c r="H4949">
        <v>4420</v>
      </c>
      <c r="I4949" t="s">
        <v>132</v>
      </c>
      <c r="J4949">
        <v>1140</v>
      </c>
      <c r="K4949">
        <v>0</v>
      </c>
      <c r="L4949">
        <v>17538</v>
      </c>
      <c r="M4949" t="s">
        <v>24</v>
      </c>
      <c r="N4949" t="str">
        <f>"7983        "</f>
        <v xml:space="preserve">7983        </v>
      </c>
      <c r="O4949">
        <v>230512</v>
      </c>
    </row>
    <row r="4950" spans="1:15" x14ac:dyDescent="0.25">
      <c r="A4950" t="s">
        <v>16</v>
      </c>
      <c r="B4950" t="s">
        <v>3221</v>
      </c>
      <c r="C4950">
        <v>11730</v>
      </c>
      <c r="D4950" t="s">
        <v>1290</v>
      </c>
      <c r="E4950" t="s">
        <v>1291</v>
      </c>
      <c r="F4950">
        <v>263.64</v>
      </c>
      <c r="G4950">
        <v>230907</v>
      </c>
      <c r="H4950">
        <v>4420</v>
      </c>
      <c r="I4950" t="s">
        <v>132</v>
      </c>
      <c r="J4950">
        <v>290</v>
      </c>
      <c r="K4950">
        <v>26.36</v>
      </c>
      <c r="L4950">
        <v>17808</v>
      </c>
      <c r="M4950" t="s">
        <v>322</v>
      </c>
      <c r="N4950" t="str">
        <f>"8047        "</f>
        <v xml:space="preserve">8047        </v>
      </c>
      <c r="O4950">
        <v>230908</v>
      </c>
    </row>
    <row r="4951" spans="1:15" x14ac:dyDescent="0.25">
      <c r="A4951" t="s">
        <v>16</v>
      </c>
      <c r="B4951" t="s">
        <v>3221</v>
      </c>
      <c r="C4951">
        <v>11970</v>
      </c>
      <c r="D4951" t="s">
        <v>1290</v>
      </c>
      <c r="E4951" t="s">
        <v>1291</v>
      </c>
      <c r="F4951">
        <v>109.09</v>
      </c>
      <c r="G4951">
        <v>230905</v>
      </c>
      <c r="H4951">
        <v>4420</v>
      </c>
      <c r="I4951" t="s">
        <v>132</v>
      </c>
      <c r="J4951">
        <v>120</v>
      </c>
      <c r="K4951">
        <v>10.91</v>
      </c>
      <c r="L4951">
        <v>17531</v>
      </c>
      <c r="M4951" t="s">
        <v>136</v>
      </c>
      <c r="N4951" t="str">
        <f>"8045        "</f>
        <v xml:space="preserve">8045        </v>
      </c>
      <c r="O4951">
        <v>230912</v>
      </c>
    </row>
    <row r="4952" spans="1:15" x14ac:dyDescent="0.25">
      <c r="A4952" t="s">
        <v>16</v>
      </c>
      <c r="B4952" t="s">
        <v>3221</v>
      </c>
      <c r="C4952">
        <v>11970</v>
      </c>
      <c r="D4952" t="s">
        <v>1290</v>
      </c>
      <c r="E4952" t="s">
        <v>1291</v>
      </c>
      <c r="F4952">
        <v>181.82</v>
      </c>
      <c r="G4952">
        <v>230905</v>
      </c>
      <c r="H4952">
        <v>4420</v>
      </c>
      <c r="I4952" t="s">
        <v>132</v>
      </c>
      <c r="J4952">
        <v>200</v>
      </c>
      <c r="K4952">
        <v>18.18</v>
      </c>
      <c r="L4952">
        <v>17533</v>
      </c>
      <c r="M4952" t="s">
        <v>990</v>
      </c>
      <c r="N4952" t="str">
        <f>"8045        "</f>
        <v xml:space="preserve">8045        </v>
      </c>
      <c r="O4952">
        <v>230912</v>
      </c>
    </row>
    <row r="4953" spans="1:15" x14ac:dyDescent="0.25">
      <c r="A4953" t="s">
        <v>16</v>
      </c>
      <c r="B4953" t="s">
        <v>3221</v>
      </c>
      <c r="C4953">
        <v>11970</v>
      </c>
      <c r="D4953" t="s">
        <v>1290</v>
      </c>
      <c r="E4953" t="s">
        <v>1291</v>
      </c>
      <c r="F4953">
        <v>72.73</v>
      </c>
      <c r="G4953">
        <v>230905</v>
      </c>
      <c r="H4953">
        <v>4420</v>
      </c>
      <c r="I4953" t="s">
        <v>132</v>
      </c>
      <c r="J4953">
        <v>80</v>
      </c>
      <c r="K4953">
        <v>7.27</v>
      </c>
      <c r="L4953">
        <v>17533</v>
      </c>
      <c r="M4953" t="s">
        <v>990</v>
      </c>
      <c r="N4953" t="str">
        <f>"8045        "</f>
        <v xml:space="preserve">8045        </v>
      </c>
      <c r="O4953">
        <v>230912</v>
      </c>
    </row>
    <row r="4954" spans="1:15" x14ac:dyDescent="0.25">
      <c r="A4954" t="s">
        <v>16</v>
      </c>
      <c r="B4954" t="s">
        <v>3221</v>
      </c>
      <c r="C4954">
        <v>13512</v>
      </c>
      <c r="D4954" t="s">
        <v>1290</v>
      </c>
      <c r="E4954" t="s">
        <v>1291</v>
      </c>
      <c r="F4954">
        <v>727.27</v>
      </c>
      <c r="G4954">
        <v>231006</v>
      </c>
      <c r="H4954">
        <v>4420</v>
      </c>
      <c r="I4954" t="s">
        <v>132</v>
      </c>
      <c r="J4954">
        <v>800</v>
      </c>
      <c r="K4954">
        <v>72.73</v>
      </c>
      <c r="L4954">
        <v>17523</v>
      </c>
      <c r="M4954" t="s">
        <v>134</v>
      </c>
      <c r="N4954" t="str">
        <f>"8056        "</f>
        <v xml:space="preserve">8056        </v>
      </c>
      <c r="O4954">
        <v>231010</v>
      </c>
    </row>
    <row r="4955" spans="1:15" x14ac:dyDescent="0.25">
      <c r="A4955" t="s">
        <v>16</v>
      </c>
      <c r="B4955" t="s">
        <v>3221</v>
      </c>
      <c r="C4955">
        <v>14318</v>
      </c>
      <c r="D4955" t="s">
        <v>1290</v>
      </c>
      <c r="E4955" t="s">
        <v>1291</v>
      </c>
      <c r="F4955">
        <v>345.45</v>
      </c>
      <c r="G4955">
        <v>231017</v>
      </c>
      <c r="H4955">
        <v>4420</v>
      </c>
      <c r="I4955" t="s">
        <v>132</v>
      </c>
      <c r="J4955">
        <v>380</v>
      </c>
      <c r="K4955">
        <v>34.549999999999997</v>
      </c>
      <c r="L4955">
        <v>11605</v>
      </c>
      <c r="M4955" t="s">
        <v>106</v>
      </c>
      <c r="N4955" t="str">
        <f>"8088        "</f>
        <v xml:space="preserve">8088        </v>
      </c>
      <c r="O4955">
        <v>231026</v>
      </c>
    </row>
    <row r="4956" spans="1:15" x14ac:dyDescent="0.25">
      <c r="A4956" t="s">
        <v>16</v>
      </c>
      <c r="B4956" t="s">
        <v>3221</v>
      </c>
      <c r="C4956">
        <v>15635</v>
      </c>
      <c r="D4956" t="s">
        <v>1290</v>
      </c>
      <c r="E4956" t="s">
        <v>1291</v>
      </c>
      <c r="F4956">
        <v>263.64</v>
      </c>
      <c r="G4956">
        <v>231113</v>
      </c>
      <c r="H4956">
        <v>4420</v>
      </c>
      <c r="I4956" t="s">
        <v>132</v>
      </c>
      <c r="J4956">
        <v>290</v>
      </c>
      <c r="K4956">
        <v>26.36</v>
      </c>
      <c r="L4956">
        <v>17808</v>
      </c>
      <c r="M4956" t="s">
        <v>322</v>
      </c>
      <c r="N4956" t="str">
        <f>"8100        "</f>
        <v xml:space="preserve">8100        </v>
      </c>
      <c r="O4956">
        <v>231114</v>
      </c>
    </row>
    <row r="4957" spans="1:15" x14ac:dyDescent="0.25">
      <c r="A4957" t="s">
        <v>16</v>
      </c>
      <c r="B4957" t="s">
        <v>3221</v>
      </c>
      <c r="C4957">
        <v>15873</v>
      </c>
      <c r="D4957" t="s">
        <v>1290</v>
      </c>
      <c r="E4957" t="s">
        <v>1291</v>
      </c>
      <c r="F4957">
        <v>190.91</v>
      </c>
      <c r="G4957">
        <v>231113</v>
      </c>
      <c r="H4957">
        <v>4420</v>
      </c>
      <c r="I4957" t="s">
        <v>132</v>
      </c>
      <c r="J4957">
        <v>210</v>
      </c>
      <c r="K4957">
        <v>19.09</v>
      </c>
      <c r="L4957">
        <v>12982</v>
      </c>
      <c r="M4957" t="s">
        <v>1518</v>
      </c>
      <c r="N4957" t="str">
        <f>"8108        "</f>
        <v xml:space="preserve">8108        </v>
      </c>
      <c r="O4957">
        <v>231120</v>
      </c>
    </row>
    <row r="4958" spans="1:15" x14ac:dyDescent="0.25">
      <c r="A4958" t="s">
        <v>16</v>
      </c>
      <c r="B4958" t="s">
        <v>3221</v>
      </c>
      <c r="C4958">
        <v>17332</v>
      </c>
      <c r="D4958" t="s">
        <v>1290</v>
      </c>
      <c r="E4958" t="s">
        <v>1291</v>
      </c>
      <c r="F4958">
        <v>68.180000000000007</v>
      </c>
      <c r="G4958">
        <v>231208</v>
      </c>
      <c r="H4958">
        <v>4420</v>
      </c>
      <c r="I4958" t="s">
        <v>132</v>
      </c>
      <c r="J4958">
        <v>75</v>
      </c>
      <c r="K4958">
        <v>6.82</v>
      </c>
      <c r="L4958">
        <v>16121</v>
      </c>
      <c r="M4958" t="s">
        <v>21</v>
      </c>
      <c r="N4958" t="str">
        <f>"8118        "</f>
        <v xml:space="preserve">8118        </v>
      </c>
      <c r="O4958">
        <v>231213</v>
      </c>
    </row>
    <row r="4959" spans="1:15" x14ac:dyDescent="0.25">
      <c r="A4959" t="s">
        <v>16</v>
      </c>
      <c r="B4959" t="s">
        <v>3221</v>
      </c>
      <c r="C4959">
        <v>17332</v>
      </c>
      <c r="D4959" t="s">
        <v>1290</v>
      </c>
      <c r="E4959" t="s">
        <v>1291</v>
      </c>
      <c r="F4959">
        <v>68.180000000000007</v>
      </c>
      <c r="G4959">
        <v>231208</v>
      </c>
      <c r="H4959">
        <v>4420</v>
      </c>
      <c r="I4959" t="s">
        <v>132</v>
      </c>
      <c r="J4959">
        <v>75</v>
      </c>
      <c r="K4959">
        <v>6.82</v>
      </c>
      <c r="L4959">
        <v>16820</v>
      </c>
      <c r="M4959" t="s">
        <v>23</v>
      </c>
      <c r="N4959" t="str">
        <f>"8118        "</f>
        <v xml:space="preserve">8118        </v>
      </c>
      <c r="O4959">
        <v>231213</v>
      </c>
    </row>
    <row r="4960" spans="1:15" x14ac:dyDescent="0.25">
      <c r="A4960" t="s">
        <v>16</v>
      </c>
      <c r="B4960" t="s">
        <v>3221</v>
      </c>
      <c r="C4960">
        <v>17586</v>
      </c>
      <c r="D4960" t="s">
        <v>1290</v>
      </c>
      <c r="E4960" t="s">
        <v>1291</v>
      </c>
      <c r="F4960">
        <v>336.36</v>
      </c>
      <c r="G4960">
        <v>231208</v>
      </c>
      <c r="H4960">
        <v>4420</v>
      </c>
      <c r="I4960" t="s">
        <v>132</v>
      </c>
      <c r="J4960">
        <v>370</v>
      </c>
      <c r="K4960">
        <v>33.64</v>
      </c>
      <c r="L4960">
        <v>17526</v>
      </c>
      <c r="M4960" t="s">
        <v>437</v>
      </c>
      <c r="N4960" t="str">
        <f>"8119        "</f>
        <v xml:space="preserve">8119        </v>
      </c>
      <c r="O4960">
        <v>231215</v>
      </c>
    </row>
    <row r="4961" spans="1:15" x14ac:dyDescent="0.25">
      <c r="A4961" t="s">
        <v>16</v>
      </c>
      <c r="B4961" t="s">
        <v>3221</v>
      </c>
      <c r="C4961">
        <v>17586</v>
      </c>
      <c r="D4961" t="s">
        <v>1290</v>
      </c>
      <c r="E4961" t="s">
        <v>1291</v>
      </c>
      <c r="F4961">
        <v>336.36</v>
      </c>
      <c r="G4961">
        <v>231208</v>
      </c>
      <c r="H4961">
        <v>4420</v>
      </c>
      <c r="I4961" t="s">
        <v>132</v>
      </c>
      <c r="J4961">
        <v>370</v>
      </c>
      <c r="K4961">
        <v>33.64</v>
      </c>
      <c r="L4961">
        <v>17527</v>
      </c>
      <c r="M4961" t="s">
        <v>422</v>
      </c>
      <c r="N4961" t="str">
        <f>"8119        "</f>
        <v xml:space="preserve">8119        </v>
      </c>
      <c r="O4961">
        <v>231215</v>
      </c>
    </row>
    <row r="4962" spans="1:15" x14ac:dyDescent="0.25">
      <c r="A4962" t="s">
        <v>16</v>
      </c>
      <c r="B4962" t="s">
        <v>3221</v>
      </c>
      <c r="C4962">
        <v>6603</v>
      </c>
      <c r="D4962" t="s">
        <v>1999</v>
      </c>
      <c r="E4962" t="s">
        <v>2000</v>
      </c>
      <c r="F4962">
        <v>33.869999999999997</v>
      </c>
      <c r="G4962">
        <v>230505</v>
      </c>
      <c r="H4962">
        <v>4580</v>
      </c>
      <c r="I4962" t="s">
        <v>35</v>
      </c>
      <c r="J4962">
        <v>42</v>
      </c>
      <c r="K4962">
        <v>8.1300000000000008</v>
      </c>
      <c r="L4962">
        <v>17971</v>
      </c>
      <c r="M4962" t="s">
        <v>138</v>
      </c>
      <c r="N4962" t="str">
        <f>"24579       "</f>
        <v xml:space="preserve">24579       </v>
      </c>
      <c r="O4962">
        <v>230516</v>
      </c>
    </row>
    <row r="4963" spans="1:15" x14ac:dyDescent="0.25">
      <c r="A4963" t="s">
        <v>16</v>
      </c>
      <c r="B4963" t="s">
        <v>3221</v>
      </c>
      <c r="C4963">
        <v>19329</v>
      </c>
      <c r="D4963" t="s">
        <v>1999</v>
      </c>
      <c r="E4963" t="s">
        <v>2000</v>
      </c>
      <c r="F4963">
        <v>16.48</v>
      </c>
      <c r="G4963">
        <v>231229</v>
      </c>
      <c r="H4963">
        <v>4600</v>
      </c>
      <c r="I4963" t="s">
        <v>105</v>
      </c>
      <c r="J4963">
        <v>20.43</v>
      </c>
      <c r="K4963">
        <v>3.95</v>
      </c>
      <c r="L4963">
        <v>17521</v>
      </c>
      <c r="M4963" t="s">
        <v>133</v>
      </c>
      <c r="N4963" t="str">
        <f>"25447       "</f>
        <v xml:space="preserve">25447       </v>
      </c>
      <c r="O4963">
        <v>240117</v>
      </c>
    </row>
    <row r="4964" spans="1:15" x14ac:dyDescent="0.25">
      <c r="A4964" t="s">
        <v>16</v>
      </c>
      <c r="B4964" t="s">
        <v>3221</v>
      </c>
      <c r="C4964">
        <v>2130</v>
      </c>
      <c r="D4964" t="s">
        <v>3194</v>
      </c>
      <c r="E4964" t="s">
        <v>3195</v>
      </c>
      <c r="F4964">
        <v>97.73</v>
      </c>
      <c r="G4964">
        <v>230220</v>
      </c>
      <c r="H4964">
        <v>4345</v>
      </c>
      <c r="I4964" t="s">
        <v>2817</v>
      </c>
      <c r="J4964">
        <v>97.73</v>
      </c>
      <c r="K4964">
        <v>0</v>
      </c>
      <c r="L4964">
        <v>13501</v>
      </c>
      <c r="M4964" t="s">
        <v>20</v>
      </c>
      <c r="N4964" t="str">
        <f>"20310       "</f>
        <v xml:space="preserve">20310       </v>
      </c>
      <c r="O4964">
        <v>230221</v>
      </c>
    </row>
    <row r="4965" spans="1:15" x14ac:dyDescent="0.25">
      <c r="A4965" t="s">
        <v>16</v>
      </c>
      <c r="B4965" t="s">
        <v>3221</v>
      </c>
      <c r="C4965">
        <v>4417</v>
      </c>
      <c r="D4965" t="s">
        <v>3194</v>
      </c>
      <c r="E4965" t="s">
        <v>3195</v>
      </c>
      <c r="F4965">
        <v>8592.31</v>
      </c>
      <c r="G4965">
        <v>230331</v>
      </c>
      <c r="H4965">
        <v>4345</v>
      </c>
      <c r="I4965" t="s">
        <v>2817</v>
      </c>
      <c r="J4965">
        <v>8592.31</v>
      </c>
      <c r="K4965">
        <v>0</v>
      </c>
      <c r="L4965">
        <v>13501</v>
      </c>
      <c r="M4965" t="s">
        <v>20</v>
      </c>
      <c r="N4965" t="str">
        <f>"20385       "</f>
        <v xml:space="preserve">20385       </v>
      </c>
      <c r="O4965">
        <v>230405</v>
      </c>
    </row>
    <row r="4966" spans="1:15" x14ac:dyDescent="0.25">
      <c r="A4966" t="s">
        <v>16</v>
      </c>
      <c r="B4966" t="s">
        <v>3221</v>
      </c>
      <c r="C4966">
        <v>10412</v>
      </c>
      <c r="D4966" t="s">
        <v>3194</v>
      </c>
      <c r="E4966" t="s">
        <v>3195</v>
      </c>
      <c r="F4966">
        <v>11752.82</v>
      </c>
      <c r="G4966">
        <v>230731</v>
      </c>
      <c r="H4966">
        <v>4345</v>
      </c>
      <c r="I4966" t="s">
        <v>2817</v>
      </c>
      <c r="J4966">
        <v>11752.82</v>
      </c>
      <c r="K4966">
        <v>0</v>
      </c>
      <c r="L4966">
        <v>13501</v>
      </c>
      <c r="M4966" t="s">
        <v>20</v>
      </c>
      <c r="N4966" t="str">
        <f>"20440       "</f>
        <v xml:space="preserve">20440       </v>
      </c>
      <c r="O4966">
        <v>230815</v>
      </c>
    </row>
    <row r="4967" spans="1:15" x14ac:dyDescent="0.25">
      <c r="A4967" t="s">
        <v>16</v>
      </c>
      <c r="B4967" t="s">
        <v>3221</v>
      </c>
      <c r="C4967">
        <v>14487</v>
      </c>
      <c r="D4967" t="s">
        <v>3194</v>
      </c>
      <c r="E4967" t="s">
        <v>3195</v>
      </c>
      <c r="F4967">
        <v>6890.13</v>
      </c>
      <c r="G4967">
        <v>231024</v>
      </c>
      <c r="H4967">
        <v>4345</v>
      </c>
      <c r="I4967" t="s">
        <v>2817</v>
      </c>
      <c r="J4967">
        <v>6890.13</v>
      </c>
      <c r="K4967">
        <v>0</v>
      </c>
      <c r="L4967">
        <v>13501</v>
      </c>
      <c r="M4967" t="s">
        <v>20</v>
      </c>
      <c r="N4967" t="str">
        <f>"20476       "</f>
        <v xml:space="preserve">20476       </v>
      </c>
      <c r="O4967">
        <v>231030</v>
      </c>
    </row>
    <row r="4968" spans="1:15" x14ac:dyDescent="0.25">
      <c r="A4968" t="s">
        <v>16</v>
      </c>
      <c r="B4968" t="s">
        <v>3221</v>
      </c>
      <c r="C4968">
        <v>19294</v>
      </c>
      <c r="D4968" t="s">
        <v>3194</v>
      </c>
      <c r="E4968" t="s">
        <v>3195</v>
      </c>
      <c r="F4968">
        <v>8952.5400000000009</v>
      </c>
      <c r="G4968">
        <v>231231</v>
      </c>
      <c r="H4968">
        <v>4345</v>
      </c>
      <c r="I4968" t="s">
        <v>2817</v>
      </c>
      <c r="J4968">
        <v>8952.5400000000009</v>
      </c>
      <c r="K4968">
        <v>0</v>
      </c>
      <c r="L4968">
        <v>13501</v>
      </c>
      <c r="M4968" t="s">
        <v>20</v>
      </c>
      <c r="N4968" t="str">
        <f>"20545       "</f>
        <v xml:space="preserve">20545       </v>
      </c>
      <c r="O4968">
        <v>240116</v>
      </c>
    </row>
    <row r="4969" spans="1:15" x14ac:dyDescent="0.25">
      <c r="A4969" t="s">
        <v>16</v>
      </c>
      <c r="B4969" t="s">
        <v>3221</v>
      </c>
      <c r="C4969">
        <v>2832</v>
      </c>
      <c r="D4969" t="s">
        <v>3194</v>
      </c>
      <c r="E4969" t="s">
        <v>3195</v>
      </c>
      <c r="F4969">
        <v>83.35</v>
      </c>
      <c r="G4969">
        <v>230228</v>
      </c>
      <c r="H4969">
        <v>4420</v>
      </c>
      <c r="I4969" t="s">
        <v>132</v>
      </c>
      <c r="J4969">
        <v>83.35</v>
      </c>
      <c r="K4969">
        <v>0</v>
      </c>
      <c r="L4969">
        <v>11908</v>
      </c>
      <c r="M4969" t="s">
        <v>598</v>
      </c>
      <c r="N4969" t="str">
        <f>"20350       "</f>
        <v xml:space="preserve">20350       </v>
      </c>
      <c r="O4969">
        <v>230308</v>
      </c>
    </row>
    <row r="4970" spans="1:15" x14ac:dyDescent="0.25">
      <c r="A4970" t="s">
        <v>16</v>
      </c>
      <c r="B4970" t="s">
        <v>3221</v>
      </c>
      <c r="C4970">
        <v>1734</v>
      </c>
      <c r="D4970" t="s">
        <v>3194</v>
      </c>
      <c r="E4970" t="s">
        <v>3195</v>
      </c>
      <c r="F4970">
        <v>1228</v>
      </c>
      <c r="G4970">
        <v>230131</v>
      </c>
      <c r="H4970">
        <v>4380</v>
      </c>
      <c r="I4970" t="s">
        <v>113</v>
      </c>
      <c r="J4970">
        <v>1522.72</v>
      </c>
      <c r="K4970">
        <v>294.72000000000003</v>
      </c>
      <c r="L4970">
        <v>13641</v>
      </c>
      <c r="M4970" t="s">
        <v>1471</v>
      </c>
      <c r="N4970" t="str">
        <f>"22026       "</f>
        <v xml:space="preserve">22026       </v>
      </c>
      <c r="O4970">
        <v>230213</v>
      </c>
    </row>
    <row r="4971" spans="1:15" x14ac:dyDescent="0.25">
      <c r="A4971" t="s">
        <v>16</v>
      </c>
      <c r="B4971" t="s">
        <v>3221</v>
      </c>
      <c r="C4971">
        <v>15925</v>
      </c>
      <c r="D4971" t="s">
        <v>3194</v>
      </c>
      <c r="E4971" t="s">
        <v>3195</v>
      </c>
      <c r="F4971">
        <v>1394.8</v>
      </c>
      <c r="G4971">
        <v>231101</v>
      </c>
      <c r="H4971">
        <v>4380</v>
      </c>
      <c r="I4971" t="s">
        <v>113</v>
      </c>
      <c r="J4971">
        <v>1729.55</v>
      </c>
      <c r="K4971">
        <v>334.75</v>
      </c>
      <c r="L4971">
        <v>13641</v>
      </c>
      <c r="M4971" t="s">
        <v>1471</v>
      </c>
      <c r="N4971" t="str">
        <f>"22037       "</f>
        <v xml:space="preserve">22037       </v>
      </c>
      <c r="O4971">
        <v>231122</v>
      </c>
    </row>
    <row r="4972" spans="1:15" x14ac:dyDescent="0.25">
      <c r="A4972" t="s">
        <v>16</v>
      </c>
      <c r="B4972" t="s">
        <v>3221</v>
      </c>
      <c r="C4972">
        <v>51</v>
      </c>
      <c r="D4972" t="s">
        <v>3194</v>
      </c>
      <c r="E4972" t="s">
        <v>3195</v>
      </c>
      <c r="F4972">
        <v>1248.3900000000001</v>
      </c>
      <c r="G4972">
        <v>230101</v>
      </c>
      <c r="H4972">
        <v>4820</v>
      </c>
      <c r="I4972" t="s">
        <v>50</v>
      </c>
      <c r="J4972">
        <v>1548</v>
      </c>
      <c r="K4972">
        <v>299.61</v>
      </c>
      <c r="L4972">
        <v>13641</v>
      </c>
      <c r="M4972" t="s">
        <v>1471</v>
      </c>
      <c r="N4972" t="str">
        <f>"54133       "</f>
        <v xml:space="preserve">54133       </v>
      </c>
      <c r="O4972">
        <v>230104</v>
      </c>
    </row>
    <row r="4973" spans="1:15" x14ac:dyDescent="0.25">
      <c r="A4973" t="s">
        <v>16</v>
      </c>
      <c r="B4973" t="s">
        <v>3221</v>
      </c>
      <c r="C4973">
        <v>56</v>
      </c>
      <c r="D4973" t="s">
        <v>3194</v>
      </c>
      <c r="E4973" t="s">
        <v>3195</v>
      </c>
      <c r="F4973">
        <v>2515.6999999999998</v>
      </c>
      <c r="G4973">
        <v>230101</v>
      </c>
      <c r="H4973">
        <v>4820</v>
      </c>
      <c r="I4973" t="s">
        <v>50</v>
      </c>
      <c r="J4973">
        <v>3119.47</v>
      </c>
      <c r="K4973">
        <v>603.77</v>
      </c>
      <c r="L4973">
        <v>17956</v>
      </c>
      <c r="M4973" t="s">
        <v>53</v>
      </c>
      <c r="N4973" t="str">
        <f>"54132       "</f>
        <v xml:space="preserve">54132       </v>
      </c>
      <c r="O4973">
        <v>230104</v>
      </c>
    </row>
    <row r="4974" spans="1:15" x14ac:dyDescent="0.25">
      <c r="A4974" t="s">
        <v>16</v>
      </c>
      <c r="B4974" t="s">
        <v>3221</v>
      </c>
      <c r="C4974">
        <v>295</v>
      </c>
      <c r="D4974" t="s">
        <v>3194</v>
      </c>
      <c r="E4974" t="s">
        <v>3195</v>
      </c>
      <c r="F4974">
        <v>1248.3900000000001</v>
      </c>
      <c r="G4974">
        <v>230201</v>
      </c>
      <c r="H4974">
        <v>4820</v>
      </c>
      <c r="I4974" t="s">
        <v>50</v>
      </c>
      <c r="J4974">
        <v>1548</v>
      </c>
      <c r="K4974">
        <v>299.61</v>
      </c>
      <c r="L4974">
        <v>13641</v>
      </c>
      <c r="M4974" t="s">
        <v>1471</v>
      </c>
      <c r="N4974" t="str">
        <f>"54140       "</f>
        <v xml:space="preserve">54140       </v>
      </c>
      <c r="O4974">
        <v>230118</v>
      </c>
    </row>
    <row r="4975" spans="1:15" x14ac:dyDescent="0.25">
      <c r="A4975" t="s">
        <v>16</v>
      </c>
      <c r="B4975" t="s">
        <v>3221</v>
      </c>
      <c r="C4975">
        <v>312</v>
      </c>
      <c r="D4975" t="s">
        <v>3194</v>
      </c>
      <c r="E4975" t="s">
        <v>3195</v>
      </c>
      <c r="F4975">
        <v>2515.6999999999998</v>
      </c>
      <c r="G4975">
        <v>230201</v>
      </c>
      <c r="H4975">
        <v>4820</v>
      </c>
      <c r="I4975" t="s">
        <v>50</v>
      </c>
      <c r="J4975">
        <v>3119.47</v>
      </c>
      <c r="K4975">
        <v>603.77</v>
      </c>
      <c r="L4975">
        <v>17956</v>
      </c>
      <c r="M4975" t="s">
        <v>53</v>
      </c>
      <c r="N4975" t="str">
        <f>"54139       "</f>
        <v xml:space="preserve">54139       </v>
      </c>
      <c r="O4975">
        <v>230118</v>
      </c>
    </row>
    <row r="4976" spans="1:15" x14ac:dyDescent="0.25">
      <c r="A4976" t="s">
        <v>16</v>
      </c>
      <c r="B4976" t="s">
        <v>3221</v>
      </c>
      <c r="C4976">
        <v>2094</v>
      </c>
      <c r="D4976" t="s">
        <v>3194</v>
      </c>
      <c r="E4976" t="s">
        <v>3195</v>
      </c>
      <c r="F4976">
        <v>2746.29</v>
      </c>
      <c r="G4976">
        <v>230301</v>
      </c>
      <c r="H4976">
        <v>4820</v>
      </c>
      <c r="I4976" t="s">
        <v>50</v>
      </c>
      <c r="J4976">
        <v>3405.4</v>
      </c>
      <c r="K4976">
        <v>659.11</v>
      </c>
      <c r="L4976">
        <v>17956</v>
      </c>
      <c r="M4976" t="s">
        <v>53</v>
      </c>
      <c r="N4976" t="str">
        <f>"54147       "</f>
        <v xml:space="preserve">54147       </v>
      </c>
      <c r="O4976">
        <v>230220</v>
      </c>
    </row>
    <row r="4977" spans="1:15" x14ac:dyDescent="0.25">
      <c r="A4977" t="s">
        <v>16</v>
      </c>
      <c r="B4977" t="s">
        <v>3221</v>
      </c>
      <c r="C4977">
        <v>2468</v>
      </c>
      <c r="D4977" t="s">
        <v>3194</v>
      </c>
      <c r="E4977" t="s">
        <v>3195</v>
      </c>
      <c r="F4977">
        <v>1345.6</v>
      </c>
      <c r="G4977">
        <v>230301</v>
      </c>
      <c r="H4977">
        <v>4820</v>
      </c>
      <c r="I4977" t="s">
        <v>50</v>
      </c>
      <c r="J4977">
        <v>1668.55</v>
      </c>
      <c r="K4977">
        <v>322.95</v>
      </c>
      <c r="L4977">
        <v>13641</v>
      </c>
      <c r="M4977" t="s">
        <v>1471</v>
      </c>
      <c r="N4977" t="str">
        <f>"54148       "</f>
        <v xml:space="preserve">54148       </v>
      </c>
      <c r="O4977">
        <v>230228</v>
      </c>
    </row>
    <row r="4978" spans="1:15" x14ac:dyDescent="0.25">
      <c r="A4978" t="s">
        <v>16</v>
      </c>
      <c r="B4978" t="s">
        <v>3221</v>
      </c>
      <c r="C4978">
        <v>3848</v>
      </c>
      <c r="D4978" t="s">
        <v>3194</v>
      </c>
      <c r="E4978" t="s">
        <v>3195</v>
      </c>
      <c r="F4978">
        <v>1345.6</v>
      </c>
      <c r="G4978">
        <v>230401</v>
      </c>
      <c r="H4978">
        <v>4820</v>
      </c>
      <c r="I4978" t="s">
        <v>50</v>
      </c>
      <c r="J4978">
        <v>1668.55</v>
      </c>
      <c r="K4978">
        <v>322.95</v>
      </c>
      <c r="L4978">
        <v>13641</v>
      </c>
      <c r="M4978" t="s">
        <v>1471</v>
      </c>
      <c r="N4978" t="str">
        <f>"54154       "</f>
        <v xml:space="preserve">54154       </v>
      </c>
      <c r="O4978">
        <v>230323</v>
      </c>
    </row>
    <row r="4979" spans="1:15" x14ac:dyDescent="0.25">
      <c r="A4979" t="s">
        <v>16</v>
      </c>
      <c r="B4979" t="s">
        <v>3221</v>
      </c>
      <c r="C4979">
        <v>3988</v>
      </c>
      <c r="D4979" t="s">
        <v>3194</v>
      </c>
      <c r="E4979" t="s">
        <v>3195</v>
      </c>
      <c r="F4979">
        <v>2746.29</v>
      </c>
      <c r="G4979">
        <v>230401</v>
      </c>
      <c r="H4979">
        <v>4820</v>
      </c>
      <c r="I4979" t="s">
        <v>50</v>
      </c>
      <c r="J4979">
        <v>3405.4</v>
      </c>
      <c r="K4979">
        <v>659.11</v>
      </c>
      <c r="L4979">
        <v>17956</v>
      </c>
      <c r="M4979" t="s">
        <v>53</v>
      </c>
      <c r="N4979" t="str">
        <f>"54153       "</f>
        <v xml:space="preserve">54153       </v>
      </c>
      <c r="O4979">
        <v>230328</v>
      </c>
    </row>
    <row r="4980" spans="1:15" x14ac:dyDescent="0.25">
      <c r="A4980" t="s">
        <v>16</v>
      </c>
      <c r="B4980" t="s">
        <v>3221</v>
      </c>
      <c r="C4980">
        <v>5415</v>
      </c>
      <c r="D4980" t="s">
        <v>3194</v>
      </c>
      <c r="E4980" t="s">
        <v>3195</v>
      </c>
      <c r="F4980">
        <v>2746.29</v>
      </c>
      <c r="G4980">
        <v>230501</v>
      </c>
      <c r="H4980">
        <v>4820</v>
      </c>
      <c r="I4980" t="s">
        <v>50</v>
      </c>
      <c r="J4980">
        <v>3405.4</v>
      </c>
      <c r="K4980">
        <v>659.11</v>
      </c>
      <c r="L4980">
        <v>17956</v>
      </c>
      <c r="M4980" t="s">
        <v>53</v>
      </c>
      <c r="N4980" t="str">
        <f>"54162       "</f>
        <v xml:space="preserve">54162       </v>
      </c>
      <c r="O4980">
        <v>230424</v>
      </c>
    </row>
    <row r="4981" spans="1:15" x14ac:dyDescent="0.25">
      <c r="A4981" t="s">
        <v>16</v>
      </c>
      <c r="B4981" t="s">
        <v>3221</v>
      </c>
      <c r="C4981">
        <v>5445</v>
      </c>
      <c r="D4981" t="s">
        <v>3194</v>
      </c>
      <c r="E4981" t="s">
        <v>3195</v>
      </c>
      <c r="F4981">
        <v>1345.6</v>
      </c>
      <c r="G4981">
        <v>230501</v>
      </c>
      <c r="H4981">
        <v>4820</v>
      </c>
      <c r="I4981" t="s">
        <v>50</v>
      </c>
      <c r="J4981">
        <v>1668.55</v>
      </c>
      <c r="K4981">
        <v>322.95</v>
      </c>
      <c r="L4981">
        <v>13641</v>
      </c>
      <c r="M4981" t="s">
        <v>1471</v>
      </c>
      <c r="N4981" t="str">
        <f>"54163       "</f>
        <v xml:space="preserve">54163       </v>
      </c>
      <c r="O4981">
        <v>230424</v>
      </c>
    </row>
    <row r="4982" spans="1:15" x14ac:dyDescent="0.25">
      <c r="A4982" t="s">
        <v>16</v>
      </c>
      <c r="B4982" t="s">
        <v>3221</v>
      </c>
      <c r="C4982">
        <v>6917</v>
      </c>
      <c r="D4982" t="s">
        <v>3194</v>
      </c>
      <c r="E4982" t="s">
        <v>3195</v>
      </c>
      <c r="F4982">
        <v>1345.6</v>
      </c>
      <c r="G4982">
        <v>230601</v>
      </c>
      <c r="H4982">
        <v>4820</v>
      </c>
      <c r="I4982" t="s">
        <v>50</v>
      </c>
      <c r="J4982">
        <v>1668.55</v>
      </c>
      <c r="K4982">
        <v>322.95</v>
      </c>
      <c r="L4982">
        <v>13641</v>
      </c>
      <c r="M4982" t="s">
        <v>1471</v>
      </c>
      <c r="N4982" t="str">
        <f>"54195       "</f>
        <v xml:space="preserve">54195       </v>
      </c>
      <c r="O4982">
        <v>230523</v>
      </c>
    </row>
    <row r="4983" spans="1:15" x14ac:dyDescent="0.25">
      <c r="A4983" t="s">
        <v>16</v>
      </c>
      <c r="B4983" t="s">
        <v>3221</v>
      </c>
      <c r="C4983">
        <v>6945</v>
      </c>
      <c r="D4983" t="s">
        <v>3194</v>
      </c>
      <c r="E4983" t="s">
        <v>3195</v>
      </c>
      <c r="F4983">
        <v>2746.29</v>
      </c>
      <c r="G4983">
        <v>230601</v>
      </c>
      <c r="H4983">
        <v>4820</v>
      </c>
      <c r="I4983" t="s">
        <v>50</v>
      </c>
      <c r="J4983">
        <v>3405.4</v>
      </c>
      <c r="K4983">
        <v>659.11</v>
      </c>
      <c r="L4983">
        <v>17956</v>
      </c>
      <c r="M4983" t="s">
        <v>53</v>
      </c>
      <c r="N4983" t="str">
        <f>"54189       "</f>
        <v xml:space="preserve">54189       </v>
      </c>
      <c r="O4983">
        <v>230523</v>
      </c>
    </row>
    <row r="4984" spans="1:15" x14ac:dyDescent="0.25">
      <c r="A4984" t="s">
        <v>16</v>
      </c>
      <c r="B4984" t="s">
        <v>3221</v>
      </c>
      <c r="C4984">
        <v>8977</v>
      </c>
      <c r="D4984" t="s">
        <v>3194</v>
      </c>
      <c r="E4984" t="s">
        <v>3195</v>
      </c>
      <c r="F4984">
        <v>1345.6</v>
      </c>
      <c r="G4984">
        <v>230701</v>
      </c>
      <c r="H4984">
        <v>4820</v>
      </c>
      <c r="I4984" t="s">
        <v>50</v>
      </c>
      <c r="J4984">
        <v>1668.55</v>
      </c>
      <c r="K4984">
        <v>322.95</v>
      </c>
      <c r="L4984">
        <v>13641</v>
      </c>
      <c r="M4984" t="s">
        <v>1471</v>
      </c>
      <c r="N4984" t="str">
        <f>"54203       "</f>
        <v xml:space="preserve">54203       </v>
      </c>
      <c r="O4984">
        <v>230620</v>
      </c>
    </row>
    <row r="4985" spans="1:15" x14ac:dyDescent="0.25">
      <c r="A4985" t="s">
        <v>16</v>
      </c>
      <c r="B4985" t="s">
        <v>3221</v>
      </c>
      <c r="C4985">
        <v>8979</v>
      </c>
      <c r="D4985" t="s">
        <v>3194</v>
      </c>
      <c r="E4985" t="s">
        <v>3195</v>
      </c>
      <c r="F4985">
        <v>2746.29</v>
      </c>
      <c r="G4985">
        <v>230701</v>
      </c>
      <c r="H4985">
        <v>4820</v>
      </c>
      <c r="I4985" t="s">
        <v>50</v>
      </c>
      <c r="J4985">
        <v>3405.4</v>
      </c>
      <c r="K4985">
        <v>659.11</v>
      </c>
      <c r="L4985">
        <v>17956</v>
      </c>
      <c r="M4985" t="s">
        <v>53</v>
      </c>
      <c r="N4985" t="str">
        <f>"54202       "</f>
        <v xml:space="preserve">54202       </v>
      </c>
      <c r="O4985">
        <v>230620</v>
      </c>
    </row>
    <row r="4986" spans="1:15" x14ac:dyDescent="0.25">
      <c r="A4986" t="s">
        <v>16</v>
      </c>
      <c r="B4986" t="s">
        <v>3221</v>
      </c>
      <c r="C4986">
        <v>9190</v>
      </c>
      <c r="D4986" t="s">
        <v>3194</v>
      </c>
      <c r="E4986" t="s">
        <v>3195</v>
      </c>
      <c r="F4986">
        <v>2746.29</v>
      </c>
      <c r="G4986">
        <v>230801</v>
      </c>
      <c r="H4986">
        <v>4820</v>
      </c>
      <c r="I4986" t="s">
        <v>50</v>
      </c>
      <c r="J4986">
        <v>3405.4</v>
      </c>
      <c r="K4986">
        <v>659.11</v>
      </c>
      <c r="L4986">
        <v>17956</v>
      </c>
      <c r="M4986" t="s">
        <v>53</v>
      </c>
      <c r="N4986" t="str">
        <f>"54208       "</f>
        <v xml:space="preserve">54208       </v>
      </c>
      <c r="O4986">
        <v>230629</v>
      </c>
    </row>
    <row r="4987" spans="1:15" x14ac:dyDescent="0.25">
      <c r="A4987" t="s">
        <v>16</v>
      </c>
      <c r="B4987" t="s">
        <v>3221</v>
      </c>
      <c r="C4987">
        <v>9592</v>
      </c>
      <c r="D4987" t="s">
        <v>3194</v>
      </c>
      <c r="E4987" t="s">
        <v>3195</v>
      </c>
      <c r="F4987">
        <v>1264.96</v>
      </c>
      <c r="G4987">
        <v>230801</v>
      </c>
      <c r="H4987">
        <v>4820</v>
      </c>
      <c r="I4987" t="s">
        <v>50</v>
      </c>
      <c r="J4987">
        <v>1568.55</v>
      </c>
      <c r="K4987">
        <v>303.58999999999997</v>
      </c>
      <c r="L4987">
        <v>13641</v>
      </c>
      <c r="M4987" t="s">
        <v>1471</v>
      </c>
      <c r="N4987" t="str">
        <f>"54209       "</f>
        <v xml:space="preserve">54209       </v>
      </c>
      <c r="O4987">
        <v>230717</v>
      </c>
    </row>
    <row r="4988" spans="1:15" x14ac:dyDescent="0.25">
      <c r="A4988" t="s">
        <v>16</v>
      </c>
      <c r="B4988" t="s">
        <v>3221</v>
      </c>
      <c r="C4988">
        <v>10708</v>
      </c>
      <c r="D4988" t="s">
        <v>3194</v>
      </c>
      <c r="E4988" t="s">
        <v>3195</v>
      </c>
      <c r="F4988">
        <v>1345.6</v>
      </c>
      <c r="G4988">
        <v>230901</v>
      </c>
      <c r="H4988">
        <v>4820</v>
      </c>
      <c r="I4988" t="s">
        <v>50</v>
      </c>
      <c r="J4988">
        <v>1668.55</v>
      </c>
      <c r="K4988">
        <v>322.95</v>
      </c>
      <c r="L4988">
        <v>13641</v>
      </c>
      <c r="M4988" t="s">
        <v>1471</v>
      </c>
      <c r="N4988" t="str">
        <f>"54217       "</f>
        <v xml:space="preserve">54217       </v>
      </c>
      <c r="O4988">
        <v>230822</v>
      </c>
    </row>
    <row r="4989" spans="1:15" x14ac:dyDescent="0.25">
      <c r="A4989" t="s">
        <v>16</v>
      </c>
      <c r="B4989" t="s">
        <v>3221</v>
      </c>
      <c r="C4989">
        <v>10712</v>
      </c>
      <c r="D4989" t="s">
        <v>3194</v>
      </c>
      <c r="E4989" t="s">
        <v>3195</v>
      </c>
      <c r="F4989">
        <v>2746.29</v>
      </c>
      <c r="G4989">
        <v>230901</v>
      </c>
      <c r="H4989">
        <v>4820</v>
      </c>
      <c r="I4989" t="s">
        <v>50</v>
      </c>
      <c r="J4989">
        <v>3405.4</v>
      </c>
      <c r="K4989">
        <v>659.11</v>
      </c>
      <c r="L4989">
        <v>17956</v>
      </c>
      <c r="M4989" t="s">
        <v>53</v>
      </c>
      <c r="N4989" t="str">
        <f>"54216       "</f>
        <v xml:space="preserve">54216       </v>
      </c>
      <c r="O4989">
        <v>230822</v>
      </c>
    </row>
    <row r="4990" spans="1:15" x14ac:dyDescent="0.25">
      <c r="A4990" t="s">
        <v>16</v>
      </c>
      <c r="B4990" t="s">
        <v>3221</v>
      </c>
      <c r="C4990">
        <v>12690</v>
      </c>
      <c r="D4990" t="s">
        <v>3194</v>
      </c>
      <c r="E4990" t="s">
        <v>3195</v>
      </c>
      <c r="F4990">
        <v>1345.6</v>
      </c>
      <c r="G4990">
        <v>231001</v>
      </c>
      <c r="H4990">
        <v>4820</v>
      </c>
      <c r="I4990" t="s">
        <v>50</v>
      </c>
      <c r="J4990">
        <v>1668.55</v>
      </c>
      <c r="K4990">
        <v>322.95</v>
      </c>
      <c r="L4990">
        <v>13641</v>
      </c>
      <c r="M4990" t="s">
        <v>1471</v>
      </c>
      <c r="N4990" t="str">
        <f>"54224       "</f>
        <v xml:space="preserve">54224       </v>
      </c>
      <c r="O4990">
        <v>230925</v>
      </c>
    </row>
    <row r="4991" spans="1:15" x14ac:dyDescent="0.25">
      <c r="A4991" t="s">
        <v>16</v>
      </c>
      <c r="B4991" t="s">
        <v>3221</v>
      </c>
      <c r="C4991">
        <v>12743</v>
      </c>
      <c r="D4991" t="s">
        <v>3194</v>
      </c>
      <c r="E4991" t="s">
        <v>3195</v>
      </c>
      <c r="F4991">
        <v>2746.29</v>
      </c>
      <c r="G4991">
        <v>231001</v>
      </c>
      <c r="H4991">
        <v>4820</v>
      </c>
      <c r="I4991" t="s">
        <v>50</v>
      </c>
      <c r="J4991">
        <v>3405.4</v>
      </c>
      <c r="K4991">
        <v>659.11</v>
      </c>
      <c r="L4991">
        <v>17956</v>
      </c>
      <c r="M4991" t="s">
        <v>53</v>
      </c>
      <c r="N4991" t="str">
        <f>"54223       "</f>
        <v xml:space="preserve">54223       </v>
      </c>
      <c r="O4991">
        <v>230925</v>
      </c>
    </row>
    <row r="4992" spans="1:15" x14ac:dyDescent="0.25">
      <c r="A4992" t="s">
        <v>16</v>
      </c>
      <c r="B4992" t="s">
        <v>3221</v>
      </c>
      <c r="C4992">
        <v>14424</v>
      </c>
      <c r="D4992" t="s">
        <v>3194</v>
      </c>
      <c r="E4992" t="s">
        <v>3195</v>
      </c>
      <c r="F4992">
        <v>1264.96</v>
      </c>
      <c r="G4992">
        <v>231101</v>
      </c>
      <c r="H4992">
        <v>4820</v>
      </c>
      <c r="I4992" t="s">
        <v>50</v>
      </c>
      <c r="J4992">
        <v>1568.55</v>
      </c>
      <c r="K4992">
        <v>303.58999999999997</v>
      </c>
      <c r="L4992">
        <v>13641</v>
      </c>
      <c r="M4992" t="s">
        <v>1471</v>
      </c>
      <c r="N4992" t="str">
        <f>"54231       "</f>
        <v xml:space="preserve">54231       </v>
      </c>
      <c r="O4992">
        <v>231030</v>
      </c>
    </row>
    <row r="4993" spans="1:15" x14ac:dyDescent="0.25">
      <c r="A4993" t="s">
        <v>16</v>
      </c>
      <c r="B4993" t="s">
        <v>3221</v>
      </c>
      <c r="C4993">
        <v>14456</v>
      </c>
      <c r="D4993" t="s">
        <v>3194</v>
      </c>
      <c r="E4993" t="s">
        <v>3195</v>
      </c>
      <c r="F4993">
        <v>2746.29</v>
      </c>
      <c r="G4993">
        <v>231101</v>
      </c>
      <c r="H4993">
        <v>4820</v>
      </c>
      <c r="I4993" t="s">
        <v>50</v>
      </c>
      <c r="J4993">
        <v>3405.4</v>
      </c>
      <c r="K4993">
        <v>659.11</v>
      </c>
      <c r="L4993">
        <v>17956</v>
      </c>
      <c r="M4993" t="s">
        <v>53</v>
      </c>
      <c r="N4993" t="str">
        <f>"54230       "</f>
        <v xml:space="preserve">54230       </v>
      </c>
      <c r="O4993">
        <v>231030</v>
      </c>
    </row>
    <row r="4994" spans="1:15" x14ac:dyDescent="0.25">
      <c r="A4994" t="s">
        <v>16</v>
      </c>
      <c r="B4994" t="s">
        <v>3221</v>
      </c>
      <c r="C4994">
        <v>16071</v>
      </c>
      <c r="D4994" t="s">
        <v>3194</v>
      </c>
      <c r="E4994" t="s">
        <v>3195</v>
      </c>
      <c r="F4994">
        <v>1345.6</v>
      </c>
      <c r="G4994">
        <v>231201</v>
      </c>
      <c r="H4994">
        <v>4820</v>
      </c>
      <c r="I4994" t="s">
        <v>50</v>
      </c>
      <c r="J4994">
        <v>1668.55</v>
      </c>
      <c r="K4994">
        <v>322.95</v>
      </c>
      <c r="L4994">
        <v>13641</v>
      </c>
      <c r="M4994" t="s">
        <v>1471</v>
      </c>
      <c r="N4994" t="str">
        <f>"54238       "</f>
        <v xml:space="preserve">54238       </v>
      </c>
      <c r="O4994">
        <v>231122</v>
      </c>
    </row>
    <row r="4995" spans="1:15" x14ac:dyDescent="0.25">
      <c r="A4995" t="s">
        <v>16</v>
      </c>
      <c r="B4995" t="s">
        <v>3221</v>
      </c>
      <c r="C4995">
        <v>16075</v>
      </c>
      <c r="D4995" t="s">
        <v>3194</v>
      </c>
      <c r="E4995" t="s">
        <v>3195</v>
      </c>
      <c r="F4995">
        <v>2746.29</v>
      </c>
      <c r="G4995">
        <v>231201</v>
      </c>
      <c r="H4995">
        <v>4820</v>
      </c>
      <c r="I4995" t="s">
        <v>50</v>
      </c>
      <c r="J4995">
        <v>3405.4</v>
      </c>
      <c r="K4995">
        <v>659.11</v>
      </c>
      <c r="L4995">
        <v>17956</v>
      </c>
      <c r="M4995" t="s">
        <v>53</v>
      </c>
      <c r="N4995" t="str">
        <f>"54237       "</f>
        <v xml:space="preserve">54237       </v>
      </c>
      <c r="O4995">
        <v>231122</v>
      </c>
    </row>
    <row r="4996" spans="1:15" x14ac:dyDescent="0.25">
      <c r="A4996" t="s">
        <v>16</v>
      </c>
      <c r="B4996" t="s">
        <v>3221</v>
      </c>
      <c r="C4996">
        <v>18500</v>
      </c>
      <c r="D4996" t="s">
        <v>3194</v>
      </c>
      <c r="E4996" t="s">
        <v>3195</v>
      </c>
      <c r="F4996">
        <v>967.06</v>
      </c>
      <c r="G4996">
        <v>231231</v>
      </c>
      <c r="H4996">
        <v>4820</v>
      </c>
      <c r="I4996" t="s">
        <v>50</v>
      </c>
      <c r="J4996">
        <v>1199.1500000000001</v>
      </c>
      <c r="K4996">
        <v>232.09</v>
      </c>
      <c r="L4996">
        <v>13641</v>
      </c>
      <c r="M4996" t="s">
        <v>1471</v>
      </c>
      <c r="N4996" t="str">
        <f>"22002       "</f>
        <v xml:space="preserve">22002       </v>
      </c>
      <c r="O4996">
        <v>240103</v>
      </c>
    </row>
    <row r="4997" spans="1:15" x14ac:dyDescent="0.25">
      <c r="A4997" t="s">
        <v>16</v>
      </c>
      <c r="B4997" t="s">
        <v>3221</v>
      </c>
      <c r="C4997">
        <v>19183</v>
      </c>
      <c r="D4997" t="s">
        <v>3194</v>
      </c>
      <c r="E4997" t="s">
        <v>3195</v>
      </c>
      <c r="F4997">
        <v>1034.0899999999999</v>
      </c>
      <c r="G4997">
        <v>231231</v>
      </c>
      <c r="H4997">
        <v>4820</v>
      </c>
      <c r="I4997" t="s">
        <v>50</v>
      </c>
      <c r="J4997">
        <v>1137.5</v>
      </c>
      <c r="K4997">
        <v>103.41</v>
      </c>
      <c r="L4997">
        <v>13541</v>
      </c>
      <c r="M4997" t="s">
        <v>3320</v>
      </c>
      <c r="N4997" t="str">
        <f>"52520       "</f>
        <v xml:space="preserve">52520       </v>
      </c>
      <c r="O4997">
        <v>240129</v>
      </c>
    </row>
    <row r="4998" spans="1:15" x14ac:dyDescent="0.25">
      <c r="A4998" t="s">
        <v>16</v>
      </c>
      <c r="B4998" t="s">
        <v>3221</v>
      </c>
      <c r="C4998">
        <v>9592</v>
      </c>
      <c r="D4998" t="s">
        <v>3194</v>
      </c>
      <c r="E4998" t="s">
        <v>3195</v>
      </c>
      <c r="F4998">
        <v>80.650000000000006</v>
      </c>
      <c r="G4998">
        <v>230801</v>
      </c>
      <c r="H4998">
        <v>4572</v>
      </c>
      <c r="I4998" t="s">
        <v>122</v>
      </c>
      <c r="J4998">
        <v>100</v>
      </c>
      <c r="K4998">
        <v>19.350000000000001</v>
      </c>
      <c r="L4998">
        <v>13641</v>
      </c>
      <c r="M4998" t="s">
        <v>1471</v>
      </c>
      <c r="N4998" t="str">
        <f>"54209       "</f>
        <v xml:space="preserve">54209       </v>
      </c>
      <c r="O4998">
        <v>230717</v>
      </c>
    </row>
    <row r="4999" spans="1:15" x14ac:dyDescent="0.25">
      <c r="A4999" t="s">
        <v>16</v>
      </c>
      <c r="B4999" t="s">
        <v>3221</v>
      </c>
      <c r="C4999">
        <v>14424</v>
      </c>
      <c r="D4999" t="s">
        <v>3194</v>
      </c>
      <c r="E4999" t="s">
        <v>3195</v>
      </c>
      <c r="F4999">
        <v>80.650000000000006</v>
      </c>
      <c r="G4999">
        <v>231101</v>
      </c>
      <c r="H4999">
        <v>4572</v>
      </c>
      <c r="I4999" t="s">
        <v>122</v>
      </c>
      <c r="J4999">
        <v>100</v>
      </c>
      <c r="K4999">
        <v>19.350000000000001</v>
      </c>
      <c r="L4999">
        <v>13641</v>
      </c>
      <c r="M4999" t="s">
        <v>1471</v>
      </c>
      <c r="N4999" t="str">
        <f>"54231       "</f>
        <v xml:space="preserve">54231       </v>
      </c>
      <c r="O4999">
        <v>231030</v>
      </c>
    </row>
    <row r="5000" spans="1:15" x14ac:dyDescent="0.25">
      <c r="A5000" t="s">
        <v>16</v>
      </c>
      <c r="B5000" t="s">
        <v>3221</v>
      </c>
      <c r="C5000">
        <v>2855</v>
      </c>
      <c r="D5000" t="s">
        <v>3632</v>
      </c>
      <c r="E5000" t="s">
        <v>1486</v>
      </c>
      <c r="F5000">
        <v>36.49</v>
      </c>
      <c r="G5000">
        <v>230228</v>
      </c>
      <c r="H5000">
        <v>4580</v>
      </c>
      <c r="I5000" t="s">
        <v>35</v>
      </c>
      <c r="J5000">
        <v>45.25</v>
      </c>
      <c r="K5000">
        <v>8.76</v>
      </c>
      <c r="L5000">
        <v>17525</v>
      </c>
      <c r="M5000" t="s">
        <v>135</v>
      </c>
      <c r="N5000" t="str">
        <f>"200209      "</f>
        <v xml:space="preserve">200209      </v>
      </c>
      <c r="O5000">
        <v>230308</v>
      </c>
    </row>
    <row r="5001" spans="1:15" x14ac:dyDescent="0.25">
      <c r="A5001" t="s">
        <v>16</v>
      </c>
      <c r="B5001" t="s">
        <v>3221</v>
      </c>
      <c r="C5001">
        <v>5298</v>
      </c>
      <c r="D5001" t="s">
        <v>3632</v>
      </c>
      <c r="E5001" t="s">
        <v>1486</v>
      </c>
      <c r="F5001">
        <v>40.32</v>
      </c>
      <c r="G5001">
        <v>230331</v>
      </c>
      <c r="H5001">
        <v>4580</v>
      </c>
      <c r="I5001" t="s">
        <v>35</v>
      </c>
      <c r="J5001">
        <v>50</v>
      </c>
      <c r="K5001">
        <v>9.68</v>
      </c>
      <c r="L5001">
        <v>17538</v>
      </c>
      <c r="M5001" t="s">
        <v>24</v>
      </c>
      <c r="N5001" t="str">
        <f>"230335      "</f>
        <v xml:space="preserve">230335      </v>
      </c>
      <c r="O5001">
        <v>230420</v>
      </c>
    </row>
    <row r="5002" spans="1:15" x14ac:dyDescent="0.25">
      <c r="A5002" t="s">
        <v>16</v>
      </c>
      <c r="B5002" t="s">
        <v>3221</v>
      </c>
      <c r="C5002">
        <v>2855</v>
      </c>
      <c r="D5002" t="s">
        <v>3632</v>
      </c>
      <c r="E5002" t="s">
        <v>1486</v>
      </c>
      <c r="F5002">
        <v>22.73</v>
      </c>
      <c r="G5002">
        <v>230228</v>
      </c>
      <c r="H5002">
        <v>4510</v>
      </c>
      <c r="I5002" t="s">
        <v>42</v>
      </c>
      <c r="J5002">
        <v>25</v>
      </c>
      <c r="K5002">
        <v>2.27</v>
      </c>
      <c r="L5002">
        <v>17531</v>
      </c>
      <c r="M5002" t="s">
        <v>136</v>
      </c>
      <c r="N5002" t="str">
        <f>"200209      "</f>
        <v xml:space="preserve">200209      </v>
      </c>
      <c r="O5002">
        <v>230308</v>
      </c>
    </row>
    <row r="5003" spans="1:15" x14ac:dyDescent="0.25">
      <c r="A5003" t="s">
        <v>16</v>
      </c>
      <c r="B5003" t="s">
        <v>3221</v>
      </c>
      <c r="C5003">
        <v>2855</v>
      </c>
      <c r="D5003" t="s">
        <v>3632</v>
      </c>
      <c r="E5003" t="s">
        <v>1486</v>
      </c>
      <c r="F5003">
        <v>36.49</v>
      </c>
      <c r="G5003">
        <v>230228</v>
      </c>
      <c r="H5003">
        <v>4600</v>
      </c>
      <c r="I5003" t="s">
        <v>105</v>
      </c>
      <c r="J5003">
        <v>45.25</v>
      </c>
      <c r="K5003">
        <v>8.76</v>
      </c>
      <c r="L5003">
        <v>17636</v>
      </c>
      <c r="M5003" t="s">
        <v>352</v>
      </c>
      <c r="N5003" t="str">
        <f>"200209      "</f>
        <v xml:space="preserve">200209      </v>
      </c>
      <c r="O5003">
        <v>230308</v>
      </c>
    </row>
    <row r="5004" spans="1:15" x14ac:dyDescent="0.25">
      <c r="A5004" t="s">
        <v>16</v>
      </c>
      <c r="B5004" t="s">
        <v>3221</v>
      </c>
      <c r="C5004">
        <v>5298</v>
      </c>
      <c r="D5004" t="s">
        <v>3632</v>
      </c>
      <c r="E5004" t="s">
        <v>1486</v>
      </c>
      <c r="F5004">
        <v>33.869999999999997</v>
      </c>
      <c r="G5004">
        <v>230331</v>
      </c>
      <c r="H5004">
        <v>4470</v>
      </c>
      <c r="I5004" t="s">
        <v>83</v>
      </c>
      <c r="J5004">
        <v>42</v>
      </c>
      <c r="K5004">
        <v>8.1300000000000008</v>
      </c>
      <c r="L5004">
        <v>17538</v>
      </c>
      <c r="M5004" t="s">
        <v>24</v>
      </c>
      <c r="N5004" t="str">
        <f>"230335      "</f>
        <v xml:space="preserve">230335      </v>
      </c>
      <c r="O5004">
        <v>230420</v>
      </c>
    </row>
    <row r="5005" spans="1:15" x14ac:dyDescent="0.25">
      <c r="A5005" t="s">
        <v>16</v>
      </c>
      <c r="B5005" t="s">
        <v>3221</v>
      </c>
      <c r="C5005">
        <v>11395</v>
      </c>
      <c r="D5005" t="s">
        <v>3632</v>
      </c>
      <c r="E5005" t="s">
        <v>1486</v>
      </c>
      <c r="F5005">
        <v>11.21</v>
      </c>
      <c r="G5005">
        <v>230831</v>
      </c>
      <c r="H5005">
        <v>4500</v>
      </c>
      <c r="I5005" t="s">
        <v>212</v>
      </c>
      <c r="J5005">
        <v>13.9</v>
      </c>
      <c r="K5005">
        <v>2.69</v>
      </c>
      <c r="L5005">
        <v>17971</v>
      </c>
      <c r="M5005" t="s">
        <v>138</v>
      </c>
      <c r="N5005" t="str">
        <f>"230802      "</f>
        <v xml:space="preserve">230802      </v>
      </c>
      <c r="O5005">
        <v>230905</v>
      </c>
    </row>
    <row r="5006" spans="1:15" x14ac:dyDescent="0.25">
      <c r="A5006" t="s">
        <v>16</v>
      </c>
      <c r="B5006" t="s">
        <v>3221</v>
      </c>
      <c r="C5006">
        <v>13237</v>
      </c>
      <c r="D5006" t="s">
        <v>3541</v>
      </c>
      <c r="E5006" t="s">
        <v>3542</v>
      </c>
      <c r="F5006">
        <v>175</v>
      </c>
      <c r="G5006">
        <v>231004</v>
      </c>
      <c r="H5006">
        <v>4860</v>
      </c>
      <c r="I5006" t="s">
        <v>28</v>
      </c>
      <c r="J5006">
        <v>175</v>
      </c>
      <c r="K5006">
        <v>0</v>
      </c>
      <c r="L5006">
        <v>12982</v>
      </c>
      <c r="M5006" t="s">
        <v>1518</v>
      </c>
      <c r="N5006" t="str">
        <f>"02/2023     "</f>
        <v xml:space="preserve">02/2023     </v>
      </c>
      <c r="O5006">
        <v>231006</v>
      </c>
    </row>
    <row r="5007" spans="1:15" x14ac:dyDescent="0.25">
      <c r="A5007" t="s">
        <v>16</v>
      </c>
      <c r="B5007" t="s">
        <v>3221</v>
      </c>
      <c r="C5007">
        <v>12272</v>
      </c>
      <c r="D5007" t="s">
        <v>3524</v>
      </c>
      <c r="E5007" t="s">
        <v>3525</v>
      </c>
      <c r="F5007">
        <v>150</v>
      </c>
      <c r="G5007">
        <v>230914</v>
      </c>
      <c r="H5007">
        <v>4440</v>
      </c>
      <c r="I5007" t="s">
        <v>250</v>
      </c>
      <c r="J5007">
        <v>150</v>
      </c>
      <c r="K5007">
        <v>0</v>
      </c>
      <c r="L5007">
        <v>13501</v>
      </c>
      <c r="M5007" t="s">
        <v>20</v>
      </c>
      <c r="N5007" t="str">
        <f>"2303        "</f>
        <v xml:space="preserve">2303        </v>
      </c>
      <c r="O5007">
        <v>230918</v>
      </c>
    </row>
    <row r="5008" spans="1:15" x14ac:dyDescent="0.25">
      <c r="A5008" t="s">
        <v>16</v>
      </c>
      <c r="B5008" t="s">
        <v>3221</v>
      </c>
      <c r="C5008">
        <v>10025</v>
      </c>
      <c r="D5008" t="s">
        <v>3505</v>
      </c>
      <c r="E5008" t="s">
        <v>3506</v>
      </c>
      <c r="F5008">
        <v>300</v>
      </c>
      <c r="G5008">
        <v>230731</v>
      </c>
      <c r="H5008">
        <v>4350</v>
      </c>
      <c r="I5008" t="s">
        <v>546</v>
      </c>
      <c r="J5008">
        <v>300</v>
      </c>
      <c r="K5008">
        <v>0</v>
      </c>
      <c r="L5008">
        <v>17972</v>
      </c>
      <c r="M5008" t="s">
        <v>248</v>
      </c>
      <c r="N5008" t="str">
        <f>"07082023    "</f>
        <v xml:space="preserve">07082023    </v>
      </c>
      <c r="O5008">
        <v>230807</v>
      </c>
    </row>
    <row r="5009" spans="1:15" x14ac:dyDescent="0.25">
      <c r="A5009" t="s">
        <v>16</v>
      </c>
      <c r="B5009" t="s">
        <v>3221</v>
      </c>
      <c r="C5009">
        <v>3308</v>
      </c>
      <c r="D5009" t="s">
        <v>1541</v>
      </c>
      <c r="E5009" t="s">
        <v>1542</v>
      </c>
      <c r="F5009">
        <v>241.94</v>
      </c>
      <c r="G5009">
        <v>230310</v>
      </c>
      <c r="H5009">
        <v>4440</v>
      </c>
      <c r="I5009" t="s">
        <v>250</v>
      </c>
      <c r="J5009">
        <v>300</v>
      </c>
      <c r="K5009">
        <v>58.06</v>
      </c>
      <c r="L5009">
        <v>17537</v>
      </c>
      <c r="M5009" t="s">
        <v>455</v>
      </c>
      <c r="N5009" t="str">
        <f>"1725        "</f>
        <v xml:space="preserve">1725        </v>
      </c>
      <c r="O5009">
        <v>230314</v>
      </c>
    </row>
    <row r="5010" spans="1:15" x14ac:dyDescent="0.25">
      <c r="A5010" t="s">
        <v>16</v>
      </c>
      <c r="B5010" t="s">
        <v>3221</v>
      </c>
      <c r="C5010">
        <v>4552</v>
      </c>
      <c r="D5010" t="s">
        <v>1728</v>
      </c>
      <c r="E5010" t="s">
        <v>1729</v>
      </c>
      <c r="F5010">
        <v>28.6</v>
      </c>
      <c r="G5010">
        <v>230406</v>
      </c>
      <c r="H5010">
        <v>4380</v>
      </c>
      <c r="I5010" t="s">
        <v>113</v>
      </c>
      <c r="J5010">
        <v>35.46</v>
      </c>
      <c r="K5010">
        <v>6.86</v>
      </c>
      <c r="L5010">
        <v>17950</v>
      </c>
      <c r="M5010" t="s">
        <v>86</v>
      </c>
      <c r="N5010" t="str">
        <f>"1377610003  "</f>
        <v xml:space="preserve">1377610003  </v>
      </c>
      <c r="O5010">
        <v>230406</v>
      </c>
    </row>
    <row r="5011" spans="1:15" x14ac:dyDescent="0.25">
      <c r="A5011" t="s">
        <v>16</v>
      </c>
      <c r="B5011" t="s">
        <v>3221</v>
      </c>
      <c r="C5011">
        <v>4569</v>
      </c>
      <c r="D5011" t="s">
        <v>1728</v>
      </c>
      <c r="E5011" t="s">
        <v>1729</v>
      </c>
      <c r="F5011">
        <v>198</v>
      </c>
      <c r="G5011">
        <v>230406</v>
      </c>
      <c r="H5011">
        <v>4380</v>
      </c>
      <c r="I5011" t="s">
        <v>113</v>
      </c>
      <c r="J5011">
        <v>245.52</v>
      </c>
      <c r="K5011">
        <v>47.52</v>
      </c>
      <c r="L5011">
        <v>17956</v>
      </c>
      <c r="M5011" t="s">
        <v>53</v>
      </c>
      <c r="N5011" t="str">
        <f>"1380110003  "</f>
        <v xml:space="preserve">1380110003  </v>
      </c>
      <c r="O5011">
        <v>230406</v>
      </c>
    </row>
    <row r="5012" spans="1:15" x14ac:dyDescent="0.25">
      <c r="A5012" t="s">
        <v>16</v>
      </c>
      <c r="B5012" t="s">
        <v>3221</v>
      </c>
      <c r="C5012">
        <v>4656</v>
      </c>
      <c r="D5012" t="s">
        <v>1728</v>
      </c>
      <c r="E5012" t="s">
        <v>1729</v>
      </c>
      <c r="F5012">
        <v>152.22</v>
      </c>
      <c r="G5012">
        <v>230406</v>
      </c>
      <c r="H5012">
        <v>4380</v>
      </c>
      <c r="I5012" t="s">
        <v>113</v>
      </c>
      <c r="J5012">
        <v>188.75</v>
      </c>
      <c r="K5012">
        <v>36.53</v>
      </c>
      <c r="L5012">
        <v>13540</v>
      </c>
      <c r="M5012" t="s">
        <v>85</v>
      </c>
      <c r="N5012" t="str">
        <f>"1431210003  "</f>
        <v xml:space="preserve">1431210003  </v>
      </c>
      <c r="O5012">
        <v>230411</v>
      </c>
    </row>
    <row r="5013" spans="1:15" x14ac:dyDescent="0.25">
      <c r="A5013" t="s">
        <v>16</v>
      </c>
      <c r="B5013" t="s">
        <v>3221</v>
      </c>
      <c r="C5013">
        <v>4656</v>
      </c>
      <c r="D5013" t="s">
        <v>1728</v>
      </c>
      <c r="E5013" t="s">
        <v>1729</v>
      </c>
      <c r="F5013">
        <v>1231.58</v>
      </c>
      <c r="G5013">
        <v>230406</v>
      </c>
      <c r="H5013">
        <v>4380</v>
      </c>
      <c r="I5013" t="s">
        <v>113</v>
      </c>
      <c r="J5013">
        <v>1527.16</v>
      </c>
      <c r="K5013">
        <v>295.58</v>
      </c>
      <c r="L5013">
        <v>17950</v>
      </c>
      <c r="M5013" t="s">
        <v>86</v>
      </c>
      <c r="N5013" t="str">
        <f>"1431210003  "</f>
        <v xml:space="preserve">1431210003  </v>
      </c>
      <c r="O5013">
        <v>230411</v>
      </c>
    </row>
    <row r="5014" spans="1:15" x14ac:dyDescent="0.25">
      <c r="A5014" t="s">
        <v>16</v>
      </c>
      <c r="B5014" t="s">
        <v>3221</v>
      </c>
      <c r="C5014">
        <v>9327</v>
      </c>
      <c r="D5014" t="s">
        <v>1728</v>
      </c>
      <c r="E5014" t="s">
        <v>1729</v>
      </c>
      <c r="F5014">
        <v>28.6</v>
      </c>
      <c r="G5014">
        <v>230705</v>
      </c>
      <c r="H5014">
        <v>4380</v>
      </c>
      <c r="I5014" t="s">
        <v>113</v>
      </c>
      <c r="J5014">
        <v>35.46</v>
      </c>
      <c r="K5014">
        <v>6.86</v>
      </c>
      <c r="L5014">
        <v>17950</v>
      </c>
      <c r="M5014" t="s">
        <v>86</v>
      </c>
      <c r="N5014" t="str">
        <f>"1377610004  "</f>
        <v xml:space="preserve">1377610004  </v>
      </c>
      <c r="O5014">
        <v>230706</v>
      </c>
    </row>
    <row r="5015" spans="1:15" x14ac:dyDescent="0.25">
      <c r="A5015" t="s">
        <v>16</v>
      </c>
      <c r="B5015" t="s">
        <v>3221</v>
      </c>
      <c r="C5015">
        <v>9329</v>
      </c>
      <c r="D5015" t="s">
        <v>1728</v>
      </c>
      <c r="E5015" t="s">
        <v>1729</v>
      </c>
      <c r="F5015">
        <v>152.22</v>
      </c>
      <c r="G5015">
        <v>230705</v>
      </c>
      <c r="H5015">
        <v>4380</v>
      </c>
      <c r="I5015" t="s">
        <v>113</v>
      </c>
      <c r="J5015">
        <v>188.75</v>
      </c>
      <c r="K5015">
        <v>36.53</v>
      </c>
      <c r="L5015">
        <v>13540</v>
      </c>
      <c r="M5015" t="s">
        <v>85</v>
      </c>
      <c r="N5015" t="str">
        <f>"1431210004  "</f>
        <v xml:space="preserve">1431210004  </v>
      </c>
      <c r="O5015">
        <v>230706</v>
      </c>
    </row>
    <row r="5016" spans="1:15" x14ac:dyDescent="0.25">
      <c r="A5016" t="s">
        <v>16</v>
      </c>
      <c r="B5016" t="s">
        <v>3221</v>
      </c>
      <c r="C5016">
        <v>9329</v>
      </c>
      <c r="D5016" t="s">
        <v>1728</v>
      </c>
      <c r="E5016" t="s">
        <v>1729</v>
      </c>
      <c r="F5016">
        <v>1231.58</v>
      </c>
      <c r="G5016">
        <v>230705</v>
      </c>
      <c r="H5016">
        <v>4380</v>
      </c>
      <c r="I5016" t="s">
        <v>113</v>
      </c>
      <c r="J5016">
        <v>1527.16</v>
      </c>
      <c r="K5016">
        <v>295.58</v>
      </c>
      <c r="L5016">
        <v>17950</v>
      </c>
      <c r="M5016" t="s">
        <v>86</v>
      </c>
      <c r="N5016" t="str">
        <f>"1431210004  "</f>
        <v xml:space="preserve">1431210004  </v>
      </c>
      <c r="O5016">
        <v>230706</v>
      </c>
    </row>
    <row r="5017" spans="1:15" x14ac:dyDescent="0.25">
      <c r="A5017" t="s">
        <v>16</v>
      </c>
      <c r="B5017" t="s">
        <v>3221</v>
      </c>
      <c r="C5017">
        <v>9330</v>
      </c>
      <c r="D5017" t="s">
        <v>1728</v>
      </c>
      <c r="E5017" t="s">
        <v>1729</v>
      </c>
      <c r="F5017">
        <v>198</v>
      </c>
      <c r="G5017">
        <v>230705</v>
      </c>
      <c r="H5017">
        <v>4380</v>
      </c>
      <c r="I5017" t="s">
        <v>113</v>
      </c>
      <c r="J5017">
        <v>245.52</v>
      </c>
      <c r="K5017">
        <v>47.52</v>
      </c>
      <c r="L5017">
        <v>17956</v>
      </c>
      <c r="M5017" t="s">
        <v>53</v>
      </c>
      <c r="N5017" t="str">
        <f>"1380110004  "</f>
        <v xml:space="preserve">1380110004  </v>
      </c>
      <c r="O5017">
        <v>230706</v>
      </c>
    </row>
    <row r="5018" spans="1:15" x14ac:dyDescent="0.25">
      <c r="A5018" t="s">
        <v>16</v>
      </c>
      <c r="B5018" t="s">
        <v>3221</v>
      </c>
      <c r="C5018">
        <v>14092</v>
      </c>
      <c r="D5018" t="s">
        <v>1728</v>
      </c>
      <c r="E5018" t="s">
        <v>1729</v>
      </c>
      <c r="F5018">
        <v>702.67</v>
      </c>
      <c r="G5018">
        <v>231016</v>
      </c>
      <c r="H5018">
        <v>4380</v>
      </c>
      <c r="I5018" t="s">
        <v>113</v>
      </c>
      <c r="J5018">
        <v>871.31</v>
      </c>
      <c r="K5018">
        <v>168.64</v>
      </c>
      <c r="L5018">
        <v>17950</v>
      </c>
      <c r="M5018" t="s">
        <v>86</v>
      </c>
      <c r="N5018" t="str">
        <f>"1377610005  "</f>
        <v xml:space="preserve">1377610005  </v>
      </c>
      <c r="O5018">
        <v>231018</v>
      </c>
    </row>
    <row r="5019" spans="1:15" x14ac:dyDescent="0.25">
      <c r="A5019" t="s">
        <v>16</v>
      </c>
      <c r="B5019" t="s">
        <v>3221</v>
      </c>
      <c r="C5019">
        <v>14127</v>
      </c>
      <c r="D5019" t="s">
        <v>1728</v>
      </c>
      <c r="E5019" t="s">
        <v>1729</v>
      </c>
      <c r="F5019">
        <v>181.7</v>
      </c>
      <c r="G5019">
        <v>231016</v>
      </c>
      <c r="H5019">
        <v>4380</v>
      </c>
      <c r="I5019" t="s">
        <v>113</v>
      </c>
      <c r="J5019">
        <v>225.31</v>
      </c>
      <c r="K5019">
        <v>43.61</v>
      </c>
      <c r="L5019">
        <v>17956</v>
      </c>
      <c r="M5019" t="s">
        <v>53</v>
      </c>
      <c r="N5019" t="str">
        <f>"1380110005  "</f>
        <v xml:space="preserve">1380110005  </v>
      </c>
      <c r="O5019">
        <v>231019</v>
      </c>
    </row>
    <row r="5020" spans="1:15" x14ac:dyDescent="0.25">
      <c r="A5020" t="s">
        <v>16</v>
      </c>
      <c r="B5020" t="s">
        <v>3221</v>
      </c>
      <c r="C5020">
        <v>14340</v>
      </c>
      <c r="D5020" t="s">
        <v>1728</v>
      </c>
      <c r="E5020" t="s">
        <v>1729</v>
      </c>
      <c r="F5020">
        <v>223.6</v>
      </c>
      <c r="G5020">
        <v>231018</v>
      </c>
      <c r="H5020">
        <v>4380</v>
      </c>
      <c r="I5020" t="s">
        <v>113</v>
      </c>
      <c r="J5020">
        <v>277.27</v>
      </c>
      <c r="K5020">
        <v>53.67</v>
      </c>
      <c r="L5020">
        <v>13540</v>
      </c>
      <c r="M5020" t="s">
        <v>85</v>
      </c>
      <c r="N5020" t="str">
        <f>"1431210007  "</f>
        <v xml:space="preserve">1431210007  </v>
      </c>
      <c r="O5020">
        <v>231027</v>
      </c>
    </row>
    <row r="5021" spans="1:15" x14ac:dyDescent="0.25">
      <c r="A5021" t="s">
        <v>16</v>
      </c>
      <c r="B5021" t="s">
        <v>3221</v>
      </c>
      <c r="C5021">
        <v>14340</v>
      </c>
      <c r="D5021" t="s">
        <v>1728</v>
      </c>
      <c r="E5021" t="s">
        <v>1729</v>
      </c>
      <c r="F5021">
        <v>1809.16</v>
      </c>
      <c r="G5021">
        <v>231018</v>
      </c>
      <c r="H5021">
        <v>4380</v>
      </c>
      <c r="I5021" t="s">
        <v>113</v>
      </c>
      <c r="J5021">
        <v>2243.36</v>
      </c>
      <c r="K5021">
        <v>434.2</v>
      </c>
      <c r="L5021">
        <v>17950</v>
      </c>
      <c r="M5021" t="s">
        <v>86</v>
      </c>
      <c r="N5021" t="str">
        <f>"1431210007  "</f>
        <v xml:space="preserve">1431210007  </v>
      </c>
      <c r="O5021">
        <v>231027</v>
      </c>
    </row>
    <row r="5022" spans="1:15" x14ac:dyDescent="0.25">
      <c r="A5022" t="s">
        <v>16</v>
      </c>
      <c r="B5022" t="s">
        <v>3221</v>
      </c>
      <c r="C5022">
        <v>19258</v>
      </c>
      <c r="D5022" t="s">
        <v>1728</v>
      </c>
      <c r="E5022" t="s">
        <v>1729</v>
      </c>
      <c r="F5022">
        <v>162.91</v>
      </c>
      <c r="G5022">
        <v>240112</v>
      </c>
      <c r="H5022">
        <v>4380</v>
      </c>
      <c r="I5022" t="s">
        <v>113</v>
      </c>
      <c r="J5022">
        <v>202.01</v>
      </c>
      <c r="K5022">
        <v>39.1</v>
      </c>
      <c r="L5022">
        <v>13540</v>
      </c>
      <c r="M5022" t="s">
        <v>85</v>
      </c>
      <c r="N5022" t="str">
        <f>"1431210008  "</f>
        <v xml:space="preserve">1431210008  </v>
      </c>
      <c r="O5022">
        <v>240115</v>
      </c>
    </row>
    <row r="5023" spans="1:15" x14ac:dyDescent="0.25">
      <c r="A5023" t="s">
        <v>16</v>
      </c>
      <c r="B5023" t="s">
        <v>3221</v>
      </c>
      <c r="C5023">
        <v>19258</v>
      </c>
      <c r="D5023" t="s">
        <v>1728</v>
      </c>
      <c r="E5023" t="s">
        <v>1729</v>
      </c>
      <c r="F5023">
        <v>1318.1</v>
      </c>
      <c r="G5023">
        <v>240112</v>
      </c>
      <c r="H5023">
        <v>4380</v>
      </c>
      <c r="I5023" t="s">
        <v>113</v>
      </c>
      <c r="J5023">
        <v>1634.44</v>
      </c>
      <c r="K5023">
        <v>316.33999999999997</v>
      </c>
      <c r="L5023">
        <v>17950</v>
      </c>
      <c r="M5023" t="s">
        <v>86</v>
      </c>
      <c r="N5023" t="str">
        <f>"1431210008  "</f>
        <v xml:space="preserve">1431210008  </v>
      </c>
      <c r="O5023">
        <v>240115</v>
      </c>
    </row>
    <row r="5024" spans="1:15" x14ac:dyDescent="0.25">
      <c r="A5024" t="s">
        <v>16</v>
      </c>
      <c r="B5024" t="s">
        <v>3221</v>
      </c>
      <c r="C5024">
        <v>19259</v>
      </c>
      <c r="D5024" t="s">
        <v>1728</v>
      </c>
      <c r="E5024" t="s">
        <v>1729</v>
      </c>
      <c r="F5024">
        <v>125.81</v>
      </c>
      <c r="G5024">
        <v>240112</v>
      </c>
      <c r="H5024">
        <v>4380</v>
      </c>
      <c r="I5024" t="s">
        <v>113</v>
      </c>
      <c r="J5024">
        <v>156</v>
      </c>
      <c r="K5024">
        <v>30.19</v>
      </c>
      <c r="L5024">
        <v>17950</v>
      </c>
      <c r="M5024" t="s">
        <v>86</v>
      </c>
      <c r="N5024" t="str">
        <f>"1377610006  "</f>
        <v xml:space="preserve">1377610006  </v>
      </c>
      <c r="O5024">
        <v>240115</v>
      </c>
    </row>
    <row r="5025" spans="1:15" x14ac:dyDescent="0.25">
      <c r="A5025" t="s">
        <v>16</v>
      </c>
      <c r="B5025" t="s">
        <v>3221</v>
      </c>
      <c r="C5025">
        <v>19260</v>
      </c>
      <c r="D5025" t="s">
        <v>1728</v>
      </c>
      <c r="E5025" t="s">
        <v>1729</v>
      </c>
      <c r="F5025">
        <v>295.20999999999998</v>
      </c>
      <c r="G5025">
        <v>240112</v>
      </c>
      <c r="H5025">
        <v>4380</v>
      </c>
      <c r="I5025" t="s">
        <v>113</v>
      </c>
      <c r="J5025">
        <v>366.06</v>
      </c>
      <c r="K5025">
        <v>70.849999999999994</v>
      </c>
      <c r="L5025">
        <v>17956</v>
      </c>
      <c r="M5025" t="s">
        <v>53</v>
      </c>
      <c r="N5025" t="str">
        <f>"1380110006  "</f>
        <v xml:space="preserve">1380110006  </v>
      </c>
      <c r="O5025">
        <v>240115</v>
      </c>
    </row>
    <row r="5026" spans="1:15" x14ac:dyDescent="0.25">
      <c r="A5026" t="s">
        <v>16</v>
      </c>
      <c r="B5026" t="s">
        <v>3221</v>
      </c>
      <c r="C5026">
        <v>4552</v>
      </c>
      <c r="D5026" t="s">
        <v>1728</v>
      </c>
      <c r="E5026" t="s">
        <v>1729</v>
      </c>
      <c r="F5026">
        <v>26.42</v>
      </c>
      <c r="G5026">
        <v>230406</v>
      </c>
      <c r="H5026">
        <v>4573</v>
      </c>
      <c r="I5026" t="s">
        <v>46</v>
      </c>
      <c r="J5026">
        <v>32.76</v>
      </c>
      <c r="K5026">
        <v>6.34</v>
      </c>
      <c r="L5026">
        <v>17950</v>
      </c>
      <c r="M5026" t="s">
        <v>86</v>
      </c>
      <c r="N5026" t="str">
        <f>"1377610003  "</f>
        <v xml:space="preserve">1377610003  </v>
      </c>
      <c r="O5026">
        <v>230406</v>
      </c>
    </row>
    <row r="5027" spans="1:15" x14ac:dyDescent="0.25">
      <c r="A5027" t="s">
        <v>16</v>
      </c>
      <c r="B5027" t="s">
        <v>3221</v>
      </c>
      <c r="C5027">
        <v>4569</v>
      </c>
      <c r="D5027" t="s">
        <v>1728</v>
      </c>
      <c r="E5027" t="s">
        <v>1729</v>
      </c>
      <c r="F5027">
        <v>119.52</v>
      </c>
      <c r="G5027">
        <v>230406</v>
      </c>
      <c r="H5027">
        <v>4573</v>
      </c>
      <c r="I5027" t="s">
        <v>46</v>
      </c>
      <c r="J5027">
        <v>148.19999999999999</v>
      </c>
      <c r="K5027">
        <v>28.68</v>
      </c>
      <c r="L5027">
        <v>17956</v>
      </c>
      <c r="M5027" t="s">
        <v>53</v>
      </c>
      <c r="N5027" t="str">
        <f>"1380110003  "</f>
        <v xml:space="preserve">1380110003  </v>
      </c>
      <c r="O5027">
        <v>230406</v>
      </c>
    </row>
    <row r="5028" spans="1:15" x14ac:dyDescent="0.25">
      <c r="A5028" t="s">
        <v>16</v>
      </c>
      <c r="B5028" t="s">
        <v>3221</v>
      </c>
      <c r="C5028">
        <v>4656</v>
      </c>
      <c r="D5028" t="s">
        <v>1728</v>
      </c>
      <c r="E5028" t="s">
        <v>1729</v>
      </c>
      <c r="F5028">
        <v>84.83</v>
      </c>
      <c r="G5028">
        <v>230406</v>
      </c>
      <c r="H5028">
        <v>4573</v>
      </c>
      <c r="I5028" t="s">
        <v>46</v>
      </c>
      <c r="J5028">
        <v>105.19</v>
      </c>
      <c r="K5028">
        <v>20.36</v>
      </c>
      <c r="L5028">
        <v>13540</v>
      </c>
      <c r="M5028" t="s">
        <v>85</v>
      </c>
      <c r="N5028" t="str">
        <f>"1431210003  "</f>
        <v xml:space="preserve">1431210003  </v>
      </c>
      <c r="O5028">
        <v>230411</v>
      </c>
    </row>
    <row r="5029" spans="1:15" x14ac:dyDescent="0.25">
      <c r="A5029" t="s">
        <v>16</v>
      </c>
      <c r="B5029" t="s">
        <v>3221</v>
      </c>
      <c r="C5029">
        <v>4656</v>
      </c>
      <c r="D5029" t="s">
        <v>1728</v>
      </c>
      <c r="E5029" t="s">
        <v>1729</v>
      </c>
      <c r="F5029">
        <v>686.39</v>
      </c>
      <c r="G5029">
        <v>230406</v>
      </c>
      <c r="H5029">
        <v>4573</v>
      </c>
      <c r="I5029" t="s">
        <v>46</v>
      </c>
      <c r="J5029">
        <v>851.12</v>
      </c>
      <c r="K5029">
        <v>164.73</v>
      </c>
      <c r="L5029">
        <v>17950</v>
      </c>
      <c r="M5029" t="s">
        <v>86</v>
      </c>
      <c r="N5029" t="str">
        <f>"1431210003  "</f>
        <v xml:space="preserve">1431210003  </v>
      </c>
      <c r="O5029">
        <v>230411</v>
      </c>
    </row>
    <row r="5030" spans="1:15" x14ac:dyDescent="0.25">
      <c r="A5030" t="s">
        <v>16</v>
      </c>
      <c r="B5030" t="s">
        <v>3221</v>
      </c>
      <c r="C5030">
        <v>9327</v>
      </c>
      <c r="D5030" t="s">
        <v>1728</v>
      </c>
      <c r="E5030" t="s">
        <v>1729</v>
      </c>
      <c r="F5030">
        <v>26.42</v>
      </c>
      <c r="G5030">
        <v>230705</v>
      </c>
      <c r="H5030">
        <v>4573</v>
      </c>
      <c r="I5030" t="s">
        <v>46</v>
      </c>
      <c r="J5030">
        <v>32.76</v>
      </c>
      <c r="K5030">
        <v>6.34</v>
      </c>
      <c r="L5030">
        <v>17950</v>
      </c>
      <c r="M5030" t="s">
        <v>86</v>
      </c>
      <c r="N5030" t="str">
        <f>"1377610004  "</f>
        <v xml:space="preserve">1377610004  </v>
      </c>
      <c r="O5030">
        <v>230706</v>
      </c>
    </row>
    <row r="5031" spans="1:15" x14ac:dyDescent="0.25">
      <c r="A5031" t="s">
        <v>16</v>
      </c>
      <c r="B5031" t="s">
        <v>3221</v>
      </c>
      <c r="C5031">
        <v>9329</v>
      </c>
      <c r="D5031" t="s">
        <v>1728</v>
      </c>
      <c r="E5031" t="s">
        <v>1729</v>
      </c>
      <c r="F5031">
        <v>8.8699999999999992</v>
      </c>
      <c r="G5031">
        <v>230705</v>
      </c>
      <c r="H5031">
        <v>4573</v>
      </c>
      <c r="I5031" t="s">
        <v>46</v>
      </c>
      <c r="J5031">
        <v>11</v>
      </c>
      <c r="K5031">
        <v>2.13</v>
      </c>
      <c r="L5031">
        <v>13540</v>
      </c>
      <c r="M5031" t="s">
        <v>85</v>
      </c>
      <c r="N5031" t="str">
        <f>"1431210004  "</f>
        <v xml:space="preserve">1431210004  </v>
      </c>
      <c r="O5031">
        <v>230706</v>
      </c>
    </row>
    <row r="5032" spans="1:15" x14ac:dyDescent="0.25">
      <c r="A5032" t="s">
        <v>16</v>
      </c>
      <c r="B5032" t="s">
        <v>3221</v>
      </c>
      <c r="C5032">
        <v>9329</v>
      </c>
      <c r="D5032" t="s">
        <v>1728</v>
      </c>
      <c r="E5032" t="s">
        <v>1729</v>
      </c>
      <c r="F5032">
        <v>762.35</v>
      </c>
      <c r="G5032">
        <v>230705</v>
      </c>
      <c r="H5032">
        <v>4573</v>
      </c>
      <c r="I5032" t="s">
        <v>46</v>
      </c>
      <c r="J5032">
        <v>945.31</v>
      </c>
      <c r="K5032">
        <v>182.96</v>
      </c>
      <c r="L5032">
        <v>17950</v>
      </c>
      <c r="M5032" t="s">
        <v>86</v>
      </c>
      <c r="N5032" t="str">
        <f>"1431210004  "</f>
        <v xml:space="preserve">1431210004  </v>
      </c>
      <c r="O5032">
        <v>230706</v>
      </c>
    </row>
    <row r="5033" spans="1:15" x14ac:dyDescent="0.25">
      <c r="A5033" t="s">
        <v>16</v>
      </c>
      <c r="B5033" t="s">
        <v>3221</v>
      </c>
      <c r="C5033">
        <v>9330</v>
      </c>
      <c r="D5033" t="s">
        <v>1728</v>
      </c>
      <c r="E5033" t="s">
        <v>1729</v>
      </c>
      <c r="F5033">
        <v>119.52</v>
      </c>
      <c r="G5033">
        <v>230705</v>
      </c>
      <c r="H5033">
        <v>4573</v>
      </c>
      <c r="I5033" t="s">
        <v>46</v>
      </c>
      <c r="J5033">
        <v>148.19999999999999</v>
      </c>
      <c r="K5033">
        <v>28.68</v>
      </c>
      <c r="L5033">
        <v>17956</v>
      </c>
      <c r="M5033" t="s">
        <v>53</v>
      </c>
      <c r="N5033" t="str">
        <f>"1380110004  "</f>
        <v xml:space="preserve">1380110004  </v>
      </c>
      <c r="O5033">
        <v>230706</v>
      </c>
    </row>
    <row r="5034" spans="1:15" x14ac:dyDescent="0.25">
      <c r="A5034" t="s">
        <v>16</v>
      </c>
      <c r="B5034" t="s">
        <v>3221</v>
      </c>
      <c r="C5034">
        <v>14092</v>
      </c>
      <c r="D5034" t="s">
        <v>1728</v>
      </c>
      <c r="E5034" t="s">
        <v>1729</v>
      </c>
      <c r="F5034">
        <v>419.35</v>
      </c>
      <c r="G5034">
        <v>231016</v>
      </c>
      <c r="H5034">
        <v>4573</v>
      </c>
      <c r="I5034" t="s">
        <v>46</v>
      </c>
      <c r="J5034">
        <v>520</v>
      </c>
      <c r="K5034">
        <v>100.65</v>
      </c>
      <c r="L5034">
        <v>17950</v>
      </c>
      <c r="M5034" t="s">
        <v>86</v>
      </c>
      <c r="N5034" t="str">
        <f>"1377610005  "</f>
        <v xml:space="preserve">1377610005  </v>
      </c>
      <c r="O5034">
        <v>231018</v>
      </c>
    </row>
    <row r="5035" spans="1:15" x14ac:dyDescent="0.25">
      <c r="A5035" t="s">
        <v>16</v>
      </c>
      <c r="B5035" t="s">
        <v>3221</v>
      </c>
      <c r="C5035">
        <v>14127</v>
      </c>
      <c r="D5035" t="s">
        <v>1728</v>
      </c>
      <c r="E5035" t="s">
        <v>1729</v>
      </c>
      <c r="F5035">
        <v>134.06</v>
      </c>
      <c r="G5035">
        <v>231016</v>
      </c>
      <c r="H5035">
        <v>4573</v>
      </c>
      <c r="I5035" t="s">
        <v>46</v>
      </c>
      <c r="J5035">
        <v>166.24</v>
      </c>
      <c r="K5035">
        <v>32.18</v>
      </c>
      <c r="L5035">
        <v>17956</v>
      </c>
      <c r="M5035" t="s">
        <v>53</v>
      </c>
      <c r="N5035" t="str">
        <f>"1380110005  "</f>
        <v xml:space="preserve">1380110005  </v>
      </c>
      <c r="O5035">
        <v>231019</v>
      </c>
    </row>
    <row r="5036" spans="1:15" x14ac:dyDescent="0.25">
      <c r="A5036" t="s">
        <v>16</v>
      </c>
      <c r="B5036" t="s">
        <v>3221</v>
      </c>
      <c r="C5036">
        <v>14340</v>
      </c>
      <c r="D5036" t="s">
        <v>1728</v>
      </c>
      <c r="E5036" t="s">
        <v>1729</v>
      </c>
      <c r="F5036">
        <v>126.67</v>
      </c>
      <c r="G5036">
        <v>231018</v>
      </c>
      <c r="H5036">
        <v>4573</v>
      </c>
      <c r="I5036" t="s">
        <v>46</v>
      </c>
      <c r="J5036">
        <v>157.07</v>
      </c>
      <c r="K5036">
        <v>30.4</v>
      </c>
      <c r="L5036">
        <v>13540</v>
      </c>
      <c r="M5036" t="s">
        <v>85</v>
      </c>
      <c r="N5036" t="str">
        <f>"1431210007  "</f>
        <v xml:space="preserve">1431210007  </v>
      </c>
      <c r="O5036">
        <v>231027</v>
      </c>
    </row>
    <row r="5037" spans="1:15" x14ac:dyDescent="0.25">
      <c r="A5037" t="s">
        <v>16</v>
      </c>
      <c r="B5037" t="s">
        <v>3221</v>
      </c>
      <c r="C5037">
        <v>14340</v>
      </c>
      <c r="D5037" t="s">
        <v>1728</v>
      </c>
      <c r="E5037" t="s">
        <v>1729</v>
      </c>
      <c r="F5037">
        <v>1024.8399999999999</v>
      </c>
      <c r="G5037">
        <v>231018</v>
      </c>
      <c r="H5037">
        <v>4573</v>
      </c>
      <c r="I5037" t="s">
        <v>46</v>
      </c>
      <c r="J5037">
        <v>1270.8</v>
      </c>
      <c r="K5037">
        <v>245.96</v>
      </c>
      <c r="L5037">
        <v>17950</v>
      </c>
      <c r="M5037" t="s">
        <v>86</v>
      </c>
      <c r="N5037" t="str">
        <f>"1431210007  "</f>
        <v xml:space="preserve">1431210007  </v>
      </c>
      <c r="O5037">
        <v>231027</v>
      </c>
    </row>
    <row r="5038" spans="1:15" x14ac:dyDescent="0.25">
      <c r="A5038" t="s">
        <v>16</v>
      </c>
      <c r="B5038" t="s">
        <v>3221</v>
      </c>
      <c r="C5038">
        <v>19258</v>
      </c>
      <c r="D5038" t="s">
        <v>1728</v>
      </c>
      <c r="E5038" t="s">
        <v>1729</v>
      </c>
      <c r="F5038">
        <v>93.31</v>
      </c>
      <c r="G5038">
        <v>240112</v>
      </c>
      <c r="H5038">
        <v>4573</v>
      </c>
      <c r="I5038" t="s">
        <v>46</v>
      </c>
      <c r="J5038">
        <v>115.7</v>
      </c>
      <c r="K5038">
        <v>22.39</v>
      </c>
      <c r="L5038">
        <v>13540</v>
      </c>
      <c r="M5038" t="s">
        <v>85</v>
      </c>
      <c r="N5038" t="str">
        <f>"1431210008  "</f>
        <v xml:space="preserve">1431210008  </v>
      </c>
      <c r="O5038">
        <v>240115</v>
      </c>
    </row>
    <row r="5039" spans="1:15" x14ac:dyDescent="0.25">
      <c r="A5039" t="s">
        <v>16</v>
      </c>
      <c r="B5039" t="s">
        <v>3221</v>
      </c>
      <c r="C5039">
        <v>19258</v>
      </c>
      <c r="D5039" t="s">
        <v>1728</v>
      </c>
      <c r="E5039" t="s">
        <v>1729</v>
      </c>
      <c r="F5039">
        <v>754.96</v>
      </c>
      <c r="G5039">
        <v>240112</v>
      </c>
      <c r="H5039">
        <v>4573</v>
      </c>
      <c r="I5039" t="s">
        <v>46</v>
      </c>
      <c r="J5039">
        <v>936.15</v>
      </c>
      <c r="K5039">
        <v>181.19</v>
      </c>
      <c r="L5039">
        <v>17950</v>
      </c>
      <c r="M5039" t="s">
        <v>86</v>
      </c>
      <c r="N5039" t="str">
        <f>"1431210008  "</f>
        <v xml:space="preserve">1431210008  </v>
      </c>
      <c r="O5039">
        <v>240115</v>
      </c>
    </row>
    <row r="5040" spans="1:15" x14ac:dyDescent="0.25">
      <c r="A5040" t="s">
        <v>16</v>
      </c>
      <c r="B5040" t="s">
        <v>3221</v>
      </c>
      <c r="C5040">
        <v>19259</v>
      </c>
      <c r="D5040" t="s">
        <v>1728</v>
      </c>
      <c r="E5040" t="s">
        <v>1729</v>
      </c>
      <c r="F5040">
        <v>103.47</v>
      </c>
      <c r="G5040">
        <v>240112</v>
      </c>
      <c r="H5040">
        <v>4573</v>
      </c>
      <c r="I5040" t="s">
        <v>46</v>
      </c>
      <c r="J5040">
        <v>128.30000000000001</v>
      </c>
      <c r="K5040">
        <v>24.83</v>
      </c>
      <c r="L5040">
        <v>17950</v>
      </c>
      <c r="M5040" t="s">
        <v>86</v>
      </c>
      <c r="N5040" t="str">
        <f>"1377610006  "</f>
        <v xml:space="preserve">1377610006  </v>
      </c>
      <c r="O5040">
        <v>240115</v>
      </c>
    </row>
    <row r="5041" spans="1:15" x14ac:dyDescent="0.25">
      <c r="A5041" t="s">
        <v>16</v>
      </c>
      <c r="B5041" t="s">
        <v>3221</v>
      </c>
      <c r="C5041">
        <v>19260</v>
      </c>
      <c r="D5041" t="s">
        <v>1728</v>
      </c>
      <c r="E5041" t="s">
        <v>1729</v>
      </c>
      <c r="F5041">
        <v>196.56</v>
      </c>
      <c r="G5041">
        <v>240112</v>
      </c>
      <c r="H5041">
        <v>4573</v>
      </c>
      <c r="I5041" t="s">
        <v>46</v>
      </c>
      <c r="J5041">
        <v>243.74</v>
      </c>
      <c r="K5041">
        <v>47.18</v>
      </c>
      <c r="L5041">
        <v>17956</v>
      </c>
      <c r="M5041" t="s">
        <v>53</v>
      </c>
      <c r="N5041" t="str">
        <f>"1380110006  "</f>
        <v xml:space="preserve">1380110006  </v>
      </c>
      <c r="O5041">
        <v>240115</v>
      </c>
    </row>
    <row r="5042" spans="1:15" x14ac:dyDescent="0.25">
      <c r="A5042" t="s">
        <v>16</v>
      </c>
      <c r="B5042" t="s">
        <v>3221</v>
      </c>
      <c r="C5042">
        <v>13919</v>
      </c>
      <c r="D5042" t="s">
        <v>3633</v>
      </c>
      <c r="E5042" t="s">
        <v>3461</v>
      </c>
      <c r="F5042">
        <v>200</v>
      </c>
      <c r="G5042">
        <v>231010</v>
      </c>
      <c r="H5042">
        <v>4346</v>
      </c>
      <c r="I5042" t="s">
        <v>197</v>
      </c>
      <c r="J5042">
        <v>200</v>
      </c>
      <c r="K5042">
        <v>0</v>
      </c>
      <c r="L5042">
        <v>13601</v>
      </c>
      <c r="M5042" t="s">
        <v>147</v>
      </c>
      <c r="N5042" t="str">
        <f>"101023      "</f>
        <v xml:space="preserve">101023      </v>
      </c>
      <c r="O5042">
        <v>231016</v>
      </c>
    </row>
    <row r="5043" spans="1:15" x14ac:dyDescent="0.25">
      <c r="A5043" t="s">
        <v>16</v>
      </c>
      <c r="B5043" t="s">
        <v>3221</v>
      </c>
      <c r="C5043">
        <v>13919</v>
      </c>
      <c r="D5043" t="s">
        <v>3633</v>
      </c>
      <c r="E5043" t="s">
        <v>3461</v>
      </c>
      <c r="F5043">
        <v>805</v>
      </c>
      <c r="G5043">
        <v>231010</v>
      </c>
      <c r="H5043">
        <v>4520</v>
      </c>
      <c r="I5043" t="s">
        <v>254</v>
      </c>
      <c r="J5043">
        <v>805</v>
      </c>
      <c r="K5043">
        <v>0</v>
      </c>
      <c r="L5043">
        <v>13601</v>
      </c>
      <c r="M5043" t="s">
        <v>147</v>
      </c>
      <c r="N5043" t="str">
        <f>"101023      "</f>
        <v xml:space="preserve">101023      </v>
      </c>
      <c r="O5043">
        <v>231016</v>
      </c>
    </row>
    <row r="5044" spans="1:15" x14ac:dyDescent="0.25">
      <c r="A5044" t="s">
        <v>16</v>
      </c>
      <c r="B5044" t="s">
        <v>3221</v>
      </c>
      <c r="C5044">
        <v>6558</v>
      </c>
      <c r="D5044" t="s">
        <v>3633</v>
      </c>
      <c r="E5044" t="s">
        <v>3461</v>
      </c>
      <c r="F5044">
        <v>60</v>
      </c>
      <c r="G5044">
        <v>230505</v>
      </c>
      <c r="H5044">
        <v>4380</v>
      </c>
      <c r="I5044" t="s">
        <v>113</v>
      </c>
      <c r="J5044">
        <v>60</v>
      </c>
      <c r="K5044">
        <v>0</v>
      </c>
      <c r="L5044">
        <v>13501</v>
      </c>
      <c r="M5044" t="s">
        <v>20</v>
      </c>
      <c r="N5044" t="str">
        <f>"110523/2    "</f>
        <v xml:space="preserve">110523/2    </v>
      </c>
      <c r="O5044">
        <v>230515</v>
      </c>
    </row>
    <row r="5045" spans="1:15" x14ac:dyDescent="0.25">
      <c r="A5045" t="s">
        <v>16</v>
      </c>
      <c r="B5045" t="s">
        <v>3221</v>
      </c>
      <c r="C5045">
        <v>6557</v>
      </c>
      <c r="D5045" t="s">
        <v>3633</v>
      </c>
      <c r="E5045" t="s">
        <v>3461</v>
      </c>
      <c r="F5045">
        <v>120</v>
      </c>
      <c r="G5045">
        <v>230505</v>
      </c>
      <c r="H5045">
        <v>4820</v>
      </c>
      <c r="I5045" t="s">
        <v>50</v>
      </c>
      <c r="J5045">
        <v>120</v>
      </c>
      <c r="K5045">
        <v>0</v>
      </c>
      <c r="L5045">
        <v>13641</v>
      </c>
      <c r="M5045" t="s">
        <v>1471</v>
      </c>
      <c r="N5045" t="str">
        <f>"110523      "</f>
        <v xml:space="preserve">110523      </v>
      </c>
      <c r="O5045">
        <v>230515</v>
      </c>
    </row>
    <row r="5046" spans="1:15" x14ac:dyDescent="0.25">
      <c r="A5046" t="s">
        <v>16</v>
      </c>
      <c r="B5046" t="s">
        <v>3221</v>
      </c>
      <c r="C5046">
        <v>6558</v>
      </c>
      <c r="D5046" t="s">
        <v>3633</v>
      </c>
      <c r="E5046" t="s">
        <v>3461</v>
      </c>
      <c r="F5046">
        <v>960</v>
      </c>
      <c r="G5046">
        <v>230505</v>
      </c>
      <c r="H5046">
        <v>4820</v>
      </c>
      <c r="I5046" t="s">
        <v>50</v>
      </c>
      <c r="J5046">
        <v>960</v>
      </c>
      <c r="K5046">
        <v>0</v>
      </c>
      <c r="L5046">
        <v>13501</v>
      </c>
      <c r="M5046" t="s">
        <v>20</v>
      </c>
      <c r="N5046" t="str">
        <f>"110523/2    "</f>
        <v xml:space="preserve">110523/2    </v>
      </c>
      <c r="O5046">
        <v>230515</v>
      </c>
    </row>
    <row r="5047" spans="1:15" x14ac:dyDescent="0.25">
      <c r="A5047" t="s">
        <v>16</v>
      </c>
      <c r="B5047" t="s">
        <v>3221</v>
      </c>
      <c r="C5047">
        <v>13919</v>
      </c>
      <c r="D5047" t="s">
        <v>3633</v>
      </c>
      <c r="E5047" t="s">
        <v>3461</v>
      </c>
      <c r="F5047">
        <v>120</v>
      </c>
      <c r="G5047">
        <v>231010</v>
      </c>
      <c r="H5047">
        <v>4820</v>
      </c>
      <c r="I5047" t="s">
        <v>50</v>
      </c>
      <c r="J5047">
        <v>120</v>
      </c>
      <c r="K5047">
        <v>0</v>
      </c>
      <c r="L5047">
        <v>13841</v>
      </c>
      <c r="M5047" t="s">
        <v>47</v>
      </c>
      <c r="N5047" t="str">
        <f>"101023      "</f>
        <v xml:space="preserve">101023      </v>
      </c>
      <c r="O5047">
        <v>231016</v>
      </c>
    </row>
    <row r="5048" spans="1:15" x14ac:dyDescent="0.25">
      <c r="A5048" t="s">
        <v>16</v>
      </c>
      <c r="B5048" t="s">
        <v>3221</v>
      </c>
      <c r="C5048">
        <v>1198</v>
      </c>
      <c r="D5048" t="s">
        <v>943</v>
      </c>
      <c r="E5048" t="s">
        <v>944</v>
      </c>
      <c r="F5048">
        <v>41.85</v>
      </c>
      <c r="G5048">
        <v>230131</v>
      </c>
      <c r="H5048">
        <v>4362</v>
      </c>
      <c r="I5048" t="s">
        <v>79</v>
      </c>
      <c r="J5048">
        <v>51.9</v>
      </c>
      <c r="K5048">
        <v>10.050000000000001</v>
      </c>
      <c r="L5048">
        <v>11603</v>
      </c>
      <c r="M5048" t="s">
        <v>945</v>
      </c>
      <c r="N5048" t="str">
        <f t="shared" ref="N5048:N5056" si="98">"179468      "</f>
        <v xml:space="preserve">179468      </v>
      </c>
      <c r="O5048">
        <v>230206</v>
      </c>
    </row>
    <row r="5049" spans="1:15" x14ac:dyDescent="0.25">
      <c r="A5049" t="s">
        <v>16</v>
      </c>
      <c r="B5049" t="s">
        <v>3221</v>
      </c>
      <c r="C5049">
        <v>1198</v>
      </c>
      <c r="D5049" t="s">
        <v>943</v>
      </c>
      <c r="E5049" t="s">
        <v>944</v>
      </c>
      <c r="F5049">
        <v>8.2200000000000006</v>
      </c>
      <c r="G5049">
        <v>230131</v>
      </c>
      <c r="H5049">
        <v>4362</v>
      </c>
      <c r="I5049" t="s">
        <v>79</v>
      </c>
      <c r="J5049">
        <v>10.19</v>
      </c>
      <c r="K5049">
        <v>1.97</v>
      </c>
      <c r="L5049">
        <v>13540</v>
      </c>
      <c r="M5049" t="s">
        <v>85</v>
      </c>
      <c r="N5049" t="str">
        <f t="shared" si="98"/>
        <v xml:space="preserve">179468      </v>
      </c>
      <c r="O5049">
        <v>230206</v>
      </c>
    </row>
    <row r="5050" spans="1:15" x14ac:dyDescent="0.25">
      <c r="A5050" t="s">
        <v>16</v>
      </c>
      <c r="B5050" t="s">
        <v>3221</v>
      </c>
      <c r="C5050">
        <v>1198</v>
      </c>
      <c r="D5050" t="s">
        <v>943</v>
      </c>
      <c r="E5050" t="s">
        <v>944</v>
      </c>
      <c r="F5050">
        <v>26.75</v>
      </c>
      <c r="G5050">
        <v>230131</v>
      </c>
      <c r="H5050">
        <v>4362</v>
      </c>
      <c r="I5050" t="s">
        <v>79</v>
      </c>
      <c r="J5050">
        <v>33.17</v>
      </c>
      <c r="K5050">
        <v>6.42</v>
      </c>
      <c r="L5050">
        <v>17538</v>
      </c>
      <c r="M5050" t="s">
        <v>24</v>
      </c>
      <c r="N5050" t="str">
        <f t="shared" si="98"/>
        <v xml:space="preserve">179468      </v>
      </c>
      <c r="O5050">
        <v>230206</v>
      </c>
    </row>
    <row r="5051" spans="1:15" x14ac:dyDescent="0.25">
      <c r="A5051" t="s">
        <v>16</v>
      </c>
      <c r="B5051" t="s">
        <v>3221</v>
      </c>
      <c r="C5051">
        <v>1198</v>
      </c>
      <c r="D5051" t="s">
        <v>943</v>
      </c>
      <c r="E5051" t="s">
        <v>944</v>
      </c>
      <c r="F5051">
        <v>7.99</v>
      </c>
      <c r="G5051">
        <v>230131</v>
      </c>
      <c r="H5051">
        <v>4362</v>
      </c>
      <c r="I5051" t="s">
        <v>79</v>
      </c>
      <c r="J5051">
        <v>9.91</v>
      </c>
      <c r="K5051">
        <v>1.92</v>
      </c>
      <c r="L5051">
        <v>17539</v>
      </c>
      <c r="M5051" t="s">
        <v>946</v>
      </c>
      <c r="N5051" t="str">
        <f t="shared" si="98"/>
        <v xml:space="preserve">179468      </v>
      </c>
      <c r="O5051">
        <v>230206</v>
      </c>
    </row>
    <row r="5052" spans="1:15" x14ac:dyDescent="0.25">
      <c r="A5052" t="s">
        <v>16</v>
      </c>
      <c r="B5052" t="s">
        <v>3221</v>
      </c>
      <c r="C5052">
        <v>1198</v>
      </c>
      <c r="D5052" t="s">
        <v>943</v>
      </c>
      <c r="E5052" t="s">
        <v>944</v>
      </c>
      <c r="F5052">
        <v>56.02</v>
      </c>
      <c r="G5052">
        <v>230131</v>
      </c>
      <c r="H5052">
        <v>4362</v>
      </c>
      <c r="I5052" t="s">
        <v>79</v>
      </c>
      <c r="J5052">
        <v>69.47</v>
      </c>
      <c r="K5052">
        <v>13.45</v>
      </c>
      <c r="L5052">
        <v>17950</v>
      </c>
      <c r="M5052" t="s">
        <v>86</v>
      </c>
      <c r="N5052" t="str">
        <f t="shared" si="98"/>
        <v xml:space="preserve">179468      </v>
      </c>
      <c r="O5052">
        <v>230206</v>
      </c>
    </row>
    <row r="5053" spans="1:15" x14ac:dyDescent="0.25">
      <c r="A5053" t="s">
        <v>16</v>
      </c>
      <c r="B5053" t="s">
        <v>3221</v>
      </c>
      <c r="C5053">
        <v>1198</v>
      </c>
      <c r="D5053" t="s">
        <v>943</v>
      </c>
      <c r="E5053" t="s">
        <v>944</v>
      </c>
      <c r="F5053">
        <v>37.68</v>
      </c>
      <c r="G5053">
        <v>230131</v>
      </c>
      <c r="H5053">
        <v>4362</v>
      </c>
      <c r="I5053" t="s">
        <v>79</v>
      </c>
      <c r="J5053">
        <v>46.72</v>
      </c>
      <c r="K5053">
        <v>9.0399999999999991</v>
      </c>
      <c r="L5053">
        <v>17951</v>
      </c>
      <c r="M5053" t="s">
        <v>87</v>
      </c>
      <c r="N5053" t="str">
        <f t="shared" si="98"/>
        <v xml:space="preserve">179468      </v>
      </c>
      <c r="O5053">
        <v>230206</v>
      </c>
    </row>
    <row r="5054" spans="1:15" x14ac:dyDescent="0.25">
      <c r="A5054" t="s">
        <v>16</v>
      </c>
      <c r="B5054" t="s">
        <v>3221</v>
      </c>
      <c r="C5054">
        <v>1198</v>
      </c>
      <c r="D5054" t="s">
        <v>943</v>
      </c>
      <c r="E5054" t="s">
        <v>944</v>
      </c>
      <c r="F5054">
        <v>10.46</v>
      </c>
      <c r="G5054">
        <v>230131</v>
      </c>
      <c r="H5054">
        <v>4362</v>
      </c>
      <c r="I5054" t="s">
        <v>79</v>
      </c>
      <c r="J5054">
        <v>12.97</v>
      </c>
      <c r="K5054">
        <v>2.5099999999999998</v>
      </c>
      <c r="L5054">
        <v>17956</v>
      </c>
      <c r="M5054" t="s">
        <v>53</v>
      </c>
      <c r="N5054" t="str">
        <f t="shared" si="98"/>
        <v xml:space="preserve">179468      </v>
      </c>
      <c r="O5054">
        <v>230206</v>
      </c>
    </row>
    <row r="5055" spans="1:15" x14ac:dyDescent="0.25">
      <c r="A5055" t="s">
        <v>16</v>
      </c>
      <c r="B5055" t="s">
        <v>3221</v>
      </c>
      <c r="C5055">
        <v>1198</v>
      </c>
      <c r="D5055" t="s">
        <v>943</v>
      </c>
      <c r="E5055" t="s">
        <v>944</v>
      </c>
      <c r="F5055">
        <v>63</v>
      </c>
      <c r="G5055">
        <v>230131</v>
      </c>
      <c r="H5055">
        <v>4362</v>
      </c>
      <c r="I5055" t="s">
        <v>79</v>
      </c>
      <c r="J5055">
        <v>78.12</v>
      </c>
      <c r="K5055">
        <v>15.12</v>
      </c>
      <c r="L5055">
        <v>17956</v>
      </c>
      <c r="M5055" t="s">
        <v>53</v>
      </c>
      <c r="N5055" t="str">
        <f t="shared" si="98"/>
        <v xml:space="preserve">179468      </v>
      </c>
      <c r="O5055">
        <v>230206</v>
      </c>
    </row>
    <row r="5056" spans="1:15" x14ac:dyDescent="0.25">
      <c r="A5056" t="s">
        <v>16</v>
      </c>
      <c r="B5056" t="s">
        <v>3221</v>
      </c>
      <c r="C5056">
        <v>1198</v>
      </c>
      <c r="D5056" t="s">
        <v>943</v>
      </c>
      <c r="E5056" t="s">
        <v>944</v>
      </c>
      <c r="F5056">
        <v>16.14</v>
      </c>
      <c r="G5056">
        <v>230131</v>
      </c>
      <c r="H5056">
        <v>4362</v>
      </c>
      <c r="I5056" t="s">
        <v>79</v>
      </c>
      <c r="J5056">
        <v>20.010000000000002</v>
      </c>
      <c r="K5056">
        <v>3.87</v>
      </c>
      <c r="L5056">
        <v>17971</v>
      </c>
      <c r="M5056" t="s">
        <v>138</v>
      </c>
      <c r="N5056" t="str">
        <f t="shared" si="98"/>
        <v xml:space="preserve">179468      </v>
      </c>
      <c r="O5056">
        <v>230206</v>
      </c>
    </row>
    <row r="5057" spans="1:15" x14ac:dyDescent="0.25">
      <c r="A5057" t="s">
        <v>16</v>
      </c>
      <c r="B5057" t="s">
        <v>3221</v>
      </c>
      <c r="C5057">
        <v>3409</v>
      </c>
      <c r="D5057" t="s">
        <v>943</v>
      </c>
      <c r="E5057" t="s">
        <v>944</v>
      </c>
      <c r="F5057">
        <v>41.85</v>
      </c>
      <c r="G5057">
        <v>230228</v>
      </c>
      <c r="H5057">
        <v>4362</v>
      </c>
      <c r="I5057" t="s">
        <v>79</v>
      </c>
      <c r="J5057">
        <v>51.9</v>
      </c>
      <c r="K5057">
        <v>10.050000000000001</v>
      </c>
      <c r="L5057">
        <v>11603</v>
      </c>
      <c r="M5057" t="s">
        <v>945</v>
      </c>
      <c r="N5057" t="str">
        <f t="shared" ref="N5057:N5066" si="99">"182565      "</f>
        <v xml:space="preserve">182565      </v>
      </c>
      <c r="O5057">
        <v>230315</v>
      </c>
    </row>
    <row r="5058" spans="1:15" x14ac:dyDescent="0.25">
      <c r="A5058" t="s">
        <v>16</v>
      </c>
      <c r="B5058" t="s">
        <v>3221</v>
      </c>
      <c r="C5058">
        <v>3409</v>
      </c>
      <c r="D5058" t="s">
        <v>943</v>
      </c>
      <c r="E5058" t="s">
        <v>944</v>
      </c>
      <c r="F5058">
        <v>8.23</v>
      </c>
      <c r="G5058">
        <v>230228</v>
      </c>
      <c r="H5058">
        <v>4362</v>
      </c>
      <c r="I5058" t="s">
        <v>79</v>
      </c>
      <c r="J5058">
        <v>10.210000000000001</v>
      </c>
      <c r="K5058">
        <v>1.98</v>
      </c>
      <c r="L5058">
        <v>13540</v>
      </c>
      <c r="M5058" t="s">
        <v>85</v>
      </c>
      <c r="N5058" t="str">
        <f t="shared" si="99"/>
        <v xml:space="preserve">182565      </v>
      </c>
      <c r="O5058">
        <v>230315</v>
      </c>
    </row>
    <row r="5059" spans="1:15" x14ac:dyDescent="0.25">
      <c r="A5059" t="s">
        <v>16</v>
      </c>
      <c r="B5059" t="s">
        <v>3221</v>
      </c>
      <c r="C5059">
        <v>3409</v>
      </c>
      <c r="D5059" t="s">
        <v>943</v>
      </c>
      <c r="E5059" t="s">
        <v>944</v>
      </c>
      <c r="F5059">
        <v>26.75</v>
      </c>
      <c r="G5059">
        <v>230228</v>
      </c>
      <c r="H5059">
        <v>4362</v>
      </c>
      <c r="I5059" t="s">
        <v>79</v>
      </c>
      <c r="J5059">
        <v>33.17</v>
      </c>
      <c r="K5059">
        <v>6.42</v>
      </c>
      <c r="L5059">
        <v>17538</v>
      </c>
      <c r="M5059" t="s">
        <v>24</v>
      </c>
      <c r="N5059" t="str">
        <f t="shared" si="99"/>
        <v xml:space="preserve">182565      </v>
      </c>
      <c r="O5059">
        <v>230315</v>
      </c>
    </row>
    <row r="5060" spans="1:15" x14ac:dyDescent="0.25">
      <c r="A5060" t="s">
        <v>16</v>
      </c>
      <c r="B5060" t="s">
        <v>3221</v>
      </c>
      <c r="C5060">
        <v>3409</v>
      </c>
      <c r="D5060" t="s">
        <v>943</v>
      </c>
      <c r="E5060" t="s">
        <v>944</v>
      </c>
      <c r="F5060">
        <v>8</v>
      </c>
      <c r="G5060">
        <v>230228</v>
      </c>
      <c r="H5060">
        <v>4362</v>
      </c>
      <c r="I5060" t="s">
        <v>79</v>
      </c>
      <c r="J5060">
        <v>9.92</v>
      </c>
      <c r="K5060">
        <v>1.92</v>
      </c>
      <c r="L5060">
        <v>17539</v>
      </c>
      <c r="M5060" t="s">
        <v>946</v>
      </c>
      <c r="N5060" t="str">
        <f t="shared" si="99"/>
        <v xml:space="preserve">182565      </v>
      </c>
      <c r="O5060">
        <v>230315</v>
      </c>
    </row>
    <row r="5061" spans="1:15" x14ac:dyDescent="0.25">
      <c r="A5061" t="s">
        <v>16</v>
      </c>
      <c r="B5061" t="s">
        <v>3221</v>
      </c>
      <c r="C5061">
        <v>3409</v>
      </c>
      <c r="D5061" t="s">
        <v>943</v>
      </c>
      <c r="E5061" t="s">
        <v>944</v>
      </c>
      <c r="F5061">
        <v>56.16</v>
      </c>
      <c r="G5061">
        <v>230228</v>
      </c>
      <c r="H5061">
        <v>4362</v>
      </c>
      <c r="I5061" t="s">
        <v>79</v>
      </c>
      <c r="J5061">
        <v>69.64</v>
      </c>
      <c r="K5061">
        <v>13.48</v>
      </c>
      <c r="L5061">
        <v>17950</v>
      </c>
      <c r="M5061" t="s">
        <v>86</v>
      </c>
      <c r="N5061" t="str">
        <f t="shared" si="99"/>
        <v xml:space="preserve">182565      </v>
      </c>
      <c r="O5061">
        <v>230315</v>
      </c>
    </row>
    <row r="5062" spans="1:15" x14ac:dyDescent="0.25">
      <c r="A5062" t="s">
        <v>16</v>
      </c>
      <c r="B5062" t="s">
        <v>3221</v>
      </c>
      <c r="C5062">
        <v>3409</v>
      </c>
      <c r="D5062" t="s">
        <v>943</v>
      </c>
      <c r="E5062" t="s">
        <v>944</v>
      </c>
      <c r="F5062">
        <v>37.68</v>
      </c>
      <c r="G5062">
        <v>230228</v>
      </c>
      <c r="H5062">
        <v>4362</v>
      </c>
      <c r="I5062" t="s">
        <v>79</v>
      </c>
      <c r="J5062">
        <v>46.72</v>
      </c>
      <c r="K5062">
        <v>9.0399999999999991</v>
      </c>
      <c r="L5062">
        <v>17951</v>
      </c>
      <c r="M5062" t="s">
        <v>87</v>
      </c>
      <c r="N5062" t="str">
        <f t="shared" si="99"/>
        <v xml:space="preserve">182565      </v>
      </c>
      <c r="O5062">
        <v>230315</v>
      </c>
    </row>
    <row r="5063" spans="1:15" x14ac:dyDescent="0.25">
      <c r="A5063" t="s">
        <v>16</v>
      </c>
      <c r="B5063" t="s">
        <v>3221</v>
      </c>
      <c r="C5063">
        <v>3409</v>
      </c>
      <c r="D5063" t="s">
        <v>943</v>
      </c>
      <c r="E5063" t="s">
        <v>944</v>
      </c>
      <c r="F5063">
        <v>10.48</v>
      </c>
      <c r="G5063">
        <v>230228</v>
      </c>
      <c r="H5063">
        <v>4362</v>
      </c>
      <c r="I5063" t="s">
        <v>79</v>
      </c>
      <c r="J5063">
        <v>13</v>
      </c>
      <c r="K5063">
        <v>2.52</v>
      </c>
      <c r="L5063">
        <v>17956</v>
      </c>
      <c r="M5063" t="s">
        <v>53</v>
      </c>
      <c r="N5063" t="str">
        <f t="shared" si="99"/>
        <v xml:space="preserve">182565      </v>
      </c>
      <c r="O5063">
        <v>230315</v>
      </c>
    </row>
    <row r="5064" spans="1:15" x14ac:dyDescent="0.25">
      <c r="A5064" t="s">
        <v>16</v>
      </c>
      <c r="B5064" t="s">
        <v>3221</v>
      </c>
      <c r="C5064">
        <v>3409</v>
      </c>
      <c r="D5064" t="s">
        <v>943</v>
      </c>
      <c r="E5064" t="s">
        <v>944</v>
      </c>
      <c r="F5064">
        <v>63</v>
      </c>
      <c r="G5064">
        <v>230228</v>
      </c>
      <c r="H5064">
        <v>4362</v>
      </c>
      <c r="I5064" t="s">
        <v>79</v>
      </c>
      <c r="J5064">
        <v>78.12</v>
      </c>
      <c r="K5064">
        <v>15.12</v>
      </c>
      <c r="L5064">
        <v>17956</v>
      </c>
      <c r="M5064" t="s">
        <v>53</v>
      </c>
      <c r="N5064" t="str">
        <f t="shared" si="99"/>
        <v xml:space="preserve">182565      </v>
      </c>
      <c r="O5064">
        <v>230315</v>
      </c>
    </row>
    <row r="5065" spans="1:15" x14ac:dyDescent="0.25">
      <c r="A5065" t="s">
        <v>16</v>
      </c>
      <c r="B5065" t="s">
        <v>3221</v>
      </c>
      <c r="C5065">
        <v>3409</v>
      </c>
      <c r="D5065" t="s">
        <v>943</v>
      </c>
      <c r="E5065" t="s">
        <v>944</v>
      </c>
      <c r="F5065">
        <v>16.14</v>
      </c>
      <c r="G5065">
        <v>230228</v>
      </c>
      <c r="H5065">
        <v>4362</v>
      </c>
      <c r="I5065" t="s">
        <v>79</v>
      </c>
      <c r="J5065">
        <v>20.010000000000002</v>
      </c>
      <c r="K5065">
        <v>3.87</v>
      </c>
      <c r="L5065">
        <v>17971</v>
      </c>
      <c r="M5065" t="s">
        <v>138</v>
      </c>
      <c r="N5065" t="str">
        <f t="shared" si="99"/>
        <v xml:space="preserve">182565      </v>
      </c>
      <c r="O5065">
        <v>230315</v>
      </c>
    </row>
    <row r="5066" spans="1:15" x14ac:dyDescent="0.25">
      <c r="A5066" t="s">
        <v>16</v>
      </c>
      <c r="B5066" t="s">
        <v>3221</v>
      </c>
      <c r="C5066">
        <v>3409</v>
      </c>
      <c r="D5066" t="s">
        <v>943</v>
      </c>
      <c r="E5066" t="s">
        <v>944</v>
      </c>
      <c r="F5066">
        <v>32.18</v>
      </c>
      <c r="G5066">
        <v>230228</v>
      </c>
      <c r="H5066">
        <v>4362</v>
      </c>
      <c r="I5066" t="s">
        <v>79</v>
      </c>
      <c r="J5066">
        <v>39.9</v>
      </c>
      <c r="K5066">
        <v>7.72</v>
      </c>
      <c r="L5066">
        <v>17972</v>
      </c>
      <c r="M5066" t="s">
        <v>248</v>
      </c>
      <c r="N5066" t="str">
        <f t="shared" si="99"/>
        <v xml:space="preserve">182565      </v>
      </c>
      <c r="O5066">
        <v>230315</v>
      </c>
    </row>
    <row r="5067" spans="1:15" x14ac:dyDescent="0.25">
      <c r="A5067" t="s">
        <v>16</v>
      </c>
      <c r="B5067" t="s">
        <v>3221</v>
      </c>
      <c r="C5067">
        <v>4504</v>
      </c>
      <c r="D5067" t="s">
        <v>943</v>
      </c>
      <c r="E5067" t="s">
        <v>944</v>
      </c>
      <c r="F5067">
        <v>41.85</v>
      </c>
      <c r="G5067">
        <v>230331</v>
      </c>
      <c r="H5067">
        <v>4362</v>
      </c>
      <c r="I5067" t="s">
        <v>79</v>
      </c>
      <c r="J5067">
        <v>51.9</v>
      </c>
      <c r="K5067">
        <v>10.050000000000001</v>
      </c>
      <c r="L5067">
        <v>11603</v>
      </c>
      <c r="M5067" t="s">
        <v>945</v>
      </c>
      <c r="N5067" t="str">
        <f t="shared" ref="N5067:N5076" si="100">"185718      "</f>
        <v xml:space="preserve">185718      </v>
      </c>
      <c r="O5067">
        <v>230406</v>
      </c>
    </row>
    <row r="5068" spans="1:15" x14ac:dyDescent="0.25">
      <c r="A5068" t="s">
        <v>16</v>
      </c>
      <c r="B5068" t="s">
        <v>3221</v>
      </c>
      <c r="C5068">
        <v>4504</v>
      </c>
      <c r="D5068" t="s">
        <v>943</v>
      </c>
      <c r="E5068" t="s">
        <v>944</v>
      </c>
      <c r="F5068">
        <v>8.26</v>
      </c>
      <c r="G5068">
        <v>230331</v>
      </c>
      <c r="H5068">
        <v>4362</v>
      </c>
      <c r="I5068" t="s">
        <v>79</v>
      </c>
      <c r="J5068">
        <v>10.24</v>
      </c>
      <c r="K5068">
        <v>1.98</v>
      </c>
      <c r="L5068">
        <v>13540</v>
      </c>
      <c r="M5068" t="s">
        <v>85</v>
      </c>
      <c r="N5068" t="str">
        <f t="shared" si="100"/>
        <v xml:space="preserve">185718      </v>
      </c>
      <c r="O5068">
        <v>230406</v>
      </c>
    </row>
    <row r="5069" spans="1:15" x14ac:dyDescent="0.25">
      <c r="A5069" t="s">
        <v>16</v>
      </c>
      <c r="B5069" t="s">
        <v>3221</v>
      </c>
      <c r="C5069">
        <v>4504</v>
      </c>
      <c r="D5069" t="s">
        <v>943</v>
      </c>
      <c r="E5069" t="s">
        <v>944</v>
      </c>
      <c r="F5069">
        <v>26.75</v>
      </c>
      <c r="G5069">
        <v>230331</v>
      </c>
      <c r="H5069">
        <v>4362</v>
      </c>
      <c r="I5069" t="s">
        <v>79</v>
      </c>
      <c r="J5069">
        <v>33.17</v>
      </c>
      <c r="K5069">
        <v>6.42</v>
      </c>
      <c r="L5069">
        <v>17538</v>
      </c>
      <c r="M5069" t="s">
        <v>24</v>
      </c>
      <c r="N5069" t="str">
        <f t="shared" si="100"/>
        <v xml:space="preserve">185718      </v>
      </c>
      <c r="O5069">
        <v>230406</v>
      </c>
    </row>
    <row r="5070" spans="1:15" x14ac:dyDescent="0.25">
      <c r="A5070" t="s">
        <v>16</v>
      </c>
      <c r="B5070" t="s">
        <v>3221</v>
      </c>
      <c r="C5070">
        <v>4504</v>
      </c>
      <c r="D5070" t="s">
        <v>943</v>
      </c>
      <c r="E5070" t="s">
        <v>944</v>
      </c>
      <c r="F5070">
        <v>8</v>
      </c>
      <c r="G5070">
        <v>230331</v>
      </c>
      <c r="H5070">
        <v>4362</v>
      </c>
      <c r="I5070" t="s">
        <v>79</v>
      </c>
      <c r="J5070">
        <v>9.92</v>
      </c>
      <c r="K5070">
        <v>1.92</v>
      </c>
      <c r="L5070">
        <v>17539</v>
      </c>
      <c r="M5070" t="s">
        <v>946</v>
      </c>
      <c r="N5070" t="str">
        <f t="shared" si="100"/>
        <v xml:space="preserve">185718      </v>
      </c>
      <c r="O5070">
        <v>230406</v>
      </c>
    </row>
    <row r="5071" spans="1:15" x14ac:dyDescent="0.25">
      <c r="A5071" t="s">
        <v>16</v>
      </c>
      <c r="B5071" t="s">
        <v>3221</v>
      </c>
      <c r="C5071">
        <v>4504</v>
      </c>
      <c r="D5071" t="s">
        <v>943</v>
      </c>
      <c r="E5071" t="s">
        <v>944</v>
      </c>
      <c r="F5071">
        <v>56.31</v>
      </c>
      <c r="G5071">
        <v>230331</v>
      </c>
      <c r="H5071">
        <v>4362</v>
      </c>
      <c r="I5071" t="s">
        <v>79</v>
      </c>
      <c r="J5071">
        <v>69.819999999999993</v>
      </c>
      <c r="K5071">
        <v>13.51</v>
      </c>
      <c r="L5071">
        <v>17950</v>
      </c>
      <c r="M5071" t="s">
        <v>86</v>
      </c>
      <c r="N5071" t="str">
        <f t="shared" si="100"/>
        <v xml:space="preserve">185718      </v>
      </c>
      <c r="O5071">
        <v>230406</v>
      </c>
    </row>
    <row r="5072" spans="1:15" x14ac:dyDescent="0.25">
      <c r="A5072" t="s">
        <v>16</v>
      </c>
      <c r="B5072" t="s">
        <v>3221</v>
      </c>
      <c r="C5072">
        <v>4504</v>
      </c>
      <c r="D5072" t="s">
        <v>943</v>
      </c>
      <c r="E5072" t="s">
        <v>944</v>
      </c>
      <c r="F5072">
        <v>37.68</v>
      </c>
      <c r="G5072">
        <v>230331</v>
      </c>
      <c r="H5072">
        <v>4362</v>
      </c>
      <c r="I5072" t="s">
        <v>79</v>
      </c>
      <c r="J5072">
        <v>46.72</v>
      </c>
      <c r="K5072">
        <v>9.0399999999999991</v>
      </c>
      <c r="L5072">
        <v>17951</v>
      </c>
      <c r="M5072" t="s">
        <v>87</v>
      </c>
      <c r="N5072" t="str">
        <f t="shared" si="100"/>
        <v xml:space="preserve">185718      </v>
      </c>
      <c r="O5072">
        <v>230406</v>
      </c>
    </row>
    <row r="5073" spans="1:15" x14ac:dyDescent="0.25">
      <c r="A5073" t="s">
        <v>16</v>
      </c>
      <c r="B5073" t="s">
        <v>3221</v>
      </c>
      <c r="C5073">
        <v>4504</v>
      </c>
      <c r="D5073" t="s">
        <v>943</v>
      </c>
      <c r="E5073" t="s">
        <v>944</v>
      </c>
      <c r="F5073">
        <v>10.51</v>
      </c>
      <c r="G5073">
        <v>230331</v>
      </c>
      <c r="H5073">
        <v>4362</v>
      </c>
      <c r="I5073" t="s">
        <v>79</v>
      </c>
      <c r="J5073">
        <v>13.03</v>
      </c>
      <c r="K5073">
        <v>2.52</v>
      </c>
      <c r="L5073">
        <v>17956</v>
      </c>
      <c r="M5073" t="s">
        <v>53</v>
      </c>
      <c r="N5073" t="str">
        <f t="shared" si="100"/>
        <v xml:space="preserve">185718      </v>
      </c>
      <c r="O5073">
        <v>230406</v>
      </c>
    </row>
    <row r="5074" spans="1:15" x14ac:dyDescent="0.25">
      <c r="A5074" t="s">
        <v>16</v>
      </c>
      <c r="B5074" t="s">
        <v>3221</v>
      </c>
      <c r="C5074">
        <v>4504</v>
      </c>
      <c r="D5074" t="s">
        <v>943</v>
      </c>
      <c r="E5074" t="s">
        <v>944</v>
      </c>
      <c r="F5074">
        <v>63</v>
      </c>
      <c r="G5074">
        <v>230331</v>
      </c>
      <c r="H5074">
        <v>4362</v>
      </c>
      <c r="I5074" t="s">
        <v>79</v>
      </c>
      <c r="J5074">
        <v>78.12</v>
      </c>
      <c r="K5074">
        <v>15.12</v>
      </c>
      <c r="L5074">
        <v>17956</v>
      </c>
      <c r="M5074" t="s">
        <v>53</v>
      </c>
      <c r="N5074" t="str">
        <f t="shared" si="100"/>
        <v xml:space="preserve">185718      </v>
      </c>
      <c r="O5074">
        <v>230406</v>
      </c>
    </row>
    <row r="5075" spans="1:15" x14ac:dyDescent="0.25">
      <c r="A5075" t="s">
        <v>16</v>
      </c>
      <c r="B5075" t="s">
        <v>3221</v>
      </c>
      <c r="C5075">
        <v>4504</v>
      </c>
      <c r="D5075" t="s">
        <v>943</v>
      </c>
      <c r="E5075" t="s">
        <v>944</v>
      </c>
      <c r="F5075">
        <v>16.14</v>
      </c>
      <c r="G5075">
        <v>230331</v>
      </c>
      <c r="H5075">
        <v>4362</v>
      </c>
      <c r="I5075" t="s">
        <v>79</v>
      </c>
      <c r="J5075">
        <v>20.010000000000002</v>
      </c>
      <c r="K5075">
        <v>3.87</v>
      </c>
      <c r="L5075">
        <v>17971</v>
      </c>
      <c r="M5075" t="s">
        <v>138</v>
      </c>
      <c r="N5075" t="str">
        <f t="shared" si="100"/>
        <v xml:space="preserve">185718      </v>
      </c>
      <c r="O5075">
        <v>230406</v>
      </c>
    </row>
    <row r="5076" spans="1:15" x14ac:dyDescent="0.25">
      <c r="A5076" t="s">
        <v>16</v>
      </c>
      <c r="B5076" t="s">
        <v>3221</v>
      </c>
      <c r="C5076">
        <v>4504</v>
      </c>
      <c r="D5076" t="s">
        <v>943</v>
      </c>
      <c r="E5076" t="s">
        <v>944</v>
      </c>
      <c r="F5076">
        <v>32.18</v>
      </c>
      <c r="G5076">
        <v>230331</v>
      </c>
      <c r="H5076">
        <v>4362</v>
      </c>
      <c r="I5076" t="s">
        <v>79</v>
      </c>
      <c r="J5076">
        <v>39.9</v>
      </c>
      <c r="K5076">
        <v>7.72</v>
      </c>
      <c r="L5076">
        <v>17971</v>
      </c>
      <c r="M5076" t="s">
        <v>138</v>
      </c>
      <c r="N5076" t="str">
        <f t="shared" si="100"/>
        <v xml:space="preserve">185718      </v>
      </c>
      <c r="O5076">
        <v>230406</v>
      </c>
    </row>
    <row r="5077" spans="1:15" x14ac:dyDescent="0.25">
      <c r="A5077" t="s">
        <v>16</v>
      </c>
      <c r="B5077" t="s">
        <v>3221</v>
      </c>
      <c r="C5077">
        <v>6855</v>
      </c>
      <c r="D5077" t="s">
        <v>943</v>
      </c>
      <c r="E5077" t="s">
        <v>944</v>
      </c>
      <c r="F5077">
        <v>41.85</v>
      </c>
      <c r="G5077">
        <v>230430</v>
      </c>
      <c r="H5077">
        <v>4362</v>
      </c>
      <c r="I5077" t="s">
        <v>79</v>
      </c>
      <c r="J5077">
        <v>51.9</v>
      </c>
      <c r="K5077">
        <v>10.050000000000001</v>
      </c>
      <c r="L5077">
        <v>11603</v>
      </c>
      <c r="M5077" t="s">
        <v>945</v>
      </c>
      <c r="N5077" t="str">
        <f t="shared" ref="N5077:N5086" si="101">"188853      "</f>
        <v xml:space="preserve">188853      </v>
      </c>
      <c r="O5077">
        <v>230523</v>
      </c>
    </row>
    <row r="5078" spans="1:15" x14ac:dyDescent="0.25">
      <c r="A5078" t="s">
        <v>16</v>
      </c>
      <c r="B5078" t="s">
        <v>3221</v>
      </c>
      <c r="C5078">
        <v>6855</v>
      </c>
      <c r="D5078" t="s">
        <v>943</v>
      </c>
      <c r="E5078" t="s">
        <v>944</v>
      </c>
      <c r="F5078">
        <v>8.1999999999999993</v>
      </c>
      <c r="G5078">
        <v>230430</v>
      </c>
      <c r="H5078">
        <v>4362</v>
      </c>
      <c r="I5078" t="s">
        <v>79</v>
      </c>
      <c r="J5078">
        <v>10.17</v>
      </c>
      <c r="K5078">
        <v>1.97</v>
      </c>
      <c r="L5078">
        <v>13540</v>
      </c>
      <c r="M5078" t="s">
        <v>85</v>
      </c>
      <c r="N5078" t="str">
        <f t="shared" si="101"/>
        <v xml:space="preserve">188853      </v>
      </c>
      <c r="O5078">
        <v>230523</v>
      </c>
    </row>
    <row r="5079" spans="1:15" x14ac:dyDescent="0.25">
      <c r="A5079" t="s">
        <v>16</v>
      </c>
      <c r="B5079" t="s">
        <v>3221</v>
      </c>
      <c r="C5079">
        <v>6855</v>
      </c>
      <c r="D5079" t="s">
        <v>943</v>
      </c>
      <c r="E5079" t="s">
        <v>944</v>
      </c>
      <c r="F5079">
        <v>26.75</v>
      </c>
      <c r="G5079">
        <v>230430</v>
      </c>
      <c r="H5079">
        <v>4362</v>
      </c>
      <c r="I5079" t="s">
        <v>79</v>
      </c>
      <c r="J5079">
        <v>33.17</v>
      </c>
      <c r="K5079">
        <v>6.42</v>
      </c>
      <c r="L5079">
        <v>17538</v>
      </c>
      <c r="M5079" t="s">
        <v>24</v>
      </c>
      <c r="N5079" t="str">
        <f t="shared" si="101"/>
        <v xml:space="preserve">188853      </v>
      </c>
      <c r="O5079">
        <v>230523</v>
      </c>
    </row>
    <row r="5080" spans="1:15" x14ac:dyDescent="0.25">
      <c r="A5080" t="s">
        <v>16</v>
      </c>
      <c r="B5080" t="s">
        <v>3221</v>
      </c>
      <c r="C5080">
        <v>6855</v>
      </c>
      <c r="D5080" t="s">
        <v>943</v>
      </c>
      <c r="E5080" t="s">
        <v>944</v>
      </c>
      <c r="F5080">
        <v>8</v>
      </c>
      <c r="G5080">
        <v>230430</v>
      </c>
      <c r="H5080">
        <v>4362</v>
      </c>
      <c r="I5080" t="s">
        <v>79</v>
      </c>
      <c r="J5080">
        <v>9.92</v>
      </c>
      <c r="K5080">
        <v>1.92</v>
      </c>
      <c r="L5080">
        <v>17539</v>
      </c>
      <c r="M5080" t="s">
        <v>946</v>
      </c>
      <c r="N5080" t="str">
        <f t="shared" si="101"/>
        <v xml:space="preserve">188853      </v>
      </c>
      <c r="O5080">
        <v>230523</v>
      </c>
    </row>
    <row r="5081" spans="1:15" x14ac:dyDescent="0.25">
      <c r="A5081" t="s">
        <v>16</v>
      </c>
      <c r="B5081" t="s">
        <v>3221</v>
      </c>
      <c r="C5081">
        <v>6855</v>
      </c>
      <c r="D5081" t="s">
        <v>943</v>
      </c>
      <c r="E5081" t="s">
        <v>944</v>
      </c>
      <c r="F5081">
        <v>55.93</v>
      </c>
      <c r="G5081">
        <v>230430</v>
      </c>
      <c r="H5081">
        <v>4362</v>
      </c>
      <c r="I5081" t="s">
        <v>79</v>
      </c>
      <c r="J5081">
        <v>69.349999999999994</v>
      </c>
      <c r="K5081">
        <v>13.42</v>
      </c>
      <c r="L5081">
        <v>17950</v>
      </c>
      <c r="M5081" t="s">
        <v>86</v>
      </c>
      <c r="N5081" t="str">
        <f t="shared" si="101"/>
        <v xml:space="preserve">188853      </v>
      </c>
      <c r="O5081">
        <v>230523</v>
      </c>
    </row>
    <row r="5082" spans="1:15" x14ac:dyDescent="0.25">
      <c r="A5082" t="s">
        <v>16</v>
      </c>
      <c r="B5082" t="s">
        <v>3221</v>
      </c>
      <c r="C5082">
        <v>6855</v>
      </c>
      <c r="D5082" t="s">
        <v>943</v>
      </c>
      <c r="E5082" t="s">
        <v>944</v>
      </c>
      <c r="F5082">
        <v>37.68</v>
      </c>
      <c r="G5082">
        <v>230430</v>
      </c>
      <c r="H5082">
        <v>4362</v>
      </c>
      <c r="I5082" t="s">
        <v>79</v>
      </c>
      <c r="J5082">
        <v>46.72</v>
      </c>
      <c r="K5082">
        <v>9.0399999999999991</v>
      </c>
      <c r="L5082">
        <v>17951</v>
      </c>
      <c r="M5082" t="s">
        <v>87</v>
      </c>
      <c r="N5082" t="str">
        <f t="shared" si="101"/>
        <v xml:space="preserve">188853      </v>
      </c>
      <c r="O5082">
        <v>230523</v>
      </c>
    </row>
    <row r="5083" spans="1:15" x14ac:dyDescent="0.25">
      <c r="A5083" t="s">
        <v>16</v>
      </c>
      <c r="B5083" t="s">
        <v>3221</v>
      </c>
      <c r="C5083">
        <v>6855</v>
      </c>
      <c r="D5083" t="s">
        <v>943</v>
      </c>
      <c r="E5083" t="s">
        <v>944</v>
      </c>
      <c r="F5083">
        <v>10.44</v>
      </c>
      <c r="G5083">
        <v>230430</v>
      </c>
      <c r="H5083">
        <v>4362</v>
      </c>
      <c r="I5083" t="s">
        <v>79</v>
      </c>
      <c r="J5083">
        <v>12.94</v>
      </c>
      <c r="K5083">
        <v>2.5</v>
      </c>
      <c r="L5083">
        <v>17956</v>
      </c>
      <c r="M5083" t="s">
        <v>53</v>
      </c>
      <c r="N5083" t="str">
        <f t="shared" si="101"/>
        <v xml:space="preserve">188853      </v>
      </c>
      <c r="O5083">
        <v>230523</v>
      </c>
    </row>
    <row r="5084" spans="1:15" x14ac:dyDescent="0.25">
      <c r="A5084" t="s">
        <v>16</v>
      </c>
      <c r="B5084" t="s">
        <v>3221</v>
      </c>
      <c r="C5084">
        <v>6855</v>
      </c>
      <c r="D5084" t="s">
        <v>943</v>
      </c>
      <c r="E5084" t="s">
        <v>944</v>
      </c>
      <c r="F5084">
        <v>63</v>
      </c>
      <c r="G5084">
        <v>230430</v>
      </c>
      <c r="H5084">
        <v>4362</v>
      </c>
      <c r="I5084" t="s">
        <v>79</v>
      </c>
      <c r="J5084">
        <v>78.12</v>
      </c>
      <c r="K5084">
        <v>15.12</v>
      </c>
      <c r="L5084">
        <v>17956</v>
      </c>
      <c r="M5084" t="s">
        <v>53</v>
      </c>
      <c r="N5084" t="str">
        <f t="shared" si="101"/>
        <v xml:space="preserve">188853      </v>
      </c>
      <c r="O5084">
        <v>230523</v>
      </c>
    </row>
    <row r="5085" spans="1:15" x14ac:dyDescent="0.25">
      <c r="A5085" t="s">
        <v>16</v>
      </c>
      <c r="B5085" t="s">
        <v>3221</v>
      </c>
      <c r="C5085">
        <v>6855</v>
      </c>
      <c r="D5085" t="s">
        <v>943</v>
      </c>
      <c r="E5085" t="s">
        <v>944</v>
      </c>
      <c r="F5085">
        <v>16.14</v>
      </c>
      <c r="G5085">
        <v>230430</v>
      </c>
      <c r="H5085">
        <v>4362</v>
      </c>
      <c r="I5085" t="s">
        <v>79</v>
      </c>
      <c r="J5085">
        <v>20.010000000000002</v>
      </c>
      <c r="K5085">
        <v>3.87</v>
      </c>
      <c r="L5085">
        <v>17971</v>
      </c>
      <c r="M5085" t="s">
        <v>138</v>
      </c>
      <c r="N5085" t="str">
        <f t="shared" si="101"/>
        <v xml:space="preserve">188853      </v>
      </c>
      <c r="O5085">
        <v>230523</v>
      </c>
    </row>
    <row r="5086" spans="1:15" x14ac:dyDescent="0.25">
      <c r="A5086" t="s">
        <v>16</v>
      </c>
      <c r="B5086" t="s">
        <v>3221</v>
      </c>
      <c r="C5086">
        <v>6855</v>
      </c>
      <c r="D5086" t="s">
        <v>943</v>
      </c>
      <c r="E5086" t="s">
        <v>944</v>
      </c>
      <c r="F5086">
        <v>32.18</v>
      </c>
      <c r="G5086">
        <v>230430</v>
      </c>
      <c r="H5086">
        <v>4362</v>
      </c>
      <c r="I5086" t="s">
        <v>79</v>
      </c>
      <c r="J5086">
        <v>39.9</v>
      </c>
      <c r="K5086">
        <v>7.72</v>
      </c>
      <c r="L5086">
        <v>17971</v>
      </c>
      <c r="M5086" t="s">
        <v>138</v>
      </c>
      <c r="N5086" t="str">
        <f t="shared" si="101"/>
        <v xml:space="preserve">188853      </v>
      </c>
      <c r="O5086">
        <v>230523</v>
      </c>
    </row>
    <row r="5087" spans="1:15" x14ac:dyDescent="0.25">
      <c r="A5087" t="s">
        <v>16</v>
      </c>
      <c r="B5087" t="s">
        <v>3221</v>
      </c>
      <c r="C5087">
        <v>8353</v>
      </c>
      <c r="D5087" t="s">
        <v>943</v>
      </c>
      <c r="E5087" t="s">
        <v>944</v>
      </c>
      <c r="F5087">
        <v>41.85</v>
      </c>
      <c r="G5087">
        <v>230531</v>
      </c>
      <c r="H5087">
        <v>4362</v>
      </c>
      <c r="I5087" t="s">
        <v>79</v>
      </c>
      <c r="J5087">
        <v>51.9</v>
      </c>
      <c r="K5087">
        <v>10.050000000000001</v>
      </c>
      <c r="L5087">
        <v>11603</v>
      </c>
      <c r="M5087" t="s">
        <v>945</v>
      </c>
      <c r="N5087" t="str">
        <f t="shared" ref="N5087:N5096" si="102">"192133      "</f>
        <v xml:space="preserve">192133      </v>
      </c>
      <c r="O5087">
        <v>230608</v>
      </c>
    </row>
    <row r="5088" spans="1:15" x14ac:dyDescent="0.25">
      <c r="A5088" t="s">
        <v>16</v>
      </c>
      <c r="B5088" t="s">
        <v>3221</v>
      </c>
      <c r="C5088">
        <v>8353</v>
      </c>
      <c r="D5088" t="s">
        <v>943</v>
      </c>
      <c r="E5088" t="s">
        <v>944</v>
      </c>
      <c r="F5088">
        <v>8.23</v>
      </c>
      <c r="G5088">
        <v>230531</v>
      </c>
      <c r="H5088">
        <v>4362</v>
      </c>
      <c r="I5088" t="s">
        <v>79</v>
      </c>
      <c r="J5088">
        <v>10.210000000000001</v>
      </c>
      <c r="K5088">
        <v>1.98</v>
      </c>
      <c r="L5088">
        <v>13540</v>
      </c>
      <c r="M5088" t="s">
        <v>85</v>
      </c>
      <c r="N5088" t="str">
        <f t="shared" si="102"/>
        <v xml:space="preserve">192133      </v>
      </c>
      <c r="O5088">
        <v>230608</v>
      </c>
    </row>
    <row r="5089" spans="1:15" x14ac:dyDescent="0.25">
      <c r="A5089" t="s">
        <v>16</v>
      </c>
      <c r="B5089" t="s">
        <v>3221</v>
      </c>
      <c r="C5089">
        <v>8353</v>
      </c>
      <c r="D5089" t="s">
        <v>943</v>
      </c>
      <c r="E5089" t="s">
        <v>944</v>
      </c>
      <c r="F5089">
        <v>26.75</v>
      </c>
      <c r="G5089">
        <v>230531</v>
      </c>
      <c r="H5089">
        <v>4362</v>
      </c>
      <c r="I5089" t="s">
        <v>79</v>
      </c>
      <c r="J5089">
        <v>33.17</v>
      </c>
      <c r="K5089">
        <v>6.42</v>
      </c>
      <c r="L5089">
        <v>17538</v>
      </c>
      <c r="M5089" t="s">
        <v>24</v>
      </c>
      <c r="N5089" t="str">
        <f t="shared" si="102"/>
        <v xml:space="preserve">192133      </v>
      </c>
      <c r="O5089">
        <v>230608</v>
      </c>
    </row>
    <row r="5090" spans="1:15" x14ac:dyDescent="0.25">
      <c r="A5090" t="s">
        <v>16</v>
      </c>
      <c r="B5090" t="s">
        <v>3221</v>
      </c>
      <c r="C5090">
        <v>8353</v>
      </c>
      <c r="D5090" t="s">
        <v>943</v>
      </c>
      <c r="E5090" t="s">
        <v>944</v>
      </c>
      <c r="F5090">
        <v>8</v>
      </c>
      <c r="G5090">
        <v>230531</v>
      </c>
      <c r="H5090">
        <v>4362</v>
      </c>
      <c r="I5090" t="s">
        <v>79</v>
      </c>
      <c r="J5090">
        <v>9.92</v>
      </c>
      <c r="K5090">
        <v>1.92</v>
      </c>
      <c r="L5090">
        <v>17539</v>
      </c>
      <c r="M5090" t="s">
        <v>946</v>
      </c>
      <c r="N5090" t="str">
        <f t="shared" si="102"/>
        <v xml:space="preserve">192133      </v>
      </c>
      <c r="O5090">
        <v>230608</v>
      </c>
    </row>
    <row r="5091" spans="1:15" x14ac:dyDescent="0.25">
      <c r="A5091" t="s">
        <v>16</v>
      </c>
      <c r="B5091" t="s">
        <v>3221</v>
      </c>
      <c r="C5091">
        <v>8353</v>
      </c>
      <c r="D5091" t="s">
        <v>943</v>
      </c>
      <c r="E5091" t="s">
        <v>944</v>
      </c>
      <c r="F5091">
        <v>56.12</v>
      </c>
      <c r="G5091">
        <v>230531</v>
      </c>
      <c r="H5091">
        <v>4362</v>
      </c>
      <c r="I5091" t="s">
        <v>79</v>
      </c>
      <c r="J5091">
        <v>69.59</v>
      </c>
      <c r="K5091">
        <v>13.47</v>
      </c>
      <c r="L5091">
        <v>17950</v>
      </c>
      <c r="M5091" t="s">
        <v>86</v>
      </c>
      <c r="N5091" t="str">
        <f t="shared" si="102"/>
        <v xml:space="preserve">192133      </v>
      </c>
      <c r="O5091">
        <v>230608</v>
      </c>
    </row>
    <row r="5092" spans="1:15" x14ac:dyDescent="0.25">
      <c r="A5092" t="s">
        <v>16</v>
      </c>
      <c r="B5092" t="s">
        <v>3221</v>
      </c>
      <c r="C5092">
        <v>8353</v>
      </c>
      <c r="D5092" t="s">
        <v>943</v>
      </c>
      <c r="E5092" t="s">
        <v>944</v>
      </c>
      <c r="F5092">
        <v>37.68</v>
      </c>
      <c r="G5092">
        <v>230531</v>
      </c>
      <c r="H5092">
        <v>4362</v>
      </c>
      <c r="I5092" t="s">
        <v>79</v>
      </c>
      <c r="J5092">
        <v>46.72</v>
      </c>
      <c r="K5092">
        <v>9.0399999999999991</v>
      </c>
      <c r="L5092">
        <v>17951</v>
      </c>
      <c r="M5092" t="s">
        <v>87</v>
      </c>
      <c r="N5092" t="str">
        <f t="shared" si="102"/>
        <v xml:space="preserve">192133      </v>
      </c>
      <c r="O5092">
        <v>230608</v>
      </c>
    </row>
    <row r="5093" spans="1:15" x14ac:dyDescent="0.25">
      <c r="A5093" t="s">
        <v>16</v>
      </c>
      <c r="B5093" t="s">
        <v>3221</v>
      </c>
      <c r="C5093">
        <v>8353</v>
      </c>
      <c r="D5093" t="s">
        <v>943</v>
      </c>
      <c r="E5093" t="s">
        <v>944</v>
      </c>
      <c r="F5093">
        <v>10.48</v>
      </c>
      <c r="G5093">
        <v>230531</v>
      </c>
      <c r="H5093">
        <v>4362</v>
      </c>
      <c r="I5093" t="s">
        <v>79</v>
      </c>
      <c r="J5093">
        <v>12.99</v>
      </c>
      <c r="K5093">
        <v>2.5099999999999998</v>
      </c>
      <c r="L5093">
        <v>17956</v>
      </c>
      <c r="M5093" t="s">
        <v>53</v>
      </c>
      <c r="N5093" t="str">
        <f t="shared" si="102"/>
        <v xml:space="preserve">192133      </v>
      </c>
      <c r="O5093">
        <v>230608</v>
      </c>
    </row>
    <row r="5094" spans="1:15" x14ac:dyDescent="0.25">
      <c r="A5094" t="s">
        <v>16</v>
      </c>
      <c r="B5094" t="s">
        <v>3221</v>
      </c>
      <c r="C5094">
        <v>8353</v>
      </c>
      <c r="D5094" t="s">
        <v>943</v>
      </c>
      <c r="E5094" t="s">
        <v>944</v>
      </c>
      <c r="F5094">
        <v>63</v>
      </c>
      <c r="G5094">
        <v>230531</v>
      </c>
      <c r="H5094">
        <v>4362</v>
      </c>
      <c r="I5094" t="s">
        <v>79</v>
      </c>
      <c r="J5094">
        <v>78.12</v>
      </c>
      <c r="K5094">
        <v>15.12</v>
      </c>
      <c r="L5094">
        <v>17956</v>
      </c>
      <c r="M5094" t="s">
        <v>53</v>
      </c>
      <c r="N5094" t="str">
        <f t="shared" si="102"/>
        <v xml:space="preserve">192133      </v>
      </c>
      <c r="O5094">
        <v>230608</v>
      </c>
    </row>
    <row r="5095" spans="1:15" x14ac:dyDescent="0.25">
      <c r="A5095" t="s">
        <v>16</v>
      </c>
      <c r="B5095" t="s">
        <v>3221</v>
      </c>
      <c r="C5095">
        <v>8353</v>
      </c>
      <c r="D5095" t="s">
        <v>943</v>
      </c>
      <c r="E5095" t="s">
        <v>944</v>
      </c>
      <c r="F5095">
        <v>16.14</v>
      </c>
      <c r="G5095">
        <v>230531</v>
      </c>
      <c r="H5095">
        <v>4362</v>
      </c>
      <c r="I5095" t="s">
        <v>79</v>
      </c>
      <c r="J5095">
        <v>20.010000000000002</v>
      </c>
      <c r="K5095">
        <v>3.87</v>
      </c>
      <c r="L5095">
        <v>17971</v>
      </c>
      <c r="M5095" t="s">
        <v>138</v>
      </c>
      <c r="N5095" t="str">
        <f t="shared" si="102"/>
        <v xml:space="preserve">192133      </v>
      </c>
      <c r="O5095">
        <v>230608</v>
      </c>
    </row>
    <row r="5096" spans="1:15" x14ac:dyDescent="0.25">
      <c r="A5096" t="s">
        <v>16</v>
      </c>
      <c r="B5096" t="s">
        <v>3221</v>
      </c>
      <c r="C5096">
        <v>8353</v>
      </c>
      <c r="D5096" t="s">
        <v>943</v>
      </c>
      <c r="E5096" t="s">
        <v>944</v>
      </c>
      <c r="F5096">
        <v>32.18</v>
      </c>
      <c r="G5096">
        <v>230531</v>
      </c>
      <c r="H5096">
        <v>4362</v>
      </c>
      <c r="I5096" t="s">
        <v>79</v>
      </c>
      <c r="J5096">
        <v>39.9</v>
      </c>
      <c r="K5096">
        <v>7.72</v>
      </c>
      <c r="L5096">
        <v>17972</v>
      </c>
      <c r="M5096" t="s">
        <v>248</v>
      </c>
      <c r="N5096" t="str">
        <f t="shared" si="102"/>
        <v xml:space="preserve">192133      </v>
      </c>
      <c r="O5096">
        <v>230608</v>
      </c>
    </row>
    <row r="5097" spans="1:15" x14ac:dyDescent="0.25">
      <c r="A5097" t="s">
        <v>16</v>
      </c>
      <c r="B5097" t="s">
        <v>3221</v>
      </c>
      <c r="C5097">
        <v>9445</v>
      </c>
      <c r="D5097" t="s">
        <v>943</v>
      </c>
      <c r="E5097" t="s">
        <v>944</v>
      </c>
      <c r="F5097">
        <v>8.27</v>
      </c>
      <c r="G5097">
        <v>230630</v>
      </c>
      <c r="H5097">
        <v>4362</v>
      </c>
      <c r="I5097" t="s">
        <v>79</v>
      </c>
      <c r="J5097">
        <v>10.25</v>
      </c>
      <c r="K5097">
        <v>1.98</v>
      </c>
      <c r="L5097">
        <v>13540</v>
      </c>
      <c r="M5097" t="s">
        <v>85</v>
      </c>
      <c r="N5097" t="str">
        <f t="shared" ref="N5097:N5106" si="103">"195119      "</f>
        <v xml:space="preserve">195119      </v>
      </c>
      <c r="O5097">
        <v>230711</v>
      </c>
    </row>
    <row r="5098" spans="1:15" x14ac:dyDescent="0.25">
      <c r="A5098" t="s">
        <v>16</v>
      </c>
      <c r="B5098" t="s">
        <v>3221</v>
      </c>
      <c r="C5098">
        <v>9445</v>
      </c>
      <c r="D5098" t="s">
        <v>943</v>
      </c>
      <c r="E5098" t="s">
        <v>944</v>
      </c>
      <c r="F5098">
        <v>26.75</v>
      </c>
      <c r="G5098">
        <v>230630</v>
      </c>
      <c r="H5098">
        <v>4362</v>
      </c>
      <c r="I5098" t="s">
        <v>79</v>
      </c>
      <c r="J5098">
        <v>33.17</v>
      </c>
      <c r="K5098">
        <v>6.42</v>
      </c>
      <c r="L5098">
        <v>17538</v>
      </c>
      <c r="M5098" t="s">
        <v>24</v>
      </c>
      <c r="N5098" t="str">
        <f t="shared" si="103"/>
        <v xml:space="preserve">195119      </v>
      </c>
      <c r="O5098">
        <v>230711</v>
      </c>
    </row>
    <row r="5099" spans="1:15" x14ac:dyDescent="0.25">
      <c r="A5099" t="s">
        <v>16</v>
      </c>
      <c r="B5099" t="s">
        <v>3221</v>
      </c>
      <c r="C5099">
        <v>9445</v>
      </c>
      <c r="D5099" t="s">
        <v>943</v>
      </c>
      <c r="E5099" t="s">
        <v>944</v>
      </c>
      <c r="F5099">
        <v>8</v>
      </c>
      <c r="G5099">
        <v>230630</v>
      </c>
      <c r="H5099">
        <v>4362</v>
      </c>
      <c r="I5099" t="s">
        <v>79</v>
      </c>
      <c r="J5099">
        <v>9.92</v>
      </c>
      <c r="K5099">
        <v>1.92</v>
      </c>
      <c r="L5099">
        <v>17539</v>
      </c>
      <c r="M5099" t="s">
        <v>946</v>
      </c>
      <c r="N5099" t="str">
        <f t="shared" si="103"/>
        <v xml:space="preserve">195119      </v>
      </c>
      <c r="O5099">
        <v>230711</v>
      </c>
    </row>
    <row r="5100" spans="1:15" x14ac:dyDescent="0.25">
      <c r="A5100" t="s">
        <v>16</v>
      </c>
      <c r="B5100" t="s">
        <v>3221</v>
      </c>
      <c r="C5100">
        <v>9445</v>
      </c>
      <c r="D5100" t="s">
        <v>943</v>
      </c>
      <c r="E5100" t="s">
        <v>944</v>
      </c>
      <c r="F5100">
        <v>56.39</v>
      </c>
      <c r="G5100">
        <v>230630</v>
      </c>
      <c r="H5100">
        <v>4362</v>
      </c>
      <c r="I5100" t="s">
        <v>79</v>
      </c>
      <c r="J5100">
        <v>69.92</v>
      </c>
      <c r="K5100">
        <v>13.53</v>
      </c>
      <c r="L5100">
        <v>17950</v>
      </c>
      <c r="M5100" t="s">
        <v>86</v>
      </c>
      <c r="N5100" t="str">
        <f t="shared" si="103"/>
        <v xml:space="preserve">195119      </v>
      </c>
      <c r="O5100">
        <v>230711</v>
      </c>
    </row>
    <row r="5101" spans="1:15" x14ac:dyDescent="0.25">
      <c r="A5101" t="s">
        <v>16</v>
      </c>
      <c r="B5101" t="s">
        <v>3221</v>
      </c>
      <c r="C5101">
        <v>9445</v>
      </c>
      <c r="D5101" t="s">
        <v>943</v>
      </c>
      <c r="E5101" t="s">
        <v>944</v>
      </c>
      <c r="F5101">
        <v>37.68</v>
      </c>
      <c r="G5101">
        <v>230630</v>
      </c>
      <c r="H5101">
        <v>4362</v>
      </c>
      <c r="I5101" t="s">
        <v>79</v>
      </c>
      <c r="J5101">
        <v>46.72</v>
      </c>
      <c r="K5101">
        <v>9.0399999999999991</v>
      </c>
      <c r="L5101">
        <v>17951</v>
      </c>
      <c r="M5101" t="s">
        <v>87</v>
      </c>
      <c r="N5101" t="str">
        <f t="shared" si="103"/>
        <v xml:space="preserve">195119      </v>
      </c>
      <c r="O5101">
        <v>230711</v>
      </c>
    </row>
    <row r="5102" spans="1:15" x14ac:dyDescent="0.25">
      <c r="A5102" t="s">
        <v>16</v>
      </c>
      <c r="B5102" t="s">
        <v>3221</v>
      </c>
      <c r="C5102">
        <v>9445</v>
      </c>
      <c r="D5102" t="s">
        <v>943</v>
      </c>
      <c r="E5102" t="s">
        <v>944</v>
      </c>
      <c r="F5102">
        <v>10.52</v>
      </c>
      <c r="G5102">
        <v>230630</v>
      </c>
      <c r="H5102">
        <v>4362</v>
      </c>
      <c r="I5102" t="s">
        <v>79</v>
      </c>
      <c r="J5102">
        <v>13.05</v>
      </c>
      <c r="K5102">
        <v>2.5299999999999998</v>
      </c>
      <c r="L5102">
        <v>17956</v>
      </c>
      <c r="M5102" t="s">
        <v>53</v>
      </c>
      <c r="N5102" t="str">
        <f t="shared" si="103"/>
        <v xml:space="preserve">195119      </v>
      </c>
      <c r="O5102">
        <v>230711</v>
      </c>
    </row>
    <row r="5103" spans="1:15" x14ac:dyDescent="0.25">
      <c r="A5103" t="s">
        <v>16</v>
      </c>
      <c r="B5103" t="s">
        <v>3221</v>
      </c>
      <c r="C5103">
        <v>9445</v>
      </c>
      <c r="D5103" t="s">
        <v>943</v>
      </c>
      <c r="E5103" t="s">
        <v>944</v>
      </c>
      <c r="F5103">
        <v>63</v>
      </c>
      <c r="G5103">
        <v>230630</v>
      </c>
      <c r="H5103">
        <v>4362</v>
      </c>
      <c r="I5103" t="s">
        <v>79</v>
      </c>
      <c r="J5103">
        <v>78.12</v>
      </c>
      <c r="K5103">
        <v>15.12</v>
      </c>
      <c r="L5103">
        <v>17956</v>
      </c>
      <c r="M5103" t="s">
        <v>53</v>
      </c>
      <c r="N5103" t="str">
        <f t="shared" si="103"/>
        <v xml:space="preserve">195119      </v>
      </c>
      <c r="O5103">
        <v>230711</v>
      </c>
    </row>
    <row r="5104" spans="1:15" x14ac:dyDescent="0.25">
      <c r="A5104" t="s">
        <v>16</v>
      </c>
      <c r="B5104" t="s">
        <v>3221</v>
      </c>
      <c r="C5104">
        <v>9445</v>
      </c>
      <c r="D5104" t="s">
        <v>943</v>
      </c>
      <c r="E5104" t="s">
        <v>944</v>
      </c>
      <c r="F5104">
        <v>16.14</v>
      </c>
      <c r="G5104">
        <v>230630</v>
      </c>
      <c r="H5104">
        <v>4362</v>
      </c>
      <c r="I5104" t="s">
        <v>79</v>
      </c>
      <c r="J5104">
        <v>20.010000000000002</v>
      </c>
      <c r="K5104">
        <v>3.87</v>
      </c>
      <c r="L5104">
        <v>17971</v>
      </c>
      <c r="M5104" t="s">
        <v>138</v>
      </c>
      <c r="N5104" t="str">
        <f t="shared" si="103"/>
        <v xml:space="preserve">195119      </v>
      </c>
      <c r="O5104">
        <v>230711</v>
      </c>
    </row>
    <row r="5105" spans="1:15" x14ac:dyDescent="0.25">
      <c r="A5105" t="s">
        <v>16</v>
      </c>
      <c r="B5105" t="s">
        <v>3221</v>
      </c>
      <c r="C5105">
        <v>9445</v>
      </c>
      <c r="D5105" t="s">
        <v>943</v>
      </c>
      <c r="E5105" t="s">
        <v>944</v>
      </c>
      <c r="F5105">
        <v>41.85</v>
      </c>
      <c r="G5105">
        <v>230630</v>
      </c>
      <c r="H5105">
        <v>4362</v>
      </c>
      <c r="I5105" t="s">
        <v>79</v>
      </c>
      <c r="J5105">
        <v>51.9</v>
      </c>
      <c r="K5105">
        <v>10.050000000000001</v>
      </c>
      <c r="L5105">
        <v>17971</v>
      </c>
      <c r="M5105" t="s">
        <v>138</v>
      </c>
      <c r="N5105" t="str">
        <f t="shared" si="103"/>
        <v xml:space="preserve">195119      </v>
      </c>
      <c r="O5105">
        <v>230711</v>
      </c>
    </row>
    <row r="5106" spans="1:15" x14ac:dyDescent="0.25">
      <c r="A5106" t="s">
        <v>16</v>
      </c>
      <c r="B5106" t="s">
        <v>3221</v>
      </c>
      <c r="C5106">
        <v>9445</v>
      </c>
      <c r="D5106" t="s">
        <v>943</v>
      </c>
      <c r="E5106" t="s">
        <v>944</v>
      </c>
      <c r="F5106">
        <v>32.18</v>
      </c>
      <c r="G5106">
        <v>230630</v>
      </c>
      <c r="H5106">
        <v>4362</v>
      </c>
      <c r="I5106" t="s">
        <v>79</v>
      </c>
      <c r="J5106">
        <v>39.9</v>
      </c>
      <c r="K5106">
        <v>7.72</v>
      </c>
      <c r="L5106">
        <v>17972</v>
      </c>
      <c r="M5106" t="s">
        <v>248</v>
      </c>
      <c r="N5106" t="str">
        <f t="shared" si="103"/>
        <v xml:space="preserve">195119      </v>
      </c>
      <c r="O5106">
        <v>230711</v>
      </c>
    </row>
    <row r="5107" spans="1:15" x14ac:dyDescent="0.25">
      <c r="A5107" t="s">
        <v>16</v>
      </c>
      <c r="B5107" t="s">
        <v>3221</v>
      </c>
      <c r="C5107">
        <v>10220</v>
      </c>
      <c r="D5107" t="s">
        <v>943</v>
      </c>
      <c r="E5107" t="s">
        <v>944</v>
      </c>
      <c r="F5107">
        <v>8.1999999999999993</v>
      </c>
      <c r="G5107">
        <v>230731</v>
      </c>
      <c r="H5107">
        <v>4362</v>
      </c>
      <c r="I5107" t="s">
        <v>79</v>
      </c>
      <c r="J5107">
        <v>10.17</v>
      </c>
      <c r="K5107">
        <v>1.97</v>
      </c>
      <c r="L5107">
        <v>13540</v>
      </c>
      <c r="M5107" t="s">
        <v>85</v>
      </c>
      <c r="N5107" t="str">
        <f t="shared" ref="N5107:N5116" si="104">"198241      "</f>
        <v xml:space="preserve">198241      </v>
      </c>
      <c r="O5107">
        <v>230810</v>
      </c>
    </row>
    <row r="5108" spans="1:15" x14ac:dyDescent="0.25">
      <c r="A5108" t="s">
        <v>16</v>
      </c>
      <c r="B5108" t="s">
        <v>3221</v>
      </c>
      <c r="C5108">
        <v>10220</v>
      </c>
      <c r="D5108" t="s">
        <v>943</v>
      </c>
      <c r="E5108" t="s">
        <v>944</v>
      </c>
      <c r="F5108">
        <v>63</v>
      </c>
      <c r="G5108">
        <v>230731</v>
      </c>
      <c r="H5108">
        <v>4362</v>
      </c>
      <c r="I5108" t="s">
        <v>79</v>
      </c>
      <c r="J5108">
        <v>78.12</v>
      </c>
      <c r="K5108">
        <v>15.12</v>
      </c>
      <c r="L5108">
        <v>17538</v>
      </c>
      <c r="M5108" t="s">
        <v>24</v>
      </c>
      <c r="N5108" t="str">
        <f t="shared" si="104"/>
        <v xml:space="preserve">198241      </v>
      </c>
      <c r="O5108">
        <v>230810</v>
      </c>
    </row>
    <row r="5109" spans="1:15" x14ac:dyDescent="0.25">
      <c r="A5109" t="s">
        <v>16</v>
      </c>
      <c r="B5109" t="s">
        <v>3221</v>
      </c>
      <c r="C5109">
        <v>10220</v>
      </c>
      <c r="D5109" t="s">
        <v>943</v>
      </c>
      <c r="E5109" t="s">
        <v>944</v>
      </c>
      <c r="F5109">
        <v>8</v>
      </c>
      <c r="G5109">
        <v>230731</v>
      </c>
      <c r="H5109">
        <v>4362</v>
      </c>
      <c r="I5109" t="s">
        <v>79</v>
      </c>
      <c r="J5109">
        <v>9.92</v>
      </c>
      <c r="K5109">
        <v>1.92</v>
      </c>
      <c r="L5109">
        <v>17539</v>
      </c>
      <c r="M5109" t="s">
        <v>946</v>
      </c>
      <c r="N5109" t="str">
        <f t="shared" si="104"/>
        <v xml:space="preserve">198241      </v>
      </c>
      <c r="O5109">
        <v>230810</v>
      </c>
    </row>
    <row r="5110" spans="1:15" x14ac:dyDescent="0.25">
      <c r="A5110" t="s">
        <v>16</v>
      </c>
      <c r="B5110" t="s">
        <v>3221</v>
      </c>
      <c r="C5110">
        <v>10220</v>
      </c>
      <c r="D5110" t="s">
        <v>943</v>
      </c>
      <c r="E5110" t="s">
        <v>944</v>
      </c>
      <c r="F5110">
        <v>26.75</v>
      </c>
      <c r="G5110">
        <v>230731</v>
      </c>
      <c r="H5110">
        <v>4362</v>
      </c>
      <c r="I5110" t="s">
        <v>79</v>
      </c>
      <c r="J5110">
        <v>33.17</v>
      </c>
      <c r="K5110">
        <v>6.42</v>
      </c>
      <c r="L5110">
        <v>17539</v>
      </c>
      <c r="M5110" t="s">
        <v>946</v>
      </c>
      <c r="N5110" t="str">
        <f t="shared" si="104"/>
        <v xml:space="preserve">198241      </v>
      </c>
      <c r="O5110">
        <v>230810</v>
      </c>
    </row>
    <row r="5111" spans="1:15" x14ac:dyDescent="0.25">
      <c r="A5111" t="s">
        <v>16</v>
      </c>
      <c r="B5111" t="s">
        <v>3221</v>
      </c>
      <c r="C5111">
        <v>10220</v>
      </c>
      <c r="D5111" t="s">
        <v>943</v>
      </c>
      <c r="E5111" t="s">
        <v>944</v>
      </c>
      <c r="F5111">
        <v>55.93</v>
      </c>
      <c r="G5111">
        <v>230731</v>
      </c>
      <c r="H5111">
        <v>4362</v>
      </c>
      <c r="I5111" t="s">
        <v>79</v>
      </c>
      <c r="J5111">
        <v>69.349999999999994</v>
      </c>
      <c r="K5111">
        <v>13.42</v>
      </c>
      <c r="L5111">
        <v>17950</v>
      </c>
      <c r="M5111" t="s">
        <v>86</v>
      </c>
      <c r="N5111" t="str">
        <f t="shared" si="104"/>
        <v xml:space="preserve">198241      </v>
      </c>
      <c r="O5111">
        <v>230810</v>
      </c>
    </row>
    <row r="5112" spans="1:15" x14ac:dyDescent="0.25">
      <c r="A5112" t="s">
        <v>16</v>
      </c>
      <c r="B5112" t="s">
        <v>3221</v>
      </c>
      <c r="C5112">
        <v>10220</v>
      </c>
      <c r="D5112" t="s">
        <v>943</v>
      </c>
      <c r="E5112" t="s">
        <v>944</v>
      </c>
      <c r="F5112">
        <v>37.68</v>
      </c>
      <c r="G5112">
        <v>230731</v>
      </c>
      <c r="H5112">
        <v>4362</v>
      </c>
      <c r="I5112" t="s">
        <v>79</v>
      </c>
      <c r="J5112">
        <v>46.72</v>
      </c>
      <c r="K5112">
        <v>9.0399999999999991</v>
      </c>
      <c r="L5112">
        <v>17951</v>
      </c>
      <c r="M5112" t="s">
        <v>87</v>
      </c>
      <c r="N5112" t="str">
        <f t="shared" si="104"/>
        <v xml:space="preserve">198241      </v>
      </c>
      <c r="O5112">
        <v>230810</v>
      </c>
    </row>
    <row r="5113" spans="1:15" x14ac:dyDescent="0.25">
      <c r="A5113" t="s">
        <v>16</v>
      </c>
      <c r="B5113" t="s">
        <v>3221</v>
      </c>
      <c r="C5113">
        <v>10220</v>
      </c>
      <c r="D5113" t="s">
        <v>943</v>
      </c>
      <c r="E5113" t="s">
        <v>944</v>
      </c>
      <c r="F5113">
        <v>10.44</v>
      </c>
      <c r="G5113">
        <v>230731</v>
      </c>
      <c r="H5113">
        <v>4362</v>
      </c>
      <c r="I5113" t="s">
        <v>79</v>
      </c>
      <c r="J5113">
        <v>12.95</v>
      </c>
      <c r="K5113">
        <v>2.5099999999999998</v>
      </c>
      <c r="L5113">
        <v>17971</v>
      </c>
      <c r="M5113" t="s">
        <v>138</v>
      </c>
      <c r="N5113" t="str">
        <f t="shared" si="104"/>
        <v xml:space="preserve">198241      </v>
      </c>
      <c r="O5113">
        <v>230810</v>
      </c>
    </row>
    <row r="5114" spans="1:15" x14ac:dyDescent="0.25">
      <c r="A5114" t="s">
        <v>16</v>
      </c>
      <c r="B5114" t="s">
        <v>3221</v>
      </c>
      <c r="C5114">
        <v>10220</v>
      </c>
      <c r="D5114" t="s">
        <v>943</v>
      </c>
      <c r="E5114" t="s">
        <v>944</v>
      </c>
      <c r="F5114">
        <v>16.14</v>
      </c>
      <c r="G5114">
        <v>230731</v>
      </c>
      <c r="H5114">
        <v>4362</v>
      </c>
      <c r="I5114" t="s">
        <v>79</v>
      </c>
      <c r="J5114">
        <v>20.010000000000002</v>
      </c>
      <c r="K5114">
        <v>3.87</v>
      </c>
      <c r="L5114">
        <v>17971</v>
      </c>
      <c r="M5114" t="s">
        <v>138</v>
      </c>
      <c r="N5114" t="str">
        <f t="shared" si="104"/>
        <v xml:space="preserve">198241      </v>
      </c>
      <c r="O5114">
        <v>230810</v>
      </c>
    </row>
    <row r="5115" spans="1:15" x14ac:dyDescent="0.25">
      <c r="A5115" t="s">
        <v>16</v>
      </c>
      <c r="B5115" t="s">
        <v>3221</v>
      </c>
      <c r="C5115">
        <v>10220</v>
      </c>
      <c r="D5115" t="s">
        <v>943</v>
      </c>
      <c r="E5115" t="s">
        <v>944</v>
      </c>
      <c r="F5115">
        <v>32.18</v>
      </c>
      <c r="G5115">
        <v>230731</v>
      </c>
      <c r="H5115">
        <v>4362</v>
      </c>
      <c r="I5115" t="s">
        <v>79</v>
      </c>
      <c r="J5115">
        <v>39.9</v>
      </c>
      <c r="K5115">
        <v>7.72</v>
      </c>
      <c r="L5115">
        <v>17972</v>
      </c>
      <c r="M5115" t="s">
        <v>248</v>
      </c>
      <c r="N5115" t="str">
        <f t="shared" si="104"/>
        <v xml:space="preserve">198241      </v>
      </c>
      <c r="O5115">
        <v>230810</v>
      </c>
    </row>
    <row r="5116" spans="1:15" x14ac:dyDescent="0.25">
      <c r="A5116" t="s">
        <v>16</v>
      </c>
      <c r="B5116" t="s">
        <v>3221</v>
      </c>
      <c r="C5116">
        <v>10220</v>
      </c>
      <c r="D5116" t="s">
        <v>943</v>
      </c>
      <c r="E5116" t="s">
        <v>944</v>
      </c>
      <c r="F5116">
        <v>41.85</v>
      </c>
      <c r="G5116">
        <v>230731</v>
      </c>
      <c r="H5116">
        <v>4362</v>
      </c>
      <c r="I5116" t="s">
        <v>79</v>
      </c>
      <c r="J5116">
        <v>51.9</v>
      </c>
      <c r="K5116">
        <v>10.050000000000001</v>
      </c>
      <c r="L5116">
        <v>17972</v>
      </c>
      <c r="M5116" t="s">
        <v>248</v>
      </c>
      <c r="N5116" t="str">
        <f t="shared" si="104"/>
        <v xml:space="preserve">198241      </v>
      </c>
      <c r="O5116">
        <v>230810</v>
      </c>
    </row>
    <row r="5117" spans="1:15" x14ac:dyDescent="0.25">
      <c r="A5117" t="s">
        <v>16</v>
      </c>
      <c r="B5117" t="s">
        <v>3221</v>
      </c>
      <c r="C5117">
        <v>12248</v>
      </c>
      <c r="D5117" t="s">
        <v>943</v>
      </c>
      <c r="E5117" t="s">
        <v>944</v>
      </c>
      <c r="F5117">
        <v>32.18</v>
      </c>
      <c r="G5117">
        <v>230831</v>
      </c>
      <c r="H5117">
        <v>4362</v>
      </c>
      <c r="I5117" t="s">
        <v>79</v>
      </c>
      <c r="J5117">
        <v>39.9</v>
      </c>
      <c r="K5117">
        <v>7.72</v>
      </c>
      <c r="L5117">
        <v>11603</v>
      </c>
      <c r="M5117" t="s">
        <v>945</v>
      </c>
      <c r="N5117" t="str">
        <f t="shared" ref="N5117:N5126" si="105">"201360      "</f>
        <v xml:space="preserve">201360      </v>
      </c>
      <c r="O5117">
        <v>230918</v>
      </c>
    </row>
    <row r="5118" spans="1:15" x14ac:dyDescent="0.25">
      <c r="A5118" t="s">
        <v>16</v>
      </c>
      <c r="B5118" t="s">
        <v>3221</v>
      </c>
      <c r="C5118">
        <v>12248</v>
      </c>
      <c r="D5118" t="s">
        <v>943</v>
      </c>
      <c r="E5118" t="s">
        <v>944</v>
      </c>
      <c r="F5118">
        <v>8.27</v>
      </c>
      <c r="G5118">
        <v>230831</v>
      </c>
      <c r="H5118">
        <v>4362</v>
      </c>
      <c r="I5118" t="s">
        <v>79</v>
      </c>
      <c r="J5118">
        <v>10.25</v>
      </c>
      <c r="K5118">
        <v>1.98</v>
      </c>
      <c r="L5118">
        <v>13540</v>
      </c>
      <c r="M5118" t="s">
        <v>85</v>
      </c>
      <c r="N5118" t="str">
        <f t="shared" si="105"/>
        <v xml:space="preserve">201360      </v>
      </c>
      <c r="O5118">
        <v>230918</v>
      </c>
    </row>
    <row r="5119" spans="1:15" x14ac:dyDescent="0.25">
      <c r="A5119" t="s">
        <v>16</v>
      </c>
      <c r="B5119" t="s">
        <v>3221</v>
      </c>
      <c r="C5119">
        <v>12248</v>
      </c>
      <c r="D5119" t="s">
        <v>943</v>
      </c>
      <c r="E5119" t="s">
        <v>944</v>
      </c>
      <c r="F5119">
        <v>26.75</v>
      </c>
      <c r="G5119">
        <v>230831</v>
      </c>
      <c r="H5119">
        <v>4362</v>
      </c>
      <c r="I5119" t="s">
        <v>79</v>
      </c>
      <c r="J5119">
        <v>33.17</v>
      </c>
      <c r="K5119">
        <v>6.42</v>
      </c>
      <c r="L5119">
        <v>17538</v>
      </c>
      <c r="M5119" t="s">
        <v>24</v>
      </c>
      <c r="N5119" t="str">
        <f t="shared" si="105"/>
        <v xml:space="preserve">201360      </v>
      </c>
      <c r="O5119">
        <v>230918</v>
      </c>
    </row>
    <row r="5120" spans="1:15" x14ac:dyDescent="0.25">
      <c r="A5120" t="s">
        <v>16</v>
      </c>
      <c r="B5120" t="s">
        <v>3221</v>
      </c>
      <c r="C5120">
        <v>12248</v>
      </c>
      <c r="D5120" t="s">
        <v>943</v>
      </c>
      <c r="E5120" t="s">
        <v>944</v>
      </c>
      <c r="F5120">
        <v>8</v>
      </c>
      <c r="G5120">
        <v>230831</v>
      </c>
      <c r="H5120">
        <v>4362</v>
      </c>
      <c r="I5120" t="s">
        <v>79</v>
      </c>
      <c r="J5120">
        <v>9.92</v>
      </c>
      <c r="K5120">
        <v>1.92</v>
      </c>
      <c r="L5120">
        <v>17539</v>
      </c>
      <c r="M5120" t="s">
        <v>946</v>
      </c>
      <c r="N5120" t="str">
        <f t="shared" si="105"/>
        <v xml:space="preserve">201360      </v>
      </c>
      <c r="O5120">
        <v>230918</v>
      </c>
    </row>
    <row r="5121" spans="1:15" x14ac:dyDescent="0.25">
      <c r="A5121" t="s">
        <v>16</v>
      </c>
      <c r="B5121" t="s">
        <v>3221</v>
      </c>
      <c r="C5121">
        <v>12248</v>
      </c>
      <c r="D5121" t="s">
        <v>943</v>
      </c>
      <c r="E5121" t="s">
        <v>944</v>
      </c>
      <c r="F5121">
        <v>56.38</v>
      </c>
      <c r="G5121">
        <v>230831</v>
      </c>
      <c r="H5121">
        <v>4362</v>
      </c>
      <c r="I5121" t="s">
        <v>79</v>
      </c>
      <c r="J5121">
        <v>69.91</v>
      </c>
      <c r="K5121">
        <v>13.53</v>
      </c>
      <c r="L5121">
        <v>17950</v>
      </c>
      <c r="M5121" t="s">
        <v>86</v>
      </c>
      <c r="N5121" t="str">
        <f t="shared" si="105"/>
        <v xml:space="preserve">201360      </v>
      </c>
      <c r="O5121">
        <v>230918</v>
      </c>
    </row>
    <row r="5122" spans="1:15" x14ac:dyDescent="0.25">
      <c r="A5122" t="s">
        <v>16</v>
      </c>
      <c r="B5122" t="s">
        <v>3221</v>
      </c>
      <c r="C5122">
        <v>12248</v>
      </c>
      <c r="D5122" t="s">
        <v>943</v>
      </c>
      <c r="E5122" t="s">
        <v>944</v>
      </c>
      <c r="F5122">
        <v>37.68</v>
      </c>
      <c r="G5122">
        <v>230831</v>
      </c>
      <c r="H5122">
        <v>4362</v>
      </c>
      <c r="I5122" t="s">
        <v>79</v>
      </c>
      <c r="J5122">
        <v>46.72</v>
      </c>
      <c r="K5122">
        <v>9.0399999999999991</v>
      </c>
      <c r="L5122">
        <v>17951</v>
      </c>
      <c r="M5122" t="s">
        <v>87</v>
      </c>
      <c r="N5122" t="str">
        <f t="shared" si="105"/>
        <v xml:space="preserve">201360      </v>
      </c>
      <c r="O5122">
        <v>230918</v>
      </c>
    </row>
    <row r="5123" spans="1:15" x14ac:dyDescent="0.25">
      <c r="A5123" t="s">
        <v>16</v>
      </c>
      <c r="B5123" t="s">
        <v>3221</v>
      </c>
      <c r="C5123">
        <v>12248</v>
      </c>
      <c r="D5123" t="s">
        <v>943</v>
      </c>
      <c r="E5123" t="s">
        <v>944</v>
      </c>
      <c r="F5123">
        <v>10.52</v>
      </c>
      <c r="G5123">
        <v>230831</v>
      </c>
      <c r="H5123">
        <v>4362</v>
      </c>
      <c r="I5123" t="s">
        <v>79</v>
      </c>
      <c r="J5123">
        <v>13.05</v>
      </c>
      <c r="K5123">
        <v>2.5299999999999998</v>
      </c>
      <c r="L5123">
        <v>17956</v>
      </c>
      <c r="M5123" t="s">
        <v>53</v>
      </c>
      <c r="N5123" t="str">
        <f t="shared" si="105"/>
        <v xml:space="preserve">201360      </v>
      </c>
      <c r="O5123">
        <v>230918</v>
      </c>
    </row>
    <row r="5124" spans="1:15" x14ac:dyDescent="0.25">
      <c r="A5124" t="s">
        <v>16</v>
      </c>
      <c r="B5124" t="s">
        <v>3221</v>
      </c>
      <c r="C5124">
        <v>12248</v>
      </c>
      <c r="D5124" t="s">
        <v>943</v>
      </c>
      <c r="E5124" t="s">
        <v>944</v>
      </c>
      <c r="F5124">
        <v>63</v>
      </c>
      <c r="G5124">
        <v>230831</v>
      </c>
      <c r="H5124">
        <v>4362</v>
      </c>
      <c r="I5124" t="s">
        <v>79</v>
      </c>
      <c r="J5124">
        <v>78.12</v>
      </c>
      <c r="K5124">
        <v>15.12</v>
      </c>
      <c r="L5124">
        <v>17956</v>
      </c>
      <c r="M5124" t="s">
        <v>53</v>
      </c>
      <c r="N5124" t="str">
        <f t="shared" si="105"/>
        <v xml:space="preserve">201360      </v>
      </c>
      <c r="O5124">
        <v>230918</v>
      </c>
    </row>
    <row r="5125" spans="1:15" x14ac:dyDescent="0.25">
      <c r="A5125" t="s">
        <v>16</v>
      </c>
      <c r="B5125" t="s">
        <v>3221</v>
      </c>
      <c r="C5125">
        <v>12248</v>
      </c>
      <c r="D5125" t="s">
        <v>943</v>
      </c>
      <c r="E5125" t="s">
        <v>944</v>
      </c>
      <c r="F5125">
        <v>16.14</v>
      </c>
      <c r="G5125">
        <v>230831</v>
      </c>
      <c r="H5125">
        <v>4362</v>
      </c>
      <c r="I5125" t="s">
        <v>79</v>
      </c>
      <c r="J5125">
        <v>20.010000000000002</v>
      </c>
      <c r="K5125">
        <v>3.87</v>
      </c>
      <c r="L5125">
        <v>17971</v>
      </c>
      <c r="M5125" t="s">
        <v>138</v>
      </c>
      <c r="N5125" t="str">
        <f t="shared" si="105"/>
        <v xml:space="preserve">201360      </v>
      </c>
      <c r="O5125">
        <v>230918</v>
      </c>
    </row>
    <row r="5126" spans="1:15" x14ac:dyDescent="0.25">
      <c r="A5126" t="s">
        <v>16</v>
      </c>
      <c r="B5126" t="s">
        <v>3221</v>
      </c>
      <c r="C5126">
        <v>12248</v>
      </c>
      <c r="D5126" t="s">
        <v>943</v>
      </c>
      <c r="E5126" t="s">
        <v>944</v>
      </c>
      <c r="F5126">
        <v>41.85</v>
      </c>
      <c r="G5126">
        <v>230831</v>
      </c>
      <c r="H5126">
        <v>4362</v>
      </c>
      <c r="I5126" t="s">
        <v>79</v>
      </c>
      <c r="J5126">
        <v>51.9</v>
      </c>
      <c r="K5126">
        <v>10.050000000000001</v>
      </c>
      <c r="L5126">
        <v>17972</v>
      </c>
      <c r="M5126" t="s">
        <v>248</v>
      </c>
      <c r="N5126" t="str">
        <f t="shared" si="105"/>
        <v xml:space="preserve">201360      </v>
      </c>
      <c r="O5126">
        <v>230918</v>
      </c>
    </row>
    <row r="5127" spans="1:15" x14ac:dyDescent="0.25">
      <c r="A5127" t="s">
        <v>16</v>
      </c>
      <c r="B5127" t="s">
        <v>3221</v>
      </c>
      <c r="C5127">
        <v>13611</v>
      </c>
      <c r="D5127" t="s">
        <v>943</v>
      </c>
      <c r="E5127" t="s">
        <v>944</v>
      </c>
      <c r="F5127">
        <v>41.85</v>
      </c>
      <c r="G5127">
        <v>230930</v>
      </c>
      <c r="H5127">
        <v>4362</v>
      </c>
      <c r="I5127" t="s">
        <v>79</v>
      </c>
      <c r="J5127">
        <v>51.9</v>
      </c>
      <c r="K5127">
        <v>10.050000000000001</v>
      </c>
      <c r="L5127">
        <v>11603</v>
      </c>
      <c r="M5127" t="s">
        <v>945</v>
      </c>
      <c r="N5127" t="str">
        <f t="shared" ref="N5127:N5135" si="106">"204479      "</f>
        <v xml:space="preserve">204479      </v>
      </c>
      <c r="O5127">
        <v>231011</v>
      </c>
    </row>
    <row r="5128" spans="1:15" x14ac:dyDescent="0.25">
      <c r="A5128" t="s">
        <v>16</v>
      </c>
      <c r="B5128" t="s">
        <v>3221</v>
      </c>
      <c r="C5128">
        <v>13611</v>
      </c>
      <c r="D5128" t="s">
        <v>943</v>
      </c>
      <c r="E5128" t="s">
        <v>944</v>
      </c>
      <c r="F5128">
        <v>9.3000000000000007</v>
      </c>
      <c r="G5128">
        <v>230930</v>
      </c>
      <c r="H5128">
        <v>4362</v>
      </c>
      <c r="I5128" t="s">
        <v>79</v>
      </c>
      <c r="J5128">
        <v>11.53</v>
      </c>
      <c r="K5128">
        <v>2.23</v>
      </c>
      <c r="L5128">
        <v>13540</v>
      </c>
      <c r="M5128" t="s">
        <v>85</v>
      </c>
      <c r="N5128" t="str">
        <f t="shared" si="106"/>
        <v xml:space="preserve">204479      </v>
      </c>
      <c r="O5128">
        <v>231011</v>
      </c>
    </row>
    <row r="5129" spans="1:15" x14ac:dyDescent="0.25">
      <c r="A5129" t="s">
        <v>16</v>
      </c>
      <c r="B5129" t="s">
        <v>3221</v>
      </c>
      <c r="C5129">
        <v>13611</v>
      </c>
      <c r="D5129" t="s">
        <v>943</v>
      </c>
      <c r="E5129" t="s">
        <v>944</v>
      </c>
      <c r="F5129">
        <v>63.43</v>
      </c>
      <c r="G5129">
        <v>230930</v>
      </c>
      <c r="H5129">
        <v>4362</v>
      </c>
      <c r="I5129" t="s">
        <v>79</v>
      </c>
      <c r="J5129">
        <v>78.650000000000006</v>
      </c>
      <c r="K5129">
        <v>15.22</v>
      </c>
      <c r="L5129">
        <v>17950</v>
      </c>
      <c r="M5129" t="s">
        <v>86</v>
      </c>
      <c r="N5129" t="str">
        <f t="shared" si="106"/>
        <v xml:space="preserve">204479      </v>
      </c>
      <c r="O5129">
        <v>231011</v>
      </c>
    </row>
    <row r="5130" spans="1:15" x14ac:dyDescent="0.25">
      <c r="A5130" t="s">
        <v>16</v>
      </c>
      <c r="B5130" t="s">
        <v>3221</v>
      </c>
      <c r="C5130">
        <v>13611</v>
      </c>
      <c r="D5130" t="s">
        <v>943</v>
      </c>
      <c r="E5130" t="s">
        <v>944</v>
      </c>
      <c r="F5130">
        <v>41.26</v>
      </c>
      <c r="G5130">
        <v>230930</v>
      </c>
      <c r="H5130">
        <v>4362</v>
      </c>
      <c r="I5130" t="s">
        <v>79</v>
      </c>
      <c r="J5130">
        <v>51.16</v>
      </c>
      <c r="K5130">
        <v>9.9</v>
      </c>
      <c r="L5130">
        <v>17951</v>
      </c>
      <c r="M5130" t="s">
        <v>87</v>
      </c>
      <c r="N5130" t="str">
        <f t="shared" si="106"/>
        <v xml:space="preserve">204479      </v>
      </c>
      <c r="O5130">
        <v>231011</v>
      </c>
    </row>
    <row r="5131" spans="1:15" x14ac:dyDescent="0.25">
      <c r="A5131" t="s">
        <v>16</v>
      </c>
      <c r="B5131" t="s">
        <v>3221</v>
      </c>
      <c r="C5131">
        <v>13611</v>
      </c>
      <c r="D5131" t="s">
        <v>943</v>
      </c>
      <c r="E5131" t="s">
        <v>944</v>
      </c>
      <c r="F5131">
        <v>16.91</v>
      </c>
      <c r="G5131">
        <v>230930</v>
      </c>
      <c r="H5131">
        <v>4362</v>
      </c>
      <c r="I5131" t="s">
        <v>79</v>
      </c>
      <c r="J5131">
        <v>20.97</v>
      </c>
      <c r="K5131">
        <v>4.0599999999999996</v>
      </c>
      <c r="L5131">
        <v>17955</v>
      </c>
      <c r="M5131" t="s">
        <v>933</v>
      </c>
      <c r="N5131" t="str">
        <f t="shared" si="106"/>
        <v xml:space="preserve">204479      </v>
      </c>
      <c r="O5131">
        <v>231011</v>
      </c>
    </row>
    <row r="5132" spans="1:15" x14ac:dyDescent="0.25">
      <c r="A5132" t="s">
        <v>16</v>
      </c>
      <c r="B5132" t="s">
        <v>3221</v>
      </c>
      <c r="C5132">
        <v>13611</v>
      </c>
      <c r="D5132" t="s">
        <v>943</v>
      </c>
      <c r="E5132" t="s">
        <v>944</v>
      </c>
      <c r="F5132">
        <v>11.84</v>
      </c>
      <c r="G5132">
        <v>230930</v>
      </c>
      <c r="H5132">
        <v>4362</v>
      </c>
      <c r="I5132" t="s">
        <v>79</v>
      </c>
      <c r="J5132">
        <v>14.68</v>
      </c>
      <c r="K5132">
        <v>2.84</v>
      </c>
      <c r="L5132">
        <v>17956</v>
      </c>
      <c r="M5132" t="s">
        <v>53</v>
      </c>
      <c r="N5132" t="str">
        <f t="shared" si="106"/>
        <v xml:space="preserve">204479      </v>
      </c>
      <c r="O5132">
        <v>231011</v>
      </c>
    </row>
    <row r="5133" spans="1:15" x14ac:dyDescent="0.25">
      <c r="A5133" t="s">
        <v>16</v>
      </c>
      <c r="B5133" t="s">
        <v>3221</v>
      </c>
      <c r="C5133">
        <v>13611</v>
      </c>
      <c r="D5133" t="s">
        <v>943</v>
      </c>
      <c r="E5133" t="s">
        <v>944</v>
      </c>
      <c r="F5133">
        <v>68.98</v>
      </c>
      <c r="G5133">
        <v>230930</v>
      </c>
      <c r="H5133">
        <v>4362</v>
      </c>
      <c r="I5133" t="s">
        <v>79</v>
      </c>
      <c r="J5133">
        <v>85.54</v>
      </c>
      <c r="K5133">
        <v>16.559999999999999</v>
      </c>
      <c r="L5133">
        <v>17956</v>
      </c>
      <c r="M5133" t="s">
        <v>53</v>
      </c>
      <c r="N5133" t="str">
        <f t="shared" si="106"/>
        <v xml:space="preserve">204479      </v>
      </c>
      <c r="O5133">
        <v>231011</v>
      </c>
    </row>
    <row r="5134" spans="1:15" x14ac:dyDescent="0.25">
      <c r="A5134" t="s">
        <v>16</v>
      </c>
      <c r="B5134" t="s">
        <v>3221</v>
      </c>
      <c r="C5134">
        <v>13611</v>
      </c>
      <c r="D5134" t="s">
        <v>943</v>
      </c>
      <c r="E5134" t="s">
        <v>944</v>
      </c>
      <c r="F5134">
        <v>32.18</v>
      </c>
      <c r="G5134">
        <v>230930</v>
      </c>
      <c r="H5134">
        <v>4362</v>
      </c>
      <c r="I5134" t="s">
        <v>79</v>
      </c>
      <c r="J5134">
        <v>39.9</v>
      </c>
      <c r="K5134">
        <v>7.72</v>
      </c>
      <c r="L5134">
        <v>17971</v>
      </c>
      <c r="M5134" t="s">
        <v>138</v>
      </c>
      <c r="N5134" t="str">
        <f t="shared" si="106"/>
        <v xml:space="preserve">204479      </v>
      </c>
      <c r="O5134">
        <v>231011</v>
      </c>
    </row>
    <row r="5135" spans="1:15" x14ac:dyDescent="0.25">
      <c r="A5135" t="s">
        <v>16</v>
      </c>
      <c r="B5135" t="s">
        <v>3221</v>
      </c>
      <c r="C5135">
        <v>13611</v>
      </c>
      <c r="D5135" t="s">
        <v>943</v>
      </c>
      <c r="E5135" t="s">
        <v>944</v>
      </c>
      <c r="F5135">
        <v>33.29</v>
      </c>
      <c r="G5135">
        <v>230930</v>
      </c>
      <c r="H5135">
        <v>4362</v>
      </c>
      <c r="I5135" t="s">
        <v>79</v>
      </c>
      <c r="J5135">
        <v>41.28</v>
      </c>
      <c r="K5135">
        <v>7.99</v>
      </c>
      <c r="L5135">
        <v>17971</v>
      </c>
      <c r="M5135" t="s">
        <v>138</v>
      </c>
      <c r="N5135" t="str">
        <f t="shared" si="106"/>
        <v xml:space="preserve">204479      </v>
      </c>
      <c r="O5135">
        <v>231011</v>
      </c>
    </row>
    <row r="5136" spans="1:15" x14ac:dyDescent="0.25">
      <c r="A5136" t="s">
        <v>16</v>
      </c>
      <c r="B5136" t="s">
        <v>3221</v>
      </c>
      <c r="C5136">
        <v>15098</v>
      </c>
      <c r="D5136" t="s">
        <v>943</v>
      </c>
      <c r="E5136" t="s">
        <v>944</v>
      </c>
      <c r="F5136">
        <v>41.85</v>
      </c>
      <c r="G5136">
        <v>231031</v>
      </c>
      <c r="H5136">
        <v>4362</v>
      </c>
      <c r="I5136" t="s">
        <v>79</v>
      </c>
      <c r="J5136">
        <v>51.9</v>
      </c>
      <c r="K5136">
        <v>10.050000000000001</v>
      </c>
      <c r="L5136">
        <v>11603</v>
      </c>
      <c r="M5136" t="s">
        <v>945</v>
      </c>
      <c r="N5136" t="str">
        <f t="shared" ref="N5136:N5144" si="107">"207545      "</f>
        <v xml:space="preserve">207545      </v>
      </c>
      <c r="O5136">
        <v>231108</v>
      </c>
    </row>
    <row r="5137" spans="1:15" x14ac:dyDescent="0.25">
      <c r="A5137" t="s">
        <v>16</v>
      </c>
      <c r="B5137" t="s">
        <v>3221</v>
      </c>
      <c r="C5137">
        <v>15098</v>
      </c>
      <c r="D5137" t="s">
        <v>943</v>
      </c>
      <c r="E5137" t="s">
        <v>944</v>
      </c>
      <c r="F5137">
        <v>9.32</v>
      </c>
      <c r="G5137">
        <v>231031</v>
      </c>
      <c r="H5137">
        <v>4362</v>
      </c>
      <c r="I5137" t="s">
        <v>79</v>
      </c>
      <c r="J5137">
        <v>11.56</v>
      </c>
      <c r="K5137">
        <v>2.2400000000000002</v>
      </c>
      <c r="L5137">
        <v>13540</v>
      </c>
      <c r="M5137" t="s">
        <v>85</v>
      </c>
      <c r="N5137" t="str">
        <f t="shared" si="107"/>
        <v xml:space="preserve">207545      </v>
      </c>
      <c r="O5137">
        <v>231108</v>
      </c>
    </row>
    <row r="5138" spans="1:15" x14ac:dyDescent="0.25">
      <c r="A5138" t="s">
        <v>16</v>
      </c>
      <c r="B5138" t="s">
        <v>3221</v>
      </c>
      <c r="C5138">
        <v>15098</v>
      </c>
      <c r="D5138" t="s">
        <v>943</v>
      </c>
      <c r="E5138" t="s">
        <v>944</v>
      </c>
      <c r="F5138">
        <v>63.58</v>
      </c>
      <c r="G5138">
        <v>231031</v>
      </c>
      <c r="H5138">
        <v>4362</v>
      </c>
      <c r="I5138" t="s">
        <v>79</v>
      </c>
      <c r="J5138">
        <v>78.84</v>
      </c>
      <c r="K5138">
        <v>15.26</v>
      </c>
      <c r="L5138">
        <v>17950</v>
      </c>
      <c r="M5138" t="s">
        <v>86</v>
      </c>
      <c r="N5138" t="str">
        <f t="shared" si="107"/>
        <v xml:space="preserve">207545      </v>
      </c>
      <c r="O5138">
        <v>231108</v>
      </c>
    </row>
    <row r="5139" spans="1:15" x14ac:dyDescent="0.25">
      <c r="A5139" t="s">
        <v>16</v>
      </c>
      <c r="B5139" t="s">
        <v>3221</v>
      </c>
      <c r="C5139">
        <v>15098</v>
      </c>
      <c r="D5139" t="s">
        <v>943</v>
      </c>
      <c r="E5139" t="s">
        <v>944</v>
      </c>
      <c r="F5139">
        <v>41.26</v>
      </c>
      <c r="G5139">
        <v>231031</v>
      </c>
      <c r="H5139">
        <v>4362</v>
      </c>
      <c r="I5139" t="s">
        <v>79</v>
      </c>
      <c r="J5139">
        <v>51.16</v>
      </c>
      <c r="K5139">
        <v>9.9</v>
      </c>
      <c r="L5139">
        <v>17951</v>
      </c>
      <c r="M5139" t="s">
        <v>87</v>
      </c>
      <c r="N5139" t="str">
        <f t="shared" si="107"/>
        <v xml:space="preserve">207545      </v>
      </c>
      <c r="O5139">
        <v>231108</v>
      </c>
    </row>
    <row r="5140" spans="1:15" x14ac:dyDescent="0.25">
      <c r="A5140" t="s">
        <v>16</v>
      </c>
      <c r="B5140" t="s">
        <v>3221</v>
      </c>
      <c r="C5140">
        <v>15098</v>
      </c>
      <c r="D5140" t="s">
        <v>943</v>
      </c>
      <c r="E5140" t="s">
        <v>944</v>
      </c>
      <c r="F5140">
        <v>16.91</v>
      </c>
      <c r="G5140">
        <v>231031</v>
      </c>
      <c r="H5140">
        <v>4362</v>
      </c>
      <c r="I5140" t="s">
        <v>79</v>
      </c>
      <c r="J5140">
        <v>20.97</v>
      </c>
      <c r="K5140">
        <v>4.0599999999999996</v>
      </c>
      <c r="L5140">
        <v>17955</v>
      </c>
      <c r="M5140" t="s">
        <v>933</v>
      </c>
      <c r="N5140" t="str">
        <f t="shared" si="107"/>
        <v xml:space="preserve">207545      </v>
      </c>
      <c r="O5140">
        <v>231108</v>
      </c>
    </row>
    <row r="5141" spans="1:15" x14ac:dyDescent="0.25">
      <c r="A5141" t="s">
        <v>16</v>
      </c>
      <c r="B5141" t="s">
        <v>3221</v>
      </c>
      <c r="C5141">
        <v>15098</v>
      </c>
      <c r="D5141" t="s">
        <v>943</v>
      </c>
      <c r="E5141" t="s">
        <v>944</v>
      </c>
      <c r="F5141">
        <v>11.87</v>
      </c>
      <c r="G5141">
        <v>231031</v>
      </c>
      <c r="H5141">
        <v>4362</v>
      </c>
      <c r="I5141" t="s">
        <v>79</v>
      </c>
      <c r="J5141">
        <v>14.72</v>
      </c>
      <c r="K5141">
        <v>2.85</v>
      </c>
      <c r="L5141">
        <v>17956</v>
      </c>
      <c r="M5141" t="s">
        <v>53</v>
      </c>
      <c r="N5141" t="str">
        <f t="shared" si="107"/>
        <v xml:space="preserve">207545      </v>
      </c>
      <c r="O5141">
        <v>231108</v>
      </c>
    </row>
    <row r="5142" spans="1:15" x14ac:dyDescent="0.25">
      <c r="A5142" t="s">
        <v>16</v>
      </c>
      <c r="B5142" t="s">
        <v>3221</v>
      </c>
      <c r="C5142">
        <v>15098</v>
      </c>
      <c r="D5142" t="s">
        <v>943</v>
      </c>
      <c r="E5142" t="s">
        <v>944</v>
      </c>
      <c r="F5142">
        <v>68.98</v>
      </c>
      <c r="G5142">
        <v>231031</v>
      </c>
      <c r="H5142">
        <v>4362</v>
      </c>
      <c r="I5142" t="s">
        <v>79</v>
      </c>
      <c r="J5142">
        <v>85.54</v>
      </c>
      <c r="K5142">
        <v>16.559999999999999</v>
      </c>
      <c r="L5142">
        <v>17956</v>
      </c>
      <c r="M5142" t="s">
        <v>53</v>
      </c>
      <c r="N5142" t="str">
        <f t="shared" si="107"/>
        <v xml:space="preserve">207545      </v>
      </c>
      <c r="O5142">
        <v>231108</v>
      </c>
    </row>
    <row r="5143" spans="1:15" x14ac:dyDescent="0.25">
      <c r="A5143" t="s">
        <v>16</v>
      </c>
      <c r="B5143" t="s">
        <v>3221</v>
      </c>
      <c r="C5143">
        <v>15098</v>
      </c>
      <c r="D5143" t="s">
        <v>943</v>
      </c>
      <c r="E5143" t="s">
        <v>944</v>
      </c>
      <c r="F5143">
        <v>33.29</v>
      </c>
      <c r="G5143">
        <v>231031</v>
      </c>
      <c r="H5143">
        <v>4362</v>
      </c>
      <c r="I5143" t="s">
        <v>79</v>
      </c>
      <c r="J5143">
        <v>41.28</v>
      </c>
      <c r="K5143">
        <v>7.99</v>
      </c>
      <c r="L5143">
        <v>17971</v>
      </c>
      <c r="M5143" t="s">
        <v>138</v>
      </c>
      <c r="N5143" t="str">
        <f t="shared" si="107"/>
        <v xml:space="preserve">207545      </v>
      </c>
      <c r="O5143">
        <v>231108</v>
      </c>
    </row>
    <row r="5144" spans="1:15" x14ac:dyDescent="0.25">
      <c r="A5144" t="s">
        <v>16</v>
      </c>
      <c r="B5144" t="s">
        <v>3221</v>
      </c>
      <c r="C5144">
        <v>15098</v>
      </c>
      <c r="D5144" t="s">
        <v>943</v>
      </c>
      <c r="E5144" t="s">
        <v>944</v>
      </c>
      <c r="F5144">
        <v>32.18</v>
      </c>
      <c r="G5144">
        <v>231031</v>
      </c>
      <c r="H5144">
        <v>4362</v>
      </c>
      <c r="I5144" t="s">
        <v>79</v>
      </c>
      <c r="J5144">
        <v>39.9</v>
      </c>
      <c r="K5144">
        <v>7.72</v>
      </c>
      <c r="L5144">
        <v>17972</v>
      </c>
      <c r="M5144" t="s">
        <v>248</v>
      </c>
      <c r="N5144" t="str">
        <f t="shared" si="107"/>
        <v xml:space="preserve">207545      </v>
      </c>
      <c r="O5144">
        <v>231108</v>
      </c>
    </row>
    <row r="5145" spans="1:15" x14ac:dyDescent="0.25">
      <c r="A5145" t="s">
        <v>16</v>
      </c>
      <c r="B5145" t="s">
        <v>3221</v>
      </c>
      <c r="C5145">
        <v>17047</v>
      </c>
      <c r="D5145" t="s">
        <v>943</v>
      </c>
      <c r="E5145" t="s">
        <v>944</v>
      </c>
      <c r="F5145">
        <v>41.85</v>
      </c>
      <c r="G5145">
        <v>231130</v>
      </c>
      <c r="H5145">
        <v>4362</v>
      </c>
      <c r="I5145" t="s">
        <v>79</v>
      </c>
      <c r="J5145">
        <v>51.9</v>
      </c>
      <c r="K5145">
        <v>10.050000000000001</v>
      </c>
      <c r="L5145">
        <v>11603</v>
      </c>
      <c r="M5145" t="s">
        <v>945</v>
      </c>
      <c r="N5145" t="str">
        <f t="shared" ref="N5145:N5153" si="108">"210794      "</f>
        <v xml:space="preserve">210794      </v>
      </c>
      <c r="O5145">
        <v>231212</v>
      </c>
    </row>
    <row r="5146" spans="1:15" x14ac:dyDescent="0.25">
      <c r="A5146" t="s">
        <v>16</v>
      </c>
      <c r="B5146" t="s">
        <v>3221</v>
      </c>
      <c r="C5146">
        <v>17047</v>
      </c>
      <c r="D5146" t="s">
        <v>943</v>
      </c>
      <c r="E5146" t="s">
        <v>944</v>
      </c>
      <c r="F5146">
        <v>9.36</v>
      </c>
      <c r="G5146">
        <v>231130</v>
      </c>
      <c r="H5146">
        <v>4362</v>
      </c>
      <c r="I5146" t="s">
        <v>79</v>
      </c>
      <c r="J5146">
        <v>11.61</v>
      </c>
      <c r="K5146">
        <v>2.25</v>
      </c>
      <c r="L5146">
        <v>13540</v>
      </c>
      <c r="M5146" t="s">
        <v>85</v>
      </c>
      <c r="N5146" t="str">
        <f t="shared" si="108"/>
        <v xml:space="preserve">210794      </v>
      </c>
      <c r="O5146">
        <v>231212</v>
      </c>
    </row>
    <row r="5147" spans="1:15" x14ac:dyDescent="0.25">
      <c r="A5147" t="s">
        <v>16</v>
      </c>
      <c r="B5147" t="s">
        <v>3221</v>
      </c>
      <c r="C5147">
        <v>17047</v>
      </c>
      <c r="D5147" t="s">
        <v>943</v>
      </c>
      <c r="E5147" t="s">
        <v>944</v>
      </c>
      <c r="F5147">
        <v>63.82</v>
      </c>
      <c r="G5147">
        <v>231130</v>
      </c>
      <c r="H5147">
        <v>4362</v>
      </c>
      <c r="I5147" t="s">
        <v>79</v>
      </c>
      <c r="J5147">
        <v>79.14</v>
      </c>
      <c r="K5147">
        <v>15.32</v>
      </c>
      <c r="L5147">
        <v>17950</v>
      </c>
      <c r="M5147" t="s">
        <v>86</v>
      </c>
      <c r="N5147" t="str">
        <f t="shared" si="108"/>
        <v xml:space="preserve">210794      </v>
      </c>
      <c r="O5147">
        <v>231212</v>
      </c>
    </row>
    <row r="5148" spans="1:15" x14ac:dyDescent="0.25">
      <c r="A5148" t="s">
        <v>16</v>
      </c>
      <c r="B5148" t="s">
        <v>3221</v>
      </c>
      <c r="C5148">
        <v>17047</v>
      </c>
      <c r="D5148" t="s">
        <v>943</v>
      </c>
      <c r="E5148" t="s">
        <v>944</v>
      </c>
      <c r="F5148">
        <v>41.26</v>
      </c>
      <c r="G5148">
        <v>231130</v>
      </c>
      <c r="H5148">
        <v>4362</v>
      </c>
      <c r="I5148" t="s">
        <v>79</v>
      </c>
      <c r="J5148">
        <v>51.16</v>
      </c>
      <c r="K5148">
        <v>9.9</v>
      </c>
      <c r="L5148">
        <v>17951</v>
      </c>
      <c r="M5148" t="s">
        <v>87</v>
      </c>
      <c r="N5148" t="str">
        <f t="shared" si="108"/>
        <v xml:space="preserve">210794      </v>
      </c>
      <c r="O5148">
        <v>231212</v>
      </c>
    </row>
    <row r="5149" spans="1:15" x14ac:dyDescent="0.25">
      <c r="A5149" t="s">
        <v>16</v>
      </c>
      <c r="B5149" t="s">
        <v>3221</v>
      </c>
      <c r="C5149">
        <v>17047</v>
      </c>
      <c r="D5149" t="s">
        <v>943</v>
      </c>
      <c r="E5149" t="s">
        <v>944</v>
      </c>
      <c r="F5149">
        <v>16.91</v>
      </c>
      <c r="G5149">
        <v>231130</v>
      </c>
      <c r="H5149">
        <v>4362</v>
      </c>
      <c r="I5149" t="s">
        <v>79</v>
      </c>
      <c r="J5149">
        <v>20.97</v>
      </c>
      <c r="K5149">
        <v>4.0599999999999996</v>
      </c>
      <c r="L5149">
        <v>17955</v>
      </c>
      <c r="M5149" t="s">
        <v>933</v>
      </c>
      <c r="N5149" t="str">
        <f t="shared" si="108"/>
        <v xml:space="preserve">210794      </v>
      </c>
      <c r="O5149">
        <v>231212</v>
      </c>
    </row>
    <row r="5150" spans="1:15" x14ac:dyDescent="0.25">
      <c r="A5150" t="s">
        <v>16</v>
      </c>
      <c r="B5150" t="s">
        <v>3221</v>
      </c>
      <c r="C5150">
        <v>17047</v>
      </c>
      <c r="D5150" t="s">
        <v>943</v>
      </c>
      <c r="E5150" t="s">
        <v>944</v>
      </c>
      <c r="F5150">
        <v>11.91</v>
      </c>
      <c r="G5150">
        <v>231130</v>
      </c>
      <c r="H5150">
        <v>4362</v>
      </c>
      <c r="I5150" t="s">
        <v>79</v>
      </c>
      <c r="J5150">
        <v>14.77</v>
      </c>
      <c r="K5150">
        <v>2.86</v>
      </c>
      <c r="L5150">
        <v>17956</v>
      </c>
      <c r="M5150" t="s">
        <v>53</v>
      </c>
      <c r="N5150" t="str">
        <f t="shared" si="108"/>
        <v xml:space="preserve">210794      </v>
      </c>
      <c r="O5150">
        <v>231212</v>
      </c>
    </row>
    <row r="5151" spans="1:15" x14ac:dyDescent="0.25">
      <c r="A5151" t="s">
        <v>16</v>
      </c>
      <c r="B5151" t="s">
        <v>3221</v>
      </c>
      <c r="C5151">
        <v>17047</v>
      </c>
      <c r="D5151" t="s">
        <v>943</v>
      </c>
      <c r="E5151" t="s">
        <v>944</v>
      </c>
      <c r="F5151">
        <v>68.98</v>
      </c>
      <c r="G5151">
        <v>231130</v>
      </c>
      <c r="H5151">
        <v>4362</v>
      </c>
      <c r="I5151" t="s">
        <v>79</v>
      </c>
      <c r="J5151">
        <v>85.54</v>
      </c>
      <c r="K5151">
        <v>16.559999999999999</v>
      </c>
      <c r="L5151">
        <v>17956</v>
      </c>
      <c r="M5151" t="s">
        <v>53</v>
      </c>
      <c r="N5151" t="str">
        <f t="shared" si="108"/>
        <v xml:space="preserve">210794      </v>
      </c>
      <c r="O5151">
        <v>231212</v>
      </c>
    </row>
    <row r="5152" spans="1:15" x14ac:dyDescent="0.25">
      <c r="A5152" t="s">
        <v>16</v>
      </c>
      <c r="B5152" t="s">
        <v>3221</v>
      </c>
      <c r="C5152">
        <v>17047</v>
      </c>
      <c r="D5152" t="s">
        <v>943</v>
      </c>
      <c r="E5152" t="s">
        <v>944</v>
      </c>
      <c r="F5152">
        <v>33.29</v>
      </c>
      <c r="G5152">
        <v>231130</v>
      </c>
      <c r="H5152">
        <v>4362</v>
      </c>
      <c r="I5152" t="s">
        <v>79</v>
      </c>
      <c r="J5152">
        <v>41.28</v>
      </c>
      <c r="K5152">
        <v>7.99</v>
      </c>
      <c r="L5152">
        <v>17971</v>
      </c>
      <c r="M5152" t="s">
        <v>138</v>
      </c>
      <c r="N5152" t="str">
        <f t="shared" si="108"/>
        <v xml:space="preserve">210794      </v>
      </c>
      <c r="O5152">
        <v>231212</v>
      </c>
    </row>
    <row r="5153" spans="1:15" x14ac:dyDescent="0.25">
      <c r="A5153" t="s">
        <v>16</v>
      </c>
      <c r="B5153" t="s">
        <v>3221</v>
      </c>
      <c r="C5153">
        <v>17047</v>
      </c>
      <c r="D5153" t="s">
        <v>943</v>
      </c>
      <c r="E5153" t="s">
        <v>944</v>
      </c>
      <c r="F5153">
        <v>32.18</v>
      </c>
      <c r="G5153">
        <v>231130</v>
      </c>
      <c r="H5153">
        <v>4362</v>
      </c>
      <c r="I5153" t="s">
        <v>79</v>
      </c>
      <c r="J5153">
        <v>39.9</v>
      </c>
      <c r="K5153">
        <v>7.72</v>
      </c>
      <c r="L5153">
        <v>17972</v>
      </c>
      <c r="M5153" t="s">
        <v>248</v>
      </c>
      <c r="N5153" t="str">
        <f t="shared" si="108"/>
        <v xml:space="preserve">210794      </v>
      </c>
      <c r="O5153">
        <v>231212</v>
      </c>
    </row>
    <row r="5154" spans="1:15" x14ac:dyDescent="0.25">
      <c r="A5154" t="s">
        <v>16</v>
      </c>
      <c r="B5154" t="s">
        <v>3221</v>
      </c>
      <c r="C5154">
        <v>18978</v>
      </c>
      <c r="D5154" t="s">
        <v>943</v>
      </c>
      <c r="E5154" t="s">
        <v>944</v>
      </c>
      <c r="F5154">
        <v>41.85</v>
      </c>
      <c r="G5154">
        <v>231231</v>
      </c>
      <c r="H5154">
        <v>4362</v>
      </c>
      <c r="I5154" t="s">
        <v>79</v>
      </c>
      <c r="J5154">
        <v>51.9</v>
      </c>
      <c r="K5154">
        <v>10.050000000000001</v>
      </c>
      <c r="L5154">
        <v>11603</v>
      </c>
      <c r="M5154" t="s">
        <v>945</v>
      </c>
      <c r="N5154" t="str">
        <f t="shared" ref="N5154:N5162" si="109">"213885      "</f>
        <v xml:space="preserve">213885      </v>
      </c>
      <c r="O5154">
        <v>240109</v>
      </c>
    </row>
    <row r="5155" spans="1:15" x14ac:dyDescent="0.25">
      <c r="A5155" t="s">
        <v>16</v>
      </c>
      <c r="B5155" t="s">
        <v>3221</v>
      </c>
      <c r="C5155">
        <v>18978</v>
      </c>
      <c r="D5155" t="s">
        <v>943</v>
      </c>
      <c r="E5155" t="s">
        <v>944</v>
      </c>
      <c r="F5155">
        <v>9.27</v>
      </c>
      <c r="G5155">
        <v>231231</v>
      </c>
      <c r="H5155">
        <v>4362</v>
      </c>
      <c r="I5155" t="s">
        <v>79</v>
      </c>
      <c r="J5155">
        <v>11.49</v>
      </c>
      <c r="K5155">
        <v>2.2200000000000002</v>
      </c>
      <c r="L5155">
        <v>13540</v>
      </c>
      <c r="M5155" t="s">
        <v>85</v>
      </c>
      <c r="N5155" t="str">
        <f t="shared" si="109"/>
        <v xml:space="preserve">213885      </v>
      </c>
      <c r="O5155">
        <v>240109</v>
      </c>
    </row>
    <row r="5156" spans="1:15" x14ac:dyDescent="0.25">
      <c r="A5156" t="s">
        <v>16</v>
      </c>
      <c r="B5156" t="s">
        <v>3221</v>
      </c>
      <c r="C5156">
        <v>18978</v>
      </c>
      <c r="D5156" t="s">
        <v>943</v>
      </c>
      <c r="E5156" t="s">
        <v>944</v>
      </c>
      <c r="F5156">
        <v>63.14</v>
      </c>
      <c r="G5156">
        <v>231231</v>
      </c>
      <c r="H5156">
        <v>4362</v>
      </c>
      <c r="I5156" t="s">
        <v>79</v>
      </c>
      <c r="J5156">
        <v>78.290000000000006</v>
      </c>
      <c r="K5156">
        <v>15.15</v>
      </c>
      <c r="L5156">
        <v>17950</v>
      </c>
      <c r="M5156" t="s">
        <v>86</v>
      </c>
      <c r="N5156" t="str">
        <f t="shared" si="109"/>
        <v xml:space="preserve">213885      </v>
      </c>
      <c r="O5156">
        <v>240109</v>
      </c>
    </row>
    <row r="5157" spans="1:15" x14ac:dyDescent="0.25">
      <c r="A5157" t="s">
        <v>16</v>
      </c>
      <c r="B5157" t="s">
        <v>3221</v>
      </c>
      <c r="C5157">
        <v>18978</v>
      </c>
      <c r="D5157" t="s">
        <v>943</v>
      </c>
      <c r="E5157" t="s">
        <v>944</v>
      </c>
      <c r="F5157">
        <v>41.26</v>
      </c>
      <c r="G5157">
        <v>231231</v>
      </c>
      <c r="H5157">
        <v>4362</v>
      </c>
      <c r="I5157" t="s">
        <v>79</v>
      </c>
      <c r="J5157">
        <v>51.16</v>
      </c>
      <c r="K5157">
        <v>9.9</v>
      </c>
      <c r="L5157">
        <v>17951</v>
      </c>
      <c r="M5157" t="s">
        <v>87</v>
      </c>
      <c r="N5157" t="str">
        <f t="shared" si="109"/>
        <v xml:space="preserve">213885      </v>
      </c>
      <c r="O5157">
        <v>240109</v>
      </c>
    </row>
    <row r="5158" spans="1:15" x14ac:dyDescent="0.25">
      <c r="A5158" t="s">
        <v>16</v>
      </c>
      <c r="B5158" t="s">
        <v>3221</v>
      </c>
      <c r="C5158">
        <v>18978</v>
      </c>
      <c r="D5158" t="s">
        <v>943</v>
      </c>
      <c r="E5158" t="s">
        <v>944</v>
      </c>
      <c r="F5158">
        <v>16.91</v>
      </c>
      <c r="G5158">
        <v>231231</v>
      </c>
      <c r="H5158">
        <v>4362</v>
      </c>
      <c r="I5158" t="s">
        <v>79</v>
      </c>
      <c r="J5158">
        <v>20.97</v>
      </c>
      <c r="K5158">
        <v>4.0599999999999996</v>
      </c>
      <c r="L5158">
        <v>17955</v>
      </c>
      <c r="M5158" t="s">
        <v>933</v>
      </c>
      <c r="N5158" t="str">
        <f t="shared" si="109"/>
        <v xml:space="preserve">213885      </v>
      </c>
      <c r="O5158">
        <v>240109</v>
      </c>
    </row>
    <row r="5159" spans="1:15" x14ac:dyDescent="0.25">
      <c r="A5159" t="s">
        <v>16</v>
      </c>
      <c r="B5159" t="s">
        <v>3221</v>
      </c>
      <c r="C5159">
        <v>18978</v>
      </c>
      <c r="D5159" t="s">
        <v>943</v>
      </c>
      <c r="E5159" t="s">
        <v>944</v>
      </c>
      <c r="F5159">
        <v>11.78</v>
      </c>
      <c r="G5159">
        <v>231231</v>
      </c>
      <c r="H5159">
        <v>4362</v>
      </c>
      <c r="I5159" t="s">
        <v>79</v>
      </c>
      <c r="J5159">
        <v>14.61</v>
      </c>
      <c r="K5159">
        <v>2.83</v>
      </c>
      <c r="L5159">
        <v>17956</v>
      </c>
      <c r="M5159" t="s">
        <v>53</v>
      </c>
      <c r="N5159" t="str">
        <f t="shared" si="109"/>
        <v xml:space="preserve">213885      </v>
      </c>
      <c r="O5159">
        <v>240109</v>
      </c>
    </row>
    <row r="5160" spans="1:15" x14ac:dyDescent="0.25">
      <c r="A5160" t="s">
        <v>16</v>
      </c>
      <c r="B5160" t="s">
        <v>3221</v>
      </c>
      <c r="C5160">
        <v>18978</v>
      </c>
      <c r="D5160" t="s">
        <v>943</v>
      </c>
      <c r="E5160" t="s">
        <v>944</v>
      </c>
      <c r="F5160">
        <v>68.98</v>
      </c>
      <c r="G5160">
        <v>231231</v>
      </c>
      <c r="H5160">
        <v>4362</v>
      </c>
      <c r="I5160" t="s">
        <v>79</v>
      </c>
      <c r="J5160">
        <v>85.54</v>
      </c>
      <c r="K5160">
        <v>16.559999999999999</v>
      </c>
      <c r="L5160">
        <v>17956</v>
      </c>
      <c r="M5160" t="s">
        <v>53</v>
      </c>
      <c r="N5160" t="str">
        <f t="shared" si="109"/>
        <v xml:space="preserve">213885      </v>
      </c>
      <c r="O5160">
        <v>240109</v>
      </c>
    </row>
    <row r="5161" spans="1:15" x14ac:dyDescent="0.25">
      <c r="A5161" t="s">
        <v>16</v>
      </c>
      <c r="B5161" t="s">
        <v>3221</v>
      </c>
      <c r="C5161">
        <v>18978</v>
      </c>
      <c r="D5161" t="s">
        <v>943</v>
      </c>
      <c r="E5161" t="s">
        <v>944</v>
      </c>
      <c r="F5161">
        <v>33.29</v>
      </c>
      <c r="G5161">
        <v>231231</v>
      </c>
      <c r="H5161">
        <v>4362</v>
      </c>
      <c r="I5161" t="s">
        <v>79</v>
      </c>
      <c r="J5161">
        <v>41.28</v>
      </c>
      <c r="K5161">
        <v>7.99</v>
      </c>
      <c r="L5161">
        <v>17971</v>
      </c>
      <c r="M5161" t="s">
        <v>138</v>
      </c>
      <c r="N5161" t="str">
        <f t="shared" si="109"/>
        <v xml:space="preserve">213885      </v>
      </c>
      <c r="O5161">
        <v>240109</v>
      </c>
    </row>
    <row r="5162" spans="1:15" x14ac:dyDescent="0.25">
      <c r="A5162" t="s">
        <v>16</v>
      </c>
      <c r="B5162" t="s">
        <v>3221</v>
      </c>
      <c r="C5162">
        <v>18978</v>
      </c>
      <c r="D5162" t="s">
        <v>943</v>
      </c>
      <c r="E5162" t="s">
        <v>944</v>
      </c>
      <c r="F5162">
        <v>32.18</v>
      </c>
      <c r="G5162">
        <v>231231</v>
      </c>
      <c r="H5162">
        <v>4362</v>
      </c>
      <c r="I5162" t="s">
        <v>79</v>
      </c>
      <c r="J5162">
        <v>39.9</v>
      </c>
      <c r="K5162">
        <v>7.72</v>
      </c>
      <c r="L5162">
        <v>17972</v>
      </c>
      <c r="M5162" t="s">
        <v>248</v>
      </c>
      <c r="N5162" t="str">
        <f t="shared" si="109"/>
        <v xml:space="preserve">213885      </v>
      </c>
      <c r="O5162">
        <v>240109</v>
      </c>
    </row>
    <row r="5163" spans="1:15" x14ac:dyDescent="0.25">
      <c r="A5163" t="s">
        <v>16</v>
      </c>
      <c r="B5163" t="s">
        <v>3221</v>
      </c>
      <c r="C5163">
        <v>1198</v>
      </c>
      <c r="D5163" t="s">
        <v>943</v>
      </c>
      <c r="E5163" t="s">
        <v>944</v>
      </c>
      <c r="F5163">
        <v>32.18</v>
      </c>
      <c r="G5163">
        <v>230131</v>
      </c>
      <c r="H5163">
        <v>4363</v>
      </c>
      <c r="I5163" t="s">
        <v>947</v>
      </c>
      <c r="J5163">
        <v>39.9</v>
      </c>
      <c r="K5163">
        <v>7.72</v>
      </c>
      <c r="L5163">
        <v>17972</v>
      </c>
      <c r="M5163" t="s">
        <v>248</v>
      </c>
      <c r="N5163" t="str">
        <f>"179468      "</f>
        <v xml:space="preserve">179468      </v>
      </c>
      <c r="O5163">
        <v>230206</v>
      </c>
    </row>
    <row r="5164" spans="1:15" x14ac:dyDescent="0.25">
      <c r="A5164" t="s">
        <v>16</v>
      </c>
      <c r="B5164" t="s">
        <v>3221</v>
      </c>
      <c r="C5164">
        <v>2119</v>
      </c>
      <c r="D5164" t="s">
        <v>1297</v>
      </c>
      <c r="E5164" t="s">
        <v>1298</v>
      </c>
      <c r="F5164">
        <v>182.38</v>
      </c>
      <c r="G5164">
        <v>230218</v>
      </c>
      <c r="H5164">
        <v>4580</v>
      </c>
      <c r="I5164" t="s">
        <v>35</v>
      </c>
      <c r="J5164">
        <v>226.15</v>
      </c>
      <c r="K5164">
        <v>43.77</v>
      </c>
      <c r="L5164">
        <v>16431</v>
      </c>
      <c r="M5164" t="s">
        <v>231</v>
      </c>
      <c r="N5164" t="str">
        <f>"1384512     "</f>
        <v xml:space="preserve">1384512     </v>
      </c>
      <c r="O5164">
        <v>230221</v>
      </c>
    </row>
    <row r="5165" spans="1:15" x14ac:dyDescent="0.25">
      <c r="A5165" t="s">
        <v>16</v>
      </c>
      <c r="B5165" t="s">
        <v>3221</v>
      </c>
      <c r="C5165">
        <v>9868</v>
      </c>
      <c r="D5165" t="s">
        <v>1297</v>
      </c>
      <c r="E5165" t="s">
        <v>1298</v>
      </c>
      <c r="F5165">
        <v>3540.35</v>
      </c>
      <c r="G5165">
        <v>230715</v>
      </c>
      <c r="H5165">
        <v>4580</v>
      </c>
      <c r="I5165" t="s">
        <v>35</v>
      </c>
      <c r="J5165">
        <v>4390.04</v>
      </c>
      <c r="K5165">
        <v>849.69</v>
      </c>
      <c r="L5165">
        <v>17952</v>
      </c>
      <c r="M5165" t="s">
        <v>88</v>
      </c>
      <c r="N5165" t="str">
        <f>"1393650     "</f>
        <v xml:space="preserve">1393650     </v>
      </c>
      <c r="O5165">
        <v>230731</v>
      </c>
    </row>
    <row r="5166" spans="1:15" x14ac:dyDescent="0.25">
      <c r="A5166" t="s">
        <v>16</v>
      </c>
      <c r="B5166" t="s">
        <v>3221</v>
      </c>
      <c r="C5166">
        <v>12069</v>
      </c>
      <c r="D5166" t="s">
        <v>1297</v>
      </c>
      <c r="E5166" t="s">
        <v>1298</v>
      </c>
      <c r="F5166">
        <v>378.72</v>
      </c>
      <c r="G5166">
        <v>230830</v>
      </c>
      <c r="H5166">
        <v>4580</v>
      </c>
      <c r="I5166" t="s">
        <v>35</v>
      </c>
      <c r="J5166">
        <v>469.61</v>
      </c>
      <c r="K5166">
        <v>90.89</v>
      </c>
      <c r="L5166">
        <v>17912</v>
      </c>
      <c r="M5166" t="s">
        <v>419</v>
      </c>
      <c r="N5166" t="str">
        <f>"1396182     "</f>
        <v xml:space="preserve">1396182     </v>
      </c>
      <c r="O5166">
        <v>230913</v>
      </c>
    </row>
    <row r="5167" spans="1:15" x14ac:dyDescent="0.25">
      <c r="A5167" t="s">
        <v>16</v>
      </c>
      <c r="B5167" t="s">
        <v>3221</v>
      </c>
      <c r="C5167">
        <v>13973</v>
      </c>
      <c r="D5167" t="s">
        <v>1297</v>
      </c>
      <c r="E5167" t="s">
        <v>1298</v>
      </c>
      <c r="F5167">
        <v>315.33999999999997</v>
      </c>
      <c r="G5167">
        <v>231006</v>
      </c>
      <c r="H5167">
        <v>4580</v>
      </c>
      <c r="I5167" t="s">
        <v>35</v>
      </c>
      <c r="J5167">
        <v>391.02</v>
      </c>
      <c r="K5167">
        <v>75.680000000000007</v>
      </c>
      <c r="L5167">
        <v>17975</v>
      </c>
      <c r="M5167" t="s">
        <v>798</v>
      </c>
      <c r="N5167" t="str">
        <f>"1398801     "</f>
        <v xml:space="preserve">1398801     </v>
      </c>
      <c r="O5167">
        <v>231017</v>
      </c>
    </row>
    <row r="5168" spans="1:15" x14ac:dyDescent="0.25">
      <c r="A5168" t="s">
        <v>16</v>
      </c>
      <c r="B5168" t="s">
        <v>3221</v>
      </c>
      <c r="C5168">
        <v>17100</v>
      </c>
      <c r="D5168" t="s">
        <v>1297</v>
      </c>
      <c r="E5168" t="s">
        <v>1298</v>
      </c>
      <c r="F5168">
        <v>379.98</v>
      </c>
      <c r="G5168">
        <v>231203</v>
      </c>
      <c r="H5168">
        <v>4580</v>
      </c>
      <c r="I5168" t="s">
        <v>35</v>
      </c>
      <c r="J5168">
        <v>471.17</v>
      </c>
      <c r="K5168">
        <v>91.19</v>
      </c>
      <c r="L5168">
        <v>54252</v>
      </c>
      <c r="M5168" t="s">
        <v>534</v>
      </c>
      <c r="N5168" t="str">
        <f>"1402474     "</f>
        <v xml:space="preserve">1402474     </v>
      </c>
      <c r="O5168">
        <v>231212</v>
      </c>
    </row>
    <row r="5169" spans="1:15" x14ac:dyDescent="0.25">
      <c r="A5169" t="s">
        <v>16</v>
      </c>
      <c r="B5169" t="s">
        <v>3221</v>
      </c>
      <c r="C5169">
        <v>17100</v>
      </c>
      <c r="D5169" t="s">
        <v>1297</v>
      </c>
      <c r="E5169" t="s">
        <v>1298</v>
      </c>
      <c r="F5169">
        <v>210.23</v>
      </c>
      <c r="G5169">
        <v>231203</v>
      </c>
      <c r="H5169">
        <v>4580</v>
      </c>
      <c r="I5169" t="s">
        <v>35</v>
      </c>
      <c r="J5169">
        <v>260.69</v>
      </c>
      <c r="K5169">
        <v>50.46</v>
      </c>
      <c r="L5169">
        <v>54422</v>
      </c>
      <c r="M5169" t="s">
        <v>234</v>
      </c>
      <c r="N5169" t="str">
        <f>"1402474     "</f>
        <v xml:space="preserve">1402474     </v>
      </c>
      <c r="O5169">
        <v>231212</v>
      </c>
    </row>
    <row r="5170" spans="1:15" x14ac:dyDescent="0.25">
      <c r="A5170" t="s">
        <v>16</v>
      </c>
      <c r="B5170" t="s">
        <v>3221</v>
      </c>
      <c r="C5170">
        <v>4203</v>
      </c>
      <c r="D5170" t="s">
        <v>1297</v>
      </c>
      <c r="E5170" t="s">
        <v>1298</v>
      </c>
      <c r="F5170">
        <v>108.26</v>
      </c>
      <c r="G5170">
        <v>230329</v>
      </c>
      <c r="H5170">
        <v>4600</v>
      </c>
      <c r="I5170" t="s">
        <v>105</v>
      </c>
      <c r="J5170">
        <v>134.24</v>
      </c>
      <c r="K5170">
        <v>25.98</v>
      </c>
      <c r="L5170">
        <v>17131</v>
      </c>
      <c r="M5170" t="s">
        <v>64</v>
      </c>
      <c r="N5170" t="str">
        <f>"1387070     "</f>
        <v xml:space="preserve">1387070     </v>
      </c>
      <c r="O5170">
        <v>230331</v>
      </c>
    </row>
    <row r="5171" spans="1:15" x14ac:dyDescent="0.25">
      <c r="A5171" t="s">
        <v>16</v>
      </c>
      <c r="B5171" t="s">
        <v>3221</v>
      </c>
      <c r="C5171">
        <v>8810</v>
      </c>
      <c r="D5171" t="s">
        <v>1297</v>
      </c>
      <c r="E5171" t="s">
        <v>1298</v>
      </c>
      <c r="F5171">
        <v>85.44</v>
      </c>
      <c r="G5171">
        <v>230609</v>
      </c>
      <c r="H5171">
        <v>4600</v>
      </c>
      <c r="I5171" t="s">
        <v>105</v>
      </c>
      <c r="J5171">
        <v>105.95</v>
      </c>
      <c r="K5171">
        <v>20.51</v>
      </c>
      <c r="L5171">
        <v>44453</v>
      </c>
      <c r="M5171" t="s">
        <v>492</v>
      </c>
      <c r="N5171" t="str">
        <f>"1391699     "</f>
        <v xml:space="preserve">1391699     </v>
      </c>
      <c r="O5171">
        <v>230615</v>
      </c>
    </row>
    <row r="5172" spans="1:15" x14ac:dyDescent="0.25">
      <c r="A5172" t="s">
        <v>16</v>
      </c>
      <c r="B5172" t="s">
        <v>3221</v>
      </c>
      <c r="C5172">
        <v>10726</v>
      </c>
      <c r="D5172" t="s">
        <v>1297</v>
      </c>
      <c r="E5172" t="s">
        <v>1298</v>
      </c>
      <c r="F5172">
        <v>330.84</v>
      </c>
      <c r="G5172">
        <v>230812</v>
      </c>
      <c r="H5172">
        <v>4600</v>
      </c>
      <c r="I5172" t="s">
        <v>105</v>
      </c>
      <c r="J5172">
        <v>410.24</v>
      </c>
      <c r="K5172">
        <v>79.400000000000006</v>
      </c>
      <c r="L5172">
        <v>17912</v>
      </c>
      <c r="M5172" t="s">
        <v>419</v>
      </c>
      <c r="N5172" t="str">
        <f>"1395160     "</f>
        <v xml:space="preserve">1395160     </v>
      </c>
      <c r="O5172">
        <v>230822</v>
      </c>
    </row>
    <row r="5173" spans="1:15" x14ac:dyDescent="0.25">
      <c r="A5173" t="s">
        <v>16</v>
      </c>
      <c r="B5173" t="s">
        <v>3221</v>
      </c>
      <c r="C5173">
        <v>12564</v>
      </c>
      <c r="D5173" t="s">
        <v>1297</v>
      </c>
      <c r="E5173" t="s">
        <v>1298</v>
      </c>
      <c r="F5173">
        <v>120.93</v>
      </c>
      <c r="G5173">
        <v>230919</v>
      </c>
      <c r="H5173">
        <v>4600</v>
      </c>
      <c r="I5173" t="s">
        <v>105</v>
      </c>
      <c r="J5173">
        <v>149.94999999999999</v>
      </c>
      <c r="K5173">
        <v>29.02</v>
      </c>
      <c r="L5173">
        <v>59501</v>
      </c>
      <c r="M5173" t="s">
        <v>69</v>
      </c>
      <c r="N5173" t="str">
        <f>"1397650     "</f>
        <v xml:space="preserve">1397650     </v>
      </c>
      <c r="O5173">
        <v>230921</v>
      </c>
    </row>
    <row r="5174" spans="1:15" x14ac:dyDescent="0.25">
      <c r="A5174" t="s">
        <v>16</v>
      </c>
      <c r="B5174" t="s">
        <v>3221</v>
      </c>
      <c r="C5174">
        <v>15225</v>
      </c>
      <c r="D5174" t="s">
        <v>1297</v>
      </c>
      <c r="E5174" t="s">
        <v>1298</v>
      </c>
      <c r="F5174">
        <v>465.56</v>
      </c>
      <c r="G5174">
        <v>231106</v>
      </c>
      <c r="H5174">
        <v>4600</v>
      </c>
      <c r="I5174" t="s">
        <v>105</v>
      </c>
      <c r="J5174">
        <v>577.29</v>
      </c>
      <c r="K5174">
        <v>111.73</v>
      </c>
      <c r="L5174">
        <v>13540</v>
      </c>
      <c r="M5174" t="s">
        <v>85</v>
      </c>
      <c r="N5174" t="str">
        <f>"1400672     "</f>
        <v xml:space="preserve">1400672     </v>
      </c>
      <c r="O5174">
        <v>231109</v>
      </c>
    </row>
    <row r="5175" spans="1:15" x14ac:dyDescent="0.25">
      <c r="A5175" t="s">
        <v>16</v>
      </c>
      <c r="B5175" t="s">
        <v>3221</v>
      </c>
      <c r="C5175">
        <v>15225</v>
      </c>
      <c r="D5175" t="s">
        <v>1297</v>
      </c>
      <c r="E5175" t="s">
        <v>1298</v>
      </c>
      <c r="F5175">
        <v>465.56</v>
      </c>
      <c r="G5175">
        <v>231106</v>
      </c>
      <c r="H5175">
        <v>4600</v>
      </c>
      <c r="I5175" t="s">
        <v>105</v>
      </c>
      <c r="J5175">
        <v>577.29</v>
      </c>
      <c r="K5175">
        <v>111.73</v>
      </c>
      <c r="L5175">
        <v>17950</v>
      </c>
      <c r="M5175" t="s">
        <v>86</v>
      </c>
      <c r="N5175" t="str">
        <f>"1400672     "</f>
        <v xml:space="preserve">1400672     </v>
      </c>
      <c r="O5175">
        <v>231109</v>
      </c>
    </row>
    <row r="5176" spans="1:15" x14ac:dyDescent="0.25">
      <c r="A5176" t="s">
        <v>16</v>
      </c>
      <c r="B5176" t="s">
        <v>3221</v>
      </c>
      <c r="C5176">
        <v>15225</v>
      </c>
      <c r="D5176" t="s">
        <v>1297</v>
      </c>
      <c r="E5176" t="s">
        <v>1298</v>
      </c>
      <c r="F5176">
        <v>465.56</v>
      </c>
      <c r="G5176">
        <v>231106</v>
      </c>
      <c r="H5176">
        <v>4600</v>
      </c>
      <c r="I5176" t="s">
        <v>105</v>
      </c>
      <c r="J5176">
        <v>577.29999999999995</v>
      </c>
      <c r="K5176">
        <v>111.74</v>
      </c>
      <c r="L5176">
        <v>17950</v>
      </c>
      <c r="M5176" t="s">
        <v>86</v>
      </c>
      <c r="N5176" t="str">
        <f>"1400672     "</f>
        <v xml:space="preserve">1400672     </v>
      </c>
      <c r="O5176">
        <v>231109</v>
      </c>
    </row>
    <row r="5177" spans="1:15" x14ac:dyDescent="0.25">
      <c r="A5177" t="s">
        <v>16</v>
      </c>
      <c r="B5177" t="s">
        <v>3221</v>
      </c>
      <c r="C5177">
        <v>16287</v>
      </c>
      <c r="D5177" t="s">
        <v>1297</v>
      </c>
      <c r="E5177" t="s">
        <v>1298</v>
      </c>
      <c r="F5177">
        <v>95.25</v>
      </c>
      <c r="G5177">
        <v>231115</v>
      </c>
      <c r="H5177">
        <v>4600</v>
      </c>
      <c r="I5177" t="s">
        <v>105</v>
      </c>
      <c r="J5177">
        <v>118.11</v>
      </c>
      <c r="K5177">
        <v>22.86</v>
      </c>
      <c r="L5177">
        <v>56553</v>
      </c>
      <c r="M5177" t="s">
        <v>1793</v>
      </c>
      <c r="N5177" t="str">
        <f>"1401106     "</f>
        <v xml:space="preserve">1401106     </v>
      </c>
      <c r="O5177">
        <v>231127</v>
      </c>
    </row>
    <row r="5178" spans="1:15" x14ac:dyDescent="0.25">
      <c r="A5178" t="s">
        <v>16</v>
      </c>
      <c r="B5178" t="s">
        <v>3221</v>
      </c>
      <c r="C5178">
        <v>17060</v>
      </c>
      <c r="D5178" t="s">
        <v>1297</v>
      </c>
      <c r="E5178" t="s">
        <v>1298</v>
      </c>
      <c r="F5178">
        <v>406.53</v>
      </c>
      <c r="G5178">
        <v>231202</v>
      </c>
      <c r="H5178">
        <v>4600</v>
      </c>
      <c r="I5178" t="s">
        <v>105</v>
      </c>
      <c r="J5178">
        <v>504.1</v>
      </c>
      <c r="K5178">
        <v>97.57</v>
      </c>
      <c r="L5178">
        <v>56524</v>
      </c>
      <c r="M5178" t="s">
        <v>150</v>
      </c>
      <c r="N5178" t="str">
        <f>"1402453     "</f>
        <v xml:space="preserve">1402453     </v>
      </c>
      <c r="O5178">
        <v>231212</v>
      </c>
    </row>
    <row r="5179" spans="1:15" x14ac:dyDescent="0.25">
      <c r="A5179" t="s">
        <v>16</v>
      </c>
      <c r="B5179" t="s">
        <v>3221</v>
      </c>
      <c r="C5179">
        <v>13973</v>
      </c>
      <c r="D5179" t="s">
        <v>1297</v>
      </c>
      <c r="E5179" t="s">
        <v>1298</v>
      </c>
      <c r="F5179">
        <v>51.38</v>
      </c>
      <c r="G5179">
        <v>231006</v>
      </c>
      <c r="H5179">
        <v>4364</v>
      </c>
      <c r="I5179" t="s">
        <v>296</v>
      </c>
      <c r="J5179">
        <v>63.71</v>
      </c>
      <c r="K5179">
        <v>12.33</v>
      </c>
      <c r="L5179">
        <v>17975</v>
      </c>
      <c r="M5179" t="s">
        <v>798</v>
      </c>
      <c r="N5179" t="str">
        <f>"1398801     "</f>
        <v xml:space="preserve">1398801     </v>
      </c>
      <c r="O5179">
        <v>231017</v>
      </c>
    </row>
    <row r="5180" spans="1:15" x14ac:dyDescent="0.25">
      <c r="A5180" t="s">
        <v>16</v>
      </c>
      <c r="B5180" t="s">
        <v>3221</v>
      </c>
      <c r="C5180">
        <v>9871</v>
      </c>
      <c r="D5180" t="s">
        <v>1297</v>
      </c>
      <c r="E5180" t="s">
        <v>1298</v>
      </c>
      <c r="F5180">
        <v>12.09</v>
      </c>
      <c r="G5180">
        <v>230719</v>
      </c>
      <c r="H5180">
        <v>4590</v>
      </c>
      <c r="I5180" t="s">
        <v>203</v>
      </c>
      <c r="J5180">
        <v>14.99</v>
      </c>
      <c r="K5180">
        <v>2.9</v>
      </c>
      <c r="L5180">
        <v>17952</v>
      </c>
      <c r="M5180" t="s">
        <v>88</v>
      </c>
      <c r="N5180" t="str">
        <f>"1393804     "</f>
        <v xml:space="preserve">1393804     </v>
      </c>
      <c r="O5180">
        <v>230731</v>
      </c>
    </row>
    <row r="5181" spans="1:15" x14ac:dyDescent="0.25">
      <c r="A5181" t="s">
        <v>16</v>
      </c>
      <c r="B5181" t="s">
        <v>3221</v>
      </c>
      <c r="C5181">
        <v>8810</v>
      </c>
      <c r="D5181" t="s">
        <v>1297</v>
      </c>
      <c r="E5181" t="s">
        <v>1298</v>
      </c>
      <c r="F5181">
        <v>370.71</v>
      </c>
      <c r="G5181">
        <v>230609</v>
      </c>
      <c r="H5181">
        <v>4530</v>
      </c>
      <c r="I5181" t="s">
        <v>342</v>
      </c>
      <c r="J5181">
        <v>459.68</v>
      </c>
      <c r="K5181">
        <v>88.97</v>
      </c>
      <c r="L5181">
        <v>44453</v>
      </c>
      <c r="M5181" t="s">
        <v>492</v>
      </c>
      <c r="N5181" t="str">
        <f>"1391699     "</f>
        <v xml:space="preserve">1391699     </v>
      </c>
      <c r="O5181">
        <v>230615</v>
      </c>
    </row>
    <row r="5182" spans="1:15" x14ac:dyDescent="0.25">
      <c r="A5182" t="s">
        <v>16</v>
      </c>
      <c r="B5182" t="s">
        <v>3221</v>
      </c>
      <c r="C5182">
        <v>12695</v>
      </c>
      <c r="D5182" t="s">
        <v>2599</v>
      </c>
      <c r="E5182" t="s">
        <v>2600</v>
      </c>
      <c r="F5182">
        <v>374.96</v>
      </c>
      <c r="G5182">
        <v>230916</v>
      </c>
      <c r="H5182">
        <v>4580</v>
      </c>
      <c r="I5182" t="s">
        <v>35</v>
      </c>
      <c r="J5182">
        <v>464.95</v>
      </c>
      <c r="K5182">
        <v>89.99</v>
      </c>
      <c r="L5182">
        <v>17527</v>
      </c>
      <c r="M5182" t="s">
        <v>422</v>
      </c>
      <c r="N5182" t="str">
        <f>"40007156    "</f>
        <v xml:space="preserve">40007156    </v>
      </c>
      <c r="O5182">
        <v>230925</v>
      </c>
    </row>
    <row r="5183" spans="1:15" x14ac:dyDescent="0.25">
      <c r="A5183" t="s">
        <v>16</v>
      </c>
      <c r="B5183" t="s">
        <v>3221</v>
      </c>
      <c r="C5183">
        <v>15892</v>
      </c>
      <c r="D5183" t="s">
        <v>2599</v>
      </c>
      <c r="E5183" t="s">
        <v>2600</v>
      </c>
      <c r="F5183">
        <v>798.39</v>
      </c>
      <c r="G5183">
        <v>231110</v>
      </c>
      <c r="H5183">
        <v>4580</v>
      </c>
      <c r="I5183" t="s">
        <v>35</v>
      </c>
      <c r="J5183">
        <v>990</v>
      </c>
      <c r="K5183">
        <v>191.61</v>
      </c>
      <c r="L5183">
        <v>67554</v>
      </c>
      <c r="M5183" t="s">
        <v>60</v>
      </c>
      <c r="N5183" t="str">
        <f>"40030920    "</f>
        <v xml:space="preserve">40030920    </v>
      </c>
      <c r="O5183">
        <v>231121</v>
      </c>
    </row>
    <row r="5184" spans="1:15" x14ac:dyDescent="0.25">
      <c r="A5184" t="s">
        <v>16</v>
      </c>
      <c r="B5184" t="s">
        <v>3221</v>
      </c>
      <c r="C5184">
        <v>12695</v>
      </c>
      <c r="D5184" t="s">
        <v>2599</v>
      </c>
      <c r="E5184" t="s">
        <v>2600</v>
      </c>
      <c r="F5184">
        <v>50.03</v>
      </c>
      <c r="G5184">
        <v>230916</v>
      </c>
      <c r="H5184">
        <v>4600</v>
      </c>
      <c r="I5184" t="s">
        <v>105</v>
      </c>
      <c r="J5184">
        <v>62.04</v>
      </c>
      <c r="K5184">
        <v>12.01</v>
      </c>
      <c r="L5184">
        <v>17527</v>
      </c>
      <c r="M5184" t="s">
        <v>422</v>
      </c>
      <c r="N5184" t="str">
        <f>"40007156    "</f>
        <v xml:space="preserve">40007156    </v>
      </c>
      <c r="O5184">
        <v>230925</v>
      </c>
    </row>
    <row r="5185" spans="1:15" x14ac:dyDescent="0.25">
      <c r="A5185" t="s">
        <v>16</v>
      </c>
      <c r="B5185" t="s">
        <v>3221</v>
      </c>
      <c r="C5185">
        <v>15892</v>
      </c>
      <c r="D5185" t="s">
        <v>2599</v>
      </c>
      <c r="E5185" t="s">
        <v>2600</v>
      </c>
      <c r="F5185">
        <v>135.58000000000001</v>
      </c>
      <c r="G5185">
        <v>231110</v>
      </c>
      <c r="H5185">
        <v>4600</v>
      </c>
      <c r="I5185" t="s">
        <v>105</v>
      </c>
      <c r="J5185">
        <v>168.12</v>
      </c>
      <c r="K5185">
        <v>32.54</v>
      </c>
      <c r="L5185">
        <v>67554</v>
      </c>
      <c r="M5185" t="s">
        <v>60</v>
      </c>
      <c r="N5185" t="str">
        <f>"40030920    "</f>
        <v xml:space="preserve">40030920    </v>
      </c>
      <c r="O5185">
        <v>231121</v>
      </c>
    </row>
    <row r="5186" spans="1:15" x14ac:dyDescent="0.25">
      <c r="A5186" t="s">
        <v>16</v>
      </c>
      <c r="B5186" t="s">
        <v>3221</v>
      </c>
      <c r="C5186">
        <v>16434</v>
      </c>
      <c r="D5186" t="s">
        <v>2599</v>
      </c>
      <c r="E5186" t="s">
        <v>2600</v>
      </c>
      <c r="F5186">
        <v>137.34</v>
      </c>
      <c r="G5186">
        <v>231127</v>
      </c>
      <c r="H5186">
        <v>4600</v>
      </c>
      <c r="I5186" t="s">
        <v>105</v>
      </c>
      <c r="J5186">
        <v>170.3</v>
      </c>
      <c r="K5186">
        <v>32.96</v>
      </c>
      <c r="L5186">
        <v>67554</v>
      </c>
      <c r="M5186" t="s">
        <v>60</v>
      </c>
      <c r="N5186" t="str">
        <f>"40038607    "</f>
        <v xml:space="preserve">40038607    </v>
      </c>
      <c r="O5186">
        <v>231129</v>
      </c>
    </row>
    <row r="5187" spans="1:15" x14ac:dyDescent="0.25">
      <c r="A5187" t="s">
        <v>16</v>
      </c>
      <c r="B5187" t="s">
        <v>3221</v>
      </c>
      <c r="C5187">
        <v>17495</v>
      </c>
      <c r="D5187" t="s">
        <v>2599</v>
      </c>
      <c r="E5187" t="s">
        <v>2600</v>
      </c>
      <c r="F5187">
        <v>47.03</v>
      </c>
      <c r="G5187">
        <v>231211</v>
      </c>
      <c r="H5187">
        <v>4600</v>
      </c>
      <c r="I5187" t="s">
        <v>105</v>
      </c>
      <c r="J5187">
        <v>58.32</v>
      </c>
      <c r="K5187">
        <v>11.29</v>
      </c>
      <c r="L5187">
        <v>67554</v>
      </c>
      <c r="M5187" t="s">
        <v>60</v>
      </c>
      <c r="N5187" t="str">
        <f>"40045976    "</f>
        <v xml:space="preserve">40045976    </v>
      </c>
      <c r="O5187">
        <v>231214</v>
      </c>
    </row>
    <row r="5188" spans="1:15" x14ac:dyDescent="0.25">
      <c r="A5188" t="s">
        <v>16</v>
      </c>
      <c r="B5188" t="s">
        <v>3221</v>
      </c>
      <c r="C5188">
        <v>17890</v>
      </c>
      <c r="D5188" t="s">
        <v>2599</v>
      </c>
      <c r="E5188" t="s">
        <v>2600</v>
      </c>
      <c r="F5188">
        <v>67.23</v>
      </c>
      <c r="G5188">
        <v>231214</v>
      </c>
      <c r="H5188">
        <v>4600</v>
      </c>
      <c r="I5188" t="s">
        <v>105</v>
      </c>
      <c r="J5188">
        <v>83.36</v>
      </c>
      <c r="K5188">
        <v>16.13</v>
      </c>
      <c r="L5188">
        <v>67554</v>
      </c>
      <c r="M5188" t="s">
        <v>60</v>
      </c>
      <c r="N5188" t="str">
        <f>"40046624    "</f>
        <v xml:space="preserve">40046624    </v>
      </c>
      <c r="O5188">
        <v>231227</v>
      </c>
    </row>
    <row r="5189" spans="1:15" x14ac:dyDescent="0.25">
      <c r="A5189" t="s">
        <v>16</v>
      </c>
      <c r="B5189" t="s">
        <v>3221</v>
      </c>
      <c r="C5189">
        <v>15892</v>
      </c>
      <c r="D5189" t="s">
        <v>2599</v>
      </c>
      <c r="E5189" t="s">
        <v>2600</v>
      </c>
      <c r="F5189">
        <v>10.9</v>
      </c>
      <c r="G5189">
        <v>231110</v>
      </c>
      <c r="H5189">
        <v>4550</v>
      </c>
      <c r="I5189" t="s">
        <v>312</v>
      </c>
      <c r="J5189">
        <v>13.52</v>
      </c>
      <c r="K5189">
        <v>2.62</v>
      </c>
      <c r="L5189">
        <v>67554</v>
      </c>
      <c r="M5189" t="s">
        <v>60</v>
      </c>
      <c r="N5189" t="str">
        <f>"40030920    "</f>
        <v xml:space="preserve">40030920    </v>
      </c>
      <c r="O5189">
        <v>231121</v>
      </c>
    </row>
    <row r="5190" spans="1:15" x14ac:dyDescent="0.25">
      <c r="A5190" t="s">
        <v>16</v>
      </c>
      <c r="B5190" t="s">
        <v>3221</v>
      </c>
      <c r="C5190">
        <v>12695</v>
      </c>
      <c r="D5190" t="s">
        <v>2599</v>
      </c>
      <c r="E5190" t="s">
        <v>2600</v>
      </c>
      <c r="F5190">
        <v>118.59</v>
      </c>
      <c r="G5190">
        <v>230916</v>
      </c>
      <c r="H5190">
        <v>4530</v>
      </c>
      <c r="I5190" t="s">
        <v>342</v>
      </c>
      <c r="J5190">
        <v>147.05000000000001</v>
      </c>
      <c r="K5190">
        <v>28.46</v>
      </c>
      <c r="L5190">
        <v>17806</v>
      </c>
      <c r="M5190" t="s">
        <v>265</v>
      </c>
      <c r="N5190" t="str">
        <f>"40007156    "</f>
        <v xml:space="preserve">40007156    </v>
      </c>
      <c r="O5190">
        <v>230925</v>
      </c>
    </row>
    <row r="5191" spans="1:15" x14ac:dyDescent="0.25">
      <c r="A5191" t="s">
        <v>16</v>
      </c>
      <c r="B5191" t="s">
        <v>3221</v>
      </c>
      <c r="C5191">
        <v>6583</v>
      </c>
      <c r="D5191" t="s">
        <v>1989</v>
      </c>
      <c r="E5191" t="s">
        <v>1990</v>
      </c>
      <c r="F5191">
        <v>286.14999999999998</v>
      </c>
      <c r="G5191">
        <v>230504</v>
      </c>
      <c r="H5191">
        <v>4420</v>
      </c>
      <c r="I5191" t="s">
        <v>132</v>
      </c>
      <c r="J5191">
        <v>354.82</v>
      </c>
      <c r="K5191">
        <v>68.67</v>
      </c>
      <c r="L5191">
        <v>56564</v>
      </c>
      <c r="M5191" t="s">
        <v>327</v>
      </c>
      <c r="N5191" t="str">
        <f>"21151       "</f>
        <v xml:space="preserve">21151       </v>
      </c>
      <c r="O5191">
        <v>230515</v>
      </c>
    </row>
    <row r="5192" spans="1:15" x14ac:dyDescent="0.25">
      <c r="A5192" t="s">
        <v>16</v>
      </c>
      <c r="B5192" t="s">
        <v>3221</v>
      </c>
      <c r="C5192">
        <v>6583</v>
      </c>
      <c r="D5192" t="s">
        <v>1989</v>
      </c>
      <c r="E5192" t="s">
        <v>1990</v>
      </c>
      <c r="F5192">
        <v>350</v>
      </c>
      <c r="G5192">
        <v>230504</v>
      </c>
      <c r="H5192">
        <v>4590</v>
      </c>
      <c r="I5192" t="s">
        <v>203</v>
      </c>
      <c r="J5192">
        <v>434</v>
      </c>
      <c r="K5192">
        <v>84</v>
      </c>
      <c r="L5192">
        <v>56564</v>
      </c>
      <c r="M5192" t="s">
        <v>327</v>
      </c>
      <c r="N5192" t="str">
        <f>"21151       "</f>
        <v xml:space="preserve">21151       </v>
      </c>
      <c r="O5192">
        <v>230515</v>
      </c>
    </row>
    <row r="5193" spans="1:15" x14ac:dyDescent="0.25">
      <c r="A5193" t="s">
        <v>16</v>
      </c>
      <c r="B5193" t="s">
        <v>3221</v>
      </c>
      <c r="C5193">
        <v>17642</v>
      </c>
      <c r="D5193" t="s">
        <v>2397</v>
      </c>
      <c r="E5193" t="s">
        <v>2398</v>
      </c>
      <c r="F5193">
        <v>372</v>
      </c>
      <c r="G5193">
        <v>231130</v>
      </c>
      <c r="H5193">
        <v>4341</v>
      </c>
      <c r="I5193" t="s">
        <v>32</v>
      </c>
      <c r="J5193">
        <v>461.28</v>
      </c>
      <c r="K5193">
        <v>89.28</v>
      </c>
      <c r="L5193">
        <v>11801</v>
      </c>
      <c r="M5193" t="s">
        <v>92</v>
      </c>
      <c r="N5193" t="str">
        <f>"401903      "</f>
        <v xml:space="preserve">401903      </v>
      </c>
      <c r="O5193">
        <v>231218</v>
      </c>
    </row>
    <row r="5194" spans="1:15" x14ac:dyDescent="0.25">
      <c r="A5194" t="s">
        <v>16</v>
      </c>
      <c r="B5194" t="s">
        <v>3221</v>
      </c>
      <c r="C5194">
        <v>10571</v>
      </c>
      <c r="D5194" t="s">
        <v>2397</v>
      </c>
      <c r="E5194" t="s">
        <v>2398</v>
      </c>
      <c r="F5194">
        <v>907</v>
      </c>
      <c r="G5194">
        <v>230726</v>
      </c>
      <c r="H5194">
        <v>4343</v>
      </c>
      <c r="I5194" t="s">
        <v>91</v>
      </c>
      <c r="J5194">
        <v>1124.68</v>
      </c>
      <c r="K5194">
        <v>217.68</v>
      </c>
      <c r="L5194">
        <v>11801</v>
      </c>
      <c r="M5194" t="s">
        <v>92</v>
      </c>
      <c r="N5194" t="str">
        <f>"400477      "</f>
        <v xml:space="preserve">400477      </v>
      </c>
      <c r="O5194">
        <v>230818</v>
      </c>
    </row>
    <row r="5195" spans="1:15" x14ac:dyDescent="0.25">
      <c r="A5195" t="s">
        <v>16</v>
      </c>
      <c r="B5195" t="s">
        <v>3221</v>
      </c>
      <c r="C5195">
        <v>7708</v>
      </c>
      <c r="D5195" t="s">
        <v>1048</v>
      </c>
      <c r="E5195" t="s">
        <v>1049</v>
      </c>
      <c r="F5195">
        <v>6.45</v>
      </c>
      <c r="G5195">
        <v>230530</v>
      </c>
      <c r="H5195">
        <v>4412</v>
      </c>
      <c r="I5195" t="s">
        <v>149</v>
      </c>
      <c r="J5195">
        <v>8</v>
      </c>
      <c r="K5195">
        <v>1.55</v>
      </c>
      <c r="L5195">
        <v>49702</v>
      </c>
      <c r="M5195" t="s">
        <v>584</v>
      </c>
      <c r="N5195" t="str">
        <f>"587         "</f>
        <v xml:space="preserve">587         </v>
      </c>
      <c r="O5195">
        <v>230602</v>
      </c>
    </row>
    <row r="5196" spans="1:15" x14ac:dyDescent="0.25">
      <c r="A5196" t="s">
        <v>16</v>
      </c>
      <c r="B5196" t="s">
        <v>3221</v>
      </c>
      <c r="C5196">
        <v>7708</v>
      </c>
      <c r="D5196" t="s">
        <v>1048</v>
      </c>
      <c r="E5196" t="s">
        <v>1049</v>
      </c>
      <c r="F5196">
        <v>141.82</v>
      </c>
      <c r="G5196">
        <v>230530</v>
      </c>
      <c r="H5196">
        <v>4412</v>
      </c>
      <c r="I5196" t="s">
        <v>149</v>
      </c>
      <c r="J5196">
        <v>156</v>
      </c>
      <c r="K5196">
        <v>14.18</v>
      </c>
      <c r="L5196">
        <v>49702</v>
      </c>
      <c r="M5196" t="s">
        <v>584</v>
      </c>
      <c r="N5196" t="str">
        <f>"587         "</f>
        <v xml:space="preserve">587         </v>
      </c>
      <c r="O5196">
        <v>230602</v>
      </c>
    </row>
    <row r="5197" spans="1:15" x14ac:dyDescent="0.25">
      <c r="A5197" t="s">
        <v>16</v>
      </c>
      <c r="B5197" t="s">
        <v>3221</v>
      </c>
      <c r="C5197">
        <v>12934</v>
      </c>
      <c r="D5197" t="s">
        <v>1048</v>
      </c>
      <c r="E5197" t="s">
        <v>1049</v>
      </c>
      <c r="F5197">
        <v>6.45</v>
      </c>
      <c r="G5197">
        <v>230921</v>
      </c>
      <c r="H5197">
        <v>4412</v>
      </c>
      <c r="I5197" t="s">
        <v>149</v>
      </c>
      <c r="J5197">
        <v>8</v>
      </c>
      <c r="K5197">
        <v>1.55</v>
      </c>
      <c r="L5197">
        <v>44422</v>
      </c>
      <c r="M5197" t="s">
        <v>482</v>
      </c>
      <c r="N5197" t="str">
        <f>"642         "</f>
        <v xml:space="preserve">642         </v>
      </c>
      <c r="O5197">
        <v>231002</v>
      </c>
    </row>
    <row r="5198" spans="1:15" x14ac:dyDescent="0.25">
      <c r="A5198" t="s">
        <v>16</v>
      </c>
      <c r="B5198" t="s">
        <v>3221</v>
      </c>
      <c r="C5198">
        <v>12934</v>
      </c>
      <c r="D5198" t="s">
        <v>1048</v>
      </c>
      <c r="E5198" t="s">
        <v>1049</v>
      </c>
      <c r="F5198">
        <v>196.36</v>
      </c>
      <c r="G5198">
        <v>230921</v>
      </c>
      <c r="H5198">
        <v>4412</v>
      </c>
      <c r="I5198" t="s">
        <v>149</v>
      </c>
      <c r="J5198">
        <v>216</v>
      </c>
      <c r="K5198">
        <v>19.64</v>
      </c>
      <c r="L5198">
        <v>44423</v>
      </c>
      <c r="M5198" t="s">
        <v>502</v>
      </c>
      <c r="N5198" t="str">
        <f>"642         "</f>
        <v xml:space="preserve">642         </v>
      </c>
      <c r="O5198">
        <v>231002</v>
      </c>
    </row>
    <row r="5199" spans="1:15" x14ac:dyDescent="0.25">
      <c r="A5199" t="s">
        <v>16</v>
      </c>
      <c r="B5199" t="s">
        <v>3221</v>
      </c>
      <c r="C5199">
        <v>12941</v>
      </c>
      <c r="D5199" t="s">
        <v>1048</v>
      </c>
      <c r="E5199" t="s">
        <v>1049</v>
      </c>
      <c r="F5199">
        <v>6.45</v>
      </c>
      <c r="G5199">
        <v>230921</v>
      </c>
      <c r="H5199">
        <v>4412</v>
      </c>
      <c r="I5199" t="s">
        <v>149</v>
      </c>
      <c r="J5199">
        <v>8</v>
      </c>
      <c r="K5199">
        <v>1.55</v>
      </c>
      <c r="L5199">
        <v>44422</v>
      </c>
      <c r="M5199" t="s">
        <v>482</v>
      </c>
      <c r="N5199" t="str">
        <f>"644         "</f>
        <v xml:space="preserve">644         </v>
      </c>
      <c r="O5199">
        <v>231002</v>
      </c>
    </row>
    <row r="5200" spans="1:15" x14ac:dyDescent="0.25">
      <c r="A5200" t="s">
        <v>16</v>
      </c>
      <c r="B5200" t="s">
        <v>3221</v>
      </c>
      <c r="C5200">
        <v>12941</v>
      </c>
      <c r="D5200" t="s">
        <v>1048</v>
      </c>
      <c r="E5200" t="s">
        <v>1049</v>
      </c>
      <c r="F5200">
        <v>141.82</v>
      </c>
      <c r="G5200">
        <v>230921</v>
      </c>
      <c r="H5200">
        <v>4412</v>
      </c>
      <c r="I5200" t="s">
        <v>149</v>
      </c>
      <c r="J5200">
        <v>156</v>
      </c>
      <c r="K5200">
        <v>14.18</v>
      </c>
      <c r="L5200">
        <v>44422</v>
      </c>
      <c r="M5200" t="s">
        <v>482</v>
      </c>
      <c r="N5200" t="str">
        <f>"644         "</f>
        <v xml:space="preserve">644         </v>
      </c>
      <c r="O5200">
        <v>231002</v>
      </c>
    </row>
    <row r="5201" spans="1:15" x14ac:dyDescent="0.25">
      <c r="A5201" t="s">
        <v>16</v>
      </c>
      <c r="B5201" t="s">
        <v>3221</v>
      </c>
      <c r="C5201">
        <v>1449</v>
      </c>
      <c r="D5201" t="s">
        <v>1048</v>
      </c>
      <c r="E5201" t="s">
        <v>1049</v>
      </c>
      <c r="F5201">
        <v>6.45</v>
      </c>
      <c r="G5201">
        <v>230207</v>
      </c>
      <c r="H5201">
        <v>4410</v>
      </c>
      <c r="I5201" t="s">
        <v>517</v>
      </c>
      <c r="J5201">
        <v>8</v>
      </c>
      <c r="K5201">
        <v>1.55</v>
      </c>
      <c r="L5201">
        <v>18122</v>
      </c>
      <c r="M5201" t="s">
        <v>407</v>
      </c>
      <c r="N5201" t="str">
        <f>"528         "</f>
        <v xml:space="preserve">528         </v>
      </c>
      <c r="O5201">
        <v>230209</v>
      </c>
    </row>
    <row r="5202" spans="1:15" x14ac:dyDescent="0.25">
      <c r="A5202" t="s">
        <v>16</v>
      </c>
      <c r="B5202" t="s">
        <v>3221</v>
      </c>
      <c r="C5202">
        <v>1449</v>
      </c>
      <c r="D5202" t="s">
        <v>1048</v>
      </c>
      <c r="E5202" t="s">
        <v>1049</v>
      </c>
      <c r="F5202">
        <v>14</v>
      </c>
      <c r="G5202">
        <v>230207</v>
      </c>
      <c r="H5202">
        <v>4410</v>
      </c>
      <c r="I5202" t="s">
        <v>517</v>
      </c>
      <c r="J5202">
        <v>14</v>
      </c>
      <c r="K5202">
        <v>0</v>
      </c>
      <c r="L5202">
        <v>18122</v>
      </c>
      <c r="M5202" t="s">
        <v>407</v>
      </c>
      <c r="N5202" t="str">
        <f>"528         "</f>
        <v xml:space="preserve">528         </v>
      </c>
      <c r="O5202">
        <v>230209</v>
      </c>
    </row>
    <row r="5203" spans="1:15" x14ac:dyDescent="0.25">
      <c r="A5203" t="s">
        <v>16</v>
      </c>
      <c r="B5203" t="s">
        <v>3221</v>
      </c>
      <c r="C5203">
        <v>1449</v>
      </c>
      <c r="D5203" t="s">
        <v>1048</v>
      </c>
      <c r="E5203" t="s">
        <v>1049</v>
      </c>
      <c r="F5203">
        <v>78.95</v>
      </c>
      <c r="G5203">
        <v>230207</v>
      </c>
      <c r="H5203">
        <v>4410</v>
      </c>
      <c r="I5203" t="s">
        <v>517</v>
      </c>
      <c r="J5203">
        <v>90</v>
      </c>
      <c r="K5203">
        <v>11.05</v>
      </c>
      <c r="L5203">
        <v>18122</v>
      </c>
      <c r="M5203" t="s">
        <v>407</v>
      </c>
      <c r="N5203" t="str">
        <f>"528         "</f>
        <v xml:space="preserve">528         </v>
      </c>
      <c r="O5203">
        <v>230209</v>
      </c>
    </row>
    <row r="5204" spans="1:15" x14ac:dyDescent="0.25">
      <c r="A5204" t="s">
        <v>16</v>
      </c>
      <c r="B5204" t="s">
        <v>3221</v>
      </c>
      <c r="C5204">
        <v>1449</v>
      </c>
      <c r="D5204" t="s">
        <v>1048</v>
      </c>
      <c r="E5204" t="s">
        <v>1049</v>
      </c>
      <c r="F5204">
        <v>141.82</v>
      </c>
      <c r="G5204">
        <v>230207</v>
      </c>
      <c r="H5204">
        <v>4410</v>
      </c>
      <c r="I5204" t="s">
        <v>517</v>
      </c>
      <c r="J5204">
        <v>156</v>
      </c>
      <c r="K5204">
        <v>14.18</v>
      </c>
      <c r="L5204">
        <v>18122</v>
      </c>
      <c r="M5204" t="s">
        <v>407</v>
      </c>
      <c r="N5204" t="str">
        <f>"528         "</f>
        <v xml:space="preserve">528         </v>
      </c>
      <c r="O5204">
        <v>230209</v>
      </c>
    </row>
    <row r="5205" spans="1:15" x14ac:dyDescent="0.25">
      <c r="A5205" t="s">
        <v>16</v>
      </c>
      <c r="B5205" t="s">
        <v>3221</v>
      </c>
      <c r="C5205">
        <v>345</v>
      </c>
      <c r="D5205" t="s">
        <v>340</v>
      </c>
      <c r="E5205" t="s">
        <v>341</v>
      </c>
      <c r="F5205">
        <v>19.100000000000001</v>
      </c>
      <c r="G5205">
        <v>230117</v>
      </c>
      <c r="H5205">
        <v>4532</v>
      </c>
      <c r="I5205" t="s">
        <v>116</v>
      </c>
      <c r="J5205">
        <v>23.68</v>
      </c>
      <c r="K5205">
        <v>4.58</v>
      </c>
      <c r="L5205">
        <v>59501</v>
      </c>
      <c r="M5205" t="s">
        <v>69</v>
      </c>
      <c r="N5205" t="str">
        <f>"6152973     "</f>
        <v xml:space="preserve">6152973     </v>
      </c>
      <c r="O5205">
        <v>230118</v>
      </c>
    </row>
    <row r="5206" spans="1:15" x14ac:dyDescent="0.25">
      <c r="A5206" t="s">
        <v>16</v>
      </c>
      <c r="B5206" t="s">
        <v>3221</v>
      </c>
      <c r="C5206">
        <v>380</v>
      </c>
      <c r="D5206" t="s">
        <v>340</v>
      </c>
      <c r="E5206" t="s">
        <v>341</v>
      </c>
      <c r="F5206">
        <v>183.22</v>
      </c>
      <c r="G5206">
        <v>230113</v>
      </c>
      <c r="H5206">
        <v>4532</v>
      </c>
      <c r="I5206" t="s">
        <v>116</v>
      </c>
      <c r="J5206">
        <v>227.19</v>
      </c>
      <c r="K5206">
        <v>43.97</v>
      </c>
      <c r="L5206">
        <v>49501</v>
      </c>
      <c r="M5206" t="s">
        <v>177</v>
      </c>
      <c r="N5206" t="str">
        <f>"6152459     "</f>
        <v xml:space="preserve">6152459     </v>
      </c>
      <c r="O5206">
        <v>230119</v>
      </c>
    </row>
    <row r="5207" spans="1:15" x14ac:dyDescent="0.25">
      <c r="A5207" t="s">
        <v>16</v>
      </c>
      <c r="B5207" t="s">
        <v>3221</v>
      </c>
      <c r="C5207">
        <v>561</v>
      </c>
      <c r="D5207" t="s">
        <v>340</v>
      </c>
      <c r="E5207" t="s">
        <v>341</v>
      </c>
      <c r="F5207">
        <v>3886.35</v>
      </c>
      <c r="G5207">
        <v>230120</v>
      </c>
      <c r="H5207">
        <v>4532</v>
      </c>
      <c r="I5207" t="s">
        <v>116</v>
      </c>
      <c r="J5207">
        <v>4819.07</v>
      </c>
      <c r="K5207">
        <v>932.72</v>
      </c>
      <c r="L5207">
        <v>47522</v>
      </c>
      <c r="M5207" t="s">
        <v>410</v>
      </c>
      <c r="N5207" t="str">
        <f>"6153801     "</f>
        <v xml:space="preserve">6153801     </v>
      </c>
      <c r="O5207">
        <v>230124</v>
      </c>
    </row>
    <row r="5208" spans="1:15" x14ac:dyDescent="0.25">
      <c r="A5208" t="s">
        <v>16</v>
      </c>
      <c r="B5208" t="s">
        <v>3221</v>
      </c>
      <c r="C5208">
        <v>827</v>
      </c>
      <c r="D5208" t="s">
        <v>340</v>
      </c>
      <c r="E5208" t="s">
        <v>341</v>
      </c>
      <c r="F5208">
        <v>354.82</v>
      </c>
      <c r="G5208">
        <v>230123</v>
      </c>
      <c r="H5208">
        <v>4532</v>
      </c>
      <c r="I5208" t="s">
        <v>116</v>
      </c>
      <c r="J5208">
        <v>439.98</v>
      </c>
      <c r="K5208">
        <v>85.16</v>
      </c>
      <c r="L5208">
        <v>46554</v>
      </c>
      <c r="M5208" t="s">
        <v>117</v>
      </c>
      <c r="N5208" t="str">
        <f>"6154070     "</f>
        <v xml:space="preserve">6154070     </v>
      </c>
      <c r="O5208">
        <v>230131</v>
      </c>
    </row>
    <row r="5209" spans="1:15" x14ac:dyDescent="0.25">
      <c r="A5209" t="s">
        <v>16</v>
      </c>
      <c r="B5209" t="s">
        <v>3221</v>
      </c>
      <c r="C5209">
        <v>904</v>
      </c>
      <c r="D5209" t="s">
        <v>340</v>
      </c>
      <c r="E5209" t="s">
        <v>341</v>
      </c>
      <c r="F5209">
        <v>25.15</v>
      </c>
      <c r="G5209">
        <v>230130</v>
      </c>
      <c r="H5209">
        <v>4532</v>
      </c>
      <c r="I5209" t="s">
        <v>116</v>
      </c>
      <c r="J5209">
        <v>31.19</v>
      </c>
      <c r="K5209">
        <v>6.04</v>
      </c>
      <c r="L5209">
        <v>59501</v>
      </c>
      <c r="M5209" t="s">
        <v>69</v>
      </c>
      <c r="N5209" t="str">
        <f>"6155158     "</f>
        <v xml:space="preserve">6155158     </v>
      </c>
      <c r="O5209">
        <v>230201</v>
      </c>
    </row>
    <row r="5210" spans="1:15" x14ac:dyDescent="0.25">
      <c r="A5210" t="s">
        <v>16</v>
      </c>
      <c r="B5210" t="s">
        <v>3221</v>
      </c>
      <c r="C5210">
        <v>905</v>
      </c>
      <c r="D5210" t="s">
        <v>340</v>
      </c>
      <c r="E5210" t="s">
        <v>341</v>
      </c>
      <c r="F5210">
        <v>61.64</v>
      </c>
      <c r="G5210">
        <v>230130</v>
      </c>
      <c r="H5210">
        <v>4532</v>
      </c>
      <c r="I5210" t="s">
        <v>116</v>
      </c>
      <c r="J5210">
        <v>76.430000000000007</v>
      </c>
      <c r="K5210">
        <v>14.79</v>
      </c>
      <c r="L5210">
        <v>59501</v>
      </c>
      <c r="M5210" t="s">
        <v>69</v>
      </c>
      <c r="N5210" t="str">
        <f>"6155157     "</f>
        <v xml:space="preserve">6155157     </v>
      </c>
      <c r="O5210">
        <v>230201</v>
      </c>
    </row>
    <row r="5211" spans="1:15" x14ac:dyDescent="0.25">
      <c r="A5211" t="s">
        <v>16</v>
      </c>
      <c r="B5211" t="s">
        <v>3221</v>
      </c>
      <c r="C5211">
        <v>906</v>
      </c>
      <c r="D5211" t="s">
        <v>340</v>
      </c>
      <c r="E5211" t="s">
        <v>341</v>
      </c>
      <c r="F5211">
        <v>106.38</v>
      </c>
      <c r="G5211">
        <v>230130</v>
      </c>
      <c r="H5211">
        <v>4532</v>
      </c>
      <c r="I5211" t="s">
        <v>116</v>
      </c>
      <c r="J5211">
        <v>131.91</v>
      </c>
      <c r="K5211">
        <v>25.53</v>
      </c>
      <c r="L5211">
        <v>59501</v>
      </c>
      <c r="M5211" t="s">
        <v>69</v>
      </c>
      <c r="N5211" t="str">
        <f>"6155156     "</f>
        <v xml:space="preserve">6155156     </v>
      </c>
      <c r="O5211">
        <v>230201</v>
      </c>
    </row>
    <row r="5212" spans="1:15" x14ac:dyDescent="0.25">
      <c r="A5212" t="s">
        <v>16</v>
      </c>
      <c r="B5212" t="s">
        <v>3221</v>
      </c>
      <c r="C5212">
        <v>1233</v>
      </c>
      <c r="D5212" t="s">
        <v>340</v>
      </c>
      <c r="E5212" t="s">
        <v>341</v>
      </c>
      <c r="F5212">
        <v>221.14</v>
      </c>
      <c r="G5212">
        <v>230131</v>
      </c>
      <c r="H5212">
        <v>4532</v>
      </c>
      <c r="I5212" t="s">
        <v>116</v>
      </c>
      <c r="J5212">
        <v>274.20999999999998</v>
      </c>
      <c r="K5212">
        <v>53.07</v>
      </c>
      <c r="L5212">
        <v>59113</v>
      </c>
      <c r="M5212" t="s">
        <v>235</v>
      </c>
      <c r="N5212" t="str">
        <f>"6155457     "</f>
        <v xml:space="preserve">6155457     </v>
      </c>
      <c r="O5212">
        <v>230206</v>
      </c>
    </row>
    <row r="5213" spans="1:15" x14ac:dyDescent="0.25">
      <c r="A5213" t="s">
        <v>16</v>
      </c>
      <c r="B5213" t="s">
        <v>3221</v>
      </c>
      <c r="C5213">
        <v>1234</v>
      </c>
      <c r="D5213" t="s">
        <v>340</v>
      </c>
      <c r="E5213" t="s">
        <v>341</v>
      </c>
      <c r="F5213">
        <v>64.44</v>
      </c>
      <c r="G5213">
        <v>230131</v>
      </c>
      <c r="H5213">
        <v>4532</v>
      </c>
      <c r="I5213" t="s">
        <v>116</v>
      </c>
      <c r="J5213">
        <v>79.91</v>
      </c>
      <c r="K5213">
        <v>15.47</v>
      </c>
      <c r="L5213">
        <v>59113</v>
      </c>
      <c r="M5213" t="s">
        <v>235</v>
      </c>
      <c r="N5213" t="str">
        <f>"6155458     "</f>
        <v xml:space="preserve">6155458     </v>
      </c>
      <c r="O5213">
        <v>230206</v>
      </c>
    </row>
    <row r="5214" spans="1:15" x14ac:dyDescent="0.25">
      <c r="A5214" t="s">
        <v>16</v>
      </c>
      <c r="B5214" t="s">
        <v>3221</v>
      </c>
      <c r="C5214">
        <v>1789</v>
      </c>
      <c r="D5214" t="s">
        <v>340</v>
      </c>
      <c r="E5214" t="s">
        <v>341</v>
      </c>
      <c r="F5214">
        <v>60.1</v>
      </c>
      <c r="G5214">
        <v>230207</v>
      </c>
      <c r="H5214">
        <v>4532</v>
      </c>
      <c r="I5214" t="s">
        <v>116</v>
      </c>
      <c r="J5214">
        <v>74.52</v>
      </c>
      <c r="K5214">
        <v>14.42</v>
      </c>
      <c r="L5214">
        <v>59113</v>
      </c>
      <c r="M5214" t="s">
        <v>235</v>
      </c>
      <c r="N5214" t="str">
        <f>"6156672     "</f>
        <v xml:space="preserve">6156672     </v>
      </c>
      <c r="O5214">
        <v>230214</v>
      </c>
    </row>
    <row r="5215" spans="1:15" x14ac:dyDescent="0.25">
      <c r="A5215" t="s">
        <v>16</v>
      </c>
      <c r="B5215" t="s">
        <v>3221</v>
      </c>
      <c r="C5215">
        <v>2971</v>
      </c>
      <c r="D5215" t="s">
        <v>340</v>
      </c>
      <c r="E5215" t="s">
        <v>341</v>
      </c>
      <c r="F5215">
        <v>73.430000000000007</v>
      </c>
      <c r="G5215">
        <v>230228</v>
      </c>
      <c r="H5215">
        <v>4532</v>
      </c>
      <c r="I5215" t="s">
        <v>116</v>
      </c>
      <c r="J5215">
        <v>91.05</v>
      </c>
      <c r="K5215">
        <v>17.62</v>
      </c>
      <c r="L5215">
        <v>59504</v>
      </c>
      <c r="M5215" t="s">
        <v>71</v>
      </c>
      <c r="N5215" t="str">
        <f>"6159708     "</f>
        <v xml:space="preserve">6159708     </v>
      </c>
      <c r="O5215">
        <v>230308</v>
      </c>
    </row>
    <row r="5216" spans="1:15" x14ac:dyDescent="0.25">
      <c r="A5216" t="s">
        <v>16</v>
      </c>
      <c r="B5216" t="s">
        <v>3221</v>
      </c>
      <c r="C5216">
        <v>3380</v>
      </c>
      <c r="D5216" t="s">
        <v>340</v>
      </c>
      <c r="E5216" t="s">
        <v>341</v>
      </c>
      <c r="F5216">
        <v>116.94</v>
      </c>
      <c r="G5216">
        <v>230313</v>
      </c>
      <c r="H5216">
        <v>4532</v>
      </c>
      <c r="I5216" t="s">
        <v>116</v>
      </c>
      <c r="J5216">
        <v>145</v>
      </c>
      <c r="K5216">
        <v>28.06</v>
      </c>
      <c r="L5216">
        <v>46555</v>
      </c>
      <c r="M5216" t="s">
        <v>597</v>
      </c>
      <c r="N5216" t="str">
        <f>"6161935     "</f>
        <v xml:space="preserve">6161935     </v>
      </c>
      <c r="O5216">
        <v>230315</v>
      </c>
    </row>
    <row r="5217" spans="1:15" x14ac:dyDescent="0.25">
      <c r="A5217" t="s">
        <v>16</v>
      </c>
      <c r="B5217" t="s">
        <v>3221</v>
      </c>
      <c r="C5217">
        <v>3380</v>
      </c>
      <c r="D5217" t="s">
        <v>340</v>
      </c>
      <c r="E5217" t="s">
        <v>341</v>
      </c>
      <c r="F5217">
        <v>352.4</v>
      </c>
      <c r="G5217">
        <v>230313</v>
      </c>
      <c r="H5217">
        <v>4532</v>
      </c>
      <c r="I5217" t="s">
        <v>116</v>
      </c>
      <c r="J5217">
        <v>436.98</v>
      </c>
      <c r="K5217">
        <v>84.58</v>
      </c>
      <c r="L5217">
        <v>46557</v>
      </c>
      <c r="M5217" t="s">
        <v>221</v>
      </c>
      <c r="N5217" t="str">
        <f>"6161935     "</f>
        <v xml:space="preserve">6161935     </v>
      </c>
      <c r="O5217">
        <v>230315</v>
      </c>
    </row>
    <row r="5218" spans="1:15" x14ac:dyDescent="0.25">
      <c r="A5218" t="s">
        <v>16</v>
      </c>
      <c r="B5218" t="s">
        <v>3221</v>
      </c>
      <c r="C5218">
        <v>3662</v>
      </c>
      <c r="D5218" t="s">
        <v>340</v>
      </c>
      <c r="E5218" t="s">
        <v>341</v>
      </c>
      <c r="F5218">
        <v>63.4</v>
      </c>
      <c r="G5218">
        <v>230314</v>
      </c>
      <c r="H5218">
        <v>4532</v>
      </c>
      <c r="I5218" t="s">
        <v>116</v>
      </c>
      <c r="J5218">
        <v>78.62</v>
      </c>
      <c r="K5218">
        <v>15.22</v>
      </c>
      <c r="L5218">
        <v>54422</v>
      </c>
      <c r="M5218" t="s">
        <v>234</v>
      </c>
      <c r="N5218" t="str">
        <f>"6162056     "</f>
        <v xml:space="preserve">6162056     </v>
      </c>
      <c r="O5218">
        <v>230320</v>
      </c>
    </row>
    <row r="5219" spans="1:15" x14ac:dyDescent="0.25">
      <c r="A5219" t="s">
        <v>16</v>
      </c>
      <c r="B5219" t="s">
        <v>3221</v>
      </c>
      <c r="C5219">
        <v>4023</v>
      </c>
      <c r="D5219" t="s">
        <v>340</v>
      </c>
      <c r="E5219" t="s">
        <v>341</v>
      </c>
      <c r="F5219">
        <v>45.8</v>
      </c>
      <c r="G5219">
        <v>230317</v>
      </c>
      <c r="H5219">
        <v>4532</v>
      </c>
      <c r="I5219" t="s">
        <v>116</v>
      </c>
      <c r="J5219">
        <v>56.79</v>
      </c>
      <c r="K5219">
        <v>10.99</v>
      </c>
      <c r="L5219">
        <v>54422</v>
      </c>
      <c r="M5219" t="s">
        <v>234</v>
      </c>
      <c r="N5219" t="str">
        <f>"6162731     "</f>
        <v xml:space="preserve">6162731     </v>
      </c>
      <c r="O5219">
        <v>230329</v>
      </c>
    </row>
    <row r="5220" spans="1:15" x14ac:dyDescent="0.25">
      <c r="A5220" t="s">
        <v>16</v>
      </c>
      <c r="B5220" t="s">
        <v>3221</v>
      </c>
      <c r="C5220">
        <v>4854</v>
      </c>
      <c r="D5220" t="s">
        <v>340</v>
      </c>
      <c r="E5220" t="s">
        <v>341</v>
      </c>
      <c r="F5220">
        <v>45.76</v>
      </c>
      <c r="G5220">
        <v>230406</v>
      </c>
      <c r="H5220">
        <v>4532</v>
      </c>
      <c r="I5220" t="s">
        <v>116</v>
      </c>
      <c r="J5220">
        <v>56.74</v>
      </c>
      <c r="K5220">
        <v>10.98</v>
      </c>
      <c r="L5220">
        <v>17147</v>
      </c>
      <c r="M5220" t="s">
        <v>1734</v>
      </c>
      <c r="N5220" t="str">
        <f>"6166017     "</f>
        <v xml:space="preserve">6166017     </v>
      </c>
      <c r="O5220">
        <v>230413</v>
      </c>
    </row>
    <row r="5221" spans="1:15" x14ac:dyDescent="0.25">
      <c r="A5221" t="s">
        <v>16</v>
      </c>
      <c r="B5221" t="s">
        <v>3221</v>
      </c>
      <c r="C5221">
        <v>5484</v>
      </c>
      <c r="D5221" t="s">
        <v>340</v>
      </c>
      <c r="E5221" t="s">
        <v>341</v>
      </c>
      <c r="F5221">
        <v>91.52</v>
      </c>
      <c r="G5221">
        <v>230419</v>
      </c>
      <c r="H5221">
        <v>4532</v>
      </c>
      <c r="I5221" t="s">
        <v>116</v>
      </c>
      <c r="J5221">
        <v>113.48</v>
      </c>
      <c r="K5221">
        <v>21.96</v>
      </c>
      <c r="L5221">
        <v>17737</v>
      </c>
      <c r="M5221" t="s">
        <v>279</v>
      </c>
      <c r="N5221" t="str">
        <f>"6167795     "</f>
        <v xml:space="preserve">6167795     </v>
      </c>
      <c r="O5221">
        <v>230425</v>
      </c>
    </row>
    <row r="5222" spans="1:15" x14ac:dyDescent="0.25">
      <c r="A5222" t="s">
        <v>16</v>
      </c>
      <c r="B5222" t="s">
        <v>3221</v>
      </c>
      <c r="C5222">
        <v>7205</v>
      </c>
      <c r="D5222" t="s">
        <v>340</v>
      </c>
      <c r="E5222" t="s">
        <v>341</v>
      </c>
      <c r="F5222">
        <v>76.75</v>
      </c>
      <c r="G5222">
        <v>230522</v>
      </c>
      <c r="H5222">
        <v>4532</v>
      </c>
      <c r="I5222" t="s">
        <v>116</v>
      </c>
      <c r="J5222">
        <v>95.17</v>
      </c>
      <c r="K5222">
        <v>18.420000000000002</v>
      </c>
      <c r="L5222">
        <v>59113</v>
      </c>
      <c r="M5222" t="s">
        <v>235</v>
      </c>
      <c r="N5222" t="str">
        <f>"6174270     "</f>
        <v xml:space="preserve">6174270     </v>
      </c>
      <c r="O5222">
        <v>230526</v>
      </c>
    </row>
    <row r="5223" spans="1:15" x14ac:dyDescent="0.25">
      <c r="A5223" t="s">
        <v>16</v>
      </c>
      <c r="B5223" t="s">
        <v>3221</v>
      </c>
      <c r="C5223">
        <v>7605</v>
      </c>
      <c r="D5223" t="s">
        <v>340</v>
      </c>
      <c r="E5223" t="s">
        <v>341</v>
      </c>
      <c r="F5223">
        <v>91.52</v>
      </c>
      <c r="G5223">
        <v>230525</v>
      </c>
      <c r="H5223">
        <v>4532</v>
      </c>
      <c r="I5223" t="s">
        <v>116</v>
      </c>
      <c r="J5223">
        <v>113.48</v>
      </c>
      <c r="K5223">
        <v>21.96</v>
      </c>
      <c r="L5223">
        <v>17711</v>
      </c>
      <c r="M5223" t="s">
        <v>65</v>
      </c>
      <c r="N5223" t="str">
        <f>"6175062     "</f>
        <v xml:space="preserve">6175062     </v>
      </c>
      <c r="O5223">
        <v>230601</v>
      </c>
    </row>
    <row r="5224" spans="1:15" x14ac:dyDescent="0.25">
      <c r="A5224" t="s">
        <v>16</v>
      </c>
      <c r="B5224" t="s">
        <v>3221</v>
      </c>
      <c r="C5224">
        <v>8872</v>
      </c>
      <c r="D5224" t="s">
        <v>340</v>
      </c>
      <c r="E5224" t="s">
        <v>341</v>
      </c>
      <c r="F5224">
        <v>138.81</v>
      </c>
      <c r="G5224">
        <v>230613</v>
      </c>
      <c r="H5224">
        <v>4532</v>
      </c>
      <c r="I5224" t="s">
        <v>116</v>
      </c>
      <c r="J5224">
        <v>172.12</v>
      </c>
      <c r="K5224">
        <v>33.31</v>
      </c>
      <c r="L5224">
        <v>46554</v>
      </c>
      <c r="M5224" t="s">
        <v>117</v>
      </c>
      <c r="N5224" t="str">
        <f>"6179122     "</f>
        <v xml:space="preserve">6179122     </v>
      </c>
      <c r="O5224">
        <v>230619</v>
      </c>
    </row>
    <row r="5225" spans="1:15" x14ac:dyDescent="0.25">
      <c r="A5225" t="s">
        <v>16</v>
      </c>
      <c r="B5225" t="s">
        <v>3221</v>
      </c>
      <c r="C5225">
        <v>9593</v>
      </c>
      <c r="D5225" t="s">
        <v>340</v>
      </c>
      <c r="E5225" t="s">
        <v>341</v>
      </c>
      <c r="F5225">
        <v>91.52</v>
      </c>
      <c r="G5225">
        <v>230630</v>
      </c>
      <c r="H5225">
        <v>4532</v>
      </c>
      <c r="I5225" t="s">
        <v>116</v>
      </c>
      <c r="J5225">
        <v>113.48</v>
      </c>
      <c r="K5225">
        <v>21.96</v>
      </c>
      <c r="L5225">
        <v>46554</v>
      </c>
      <c r="M5225" t="s">
        <v>117</v>
      </c>
      <c r="N5225" t="str">
        <f>"6182572     "</f>
        <v xml:space="preserve">6182572     </v>
      </c>
      <c r="O5225">
        <v>230717</v>
      </c>
    </row>
    <row r="5226" spans="1:15" x14ac:dyDescent="0.25">
      <c r="A5226" t="s">
        <v>16</v>
      </c>
      <c r="B5226" t="s">
        <v>3221</v>
      </c>
      <c r="C5226">
        <v>9931</v>
      </c>
      <c r="D5226" t="s">
        <v>340</v>
      </c>
      <c r="E5226" t="s">
        <v>341</v>
      </c>
      <c r="F5226">
        <v>85.06</v>
      </c>
      <c r="G5226">
        <v>230721</v>
      </c>
      <c r="H5226">
        <v>4532</v>
      </c>
      <c r="I5226" t="s">
        <v>116</v>
      </c>
      <c r="J5226">
        <v>105.47</v>
      </c>
      <c r="K5226">
        <v>20.41</v>
      </c>
      <c r="L5226">
        <v>17527</v>
      </c>
      <c r="M5226" t="s">
        <v>422</v>
      </c>
      <c r="N5226" t="str">
        <f>"6185417     "</f>
        <v xml:space="preserve">6185417     </v>
      </c>
      <c r="O5226">
        <v>230802</v>
      </c>
    </row>
    <row r="5227" spans="1:15" x14ac:dyDescent="0.25">
      <c r="A5227" t="s">
        <v>16</v>
      </c>
      <c r="B5227" t="s">
        <v>3221</v>
      </c>
      <c r="C5227">
        <v>10463</v>
      </c>
      <c r="D5227" t="s">
        <v>340</v>
      </c>
      <c r="E5227" t="s">
        <v>341</v>
      </c>
      <c r="F5227">
        <v>96.16</v>
      </c>
      <c r="G5227">
        <v>230811</v>
      </c>
      <c r="H5227">
        <v>4532</v>
      </c>
      <c r="I5227" t="s">
        <v>116</v>
      </c>
      <c r="J5227">
        <v>119.24</v>
      </c>
      <c r="K5227">
        <v>23.08</v>
      </c>
      <c r="L5227">
        <v>59114</v>
      </c>
      <c r="M5227" t="s">
        <v>556</v>
      </c>
      <c r="N5227" t="str">
        <f>"6187800     "</f>
        <v xml:space="preserve">6187800     </v>
      </c>
      <c r="O5227">
        <v>230816</v>
      </c>
    </row>
    <row r="5228" spans="1:15" x14ac:dyDescent="0.25">
      <c r="A5228" t="s">
        <v>16</v>
      </c>
      <c r="B5228" t="s">
        <v>3221</v>
      </c>
      <c r="C5228">
        <v>10757</v>
      </c>
      <c r="D5228" t="s">
        <v>340</v>
      </c>
      <c r="E5228" t="s">
        <v>341</v>
      </c>
      <c r="F5228">
        <v>120.32</v>
      </c>
      <c r="G5228">
        <v>230821</v>
      </c>
      <c r="H5228">
        <v>4532</v>
      </c>
      <c r="I5228" t="s">
        <v>116</v>
      </c>
      <c r="J5228">
        <v>149.19999999999999</v>
      </c>
      <c r="K5228">
        <v>28.88</v>
      </c>
      <c r="L5228">
        <v>17951</v>
      </c>
      <c r="M5228" t="s">
        <v>87</v>
      </c>
      <c r="N5228" t="str">
        <f>"6188813     "</f>
        <v xml:space="preserve">6188813     </v>
      </c>
      <c r="O5228">
        <v>230822</v>
      </c>
    </row>
    <row r="5229" spans="1:15" x14ac:dyDescent="0.25">
      <c r="A5229" t="s">
        <v>16</v>
      </c>
      <c r="B5229" t="s">
        <v>3221</v>
      </c>
      <c r="C5229">
        <v>10825</v>
      </c>
      <c r="D5229" t="s">
        <v>340</v>
      </c>
      <c r="E5229" t="s">
        <v>341</v>
      </c>
      <c r="F5229">
        <v>45.76</v>
      </c>
      <c r="G5229">
        <v>230814</v>
      </c>
      <c r="H5229">
        <v>4532</v>
      </c>
      <c r="I5229" t="s">
        <v>116</v>
      </c>
      <c r="J5229">
        <v>56.74</v>
      </c>
      <c r="K5229">
        <v>10.98</v>
      </c>
      <c r="L5229">
        <v>17527</v>
      </c>
      <c r="M5229" t="s">
        <v>422</v>
      </c>
      <c r="N5229" t="str">
        <f>"6187868     "</f>
        <v xml:space="preserve">6187868     </v>
      </c>
      <c r="O5229">
        <v>230823</v>
      </c>
    </row>
    <row r="5230" spans="1:15" x14ac:dyDescent="0.25">
      <c r="A5230" t="s">
        <v>16</v>
      </c>
      <c r="B5230" t="s">
        <v>3221</v>
      </c>
      <c r="C5230">
        <v>10828</v>
      </c>
      <c r="D5230" t="s">
        <v>340</v>
      </c>
      <c r="E5230" t="s">
        <v>341</v>
      </c>
      <c r="F5230">
        <v>102.37</v>
      </c>
      <c r="G5230">
        <v>230821</v>
      </c>
      <c r="H5230">
        <v>4532</v>
      </c>
      <c r="I5230" t="s">
        <v>116</v>
      </c>
      <c r="J5230">
        <v>126.94</v>
      </c>
      <c r="K5230">
        <v>24.57</v>
      </c>
      <c r="L5230">
        <v>17805</v>
      </c>
      <c r="M5230" t="s">
        <v>102</v>
      </c>
      <c r="N5230" t="str">
        <f>"6188744     "</f>
        <v xml:space="preserve">6188744     </v>
      </c>
      <c r="O5230">
        <v>230823</v>
      </c>
    </row>
    <row r="5231" spans="1:15" x14ac:dyDescent="0.25">
      <c r="A5231" t="s">
        <v>16</v>
      </c>
      <c r="B5231" t="s">
        <v>3221</v>
      </c>
      <c r="C5231">
        <v>11117</v>
      </c>
      <c r="D5231" t="s">
        <v>340</v>
      </c>
      <c r="E5231" t="s">
        <v>341</v>
      </c>
      <c r="F5231">
        <v>351.16</v>
      </c>
      <c r="G5231">
        <v>230823</v>
      </c>
      <c r="H5231">
        <v>4532</v>
      </c>
      <c r="I5231" t="s">
        <v>116</v>
      </c>
      <c r="J5231">
        <v>435.44</v>
      </c>
      <c r="K5231">
        <v>84.28</v>
      </c>
      <c r="L5231">
        <v>17802</v>
      </c>
      <c r="M5231" t="s">
        <v>174</v>
      </c>
      <c r="N5231" t="str">
        <f>"6189304     "</f>
        <v xml:space="preserve">6189304     </v>
      </c>
      <c r="O5231">
        <v>230830</v>
      </c>
    </row>
    <row r="5232" spans="1:15" x14ac:dyDescent="0.25">
      <c r="A5232" t="s">
        <v>16</v>
      </c>
      <c r="B5232" t="s">
        <v>3221</v>
      </c>
      <c r="C5232">
        <v>11349</v>
      </c>
      <c r="D5232" t="s">
        <v>340</v>
      </c>
      <c r="E5232" t="s">
        <v>341</v>
      </c>
      <c r="F5232">
        <v>57.26</v>
      </c>
      <c r="G5232">
        <v>230823</v>
      </c>
      <c r="H5232">
        <v>4532</v>
      </c>
      <c r="I5232" t="s">
        <v>116</v>
      </c>
      <c r="J5232">
        <v>71</v>
      </c>
      <c r="K5232">
        <v>13.74</v>
      </c>
      <c r="L5232">
        <v>17523</v>
      </c>
      <c r="M5232" t="s">
        <v>134</v>
      </c>
      <c r="N5232" t="str">
        <f>"6189324     "</f>
        <v xml:space="preserve">6189324     </v>
      </c>
      <c r="O5232">
        <v>230904</v>
      </c>
    </row>
    <row r="5233" spans="1:15" x14ac:dyDescent="0.25">
      <c r="A5233" t="s">
        <v>16</v>
      </c>
      <c r="B5233" t="s">
        <v>3221</v>
      </c>
      <c r="C5233">
        <v>11443</v>
      </c>
      <c r="D5233" t="s">
        <v>340</v>
      </c>
      <c r="E5233" t="s">
        <v>341</v>
      </c>
      <c r="F5233">
        <v>32.72</v>
      </c>
      <c r="G5233">
        <v>230831</v>
      </c>
      <c r="H5233">
        <v>4532</v>
      </c>
      <c r="I5233" t="s">
        <v>116</v>
      </c>
      <c r="J5233">
        <v>40.57</v>
      </c>
      <c r="K5233">
        <v>7.85</v>
      </c>
      <c r="L5233">
        <v>17951</v>
      </c>
      <c r="M5233" t="s">
        <v>87</v>
      </c>
      <c r="N5233" t="str">
        <f>"6191255     "</f>
        <v xml:space="preserve">6191255     </v>
      </c>
      <c r="O5233">
        <v>230905</v>
      </c>
    </row>
    <row r="5234" spans="1:15" x14ac:dyDescent="0.25">
      <c r="A5234" t="s">
        <v>16</v>
      </c>
      <c r="B5234" t="s">
        <v>3221</v>
      </c>
      <c r="C5234">
        <v>11450</v>
      </c>
      <c r="D5234" t="s">
        <v>340</v>
      </c>
      <c r="E5234" t="s">
        <v>341</v>
      </c>
      <c r="F5234">
        <v>38.340000000000003</v>
      </c>
      <c r="G5234">
        <v>230831</v>
      </c>
      <c r="H5234">
        <v>4532</v>
      </c>
      <c r="I5234" t="s">
        <v>116</v>
      </c>
      <c r="J5234">
        <v>47.54</v>
      </c>
      <c r="K5234">
        <v>9.1999999999999993</v>
      </c>
      <c r="L5234">
        <v>17913</v>
      </c>
      <c r="M5234" t="s">
        <v>431</v>
      </c>
      <c r="N5234" t="str">
        <f>"6191256     "</f>
        <v xml:space="preserve">6191256     </v>
      </c>
      <c r="O5234">
        <v>230905</v>
      </c>
    </row>
    <row r="5235" spans="1:15" x14ac:dyDescent="0.25">
      <c r="A5235" t="s">
        <v>16</v>
      </c>
      <c r="B5235" t="s">
        <v>3221</v>
      </c>
      <c r="C5235">
        <v>11592</v>
      </c>
      <c r="D5235" t="s">
        <v>340</v>
      </c>
      <c r="E5235" t="s">
        <v>341</v>
      </c>
      <c r="F5235">
        <v>45.76</v>
      </c>
      <c r="G5235">
        <v>230829</v>
      </c>
      <c r="H5235">
        <v>4532</v>
      </c>
      <c r="I5235" t="s">
        <v>116</v>
      </c>
      <c r="J5235">
        <v>56.74</v>
      </c>
      <c r="K5235">
        <v>10.98</v>
      </c>
      <c r="L5235">
        <v>17525</v>
      </c>
      <c r="M5235" t="s">
        <v>135</v>
      </c>
      <c r="N5235" t="str">
        <f>"6190215     "</f>
        <v xml:space="preserve">6190215     </v>
      </c>
      <c r="O5235">
        <v>230907</v>
      </c>
    </row>
    <row r="5236" spans="1:15" x14ac:dyDescent="0.25">
      <c r="A5236" t="s">
        <v>16</v>
      </c>
      <c r="B5236" t="s">
        <v>3221</v>
      </c>
      <c r="C5236">
        <v>11639</v>
      </c>
      <c r="D5236" t="s">
        <v>340</v>
      </c>
      <c r="E5236" t="s">
        <v>341</v>
      </c>
      <c r="F5236">
        <v>25.15</v>
      </c>
      <c r="G5236">
        <v>230904</v>
      </c>
      <c r="H5236">
        <v>4532</v>
      </c>
      <c r="I5236" t="s">
        <v>116</v>
      </c>
      <c r="J5236">
        <v>31.19</v>
      </c>
      <c r="K5236">
        <v>6.04</v>
      </c>
      <c r="L5236">
        <v>17951</v>
      </c>
      <c r="M5236" t="s">
        <v>87</v>
      </c>
      <c r="N5236" t="str">
        <f>"6191635     "</f>
        <v xml:space="preserve">6191635     </v>
      </c>
      <c r="O5236">
        <v>230907</v>
      </c>
    </row>
    <row r="5237" spans="1:15" x14ac:dyDescent="0.25">
      <c r="A5237" t="s">
        <v>16</v>
      </c>
      <c r="B5237" t="s">
        <v>3221</v>
      </c>
      <c r="C5237">
        <v>11736</v>
      </c>
      <c r="D5237" t="s">
        <v>340</v>
      </c>
      <c r="E5237" t="s">
        <v>341</v>
      </c>
      <c r="F5237">
        <v>25.15</v>
      </c>
      <c r="G5237">
        <v>230907</v>
      </c>
      <c r="H5237">
        <v>4532</v>
      </c>
      <c r="I5237" t="s">
        <v>116</v>
      </c>
      <c r="J5237">
        <v>31.19</v>
      </c>
      <c r="K5237">
        <v>6.04</v>
      </c>
      <c r="L5237">
        <v>17951</v>
      </c>
      <c r="M5237" t="s">
        <v>87</v>
      </c>
      <c r="N5237" t="str">
        <f>"6192431     "</f>
        <v xml:space="preserve">6192431     </v>
      </c>
      <c r="O5237">
        <v>230908</v>
      </c>
    </row>
    <row r="5238" spans="1:15" x14ac:dyDescent="0.25">
      <c r="A5238" t="s">
        <v>16</v>
      </c>
      <c r="B5238" t="s">
        <v>3221</v>
      </c>
      <c r="C5238">
        <v>11921</v>
      </c>
      <c r="D5238" t="s">
        <v>340</v>
      </c>
      <c r="E5238" t="s">
        <v>341</v>
      </c>
      <c r="F5238">
        <v>134.82</v>
      </c>
      <c r="G5238">
        <v>230831</v>
      </c>
      <c r="H5238">
        <v>4532</v>
      </c>
      <c r="I5238" t="s">
        <v>116</v>
      </c>
      <c r="J5238">
        <v>167.18</v>
      </c>
      <c r="K5238">
        <v>32.36</v>
      </c>
      <c r="L5238">
        <v>56560</v>
      </c>
      <c r="M5238" t="s">
        <v>654</v>
      </c>
      <c r="N5238" t="str">
        <f>"6191234     "</f>
        <v xml:space="preserve">6191234     </v>
      </c>
      <c r="O5238">
        <v>230911</v>
      </c>
    </row>
    <row r="5239" spans="1:15" x14ac:dyDescent="0.25">
      <c r="A5239" t="s">
        <v>16</v>
      </c>
      <c r="B5239" t="s">
        <v>3221</v>
      </c>
      <c r="C5239">
        <v>12092</v>
      </c>
      <c r="D5239" t="s">
        <v>340</v>
      </c>
      <c r="E5239" t="s">
        <v>341</v>
      </c>
      <c r="F5239">
        <v>200.99</v>
      </c>
      <c r="G5239">
        <v>230908</v>
      </c>
      <c r="H5239">
        <v>4532</v>
      </c>
      <c r="I5239" t="s">
        <v>116</v>
      </c>
      <c r="J5239">
        <v>249.23</v>
      </c>
      <c r="K5239">
        <v>48.24</v>
      </c>
      <c r="L5239">
        <v>17806</v>
      </c>
      <c r="M5239" t="s">
        <v>265</v>
      </c>
      <c r="N5239" t="str">
        <f>"6192555     "</f>
        <v xml:space="preserve">6192555     </v>
      </c>
      <c r="O5239">
        <v>230913</v>
      </c>
    </row>
    <row r="5240" spans="1:15" x14ac:dyDescent="0.25">
      <c r="A5240" t="s">
        <v>16</v>
      </c>
      <c r="B5240" t="s">
        <v>3221</v>
      </c>
      <c r="C5240">
        <v>12131</v>
      </c>
      <c r="D5240" t="s">
        <v>340</v>
      </c>
      <c r="E5240" t="s">
        <v>341</v>
      </c>
      <c r="F5240">
        <v>45.76</v>
      </c>
      <c r="G5240">
        <v>230905</v>
      </c>
      <c r="H5240">
        <v>4532</v>
      </c>
      <c r="I5240" t="s">
        <v>116</v>
      </c>
      <c r="J5240">
        <v>56.74</v>
      </c>
      <c r="K5240">
        <v>10.98</v>
      </c>
      <c r="L5240">
        <v>56565</v>
      </c>
      <c r="M5240" t="s">
        <v>758</v>
      </c>
      <c r="N5240" t="str">
        <f>"6191978     "</f>
        <v xml:space="preserve">6191978     </v>
      </c>
      <c r="O5240">
        <v>230914</v>
      </c>
    </row>
    <row r="5241" spans="1:15" x14ac:dyDescent="0.25">
      <c r="A5241" t="s">
        <v>16</v>
      </c>
      <c r="B5241" t="s">
        <v>3221</v>
      </c>
      <c r="C5241">
        <v>12134</v>
      </c>
      <c r="D5241" t="s">
        <v>340</v>
      </c>
      <c r="E5241" t="s">
        <v>341</v>
      </c>
      <c r="F5241">
        <v>114.43</v>
      </c>
      <c r="G5241">
        <v>230907</v>
      </c>
      <c r="H5241">
        <v>4532</v>
      </c>
      <c r="I5241" t="s">
        <v>116</v>
      </c>
      <c r="J5241">
        <v>141.88999999999999</v>
      </c>
      <c r="K5241">
        <v>27.46</v>
      </c>
      <c r="L5241">
        <v>56558</v>
      </c>
      <c r="M5241" t="s">
        <v>217</v>
      </c>
      <c r="N5241" t="str">
        <f>"6192460     "</f>
        <v xml:space="preserve">6192460     </v>
      </c>
      <c r="O5241">
        <v>230914</v>
      </c>
    </row>
    <row r="5242" spans="1:15" x14ac:dyDescent="0.25">
      <c r="A5242" t="s">
        <v>16</v>
      </c>
      <c r="B5242" t="s">
        <v>3221</v>
      </c>
      <c r="C5242">
        <v>12219</v>
      </c>
      <c r="D5242" t="s">
        <v>340</v>
      </c>
      <c r="E5242" t="s">
        <v>341</v>
      </c>
      <c r="F5242">
        <v>107.8</v>
      </c>
      <c r="G5242">
        <v>230908</v>
      </c>
      <c r="H5242">
        <v>4532</v>
      </c>
      <c r="I5242" t="s">
        <v>116</v>
      </c>
      <c r="J5242">
        <v>133.66999999999999</v>
      </c>
      <c r="K5242">
        <v>25.87</v>
      </c>
      <c r="L5242">
        <v>11001</v>
      </c>
      <c r="M5242" t="s">
        <v>326</v>
      </c>
      <c r="N5242" t="str">
        <f>"6192500     "</f>
        <v xml:space="preserve">6192500     </v>
      </c>
      <c r="O5242">
        <v>230915</v>
      </c>
    </row>
    <row r="5243" spans="1:15" x14ac:dyDescent="0.25">
      <c r="A5243" t="s">
        <v>16</v>
      </c>
      <c r="B5243" t="s">
        <v>3221</v>
      </c>
      <c r="C5243">
        <v>12515</v>
      </c>
      <c r="D5243" t="s">
        <v>340</v>
      </c>
      <c r="E5243" t="s">
        <v>341</v>
      </c>
      <c r="F5243">
        <v>141.72</v>
      </c>
      <c r="G5243">
        <v>230913</v>
      </c>
      <c r="H5243">
        <v>4532</v>
      </c>
      <c r="I5243" t="s">
        <v>116</v>
      </c>
      <c r="J5243">
        <v>175.73</v>
      </c>
      <c r="K5243">
        <v>34.01</v>
      </c>
      <c r="L5243">
        <v>44222</v>
      </c>
      <c r="M5243" t="s">
        <v>232</v>
      </c>
      <c r="N5243" t="str">
        <f>"6193303     "</f>
        <v xml:space="preserve">6193303     </v>
      </c>
      <c r="O5243">
        <v>230920</v>
      </c>
    </row>
    <row r="5244" spans="1:15" x14ac:dyDescent="0.25">
      <c r="A5244" t="s">
        <v>16</v>
      </c>
      <c r="B5244" t="s">
        <v>3221</v>
      </c>
      <c r="C5244">
        <v>12526</v>
      </c>
      <c r="D5244" t="s">
        <v>340</v>
      </c>
      <c r="E5244" t="s">
        <v>341</v>
      </c>
      <c r="F5244">
        <v>32.72</v>
      </c>
      <c r="G5244">
        <v>230914</v>
      </c>
      <c r="H5244">
        <v>4532</v>
      </c>
      <c r="I5244" t="s">
        <v>116</v>
      </c>
      <c r="J5244">
        <v>40.57</v>
      </c>
      <c r="K5244">
        <v>7.85</v>
      </c>
      <c r="L5244">
        <v>17951</v>
      </c>
      <c r="M5244" t="s">
        <v>87</v>
      </c>
      <c r="N5244" t="str">
        <f>"6193566     "</f>
        <v xml:space="preserve">6193566     </v>
      </c>
      <c r="O5244">
        <v>230920</v>
      </c>
    </row>
    <row r="5245" spans="1:15" x14ac:dyDescent="0.25">
      <c r="A5245" t="s">
        <v>16</v>
      </c>
      <c r="B5245" t="s">
        <v>3221</v>
      </c>
      <c r="C5245">
        <v>12545</v>
      </c>
      <c r="D5245" t="s">
        <v>340</v>
      </c>
      <c r="E5245" t="s">
        <v>341</v>
      </c>
      <c r="F5245">
        <v>64.44</v>
      </c>
      <c r="G5245">
        <v>230919</v>
      </c>
      <c r="H5245">
        <v>4532</v>
      </c>
      <c r="I5245" t="s">
        <v>116</v>
      </c>
      <c r="J5245">
        <v>79.91</v>
      </c>
      <c r="K5245">
        <v>15.47</v>
      </c>
      <c r="L5245">
        <v>17913</v>
      </c>
      <c r="M5245" t="s">
        <v>431</v>
      </c>
      <c r="N5245" t="str">
        <f>"6194623     "</f>
        <v xml:space="preserve">6194623     </v>
      </c>
      <c r="O5245">
        <v>230920</v>
      </c>
    </row>
    <row r="5246" spans="1:15" x14ac:dyDescent="0.25">
      <c r="A5246" t="s">
        <v>16</v>
      </c>
      <c r="B5246" t="s">
        <v>3221</v>
      </c>
      <c r="C5246">
        <v>12546</v>
      </c>
      <c r="D5246" t="s">
        <v>340</v>
      </c>
      <c r="E5246" t="s">
        <v>341</v>
      </c>
      <c r="F5246">
        <v>187.92</v>
      </c>
      <c r="G5246">
        <v>230919</v>
      </c>
      <c r="H5246">
        <v>4532</v>
      </c>
      <c r="I5246" t="s">
        <v>116</v>
      </c>
      <c r="J5246">
        <v>233.02</v>
      </c>
      <c r="K5246">
        <v>45.1</v>
      </c>
      <c r="L5246">
        <v>16431</v>
      </c>
      <c r="M5246" t="s">
        <v>231</v>
      </c>
      <c r="N5246" t="str">
        <f>"6194622     "</f>
        <v xml:space="preserve">6194622     </v>
      </c>
      <c r="O5246">
        <v>230920</v>
      </c>
    </row>
    <row r="5247" spans="1:15" x14ac:dyDescent="0.25">
      <c r="A5247" t="s">
        <v>16</v>
      </c>
      <c r="B5247" t="s">
        <v>3221</v>
      </c>
      <c r="C5247">
        <v>12546</v>
      </c>
      <c r="D5247" t="s">
        <v>340</v>
      </c>
      <c r="E5247" t="s">
        <v>341</v>
      </c>
      <c r="F5247">
        <v>132.30000000000001</v>
      </c>
      <c r="G5247">
        <v>230919</v>
      </c>
      <c r="H5247">
        <v>4532</v>
      </c>
      <c r="I5247" t="s">
        <v>116</v>
      </c>
      <c r="J5247">
        <v>164.05</v>
      </c>
      <c r="K5247">
        <v>31.75</v>
      </c>
      <c r="L5247">
        <v>17913</v>
      </c>
      <c r="M5247" t="s">
        <v>431</v>
      </c>
      <c r="N5247" t="str">
        <f>"6194622     "</f>
        <v xml:space="preserve">6194622     </v>
      </c>
      <c r="O5247">
        <v>230920</v>
      </c>
    </row>
    <row r="5248" spans="1:15" x14ac:dyDescent="0.25">
      <c r="A5248" t="s">
        <v>16</v>
      </c>
      <c r="B5248" t="s">
        <v>3221</v>
      </c>
      <c r="C5248">
        <v>12655</v>
      </c>
      <c r="D5248" t="s">
        <v>340</v>
      </c>
      <c r="E5248" t="s">
        <v>341</v>
      </c>
      <c r="F5248">
        <v>299.76</v>
      </c>
      <c r="G5248">
        <v>230914</v>
      </c>
      <c r="H5248">
        <v>4532</v>
      </c>
      <c r="I5248" t="s">
        <v>116</v>
      </c>
      <c r="J5248">
        <v>371.7</v>
      </c>
      <c r="K5248">
        <v>71.94</v>
      </c>
      <c r="L5248">
        <v>46554</v>
      </c>
      <c r="M5248" t="s">
        <v>117</v>
      </c>
      <c r="N5248" t="str">
        <f>"6193548     "</f>
        <v xml:space="preserve">6193548     </v>
      </c>
      <c r="O5248">
        <v>230922</v>
      </c>
    </row>
    <row r="5249" spans="1:15" x14ac:dyDescent="0.25">
      <c r="A5249" t="s">
        <v>16</v>
      </c>
      <c r="B5249" t="s">
        <v>3221</v>
      </c>
      <c r="C5249">
        <v>12759</v>
      </c>
      <c r="D5249" t="s">
        <v>340</v>
      </c>
      <c r="E5249" t="s">
        <v>341</v>
      </c>
      <c r="F5249">
        <v>144.1</v>
      </c>
      <c r="G5249">
        <v>230831</v>
      </c>
      <c r="H5249">
        <v>4532</v>
      </c>
      <c r="I5249" t="s">
        <v>116</v>
      </c>
      <c r="J5249">
        <v>178.68</v>
      </c>
      <c r="K5249">
        <v>34.58</v>
      </c>
      <c r="L5249">
        <v>49112</v>
      </c>
      <c r="M5249" t="s">
        <v>233</v>
      </c>
      <c r="N5249" t="str">
        <f>"6191248     "</f>
        <v xml:space="preserve">6191248     </v>
      </c>
      <c r="O5249">
        <v>230926</v>
      </c>
    </row>
    <row r="5250" spans="1:15" x14ac:dyDescent="0.25">
      <c r="A5250" t="s">
        <v>16</v>
      </c>
      <c r="B5250" t="s">
        <v>3221</v>
      </c>
      <c r="C5250">
        <v>12795</v>
      </c>
      <c r="D5250" t="s">
        <v>340</v>
      </c>
      <c r="E5250" t="s">
        <v>341</v>
      </c>
      <c r="F5250">
        <v>76.680000000000007</v>
      </c>
      <c r="G5250">
        <v>230919</v>
      </c>
      <c r="H5250">
        <v>4532</v>
      </c>
      <c r="I5250" t="s">
        <v>116</v>
      </c>
      <c r="J5250">
        <v>95.08</v>
      </c>
      <c r="K5250">
        <v>18.399999999999999</v>
      </c>
      <c r="L5250">
        <v>49112</v>
      </c>
      <c r="M5250" t="s">
        <v>233</v>
      </c>
      <c r="N5250" t="str">
        <f>"6194563     "</f>
        <v xml:space="preserve">6194563     </v>
      </c>
      <c r="O5250">
        <v>230926</v>
      </c>
    </row>
    <row r="5251" spans="1:15" x14ac:dyDescent="0.25">
      <c r="A5251" t="s">
        <v>16</v>
      </c>
      <c r="B5251" t="s">
        <v>3221</v>
      </c>
      <c r="C5251">
        <v>12798</v>
      </c>
      <c r="D5251" t="s">
        <v>340</v>
      </c>
      <c r="E5251" t="s">
        <v>341</v>
      </c>
      <c r="F5251">
        <v>165.86</v>
      </c>
      <c r="G5251">
        <v>230922</v>
      </c>
      <c r="H5251">
        <v>4532</v>
      </c>
      <c r="I5251" t="s">
        <v>116</v>
      </c>
      <c r="J5251">
        <v>205.67</v>
      </c>
      <c r="K5251">
        <v>39.81</v>
      </c>
      <c r="L5251">
        <v>49501</v>
      </c>
      <c r="M5251" t="s">
        <v>177</v>
      </c>
      <c r="N5251" t="str">
        <f>"6195369     "</f>
        <v xml:space="preserve">6195369     </v>
      </c>
      <c r="O5251">
        <v>230926</v>
      </c>
    </row>
    <row r="5252" spans="1:15" x14ac:dyDescent="0.25">
      <c r="A5252" t="s">
        <v>16</v>
      </c>
      <c r="B5252" t="s">
        <v>3221</v>
      </c>
      <c r="C5252">
        <v>12863</v>
      </c>
      <c r="D5252" t="s">
        <v>340</v>
      </c>
      <c r="E5252" t="s">
        <v>341</v>
      </c>
      <c r="F5252">
        <v>417.95</v>
      </c>
      <c r="G5252">
        <v>230925</v>
      </c>
      <c r="H5252">
        <v>4532</v>
      </c>
      <c r="I5252" t="s">
        <v>116</v>
      </c>
      <c r="J5252">
        <v>518.26</v>
      </c>
      <c r="K5252">
        <v>100.31</v>
      </c>
      <c r="L5252">
        <v>56562</v>
      </c>
      <c r="M5252" t="s">
        <v>126</v>
      </c>
      <c r="N5252" t="str">
        <f>"6195555     "</f>
        <v xml:space="preserve">6195555     </v>
      </c>
      <c r="O5252">
        <v>230928</v>
      </c>
    </row>
    <row r="5253" spans="1:15" x14ac:dyDescent="0.25">
      <c r="A5253" t="s">
        <v>16</v>
      </c>
      <c r="B5253" t="s">
        <v>3221</v>
      </c>
      <c r="C5253">
        <v>13114</v>
      </c>
      <c r="D5253" t="s">
        <v>340</v>
      </c>
      <c r="E5253" t="s">
        <v>341</v>
      </c>
      <c r="F5253">
        <v>198.58</v>
      </c>
      <c r="G5253">
        <v>230831</v>
      </c>
      <c r="H5253">
        <v>4532</v>
      </c>
      <c r="I5253" t="s">
        <v>116</v>
      </c>
      <c r="J5253">
        <v>246.24</v>
      </c>
      <c r="K5253">
        <v>47.66</v>
      </c>
      <c r="L5253">
        <v>17522</v>
      </c>
      <c r="M5253" t="s">
        <v>451</v>
      </c>
      <c r="N5253" t="str">
        <f>"6191258     "</f>
        <v xml:space="preserve">6191258     </v>
      </c>
      <c r="O5253">
        <v>231004</v>
      </c>
    </row>
    <row r="5254" spans="1:15" x14ac:dyDescent="0.25">
      <c r="A5254" t="s">
        <v>16</v>
      </c>
      <c r="B5254" t="s">
        <v>3221</v>
      </c>
      <c r="C5254">
        <v>13325</v>
      </c>
      <c r="D5254" t="s">
        <v>340</v>
      </c>
      <c r="E5254" t="s">
        <v>341</v>
      </c>
      <c r="F5254">
        <v>114.52</v>
      </c>
      <c r="G5254">
        <v>230919</v>
      </c>
      <c r="H5254">
        <v>4532</v>
      </c>
      <c r="I5254" t="s">
        <v>116</v>
      </c>
      <c r="J5254">
        <v>142</v>
      </c>
      <c r="K5254">
        <v>27.48</v>
      </c>
      <c r="L5254">
        <v>17802</v>
      </c>
      <c r="M5254" t="s">
        <v>174</v>
      </c>
      <c r="N5254" t="str">
        <f>"6194283     "</f>
        <v xml:space="preserve">6194283     </v>
      </c>
      <c r="O5254">
        <v>231009</v>
      </c>
    </row>
    <row r="5255" spans="1:15" x14ac:dyDescent="0.25">
      <c r="A5255" t="s">
        <v>16</v>
      </c>
      <c r="B5255" t="s">
        <v>3221</v>
      </c>
      <c r="C5255">
        <v>13615</v>
      </c>
      <c r="D5255" t="s">
        <v>340</v>
      </c>
      <c r="E5255" t="s">
        <v>341</v>
      </c>
      <c r="F5255">
        <v>91.52</v>
      </c>
      <c r="G5255">
        <v>230930</v>
      </c>
      <c r="H5255">
        <v>4532</v>
      </c>
      <c r="I5255" t="s">
        <v>116</v>
      </c>
      <c r="J5255">
        <v>113.48</v>
      </c>
      <c r="K5255">
        <v>21.96</v>
      </c>
      <c r="L5255">
        <v>17807</v>
      </c>
      <c r="M5255" t="s">
        <v>318</v>
      </c>
      <c r="N5255" t="str">
        <f>"6196839     "</f>
        <v xml:space="preserve">6196839     </v>
      </c>
      <c r="O5255">
        <v>231011</v>
      </c>
    </row>
    <row r="5256" spans="1:15" x14ac:dyDescent="0.25">
      <c r="A5256" t="s">
        <v>16</v>
      </c>
      <c r="B5256" t="s">
        <v>3221</v>
      </c>
      <c r="C5256">
        <v>13615</v>
      </c>
      <c r="D5256" t="s">
        <v>340</v>
      </c>
      <c r="E5256" t="s">
        <v>341</v>
      </c>
      <c r="F5256">
        <v>45.76</v>
      </c>
      <c r="G5256">
        <v>230930</v>
      </c>
      <c r="H5256">
        <v>4532</v>
      </c>
      <c r="I5256" t="s">
        <v>116</v>
      </c>
      <c r="J5256">
        <v>56.74</v>
      </c>
      <c r="K5256">
        <v>10.98</v>
      </c>
      <c r="L5256">
        <v>17809</v>
      </c>
      <c r="M5256" t="s">
        <v>376</v>
      </c>
      <c r="N5256" t="str">
        <f>"6196839     "</f>
        <v xml:space="preserve">6196839     </v>
      </c>
      <c r="O5256">
        <v>231011</v>
      </c>
    </row>
    <row r="5257" spans="1:15" x14ac:dyDescent="0.25">
      <c r="A5257" t="s">
        <v>16</v>
      </c>
      <c r="B5257" t="s">
        <v>3221</v>
      </c>
      <c r="C5257">
        <v>13616</v>
      </c>
      <c r="D5257" t="s">
        <v>340</v>
      </c>
      <c r="E5257" t="s">
        <v>341</v>
      </c>
      <c r="F5257">
        <v>119.38</v>
      </c>
      <c r="G5257">
        <v>230930</v>
      </c>
      <c r="H5257">
        <v>4532</v>
      </c>
      <c r="I5257" t="s">
        <v>116</v>
      </c>
      <c r="J5257">
        <v>148.03</v>
      </c>
      <c r="K5257">
        <v>28.65</v>
      </c>
      <c r="L5257">
        <v>17807</v>
      </c>
      <c r="M5257" t="s">
        <v>318</v>
      </c>
      <c r="N5257" t="str">
        <f>"6196841     "</f>
        <v xml:space="preserve">6196841     </v>
      </c>
      <c r="O5257">
        <v>231011</v>
      </c>
    </row>
    <row r="5258" spans="1:15" x14ac:dyDescent="0.25">
      <c r="A5258" t="s">
        <v>16</v>
      </c>
      <c r="B5258" t="s">
        <v>3221</v>
      </c>
      <c r="C5258">
        <v>13616</v>
      </c>
      <c r="D5258" t="s">
        <v>340</v>
      </c>
      <c r="E5258" t="s">
        <v>341</v>
      </c>
      <c r="F5258">
        <v>59.69</v>
      </c>
      <c r="G5258">
        <v>230930</v>
      </c>
      <c r="H5258">
        <v>4532</v>
      </c>
      <c r="I5258" t="s">
        <v>116</v>
      </c>
      <c r="J5258">
        <v>74.02</v>
      </c>
      <c r="K5258">
        <v>14.33</v>
      </c>
      <c r="L5258">
        <v>17809</v>
      </c>
      <c r="M5258" t="s">
        <v>376</v>
      </c>
      <c r="N5258" t="str">
        <f>"6196841     "</f>
        <v xml:space="preserve">6196841     </v>
      </c>
      <c r="O5258">
        <v>231011</v>
      </c>
    </row>
    <row r="5259" spans="1:15" x14ac:dyDescent="0.25">
      <c r="A5259" t="s">
        <v>16</v>
      </c>
      <c r="B5259" t="s">
        <v>3221</v>
      </c>
      <c r="C5259">
        <v>13816</v>
      </c>
      <c r="D5259" t="s">
        <v>340</v>
      </c>
      <c r="E5259" t="s">
        <v>341</v>
      </c>
      <c r="F5259">
        <v>55.9</v>
      </c>
      <c r="G5259">
        <v>230908</v>
      </c>
      <c r="H5259">
        <v>4532</v>
      </c>
      <c r="I5259" t="s">
        <v>116</v>
      </c>
      <c r="J5259">
        <v>69.319999999999993</v>
      </c>
      <c r="K5259">
        <v>13.42</v>
      </c>
      <c r="L5259">
        <v>56558</v>
      </c>
      <c r="M5259" t="s">
        <v>217</v>
      </c>
      <c r="N5259" t="str">
        <f>"6192544     "</f>
        <v xml:space="preserve">6192544     </v>
      </c>
      <c r="O5259">
        <v>231013</v>
      </c>
    </row>
    <row r="5260" spans="1:15" x14ac:dyDescent="0.25">
      <c r="A5260" t="s">
        <v>16</v>
      </c>
      <c r="B5260" t="s">
        <v>3221</v>
      </c>
      <c r="C5260">
        <v>13901</v>
      </c>
      <c r="D5260" t="s">
        <v>340</v>
      </c>
      <c r="E5260" t="s">
        <v>341</v>
      </c>
      <c r="F5260">
        <v>46.27</v>
      </c>
      <c r="G5260">
        <v>230930</v>
      </c>
      <c r="H5260">
        <v>4532</v>
      </c>
      <c r="I5260" t="s">
        <v>116</v>
      </c>
      <c r="J5260">
        <v>57.37</v>
      </c>
      <c r="K5260">
        <v>11.1</v>
      </c>
      <c r="L5260">
        <v>47522</v>
      </c>
      <c r="M5260" t="s">
        <v>410</v>
      </c>
      <c r="N5260" t="str">
        <f>"6196833     "</f>
        <v xml:space="preserve">6196833     </v>
      </c>
      <c r="O5260">
        <v>231016</v>
      </c>
    </row>
    <row r="5261" spans="1:15" x14ac:dyDescent="0.25">
      <c r="A5261" t="s">
        <v>16</v>
      </c>
      <c r="B5261" t="s">
        <v>3221</v>
      </c>
      <c r="C5261">
        <v>13910</v>
      </c>
      <c r="D5261" t="s">
        <v>340</v>
      </c>
      <c r="E5261" t="s">
        <v>341</v>
      </c>
      <c r="F5261">
        <v>46.27</v>
      </c>
      <c r="G5261">
        <v>231002</v>
      </c>
      <c r="H5261">
        <v>4532</v>
      </c>
      <c r="I5261" t="s">
        <v>116</v>
      </c>
      <c r="J5261">
        <v>57.37</v>
      </c>
      <c r="K5261">
        <v>11.1</v>
      </c>
      <c r="L5261">
        <v>47522</v>
      </c>
      <c r="M5261" t="s">
        <v>410</v>
      </c>
      <c r="N5261" t="str">
        <f>"6196871     "</f>
        <v xml:space="preserve">6196871     </v>
      </c>
      <c r="O5261">
        <v>231016</v>
      </c>
    </row>
    <row r="5262" spans="1:15" x14ac:dyDescent="0.25">
      <c r="A5262" t="s">
        <v>16</v>
      </c>
      <c r="B5262" t="s">
        <v>3221</v>
      </c>
      <c r="C5262">
        <v>13925</v>
      </c>
      <c r="D5262" t="s">
        <v>340</v>
      </c>
      <c r="E5262" t="s">
        <v>341</v>
      </c>
      <c r="F5262">
        <v>137.28</v>
      </c>
      <c r="G5262">
        <v>230930</v>
      </c>
      <c r="H5262">
        <v>4532</v>
      </c>
      <c r="I5262" t="s">
        <v>116</v>
      </c>
      <c r="J5262">
        <v>170.23</v>
      </c>
      <c r="K5262">
        <v>32.950000000000003</v>
      </c>
      <c r="L5262">
        <v>47522</v>
      </c>
      <c r="M5262" t="s">
        <v>410</v>
      </c>
      <c r="N5262" t="str">
        <f>"6196832     "</f>
        <v xml:space="preserve">6196832     </v>
      </c>
      <c r="O5262">
        <v>231016</v>
      </c>
    </row>
    <row r="5263" spans="1:15" x14ac:dyDescent="0.25">
      <c r="A5263" t="s">
        <v>16</v>
      </c>
      <c r="B5263" t="s">
        <v>3221</v>
      </c>
      <c r="C5263">
        <v>13927</v>
      </c>
      <c r="D5263" t="s">
        <v>340</v>
      </c>
      <c r="E5263" t="s">
        <v>341</v>
      </c>
      <c r="F5263">
        <v>46.27</v>
      </c>
      <c r="G5263">
        <v>230930</v>
      </c>
      <c r="H5263">
        <v>4532</v>
      </c>
      <c r="I5263" t="s">
        <v>116</v>
      </c>
      <c r="J5263">
        <v>57.37</v>
      </c>
      <c r="K5263">
        <v>11.1</v>
      </c>
      <c r="L5263">
        <v>47522</v>
      </c>
      <c r="M5263" t="s">
        <v>410</v>
      </c>
      <c r="N5263" t="str">
        <f>"6196834     "</f>
        <v xml:space="preserve">6196834     </v>
      </c>
      <c r="O5263">
        <v>231016</v>
      </c>
    </row>
    <row r="5264" spans="1:15" x14ac:dyDescent="0.25">
      <c r="A5264" t="s">
        <v>16</v>
      </c>
      <c r="B5264" t="s">
        <v>3221</v>
      </c>
      <c r="C5264">
        <v>13930</v>
      </c>
      <c r="D5264" t="s">
        <v>340</v>
      </c>
      <c r="E5264" t="s">
        <v>341</v>
      </c>
      <c r="F5264">
        <v>46.27</v>
      </c>
      <c r="G5264">
        <v>231002</v>
      </c>
      <c r="H5264">
        <v>4532</v>
      </c>
      <c r="I5264" t="s">
        <v>116</v>
      </c>
      <c r="J5264">
        <v>57.37</v>
      </c>
      <c r="K5264">
        <v>11.1</v>
      </c>
      <c r="L5264">
        <v>47522</v>
      </c>
      <c r="M5264" t="s">
        <v>410</v>
      </c>
      <c r="N5264" t="str">
        <f>"6196854     "</f>
        <v xml:space="preserve">6196854     </v>
      </c>
      <c r="O5264">
        <v>231016</v>
      </c>
    </row>
    <row r="5265" spans="1:15" x14ac:dyDescent="0.25">
      <c r="A5265" t="s">
        <v>16</v>
      </c>
      <c r="B5265" t="s">
        <v>3221</v>
      </c>
      <c r="C5265">
        <v>13965</v>
      </c>
      <c r="D5265" t="s">
        <v>340</v>
      </c>
      <c r="E5265" t="s">
        <v>341</v>
      </c>
      <c r="F5265">
        <v>46.27</v>
      </c>
      <c r="G5265">
        <v>231002</v>
      </c>
      <c r="H5265">
        <v>4532</v>
      </c>
      <c r="I5265" t="s">
        <v>116</v>
      </c>
      <c r="J5265">
        <v>57.37</v>
      </c>
      <c r="K5265">
        <v>11.1</v>
      </c>
      <c r="L5265">
        <v>47522</v>
      </c>
      <c r="M5265" t="s">
        <v>410</v>
      </c>
      <c r="N5265" t="str">
        <f>"6196872     "</f>
        <v xml:space="preserve">6196872     </v>
      </c>
      <c r="O5265">
        <v>231017</v>
      </c>
    </row>
    <row r="5266" spans="1:15" x14ac:dyDescent="0.25">
      <c r="A5266" t="s">
        <v>16</v>
      </c>
      <c r="B5266" t="s">
        <v>3221</v>
      </c>
      <c r="C5266">
        <v>13979</v>
      </c>
      <c r="D5266" t="s">
        <v>340</v>
      </c>
      <c r="E5266" t="s">
        <v>341</v>
      </c>
      <c r="F5266">
        <v>137.79</v>
      </c>
      <c r="G5266">
        <v>231009</v>
      </c>
      <c r="H5266">
        <v>4532</v>
      </c>
      <c r="I5266" t="s">
        <v>116</v>
      </c>
      <c r="J5266">
        <v>170.86</v>
      </c>
      <c r="K5266">
        <v>33.07</v>
      </c>
      <c r="L5266">
        <v>47522</v>
      </c>
      <c r="M5266" t="s">
        <v>410</v>
      </c>
      <c r="N5266" t="str">
        <f>"6197837     "</f>
        <v xml:space="preserve">6197837     </v>
      </c>
      <c r="O5266">
        <v>231017</v>
      </c>
    </row>
    <row r="5267" spans="1:15" x14ac:dyDescent="0.25">
      <c r="A5267" t="s">
        <v>16</v>
      </c>
      <c r="B5267" t="s">
        <v>3221</v>
      </c>
      <c r="C5267">
        <v>14825</v>
      </c>
      <c r="D5267" t="s">
        <v>340</v>
      </c>
      <c r="E5267" t="s">
        <v>341</v>
      </c>
      <c r="F5267">
        <v>71.52</v>
      </c>
      <c r="G5267">
        <v>231013</v>
      </c>
      <c r="H5267">
        <v>4532</v>
      </c>
      <c r="I5267" t="s">
        <v>116</v>
      </c>
      <c r="J5267">
        <v>88.68</v>
      </c>
      <c r="K5267">
        <v>17.16</v>
      </c>
      <c r="L5267">
        <v>49501</v>
      </c>
      <c r="M5267" t="s">
        <v>177</v>
      </c>
      <c r="N5267" t="str">
        <f>"6198984     "</f>
        <v xml:space="preserve">6198984     </v>
      </c>
      <c r="O5267">
        <v>231106</v>
      </c>
    </row>
    <row r="5268" spans="1:15" x14ac:dyDescent="0.25">
      <c r="A5268" t="s">
        <v>16</v>
      </c>
      <c r="B5268" t="s">
        <v>3221</v>
      </c>
      <c r="C5268">
        <v>14828</v>
      </c>
      <c r="D5268" t="s">
        <v>340</v>
      </c>
      <c r="E5268" t="s">
        <v>341</v>
      </c>
      <c r="F5268">
        <v>-28.9</v>
      </c>
      <c r="G5268">
        <v>231025</v>
      </c>
      <c r="H5268">
        <v>4532</v>
      </c>
      <c r="I5268" t="s">
        <v>116</v>
      </c>
      <c r="J5268">
        <v>-35.840000000000003</v>
      </c>
      <c r="K5268">
        <v>-6.94</v>
      </c>
      <c r="L5268">
        <v>49501</v>
      </c>
      <c r="M5268" t="s">
        <v>177</v>
      </c>
      <c r="N5268" t="str">
        <f>"6201378     "</f>
        <v xml:space="preserve">6201378     </v>
      </c>
      <c r="O5268">
        <v>231106</v>
      </c>
    </row>
    <row r="5269" spans="1:15" x14ac:dyDescent="0.25">
      <c r="A5269" t="s">
        <v>16</v>
      </c>
      <c r="B5269" t="s">
        <v>3221</v>
      </c>
      <c r="C5269">
        <v>16760</v>
      </c>
      <c r="D5269" t="s">
        <v>340</v>
      </c>
      <c r="E5269" t="s">
        <v>341</v>
      </c>
      <c r="F5269">
        <v>45.76</v>
      </c>
      <c r="G5269">
        <v>231123</v>
      </c>
      <c r="H5269">
        <v>4532</v>
      </c>
      <c r="I5269" t="s">
        <v>116</v>
      </c>
      <c r="J5269">
        <v>56.74</v>
      </c>
      <c r="K5269">
        <v>10.98</v>
      </c>
      <c r="L5269">
        <v>46554</v>
      </c>
      <c r="M5269" t="s">
        <v>117</v>
      </c>
      <c r="N5269" t="str">
        <f>"6207978     "</f>
        <v xml:space="preserve">6207978     </v>
      </c>
      <c r="O5269">
        <v>231208</v>
      </c>
    </row>
    <row r="5270" spans="1:15" x14ac:dyDescent="0.25">
      <c r="A5270" t="s">
        <v>16</v>
      </c>
      <c r="B5270" t="s">
        <v>3221</v>
      </c>
      <c r="C5270">
        <v>18579</v>
      </c>
      <c r="D5270" t="s">
        <v>340</v>
      </c>
      <c r="E5270" t="s">
        <v>341</v>
      </c>
      <c r="F5270">
        <v>120</v>
      </c>
      <c r="G5270">
        <v>231214</v>
      </c>
      <c r="H5270">
        <v>4532</v>
      </c>
      <c r="I5270" t="s">
        <v>116</v>
      </c>
      <c r="J5270">
        <v>148.80000000000001</v>
      </c>
      <c r="K5270">
        <v>28.8</v>
      </c>
      <c r="L5270">
        <v>59114</v>
      </c>
      <c r="M5270" t="s">
        <v>556</v>
      </c>
      <c r="N5270" t="str">
        <f>"6212447     "</f>
        <v xml:space="preserve">6212447     </v>
      </c>
      <c r="O5270">
        <v>240104</v>
      </c>
    </row>
    <row r="5271" spans="1:15" x14ac:dyDescent="0.25">
      <c r="A5271" t="s">
        <v>16</v>
      </c>
      <c r="B5271" t="s">
        <v>3221</v>
      </c>
      <c r="C5271">
        <v>18586</v>
      </c>
      <c r="D5271" t="s">
        <v>340</v>
      </c>
      <c r="E5271" t="s">
        <v>341</v>
      </c>
      <c r="F5271">
        <v>101.56</v>
      </c>
      <c r="G5271">
        <v>231215</v>
      </c>
      <c r="H5271">
        <v>4580</v>
      </c>
      <c r="I5271" t="s">
        <v>35</v>
      </c>
      <c r="J5271">
        <v>125.93</v>
      </c>
      <c r="K5271">
        <v>24.37</v>
      </c>
      <c r="L5271">
        <v>46554</v>
      </c>
      <c r="M5271" t="s">
        <v>117</v>
      </c>
      <c r="N5271" t="str">
        <f>"6212686     "</f>
        <v xml:space="preserve">6212686     </v>
      </c>
      <c r="O5271">
        <v>240104</v>
      </c>
    </row>
    <row r="5272" spans="1:15" x14ac:dyDescent="0.25">
      <c r="A5272" t="s">
        <v>16</v>
      </c>
      <c r="B5272" t="s">
        <v>3221</v>
      </c>
      <c r="C5272">
        <v>12007</v>
      </c>
      <c r="D5272" t="s">
        <v>340</v>
      </c>
      <c r="E5272" t="s">
        <v>341</v>
      </c>
      <c r="F5272">
        <v>433.85</v>
      </c>
      <c r="G5272">
        <v>230831</v>
      </c>
      <c r="H5272">
        <v>4600</v>
      </c>
      <c r="I5272" t="s">
        <v>105</v>
      </c>
      <c r="J5272">
        <v>537.97</v>
      </c>
      <c r="K5272">
        <v>104.12</v>
      </c>
      <c r="L5272">
        <v>44222</v>
      </c>
      <c r="M5272" t="s">
        <v>232</v>
      </c>
      <c r="N5272" t="str">
        <f>"6191249     "</f>
        <v xml:space="preserve">6191249     </v>
      </c>
      <c r="O5272">
        <v>230912</v>
      </c>
    </row>
    <row r="5273" spans="1:15" x14ac:dyDescent="0.25">
      <c r="A5273" t="s">
        <v>16</v>
      </c>
      <c r="B5273" t="s">
        <v>3221</v>
      </c>
      <c r="C5273">
        <v>12094</v>
      </c>
      <c r="D5273" t="s">
        <v>340</v>
      </c>
      <c r="E5273" t="s">
        <v>341</v>
      </c>
      <c r="F5273">
        <v>212.96</v>
      </c>
      <c r="G5273">
        <v>230911</v>
      </c>
      <c r="H5273">
        <v>4600</v>
      </c>
      <c r="I5273" t="s">
        <v>105</v>
      </c>
      <c r="J5273">
        <v>264.07</v>
      </c>
      <c r="K5273">
        <v>51.11</v>
      </c>
      <c r="L5273">
        <v>66756</v>
      </c>
      <c r="M5273" t="s">
        <v>209</v>
      </c>
      <c r="N5273" t="str">
        <f>"6192892     "</f>
        <v xml:space="preserve">6192892     </v>
      </c>
      <c r="O5273">
        <v>230913</v>
      </c>
    </row>
    <row r="5274" spans="1:15" x14ac:dyDescent="0.25">
      <c r="A5274" t="s">
        <v>16</v>
      </c>
      <c r="B5274" t="s">
        <v>3221</v>
      </c>
      <c r="C5274">
        <v>14445</v>
      </c>
      <c r="D5274" t="s">
        <v>340</v>
      </c>
      <c r="E5274" t="s">
        <v>341</v>
      </c>
      <c r="F5274">
        <v>392.16</v>
      </c>
      <c r="G5274">
        <v>230929</v>
      </c>
      <c r="H5274">
        <v>4600</v>
      </c>
      <c r="I5274" t="s">
        <v>105</v>
      </c>
      <c r="J5274">
        <v>486.28</v>
      </c>
      <c r="K5274">
        <v>94.12</v>
      </c>
      <c r="L5274">
        <v>46555</v>
      </c>
      <c r="M5274" t="s">
        <v>597</v>
      </c>
      <c r="N5274" t="str">
        <f>"6196595     "</f>
        <v xml:space="preserve">6196595     </v>
      </c>
      <c r="O5274">
        <v>231030</v>
      </c>
    </row>
    <row r="5275" spans="1:15" x14ac:dyDescent="0.25">
      <c r="A5275" t="s">
        <v>16</v>
      </c>
      <c r="B5275" t="s">
        <v>3221</v>
      </c>
      <c r="C5275">
        <v>14455</v>
      </c>
      <c r="D5275" t="s">
        <v>340</v>
      </c>
      <c r="E5275" t="s">
        <v>341</v>
      </c>
      <c r="F5275">
        <v>73.709999999999994</v>
      </c>
      <c r="G5275">
        <v>231006</v>
      </c>
      <c r="H5275">
        <v>4600</v>
      </c>
      <c r="I5275" t="s">
        <v>105</v>
      </c>
      <c r="J5275">
        <v>91.4</v>
      </c>
      <c r="K5275">
        <v>17.690000000000001</v>
      </c>
      <c r="L5275">
        <v>46555</v>
      </c>
      <c r="M5275" t="s">
        <v>597</v>
      </c>
      <c r="N5275" t="str">
        <f>"6197733     "</f>
        <v xml:space="preserve">6197733     </v>
      </c>
      <c r="O5275">
        <v>231030</v>
      </c>
    </row>
    <row r="5276" spans="1:15" x14ac:dyDescent="0.25">
      <c r="A5276" t="s">
        <v>16</v>
      </c>
      <c r="B5276" t="s">
        <v>3221</v>
      </c>
      <c r="C5276">
        <v>222</v>
      </c>
      <c r="D5276" t="s">
        <v>340</v>
      </c>
      <c r="E5276" t="s">
        <v>341</v>
      </c>
      <c r="F5276">
        <v>114.36</v>
      </c>
      <c r="G5276">
        <v>230110</v>
      </c>
      <c r="H5276">
        <v>4530</v>
      </c>
      <c r="I5276" t="s">
        <v>342</v>
      </c>
      <c r="J5276">
        <v>141.81</v>
      </c>
      <c r="K5276">
        <v>27.45</v>
      </c>
      <c r="L5276">
        <v>14422</v>
      </c>
      <c r="M5276" t="s">
        <v>228</v>
      </c>
      <c r="N5276" t="str">
        <f>"6151918     "</f>
        <v xml:space="preserve">6151918     </v>
      </c>
      <c r="O5276">
        <v>230116</v>
      </c>
    </row>
    <row r="5277" spans="1:15" x14ac:dyDescent="0.25">
      <c r="A5277" t="s">
        <v>16</v>
      </c>
      <c r="B5277" t="s">
        <v>3221</v>
      </c>
      <c r="C5277">
        <v>223</v>
      </c>
      <c r="D5277" t="s">
        <v>340</v>
      </c>
      <c r="E5277" t="s">
        <v>341</v>
      </c>
      <c r="F5277">
        <v>87.74</v>
      </c>
      <c r="G5277">
        <v>230110</v>
      </c>
      <c r="H5277">
        <v>4530</v>
      </c>
      <c r="I5277" t="s">
        <v>342</v>
      </c>
      <c r="J5277">
        <v>108.8</v>
      </c>
      <c r="K5277">
        <v>21.06</v>
      </c>
      <c r="L5277">
        <v>14422</v>
      </c>
      <c r="M5277" t="s">
        <v>228</v>
      </c>
      <c r="N5277" t="str">
        <f>"6151917     "</f>
        <v xml:space="preserve">6151917     </v>
      </c>
      <c r="O5277">
        <v>230116</v>
      </c>
    </row>
    <row r="5278" spans="1:15" x14ac:dyDescent="0.25">
      <c r="A5278" t="s">
        <v>16</v>
      </c>
      <c r="B5278" t="s">
        <v>3221</v>
      </c>
      <c r="C5278">
        <v>242</v>
      </c>
      <c r="D5278" t="s">
        <v>340</v>
      </c>
      <c r="E5278" t="s">
        <v>341</v>
      </c>
      <c r="F5278">
        <v>87.08</v>
      </c>
      <c r="G5278">
        <v>230109</v>
      </c>
      <c r="H5278">
        <v>4530</v>
      </c>
      <c r="I5278" t="s">
        <v>342</v>
      </c>
      <c r="J5278">
        <v>107.98</v>
      </c>
      <c r="K5278">
        <v>20.9</v>
      </c>
      <c r="L5278">
        <v>16431</v>
      </c>
      <c r="M5278" t="s">
        <v>231</v>
      </c>
      <c r="N5278" t="str">
        <f>"6151543     "</f>
        <v xml:space="preserve">6151543     </v>
      </c>
      <c r="O5278">
        <v>230116</v>
      </c>
    </row>
    <row r="5279" spans="1:15" x14ac:dyDescent="0.25">
      <c r="A5279" t="s">
        <v>16</v>
      </c>
      <c r="B5279" t="s">
        <v>3221</v>
      </c>
      <c r="C5279">
        <v>243</v>
      </c>
      <c r="D5279" t="s">
        <v>340</v>
      </c>
      <c r="E5279" t="s">
        <v>341</v>
      </c>
      <c r="F5279">
        <v>13.6</v>
      </c>
      <c r="G5279">
        <v>230109</v>
      </c>
      <c r="H5279">
        <v>4530</v>
      </c>
      <c r="I5279" t="s">
        <v>342</v>
      </c>
      <c r="J5279">
        <v>16.86</v>
      </c>
      <c r="K5279">
        <v>3.26</v>
      </c>
      <c r="L5279">
        <v>16431</v>
      </c>
      <c r="M5279" t="s">
        <v>231</v>
      </c>
      <c r="N5279" t="str">
        <f>"6151544     "</f>
        <v xml:space="preserve">6151544     </v>
      </c>
      <c r="O5279">
        <v>230116</v>
      </c>
    </row>
    <row r="5280" spans="1:15" x14ac:dyDescent="0.25">
      <c r="A5280" t="s">
        <v>16</v>
      </c>
      <c r="B5280" t="s">
        <v>3221</v>
      </c>
      <c r="C5280">
        <v>287</v>
      </c>
      <c r="D5280" t="s">
        <v>340</v>
      </c>
      <c r="E5280" t="s">
        <v>341</v>
      </c>
      <c r="F5280">
        <v>265.8</v>
      </c>
      <c r="G5280">
        <v>230109</v>
      </c>
      <c r="H5280">
        <v>4530</v>
      </c>
      <c r="I5280" t="s">
        <v>342</v>
      </c>
      <c r="J5280">
        <v>329.59</v>
      </c>
      <c r="K5280">
        <v>63.79</v>
      </c>
      <c r="L5280">
        <v>17527</v>
      </c>
      <c r="M5280" t="s">
        <v>422</v>
      </c>
      <c r="N5280" t="str">
        <f>"6151627     "</f>
        <v xml:space="preserve">6151627     </v>
      </c>
      <c r="O5280">
        <v>230117</v>
      </c>
    </row>
    <row r="5281" spans="1:15" x14ac:dyDescent="0.25">
      <c r="A5281" t="s">
        <v>16</v>
      </c>
      <c r="B5281" t="s">
        <v>3221</v>
      </c>
      <c r="C5281">
        <v>351</v>
      </c>
      <c r="D5281" t="s">
        <v>340</v>
      </c>
      <c r="E5281" t="s">
        <v>341</v>
      </c>
      <c r="F5281">
        <v>223.96</v>
      </c>
      <c r="G5281">
        <v>230117</v>
      </c>
      <c r="H5281">
        <v>4530</v>
      </c>
      <c r="I5281" t="s">
        <v>342</v>
      </c>
      <c r="J5281">
        <v>277.70999999999998</v>
      </c>
      <c r="K5281">
        <v>53.75</v>
      </c>
      <c r="L5281">
        <v>17805</v>
      </c>
      <c r="M5281" t="s">
        <v>102</v>
      </c>
      <c r="N5281" t="str">
        <f>"6153029     "</f>
        <v xml:space="preserve">6153029     </v>
      </c>
      <c r="O5281">
        <v>230118</v>
      </c>
    </row>
    <row r="5282" spans="1:15" x14ac:dyDescent="0.25">
      <c r="A5282" t="s">
        <v>16</v>
      </c>
      <c r="B5282" t="s">
        <v>3221</v>
      </c>
      <c r="C5282">
        <v>418</v>
      </c>
      <c r="D5282" t="s">
        <v>340</v>
      </c>
      <c r="E5282" t="s">
        <v>341</v>
      </c>
      <c r="F5282">
        <v>406.64</v>
      </c>
      <c r="G5282">
        <v>230117</v>
      </c>
      <c r="H5282">
        <v>4530</v>
      </c>
      <c r="I5282" t="s">
        <v>342</v>
      </c>
      <c r="J5282">
        <v>504.23</v>
      </c>
      <c r="K5282">
        <v>97.59</v>
      </c>
      <c r="L5282">
        <v>56564</v>
      </c>
      <c r="M5282" t="s">
        <v>327</v>
      </c>
      <c r="N5282" t="str">
        <f>"6153109     "</f>
        <v xml:space="preserve">6153109     </v>
      </c>
      <c r="O5282">
        <v>230120</v>
      </c>
    </row>
    <row r="5283" spans="1:15" x14ac:dyDescent="0.25">
      <c r="A5283" t="s">
        <v>16</v>
      </c>
      <c r="B5283" t="s">
        <v>3221</v>
      </c>
      <c r="C5283">
        <v>460</v>
      </c>
      <c r="D5283" t="s">
        <v>340</v>
      </c>
      <c r="E5283" t="s">
        <v>341</v>
      </c>
      <c r="F5283">
        <v>307.42</v>
      </c>
      <c r="G5283">
        <v>230117</v>
      </c>
      <c r="H5283">
        <v>4530</v>
      </c>
      <c r="I5283" t="s">
        <v>342</v>
      </c>
      <c r="J5283">
        <v>381.2</v>
      </c>
      <c r="K5283">
        <v>73.78</v>
      </c>
      <c r="L5283">
        <v>17809</v>
      </c>
      <c r="M5283" t="s">
        <v>376</v>
      </c>
      <c r="N5283" t="str">
        <f>"6153037     "</f>
        <v xml:space="preserve">6153037     </v>
      </c>
      <c r="O5283">
        <v>230123</v>
      </c>
    </row>
    <row r="5284" spans="1:15" x14ac:dyDescent="0.25">
      <c r="A5284" t="s">
        <v>16</v>
      </c>
      <c r="B5284" t="s">
        <v>3221</v>
      </c>
      <c r="C5284">
        <v>559</v>
      </c>
      <c r="D5284" t="s">
        <v>340</v>
      </c>
      <c r="E5284" t="s">
        <v>341</v>
      </c>
      <c r="F5284">
        <v>278.10000000000002</v>
      </c>
      <c r="G5284">
        <v>230120</v>
      </c>
      <c r="H5284">
        <v>4530</v>
      </c>
      <c r="I5284" t="s">
        <v>342</v>
      </c>
      <c r="J5284">
        <v>344.84</v>
      </c>
      <c r="K5284">
        <v>66.739999999999995</v>
      </c>
      <c r="L5284">
        <v>66722</v>
      </c>
      <c r="M5284" t="s">
        <v>518</v>
      </c>
      <c r="N5284" t="str">
        <f>"6153744     "</f>
        <v xml:space="preserve">6153744     </v>
      </c>
      <c r="O5284">
        <v>230124</v>
      </c>
    </row>
    <row r="5285" spans="1:15" x14ac:dyDescent="0.25">
      <c r="A5285" t="s">
        <v>16</v>
      </c>
      <c r="B5285" t="s">
        <v>3221</v>
      </c>
      <c r="C5285">
        <v>560</v>
      </c>
      <c r="D5285" t="s">
        <v>340</v>
      </c>
      <c r="E5285" t="s">
        <v>341</v>
      </c>
      <c r="F5285">
        <v>178.74</v>
      </c>
      <c r="G5285">
        <v>230120</v>
      </c>
      <c r="H5285">
        <v>4530</v>
      </c>
      <c r="I5285" t="s">
        <v>342</v>
      </c>
      <c r="J5285">
        <v>221.64</v>
      </c>
      <c r="K5285">
        <v>42.9</v>
      </c>
      <c r="L5285">
        <v>16431</v>
      </c>
      <c r="M5285" t="s">
        <v>231</v>
      </c>
      <c r="N5285" t="str">
        <f>"6153745     "</f>
        <v xml:space="preserve">6153745     </v>
      </c>
      <c r="O5285">
        <v>230124</v>
      </c>
    </row>
    <row r="5286" spans="1:15" x14ac:dyDescent="0.25">
      <c r="A5286" t="s">
        <v>16</v>
      </c>
      <c r="B5286" t="s">
        <v>3221</v>
      </c>
      <c r="C5286">
        <v>561</v>
      </c>
      <c r="D5286" t="s">
        <v>340</v>
      </c>
      <c r="E5286" t="s">
        <v>341</v>
      </c>
      <c r="F5286">
        <v>2362.4899999999998</v>
      </c>
      <c r="G5286">
        <v>230120</v>
      </c>
      <c r="H5286">
        <v>4530</v>
      </c>
      <c r="I5286" t="s">
        <v>342</v>
      </c>
      <c r="J5286">
        <v>2929.49</v>
      </c>
      <c r="K5286">
        <v>567</v>
      </c>
      <c r="L5286">
        <v>47522</v>
      </c>
      <c r="M5286" t="s">
        <v>410</v>
      </c>
      <c r="N5286" t="str">
        <f>"6153801     "</f>
        <v xml:space="preserve">6153801     </v>
      </c>
      <c r="O5286">
        <v>230124</v>
      </c>
    </row>
    <row r="5287" spans="1:15" x14ac:dyDescent="0.25">
      <c r="A5287" t="s">
        <v>16</v>
      </c>
      <c r="B5287" t="s">
        <v>3221</v>
      </c>
      <c r="C5287">
        <v>564</v>
      </c>
      <c r="D5287" t="s">
        <v>340</v>
      </c>
      <c r="E5287" t="s">
        <v>341</v>
      </c>
      <c r="F5287">
        <v>45.76</v>
      </c>
      <c r="G5287">
        <v>230119</v>
      </c>
      <c r="H5287">
        <v>4530</v>
      </c>
      <c r="I5287" t="s">
        <v>342</v>
      </c>
      <c r="J5287">
        <v>56.74</v>
      </c>
      <c r="K5287">
        <v>10.98</v>
      </c>
      <c r="L5287">
        <v>66722</v>
      </c>
      <c r="M5287" t="s">
        <v>518</v>
      </c>
      <c r="N5287" t="str">
        <f>"6153687     "</f>
        <v xml:space="preserve">6153687     </v>
      </c>
      <c r="O5287">
        <v>230124</v>
      </c>
    </row>
    <row r="5288" spans="1:15" x14ac:dyDescent="0.25">
      <c r="A5288" t="s">
        <v>16</v>
      </c>
      <c r="B5288" t="s">
        <v>3221</v>
      </c>
      <c r="C5288">
        <v>715</v>
      </c>
      <c r="D5288" t="s">
        <v>340</v>
      </c>
      <c r="E5288" t="s">
        <v>341</v>
      </c>
      <c r="F5288">
        <v>158.97999999999999</v>
      </c>
      <c r="G5288">
        <v>230125</v>
      </c>
      <c r="H5288">
        <v>4530</v>
      </c>
      <c r="I5288" t="s">
        <v>342</v>
      </c>
      <c r="J5288">
        <v>197.14</v>
      </c>
      <c r="K5288">
        <v>38.159999999999997</v>
      </c>
      <c r="L5288">
        <v>66722</v>
      </c>
      <c r="M5288" t="s">
        <v>518</v>
      </c>
      <c r="N5288" t="str">
        <f>"6154429     "</f>
        <v xml:space="preserve">6154429     </v>
      </c>
      <c r="O5288">
        <v>230127</v>
      </c>
    </row>
    <row r="5289" spans="1:15" x14ac:dyDescent="0.25">
      <c r="A5289" t="s">
        <v>16</v>
      </c>
      <c r="B5289" t="s">
        <v>3221</v>
      </c>
      <c r="C5289">
        <v>739</v>
      </c>
      <c r="D5289" t="s">
        <v>340</v>
      </c>
      <c r="E5289" t="s">
        <v>341</v>
      </c>
      <c r="F5289">
        <v>148.13</v>
      </c>
      <c r="G5289">
        <v>230125</v>
      </c>
      <c r="H5289">
        <v>4530</v>
      </c>
      <c r="I5289" t="s">
        <v>342</v>
      </c>
      <c r="J5289">
        <v>183.68</v>
      </c>
      <c r="K5289">
        <v>35.549999999999997</v>
      </c>
      <c r="L5289">
        <v>67522</v>
      </c>
      <c r="M5289" t="s">
        <v>397</v>
      </c>
      <c r="N5289" t="str">
        <f>"6154427     "</f>
        <v xml:space="preserve">6154427     </v>
      </c>
      <c r="O5289">
        <v>230127</v>
      </c>
    </row>
    <row r="5290" spans="1:15" x14ac:dyDescent="0.25">
      <c r="A5290" t="s">
        <v>16</v>
      </c>
      <c r="B5290" t="s">
        <v>3221</v>
      </c>
      <c r="C5290">
        <v>740</v>
      </c>
      <c r="D5290" t="s">
        <v>340</v>
      </c>
      <c r="E5290" t="s">
        <v>341</v>
      </c>
      <c r="F5290">
        <v>283.05</v>
      </c>
      <c r="G5290">
        <v>230125</v>
      </c>
      <c r="H5290">
        <v>4530</v>
      </c>
      <c r="I5290" t="s">
        <v>342</v>
      </c>
      <c r="J5290">
        <v>350.98</v>
      </c>
      <c r="K5290">
        <v>67.930000000000007</v>
      </c>
      <c r="L5290">
        <v>67522</v>
      </c>
      <c r="M5290" t="s">
        <v>397</v>
      </c>
      <c r="N5290" t="str">
        <f>"6154432     "</f>
        <v xml:space="preserve">6154432     </v>
      </c>
      <c r="O5290">
        <v>230127</v>
      </c>
    </row>
    <row r="5291" spans="1:15" x14ac:dyDescent="0.25">
      <c r="A5291" t="s">
        <v>16</v>
      </c>
      <c r="B5291" t="s">
        <v>3221</v>
      </c>
      <c r="C5291">
        <v>806</v>
      </c>
      <c r="D5291" t="s">
        <v>340</v>
      </c>
      <c r="E5291" t="s">
        <v>341</v>
      </c>
      <c r="F5291">
        <v>105.23</v>
      </c>
      <c r="G5291">
        <v>230124</v>
      </c>
      <c r="H5291">
        <v>4530</v>
      </c>
      <c r="I5291" t="s">
        <v>342</v>
      </c>
      <c r="J5291">
        <v>130.49</v>
      </c>
      <c r="K5291">
        <v>25.26</v>
      </c>
      <c r="L5291">
        <v>69112</v>
      </c>
      <c r="M5291" t="s">
        <v>313</v>
      </c>
      <c r="N5291" t="str">
        <f>"6154245     "</f>
        <v xml:space="preserve">6154245     </v>
      </c>
      <c r="O5291">
        <v>230130</v>
      </c>
    </row>
    <row r="5292" spans="1:15" x14ac:dyDescent="0.25">
      <c r="A5292" t="s">
        <v>16</v>
      </c>
      <c r="B5292" t="s">
        <v>3221</v>
      </c>
      <c r="C5292">
        <v>806</v>
      </c>
      <c r="D5292" t="s">
        <v>340</v>
      </c>
      <c r="E5292" t="s">
        <v>341</v>
      </c>
      <c r="F5292">
        <v>5.85</v>
      </c>
      <c r="G5292">
        <v>230124</v>
      </c>
      <c r="H5292">
        <v>4530</v>
      </c>
      <c r="I5292" t="s">
        <v>342</v>
      </c>
      <c r="J5292">
        <v>7.25</v>
      </c>
      <c r="K5292">
        <v>1.4</v>
      </c>
      <c r="L5292">
        <v>69810</v>
      </c>
      <c r="M5292" t="s">
        <v>314</v>
      </c>
      <c r="N5292" t="str">
        <f>"6154245     "</f>
        <v xml:space="preserve">6154245     </v>
      </c>
      <c r="O5292">
        <v>230130</v>
      </c>
    </row>
    <row r="5293" spans="1:15" x14ac:dyDescent="0.25">
      <c r="A5293" t="s">
        <v>16</v>
      </c>
      <c r="B5293" t="s">
        <v>3221</v>
      </c>
      <c r="C5293">
        <v>806</v>
      </c>
      <c r="D5293" t="s">
        <v>340</v>
      </c>
      <c r="E5293" t="s">
        <v>341</v>
      </c>
      <c r="F5293">
        <v>5.85</v>
      </c>
      <c r="G5293">
        <v>230124</v>
      </c>
      <c r="H5293">
        <v>4530</v>
      </c>
      <c r="I5293" t="s">
        <v>342</v>
      </c>
      <c r="J5293">
        <v>7.25</v>
      </c>
      <c r="K5293">
        <v>1.4</v>
      </c>
      <c r="L5293">
        <v>69811</v>
      </c>
      <c r="M5293" t="s">
        <v>315</v>
      </c>
      <c r="N5293" t="str">
        <f>"6154245     "</f>
        <v xml:space="preserve">6154245     </v>
      </c>
      <c r="O5293">
        <v>230130</v>
      </c>
    </row>
    <row r="5294" spans="1:15" x14ac:dyDescent="0.25">
      <c r="A5294" t="s">
        <v>16</v>
      </c>
      <c r="B5294" t="s">
        <v>3221</v>
      </c>
      <c r="C5294">
        <v>810</v>
      </c>
      <c r="D5294" t="s">
        <v>340</v>
      </c>
      <c r="E5294" t="s">
        <v>341</v>
      </c>
      <c r="F5294">
        <v>58</v>
      </c>
      <c r="G5294">
        <v>230124</v>
      </c>
      <c r="H5294">
        <v>4530</v>
      </c>
      <c r="I5294" t="s">
        <v>342</v>
      </c>
      <c r="J5294">
        <v>71.92</v>
      </c>
      <c r="K5294">
        <v>13.92</v>
      </c>
      <c r="L5294">
        <v>69112</v>
      </c>
      <c r="M5294" t="s">
        <v>313</v>
      </c>
      <c r="N5294" t="str">
        <f>"6154246     "</f>
        <v xml:space="preserve">6154246     </v>
      </c>
      <c r="O5294">
        <v>230130</v>
      </c>
    </row>
    <row r="5295" spans="1:15" x14ac:dyDescent="0.25">
      <c r="A5295" t="s">
        <v>16</v>
      </c>
      <c r="B5295" t="s">
        <v>3221</v>
      </c>
      <c r="C5295">
        <v>810</v>
      </c>
      <c r="D5295" t="s">
        <v>340</v>
      </c>
      <c r="E5295" t="s">
        <v>341</v>
      </c>
      <c r="F5295">
        <v>3.22</v>
      </c>
      <c r="G5295">
        <v>230124</v>
      </c>
      <c r="H5295">
        <v>4530</v>
      </c>
      <c r="I5295" t="s">
        <v>342</v>
      </c>
      <c r="J5295">
        <v>3.99</v>
      </c>
      <c r="K5295">
        <v>0.77</v>
      </c>
      <c r="L5295">
        <v>69810</v>
      </c>
      <c r="M5295" t="s">
        <v>314</v>
      </c>
      <c r="N5295" t="str">
        <f>"6154246     "</f>
        <v xml:space="preserve">6154246     </v>
      </c>
      <c r="O5295">
        <v>230130</v>
      </c>
    </row>
    <row r="5296" spans="1:15" x14ac:dyDescent="0.25">
      <c r="A5296" t="s">
        <v>16</v>
      </c>
      <c r="B5296" t="s">
        <v>3221</v>
      </c>
      <c r="C5296">
        <v>810</v>
      </c>
      <c r="D5296" t="s">
        <v>340</v>
      </c>
      <c r="E5296" t="s">
        <v>341</v>
      </c>
      <c r="F5296">
        <v>3.23</v>
      </c>
      <c r="G5296">
        <v>230124</v>
      </c>
      <c r="H5296">
        <v>4530</v>
      </c>
      <c r="I5296" t="s">
        <v>342</v>
      </c>
      <c r="J5296">
        <v>4</v>
      </c>
      <c r="K5296">
        <v>0.77</v>
      </c>
      <c r="L5296">
        <v>69810</v>
      </c>
      <c r="M5296" t="s">
        <v>314</v>
      </c>
      <c r="N5296" t="str">
        <f>"6154246     "</f>
        <v xml:space="preserve">6154246     </v>
      </c>
      <c r="O5296">
        <v>230130</v>
      </c>
    </row>
    <row r="5297" spans="1:15" x14ac:dyDescent="0.25">
      <c r="A5297" t="s">
        <v>16</v>
      </c>
      <c r="B5297" t="s">
        <v>3221</v>
      </c>
      <c r="C5297">
        <v>828</v>
      </c>
      <c r="D5297" t="s">
        <v>340</v>
      </c>
      <c r="E5297" t="s">
        <v>341</v>
      </c>
      <c r="F5297">
        <v>594.44000000000005</v>
      </c>
      <c r="G5297">
        <v>230120</v>
      </c>
      <c r="H5297">
        <v>4530</v>
      </c>
      <c r="I5297" t="s">
        <v>342</v>
      </c>
      <c r="J5297">
        <v>737.11</v>
      </c>
      <c r="K5297">
        <v>142.66999999999999</v>
      </c>
      <c r="L5297">
        <v>46554</v>
      </c>
      <c r="M5297" t="s">
        <v>117</v>
      </c>
      <c r="N5297" t="str">
        <f>"6153758     "</f>
        <v xml:space="preserve">6153758     </v>
      </c>
      <c r="O5297">
        <v>230131</v>
      </c>
    </row>
    <row r="5298" spans="1:15" x14ac:dyDescent="0.25">
      <c r="A5298" t="s">
        <v>16</v>
      </c>
      <c r="B5298" t="s">
        <v>3221</v>
      </c>
      <c r="C5298">
        <v>829</v>
      </c>
      <c r="D5298" t="s">
        <v>340</v>
      </c>
      <c r="E5298" t="s">
        <v>341</v>
      </c>
      <c r="F5298">
        <v>119.96</v>
      </c>
      <c r="G5298">
        <v>230120</v>
      </c>
      <c r="H5298">
        <v>4530</v>
      </c>
      <c r="I5298" t="s">
        <v>342</v>
      </c>
      <c r="J5298">
        <v>148.75</v>
      </c>
      <c r="K5298">
        <v>28.79</v>
      </c>
      <c r="L5298">
        <v>46554</v>
      </c>
      <c r="M5298" t="s">
        <v>117</v>
      </c>
      <c r="N5298" t="str">
        <f>"6153755     "</f>
        <v xml:space="preserve">6153755     </v>
      </c>
      <c r="O5298">
        <v>230131</v>
      </c>
    </row>
    <row r="5299" spans="1:15" x14ac:dyDescent="0.25">
      <c r="A5299" t="s">
        <v>16</v>
      </c>
      <c r="B5299" t="s">
        <v>3221</v>
      </c>
      <c r="C5299">
        <v>831</v>
      </c>
      <c r="D5299" t="s">
        <v>340</v>
      </c>
      <c r="E5299" t="s">
        <v>341</v>
      </c>
      <c r="F5299">
        <v>259.92</v>
      </c>
      <c r="G5299">
        <v>230117</v>
      </c>
      <c r="H5299">
        <v>4530</v>
      </c>
      <c r="I5299" t="s">
        <v>342</v>
      </c>
      <c r="J5299">
        <v>322.3</v>
      </c>
      <c r="K5299">
        <v>62.38</v>
      </c>
      <c r="L5299">
        <v>46554</v>
      </c>
      <c r="M5299" t="s">
        <v>117</v>
      </c>
      <c r="N5299" t="str">
        <f>"6153110     "</f>
        <v xml:space="preserve">6153110     </v>
      </c>
      <c r="O5299">
        <v>230131</v>
      </c>
    </row>
    <row r="5300" spans="1:15" x14ac:dyDescent="0.25">
      <c r="A5300" t="s">
        <v>16</v>
      </c>
      <c r="B5300" t="s">
        <v>3221</v>
      </c>
      <c r="C5300">
        <v>856</v>
      </c>
      <c r="D5300" t="s">
        <v>340</v>
      </c>
      <c r="E5300" t="s">
        <v>341</v>
      </c>
      <c r="F5300">
        <v>305.68</v>
      </c>
      <c r="G5300">
        <v>230120</v>
      </c>
      <c r="H5300">
        <v>4530</v>
      </c>
      <c r="I5300" t="s">
        <v>342</v>
      </c>
      <c r="J5300">
        <v>379.04</v>
      </c>
      <c r="K5300">
        <v>73.36</v>
      </c>
      <c r="L5300">
        <v>47522</v>
      </c>
      <c r="M5300" t="s">
        <v>410</v>
      </c>
      <c r="N5300" t="str">
        <f>"6153768     "</f>
        <v xml:space="preserve">6153768     </v>
      </c>
      <c r="O5300">
        <v>230131</v>
      </c>
    </row>
    <row r="5301" spans="1:15" x14ac:dyDescent="0.25">
      <c r="A5301" t="s">
        <v>16</v>
      </c>
      <c r="B5301" t="s">
        <v>3221</v>
      </c>
      <c r="C5301">
        <v>1623</v>
      </c>
      <c r="D5301" t="s">
        <v>340</v>
      </c>
      <c r="E5301" t="s">
        <v>341</v>
      </c>
      <c r="F5301">
        <v>372.13</v>
      </c>
      <c r="G5301">
        <v>230203</v>
      </c>
      <c r="H5301">
        <v>4530</v>
      </c>
      <c r="I5301" t="s">
        <v>342</v>
      </c>
      <c r="J5301">
        <v>461.44</v>
      </c>
      <c r="K5301">
        <v>89.31</v>
      </c>
      <c r="L5301">
        <v>17807</v>
      </c>
      <c r="M5301" t="s">
        <v>318</v>
      </c>
      <c r="N5301" t="str">
        <f>"6156241     "</f>
        <v xml:space="preserve">6156241     </v>
      </c>
      <c r="O5301">
        <v>230210</v>
      </c>
    </row>
    <row r="5302" spans="1:15" x14ac:dyDescent="0.25">
      <c r="A5302" t="s">
        <v>16</v>
      </c>
      <c r="B5302" t="s">
        <v>3221</v>
      </c>
      <c r="C5302">
        <v>1775</v>
      </c>
      <c r="D5302" t="s">
        <v>340</v>
      </c>
      <c r="E5302" t="s">
        <v>341</v>
      </c>
      <c r="F5302">
        <v>213.6</v>
      </c>
      <c r="G5302">
        <v>230210</v>
      </c>
      <c r="H5302">
        <v>4530</v>
      </c>
      <c r="I5302" t="s">
        <v>342</v>
      </c>
      <c r="J5302">
        <v>264.86</v>
      </c>
      <c r="K5302">
        <v>51.26</v>
      </c>
      <c r="L5302">
        <v>67522</v>
      </c>
      <c r="M5302" t="s">
        <v>397</v>
      </c>
      <c r="N5302" t="str">
        <f>"6157293     "</f>
        <v xml:space="preserve">6157293     </v>
      </c>
      <c r="O5302">
        <v>230214</v>
      </c>
    </row>
    <row r="5303" spans="1:15" x14ac:dyDescent="0.25">
      <c r="A5303" t="s">
        <v>16</v>
      </c>
      <c r="B5303" t="s">
        <v>3221</v>
      </c>
      <c r="C5303">
        <v>1776</v>
      </c>
      <c r="D5303" t="s">
        <v>340</v>
      </c>
      <c r="E5303" t="s">
        <v>341</v>
      </c>
      <c r="F5303">
        <v>320.32</v>
      </c>
      <c r="G5303">
        <v>230210</v>
      </c>
      <c r="H5303">
        <v>4530</v>
      </c>
      <c r="I5303" t="s">
        <v>342</v>
      </c>
      <c r="J5303">
        <v>397.2</v>
      </c>
      <c r="K5303">
        <v>76.88</v>
      </c>
      <c r="L5303">
        <v>67522</v>
      </c>
      <c r="M5303" t="s">
        <v>397</v>
      </c>
      <c r="N5303" t="str">
        <f>"6157292     "</f>
        <v xml:space="preserve">6157292     </v>
      </c>
      <c r="O5303">
        <v>230214</v>
      </c>
    </row>
    <row r="5304" spans="1:15" x14ac:dyDescent="0.25">
      <c r="A5304" t="s">
        <v>16</v>
      </c>
      <c r="B5304" t="s">
        <v>3221</v>
      </c>
      <c r="C5304">
        <v>2037</v>
      </c>
      <c r="D5304" t="s">
        <v>340</v>
      </c>
      <c r="E5304" t="s">
        <v>341</v>
      </c>
      <c r="F5304">
        <v>241.06</v>
      </c>
      <c r="G5304">
        <v>230125</v>
      </c>
      <c r="H5304">
        <v>4530</v>
      </c>
      <c r="I5304" t="s">
        <v>342</v>
      </c>
      <c r="J5304">
        <v>298.92</v>
      </c>
      <c r="K5304">
        <v>57.86</v>
      </c>
      <c r="L5304">
        <v>51147</v>
      </c>
      <c r="M5304" t="s">
        <v>1167</v>
      </c>
      <c r="N5304" t="str">
        <f>"6154430     "</f>
        <v xml:space="preserve">6154430     </v>
      </c>
      <c r="O5304">
        <v>230217</v>
      </c>
    </row>
    <row r="5305" spans="1:15" x14ac:dyDescent="0.25">
      <c r="A5305" t="s">
        <v>16</v>
      </c>
      <c r="B5305" t="s">
        <v>3221</v>
      </c>
      <c r="C5305">
        <v>2037</v>
      </c>
      <c r="D5305" t="s">
        <v>340</v>
      </c>
      <c r="E5305" t="s">
        <v>341</v>
      </c>
      <c r="F5305">
        <v>169.12</v>
      </c>
      <c r="G5305">
        <v>230125</v>
      </c>
      <c r="H5305">
        <v>4530</v>
      </c>
      <c r="I5305" t="s">
        <v>342</v>
      </c>
      <c r="J5305">
        <v>209.71</v>
      </c>
      <c r="K5305">
        <v>40.590000000000003</v>
      </c>
      <c r="L5305">
        <v>51147</v>
      </c>
      <c r="M5305" t="s">
        <v>1167</v>
      </c>
      <c r="N5305" t="str">
        <f>"6154430     "</f>
        <v xml:space="preserve">6154430     </v>
      </c>
      <c r="O5305">
        <v>230217</v>
      </c>
    </row>
    <row r="5306" spans="1:15" x14ac:dyDescent="0.25">
      <c r="A5306" t="s">
        <v>16</v>
      </c>
      <c r="B5306" t="s">
        <v>3221</v>
      </c>
      <c r="C5306">
        <v>2037</v>
      </c>
      <c r="D5306" t="s">
        <v>340</v>
      </c>
      <c r="E5306" t="s">
        <v>341</v>
      </c>
      <c r="F5306">
        <v>111.98</v>
      </c>
      <c r="G5306">
        <v>230125</v>
      </c>
      <c r="H5306">
        <v>4530</v>
      </c>
      <c r="I5306" t="s">
        <v>342</v>
      </c>
      <c r="J5306">
        <v>138.85</v>
      </c>
      <c r="K5306">
        <v>26.87</v>
      </c>
      <c r="L5306">
        <v>54622</v>
      </c>
      <c r="M5306" t="s">
        <v>872</v>
      </c>
      <c r="N5306" t="str">
        <f>"6154430     "</f>
        <v xml:space="preserve">6154430     </v>
      </c>
      <c r="O5306">
        <v>230217</v>
      </c>
    </row>
    <row r="5307" spans="1:15" x14ac:dyDescent="0.25">
      <c r="A5307" t="s">
        <v>16</v>
      </c>
      <c r="B5307" t="s">
        <v>3221</v>
      </c>
      <c r="C5307">
        <v>2111</v>
      </c>
      <c r="D5307" t="s">
        <v>340</v>
      </c>
      <c r="E5307" t="s">
        <v>341</v>
      </c>
      <c r="F5307">
        <v>102.17</v>
      </c>
      <c r="G5307">
        <v>230213</v>
      </c>
      <c r="H5307">
        <v>4530</v>
      </c>
      <c r="I5307" t="s">
        <v>342</v>
      </c>
      <c r="J5307">
        <v>126.69</v>
      </c>
      <c r="K5307">
        <v>24.52</v>
      </c>
      <c r="L5307">
        <v>17522</v>
      </c>
      <c r="M5307" t="s">
        <v>451</v>
      </c>
      <c r="N5307" t="str">
        <f>"6157451     "</f>
        <v xml:space="preserve">6157451     </v>
      </c>
      <c r="O5307">
        <v>230221</v>
      </c>
    </row>
    <row r="5308" spans="1:15" x14ac:dyDescent="0.25">
      <c r="A5308" t="s">
        <v>16</v>
      </c>
      <c r="B5308" t="s">
        <v>3221</v>
      </c>
      <c r="C5308">
        <v>2437</v>
      </c>
      <c r="D5308" t="s">
        <v>340</v>
      </c>
      <c r="E5308" t="s">
        <v>341</v>
      </c>
      <c r="F5308">
        <v>204.74</v>
      </c>
      <c r="G5308">
        <v>230220</v>
      </c>
      <c r="H5308">
        <v>4530</v>
      </c>
      <c r="I5308" t="s">
        <v>342</v>
      </c>
      <c r="J5308">
        <v>253.88</v>
      </c>
      <c r="K5308">
        <v>49.14</v>
      </c>
      <c r="L5308">
        <v>67522</v>
      </c>
      <c r="M5308" t="s">
        <v>397</v>
      </c>
      <c r="N5308" t="str">
        <f>"6158409     "</f>
        <v xml:space="preserve">6158409     </v>
      </c>
      <c r="O5308">
        <v>230227</v>
      </c>
    </row>
    <row r="5309" spans="1:15" x14ac:dyDescent="0.25">
      <c r="A5309" t="s">
        <v>16</v>
      </c>
      <c r="B5309" t="s">
        <v>3221</v>
      </c>
      <c r="C5309">
        <v>2444</v>
      </c>
      <c r="D5309" t="s">
        <v>340</v>
      </c>
      <c r="E5309" t="s">
        <v>341</v>
      </c>
      <c r="F5309">
        <v>45.76</v>
      </c>
      <c r="G5309">
        <v>230222</v>
      </c>
      <c r="H5309">
        <v>4530</v>
      </c>
      <c r="I5309" t="s">
        <v>342</v>
      </c>
      <c r="J5309">
        <v>56.74</v>
      </c>
      <c r="K5309">
        <v>10.98</v>
      </c>
      <c r="L5309">
        <v>66754</v>
      </c>
      <c r="M5309" t="s">
        <v>239</v>
      </c>
      <c r="N5309" t="str">
        <f>"6158671     "</f>
        <v xml:space="preserve">6158671     </v>
      </c>
      <c r="O5309">
        <v>230227</v>
      </c>
    </row>
    <row r="5310" spans="1:15" x14ac:dyDescent="0.25">
      <c r="A5310" t="s">
        <v>16</v>
      </c>
      <c r="B5310" t="s">
        <v>3221</v>
      </c>
      <c r="C5310">
        <v>2514</v>
      </c>
      <c r="D5310" t="s">
        <v>340</v>
      </c>
      <c r="E5310" t="s">
        <v>341</v>
      </c>
      <c r="F5310">
        <v>1494.22</v>
      </c>
      <c r="G5310">
        <v>230224</v>
      </c>
      <c r="H5310">
        <v>4530</v>
      </c>
      <c r="I5310" t="s">
        <v>342</v>
      </c>
      <c r="J5310">
        <v>1852.83</v>
      </c>
      <c r="K5310">
        <v>358.61</v>
      </c>
      <c r="L5310">
        <v>46555</v>
      </c>
      <c r="M5310" t="s">
        <v>597</v>
      </c>
      <c r="N5310" t="str">
        <f>"6159053     "</f>
        <v xml:space="preserve">6159053     </v>
      </c>
      <c r="O5310">
        <v>230301</v>
      </c>
    </row>
    <row r="5311" spans="1:15" x14ac:dyDescent="0.25">
      <c r="A5311" t="s">
        <v>16</v>
      </c>
      <c r="B5311" t="s">
        <v>3221</v>
      </c>
      <c r="C5311">
        <v>3162</v>
      </c>
      <c r="D5311" t="s">
        <v>340</v>
      </c>
      <c r="E5311" t="s">
        <v>341</v>
      </c>
      <c r="F5311">
        <v>56.61</v>
      </c>
      <c r="G5311">
        <v>230308</v>
      </c>
      <c r="H5311">
        <v>4530</v>
      </c>
      <c r="I5311" t="s">
        <v>342</v>
      </c>
      <c r="J5311">
        <v>70.2</v>
      </c>
      <c r="K5311">
        <v>13.59</v>
      </c>
      <c r="L5311">
        <v>14971</v>
      </c>
      <c r="M5311" t="s">
        <v>1259</v>
      </c>
      <c r="N5311" t="str">
        <f>"6161308     "</f>
        <v xml:space="preserve">6161308     </v>
      </c>
      <c r="O5311">
        <v>230309</v>
      </c>
    </row>
    <row r="5312" spans="1:15" x14ac:dyDescent="0.25">
      <c r="A5312" t="s">
        <v>16</v>
      </c>
      <c r="B5312" t="s">
        <v>3221</v>
      </c>
      <c r="C5312">
        <v>3215</v>
      </c>
      <c r="D5312" t="s">
        <v>340</v>
      </c>
      <c r="E5312" t="s">
        <v>341</v>
      </c>
      <c r="F5312">
        <v>181.4</v>
      </c>
      <c r="G5312">
        <v>230301</v>
      </c>
      <c r="H5312">
        <v>4530</v>
      </c>
      <c r="I5312" t="s">
        <v>342</v>
      </c>
      <c r="J5312">
        <v>224.94</v>
      </c>
      <c r="K5312">
        <v>43.54</v>
      </c>
      <c r="L5312">
        <v>14972</v>
      </c>
      <c r="M5312" t="s">
        <v>898</v>
      </c>
      <c r="N5312" t="str">
        <f>"6160049     "</f>
        <v xml:space="preserve">6160049     </v>
      </c>
      <c r="O5312">
        <v>230310</v>
      </c>
    </row>
    <row r="5313" spans="1:15" x14ac:dyDescent="0.25">
      <c r="A5313" t="s">
        <v>16</v>
      </c>
      <c r="B5313" t="s">
        <v>3221</v>
      </c>
      <c r="C5313">
        <v>3325</v>
      </c>
      <c r="D5313" t="s">
        <v>340</v>
      </c>
      <c r="E5313" t="s">
        <v>341</v>
      </c>
      <c r="F5313">
        <v>146.11000000000001</v>
      </c>
      <c r="G5313">
        <v>230307</v>
      </c>
      <c r="H5313">
        <v>4530</v>
      </c>
      <c r="I5313" t="s">
        <v>342</v>
      </c>
      <c r="J5313">
        <v>181.18</v>
      </c>
      <c r="K5313">
        <v>35.07</v>
      </c>
      <c r="L5313">
        <v>17809</v>
      </c>
      <c r="M5313" t="s">
        <v>376</v>
      </c>
      <c r="N5313" t="str">
        <f>"6161056     "</f>
        <v xml:space="preserve">6161056     </v>
      </c>
      <c r="O5313">
        <v>230314</v>
      </c>
    </row>
    <row r="5314" spans="1:15" x14ac:dyDescent="0.25">
      <c r="A5314" t="s">
        <v>16</v>
      </c>
      <c r="B5314" t="s">
        <v>3221</v>
      </c>
      <c r="C5314">
        <v>4012</v>
      </c>
      <c r="D5314" t="s">
        <v>340</v>
      </c>
      <c r="E5314" t="s">
        <v>341</v>
      </c>
      <c r="F5314">
        <v>343.77</v>
      </c>
      <c r="G5314">
        <v>230327</v>
      </c>
      <c r="H5314">
        <v>4530</v>
      </c>
      <c r="I5314" t="s">
        <v>342</v>
      </c>
      <c r="J5314">
        <v>426.27</v>
      </c>
      <c r="K5314">
        <v>82.5</v>
      </c>
      <c r="L5314">
        <v>59501</v>
      </c>
      <c r="M5314" t="s">
        <v>69</v>
      </c>
      <c r="N5314" t="str">
        <f>"6163930     "</f>
        <v xml:space="preserve">6163930     </v>
      </c>
      <c r="O5314">
        <v>230329</v>
      </c>
    </row>
    <row r="5315" spans="1:15" x14ac:dyDescent="0.25">
      <c r="A5315" t="s">
        <v>16</v>
      </c>
      <c r="B5315" t="s">
        <v>3221</v>
      </c>
      <c r="C5315">
        <v>4765</v>
      </c>
      <c r="D5315" t="s">
        <v>340</v>
      </c>
      <c r="E5315" t="s">
        <v>341</v>
      </c>
      <c r="F5315">
        <v>45.76</v>
      </c>
      <c r="G5315">
        <v>230406</v>
      </c>
      <c r="H5315">
        <v>4530</v>
      </c>
      <c r="I5315" t="s">
        <v>342</v>
      </c>
      <c r="J5315">
        <v>56.74</v>
      </c>
      <c r="K5315">
        <v>10.98</v>
      </c>
      <c r="L5315">
        <v>67522</v>
      </c>
      <c r="M5315" t="s">
        <v>397</v>
      </c>
      <c r="N5315" t="str">
        <f>"6166016     "</f>
        <v xml:space="preserve">6166016     </v>
      </c>
      <c r="O5315">
        <v>230412</v>
      </c>
    </row>
    <row r="5316" spans="1:15" x14ac:dyDescent="0.25">
      <c r="A5316" t="s">
        <v>16</v>
      </c>
      <c r="B5316" t="s">
        <v>3221</v>
      </c>
      <c r="C5316">
        <v>5164</v>
      </c>
      <c r="D5316" t="s">
        <v>340</v>
      </c>
      <c r="E5316" t="s">
        <v>341</v>
      </c>
      <c r="F5316">
        <v>240.12</v>
      </c>
      <c r="G5316">
        <v>230413</v>
      </c>
      <c r="H5316">
        <v>4530</v>
      </c>
      <c r="I5316" t="s">
        <v>342</v>
      </c>
      <c r="J5316">
        <v>297.75</v>
      </c>
      <c r="K5316">
        <v>57.63</v>
      </c>
      <c r="L5316">
        <v>14432</v>
      </c>
      <c r="M5316" t="s">
        <v>862</v>
      </c>
      <c r="N5316" t="str">
        <f>"6166607     "</f>
        <v xml:space="preserve">6166607     </v>
      </c>
      <c r="O5316">
        <v>230418</v>
      </c>
    </row>
    <row r="5317" spans="1:15" x14ac:dyDescent="0.25">
      <c r="A5317" t="s">
        <v>16</v>
      </c>
      <c r="B5317" t="s">
        <v>3221</v>
      </c>
      <c r="C5317">
        <v>5164</v>
      </c>
      <c r="D5317" t="s">
        <v>340</v>
      </c>
      <c r="E5317" t="s">
        <v>341</v>
      </c>
      <c r="F5317">
        <v>258.89</v>
      </c>
      <c r="G5317">
        <v>230413</v>
      </c>
      <c r="H5317">
        <v>4530</v>
      </c>
      <c r="I5317" t="s">
        <v>342</v>
      </c>
      <c r="J5317">
        <v>321.02</v>
      </c>
      <c r="K5317">
        <v>62.13</v>
      </c>
      <c r="L5317">
        <v>14912</v>
      </c>
      <c r="M5317" t="s">
        <v>230</v>
      </c>
      <c r="N5317" t="str">
        <f>"6166607     "</f>
        <v xml:space="preserve">6166607     </v>
      </c>
      <c r="O5317">
        <v>230418</v>
      </c>
    </row>
    <row r="5318" spans="1:15" x14ac:dyDescent="0.25">
      <c r="A5318" t="s">
        <v>16</v>
      </c>
      <c r="B5318" t="s">
        <v>3221</v>
      </c>
      <c r="C5318">
        <v>5437</v>
      </c>
      <c r="D5318" t="s">
        <v>340</v>
      </c>
      <c r="E5318" t="s">
        <v>341</v>
      </c>
      <c r="F5318">
        <v>171.78</v>
      </c>
      <c r="G5318">
        <v>230419</v>
      </c>
      <c r="H5318">
        <v>4530</v>
      </c>
      <c r="I5318" t="s">
        <v>342</v>
      </c>
      <c r="J5318">
        <v>213.01</v>
      </c>
      <c r="K5318">
        <v>41.23</v>
      </c>
      <c r="L5318">
        <v>66722</v>
      </c>
      <c r="M5318" t="s">
        <v>518</v>
      </c>
      <c r="N5318" t="str">
        <f>"6167759     "</f>
        <v xml:space="preserve">6167759     </v>
      </c>
      <c r="O5318">
        <v>230424</v>
      </c>
    </row>
    <row r="5319" spans="1:15" x14ac:dyDescent="0.25">
      <c r="A5319" t="s">
        <v>16</v>
      </c>
      <c r="B5319" t="s">
        <v>3221</v>
      </c>
      <c r="C5319">
        <v>7203</v>
      </c>
      <c r="D5319" t="s">
        <v>340</v>
      </c>
      <c r="E5319" t="s">
        <v>341</v>
      </c>
      <c r="F5319">
        <v>1401.62</v>
      </c>
      <c r="G5319">
        <v>230518</v>
      </c>
      <c r="H5319">
        <v>4530</v>
      </c>
      <c r="I5319" t="s">
        <v>342</v>
      </c>
      <c r="J5319">
        <v>1738.01</v>
      </c>
      <c r="K5319">
        <v>336.39</v>
      </c>
      <c r="L5319">
        <v>17806</v>
      </c>
      <c r="M5319" t="s">
        <v>265</v>
      </c>
      <c r="N5319" t="str">
        <f>"6173812     "</f>
        <v xml:space="preserve">6173812     </v>
      </c>
      <c r="O5319">
        <v>230526</v>
      </c>
    </row>
    <row r="5320" spans="1:15" x14ac:dyDescent="0.25">
      <c r="A5320" t="s">
        <v>16</v>
      </c>
      <c r="B5320" t="s">
        <v>3221</v>
      </c>
      <c r="C5320">
        <v>10747</v>
      </c>
      <c r="D5320" t="s">
        <v>340</v>
      </c>
      <c r="E5320" t="s">
        <v>341</v>
      </c>
      <c r="F5320">
        <v>2840.47</v>
      </c>
      <c r="G5320">
        <v>230817</v>
      </c>
      <c r="H5320">
        <v>4530</v>
      </c>
      <c r="I5320" t="s">
        <v>342</v>
      </c>
      <c r="J5320">
        <v>3522.18</v>
      </c>
      <c r="K5320">
        <v>681.71</v>
      </c>
      <c r="L5320">
        <v>17809</v>
      </c>
      <c r="M5320" t="s">
        <v>376</v>
      </c>
      <c r="N5320" t="str">
        <f>"6188398     "</f>
        <v xml:space="preserve">6188398     </v>
      </c>
      <c r="O5320">
        <v>230822</v>
      </c>
    </row>
    <row r="5321" spans="1:15" x14ac:dyDescent="0.25">
      <c r="A5321" t="s">
        <v>16</v>
      </c>
      <c r="B5321" t="s">
        <v>3221</v>
      </c>
      <c r="C5321">
        <v>10754</v>
      </c>
      <c r="D5321" t="s">
        <v>340</v>
      </c>
      <c r="E5321" t="s">
        <v>341</v>
      </c>
      <c r="F5321">
        <v>492.83</v>
      </c>
      <c r="G5321">
        <v>230821</v>
      </c>
      <c r="H5321">
        <v>4530</v>
      </c>
      <c r="I5321" t="s">
        <v>342</v>
      </c>
      <c r="J5321">
        <v>611.11</v>
      </c>
      <c r="K5321">
        <v>118.28</v>
      </c>
      <c r="L5321">
        <v>16431</v>
      </c>
      <c r="M5321" t="s">
        <v>231</v>
      </c>
      <c r="N5321" t="str">
        <f>"6188812     "</f>
        <v xml:space="preserve">6188812     </v>
      </c>
      <c r="O5321">
        <v>230822</v>
      </c>
    </row>
    <row r="5322" spans="1:15" x14ac:dyDescent="0.25">
      <c r="A5322" t="s">
        <v>16</v>
      </c>
      <c r="B5322" t="s">
        <v>3221</v>
      </c>
      <c r="C5322">
        <v>10758</v>
      </c>
      <c r="D5322" t="s">
        <v>340</v>
      </c>
      <c r="E5322" t="s">
        <v>341</v>
      </c>
      <c r="F5322">
        <v>779.74</v>
      </c>
      <c r="G5322">
        <v>230821</v>
      </c>
      <c r="H5322">
        <v>4530</v>
      </c>
      <c r="I5322" t="s">
        <v>342</v>
      </c>
      <c r="J5322">
        <v>966.88</v>
      </c>
      <c r="K5322">
        <v>187.14</v>
      </c>
      <c r="L5322">
        <v>17804</v>
      </c>
      <c r="M5322" t="s">
        <v>549</v>
      </c>
      <c r="N5322" t="str">
        <f>"6188811     "</f>
        <v xml:space="preserve">6188811     </v>
      </c>
      <c r="O5322">
        <v>230822</v>
      </c>
    </row>
    <row r="5323" spans="1:15" x14ac:dyDescent="0.25">
      <c r="A5323" t="s">
        <v>16</v>
      </c>
      <c r="B5323" t="s">
        <v>3221</v>
      </c>
      <c r="C5323">
        <v>10760</v>
      </c>
      <c r="D5323" t="s">
        <v>340</v>
      </c>
      <c r="E5323" t="s">
        <v>341</v>
      </c>
      <c r="F5323">
        <v>223.96</v>
      </c>
      <c r="G5323">
        <v>230821</v>
      </c>
      <c r="H5323">
        <v>4530</v>
      </c>
      <c r="I5323" t="s">
        <v>342</v>
      </c>
      <c r="J5323">
        <v>277.70999999999998</v>
      </c>
      <c r="K5323">
        <v>53.75</v>
      </c>
      <c r="L5323">
        <v>17805</v>
      </c>
      <c r="M5323" t="s">
        <v>102</v>
      </c>
      <c r="N5323" t="str">
        <f>"6188743     "</f>
        <v xml:space="preserve">6188743     </v>
      </c>
      <c r="O5323">
        <v>230822</v>
      </c>
    </row>
    <row r="5324" spans="1:15" x14ac:dyDescent="0.25">
      <c r="A5324" t="s">
        <v>16</v>
      </c>
      <c r="B5324" t="s">
        <v>3221</v>
      </c>
      <c r="C5324">
        <v>10761</v>
      </c>
      <c r="D5324" t="s">
        <v>340</v>
      </c>
      <c r="E5324" t="s">
        <v>341</v>
      </c>
      <c r="F5324">
        <v>1731</v>
      </c>
      <c r="G5324">
        <v>230821</v>
      </c>
      <c r="H5324">
        <v>4530</v>
      </c>
      <c r="I5324" t="s">
        <v>342</v>
      </c>
      <c r="J5324">
        <v>2146.44</v>
      </c>
      <c r="K5324">
        <v>415.44</v>
      </c>
      <c r="L5324">
        <v>17803</v>
      </c>
      <c r="M5324" t="s">
        <v>389</v>
      </c>
      <c r="N5324" t="str">
        <f>"6188824     "</f>
        <v xml:space="preserve">6188824     </v>
      </c>
      <c r="O5324">
        <v>230822</v>
      </c>
    </row>
    <row r="5325" spans="1:15" x14ac:dyDescent="0.25">
      <c r="A5325" t="s">
        <v>16</v>
      </c>
      <c r="B5325" t="s">
        <v>3221</v>
      </c>
      <c r="C5325">
        <v>10827</v>
      </c>
      <c r="D5325" t="s">
        <v>340</v>
      </c>
      <c r="E5325" t="s">
        <v>341</v>
      </c>
      <c r="F5325">
        <v>91.52</v>
      </c>
      <c r="G5325">
        <v>230818</v>
      </c>
      <c r="H5325">
        <v>4530</v>
      </c>
      <c r="I5325" t="s">
        <v>342</v>
      </c>
      <c r="J5325">
        <v>113.48</v>
      </c>
      <c r="K5325">
        <v>21.96</v>
      </c>
      <c r="L5325">
        <v>17537</v>
      </c>
      <c r="M5325" t="s">
        <v>455</v>
      </c>
      <c r="N5325" t="str">
        <f>"6188514     "</f>
        <v xml:space="preserve">6188514     </v>
      </c>
      <c r="O5325">
        <v>230823</v>
      </c>
    </row>
    <row r="5326" spans="1:15" x14ac:dyDescent="0.25">
      <c r="A5326" t="s">
        <v>16</v>
      </c>
      <c r="B5326" t="s">
        <v>3221</v>
      </c>
      <c r="C5326">
        <v>10883</v>
      </c>
      <c r="D5326" t="s">
        <v>340</v>
      </c>
      <c r="E5326" t="s">
        <v>341</v>
      </c>
      <c r="F5326">
        <v>790.6</v>
      </c>
      <c r="G5326">
        <v>230822</v>
      </c>
      <c r="H5326">
        <v>4530</v>
      </c>
      <c r="I5326" t="s">
        <v>342</v>
      </c>
      <c r="J5326">
        <v>980.34</v>
      </c>
      <c r="K5326">
        <v>189.74</v>
      </c>
      <c r="L5326">
        <v>17521</v>
      </c>
      <c r="M5326" t="s">
        <v>133</v>
      </c>
      <c r="N5326" t="str">
        <f>"6188946     "</f>
        <v xml:space="preserve">6188946     </v>
      </c>
      <c r="O5326">
        <v>230824</v>
      </c>
    </row>
    <row r="5327" spans="1:15" x14ac:dyDescent="0.25">
      <c r="A5327" t="s">
        <v>16</v>
      </c>
      <c r="B5327" t="s">
        <v>3221</v>
      </c>
      <c r="C5327">
        <v>10884</v>
      </c>
      <c r="D5327" t="s">
        <v>340</v>
      </c>
      <c r="E5327" t="s">
        <v>341</v>
      </c>
      <c r="F5327">
        <v>92.47</v>
      </c>
      <c r="G5327">
        <v>230822</v>
      </c>
      <c r="H5327">
        <v>4530</v>
      </c>
      <c r="I5327" t="s">
        <v>342</v>
      </c>
      <c r="J5327">
        <v>114.66</v>
      </c>
      <c r="K5327">
        <v>22.19</v>
      </c>
      <c r="L5327">
        <v>67522</v>
      </c>
      <c r="M5327" t="s">
        <v>397</v>
      </c>
      <c r="N5327" t="str">
        <f>"6188983     "</f>
        <v xml:space="preserve">6188983     </v>
      </c>
      <c r="O5327">
        <v>230824</v>
      </c>
    </row>
    <row r="5328" spans="1:15" x14ac:dyDescent="0.25">
      <c r="A5328" t="s">
        <v>16</v>
      </c>
      <c r="B5328" t="s">
        <v>3221</v>
      </c>
      <c r="C5328">
        <v>10919</v>
      </c>
      <c r="D5328" t="s">
        <v>340</v>
      </c>
      <c r="E5328" t="s">
        <v>341</v>
      </c>
      <c r="F5328">
        <v>1073.78</v>
      </c>
      <c r="G5328">
        <v>230822</v>
      </c>
      <c r="H5328">
        <v>4530</v>
      </c>
      <c r="I5328" t="s">
        <v>342</v>
      </c>
      <c r="J5328">
        <v>1331.49</v>
      </c>
      <c r="K5328">
        <v>257.70999999999998</v>
      </c>
      <c r="L5328">
        <v>17711</v>
      </c>
      <c r="M5328" t="s">
        <v>65</v>
      </c>
      <c r="N5328" t="str">
        <f>"6188982     "</f>
        <v xml:space="preserve">6188982     </v>
      </c>
      <c r="O5328">
        <v>230825</v>
      </c>
    </row>
    <row r="5329" spans="1:15" x14ac:dyDescent="0.25">
      <c r="A5329" t="s">
        <v>16</v>
      </c>
      <c r="B5329" t="s">
        <v>3221</v>
      </c>
      <c r="C5329">
        <v>10920</v>
      </c>
      <c r="D5329" t="s">
        <v>340</v>
      </c>
      <c r="E5329" t="s">
        <v>341</v>
      </c>
      <c r="F5329">
        <v>1842.66</v>
      </c>
      <c r="G5329">
        <v>230822</v>
      </c>
      <c r="H5329">
        <v>4530</v>
      </c>
      <c r="I5329" t="s">
        <v>342</v>
      </c>
      <c r="J5329">
        <v>2284.9</v>
      </c>
      <c r="K5329">
        <v>442.24</v>
      </c>
      <c r="L5329">
        <v>67522</v>
      </c>
      <c r="M5329" t="s">
        <v>397</v>
      </c>
      <c r="N5329" t="str">
        <f>"6189011     "</f>
        <v xml:space="preserve">6189011     </v>
      </c>
      <c r="O5329">
        <v>230825</v>
      </c>
    </row>
    <row r="5330" spans="1:15" x14ac:dyDescent="0.25">
      <c r="A5330" t="s">
        <v>16</v>
      </c>
      <c r="B5330" t="s">
        <v>3221</v>
      </c>
      <c r="C5330">
        <v>10921</v>
      </c>
      <c r="D5330" t="s">
        <v>340</v>
      </c>
      <c r="E5330" t="s">
        <v>341</v>
      </c>
      <c r="F5330">
        <v>618.12</v>
      </c>
      <c r="G5330">
        <v>230823</v>
      </c>
      <c r="H5330">
        <v>4530</v>
      </c>
      <c r="I5330" t="s">
        <v>342</v>
      </c>
      <c r="J5330">
        <v>766.47</v>
      </c>
      <c r="K5330">
        <v>148.35</v>
      </c>
      <c r="L5330">
        <v>66722</v>
      </c>
      <c r="M5330" t="s">
        <v>518</v>
      </c>
      <c r="N5330" t="str">
        <f>"6189308     "</f>
        <v xml:space="preserve">6189308     </v>
      </c>
      <c r="O5330">
        <v>230825</v>
      </c>
    </row>
    <row r="5331" spans="1:15" x14ac:dyDescent="0.25">
      <c r="A5331" t="s">
        <v>16</v>
      </c>
      <c r="B5331" t="s">
        <v>3221</v>
      </c>
      <c r="C5331">
        <v>10976</v>
      </c>
      <c r="D5331" t="s">
        <v>340</v>
      </c>
      <c r="E5331" t="s">
        <v>341</v>
      </c>
      <c r="F5331">
        <v>579.82000000000005</v>
      </c>
      <c r="G5331">
        <v>230818</v>
      </c>
      <c r="H5331">
        <v>4530</v>
      </c>
      <c r="I5331" t="s">
        <v>342</v>
      </c>
      <c r="J5331">
        <v>718.98</v>
      </c>
      <c r="K5331">
        <v>139.16</v>
      </c>
      <c r="L5331">
        <v>46554</v>
      </c>
      <c r="M5331" t="s">
        <v>117</v>
      </c>
      <c r="N5331" t="str">
        <f>"6188460     "</f>
        <v xml:space="preserve">6188460     </v>
      </c>
      <c r="O5331">
        <v>230825</v>
      </c>
    </row>
    <row r="5332" spans="1:15" x14ac:dyDescent="0.25">
      <c r="A5332" t="s">
        <v>16</v>
      </c>
      <c r="B5332" t="s">
        <v>3221</v>
      </c>
      <c r="C5332">
        <v>10983</v>
      </c>
      <c r="D5332" t="s">
        <v>340</v>
      </c>
      <c r="E5332" t="s">
        <v>341</v>
      </c>
      <c r="F5332">
        <v>56.13</v>
      </c>
      <c r="G5332">
        <v>230822</v>
      </c>
      <c r="H5332">
        <v>4530</v>
      </c>
      <c r="I5332" t="s">
        <v>342</v>
      </c>
      <c r="J5332">
        <v>69.599999999999994</v>
      </c>
      <c r="K5332">
        <v>13.47</v>
      </c>
      <c r="L5332">
        <v>56563</v>
      </c>
      <c r="M5332" t="s">
        <v>953</v>
      </c>
      <c r="N5332" t="str">
        <f>"6189156     "</f>
        <v xml:space="preserve">6189156     </v>
      </c>
      <c r="O5332">
        <v>230825</v>
      </c>
    </row>
    <row r="5333" spans="1:15" x14ac:dyDescent="0.25">
      <c r="A5333" t="s">
        <v>16</v>
      </c>
      <c r="B5333" t="s">
        <v>3221</v>
      </c>
      <c r="C5333">
        <v>10984</v>
      </c>
      <c r="D5333" t="s">
        <v>340</v>
      </c>
      <c r="E5333" t="s">
        <v>341</v>
      </c>
      <c r="F5333">
        <v>1768.23</v>
      </c>
      <c r="G5333">
        <v>230822</v>
      </c>
      <c r="H5333">
        <v>4530</v>
      </c>
      <c r="I5333" t="s">
        <v>342</v>
      </c>
      <c r="J5333">
        <v>2192.61</v>
      </c>
      <c r="K5333">
        <v>424.38</v>
      </c>
      <c r="L5333">
        <v>17527</v>
      </c>
      <c r="M5333" t="s">
        <v>422</v>
      </c>
      <c r="N5333" t="str">
        <f>"6188996     "</f>
        <v xml:space="preserve">6188996     </v>
      </c>
      <c r="O5333">
        <v>230825</v>
      </c>
    </row>
    <row r="5334" spans="1:15" x14ac:dyDescent="0.25">
      <c r="A5334" t="s">
        <v>16</v>
      </c>
      <c r="B5334" t="s">
        <v>3221</v>
      </c>
      <c r="C5334">
        <v>10985</v>
      </c>
      <c r="D5334" t="s">
        <v>340</v>
      </c>
      <c r="E5334" t="s">
        <v>341</v>
      </c>
      <c r="F5334">
        <v>30.42</v>
      </c>
      <c r="G5334">
        <v>230822</v>
      </c>
      <c r="H5334">
        <v>4530</v>
      </c>
      <c r="I5334" t="s">
        <v>342</v>
      </c>
      <c r="J5334">
        <v>37.72</v>
      </c>
      <c r="K5334">
        <v>7.3</v>
      </c>
      <c r="L5334">
        <v>54422</v>
      </c>
      <c r="M5334" t="s">
        <v>234</v>
      </c>
      <c r="N5334" t="str">
        <f>"6189094     "</f>
        <v xml:space="preserve">6189094     </v>
      </c>
      <c r="O5334">
        <v>230825</v>
      </c>
    </row>
    <row r="5335" spans="1:15" x14ac:dyDescent="0.25">
      <c r="A5335" t="s">
        <v>16</v>
      </c>
      <c r="B5335" t="s">
        <v>3221</v>
      </c>
      <c r="C5335">
        <v>10986</v>
      </c>
      <c r="D5335" t="s">
        <v>340</v>
      </c>
      <c r="E5335" t="s">
        <v>341</v>
      </c>
      <c r="F5335">
        <v>488.48</v>
      </c>
      <c r="G5335">
        <v>230823</v>
      </c>
      <c r="H5335">
        <v>4530</v>
      </c>
      <c r="I5335" t="s">
        <v>342</v>
      </c>
      <c r="J5335">
        <v>605.72</v>
      </c>
      <c r="K5335">
        <v>117.24</v>
      </c>
      <c r="L5335">
        <v>17526</v>
      </c>
      <c r="M5335" t="s">
        <v>437</v>
      </c>
      <c r="N5335" t="str">
        <f>"6189325     "</f>
        <v xml:space="preserve">6189325     </v>
      </c>
      <c r="O5335">
        <v>230825</v>
      </c>
    </row>
    <row r="5336" spans="1:15" x14ac:dyDescent="0.25">
      <c r="A5336" t="s">
        <v>16</v>
      </c>
      <c r="B5336" t="s">
        <v>3221</v>
      </c>
      <c r="C5336">
        <v>10987</v>
      </c>
      <c r="D5336" t="s">
        <v>340</v>
      </c>
      <c r="E5336" t="s">
        <v>341</v>
      </c>
      <c r="F5336">
        <v>4067.63</v>
      </c>
      <c r="G5336">
        <v>230824</v>
      </c>
      <c r="H5336">
        <v>4530</v>
      </c>
      <c r="I5336" t="s">
        <v>342</v>
      </c>
      <c r="J5336">
        <v>5043.8599999999997</v>
      </c>
      <c r="K5336">
        <v>976.23</v>
      </c>
      <c r="L5336">
        <v>66756</v>
      </c>
      <c r="M5336" t="s">
        <v>209</v>
      </c>
      <c r="N5336" t="str">
        <f>"6189526     "</f>
        <v xml:space="preserve">6189526     </v>
      </c>
      <c r="O5336">
        <v>230825</v>
      </c>
    </row>
    <row r="5337" spans="1:15" x14ac:dyDescent="0.25">
      <c r="A5337" t="s">
        <v>16</v>
      </c>
      <c r="B5337" t="s">
        <v>3221</v>
      </c>
      <c r="C5337">
        <v>10988</v>
      </c>
      <c r="D5337" t="s">
        <v>340</v>
      </c>
      <c r="E5337" t="s">
        <v>341</v>
      </c>
      <c r="F5337">
        <v>647.29</v>
      </c>
      <c r="G5337">
        <v>230824</v>
      </c>
      <c r="H5337">
        <v>4530</v>
      </c>
      <c r="I5337" t="s">
        <v>342</v>
      </c>
      <c r="J5337">
        <v>802.64</v>
      </c>
      <c r="K5337">
        <v>155.35</v>
      </c>
      <c r="L5337">
        <v>67522</v>
      </c>
      <c r="M5337" t="s">
        <v>397</v>
      </c>
      <c r="N5337" t="str">
        <f>"6189485     "</f>
        <v xml:space="preserve">6189485     </v>
      </c>
      <c r="O5337">
        <v>230825</v>
      </c>
    </row>
    <row r="5338" spans="1:15" x14ac:dyDescent="0.25">
      <c r="A5338" t="s">
        <v>16</v>
      </c>
      <c r="B5338" t="s">
        <v>3221</v>
      </c>
      <c r="C5338">
        <v>10989</v>
      </c>
      <c r="D5338" t="s">
        <v>340</v>
      </c>
      <c r="E5338" t="s">
        <v>341</v>
      </c>
      <c r="F5338">
        <v>419.86</v>
      </c>
      <c r="G5338">
        <v>230824</v>
      </c>
      <c r="H5338">
        <v>4530</v>
      </c>
      <c r="I5338" t="s">
        <v>342</v>
      </c>
      <c r="J5338">
        <v>520.63</v>
      </c>
      <c r="K5338">
        <v>100.77</v>
      </c>
      <c r="L5338">
        <v>66756</v>
      </c>
      <c r="M5338" t="s">
        <v>209</v>
      </c>
      <c r="N5338" t="str">
        <f>"6189527     "</f>
        <v xml:space="preserve">6189527     </v>
      </c>
      <c r="O5338">
        <v>230825</v>
      </c>
    </row>
    <row r="5339" spans="1:15" x14ac:dyDescent="0.25">
      <c r="A5339" t="s">
        <v>16</v>
      </c>
      <c r="B5339" t="s">
        <v>3221</v>
      </c>
      <c r="C5339">
        <v>11020</v>
      </c>
      <c r="D5339" t="s">
        <v>340</v>
      </c>
      <c r="E5339" t="s">
        <v>341</v>
      </c>
      <c r="F5339">
        <v>81.150000000000006</v>
      </c>
      <c r="G5339">
        <v>230823</v>
      </c>
      <c r="H5339">
        <v>4530</v>
      </c>
      <c r="I5339" t="s">
        <v>342</v>
      </c>
      <c r="J5339">
        <v>100.63</v>
      </c>
      <c r="K5339">
        <v>19.48</v>
      </c>
      <c r="L5339">
        <v>56561</v>
      </c>
      <c r="M5339" t="s">
        <v>358</v>
      </c>
      <c r="N5339" t="str">
        <f>"6189319     "</f>
        <v xml:space="preserve">6189319     </v>
      </c>
      <c r="O5339">
        <v>230828</v>
      </c>
    </row>
    <row r="5340" spans="1:15" x14ac:dyDescent="0.25">
      <c r="A5340" t="s">
        <v>16</v>
      </c>
      <c r="B5340" t="s">
        <v>3221</v>
      </c>
      <c r="C5340">
        <v>11021</v>
      </c>
      <c r="D5340" t="s">
        <v>340</v>
      </c>
      <c r="E5340" t="s">
        <v>341</v>
      </c>
      <c r="F5340">
        <v>228.8</v>
      </c>
      <c r="G5340">
        <v>230823</v>
      </c>
      <c r="H5340">
        <v>4530</v>
      </c>
      <c r="I5340" t="s">
        <v>342</v>
      </c>
      <c r="J5340">
        <v>283.70999999999998</v>
      </c>
      <c r="K5340">
        <v>54.91</v>
      </c>
      <c r="L5340">
        <v>56561</v>
      </c>
      <c r="M5340" t="s">
        <v>358</v>
      </c>
      <c r="N5340" t="str">
        <f>"6189318     "</f>
        <v xml:space="preserve">6189318     </v>
      </c>
      <c r="O5340">
        <v>230828</v>
      </c>
    </row>
    <row r="5341" spans="1:15" x14ac:dyDescent="0.25">
      <c r="A5341" t="s">
        <v>16</v>
      </c>
      <c r="B5341" t="s">
        <v>3221</v>
      </c>
      <c r="C5341">
        <v>11114</v>
      </c>
      <c r="D5341" t="s">
        <v>340</v>
      </c>
      <c r="E5341" t="s">
        <v>341</v>
      </c>
      <c r="F5341">
        <v>687.78</v>
      </c>
      <c r="G5341">
        <v>230822</v>
      </c>
      <c r="H5341">
        <v>4530</v>
      </c>
      <c r="I5341" t="s">
        <v>342</v>
      </c>
      <c r="J5341">
        <v>852.85</v>
      </c>
      <c r="K5341">
        <v>165.07</v>
      </c>
      <c r="L5341">
        <v>17802</v>
      </c>
      <c r="M5341" t="s">
        <v>174</v>
      </c>
      <c r="N5341" t="str">
        <f>"6188945     "</f>
        <v xml:space="preserve">6188945     </v>
      </c>
      <c r="O5341">
        <v>230830</v>
      </c>
    </row>
    <row r="5342" spans="1:15" x14ac:dyDescent="0.25">
      <c r="A5342" t="s">
        <v>16</v>
      </c>
      <c r="B5342" t="s">
        <v>3221</v>
      </c>
      <c r="C5342">
        <v>11115</v>
      </c>
      <c r="D5342" t="s">
        <v>340</v>
      </c>
      <c r="E5342" t="s">
        <v>341</v>
      </c>
      <c r="F5342">
        <v>109.63</v>
      </c>
      <c r="G5342">
        <v>230822</v>
      </c>
      <c r="H5342">
        <v>4530</v>
      </c>
      <c r="I5342" t="s">
        <v>342</v>
      </c>
      <c r="J5342">
        <v>135.94</v>
      </c>
      <c r="K5342">
        <v>26.31</v>
      </c>
      <c r="L5342">
        <v>17806</v>
      </c>
      <c r="M5342" t="s">
        <v>265</v>
      </c>
      <c r="N5342" t="str">
        <f>"6188973     "</f>
        <v xml:space="preserve">6188973     </v>
      </c>
      <c r="O5342">
        <v>230830</v>
      </c>
    </row>
    <row r="5343" spans="1:15" x14ac:dyDescent="0.25">
      <c r="A5343" t="s">
        <v>16</v>
      </c>
      <c r="B5343" t="s">
        <v>3221</v>
      </c>
      <c r="C5343">
        <v>11117</v>
      </c>
      <c r="D5343" t="s">
        <v>340</v>
      </c>
      <c r="E5343" t="s">
        <v>341</v>
      </c>
      <c r="F5343">
        <v>152.84</v>
      </c>
      <c r="G5343">
        <v>230823</v>
      </c>
      <c r="H5343">
        <v>4530</v>
      </c>
      <c r="I5343" t="s">
        <v>342</v>
      </c>
      <c r="J5343">
        <v>189.52</v>
      </c>
      <c r="K5343">
        <v>36.68</v>
      </c>
      <c r="L5343">
        <v>17802</v>
      </c>
      <c r="M5343" t="s">
        <v>174</v>
      </c>
      <c r="N5343" t="str">
        <f>"6189304     "</f>
        <v xml:space="preserve">6189304     </v>
      </c>
      <c r="O5343">
        <v>230830</v>
      </c>
    </row>
    <row r="5344" spans="1:15" x14ac:dyDescent="0.25">
      <c r="A5344" t="s">
        <v>16</v>
      </c>
      <c r="B5344" t="s">
        <v>3221</v>
      </c>
      <c r="C5344">
        <v>11120</v>
      </c>
      <c r="D5344" t="s">
        <v>340</v>
      </c>
      <c r="E5344" t="s">
        <v>341</v>
      </c>
      <c r="F5344">
        <v>457.6</v>
      </c>
      <c r="G5344">
        <v>230825</v>
      </c>
      <c r="H5344">
        <v>4530</v>
      </c>
      <c r="I5344" t="s">
        <v>342</v>
      </c>
      <c r="J5344">
        <v>567.41999999999996</v>
      </c>
      <c r="K5344">
        <v>109.82</v>
      </c>
      <c r="L5344">
        <v>46557</v>
      </c>
      <c r="M5344" t="s">
        <v>221</v>
      </c>
      <c r="N5344" t="str">
        <f>"6189656     "</f>
        <v xml:space="preserve">6189656     </v>
      </c>
      <c r="O5344">
        <v>230830</v>
      </c>
    </row>
    <row r="5345" spans="1:15" x14ac:dyDescent="0.25">
      <c r="A5345" t="s">
        <v>16</v>
      </c>
      <c r="B5345" t="s">
        <v>3221</v>
      </c>
      <c r="C5345">
        <v>11121</v>
      </c>
      <c r="D5345" t="s">
        <v>340</v>
      </c>
      <c r="E5345" t="s">
        <v>341</v>
      </c>
      <c r="F5345">
        <v>59.98</v>
      </c>
      <c r="G5345">
        <v>230825</v>
      </c>
      <c r="H5345">
        <v>4530</v>
      </c>
      <c r="I5345" t="s">
        <v>342</v>
      </c>
      <c r="J5345">
        <v>74.38</v>
      </c>
      <c r="K5345">
        <v>14.4</v>
      </c>
      <c r="L5345">
        <v>66756</v>
      </c>
      <c r="M5345" t="s">
        <v>209</v>
      </c>
      <c r="N5345" t="str">
        <f>"6189660     "</f>
        <v xml:space="preserve">6189660     </v>
      </c>
      <c r="O5345">
        <v>230830</v>
      </c>
    </row>
    <row r="5346" spans="1:15" x14ac:dyDescent="0.25">
      <c r="A5346" t="s">
        <v>16</v>
      </c>
      <c r="B5346" t="s">
        <v>3221</v>
      </c>
      <c r="C5346">
        <v>11122</v>
      </c>
      <c r="D5346" t="s">
        <v>340</v>
      </c>
      <c r="E5346" t="s">
        <v>341</v>
      </c>
      <c r="F5346">
        <v>417.54</v>
      </c>
      <c r="G5346">
        <v>230825</v>
      </c>
      <c r="H5346">
        <v>4530</v>
      </c>
      <c r="I5346" t="s">
        <v>342</v>
      </c>
      <c r="J5346">
        <v>517.75</v>
      </c>
      <c r="K5346">
        <v>100.21</v>
      </c>
      <c r="L5346">
        <v>66756</v>
      </c>
      <c r="M5346" t="s">
        <v>209</v>
      </c>
      <c r="N5346" t="str">
        <f>"6189659     "</f>
        <v xml:space="preserve">6189659     </v>
      </c>
      <c r="O5346">
        <v>230830</v>
      </c>
    </row>
    <row r="5347" spans="1:15" x14ac:dyDescent="0.25">
      <c r="A5347" t="s">
        <v>16</v>
      </c>
      <c r="B5347" t="s">
        <v>3221</v>
      </c>
      <c r="C5347">
        <v>11122</v>
      </c>
      <c r="D5347" t="s">
        <v>340</v>
      </c>
      <c r="E5347" t="s">
        <v>341</v>
      </c>
      <c r="F5347">
        <v>69.680000000000007</v>
      </c>
      <c r="G5347">
        <v>230825</v>
      </c>
      <c r="H5347">
        <v>4530</v>
      </c>
      <c r="I5347" t="s">
        <v>342</v>
      </c>
      <c r="J5347">
        <v>86.4</v>
      </c>
      <c r="K5347">
        <v>16.72</v>
      </c>
      <c r="L5347">
        <v>69501</v>
      </c>
      <c r="M5347" t="s">
        <v>185</v>
      </c>
      <c r="N5347" t="str">
        <f>"6189659     "</f>
        <v xml:space="preserve">6189659     </v>
      </c>
      <c r="O5347">
        <v>230830</v>
      </c>
    </row>
    <row r="5348" spans="1:15" x14ac:dyDescent="0.25">
      <c r="A5348" t="s">
        <v>16</v>
      </c>
      <c r="B5348" t="s">
        <v>3221</v>
      </c>
      <c r="C5348">
        <v>11122</v>
      </c>
      <c r="D5348" t="s">
        <v>340</v>
      </c>
      <c r="E5348" t="s">
        <v>341</v>
      </c>
      <c r="F5348">
        <v>69.67</v>
      </c>
      <c r="G5348">
        <v>230825</v>
      </c>
      <c r="H5348">
        <v>4530</v>
      </c>
      <c r="I5348" t="s">
        <v>342</v>
      </c>
      <c r="J5348">
        <v>86.39</v>
      </c>
      <c r="K5348">
        <v>16.72</v>
      </c>
      <c r="L5348">
        <v>69708</v>
      </c>
      <c r="M5348" t="s">
        <v>491</v>
      </c>
      <c r="N5348" t="str">
        <f>"6189659     "</f>
        <v xml:space="preserve">6189659     </v>
      </c>
      <c r="O5348">
        <v>230830</v>
      </c>
    </row>
    <row r="5349" spans="1:15" x14ac:dyDescent="0.25">
      <c r="A5349" t="s">
        <v>16</v>
      </c>
      <c r="B5349" t="s">
        <v>3221</v>
      </c>
      <c r="C5349">
        <v>11199</v>
      </c>
      <c r="D5349" t="s">
        <v>340</v>
      </c>
      <c r="E5349" t="s">
        <v>341</v>
      </c>
      <c r="F5349">
        <v>294.83999999999997</v>
      </c>
      <c r="G5349">
        <v>230825</v>
      </c>
      <c r="H5349">
        <v>4530</v>
      </c>
      <c r="I5349" t="s">
        <v>342</v>
      </c>
      <c r="J5349">
        <v>365.6</v>
      </c>
      <c r="K5349">
        <v>70.760000000000005</v>
      </c>
      <c r="L5349">
        <v>56564</v>
      </c>
      <c r="M5349" t="s">
        <v>327</v>
      </c>
      <c r="N5349" t="str">
        <f>"6189689     "</f>
        <v xml:space="preserve">6189689     </v>
      </c>
      <c r="O5349">
        <v>230831</v>
      </c>
    </row>
    <row r="5350" spans="1:15" x14ac:dyDescent="0.25">
      <c r="A5350" t="s">
        <v>16</v>
      </c>
      <c r="B5350" t="s">
        <v>3221</v>
      </c>
      <c r="C5350">
        <v>11200</v>
      </c>
      <c r="D5350" t="s">
        <v>340</v>
      </c>
      <c r="E5350" t="s">
        <v>341</v>
      </c>
      <c r="F5350">
        <v>325.26</v>
      </c>
      <c r="G5350">
        <v>230825</v>
      </c>
      <c r="H5350">
        <v>4530</v>
      </c>
      <c r="I5350" t="s">
        <v>342</v>
      </c>
      <c r="J5350">
        <v>403.32</v>
      </c>
      <c r="K5350">
        <v>78.06</v>
      </c>
      <c r="L5350">
        <v>56564</v>
      </c>
      <c r="M5350" t="s">
        <v>327</v>
      </c>
      <c r="N5350" t="str">
        <f>"6189684     "</f>
        <v xml:space="preserve">6189684     </v>
      </c>
      <c r="O5350">
        <v>230831</v>
      </c>
    </row>
    <row r="5351" spans="1:15" x14ac:dyDescent="0.25">
      <c r="A5351" t="s">
        <v>16</v>
      </c>
      <c r="B5351" t="s">
        <v>3221</v>
      </c>
      <c r="C5351">
        <v>11235</v>
      </c>
      <c r="D5351" t="s">
        <v>340</v>
      </c>
      <c r="E5351" t="s">
        <v>341</v>
      </c>
      <c r="F5351">
        <v>200.3</v>
      </c>
      <c r="G5351">
        <v>230830</v>
      </c>
      <c r="H5351">
        <v>4530</v>
      </c>
      <c r="I5351" t="s">
        <v>342</v>
      </c>
      <c r="J5351">
        <v>248.37</v>
      </c>
      <c r="K5351">
        <v>48.07</v>
      </c>
      <c r="L5351">
        <v>17806</v>
      </c>
      <c r="M5351" t="s">
        <v>265</v>
      </c>
      <c r="N5351" t="str">
        <f>"6190551     "</f>
        <v xml:space="preserve">6190551     </v>
      </c>
      <c r="O5351">
        <v>230901</v>
      </c>
    </row>
    <row r="5352" spans="1:15" x14ac:dyDescent="0.25">
      <c r="A5352" t="s">
        <v>16</v>
      </c>
      <c r="B5352" t="s">
        <v>3221</v>
      </c>
      <c r="C5352">
        <v>11244</v>
      </c>
      <c r="D5352" t="s">
        <v>340</v>
      </c>
      <c r="E5352" t="s">
        <v>341</v>
      </c>
      <c r="F5352">
        <v>45.76</v>
      </c>
      <c r="G5352">
        <v>230824</v>
      </c>
      <c r="H5352">
        <v>4530</v>
      </c>
      <c r="I5352" t="s">
        <v>342</v>
      </c>
      <c r="J5352">
        <v>56.74</v>
      </c>
      <c r="K5352">
        <v>10.98</v>
      </c>
      <c r="L5352">
        <v>56522</v>
      </c>
      <c r="M5352" t="s">
        <v>43</v>
      </c>
      <c r="N5352" t="str">
        <f>"6189531     "</f>
        <v xml:space="preserve">6189531     </v>
      </c>
      <c r="O5352">
        <v>230901</v>
      </c>
    </row>
    <row r="5353" spans="1:15" x14ac:dyDescent="0.25">
      <c r="A5353" t="s">
        <v>16</v>
      </c>
      <c r="B5353" t="s">
        <v>3221</v>
      </c>
      <c r="C5353">
        <v>11349</v>
      </c>
      <c r="D5353" t="s">
        <v>340</v>
      </c>
      <c r="E5353" t="s">
        <v>341</v>
      </c>
      <c r="F5353">
        <v>431.23</v>
      </c>
      <c r="G5353">
        <v>230823</v>
      </c>
      <c r="H5353">
        <v>4530</v>
      </c>
      <c r="I5353" t="s">
        <v>342</v>
      </c>
      <c r="J5353">
        <v>534.72</v>
      </c>
      <c r="K5353">
        <v>103.49</v>
      </c>
      <c r="L5353">
        <v>17523</v>
      </c>
      <c r="M5353" t="s">
        <v>134</v>
      </c>
      <c r="N5353" t="str">
        <f>"6189324     "</f>
        <v xml:space="preserve">6189324     </v>
      </c>
      <c r="O5353">
        <v>230904</v>
      </c>
    </row>
    <row r="5354" spans="1:15" x14ac:dyDescent="0.25">
      <c r="A5354" t="s">
        <v>16</v>
      </c>
      <c r="B5354" t="s">
        <v>3221</v>
      </c>
      <c r="C5354">
        <v>11351</v>
      </c>
      <c r="D5354" t="s">
        <v>340</v>
      </c>
      <c r="E5354" t="s">
        <v>341</v>
      </c>
      <c r="F5354">
        <v>2458.5</v>
      </c>
      <c r="G5354">
        <v>230829</v>
      </c>
      <c r="H5354">
        <v>4530</v>
      </c>
      <c r="I5354" t="s">
        <v>342</v>
      </c>
      <c r="J5354">
        <v>3048.54</v>
      </c>
      <c r="K5354">
        <v>590.04</v>
      </c>
      <c r="L5354">
        <v>56558</v>
      </c>
      <c r="M5354" t="s">
        <v>217</v>
      </c>
      <c r="N5354" t="str">
        <f>"6190302     "</f>
        <v xml:space="preserve">6190302     </v>
      </c>
      <c r="O5354">
        <v>230904</v>
      </c>
    </row>
    <row r="5355" spans="1:15" x14ac:dyDescent="0.25">
      <c r="A5355" t="s">
        <v>16</v>
      </c>
      <c r="B5355" t="s">
        <v>3221</v>
      </c>
      <c r="C5355">
        <v>11352</v>
      </c>
      <c r="D5355" t="s">
        <v>340</v>
      </c>
      <c r="E5355" t="s">
        <v>341</v>
      </c>
      <c r="F5355">
        <v>225.06</v>
      </c>
      <c r="G5355">
        <v>230829</v>
      </c>
      <c r="H5355">
        <v>4530</v>
      </c>
      <c r="I5355" t="s">
        <v>342</v>
      </c>
      <c r="J5355">
        <v>279.07</v>
      </c>
      <c r="K5355">
        <v>54.01</v>
      </c>
      <c r="L5355">
        <v>46554</v>
      </c>
      <c r="M5355" t="s">
        <v>117</v>
      </c>
      <c r="N5355" t="str">
        <f>"6190329     "</f>
        <v xml:space="preserve">6190329     </v>
      </c>
      <c r="O5355">
        <v>230904</v>
      </c>
    </row>
    <row r="5356" spans="1:15" x14ac:dyDescent="0.25">
      <c r="A5356" t="s">
        <v>16</v>
      </c>
      <c r="B5356" t="s">
        <v>3221</v>
      </c>
      <c r="C5356">
        <v>11353</v>
      </c>
      <c r="D5356" t="s">
        <v>340</v>
      </c>
      <c r="E5356" t="s">
        <v>341</v>
      </c>
      <c r="F5356">
        <v>850.98</v>
      </c>
      <c r="G5356">
        <v>230829</v>
      </c>
      <c r="H5356">
        <v>4530</v>
      </c>
      <c r="I5356" t="s">
        <v>342</v>
      </c>
      <c r="J5356">
        <v>1055.22</v>
      </c>
      <c r="K5356">
        <v>204.24</v>
      </c>
      <c r="L5356">
        <v>46554</v>
      </c>
      <c r="M5356" t="s">
        <v>117</v>
      </c>
      <c r="N5356" t="str">
        <f>"6190330     "</f>
        <v xml:space="preserve">6190330     </v>
      </c>
      <c r="O5356">
        <v>230904</v>
      </c>
    </row>
    <row r="5357" spans="1:15" x14ac:dyDescent="0.25">
      <c r="A5357" t="s">
        <v>16</v>
      </c>
      <c r="B5357" t="s">
        <v>3221</v>
      </c>
      <c r="C5357">
        <v>11354</v>
      </c>
      <c r="D5357" t="s">
        <v>340</v>
      </c>
      <c r="E5357" t="s">
        <v>341</v>
      </c>
      <c r="F5357">
        <v>798.82</v>
      </c>
      <c r="G5357">
        <v>230829</v>
      </c>
      <c r="H5357">
        <v>4530</v>
      </c>
      <c r="I5357" t="s">
        <v>342</v>
      </c>
      <c r="J5357">
        <v>990.54</v>
      </c>
      <c r="K5357">
        <v>191.72</v>
      </c>
      <c r="L5357">
        <v>56558</v>
      </c>
      <c r="M5357" t="s">
        <v>217</v>
      </c>
      <c r="N5357" t="str">
        <f>"6190301     "</f>
        <v xml:space="preserve">6190301     </v>
      </c>
      <c r="O5357">
        <v>230904</v>
      </c>
    </row>
    <row r="5358" spans="1:15" x14ac:dyDescent="0.25">
      <c r="A5358" t="s">
        <v>16</v>
      </c>
      <c r="B5358" t="s">
        <v>3221</v>
      </c>
      <c r="C5358">
        <v>11357</v>
      </c>
      <c r="D5358" t="s">
        <v>340</v>
      </c>
      <c r="E5358" t="s">
        <v>341</v>
      </c>
      <c r="F5358">
        <v>1059.8699999999999</v>
      </c>
      <c r="G5358">
        <v>230830</v>
      </c>
      <c r="H5358">
        <v>4530</v>
      </c>
      <c r="I5358" t="s">
        <v>342</v>
      </c>
      <c r="J5358">
        <v>1314.24</v>
      </c>
      <c r="K5358">
        <v>254.37</v>
      </c>
      <c r="L5358">
        <v>46556</v>
      </c>
      <c r="M5358" t="s">
        <v>125</v>
      </c>
      <c r="N5358" t="str">
        <f>"6190566     "</f>
        <v xml:space="preserve">6190566     </v>
      </c>
      <c r="O5358">
        <v>230904</v>
      </c>
    </row>
    <row r="5359" spans="1:15" x14ac:dyDescent="0.25">
      <c r="A5359" t="s">
        <v>16</v>
      </c>
      <c r="B5359" t="s">
        <v>3221</v>
      </c>
      <c r="C5359">
        <v>11361</v>
      </c>
      <c r="D5359" t="s">
        <v>340</v>
      </c>
      <c r="E5359" t="s">
        <v>341</v>
      </c>
      <c r="F5359">
        <v>1258.6300000000001</v>
      </c>
      <c r="G5359">
        <v>230830</v>
      </c>
      <c r="H5359">
        <v>4530</v>
      </c>
      <c r="I5359" t="s">
        <v>342</v>
      </c>
      <c r="J5359">
        <v>1560.7</v>
      </c>
      <c r="K5359">
        <v>302.07</v>
      </c>
      <c r="L5359">
        <v>46556</v>
      </c>
      <c r="M5359" t="s">
        <v>125</v>
      </c>
      <c r="N5359" t="str">
        <f>"6190567     "</f>
        <v xml:space="preserve">6190567     </v>
      </c>
      <c r="O5359">
        <v>230904</v>
      </c>
    </row>
    <row r="5360" spans="1:15" x14ac:dyDescent="0.25">
      <c r="A5360" t="s">
        <v>16</v>
      </c>
      <c r="B5360" t="s">
        <v>3221</v>
      </c>
      <c r="C5360">
        <v>11412</v>
      </c>
      <c r="D5360" t="s">
        <v>340</v>
      </c>
      <c r="E5360" t="s">
        <v>341</v>
      </c>
      <c r="F5360">
        <v>754.03</v>
      </c>
      <c r="G5360">
        <v>230822</v>
      </c>
      <c r="H5360">
        <v>4530</v>
      </c>
      <c r="I5360" t="s">
        <v>342</v>
      </c>
      <c r="J5360">
        <v>935</v>
      </c>
      <c r="K5360">
        <v>180.97</v>
      </c>
      <c r="L5360">
        <v>44422</v>
      </c>
      <c r="M5360" t="s">
        <v>482</v>
      </c>
      <c r="N5360" t="str">
        <f>"6189050     "</f>
        <v xml:space="preserve">6189050     </v>
      </c>
      <c r="O5360">
        <v>230905</v>
      </c>
    </row>
    <row r="5361" spans="1:15" x14ac:dyDescent="0.25">
      <c r="A5361" t="s">
        <v>16</v>
      </c>
      <c r="B5361" t="s">
        <v>3221</v>
      </c>
      <c r="C5361">
        <v>11412</v>
      </c>
      <c r="D5361" t="s">
        <v>340</v>
      </c>
      <c r="E5361" t="s">
        <v>341</v>
      </c>
      <c r="F5361">
        <v>754.45</v>
      </c>
      <c r="G5361">
        <v>230822</v>
      </c>
      <c r="H5361">
        <v>4530</v>
      </c>
      <c r="I5361" t="s">
        <v>342</v>
      </c>
      <c r="J5361">
        <v>935.52</v>
      </c>
      <c r="K5361">
        <v>181.07</v>
      </c>
      <c r="L5361">
        <v>44423</v>
      </c>
      <c r="M5361" t="s">
        <v>502</v>
      </c>
      <c r="N5361" t="str">
        <f>"6189050     "</f>
        <v xml:space="preserve">6189050     </v>
      </c>
      <c r="O5361">
        <v>230905</v>
      </c>
    </row>
    <row r="5362" spans="1:15" x14ac:dyDescent="0.25">
      <c r="A5362" t="s">
        <v>16</v>
      </c>
      <c r="B5362" t="s">
        <v>3221</v>
      </c>
      <c r="C5362">
        <v>11599</v>
      </c>
      <c r="D5362" t="s">
        <v>340</v>
      </c>
      <c r="E5362" t="s">
        <v>341</v>
      </c>
      <c r="F5362">
        <v>2996.99</v>
      </c>
      <c r="G5362">
        <v>230831</v>
      </c>
      <c r="H5362">
        <v>4530</v>
      </c>
      <c r="I5362" t="s">
        <v>342</v>
      </c>
      <c r="J5362">
        <v>3716.27</v>
      </c>
      <c r="K5362">
        <v>719.28</v>
      </c>
      <c r="L5362">
        <v>56562</v>
      </c>
      <c r="M5362" t="s">
        <v>126</v>
      </c>
      <c r="N5362" t="str">
        <f>"6191236     "</f>
        <v xml:space="preserve">6191236     </v>
      </c>
      <c r="O5362">
        <v>230907</v>
      </c>
    </row>
    <row r="5363" spans="1:15" x14ac:dyDescent="0.25">
      <c r="A5363" t="s">
        <v>16</v>
      </c>
      <c r="B5363" t="s">
        <v>3221</v>
      </c>
      <c r="C5363">
        <v>11600</v>
      </c>
      <c r="D5363" t="s">
        <v>340</v>
      </c>
      <c r="E5363" t="s">
        <v>341</v>
      </c>
      <c r="F5363">
        <v>1319.96</v>
      </c>
      <c r="G5363">
        <v>230831</v>
      </c>
      <c r="H5363">
        <v>4530</v>
      </c>
      <c r="I5363" t="s">
        <v>342</v>
      </c>
      <c r="J5363">
        <v>1636.75</v>
      </c>
      <c r="K5363">
        <v>316.79000000000002</v>
      </c>
      <c r="L5363">
        <v>67522</v>
      </c>
      <c r="M5363" t="s">
        <v>397</v>
      </c>
      <c r="N5363" t="str">
        <f>"6191238     "</f>
        <v xml:space="preserve">6191238     </v>
      </c>
      <c r="O5363">
        <v>230907</v>
      </c>
    </row>
    <row r="5364" spans="1:15" x14ac:dyDescent="0.25">
      <c r="A5364" t="s">
        <v>16</v>
      </c>
      <c r="B5364" t="s">
        <v>3221</v>
      </c>
      <c r="C5364">
        <v>11601</v>
      </c>
      <c r="D5364" t="s">
        <v>340</v>
      </c>
      <c r="E5364" t="s">
        <v>341</v>
      </c>
      <c r="F5364">
        <v>5546.56</v>
      </c>
      <c r="G5364">
        <v>230831</v>
      </c>
      <c r="H5364">
        <v>4530</v>
      </c>
      <c r="I5364" t="s">
        <v>342</v>
      </c>
      <c r="J5364">
        <v>6877.73</v>
      </c>
      <c r="K5364">
        <v>1331.17</v>
      </c>
      <c r="L5364">
        <v>17806</v>
      </c>
      <c r="M5364" t="s">
        <v>265</v>
      </c>
      <c r="N5364" t="str">
        <f>"6191260     "</f>
        <v xml:space="preserve">6191260     </v>
      </c>
      <c r="O5364">
        <v>230907</v>
      </c>
    </row>
    <row r="5365" spans="1:15" x14ac:dyDescent="0.25">
      <c r="A5365" t="s">
        <v>16</v>
      </c>
      <c r="B5365" t="s">
        <v>3221</v>
      </c>
      <c r="C5365">
        <v>11628</v>
      </c>
      <c r="D5365" t="s">
        <v>340</v>
      </c>
      <c r="E5365" t="s">
        <v>341</v>
      </c>
      <c r="F5365">
        <v>725.88</v>
      </c>
      <c r="G5365">
        <v>230831</v>
      </c>
      <c r="H5365">
        <v>4530</v>
      </c>
      <c r="I5365" t="s">
        <v>342</v>
      </c>
      <c r="J5365">
        <v>900.09</v>
      </c>
      <c r="K5365">
        <v>174.21</v>
      </c>
      <c r="L5365">
        <v>56559</v>
      </c>
      <c r="M5365" t="s">
        <v>129</v>
      </c>
      <c r="N5365" t="str">
        <f>"6191239     "</f>
        <v xml:space="preserve">6191239     </v>
      </c>
      <c r="O5365">
        <v>230907</v>
      </c>
    </row>
    <row r="5366" spans="1:15" x14ac:dyDescent="0.25">
      <c r="A5366" t="s">
        <v>16</v>
      </c>
      <c r="B5366" t="s">
        <v>3221</v>
      </c>
      <c r="C5366">
        <v>11629</v>
      </c>
      <c r="D5366" t="s">
        <v>340</v>
      </c>
      <c r="E5366" t="s">
        <v>341</v>
      </c>
      <c r="F5366">
        <v>1162.77</v>
      </c>
      <c r="G5366">
        <v>230831</v>
      </c>
      <c r="H5366">
        <v>4530</v>
      </c>
      <c r="I5366" t="s">
        <v>342</v>
      </c>
      <c r="J5366">
        <v>1441.83</v>
      </c>
      <c r="K5366">
        <v>279.06</v>
      </c>
      <c r="L5366">
        <v>56562</v>
      </c>
      <c r="M5366" t="s">
        <v>126</v>
      </c>
      <c r="N5366" t="str">
        <f>"6191237     "</f>
        <v xml:space="preserve">6191237     </v>
      </c>
      <c r="O5366">
        <v>230907</v>
      </c>
    </row>
    <row r="5367" spans="1:15" x14ac:dyDescent="0.25">
      <c r="A5367" t="s">
        <v>16</v>
      </c>
      <c r="B5367" t="s">
        <v>3221</v>
      </c>
      <c r="C5367">
        <v>11641</v>
      </c>
      <c r="D5367" t="s">
        <v>340</v>
      </c>
      <c r="E5367" t="s">
        <v>341</v>
      </c>
      <c r="F5367">
        <v>38.21</v>
      </c>
      <c r="G5367">
        <v>230905</v>
      </c>
      <c r="H5367">
        <v>4530</v>
      </c>
      <c r="I5367" t="s">
        <v>342</v>
      </c>
      <c r="J5367">
        <v>47.38</v>
      </c>
      <c r="K5367">
        <v>9.17</v>
      </c>
      <c r="L5367">
        <v>56559</v>
      </c>
      <c r="M5367" t="s">
        <v>129</v>
      </c>
      <c r="N5367" t="str">
        <f>"6191816     "</f>
        <v xml:space="preserve">6191816     </v>
      </c>
      <c r="O5367">
        <v>230907</v>
      </c>
    </row>
    <row r="5368" spans="1:15" x14ac:dyDescent="0.25">
      <c r="A5368" t="s">
        <v>16</v>
      </c>
      <c r="B5368" t="s">
        <v>3221</v>
      </c>
      <c r="C5368">
        <v>11691</v>
      </c>
      <c r="D5368" t="s">
        <v>340</v>
      </c>
      <c r="E5368" t="s">
        <v>341</v>
      </c>
      <c r="F5368">
        <v>111.98</v>
      </c>
      <c r="G5368">
        <v>230822</v>
      </c>
      <c r="H5368">
        <v>4530</v>
      </c>
      <c r="I5368" t="s">
        <v>342</v>
      </c>
      <c r="J5368">
        <v>138.86000000000001</v>
      </c>
      <c r="K5368">
        <v>26.88</v>
      </c>
      <c r="L5368">
        <v>54622</v>
      </c>
      <c r="M5368" t="s">
        <v>872</v>
      </c>
      <c r="N5368" t="str">
        <f>"6189007     "</f>
        <v xml:space="preserve">6189007     </v>
      </c>
      <c r="O5368">
        <v>230908</v>
      </c>
    </row>
    <row r="5369" spans="1:15" x14ac:dyDescent="0.25">
      <c r="A5369" t="s">
        <v>16</v>
      </c>
      <c r="B5369" t="s">
        <v>3221</v>
      </c>
      <c r="C5369">
        <v>11691</v>
      </c>
      <c r="D5369" t="s">
        <v>340</v>
      </c>
      <c r="E5369" t="s">
        <v>341</v>
      </c>
      <c r="F5369">
        <v>907.27</v>
      </c>
      <c r="G5369">
        <v>230822</v>
      </c>
      <c r="H5369">
        <v>4530</v>
      </c>
      <c r="I5369" t="s">
        <v>342</v>
      </c>
      <c r="J5369">
        <v>1125.01</v>
      </c>
      <c r="K5369">
        <v>217.74</v>
      </c>
      <c r="L5369">
        <v>55222</v>
      </c>
      <c r="M5369" t="s">
        <v>873</v>
      </c>
      <c r="N5369" t="str">
        <f>"6189007     "</f>
        <v xml:space="preserve">6189007     </v>
      </c>
      <c r="O5369">
        <v>230908</v>
      </c>
    </row>
    <row r="5370" spans="1:15" x14ac:dyDescent="0.25">
      <c r="A5370" t="s">
        <v>16</v>
      </c>
      <c r="B5370" t="s">
        <v>3221</v>
      </c>
      <c r="C5370">
        <v>11719</v>
      </c>
      <c r="D5370" t="s">
        <v>340</v>
      </c>
      <c r="E5370" t="s">
        <v>341</v>
      </c>
      <c r="F5370">
        <v>76.42</v>
      </c>
      <c r="G5370">
        <v>230829</v>
      </c>
      <c r="H5370">
        <v>4530</v>
      </c>
      <c r="I5370" t="s">
        <v>342</v>
      </c>
      <c r="J5370">
        <v>94.76</v>
      </c>
      <c r="K5370">
        <v>18.34</v>
      </c>
      <c r="L5370">
        <v>17802</v>
      </c>
      <c r="M5370" t="s">
        <v>174</v>
      </c>
      <c r="N5370" t="str">
        <f>"6190292     "</f>
        <v xml:space="preserve">6190292     </v>
      </c>
      <c r="O5370">
        <v>230908</v>
      </c>
    </row>
    <row r="5371" spans="1:15" x14ac:dyDescent="0.25">
      <c r="A5371" t="s">
        <v>16</v>
      </c>
      <c r="B5371" t="s">
        <v>3221</v>
      </c>
      <c r="C5371">
        <v>11746</v>
      </c>
      <c r="D5371" t="s">
        <v>340</v>
      </c>
      <c r="E5371" t="s">
        <v>341</v>
      </c>
      <c r="F5371">
        <v>1098.24</v>
      </c>
      <c r="G5371">
        <v>230831</v>
      </c>
      <c r="H5371">
        <v>4530</v>
      </c>
      <c r="I5371" t="s">
        <v>342</v>
      </c>
      <c r="J5371">
        <v>1361.82</v>
      </c>
      <c r="K5371">
        <v>263.58</v>
      </c>
      <c r="L5371">
        <v>47522</v>
      </c>
      <c r="M5371" t="s">
        <v>410</v>
      </c>
      <c r="N5371" t="str">
        <f>"6191251     "</f>
        <v xml:space="preserve">6191251     </v>
      </c>
      <c r="O5371">
        <v>230908</v>
      </c>
    </row>
    <row r="5372" spans="1:15" x14ac:dyDescent="0.25">
      <c r="A5372" t="s">
        <v>16</v>
      </c>
      <c r="B5372" t="s">
        <v>3221</v>
      </c>
      <c r="C5372">
        <v>11918</v>
      </c>
      <c r="D5372" t="s">
        <v>340</v>
      </c>
      <c r="E5372" t="s">
        <v>341</v>
      </c>
      <c r="F5372">
        <v>408.2</v>
      </c>
      <c r="G5372">
        <v>230831</v>
      </c>
      <c r="H5372">
        <v>4530</v>
      </c>
      <c r="I5372" t="s">
        <v>342</v>
      </c>
      <c r="J5372">
        <v>506.17</v>
      </c>
      <c r="K5372">
        <v>97.97</v>
      </c>
      <c r="L5372">
        <v>54422</v>
      </c>
      <c r="M5372" t="s">
        <v>234</v>
      </c>
      <c r="N5372" t="str">
        <f>"6191246     "</f>
        <v xml:space="preserve">6191246     </v>
      </c>
      <c r="O5372">
        <v>230911</v>
      </c>
    </row>
    <row r="5373" spans="1:15" x14ac:dyDescent="0.25">
      <c r="A5373" t="s">
        <v>16</v>
      </c>
      <c r="B5373" t="s">
        <v>3221</v>
      </c>
      <c r="C5373">
        <v>11919</v>
      </c>
      <c r="D5373" t="s">
        <v>340</v>
      </c>
      <c r="E5373" t="s">
        <v>341</v>
      </c>
      <c r="F5373">
        <v>69.400000000000006</v>
      </c>
      <c r="G5373">
        <v>230831</v>
      </c>
      <c r="H5373">
        <v>4530</v>
      </c>
      <c r="I5373" t="s">
        <v>342</v>
      </c>
      <c r="J5373">
        <v>86.06</v>
      </c>
      <c r="K5373">
        <v>16.66</v>
      </c>
      <c r="L5373">
        <v>56563</v>
      </c>
      <c r="M5373" t="s">
        <v>953</v>
      </c>
      <c r="N5373" t="str">
        <f>"6191244     "</f>
        <v xml:space="preserve">6191244     </v>
      </c>
      <c r="O5373">
        <v>230911</v>
      </c>
    </row>
    <row r="5374" spans="1:15" x14ac:dyDescent="0.25">
      <c r="A5374" t="s">
        <v>16</v>
      </c>
      <c r="B5374" t="s">
        <v>3221</v>
      </c>
      <c r="C5374">
        <v>11921</v>
      </c>
      <c r="D5374" t="s">
        <v>340</v>
      </c>
      <c r="E5374" t="s">
        <v>341</v>
      </c>
      <c r="F5374">
        <v>2083.56</v>
      </c>
      <c r="G5374">
        <v>230831</v>
      </c>
      <c r="H5374">
        <v>4530</v>
      </c>
      <c r="I5374" t="s">
        <v>342</v>
      </c>
      <c r="J5374">
        <v>2583.62</v>
      </c>
      <c r="K5374">
        <v>500.06</v>
      </c>
      <c r="L5374">
        <v>56560</v>
      </c>
      <c r="M5374" t="s">
        <v>654</v>
      </c>
      <c r="N5374" t="str">
        <f>"6191234     "</f>
        <v xml:space="preserve">6191234     </v>
      </c>
      <c r="O5374">
        <v>230911</v>
      </c>
    </row>
    <row r="5375" spans="1:15" x14ac:dyDescent="0.25">
      <c r="A5375" t="s">
        <v>16</v>
      </c>
      <c r="B5375" t="s">
        <v>3221</v>
      </c>
      <c r="C5375">
        <v>11922</v>
      </c>
      <c r="D5375" t="s">
        <v>340</v>
      </c>
      <c r="E5375" t="s">
        <v>341</v>
      </c>
      <c r="F5375">
        <v>467.92</v>
      </c>
      <c r="G5375">
        <v>230831</v>
      </c>
      <c r="H5375">
        <v>4530</v>
      </c>
      <c r="I5375" t="s">
        <v>342</v>
      </c>
      <c r="J5375">
        <v>580.22</v>
      </c>
      <c r="K5375">
        <v>112.3</v>
      </c>
      <c r="L5375">
        <v>54422</v>
      </c>
      <c r="M5375" t="s">
        <v>234</v>
      </c>
      <c r="N5375" t="str">
        <f>"6191245     "</f>
        <v xml:space="preserve">6191245     </v>
      </c>
      <c r="O5375">
        <v>230911</v>
      </c>
    </row>
    <row r="5376" spans="1:15" x14ac:dyDescent="0.25">
      <c r="A5376" t="s">
        <v>16</v>
      </c>
      <c r="B5376" t="s">
        <v>3221</v>
      </c>
      <c r="C5376">
        <v>11924</v>
      </c>
      <c r="D5376" t="s">
        <v>340</v>
      </c>
      <c r="E5376" t="s">
        <v>341</v>
      </c>
      <c r="F5376">
        <v>1233.49</v>
      </c>
      <c r="G5376">
        <v>230831</v>
      </c>
      <c r="H5376">
        <v>4530</v>
      </c>
      <c r="I5376" t="s">
        <v>342</v>
      </c>
      <c r="J5376">
        <v>1529.53</v>
      </c>
      <c r="K5376">
        <v>296.04000000000002</v>
      </c>
      <c r="L5376">
        <v>46555</v>
      </c>
      <c r="M5376" t="s">
        <v>597</v>
      </c>
      <c r="N5376" t="str">
        <f>"6191252     "</f>
        <v xml:space="preserve">6191252     </v>
      </c>
      <c r="O5376">
        <v>230911</v>
      </c>
    </row>
    <row r="5377" spans="1:15" x14ac:dyDescent="0.25">
      <c r="A5377" t="s">
        <v>16</v>
      </c>
      <c r="B5377" t="s">
        <v>3221</v>
      </c>
      <c r="C5377">
        <v>11925</v>
      </c>
      <c r="D5377" t="s">
        <v>340</v>
      </c>
      <c r="E5377" t="s">
        <v>341</v>
      </c>
      <c r="F5377">
        <v>41.6</v>
      </c>
      <c r="G5377">
        <v>230901</v>
      </c>
      <c r="H5377">
        <v>4530</v>
      </c>
      <c r="I5377" t="s">
        <v>342</v>
      </c>
      <c r="J5377">
        <v>51.58</v>
      </c>
      <c r="K5377">
        <v>9.98</v>
      </c>
      <c r="L5377">
        <v>56563</v>
      </c>
      <c r="M5377" t="s">
        <v>953</v>
      </c>
      <c r="N5377" t="str">
        <f>"6191368     "</f>
        <v xml:space="preserve">6191368     </v>
      </c>
      <c r="O5377">
        <v>230911</v>
      </c>
    </row>
    <row r="5378" spans="1:15" x14ac:dyDescent="0.25">
      <c r="A5378" t="s">
        <v>16</v>
      </c>
      <c r="B5378" t="s">
        <v>3221</v>
      </c>
      <c r="C5378">
        <v>11926</v>
      </c>
      <c r="D5378" t="s">
        <v>340</v>
      </c>
      <c r="E5378" t="s">
        <v>341</v>
      </c>
      <c r="F5378">
        <v>200.6</v>
      </c>
      <c r="G5378">
        <v>230831</v>
      </c>
      <c r="H5378">
        <v>4530</v>
      </c>
      <c r="I5378" t="s">
        <v>342</v>
      </c>
      <c r="J5378">
        <v>248.74</v>
      </c>
      <c r="K5378">
        <v>48.14</v>
      </c>
      <c r="L5378">
        <v>54422</v>
      </c>
      <c r="M5378" t="s">
        <v>234</v>
      </c>
      <c r="N5378" t="str">
        <f>"6191240     "</f>
        <v xml:space="preserve">6191240     </v>
      </c>
      <c r="O5378">
        <v>230911</v>
      </c>
    </row>
    <row r="5379" spans="1:15" x14ac:dyDescent="0.25">
      <c r="A5379" t="s">
        <v>16</v>
      </c>
      <c r="B5379" t="s">
        <v>3221</v>
      </c>
      <c r="C5379">
        <v>11928</v>
      </c>
      <c r="D5379" t="s">
        <v>340</v>
      </c>
      <c r="E5379" t="s">
        <v>341</v>
      </c>
      <c r="F5379">
        <v>41.6</v>
      </c>
      <c r="G5379">
        <v>230901</v>
      </c>
      <c r="H5379">
        <v>4530</v>
      </c>
      <c r="I5379" t="s">
        <v>342</v>
      </c>
      <c r="J5379">
        <v>51.58</v>
      </c>
      <c r="K5379">
        <v>9.98</v>
      </c>
      <c r="L5379">
        <v>54422</v>
      </c>
      <c r="M5379" t="s">
        <v>234</v>
      </c>
      <c r="N5379" t="str">
        <f>"6191369     "</f>
        <v xml:space="preserve">6191369     </v>
      </c>
      <c r="O5379">
        <v>230911</v>
      </c>
    </row>
    <row r="5380" spans="1:15" x14ac:dyDescent="0.25">
      <c r="A5380" t="s">
        <v>16</v>
      </c>
      <c r="B5380" t="s">
        <v>3221</v>
      </c>
      <c r="C5380">
        <v>12004</v>
      </c>
      <c r="D5380" t="s">
        <v>340</v>
      </c>
      <c r="E5380" t="s">
        <v>341</v>
      </c>
      <c r="F5380">
        <v>516.33000000000004</v>
      </c>
      <c r="G5380">
        <v>230831</v>
      </c>
      <c r="H5380">
        <v>4530</v>
      </c>
      <c r="I5380" t="s">
        <v>342</v>
      </c>
      <c r="J5380">
        <v>640.25</v>
      </c>
      <c r="K5380">
        <v>123.92</v>
      </c>
      <c r="L5380">
        <v>14422</v>
      </c>
      <c r="M5380" t="s">
        <v>228</v>
      </c>
      <c r="N5380" t="str">
        <f>"6191254     "</f>
        <v xml:space="preserve">6191254     </v>
      </c>
      <c r="O5380">
        <v>230912</v>
      </c>
    </row>
    <row r="5381" spans="1:15" x14ac:dyDescent="0.25">
      <c r="A5381" t="s">
        <v>16</v>
      </c>
      <c r="B5381" t="s">
        <v>3221</v>
      </c>
      <c r="C5381">
        <v>12005</v>
      </c>
      <c r="D5381" t="s">
        <v>340</v>
      </c>
      <c r="E5381" t="s">
        <v>341</v>
      </c>
      <c r="F5381">
        <v>2352.35</v>
      </c>
      <c r="G5381">
        <v>230831</v>
      </c>
      <c r="H5381">
        <v>4530</v>
      </c>
      <c r="I5381" t="s">
        <v>342</v>
      </c>
      <c r="J5381">
        <v>2916.91</v>
      </c>
      <c r="K5381">
        <v>564.55999999999995</v>
      </c>
      <c r="L5381">
        <v>17807</v>
      </c>
      <c r="M5381" t="s">
        <v>318</v>
      </c>
      <c r="N5381" t="str">
        <f>"6191257     "</f>
        <v xml:space="preserve">6191257     </v>
      </c>
      <c r="O5381">
        <v>230912</v>
      </c>
    </row>
    <row r="5382" spans="1:15" x14ac:dyDescent="0.25">
      <c r="A5382" t="s">
        <v>16</v>
      </c>
      <c r="B5382" t="s">
        <v>3221</v>
      </c>
      <c r="C5382">
        <v>12026</v>
      </c>
      <c r="D5382" t="s">
        <v>340</v>
      </c>
      <c r="E5382" t="s">
        <v>341</v>
      </c>
      <c r="F5382">
        <v>275.10000000000002</v>
      </c>
      <c r="G5382">
        <v>230906</v>
      </c>
      <c r="H5382">
        <v>4530</v>
      </c>
      <c r="I5382" t="s">
        <v>342</v>
      </c>
      <c r="J5382">
        <v>341.12</v>
      </c>
      <c r="K5382">
        <v>66.02</v>
      </c>
      <c r="L5382">
        <v>56559</v>
      </c>
      <c r="M5382" t="s">
        <v>129</v>
      </c>
      <c r="N5382" t="str">
        <f>"6192042     "</f>
        <v xml:space="preserve">6192042     </v>
      </c>
      <c r="O5382">
        <v>230912</v>
      </c>
    </row>
    <row r="5383" spans="1:15" x14ac:dyDescent="0.25">
      <c r="A5383" t="s">
        <v>16</v>
      </c>
      <c r="B5383" t="s">
        <v>3221</v>
      </c>
      <c r="C5383">
        <v>12027</v>
      </c>
      <c r="D5383" t="s">
        <v>340</v>
      </c>
      <c r="E5383" t="s">
        <v>341</v>
      </c>
      <c r="F5383">
        <v>7.6</v>
      </c>
      <c r="G5383">
        <v>230906</v>
      </c>
      <c r="H5383">
        <v>4530</v>
      </c>
      <c r="I5383" t="s">
        <v>342</v>
      </c>
      <c r="J5383">
        <v>9.42</v>
      </c>
      <c r="K5383">
        <v>1.82</v>
      </c>
      <c r="L5383">
        <v>56559</v>
      </c>
      <c r="M5383" t="s">
        <v>129</v>
      </c>
      <c r="N5383" t="str">
        <f>"6192041     "</f>
        <v xml:space="preserve">6192041     </v>
      </c>
      <c r="O5383">
        <v>230912</v>
      </c>
    </row>
    <row r="5384" spans="1:15" x14ac:dyDescent="0.25">
      <c r="A5384" t="s">
        <v>16</v>
      </c>
      <c r="B5384" t="s">
        <v>3221</v>
      </c>
      <c r="C5384">
        <v>12090</v>
      </c>
      <c r="D5384" t="s">
        <v>340</v>
      </c>
      <c r="E5384" t="s">
        <v>341</v>
      </c>
      <c r="F5384">
        <v>56.61</v>
      </c>
      <c r="G5384">
        <v>230908</v>
      </c>
      <c r="H5384">
        <v>4530</v>
      </c>
      <c r="I5384" t="s">
        <v>342</v>
      </c>
      <c r="J5384">
        <v>70.2</v>
      </c>
      <c r="K5384">
        <v>13.59</v>
      </c>
      <c r="L5384">
        <v>67522</v>
      </c>
      <c r="M5384" t="s">
        <v>397</v>
      </c>
      <c r="N5384" t="str">
        <f>"6192563     "</f>
        <v xml:space="preserve">6192563     </v>
      </c>
      <c r="O5384">
        <v>230913</v>
      </c>
    </row>
    <row r="5385" spans="1:15" x14ac:dyDescent="0.25">
      <c r="A5385" t="s">
        <v>16</v>
      </c>
      <c r="B5385" t="s">
        <v>3221</v>
      </c>
      <c r="C5385">
        <v>12091</v>
      </c>
      <c r="D5385" t="s">
        <v>340</v>
      </c>
      <c r="E5385" t="s">
        <v>341</v>
      </c>
      <c r="F5385">
        <v>6.45</v>
      </c>
      <c r="G5385">
        <v>230908</v>
      </c>
      <c r="H5385">
        <v>4530</v>
      </c>
      <c r="I5385" t="s">
        <v>342</v>
      </c>
      <c r="J5385">
        <v>8</v>
      </c>
      <c r="K5385">
        <v>1.55</v>
      </c>
      <c r="L5385">
        <v>17806</v>
      </c>
      <c r="M5385" t="s">
        <v>265</v>
      </c>
      <c r="N5385" t="str">
        <f>"6192554     "</f>
        <v xml:space="preserve">6192554     </v>
      </c>
      <c r="O5385">
        <v>230913</v>
      </c>
    </row>
    <row r="5386" spans="1:15" x14ac:dyDescent="0.25">
      <c r="A5386" t="s">
        <v>16</v>
      </c>
      <c r="B5386" t="s">
        <v>3221</v>
      </c>
      <c r="C5386">
        <v>12123</v>
      </c>
      <c r="D5386" t="s">
        <v>340</v>
      </c>
      <c r="E5386" t="s">
        <v>341</v>
      </c>
      <c r="F5386">
        <v>424.87</v>
      </c>
      <c r="G5386">
        <v>230831</v>
      </c>
      <c r="H5386">
        <v>4530</v>
      </c>
      <c r="I5386" t="s">
        <v>342</v>
      </c>
      <c r="J5386">
        <v>526.84</v>
      </c>
      <c r="K5386">
        <v>101.97</v>
      </c>
      <c r="L5386">
        <v>14640</v>
      </c>
      <c r="M5386" t="s">
        <v>229</v>
      </c>
      <c r="N5386" t="str">
        <f>"6191250     "</f>
        <v xml:space="preserve">6191250     </v>
      </c>
      <c r="O5386">
        <v>230914</v>
      </c>
    </row>
    <row r="5387" spans="1:15" x14ac:dyDescent="0.25">
      <c r="A5387" t="s">
        <v>16</v>
      </c>
      <c r="B5387" t="s">
        <v>3221</v>
      </c>
      <c r="C5387">
        <v>12132</v>
      </c>
      <c r="D5387" t="s">
        <v>340</v>
      </c>
      <c r="E5387" t="s">
        <v>341</v>
      </c>
      <c r="F5387">
        <v>215.16</v>
      </c>
      <c r="G5387">
        <v>230831</v>
      </c>
      <c r="H5387">
        <v>4530</v>
      </c>
      <c r="I5387" t="s">
        <v>342</v>
      </c>
      <c r="J5387">
        <v>266.8</v>
      </c>
      <c r="K5387">
        <v>51.64</v>
      </c>
      <c r="L5387">
        <v>56565</v>
      </c>
      <c r="M5387" t="s">
        <v>758</v>
      </c>
      <c r="N5387" t="str">
        <f>"6191233     "</f>
        <v xml:space="preserve">6191233     </v>
      </c>
      <c r="O5387">
        <v>230914</v>
      </c>
    </row>
    <row r="5388" spans="1:15" x14ac:dyDescent="0.25">
      <c r="A5388" t="s">
        <v>16</v>
      </c>
      <c r="B5388" t="s">
        <v>3221</v>
      </c>
      <c r="C5388">
        <v>12133</v>
      </c>
      <c r="D5388" t="s">
        <v>340</v>
      </c>
      <c r="E5388" t="s">
        <v>341</v>
      </c>
      <c r="F5388">
        <v>378.1</v>
      </c>
      <c r="G5388">
        <v>230831</v>
      </c>
      <c r="H5388">
        <v>4530</v>
      </c>
      <c r="I5388" t="s">
        <v>342</v>
      </c>
      <c r="J5388">
        <v>468.84</v>
      </c>
      <c r="K5388">
        <v>90.74</v>
      </c>
      <c r="L5388">
        <v>56565</v>
      </c>
      <c r="M5388" t="s">
        <v>758</v>
      </c>
      <c r="N5388" t="str">
        <f>"6191247     "</f>
        <v xml:space="preserve">6191247     </v>
      </c>
      <c r="O5388">
        <v>230914</v>
      </c>
    </row>
    <row r="5389" spans="1:15" x14ac:dyDescent="0.25">
      <c r="A5389" t="s">
        <v>16</v>
      </c>
      <c r="B5389" t="s">
        <v>3221</v>
      </c>
      <c r="C5389">
        <v>12219</v>
      </c>
      <c r="D5389" t="s">
        <v>340</v>
      </c>
      <c r="E5389" t="s">
        <v>341</v>
      </c>
      <c r="F5389">
        <v>424.2</v>
      </c>
      <c r="G5389">
        <v>230908</v>
      </c>
      <c r="H5389">
        <v>4530</v>
      </c>
      <c r="I5389" t="s">
        <v>342</v>
      </c>
      <c r="J5389">
        <v>526.01</v>
      </c>
      <c r="K5389">
        <v>101.81</v>
      </c>
      <c r="L5389">
        <v>11001</v>
      </c>
      <c r="M5389" t="s">
        <v>326</v>
      </c>
      <c r="N5389" t="str">
        <f>"6192500     "</f>
        <v xml:space="preserve">6192500     </v>
      </c>
      <c r="O5389">
        <v>230915</v>
      </c>
    </row>
    <row r="5390" spans="1:15" x14ac:dyDescent="0.25">
      <c r="A5390" t="s">
        <v>16</v>
      </c>
      <c r="B5390" t="s">
        <v>3221</v>
      </c>
      <c r="C5390">
        <v>12333</v>
      </c>
      <c r="D5390" t="s">
        <v>340</v>
      </c>
      <c r="E5390" t="s">
        <v>341</v>
      </c>
      <c r="F5390">
        <v>772.46</v>
      </c>
      <c r="G5390">
        <v>230831</v>
      </c>
      <c r="H5390">
        <v>4530</v>
      </c>
      <c r="I5390" t="s">
        <v>342</v>
      </c>
      <c r="J5390">
        <v>957.85</v>
      </c>
      <c r="K5390">
        <v>185.39</v>
      </c>
      <c r="L5390">
        <v>46555</v>
      </c>
      <c r="M5390" t="s">
        <v>597</v>
      </c>
      <c r="N5390" t="str">
        <f>"6191253     "</f>
        <v xml:space="preserve">6191253     </v>
      </c>
      <c r="O5390">
        <v>230918</v>
      </c>
    </row>
    <row r="5391" spans="1:15" x14ac:dyDescent="0.25">
      <c r="A5391" t="s">
        <v>16</v>
      </c>
      <c r="B5391" t="s">
        <v>3221</v>
      </c>
      <c r="C5391">
        <v>12376</v>
      </c>
      <c r="D5391" t="s">
        <v>340</v>
      </c>
      <c r="E5391" t="s">
        <v>341</v>
      </c>
      <c r="F5391">
        <v>1227.58</v>
      </c>
      <c r="G5391">
        <v>230831</v>
      </c>
      <c r="H5391">
        <v>4530</v>
      </c>
      <c r="I5391" t="s">
        <v>342</v>
      </c>
      <c r="J5391">
        <v>1522.2</v>
      </c>
      <c r="K5391">
        <v>294.62</v>
      </c>
      <c r="L5391">
        <v>56560</v>
      </c>
      <c r="M5391" t="s">
        <v>654</v>
      </c>
      <c r="N5391" t="str">
        <f>"6191235     "</f>
        <v xml:space="preserve">6191235     </v>
      </c>
      <c r="O5391">
        <v>230919</v>
      </c>
    </row>
    <row r="5392" spans="1:15" x14ac:dyDescent="0.25">
      <c r="A5392" t="s">
        <v>16</v>
      </c>
      <c r="B5392" t="s">
        <v>3221</v>
      </c>
      <c r="C5392">
        <v>12382</v>
      </c>
      <c r="D5392" t="s">
        <v>340</v>
      </c>
      <c r="E5392" t="s">
        <v>341</v>
      </c>
      <c r="F5392">
        <v>2499.77</v>
      </c>
      <c r="G5392">
        <v>230831</v>
      </c>
      <c r="H5392">
        <v>4530</v>
      </c>
      <c r="I5392" t="s">
        <v>342</v>
      </c>
      <c r="J5392">
        <v>3099.71</v>
      </c>
      <c r="K5392">
        <v>599.94000000000005</v>
      </c>
      <c r="L5392">
        <v>17807</v>
      </c>
      <c r="M5392" t="s">
        <v>318</v>
      </c>
      <c r="N5392" t="str">
        <f>"6191265     "</f>
        <v xml:space="preserve">6191265     </v>
      </c>
      <c r="O5392">
        <v>230919</v>
      </c>
    </row>
    <row r="5393" spans="1:15" x14ac:dyDescent="0.25">
      <c r="A5393" t="s">
        <v>16</v>
      </c>
      <c r="B5393" t="s">
        <v>3221</v>
      </c>
      <c r="C5393">
        <v>12515</v>
      </c>
      <c r="D5393" t="s">
        <v>340</v>
      </c>
      <c r="E5393" t="s">
        <v>341</v>
      </c>
      <c r="F5393">
        <v>597.15</v>
      </c>
      <c r="G5393">
        <v>230913</v>
      </c>
      <c r="H5393">
        <v>4530</v>
      </c>
      <c r="I5393" t="s">
        <v>342</v>
      </c>
      <c r="J5393">
        <v>740.46</v>
      </c>
      <c r="K5393">
        <v>143.31</v>
      </c>
      <c r="L5393">
        <v>44222</v>
      </c>
      <c r="M5393" t="s">
        <v>232</v>
      </c>
      <c r="N5393" t="str">
        <f>"6193303     "</f>
        <v xml:space="preserve">6193303     </v>
      </c>
      <c r="O5393">
        <v>230920</v>
      </c>
    </row>
    <row r="5394" spans="1:15" x14ac:dyDescent="0.25">
      <c r="A5394" t="s">
        <v>16</v>
      </c>
      <c r="B5394" t="s">
        <v>3221</v>
      </c>
      <c r="C5394">
        <v>12532</v>
      </c>
      <c r="D5394" t="s">
        <v>340</v>
      </c>
      <c r="E5394" t="s">
        <v>341</v>
      </c>
      <c r="F5394">
        <v>238</v>
      </c>
      <c r="G5394">
        <v>230914</v>
      </c>
      <c r="H5394">
        <v>4530</v>
      </c>
      <c r="I5394" t="s">
        <v>342</v>
      </c>
      <c r="J5394">
        <v>295.12</v>
      </c>
      <c r="K5394">
        <v>57.12</v>
      </c>
      <c r="L5394">
        <v>54422</v>
      </c>
      <c r="M5394" t="s">
        <v>234</v>
      </c>
      <c r="N5394" t="str">
        <f>"6193568     "</f>
        <v xml:space="preserve">6193568     </v>
      </c>
      <c r="O5394">
        <v>230920</v>
      </c>
    </row>
    <row r="5395" spans="1:15" x14ac:dyDescent="0.25">
      <c r="A5395" t="s">
        <v>16</v>
      </c>
      <c r="B5395" t="s">
        <v>3221</v>
      </c>
      <c r="C5395">
        <v>12547</v>
      </c>
      <c r="D5395" t="s">
        <v>340</v>
      </c>
      <c r="E5395" t="s">
        <v>341</v>
      </c>
      <c r="F5395">
        <v>204.74</v>
      </c>
      <c r="G5395">
        <v>230919</v>
      </c>
      <c r="H5395">
        <v>4530</v>
      </c>
      <c r="I5395" t="s">
        <v>342</v>
      </c>
      <c r="J5395">
        <v>253.88</v>
      </c>
      <c r="K5395">
        <v>49.14</v>
      </c>
      <c r="L5395">
        <v>17805</v>
      </c>
      <c r="M5395" t="s">
        <v>102</v>
      </c>
      <c r="N5395" t="str">
        <f>"6194611     "</f>
        <v xml:space="preserve">6194611     </v>
      </c>
      <c r="O5395">
        <v>230920</v>
      </c>
    </row>
    <row r="5396" spans="1:15" x14ac:dyDescent="0.25">
      <c r="A5396" t="s">
        <v>16</v>
      </c>
      <c r="B5396" t="s">
        <v>3221</v>
      </c>
      <c r="C5396">
        <v>12656</v>
      </c>
      <c r="D5396" t="s">
        <v>340</v>
      </c>
      <c r="E5396" t="s">
        <v>341</v>
      </c>
      <c r="F5396">
        <v>216</v>
      </c>
      <c r="G5396">
        <v>230918</v>
      </c>
      <c r="H5396">
        <v>4530</v>
      </c>
      <c r="I5396" t="s">
        <v>342</v>
      </c>
      <c r="J5396">
        <v>267.83999999999997</v>
      </c>
      <c r="K5396">
        <v>51.84</v>
      </c>
      <c r="L5396">
        <v>14422</v>
      </c>
      <c r="M5396" t="s">
        <v>228</v>
      </c>
      <c r="N5396" t="str">
        <f>"6194160     "</f>
        <v xml:space="preserve">6194160     </v>
      </c>
      <c r="O5396">
        <v>230922</v>
      </c>
    </row>
    <row r="5397" spans="1:15" x14ac:dyDescent="0.25">
      <c r="A5397" t="s">
        <v>16</v>
      </c>
      <c r="B5397" t="s">
        <v>3221</v>
      </c>
      <c r="C5397">
        <v>12657</v>
      </c>
      <c r="D5397" t="s">
        <v>340</v>
      </c>
      <c r="E5397" t="s">
        <v>341</v>
      </c>
      <c r="F5397">
        <v>59.98</v>
      </c>
      <c r="G5397">
        <v>230919</v>
      </c>
      <c r="H5397">
        <v>4530</v>
      </c>
      <c r="I5397" t="s">
        <v>342</v>
      </c>
      <c r="J5397">
        <v>74.38</v>
      </c>
      <c r="K5397">
        <v>14.4</v>
      </c>
      <c r="L5397">
        <v>66756</v>
      </c>
      <c r="M5397" t="s">
        <v>209</v>
      </c>
      <c r="N5397" t="str">
        <f>"6194567     "</f>
        <v xml:space="preserve">6194567     </v>
      </c>
      <c r="O5397">
        <v>230922</v>
      </c>
    </row>
    <row r="5398" spans="1:15" x14ac:dyDescent="0.25">
      <c r="A5398" t="s">
        <v>16</v>
      </c>
      <c r="B5398" t="s">
        <v>3221</v>
      </c>
      <c r="C5398">
        <v>12658</v>
      </c>
      <c r="D5398" t="s">
        <v>340</v>
      </c>
      <c r="E5398" t="s">
        <v>341</v>
      </c>
      <c r="F5398">
        <v>76.42</v>
      </c>
      <c r="G5398">
        <v>230919</v>
      </c>
      <c r="H5398">
        <v>4530</v>
      </c>
      <c r="I5398" t="s">
        <v>342</v>
      </c>
      <c r="J5398">
        <v>94.76</v>
      </c>
      <c r="K5398">
        <v>18.34</v>
      </c>
      <c r="L5398">
        <v>17802</v>
      </c>
      <c r="M5398" t="s">
        <v>174</v>
      </c>
      <c r="N5398" t="str">
        <f>"6194571     "</f>
        <v xml:space="preserve">6194571     </v>
      </c>
      <c r="O5398">
        <v>230922</v>
      </c>
    </row>
    <row r="5399" spans="1:15" x14ac:dyDescent="0.25">
      <c r="A5399" t="s">
        <v>16</v>
      </c>
      <c r="B5399" t="s">
        <v>3221</v>
      </c>
      <c r="C5399">
        <v>12701</v>
      </c>
      <c r="D5399" t="s">
        <v>340</v>
      </c>
      <c r="E5399" t="s">
        <v>341</v>
      </c>
      <c r="F5399">
        <v>140</v>
      </c>
      <c r="G5399">
        <v>230921</v>
      </c>
      <c r="H5399">
        <v>4530</v>
      </c>
      <c r="I5399" t="s">
        <v>342</v>
      </c>
      <c r="J5399">
        <v>173.6</v>
      </c>
      <c r="K5399">
        <v>33.6</v>
      </c>
      <c r="L5399">
        <v>14640</v>
      </c>
      <c r="M5399" t="s">
        <v>229</v>
      </c>
      <c r="N5399" t="str">
        <f>"6195156     "</f>
        <v xml:space="preserve">6195156     </v>
      </c>
      <c r="O5399">
        <v>230925</v>
      </c>
    </row>
    <row r="5400" spans="1:15" x14ac:dyDescent="0.25">
      <c r="A5400" t="s">
        <v>16</v>
      </c>
      <c r="B5400" t="s">
        <v>3221</v>
      </c>
      <c r="C5400">
        <v>12759</v>
      </c>
      <c r="D5400" t="s">
        <v>340</v>
      </c>
      <c r="E5400" t="s">
        <v>341</v>
      </c>
      <c r="F5400">
        <v>379.15</v>
      </c>
      <c r="G5400">
        <v>230831</v>
      </c>
      <c r="H5400">
        <v>4530</v>
      </c>
      <c r="I5400" t="s">
        <v>342</v>
      </c>
      <c r="J5400">
        <v>470.14</v>
      </c>
      <c r="K5400">
        <v>90.99</v>
      </c>
      <c r="L5400">
        <v>44222</v>
      </c>
      <c r="M5400" t="s">
        <v>232</v>
      </c>
      <c r="N5400" t="str">
        <f>"6191248     "</f>
        <v xml:space="preserve">6191248     </v>
      </c>
      <c r="O5400">
        <v>230926</v>
      </c>
    </row>
    <row r="5401" spans="1:15" x14ac:dyDescent="0.25">
      <c r="A5401" t="s">
        <v>16</v>
      </c>
      <c r="B5401" t="s">
        <v>3221</v>
      </c>
      <c r="C5401">
        <v>12782</v>
      </c>
      <c r="D5401" t="s">
        <v>340</v>
      </c>
      <c r="E5401" t="s">
        <v>341</v>
      </c>
      <c r="F5401">
        <v>271.77999999999997</v>
      </c>
      <c r="G5401">
        <v>230912</v>
      </c>
      <c r="H5401">
        <v>4530</v>
      </c>
      <c r="I5401" t="s">
        <v>342</v>
      </c>
      <c r="J5401">
        <v>337.01</v>
      </c>
      <c r="K5401">
        <v>65.23</v>
      </c>
      <c r="L5401">
        <v>44222</v>
      </c>
      <c r="M5401" t="s">
        <v>232</v>
      </c>
      <c r="N5401" t="str">
        <f>"6193121     "</f>
        <v xml:space="preserve">6193121     </v>
      </c>
      <c r="O5401">
        <v>230926</v>
      </c>
    </row>
    <row r="5402" spans="1:15" x14ac:dyDescent="0.25">
      <c r="A5402" t="s">
        <v>16</v>
      </c>
      <c r="B5402" t="s">
        <v>3221</v>
      </c>
      <c r="C5402">
        <v>12786</v>
      </c>
      <c r="D5402" t="s">
        <v>340</v>
      </c>
      <c r="E5402" t="s">
        <v>341</v>
      </c>
      <c r="F5402">
        <v>119</v>
      </c>
      <c r="G5402">
        <v>230919</v>
      </c>
      <c r="H5402">
        <v>4530</v>
      </c>
      <c r="I5402" t="s">
        <v>342</v>
      </c>
      <c r="J5402">
        <v>147.56</v>
      </c>
      <c r="K5402">
        <v>28.56</v>
      </c>
      <c r="L5402">
        <v>44222</v>
      </c>
      <c r="M5402" t="s">
        <v>232</v>
      </c>
      <c r="N5402" t="str">
        <f>"6194562     "</f>
        <v xml:space="preserve">6194562     </v>
      </c>
      <c r="O5402">
        <v>230926</v>
      </c>
    </row>
    <row r="5403" spans="1:15" x14ac:dyDescent="0.25">
      <c r="A5403" t="s">
        <v>16</v>
      </c>
      <c r="B5403" t="s">
        <v>3221</v>
      </c>
      <c r="C5403">
        <v>12787</v>
      </c>
      <c r="D5403" t="s">
        <v>340</v>
      </c>
      <c r="E5403" t="s">
        <v>341</v>
      </c>
      <c r="F5403">
        <v>153.71</v>
      </c>
      <c r="G5403">
        <v>230919</v>
      </c>
      <c r="H5403">
        <v>4530</v>
      </c>
      <c r="I5403" t="s">
        <v>342</v>
      </c>
      <c r="J5403">
        <v>190.6</v>
      </c>
      <c r="K5403">
        <v>36.89</v>
      </c>
      <c r="L5403">
        <v>66756</v>
      </c>
      <c r="M5403" t="s">
        <v>209</v>
      </c>
      <c r="N5403" t="str">
        <f>"6194566     "</f>
        <v xml:space="preserve">6194566     </v>
      </c>
      <c r="O5403">
        <v>230926</v>
      </c>
    </row>
    <row r="5404" spans="1:15" x14ac:dyDescent="0.25">
      <c r="A5404" t="s">
        <v>16</v>
      </c>
      <c r="B5404" t="s">
        <v>3221</v>
      </c>
      <c r="C5404">
        <v>12806</v>
      </c>
      <c r="D5404" t="s">
        <v>340</v>
      </c>
      <c r="E5404" t="s">
        <v>341</v>
      </c>
      <c r="F5404">
        <v>109.35</v>
      </c>
      <c r="G5404">
        <v>230921</v>
      </c>
      <c r="H5404">
        <v>4530</v>
      </c>
      <c r="I5404" t="s">
        <v>342</v>
      </c>
      <c r="J5404">
        <v>135.59</v>
      </c>
      <c r="K5404">
        <v>26.24</v>
      </c>
      <c r="L5404">
        <v>69501</v>
      </c>
      <c r="M5404" t="s">
        <v>185</v>
      </c>
      <c r="N5404" t="str">
        <f>"6195170     "</f>
        <v xml:space="preserve">6195170     </v>
      </c>
      <c r="O5404">
        <v>230926</v>
      </c>
    </row>
    <row r="5405" spans="1:15" x14ac:dyDescent="0.25">
      <c r="A5405" t="s">
        <v>16</v>
      </c>
      <c r="B5405" t="s">
        <v>3221</v>
      </c>
      <c r="C5405">
        <v>12892</v>
      </c>
      <c r="D5405" t="s">
        <v>340</v>
      </c>
      <c r="E5405" t="s">
        <v>341</v>
      </c>
      <c r="F5405">
        <v>130.28</v>
      </c>
      <c r="G5405">
        <v>230926</v>
      </c>
      <c r="H5405">
        <v>4530</v>
      </c>
      <c r="I5405" t="s">
        <v>342</v>
      </c>
      <c r="J5405">
        <v>161.55000000000001</v>
      </c>
      <c r="K5405">
        <v>31.27</v>
      </c>
      <c r="L5405">
        <v>14640</v>
      </c>
      <c r="M5405" t="s">
        <v>229</v>
      </c>
      <c r="N5405" t="str">
        <f>"6195865     "</f>
        <v xml:space="preserve">6195865     </v>
      </c>
      <c r="O5405">
        <v>230929</v>
      </c>
    </row>
    <row r="5406" spans="1:15" x14ac:dyDescent="0.25">
      <c r="A5406" t="s">
        <v>16</v>
      </c>
      <c r="B5406" t="s">
        <v>3221</v>
      </c>
      <c r="C5406">
        <v>13049</v>
      </c>
      <c r="D5406" t="s">
        <v>340</v>
      </c>
      <c r="E5406" t="s">
        <v>341</v>
      </c>
      <c r="F5406">
        <v>253.47</v>
      </c>
      <c r="G5406">
        <v>230921</v>
      </c>
      <c r="H5406">
        <v>4530</v>
      </c>
      <c r="I5406" t="s">
        <v>342</v>
      </c>
      <c r="J5406">
        <v>314.3</v>
      </c>
      <c r="K5406">
        <v>60.83</v>
      </c>
      <c r="L5406">
        <v>69501</v>
      </c>
      <c r="M5406" t="s">
        <v>185</v>
      </c>
      <c r="N5406" t="str">
        <f>"6195169     "</f>
        <v xml:space="preserve">6195169     </v>
      </c>
      <c r="O5406">
        <v>231002</v>
      </c>
    </row>
    <row r="5407" spans="1:15" x14ac:dyDescent="0.25">
      <c r="A5407" t="s">
        <v>16</v>
      </c>
      <c r="B5407" t="s">
        <v>3221</v>
      </c>
      <c r="C5407">
        <v>13091</v>
      </c>
      <c r="D5407" t="s">
        <v>340</v>
      </c>
      <c r="E5407" t="s">
        <v>341</v>
      </c>
      <c r="F5407">
        <v>55.6</v>
      </c>
      <c r="G5407">
        <v>230922</v>
      </c>
      <c r="H5407">
        <v>4530</v>
      </c>
      <c r="I5407" t="s">
        <v>342</v>
      </c>
      <c r="J5407">
        <v>68.94</v>
      </c>
      <c r="K5407">
        <v>13.34</v>
      </c>
      <c r="L5407">
        <v>69113</v>
      </c>
      <c r="M5407" t="s">
        <v>282</v>
      </c>
      <c r="N5407" t="str">
        <f>"6195367     "</f>
        <v xml:space="preserve">6195367     </v>
      </c>
      <c r="O5407">
        <v>231003</v>
      </c>
    </row>
    <row r="5408" spans="1:15" x14ac:dyDescent="0.25">
      <c r="A5408" t="s">
        <v>16</v>
      </c>
      <c r="B5408" t="s">
        <v>3221</v>
      </c>
      <c r="C5408">
        <v>13092</v>
      </c>
      <c r="D5408" t="s">
        <v>340</v>
      </c>
      <c r="E5408" t="s">
        <v>341</v>
      </c>
      <c r="F5408">
        <v>25.8</v>
      </c>
      <c r="G5408">
        <v>230922</v>
      </c>
      <c r="H5408">
        <v>4530</v>
      </c>
      <c r="I5408" t="s">
        <v>342</v>
      </c>
      <c r="J5408">
        <v>31.99</v>
      </c>
      <c r="K5408">
        <v>6.19</v>
      </c>
      <c r="L5408">
        <v>69113</v>
      </c>
      <c r="M5408" t="s">
        <v>282</v>
      </c>
      <c r="N5408" t="str">
        <f>"6195368     "</f>
        <v xml:space="preserve">6195368     </v>
      </c>
      <c r="O5408">
        <v>231003</v>
      </c>
    </row>
    <row r="5409" spans="1:15" x14ac:dyDescent="0.25">
      <c r="A5409" t="s">
        <v>16</v>
      </c>
      <c r="B5409" t="s">
        <v>3221</v>
      </c>
      <c r="C5409">
        <v>13114</v>
      </c>
      <c r="D5409" t="s">
        <v>340</v>
      </c>
      <c r="E5409" t="s">
        <v>341</v>
      </c>
      <c r="F5409">
        <v>938.15</v>
      </c>
      <c r="G5409">
        <v>230831</v>
      </c>
      <c r="H5409">
        <v>4530</v>
      </c>
      <c r="I5409" t="s">
        <v>342</v>
      </c>
      <c r="J5409">
        <v>1163.3</v>
      </c>
      <c r="K5409">
        <v>225.15</v>
      </c>
      <c r="L5409">
        <v>17522</v>
      </c>
      <c r="M5409" t="s">
        <v>451</v>
      </c>
      <c r="N5409" t="str">
        <f>"6191258     "</f>
        <v xml:space="preserve">6191258     </v>
      </c>
      <c r="O5409">
        <v>231004</v>
      </c>
    </row>
    <row r="5410" spans="1:15" x14ac:dyDescent="0.25">
      <c r="A5410" t="s">
        <v>16</v>
      </c>
      <c r="B5410" t="s">
        <v>3221</v>
      </c>
      <c r="C5410">
        <v>13124</v>
      </c>
      <c r="D5410" t="s">
        <v>340</v>
      </c>
      <c r="E5410" t="s">
        <v>341</v>
      </c>
      <c r="F5410">
        <v>89.76</v>
      </c>
      <c r="G5410">
        <v>230908</v>
      </c>
      <c r="H5410">
        <v>4530</v>
      </c>
      <c r="I5410" t="s">
        <v>342</v>
      </c>
      <c r="J5410">
        <v>111.3</v>
      </c>
      <c r="K5410">
        <v>21.54</v>
      </c>
      <c r="L5410">
        <v>17522</v>
      </c>
      <c r="M5410" t="s">
        <v>451</v>
      </c>
      <c r="N5410" t="str">
        <f>"6192641     "</f>
        <v xml:space="preserve">6192641     </v>
      </c>
      <c r="O5410">
        <v>231004</v>
      </c>
    </row>
    <row r="5411" spans="1:15" x14ac:dyDescent="0.25">
      <c r="A5411" t="s">
        <v>16</v>
      </c>
      <c r="B5411" t="s">
        <v>3221</v>
      </c>
      <c r="C5411">
        <v>13153</v>
      </c>
      <c r="D5411" t="s">
        <v>340</v>
      </c>
      <c r="E5411" t="s">
        <v>341</v>
      </c>
      <c r="F5411">
        <v>122.12</v>
      </c>
      <c r="G5411">
        <v>230920</v>
      </c>
      <c r="H5411">
        <v>4530</v>
      </c>
      <c r="I5411" t="s">
        <v>342</v>
      </c>
      <c r="J5411">
        <v>151.43</v>
      </c>
      <c r="K5411">
        <v>29.31</v>
      </c>
      <c r="L5411">
        <v>17526</v>
      </c>
      <c r="M5411" t="s">
        <v>437</v>
      </c>
      <c r="N5411" t="str">
        <f>"6194796     "</f>
        <v xml:space="preserve">6194796     </v>
      </c>
      <c r="O5411">
        <v>231004</v>
      </c>
    </row>
    <row r="5412" spans="1:15" x14ac:dyDescent="0.25">
      <c r="A5412" t="s">
        <v>16</v>
      </c>
      <c r="B5412" t="s">
        <v>3221</v>
      </c>
      <c r="C5412">
        <v>13233</v>
      </c>
      <c r="D5412" t="s">
        <v>340</v>
      </c>
      <c r="E5412" t="s">
        <v>341</v>
      </c>
      <c r="F5412">
        <v>92.54</v>
      </c>
      <c r="G5412">
        <v>230919</v>
      </c>
      <c r="H5412">
        <v>4530</v>
      </c>
      <c r="I5412" t="s">
        <v>342</v>
      </c>
      <c r="J5412">
        <v>114.75</v>
      </c>
      <c r="K5412">
        <v>22.21</v>
      </c>
      <c r="L5412">
        <v>17522</v>
      </c>
      <c r="M5412" t="s">
        <v>451</v>
      </c>
      <c r="N5412" t="str">
        <f>"6194545     "</f>
        <v xml:space="preserve">6194545     </v>
      </c>
      <c r="O5412">
        <v>231006</v>
      </c>
    </row>
    <row r="5413" spans="1:15" x14ac:dyDescent="0.25">
      <c r="A5413" t="s">
        <v>16</v>
      </c>
      <c r="B5413" t="s">
        <v>3221</v>
      </c>
      <c r="C5413">
        <v>13252</v>
      </c>
      <c r="D5413" t="s">
        <v>340</v>
      </c>
      <c r="E5413" t="s">
        <v>341</v>
      </c>
      <c r="F5413">
        <v>80</v>
      </c>
      <c r="G5413">
        <v>230914</v>
      </c>
      <c r="H5413">
        <v>4530</v>
      </c>
      <c r="I5413" t="s">
        <v>342</v>
      </c>
      <c r="J5413">
        <v>99.2</v>
      </c>
      <c r="K5413">
        <v>19.2</v>
      </c>
      <c r="L5413">
        <v>56563</v>
      </c>
      <c r="M5413" t="s">
        <v>953</v>
      </c>
      <c r="N5413" t="str">
        <f>"6193664     "</f>
        <v xml:space="preserve">6193664     </v>
      </c>
      <c r="O5413">
        <v>231006</v>
      </c>
    </row>
    <row r="5414" spans="1:15" x14ac:dyDescent="0.25">
      <c r="A5414" t="s">
        <v>16</v>
      </c>
      <c r="B5414" t="s">
        <v>3221</v>
      </c>
      <c r="C5414">
        <v>13259</v>
      </c>
      <c r="D5414" t="s">
        <v>340</v>
      </c>
      <c r="E5414" t="s">
        <v>341</v>
      </c>
      <c r="F5414">
        <v>125.75</v>
      </c>
      <c r="G5414">
        <v>230922</v>
      </c>
      <c r="H5414">
        <v>4530</v>
      </c>
      <c r="I5414" t="s">
        <v>342</v>
      </c>
      <c r="J5414">
        <v>155.93</v>
      </c>
      <c r="K5414">
        <v>30.18</v>
      </c>
      <c r="L5414">
        <v>54222</v>
      </c>
      <c r="M5414" t="s">
        <v>308</v>
      </c>
      <c r="N5414" t="str">
        <f>"6195355     "</f>
        <v xml:space="preserve">6195355     </v>
      </c>
      <c r="O5414">
        <v>231006</v>
      </c>
    </row>
    <row r="5415" spans="1:15" x14ac:dyDescent="0.25">
      <c r="A5415" t="s">
        <v>16</v>
      </c>
      <c r="B5415" t="s">
        <v>3221</v>
      </c>
      <c r="C5415">
        <v>13302</v>
      </c>
      <c r="D5415" t="s">
        <v>340</v>
      </c>
      <c r="E5415" t="s">
        <v>341</v>
      </c>
      <c r="F5415">
        <v>73.709999999999994</v>
      </c>
      <c r="G5415">
        <v>230912</v>
      </c>
      <c r="H5415">
        <v>4530</v>
      </c>
      <c r="I5415" t="s">
        <v>342</v>
      </c>
      <c r="J5415">
        <v>91.4</v>
      </c>
      <c r="K5415">
        <v>17.690000000000001</v>
      </c>
      <c r="L5415">
        <v>17807</v>
      </c>
      <c r="M5415" t="s">
        <v>318</v>
      </c>
      <c r="N5415" t="str">
        <f>"6193168     "</f>
        <v xml:space="preserve">6193168     </v>
      </c>
      <c r="O5415">
        <v>231009</v>
      </c>
    </row>
    <row r="5416" spans="1:15" x14ac:dyDescent="0.25">
      <c r="A5416" t="s">
        <v>16</v>
      </c>
      <c r="B5416" t="s">
        <v>3221</v>
      </c>
      <c r="C5416">
        <v>13321</v>
      </c>
      <c r="D5416" t="s">
        <v>340</v>
      </c>
      <c r="E5416" t="s">
        <v>341</v>
      </c>
      <c r="F5416">
        <v>55.9</v>
      </c>
      <c r="G5416">
        <v>230919</v>
      </c>
      <c r="H5416">
        <v>4530</v>
      </c>
      <c r="I5416" t="s">
        <v>342</v>
      </c>
      <c r="J5416">
        <v>69.319999999999993</v>
      </c>
      <c r="K5416">
        <v>13.42</v>
      </c>
      <c r="L5416">
        <v>17807</v>
      </c>
      <c r="M5416" t="s">
        <v>318</v>
      </c>
      <c r="N5416" t="str">
        <f>"6194319     "</f>
        <v xml:space="preserve">6194319     </v>
      </c>
      <c r="O5416">
        <v>231009</v>
      </c>
    </row>
    <row r="5417" spans="1:15" x14ac:dyDescent="0.25">
      <c r="A5417" t="s">
        <v>16</v>
      </c>
      <c r="B5417" t="s">
        <v>3221</v>
      </c>
      <c r="C5417">
        <v>13372</v>
      </c>
      <c r="D5417" t="s">
        <v>340</v>
      </c>
      <c r="E5417" t="s">
        <v>341</v>
      </c>
      <c r="F5417">
        <v>467.44</v>
      </c>
      <c r="G5417">
        <v>230930</v>
      </c>
      <c r="H5417">
        <v>4530</v>
      </c>
      <c r="I5417" t="s">
        <v>342</v>
      </c>
      <c r="J5417">
        <v>579.63</v>
      </c>
      <c r="K5417">
        <v>112.19</v>
      </c>
      <c r="L5417">
        <v>17804</v>
      </c>
      <c r="M5417" t="s">
        <v>549</v>
      </c>
      <c r="N5417" t="str">
        <f>"6196845     "</f>
        <v xml:space="preserve">6196845     </v>
      </c>
      <c r="O5417">
        <v>231009</v>
      </c>
    </row>
    <row r="5418" spans="1:15" x14ac:dyDescent="0.25">
      <c r="A5418" t="s">
        <v>16</v>
      </c>
      <c r="B5418" t="s">
        <v>3221</v>
      </c>
      <c r="C5418">
        <v>13373</v>
      </c>
      <c r="D5418" t="s">
        <v>340</v>
      </c>
      <c r="E5418" t="s">
        <v>341</v>
      </c>
      <c r="F5418">
        <v>430.32</v>
      </c>
      <c r="G5418">
        <v>230930</v>
      </c>
      <c r="H5418">
        <v>4530</v>
      </c>
      <c r="I5418" t="s">
        <v>342</v>
      </c>
      <c r="J5418">
        <v>533.6</v>
      </c>
      <c r="K5418">
        <v>103.28</v>
      </c>
      <c r="L5418">
        <v>17803</v>
      </c>
      <c r="M5418" t="s">
        <v>389</v>
      </c>
      <c r="N5418" t="str">
        <f>"6196842     "</f>
        <v xml:space="preserve">6196842     </v>
      </c>
      <c r="O5418">
        <v>231009</v>
      </c>
    </row>
    <row r="5419" spans="1:15" x14ac:dyDescent="0.25">
      <c r="A5419" t="s">
        <v>16</v>
      </c>
      <c r="B5419" t="s">
        <v>3221</v>
      </c>
      <c r="C5419">
        <v>13453</v>
      </c>
      <c r="D5419" t="s">
        <v>340</v>
      </c>
      <c r="E5419" t="s">
        <v>341</v>
      </c>
      <c r="F5419">
        <v>332.93</v>
      </c>
      <c r="G5419">
        <v>231006</v>
      </c>
      <c r="H5419">
        <v>4530</v>
      </c>
      <c r="I5419" t="s">
        <v>342</v>
      </c>
      <c r="J5419">
        <v>412.83</v>
      </c>
      <c r="K5419">
        <v>79.900000000000006</v>
      </c>
      <c r="L5419">
        <v>56564</v>
      </c>
      <c r="M5419" t="s">
        <v>327</v>
      </c>
      <c r="N5419" t="str">
        <f>"6197660     "</f>
        <v xml:space="preserve">6197660     </v>
      </c>
      <c r="O5419">
        <v>231010</v>
      </c>
    </row>
    <row r="5420" spans="1:15" x14ac:dyDescent="0.25">
      <c r="A5420" t="s">
        <v>16</v>
      </c>
      <c r="B5420" t="s">
        <v>3221</v>
      </c>
      <c r="C5420">
        <v>13573</v>
      </c>
      <c r="D5420" t="s">
        <v>340</v>
      </c>
      <c r="E5420" t="s">
        <v>341</v>
      </c>
      <c r="F5420">
        <v>148.78</v>
      </c>
      <c r="G5420">
        <v>231002</v>
      </c>
      <c r="H5420">
        <v>4530</v>
      </c>
      <c r="I5420" t="s">
        <v>342</v>
      </c>
      <c r="J5420">
        <v>184.49</v>
      </c>
      <c r="K5420">
        <v>35.71</v>
      </c>
      <c r="L5420">
        <v>66722</v>
      </c>
      <c r="M5420" t="s">
        <v>518</v>
      </c>
      <c r="N5420" t="str">
        <f>"6196851     "</f>
        <v xml:space="preserve">6196851     </v>
      </c>
      <c r="O5420">
        <v>231011</v>
      </c>
    </row>
    <row r="5421" spans="1:15" x14ac:dyDescent="0.25">
      <c r="A5421" t="s">
        <v>16</v>
      </c>
      <c r="B5421" t="s">
        <v>3221</v>
      </c>
      <c r="C5421">
        <v>13574</v>
      </c>
      <c r="D5421" t="s">
        <v>340</v>
      </c>
      <c r="E5421" t="s">
        <v>341</v>
      </c>
      <c r="F5421">
        <v>56.61</v>
      </c>
      <c r="G5421">
        <v>231002</v>
      </c>
      <c r="H5421">
        <v>4530</v>
      </c>
      <c r="I5421" t="s">
        <v>342</v>
      </c>
      <c r="J5421">
        <v>70.2</v>
      </c>
      <c r="K5421">
        <v>13.59</v>
      </c>
      <c r="L5421">
        <v>67522</v>
      </c>
      <c r="M5421" t="s">
        <v>397</v>
      </c>
      <c r="N5421" t="str">
        <f>"6196911     "</f>
        <v xml:space="preserve">6196911     </v>
      </c>
      <c r="O5421">
        <v>231011</v>
      </c>
    </row>
    <row r="5422" spans="1:15" x14ac:dyDescent="0.25">
      <c r="A5422" t="s">
        <v>16</v>
      </c>
      <c r="B5422" t="s">
        <v>3221</v>
      </c>
      <c r="C5422">
        <v>13575</v>
      </c>
      <c r="D5422" t="s">
        <v>340</v>
      </c>
      <c r="E5422" t="s">
        <v>341</v>
      </c>
      <c r="F5422">
        <v>56.61</v>
      </c>
      <c r="G5422">
        <v>231002</v>
      </c>
      <c r="H5422">
        <v>4530</v>
      </c>
      <c r="I5422" t="s">
        <v>342</v>
      </c>
      <c r="J5422">
        <v>70.2</v>
      </c>
      <c r="K5422">
        <v>13.59</v>
      </c>
      <c r="L5422">
        <v>67522</v>
      </c>
      <c r="M5422" t="s">
        <v>397</v>
      </c>
      <c r="N5422" t="str">
        <f>"6196915     "</f>
        <v xml:space="preserve">6196915     </v>
      </c>
      <c r="O5422">
        <v>231011</v>
      </c>
    </row>
    <row r="5423" spans="1:15" x14ac:dyDescent="0.25">
      <c r="A5423" t="s">
        <v>16</v>
      </c>
      <c r="B5423" t="s">
        <v>3221</v>
      </c>
      <c r="C5423">
        <v>13576</v>
      </c>
      <c r="D5423" t="s">
        <v>340</v>
      </c>
      <c r="E5423" t="s">
        <v>341</v>
      </c>
      <c r="F5423">
        <v>102.37</v>
      </c>
      <c r="G5423">
        <v>231002</v>
      </c>
      <c r="H5423">
        <v>4530</v>
      </c>
      <c r="I5423" t="s">
        <v>342</v>
      </c>
      <c r="J5423">
        <v>126.94</v>
      </c>
      <c r="K5423">
        <v>24.57</v>
      </c>
      <c r="L5423">
        <v>67522</v>
      </c>
      <c r="M5423" t="s">
        <v>397</v>
      </c>
      <c r="N5423" t="str">
        <f>"6196850     "</f>
        <v xml:space="preserve">6196850     </v>
      </c>
      <c r="O5423">
        <v>231011</v>
      </c>
    </row>
    <row r="5424" spans="1:15" x14ac:dyDescent="0.25">
      <c r="A5424" t="s">
        <v>16</v>
      </c>
      <c r="B5424" t="s">
        <v>3221</v>
      </c>
      <c r="C5424">
        <v>13615</v>
      </c>
      <c r="D5424" t="s">
        <v>340</v>
      </c>
      <c r="E5424" t="s">
        <v>341</v>
      </c>
      <c r="F5424">
        <v>167.71</v>
      </c>
      <c r="G5424">
        <v>230930</v>
      </c>
      <c r="H5424">
        <v>4530</v>
      </c>
      <c r="I5424" t="s">
        <v>342</v>
      </c>
      <c r="J5424">
        <v>207.96</v>
      </c>
      <c r="K5424">
        <v>40.25</v>
      </c>
      <c r="L5424">
        <v>17807</v>
      </c>
      <c r="M5424" t="s">
        <v>318</v>
      </c>
      <c r="N5424" t="str">
        <f>"6196839     "</f>
        <v xml:space="preserve">6196839     </v>
      </c>
      <c r="O5424">
        <v>231011</v>
      </c>
    </row>
    <row r="5425" spans="1:15" x14ac:dyDescent="0.25">
      <c r="A5425" t="s">
        <v>16</v>
      </c>
      <c r="B5425" t="s">
        <v>3221</v>
      </c>
      <c r="C5425">
        <v>13616</v>
      </c>
      <c r="D5425" t="s">
        <v>340</v>
      </c>
      <c r="E5425" t="s">
        <v>341</v>
      </c>
      <c r="F5425">
        <v>816.73</v>
      </c>
      <c r="G5425">
        <v>230930</v>
      </c>
      <c r="H5425">
        <v>4530</v>
      </c>
      <c r="I5425" t="s">
        <v>342</v>
      </c>
      <c r="J5425">
        <v>1012.74</v>
      </c>
      <c r="K5425">
        <v>196.01</v>
      </c>
      <c r="L5425">
        <v>17807</v>
      </c>
      <c r="M5425" t="s">
        <v>318</v>
      </c>
      <c r="N5425" t="str">
        <f>"6196841     "</f>
        <v xml:space="preserve">6196841     </v>
      </c>
      <c r="O5425">
        <v>231011</v>
      </c>
    </row>
    <row r="5426" spans="1:15" x14ac:dyDescent="0.25">
      <c r="A5426" t="s">
        <v>16</v>
      </c>
      <c r="B5426" t="s">
        <v>3221</v>
      </c>
      <c r="C5426">
        <v>13660</v>
      </c>
      <c r="D5426" t="s">
        <v>340</v>
      </c>
      <c r="E5426" t="s">
        <v>341</v>
      </c>
      <c r="F5426">
        <v>78.16</v>
      </c>
      <c r="G5426">
        <v>230930</v>
      </c>
      <c r="H5426">
        <v>4530</v>
      </c>
      <c r="I5426" t="s">
        <v>342</v>
      </c>
      <c r="J5426">
        <v>96.92</v>
      </c>
      <c r="K5426">
        <v>18.760000000000002</v>
      </c>
      <c r="L5426">
        <v>14640</v>
      </c>
      <c r="M5426" t="s">
        <v>229</v>
      </c>
      <c r="N5426" t="str">
        <f>"6196849     "</f>
        <v xml:space="preserve">6196849     </v>
      </c>
      <c r="O5426">
        <v>231012</v>
      </c>
    </row>
    <row r="5427" spans="1:15" x14ac:dyDescent="0.25">
      <c r="A5427" t="s">
        <v>16</v>
      </c>
      <c r="B5427" t="s">
        <v>3221</v>
      </c>
      <c r="C5427">
        <v>13817</v>
      </c>
      <c r="D5427" t="s">
        <v>340</v>
      </c>
      <c r="E5427" t="s">
        <v>341</v>
      </c>
      <c r="F5427">
        <v>3.8</v>
      </c>
      <c r="G5427">
        <v>230929</v>
      </c>
      <c r="H5427">
        <v>4530</v>
      </c>
      <c r="I5427" t="s">
        <v>342</v>
      </c>
      <c r="J5427">
        <v>4.71</v>
      </c>
      <c r="K5427">
        <v>0.91</v>
      </c>
      <c r="L5427">
        <v>56560</v>
      </c>
      <c r="M5427" t="s">
        <v>654</v>
      </c>
      <c r="N5427" t="str">
        <f>"6196433     "</f>
        <v xml:space="preserve">6196433     </v>
      </c>
      <c r="O5427">
        <v>231013</v>
      </c>
    </row>
    <row r="5428" spans="1:15" x14ac:dyDescent="0.25">
      <c r="A5428" t="s">
        <v>16</v>
      </c>
      <c r="B5428" t="s">
        <v>3221</v>
      </c>
      <c r="C5428">
        <v>13818</v>
      </c>
      <c r="D5428" t="s">
        <v>340</v>
      </c>
      <c r="E5428" t="s">
        <v>341</v>
      </c>
      <c r="F5428">
        <v>217.33</v>
      </c>
      <c r="G5428">
        <v>230929</v>
      </c>
      <c r="H5428">
        <v>4530</v>
      </c>
      <c r="I5428" t="s">
        <v>342</v>
      </c>
      <c r="J5428">
        <v>269.49</v>
      </c>
      <c r="K5428">
        <v>52.16</v>
      </c>
      <c r="L5428">
        <v>56560</v>
      </c>
      <c r="M5428" t="s">
        <v>654</v>
      </c>
      <c r="N5428" t="str">
        <f>"6196431     "</f>
        <v xml:space="preserve">6196431     </v>
      </c>
      <c r="O5428">
        <v>231013</v>
      </c>
    </row>
    <row r="5429" spans="1:15" x14ac:dyDescent="0.25">
      <c r="A5429" t="s">
        <v>16</v>
      </c>
      <c r="B5429" t="s">
        <v>3221</v>
      </c>
      <c r="C5429">
        <v>13819</v>
      </c>
      <c r="D5429" t="s">
        <v>340</v>
      </c>
      <c r="E5429" t="s">
        <v>341</v>
      </c>
      <c r="F5429">
        <v>342.06</v>
      </c>
      <c r="G5429">
        <v>230929</v>
      </c>
      <c r="H5429">
        <v>4530</v>
      </c>
      <c r="I5429" t="s">
        <v>342</v>
      </c>
      <c r="J5429">
        <v>424.15</v>
      </c>
      <c r="K5429">
        <v>82.09</v>
      </c>
      <c r="L5429">
        <v>56560</v>
      </c>
      <c r="M5429" t="s">
        <v>654</v>
      </c>
      <c r="N5429" t="str">
        <f>"6196430     "</f>
        <v xml:space="preserve">6196430     </v>
      </c>
      <c r="O5429">
        <v>231013</v>
      </c>
    </row>
    <row r="5430" spans="1:15" x14ac:dyDescent="0.25">
      <c r="A5430" t="s">
        <v>16</v>
      </c>
      <c r="B5430" t="s">
        <v>3221</v>
      </c>
      <c r="C5430">
        <v>13827</v>
      </c>
      <c r="D5430" t="s">
        <v>340</v>
      </c>
      <c r="E5430" t="s">
        <v>341</v>
      </c>
      <c r="F5430">
        <v>52.09</v>
      </c>
      <c r="G5430">
        <v>230919</v>
      </c>
      <c r="H5430">
        <v>4530</v>
      </c>
      <c r="I5430" t="s">
        <v>342</v>
      </c>
      <c r="J5430">
        <v>64.59</v>
      </c>
      <c r="K5430">
        <v>12.5</v>
      </c>
      <c r="L5430">
        <v>56560</v>
      </c>
      <c r="M5430" t="s">
        <v>654</v>
      </c>
      <c r="N5430" t="str">
        <f>"6194340     "</f>
        <v xml:space="preserve">6194340     </v>
      </c>
      <c r="O5430">
        <v>231013</v>
      </c>
    </row>
    <row r="5431" spans="1:15" x14ac:dyDescent="0.25">
      <c r="A5431" t="s">
        <v>16</v>
      </c>
      <c r="B5431" t="s">
        <v>3221</v>
      </c>
      <c r="C5431">
        <v>13928</v>
      </c>
      <c r="D5431" t="s">
        <v>340</v>
      </c>
      <c r="E5431" t="s">
        <v>341</v>
      </c>
      <c r="F5431">
        <v>231.35</v>
      </c>
      <c r="G5431">
        <v>230930</v>
      </c>
      <c r="H5431">
        <v>4530</v>
      </c>
      <c r="I5431" t="s">
        <v>342</v>
      </c>
      <c r="J5431">
        <v>286.87</v>
      </c>
      <c r="K5431">
        <v>55.52</v>
      </c>
      <c r="L5431">
        <v>47522</v>
      </c>
      <c r="M5431" t="s">
        <v>410</v>
      </c>
      <c r="N5431" t="str">
        <f>"6196831     "</f>
        <v xml:space="preserve">6196831     </v>
      </c>
      <c r="O5431">
        <v>231016</v>
      </c>
    </row>
    <row r="5432" spans="1:15" x14ac:dyDescent="0.25">
      <c r="A5432" t="s">
        <v>16</v>
      </c>
      <c r="B5432" t="s">
        <v>3221</v>
      </c>
      <c r="C5432">
        <v>13929</v>
      </c>
      <c r="D5432" t="s">
        <v>340</v>
      </c>
      <c r="E5432" t="s">
        <v>341</v>
      </c>
      <c r="F5432">
        <v>786.59</v>
      </c>
      <c r="G5432">
        <v>230930</v>
      </c>
      <c r="H5432">
        <v>4530</v>
      </c>
      <c r="I5432" t="s">
        <v>342</v>
      </c>
      <c r="J5432">
        <v>975.37</v>
      </c>
      <c r="K5432">
        <v>188.78</v>
      </c>
      <c r="L5432">
        <v>47522</v>
      </c>
      <c r="M5432" t="s">
        <v>410</v>
      </c>
      <c r="N5432" t="str">
        <f>"6196827     "</f>
        <v xml:space="preserve">6196827     </v>
      </c>
      <c r="O5432">
        <v>231016</v>
      </c>
    </row>
    <row r="5433" spans="1:15" x14ac:dyDescent="0.25">
      <c r="A5433" t="s">
        <v>16</v>
      </c>
      <c r="B5433" t="s">
        <v>3221</v>
      </c>
      <c r="C5433">
        <v>14007</v>
      </c>
      <c r="D5433" t="s">
        <v>340</v>
      </c>
      <c r="E5433" t="s">
        <v>341</v>
      </c>
      <c r="F5433">
        <v>132.4</v>
      </c>
      <c r="G5433">
        <v>230928</v>
      </c>
      <c r="H5433">
        <v>4530</v>
      </c>
      <c r="I5433" t="s">
        <v>342</v>
      </c>
      <c r="J5433">
        <v>164.18</v>
      </c>
      <c r="K5433">
        <v>31.78</v>
      </c>
      <c r="L5433">
        <v>46554</v>
      </c>
      <c r="M5433" t="s">
        <v>117</v>
      </c>
      <c r="N5433" t="str">
        <f>"6196218     "</f>
        <v xml:space="preserve">6196218     </v>
      </c>
      <c r="O5433">
        <v>231017</v>
      </c>
    </row>
    <row r="5434" spans="1:15" x14ac:dyDescent="0.25">
      <c r="A5434" t="s">
        <v>16</v>
      </c>
      <c r="B5434" t="s">
        <v>3221</v>
      </c>
      <c r="C5434">
        <v>14496</v>
      </c>
      <c r="D5434" t="s">
        <v>340</v>
      </c>
      <c r="E5434" t="s">
        <v>341</v>
      </c>
      <c r="F5434">
        <v>38.68</v>
      </c>
      <c r="G5434">
        <v>231009</v>
      </c>
      <c r="H5434">
        <v>4530</v>
      </c>
      <c r="I5434" t="s">
        <v>342</v>
      </c>
      <c r="J5434">
        <v>47.96</v>
      </c>
      <c r="K5434">
        <v>9.2799999999999994</v>
      </c>
      <c r="L5434">
        <v>14640</v>
      </c>
      <c r="M5434" t="s">
        <v>229</v>
      </c>
      <c r="N5434" t="str">
        <f>"6198065     "</f>
        <v xml:space="preserve">6198065     </v>
      </c>
      <c r="O5434">
        <v>231030</v>
      </c>
    </row>
    <row r="5435" spans="1:15" x14ac:dyDescent="0.25">
      <c r="A5435" t="s">
        <v>16</v>
      </c>
      <c r="B5435" t="s">
        <v>3221</v>
      </c>
      <c r="C5435">
        <v>14600</v>
      </c>
      <c r="D5435" t="s">
        <v>340</v>
      </c>
      <c r="E5435" t="s">
        <v>341</v>
      </c>
      <c r="F5435">
        <v>203.12</v>
      </c>
      <c r="G5435">
        <v>231020</v>
      </c>
      <c r="H5435">
        <v>4530</v>
      </c>
      <c r="I5435" t="s">
        <v>342</v>
      </c>
      <c r="J5435">
        <v>251.87</v>
      </c>
      <c r="K5435">
        <v>48.75</v>
      </c>
      <c r="L5435">
        <v>17803</v>
      </c>
      <c r="M5435" t="s">
        <v>389</v>
      </c>
      <c r="N5435" t="str">
        <f>"6200480     "</f>
        <v xml:space="preserve">6200480     </v>
      </c>
      <c r="O5435">
        <v>231030</v>
      </c>
    </row>
    <row r="5436" spans="1:15" x14ac:dyDescent="0.25">
      <c r="A5436" t="s">
        <v>16</v>
      </c>
      <c r="B5436" t="s">
        <v>3221</v>
      </c>
      <c r="C5436">
        <v>14664</v>
      </c>
      <c r="D5436" t="s">
        <v>340</v>
      </c>
      <c r="E5436" t="s">
        <v>341</v>
      </c>
      <c r="F5436">
        <v>56.61</v>
      </c>
      <c r="G5436">
        <v>231026</v>
      </c>
      <c r="H5436">
        <v>4530</v>
      </c>
      <c r="I5436" t="s">
        <v>342</v>
      </c>
      <c r="J5436">
        <v>70.2</v>
      </c>
      <c r="K5436">
        <v>13.59</v>
      </c>
      <c r="L5436">
        <v>66722</v>
      </c>
      <c r="M5436" t="s">
        <v>518</v>
      </c>
      <c r="N5436" t="str">
        <f>"6201589     "</f>
        <v xml:space="preserve">6201589     </v>
      </c>
      <c r="O5436">
        <v>231031</v>
      </c>
    </row>
    <row r="5437" spans="1:15" x14ac:dyDescent="0.25">
      <c r="A5437" t="s">
        <v>16</v>
      </c>
      <c r="B5437" t="s">
        <v>3221</v>
      </c>
      <c r="C5437">
        <v>14736</v>
      </c>
      <c r="D5437" t="s">
        <v>340</v>
      </c>
      <c r="E5437" t="s">
        <v>341</v>
      </c>
      <c r="F5437">
        <v>129.61000000000001</v>
      </c>
      <c r="G5437">
        <v>231026</v>
      </c>
      <c r="H5437">
        <v>4530</v>
      </c>
      <c r="I5437" t="s">
        <v>342</v>
      </c>
      <c r="J5437">
        <v>160.72</v>
      </c>
      <c r="K5437">
        <v>31.11</v>
      </c>
      <c r="L5437">
        <v>56564</v>
      </c>
      <c r="M5437" t="s">
        <v>327</v>
      </c>
      <c r="N5437" t="str">
        <f>"6201590     "</f>
        <v xml:space="preserve">6201590     </v>
      </c>
      <c r="O5437">
        <v>231101</v>
      </c>
    </row>
    <row r="5438" spans="1:15" x14ac:dyDescent="0.25">
      <c r="A5438" t="s">
        <v>16</v>
      </c>
      <c r="B5438" t="s">
        <v>3221</v>
      </c>
      <c r="C5438">
        <v>14741</v>
      </c>
      <c r="D5438" t="s">
        <v>340</v>
      </c>
      <c r="E5438" t="s">
        <v>341</v>
      </c>
      <c r="F5438">
        <v>167.7</v>
      </c>
      <c r="G5438">
        <v>231030</v>
      </c>
      <c r="H5438">
        <v>4530</v>
      </c>
      <c r="I5438" t="s">
        <v>342</v>
      </c>
      <c r="J5438">
        <v>207.95</v>
      </c>
      <c r="K5438">
        <v>40.25</v>
      </c>
      <c r="L5438">
        <v>17807</v>
      </c>
      <c r="M5438" t="s">
        <v>318</v>
      </c>
      <c r="N5438" t="str">
        <f>"6202319     "</f>
        <v xml:space="preserve">6202319     </v>
      </c>
      <c r="O5438">
        <v>231101</v>
      </c>
    </row>
    <row r="5439" spans="1:15" x14ac:dyDescent="0.25">
      <c r="A5439" t="s">
        <v>16</v>
      </c>
      <c r="B5439" t="s">
        <v>3221</v>
      </c>
      <c r="C5439">
        <v>15171</v>
      </c>
      <c r="D5439" t="s">
        <v>340</v>
      </c>
      <c r="E5439" t="s">
        <v>341</v>
      </c>
      <c r="F5439">
        <v>196.68</v>
      </c>
      <c r="G5439">
        <v>231031</v>
      </c>
      <c r="H5439">
        <v>4530</v>
      </c>
      <c r="I5439" t="s">
        <v>342</v>
      </c>
      <c r="J5439">
        <v>243.88</v>
      </c>
      <c r="K5439">
        <v>47.2</v>
      </c>
      <c r="L5439">
        <v>46556</v>
      </c>
      <c r="M5439" t="s">
        <v>125</v>
      </c>
      <c r="N5439" t="str">
        <f>"6203063     "</f>
        <v xml:space="preserve">6203063     </v>
      </c>
      <c r="O5439">
        <v>231109</v>
      </c>
    </row>
    <row r="5440" spans="1:15" x14ac:dyDescent="0.25">
      <c r="A5440" t="s">
        <v>16</v>
      </c>
      <c r="B5440" t="s">
        <v>3221</v>
      </c>
      <c r="C5440">
        <v>15172</v>
      </c>
      <c r="D5440" t="s">
        <v>340</v>
      </c>
      <c r="E5440" t="s">
        <v>341</v>
      </c>
      <c r="F5440">
        <v>101.56</v>
      </c>
      <c r="G5440">
        <v>231023</v>
      </c>
      <c r="H5440">
        <v>4530</v>
      </c>
      <c r="I5440" t="s">
        <v>342</v>
      </c>
      <c r="J5440">
        <v>125.93</v>
      </c>
      <c r="K5440">
        <v>24.37</v>
      </c>
      <c r="L5440">
        <v>46554</v>
      </c>
      <c r="M5440" t="s">
        <v>117</v>
      </c>
      <c r="N5440" t="str">
        <f>"6200813     "</f>
        <v xml:space="preserve">6200813     </v>
      </c>
      <c r="O5440">
        <v>231109</v>
      </c>
    </row>
    <row r="5441" spans="1:15" x14ac:dyDescent="0.25">
      <c r="A5441" t="s">
        <v>16</v>
      </c>
      <c r="B5441" t="s">
        <v>3221</v>
      </c>
      <c r="C5441">
        <v>15177</v>
      </c>
      <c r="D5441" t="s">
        <v>340</v>
      </c>
      <c r="E5441" t="s">
        <v>341</v>
      </c>
      <c r="F5441">
        <v>71.72</v>
      </c>
      <c r="G5441">
        <v>231023</v>
      </c>
      <c r="H5441">
        <v>4530</v>
      </c>
      <c r="I5441" t="s">
        <v>342</v>
      </c>
      <c r="J5441">
        <v>88.93</v>
      </c>
      <c r="K5441">
        <v>17.21</v>
      </c>
      <c r="L5441">
        <v>46554</v>
      </c>
      <c r="M5441" t="s">
        <v>117</v>
      </c>
      <c r="N5441" t="str">
        <f>"6200812     "</f>
        <v xml:space="preserve">6200812     </v>
      </c>
      <c r="O5441">
        <v>231109</v>
      </c>
    </row>
    <row r="5442" spans="1:15" x14ac:dyDescent="0.25">
      <c r="A5442" t="s">
        <v>16</v>
      </c>
      <c r="B5442" t="s">
        <v>3221</v>
      </c>
      <c r="C5442">
        <v>15212</v>
      </c>
      <c r="D5442" t="s">
        <v>340</v>
      </c>
      <c r="E5442" t="s">
        <v>341</v>
      </c>
      <c r="F5442">
        <v>54.1</v>
      </c>
      <c r="G5442">
        <v>231102</v>
      </c>
      <c r="H5442">
        <v>4530</v>
      </c>
      <c r="I5442" t="s">
        <v>342</v>
      </c>
      <c r="J5442">
        <v>67.08</v>
      </c>
      <c r="K5442">
        <v>12.98</v>
      </c>
      <c r="L5442">
        <v>17527</v>
      </c>
      <c r="M5442" t="s">
        <v>422</v>
      </c>
      <c r="N5442" t="str">
        <f>"6203566     "</f>
        <v xml:space="preserve">6203566     </v>
      </c>
      <c r="O5442">
        <v>231109</v>
      </c>
    </row>
    <row r="5443" spans="1:15" x14ac:dyDescent="0.25">
      <c r="A5443" t="s">
        <v>16</v>
      </c>
      <c r="B5443" t="s">
        <v>3221</v>
      </c>
      <c r="C5443">
        <v>15219</v>
      </c>
      <c r="D5443" t="s">
        <v>340</v>
      </c>
      <c r="E5443" t="s">
        <v>341</v>
      </c>
      <c r="F5443">
        <v>110.74</v>
      </c>
      <c r="G5443">
        <v>231031</v>
      </c>
      <c r="H5443">
        <v>4530</v>
      </c>
      <c r="I5443" t="s">
        <v>342</v>
      </c>
      <c r="J5443">
        <v>137.32</v>
      </c>
      <c r="K5443">
        <v>26.58</v>
      </c>
      <c r="L5443">
        <v>46556</v>
      </c>
      <c r="M5443" t="s">
        <v>125</v>
      </c>
      <c r="N5443" t="str">
        <f>"6203064     "</f>
        <v xml:space="preserve">6203064     </v>
      </c>
      <c r="O5443">
        <v>231109</v>
      </c>
    </row>
    <row r="5444" spans="1:15" x14ac:dyDescent="0.25">
      <c r="A5444" t="s">
        <v>16</v>
      </c>
      <c r="B5444" t="s">
        <v>3221</v>
      </c>
      <c r="C5444">
        <v>15220</v>
      </c>
      <c r="D5444" t="s">
        <v>340</v>
      </c>
      <c r="E5444" t="s">
        <v>341</v>
      </c>
      <c r="F5444">
        <v>194.48</v>
      </c>
      <c r="G5444">
        <v>231031</v>
      </c>
      <c r="H5444">
        <v>4530</v>
      </c>
      <c r="I5444" t="s">
        <v>342</v>
      </c>
      <c r="J5444">
        <v>241.16</v>
      </c>
      <c r="K5444">
        <v>46.68</v>
      </c>
      <c r="L5444">
        <v>46556</v>
      </c>
      <c r="M5444" t="s">
        <v>125</v>
      </c>
      <c r="N5444" t="str">
        <f>"6203062     "</f>
        <v xml:space="preserve">6203062     </v>
      </c>
      <c r="O5444">
        <v>231109</v>
      </c>
    </row>
    <row r="5445" spans="1:15" x14ac:dyDescent="0.25">
      <c r="A5445" t="s">
        <v>16</v>
      </c>
      <c r="B5445" t="s">
        <v>3221</v>
      </c>
      <c r="C5445">
        <v>15521</v>
      </c>
      <c r="D5445" t="s">
        <v>340</v>
      </c>
      <c r="E5445" t="s">
        <v>341</v>
      </c>
      <c r="F5445">
        <v>38.68</v>
      </c>
      <c r="G5445">
        <v>231103</v>
      </c>
      <c r="H5445">
        <v>4530</v>
      </c>
      <c r="I5445" t="s">
        <v>342</v>
      </c>
      <c r="J5445">
        <v>47.96</v>
      </c>
      <c r="K5445">
        <v>9.2799999999999994</v>
      </c>
      <c r="L5445">
        <v>14640</v>
      </c>
      <c r="M5445" t="s">
        <v>229</v>
      </c>
      <c r="N5445" t="str">
        <f>"6203821     "</f>
        <v xml:space="preserve">6203821     </v>
      </c>
      <c r="O5445">
        <v>231113</v>
      </c>
    </row>
    <row r="5446" spans="1:15" x14ac:dyDescent="0.25">
      <c r="A5446" t="s">
        <v>16</v>
      </c>
      <c r="B5446" t="s">
        <v>3221</v>
      </c>
      <c r="C5446">
        <v>15600</v>
      </c>
      <c r="D5446" t="s">
        <v>340</v>
      </c>
      <c r="E5446" t="s">
        <v>341</v>
      </c>
      <c r="F5446">
        <v>25.15</v>
      </c>
      <c r="G5446">
        <v>231031</v>
      </c>
      <c r="H5446">
        <v>4530</v>
      </c>
      <c r="I5446" t="s">
        <v>342</v>
      </c>
      <c r="J5446">
        <v>31.19</v>
      </c>
      <c r="K5446">
        <v>6.04</v>
      </c>
      <c r="L5446">
        <v>54222</v>
      </c>
      <c r="M5446" t="s">
        <v>308</v>
      </c>
      <c r="N5446" t="str">
        <f>"6203065     "</f>
        <v xml:space="preserve">6203065     </v>
      </c>
      <c r="O5446">
        <v>231114</v>
      </c>
    </row>
    <row r="5447" spans="1:15" x14ac:dyDescent="0.25">
      <c r="A5447" t="s">
        <v>16</v>
      </c>
      <c r="B5447" t="s">
        <v>3221</v>
      </c>
      <c r="C5447">
        <v>15629</v>
      </c>
      <c r="D5447" t="s">
        <v>340</v>
      </c>
      <c r="E5447" t="s">
        <v>341</v>
      </c>
      <c r="F5447">
        <v>290.3</v>
      </c>
      <c r="G5447">
        <v>231108</v>
      </c>
      <c r="H5447">
        <v>4530</v>
      </c>
      <c r="I5447" t="s">
        <v>342</v>
      </c>
      <c r="J5447">
        <v>359.97</v>
      </c>
      <c r="K5447">
        <v>69.67</v>
      </c>
      <c r="L5447">
        <v>54222</v>
      </c>
      <c r="M5447" t="s">
        <v>308</v>
      </c>
      <c r="N5447" t="str">
        <f>"6204565     "</f>
        <v xml:space="preserve">6204565     </v>
      </c>
      <c r="O5447">
        <v>231114</v>
      </c>
    </row>
    <row r="5448" spans="1:15" x14ac:dyDescent="0.25">
      <c r="A5448" t="s">
        <v>16</v>
      </c>
      <c r="B5448" t="s">
        <v>3221</v>
      </c>
      <c r="C5448">
        <v>15696</v>
      </c>
      <c r="D5448" t="s">
        <v>340</v>
      </c>
      <c r="E5448" t="s">
        <v>341</v>
      </c>
      <c r="F5448">
        <v>73.709999999999994</v>
      </c>
      <c r="G5448">
        <v>231107</v>
      </c>
      <c r="H5448">
        <v>4530</v>
      </c>
      <c r="I5448" t="s">
        <v>342</v>
      </c>
      <c r="J5448">
        <v>91.4</v>
      </c>
      <c r="K5448">
        <v>17.690000000000001</v>
      </c>
      <c r="L5448">
        <v>17807</v>
      </c>
      <c r="M5448" t="s">
        <v>318</v>
      </c>
      <c r="N5448" t="str">
        <f>"6204206     "</f>
        <v xml:space="preserve">6204206     </v>
      </c>
      <c r="O5448">
        <v>231116</v>
      </c>
    </row>
    <row r="5449" spans="1:15" x14ac:dyDescent="0.25">
      <c r="A5449" t="s">
        <v>16</v>
      </c>
      <c r="B5449" t="s">
        <v>3221</v>
      </c>
      <c r="C5449">
        <v>15750</v>
      </c>
      <c r="D5449" t="s">
        <v>340</v>
      </c>
      <c r="E5449" t="s">
        <v>341</v>
      </c>
      <c r="F5449">
        <v>110.74</v>
      </c>
      <c r="G5449">
        <v>231115</v>
      </c>
      <c r="H5449">
        <v>4530</v>
      </c>
      <c r="I5449" t="s">
        <v>342</v>
      </c>
      <c r="J5449">
        <v>137.32</v>
      </c>
      <c r="K5449">
        <v>26.58</v>
      </c>
      <c r="L5449">
        <v>17809</v>
      </c>
      <c r="M5449" t="s">
        <v>376</v>
      </c>
      <c r="N5449" t="str">
        <f>"6206047     "</f>
        <v xml:space="preserve">6206047     </v>
      </c>
      <c r="O5449">
        <v>231116</v>
      </c>
    </row>
    <row r="5450" spans="1:15" x14ac:dyDescent="0.25">
      <c r="A5450" t="s">
        <v>16</v>
      </c>
      <c r="B5450" t="s">
        <v>3221</v>
      </c>
      <c r="C5450">
        <v>15763</v>
      </c>
      <c r="D5450" t="s">
        <v>340</v>
      </c>
      <c r="E5450" t="s">
        <v>341</v>
      </c>
      <c r="F5450">
        <v>261.44</v>
      </c>
      <c r="G5450">
        <v>231115</v>
      </c>
      <c r="H5450">
        <v>4530</v>
      </c>
      <c r="I5450" t="s">
        <v>342</v>
      </c>
      <c r="J5450">
        <v>324.19</v>
      </c>
      <c r="K5450">
        <v>62.75</v>
      </c>
      <c r="L5450">
        <v>17807</v>
      </c>
      <c r="M5450" t="s">
        <v>318</v>
      </c>
      <c r="N5450" t="str">
        <f>"6206281     "</f>
        <v xml:space="preserve">6206281     </v>
      </c>
      <c r="O5450">
        <v>231116</v>
      </c>
    </row>
    <row r="5451" spans="1:15" x14ac:dyDescent="0.25">
      <c r="A5451" t="s">
        <v>16</v>
      </c>
      <c r="B5451" t="s">
        <v>3221</v>
      </c>
      <c r="C5451">
        <v>16020</v>
      </c>
      <c r="D5451" t="s">
        <v>340</v>
      </c>
      <c r="E5451" t="s">
        <v>341</v>
      </c>
      <c r="F5451">
        <v>270.55</v>
      </c>
      <c r="G5451">
        <v>231107</v>
      </c>
      <c r="H5451">
        <v>4530</v>
      </c>
      <c r="I5451" t="s">
        <v>342</v>
      </c>
      <c r="J5451">
        <v>335.48</v>
      </c>
      <c r="K5451">
        <v>64.930000000000007</v>
      </c>
      <c r="L5451">
        <v>59501</v>
      </c>
      <c r="M5451" t="s">
        <v>69</v>
      </c>
      <c r="N5451" t="str">
        <f>"6204161     "</f>
        <v xml:space="preserve">6204161     </v>
      </c>
      <c r="O5451">
        <v>231122</v>
      </c>
    </row>
    <row r="5452" spans="1:15" x14ac:dyDescent="0.25">
      <c r="A5452" t="s">
        <v>16</v>
      </c>
      <c r="B5452" t="s">
        <v>3221</v>
      </c>
      <c r="C5452">
        <v>16044</v>
      </c>
      <c r="D5452" t="s">
        <v>340</v>
      </c>
      <c r="E5452" t="s">
        <v>341</v>
      </c>
      <c r="F5452">
        <v>111.8</v>
      </c>
      <c r="G5452">
        <v>231115</v>
      </c>
      <c r="H5452">
        <v>4530</v>
      </c>
      <c r="I5452" t="s">
        <v>342</v>
      </c>
      <c r="J5452">
        <v>138.63</v>
      </c>
      <c r="K5452">
        <v>26.83</v>
      </c>
      <c r="L5452">
        <v>17807</v>
      </c>
      <c r="M5452" t="s">
        <v>318</v>
      </c>
      <c r="N5452" t="str">
        <f>"6206280     "</f>
        <v xml:space="preserve">6206280     </v>
      </c>
      <c r="O5452">
        <v>231122</v>
      </c>
    </row>
    <row r="5453" spans="1:15" x14ac:dyDescent="0.25">
      <c r="A5453" t="s">
        <v>16</v>
      </c>
      <c r="B5453" t="s">
        <v>3221</v>
      </c>
      <c r="C5453">
        <v>16093</v>
      </c>
      <c r="D5453" t="s">
        <v>340</v>
      </c>
      <c r="E5453" t="s">
        <v>341</v>
      </c>
      <c r="F5453">
        <v>67.5</v>
      </c>
      <c r="G5453">
        <v>231113</v>
      </c>
      <c r="H5453">
        <v>4530</v>
      </c>
      <c r="I5453" t="s">
        <v>342</v>
      </c>
      <c r="J5453">
        <v>83.7</v>
      </c>
      <c r="K5453">
        <v>16.2</v>
      </c>
      <c r="L5453">
        <v>44222</v>
      </c>
      <c r="M5453" t="s">
        <v>232</v>
      </c>
      <c r="N5453" t="str">
        <f>"6205465     "</f>
        <v xml:space="preserve">6205465     </v>
      </c>
      <c r="O5453">
        <v>231122</v>
      </c>
    </row>
    <row r="5454" spans="1:15" x14ac:dyDescent="0.25">
      <c r="A5454" t="s">
        <v>16</v>
      </c>
      <c r="B5454" t="s">
        <v>3221</v>
      </c>
      <c r="C5454">
        <v>16110</v>
      </c>
      <c r="D5454" t="s">
        <v>340</v>
      </c>
      <c r="E5454" t="s">
        <v>341</v>
      </c>
      <c r="F5454">
        <v>196.68</v>
      </c>
      <c r="G5454">
        <v>231115</v>
      </c>
      <c r="H5454">
        <v>4530</v>
      </c>
      <c r="I5454" t="s">
        <v>342</v>
      </c>
      <c r="J5454">
        <v>243.88</v>
      </c>
      <c r="K5454">
        <v>47.2</v>
      </c>
      <c r="L5454">
        <v>17809</v>
      </c>
      <c r="M5454" t="s">
        <v>376</v>
      </c>
      <c r="N5454" t="str">
        <f>"6206048     "</f>
        <v xml:space="preserve">6206048     </v>
      </c>
      <c r="O5454">
        <v>231122</v>
      </c>
    </row>
    <row r="5455" spans="1:15" x14ac:dyDescent="0.25">
      <c r="A5455" t="s">
        <v>16</v>
      </c>
      <c r="B5455" t="s">
        <v>3221</v>
      </c>
      <c r="C5455">
        <v>16294</v>
      </c>
      <c r="D5455" t="s">
        <v>340</v>
      </c>
      <c r="E5455" t="s">
        <v>341</v>
      </c>
      <c r="F5455">
        <v>167.18</v>
      </c>
      <c r="G5455">
        <v>231120</v>
      </c>
      <c r="H5455">
        <v>4530</v>
      </c>
      <c r="I5455" t="s">
        <v>342</v>
      </c>
      <c r="J5455">
        <v>207.3</v>
      </c>
      <c r="K5455">
        <v>40.119999999999997</v>
      </c>
      <c r="L5455">
        <v>46556</v>
      </c>
      <c r="M5455" t="s">
        <v>125</v>
      </c>
      <c r="N5455" t="str">
        <f>"6207013     "</f>
        <v xml:space="preserve">6207013     </v>
      </c>
      <c r="O5455">
        <v>231127</v>
      </c>
    </row>
    <row r="5456" spans="1:15" x14ac:dyDescent="0.25">
      <c r="A5456" t="s">
        <v>16</v>
      </c>
      <c r="B5456" t="s">
        <v>3221</v>
      </c>
      <c r="C5456">
        <v>16324</v>
      </c>
      <c r="D5456" t="s">
        <v>340</v>
      </c>
      <c r="E5456" t="s">
        <v>341</v>
      </c>
      <c r="F5456">
        <v>20.97</v>
      </c>
      <c r="G5456">
        <v>231123</v>
      </c>
      <c r="H5456">
        <v>4530</v>
      </c>
      <c r="I5456" t="s">
        <v>342</v>
      </c>
      <c r="J5456">
        <v>26</v>
      </c>
      <c r="K5456">
        <v>5.03</v>
      </c>
      <c r="L5456">
        <v>14640</v>
      </c>
      <c r="M5456" t="s">
        <v>229</v>
      </c>
      <c r="N5456" t="str">
        <f>"6207962     "</f>
        <v xml:space="preserve">6207962     </v>
      </c>
      <c r="O5456">
        <v>231127</v>
      </c>
    </row>
    <row r="5457" spans="1:15" x14ac:dyDescent="0.25">
      <c r="A5457" t="s">
        <v>16</v>
      </c>
      <c r="B5457" t="s">
        <v>3221</v>
      </c>
      <c r="C5457">
        <v>16508</v>
      </c>
      <c r="D5457" t="s">
        <v>340</v>
      </c>
      <c r="E5457" t="s">
        <v>341</v>
      </c>
      <c r="F5457">
        <v>45.76</v>
      </c>
      <c r="G5457">
        <v>231102</v>
      </c>
      <c r="H5457">
        <v>4530</v>
      </c>
      <c r="I5457" t="s">
        <v>342</v>
      </c>
      <c r="J5457">
        <v>56.74</v>
      </c>
      <c r="K5457">
        <v>10.98</v>
      </c>
      <c r="L5457">
        <v>17526</v>
      </c>
      <c r="M5457" t="s">
        <v>437</v>
      </c>
      <c r="N5457" t="str">
        <f>"6203524     "</f>
        <v xml:space="preserve">6203524     </v>
      </c>
      <c r="O5457">
        <v>231201</v>
      </c>
    </row>
    <row r="5458" spans="1:15" x14ac:dyDescent="0.25">
      <c r="A5458" t="s">
        <v>16</v>
      </c>
      <c r="B5458" t="s">
        <v>3221</v>
      </c>
      <c r="C5458">
        <v>16775</v>
      </c>
      <c r="D5458" t="s">
        <v>340</v>
      </c>
      <c r="E5458" t="s">
        <v>341</v>
      </c>
      <c r="F5458">
        <v>83.59</v>
      </c>
      <c r="G5458">
        <v>231129</v>
      </c>
      <c r="H5458">
        <v>4530</v>
      </c>
      <c r="I5458" t="s">
        <v>342</v>
      </c>
      <c r="J5458">
        <v>103.65</v>
      </c>
      <c r="K5458">
        <v>20.059999999999999</v>
      </c>
      <c r="L5458">
        <v>69501</v>
      </c>
      <c r="M5458" t="s">
        <v>185</v>
      </c>
      <c r="N5458" t="str">
        <f>"6209092     "</f>
        <v xml:space="preserve">6209092     </v>
      </c>
      <c r="O5458">
        <v>231208</v>
      </c>
    </row>
    <row r="5459" spans="1:15" x14ac:dyDescent="0.25">
      <c r="A5459" t="s">
        <v>16</v>
      </c>
      <c r="B5459" t="s">
        <v>3221</v>
      </c>
      <c r="C5459">
        <v>16843</v>
      </c>
      <c r="D5459" t="s">
        <v>340</v>
      </c>
      <c r="E5459" t="s">
        <v>341</v>
      </c>
      <c r="F5459">
        <v>86.64</v>
      </c>
      <c r="G5459">
        <v>231129</v>
      </c>
      <c r="H5459">
        <v>4530</v>
      </c>
      <c r="I5459" t="s">
        <v>342</v>
      </c>
      <c r="J5459">
        <v>107.43</v>
      </c>
      <c r="K5459">
        <v>20.79</v>
      </c>
      <c r="L5459">
        <v>46554</v>
      </c>
      <c r="M5459" t="s">
        <v>117</v>
      </c>
      <c r="N5459" t="str">
        <f>"6209088     "</f>
        <v xml:space="preserve">6209088     </v>
      </c>
      <c r="O5459">
        <v>231211</v>
      </c>
    </row>
    <row r="5460" spans="1:15" x14ac:dyDescent="0.25">
      <c r="A5460" t="s">
        <v>16</v>
      </c>
      <c r="B5460" t="s">
        <v>3221</v>
      </c>
      <c r="C5460">
        <v>16883</v>
      </c>
      <c r="D5460" t="s">
        <v>340</v>
      </c>
      <c r="E5460" t="s">
        <v>341</v>
      </c>
      <c r="F5460">
        <v>55.37</v>
      </c>
      <c r="G5460">
        <v>231130</v>
      </c>
      <c r="H5460">
        <v>4530</v>
      </c>
      <c r="I5460" t="s">
        <v>342</v>
      </c>
      <c r="J5460">
        <v>68.66</v>
      </c>
      <c r="K5460">
        <v>13.29</v>
      </c>
      <c r="L5460">
        <v>46556</v>
      </c>
      <c r="M5460" t="s">
        <v>125</v>
      </c>
      <c r="N5460" t="str">
        <f>"6209519     "</f>
        <v xml:space="preserve">6209519     </v>
      </c>
      <c r="O5460">
        <v>231211</v>
      </c>
    </row>
    <row r="5461" spans="1:15" x14ac:dyDescent="0.25">
      <c r="A5461" t="s">
        <v>16</v>
      </c>
      <c r="B5461" t="s">
        <v>3221</v>
      </c>
      <c r="C5461">
        <v>17268</v>
      </c>
      <c r="D5461" t="s">
        <v>340</v>
      </c>
      <c r="E5461" t="s">
        <v>341</v>
      </c>
      <c r="F5461">
        <v>47.6</v>
      </c>
      <c r="G5461">
        <v>231205</v>
      </c>
      <c r="H5461">
        <v>4530</v>
      </c>
      <c r="I5461" t="s">
        <v>342</v>
      </c>
      <c r="J5461">
        <v>59.02</v>
      </c>
      <c r="K5461">
        <v>11.42</v>
      </c>
      <c r="L5461">
        <v>54422</v>
      </c>
      <c r="M5461" t="s">
        <v>234</v>
      </c>
      <c r="N5461" t="str">
        <f>"6210767     "</f>
        <v xml:space="preserve">6210767     </v>
      </c>
      <c r="O5461">
        <v>231212</v>
      </c>
    </row>
    <row r="5462" spans="1:15" x14ac:dyDescent="0.25">
      <c r="A5462" t="s">
        <v>16</v>
      </c>
      <c r="B5462" t="s">
        <v>3221</v>
      </c>
      <c r="C5462">
        <v>17273</v>
      </c>
      <c r="D5462" t="s">
        <v>340</v>
      </c>
      <c r="E5462" t="s">
        <v>341</v>
      </c>
      <c r="F5462">
        <v>40</v>
      </c>
      <c r="G5462">
        <v>231205</v>
      </c>
      <c r="H5462">
        <v>4530</v>
      </c>
      <c r="I5462" t="s">
        <v>342</v>
      </c>
      <c r="J5462">
        <v>49.6</v>
      </c>
      <c r="K5462">
        <v>9.6</v>
      </c>
      <c r="L5462">
        <v>56563</v>
      </c>
      <c r="M5462" t="s">
        <v>953</v>
      </c>
      <c r="N5462" t="str">
        <f>"6210766     "</f>
        <v xml:space="preserve">6210766     </v>
      </c>
      <c r="O5462">
        <v>231212</v>
      </c>
    </row>
    <row r="5463" spans="1:15" x14ac:dyDescent="0.25">
      <c r="A5463" t="s">
        <v>16</v>
      </c>
      <c r="B5463" t="s">
        <v>3221</v>
      </c>
      <c r="C5463">
        <v>17341</v>
      </c>
      <c r="D5463" t="s">
        <v>340</v>
      </c>
      <c r="E5463" t="s">
        <v>341</v>
      </c>
      <c r="F5463">
        <v>749.8</v>
      </c>
      <c r="G5463">
        <v>231211</v>
      </c>
      <c r="H5463">
        <v>4530</v>
      </c>
      <c r="I5463" t="s">
        <v>342</v>
      </c>
      <c r="J5463">
        <v>929.75</v>
      </c>
      <c r="K5463">
        <v>179.95</v>
      </c>
      <c r="L5463">
        <v>56562</v>
      </c>
      <c r="M5463" t="s">
        <v>126</v>
      </c>
      <c r="N5463" t="str">
        <f>"6211600     "</f>
        <v xml:space="preserve">6211600     </v>
      </c>
      <c r="O5463">
        <v>231213</v>
      </c>
    </row>
    <row r="5464" spans="1:15" x14ac:dyDescent="0.25">
      <c r="A5464" t="s">
        <v>16</v>
      </c>
      <c r="B5464" t="s">
        <v>3221</v>
      </c>
      <c r="C5464">
        <v>17484</v>
      </c>
      <c r="D5464" t="s">
        <v>340</v>
      </c>
      <c r="E5464" t="s">
        <v>341</v>
      </c>
      <c r="F5464">
        <v>147.41999999999999</v>
      </c>
      <c r="G5464">
        <v>231211</v>
      </c>
      <c r="H5464">
        <v>4530</v>
      </c>
      <c r="I5464" t="s">
        <v>342</v>
      </c>
      <c r="J5464">
        <v>182.8</v>
      </c>
      <c r="K5464">
        <v>35.380000000000003</v>
      </c>
      <c r="L5464">
        <v>46557</v>
      </c>
      <c r="M5464" t="s">
        <v>221</v>
      </c>
      <c r="N5464" t="str">
        <f>"6211615     "</f>
        <v xml:space="preserve">6211615     </v>
      </c>
      <c r="O5464">
        <v>231214</v>
      </c>
    </row>
    <row r="5465" spans="1:15" x14ac:dyDescent="0.25">
      <c r="A5465" t="s">
        <v>16</v>
      </c>
      <c r="B5465" t="s">
        <v>3221</v>
      </c>
      <c r="C5465">
        <v>17530</v>
      </c>
      <c r="D5465" t="s">
        <v>340</v>
      </c>
      <c r="E5465" t="s">
        <v>341</v>
      </c>
      <c r="F5465">
        <v>147.41999999999999</v>
      </c>
      <c r="G5465">
        <v>231211</v>
      </c>
      <c r="H5465">
        <v>4530</v>
      </c>
      <c r="I5465" t="s">
        <v>342</v>
      </c>
      <c r="J5465">
        <v>182.8</v>
      </c>
      <c r="K5465">
        <v>35.380000000000003</v>
      </c>
      <c r="L5465">
        <v>46557</v>
      </c>
      <c r="M5465" t="s">
        <v>221</v>
      </c>
      <c r="N5465" t="str">
        <f>"6211603     "</f>
        <v xml:space="preserve">6211603     </v>
      </c>
      <c r="O5465">
        <v>231215</v>
      </c>
    </row>
    <row r="5466" spans="1:15" x14ac:dyDescent="0.25">
      <c r="A5466" t="s">
        <v>16</v>
      </c>
      <c r="B5466" t="s">
        <v>3221</v>
      </c>
      <c r="C5466">
        <v>18381</v>
      </c>
      <c r="D5466" t="s">
        <v>340</v>
      </c>
      <c r="E5466" t="s">
        <v>341</v>
      </c>
      <c r="F5466">
        <v>55.9</v>
      </c>
      <c r="G5466">
        <v>231211</v>
      </c>
      <c r="H5466">
        <v>4530</v>
      </c>
      <c r="I5466" t="s">
        <v>342</v>
      </c>
      <c r="J5466">
        <v>69.319999999999993</v>
      </c>
      <c r="K5466">
        <v>13.42</v>
      </c>
      <c r="L5466">
        <v>56560</v>
      </c>
      <c r="M5466" t="s">
        <v>654</v>
      </c>
      <c r="N5466" t="str">
        <f>"6211766     "</f>
        <v xml:space="preserve">6211766     </v>
      </c>
      <c r="O5466">
        <v>240103</v>
      </c>
    </row>
    <row r="5467" spans="1:15" x14ac:dyDescent="0.25">
      <c r="A5467" t="s">
        <v>16</v>
      </c>
      <c r="B5467" t="s">
        <v>3221</v>
      </c>
      <c r="C5467">
        <v>18389</v>
      </c>
      <c r="D5467" t="s">
        <v>340</v>
      </c>
      <c r="E5467" t="s">
        <v>341</v>
      </c>
      <c r="F5467">
        <v>167.7</v>
      </c>
      <c r="G5467">
        <v>231213</v>
      </c>
      <c r="H5467">
        <v>4530</v>
      </c>
      <c r="I5467" t="s">
        <v>342</v>
      </c>
      <c r="J5467">
        <v>207.95</v>
      </c>
      <c r="K5467">
        <v>40.25</v>
      </c>
      <c r="L5467">
        <v>56564</v>
      </c>
      <c r="M5467" t="s">
        <v>327</v>
      </c>
      <c r="N5467" t="str">
        <f>"6212188     "</f>
        <v xml:space="preserve">6212188     </v>
      </c>
      <c r="O5467">
        <v>240103</v>
      </c>
    </row>
    <row r="5468" spans="1:15" x14ac:dyDescent="0.25">
      <c r="A5468" t="s">
        <v>16</v>
      </c>
      <c r="B5468" t="s">
        <v>3221</v>
      </c>
      <c r="C5468">
        <v>18392</v>
      </c>
      <c r="D5468" t="s">
        <v>340</v>
      </c>
      <c r="E5468" t="s">
        <v>341</v>
      </c>
      <c r="F5468">
        <v>294.83999999999997</v>
      </c>
      <c r="G5468">
        <v>231213</v>
      </c>
      <c r="H5468">
        <v>4530</v>
      </c>
      <c r="I5468" t="s">
        <v>342</v>
      </c>
      <c r="J5468">
        <v>365.6</v>
      </c>
      <c r="K5468">
        <v>70.760000000000005</v>
      </c>
      <c r="L5468">
        <v>56564</v>
      </c>
      <c r="M5468" t="s">
        <v>327</v>
      </c>
      <c r="N5468" t="str">
        <f>"6212189     "</f>
        <v xml:space="preserve">6212189     </v>
      </c>
      <c r="O5468">
        <v>240103</v>
      </c>
    </row>
    <row r="5469" spans="1:15" x14ac:dyDescent="0.25">
      <c r="A5469" t="s">
        <v>16</v>
      </c>
      <c r="B5469" t="s">
        <v>3221</v>
      </c>
      <c r="C5469">
        <v>18558</v>
      </c>
      <c r="D5469" t="s">
        <v>340</v>
      </c>
      <c r="E5469" t="s">
        <v>341</v>
      </c>
      <c r="F5469">
        <v>143.44</v>
      </c>
      <c r="G5469">
        <v>231215</v>
      </c>
      <c r="H5469">
        <v>4530</v>
      </c>
      <c r="I5469" t="s">
        <v>342</v>
      </c>
      <c r="J5469">
        <v>177.87</v>
      </c>
      <c r="K5469">
        <v>34.43</v>
      </c>
      <c r="L5469">
        <v>46554</v>
      </c>
      <c r="M5469" t="s">
        <v>117</v>
      </c>
      <c r="N5469" t="str">
        <f>"6212685     "</f>
        <v xml:space="preserve">6212685     </v>
      </c>
      <c r="O5469">
        <v>240104</v>
      </c>
    </row>
    <row r="5470" spans="1:15" x14ac:dyDescent="0.25">
      <c r="A5470" t="s">
        <v>16</v>
      </c>
      <c r="B5470" t="s">
        <v>3221</v>
      </c>
      <c r="C5470">
        <v>18587</v>
      </c>
      <c r="D5470" t="s">
        <v>340</v>
      </c>
      <c r="E5470" t="s">
        <v>341</v>
      </c>
      <c r="F5470">
        <v>86.64</v>
      </c>
      <c r="G5470">
        <v>231215</v>
      </c>
      <c r="H5470">
        <v>4530</v>
      </c>
      <c r="I5470" t="s">
        <v>342</v>
      </c>
      <c r="J5470">
        <v>107.43</v>
      </c>
      <c r="K5470">
        <v>20.79</v>
      </c>
      <c r="L5470">
        <v>46554</v>
      </c>
      <c r="M5470" t="s">
        <v>117</v>
      </c>
      <c r="N5470" t="str">
        <f>"6212798     "</f>
        <v xml:space="preserve">6212798     </v>
      </c>
      <c r="O5470">
        <v>240104</v>
      </c>
    </row>
    <row r="5471" spans="1:15" x14ac:dyDescent="0.25">
      <c r="A5471" t="s">
        <v>16</v>
      </c>
      <c r="B5471" t="s">
        <v>3221</v>
      </c>
      <c r="C5471">
        <v>18589</v>
      </c>
      <c r="D5471" t="s">
        <v>340</v>
      </c>
      <c r="E5471" t="s">
        <v>341</v>
      </c>
      <c r="F5471">
        <v>551.46</v>
      </c>
      <c r="G5471">
        <v>231215</v>
      </c>
      <c r="H5471">
        <v>4530</v>
      </c>
      <c r="I5471" t="s">
        <v>342</v>
      </c>
      <c r="J5471">
        <v>683.81</v>
      </c>
      <c r="K5471">
        <v>132.35</v>
      </c>
      <c r="L5471">
        <v>56564</v>
      </c>
      <c r="M5471" t="s">
        <v>327</v>
      </c>
      <c r="N5471" t="str">
        <f>"6212773     "</f>
        <v xml:space="preserve">6212773     </v>
      </c>
      <c r="O5471">
        <v>240104</v>
      </c>
    </row>
    <row r="5472" spans="1:15" x14ac:dyDescent="0.25">
      <c r="A5472" t="s">
        <v>16</v>
      </c>
      <c r="B5472" t="s">
        <v>3221</v>
      </c>
      <c r="C5472">
        <v>18614</v>
      </c>
      <c r="D5472" t="s">
        <v>340</v>
      </c>
      <c r="E5472" t="s">
        <v>341</v>
      </c>
      <c r="F5472">
        <v>54.61</v>
      </c>
      <c r="G5472">
        <v>231219</v>
      </c>
      <c r="H5472">
        <v>4530</v>
      </c>
      <c r="I5472" t="s">
        <v>342</v>
      </c>
      <c r="J5472">
        <v>67.72</v>
      </c>
      <c r="K5472">
        <v>13.11</v>
      </c>
      <c r="L5472">
        <v>67522</v>
      </c>
      <c r="M5472" t="s">
        <v>397</v>
      </c>
      <c r="N5472" t="str">
        <f>"6213499     "</f>
        <v xml:space="preserve">6213499     </v>
      </c>
      <c r="O5472">
        <v>240104</v>
      </c>
    </row>
    <row r="5473" spans="1:15" x14ac:dyDescent="0.25">
      <c r="A5473" t="s">
        <v>16</v>
      </c>
      <c r="B5473" t="s">
        <v>3221</v>
      </c>
      <c r="C5473">
        <v>18766</v>
      </c>
      <c r="D5473" t="s">
        <v>340</v>
      </c>
      <c r="E5473" t="s">
        <v>341</v>
      </c>
      <c r="F5473">
        <v>91.52</v>
      </c>
      <c r="G5473">
        <v>231222</v>
      </c>
      <c r="H5473">
        <v>4530</v>
      </c>
      <c r="I5473" t="s">
        <v>342</v>
      </c>
      <c r="J5473">
        <v>113.48</v>
      </c>
      <c r="K5473">
        <v>21.96</v>
      </c>
      <c r="L5473">
        <v>67522</v>
      </c>
      <c r="M5473" t="s">
        <v>397</v>
      </c>
      <c r="N5473" t="str">
        <f>"6214183     "</f>
        <v xml:space="preserve">6214183     </v>
      </c>
      <c r="O5473">
        <v>240105</v>
      </c>
    </row>
    <row r="5474" spans="1:15" x14ac:dyDescent="0.25">
      <c r="A5474" t="s">
        <v>16</v>
      </c>
      <c r="B5474" t="s">
        <v>3221</v>
      </c>
      <c r="C5474">
        <v>19104</v>
      </c>
      <c r="D5474" t="s">
        <v>340</v>
      </c>
      <c r="E5474" t="s">
        <v>341</v>
      </c>
      <c r="F5474">
        <v>167.18</v>
      </c>
      <c r="G5474">
        <v>231222</v>
      </c>
      <c r="H5474">
        <v>4530</v>
      </c>
      <c r="I5474" t="s">
        <v>342</v>
      </c>
      <c r="J5474">
        <v>207.3</v>
      </c>
      <c r="K5474">
        <v>40.119999999999997</v>
      </c>
      <c r="L5474">
        <v>17806</v>
      </c>
      <c r="M5474" t="s">
        <v>265</v>
      </c>
      <c r="N5474" t="str">
        <f>"6214138     "</f>
        <v xml:space="preserve">6214138     </v>
      </c>
      <c r="O5474">
        <v>240110</v>
      </c>
    </row>
    <row r="5475" spans="1:15" x14ac:dyDescent="0.25">
      <c r="A5475" t="s">
        <v>16</v>
      </c>
      <c r="B5475" t="s">
        <v>3221</v>
      </c>
      <c r="C5475">
        <v>19352</v>
      </c>
      <c r="D5475" t="s">
        <v>340</v>
      </c>
      <c r="E5475" t="s">
        <v>341</v>
      </c>
      <c r="F5475">
        <v>110.76</v>
      </c>
      <c r="G5475">
        <v>231220</v>
      </c>
      <c r="H5475">
        <v>4530</v>
      </c>
      <c r="I5475" t="s">
        <v>342</v>
      </c>
      <c r="J5475">
        <v>137.34</v>
      </c>
      <c r="K5475">
        <v>26.58</v>
      </c>
      <c r="L5475">
        <v>46554</v>
      </c>
      <c r="M5475" t="s">
        <v>117</v>
      </c>
      <c r="N5475" t="str">
        <f>"6213654     "</f>
        <v xml:space="preserve">6213654     </v>
      </c>
      <c r="O5475">
        <v>240118</v>
      </c>
    </row>
    <row r="5476" spans="1:15" x14ac:dyDescent="0.25">
      <c r="A5476" t="s">
        <v>16</v>
      </c>
      <c r="B5476" t="s">
        <v>3221</v>
      </c>
      <c r="C5476">
        <v>13126</v>
      </c>
      <c r="D5476" t="s">
        <v>2630</v>
      </c>
      <c r="E5476" t="s">
        <v>2631</v>
      </c>
      <c r="F5476">
        <v>135</v>
      </c>
      <c r="G5476">
        <v>230925</v>
      </c>
      <c r="H5476">
        <v>4600</v>
      </c>
      <c r="I5476" t="s">
        <v>105</v>
      </c>
      <c r="J5476">
        <v>167.4</v>
      </c>
      <c r="K5476">
        <v>32.4</v>
      </c>
      <c r="L5476">
        <v>17524</v>
      </c>
      <c r="M5476" t="s">
        <v>452</v>
      </c>
      <c r="N5476" t="str">
        <f>"31444       "</f>
        <v xml:space="preserve">31444       </v>
      </c>
      <c r="O5476">
        <v>231004</v>
      </c>
    </row>
    <row r="5477" spans="1:15" x14ac:dyDescent="0.25">
      <c r="A5477" t="s">
        <v>16</v>
      </c>
      <c r="B5477" t="s">
        <v>3221</v>
      </c>
      <c r="C5477">
        <v>6269</v>
      </c>
      <c r="D5477" t="s">
        <v>1071</v>
      </c>
      <c r="E5477" t="s">
        <v>1072</v>
      </c>
      <c r="F5477">
        <v>33.479999999999997</v>
      </c>
      <c r="G5477">
        <v>230508</v>
      </c>
      <c r="H5477">
        <v>4520</v>
      </c>
      <c r="I5477" t="s">
        <v>254</v>
      </c>
      <c r="J5477">
        <v>36.83</v>
      </c>
      <c r="K5477">
        <v>3.35</v>
      </c>
      <c r="L5477">
        <v>69501</v>
      </c>
      <c r="M5477" t="s">
        <v>185</v>
      </c>
      <c r="N5477" t="str">
        <f>"7231089712  "</f>
        <v xml:space="preserve">7231089712  </v>
      </c>
      <c r="O5477">
        <v>230509</v>
      </c>
    </row>
    <row r="5478" spans="1:15" x14ac:dyDescent="0.25">
      <c r="A5478" t="s">
        <v>16</v>
      </c>
      <c r="B5478" t="s">
        <v>3221</v>
      </c>
      <c r="C5478">
        <v>1517</v>
      </c>
      <c r="D5478" t="s">
        <v>1071</v>
      </c>
      <c r="E5478" t="s">
        <v>1072</v>
      </c>
      <c r="F5478">
        <v>1286.23</v>
      </c>
      <c r="G5478">
        <v>230208</v>
      </c>
      <c r="H5478">
        <v>4572</v>
      </c>
      <c r="I5478" t="s">
        <v>122</v>
      </c>
      <c r="J5478">
        <v>1414.85</v>
      </c>
      <c r="K5478">
        <v>128.62</v>
      </c>
      <c r="L5478">
        <v>17956</v>
      </c>
      <c r="M5478" t="s">
        <v>53</v>
      </c>
      <c r="N5478" t="str">
        <f>"7230396927  "</f>
        <v xml:space="preserve">7230396927  </v>
      </c>
      <c r="O5478">
        <v>230209</v>
      </c>
    </row>
    <row r="5479" spans="1:15" x14ac:dyDescent="0.25">
      <c r="A5479" t="s">
        <v>16</v>
      </c>
      <c r="B5479" t="s">
        <v>3221</v>
      </c>
      <c r="C5479">
        <v>1518</v>
      </c>
      <c r="D5479" t="s">
        <v>1071</v>
      </c>
      <c r="E5479" t="s">
        <v>1072</v>
      </c>
      <c r="F5479">
        <v>11.21</v>
      </c>
      <c r="G5479">
        <v>230208</v>
      </c>
      <c r="H5479">
        <v>4572</v>
      </c>
      <c r="I5479" t="s">
        <v>122</v>
      </c>
      <c r="J5479">
        <v>12.33</v>
      </c>
      <c r="K5479">
        <v>1.1200000000000001</v>
      </c>
      <c r="L5479">
        <v>17956</v>
      </c>
      <c r="M5479" t="s">
        <v>53</v>
      </c>
      <c r="N5479" t="str">
        <f>"7230396862  "</f>
        <v xml:space="preserve">7230396862  </v>
      </c>
      <c r="O5479">
        <v>230209</v>
      </c>
    </row>
    <row r="5480" spans="1:15" x14ac:dyDescent="0.25">
      <c r="A5480" t="s">
        <v>16</v>
      </c>
      <c r="B5480" t="s">
        <v>3221</v>
      </c>
      <c r="C5480">
        <v>1519</v>
      </c>
      <c r="D5480" t="s">
        <v>1071</v>
      </c>
      <c r="E5480" t="s">
        <v>1072</v>
      </c>
      <c r="F5480">
        <v>285.70999999999998</v>
      </c>
      <c r="G5480">
        <v>230208</v>
      </c>
      <c r="H5480">
        <v>4572</v>
      </c>
      <c r="I5480" t="s">
        <v>122</v>
      </c>
      <c r="J5480">
        <v>314.27999999999997</v>
      </c>
      <c r="K5480">
        <v>28.57</v>
      </c>
      <c r="L5480">
        <v>17950</v>
      </c>
      <c r="M5480" t="s">
        <v>86</v>
      </c>
      <c r="N5480" t="str">
        <f>"7230397007  "</f>
        <v xml:space="preserve">7230397007  </v>
      </c>
      <c r="O5480">
        <v>230209</v>
      </c>
    </row>
    <row r="5481" spans="1:15" x14ac:dyDescent="0.25">
      <c r="A5481" t="s">
        <v>16</v>
      </c>
      <c r="B5481" t="s">
        <v>3221</v>
      </c>
      <c r="C5481">
        <v>1559</v>
      </c>
      <c r="D5481" t="s">
        <v>1071</v>
      </c>
      <c r="E5481" t="s">
        <v>1072</v>
      </c>
      <c r="F5481">
        <v>368.85</v>
      </c>
      <c r="G5481">
        <v>230208</v>
      </c>
      <c r="H5481">
        <v>4572</v>
      </c>
      <c r="I5481" t="s">
        <v>122</v>
      </c>
      <c r="J5481">
        <v>405.73</v>
      </c>
      <c r="K5481">
        <v>36.880000000000003</v>
      </c>
      <c r="L5481">
        <v>13540</v>
      </c>
      <c r="M5481" t="s">
        <v>85</v>
      </c>
      <c r="N5481" t="str">
        <f>"7230396804  "</f>
        <v xml:space="preserve">7230396804  </v>
      </c>
      <c r="O5481">
        <v>230209</v>
      </c>
    </row>
    <row r="5482" spans="1:15" x14ac:dyDescent="0.25">
      <c r="A5482" t="s">
        <v>16</v>
      </c>
      <c r="B5482" t="s">
        <v>3221</v>
      </c>
      <c r="C5482">
        <v>1559</v>
      </c>
      <c r="D5482" t="s">
        <v>1071</v>
      </c>
      <c r="E5482" t="s">
        <v>1072</v>
      </c>
      <c r="F5482">
        <v>2984.33</v>
      </c>
      <c r="G5482">
        <v>230208</v>
      </c>
      <c r="H5482">
        <v>4572</v>
      </c>
      <c r="I5482" t="s">
        <v>122</v>
      </c>
      <c r="J5482">
        <v>3282.76</v>
      </c>
      <c r="K5482">
        <v>298.43</v>
      </c>
      <c r="L5482">
        <v>17950</v>
      </c>
      <c r="M5482" t="s">
        <v>86</v>
      </c>
      <c r="N5482" t="str">
        <f>"7230396804  "</f>
        <v xml:space="preserve">7230396804  </v>
      </c>
      <c r="O5482">
        <v>230209</v>
      </c>
    </row>
    <row r="5483" spans="1:15" x14ac:dyDescent="0.25">
      <c r="A5483" t="s">
        <v>16</v>
      </c>
      <c r="B5483" t="s">
        <v>3221</v>
      </c>
      <c r="C5483">
        <v>1569</v>
      </c>
      <c r="D5483" t="s">
        <v>1071</v>
      </c>
      <c r="E5483" t="s">
        <v>1072</v>
      </c>
      <c r="F5483">
        <v>12.09</v>
      </c>
      <c r="G5483">
        <v>230208</v>
      </c>
      <c r="H5483">
        <v>4572</v>
      </c>
      <c r="I5483" t="s">
        <v>122</v>
      </c>
      <c r="J5483">
        <v>13.3</v>
      </c>
      <c r="K5483">
        <v>1.21</v>
      </c>
      <c r="L5483">
        <v>17981</v>
      </c>
      <c r="M5483" t="s">
        <v>218</v>
      </c>
      <c r="N5483" t="str">
        <f>"7230396752  "</f>
        <v xml:space="preserve">7230396752  </v>
      </c>
      <c r="O5483">
        <v>230209</v>
      </c>
    </row>
    <row r="5484" spans="1:15" x14ac:dyDescent="0.25">
      <c r="A5484" t="s">
        <v>16</v>
      </c>
      <c r="B5484" t="s">
        <v>3221</v>
      </c>
      <c r="C5484">
        <v>1570</v>
      </c>
      <c r="D5484" t="s">
        <v>1071</v>
      </c>
      <c r="E5484" t="s">
        <v>1072</v>
      </c>
      <c r="F5484">
        <v>0.8</v>
      </c>
      <c r="G5484">
        <v>230208</v>
      </c>
      <c r="H5484">
        <v>4572</v>
      </c>
      <c r="I5484" t="s">
        <v>122</v>
      </c>
      <c r="J5484">
        <v>0.88</v>
      </c>
      <c r="K5484">
        <v>0.08</v>
      </c>
      <c r="L5484">
        <v>59112</v>
      </c>
      <c r="M5484" t="s">
        <v>182</v>
      </c>
      <c r="N5484" t="str">
        <f>"7230396930  "</f>
        <v xml:space="preserve">7230396930  </v>
      </c>
      <c r="O5484">
        <v>230209</v>
      </c>
    </row>
    <row r="5485" spans="1:15" x14ac:dyDescent="0.25">
      <c r="A5485" t="s">
        <v>16</v>
      </c>
      <c r="B5485" t="s">
        <v>3221</v>
      </c>
      <c r="C5485">
        <v>1570</v>
      </c>
      <c r="D5485" t="s">
        <v>1071</v>
      </c>
      <c r="E5485" t="s">
        <v>1072</v>
      </c>
      <c r="F5485">
        <v>2.15</v>
      </c>
      <c r="G5485">
        <v>230208</v>
      </c>
      <c r="H5485">
        <v>4572</v>
      </c>
      <c r="I5485" t="s">
        <v>122</v>
      </c>
      <c r="J5485">
        <v>2.37</v>
      </c>
      <c r="K5485">
        <v>0.22</v>
      </c>
      <c r="L5485">
        <v>59504</v>
      </c>
      <c r="M5485" t="s">
        <v>71</v>
      </c>
      <c r="N5485" t="str">
        <f>"7230396930  "</f>
        <v xml:space="preserve">7230396930  </v>
      </c>
      <c r="O5485">
        <v>230209</v>
      </c>
    </row>
    <row r="5486" spans="1:15" x14ac:dyDescent="0.25">
      <c r="A5486" t="s">
        <v>16</v>
      </c>
      <c r="B5486" t="s">
        <v>3221</v>
      </c>
      <c r="C5486">
        <v>1571</v>
      </c>
      <c r="D5486" t="s">
        <v>1071</v>
      </c>
      <c r="E5486" t="s">
        <v>1072</v>
      </c>
      <c r="F5486">
        <v>9.26</v>
      </c>
      <c r="G5486">
        <v>230208</v>
      </c>
      <c r="H5486">
        <v>4572</v>
      </c>
      <c r="I5486" t="s">
        <v>122</v>
      </c>
      <c r="J5486">
        <v>10.19</v>
      </c>
      <c r="K5486">
        <v>0.93</v>
      </c>
      <c r="L5486">
        <v>59112</v>
      </c>
      <c r="M5486" t="s">
        <v>182</v>
      </c>
      <c r="N5486" t="str">
        <f>"7230396943  "</f>
        <v xml:space="preserve">7230396943  </v>
      </c>
      <c r="O5486">
        <v>230209</v>
      </c>
    </row>
    <row r="5487" spans="1:15" x14ac:dyDescent="0.25">
      <c r="A5487" t="s">
        <v>16</v>
      </c>
      <c r="B5487" t="s">
        <v>3221</v>
      </c>
      <c r="C5487">
        <v>1571</v>
      </c>
      <c r="D5487" t="s">
        <v>1071</v>
      </c>
      <c r="E5487" t="s">
        <v>1072</v>
      </c>
      <c r="F5487">
        <v>25.04</v>
      </c>
      <c r="G5487">
        <v>230208</v>
      </c>
      <c r="H5487">
        <v>4572</v>
      </c>
      <c r="I5487" t="s">
        <v>122</v>
      </c>
      <c r="J5487">
        <v>27.54</v>
      </c>
      <c r="K5487">
        <v>2.5</v>
      </c>
      <c r="L5487">
        <v>59504</v>
      </c>
      <c r="M5487" t="s">
        <v>71</v>
      </c>
      <c r="N5487" t="str">
        <f>"7230396943  "</f>
        <v xml:space="preserve">7230396943  </v>
      </c>
      <c r="O5487">
        <v>230209</v>
      </c>
    </row>
    <row r="5488" spans="1:15" x14ac:dyDescent="0.25">
      <c r="A5488" t="s">
        <v>16</v>
      </c>
      <c r="B5488" t="s">
        <v>3221</v>
      </c>
      <c r="C5488">
        <v>1598</v>
      </c>
      <c r="D5488" t="s">
        <v>1071</v>
      </c>
      <c r="E5488" t="s">
        <v>1072</v>
      </c>
      <c r="F5488">
        <v>2263.92</v>
      </c>
      <c r="G5488">
        <v>230208</v>
      </c>
      <c r="H5488">
        <v>4572</v>
      </c>
      <c r="I5488" t="s">
        <v>122</v>
      </c>
      <c r="J5488">
        <v>2490.31</v>
      </c>
      <c r="K5488">
        <v>226.39</v>
      </c>
      <c r="L5488">
        <v>17951</v>
      </c>
      <c r="M5488" t="s">
        <v>87</v>
      </c>
      <c r="N5488" t="str">
        <f>"7230396765  "</f>
        <v xml:space="preserve">7230396765  </v>
      </c>
      <c r="O5488">
        <v>230210</v>
      </c>
    </row>
    <row r="5489" spans="1:15" x14ac:dyDescent="0.25">
      <c r="A5489" t="s">
        <v>16</v>
      </c>
      <c r="B5489" t="s">
        <v>3221</v>
      </c>
      <c r="C5489">
        <v>1599</v>
      </c>
      <c r="D5489" t="s">
        <v>1071</v>
      </c>
      <c r="E5489" t="s">
        <v>1072</v>
      </c>
      <c r="F5489">
        <v>87.72</v>
      </c>
      <c r="G5489">
        <v>230208</v>
      </c>
      <c r="H5489">
        <v>4572</v>
      </c>
      <c r="I5489" t="s">
        <v>122</v>
      </c>
      <c r="J5489">
        <v>96.49</v>
      </c>
      <c r="K5489">
        <v>8.77</v>
      </c>
      <c r="L5489">
        <v>17956</v>
      </c>
      <c r="M5489" t="s">
        <v>53</v>
      </c>
      <c r="N5489" t="str">
        <f>"7230396781  "</f>
        <v xml:space="preserve">7230396781  </v>
      </c>
      <c r="O5489">
        <v>230210</v>
      </c>
    </row>
    <row r="5490" spans="1:15" x14ac:dyDescent="0.25">
      <c r="A5490" t="s">
        <v>16</v>
      </c>
      <c r="B5490" t="s">
        <v>3221</v>
      </c>
      <c r="C5490">
        <v>1600</v>
      </c>
      <c r="D5490" t="s">
        <v>1071</v>
      </c>
      <c r="E5490" t="s">
        <v>1072</v>
      </c>
      <c r="F5490">
        <v>18.260000000000002</v>
      </c>
      <c r="G5490">
        <v>230208</v>
      </c>
      <c r="H5490">
        <v>4572</v>
      </c>
      <c r="I5490" t="s">
        <v>122</v>
      </c>
      <c r="J5490">
        <v>20.09</v>
      </c>
      <c r="K5490">
        <v>1.83</v>
      </c>
      <c r="L5490">
        <v>17956</v>
      </c>
      <c r="M5490" t="s">
        <v>53</v>
      </c>
      <c r="N5490" t="str">
        <f>"7230396875  "</f>
        <v xml:space="preserve">7230396875  </v>
      </c>
      <c r="O5490">
        <v>230210</v>
      </c>
    </row>
    <row r="5491" spans="1:15" x14ac:dyDescent="0.25">
      <c r="A5491" t="s">
        <v>16</v>
      </c>
      <c r="B5491" t="s">
        <v>3221</v>
      </c>
      <c r="C5491">
        <v>1602</v>
      </c>
      <c r="D5491" t="s">
        <v>1071</v>
      </c>
      <c r="E5491" t="s">
        <v>1072</v>
      </c>
      <c r="F5491">
        <v>88.04</v>
      </c>
      <c r="G5491">
        <v>230208</v>
      </c>
      <c r="H5491">
        <v>4572</v>
      </c>
      <c r="I5491" t="s">
        <v>122</v>
      </c>
      <c r="J5491">
        <v>96.84</v>
      </c>
      <c r="K5491">
        <v>8.8000000000000007</v>
      </c>
      <c r="L5491">
        <v>17956</v>
      </c>
      <c r="M5491" t="s">
        <v>53</v>
      </c>
      <c r="N5491" t="str">
        <f>"7230396794  "</f>
        <v xml:space="preserve">7230396794  </v>
      </c>
      <c r="O5491">
        <v>230210</v>
      </c>
    </row>
    <row r="5492" spans="1:15" x14ac:dyDescent="0.25">
      <c r="A5492" t="s">
        <v>16</v>
      </c>
      <c r="B5492" t="s">
        <v>3221</v>
      </c>
      <c r="C5492">
        <v>1615</v>
      </c>
      <c r="D5492" t="s">
        <v>1071</v>
      </c>
      <c r="E5492" t="s">
        <v>1072</v>
      </c>
      <c r="F5492">
        <v>150.16</v>
      </c>
      <c r="G5492">
        <v>230208</v>
      </c>
      <c r="H5492">
        <v>4572</v>
      </c>
      <c r="I5492" t="s">
        <v>122</v>
      </c>
      <c r="J5492">
        <v>165.18</v>
      </c>
      <c r="K5492">
        <v>15.02</v>
      </c>
      <c r="L5492">
        <v>17739</v>
      </c>
      <c r="M5492" t="s">
        <v>374</v>
      </c>
      <c r="N5492" t="str">
        <f>"7230396859  "</f>
        <v xml:space="preserve">7230396859  </v>
      </c>
      <c r="O5492">
        <v>230210</v>
      </c>
    </row>
    <row r="5493" spans="1:15" x14ac:dyDescent="0.25">
      <c r="A5493" t="s">
        <v>16</v>
      </c>
      <c r="B5493" t="s">
        <v>3221</v>
      </c>
      <c r="C5493">
        <v>1615</v>
      </c>
      <c r="D5493" t="s">
        <v>1071</v>
      </c>
      <c r="E5493" t="s">
        <v>1072</v>
      </c>
      <c r="F5493">
        <v>450.48</v>
      </c>
      <c r="G5493">
        <v>230208</v>
      </c>
      <c r="H5493">
        <v>4572</v>
      </c>
      <c r="I5493" t="s">
        <v>122</v>
      </c>
      <c r="J5493">
        <v>495.53</v>
      </c>
      <c r="K5493">
        <v>45.05</v>
      </c>
      <c r="L5493">
        <v>17912</v>
      </c>
      <c r="M5493" t="s">
        <v>419</v>
      </c>
      <c r="N5493" t="str">
        <f>"7230396859  "</f>
        <v xml:space="preserve">7230396859  </v>
      </c>
      <c r="O5493">
        <v>230210</v>
      </c>
    </row>
    <row r="5494" spans="1:15" x14ac:dyDescent="0.25">
      <c r="A5494" t="s">
        <v>16</v>
      </c>
      <c r="B5494" t="s">
        <v>3221</v>
      </c>
      <c r="C5494">
        <v>1615</v>
      </c>
      <c r="D5494" t="s">
        <v>1071</v>
      </c>
      <c r="E5494" t="s">
        <v>1072</v>
      </c>
      <c r="F5494">
        <v>900.95</v>
      </c>
      <c r="G5494">
        <v>230208</v>
      </c>
      <c r="H5494">
        <v>4572</v>
      </c>
      <c r="I5494" t="s">
        <v>122</v>
      </c>
      <c r="J5494">
        <v>991.05</v>
      </c>
      <c r="K5494">
        <v>90.1</v>
      </c>
      <c r="L5494">
        <v>17952</v>
      </c>
      <c r="M5494" t="s">
        <v>88</v>
      </c>
      <c r="N5494" t="str">
        <f>"7230396859  "</f>
        <v xml:space="preserve">7230396859  </v>
      </c>
      <c r="O5494">
        <v>230210</v>
      </c>
    </row>
    <row r="5495" spans="1:15" x14ac:dyDescent="0.25">
      <c r="A5495" t="s">
        <v>16</v>
      </c>
      <c r="B5495" t="s">
        <v>3221</v>
      </c>
      <c r="C5495">
        <v>1616</v>
      </c>
      <c r="D5495" t="s">
        <v>1071</v>
      </c>
      <c r="E5495" t="s">
        <v>1072</v>
      </c>
      <c r="F5495">
        <v>214.46</v>
      </c>
      <c r="G5495">
        <v>230208</v>
      </c>
      <c r="H5495">
        <v>4572</v>
      </c>
      <c r="I5495" t="s">
        <v>122</v>
      </c>
      <c r="J5495">
        <v>235.91</v>
      </c>
      <c r="K5495">
        <v>21.45</v>
      </c>
      <c r="L5495">
        <v>17711</v>
      </c>
      <c r="M5495" t="s">
        <v>65</v>
      </c>
      <c r="N5495" t="str">
        <f>"7230396985  "</f>
        <v xml:space="preserve">7230396985  </v>
      </c>
      <c r="O5495">
        <v>230210</v>
      </c>
    </row>
    <row r="5496" spans="1:15" x14ac:dyDescent="0.25">
      <c r="A5496" t="s">
        <v>16</v>
      </c>
      <c r="B5496" t="s">
        <v>3221</v>
      </c>
      <c r="C5496">
        <v>1616</v>
      </c>
      <c r="D5496" t="s">
        <v>1071</v>
      </c>
      <c r="E5496" t="s">
        <v>1072</v>
      </c>
      <c r="F5496">
        <v>16.13</v>
      </c>
      <c r="G5496">
        <v>230208</v>
      </c>
      <c r="H5496">
        <v>4572</v>
      </c>
      <c r="I5496" t="s">
        <v>122</v>
      </c>
      <c r="J5496">
        <v>17.739999999999998</v>
      </c>
      <c r="K5496">
        <v>1.61</v>
      </c>
      <c r="L5496">
        <v>17737</v>
      </c>
      <c r="M5496" t="s">
        <v>279</v>
      </c>
      <c r="N5496" t="str">
        <f>"7230396985  "</f>
        <v xml:space="preserve">7230396985  </v>
      </c>
      <c r="O5496">
        <v>230210</v>
      </c>
    </row>
    <row r="5497" spans="1:15" x14ac:dyDescent="0.25">
      <c r="A5497" t="s">
        <v>16</v>
      </c>
      <c r="B5497" t="s">
        <v>3221</v>
      </c>
      <c r="C5497">
        <v>1616</v>
      </c>
      <c r="D5497" t="s">
        <v>1071</v>
      </c>
      <c r="E5497" t="s">
        <v>1072</v>
      </c>
      <c r="F5497">
        <v>91.91</v>
      </c>
      <c r="G5497">
        <v>230208</v>
      </c>
      <c r="H5497">
        <v>4572</v>
      </c>
      <c r="I5497" t="s">
        <v>122</v>
      </c>
      <c r="J5497">
        <v>101.1</v>
      </c>
      <c r="K5497">
        <v>9.19</v>
      </c>
      <c r="L5497">
        <v>17739</v>
      </c>
      <c r="M5497" t="s">
        <v>374</v>
      </c>
      <c r="N5497" t="str">
        <f>"7230396985  "</f>
        <v xml:space="preserve">7230396985  </v>
      </c>
      <c r="O5497">
        <v>230210</v>
      </c>
    </row>
    <row r="5498" spans="1:15" x14ac:dyDescent="0.25">
      <c r="A5498" t="s">
        <v>16</v>
      </c>
      <c r="B5498" t="s">
        <v>3221</v>
      </c>
      <c r="C5498">
        <v>1722</v>
      </c>
      <c r="D5498" t="s">
        <v>1071</v>
      </c>
      <c r="E5498" t="s">
        <v>1072</v>
      </c>
      <c r="F5498">
        <v>0.88</v>
      </c>
      <c r="G5498">
        <v>230208</v>
      </c>
      <c r="H5498">
        <v>4572</v>
      </c>
      <c r="I5498" t="s">
        <v>122</v>
      </c>
      <c r="J5498">
        <v>0.97</v>
      </c>
      <c r="K5498">
        <v>0.09</v>
      </c>
      <c r="L5498">
        <v>59112</v>
      </c>
      <c r="M5498" t="s">
        <v>182</v>
      </c>
      <c r="N5498" t="str">
        <f>"7230396969  "</f>
        <v xml:space="preserve">7230396969  </v>
      </c>
      <c r="O5498">
        <v>230213</v>
      </c>
    </row>
    <row r="5499" spans="1:15" x14ac:dyDescent="0.25">
      <c r="A5499" t="s">
        <v>16</v>
      </c>
      <c r="B5499" t="s">
        <v>3221</v>
      </c>
      <c r="C5499">
        <v>1722</v>
      </c>
      <c r="D5499" t="s">
        <v>1071</v>
      </c>
      <c r="E5499" t="s">
        <v>1072</v>
      </c>
      <c r="F5499">
        <v>2.39</v>
      </c>
      <c r="G5499">
        <v>230208</v>
      </c>
      <c r="H5499">
        <v>4572</v>
      </c>
      <c r="I5499" t="s">
        <v>122</v>
      </c>
      <c r="J5499">
        <v>2.63</v>
      </c>
      <c r="K5499">
        <v>0.24</v>
      </c>
      <c r="L5499">
        <v>59504</v>
      </c>
      <c r="M5499" t="s">
        <v>71</v>
      </c>
      <c r="N5499" t="str">
        <f>"7230396969  "</f>
        <v xml:space="preserve">7230396969  </v>
      </c>
      <c r="O5499">
        <v>230213</v>
      </c>
    </row>
    <row r="5500" spans="1:15" x14ac:dyDescent="0.25">
      <c r="A5500" t="s">
        <v>16</v>
      </c>
      <c r="B5500" t="s">
        <v>3221</v>
      </c>
      <c r="C5500">
        <v>1728</v>
      </c>
      <c r="D5500" t="s">
        <v>1071</v>
      </c>
      <c r="E5500" t="s">
        <v>1072</v>
      </c>
      <c r="F5500">
        <v>66.09</v>
      </c>
      <c r="G5500">
        <v>230208</v>
      </c>
      <c r="H5500">
        <v>4572</v>
      </c>
      <c r="I5500" t="s">
        <v>122</v>
      </c>
      <c r="J5500">
        <v>72.7</v>
      </c>
      <c r="K5500">
        <v>6.61</v>
      </c>
      <c r="L5500">
        <v>69501</v>
      </c>
      <c r="M5500" t="s">
        <v>185</v>
      </c>
      <c r="N5500" t="str">
        <f>"7230396820  "</f>
        <v xml:space="preserve">7230396820  </v>
      </c>
      <c r="O5500">
        <v>230213</v>
      </c>
    </row>
    <row r="5501" spans="1:15" x14ac:dyDescent="0.25">
      <c r="A5501" t="s">
        <v>16</v>
      </c>
      <c r="B5501" t="s">
        <v>3221</v>
      </c>
      <c r="C5501">
        <v>1729</v>
      </c>
      <c r="D5501" t="s">
        <v>1071</v>
      </c>
      <c r="E5501" t="s">
        <v>1072</v>
      </c>
      <c r="F5501">
        <v>15</v>
      </c>
      <c r="G5501">
        <v>230208</v>
      </c>
      <c r="H5501">
        <v>4572</v>
      </c>
      <c r="I5501" t="s">
        <v>122</v>
      </c>
      <c r="J5501">
        <v>15</v>
      </c>
      <c r="K5501">
        <v>0</v>
      </c>
      <c r="L5501">
        <v>11001</v>
      </c>
      <c r="M5501" t="s">
        <v>326</v>
      </c>
      <c r="N5501" t="str">
        <f>"7230403674  "</f>
        <v xml:space="preserve">7230403674  </v>
      </c>
      <c r="O5501">
        <v>230213</v>
      </c>
    </row>
    <row r="5502" spans="1:15" x14ac:dyDescent="0.25">
      <c r="A5502" t="s">
        <v>16</v>
      </c>
      <c r="B5502" t="s">
        <v>3221</v>
      </c>
      <c r="C5502">
        <v>1730</v>
      </c>
      <c r="D5502" t="s">
        <v>1071</v>
      </c>
      <c r="E5502" t="s">
        <v>1072</v>
      </c>
      <c r="F5502">
        <v>1017.84</v>
      </c>
      <c r="G5502">
        <v>230208</v>
      </c>
      <c r="H5502">
        <v>4572</v>
      </c>
      <c r="I5502" t="s">
        <v>122</v>
      </c>
      <c r="J5502">
        <v>1119.6199999999999</v>
      </c>
      <c r="K5502">
        <v>101.78</v>
      </c>
      <c r="L5502">
        <v>69111</v>
      </c>
      <c r="M5502" t="s">
        <v>471</v>
      </c>
      <c r="N5502" t="str">
        <f>"7230396817  "</f>
        <v xml:space="preserve">7230396817  </v>
      </c>
      <c r="O5502">
        <v>230213</v>
      </c>
    </row>
    <row r="5503" spans="1:15" x14ac:dyDescent="0.25">
      <c r="A5503" t="s">
        <v>16</v>
      </c>
      <c r="B5503" t="s">
        <v>3221</v>
      </c>
      <c r="C5503">
        <v>1730</v>
      </c>
      <c r="D5503" t="s">
        <v>1071</v>
      </c>
      <c r="E5503" t="s">
        <v>1072</v>
      </c>
      <c r="F5503">
        <v>1890.26</v>
      </c>
      <c r="G5503">
        <v>230208</v>
      </c>
      <c r="H5503">
        <v>4572</v>
      </c>
      <c r="I5503" t="s">
        <v>122</v>
      </c>
      <c r="J5503">
        <v>2079.29</v>
      </c>
      <c r="K5503">
        <v>189.03</v>
      </c>
      <c r="L5503">
        <v>69501</v>
      </c>
      <c r="M5503" t="s">
        <v>185</v>
      </c>
      <c r="N5503" t="str">
        <f>"7230396817  "</f>
        <v xml:space="preserve">7230396817  </v>
      </c>
      <c r="O5503">
        <v>230213</v>
      </c>
    </row>
    <row r="5504" spans="1:15" x14ac:dyDescent="0.25">
      <c r="A5504" t="s">
        <v>16</v>
      </c>
      <c r="B5504" t="s">
        <v>3221</v>
      </c>
      <c r="C5504">
        <v>1731</v>
      </c>
      <c r="D5504" t="s">
        <v>1071</v>
      </c>
      <c r="E5504" t="s">
        <v>1072</v>
      </c>
      <c r="F5504">
        <v>315.45999999999998</v>
      </c>
      <c r="G5504">
        <v>230208</v>
      </c>
      <c r="H5504">
        <v>4572</v>
      </c>
      <c r="I5504" t="s">
        <v>122</v>
      </c>
      <c r="J5504">
        <v>347.01</v>
      </c>
      <c r="K5504">
        <v>31.55</v>
      </c>
      <c r="L5504">
        <v>59112</v>
      </c>
      <c r="M5504" t="s">
        <v>182</v>
      </c>
      <c r="N5504" t="str">
        <f>"7230396956  "</f>
        <v xml:space="preserve">7230396956  </v>
      </c>
      <c r="O5504">
        <v>230213</v>
      </c>
    </row>
    <row r="5505" spans="1:15" x14ac:dyDescent="0.25">
      <c r="A5505" t="s">
        <v>16</v>
      </c>
      <c r="B5505" t="s">
        <v>3221</v>
      </c>
      <c r="C5505">
        <v>1731</v>
      </c>
      <c r="D5505" t="s">
        <v>1071</v>
      </c>
      <c r="E5505" t="s">
        <v>1072</v>
      </c>
      <c r="F5505">
        <v>852.94</v>
      </c>
      <c r="G5505">
        <v>230208</v>
      </c>
      <c r="H5505">
        <v>4572</v>
      </c>
      <c r="I5505" t="s">
        <v>122</v>
      </c>
      <c r="J5505">
        <v>938.23</v>
      </c>
      <c r="K5505">
        <v>85.29</v>
      </c>
      <c r="L5505">
        <v>59504</v>
      </c>
      <c r="M5505" t="s">
        <v>71</v>
      </c>
      <c r="N5505" t="str">
        <f>"7230396956  "</f>
        <v xml:space="preserve">7230396956  </v>
      </c>
      <c r="O5505">
        <v>230213</v>
      </c>
    </row>
    <row r="5506" spans="1:15" x14ac:dyDescent="0.25">
      <c r="A5506" t="s">
        <v>16</v>
      </c>
      <c r="B5506" t="s">
        <v>3221</v>
      </c>
      <c r="C5506">
        <v>1738</v>
      </c>
      <c r="D5506" t="s">
        <v>1071</v>
      </c>
      <c r="E5506" t="s">
        <v>1072</v>
      </c>
      <c r="F5506">
        <v>26.83</v>
      </c>
      <c r="G5506">
        <v>230208</v>
      </c>
      <c r="H5506">
        <v>4572</v>
      </c>
      <c r="I5506" t="s">
        <v>122</v>
      </c>
      <c r="J5506">
        <v>29.51</v>
      </c>
      <c r="K5506">
        <v>2.68</v>
      </c>
      <c r="L5506">
        <v>13841</v>
      </c>
      <c r="M5506" t="s">
        <v>47</v>
      </c>
      <c r="N5506" t="str">
        <f>"7230407476  "</f>
        <v xml:space="preserve">7230407476  </v>
      </c>
      <c r="O5506">
        <v>230213</v>
      </c>
    </row>
    <row r="5507" spans="1:15" x14ac:dyDescent="0.25">
      <c r="A5507" t="s">
        <v>16</v>
      </c>
      <c r="B5507" t="s">
        <v>3221</v>
      </c>
      <c r="C5507">
        <v>1783</v>
      </c>
      <c r="D5507" t="s">
        <v>1071</v>
      </c>
      <c r="E5507" t="s">
        <v>1072</v>
      </c>
      <c r="F5507">
        <v>4.91</v>
      </c>
      <c r="G5507">
        <v>230208</v>
      </c>
      <c r="H5507">
        <v>4572</v>
      </c>
      <c r="I5507" t="s">
        <v>122</v>
      </c>
      <c r="J5507">
        <v>4.91</v>
      </c>
      <c r="K5507">
        <v>0</v>
      </c>
      <c r="L5507">
        <v>59813</v>
      </c>
      <c r="M5507" t="s">
        <v>915</v>
      </c>
      <c r="N5507" t="str">
        <f>"7230396972  "</f>
        <v xml:space="preserve">7230396972  </v>
      </c>
      <c r="O5507">
        <v>230214</v>
      </c>
    </row>
    <row r="5508" spans="1:15" x14ac:dyDescent="0.25">
      <c r="A5508" t="s">
        <v>16</v>
      </c>
      <c r="B5508" t="s">
        <v>3221</v>
      </c>
      <c r="C5508">
        <v>1784</v>
      </c>
      <c r="D5508" t="s">
        <v>1071</v>
      </c>
      <c r="E5508" t="s">
        <v>1072</v>
      </c>
      <c r="F5508">
        <v>1057.42</v>
      </c>
      <c r="G5508">
        <v>230208</v>
      </c>
      <c r="H5508">
        <v>4572</v>
      </c>
      <c r="I5508" t="s">
        <v>122</v>
      </c>
      <c r="J5508">
        <v>1311.2</v>
      </c>
      <c r="K5508">
        <v>253.78</v>
      </c>
      <c r="L5508">
        <v>59502</v>
      </c>
      <c r="M5508" t="s">
        <v>70</v>
      </c>
      <c r="N5508" t="str">
        <f>"7230396891  "</f>
        <v xml:space="preserve">7230396891  </v>
      </c>
      <c r="O5508">
        <v>230214</v>
      </c>
    </row>
    <row r="5509" spans="1:15" x14ac:dyDescent="0.25">
      <c r="A5509" t="s">
        <v>16</v>
      </c>
      <c r="B5509" t="s">
        <v>3221</v>
      </c>
      <c r="C5509">
        <v>1784</v>
      </c>
      <c r="D5509" t="s">
        <v>1071</v>
      </c>
      <c r="E5509" t="s">
        <v>1072</v>
      </c>
      <c r="F5509">
        <v>676.06</v>
      </c>
      <c r="G5509">
        <v>230208</v>
      </c>
      <c r="H5509">
        <v>4572</v>
      </c>
      <c r="I5509" t="s">
        <v>122</v>
      </c>
      <c r="J5509">
        <v>838.31</v>
      </c>
      <c r="K5509">
        <v>162.25</v>
      </c>
      <c r="L5509">
        <v>59802</v>
      </c>
      <c r="M5509" t="s">
        <v>73</v>
      </c>
      <c r="N5509" t="str">
        <f>"7230396891  "</f>
        <v xml:space="preserve">7230396891  </v>
      </c>
      <c r="O5509">
        <v>230214</v>
      </c>
    </row>
    <row r="5510" spans="1:15" x14ac:dyDescent="0.25">
      <c r="A5510" t="s">
        <v>16</v>
      </c>
      <c r="B5510" t="s">
        <v>3221</v>
      </c>
      <c r="C5510">
        <v>1786</v>
      </c>
      <c r="D5510" t="s">
        <v>1071</v>
      </c>
      <c r="E5510" t="s">
        <v>1072</v>
      </c>
      <c r="F5510">
        <v>633.69000000000005</v>
      </c>
      <c r="G5510">
        <v>230208</v>
      </c>
      <c r="H5510">
        <v>4572</v>
      </c>
      <c r="I5510" t="s">
        <v>122</v>
      </c>
      <c r="J5510">
        <v>785.78</v>
      </c>
      <c r="K5510">
        <v>152.09</v>
      </c>
      <c r="L5510">
        <v>59505</v>
      </c>
      <c r="M5510" t="s">
        <v>72</v>
      </c>
      <c r="N5510" t="str">
        <f>"7230396914  "</f>
        <v xml:space="preserve">7230396914  </v>
      </c>
      <c r="O5510">
        <v>230214</v>
      </c>
    </row>
    <row r="5511" spans="1:15" x14ac:dyDescent="0.25">
      <c r="A5511" t="s">
        <v>16</v>
      </c>
      <c r="B5511" t="s">
        <v>3221</v>
      </c>
      <c r="C5511">
        <v>1786</v>
      </c>
      <c r="D5511" t="s">
        <v>1071</v>
      </c>
      <c r="E5511" t="s">
        <v>1072</v>
      </c>
      <c r="F5511">
        <v>97.41</v>
      </c>
      <c r="G5511">
        <v>230208</v>
      </c>
      <c r="H5511">
        <v>4572</v>
      </c>
      <c r="I5511" t="s">
        <v>122</v>
      </c>
      <c r="J5511">
        <v>107.15</v>
      </c>
      <c r="K5511">
        <v>9.74</v>
      </c>
      <c r="L5511">
        <v>59812</v>
      </c>
      <c r="M5511" t="s">
        <v>74</v>
      </c>
      <c r="N5511" t="str">
        <f>"7230396914  "</f>
        <v xml:space="preserve">7230396914  </v>
      </c>
      <c r="O5511">
        <v>230214</v>
      </c>
    </row>
    <row r="5512" spans="1:15" x14ac:dyDescent="0.25">
      <c r="A5512" t="s">
        <v>16</v>
      </c>
      <c r="B5512" t="s">
        <v>3221</v>
      </c>
      <c r="C5512">
        <v>1787</v>
      </c>
      <c r="D5512" t="s">
        <v>1071</v>
      </c>
      <c r="E5512" t="s">
        <v>1072</v>
      </c>
      <c r="F5512">
        <v>376.59</v>
      </c>
      <c r="G5512">
        <v>230208</v>
      </c>
      <c r="H5512">
        <v>4572</v>
      </c>
      <c r="I5512" t="s">
        <v>122</v>
      </c>
      <c r="J5512">
        <v>466.97</v>
      </c>
      <c r="K5512">
        <v>90.38</v>
      </c>
      <c r="L5512">
        <v>59503</v>
      </c>
      <c r="M5512" t="s">
        <v>194</v>
      </c>
      <c r="N5512" t="str">
        <f>"7230396778  "</f>
        <v xml:space="preserve">7230396778  </v>
      </c>
      <c r="O5512">
        <v>230214</v>
      </c>
    </row>
    <row r="5513" spans="1:15" x14ac:dyDescent="0.25">
      <c r="A5513" t="s">
        <v>16</v>
      </c>
      <c r="B5513" t="s">
        <v>3221</v>
      </c>
      <c r="C5513">
        <v>1788</v>
      </c>
      <c r="D5513" t="s">
        <v>1071</v>
      </c>
      <c r="E5513" t="s">
        <v>1072</v>
      </c>
      <c r="F5513">
        <v>316.3</v>
      </c>
      <c r="G5513">
        <v>230208</v>
      </c>
      <c r="H5513">
        <v>4572</v>
      </c>
      <c r="I5513" t="s">
        <v>122</v>
      </c>
      <c r="J5513">
        <v>347.93</v>
      </c>
      <c r="K5513">
        <v>31.63</v>
      </c>
      <c r="L5513">
        <v>59111</v>
      </c>
      <c r="M5513" t="s">
        <v>1010</v>
      </c>
      <c r="N5513" t="str">
        <f>"7230396888  "</f>
        <v xml:space="preserve">7230396888  </v>
      </c>
      <c r="O5513">
        <v>230214</v>
      </c>
    </row>
    <row r="5514" spans="1:15" x14ac:dyDescent="0.25">
      <c r="A5514" t="s">
        <v>16</v>
      </c>
      <c r="B5514" t="s">
        <v>3221</v>
      </c>
      <c r="C5514">
        <v>1788</v>
      </c>
      <c r="D5514" t="s">
        <v>1071</v>
      </c>
      <c r="E5514" t="s">
        <v>1072</v>
      </c>
      <c r="F5514">
        <v>4955.3100000000004</v>
      </c>
      <c r="G5514">
        <v>230208</v>
      </c>
      <c r="H5514">
        <v>4572</v>
      </c>
      <c r="I5514" t="s">
        <v>122</v>
      </c>
      <c r="J5514">
        <v>5450.84</v>
      </c>
      <c r="K5514">
        <v>495.53</v>
      </c>
      <c r="L5514">
        <v>59501</v>
      </c>
      <c r="M5514" t="s">
        <v>69</v>
      </c>
      <c r="N5514" t="str">
        <f>"7230396888  "</f>
        <v xml:space="preserve">7230396888  </v>
      </c>
      <c r="O5514">
        <v>230214</v>
      </c>
    </row>
    <row r="5515" spans="1:15" x14ac:dyDescent="0.25">
      <c r="A5515" t="s">
        <v>16</v>
      </c>
      <c r="B5515" t="s">
        <v>3221</v>
      </c>
      <c r="C5515">
        <v>2041</v>
      </c>
      <c r="D5515" t="s">
        <v>1071</v>
      </c>
      <c r="E5515" t="s">
        <v>1072</v>
      </c>
      <c r="F5515">
        <v>982.04</v>
      </c>
      <c r="G5515">
        <v>230208</v>
      </c>
      <c r="H5515">
        <v>4572</v>
      </c>
      <c r="I5515" t="s">
        <v>122</v>
      </c>
      <c r="J5515">
        <v>1080.24</v>
      </c>
      <c r="K5515">
        <v>98.2</v>
      </c>
      <c r="L5515">
        <v>49501</v>
      </c>
      <c r="M5515" t="s">
        <v>177</v>
      </c>
      <c r="N5515" t="str">
        <f>"7230396833  "</f>
        <v xml:space="preserve">7230396833  </v>
      </c>
      <c r="O5515">
        <v>230220</v>
      </c>
    </row>
    <row r="5516" spans="1:15" x14ac:dyDescent="0.25">
      <c r="A5516" t="s">
        <v>16</v>
      </c>
      <c r="B5516" t="s">
        <v>3221</v>
      </c>
      <c r="C5516">
        <v>2041</v>
      </c>
      <c r="D5516" t="s">
        <v>1071</v>
      </c>
      <c r="E5516" t="s">
        <v>1072</v>
      </c>
      <c r="F5516">
        <v>51.68</v>
      </c>
      <c r="G5516">
        <v>230208</v>
      </c>
      <c r="H5516">
        <v>4572</v>
      </c>
      <c r="I5516" t="s">
        <v>122</v>
      </c>
      <c r="J5516">
        <v>56.85</v>
      </c>
      <c r="K5516">
        <v>5.17</v>
      </c>
      <c r="L5516">
        <v>49801</v>
      </c>
      <c r="M5516" t="s">
        <v>1227</v>
      </c>
      <c r="N5516" t="str">
        <f>"7230396833  "</f>
        <v xml:space="preserve">7230396833  </v>
      </c>
      <c r="O5516">
        <v>230220</v>
      </c>
    </row>
    <row r="5517" spans="1:15" x14ac:dyDescent="0.25">
      <c r="A5517" t="s">
        <v>16</v>
      </c>
      <c r="B5517" t="s">
        <v>3221</v>
      </c>
      <c r="C5517">
        <v>2042</v>
      </c>
      <c r="D5517" t="s">
        <v>1071</v>
      </c>
      <c r="E5517" t="s">
        <v>1072</v>
      </c>
      <c r="F5517">
        <v>985.14</v>
      </c>
      <c r="G5517">
        <v>230208</v>
      </c>
      <c r="H5517">
        <v>4572</v>
      </c>
      <c r="I5517" t="s">
        <v>122</v>
      </c>
      <c r="J5517">
        <v>1083.6500000000001</v>
      </c>
      <c r="K5517">
        <v>98.51</v>
      </c>
      <c r="L5517">
        <v>49503</v>
      </c>
      <c r="M5517" t="s">
        <v>178</v>
      </c>
      <c r="N5517" t="str">
        <f>"7230396901  "</f>
        <v xml:space="preserve">7230396901  </v>
      </c>
      <c r="O5517">
        <v>230220</v>
      </c>
    </row>
    <row r="5518" spans="1:15" x14ac:dyDescent="0.25">
      <c r="A5518" t="s">
        <v>16</v>
      </c>
      <c r="B5518" t="s">
        <v>3221</v>
      </c>
      <c r="C5518">
        <v>2065</v>
      </c>
      <c r="D5518" t="s">
        <v>1071</v>
      </c>
      <c r="E5518" t="s">
        <v>1072</v>
      </c>
      <c r="F5518">
        <v>2476.27</v>
      </c>
      <c r="G5518">
        <v>230208</v>
      </c>
      <c r="H5518">
        <v>4572</v>
      </c>
      <c r="I5518" t="s">
        <v>122</v>
      </c>
      <c r="J5518">
        <v>2723.9</v>
      </c>
      <c r="K5518">
        <v>247.63</v>
      </c>
      <c r="L5518">
        <v>49501</v>
      </c>
      <c r="M5518" t="s">
        <v>177</v>
      </c>
      <c r="N5518" t="str">
        <f>"7230396998  "</f>
        <v xml:space="preserve">7230396998  </v>
      </c>
      <c r="O5518">
        <v>230220</v>
      </c>
    </row>
    <row r="5519" spans="1:15" x14ac:dyDescent="0.25">
      <c r="A5519" t="s">
        <v>16</v>
      </c>
      <c r="B5519" t="s">
        <v>3221</v>
      </c>
      <c r="C5519">
        <v>2065</v>
      </c>
      <c r="D5519" t="s">
        <v>1071</v>
      </c>
      <c r="E5519" t="s">
        <v>1072</v>
      </c>
      <c r="F5519">
        <v>7061.9</v>
      </c>
      <c r="G5519">
        <v>230208</v>
      </c>
      <c r="H5519">
        <v>4572</v>
      </c>
      <c r="I5519" t="s">
        <v>122</v>
      </c>
      <c r="J5519">
        <v>8756.76</v>
      </c>
      <c r="K5519">
        <v>1694.86</v>
      </c>
      <c r="L5519">
        <v>49501</v>
      </c>
      <c r="M5519" t="s">
        <v>177</v>
      </c>
      <c r="N5519" t="str">
        <f>"7230396998  "</f>
        <v xml:space="preserve">7230396998  </v>
      </c>
      <c r="O5519">
        <v>230220</v>
      </c>
    </row>
    <row r="5520" spans="1:15" x14ac:dyDescent="0.25">
      <c r="A5520" t="s">
        <v>16</v>
      </c>
      <c r="B5520" t="s">
        <v>3221</v>
      </c>
      <c r="C5520">
        <v>2065</v>
      </c>
      <c r="D5520" t="s">
        <v>1071</v>
      </c>
      <c r="E5520" t="s">
        <v>1072</v>
      </c>
      <c r="F5520">
        <v>502.36</v>
      </c>
      <c r="G5520">
        <v>230208</v>
      </c>
      <c r="H5520">
        <v>4572</v>
      </c>
      <c r="I5520" t="s">
        <v>122</v>
      </c>
      <c r="J5520">
        <v>622.92999999999995</v>
      </c>
      <c r="K5520">
        <v>120.57</v>
      </c>
      <c r="L5520">
        <v>49801</v>
      </c>
      <c r="M5520" t="s">
        <v>1227</v>
      </c>
      <c r="N5520" t="str">
        <f>"7230396998  "</f>
        <v xml:space="preserve">7230396998  </v>
      </c>
      <c r="O5520">
        <v>230220</v>
      </c>
    </row>
    <row r="5521" spans="1:15" x14ac:dyDescent="0.25">
      <c r="A5521" t="s">
        <v>16</v>
      </c>
      <c r="B5521" t="s">
        <v>3221</v>
      </c>
      <c r="C5521">
        <v>2065</v>
      </c>
      <c r="D5521" t="s">
        <v>1071</v>
      </c>
      <c r="E5521" t="s">
        <v>1072</v>
      </c>
      <c r="F5521">
        <v>286.35000000000002</v>
      </c>
      <c r="G5521">
        <v>230208</v>
      </c>
      <c r="H5521">
        <v>4572</v>
      </c>
      <c r="I5521" t="s">
        <v>122</v>
      </c>
      <c r="J5521">
        <v>355.07</v>
      </c>
      <c r="K5521">
        <v>68.72</v>
      </c>
      <c r="L5521">
        <v>49803</v>
      </c>
      <c r="M5521" t="s">
        <v>1229</v>
      </c>
      <c r="N5521" t="str">
        <f>"7230396998  "</f>
        <v xml:space="preserve">7230396998  </v>
      </c>
      <c r="O5521">
        <v>230220</v>
      </c>
    </row>
    <row r="5522" spans="1:15" x14ac:dyDescent="0.25">
      <c r="A5522" t="s">
        <v>16</v>
      </c>
      <c r="B5522" t="s">
        <v>3221</v>
      </c>
      <c r="C5522">
        <v>2320</v>
      </c>
      <c r="D5522" t="s">
        <v>1071</v>
      </c>
      <c r="E5522" t="s">
        <v>1072</v>
      </c>
      <c r="F5522">
        <v>1.06</v>
      </c>
      <c r="G5522">
        <v>230208</v>
      </c>
      <c r="H5522">
        <v>4572</v>
      </c>
      <c r="I5522" t="s">
        <v>122</v>
      </c>
      <c r="J5522">
        <v>1.17</v>
      </c>
      <c r="K5522">
        <v>0.11</v>
      </c>
      <c r="L5522">
        <v>14952</v>
      </c>
      <c r="M5522" t="s">
        <v>99</v>
      </c>
      <c r="N5522" t="str">
        <f>"7230404990  "</f>
        <v xml:space="preserve">7230404990  </v>
      </c>
      <c r="O5522">
        <v>230224</v>
      </c>
    </row>
    <row r="5523" spans="1:15" x14ac:dyDescent="0.25">
      <c r="A5523" t="s">
        <v>16</v>
      </c>
      <c r="B5523" t="s">
        <v>3221</v>
      </c>
      <c r="C5523">
        <v>2320</v>
      </c>
      <c r="D5523" t="s">
        <v>1071</v>
      </c>
      <c r="E5523" t="s">
        <v>1072</v>
      </c>
      <c r="F5523">
        <v>2.4700000000000002</v>
      </c>
      <c r="G5523">
        <v>230208</v>
      </c>
      <c r="H5523">
        <v>4572</v>
      </c>
      <c r="I5523" t="s">
        <v>122</v>
      </c>
      <c r="J5523">
        <v>2.72</v>
      </c>
      <c r="K5523">
        <v>0.25</v>
      </c>
      <c r="L5523">
        <v>14981</v>
      </c>
      <c r="M5523" t="s">
        <v>1211</v>
      </c>
      <c r="N5523" t="str">
        <f>"7230404990  "</f>
        <v xml:space="preserve">7230404990  </v>
      </c>
      <c r="O5523">
        <v>230224</v>
      </c>
    </row>
    <row r="5524" spans="1:15" x14ac:dyDescent="0.25">
      <c r="A5524" t="s">
        <v>16</v>
      </c>
      <c r="B5524" t="s">
        <v>3221</v>
      </c>
      <c r="C5524">
        <v>2321</v>
      </c>
      <c r="D5524" t="s">
        <v>1071</v>
      </c>
      <c r="E5524" t="s">
        <v>1072</v>
      </c>
      <c r="F5524">
        <v>14.94</v>
      </c>
      <c r="G5524">
        <v>230208</v>
      </c>
      <c r="H5524">
        <v>4572</v>
      </c>
      <c r="I5524" t="s">
        <v>122</v>
      </c>
      <c r="J5524">
        <v>16.43</v>
      </c>
      <c r="K5524">
        <v>1.49</v>
      </c>
      <c r="L5524">
        <v>14952</v>
      </c>
      <c r="M5524" t="s">
        <v>99</v>
      </c>
      <c r="N5524" t="str">
        <f>"7230404987  "</f>
        <v xml:space="preserve">7230404987  </v>
      </c>
      <c r="O5524">
        <v>230224</v>
      </c>
    </row>
    <row r="5525" spans="1:15" x14ac:dyDescent="0.25">
      <c r="A5525" t="s">
        <v>16</v>
      </c>
      <c r="B5525" t="s">
        <v>3221</v>
      </c>
      <c r="C5525">
        <v>2321</v>
      </c>
      <c r="D5525" t="s">
        <v>1071</v>
      </c>
      <c r="E5525" t="s">
        <v>1072</v>
      </c>
      <c r="F5525">
        <v>34.85</v>
      </c>
      <c r="G5525">
        <v>230208</v>
      </c>
      <c r="H5525">
        <v>4572</v>
      </c>
      <c r="I5525" t="s">
        <v>122</v>
      </c>
      <c r="J5525">
        <v>38.33</v>
      </c>
      <c r="K5525">
        <v>3.48</v>
      </c>
      <c r="L5525">
        <v>14981</v>
      </c>
      <c r="M5525" t="s">
        <v>1211</v>
      </c>
      <c r="N5525" t="str">
        <f>"7230404987  "</f>
        <v xml:space="preserve">7230404987  </v>
      </c>
      <c r="O5525">
        <v>230224</v>
      </c>
    </row>
    <row r="5526" spans="1:15" x14ac:dyDescent="0.25">
      <c r="A5526" t="s">
        <v>16</v>
      </c>
      <c r="B5526" t="s">
        <v>3221</v>
      </c>
      <c r="C5526">
        <v>2322</v>
      </c>
      <c r="D5526" t="s">
        <v>1071</v>
      </c>
      <c r="E5526" t="s">
        <v>1072</v>
      </c>
      <c r="F5526">
        <v>9.41</v>
      </c>
      <c r="G5526">
        <v>230208</v>
      </c>
      <c r="H5526">
        <v>4572</v>
      </c>
      <c r="I5526" t="s">
        <v>122</v>
      </c>
      <c r="J5526">
        <v>10.35</v>
      </c>
      <c r="K5526">
        <v>0.94</v>
      </c>
      <c r="L5526">
        <v>11401</v>
      </c>
      <c r="M5526" t="s">
        <v>84</v>
      </c>
      <c r="N5526" t="str">
        <f>"7230397065  "</f>
        <v xml:space="preserve">7230397065  </v>
      </c>
      <c r="O5526">
        <v>230224</v>
      </c>
    </row>
    <row r="5527" spans="1:15" x14ac:dyDescent="0.25">
      <c r="A5527" t="s">
        <v>16</v>
      </c>
      <c r="B5527" t="s">
        <v>3221</v>
      </c>
      <c r="C5527">
        <v>2322</v>
      </c>
      <c r="D5527" t="s">
        <v>1071</v>
      </c>
      <c r="E5527" t="s">
        <v>1072</v>
      </c>
      <c r="F5527">
        <v>18.82</v>
      </c>
      <c r="G5527">
        <v>230208</v>
      </c>
      <c r="H5527">
        <v>4572</v>
      </c>
      <c r="I5527" t="s">
        <v>122</v>
      </c>
      <c r="J5527">
        <v>20.7</v>
      </c>
      <c r="K5527">
        <v>1.88</v>
      </c>
      <c r="L5527">
        <v>14952</v>
      </c>
      <c r="M5527" t="s">
        <v>99</v>
      </c>
      <c r="N5527" t="str">
        <f>"7230397065  "</f>
        <v xml:space="preserve">7230397065  </v>
      </c>
      <c r="O5527">
        <v>230224</v>
      </c>
    </row>
    <row r="5528" spans="1:15" x14ac:dyDescent="0.25">
      <c r="A5528" t="s">
        <v>16</v>
      </c>
      <c r="B5528" t="s">
        <v>3221</v>
      </c>
      <c r="C5528">
        <v>2323</v>
      </c>
      <c r="D5528" t="s">
        <v>1071</v>
      </c>
      <c r="E5528" t="s">
        <v>1072</v>
      </c>
      <c r="F5528">
        <v>92.11</v>
      </c>
      <c r="G5528">
        <v>230208</v>
      </c>
      <c r="H5528">
        <v>4572</v>
      </c>
      <c r="I5528" t="s">
        <v>122</v>
      </c>
      <c r="J5528">
        <v>101.32</v>
      </c>
      <c r="K5528">
        <v>9.2100000000000009</v>
      </c>
      <c r="L5528">
        <v>11401</v>
      </c>
      <c r="M5528" t="s">
        <v>84</v>
      </c>
      <c r="N5528" t="str">
        <f>"7230397078  "</f>
        <v xml:space="preserve">7230397078  </v>
      </c>
      <c r="O5528">
        <v>230224</v>
      </c>
    </row>
    <row r="5529" spans="1:15" x14ac:dyDescent="0.25">
      <c r="A5529" t="s">
        <v>16</v>
      </c>
      <c r="B5529" t="s">
        <v>3221</v>
      </c>
      <c r="C5529">
        <v>2323</v>
      </c>
      <c r="D5529" t="s">
        <v>1071</v>
      </c>
      <c r="E5529" t="s">
        <v>1072</v>
      </c>
      <c r="F5529">
        <v>184.22</v>
      </c>
      <c r="G5529">
        <v>230208</v>
      </c>
      <c r="H5529">
        <v>4572</v>
      </c>
      <c r="I5529" t="s">
        <v>122</v>
      </c>
      <c r="J5529">
        <v>202.64</v>
      </c>
      <c r="K5529">
        <v>18.420000000000002</v>
      </c>
      <c r="L5529">
        <v>14952</v>
      </c>
      <c r="M5529" t="s">
        <v>99</v>
      </c>
      <c r="N5529" t="str">
        <f>"7230397078  "</f>
        <v xml:space="preserve">7230397078  </v>
      </c>
      <c r="O5529">
        <v>230224</v>
      </c>
    </row>
    <row r="5530" spans="1:15" x14ac:dyDescent="0.25">
      <c r="A5530" t="s">
        <v>16</v>
      </c>
      <c r="B5530" t="s">
        <v>3221</v>
      </c>
      <c r="C5530">
        <v>2324</v>
      </c>
      <c r="D5530" t="s">
        <v>1071</v>
      </c>
      <c r="E5530" t="s">
        <v>1072</v>
      </c>
      <c r="F5530">
        <v>137.88999999999999</v>
      </c>
      <c r="G5530">
        <v>230208</v>
      </c>
      <c r="H5530">
        <v>4572</v>
      </c>
      <c r="I5530" t="s">
        <v>122</v>
      </c>
      <c r="J5530">
        <v>151.68</v>
      </c>
      <c r="K5530">
        <v>13.79</v>
      </c>
      <c r="L5530">
        <v>14952</v>
      </c>
      <c r="M5530" t="s">
        <v>99</v>
      </c>
      <c r="N5530" t="str">
        <f>"7230404974  "</f>
        <v xml:space="preserve">7230404974  </v>
      </c>
      <c r="O5530">
        <v>230224</v>
      </c>
    </row>
    <row r="5531" spans="1:15" x14ac:dyDescent="0.25">
      <c r="A5531" t="s">
        <v>16</v>
      </c>
      <c r="B5531" t="s">
        <v>3221</v>
      </c>
      <c r="C5531">
        <v>2324</v>
      </c>
      <c r="D5531" t="s">
        <v>1071</v>
      </c>
      <c r="E5531" t="s">
        <v>1072</v>
      </c>
      <c r="F5531">
        <v>321.75</v>
      </c>
      <c r="G5531">
        <v>230208</v>
      </c>
      <c r="H5531">
        <v>4572</v>
      </c>
      <c r="I5531" t="s">
        <v>122</v>
      </c>
      <c r="J5531">
        <v>353.92</v>
      </c>
      <c r="K5531">
        <v>32.17</v>
      </c>
      <c r="L5531">
        <v>14981</v>
      </c>
      <c r="M5531" t="s">
        <v>1211</v>
      </c>
      <c r="N5531" t="str">
        <f>"7230404974  "</f>
        <v xml:space="preserve">7230404974  </v>
      </c>
      <c r="O5531">
        <v>230224</v>
      </c>
    </row>
    <row r="5532" spans="1:15" x14ac:dyDescent="0.25">
      <c r="A5532" t="s">
        <v>16</v>
      </c>
      <c r="B5532" t="s">
        <v>3221</v>
      </c>
      <c r="C5532">
        <v>2325</v>
      </c>
      <c r="D5532" t="s">
        <v>1071</v>
      </c>
      <c r="E5532" t="s">
        <v>1072</v>
      </c>
      <c r="F5532">
        <v>1281.0899999999999</v>
      </c>
      <c r="G5532">
        <v>230210</v>
      </c>
      <c r="H5532">
        <v>4572</v>
      </c>
      <c r="I5532" t="s">
        <v>122</v>
      </c>
      <c r="J5532">
        <v>1409.2</v>
      </c>
      <c r="K5532">
        <v>128.11000000000001</v>
      </c>
      <c r="L5532">
        <v>14951</v>
      </c>
      <c r="M5532" t="s">
        <v>57</v>
      </c>
      <c r="N5532" t="str">
        <f>"7230411718  "</f>
        <v xml:space="preserve">7230411718  </v>
      </c>
      <c r="O5532">
        <v>230224</v>
      </c>
    </row>
    <row r="5533" spans="1:15" x14ac:dyDescent="0.25">
      <c r="A5533" t="s">
        <v>16</v>
      </c>
      <c r="B5533" t="s">
        <v>3221</v>
      </c>
      <c r="C5533">
        <v>3181</v>
      </c>
      <c r="D5533" t="s">
        <v>1071</v>
      </c>
      <c r="E5533" t="s">
        <v>1072</v>
      </c>
      <c r="F5533">
        <v>319.36</v>
      </c>
      <c r="G5533">
        <v>230309</v>
      </c>
      <c r="H5533">
        <v>4572</v>
      </c>
      <c r="I5533" t="s">
        <v>122</v>
      </c>
      <c r="J5533">
        <v>351.3</v>
      </c>
      <c r="K5533">
        <v>31.94</v>
      </c>
      <c r="L5533">
        <v>17950</v>
      </c>
      <c r="M5533" t="s">
        <v>86</v>
      </c>
      <c r="N5533" t="str">
        <f>"7230665409  "</f>
        <v xml:space="preserve">7230665409  </v>
      </c>
      <c r="O5533">
        <v>230310</v>
      </c>
    </row>
    <row r="5534" spans="1:15" x14ac:dyDescent="0.25">
      <c r="A5534" t="s">
        <v>16</v>
      </c>
      <c r="B5534" t="s">
        <v>3221</v>
      </c>
      <c r="C5534">
        <v>3183</v>
      </c>
      <c r="D5534" t="s">
        <v>1071</v>
      </c>
      <c r="E5534" t="s">
        <v>1072</v>
      </c>
      <c r="F5534">
        <v>2512.8000000000002</v>
      </c>
      <c r="G5534">
        <v>230309</v>
      </c>
      <c r="H5534">
        <v>4572</v>
      </c>
      <c r="I5534" t="s">
        <v>122</v>
      </c>
      <c r="J5534">
        <v>2764.08</v>
      </c>
      <c r="K5534">
        <v>251.28</v>
      </c>
      <c r="L5534">
        <v>17951</v>
      </c>
      <c r="M5534" t="s">
        <v>87</v>
      </c>
      <c r="N5534" t="str">
        <f>"7230665166  "</f>
        <v xml:space="preserve">7230665166  </v>
      </c>
      <c r="O5534">
        <v>230310</v>
      </c>
    </row>
    <row r="5535" spans="1:15" x14ac:dyDescent="0.25">
      <c r="A5535" t="s">
        <v>16</v>
      </c>
      <c r="B5535" t="s">
        <v>3221</v>
      </c>
      <c r="C5535">
        <v>3184</v>
      </c>
      <c r="D5535" t="s">
        <v>1071</v>
      </c>
      <c r="E5535" t="s">
        <v>1072</v>
      </c>
      <c r="F5535">
        <v>129.03</v>
      </c>
      <c r="G5535">
        <v>230309</v>
      </c>
      <c r="H5535">
        <v>4572</v>
      </c>
      <c r="I5535" t="s">
        <v>122</v>
      </c>
      <c r="J5535">
        <v>141.93</v>
      </c>
      <c r="K5535">
        <v>12.9</v>
      </c>
      <c r="L5535">
        <v>17956</v>
      </c>
      <c r="M5535" t="s">
        <v>53</v>
      </c>
      <c r="N5535" t="str">
        <f>"7230665182  "</f>
        <v xml:space="preserve">7230665182  </v>
      </c>
      <c r="O5535">
        <v>230310</v>
      </c>
    </row>
    <row r="5536" spans="1:15" x14ac:dyDescent="0.25">
      <c r="A5536" t="s">
        <v>16</v>
      </c>
      <c r="B5536" t="s">
        <v>3221</v>
      </c>
      <c r="C5536">
        <v>3185</v>
      </c>
      <c r="D5536" t="s">
        <v>1071</v>
      </c>
      <c r="E5536" t="s">
        <v>1072</v>
      </c>
      <c r="F5536">
        <v>12.35</v>
      </c>
      <c r="G5536">
        <v>230309</v>
      </c>
      <c r="H5536">
        <v>4572</v>
      </c>
      <c r="I5536" t="s">
        <v>122</v>
      </c>
      <c r="J5536">
        <v>13.59</v>
      </c>
      <c r="K5536">
        <v>1.24</v>
      </c>
      <c r="L5536">
        <v>17956</v>
      </c>
      <c r="M5536" t="s">
        <v>53</v>
      </c>
      <c r="N5536" t="str">
        <f>"7230665263  "</f>
        <v xml:space="preserve">7230665263  </v>
      </c>
      <c r="O5536">
        <v>230310</v>
      </c>
    </row>
    <row r="5537" spans="1:15" x14ac:dyDescent="0.25">
      <c r="A5537" t="s">
        <v>16</v>
      </c>
      <c r="B5537" t="s">
        <v>3221</v>
      </c>
      <c r="C5537">
        <v>3186</v>
      </c>
      <c r="D5537" t="s">
        <v>1071</v>
      </c>
      <c r="E5537" t="s">
        <v>1072</v>
      </c>
      <c r="F5537">
        <v>24.9</v>
      </c>
      <c r="G5537">
        <v>230309</v>
      </c>
      <c r="H5537">
        <v>4572</v>
      </c>
      <c r="I5537" t="s">
        <v>122</v>
      </c>
      <c r="J5537">
        <v>27.39</v>
      </c>
      <c r="K5537">
        <v>2.4900000000000002</v>
      </c>
      <c r="L5537">
        <v>17956</v>
      </c>
      <c r="M5537" t="s">
        <v>53</v>
      </c>
      <c r="N5537" t="str">
        <f>"7230665276  "</f>
        <v xml:space="preserve">7230665276  </v>
      </c>
      <c r="O5537">
        <v>230310</v>
      </c>
    </row>
    <row r="5538" spans="1:15" x14ac:dyDescent="0.25">
      <c r="A5538" t="s">
        <v>16</v>
      </c>
      <c r="B5538" t="s">
        <v>3221</v>
      </c>
      <c r="C5538">
        <v>3187</v>
      </c>
      <c r="D5538" t="s">
        <v>1071</v>
      </c>
      <c r="E5538" t="s">
        <v>1072</v>
      </c>
      <c r="F5538">
        <v>95.78</v>
      </c>
      <c r="G5538">
        <v>230309</v>
      </c>
      <c r="H5538">
        <v>4572</v>
      </c>
      <c r="I5538" t="s">
        <v>122</v>
      </c>
      <c r="J5538">
        <v>105.36</v>
      </c>
      <c r="K5538">
        <v>9.58</v>
      </c>
      <c r="L5538">
        <v>17956</v>
      </c>
      <c r="M5538" t="s">
        <v>53</v>
      </c>
      <c r="N5538" t="str">
        <f>"7230665195  "</f>
        <v xml:space="preserve">7230665195  </v>
      </c>
      <c r="O5538">
        <v>230310</v>
      </c>
    </row>
    <row r="5539" spans="1:15" x14ac:dyDescent="0.25">
      <c r="A5539" t="s">
        <v>16</v>
      </c>
      <c r="B5539" t="s">
        <v>3221</v>
      </c>
      <c r="C5539">
        <v>3188</v>
      </c>
      <c r="D5539" t="s">
        <v>1071</v>
      </c>
      <c r="E5539" t="s">
        <v>1072</v>
      </c>
      <c r="F5539">
        <v>1193.6400000000001</v>
      </c>
      <c r="G5539">
        <v>230309</v>
      </c>
      <c r="H5539">
        <v>4572</v>
      </c>
      <c r="I5539" t="s">
        <v>122</v>
      </c>
      <c r="J5539">
        <v>1313</v>
      </c>
      <c r="K5539">
        <v>119.36</v>
      </c>
      <c r="L5539">
        <v>17956</v>
      </c>
      <c r="M5539" t="s">
        <v>53</v>
      </c>
      <c r="N5539" t="str">
        <f>"7230665328  "</f>
        <v xml:space="preserve">7230665328  </v>
      </c>
      <c r="O5539">
        <v>230310</v>
      </c>
    </row>
    <row r="5540" spans="1:15" x14ac:dyDescent="0.25">
      <c r="A5540" t="s">
        <v>16</v>
      </c>
      <c r="B5540" t="s">
        <v>3221</v>
      </c>
      <c r="C5540">
        <v>3191</v>
      </c>
      <c r="D5540" t="s">
        <v>1071</v>
      </c>
      <c r="E5540" t="s">
        <v>1072</v>
      </c>
      <c r="F5540">
        <v>1544.03</v>
      </c>
      <c r="G5540">
        <v>230309</v>
      </c>
      <c r="H5540">
        <v>4572</v>
      </c>
      <c r="I5540" t="s">
        <v>122</v>
      </c>
      <c r="J5540">
        <v>1698.43</v>
      </c>
      <c r="K5540">
        <v>154.4</v>
      </c>
      <c r="L5540">
        <v>17952</v>
      </c>
      <c r="M5540" t="s">
        <v>88</v>
      </c>
      <c r="N5540" t="str">
        <f>"7230665250  "</f>
        <v xml:space="preserve">7230665250  </v>
      </c>
      <c r="O5540">
        <v>230310</v>
      </c>
    </row>
    <row r="5541" spans="1:15" x14ac:dyDescent="0.25">
      <c r="A5541" t="s">
        <v>16</v>
      </c>
      <c r="B5541" t="s">
        <v>3221</v>
      </c>
      <c r="C5541">
        <v>3192</v>
      </c>
      <c r="D5541" t="s">
        <v>1071</v>
      </c>
      <c r="E5541" t="s">
        <v>1072</v>
      </c>
      <c r="F5541">
        <v>11.31</v>
      </c>
      <c r="G5541">
        <v>230309</v>
      </c>
      <c r="H5541">
        <v>4572</v>
      </c>
      <c r="I5541" t="s">
        <v>122</v>
      </c>
      <c r="J5541">
        <v>12.44</v>
      </c>
      <c r="K5541">
        <v>1.1299999999999999</v>
      </c>
      <c r="L5541">
        <v>17981</v>
      </c>
      <c r="M5541" t="s">
        <v>218</v>
      </c>
      <c r="N5541" t="str">
        <f>"7230665153  "</f>
        <v xml:space="preserve">7230665153  </v>
      </c>
      <c r="O5541">
        <v>230310</v>
      </c>
    </row>
    <row r="5542" spans="1:15" x14ac:dyDescent="0.25">
      <c r="A5542" t="s">
        <v>16</v>
      </c>
      <c r="B5542" t="s">
        <v>3221</v>
      </c>
      <c r="C5542">
        <v>3204</v>
      </c>
      <c r="D5542" t="s">
        <v>1071</v>
      </c>
      <c r="E5542" t="s">
        <v>1072</v>
      </c>
      <c r="F5542">
        <v>445.51</v>
      </c>
      <c r="G5542">
        <v>230309</v>
      </c>
      <c r="H5542">
        <v>4572</v>
      </c>
      <c r="I5542" t="s">
        <v>122</v>
      </c>
      <c r="J5542">
        <v>490.06</v>
      </c>
      <c r="K5542">
        <v>44.55</v>
      </c>
      <c r="L5542">
        <v>14952</v>
      </c>
      <c r="M5542" t="s">
        <v>99</v>
      </c>
      <c r="N5542" t="str">
        <f>"7230674076  "</f>
        <v xml:space="preserve">7230674076  </v>
      </c>
      <c r="O5542">
        <v>230310</v>
      </c>
    </row>
    <row r="5543" spans="1:15" x14ac:dyDescent="0.25">
      <c r="A5543" t="s">
        <v>16</v>
      </c>
      <c r="B5543" t="s">
        <v>3221</v>
      </c>
      <c r="C5543">
        <v>3205</v>
      </c>
      <c r="D5543" t="s">
        <v>1071</v>
      </c>
      <c r="E5543" t="s">
        <v>1072</v>
      </c>
      <c r="F5543">
        <v>46.06</v>
      </c>
      <c r="G5543">
        <v>230309</v>
      </c>
      <c r="H5543">
        <v>4572</v>
      </c>
      <c r="I5543" t="s">
        <v>122</v>
      </c>
      <c r="J5543">
        <v>50.67</v>
      </c>
      <c r="K5543">
        <v>4.6100000000000003</v>
      </c>
      <c r="L5543">
        <v>14952</v>
      </c>
      <c r="M5543" t="s">
        <v>99</v>
      </c>
      <c r="N5543" t="str">
        <f>"7230674089  "</f>
        <v xml:space="preserve">7230674089  </v>
      </c>
      <c r="O5543">
        <v>230310</v>
      </c>
    </row>
    <row r="5544" spans="1:15" x14ac:dyDescent="0.25">
      <c r="A5544" t="s">
        <v>16</v>
      </c>
      <c r="B5544" t="s">
        <v>3221</v>
      </c>
      <c r="C5544">
        <v>3206</v>
      </c>
      <c r="D5544" t="s">
        <v>1071</v>
      </c>
      <c r="E5544" t="s">
        <v>1072</v>
      </c>
      <c r="F5544">
        <v>1363.58</v>
      </c>
      <c r="G5544">
        <v>230309</v>
      </c>
      <c r="H5544">
        <v>4572</v>
      </c>
      <c r="I5544" t="s">
        <v>122</v>
      </c>
      <c r="J5544">
        <v>1499.94</v>
      </c>
      <c r="K5544">
        <v>136.36000000000001</v>
      </c>
      <c r="L5544">
        <v>14951</v>
      </c>
      <c r="M5544" t="s">
        <v>57</v>
      </c>
      <c r="N5544" t="str">
        <f>"7230665247  "</f>
        <v xml:space="preserve">7230665247  </v>
      </c>
      <c r="O5544">
        <v>230310</v>
      </c>
    </row>
    <row r="5545" spans="1:15" x14ac:dyDescent="0.25">
      <c r="A5545" t="s">
        <v>16</v>
      </c>
      <c r="B5545" t="s">
        <v>3221</v>
      </c>
      <c r="C5545">
        <v>3240</v>
      </c>
      <c r="D5545" t="s">
        <v>1071</v>
      </c>
      <c r="E5545" t="s">
        <v>1072</v>
      </c>
      <c r="F5545">
        <v>12.37</v>
      </c>
      <c r="G5545">
        <v>230309</v>
      </c>
      <c r="H5545">
        <v>4572</v>
      </c>
      <c r="I5545" t="s">
        <v>122</v>
      </c>
      <c r="J5545">
        <v>12.37</v>
      </c>
      <c r="K5545">
        <v>0</v>
      </c>
      <c r="L5545">
        <v>11001</v>
      </c>
      <c r="M5545" t="s">
        <v>326</v>
      </c>
      <c r="N5545" t="str">
        <f>"7230672722  "</f>
        <v xml:space="preserve">7230672722  </v>
      </c>
      <c r="O5545">
        <v>230310</v>
      </c>
    </row>
    <row r="5546" spans="1:15" x14ac:dyDescent="0.25">
      <c r="A5546" t="s">
        <v>16</v>
      </c>
      <c r="B5546" t="s">
        <v>3221</v>
      </c>
      <c r="C5546">
        <v>3246</v>
      </c>
      <c r="D5546" t="s">
        <v>1071</v>
      </c>
      <c r="E5546" t="s">
        <v>1072</v>
      </c>
      <c r="F5546">
        <v>22.18</v>
      </c>
      <c r="G5546">
        <v>230309</v>
      </c>
      <c r="H5546">
        <v>4572</v>
      </c>
      <c r="I5546" t="s">
        <v>122</v>
      </c>
      <c r="J5546">
        <v>24.4</v>
      </c>
      <c r="K5546">
        <v>2.2200000000000002</v>
      </c>
      <c r="L5546">
        <v>56571</v>
      </c>
      <c r="M5546" t="s">
        <v>204</v>
      </c>
      <c r="N5546" t="str">
        <f>"7230665386  "</f>
        <v xml:space="preserve">7230665386  </v>
      </c>
      <c r="O5546">
        <v>230310</v>
      </c>
    </row>
    <row r="5547" spans="1:15" x14ac:dyDescent="0.25">
      <c r="A5547" t="s">
        <v>16</v>
      </c>
      <c r="B5547" t="s">
        <v>3221</v>
      </c>
      <c r="C5547">
        <v>3247</v>
      </c>
      <c r="D5547" t="s">
        <v>1071</v>
      </c>
      <c r="E5547" t="s">
        <v>1072</v>
      </c>
      <c r="F5547">
        <v>25.99</v>
      </c>
      <c r="G5547">
        <v>230309</v>
      </c>
      <c r="H5547">
        <v>4572</v>
      </c>
      <c r="I5547" t="s">
        <v>122</v>
      </c>
      <c r="J5547">
        <v>28.59</v>
      </c>
      <c r="K5547">
        <v>2.6</v>
      </c>
      <c r="L5547">
        <v>56571</v>
      </c>
      <c r="M5547" t="s">
        <v>204</v>
      </c>
      <c r="N5547" t="str">
        <f>"7230665399  "</f>
        <v xml:space="preserve">7230665399  </v>
      </c>
      <c r="O5547">
        <v>230310</v>
      </c>
    </row>
    <row r="5548" spans="1:15" x14ac:dyDescent="0.25">
      <c r="A5548" t="s">
        <v>16</v>
      </c>
      <c r="B5548" t="s">
        <v>3221</v>
      </c>
      <c r="C5548">
        <v>3258</v>
      </c>
      <c r="D5548" t="s">
        <v>1071</v>
      </c>
      <c r="E5548" t="s">
        <v>1072</v>
      </c>
      <c r="F5548">
        <v>192.49</v>
      </c>
      <c r="G5548">
        <v>230309</v>
      </c>
      <c r="H5548">
        <v>4572</v>
      </c>
      <c r="I5548" t="s">
        <v>122</v>
      </c>
      <c r="J5548">
        <v>211.74</v>
      </c>
      <c r="K5548">
        <v>19.25</v>
      </c>
      <c r="L5548">
        <v>17711</v>
      </c>
      <c r="M5548" t="s">
        <v>65</v>
      </c>
      <c r="N5548" t="str">
        <f>"7230665360  "</f>
        <v xml:space="preserve">7230665360  </v>
      </c>
      <c r="O5548">
        <v>230313</v>
      </c>
    </row>
    <row r="5549" spans="1:15" x14ac:dyDescent="0.25">
      <c r="A5549" t="s">
        <v>16</v>
      </c>
      <c r="B5549" t="s">
        <v>3221</v>
      </c>
      <c r="C5549">
        <v>3258</v>
      </c>
      <c r="D5549" t="s">
        <v>1071</v>
      </c>
      <c r="E5549" t="s">
        <v>1072</v>
      </c>
      <c r="F5549">
        <v>14.47</v>
      </c>
      <c r="G5549">
        <v>230309</v>
      </c>
      <c r="H5549">
        <v>4572</v>
      </c>
      <c r="I5549" t="s">
        <v>122</v>
      </c>
      <c r="J5549">
        <v>15.92</v>
      </c>
      <c r="K5549">
        <v>1.45</v>
      </c>
      <c r="L5549">
        <v>17737</v>
      </c>
      <c r="M5549" t="s">
        <v>279</v>
      </c>
      <c r="N5549" t="str">
        <f>"7230665360  "</f>
        <v xml:space="preserve">7230665360  </v>
      </c>
      <c r="O5549">
        <v>230313</v>
      </c>
    </row>
    <row r="5550" spans="1:15" x14ac:dyDescent="0.25">
      <c r="A5550" t="s">
        <v>16</v>
      </c>
      <c r="B5550" t="s">
        <v>3221</v>
      </c>
      <c r="C5550">
        <v>3258</v>
      </c>
      <c r="D5550" t="s">
        <v>1071</v>
      </c>
      <c r="E5550" t="s">
        <v>1072</v>
      </c>
      <c r="F5550">
        <v>82.5</v>
      </c>
      <c r="G5550">
        <v>230309</v>
      </c>
      <c r="H5550">
        <v>4572</v>
      </c>
      <c r="I5550" t="s">
        <v>122</v>
      </c>
      <c r="J5550">
        <v>90.75</v>
      </c>
      <c r="K5550">
        <v>8.25</v>
      </c>
      <c r="L5550">
        <v>17739</v>
      </c>
      <c r="M5550" t="s">
        <v>374</v>
      </c>
      <c r="N5550" t="str">
        <f>"7230665360  "</f>
        <v xml:space="preserve">7230665360  </v>
      </c>
      <c r="O5550">
        <v>230313</v>
      </c>
    </row>
    <row r="5551" spans="1:15" x14ac:dyDescent="0.25">
      <c r="A5551" t="s">
        <v>16</v>
      </c>
      <c r="B5551" t="s">
        <v>3221</v>
      </c>
      <c r="C5551">
        <v>3270</v>
      </c>
      <c r="D5551" t="s">
        <v>1071</v>
      </c>
      <c r="E5551" t="s">
        <v>1072</v>
      </c>
      <c r="F5551">
        <v>318.67</v>
      </c>
      <c r="G5551">
        <v>230309</v>
      </c>
      <c r="H5551">
        <v>4572</v>
      </c>
      <c r="I5551" t="s">
        <v>122</v>
      </c>
      <c r="J5551">
        <v>350.54</v>
      </c>
      <c r="K5551">
        <v>31.87</v>
      </c>
      <c r="L5551">
        <v>59112</v>
      </c>
      <c r="M5551" t="s">
        <v>182</v>
      </c>
      <c r="N5551" t="str">
        <f>"7230665344  "</f>
        <v xml:space="preserve">7230665344  </v>
      </c>
      <c r="O5551">
        <v>230313</v>
      </c>
    </row>
    <row r="5552" spans="1:15" x14ac:dyDescent="0.25">
      <c r="A5552" t="s">
        <v>16</v>
      </c>
      <c r="B5552" t="s">
        <v>3221</v>
      </c>
      <c r="C5552">
        <v>3270</v>
      </c>
      <c r="D5552" t="s">
        <v>1071</v>
      </c>
      <c r="E5552" t="s">
        <v>1072</v>
      </c>
      <c r="F5552">
        <v>861.59</v>
      </c>
      <c r="G5552">
        <v>230309</v>
      </c>
      <c r="H5552">
        <v>4572</v>
      </c>
      <c r="I5552" t="s">
        <v>122</v>
      </c>
      <c r="J5552">
        <v>947.75</v>
      </c>
      <c r="K5552">
        <v>86.16</v>
      </c>
      <c r="L5552">
        <v>59504</v>
      </c>
      <c r="M5552" t="s">
        <v>71</v>
      </c>
      <c r="N5552" t="str">
        <f>"7230665344  "</f>
        <v xml:space="preserve">7230665344  </v>
      </c>
      <c r="O5552">
        <v>230313</v>
      </c>
    </row>
    <row r="5553" spans="1:15" x14ac:dyDescent="0.25">
      <c r="A5553" t="s">
        <v>16</v>
      </c>
      <c r="B5553" t="s">
        <v>3221</v>
      </c>
      <c r="C5553">
        <v>3271</v>
      </c>
      <c r="D5553" t="s">
        <v>1071</v>
      </c>
      <c r="E5553" t="s">
        <v>1072</v>
      </c>
      <c r="F5553">
        <v>9.31</v>
      </c>
      <c r="G5553">
        <v>230309</v>
      </c>
      <c r="H5553">
        <v>4572</v>
      </c>
      <c r="I5553" t="s">
        <v>122</v>
      </c>
      <c r="J5553">
        <v>10.24</v>
      </c>
      <c r="K5553">
        <v>0.93</v>
      </c>
      <c r="L5553">
        <v>59112</v>
      </c>
      <c r="M5553" t="s">
        <v>182</v>
      </c>
      <c r="N5553" t="str">
        <f>"7230665331  "</f>
        <v xml:space="preserve">7230665331  </v>
      </c>
      <c r="O5553">
        <v>230313</v>
      </c>
    </row>
    <row r="5554" spans="1:15" x14ac:dyDescent="0.25">
      <c r="A5554" t="s">
        <v>16</v>
      </c>
      <c r="B5554" t="s">
        <v>3221</v>
      </c>
      <c r="C5554">
        <v>3271</v>
      </c>
      <c r="D5554" t="s">
        <v>1071</v>
      </c>
      <c r="E5554" t="s">
        <v>1072</v>
      </c>
      <c r="F5554">
        <v>25.16</v>
      </c>
      <c r="G5554">
        <v>230309</v>
      </c>
      <c r="H5554">
        <v>4572</v>
      </c>
      <c r="I5554" t="s">
        <v>122</v>
      </c>
      <c r="J5554">
        <v>27.68</v>
      </c>
      <c r="K5554">
        <v>2.52</v>
      </c>
      <c r="L5554">
        <v>59504</v>
      </c>
      <c r="M5554" t="s">
        <v>71</v>
      </c>
      <c r="N5554" t="str">
        <f>"7230665331  "</f>
        <v xml:space="preserve">7230665331  </v>
      </c>
      <c r="O5554">
        <v>230313</v>
      </c>
    </row>
    <row r="5555" spans="1:15" x14ac:dyDescent="0.25">
      <c r="A5555" t="s">
        <v>16</v>
      </c>
      <c r="B5555" t="s">
        <v>3221</v>
      </c>
      <c r="C5555">
        <v>3272</v>
      </c>
      <c r="D5555" t="s">
        <v>1071</v>
      </c>
      <c r="E5555" t="s">
        <v>1072</v>
      </c>
      <c r="F5555">
        <v>103.1</v>
      </c>
      <c r="G5555">
        <v>230309</v>
      </c>
      <c r="H5555">
        <v>4572</v>
      </c>
      <c r="I5555" t="s">
        <v>122</v>
      </c>
      <c r="J5555">
        <v>113.41</v>
      </c>
      <c r="K5555">
        <v>10.31</v>
      </c>
      <c r="L5555">
        <v>11401</v>
      </c>
      <c r="M5555" t="s">
        <v>84</v>
      </c>
      <c r="N5555" t="str">
        <f>"7230665470  "</f>
        <v xml:space="preserve">7230665470  </v>
      </c>
      <c r="O5555">
        <v>230313</v>
      </c>
    </row>
    <row r="5556" spans="1:15" x14ac:dyDescent="0.25">
      <c r="A5556" t="s">
        <v>16</v>
      </c>
      <c r="B5556" t="s">
        <v>3221</v>
      </c>
      <c r="C5556">
        <v>3272</v>
      </c>
      <c r="D5556" t="s">
        <v>1071</v>
      </c>
      <c r="E5556" t="s">
        <v>1072</v>
      </c>
      <c r="F5556">
        <v>206.2</v>
      </c>
      <c r="G5556">
        <v>230309</v>
      </c>
      <c r="H5556">
        <v>4572</v>
      </c>
      <c r="I5556" t="s">
        <v>122</v>
      </c>
      <c r="J5556">
        <v>226.82</v>
      </c>
      <c r="K5556">
        <v>20.62</v>
      </c>
      <c r="L5556">
        <v>14952</v>
      </c>
      <c r="M5556" t="s">
        <v>99</v>
      </c>
      <c r="N5556" t="str">
        <f>"7230665470  "</f>
        <v xml:space="preserve">7230665470  </v>
      </c>
      <c r="O5556">
        <v>230313</v>
      </c>
    </row>
    <row r="5557" spans="1:15" x14ac:dyDescent="0.25">
      <c r="A5557" t="s">
        <v>16</v>
      </c>
      <c r="B5557" t="s">
        <v>3221</v>
      </c>
      <c r="C5557">
        <v>3273</v>
      </c>
      <c r="D5557" t="s">
        <v>1071</v>
      </c>
      <c r="E5557" t="s">
        <v>1072</v>
      </c>
      <c r="F5557">
        <v>11.09</v>
      </c>
      <c r="G5557">
        <v>230309</v>
      </c>
      <c r="H5557">
        <v>4572</v>
      </c>
      <c r="I5557" t="s">
        <v>122</v>
      </c>
      <c r="J5557">
        <v>12.2</v>
      </c>
      <c r="K5557">
        <v>1.1100000000000001</v>
      </c>
      <c r="L5557">
        <v>11401</v>
      </c>
      <c r="M5557" t="s">
        <v>84</v>
      </c>
      <c r="N5557" t="str">
        <f>"7230665467  "</f>
        <v xml:space="preserve">7230665467  </v>
      </c>
      <c r="O5557">
        <v>230313</v>
      </c>
    </row>
    <row r="5558" spans="1:15" x14ac:dyDescent="0.25">
      <c r="A5558" t="s">
        <v>16</v>
      </c>
      <c r="B5558" t="s">
        <v>3221</v>
      </c>
      <c r="C5558">
        <v>3273</v>
      </c>
      <c r="D5558" t="s">
        <v>1071</v>
      </c>
      <c r="E5558" t="s">
        <v>1072</v>
      </c>
      <c r="F5558">
        <v>22.18</v>
      </c>
      <c r="G5558">
        <v>230309</v>
      </c>
      <c r="H5558">
        <v>4572</v>
      </c>
      <c r="I5558" t="s">
        <v>122</v>
      </c>
      <c r="J5558">
        <v>24.4</v>
      </c>
      <c r="K5558">
        <v>2.2200000000000002</v>
      </c>
      <c r="L5558">
        <v>14952</v>
      </c>
      <c r="M5558" t="s">
        <v>99</v>
      </c>
      <c r="N5558" t="str">
        <f>"7230665467  "</f>
        <v xml:space="preserve">7230665467  </v>
      </c>
      <c r="O5558">
        <v>230313</v>
      </c>
    </row>
    <row r="5559" spans="1:15" x14ac:dyDescent="0.25">
      <c r="A5559" t="s">
        <v>16</v>
      </c>
      <c r="B5559" t="s">
        <v>3221</v>
      </c>
      <c r="C5559">
        <v>3318</v>
      </c>
      <c r="D5559" t="s">
        <v>1071</v>
      </c>
      <c r="E5559" t="s">
        <v>1072</v>
      </c>
      <c r="F5559">
        <v>406.56</v>
      </c>
      <c r="G5559">
        <v>230309</v>
      </c>
      <c r="H5559">
        <v>4572</v>
      </c>
      <c r="I5559" t="s">
        <v>122</v>
      </c>
      <c r="J5559">
        <v>447.22</v>
      </c>
      <c r="K5559">
        <v>40.659999999999997</v>
      </c>
      <c r="L5559">
        <v>13540</v>
      </c>
      <c r="M5559" t="s">
        <v>85</v>
      </c>
      <c r="N5559" t="str">
        <f>"7230665205  "</f>
        <v xml:space="preserve">7230665205  </v>
      </c>
      <c r="O5559">
        <v>230314</v>
      </c>
    </row>
    <row r="5560" spans="1:15" x14ac:dyDescent="0.25">
      <c r="A5560" t="s">
        <v>16</v>
      </c>
      <c r="B5560" t="s">
        <v>3221</v>
      </c>
      <c r="C5560">
        <v>3318</v>
      </c>
      <c r="D5560" t="s">
        <v>1071</v>
      </c>
      <c r="E5560" t="s">
        <v>1072</v>
      </c>
      <c r="F5560">
        <v>3289.46</v>
      </c>
      <c r="G5560">
        <v>230309</v>
      </c>
      <c r="H5560">
        <v>4572</v>
      </c>
      <c r="I5560" t="s">
        <v>122</v>
      </c>
      <c r="J5560">
        <v>3618.41</v>
      </c>
      <c r="K5560">
        <v>328.95</v>
      </c>
      <c r="L5560">
        <v>17950</v>
      </c>
      <c r="M5560" t="s">
        <v>86</v>
      </c>
      <c r="N5560" t="str">
        <f>"7230665205  "</f>
        <v xml:space="preserve">7230665205  </v>
      </c>
      <c r="O5560">
        <v>230314</v>
      </c>
    </row>
    <row r="5561" spans="1:15" x14ac:dyDescent="0.25">
      <c r="A5561" t="s">
        <v>16</v>
      </c>
      <c r="B5561" t="s">
        <v>3221</v>
      </c>
      <c r="C5561">
        <v>3338</v>
      </c>
      <c r="D5561" t="s">
        <v>1071</v>
      </c>
      <c r="E5561" t="s">
        <v>1072</v>
      </c>
      <c r="F5561">
        <v>3304.35</v>
      </c>
      <c r="G5561">
        <v>230309</v>
      </c>
      <c r="H5561">
        <v>4572</v>
      </c>
      <c r="I5561" t="s">
        <v>122</v>
      </c>
      <c r="J5561">
        <v>4097.3900000000003</v>
      </c>
      <c r="K5561">
        <v>793.04</v>
      </c>
      <c r="L5561">
        <v>69501</v>
      </c>
      <c r="M5561" t="s">
        <v>185</v>
      </c>
      <c r="N5561" t="str">
        <f>"7230665218  "</f>
        <v xml:space="preserve">7230665218  </v>
      </c>
      <c r="O5561">
        <v>230315</v>
      </c>
    </row>
    <row r="5562" spans="1:15" x14ac:dyDescent="0.25">
      <c r="A5562" t="s">
        <v>16</v>
      </c>
      <c r="B5562" t="s">
        <v>3221</v>
      </c>
      <c r="C5562">
        <v>3340</v>
      </c>
      <c r="D5562" t="s">
        <v>1071</v>
      </c>
      <c r="E5562" t="s">
        <v>1072</v>
      </c>
      <c r="F5562">
        <v>60.35</v>
      </c>
      <c r="G5562">
        <v>230309</v>
      </c>
      <c r="H5562">
        <v>4572</v>
      </c>
      <c r="I5562" t="s">
        <v>122</v>
      </c>
      <c r="J5562">
        <v>74.83</v>
      </c>
      <c r="K5562">
        <v>14.48</v>
      </c>
      <c r="L5562">
        <v>69501</v>
      </c>
      <c r="M5562" t="s">
        <v>185</v>
      </c>
      <c r="N5562" t="str">
        <f>"7230665221  "</f>
        <v xml:space="preserve">7230665221  </v>
      </c>
      <c r="O5562">
        <v>230315</v>
      </c>
    </row>
    <row r="5563" spans="1:15" x14ac:dyDescent="0.25">
      <c r="A5563" t="s">
        <v>16</v>
      </c>
      <c r="B5563" t="s">
        <v>3221</v>
      </c>
      <c r="C5563">
        <v>3375</v>
      </c>
      <c r="D5563" t="s">
        <v>1071</v>
      </c>
      <c r="E5563" t="s">
        <v>1072</v>
      </c>
      <c r="F5563">
        <v>30.29</v>
      </c>
      <c r="G5563">
        <v>230309</v>
      </c>
      <c r="H5563">
        <v>4572</v>
      </c>
      <c r="I5563" t="s">
        <v>122</v>
      </c>
      <c r="J5563">
        <v>33.32</v>
      </c>
      <c r="K5563">
        <v>3.03</v>
      </c>
      <c r="L5563">
        <v>13841</v>
      </c>
      <c r="M5563" t="s">
        <v>47</v>
      </c>
      <c r="N5563" t="str">
        <f>"7230676508  "</f>
        <v xml:space="preserve">7230676508  </v>
      </c>
      <c r="O5563">
        <v>230315</v>
      </c>
    </row>
    <row r="5564" spans="1:15" x14ac:dyDescent="0.25">
      <c r="A5564" t="s">
        <v>16</v>
      </c>
      <c r="B5564" t="s">
        <v>3221</v>
      </c>
      <c r="C5564">
        <v>3377</v>
      </c>
      <c r="D5564" t="s">
        <v>1071</v>
      </c>
      <c r="E5564" t="s">
        <v>1072</v>
      </c>
      <c r="F5564">
        <v>1.06</v>
      </c>
      <c r="G5564">
        <v>230309</v>
      </c>
      <c r="H5564">
        <v>4572</v>
      </c>
      <c r="I5564" t="s">
        <v>122</v>
      </c>
      <c r="J5564">
        <v>1.17</v>
      </c>
      <c r="K5564">
        <v>0.11</v>
      </c>
      <c r="L5564">
        <v>14952</v>
      </c>
      <c r="M5564" t="s">
        <v>99</v>
      </c>
      <c r="N5564" t="str">
        <f>"7230674092  "</f>
        <v xml:space="preserve">7230674092  </v>
      </c>
      <c r="O5564">
        <v>230315</v>
      </c>
    </row>
    <row r="5565" spans="1:15" x14ac:dyDescent="0.25">
      <c r="A5565" t="s">
        <v>16</v>
      </c>
      <c r="B5565" t="s">
        <v>3221</v>
      </c>
      <c r="C5565">
        <v>3377</v>
      </c>
      <c r="D5565" t="s">
        <v>1071</v>
      </c>
      <c r="E5565" t="s">
        <v>1072</v>
      </c>
      <c r="F5565">
        <v>2.4700000000000002</v>
      </c>
      <c r="G5565">
        <v>230309</v>
      </c>
      <c r="H5565">
        <v>4572</v>
      </c>
      <c r="I5565" t="s">
        <v>122</v>
      </c>
      <c r="J5565">
        <v>2.72</v>
      </c>
      <c r="K5565">
        <v>0.25</v>
      </c>
      <c r="L5565">
        <v>14981</v>
      </c>
      <c r="M5565" t="s">
        <v>1211</v>
      </c>
      <c r="N5565" t="str">
        <f>"7230674092  "</f>
        <v xml:space="preserve">7230674092  </v>
      </c>
      <c r="O5565">
        <v>230315</v>
      </c>
    </row>
    <row r="5566" spans="1:15" x14ac:dyDescent="0.25">
      <c r="A5566" t="s">
        <v>16</v>
      </c>
      <c r="B5566" t="s">
        <v>3221</v>
      </c>
      <c r="C5566">
        <v>3490</v>
      </c>
      <c r="D5566" t="s">
        <v>1071</v>
      </c>
      <c r="E5566" t="s">
        <v>1072</v>
      </c>
      <c r="F5566">
        <v>419.71</v>
      </c>
      <c r="G5566">
        <v>230309</v>
      </c>
      <c r="H5566">
        <v>4572</v>
      </c>
      <c r="I5566" t="s">
        <v>122</v>
      </c>
      <c r="J5566">
        <v>461.68</v>
      </c>
      <c r="K5566">
        <v>41.97</v>
      </c>
      <c r="L5566">
        <v>59503</v>
      </c>
      <c r="M5566" t="s">
        <v>194</v>
      </c>
      <c r="N5566" t="str">
        <f>"7230665179  "</f>
        <v xml:space="preserve">7230665179  </v>
      </c>
      <c r="O5566">
        <v>230316</v>
      </c>
    </row>
    <row r="5567" spans="1:15" x14ac:dyDescent="0.25">
      <c r="A5567" t="s">
        <v>16</v>
      </c>
      <c r="B5567" t="s">
        <v>3221</v>
      </c>
      <c r="C5567">
        <v>3494</v>
      </c>
      <c r="D5567" t="s">
        <v>1071</v>
      </c>
      <c r="E5567" t="s">
        <v>1072</v>
      </c>
      <c r="F5567">
        <v>5.35</v>
      </c>
      <c r="G5567">
        <v>230309</v>
      </c>
      <c r="H5567">
        <v>4572</v>
      </c>
      <c r="I5567" t="s">
        <v>122</v>
      </c>
      <c r="J5567">
        <v>5.35</v>
      </c>
      <c r="K5567">
        <v>0</v>
      </c>
      <c r="L5567">
        <v>59813</v>
      </c>
      <c r="M5567" t="s">
        <v>915</v>
      </c>
      <c r="N5567" t="str">
        <f>"7230665357  "</f>
        <v xml:space="preserve">7230665357  </v>
      </c>
      <c r="O5567">
        <v>230316</v>
      </c>
    </row>
    <row r="5568" spans="1:15" x14ac:dyDescent="0.25">
      <c r="A5568" t="s">
        <v>16</v>
      </c>
      <c r="B5568" t="s">
        <v>3221</v>
      </c>
      <c r="C5568">
        <v>3498</v>
      </c>
      <c r="D5568" t="s">
        <v>1071</v>
      </c>
      <c r="E5568" t="s">
        <v>1072</v>
      </c>
      <c r="F5568">
        <v>318.38</v>
      </c>
      <c r="G5568">
        <v>230309</v>
      </c>
      <c r="H5568">
        <v>4572</v>
      </c>
      <c r="I5568" t="s">
        <v>122</v>
      </c>
      <c r="J5568">
        <v>350.22</v>
      </c>
      <c r="K5568">
        <v>31.84</v>
      </c>
      <c r="L5568">
        <v>59111</v>
      </c>
      <c r="M5568" t="s">
        <v>1010</v>
      </c>
      <c r="N5568" t="str">
        <f>"7230665289  "</f>
        <v xml:space="preserve">7230665289  </v>
      </c>
      <c r="O5568">
        <v>230316</v>
      </c>
    </row>
    <row r="5569" spans="1:15" x14ac:dyDescent="0.25">
      <c r="A5569" t="s">
        <v>16</v>
      </c>
      <c r="B5569" t="s">
        <v>3221</v>
      </c>
      <c r="C5569">
        <v>3498</v>
      </c>
      <c r="D5569" t="s">
        <v>1071</v>
      </c>
      <c r="E5569" t="s">
        <v>1072</v>
      </c>
      <c r="F5569">
        <v>4987.95</v>
      </c>
      <c r="G5569">
        <v>230309</v>
      </c>
      <c r="H5569">
        <v>4572</v>
      </c>
      <c r="I5569" t="s">
        <v>122</v>
      </c>
      <c r="J5569">
        <v>5486.75</v>
      </c>
      <c r="K5569">
        <v>498.8</v>
      </c>
      <c r="L5569">
        <v>59501</v>
      </c>
      <c r="M5569" t="s">
        <v>69</v>
      </c>
      <c r="N5569" t="str">
        <f>"7230665289  "</f>
        <v xml:space="preserve">7230665289  </v>
      </c>
      <c r="O5569">
        <v>230316</v>
      </c>
    </row>
    <row r="5570" spans="1:15" x14ac:dyDescent="0.25">
      <c r="A5570" t="s">
        <v>16</v>
      </c>
      <c r="B5570" t="s">
        <v>3221</v>
      </c>
      <c r="C5570">
        <v>3503</v>
      </c>
      <c r="D5570" t="s">
        <v>1071</v>
      </c>
      <c r="E5570" t="s">
        <v>1072</v>
      </c>
      <c r="F5570">
        <v>745.73</v>
      </c>
      <c r="G5570">
        <v>230309</v>
      </c>
      <c r="H5570">
        <v>4572</v>
      </c>
      <c r="I5570" t="s">
        <v>122</v>
      </c>
      <c r="J5570">
        <v>820.3</v>
      </c>
      <c r="K5570">
        <v>74.569999999999993</v>
      </c>
      <c r="L5570">
        <v>59505</v>
      </c>
      <c r="M5570" t="s">
        <v>72</v>
      </c>
      <c r="N5570" t="str">
        <f>"7230665315  "</f>
        <v xml:space="preserve">7230665315  </v>
      </c>
      <c r="O5570">
        <v>230316</v>
      </c>
    </row>
    <row r="5571" spans="1:15" x14ac:dyDescent="0.25">
      <c r="A5571" t="s">
        <v>16</v>
      </c>
      <c r="B5571" t="s">
        <v>3221</v>
      </c>
      <c r="C5571">
        <v>3503</v>
      </c>
      <c r="D5571" t="s">
        <v>1071</v>
      </c>
      <c r="E5571" t="s">
        <v>1072</v>
      </c>
      <c r="F5571">
        <v>101.69</v>
      </c>
      <c r="G5571">
        <v>230309</v>
      </c>
      <c r="H5571">
        <v>4572</v>
      </c>
      <c r="I5571" t="s">
        <v>122</v>
      </c>
      <c r="J5571">
        <v>111.86</v>
      </c>
      <c r="K5571">
        <v>10.17</v>
      </c>
      <c r="L5571">
        <v>59812</v>
      </c>
      <c r="M5571" t="s">
        <v>74</v>
      </c>
      <c r="N5571" t="str">
        <f>"7230665315  "</f>
        <v xml:space="preserve">7230665315  </v>
      </c>
      <c r="O5571">
        <v>230316</v>
      </c>
    </row>
    <row r="5572" spans="1:15" x14ac:dyDescent="0.25">
      <c r="A5572" t="s">
        <v>16</v>
      </c>
      <c r="B5572" t="s">
        <v>3221</v>
      </c>
      <c r="C5572">
        <v>3515</v>
      </c>
      <c r="D5572" t="s">
        <v>1071</v>
      </c>
      <c r="E5572" t="s">
        <v>1072</v>
      </c>
      <c r="F5572">
        <v>1252.8499999999999</v>
      </c>
      <c r="G5572">
        <v>230309</v>
      </c>
      <c r="H5572">
        <v>4572</v>
      </c>
      <c r="I5572" t="s">
        <v>122</v>
      </c>
      <c r="J5572">
        <v>1378.14</v>
      </c>
      <c r="K5572">
        <v>125.29</v>
      </c>
      <c r="L5572">
        <v>59502</v>
      </c>
      <c r="M5572" t="s">
        <v>70</v>
      </c>
      <c r="N5572" t="str">
        <f>"7230665292  "</f>
        <v xml:space="preserve">7230665292  </v>
      </c>
      <c r="O5572">
        <v>230316</v>
      </c>
    </row>
    <row r="5573" spans="1:15" x14ac:dyDescent="0.25">
      <c r="A5573" t="s">
        <v>16</v>
      </c>
      <c r="B5573" t="s">
        <v>3221</v>
      </c>
      <c r="C5573">
        <v>3515</v>
      </c>
      <c r="D5573" t="s">
        <v>1071</v>
      </c>
      <c r="E5573" t="s">
        <v>1072</v>
      </c>
      <c r="F5573">
        <v>801.01</v>
      </c>
      <c r="G5573">
        <v>230309</v>
      </c>
      <c r="H5573">
        <v>4572</v>
      </c>
      <c r="I5573" t="s">
        <v>122</v>
      </c>
      <c r="J5573">
        <v>881.11</v>
      </c>
      <c r="K5573">
        <v>80.099999999999994</v>
      </c>
      <c r="L5573">
        <v>59802</v>
      </c>
      <c r="M5573" t="s">
        <v>73</v>
      </c>
      <c r="N5573" t="str">
        <f>"7230665292  "</f>
        <v xml:space="preserve">7230665292  </v>
      </c>
      <c r="O5573">
        <v>230316</v>
      </c>
    </row>
    <row r="5574" spans="1:15" x14ac:dyDescent="0.25">
      <c r="A5574" t="s">
        <v>16</v>
      </c>
      <c r="B5574" t="s">
        <v>3221</v>
      </c>
      <c r="C5574">
        <v>3583</v>
      </c>
      <c r="D5574" t="s">
        <v>1071</v>
      </c>
      <c r="E5574" t="s">
        <v>1072</v>
      </c>
      <c r="F5574">
        <v>1045.72</v>
      </c>
      <c r="G5574">
        <v>230309</v>
      </c>
      <c r="H5574">
        <v>4572</v>
      </c>
      <c r="I5574" t="s">
        <v>122</v>
      </c>
      <c r="J5574">
        <v>1150.29</v>
      </c>
      <c r="K5574">
        <v>104.57</v>
      </c>
      <c r="L5574">
        <v>49503</v>
      </c>
      <c r="M5574" t="s">
        <v>178</v>
      </c>
      <c r="N5574" t="str">
        <f>"7230665302  "</f>
        <v xml:space="preserve">7230665302  </v>
      </c>
      <c r="O5574">
        <v>230317</v>
      </c>
    </row>
    <row r="5575" spans="1:15" x14ac:dyDescent="0.25">
      <c r="A5575" t="s">
        <v>16</v>
      </c>
      <c r="B5575" t="s">
        <v>3221</v>
      </c>
      <c r="C5575">
        <v>3584</v>
      </c>
      <c r="D5575" t="s">
        <v>1071</v>
      </c>
      <c r="E5575" t="s">
        <v>1072</v>
      </c>
      <c r="F5575">
        <v>2567.89</v>
      </c>
      <c r="G5575">
        <v>230309</v>
      </c>
      <c r="H5575">
        <v>4572</v>
      </c>
      <c r="I5575" t="s">
        <v>122</v>
      </c>
      <c r="J5575">
        <v>2824.68</v>
      </c>
      <c r="K5575">
        <v>256.79000000000002</v>
      </c>
      <c r="L5575">
        <v>49501</v>
      </c>
      <c r="M5575" t="s">
        <v>177</v>
      </c>
      <c r="N5575" t="str">
        <f>"7230665373  "</f>
        <v xml:space="preserve">7230665373  </v>
      </c>
      <c r="O5575">
        <v>230317</v>
      </c>
    </row>
    <row r="5576" spans="1:15" x14ac:dyDescent="0.25">
      <c r="A5576" t="s">
        <v>16</v>
      </c>
      <c r="B5576" t="s">
        <v>3221</v>
      </c>
      <c r="C5576">
        <v>3584</v>
      </c>
      <c r="D5576" t="s">
        <v>1071</v>
      </c>
      <c r="E5576" t="s">
        <v>1072</v>
      </c>
      <c r="F5576">
        <v>139.34</v>
      </c>
      <c r="G5576">
        <v>230309</v>
      </c>
      <c r="H5576">
        <v>4572</v>
      </c>
      <c r="I5576" t="s">
        <v>122</v>
      </c>
      <c r="J5576">
        <v>153.27000000000001</v>
      </c>
      <c r="K5576">
        <v>13.93</v>
      </c>
      <c r="L5576">
        <v>49801</v>
      </c>
      <c r="M5576" t="s">
        <v>1227</v>
      </c>
      <c r="N5576" t="str">
        <f>"7230665373  "</f>
        <v xml:space="preserve">7230665373  </v>
      </c>
      <c r="O5576">
        <v>230317</v>
      </c>
    </row>
    <row r="5577" spans="1:15" x14ac:dyDescent="0.25">
      <c r="A5577" t="s">
        <v>16</v>
      </c>
      <c r="B5577" t="s">
        <v>3221</v>
      </c>
      <c r="C5577">
        <v>3584</v>
      </c>
      <c r="D5577" t="s">
        <v>1071</v>
      </c>
      <c r="E5577" t="s">
        <v>1072</v>
      </c>
      <c r="F5577">
        <v>79.42</v>
      </c>
      <c r="G5577">
        <v>230309</v>
      </c>
      <c r="H5577">
        <v>4572</v>
      </c>
      <c r="I5577" t="s">
        <v>122</v>
      </c>
      <c r="J5577">
        <v>87.36</v>
      </c>
      <c r="K5577">
        <v>7.94</v>
      </c>
      <c r="L5577">
        <v>49803</v>
      </c>
      <c r="M5577" t="s">
        <v>1229</v>
      </c>
      <c r="N5577" t="str">
        <f>"7230665373  "</f>
        <v xml:space="preserve">7230665373  </v>
      </c>
      <c r="O5577">
        <v>230317</v>
      </c>
    </row>
    <row r="5578" spans="1:15" x14ac:dyDescent="0.25">
      <c r="A5578" t="s">
        <v>16</v>
      </c>
      <c r="B5578" t="s">
        <v>3221</v>
      </c>
      <c r="C5578">
        <v>3585</v>
      </c>
      <c r="D5578" t="s">
        <v>1071</v>
      </c>
      <c r="E5578" t="s">
        <v>1072</v>
      </c>
      <c r="F5578">
        <v>1024.5</v>
      </c>
      <c r="G5578">
        <v>230309</v>
      </c>
      <c r="H5578">
        <v>4572</v>
      </c>
      <c r="I5578" t="s">
        <v>122</v>
      </c>
      <c r="J5578">
        <v>1126.95</v>
      </c>
      <c r="K5578">
        <v>102.45</v>
      </c>
      <c r="L5578">
        <v>49501</v>
      </c>
      <c r="M5578" t="s">
        <v>177</v>
      </c>
      <c r="N5578" t="str">
        <f>"7230665234  "</f>
        <v xml:space="preserve">7230665234  </v>
      </c>
      <c r="O5578">
        <v>230317</v>
      </c>
    </row>
    <row r="5579" spans="1:15" x14ac:dyDescent="0.25">
      <c r="A5579" t="s">
        <v>16</v>
      </c>
      <c r="B5579" t="s">
        <v>3221</v>
      </c>
      <c r="C5579">
        <v>3585</v>
      </c>
      <c r="D5579" t="s">
        <v>1071</v>
      </c>
      <c r="E5579" t="s">
        <v>1072</v>
      </c>
      <c r="F5579">
        <v>53.92</v>
      </c>
      <c r="G5579">
        <v>230309</v>
      </c>
      <c r="H5579">
        <v>4572</v>
      </c>
      <c r="I5579" t="s">
        <v>122</v>
      </c>
      <c r="J5579">
        <v>59.31</v>
      </c>
      <c r="K5579">
        <v>5.39</v>
      </c>
      <c r="L5579">
        <v>49801</v>
      </c>
      <c r="M5579" t="s">
        <v>1227</v>
      </c>
      <c r="N5579" t="str">
        <f>"7230665234  "</f>
        <v xml:space="preserve">7230665234  </v>
      </c>
      <c r="O5579">
        <v>230317</v>
      </c>
    </row>
    <row r="5580" spans="1:15" x14ac:dyDescent="0.25">
      <c r="A5580" t="s">
        <v>16</v>
      </c>
      <c r="B5580" t="s">
        <v>3221</v>
      </c>
      <c r="C5580">
        <v>4802</v>
      </c>
      <c r="D5580" t="s">
        <v>1071</v>
      </c>
      <c r="E5580" t="s">
        <v>1072</v>
      </c>
      <c r="F5580">
        <v>135.19</v>
      </c>
      <c r="G5580">
        <v>230406</v>
      </c>
      <c r="H5580">
        <v>4572</v>
      </c>
      <c r="I5580" t="s">
        <v>122</v>
      </c>
      <c r="J5580">
        <v>148.71</v>
      </c>
      <c r="K5580">
        <v>13.52</v>
      </c>
      <c r="L5580">
        <v>17739</v>
      </c>
      <c r="M5580" t="s">
        <v>374</v>
      </c>
      <c r="N5580" t="str">
        <f>"7230811952  "</f>
        <v xml:space="preserve">7230811952  </v>
      </c>
      <c r="O5580">
        <v>230412</v>
      </c>
    </row>
    <row r="5581" spans="1:15" x14ac:dyDescent="0.25">
      <c r="A5581" t="s">
        <v>16</v>
      </c>
      <c r="B5581" t="s">
        <v>3221</v>
      </c>
      <c r="C5581">
        <v>4802</v>
      </c>
      <c r="D5581" t="s">
        <v>1071</v>
      </c>
      <c r="E5581" t="s">
        <v>1072</v>
      </c>
      <c r="F5581">
        <v>405.58</v>
      </c>
      <c r="G5581">
        <v>230406</v>
      </c>
      <c r="H5581">
        <v>4572</v>
      </c>
      <c r="I5581" t="s">
        <v>122</v>
      </c>
      <c r="J5581">
        <v>446.14</v>
      </c>
      <c r="K5581">
        <v>40.56</v>
      </c>
      <c r="L5581">
        <v>17912</v>
      </c>
      <c r="M5581" t="s">
        <v>419</v>
      </c>
      <c r="N5581" t="str">
        <f>"7230811952  "</f>
        <v xml:space="preserve">7230811952  </v>
      </c>
      <c r="O5581">
        <v>230412</v>
      </c>
    </row>
    <row r="5582" spans="1:15" x14ac:dyDescent="0.25">
      <c r="A5582" t="s">
        <v>16</v>
      </c>
      <c r="B5582" t="s">
        <v>3221</v>
      </c>
      <c r="C5582">
        <v>4802</v>
      </c>
      <c r="D5582" t="s">
        <v>1071</v>
      </c>
      <c r="E5582" t="s">
        <v>1072</v>
      </c>
      <c r="F5582">
        <v>811.16</v>
      </c>
      <c r="G5582">
        <v>230406</v>
      </c>
      <c r="H5582">
        <v>4572</v>
      </c>
      <c r="I5582" t="s">
        <v>122</v>
      </c>
      <c r="J5582">
        <v>892.28</v>
      </c>
      <c r="K5582">
        <v>81.12</v>
      </c>
      <c r="L5582">
        <v>17952</v>
      </c>
      <c r="M5582" t="s">
        <v>88</v>
      </c>
      <c r="N5582" t="str">
        <f>"7230811952  "</f>
        <v xml:space="preserve">7230811952  </v>
      </c>
      <c r="O5582">
        <v>230412</v>
      </c>
    </row>
    <row r="5583" spans="1:15" x14ac:dyDescent="0.25">
      <c r="A5583" t="s">
        <v>16</v>
      </c>
      <c r="B5583" t="s">
        <v>3221</v>
      </c>
      <c r="C5583">
        <v>4827</v>
      </c>
      <c r="D5583" t="s">
        <v>1071</v>
      </c>
      <c r="E5583" t="s">
        <v>1072</v>
      </c>
      <c r="F5583">
        <v>186.59</v>
      </c>
      <c r="G5583">
        <v>230406</v>
      </c>
      <c r="H5583">
        <v>4572</v>
      </c>
      <c r="I5583" t="s">
        <v>122</v>
      </c>
      <c r="J5583">
        <v>205.25</v>
      </c>
      <c r="K5583">
        <v>18.66</v>
      </c>
      <c r="L5583">
        <v>17711</v>
      </c>
      <c r="M5583" t="s">
        <v>65</v>
      </c>
      <c r="N5583" t="str">
        <f>"7230812074  "</f>
        <v xml:space="preserve">7230812074  </v>
      </c>
      <c r="O5583">
        <v>230413</v>
      </c>
    </row>
    <row r="5584" spans="1:15" x14ac:dyDescent="0.25">
      <c r="A5584" t="s">
        <v>16</v>
      </c>
      <c r="B5584" t="s">
        <v>3221</v>
      </c>
      <c r="C5584">
        <v>4827</v>
      </c>
      <c r="D5584" t="s">
        <v>1071</v>
      </c>
      <c r="E5584" t="s">
        <v>1072</v>
      </c>
      <c r="F5584">
        <v>14.03</v>
      </c>
      <c r="G5584">
        <v>230406</v>
      </c>
      <c r="H5584">
        <v>4572</v>
      </c>
      <c r="I5584" t="s">
        <v>122</v>
      </c>
      <c r="J5584">
        <v>15.43</v>
      </c>
      <c r="K5584">
        <v>1.4</v>
      </c>
      <c r="L5584">
        <v>17737</v>
      </c>
      <c r="M5584" t="s">
        <v>279</v>
      </c>
      <c r="N5584" t="str">
        <f>"7230812074  "</f>
        <v xml:space="preserve">7230812074  </v>
      </c>
      <c r="O5584">
        <v>230413</v>
      </c>
    </row>
    <row r="5585" spans="1:15" x14ac:dyDescent="0.25">
      <c r="A5585" t="s">
        <v>16</v>
      </c>
      <c r="B5585" t="s">
        <v>3221</v>
      </c>
      <c r="C5585">
        <v>4827</v>
      </c>
      <c r="D5585" t="s">
        <v>1071</v>
      </c>
      <c r="E5585" t="s">
        <v>1072</v>
      </c>
      <c r="F5585">
        <v>79.959999999999994</v>
      </c>
      <c r="G5585">
        <v>230406</v>
      </c>
      <c r="H5585">
        <v>4572</v>
      </c>
      <c r="I5585" t="s">
        <v>122</v>
      </c>
      <c r="J5585">
        <v>87.96</v>
      </c>
      <c r="K5585">
        <v>8</v>
      </c>
      <c r="L5585">
        <v>17739</v>
      </c>
      <c r="M5585" t="s">
        <v>374</v>
      </c>
      <c r="N5585" t="str">
        <f>"7230812074  "</f>
        <v xml:space="preserve">7230812074  </v>
      </c>
      <c r="O5585">
        <v>230413</v>
      </c>
    </row>
    <row r="5586" spans="1:15" x14ac:dyDescent="0.25">
      <c r="A5586" t="s">
        <v>16</v>
      </c>
      <c r="B5586" t="s">
        <v>3221</v>
      </c>
      <c r="C5586">
        <v>4842</v>
      </c>
      <c r="D5586" t="s">
        <v>1071</v>
      </c>
      <c r="E5586" t="s">
        <v>1072</v>
      </c>
      <c r="F5586">
        <v>334.48</v>
      </c>
      <c r="G5586">
        <v>230406</v>
      </c>
      <c r="H5586">
        <v>4572</v>
      </c>
      <c r="I5586" t="s">
        <v>122</v>
      </c>
      <c r="J5586">
        <v>367.93</v>
      </c>
      <c r="K5586">
        <v>33.450000000000003</v>
      </c>
      <c r="L5586">
        <v>59112</v>
      </c>
      <c r="M5586" t="s">
        <v>182</v>
      </c>
      <c r="N5586" t="str">
        <f>"7230812058  "</f>
        <v xml:space="preserve">7230812058  </v>
      </c>
      <c r="O5586">
        <v>230413</v>
      </c>
    </row>
    <row r="5587" spans="1:15" x14ac:dyDescent="0.25">
      <c r="A5587" t="s">
        <v>16</v>
      </c>
      <c r="B5587" t="s">
        <v>3221</v>
      </c>
      <c r="C5587">
        <v>4842</v>
      </c>
      <c r="D5587" t="s">
        <v>1071</v>
      </c>
      <c r="E5587" t="s">
        <v>1072</v>
      </c>
      <c r="F5587">
        <v>904.35</v>
      </c>
      <c r="G5587">
        <v>230406</v>
      </c>
      <c r="H5587">
        <v>4572</v>
      </c>
      <c r="I5587" t="s">
        <v>122</v>
      </c>
      <c r="J5587">
        <v>994.78</v>
      </c>
      <c r="K5587">
        <v>90.43</v>
      </c>
      <c r="L5587">
        <v>59504</v>
      </c>
      <c r="M5587" t="s">
        <v>71</v>
      </c>
      <c r="N5587" t="str">
        <f>"7230812058  "</f>
        <v xml:space="preserve">7230812058  </v>
      </c>
      <c r="O5587">
        <v>230413</v>
      </c>
    </row>
    <row r="5588" spans="1:15" x14ac:dyDescent="0.25">
      <c r="A5588" t="s">
        <v>16</v>
      </c>
      <c r="B5588" t="s">
        <v>3221</v>
      </c>
      <c r="C5588">
        <v>4843</v>
      </c>
      <c r="D5588" t="s">
        <v>1071</v>
      </c>
      <c r="E5588" t="s">
        <v>1072</v>
      </c>
      <c r="F5588">
        <v>766.72</v>
      </c>
      <c r="G5588">
        <v>230406</v>
      </c>
      <c r="H5588">
        <v>4572</v>
      </c>
      <c r="I5588" t="s">
        <v>122</v>
      </c>
      <c r="J5588">
        <v>843.39</v>
      </c>
      <c r="K5588">
        <v>76.67</v>
      </c>
      <c r="L5588">
        <v>59505</v>
      </c>
      <c r="M5588" t="s">
        <v>72</v>
      </c>
      <c r="N5588" t="str">
        <f>"7230812016  "</f>
        <v xml:space="preserve">7230812016  </v>
      </c>
      <c r="O5588">
        <v>230413</v>
      </c>
    </row>
    <row r="5589" spans="1:15" x14ac:dyDescent="0.25">
      <c r="A5589" t="s">
        <v>16</v>
      </c>
      <c r="B5589" t="s">
        <v>3221</v>
      </c>
      <c r="C5589">
        <v>4843</v>
      </c>
      <c r="D5589" t="s">
        <v>1071</v>
      </c>
      <c r="E5589" t="s">
        <v>1072</v>
      </c>
      <c r="F5589">
        <v>104.55</v>
      </c>
      <c r="G5589">
        <v>230406</v>
      </c>
      <c r="H5589">
        <v>4572</v>
      </c>
      <c r="I5589" t="s">
        <v>122</v>
      </c>
      <c r="J5589">
        <v>115.01</v>
      </c>
      <c r="K5589">
        <v>10.46</v>
      </c>
      <c r="L5589">
        <v>59812</v>
      </c>
      <c r="M5589" t="s">
        <v>74</v>
      </c>
      <c r="N5589" t="str">
        <f>"7230812016  "</f>
        <v xml:space="preserve">7230812016  </v>
      </c>
      <c r="O5589">
        <v>230413</v>
      </c>
    </row>
    <row r="5590" spans="1:15" x14ac:dyDescent="0.25">
      <c r="A5590" t="s">
        <v>16</v>
      </c>
      <c r="B5590" t="s">
        <v>3221</v>
      </c>
      <c r="C5590">
        <v>4844</v>
      </c>
      <c r="D5590" t="s">
        <v>1071</v>
      </c>
      <c r="E5590" t="s">
        <v>1072</v>
      </c>
      <c r="F5590">
        <v>0.79</v>
      </c>
      <c r="G5590">
        <v>230406</v>
      </c>
      <c r="H5590">
        <v>4572</v>
      </c>
      <c r="I5590" t="s">
        <v>122</v>
      </c>
      <c r="J5590">
        <v>0.87</v>
      </c>
      <c r="K5590">
        <v>0.08</v>
      </c>
      <c r="L5590">
        <v>59112</v>
      </c>
      <c r="M5590" t="s">
        <v>182</v>
      </c>
      <c r="N5590" t="str">
        <f>"7230812032  "</f>
        <v xml:space="preserve">7230812032  </v>
      </c>
      <c r="O5590">
        <v>230413</v>
      </c>
    </row>
    <row r="5591" spans="1:15" x14ac:dyDescent="0.25">
      <c r="A5591" t="s">
        <v>16</v>
      </c>
      <c r="B5591" t="s">
        <v>3221</v>
      </c>
      <c r="C5591">
        <v>4844</v>
      </c>
      <c r="D5591" t="s">
        <v>1071</v>
      </c>
      <c r="E5591" t="s">
        <v>1072</v>
      </c>
      <c r="F5591">
        <v>2.15</v>
      </c>
      <c r="G5591">
        <v>230406</v>
      </c>
      <c r="H5591">
        <v>4572</v>
      </c>
      <c r="I5591" t="s">
        <v>122</v>
      </c>
      <c r="J5591">
        <v>2.37</v>
      </c>
      <c r="K5591">
        <v>0.22</v>
      </c>
      <c r="L5591">
        <v>59504</v>
      </c>
      <c r="M5591" t="s">
        <v>71</v>
      </c>
      <c r="N5591" t="str">
        <f>"7230812032  "</f>
        <v xml:space="preserve">7230812032  </v>
      </c>
      <c r="O5591">
        <v>230413</v>
      </c>
    </row>
    <row r="5592" spans="1:15" x14ac:dyDescent="0.25">
      <c r="A5592" t="s">
        <v>16</v>
      </c>
      <c r="B5592" t="s">
        <v>3221</v>
      </c>
      <c r="C5592">
        <v>4845</v>
      </c>
      <c r="D5592" t="s">
        <v>1071</v>
      </c>
      <c r="E5592" t="s">
        <v>1072</v>
      </c>
      <c r="F5592">
        <v>422.18</v>
      </c>
      <c r="G5592">
        <v>230406</v>
      </c>
      <c r="H5592">
        <v>4572</v>
      </c>
      <c r="I5592" t="s">
        <v>122</v>
      </c>
      <c r="J5592">
        <v>464.4</v>
      </c>
      <c r="K5592">
        <v>42.22</v>
      </c>
      <c r="L5592">
        <v>59503</v>
      </c>
      <c r="M5592" t="s">
        <v>194</v>
      </c>
      <c r="N5592" t="str">
        <f>"7230811871  "</f>
        <v xml:space="preserve">7230811871  </v>
      </c>
      <c r="O5592">
        <v>230413</v>
      </c>
    </row>
    <row r="5593" spans="1:15" x14ac:dyDescent="0.25">
      <c r="A5593" t="s">
        <v>16</v>
      </c>
      <c r="B5593" t="s">
        <v>3221</v>
      </c>
      <c r="C5593">
        <v>4846</v>
      </c>
      <c r="D5593" t="s">
        <v>1071</v>
      </c>
      <c r="E5593" t="s">
        <v>1072</v>
      </c>
      <c r="F5593">
        <v>5.21</v>
      </c>
      <c r="G5593">
        <v>230406</v>
      </c>
      <c r="H5593">
        <v>4572</v>
      </c>
      <c r="I5593" t="s">
        <v>122</v>
      </c>
      <c r="J5593">
        <v>5.21</v>
      </c>
      <c r="K5593">
        <v>0</v>
      </c>
      <c r="L5593">
        <v>59813</v>
      </c>
      <c r="M5593" t="s">
        <v>915</v>
      </c>
      <c r="N5593" t="str">
        <f>"7230812061  "</f>
        <v xml:space="preserve">7230812061  </v>
      </c>
      <c r="O5593">
        <v>230413</v>
      </c>
    </row>
    <row r="5594" spans="1:15" x14ac:dyDescent="0.25">
      <c r="A5594" t="s">
        <v>16</v>
      </c>
      <c r="B5594" t="s">
        <v>3221</v>
      </c>
      <c r="C5594">
        <v>4847</v>
      </c>
      <c r="D5594" t="s">
        <v>1071</v>
      </c>
      <c r="E5594" t="s">
        <v>1072</v>
      </c>
      <c r="F5594">
        <v>306.62</v>
      </c>
      <c r="G5594">
        <v>230406</v>
      </c>
      <c r="H5594">
        <v>4572</v>
      </c>
      <c r="I5594" t="s">
        <v>122</v>
      </c>
      <c r="J5594">
        <v>337.28</v>
      </c>
      <c r="K5594">
        <v>30.66</v>
      </c>
      <c r="L5594">
        <v>59111</v>
      </c>
      <c r="M5594" t="s">
        <v>1010</v>
      </c>
      <c r="N5594" t="str">
        <f>"7230811981  "</f>
        <v xml:space="preserve">7230811981  </v>
      </c>
      <c r="O5594">
        <v>230413</v>
      </c>
    </row>
    <row r="5595" spans="1:15" x14ac:dyDescent="0.25">
      <c r="A5595" t="s">
        <v>16</v>
      </c>
      <c r="B5595" t="s">
        <v>3221</v>
      </c>
      <c r="C5595">
        <v>4847</v>
      </c>
      <c r="D5595" t="s">
        <v>1071</v>
      </c>
      <c r="E5595" t="s">
        <v>1072</v>
      </c>
      <c r="F5595">
        <v>4803.67</v>
      </c>
      <c r="G5595">
        <v>230406</v>
      </c>
      <c r="H5595">
        <v>4572</v>
      </c>
      <c r="I5595" t="s">
        <v>122</v>
      </c>
      <c r="J5595">
        <v>5284.04</v>
      </c>
      <c r="K5595">
        <v>480.37</v>
      </c>
      <c r="L5595">
        <v>59501</v>
      </c>
      <c r="M5595" t="s">
        <v>69</v>
      </c>
      <c r="N5595" t="str">
        <f>"7230811981  "</f>
        <v xml:space="preserve">7230811981  </v>
      </c>
      <c r="O5595">
        <v>230413</v>
      </c>
    </row>
    <row r="5596" spans="1:15" x14ac:dyDescent="0.25">
      <c r="A5596" t="s">
        <v>16</v>
      </c>
      <c r="B5596" t="s">
        <v>3221</v>
      </c>
      <c r="C5596">
        <v>4848</v>
      </c>
      <c r="D5596" t="s">
        <v>1071</v>
      </c>
      <c r="E5596" t="s">
        <v>1072</v>
      </c>
      <c r="F5596">
        <v>1256.0999999999999</v>
      </c>
      <c r="G5596">
        <v>230406</v>
      </c>
      <c r="H5596">
        <v>4572</v>
      </c>
      <c r="I5596" t="s">
        <v>122</v>
      </c>
      <c r="J5596">
        <v>1381.71</v>
      </c>
      <c r="K5596">
        <v>125.61</v>
      </c>
      <c r="L5596">
        <v>59502</v>
      </c>
      <c r="M5596" t="s">
        <v>70</v>
      </c>
      <c r="N5596" t="str">
        <f>"7230811994  "</f>
        <v xml:space="preserve">7230811994  </v>
      </c>
      <c r="O5596">
        <v>230413</v>
      </c>
    </row>
    <row r="5597" spans="1:15" x14ac:dyDescent="0.25">
      <c r="A5597" t="s">
        <v>16</v>
      </c>
      <c r="B5597" t="s">
        <v>3221</v>
      </c>
      <c r="C5597">
        <v>4848</v>
      </c>
      <c r="D5597" t="s">
        <v>1071</v>
      </c>
      <c r="E5597" t="s">
        <v>1072</v>
      </c>
      <c r="F5597">
        <v>803.08</v>
      </c>
      <c r="G5597">
        <v>230406</v>
      </c>
      <c r="H5597">
        <v>4572</v>
      </c>
      <c r="I5597" t="s">
        <v>122</v>
      </c>
      <c r="J5597">
        <v>883.39</v>
      </c>
      <c r="K5597">
        <v>80.31</v>
      </c>
      <c r="L5597">
        <v>59802</v>
      </c>
      <c r="M5597" t="s">
        <v>73</v>
      </c>
      <c r="N5597" t="str">
        <f>"7230811994  "</f>
        <v xml:space="preserve">7230811994  </v>
      </c>
      <c r="O5597">
        <v>230413</v>
      </c>
    </row>
    <row r="5598" spans="1:15" x14ac:dyDescent="0.25">
      <c r="A5598" t="s">
        <v>16</v>
      </c>
      <c r="B5598" t="s">
        <v>3221</v>
      </c>
      <c r="C5598">
        <v>4849</v>
      </c>
      <c r="D5598" t="s">
        <v>1071</v>
      </c>
      <c r="E5598" t="s">
        <v>1072</v>
      </c>
      <c r="F5598">
        <v>8.7899999999999991</v>
      </c>
      <c r="G5598">
        <v>230406</v>
      </c>
      <c r="H5598">
        <v>4572</v>
      </c>
      <c r="I5598" t="s">
        <v>122</v>
      </c>
      <c r="J5598">
        <v>9.67</v>
      </c>
      <c r="K5598">
        <v>0.88</v>
      </c>
      <c r="L5598">
        <v>59112</v>
      </c>
      <c r="M5598" t="s">
        <v>182</v>
      </c>
      <c r="N5598" t="str">
        <f>"7230812045  "</f>
        <v xml:space="preserve">7230812045  </v>
      </c>
      <c r="O5598">
        <v>230413</v>
      </c>
    </row>
    <row r="5599" spans="1:15" x14ac:dyDescent="0.25">
      <c r="A5599" t="s">
        <v>16</v>
      </c>
      <c r="B5599" t="s">
        <v>3221</v>
      </c>
      <c r="C5599">
        <v>4849</v>
      </c>
      <c r="D5599" t="s">
        <v>1071</v>
      </c>
      <c r="E5599" t="s">
        <v>1072</v>
      </c>
      <c r="F5599">
        <v>23.78</v>
      </c>
      <c r="G5599">
        <v>230406</v>
      </c>
      <c r="H5599">
        <v>4572</v>
      </c>
      <c r="I5599" t="s">
        <v>122</v>
      </c>
      <c r="J5599">
        <v>26.16</v>
      </c>
      <c r="K5599">
        <v>2.38</v>
      </c>
      <c r="L5599">
        <v>59504</v>
      </c>
      <c r="M5599" t="s">
        <v>71</v>
      </c>
      <c r="N5599" t="str">
        <f>"7230812045  "</f>
        <v xml:space="preserve">7230812045  </v>
      </c>
      <c r="O5599">
        <v>230413</v>
      </c>
    </row>
    <row r="5600" spans="1:15" x14ac:dyDescent="0.25">
      <c r="A5600" t="s">
        <v>16</v>
      </c>
      <c r="B5600" t="s">
        <v>3221</v>
      </c>
      <c r="C5600">
        <v>4873</v>
      </c>
      <c r="D5600" t="s">
        <v>1071</v>
      </c>
      <c r="E5600" t="s">
        <v>1072</v>
      </c>
      <c r="F5600">
        <v>61.53</v>
      </c>
      <c r="G5600">
        <v>230406</v>
      </c>
      <c r="H5600">
        <v>4572</v>
      </c>
      <c r="I5600" t="s">
        <v>122</v>
      </c>
      <c r="J5600">
        <v>67.680000000000007</v>
      </c>
      <c r="K5600">
        <v>6.15</v>
      </c>
      <c r="L5600">
        <v>69501</v>
      </c>
      <c r="M5600" t="s">
        <v>185</v>
      </c>
      <c r="N5600" t="str">
        <f>"7230811923  "</f>
        <v xml:space="preserve">7230811923  </v>
      </c>
      <c r="O5600">
        <v>230413</v>
      </c>
    </row>
    <row r="5601" spans="1:15" x14ac:dyDescent="0.25">
      <c r="A5601" t="s">
        <v>16</v>
      </c>
      <c r="B5601" t="s">
        <v>3221</v>
      </c>
      <c r="C5601">
        <v>4875</v>
      </c>
      <c r="D5601" t="s">
        <v>1071</v>
      </c>
      <c r="E5601" t="s">
        <v>1072</v>
      </c>
      <c r="F5601">
        <v>1389.04</v>
      </c>
      <c r="G5601">
        <v>230406</v>
      </c>
      <c r="H5601">
        <v>4572</v>
      </c>
      <c r="I5601" t="s">
        <v>122</v>
      </c>
      <c r="J5601">
        <v>1527.94</v>
      </c>
      <c r="K5601">
        <v>138.9</v>
      </c>
      <c r="L5601">
        <v>69111</v>
      </c>
      <c r="M5601" t="s">
        <v>471</v>
      </c>
      <c r="N5601" t="str">
        <f>"7230811910  "</f>
        <v xml:space="preserve">7230811910  </v>
      </c>
      <c r="O5601">
        <v>230413</v>
      </c>
    </row>
    <row r="5602" spans="1:15" x14ac:dyDescent="0.25">
      <c r="A5602" t="s">
        <v>16</v>
      </c>
      <c r="B5602" t="s">
        <v>3221</v>
      </c>
      <c r="C5602">
        <v>4875</v>
      </c>
      <c r="D5602" t="s">
        <v>1071</v>
      </c>
      <c r="E5602" t="s">
        <v>1072</v>
      </c>
      <c r="F5602">
        <v>2500.25</v>
      </c>
      <c r="G5602">
        <v>230406</v>
      </c>
      <c r="H5602">
        <v>4572</v>
      </c>
      <c r="I5602" t="s">
        <v>122</v>
      </c>
      <c r="J5602">
        <v>2750.28</v>
      </c>
      <c r="K5602">
        <v>250.03</v>
      </c>
      <c r="L5602">
        <v>69501</v>
      </c>
      <c r="M5602" t="s">
        <v>185</v>
      </c>
      <c r="N5602" t="str">
        <f>"7230811910  "</f>
        <v xml:space="preserve">7230811910  </v>
      </c>
      <c r="O5602">
        <v>230413</v>
      </c>
    </row>
    <row r="5603" spans="1:15" x14ac:dyDescent="0.25">
      <c r="A5603" t="s">
        <v>16</v>
      </c>
      <c r="B5603" t="s">
        <v>3221</v>
      </c>
      <c r="C5603">
        <v>4875</v>
      </c>
      <c r="D5603" t="s">
        <v>1071</v>
      </c>
      <c r="E5603" t="s">
        <v>1072</v>
      </c>
      <c r="F5603">
        <v>39.69</v>
      </c>
      <c r="G5603">
        <v>230406</v>
      </c>
      <c r="H5603">
        <v>4572</v>
      </c>
      <c r="I5603" t="s">
        <v>122</v>
      </c>
      <c r="J5603">
        <v>43.66</v>
      </c>
      <c r="K5603">
        <v>3.97</v>
      </c>
      <c r="L5603">
        <v>69801</v>
      </c>
      <c r="M5603" t="s">
        <v>1735</v>
      </c>
      <c r="N5603" t="str">
        <f>"7230811910  "</f>
        <v xml:space="preserve">7230811910  </v>
      </c>
      <c r="O5603">
        <v>230413</v>
      </c>
    </row>
    <row r="5604" spans="1:15" x14ac:dyDescent="0.25">
      <c r="A5604" t="s">
        <v>16</v>
      </c>
      <c r="B5604" t="s">
        <v>3221</v>
      </c>
      <c r="C5604">
        <v>4875</v>
      </c>
      <c r="D5604" t="s">
        <v>1071</v>
      </c>
      <c r="E5604" t="s">
        <v>1072</v>
      </c>
      <c r="F5604">
        <v>39.69</v>
      </c>
      <c r="G5604">
        <v>230406</v>
      </c>
      <c r="H5604">
        <v>4572</v>
      </c>
      <c r="I5604" t="s">
        <v>122</v>
      </c>
      <c r="J5604">
        <v>43.66</v>
      </c>
      <c r="K5604">
        <v>3.97</v>
      </c>
      <c r="L5604">
        <v>69803</v>
      </c>
      <c r="M5604" t="s">
        <v>755</v>
      </c>
      <c r="N5604" t="str">
        <f>"7230811910  "</f>
        <v xml:space="preserve">7230811910  </v>
      </c>
      <c r="O5604">
        <v>230413</v>
      </c>
    </row>
    <row r="5605" spans="1:15" x14ac:dyDescent="0.25">
      <c r="A5605" t="s">
        <v>16</v>
      </c>
      <c r="B5605" t="s">
        <v>3221</v>
      </c>
      <c r="C5605">
        <v>4893</v>
      </c>
      <c r="D5605" t="s">
        <v>1071</v>
      </c>
      <c r="E5605" t="s">
        <v>1072</v>
      </c>
      <c r="F5605">
        <v>4.9800000000000004</v>
      </c>
      <c r="G5605">
        <v>230406</v>
      </c>
      <c r="H5605">
        <v>4572</v>
      </c>
      <c r="I5605" t="s">
        <v>122</v>
      </c>
      <c r="J5605">
        <v>5.48</v>
      </c>
      <c r="K5605">
        <v>0.5</v>
      </c>
      <c r="L5605">
        <v>14952</v>
      </c>
      <c r="M5605" t="s">
        <v>99</v>
      </c>
      <c r="N5605" t="str">
        <f>"7230819909  "</f>
        <v xml:space="preserve">7230819909  </v>
      </c>
      <c r="O5605">
        <v>230414</v>
      </c>
    </row>
    <row r="5606" spans="1:15" x14ac:dyDescent="0.25">
      <c r="A5606" t="s">
        <v>16</v>
      </c>
      <c r="B5606" t="s">
        <v>3221</v>
      </c>
      <c r="C5606">
        <v>4893</v>
      </c>
      <c r="D5606" t="s">
        <v>1071</v>
      </c>
      <c r="E5606" t="s">
        <v>1072</v>
      </c>
      <c r="F5606">
        <v>11.64</v>
      </c>
      <c r="G5606">
        <v>230406</v>
      </c>
      <c r="H5606">
        <v>4572</v>
      </c>
      <c r="I5606" t="s">
        <v>122</v>
      </c>
      <c r="J5606">
        <v>12.8</v>
      </c>
      <c r="K5606">
        <v>1.1599999999999999</v>
      </c>
      <c r="L5606">
        <v>14981</v>
      </c>
      <c r="M5606" t="s">
        <v>1211</v>
      </c>
      <c r="N5606" t="str">
        <f>"7230819909  "</f>
        <v xml:space="preserve">7230819909  </v>
      </c>
      <c r="O5606">
        <v>230414</v>
      </c>
    </row>
    <row r="5607" spans="1:15" x14ac:dyDescent="0.25">
      <c r="A5607" t="s">
        <v>16</v>
      </c>
      <c r="B5607" t="s">
        <v>3221</v>
      </c>
      <c r="C5607">
        <v>4894</v>
      </c>
      <c r="D5607" t="s">
        <v>1071</v>
      </c>
      <c r="E5607" t="s">
        <v>1072</v>
      </c>
      <c r="F5607">
        <v>14.13</v>
      </c>
      <c r="G5607">
        <v>230412</v>
      </c>
      <c r="H5607">
        <v>4572</v>
      </c>
      <c r="I5607" t="s">
        <v>122</v>
      </c>
      <c r="J5607">
        <v>15.54</v>
      </c>
      <c r="K5607">
        <v>1.41</v>
      </c>
      <c r="L5607">
        <v>14952</v>
      </c>
      <c r="M5607" t="s">
        <v>99</v>
      </c>
      <c r="N5607" t="str">
        <f>"7230819899  "</f>
        <v xml:space="preserve">7230819899  </v>
      </c>
      <c r="O5607">
        <v>230414</v>
      </c>
    </row>
    <row r="5608" spans="1:15" x14ac:dyDescent="0.25">
      <c r="A5608" t="s">
        <v>16</v>
      </c>
      <c r="B5608" t="s">
        <v>3221</v>
      </c>
      <c r="C5608">
        <v>4894</v>
      </c>
      <c r="D5608" t="s">
        <v>1071</v>
      </c>
      <c r="E5608" t="s">
        <v>1072</v>
      </c>
      <c r="F5608">
        <v>32.96</v>
      </c>
      <c r="G5608">
        <v>230412</v>
      </c>
      <c r="H5608">
        <v>4572</v>
      </c>
      <c r="I5608" t="s">
        <v>122</v>
      </c>
      <c r="J5608">
        <v>36.26</v>
      </c>
      <c r="K5608">
        <v>3.3</v>
      </c>
      <c r="L5608">
        <v>14981</v>
      </c>
      <c r="M5608" t="s">
        <v>1211</v>
      </c>
      <c r="N5608" t="str">
        <f>"7230819899  "</f>
        <v xml:space="preserve">7230819899  </v>
      </c>
      <c r="O5608">
        <v>230414</v>
      </c>
    </row>
    <row r="5609" spans="1:15" x14ac:dyDescent="0.25">
      <c r="A5609" t="s">
        <v>16</v>
      </c>
      <c r="B5609" t="s">
        <v>3221</v>
      </c>
      <c r="C5609">
        <v>4900</v>
      </c>
      <c r="D5609" t="s">
        <v>1071</v>
      </c>
      <c r="E5609" t="s">
        <v>1072</v>
      </c>
      <c r="F5609">
        <v>1558.79</v>
      </c>
      <c r="G5609">
        <v>230406</v>
      </c>
      <c r="H5609">
        <v>4572</v>
      </c>
      <c r="I5609" t="s">
        <v>122</v>
      </c>
      <c r="J5609">
        <v>1714.67</v>
      </c>
      <c r="K5609">
        <v>155.88</v>
      </c>
      <c r="L5609">
        <v>14951</v>
      </c>
      <c r="M5609" t="s">
        <v>57</v>
      </c>
      <c r="N5609" t="str">
        <f>"7230811949  "</f>
        <v xml:space="preserve">7230811949  </v>
      </c>
      <c r="O5609">
        <v>230414</v>
      </c>
    </row>
    <row r="5610" spans="1:15" x14ac:dyDescent="0.25">
      <c r="A5610" t="s">
        <v>16</v>
      </c>
      <c r="B5610" t="s">
        <v>3221</v>
      </c>
      <c r="C5610">
        <v>4901</v>
      </c>
      <c r="D5610" t="s">
        <v>1071</v>
      </c>
      <c r="E5610" t="s">
        <v>1072</v>
      </c>
      <c r="F5610">
        <v>137.19</v>
      </c>
      <c r="G5610">
        <v>230406</v>
      </c>
      <c r="H5610">
        <v>4572</v>
      </c>
      <c r="I5610" t="s">
        <v>122</v>
      </c>
      <c r="J5610">
        <v>150.91</v>
      </c>
      <c r="K5610">
        <v>13.72</v>
      </c>
      <c r="L5610">
        <v>14952</v>
      </c>
      <c r="M5610" t="s">
        <v>99</v>
      </c>
      <c r="N5610" t="str">
        <f>"7230819886  "</f>
        <v xml:space="preserve">7230819886  </v>
      </c>
      <c r="O5610">
        <v>230414</v>
      </c>
    </row>
    <row r="5611" spans="1:15" x14ac:dyDescent="0.25">
      <c r="A5611" t="s">
        <v>16</v>
      </c>
      <c r="B5611" t="s">
        <v>3221</v>
      </c>
      <c r="C5611">
        <v>4901</v>
      </c>
      <c r="D5611" t="s">
        <v>1071</v>
      </c>
      <c r="E5611" t="s">
        <v>1072</v>
      </c>
      <c r="F5611">
        <v>320.10000000000002</v>
      </c>
      <c r="G5611">
        <v>230406</v>
      </c>
      <c r="H5611">
        <v>4572</v>
      </c>
      <c r="I5611" t="s">
        <v>122</v>
      </c>
      <c r="J5611">
        <v>352.11</v>
      </c>
      <c r="K5611">
        <v>32.01</v>
      </c>
      <c r="L5611">
        <v>14981</v>
      </c>
      <c r="M5611" t="s">
        <v>1211</v>
      </c>
      <c r="N5611" t="str">
        <f>"7230819886  "</f>
        <v xml:space="preserve">7230819886  </v>
      </c>
      <c r="O5611">
        <v>230414</v>
      </c>
    </row>
    <row r="5612" spans="1:15" x14ac:dyDescent="0.25">
      <c r="A5612" t="s">
        <v>16</v>
      </c>
      <c r="B5612" t="s">
        <v>3221</v>
      </c>
      <c r="C5612">
        <v>4910</v>
      </c>
      <c r="D5612" t="s">
        <v>1071</v>
      </c>
      <c r="E5612" t="s">
        <v>1072</v>
      </c>
      <c r="F5612">
        <v>360.14</v>
      </c>
      <c r="G5612">
        <v>230406</v>
      </c>
      <c r="H5612">
        <v>4572</v>
      </c>
      <c r="I5612" t="s">
        <v>122</v>
      </c>
      <c r="J5612">
        <v>446.57</v>
      </c>
      <c r="K5612">
        <v>86.43</v>
      </c>
      <c r="L5612">
        <v>13540</v>
      </c>
      <c r="M5612" t="s">
        <v>85</v>
      </c>
      <c r="N5612" t="str">
        <f>"7230811907  "</f>
        <v xml:space="preserve">7230811907  </v>
      </c>
      <c r="O5612">
        <v>230414</v>
      </c>
    </row>
    <row r="5613" spans="1:15" x14ac:dyDescent="0.25">
      <c r="A5613" t="s">
        <v>16</v>
      </c>
      <c r="B5613" t="s">
        <v>3221</v>
      </c>
      <c r="C5613">
        <v>4910</v>
      </c>
      <c r="D5613" t="s">
        <v>1071</v>
      </c>
      <c r="E5613" t="s">
        <v>1072</v>
      </c>
      <c r="F5613">
        <v>2913.86</v>
      </c>
      <c r="G5613">
        <v>230406</v>
      </c>
      <c r="H5613">
        <v>4572</v>
      </c>
      <c r="I5613" t="s">
        <v>122</v>
      </c>
      <c r="J5613">
        <v>3613.19</v>
      </c>
      <c r="K5613">
        <v>699.33</v>
      </c>
      <c r="L5613">
        <v>17950</v>
      </c>
      <c r="M5613" t="s">
        <v>86</v>
      </c>
      <c r="N5613" t="str">
        <f>"7230811907  "</f>
        <v xml:space="preserve">7230811907  </v>
      </c>
      <c r="O5613">
        <v>230414</v>
      </c>
    </row>
    <row r="5614" spans="1:15" x14ac:dyDescent="0.25">
      <c r="A5614" t="s">
        <v>16</v>
      </c>
      <c r="B5614" t="s">
        <v>3221</v>
      </c>
      <c r="C5614">
        <v>4911</v>
      </c>
      <c r="D5614" t="s">
        <v>1071</v>
      </c>
      <c r="E5614" t="s">
        <v>1072</v>
      </c>
      <c r="F5614">
        <v>2352.81</v>
      </c>
      <c r="G5614">
        <v>230406</v>
      </c>
      <c r="H5614">
        <v>4572</v>
      </c>
      <c r="I5614" t="s">
        <v>122</v>
      </c>
      <c r="J5614">
        <v>2588.09</v>
      </c>
      <c r="K5614">
        <v>235.28</v>
      </c>
      <c r="L5614">
        <v>17951</v>
      </c>
      <c r="M5614" t="s">
        <v>87</v>
      </c>
      <c r="N5614" t="str">
        <f>"7230811868  "</f>
        <v xml:space="preserve">7230811868  </v>
      </c>
      <c r="O5614">
        <v>230414</v>
      </c>
    </row>
    <row r="5615" spans="1:15" x14ac:dyDescent="0.25">
      <c r="A5615" t="s">
        <v>16</v>
      </c>
      <c r="B5615" t="s">
        <v>3221</v>
      </c>
      <c r="C5615">
        <v>4912</v>
      </c>
      <c r="D5615" t="s">
        <v>1071</v>
      </c>
      <c r="E5615" t="s">
        <v>1072</v>
      </c>
      <c r="F5615">
        <v>105.6</v>
      </c>
      <c r="G5615">
        <v>230406</v>
      </c>
      <c r="H5615">
        <v>4572</v>
      </c>
      <c r="I5615" t="s">
        <v>122</v>
      </c>
      <c r="J5615">
        <v>130.94</v>
      </c>
      <c r="K5615">
        <v>25.34</v>
      </c>
      <c r="L5615">
        <v>17956</v>
      </c>
      <c r="M5615" t="s">
        <v>53</v>
      </c>
      <c r="N5615" t="str">
        <f>"7230811884  "</f>
        <v xml:space="preserve">7230811884  </v>
      </c>
      <c r="O5615">
        <v>230414</v>
      </c>
    </row>
    <row r="5616" spans="1:15" x14ac:dyDescent="0.25">
      <c r="A5616" t="s">
        <v>16</v>
      </c>
      <c r="B5616" t="s">
        <v>3221</v>
      </c>
      <c r="C5616">
        <v>4913</v>
      </c>
      <c r="D5616" t="s">
        <v>1071</v>
      </c>
      <c r="E5616" t="s">
        <v>1072</v>
      </c>
      <c r="F5616">
        <v>852.31</v>
      </c>
      <c r="G5616">
        <v>230406</v>
      </c>
      <c r="H5616">
        <v>4572</v>
      </c>
      <c r="I5616" t="s">
        <v>122</v>
      </c>
      <c r="J5616">
        <v>1056.8599999999999</v>
      </c>
      <c r="K5616">
        <v>204.55</v>
      </c>
      <c r="L5616">
        <v>17956</v>
      </c>
      <c r="M5616" t="s">
        <v>53</v>
      </c>
      <c r="N5616" t="str">
        <f>"7230812029  "</f>
        <v xml:space="preserve">7230812029  </v>
      </c>
      <c r="O5616">
        <v>230414</v>
      </c>
    </row>
    <row r="5617" spans="1:15" x14ac:dyDescent="0.25">
      <c r="A5617" t="s">
        <v>16</v>
      </c>
      <c r="B5617" t="s">
        <v>3221</v>
      </c>
      <c r="C5617">
        <v>4914</v>
      </c>
      <c r="D5617" t="s">
        <v>1071</v>
      </c>
      <c r="E5617" t="s">
        <v>1072</v>
      </c>
      <c r="F5617">
        <v>82.11</v>
      </c>
      <c r="G5617">
        <v>230406</v>
      </c>
      <c r="H5617">
        <v>4572</v>
      </c>
      <c r="I5617" t="s">
        <v>122</v>
      </c>
      <c r="J5617">
        <v>101.82</v>
      </c>
      <c r="K5617">
        <v>19.71</v>
      </c>
      <c r="L5617">
        <v>17956</v>
      </c>
      <c r="M5617" t="s">
        <v>53</v>
      </c>
      <c r="N5617" t="str">
        <f>"7230811897  "</f>
        <v xml:space="preserve">7230811897  </v>
      </c>
      <c r="O5617">
        <v>230414</v>
      </c>
    </row>
    <row r="5618" spans="1:15" x14ac:dyDescent="0.25">
      <c r="A5618" t="s">
        <v>16</v>
      </c>
      <c r="B5618" t="s">
        <v>3221</v>
      </c>
      <c r="C5618">
        <v>4915</v>
      </c>
      <c r="D5618" t="s">
        <v>1071</v>
      </c>
      <c r="E5618" t="s">
        <v>1072</v>
      </c>
      <c r="F5618">
        <v>14</v>
      </c>
      <c r="G5618">
        <v>230406</v>
      </c>
      <c r="H5618">
        <v>4572</v>
      </c>
      <c r="I5618" t="s">
        <v>122</v>
      </c>
      <c r="J5618">
        <v>17.36</v>
      </c>
      <c r="K5618">
        <v>3.36</v>
      </c>
      <c r="L5618">
        <v>17956</v>
      </c>
      <c r="M5618" t="s">
        <v>53</v>
      </c>
      <c r="N5618" t="str">
        <f>"7230811965  "</f>
        <v xml:space="preserve">7230811965  </v>
      </c>
      <c r="O5618">
        <v>230414</v>
      </c>
    </row>
    <row r="5619" spans="1:15" x14ac:dyDescent="0.25">
      <c r="A5619" t="s">
        <v>16</v>
      </c>
      <c r="B5619" t="s">
        <v>3221</v>
      </c>
      <c r="C5619">
        <v>4916</v>
      </c>
      <c r="D5619" t="s">
        <v>1071</v>
      </c>
      <c r="E5619" t="s">
        <v>1072</v>
      </c>
      <c r="F5619">
        <v>8.15</v>
      </c>
      <c r="G5619">
        <v>230406</v>
      </c>
      <c r="H5619">
        <v>4572</v>
      </c>
      <c r="I5619" t="s">
        <v>122</v>
      </c>
      <c r="J5619">
        <v>10.1</v>
      </c>
      <c r="K5619">
        <v>1.95</v>
      </c>
      <c r="L5619">
        <v>17981</v>
      </c>
      <c r="M5619" t="s">
        <v>218</v>
      </c>
      <c r="N5619" t="str">
        <f>"7230811855  "</f>
        <v xml:space="preserve">7230811855  </v>
      </c>
      <c r="O5619">
        <v>230414</v>
      </c>
    </row>
    <row r="5620" spans="1:15" x14ac:dyDescent="0.25">
      <c r="A5620" t="s">
        <v>16</v>
      </c>
      <c r="B5620" t="s">
        <v>3221</v>
      </c>
      <c r="C5620">
        <v>4917</v>
      </c>
      <c r="D5620" t="s">
        <v>1071</v>
      </c>
      <c r="E5620" t="s">
        <v>1072</v>
      </c>
      <c r="F5620">
        <v>26</v>
      </c>
      <c r="G5620">
        <v>230406</v>
      </c>
      <c r="H5620">
        <v>4572</v>
      </c>
      <c r="I5620" t="s">
        <v>122</v>
      </c>
      <c r="J5620">
        <v>32.24</v>
      </c>
      <c r="K5620">
        <v>6.24</v>
      </c>
      <c r="L5620">
        <v>17956</v>
      </c>
      <c r="M5620" t="s">
        <v>53</v>
      </c>
      <c r="N5620" t="str">
        <f>"7230811978  "</f>
        <v xml:space="preserve">7230811978  </v>
      </c>
      <c r="O5620">
        <v>230414</v>
      </c>
    </row>
    <row r="5621" spans="1:15" x14ac:dyDescent="0.25">
      <c r="A5621" t="s">
        <v>16</v>
      </c>
      <c r="B5621" t="s">
        <v>3221</v>
      </c>
      <c r="C5621">
        <v>4918</v>
      </c>
      <c r="D5621" t="s">
        <v>1071</v>
      </c>
      <c r="E5621" t="s">
        <v>1072</v>
      </c>
      <c r="F5621">
        <v>272.18</v>
      </c>
      <c r="G5621">
        <v>230406</v>
      </c>
      <c r="H5621">
        <v>4572</v>
      </c>
      <c r="I5621" t="s">
        <v>122</v>
      </c>
      <c r="J5621">
        <v>337.5</v>
      </c>
      <c r="K5621">
        <v>65.319999999999993</v>
      </c>
      <c r="L5621">
        <v>17950</v>
      </c>
      <c r="M5621" t="s">
        <v>86</v>
      </c>
      <c r="N5621" t="str">
        <f>"7230812090  "</f>
        <v xml:space="preserve">7230812090  </v>
      </c>
      <c r="O5621">
        <v>230414</v>
      </c>
    </row>
    <row r="5622" spans="1:15" x14ac:dyDescent="0.25">
      <c r="A5622" t="s">
        <v>16</v>
      </c>
      <c r="B5622" t="s">
        <v>3221</v>
      </c>
      <c r="C5622">
        <v>4952</v>
      </c>
      <c r="D5622" t="s">
        <v>1071</v>
      </c>
      <c r="E5622" t="s">
        <v>1072</v>
      </c>
      <c r="F5622">
        <v>100.12</v>
      </c>
      <c r="G5622">
        <v>230406</v>
      </c>
      <c r="H5622">
        <v>4572</v>
      </c>
      <c r="I5622" t="s">
        <v>122</v>
      </c>
      <c r="J5622">
        <v>110.13</v>
      </c>
      <c r="K5622">
        <v>10.01</v>
      </c>
      <c r="L5622">
        <v>11401</v>
      </c>
      <c r="M5622" t="s">
        <v>84</v>
      </c>
      <c r="N5622" t="str">
        <f>"7230812171  "</f>
        <v xml:space="preserve">7230812171  </v>
      </c>
      <c r="O5622">
        <v>230414</v>
      </c>
    </row>
    <row r="5623" spans="1:15" x14ac:dyDescent="0.25">
      <c r="A5623" t="s">
        <v>16</v>
      </c>
      <c r="B5623" t="s">
        <v>3221</v>
      </c>
      <c r="C5623">
        <v>4952</v>
      </c>
      <c r="D5623" t="s">
        <v>1071</v>
      </c>
      <c r="E5623" t="s">
        <v>1072</v>
      </c>
      <c r="F5623">
        <v>200.25</v>
      </c>
      <c r="G5623">
        <v>230406</v>
      </c>
      <c r="H5623">
        <v>4572</v>
      </c>
      <c r="I5623" t="s">
        <v>122</v>
      </c>
      <c r="J5623">
        <v>220.27</v>
      </c>
      <c r="K5623">
        <v>20.02</v>
      </c>
      <c r="L5623">
        <v>14952</v>
      </c>
      <c r="M5623" t="s">
        <v>99</v>
      </c>
      <c r="N5623" t="str">
        <f>"7230812171  "</f>
        <v xml:space="preserve">7230812171  </v>
      </c>
      <c r="O5623">
        <v>230414</v>
      </c>
    </row>
    <row r="5624" spans="1:15" x14ac:dyDescent="0.25">
      <c r="A5624" t="s">
        <v>16</v>
      </c>
      <c r="B5624" t="s">
        <v>3221</v>
      </c>
      <c r="C5624">
        <v>4953</v>
      </c>
      <c r="D5624" t="s">
        <v>1071</v>
      </c>
      <c r="E5624" t="s">
        <v>1072</v>
      </c>
      <c r="F5624">
        <v>12.23</v>
      </c>
      <c r="G5624">
        <v>230406</v>
      </c>
      <c r="H5624">
        <v>4572</v>
      </c>
      <c r="I5624" t="s">
        <v>122</v>
      </c>
      <c r="J5624">
        <v>13.45</v>
      </c>
      <c r="K5624">
        <v>1.22</v>
      </c>
      <c r="L5624">
        <v>11401</v>
      </c>
      <c r="M5624" t="s">
        <v>84</v>
      </c>
      <c r="N5624" t="str">
        <f>"7230812168  "</f>
        <v xml:space="preserve">7230812168  </v>
      </c>
      <c r="O5624">
        <v>230414</v>
      </c>
    </row>
    <row r="5625" spans="1:15" x14ac:dyDescent="0.25">
      <c r="A5625" t="s">
        <v>16</v>
      </c>
      <c r="B5625" t="s">
        <v>3221</v>
      </c>
      <c r="C5625">
        <v>4953</v>
      </c>
      <c r="D5625" t="s">
        <v>1071</v>
      </c>
      <c r="E5625" t="s">
        <v>1072</v>
      </c>
      <c r="F5625">
        <v>24.46</v>
      </c>
      <c r="G5625">
        <v>230406</v>
      </c>
      <c r="H5625">
        <v>4572</v>
      </c>
      <c r="I5625" t="s">
        <v>122</v>
      </c>
      <c r="J5625">
        <v>26.91</v>
      </c>
      <c r="K5625">
        <v>2.4500000000000002</v>
      </c>
      <c r="L5625">
        <v>14952</v>
      </c>
      <c r="M5625" t="s">
        <v>99</v>
      </c>
      <c r="N5625" t="str">
        <f>"7230812168  "</f>
        <v xml:space="preserve">7230812168  </v>
      </c>
      <c r="O5625">
        <v>230414</v>
      </c>
    </row>
    <row r="5626" spans="1:15" x14ac:dyDescent="0.25">
      <c r="A5626" t="s">
        <v>16</v>
      </c>
      <c r="B5626" t="s">
        <v>3221</v>
      </c>
      <c r="C5626">
        <v>5015</v>
      </c>
      <c r="D5626" t="s">
        <v>1071</v>
      </c>
      <c r="E5626" t="s">
        <v>1072</v>
      </c>
      <c r="F5626">
        <v>14.89</v>
      </c>
      <c r="G5626">
        <v>230406</v>
      </c>
      <c r="H5626">
        <v>4572</v>
      </c>
      <c r="I5626" t="s">
        <v>122</v>
      </c>
      <c r="J5626">
        <v>14.89</v>
      </c>
      <c r="K5626">
        <v>0</v>
      </c>
      <c r="L5626">
        <v>11001</v>
      </c>
      <c r="M5626" t="s">
        <v>326</v>
      </c>
      <c r="N5626" t="str">
        <f>"7230818560  "</f>
        <v xml:space="preserve">7230818560  </v>
      </c>
      <c r="O5626">
        <v>230417</v>
      </c>
    </row>
    <row r="5627" spans="1:15" x14ac:dyDescent="0.25">
      <c r="A5627" t="s">
        <v>16</v>
      </c>
      <c r="B5627" t="s">
        <v>3221</v>
      </c>
      <c r="C5627">
        <v>5077</v>
      </c>
      <c r="D5627" t="s">
        <v>1071</v>
      </c>
      <c r="E5627" t="s">
        <v>1072</v>
      </c>
      <c r="F5627">
        <v>27.89</v>
      </c>
      <c r="G5627">
        <v>230406</v>
      </c>
      <c r="H5627">
        <v>4572</v>
      </c>
      <c r="I5627" t="s">
        <v>122</v>
      </c>
      <c r="J5627">
        <v>30.68</v>
      </c>
      <c r="K5627">
        <v>2.79</v>
      </c>
      <c r="L5627">
        <v>13841</v>
      </c>
      <c r="M5627" t="s">
        <v>47</v>
      </c>
      <c r="N5627" t="str">
        <f>"7230822381  "</f>
        <v xml:space="preserve">7230822381  </v>
      </c>
      <c r="O5627">
        <v>230418</v>
      </c>
    </row>
    <row r="5628" spans="1:15" x14ac:dyDescent="0.25">
      <c r="A5628" t="s">
        <v>16</v>
      </c>
      <c r="B5628" t="s">
        <v>3221</v>
      </c>
      <c r="C5628">
        <v>5201</v>
      </c>
      <c r="D5628" t="s">
        <v>1071</v>
      </c>
      <c r="E5628" t="s">
        <v>1072</v>
      </c>
      <c r="F5628">
        <v>1023.61</v>
      </c>
      <c r="G5628">
        <v>230406</v>
      </c>
      <c r="H5628">
        <v>4572</v>
      </c>
      <c r="I5628" t="s">
        <v>122</v>
      </c>
      <c r="J5628">
        <v>1125.97</v>
      </c>
      <c r="K5628">
        <v>102.36</v>
      </c>
      <c r="L5628">
        <v>49501</v>
      </c>
      <c r="M5628" t="s">
        <v>177</v>
      </c>
      <c r="N5628" t="str">
        <f>"7230811936  "</f>
        <v xml:space="preserve">7230811936  </v>
      </c>
      <c r="O5628">
        <v>230419</v>
      </c>
    </row>
    <row r="5629" spans="1:15" x14ac:dyDescent="0.25">
      <c r="A5629" t="s">
        <v>16</v>
      </c>
      <c r="B5629" t="s">
        <v>3221</v>
      </c>
      <c r="C5629">
        <v>5201</v>
      </c>
      <c r="D5629" t="s">
        <v>1071</v>
      </c>
      <c r="E5629" t="s">
        <v>1072</v>
      </c>
      <c r="F5629">
        <v>53.87</v>
      </c>
      <c r="G5629">
        <v>230406</v>
      </c>
      <c r="H5629">
        <v>4572</v>
      </c>
      <c r="I5629" t="s">
        <v>122</v>
      </c>
      <c r="J5629">
        <v>59.26</v>
      </c>
      <c r="K5629">
        <v>5.39</v>
      </c>
      <c r="L5629">
        <v>49801</v>
      </c>
      <c r="M5629" t="s">
        <v>1227</v>
      </c>
      <c r="N5629" t="str">
        <f>"7230811936  "</f>
        <v xml:space="preserve">7230811936  </v>
      </c>
      <c r="O5629">
        <v>230419</v>
      </c>
    </row>
    <row r="5630" spans="1:15" x14ac:dyDescent="0.25">
      <c r="A5630" t="s">
        <v>16</v>
      </c>
      <c r="B5630" t="s">
        <v>3221</v>
      </c>
      <c r="C5630">
        <v>5203</v>
      </c>
      <c r="D5630" t="s">
        <v>1071</v>
      </c>
      <c r="E5630" t="s">
        <v>1072</v>
      </c>
      <c r="F5630">
        <v>1035.8499999999999</v>
      </c>
      <c r="G5630">
        <v>230406</v>
      </c>
      <c r="H5630">
        <v>4572</v>
      </c>
      <c r="I5630" t="s">
        <v>122</v>
      </c>
      <c r="J5630">
        <v>1139.43</v>
      </c>
      <c r="K5630">
        <v>103.58</v>
      </c>
      <c r="L5630">
        <v>49503</v>
      </c>
      <c r="M5630" t="s">
        <v>178</v>
      </c>
      <c r="N5630" t="str">
        <f>"7230812003  "</f>
        <v xml:space="preserve">7230812003  </v>
      </c>
      <c r="O5630">
        <v>230419</v>
      </c>
    </row>
    <row r="5631" spans="1:15" x14ac:dyDescent="0.25">
      <c r="A5631" t="s">
        <v>16</v>
      </c>
      <c r="B5631" t="s">
        <v>3221</v>
      </c>
      <c r="C5631">
        <v>5218</v>
      </c>
      <c r="D5631" t="s">
        <v>1071</v>
      </c>
      <c r="E5631" t="s">
        <v>1072</v>
      </c>
      <c r="F5631">
        <v>2467.6999999999998</v>
      </c>
      <c r="G5631">
        <v>230406</v>
      </c>
      <c r="H5631">
        <v>4572</v>
      </c>
      <c r="I5631" t="s">
        <v>122</v>
      </c>
      <c r="J5631">
        <v>2714.47</v>
      </c>
      <c r="K5631">
        <v>246.77</v>
      </c>
      <c r="L5631">
        <v>49501</v>
      </c>
      <c r="M5631" t="s">
        <v>177</v>
      </c>
      <c r="N5631" t="str">
        <f>"7230812087  "</f>
        <v xml:space="preserve">7230812087  </v>
      </c>
      <c r="O5631">
        <v>230419</v>
      </c>
    </row>
    <row r="5632" spans="1:15" x14ac:dyDescent="0.25">
      <c r="A5632" t="s">
        <v>16</v>
      </c>
      <c r="B5632" t="s">
        <v>3221</v>
      </c>
      <c r="C5632">
        <v>5218</v>
      </c>
      <c r="D5632" t="s">
        <v>1071</v>
      </c>
      <c r="E5632" t="s">
        <v>1072</v>
      </c>
      <c r="F5632">
        <v>133.9</v>
      </c>
      <c r="G5632">
        <v>230406</v>
      </c>
      <c r="H5632">
        <v>4572</v>
      </c>
      <c r="I5632" t="s">
        <v>122</v>
      </c>
      <c r="J5632">
        <v>147.29</v>
      </c>
      <c r="K5632">
        <v>13.39</v>
      </c>
      <c r="L5632">
        <v>49801</v>
      </c>
      <c r="M5632" t="s">
        <v>1227</v>
      </c>
      <c r="N5632" t="str">
        <f>"7230812087  "</f>
        <v xml:space="preserve">7230812087  </v>
      </c>
      <c r="O5632">
        <v>230419</v>
      </c>
    </row>
    <row r="5633" spans="1:15" x14ac:dyDescent="0.25">
      <c r="A5633" t="s">
        <v>16</v>
      </c>
      <c r="B5633" t="s">
        <v>3221</v>
      </c>
      <c r="C5633">
        <v>5218</v>
      </c>
      <c r="D5633" t="s">
        <v>1071</v>
      </c>
      <c r="E5633" t="s">
        <v>1072</v>
      </c>
      <c r="F5633">
        <v>76.319999999999993</v>
      </c>
      <c r="G5633">
        <v>230406</v>
      </c>
      <c r="H5633">
        <v>4572</v>
      </c>
      <c r="I5633" t="s">
        <v>122</v>
      </c>
      <c r="J5633">
        <v>83.95</v>
      </c>
      <c r="K5633">
        <v>7.63</v>
      </c>
      <c r="L5633">
        <v>49803</v>
      </c>
      <c r="M5633" t="s">
        <v>1229</v>
      </c>
      <c r="N5633" t="str">
        <f>"7230812087  "</f>
        <v xml:space="preserve">7230812087  </v>
      </c>
      <c r="O5633">
        <v>230419</v>
      </c>
    </row>
    <row r="5634" spans="1:15" x14ac:dyDescent="0.25">
      <c r="A5634" t="s">
        <v>16</v>
      </c>
      <c r="B5634" t="s">
        <v>3221</v>
      </c>
      <c r="C5634">
        <v>6259</v>
      </c>
      <c r="D5634" t="s">
        <v>1071</v>
      </c>
      <c r="E5634" t="s">
        <v>1072</v>
      </c>
      <c r="F5634">
        <v>191.82</v>
      </c>
      <c r="G5634">
        <v>230508</v>
      </c>
      <c r="H5634">
        <v>4572</v>
      </c>
      <c r="I5634" t="s">
        <v>122</v>
      </c>
      <c r="J5634">
        <v>211</v>
      </c>
      <c r="K5634">
        <v>19.18</v>
      </c>
      <c r="L5634">
        <v>17950</v>
      </c>
      <c r="M5634" t="s">
        <v>86</v>
      </c>
      <c r="N5634" t="str">
        <f>"7231089903  "</f>
        <v xml:space="preserve">7231089903  </v>
      </c>
      <c r="O5634">
        <v>230509</v>
      </c>
    </row>
    <row r="5635" spans="1:15" x14ac:dyDescent="0.25">
      <c r="A5635" t="s">
        <v>16</v>
      </c>
      <c r="B5635" t="s">
        <v>3221</v>
      </c>
      <c r="C5635">
        <v>6260</v>
      </c>
      <c r="D5635" t="s">
        <v>1071</v>
      </c>
      <c r="E5635" t="s">
        <v>1072</v>
      </c>
      <c r="F5635">
        <v>17.690000000000001</v>
      </c>
      <c r="G5635">
        <v>230508</v>
      </c>
      <c r="H5635">
        <v>4572</v>
      </c>
      <c r="I5635" t="s">
        <v>122</v>
      </c>
      <c r="J5635">
        <v>19.46</v>
      </c>
      <c r="K5635">
        <v>1.77</v>
      </c>
      <c r="L5635">
        <v>56571</v>
      </c>
      <c r="M5635" t="s">
        <v>204</v>
      </c>
      <c r="N5635" t="str">
        <f>"7231089893  "</f>
        <v xml:space="preserve">7231089893  </v>
      </c>
      <c r="O5635">
        <v>230509</v>
      </c>
    </row>
    <row r="5636" spans="1:15" x14ac:dyDescent="0.25">
      <c r="A5636" t="s">
        <v>16</v>
      </c>
      <c r="B5636" t="s">
        <v>3221</v>
      </c>
      <c r="C5636">
        <v>6261</v>
      </c>
      <c r="D5636" t="s">
        <v>1071</v>
      </c>
      <c r="E5636" t="s">
        <v>1072</v>
      </c>
      <c r="F5636">
        <v>17.37</v>
      </c>
      <c r="G5636">
        <v>230508</v>
      </c>
      <c r="H5636">
        <v>4572</v>
      </c>
      <c r="I5636" t="s">
        <v>122</v>
      </c>
      <c r="J5636">
        <v>19.11</v>
      </c>
      <c r="K5636">
        <v>1.74</v>
      </c>
      <c r="L5636">
        <v>56571</v>
      </c>
      <c r="M5636" t="s">
        <v>204</v>
      </c>
      <c r="N5636" t="str">
        <f>"7231089880  "</f>
        <v xml:space="preserve">7231089880  </v>
      </c>
      <c r="O5636">
        <v>230509</v>
      </c>
    </row>
    <row r="5637" spans="1:15" x14ac:dyDescent="0.25">
      <c r="A5637" t="s">
        <v>16</v>
      </c>
      <c r="B5637" t="s">
        <v>3221</v>
      </c>
      <c r="C5637">
        <v>6262</v>
      </c>
      <c r="D5637" t="s">
        <v>1071</v>
      </c>
      <c r="E5637" t="s">
        <v>1072</v>
      </c>
      <c r="F5637">
        <v>291.27999999999997</v>
      </c>
      <c r="G5637">
        <v>230508</v>
      </c>
      <c r="H5637">
        <v>4572</v>
      </c>
      <c r="I5637" t="s">
        <v>122</v>
      </c>
      <c r="J5637">
        <v>320.41000000000003</v>
      </c>
      <c r="K5637">
        <v>29.13</v>
      </c>
      <c r="L5637">
        <v>13540</v>
      </c>
      <c r="M5637" t="s">
        <v>85</v>
      </c>
      <c r="N5637" t="str">
        <f>"7231089699  "</f>
        <v xml:space="preserve">7231089699  </v>
      </c>
      <c r="O5637">
        <v>230509</v>
      </c>
    </row>
    <row r="5638" spans="1:15" x14ac:dyDescent="0.25">
      <c r="A5638" t="s">
        <v>16</v>
      </c>
      <c r="B5638" t="s">
        <v>3221</v>
      </c>
      <c r="C5638">
        <v>6262</v>
      </c>
      <c r="D5638" t="s">
        <v>1071</v>
      </c>
      <c r="E5638" t="s">
        <v>1072</v>
      </c>
      <c r="F5638">
        <v>2356.7399999999998</v>
      </c>
      <c r="G5638">
        <v>230508</v>
      </c>
      <c r="H5638">
        <v>4572</v>
      </c>
      <c r="I5638" t="s">
        <v>122</v>
      </c>
      <c r="J5638">
        <v>2592.41</v>
      </c>
      <c r="K5638">
        <v>235.67</v>
      </c>
      <c r="L5638">
        <v>17950</v>
      </c>
      <c r="M5638" t="s">
        <v>86</v>
      </c>
      <c r="N5638" t="str">
        <f>"7231089699  "</f>
        <v xml:space="preserve">7231089699  </v>
      </c>
      <c r="O5638">
        <v>230509</v>
      </c>
    </row>
    <row r="5639" spans="1:15" x14ac:dyDescent="0.25">
      <c r="A5639" t="s">
        <v>16</v>
      </c>
      <c r="B5639" t="s">
        <v>3221</v>
      </c>
      <c r="C5639">
        <v>6265</v>
      </c>
      <c r="D5639" t="s">
        <v>1071</v>
      </c>
      <c r="E5639" t="s">
        <v>1072</v>
      </c>
      <c r="F5639">
        <v>17.53</v>
      </c>
      <c r="G5639">
        <v>230508</v>
      </c>
      <c r="H5639">
        <v>4572</v>
      </c>
      <c r="I5639" t="s">
        <v>122</v>
      </c>
      <c r="J5639">
        <v>19.28</v>
      </c>
      <c r="K5639">
        <v>1.75</v>
      </c>
      <c r="L5639">
        <v>13841</v>
      </c>
      <c r="M5639" t="s">
        <v>47</v>
      </c>
      <c r="N5639" t="str">
        <f>"7231099993  "</f>
        <v xml:space="preserve">7231099993  </v>
      </c>
      <c r="O5639">
        <v>230509</v>
      </c>
    </row>
    <row r="5640" spans="1:15" x14ac:dyDescent="0.25">
      <c r="A5640" t="s">
        <v>16</v>
      </c>
      <c r="B5640" t="s">
        <v>3221</v>
      </c>
      <c r="C5640">
        <v>6266</v>
      </c>
      <c r="D5640" t="s">
        <v>1071</v>
      </c>
      <c r="E5640" t="s">
        <v>1072</v>
      </c>
      <c r="F5640">
        <v>13.8</v>
      </c>
      <c r="G5640">
        <v>230508</v>
      </c>
      <c r="H5640">
        <v>4572</v>
      </c>
      <c r="I5640" t="s">
        <v>122</v>
      </c>
      <c r="J5640">
        <v>15.18</v>
      </c>
      <c r="K5640">
        <v>1.38</v>
      </c>
      <c r="L5640">
        <v>17956</v>
      </c>
      <c r="M5640" t="s">
        <v>53</v>
      </c>
      <c r="N5640" t="str">
        <f>"7231089767  "</f>
        <v xml:space="preserve">7231089767  </v>
      </c>
      <c r="O5640">
        <v>230509</v>
      </c>
    </row>
    <row r="5641" spans="1:15" x14ac:dyDescent="0.25">
      <c r="A5641" t="s">
        <v>16</v>
      </c>
      <c r="B5641" t="s">
        <v>3221</v>
      </c>
      <c r="C5641">
        <v>6268</v>
      </c>
      <c r="D5641" t="s">
        <v>1071</v>
      </c>
      <c r="E5641" t="s">
        <v>1072</v>
      </c>
      <c r="F5641">
        <v>908.06</v>
      </c>
      <c r="G5641">
        <v>230508</v>
      </c>
      <c r="H5641">
        <v>4572</v>
      </c>
      <c r="I5641" t="s">
        <v>122</v>
      </c>
      <c r="J5641">
        <v>998.87</v>
      </c>
      <c r="K5641">
        <v>90.81</v>
      </c>
      <c r="L5641">
        <v>17956</v>
      </c>
      <c r="M5641" t="s">
        <v>53</v>
      </c>
      <c r="N5641" t="str">
        <f>"7231089819  "</f>
        <v xml:space="preserve">7231089819  </v>
      </c>
      <c r="O5641">
        <v>230509</v>
      </c>
    </row>
    <row r="5642" spans="1:15" x14ac:dyDescent="0.25">
      <c r="A5642" t="s">
        <v>16</v>
      </c>
      <c r="B5642" t="s">
        <v>3221</v>
      </c>
      <c r="C5642">
        <v>6270</v>
      </c>
      <c r="D5642" t="s">
        <v>1071</v>
      </c>
      <c r="E5642" t="s">
        <v>1072</v>
      </c>
      <c r="F5642">
        <v>947.8</v>
      </c>
      <c r="G5642">
        <v>230508</v>
      </c>
      <c r="H5642">
        <v>4572</v>
      </c>
      <c r="I5642" t="s">
        <v>122</v>
      </c>
      <c r="J5642">
        <v>1042.58</v>
      </c>
      <c r="K5642">
        <v>94.78</v>
      </c>
      <c r="L5642">
        <v>59502</v>
      </c>
      <c r="M5642" t="s">
        <v>70</v>
      </c>
      <c r="N5642" t="str">
        <f>"7231089783  "</f>
        <v xml:space="preserve">7231089783  </v>
      </c>
      <c r="O5642">
        <v>230509</v>
      </c>
    </row>
    <row r="5643" spans="1:15" x14ac:dyDescent="0.25">
      <c r="A5643" t="s">
        <v>16</v>
      </c>
      <c r="B5643" t="s">
        <v>3221</v>
      </c>
      <c r="C5643">
        <v>6270</v>
      </c>
      <c r="D5643" t="s">
        <v>1071</v>
      </c>
      <c r="E5643" t="s">
        <v>1072</v>
      </c>
      <c r="F5643">
        <v>605.96</v>
      </c>
      <c r="G5643">
        <v>230508</v>
      </c>
      <c r="H5643">
        <v>4572</v>
      </c>
      <c r="I5643" t="s">
        <v>122</v>
      </c>
      <c r="J5643">
        <v>666.56</v>
      </c>
      <c r="K5643">
        <v>60.6</v>
      </c>
      <c r="L5643">
        <v>59802</v>
      </c>
      <c r="M5643" t="s">
        <v>73</v>
      </c>
      <c r="N5643" t="str">
        <f>"7231089783  "</f>
        <v xml:space="preserve">7231089783  </v>
      </c>
      <c r="O5643">
        <v>230509</v>
      </c>
    </row>
    <row r="5644" spans="1:15" x14ac:dyDescent="0.25">
      <c r="A5644" t="s">
        <v>16</v>
      </c>
      <c r="B5644" t="s">
        <v>3221</v>
      </c>
      <c r="C5644">
        <v>6271</v>
      </c>
      <c r="D5644" t="s">
        <v>1071</v>
      </c>
      <c r="E5644" t="s">
        <v>1072</v>
      </c>
      <c r="F5644">
        <v>75.52</v>
      </c>
      <c r="G5644">
        <v>230508</v>
      </c>
      <c r="H5644">
        <v>4572</v>
      </c>
      <c r="I5644" t="s">
        <v>122</v>
      </c>
      <c r="J5644">
        <v>83.07</v>
      </c>
      <c r="K5644">
        <v>7.55</v>
      </c>
      <c r="L5644">
        <v>17956</v>
      </c>
      <c r="M5644" t="s">
        <v>53</v>
      </c>
      <c r="N5644" t="str">
        <f>"7231089686  "</f>
        <v xml:space="preserve">7231089686  </v>
      </c>
      <c r="O5644">
        <v>230509</v>
      </c>
    </row>
    <row r="5645" spans="1:15" x14ac:dyDescent="0.25">
      <c r="A5645" t="s">
        <v>16</v>
      </c>
      <c r="B5645" t="s">
        <v>3221</v>
      </c>
      <c r="C5645">
        <v>6272</v>
      </c>
      <c r="D5645" t="s">
        <v>1071</v>
      </c>
      <c r="E5645" t="s">
        <v>1072</v>
      </c>
      <c r="F5645">
        <v>4.72</v>
      </c>
      <c r="G5645">
        <v>230508</v>
      </c>
      <c r="H5645">
        <v>4572</v>
      </c>
      <c r="I5645" t="s">
        <v>122</v>
      </c>
      <c r="J5645">
        <v>5.19</v>
      </c>
      <c r="K5645">
        <v>0.47</v>
      </c>
      <c r="L5645">
        <v>17981</v>
      </c>
      <c r="M5645" t="s">
        <v>218</v>
      </c>
      <c r="N5645" t="str">
        <f>"7231089644  "</f>
        <v xml:space="preserve">7231089644  </v>
      </c>
      <c r="O5645">
        <v>230509</v>
      </c>
    </row>
    <row r="5646" spans="1:15" x14ac:dyDescent="0.25">
      <c r="A5646" t="s">
        <v>16</v>
      </c>
      <c r="B5646" t="s">
        <v>3221</v>
      </c>
      <c r="C5646">
        <v>6273</v>
      </c>
      <c r="D5646" t="s">
        <v>1071</v>
      </c>
      <c r="E5646" t="s">
        <v>1072</v>
      </c>
      <c r="F5646">
        <v>3.85</v>
      </c>
      <c r="G5646">
        <v>230508</v>
      </c>
      <c r="H5646">
        <v>4572</v>
      </c>
      <c r="I5646" t="s">
        <v>122</v>
      </c>
      <c r="J5646">
        <v>3.85</v>
      </c>
      <c r="K5646">
        <v>0</v>
      </c>
      <c r="L5646">
        <v>59813</v>
      </c>
      <c r="M5646" t="s">
        <v>915</v>
      </c>
      <c r="N5646" t="str">
        <f>"7231089851  "</f>
        <v xml:space="preserve">7231089851  </v>
      </c>
      <c r="O5646">
        <v>230509</v>
      </c>
    </row>
    <row r="5647" spans="1:15" x14ac:dyDescent="0.25">
      <c r="A5647" t="s">
        <v>16</v>
      </c>
      <c r="B5647" t="s">
        <v>3221</v>
      </c>
      <c r="C5647">
        <v>6274</v>
      </c>
      <c r="D5647" t="s">
        <v>1071</v>
      </c>
      <c r="E5647" t="s">
        <v>1072</v>
      </c>
      <c r="F5647">
        <v>592.41</v>
      </c>
      <c r="G5647">
        <v>230508</v>
      </c>
      <c r="H5647">
        <v>4572</v>
      </c>
      <c r="I5647" t="s">
        <v>122</v>
      </c>
      <c r="J5647">
        <v>651.65</v>
      </c>
      <c r="K5647">
        <v>59.24</v>
      </c>
      <c r="L5647">
        <v>59505</v>
      </c>
      <c r="M5647" t="s">
        <v>72</v>
      </c>
      <c r="N5647" t="str">
        <f>"7231089806  "</f>
        <v xml:space="preserve">7231089806  </v>
      </c>
      <c r="O5647">
        <v>230509</v>
      </c>
    </row>
    <row r="5648" spans="1:15" x14ac:dyDescent="0.25">
      <c r="A5648" t="s">
        <v>16</v>
      </c>
      <c r="B5648" t="s">
        <v>3221</v>
      </c>
      <c r="C5648">
        <v>6274</v>
      </c>
      <c r="D5648" t="s">
        <v>1071</v>
      </c>
      <c r="E5648" t="s">
        <v>1072</v>
      </c>
      <c r="F5648">
        <v>80.78</v>
      </c>
      <c r="G5648">
        <v>230508</v>
      </c>
      <c r="H5648">
        <v>4572</v>
      </c>
      <c r="I5648" t="s">
        <v>122</v>
      </c>
      <c r="J5648">
        <v>88.86</v>
      </c>
      <c r="K5648">
        <v>8.08</v>
      </c>
      <c r="L5648">
        <v>59812</v>
      </c>
      <c r="M5648" t="s">
        <v>74</v>
      </c>
      <c r="N5648" t="str">
        <f>"7231089806  "</f>
        <v xml:space="preserve">7231089806  </v>
      </c>
      <c r="O5648">
        <v>230509</v>
      </c>
    </row>
    <row r="5649" spans="1:15" x14ac:dyDescent="0.25">
      <c r="A5649" t="s">
        <v>16</v>
      </c>
      <c r="B5649" t="s">
        <v>3221</v>
      </c>
      <c r="C5649">
        <v>6275</v>
      </c>
      <c r="D5649" t="s">
        <v>1071</v>
      </c>
      <c r="E5649" t="s">
        <v>1072</v>
      </c>
      <c r="F5649">
        <v>85.39</v>
      </c>
      <c r="G5649">
        <v>230508</v>
      </c>
      <c r="H5649">
        <v>4572</v>
      </c>
      <c r="I5649" t="s">
        <v>122</v>
      </c>
      <c r="J5649">
        <v>93.93</v>
      </c>
      <c r="K5649">
        <v>8.5399999999999991</v>
      </c>
      <c r="L5649">
        <v>17956</v>
      </c>
      <c r="M5649" t="s">
        <v>53</v>
      </c>
      <c r="N5649" t="str">
        <f>"7231089673  "</f>
        <v xml:space="preserve">7231089673  </v>
      </c>
      <c r="O5649">
        <v>230509</v>
      </c>
    </row>
    <row r="5650" spans="1:15" x14ac:dyDescent="0.25">
      <c r="A5650" t="s">
        <v>16</v>
      </c>
      <c r="B5650" t="s">
        <v>3221</v>
      </c>
      <c r="C5650">
        <v>6277</v>
      </c>
      <c r="D5650" t="s">
        <v>1071</v>
      </c>
      <c r="E5650" t="s">
        <v>1072</v>
      </c>
      <c r="F5650">
        <v>7.77</v>
      </c>
      <c r="G5650">
        <v>230508</v>
      </c>
      <c r="H5650">
        <v>4572</v>
      </c>
      <c r="I5650" t="s">
        <v>122</v>
      </c>
      <c r="J5650">
        <v>8.5500000000000007</v>
      </c>
      <c r="K5650">
        <v>0.78</v>
      </c>
      <c r="L5650">
        <v>17956</v>
      </c>
      <c r="M5650" t="s">
        <v>53</v>
      </c>
      <c r="N5650" t="str">
        <f>"7231089754  "</f>
        <v xml:space="preserve">7231089754  </v>
      </c>
      <c r="O5650">
        <v>230509</v>
      </c>
    </row>
    <row r="5651" spans="1:15" x14ac:dyDescent="0.25">
      <c r="A5651" t="s">
        <v>16</v>
      </c>
      <c r="B5651" t="s">
        <v>3221</v>
      </c>
      <c r="C5651">
        <v>6278</v>
      </c>
      <c r="D5651" t="s">
        <v>1071</v>
      </c>
      <c r="E5651" t="s">
        <v>1072</v>
      </c>
      <c r="F5651">
        <v>209.68</v>
      </c>
      <c r="G5651">
        <v>230508</v>
      </c>
      <c r="H5651">
        <v>4572</v>
      </c>
      <c r="I5651" t="s">
        <v>122</v>
      </c>
      <c r="J5651">
        <v>230.65</v>
      </c>
      <c r="K5651">
        <v>20.97</v>
      </c>
      <c r="L5651">
        <v>59111</v>
      </c>
      <c r="M5651" t="s">
        <v>1010</v>
      </c>
      <c r="N5651" t="str">
        <f>"7231089770  "</f>
        <v xml:space="preserve">7231089770  </v>
      </c>
      <c r="O5651">
        <v>230509</v>
      </c>
    </row>
    <row r="5652" spans="1:15" x14ac:dyDescent="0.25">
      <c r="A5652" t="s">
        <v>16</v>
      </c>
      <c r="B5652" t="s">
        <v>3221</v>
      </c>
      <c r="C5652">
        <v>6278</v>
      </c>
      <c r="D5652" t="s">
        <v>1071</v>
      </c>
      <c r="E5652" t="s">
        <v>1072</v>
      </c>
      <c r="F5652">
        <v>3284.98</v>
      </c>
      <c r="G5652">
        <v>230508</v>
      </c>
      <c r="H5652">
        <v>4572</v>
      </c>
      <c r="I5652" t="s">
        <v>122</v>
      </c>
      <c r="J5652">
        <v>3613.48</v>
      </c>
      <c r="K5652">
        <v>328.5</v>
      </c>
      <c r="L5652">
        <v>59501</v>
      </c>
      <c r="M5652" t="s">
        <v>69</v>
      </c>
      <c r="N5652" t="str">
        <f>"7231089770  "</f>
        <v xml:space="preserve">7231089770  </v>
      </c>
      <c r="O5652">
        <v>230509</v>
      </c>
    </row>
    <row r="5653" spans="1:15" x14ac:dyDescent="0.25">
      <c r="A5653" t="s">
        <v>16</v>
      </c>
      <c r="B5653" t="s">
        <v>3221</v>
      </c>
      <c r="C5653">
        <v>6279</v>
      </c>
      <c r="D5653" t="s">
        <v>1071</v>
      </c>
      <c r="E5653" t="s">
        <v>1072</v>
      </c>
      <c r="F5653">
        <v>121.58</v>
      </c>
      <c r="G5653">
        <v>230508</v>
      </c>
      <c r="H5653">
        <v>4572</v>
      </c>
      <c r="I5653" t="s">
        <v>122</v>
      </c>
      <c r="J5653">
        <v>133.74</v>
      </c>
      <c r="K5653">
        <v>12.16</v>
      </c>
      <c r="L5653">
        <v>59503</v>
      </c>
      <c r="M5653" t="s">
        <v>194</v>
      </c>
      <c r="N5653" t="str">
        <f>"7231089660  "</f>
        <v xml:space="preserve">7231089660  </v>
      </c>
      <c r="O5653">
        <v>230509</v>
      </c>
    </row>
    <row r="5654" spans="1:15" x14ac:dyDescent="0.25">
      <c r="A5654" t="s">
        <v>16</v>
      </c>
      <c r="B5654" t="s">
        <v>3221</v>
      </c>
      <c r="C5654">
        <v>6330</v>
      </c>
      <c r="D5654" t="s">
        <v>1071</v>
      </c>
      <c r="E5654" t="s">
        <v>1072</v>
      </c>
      <c r="F5654">
        <v>120.75</v>
      </c>
      <c r="G5654">
        <v>230508</v>
      </c>
      <c r="H5654">
        <v>4572</v>
      </c>
      <c r="I5654" t="s">
        <v>122</v>
      </c>
      <c r="J5654">
        <v>132.82</v>
      </c>
      <c r="K5654">
        <v>12.07</v>
      </c>
      <c r="L5654">
        <v>17711</v>
      </c>
      <c r="M5654" t="s">
        <v>65</v>
      </c>
      <c r="N5654" t="str">
        <f>"7231089864  "</f>
        <v xml:space="preserve">7231089864  </v>
      </c>
      <c r="O5654">
        <v>230510</v>
      </c>
    </row>
    <row r="5655" spans="1:15" x14ac:dyDescent="0.25">
      <c r="A5655" t="s">
        <v>16</v>
      </c>
      <c r="B5655" t="s">
        <v>3221</v>
      </c>
      <c r="C5655">
        <v>6330</v>
      </c>
      <c r="D5655" t="s">
        <v>1071</v>
      </c>
      <c r="E5655" t="s">
        <v>1072</v>
      </c>
      <c r="F5655">
        <v>9.08</v>
      </c>
      <c r="G5655">
        <v>230508</v>
      </c>
      <c r="H5655">
        <v>4572</v>
      </c>
      <c r="I5655" t="s">
        <v>122</v>
      </c>
      <c r="J5655">
        <v>9.99</v>
      </c>
      <c r="K5655">
        <v>0.91</v>
      </c>
      <c r="L5655">
        <v>17737</v>
      </c>
      <c r="M5655" t="s">
        <v>279</v>
      </c>
      <c r="N5655" t="str">
        <f>"7231089864  "</f>
        <v xml:space="preserve">7231089864  </v>
      </c>
      <c r="O5655">
        <v>230510</v>
      </c>
    </row>
    <row r="5656" spans="1:15" x14ac:dyDescent="0.25">
      <c r="A5656" t="s">
        <v>16</v>
      </c>
      <c r="B5656" t="s">
        <v>3221</v>
      </c>
      <c r="C5656">
        <v>6330</v>
      </c>
      <c r="D5656" t="s">
        <v>1071</v>
      </c>
      <c r="E5656" t="s">
        <v>1072</v>
      </c>
      <c r="F5656">
        <v>51.75</v>
      </c>
      <c r="G5656">
        <v>230508</v>
      </c>
      <c r="H5656">
        <v>4572</v>
      </c>
      <c r="I5656" t="s">
        <v>122</v>
      </c>
      <c r="J5656">
        <v>56.92</v>
      </c>
      <c r="K5656">
        <v>5.17</v>
      </c>
      <c r="L5656">
        <v>17739</v>
      </c>
      <c r="M5656" t="s">
        <v>374</v>
      </c>
      <c r="N5656" t="str">
        <f>"7231089864  "</f>
        <v xml:space="preserve">7231089864  </v>
      </c>
      <c r="O5656">
        <v>230510</v>
      </c>
    </row>
    <row r="5657" spans="1:15" x14ac:dyDescent="0.25">
      <c r="A5657" t="s">
        <v>16</v>
      </c>
      <c r="B5657" t="s">
        <v>3221</v>
      </c>
      <c r="C5657">
        <v>6332</v>
      </c>
      <c r="D5657" t="s">
        <v>1071</v>
      </c>
      <c r="E5657" t="s">
        <v>1072</v>
      </c>
      <c r="F5657">
        <v>1827.11</v>
      </c>
      <c r="G5657">
        <v>230508</v>
      </c>
      <c r="H5657">
        <v>4572</v>
      </c>
      <c r="I5657" t="s">
        <v>122</v>
      </c>
      <c r="J5657">
        <v>2009.82</v>
      </c>
      <c r="K5657">
        <v>182.71</v>
      </c>
      <c r="L5657">
        <v>17951</v>
      </c>
      <c r="M5657" t="s">
        <v>87</v>
      </c>
      <c r="N5657" t="str">
        <f>"7231089657  "</f>
        <v xml:space="preserve">7231089657  </v>
      </c>
      <c r="O5657">
        <v>230510</v>
      </c>
    </row>
    <row r="5658" spans="1:15" x14ac:dyDescent="0.25">
      <c r="A5658" t="s">
        <v>16</v>
      </c>
      <c r="B5658" t="s">
        <v>3221</v>
      </c>
      <c r="C5658">
        <v>6347</v>
      </c>
      <c r="D5658" t="s">
        <v>1071</v>
      </c>
      <c r="E5658" t="s">
        <v>1072</v>
      </c>
      <c r="F5658">
        <v>88.28</v>
      </c>
      <c r="G5658">
        <v>230508</v>
      </c>
      <c r="H5658">
        <v>4572</v>
      </c>
      <c r="I5658" t="s">
        <v>122</v>
      </c>
      <c r="J5658">
        <v>97.11</v>
      </c>
      <c r="K5658">
        <v>8.83</v>
      </c>
      <c r="L5658">
        <v>17739</v>
      </c>
      <c r="M5658" t="s">
        <v>374</v>
      </c>
      <c r="N5658" t="str">
        <f>"7231089741  "</f>
        <v xml:space="preserve">7231089741  </v>
      </c>
      <c r="O5658">
        <v>230510</v>
      </c>
    </row>
    <row r="5659" spans="1:15" x14ac:dyDescent="0.25">
      <c r="A5659" t="s">
        <v>16</v>
      </c>
      <c r="B5659" t="s">
        <v>3221</v>
      </c>
      <c r="C5659">
        <v>6347</v>
      </c>
      <c r="D5659" t="s">
        <v>1071</v>
      </c>
      <c r="E5659" t="s">
        <v>1072</v>
      </c>
      <c r="F5659">
        <v>264.85000000000002</v>
      </c>
      <c r="G5659">
        <v>230508</v>
      </c>
      <c r="H5659">
        <v>4572</v>
      </c>
      <c r="I5659" t="s">
        <v>122</v>
      </c>
      <c r="J5659">
        <v>291.33</v>
      </c>
      <c r="K5659">
        <v>26.48</v>
      </c>
      <c r="L5659">
        <v>17912</v>
      </c>
      <c r="M5659" t="s">
        <v>419</v>
      </c>
      <c r="N5659" t="str">
        <f>"7231089741  "</f>
        <v xml:space="preserve">7231089741  </v>
      </c>
      <c r="O5659">
        <v>230510</v>
      </c>
    </row>
    <row r="5660" spans="1:15" x14ac:dyDescent="0.25">
      <c r="A5660" t="s">
        <v>16</v>
      </c>
      <c r="B5660" t="s">
        <v>3221</v>
      </c>
      <c r="C5660">
        <v>6347</v>
      </c>
      <c r="D5660" t="s">
        <v>1071</v>
      </c>
      <c r="E5660" t="s">
        <v>1072</v>
      </c>
      <c r="F5660">
        <v>529.70000000000005</v>
      </c>
      <c r="G5660">
        <v>230508</v>
      </c>
      <c r="H5660">
        <v>4572</v>
      </c>
      <c r="I5660" t="s">
        <v>122</v>
      </c>
      <c r="J5660">
        <v>582.66999999999996</v>
      </c>
      <c r="K5660">
        <v>52.97</v>
      </c>
      <c r="L5660">
        <v>17952</v>
      </c>
      <c r="M5660" t="s">
        <v>88</v>
      </c>
      <c r="N5660" t="str">
        <f>"7231089741  "</f>
        <v xml:space="preserve">7231089741  </v>
      </c>
      <c r="O5660">
        <v>230510</v>
      </c>
    </row>
    <row r="5661" spans="1:15" x14ac:dyDescent="0.25">
      <c r="A5661" t="s">
        <v>16</v>
      </c>
      <c r="B5661" t="s">
        <v>3221</v>
      </c>
      <c r="C5661">
        <v>6364</v>
      </c>
      <c r="D5661" t="s">
        <v>1071</v>
      </c>
      <c r="E5661" t="s">
        <v>1072</v>
      </c>
      <c r="F5661">
        <v>11.67</v>
      </c>
      <c r="G5661">
        <v>230508</v>
      </c>
      <c r="H5661">
        <v>4572</v>
      </c>
      <c r="I5661" t="s">
        <v>122</v>
      </c>
      <c r="J5661">
        <v>12.84</v>
      </c>
      <c r="K5661">
        <v>1.17</v>
      </c>
      <c r="L5661">
        <v>59112</v>
      </c>
      <c r="M5661" t="s">
        <v>182</v>
      </c>
      <c r="N5661" t="str">
        <f>"7231089822  "</f>
        <v xml:space="preserve">7231089822  </v>
      </c>
      <c r="O5661">
        <v>230510</v>
      </c>
    </row>
    <row r="5662" spans="1:15" x14ac:dyDescent="0.25">
      <c r="A5662" t="s">
        <v>16</v>
      </c>
      <c r="B5662" t="s">
        <v>3221</v>
      </c>
      <c r="C5662">
        <v>6364</v>
      </c>
      <c r="D5662" t="s">
        <v>1071</v>
      </c>
      <c r="E5662" t="s">
        <v>1072</v>
      </c>
      <c r="F5662">
        <v>31.55</v>
      </c>
      <c r="G5662">
        <v>230508</v>
      </c>
      <c r="H5662">
        <v>4572</v>
      </c>
      <c r="I5662" t="s">
        <v>122</v>
      </c>
      <c r="J5662">
        <v>34.700000000000003</v>
      </c>
      <c r="K5662">
        <v>3.15</v>
      </c>
      <c r="L5662">
        <v>59504</v>
      </c>
      <c r="M5662" t="s">
        <v>71</v>
      </c>
      <c r="N5662" t="str">
        <f>"7231089822  "</f>
        <v xml:space="preserve">7231089822  </v>
      </c>
      <c r="O5662">
        <v>230510</v>
      </c>
    </row>
    <row r="5663" spans="1:15" x14ac:dyDescent="0.25">
      <c r="A5663" t="s">
        <v>16</v>
      </c>
      <c r="B5663" t="s">
        <v>3221</v>
      </c>
      <c r="C5663">
        <v>6365</v>
      </c>
      <c r="D5663" t="s">
        <v>1071</v>
      </c>
      <c r="E5663" t="s">
        <v>1072</v>
      </c>
      <c r="F5663">
        <v>237.85</v>
      </c>
      <c r="G5663">
        <v>230508</v>
      </c>
      <c r="H5663">
        <v>4572</v>
      </c>
      <c r="I5663" t="s">
        <v>122</v>
      </c>
      <c r="J5663">
        <v>261.63</v>
      </c>
      <c r="K5663">
        <v>23.78</v>
      </c>
      <c r="L5663">
        <v>59112</v>
      </c>
      <c r="M5663" t="s">
        <v>182</v>
      </c>
      <c r="N5663" t="str">
        <f>"7231089835  "</f>
        <v xml:space="preserve">7231089835  </v>
      </c>
      <c r="O5663">
        <v>230510</v>
      </c>
    </row>
    <row r="5664" spans="1:15" x14ac:dyDescent="0.25">
      <c r="A5664" t="s">
        <v>16</v>
      </c>
      <c r="B5664" t="s">
        <v>3221</v>
      </c>
      <c r="C5664">
        <v>6365</v>
      </c>
      <c r="D5664" t="s">
        <v>1071</v>
      </c>
      <c r="E5664" t="s">
        <v>1072</v>
      </c>
      <c r="F5664">
        <v>643.05999999999995</v>
      </c>
      <c r="G5664">
        <v>230508</v>
      </c>
      <c r="H5664">
        <v>4572</v>
      </c>
      <c r="I5664" t="s">
        <v>122</v>
      </c>
      <c r="J5664">
        <v>707.37</v>
      </c>
      <c r="K5664">
        <v>64.31</v>
      </c>
      <c r="L5664">
        <v>59504</v>
      </c>
      <c r="M5664" t="s">
        <v>71</v>
      </c>
      <c r="N5664" t="str">
        <f>"7231089835  "</f>
        <v xml:space="preserve">7231089835  </v>
      </c>
      <c r="O5664">
        <v>230510</v>
      </c>
    </row>
    <row r="5665" spans="1:15" x14ac:dyDescent="0.25">
      <c r="A5665" t="s">
        <v>16</v>
      </c>
      <c r="B5665" t="s">
        <v>3221</v>
      </c>
      <c r="C5665">
        <v>6366</v>
      </c>
      <c r="D5665" t="s">
        <v>1071</v>
      </c>
      <c r="E5665" t="s">
        <v>1072</v>
      </c>
      <c r="F5665">
        <v>0.74</v>
      </c>
      <c r="G5665">
        <v>230508</v>
      </c>
      <c r="H5665">
        <v>4572</v>
      </c>
      <c r="I5665" t="s">
        <v>122</v>
      </c>
      <c r="J5665">
        <v>0.81</v>
      </c>
      <c r="K5665">
        <v>7.0000000000000007E-2</v>
      </c>
      <c r="L5665">
        <v>59112</v>
      </c>
      <c r="M5665" t="s">
        <v>182</v>
      </c>
      <c r="N5665" t="str">
        <f>"7231089848  "</f>
        <v xml:space="preserve">7231089848  </v>
      </c>
      <c r="O5665">
        <v>230510</v>
      </c>
    </row>
    <row r="5666" spans="1:15" x14ac:dyDescent="0.25">
      <c r="A5666" t="s">
        <v>16</v>
      </c>
      <c r="B5666" t="s">
        <v>3221</v>
      </c>
      <c r="C5666">
        <v>6366</v>
      </c>
      <c r="D5666" t="s">
        <v>1071</v>
      </c>
      <c r="E5666" t="s">
        <v>1072</v>
      </c>
      <c r="F5666">
        <v>1.99</v>
      </c>
      <c r="G5666">
        <v>230508</v>
      </c>
      <c r="H5666">
        <v>4572</v>
      </c>
      <c r="I5666" t="s">
        <v>122</v>
      </c>
      <c r="J5666">
        <v>2.19</v>
      </c>
      <c r="K5666">
        <v>0.2</v>
      </c>
      <c r="L5666">
        <v>59504</v>
      </c>
      <c r="M5666" t="s">
        <v>71</v>
      </c>
      <c r="N5666" t="str">
        <f>"7231089848  "</f>
        <v xml:space="preserve">7231089848  </v>
      </c>
      <c r="O5666">
        <v>230510</v>
      </c>
    </row>
    <row r="5667" spans="1:15" x14ac:dyDescent="0.25">
      <c r="A5667" t="s">
        <v>16</v>
      </c>
      <c r="B5667" t="s">
        <v>3221</v>
      </c>
      <c r="C5667">
        <v>6400</v>
      </c>
      <c r="D5667" t="s">
        <v>1071</v>
      </c>
      <c r="E5667" t="s">
        <v>1072</v>
      </c>
      <c r="F5667">
        <v>729.55</v>
      </c>
      <c r="G5667">
        <v>230508</v>
      </c>
      <c r="H5667">
        <v>4572</v>
      </c>
      <c r="I5667" t="s">
        <v>122</v>
      </c>
      <c r="J5667">
        <v>904.64</v>
      </c>
      <c r="K5667">
        <v>175.09</v>
      </c>
      <c r="L5667">
        <v>69111</v>
      </c>
      <c r="M5667" t="s">
        <v>471</v>
      </c>
      <c r="N5667" t="str">
        <f>"7231089709  "</f>
        <v xml:space="preserve">7231089709  </v>
      </c>
      <c r="O5667">
        <v>230510</v>
      </c>
    </row>
    <row r="5668" spans="1:15" x14ac:dyDescent="0.25">
      <c r="A5668" t="s">
        <v>16</v>
      </c>
      <c r="B5668" t="s">
        <v>3221</v>
      </c>
      <c r="C5668">
        <v>6400</v>
      </c>
      <c r="D5668" t="s">
        <v>1071</v>
      </c>
      <c r="E5668" t="s">
        <v>1072</v>
      </c>
      <c r="F5668">
        <v>1719.48</v>
      </c>
      <c r="G5668">
        <v>230508</v>
      </c>
      <c r="H5668">
        <v>4572</v>
      </c>
      <c r="I5668" t="s">
        <v>122</v>
      </c>
      <c r="J5668">
        <v>2132.16</v>
      </c>
      <c r="K5668">
        <v>412.68</v>
      </c>
      <c r="L5668">
        <v>69501</v>
      </c>
      <c r="M5668" t="s">
        <v>185</v>
      </c>
      <c r="N5668" t="str">
        <f>"7231089709  "</f>
        <v xml:space="preserve">7231089709  </v>
      </c>
      <c r="O5668">
        <v>230510</v>
      </c>
    </row>
    <row r="5669" spans="1:15" x14ac:dyDescent="0.25">
      <c r="A5669" t="s">
        <v>16</v>
      </c>
      <c r="B5669" t="s">
        <v>3221</v>
      </c>
      <c r="C5669">
        <v>6400</v>
      </c>
      <c r="D5669" t="s">
        <v>1071</v>
      </c>
      <c r="E5669" t="s">
        <v>1072</v>
      </c>
      <c r="F5669">
        <v>9.14</v>
      </c>
      <c r="G5669">
        <v>230508</v>
      </c>
      <c r="H5669">
        <v>4572</v>
      </c>
      <c r="I5669" t="s">
        <v>122</v>
      </c>
      <c r="J5669">
        <v>9.14</v>
      </c>
      <c r="K5669">
        <v>0</v>
      </c>
      <c r="L5669">
        <v>69803</v>
      </c>
      <c r="M5669" t="s">
        <v>755</v>
      </c>
      <c r="N5669" t="str">
        <f>"7231089709  "</f>
        <v xml:space="preserve">7231089709  </v>
      </c>
      <c r="O5669">
        <v>230510</v>
      </c>
    </row>
    <row r="5670" spans="1:15" x14ac:dyDescent="0.25">
      <c r="A5670" t="s">
        <v>16</v>
      </c>
      <c r="B5670" t="s">
        <v>3221</v>
      </c>
      <c r="C5670">
        <v>6640</v>
      </c>
      <c r="D5670" t="s">
        <v>1071</v>
      </c>
      <c r="E5670" t="s">
        <v>1072</v>
      </c>
      <c r="F5670">
        <v>13.08</v>
      </c>
      <c r="G5670">
        <v>230508</v>
      </c>
      <c r="H5670">
        <v>4572</v>
      </c>
      <c r="I5670" t="s">
        <v>122</v>
      </c>
      <c r="J5670">
        <v>13.08</v>
      </c>
      <c r="K5670">
        <v>0</v>
      </c>
      <c r="L5670">
        <v>11001</v>
      </c>
      <c r="M5670" t="s">
        <v>326</v>
      </c>
      <c r="N5670" t="str">
        <f>"7231096608  "</f>
        <v xml:space="preserve">7231096608  </v>
      </c>
      <c r="O5670">
        <v>230516</v>
      </c>
    </row>
    <row r="5671" spans="1:15" x14ac:dyDescent="0.25">
      <c r="A5671" t="s">
        <v>16</v>
      </c>
      <c r="B5671" t="s">
        <v>3221</v>
      </c>
      <c r="C5671">
        <v>6732</v>
      </c>
      <c r="D5671" t="s">
        <v>1071</v>
      </c>
      <c r="E5671" t="s">
        <v>1072</v>
      </c>
      <c r="F5671">
        <v>2.25</v>
      </c>
      <c r="G5671">
        <v>230508</v>
      </c>
      <c r="H5671">
        <v>4572</v>
      </c>
      <c r="I5671" t="s">
        <v>122</v>
      </c>
      <c r="J5671">
        <v>2.48</v>
      </c>
      <c r="K5671">
        <v>0.23</v>
      </c>
      <c r="L5671">
        <v>14952</v>
      </c>
      <c r="M5671" t="s">
        <v>99</v>
      </c>
      <c r="N5671" t="str">
        <f>"7231097856  "</f>
        <v xml:space="preserve">7231097856  </v>
      </c>
      <c r="O5671">
        <v>230522</v>
      </c>
    </row>
    <row r="5672" spans="1:15" x14ac:dyDescent="0.25">
      <c r="A5672" t="s">
        <v>16</v>
      </c>
      <c r="B5672" t="s">
        <v>3221</v>
      </c>
      <c r="C5672">
        <v>6732</v>
      </c>
      <c r="D5672" t="s">
        <v>1071</v>
      </c>
      <c r="E5672" t="s">
        <v>1072</v>
      </c>
      <c r="F5672">
        <v>5.27</v>
      </c>
      <c r="G5672">
        <v>230508</v>
      </c>
      <c r="H5672">
        <v>4572</v>
      </c>
      <c r="I5672" t="s">
        <v>122</v>
      </c>
      <c r="J5672">
        <v>5.8</v>
      </c>
      <c r="K5672">
        <v>0.53</v>
      </c>
      <c r="L5672">
        <v>14981</v>
      </c>
      <c r="M5672" t="s">
        <v>1211</v>
      </c>
      <c r="N5672" t="str">
        <f>"7231097856  "</f>
        <v xml:space="preserve">7231097856  </v>
      </c>
      <c r="O5672">
        <v>230522</v>
      </c>
    </row>
    <row r="5673" spans="1:15" x14ac:dyDescent="0.25">
      <c r="A5673" t="s">
        <v>16</v>
      </c>
      <c r="B5673" t="s">
        <v>3221</v>
      </c>
      <c r="C5673">
        <v>6733</v>
      </c>
      <c r="D5673" t="s">
        <v>1071</v>
      </c>
      <c r="E5673" t="s">
        <v>1072</v>
      </c>
      <c r="F5673">
        <v>599.42999999999995</v>
      </c>
      <c r="G5673">
        <v>230508</v>
      </c>
      <c r="H5673">
        <v>4572</v>
      </c>
      <c r="I5673" t="s">
        <v>122</v>
      </c>
      <c r="J5673">
        <v>659.37</v>
      </c>
      <c r="K5673">
        <v>59.94</v>
      </c>
      <c r="L5673">
        <v>49503</v>
      </c>
      <c r="M5673" t="s">
        <v>178</v>
      </c>
      <c r="N5673" t="str">
        <f>"7231089796  "</f>
        <v xml:space="preserve">7231089796  </v>
      </c>
      <c r="O5673">
        <v>230522</v>
      </c>
    </row>
    <row r="5674" spans="1:15" x14ac:dyDescent="0.25">
      <c r="A5674" t="s">
        <v>16</v>
      </c>
      <c r="B5674" t="s">
        <v>3221</v>
      </c>
      <c r="C5674">
        <v>6736</v>
      </c>
      <c r="D5674" t="s">
        <v>1071</v>
      </c>
      <c r="E5674" t="s">
        <v>1072</v>
      </c>
      <c r="F5674">
        <v>5.96</v>
      </c>
      <c r="G5674">
        <v>230508</v>
      </c>
      <c r="H5674">
        <v>4572</v>
      </c>
      <c r="I5674" t="s">
        <v>122</v>
      </c>
      <c r="J5674">
        <v>6.56</v>
      </c>
      <c r="K5674">
        <v>0.6</v>
      </c>
      <c r="L5674">
        <v>11401</v>
      </c>
      <c r="M5674" t="s">
        <v>84</v>
      </c>
      <c r="N5674" t="str">
        <f>"7231089961  "</f>
        <v xml:space="preserve">7231089961  </v>
      </c>
      <c r="O5674">
        <v>230522</v>
      </c>
    </row>
    <row r="5675" spans="1:15" x14ac:dyDescent="0.25">
      <c r="A5675" t="s">
        <v>16</v>
      </c>
      <c r="B5675" t="s">
        <v>3221</v>
      </c>
      <c r="C5675">
        <v>6736</v>
      </c>
      <c r="D5675" t="s">
        <v>1071</v>
      </c>
      <c r="E5675" t="s">
        <v>1072</v>
      </c>
      <c r="F5675">
        <v>11.94</v>
      </c>
      <c r="G5675">
        <v>230508</v>
      </c>
      <c r="H5675">
        <v>4572</v>
      </c>
      <c r="I5675" t="s">
        <v>122</v>
      </c>
      <c r="J5675">
        <v>13.13</v>
      </c>
      <c r="K5675">
        <v>1.19</v>
      </c>
      <c r="L5675">
        <v>14952</v>
      </c>
      <c r="M5675" t="s">
        <v>99</v>
      </c>
      <c r="N5675" t="str">
        <f>"7231089961  "</f>
        <v xml:space="preserve">7231089961  </v>
      </c>
      <c r="O5675">
        <v>230522</v>
      </c>
    </row>
    <row r="5676" spans="1:15" x14ac:dyDescent="0.25">
      <c r="A5676" t="s">
        <v>16</v>
      </c>
      <c r="B5676" t="s">
        <v>3221</v>
      </c>
      <c r="C5676">
        <v>6737</v>
      </c>
      <c r="D5676" t="s">
        <v>1071</v>
      </c>
      <c r="E5676" t="s">
        <v>1072</v>
      </c>
      <c r="F5676">
        <v>1104.3599999999999</v>
      </c>
      <c r="G5676">
        <v>230508</v>
      </c>
      <c r="H5676">
        <v>4572</v>
      </c>
      <c r="I5676" t="s">
        <v>122</v>
      </c>
      <c r="J5676">
        <v>1214.8</v>
      </c>
      <c r="K5676">
        <v>110.44</v>
      </c>
      <c r="L5676">
        <v>14951</v>
      </c>
      <c r="M5676" t="s">
        <v>57</v>
      </c>
      <c r="N5676" t="str">
        <f>"7231089738  "</f>
        <v xml:space="preserve">7231089738  </v>
      </c>
      <c r="O5676">
        <v>230522</v>
      </c>
    </row>
    <row r="5677" spans="1:15" x14ac:dyDescent="0.25">
      <c r="A5677" t="s">
        <v>16</v>
      </c>
      <c r="B5677" t="s">
        <v>3221</v>
      </c>
      <c r="C5677">
        <v>6739</v>
      </c>
      <c r="D5677" t="s">
        <v>1071</v>
      </c>
      <c r="E5677" t="s">
        <v>1072</v>
      </c>
      <c r="F5677">
        <v>11.27</v>
      </c>
      <c r="G5677">
        <v>230508</v>
      </c>
      <c r="H5677">
        <v>4572</v>
      </c>
      <c r="I5677" t="s">
        <v>122</v>
      </c>
      <c r="J5677">
        <v>12.4</v>
      </c>
      <c r="K5677">
        <v>1.1299999999999999</v>
      </c>
      <c r="L5677">
        <v>14952</v>
      </c>
      <c r="M5677" t="s">
        <v>99</v>
      </c>
      <c r="N5677" t="str">
        <f>"7231097843  "</f>
        <v xml:space="preserve">7231097843  </v>
      </c>
      <c r="O5677">
        <v>230522</v>
      </c>
    </row>
    <row r="5678" spans="1:15" x14ac:dyDescent="0.25">
      <c r="A5678" t="s">
        <v>16</v>
      </c>
      <c r="B5678" t="s">
        <v>3221</v>
      </c>
      <c r="C5678">
        <v>6739</v>
      </c>
      <c r="D5678" t="s">
        <v>1071</v>
      </c>
      <c r="E5678" t="s">
        <v>1072</v>
      </c>
      <c r="F5678">
        <v>26.31</v>
      </c>
      <c r="G5678">
        <v>230508</v>
      </c>
      <c r="H5678">
        <v>4572</v>
      </c>
      <c r="I5678" t="s">
        <v>122</v>
      </c>
      <c r="J5678">
        <v>28.94</v>
      </c>
      <c r="K5678">
        <v>2.63</v>
      </c>
      <c r="L5678">
        <v>14981</v>
      </c>
      <c r="M5678" t="s">
        <v>1211</v>
      </c>
      <c r="N5678" t="str">
        <f>"7231097843  "</f>
        <v xml:space="preserve">7231097843  </v>
      </c>
      <c r="O5678">
        <v>230522</v>
      </c>
    </row>
    <row r="5679" spans="1:15" x14ac:dyDescent="0.25">
      <c r="A5679" t="s">
        <v>16</v>
      </c>
      <c r="B5679" t="s">
        <v>3221</v>
      </c>
      <c r="C5679">
        <v>6740</v>
      </c>
      <c r="D5679" t="s">
        <v>1071</v>
      </c>
      <c r="E5679" t="s">
        <v>1072</v>
      </c>
      <c r="F5679">
        <v>51.48</v>
      </c>
      <c r="G5679">
        <v>230508</v>
      </c>
      <c r="H5679">
        <v>4572</v>
      </c>
      <c r="I5679" t="s">
        <v>122</v>
      </c>
      <c r="J5679">
        <v>56.63</v>
      </c>
      <c r="K5679">
        <v>5.15</v>
      </c>
      <c r="L5679">
        <v>11401</v>
      </c>
      <c r="M5679" t="s">
        <v>84</v>
      </c>
      <c r="N5679" t="str">
        <f>"7231089974  "</f>
        <v xml:space="preserve">7231089974  </v>
      </c>
      <c r="O5679">
        <v>230522</v>
      </c>
    </row>
    <row r="5680" spans="1:15" x14ac:dyDescent="0.25">
      <c r="A5680" t="s">
        <v>16</v>
      </c>
      <c r="B5680" t="s">
        <v>3221</v>
      </c>
      <c r="C5680">
        <v>6740</v>
      </c>
      <c r="D5680" t="s">
        <v>1071</v>
      </c>
      <c r="E5680" t="s">
        <v>1072</v>
      </c>
      <c r="F5680">
        <v>102.96</v>
      </c>
      <c r="G5680">
        <v>230508</v>
      </c>
      <c r="H5680">
        <v>4572</v>
      </c>
      <c r="I5680" t="s">
        <v>122</v>
      </c>
      <c r="J5680">
        <v>113.26</v>
      </c>
      <c r="K5680">
        <v>10.3</v>
      </c>
      <c r="L5680">
        <v>14952</v>
      </c>
      <c r="M5680" t="s">
        <v>99</v>
      </c>
      <c r="N5680" t="str">
        <f>"7231089974  "</f>
        <v xml:space="preserve">7231089974  </v>
      </c>
      <c r="O5680">
        <v>230522</v>
      </c>
    </row>
    <row r="5681" spans="1:15" x14ac:dyDescent="0.25">
      <c r="A5681" t="s">
        <v>16</v>
      </c>
      <c r="B5681" t="s">
        <v>3221</v>
      </c>
      <c r="C5681">
        <v>6741</v>
      </c>
      <c r="D5681" t="s">
        <v>1071</v>
      </c>
      <c r="E5681" t="s">
        <v>1072</v>
      </c>
      <c r="F5681">
        <v>104.74</v>
      </c>
      <c r="G5681">
        <v>230508</v>
      </c>
      <c r="H5681">
        <v>4572</v>
      </c>
      <c r="I5681" t="s">
        <v>122</v>
      </c>
      <c r="J5681">
        <v>115.21</v>
      </c>
      <c r="K5681">
        <v>10.47</v>
      </c>
      <c r="L5681">
        <v>14952</v>
      </c>
      <c r="M5681" t="s">
        <v>99</v>
      </c>
      <c r="N5681" t="str">
        <f>"7231097830  "</f>
        <v xml:space="preserve">7231097830  </v>
      </c>
      <c r="O5681">
        <v>230522</v>
      </c>
    </row>
    <row r="5682" spans="1:15" x14ac:dyDescent="0.25">
      <c r="A5682" t="s">
        <v>16</v>
      </c>
      <c r="B5682" t="s">
        <v>3221</v>
      </c>
      <c r="C5682">
        <v>6741</v>
      </c>
      <c r="D5682" t="s">
        <v>1071</v>
      </c>
      <c r="E5682" t="s">
        <v>1072</v>
      </c>
      <c r="F5682">
        <v>244.4</v>
      </c>
      <c r="G5682">
        <v>230508</v>
      </c>
      <c r="H5682">
        <v>4572</v>
      </c>
      <c r="I5682" t="s">
        <v>122</v>
      </c>
      <c r="J5682">
        <v>268.83999999999997</v>
      </c>
      <c r="K5682">
        <v>24.44</v>
      </c>
      <c r="L5682">
        <v>14981</v>
      </c>
      <c r="M5682" t="s">
        <v>1211</v>
      </c>
      <c r="N5682" t="str">
        <f>"7231097830  "</f>
        <v xml:space="preserve">7231097830  </v>
      </c>
      <c r="O5682">
        <v>230522</v>
      </c>
    </row>
    <row r="5683" spans="1:15" x14ac:dyDescent="0.25">
      <c r="A5683" t="s">
        <v>16</v>
      </c>
      <c r="B5683" t="s">
        <v>3221</v>
      </c>
      <c r="C5683">
        <v>7209</v>
      </c>
      <c r="D5683" t="s">
        <v>1071</v>
      </c>
      <c r="E5683" t="s">
        <v>1072</v>
      </c>
      <c r="F5683">
        <v>960.73</v>
      </c>
      <c r="G5683">
        <v>230508</v>
      </c>
      <c r="H5683">
        <v>4572</v>
      </c>
      <c r="I5683" t="s">
        <v>122</v>
      </c>
      <c r="J5683">
        <v>1056.8</v>
      </c>
      <c r="K5683">
        <v>96.07</v>
      </c>
      <c r="L5683">
        <v>49501</v>
      </c>
      <c r="M5683" t="s">
        <v>177</v>
      </c>
      <c r="N5683" t="str">
        <f>"7231089725  "</f>
        <v xml:space="preserve">7231089725  </v>
      </c>
      <c r="O5683">
        <v>230526</v>
      </c>
    </row>
    <row r="5684" spans="1:15" x14ac:dyDescent="0.25">
      <c r="A5684" t="s">
        <v>16</v>
      </c>
      <c r="B5684" t="s">
        <v>3221</v>
      </c>
      <c r="C5684">
        <v>7209</v>
      </c>
      <c r="D5684" t="s">
        <v>1071</v>
      </c>
      <c r="E5684" t="s">
        <v>1072</v>
      </c>
      <c r="F5684">
        <v>50.56</v>
      </c>
      <c r="G5684">
        <v>230508</v>
      </c>
      <c r="H5684">
        <v>4572</v>
      </c>
      <c r="I5684" t="s">
        <v>122</v>
      </c>
      <c r="J5684">
        <v>55.62</v>
      </c>
      <c r="K5684">
        <v>5.0599999999999996</v>
      </c>
      <c r="L5684">
        <v>49801</v>
      </c>
      <c r="M5684" t="s">
        <v>1227</v>
      </c>
      <c r="N5684" t="str">
        <f>"7231089725  "</f>
        <v xml:space="preserve">7231089725  </v>
      </c>
      <c r="O5684">
        <v>230526</v>
      </c>
    </row>
    <row r="5685" spans="1:15" x14ac:dyDescent="0.25">
      <c r="A5685" t="s">
        <v>16</v>
      </c>
      <c r="B5685" t="s">
        <v>3221</v>
      </c>
      <c r="C5685">
        <v>7210</v>
      </c>
      <c r="D5685" t="s">
        <v>1071</v>
      </c>
      <c r="E5685" t="s">
        <v>1072</v>
      </c>
      <c r="F5685">
        <v>1920.74</v>
      </c>
      <c r="G5685">
        <v>230508</v>
      </c>
      <c r="H5685">
        <v>4572</v>
      </c>
      <c r="I5685" t="s">
        <v>122</v>
      </c>
      <c r="J5685">
        <v>2112.81</v>
      </c>
      <c r="K5685">
        <v>192.07</v>
      </c>
      <c r="L5685">
        <v>49501</v>
      </c>
      <c r="M5685" t="s">
        <v>177</v>
      </c>
      <c r="N5685" t="str">
        <f>"7231089877  "</f>
        <v xml:space="preserve">7231089877  </v>
      </c>
      <c r="O5685">
        <v>230526</v>
      </c>
    </row>
    <row r="5686" spans="1:15" x14ac:dyDescent="0.25">
      <c r="A5686" t="s">
        <v>16</v>
      </c>
      <c r="B5686" t="s">
        <v>3221</v>
      </c>
      <c r="C5686">
        <v>7210</v>
      </c>
      <c r="D5686" t="s">
        <v>1071</v>
      </c>
      <c r="E5686" t="s">
        <v>1072</v>
      </c>
      <c r="F5686">
        <v>104.22</v>
      </c>
      <c r="G5686">
        <v>230508</v>
      </c>
      <c r="H5686">
        <v>4572</v>
      </c>
      <c r="I5686" t="s">
        <v>122</v>
      </c>
      <c r="J5686">
        <v>114.64</v>
      </c>
      <c r="K5686">
        <v>10.42</v>
      </c>
      <c r="L5686">
        <v>49801</v>
      </c>
      <c r="M5686" t="s">
        <v>1227</v>
      </c>
      <c r="N5686" t="str">
        <f>"7231089877  "</f>
        <v xml:space="preserve">7231089877  </v>
      </c>
      <c r="O5686">
        <v>230526</v>
      </c>
    </row>
    <row r="5687" spans="1:15" x14ac:dyDescent="0.25">
      <c r="A5687" t="s">
        <v>16</v>
      </c>
      <c r="B5687" t="s">
        <v>3221</v>
      </c>
      <c r="C5687">
        <v>7210</v>
      </c>
      <c r="D5687" t="s">
        <v>1071</v>
      </c>
      <c r="E5687" t="s">
        <v>1072</v>
      </c>
      <c r="F5687">
        <v>59.4</v>
      </c>
      <c r="G5687">
        <v>230508</v>
      </c>
      <c r="H5687">
        <v>4572</v>
      </c>
      <c r="I5687" t="s">
        <v>122</v>
      </c>
      <c r="J5687">
        <v>65.34</v>
      </c>
      <c r="K5687">
        <v>5.94</v>
      </c>
      <c r="L5687">
        <v>49803</v>
      </c>
      <c r="M5687" t="s">
        <v>1229</v>
      </c>
      <c r="N5687" t="str">
        <f>"7231089877  "</f>
        <v xml:space="preserve">7231089877  </v>
      </c>
      <c r="O5687">
        <v>230526</v>
      </c>
    </row>
    <row r="5688" spans="1:15" x14ac:dyDescent="0.25">
      <c r="A5688" t="s">
        <v>16</v>
      </c>
      <c r="B5688" t="s">
        <v>3221</v>
      </c>
      <c r="C5688">
        <v>8395</v>
      </c>
      <c r="D5688" t="s">
        <v>1071</v>
      </c>
      <c r="E5688" t="s">
        <v>1072</v>
      </c>
      <c r="F5688">
        <v>18.329999999999998</v>
      </c>
      <c r="G5688">
        <v>230607</v>
      </c>
      <c r="H5688">
        <v>4572</v>
      </c>
      <c r="I5688" t="s">
        <v>122</v>
      </c>
      <c r="J5688">
        <v>22.73</v>
      </c>
      <c r="K5688">
        <v>4.4000000000000004</v>
      </c>
      <c r="L5688">
        <v>17956</v>
      </c>
      <c r="M5688" t="s">
        <v>53</v>
      </c>
      <c r="N5688" t="str">
        <f>"7231238217  "</f>
        <v xml:space="preserve">7231238217  </v>
      </c>
      <c r="O5688">
        <v>230608</v>
      </c>
    </row>
    <row r="5689" spans="1:15" x14ac:dyDescent="0.25">
      <c r="A5689" t="s">
        <v>16</v>
      </c>
      <c r="B5689" t="s">
        <v>3221</v>
      </c>
      <c r="C5689">
        <v>8396</v>
      </c>
      <c r="D5689" t="s">
        <v>1071</v>
      </c>
      <c r="E5689" t="s">
        <v>1072</v>
      </c>
      <c r="F5689">
        <v>97.1</v>
      </c>
      <c r="G5689">
        <v>230607</v>
      </c>
      <c r="H5689">
        <v>4572</v>
      </c>
      <c r="I5689" t="s">
        <v>122</v>
      </c>
      <c r="J5689">
        <v>120.4</v>
      </c>
      <c r="K5689">
        <v>23.3</v>
      </c>
      <c r="L5689">
        <v>17956</v>
      </c>
      <c r="M5689" t="s">
        <v>53</v>
      </c>
      <c r="N5689" t="str">
        <f>"7231238123  "</f>
        <v xml:space="preserve">7231238123  </v>
      </c>
      <c r="O5689">
        <v>230608</v>
      </c>
    </row>
    <row r="5690" spans="1:15" x14ac:dyDescent="0.25">
      <c r="A5690" t="s">
        <v>16</v>
      </c>
      <c r="B5690" t="s">
        <v>3221</v>
      </c>
      <c r="C5690">
        <v>8397</v>
      </c>
      <c r="D5690" t="s">
        <v>1071</v>
      </c>
      <c r="E5690" t="s">
        <v>1072</v>
      </c>
      <c r="F5690">
        <v>17.04</v>
      </c>
      <c r="G5690">
        <v>230607</v>
      </c>
      <c r="H5690">
        <v>4572</v>
      </c>
      <c r="I5690" t="s">
        <v>122</v>
      </c>
      <c r="J5690">
        <v>21.13</v>
      </c>
      <c r="K5690">
        <v>4.09</v>
      </c>
      <c r="L5690">
        <v>69501</v>
      </c>
      <c r="M5690" t="s">
        <v>185</v>
      </c>
      <c r="N5690" t="str">
        <f>"7231238165  "</f>
        <v xml:space="preserve">7231238165  </v>
      </c>
      <c r="O5690">
        <v>230608</v>
      </c>
    </row>
    <row r="5691" spans="1:15" x14ac:dyDescent="0.25">
      <c r="A5691" t="s">
        <v>16</v>
      </c>
      <c r="B5691" t="s">
        <v>3221</v>
      </c>
      <c r="C5691">
        <v>8398</v>
      </c>
      <c r="D5691" t="s">
        <v>1071</v>
      </c>
      <c r="E5691" t="s">
        <v>1072</v>
      </c>
      <c r="F5691">
        <v>658.69</v>
      </c>
      <c r="G5691">
        <v>230607</v>
      </c>
      <c r="H5691">
        <v>4572</v>
      </c>
      <c r="I5691" t="s">
        <v>122</v>
      </c>
      <c r="J5691">
        <v>816.78</v>
      </c>
      <c r="K5691">
        <v>158.09</v>
      </c>
      <c r="L5691">
        <v>59505</v>
      </c>
      <c r="M5691" t="s">
        <v>72</v>
      </c>
      <c r="N5691" t="str">
        <f>"7231238259  "</f>
        <v xml:space="preserve">7231238259  </v>
      </c>
      <c r="O5691">
        <v>230608</v>
      </c>
    </row>
    <row r="5692" spans="1:15" x14ac:dyDescent="0.25">
      <c r="A5692" t="s">
        <v>16</v>
      </c>
      <c r="B5692" t="s">
        <v>3221</v>
      </c>
      <c r="C5692">
        <v>8398</v>
      </c>
      <c r="D5692" t="s">
        <v>1071</v>
      </c>
      <c r="E5692" t="s">
        <v>1072</v>
      </c>
      <c r="F5692">
        <v>89.82</v>
      </c>
      <c r="G5692">
        <v>230607</v>
      </c>
      <c r="H5692">
        <v>4572</v>
      </c>
      <c r="I5692" t="s">
        <v>122</v>
      </c>
      <c r="J5692">
        <v>111.38</v>
      </c>
      <c r="K5692">
        <v>21.56</v>
      </c>
      <c r="L5692">
        <v>59812</v>
      </c>
      <c r="M5692" t="s">
        <v>74</v>
      </c>
      <c r="N5692" t="str">
        <f>"7231238259  "</f>
        <v xml:space="preserve">7231238259  </v>
      </c>
      <c r="O5692">
        <v>230608</v>
      </c>
    </row>
    <row r="5693" spans="1:15" x14ac:dyDescent="0.25">
      <c r="A5693" t="s">
        <v>16</v>
      </c>
      <c r="B5693" t="s">
        <v>3221</v>
      </c>
      <c r="C5693">
        <v>8399</v>
      </c>
      <c r="D5693" t="s">
        <v>1071</v>
      </c>
      <c r="E5693" t="s">
        <v>1072</v>
      </c>
      <c r="F5693">
        <v>132.76</v>
      </c>
      <c r="G5693">
        <v>230607</v>
      </c>
      <c r="H5693">
        <v>4572</v>
      </c>
      <c r="I5693" t="s">
        <v>122</v>
      </c>
      <c r="J5693">
        <v>164.62</v>
      </c>
      <c r="K5693">
        <v>31.86</v>
      </c>
      <c r="L5693">
        <v>17950</v>
      </c>
      <c r="M5693" t="s">
        <v>86</v>
      </c>
      <c r="N5693" t="str">
        <f>"7231238327  "</f>
        <v xml:space="preserve">7231238327  </v>
      </c>
      <c r="O5693">
        <v>230608</v>
      </c>
    </row>
    <row r="5694" spans="1:15" x14ac:dyDescent="0.25">
      <c r="A5694" t="s">
        <v>16</v>
      </c>
      <c r="B5694" t="s">
        <v>3221</v>
      </c>
      <c r="C5694">
        <v>8400</v>
      </c>
      <c r="D5694" t="s">
        <v>1071</v>
      </c>
      <c r="E5694" t="s">
        <v>1072</v>
      </c>
      <c r="F5694">
        <v>5.2</v>
      </c>
      <c r="G5694">
        <v>230607</v>
      </c>
      <c r="H5694">
        <v>4572</v>
      </c>
      <c r="I5694" t="s">
        <v>122</v>
      </c>
      <c r="J5694">
        <v>6.45</v>
      </c>
      <c r="K5694">
        <v>1.25</v>
      </c>
      <c r="L5694">
        <v>17981</v>
      </c>
      <c r="M5694" t="s">
        <v>218</v>
      </c>
      <c r="N5694" t="str">
        <f>"7231238097  "</f>
        <v xml:space="preserve">7231238097  </v>
      </c>
      <c r="O5694">
        <v>230608</v>
      </c>
    </row>
    <row r="5695" spans="1:15" x14ac:dyDescent="0.25">
      <c r="A5695" t="s">
        <v>16</v>
      </c>
      <c r="B5695" t="s">
        <v>3221</v>
      </c>
      <c r="C5695">
        <v>8401</v>
      </c>
      <c r="D5695" t="s">
        <v>1071</v>
      </c>
      <c r="E5695" t="s">
        <v>1072</v>
      </c>
      <c r="F5695">
        <v>209.44</v>
      </c>
      <c r="G5695">
        <v>230607</v>
      </c>
      <c r="H5695">
        <v>4572</v>
      </c>
      <c r="I5695" t="s">
        <v>122</v>
      </c>
      <c r="J5695">
        <v>259.70999999999998</v>
      </c>
      <c r="K5695">
        <v>50.27</v>
      </c>
      <c r="L5695">
        <v>59111</v>
      </c>
      <c r="M5695" t="s">
        <v>1010</v>
      </c>
      <c r="N5695" t="str">
        <f>"7231238220  "</f>
        <v xml:space="preserve">7231238220  </v>
      </c>
      <c r="O5695">
        <v>230608</v>
      </c>
    </row>
    <row r="5696" spans="1:15" x14ac:dyDescent="0.25">
      <c r="A5696" t="s">
        <v>16</v>
      </c>
      <c r="B5696" t="s">
        <v>3221</v>
      </c>
      <c r="C5696">
        <v>8401</v>
      </c>
      <c r="D5696" t="s">
        <v>1071</v>
      </c>
      <c r="E5696" t="s">
        <v>1072</v>
      </c>
      <c r="F5696">
        <v>3281.34</v>
      </c>
      <c r="G5696">
        <v>230607</v>
      </c>
      <c r="H5696">
        <v>4572</v>
      </c>
      <c r="I5696" t="s">
        <v>122</v>
      </c>
      <c r="J5696">
        <v>4068.86</v>
      </c>
      <c r="K5696">
        <v>787.52</v>
      </c>
      <c r="L5696">
        <v>59501</v>
      </c>
      <c r="M5696" t="s">
        <v>69</v>
      </c>
      <c r="N5696" t="str">
        <f>"7231238220  "</f>
        <v xml:space="preserve">7231238220  </v>
      </c>
      <c r="O5696">
        <v>230608</v>
      </c>
    </row>
    <row r="5697" spans="1:15" x14ac:dyDescent="0.25">
      <c r="A5697" t="s">
        <v>16</v>
      </c>
      <c r="B5697" t="s">
        <v>3221</v>
      </c>
      <c r="C5697">
        <v>8402</v>
      </c>
      <c r="D5697" t="s">
        <v>1071</v>
      </c>
      <c r="E5697" t="s">
        <v>1072</v>
      </c>
      <c r="F5697">
        <v>306.5</v>
      </c>
      <c r="G5697">
        <v>230607</v>
      </c>
      <c r="H5697">
        <v>4572</v>
      </c>
      <c r="I5697" t="s">
        <v>122</v>
      </c>
      <c r="J5697">
        <v>380.06</v>
      </c>
      <c r="K5697">
        <v>73.56</v>
      </c>
      <c r="L5697">
        <v>13540</v>
      </c>
      <c r="M5697" t="s">
        <v>85</v>
      </c>
      <c r="N5697" t="str">
        <f>"7231238149  "</f>
        <v xml:space="preserve">7231238149  </v>
      </c>
      <c r="O5697">
        <v>230608</v>
      </c>
    </row>
    <row r="5698" spans="1:15" x14ac:dyDescent="0.25">
      <c r="A5698" t="s">
        <v>16</v>
      </c>
      <c r="B5698" t="s">
        <v>3221</v>
      </c>
      <c r="C5698">
        <v>8402</v>
      </c>
      <c r="D5698" t="s">
        <v>1071</v>
      </c>
      <c r="E5698" t="s">
        <v>1072</v>
      </c>
      <c r="F5698">
        <v>2479.84</v>
      </c>
      <c r="G5698">
        <v>230607</v>
      </c>
      <c r="H5698">
        <v>4572</v>
      </c>
      <c r="I5698" t="s">
        <v>122</v>
      </c>
      <c r="J5698">
        <v>3075</v>
      </c>
      <c r="K5698">
        <v>595.16</v>
      </c>
      <c r="L5698">
        <v>17950</v>
      </c>
      <c r="M5698" t="s">
        <v>86</v>
      </c>
      <c r="N5698" t="str">
        <f>"7231238149  "</f>
        <v xml:space="preserve">7231238149  </v>
      </c>
      <c r="O5698">
        <v>230608</v>
      </c>
    </row>
    <row r="5699" spans="1:15" x14ac:dyDescent="0.25">
      <c r="A5699" t="s">
        <v>16</v>
      </c>
      <c r="B5699" t="s">
        <v>3221</v>
      </c>
      <c r="C5699">
        <v>8420</v>
      </c>
      <c r="D5699" t="s">
        <v>1071</v>
      </c>
      <c r="E5699" t="s">
        <v>1072</v>
      </c>
      <c r="F5699">
        <v>8.99</v>
      </c>
      <c r="G5699">
        <v>230607</v>
      </c>
      <c r="H5699">
        <v>4572</v>
      </c>
      <c r="I5699" t="s">
        <v>122</v>
      </c>
      <c r="J5699">
        <v>11.15</v>
      </c>
      <c r="K5699">
        <v>2.16</v>
      </c>
      <c r="L5699">
        <v>17956</v>
      </c>
      <c r="M5699" t="s">
        <v>53</v>
      </c>
      <c r="N5699" t="str">
        <f>"7231238204  "</f>
        <v xml:space="preserve">7231238204  </v>
      </c>
      <c r="O5699">
        <v>230608</v>
      </c>
    </row>
    <row r="5700" spans="1:15" x14ac:dyDescent="0.25">
      <c r="A5700" t="s">
        <v>16</v>
      </c>
      <c r="B5700" t="s">
        <v>3221</v>
      </c>
      <c r="C5700">
        <v>8421</v>
      </c>
      <c r="D5700" t="s">
        <v>1071</v>
      </c>
      <c r="E5700" t="s">
        <v>1072</v>
      </c>
      <c r="F5700">
        <v>110.4</v>
      </c>
      <c r="G5700">
        <v>230607</v>
      </c>
      <c r="H5700">
        <v>4572</v>
      </c>
      <c r="I5700" t="s">
        <v>122</v>
      </c>
      <c r="J5700">
        <v>136.9</v>
      </c>
      <c r="K5700">
        <v>26.5</v>
      </c>
      <c r="L5700">
        <v>59503</v>
      </c>
      <c r="M5700" t="s">
        <v>194</v>
      </c>
      <c r="N5700" t="str">
        <f>"7231238110  "</f>
        <v xml:space="preserve">7231238110  </v>
      </c>
      <c r="O5700">
        <v>230608</v>
      </c>
    </row>
    <row r="5701" spans="1:15" x14ac:dyDescent="0.25">
      <c r="A5701" t="s">
        <v>16</v>
      </c>
      <c r="B5701" t="s">
        <v>3221</v>
      </c>
      <c r="C5701">
        <v>8424</v>
      </c>
      <c r="D5701" t="s">
        <v>1071</v>
      </c>
      <c r="E5701" t="s">
        <v>1072</v>
      </c>
      <c r="F5701">
        <v>91.48</v>
      </c>
      <c r="G5701">
        <v>230607</v>
      </c>
      <c r="H5701">
        <v>4572</v>
      </c>
      <c r="I5701" t="s">
        <v>122</v>
      </c>
      <c r="J5701">
        <v>113.44</v>
      </c>
      <c r="K5701">
        <v>21.96</v>
      </c>
      <c r="L5701">
        <v>17956</v>
      </c>
      <c r="M5701" t="s">
        <v>53</v>
      </c>
      <c r="N5701" t="str">
        <f>"7231238136  "</f>
        <v xml:space="preserve">7231238136  </v>
      </c>
      <c r="O5701">
        <v>230608</v>
      </c>
    </row>
    <row r="5702" spans="1:15" x14ac:dyDescent="0.25">
      <c r="A5702" t="s">
        <v>16</v>
      </c>
      <c r="B5702" t="s">
        <v>3221</v>
      </c>
      <c r="C5702">
        <v>8425</v>
      </c>
      <c r="D5702" t="s">
        <v>1071</v>
      </c>
      <c r="E5702" t="s">
        <v>1072</v>
      </c>
      <c r="F5702">
        <v>883.66</v>
      </c>
      <c r="G5702">
        <v>230607</v>
      </c>
      <c r="H5702">
        <v>4572</v>
      </c>
      <c r="I5702" t="s">
        <v>122</v>
      </c>
      <c r="J5702">
        <v>1095.74</v>
      </c>
      <c r="K5702">
        <v>212.08</v>
      </c>
      <c r="L5702">
        <v>17956</v>
      </c>
      <c r="M5702" t="s">
        <v>53</v>
      </c>
      <c r="N5702" t="str">
        <f>"7231238262  "</f>
        <v xml:space="preserve">7231238262  </v>
      </c>
      <c r="O5702">
        <v>230608</v>
      </c>
    </row>
    <row r="5703" spans="1:15" x14ac:dyDescent="0.25">
      <c r="A5703" t="s">
        <v>16</v>
      </c>
      <c r="B5703" t="s">
        <v>3221</v>
      </c>
      <c r="C5703">
        <v>8428</v>
      </c>
      <c r="D5703" t="s">
        <v>1071</v>
      </c>
      <c r="E5703" t="s">
        <v>1072</v>
      </c>
      <c r="F5703">
        <v>978.4</v>
      </c>
      <c r="G5703">
        <v>230607</v>
      </c>
      <c r="H5703">
        <v>4572</v>
      </c>
      <c r="I5703" t="s">
        <v>122</v>
      </c>
      <c r="J5703">
        <v>1213.22</v>
      </c>
      <c r="K5703">
        <v>234.82</v>
      </c>
      <c r="L5703">
        <v>59502</v>
      </c>
      <c r="M5703" t="s">
        <v>70</v>
      </c>
      <c r="N5703" t="str">
        <f>"7231238233  "</f>
        <v xml:space="preserve">7231238233  </v>
      </c>
      <c r="O5703">
        <v>230608</v>
      </c>
    </row>
    <row r="5704" spans="1:15" x14ac:dyDescent="0.25">
      <c r="A5704" t="s">
        <v>16</v>
      </c>
      <c r="B5704" t="s">
        <v>3221</v>
      </c>
      <c r="C5704">
        <v>8428</v>
      </c>
      <c r="D5704" t="s">
        <v>1071</v>
      </c>
      <c r="E5704" t="s">
        <v>1072</v>
      </c>
      <c r="F5704">
        <v>625.54</v>
      </c>
      <c r="G5704">
        <v>230607</v>
      </c>
      <c r="H5704">
        <v>4572</v>
      </c>
      <c r="I5704" t="s">
        <v>122</v>
      </c>
      <c r="J5704">
        <v>775.67</v>
      </c>
      <c r="K5704">
        <v>150.13</v>
      </c>
      <c r="L5704">
        <v>59802</v>
      </c>
      <c r="M5704" t="s">
        <v>73</v>
      </c>
      <c r="N5704" t="str">
        <f>"7231238233  "</f>
        <v xml:space="preserve">7231238233  </v>
      </c>
      <c r="O5704">
        <v>230608</v>
      </c>
    </row>
    <row r="5705" spans="1:15" x14ac:dyDescent="0.25">
      <c r="A5705" t="s">
        <v>16</v>
      </c>
      <c r="B5705" t="s">
        <v>3221</v>
      </c>
      <c r="C5705">
        <v>8429</v>
      </c>
      <c r="D5705" t="s">
        <v>1071</v>
      </c>
      <c r="E5705" t="s">
        <v>1072</v>
      </c>
      <c r="F5705">
        <v>2586.0100000000002</v>
      </c>
      <c r="G5705">
        <v>230607</v>
      </c>
      <c r="H5705">
        <v>4572</v>
      </c>
      <c r="I5705" t="s">
        <v>122</v>
      </c>
      <c r="J5705">
        <v>3206.65</v>
      </c>
      <c r="K5705">
        <v>620.64</v>
      </c>
      <c r="L5705">
        <v>69501</v>
      </c>
      <c r="M5705" t="s">
        <v>185</v>
      </c>
      <c r="N5705" t="str">
        <f>"7231238152  "</f>
        <v xml:space="preserve">7231238152  </v>
      </c>
      <c r="O5705">
        <v>230608</v>
      </c>
    </row>
    <row r="5706" spans="1:15" x14ac:dyDescent="0.25">
      <c r="A5706" t="s">
        <v>16</v>
      </c>
      <c r="B5706" t="s">
        <v>3221</v>
      </c>
      <c r="C5706">
        <v>8434</v>
      </c>
      <c r="D5706" t="s">
        <v>1071</v>
      </c>
      <c r="E5706" t="s">
        <v>1072</v>
      </c>
      <c r="F5706">
        <v>4.0999999999999996</v>
      </c>
      <c r="G5706">
        <v>230607</v>
      </c>
      <c r="H5706">
        <v>4572</v>
      </c>
      <c r="I5706" t="s">
        <v>122</v>
      </c>
      <c r="J5706">
        <v>4.0999999999999996</v>
      </c>
      <c r="K5706">
        <v>0</v>
      </c>
      <c r="L5706">
        <v>59813</v>
      </c>
      <c r="M5706" t="s">
        <v>915</v>
      </c>
      <c r="N5706" t="str">
        <f>"7231238291  "</f>
        <v xml:space="preserve">7231238291  </v>
      </c>
      <c r="O5706">
        <v>230608</v>
      </c>
    </row>
    <row r="5707" spans="1:15" x14ac:dyDescent="0.25">
      <c r="A5707" t="s">
        <v>16</v>
      </c>
      <c r="B5707" t="s">
        <v>3221</v>
      </c>
      <c r="C5707">
        <v>8436</v>
      </c>
      <c r="D5707" t="s">
        <v>1071</v>
      </c>
      <c r="E5707" t="s">
        <v>1072</v>
      </c>
      <c r="F5707">
        <v>1955.3</v>
      </c>
      <c r="G5707">
        <v>230607</v>
      </c>
      <c r="H5707">
        <v>4572</v>
      </c>
      <c r="I5707" t="s">
        <v>122</v>
      </c>
      <c r="J5707">
        <v>2424.5700000000002</v>
      </c>
      <c r="K5707">
        <v>469.27</v>
      </c>
      <c r="L5707">
        <v>17951</v>
      </c>
      <c r="M5707" t="s">
        <v>87</v>
      </c>
      <c r="N5707" t="str">
        <f>"7231238107  "</f>
        <v xml:space="preserve">7231238107  </v>
      </c>
      <c r="O5707">
        <v>230608</v>
      </c>
    </row>
    <row r="5708" spans="1:15" x14ac:dyDescent="0.25">
      <c r="A5708" t="s">
        <v>16</v>
      </c>
      <c r="B5708" t="s">
        <v>3221</v>
      </c>
      <c r="C5708">
        <v>8468</v>
      </c>
      <c r="D5708" t="s">
        <v>1071</v>
      </c>
      <c r="E5708" t="s">
        <v>1072</v>
      </c>
      <c r="F5708">
        <v>87.45</v>
      </c>
      <c r="G5708">
        <v>230607</v>
      </c>
      <c r="H5708">
        <v>4572</v>
      </c>
      <c r="I5708" t="s">
        <v>122</v>
      </c>
      <c r="J5708">
        <v>108.44</v>
      </c>
      <c r="K5708">
        <v>20.99</v>
      </c>
      <c r="L5708">
        <v>17739</v>
      </c>
      <c r="M5708" t="s">
        <v>374</v>
      </c>
      <c r="N5708" t="str">
        <f>"7231238194  "</f>
        <v xml:space="preserve">7231238194  </v>
      </c>
      <c r="O5708">
        <v>230609</v>
      </c>
    </row>
    <row r="5709" spans="1:15" x14ac:dyDescent="0.25">
      <c r="A5709" t="s">
        <v>16</v>
      </c>
      <c r="B5709" t="s">
        <v>3221</v>
      </c>
      <c r="C5709">
        <v>8468</v>
      </c>
      <c r="D5709" t="s">
        <v>1071</v>
      </c>
      <c r="E5709" t="s">
        <v>1072</v>
      </c>
      <c r="F5709">
        <v>262.36</v>
      </c>
      <c r="G5709">
        <v>230607</v>
      </c>
      <c r="H5709">
        <v>4572</v>
      </c>
      <c r="I5709" t="s">
        <v>122</v>
      </c>
      <c r="J5709">
        <v>325.33</v>
      </c>
      <c r="K5709">
        <v>62.97</v>
      </c>
      <c r="L5709">
        <v>17912</v>
      </c>
      <c r="M5709" t="s">
        <v>419</v>
      </c>
      <c r="N5709" t="str">
        <f>"7231238194  "</f>
        <v xml:space="preserve">7231238194  </v>
      </c>
      <c r="O5709">
        <v>230609</v>
      </c>
    </row>
    <row r="5710" spans="1:15" x14ac:dyDescent="0.25">
      <c r="A5710" t="s">
        <v>16</v>
      </c>
      <c r="B5710" t="s">
        <v>3221</v>
      </c>
      <c r="C5710">
        <v>8468</v>
      </c>
      <c r="D5710" t="s">
        <v>1071</v>
      </c>
      <c r="E5710" t="s">
        <v>1072</v>
      </c>
      <c r="F5710">
        <v>524.73</v>
      </c>
      <c r="G5710">
        <v>230607</v>
      </c>
      <c r="H5710">
        <v>4572</v>
      </c>
      <c r="I5710" t="s">
        <v>122</v>
      </c>
      <c r="J5710">
        <v>650.66999999999996</v>
      </c>
      <c r="K5710">
        <v>125.94</v>
      </c>
      <c r="L5710">
        <v>17952</v>
      </c>
      <c r="M5710" t="s">
        <v>88</v>
      </c>
      <c r="N5710" t="str">
        <f>"7231238194  "</f>
        <v xml:space="preserve">7231238194  </v>
      </c>
      <c r="O5710">
        <v>230609</v>
      </c>
    </row>
    <row r="5711" spans="1:15" x14ac:dyDescent="0.25">
      <c r="A5711" t="s">
        <v>16</v>
      </c>
      <c r="B5711" t="s">
        <v>3221</v>
      </c>
      <c r="C5711">
        <v>8473</v>
      </c>
      <c r="D5711" t="s">
        <v>1071</v>
      </c>
      <c r="E5711" t="s">
        <v>1072</v>
      </c>
      <c r="F5711">
        <v>85.68</v>
      </c>
      <c r="G5711">
        <v>230607</v>
      </c>
      <c r="H5711">
        <v>4572</v>
      </c>
      <c r="I5711" t="s">
        <v>122</v>
      </c>
      <c r="J5711">
        <v>106.24</v>
      </c>
      <c r="K5711">
        <v>20.56</v>
      </c>
      <c r="L5711">
        <v>17711</v>
      </c>
      <c r="M5711" t="s">
        <v>65</v>
      </c>
      <c r="N5711" t="str">
        <f>"7231238301  "</f>
        <v xml:space="preserve">7231238301  </v>
      </c>
      <c r="O5711">
        <v>230609</v>
      </c>
    </row>
    <row r="5712" spans="1:15" x14ac:dyDescent="0.25">
      <c r="A5712" t="s">
        <v>16</v>
      </c>
      <c r="B5712" t="s">
        <v>3221</v>
      </c>
      <c r="C5712">
        <v>8473</v>
      </c>
      <c r="D5712" t="s">
        <v>1071</v>
      </c>
      <c r="E5712" t="s">
        <v>1072</v>
      </c>
      <c r="F5712">
        <v>6.44</v>
      </c>
      <c r="G5712">
        <v>230607</v>
      </c>
      <c r="H5712">
        <v>4572</v>
      </c>
      <c r="I5712" t="s">
        <v>122</v>
      </c>
      <c r="J5712">
        <v>7.99</v>
      </c>
      <c r="K5712">
        <v>1.55</v>
      </c>
      <c r="L5712">
        <v>17737</v>
      </c>
      <c r="M5712" t="s">
        <v>279</v>
      </c>
      <c r="N5712" t="str">
        <f>"7231238301  "</f>
        <v xml:space="preserve">7231238301  </v>
      </c>
      <c r="O5712">
        <v>230609</v>
      </c>
    </row>
    <row r="5713" spans="1:15" x14ac:dyDescent="0.25">
      <c r="A5713" t="s">
        <v>16</v>
      </c>
      <c r="B5713" t="s">
        <v>3221</v>
      </c>
      <c r="C5713">
        <v>8473</v>
      </c>
      <c r="D5713" t="s">
        <v>1071</v>
      </c>
      <c r="E5713" t="s">
        <v>1072</v>
      </c>
      <c r="F5713">
        <v>36.72</v>
      </c>
      <c r="G5713">
        <v>230607</v>
      </c>
      <c r="H5713">
        <v>4572</v>
      </c>
      <c r="I5713" t="s">
        <v>122</v>
      </c>
      <c r="J5713">
        <v>45.53</v>
      </c>
      <c r="K5713">
        <v>8.81</v>
      </c>
      <c r="L5713">
        <v>17739</v>
      </c>
      <c r="M5713" t="s">
        <v>374</v>
      </c>
      <c r="N5713" t="str">
        <f>"7231238301  "</f>
        <v xml:space="preserve">7231238301  </v>
      </c>
      <c r="O5713">
        <v>230609</v>
      </c>
    </row>
    <row r="5714" spans="1:15" x14ac:dyDescent="0.25">
      <c r="A5714" t="s">
        <v>16</v>
      </c>
      <c r="B5714" t="s">
        <v>3221</v>
      </c>
      <c r="C5714">
        <v>8493</v>
      </c>
      <c r="D5714" t="s">
        <v>1071</v>
      </c>
      <c r="E5714" t="s">
        <v>1072</v>
      </c>
      <c r="F5714">
        <v>11.2</v>
      </c>
      <c r="G5714">
        <v>230607</v>
      </c>
      <c r="H5714">
        <v>4572</v>
      </c>
      <c r="I5714" t="s">
        <v>122</v>
      </c>
      <c r="J5714">
        <v>13.89</v>
      </c>
      <c r="K5714">
        <v>2.69</v>
      </c>
      <c r="L5714">
        <v>59112</v>
      </c>
      <c r="M5714" t="s">
        <v>182</v>
      </c>
      <c r="N5714" t="str">
        <f>"7231238275  "</f>
        <v xml:space="preserve">7231238275  </v>
      </c>
      <c r="O5714">
        <v>230609</v>
      </c>
    </row>
    <row r="5715" spans="1:15" x14ac:dyDescent="0.25">
      <c r="A5715" t="s">
        <v>16</v>
      </c>
      <c r="B5715" t="s">
        <v>3221</v>
      </c>
      <c r="C5715">
        <v>8493</v>
      </c>
      <c r="D5715" t="s">
        <v>1071</v>
      </c>
      <c r="E5715" t="s">
        <v>1072</v>
      </c>
      <c r="F5715">
        <v>30.29</v>
      </c>
      <c r="G5715">
        <v>230607</v>
      </c>
      <c r="H5715">
        <v>4572</v>
      </c>
      <c r="I5715" t="s">
        <v>122</v>
      </c>
      <c r="J5715">
        <v>37.56</v>
      </c>
      <c r="K5715">
        <v>7.27</v>
      </c>
      <c r="L5715">
        <v>59504</v>
      </c>
      <c r="M5715" t="s">
        <v>71</v>
      </c>
      <c r="N5715" t="str">
        <f>"7231238275  "</f>
        <v xml:space="preserve">7231238275  </v>
      </c>
      <c r="O5715">
        <v>230609</v>
      </c>
    </row>
    <row r="5716" spans="1:15" x14ac:dyDescent="0.25">
      <c r="A5716" t="s">
        <v>16</v>
      </c>
      <c r="B5716" t="s">
        <v>3221</v>
      </c>
      <c r="C5716">
        <v>8495</v>
      </c>
      <c r="D5716" t="s">
        <v>1071</v>
      </c>
      <c r="E5716" t="s">
        <v>1072</v>
      </c>
      <c r="F5716">
        <v>249.01</v>
      </c>
      <c r="G5716">
        <v>230607</v>
      </c>
      <c r="H5716">
        <v>4572</v>
      </c>
      <c r="I5716" t="s">
        <v>122</v>
      </c>
      <c r="J5716">
        <v>308.77</v>
      </c>
      <c r="K5716">
        <v>59.76</v>
      </c>
      <c r="L5716">
        <v>59112</v>
      </c>
      <c r="M5716" t="s">
        <v>182</v>
      </c>
      <c r="N5716" t="str">
        <f>"7231238288  "</f>
        <v xml:space="preserve">7231238288  </v>
      </c>
      <c r="O5716">
        <v>230609</v>
      </c>
    </row>
    <row r="5717" spans="1:15" x14ac:dyDescent="0.25">
      <c r="A5717" t="s">
        <v>16</v>
      </c>
      <c r="B5717" t="s">
        <v>3221</v>
      </c>
      <c r="C5717">
        <v>8495</v>
      </c>
      <c r="D5717" t="s">
        <v>1071</v>
      </c>
      <c r="E5717" t="s">
        <v>1072</v>
      </c>
      <c r="F5717">
        <v>673.23</v>
      </c>
      <c r="G5717">
        <v>230607</v>
      </c>
      <c r="H5717">
        <v>4572</v>
      </c>
      <c r="I5717" t="s">
        <v>122</v>
      </c>
      <c r="J5717">
        <v>834.81</v>
      </c>
      <c r="K5717">
        <v>161.58000000000001</v>
      </c>
      <c r="L5717">
        <v>59504</v>
      </c>
      <c r="M5717" t="s">
        <v>71</v>
      </c>
      <c r="N5717" t="str">
        <f>"7231238288  "</f>
        <v xml:space="preserve">7231238288  </v>
      </c>
      <c r="O5717">
        <v>230609</v>
      </c>
    </row>
    <row r="5718" spans="1:15" x14ac:dyDescent="0.25">
      <c r="A5718" t="s">
        <v>16</v>
      </c>
      <c r="B5718" t="s">
        <v>3221</v>
      </c>
      <c r="C5718">
        <v>8524</v>
      </c>
      <c r="D5718" t="s">
        <v>1071</v>
      </c>
      <c r="E5718" t="s">
        <v>1072</v>
      </c>
      <c r="F5718">
        <v>444.89</v>
      </c>
      <c r="G5718">
        <v>230607</v>
      </c>
      <c r="H5718">
        <v>4572</v>
      </c>
      <c r="I5718" t="s">
        <v>122</v>
      </c>
      <c r="J5718">
        <v>551.66</v>
      </c>
      <c r="K5718">
        <v>106.77</v>
      </c>
      <c r="L5718">
        <v>49503</v>
      </c>
      <c r="M5718" t="s">
        <v>178</v>
      </c>
      <c r="N5718" t="str">
        <f>"7231238246  "</f>
        <v xml:space="preserve">7231238246  </v>
      </c>
      <c r="O5718">
        <v>230612</v>
      </c>
    </row>
    <row r="5719" spans="1:15" x14ac:dyDescent="0.25">
      <c r="A5719" t="s">
        <v>16</v>
      </c>
      <c r="B5719" t="s">
        <v>3221</v>
      </c>
      <c r="C5719">
        <v>8579</v>
      </c>
      <c r="D5719" t="s">
        <v>1071</v>
      </c>
      <c r="E5719" t="s">
        <v>1072</v>
      </c>
      <c r="F5719">
        <v>2094.42</v>
      </c>
      <c r="G5719">
        <v>230607</v>
      </c>
      <c r="H5719">
        <v>4572</v>
      </c>
      <c r="I5719" t="s">
        <v>122</v>
      </c>
      <c r="J5719">
        <v>2597.08</v>
      </c>
      <c r="K5719">
        <v>502.66</v>
      </c>
      <c r="L5719">
        <v>49501</v>
      </c>
      <c r="M5719" t="s">
        <v>177</v>
      </c>
      <c r="N5719" t="str">
        <f>"7231238314  "</f>
        <v xml:space="preserve">7231238314  </v>
      </c>
      <c r="O5719">
        <v>230612</v>
      </c>
    </row>
    <row r="5720" spans="1:15" x14ac:dyDescent="0.25">
      <c r="A5720" t="s">
        <v>16</v>
      </c>
      <c r="B5720" t="s">
        <v>3221</v>
      </c>
      <c r="C5720">
        <v>8579</v>
      </c>
      <c r="D5720" t="s">
        <v>1071</v>
      </c>
      <c r="E5720" t="s">
        <v>1072</v>
      </c>
      <c r="F5720">
        <v>113.65</v>
      </c>
      <c r="G5720">
        <v>230607</v>
      </c>
      <c r="H5720">
        <v>4572</v>
      </c>
      <c r="I5720" t="s">
        <v>122</v>
      </c>
      <c r="J5720">
        <v>140.91999999999999</v>
      </c>
      <c r="K5720">
        <v>27.27</v>
      </c>
      <c r="L5720">
        <v>49801</v>
      </c>
      <c r="M5720" t="s">
        <v>1227</v>
      </c>
      <c r="N5720" t="str">
        <f>"7231238314  "</f>
        <v xml:space="preserve">7231238314  </v>
      </c>
      <c r="O5720">
        <v>230612</v>
      </c>
    </row>
    <row r="5721" spans="1:15" x14ac:dyDescent="0.25">
      <c r="A5721" t="s">
        <v>16</v>
      </c>
      <c r="B5721" t="s">
        <v>3221</v>
      </c>
      <c r="C5721">
        <v>8579</v>
      </c>
      <c r="D5721" t="s">
        <v>1071</v>
      </c>
      <c r="E5721" t="s">
        <v>1072</v>
      </c>
      <c r="F5721">
        <v>64.77</v>
      </c>
      <c r="G5721">
        <v>230607</v>
      </c>
      <c r="H5721">
        <v>4572</v>
      </c>
      <c r="I5721" t="s">
        <v>122</v>
      </c>
      <c r="J5721">
        <v>80.319999999999993</v>
      </c>
      <c r="K5721">
        <v>15.55</v>
      </c>
      <c r="L5721">
        <v>49803</v>
      </c>
      <c r="M5721" t="s">
        <v>1229</v>
      </c>
      <c r="N5721" t="str">
        <f>"7231238314  "</f>
        <v xml:space="preserve">7231238314  </v>
      </c>
      <c r="O5721">
        <v>230612</v>
      </c>
    </row>
    <row r="5722" spans="1:15" x14ac:dyDescent="0.25">
      <c r="A5722" t="s">
        <v>16</v>
      </c>
      <c r="B5722" t="s">
        <v>3221</v>
      </c>
      <c r="C5722">
        <v>8582</v>
      </c>
      <c r="D5722" t="s">
        <v>1071</v>
      </c>
      <c r="E5722" t="s">
        <v>1072</v>
      </c>
      <c r="F5722">
        <v>1057.99</v>
      </c>
      <c r="G5722">
        <v>230607</v>
      </c>
      <c r="H5722">
        <v>4572</v>
      </c>
      <c r="I5722" t="s">
        <v>122</v>
      </c>
      <c r="J5722">
        <v>1311.91</v>
      </c>
      <c r="K5722">
        <v>253.92</v>
      </c>
      <c r="L5722">
        <v>49501</v>
      </c>
      <c r="M5722" t="s">
        <v>177</v>
      </c>
      <c r="N5722" t="str">
        <f>"7231238178  "</f>
        <v xml:space="preserve">7231238178  </v>
      </c>
      <c r="O5722">
        <v>230612</v>
      </c>
    </row>
    <row r="5723" spans="1:15" x14ac:dyDescent="0.25">
      <c r="A5723" t="s">
        <v>16</v>
      </c>
      <c r="B5723" t="s">
        <v>3221</v>
      </c>
      <c r="C5723">
        <v>8582</v>
      </c>
      <c r="D5723" t="s">
        <v>1071</v>
      </c>
      <c r="E5723" t="s">
        <v>1072</v>
      </c>
      <c r="F5723">
        <v>55.69</v>
      </c>
      <c r="G5723">
        <v>230607</v>
      </c>
      <c r="H5723">
        <v>4572</v>
      </c>
      <c r="I5723" t="s">
        <v>122</v>
      </c>
      <c r="J5723">
        <v>69.05</v>
      </c>
      <c r="K5723">
        <v>13.36</v>
      </c>
      <c r="L5723">
        <v>49801</v>
      </c>
      <c r="M5723" t="s">
        <v>1227</v>
      </c>
      <c r="N5723" t="str">
        <f>"7231238178  "</f>
        <v xml:space="preserve">7231238178  </v>
      </c>
      <c r="O5723">
        <v>230612</v>
      </c>
    </row>
    <row r="5724" spans="1:15" x14ac:dyDescent="0.25">
      <c r="A5724" t="s">
        <v>16</v>
      </c>
      <c r="B5724" t="s">
        <v>3221</v>
      </c>
      <c r="C5724">
        <v>8672</v>
      </c>
      <c r="D5724" t="s">
        <v>1071</v>
      </c>
      <c r="E5724" t="s">
        <v>1072</v>
      </c>
      <c r="F5724">
        <v>3.07</v>
      </c>
      <c r="G5724">
        <v>230607</v>
      </c>
      <c r="H5724">
        <v>4572</v>
      </c>
      <c r="I5724" t="s">
        <v>122</v>
      </c>
      <c r="J5724">
        <v>3.81</v>
      </c>
      <c r="K5724">
        <v>0.74</v>
      </c>
      <c r="L5724">
        <v>13841</v>
      </c>
      <c r="M5724" t="s">
        <v>47</v>
      </c>
      <c r="N5724" t="str">
        <f>"7231247020  "</f>
        <v xml:space="preserve">7231247020  </v>
      </c>
      <c r="O5724">
        <v>230613</v>
      </c>
    </row>
    <row r="5725" spans="1:15" x14ac:dyDescent="0.25">
      <c r="A5725" t="s">
        <v>16</v>
      </c>
      <c r="B5725" t="s">
        <v>3221</v>
      </c>
      <c r="C5725">
        <v>8679</v>
      </c>
      <c r="D5725" t="s">
        <v>1071</v>
      </c>
      <c r="E5725" t="s">
        <v>1072</v>
      </c>
      <c r="F5725">
        <v>32.81</v>
      </c>
      <c r="G5725">
        <v>230607</v>
      </c>
      <c r="H5725">
        <v>4572</v>
      </c>
      <c r="I5725" t="s">
        <v>122</v>
      </c>
      <c r="J5725">
        <v>32.81</v>
      </c>
      <c r="K5725">
        <v>0</v>
      </c>
      <c r="L5725">
        <v>11001</v>
      </c>
      <c r="M5725" t="s">
        <v>326</v>
      </c>
      <c r="N5725" t="str">
        <f>"7231244120  "</f>
        <v xml:space="preserve">7231244120  </v>
      </c>
      <c r="O5725">
        <v>230613</v>
      </c>
    </row>
    <row r="5726" spans="1:15" x14ac:dyDescent="0.25">
      <c r="A5726" t="s">
        <v>16</v>
      </c>
      <c r="B5726" t="s">
        <v>3221</v>
      </c>
      <c r="C5726">
        <v>8724</v>
      </c>
      <c r="D5726" t="s">
        <v>1071</v>
      </c>
      <c r="E5726" t="s">
        <v>1072</v>
      </c>
      <c r="F5726">
        <v>1279.8699999999999</v>
      </c>
      <c r="G5726">
        <v>230607</v>
      </c>
      <c r="H5726">
        <v>4572</v>
      </c>
      <c r="I5726" t="s">
        <v>122</v>
      </c>
      <c r="J5726">
        <v>1587.04</v>
      </c>
      <c r="K5726">
        <v>307.17</v>
      </c>
      <c r="L5726">
        <v>14951</v>
      </c>
      <c r="M5726" t="s">
        <v>57</v>
      </c>
      <c r="N5726" t="str">
        <f>"7231238181  "</f>
        <v xml:space="preserve">7231238181  </v>
      </c>
      <c r="O5726">
        <v>230613</v>
      </c>
    </row>
    <row r="5727" spans="1:15" x14ac:dyDescent="0.25">
      <c r="A5727" t="s">
        <v>16</v>
      </c>
      <c r="B5727" t="s">
        <v>3221</v>
      </c>
      <c r="C5727">
        <v>8725</v>
      </c>
      <c r="D5727" t="s">
        <v>1071</v>
      </c>
      <c r="E5727" t="s">
        <v>1072</v>
      </c>
      <c r="F5727">
        <v>4.95</v>
      </c>
      <c r="G5727">
        <v>230607</v>
      </c>
      <c r="H5727">
        <v>4572</v>
      </c>
      <c r="I5727" t="s">
        <v>122</v>
      </c>
      <c r="J5727">
        <v>6.14</v>
      </c>
      <c r="K5727">
        <v>1.19</v>
      </c>
      <c r="L5727">
        <v>11401</v>
      </c>
      <c r="M5727" t="s">
        <v>84</v>
      </c>
      <c r="N5727" t="str">
        <f>"7231238385  "</f>
        <v xml:space="preserve">7231238385  </v>
      </c>
      <c r="O5727">
        <v>230613</v>
      </c>
    </row>
    <row r="5728" spans="1:15" x14ac:dyDescent="0.25">
      <c r="A5728" t="s">
        <v>16</v>
      </c>
      <c r="B5728" t="s">
        <v>3221</v>
      </c>
      <c r="C5728">
        <v>8725</v>
      </c>
      <c r="D5728" t="s">
        <v>1071</v>
      </c>
      <c r="E5728" t="s">
        <v>1072</v>
      </c>
      <c r="F5728">
        <v>9.91</v>
      </c>
      <c r="G5728">
        <v>230607</v>
      </c>
      <c r="H5728">
        <v>4572</v>
      </c>
      <c r="I5728" t="s">
        <v>122</v>
      </c>
      <c r="J5728">
        <v>12.29</v>
      </c>
      <c r="K5728">
        <v>2.38</v>
      </c>
      <c r="L5728">
        <v>14952</v>
      </c>
      <c r="M5728" t="s">
        <v>99</v>
      </c>
      <c r="N5728" t="str">
        <f>"7231238385  "</f>
        <v xml:space="preserve">7231238385  </v>
      </c>
      <c r="O5728">
        <v>230613</v>
      </c>
    </row>
    <row r="5729" spans="1:15" x14ac:dyDescent="0.25">
      <c r="A5729" t="s">
        <v>16</v>
      </c>
      <c r="B5729" t="s">
        <v>3221</v>
      </c>
      <c r="C5729">
        <v>8729</v>
      </c>
      <c r="D5729" t="s">
        <v>1071</v>
      </c>
      <c r="E5729" t="s">
        <v>1072</v>
      </c>
      <c r="F5729">
        <v>1.25</v>
      </c>
      <c r="G5729">
        <v>230607</v>
      </c>
      <c r="H5729">
        <v>4572</v>
      </c>
      <c r="I5729" t="s">
        <v>122</v>
      </c>
      <c r="J5729">
        <v>1.55</v>
      </c>
      <c r="K5729">
        <v>0.3</v>
      </c>
      <c r="L5729">
        <v>14952</v>
      </c>
      <c r="M5729" t="s">
        <v>99</v>
      </c>
      <c r="N5729" t="str">
        <f>"7231245158  "</f>
        <v xml:space="preserve">7231245158  </v>
      </c>
      <c r="O5729">
        <v>230613</v>
      </c>
    </row>
    <row r="5730" spans="1:15" x14ac:dyDescent="0.25">
      <c r="A5730" t="s">
        <v>16</v>
      </c>
      <c r="B5730" t="s">
        <v>3221</v>
      </c>
      <c r="C5730">
        <v>8729</v>
      </c>
      <c r="D5730" t="s">
        <v>1071</v>
      </c>
      <c r="E5730" t="s">
        <v>1072</v>
      </c>
      <c r="F5730">
        <v>2.91</v>
      </c>
      <c r="G5730">
        <v>230607</v>
      </c>
      <c r="H5730">
        <v>4572</v>
      </c>
      <c r="I5730" t="s">
        <v>122</v>
      </c>
      <c r="J5730">
        <v>3.61</v>
      </c>
      <c r="K5730">
        <v>0.7</v>
      </c>
      <c r="L5730">
        <v>14981</v>
      </c>
      <c r="M5730" t="s">
        <v>1211</v>
      </c>
      <c r="N5730" t="str">
        <f>"7231245158  "</f>
        <v xml:space="preserve">7231245158  </v>
      </c>
      <c r="O5730">
        <v>230613</v>
      </c>
    </row>
    <row r="5731" spans="1:15" x14ac:dyDescent="0.25">
      <c r="A5731" t="s">
        <v>16</v>
      </c>
      <c r="B5731" t="s">
        <v>3221</v>
      </c>
      <c r="C5731">
        <v>8730</v>
      </c>
      <c r="D5731" t="s">
        <v>1071</v>
      </c>
      <c r="E5731" t="s">
        <v>1072</v>
      </c>
      <c r="F5731">
        <v>40.270000000000003</v>
      </c>
      <c r="G5731">
        <v>230607</v>
      </c>
      <c r="H5731">
        <v>4572</v>
      </c>
      <c r="I5731" t="s">
        <v>122</v>
      </c>
      <c r="J5731">
        <v>49.93</v>
      </c>
      <c r="K5731">
        <v>9.66</v>
      </c>
      <c r="L5731">
        <v>11401</v>
      </c>
      <c r="M5731" t="s">
        <v>84</v>
      </c>
      <c r="N5731" t="str">
        <f>"7231238398  "</f>
        <v xml:space="preserve">7231238398  </v>
      </c>
      <c r="O5731">
        <v>230613</v>
      </c>
    </row>
    <row r="5732" spans="1:15" x14ac:dyDescent="0.25">
      <c r="A5732" t="s">
        <v>16</v>
      </c>
      <c r="B5732" t="s">
        <v>3221</v>
      </c>
      <c r="C5732">
        <v>8730</v>
      </c>
      <c r="D5732" t="s">
        <v>1071</v>
      </c>
      <c r="E5732" t="s">
        <v>1072</v>
      </c>
      <c r="F5732">
        <v>80.53</v>
      </c>
      <c r="G5732">
        <v>230607</v>
      </c>
      <c r="H5732">
        <v>4572</v>
      </c>
      <c r="I5732" t="s">
        <v>122</v>
      </c>
      <c r="J5732">
        <v>99.86</v>
      </c>
      <c r="K5732">
        <v>19.329999999999998</v>
      </c>
      <c r="L5732">
        <v>14952</v>
      </c>
      <c r="M5732" t="s">
        <v>99</v>
      </c>
      <c r="N5732" t="str">
        <f>"7231238398  "</f>
        <v xml:space="preserve">7231238398  </v>
      </c>
      <c r="O5732">
        <v>230613</v>
      </c>
    </row>
    <row r="5733" spans="1:15" x14ac:dyDescent="0.25">
      <c r="A5733" t="s">
        <v>16</v>
      </c>
      <c r="B5733" t="s">
        <v>3221</v>
      </c>
      <c r="C5733">
        <v>8731</v>
      </c>
      <c r="D5733" t="s">
        <v>1071</v>
      </c>
      <c r="E5733" t="s">
        <v>1072</v>
      </c>
      <c r="F5733">
        <v>4.79</v>
      </c>
      <c r="G5733">
        <v>230607</v>
      </c>
      <c r="H5733">
        <v>4572</v>
      </c>
      <c r="I5733" t="s">
        <v>122</v>
      </c>
      <c r="J5733">
        <v>5.94</v>
      </c>
      <c r="K5733">
        <v>1.1499999999999999</v>
      </c>
      <c r="L5733">
        <v>14952</v>
      </c>
      <c r="M5733" t="s">
        <v>99</v>
      </c>
      <c r="N5733" t="str">
        <f>"7231245145  "</f>
        <v xml:space="preserve">7231245145  </v>
      </c>
      <c r="O5733">
        <v>230613</v>
      </c>
    </row>
    <row r="5734" spans="1:15" x14ac:dyDescent="0.25">
      <c r="A5734" t="s">
        <v>16</v>
      </c>
      <c r="B5734" t="s">
        <v>3221</v>
      </c>
      <c r="C5734">
        <v>8731</v>
      </c>
      <c r="D5734" t="s">
        <v>1071</v>
      </c>
      <c r="E5734" t="s">
        <v>1072</v>
      </c>
      <c r="F5734">
        <v>11.17</v>
      </c>
      <c r="G5734">
        <v>230607</v>
      </c>
      <c r="H5734">
        <v>4572</v>
      </c>
      <c r="I5734" t="s">
        <v>122</v>
      </c>
      <c r="J5734">
        <v>13.85</v>
      </c>
      <c r="K5734">
        <v>2.68</v>
      </c>
      <c r="L5734">
        <v>14981</v>
      </c>
      <c r="M5734" t="s">
        <v>1211</v>
      </c>
      <c r="N5734" t="str">
        <f>"7231245145  "</f>
        <v xml:space="preserve">7231245145  </v>
      </c>
      <c r="O5734">
        <v>230613</v>
      </c>
    </row>
    <row r="5735" spans="1:15" x14ac:dyDescent="0.25">
      <c r="A5735" t="s">
        <v>16</v>
      </c>
      <c r="B5735" t="s">
        <v>3221</v>
      </c>
      <c r="C5735">
        <v>8734</v>
      </c>
      <c r="D5735" t="s">
        <v>1071</v>
      </c>
      <c r="E5735" t="s">
        <v>1072</v>
      </c>
      <c r="F5735">
        <v>46.6</v>
      </c>
      <c r="G5735">
        <v>230607</v>
      </c>
      <c r="H5735">
        <v>4572</v>
      </c>
      <c r="I5735" t="s">
        <v>122</v>
      </c>
      <c r="J5735">
        <v>57.78</v>
      </c>
      <c r="K5735">
        <v>11.18</v>
      </c>
      <c r="L5735">
        <v>14952</v>
      </c>
      <c r="M5735" t="s">
        <v>99</v>
      </c>
      <c r="N5735" t="str">
        <f>"7231245132  "</f>
        <v xml:space="preserve">7231245132  </v>
      </c>
      <c r="O5735">
        <v>230613</v>
      </c>
    </row>
    <row r="5736" spans="1:15" x14ac:dyDescent="0.25">
      <c r="A5736" t="s">
        <v>16</v>
      </c>
      <c r="B5736" t="s">
        <v>3221</v>
      </c>
      <c r="C5736">
        <v>8734</v>
      </c>
      <c r="D5736" t="s">
        <v>1071</v>
      </c>
      <c r="E5736" t="s">
        <v>1072</v>
      </c>
      <c r="F5736">
        <v>108.73</v>
      </c>
      <c r="G5736">
        <v>230607</v>
      </c>
      <c r="H5736">
        <v>4572</v>
      </c>
      <c r="I5736" t="s">
        <v>122</v>
      </c>
      <c r="J5736">
        <v>134.82</v>
      </c>
      <c r="K5736">
        <v>26.09</v>
      </c>
      <c r="L5736">
        <v>14981</v>
      </c>
      <c r="M5736" t="s">
        <v>1211</v>
      </c>
      <c r="N5736" t="str">
        <f>"7231245132  "</f>
        <v xml:space="preserve">7231245132  </v>
      </c>
      <c r="O5736">
        <v>230613</v>
      </c>
    </row>
    <row r="5737" spans="1:15" x14ac:dyDescent="0.25">
      <c r="A5737" t="s">
        <v>16</v>
      </c>
      <c r="B5737" t="s">
        <v>3221</v>
      </c>
      <c r="C5737">
        <v>9479</v>
      </c>
      <c r="D5737" t="s">
        <v>1071</v>
      </c>
      <c r="E5737" t="s">
        <v>1072</v>
      </c>
      <c r="F5737">
        <v>12.56</v>
      </c>
      <c r="G5737">
        <v>230710</v>
      </c>
      <c r="H5737">
        <v>4572</v>
      </c>
      <c r="I5737" t="s">
        <v>122</v>
      </c>
      <c r="J5737">
        <v>15.57</v>
      </c>
      <c r="K5737">
        <v>3.01</v>
      </c>
      <c r="L5737">
        <v>69501</v>
      </c>
      <c r="M5737" t="s">
        <v>185</v>
      </c>
      <c r="N5737" t="str">
        <f>"7231530698  "</f>
        <v xml:space="preserve">7231530698  </v>
      </c>
      <c r="O5737">
        <v>230711</v>
      </c>
    </row>
    <row r="5738" spans="1:15" x14ac:dyDescent="0.25">
      <c r="A5738" t="s">
        <v>16</v>
      </c>
      <c r="B5738" t="s">
        <v>3221</v>
      </c>
      <c r="C5738">
        <v>9488</v>
      </c>
      <c r="D5738" t="s">
        <v>1071</v>
      </c>
      <c r="E5738" t="s">
        <v>1072</v>
      </c>
      <c r="F5738">
        <v>170.97</v>
      </c>
      <c r="G5738">
        <v>230706</v>
      </c>
      <c r="H5738">
        <v>4572</v>
      </c>
      <c r="I5738" t="s">
        <v>122</v>
      </c>
      <c r="J5738">
        <v>212</v>
      </c>
      <c r="K5738">
        <v>41.03</v>
      </c>
      <c r="L5738">
        <v>13540</v>
      </c>
      <c r="M5738" t="s">
        <v>85</v>
      </c>
      <c r="N5738" t="str">
        <f>"7231508785  "</f>
        <v xml:space="preserve">7231508785  </v>
      </c>
      <c r="O5738">
        <v>230712</v>
      </c>
    </row>
    <row r="5739" spans="1:15" x14ac:dyDescent="0.25">
      <c r="A5739" t="s">
        <v>16</v>
      </c>
      <c r="B5739" t="s">
        <v>3221</v>
      </c>
      <c r="C5739">
        <v>9488</v>
      </c>
      <c r="D5739" t="s">
        <v>1071</v>
      </c>
      <c r="E5739" t="s">
        <v>1072</v>
      </c>
      <c r="F5739">
        <v>1383.29</v>
      </c>
      <c r="G5739">
        <v>230706</v>
      </c>
      <c r="H5739">
        <v>4572</v>
      </c>
      <c r="I5739" t="s">
        <v>122</v>
      </c>
      <c r="J5739">
        <v>1715.28</v>
      </c>
      <c r="K5739">
        <v>331.99</v>
      </c>
      <c r="L5739">
        <v>17950</v>
      </c>
      <c r="M5739" t="s">
        <v>86</v>
      </c>
      <c r="N5739" t="str">
        <f>"7231508785  "</f>
        <v xml:space="preserve">7231508785  </v>
      </c>
      <c r="O5739">
        <v>230712</v>
      </c>
    </row>
    <row r="5740" spans="1:15" x14ac:dyDescent="0.25">
      <c r="A5740" t="s">
        <v>16</v>
      </c>
      <c r="B5740" t="s">
        <v>3221</v>
      </c>
      <c r="C5740">
        <v>9489</v>
      </c>
      <c r="D5740" t="s">
        <v>1071</v>
      </c>
      <c r="E5740" t="s">
        <v>1072</v>
      </c>
      <c r="F5740">
        <v>41.96</v>
      </c>
      <c r="G5740">
        <v>230706</v>
      </c>
      <c r="H5740">
        <v>4572</v>
      </c>
      <c r="I5740" t="s">
        <v>122</v>
      </c>
      <c r="J5740">
        <v>52.03</v>
      </c>
      <c r="K5740">
        <v>10.07</v>
      </c>
      <c r="L5740">
        <v>11401</v>
      </c>
      <c r="M5740" t="s">
        <v>84</v>
      </c>
      <c r="N5740" t="str">
        <f>"7231509043  "</f>
        <v xml:space="preserve">7231509043  </v>
      </c>
      <c r="O5740">
        <v>230712</v>
      </c>
    </row>
    <row r="5741" spans="1:15" x14ac:dyDescent="0.25">
      <c r="A5741" t="s">
        <v>16</v>
      </c>
      <c r="B5741" t="s">
        <v>3221</v>
      </c>
      <c r="C5741">
        <v>9489</v>
      </c>
      <c r="D5741" t="s">
        <v>1071</v>
      </c>
      <c r="E5741" t="s">
        <v>1072</v>
      </c>
      <c r="F5741">
        <v>83.92</v>
      </c>
      <c r="G5741">
        <v>230706</v>
      </c>
      <c r="H5741">
        <v>4572</v>
      </c>
      <c r="I5741" t="s">
        <v>122</v>
      </c>
      <c r="J5741">
        <v>104.06</v>
      </c>
      <c r="K5741">
        <v>20.14</v>
      </c>
      <c r="L5741">
        <v>14952</v>
      </c>
      <c r="M5741" t="s">
        <v>99</v>
      </c>
      <c r="N5741" t="str">
        <f>"7231509043  "</f>
        <v xml:space="preserve">7231509043  </v>
      </c>
      <c r="O5741">
        <v>230712</v>
      </c>
    </row>
    <row r="5742" spans="1:15" x14ac:dyDescent="0.25">
      <c r="A5742" t="s">
        <v>16</v>
      </c>
      <c r="B5742" t="s">
        <v>3221</v>
      </c>
      <c r="C5742">
        <v>9490</v>
      </c>
      <c r="D5742" t="s">
        <v>1071</v>
      </c>
      <c r="E5742" t="s">
        <v>1072</v>
      </c>
      <c r="F5742">
        <v>1524.87</v>
      </c>
      <c r="G5742">
        <v>230706</v>
      </c>
      <c r="H5742">
        <v>4572</v>
      </c>
      <c r="I5742" t="s">
        <v>122</v>
      </c>
      <c r="J5742">
        <v>1890.84</v>
      </c>
      <c r="K5742">
        <v>365.97</v>
      </c>
      <c r="L5742">
        <v>17951</v>
      </c>
      <c r="M5742" t="s">
        <v>87</v>
      </c>
      <c r="N5742" t="str">
        <f>"7231508743  "</f>
        <v xml:space="preserve">7231508743  </v>
      </c>
      <c r="O5742">
        <v>230712</v>
      </c>
    </row>
    <row r="5743" spans="1:15" x14ac:dyDescent="0.25">
      <c r="A5743" t="s">
        <v>16</v>
      </c>
      <c r="B5743" t="s">
        <v>3221</v>
      </c>
      <c r="C5743">
        <v>9491</v>
      </c>
      <c r="D5743" t="s">
        <v>1071</v>
      </c>
      <c r="E5743" t="s">
        <v>1072</v>
      </c>
      <c r="F5743">
        <v>86.82</v>
      </c>
      <c r="G5743">
        <v>230706</v>
      </c>
      <c r="H5743">
        <v>4572</v>
      </c>
      <c r="I5743" t="s">
        <v>122</v>
      </c>
      <c r="J5743">
        <v>107.66</v>
      </c>
      <c r="K5743">
        <v>20.84</v>
      </c>
      <c r="L5743">
        <v>17950</v>
      </c>
      <c r="M5743" t="s">
        <v>86</v>
      </c>
      <c r="N5743" t="str">
        <f>"7231508976  "</f>
        <v xml:space="preserve">7231508976  </v>
      </c>
      <c r="O5743">
        <v>230712</v>
      </c>
    </row>
    <row r="5744" spans="1:15" x14ac:dyDescent="0.25">
      <c r="A5744" t="s">
        <v>16</v>
      </c>
      <c r="B5744" t="s">
        <v>3221</v>
      </c>
      <c r="C5744">
        <v>9492</v>
      </c>
      <c r="D5744" t="s">
        <v>1071</v>
      </c>
      <c r="E5744" t="s">
        <v>1072</v>
      </c>
      <c r="F5744">
        <v>5.95</v>
      </c>
      <c r="G5744">
        <v>230706</v>
      </c>
      <c r="H5744">
        <v>4572</v>
      </c>
      <c r="I5744" t="s">
        <v>122</v>
      </c>
      <c r="J5744">
        <v>7.38</v>
      </c>
      <c r="K5744">
        <v>1.43</v>
      </c>
      <c r="L5744">
        <v>17950</v>
      </c>
      <c r="M5744" t="s">
        <v>86</v>
      </c>
      <c r="N5744" t="str">
        <f>"7231508730  "</f>
        <v xml:space="preserve">7231508730  </v>
      </c>
      <c r="O5744">
        <v>230712</v>
      </c>
    </row>
    <row r="5745" spans="1:15" x14ac:dyDescent="0.25">
      <c r="A5745" t="s">
        <v>16</v>
      </c>
      <c r="B5745" t="s">
        <v>3221</v>
      </c>
      <c r="C5745">
        <v>9493</v>
      </c>
      <c r="D5745" t="s">
        <v>1071</v>
      </c>
      <c r="E5745" t="s">
        <v>1072</v>
      </c>
      <c r="F5745">
        <v>1097.81</v>
      </c>
      <c r="G5745">
        <v>230706</v>
      </c>
      <c r="H5745">
        <v>4572</v>
      </c>
      <c r="I5745" t="s">
        <v>122</v>
      </c>
      <c r="J5745">
        <v>1361.28</v>
      </c>
      <c r="K5745">
        <v>263.47000000000003</v>
      </c>
      <c r="L5745">
        <v>14951</v>
      </c>
      <c r="M5745" t="s">
        <v>57</v>
      </c>
      <c r="N5745" t="str">
        <f>"7231508811  "</f>
        <v xml:space="preserve">7231508811  </v>
      </c>
      <c r="O5745">
        <v>230712</v>
      </c>
    </row>
    <row r="5746" spans="1:15" x14ac:dyDescent="0.25">
      <c r="A5746" t="s">
        <v>16</v>
      </c>
      <c r="B5746" t="s">
        <v>3221</v>
      </c>
      <c r="C5746">
        <v>9494</v>
      </c>
      <c r="D5746" t="s">
        <v>1071</v>
      </c>
      <c r="E5746" t="s">
        <v>1072</v>
      </c>
      <c r="F5746">
        <v>4.75</v>
      </c>
      <c r="G5746">
        <v>230706</v>
      </c>
      <c r="H5746">
        <v>4572</v>
      </c>
      <c r="I5746" t="s">
        <v>122</v>
      </c>
      <c r="J5746">
        <v>5.89</v>
      </c>
      <c r="K5746">
        <v>1.1399999999999999</v>
      </c>
      <c r="L5746">
        <v>14952</v>
      </c>
      <c r="M5746" t="s">
        <v>99</v>
      </c>
      <c r="N5746" t="str">
        <f>"7231516272  "</f>
        <v xml:space="preserve">7231516272  </v>
      </c>
      <c r="O5746">
        <v>230712</v>
      </c>
    </row>
    <row r="5747" spans="1:15" x14ac:dyDescent="0.25">
      <c r="A5747" t="s">
        <v>16</v>
      </c>
      <c r="B5747" t="s">
        <v>3221</v>
      </c>
      <c r="C5747">
        <v>9494</v>
      </c>
      <c r="D5747" t="s">
        <v>1071</v>
      </c>
      <c r="E5747" t="s">
        <v>1072</v>
      </c>
      <c r="F5747">
        <v>11.1</v>
      </c>
      <c r="G5747">
        <v>230706</v>
      </c>
      <c r="H5747">
        <v>4572</v>
      </c>
      <c r="I5747" t="s">
        <v>122</v>
      </c>
      <c r="J5747">
        <v>13.76</v>
      </c>
      <c r="K5747">
        <v>2.66</v>
      </c>
      <c r="L5747">
        <v>14981</v>
      </c>
      <c r="M5747" t="s">
        <v>1211</v>
      </c>
      <c r="N5747" t="str">
        <f>"7231516272  "</f>
        <v xml:space="preserve">7231516272  </v>
      </c>
      <c r="O5747">
        <v>230712</v>
      </c>
    </row>
    <row r="5748" spans="1:15" x14ac:dyDescent="0.25">
      <c r="A5748" t="s">
        <v>16</v>
      </c>
      <c r="B5748" t="s">
        <v>3221</v>
      </c>
      <c r="C5748">
        <v>9495</v>
      </c>
      <c r="D5748" t="s">
        <v>1071</v>
      </c>
      <c r="E5748" t="s">
        <v>1072</v>
      </c>
      <c r="F5748">
        <v>56.35</v>
      </c>
      <c r="G5748">
        <v>230706</v>
      </c>
      <c r="H5748">
        <v>4572</v>
      </c>
      <c r="I5748" t="s">
        <v>122</v>
      </c>
      <c r="J5748">
        <v>69.87</v>
      </c>
      <c r="K5748">
        <v>13.52</v>
      </c>
      <c r="L5748">
        <v>17956</v>
      </c>
      <c r="M5748" t="s">
        <v>53</v>
      </c>
      <c r="N5748" t="str">
        <f>"7231508772  "</f>
        <v xml:space="preserve">7231508772  </v>
      </c>
      <c r="O5748">
        <v>230712</v>
      </c>
    </row>
    <row r="5749" spans="1:15" x14ac:dyDescent="0.25">
      <c r="A5749" t="s">
        <v>16</v>
      </c>
      <c r="B5749" t="s">
        <v>3221</v>
      </c>
      <c r="C5749">
        <v>9496</v>
      </c>
      <c r="D5749" t="s">
        <v>1071</v>
      </c>
      <c r="E5749" t="s">
        <v>1072</v>
      </c>
      <c r="F5749">
        <v>4.26</v>
      </c>
      <c r="G5749">
        <v>230706</v>
      </c>
      <c r="H5749">
        <v>4572</v>
      </c>
      <c r="I5749" t="s">
        <v>122</v>
      </c>
      <c r="J5749">
        <v>5.28</v>
      </c>
      <c r="K5749">
        <v>1.02</v>
      </c>
      <c r="L5749">
        <v>17950</v>
      </c>
      <c r="M5749" t="s">
        <v>86</v>
      </c>
      <c r="N5749" t="str">
        <f>"7231508837  "</f>
        <v xml:space="preserve">7231508837  </v>
      </c>
      <c r="O5749">
        <v>230712</v>
      </c>
    </row>
    <row r="5750" spans="1:15" x14ac:dyDescent="0.25">
      <c r="A5750" t="s">
        <v>16</v>
      </c>
      <c r="B5750" t="s">
        <v>3221</v>
      </c>
      <c r="C5750">
        <v>9499</v>
      </c>
      <c r="D5750" t="s">
        <v>1071</v>
      </c>
      <c r="E5750" t="s">
        <v>1072</v>
      </c>
      <c r="F5750">
        <v>45.77</v>
      </c>
      <c r="G5750">
        <v>230706</v>
      </c>
      <c r="H5750">
        <v>4572</v>
      </c>
      <c r="I5750" t="s">
        <v>122</v>
      </c>
      <c r="J5750">
        <v>56.75</v>
      </c>
      <c r="K5750">
        <v>10.98</v>
      </c>
      <c r="L5750">
        <v>17711</v>
      </c>
      <c r="M5750" t="s">
        <v>65</v>
      </c>
      <c r="N5750" t="str">
        <f>"7231508934  "</f>
        <v xml:space="preserve">7231508934  </v>
      </c>
      <c r="O5750">
        <v>230712</v>
      </c>
    </row>
    <row r="5751" spans="1:15" x14ac:dyDescent="0.25">
      <c r="A5751" t="s">
        <v>16</v>
      </c>
      <c r="B5751" t="s">
        <v>3221</v>
      </c>
      <c r="C5751">
        <v>9499</v>
      </c>
      <c r="D5751" t="s">
        <v>1071</v>
      </c>
      <c r="E5751" t="s">
        <v>1072</v>
      </c>
      <c r="F5751">
        <v>3.44</v>
      </c>
      <c r="G5751">
        <v>230706</v>
      </c>
      <c r="H5751">
        <v>4572</v>
      </c>
      <c r="I5751" t="s">
        <v>122</v>
      </c>
      <c r="J5751">
        <v>4.2699999999999996</v>
      </c>
      <c r="K5751">
        <v>0.83</v>
      </c>
      <c r="L5751">
        <v>17737</v>
      </c>
      <c r="M5751" t="s">
        <v>279</v>
      </c>
      <c r="N5751" t="str">
        <f>"7231508934  "</f>
        <v xml:space="preserve">7231508934  </v>
      </c>
      <c r="O5751">
        <v>230712</v>
      </c>
    </row>
    <row r="5752" spans="1:15" x14ac:dyDescent="0.25">
      <c r="A5752" t="s">
        <v>16</v>
      </c>
      <c r="B5752" t="s">
        <v>3221</v>
      </c>
      <c r="C5752">
        <v>9499</v>
      </c>
      <c r="D5752" t="s">
        <v>1071</v>
      </c>
      <c r="E5752" t="s">
        <v>1072</v>
      </c>
      <c r="F5752">
        <v>19.61</v>
      </c>
      <c r="G5752">
        <v>230706</v>
      </c>
      <c r="H5752">
        <v>4572</v>
      </c>
      <c r="I5752" t="s">
        <v>122</v>
      </c>
      <c r="J5752">
        <v>24.32</v>
      </c>
      <c r="K5752">
        <v>4.71</v>
      </c>
      <c r="L5752">
        <v>17739</v>
      </c>
      <c r="M5752" t="s">
        <v>374</v>
      </c>
      <c r="N5752" t="str">
        <f>"7231508934  "</f>
        <v xml:space="preserve">7231508934  </v>
      </c>
      <c r="O5752">
        <v>230712</v>
      </c>
    </row>
    <row r="5753" spans="1:15" x14ac:dyDescent="0.25">
      <c r="A5753" t="s">
        <v>16</v>
      </c>
      <c r="B5753" t="s">
        <v>3221</v>
      </c>
      <c r="C5753">
        <v>9500</v>
      </c>
      <c r="D5753" t="s">
        <v>1071</v>
      </c>
      <c r="E5753" t="s">
        <v>1072</v>
      </c>
      <c r="F5753">
        <v>612.58000000000004</v>
      </c>
      <c r="G5753">
        <v>230706</v>
      </c>
      <c r="H5753">
        <v>4572</v>
      </c>
      <c r="I5753" t="s">
        <v>122</v>
      </c>
      <c r="J5753">
        <v>759.6</v>
      </c>
      <c r="K5753">
        <v>147.02000000000001</v>
      </c>
      <c r="L5753">
        <v>17956</v>
      </c>
      <c r="M5753" t="s">
        <v>53</v>
      </c>
      <c r="N5753" t="str">
        <f>"7231508895  "</f>
        <v xml:space="preserve">7231508895  </v>
      </c>
      <c r="O5753">
        <v>230712</v>
      </c>
    </row>
    <row r="5754" spans="1:15" x14ac:dyDescent="0.25">
      <c r="A5754" t="s">
        <v>16</v>
      </c>
      <c r="B5754" t="s">
        <v>3221</v>
      </c>
      <c r="C5754">
        <v>9501</v>
      </c>
      <c r="D5754" t="s">
        <v>1071</v>
      </c>
      <c r="E5754" t="s">
        <v>1072</v>
      </c>
      <c r="F5754">
        <v>583.6</v>
      </c>
      <c r="G5754">
        <v>230706</v>
      </c>
      <c r="H5754">
        <v>4572</v>
      </c>
      <c r="I5754" t="s">
        <v>122</v>
      </c>
      <c r="J5754">
        <v>723.67</v>
      </c>
      <c r="K5754">
        <v>140.07</v>
      </c>
      <c r="L5754">
        <v>69111</v>
      </c>
      <c r="M5754" t="s">
        <v>471</v>
      </c>
      <c r="N5754" t="str">
        <f>"7231508798  "</f>
        <v xml:space="preserve">7231508798  </v>
      </c>
      <c r="O5754">
        <v>230712</v>
      </c>
    </row>
    <row r="5755" spans="1:15" x14ac:dyDescent="0.25">
      <c r="A5755" t="s">
        <v>16</v>
      </c>
      <c r="B5755" t="s">
        <v>3221</v>
      </c>
      <c r="C5755">
        <v>9501</v>
      </c>
      <c r="D5755" t="s">
        <v>1071</v>
      </c>
      <c r="E5755" t="s">
        <v>1072</v>
      </c>
      <c r="F5755">
        <v>1361.76</v>
      </c>
      <c r="G5755">
        <v>230706</v>
      </c>
      <c r="H5755">
        <v>4572</v>
      </c>
      <c r="I5755" t="s">
        <v>122</v>
      </c>
      <c r="J5755">
        <v>1688.58</v>
      </c>
      <c r="K5755">
        <v>326.82</v>
      </c>
      <c r="L5755">
        <v>69501</v>
      </c>
      <c r="M5755" t="s">
        <v>185</v>
      </c>
      <c r="N5755" t="str">
        <f>"7231508798  "</f>
        <v xml:space="preserve">7231508798  </v>
      </c>
      <c r="O5755">
        <v>230712</v>
      </c>
    </row>
    <row r="5756" spans="1:15" x14ac:dyDescent="0.25">
      <c r="A5756" t="s">
        <v>16</v>
      </c>
      <c r="B5756" t="s">
        <v>3221</v>
      </c>
      <c r="C5756">
        <v>9501</v>
      </c>
      <c r="D5756" t="s">
        <v>1071</v>
      </c>
      <c r="E5756" t="s">
        <v>1072</v>
      </c>
      <c r="F5756">
        <v>24.37</v>
      </c>
      <c r="G5756">
        <v>230706</v>
      </c>
      <c r="H5756">
        <v>4572</v>
      </c>
      <c r="I5756" t="s">
        <v>122</v>
      </c>
      <c r="J5756">
        <v>24.37</v>
      </c>
      <c r="K5756">
        <v>0</v>
      </c>
      <c r="L5756">
        <v>69803</v>
      </c>
      <c r="M5756" t="s">
        <v>755</v>
      </c>
      <c r="N5756" t="str">
        <f>"7231508798  "</f>
        <v xml:space="preserve">7231508798  </v>
      </c>
      <c r="O5756">
        <v>230712</v>
      </c>
    </row>
    <row r="5757" spans="1:15" x14ac:dyDescent="0.25">
      <c r="A5757" t="s">
        <v>16</v>
      </c>
      <c r="B5757" t="s">
        <v>3221</v>
      </c>
      <c r="C5757">
        <v>9503</v>
      </c>
      <c r="D5757" t="s">
        <v>1071</v>
      </c>
      <c r="E5757" t="s">
        <v>1072</v>
      </c>
      <c r="F5757">
        <v>7.02</v>
      </c>
      <c r="G5757">
        <v>230706</v>
      </c>
      <c r="H5757">
        <v>4572</v>
      </c>
      <c r="I5757" t="s">
        <v>122</v>
      </c>
      <c r="J5757">
        <v>8.6999999999999993</v>
      </c>
      <c r="K5757">
        <v>1.68</v>
      </c>
      <c r="L5757">
        <v>59112</v>
      </c>
      <c r="M5757" t="s">
        <v>182</v>
      </c>
      <c r="N5757" t="str">
        <f>"7231508905  "</f>
        <v xml:space="preserve">7231508905  </v>
      </c>
      <c r="O5757">
        <v>230712</v>
      </c>
    </row>
    <row r="5758" spans="1:15" x14ac:dyDescent="0.25">
      <c r="A5758" t="s">
        <v>16</v>
      </c>
      <c r="B5758" t="s">
        <v>3221</v>
      </c>
      <c r="C5758">
        <v>9503</v>
      </c>
      <c r="D5758" t="s">
        <v>1071</v>
      </c>
      <c r="E5758" t="s">
        <v>1072</v>
      </c>
      <c r="F5758">
        <v>18.97</v>
      </c>
      <c r="G5758">
        <v>230706</v>
      </c>
      <c r="H5758">
        <v>4572</v>
      </c>
      <c r="I5758" t="s">
        <v>122</v>
      </c>
      <c r="J5758">
        <v>23.52</v>
      </c>
      <c r="K5758">
        <v>4.55</v>
      </c>
      <c r="L5758">
        <v>59504</v>
      </c>
      <c r="M5758" t="s">
        <v>71</v>
      </c>
      <c r="N5758" t="str">
        <f>"7231508905  "</f>
        <v xml:space="preserve">7231508905  </v>
      </c>
      <c r="O5758">
        <v>230712</v>
      </c>
    </row>
    <row r="5759" spans="1:15" x14ac:dyDescent="0.25">
      <c r="A5759" t="s">
        <v>16</v>
      </c>
      <c r="B5759" t="s">
        <v>3221</v>
      </c>
      <c r="C5759">
        <v>9504</v>
      </c>
      <c r="D5759" t="s">
        <v>1071</v>
      </c>
      <c r="E5759" t="s">
        <v>1072</v>
      </c>
      <c r="F5759">
        <v>8.4499999999999993</v>
      </c>
      <c r="G5759">
        <v>230706</v>
      </c>
      <c r="H5759">
        <v>4572</v>
      </c>
      <c r="I5759" t="s">
        <v>122</v>
      </c>
      <c r="J5759">
        <v>10.48</v>
      </c>
      <c r="K5759">
        <v>2.0299999999999998</v>
      </c>
      <c r="L5759">
        <v>17956</v>
      </c>
      <c r="M5759" t="s">
        <v>53</v>
      </c>
      <c r="N5759" t="str">
        <f>"7231508840  "</f>
        <v xml:space="preserve">7231508840  </v>
      </c>
      <c r="O5759">
        <v>230712</v>
      </c>
    </row>
    <row r="5760" spans="1:15" x14ac:dyDescent="0.25">
      <c r="A5760" t="s">
        <v>16</v>
      </c>
      <c r="B5760" t="s">
        <v>3221</v>
      </c>
      <c r="C5760">
        <v>9506</v>
      </c>
      <c r="D5760" t="s">
        <v>1071</v>
      </c>
      <c r="E5760" t="s">
        <v>1072</v>
      </c>
      <c r="F5760">
        <v>83.18</v>
      </c>
      <c r="G5760">
        <v>230706</v>
      </c>
      <c r="H5760">
        <v>4572</v>
      </c>
      <c r="I5760" t="s">
        <v>122</v>
      </c>
      <c r="J5760">
        <v>103.14</v>
      </c>
      <c r="K5760">
        <v>19.96</v>
      </c>
      <c r="L5760">
        <v>17739</v>
      </c>
      <c r="M5760" t="s">
        <v>374</v>
      </c>
      <c r="N5760" t="str">
        <f>"7231508824  "</f>
        <v xml:space="preserve">7231508824  </v>
      </c>
      <c r="O5760">
        <v>230712</v>
      </c>
    </row>
    <row r="5761" spans="1:15" x14ac:dyDescent="0.25">
      <c r="A5761" t="s">
        <v>16</v>
      </c>
      <c r="B5761" t="s">
        <v>3221</v>
      </c>
      <c r="C5761">
        <v>9506</v>
      </c>
      <c r="D5761" t="s">
        <v>1071</v>
      </c>
      <c r="E5761" t="s">
        <v>1072</v>
      </c>
      <c r="F5761">
        <v>249.54</v>
      </c>
      <c r="G5761">
        <v>230706</v>
      </c>
      <c r="H5761">
        <v>4572</v>
      </c>
      <c r="I5761" t="s">
        <v>122</v>
      </c>
      <c r="J5761">
        <v>309.43</v>
      </c>
      <c r="K5761">
        <v>59.89</v>
      </c>
      <c r="L5761">
        <v>17912</v>
      </c>
      <c r="M5761" t="s">
        <v>419</v>
      </c>
      <c r="N5761" t="str">
        <f>"7231508824  "</f>
        <v xml:space="preserve">7231508824  </v>
      </c>
      <c r="O5761">
        <v>230712</v>
      </c>
    </row>
    <row r="5762" spans="1:15" x14ac:dyDescent="0.25">
      <c r="A5762" t="s">
        <v>16</v>
      </c>
      <c r="B5762" t="s">
        <v>3221</v>
      </c>
      <c r="C5762">
        <v>9506</v>
      </c>
      <c r="D5762" t="s">
        <v>1071</v>
      </c>
      <c r="E5762" t="s">
        <v>1072</v>
      </c>
      <c r="F5762">
        <v>499.07</v>
      </c>
      <c r="G5762">
        <v>230706</v>
      </c>
      <c r="H5762">
        <v>4572</v>
      </c>
      <c r="I5762" t="s">
        <v>122</v>
      </c>
      <c r="J5762">
        <v>618.85</v>
      </c>
      <c r="K5762">
        <v>119.78</v>
      </c>
      <c r="L5762">
        <v>17952</v>
      </c>
      <c r="M5762" t="s">
        <v>88</v>
      </c>
      <c r="N5762" t="str">
        <f>"7231508824  "</f>
        <v xml:space="preserve">7231508824  </v>
      </c>
      <c r="O5762">
        <v>230712</v>
      </c>
    </row>
    <row r="5763" spans="1:15" x14ac:dyDescent="0.25">
      <c r="A5763" t="s">
        <v>16</v>
      </c>
      <c r="B5763" t="s">
        <v>3221</v>
      </c>
      <c r="C5763">
        <v>9510</v>
      </c>
      <c r="D5763" t="s">
        <v>1071</v>
      </c>
      <c r="E5763" t="s">
        <v>1072</v>
      </c>
      <c r="F5763">
        <v>6.12</v>
      </c>
      <c r="G5763">
        <v>230706</v>
      </c>
      <c r="H5763">
        <v>4572</v>
      </c>
      <c r="I5763" t="s">
        <v>122</v>
      </c>
      <c r="J5763">
        <v>7.59</v>
      </c>
      <c r="K5763">
        <v>1.47</v>
      </c>
      <c r="L5763">
        <v>11401</v>
      </c>
      <c r="M5763" t="s">
        <v>84</v>
      </c>
      <c r="N5763" t="str">
        <f>"7231509030  "</f>
        <v xml:space="preserve">7231509030  </v>
      </c>
      <c r="O5763">
        <v>230713</v>
      </c>
    </row>
    <row r="5764" spans="1:15" x14ac:dyDescent="0.25">
      <c r="A5764" t="s">
        <v>16</v>
      </c>
      <c r="B5764" t="s">
        <v>3221</v>
      </c>
      <c r="C5764">
        <v>9510</v>
      </c>
      <c r="D5764" t="s">
        <v>1071</v>
      </c>
      <c r="E5764" t="s">
        <v>1072</v>
      </c>
      <c r="F5764">
        <v>12.24</v>
      </c>
      <c r="G5764">
        <v>230706</v>
      </c>
      <c r="H5764">
        <v>4572</v>
      </c>
      <c r="I5764" t="s">
        <v>122</v>
      </c>
      <c r="J5764">
        <v>15.18</v>
      </c>
      <c r="K5764">
        <v>2.94</v>
      </c>
      <c r="L5764">
        <v>14952</v>
      </c>
      <c r="M5764" t="s">
        <v>99</v>
      </c>
      <c r="N5764" t="str">
        <f>"7231509030  "</f>
        <v xml:space="preserve">7231509030  </v>
      </c>
      <c r="O5764">
        <v>230713</v>
      </c>
    </row>
    <row r="5765" spans="1:15" x14ac:dyDescent="0.25">
      <c r="A5765" t="s">
        <v>16</v>
      </c>
      <c r="B5765" t="s">
        <v>3221</v>
      </c>
      <c r="C5765">
        <v>9511</v>
      </c>
      <c r="D5765" t="s">
        <v>1071</v>
      </c>
      <c r="E5765" t="s">
        <v>1072</v>
      </c>
      <c r="F5765">
        <v>193.31</v>
      </c>
      <c r="G5765">
        <v>230706</v>
      </c>
      <c r="H5765">
        <v>4572</v>
      </c>
      <c r="I5765" t="s">
        <v>122</v>
      </c>
      <c r="J5765">
        <v>239.71</v>
      </c>
      <c r="K5765">
        <v>46.4</v>
      </c>
      <c r="L5765">
        <v>59112</v>
      </c>
      <c r="M5765" t="s">
        <v>182</v>
      </c>
      <c r="N5765" t="str">
        <f>"7231508918  "</f>
        <v xml:space="preserve">7231508918  </v>
      </c>
      <c r="O5765">
        <v>230713</v>
      </c>
    </row>
    <row r="5766" spans="1:15" x14ac:dyDescent="0.25">
      <c r="A5766" t="s">
        <v>16</v>
      </c>
      <c r="B5766" t="s">
        <v>3221</v>
      </c>
      <c r="C5766">
        <v>9511</v>
      </c>
      <c r="D5766" t="s">
        <v>1071</v>
      </c>
      <c r="E5766" t="s">
        <v>1072</v>
      </c>
      <c r="F5766">
        <v>522.66999999999996</v>
      </c>
      <c r="G5766">
        <v>230706</v>
      </c>
      <c r="H5766">
        <v>4572</v>
      </c>
      <c r="I5766" t="s">
        <v>122</v>
      </c>
      <c r="J5766">
        <v>648.11</v>
      </c>
      <c r="K5766">
        <v>125.44</v>
      </c>
      <c r="L5766">
        <v>59504</v>
      </c>
      <c r="M5766" t="s">
        <v>71</v>
      </c>
      <c r="N5766" t="str">
        <f>"7231508918  "</f>
        <v xml:space="preserve">7231508918  </v>
      </c>
      <c r="O5766">
        <v>230713</v>
      </c>
    </row>
    <row r="5767" spans="1:15" x14ac:dyDescent="0.25">
      <c r="A5767" t="s">
        <v>16</v>
      </c>
      <c r="B5767" t="s">
        <v>3221</v>
      </c>
      <c r="C5767">
        <v>9512</v>
      </c>
      <c r="D5767" t="s">
        <v>1071</v>
      </c>
      <c r="E5767" t="s">
        <v>1072</v>
      </c>
      <c r="F5767">
        <v>8.32</v>
      </c>
      <c r="G5767">
        <v>230706</v>
      </c>
      <c r="H5767">
        <v>4572</v>
      </c>
      <c r="I5767" t="s">
        <v>122</v>
      </c>
      <c r="J5767">
        <v>10.32</v>
      </c>
      <c r="K5767">
        <v>2</v>
      </c>
      <c r="L5767">
        <v>14952</v>
      </c>
      <c r="M5767" t="s">
        <v>99</v>
      </c>
      <c r="N5767" t="str">
        <f>"7231516285  "</f>
        <v xml:space="preserve">7231516285  </v>
      </c>
      <c r="O5767">
        <v>230713</v>
      </c>
    </row>
    <row r="5768" spans="1:15" x14ac:dyDescent="0.25">
      <c r="A5768" t="s">
        <v>16</v>
      </c>
      <c r="B5768" t="s">
        <v>3221</v>
      </c>
      <c r="C5768">
        <v>9512</v>
      </c>
      <c r="D5768" t="s">
        <v>1071</v>
      </c>
      <c r="E5768" t="s">
        <v>1072</v>
      </c>
      <c r="F5768">
        <v>19.420000000000002</v>
      </c>
      <c r="G5768">
        <v>230706</v>
      </c>
      <c r="H5768">
        <v>4572</v>
      </c>
      <c r="I5768" t="s">
        <v>122</v>
      </c>
      <c r="J5768">
        <v>24.08</v>
      </c>
      <c r="K5768">
        <v>4.66</v>
      </c>
      <c r="L5768">
        <v>14981</v>
      </c>
      <c r="M5768" t="s">
        <v>1211</v>
      </c>
      <c r="N5768" t="str">
        <f>"7231516285  "</f>
        <v xml:space="preserve">7231516285  </v>
      </c>
      <c r="O5768">
        <v>230713</v>
      </c>
    </row>
    <row r="5769" spans="1:15" x14ac:dyDescent="0.25">
      <c r="A5769" t="s">
        <v>16</v>
      </c>
      <c r="B5769" t="s">
        <v>3221</v>
      </c>
      <c r="C5769">
        <v>9645</v>
      </c>
      <c r="D5769" t="s">
        <v>1071</v>
      </c>
      <c r="E5769" t="s">
        <v>1072</v>
      </c>
      <c r="F5769">
        <v>122.13</v>
      </c>
      <c r="G5769">
        <v>230706</v>
      </c>
      <c r="H5769">
        <v>4572</v>
      </c>
      <c r="I5769" t="s">
        <v>122</v>
      </c>
      <c r="J5769">
        <v>151.44</v>
      </c>
      <c r="K5769">
        <v>29.31</v>
      </c>
      <c r="L5769">
        <v>59111</v>
      </c>
      <c r="M5769" t="s">
        <v>1010</v>
      </c>
      <c r="N5769" t="str">
        <f>"7231508853  "</f>
        <v xml:space="preserve">7231508853  </v>
      </c>
      <c r="O5769">
        <v>230718</v>
      </c>
    </row>
    <row r="5770" spans="1:15" x14ac:dyDescent="0.25">
      <c r="A5770" t="s">
        <v>16</v>
      </c>
      <c r="B5770" t="s">
        <v>3221</v>
      </c>
      <c r="C5770">
        <v>9645</v>
      </c>
      <c r="D5770" t="s">
        <v>1071</v>
      </c>
      <c r="E5770" t="s">
        <v>1072</v>
      </c>
      <c r="F5770">
        <v>1913.39</v>
      </c>
      <c r="G5770">
        <v>230706</v>
      </c>
      <c r="H5770">
        <v>4572</v>
      </c>
      <c r="I5770" t="s">
        <v>122</v>
      </c>
      <c r="J5770">
        <v>2372.6</v>
      </c>
      <c r="K5770">
        <v>459.21</v>
      </c>
      <c r="L5770">
        <v>59501</v>
      </c>
      <c r="M5770" t="s">
        <v>69</v>
      </c>
      <c r="N5770" t="str">
        <f>"7231508853  "</f>
        <v xml:space="preserve">7231508853  </v>
      </c>
      <c r="O5770">
        <v>230718</v>
      </c>
    </row>
    <row r="5771" spans="1:15" x14ac:dyDescent="0.25">
      <c r="A5771" t="s">
        <v>16</v>
      </c>
      <c r="B5771" t="s">
        <v>3221</v>
      </c>
      <c r="C5771">
        <v>9646</v>
      </c>
      <c r="D5771" t="s">
        <v>1071</v>
      </c>
      <c r="E5771" t="s">
        <v>1072</v>
      </c>
      <c r="F5771">
        <v>555.16999999999996</v>
      </c>
      <c r="G5771">
        <v>230706</v>
      </c>
      <c r="H5771">
        <v>4572</v>
      </c>
      <c r="I5771" t="s">
        <v>122</v>
      </c>
      <c r="J5771">
        <v>688.41</v>
      </c>
      <c r="K5771">
        <v>133.24</v>
      </c>
      <c r="L5771">
        <v>59505</v>
      </c>
      <c r="M5771" t="s">
        <v>72</v>
      </c>
      <c r="N5771" t="str">
        <f>"7231508882  "</f>
        <v xml:space="preserve">7231508882  </v>
      </c>
      <c r="O5771">
        <v>230718</v>
      </c>
    </row>
    <row r="5772" spans="1:15" x14ac:dyDescent="0.25">
      <c r="A5772" t="s">
        <v>16</v>
      </c>
      <c r="B5772" t="s">
        <v>3221</v>
      </c>
      <c r="C5772">
        <v>9646</v>
      </c>
      <c r="D5772" t="s">
        <v>1071</v>
      </c>
      <c r="E5772" t="s">
        <v>1072</v>
      </c>
      <c r="F5772">
        <v>75.7</v>
      </c>
      <c r="G5772">
        <v>230706</v>
      </c>
      <c r="H5772">
        <v>4572</v>
      </c>
      <c r="I5772" t="s">
        <v>122</v>
      </c>
      <c r="J5772">
        <v>93.87</v>
      </c>
      <c r="K5772">
        <v>18.170000000000002</v>
      </c>
      <c r="L5772">
        <v>59812</v>
      </c>
      <c r="M5772" t="s">
        <v>74</v>
      </c>
      <c r="N5772" t="str">
        <f>"7231508882  "</f>
        <v xml:space="preserve">7231508882  </v>
      </c>
      <c r="O5772">
        <v>230718</v>
      </c>
    </row>
    <row r="5773" spans="1:15" x14ac:dyDescent="0.25">
      <c r="A5773" t="s">
        <v>16</v>
      </c>
      <c r="B5773" t="s">
        <v>3221</v>
      </c>
      <c r="C5773">
        <v>9647</v>
      </c>
      <c r="D5773" t="s">
        <v>1071</v>
      </c>
      <c r="E5773" t="s">
        <v>1072</v>
      </c>
      <c r="F5773">
        <v>3.51</v>
      </c>
      <c r="G5773">
        <v>230706</v>
      </c>
      <c r="H5773">
        <v>4572</v>
      </c>
      <c r="I5773" t="s">
        <v>122</v>
      </c>
      <c r="J5773">
        <v>3.51</v>
      </c>
      <c r="K5773">
        <v>0</v>
      </c>
      <c r="L5773">
        <v>59813</v>
      </c>
      <c r="M5773" t="s">
        <v>915</v>
      </c>
      <c r="N5773" t="str">
        <f>"7231508921  "</f>
        <v xml:space="preserve">7231508921  </v>
      </c>
      <c r="O5773">
        <v>230718</v>
      </c>
    </row>
    <row r="5774" spans="1:15" x14ac:dyDescent="0.25">
      <c r="A5774" t="s">
        <v>16</v>
      </c>
      <c r="B5774" t="s">
        <v>3221</v>
      </c>
      <c r="C5774">
        <v>9648</v>
      </c>
      <c r="D5774" t="s">
        <v>1071</v>
      </c>
      <c r="E5774" t="s">
        <v>1072</v>
      </c>
      <c r="F5774">
        <v>66.75</v>
      </c>
      <c r="G5774">
        <v>230706</v>
      </c>
      <c r="H5774">
        <v>4572</v>
      </c>
      <c r="I5774" t="s">
        <v>122</v>
      </c>
      <c r="J5774">
        <v>82.77</v>
      </c>
      <c r="K5774">
        <v>16.02</v>
      </c>
      <c r="L5774">
        <v>59503</v>
      </c>
      <c r="M5774" t="s">
        <v>194</v>
      </c>
      <c r="N5774" t="str">
        <f>"7231508756  "</f>
        <v xml:space="preserve">7231508756  </v>
      </c>
      <c r="O5774">
        <v>230718</v>
      </c>
    </row>
    <row r="5775" spans="1:15" x14ac:dyDescent="0.25">
      <c r="A5775" t="s">
        <v>16</v>
      </c>
      <c r="B5775" t="s">
        <v>3221</v>
      </c>
      <c r="C5775">
        <v>9649</v>
      </c>
      <c r="D5775" t="s">
        <v>1071</v>
      </c>
      <c r="E5775" t="s">
        <v>1072</v>
      </c>
      <c r="F5775">
        <v>888.13</v>
      </c>
      <c r="G5775">
        <v>230706</v>
      </c>
      <c r="H5775">
        <v>4572</v>
      </c>
      <c r="I5775" t="s">
        <v>122</v>
      </c>
      <c r="J5775">
        <v>1101.28</v>
      </c>
      <c r="K5775">
        <v>213.15</v>
      </c>
      <c r="L5775">
        <v>59502</v>
      </c>
      <c r="M5775" t="s">
        <v>70</v>
      </c>
      <c r="N5775" t="str">
        <f>"7231508866  "</f>
        <v xml:space="preserve">7231508866  </v>
      </c>
      <c r="O5775">
        <v>230718</v>
      </c>
    </row>
    <row r="5776" spans="1:15" x14ac:dyDescent="0.25">
      <c r="A5776" t="s">
        <v>16</v>
      </c>
      <c r="B5776" t="s">
        <v>3221</v>
      </c>
      <c r="C5776">
        <v>9649</v>
      </c>
      <c r="D5776" t="s">
        <v>1071</v>
      </c>
      <c r="E5776" t="s">
        <v>1072</v>
      </c>
      <c r="F5776">
        <v>567.82000000000005</v>
      </c>
      <c r="G5776">
        <v>230706</v>
      </c>
      <c r="H5776">
        <v>4572</v>
      </c>
      <c r="I5776" t="s">
        <v>122</v>
      </c>
      <c r="J5776">
        <v>704.1</v>
      </c>
      <c r="K5776">
        <v>136.28</v>
      </c>
      <c r="L5776">
        <v>59802</v>
      </c>
      <c r="M5776" t="s">
        <v>73</v>
      </c>
      <c r="N5776" t="str">
        <f>"7231508866  "</f>
        <v xml:space="preserve">7231508866  </v>
      </c>
      <c r="O5776">
        <v>230718</v>
      </c>
    </row>
    <row r="5777" spans="1:15" x14ac:dyDescent="0.25">
      <c r="A5777" t="s">
        <v>16</v>
      </c>
      <c r="B5777" t="s">
        <v>3221</v>
      </c>
      <c r="C5777">
        <v>9685</v>
      </c>
      <c r="D5777" t="s">
        <v>1071</v>
      </c>
      <c r="E5777" t="s">
        <v>1072</v>
      </c>
      <c r="F5777">
        <v>284.16000000000003</v>
      </c>
      <c r="G5777">
        <v>230706</v>
      </c>
      <c r="H5777">
        <v>4572</v>
      </c>
      <c r="I5777" t="s">
        <v>122</v>
      </c>
      <c r="J5777">
        <v>352.36</v>
      </c>
      <c r="K5777">
        <v>68.2</v>
      </c>
      <c r="L5777">
        <v>49503</v>
      </c>
      <c r="M5777" t="s">
        <v>178</v>
      </c>
      <c r="N5777" t="str">
        <f>"7231508879  "</f>
        <v xml:space="preserve">7231508879  </v>
      </c>
      <c r="O5777">
        <v>230719</v>
      </c>
    </row>
    <row r="5778" spans="1:15" x14ac:dyDescent="0.25">
      <c r="A5778" t="s">
        <v>16</v>
      </c>
      <c r="B5778" t="s">
        <v>3221</v>
      </c>
      <c r="C5778">
        <v>9689</v>
      </c>
      <c r="D5778" t="s">
        <v>1071</v>
      </c>
      <c r="E5778" t="s">
        <v>1072</v>
      </c>
      <c r="F5778">
        <v>1628.81</v>
      </c>
      <c r="G5778">
        <v>230706</v>
      </c>
      <c r="H5778">
        <v>4572</v>
      </c>
      <c r="I5778" t="s">
        <v>122</v>
      </c>
      <c r="J5778">
        <v>2019.72</v>
      </c>
      <c r="K5778">
        <v>390.91</v>
      </c>
      <c r="L5778">
        <v>49501</v>
      </c>
      <c r="M5778" t="s">
        <v>177</v>
      </c>
      <c r="N5778" t="str">
        <f>"7231508947  "</f>
        <v xml:space="preserve">7231508947  </v>
      </c>
      <c r="O5778">
        <v>230719</v>
      </c>
    </row>
    <row r="5779" spans="1:15" x14ac:dyDescent="0.25">
      <c r="A5779" t="s">
        <v>16</v>
      </c>
      <c r="B5779" t="s">
        <v>3221</v>
      </c>
      <c r="C5779">
        <v>9689</v>
      </c>
      <c r="D5779" t="s">
        <v>1071</v>
      </c>
      <c r="E5779" t="s">
        <v>1072</v>
      </c>
      <c r="F5779">
        <v>85.73</v>
      </c>
      <c r="G5779">
        <v>230706</v>
      </c>
      <c r="H5779">
        <v>4572</v>
      </c>
      <c r="I5779" t="s">
        <v>122</v>
      </c>
      <c r="J5779">
        <v>106.3</v>
      </c>
      <c r="K5779">
        <v>20.57</v>
      </c>
      <c r="L5779">
        <v>49801</v>
      </c>
      <c r="M5779" t="s">
        <v>1227</v>
      </c>
      <c r="N5779" t="str">
        <f>"7231508947  "</f>
        <v xml:space="preserve">7231508947  </v>
      </c>
      <c r="O5779">
        <v>230719</v>
      </c>
    </row>
    <row r="5780" spans="1:15" x14ac:dyDescent="0.25">
      <c r="A5780" t="s">
        <v>16</v>
      </c>
      <c r="B5780" t="s">
        <v>3221</v>
      </c>
      <c r="C5780">
        <v>9691</v>
      </c>
      <c r="D5780" t="s">
        <v>1071</v>
      </c>
      <c r="E5780" t="s">
        <v>1072</v>
      </c>
      <c r="F5780">
        <v>853.8</v>
      </c>
      <c r="G5780">
        <v>230706</v>
      </c>
      <c r="H5780">
        <v>4572</v>
      </c>
      <c r="I5780" t="s">
        <v>122</v>
      </c>
      <c r="J5780">
        <v>1058.71</v>
      </c>
      <c r="K5780">
        <v>204.91</v>
      </c>
      <c r="L5780">
        <v>49501</v>
      </c>
      <c r="M5780" t="s">
        <v>177</v>
      </c>
      <c r="N5780" t="str">
        <f>"7231508808  "</f>
        <v xml:space="preserve">7231508808  </v>
      </c>
      <c r="O5780">
        <v>230719</v>
      </c>
    </row>
    <row r="5781" spans="1:15" x14ac:dyDescent="0.25">
      <c r="A5781" t="s">
        <v>16</v>
      </c>
      <c r="B5781" t="s">
        <v>3221</v>
      </c>
      <c r="C5781">
        <v>9691</v>
      </c>
      <c r="D5781" t="s">
        <v>1071</v>
      </c>
      <c r="E5781" t="s">
        <v>1072</v>
      </c>
      <c r="F5781">
        <v>44.94</v>
      </c>
      <c r="G5781">
        <v>230706</v>
      </c>
      <c r="H5781">
        <v>4572</v>
      </c>
      <c r="I5781" t="s">
        <v>122</v>
      </c>
      <c r="J5781">
        <v>55.72</v>
      </c>
      <c r="K5781">
        <v>10.78</v>
      </c>
      <c r="L5781">
        <v>49801</v>
      </c>
      <c r="M5781" t="s">
        <v>1227</v>
      </c>
      <c r="N5781" t="str">
        <f>"7231508808  "</f>
        <v xml:space="preserve">7231508808  </v>
      </c>
      <c r="O5781">
        <v>230719</v>
      </c>
    </row>
    <row r="5782" spans="1:15" x14ac:dyDescent="0.25">
      <c r="A5782" t="s">
        <v>16</v>
      </c>
      <c r="B5782" t="s">
        <v>3221</v>
      </c>
      <c r="C5782">
        <v>9735</v>
      </c>
      <c r="D5782" t="s">
        <v>1071</v>
      </c>
      <c r="E5782" t="s">
        <v>1072</v>
      </c>
      <c r="F5782">
        <v>35.28</v>
      </c>
      <c r="G5782">
        <v>230706</v>
      </c>
      <c r="H5782">
        <v>4572</v>
      </c>
      <c r="I5782" t="s">
        <v>122</v>
      </c>
      <c r="J5782">
        <v>35.28</v>
      </c>
      <c r="K5782">
        <v>0</v>
      </c>
      <c r="L5782">
        <v>11001</v>
      </c>
      <c r="M5782" t="s">
        <v>326</v>
      </c>
      <c r="N5782" t="str">
        <f>"7231515215  "</f>
        <v xml:space="preserve">7231515215  </v>
      </c>
      <c r="O5782">
        <v>230724</v>
      </c>
    </row>
    <row r="5783" spans="1:15" x14ac:dyDescent="0.25">
      <c r="A5783" t="s">
        <v>16</v>
      </c>
      <c r="B5783" t="s">
        <v>3221</v>
      </c>
      <c r="C5783">
        <v>9769</v>
      </c>
      <c r="D5783" t="s">
        <v>1071</v>
      </c>
      <c r="E5783" t="s">
        <v>1072</v>
      </c>
      <c r="F5783">
        <v>47.21</v>
      </c>
      <c r="G5783">
        <v>230706</v>
      </c>
      <c r="H5783">
        <v>4572</v>
      </c>
      <c r="I5783" t="s">
        <v>122</v>
      </c>
      <c r="J5783">
        <v>58.54</v>
      </c>
      <c r="K5783">
        <v>11.33</v>
      </c>
      <c r="L5783">
        <v>17956</v>
      </c>
      <c r="M5783" t="s">
        <v>53</v>
      </c>
      <c r="N5783" t="str">
        <f>"7231508769  "</f>
        <v xml:space="preserve">7231508769  </v>
      </c>
      <c r="O5783">
        <v>230725</v>
      </c>
    </row>
    <row r="5784" spans="1:15" x14ac:dyDescent="0.25">
      <c r="A5784" t="s">
        <v>16</v>
      </c>
      <c r="B5784" t="s">
        <v>3221</v>
      </c>
      <c r="C5784">
        <v>9796</v>
      </c>
      <c r="D5784" t="s">
        <v>1071</v>
      </c>
      <c r="E5784" t="s">
        <v>1072</v>
      </c>
      <c r="F5784">
        <v>3.47</v>
      </c>
      <c r="G5784">
        <v>230706</v>
      </c>
      <c r="H5784">
        <v>4572</v>
      </c>
      <c r="I5784" t="s">
        <v>122</v>
      </c>
      <c r="J5784">
        <v>3.82</v>
      </c>
      <c r="K5784">
        <v>0.35</v>
      </c>
      <c r="L5784">
        <v>56571</v>
      </c>
      <c r="M5784" t="s">
        <v>204</v>
      </c>
      <c r="N5784" t="str">
        <f>"7231508963  "</f>
        <v xml:space="preserve">7231508963  </v>
      </c>
      <c r="O5784">
        <v>230725</v>
      </c>
    </row>
    <row r="5785" spans="1:15" x14ac:dyDescent="0.25">
      <c r="A5785" t="s">
        <v>16</v>
      </c>
      <c r="B5785" t="s">
        <v>3221</v>
      </c>
      <c r="C5785">
        <v>9797</v>
      </c>
      <c r="D5785" t="s">
        <v>1071</v>
      </c>
      <c r="E5785" t="s">
        <v>1072</v>
      </c>
      <c r="F5785">
        <v>10.19</v>
      </c>
      <c r="G5785">
        <v>230706</v>
      </c>
      <c r="H5785">
        <v>4572</v>
      </c>
      <c r="I5785" t="s">
        <v>122</v>
      </c>
      <c r="J5785">
        <v>11.21</v>
      </c>
      <c r="K5785">
        <v>1.02</v>
      </c>
      <c r="L5785">
        <v>56571</v>
      </c>
      <c r="M5785" t="s">
        <v>204</v>
      </c>
      <c r="N5785" t="str">
        <f>"7231508950  "</f>
        <v xml:space="preserve">7231508950  </v>
      </c>
      <c r="O5785">
        <v>230725</v>
      </c>
    </row>
    <row r="5786" spans="1:15" x14ac:dyDescent="0.25">
      <c r="A5786" t="s">
        <v>16</v>
      </c>
      <c r="B5786" t="s">
        <v>3221</v>
      </c>
      <c r="C5786">
        <v>9828</v>
      </c>
      <c r="D5786" t="s">
        <v>1071</v>
      </c>
      <c r="E5786" t="s">
        <v>1072</v>
      </c>
      <c r="F5786">
        <v>218.99</v>
      </c>
      <c r="G5786">
        <v>230707</v>
      </c>
      <c r="H5786">
        <v>4572</v>
      </c>
      <c r="I5786" t="s">
        <v>122</v>
      </c>
      <c r="J5786">
        <v>240.89</v>
      </c>
      <c r="K5786">
        <v>21.9</v>
      </c>
      <c r="L5786">
        <v>14952</v>
      </c>
      <c r="M5786" t="s">
        <v>99</v>
      </c>
      <c r="N5786" t="str">
        <f>"7231530054  "</f>
        <v xml:space="preserve">7231530054  </v>
      </c>
      <c r="O5786">
        <v>230726</v>
      </c>
    </row>
    <row r="5787" spans="1:15" x14ac:dyDescent="0.25">
      <c r="A5787" t="s">
        <v>16</v>
      </c>
      <c r="B5787" t="s">
        <v>3221</v>
      </c>
      <c r="C5787">
        <v>9906</v>
      </c>
      <c r="D5787" t="s">
        <v>1071</v>
      </c>
      <c r="E5787" t="s">
        <v>1072</v>
      </c>
      <c r="F5787">
        <v>2.54</v>
      </c>
      <c r="G5787">
        <v>230706</v>
      </c>
      <c r="H5787">
        <v>4572</v>
      </c>
      <c r="I5787" t="s">
        <v>122</v>
      </c>
      <c r="J5787">
        <v>3.15</v>
      </c>
      <c r="K5787">
        <v>0.61</v>
      </c>
      <c r="L5787">
        <v>13841</v>
      </c>
      <c r="M5787" t="s">
        <v>47</v>
      </c>
      <c r="N5787" t="str">
        <f>"7231518089  "</f>
        <v xml:space="preserve">7231518089  </v>
      </c>
      <c r="O5787">
        <v>230801</v>
      </c>
    </row>
    <row r="5788" spans="1:15" x14ac:dyDescent="0.25">
      <c r="A5788" t="s">
        <v>16</v>
      </c>
      <c r="B5788" t="s">
        <v>3221</v>
      </c>
      <c r="C5788">
        <v>10184</v>
      </c>
      <c r="D5788" t="s">
        <v>1071</v>
      </c>
      <c r="E5788" t="s">
        <v>1072</v>
      </c>
      <c r="F5788">
        <v>249.34</v>
      </c>
      <c r="G5788">
        <v>230808</v>
      </c>
      <c r="H5788">
        <v>4572</v>
      </c>
      <c r="I5788" t="s">
        <v>122</v>
      </c>
      <c r="J5788">
        <v>309.18</v>
      </c>
      <c r="K5788">
        <v>59.84</v>
      </c>
      <c r="L5788">
        <v>59112</v>
      </c>
      <c r="M5788" t="s">
        <v>182</v>
      </c>
      <c r="N5788" t="str">
        <f>"7231626829  "</f>
        <v xml:space="preserve">7231626829  </v>
      </c>
      <c r="O5788">
        <v>230809</v>
      </c>
    </row>
    <row r="5789" spans="1:15" x14ac:dyDescent="0.25">
      <c r="A5789" t="s">
        <v>16</v>
      </c>
      <c r="B5789" t="s">
        <v>3221</v>
      </c>
      <c r="C5789">
        <v>10184</v>
      </c>
      <c r="D5789" t="s">
        <v>1071</v>
      </c>
      <c r="E5789" t="s">
        <v>1072</v>
      </c>
      <c r="F5789">
        <v>674.15</v>
      </c>
      <c r="G5789">
        <v>230808</v>
      </c>
      <c r="H5789">
        <v>4572</v>
      </c>
      <c r="I5789" t="s">
        <v>122</v>
      </c>
      <c r="J5789">
        <v>835.94</v>
      </c>
      <c r="K5789">
        <v>161.79</v>
      </c>
      <c r="L5789">
        <v>59504</v>
      </c>
      <c r="M5789" t="s">
        <v>71</v>
      </c>
      <c r="N5789" t="str">
        <f>"7231626829  "</f>
        <v xml:space="preserve">7231626829  </v>
      </c>
      <c r="O5789">
        <v>230809</v>
      </c>
    </row>
    <row r="5790" spans="1:15" x14ac:dyDescent="0.25">
      <c r="A5790" t="s">
        <v>16</v>
      </c>
      <c r="B5790" t="s">
        <v>3221</v>
      </c>
      <c r="C5790">
        <v>10200</v>
      </c>
      <c r="D5790" t="s">
        <v>1071</v>
      </c>
      <c r="E5790" t="s">
        <v>1072</v>
      </c>
      <c r="F5790">
        <v>49.95</v>
      </c>
      <c r="G5790">
        <v>230808</v>
      </c>
      <c r="H5790">
        <v>4572</v>
      </c>
      <c r="I5790" t="s">
        <v>122</v>
      </c>
      <c r="J5790">
        <v>61.94</v>
      </c>
      <c r="K5790">
        <v>11.99</v>
      </c>
      <c r="L5790">
        <v>17956</v>
      </c>
      <c r="M5790" t="s">
        <v>53</v>
      </c>
      <c r="N5790" t="str">
        <f>"7231626667  "</f>
        <v xml:space="preserve">7231626667  </v>
      </c>
      <c r="O5790">
        <v>230809</v>
      </c>
    </row>
    <row r="5791" spans="1:15" x14ac:dyDescent="0.25">
      <c r="A5791" t="s">
        <v>16</v>
      </c>
      <c r="B5791" t="s">
        <v>3221</v>
      </c>
      <c r="C5791">
        <v>10201</v>
      </c>
      <c r="D5791" t="s">
        <v>1071</v>
      </c>
      <c r="E5791" t="s">
        <v>1072</v>
      </c>
      <c r="F5791">
        <v>54.97</v>
      </c>
      <c r="G5791">
        <v>230808</v>
      </c>
      <c r="H5791">
        <v>4572</v>
      </c>
      <c r="I5791" t="s">
        <v>122</v>
      </c>
      <c r="J5791">
        <v>68.16</v>
      </c>
      <c r="K5791">
        <v>13.19</v>
      </c>
      <c r="L5791">
        <v>17956</v>
      </c>
      <c r="M5791" t="s">
        <v>53</v>
      </c>
      <c r="N5791" t="str">
        <f>"7231626670  "</f>
        <v xml:space="preserve">7231626670  </v>
      </c>
      <c r="O5791">
        <v>230809</v>
      </c>
    </row>
    <row r="5792" spans="1:15" x14ac:dyDescent="0.25">
      <c r="A5792" t="s">
        <v>16</v>
      </c>
      <c r="B5792" t="s">
        <v>3221</v>
      </c>
      <c r="C5792">
        <v>10202</v>
      </c>
      <c r="D5792" t="s">
        <v>1071</v>
      </c>
      <c r="E5792" t="s">
        <v>1072</v>
      </c>
      <c r="F5792">
        <v>659.91</v>
      </c>
      <c r="G5792">
        <v>230808</v>
      </c>
      <c r="H5792">
        <v>4572</v>
      </c>
      <c r="I5792" t="s">
        <v>122</v>
      </c>
      <c r="J5792">
        <v>818.29</v>
      </c>
      <c r="K5792">
        <v>158.38</v>
      </c>
      <c r="L5792">
        <v>17956</v>
      </c>
      <c r="M5792" t="s">
        <v>53</v>
      </c>
      <c r="N5792" t="str">
        <f>"7231626803  "</f>
        <v xml:space="preserve">7231626803  </v>
      </c>
      <c r="O5792">
        <v>230809</v>
      </c>
    </row>
    <row r="5793" spans="1:15" x14ac:dyDescent="0.25">
      <c r="A5793" t="s">
        <v>16</v>
      </c>
      <c r="B5793" t="s">
        <v>3221</v>
      </c>
      <c r="C5793">
        <v>10203</v>
      </c>
      <c r="D5793" t="s">
        <v>1071</v>
      </c>
      <c r="E5793" t="s">
        <v>1072</v>
      </c>
      <c r="F5793">
        <v>1539.98</v>
      </c>
      <c r="G5793">
        <v>230808</v>
      </c>
      <c r="H5793">
        <v>4572</v>
      </c>
      <c r="I5793" t="s">
        <v>122</v>
      </c>
      <c r="J5793">
        <v>1909.58</v>
      </c>
      <c r="K5793">
        <v>369.6</v>
      </c>
      <c r="L5793">
        <v>17951</v>
      </c>
      <c r="M5793" t="s">
        <v>87</v>
      </c>
      <c r="N5793" t="str">
        <f>"7231626641  "</f>
        <v xml:space="preserve">7231626641  </v>
      </c>
      <c r="O5793">
        <v>230809</v>
      </c>
    </row>
    <row r="5794" spans="1:15" x14ac:dyDescent="0.25">
      <c r="A5794" t="s">
        <v>16</v>
      </c>
      <c r="B5794" t="s">
        <v>3221</v>
      </c>
      <c r="C5794">
        <v>10204</v>
      </c>
      <c r="D5794" t="s">
        <v>1071</v>
      </c>
      <c r="E5794" t="s">
        <v>1072</v>
      </c>
      <c r="F5794">
        <v>18.010000000000002</v>
      </c>
      <c r="G5794">
        <v>230808</v>
      </c>
      <c r="H5794">
        <v>4572</v>
      </c>
      <c r="I5794" t="s">
        <v>122</v>
      </c>
      <c r="J5794">
        <v>22.33</v>
      </c>
      <c r="K5794">
        <v>4.32</v>
      </c>
      <c r="L5794">
        <v>17956</v>
      </c>
      <c r="M5794" t="s">
        <v>53</v>
      </c>
      <c r="N5794" t="str">
        <f>"7231626751  "</f>
        <v xml:space="preserve">7231626751  </v>
      </c>
      <c r="O5794">
        <v>230809</v>
      </c>
    </row>
    <row r="5795" spans="1:15" x14ac:dyDescent="0.25">
      <c r="A5795" t="s">
        <v>16</v>
      </c>
      <c r="B5795" t="s">
        <v>3221</v>
      </c>
      <c r="C5795">
        <v>10205</v>
      </c>
      <c r="D5795" t="s">
        <v>1071</v>
      </c>
      <c r="E5795" t="s">
        <v>1072</v>
      </c>
      <c r="F5795">
        <v>58.68</v>
      </c>
      <c r="G5795">
        <v>230808</v>
      </c>
      <c r="H5795">
        <v>4572</v>
      </c>
      <c r="I5795" t="s">
        <v>122</v>
      </c>
      <c r="J5795">
        <v>72.760000000000005</v>
      </c>
      <c r="K5795">
        <v>14.08</v>
      </c>
      <c r="L5795">
        <v>17950</v>
      </c>
      <c r="M5795" t="s">
        <v>86</v>
      </c>
      <c r="N5795" t="str">
        <f>"7231626861  "</f>
        <v xml:space="preserve">7231626861  </v>
      </c>
      <c r="O5795">
        <v>230809</v>
      </c>
    </row>
    <row r="5796" spans="1:15" x14ac:dyDescent="0.25">
      <c r="A5796" t="s">
        <v>16</v>
      </c>
      <c r="B5796" t="s">
        <v>3221</v>
      </c>
      <c r="C5796">
        <v>10206</v>
      </c>
      <c r="D5796" t="s">
        <v>1071</v>
      </c>
      <c r="E5796" t="s">
        <v>1072</v>
      </c>
      <c r="F5796">
        <v>7.1</v>
      </c>
      <c r="G5796">
        <v>230808</v>
      </c>
      <c r="H5796">
        <v>4572</v>
      </c>
      <c r="I5796" t="s">
        <v>122</v>
      </c>
      <c r="J5796">
        <v>8.8000000000000007</v>
      </c>
      <c r="K5796">
        <v>1.7</v>
      </c>
      <c r="L5796">
        <v>17956</v>
      </c>
      <c r="M5796" t="s">
        <v>53</v>
      </c>
      <c r="N5796" t="str">
        <f>"7231626748  "</f>
        <v xml:space="preserve">7231626748  </v>
      </c>
      <c r="O5796">
        <v>230809</v>
      </c>
    </row>
    <row r="5797" spans="1:15" x14ac:dyDescent="0.25">
      <c r="A5797" t="s">
        <v>16</v>
      </c>
      <c r="B5797" t="s">
        <v>3221</v>
      </c>
      <c r="C5797">
        <v>10207</v>
      </c>
      <c r="D5797" t="s">
        <v>1071</v>
      </c>
      <c r="E5797" t="s">
        <v>1072</v>
      </c>
      <c r="F5797">
        <v>2.88</v>
      </c>
      <c r="G5797">
        <v>230808</v>
      </c>
      <c r="H5797">
        <v>4572</v>
      </c>
      <c r="I5797" t="s">
        <v>122</v>
      </c>
      <c r="J5797">
        <v>3.57</v>
      </c>
      <c r="K5797">
        <v>0.69</v>
      </c>
      <c r="L5797">
        <v>59112</v>
      </c>
      <c r="M5797" t="s">
        <v>182</v>
      </c>
      <c r="N5797" t="str">
        <f>"7231626816  "</f>
        <v xml:space="preserve">7231626816  </v>
      </c>
      <c r="O5797">
        <v>230809</v>
      </c>
    </row>
    <row r="5798" spans="1:15" x14ac:dyDescent="0.25">
      <c r="A5798" t="s">
        <v>16</v>
      </c>
      <c r="B5798" t="s">
        <v>3221</v>
      </c>
      <c r="C5798">
        <v>10207</v>
      </c>
      <c r="D5798" t="s">
        <v>1071</v>
      </c>
      <c r="E5798" t="s">
        <v>1072</v>
      </c>
      <c r="F5798">
        <v>7.79</v>
      </c>
      <c r="G5798">
        <v>230808</v>
      </c>
      <c r="H5798">
        <v>4572</v>
      </c>
      <c r="I5798" t="s">
        <v>122</v>
      </c>
      <c r="J5798">
        <v>9.66</v>
      </c>
      <c r="K5798">
        <v>1.87</v>
      </c>
      <c r="L5798">
        <v>59504</v>
      </c>
      <c r="M5798" t="s">
        <v>71</v>
      </c>
      <c r="N5798" t="str">
        <f>"7231626816  "</f>
        <v xml:space="preserve">7231626816  </v>
      </c>
      <c r="O5798">
        <v>230809</v>
      </c>
    </row>
    <row r="5799" spans="1:15" x14ac:dyDescent="0.25">
      <c r="A5799" t="s">
        <v>16</v>
      </c>
      <c r="B5799" t="s">
        <v>3221</v>
      </c>
      <c r="C5799">
        <v>10315</v>
      </c>
      <c r="D5799" t="s">
        <v>1071</v>
      </c>
      <c r="E5799" t="s">
        <v>1072</v>
      </c>
      <c r="F5799">
        <v>108.42</v>
      </c>
      <c r="G5799">
        <v>230808</v>
      </c>
      <c r="H5799">
        <v>4572</v>
      </c>
      <c r="I5799" t="s">
        <v>122</v>
      </c>
      <c r="J5799">
        <v>134.44</v>
      </c>
      <c r="K5799">
        <v>26.02</v>
      </c>
      <c r="L5799">
        <v>59111</v>
      </c>
      <c r="M5799" t="s">
        <v>1010</v>
      </c>
      <c r="N5799" t="str">
        <f>"7231626764  "</f>
        <v xml:space="preserve">7231626764  </v>
      </c>
      <c r="O5799">
        <v>230814</v>
      </c>
    </row>
    <row r="5800" spans="1:15" x14ac:dyDescent="0.25">
      <c r="A5800" t="s">
        <v>16</v>
      </c>
      <c r="B5800" t="s">
        <v>3221</v>
      </c>
      <c r="C5800">
        <v>10315</v>
      </c>
      <c r="D5800" t="s">
        <v>1071</v>
      </c>
      <c r="E5800" t="s">
        <v>1072</v>
      </c>
      <c r="F5800">
        <v>1698.55</v>
      </c>
      <c r="G5800">
        <v>230808</v>
      </c>
      <c r="H5800">
        <v>4572</v>
      </c>
      <c r="I5800" t="s">
        <v>122</v>
      </c>
      <c r="J5800">
        <v>2106.1999999999998</v>
      </c>
      <c r="K5800">
        <v>407.65</v>
      </c>
      <c r="L5800">
        <v>59501</v>
      </c>
      <c r="M5800" t="s">
        <v>69</v>
      </c>
      <c r="N5800" t="str">
        <f>"7231626764  "</f>
        <v xml:space="preserve">7231626764  </v>
      </c>
      <c r="O5800">
        <v>230814</v>
      </c>
    </row>
    <row r="5801" spans="1:15" x14ac:dyDescent="0.25">
      <c r="A5801" t="s">
        <v>16</v>
      </c>
      <c r="B5801" t="s">
        <v>3221</v>
      </c>
      <c r="C5801">
        <v>10316</v>
      </c>
      <c r="D5801" t="s">
        <v>1071</v>
      </c>
      <c r="E5801" t="s">
        <v>1072</v>
      </c>
      <c r="F5801">
        <v>49.11</v>
      </c>
      <c r="G5801">
        <v>230808</v>
      </c>
      <c r="H5801">
        <v>4572</v>
      </c>
      <c r="I5801" t="s">
        <v>122</v>
      </c>
      <c r="J5801">
        <v>60.9</v>
      </c>
      <c r="K5801">
        <v>11.79</v>
      </c>
      <c r="L5801">
        <v>14952</v>
      </c>
      <c r="M5801" t="s">
        <v>99</v>
      </c>
      <c r="N5801" t="str">
        <f>"7231633126  "</f>
        <v xml:space="preserve">7231633126  </v>
      </c>
      <c r="O5801">
        <v>230814</v>
      </c>
    </row>
    <row r="5802" spans="1:15" x14ac:dyDescent="0.25">
      <c r="A5802" t="s">
        <v>16</v>
      </c>
      <c r="B5802" t="s">
        <v>3221</v>
      </c>
      <c r="C5802">
        <v>10316</v>
      </c>
      <c r="D5802" t="s">
        <v>1071</v>
      </c>
      <c r="E5802" t="s">
        <v>1072</v>
      </c>
      <c r="F5802">
        <v>114.6</v>
      </c>
      <c r="G5802">
        <v>230808</v>
      </c>
      <c r="H5802">
        <v>4572</v>
      </c>
      <c r="I5802" t="s">
        <v>122</v>
      </c>
      <c r="J5802">
        <v>142.1</v>
      </c>
      <c r="K5802">
        <v>27.5</v>
      </c>
      <c r="L5802">
        <v>14981</v>
      </c>
      <c r="M5802" t="s">
        <v>1211</v>
      </c>
      <c r="N5802" t="str">
        <f>"7231633126  "</f>
        <v xml:space="preserve">7231633126  </v>
      </c>
      <c r="O5802">
        <v>230814</v>
      </c>
    </row>
    <row r="5803" spans="1:15" x14ac:dyDescent="0.25">
      <c r="A5803" t="s">
        <v>16</v>
      </c>
      <c r="B5803" t="s">
        <v>3221</v>
      </c>
      <c r="C5803">
        <v>10317</v>
      </c>
      <c r="D5803" t="s">
        <v>1071</v>
      </c>
      <c r="E5803" t="s">
        <v>1072</v>
      </c>
      <c r="F5803">
        <v>149.47999999999999</v>
      </c>
      <c r="G5803">
        <v>230808</v>
      </c>
      <c r="H5803">
        <v>4572</v>
      </c>
      <c r="I5803" t="s">
        <v>122</v>
      </c>
      <c r="J5803">
        <v>185.35</v>
      </c>
      <c r="K5803">
        <v>35.869999999999997</v>
      </c>
      <c r="L5803">
        <v>13540</v>
      </c>
      <c r="M5803" t="s">
        <v>85</v>
      </c>
      <c r="N5803" t="str">
        <f>"7231626683  "</f>
        <v xml:space="preserve">7231626683  </v>
      </c>
      <c r="O5803">
        <v>230814</v>
      </c>
    </row>
    <row r="5804" spans="1:15" x14ac:dyDescent="0.25">
      <c r="A5804" t="s">
        <v>16</v>
      </c>
      <c r="B5804" t="s">
        <v>3221</v>
      </c>
      <c r="C5804">
        <v>10317</v>
      </c>
      <c r="D5804" t="s">
        <v>1071</v>
      </c>
      <c r="E5804" t="s">
        <v>1072</v>
      </c>
      <c r="F5804">
        <v>1209.3900000000001</v>
      </c>
      <c r="G5804">
        <v>230808</v>
      </c>
      <c r="H5804">
        <v>4572</v>
      </c>
      <c r="I5804" t="s">
        <v>122</v>
      </c>
      <c r="J5804">
        <v>1499.64</v>
      </c>
      <c r="K5804">
        <v>290.25</v>
      </c>
      <c r="L5804">
        <v>17950</v>
      </c>
      <c r="M5804" t="s">
        <v>86</v>
      </c>
      <c r="N5804" t="str">
        <f>"7231626683  "</f>
        <v xml:space="preserve">7231626683  </v>
      </c>
      <c r="O5804">
        <v>230814</v>
      </c>
    </row>
    <row r="5805" spans="1:15" x14ac:dyDescent="0.25">
      <c r="A5805" t="s">
        <v>16</v>
      </c>
      <c r="B5805" t="s">
        <v>3221</v>
      </c>
      <c r="C5805">
        <v>10318</v>
      </c>
      <c r="D5805" t="s">
        <v>1071</v>
      </c>
      <c r="E5805" t="s">
        <v>1072</v>
      </c>
      <c r="F5805">
        <v>556.5</v>
      </c>
      <c r="G5805">
        <v>230808</v>
      </c>
      <c r="H5805">
        <v>4572</v>
      </c>
      <c r="I5805" t="s">
        <v>122</v>
      </c>
      <c r="J5805">
        <v>690.06</v>
      </c>
      <c r="K5805">
        <v>133.56</v>
      </c>
      <c r="L5805">
        <v>59505</v>
      </c>
      <c r="M5805" t="s">
        <v>72</v>
      </c>
      <c r="N5805" t="str">
        <f>"7231626793  "</f>
        <v xml:space="preserve">7231626793  </v>
      </c>
      <c r="O5805">
        <v>230814</v>
      </c>
    </row>
    <row r="5806" spans="1:15" x14ac:dyDescent="0.25">
      <c r="A5806" t="s">
        <v>16</v>
      </c>
      <c r="B5806" t="s">
        <v>3221</v>
      </c>
      <c r="C5806">
        <v>10318</v>
      </c>
      <c r="D5806" t="s">
        <v>1071</v>
      </c>
      <c r="E5806" t="s">
        <v>1072</v>
      </c>
      <c r="F5806">
        <v>75.89</v>
      </c>
      <c r="G5806">
        <v>230808</v>
      </c>
      <c r="H5806">
        <v>4572</v>
      </c>
      <c r="I5806" t="s">
        <v>122</v>
      </c>
      <c r="J5806">
        <v>94.1</v>
      </c>
      <c r="K5806">
        <v>18.21</v>
      </c>
      <c r="L5806">
        <v>59812</v>
      </c>
      <c r="M5806" t="s">
        <v>74</v>
      </c>
      <c r="N5806" t="str">
        <f>"7231626793  "</f>
        <v xml:space="preserve">7231626793  </v>
      </c>
      <c r="O5806">
        <v>230814</v>
      </c>
    </row>
    <row r="5807" spans="1:15" x14ac:dyDescent="0.25">
      <c r="A5807" t="s">
        <v>16</v>
      </c>
      <c r="B5807" t="s">
        <v>3221</v>
      </c>
      <c r="C5807">
        <v>10319</v>
      </c>
      <c r="D5807" t="s">
        <v>1071</v>
      </c>
      <c r="E5807" t="s">
        <v>1072</v>
      </c>
      <c r="F5807">
        <v>1084.03</v>
      </c>
      <c r="G5807">
        <v>230808</v>
      </c>
      <c r="H5807">
        <v>4572</v>
      </c>
      <c r="I5807" t="s">
        <v>122</v>
      </c>
      <c r="J5807">
        <v>1344.2</v>
      </c>
      <c r="K5807">
        <v>260.17</v>
      </c>
      <c r="L5807">
        <v>14951</v>
      </c>
      <c r="M5807" t="s">
        <v>57</v>
      </c>
      <c r="N5807" t="str">
        <f>"7231626722  "</f>
        <v xml:space="preserve">7231626722  </v>
      </c>
      <c r="O5807">
        <v>230814</v>
      </c>
    </row>
    <row r="5808" spans="1:15" x14ac:dyDescent="0.25">
      <c r="A5808" t="s">
        <v>16</v>
      </c>
      <c r="B5808" t="s">
        <v>3221</v>
      </c>
      <c r="C5808">
        <v>10320</v>
      </c>
      <c r="D5808" t="s">
        <v>1071</v>
      </c>
      <c r="E5808" t="s">
        <v>1072</v>
      </c>
      <c r="F5808">
        <v>3.52</v>
      </c>
      <c r="G5808">
        <v>230808</v>
      </c>
      <c r="H5808">
        <v>4572</v>
      </c>
      <c r="I5808" t="s">
        <v>122</v>
      </c>
      <c r="J5808">
        <v>4.37</v>
      </c>
      <c r="K5808">
        <v>0.85</v>
      </c>
      <c r="L5808">
        <v>14952</v>
      </c>
      <c r="M5808" t="s">
        <v>99</v>
      </c>
      <c r="N5808" t="str">
        <f>"7231633139  "</f>
        <v xml:space="preserve">7231633139  </v>
      </c>
      <c r="O5808">
        <v>230814</v>
      </c>
    </row>
    <row r="5809" spans="1:15" x14ac:dyDescent="0.25">
      <c r="A5809" t="s">
        <v>16</v>
      </c>
      <c r="B5809" t="s">
        <v>3221</v>
      </c>
      <c r="C5809">
        <v>10320</v>
      </c>
      <c r="D5809" t="s">
        <v>1071</v>
      </c>
      <c r="E5809" t="s">
        <v>1072</v>
      </c>
      <c r="F5809">
        <v>8.23</v>
      </c>
      <c r="G5809">
        <v>230808</v>
      </c>
      <c r="H5809">
        <v>4572</v>
      </c>
      <c r="I5809" t="s">
        <v>122</v>
      </c>
      <c r="J5809">
        <v>10.199999999999999</v>
      </c>
      <c r="K5809">
        <v>1.97</v>
      </c>
      <c r="L5809">
        <v>14981</v>
      </c>
      <c r="M5809" t="s">
        <v>1211</v>
      </c>
      <c r="N5809" t="str">
        <f>"7231633139  "</f>
        <v xml:space="preserve">7231633139  </v>
      </c>
      <c r="O5809">
        <v>230814</v>
      </c>
    </row>
    <row r="5810" spans="1:15" x14ac:dyDescent="0.25">
      <c r="A5810" t="s">
        <v>16</v>
      </c>
      <c r="B5810" t="s">
        <v>3221</v>
      </c>
      <c r="C5810">
        <v>10321</v>
      </c>
      <c r="D5810" t="s">
        <v>1071</v>
      </c>
      <c r="E5810" t="s">
        <v>1072</v>
      </c>
      <c r="F5810">
        <v>30.8</v>
      </c>
      <c r="G5810">
        <v>230808</v>
      </c>
      <c r="H5810">
        <v>4572</v>
      </c>
      <c r="I5810" t="s">
        <v>122</v>
      </c>
      <c r="J5810">
        <v>30.8</v>
      </c>
      <c r="K5810">
        <v>0</v>
      </c>
      <c r="L5810">
        <v>11001</v>
      </c>
      <c r="M5810" t="s">
        <v>326</v>
      </c>
      <c r="N5810" t="str">
        <f>"7231632253  "</f>
        <v xml:space="preserve">7231632253  </v>
      </c>
      <c r="O5810">
        <v>230814</v>
      </c>
    </row>
    <row r="5811" spans="1:15" x14ac:dyDescent="0.25">
      <c r="A5811" t="s">
        <v>16</v>
      </c>
      <c r="B5811" t="s">
        <v>3221</v>
      </c>
      <c r="C5811">
        <v>10323</v>
      </c>
      <c r="D5811" t="s">
        <v>1071</v>
      </c>
      <c r="E5811" t="s">
        <v>1072</v>
      </c>
      <c r="F5811">
        <v>41.57</v>
      </c>
      <c r="G5811">
        <v>230808</v>
      </c>
      <c r="H5811">
        <v>4572</v>
      </c>
      <c r="I5811" t="s">
        <v>122</v>
      </c>
      <c r="J5811">
        <v>51.55</v>
      </c>
      <c r="K5811">
        <v>9.98</v>
      </c>
      <c r="L5811">
        <v>11401</v>
      </c>
      <c r="M5811" t="s">
        <v>84</v>
      </c>
      <c r="N5811" t="str">
        <f>"7231626939  "</f>
        <v xml:space="preserve">7231626939  </v>
      </c>
      <c r="O5811">
        <v>230814</v>
      </c>
    </row>
    <row r="5812" spans="1:15" x14ac:dyDescent="0.25">
      <c r="A5812" t="s">
        <v>16</v>
      </c>
      <c r="B5812" t="s">
        <v>3221</v>
      </c>
      <c r="C5812">
        <v>10323</v>
      </c>
      <c r="D5812" t="s">
        <v>1071</v>
      </c>
      <c r="E5812" t="s">
        <v>1072</v>
      </c>
      <c r="F5812">
        <v>83.15</v>
      </c>
      <c r="G5812">
        <v>230808</v>
      </c>
      <c r="H5812">
        <v>4572</v>
      </c>
      <c r="I5812" t="s">
        <v>122</v>
      </c>
      <c r="J5812">
        <v>103.1</v>
      </c>
      <c r="K5812">
        <v>19.95</v>
      </c>
      <c r="L5812">
        <v>14952</v>
      </c>
      <c r="M5812" t="s">
        <v>99</v>
      </c>
      <c r="N5812" t="str">
        <f>"7231626939  "</f>
        <v xml:space="preserve">7231626939  </v>
      </c>
      <c r="O5812">
        <v>230814</v>
      </c>
    </row>
    <row r="5813" spans="1:15" x14ac:dyDescent="0.25">
      <c r="A5813" t="s">
        <v>16</v>
      </c>
      <c r="B5813" t="s">
        <v>3221</v>
      </c>
      <c r="C5813">
        <v>10324</v>
      </c>
      <c r="D5813" t="s">
        <v>1071</v>
      </c>
      <c r="E5813" t="s">
        <v>1072</v>
      </c>
      <c r="F5813">
        <v>4.7300000000000004</v>
      </c>
      <c r="G5813">
        <v>230808</v>
      </c>
      <c r="H5813">
        <v>4572</v>
      </c>
      <c r="I5813" t="s">
        <v>122</v>
      </c>
      <c r="J5813">
        <v>5.87</v>
      </c>
      <c r="K5813">
        <v>1.1399999999999999</v>
      </c>
      <c r="L5813">
        <v>11401</v>
      </c>
      <c r="M5813" t="s">
        <v>84</v>
      </c>
      <c r="N5813" t="str">
        <f>"7231626926  "</f>
        <v xml:space="preserve">7231626926  </v>
      </c>
      <c r="O5813">
        <v>230814</v>
      </c>
    </row>
    <row r="5814" spans="1:15" x14ac:dyDescent="0.25">
      <c r="A5814" t="s">
        <v>16</v>
      </c>
      <c r="B5814" t="s">
        <v>3221</v>
      </c>
      <c r="C5814">
        <v>10324</v>
      </c>
      <c r="D5814" t="s">
        <v>1071</v>
      </c>
      <c r="E5814" t="s">
        <v>1072</v>
      </c>
      <c r="F5814">
        <v>9.4700000000000006</v>
      </c>
      <c r="G5814">
        <v>230808</v>
      </c>
      <c r="H5814">
        <v>4572</v>
      </c>
      <c r="I5814" t="s">
        <v>122</v>
      </c>
      <c r="J5814">
        <v>11.74</v>
      </c>
      <c r="K5814">
        <v>2.27</v>
      </c>
      <c r="L5814">
        <v>14952</v>
      </c>
      <c r="M5814" t="s">
        <v>99</v>
      </c>
      <c r="N5814" t="str">
        <f>"7231626926  "</f>
        <v xml:space="preserve">7231626926  </v>
      </c>
      <c r="O5814">
        <v>230814</v>
      </c>
    </row>
    <row r="5815" spans="1:15" x14ac:dyDescent="0.25">
      <c r="A5815" t="s">
        <v>16</v>
      </c>
      <c r="B5815" t="s">
        <v>3221</v>
      </c>
      <c r="C5815">
        <v>10325</v>
      </c>
      <c r="D5815" t="s">
        <v>1071</v>
      </c>
      <c r="E5815" t="s">
        <v>1072</v>
      </c>
      <c r="F5815">
        <v>9.34</v>
      </c>
      <c r="G5815">
        <v>230808</v>
      </c>
      <c r="H5815">
        <v>4572</v>
      </c>
      <c r="I5815" t="s">
        <v>122</v>
      </c>
      <c r="J5815">
        <v>11.58</v>
      </c>
      <c r="K5815">
        <v>2.2400000000000002</v>
      </c>
      <c r="L5815">
        <v>14952</v>
      </c>
      <c r="M5815" t="s">
        <v>99</v>
      </c>
      <c r="N5815" t="str">
        <f>"7231633142  "</f>
        <v xml:space="preserve">7231633142  </v>
      </c>
      <c r="O5815">
        <v>230814</v>
      </c>
    </row>
    <row r="5816" spans="1:15" x14ac:dyDescent="0.25">
      <c r="A5816" t="s">
        <v>16</v>
      </c>
      <c r="B5816" t="s">
        <v>3221</v>
      </c>
      <c r="C5816">
        <v>10325</v>
      </c>
      <c r="D5816" t="s">
        <v>1071</v>
      </c>
      <c r="E5816" t="s">
        <v>1072</v>
      </c>
      <c r="F5816">
        <v>21.8</v>
      </c>
      <c r="G5816">
        <v>230808</v>
      </c>
      <c r="H5816">
        <v>4572</v>
      </c>
      <c r="I5816" t="s">
        <v>122</v>
      </c>
      <c r="J5816">
        <v>27.03</v>
      </c>
      <c r="K5816">
        <v>5.23</v>
      </c>
      <c r="L5816">
        <v>14981</v>
      </c>
      <c r="M5816" t="s">
        <v>1211</v>
      </c>
      <c r="N5816" t="str">
        <f>"7231633142  "</f>
        <v xml:space="preserve">7231633142  </v>
      </c>
      <c r="O5816">
        <v>230814</v>
      </c>
    </row>
    <row r="5817" spans="1:15" x14ac:dyDescent="0.25">
      <c r="A5817" t="s">
        <v>16</v>
      </c>
      <c r="B5817" t="s">
        <v>3221</v>
      </c>
      <c r="C5817">
        <v>10328</v>
      </c>
      <c r="D5817" t="s">
        <v>1071</v>
      </c>
      <c r="E5817" t="s">
        <v>1072</v>
      </c>
      <c r="F5817">
        <v>3.97</v>
      </c>
      <c r="G5817">
        <v>230808</v>
      </c>
      <c r="H5817">
        <v>4572</v>
      </c>
      <c r="I5817" t="s">
        <v>122</v>
      </c>
      <c r="J5817">
        <v>3.97</v>
      </c>
      <c r="K5817">
        <v>0</v>
      </c>
      <c r="L5817">
        <v>59813</v>
      </c>
      <c r="M5817" t="s">
        <v>915</v>
      </c>
      <c r="N5817" t="str">
        <f>"7231626832  "</f>
        <v xml:space="preserve">7231626832  </v>
      </c>
      <c r="O5817">
        <v>230814</v>
      </c>
    </row>
    <row r="5818" spans="1:15" x14ac:dyDescent="0.25">
      <c r="A5818" t="s">
        <v>16</v>
      </c>
      <c r="B5818" t="s">
        <v>3221</v>
      </c>
      <c r="C5818">
        <v>10330</v>
      </c>
      <c r="D5818" t="s">
        <v>1071</v>
      </c>
      <c r="E5818" t="s">
        <v>1072</v>
      </c>
      <c r="F5818">
        <v>867.56</v>
      </c>
      <c r="G5818">
        <v>230808</v>
      </c>
      <c r="H5818">
        <v>4572</v>
      </c>
      <c r="I5818" t="s">
        <v>122</v>
      </c>
      <c r="J5818">
        <v>1075.78</v>
      </c>
      <c r="K5818">
        <v>208.22</v>
      </c>
      <c r="L5818">
        <v>59502</v>
      </c>
      <c r="M5818" t="s">
        <v>70</v>
      </c>
      <c r="N5818" t="str">
        <f>"7231626777  "</f>
        <v xml:space="preserve">7231626777  </v>
      </c>
      <c r="O5818">
        <v>230814</v>
      </c>
    </row>
    <row r="5819" spans="1:15" x14ac:dyDescent="0.25">
      <c r="A5819" t="s">
        <v>16</v>
      </c>
      <c r="B5819" t="s">
        <v>3221</v>
      </c>
      <c r="C5819">
        <v>10330</v>
      </c>
      <c r="D5819" t="s">
        <v>1071</v>
      </c>
      <c r="E5819" t="s">
        <v>1072</v>
      </c>
      <c r="F5819">
        <v>554.67999999999995</v>
      </c>
      <c r="G5819">
        <v>230808</v>
      </c>
      <c r="H5819">
        <v>4572</v>
      </c>
      <c r="I5819" t="s">
        <v>122</v>
      </c>
      <c r="J5819">
        <v>687.8</v>
      </c>
      <c r="K5819">
        <v>133.12</v>
      </c>
      <c r="L5819">
        <v>59802</v>
      </c>
      <c r="M5819" t="s">
        <v>73</v>
      </c>
      <c r="N5819" t="str">
        <f>"7231626777  "</f>
        <v xml:space="preserve">7231626777  </v>
      </c>
      <c r="O5819">
        <v>230814</v>
      </c>
    </row>
    <row r="5820" spans="1:15" x14ac:dyDescent="0.25">
      <c r="A5820" t="s">
        <v>16</v>
      </c>
      <c r="B5820" t="s">
        <v>3221</v>
      </c>
      <c r="C5820">
        <v>10372</v>
      </c>
      <c r="D5820" t="s">
        <v>1071</v>
      </c>
      <c r="E5820" t="s">
        <v>1072</v>
      </c>
      <c r="F5820">
        <v>13.22</v>
      </c>
      <c r="G5820">
        <v>230808</v>
      </c>
      <c r="H5820">
        <v>4572</v>
      </c>
      <c r="I5820" t="s">
        <v>122</v>
      </c>
      <c r="J5820">
        <v>16.39</v>
      </c>
      <c r="K5820">
        <v>3.17</v>
      </c>
      <c r="L5820">
        <v>69501</v>
      </c>
      <c r="M5820" t="s">
        <v>185</v>
      </c>
      <c r="N5820" t="str">
        <f>"7231626706  "</f>
        <v xml:space="preserve">7231626706  </v>
      </c>
      <c r="O5820">
        <v>230815</v>
      </c>
    </row>
    <row r="5821" spans="1:15" x14ac:dyDescent="0.25">
      <c r="A5821" t="s">
        <v>16</v>
      </c>
      <c r="B5821" t="s">
        <v>3221</v>
      </c>
      <c r="C5821">
        <v>10398</v>
      </c>
      <c r="D5821" t="s">
        <v>1071</v>
      </c>
      <c r="E5821" t="s">
        <v>1072</v>
      </c>
      <c r="F5821">
        <v>82.4</v>
      </c>
      <c r="G5821">
        <v>230808</v>
      </c>
      <c r="H5821">
        <v>4572</v>
      </c>
      <c r="I5821" t="s">
        <v>122</v>
      </c>
      <c r="J5821">
        <v>102.18</v>
      </c>
      <c r="K5821">
        <v>19.78</v>
      </c>
      <c r="L5821">
        <v>17739</v>
      </c>
      <c r="M5821" t="s">
        <v>374</v>
      </c>
      <c r="N5821" t="str">
        <f>"7231626735  "</f>
        <v xml:space="preserve">7231626735  </v>
      </c>
      <c r="O5821">
        <v>230815</v>
      </c>
    </row>
    <row r="5822" spans="1:15" x14ac:dyDescent="0.25">
      <c r="A5822" t="s">
        <v>16</v>
      </c>
      <c r="B5822" t="s">
        <v>3221</v>
      </c>
      <c r="C5822">
        <v>10398</v>
      </c>
      <c r="D5822" t="s">
        <v>1071</v>
      </c>
      <c r="E5822" t="s">
        <v>1072</v>
      </c>
      <c r="F5822">
        <v>247.2</v>
      </c>
      <c r="G5822">
        <v>230808</v>
      </c>
      <c r="H5822">
        <v>4572</v>
      </c>
      <c r="I5822" t="s">
        <v>122</v>
      </c>
      <c r="J5822">
        <v>306.52999999999997</v>
      </c>
      <c r="K5822">
        <v>59.33</v>
      </c>
      <c r="L5822">
        <v>17912</v>
      </c>
      <c r="M5822" t="s">
        <v>419</v>
      </c>
      <c r="N5822" t="str">
        <f>"7231626735  "</f>
        <v xml:space="preserve">7231626735  </v>
      </c>
      <c r="O5822">
        <v>230815</v>
      </c>
    </row>
    <row r="5823" spans="1:15" x14ac:dyDescent="0.25">
      <c r="A5823" t="s">
        <v>16</v>
      </c>
      <c r="B5823" t="s">
        <v>3221</v>
      </c>
      <c r="C5823">
        <v>10398</v>
      </c>
      <c r="D5823" t="s">
        <v>1071</v>
      </c>
      <c r="E5823" t="s">
        <v>1072</v>
      </c>
      <c r="F5823">
        <v>494.41</v>
      </c>
      <c r="G5823">
        <v>230808</v>
      </c>
      <c r="H5823">
        <v>4572</v>
      </c>
      <c r="I5823" t="s">
        <v>122</v>
      </c>
      <c r="J5823">
        <v>613.07000000000005</v>
      </c>
      <c r="K5823">
        <v>118.66</v>
      </c>
      <c r="L5823">
        <v>17952</v>
      </c>
      <c r="M5823" t="s">
        <v>88</v>
      </c>
      <c r="N5823" t="str">
        <f>"7231626735  "</f>
        <v xml:space="preserve">7231626735  </v>
      </c>
      <c r="O5823">
        <v>230815</v>
      </c>
    </row>
    <row r="5824" spans="1:15" x14ac:dyDescent="0.25">
      <c r="A5824" t="s">
        <v>16</v>
      </c>
      <c r="B5824" t="s">
        <v>3221</v>
      </c>
      <c r="C5824">
        <v>10399</v>
      </c>
      <c r="D5824" t="s">
        <v>1071</v>
      </c>
      <c r="E5824" t="s">
        <v>1072</v>
      </c>
      <c r="F5824">
        <v>33.14</v>
      </c>
      <c r="G5824">
        <v>230808</v>
      </c>
      <c r="H5824">
        <v>4572</v>
      </c>
      <c r="I5824" t="s">
        <v>122</v>
      </c>
      <c r="J5824">
        <v>41.09</v>
      </c>
      <c r="K5824">
        <v>7.95</v>
      </c>
      <c r="L5824">
        <v>17711</v>
      </c>
      <c r="M5824" t="s">
        <v>65</v>
      </c>
      <c r="N5824" t="str">
        <f>"7231626845  "</f>
        <v xml:space="preserve">7231626845  </v>
      </c>
      <c r="O5824">
        <v>230815</v>
      </c>
    </row>
    <row r="5825" spans="1:15" x14ac:dyDescent="0.25">
      <c r="A5825" t="s">
        <v>16</v>
      </c>
      <c r="B5825" t="s">
        <v>3221</v>
      </c>
      <c r="C5825">
        <v>10399</v>
      </c>
      <c r="D5825" t="s">
        <v>1071</v>
      </c>
      <c r="E5825" t="s">
        <v>1072</v>
      </c>
      <c r="F5825">
        <v>2.4900000000000002</v>
      </c>
      <c r="G5825">
        <v>230808</v>
      </c>
      <c r="H5825">
        <v>4572</v>
      </c>
      <c r="I5825" t="s">
        <v>122</v>
      </c>
      <c r="J5825">
        <v>3.09</v>
      </c>
      <c r="K5825">
        <v>0.6</v>
      </c>
      <c r="L5825">
        <v>17737</v>
      </c>
      <c r="M5825" t="s">
        <v>279</v>
      </c>
      <c r="N5825" t="str">
        <f>"7231626845  "</f>
        <v xml:space="preserve">7231626845  </v>
      </c>
      <c r="O5825">
        <v>230815</v>
      </c>
    </row>
    <row r="5826" spans="1:15" x14ac:dyDescent="0.25">
      <c r="A5826" t="s">
        <v>16</v>
      </c>
      <c r="B5826" t="s">
        <v>3221</v>
      </c>
      <c r="C5826">
        <v>10399</v>
      </c>
      <c r="D5826" t="s">
        <v>1071</v>
      </c>
      <c r="E5826" t="s">
        <v>1072</v>
      </c>
      <c r="F5826">
        <v>14.2</v>
      </c>
      <c r="G5826">
        <v>230808</v>
      </c>
      <c r="H5826">
        <v>4572</v>
      </c>
      <c r="I5826" t="s">
        <v>122</v>
      </c>
      <c r="J5826">
        <v>17.61</v>
      </c>
      <c r="K5826">
        <v>3.41</v>
      </c>
      <c r="L5826">
        <v>17739</v>
      </c>
      <c r="M5826" t="s">
        <v>374</v>
      </c>
      <c r="N5826" t="str">
        <f>"7231626845  "</f>
        <v xml:space="preserve">7231626845  </v>
      </c>
      <c r="O5826">
        <v>230815</v>
      </c>
    </row>
    <row r="5827" spans="1:15" x14ac:dyDescent="0.25">
      <c r="A5827" t="s">
        <v>16</v>
      </c>
      <c r="B5827" t="s">
        <v>3221</v>
      </c>
      <c r="C5827">
        <v>10433</v>
      </c>
      <c r="D5827" t="s">
        <v>1071</v>
      </c>
      <c r="E5827" t="s">
        <v>1072</v>
      </c>
      <c r="F5827">
        <v>703.85</v>
      </c>
      <c r="G5827">
        <v>230808</v>
      </c>
      <c r="H5827">
        <v>4572</v>
      </c>
      <c r="I5827" t="s">
        <v>122</v>
      </c>
      <c r="J5827">
        <v>872.78</v>
      </c>
      <c r="K5827">
        <v>168.93</v>
      </c>
      <c r="L5827">
        <v>69111</v>
      </c>
      <c r="M5827" t="s">
        <v>471</v>
      </c>
      <c r="N5827" t="str">
        <f>"7231626696  "</f>
        <v xml:space="preserve">7231626696  </v>
      </c>
      <c r="O5827">
        <v>230816</v>
      </c>
    </row>
    <row r="5828" spans="1:15" x14ac:dyDescent="0.25">
      <c r="A5828" t="s">
        <v>16</v>
      </c>
      <c r="B5828" t="s">
        <v>3221</v>
      </c>
      <c r="C5828">
        <v>10433</v>
      </c>
      <c r="D5828" t="s">
        <v>1071</v>
      </c>
      <c r="E5828" t="s">
        <v>1072</v>
      </c>
      <c r="F5828">
        <v>1111.3499999999999</v>
      </c>
      <c r="G5828">
        <v>230808</v>
      </c>
      <c r="H5828">
        <v>4572</v>
      </c>
      <c r="I5828" t="s">
        <v>122</v>
      </c>
      <c r="J5828">
        <v>1378.08</v>
      </c>
      <c r="K5828">
        <v>266.73</v>
      </c>
      <c r="L5828">
        <v>69501</v>
      </c>
      <c r="M5828" t="s">
        <v>185</v>
      </c>
      <c r="N5828" t="str">
        <f>"7231626696  "</f>
        <v xml:space="preserve">7231626696  </v>
      </c>
      <c r="O5828">
        <v>230816</v>
      </c>
    </row>
    <row r="5829" spans="1:15" x14ac:dyDescent="0.25">
      <c r="A5829" t="s">
        <v>16</v>
      </c>
      <c r="B5829" t="s">
        <v>3221</v>
      </c>
      <c r="C5829">
        <v>10433</v>
      </c>
      <c r="D5829" t="s">
        <v>1071</v>
      </c>
      <c r="E5829" t="s">
        <v>1072</v>
      </c>
      <c r="F5829">
        <v>45.94</v>
      </c>
      <c r="G5829">
        <v>230808</v>
      </c>
      <c r="H5829">
        <v>4572</v>
      </c>
      <c r="I5829" t="s">
        <v>122</v>
      </c>
      <c r="J5829">
        <v>45.94</v>
      </c>
      <c r="K5829">
        <v>0</v>
      </c>
      <c r="L5829">
        <v>69803</v>
      </c>
      <c r="M5829" t="s">
        <v>755</v>
      </c>
      <c r="N5829" t="str">
        <f>"7231626696  "</f>
        <v xml:space="preserve">7231626696  </v>
      </c>
      <c r="O5829">
        <v>230816</v>
      </c>
    </row>
    <row r="5830" spans="1:15" x14ac:dyDescent="0.25">
      <c r="A5830" t="s">
        <v>16</v>
      </c>
      <c r="B5830" t="s">
        <v>3221</v>
      </c>
      <c r="C5830">
        <v>10466</v>
      </c>
      <c r="D5830" t="s">
        <v>1071</v>
      </c>
      <c r="E5830" t="s">
        <v>1072</v>
      </c>
      <c r="F5830">
        <v>2.94</v>
      </c>
      <c r="G5830">
        <v>230808</v>
      </c>
      <c r="H5830">
        <v>4572</v>
      </c>
      <c r="I5830" t="s">
        <v>122</v>
      </c>
      <c r="J5830">
        <v>3.65</v>
      </c>
      <c r="K5830">
        <v>0.71</v>
      </c>
      <c r="L5830">
        <v>13841</v>
      </c>
      <c r="M5830" t="s">
        <v>47</v>
      </c>
      <c r="N5830" t="str">
        <f>"7231634691  "</f>
        <v xml:space="preserve">7231634691  </v>
      </c>
      <c r="O5830">
        <v>230816</v>
      </c>
    </row>
    <row r="5831" spans="1:15" x14ac:dyDescent="0.25">
      <c r="A5831" t="s">
        <v>16</v>
      </c>
      <c r="B5831" t="s">
        <v>3221</v>
      </c>
      <c r="C5831">
        <v>10616</v>
      </c>
      <c r="D5831" t="s">
        <v>1071</v>
      </c>
      <c r="E5831" t="s">
        <v>1072</v>
      </c>
      <c r="F5831">
        <v>292.93</v>
      </c>
      <c r="G5831">
        <v>230808</v>
      </c>
      <c r="H5831">
        <v>4572</v>
      </c>
      <c r="I5831" t="s">
        <v>122</v>
      </c>
      <c r="J5831">
        <v>363.23</v>
      </c>
      <c r="K5831">
        <v>70.3</v>
      </c>
      <c r="L5831">
        <v>49503</v>
      </c>
      <c r="M5831" t="s">
        <v>178</v>
      </c>
      <c r="N5831" t="str">
        <f>"7231626780  "</f>
        <v xml:space="preserve">7231626780  </v>
      </c>
      <c r="O5831">
        <v>230821</v>
      </c>
    </row>
    <row r="5832" spans="1:15" x14ac:dyDescent="0.25">
      <c r="A5832" t="s">
        <v>16</v>
      </c>
      <c r="B5832" t="s">
        <v>3221</v>
      </c>
      <c r="C5832">
        <v>10617</v>
      </c>
      <c r="D5832" t="s">
        <v>1071</v>
      </c>
      <c r="E5832" t="s">
        <v>1072</v>
      </c>
      <c r="F5832">
        <v>903.65</v>
      </c>
      <c r="G5832">
        <v>230808</v>
      </c>
      <c r="H5832">
        <v>4572</v>
      </c>
      <c r="I5832" t="s">
        <v>122</v>
      </c>
      <c r="J5832">
        <v>1120.53</v>
      </c>
      <c r="K5832">
        <v>216.88</v>
      </c>
      <c r="L5832">
        <v>49501</v>
      </c>
      <c r="M5832" t="s">
        <v>177</v>
      </c>
      <c r="N5832" t="str">
        <f>"7231626719  "</f>
        <v xml:space="preserve">7231626719  </v>
      </c>
      <c r="O5832">
        <v>230821</v>
      </c>
    </row>
    <row r="5833" spans="1:15" x14ac:dyDescent="0.25">
      <c r="A5833" t="s">
        <v>16</v>
      </c>
      <c r="B5833" t="s">
        <v>3221</v>
      </c>
      <c r="C5833">
        <v>10617</v>
      </c>
      <c r="D5833" t="s">
        <v>1071</v>
      </c>
      <c r="E5833" t="s">
        <v>1072</v>
      </c>
      <c r="F5833">
        <v>47.56</v>
      </c>
      <c r="G5833">
        <v>230808</v>
      </c>
      <c r="H5833">
        <v>4572</v>
      </c>
      <c r="I5833" t="s">
        <v>122</v>
      </c>
      <c r="J5833">
        <v>58.97</v>
      </c>
      <c r="K5833">
        <v>11.41</v>
      </c>
      <c r="L5833">
        <v>49801</v>
      </c>
      <c r="M5833" t="s">
        <v>1227</v>
      </c>
      <c r="N5833" t="str">
        <f>"7231626719  "</f>
        <v xml:space="preserve">7231626719  </v>
      </c>
      <c r="O5833">
        <v>230821</v>
      </c>
    </row>
    <row r="5834" spans="1:15" x14ac:dyDescent="0.25">
      <c r="A5834" t="s">
        <v>16</v>
      </c>
      <c r="B5834" t="s">
        <v>3221</v>
      </c>
      <c r="C5834">
        <v>10618</v>
      </c>
      <c r="D5834" t="s">
        <v>1071</v>
      </c>
      <c r="E5834" t="s">
        <v>1072</v>
      </c>
      <c r="F5834">
        <v>1651.74</v>
      </c>
      <c r="G5834">
        <v>230808</v>
      </c>
      <c r="H5834">
        <v>4572</v>
      </c>
      <c r="I5834" t="s">
        <v>122</v>
      </c>
      <c r="J5834">
        <v>2048.16</v>
      </c>
      <c r="K5834">
        <v>396.42</v>
      </c>
      <c r="L5834">
        <v>49501</v>
      </c>
      <c r="M5834" t="s">
        <v>177</v>
      </c>
      <c r="N5834" t="str">
        <f>"7231626858  "</f>
        <v xml:space="preserve">7231626858  </v>
      </c>
      <c r="O5834">
        <v>230821</v>
      </c>
    </row>
    <row r="5835" spans="1:15" x14ac:dyDescent="0.25">
      <c r="A5835" t="s">
        <v>16</v>
      </c>
      <c r="B5835" t="s">
        <v>3221</v>
      </c>
      <c r="C5835">
        <v>10618</v>
      </c>
      <c r="D5835" t="s">
        <v>1071</v>
      </c>
      <c r="E5835" t="s">
        <v>1072</v>
      </c>
      <c r="F5835">
        <v>89.62</v>
      </c>
      <c r="G5835">
        <v>230808</v>
      </c>
      <c r="H5835">
        <v>4572</v>
      </c>
      <c r="I5835" t="s">
        <v>122</v>
      </c>
      <c r="J5835">
        <v>111.13</v>
      </c>
      <c r="K5835">
        <v>21.51</v>
      </c>
      <c r="L5835">
        <v>49801</v>
      </c>
      <c r="M5835" t="s">
        <v>1227</v>
      </c>
      <c r="N5835" t="str">
        <f>"7231626858  "</f>
        <v xml:space="preserve">7231626858  </v>
      </c>
      <c r="O5835">
        <v>230821</v>
      </c>
    </row>
    <row r="5836" spans="1:15" x14ac:dyDescent="0.25">
      <c r="A5836" t="s">
        <v>16</v>
      </c>
      <c r="B5836" t="s">
        <v>3221</v>
      </c>
      <c r="C5836">
        <v>10618</v>
      </c>
      <c r="D5836" t="s">
        <v>1071</v>
      </c>
      <c r="E5836" t="s">
        <v>1072</v>
      </c>
      <c r="F5836">
        <v>51.09</v>
      </c>
      <c r="G5836">
        <v>230808</v>
      </c>
      <c r="H5836">
        <v>4572</v>
      </c>
      <c r="I5836" t="s">
        <v>122</v>
      </c>
      <c r="J5836">
        <v>63.35</v>
      </c>
      <c r="K5836">
        <v>12.26</v>
      </c>
      <c r="L5836">
        <v>49803</v>
      </c>
      <c r="M5836" t="s">
        <v>1229</v>
      </c>
      <c r="N5836" t="str">
        <f>"7231626858  "</f>
        <v xml:space="preserve">7231626858  </v>
      </c>
      <c r="O5836">
        <v>230821</v>
      </c>
    </row>
    <row r="5837" spans="1:15" x14ac:dyDescent="0.25">
      <c r="A5837" t="s">
        <v>16</v>
      </c>
      <c r="B5837" t="s">
        <v>3221</v>
      </c>
      <c r="C5837">
        <v>10969</v>
      </c>
      <c r="D5837" t="s">
        <v>1071</v>
      </c>
      <c r="E5837" t="s">
        <v>1072</v>
      </c>
      <c r="F5837">
        <v>0.44</v>
      </c>
      <c r="G5837">
        <v>230824</v>
      </c>
      <c r="H5837">
        <v>4572</v>
      </c>
      <c r="I5837" t="s">
        <v>122</v>
      </c>
      <c r="J5837">
        <v>0.55000000000000004</v>
      </c>
      <c r="K5837">
        <v>0.11</v>
      </c>
      <c r="L5837">
        <v>59112</v>
      </c>
      <c r="M5837" t="s">
        <v>182</v>
      </c>
      <c r="N5837" t="str">
        <f>"7231683095  "</f>
        <v xml:space="preserve">7231683095  </v>
      </c>
      <c r="O5837">
        <v>230825</v>
      </c>
    </row>
    <row r="5838" spans="1:15" x14ac:dyDescent="0.25">
      <c r="A5838" t="s">
        <v>16</v>
      </c>
      <c r="B5838" t="s">
        <v>3221</v>
      </c>
      <c r="C5838">
        <v>10969</v>
      </c>
      <c r="D5838" t="s">
        <v>1071</v>
      </c>
      <c r="E5838" t="s">
        <v>1072</v>
      </c>
      <c r="F5838">
        <v>1.21</v>
      </c>
      <c r="G5838">
        <v>230824</v>
      </c>
      <c r="H5838">
        <v>4572</v>
      </c>
      <c r="I5838" t="s">
        <v>122</v>
      </c>
      <c r="J5838">
        <v>1.5</v>
      </c>
      <c r="K5838">
        <v>0.28999999999999998</v>
      </c>
      <c r="L5838">
        <v>59504</v>
      </c>
      <c r="M5838" t="s">
        <v>71</v>
      </c>
      <c r="N5838" t="str">
        <f>"7231683095  "</f>
        <v xml:space="preserve">7231683095  </v>
      </c>
      <c r="O5838">
        <v>230825</v>
      </c>
    </row>
    <row r="5839" spans="1:15" x14ac:dyDescent="0.25">
      <c r="A5839" t="s">
        <v>16</v>
      </c>
      <c r="B5839" t="s">
        <v>3221</v>
      </c>
      <c r="C5839">
        <v>10970</v>
      </c>
      <c r="D5839" t="s">
        <v>1071</v>
      </c>
      <c r="E5839" t="s">
        <v>1072</v>
      </c>
      <c r="F5839">
        <v>0.19</v>
      </c>
      <c r="G5839">
        <v>230824</v>
      </c>
      <c r="H5839">
        <v>4572</v>
      </c>
      <c r="I5839" t="s">
        <v>122</v>
      </c>
      <c r="J5839">
        <v>0.23</v>
      </c>
      <c r="K5839">
        <v>0.04</v>
      </c>
      <c r="L5839">
        <v>59112</v>
      </c>
      <c r="M5839" t="s">
        <v>182</v>
      </c>
      <c r="N5839" t="str">
        <f>"7231683082  "</f>
        <v xml:space="preserve">7231683082  </v>
      </c>
      <c r="O5839">
        <v>230825</v>
      </c>
    </row>
    <row r="5840" spans="1:15" x14ac:dyDescent="0.25">
      <c r="A5840" t="s">
        <v>16</v>
      </c>
      <c r="B5840" t="s">
        <v>3221</v>
      </c>
      <c r="C5840">
        <v>10970</v>
      </c>
      <c r="D5840" t="s">
        <v>1071</v>
      </c>
      <c r="E5840" t="s">
        <v>1072</v>
      </c>
      <c r="F5840">
        <v>0.52</v>
      </c>
      <c r="G5840">
        <v>230824</v>
      </c>
      <c r="H5840">
        <v>4572</v>
      </c>
      <c r="I5840" t="s">
        <v>122</v>
      </c>
      <c r="J5840">
        <v>0.64</v>
      </c>
      <c r="K5840">
        <v>0.12</v>
      </c>
      <c r="L5840">
        <v>59504</v>
      </c>
      <c r="M5840" t="s">
        <v>71</v>
      </c>
      <c r="N5840" t="str">
        <f>"7231683082  "</f>
        <v xml:space="preserve">7231683082  </v>
      </c>
      <c r="O5840">
        <v>230825</v>
      </c>
    </row>
    <row r="5841" spans="1:15" x14ac:dyDescent="0.25">
      <c r="A5841" t="s">
        <v>16</v>
      </c>
      <c r="B5841" t="s">
        <v>3221</v>
      </c>
      <c r="C5841">
        <v>11581</v>
      </c>
      <c r="D5841" t="s">
        <v>1071</v>
      </c>
      <c r="E5841" t="s">
        <v>1072</v>
      </c>
      <c r="F5841">
        <v>3276.04</v>
      </c>
      <c r="G5841">
        <v>230906</v>
      </c>
      <c r="H5841">
        <v>4572</v>
      </c>
      <c r="I5841" t="s">
        <v>122</v>
      </c>
      <c r="J5841">
        <v>4062.29</v>
      </c>
      <c r="K5841">
        <v>786.25</v>
      </c>
      <c r="L5841">
        <v>17951</v>
      </c>
      <c r="M5841" t="s">
        <v>87</v>
      </c>
      <c r="N5841" t="str">
        <f>"7231933570  "</f>
        <v xml:space="preserve">7231933570  </v>
      </c>
      <c r="O5841">
        <v>230907</v>
      </c>
    </row>
    <row r="5842" spans="1:15" x14ac:dyDescent="0.25">
      <c r="A5842" t="s">
        <v>16</v>
      </c>
      <c r="B5842" t="s">
        <v>3221</v>
      </c>
      <c r="C5842">
        <v>11583</v>
      </c>
      <c r="D5842" t="s">
        <v>1071</v>
      </c>
      <c r="E5842" t="s">
        <v>1072</v>
      </c>
      <c r="F5842">
        <v>4.1500000000000004</v>
      </c>
      <c r="G5842">
        <v>230906</v>
      </c>
      <c r="H5842">
        <v>4572</v>
      </c>
      <c r="I5842" t="s">
        <v>122</v>
      </c>
      <c r="J5842">
        <v>5.15</v>
      </c>
      <c r="K5842">
        <v>1</v>
      </c>
      <c r="L5842">
        <v>13841</v>
      </c>
      <c r="M5842" t="s">
        <v>47</v>
      </c>
      <c r="N5842" t="str">
        <f>"7231942231  "</f>
        <v xml:space="preserve">7231942231  </v>
      </c>
      <c r="O5842">
        <v>230907</v>
      </c>
    </row>
    <row r="5843" spans="1:15" x14ac:dyDescent="0.25">
      <c r="A5843" t="s">
        <v>16</v>
      </c>
      <c r="B5843" t="s">
        <v>3221</v>
      </c>
      <c r="C5843">
        <v>11624</v>
      </c>
      <c r="D5843" t="s">
        <v>1071</v>
      </c>
      <c r="E5843" t="s">
        <v>1072</v>
      </c>
      <c r="F5843">
        <v>6.96</v>
      </c>
      <c r="G5843">
        <v>230906</v>
      </c>
      <c r="H5843">
        <v>4572</v>
      </c>
      <c r="I5843" t="s">
        <v>122</v>
      </c>
      <c r="J5843">
        <v>8.6300000000000008</v>
      </c>
      <c r="K5843">
        <v>1.67</v>
      </c>
      <c r="L5843">
        <v>14952</v>
      </c>
      <c r="M5843" t="s">
        <v>99</v>
      </c>
      <c r="N5843" t="str">
        <f>"7231940754  "</f>
        <v xml:space="preserve">7231940754  </v>
      </c>
      <c r="O5843">
        <v>230907</v>
      </c>
    </row>
    <row r="5844" spans="1:15" x14ac:dyDescent="0.25">
      <c r="A5844" t="s">
        <v>16</v>
      </c>
      <c r="B5844" t="s">
        <v>3221</v>
      </c>
      <c r="C5844">
        <v>11624</v>
      </c>
      <c r="D5844" t="s">
        <v>1071</v>
      </c>
      <c r="E5844" t="s">
        <v>1072</v>
      </c>
      <c r="F5844">
        <v>16.25</v>
      </c>
      <c r="G5844">
        <v>230906</v>
      </c>
      <c r="H5844">
        <v>4572</v>
      </c>
      <c r="I5844" t="s">
        <v>122</v>
      </c>
      <c r="J5844">
        <v>20.149999999999999</v>
      </c>
      <c r="K5844">
        <v>3.9</v>
      </c>
      <c r="L5844">
        <v>14981</v>
      </c>
      <c r="M5844" t="s">
        <v>1211</v>
      </c>
      <c r="N5844" t="str">
        <f>"7231940754  "</f>
        <v xml:space="preserve">7231940754  </v>
      </c>
      <c r="O5844">
        <v>230907</v>
      </c>
    </row>
    <row r="5845" spans="1:15" x14ac:dyDescent="0.25">
      <c r="A5845" t="s">
        <v>16</v>
      </c>
      <c r="B5845" t="s">
        <v>3221</v>
      </c>
      <c r="C5845">
        <v>11625</v>
      </c>
      <c r="D5845" t="s">
        <v>1071</v>
      </c>
      <c r="E5845" t="s">
        <v>1072</v>
      </c>
      <c r="F5845">
        <v>20.43</v>
      </c>
      <c r="G5845">
        <v>230906</v>
      </c>
      <c r="H5845">
        <v>4572</v>
      </c>
      <c r="I5845" t="s">
        <v>122</v>
      </c>
      <c r="J5845">
        <v>25.33</v>
      </c>
      <c r="K5845">
        <v>4.9000000000000004</v>
      </c>
      <c r="L5845">
        <v>69501</v>
      </c>
      <c r="M5845" t="s">
        <v>185</v>
      </c>
      <c r="N5845" t="str">
        <f>"7231933622  "</f>
        <v xml:space="preserve">7231933622  </v>
      </c>
      <c r="O5845">
        <v>230907</v>
      </c>
    </row>
    <row r="5846" spans="1:15" x14ac:dyDescent="0.25">
      <c r="A5846" t="s">
        <v>16</v>
      </c>
      <c r="B5846" t="s">
        <v>3221</v>
      </c>
      <c r="C5846">
        <v>11693</v>
      </c>
      <c r="D5846" t="s">
        <v>1071</v>
      </c>
      <c r="E5846" t="s">
        <v>1072</v>
      </c>
      <c r="F5846">
        <v>400.53</v>
      </c>
      <c r="G5846">
        <v>230906</v>
      </c>
      <c r="H5846">
        <v>4572</v>
      </c>
      <c r="I5846" t="s">
        <v>122</v>
      </c>
      <c r="J5846">
        <v>496.66</v>
      </c>
      <c r="K5846">
        <v>96.13</v>
      </c>
      <c r="L5846">
        <v>59112</v>
      </c>
      <c r="M5846" t="s">
        <v>182</v>
      </c>
      <c r="N5846" t="str">
        <f>"7231933745  "</f>
        <v xml:space="preserve">7231933745  </v>
      </c>
      <c r="O5846">
        <v>230908</v>
      </c>
    </row>
    <row r="5847" spans="1:15" x14ac:dyDescent="0.25">
      <c r="A5847" t="s">
        <v>16</v>
      </c>
      <c r="B5847" t="s">
        <v>3221</v>
      </c>
      <c r="C5847">
        <v>11693</v>
      </c>
      <c r="D5847" t="s">
        <v>1071</v>
      </c>
      <c r="E5847" t="s">
        <v>1072</v>
      </c>
      <c r="F5847">
        <v>1082.9100000000001</v>
      </c>
      <c r="G5847">
        <v>230906</v>
      </c>
      <c r="H5847">
        <v>4572</v>
      </c>
      <c r="I5847" t="s">
        <v>122</v>
      </c>
      <c r="J5847">
        <v>1342.81</v>
      </c>
      <c r="K5847">
        <v>259.89999999999998</v>
      </c>
      <c r="L5847">
        <v>59504</v>
      </c>
      <c r="M5847" t="s">
        <v>71</v>
      </c>
      <c r="N5847" t="str">
        <f>"7231933745  "</f>
        <v xml:space="preserve">7231933745  </v>
      </c>
      <c r="O5847">
        <v>230908</v>
      </c>
    </row>
    <row r="5848" spans="1:15" x14ac:dyDescent="0.25">
      <c r="A5848" t="s">
        <v>16</v>
      </c>
      <c r="B5848" t="s">
        <v>3221</v>
      </c>
      <c r="C5848">
        <v>11694</v>
      </c>
      <c r="D5848" t="s">
        <v>1071</v>
      </c>
      <c r="E5848" t="s">
        <v>1072</v>
      </c>
      <c r="F5848">
        <v>1009.5</v>
      </c>
      <c r="G5848">
        <v>230906</v>
      </c>
      <c r="H5848">
        <v>4572</v>
      </c>
      <c r="I5848" t="s">
        <v>122</v>
      </c>
      <c r="J5848">
        <v>1251.78</v>
      </c>
      <c r="K5848">
        <v>242.28</v>
      </c>
      <c r="L5848">
        <v>59505</v>
      </c>
      <c r="M5848" t="s">
        <v>72</v>
      </c>
      <c r="N5848" t="str">
        <f>"7231933716  "</f>
        <v xml:space="preserve">7231933716  </v>
      </c>
      <c r="O5848">
        <v>230908</v>
      </c>
    </row>
    <row r="5849" spans="1:15" x14ac:dyDescent="0.25">
      <c r="A5849" t="s">
        <v>16</v>
      </c>
      <c r="B5849" t="s">
        <v>3221</v>
      </c>
      <c r="C5849">
        <v>11694</v>
      </c>
      <c r="D5849" t="s">
        <v>1071</v>
      </c>
      <c r="E5849" t="s">
        <v>1072</v>
      </c>
      <c r="F5849">
        <v>137.66</v>
      </c>
      <c r="G5849">
        <v>230906</v>
      </c>
      <c r="H5849">
        <v>4572</v>
      </c>
      <c r="I5849" t="s">
        <v>122</v>
      </c>
      <c r="J5849">
        <v>170.7</v>
      </c>
      <c r="K5849">
        <v>33.04</v>
      </c>
      <c r="L5849">
        <v>59812</v>
      </c>
      <c r="M5849" t="s">
        <v>74</v>
      </c>
      <c r="N5849" t="str">
        <f>"7231933716  "</f>
        <v xml:space="preserve">7231933716  </v>
      </c>
      <c r="O5849">
        <v>230908</v>
      </c>
    </row>
    <row r="5850" spans="1:15" x14ac:dyDescent="0.25">
      <c r="A5850" t="s">
        <v>16</v>
      </c>
      <c r="B5850" t="s">
        <v>3221</v>
      </c>
      <c r="C5850">
        <v>11696</v>
      </c>
      <c r="D5850" t="s">
        <v>1071</v>
      </c>
      <c r="E5850" t="s">
        <v>1072</v>
      </c>
      <c r="F5850">
        <v>1870.11</v>
      </c>
      <c r="G5850">
        <v>230906</v>
      </c>
      <c r="H5850">
        <v>4572</v>
      </c>
      <c r="I5850" t="s">
        <v>122</v>
      </c>
      <c r="J5850">
        <v>2318.94</v>
      </c>
      <c r="K5850">
        <v>448.83</v>
      </c>
      <c r="L5850">
        <v>59502</v>
      </c>
      <c r="M5850" t="s">
        <v>70</v>
      </c>
      <c r="N5850" t="str">
        <f>"7231933693  "</f>
        <v xml:space="preserve">7231933693  </v>
      </c>
      <c r="O5850">
        <v>230908</v>
      </c>
    </row>
    <row r="5851" spans="1:15" x14ac:dyDescent="0.25">
      <c r="A5851" t="s">
        <v>16</v>
      </c>
      <c r="B5851" t="s">
        <v>3221</v>
      </c>
      <c r="C5851">
        <v>11696</v>
      </c>
      <c r="D5851" t="s">
        <v>1071</v>
      </c>
      <c r="E5851" t="s">
        <v>1072</v>
      </c>
      <c r="F5851">
        <v>1195.6500000000001</v>
      </c>
      <c r="G5851">
        <v>230906</v>
      </c>
      <c r="H5851">
        <v>4572</v>
      </c>
      <c r="I5851" t="s">
        <v>122</v>
      </c>
      <c r="J5851">
        <v>1482.6</v>
      </c>
      <c r="K5851">
        <v>286.95</v>
      </c>
      <c r="L5851">
        <v>59802</v>
      </c>
      <c r="M5851" t="s">
        <v>73</v>
      </c>
      <c r="N5851" t="str">
        <f>"7231933693  "</f>
        <v xml:space="preserve">7231933693  </v>
      </c>
      <c r="O5851">
        <v>230908</v>
      </c>
    </row>
    <row r="5852" spans="1:15" x14ac:dyDescent="0.25">
      <c r="A5852" t="s">
        <v>16</v>
      </c>
      <c r="B5852" t="s">
        <v>3221</v>
      </c>
      <c r="C5852">
        <v>11699</v>
      </c>
      <c r="D5852" t="s">
        <v>1071</v>
      </c>
      <c r="E5852" t="s">
        <v>1072</v>
      </c>
      <c r="F5852">
        <v>4.4000000000000004</v>
      </c>
      <c r="G5852">
        <v>230906</v>
      </c>
      <c r="H5852">
        <v>4572</v>
      </c>
      <c r="I5852" t="s">
        <v>122</v>
      </c>
      <c r="J5852">
        <v>4.4000000000000004</v>
      </c>
      <c r="K5852">
        <v>0</v>
      </c>
      <c r="L5852">
        <v>59813</v>
      </c>
      <c r="M5852" t="s">
        <v>915</v>
      </c>
      <c r="N5852" t="str">
        <f>"7231933758  "</f>
        <v xml:space="preserve">7231933758  </v>
      </c>
      <c r="O5852">
        <v>230908</v>
      </c>
    </row>
    <row r="5853" spans="1:15" x14ac:dyDescent="0.25">
      <c r="A5853" t="s">
        <v>16</v>
      </c>
      <c r="B5853" t="s">
        <v>3221</v>
      </c>
      <c r="C5853">
        <v>11701</v>
      </c>
      <c r="D5853" t="s">
        <v>1071</v>
      </c>
      <c r="E5853" t="s">
        <v>1072</v>
      </c>
      <c r="F5853">
        <v>276.89</v>
      </c>
      <c r="G5853">
        <v>230906</v>
      </c>
      <c r="H5853">
        <v>4572</v>
      </c>
      <c r="I5853" t="s">
        <v>122</v>
      </c>
      <c r="J5853">
        <v>343.34</v>
      </c>
      <c r="K5853">
        <v>66.45</v>
      </c>
      <c r="L5853">
        <v>59111</v>
      </c>
      <c r="M5853" t="s">
        <v>1010</v>
      </c>
      <c r="N5853" t="str">
        <f>"7231933680  "</f>
        <v xml:space="preserve">7231933680  </v>
      </c>
      <c r="O5853">
        <v>230908</v>
      </c>
    </row>
    <row r="5854" spans="1:15" x14ac:dyDescent="0.25">
      <c r="A5854" t="s">
        <v>16</v>
      </c>
      <c r="B5854" t="s">
        <v>3221</v>
      </c>
      <c r="C5854">
        <v>11701</v>
      </c>
      <c r="D5854" t="s">
        <v>1071</v>
      </c>
      <c r="E5854" t="s">
        <v>1072</v>
      </c>
      <c r="F5854">
        <v>4337.87</v>
      </c>
      <c r="G5854">
        <v>230906</v>
      </c>
      <c r="H5854">
        <v>4572</v>
      </c>
      <c r="I5854" t="s">
        <v>122</v>
      </c>
      <c r="J5854">
        <v>5378.96</v>
      </c>
      <c r="K5854">
        <v>1041.0899999999999</v>
      </c>
      <c r="L5854">
        <v>59501</v>
      </c>
      <c r="M5854" t="s">
        <v>69</v>
      </c>
      <c r="N5854" t="str">
        <f>"7231933680  "</f>
        <v xml:space="preserve">7231933680  </v>
      </c>
      <c r="O5854">
        <v>230908</v>
      </c>
    </row>
    <row r="5855" spans="1:15" x14ac:dyDescent="0.25">
      <c r="A5855" t="s">
        <v>16</v>
      </c>
      <c r="B5855" t="s">
        <v>3221</v>
      </c>
      <c r="C5855">
        <v>11708</v>
      </c>
      <c r="D5855" t="s">
        <v>1071</v>
      </c>
      <c r="E5855" t="s">
        <v>1072</v>
      </c>
      <c r="F5855">
        <v>4.6900000000000004</v>
      </c>
      <c r="G5855">
        <v>230906</v>
      </c>
      <c r="H5855">
        <v>4572</v>
      </c>
      <c r="I5855" t="s">
        <v>122</v>
      </c>
      <c r="J5855">
        <v>5.81</v>
      </c>
      <c r="K5855">
        <v>1.1200000000000001</v>
      </c>
      <c r="L5855">
        <v>59112</v>
      </c>
      <c r="M5855" t="s">
        <v>182</v>
      </c>
      <c r="N5855" t="str">
        <f>"7231933732  "</f>
        <v xml:space="preserve">7231933732  </v>
      </c>
      <c r="O5855">
        <v>230908</v>
      </c>
    </row>
    <row r="5856" spans="1:15" x14ac:dyDescent="0.25">
      <c r="A5856" t="s">
        <v>16</v>
      </c>
      <c r="B5856" t="s">
        <v>3221</v>
      </c>
      <c r="C5856">
        <v>11708</v>
      </c>
      <c r="D5856" t="s">
        <v>1071</v>
      </c>
      <c r="E5856" t="s">
        <v>1072</v>
      </c>
      <c r="F5856">
        <v>12.65</v>
      </c>
      <c r="G5856">
        <v>230906</v>
      </c>
      <c r="H5856">
        <v>4572</v>
      </c>
      <c r="I5856" t="s">
        <v>122</v>
      </c>
      <c r="J5856">
        <v>15.69</v>
      </c>
      <c r="K5856">
        <v>3.04</v>
      </c>
      <c r="L5856">
        <v>59504</v>
      </c>
      <c r="M5856" t="s">
        <v>71</v>
      </c>
      <c r="N5856" t="str">
        <f>"7231933732  "</f>
        <v xml:space="preserve">7231933732  </v>
      </c>
      <c r="O5856">
        <v>230908</v>
      </c>
    </row>
    <row r="5857" spans="1:15" x14ac:dyDescent="0.25">
      <c r="A5857" t="s">
        <v>16</v>
      </c>
      <c r="B5857" t="s">
        <v>3221</v>
      </c>
      <c r="C5857">
        <v>11709</v>
      </c>
      <c r="D5857" t="s">
        <v>1071</v>
      </c>
      <c r="E5857" t="s">
        <v>1072</v>
      </c>
      <c r="F5857">
        <v>76.44</v>
      </c>
      <c r="G5857">
        <v>230906</v>
      </c>
      <c r="H5857">
        <v>4572</v>
      </c>
      <c r="I5857" t="s">
        <v>122</v>
      </c>
      <c r="J5857">
        <v>94.78</v>
      </c>
      <c r="K5857">
        <v>18.34</v>
      </c>
      <c r="L5857">
        <v>11401</v>
      </c>
      <c r="M5857" t="s">
        <v>84</v>
      </c>
      <c r="N5857" t="str">
        <f>"7231933871  "</f>
        <v xml:space="preserve">7231933871  </v>
      </c>
      <c r="O5857">
        <v>230908</v>
      </c>
    </row>
    <row r="5858" spans="1:15" x14ac:dyDescent="0.25">
      <c r="A5858" t="s">
        <v>16</v>
      </c>
      <c r="B5858" t="s">
        <v>3221</v>
      </c>
      <c r="C5858">
        <v>11709</v>
      </c>
      <c r="D5858" t="s">
        <v>1071</v>
      </c>
      <c r="E5858" t="s">
        <v>1072</v>
      </c>
      <c r="F5858">
        <v>152.88999999999999</v>
      </c>
      <c r="G5858">
        <v>230906</v>
      </c>
      <c r="H5858">
        <v>4572</v>
      </c>
      <c r="I5858" t="s">
        <v>122</v>
      </c>
      <c r="J5858">
        <v>189.58</v>
      </c>
      <c r="K5858">
        <v>36.69</v>
      </c>
      <c r="L5858">
        <v>14952</v>
      </c>
      <c r="M5858" t="s">
        <v>99</v>
      </c>
      <c r="N5858" t="str">
        <f>"7231933871  "</f>
        <v xml:space="preserve">7231933871  </v>
      </c>
      <c r="O5858">
        <v>230908</v>
      </c>
    </row>
    <row r="5859" spans="1:15" x14ac:dyDescent="0.25">
      <c r="A5859" t="s">
        <v>16</v>
      </c>
      <c r="B5859" t="s">
        <v>3221</v>
      </c>
      <c r="C5859">
        <v>11731</v>
      </c>
      <c r="D5859" t="s">
        <v>1071</v>
      </c>
      <c r="E5859" t="s">
        <v>1072</v>
      </c>
      <c r="F5859">
        <v>139.19999999999999</v>
      </c>
      <c r="G5859">
        <v>230906</v>
      </c>
      <c r="H5859">
        <v>4572</v>
      </c>
      <c r="I5859" t="s">
        <v>122</v>
      </c>
      <c r="J5859">
        <v>172.61</v>
      </c>
      <c r="K5859">
        <v>33.409999999999997</v>
      </c>
      <c r="L5859">
        <v>17739</v>
      </c>
      <c r="M5859" t="s">
        <v>374</v>
      </c>
      <c r="N5859" t="str">
        <f>"7231933651  "</f>
        <v xml:space="preserve">7231933651  </v>
      </c>
      <c r="O5859">
        <v>230908</v>
      </c>
    </row>
    <row r="5860" spans="1:15" x14ac:dyDescent="0.25">
      <c r="A5860" t="s">
        <v>16</v>
      </c>
      <c r="B5860" t="s">
        <v>3221</v>
      </c>
      <c r="C5860">
        <v>11731</v>
      </c>
      <c r="D5860" t="s">
        <v>1071</v>
      </c>
      <c r="E5860" t="s">
        <v>1072</v>
      </c>
      <c r="F5860">
        <v>417.61</v>
      </c>
      <c r="G5860">
        <v>230906</v>
      </c>
      <c r="H5860">
        <v>4572</v>
      </c>
      <c r="I5860" t="s">
        <v>122</v>
      </c>
      <c r="J5860">
        <v>517.84</v>
      </c>
      <c r="K5860">
        <v>100.23</v>
      </c>
      <c r="L5860">
        <v>17912</v>
      </c>
      <c r="M5860" t="s">
        <v>419</v>
      </c>
      <c r="N5860" t="str">
        <f>"7231933651  "</f>
        <v xml:space="preserve">7231933651  </v>
      </c>
      <c r="O5860">
        <v>230908</v>
      </c>
    </row>
    <row r="5861" spans="1:15" x14ac:dyDescent="0.25">
      <c r="A5861" t="s">
        <v>16</v>
      </c>
      <c r="B5861" t="s">
        <v>3221</v>
      </c>
      <c r="C5861">
        <v>11731</v>
      </c>
      <c r="D5861" t="s">
        <v>1071</v>
      </c>
      <c r="E5861" t="s">
        <v>1072</v>
      </c>
      <c r="F5861">
        <v>835.23</v>
      </c>
      <c r="G5861">
        <v>230906</v>
      </c>
      <c r="H5861">
        <v>4572</v>
      </c>
      <c r="I5861" t="s">
        <v>122</v>
      </c>
      <c r="J5861">
        <v>1035.68</v>
      </c>
      <c r="K5861">
        <v>200.45</v>
      </c>
      <c r="L5861">
        <v>17952</v>
      </c>
      <c r="M5861" t="s">
        <v>88</v>
      </c>
      <c r="N5861" t="str">
        <f>"7231933651  "</f>
        <v xml:space="preserve">7231933651  </v>
      </c>
      <c r="O5861">
        <v>230908</v>
      </c>
    </row>
    <row r="5862" spans="1:15" x14ac:dyDescent="0.25">
      <c r="A5862" t="s">
        <v>16</v>
      </c>
      <c r="B5862" t="s">
        <v>3221</v>
      </c>
      <c r="C5862">
        <v>11732</v>
      </c>
      <c r="D5862" t="s">
        <v>1071</v>
      </c>
      <c r="E5862" t="s">
        <v>1072</v>
      </c>
      <c r="F5862">
        <v>64.5</v>
      </c>
      <c r="G5862">
        <v>230906</v>
      </c>
      <c r="H5862">
        <v>4572</v>
      </c>
      <c r="I5862" t="s">
        <v>122</v>
      </c>
      <c r="J5862">
        <v>79.98</v>
      </c>
      <c r="K5862">
        <v>15.48</v>
      </c>
      <c r="L5862">
        <v>17711</v>
      </c>
      <c r="M5862" t="s">
        <v>65</v>
      </c>
      <c r="N5862" t="str">
        <f>"7231933761  "</f>
        <v xml:space="preserve">7231933761  </v>
      </c>
      <c r="O5862">
        <v>230908</v>
      </c>
    </row>
    <row r="5863" spans="1:15" x14ac:dyDescent="0.25">
      <c r="A5863" t="s">
        <v>16</v>
      </c>
      <c r="B5863" t="s">
        <v>3221</v>
      </c>
      <c r="C5863">
        <v>11732</v>
      </c>
      <c r="D5863" t="s">
        <v>1071</v>
      </c>
      <c r="E5863" t="s">
        <v>1072</v>
      </c>
      <c r="F5863">
        <v>4.8499999999999996</v>
      </c>
      <c r="G5863">
        <v>230906</v>
      </c>
      <c r="H5863">
        <v>4572</v>
      </c>
      <c r="I5863" t="s">
        <v>122</v>
      </c>
      <c r="J5863">
        <v>6.01</v>
      </c>
      <c r="K5863">
        <v>1.1599999999999999</v>
      </c>
      <c r="L5863">
        <v>17737</v>
      </c>
      <c r="M5863" t="s">
        <v>279</v>
      </c>
      <c r="N5863" t="str">
        <f>"7231933761  "</f>
        <v xml:space="preserve">7231933761  </v>
      </c>
      <c r="O5863">
        <v>230908</v>
      </c>
    </row>
    <row r="5864" spans="1:15" x14ac:dyDescent="0.25">
      <c r="A5864" t="s">
        <v>16</v>
      </c>
      <c r="B5864" t="s">
        <v>3221</v>
      </c>
      <c r="C5864">
        <v>11732</v>
      </c>
      <c r="D5864" t="s">
        <v>1071</v>
      </c>
      <c r="E5864" t="s">
        <v>1072</v>
      </c>
      <c r="F5864">
        <v>27.65</v>
      </c>
      <c r="G5864">
        <v>230906</v>
      </c>
      <c r="H5864">
        <v>4572</v>
      </c>
      <c r="I5864" t="s">
        <v>122</v>
      </c>
      <c r="J5864">
        <v>34.28</v>
      </c>
      <c r="K5864">
        <v>6.63</v>
      </c>
      <c r="L5864">
        <v>17739</v>
      </c>
      <c r="M5864" t="s">
        <v>374</v>
      </c>
      <c r="N5864" t="str">
        <f>"7231933761  "</f>
        <v xml:space="preserve">7231933761  </v>
      </c>
      <c r="O5864">
        <v>230908</v>
      </c>
    </row>
    <row r="5865" spans="1:15" x14ac:dyDescent="0.25">
      <c r="A5865" t="s">
        <v>16</v>
      </c>
      <c r="B5865" t="s">
        <v>3221</v>
      </c>
      <c r="C5865">
        <v>11741</v>
      </c>
      <c r="D5865" t="s">
        <v>1071</v>
      </c>
      <c r="E5865" t="s">
        <v>1072</v>
      </c>
      <c r="F5865">
        <v>8.1300000000000008</v>
      </c>
      <c r="G5865">
        <v>230906</v>
      </c>
      <c r="H5865">
        <v>4572</v>
      </c>
      <c r="I5865" t="s">
        <v>122</v>
      </c>
      <c r="J5865">
        <v>10.08</v>
      </c>
      <c r="K5865">
        <v>1.95</v>
      </c>
      <c r="L5865">
        <v>14952</v>
      </c>
      <c r="M5865" t="s">
        <v>99</v>
      </c>
      <c r="N5865" t="str">
        <f>"7231940767  "</f>
        <v xml:space="preserve">7231940767  </v>
      </c>
      <c r="O5865">
        <v>230908</v>
      </c>
    </row>
    <row r="5866" spans="1:15" x14ac:dyDescent="0.25">
      <c r="A5866" t="s">
        <v>16</v>
      </c>
      <c r="B5866" t="s">
        <v>3221</v>
      </c>
      <c r="C5866">
        <v>11741</v>
      </c>
      <c r="D5866" t="s">
        <v>1071</v>
      </c>
      <c r="E5866" t="s">
        <v>1072</v>
      </c>
      <c r="F5866">
        <v>18.96</v>
      </c>
      <c r="G5866">
        <v>230906</v>
      </c>
      <c r="H5866">
        <v>4572</v>
      </c>
      <c r="I5866" t="s">
        <v>122</v>
      </c>
      <c r="J5866">
        <v>23.51</v>
      </c>
      <c r="K5866">
        <v>4.55</v>
      </c>
      <c r="L5866">
        <v>14981</v>
      </c>
      <c r="M5866" t="s">
        <v>1211</v>
      </c>
      <c r="N5866" t="str">
        <f>"7231940767  "</f>
        <v xml:space="preserve">7231940767  </v>
      </c>
      <c r="O5866">
        <v>230908</v>
      </c>
    </row>
    <row r="5867" spans="1:15" x14ac:dyDescent="0.25">
      <c r="A5867" t="s">
        <v>16</v>
      </c>
      <c r="B5867" t="s">
        <v>3221</v>
      </c>
      <c r="C5867">
        <v>11742</v>
      </c>
      <c r="D5867" t="s">
        <v>1071</v>
      </c>
      <c r="E5867" t="s">
        <v>1072</v>
      </c>
      <c r="F5867">
        <v>2253.7199999999998</v>
      </c>
      <c r="G5867">
        <v>230906</v>
      </c>
      <c r="H5867">
        <v>4572</v>
      </c>
      <c r="I5867" t="s">
        <v>122</v>
      </c>
      <c r="J5867">
        <v>2794.61</v>
      </c>
      <c r="K5867">
        <v>540.89</v>
      </c>
      <c r="L5867">
        <v>14951</v>
      </c>
      <c r="M5867" t="s">
        <v>57</v>
      </c>
      <c r="N5867" t="str">
        <f>"7231933648  "</f>
        <v xml:space="preserve">7231933648  </v>
      </c>
      <c r="O5867">
        <v>230908</v>
      </c>
    </row>
    <row r="5868" spans="1:15" x14ac:dyDescent="0.25">
      <c r="A5868" t="s">
        <v>16</v>
      </c>
      <c r="B5868" t="s">
        <v>3221</v>
      </c>
      <c r="C5868">
        <v>11743</v>
      </c>
      <c r="D5868" t="s">
        <v>1071</v>
      </c>
      <c r="E5868" t="s">
        <v>1072</v>
      </c>
      <c r="F5868">
        <v>109.73</v>
      </c>
      <c r="G5868">
        <v>230906</v>
      </c>
      <c r="H5868">
        <v>4572</v>
      </c>
      <c r="I5868" t="s">
        <v>122</v>
      </c>
      <c r="J5868">
        <v>136.07</v>
      </c>
      <c r="K5868">
        <v>26.34</v>
      </c>
      <c r="L5868">
        <v>14952</v>
      </c>
      <c r="M5868" t="s">
        <v>99</v>
      </c>
      <c r="N5868" t="str">
        <f>"7231940741  "</f>
        <v xml:space="preserve">7231940741  </v>
      </c>
      <c r="O5868">
        <v>230908</v>
      </c>
    </row>
    <row r="5869" spans="1:15" x14ac:dyDescent="0.25">
      <c r="A5869" t="s">
        <v>16</v>
      </c>
      <c r="B5869" t="s">
        <v>3221</v>
      </c>
      <c r="C5869">
        <v>11743</v>
      </c>
      <c r="D5869" t="s">
        <v>1071</v>
      </c>
      <c r="E5869" t="s">
        <v>1072</v>
      </c>
      <c r="F5869">
        <v>256.05</v>
      </c>
      <c r="G5869">
        <v>230906</v>
      </c>
      <c r="H5869">
        <v>4572</v>
      </c>
      <c r="I5869" t="s">
        <v>122</v>
      </c>
      <c r="J5869">
        <v>317.5</v>
      </c>
      <c r="K5869">
        <v>61.45</v>
      </c>
      <c r="L5869">
        <v>14981</v>
      </c>
      <c r="M5869" t="s">
        <v>1211</v>
      </c>
      <c r="N5869" t="str">
        <f>"7231940741  "</f>
        <v xml:space="preserve">7231940741  </v>
      </c>
      <c r="O5869">
        <v>230908</v>
      </c>
    </row>
    <row r="5870" spans="1:15" x14ac:dyDescent="0.25">
      <c r="A5870" t="s">
        <v>16</v>
      </c>
      <c r="B5870" t="s">
        <v>3221</v>
      </c>
      <c r="C5870">
        <v>11871</v>
      </c>
      <c r="D5870" t="s">
        <v>1071</v>
      </c>
      <c r="E5870" t="s">
        <v>1072</v>
      </c>
      <c r="F5870">
        <v>94.91</v>
      </c>
      <c r="G5870">
        <v>230906</v>
      </c>
      <c r="H5870">
        <v>4572</v>
      </c>
      <c r="I5870" t="s">
        <v>122</v>
      </c>
      <c r="J5870">
        <v>117.69</v>
      </c>
      <c r="K5870">
        <v>22.78</v>
      </c>
      <c r="L5870">
        <v>17956</v>
      </c>
      <c r="M5870" t="s">
        <v>53</v>
      </c>
      <c r="N5870" t="str">
        <f>"7231933800  "</f>
        <v xml:space="preserve">7231933800  </v>
      </c>
      <c r="O5870">
        <v>230911</v>
      </c>
    </row>
    <row r="5871" spans="1:15" x14ac:dyDescent="0.25">
      <c r="A5871" t="s">
        <v>16</v>
      </c>
      <c r="B5871" t="s">
        <v>3221</v>
      </c>
      <c r="C5871">
        <v>11872</v>
      </c>
      <c r="D5871" t="s">
        <v>1071</v>
      </c>
      <c r="E5871" t="s">
        <v>1072</v>
      </c>
      <c r="F5871">
        <v>48.78</v>
      </c>
      <c r="G5871">
        <v>230906</v>
      </c>
      <c r="H5871">
        <v>4572</v>
      </c>
      <c r="I5871" t="s">
        <v>122</v>
      </c>
      <c r="J5871">
        <v>60.49</v>
      </c>
      <c r="K5871">
        <v>11.71</v>
      </c>
      <c r="L5871">
        <v>17956</v>
      </c>
      <c r="M5871" t="s">
        <v>53</v>
      </c>
      <c r="N5871" t="str">
        <f>"7231933677  "</f>
        <v xml:space="preserve">7231933677  </v>
      </c>
      <c r="O5871">
        <v>230911</v>
      </c>
    </row>
    <row r="5872" spans="1:15" x14ac:dyDescent="0.25">
      <c r="A5872" t="s">
        <v>16</v>
      </c>
      <c r="B5872" t="s">
        <v>3221</v>
      </c>
      <c r="C5872">
        <v>11873</v>
      </c>
      <c r="D5872" t="s">
        <v>1071</v>
      </c>
      <c r="E5872" t="s">
        <v>1072</v>
      </c>
      <c r="F5872">
        <v>3281.96</v>
      </c>
      <c r="G5872">
        <v>230906</v>
      </c>
      <c r="H5872">
        <v>4572</v>
      </c>
      <c r="I5872" t="s">
        <v>122</v>
      </c>
      <c r="J5872">
        <v>4069.63</v>
      </c>
      <c r="K5872">
        <v>787.67</v>
      </c>
      <c r="L5872">
        <v>49501</v>
      </c>
      <c r="M5872" t="s">
        <v>177</v>
      </c>
      <c r="N5872" t="str">
        <f>"7231933774  "</f>
        <v xml:space="preserve">7231933774  </v>
      </c>
      <c r="O5872">
        <v>230911</v>
      </c>
    </row>
    <row r="5873" spans="1:15" x14ac:dyDescent="0.25">
      <c r="A5873" t="s">
        <v>16</v>
      </c>
      <c r="B5873" t="s">
        <v>3221</v>
      </c>
      <c r="C5873">
        <v>11873</v>
      </c>
      <c r="D5873" t="s">
        <v>1071</v>
      </c>
      <c r="E5873" t="s">
        <v>1072</v>
      </c>
      <c r="F5873">
        <v>178.07</v>
      </c>
      <c r="G5873">
        <v>230906</v>
      </c>
      <c r="H5873">
        <v>4572</v>
      </c>
      <c r="I5873" t="s">
        <v>122</v>
      </c>
      <c r="J5873">
        <v>220.81</v>
      </c>
      <c r="K5873">
        <v>42.74</v>
      </c>
      <c r="L5873">
        <v>49801</v>
      </c>
      <c r="M5873" t="s">
        <v>1227</v>
      </c>
      <c r="N5873" t="str">
        <f>"7231933774  "</f>
        <v xml:space="preserve">7231933774  </v>
      </c>
      <c r="O5873">
        <v>230911</v>
      </c>
    </row>
    <row r="5874" spans="1:15" x14ac:dyDescent="0.25">
      <c r="A5874" t="s">
        <v>16</v>
      </c>
      <c r="B5874" t="s">
        <v>3221</v>
      </c>
      <c r="C5874">
        <v>11873</v>
      </c>
      <c r="D5874" t="s">
        <v>1071</v>
      </c>
      <c r="E5874" t="s">
        <v>1072</v>
      </c>
      <c r="F5874">
        <v>101.5</v>
      </c>
      <c r="G5874">
        <v>230906</v>
      </c>
      <c r="H5874">
        <v>4572</v>
      </c>
      <c r="I5874" t="s">
        <v>122</v>
      </c>
      <c r="J5874">
        <v>125.86</v>
      </c>
      <c r="K5874">
        <v>24.36</v>
      </c>
      <c r="L5874">
        <v>49803</v>
      </c>
      <c r="M5874" t="s">
        <v>1229</v>
      </c>
      <c r="N5874" t="str">
        <f>"7231933774  "</f>
        <v xml:space="preserve">7231933774  </v>
      </c>
      <c r="O5874">
        <v>230911</v>
      </c>
    </row>
    <row r="5875" spans="1:15" x14ac:dyDescent="0.25">
      <c r="A5875" t="s">
        <v>16</v>
      </c>
      <c r="B5875" t="s">
        <v>3221</v>
      </c>
      <c r="C5875">
        <v>11875</v>
      </c>
      <c r="D5875" t="s">
        <v>1071</v>
      </c>
      <c r="E5875" t="s">
        <v>1072</v>
      </c>
      <c r="F5875">
        <v>138.02000000000001</v>
      </c>
      <c r="G5875">
        <v>230906</v>
      </c>
      <c r="H5875">
        <v>4572</v>
      </c>
      <c r="I5875" t="s">
        <v>122</v>
      </c>
      <c r="J5875">
        <v>171.14</v>
      </c>
      <c r="K5875">
        <v>33.119999999999997</v>
      </c>
      <c r="L5875">
        <v>17956</v>
      </c>
      <c r="M5875" t="s">
        <v>53</v>
      </c>
      <c r="N5875" t="str">
        <f>"7231933583  "</f>
        <v xml:space="preserve">7231933583  </v>
      </c>
      <c r="O5875">
        <v>230911</v>
      </c>
    </row>
    <row r="5876" spans="1:15" x14ac:dyDescent="0.25">
      <c r="A5876" t="s">
        <v>16</v>
      </c>
      <c r="B5876" t="s">
        <v>3221</v>
      </c>
      <c r="C5876">
        <v>11876</v>
      </c>
      <c r="D5876" t="s">
        <v>1071</v>
      </c>
      <c r="E5876" t="s">
        <v>1072</v>
      </c>
      <c r="F5876">
        <v>493.75</v>
      </c>
      <c r="G5876">
        <v>230906</v>
      </c>
      <c r="H5876">
        <v>4572</v>
      </c>
      <c r="I5876" t="s">
        <v>122</v>
      </c>
      <c r="J5876">
        <v>612.25</v>
      </c>
      <c r="K5876">
        <v>118.5</v>
      </c>
      <c r="L5876">
        <v>49503</v>
      </c>
      <c r="M5876" t="s">
        <v>178</v>
      </c>
      <c r="N5876" t="str">
        <f>"7231933703  "</f>
        <v xml:space="preserve">7231933703  </v>
      </c>
      <c r="O5876">
        <v>230911</v>
      </c>
    </row>
    <row r="5877" spans="1:15" x14ac:dyDescent="0.25">
      <c r="A5877" t="s">
        <v>16</v>
      </c>
      <c r="B5877" t="s">
        <v>3221</v>
      </c>
      <c r="C5877">
        <v>11881</v>
      </c>
      <c r="D5877" t="s">
        <v>1071</v>
      </c>
      <c r="E5877" t="s">
        <v>1072</v>
      </c>
      <c r="F5877">
        <v>1163.69</v>
      </c>
      <c r="G5877">
        <v>230906</v>
      </c>
      <c r="H5877">
        <v>4572</v>
      </c>
      <c r="I5877" t="s">
        <v>122</v>
      </c>
      <c r="J5877">
        <v>1442.98</v>
      </c>
      <c r="K5877">
        <v>279.29000000000002</v>
      </c>
      <c r="L5877">
        <v>17956</v>
      </c>
      <c r="M5877" t="s">
        <v>53</v>
      </c>
      <c r="N5877" t="str">
        <f>"7231933729  "</f>
        <v xml:space="preserve">7231933729  </v>
      </c>
      <c r="O5877">
        <v>230911</v>
      </c>
    </row>
    <row r="5878" spans="1:15" x14ac:dyDescent="0.25">
      <c r="A5878" t="s">
        <v>16</v>
      </c>
      <c r="B5878" t="s">
        <v>3221</v>
      </c>
      <c r="C5878">
        <v>11882</v>
      </c>
      <c r="D5878" t="s">
        <v>1071</v>
      </c>
      <c r="E5878" t="s">
        <v>1072</v>
      </c>
      <c r="F5878">
        <v>23.86</v>
      </c>
      <c r="G5878">
        <v>230906</v>
      </c>
      <c r="H5878">
        <v>4572</v>
      </c>
      <c r="I5878" t="s">
        <v>122</v>
      </c>
      <c r="J5878">
        <v>29.59</v>
      </c>
      <c r="K5878">
        <v>5.73</v>
      </c>
      <c r="L5878">
        <v>17956</v>
      </c>
      <c r="M5878" t="s">
        <v>53</v>
      </c>
      <c r="N5878" t="str">
        <f>"7231933664  "</f>
        <v xml:space="preserve">7231933664  </v>
      </c>
      <c r="O5878">
        <v>230911</v>
      </c>
    </row>
    <row r="5879" spans="1:15" x14ac:dyDescent="0.25">
      <c r="A5879" t="s">
        <v>16</v>
      </c>
      <c r="B5879" t="s">
        <v>3221</v>
      </c>
      <c r="C5879">
        <v>11883</v>
      </c>
      <c r="D5879" t="s">
        <v>1071</v>
      </c>
      <c r="E5879" t="s">
        <v>1072</v>
      </c>
      <c r="F5879">
        <v>422.15</v>
      </c>
      <c r="G5879">
        <v>230906</v>
      </c>
      <c r="H5879">
        <v>4572</v>
      </c>
      <c r="I5879" t="s">
        <v>122</v>
      </c>
      <c r="J5879">
        <v>523.46</v>
      </c>
      <c r="K5879">
        <v>101.31</v>
      </c>
      <c r="L5879">
        <v>13540</v>
      </c>
      <c r="M5879" t="s">
        <v>85</v>
      </c>
      <c r="N5879" t="str">
        <f>"7231933606  "</f>
        <v xml:space="preserve">7231933606  </v>
      </c>
      <c r="O5879">
        <v>230911</v>
      </c>
    </row>
    <row r="5880" spans="1:15" x14ac:dyDescent="0.25">
      <c r="A5880" t="s">
        <v>16</v>
      </c>
      <c r="B5880" t="s">
        <v>3221</v>
      </c>
      <c r="C5880">
        <v>11883</v>
      </c>
      <c r="D5880" t="s">
        <v>1071</v>
      </c>
      <c r="E5880" t="s">
        <v>1072</v>
      </c>
      <c r="F5880">
        <v>3415.56</v>
      </c>
      <c r="G5880">
        <v>230906</v>
      </c>
      <c r="H5880">
        <v>4572</v>
      </c>
      <c r="I5880" t="s">
        <v>122</v>
      </c>
      <c r="J5880">
        <v>4235.3</v>
      </c>
      <c r="K5880">
        <v>819.74</v>
      </c>
      <c r="L5880">
        <v>17950</v>
      </c>
      <c r="M5880" t="s">
        <v>86</v>
      </c>
      <c r="N5880" t="str">
        <f>"7231933606  "</f>
        <v xml:space="preserve">7231933606  </v>
      </c>
      <c r="O5880">
        <v>230911</v>
      </c>
    </row>
    <row r="5881" spans="1:15" x14ac:dyDescent="0.25">
      <c r="A5881" t="s">
        <v>16</v>
      </c>
      <c r="B5881" t="s">
        <v>3221</v>
      </c>
      <c r="C5881">
        <v>11885</v>
      </c>
      <c r="D5881" t="s">
        <v>1071</v>
      </c>
      <c r="E5881" t="s">
        <v>1072</v>
      </c>
      <c r="F5881">
        <v>9.6</v>
      </c>
      <c r="G5881">
        <v>230906</v>
      </c>
      <c r="H5881">
        <v>4572</v>
      </c>
      <c r="I5881" t="s">
        <v>122</v>
      </c>
      <c r="J5881">
        <v>11.9</v>
      </c>
      <c r="K5881">
        <v>2.2999999999999998</v>
      </c>
      <c r="L5881">
        <v>11401</v>
      </c>
      <c r="M5881" t="s">
        <v>84</v>
      </c>
      <c r="N5881" t="str">
        <f>"7231933868  "</f>
        <v xml:space="preserve">7231933868  </v>
      </c>
      <c r="O5881">
        <v>230911</v>
      </c>
    </row>
    <row r="5882" spans="1:15" x14ac:dyDescent="0.25">
      <c r="A5882" t="s">
        <v>16</v>
      </c>
      <c r="B5882" t="s">
        <v>3221</v>
      </c>
      <c r="C5882">
        <v>11885</v>
      </c>
      <c r="D5882" t="s">
        <v>1071</v>
      </c>
      <c r="E5882" t="s">
        <v>1072</v>
      </c>
      <c r="F5882">
        <v>19.190000000000001</v>
      </c>
      <c r="G5882">
        <v>230906</v>
      </c>
      <c r="H5882">
        <v>4572</v>
      </c>
      <c r="I5882" t="s">
        <v>122</v>
      </c>
      <c r="J5882">
        <v>23.79</v>
      </c>
      <c r="K5882">
        <v>4.5999999999999996</v>
      </c>
      <c r="L5882">
        <v>14952</v>
      </c>
      <c r="M5882" t="s">
        <v>99</v>
      </c>
      <c r="N5882" t="str">
        <f>"7231933868  "</f>
        <v xml:space="preserve">7231933868  </v>
      </c>
      <c r="O5882">
        <v>230911</v>
      </c>
    </row>
    <row r="5883" spans="1:15" x14ac:dyDescent="0.25">
      <c r="A5883" t="s">
        <v>16</v>
      </c>
      <c r="B5883" t="s">
        <v>3221</v>
      </c>
      <c r="C5883">
        <v>11886</v>
      </c>
      <c r="D5883" t="s">
        <v>1071</v>
      </c>
      <c r="E5883" t="s">
        <v>1072</v>
      </c>
      <c r="F5883">
        <v>130.80000000000001</v>
      </c>
      <c r="G5883">
        <v>230906</v>
      </c>
      <c r="H5883">
        <v>4572</v>
      </c>
      <c r="I5883" t="s">
        <v>122</v>
      </c>
      <c r="J5883">
        <v>162.19</v>
      </c>
      <c r="K5883">
        <v>31.39</v>
      </c>
      <c r="L5883">
        <v>17956</v>
      </c>
      <c r="M5883" t="s">
        <v>53</v>
      </c>
      <c r="N5883" t="str">
        <f>"7231933596  "</f>
        <v xml:space="preserve">7231933596  </v>
      </c>
      <c r="O5883">
        <v>230911</v>
      </c>
    </row>
    <row r="5884" spans="1:15" x14ac:dyDescent="0.25">
      <c r="A5884" t="s">
        <v>16</v>
      </c>
      <c r="B5884" t="s">
        <v>3221</v>
      </c>
      <c r="C5884">
        <v>11889</v>
      </c>
      <c r="D5884" t="s">
        <v>1071</v>
      </c>
      <c r="E5884" t="s">
        <v>1072</v>
      </c>
      <c r="F5884">
        <v>23.29</v>
      </c>
      <c r="G5884">
        <v>230906</v>
      </c>
      <c r="H5884">
        <v>4572</v>
      </c>
      <c r="I5884" t="s">
        <v>122</v>
      </c>
      <c r="J5884">
        <v>28.88</v>
      </c>
      <c r="K5884">
        <v>5.59</v>
      </c>
      <c r="L5884">
        <v>17981</v>
      </c>
      <c r="M5884" t="s">
        <v>218</v>
      </c>
      <c r="N5884" t="str">
        <f>"7231933567  "</f>
        <v xml:space="preserve">7231933567  </v>
      </c>
      <c r="O5884">
        <v>230911</v>
      </c>
    </row>
    <row r="5885" spans="1:15" x14ac:dyDescent="0.25">
      <c r="A5885" t="s">
        <v>16</v>
      </c>
      <c r="B5885" t="s">
        <v>3221</v>
      </c>
      <c r="C5885">
        <v>11890</v>
      </c>
      <c r="D5885" t="s">
        <v>1071</v>
      </c>
      <c r="E5885" t="s">
        <v>1072</v>
      </c>
      <c r="F5885">
        <v>1613.22</v>
      </c>
      <c r="G5885">
        <v>230906</v>
      </c>
      <c r="H5885">
        <v>4572</v>
      </c>
      <c r="I5885" t="s">
        <v>122</v>
      </c>
      <c r="J5885">
        <v>2000.39</v>
      </c>
      <c r="K5885">
        <v>387.17</v>
      </c>
      <c r="L5885">
        <v>49501</v>
      </c>
      <c r="M5885" t="s">
        <v>177</v>
      </c>
      <c r="N5885" t="str">
        <f>"7231933635  "</f>
        <v xml:space="preserve">7231933635  </v>
      </c>
      <c r="O5885">
        <v>230911</v>
      </c>
    </row>
    <row r="5886" spans="1:15" x14ac:dyDescent="0.25">
      <c r="A5886" t="s">
        <v>16</v>
      </c>
      <c r="B5886" t="s">
        <v>3221</v>
      </c>
      <c r="C5886">
        <v>11890</v>
      </c>
      <c r="D5886" t="s">
        <v>1071</v>
      </c>
      <c r="E5886" t="s">
        <v>1072</v>
      </c>
      <c r="F5886">
        <v>84.9</v>
      </c>
      <c r="G5886">
        <v>230906</v>
      </c>
      <c r="H5886">
        <v>4572</v>
      </c>
      <c r="I5886" t="s">
        <v>122</v>
      </c>
      <c r="J5886">
        <v>105.28</v>
      </c>
      <c r="K5886">
        <v>20.38</v>
      </c>
      <c r="L5886">
        <v>49801</v>
      </c>
      <c r="M5886" t="s">
        <v>1227</v>
      </c>
      <c r="N5886" t="str">
        <f>"7231933635  "</f>
        <v xml:space="preserve">7231933635  </v>
      </c>
      <c r="O5886">
        <v>230911</v>
      </c>
    </row>
    <row r="5887" spans="1:15" x14ac:dyDescent="0.25">
      <c r="A5887" t="s">
        <v>16</v>
      </c>
      <c r="B5887" t="s">
        <v>3221</v>
      </c>
      <c r="C5887">
        <v>11974</v>
      </c>
      <c r="D5887" t="s">
        <v>1071</v>
      </c>
      <c r="E5887" t="s">
        <v>1072</v>
      </c>
      <c r="F5887">
        <v>8.2200000000000006</v>
      </c>
      <c r="G5887">
        <v>230906</v>
      </c>
      <c r="H5887">
        <v>4572</v>
      </c>
      <c r="I5887" t="s">
        <v>122</v>
      </c>
      <c r="J5887">
        <v>10.19</v>
      </c>
      <c r="K5887">
        <v>1.97</v>
      </c>
      <c r="L5887">
        <v>56571</v>
      </c>
      <c r="M5887" t="s">
        <v>204</v>
      </c>
      <c r="N5887" t="str">
        <f>"7231933787  "</f>
        <v xml:space="preserve">7231933787  </v>
      </c>
      <c r="O5887">
        <v>230912</v>
      </c>
    </row>
    <row r="5888" spans="1:15" x14ac:dyDescent="0.25">
      <c r="A5888" t="s">
        <v>16</v>
      </c>
      <c r="B5888" t="s">
        <v>3221</v>
      </c>
      <c r="C5888">
        <v>12054</v>
      </c>
      <c r="D5888" t="s">
        <v>1071</v>
      </c>
      <c r="E5888" t="s">
        <v>1072</v>
      </c>
      <c r="F5888">
        <v>1746.55</v>
      </c>
      <c r="G5888">
        <v>230906</v>
      </c>
      <c r="H5888">
        <v>4572</v>
      </c>
      <c r="I5888" t="s">
        <v>122</v>
      </c>
      <c r="J5888">
        <v>2165.7199999999998</v>
      </c>
      <c r="K5888">
        <v>419.17</v>
      </c>
      <c r="L5888">
        <v>69111</v>
      </c>
      <c r="M5888" t="s">
        <v>471</v>
      </c>
      <c r="N5888" t="str">
        <f>"7231933619  "</f>
        <v xml:space="preserve">7231933619  </v>
      </c>
      <c r="O5888">
        <v>230913</v>
      </c>
    </row>
    <row r="5889" spans="1:15" x14ac:dyDescent="0.25">
      <c r="A5889" t="s">
        <v>16</v>
      </c>
      <c r="B5889" t="s">
        <v>3221</v>
      </c>
      <c r="C5889">
        <v>12054</v>
      </c>
      <c r="D5889" t="s">
        <v>1071</v>
      </c>
      <c r="E5889" t="s">
        <v>1072</v>
      </c>
      <c r="F5889">
        <v>2619.81</v>
      </c>
      <c r="G5889">
        <v>230906</v>
      </c>
      <c r="H5889">
        <v>4572</v>
      </c>
      <c r="I5889" t="s">
        <v>122</v>
      </c>
      <c r="J5889">
        <v>3248.57</v>
      </c>
      <c r="K5889">
        <v>628.76</v>
      </c>
      <c r="L5889">
        <v>69501</v>
      </c>
      <c r="M5889" t="s">
        <v>185</v>
      </c>
      <c r="N5889" t="str">
        <f>"7231933619  "</f>
        <v xml:space="preserve">7231933619  </v>
      </c>
      <c r="O5889">
        <v>230913</v>
      </c>
    </row>
    <row r="5890" spans="1:15" x14ac:dyDescent="0.25">
      <c r="A5890" t="s">
        <v>16</v>
      </c>
      <c r="B5890" t="s">
        <v>3221</v>
      </c>
      <c r="C5890">
        <v>12115</v>
      </c>
      <c r="D5890" t="s">
        <v>1071</v>
      </c>
      <c r="E5890" t="s">
        <v>1072</v>
      </c>
      <c r="F5890">
        <v>46.64</v>
      </c>
      <c r="G5890">
        <v>230906</v>
      </c>
      <c r="H5890">
        <v>4572</v>
      </c>
      <c r="I5890" t="s">
        <v>122</v>
      </c>
      <c r="J5890">
        <v>46.64</v>
      </c>
      <c r="K5890">
        <v>0</v>
      </c>
      <c r="L5890">
        <v>11001</v>
      </c>
      <c r="M5890" t="s">
        <v>326</v>
      </c>
      <c r="N5890" t="str">
        <f>"7231939736  "</f>
        <v xml:space="preserve">7231939736  </v>
      </c>
      <c r="O5890">
        <v>230914</v>
      </c>
    </row>
    <row r="5891" spans="1:15" x14ac:dyDescent="0.25">
      <c r="A5891" t="s">
        <v>16</v>
      </c>
      <c r="B5891" t="s">
        <v>3221</v>
      </c>
      <c r="C5891">
        <v>12130</v>
      </c>
      <c r="D5891" t="s">
        <v>1071</v>
      </c>
      <c r="E5891" t="s">
        <v>1072</v>
      </c>
      <c r="F5891">
        <v>3.13</v>
      </c>
      <c r="G5891">
        <v>230906</v>
      </c>
      <c r="H5891">
        <v>4572</v>
      </c>
      <c r="I5891" t="s">
        <v>122</v>
      </c>
      <c r="J5891">
        <v>3.88</v>
      </c>
      <c r="K5891">
        <v>0.75</v>
      </c>
      <c r="L5891">
        <v>56571</v>
      </c>
      <c r="M5891" t="s">
        <v>204</v>
      </c>
      <c r="N5891" t="str">
        <f>"7231933790  "</f>
        <v xml:space="preserve">7231933790  </v>
      </c>
      <c r="O5891">
        <v>230914</v>
      </c>
    </row>
    <row r="5892" spans="1:15" x14ac:dyDescent="0.25">
      <c r="A5892" t="s">
        <v>16</v>
      </c>
      <c r="B5892" t="s">
        <v>3221</v>
      </c>
      <c r="C5892">
        <v>13441</v>
      </c>
      <c r="D5892" t="s">
        <v>1071</v>
      </c>
      <c r="E5892" t="s">
        <v>1072</v>
      </c>
      <c r="F5892">
        <v>129.18</v>
      </c>
      <c r="G5892">
        <v>231009</v>
      </c>
      <c r="H5892">
        <v>4572</v>
      </c>
      <c r="I5892" t="s">
        <v>122</v>
      </c>
      <c r="J5892">
        <v>160.18</v>
      </c>
      <c r="K5892">
        <v>31</v>
      </c>
      <c r="L5892">
        <v>17739</v>
      </c>
      <c r="M5892" t="s">
        <v>374</v>
      </c>
      <c r="N5892" t="str">
        <f>"7232087797  "</f>
        <v xml:space="preserve">7232087797  </v>
      </c>
      <c r="O5892">
        <v>231010</v>
      </c>
    </row>
    <row r="5893" spans="1:15" x14ac:dyDescent="0.25">
      <c r="A5893" t="s">
        <v>16</v>
      </c>
      <c r="B5893" t="s">
        <v>3221</v>
      </c>
      <c r="C5893">
        <v>13441</v>
      </c>
      <c r="D5893" t="s">
        <v>1071</v>
      </c>
      <c r="E5893" t="s">
        <v>1072</v>
      </c>
      <c r="F5893">
        <v>387.54</v>
      </c>
      <c r="G5893">
        <v>231009</v>
      </c>
      <c r="H5893">
        <v>4572</v>
      </c>
      <c r="I5893" t="s">
        <v>122</v>
      </c>
      <c r="J5893">
        <v>480.55</v>
      </c>
      <c r="K5893">
        <v>93.01</v>
      </c>
      <c r="L5893">
        <v>17912</v>
      </c>
      <c r="M5893" t="s">
        <v>419</v>
      </c>
      <c r="N5893" t="str">
        <f>"7232087797  "</f>
        <v xml:space="preserve">7232087797  </v>
      </c>
      <c r="O5893">
        <v>231010</v>
      </c>
    </row>
    <row r="5894" spans="1:15" x14ac:dyDescent="0.25">
      <c r="A5894" t="s">
        <v>16</v>
      </c>
      <c r="B5894" t="s">
        <v>3221</v>
      </c>
      <c r="C5894">
        <v>13441</v>
      </c>
      <c r="D5894" t="s">
        <v>1071</v>
      </c>
      <c r="E5894" t="s">
        <v>1072</v>
      </c>
      <c r="F5894">
        <v>775.07</v>
      </c>
      <c r="G5894">
        <v>231009</v>
      </c>
      <c r="H5894">
        <v>4572</v>
      </c>
      <c r="I5894" t="s">
        <v>122</v>
      </c>
      <c r="J5894">
        <v>961.09</v>
      </c>
      <c r="K5894">
        <v>186.02</v>
      </c>
      <c r="L5894">
        <v>17952</v>
      </c>
      <c r="M5894" t="s">
        <v>88</v>
      </c>
      <c r="N5894" t="str">
        <f>"7232087797  "</f>
        <v xml:space="preserve">7232087797  </v>
      </c>
      <c r="O5894">
        <v>231010</v>
      </c>
    </row>
    <row r="5895" spans="1:15" x14ac:dyDescent="0.25">
      <c r="A5895" t="s">
        <v>16</v>
      </c>
      <c r="B5895" t="s">
        <v>3221</v>
      </c>
      <c r="C5895">
        <v>13444</v>
      </c>
      <c r="D5895" t="s">
        <v>1071</v>
      </c>
      <c r="E5895" t="s">
        <v>1072</v>
      </c>
      <c r="F5895">
        <v>133.83000000000001</v>
      </c>
      <c r="G5895">
        <v>231009</v>
      </c>
      <c r="H5895">
        <v>4572</v>
      </c>
      <c r="I5895" t="s">
        <v>122</v>
      </c>
      <c r="J5895">
        <v>165.95</v>
      </c>
      <c r="K5895">
        <v>32.119999999999997</v>
      </c>
      <c r="L5895">
        <v>17711</v>
      </c>
      <c r="M5895" t="s">
        <v>65</v>
      </c>
      <c r="N5895" t="str">
        <f>"7232087917  "</f>
        <v xml:space="preserve">7232087917  </v>
      </c>
      <c r="O5895">
        <v>231010</v>
      </c>
    </row>
    <row r="5896" spans="1:15" x14ac:dyDescent="0.25">
      <c r="A5896" t="s">
        <v>16</v>
      </c>
      <c r="B5896" t="s">
        <v>3221</v>
      </c>
      <c r="C5896">
        <v>13444</v>
      </c>
      <c r="D5896" t="s">
        <v>1071</v>
      </c>
      <c r="E5896" t="s">
        <v>1072</v>
      </c>
      <c r="F5896">
        <v>10.06</v>
      </c>
      <c r="G5896">
        <v>231009</v>
      </c>
      <c r="H5896">
        <v>4572</v>
      </c>
      <c r="I5896" t="s">
        <v>122</v>
      </c>
      <c r="J5896">
        <v>12.48</v>
      </c>
      <c r="K5896">
        <v>2.42</v>
      </c>
      <c r="L5896">
        <v>17737</v>
      </c>
      <c r="M5896" t="s">
        <v>279</v>
      </c>
      <c r="N5896" t="str">
        <f>"7232087917  "</f>
        <v xml:space="preserve">7232087917  </v>
      </c>
      <c r="O5896">
        <v>231010</v>
      </c>
    </row>
    <row r="5897" spans="1:15" x14ac:dyDescent="0.25">
      <c r="A5897" t="s">
        <v>16</v>
      </c>
      <c r="B5897" t="s">
        <v>3221</v>
      </c>
      <c r="C5897">
        <v>13444</v>
      </c>
      <c r="D5897" t="s">
        <v>1071</v>
      </c>
      <c r="E5897" t="s">
        <v>1072</v>
      </c>
      <c r="F5897">
        <v>57.35</v>
      </c>
      <c r="G5897">
        <v>231009</v>
      </c>
      <c r="H5897">
        <v>4572</v>
      </c>
      <c r="I5897" t="s">
        <v>122</v>
      </c>
      <c r="J5897">
        <v>71.12</v>
      </c>
      <c r="K5897">
        <v>13.77</v>
      </c>
      <c r="L5897">
        <v>17739</v>
      </c>
      <c r="M5897" t="s">
        <v>374</v>
      </c>
      <c r="N5897" t="str">
        <f>"7232087917  "</f>
        <v xml:space="preserve">7232087917  </v>
      </c>
      <c r="O5897">
        <v>231010</v>
      </c>
    </row>
    <row r="5898" spans="1:15" x14ac:dyDescent="0.25">
      <c r="A5898" t="s">
        <v>16</v>
      </c>
      <c r="B5898" t="s">
        <v>3221</v>
      </c>
      <c r="C5898">
        <v>13445</v>
      </c>
      <c r="D5898" t="s">
        <v>1071</v>
      </c>
      <c r="E5898" t="s">
        <v>1072</v>
      </c>
      <c r="F5898">
        <v>3178.21</v>
      </c>
      <c r="G5898">
        <v>231009</v>
      </c>
      <c r="H5898">
        <v>4572</v>
      </c>
      <c r="I5898" t="s">
        <v>122</v>
      </c>
      <c r="J5898">
        <v>3940.98</v>
      </c>
      <c r="K5898">
        <v>762.77</v>
      </c>
      <c r="L5898">
        <v>17951</v>
      </c>
      <c r="M5898" t="s">
        <v>87</v>
      </c>
      <c r="N5898" t="str">
        <f>"7232087713  "</f>
        <v xml:space="preserve">7232087713  </v>
      </c>
      <c r="O5898">
        <v>231010</v>
      </c>
    </row>
    <row r="5899" spans="1:15" x14ac:dyDescent="0.25">
      <c r="A5899" t="s">
        <v>16</v>
      </c>
      <c r="B5899" t="s">
        <v>3221</v>
      </c>
      <c r="C5899">
        <v>13479</v>
      </c>
      <c r="D5899" t="s">
        <v>1071</v>
      </c>
      <c r="E5899" t="s">
        <v>1072</v>
      </c>
      <c r="F5899">
        <v>125.28</v>
      </c>
      <c r="G5899">
        <v>231009</v>
      </c>
      <c r="H5899">
        <v>4572</v>
      </c>
      <c r="I5899" t="s">
        <v>122</v>
      </c>
      <c r="J5899">
        <v>155.35</v>
      </c>
      <c r="K5899">
        <v>30.07</v>
      </c>
      <c r="L5899">
        <v>17956</v>
      </c>
      <c r="M5899" t="s">
        <v>53</v>
      </c>
      <c r="N5899" t="str">
        <f>"7232087726  "</f>
        <v xml:space="preserve">7232087726  </v>
      </c>
      <c r="O5899">
        <v>231010</v>
      </c>
    </row>
    <row r="5900" spans="1:15" x14ac:dyDescent="0.25">
      <c r="A5900" t="s">
        <v>16</v>
      </c>
      <c r="B5900" t="s">
        <v>3221</v>
      </c>
      <c r="C5900">
        <v>13480</v>
      </c>
      <c r="D5900" t="s">
        <v>1071</v>
      </c>
      <c r="E5900" t="s">
        <v>1072</v>
      </c>
      <c r="F5900">
        <v>70.38</v>
      </c>
      <c r="G5900">
        <v>231009</v>
      </c>
      <c r="H5900">
        <v>4572</v>
      </c>
      <c r="I5900" t="s">
        <v>122</v>
      </c>
      <c r="J5900">
        <v>87.27</v>
      </c>
      <c r="K5900">
        <v>16.89</v>
      </c>
      <c r="L5900">
        <v>69501</v>
      </c>
      <c r="M5900" t="s">
        <v>185</v>
      </c>
      <c r="N5900" t="str">
        <f>"7232087768  "</f>
        <v xml:space="preserve">7232087768  </v>
      </c>
      <c r="O5900">
        <v>231010</v>
      </c>
    </row>
    <row r="5901" spans="1:15" x14ac:dyDescent="0.25">
      <c r="A5901" t="s">
        <v>16</v>
      </c>
      <c r="B5901" t="s">
        <v>3221</v>
      </c>
      <c r="C5901">
        <v>13514</v>
      </c>
      <c r="D5901" t="s">
        <v>1071</v>
      </c>
      <c r="E5901" t="s">
        <v>1072</v>
      </c>
      <c r="F5901">
        <v>41.19</v>
      </c>
      <c r="G5901">
        <v>231009</v>
      </c>
      <c r="H5901">
        <v>4572</v>
      </c>
      <c r="I5901" t="s">
        <v>122</v>
      </c>
      <c r="J5901">
        <v>51.08</v>
      </c>
      <c r="K5901">
        <v>9.89</v>
      </c>
      <c r="L5901">
        <v>17956</v>
      </c>
      <c r="M5901" t="s">
        <v>53</v>
      </c>
      <c r="N5901" t="str">
        <f>"7232087810  "</f>
        <v xml:space="preserve">7232087810  </v>
      </c>
      <c r="O5901">
        <v>231010</v>
      </c>
    </row>
    <row r="5902" spans="1:15" x14ac:dyDescent="0.25">
      <c r="A5902" t="s">
        <v>16</v>
      </c>
      <c r="B5902" t="s">
        <v>3221</v>
      </c>
      <c r="C5902">
        <v>13515</v>
      </c>
      <c r="D5902" t="s">
        <v>1071</v>
      </c>
      <c r="E5902" t="s">
        <v>1072</v>
      </c>
      <c r="F5902">
        <v>142.84</v>
      </c>
      <c r="G5902">
        <v>231009</v>
      </c>
      <c r="H5902">
        <v>4572</v>
      </c>
      <c r="I5902" t="s">
        <v>122</v>
      </c>
      <c r="J5902">
        <v>177.12</v>
      </c>
      <c r="K5902">
        <v>34.28</v>
      </c>
      <c r="L5902">
        <v>17950</v>
      </c>
      <c r="M5902" t="s">
        <v>86</v>
      </c>
      <c r="N5902" t="str">
        <f>"7232087933  "</f>
        <v xml:space="preserve">7232087933  </v>
      </c>
      <c r="O5902">
        <v>231010</v>
      </c>
    </row>
    <row r="5903" spans="1:15" x14ac:dyDescent="0.25">
      <c r="A5903" t="s">
        <v>16</v>
      </c>
      <c r="B5903" t="s">
        <v>3221</v>
      </c>
      <c r="C5903">
        <v>13516</v>
      </c>
      <c r="D5903" t="s">
        <v>1071</v>
      </c>
      <c r="E5903" t="s">
        <v>1072</v>
      </c>
      <c r="F5903">
        <v>124.35</v>
      </c>
      <c r="G5903">
        <v>231009</v>
      </c>
      <c r="H5903">
        <v>4572</v>
      </c>
      <c r="I5903" t="s">
        <v>122</v>
      </c>
      <c r="J5903">
        <v>154.19</v>
      </c>
      <c r="K5903">
        <v>29.84</v>
      </c>
      <c r="L5903">
        <v>17956</v>
      </c>
      <c r="M5903" t="s">
        <v>53</v>
      </c>
      <c r="N5903" t="str">
        <f>"7232087739  "</f>
        <v xml:space="preserve">7232087739  </v>
      </c>
      <c r="O5903">
        <v>231010</v>
      </c>
    </row>
    <row r="5904" spans="1:15" x14ac:dyDescent="0.25">
      <c r="A5904" t="s">
        <v>16</v>
      </c>
      <c r="B5904" t="s">
        <v>3221</v>
      </c>
      <c r="C5904">
        <v>13566</v>
      </c>
      <c r="D5904" t="s">
        <v>1071</v>
      </c>
      <c r="E5904" t="s">
        <v>1072</v>
      </c>
      <c r="F5904">
        <v>11.77</v>
      </c>
      <c r="G5904">
        <v>231009</v>
      </c>
      <c r="H5904">
        <v>4572</v>
      </c>
      <c r="I5904" t="s">
        <v>122</v>
      </c>
      <c r="J5904">
        <v>14.59</v>
      </c>
      <c r="K5904">
        <v>2.82</v>
      </c>
      <c r="L5904">
        <v>13841</v>
      </c>
      <c r="M5904" t="s">
        <v>47</v>
      </c>
      <c r="N5904" t="str">
        <f>"7232095129  "</f>
        <v xml:space="preserve">7232095129  </v>
      </c>
      <c r="O5904">
        <v>231011</v>
      </c>
    </row>
    <row r="5905" spans="1:15" x14ac:dyDescent="0.25">
      <c r="A5905" t="s">
        <v>16</v>
      </c>
      <c r="B5905" t="s">
        <v>3221</v>
      </c>
      <c r="C5905">
        <v>13570</v>
      </c>
      <c r="D5905" t="s">
        <v>1071</v>
      </c>
      <c r="E5905" t="s">
        <v>1072</v>
      </c>
      <c r="F5905">
        <v>12.83</v>
      </c>
      <c r="G5905">
        <v>231009</v>
      </c>
      <c r="H5905">
        <v>4572</v>
      </c>
      <c r="I5905" t="s">
        <v>122</v>
      </c>
      <c r="J5905">
        <v>15.91</v>
      </c>
      <c r="K5905">
        <v>3.08</v>
      </c>
      <c r="L5905">
        <v>17981</v>
      </c>
      <c r="M5905" t="s">
        <v>218</v>
      </c>
      <c r="N5905" t="str">
        <f>"7232087700  "</f>
        <v xml:space="preserve">7232087700  </v>
      </c>
      <c r="O5905">
        <v>231011</v>
      </c>
    </row>
    <row r="5906" spans="1:15" x14ac:dyDescent="0.25">
      <c r="A5906" t="s">
        <v>16</v>
      </c>
      <c r="B5906" t="s">
        <v>3221</v>
      </c>
      <c r="C5906">
        <v>13571</v>
      </c>
      <c r="D5906" t="s">
        <v>1071</v>
      </c>
      <c r="E5906" t="s">
        <v>1072</v>
      </c>
      <c r="F5906">
        <v>21.15</v>
      </c>
      <c r="G5906">
        <v>231009</v>
      </c>
      <c r="H5906">
        <v>4572</v>
      </c>
      <c r="I5906" t="s">
        <v>122</v>
      </c>
      <c r="J5906">
        <v>26.23</v>
      </c>
      <c r="K5906">
        <v>5.08</v>
      </c>
      <c r="L5906">
        <v>17956</v>
      </c>
      <c r="M5906" t="s">
        <v>53</v>
      </c>
      <c r="N5906" t="str">
        <f>"7232087807  "</f>
        <v xml:space="preserve">7232087807  </v>
      </c>
      <c r="O5906">
        <v>231011</v>
      </c>
    </row>
    <row r="5907" spans="1:15" x14ac:dyDescent="0.25">
      <c r="A5907" t="s">
        <v>16</v>
      </c>
      <c r="B5907" t="s">
        <v>3221</v>
      </c>
      <c r="C5907">
        <v>13572</v>
      </c>
      <c r="D5907" t="s">
        <v>1071</v>
      </c>
      <c r="E5907" t="s">
        <v>1072</v>
      </c>
      <c r="F5907">
        <v>1108.45</v>
      </c>
      <c r="G5907">
        <v>231009</v>
      </c>
      <c r="H5907">
        <v>4572</v>
      </c>
      <c r="I5907" t="s">
        <v>122</v>
      </c>
      <c r="J5907">
        <v>1374.48</v>
      </c>
      <c r="K5907">
        <v>266.02999999999997</v>
      </c>
      <c r="L5907">
        <v>17956</v>
      </c>
      <c r="M5907" t="s">
        <v>53</v>
      </c>
      <c r="N5907" t="str">
        <f>"7232087865  "</f>
        <v xml:space="preserve">7232087865  </v>
      </c>
      <c r="O5907">
        <v>231011</v>
      </c>
    </row>
    <row r="5908" spans="1:15" x14ac:dyDescent="0.25">
      <c r="A5908" t="s">
        <v>16</v>
      </c>
      <c r="B5908" t="s">
        <v>3221</v>
      </c>
      <c r="C5908">
        <v>13626</v>
      </c>
      <c r="D5908" t="s">
        <v>1071</v>
      </c>
      <c r="E5908" t="s">
        <v>1072</v>
      </c>
      <c r="F5908">
        <v>67.53</v>
      </c>
      <c r="G5908">
        <v>231009</v>
      </c>
      <c r="H5908">
        <v>4572</v>
      </c>
      <c r="I5908" t="s">
        <v>122</v>
      </c>
      <c r="J5908">
        <v>83.74</v>
      </c>
      <c r="K5908">
        <v>16.21</v>
      </c>
      <c r="L5908">
        <v>11401</v>
      </c>
      <c r="M5908" t="s">
        <v>84</v>
      </c>
      <c r="N5908" t="str">
        <f>"7232088000  "</f>
        <v xml:space="preserve">7232088000  </v>
      </c>
      <c r="O5908">
        <v>231012</v>
      </c>
    </row>
    <row r="5909" spans="1:15" x14ac:dyDescent="0.25">
      <c r="A5909" t="s">
        <v>16</v>
      </c>
      <c r="B5909" t="s">
        <v>3221</v>
      </c>
      <c r="C5909">
        <v>13626</v>
      </c>
      <c r="D5909" t="s">
        <v>1071</v>
      </c>
      <c r="E5909" t="s">
        <v>1072</v>
      </c>
      <c r="F5909">
        <v>135.1</v>
      </c>
      <c r="G5909">
        <v>231009</v>
      </c>
      <c r="H5909">
        <v>4572</v>
      </c>
      <c r="I5909" t="s">
        <v>122</v>
      </c>
      <c r="J5909">
        <v>167.52</v>
      </c>
      <c r="K5909">
        <v>32.42</v>
      </c>
      <c r="L5909">
        <v>14952</v>
      </c>
      <c r="M5909" t="s">
        <v>99</v>
      </c>
      <c r="N5909" t="str">
        <f>"7232088000  "</f>
        <v xml:space="preserve">7232088000  </v>
      </c>
      <c r="O5909">
        <v>231012</v>
      </c>
    </row>
    <row r="5910" spans="1:15" x14ac:dyDescent="0.25">
      <c r="A5910" t="s">
        <v>16</v>
      </c>
      <c r="B5910" t="s">
        <v>3221</v>
      </c>
      <c r="C5910">
        <v>13627</v>
      </c>
      <c r="D5910" t="s">
        <v>1071</v>
      </c>
      <c r="E5910" t="s">
        <v>1072</v>
      </c>
      <c r="F5910">
        <v>7.89</v>
      </c>
      <c r="G5910">
        <v>231009</v>
      </c>
      <c r="H5910">
        <v>4572</v>
      </c>
      <c r="I5910" t="s">
        <v>122</v>
      </c>
      <c r="J5910">
        <v>9.7799999999999994</v>
      </c>
      <c r="K5910">
        <v>1.89</v>
      </c>
      <c r="L5910">
        <v>11401</v>
      </c>
      <c r="M5910" t="s">
        <v>84</v>
      </c>
      <c r="N5910" t="str">
        <f>"7232087991  "</f>
        <v xml:space="preserve">7232087991  </v>
      </c>
      <c r="O5910">
        <v>231012</v>
      </c>
    </row>
    <row r="5911" spans="1:15" x14ac:dyDescent="0.25">
      <c r="A5911" t="s">
        <v>16</v>
      </c>
      <c r="B5911" t="s">
        <v>3221</v>
      </c>
      <c r="C5911">
        <v>13627</v>
      </c>
      <c r="D5911" t="s">
        <v>1071</v>
      </c>
      <c r="E5911" t="s">
        <v>1072</v>
      </c>
      <c r="F5911">
        <v>15.78</v>
      </c>
      <c r="G5911">
        <v>231009</v>
      </c>
      <c r="H5911">
        <v>4572</v>
      </c>
      <c r="I5911" t="s">
        <v>122</v>
      </c>
      <c r="J5911">
        <v>19.57</v>
      </c>
      <c r="K5911">
        <v>3.79</v>
      </c>
      <c r="L5911">
        <v>14952</v>
      </c>
      <c r="M5911" t="s">
        <v>99</v>
      </c>
      <c r="N5911" t="str">
        <f>"7232087991  "</f>
        <v xml:space="preserve">7232087991  </v>
      </c>
      <c r="O5911">
        <v>231012</v>
      </c>
    </row>
    <row r="5912" spans="1:15" x14ac:dyDescent="0.25">
      <c r="A5912" t="s">
        <v>16</v>
      </c>
      <c r="B5912" t="s">
        <v>3221</v>
      </c>
      <c r="C5912">
        <v>13628</v>
      </c>
      <c r="D5912" t="s">
        <v>1071</v>
      </c>
      <c r="E5912" t="s">
        <v>1072</v>
      </c>
      <c r="F5912">
        <v>38.340000000000003</v>
      </c>
      <c r="G5912">
        <v>231009</v>
      </c>
      <c r="H5912">
        <v>4572</v>
      </c>
      <c r="I5912" t="s">
        <v>122</v>
      </c>
      <c r="J5912">
        <v>38.340000000000003</v>
      </c>
      <c r="K5912">
        <v>0</v>
      </c>
      <c r="L5912">
        <v>11001</v>
      </c>
      <c r="M5912" t="s">
        <v>326</v>
      </c>
      <c r="N5912" t="str">
        <f>"7232092973  "</f>
        <v xml:space="preserve">7232092973  </v>
      </c>
      <c r="O5912">
        <v>231012</v>
      </c>
    </row>
    <row r="5913" spans="1:15" x14ac:dyDescent="0.25">
      <c r="A5913" t="s">
        <v>16</v>
      </c>
      <c r="B5913" t="s">
        <v>3221</v>
      </c>
      <c r="C5913">
        <v>13630</v>
      </c>
      <c r="D5913" t="s">
        <v>1071</v>
      </c>
      <c r="E5913" t="s">
        <v>1072</v>
      </c>
      <c r="F5913">
        <v>50.12</v>
      </c>
      <c r="G5913">
        <v>231009</v>
      </c>
      <c r="H5913">
        <v>4572</v>
      </c>
      <c r="I5913" t="s">
        <v>122</v>
      </c>
      <c r="J5913">
        <v>62.15</v>
      </c>
      <c r="K5913">
        <v>12.03</v>
      </c>
      <c r="L5913">
        <v>14952</v>
      </c>
      <c r="M5913" t="s">
        <v>99</v>
      </c>
      <c r="N5913" t="str">
        <f>"7232093804  "</f>
        <v xml:space="preserve">7232093804  </v>
      </c>
      <c r="O5913">
        <v>231012</v>
      </c>
    </row>
    <row r="5914" spans="1:15" x14ac:dyDescent="0.25">
      <c r="A5914" t="s">
        <v>16</v>
      </c>
      <c r="B5914" t="s">
        <v>3221</v>
      </c>
      <c r="C5914">
        <v>13630</v>
      </c>
      <c r="D5914" t="s">
        <v>1071</v>
      </c>
      <c r="E5914" t="s">
        <v>1072</v>
      </c>
      <c r="F5914">
        <v>116.96</v>
      </c>
      <c r="G5914">
        <v>231009</v>
      </c>
      <c r="H5914">
        <v>4572</v>
      </c>
      <c r="I5914" t="s">
        <v>122</v>
      </c>
      <c r="J5914">
        <v>145.03</v>
      </c>
      <c r="K5914">
        <v>28.07</v>
      </c>
      <c r="L5914">
        <v>14981</v>
      </c>
      <c r="M5914" t="s">
        <v>1211</v>
      </c>
      <c r="N5914" t="str">
        <f>"7232093804  "</f>
        <v xml:space="preserve">7232093804  </v>
      </c>
      <c r="O5914">
        <v>231012</v>
      </c>
    </row>
    <row r="5915" spans="1:15" x14ac:dyDescent="0.25">
      <c r="A5915" t="s">
        <v>16</v>
      </c>
      <c r="B5915" t="s">
        <v>3221</v>
      </c>
      <c r="C5915">
        <v>13632</v>
      </c>
      <c r="D5915" t="s">
        <v>1071</v>
      </c>
      <c r="E5915" t="s">
        <v>1072</v>
      </c>
      <c r="F5915">
        <v>1937.42</v>
      </c>
      <c r="G5915">
        <v>231009</v>
      </c>
      <c r="H5915">
        <v>4572</v>
      </c>
      <c r="I5915" t="s">
        <v>122</v>
      </c>
      <c r="J5915">
        <v>2402.4</v>
      </c>
      <c r="K5915">
        <v>464.98</v>
      </c>
      <c r="L5915">
        <v>14951</v>
      </c>
      <c r="M5915" t="s">
        <v>57</v>
      </c>
      <c r="N5915" t="str">
        <f>"7232087784  "</f>
        <v xml:space="preserve">7232087784  </v>
      </c>
      <c r="O5915">
        <v>231012</v>
      </c>
    </row>
    <row r="5916" spans="1:15" x14ac:dyDescent="0.25">
      <c r="A5916" t="s">
        <v>16</v>
      </c>
      <c r="B5916" t="s">
        <v>3221</v>
      </c>
      <c r="C5916">
        <v>13636</v>
      </c>
      <c r="D5916" t="s">
        <v>1071</v>
      </c>
      <c r="E5916" t="s">
        <v>1072</v>
      </c>
      <c r="F5916">
        <v>394.39</v>
      </c>
      <c r="G5916">
        <v>231009</v>
      </c>
      <c r="H5916">
        <v>4572</v>
      </c>
      <c r="I5916" t="s">
        <v>122</v>
      </c>
      <c r="J5916">
        <v>489.04</v>
      </c>
      <c r="K5916">
        <v>94.65</v>
      </c>
      <c r="L5916">
        <v>13540</v>
      </c>
      <c r="M5916" t="s">
        <v>85</v>
      </c>
      <c r="N5916" t="str">
        <f>"7232087742  "</f>
        <v xml:space="preserve">7232087742  </v>
      </c>
      <c r="O5916">
        <v>231012</v>
      </c>
    </row>
    <row r="5917" spans="1:15" x14ac:dyDescent="0.25">
      <c r="A5917" t="s">
        <v>16</v>
      </c>
      <c r="B5917" t="s">
        <v>3221</v>
      </c>
      <c r="C5917">
        <v>13636</v>
      </c>
      <c r="D5917" t="s">
        <v>1071</v>
      </c>
      <c r="E5917" t="s">
        <v>1072</v>
      </c>
      <c r="F5917">
        <v>3190.92</v>
      </c>
      <c r="G5917">
        <v>231009</v>
      </c>
      <c r="H5917">
        <v>4572</v>
      </c>
      <c r="I5917" t="s">
        <v>122</v>
      </c>
      <c r="J5917">
        <v>3956.74</v>
      </c>
      <c r="K5917">
        <v>765.82</v>
      </c>
      <c r="L5917">
        <v>17950</v>
      </c>
      <c r="M5917" t="s">
        <v>86</v>
      </c>
      <c r="N5917" t="str">
        <f>"7232087742  "</f>
        <v xml:space="preserve">7232087742  </v>
      </c>
      <c r="O5917">
        <v>231012</v>
      </c>
    </row>
    <row r="5918" spans="1:15" x14ac:dyDescent="0.25">
      <c r="A5918" t="s">
        <v>16</v>
      </c>
      <c r="B5918" t="s">
        <v>3221</v>
      </c>
      <c r="C5918">
        <v>13638</v>
      </c>
      <c r="D5918" t="s">
        <v>1071</v>
      </c>
      <c r="E5918" t="s">
        <v>1072</v>
      </c>
      <c r="F5918">
        <v>5.31</v>
      </c>
      <c r="G5918">
        <v>231009</v>
      </c>
      <c r="H5918">
        <v>4572</v>
      </c>
      <c r="I5918" t="s">
        <v>122</v>
      </c>
      <c r="J5918">
        <v>6.59</v>
      </c>
      <c r="K5918">
        <v>1.28</v>
      </c>
      <c r="L5918">
        <v>14952</v>
      </c>
      <c r="M5918" t="s">
        <v>99</v>
      </c>
      <c r="N5918" t="str">
        <f>"7232093817  "</f>
        <v xml:space="preserve">7232093817  </v>
      </c>
      <c r="O5918">
        <v>231012</v>
      </c>
    </row>
    <row r="5919" spans="1:15" x14ac:dyDescent="0.25">
      <c r="A5919" t="s">
        <v>16</v>
      </c>
      <c r="B5919" t="s">
        <v>3221</v>
      </c>
      <c r="C5919">
        <v>13638</v>
      </c>
      <c r="D5919" t="s">
        <v>1071</v>
      </c>
      <c r="E5919" t="s">
        <v>1072</v>
      </c>
      <c r="F5919">
        <v>12.39</v>
      </c>
      <c r="G5919">
        <v>231009</v>
      </c>
      <c r="H5919">
        <v>4572</v>
      </c>
      <c r="I5919" t="s">
        <v>122</v>
      </c>
      <c r="J5919">
        <v>15.36</v>
      </c>
      <c r="K5919">
        <v>2.97</v>
      </c>
      <c r="L5919">
        <v>14981</v>
      </c>
      <c r="M5919" t="s">
        <v>1211</v>
      </c>
      <c r="N5919" t="str">
        <f>"7232093817  "</f>
        <v xml:space="preserve">7232093817  </v>
      </c>
      <c r="O5919">
        <v>231012</v>
      </c>
    </row>
    <row r="5920" spans="1:15" x14ac:dyDescent="0.25">
      <c r="A5920" t="s">
        <v>16</v>
      </c>
      <c r="B5920" t="s">
        <v>3221</v>
      </c>
      <c r="C5920">
        <v>13639</v>
      </c>
      <c r="D5920" t="s">
        <v>1071</v>
      </c>
      <c r="E5920" t="s">
        <v>1072</v>
      </c>
      <c r="F5920">
        <v>1.54</v>
      </c>
      <c r="G5920">
        <v>231009</v>
      </c>
      <c r="H5920">
        <v>4572</v>
      </c>
      <c r="I5920" t="s">
        <v>122</v>
      </c>
      <c r="J5920">
        <v>1.91</v>
      </c>
      <c r="K5920">
        <v>0.37</v>
      </c>
      <c r="L5920">
        <v>14952</v>
      </c>
      <c r="M5920" t="s">
        <v>99</v>
      </c>
      <c r="N5920" t="str">
        <f>"7232093820  "</f>
        <v xml:space="preserve">7232093820  </v>
      </c>
      <c r="O5920">
        <v>231012</v>
      </c>
    </row>
    <row r="5921" spans="1:15" x14ac:dyDescent="0.25">
      <c r="A5921" t="s">
        <v>16</v>
      </c>
      <c r="B5921" t="s">
        <v>3221</v>
      </c>
      <c r="C5921">
        <v>13639</v>
      </c>
      <c r="D5921" t="s">
        <v>1071</v>
      </c>
      <c r="E5921" t="s">
        <v>1072</v>
      </c>
      <c r="F5921">
        <v>3.6</v>
      </c>
      <c r="G5921">
        <v>231009</v>
      </c>
      <c r="H5921">
        <v>4572</v>
      </c>
      <c r="I5921" t="s">
        <v>122</v>
      </c>
      <c r="J5921">
        <v>4.46</v>
      </c>
      <c r="K5921">
        <v>0.86</v>
      </c>
      <c r="L5921">
        <v>14981</v>
      </c>
      <c r="M5921" t="s">
        <v>1211</v>
      </c>
      <c r="N5921" t="str">
        <f>"7232093820  "</f>
        <v xml:space="preserve">7232093820  </v>
      </c>
      <c r="O5921">
        <v>231012</v>
      </c>
    </row>
    <row r="5922" spans="1:15" x14ac:dyDescent="0.25">
      <c r="A5922" t="s">
        <v>16</v>
      </c>
      <c r="B5922" t="s">
        <v>3221</v>
      </c>
      <c r="C5922">
        <v>13677</v>
      </c>
      <c r="D5922" t="s">
        <v>1071</v>
      </c>
      <c r="E5922" t="s">
        <v>1072</v>
      </c>
      <c r="F5922">
        <v>354.39</v>
      </c>
      <c r="G5922">
        <v>231009</v>
      </c>
      <c r="H5922">
        <v>4572</v>
      </c>
      <c r="I5922" t="s">
        <v>122</v>
      </c>
      <c r="J5922">
        <v>439.44</v>
      </c>
      <c r="K5922">
        <v>85.05</v>
      </c>
      <c r="L5922">
        <v>59112</v>
      </c>
      <c r="M5922" t="s">
        <v>182</v>
      </c>
      <c r="N5922" t="str">
        <f>"7232087894  "</f>
        <v xml:space="preserve">7232087894  </v>
      </c>
      <c r="O5922">
        <v>231012</v>
      </c>
    </row>
    <row r="5923" spans="1:15" x14ac:dyDescent="0.25">
      <c r="A5923" t="s">
        <v>16</v>
      </c>
      <c r="B5923" t="s">
        <v>3221</v>
      </c>
      <c r="C5923">
        <v>13677</v>
      </c>
      <c r="D5923" t="s">
        <v>1071</v>
      </c>
      <c r="E5923" t="s">
        <v>1072</v>
      </c>
      <c r="F5923">
        <v>958.16</v>
      </c>
      <c r="G5923">
        <v>231009</v>
      </c>
      <c r="H5923">
        <v>4572</v>
      </c>
      <c r="I5923" t="s">
        <v>122</v>
      </c>
      <c r="J5923">
        <v>1188.1199999999999</v>
      </c>
      <c r="K5923">
        <v>229.96</v>
      </c>
      <c r="L5923">
        <v>59504</v>
      </c>
      <c r="M5923" t="s">
        <v>71</v>
      </c>
      <c r="N5923" t="str">
        <f>"7232087894  "</f>
        <v xml:space="preserve">7232087894  </v>
      </c>
      <c r="O5923">
        <v>231012</v>
      </c>
    </row>
    <row r="5924" spans="1:15" x14ac:dyDescent="0.25">
      <c r="A5924" t="s">
        <v>16</v>
      </c>
      <c r="B5924" t="s">
        <v>3221</v>
      </c>
      <c r="C5924">
        <v>13678</v>
      </c>
      <c r="D5924" t="s">
        <v>1071</v>
      </c>
      <c r="E5924" t="s">
        <v>1072</v>
      </c>
      <c r="F5924">
        <v>0.94</v>
      </c>
      <c r="G5924">
        <v>231009</v>
      </c>
      <c r="H5924">
        <v>4572</v>
      </c>
      <c r="I5924" t="s">
        <v>122</v>
      </c>
      <c r="J5924">
        <v>1.17</v>
      </c>
      <c r="K5924">
        <v>0.23</v>
      </c>
      <c r="L5924">
        <v>59112</v>
      </c>
      <c r="M5924" t="s">
        <v>182</v>
      </c>
      <c r="N5924" t="str">
        <f>"7232087878  "</f>
        <v xml:space="preserve">7232087878  </v>
      </c>
      <c r="O5924">
        <v>231012</v>
      </c>
    </row>
    <row r="5925" spans="1:15" x14ac:dyDescent="0.25">
      <c r="A5925" t="s">
        <v>16</v>
      </c>
      <c r="B5925" t="s">
        <v>3221</v>
      </c>
      <c r="C5925">
        <v>13678</v>
      </c>
      <c r="D5925" t="s">
        <v>1071</v>
      </c>
      <c r="E5925" t="s">
        <v>1072</v>
      </c>
      <c r="F5925">
        <v>2.54</v>
      </c>
      <c r="G5925">
        <v>231009</v>
      </c>
      <c r="H5925">
        <v>4572</v>
      </c>
      <c r="I5925" t="s">
        <v>122</v>
      </c>
      <c r="J5925">
        <v>3.15</v>
      </c>
      <c r="K5925">
        <v>0.61</v>
      </c>
      <c r="L5925">
        <v>59504</v>
      </c>
      <c r="M5925" t="s">
        <v>71</v>
      </c>
      <c r="N5925" t="str">
        <f>"7232087878  "</f>
        <v xml:space="preserve">7232087878  </v>
      </c>
      <c r="O5925">
        <v>231012</v>
      </c>
    </row>
    <row r="5926" spans="1:15" x14ac:dyDescent="0.25">
      <c r="A5926" t="s">
        <v>16</v>
      </c>
      <c r="B5926" t="s">
        <v>3221</v>
      </c>
      <c r="C5926">
        <v>13682</v>
      </c>
      <c r="D5926" t="s">
        <v>1071</v>
      </c>
      <c r="E5926" t="s">
        <v>1072</v>
      </c>
      <c r="F5926">
        <v>4.2300000000000004</v>
      </c>
      <c r="G5926">
        <v>231009</v>
      </c>
      <c r="H5926">
        <v>4572</v>
      </c>
      <c r="I5926" t="s">
        <v>122</v>
      </c>
      <c r="J5926">
        <v>5.25</v>
      </c>
      <c r="K5926">
        <v>1.02</v>
      </c>
      <c r="L5926">
        <v>59112</v>
      </c>
      <c r="M5926" t="s">
        <v>182</v>
      </c>
      <c r="N5926" t="str">
        <f>"7232087881  "</f>
        <v xml:space="preserve">7232087881  </v>
      </c>
      <c r="O5926">
        <v>231012</v>
      </c>
    </row>
    <row r="5927" spans="1:15" x14ac:dyDescent="0.25">
      <c r="A5927" t="s">
        <v>16</v>
      </c>
      <c r="B5927" t="s">
        <v>3221</v>
      </c>
      <c r="C5927">
        <v>13682</v>
      </c>
      <c r="D5927" t="s">
        <v>1071</v>
      </c>
      <c r="E5927" t="s">
        <v>1072</v>
      </c>
      <c r="F5927">
        <v>11.44</v>
      </c>
      <c r="G5927">
        <v>231009</v>
      </c>
      <c r="H5927">
        <v>4572</v>
      </c>
      <c r="I5927" t="s">
        <v>122</v>
      </c>
      <c r="J5927">
        <v>14.19</v>
      </c>
      <c r="K5927">
        <v>2.75</v>
      </c>
      <c r="L5927">
        <v>59504</v>
      </c>
      <c r="M5927" t="s">
        <v>71</v>
      </c>
      <c r="N5927" t="str">
        <f>"7232087881  "</f>
        <v xml:space="preserve">7232087881  </v>
      </c>
      <c r="O5927">
        <v>231012</v>
      </c>
    </row>
    <row r="5928" spans="1:15" x14ac:dyDescent="0.25">
      <c r="A5928" t="s">
        <v>16</v>
      </c>
      <c r="B5928" t="s">
        <v>3221</v>
      </c>
      <c r="C5928">
        <v>13760</v>
      </c>
      <c r="D5928" t="s">
        <v>1071</v>
      </c>
      <c r="E5928" t="s">
        <v>1072</v>
      </c>
      <c r="F5928">
        <v>1738.83</v>
      </c>
      <c r="G5928">
        <v>231009</v>
      </c>
      <c r="H5928">
        <v>4572</v>
      </c>
      <c r="I5928" t="s">
        <v>122</v>
      </c>
      <c r="J5928">
        <v>2156.15</v>
      </c>
      <c r="K5928">
        <v>417.32</v>
      </c>
      <c r="L5928">
        <v>69111</v>
      </c>
      <c r="M5928" t="s">
        <v>471</v>
      </c>
      <c r="N5928" t="str">
        <f>"7232087755  "</f>
        <v xml:space="preserve">7232087755  </v>
      </c>
      <c r="O5928">
        <v>231013</v>
      </c>
    </row>
    <row r="5929" spans="1:15" x14ac:dyDescent="0.25">
      <c r="A5929" t="s">
        <v>16</v>
      </c>
      <c r="B5929" t="s">
        <v>3221</v>
      </c>
      <c r="C5929">
        <v>13760</v>
      </c>
      <c r="D5929" t="s">
        <v>1071</v>
      </c>
      <c r="E5929" t="s">
        <v>1072</v>
      </c>
      <c r="F5929">
        <v>2719.71</v>
      </c>
      <c r="G5929">
        <v>231009</v>
      </c>
      <c r="H5929">
        <v>4572</v>
      </c>
      <c r="I5929" t="s">
        <v>122</v>
      </c>
      <c r="J5929">
        <v>3372.44</v>
      </c>
      <c r="K5929">
        <v>652.73</v>
      </c>
      <c r="L5929">
        <v>69501</v>
      </c>
      <c r="M5929" t="s">
        <v>185</v>
      </c>
      <c r="N5929" t="str">
        <f>"7232087755  "</f>
        <v xml:space="preserve">7232087755  </v>
      </c>
      <c r="O5929">
        <v>231013</v>
      </c>
    </row>
    <row r="5930" spans="1:15" x14ac:dyDescent="0.25">
      <c r="A5930" t="s">
        <v>16</v>
      </c>
      <c r="B5930" t="s">
        <v>3221</v>
      </c>
      <c r="C5930">
        <v>13760</v>
      </c>
      <c r="D5930" t="s">
        <v>1071</v>
      </c>
      <c r="E5930" t="s">
        <v>1072</v>
      </c>
      <c r="F5930">
        <v>55.84</v>
      </c>
      <c r="G5930">
        <v>231009</v>
      </c>
      <c r="H5930">
        <v>4572</v>
      </c>
      <c r="I5930" t="s">
        <v>122</v>
      </c>
      <c r="J5930">
        <v>55.84</v>
      </c>
      <c r="K5930">
        <v>0</v>
      </c>
      <c r="L5930">
        <v>69803</v>
      </c>
      <c r="M5930" t="s">
        <v>755</v>
      </c>
      <c r="N5930" t="str">
        <f>"7232087755  "</f>
        <v xml:space="preserve">7232087755  </v>
      </c>
      <c r="O5930">
        <v>231013</v>
      </c>
    </row>
    <row r="5931" spans="1:15" x14ac:dyDescent="0.25">
      <c r="A5931" t="s">
        <v>16</v>
      </c>
      <c r="B5931" t="s">
        <v>3221</v>
      </c>
      <c r="C5931">
        <v>13908</v>
      </c>
      <c r="D5931" t="s">
        <v>1071</v>
      </c>
      <c r="E5931" t="s">
        <v>1072</v>
      </c>
      <c r="F5931">
        <v>3046.56</v>
      </c>
      <c r="G5931">
        <v>231009</v>
      </c>
      <c r="H5931">
        <v>4572</v>
      </c>
      <c r="I5931" t="s">
        <v>122</v>
      </c>
      <c r="J5931">
        <v>3777.74</v>
      </c>
      <c r="K5931">
        <v>731.18</v>
      </c>
      <c r="L5931">
        <v>49501</v>
      </c>
      <c r="M5931" t="s">
        <v>177</v>
      </c>
      <c r="N5931" t="str">
        <f>"7232087920  "</f>
        <v xml:space="preserve">7232087920  </v>
      </c>
      <c r="O5931">
        <v>231016</v>
      </c>
    </row>
    <row r="5932" spans="1:15" x14ac:dyDescent="0.25">
      <c r="A5932" t="s">
        <v>16</v>
      </c>
      <c r="B5932" t="s">
        <v>3221</v>
      </c>
      <c r="C5932">
        <v>13908</v>
      </c>
      <c r="D5932" t="s">
        <v>1071</v>
      </c>
      <c r="E5932" t="s">
        <v>1072</v>
      </c>
      <c r="F5932">
        <v>165.31</v>
      </c>
      <c r="G5932">
        <v>231009</v>
      </c>
      <c r="H5932">
        <v>4572</v>
      </c>
      <c r="I5932" t="s">
        <v>122</v>
      </c>
      <c r="J5932">
        <v>204.98</v>
      </c>
      <c r="K5932">
        <v>39.67</v>
      </c>
      <c r="L5932">
        <v>49801</v>
      </c>
      <c r="M5932" t="s">
        <v>1227</v>
      </c>
      <c r="N5932" t="str">
        <f>"7232087920  "</f>
        <v xml:space="preserve">7232087920  </v>
      </c>
      <c r="O5932">
        <v>231016</v>
      </c>
    </row>
    <row r="5933" spans="1:15" x14ac:dyDescent="0.25">
      <c r="A5933" t="s">
        <v>16</v>
      </c>
      <c r="B5933" t="s">
        <v>3221</v>
      </c>
      <c r="C5933">
        <v>13908</v>
      </c>
      <c r="D5933" t="s">
        <v>1071</v>
      </c>
      <c r="E5933" t="s">
        <v>1072</v>
      </c>
      <c r="F5933">
        <v>94.23</v>
      </c>
      <c r="G5933">
        <v>231009</v>
      </c>
      <c r="H5933">
        <v>4572</v>
      </c>
      <c r="I5933" t="s">
        <v>122</v>
      </c>
      <c r="J5933">
        <v>116.84</v>
      </c>
      <c r="K5933">
        <v>22.61</v>
      </c>
      <c r="L5933">
        <v>49803</v>
      </c>
      <c r="M5933" t="s">
        <v>1229</v>
      </c>
      <c r="N5933" t="str">
        <f>"7232087920  "</f>
        <v xml:space="preserve">7232087920  </v>
      </c>
      <c r="O5933">
        <v>231016</v>
      </c>
    </row>
    <row r="5934" spans="1:15" x14ac:dyDescent="0.25">
      <c r="A5934" t="s">
        <v>16</v>
      </c>
      <c r="B5934" t="s">
        <v>3221</v>
      </c>
      <c r="C5934">
        <v>13943</v>
      </c>
      <c r="D5934" t="s">
        <v>1071</v>
      </c>
      <c r="E5934" t="s">
        <v>1072</v>
      </c>
      <c r="F5934">
        <v>496.53</v>
      </c>
      <c r="G5934">
        <v>231009</v>
      </c>
      <c r="H5934">
        <v>4572</v>
      </c>
      <c r="I5934" t="s">
        <v>122</v>
      </c>
      <c r="J5934">
        <v>615.70000000000005</v>
      </c>
      <c r="K5934">
        <v>119.17</v>
      </c>
      <c r="L5934">
        <v>49503</v>
      </c>
      <c r="M5934" t="s">
        <v>178</v>
      </c>
      <c r="N5934" t="str">
        <f>"7232087849  "</f>
        <v xml:space="preserve">7232087849  </v>
      </c>
      <c r="O5934">
        <v>231017</v>
      </c>
    </row>
    <row r="5935" spans="1:15" x14ac:dyDescent="0.25">
      <c r="A5935" t="s">
        <v>16</v>
      </c>
      <c r="B5935" t="s">
        <v>3221</v>
      </c>
      <c r="C5935">
        <v>13944</v>
      </c>
      <c r="D5935" t="s">
        <v>1071</v>
      </c>
      <c r="E5935" t="s">
        <v>1072</v>
      </c>
      <c r="F5935">
        <v>1463.47</v>
      </c>
      <c r="G5935">
        <v>231009</v>
      </c>
      <c r="H5935">
        <v>4572</v>
      </c>
      <c r="I5935" t="s">
        <v>122</v>
      </c>
      <c r="J5935">
        <v>1814.7</v>
      </c>
      <c r="K5935">
        <v>351.23</v>
      </c>
      <c r="L5935">
        <v>49501</v>
      </c>
      <c r="M5935" t="s">
        <v>177</v>
      </c>
      <c r="N5935" t="str">
        <f>"7232087771  "</f>
        <v xml:space="preserve">7232087771  </v>
      </c>
      <c r="O5935">
        <v>231017</v>
      </c>
    </row>
    <row r="5936" spans="1:15" x14ac:dyDescent="0.25">
      <c r="A5936" t="s">
        <v>16</v>
      </c>
      <c r="B5936" t="s">
        <v>3221</v>
      </c>
      <c r="C5936">
        <v>13944</v>
      </c>
      <c r="D5936" t="s">
        <v>1071</v>
      </c>
      <c r="E5936" t="s">
        <v>1072</v>
      </c>
      <c r="F5936">
        <v>77.02</v>
      </c>
      <c r="G5936">
        <v>231009</v>
      </c>
      <c r="H5936">
        <v>4572</v>
      </c>
      <c r="I5936" t="s">
        <v>122</v>
      </c>
      <c r="J5936">
        <v>95.51</v>
      </c>
      <c r="K5936">
        <v>18.489999999999998</v>
      </c>
      <c r="L5936">
        <v>49801</v>
      </c>
      <c r="M5936" t="s">
        <v>1227</v>
      </c>
      <c r="N5936" t="str">
        <f>"7232087771  "</f>
        <v xml:space="preserve">7232087771  </v>
      </c>
      <c r="O5936">
        <v>231017</v>
      </c>
    </row>
    <row r="5937" spans="1:15" x14ac:dyDescent="0.25">
      <c r="A5937" t="s">
        <v>16</v>
      </c>
      <c r="B5937" t="s">
        <v>3221</v>
      </c>
      <c r="C5937">
        <v>14091</v>
      </c>
      <c r="D5937" t="s">
        <v>1071</v>
      </c>
      <c r="E5937" t="s">
        <v>1072</v>
      </c>
      <c r="F5937">
        <v>981.6</v>
      </c>
      <c r="G5937">
        <v>231009</v>
      </c>
      <c r="H5937">
        <v>4572</v>
      </c>
      <c r="I5937" t="s">
        <v>122</v>
      </c>
      <c r="J5937">
        <v>1217.19</v>
      </c>
      <c r="K5937">
        <v>235.59</v>
      </c>
      <c r="L5937">
        <v>59505</v>
      </c>
      <c r="M5937" t="s">
        <v>72</v>
      </c>
      <c r="N5937" t="str">
        <f>"7232087852  "</f>
        <v xml:space="preserve">7232087852  </v>
      </c>
      <c r="O5937">
        <v>231018</v>
      </c>
    </row>
    <row r="5938" spans="1:15" x14ac:dyDescent="0.25">
      <c r="A5938" t="s">
        <v>16</v>
      </c>
      <c r="B5938" t="s">
        <v>3221</v>
      </c>
      <c r="C5938">
        <v>14091</v>
      </c>
      <c r="D5938" t="s">
        <v>1071</v>
      </c>
      <c r="E5938" t="s">
        <v>1072</v>
      </c>
      <c r="F5938">
        <v>133.85</v>
      </c>
      <c r="G5938">
        <v>231009</v>
      </c>
      <c r="H5938">
        <v>4572</v>
      </c>
      <c r="I5938" t="s">
        <v>122</v>
      </c>
      <c r="J5938">
        <v>165.98</v>
      </c>
      <c r="K5938">
        <v>32.130000000000003</v>
      </c>
      <c r="L5938">
        <v>59812</v>
      </c>
      <c r="M5938" t="s">
        <v>74</v>
      </c>
      <c r="N5938" t="str">
        <f>"7232087852  "</f>
        <v xml:space="preserve">7232087852  </v>
      </c>
      <c r="O5938">
        <v>231018</v>
      </c>
    </row>
    <row r="5939" spans="1:15" x14ac:dyDescent="0.25">
      <c r="A5939" t="s">
        <v>16</v>
      </c>
      <c r="B5939" t="s">
        <v>3221</v>
      </c>
      <c r="C5939">
        <v>14095</v>
      </c>
      <c r="D5939" t="s">
        <v>1071</v>
      </c>
      <c r="E5939" t="s">
        <v>1072</v>
      </c>
      <c r="F5939">
        <v>1724.67</v>
      </c>
      <c r="G5939">
        <v>231009</v>
      </c>
      <c r="H5939">
        <v>4572</v>
      </c>
      <c r="I5939" t="s">
        <v>122</v>
      </c>
      <c r="J5939">
        <v>2138.59</v>
      </c>
      <c r="K5939">
        <v>413.92</v>
      </c>
      <c r="L5939">
        <v>59502</v>
      </c>
      <c r="M5939" t="s">
        <v>70</v>
      </c>
      <c r="N5939" t="str">
        <f>"7232087836  "</f>
        <v xml:space="preserve">7232087836  </v>
      </c>
      <c r="O5939">
        <v>231018</v>
      </c>
    </row>
    <row r="5940" spans="1:15" x14ac:dyDescent="0.25">
      <c r="A5940" t="s">
        <v>16</v>
      </c>
      <c r="B5940" t="s">
        <v>3221</v>
      </c>
      <c r="C5940">
        <v>14095</v>
      </c>
      <c r="D5940" t="s">
        <v>1071</v>
      </c>
      <c r="E5940" t="s">
        <v>1072</v>
      </c>
      <c r="F5940">
        <v>1102.6600000000001</v>
      </c>
      <c r="G5940">
        <v>231009</v>
      </c>
      <c r="H5940">
        <v>4572</v>
      </c>
      <c r="I5940" t="s">
        <v>122</v>
      </c>
      <c r="J5940">
        <v>1367.3</v>
      </c>
      <c r="K5940">
        <v>264.64</v>
      </c>
      <c r="L5940">
        <v>59802</v>
      </c>
      <c r="M5940" t="s">
        <v>73</v>
      </c>
      <c r="N5940" t="str">
        <f>"7232087836  "</f>
        <v xml:space="preserve">7232087836  </v>
      </c>
      <c r="O5940">
        <v>231018</v>
      </c>
    </row>
    <row r="5941" spans="1:15" x14ac:dyDescent="0.25">
      <c r="A5941" t="s">
        <v>16</v>
      </c>
      <c r="B5941" t="s">
        <v>3221</v>
      </c>
      <c r="C5941">
        <v>14096</v>
      </c>
      <c r="D5941" t="s">
        <v>1071</v>
      </c>
      <c r="E5941" t="s">
        <v>1072</v>
      </c>
      <c r="F5941">
        <v>3.88</v>
      </c>
      <c r="G5941">
        <v>231009</v>
      </c>
      <c r="H5941">
        <v>4572</v>
      </c>
      <c r="I5941" t="s">
        <v>122</v>
      </c>
      <c r="J5941">
        <v>3.88</v>
      </c>
      <c r="K5941">
        <v>0</v>
      </c>
      <c r="L5941">
        <v>59813</v>
      </c>
      <c r="M5941" t="s">
        <v>915</v>
      </c>
      <c r="N5941" t="str">
        <f>"7232087904  "</f>
        <v xml:space="preserve">7232087904  </v>
      </c>
      <c r="O5941">
        <v>231018</v>
      </c>
    </row>
    <row r="5942" spans="1:15" x14ac:dyDescent="0.25">
      <c r="A5942" t="s">
        <v>16</v>
      </c>
      <c r="B5942" t="s">
        <v>3221</v>
      </c>
      <c r="C5942">
        <v>14098</v>
      </c>
      <c r="D5942" t="s">
        <v>1071</v>
      </c>
      <c r="E5942" t="s">
        <v>1072</v>
      </c>
      <c r="F5942">
        <v>273.66000000000003</v>
      </c>
      <c r="G5942">
        <v>231009</v>
      </c>
      <c r="H5942">
        <v>4572</v>
      </c>
      <c r="I5942" t="s">
        <v>122</v>
      </c>
      <c r="J5942">
        <v>339.34</v>
      </c>
      <c r="K5942">
        <v>65.680000000000007</v>
      </c>
      <c r="L5942">
        <v>59111</v>
      </c>
      <c r="M5942" t="s">
        <v>1010</v>
      </c>
      <c r="N5942" t="str">
        <f>"7232087823  "</f>
        <v xml:space="preserve">7232087823  </v>
      </c>
      <c r="O5942">
        <v>231018</v>
      </c>
    </row>
    <row r="5943" spans="1:15" x14ac:dyDescent="0.25">
      <c r="A5943" t="s">
        <v>16</v>
      </c>
      <c r="B5943" t="s">
        <v>3221</v>
      </c>
      <c r="C5943">
        <v>14098</v>
      </c>
      <c r="D5943" t="s">
        <v>1071</v>
      </c>
      <c r="E5943" t="s">
        <v>1072</v>
      </c>
      <c r="F5943">
        <v>4287.3500000000004</v>
      </c>
      <c r="G5943">
        <v>231009</v>
      </c>
      <c r="H5943">
        <v>4572</v>
      </c>
      <c r="I5943" t="s">
        <v>122</v>
      </c>
      <c r="J5943">
        <v>5316.31</v>
      </c>
      <c r="K5943">
        <v>1028.96</v>
      </c>
      <c r="L5943">
        <v>59501</v>
      </c>
      <c r="M5943" t="s">
        <v>69</v>
      </c>
      <c r="N5943" t="str">
        <f>"7232087823  "</f>
        <v xml:space="preserve">7232087823  </v>
      </c>
      <c r="O5943">
        <v>231018</v>
      </c>
    </row>
    <row r="5944" spans="1:15" x14ac:dyDescent="0.25">
      <c r="A5944" t="s">
        <v>16</v>
      </c>
      <c r="B5944" t="s">
        <v>3221</v>
      </c>
      <c r="C5944">
        <v>15183</v>
      </c>
      <c r="D5944" t="s">
        <v>1071</v>
      </c>
      <c r="E5944" t="s">
        <v>1072</v>
      </c>
      <c r="F5944">
        <v>278.48</v>
      </c>
      <c r="G5944">
        <v>231108</v>
      </c>
      <c r="H5944">
        <v>4572</v>
      </c>
      <c r="I5944" t="s">
        <v>122</v>
      </c>
      <c r="J5944">
        <v>345.31</v>
      </c>
      <c r="K5944">
        <v>66.83</v>
      </c>
      <c r="L5944">
        <v>59111</v>
      </c>
      <c r="M5944" t="s">
        <v>1010</v>
      </c>
      <c r="N5944" t="str">
        <f>"7232358840  "</f>
        <v xml:space="preserve">7232358840  </v>
      </c>
      <c r="O5944">
        <v>231109</v>
      </c>
    </row>
    <row r="5945" spans="1:15" x14ac:dyDescent="0.25">
      <c r="A5945" t="s">
        <v>16</v>
      </c>
      <c r="B5945" t="s">
        <v>3221</v>
      </c>
      <c r="C5945">
        <v>15183</v>
      </c>
      <c r="D5945" t="s">
        <v>1071</v>
      </c>
      <c r="E5945" t="s">
        <v>1072</v>
      </c>
      <c r="F5945">
        <v>4362.78</v>
      </c>
      <c r="G5945">
        <v>231108</v>
      </c>
      <c r="H5945">
        <v>4572</v>
      </c>
      <c r="I5945" t="s">
        <v>122</v>
      </c>
      <c r="J5945">
        <v>5409.85</v>
      </c>
      <c r="K5945">
        <v>1047.07</v>
      </c>
      <c r="L5945">
        <v>59501</v>
      </c>
      <c r="M5945" t="s">
        <v>69</v>
      </c>
      <c r="N5945" t="str">
        <f>"7232358840  "</f>
        <v xml:space="preserve">7232358840  </v>
      </c>
      <c r="O5945">
        <v>231109</v>
      </c>
    </row>
    <row r="5946" spans="1:15" x14ac:dyDescent="0.25">
      <c r="A5946" t="s">
        <v>16</v>
      </c>
      <c r="B5946" t="s">
        <v>3221</v>
      </c>
      <c r="C5946">
        <v>15184</v>
      </c>
      <c r="D5946" t="s">
        <v>1071</v>
      </c>
      <c r="E5946" t="s">
        <v>1072</v>
      </c>
      <c r="F5946">
        <v>917.83</v>
      </c>
      <c r="G5946">
        <v>231108</v>
      </c>
      <c r="H5946">
        <v>4572</v>
      </c>
      <c r="I5946" t="s">
        <v>122</v>
      </c>
      <c r="J5946">
        <v>1138.1099999999999</v>
      </c>
      <c r="K5946">
        <v>220.28</v>
      </c>
      <c r="L5946">
        <v>59505</v>
      </c>
      <c r="M5946" t="s">
        <v>72</v>
      </c>
      <c r="N5946" t="str">
        <f>"7232358879  "</f>
        <v xml:space="preserve">7232358879  </v>
      </c>
      <c r="O5946">
        <v>231109</v>
      </c>
    </row>
    <row r="5947" spans="1:15" x14ac:dyDescent="0.25">
      <c r="A5947" t="s">
        <v>16</v>
      </c>
      <c r="B5947" t="s">
        <v>3221</v>
      </c>
      <c r="C5947">
        <v>15184</v>
      </c>
      <c r="D5947" t="s">
        <v>1071</v>
      </c>
      <c r="E5947" t="s">
        <v>1072</v>
      </c>
      <c r="F5947">
        <v>125.16</v>
      </c>
      <c r="G5947">
        <v>231108</v>
      </c>
      <c r="H5947">
        <v>4572</v>
      </c>
      <c r="I5947" t="s">
        <v>122</v>
      </c>
      <c r="J5947">
        <v>155.19999999999999</v>
      </c>
      <c r="K5947">
        <v>30.04</v>
      </c>
      <c r="L5947">
        <v>59812</v>
      </c>
      <c r="M5947" t="s">
        <v>74</v>
      </c>
      <c r="N5947" t="str">
        <f>"7232358879  "</f>
        <v xml:space="preserve">7232358879  </v>
      </c>
      <c r="O5947">
        <v>231109</v>
      </c>
    </row>
    <row r="5948" spans="1:15" x14ac:dyDescent="0.25">
      <c r="A5948" t="s">
        <v>16</v>
      </c>
      <c r="B5948" t="s">
        <v>3221</v>
      </c>
      <c r="C5948">
        <v>15185</v>
      </c>
      <c r="D5948" t="s">
        <v>1071</v>
      </c>
      <c r="E5948" t="s">
        <v>1072</v>
      </c>
      <c r="F5948">
        <v>4.24</v>
      </c>
      <c r="G5948">
        <v>231108</v>
      </c>
      <c r="H5948">
        <v>4572</v>
      </c>
      <c r="I5948" t="s">
        <v>122</v>
      </c>
      <c r="J5948">
        <v>4.24</v>
      </c>
      <c r="K5948">
        <v>0</v>
      </c>
      <c r="L5948">
        <v>59813</v>
      </c>
      <c r="M5948" t="s">
        <v>915</v>
      </c>
      <c r="N5948" t="str">
        <f>"7232358921  "</f>
        <v xml:space="preserve">7232358921  </v>
      </c>
      <c r="O5948">
        <v>231109</v>
      </c>
    </row>
    <row r="5949" spans="1:15" x14ac:dyDescent="0.25">
      <c r="A5949" t="s">
        <v>16</v>
      </c>
      <c r="B5949" t="s">
        <v>3221</v>
      </c>
      <c r="C5949">
        <v>15193</v>
      </c>
      <c r="D5949" t="s">
        <v>1071</v>
      </c>
      <c r="E5949" t="s">
        <v>1072</v>
      </c>
      <c r="F5949">
        <v>1460.67</v>
      </c>
      <c r="G5949">
        <v>231108</v>
      </c>
      <c r="H5949">
        <v>4572</v>
      </c>
      <c r="I5949" t="s">
        <v>122</v>
      </c>
      <c r="J5949">
        <v>1811.23</v>
      </c>
      <c r="K5949">
        <v>350.56</v>
      </c>
      <c r="L5949">
        <v>59502</v>
      </c>
      <c r="M5949" t="s">
        <v>70</v>
      </c>
      <c r="N5949" t="str">
        <f>"7232358853  "</f>
        <v xml:space="preserve">7232358853  </v>
      </c>
      <c r="O5949">
        <v>231109</v>
      </c>
    </row>
    <row r="5950" spans="1:15" x14ac:dyDescent="0.25">
      <c r="A5950" t="s">
        <v>16</v>
      </c>
      <c r="B5950" t="s">
        <v>3221</v>
      </c>
      <c r="C5950">
        <v>15193</v>
      </c>
      <c r="D5950" t="s">
        <v>1071</v>
      </c>
      <c r="E5950" t="s">
        <v>1072</v>
      </c>
      <c r="F5950">
        <v>933.87</v>
      </c>
      <c r="G5950">
        <v>231108</v>
      </c>
      <c r="H5950">
        <v>4572</v>
      </c>
      <c r="I5950" t="s">
        <v>122</v>
      </c>
      <c r="J5950">
        <v>1158</v>
      </c>
      <c r="K5950">
        <v>224.13</v>
      </c>
      <c r="L5950">
        <v>59802</v>
      </c>
      <c r="M5950" t="s">
        <v>73</v>
      </c>
      <c r="N5950" t="str">
        <f>"7232358853  "</f>
        <v xml:space="preserve">7232358853  </v>
      </c>
      <c r="O5950">
        <v>231109</v>
      </c>
    </row>
    <row r="5951" spans="1:15" x14ac:dyDescent="0.25">
      <c r="A5951" t="s">
        <v>16</v>
      </c>
      <c r="B5951" t="s">
        <v>3221</v>
      </c>
      <c r="C5951">
        <v>15246</v>
      </c>
      <c r="D5951" t="s">
        <v>1071</v>
      </c>
      <c r="E5951" t="s">
        <v>1072</v>
      </c>
      <c r="F5951">
        <v>11.03</v>
      </c>
      <c r="G5951">
        <v>231108</v>
      </c>
      <c r="H5951">
        <v>4572</v>
      </c>
      <c r="I5951" t="s">
        <v>122</v>
      </c>
      <c r="J5951">
        <v>13.68</v>
      </c>
      <c r="K5951">
        <v>2.65</v>
      </c>
      <c r="L5951">
        <v>13841</v>
      </c>
      <c r="M5951" t="s">
        <v>47</v>
      </c>
      <c r="N5951" t="str">
        <f>"7232366722  "</f>
        <v xml:space="preserve">7232366722  </v>
      </c>
      <c r="O5951">
        <v>231109</v>
      </c>
    </row>
    <row r="5952" spans="1:15" x14ac:dyDescent="0.25">
      <c r="A5952" t="s">
        <v>16</v>
      </c>
      <c r="B5952" t="s">
        <v>3221</v>
      </c>
      <c r="C5952">
        <v>15272</v>
      </c>
      <c r="D5952" t="s">
        <v>1071</v>
      </c>
      <c r="E5952" t="s">
        <v>1072</v>
      </c>
      <c r="F5952">
        <v>2979.12</v>
      </c>
      <c r="G5952">
        <v>231108</v>
      </c>
      <c r="H5952">
        <v>4572</v>
      </c>
      <c r="I5952" t="s">
        <v>122</v>
      </c>
      <c r="J5952">
        <v>3694.11</v>
      </c>
      <c r="K5952">
        <v>714.99</v>
      </c>
      <c r="L5952">
        <v>17951</v>
      </c>
      <c r="M5952" t="s">
        <v>87</v>
      </c>
      <c r="N5952" t="str">
        <f>"7232358727  "</f>
        <v xml:space="preserve">7232358727  </v>
      </c>
      <c r="O5952">
        <v>231109</v>
      </c>
    </row>
    <row r="5953" spans="1:15" x14ac:dyDescent="0.25">
      <c r="A5953" t="s">
        <v>16</v>
      </c>
      <c r="B5953" t="s">
        <v>3221</v>
      </c>
      <c r="C5953">
        <v>15462</v>
      </c>
      <c r="D5953" t="s">
        <v>1071</v>
      </c>
      <c r="E5953" t="s">
        <v>1072</v>
      </c>
      <c r="F5953">
        <v>3.1</v>
      </c>
      <c r="G5953">
        <v>231108</v>
      </c>
      <c r="H5953">
        <v>4572</v>
      </c>
      <c r="I5953" t="s">
        <v>122</v>
      </c>
      <c r="J5953">
        <v>3.84</v>
      </c>
      <c r="K5953">
        <v>0.74</v>
      </c>
      <c r="L5953">
        <v>56571</v>
      </c>
      <c r="M5953" t="s">
        <v>204</v>
      </c>
      <c r="N5953" t="str">
        <f>"7232358963  "</f>
        <v xml:space="preserve">7232358963  </v>
      </c>
      <c r="O5953">
        <v>231113</v>
      </c>
    </row>
    <row r="5954" spans="1:15" x14ac:dyDescent="0.25">
      <c r="A5954" t="s">
        <v>16</v>
      </c>
      <c r="B5954" t="s">
        <v>3221</v>
      </c>
      <c r="C5954">
        <v>15463</v>
      </c>
      <c r="D5954" t="s">
        <v>1071</v>
      </c>
      <c r="E5954" t="s">
        <v>1072</v>
      </c>
      <c r="F5954">
        <v>87.42</v>
      </c>
      <c r="G5954">
        <v>231108</v>
      </c>
      <c r="H5954">
        <v>4572</v>
      </c>
      <c r="I5954" t="s">
        <v>122</v>
      </c>
      <c r="J5954">
        <v>108.4</v>
      </c>
      <c r="K5954">
        <v>20.98</v>
      </c>
      <c r="L5954">
        <v>11401</v>
      </c>
      <c r="M5954" t="s">
        <v>84</v>
      </c>
      <c r="N5954" t="str">
        <f>"7232359056  "</f>
        <v xml:space="preserve">7232359056  </v>
      </c>
      <c r="O5954">
        <v>231113</v>
      </c>
    </row>
    <row r="5955" spans="1:15" x14ac:dyDescent="0.25">
      <c r="A5955" t="s">
        <v>16</v>
      </c>
      <c r="B5955" t="s">
        <v>3221</v>
      </c>
      <c r="C5955">
        <v>15463</v>
      </c>
      <c r="D5955" t="s">
        <v>1071</v>
      </c>
      <c r="E5955" t="s">
        <v>1072</v>
      </c>
      <c r="F5955">
        <v>174.86</v>
      </c>
      <c r="G5955">
        <v>231108</v>
      </c>
      <c r="H5955">
        <v>4572</v>
      </c>
      <c r="I5955" t="s">
        <v>122</v>
      </c>
      <c r="J5955">
        <v>216.83</v>
      </c>
      <c r="K5955">
        <v>41.97</v>
      </c>
      <c r="L5955">
        <v>14952</v>
      </c>
      <c r="M5955" t="s">
        <v>99</v>
      </c>
      <c r="N5955" t="str">
        <f>"7232359056  "</f>
        <v xml:space="preserve">7232359056  </v>
      </c>
      <c r="O5955">
        <v>231113</v>
      </c>
    </row>
    <row r="5956" spans="1:15" x14ac:dyDescent="0.25">
      <c r="A5956" t="s">
        <v>16</v>
      </c>
      <c r="B5956" t="s">
        <v>3221</v>
      </c>
      <c r="C5956">
        <v>15464</v>
      </c>
      <c r="D5956" t="s">
        <v>1071</v>
      </c>
      <c r="E5956" t="s">
        <v>1072</v>
      </c>
      <c r="F5956">
        <v>111.64</v>
      </c>
      <c r="G5956">
        <v>231108</v>
      </c>
      <c r="H5956">
        <v>4572</v>
      </c>
      <c r="I5956" t="s">
        <v>122</v>
      </c>
      <c r="J5956">
        <v>138.43</v>
      </c>
      <c r="K5956">
        <v>26.79</v>
      </c>
      <c r="L5956">
        <v>17956</v>
      </c>
      <c r="M5956" t="s">
        <v>53</v>
      </c>
      <c r="N5956" t="str">
        <f>"7232358743  "</f>
        <v xml:space="preserve">7232358743  </v>
      </c>
      <c r="O5956">
        <v>231113</v>
      </c>
    </row>
    <row r="5957" spans="1:15" x14ac:dyDescent="0.25">
      <c r="A5957" t="s">
        <v>16</v>
      </c>
      <c r="B5957" t="s">
        <v>3221</v>
      </c>
      <c r="C5957">
        <v>15465</v>
      </c>
      <c r="D5957" t="s">
        <v>1071</v>
      </c>
      <c r="E5957" t="s">
        <v>1072</v>
      </c>
      <c r="F5957">
        <v>411.58</v>
      </c>
      <c r="G5957">
        <v>231108</v>
      </c>
      <c r="H5957">
        <v>4572</v>
      </c>
      <c r="I5957" t="s">
        <v>122</v>
      </c>
      <c r="J5957">
        <v>510.36</v>
      </c>
      <c r="K5957">
        <v>98.78</v>
      </c>
      <c r="L5957">
        <v>13540</v>
      </c>
      <c r="M5957" t="s">
        <v>85</v>
      </c>
      <c r="N5957" t="str">
        <f>"7232358756  "</f>
        <v xml:space="preserve">7232358756  </v>
      </c>
      <c r="O5957">
        <v>231113</v>
      </c>
    </row>
    <row r="5958" spans="1:15" x14ac:dyDescent="0.25">
      <c r="A5958" t="s">
        <v>16</v>
      </c>
      <c r="B5958" t="s">
        <v>3221</v>
      </c>
      <c r="C5958">
        <v>15465</v>
      </c>
      <c r="D5958" t="s">
        <v>1071</v>
      </c>
      <c r="E5958" t="s">
        <v>1072</v>
      </c>
      <c r="F5958">
        <v>3330.03</v>
      </c>
      <c r="G5958">
        <v>231108</v>
      </c>
      <c r="H5958">
        <v>4572</v>
      </c>
      <c r="I5958" t="s">
        <v>122</v>
      </c>
      <c r="J5958">
        <v>4129.24</v>
      </c>
      <c r="K5958">
        <v>799.21</v>
      </c>
      <c r="L5958">
        <v>17950</v>
      </c>
      <c r="M5958" t="s">
        <v>86</v>
      </c>
      <c r="N5958" t="str">
        <f>"7232358756  "</f>
        <v xml:space="preserve">7232358756  </v>
      </c>
      <c r="O5958">
        <v>231113</v>
      </c>
    </row>
    <row r="5959" spans="1:15" x14ac:dyDescent="0.25">
      <c r="A5959" t="s">
        <v>16</v>
      </c>
      <c r="B5959" t="s">
        <v>3221</v>
      </c>
      <c r="C5959">
        <v>15466</v>
      </c>
      <c r="D5959" t="s">
        <v>1071</v>
      </c>
      <c r="E5959" t="s">
        <v>1072</v>
      </c>
      <c r="F5959">
        <v>356.59</v>
      </c>
      <c r="G5959">
        <v>231108</v>
      </c>
      <c r="H5959">
        <v>4572</v>
      </c>
      <c r="I5959" t="s">
        <v>122</v>
      </c>
      <c r="J5959">
        <v>442.17</v>
      </c>
      <c r="K5959">
        <v>85.58</v>
      </c>
      <c r="L5959">
        <v>17950</v>
      </c>
      <c r="M5959" t="s">
        <v>86</v>
      </c>
      <c r="N5959" t="str">
        <f>"7232358976  "</f>
        <v xml:space="preserve">7232358976  </v>
      </c>
      <c r="O5959">
        <v>231113</v>
      </c>
    </row>
    <row r="5960" spans="1:15" x14ac:dyDescent="0.25">
      <c r="A5960" t="s">
        <v>16</v>
      </c>
      <c r="B5960" t="s">
        <v>3221</v>
      </c>
      <c r="C5960">
        <v>15467</v>
      </c>
      <c r="D5960" t="s">
        <v>1071</v>
      </c>
      <c r="E5960" t="s">
        <v>1072</v>
      </c>
      <c r="F5960">
        <v>10.9</v>
      </c>
      <c r="G5960">
        <v>231108</v>
      </c>
      <c r="H5960">
        <v>4572</v>
      </c>
      <c r="I5960" t="s">
        <v>122</v>
      </c>
      <c r="J5960">
        <v>13.51</v>
      </c>
      <c r="K5960">
        <v>2.61</v>
      </c>
      <c r="L5960">
        <v>11401</v>
      </c>
      <c r="M5960" t="s">
        <v>84</v>
      </c>
      <c r="N5960" t="str">
        <f>"7232359043  "</f>
        <v xml:space="preserve">7232359043  </v>
      </c>
      <c r="O5960">
        <v>231113</v>
      </c>
    </row>
    <row r="5961" spans="1:15" x14ac:dyDescent="0.25">
      <c r="A5961" t="s">
        <v>16</v>
      </c>
      <c r="B5961" t="s">
        <v>3221</v>
      </c>
      <c r="C5961">
        <v>15467</v>
      </c>
      <c r="D5961" t="s">
        <v>1071</v>
      </c>
      <c r="E5961" t="s">
        <v>1072</v>
      </c>
      <c r="F5961">
        <v>21.78</v>
      </c>
      <c r="G5961">
        <v>231108</v>
      </c>
      <c r="H5961">
        <v>4572</v>
      </c>
      <c r="I5961" t="s">
        <v>122</v>
      </c>
      <c r="J5961">
        <v>27.01</v>
      </c>
      <c r="K5961">
        <v>5.23</v>
      </c>
      <c r="L5961">
        <v>14952</v>
      </c>
      <c r="M5961" t="s">
        <v>99</v>
      </c>
      <c r="N5961" t="str">
        <f>"7232359043  "</f>
        <v xml:space="preserve">7232359043  </v>
      </c>
      <c r="O5961">
        <v>231113</v>
      </c>
    </row>
    <row r="5962" spans="1:15" x14ac:dyDescent="0.25">
      <c r="A5962" t="s">
        <v>16</v>
      </c>
      <c r="B5962" t="s">
        <v>3221</v>
      </c>
      <c r="C5962">
        <v>15468</v>
      </c>
      <c r="D5962" t="s">
        <v>1071</v>
      </c>
      <c r="E5962" t="s">
        <v>1072</v>
      </c>
      <c r="F5962">
        <v>1772.58</v>
      </c>
      <c r="G5962">
        <v>231108</v>
      </c>
      <c r="H5962">
        <v>4572</v>
      </c>
      <c r="I5962" t="s">
        <v>122</v>
      </c>
      <c r="J5962">
        <v>2198</v>
      </c>
      <c r="K5962">
        <v>425.42</v>
      </c>
      <c r="L5962">
        <v>14951</v>
      </c>
      <c r="M5962" t="s">
        <v>57</v>
      </c>
      <c r="N5962" t="str">
        <f>"7232358798  "</f>
        <v xml:space="preserve">7232358798  </v>
      </c>
      <c r="O5962">
        <v>231113</v>
      </c>
    </row>
    <row r="5963" spans="1:15" x14ac:dyDescent="0.25">
      <c r="A5963" t="s">
        <v>16</v>
      </c>
      <c r="B5963" t="s">
        <v>3221</v>
      </c>
      <c r="C5963">
        <v>15469</v>
      </c>
      <c r="D5963" t="s">
        <v>1071</v>
      </c>
      <c r="E5963" t="s">
        <v>1072</v>
      </c>
      <c r="F5963">
        <v>8.33</v>
      </c>
      <c r="G5963">
        <v>231108</v>
      </c>
      <c r="H5963">
        <v>4572</v>
      </c>
      <c r="I5963" t="s">
        <v>122</v>
      </c>
      <c r="J5963">
        <v>10.33</v>
      </c>
      <c r="K5963">
        <v>2</v>
      </c>
      <c r="L5963">
        <v>17950</v>
      </c>
      <c r="M5963" t="s">
        <v>86</v>
      </c>
      <c r="N5963" t="str">
        <f>"7232358714  "</f>
        <v xml:space="preserve">7232358714  </v>
      </c>
      <c r="O5963">
        <v>231113</v>
      </c>
    </row>
    <row r="5964" spans="1:15" x14ac:dyDescent="0.25">
      <c r="A5964" t="s">
        <v>16</v>
      </c>
      <c r="B5964" t="s">
        <v>3221</v>
      </c>
      <c r="C5964">
        <v>15472</v>
      </c>
      <c r="D5964" t="s">
        <v>1071</v>
      </c>
      <c r="E5964" t="s">
        <v>1072</v>
      </c>
      <c r="F5964">
        <v>17.350000000000001</v>
      </c>
      <c r="G5964">
        <v>231108</v>
      </c>
      <c r="H5964">
        <v>4572</v>
      </c>
      <c r="I5964" t="s">
        <v>122</v>
      </c>
      <c r="J5964">
        <v>21.51</v>
      </c>
      <c r="K5964">
        <v>4.16</v>
      </c>
      <c r="L5964">
        <v>17956</v>
      </c>
      <c r="M5964" t="s">
        <v>53</v>
      </c>
      <c r="N5964" t="str">
        <f>"7232358824  "</f>
        <v xml:space="preserve">7232358824  </v>
      </c>
      <c r="O5964">
        <v>231113</v>
      </c>
    </row>
    <row r="5965" spans="1:15" x14ac:dyDescent="0.25">
      <c r="A5965" t="s">
        <v>16</v>
      </c>
      <c r="B5965" t="s">
        <v>3221</v>
      </c>
      <c r="C5965">
        <v>15473</v>
      </c>
      <c r="D5965" t="s">
        <v>1071</v>
      </c>
      <c r="E5965" t="s">
        <v>1072</v>
      </c>
      <c r="F5965">
        <v>7.37</v>
      </c>
      <c r="G5965">
        <v>231108</v>
      </c>
      <c r="H5965">
        <v>4572</v>
      </c>
      <c r="I5965" t="s">
        <v>122</v>
      </c>
      <c r="J5965">
        <v>9.14</v>
      </c>
      <c r="K5965">
        <v>1.77</v>
      </c>
      <c r="L5965">
        <v>14952</v>
      </c>
      <c r="M5965" t="s">
        <v>99</v>
      </c>
      <c r="N5965" t="str">
        <f>"7232365406  "</f>
        <v xml:space="preserve">7232365406  </v>
      </c>
      <c r="O5965">
        <v>231113</v>
      </c>
    </row>
    <row r="5966" spans="1:15" x14ac:dyDescent="0.25">
      <c r="A5966" t="s">
        <v>16</v>
      </c>
      <c r="B5966" t="s">
        <v>3221</v>
      </c>
      <c r="C5966">
        <v>15473</v>
      </c>
      <c r="D5966" t="s">
        <v>1071</v>
      </c>
      <c r="E5966" t="s">
        <v>1072</v>
      </c>
      <c r="F5966">
        <v>17.2</v>
      </c>
      <c r="G5966">
        <v>231108</v>
      </c>
      <c r="H5966">
        <v>4572</v>
      </c>
      <c r="I5966" t="s">
        <v>122</v>
      </c>
      <c r="J5966">
        <v>21.33</v>
      </c>
      <c r="K5966">
        <v>4.13</v>
      </c>
      <c r="L5966">
        <v>14981</v>
      </c>
      <c r="M5966" t="s">
        <v>1211</v>
      </c>
      <c r="N5966" t="str">
        <f>"7232365406  "</f>
        <v xml:space="preserve">7232365406  </v>
      </c>
      <c r="O5966">
        <v>231113</v>
      </c>
    </row>
    <row r="5967" spans="1:15" x14ac:dyDescent="0.25">
      <c r="A5967" t="s">
        <v>16</v>
      </c>
      <c r="B5967" t="s">
        <v>3221</v>
      </c>
      <c r="C5967">
        <v>15474</v>
      </c>
      <c r="D5967" t="s">
        <v>1071</v>
      </c>
      <c r="E5967" t="s">
        <v>1072</v>
      </c>
      <c r="F5967">
        <v>51.48</v>
      </c>
      <c r="G5967">
        <v>231108</v>
      </c>
      <c r="H5967">
        <v>4572</v>
      </c>
      <c r="I5967" t="s">
        <v>122</v>
      </c>
      <c r="J5967">
        <v>63.84</v>
      </c>
      <c r="K5967">
        <v>12.36</v>
      </c>
      <c r="L5967">
        <v>14952</v>
      </c>
      <c r="M5967" t="s">
        <v>99</v>
      </c>
      <c r="N5967" t="str">
        <f>"7232365396  "</f>
        <v xml:space="preserve">7232365396  </v>
      </c>
      <c r="O5967">
        <v>231113</v>
      </c>
    </row>
    <row r="5968" spans="1:15" x14ac:dyDescent="0.25">
      <c r="A5968" t="s">
        <v>16</v>
      </c>
      <c r="B5968" t="s">
        <v>3221</v>
      </c>
      <c r="C5968">
        <v>15474</v>
      </c>
      <c r="D5968" t="s">
        <v>1071</v>
      </c>
      <c r="E5968" t="s">
        <v>1072</v>
      </c>
      <c r="F5968">
        <v>120.13</v>
      </c>
      <c r="G5968">
        <v>231108</v>
      </c>
      <c r="H5968">
        <v>4572</v>
      </c>
      <c r="I5968" t="s">
        <v>122</v>
      </c>
      <c r="J5968">
        <v>148.96</v>
      </c>
      <c r="K5968">
        <v>28.83</v>
      </c>
      <c r="L5968">
        <v>14981</v>
      </c>
      <c r="M5968" t="s">
        <v>1211</v>
      </c>
      <c r="N5968" t="str">
        <f>"7232365396  "</f>
        <v xml:space="preserve">7232365396  </v>
      </c>
      <c r="O5968">
        <v>231113</v>
      </c>
    </row>
    <row r="5969" spans="1:15" x14ac:dyDescent="0.25">
      <c r="A5969" t="s">
        <v>16</v>
      </c>
      <c r="B5969" t="s">
        <v>3221</v>
      </c>
      <c r="C5969">
        <v>15488</v>
      </c>
      <c r="D5969" t="s">
        <v>1071</v>
      </c>
      <c r="E5969" t="s">
        <v>1072</v>
      </c>
      <c r="F5969">
        <v>1378.37</v>
      </c>
      <c r="G5969">
        <v>231108</v>
      </c>
      <c r="H5969">
        <v>4572</v>
      </c>
      <c r="I5969" t="s">
        <v>122</v>
      </c>
      <c r="J5969">
        <v>1709.18</v>
      </c>
      <c r="K5969">
        <v>330.81</v>
      </c>
      <c r="L5969">
        <v>17956</v>
      </c>
      <c r="M5969" t="s">
        <v>53</v>
      </c>
      <c r="N5969" t="str">
        <f>"7232358882  "</f>
        <v xml:space="preserve">7232358882  </v>
      </c>
      <c r="O5969">
        <v>231113</v>
      </c>
    </row>
    <row r="5970" spans="1:15" x14ac:dyDescent="0.25">
      <c r="A5970" t="s">
        <v>16</v>
      </c>
      <c r="B5970" t="s">
        <v>3221</v>
      </c>
      <c r="C5970">
        <v>15489</v>
      </c>
      <c r="D5970" t="s">
        <v>1071</v>
      </c>
      <c r="E5970" t="s">
        <v>1072</v>
      </c>
      <c r="F5970">
        <v>137.91</v>
      </c>
      <c r="G5970">
        <v>231108</v>
      </c>
      <c r="H5970">
        <v>4572</v>
      </c>
      <c r="I5970" t="s">
        <v>122</v>
      </c>
      <c r="J5970">
        <v>171.01</v>
      </c>
      <c r="K5970">
        <v>33.1</v>
      </c>
      <c r="L5970">
        <v>17956</v>
      </c>
      <c r="M5970" t="s">
        <v>53</v>
      </c>
      <c r="N5970" t="str">
        <f>"7232358730  "</f>
        <v xml:space="preserve">7232358730  </v>
      </c>
      <c r="O5970">
        <v>231113</v>
      </c>
    </row>
    <row r="5971" spans="1:15" x14ac:dyDescent="0.25">
      <c r="A5971" t="s">
        <v>16</v>
      </c>
      <c r="B5971" t="s">
        <v>3221</v>
      </c>
      <c r="C5971">
        <v>15491</v>
      </c>
      <c r="D5971" t="s">
        <v>1071</v>
      </c>
      <c r="E5971" t="s">
        <v>1072</v>
      </c>
      <c r="F5971">
        <v>41.23</v>
      </c>
      <c r="G5971">
        <v>231108</v>
      </c>
      <c r="H5971">
        <v>4572</v>
      </c>
      <c r="I5971" t="s">
        <v>122</v>
      </c>
      <c r="J5971">
        <v>51.13</v>
      </c>
      <c r="K5971">
        <v>9.9</v>
      </c>
      <c r="L5971">
        <v>17956</v>
      </c>
      <c r="M5971" t="s">
        <v>53</v>
      </c>
      <c r="N5971" t="str">
        <f>"7232358837  "</f>
        <v xml:space="preserve">7232358837  </v>
      </c>
      <c r="O5971">
        <v>231113</v>
      </c>
    </row>
    <row r="5972" spans="1:15" x14ac:dyDescent="0.25">
      <c r="A5972" t="s">
        <v>16</v>
      </c>
      <c r="B5972" t="s">
        <v>3221</v>
      </c>
      <c r="C5972">
        <v>15499</v>
      </c>
      <c r="D5972" t="s">
        <v>1071</v>
      </c>
      <c r="E5972" t="s">
        <v>1072</v>
      </c>
      <c r="F5972">
        <v>16.77</v>
      </c>
      <c r="G5972">
        <v>231108</v>
      </c>
      <c r="H5972">
        <v>4572</v>
      </c>
      <c r="I5972" t="s">
        <v>122</v>
      </c>
      <c r="J5972">
        <v>20.79</v>
      </c>
      <c r="K5972">
        <v>4.0199999999999996</v>
      </c>
      <c r="L5972">
        <v>56571</v>
      </c>
      <c r="M5972" t="s">
        <v>204</v>
      </c>
      <c r="N5972" t="str">
        <f>"7232358950  "</f>
        <v xml:space="preserve">7232358950  </v>
      </c>
      <c r="O5972">
        <v>231113</v>
      </c>
    </row>
    <row r="5973" spans="1:15" x14ac:dyDescent="0.25">
      <c r="A5973" t="s">
        <v>16</v>
      </c>
      <c r="B5973" t="s">
        <v>3221</v>
      </c>
      <c r="C5973">
        <v>15501</v>
      </c>
      <c r="D5973" t="s">
        <v>1071</v>
      </c>
      <c r="E5973" t="s">
        <v>1072</v>
      </c>
      <c r="F5973">
        <v>36.79</v>
      </c>
      <c r="G5973">
        <v>231109</v>
      </c>
      <c r="H5973">
        <v>4572</v>
      </c>
      <c r="I5973" t="s">
        <v>122</v>
      </c>
      <c r="J5973">
        <v>36.79</v>
      </c>
      <c r="K5973">
        <v>0</v>
      </c>
      <c r="L5973">
        <v>11001</v>
      </c>
      <c r="M5973" t="s">
        <v>326</v>
      </c>
      <c r="N5973" t="str">
        <f>"7232379913  "</f>
        <v xml:space="preserve">7232379913  </v>
      </c>
      <c r="O5973">
        <v>231113</v>
      </c>
    </row>
    <row r="5974" spans="1:15" x14ac:dyDescent="0.25">
      <c r="A5974" t="s">
        <v>16</v>
      </c>
      <c r="B5974" t="s">
        <v>3221</v>
      </c>
      <c r="C5974">
        <v>15660</v>
      </c>
      <c r="D5974" t="s">
        <v>1071</v>
      </c>
      <c r="E5974" t="s">
        <v>1072</v>
      </c>
      <c r="F5974">
        <v>144.47999999999999</v>
      </c>
      <c r="G5974">
        <v>231108</v>
      </c>
      <c r="H5974">
        <v>4572</v>
      </c>
      <c r="I5974" t="s">
        <v>122</v>
      </c>
      <c r="J5974">
        <v>179.16</v>
      </c>
      <c r="K5974">
        <v>34.68</v>
      </c>
      <c r="L5974">
        <v>17711</v>
      </c>
      <c r="M5974" t="s">
        <v>65</v>
      </c>
      <c r="N5974" t="str">
        <f>"7232358934  "</f>
        <v xml:space="preserve">7232358934  </v>
      </c>
      <c r="O5974">
        <v>231116</v>
      </c>
    </row>
    <row r="5975" spans="1:15" x14ac:dyDescent="0.25">
      <c r="A5975" t="s">
        <v>16</v>
      </c>
      <c r="B5975" t="s">
        <v>3221</v>
      </c>
      <c r="C5975">
        <v>15660</v>
      </c>
      <c r="D5975" t="s">
        <v>1071</v>
      </c>
      <c r="E5975" t="s">
        <v>1072</v>
      </c>
      <c r="F5975">
        <v>10.86</v>
      </c>
      <c r="G5975">
        <v>231108</v>
      </c>
      <c r="H5975">
        <v>4572</v>
      </c>
      <c r="I5975" t="s">
        <v>122</v>
      </c>
      <c r="J5975">
        <v>13.47</v>
      </c>
      <c r="K5975">
        <v>2.61</v>
      </c>
      <c r="L5975">
        <v>17737</v>
      </c>
      <c r="M5975" t="s">
        <v>279</v>
      </c>
      <c r="N5975" t="str">
        <f>"7232358934  "</f>
        <v xml:space="preserve">7232358934  </v>
      </c>
      <c r="O5975">
        <v>231116</v>
      </c>
    </row>
    <row r="5976" spans="1:15" x14ac:dyDescent="0.25">
      <c r="A5976" t="s">
        <v>16</v>
      </c>
      <c r="B5976" t="s">
        <v>3221</v>
      </c>
      <c r="C5976">
        <v>15660</v>
      </c>
      <c r="D5976" t="s">
        <v>1071</v>
      </c>
      <c r="E5976" t="s">
        <v>1072</v>
      </c>
      <c r="F5976">
        <v>61.92</v>
      </c>
      <c r="G5976">
        <v>231108</v>
      </c>
      <c r="H5976">
        <v>4572</v>
      </c>
      <c r="I5976" t="s">
        <v>122</v>
      </c>
      <c r="J5976">
        <v>76.78</v>
      </c>
      <c r="K5976">
        <v>14.86</v>
      </c>
      <c r="L5976">
        <v>17739</v>
      </c>
      <c r="M5976" t="s">
        <v>374</v>
      </c>
      <c r="N5976" t="str">
        <f>"7232358934  "</f>
        <v xml:space="preserve">7232358934  </v>
      </c>
      <c r="O5976">
        <v>231116</v>
      </c>
    </row>
    <row r="5977" spans="1:15" x14ac:dyDescent="0.25">
      <c r="A5977" t="s">
        <v>16</v>
      </c>
      <c r="B5977" t="s">
        <v>3221</v>
      </c>
      <c r="C5977">
        <v>15661</v>
      </c>
      <c r="D5977" t="s">
        <v>1071</v>
      </c>
      <c r="E5977" t="s">
        <v>1072</v>
      </c>
      <c r="F5977">
        <v>0.03</v>
      </c>
      <c r="G5977">
        <v>231108</v>
      </c>
      <c r="H5977">
        <v>4572</v>
      </c>
      <c r="I5977" t="s">
        <v>122</v>
      </c>
      <c r="J5977">
        <v>0.04</v>
      </c>
      <c r="K5977">
        <v>0.01</v>
      </c>
      <c r="L5977">
        <v>59112</v>
      </c>
      <c r="M5977" t="s">
        <v>182</v>
      </c>
      <c r="N5977" t="str">
        <f>"7232358918  "</f>
        <v xml:space="preserve">7232358918  </v>
      </c>
      <c r="O5977">
        <v>231116</v>
      </c>
    </row>
    <row r="5978" spans="1:15" x14ac:dyDescent="0.25">
      <c r="A5978" t="s">
        <v>16</v>
      </c>
      <c r="B5978" t="s">
        <v>3221</v>
      </c>
      <c r="C5978">
        <v>15661</v>
      </c>
      <c r="D5978" t="s">
        <v>1071</v>
      </c>
      <c r="E5978" t="s">
        <v>1072</v>
      </c>
      <c r="F5978">
        <v>0.09</v>
      </c>
      <c r="G5978">
        <v>231108</v>
      </c>
      <c r="H5978">
        <v>4572</v>
      </c>
      <c r="I5978" t="s">
        <v>122</v>
      </c>
      <c r="J5978">
        <v>0.11</v>
      </c>
      <c r="K5978">
        <v>0.02</v>
      </c>
      <c r="L5978">
        <v>59504</v>
      </c>
      <c r="M5978" t="s">
        <v>71</v>
      </c>
      <c r="N5978" t="str">
        <f>"7232358918  "</f>
        <v xml:space="preserve">7232358918  </v>
      </c>
      <c r="O5978">
        <v>231116</v>
      </c>
    </row>
    <row r="5979" spans="1:15" x14ac:dyDescent="0.25">
      <c r="A5979" t="s">
        <v>16</v>
      </c>
      <c r="B5979" t="s">
        <v>3221</v>
      </c>
      <c r="C5979">
        <v>15665</v>
      </c>
      <c r="D5979" t="s">
        <v>1071</v>
      </c>
      <c r="E5979" t="s">
        <v>1072</v>
      </c>
      <c r="F5979">
        <v>337.72</v>
      </c>
      <c r="G5979">
        <v>231108</v>
      </c>
      <c r="H5979">
        <v>4572</v>
      </c>
      <c r="I5979" t="s">
        <v>122</v>
      </c>
      <c r="J5979">
        <v>418.77</v>
      </c>
      <c r="K5979">
        <v>81.05</v>
      </c>
      <c r="L5979">
        <v>59112</v>
      </c>
      <c r="M5979" t="s">
        <v>182</v>
      </c>
      <c r="N5979" t="str">
        <f>"7232358905  "</f>
        <v xml:space="preserve">7232358905  </v>
      </c>
      <c r="O5979">
        <v>231116</v>
      </c>
    </row>
    <row r="5980" spans="1:15" x14ac:dyDescent="0.25">
      <c r="A5980" t="s">
        <v>16</v>
      </c>
      <c r="B5980" t="s">
        <v>3221</v>
      </c>
      <c r="C5980">
        <v>15665</v>
      </c>
      <c r="D5980" t="s">
        <v>1071</v>
      </c>
      <c r="E5980" t="s">
        <v>1072</v>
      </c>
      <c r="F5980">
        <v>913.08</v>
      </c>
      <c r="G5980">
        <v>231108</v>
      </c>
      <c r="H5980">
        <v>4572</v>
      </c>
      <c r="I5980" t="s">
        <v>122</v>
      </c>
      <c r="J5980">
        <v>1132.22</v>
      </c>
      <c r="K5980">
        <v>219.14</v>
      </c>
      <c r="L5980">
        <v>59504</v>
      </c>
      <c r="M5980" t="s">
        <v>71</v>
      </c>
      <c r="N5980" t="str">
        <f>"7232358905  "</f>
        <v xml:space="preserve">7232358905  </v>
      </c>
      <c r="O5980">
        <v>231116</v>
      </c>
    </row>
    <row r="5981" spans="1:15" x14ac:dyDescent="0.25">
      <c r="A5981" t="s">
        <v>16</v>
      </c>
      <c r="B5981" t="s">
        <v>3221</v>
      </c>
      <c r="C5981">
        <v>15669</v>
      </c>
      <c r="D5981" t="s">
        <v>1071</v>
      </c>
      <c r="E5981" t="s">
        <v>1072</v>
      </c>
      <c r="F5981">
        <v>134.22</v>
      </c>
      <c r="G5981">
        <v>231108</v>
      </c>
      <c r="H5981">
        <v>4572</v>
      </c>
      <c r="I5981" t="s">
        <v>122</v>
      </c>
      <c r="J5981">
        <v>166.43</v>
      </c>
      <c r="K5981">
        <v>32.21</v>
      </c>
      <c r="L5981">
        <v>17739</v>
      </c>
      <c r="M5981" t="s">
        <v>374</v>
      </c>
      <c r="N5981" t="str">
        <f>"7232358811  "</f>
        <v xml:space="preserve">7232358811  </v>
      </c>
      <c r="O5981">
        <v>231116</v>
      </c>
    </row>
    <row r="5982" spans="1:15" x14ac:dyDescent="0.25">
      <c r="A5982" t="s">
        <v>16</v>
      </c>
      <c r="B5982" t="s">
        <v>3221</v>
      </c>
      <c r="C5982">
        <v>15669</v>
      </c>
      <c r="D5982" t="s">
        <v>1071</v>
      </c>
      <c r="E5982" t="s">
        <v>1072</v>
      </c>
      <c r="F5982">
        <v>402.65</v>
      </c>
      <c r="G5982">
        <v>231108</v>
      </c>
      <c r="H5982">
        <v>4572</v>
      </c>
      <c r="I5982" t="s">
        <v>122</v>
      </c>
      <c r="J5982">
        <v>499.28</v>
      </c>
      <c r="K5982">
        <v>96.63</v>
      </c>
      <c r="L5982">
        <v>17912</v>
      </c>
      <c r="M5982" t="s">
        <v>419</v>
      </c>
      <c r="N5982" t="str">
        <f>"7232358811  "</f>
        <v xml:space="preserve">7232358811  </v>
      </c>
      <c r="O5982">
        <v>231116</v>
      </c>
    </row>
    <row r="5983" spans="1:15" x14ac:dyDescent="0.25">
      <c r="A5983" t="s">
        <v>16</v>
      </c>
      <c r="B5983" t="s">
        <v>3221</v>
      </c>
      <c r="C5983">
        <v>15669</v>
      </c>
      <c r="D5983" t="s">
        <v>1071</v>
      </c>
      <c r="E5983" t="s">
        <v>1072</v>
      </c>
      <c r="F5983">
        <v>805.29</v>
      </c>
      <c r="G5983">
        <v>231108</v>
      </c>
      <c r="H5983">
        <v>4572</v>
      </c>
      <c r="I5983" t="s">
        <v>122</v>
      </c>
      <c r="J5983">
        <v>998.56</v>
      </c>
      <c r="K5983">
        <v>193.27</v>
      </c>
      <c r="L5983">
        <v>17952</v>
      </c>
      <c r="M5983" t="s">
        <v>88</v>
      </c>
      <c r="N5983" t="str">
        <f>"7232358811  "</f>
        <v xml:space="preserve">7232358811  </v>
      </c>
      <c r="O5983">
        <v>231116</v>
      </c>
    </row>
    <row r="5984" spans="1:15" x14ac:dyDescent="0.25">
      <c r="A5984" t="s">
        <v>16</v>
      </c>
      <c r="B5984" t="s">
        <v>3221</v>
      </c>
      <c r="C5984">
        <v>15670</v>
      </c>
      <c r="D5984" t="s">
        <v>1071</v>
      </c>
      <c r="E5984" t="s">
        <v>1072</v>
      </c>
      <c r="F5984">
        <v>6.35</v>
      </c>
      <c r="G5984">
        <v>231108</v>
      </c>
      <c r="H5984">
        <v>4572</v>
      </c>
      <c r="I5984" t="s">
        <v>122</v>
      </c>
      <c r="J5984">
        <v>7.87</v>
      </c>
      <c r="K5984">
        <v>1.52</v>
      </c>
      <c r="L5984">
        <v>59112</v>
      </c>
      <c r="M5984" t="s">
        <v>182</v>
      </c>
      <c r="N5984" t="str">
        <f>"7232358895  "</f>
        <v xml:space="preserve">7232358895  </v>
      </c>
      <c r="O5984">
        <v>231116</v>
      </c>
    </row>
    <row r="5985" spans="1:15" x14ac:dyDescent="0.25">
      <c r="A5985" t="s">
        <v>16</v>
      </c>
      <c r="B5985" t="s">
        <v>3221</v>
      </c>
      <c r="C5985">
        <v>15670</v>
      </c>
      <c r="D5985" t="s">
        <v>1071</v>
      </c>
      <c r="E5985" t="s">
        <v>1072</v>
      </c>
      <c r="F5985">
        <v>17.149999999999999</v>
      </c>
      <c r="G5985">
        <v>231108</v>
      </c>
      <c r="H5985">
        <v>4572</v>
      </c>
      <c r="I5985" t="s">
        <v>122</v>
      </c>
      <c r="J5985">
        <v>21.27</v>
      </c>
      <c r="K5985">
        <v>4.12</v>
      </c>
      <c r="L5985">
        <v>59504</v>
      </c>
      <c r="M5985" t="s">
        <v>71</v>
      </c>
      <c r="N5985" t="str">
        <f>"7232358895  "</f>
        <v xml:space="preserve">7232358895  </v>
      </c>
      <c r="O5985">
        <v>231116</v>
      </c>
    </row>
    <row r="5986" spans="1:15" x14ac:dyDescent="0.25">
      <c r="A5986" t="s">
        <v>16</v>
      </c>
      <c r="B5986" t="s">
        <v>3221</v>
      </c>
      <c r="C5986">
        <v>15765</v>
      </c>
      <c r="D5986" t="s">
        <v>1071</v>
      </c>
      <c r="E5986" t="s">
        <v>1072</v>
      </c>
      <c r="F5986">
        <v>2960.72</v>
      </c>
      <c r="G5986">
        <v>231108</v>
      </c>
      <c r="H5986">
        <v>4572</v>
      </c>
      <c r="I5986" t="s">
        <v>122</v>
      </c>
      <c r="J5986">
        <v>3671.29</v>
      </c>
      <c r="K5986">
        <v>710.57</v>
      </c>
      <c r="L5986">
        <v>49501</v>
      </c>
      <c r="M5986" t="s">
        <v>177</v>
      </c>
      <c r="N5986" t="str">
        <f>"7232358947  "</f>
        <v xml:space="preserve">7232358947  </v>
      </c>
      <c r="O5986">
        <v>231116</v>
      </c>
    </row>
    <row r="5987" spans="1:15" x14ac:dyDescent="0.25">
      <c r="A5987" t="s">
        <v>16</v>
      </c>
      <c r="B5987" t="s">
        <v>3221</v>
      </c>
      <c r="C5987">
        <v>15765</v>
      </c>
      <c r="D5987" t="s">
        <v>1071</v>
      </c>
      <c r="E5987" t="s">
        <v>1072</v>
      </c>
      <c r="F5987">
        <v>160.65</v>
      </c>
      <c r="G5987">
        <v>231108</v>
      </c>
      <c r="H5987">
        <v>4572</v>
      </c>
      <c r="I5987" t="s">
        <v>122</v>
      </c>
      <c r="J5987">
        <v>199.2</v>
      </c>
      <c r="K5987">
        <v>38.549999999999997</v>
      </c>
      <c r="L5987">
        <v>49801</v>
      </c>
      <c r="M5987" t="s">
        <v>1227</v>
      </c>
      <c r="N5987" t="str">
        <f>"7232358947  "</f>
        <v xml:space="preserve">7232358947  </v>
      </c>
      <c r="O5987">
        <v>231116</v>
      </c>
    </row>
    <row r="5988" spans="1:15" x14ac:dyDescent="0.25">
      <c r="A5988" t="s">
        <v>16</v>
      </c>
      <c r="B5988" t="s">
        <v>3221</v>
      </c>
      <c r="C5988">
        <v>15765</v>
      </c>
      <c r="D5988" t="s">
        <v>1071</v>
      </c>
      <c r="E5988" t="s">
        <v>1072</v>
      </c>
      <c r="F5988">
        <v>91.56</v>
      </c>
      <c r="G5988">
        <v>231108</v>
      </c>
      <c r="H5988">
        <v>4572</v>
      </c>
      <c r="I5988" t="s">
        <v>122</v>
      </c>
      <c r="J5988">
        <v>113.54</v>
      </c>
      <c r="K5988">
        <v>21.98</v>
      </c>
      <c r="L5988">
        <v>49803</v>
      </c>
      <c r="M5988" t="s">
        <v>1229</v>
      </c>
      <c r="N5988" t="str">
        <f>"7232358947  "</f>
        <v xml:space="preserve">7232358947  </v>
      </c>
      <c r="O5988">
        <v>231116</v>
      </c>
    </row>
    <row r="5989" spans="1:15" x14ac:dyDescent="0.25">
      <c r="A5989" t="s">
        <v>16</v>
      </c>
      <c r="B5989" t="s">
        <v>3221</v>
      </c>
      <c r="C5989">
        <v>15767</v>
      </c>
      <c r="D5989" t="s">
        <v>1071</v>
      </c>
      <c r="E5989" t="s">
        <v>1072</v>
      </c>
      <c r="F5989">
        <v>914.24</v>
      </c>
      <c r="G5989">
        <v>231108</v>
      </c>
      <c r="H5989">
        <v>4572</v>
      </c>
      <c r="I5989" t="s">
        <v>122</v>
      </c>
      <c r="J5989">
        <v>1133.6600000000001</v>
      </c>
      <c r="K5989">
        <v>219.42</v>
      </c>
      <c r="L5989">
        <v>49503</v>
      </c>
      <c r="M5989" t="s">
        <v>178</v>
      </c>
      <c r="N5989" t="str">
        <f>"7232358866  "</f>
        <v xml:space="preserve">7232358866  </v>
      </c>
      <c r="O5989">
        <v>231116</v>
      </c>
    </row>
    <row r="5990" spans="1:15" x14ac:dyDescent="0.25">
      <c r="A5990" t="s">
        <v>16</v>
      </c>
      <c r="B5990" t="s">
        <v>3221</v>
      </c>
      <c r="C5990">
        <v>15768</v>
      </c>
      <c r="D5990" t="s">
        <v>1071</v>
      </c>
      <c r="E5990" t="s">
        <v>1072</v>
      </c>
      <c r="F5990">
        <v>1402.63</v>
      </c>
      <c r="G5990">
        <v>231108</v>
      </c>
      <c r="H5990">
        <v>4572</v>
      </c>
      <c r="I5990" t="s">
        <v>122</v>
      </c>
      <c r="J5990">
        <v>1739.26</v>
      </c>
      <c r="K5990">
        <v>336.63</v>
      </c>
      <c r="L5990">
        <v>49501</v>
      </c>
      <c r="M5990" t="s">
        <v>177</v>
      </c>
      <c r="N5990" t="str">
        <f>"7232358785  "</f>
        <v xml:space="preserve">7232358785  </v>
      </c>
      <c r="O5990">
        <v>231116</v>
      </c>
    </row>
    <row r="5991" spans="1:15" x14ac:dyDescent="0.25">
      <c r="A5991" t="s">
        <v>16</v>
      </c>
      <c r="B5991" t="s">
        <v>3221</v>
      </c>
      <c r="C5991">
        <v>15768</v>
      </c>
      <c r="D5991" t="s">
        <v>1071</v>
      </c>
      <c r="E5991" t="s">
        <v>1072</v>
      </c>
      <c r="F5991">
        <v>73.819999999999993</v>
      </c>
      <c r="G5991">
        <v>231108</v>
      </c>
      <c r="H5991">
        <v>4572</v>
      </c>
      <c r="I5991" t="s">
        <v>122</v>
      </c>
      <c r="J5991">
        <v>91.54</v>
      </c>
      <c r="K5991">
        <v>17.72</v>
      </c>
      <c r="L5991">
        <v>49801</v>
      </c>
      <c r="M5991" t="s">
        <v>1227</v>
      </c>
      <c r="N5991" t="str">
        <f>"7232358785  "</f>
        <v xml:space="preserve">7232358785  </v>
      </c>
      <c r="O5991">
        <v>231116</v>
      </c>
    </row>
    <row r="5992" spans="1:15" x14ac:dyDescent="0.25">
      <c r="A5992" t="s">
        <v>16</v>
      </c>
      <c r="B5992" t="s">
        <v>3221</v>
      </c>
      <c r="C5992">
        <v>15828</v>
      </c>
      <c r="D5992" t="s">
        <v>1071</v>
      </c>
      <c r="E5992" t="s">
        <v>1072</v>
      </c>
      <c r="F5992">
        <v>1401.19</v>
      </c>
      <c r="G5992">
        <v>231108</v>
      </c>
      <c r="H5992">
        <v>4572</v>
      </c>
      <c r="I5992" t="s">
        <v>122</v>
      </c>
      <c r="J5992">
        <v>1737.48</v>
      </c>
      <c r="K5992">
        <v>336.29</v>
      </c>
      <c r="L5992">
        <v>69111</v>
      </c>
      <c r="M5992" t="s">
        <v>471</v>
      </c>
      <c r="N5992" t="str">
        <f>"7232358769  "</f>
        <v xml:space="preserve">7232358769  </v>
      </c>
      <c r="O5992">
        <v>231120</v>
      </c>
    </row>
    <row r="5993" spans="1:15" x14ac:dyDescent="0.25">
      <c r="A5993" t="s">
        <v>16</v>
      </c>
      <c r="B5993" t="s">
        <v>3221</v>
      </c>
      <c r="C5993">
        <v>15828</v>
      </c>
      <c r="D5993" t="s">
        <v>1071</v>
      </c>
      <c r="E5993" t="s">
        <v>1072</v>
      </c>
      <c r="F5993">
        <v>3502.98</v>
      </c>
      <c r="G5993">
        <v>231108</v>
      </c>
      <c r="H5993">
        <v>4572</v>
      </c>
      <c r="I5993" t="s">
        <v>122</v>
      </c>
      <c r="J5993">
        <v>4343.7</v>
      </c>
      <c r="K5993">
        <v>840.72</v>
      </c>
      <c r="L5993">
        <v>69501</v>
      </c>
      <c r="M5993" t="s">
        <v>185</v>
      </c>
      <c r="N5993" t="str">
        <f>"7232358769  "</f>
        <v xml:space="preserve">7232358769  </v>
      </c>
      <c r="O5993">
        <v>231120</v>
      </c>
    </row>
    <row r="5994" spans="1:15" x14ac:dyDescent="0.25">
      <c r="A5994" t="s">
        <v>16</v>
      </c>
      <c r="B5994" t="s">
        <v>3221</v>
      </c>
      <c r="C5994">
        <v>15828</v>
      </c>
      <c r="D5994" t="s">
        <v>1071</v>
      </c>
      <c r="E5994" t="s">
        <v>1072</v>
      </c>
      <c r="F5994">
        <v>50.04</v>
      </c>
      <c r="G5994">
        <v>231108</v>
      </c>
      <c r="H5994">
        <v>4572</v>
      </c>
      <c r="I5994" t="s">
        <v>122</v>
      </c>
      <c r="J5994">
        <v>62.05</v>
      </c>
      <c r="K5994">
        <v>12.01</v>
      </c>
      <c r="L5994">
        <v>69801</v>
      </c>
      <c r="M5994" t="s">
        <v>1735</v>
      </c>
      <c r="N5994" t="str">
        <f>"7232358769  "</f>
        <v xml:space="preserve">7232358769  </v>
      </c>
      <c r="O5994">
        <v>231120</v>
      </c>
    </row>
    <row r="5995" spans="1:15" x14ac:dyDescent="0.25">
      <c r="A5995" t="s">
        <v>16</v>
      </c>
      <c r="B5995" t="s">
        <v>3221</v>
      </c>
      <c r="C5995">
        <v>15828</v>
      </c>
      <c r="D5995" t="s">
        <v>1071</v>
      </c>
      <c r="E5995" t="s">
        <v>1072</v>
      </c>
      <c r="F5995">
        <v>62.06</v>
      </c>
      <c r="G5995">
        <v>231108</v>
      </c>
      <c r="H5995">
        <v>4572</v>
      </c>
      <c r="I5995" t="s">
        <v>122</v>
      </c>
      <c r="J5995">
        <v>62.06</v>
      </c>
      <c r="K5995">
        <v>0</v>
      </c>
      <c r="L5995">
        <v>69803</v>
      </c>
      <c r="M5995" t="s">
        <v>755</v>
      </c>
      <c r="N5995" t="str">
        <f>"7232358769  "</f>
        <v xml:space="preserve">7232358769  </v>
      </c>
      <c r="O5995">
        <v>231120</v>
      </c>
    </row>
    <row r="5996" spans="1:15" x14ac:dyDescent="0.25">
      <c r="A5996" t="s">
        <v>16</v>
      </c>
      <c r="B5996" t="s">
        <v>3221</v>
      </c>
      <c r="C5996">
        <v>15829</v>
      </c>
      <c r="D5996" t="s">
        <v>1071</v>
      </c>
      <c r="E5996" t="s">
        <v>1072</v>
      </c>
      <c r="F5996">
        <v>77.53</v>
      </c>
      <c r="G5996">
        <v>231108</v>
      </c>
      <c r="H5996">
        <v>4572</v>
      </c>
      <c r="I5996" t="s">
        <v>122</v>
      </c>
      <c r="J5996">
        <v>96.14</v>
      </c>
      <c r="K5996">
        <v>18.61</v>
      </c>
      <c r="L5996">
        <v>69501</v>
      </c>
      <c r="M5996" t="s">
        <v>185</v>
      </c>
      <c r="N5996" t="str">
        <f>"7232358772  "</f>
        <v xml:space="preserve">7232358772  </v>
      </c>
      <c r="O5996">
        <v>231120</v>
      </c>
    </row>
    <row r="5997" spans="1:15" x14ac:dyDescent="0.25">
      <c r="A5997" t="s">
        <v>16</v>
      </c>
      <c r="B5997" t="s">
        <v>3221</v>
      </c>
      <c r="C5997">
        <v>16889</v>
      </c>
      <c r="D5997" t="s">
        <v>1071</v>
      </c>
      <c r="E5997" t="s">
        <v>1072</v>
      </c>
      <c r="F5997">
        <v>282.81</v>
      </c>
      <c r="G5997">
        <v>231208</v>
      </c>
      <c r="H5997">
        <v>4572</v>
      </c>
      <c r="I5997" t="s">
        <v>122</v>
      </c>
      <c r="J5997">
        <v>350.69</v>
      </c>
      <c r="K5997">
        <v>67.88</v>
      </c>
      <c r="L5997">
        <v>59112</v>
      </c>
      <c r="M5997" t="s">
        <v>182</v>
      </c>
      <c r="N5997" t="str">
        <f>"7232527561  "</f>
        <v xml:space="preserve">7232527561  </v>
      </c>
      <c r="O5997">
        <v>231211</v>
      </c>
    </row>
    <row r="5998" spans="1:15" x14ac:dyDescent="0.25">
      <c r="A5998" t="s">
        <v>16</v>
      </c>
      <c r="B5998" t="s">
        <v>3221</v>
      </c>
      <c r="C5998">
        <v>16889</v>
      </c>
      <c r="D5998" t="s">
        <v>1071</v>
      </c>
      <c r="E5998" t="s">
        <v>1072</v>
      </c>
      <c r="F5998">
        <v>764.65</v>
      </c>
      <c r="G5998">
        <v>231208</v>
      </c>
      <c r="H5998">
        <v>4572</v>
      </c>
      <c r="I5998" t="s">
        <v>122</v>
      </c>
      <c r="J5998">
        <v>948.17</v>
      </c>
      <c r="K5998">
        <v>183.52</v>
      </c>
      <c r="L5998">
        <v>59504</v>
      </c>
      <c r="M5998" t="s">
        <v>71</v>
      </c>
      <c r="N5998" t="str">
        <f>"7232527561  "</f>
        <v xml:space="preserve">7232527561  </v>
      </c>
      <c r="O5998">
        <v>231211</v>
      </c>
    </row>
    <row r="5999" spans="1:15" x14ac:dyDescent="0.25">
      <c r="A5999" t="s">
        <v>16</v>
      </c>
      <c r="B5999" t="s">
        <v>3221</v>
      </c>
      <c r="C5999">
        <v>16891</v>
      </c>
      <c r="D5999" t="s">
        <v>1071</v>
      </c>
      <c r="E5999" t="s">
        <v>1072</v>
      </c>
      <c r="F5999">
        <v>205.18</v>
      </c>
      <c r="G5999">
        <v>231208</v>
      </c>
      <c r="H5999">
        <v>4572</v>
      </c>
      <c r="I5999" t="s">
        <v>122</v>
      </c>
      <c r="J5999">
        <v>254.42</v>
      </c>
      <c r="K5999">
        <v>49.24</v>
      </c>
      <c r="L5999">
        <v>17711</v>
      </c>
      <c r="M5999" t="s">
        <v>65</v>
      </c>
      <c r="N5999" t="str">
        <f>"7232527587  "</f>
        <v xml:space="preserve">7232527587  </v>
      </c>
      <c r="O5999">
        <v>231211</v>
      </c>
    </row>
    <row r="6000" spans="1:15" x14ac:dyDescent="0.25">
      <c r="A6000" t="s">
        <v>16</v>
      </c>
      <c r="B6000" t="s">
        <v>3221</v>
      </c>
      <c r="C6000">
        <v>16891</v>
      </c>
      <c r="D6000" t="s">
        <v>1071</v>
      </c>
      <c r="E6000" t="s">
        <v>1072</v>
      </c>
      <c r="F6000">
        <v>15.43</v>
      </c>
      <c r="G6000">
        <v>231208</v>
      </c>
      <c r="H6000">
        <v>4572</v>
      </c>
      <c r="I6000" t="s">
        <v>122</v>
      </c>
      <c r="J6000">
        <v>19.13</v>
      </c>
      <c r="K6000">
        <v>3.7</v>
      </c>
      <c r="L6000">
        <v>17737</v>
      </c>
      <c r="M6000" t="s">
        <v>279</v>
      </c>
      <c r="N6000" t="str">
        <f>"7232527587  "</f>
        <v xml:space="preserve">7232527587  </v>
      </c>
      <c r="O6000">
        <v>231211</v>
      </c>
    </row>
    <row r="6001" spans="1:15" x14ac:dyDescent="0.25">
      <c r="A6001" t="s">
        <v>16</v>
      </c>
      <c r="B6001" t="s">
        <v>3221</v>
      </c>
      <c r="C6001">
        <v>16891</v>
      </c>
      <c r="D6001" t="s">
        <v>1071</v>
      </c>
      <c r="E6001" t="s">
        <v>1072</v>
      </c>
      <c r="F6001">
        <v>87.94</v>
      </c>
      <c r="G6001">
        <v>231208</v>
      </c>
      <c r="H6001">
        <v>4572</v>
      </c>
      <c r="I6001" t="s">
        <v>122</v>
      </c>
      <c r="J6001">
        <v>109.04</v>
      </c>
      <c r="K6001">
        <v>21.1</v>
      </c>
      <c r="L6001">
        <v>17739</v>
      </c>
      <c r="M6001" t="s">
        <v>374</v>
      </c>
      <c r="N6001" t="str">
        <f>"7232527587  "</f>
        <v xml:space="preserve">7232527587  </v>
      </c>
      <c r="O6001">
        <v>231211</v>
      </c>
    </row>
    <row r="6002" spans="1:15" x14ac:dyDescent="0.25">
      <c r="A6002" t="s">
        <v>16</v>
      </c>
      <c r="B6002" t="s">
        <v>3221</v>
      </c>
      <c r="C6002">
        <v>16892</v>
      </c>
      <c r="D6002" t="s">
        <v>1071</v>
      </c>
      <c r="E6002" t="s">
        <v>1072</v>
      </c>
      <c r="F6002">
        <v>19.41</v>
      </c>
      <c r="G6002">
        <v>231208</v>
      </c>
      <c r="H6002">
        <v>4572</v>
      </c>
      <c r="I6002" t="s">
        <v>122</v>
      </c>
      <c r="J6002">
        <v>24.07</v>
      </c>
      <c r="K6002">
        <v>4.66</v>
      </c>
      <c r="L6002">
        <v>17956</v>
      </c>
      <c r="M6002" t="s">
        <v>53</v>
      </c>
      <c r="N6002" t="str">
        <f>"7232527419  "</f>
        <v xml:space="preserve">7232527419  </v>
      </c>
      <c r="O6002">
        <v>231211</v>
      </c>
    </row>
    <row r="6003" spans="1:15" x14ac:dyDescent="0.25">
      <c r="A6003" t="s">
        <v>16</v>
      </c>
      <c r="B6003" t="s">
        <v>3221</v>
      </c>
      <c r="C6003">
        <v>16893</v>
      </c>
      <c r="D6003" t="s">
        <v>1071</v>
      </c>
      <c r="E6003" t="s">
        <v>1072</v>
      </c>
      <c r="F6003">
        <v>306.44</v>
      </c>
      <c r="G6003">
        <v>231208</v>
      </c>
      <c r="H6003">
        <v>4572</v>
      </c>
      <c r="I6003" t="s">
        <v>122</v>
      </c>
      <c r="J6003">
        <v>379.99</v>
      </c>
      <c r="K6003">
        <v>73.55</v>
      </c>
      <c r="L6003">
        <v>17950</v>
      </c>
      <c r="M6003" t="s">
        <v>86</v>
      </c>
      <c r="N6003" t="str">
        <f>"7232527600  "</f>
        <v xml:space="preserve">7232527600  </v>
      </c>
      <c r="O6003">
        <v>231211</v>
      </c>
    </row>
    <row r="6004" spans="1:15" x14ac:dyDescent="0.25">
      <c r="A6004" t="s">
        <v>16</v>
      </c>
      <c r="B6004" t="s">
        <v>3221</v>
      </c>
      <c r="C6004">
        <v>16906</v>
      </c>
      <c r="D6004" t="s">
        <v>1071</v>
      </c>
      <c r="E6004" t="s">
        <v>1072</v>
      </c>
      <c r="F6004">
        <v>127.2</v>
      </c>
      <c r="G6004">
        <v>231208</v>
      </c>
      <c r="H6004">
        <v>4572</v>
      </c>
      <c r="I6004" t="s">
        <v>122</v>
      </c>
      <c r="J6004">
        <v>157.72999999999999</v>
      </c>
      <c r="K6004">
        <v>30.53</v>
      </c>
      <c r="L6004">
        <v>17956</v>
      </c>
      <c r="M6004" t="s">
        <v>53</v>
      </c>
      <c r="N6004" t="str">
        <f>"7232527338  "</f>
        <v xml:space="preserve">7232527338  </v>
      </c>
      <c r="O6004">
        <v>231211</v>
      </c>
    </row>
    <row r="6005" spans="1:15" x14ac:dyDescent="0.25">
      <c r="A6005" t="s">
        <v>16</v>
      </c>
      <c r="B6005" t="s">
        <v>3221</v>
      </c>
      <c r="C6005">
        <v>16919</v>
      </c>
      <c r="D6005" t="s">
        <v>1071</v>
      </c>
      <c r="E6005" t="s">
        <v>1072</v>
      </c>
      <c r="F6005">
        <v>121.93</v>
      </c>
      <c r="G6005">
        <v>231208</v>
      </c>
      <c r="H6005">
        <v>4572</v>
      </c>
      <c r="I6005" t="s">
        <v>122</v>
      </c>
      <c r="J6005">
        <v>151.19</v>
      </c>
      <c r="K6005">
        <v>29.26</v>
      </c>
      <c r="L6005">
        <v>17739</v>
      </c>
      <c r="M6005" t="s">
        <v>374</v>
      </c>
      <c r="N6005" t="str">
        <f>"7232527406  "</f>
        <v xml:space="preserve">7232527406  </v>
      </c>
      <c r="O6005">
        <v>231211</v>
      </c>
    </row>
    <row r="6006" spans="1:15" x14ac:dyDescent="0.25">
      <c r="A6006" t="s">
        <v>16</v>
      </c>
      <c r="B6006" t="s">
        <v>3221</v>
      </c>
      <c r="C6006">
        <v>16919</v>
      </c>
      <c r="D6006" t="s">
        <v>1071</v>
      </c>
      <c r="E6006" t="s">
        <v>1072</v>
      </c>
      <c r="F6006">
        <v>365.77</v>
      </c>
      <c r="G6006">
        <v>231208</v>
      </c>
      <c r="H6006">
        <v>4572</v>
      </c>
      <c r="I6006" t="s">
        <v>122</v>
      </c>
      <c r="J6006">
        <v>453.56</v>
      </c>
      <c r="K6006">
        <v>87.79</v>
      </c>
      <c r="L6006">
        <v>17912</v>
      </c>
      <c r="M6006" t="s">
        <v>419</v>
      </c>
      <c r="N6006" t="str">
        <f>"7232527406  "</f>
        <v xml:space="preserve">7232527406  </v>
      </c>
      <c r="O6006">
        <v>231211</v>
      </c>
    </row>
    <row r="6007" spans="1:15" x14ac:dyDescent="0.25">
      <c r="A6007" t="s">
        <v>16</v>
      </c>
      <c r="B6007" t="s">
        <v>3221</v>
      </c>
      <c r="C6007">
        <v>16919</v>
      </c>
      <c r="D6007" t="s">
        <v>1071</v>
      </c>
      <c r="E6007" t="s">
        <v>1072</v>
      </c>
      <c r="F6007">
        <v>731.54</v>
      </c>
      <c r="G6007">
        <v>231208</v>
      </c>
      <c r="H6007">
        <v>4572</v>
      </c>
      <c r="I6007" t="s">
        <v>122</v>
      </c>
      <c r="J6007">
        <v>907.11</v>
      </c>
      <c r="K6007">
        <v>175.57</v>
      </c>
      <c r="L6007">
        <v>17952</v>
      </c>
      <c r="M6007" t="s">
        <v>88</v>
      </c>
      <c r="N6007" t="str">
        <f>"7232527406  "</f>
        <v xml:space="preserve">7232527406  </v>
      </c>
      <c r="O6007">
        <v>231211</v>
      </c>
    </row>
    <row r="6008" spans="1:15" x14ac:dyDescent="0.25">
      <c r="A6008" t="s">
        <v>16</v>
      </c>
      <c r="B6008" t="s">
        <v>3221</v>
      </c>
      <c r="C6008">
        <v>16929</v>
      </c>
      <c r="D6008" t="s">
        <v>1071</v>
      </c>
      <c r="E6008" t="s">
        <v>1072</v>
      </c>
      <c r="F6008">
        <v>0.85</v>
      </c>
      <c r="G6008">
        <v>231208</v>
      </c>
      <c r="H6008">
        <v>4572</v>
      </c>
      <c r="I6008" t="s">
        <v>122</v>
      </c>
      <c r="J6008">
        <v>1.06</v>
      </c>
      <c r="K6008">
        <v>0.21</v>
      </c>
      <c r="L6008">
        <v>59112</v>
      </c>
      <c r="M6008" t="s">
        <v>182</v>
      </c>
      <c r="N6008" t="str">
        <f>"7232527545  "</f>
        <v xml:space="preserve">7232527545  </v>
      </c>
      <c r="O6008">
        <v>231211</v>
      </c>
    </row>
    <row r="6009" spans="1:15" x14ac:dyDescent="0.25">
      <c r="A6009" t="s">
        <v>16</v>
      </c>
      <c r="B6009" t="s">
        <v>3221</v>
      </c>
      <c r="C6009">
        <v>16929</v>
      </c>
      <c r="D6009" t="s">
        <v>1071</v>
      </c>
      <c r="E6009" t="s">
        <v>1072</v>
      </c>
      <c r="F6009">
        <v>2.2999999999999998</v>
      </c>
      <c r="G6009">
        <v>231208</v>
      </c>
      <c r="H6009">
        <v>4572</v>
      </c>
      <c r="I6009" t="s">
        <v>122</v>
      </c>
      <c r="J6009">
        <v>2.85</v>
      </c>
      <c r="K6009">
        <v>0.55000000000000004</v>
      </c>
      <c r="L6009">
        <v>59504</v>
      </c>
      <c r="M6009" t="s">
        <v>71</v>
      </c>
      <c r="N6009" t="str">
        <f>"7232527545  "</f>
        <v xml:space="preserve">7232527545  </v>
      </c>
      <c r="O6009">
        <v>231211</v>
      </c>
    </row>
    <row r="6010" spans="1:15" x14ac:dyDescent="0.25">
      <c r="A6010" t="s">
        <v>16</v>
      </c>
      <c r="B6010" t="s">
        <v>3221</v>
      </c>
      <c r="C6010">
        <v>16939</v>
      </c>
      <c r="D6010" t="s">
        <v>1071</v>
      </c>
      <c r="E6010" t="s">
        <v>1072</v>
      </c>
      <c r="F6010">
        <v>411.61</v>
      </c>
      <c r="G6010">
        <v>231208</v>
      </c>
      <c r="H6010">
        <v>4572</v>
      </c>
      <c r="I6010" t="s">
        <v>122</v>
      </c>
      <c r="J6010">
        <v>510.4</v>
      </c>
      <c r="K6010">
        <v>98.79</v>
      </c>
      <c r="L6010">
        <v>13540</v>
      </c>
      <c r="M6010" t="s">
        <v>85</v>
      </c>
      <c r="N6010" t="str">
        <f>"7232527354  "</f>
        <v xml:space="preserve">7232527354  </v>
      </c>
      <c r="O6010">
        <v>231211</v>
      </c>
    </row>
    <row r="6011" spans="1:15" x14ac:dyDescent="0.25">
      <c r="A6011" t="s">
        <v>16</v>
      </c>
      <c r="B6011" t="s">
        <v>3221</v>
      </c>
      <c r="C6011">
        <v>16939</v>
      </c>
      <c r="D6011" t="s">
        <v>1071</v>
      </c>
      <c r="E6011" t="s">
        <v>1072</v>
      </c>
      <c r="F6011">
        <v>3330.35</v>
      </c>
      <c r="G6011">
        <v>231208</v>
      </c>
      <c r="H6011">
        <v>4572</v>
      </c>
      <c r="I6011" t="s">
        <v>122</v>
      </c>
      <c r="J6011">
        <v>4129.63</v>
      </c>
      <c r="K6011">
        <v>799.28</v>
      </c>
      <c r="L6011">
        <v>17950</v>
      </c>
      <c r="M6011" t="s">
        <v>86</v>
      </c>
      <c r="N6011" t="str">
        <f>"7232527354  "</f>
        <v xml:space="preserve">7232527354  </v>
      </c>
      <c r="O6011">
        <v>231211</v>
      </c>
    </row>
    <row r="6012" spans="1:15" x14ac:dyDescent="0.25">
      <c r="A6012" t="s">
        <v>16</v>
      </c>
      <c r="B6012" t="s">
        <v>3221</v>
      </c>
      <c r="C6012">
        <v>16949</v>
      </c>
      <c r="D6012" t="s">
        <v>1071</v>
      </c>
      <c r="E6012" t="s">
        <v>1072</v>
      </c>
      <c r="F6012">
        <v>2894.09</v>
      </c>
      <c r="G6012">
        <v>231208</v>
      </c>
      <c r="H6012">
        <v>4572</v>
      </c>
      <c r="I6012" t="s">
        <v>122</v>
      </c>
      <c r="J6012">
        <v>3588.67</v>
      </c>
      <c r="K6012">
        <v>694.58</v>
      </c>
      <c r="L6012">
        <v>17951</v>
      </c>
      <c r="M6012" t="s">
        <v>87</v>
      </c>
      <c r="N6012" t="str">
        <f>"7232527325  "</f>
        <v xml:space="preserve">7232527325  </v>
      </c>
      <c r="O6012">
        <v>231211</v>
      </c>
    </row>
    <row r="6013" spans="1:15" x14ac:dyDescent="0.25">
      <c r="A6013" t="s">
        <v>16</v>
      </c>
      <c r="B6013" t="s">
        <v>3221</v>
      </c>
      <c r="C6013">
        <v>16967</v>
      </c>
      <c r="D6013" t="s">
        <v>1071</v>
      </c>
      <c r="E6013" t="s">
        <v>1072</v>
      </c>
      <c r="F6013">
        <v>12.33</v>
      </c>
      <c r="G6013">
        <v>231208</v>
      </c>
      <c r="H6013">
        <v>4572</v>
      </c>
      <c r="I6013" t="s">
        <v>122</v>
      </c>
      <c r="J6013">
        <v>15.29</v>
      </c>
      <c r="K6013">
        <v>2.96</v>
      </c>
      <c r="L6013">
        <v>13841</v>
      </c>
      <c r="M6013" t="s">
        <v>47</v>
      </c>
      <c r="N6013" t="str">
        <f>"7232527930  "</f>
        <v xml:space="preserve">7232527930  </v>
      </c>
      <c r="O6013">
        <v>231211</v>
      </c>
    </row>
    <row r="6014" spans="1:15" x14ac:dyDescent="0.25">
      <c r="A6014" t="s">
        <v>16</v>
      </c>
      <c r="B6014" t="s">
        <v>3221</v>
      </c>
      <c r="C6014">
        <v>16968</v>
      </c>
      <c r="D6014" t="s">
        <v>1071</v>
      </c>
      <c r="E6014" t="s">
        <v>1072</v>
      </c>
      <c r="F6014">
        <v>1401.81</v>
      </c>
      <c r="G6014">
        <v>231208</v>
      </c>
      <c r="H6014">
        <v>4572</v>
      </c>
      <c r="I6014" t="s">
        <v>122</v>
      </c>
      <c r="J6014">
        <v>1738.24</v>
      </c>
      <c r="K6014">
        <v>336.43</v>
      </c>
      <c r="L6014">
        <v>17956</v>
      </c>
      <c r="M6014" t="s">
        <v>53</v>
      </c>
      <c r="N6014" t="str">
        <f>"7232527532  "</f>
        <v xml:space="preserve">7232527532  </v>
      </c>
      <c r="O6014">
        <v>231211</v>
      </c>
    </row>
    <row r="6015" spans="1:15" x14ac:dyDescent="0.25">
      <c r="A6015" t="s">
        <v>16</v>
      </c>
      <c r="B6015" t="s">
        <v>3221</v>
      </c>
      <c r="C6015">
        <v>16969</v>
      </c>
      <c r="D6015" t="s">
        <v>1071</v>
      </c>
      <c r="E6015" t="s">
        <v>1072</v>
      </c>
      <c r="F6015">
        <v>13.7</v>
      </c>
      <c r="G6015">
        <v>231208</v>
      </c>
      <c r="H6015">
        <v>4572</v>
      </c>
      <c r="I6015" t="s">
        <v>122</v>
      </c>
      <c r="J6015">
        <v>16.989999999999998</v>
      </c>
      <c r="K6015">
        <v>3.29</v>
      </c>
      <c r="L6015">
        <v>17981</v>
      </c>
      <c r="M6015" t="s">
        <v>218</v>
      </c>
      <c r="N6015" t="str">
        <f>"7232527312  "</f>
        <v xml:space="preserve">7232527312  </v>
      </c>
      <c r="O6015">
        <v>231211</v>
      </c>
    </row>
    <row r="6016" spans="1:15" x14ac:dyDescent="0.25">
      <c r="A6016" t="s">
        <v>16</v>
      </c>
      <c r="B6016" t="s">
        <v>3221</v>
      </c>
      <c r="C6016">
        <v>16970</v>
      </c>
      <c r="D6016" t="s">
        <v>1071</v>
      </c>
      <c r="E6016" t="s">
        <v>1072</v>
      </c>
      <c r="F6016">
        <v>102.84</v>
      </c>
      <c r="G6016">
        <v>231208</v>
      </c>
      <c r="H6016">
        <v>4572</v>
      </c>
      <c r="I6016" t="s">
        <v>122</v>
      </c>
      <c r="J6016">
        <v>127.52</v>
      </c>
      <c r="K6016">
        <v>24.68</v>
      </c>
      <c r="L6016">
        <v>17956</v>
      </c>
      <c r="M6016" t="s">
        <v>53</v>
      </c>
      <c r="N6016" t="str">
        <f>"7232527341  "</f>
        <v xml:space="preserve">7232527341  </v>
      </c>
      <c r="O6016">
        <v>231211</v>
      </c>
    </row>
    <row r="6017" spans="1:15" x14ac:dyDescent="0.25">
      <c r="A6017" t="s">
        <v>16</v>
      </c>
      <c r="B6017" t="s">
        <v>3221</v>
      </c>
      <c r="C6017">
        <v>16971</v>
      </c>
      <c r="D6017" t="s">
        <v>1071</v>
      </c>
      <c r="E6017" t="s">
        <v>1072</v>
      </c>
      <c r="F6017">
        <v>6.43</v>
      </c>
      <c r="G6017">
        <v>231208</v>
      </c>
      <c r="H6017">
        <v>4572</v>
      </c>
      <c r="I6017" t="s">
        <v>122</v>
      </c>
      <c r="J6017">
        <v>7.97</v>
      </c>
      <c r="K6017">
        <v>1.54</v>
      </c>
      <c r="L6017">
        <v>59112</v>
      </c>
      <c r="M6017" t="s">
        <v>182</v>
      </c>
      <c r="N6017" t="str">
        <f>"7232527558  "</f>
        <v xml:space="preserve">7232527558  </v>
      </c>
      <c r="O6017">
        <v>231211</v>
      </c>
    </row>
    <row r="6018" spans="1:15" x14ac:dyDescent="0.25">
      <c r="A6018" t="s">
        <v>16</v>
      </c>
      <c r="B6018" t="s">
        <v>3221</v>
      </c>
      <c r="C6018">
        <v>16971</v>
      </c>
      <c r="D6018" t="s">
        <v>1071</v>
      </c>
      <c r="E6018" t="s">
        <v>1072</v>
      </c>
      <c r="F6018">
        <v>17.38</v>
      </c>
      <c r="G6018">
        <v>231208</v>
      </c>
      <c r="H6018">
        <v>4572</v>
      </c>
      <c r="I6018" t="s">
        <v>122</v>
      </c>
      <c r="J6018">
        <v>21.55</v>
      </c>
      <c r="K6018">
        <v>4.17</v>
      </c>
      <c r="L6018">
        <v>59504</v>
      </c>
      <c r="M6018" t="s">
        <v>71</v>
      </c>
      <c r="N6018" t="str">
        <f>"7232527558  "</f>
        <v xml:space="preserve">7232527558  </v>
      </c>
      <c r="O6018">
        <v>231211</v>
      </c>
    </row>
    <row r="6019" spans="1:15" x14ac:dyDescent="0.25">
      <c r="A6019" t="s">
        <v>16</v>
      </c>
      <c r="B6019" t="s">
        <v>3221</v>
      </c>
      <c r="C6019">
        <v>17093</v>
      </c>
      <c r="D6019" t="s">
        <v>1071</v>
      </c>
      <c r="E6019" t="s">
        <v>1072</v>
      </c>
      <c r="F6019">
        <v>1460.88</v>
      </c>
      <c r="G6019">
        <v>231208</v>
      </c>
      <c r="H6019">
        <v>4572</v>
      </c>
      <c r="I6019" t="s">
        <v>122</v>
      </c>
      <c r="J6019">
        <v>1811.49</v>
      </c>
      <c r="K6019">
        <v>350.61</v>
      </c>
      <c r="L6019">
        <v>14951</v>
      </c>
      <c r="M6019" t="s">
        <v>57</v>
      </c>
      <c r="N6019" t="str">
        <f>"7232527396  "</f>
        <v xml:space="preserve">7232527396  </v>
      </c>
      <c r="O6019">
        <v>231212</v>
      </c>
    </row>
    <row r="6020" spans="1:15" x14ac:dyDescent="0.25">
      <c r="A6020" t="s">
        <v>16</v>
      </c>
      <c r="B6020" t="s">
        <v>3221</v>
      </c>
      <c r="C6020">
        <v>17094</v>
      </c>
      <c r="D6020" t="s">
        <v>1071</v>
      </c>
      <c r="E6020" t="s">
        <v>1072</v>
      </c>
      <c r="F6020">
        <v>125.24</v>
      </c>
      <c r="G6020">
        <v>231208</v>
      </c>
      <c r="H6020">
        <v>4572</v>
      </c>
      <c r="I6020" t="s">
        <v>122</v>
      </c>
      <c r="J6020">
        <v>155.30000000000001</v>
      </c>
      <c r="K6020">
        <v>30.06</v>
      </c>
      <c r="L6020">
        <v>14952</v>
      </c>
      <c r="M6020" t="s">
        <v>99</v>
      </c>
      <c r="N6020" t="str">
        <f>"7232527901  "</f>
        <v xml:space="preserve">7232527901  </v>
      </c>
      <c r="O6020">
        <v>231212</v>
      </c>
    </row>
    <row r="6021" spans="1:15" x14ac:dyDescent="0.25">
      <c r="A6021" t="s">
        <v>16</v>
      </c>
      <c r="B6021" t="s">
        <v>3221</v>
      </c>
      <c r="C6021">
        <v>17094</v>
      </c>
      <c r="D6021" t="s">
        <v>1071</v>
      </c>
      <c r="E6021" t="s">
        <v>1072</v>
      </c>
      <c r="F6021">
        <v>292.24</v>
      </c>
      <c r="G6021">
        <v>231208</v>
      </c>
      <c r="H6021">
        <v>4572</v>
      </c>
      <c r="I6021" t="s">
        <v>122</v>
      </c>
      <c r="J6021">
        <v>362.38</v>
      </c>
      <c r="K6021">
        <v>70.14</v>
      </c>
      <c r="L6021">
        <v>14981</v>
      </c>
      <c r="M6021" t="s">
        <v>1211</v>
      </c>
      <c r="N6021" t="str">
        <f>"7232527901  "</f>
        <v xml:space="preserve">7232527901  </v>
      </c>
      <c r="O6021">
        <v>231212</v>
      </c>
    </row>
    <row r="6022" spans="1:15" x14ac:dyDescent="0.25">
      <c r="A6022" t="s">
        <v>16</v>
      </c>
      <c r="B6022" t="s">
        <v>3221</v>
      </c>
      <c r="C6022">
        <v>17096</v>
      </c>
      <c r="D6022" t="s">
        <v>1071</v>
      </c>
      <c r="E6022" t="s">
        <v>1072</v>
      </c>
      <c r="F6022">
        <v>12.92</v>
      </c>
      <c r="G6022">
        <v>231208</v>
      </c>
      <c r="H6022">
        <v>4572</v>
      </c>
      <c r="I6022" t="s">
        <v>122</v>
      </c>
      <c r="J6022">
        <v>16.02</v>
      </c>
      <c r="K6022">
        <v>3.1</v>
      </c>
      <c r="L6022">
        <v>14952</v>
      </c>
      <c r="M6022" t="s">
        <v>99</v>
      </c>
      <c r="N6022" t="str">
        <f>"7232527914  "</f>
        <v xml:space="preserve">7232527914  </v>
      </c>
      <c r="O6022">
        <v>231212</v>
      </c>
    </row>
    <row r="6023" spans="1:15" x14ac:dyDescent="0.25">
      <c r="A6023" t="s">
        <v>16</v>
      </c>
      <c r="B6023" t="s">
        <v>3221</v>
      </c>
      <c r="C6023">
        <v>17096</v>
      </c>
      <c r="D6023" t="s">
        <v>1071</v>
      </c>
      <c r="E6023" t="s">
        <v>1072</v>
      </c>
      <c r="F6023">
        <v>30.15</v>
      </c>
      <c r="G6023">
        <v>231208</v>
      </c>
      <c r="H6023">
        <v>4572</v>
      </c>
      <c r="I6023" t="s">
        <v>122</v>
      </c>
      <c r="J6023">
        <v>37.39</v>
      </c>
      <c r="K6023">
        <v>7.24</v>
      </c>
      <c r="L6023">
        <v>14981</v>
      </c>
      <c r="M6023" t="s">
        <v>1211</v>
      </c>
      <c r="N6023" t="str">
        <f>"7232527914  "</f>
        <v xml:space="preserve">7232527914  </v>
      </c>
      <c r="O6023">
        <v>231212</v>
      </c>
    </row>
    <row r="6024" spans="1:15" x14ac:dyDescent="0.25">
      <c r="A6024" t="s">
        <v>16</v>
      </c>
      <c r="B6024" t="s">
        <v>3221</v>
      </c>
      <c r="C6024">
        <v>17097</v>
      </c>
      <c r="D6024" t="s">
        <v>1071</v>
      </c>
      <c r="E6024" t="s">
        <v>1072</v>
      </c>
      <c r="F6024">
        <v>1.19</v>
      </c>
      <c r="G6024">
        <v>231208</v>
      </c>
      <c r="H6024">
        <v>4572</v>
      </c>
      <c r="I6024" t="s">
        <v>122</v>
      </c>
      <c r="J6024">
        <v>1.48</v>
      </c>
      <c r="K6024">
        <v>0.28999999999999998</v>
      </c>
      <c r="L6024">
        <v>14952</v>
      </c>
      <c r="M6024" t="s">
        <v>99</v>
      </c>
      <c r="N6024" t="str">
        <f>"7232527927  "</f>
        <v xml:space="preserve">7232527927  </v>
      </c>
      <c r="O6024">
        <v>231212</v>
      </c>
    </row>
    <row r="6025" spans="1:15" x14ac:dyDescent="0.25">
      <c r="A6025" t="s">
        <v>16</v>
      </c>
      <c r="B6025" t="s">
        <v>3221</v>
      </c>
      <c r="C6025">
        <v>17097</v>
      </c>
      <c r="D6025" t="s">
        <v>1071</v>
      </c>
      <c r="E6025" t="s">
        <v>1072</v>
      </c>
      <c r="F6025">
        <v>2.8</v>
      </c>
      <c r="G6025">
        <v>231208</v>
      </c>
      <c r="H6025">
        <v>4572</v>
      </c>
      <c r="I6025" t="s">
        <v>122</v>
      </c>
      <c r="J6025">
        <v>3.47</v>
      </c>
      <c r="K6025">
        <v>0.67</v>
      </c>
      <c r="L6025">
        <v>14981</v>
      </c>
      <c r="M6025" t="s">
        <v>1211</v>
      </c>
      <c r="N6025" t="str">
        <f>"7232527927  "</f>
        <v xml:space="preserve">7232527927  </v>
      </c>
      <c r="O6025">
        <v>231212</v>
      </c>
    </row>
    <row r="6026" spans="1:15" x14ac:dyDescent="0.25">
      <c r="A6026" t="s">
        <v>16</v>
      </c>
      <c r="B6026" t="s">
        <v>3221</v>
      </c>
      <c r="C6026">
        <v>17278</v>
      </c>
      <c r="D6026" t="s">
        <v>1071</v>
      </c>
      <c r="E6026" t="s">
        <v>1072</v>
      </c>
      <c r="F6026">
        <v>95.15</v>
      </c>
      <c r="G6026">
        <v>231208</v>
      </c>
      <c r="H6026">
        <v>4572</v>
      </c>
      <c r="I6026" t="s">
        <v>122</v>
      </c>
      <c r="J6026">
        <v>117.98</v>
      </c>
      <c r="K6026">
        <v>22.83</v>
      </c>
      <c r="L6026">
        <v>11401</v>
      </c>
      <c r="M6026" t="s">
        <v>84</v>
      </c>
      <c r="N6026" t="str">
        <f>"7232527626  "</f>
        <v xml:space="preserve">7232527626  </v>
      </c>
      <c r="O6026">
        <v>231212</v>
      </c>
    </row>
    <row r="6027" spans="1:15" x14ac:dyDescent="0.25">
      <c r="A6027" t="s">
        <v>16</v>
      </c>
      <c r="B6027" t="s">
        <v>3221</v>
      </c>
      <c r="C6027">
        <v>17278</v>
      </c>
      <c r="D6027" t="s">
        <v>1071</v>
      </c>
      <c r="E6027" t="s">
        <v>1072</v>
      </c>
      <c r="F6027">
        <v>190.32</v>
      </c>
      <c r="G6027">
        <v>231208</v>
      </c>
      <c r="H6027">
        <v>4572</v>
      </c>
      <c r="I6027" t="s">
        <v>122</v>
      </c>
      <c r="J6027">
        <v>236</v>
      </c>
      <c r="K6027">
        <v>45.68</v>
      </c>
      <c r="L6027">
        <v>14952</v>
      </c>
      <c r="M6027" t="s">
        <v>99</v>
      </c>
      <c r="N6027" t="str">
        <f>"7232527626  "</f>
        <v xml:space="preserve">7232527626  </v>
      </c>
      <c r="O6027">
        <v>231212</v>
      </c>
    </row>
    <row r="6028" spans="1:15" x14ac:dyDescent="0.25">
      <c r="A6028" t="s">
        <v>16</v>
      </c>
      <c r="B6028" t="s">
        <v>3221</v>
      </c>
      <c r="C6028">
        <v>17279</v>
      </c>
      <c r="D6028" t="s">
        <v>1071</v>
      </c>
      <c r="E6028" t="s">
        <v>1072</v>
      </c>
      <c r="F6028">
        <v>17.55</v>
      </c>
      <c r="G6028">
        <v>231208</v>
      </c>
      <c r="H6028">
        <v>4572</v>
      </c>
      <c r="I6028" t="s">
        <v>122</v>
      </c>
      <c r="J6028">
        <v>21.76</v>
      </c>
      <c r="K6028">
        <v>4.21</v>
      </c>
      <c r="L6028">
        <v>11401</v>
      </c>
      <c r="M6028" t="s">
        <v>84</v>
      </c>
      <c r="N6028" t="str">
        <f>"7232527613  "</f>
        <v xml:space="preserve">7232527613  </v>
      </c>
      <c r="O6028">
        <v>231212</v>
      </c>
    </row>
    <row r="6029" spans="1:15" x14ac:dyDescent="0.25">
      <c r="A6029" t="s">
        <v>16</v>
      </c>
      <c r="B6029" t="s">
        <v>3221</v>
      </c>
      <c r="C6029">
        <v>17279</v>
      </c>
      <c r="D6029" t="s">
        <v>1071</v>
      </c>
      <c r="E6029" t="s">
        <v>1072</v>
      </c>
      <c r="F6029">
        <v>35.1</v>
      </c>
      <c r="G6029">
        <v>231208</v>
      </c>
      <c r="H6029">
        <v>4572</v>
      </c>
      <c r="I6029" t="s">
        <v>122</v>
      </c>
      <c r="J6029">
        <v>43.53</v>
      </c>
      <c r="K6029">
        <v>8.43</v>
      </c>
      <c r="L6029">
        <v>14952</v>
      </c>
      <c r="M6029" t="s">
        <v>99</v>
      </c>
      <c r="N6029" t="str">
        <f>"7232527613  "</f>
        <v xml:space="preserve">7232527613  </v>
      </c>
      <c r="O6029">
        <v>231212</v>
      </c>
    </row>
    <row r="6030" spans="1:15" x14ac:dyDescent="0.25">
      <c r="A6030" t="s">
        <v>16</v>
      </c>
      <c r="B6030" t="s">
        <v>3221</v>
      </c>
      <c r="C6030">
        <v>17445</v>
      </c>
      <c r="D6030" t="s">
        <v>1071</v>
      </c>
      <c r="E6030" t="s">
        <v>1072</v>
      </c>
      <c r="F6030">
        <v>984.36</v>
      </c>
      <c r="G6030">
        <v>231208</v>
      </c>
      <c r="H6030">
        <v>4572</v>
      </c>
      <c r="I6030" t="s">
        <v>122</v>
      </c>
      <c r="J6030">
        <v>1220.6099999999999</v>
      </c>
      <c r="K6030">
        <v>236.25</v>
      </c>
      <c r="L6030">
        <v>49503</v>
      </c>
      <c r="M6030" t="s">
        <v>178</v>
      </c>
      <c r="N6030" t="str">
        <f>"7232527516  "</f>
        <v xml:space="preserve">7232527516  </v>
      </c>
      <c r="O6030">
        <v>231214</v>
      </c>
    </row>
    <row r="6031" spans="1:15" x14ac:dyDescent="0.25">
      <c r="A6031" t="s">
        <v>16</v>
      </c>
      <c r="B6031" t="s">
        <v>3221</v>
      </c>
      <c r="C6031">
        <v>17582</v>
      </c>
      <c r="D6031" t="s">
        <v>1071</v>
      </c>
      <c r="E6031" t="s">
        <v>1072</v>
      </c>
      <c r="F6031">
        <v>73.72</v>
      </c>
      <c r="G6031">
        <v>231208</v>
      </c>
      <c r="H6031">
        <v>4572</v>
      </c>
      <c r="I6031" t="s">
        <v>122</v>
      </c>
      <c r="J6031">
        <v>91.41</v>
      </c>
      <c r="K6031">
        <v>17.690000000000001</v>
      </c>
      <c r="L6031">
        <v>69501</v>
      </c>
      <c r="M6031" t="s">
        <v>185</v>
      </c>
      <c r="N6031" t="str">
        <f>"7232527370  "</f>
        <v xml:space="preserve">7232527370  </v>
      </c>
      <c r="O6031">
        <v>231215</v>
      </c>
    </row>
    <row r="6032" spans="1:15" x14ac:dyDescent="0.25">
      <c r="A6032" t="s">
        <v>16</v>
      </c>
      <c r="B6032" t="s">
        <v>3221</v>
      </c>
      <c r="C6032">
        <v>17583</v>
      </c>
      <c r="D6032" t="s">
        <v>1071</v>
      </c>
      <c r="E6032" t="s">
        <v>1072</v>
      </c>
      <c r="F6032">
        <v>740.53</v>
      </c>
      <c r="G6032">
        <v>231208</v>
      </c>
      <c r="H6032">
        <v>4572</v>
      </c>
      <c r="I6032" t="s">
        <v>122</v>
      </c>
      <c r="J6032">
        <v>918.26</v>
      </c>
      <c r="K6032">
        <v>177.73</v>
      </c>
      <c r="L6032">
        <v>59505</v>
      </c>
      <c r="M6032" t="s">
        <v>72</v>
      </c>
      <c r="N6032" t="str">
        <f>"7232527529  "</f>
        <v xml:space="preserve">7232527529  </v>
      </c>
      <c r="O6032">
        <v>231215</v>
      </c>
    </row>
    <row r="6033" spans="1:15" x14ac:dyDescent="0.25">
      <c r="A6033" t="s">
        <v>16</v>
      </c>
      <c r="B6033" t="s">
        <v>3221</v>
      </c>
      <c r="C6033">
        <v>17583</v>
      </c>
      <c r="D6033" t="s">
        <v>1071</v>
      </c>
      <c r="E6033" t="s">
        <v>1072</v>
      </c>
      <c r="F6033">
        <v>100.98</v>
      </c>
      <c r="G6033">
        <v>231208</v>
      </c>
      <c r="H6033">
        <v>4572</v>
      </c>
      <c r="I6033" t="s">
        <v>122</v>
      </c>
      <c r="J6033">
        <v>125.22</v>
      </c>
      <c r="K6033">
        <v>24.24</v>
      </c>
      <c r="L6033">
        <v>59812</v>
      </c>
      <c r="M6033" t="s">
        <v>74</v>
      </c>
      <c r="N6033" t="str">
        <f>"7232527529  "</f>
        <v xml:space="preserve">7232527529  </v>
      </c>
      <c r="O6033">
        <v>231215</v>
      </c>
    </row>
    <row r="6034" spans="1:15" x14ac:dyDescent="0.25">
      <c r="A6034" t="s">
        <v>16</v>
      </c>
      <c r="B6034" t="s">
        <v>3221</v>
      </c>
      <c r="C6034">
        <v>17585</v>
      </c>
      <c r="D6034" t="s">
        <v>1071</v>
      </c>
      <c r="E6034" t="s">
        <v>1072</v>
      </c>
      <c r="F6034">
        <v>1307.52</v>
      </c>
      <c r="G6034">
        <v>231208</v>
      </c>
      <c r="H6034">
        <v>4572</v>
      </c>
      <c r="I6034" t="s">
        <v>122</v>
      </c>
      <c r="J6034">
        <v>1621.32</v>
      </c>
      <c r="K6034">
        <v>313.8</v>
      </c>
      <c r="L6034">
        <v>59502</v>
      </c>
      <c r="M6034" t="s">
        <v>70</v>
      </c>
      <c r="N6034" t="str">
        <f>"7232527503  "</f>
        <v xml:space="preserve">7232527503  </v>
      </c>
      <c r="O6034">
        <v>231215</v>
      </c>
    </row>
    <row r="6035" spans="1:15" x14ac:dyDescent="0.25">
      <c r="A6035" t="s">
        <v>16</v>
      </c>
      <c r="B6035" t="s">
        <v>3221</v>
      </c>
      <c r="C6035">
        <v>17585</v>
      </c>
      <c r="D6035" t="s">
        <v>1071</v>
      </c>
      <c r="E6035" t="s">
        <v>1072</v>
      </c>
      <c r="F6035">
        <v>835.95</v>
      </c>
      <c r="G6035">
        <v>231208</v>
      </c>
      <c r="H6035">
        <v>4572</v>
      </c>
      <c r="I6035" t="s">
        <v>122</v>
      </c>
      <c r="J6035">
        <v>1036.58</v>
      </c>
      <c r="K6035">
        <v>200.63</v>
      </c>
      <c r="L6035">
        <v>59802</v>
      </c>
      <c r="M6035" t="s">
        <v>73</v>
      </c>
      <c r="N6035" t="str">
        <f>"7232527503  "</f>
        <v xml:space="preserve">7232527503  </v>
      </c>
      <c r="O6035">
        <v>231215</v>
      </c>
    </row>
    <row r="6036" spans="1:15" x14ac:dyDescent="0.25">
      <c r="A6036" t="s">
        <v>16</v>
      </c>
      <c r="B6036" t="s">
        <v>3221</v>
      </c>
      <c r="C6036">
        <v>17588</v>
      </c>
      <c r="D6036" t="s">
        <v>1071</v>
      </c>
      <c r="E6036" t="s">
        <v>1072</v>
      </c>
      <c r="F6036">
        <v>274.20999999999998</v>
      </c>
      <c r="G6036">
        <v>231208</v>
      </c>
      <c r="H6036">
        <v>4572</v>
      </c>
      <c r="I6036" t="s">
        <v>122</v>
      </c>
      <c r="J6036">
        <v>340.02</v>
      </c>
      <c r="K6036">
        <v>65.81</v>
      </c>
      <c r="L6036">
        <v>59111</v>
      </c>
      <c r="M6036" t="s">
        <v>1010</v>
      </c>
      <c r="N6036" t="str">
        <f>"7232527422  "</f>
        <v xml:space="preserve">7232527422  </v>
      </c>
      <c r="O6036">
        <v>231215</v>
      </c>
    </row>
    <row r="6037" spans="1:15" x14ac:dyDescent="0.25">
      <c r="A6037" t="s">
        <v>16</v>
      </c>
      <c r="B6037" t="s">
        <v>3221</v>
      </c>
      <c r="C6037">
        <v>17588</v>
      </c>
      <c r="D6037" t="s">
        <v>1071</v>
      </c>
      <c r="E6037" t="s">
        <v>1072</v>
      </c>
      <c r="F6037">
        <v>4295.8999999999996</v>
      </c>
      <c r="G6037">
        <v>231208</v>
      </c>
      <c r="H6037">
        <v>4572</v>
      </c>
      <c r="I6037" t="s">
        <v>122</v>
      </c>
      <c r="J6037">
        <v>5326.92</v>
      </c>
      <c r="K6037">
        <v>1031.02</v>
      </c>
      <c r="L6037">
        <v>59501</v>
      </c>
      <c r="M6037" t="s">
        <v>69</v>
      </c>
      <c r="N6037" t="str">
        <f>"7232527422  "</f>
        <v xml:space="preserve">7232527422  </v>
      </c>
      <c r="O6037">
        <v>231215</v>
      </c>
    </row>
    <row r="6038" spans="1:15" x14ac:dyDescent="0.25">
      <c r="A6038" t="s">
        <v>16</v>
      </c>
      <c r="B6038" t="s">
        <v>3221</v>
      </c>
      <c r="C6038">
        <v>17593</v>
      </c>
      <c r="D6038" t="s">
        <v>1071</v>
      </c>
      <c r="E6038" t="s">
        <v>1072</v>
      </c>
      <c r="F6038">
        <v>1891.49</v>
      </c>
      <c r="G6038">
        <v>231208</v>
      </c>
      <c r="H6038">
        <v>4572</v>
      </c>
      <c r="I6038" t="s">
        <v>122</v>
      </c>
      <c r="J6038">
        <v>2345.4499999999998</v>
      </c>
      <c r="K6038">
        <v>453.96</v>
      </c>
      <c r="L6038">
        <v>69111</v>
      </c>
      <c r="M6038" t="s">
        <v>471</v>
      </c>
      <c r="N6038" t="str">
        <f>"7232527367  "</f>
        <v xml:space="preserve">7232527367  </v>
      </c>
      <c r="O6038">
        <v>231215</v>
      </c>
    </row>
    <row r="6039" spans="1:15" x14ac:dyDescent="0.25">
      <c r="A6039" t="s">
        <v>16</v>
      </c>
      <c r="B6039" t="s">
        <v>3221</v>
      </c>
      <c r="C6039">
        <v>17593</v>
      </c>
      <c r="D6039" t="s">
        <v>1071</v>
      </c>
      <c r="E6039" t="s">
        <v>1072</v>
      </c>
      <c r="F6039">
        <v>2837.24</v>
      </c>
      <c r="G6039">
        <v>231208</v>
      </c>
      <c r="H6039">
        <v>4572</v>
      </c>
      <c r="I6039" t="s">
        <v>122</v>
      </c>
      <c r="J6039">
        <v>3518.18</v>
      </c>
      <c r="K6039">
        <v>680.94</v>
      </c>
      <c r="L6039">
        <v>69501</v>
      </c>
      <c r="M6039" t="s">
        <v>185</v>
      </c>
      <c r="N6039" t="str">
        <f>"7232527367  "</f>
        <v xml:space="preserve">7232527367  </v>
      </c>
      <c r="O6039">
        <v>231215</v>
      </c>
    </row>
    <row r="6040" spans="1:15" x14ac:dyDescent="0.25">
      <c r="A6040" t="s">
        <v>16</v>
      </c>
      <c r="B6040" t="s">
        <v>3221</v>
      </c>
      <c r="C6040">
        <v>17594</v>
      </c>
      <c r="D6040" t="s">
        <v>1071</v>
      </c>
      <c r="E6040" t="s">
        <v>1072</v>
      </c>
      <c r="F6040">
        <v>3.93</v>
      </c>
      <c r="G6040">
        <v>231208</v>
      </c>
      <c r="H6040">
        <v>4572</v>
      </c>
      <c r="I6040" t="s">
        <v>122</v>
      </c>
      <c r="J6040">
        <v>3.93</v>
      </c>
      <c r="K6040">
        <v>0</v>
      </c>
      <c r="L6040">
        <v>59813</v>
      </c>
      <c r="M6040" t="s">
        <v>915</v>
      </c>
      <c r="N6040" t="str">
        <f>"7232527574  "</f>
        <v xml:space="preserve">7232527574  </v>
      </c>
      <c r="O6040">
        <v>231215</v>
      </c>
    </row>
    <row r="6041" spans="1:15" x14ac:dyDescent="0.25">
      <c r="A6041" t="s">
        <v>16</v>
      </c>
      <c r="B6041" t="s">
        <v>3221</v>
      </c>
      <c r="C6041">
        <v>17643</v>
      </c>
      <c r="D6041" t="s">
        <v>1071</v>
      </c>
      <c r="E6041" t="s">
        <v>1072</v>
      </c>
      <c r="F6041">
        <v>2592.87</v>
      </c>
      <c r="G6041">
        <v>231208</v>
      </c>
      <c r="H6041">
        <v>4572</v>
      </c>
      <c r="I6041" t="s">
        <v>122</v>
      </c>
      <c r="J6041">
        <v>3215.16</v>
      </c>
      <c r="K6041">
        <v>622.29</v>
      </c>
      <c r="L6041">
        <v>49501</v>
      </c>
      <c r="M6041" t="s">
        <v>177</v>
      </c>
      <c r="N6041" t="str">
        <f>"7232527590  "</f>
        <v xml:space="preserve">7232527590  </v>
      </c>
      <c r="O6041">
        <v>231218</v>
      </c>
    </row>
    <row r="6042" spans="1:15" x14ac:dyDescent="0.25">
      <c r="A6042" t="s">
        <v>16</v>
      </c>
      <c r="B6042" t="s">
        <v>3221</v>
      </c>
      <c r="C6042">
        <v>17643</v>
      </c>
      <c r="D6042" t="s">
        <v>1071</v>
      </c>
      <c r="E6042" t="s">
        <v>1072</v>
      </c>
      <c r="F6042">
        <v>140.69</v>
      </c>
      <c r="G6042">
        <v>231208</v>
      </c>
      <c r="H6042">
        <v>4572</v>
      </c>
      <c r="I6042" t="s">
        <v>122</v>
      </c>
      <c r="J6042">
        <v>174.45</v>
      </c>
      <c r="K6042">
        <v>33.76</v>
      </c>
      <c r="L6042">
        <v>49801</v>
      </c>
      <c r="M6042" t="s">
        <v>1227</v>
      </c>
      <c r="N6042" t="str">
        <f>"7232527590  "</f>
        <v xml:space="preserve">7232527590  </v>
      </c>
      <c r="O6042">
        <v>231218</v>
      </c>
    </row>
    <row r="6043" spans="1:15" x14ac:dyDescent="0.25">
      <c r="A6043" t="s">
        <v>16</v>
      </c>
      <c r="B6043" t="s">
        <v>3221</v>
      </c>
      <c r="C6043">
        <v>17643</v>
      </c>
      <c r="D6043" t="s">
        <v>1071</v>
      </c>
      <c r="E6043" t="s">
        <v>1072</v>
      </c>
      <c r="F6043">
        <v>80.19</v>
      </c>
      <c r="G6043">
        <v>231208</v>
      </c>
      <c r="H6043">
        <v>4572</v>
      </c>
      <c r="I6043" t="s">
        <v>122</v>
      </c>
      <c r="J6043">
        <v>99.44</v>
      </c>
      <c r="K6043">
        <v>19.25</v>
      </c>
      <c r="L6043">
        <v>49803</v>
      </c>
      <c r="M6043" t="s">
        <v>1229</v>
      </c>
      <c r="N6043" t="str">
        <f>"7232527590  "</f>
        <v xml:space="preserve">7232527590  </v>
      </c>
      <c r="O6043">
        <v>231218</v>
      </c>
    </row>
    <row r="6044" spans="1:15" x14ac:dyDescent="0.25">
      <c r="A6044" t="s">
        <v>16</v>
      </c>
      <c r="B6044" t="s">
        <v>3221</v>
      </c>
      <c r="C6044">
        <v>17646</v>
      </c>
      <c r="D6044" t="s">
        <v>1071</v>
      </c>
      <c r="E6044" t="s">
        <v>1072</v>
      </c>
      <c r="F6044">
        <v>1520.94</v>
      </c>
      <c r="G6044">
        <v>231208</v>
      </c>
      <c r="H6044">
        <v>4572</v>
      </c>
      <c r="I6044" t="s">
        <v>122</v>
      </c>
      <c r="J6044">
        <v>1885.97</v>
      </c>
      <c r="K6044">
        <v>365.03</v>
      </c>
      <c r="L6044">
        <v>49501</v>
      </c>
      <c r="M6044" t="s">
        <v>177</v>
      </c>
      <c r="N6044" t="str">
        <f>"7232527383  "</f>
        <v xml:space="preserve">7232527383  </v>
      </c>
      <c r="O6044">
        <v>231218</v>
      </c>
    </row>
    <row r="6045" spans="1:15" x14ac:dyDescent="0.25">
      <c r="A6045" t="s">
        <v>16</v>
      </c>
      <c r="B6045" t="s">
        <v>3221</v>
      </c>
      <c r="C6045">
        <v>17646</v>
      </c>
      <c r="D6045" t="s">
        <v>1071</v>
      </c>
      <c r="E6045" t="s">
        <v>1072</v>
      </c>
      <c r="F6045">
        <v>15.4</v>
      </c>
      <c r="G6045">
        <v>231208</v>
      </c>
      <c r="H6045">
        <v>4572</v>
      </c>
      <c r="I6045" t="s">
        <v>122</v>
      </c>
      <c r="J6045">
        <v>15.4</v>
      </c>
      <c r="K6045">
        <v>0</v>
      </c>
      <c r="L6045">
        <v>49801</v>
      </c>
      <c r="M6045" t="s">
        <v>1227</v>
      </c>
      <c r="N6045" t="str">
        <f>"7232527383  "</f>
        <v xml:space="preserve">7232527383  </v>
      </c>
      <c r="O6045">
        <v>231218</v>
      </c>
    </row>
    <row r="6046" spans="1:15" x14ac:dyDescent="0.25">
      <c r="A6046" t="s">
        <v>16</v>
      </c>
      <c r="B6046" t="s">
        <v>3221</v>
      </c>
      <c r="C6046">
        <v>17646</v>
      </c>
      <c r="D6046" t="s">
        <v>1071</v>
      </c>
      <c r="E6046" t="s">
        <v>1072</v>
      </c>
      <c r="F6046">
        <v>18.62</v>
      </c>
      <c r="G6046">
        <v>231208</v>
      </c>
      <c r="H6046">
        <v>4572</v>
      </c>
      <c r="I6046" t="s">
        <v>122</v>
      </c>
      <c r="J6046">
        <v>23.09</v>
      </c>
      <c r="K6046">
        <v>4.47</v>
      </c>
      <c r="L6046">
        <v>49801</v>
      </c>
      <c r="M6046" t="s">
        <v>1227</v>
      </c>
      <c r="N6046" t="str">
        <f>"7232527383  "</f>
        <v xml:space="preserve">7232527383  </v>
      </c>
      <c r="O6046">
        <v>231218</v>
      </c>
    </row>
    <row r="6047" spans="1:15" x14ac:dyDescent="0.25">
      <c r="A6047" t="s">
        <v>16</v>
      </c>
      <c r="B6047" t="s">
        <v>3221</v>
      </c>
      <c r="C6047">
        <v>17831</v>
      </c>
      <c r="D6047" t="s">
        <v>1071</v>
      </c>
      <c r="E6047" t="s">
        <v>1072</v>
      </c>
      <c r="F6047">
        <v>25.56</v>
      </c>
      <c r="G6047">
        <v>231208</v>
      </c>
      <c r="H6047">
        <v>4572</v>
      </c>
      <c r="I6047" t="s">
        <v>122</v>
      </c>
      <c r="J6047">
        <v>25.56</v>
      </c>
      <c r="K6047">
        <v>0</v>
      </c>
      <c r="L6047">
        <v>11001</v>
      </c>
      <c r="M6047" t="s">
        <v>326</v>
      </c>
      <c r="N6047" t="str">
        <f>"7232527875  "</f>
        <v xml:space="preserve">7232527875  </v>
      </c>
      <c r="O6047">
        <v>231227</v>
      </c>
    </row>
    <row r="6048" spans="1:15" x14ac:dyDescent="0.25">
      <c r="A6048" t="s">
        <v>16</v>
      </c>
      <c r="B6048" t="s">
        <v>3221</v>
      </c>
      <c r="C6048">
        <v>18418</v>
      </c>
      <c r="D6048" t="s">
        <v>1071</v>
      </c>
      <c r="E6048" t="s">
        <v>1072</v>
      </c>
      <c r="F6048">
        <v>40.33</v>
      </c>
      <c r="G6048">
        <v>231221</v>
      </c>
      <c r="H6048">
        <v>4572</v>
      </c>
      <c r="I6048" t="s">
        <v>122</v>
      </c>
      <c r="J6048">
        <v>50.01</v>
      </c>
      <c r="K6048">
        <v>9.68</v>
      </c>
      <c r="L6048">
        <v>17956</v>
      </c>
      <c r="M6048" t="s">
        <v>53</v>
      </c>
      <c r="N6048" t="str">
        <f>"7232533814  "</f>
        <v xml:space="preserve">7232533814  </v>
      </c>
      <c r="O6048">
        <v>240103</v>
      </c>
    </row>
    <row r="6049" spans="1:15" x14ac:dyDescent="0.25">
      <c r="A6049" t="s">
        <v>16</v>
      </c>
      <c r="B6049" t="s">
        <v>3221</v>
      </c>
      <c r="C6049">
        <v>18946</v>
      </c>
      <c r="D6049" t="s">
        <v>1071</v>
      </c>
      <c r="E6049" t="s">
        <v>1072</v>
      </c>
      <c r="F6049">
        <v>283.69</v>
      </c>
      <c r="G6049">
        <v>240108</v>
      </c>
      <c r="H6049">
        <v>4572</v>
      </c>
      <c r="I6049" t="s">
        <v>122</v>
      </c>
      <c r="J6049">
        <v>351.78</v>
      </c>
      <c r="K6049">
        <v>68.09</v>
      </c>
      <c r="L6049">
        <v>17950</v>
      </c>
      <c r="M6049" t="s">
        <v>86</v>
      </c>
      <c r="N6049" t="str">
        <f>"7240246119  "</f>
        <v xml:space="preserve">7240246119  </v>
      </c>
      <c r="O6049">
        <v>240109</v>
      </c>
    </row>
    <row r="6050" spans="1:15" x14ac:dyDescent="0.25">
      <c r="A6050" t="s">
        <v>16</v>
      </c>
      <c r="B6050" t="s">
        <v>3221</v>
      </c>
      <c r="C6050">
        <v>18952</v>
      </c>
      <c r="D6050" t="s">
        <v>1071</v>
      </c>
      <c r="E6050" t="s">
        <v>1072</v>
      </c>
      <c r="F6050">
        <v>105.31</v>
      </c>
      <c r="G6050">
        <v>240108</v>
      </c>
      <c r="H6050">
        <v>4572</v>
      </c>
      <c r="I6050" t="s">
        <v>122</v>
      </c>
      <c r="J6050">
        <v>130.58000000000001</v>
      </c>
      <c r="K6050">
        <v>25.27</v>
      </c>
      <c r="L6050">
        <v>17956</v>
      </c>
      <c r="M6050" t="s">
        <v>53</v>
      </c>
      <c r="N6050" t="str">
        <f>"7240245903  "</f>
        <v xml:space="preserve">7240245903  </v>
      </c>
      <c r="O6050">
        <v>240109</v>
      </c>
    </row>
    <row r="6051" spans="1:15" x14ac:dyDescent="0.25">
      <c r="A6051" t="s">
        <v>16</v>
      </c>
      <c r="B6051" t="s">
        <v>3221</v>
      </c>
      <c r="C6051">
        <v>18960</v>
      </c>
      <c r="D6051" t="s">
        <v>1071</v>
      </c>
      <c r="E6051" t="s">
        <v>1072</v>
      </c>
      <c r="F6051">
        <v>1725.66</v>
      </c>
      <c r="G6051">
        <v>240108</v>
      </c>
      <c r="H6051">
        <v>4572</v>
      </c>
      <c r="I6051" t="s">
        <v>122</v>
      </c>
      <c r="J6051">
        <v>2139.8200000000002</v>
      </c>
      <c r="K6051">
        <v>414.16</v>
      </c>
      <c r="L6051">
        <v>17956</v>
      </c>
      <c r="M6051" t="s">
        <v>53</v>
      </c>
      <c r="N6051" t="str">
        <f>"7240246038  "</f>
        <v xml:space="preserve">7240246038  </v>
      </c>
      <c r="O6051">
        <v>240109</v>
      </c>
    </row>
    <row r="6052" spans="1:15" x14ac:dyDescent="0.25">
      <c r="A6052" t="s">
        <v>16</v>
      </c>
      <c r="B6052" t="s">
        <v>3221</v>
      </c>
      <c r="C6052">
        <v>18964</v>
      </c>
      <c r="D6052" t="s">
        <v>1071</v>
      </c>
      <c r="E6052" t="s">
        <v>1072</v>
      </c>
      <c r="F6052">
        <v>16.41</v>
      </c>
      <c r="G6052">
        <v>240108</v>
      </c>
      <c r="H6052">
        <v>4572</v>
      </c>
      <c r="I6052" t="s">
        <v>122</v>
      </c>
      <c r="J6052">
        <v>20.350000000000001</v>
      </c>
      <c r="K6052">
        <v>3.94</v>
      </c>
      <c r="L6052">
        <v>17981</v>
      </c>
      <c r="M6052" t="s">
        <v>218</v>
      </c>
      <c r="N6052" t="str">
        <f>"7240245877  "</f>
        <v xml:space="preserve">7240245877  </v>
      </c>
      <c r="O6052">
        <v>240109</v>
      </c>
    </row>
    <row r="6053" spans="1:15" x14ac:dyDescent="0.25">
      <c r="A6053" t="s">
        <v>16</v>
      </c>
      <c r="B6053" t="s">
        <v>3221</v>
      </c>
      <c r="C6053">
        <v>18965</v>
      </c>
      <c r="D6053" t="s">
        <v>1071</v>
      </c>
      <c r="E6053" t="s">
        <v>1072</v>
      </c>
      <c r="F6053">
        <v>36.590000000000003</v>
      </c>
      <c r="G6053">
        <v>240108</v>
      </c>
      <c r="H6053">
        <v>4572</v>
      </c>
      <c r="I6053" t="s">
        <v>122</v>
      </c>
      <c r="J6053">
        <v>45.37</v>
      </c>
      <c r="K6053">
        <v>8.7799999999999994</v>
      </c>
      <c r="L6053">
        <v>17956</v>
      </c>
      <c r="M6053" t="s">
        <v>53</v>
      </c>
      <c r="N6053" t="str">
        <f>"7240245987  "</f>
        <v xml:space="preserve">7240245987  </v>
      </c>
      <c r="O6053">
        <v>240109</v>
      </c>
    </row>
    <row r="6054" spans="1:15" x14ac:dyDescent="0.25">
      <c r="A6054" t="s">
        <v>16</v>
      </c>
      <c r="B6054" t="s">
        <v>3221</v>
      </c>
      <c r="C6054">
        <v>18979</v>
      </c>
      <c r="D6054" t="s">
        <v>1071</v>
      </c>
      <c r="E6054" t="s">
        <v>1072</v>
      </c>
      <c r="F6054">
        <v>15.95</v>
      </c>
      <c r="G6054">
        <v>240108</v>
      </c>
      <c r="H6054">
        <v>4572</v>
      </c>
      <c r="I6054" t="s">
        <v>122</v>
      </c>
      <c r="J6054">
        <v>19.78</v>
      </c>
      <c r="K6054">
        <v>3.83</v>
      </c>
      <c r="L6054">
        <v>17956</v>
      </c>
      <c r="M6054" t="s">
        <v>53</v>
      </c>
      <c r="N6054" t="str">
        <f>"7240245974  "</f>
        <v xml:space="preserve">7240245974  </v>
      </c>
      <c r="O6054">
        <v>240109</v>
      </c>
    </row>
    <row r="6055" spans="1:15" x14ac:dyDescent="0.25">
      <c r="A6055" t="s">
        <v>16</v>
      </c>
      <c r="B6055" t="s">
        <v>3221</v>
      </c>
      <c r="C6055">
        <v>18980</v>
      </c>
      <c r="D6055" t="s">
        <v>1071</v>
      </c>
      <c r="E6055" t="s">
        <v>1072</v>
      </c>
      <c r="F6055">
        <v>417.09</v>
      </c>
      <c r="G6055">
        <v>240108</v>
      </c>
      <c r="H6055">
        <v>4572</v>
      </c>
      <c r="I6055" t="s">
        <v>122</v>
      </c>
      <c r="J6055">
        <v>517.19000000000005</v>
      </c>
      <c r="K6055">
        <v>100.1</v>
      </c>
      <c r="L6055">
        <v>13540</v>
      </c>
      <c r="M6055" t="s">
        <v>85</v>
      </c>
      <c r="N6055" t="str">
        <f>"7240245916  "</f>
        <v xml:space="preserve">7240245916  </v>
      </c>
      <c r="O6055">
        <v>240109</v>
      </c>
    </row>
    <row r="6056" spans="1:15" x14ac:dyDescent="0.25">
      <c r="A6056" t="s">
        <v>16</v>
      </c>
      <c r="B6056" t="s">
        <v>3221</v>
      </c>
      <c r="C6056">
        <v>18980</v>
      </c>
      <c r="D6056" t="s">
        <v>1071</v>
      </c>
      <c r="E6056" t="s">
        <v>1072</v>
      </c>
      <c r="F6056">
        <v>3374.6</v>
      </c>
      <c r="G6056">
        <v>240108</v>
      </c>
      <c r="H6056">
        <v>4572</v>
      </c>
      <c r="I6056" t="s">
        <v>122</v>
      </c>
      <c r="J6056">
        <v>4184.51</v>
      </c>
      <c r="K6056">
        <v>809.91</v>
      </c>
      <c r="L6056">
        <v>17950</v>
      </c>
      <c r="M6056" t="s">
        <v>86</v>
      </c>
      <c r="N6056" t="str">
        <f>"7240245916  "</f>
        <v xml:space="preserve">7240245916  </v>
      </c>
      <c r="O6056">
        <v>240109</v>
      </c>
    </row>
    <row r="6057" spans="1:15" x14ac:dyDescent="0.25">
      <c r="A6057" t="s">
        <v>16</v>
      </c>
      <c r="B6057" t="s">
        <v>3221</v>
      </c>
      <c r="C6057">
        <v>18995</v>
      </c>
      <c r="D6057" t="s">
        <v>1071</v>
      </c>
      <c r="E6057" t="s">
        <v>1072</v>
      </c>
      <c r="F6057">
        <v>2794.89</v>
      </c>
      <c r="G6057">
        <v>240108</v>
      </c>
      <c r="H6057">
        <v>4572</v>
      </c>
      <c r="I6057" t="s">
        <v>122</v>
      </c>
      <c r="J6057">
        <v>3465.66</v>
      </c>
      <c r="K6057">
        <v>670.77</v>
      </c>
      <c r="L6057">
        <v>17951</v>
      </c>
      <c r="M6057" t="s">
        <v>87</v>
      </c>
      <c r="N6057" t="str">
        <f>"7240245880  "</f>
        <v xml:space="preserve">7240245880  </v>
      </c>
      <c r="O6057">
        <v>240109</v>
      </c>
    </row>
    <row r="6058" spans="1:15" x14ac:dyDescent="0.25">
      <c r="A6058" t="s">
        <v>16</v>
      </c>
      <c r="B6058" t="s">
        <v>3221</v>
      </c>
      <c r="C6058">
        <v>18997</v>
      </c>
      <c r="D6058" t="s">
        <v>1071</v>
      </c>
      <c r="E6058" t="s">
        <v>1072</v>
      </c>
      <c r="F6058">
        <v>144.04</v>
      </c>
      <c r="G6058">
        <v>240108</v>
      </c>
      <c r="H6058">
        <v>4572</v>
      </c>
      <c r="I6058" t="s">
        <v>122</v>
      </c>
      <c r="J6058">
        <v>178.61</v>
      </c>
      <c r="K6058">
        <v>34.57</v>
      </c>
      <c r="L6058">
        <v>17956</v>
      </c>
      <c r="M6058" t="s">
        <v>53</v>
      </c>
      <c r="N6058" t="str">
        <f>"7240245893  "</f>
        <v xml:space="preserve">7240245893  </v>
      </c>
      <c r="O6058">
        <v>240109</v>
      </c>
    </row>
    <row r="6059" spans="1:15" x14ac:dyDescent="0.25">
      <c r="A6059" t="s">
        <v>16</v>
      </c>
      <c r="B6059" t="s">
        <v>3221</v>
      </c>
      <c r="C6059">
        <v>19005</v>
      </c>
      <c r="D6059" t="s">
        <v>1071</v>
      </c>
      <c r="E6059" t="s">
        <v>1072</v>
      </c>
      <c r="F6059">
        <v>3.57</v>
      </c>
      <c r="G6059">
        <v>240108</v>
      </c>
      <c r="H6059">
        <v>4572</v>
      </c>
      <c r="I6059" t="s">
        <v>122</v>
      </c>
      <c r="J6059">
        <v>3.57</v>
      </c>
      <c r="K6059">
        <v>0</v>
      </c>
      <c r="L6059">
        <v>59813</v>
      </c>
      <c r="M6059" t="s">
        <v>915</v>
      </c>
      <c r="N6059" t="str">
        <f>"7240246067  "</f>
        <v xml:space="preserve">7240246067  </v>
      </c>
      <c r="O6059">
        <v>240109</v>
      </c>
    </row>
    <row r="6060" spans="1:15" x14ac:dyDescent="0.25">
      <c r="A6060" t="s">
        <v>16</v>
      </c>
      <c r="B6060" t="s">
        <v>3221</v>
      </c>
      <c r="C6060">
        <v>19007</v>
      </c>
      <c r="D6060" t="s">
        <v>1071</v>
      </c>
      <c r="E6060" t="s">
        <v>1072</v>
      </c>
      <c r="F6060">
        <v>697.35</v>
      </c>
      <c r="G6060">
        <v>240108</v>
      </c>
      <c r="H6060">
        <v>4572</v>
      </c>
      <c r="I6060" t="s">
        <v>122</v>
      </c>
      <c r="J6060">
        <v>864.71</v>
      </c>
      <c r="K6060">
        <v>167.36</v>
      </c>
      <c r="L6060">
        <v>59505</v>
      </c>
      <c r="M6060" t="s">
        <v>72</v>
      </c>
      <c r="N6060" t="str">
        <f>"7240246025  "</f>
        <v xml:space="preserve">7240246025  </v>
      </c>
      <c r="O6060">
        <v>240109</v>
      </c>
    </row>
    <row r="6061" spans="1:15" x14ac:dyDescent="0.25">
      <c r="A6061" t="s">
        <v>16</v>
      </c>
      <c r="B6061" t="s">
        <v>3221</v>
      </c>
      <c r="C6061">
        <v>19007</v>
      </c>
      <c r="D6061" t="s">
        <v>1071</v>
      </c>
      <c r="E6061" t="s">
        <v>1072</v>
      </c>
      <c r="F6061">
        <v>95.1</v>
      </c>
      <c r="G6061">
        <v>240108</v>
      </c>
      <c r="H6061">
        <v>4572</v>
      </c>
      <c r="I6061" t="s">
        <v>122</v>
      </c>
      <c r="J6061">
        <v>117.92</v>
      </c>
      <c r="K6061">
        <v>22.82</v>
      </c>
      <c r="L6061">
        <v>59812</v>
      </c>
      <c r="M6061" t="s">
        <v>74</v>
      </c>
      <c r="N6061" t="str">
        <f>"7240246025  "</f>
        <v xml:space="preserve">7240246025  </v>
      </c>
      <c r="O6061">
        <v>240109</v>
      </c>
    </row>
    <row r="6062" spans="1:15" x14ac:dyDescent="0.25">
      <c r="A6062" t="s">
        <v>16</v>
      </c>
      <c r="B6062" t="s">
        <v>3221</v>
      </c>
      <c r="C6062">
        <v>19013</v>
      </c>
      <c r="D6062" t="s">
        <v>1071</v>
      </c>
      <c r="E6062" t="s">
        <v>1072</v>
      </c>
      <c r="F6062">
        <v>1284.19</v>
      </c>
      <c r="G6062">
        <v>240108</v>
      </c>
      <c r="H6062">
        <v>4572</v>
      </c>
      <c r="I6062" t="s">
        <v>122</v>
      </c>
      <c r="J6062">
        <v>1592.4</v>
      </c>
      <c r="K6062">
        <v>308.20999999999998</v>
      </c>
      <c r="L6062">
        <v>59502</v>
      </c>
      <c r="M6062" t="s">
        <v>70</v>
      </c>
      <c r="N6062" t="str">
        <f>"7240246009  "</f>
        <v xml:space="preserve">7240246009  </v>
      </c>
      <c r="O6062">
        <v>240109</v>
      </c>
    </row>
    <row r="6063" spans="1:15" x14ac:dyDescent="0.25">
      <c r="A6063" t="s">
        <v>16</v>
      </c>
      <c r="B6063" t="s">
        <v>3221</v>
      </c>
      <c r="C6063">
        <v>19013</v>
      </c>
      <c r="D6063" t="s">
        <v>1071</v>
      </c>
      <c r="E6063" t="s">
        <v>1072</v>
      </c>
      <c r="F6063">
        <v>821.04</v>
      </c>
      <c r="G6063">
        <v>240108</v>
      </c>
      <c r="H6063">
        <v>4572</v>
      </c>
      <c r="I6063" t="s">
        <v>122</v>
      </c>
      <c r="J6063">
        <v>1018.09</v>
      </c>
      <c r="K6063">
        <v>197.05</v>
      </c>
      <c r="L6063">
        <v>59802</v>
      </c>
      <c r="M6063" t="s">
        <v>73</v>
      </c>
      <c r="N6063" t="str">
        <f>"7240246009  "</f>
        <v xml:space="preserve">7240246009  </v>
      </c>
      <c r="O6063">
        <v>240109</v>
      </c>
    </row>
    <row r="6064" spans="1:15" x14ac:dyDescent="0.25">
      <c r="A6064" t="s">
        <v>16</v>
      </c>
      <c r="B6064" t="s">
        <v>3221</v>
      </c>
      <c r="C6064">
        <v>19014</v>
      </c>
      <c r="D6064" t="s">
        <v>1071</v>
      </c>
      <c r="E6064" t="s">
        <v>1072</v>
      </c>
      <c r="F6064">
        <v>310.35000000000002</v>
      </c>
      <c r="G6064">
        <v>240108</v>
      </c>
      <c r="H6064">
        <v>4572</v>
      </c>
      <c r="I6064" t="s">
        <v>122</v>
      </c>
      <c r="J6064">
        <v>384.83</v>
      </c>
      <c r="K6064">
        <v>74.48</v>
      </c>
      <c r="L6064">
        <v>59111</v>
      </c>
      <c r="M6064" t="s">
        <v>1010</v>
      </c>
      <c r="N6064" t="str">
        <f>"7240245990  "</f>
        <v xml:space="preserve">7240245990  </v>
      </c>
      <c r="O6064">
        <v>240109</v>
      </c>
    </row>
    <row r="6065" spans="1:15" x14ac:dyDescent="0.25">
      <c r="A6065" t="s">
        <v>16</v>
      </c>
      <c r="B6065" t="s">
        <v>3221</v>
      </c>
      <c r="C6065">
        <v>19014</v>
      </c>
      <c r="D6065" t="s">
        <v>1071</v>
      </c>
      <c r="E6065" t="s">
        <v>1072</v>
      </c>
      <c r="F6065">
        <v>4862.1400000000003</v>
      </c>
      <c r="G6065">
        <v>240108</v>
      </c>
      <c r="H6065">
        <v>4572</v>
      </c>
      <c r="I6065" t="s">
        <v>122</v>
      </c>
      <c r="J6065">
        <v>6029.05</v>
      </c>
      <c r="K6065">
        <v>1166.9100000000001</v>
      </c>
      <c r="L6065">
        <v>59501</v>
      </c>
      <c r="M6065" t="s">
        <v>69</v>
      </c>
      <c r="N6065" t="str">
        <f>"7240245990  "</f>
        <v xml:space="preserve">7240245990  </v>
      </c>
      <c r="O6065">
        <v>240109</v>
      </c>
    </row>
    <row r="6066" spans="1:15" x14ac:dyDescent="0.25">
      <c r="A6066" t="s">
        <v>16</v>
      </c>
      <c r="B6066" t="s">
        <v>3221</v>
      </c>
      <c r="C6066">
        <v>19061</v>
      </c>
      <c r="D6066" t="s">
        <v>1071</v>
      </c>
      <c r="E6066" t="s">
        <v>1072</v>
      </c>
      <c r="F6066">
        <v>115.74</v>
      </c>
      <c r="G6066">
        <v>240108</v>
      </c>
      <c r="H6066">
        <v>4572</v>
      </c>
      <c r="I6066" t="s">
        <v>122</v>
      </c>
      <c r="J6066">
        <v>143.52000000000001</v>
      </c>
      <c r="K6066">
        <v>27.78</v>
      </c>
      <c r="L6066">
        <v>14952</v>
      </c>
      <c r="M6066" t="s">
        <v>99</v>
      </c>
      <c r="N6066" t="str">
        <f>"7240251557  "</f>
        <v xml:space="preserve">7240251557  </v>
      </c>
      <c r="O6066">
        <v>240110</v>
      </c>
    </row>
    <row r="6067" spans="1:15" x14ac:dyDescent="0.25">
      <c r="A6067" t="s">
        <v>16</v>
      </c>
      <c r="B6067" t="s">
        <v>3221</v>
      </c>
      <c r="C6067">
        <v>19061</v>
      </c>
      <c r="D6067" t="s">
        <v>1071</v>
      </c>
      <c r="E6067" t="s">
        <v>1072</v>
      </c>
      <c r="F6067">
        <v>270.06</v>
      </c>
      <c r="G6067">
        <v>240108</v>
      </c>
      <c r="H6067">
        <v>4572</v>
      </c>
      <c r="I6067" t="s">
        <v>122</v>
      </c>
      <c r="J6067">
        <v>334.87</v>
      </c>
      <c r="K6067">
        <v>64.81</v>
      </c>
      <c r="L6067">
        <v>14981</v>
      </c>
      <c r="M6067" t="s">
        <v>1211</v>
      </c>
      <c r="N6067" t="str">
        <f>"7240251557  "</f>
        <v xml:space="preserve">7240251557  </v>
      </c>
      <c r="O6067">
        <v>240110</v>
      </c>
    </row>
    <row r="6068" spans="1:15" x14ac:dyDescent="0.25">
      <c r="A6068" t="s">
        <v>16</v>
      </c>
      <c r="B6068" t="s">
        <v>3221</v>
      </c>
      <c r="C6068">
        <v>19067</v>
      </c>
      <c r="D6068" t="s">
        <v>1071</v>
      </c>
      <c r="E6068" t="s">
        <v>1072</v>
      </c>
      <c r="F6068">
        <v>36.99</v>
      </c>
      <c r="G6068">
        <v>240108</v>
      </c>
      <c r="H6068">
        <v>4572</v>
      </c>
      <c r="I6068" t="s">
        <v>122</v>
      </c>
      <c r="J6068">
        <v>45.87</v>
      </c>
      <c r="K6068">
        <v>8.8800000000000008</v>
      </c>
      <c r="L6068">
        <v>11401</v>
      </c>
      <c r="M6068" t="s">
        <v>84</v>
      </c>
      <c r="N6068" t="str">
        <f>"7240246164  "</f>
        <v xml:space="preserve">7240246164  </v>
      </c>
      <c r="O6068">
        <v>240110</v>
      </c>
    </row>
    <row r="6069" spans="1:15" x14ac:dyDescent="0.25">
      <c r="A6069" t="s">
        <v>16</v>
      </c>
      <c r="B6069" t="s">
        <v>3221</v>
      </c>
      <c r="C6069">
        <v>19067</v>
      </c>
      <c r="D6069" t="s">
        <v>1071</v>
      </c>
      <c r="E6069" t="s">
        <v>1072</v>
      </c>
      <c r="F6069">
        <v>74</v>
      </c>
      <c r="G6069">
        <v>240108</v>
      </c>
      <c r="H6069">
        <v>4572</v>
      </c>
      <c r="I6069" t="s">
        <v>122</v>
      </c>
      <c r="J6069">
        <v>91.76</v>
      </c>
      <c r="K6069">
        <v>17.760000000000002</v>
      </c>
      <c r="L6069">
        <v>14952</v>
      </c>
      <c r="M6069" t="s">
        <v>99</v>
      </c>
      <c r="N6069" t="str">
        <f>"7240246164  "</f>
        <v xml:space="preserve">7240246164  </v>
      </c>
      <c r="O6069">
        <v>240110</v>
      </c>
    </row>
    <row r="6070" spans="1:15" x14ac:dyDescent="0.25">
      <c r="A6070" t="s">
        <v>16</v>
      </c>
      <c r="B6070" t="s">
        <v>3221</v>
      </c>
      <c r="C6070">
        <v>19068</v>
      </c>
      <c r="D6070" t="s">
        <v>1071</v>
      </c>
      <c r="E6070" t="s">
        <v>1072</v>
      </c>
      <c r="F6070">
        <v>327.73</v>
      </c>
      <c r="G6070">
        <v>240108</v>
      </c>
      <c r="H6070">
        <v>4572</v>
      </c>
      <c r="I6070" t="s">
        <v>122</v>
      </c>
      <c r="J6070">
        <v>406.38</v>
      </c>
      <c r="K6070">
        <v>78.650000000000006</v>
      </c>
      <c r="L6070">
        <v>59112</v>
      </c>
      <c r="M6070" t="s">
        <v>182</v>
      </c>
      <c r="N6070" t="str">
        <f>"7240246054  "</f>
        <v xml:space="preserve">7240246054  </v>
      </c>
      <c r="O6070">
        <v>240110</v>
      </c>
    </row>
    <row r="6071" spans="1:15" x14ac:dyDescent="0.25">
      <c r="A6071" t="s">
        <v>16</v>
      </c>
      <c r="B6071" t="s">
        <v>3221</v>
      </c>
      <c r="C6071">
        <v>19068</v>
      </c>
      <c r="D6071" t="s">
        <v>1071</v>
      </c>
      <c r="E6071" t="s">
        <v>1072</v>
      </c>
      <c r="F6071">
        <v>886.08</v>
      </c>
      <c r="G6071">
        <v>240108</v>
      </c>
      <c r="H6071">
        <v>4572</v>
      </c>
      <c r="I6071" t="s">
        <v>122</v>
      </c>
      <c r="J6071">
        <v>1098.74</v>
      </c>
      <c r="K6071">
        <v>212.66</v>
      </c>
      <c r="L6071">
        <v>59504</v>
      </c>
      <c r="M6071" t="s">
        <v>71</v>
      </c>
      <c r="N6071" t="str">
        <f>"7240246054  "</f>
        <v xml:space="preserve">7240246054  </v>
      </c>
      <c r="O6071">
        <v>240110</v>
      </c>
    </row>
    <row r="6072" spans="1:15" x14ac:dyDescent="0.25">
      <c r="A6072" t="s">
        <v>16</v>
      </c>
      <c r="B6072" t="s">
        <v>3221</v>
      </c>
      <c r="C6072">
        <v>19071</v>
      </c>
      <c r="D6072" t="s">
        <v>1071</v>
      </c>
      <c r="E6072" t="s">
        <v>1072</v>
      </c>
      <c r="F6072">
        <v>14.93</v>
      </c>
      <c r="G6072">
        <v>240108</v>
      </c>
      <c r="H6072">
        <v>4572</v>
      </c>
      <c r="I6072" t="s">
        <v>122</v>
      </c>
      <c r="J6072">
        <v>18.510000000000002</v>
      </c>
      <c r="K6072">
        <v>3.58</v>
      </c>
      <c r="L6072">
        <v>14952</v>
      </c>
      <c r="M6072" t="s">
        <v>99</v>
      </c>
      <c r="N6072" t="str">
        <f>"7240251560  "</f>
        <v xml:space="preserve">7240251560  </v>
      </c>
      <c r="O6072">
        <v>240110</v>
      </c>
    </row>
    <row r="6073" spans="1:15" x14ac:dyDescent="0.25">
      <c r="A6073" t="s">
        <v>16</v>
      </c>
      <c r="B6073" t="s">
        <v>3221</v>
      </c>
      <c r="C6073">
        <v>19071</v>
      </c>
      <c r="D6073" t="s">
        <v>1071</v>
      </c>
      <c r="E6073" t="s">
        <v>1072</v>
      </c>
      <c r="F6073">
        <v>34.82</v>
      </c>
      <c r="G6073">
        <v>240108</v>
      </c>
      <c r="H6073">
        <v>4572</v>
      </c>
      <c r="I6073" t="s">
        <v>122</v>
      </c>
      <c r="J6073">
        <v>43.18</v>
      </c>
      <c r="K6073">
        <v>8.36</v>
      </c>
      <c r="L6073">
        <v>14981</v>
      </c>
      <c r="M6073" t="s">
        <v>1211</v>
      </c>
      <c r="N6073" t="str">
        <f>"7240251560  "</f>
        <v xml:space="preserve">7240251560  </v>
      </c>
      <c r="O6073">
        <v>240110</v>
      </c>
    </row>
    <row r="6074" spans="1:15" x14ac:dyDescent="0.25">
      <c r="A6074" t="s">
        <v>16</v>
      </c>
      <c r="B6074" t="s">
        <v>3221</v>
      </c>
      <c r="C6074">
        <v>19072</v>
      </c>
      <c r="D6074" t="s">
        <v>1071</v>
      </c>
      <c r="E6074" t="s">
        <v>1072</v>
      </c>
      <c r="F6074">
        <v>8.4700000000000006</v>
      </c>
      <c r="G6074">
        <v>240108</v>
      </c>
      <c r="H6074">
        <v>4572</v>
      </c>
      <c r="I6074" t="s">
        <v>122</v>
      </c>
      <c r="J6074">
        <v>10.5</v>
      </c>
      <c r="K6074">
        <v>2.0299999999999998</v>
      </c>
      <c r="L6074">
        <v>59112</v>
      </c>
      <c r="M6074" t="s">
        <v>182</v>
      </c>
      <c r="N6074" t="str">
        <f>"7240246041  "</f>
        <v xml:space="preserve">7240246041  </v>
      </c>
      <c r="O6074">
        <v>240110</v>
      </c>
    </row>
    <row r="6075" spans="1:15" x14ac:dyDescent="0.25">
      <c r="A6075" t="s">
        <v>16</v>
      </c>
      <c r="B6075" t="s">
        <v>3221</v>
      </c>
      <c r="C6075">
        <v>19072</v>
      </c>
      <c r="D6075" t="s">
        <v>1071</v>
      </c>
      <c r="E6075" t="s">
        <v>1072</v>
      </c>
      <c r="F6075">
        <v>22.9</v>
      </c>
      <c r="G6075">
        <v>240108</v>
      </c>
      <c r="H6075">
        <v>4572</v>
      </c>
      <c r="I6075" t="s">
        <v>122</v>
      </c>
      <c r="J6075">
        <v>28.39</v>
      </c>
      <c r="K6075">
        <v>5.49</v>
      </c>
      <c r="L6075">
        <v>59504</v>
      </c>
      <c r="M6075" t="s">
        <v>71</v>
      </c>
      <c r="N6075" t="str">
        <f>"7240246041  "</f>
        <v xml:space="preserve">7240246041  </v>
      </c>
      <c r="O6075">
        <v>240110</v>
      </c>
    </row>
    <row r="6076" spans="1:15" x14ac:dyDescent="0.25">
      <c r="A6076" t="s">
        <v>16</v>
      </c>
      <c r="B6076" t="s">
        <v>3221</v>
      </c>
      <c r="C6076">
        <v>19077</v>
      </c>
      <c r="D6076" t="s">
        <v>1071</v>
      </c>
      <c r="E6076" t="s">
        <v>1072</v>
      </c>
      <c r="F6076">
        <v>154.51</v>
      </c>
      <c r="G6076">
        <v>240108</v>
      </c>
      <c r="H6076">
        <v>4572</v>
      </c>
      <c r="I6076" t="s">
        <v>122</v>
      </c>
      <c r="J6076">
        <v>191.59</v>
      </c>
      <c r="K6076">
        <v>37.08</v>
      </c>
      <c r="L6076">
        <v>11401</v>
      </c>
      <c r="M6076" t="s">
        <v>84</v>
      </c>
      <c r="N6076" t="str">
        <f>"7240246177  "</f>
        <v xml:space="preserve">7240246177  </v>
      </c>
      <c r="O6076">
        <v>240110</v>
      </c>
    </row>
    <row r="6077" spans="1:15" x14ac:dyDescent="0.25">
      <c r="A6077" t="s">
        <v>16</v>
      </c>
      <c r="B6077" t="s">
        <v>3221</v>
      </c>
      <c r="C6077">
        <v>19077</v>
      </c>
      <c r="D6077" t="s">
        <v>1071</v>
      </c>
      <c r="E6077" t="s">
        <v>1072</v>
      </c>
      <c r="F6077">
        <v>309.07</v>
      </c>
      <c r="G6077">
        <v>240108</v>
      </c>
      <c r="H6077">
        <v>4572</v>
      </c>
      <c r="I6077" t="s">
        <v>122</v>
      </c>
      <c r="J6077">
        <v>383.25</v>
      </c>
      <c r="K6077">
        <v>74.180000000000007</v>
      </c>
      <c r="L6077">
        <v>14952</v>
      </c>
      <c r="M6077" t="s">
        <v>99</v>
      </c>
      <c r="N6077" t="str">
        <f>"7240246177  "</f>
        <v xml:space="preserve">7240246177  </v>
      </c>
      <c r="O6077">
        <v>240110</v>
      </c>
    </row>
    <row r="6078" spans="1:15" x14ac:dyDescent="0.25">
      <c r="A6078" t="s">
        <v>16</v>
      </c>
      <c r="B6078" t="s">
        <v>3221</v>
      </c>
      <c r="C6078">
        <v>19080</v>
      </c>
      <c r="D6078" t="s">
        <v>1071</v>
      </c>
      <c r="E6078" t="s">
        <v>1072</v>
      </c>
      <c r="F6078">
        <v>9.93</v>
      </c>
      <c r="G6078">
        <v>240108</v>
      </c>
      <c r="H6078">
        <v>4572</v>
      </c>
      <c r="I6078" t="s">
        <v>122</v>
      </c>
      <c r="J6078">
        <v>12.31</v>
      </c>
      <c r="K6078">
        <v>2.38</v>
      </c>
      <c r="L6078">
        <v>13841</v>
      </c>
      <c r="M6078" t="s">
        <v>47</v>
      </c>
      <c r="N6078" t="str">
        <f>"7240252828  "</f>
        <v xml:space="preserve">7240252828  </v>
      </c>
      <c r="O6078">
        <v>240110</v>
      </c>
    </row>
    <row r="6079" spans="1:15" x14ac:dyDescent="0.25">
      <c r="A6079" t="s">
        <v>16</v>
      </c>
      <c r="B6079" t="s">
        <v>3221</v>
      </c>
      <c r="C6079">
        <v>19081</v>
      </c>
      <c r="D6079" t="s">
        <v>1071</v>
      </c>
      <c r="E6079" t="s">
        <v>1072</v>
      </c>
      <c r="F6079">
        <v>1459.95</v>
      </c>
      <c r="G6079">
        <v>240108</v>
      </c>
      <c r="H6079">
        <v>4572</v>
      </c>
      <c r="I6079" t="s">
        <v>122</v>
      </c>
      <c r="J6079">
        <v>1810.34</v>
      </c>
      <c r="K6079">
        <v>350.39</v>
      </c>
      <c r="L6079">
        <v>14951</v>
      </c>
      <c r="M6079" t="s">
        <v>57</v>
      </c>
      <c r="N6079" t="str">
        <f>"7240245958  "</f>
        <v xml:space="preserve">7240245958  </v>
      </c>
      <c r="O6079">
        <v>240110</v>
      </c>
    </row>
    <row r="6080" spans="1:15" x14ac:dyDescent="0.25">
      <c r="A6080" t="s">
        <v>16</v>
      </c>
      <c r="B6080" t="s">
        <v>3221</v>
      </c>
      <c r="C6080">
        <v>19091</v>
      </c>
      <c r="D6080" t="s">
        <v>1071</v>
      </c>
      <c r="E6080" t="s">
        <v>1072</v>
      </c>
      <c r="F6080">
        <v>313.22000000000003</v>
      </c>
      <c r="G6080">
        <v>240108</v>
      </c>
      <c r="H6080">
        <v>4572</v>
      </c>
      <c r="I6080" t="s">
        <v>122</v>
      </c>
      <c r="J6080">
        <v>388.39</v>
      </c>
      <c r="K6080">
        <v>75.17</v>
      </c>
      <c r="L6080">
        <v>17711</v>
      </c>
      <c r="M6080" t="s">
        <v>65</v>
      </c>
      <c r="N6080" t="str">
        <f>"7240246070  "</f>
        <v xml:space="preserve">7240246070  </v>
      </c>
      <c r="O6080">
        <v>240110</v>
      </c>
    </row>
    <row r="6081" spans="1:15" x14ac:dyDescent="0.25">
      <c r="A6081" t="s">
        <v>16</v>
      </c>
      <c r="B6081" t="s">
        <v>3221</v>
      </c>
      <c r="C6081">
        <v>19091</v>
      </c>
      <c r="D6081" t="s">
        <v>1071</v>
      </c>
      <c r="E6081" t="s">
        <v>1072</v>
      </c>
      <c r="F6081">
        <v>23.56</v>
      </c>
      <c r="G6081">
        <v>240108</v>
      </c>
      <c r="H6081">
        <v>4572</v>
      </c>
      <c r="I6081" t="s">
        <v>122</v>
      </c>
      <c r="J6081">
        <v>29.21</v>
      </c>
      <c r="K6081">
        <v>5.65</v>
      </c>
      <c r="L6081">
        <v>17737</v>
      </c>
      <c r="M6081" t="s">
        <v>279</v>
      </c>
      <c r="N6081" t="str">
        <f>"7240246070  "</f>
        <v xml:space="preserve">7240246070  </v>
      </c>
      <c r="O6081">
        <v>240110</v>
      </c>
    </row>
    <row r="6082" spans="1:15" x14ac:dyDescent="0.25">
      <c r="A6082" t="s">
        <v>16</v>
      </c>
      <c r="B6082" t="s">
        <v>3221</v>
      </c>
      <c r="C6082">
        <v>19091</v>
      </c>
      <c r="D6082" t="s">
        <v>1071</v>
      </c>
      <c r="E6082" t="s">
        <v>1072</v>
      </c>
      <c r="F6082">
        <v>134.22999999999999</v>
      </c>
      <c r="G6082">
        <v>240108</v>
      </c>
      <c r="H6082">
        <v>4572</v>
      </c>
      <c r="I6082" t="s">
        <v>122</v>
      </c>
      <c r="J6082">
        <v>166.45</v>
      </c>
      <c r="K6082">
        <v>32.22</v>
      </c>
      <c r="L6082">
        <v>17739</v>
      </c>
      <c r="M6082" t="s">
        <v>374</v>
      </c>
      <c r="N6082" t="str">
        <f>"7240246070  "</f>
        <v xml:space="preserve">7240246070  </v>
      </c>
      <c r="O6082">
        <v>240110</v>
      </c>
    </row>
    <row r="6083" spans="1:15" x14ac:dyDescent="0.25">
      <c r="A6083" t="s">
        <v>16</v>
      </c>
      <c r="B6083" t="s">
        <v>3221</v>
      </c>
      <c r="C6083">
        <v>19095</v>
      </c>
      <c r="D6083" t="s">
        <v>1071</v>
      </c>
      <c r="E6083" t="s">
        <v>1072</v>
      </c>
      <c r="F6083">
        <v>143.61000000000001</v>
      </c>
      <c r="G6083">
        <v>240108</v>
      </c>
      <c r="H6083">
        <v>4572</v>
      </c>
      <c r="I6083" t="s">
        <v>122</v>
      </c>
      <c r="J6083">
        <v>178.08</v>
      </c>
      <c r="K6083">
        <v>34.47</v>
      </c>
      <c r="L6083">
        <v>17739</v>
      </c>
      <c r="M6083" t="s">
        <v>374</v>
      </c>
      <c r="N6083" t="str">
        <f>"7240245961  "</f>
        <v xml:space="preserve">7240245961  </v>
      </c>
      <c r="O6083">
        <v>240110</v>
      </c>
    </row>
    <row r="6084" spans="1:15" x14ac:dyDescent="0.25">
      <c r="A6084" t="s">
        <v>16</v>
      </c>
      <c r="B6084" t="s">
        <v>3221</v>
      </c>
      <c r="C6084">
        <v>19095</v>
      </c>
      <c r="D6084" t="s">
        <v>1071</v>
      </c>
      <c r="E6084" t="s">
        <v>1072</v>
      </c>
      <c r="F6084">
        <v>430.85</v>
      </c>
      <c r="G6084">
        <v>240108</v>
      </c>
      <c r="H6084">
        <v>4572</v>
      </c>
      <c r="I6084" t="s">
        <v>122</v>
      </c>
      <c r="J6084">
        <v>534.25</v>
      </c>
      <c r="K6084">
        <v>103.4</v>
      </c>
      <c r="L6084">
        <v>17912</v>
      </c>
      <c r="M6084" t="s">
        <v>419</v>
      </c>
      <c r="N6084" t="str">
        <f>"7240245961  "</f>
        <v xml:space="preserve">7240245961  </v>
      </c>
      <c r="O6084">
        <v>240110</v>
      </c>
    </row>
    <row r="6085" spans="1:15" x14ac:dyDescent="0.25">
      <c r="A6085" t="s">
        <v>16</v>
      </c>
      <c r="B6085" t="s">
        <v>3221</v>
      </c>
      <c r="C6085">
        <v>19095</v>
      </c>
      <c r="D6085" t="s">
        <v>1071</v>
      </c>
      <c r="E6085" t="s">
        <v>1072</v>
      </c>
      <c r="F6085">
        <v>861.69</v>
      </c>
      <c r="G6085">
        <v>240108</v>
      </c>
      <c r="H6085">
        <v>4572</v>
      </c>
      <c r="I6085" t="s">
        <v>122</v>
      </c>
      <c r="J6085">
        <v>1068.5</v>
      </c>
      <c r="K6085">
        <v>206.81</v>
      </c>
      <c r="L6085">
        <v>17952</v>
      </c>
      <c r="M6085" t="s">
        <v>88</v>
      </c>
      <c r="N6085" t="str">
        <f>"7240245961  "</f>
        <v xml:space="preserve">7240245961  </v>
      </c>
      <c r="O6085">
        <v>240110</v>
      </c>
    </row>
    <row r="6086" spans="1:15" x14ac:dyDescent="0.25">
      <c r="A6086" t="s">
        <v>16</v>
      </c>
      <c r="B6086" t="s">
        <v>3221</v>
      </c>
      <c r="C6086">
        <v>19127</v>
      </c>
      <c r="D6086" t="s">
        <v>1071</v>
      </c>
      <c r="E6086" t="s">
        <v>1072</v>
      </c>
      <c r="F6086">
        <v>95.31</v>
      </c>
      <c r="G6086">
        <v>240108</v>
      </c>
      <c r="H6086">
        <v>4572</v>
      </c>
      <c r="I6086" t="s">
        <v>122</v>
      </c>
      <c r="J6086">
        <v>118.18</v>
      </c>
      <c r="K6086">
        <v>22.87</v>
      </c>
      <c r="L6086">
        <v>69501</v>
      </c>
      <c r="M6086" t="s">
        <v>185</v>
      </c>
      <c r="N6086" t="str">
        <f>"7240245932  "</f>
        <v xml:space="preserve">7240245932  </v>
      </c>
      <c r="O6086">
        <v>240111</v>
      </c>
    </row>
    <row r="6087" spans="1:15" x14ac:dyDescent="0.25">
      <c r="A6087" t="s">
        <v>16</v>
      </c>
      <c r="B6087" t="s">
        <v>3221</v>
      </c>
      <c r="C6087">
        <v>19150</v>
      </c>
      <c r="D6087" t="s">
        <v>1071</v>
      </c>
      <c r="E6087" t="s">
        <v>1072</v>
      </c>
      <c r="F6087">
        <v>1356.95</v>
      </c>
      <c r="G6087">
        <v>240108</v>
      </c>
      <c r="H6087">
        <v>4572</v>
      </c>
      <c r="I6087" t="s">
        <v>122</v>
      </c>
      <c r="J6087">
        <v>1682.62</v>
      </c>
      <c r="K6087">
        <v>325.67</v>
      </c>
      <c r="L6087">
        <v>49501</v>
      </c>
      <c r="M6087" t="s">
        <v>177</v>
      </c>
      <c r="N6087" t="str">
        <f>"7240245945  "</f>
        <v xml:space="preserve">7240245945  </v>
      </c>
      <c r="O6087">
        <v>240111</v>
      </c>
    </row>
    <row r="6088" spans="1:15" x14ac:dyDescent="0.25">
      <c r="A6088" t="s">
        <v>16</v>
      </c>
      <c r="B6088" t="s">
        <v>3221</v>
      </c>
      <c r="C6088">
        <v>19150</v>
      </c>
      <c r="D6088" t="s">
        <v>1071</v>
      </c>
      <c r="E6088" t="s">
        <v>1072</v>
      </c>
      <c r="F6088">
        <v>71.42</v>
      </c>
      <c r="G6088">
        <v>240108</v>
      </c>
      <c r="H6088">
        <v>4572</v>
      </c>
      <c r="I6088" t="s">
        <v>122</v>
      </c>
      <c r="J6088">
        <v>88.56</v>
      </c>
      <c r="K6088">
        <v>17.14</v>
      </c>
      <c r="L6088">
        <v>49801</v>
      </c>
      <c r="M6088" t="s">
        <v>1227</v>
      </c>
      <c r="N6088" t="str">
        <f>"7240245945  "</f>
        <v xml:space="preserve">7240245945  </v>
      </c>
      <c r="O6088">
        <v>240111</v>
      </c>
    </row>
    <row r="6089" spans="1:15" x14ac:dyDescent="0.25">
      <c r="A6089" t="s">
        <v>16</v>
      </c>
      <c r="B6089" t="s">
        <v>3221</v>
      </c>
      <c r="C6089">
        <v>19156</v>
      </c>
      <c r="D6089" t="s">
        <v>1071</v>
      </c>
      <c r="E6089" t="s">
        <v>1072</v>
      </c>
      <c r="F6089">
        <v>1296.76</v>
      </c>
      <c r="G6089">
        <v>240108</v>
      </c>
      <c r="H6089">
        <v>4572</v>
      </c>
      <c r="I6089" t="s">
        <v>122</v>
      </c>
      <c r="J6089">
        <v>1607.98</v>
      </c>
      <c r="K6089">
        <v>311.22000000000003</v>
      </c>
      <c r="L6089">
        <v>49503</v>
      </c>
      <c r="M6089" t="s">
        <v>178</v>
      </c>
      <c r="N6089" t="str">
        <f>"7240246012  "</f>
        <v xml:space="preserve">7240246012  </v>
      </c>
      <c r="O6089">
        <v>240111</v>
      </c>
    </row>
    <row r="6090" spans="1:15" x14ac:dyDescent="0.25">
      <c r="A6090" t="s">
        <v>16</v>
      </c>
      <c r="B6090" t="s">
        <v>3221</v>
      </c>
      <c r="C6090">
        <v>19291</v>
      </c>
      <c r="D6090" t="s">
        <v>1071</v>
      </c>
      <c r="E6090" t="s">
        <v>1072</v>
      </c>
      <c r="F6090">
        <v>2231.02</v>
      </c>
      <c r="G6090">
        <v>240108</v>
      </c>
      <c r="H6090">
        <v>4572</v>
      </c>
      <c r="I6090" t="s">
        <v>122</v>
      </c>
      <c r="J6090">
        <v>2766.47</v>
      </c>
      <c r="K6090">
        <v>535.45000000000005</v>
      </c>
      <c r="L6090">
        <v>69111</v>
      </c>
      <c r="M6090" t="s">
        <v>471</v>
      </c>
      <c r="N6090" t="str">
        <f>"7240245929  "</f>
        <v xml:space="preserve">7240245929  </v>
      </c>
      <c r="O6090">
        <v>240116</v>
      </c>
    </row>
    <row r="6091" spans="1:15" x14ac:dyDescent="0.25">
      <c r="A6091" t="s">
        <v>16</v>
      </c>
      <c r="B6091" t="s">
        <v>3221</v>
      </c>
      <c r="C6091">
        <v>19291</v>
      </c>
      <c r="D6091" t="s">
        <v>1071</v>
      </c>
      <c r="E6091" t="s">
        <v>1072</v>
      </c>
      <c r="F6091">
        <v>3346.53</v>
      </c>
      <c r="G6091">
        <v>240108</v>
      </c>
      <c r="H6091">
        <v>4572</v>
      </c>
      <c r="I6091" t="s">
        <v>122</v>
      </c>
      <c r="J6091">
        <v>4149.7</v>
      </c>
      <c r="K6091">
        <v>803.17</v>
      </c>
      <c r="L6091">
        <v>69501</v>
      </c>
      <c r="M6091" t="s">
        <v>185</v>
      </c>
      <c r="N6091" t="str">
        <f>"7240245929  "</f>
        <v xml:space="preserve">7240245929  </v>
      </c>
      <c r="O6091">
        <v>240116</v>
      </c>
    </row>
    <row r="6092" spans="1:15" x14ac:dyDescent="0.25">
      <c r="A6092" t="s">
        <v>16</v>
      </c>
      <c r="B6092" t="s">
        <v>3221</v>
      </c>
      <c r="C6092">
        <v>19338</v>
      </c>
      <c r="D6092" t="s">
        <v>1071</v>
      </c>
      <c r="E6092" t="s">
        <v>1072</v>
      </c>
      <c r="F6092">
        <v>32.03</v>
      </c>
      <c r="G6092">
        <v>240108</v>
      </c>
      <c r="H6092">
        <v>4572</v>
      </c>
      <c r="I6092" t="s">
        <v>122</v>
      </c>
      <c r="J6092">
        <v>39.72</v>
      </c>
      <c r="K6092">
        <v>7.69</v>
      </c>
      <c r="L6092">
        <v>56571</v>
      </c>
      <c r="M6092" t="s">
        <v>204</v>
      </c>
      <c r="N6092" t="str">
        <f>"7240246096  "</f>
        <v xml:space="preserve">7240246096  </v>
      </c>
      <c r="O6092">
        <v>240117</v>
      </c>
    </row>
    <row r="6093" spans="1:15" x14ac:dyDescent="0.25">
      <c r="A6093" t="s">
        <v>16</v>
      </c>
      <c r="B6093" t="s">
        <v>3221</v>
      </c>
      <c r="C6093">
        <v>19339</v>
      </c>
      <c r="D6093" t="s">
        <v>1071</v>
      </c>
      <c r="E6093" t="s">
        <v>1072</v>
      </c>
      <c r="F6093">
        <v>33.479999999999997</v>
      </c>
      <c r="G6093">
        <v>240108</v>
      </c>
      <c r="H6093">
        <v>4572</v>
      </c>
      <c r="I6093" t="s">
        <v>122</v>
      </c>
      <c r="J6093">
        <v>41.52</v>
      </c>
      <c r="K6093">
        <v>8.0399999999999991</v>
      </c>
      <c r="L6093">
        <v>56571</v>
      </c>
      <c r="M6093" t="s">
        <v>204</v>
      </c>
      <c r="N6093" t="str">
        <f>"7240246106  "</f>
        <v xml:space="preserve">7240246106  </v>
      </c>
      <c r="O6093">
        <v>240117</v>
      </c>
    </row>
    <row r="6094" spans="1:15" x14ac:dyDescent="0.25">
      <c r="A6094" t="s">
        <v>16</v>
      </c>
      <c r="B6094" t="s">
        <v>3221</v>
      </c>
      <c r="C6094">
        <v>19341</v>
      </c>
      <c r="D6094" t="s">
        <v>1071</v>
      </c>
      <c r="E6094" t="s">
        <v>1072</v>
      </c>
      <c r="F6094">
        <v>2365.91</v>
      </c>
      <c r="G6094">
        <v>240108</v>
      </c>
      <c r="H6094">
        <v>4572</v>
      </c>
      <c r="I6094" t="s">
        <v>122</v>
      </c>
      <c r="J6094">
        <v>2933.73</v>
      </c>
      <c r="K6094">
        <v>567.82000000000005</v>
      </c>
      <c r="L6094">
        <v>49501</v>
      </c>
      <c r="M6094" t="s">
        <v>177</v>
      </c>
      <c r="N6094" t="str">
        <f>"7240246083  "</f>
        <v xml:space="preserve">7240246083  </v>
      </c>
      <c r="O6094">
        <v>240117</v>
      </c>
    </row>
    <row r="6095" spans="1:15" x14ac:dyDescent="0.25">
      <c r="A6095" t="s">
        <v>16</v>
      </c>
      <c r="B6095" t="s">
        <v>3221</v>
      </c>
      <c r="C6095">
        <v>19341</v>
      </c>
      <c r="D6095" t="s">
        <v>1071</v>
      </c>
      <c r="E6095" t="s">
        <v>1072</v>
      </c>
      <c r="F6095">
        <v>417.52</v>
      </c>
      <c r="G6095">
        <v>240108</v>
      </c>
      <c r="H6095">
        <v>4572</v>
      </c>
      <c r="I6095" t="s">
        <v>122</v>
      </c>
      <c r="J6095">
        <v>517.72</v>
      </c>
      <c r="K6095">
        <v>100.2</v>
      </c>
      <c r="L6095">
        <v>49801</v>
      </c>
      <c r="M6095" t="s">
        <v>1227</v>
      </c>
      <c r="N6095" t="str">
        <f>"7240246083  "</f>
        <v xml:space="preserve">7240246083  </v>
      </c>
      <c r="O6095">
        <v>240117</v>
      </c>
    </row>
    <row r="6096" spans="1:15" x14ac:dyDescent="0.25">
      <c r="A6096" t="s">
        <v>16</v>
      </c>
      <c r="B6096" t="s">
        <v>3221</v>
      </c>
      <c r="C6096">
        <v>2849</v>
      </c>
      <c r="D6096" t="s">
        <v>850</v>
      </c>
      <c r="E6096" t="s">
        <v>851</v>
      </c>
      <c r="F6096">
        <v>230</v>
      </c>
      <c r="G6096">
        <v>230228</v>
      </c>
      <c r="H6096">
        <v>4350</v>
      </c>
      <c r="I6096" t="s">
        <v>546</v>
      </c>
      <c r="J6096">
        <v>285.2</v>
      </c>
      <c r="K6096">
        <v>55.2</v>
      </c>
      <c r="L6096">
        <v>17972</v>
      </c>
      <c r="M6096" t="s">
        <v>248</v>
      </c>
      <c r="N6096" t="str">
        <f>"2370169895  "</f>
        <v xml:space="preserve">2370169895  </v>
      </c>
      <c r="O6096">
        <v>230308</v>
      </c>
    </row>
    <row r="6097" spans="1:15" x14ac:dyDescent="0.25">
      <c r="A6097" t="s">
        <v>16</v>
      </c>
      <c r="B6097" t="s">
        <v>3221</v>
      </c>
      <c r="C6097">
        <v>5293</v>
      </c>
      <c r="D6097" t="s">
        <v>1824</v>
      </c>
      <c r="E6097" t="s">
        <v>1825</v>
      </c>
      <c r="F6097">
        <v>300</v>
      </c>
      <c r="G6097">
        <v>230417</v>
      </c>
      <c r="H6097">
        <v>4440</v>
      </c>
      <c r="I6097" t="s">
        <v>250</v>
      </c>
      <c r="J6097">
        <v>372</v>
      </c>
      <c r="K6097">
        <v>72</v>
      </c>
      <c r="L6097">
        <v>13401</v>
      </c>
      <c r="M6097" t="s">
        <v>80</v>
      </c>
      <c r="N6097" t="str">
        <f>"100-83-2023 "</f>
        <v xml:space="preserve">100-83-2023 </v>
      </c>
      <c r="O6097">
        <v>230420</v>
      </c>
    </row>
    <row r="6098" spans="1:15" x14ac:dyDescent="0.25">
      <c r="A6098" t="s">
        <v>16</v>
      </c>
      <c r="B6098" t="s">
        <v>3221</v>
      </c>
      <c r="C6098">
        <v>11930</v>
      </c>
      <c r="D6098" t="s">
        <v>1824</v>
      </c>
      <c r="E6098" t="s">
        <v>1825</v>
      </c>
      <c r="F6098">
        <v>557</v>
      </c>
      <c r="G6098">
        <v>230905</v>
      </c>
      <c r="H6098">
        <v>4440</v>
      </c>
      <c r="I6098" t="s">
        <v>250</v>
      </c>
      <c r="J6098">
        <v>690.68</v>
      </c>
      <c r="K6098">
        <v>133.68</v>
      </c>
      <c r="L6098">
        <v>13401</v>
      </c>
      <c r="M6098" t="s">
        <v>80</v>
      </c>
      <c r="N6098" t="str">
        <f t="shared" ref="N6098:N6104" si="110">"1001602023  "</f>
        <v xml:space="preserve">1001602023  </v>
      </c>
      <c r="O6098">
        <v>230912</v>
      </c>
    </row>
    <row r="6099" spans="1:15" x14ac:dyDescent="0.25">
      <c r="A6099" t="s">
        <v>16</v>
      </c>
      <c r="B6099" t="s">
        <v>3221</v>
      </c>
      <c r="C6099">
        <v>11930</v>
      </c>
      <c r="D6099" t="s">
        <v>1824</v>
      </c>
      <c r="E6099" t="s">
        <v>1825</v>
      </c>
      <c r="F6099">
        <v>669</v>
      </c>
      <c r="G6099">
        <v>230905</v>
      </c>
      <c r="H6099">
        <v>4440</v>
      </c>
      <c r="I6099" t="s">
        <v>250</v>
      </c>
      <c r="J6099">
        <v>829.56</v>
      </c>
      <c r="K6099">
        <v>160.56</v>
      </c>
      <c r="L6099">
        <v>14622</v>
      </c>
      <c r="M6099" t="s">
        <v>1005</v>
      </c>
      <c r="N6099" t="str">
        <f t="shared" si="110"/>
        <v xml:space="preserve">1001602023  </v>
      </c>
      <c r="O6099">
        <v>230912</v>
      </c>
    </row>
    <row r="6100" spans="1:15" x14ac:dyDescent="0.25">
      <c r="A6100" t="s">
        <v>16</v>
      </c>
      <c r="B6100" t="s">
        <v>3221</v>
      </c>
      <c r="C6100">
        <v>11930</v>
      </c>
      <c r="D6100" t="s">
        <v>1824</v>
      </c>
      <c r="E6100" t="s">
        <v>1825</v>
      </c>
      <c r="F6100">
        <v>286</v>
      </c>
      <c r="G6100">
        <v>230905</v>
      </c>
      <c r="H6100">
        <v>4440</v>
      </c>
      <c r="I6100" t="s">
        <v>250</v>
      </c>
      <c r="J6100">
        <v>354.64</v>
      </c>
      <c r="K6100">
        <v>68.64</v>
      </c>
      <c r="L6100">
        <v>16820</v>
      </c>
      <c r="M6100" t="s">
        <v>23</v>
      </c>
      <c r="N6100" t="str">
        <f t="shared" si="110"/>
        <v xml:space="preserve">1001602023  </v>
      </c>
      <c r="O6100">
        <v>230912</v>
      </c>
    </row>
    <row r="6101" spans="1:15" x14ac:dyDescent="0.25">
      <c r="A6101" t="s">
        <v>16</v>
      </c>
      <c r="B6101" t="s">
        <v>3221</v>
      </c>
      <c r="C6101">
        <v>11930</v>
      </c>
      <c r="D6101" t="s">
        <v>1824</v>
      </c>
      <c r="E6101" t="s">
        <v>1825</v>
      </c>
      <c r="F6101">
        <v>416</v>
      </c>
      <c r="G6101">
        <v>230905</v>
      </c>
      <c r="H6101">
        <v>4440</v>
      </c>
      <c r="I6101" t="s">
        <v>250</v>
      </c>
      <c r="J6101">
        <v>515.84</v>
      </c>
      <c r="K6101">
        <v>99.84</v>
      </c>
      <c r="L6101">
        <v>16820</v>
      </c>
      <c r="M6101" t="s">
        <v>23</v>
      </c>
      <c r="N6101" t="str">
        <f t="shared" si="110"/>
        <v xml:space="preserve">1001602023  </v>
      </c>
      <c r="O6101">
        <v>230912</v>
      </c>
    </row>
    <row r="6102" spans="1:15" x14ac:dyDescent="0.25">
      <c r="A6102" t="s">
        <v>16</v>
      </c>
      <c r="B6102" t="s">
        <v>3221</v>
      </c>
      <c r="C6102">
        <v>11930</v>
      </c>
      <c r="D6102" t="s">
        <v>1824</v>
      </c>
      <c r="E6102" t="s">
        <v>1825</v>
      </c>
      <c r="F6102">
        <v>312</v>
      </c>
      <c r="G6102">
        <v>230905</v>
      </c>
      <c r="H6102">
        <v>4440</v>
      </c>
      <c r="I6102" t="s">
        <v>250</v>
      </c>
      <c r="J6102">
        <v>386.88</v>
      </c>
      <c r="K6102">
        <v>74.88</v>
      </c>
      <c r="L6102">
        <v>46222</v>
      </c>
      <c r="M6102" t="s">
        <v>293</v>
      </c>
      <c r="N6102" t="str">
        <f t="shared" si="110"/>
        <v xml:space="preserve">1001602023  </v>
      </c>
      <c r="O6102">
        <v>230912</v>
      </c>
    </row>
    <row r="6103" spans="1:15" x14ac:dyDescent="0.25">
      <c r="A6103" t="s">
        <v>16</v>
      </c>
      <c r="B6103" t="s">
        <v>3221</v>
      </c>
      <c r="C6103">
        <v>11930</v>
      </c>
      <c r="D6103" t="s">
        <v>1824</v>
      </c>
      <c r="E6103" t="s">
        <v>1825</v>
      </c>
      <c r="F6103">
        <v>78</v>
      </c>
      <c r="G6103">
        <v>230905</v>
      </c>
      <c r="H6103">
        <v>4440</v>
      </c>
      <c r="I6103" t="s">
        <v>250</v>
      </c>
      <c r="J6103">
        <v>96.72</v>
      </c>
      <c r="K6103">
        <v>18.72</v>
      </c>
      <c r="L6103">
        <v>56560</v>
      </c>
      <c r="M6103" t="s">
        <v>654</v>
      </c>
      <c r="N6103" t="str">
        <f t="shared" si="110"/>
        <v xml:space="preserve">1001602023  </v>
      </c>
      <c r="O6103">
        <v>230912</v>
      </c>
    </row>
    <row r="6104" spans="1:15" x14ac:dyDescent="0.25">
      <c r="A6104" t="s">
        <v>16</v>
      </c>
      <c r="B6104" t="s">
        <v>3221</v>
      </c>
      <c r="C6104">
        <v>11930</v>
      </c>
      <c r="D6104" t="s">
        <v>1824</v>
      </c>
      <c r="E6104" t="s">
        <v>1825</v>
      </c>
      <c r="F6104">
        <v>178</v>
      </c>
      <c r="G6104">
        <v>230905</v>
      </c>
      <c r="H6104">
        <v>4440</v>
      </c>
      <c r="I6104" t="s">
        <v>250</v>
      </c>
      <c r="J6104">
        <v>220.72</v>
      </c>
      <c r="K6104">
        <v>42.72</v>
      </c>
      <c r="L6104">
        <v>65222</v>
      </c>
      <c r="M6104" t="s">
        <v>487</v>
      </c>
      <c r="N6104" t="str">
        <f t="shared" si="110"/>
        <v xml:space="preserve">1001602023  </v>
      </c>
      <c r="O6104">
        <v>230912</v>
      </c>
    </row>
    <row r="6105" spans="1:15" x14ac:dyDescent="0.25">
      <c r="A6105" t="s">
        <v>16</v>
      </c>
      <c r="B6105" t="s">
        <v>3221</v>
      </c>
      <c r="C6105">
        <v>17734</v>
      </c>
      <c r="D6105" t="s">
        <v>1824</v>
      </c>
      <c r="E6105" t="s">
        <v>1825</v>
      </c>
      <c r="F6105">
        <v>1421.79</v>
      </c>
      <c r="G6105">
        <v>231211</v>
      </c>
      <c r="H6105">
        <v>4440</v>
      </c>
      <c r="I6105" t="s">
        <v>250</v>
      </c>
      <c r="J6105">
        <v>1763.02</v>
      </c>
      <c r="K6105">
        <v>341.23</v>
      </c>
      <c r="L6105">
        <v>14622</v>
      </c>
      <c r="M6105" t="s">
        <v>1005</v>
      </c>
      <c r="N6105" t="str">
        <f t="shared" ref="N6105:N6114" si="111">"141223      "</f>
        <v xml:space="preserve">141223      </v>
      </c>
      <c r="O6105">
        <v>231222</v>
      </c>
    </row>
    <row r="6106" spans="1:15" x14ac:dyDescent="0.25">
      <c r="A6106" t="s">
        <v>16</v>
      </c>
      <c r="B6106" t="s">
        <v>3221</v>
      </c>
      <c r="C6106">
        <v>17734</v>
      </c>
      <c r="D6106" t="s">
        <v>1824</v>
      </c>
      <c r="E6106" t="s">
        <v>1825</v>
      </c>
      <c r="F6106">
        <v>65.81</v>
      </c>
      <c r="G6106">
        <v>231211</v>
      </c>
      <c r="H6106">
        <v>4440</v>
      </c>
      <c r="I6106" t="s">
        <v>250</v>
      </c>
      <c r="J6106">
        <v>81.599999999999994</v>
      </c>
      <c r="K6106">
        <v>15.79</v>
      </c>
      <c r="L6106">
        <v>16820</v>
      </c>
      <c r="M6106" t="s">
        <v>23</v>
      </c>
      <c r="N6106" t="str">
        <f t="shared" si="111"/>
        <v xml:space="preserve">141223      </v>
      </c>
      <c r="O6106">
        <v>231222</v>
      </c>
    </row>
    <row r="6107" spans="1:15" x14ac:dyDescent="0.25">
      <c r="A6107" t="s">
        <v>16</v>
      </c>
      <c r="B6107" t="s">
        <v>3221</v>
      </c>
      <c r="C6107">
        <v>17734</v>
      </c>
      <c r="D6107" t="s">
        <v>1824</v>
      </c>
      <c r="E6107" t="s">
        <v>1825</v>
      </c>
      <c r="F6107">
        <v>430.81</v>
      </c>
      <c r="G6107">
        <v>231211</v>
      </c>
      <c r="H6107">
        <v>4440</v>
      </c>
      <c r="I6107" t="s">
        <v>250</v>
      </c>
      <c r="J6107">
        <v>534.20000000000005</v>
      </c>
      <c r="K6107">
        <v>103.39</v>
      </c>
      <c r="L6107">
        <v>46222</v>
      </c>
      <c r="M6107" t="s">
        <v>293</v>
      </c>
      <c r="N6107" t="str">
        <f t="shared" si="111"/>
        <v xml:space="preserve">141223      </v>
      </c>
      <c r="O6107">
        <v>231222</v>
      </c>
    </row>
    <row r="6108" spans="1:15" x14ac:dyDescent="0.25">
      <c r="A6108" t="s">
        <v>16</v>
      </c>
      <c r="B6108" t="s">
        <v>3221</v>
      </c>
      <c r="C6108">
        <v>17734</v>
      </c>
      <c r="D6108" t="s">
        <v>1824</v>
      </c>
      <c r="E6108" t="s">
        <v>1825</v>
      </c>
      <c r="F6108">
        <v>65.8</v>
      </c>
      <c r="G6108">
        <v>231211</v>
      </c>
      <c r="H6108">
        <v>4440</v>
      </c>
      <c r="I6108" t="s">
        <v>250</v>
      </c>
      <c r="J6108">
        <v>81.59</v>
      </c>
      <c r="K6108">
        <v>15.79</v>
      </c>
      <c r="L6108">
        <v>55222</v>
      </c>
      <c r="M6108" t="s">
        <v>873</v>
      </c>
      <c r="N6108" t="str">
        <f t="shared" si="111"/>
        <v xml:space="preserve">141223      </v>
      </c>
      <c r="O6108">
        <v>231222</v>
      </c>
    </row>
    <row r="6109" spans="1:15" x14ac:dyDescent="0.25">
      <c r="A6109" t="s">
        <v>16</v>
      </c>
      <c r="B6109" t="s">
        <v>3221</v>
      </c>
      <c r="C6109">
        <v>17734</v>
      </c>
      <c r="D6109" t="s">
        <v>1824</v>
      </c>
      <c r="E6109" t="s">
        <v>1825</v>
      </c>
      <c r="F6109">
        <v>65.8</v>
      </c>
      <c r="G6109">
        <v>231211</v>
      </c>
      <c r="H6109">
        <v>4440</v>
      </c>
      <c r="I6109" t="s">
        <v>250</v>
      </c>
      <c r="J6109">
        <v>81.59</v>
      </c>
      <c r="K6109">
        <v>15.79</v>
      </c>
      <c r="L6109">
        <v>56528</v>
      </c>
      <c r="M6109" t="s">
        <v>153</v>
      </c>
      <c r="N6109" t="str">
        <f t="shared" si="111"/>
        <v xml:space="preserve">141223      </v>
      </c>
      <c r="O6109">
        <v>231222</v>
      </c>
    </row>
    <row r="6110" spans="1:15" x14ac:dyDescent="0.25">
      <c r="A6110" t="s">
        <v>16</v>
      </c>
      <c r="B6110" t="s">
        <v>3221</v>
      </c>
      <c r="C6110">
        <v>17734</v>
      </c>
      <c r="D6110" t="s">
        <v>1824</v>
      </c>
      <c r="E6110" t="s">
        <v>1825</v>
      </c>
      <c r="F6110">
        <v>65.8</v>
      </c>
      <c r="G6110">
        <v>231211</v>
      </c>
      <c r="H6110">
        <v>4440</v>
      </c>
      <c r="I6110" t="s">
        <v>250</v>
      </c>
      <c r="J6110">
        <v>81.59</v>
      </c>
      <c r="K6110">
        <v>15.79</v>
      </c>
      <c r="L6110">
        <v>56559</v>
      </c>
      <c r="M6110" t="s">
        <v>129</v>
      </c>
      <c r="N6110" t="str">
        <f t="shared" si="111"/>
        <v xml:space="preserve">141223      </v>
      </c>
      <c r="O6110">
        <v>231222</v>
      </c>
    </row>
    <row r="6111" spans="1:15" x14ac:dyDescent="0.25">
      <c r="A6111" t="s">
        <v>16</v>
      </c>
      <c r="B6111" t="s">
        <v>3221</v>
      </c>
      <c r="C6111">
        <v>17734</v>
      </c>
      <c r="D6111" t="s">
        <v>1824</v>
      </c>
      <c r="E6111" t="s">
        <v>1825</v>
      </c>
      <c r="F6111">
        <v>311.76</v>
      </c>
      <c r="G6111">
        <v>231211</v>
      </c>
      <c r="H6111">
        <v>4440</v>
      </c>
      <c r="I6111" t="s">
        <v>250</v>
      </c>
      <c r="J6111">
        <v>386.58</v>
      </c>
      <c r="K6111">
        <v>74.819999999999993</v>
      </c>
      <c r="L6111">
        <v>56559</v>
      </c>
      <c r="M6111" t="s">
        <v>129</v>
      </c>
      <c r="N6111" t="str">
        <f t="shared" si="111"/>
        <v xml:space="preserve">141223      </v>
      </c>
      <c r="O6111">
        <v>231222</v>
      </c>
    </row>
    <row r="6112" spans="1:15" x14ac:dyDescent="0.25">
      <c r="A6112" t="s">
        <v>16</v>
      </c>
      <c r="B6112" t="s">
        <v>3221</v>
      </c>
      <c r="C6112">
        <v>17734</v>
      </c>
      <c r="D6112" t="s">
        <v>1824</v>
      </c>
      <c r="E6112" t="s">
        <v>1825</v>
      </c>
      <c r="F6112">
        <v>65.8</v>
      </c>
      <c r="G6112">
        <v>231211</v>
      </c>
      <c r="H6112">
        <v>4440</v>
      </c>
      <c r="I6112" t="s">
        <v>250</v>
      </c>
      <c r="J6112">
        <v>81.59</v>
      </c>
      <c r="K6112">
        <v>15.79</v>
      </c>
      <c r="L6112">
        <v>56560</v>
      </c>
      <c r="M6112" t="s">
        <v>654</v>
      </c>
      <c r="N6112" t="str">
        <f t="shared" si="111"/>
        <v xml:space="preserve">141223      </v>
      </c>
      <c r="O6112">
        <v>231222</v>
      </c>
    </row>
    <row r="6113" spans="1:15" x14ac:dyDescent="0.25">
      <c r="A6113" t="s">
        <v>16</v>
      </c>
      <c r="B6113" t="s">
        <v>3221</v>
      </c>
      <c r="C6113">
        <v>17734</v>
      </c>
      <c r="D6113" t="s">
        <v>1824</v>
      </c>
      <c r="E6113" t="s">
        <v>1825</v>
      </c>
      <c r="F6113">
        <v>155.85</v>
      </c>
      <c r="G6113">
        <v>231211</v>
      </c>
      <c r="H6113">
        <v>4440</v>
      </c>
      <c r="I6113" t="s">
        <v>250</v>
      </c>
      <c r="J6113">
        <v>193.26</v>
      </c>
      <c r="K6113">
        <v>37.409999999999997</v>
      </c>
      <c r="L6113">
        <v>56565</v>
      </c>
      <c r="M6113" t="s">
        <v>758</v>
      </c>
      <c r="N6113" t="str">
        <f t="shared" si="111"/>
        <v xml:space="preserve">141223      </v>
      </c>
      <c r="O6113">
        <v>231222</v>
      </c>
    </row>
    <row r="6114" spans="1:15" x14ac:dyDescent="0.25">
      <c r="A6114" t="s">
        <v>16</v>
      </c>
      <c r="B6114" t="s">
        <v>3221</v>
      </c>
      <c r="C6114">
        <v>17734</v>
      </c>
      <c r="D6114" t="s">
        <v>1824</v>
      </c>
      <c r="E6114" t="s">
        <v>1825</v>
      </c>
      <c r="F6114">
        <v>1094.79</v>
      </c>
      <c r="G6114">
        <v>231211</v>
      </c>
      <c r="H6114">
        <v>4440</v>
      </c>
      <c r="I6114" t="s">
        <v>250</v>
      </c>
      <c r="J6114">
        <v>1357.54</v>
      </c>
      <c r="K6114">
        <v>262.75</v>
      </c>
      <c r="L6114">
        <v>65222</v>
      </c>
      <c r="M6114" t="s">
        <v>487</v>
      </c>
      <c r="N6114" t="str">
        <f t="shared" si="111"/>
        <v xml:space="preserve">141223      </v>
      </c>
      <c r="O6114">
        <v>231222</v>
      </c>
    </row>
    <row r="6115" spans="1:15" x14ac:dyDescent="0.25">
      <c r="A6115" t="s">
        <v>16</v>
      </c>
      <c r="B6115" t="s">
        <v>3221</v>
      </c>
      <c r="C6115">
        <v>17527</v>
      </c>
      <c r="D6115" t="s">
        <v>3069</v>
      </c>
      <c r="E6115" t="s">
        <v>3070</v>
      </c>
      <c r="F6115">
        <v>201.49</v>
      </c>
      <c r="G6115">
        <v>231211</v>
      </c>
      <c r="H6115">
        <v>4580</v>
      </c>
      <c r="I6115" t="s">
        <v>35</v>
      </c>
      <c r="J6115">
        <v>249.85</v>
      </c>
      <c r="K6115">
        <v>48.36</v>
      </c>
      <c r="L6115">
        <v>13801</v>
      </c>
      <c r="M6115" t="s">
        <v>162</v>
      </c>
      <c r="N6115" t="str">
        <f>"666310001910"</f>
        <v>666310001910</v>
      </c>
      <c r="O6115">
        <v>231215</v>
      </c>
    </row>
    <row r="6116" spans="1:15" x14ac:dyDescent="0.25">
      <c r="A6116" t="s">
        <v>16</v>
      </c>
      <c r="B6116" t="s">
        <v>3221</v>
      </c>
      <c r="C6116">
        <v>17527</v>
      </c>
      <c r="D6116" t="s">
        <v>3069</v>
      </c>
      <c r="E6116" t="s">
        <v>3070</v>
      </c>
      <c r="F6116">
        <v>45.97</v>
      </c>
      <c r="G6116">
        <v>231211</v>
      </c>
      <c r="H6116">
        <v>4420</v>
      </c>
      <c r="I6116" t="s">
        <v>132</v>
      </c>
      <c r="J6116">
        <v>57</v>
      </c>
      <c r="K6116">
        <v>11.03</v>
      </c>
      <c r="L6116">
        <v>13801</v>
      </c>
      <c r="M6116" t="s">
        <v>162</v>
      </c>
      <c r="N6116" t="str">
        <f>"666310001910"</f>
        <v>666310001910</v>
      </c>
      <c r="O6116">
        <v>231215</v>
      </c>
    </row>
    <row r="6117" spans="1:15" x14ac:dyDescent="0.25">
      <c r="A6117" t="s">
        <v>16</v>
      </c>
      <c r="B6117" t="s">
        <v>3221</v>
      </c>
      <c r="C6117">
        <v>5297</v>
      </c>
      <c r="D6117" t="s">
        <v>1826</v>
      </c>
      <c r="E6117" t="s">
        <v>1827</v>
      </c>
      <c r="F6117">
        <v>64.44</v>
      </c>
      <c r="G6117">
        <v>230309</v>
      </c>
      <c r="H6117">
        <v>4580</v>
      </c>
      <c r="I6117" t="s">
        <v>35</v>
      </c>
      <c r="J6117">
        <v>79.900000000000006</v>
      </c>
      <c r="K6117">
        <v>15.46</v>
      </c>
      <c r="L6117">
        <v>17526</v>
      </c>
      <c r="M6117" t="s">
        <v>437</v>
      </c>
      <c r="N6117" t="str">
        <f>"67338       "</f>
        <v xml:space="preserve">67338       </v>
      </c>
      <c r="O6117">
        <v>230420</v>
      </c>
    </row>
    <row r="6118" spans="1:15" x14ac:dyDescent="0.25">
      <c r="A6118" t="s">
        <v>16</v>
      </c>
      <c r="B6118" t="s">
        <v>3221</v>
      </c>
      <c r="C6118">
        <v>3331</v>
      </c>
      <c r="D6118" t="s">
        <v>1545</v>
      </c>
      <c r="E6118" t="s">
        <v>1546</v>
      </c>
      <c r="F6118">
        <v>518</v>
      </c>
      <c r="G6118">
        <v>230306</v>
      </c>
      <c r="H6118">
        <v>4343</v>
      </c>
      <c r="I6118" t="s">
        <v>91</v>
      </c>
      <c r="J6118">
        <v>642.32000000000005</v>
      </c>
      <c r="K6118">
        <v>124.32</v>
      </c>
      <c r="L6118">
        <v>11801</v>
      </c>
      <c r="M6118" t="s">
        <v>92</v>
      </c>
      <c r="N6118" t="str">
        <f>"1079        "</f>
        <v xml:space="preserve">1079        </v>
      </c>
      <c r="O6118">
        <v>230314</v>
      </c>
    </row>
    <row r="6119" spans="1:15" x14ac:dyDescent="0.25">
      <c r="A6119" t="s">
        <v>16</v>
      </c>
      <c r="B6119" t="s">
        <v>3221</v>
      </c>
      <c r="C6119">
        <v>13071</v>
      </c>
      <c r="D6119" t="s">
        <v>2620</v>
      </c>
      <c r="E6119" t="s">
        <v>2621</v>
      </c>
      <c r="F6119">
        <v>255.75</v>
      </c>
      <c r="G6119">
        <v>230919</v>
      </c>
      <c r="H6119">
        <v>4600</v>
      </c>
      <c r="I6119" t="s">
        <v>105</v>
      </c>
      <c r="J6119">
        <v>317.13</v>
      </c>
      <c r="K6119">
        <v>61.38</v>
      </c>
      <c r="L6119">
        <v>17536</v>
      </c>
      <c r="M6119" t="s">
        <v>734</v>
      </c>
      <c r="N6119" t="str">
        <f>"2403000407  "</f>
        <v xml:space="preserve">2403000407  </v>
      </c>
      <c r="O6119">
        <v>231003</v>
      </c>
    </row>
    <row r="6120" spans="1:15" x14ac:dyDescent="0.25">
      <c r="A6120" t="s">
        <v>16</v>
      </c>
      <c r="B6120" t="s">
        <v>3221</v>
      </c>
      <c r="C6120">
        <v>13071</v>
      </c>
      <c r="D6120" t="s">
        <v>2620</v>
      </c>
      <c r="E6120" t="s">
        <v>2621</v>
      </c>
      <c r="F6120">
        <v>255.75</v>
      </c>
      <c r="G6120">
        <v>230919</v>
      </c>
      <c r="H6120">
        <v>4600</v>
      </c>
      <c r="I6120" t="s">
        <v>105</v>
      </c>
      <c r="J6120">
        <v>317.13</v>
      </c>
      <c r="K6120">
        <v>61.38</v>
      </c>
      <c r="L6120">
        <v>17649</v>
      </c>
      <c r="M6120" t="s">
        <v>1197</v>
      </c>
      <c r="N6120" t="str">
        <f>"2403000407  "</f>
        <v xml:space="preserve">2403000407  </v>
      </c>
      <c r="O6120">
        <v>231003</v>
      </c>
    </row>
    <row r="6121" spans="1:15" x14ac:dyDescent="0.25">
      <c r="A6121" t="s">
        <v>16</v>
      </c>
      <c r="B6121" t="s">
        <v>3221</v>
      </c>
      <c r="C6121">
        <v>10633</v>
      </c>
      <c r="D6121" t="s">
        <v>2401</v>
      </c>
      <c r="E6121" t="s">
        <v>2402</v>
      </c>
      <c r="F6121">
        <v>231</v>
      </c>
      <c r="G6121">
        <v>230817</v>
      </c>
      <c r="H6121">
        <v>4440</v>
      </c>
      <c r="I6121" t="s">
        <v>250</v>
      </c>
      <c r="J6121">
        <v>286.44</v>
      </c>
      <c r="K6121">
        <v>55.44</v>
      </c>
      <c r="L6121">
        <v>18122</v>
      </c>
      <c r="M6121" t="s">
        <v>407</v>
      </c>
      <c r="N6121" t="str">
        <f>"11430       "</f>
        <v xml:space="preserve">11430       </v>
      </c>
      <c r="O6121">
        <v>230821</v>
      </c>
    </row>
    <row r="6122" spans="1:15" x14ac:dyDescent="0.25">
      <c r="A6122" t="s">
        <v>16</v>
      </c>
      <c r="B6122" t="s">
        <v>3221</v>
      </c>
      <c r="C6122">
        <v>1528</v>
      </c>
      <c r="D6122" t="s">
        <v>467</v>
      </c>
      <c r="E6122" t="s">
        <v>468</v>
      </c>
      <c r="F6122">
        <v>2275.56</v>
      </c>
      <c r="G6122">
        <v>230131</v>
      </c>
      <c r="H6122">
        <v>4346</v>
      </c>
      <c r="I6122" t="s">
        <v>197</v>
      </c>
      <c r="J6122">
        <v>2821.69</v>
      </c>
      <c r="K6122">
        <v>546.13</v>
      </c>
      <c r="L6122">
        <v>11801</v>
      </c>
      <c r="M6122" t="s">
        <v>92</v>
      </c>
      <c r="N6122" t="str">
        <f>"530040472   "</f>
        <v xml:space="preserve">530040472   </v>
      </c>
      <c r="O6122">
        <v>230209</v>
      </c>
    </row>
    <row r="6123" spans="1:15" x14ac:dyDescent="0.25">
      <c r="A6123" t="s">
        <v>16</v>
      </c>
      <c r="B6123" t="s">
        <v>3221</v>
      </c>
      <c r="C6123">
        <v>332</v>
      </c>
      <c r="D6123" t="s">
        <v>467</v>
      </c>
      <c r="E6123" t="s">
        <v>468</v>
      </c>
      <c r="F6123">
        <v>5812.77</v>
      </c>
      <c r="G6123">
        <v>230101</v>
      </c>
      <c r="H6123">
        <v>4341</v>
      </c>
      <c r="I6123" t="s">
        <v>32</v>
      </c>
      <c r="J6123">
        <v>7207.83</v>
      </c>
      <c r="K6123">
        <v>1395.06</v>
      </c>
      <c r="L6123">
        <v>11801</v>
      </c>
      <c r="M6123" t="s">
        <v>92</v>
      </c>
      <c r="N6123" t="str">
        <f>"530039898   "</f>
        <v xml:space="preserve">530039898   </v>
      </c>
      <c r="O6123">
        <v>230118</v>
      </c>
    </row>
    <row r="6124" spans="1:15" x14ac:dyDescent="0.25">
      <c r="A6124" t="s">
        <v>16</v>
      </c>
      <c r="B6124" t="s">
        <v>3221</v>
      </c>
      <c r="C6124">
        <v>1531</v>
      </c>
      <c r="D6124" t="s">
        <v>467</v>
      </c>
      <c r="E6124" t="s">
        <v>468</v>
      </c>
      <c r="F6124">
        <v>1479</v>
      </c>
      <c r="G6124">
        <v>230201</v>
      </c>
      <c r="H6124">
        <v>4341</v>
      </c>
      <c r="I6124" t="s">
        <v>32</v>
      </c>
      <c r="J6124">
        <v>1833.96</v>
      </c>
      <c r="K6124">
        <v>354.96</v>
      </c>
      <c r="L6124">
        <v>11801</v>
      </c>
      <c r="M6124" t="s">
        <v>92</v>
      </c>
      <c r="N6124" t="str">
        <f>"530040860   "</f>
        <v xml:space="preserve">530040860   </v>
      </c>
      <c r="O6124">
        <v>230209</v>
      </c>
    </row>
    <row r="6125" spans="1:15" x14ac:dyDescent="0.25">
      <c r="A6125" t="s">
        <v>16</v>
      </c>
      <c r="B6125" t="s">
        <v>3221</v>
      </c>
      <c r="C6125">
        <v>3077</v>
      </c>
      <c r="D6125" t="s">
        <v>467</v>
      </c>
      <c r="E6125" t="s">
        <v>468</v>
      </c>
      <c r="F6125">
        <v>1479</v>
      </c>
      <c r="G6125">
        <v>230301</v>
      </c>
      <c r="H6125">
        <v>4341</v>
      </c>
      <c r="I6125" t="s">
        <v>32</v>
      </c>
      <c r="J6125">
        <v>1833.96</v>
      </c>
      <c r="K6125">
        <v>354.96</v>
      </c>
      <c r="L6125">
        <v>11801</v>
      </c>
      <c r="M6125" t="s">
        <v>92</v>
      </c>
      <c r="N6125" t="str">
        <f>"530041329   "</f>
        <v xml:space="preserve">530041329   </v>
      </c>
      <c r="O6125">
        <v>230309</v>
      </c>
    </row>
    <row r="6126" spans="1:15" x14ac:dyDescent="0.25">
      <c r="A6126" t="s">
        <v>16</v>
      </c>
      <c r="B6126" t="s">
        <v>3221</v>
      </c>
      <c r="C6126">
        <v>4930</v>
      </c>
      <c r="D6126" t="s">
        <v>467</v>
      </c>
      <c r="E6126" t="s">
        <v>468</v>
      </c>
      <c r="F6126">
        <v>3019</v>
      </c>
      <c r="G6126">
        <v>230401</v>
      </c>
      <c r="H6126">
        <v>4341</v>
      </c>
      <c r="I6126" t="s">
        <v>32</v>
      </c>
      <c r="J6126">
        <v>3743.56</v>
      </c>
      <c r="K6126">
        <v>724.56</v>
      </c>
      <c r="L6126">
        <v>11801</v>
      </c>
      <c r="M6126" t="s">
        <v>92</v>
      </c>
      <c r="N6126" t="str">
        <f>"530042281   "</f>
        <v xml:space="preserve">530042281   </v>
      </c>
      <c r="O6126">
        <v>230414</v>
      </c>
    </row>
    <row r="6127" spans="1:15" x14ac:dyDescent="0.25">
      <c r="A6127" t="s">
        <v>16</v>
      </c>
      <c r="B6127" t="s">
        <v>3221</v>
      </c>
      <c r="C6127">
        <v>6747</v>
      </c>
      <c r="D6127" t="s">
        <v>467</v>
      </c>
      <c r="E6127" t="s">
        <v>468</v>
      </c>
      <c r="F6127">
        <v>1569.22</v>
      </c>
      <c r="G6127">
        <v>230501</v>
      </c>
      <c r="H6127">
        <v>4341</v>
      </c>
      <c r="I6127" t="s">
        <v>32</v>
      </c>
      <c r="J6127">
        <v>1945.83</v>
      </c>
      <c r="K6127">
        <v>376.61</v>
      </c>
      <c r="L6127">
        <v>11801</v>
      </c>
      <c r="M6127" t="s">
        <v>92</v>
      </c>
      <c r="N6127" t="str">
        <f>"530043033   "</f>
        <v xml:space="preserve">530043033   </v>
      </c>
      <c r="O6127">
        <v>230522</v>
      </c>
    </row>
    <row r="6128" spans="1:15" x14ac:dyDescent="0.25">
      <c r="A6128" t="s">
        <v>16</v>
      </c>
      <c r="B6128" t="s">
        <v>3221</v>
      </c>
      <c r="C6128">
        <v>8648</v>
      </c>
      <c r="D6128" t="s">
        <v>467</v>
      </c>
      <c r="E6128" t="s">
        <v>468</v>
      </c>
      <c r="F6128">
        <v>1569.22</v>
      </c>
      <c r="G6128">
        <v>230601</v>
      </c>
      <c r="H6128">
        <v>4341</v>
      </c>
      <c r="I6128" t="s">
        <v>32</v>
      </c>
      <c r="J6128">
        <v>1945.83</v>
      </c>
      <c r="K6128">
        <v>376.61</v>
      </c>
      <c r="L6128">
        <v>11801</v>
      </c>
      <c r="M6128" t="s">
        <v>92</v>
      </c>
      <c r="N6128" t="str">
        <f>"530043809   "</f>
        <v xml:space="preserve">530043809   </v>
      </c>
      <c r="O6128">
        <v>230613</v>
      </c>
    </row>
    <row r="6129" spans="1:16" x14ac:dyDescent="0.25">
      <c r="A6129" t="s">
        <v>16</v>
      </c>
      <c r="B6129" t="s">
        <v>3221</v>
      </c>
      <c r="C6129">
        <v>9529</v>
      </c>
      <c r="D6129" t="s">
        <v>467</v>
      </c>
      <c r="E6129" t="s">
        <v>468</v>
      </c>
      <c r="F6129">
        <v>2122.81</v>
      </c>
      <c r="G6129">
        <v>230701</v>
      </c>
      <c r="H6129">
        <v>4341</v>
      </c>
      <c r="I6129" t="s">
        <v>32</v>
      </c>
      <c r="J6129">
        <v>2632.29</v>
      </c>
      <c r="K6129">
        <v>509.48</v>
      </c>
      <c r="L6129">
        <v>11801</v>
      </c>
      <c r="M6129" t="s">
        <v>92</v>
      </c>
      <c r="N6129" t="str">
        <f>"530044816   "</f>
        <v xml:space="preserve">530044816   </v>
      </c>
      <c r="O6129">
        <v>230717</v>
      </c>
    </row>
    <row r="6130" spans="1:16" x14ac:dyDescent="0.25">
      <c r="A6130" t="s">
        <v>16</v>
      </c>
      <c r="B6130" t="s">
        <v>3221</v>
      </c>
      <c r="C6130">
        <v>10467</v>
      </c>
      <c r="D6130" t="s">
        <v>467</v>
      </c>
      <c r="E6130" t="s">
        <v>468</v>
      </c>
      <c r="F6130">
        <v>1569.22</v>
      </c>
      <c r="G6130">
        <v>230801</v>
      </c>
      <c r="H6130">
        <v>4341</v>
      </c>
      <c r="I6130" t="s">
        <v>32</v>
      </c>
      <c r="J6130">
        <v>1945.83</v>
      </c>
      <c r="K6130">
        <v>376.61</v>
      </c>
      <c r="L6130">
        <v>11801</v>
      </c>
      <c r="M6130" t="s">
        <v>92</v>
      </c>
      <c r="N6130" t="str">
        <f>"530045629   "</f>
        <v xml:space="preserve">530045629   </v>
      </c>
      <c r="O6130">
        <v>230816</v>
      </c>
    </row>
    <row r="6131" spans="1:16" x14ac:dyDescent="0.25">
      <c r="A6131" t="s">
        <v>16</v>
      </c>
      <c r="B6131" t="s">
        <v>3221</v>
      </c>
      <c r="C6131">
        <v>11673</v>
      </c>
      <c r="D6131" t="s">
        <v>467</v>
      </c>
      <c r="E6131" t="s">
        <v>468</v>
      </c>
      <c r="F6131">
        <v>1569.22</v>
      </c>
      <c r="G6131">
        <v>230901</v>
      </c>
      <c r="H6131">
        <v>4341</v>
      </c>
      <c r="I6131" t="s">
        <v>32</v>
      </c>
      <c r="J6131">
        <v>1945.83</v>
      </c>
      <c r="K6131">
        <v>376.61</v>
      </c>
      <c r="L6131">
        <v>11801</v>
      </c>
      <c r="M6131" t="s">
        <v>92</v>
      </c>
      <c r="N6131" t="str">
        <f>"530046289   "</f>
        <v xml:space="preserve">530046289   </v>
      </c>
      <c r="O6131">
        <v>230908</v>
      </c>
    </row>
    <row r="6132" spans="1:16" x14ac:dyDescent="0.25">
      <c r="A6132" t="s">
        <v>16</v>
      </c>
      <c r="B6132" t="s">
        <v>3221</v>
      </c>
      <c r="C6132">
        <v>13501</v>
      </c>
      <c r="D6132" t="s">
        <v>467</v>
      </c>
      <c r="E6132" t="s">
        <v>468</v>
      </c>
      <c r="F6132">
        <v>1761.73</v>
      </c>
      <c r="G6132">
        <v>231001</v>
      </c>
      <c r="H6132">
        <v>4341</v>
      </c>
      <c r="I6132" t="s">
        <v>32</v>
      </c>
      <c r="J6132">
        <v>2184.54</v>
      </c>
      <c r="K6132">
        <v>422.81</v>
      </c>
      <c r="L6132">
        <v>11801</v>
      </c>
      <c r="M6132" t="s">
        <v>92</v>
      </c>
      <c r="N6132" t="str">
        <f>"530047129   "</f>
        <v xml:space="preserve">530047129   </v>
      </c>
      <c r="O6132">
        <v>231010</v>
      </c>
    </row>
    <row r="6133" spans="1:16" x14ac:dyDescent="0.25">
      <c r="A6133" t="s">
        <v>16</v>
      </c>
      <c r="B6133" t="s">
        <v>3221</v>
      </c>
      <c r="C6133">
        <v>15325</v>
      </c>
      <c r="D6133" t="s">
        <v>467</v>
      </c>
      <c r="E6133" t="s">
        <v>468</v>
      </c>
      <c r="F6133">
        <v>1569.22</v>
      </c>
      <c r="G6133">
        <v>231101</v>
      </c>
      <c r="H6133">
        <v>4341</v>
      </c>
      <c r="I6133" t="s">
        <v>32</v>
      </c>
      <c r="J6133">
        <v>1945.83</v>
      </c>
      <c r="K6133">
        <v>376.61</v>
      </c>
      <c r="L6133">
        <v>11801</v>
      </c>
      <c r="M6133" t="s">
        <v>92</v>
      </c>
      <c r="N6133" t="str">
        <f>"530047975   "</f>
        <v xml:space="preserve">530047975   </v>
      </c>
      <c r="O6133">
        <v>231113</v>
      </c>
    </row>
    <row r="6134" spans="1:16" x14ac:dyDescent="0.25">
      <c r="A6134" t="s">
        <v>16</v>
      </c>
      <c r="B6134" t="s">
        <v>3221</v>
      </c>
      <c r="C6134">
        <v>17413</v>
      </c>
      <c r="D6134" t="s">
        <v>467</v>
      </c>
      <c r="E6134" t="s">
        <v>468</v>
      </c>
      <c r="F6134">
        <v>1569.22</v>
      </c>
      <c r="G6134">
        <v>231201</v>
      </c>
      <c r="H6134">
        <v>4341</v>
      </c>
      <c r="I6134" t="s">
        <v>32</v>
      </c>
      <c r="J6134">
        <v>1945.83</v>
      </c>
      <c r="K6134">
        <v>376.61</v>
      </c>
      <c r="L6134">
        <v>11801</v>
      </c>
      <c r="M6134" t="s">
        <v>92</v>
      </c>
      <c r="N6134" t="str">
        <f>"530048810   "</f>
        <v xml:space="preserve">530048810   </v>
      </c>
      <c r="O6134">
        <v>231214</v>
      </c>
    </row>
    <row r="6135" spans="1:16" x14ac:dyDescent="0.25">
      <c r="A6135" t="s">
        <v>16</v>
      </c>
      <c r="B6135" t="s">
        <v>3221</v>
      </c>
      <c r="C6135">
        <v>10392</v>
      </c>
      <c r="D6135" t="s">
        <v>467</v>
      </c>
      <c r="E6135" t="s">
        <v>468</v>
      </c>
      <c r="F6135">
        <v>426.15</v>
      </c>
      <c r="G6135">
        <v>230731</v>
      </c>
      <c r="H6135">
        <v>4362</v>
      </c>
      <c r="I6135" t="s">
        <v>79</v>
      </c>
      <c r="J6135">
        <v>528.41999999999996</v>
      </c>
      <c r="K6135">
        <v>102.27</v>
      </c>
      <c r="L6135">
        <v>11501</v>
      </c>
      <c r="M6135" t="s">
        <v>339</v>
      </c>
      <c r="N6135" t="str">
        <f>"530045830   "</f>
        <v xml:space="preserve">530045830   </v>
      </c>
      <c r="O6135">
        <v>230815</v>
      </c>
    </row>
    <row r="6136" spans="1:16" x14ac:dyDescent="0.25">
      <c r="A6136" t="s">
        <v>16</v>
      </c>
      <c r="B6136" t="s">
        <v>3221</v>
      </c>
      <c r="C6136">
        <v>14050</v>
      </c>
      <c r="D6136" t="s">
        <v>467</v>
      </c>
      <c r="E6136" t="s">
        <v>468</v>
      </c>
      <c r="F6136">
        <v>142.05000000000001</v>
      </c>
      <c r="G6136">
        <v>230930</v>
      </c>
      <c r="H6136">
        <v>4362</v>
      </c>
      <c r="I6136" t="s">
        <v>79</v>
      </c>
      <c r="J6136">
        <v>176.14</v>
      </c>
      <c r="K6136">
        <v>34.090000000000003</v>
      </c>
      <c r="L6136">
        <v>11801</v>
      </c>
      <c r="M6136" t="s">
        <v>92</v>
      </c>
      <c r="N6136" t="str">
        <f>"530047450   "</f>
        <v xml:space="preserve">530047450   </v>
      </c>
      <c r="O6136">
        <v>231018</v>
      </c>
    </row>
    <row r="6137" spans="1:16" x14ac:dyDescent="0.25">
      <c r="A6137" t="s">
        <v>16</v>
      </c>
      <c r="B6137" t="s">
        <v>3221</v>
      </c>
      <c r="C6137">
        <v>14050</v>
      </c>
      <c r="D6137" t="s">
        <v>467</v>
      </c>
      <c r="E6137" t="s">
        <v>468</v>
      </c>
      <c r="F6137">
        <v>334.45</v>
      </c>
      <c r="G6137">
        <v>230930</v>
      </c>
      <c r="H6137">
        <v>4362</v>
      </c>
      <c r="I6137" t="s">
        <v>79</v>
      </c>
      <c r="J6137">
        <v>414.72</v>
      </c>
      <c r="K6137">
        <v>80.27</v>
      </c>
      <c r="L6137">
        <v>11801</v>
      </c>
      <c r="M6137" t="s">
        <v>92</v>
      </c>
      <c r="N6137" t="str">
        <f>"530047450   "</f>
        <v xml:space="preserve">530047450   </v>
      </c>
      <c r="O6137">
        <v>231018</v>
      </c>
    </row>
    <row r="6138" spans="1:16" x14ac:dyDescent="0.25">
      <c r="A6138" t="s">
        <v>16</v>
      </c>
      <c r="B6138" t="s">
        <v>3221</v>
      </c>
      <c r="C6138">
        <v>8261</v>
      </c>
      <c r="D6138" t="s">
        <v>2164</v>
      </c>
      <c r="E6138" t="s">
        <v>2165</v>
      </c>
      <c r="F6138">
        <v>739.25</v>
      </c>
      <c r="G6138">
        <v>230602</v>
      </c>
      <c r="H6138">
        <v>4400</v>
      </c>
      <c r="I6138" t="s">
        <v>348</v>
      </c>
      <c r="J6138">
        <v>916.67</v>
      </c>
      <c r="K6138">
        <v>177.42</v>
      </c>
      <c r="L6138">
        <v>17524</v>
      </c>
      <c r="M6138" t="s">
        <v>452</v>
      </c>
      <c r="N6138" t="str">
        <f>"3023597     "</f>
        <v xml:space="preserve">3023597     </v>
      </c>
      <c r="O6138">
        <v>230608</v>
      </c>
    </row>
    <row r="6139" spans="1:16" x14ac:dyDescent="0.25">
      <c r="A6139" t="s">
        <v>16</v>
      </c>
      <c r="B6139" t="s">
        <v>3221</v>
      </c>
      <c r="C6139">
        <v>8282</v>
      </c>
      <c r="D6139" t="s">
        <v>2164</v>
      </c>
      <c r="E6139" t="s">
        <v>2165</v>
      </c>
      <c r="F6139">
        <v>649.21</v>
      </c>
      <c r="G6139">
        <v>230531</v>
      </c>
      <c r="H6139">
        <v>4400</v>
      </c>
      <c r="I6139" t="s">
        <v>348</v>
      </c>
      <c r="J6139">
        <v>805.02</v>
      </c>
      <c r="K6139">
        <v>155.81</v>
      </c>
      <c r="L6139">
        <v>17524</v>
      </c>
      <c r="M6139" t="s">
        <v>452</v>
      </c>
      <c r="N6139" t="str">
        <f>"3023587     "</f>
        <v xml:space="preserve">3023587     </v>
      </c>
      <c r="O6139">
        <v>230608</v>
      </c>
    </row>
    <row r="6140" spans="1:16" x14ac:dyDescent="0.25">
      <c r="A6140" t="s">
        <v>16</v>
      </c>
      <c r="B6140" t="s">
        <v>3221</v>
      </c>
      <c r="C6140">
        <v>17715</v>
      </c>
      <c r="D6140" t="s">
        <v>2164</v>
      </c>
      <c r="E6140" t="s">
        <v>2165</v>
      </c>
      <c r="F6140">
        <v>515.82000000000005</v>
      </c>
      <c r="G6140">
        <v>231213</v>
      </c>
      <c r="H6140">
        <v>4600</v>
      </c>
      <c r="I6140" t="s">
        <v>105</v>
      </c>
      <c r="J6140">
        <v>639.62</v>
      </c>
      <c r="K6140">
        <v>123.8</v>
      </c>
      <c r="L6140">
        <v>56522</v>
      </c>
      <c r="M6140" t="s">
        <v>43</v>
      </c>
      <c r="N6140" t="str">
        <f>"30231286    "</f>
        <v xml:space="preserve">30231286    </v>
      </c>
      <c r="O6140">
        <v>231221</v>
      </c>
    </row>
    <row r="6141" spans="1:16" x14ac:dyDescent="0.25">
      <c r="A6141" t="s">
        <v>16</v>
      </c>
      <c r="B6141" t="s">
        <v>3221</v>
      </c>
      <c r="C6141">
        <v>16396</v>
      </c>
      <c r="D6141" t="s">
        <v>936</v>
      </c>
      <c r="E6141" s="2">
        <v>12322496</v>
      </c>
      <c r="F6141">
        <v>460.11</v>
      </c>
      <c r="G6141">
        <v>231113</v>
      </c>
      <c r="H6141">
        <v>4534</v>
      </c>
      <c r="I6141" t="s">
        <v>273</v>
      </c>
      <c r="J6141">
        <v>460.11</v>
      </c>
      <c r="K6141">
        <v>0</v>
      </c>
      <c r="L6141">
        <v>54252</v>
      </c>
      <c r="M6141" t="s">
        <v>534</v>
      </c>
      <c r="N6141" t="str">
        <f>"1086794     "</f>
        <v xml:space="preserve">1086794     </v>
      </c>
      <c r="O6141">
        <v>231129</v>
      </c>
      <c r="P6141" t="s">
        <v>937</v>
      </c>
    </row>
    <row r="6142" spans="1:16" x14ac:dyDescent="0.25">
      <c r="A6142" t="s">
        <v>16</v>
      </c>
      <c r="B6142" t="s">
        <v>3221</v>
      </c>
      <c r="C6142">
        <v>11854</v>
      </c>
      <c r="D6142" t="s">
        <v>936</v>
      </c>
      <c r="E6142" s="2">
        <v>12322496</v>
      </c>
      <c r="F6142">
        <v>658</v>
      </c>
      <c r="G6142">
        <v>230829</v>
      </c>
      <c r="H6142">
        <v>4580</v>
      </c>
      <c r="I6142" t="s">
        <v>35</v>
      </c>
      <c r="J6142">
        <v>815.92</v>
      </c>
      <c r="K6142">
        <v>157.91999999999999</v>
      </c>
      <c r="L6142">
        <v>44453</v>
      </c>
      <c r="M6142" t="s">
        <v>492</v>
      </c>
      <c r="N6142" t="str">
        <f>"1079225     "</f>
        <v xml:space="preserve">1079225     </v>
      </c>
      <c r="O6142">
        <v>230911</v>
      </c>
      <c r="P6142" t="s">
        <v>937</v>
      </c>
    </row>
    <row r="6143" spans="1:16" x14ac:dyDescent="0.25">
      <c r="A6143" t="s">
        <v>16</v>
      </c>
      <c r="B6143" t="s">
        <v>3221</v>
      </c>
      <c r="C6143">
        <v>1189</v>
      </c>
      <c r="D6143" t="s">
        <v>936</v>
      </c>
      <c r="E6143" s="2">
        <v>12322496</v>
      </c>
      <c r="F6143">
        <v>192.08</v>
      </c>
      <c r="G6143">
        <v>230127</v>
      </c>
      <c r="H6143">
        <v>4600</v>
      </c>
      <c r="I6143" t="s">
        <v>105</v>
      </c>
      <c r="J6143">
        <v>238.18</v>
      </c>
      <c r="K6143">
        <v>46.1</v>
      </c>
      <c r="L6143">
        <v>54222</v>
      </c>
      <c r="M6143" t="s">
        <v>308</v>
      </c>
      <c r="N6143" t="str">
        <f>"1057734     "</f>
        <v xml:space="preserve">1057734     </v>
      </c>
      <c r="O6143">
        <v>230206</v>
      </c>
      <c r="P6143" t="s">
        <v>937</v>
      </c>
    </row>
    <row r="6144" spans="1:16" x14ac:dyDescent="0.25">
      <c r="A6144" t="s">
        <v>16</v>
      </c>
      <c r="B6144" t="s">
        <v>3221</v>
      </c>
      <c r="C6144">
        <v>11854</v>
      </c>
      <c r="D6144" t="s">
        <v>936</v>
      </c>
      <c r="E6144" s="2">
        <v>12322496</v>
      </c>
      <c r="F6144">
        <v>11.13</v>
      </c>
      <c r="G6144">
        <v>230829</v>
      </c>
      <c r="H6144">
        <v>4600</v>
      </c>
      <c r="I6144" t="s">
        <v>105</v>
      </c>
      <c r="J6144">
        <v>13.8</v>
      </c>
      <c r="K6144">
        <v>2.67</v>
      </c>
      <c r="L6144">
        <v>44453</v>
      </c>
      <c r="M6144" t="s">
        <v>492</v>
      </c>
      <c r="N6144" t="str">
        <f>"1079225     "</f>
        <v xml:space="preserve">1079225     </v>
      </c>
      <c r="O6144">
        <v>230911</v>
      </c>
      <c r="P6144" t="s">
        <v>937</v>
      </c>
    </row>
    <row r="6145" spans="1:16" x14ac:dyDescent="0.25">
      <c r="A6145" t="s">
        <v>16</v>
      </c>
      <c r="B6145" t="s">
        <v>3221</v>
      </c>
      <c r="C6145">
        <v>12977</v>
      </c>
      <c r="D6145" t="s">
        <v>936</v>
      </c>
      <c r="E6145" s="2">
        <v>12322496</v>
      </c>
      <c r="F6145">
        <v>18.48</v>
      </c>
      <c r="G6145">
        <v>230918</v>
      </c>
      <c r="H6145">
        <v>4600</v>
      </c>
      <c r="I6145" t="s">
        <v>105</v>
      </c>
      <c r="J6145">
        <v>22.92</v>
      </c>
      <c r="K6145">
        <v>4.4400000000000004</v>
      </c>
      <c r="L6145">
        <v>44453</v>
      </c>
      <c r="M6145" t="s">
        <v>492</v>
      </c>
      <c r="N6145" t="str">
        <f>"1081092     "</f>
        <v xml:space="preserve">1081092     </v>
      </c>
      <c r="O6145">
        <v>231002</v>
      </c>
      <c r="P6145" t="s">
        <v>937</v>
      </c>
    </row>
    <row r="6146" spans="1:16" x14ac:dyDescent="0.25">
      <c r="A6146" t="s">
        <v>16</v>
      </c>
      <c r="B6146" t="s">
        <v>3221</v>
      </c>
      <c r="C6146">
        <v>14027</v>
      </c>
      <c r="D6146" t="s">
        <v>936</v>
      </c>
      <c r="E6146" s="2">
        <v>12322496</v>
      </c>
      <c r="F6146">
        <v>62.23</v>
      </c>
      <c r="G6146">
        <v>231004</v>
      </c>
      <c r="H6146">
        <v>4600</v>
      </c>
      <c r="I6146" t="s">
        <v>105</v>
      </c>
      <c r="J6146">
        <v>77.17</v>
      </c>
      <c r="K6146">
        <v>14.94</v>
      </c>
      <c r="L6146">
        <v>44453</v>
      </c>
      <c r="M6146" t="s">
        <v>492</v>
      </c>
      <c r="N6146" t="str">
        <f>"1082975     "</f>
        <v xml:space="preserve">1082975     </v>
      </c>
      <c r="O6146">
        <v>231017</v>
      </c>
      <c r="P6146" t="s">
        <v>937</v>
      </c>
    </row>
    <row r="6147" spans="1:16" x14ac:dyDescent="0.25">
      <c r="A6147" t="s">
        <v>16</v>
      </c>
      <c r="B6147" t="s">
        <v>3221</v>
      </c>
      <c r="C6147">
        <v>14357</v>
      </c>
      <c r="D6147" t="s">
        <v>936</v>
      </c>
      <c r="E6147" s="2">
        <v>12322496</v>
      </c>
      <c r="F6147">
        <v>125.3</v>
      </c>
      <c r="G6147">
        <v>231004</v>
      </c>
      <c r="H6147">
        <v>4600</v>
      </c>
      <c r="I6147" t="s">
        <v>105</v>
      </c>
      <c r="J6147">
        <v>155.37</v>
      </c>
      <c r="K6147">
        <v>30.07</v>
      </c>
      <c r="L6147">
        <v>44453</v>
      </c>
      <c r="M6147" t="s">
        <v>492</v>
      </c>
      <c r="N6147" t="str">
        <f>"1083097     "</f>
        <v xml:space="preserve">1083097     </v>
      </c>
      <c r="O6147">
        <v>231030</v>
      </c>
      <c r="P6147" t="s">
        <v>937</v>
      </c>
    </row>
    <row r="6148" spans="1:16" x14ac:dyDescent="0.25">
      <c r="A6148" t="s">
        <v>16</v>
      </c>
      <c r="B6148" t="s">
        <v>3221</v>
      </c>
      <c r="C6148">
        <v>14358</v>
      </c>
      <c r="D6148" t="s">
        <v>936</v>
      </c>
      <c r="E6148" s="2">
        <v>12322496</v>
      </c>
      <c r="F6148">
        <v>76.510000000000005</v>
      </c>
      <c r="G6148">
        <v>231004</v>
      </c>
      <c r="H6148">
        <v>4600</v>
      </c>
      <c r="I6148" t="s">
        <v>105</v>
      </c>
      <c r="J6148">
        <v>94.87</v>
      </c>
      <c r="K6148">
        <v>18.36</v>
      </c>
      <c r="L6148">
        <v>44453</v>
      </c>
      <c r="M6148" t="s">
        <v>492</v>
      </c>
      <c r="N6148" t="str">
        <f>"1082909     "</f>
        <v xml:space="preserve">1082909     </v>
      </c>
      <c r="O6148">
        <v>231030</v>
      </c>
      <c r="P6148" t="s">
        <v>937</v>
      </c>
    </row>
    <row r="6149" spans="1:16" x14ac:dyDescent="0.25">
      <c r="A6149" t="s">
        <v>16</v>
      </c>
      <c r="B6149" t="s">
        <v>3221</v>
      </c>
      <c r="C6149">
        <v>11854</v>
      </c>
      <c r="D6149" t="s">
        <v>936</v>
      </c>
      <c r="E6149" s="2">
        <v>12322496</v>
      </c>
      <c r="F6149">
        <v>1176.9100000000001</v>
      </c>
      <c r="G6149">
        <v>230829</v>
      </c>
      <c r="H6149">
        <v>4555</v>
      </c>
      <c r="I6149" t="s">
        <v>481</v>
      </c>
      <c r="J6149">
        <v>1459.37</v>
      </c>
      <c r="K6149">
        <v>282.45999999999998</v>
      </c>
      <c r="L6149">
        <v>44453</v>
      </c>
      <c r="M6149" t="s">
        <v>492</v>
      </c>
      <c r="N6149" t="str">
        <f>"1079225     "</f>
        <v xml:space="preserve">1079225     </v>
      </c>
      <c r="O6149">
        <v>230911</v>
      </c>
      <c r="P6149" t="s">
        <v>937</v>
      </c>
    </row>
    <row r="6150" spans="1:16" x14ac:dyDescent="0.25">
      <c r="A6150" t="s">
        <v>16</v>
      </c>
      <c r="B6150" t="s">
        <v>3221</v>
      </c>
      <c r="C6150">
        <v>12975</v>
      </c>
      <c r="D6150" t="s">
        <v>936</v>
      </c>
      <c r="E6150" s="2">
        <v>12322496</v>
      </c>
      <c r="F6150">
        <v>100</v>
      </c>
      <c r="G6150">
        <v>230918</v>
      </c>
      <c r="H6150">
        <v>4555</v>
      </c>
      <c r="I6150" t="s">
        <v>481</v>
      </c>
      <c r="J6150">
        <v>124</v>
      </c>
      <c r="K6150">
        <v>24</v>
      </c>
      <c r="L6150">
        <v>44453</v>
      </c>
      <c r="M6150" t="s">
        <v>492</v>
      </c>
      <c r="N6150" t="str">
        <f>"1081091     "</f>
        <v xml:space="preserve">1081091     </v>
      </c>
      <c r="O6150">
        <v>231002</v>
      </c>
      <c r="P6150" t="s">
        <v>937</v>
      </c>
    </row>
    <row r="6151" spans="1:16" x14ac:dyDescent="0.25">
      <c r="A6151" t="s">
        <v>16</v>
      </c>
      <c r="B6151" t="s">
        <v>3221</v>
      </c>
      <c r="C6151">
        <v>16544</v>
      </c>
      <c r="D6151" t="s">
        <v>936</v>
      </c>
      <c r="E6151" s="2">
        <v>12322496</v>
      </c>
      <c r="F6151">
        <v>44.1</v>
      </c>
      <c r="G6151">
        <v>231124</v>
      </c>
      <c r="H6151">
        <v>4555</v>
      </c>
      <c r="I6151" t="s">
        <v>481</v>
      </c>
      <c r="J6151">
        <v>54.68</v>
      </c>
      <c r="K6151">
        <v>10.58</v>
      </c>
      <c r="L6151">
        <v>44453</v>
      </c>
      <c r="M6151" t="s">
        <v>492</v>
      </c>
      <c r="N6151" t="str">
        <f>"1088257     "</f>
        <v xml:space="preserve">1088257     </v>
      </c>
      <c r="O6151">
        <v>231201</v>
      </c>
      <c r="P6151" t="s">
        <v>937</v>
      </c>
    </row>
    <row r="6152" spans="1:16" x14ac:dyDescent="0.25">
      <c r="A6152" t="s">
        <v>16</v>
      </c>
      <c r="B6152" t="s">
        <v>3221</v>
      </c>
      <c r="C6152">
        <v>519</v>
      </c>
      <c r="D6152" t="s">
        <v>3634</v>
      </c>
      <c r="E6152" t="s">
        <v>599</v>
      </c>
      <c r="F6152">
        <v>215</v>
      </c>
      <c r="G6152">
        <v>230113</v>
      </c>
      <c r="H6152">
        <v>4580</v>
      </c>
      <c r="I6152" t="s">
        <v>35</v>
      </c>
      <c r="J6152">
        <v>266.60000000000002</v>
      </c>
      <c r="K6152">
        <v>51.6</v>
      </c>
      <c r="L6152">
        <v>17522</v>
      </c>
      <c r="M6152" t="s">
        <v>451</v>
      </c>
      <c r="N6152" t="str">
        <f>"10882       "</f>
        <v xml:space="preserve">10882       </v>
      </c>
      <c r="O6152">
        <v>230124</v>
      </c>
    </row>
    <row r="6153" spans="1:16" x14ac:dyDescent="0.25">
      <c r="A6153" t="s">
        <v>16</v>
      </c>
      <c r="B6153" t="s">
        <v>3221</v>
      </c>
      <c r="C6153">
        <v>5309</v>
      </c>
      <c r="D6153" t="s">
        <v>1834</v>
      </c>
      <c r="E6153" t="s">
        <v>1835</v>
      </c>
      <c r="F6153">
        <v>67.5</v>
      </c>
      <c r="G6153">
        <v>230418</v>
      </c>
      <c r="H6153">
        <v>4580</v>
      </c>
      <c r="I6153" t="s">
        <v>35</v>
      </c>
      <c r="J6153">
        <v>83.7</v>
      </c>
      <c r="K6153">
        <v>16.2</v>
      </c>
      <c r="L6153">
        <v>17532</v>
      </c>
      <c r="M6153" t="s">
        <v>543</v>
      </c>
      <c r="N6153" t="str">
        <f>"31 1126279  "</f>
        <v xml:space="preserve">31 1126279  </v>
      </c>
      <c r="O6153">
        <v>230420</v>
      </c>
    </row>
    <row r="6154" spans="1:16" x14ac:dyDescent="0.25">
      <c r="A6154" t="s">
        <v>16</v>
      </c>
      <c r="B6154" t="s">
        <v>3221</v>
      </c>
      <c r="C6154">
        <v>5309</v>
      </c>
      <c r="D6154" t="s">
        <v>1834</v>
      </c>
      <c r="E6154" t="s">
        <v>1835</v>
      </c>
      <c r="F6154">
        <v>67.5</v>
      </c>
      <c r="G6154">
        <v>230418</v>
      </c>
      <c r="H6154">
        <v>4470</v>
      </c>
      <c r="I6154" t="s">
        <v>83</v>
      </c>
      <c r="J6154">
        <v>83.7</v>
      </c>
      <c r="K6154">
        <v>16.2</v>
      </c>
      <c r="L6154">
        <v>17533</v>
      </c>
      <c r="M6154" t="s">
        <v>990</v>
      </c>
      <c r="N6154" t="str">
        <f>"31 1126279  "</f>
        <v xml:space="preserve">31 1126279  </v>
      </c>
      <c r="O6154">
        <v>230420</v>
      </c>
    </row>
    <row r="6155" spans="1:16" x14ac:dyDescent="0.25">
      <c r="A6155" t="s">
        <v>16</v>
      </c>
      <c r="B6155" t="s">
        <v>3221</v>
      </c>
      <c r="C6155">
        <v>4134</v>
      </c>
      <c r="D6155" t="s">
        <v>633</v>
      </c>
      <c r="E6155" t="s">
        <v>634</v>
      </c>
      <c r="F6155">
        <v>278</v>
      </c>
      <c r="G6155">
        <v>230328</v>
      </c>
      <c r="H6155">
        <v>4346</v>
      </c>
      <c r="I6155" t="s">
        <v>197</v>
      </c>
      <c r="J6155">
        <v>344.72</v>
      </c>
      <c r="K6155">
        <v>66.72</v>
      </c>
      <c r="L6155">
        <v>17951</v>
      </c>
      <c r="M6155" t="s">
        <v>87</v>
      </c>
      <c r="N6155" t="str">
        <f>"05 268503   "</f>
        <v xml:space="preserve">05 268503   </v>
      </c>
      <c r="O6155">
        <v>230330</v>
      </c>
    </row>
    <row r="6156" spans="1:16" x14ac:dyDescent="0.25">
      <c r="A6156" t="s">
        <v>16</v>
      </c>
      <c r="B6156" t="s">
        <v>3221</v>
      </c>
      <c r="C6156">
        <v>10288</v>
      </c>
      <c r="D6156" t="s">
        <v>633</v>
      </c>
      <c r="E6156" t="s">
        <v>634</v>
      </c>
      <c r="F6156">
        <v>577.5</v>
      </c>
      <c r="G6156">
        <v>230807</v>
      </c>
      <c r="H6156">
        <v>4400</v>
      </c>
      <c r="I6156" t="s">
        <v>348</v>
      </c>
      <c r="J6156">
        <v>716.1</v>
      </c>
      <c r="K6156">
        <v>138.6</v>
      </c>
      <c r="L6156">
        <v>66754</v>
      </c>
      <c r="M6156" t="s">
        <v>239</v>
      </c>
      <c r="N6156" t="str">
        <f>"05 282071   "</f>
        <v xml:space="preserve">05 282071   </v>
      </c>
      <c r="O6156">
        <v>230814</v>
      </c>
    </row>
    <row r="6157" spans="1:16" x14ac:dyDescent="0.25">
      <c r="A6157" t="s">
        <v>16</v>
      </c>
      <c r="B6157" t="s">
        <v>3221</v>
      </c>
      <c r="C6157">
        <v>604</v>
      </c>
      <c r="D6157" t="s">
        <v>633</v>
      </c>
      <c r="E6157" t="s">
        <v>634</v>
      </c>
      <c r="F6157">
        <v>287.43</v>
      </c>
      <c r="G6157">
        <v>230118</v>
      </c>
      <c r="H6157">
        <v>4390</v>
      </c>
      <c r="I6157" t="s">
        <v>98</v>
      </c>
      <c r="J6157">
        <v>287.43</v>
      </c>
      <c r="K6157">
        <v>0</v>
      </c>
      <c r="L6157">
        <v>59505</v>
      </c>
      <c r="M6157" t="s">
        <v>72</v>
      </c>
      <c r="N6157" t="str">
        <f>"05 259264   "</f>
        <v xml:space="preserve">05 259264   </v>
      </c>
      <c r="O6157">
        <v>230125</v>
      </c>
    </row>
    <row r="6158" spans="1:16" x14ac:dyDescent="0.25">
      <c r="A6158" t="s">
        <v>16</v>
      </c>
      <c r="B6158" t="s">
        <v>3221</v>
      </c>
      <c r="C6158">
        <v>605</v>
      </c>
      <c r="D6158" t="s">
        <v>633</v>
      </c>
      <c r="E6158" t="s">
        <v>634</v>
      </c>
      <c r="F6158">
        <v>310.25</v>
      </c>
      <c r="G6158">
        <v>230118</v>
      </c>
      <c r="H6158">
        <v>4390</v>
      </c>
      <c r="I6158" t="s">
        <v>98</v>
      </c>
      <c r="J6158">
        <v>310.25</v>
      </c>
      <c r="K6158">
        <v>0</v>
      </c>
      <c r="L6158">
        <v>59501</v>
      </c>
      <c r="M6158" t="s">
        <v>69</v>
      </c>
      <c r="N6158" t="str">
        <f>"05 259267   "</f>
        <v xml:space="preserve">05 259267   </v>
      </c>
      <c r="O6158">
        <v>230125</v>
      </c>
    </row>
    <row r="6159" spans="1:16" x14ac:dyDescent="0.25">
      <c r="A6159" t="s">
        <v>16</v>
      </c>
      <c r="B6159" t="s">
        <v>3221</v>
      </c>
      <c r="C6159">
        <v>7057</v>
      </c>
      <c r="D6159" t="s">
        <v>633</v>
      </c>
      <c r="E6159" t="s">
        <v>634</v>
      </c>
      <c r="F6159">
        <v>92.67</v>
      </c>
      <c r="G6159">
        <v>230519</v>
      </c>
      <c r="H6159">
        <v>4390</v>
      </c>
      <c r="I6159" t="s">
        <v>98</v>
      </c>
      <c r="J6159">
        <v>114.91</v>
      </c>
      <c r="K6159">
        <v>22.24</v>
      </c>
      <c r="L6159">
        <v>13540</v>
      </c>
      <c r="M6159" t="s">
        <v>85</v>
      </c>
      <c r="N6159" t="str">
        <f>"05 274428   "</f>
        <v xml:space="preserve">05 274428   </v>
      </c>
      <c r="O6159">
        <v>230525</v>
      </c>
    </row>
    <row r="6160" spans="1:16" x14ac:dyDescent="0.25">
      <c r="A6160" t="s">
        <v>16</v>
      </c>
      <c r="B6160" t="s">
        <v>3221</v>
      </c>
      <c r="C6160">
        <v>7057</v>
      </c>
      <c r="D6160" t="s">
        <v>633</v>
      </c>
      <c r="E6160" t="s">
        <v>634</v>
      </c>
      <c r="F6160">
        <v>185.33</v>
      </c>
      <c r="G6160">
        <v>230519</v>
      </c>
      <c r="H6160">
        <v>4390</v>
      </c>
      <c r="I6160" t="s">
        <v>98</v>
      </c>
      <c r="J6160">
        <v>229.81</v>
      </c>
      <c r="K6160">
        <v>44.48</v>
      </c>
      <c r="L6160">
        <v>17950</v>
      </c>
      <c r="M6160" t="s">
        <v>86</v>
      </c>
      <c r="N6160" t="str">
        <f>"05 274428   "</f>
        <v xml:space="preserve">05 274428   </v>
      </c>
      <c r="O6160">
        <v>230525</v>
      </c>
    </row>
    <row r="6161" spans="1:16" x14ac:dyDescent="0.25">
      <c r="A6161" t="s">
        <v>16</v>
      </c>
      <c r="B6161" t="s">
        <v>3221</v>
      </c>
      <c r="C6161">
        <v>12897</v>
      </c>
      <c r="D6161" t="s">
        <v>633</v>
      </c>
      <c r="E6161" t="s">
        <v>634</v>
      </c>
      <c r="F6161">
        <v>293</v>
      </c>
      <c r="G6161">
        <v>230927</v>
      </c>
      <c r="H6161">
        <v>4390</v>
      </c>
      <c r="I6161" t="s">
        <v>98</v>
      </c>
      <c r="J6161">
        <v>363.32</v>
      </c>
      <c r="K6161">
        <v>70.319999999999993</v>
      </c>
      <c r="L6161">
        <v>59504</v>
      </c>
      <c r="M6161" t="s">
        <v>71</v>
      </c>
      <c r="N6161" t="str">
        <f>"05 288180   "</f>
        <v xml:space="preserve">05 288180   </v>
      </c>
      <c r="O6161">
        <v>230929</v>
      </c>
    </row>
    <row r="6162" spans="1:16" x14ac:dyDescent="0.25">
      <c r="A6162" t="s">
        <v>16</v>
      </c>
      <c r="B6162" t="s">
        <v>3221</v>
      </c>
      <c r="C6162">
        <v>13848</v>
      </c>
      <c r="D6162" t="s">
        <v>2705</v>
      </c>
      <c r="E6162" t="s">
        <v>2706</v>
      </c>
      <c r="F6162">
        <v>1244.24</v>
      </c>
      <c r="G6162">
        <v>231011</v>
      </c>
      <c r="H6162">
        <v>1196</v>
      </c>
      <c r="I6162" t="s">
        <v>392</v>
      </c>
      <c r="J6162">
        <v>1542.86</v>
      </c>
      <c r="K6162">
        <v>298.62</v>
      </c>
      <c r="L6162">
        <v>95501</v>
      </c>
      <c r="M6162" t="s">
        <v>623</v>
      </c>
      <c r="N6162" t="str">
        <f>"2547        "</f>
        <v xml:space="preserve">2547        </v>
      </c>
      <c r="O6162">
        <v>231013</v>
      </c>
    </row>
    <row r="6163" spans="1:16" x14ac:dyDescent="0.25">
      <c r="A6163" t="s">
        <v>16</v>
      </c>
      <c r="B6163" t="s">
        <v>3221</v>
      </c>
      <c r="C6163">
        <v>14842</v>
      </c>
      <c r="D6163" t="s">
        <v>2808</v>
      </c>
      <c r="E6163" t="s">
        <v>2809</v>
      </c>
      <c r="F6163">
        <v>241.94</v>
      </c>
      <c r="G6163">
        <v>231030</v>
      </c>
      <c r="H6163">
        <v>4600</v>
      </c>
      <c r="I6163" t="s">
        <v>105</v>
      </c>
      <c r="J6163">
        <v>300</v>
      </c>
      <c r="K6163">
        <v>58.06</v>
      </c>
      <c r="L6163">
        <v>46556</v>
      </c>
      <c r="M6163" t="s">
        <v>125</v>
      </c>
      <c r="N6163" t="str">
        <f>"460227      "</f>
        <v xml:space="preserve">460227      </v>
      </c>
      <c r="O6163">
        <v>231107</v>
      </c>
    </row>
    <row r="6164" spans="1:16" x14ac:dyDescent="0.25">
      <c r="A6164" t="s">
        <v>16</v>
      </c>
      <c r="B6164" t="s">
        <v>3221</v>
      </c>
      <c r="C6164">
        <v>19211</v>
      </c>
      <c r="D6164" t="s">
        <v>3588</v>
      </c>
      <c r="E6164" t="s">
        <v>3589</v>
      </c>
      <c r="F6164">
        <v>98</v>
      </c>
      <c r="G6164">
        <v>231218</v>
      </c>
      <c r="H6164">
        <v>4420</v>
      </c>
      <c r="I6164" t="s">
        <v>132</v>
      </c>
      <c r="J6164">
        <v>98</v>
      </c>
      <c r="K6164">
        <v>0</v>
      </c>
      <c r="L6164">
        <v>11902</v>
      </c>
      <c r="M6164" t="s">
        <v>1443</v>
      </c>
      <c r="N6164" t="str">
        <f>"F20231653   "</f>
        <v xml:space="preserve">F20231653   </v>
      </c>
      <c r="O6164">
        <v>240112</v>
      </c>
      <c r="P6164" t="s">
        <v>3375</v>
      </c>
    </row>
    <row r="6165" spans="1:16" x14ac:dyDescent="0.25">
      <c r="A6165" t="s">
        <v>16</v>
      </c>
      <c r="B6165" t="s">
        <v>3221</v>
      </c>
      <c r="C6165">
        <v>19211</v>
      </c>
      <c r="D6165" t="s">
        <v>3588</v>
      </c>
      <c r="E6165" t="s">
        <v>3589</v>
      </c>
      <c r="F6165">
        <v>1320.01</v>
      </c>
      <c r="G6165">
        <v>231218</v>
      </c>
      <c r="H6165">
        <v>4440</v>
      </c>
      <c r="I6165" t="s">
        <v>250</v>
      </c>
      <c r="J6165">
        <v>1320.01</v>
      </c>
      <c r="K6165">
        <v>0</v>
      </c>
      <c r="L6165">
        <v>11902</v>
      </c>
      <c r="M6165" t="s">
        <v>1443</v>
      </c>
      <c r="N6165" t="str">
        <f>"F20231653   "</f>
        <v xml:space="preserve">F20231653   </v>
      </c>
      <c r="O6165">
        <v>240112</v>
      </c>
      <c r="P6165" t="s">
        <v>3375</v>
      </c>
    </row>
    <row r="6166" spans="1:16" x14ac:dyDescent="0.25">
      <c r="A6166" t="s">
        <v>16</v>
      </c>
      <c r="B6166" t="s">
        <v>3221</v>
      </c>
      <c r="C6166">
        <v>16153</v>
      </c>
      <c r="D6166" t="s">
        <v>3635</v>
      </c>
      <c r="E6166" t="s">
        <v>3569</v>
      </c>
      <c r="F6166">
        <v>50</v>
      </c>
      <c r="G6166">
        <v>231120</v>
      </c>
      <c r="H6166">
        <v>4441</v>
      </c>
      <c r="I6166" t="s">
        <v>109</v>
      </c>
      <c r="J6166">
        <v>50</v>
      </c>
      <c r="K6166">
        <v>0</v>
      </c>
      <c r="L6166">
        <v>11903</v>
      </c>
      <c r="M6166" t="s">
        <v>406</v>
      </c>
      <c r="N6166" t="str">
        <f>"2142        "</f>
        <v xml:space="preserve">2142        </v>
      </c>
      <c r="O6166">
        <v>231123</v>
      </c>
    </row>
    <row r="6167" spans="1:16" x14ac:dyDescent="0.25">
      <c r="A6167" t="s">
        <v>16</v>
      </c>
      <c r="B6167" t="s">
        <v>3221</v>
      </c>
      <c r="C6167">
        <v>16156</v>
      </c>
      <c r="D6167" t="s">
        <v>3635</v>
      </c>
      <c r="E6167" t="s">
        <v>3569</v>
      </c>
      <c r="F6167">
        <v>50</v>
      </c>
      <c r="G6167">
        <v>231120</v>
      </c>
      <c r="H6167">
        <v>4441</v>
      </c>
      <c r="I6167" t="s">
        <v>109</v>
      </c>
      <c r="J6167">
        <v>50</v>
      </c>
      <c r="K6167">
        <v>0</v>
      </c>
      <c r="L6167">
        <v>11903</v>
      </c>
      <c r="M6167" t="s">
        <v>406</v>
      </c>
      <c r="N6167" t="str">
        <f>"2224        "</f>
        <v xml:space="preserve">2224        </v>
      </c>
      <c r="O6167">
        <v>231123</v>
      </c>
    </row>
    <row r="6168" spans="1:16" x14ac:dyDescent="0.25">
      <c r="A6168" t="s">
        <v>16</v>
      </c>
      <c r="B6168" t="s">
        <v>3221</v>
      </c>
      <c r="C6168">
        <v>16216</v>
      </c>
      <c r="D6168" t="s">
        <v>3635</v>
      </c>
      <c r="E6168" t="s">
        <v>3569</v>
      </c>
      <c r="F6168">
        <v>50</v>
      </c>
      <c r="G6168">
        <v>231120</v>
      </c>
      <c r="H6168">
        <v>4440</v>
      </c>
      <c r="I6168" t="s">
        <v>250</v>
      </c>
      <c r="J6168">
        <v>50</v>
      </c>
      <c r="K6168">
        <v>0</v>
      </c>
      <c r="L6168">
        <v>18972</v>
      </c>
      <c r="M6168" t="s">
        <v>163</v>
      </c>
      <c r="N6168" t="str">
        <f>"2164        "</f>
        <v xml:space="preserve">2164        </v>
      </c>
      <c r="O6168">
        <v>231127</v>
      </c>
    </row>
    <row r="6169" spans="1:16" x14ac:dyDescent="0.25">
      <c r="A6169" t="s">
        <v>16</v>
      </c>
      <c r="B6169" t="s">
        <v>3221</v>
      </c>
      <c r="C6169">
        <v>3345</v>
      </c>
      <c r="D6169" t="s">
        <v>1549</v>
      </c>
      <c r="E6169" t="s">
        <v>1550</v>
      </c>
      <c r="F6169">
        <v>3582</v>
      </c>
      <c r="G6169">
        <v>230309</v>
      </c>
      <c r="H6169">
        <v>4440</v>
      </c>
      <c r="I6169" t="s">
        <v>250</v>
      </c>
      <c r="J6169">
        <v>4441.68</v>
      </c>
      <c r="K6169">
        <v>859.68</v>
      </c>
      <c r="L6169">
        <v>18120</v>
      </c>
      <c r="M6169" t="s">
        <v>329</v>
      </c>
      <c r="N6169" t="str">
        <f>"7108        "</f>
        <v xml:space="preserve">7108        </v>
      </c>
      <c r="O6169">
        <v>230315</v>
      </c>
    </row>
    <row r="6170" spans="1:16" x14ac:dyDescent="0.25">
      <c r="A6170" t="s">
        <v>16</v>
      </c>
      <c r="B6170" t="s">
        <v>3221</v>
      </c>
      <c r="C6170">
        <v>3346</v>
      </c>
      <c r="D6170" t="s">
        <v>1549</v>
      </c>
      <c r="E6170" t="s">
        <v>1550</v>
      </c>
      <c r="F6170">
        <v>5040</v>
      </c>
      <c r="G6170">
        <v>230309</v>
      </c>
      <c r="H6170">
        <v>4440</v>
      </c>
      <c r="I6170" t="s">
        <v>250</v>
      </c>
      <c r="J6170">
        <v>6249.6</v>
      </c>
      <c r="K6170">
        <v>1209.5999999999999</v>
      </c>
      <c r="L6170">
        <v>18120</v>
      </c>
      <c r="M6170" t="s">
        <v>329</v>
      </c>
      <c r="N6170" t="str">
        <f>"7106        "</f>
        <v xml:space="preserve">7106        </v>
      </c>
      <c r="O6170">
        <v>230315</v>
      </c>
    </row>
    <row r="6171" spans="1:16" x14ac:dyDescent="0.25">
      <c r="A6171" t="s">
        <v>16</v>
      </c>
      <c r="B6171" t="s">
        <v>3221</v>
      </c>
      <c r="C6171">
        <v>3528</v>
      </c>
      <c r="D6171" t="s">
        <v>1549</v>
      </c>
      <c r="E6171" t="s">
        <v>1550</v>
      </c>
      <c r="F6171">
        <v>6169</v>
      </c>
      <c r="G6171">
        <v>230309</v>
      </c>
      <c r="H6171">
        <v>4440</v>
      </c>
      <c r="I6171" t="s">
        <v>250</v>
      </c>
      <c r="J6171">
        <v>7649.56</v>
      </c>
      <c r="K6171">
        <v>1480.56</v>
      </c>
      <c r="L6171">
        <v>18120</v>
      </c>
      <c r="M6171" t="s">
        <v>329</v>
      </c>
      <c r="N6171" t="str">
        <f>"7109        "</f>
        <v xml:space="preserve">7109        </v>
      </c>
      <c r="O6171">
        <v>230316</v>
      </c>
    </row>
    <row r="6172" spans="1:16" x14ac:dyDescent="0.25">
      <c r="A6172" t="s">
        <v>16</v>
      </c>
      <c r="B6172" t="s">
        <v>3221</v>
      </c>
      <c r="C6172">
        <v>3678</v>
      </c>
      <c r="D6172" t="s">
        <v>1549</v>
      </c>
      <c r="E6172" t="s">
        <v>1550</v>
      </c>
      <c r="F6172">
        <v>4900</v>
      </c>
      <c r="G6172">
        <v>230309</v>
      </c>
      <c r="H6172">
        <v>4440</v>
      </c>
      <c r="I6172" t="s">
        <v>250</v>
      </c>
      <c r="J6172">
        <v>6076</v>
      </c>
      <c r="K6172">
        <v>1176</v>
      </c>
      <c r="L6172">
        <v>18820</v>
      </c>
      <c r="M6172" t="s">
        <v>1571</v>
      </c>
      <c r="N6172" t="str">
        <f>"7107        "</f>
        <v xml:space="preserve">7107        </v>
      </c>
      <c r="O6172">
        <v>230321</v>
      </c>
    </row>
    <row r="6173" spans="1:16" x14ac:dyDescent="0.25">
      <c r="A6173" t="s">
        <v>16</v>
      </c>
      <c r="B6173" t="s">
        <v>3221</v>
      </c>
      <c r="C6173">
        <v>3938</v>
      </c>
      <c r="D6173" t="s">
        <v>1549</v>
      </c>
      <c r="E6173" t="s">
        <v>1550</v>
      </c>
      <c r="F6173">
        <v>6500</v>
      </c>
      <c r="G6173">
        <v>230309</v>
      </c>
      <c r="H6173">
        <v>4440</v>
      </c>
      <c r="I6173" t="s">
        <v>250</v>
      </c>
      <c r="J6173">
        <v>8060</v>
      </c>
      <c r="K6173">
        <v>1560</v>
      </c>
      <c r="L6173">
        <v>18820</v>
      </c>
      <c r="M6173" t="s">
        <v>1571</v>
      </c>
      <c r="N6173" t="str">
        <f>"7105        "</f>
        <v xml:space="preserve">7105        </v>
      </c>
      <c r="O6173">
        <v>230327</v>
      </c>
    </row>
    <row r="6174" spans="1:16" x14ac:dyDescent="0.25">
      <c r="A6174" t="s">
        <v>16</v>
      </c>
      <c r="B6174" t="s">
        <v>3221</v>
      </c>
      <c r="C6174">
        <v>7230</v>
      </c>
      <c r="D6174" t="s">
        <v>1549</v>
      </c>
      <c r="E6174" t="s">
        <v>1550</v>
      </c>
      <c r="F6174">
        <v>5880</v>
      </c>
      <c r="G6174">
        <v>230523</v>
      </c>
      <c r="H6174">
        <v>4440</v>
      </c>
      <c r="I6174" t="s">
        <v>250</v>
      </c>
      <c r="J6174">
        <v>7291.2</v>
      </c>
      <c r="K6174">
        <v>1411.2</v>
      </c>
      <c r="L6174">
        <v>18820</v>
      </c>
      <c r="M6174" t="s">
        <v>1571</v>
      </c>
      <c r="N6174" t="str">
        <f>"7225        "</f>
        <v xml:space="preserve">7225        </v>
      </c>
      <c r="O6174">
        <v>230526</v>
      </c>
    </row>
    <row r="6175" spans="1:16" x14ac:dyDescent="0.25">
      <c r="A6175" t="s">
        <v>16</v>
      </c>
      <c r="B6175" t="s">
        <v>3221</v>
      </c>
      <c r="C6175">
        <v>8606</v>
      </c>
      <c r="D6175" t="s">
        <v>1549</v>
      </c>
      <c r="E6175" t="s">
        <v>1550</v>
      </c>
      <c r="F6175">
        <v>4900</v>
      </c>
      <c r="G6175">
        <v>230602</v>
      </c>
      <c r="H6175">
        <v>4440</v>
      </c>
      <c r="I6175" t="s">
        <v>250</v>
      </c>
      <c r="J6175">
        <v>6076</v>
      </c>
      <c r="K6175">
        <v>1176</v>
      </c>
      <c r="L6175">
        <v>18120</v>
      </c>
      <c r="M6175" t="s">
        <v>329</v>
      </c>
      <c r="N6175" t="str">
        <f>"7288        "</f>
        <v xml:space="preserve">7288        </v>
      </c>
      <c r="O6175">
        <v>230612</v>
      </c>
    </row>
    <row r="6176" spans="1:16" x14ac:dyDescent="0.25">
      <c r="A6176" t="s">
        <v>16</v>
      </c>
      <c r="B6176" t="s">
        <v>3221</v>
      </c>
      <c r="C6176">
        <v>8607</v>
      </c>
      <c r="D6176" t="s">
        <v>1549</v>
      </c>
      <c r="E6176" t="s">
        <v>1550</v>
      </c>
      <c r="F6176">
        <v>7031</v>
      </c>
      <c r="G6176">
        <v>230602</v>
      </c>
      <c r="H6176">
        <v>4440</v>
      </c>
      <c r="I6176" t="s">
        <v>250</v>
      </c>
      <c r="J6176">
        <v>8718.44</v>
      </c>
      <c r="K6176">
        <v>1687.44</v>
      </c>
      <c r="L6176">
        <v>18120</v>
      </c>
      <c r="M6176" t="s">
        <v>329</v>
      </c>
      <c r="N6176" t="str">
        <f>"7290        "</f>
        <v xml:space="preserve">7290        </v>
      </c>
      <c r="O6176">
        <v>230612</v>
      </c>
    </row>
    <row r="6177" spans="1:15" x14ac:dyDescent="0.25">
      <c r="A6177" t="s">
        <v>16</v>
      </c>
      <c r="B6177" t="s">
        <v>3221</v>
      </c>
      <c r="C6177">
        <v>8684</v>
      </c>
      <c r="D6177" t="s">
        <v>1549</v>
      </c>
      <c r="E6177" t="s">
        <v>1550</v>
      </c>
      <c r="F6177">
        <v>4908</v>
      </c>
      <c r="G6177">
        <v>230602</v>
      </c>
      <c r="H6177">
        <v>4440</v>
      </c>
      <c r="I6177" t="s">
        <v>250</v>
      </c>
      <c r="J6177">
        <v>6085.92</v>
      </c>
      <c r="K6177">
        <v>1177.92</v>
      </c>
      <c r="L6177">
        <v>18120</v>
      </c>
      <c r="M6177" t="s">
        <v>329</v>
      </c>
      <c r="N6177" t="str">
        <f>"7289        "</f>
        <v xml:space="preserve">7289        </v>
      </c>
      <c r="O6177">
        <v>230613</v>
      </c>
    </row>
    <row r="6178" spans="1:15" x14ac:dyDescent="0.25">
      <c r="A6178" t="s">
        <v>16</v>
      </c>
      <c r="B6178" t="s">
        <v>3221</v>
      </c>
      <c r="C6178">
        <v>9237</v>
      </c>
      <c r="D6178" t="s">
        <v>1549</v>
      </c>
      <c r="E6178" t="s">
        <v>1550</v>
      </c>
      <c r="F6178">
        <v>10080</v>
      </c>
      <c r="G6178">
        <v>230622</v>
      </c>
      <c r="H6178">
        <v>4440</v>
      </c>
      <c r="I6178" t="s">
        <v>250</v>
      </c>
      <c r="J6178">
        <v>12499.2</v>
      </c>
      <c r="K6178">
        <v>2419.1999999999998</v>
      </c>
      <c r="L6178">
        <v>18120</v>
      </c>
      <c r="M6178" t="s">
        <v>329</v>
      </c>
      <c r="N6178" t="str">
        <f>"7300        "</f>
        <v xml:space="preserve">7300        </v>
      </c>
      <c r="O6178">
        <v>230703</v>
      </c>
    </row>
    <row r="6179" spans="1:15" x14ac:dyDescent="0.25">
      <c r="A6179" t="s">
        <v>16</v>
      </c>
      <c r="B6179" t="s">
        <v>3221</v>
      </c>
      <c r="C6179">
        <v>9238</v>
      </c>
      <c r="D6179" t="s">
        <v>1549</v>
      </c>
      <c r="E6179" t="s">
        <v>1550</v>
      </c>
      <c r="F6179">
        <v>11500</v>
      </c>
      <c r="G6179">
        <v>230622</v>
      </c>
      <c r="H6179">
        <v>4440</v>
      </c>
      <c r="I6179" t="s">
        <v>250</v>
      </c>
      <c r="J6179">
        <v>14260</v>
      </c>
      <c r="K6179">
        <v>2760</v>
      </c>
      <c r="L6179">
        <v>18820</v>
      </c>
      <c r="M6179" t="s">
        <v>1571</v>
      </c>
      <c r="N6179" t="str">
        <f>"7301        "</f>
        <v xml:space="preserve">7301        </v>
      </c>
      <c r="O6179">
        <v>230703</v>
      </c>
    </row>
    <row r="6180" spans="1:15" x14ac:dyDescent="0.25">
      <c r="A6180" t="s">
        <v>16</v>
      </c>
      <c r="B6180" t="s">
        <v>3221</v>
      </c>
      <c r="C6180">
        <v>12978</v>
      </c>
      <c r="D6180" t="s">
        <v>1549</v>
      </c>
      <c r="E6180" t="s">
        <v>1550</v>
      </c>
      <c r="F6180">
        <v>10080</v>
      </c>
      <c r="G6180">
        <v>230925</v>
      </c>
      <c r="H6180">
        <v>4440</v>
      </c>
      <c r="I6180" t="s">
        <v>250</v>
      </c>
      <c r="J6180">
        <v>12499.2</v>
      </c>
      <c r="K6180">
        <v>2419.1999999999998</v>
      </c>
      <c r="L6180">
        <v>18120</v>
      </c>
      <c r="M6180" t="s">
        <v>329</v>
      </c>
      <c r="N6180" t="str">
        <f>"7510        "</f>
        <v xml:space="preserve">7510        </v>
      </c>
      <c r="O6180">
        <v>231002</v>
      </c>
    </row>
    <row r="6181" spans="1:15" x14ac:dyDescent="0.25">
      <c r="A6181" t="s">
        <v>16</v>
      </c>
      <c r="B6181" t="s">
        <v>3221</v>
      </c>
      <c r="C6181">
        <v>12987</v>
      </c>
      <c r="D6181" t="s">
        <v>1549</v>
      </c>
      <c r="E6181" t="s">
        <v>1550</v>
      </c>
      <c r="F6181">
        <v>11500</v>
      </c>
      <c r="G6181">
        <v>230925</v>
      </c>
      <c r="H6181">
        <v>4440</v>
      </c>
      <c r="I6181" t="s">
        <v>250</v>
      </c>
      <c r="J6181">
        <v>14260</v>
      </c>
      <c r="K6181">
        <v>2760</v>
      </c>
      <c r="L6181">
        <v>18820</v>
      </c>
      <c r="M6181" t="s">
        <v>1571</v>
      </c>
      <c r="N6181" t="str">
        <f>"7509        "</f>
        <v xml:space="preserve">7509        </v>
      </c>
      <c r="O6181">
        <v>231002</v>
      </c>
    </row>
    <row r="6182" spans="1:15" x14ac:dyDescent="0.25">
      <c r="A6182" t="s">
        <v>16</v>
      </c>
      <c r="B6182" t="s">
        <v>3221</v>
      </c>
      <c r="C6182">
        <v>12993</v>
      </c>
      <c r="D6182" t="s">
        <v>1549</v>
      </c>
      <c r="E6182" t="s">
        <v>1550</v>
      </c>
      <c r="F6182">
        <v>4620</v>
      </c>
      <c r="G6182">
        <v>230926</v>
      </c>
      <c r="H6182">
        <v>4440</v>
      </c>
      <c r="I6182" t="s">
        <v>250</v>
      </c>
      <c r="J6182">
        <v>5728.8</v>
      </c>
      <c r="K6182">
        <v>1108.8</v>
      </c>
      <c r="L6182">
        <v>18120</v>
      </c>
      <c r="M6182" t="s">
        <v>329</v>
      </c>
      <c r="N6182" t="str">
        <f>"7513        "</f>
        <v xml:space="preserve">7513        </v>
      </c>
      <c r="O6182">
        <v>231002</v>
      </c>
    </row>
    <row r="6183" spans="1:15" x14ac:dyDescent="0.25">
      <c r="A6183" t="s">
        <v>16</v>
      </c>
      <c r="B6183" t="s">
        <v>3221</v>
      </c>
      <c r="C6183">
        <v>13006</v>
      </c>
      <c r="D6183" t="s">
        <v>1549</v>
      </c>
      <c r="E6183" t="s">
        <v>1550</v>
      </c>
      <c r="F6183">
        <v>6102</v>
      </c>
      <c r="G6183">
        <v>230925</v>
      </c>
      <c r="H6183">
        <v>4440</v>
      </c>
      <c r="I6183" t="s">
        <v>250</v>
      </c>
      <c r="J6183">
        <v>7566.48</v>
      </c>
      <c r="K6183">
        <v>1464.48</v>
      </c>
      <c r="L6183">
        <v>18120</v>
      </c>
      <c r="M6183" t="s">
        <v>329</v>
      </c>
      <c r="N6183" t="str">
        <f>"7511        "</f>
        <v xml:space="preserve">7511        </v>
      </c>
      <c r="O6183">
        <v>231002</v>
      </c>
    </row>
    <row r="6184" spans="1:15" x14ac:dyDescent="0.25">
      <c r="A6184" t="s">
        <v>16</v>
      </c>
      <c r="B6184" t="s">
        <v>3221</v>
      </c>
      <c r="C6184">
        <v>13040</v>
      </c>
      <c r="D6184" t="s">
        <v>1549</v>
      </c>
      <c r="E6184" t="s">
        <v>1550</v>
      </c>
      <c r="F6184">
        <v>6766</v>
      </c>
      <c r="G6184">
        <v>230929</v>
      </c>
      <c r="H6184">
        <v>4440</v>
      </c>
      <c r="I6184" t="s">
        <v>250</v>
      </c>
      <c r="J6184">
        <v>8389.84</v>
      </c>
      <c r="K6184">
        <v>1623.84</v>
      </c>
      <c r="L6184">
        <v>18120</v>
      </c>
      <c r="M6184" t="s">
        <v>329</v>
      </c>
      <c r="N6184" t="str">
        <f>"7522        "</f>
        <v xml:space="preserve">7522        </v>
      </c>
      <c r="O6184">
        <v>231002</v>
      </c>
    </row>
    <row r="6185" spans="1:15" x14ac:dyDescent="0.25">
      <c r="A6185" t="s">
        <v>16</v>
      </c>
      <c r="B6185" t="s">
        <v>3221</v>
      </c>
      <c r="C6185">
        <v>13084</v>
      </c>
      <c r="D6185" t="s">
        <v>1549</v>
      </c>
      <c r="E6185" t="s">
        <v>1550</v>
      </c>
      <c r="F6185">
        <v>10080</v>
      </c>
      <c r="G6185">
        <v>230929</v>
      </c>
      <c r="H6185">
        <v>4440</v>
      </c>
      <c r="I6185" t="s">
        <v>250</v>
      </c>
      <c r="J6185">
        <v>12499.2</v>
      </c>
      <c r="K6185">
        <v>2419.1999999999998</v>
      </c>
      <c r="L6185">
        <v>18120</v>
      </c>
      <c r="M6185" t="s">
        <v>329</v>
      </c>
      <c r="N6185" t="str">
        <f>"7521        "</f>
        <v xml:space="preserve">7521        </v>
      </c>
      <c r="O6185">
        <v>231003</v>
      </c>
    </row>
    <row r="6186" spans="1:15" x14ac:dyDescent="0.25">
      <c r="A6186" t="s">
        <v>16</v>
      </c>
      <c r="B6186" t="s">
        <v>3221</v>
      </c>
      <c r="C6186">
        <v>14855</v>
      </c>
      <c r="D6186" t="s">
        <v>1549</v>
      </c>
      <c r="E6186" t="s">
        <v>1550</v>
      </c>
      <c r="F6186">
        <v>3980</v>
      </c>
      <c r="G6186">
        <v>231031</v>
      </c>
      <c r="H6186">
        <v>4440</v>
      </c>
      <c r="I6186" t="s">
        <v>250</v>
      </c>
      <c r="J6186">
        <v>4935.2</v>
      </c>
      <c r="K6186">
        <v>955.2</v>
      </c>
      <c r="L6186">
        <v>18120</v>
      </c>
      <c r="M6186" t="s">
        <v>329</v>
      </c>
      <c r="N6186" t="str">
        <f>"7512        "</f>
        <v xml:space="preserve">7512        </v>
      </c>
      <c r="O6186">
        <v>231107</v>
      </c>
    </row>
    <row r="6187" spans="1:15" x14ac:dyDescent="0.25">
      <c r="A6187" t="s">
        <v>16</v>
      </c>
      <c r="B6187" t="s">
        <v>3221</v>
      </c>
      <c r="C6187">
        <v>16863</v>
      </c>
      <c r="D6187" t="s">
        <v>1549</v>
      </c>
      <c r="E6187" t="s">
        <v>1550</v>
      </c>
      <c r="F6187">
        <v>3980</v>
      </c>
      <c r="G6187">
        <v>231205</v>
      </c>
      <c r="H6187">
        <v>4440</v>
      </c>
      <c r="I6187" t="s">
        <v>250</v>
      </c>
      <c r="J6187">
        <v>4935.2</v>
      </c>
      <c r="K6187">
        <v>955.2</v>
      </c>
      <c r="L6187">
        <v>18122</v>
      </c>
      <c r="M6187" t="s">
        <v>407</v>
      </c>
      <c r="N6187" t="str">
        <f>"7665        "</f>
        <v xml:space="preserve">7665        </v>
      </c>
      <c r="O6187">
        <v>231211</v>
      </c>
    </row>
    <row r="6188" spans="1:15" x14ac:dyDescent="0.25">
      <c r="A6188" t="s">
        <v>16</v>
      </c>
      <c r="B6188" t="s">
        <v>3221</v>
      </c>
      <c r="C6188">
        <v>18183</v>
      </c>
      <c r="D6188" t="s">
        <v>1549</v>
      </c>
      <c r="E6188" t="s">
        <v>1550</v>
      </c>
      <c r="F6188">
        <v>8680</v>
      </c>
      <c r="G6188">
        <v>231220</v>
      </c>
      <c r="H6188">
        <v>4440</v>
      </c>
      <c r="I6188" t="s">
        <v>250</v>
      </c>
      <c r="J6188">
        <v>10763.2</v>
      </c>
      <c r="K6188">
        <v>2083.1999999999998</v>
      </c>
      <c r="L6188">
        <v>18120</v>
      </c>
      <c r="M6188" t="s">
        <v>329</v>
      </c>
      <c r="N6188" t="str">
        <f>"7692        "</f>
        <v xml:space="preserve">7692        </v>
      </c>
      <c r="O6188">
        <v>240102</v>
      </c>
    </row>
    <row r="6189" spans="1:15" x14ac:dyDescent="0.25">
      <c r="A6189" t="s">
        <v>16</v>
      </c>
      <c r="B6189" t="s">
        <v>3221</v>
      </c>
      <c r="C6189">
        <v>18191</v>
      </c>
      <c r="D6189" t="s">
        <v>1549</v>
      </c>
      <c r="E6189" t="s">
        <v>1550</v>
      </c>
      <c r="F6189">
        <v>4776</v>
      </c>
      <c r="G6189">
        <v>231220</v>
      </c>
      <c r="H6189">
        <v>4440</v>
      </c>
      <c r="I6189" t="s">
        <v>250</v>
      </c>
      <c r="J6189">
        <v>5922.24</v>
      </c>
      <c r="K6189">
        <v>1146.24</v>
      </c>
      <c r="L6189">
        <v>18120</v>
      </c>
      <c r="M6189" t="s">
        <v>329</v>
      </c>
      <c r="N6189" t="str">
        <f>"7693        "</f>
        <v xml:space="preserve">7693        </v>
      </c>
      <c r="O6189">
        <v>240102</v>
      </c>
    </row>
    <row r="6190" spans="1:15" x14ac:dyDescent="0.25">
      <c r="A6190" t="s">
        <v>16</v>
      </c>
      <c r="B6190" t="s">
        <v>3221</v>
      </c>
      <c r="C6190">
        <v>18214</v>
      </c>
      <c r="D6190" t="s">
        <v>1549</v>
      </c>
      <c r="E6190" t="s">
        <v>1550</v>
      </c>
      <c r="F6190">
        <v>8400</v>
      </c>
      <c r="G6190">
        <v>231220</v>
      </c>
      <c r="H6190">
        <v>4440</v>
      </c>
      <c r="I6190" t="s">
        <v>250</v>
      </c>
      <c r="J6190">
        <v>10416</v>
      </c>
      <c r="K6190">
        <v>2016</v>
      </c>
      <c r="L6190">
        <v>18120</v>
      </c>
      <c r="M6190" t="s">
        <v>329</v>
      </c>
      <c r="N6190" t="str">
        <f>"7697        "</f>
        <v xml:space="preserve">7697        </v>
      </c>
      <c r="O6190">
        <v>240102</v>
      </c>
    </row>
    <row r="6191" spans="1:15" x14ac:dyDescent="0.25">
      <c r="A6191" t="s">
        <v>16</v>
      </c>
      <c r="B6191" t="s">
        <v>3221</v>
      </c>
      <c r="C6191">
        <v>18216</v>
      </c>
      <c r="D6191" t="s">
        <v>1549</v>
      </c>
      <c r="E6191" t="s">
        <v>1550</v>
      </c>
      <c r="F6191">
        <v>10010</v>
      </c>
      <c r="G6191">
        <v>231220</v>
      </c>
      <c r="H6191">
        <v>4440</v>
      </c>
      <c r="I6191" t="s">
        <v>250</v>
      </c>
      <c r="J6191">
        <v>12412.4</v>
      </c>
      <c r="K6191">
        <v>2402.4</v>
      </c>
      <c r="L6191">
        <v>18120</v>
      </c>
      <c r="M6191" t="s">
        <v>329</v>
      </c>
      <c r="N6191" t="str">
        <f>"7694        "</f>
        <v xml:space="preserve">7694        </v>
      </c>
      <c r="O6191">
        <v>240102</v>
      </c>
    </row>
    <row r="6192" spans="1:15" x14ac:dyDescent="0.25">
      <c r="A6192" t="s">
        <v>16</v>
      </c>
      <c r="B6192" t="s">
        <v>3221</v>
      </c>
      <c r="C6192">
        <v>18233</v>
      </c>
      <c r="D6192" t="s">
        <v>1549</v>
      </c>
      <c r="E6192" t="s">
        <v>1550</v>
      </c>
      <c r="F6192">
        <v>5903</v>
      </c>
      <c r="G6192">
        <v>231220</v>
      </c>
      <c r="H6192">
        <v>4440</v>
      </c>
      <c r="I6192" t="s">
        <v>250</v>
      </c>
      <c r="J6192">
        <v>7319.72</v>
      </c>
      <c r="K6192">
        <v>1416.72</v>
      </c>
      <c r="L6192">
        <v>18120</v>
      </c>
      <c r="M6192" t="s">
        <v>329</v>
      </c>
      <c r="N6192" t="str">
        <f>"7691        "</f>
        <v xml:space="preserve">7691        </v>
      </c>
      <c r="O6192">
        <v>240102</v>
      </c>
    </row>
    <row r="6193" spans="1:15" x14ac:dyDescent="0.25">
      <c r="A6193" t="s">
        <v>16</v>
      </c>
      <c r="B6193" t="s">
        <v>3221</v>
      </c>
      <c r="C6193">
        <v>18273</v>
      </c>
      <c r="D6193" t="s">
        <v>1549</v>
      </c>
      <c r="E6193" t="s">
        <v>1550</v>
      </c>
      <c r="F6193">
        <v>10583</v>
      </c>
      <c r="G6193">
        <v>231220</v>
      </c>
      <c r="H6193">
        <v>4440</v>
      </c>
      <c r="I6193" t="s">
        <v>250</v>
      </c>
      <c r="J6193">
        <v>13122.92</v>
      </c>
      <c r="K6193">
        <v>2539.92</v>
      </c>
      <c r="L6193">
        <v>18820</v>
      </c>
      <c r="M6193" t="s">
        <v>1571</v>
      </c>
      <c r="N6193" t="str">
        <f>"7695        "</f>
        <v xml:space="preserve">7695        </v>
      </c>
      <c r="O6193">
        <v>240102</v>
      </c>
    </row>
    <row r="6194" spans="1:15" x14ac:dyDescent="0.25">
      <c r="A6194" t="s">
        <v>16</v>
      </c>
      <c r="B6194" t="s">
        <v>3221</v>
      </c>
      <c r="C6194">
        <v>18277</v>
      </c>
      <c r="D6194" t="s">
        <v>1549</v>
      </c>
      <c r="E6194" t="s">
        <v>1550</v>
      </c>
      <c r="F6194">
        <v>13300</v>
      </c>
      <c r="G6194">
        <v>231220</v>
      </c>
      <c r="H6194">
        <v>4440</v>
      </c>
      <c r="I6194" t="s">
        <v>250</v>
      </c>
      <c r="J6194">
        <v>16492</v>
      </c>
      <c r="K6194">
        <v>3192</v>
      </c>
      <c r="L6194">
        <v>18820</v>
      </c>
      <c r="M6194" t="s">
        <v>1571</v>
      </c>
      <c r="N6194" t="str">
        <f>"7696        "</f>
        <v xml:space="preserve">7696        </v>
      </c>
      <c r="O6194">
        <v>240102</v>
      </c>
    </row>
    <row r="6195" spans="1:15" x14ac:dyDescent="0.25">
      <c r="A6195" t="s">
        <v>16</v>
      </c>
      <c r="B6195" t="s">
        <v>3221</v>
      </c>
      <c r="C6195">
        <v>13867</v>
      </c>
      <c r="D6195" t="s">
        <v>2711</v>
      </c>
      <c r="E6195" t="s">
        <v>2712</v>
      </c>
      <c r="F6195">
        <v>1920</v>
      </c>
      <c r="G6195">
        <v>231012</v>
      </c>
      <c r="H6195">
        <v>4350</v>
      </c>
      <c r="I6195" t="s">
        <v>546</v>
      </c>
      <c r="J6195">
        <v>2380.8000000000002</v>
      </c>
      <c r="K6195">
        <v>460.8</v>
      </c>
      <c r="L6195">
        <v>49702</v>
      </c>
      <c r="M6195" t="s">
        <v>584</v>
      </c>
      <c r="N6195" t="str">
        <f>"11135       "</f>
        <v xml:space="preserve">11135       </v>
      </c>
      <c r="O6195">
        <v>231016</v>
      </c>
    </row>
    <row r="6196" spans="1:15" x14ac:dyDescent="0.25">
      <c r="A6196" t="s">
        <v>16</v>
      </c>
      <c r="B6196" t="s">
        <v>3221</v>
      </c>
      <c r="C6196">
        <v>1348</v>
      </c>
      <c r="D6196" t="s">
        <v>1013</v>
      </c>
      <c r="E6196" t="s">
        <v>1014</v>
      </c>
      <c r="F6196">
        <v>666.95</v>
      </c>
      <c r="G6196">
        <v>230202</v>
      </c>
      <c r="H6196">
        <v>4580</v>
      </c>
      <c r="I6196" t="s">
        <v>35</v>
      </c>
      <c r="J6196">
        <v>827.02</v>
      </c>
      <c r="K6196">
        <v>160.07</v>
      </c>
      <c r="L6196">
        <v>17521</v>
      </c>
      <c r="M6196" t="s">
        <v>133</v>
      </c>
      <c r="N6196" t="str">
        <f>"0304612     "</f>
        <v xml:space="preserve">0304612     </v>
      </c>
      <c r="O6196">
        <v>230208</v>
      </c>
    </row>
    <row r="6197" spans="1:15" x14ac:dyDescent="0.25">
      <c r="A6197" t="s">
        <v>16</v>
      </c>
      <c r="B6197" t="s">
        <v>3221</v>
      </c>
      <c r="C6197">
        <v>1308</v>
      </c>
      <c r="D6197" t="s">
        <v>991</v>
      </c>
      <c r="E6197" t="s">
        <v>992</v>
      </c>
      <c r="F6197">
        <v>1073</v>
      </c>
      <c r="G6197">
        <v>230131</v>
      </c>
      <c r="H6197">
        <v>4580</v>
      </c>
      <c r="I6197" t="s">
        <v>35</v>
      </c>
      <c r="J6197">
        <v>1330.52</v>
      </c>
      <c r="K6197">
        <v>257.52</v>
      </c>
      <c r="L6197">
        <v>13841</v>
      </c>
      <c r="M6197" t="s">
        <v>47</v>
      </c>
      <c r="N6197" t="str">
        <f>"60088928    "</f>
        <v xml:space="preserve">60088928    </v>
      </c>
      <c r="O6197">
        <v>230207</v>
      </c>
    </row>
    <row r="6198" spans="1:15" x14ac:dyDescent="0.25">
      <c r="A6198" t="s">
        <v>16</v>
      </c>
      <c r="B6198" t="s">
        <v>3221</v>
      </c>
      <c r="C6198">
        <v>18365</v>
      </c>
      <c r="D6198" t="s">
        <v>991</v>
      </c>
      <c r="E6198" t="s">
        <v>992</v>
      </c>
      <c r="F6198">
        <v>714</v>
      </c>
      <c r="G6198">
        <v>231208</v>
      </c>
      <c r="H6198">
        <v>4580</v>
      </c>
      <c r="I6198" t="s">
        <v>35</v>
      </c>
      <c r="J6198">
        <v>885.36</v>
      </c>
      <c r="K6198">
        <v>171.36</v>
      </c>
      <c r="L6198">
        <v>59705</v>
      </c>
      <c r="M6198" t="s">
        <v>843</v>
      </c>
      <c r="N6198" t="str">
        <f>"60107349    "</f>
        <v xml:space="preserve">60107349    </v>
      </c>
      <c r="O6198">
        <v>240103</v>
      </c>
    </row>
    <row r="6199" spans="1:15" x14ac:dyDescent="0.25">
      <c r="A6199" t="s">
        <v>16</v>
      </c>
      <c r="B6199" t="s">
        <v>3221</v>
      </c>
      <c r="C6199">
        <v>19052</v>
      </c>
      <c r="D6199" t="s">
        <v>991</v>
      </c>
      <c r="E6199" t="s">
        <v>992</v>
      </c>
      <c r="F6199">
        <v>996</v>
      </c>
      <c r="G6199">
        <v>231227</v>
      </c>
      <c r="H6199">
        <v>4580</v>
      </c>
      <c r="I6199" t="s">
        <v>35</v>
      </c>
      <c r="J6199">
        <v>1235.04</v>
      </c>
      <c r="K6199">
        <v>239.04</v>
      </c>
      <c r="L6199">
        <v>59701</v>
      </c>
      <c r="M6199" t="s">
        <v>297</v>
      </c>
      <c r="N6199" t="str">
        <f>"60108520    "</f>
        <v xml:space="preserve">60108520    </v>
      </c>
      <c r="O6199">
        <v>240110</v>
      </c>
    </row>
    <row r="6200" spans="1:15" x14ac:dyDescent="0.25">
      <c r="A6200" t="s">
        <v>16</v>
      </c>
      <c r="B6200" t="s">
        <v>3221</v>
      </c>
      <c r="C6200">
        <v>19052</v>
      </c>
      <c r="D6200" t="s">
        <v>991</v>
      </c>
      <c r="E6200" t="s">
        <v>992</v>
      </c>
      <c r="F6200">
        <v>1451</v>
      </c>
      <c r="G6200">
        <v>231227</v>
      </c>
      <c r="H6200">
        <v>4580</v>
      </c>
      <c r="I6200" t="s">
        <v>35</v>
      </c>
      <c r="J6200">
        <v>1799.24</v>
      </c>
      <c r="K6200">
        <v>348.24</v>
      </c>
      <c r="L6200">
        <v>59705</v>
      </c>
      <c r="M6200" t="s">
        <v>843</v>
      </c>
      <c r="N6200" t="str">
        <f>"60108520    "</f>
        <v xml:space="preserve">60108520    </v>
      </c>
      <c r="O6200">
        <v>240110</v>
      </c>
    </row>
    <row r="6201" spans="1:15" x14ac:dyDescent="0.25">
      <c r="A6201" t="s">
        <v>16</v>
      </c>
      <c r="B6201" t="s">
        <v>3221</v>
      </c>
      <c r="C6201">
        <v>11978</v>
      </c>
      <c r="D6201" t="s">
        <v>991</v>
      </c>
      <c r="E6201" t="s">
        <v>992</v>
      </c>
      <c r="F6201">
        <v>42556.6</v>
      </c>
      <c r="G6201">
        <v>230816</v>
      </c>
      <c r="H6201">
        <v>1198</v>
      </c>
      <c r="I6201" t="s">
        <v>1128</v>
      </c>
      <c r="J6201">
        <v>52770.18</v>
      </c>
      <c r="K6201">
        <v>10213.58</v>
      </c>
      <c r="L6201">
        <v>95511</v>
      </c>
      <c r="M6201" t="s">
        <v>1129</v>
      </c>
      <c r="N6201" t="str">
        <f>"60099420    "</f>
        <v xml:space="preserve">60099420    </v>
      </c>
      <c r="O6201">
        <v>230912</v>
      </c>
    </row>
    <row r="6202" spans="1:15" x14ac:dyDescent="0.25">
      <c r="A6202" t="s">
        <v>16</v>
      </c>
      <c r="B6202" t="s">
        <v>3221</v>
      </c>
      <c r="C6202">
        <v>12108</v>
      </c>
      <c r="D6202" t="s">
        <v>991</v>
      </c>
      <c r="E6202" t="s">
        <v>992</v>
      </c>
      <c r="F6202">
        <v>1075.4000000000001</v>
      </c>
      <c r="G6202">
        <v>230828</v>
      </c>
      <c r="H6202">
        <v>1198</v>
      </c>
      <c r="I6202" t="s">
        <v>1128</v>
      </c>
      <c r="J6202">
        <v>1333.5</v>
      </c>
      <c r="K6202">
        <v>258.10000000000002</v>
      </c>
      <c r="L6202">
        <v>95511</v>
      </c>
      <c r="M6202" t="s">
        <v>1129</v>
      </c>
      <c r="N6202" t="str">
        <f>"60100238    "</f>
        <v xml:space="preserve">60100238    </v>
      </c>
      <c r="O6202">
        <v>230914</v>
      </c>
    </row>
    <row r="6203" spans="1:15" x14ac:dyDescent="0.25">
      <c r="A6203" t="s">
        <v>16</v>
      </c>
      <c r="B6203" t="s">
        <v>3221</v>
      </c>
      <c r="C6203">
        <v>14737</v>
      </c>
      <c r="D6203" t="s">
        <v>991</v>
      </c>
      <c r="E6203" t="s">
        <v>992</v>
      </c>
      <c r="F6203">
        <v>1260</v>
      </c>
      <c r="G6203">
        <v>231026</v>
      </c>
      <c r="H6203">
        <v>1198</v>
      </c>
      <c r="I6203" t="s">
        <v>1128</v>
      </c>
      <c r="J6203">
        <v>1562.4</v>
      </c>
      <c r="K6203">
        <v>302.39999999999998</v>
      </c>
      <c r="L6203">
        <v>95511</v>
      </c>
      <c r="M6203" t="s">
        <v>1129</v>
      </c>
      <c r="N6203" t="str">
        <f>"60103441    "</f>
        <v xml:space="preserve">60103441    </v>
      </c>
      <c r="O6203">
        <v>231101</v>
      </c>
    </row>
    <row r="6204" spans="1:15" x14ac:dyDescent="0.25">
      <c r="A6204" t="s">
        <v>16</v>
      </c>
      <c r="B6204" t="s">
        <v>3221</v>
      </c>
      <c r="C6204">
        <v>14738</v>
      </c>
      <c r="D6204" t="s">
        <v>991</v>
      </c>
      <c r="E6204" t="s">
        <v>992</v>
      </c>
      <c r="F6204">
        <v>2704</v>
      </c>
      <c r="G6204">
        <v>231027</v>
      </c>
      <c r="H6204">
        <v>1198</v>
      </c>
      <c r="I6204" t="s">
        <v>1128</v>
      </c>
      <c r="J6204">
        <v>3352.96</v>
      </c>
      <c r="K6204">
        <v>648.96</v>
      </c>
      <c r="L6204">
        <v>95511</v>
      </c>
      <c r="M6204" t="s">
        <v>1129</v>
      </c>
      <c r="N6204" t="str">
        <f>"60103595    "</f>
        <v xml:space="preserve">60103595    </v>
      </c>
      <c r="O6204">
        <v>231101</v>
      </c>
    </row>
    <row r="6205" spans="1:15" x14ac:dyDescent="0.25">
      <c r="A6205" t="s">
        <v>16</v>
      </c>
      <c r="B6205" t="s">
        <v>3221</v>
      </c>
      <c r="C6205">
        <v>1520</v>
      </c>
      <c r="D6205" t="s">
        <v>1073</v>
      </c>
      <c r="E6205" t="s">
        <v>1074</v>
      </c>
      <c r="F6205">
        <v>78.95</v>
      </c>
      <c r="G6205">
        <v>230131</v>
      </c>
      <c r="H6205">
        <v>4410</v>
      </c>
      <c r="I6205" t="s">
        <v>517</v>
      </c>
      <c r="J6205">
        <v>90</v>
      </c>
      <c r="K6205">
        <v>11.05</v>
      </c>
      <c r="L6205">
        <v>11905</v>
      </c>
      <c r="M6205" t="s">
        <v>39</v>
      </c>
      <c r="N6205" t="str">
        <f>"9007514841  "</f>
        <v xml:space="preserve">9007514841  </v>
      </c>
      <c r="O6205">
        <v>230209</v>
      </c>
    </row>
    <row r="6206" spans="1:15" x14ac:dyDescent="0.25">
      <c r="A6206" t="s">
        <v>16</v>
      </c>
      <c r="B6206" t="s">
        <v>3221</v>
      </c>
      <c r="C6206">
        <v>14021</v>
      </c>
      <c r="D6206" t="s">
        <v>485</v>
      </c>
      <c r="E6206" t="s">
        <v>486</v>
      </c>
      <c r="F6206">
        <v>95.81</v>
      </c>
      <c r="G6206">
        <v>231009</v>
      </c>
      <c r="H6206">
        <v>4532</v>
      </c>
      <c r="I6206" t="s">
        <v>116</v>
      </c>
      <c r="J6206">
        <v>118.8</v>
      </c>
      <c r="K6206">
        <v>22.99</v>
      </c>
      <c r="L6206">
        <v>17524</v>
      </c>
      <c r="M6206" t="s">
        <v>452</v>
      </c>
      <c r="N6206" t="str">
        <f>"44440       "</f>
        <v xml:space="preserve">44440       </v>
      </c>
      <c r="O6206">
        <v>231017</v>
      </c>
    </row>
    <row r="6207" spans="1:15" x14ac:dyDescent="0.25">
      <c r="A6207" t="s">
        <v>16</v>
      </c>
      <c r="B6207" t="s">
        <v>3221</v>
      </c>
      <c r="C6207">
        <v>916</v>
      </c>
      <c r="D6207" t="s">
        <v>485</v>
      </c>
      <c r="E6207" t="s">
        <v>486</v>
      </c>
      <c r="F6207">
        <v>155.80000000000001</v>
      </c>
      <c r="G6207">
        <v>230130</v>
      </c>
      <c r="H6207">
        <v>4580</v>
      </c>
      <c r="I6207" t="s">
        <v>35</v>
      </c>
      <c r="J6207">
        <v>193.19</v>
      </c>
      <c r="K6207">
        <v>37.39</v>
      </c>
      <c r="L6207">
        <v>17521</v>
      </c>
      <c r="M6207" t="s">
        <v>133</v>
      </c>
      <c r="N6207" t="str">
        <f>"42779       "</f>
        <v xml:space="preserve">42779       </v>
      </c>
      <c r="O6207">
        <v>230201</v>
      </c>
    </row>
    <row r="6208" spans="1:15" x14ac:dyDescent="0.25">
      <c r="A6208" t="s">
        <v>16</v>
      </c>
      <c r="B6208" t="s">
        <v>3221</v>
      </c>
      <c r="C6208">
        <v>1004</v>
      </c>
      <c r="D6208" t="s">
        <v>485</v>
      </c>
      <c r="E6208" t="s">
        <v>486</v>
      </c>
      <c r="F6208">
        <v>895.16</v>
      </c>
      <c r="G6208">
        <v>230124</v>
      </c>
      <c r="H6208">
        <v>4580</v>
      </c>
      <c r="I6208" t="s">
        <v>35</v>
      </c>
      <c r="J6208">
        <v>1110</v>
      </c>
      <c r="K6208">
        <v>214.84</v>
      </c>
      <c r="L6208">
        <v>17524</v>
      </c>
      <c r="M6208" t="s">
        <v>452</v>
      </c>
      <c r="N6208" t="str">
        <f>"42715       "</f>
        <v xml:space="preserve">42715       </v>
      </c>
      <c r="O6208">
        <v>230202</v>
      </c>
    </row>
    <row r="6209" spans="1:15" x14ac:dyDescent="0.25">
      <c r="A6209" t="s">
        <v>16</v>
      </c>
      <c r="B6209" t="s">
        <v>3221</v>
      </c>
      <c r="C6209">
        <v>1065</v>
      </c>
      <c r="D6209" t="s">
        <v>485</v>
      </c>
      <c r="E6209" t="s">
        <v>486</v>
      </c>
      <c r="F6209">
        <v>42.87</v>
      </c>
      <c r="G6209">
        <v>230130</v>
      </c>
      <c r="H6209">
        <v>4580</v>
      </c>
      <c r="I6209" t="s">
        <v>35</v>
      </c>
      <c r="J6209">
        <v>53.16</v>
      </c>
      <c r="K6209">
        <v>10.29</v>
      </c>
      <c r="L6209">
        <v>17525</v>
      </c>
      <c r="M6209" t="s">
        <v>135</v>
      </c>
      <c r="N6209" t="str">
        <f>"42780       "</f>
        <v xml:space="preserve">42780       </v>
      </c>
      <c r="O6209">
        <v>230202</v>
      </c>
    </row>
    <row r="6210" spans="1:15" x14ac:dyDescent="0.25">
      <c r="A6210" t="s">
        <v>16</v>
      </c>
      <c r="B6210" t="s">
        <v>3221</v>
      </c>
      <c r="C6210">
        <v>1636</v>
      </c>
      <c r="D6210" t="s">
        <v>485</v>
      </c>
      <c r="E6210" t="s">
        <v>486</v>
      </c>
      <c r="F6210">
        <v>109.98</v>
      </c>
      <c r="G6210">
        <v>230131</v>
      </c>
      <c r="H6210">
        <v>4580</v>
      </c>
      <c r="I6210" t="s">
        <v>35</v>
      </c>
      <c r="J6210">
        <v>136.37</v>
      </c>
      <c r="K6210">
        <v>26.39</v>
      </c>
      <c r="L6210">
        <v>17522</v>
      </c>
      <c r="M6210" t="s">
        <v>451</v>
      </c>
      <c r="N6210" t="str">
        <f>"42805       "</f>
        <v xml:space="preserve">42805       </v>
      </c>
      <c r="O6210">
        <v>230210</v>
      </c>
    </row>
    <row r="6211" spans="1:15" x14ac:dyDescent="0.25">
      <c r="A6211" t="s">
        <v>16</v>
      </c>
      <c r="B6211" t="s">
        <v>3221</v>
      </c>
      <c r="C6211">
        <v>1807</v>
      </c>
      <c r="D6211" t="s">
        <v>485</v>
      </c>
      <c r="E6211" t="s">
        <v>486</v>
      </c>
      <c r="F6211">
        <v>49.8</v>
      </c>
      <c r="G6211">
        <v>230206</v>
      </c>
      <c r="H6211">
        <v>4580</v>
      </c>
      <c r="I6211" t="s">
        <v>35</v>
      </c>
      <c r="J6211">
        <v>61.75</v>
      </c>
      <c r="K6211">
        <v>11.95</v>
      </c>
      <c r="L6211">
        <v>17527</v>
      </c>
      <c r="M6211" t="s">
        <v>422</v>
      </c>
      <c r="N6211" t="str">
        <f>"42816       "</f>
        <v xml:space="preserve">42816       </v>
      </c>
      <c r="O6211">
        <v>230214</v>
      </c>
    </row>
    <row r="6212" spans="1:15" x14ac:dyDescent="0.25">
      <c r="A6212" t="s">
        <v>16</v>
      </c>
      <c r="B6212" t="s">
        <v>3221</v>
      </c>
      <c r="C6212">
        <v>2036</v>
      </c>
      <c r="D6212" t="s">
        <v>485</v>
      </c>
      <c r="E6212" t="s">
        <v>486</v>
      </c>
      <c r="F6212">
        <v>40.32</v>
      </c>
      <c r="G6212">
        <v>230130</v>
      </c>
      <c r="H6212">
        <v>4580</v>
      </c>
      <c r="I6212" t="s">
        <v>35</v>
      </c>
      <c r="J6212">
        <v>50</v>
      </c>
      <c r="K6212">
        <v>9.68</v>
      </c>
      <c r="L6212">
        <v>17711</v>
      </c>
      <c r="M6212" t="s">
        <v>65</v>
      </c>
      <c r="N6212" t="str">
        <f>"42781       "</f>
        <v xml:space="preserve">42781       </v>
      </c>
      <c r="O6212">
        <v>230217</v>
      </c>
    </row>
    <row r="6213" spans="1:15" x14ac:dyDescent="0.25">
      <c r="A6213" t="s">
        <v>16</v>
      </c>
      <c r="B6213" t="s">
        <v>3221</v>
      </c>
      <c r="C6213">
        <v>2070</v>
      </c>
      <c r="D6213" t="s">
        <v>485</v>
      </c>
      <c r="E6213" t="s">
        <v>486</v>
      </c>
      <c r="F6213">
        <v>108.87</v>
      </c>
      <c r="G6213">
        <v>230215</v>
      </c>
      <c r="H6213">
        <v>4580</v>
      </c>
      <c r="I6213" t="s">
        <v>35</v>
      </c>
      <c r="J6213">
        <v>135</v>
      </c>
      <c r="K6213">
        <v>26.13</v>
      </c>
      <c r="L6213">
        <v>17522</v>
      </c>
      <c r="M6213" t="s">
        <v>451</v>
      </c>
      <c r="N6213" t="str">
        <f>"42860       "</f>
        <v xml:space="preserve">42860       </v>
      </c>
      <c r="O6213">
        <v>230220</v>
      </c>
    </row>
    <row r="6214" spans="1:15" x14ac:dyDescent="0.25">
      <c r="A6214" t="s">
        <v>16</v>
      </c>
      <c r="B6214" t="s">
        <v>3221</v>
      </c>
      <c r="C6214">
        <v>2835</v>
      </c>
      <c r="D6214" t="s">
        <v>485</v>
      </c>
      <c r="E6214" t="s">
        <v>486</v>
      </c>
      <c r="F6214">
        <v>40.24</v>
      </c>
      <c r="G6214">
        <v>230228</v>
      </c>
      <c r="H6214">
        <v>4580</v>
      </c>
      <c r="I6214" t="s">
        <v>35</v>
      </c>
      <c r="J6214">
        <v>49.9</v>
      </c>
      <c r="K6214">
        <v>9.66</v>
      </c>
      <c r="L6214">
        <v>17537</v>
      </c>
      <c r="M6214" t="s">
        <v>455</v>
      </c>
      <c r="N6214" t="str">
        <f>"42957       "</f>
        <v xml:space="preserve">42957       </v>
      </c>
      <c r="O6214">
        <v>230308</v>
      </c>
    </row>
    <row r="6215" spans="1:15" x14ac:dyDescent="0.25">
      <c r="A6215" t="s">
        <v>16</v>
      </c>
      <c r="B6215" t="s">
        <v>3221</v>
      </c>
      <c r="C6215">
        <v>3085</v>
      </c>
      <c r="D6215" t="s">
        <v>485</v>
      </c>
      <c r="E6215" t="s">
        <v>486</v>
      </c>
      <c r="F6215">
        <v>10.4</v>
      </c>
      <c r="G6215">
        <v>230228</v>
      </c>
      <c r="H6215">
        <v>4580</v>
      </c>
      <c r="I6215" t="s">
        <v>35</v>
      </c>
      <c r="J6215">
        <v>12.9</v>
      </c>
      <c r="K6215">
        <v>2.5</v>
      </c>
      <c r="L6215">
        <v>17971</v>
      </c>
      <c r="M6215" t="s">
        <v>138</v>
      </c>
      <c r="N6215" t="str">
        <f>"42955       "</f>
        <v xml:space="preserve">42955       </v>
      </c>
      <c r="O6215">
        <v>230309</v>
      </c>
    </row>
    <row r="6216" spans="1:15" x14ac:dyDescent="0.25">
      <c r="A6216" t="s">
        <v>16</v>
      </c>
      <c r="B6216" t="s">
        <v>3221</v>
      </c>
      <c r="C6216">
        <v>3086</v>
      </c>
      <c r="D6216" t="s">
        <v>485</v>
      </c>
      <c r="E6216" t="s">
        <v>486</v>
      </c>
      <c r="F6216">
        <v>262.02</v>
      </c>
      <c r="G6216">
        <v>230228</v>
      </c>
      <c r="H6216">
        <v>4580</v>
      </c>
      <c r="I6216" t="s">
        <v>35</v>
      </c>
      <c r="J6216">
        <v>324.89999999999998</v>
      </c>
      <c r="K6216">
        <v>62.88</v>
      </c>
      <c r="L6216">
        <v>17538</v>
      </c>
      <c r="M6216" t="s">
        <v>24</v>
      </c>
      <c r="N6216" t="str">
        <f>"42953       "</f>
        <v xml:space="preserve">42953       </v>
      </c>
      <c r="O6216">
        <v>230309</v>
      </c>
    </row>
    <row r="6217" spans="1:15" x14ac:dyDescent="0.25">
      <c r="A6217" t="s">
        <v>16</v>
      </c>
      <c r="B6217" t="s">
        <v>3221</v>
      </c>
      <c r="C6217">
        <v>4395</v>
      </c>
      <c r="D6217" t="s">
        <v>485</v>
      </c>
      <c r="E6217" t="s">
        <v>486</v>
      </c>
      <c r="F6217">
        <v>76.989999999999995</v>
      </c>
      <c r="G6217">
        <v>230331</v>
      </c>
      <c r="H6217">
        <v>4580</v>
      </c>
      <c r="I6217" t="s">
        <v>35</v>
      </c>
      <c r="J6217">
        <v>95.47</v>
      </c>
      <c r="K6217">
        <v>18.48</v>
      </c>
      <c r="L6217">
        <v>17527</v>
      </c>
      <c r="M6217" t="s">
        <v>422</v>
      </c>
      <c r="N6217" t="str">
        <f>"43133       "</f>
        <v xml:space="preserve">43133       </v>
      </c>
      <c r="O6217">
        <v>230405</v>
      </c>
    </row>
    <row r="6218" spans="1:15" x14ac:dyDescent="0.25">
      <c r="A6218" t="s">
        <v>16</v>
      </c>
      <c r="B6218" t="s">
        <v>3221</v>
      </c>
      <c r="C6218">
        <v>4398</v>
      </c>
      <c r="D6218" t="s">
        <v>485</v>
      </c>
      <c r="E6218" t="s">
        <v>486</v>
      </c>
      <c r="F6218">
        <v>27.7</v>
      </c>
      <c r="G6218">
        <v>230331</v>
      </c>
      <c r="H6218">
        <v>4580</v>
      </c>
      <c r="I6218" t="s">
        <v>35</v>
      </c>
      <c r="J6218">
        <v>34.35</v>
      </c>
      <c r="K6218">
        <v>6.65</v>
      </c>
      <c r="L6218">
        <v>17525</v>
      </c>
      <c r="M6218" t="s">
        <v>135</v>
      </c>
      <c r="N6218" t="str">
        <f>"43132       "</f>
        <v xml:space="preserve">43132       </v>
      </c>
      <c r="O6218">
        <v>230405</v>
      </c>
    </row>
    <row r="6219" spans="1:15" x14ac:dyDescent="0.25">
      <c r="A6219" t="s">
        <v>16</v>
      </c>
      <c r="B6219" t="s">
        <v>3221</v>
      </c>
      <c r="C6219">
        <v>5299</v>
      </c>
      <c r="D6219" t="s">
        <v>485</v>
      </c>
      <c r="E6219" t="s">
        <v>486</v>
      </c>
      <c r="F6219">
        <v>216.55</v>
      </c>
      <c r="G6219">
        <v>230413</v>
      </c>
      <c r="H6219">
        <v>4580</v>
      </c>
      <c r="I6219" t="s">
        <v>35</v>
      </c>
      <c r="J6219">
        <v>268.52</v>
      </c>
      <c r="K6219">
        <v>51.97</v>
      </c>
      <c r="L6219">
        <v>17521</v>
      </c>
      <c r="M6219" t="s">
        <v>133</v>
      </c>
      <c r="N6219" t="str">
        <f>"43199       "</f>
        <v xml:space="preserve">43199       </v>
      </c>
      <c r="O6219">
        <v>230420</v>
      </c>
    </row>
    <row r="6220" spans="1:15" x14ac:dyDescent="0.25">
      <c r="A6220" t="s">
        <v>16</v>
      </c>
      <c r="B6220" t="s">
        <v>3221</v>
      </c>
      <c r="C6220">
        <v>5697</v>
      </c>
      <c r="D6220" t="s">
        <v>485</v>
      </c>
      <c r="E6220" t="s">
        <v>486</v>
      </c>
      <c r="F6220">
        <v>403.15</v>
      </c>
      <c r="G6220">
        <v>230424</v>
      </c>
      <c r="H6220">
        <v>4580</v>
      </c>
      <c r="I6220" t="s">
        <v>35</v>
      </c>
      <c r="J6220">
        <v>499.9</v>
      </c>
      <c r="K6220">
        <v>96.75</v>
      </c>
      <c r="L6220">
        <v>17538</v>
      </c>
      <c r="M6220" t="s">
        <v>24</v>
      </c>
      <c r="N6220" t="str">
        <f>"43242       "</f>
        <v xml:space="preserve">43242       </v>
      </c>
      <c r="O6220">
        <v>230502</v>
      </c>
    </row>
    <row r="6221" spans="1:15" x14ac:dyDescent="0.25">
      <c r="A6221" t="s">
        <v>16</v>
      </c>
      <c r="B6221" t="s">
        <v>3221</v>
      </c>
      <c r="C6221">
        <v>6843</v>
      </c>
      <c r="D6221" t="s">
        <v>485</v>
      </c>
      <c r="E6221" t="s">
        <v>486</v>
      </c>
      <c r="F6221">
        <v>4.5999999999999996</v>
      </c>
      <c r="G6221">
        <v>230516</v>
      </c>
      <c r="H6221">
        <v>4580</v>
      </c>
      <c r="I6221" t="s">
        <v>35</v>
      </c>
      <c r="J6221">
        <v>5.7</v>
      </c>
      <c r="K6221">
        <v>1.1000000000000001</v>
      </c>
      <c r="L6221">
        <v>17534</v>
      </c>
      <c r="M6221" t="s">
        <v>440</v>
      </c>
      <c r="N6221" t="str">
        <f>"43416       "</f>
        <v xml:space="preserve">43416       </v>
      </c>
      <c r="O6221">
        <v>230522</v>
      </c>
    </row>
    <row r="6222" spans="1:15" x14ac:dyDescent="0.25">
      <c r="A6222" t="s">
        <v>16</v>
      </c>
      <c r="B6222" t="s">
        <v>3221</v>
      </c>
      <c r="C6222">
        <v>6995</v>
      </c>
      <c r="D6222" t="s">
        <v>485</v>
      </c>
      <c r="E6222" t="s">
        <v>486</v>
      </c>
      <c r="F6222">
        <v>234.6</v>
      </c>
      <c r="G6222">
        <v>230516</v>
      </c>
      <c r="H6222">
        <v>4580</v>
      </c>
      <c r="I6222" t="s">
        <v>35</v>
      </c>
      <c r="J6222">
        <v>290.89999999999998</v>
      </c>
      <c r="K6222">
        <v>56.3</v>
      </c>
      <c r="L6222">
        <v>17522</v>
      </c>
      <c r="M6222" t="s">
        <v>451</v>
      </c>
      <c r="N6222" t="str">
        <f>"43418       "</f>
        <v xml:space="preserve">43418       </v>
      </c>
      <c r="O6222">
        <v>230524</v>
      </c>
    </row>
    <row r="6223" spans="1:15" x14ac:dyDescent="0.25">
      <c r="A6223" t="s">
        <v>16</v>
      </c>
      <c r="B6223" t="s">
        <v>3221</v>
      </c>
      <c r="C6223">
        <v>7738</v>
      </c>
      <c r="D6223" t="s">
        <v>485</v>
      </c>
      <c r="E6223" t="s">
        <v>486</v>
      </c>
      <c r="F6223">
        <v>20.52</v>
      </c>
      <c r="G6223">
        <v>230531</v>
      </c>
      <c r="H6223">
        <v>4580</v>
      </c>
      <c r="I6223" t="s">
        <v>35</v>
      </c>
      <c r="J6223">
        <v>25.44</v>
      </c>
      <c r="K6223">
        <v>4.92</v>
      </c>
      <c r="L6223">
        <v>17522</v>
      </c>
      <c r="M6223" t="s">
        <v>451</v>
      </c>
      <c r="N6223" t="str">
        <f>"43573       "</f>
        <v xml:space="preserve">43573       </v>
      </c>
      <c r="O6223">
        <v>230602</v>
      </c>
    </row>
    <row r="6224" spans="1:15" x14ac:dyDescent="0.25">
      <c r="A6224" t="s">
        <v>16</v>
      </c>
      <c r="B6224" t="s">
        <v>3221</v>
      </c>
      <c r="C6224">
        <v>8356</v>
      </c>
      <c r="D6224" t="s">
        <v>485</v>
      </c>
      <c r="E6224" t="s">
        <v>486</v>
      </c>
      <c r="F6224">
        <v>1620.97</v>
      </c>
      <c r="G6224">
        <v>230607</v>
      </c>
      <c r="H6224">
        <v>4580</v>
      </c>
      <c r="I6224" t="s">
        <v>35</v>
      </c>
      <c r="J6224">
        <v>2010</v>
      </c>
      <c r="K6224">
        <v>389.03</v>
      </c>
      <c r="L6224">
        <v>17521</v>
      </c>
      <c r="M6224" t="s">
        <v>133</v>
      </c>
      <c r="N6224" t="str">
        <f>"43619       "</f>
        <v xml:space="preserve">43619       </v>
      </c>
      <c r="O6224">
        <v>230608</v>
      </c>
    </row>
    <row r="6225" spans="1:15" x14ac:dyDescent="0.25">
      <c r="A6225" t="s">
        <v>16</v>
      </c>
      <c r="B6225" t="s">
        <v>3221</v>
      </c>
      <c r="C6225">
        <v>10523</v>
      </c>
      <c r="D6225" t="s">
        <v>485</v>
      </c>
      <c r="E6225" t="s">
        <v>486</v>
      </c>
      <c r="F6225">
        <v>913.5</v>
      </c>
      <c r="G6225">
        <v>230814</v>
      </c>
      <c r="H6225">
        <v>4580</v>
      </c>
      <c r="I6225" t="s">
        <v>35</v>
      </c>
      <c r="J6225">
        <v>1132.74</v>
      </c>
      <c r="K6225">
        <v>219.24</v>
      </c>
      <c r="L6225">
        <v>17523</v>
      </c>
      <c r="M6225" t="s">
        <v>134</v>
      </c>
      <c r="N6225" t="str">
        <f>"44032       "</f>
        <v xml:space="preserve">44032       </v>
      </c>
      <c r="O6225">
        <v>230817</v>
      </c>
    </row>
    <row r="6226" spans="1:15" x14ac:dyDescent="0.25">
      <c r="A6226" t="s">
        <v>16</v>
      </c>
      <c r="B6226" t="s">
        <v>3221</v>
      </c>
      <c r="C6226">
        <v>10523</v>
      </c>
      <c r="D6226" t="s">
        <v>485</v>
      </c>
      <c r="E6226" t="s">
        <v>486</v>
      </c>
      <c r="F6226">
        <v>2131.5</v>
      </c>
      <c r="G6226">
        <v>230814</v>
      </c>
      <c r="H6226">
        <v>4580</v>
      </c>
      <c r="I6226" t="s">
        <v>35</v>
      </c>
      <c r="J6226">
        <v>2643.06</v>
      </c>
      <c r="K6226">
        <v>511.56</v>
      </c>
      <c r="L6226">
        <v>17523</v>
      </c>
      <c r="M6226" t="s">
        <v>134</v>
      </c>
      <c r="N6226" t="str">
        <f>"44032       "</f>
        <v xml:space="preserve">44032       </v>
      </c>
      <c r="O6226">
        <v>230817</v>
      </c>
    </row>
    <row r="6227" spans="1:15" x14ac:dyDescent="0.25">
      <c r="A6227" t="s">
        <v>16</v>
      </c>
      <c r="B6227" t="s">
        <v>3221</v>
      </c>
      <c r="C6227">
        <v>10966</v>
      </c>
      <c r="D6227" t="s">
        <v>485</v>
      </c>
      <c r="E6227" t="s">
        <v>486</v>
      </c>
      <c r="F6227">
        <v>10.58</v>
      </c>
      <c r="G6227">
        <v>230824</v>
      </c>
      <c r="H6227">
        <v>4580</v>
      </c>
      <c r="I6227" t="s">
        <v>35</v>
      </c>
      <c r="J6227">
        <v>13.12</v>
      </c>
      <c r="K6227">
        <v>2.54</v>
      </c>
      <c r="L6227">
        <v>17524</v>
      </c>
      <c r="M6227" t="s">
        <v>452</v>
      </c>
      <c r="N6227" t="str">
        <f>"44178       "</f>
        <v xml:space="preserve">44178       </v>
      </c>
      <c r="O6227">
        <v>230825</v>
      </c>
    </row>
    <row r="6228" spans="1:15" x14ac:dyDescent="0.25">
      <c r="A6228" t="s">
        <v>16</v>
      </c>
      <c r="B6228" t="s">
        <v>3221</v>
      </c>
      <c r="C6228">
        <v>11523</v>
      </c>
      <c r="D6228" t="s">
        <v>485</v>
      </c>
      <c r="E6228" t="s">
        <v>486</v>
      </c>
      <c r="F6228">
        <v>71.27</v>
      </c>
      <c r="G6228">
        <v>230904</v>
      </c>
      <c r="H6228">
        <v>4580</v>
      </c>
      <c r="I6228" t="s">
        <v>35</v>
      </c>
      <c r="J6228">
        <v>88.37</v>
      </c>
      <c r="K6228">
        <v>17.100000000000001</v>
      </c>
      <c r="L6228">
        <v>17521</v>
      </c>
      <c r="M6228" t="s">
        <v>133</v>
      </c>
      <c r="N6228" t="str">
        <f>"44233       "</f>
        <v xml:space="preserve">44233       </v>
      </c>
      <c r="O6228">
        <v>230907</v>
      </c>
    </row>
    <row r="6229" spans="1:15" x14ac:dyDescent="0.25">
      <c r="A6229" t="s">
        <v>16</v>
      </c>
      <c r="B6229" t="s">
        <v>3221</v>
      </c>
      <c r="C6229">
        <v>14021</v>
      </c>
      <c r="D6229" t="s">
        <v>485</v>
      </c>
      <c r="E6229" t="s">
        <v>486</v>
      </c>
      <c r="F6229">
        <v>311.39999999999998</v>
      </c>
      <c r="G6229">
        <v>231009</v>
      </c>
      <c r="H6229">
        <v>4580</v>
      </c>
      <c r="I6229" t="s">
        <v>35</v>
      </c>
      <c r="J6229">
        <v>386.14</v>
      </c>
      <c r="K6229">
        <v>74.739999999999995</v>
      </c>
      <c r="L6229">
        <v>17524</v>
      </c>
      <c r="M6229" t="s">
        <v>452</v>
      </c>
      <c r="N6229" t="str">
        <f>"44440       "</f>
        <v xml:space="preserve">44440       </v>
      </c>
      <c r="O6229">
        <v>231017</v>
      </c>
    </row>
    <row r="6230" spans="1:15" x14ac:dyDescent="0.25">
      <c r="A6230" t="s">
        <v>16</v>
      </c>
      <c r="B6230" t="s">
        <v>3221</v>
      </c>
      <c r="C6230">
        <v>15057</v>
      </c>
      <c r="D6230" t="s">
        <v>485</v>
      </c>
      <c r="E6230" t="s">
        <v>486</v>
      </c>
      <c r="F6230">
        <v>80.650000000000006</v>
      </c>
      <c r="G6230">
        <v>231031</v>
      </c>
      <c r="H6230">
        <v>4580</v>
      </c>
      <c r="I6230" t="s">
        <v>35</v>
      </c>
      <c r="J6230">
        <v>100</v>
      </c>
      <c r="K6230">
        <v>19.350000000000001</v>
      </c>
      <c r="L6230">
        <v>17525</v>
      </c>
      <c r="M6230" t="s">
        <v>135</v>
      </c>
      <c r="N6230" t="str">
        <f>"44658       "</f>
        <v xml:space="preserve">44658       </v>
      </c>
      <c r="O6230">
        <v>231108</v>
      </c>
    </row>
    <row r="6231" spans="1:15" x14ac:dyDescent="0.25">
      <c r="A6231" t="s">
        <v>16</v>
      </c>
      <c r="B6231" t="s">
        <v>3221</v>
      </c>
      <c r="C6231">
        <v>15150</v>
      </c>
      <c r="D6231" t="s">
        <v>485</v>
      </c>
      <c r="E6231" t="s">
        <v>486</v>
      </c>
      <c r="F6231">
        <v>991.55</v>
      </c>
      <c r="G6231">
        <v>231107</v>
      </c>
      <c r="H6231">
        <v>4580</v>
      </c>
      <c r="I6231" t="s">
        <v>35</v>
      </c>
      <c r="J6231">
        <v>1229.52</v>
      </c>
      <c r="K6231">
        <v>237.97</v>
      </c>
      <c r="L6231">
        <v>17526</v>
      </c>
      <c r="M6231" t="s">
        <v>437</v>
      </c>
      <c r="N6231" t="str">
        <f>"44700       "</f>
        <v xml:space="preserve">44700       </v>
      </c>
      <c r="O6231">
        <v>231109</v>
      </c>
    </row>
    <row r="6232" spans="1:15" x14ac:dyDescent="0.25">
      <c r="A6232" t="s">
        <v>16</v>
      </c>
      <c r="B6232" t="s">
        <v>3221</v>
      </c>
      <c r="C6232">
        <v>15298</v>
      </c>
      <c r="D6232" t="s">
        <v>485</v>
      </c>
      <c r="E6232" t="s">
        <v>486</v>
      </c>
      <c r="F6232">
        <v>16.52</v>
      </c>
      <c r="G6232">
        <v>231031</v>
      </c>
      <c r="H6232">
        <v>4580</v>
      </c>
      <c r="I6232" t="s">
        <v>35</v>
      </c>
      <c r="J6232">
        <v>20.48</v>
      </c>
      <c r="K6232">
        <v>3.96</v>
      </c>
      <c r="L6232">
        <v>17521</v>
      </c>
      <c r="M6232" t="s">
        <v>133</v>
      </c>
      <c r="N6232" t="str">
        <f>"44653       "</f>
        <v xml:space="preserve">44653       </v>
      </c>
      <c r="O6232">
        <v>231110</v>
      </c>
    </row>
    <row r="6233" spans="1:15" x14ac:dyDescent="0.25">
      <c r="A6233" t="s">
        <v>16</v>
      </c>
      <c r="B6233" t="s">
        <v>3221</v>
      </c>
      <c r="C6233">
        <v>15899</v>
      </c>
      <c r="D6233" t="s">
        <v>485</v>
      </c>
      <c r="E6233" t="s">
        <v>486</v>
      </c>
      <c r="F6233">
        <v>52.51</v>
      </c>
      <c r="G6233">
        <v>231031</v>
      </c>
      <c r="H6233">
        <v>4580</v>
      </c>
      <c r="I6233" t="s">
        <v>35</v>
      </c>
      <c r="J6233">
        <v>65.11</v>
      </c>
      <c r="K6233">
        <v>12.6</v>
      </c>
      <c r="L6233">
        <v>17537</v>
      </c>
      <c r="M6233" t="s">
        <v>455</v>
      </c>
      <c r="N6233" t="str">
        <f>"44659       "</f>
        <v xml:space="preserve">44659       </v>
      </c>
      <c r="O6233">
        <v>231121</v>
      </c>
    </row>
    <row r="6234" spans="1:15" x14ac:dyDescent="0.25">
      <c r="A6234" t="s">
        <v>16</v>
      </c>
      <c r="B6234" t="s">
        <v>3221</v>
      </c>
      <c r="C6234">
        <v>16869</v>
      </c>
      <c r="D6234" t="s">
        <v>485</v>
      </c>
      <c r="E6234" t="s">
        <v>486</v>
      </c>
      <c r="F6234">
        <v>285.73</v>
      </c>
      <c r="G6234">
        <v>231127</v>
      </c>
      <c r="H6234">
        <v>4580</v>
      </c>
      <c r="I6234" t="s">
        <v>35</v>
      </c>
      <c r="J6234">
        <v>354.3</v>
      </c>
      <c r="K6234">
        <v>68.569999999999993</v>
      </c>
      <c r="L6234">
        <v>17524</v>
      </c>
      <c r="M6234" t="s">
        <v>452</v>
      </c>
      <c r="N6234" t="str">
        <f>"44789       "</f>
        <v xml:space="preserve">44789       </v>
      </c>
      <c r="O6234">
        <v>231211</v>
      </c>
    </row>
    <row r="6235" spans="1:15" x14ac:dyDescent="0.25">
      <c r="A6235" t="s">
        <v>16</v>
      </c>
      <c r="B6235" t="s">
        <v>3221</v>
      </c>
      <c r="C6235">
        <v>17606</v>
      </c>
      <c r="D6235" t="s">
        <v>485</v>
      </c>
      <c r="E6235" t="s">
        <v>486</v>
      </c>
      <c r="F6235">
        <v>61.14</v>
      </c>
      <c r="G6235">
        <v>231212</v>
      </c>
      <c r="H6235">
        <v>4580</v>
      </c>
      <c r="I6235" t="s">
        <v>35</v>
      </c>
      <c r="J6235">
        <v>75.81</v>
      </c>
      <c r="K6235">
        <v>14.67</v>
      </c>
      <c r="L6235">
        <v>17525</v>
      </c>
      <c r="M6235" t="s">
        <v>135</v>
      </c>
      <c r="N6235" t="str">
        <f>"44937       "</f>
        <v xml:space="preserve">44937       </v>
      </c>
      <c r="O6235">
        <v>231215</v>
      </c>
    </row>
    <row r="6236" spans="1:15" x14ac:dyDescent="0.25">
      <c r="A6236" t="s">
        <v>16</v>
      </c>
      <c r="B6236" t="s">
        <v>3221</v>
      </c>
      <c r="C6236">
        <v>17769</v>
      </c>
      <c r="D6236" t="s">
        <v>485</v>
      </c>
      <c r="E6236" t="s">
        <v>486</v>
      </c>
      <c r="F6236">
        <v>73.349999999999994</v>
      </c>
      <c r="G6236">
        <v>231212</v>
      </c>
      <c r="H6236">
        <v>4580</v>
      </c>
      <c r="I6236" t="s">
        <v>35</v>
      </c>
      <c r="J6236">
        <v>90.95</v>
      </c>
      <c r="K6236">
        <v>17.600000000000001</v>
      </c>
      <c r="L6236">
        <v>17521</v>
      </c>
      <c r="M6236" t="s">
        <v>133</v>
      </c>
      <c r="N6236" t="str">
        <f>"44935       "</f>
        <v xml:space="preserve">44935       </v>
      </c>
      <c r="O6236">
        <v>231222</v>
      </c>
    </row>
    <row r="6237" spans="1:15" x14ac:dyDescent="0.25">
      <c r="A6237" t="s">
        <v>16</v>
      </c>
      <c r="B6237" t="s">
        <v>3221</v>
      </c>
      <c r="C6237">
        <v>17775</v>
      </c>
      <c r="D6237" t="s">
        <v>485</v>
      </c>
      <c r="E6237" t="s">
        <v>486</v>
      </c>
      <c r="F6237">
        <v>101.23</v>
      </c>
      <c r="G6237">
        <v>231212</v>
      </c>
      <c r="H6237">
        <v>4580</v>
      </c>
      <c r="I6237" t="s">
        <v>35</v>
      </c>
      <c r="J6237">
        <v>125.52</v>
      </c>
      <c r="K6237">
        <v>24.29</v>
      </c>
      <c r="L6237">
        <v>17522</v>
      </c>
      <c r="M6237" t="s">
        <v>451</v>
      </c>
      <c r="N6237" t="str">
        <f>"44939       "</f>
        <v xml:space="preserve">44939       </v>
      </c>
      <c r="O6237">
        <v>231227</v>
      </c>
    </row>
    <row r="6238" spans="1:15" x14ac:dyDescent="0.25">
      <c r="A6238" t="s">
        <v>16</v>
      </c>
      <c r="B6238" t="s">
        <v>3221</v>
      </c>
      <c r="C6238">
        <v>18092</v>
      </c>
      <c r="D6238" t="s">
        <v>485</v>
      </c>
      <c r="E6238" t="s">
        <v>486</v>
      </c>
      <c r="F6238">
        <v>177.48</v>
      </c>
      <c r="G6238">
        <v>231219</v>
      </c>
      <c r="H6238">
        <v>4580</v>
      </c>
      <c r="I6238" t="s">
        <v>35</v>
      </c>
      <c r="J6238">
        <v>220.07</v>
      </c>
      <c r="K6238">
        <v>42.59</v>
      </c>
      <c r="L6238">
        <v>17525</v>
      </c>
      <c r="M6238" t="s">
        <v>135</v>
      </c>
      <c r="N6238" t="str">
        <f>"44999       "</f>
        <v xml:space="preserve">44999       </v>
      </c>
      <c r="O6238">
        <v>240102</v>
      </c>
    </row>
    <row r="6239" spans="1:15" x14ac:dyDescent="0.25">
      <c r="A6239" t="s">
        <v>16</v>
      </c>
      <c r="B6239" t="s">
        <v>3221</v>
      </c>
      <c r="C6239">
        <v>19111</v>
      </c>
      <c r="D6239" t="s">
        <v>485</v>
      </c>
      <c r="E6239" t="s">
        <v>486</v>
      </c>
      <c r="F6239">
        <v>35.479999999999997</v>
      </c>
      <c r="G6239">
        <v>231229</v>
      </c>
      <c r="H6239">
        <v>4580</v>
      </c>
      <c r="I6239" t="s">
        <v>35</v>
      </c>
      <c r="J6239">
        <v>43.99</v>
      </c>
      <c r="K6239">
        <v>8.51</v>
      </c>
      <c r="L6239">
        <v>17521</v>
      </c>
      <c r="M6239" t="s">
        <v>133</v>
      </c>
      <c r="N6239" t="str">
        <f>"45075       "</f>
        <v xml:space="preserve">45075       </v>
      </c>
      <c r="O6239">
        <v>240110</v>
      </c>
    </row>
    <row r="6240" spans="1:15" x14ac:dyDescent="0.25">
      <c r="A6240" t="s">
        <v>16</v>
      </c>
      <c r="B6240" t="s">
        <v>3221</v>
      </c>
      <c r="C6240">
        <v>367</v>
      </c>
      <c r="D6240" t="s">
        <v>485</v>
      </c>
      <c r="E6240" t="s">
        <v>486</v>
      </c>
      <c r="F6240">
        <v>536.29</v>
      </c>
      <c r="G6240">
        <v>230118</v>
      </c>
      <c r="H6240">
        <v>4400</v>
      </c>
      <c r="I6240" t="s">
        <v>348</v>
      </c>
      <c r="J6240">
        <v>665</v>
      </c>
      <c r="K6240">
        <v>128.71</v>
      </c>
      <c r="L6240">
        <v>17523</v>
      </c>
      <c r="M6240" t="s">
        <v>134</v>
      </c>
      <c r="N6240" t="str">
        <f>"42704       "</f>
        <v xml:space="preserve">42704       </v>
      </c>
      <c r="O6240">
        <v>230119</v>
      </c>
    </row>
    <row r="6241" spans="1:15" x14ac:dyDescent="0.25">
      <c r="A6241" t="s">
        <v>16</v>
      </c>
      <c r="B6241" t="s">
        <v>3221</v>
      </c>
      <c r="C6241">
        <v>1981</v>
      </c>
      <c r="D6241" t="s">
        <v>485</v>
      </c>
      <c r="E6241" t="s">
        <v>486</v>
      </c>
      <c r="F6241">
        <v>170.4</v>
      </c>
      <c r="G6241">
        <v>230104</v>
      </c>
      <c r="H6241">
        <v>4400</v>
      </c>
      <c r="I6241" t="s">
        <v>348</v>
      </c>
      <c r="J6241">
        <v>211.3</v>
      </c>
      <c r="K6241">
        <v>40.9</v>
      </c>
      <c r="L6241">
        <v>17523</v>
      </c>
      <c r="M6241" t="s">
        <v>134</v>
      </c>
      <c r="N6241" t="str">
        <f>"42611       "</f>
        <v xml:space="preserve">42611       </v>
      </c>
      <c r="O6241">
        <v>230216</v>
      </c>
    </row>
    <row r="6242" spans="1:15" x14ac:dyDescent="0.25">
      <c r="A6242" t="s">
        <v>16</v>
      </c>
      <c r="B6242" t="s">
        <v>3221</v>
      </c>
      <c r="C6242">
        <v>2852</v>
      </c>
      <c r="D6242" t="s">
        <v>485</v>
      </c>
      <c r="E6242" t="s">
        <v>486</v>
      </c>
      <c r="F6242">
        <v>37.909999999999997</v>
      </c>
      <c r="G6242">
        <v>230228</v>
      </c>
      <c r="H6242">
        <v>4400</v>
      </c>
      <c r="I6242" t="s">
        <v>348</v>
      </c>
      <c r="J6242">
        <v>47.01</v>
      </c>
      <c r="K6242">
        <v>9.1</v>
      </c>
      <c r="L6242">
        <v>17524</v>
      </c>
      <c r="M6242" t="s">
        <v>452</v>
      </c>
      <c r="N6242" t="str">
        <f>"42956       "</f>
        <v xml:space="preserve">42956       </v>
      </c>
      <c r="O6242">
        <v>230308</v>
      </c>
    </row>
    <row r="6243" spans="1:15" x14ac:dyDescent="0.25">
      <c r="A6243" t="s">
        <v>16</v>
      </c>
      <c r="B6243" t="s">
        <v>3221</v>
      </c>
      <c r="C6243">
        <v>4399</v>
      </c>
      <c r="D6243" t="s">
        <v>485</v>
      </c>
      <c r="E6243" t="s">
        <v>486</v>
      </c>
      <c r="F6243">
        <v>72.510000000000005</v>
      </c>
      <c r="G6243">
        <v>230331</v>
      </c>
      <c r="H6243">
        <v>4400</v>
      </c>
      <c r="I6243" t="s">
        <v>348</v>
      </c>
      <c r="J6243">
        <v>89.91</v>
      </c>
      <c r="K6243">
        <v>17.399999999999999</v>
      </c>
      <c r="L6243">
        <v>17524</v>
      </c>
      <c r="M6243" t="s">
        <v>452</v>
      </c>
      <c r="N6243" t="str">
        <f>"43131       "</f>
        <v xml:space="preserve">43131       </v>
      </c>
      <c r="O6243">
        <v>230405</v>
      </c>
    </row>
    <row r="6244" spans="1:15" x14ac:dyDescent="0.25">
      <c r="A6244" t="s">
        <v>16</v>
      </c>
      <c r="B6244" t="s">
        <v>3221</v>
      </c>
      <c r="C6244">
        <v>5963</v>
      </c>
      <c r="D6244" t="s">
        <v>485</v>
      </c>
      <c r="E6244" t="s">
        <v>486</v>
      </c>
      <c r="F6244">
        <v>101.8</v>
      </c>
      <c r="G6244">
        <v>230428</v>
      </c>
      <c r="H6244">
        <v>4400</v>
      </c>
      <c r="I6244" t="s">
        <v>348</v>
      </c>
      <c r="J6244">
        <v>126.23</v>
      </c>
      <c r="K6244">
        <v>24.43</v>
      </c>
      <c r="L6244">
        <v>17524</v>
      </c>
      <c r="M6244" t="s">
        <v>452</v>
      </c>
      <c r="N6244" t="str">
        <f>"43319       "</f>
        <v xml:space="preserve">43319       </v>
      </c>
      <c r="O6244">
        <v>230504</v>
      </c>
    </row>
    <row r="6245" spans="1:15" x14ac:dyDescent="0.25">
      <c r="A6245" t="s">
        <v>16</v>
      </c>
      <c r="B6245" t="s">
        <v>3221</v>
      </c>
      <c r="C6245">
        <v>8279</v>
      </c>
      <c r="D6245" t="s">
        <v>485</v>
      </c>
      <c r="E6245" t="s">
        <v>486</v>
      </c>
      <c r="F6245">
        <v>67.67</v>
      </c>
      <c r="G6245">
        <v>230531</v>
      </c>
      <c r="H6245">
        <v>4400</v>
      </c>
      <c r="I6245" t="s">
        <v>348</v>
      </c>
      <c r="J6245">
        <v>83.91</v>
      </c>
      <c r="K6245">
        <v>16.239999999999998</v>
      </c>
      <c r="L6245">
        <v>17523</v>
      </c>
      <c r="M6245" t="s">
        <v>134</v>
      </c>
      <c r="N6245" t="str">
        <f>"43574       "</f>
        <v xml:space="preserve">43574       </v>
      </c>
      <c r="O6245">
        <v>230608</v>
      </c>
    </row>
    <row r="6246" spans="1:15" x14ac:dyDescent="0.25">
      <c r="A6246" t="s">
        <v>16</v>
      </c>
      <c r="B6246" t="s">
        <v>3221</v>
      </c>
      <c r="C6246">
        <v>10930</v>
      </c>
      <c r="D6246" t="s">
        <v>485</v>
      </c>
      <c r="E6246" t="s">
        <v>486</v>
      </c>
      <c r="F6246">
        <v>6.92</v>
      </c>
      <c r="G6246">
        <v>230815</v>
      </c>
      <c r="H6246">
        <v>4400</v>
      </c>
      <c r="I6246" t="s">
        <v>348</v>
      </c>
      <c r="J6246">
        <v>8.58</v>
      </c>
      <c r="K6246">
        <v>1.66</v>
      </c>
      <c r="L6246">
        <v>13540</v>
      </c>
      <c r="M6246" t="s">
        <v>85</v>
      </c>
      <c r="N6246" t="str">
        <f>"44070       "</f>
        <v xml:space="preserve">44070       </v>
      </c>
      <c r="O6246">
        <v>230825</v>
      </c>
    </row>
    <row r="6247" spans="1:15" x14ac:dyDescent="0.25">
      <c r="A6247" t="s">
        <v>16</v>
      </c>
      <c r="B6247" t="s">
        <v>3221</v>
      </c>
      <c r="C6247">
        <v>10930</v>
      </c>
      <c r="D6247" t="s">
        <v>485</v>
      </c>
      <c r="E6247" t="s">
        <v>486</v>
      </c>
      <c r="F6247">
        <v>55.98</v>
      </c>
      <c r="G6247">
        <v>230815</v>
      </c>
      <c r="H6247">
        <v>4400</v>
      </c>
      <c r="I6247" t="s">
        <v>348</v>
      </c>
      <c r="J6247">
        <v>69.42</v>
      </c>
      <c r="K6247">
        <v>13.44</v>
      </c>
      <c r="L6247">
        <v>17950</v>
      </c>
      <c r="M6247" t="s">
        <v>86</v>
      </c>
      <c r="N6247" t="str">
        <f>"44070       "</f>
        <v xml:space="preserve">44070       </v>
      </c>
      <c r="O6247">
        <v>230825</v>
      </c>
    </row>
    <row r="6248" spans="1:15" x14ac:dyDescent="0.25">
      <c r="A6248" t="s">
        <v>16</v>
      </c>
      <c r="B6248" t="s">
        <v>3221</v>
      </c>
      <c r="C6248">
        <v>15053</v>
      </c>
      <c r="D6248" t="s">
        <v>485</v>
      </c>
      <c r="E6248" t="s">
        <v>486</v>
      </c>
      <c r="F6248">
        <v>121.56</v>
      </c>
      <c r="G6248">
        <v>231031</v>
      </c>
      <c r="H6248">
        <v>4400</v>
      </c>
      <c r="I6248" t="s">
        <v>348</v>
      </c>
      <c r="J6248">
        <v>150.72999999999999</v>
      </c>
      <c r="K6248">
        <v>29.17</v>
      </c>
      <c r="L6248">
        <v>17524</v>
      </c>
      <c r="M6248" t="s">
        <v>452</v>
      </c>
      <c r="N6248" t="str">
        <f>"44657       "</f>
        <v xml:space="preserve">44657       </v>
      </c>
      <c r="O6248">
        <v>231108</v>
      </c>
    </row>
    <row r="6249" spans="1:15" x14ac:dyDescent="0.25">
      <c r="A6249" t="s">
        <v>16</v>
      </c>
      <c r="B6249" t="s">
        <v>3221</v>
      </c>
      <c r="C6249">
        <v>16869</v>
      </c>
      <c r="D6249" t="s">
        <v>485</v>
      </c>
      <c r="E6249" t="s">
        <v>486</v>
      </c>
      <c r="F6249">
        <v>12.1</v>
      </c>
      <c r="G6249">
        <v>231127</v>
      </c>
      <c r="H6249">
        <v>4400</v>
      </c>
      <c r="I6249" t="s">
        <v>348</v>
      </c>
      <c r="J6249">
        <v>15</v>
      </c>
      <c r="K6249">
        <v>2.9</v>
      </c>
      <c r="L6249">
        <v>17524</v>
      </c>
      <c r="M6249" t="s">
        <v>452</v>
      </c>
      <c r="N6249" t="str">
        <f>"44789       "</f>
        <v xml:space="preserve">44789       </v>
      </c>
      <c r="O6249">
        <v>231211</v>
      </c>
    </row>
    <row r="6250" spans="1:15" x14ac:dyDescent="0.25">
      <c r="A6250" t="s">
        <v>16</v>
      </c>
      <c r="B6250" t="s">
        <v>3221</v>
      </c>
      <c r="C6250">
        <v>17592</v>
      </c>
      <c r="D6250" t="s">
        <v>485</v>
      </c>
      <c r="E6250" t="s">
        <v>486</v>
      </c>
      <c r="F6250">
        <v>7.26</v>
      </c>
      <c r="G6250">
        <v>231212</v>
      </c>
      <c r="H6250">
        <v>4400</v>
      </c>
      <c r="I6250" t="s">
        <v>348</v>
      </c>
      <c r="J6250">
        <v>9</v>
      </c>
      <c r="K6250">
        <v>1.74</v>
      </c>
      <c r="L6250">
        <v>17536</v>
      </c>
      <c r="M6250" t="s">
        <v>734</v>
      </c>
      <c r="N6250" t="str">
        <f>"44936       "</f>
        <v xml:space="preserve">44936       </v>
      </c>
      <c r="O6250">
        <v>231215</v>
      </c>
    </row>
    <row r="6251" spans="1:15" x14ac:dyDescent="0.25">
      <c r="A6251" t="s">
        <v>16</v>
      </c>
      <c r="B6251" t="s">
        <v>3221</v>
      </c>
      <c r="C6251">
        <v>1004</v>
      </c>
      <c r="D6251" t="s">
        <v>485</v>
      </c>
      <c r="E6251" t="s">
        <v>486</v>
      </c>
      <c r="F6251">
        <v>74.77</v>
      </c>
      <c r="G6251">
        <v>230124</v>
      </c>
      <c r="H6251">
        <v>4600</v>
      </c>
      <c r="I6251" t="s">
        <v>105</v>
      </c>
      <c r="J6251">
        <v>92.71</v>
      </c>
      <c r="K6251">
        <v>17.940000000000001</v>
      </c>
      <c r="L6251">
        <v>17524</v>
      </c>
      <c r="M6251" t="s">
        <v>452</v>
      </c>
      <c r="N6251" t="str">
        <f>"42715       "</f>
        <v xml:space="preserve">42715       </v>
      </c>
      <c r="O6251">
        <v>230202</v>
      </c>
    </row>
    <row r="6252" spans="1:15" x14ac:dyDescent="0.25">
      <c r="A6252" t="s">
        <v>16</v>
      </c>
      <c r="B6252" t="s">
        <v>3221</v>
      </c>
      <c r="C6252">
        <v>1004</v>
      </c>
      <c r="D6252" t="s">
        <v>485</v>
      </c>
      <c r="E6252" t="s">
        <v>486</v>
      </c>
      <c r="F6252">
        <v>74.760000000000005</v>
      </c>
      <c r="G6252">
        <v>230124</v>
      </c>
      <c r="H6252">
        <v>4600</v>
      </c>
      <c r="I6252" t="s">
        <v>105</v>
      </c>
      <c r="J6252">
        <v>92.7</v>
      </c>
      <c r="K6252">
        <v>17.940000000000001</v>
      </c>
      <c r="L6252">
        <v>17635</v>
      </c>
      <c r="M6252" t="s">
        <v>349</v>
      </c>
      <c r="N6252" t="str">
        <f>"42715       "</f>
        <v xml:space="preserve">42715       </v>
      </c>
      <c r="O6252">
        <v>230202</v>
      </c>
    </row>
    <row r="6253" spans="1:15" x14ac:dyDescent="0.25">
      <c r="A6253" t="s">
        <v>16</v>
      </c>
      <c r="B6253" t="s">
        <v>3221</v>
      </c>
      <c r="C6253">
        <v>1065</v>
      </c>
      <c r="D6253" t="s">
        <v>485</v>
      </c>
      <c r="E6253" t="s">
        <v>486</v>
      </c>
      <c r="F6253">
        <v>40.950000000000003</v>
      </c>
      <c r="G6253">
        <v>230130</v>
      </c>
      <c r="H6253">
        <v>4600</v>
      </c>
      <c r="I6253" t="s">
        <v>105</v>
      </c>
      <c r="J6253">
        <v>50.78</v>
      </c>
      <c r="K6253">
        <v>9.83</v>
      </c>
      <c r="L6253">
        <v>17636</v>
      </c>
      <c r="M6253" t="s">
        <v>352</v>
      </c>
      <c r="N6253" t="str">
        <f>"42780       "</f>
        <v xml:space="preserve">42780       </v>
      </c>
      <c r="O6253">
        <v>230202</v>
      </c>
    </row>
    <row r="6254" spans="1:15" x14ac:dyDescent="0.25">
      <c r="A6254" t="s">
        <v>16</v>
      </c>
      <c r="B6254" t="s">
        <v>3221</v>
      </c>
      <c r="C6254">
        <v>2036</v>
      </c>
      <c r="D6254" t="s">
        <v>485</v>
      </c>
      <c r="E6254" t="s">
        <v>486</v>
      </c>
      <c r="F6254">
        <v>29.56</v>
      </c>
      <c r="G6254">
        <v>230130</v>
      </c>
      <c r="H6254">
        <v>4600</v>
      </c>
      <c r="I6254" t="s">
        <v>105</v>
      </c>
      <c r="J6254">
        <v>36.659999999999997</v>
      </c>
      <c r="K6254">
        <v>7.1</v>
      </c>
      <c r="L6254">
        <v>17711</v>
      </c>
      <c r="M6254" t="s">
        <v>65</v>
      </c>
      <c r="N6254" t="str">
        <f>"42781       "</f>
        <v xml:space="preserve">42781       </v>
      </c>
      <c r="O6254">
        <v>230217</v>
      </c>
    </row>
    <row r="6255" spans="1:15" x14ac:dyDescent="0.25">
      <c r="A6255" t="s">
        <v>16</v>
      </c>
      <c r="B6255" t="s">
        <v>3221</v>
      </c>
      <c r="C6255">
        <v>2739</v>
      </c>
      <c r="D6255" t="s">
        <v>485</v>
      </c>
      <c r="E6255" t="s">
        <v>486</v>
      </c>
      <c r="F6255">
        <v>43.71</v>
      </c>
      <c r="G6255">
        <v>230228</v>
      </c>
      <c r="H6255">
        <v>4600</v>
      </c>
      <c r="I6255" t="s">
        <v>105</v>
      </c>
      <c r="J6255">
        <v>54.2</v>
      </c>
      <c r="K6255">
        <v>10.49</v>
      </c>
      <c r="L6255">
        <v>17529</v>
      </c>
      <c r="M6255" t="s">
        <v>453</v>
      </c>
      <c r="N6255" t="str">
        <f>"42954       "</f>
        <v xml:space="preserve">42954       </v>
      </c>
      <c r="O6255">
        <v>230307</v>
      </c>
    </row>
    <row r="6256" spans="1:15" x14ac:dyDescent="0.25">
      <c r="A6256" t="s">
        <v>16</v>
      </c>
      <c r="B6256" t="s">
        <v>3221</v>
      </c>
      <c r="C6256">
        <v>2740</v>
      </c>
      <c r="D6256" t="s">
        <v>485</v>
      </c>
      <c r="E6256" t="s">
        <v>486</v>
      </c>
      <c r="F6256">
        <v>121.81</v>
      </c>
      <c r="G6256">
        <v>230228</v>
      </c>
      <c r="H6256">
        <v>4600</v>
      </c>
      <c r="I6256" t="s">
        <v>105</v>
      </c>
      <c r="J6256">
        <v>151.05000000000001</v>
      </c>
      <c r="K6256">
        <v>29.24</v>
      </c>
      <c r="L6256">
        <v>17711</v>
      </c>
      <c r="M6256" t="s">
        <v>65</v>
      </c>
      <c r="N6256" t="str">
        <f>"42958       "</f>
        <v xml:space="preserve">42958       </v>
      </c>
      <c r="O6256">
        <v>230307</v>
      </c>
    </row>
    <row r="6257" spans="1:15" x14ac:dyDescent="0.25">
      <c r="A6257" t="s">
        <v>16</v>
      </c>
      <c r="B6257" t="s">
        <v>3221</v>
      </c>
      <c r="C6257">
        <v>4317</v>
      </c>
      <c r="D6257" t="s">
        <v>485</v>
      </c>
      <c r="E6257" t="s">
        <v>486</v>
      </c>
      <c r="F6257">
        <v>171.77</v>
      </c>
      <c r="G6257">
        <v>230331</v>
      </c>
      <c r="H6257">
        <v>4600</v>
      </c>
      <c r="I6257" t="s">
        <v>105</v>
      </c>
      <c r="J6257">
        <v>213</v>
      </c>
      <c r="K6257">
        <v>41.23</v>
      </c>
      <c r="L6257">
        <v>13801</v>
      </c>
      <c r="M6257" t="s">
        <v>162</v>
      </c>
      <c r="N6257" t="str">
        <f>"43130       "</f>
        <v xml:space="preserve">43130       </v>
      </c>
      <c r="O6257">
        <v>230404</v>
      </c>
    </row>
    <row r="6258" spans="1:15" x14ac:dyDescent="0.25">
      <c r="A6258" t="s">
        <v>16</v>
      </c>
      <c r="B6258" t="s">
        <v>3221</v>
      </c>
      <c r="C6258">
        <v>4398</v>
      </c>
      <c r="D6258" t="s">
        <v>485</v>
      </c>
      <c r="E6258" t="s">
        <v>486</v>
      </c>
      <c r="F6258">
        <v>27.7</v>
      </c>
      <c r="G6258">
        <v>230331</v>
      </c>
      <c r="H6258">
        <v>4600</v>
      </c>
      <c r="I6258" t="s">
        <v>105</v>
      </c>
      <c r="J6258">
        <v>34.35</v>
      </c>
      <c r="K6258">
        <v>6.65</v>
      </c>
      <c r="L6258">
        <v>17636</v>
      </c>
      <c r="M6258" t="s">
        <v>352</v>
      </c>
      <c r="N6258" t="str">
        <f>"43132       "</f>
        <v xml:space="preserve">43132       </v>
      </c>
      <c r="O6258">
        <v>230405</v>
      </c>
    </row>
    <row r="6259" spans="1:15" x14ac:dyDescent="0.25">
      <c r="A6259" t="s">
        <v>16</v>
      </c>
      <c r="B6259" t="s">
        <v>3221</v>
      </c>
      <c r="C6259">
        <v>5390</v>
      </c>
      <c r="D6259" t="s">
        <v>485</v>
      </c>
      <c r="E6259" t="s">
        <v>486</v>
      </c>
      <c r="F6259">
        <v>122.19</v>
      </c>
      <c r="G6259">
        <v>230331</v>
      </c>
      <c r="H6259">
        <v>4600</v>
      </c>
      <c r="I6259" t="s">
        <v>105</v>
      </c>
      <c r="J6259">
        <v>151.51</v>
      </c>
      <c r="K6259">
        <v>29.32</v>
      </c>
      <c r="L6259">
        <v>17711</v>
      </c>
      <c r="M6259" t="s">
        <v>65</v>
      </c>
      <c r="N6259" t="str">
        <f>"43134       "</f>
        <v xml:space="preserve">43134       </v>
      </c>
      <c r="O6259">
        <v>230424</v>
      </c>
    </row>
    <row r="6260" spans="1:15" x14ac:dyDescent="0.25">
      <c r="A6260" t="s">
        <v>16</v>
      </c>
      <c r="B6260" t="s">
        <v>3221</v>
      </c>
      <c r="C6260">
        <v>6818</v>
      </c>
      <c r="D6260" t="s">
        <v>485</v>
      </c>
      <c r="E6260" t="s">
        <v>486</v>
      </c>
      <c r="F6260">
        <v>44.03</v>
      </c>
      <c r="G6260">
        <v>230516</v>
      </c>
      <c r="H6260">
        <v>4600</v>
      </c>
      <c r="I6260" t="s">
        <v>105</v>
      </c>
      <c r="J6260">
        <v>54.6</v>
      </c>
      <c r="K6260">
        <v>10.57</v>
      </c>
      <c r="L6260">
        <v>17529</v>
      </c>
      <c r="M6260" t="s">
        <v>453</v>
      </c>
      <c r="N6260" t="str">
        <f>"43415       "</f>
        <v xml:space="preserve">43415       </v>
      </c>
      <c r="O6260">
        <v>230522</v>
      </c>
    </row>
    <row r="6261" spans="1:15" x14ac:dyDescent="0.25">
      <c r="A6261" t="s">
        <v>16</v>
      </c>
      <c r="B6261" t="s">
        <v>3221</v>
      </c>
      <c r="C6261">
        <v>6837</v>
      </c>
      <c r="D6261" t="s">
        <v>485</v>
      </c>
      <c r="E6261" t="s">
        <v>486</v>
      </c>
      <c r="F6261">
        <v>4.84</v>
      </c>
      <c r="G6261">
        <v>230516</v>
      </c>
      <c r="H6261">
        <v>4600</v>
      </c>
      <c r="I6261" t="s">
        <v>105</v>
      </c>
      <c r="J6261">
        <v>6</v>
      </c>
      <c r="K6261">
        <v>1.1599999999999999</v>
      </c>
      <c r="L6261">
        <v>17711</v>
      </c>
      <c r="M6261" t="s">
        <v>65</v>
      </c>
      <c r="N6261" t="str">
        <f>"43421       "</f>
        <v xml:space="preserve">43421       </v>
      </c>
      <c r="O6261">
        <v>230522</v>
      </c>
    </row>
    <row r="6262" spans="1:15" x14ac:dyDescent="0.25">
      <c r="A6262" t="s">
        <v>16</v>
      </c>
      <c r="B6262" t="s">
        <v>3221</v>
      </c>
      <c r="C6262">
        <v>6839</v>
      </c>
      <c r="D6262" t="s">
        <v>485</v>
      </c>
      <c r="E6262" t="s">
        <v>486</v>
      </c>
      <c r="F6262">
        <v>25.24</v>
      </c>
      <c r="G6262">
        <v>230516</v>
      </c>
      <c r="H6262">
        <v>4600</v>
      </c>
      <c r="I6262" t="s">
        <v>105</v>
      </c>
      <c r="J6262">
        <v>31.3</v>
      </c>
      <c r="K6262">
        <v>6.06</v>
      </c>
      <c r="L6262">
        <v>17524</v>
      </c>
      <c r="M6262" t="s">
        <v>452</v>
      </c>
      <c r="N6262" t="str">
        <f>"43419       "</f>
        <v xml:space="preserve">43419       </v>
      </c>
      <c r="O6262">
        <v>230522</v>
      </c>
    </row>
    <row r="6263" spans="1:15" x14ac:dyDescent="0.25">
      <c r="A6263" t="s">
        <v>16</v>
      </c>
      <c r="B6263" t="s">
        <v>3221</v>
      </c>
      <c r="C6263">
        <v>6842</v>
      </c>
      <c r="D6263" t="s">
        <v>485</v>
      </c>
      <c r="E6263" t="s">
        <v>486</v>
      </c>
      <c r="F6263">
        <v>3.11</v>
      </c>
      <c r="G6263">
        <v>230516</v>
      </c>
      <c r="H6263">
        <v>4600</v>
      </c>
      <c r="I6263" t="s">
        <v>105</v>
      </c>
      <c r="J6263">
        <v>3.86</v>
      </c>
      <c r="K6263">
        <v>0.75</v>
      </c>
      <c r="L6263">
        <v>13540</v>
      </c>
      <c r="M6263" t="s">
        <v>85</v>
      </c>
      <c r="N6263" t="str">
        <f>"43414       "</f>
        <v xml:space="preserve">43414       </v>
      </c>
      <c r="O6263">
        <v>230522</v>
      </c>
    </row>
    <row r="6264" spans="1:15" x14ac:dyDescent="0.25">
      <c r="A6264" t="s">
        <v>16</v>
      </c>
      <c r="B6264" t="s">
        <v>3221</v>
      </c>
      <c r="C6264">
        <v>6842</v>
      </c>
      <c r="D6264" t="s">
        <v>485</v>
      </c>
      <c r="E6264" t="s">
        <v>486</v>
      </c>
      <c r="F6264">
        <v>25.19</v>
      </c>
      <c r="G6264">
        <v>230516</v>
      </c>
      <c r="H6264">
        <v>4600</v>
      </c>
      <c r="I6264" t="s">
        <v>105</v>
      </c>
      <c r="J6264">
        <v>31.24</v>
      </c>
      <c r="K6264">
        <v>6.05</v>
      </c>
      <c r="L6264">
        <v>17950</v>
      </c>
      <c r="M6264" t="s">
        <v>86</v>
      </c>
      <c r="N6264" t="str">
        <f>"43414       "</f>
        <v xml:space="preserve">43414       </v>
      </c>
      <c r="O6264">
        <v>230522</v>
      </c>
    </row>
    <row r="6265" spans="1:15" x14ac:dyDescent="0.25">
      <c r="A6265" t="s">
        <v>16</v>
      </c>
      <c r="B6265" t="s">
        <v>3221</v>
      </c>
      <c r="C6265">
        <v>6850</v>
      </c>
      <c r="D6265" t="s">
        <v>485</v>
      </c>
      <c r="E6265" t="s">
        <v>486</v>
      </c>
      <c r="F6265">
        <v>29.37</v>
      </c>
      <c r="G6265">
        <v>230516</v>
      </c>
      <c r="H6265">
        <v>4600</v>
      </c>
      <c r="I6265" t="s">
        <v>105</v>
      </c>
      <c r="J6265">
        <v>36.42</v>
      </c>
      <c r="K6265">
        <v>7.05</v>
      </c>
      <c r="L6265">
        <v>17523</v>
      </c>
      <c r="M6265" t="s">
        <v>134</v>
      </c>
      <c r="N6265" t="str">
        <f>"43420       "</f>
        <v xml:space="preserve">43420       </v>
      </c>
      <c r="O6265">
        <v>230522</v>
      </c>
    </row>
    <row r="6266" spans="1:15" x14ac:dyDescent="0.25">
      <c r="A6266" t="s">
        <v>16</v>
      </c>
      <c r="B6266" t="s">
        <v>3221</v>
      </c>
      <c r="C6266">
        <v>6995</v>
      </c>
      <c r="D6266" t="s">
        <v>485</v>
      </c>
      <c r="E6266" t="s">
        <v>486</v>
      </c>
      <c r="F6266">
        <v>43.31</v>
      </c>
      <c r="G6266">
        <v>230516</v>
      </c>
      <c r="H6266">
        <v>4600</v>
      </c>
      <c r="I6266" t="s">
        <v>105</v>
      </c>
      <c r="J6266">
        <v>53.7</v>
      </c>
      <c r="K6266">
        <v>10.39</v>
      </c>
      <c r="L6266">
        <v>17633</v>
      </c>
      <c r="M6266" t="s">
        <v>724</v>
      </c>
      <c r="N6266" t="str">
        <f>"43418       "</f>
        <v xml:space="preserve">43418       </v>
      </c>
      <c r="O6266">
        <v>230524</v>
      </c>
    </row>
    <row r="6267" spans="1:15" x14ac:dyDescent="0.25">
      <c r="A6267" t="s">
        <v>16</v>
      </c>
      <c r="B6267" t="s">
        <v>3221</v>
      </c>
      <c r="C6267">
        <v>6996</v>
      </c>
      <c r="D6267" t="s">
        <v>485</v>
      </c>
      <c r="E6267" t="s">
        <v>486</v>
      </c>
      <c r="F6267">
        <v>34.92</v>
      </c>
      <c r="G6267">
        <v>230516</v>
      </c>
      <c r="H6267">
        <v>4600</v>
      </c>
      <c r="I6267" t="s">
        <v>105</v>
      </c>
      <c r="J6267">
        <v>43.3</v>
      </c>
      <c r="K6267">
        <v>8.3800000000000008</v>
      </c>
      <c r="L6267">
        <v>17525</v>
      </c>
      <c r="M6267" t="s">
        <v>135</v>
      </c>
      <c r="N6267" t="str">
        <f>"43417       "</f>
        <v xml:space="preserve">43417       </v>
      </c>
      <c r="O6267">
        <v>230524</v>
      </c>
    </row>
    <row r="6268" spans="1:15" x14ac:dyDescent="0.25">
      <c r="A6268" t="s">
        <v>16</v>
      </c>
      <c r="B6268" t="s">
        <v>3221</v>
      </c>
      <c r="C6268">
        <v>7698</v>
      </c>
      <c r="D6268" t="s">
        <v>485</v>
      </c>
      <c r="E6268" t="s">
        <v>486</v>
      </c>
      <c r="F6268">
        <v>24.07</v>
      </c>
      <c r="G6268">
        <v>230531</v>
      </c>
      <c r="H6268">
        <v>4600</v>
      </c>
      <c r="I6268" t="s">
        <v>105</v>
      </c>
      <c r="J6268">
        <v>29.85</v>
      </c>
      <c r="K6268">
        <v>5.78</v>
      </c>
      <c r="L6268">
        <v>17529</v>
      </c>
      <c r="M6268" t="s">
        <v>453</v>
      </c>
      <c r="N6268" t="str">
        <f>"43572       "</f>
        <v xml:space="preserve">43572       </v>
      </c>
      <c r="O6268">
        <v>230601</v>
      </c>
    </row>
    <row r="6269" spans="1:15" x14ac:dyDescent="0.25">
      <c r="A6269" t="s">
        <v>16</v>
      </c>
      <c r="B6269" t="s">
        <v>3221</v>
      </c>
      <c r="C6269">
        <v>7738</v>
      </c>
      <c r="D6269" t="s">
        <v>485</v>
      </c>
      <c r="E6269" t="s">
        <v>486</v>
      </c>
      <c r="F6269">
        <v>25.54</v>
      </c>
      <c r="G6269">
        <v>230531</v>
      </c>
      <c r="H6269">
        <v>4600</v>
      </c>
      <c r="I6269" t="s">
        <v>105</v>
      </c>
      <c r="J6269">
        <v>31.67</v>
      </c>
      <c r="K6269">
        <v>6.13</v>
      </c>
      <c r="L6269">
        <v>17633</v>
      </c>
      <c r="M6269" t="s">
        <v>724</v>
      </c>
      <c r="N6269" t="str">
        <f>"43573       "</f>
        <v xml:space="preserve">43573       </v>
      </c>
      <c r="O6269">
        <v>230602</v>
      </c>
    </row>
    <row r="6270" spans="1:15" x14ac:dyDescent="0.25">
      <c r="A6270" t="s">
        <v>16</v>
      </c>
      <c r="B6270" t="s">
        <v>3221</v>
      </c>
      <c r="C6270">
        <v>7741</v>
      </c>
      <c r="D6270" t="s">
        <v>485</v>
      </c>
      <c r="E6270" t="s">
        <v>486</v>
      </c>
      <c r="F6270">
        <v>84.96</v>
      </c>
      <c r="G6270">
        <v>230531</v>
      </c>
      <c r="H6270">
        <v>4600</v>
      </c>
      <c r="I6270" t="s">
        <v>105</v>
      </c>
      <c r="J6270">
        <v>105.35</v>
      </c>
      <c r="K6270">
        <v>20.39</v>
      </c>
      <c r="L6270">
        <v>17711</v>
      </c>
      <c r="M6270" t="s">
        <v>65</v>
      </c>
      <c r="N6270" t="str">
        <f>"43575       "</f>
        <v xml:space="preserve">43575       </v>
      </c>
      <c r="O6270">
        <v>230602</v>
      </c>
    </row>
    <row r="6271" spans="1:15" x14ac:dyDescent="0.25">
      <c r="A6271" t="s">
        <v>16</v>
      </c>
      <c r="B6271" t="s">
        <v>3221</v>
      </c>
      <c r="C6271">
        <v>10078</v>
      </c>
      <c r="D6271" t="s">
        <v>485</v>
      </c>
      <c r="E6271" t="s">
        <v>486</v>
      </c>
      <c r="F6271">
        <v>111.1</v>
      </c>
      <c r="G6271">
        <v>230805</v>
      </c>
      <c r="H6271">
        <v>4600</v>
      </c>
      <c r="I6271" t="s">
        <v>105</v>
      </c>
      <c r="J6271">
        <v>137.76</v>
      </c>
      <c r="K6271">
        <v>26.66</v>
      </c>
      <c r="L6271">
        <v>17952</v>
      </c>
      <c r="M6271" t="s">
        <v>88</v>
      </c>
      <c r="N6271" t="str">
        <f>"44005       "</f>
        <v xml:space="preserve">44005       </v>
      </c>
      <c r="O6271">
        <v>230808</v>
      </c>
    </row>
    <row r="6272" spans="1:15" x14ac:dyDescent="0.25">
      <c r="A6272" t="s">
        <v>16</v>
      </c>
      <c r="B6272" t="s">
        <v>3221</v>
      </c>
      <c r="C6272">
        <v>10812</v>
      </c>
      <c r="D6272" t="s">
        <v>485</v>
      </c>
      <c r="E6272" t="s">
        <v>486</v>
      </c>
      <c r="F6272">
        <v>260.39999999999998</v>
      </c>
      <c r="G6272">
        <v>230818</v>
      </c>
      <c r="H6272">
        <v>4600</v>
      </c>
      <c r="I6272" t="s">
        <v>105</v>
      </c>
      <c r="J6272">
        <v>322.89999999999998</v>
      </c>
      <c r="K6272">
        <v>62.5</v>
      </c>
      <c r="L6272">
        <v>17633</v>
      </c>
      <c r="M6272" t="s">
        <v>724</v>
      </c>
      <c r="N6272" t="str">
        <f>"44089       "</f>
        <v xml:space="preserve">44089       </v>
      </c>
      <c r="O6272">
        <v>230823</v>
      </c>
    </row>
    <row r="6273" spans="1:15" x14ac:dyDescent="0.25">
      <c r="A6273" t="s">
        <v>16</v>
      </c>
      <c r="B6273" t="s">
        <v>3221</v>
      </c>
      <c r="C6273">
        <v>10966</v>
      </c>
      <c r="D6273" t="s">
        <v>485</v>
      </c>
      <c r="E6273" t="s">
        <v>486</v>
      </c>
      <c r="F6273">
        <v>151.87</v>
      </c>
      <c r="G6273">
        <v>230824</v>
      </c>
      <c r="H6273">
        <v>4600</v>
      </c>
      <c r="I6273" t="s">
        <v>105</v>
      </c>
      <c r="J6273">
        <v>188.32</v>
      </c>
      <c r="K6273">
        <v>36.450000000000003</v>
      </c>
      <c r="L6273">
        <v>17524</v>
      </c>
      <c r="M6273" t="s">
        <v>452</v>
      </c>
      <c r="N6273" t="str">
        <f>"44178       "</f>
        <v xml:space="preserve">44178       </v>
      </c>
      <c r="O6273">
        <v>230825</v>
      </c>
    </row>
    <row r="6274" spans="1:15" x14ac:dyDescent="0.25">
      <c r="A6274" t="s">
        <v>16</v>
      </c>
      <c r="B6274" t="s">
        <v>3221</v>
      </c>
      <c r="C6274">
        <v>11475</v>
      </c>
      <c r="D6274" t="s">
        <v>485</v>
      </c>
      <c r="E6274" t="s">
        <v>486</v>
      </c>
      <c r="F6274">
        <v>194.48</v>
      </c>
      <c r="G6274">
        <v>230815</v>
      </c>
      <c r="H6274">
        <v>4600</v>
      </c>
      <c r="I6274" t="s">
        <v>105</v>
      </c>
      <c r="J6274">
        <v>241.15</v>
      </c>
      <c r="K6274">
        <v>46.67</v>
      </c>
      <c r="L6274">
        <v>17531</v>
      </c>
      <c r="M6274" t="s">
        <v>136</v>
      </c>
      <c r="N6274" t="str">
        <f>"44072       "</f>
        <v xml:space="preserve">44072       </v>
      </c>
      <c r="O6274">
        <v>230906</v>
      </c>
    </row>
    <row r="6275" spans="1:15" x14ac:dyDescent="0.25">
      <c r="A6275" t="s">
        <v>16</v>
      </c>
      <c r="B6275" t="s">
        <v>3221</v>
      </c>
      <c r="C6275">
        <v>13140</v>
      </c>
      <c r="D6275" t="s">
        <v>485</v>
      </c>
      <c r="E6275" t="s">
        <v>486</v>
      </c>
      <c r="F6275">
        <v>224.9</v>
      </c>
      <c r="G6275">
        <v>230929</v>
      </c>
      <c r="H6275">
        <v>4600</v>
      </c>
      <c r="I6275" t="s">
        <v>105</v>
      </c>
      <c r="J6275">
        <v>278.88</v>
      </c>
      <c r="K6275">
        <v>53.98</v>
      </c>
      <c r="L6275">
        <v>17711</v>
      </c>
      <c r="M6275" t="s">
        <v>65</v>
      </c>
      <c r="N6275" t="str">
        <f>"44410       "</f>
        <v xml:space="preserve">44410       </v>
      </c>
      <c r="O6275">
        <v>231004</v>
      </c>
    </row>
    <row r="6276" spans="1:15" x14ac:dyDescent="0.25">
      <c r="A6276" t="s">
        <v>16</v>
      </c>
      <c r="B6276" t="s">
        <v>3221</v>
      </c>
      <c r="C6276">
        <v>13193</v>
      </c>
      <c r="D6276" t="s">
        <v>485</v>
      </c>
      <c r="E6276" t="s">
        <v>486</v>
      </c>
      <c r="F6276">
        <v>69.239999999999995</v>
      </c>
      <c r="G6276">
        <v>230929</v>
      </c>
      <c r="H6276">
        <v>4600</v>
      </c>
      <c r="I6276" t="s">
        <v>105</v>
      </c>
      <c r="J6276">
        <v>85.86</v>
      </c>
      <c r="K6276">
        <v>16.62</v>
      </c>
      <c r="L6276">
        <v>56565</v>
      </c>
      <c r="M6276" t="s">
        <v>758</v>
      </c>
      <c r="N6276" t="str">
        <f>"44409       "</f>
        <v xml:space="preserve">44409       </v>
      </c>
      <c r="O6276">
        <v>231005</v>
      </c>
    </row>
    <row r="6277" spans="1:15" x14ac:dyDescent="0.25">
      <c r="A6277" t="s">
        <v>16</v>
      </c>
      <c r="B6277" t="s">
        <v>3221</v>
      </c>
      <c r="C6277">
        <v>13663</v>
      </c>
      <c r="D6277" t="s">
        <v>485</v>
      </c>
      <c r="E6277" t="s">
        <v>486</v>
      </c>
      <c r="F6277">
        <v>3.23</v>
      </c>
      <c r="G6277">
        <v>230929</v>
      </c>
      <c r="H6277">
        <v>4600</v>
      </c>
      <c r="I6277" t="s">
        <v>105</v>
      </c>
      <c r="J6277">
        <v>4</v>
      </c>
      <c r="K6277">
        <v>0.77</v>
      </c>
      <c r="L6277">
        <v>13561</v>
      </c>
      <c r="M6277" t="s">
        <v>246</v>
      </c>
      <c r="N6277" t="str">
        <f>"44408       "</f>
        <v xml:space="preserve">44408       </v>
      </c>
      <c r="O6277">
        <v>231012</v>
      </c>
    </row>
    <row r="6278" spans="1:15" x14ac:dyDescent="0.25">
      <c r="A6278" t="s">
        <v>16</v>
      </c>
      <c r="B6278" t="s">
        <v>3221</v>
      </c>
      <c r="C6278">
        <v>13663</v>
      </c>
      <c r="D6278" t="s">
        <v>485</v>
      </c>
      <c r="E6278" t="s">
        <v>486</v>
      </c>
      <c r="F6278">
        <v>6.45</v>
      </c>
      <c r="G6278">
        <v>230929</v>
      </c>
      <c r="H6278">
        <v>4600</v>
      </c>
      <c r="I6278" t="s">
        <v>105</v>
      </c>
      <c r="J6278">
        <v>8</v>
      </c>
      <c r="K6278">
        <v>1.55</v>
      </c>
      <c r="L6278">
        <v>17971</v>
      </c>
      <c r="M6278" t="s">
        <v>138</v>
      </c>
      <c r="N6278" t="str">
        <f>"44408       "</f>
        <v xml:space="preserve">44408       </v>
      </c>
      <c r="O6278">
        <v>231012</v>
      </c>
    </row>
    <row r="6279" spans="1:15" x14ac:dyDescent="0.25">
      <c r="A6279" t="s">
        <v>16</v>
      </c>
      <c r="B6279" t="s">
        <v>3221</v>
      </c>
      <c r="C6279">
        <v>14021</v>
      </c>
      <c r="D6279" t="s">
        <v>485</v>
      </c>
      <c r="E6279" t="s">
        <v>486</v>
      </c>
      <c r="F6279">
        <v>239.37</v>
      </c>
      <c r="G6279">
        <v>231009</v>
      </c>
      <c r="H6279">
        <v>4600</v>
      </c>
      <c r="I6279" t="s">
        <v>105</v>
      </c>
      <c r="J6279">
        <v>296.82</v>
      </c>
      <c r="K6279">
        <v>57.45</v>
      </c>
      <c r="L6279">
        <v>17524</v>
      </c>
      <c r="M6279" t="s">
        <v>452</v>
      </c>
      <c r="N6279" t="str">
        <f>"44440       "</f>
        <v xml:space="preserve">44440       </v>
      </c>
      <c r="O6279">
        <v>231017</v>
      </c>
    </row>
    <row r="6280" spans="1:15" x14ac:dyDescent="0.25">
      <c r="A6280" t="s">
        <v>16</v>
      </c>
      <c r="B6280" t="s">
        <v>3221</v>
      </c>
      <c r="C6280">
        <v>14927</v>
      </c>
      <c r="D6280" t="s">
        <v>485</v>
      </c>
      <c r="E6280" t="s">
        <v>486</v>
      </c>
      <c r="F6280">
        <v>30.65</v>
      </c>
      <c r="G6280">
        <v>231031</v>
      </c>
      <c r="H6280">
        <v>4600</v>
      </c>
      <c r="I6280" t="s">
        <v>105</v>
      </c>
      <c r="J6280">
        <v>38</v>
      </c>
      <c r="K6280">
        <v>7.35</v>
      </c>
      <c r="L6280">
        <v>17807</v>
      </c>
      <c r="M6280" t="s">
        <v>318</v>
      </c>
      <c r="N6280" t="str">
        <f>"44656       "</f>
        <v xml:space="preserve">44656       </v>
      </c>
      <c r="O6280">
        <v>231107</v>
      </c>
    </row>
    <row r="6281" spans="1:15" x14ac:dyDescent="0.25">
      <c r="A6281" t="s">
        <v>16</v>
      </c>
      <c r="B6281" t="s">
        <v>3221</v>
      </c>
      <c r="C6281">
        <v>15057</v>
      </c>
      <c r="D6281" t="s">
        <v>485</v>
      </c>
      <c r="E6281" t="s">
        <v>486</v>
      </c>
      <c r="F6281">
        <v>5.56</v>
      </c>
      <c r="G6281">
        <v>231031</v>
      </c>
      <c r="H6281">
        <v>4600</v>
      </c>
      <c r="I6281" t="s">
        <v>105</v>
      </c>
      <c r="J6281">
        <v>6.9</v>
      </c>
      <c r="K6281">
        <v>1.34</v>
      </c>
      <c r="L6281">
        <v>17525</v>
      </c>
      <c r="M6281" t="s">
        <v>135</v>
      </c>
      <c r="N6281" t="str">
        <f>"44658       "</f>
        <v xml:space="preserve">44658       </v>
      </c>
      <c r="O6281">
        <v>231108</v>
      </c>
    </row>
    <row r="6282" spans="1:15" x14ac:dyDescent="0.25">
      <c r="A6282" t="s">
        <v>16</v>
      </c>
      <c r="B6282" t="s">
        <v>3221</v>
      </c>
      <c r="C6282">
        <v>15057</v>
      </c>
      <c r="D6282" t="s">
        <v>485</v>
      </c>
      <c r="E6282" t="s">
        <v>486</v>
      </c>
      <c r="F6282">
        <v>20.16</v>
      </c>
      <c r="G6282">
        <v>231031</v>
      </c>
      <c r="H6282">
        <v>4600</v>
      </c>
      <c r="I6282" t="s">
        <v>105</v>
      </c>
      <c r="J6282">
        <v>25</v>
      </c>
      <c r="K6282">
        <v>4.84</v>
      </c>
      <c r="L6282">
        <v>17636</v>
      </c>
      <c r="M6282" t="s">
        <v>352</v>
      </c>
      <c r="N6282" t="str">
        <f>"44658       "</f>
        <v xml:space="preserve">44658       </v>
      </c>
      <c r="O6282">
        <v>231108</v>
      </c>
    </row>
    <row r="6283" spans="1:15" x14ac:dyDescent="0.25">
      <c r="A6283" t="s">
        <v>16</v>
      </c>
      <c r="B6283" t="s">
        <v>3221</v>
      </c>
      <c r="C6283">
        <v>15058</v>
      </c>
      <c r="D6283" t="s">
        <v>485</v>
      </c>
      <c r="E6283" t="s">
        <v>486</v>
      </c>
      <c r="F6283">
        <v>38.85</v>
      </c>
      <c r="G6283">
        <v>231031</v>
      </c>
      <c r="H6283">
        <v>4600</v>
      </c>
      <c r="I6283" t="s">
        <v>105</v>
      </c>
      <c r="J6283">
        <v>48.17</v>
      </c>
      <c r="K6283">
        <v>9.32</v>
      </c>
      <c r="L6283">
        <v>17711</v>
      </c>
      <c r="M6283" t="s">
        <v>65</v>
      </c>
      <c r="N6283" t="str">
        <f>"44662       "</f>
        <v xml:space="preserve">44662       </v>
      </c>
      <c r="O6283">
        <v>231108</v>
      </c>
    </row>
    <row r="6284" spans="1:15" x14ac:dyDescent="0.25">
      <c r="A6284" t="s">
        <v>16</v>
      </c>
      <c r="B6284" t="s">
        <v>3221</v>
      </c>
      <c r="C6284">
        <v>15059</v>
      </c>
      <c r="D6284" t="s">
        <v>485</v>
      </c>
      <c r="E6284" t="s">
        <v>486</v>
      </c>
      <c r="F6284">
        <v>43.23</v>
      </c>
      <c r="G6284">
        <v>231031</v>
      </c>
      <c r="H6284">
        <v>4600</v>
      </c>
      <c r="I6284" t="s">
        <v>105</v>
      </c>
      <c r="J6284">
        <v>53.6</v>
      </c>
      <c r="K6284">
        <v>10.37</v>
      </c>
      <c r="L6284">
        <v>17526</v>
      </c>
      <c r="M6284" t="s">
        <v>437</v>
      </c>
      <c r="N6284" t="str">
        <f>"44655       "</f>
        <v xml:space="preserve">44655       </v>
      </c>
      <c r="O6284">
        <v>231108</v>
      </c>
    </row>
    <row r="6285" spans="1:15" x14ac:dyDescent="0.25">
      <c r="A6285" t="s">
        <v>16</v>
      </c>
      <c r="B6285" t="s">
        <v>3221</v>
      </c>
      <c r="C6285">
        <v>15061</v>
      </c>
      <c r="D6285" t="s">
        <v>485</v>
      </c>
      <c r="E6285" t="s">
        <v>486</v>
      </c>
      <c r="F6285">
        <v>2.82</v>
      </c>
      <c r="G6285">
        <v>231031</v>
      </c>
      <c r="H6285">
        <v>4600</v>
      </c>
      <c r="I6285" t="s">
        <v>105</v>
      </c>
      <c r="J6285">
        <v>3.5</v>
      </c>
      <c r="K6285">
        <v>0.68</v>
      </c>
      <c r="L6285">
        <v>17527</v>
      </c>
      <c r="M6285" t="s">
        <v>422</v>
      </c>
      <c r="N6285" t="str">
        <f>"44661       "</f>
        <v xml:space="preserve">44661       </v>
      </c>
      <c r="O6285">
        <v>231108</v>
      </c>
    </row>
    <row r="6286" spans="1:15" x14ac:dyDescent="0.25">
      <c r="A6286" t="s">
        <v>16</v>
      </c>
      <c r="B6286" t="s">
        <v>3221</v>
      </c>
      <c r="C6286">
        <v>15062</v>
      </c>
      <c r="D6286" t="s">
        <v>485</v>
      </c>
      <c r="E6286" t="s">
        <v>486</v>
      </c>
      <c r="F6286">
        <v>31.26</v>
      </c>
      <c r="G6286">
        <v>231031</v>
      </c>
      <c r="H6286">
        <v>4600</v>
      </c>
      <c r="I6286" t="s">
        <v>105</v>
      </c>
      <c r="J6286">
        <v>38.76</v>
      </c>
      <c r="K6286">
        <v>7.5</v>
      </c>
      <c r="L6286">
        <v>17523</v>
      </c>
      <c r="M6286" t="s">
        <v>134</v>
      </c>
      <c r="N6286" t="str">
        <f>"44660       "</f>
        <v xml:space="preserve">44660       </v>
      </c>
      <c r="O6286">
        <v>231108</v>
      </c>
    </row>
    <row r="6287" spans="1:15" x14ac:dyDescent="0.25">
      <c r="A6287" t="s">
        <v>16</v>
      </c>
      <c r="B6287" t="s">
        <v>3221</v>
      </c>
      <c r="C6287">
        <v>15065</v>
      </c>
      <c r="D6287" t="s">
        <v>485</v>
      </c>
      <c r="E6287" t="s">
        <v>486</v>
      </c>
      <c r="F6287">
        <v>112.9</v>
      </c>
      <c r="G6287">
        <v>231031</v>
      </c>
      <c r="H6287">
        <v>4600</v>
      </c>
      <c r="I6287" t="s">
        <v>105</v>
      </c>
      <c r="J6287">
        <v>140</v>
      </c>
      <c r="K6287">
        <v>27.1</v>
      </c>
      <c r="L6287">
        <v>17808</v>
      </c>
      <c r="M6287" t="s">
        <v>322</v>
      </c>
      <c r="N6287" t="str">
        <f>"44654       "</f>
        <v xml:space="preserve">44654       </v>
      </c>
      <c r="O6287">
        <v>231108</v>
      </c>
    </row>
    <row r="6288" spans="1:15" x14ac:dyDescent="0.25">
      <c r="A6288" t="s">
        <v>16</v>
      </c>
      <c r="B6288" t="s">
        <v>3221</v>
      </c>
      <c r="C6288">
        <v>16524</v>
      </c>
      <c r="D6288" t="s">
        <v>485</v>
      </c>
      <c r="E6288" t="s">
        <v>486</v>
      </c>
      <c r="F6288">
        <v>15.39</v>
      </c>
      <c r="G6288">
        <v>231128</v>
      </c>
      <c r="H6288">
        <v>4600</v>
      </c>
      <c r="I6288" t="s">
        <v>105</v>
      </c>
      <c r="J6288">
        <v>19.079999999999998</v>
      </c>
      <c r="K6288">
        <v>3.69</v>
      </c>
      <c r="L6288">
        <v>17633</v>
      </c>
      <c r="M6288" t="s">
        <v>724</v>
      </c>
      <c r="N6288" t="str">
        <f>"44837       "</f>
        <v xml:space="preserve">44837       </v>
      </c>
      <c r="O6288">
        <v>231201</v>
      </c>
    </row>
    <row r="6289" spans="1:15" x14ac:dyDescent="0.25">
      <c r="A6289" t="s">
        <v>16</v>
      </c>
      <c r="B6289" t="s">
        <v>3221</v>
      </c>
      <c r="C6289">
        <v>16738</v>
      </c>
      <c r="D6289" t="s">
        <v>485</v>
      </c>
      <c r="E6289" t="s">
        <v>486</v>
      </c>
      <c r="F6289">
        <v>17.809999999999999</v>
      </c>
      <c r="G6289">
        <v>231128</v>
      </c>
      <c r="H6289">
        <v>4600</v>
      </c>
      <c r="I6289" t="s">
        <v>105</v>
      </c>
      <c r="J6289">
        <v>22.08</v>
      </c>
      <c r="K6289">
        <v>4.2699999999999996</v>
      </c>
      <c r="L6289">
        <v>17529</v>
      </c>
      <c r="M6289" t="s">
        <v>453</v>
      </c>
      <c r="N6289" t="str">
        <f>"44836       "</f>
        <v xml:space="preserve">44836       </v>
      </c>
      <c r="O6289">
        <v>231208</v>
      </c>
    </row>
    <row r="6290" spans="1:15" x14ac:dyDescent="0.25">
      <c r="A6290" t="s">
        <v>16</v>
      </c>
      <c r="B6290" t="s">
        <v>3221</v>
      </c>
      <c r="C6290">
        <v>16869</v>
      </c>
      <c r="D6290" t="s">
        <v>485</v>
      </c>
      <c r="E6290" t="s">
        <v>486</v>
      </c>
      <c r="F6290">
        <v>32.49</v>
      </c>
      <c r="G6290">
        <v>231127</v>
      </c>
      <c r="H6290">
        <v>4600</v>
      </c>
      <c r="I6290" t="s">
        <v>105</v>
      </c>
      <c r="J6290">
        <v>40.29</v>
      </c>
      <c r="K6290">
        <v>7.8</v>
      </c>
      <c r="L6290">
        <v>17635</v>
      </c>
      <c r="M6290" t="s">
        <v>349</v>
      </c>
      <c r="N6290" t="str">
        <f>"44789       "</f>
        <v xml:space="preserve">44789       </v>
      </c>
      <c r="O6290">
        <v>231211</v>
      </c>
    </row>
    <row r="6291" spans="1:15" x14ac:dyDescent="0.25">
      <c r="A6291" t="s">
        <v>16</v>
      </c>
      <c r="B6291" t="s">
        <v>3221</v>
      </c>
      <c r="C6291">
        <v>17606</v>
      </c>
      <c r="D6291" t="s">
        <v>485</v>
      </c>
      <c r="E6291" t="s">
        <v>486</v>
      </c>
      <c r="F6291">
        <v>5.56</v>
      </c>
      <c r="G6291">
        <v>231212</v>
      </c>
      <c r="H6291">
        <v>4600</v>
      </c>
      <c r="I6291" t="s">
        <v>105</v>
      </c>
      <c r="J6291">
        <v>6.9</v>
      </c>
      <c r="K6291">
        <v>1.34</v>
      </c>
      <c r="L6291">
        <v>17525</v>
      </c>
      <c r="M6291" t="s">
        <v>135</v>
      </c>
      <c r="N6291" t="str">
        <f>"44937       "</f>
        <v xml:space="preserve">44937       </v>
      </c>
      <c r="O6291">
        <v>231215</v>
      </c>
    </row>
    <row r="6292" spans="1:15" x14ac:dyDescent="0.25">
      <c r="A6292" t="s">
        <v>16</v>
      </c>
      <c r="B6292" t="s">
        <v>3221</v>
      </c>
      <c r="C6292">
        <v>17760</v>
      </c>
      <c r="D6292" t="s">
        <v>485</v>
      </c>
      <c r="E6292" t="s">
        <v>486</v>
      </c>
      <c r="F6292">
        <v>294.27</v>
      </c>
      <c r="G6292">
        <v>231212</v>
      </c>
      <c r="H6292">
        <v>4600</v>
      </c>
      <c r="I6292" t="s">
        <v>105</v>
      </c>
      <c r="J6292">
        <v>364.9</v>
      </c>
      <c r="K6292">
        <v>70.63</v>
      </c>
      <c r="L6292">
        <v>17538</v>
      </c>
      <c r="M6292" t="s">
        <v>24</v>
      </c>
      <c r="N6292" t="str">
        <f>"44934       "</f>
        <v xml:space="preserve">44934       </v>
      </c>
      <c r="O6292">
        <v>231222</v>
      </c>
    </row>
    <row r="6293" spans="1:15" x14ac:dyDescent="0.25">
      <c r="A6293" t="s">
        <v>16</v>
      </c>
      <c r="B6293" t="s">
        <v>3221</v>
      </c>
      <c r="C6293">
        <v>17775</v>
      </c>
      <c r="D6293" t="s">
        <v>485</v>
      </c>
      <c r="E6293" t="s">
        <v>486</v>
      </c>
      <c r="F6293">
        <v>20.329999999999998</v>
      </c>
      <c r="G6293">
        <v>231212</v>
      </c>
      <c r="H6293">
        <v>4600</v>
      </c>
      <c r="I6293" t="s">
        <v>105</v>
      </c>
      <c r="J6293">
        <v>25.21</v>
      </c>
      <c r="K6293">
        <v>4.88</v>
      </c>
      <c r="L6293">
        <v>17522</v>
      </c>
      <c r="M6293" t="s">
        <v>451</v>
      </c>
      <c r="N6293" t="str">
        <f>"44939       "</f>
        <v xml:space="preserve">44939       </v>
      </c>
      <c r="O6293">
        <v>231227</v>
      </c>
    </row>
    <row r="6294" spans="1:15" x14ac:dyDescent="0.25">
      <c r="A6294" t="s">
        <v>16</v>
      </c>
      <c r="B6294" t="s">
        <v>3221</v>
      </c>
      <c r="C6294">
        <v>17776</v>
      </c>
      <c r="D6294" t="s">
        <v>485</v>
      </c>
      <c r="E6294" t="s">
        <v>486</v>
      </c>
      <c r="F6294">
        <v>70.66</v>
      </c>
      <c r="G6294">
        <v>231212</v>
      </c>
      <c r="H6294">
        <v>4600</v>
      </c>
      <c r="I6294" t="s">
        <v>105</v>
      </c>
      <c r="J6294">
        <v>87.62</v>
      </c>
      <c r="K6294">
        <v>16.96</v>
      </c>
      <c r="L6294">
        <v>17711</v>
      </c>
      <c r="M6294" t="s">
        <v>65</v>
      </c>
      <c r="N6294" t="str">
        <f>"44940       "</f>
        <v xml:space="preserve">44940       </v>
      </c>
      <c r="O6294">
        <v>231227</v>
      </c>
    </row>
    <row r="6295" spans="1:15" x14ac:dyDescent="0.25">
      <c r="A6295" t="s">
        <v>16</v>
      </c>
      <c r="B6295" t="s">
        <v>3221</v>
      </c>
      <c r="C6295">
        <v>17776</v>
      </c>
      <c r="D6295" t="s">
        <v>485</v>
      </c>
      <c r="E6295" t="s">
        <v>486</v>
      </c>
      <c r="F6295">
        <v>58.01</v>
      </c>
      <c r="G6295">
        <v>231212</v>
      </c>
      <c r="H6295">
        <v>4600</v>
      </c>
      <c r="I6295" t="s">
        <v>105</v>
      </c>
      <c r="J6295">
        <v>71.930000000000007</v>
      </c>
      <c r="K6295">
        <v>13.92</v>
      </c>
      <c r="L6295">
        <v>56565</v>
      </c>
      <c r="M6295" t="s">
        <v>758</v>
      </c>
      <c r="N6295" t="str">
        <f>"44940       "</f>
        <v xml:space="preserve">44940       </v>
      </c>
      <c r="O6295">
        <v>231227</v>
      </c>
    </row>
    <row r="6296" spans="1:15" x14ac:dyDescent="0.25">
      <c r="A6296" t="s">
        <v>16</v>
      </c>
      <c r="B6296" t="s">
        <v>3221</v>
      </c>
      <c r="C6296">
        <v>19089</v>
      </c>
      <c r="D6296" t="s">
        <v>485</v>
      </c>
      <c r="E6296" t="s">
        <v>486</v>
      </c>
      <c r="F6296">
        <v>34.299999999999997</v>
      </c>
      <c r="G6296">
        <v>231229</v>
      </c>
      <c r="H6296">
        <v>4600</v>
      </c>
      <c r="I6296" t="s">
        <v>105</v>
      </c>
      <c r="J6296">
        <v>42.53</v>
      </c>
      <c r="K6296">
        <v>8.23</v>
      </c>
      <c r="L6296">
        <v>17711</v>
      </c>
      <c r="M6296" t="s">
        <v>65</v>
      </c>
      <c r="N6296" t="str">
        <f>"45076       "</f>
        <v xml:space="preserve">45076       </v>
      </c>
      <c r="O6296">
        <v>240110</v>
      </c>
    </row>
    <row r="6297" spans="1:15" x14ac:dyDescent="0.25">
      <c r="A6297" t="s">
        <v>16</v>
      </c>
      <c r="B6297" t="s">
        <v>3221</v>
      </c>
      <c r="C6297">
        <v>10484</v>
      </c>
      <c r="D6297" t="s">
        <v>485</v>
      </c>
      <c r="E6297" t="s">
        <v>486</v>
      </c>
      <c r="F6297">
        <v>58.47</v>
      </c>
      <c r="G6297">
        <v>230815</v>
      </c>
      <c r="H6297">
        <v>4940</v>
      </c>
      <c r="I6297" t="s">
        <v>514</v>
      </c>
      <c r="J6297">
        <v>72.5</v>
      </c>
      <c r="K6297">
        <v>14.03</v>
      </c>
      <c r="L6297">
        <v>17807</v>
      </c>
      <c r="M6297" t="s">
        <v>318</v>
      </c>
      <c r="N6297" t="str">
        <f>"44071       "</f>
        <v xml:space="preserve">44071       </v>
      </c>
      <c r="O6297">
        <v>230817</v>
      </c>
    </row>
    <row r="6298" spans="1:15" x14ac:dyDescent="0.25">
      <c r="A6298" t="s">
        <v>16</v>
      </c>
      <c r="B6298" t="s">
        <v>3221</v>
      </c>
      <c r="C6298">
        <v>11520</v>
      </c>
      <c r="D6298" t="s">
        <v>485</v>
      </c>
      <c r="E6298" t="s">
        <v>486</v>
      </c>
      <c r="F6298">
        <v>58.87</v>
      </c>
      <c r="G6298">
        <v>230904</v>
      </c>
      <c r="H6298">
        <v>4940</v>
      </c>
      <c r="I6298" t="s">
        <v>514</v>
      </c>
      <c r="J6298">
        <v>73</v>
      </c>
      <c r="K6298">
        <v>14.13</v>
      </c>
      <c r="L6298">
        <v>17807</v>
      </c>
      <c r="M6298" t="s">
        <v>318</v>
      </c>
      <c r="N6298" t="str">
        <f>"44234       "</f>
        <v xml:space="preserve">44234       </v>
      </c>
      <c r="O6298">
        <v>230907</v>
      </c>
    </row>
    <row r="6299" spans="1:15" x14ac:dyDescent="0.25">
      <c r="A6299" t="s">
        <v>16</v>
      </c>
      <c r="B6299" t="s">
        <v>3221</v>
      </c>
      <c r="C6299">
        <v>6998</v>
      </c>
      <c r="D6299" t="s">
        <v>485</v>
      </c>
      <c r="E6299" t="s">
        <v>486</v>
      </c>
      <c r="F6299">
        <v>12.42</v>
      </c>
      <c r="G6299">
        <v>230516</v>
      </c>
      <c r="H6299">
        <v>4470</v>
      </c>
      <c r="I6299" t="s">
        <v>83</v>
      </c>
      <c r="J6299">
        <v>15.4</v>
      </c>
      <c r="K6299">
        <v>2.98</v>
      </c>
      <c r="L6299">
        <v>13501</v>
      </c>
      <c r="M6299" t="s">
        <v>20</v>
      </c>
      <c r="N6299" t="str">
        <f>"43413       "</f>
        <v xml:space="preserve">43413       </v>
      </c>
      <c r="O6299">
        <v>230524</v>
      </c>
    </row>
    <row r="6300" spans="1:15" x14ac:dyDescent="0.25">
      <c r="A6300" t="s">
        <v>16</v>
      </c>
      <c r="B6300" t="s">
        <v>3221</v>
      </c>
      <c r="C6300">
        <v>6998</v>
      </c>
      <c r="D6300" t="s">
        <v>485</v>
      </c>
      <c r="E6300" t="s">
        <v>486</v>
      </c>
      <c r="F6300">
        <v>100.48</v>
      </c>
      <c r="G6300">
        <v>230516</v>
      </c>
      <c r="H6300">
        <v>4470</v>
      </c>
      <c r="I6300" t="s">
        <v>83</v>
      </c>
      <c r="J6300">
        <v>124.6</v>
      </c>
      <c r="K6300">
        <v>24.12</v>
      </c>
      <c r="L6300">
        <v>17538</v>
      </c>
      <c r="M6300" t="s">
        <v>24</v>
      </c>
      <c r="N6300" t="str">
        <f>"43413       "</f>
        <v xml:space="preserve">43413       </v>
      </c>
      <c r="O6300">
        <v>230524</v>
      </c>
    </row>
    <row r="6301" spans="1:15" x14ac:dyDescent="0.25">
      <c r="A6301" t="s">
        <v>16</v>
      </c>
      <c r="B6301" t="s">
        <v>3221</v>
      </c>
      <c r="C6301">
        <v>3085</v>
      </c>
      <c r="D6301" t="s">
        <v>485</v>
      </c>
      <c r="E6301" t="s">
        <v>486</v>
      </c>
      <c r="F6301">
        <v>38.06</v>
      </c>
      <c r="G6301">
        <v>230228</v>
      </c>
      <c r="H6301">
        <v>4560</v>
      </c>
      <c r="I6301" t="s">
        <v>345</v>
      </c>
      <c r="J6301">
        <v>47.2</v>
      </c>
      <c r="K6301">
        <v>9.14</v>
      </c>
      <c r="L6301">
        <v>17971</v>
      </c>
      <c r="M6301" t="s">
        <v>138</v>
      </c>
      <c r="N6301" t="str">
        <f>"42955       "</f>
        <v xml:space="preserve">42955       </v>
      </c>
      <c r="O6301">
        <v>230309</v>
      </c>
    </row>
    <row r="6302" spans="1:15" x14ac:dyDescent="0.25">
      <c r="A6302" t="s">
        <v>16</v>
      </c>
      <c r="B6302" t="s">
        <v>3221</v>
      </c>
      <c r="C6302">
        <v>10930</v>
      </c>
      <c r="D6302" t="s">
        <v>485</v>
      </c>
      <c r="E6302" t="s">
        <v>486</v>
      </c>
      <c r="F6302">
        <v>15.24</v>
      </c>
      <c r="G6302">
        <v>230815</v>
      </c>
      <c r="H6302">
        <v>4364</v>
      </c>
      <c r="I6302" t="s">
        <v>296</v>
      </c>
      <c r="J6302">
        <v>18.899999999999999</v>
      </c>
      <c r="K6302">
        <v>3.66</v>
      </c>
      <c r="L6302">
        <v>13601</v>
      </c>
      <c r="M6302" t="s">
        <v>147</v>
      </c>
      <c r="N6302" t="str">
        <f>"44070       "</f>
        <v xml:space="preserve">44070       </v>
      </c>
      <c r="O6302">
        <v>230825</v>
      </c>
    </row>
    <row r="6303" spans="1:15" x14ac:dyDescent="0.25">
      <c r="A6303" t="s">
        <v>16</v>
      </c>
      <c r="B6303" t="s">
        <v>3221</v>
      </c>
      <c r="C6303">
        <v>14021</v>
      </c>
      <c r="D6303" t="s">
        <v>485</v>
      </c>
      <c r="E6303" t="s">
        <v>486</v>
      </c>
      <c r="F6303">
        <v>26.61</v>
      </c>
      <c r="G6303">
        <v>231009</v>
      </c>
      <c r="H6303">
        <v>4364</v>
      </c>
      <c r="I6303" t="s">
        <v>296</v>
      </c>
      <c r="J6303">
        <v>33</v>
      </c>
      <c r="K6303">
        <v>6.39</v>
      </c>
      <c r="L6303">
        <v>17524</v>
      </c>
      <c r="M6303" t="s">
        <v>452</v>
      </c>
      <c r="N6303" t="str">
        <f>"44440       "</f>
        <v xml:space="preserve">44440       </v>
      </c>
      <c r="O6303">
        <v>231017</v>
      </c>
    </row>
    <row r="6304" spans="1:15" x14ac:dyDescent="0.25">
      <c r="A6304" t="s">
        <v>16</v>
      </c>
      <c r="B6304" t="s">
        <v>3221</v>
      </c>
      <c r="C6304">
        <v>17591</v>
      </c>
      <c r="D6304" t="s">
        <v>485</v>
      </c>
      <c r="E6304" t="s">
        <v>486</v>
      </c>
      <c r="F6304">
        <v>24.03</v>
      </c>
      <c r="G6304">
        <v>231212</v>
      </c>
      <c r="H6304">
        <v>4380</v>
      </c>
      <c r="I6304" t="s">
        <v>113</v>
      </c>
      <c r="J6304">
        <v>29.8</v>
      </c>
      <c r="K6304">
        <v>5.77</v>
      </c>
      <c r="L6304">
        <v>17538</v>
      </c>
      <c r="M6304" t="s">
        <v>24</v>
      </c>
      <c r="N6304" t="str">
        <f>"44938       "</f>
        <v xml:space="preserve">44938       </v>
      </c>
      <c r="O6304">
        <v>231215</v>
      </c>
    </row>
    <row r="6305" spans="1:15" x14ac:dyDescent="0.25">
      <c r="A6305" t="s">
        <v>16</v>
      </c>
      <c r="B6305" t="s">
        <v>3221</v>
      </c>
      <c r="C6305">
        <v>2036</v>
      </c>
      <c r="D6305" t="s">
        <v>485</v>
      </c>
      <c r="E6305" t="s">
        <v>486</v>
      </c>
      <c r="F6305">
        <v>2.4700000000000002</v>
      </c>
      <c r="G6305">
        <v>230130</v>
      </c>
      <c r="H6305">
        <v>4590</v>
      </c>
      <c r="I6305" t="s">
        <v>203</v>
      </c>
      <c r="J6305">
        <v>3.06</v>
      </c>
      <c r="K6305">
        <v>0.59</v>
      </c>
      <c r="L6305">
        <v>17711</v>
      </c>
      <c r="M6305" t="s">
        <v>65</v>
      </c>
      <c r="N6305" t="str">
        <f>"42781       "</f>
        <v xml:space="preserve">42781       </v>
      </c>
      <c r="O6305">
        <v>230217</v>
      </c>
    </row>
    <row r="6306" spans="1:15" x14ac:dyDescent="0.25">
      <c r="A6306" t="s">
        <v>16</v>
      </c>
      <c r="B6306" t="s">
        <v>3221</v>
      </c>
      <c r="C6306">
        <v>1807</v>
      </c>
      <c r="D6306" t="s">
        <v>485</v>
      </c>
      <c r="E6306" t="s">
        <v>486</v>
      </c>
      <c r="F6306">
        <v>520.16</v>
      </c>
      <c r="G6306">
        <v>230206</v>
      </c>
      <c r="H6306">
        <v>4530</v>
      </c>
      <c r="I6306" t="s">
        <v>342</v>
      </c>
      <c r="J6306">
        <v>645</v>
      </c>
      <c r="K6306">
        <v>124.84</v>
      </c>
      <c r="L6306">
        <v>17527</v>
      </c>
      <c r="M6306" t="s">
        <v>422</v>
      </c>
      <c r="N6306" t="str">
        <f>"42816       "</f>
        <v xml:space="preserve">42816       </v>
      </c>
      <c r="O6306">
        <v>230214</v>
      </c>
    </row>
    <row r="6307" spans="1:15" x14ac:dyDescent="0.25">
      <c r="A6307" t="s">
        <v>16</v>
      </c>
      <c r="B6307" t="s">
        <v>3221</v>
      </c>
      <c r="C6307">
        <v>11965</v>
      </c>
      <c r="D6307" t="s">
        <v>1540</v>
      </c>
      <c r="E6307" t="s">
        <v>2529</v>
      </c>
      <c r="F6307">
        <v>3542.86</v>
      </c>
      <c r="G6307">
        <v>230908</v>
      </c>
      <c r="H6307">
        <v>4580</v>
      </c>
      <c r="I6307" t="s">
        <v>35</v>
      </c>
      <c r="J6307">
        <v>4393.1499999999996</v>
      </c>
      <c r="K6307">
        <v>850.29</v>
      </c>
      <c r="L6307">
        <v>17805</v>
      </c>
      <c r="M6307" t="s">
        <v>102</v>
      </c>
      <c r="N6307" t="str">
        <f>"2303002400  "</f>
        <v xml:space="preserve">2303002400  </v>
      </c>
      <c r="O6307">
        <v>230912</v>
      </c>
    </row>
    <row r="6308" spans="1:15" x14ac:dyDescent="0.25">
      <c r="A6308" t="s">
        <v>16</v>
      </c>
      <c r="B6308" t="s">
        <v>3221</v>
      </c>
      <c r="C6308">
        <v>3301</v>
      </c>
      <c r="D6308" t="s">
        <v>1540</v>
      </c>
      <c r="E6308" t="s">
        <v>2529</v>
      </c>
      <c r="F6308">
        <v>92.44</v>
      </c>
      <c r="G6308">
        <v>230308</v>
      </c>
      <c r="H6308">
        <v>4600</v>
      </c>
      <c r="I6308" t="s">
        <v>105</v>
      </c>
      <c r="J6308">
        <v>114.62</v>
      </c>
      <c r="K6308">
        <v>22.18</v>
      </c>
      <c r="L6308">
        <v>13401</v>
      </c>
      <c r="M6308" t="s">
        <v>80</v>
      </c>
      <c r="N6308" t="str">
        <f>"2303000704  "</f>
        <v xml:space="preserve">2303000704  </v>
      </c>
      <c r="O6308">
        <v>230314</v>
      </c>
    </row>
    <row r="6309" spans="1:15" x14ac:dyDescent="0.25">
      <c r="A6309" t="s">
        <v>16</v>
      </c>
      <c r="B6309" t="s">
        <v>3221</v>
      </c>
      <c r="C6309">
        <v>8847</v>
      </c>
      <c r="D6309" t="s">
        <v>2216</v>
      </c>
      <c r="E6309" t="s">
        <v>2217</v>
      </c>
      <c r="F6309">
        <v>240.01</v>
      </c>
      <c r="G6309">
        <v>230613</v>
      </c>
      <c r="H6309">
        <v>4400</v>
      </c>
      <c r="I6309" t="s">
        <v>348</v>
      </c>
      <c r="J6309">
        <v>297.61</v>
      </c>
      <c r="K6309">
        <v>57.6</v>
      </c>
      <c r="L6309">
        <v>66754</v>
      </c>
      <c r="M6309" t="s">
        <v>239</v>
      </c>
      <c r="N6309" t="str">
        <f>"10786       "</f>
        <v xml:space="preserve">10786       </v>
      </c>
      <c r="O6309">
        <v>230619</v>
      </c>
    </row>
    <row r="6310" spans="1:15" x14ac:dyDescent="0.25">
      <c r="A6310" t="s">
        <v>16</v>
      </c>
      <c r="B6310" t="s">
        <v>3221</v>
      </c>
      <c r="C6310">
        <v>13142</v>
      </c>
      <c r="D6310" t="s">
        <v>2216</v>
      </c>
      <c r="E6310" t="s">
        <v>2217</v>
      </c>
      <c r="F6310">
        <v>103.2</v>
      </c>
      <c r="G6310">
        <v>230929</v>
      </c>
      <c r="H6310">
        <v>4600</v>
      </c>
      <c r="I6310" t="s">
        <v>105</v>
      </c>
      <c r="J6310">
        <v>127.97</v>
      </c>
      <c r="K6310">
        <v>24.77</v>
      </c>
      <c r="L6310">
        <v>66754</v>
      </c>
      <c r="M6310" t="s">
        <v>239</v>
      </c>
      <c r="N6310" t="str">
        <f>"10955       "</f>
        <v xml:space="preserve">10955       </v>
      </c>
      <c r="O6310">
        <v>231004</v>
      </c>
    </row>
    <row r="6311" spans="1:15" x14ac:dyDescent="0.25">
      <c r="A6311" t="s">
        <v>16</v>
      </c>
      <c r="B6311" t="s">
        <v>3221</v>
      </c>
      <c r="C6311">
        <v>3763</v>
      </c>
      <c r="D6311" t="s">
        <v>469</v>
      </c>
      <c r="E6311" t="s">
        <v>470</v>
      </c>
      <c r="F6311">
        <v>24.57</v>
      </c>
      <c r="G6311">
        <v>230320</v>
      </c>
      <c r="H6311">
        <v>4580</v>
      </c>
      <c r="I6311" t="s">
        <v>35</v>
      </c>
      <c r="J6311">
        <v>30.47</v>
      </c>
      <c r="K6311">
        <v>5.9</v>
      </c>
      <c r="L6311">
        <v>17951</v>
      </c>
      <c r="M6311" t="s">
        <v>87</v>
      </c>
      <c r="N6311" t="str">
        <f>"5237153233  "</f>
        <v xml:space="preserve">5237153233  </v>
      </c>
      <c r="O6311">
        <v>230321</v>
      </c>
    </row>
    <row r="6312" spans="1:15" x14ac:dyDescent="0.25">
      <c r="A6312" t="s">
        <v>16</v>
      </c>
      <c r="B6312" t="s">
        <v>3221</v>
      </c>
      <c r="C6312">
        <v>336</v>
      </c>
      <c r="D6312" t="s">
        <v>469</v>
      </c>
      <c r="E6312" t="s">
        <v>470</v>
      </c>
      <c r="F6312">
        <v>208.87</v>
      </c>
      <c r="G6312">
        <v>230116</v>
      </c>
      <c r="H6312">
        <v>4600</v>
      </c>
      <c r="I6312" t="s">
        <v>105</v>
      </c>
      <c r="J6312">
        <v>259</v>
      </c>
      <c r="K6312">
        <v>50.13</v>
      </c>
      <c r="L6312">
        <v>17807</v>
      </c>
      <c r="M6312" t="s">
        <v>318</v>
      </c>
      <c r="N6312" t="str">
        <f>"5236991681  "</f>
        <v xml:space="preserve">5236991681  </v>
      </c>
      <c r="O6312">
        <v>230118</v>
      </c>
    </row>
    <row r="6313" spans="1:15" x14ac:dyDescent="0.25">
      <c r="A6313" t="s">
        <v>16</v>
      </c>
      <c r="B6313" t="s">
        <v>3221</v>
      </c>
      <c r="C6313">
        <v>1341</v>
      </c>
      <c r="D6313" t="s">
        <v>469</v>
      </c>
      <c r="E6313" t="s">
        <v>470</v>
      </c>
      <c r="F6313">
        <v>69.349999999999994</v>
      </c>
      <c r="G6313">
        <v>230130</v>
      </c>
      <c r="H6313">
        <v>4600</v>
      </c>
      <c r="I6313" t="s">
        <v>105</v>
      </c>
      <c r="J6313">
        <v>85.99</v>
      </c>
      <c r="K6313">
        <v>16.64</v>
      </c>
      <c r="L6313">
        <v>17807</v>
      </c>
      <c r="M6313" t="s">
        <v>318</v>
      </c>
      <c r="N6313" t="str">
        <f>"5237025215  "</f>
        <v xml:space="preserve">5237025215  </v>
      </c>
      <c r="O6313">
        <v>230208</v>
      </c>
    </row>
    <row r="6314" spans="1:15" x14ac:dyDescent="0.25">
      <c r="A6314" t="s">
        <v>16</v>
      </c>
      <c r="B6314" t="s">
        <v>3221</v>
      </c>
      <c r="C6314">
        <v>1805</v>
      </c>
      <c r="D6314" t="s">
        <v>469</v>
      </c>
      <c r="E6314" t="s">
        <v>470</v>
      </c>
      <c r="F6314">
        <v>79.8</v>
      </c>
      <c r="G6314">
        <v>230206</v>
      </c>
      <c r="H6314">
        <v>4600</v>
      </c>
      <c r="I6314" t="s">
        <v>105</v>
      </c>
      <c r="J6314">
        <v>98.95</v>
      </c>
      <c r="K6314">
        <v>19.149999999999999</v>
      </c>
      <c r="L6314">
        <v>17527</v>
      </c>
      <c r="M6314" t="s">
        <v>422</v>
      </c>
      <c r="N6314" t="str">
        <f>"5237047443  "</f>
        <v xml:space="preserve">5237047443  </v>
      </c>
      <c r="O6314">
        <v>230214</v>
      </c>
    </row>
    <row r="6315" spans="1:15" x14ac:dyDescent="0.25">
      <c r="A6315" t="s">
        <v>16</v>
      </c>
      <c r="B6315" t="s">
        <v>3221</v>
      </c>
      <c r="C6315">
        <v>3763</v>
      </c>
      <c r="D6315" t="s">
        <v>469</v>
      </c>
      <c r="E6315" t="s">
        <v>470</v>
      </c>
      <c r="F6315">
        <v>6.41</v>
      </c>
      <c r="G6315">
        <v>230320</v>
      </c>
      <c r="H6315">
        <v>4600</v>
      </c>
      <c r="I6315" t="s">
        <v>105</v>
      </c>
      <c r="J6315">
        <v>7.95</v>
      </c>
      <c r="K6315">
        <v>1.54</v>
      </c>
      <c r="L6315">
        <v>17951</v>
      </c>
      <c r="M6315" t="s">
        <v>87</v>
      </c>
      <c r="N6315" t="str">
        <f>"5237153233  "</f>
        <v xml:space="preserve">5237153233  </v>
      </c>
      <c r="O6315">
        <v>230321</v>
      </c>
    </row>
    <row r="6316" spans="1:15" x14ac:dyDescent="0.25">
      <c r="A6316" t="s">
        <v>16</v>
      </c>
      <c r="B6316" t="s">
        <v>3221</v>
      </c>
      <c r="C6316">
        <v>5609</v>
      </c>
      <c r="D6316" t="s">
        <v>469</v>
      </c>
      <c r="E6316" t="s">
        <v>470</v>
      </c>
      <c r="F6316">
        <v>36.21</v>
      </c>
      <c r="G6316">
        <v>230424</v>
      </c>
      <c r="H6316">
        <v>4600</v>
      </c>
      <c r="I6316" t="s">
        <v>105</v>
      </c>
      <c r="J6316">
        <v>44.9</v>
      </c>
      <c r="K6316">
        <v>8.69</v>
      </c>
      <c r="L6316">
        <v>17527</v>
      </c>
      <c r="M6316" t="s">
        <v>422</v>
      </c>
      <c r="N6316" t="str">
        <f>"5237245787  "</f>
        <v xml:space="preserve">5237245787  </v>
      </c>
      <c r="O6316">
        <v>230428</v>
      </c>
    </row>
    <row r="6317" spans="1:15" x14ac:dyDescent="0.25">
      <c r="A6317" t="s">
        <v>16</v>
      </c>
      <c r="B6317" t="s">
        <v>3221</v>
      </c>
      <c r="C6317">
        <v>6992</v>
      </c>
      <c r="D6317" t="s">
        <v>469</v>
      </c>
      <c r="E6317" t="s">
        <v>470</v>
      </c>
      <c r="F6317">
        <v>31.79</v>
      </c>
      <c r="G6317">
        <v>230515</v>
      </c>
      <c r="H6317">
        <v>4600</v>
      </c>
      <c r="I6317" t="s">
        <v>105</v>
      </c>
      <c r="J6317">
        <v>39.42</v>
      </c>
      <c r="K6317">
        <v>7.63</v>
      </c>
      <c r="L6317">
        <v>17527</v>
      </c>
      <c r="M6317" t="s">
        <v>422</v>
      </c>
      <c r="N6317" t="str">
        <f>"5237318365  "</f>
        <v xml:space="preserve">5237318365  </v>
      </c>
      <c r="O6317">
        <v>230524</v>
      </c>
    </row>
    <row r="6318" spans="1:15" x14ac:dyDescent="0.25">
      <c r="A6318" t="s">
        <v>16</v>
      </c>
      <c r="B6318" t="s">
        <v>3221</v>
      </c>
      <c r="C6318">
        <v>7787</v>
      </c>
      <c r="D6318" t="s">
        <v>469</v>
      </c>
      <c r="E6318" t="s">
        <v>470</v>
      </c>
      <c r="F6318">
        <v>128.47</v>
      </c>
      <c r="G6318">
        <v>230531</v>
      </c>
      <c r="H6318">
        <v>4600</v>
      </c>
      <c r="I6318" t="s">
        <v>105</v>
      </c>
      <c r="J6318">
        <v>159.30000000000001</v>
      </c>
      <c r="K6318">
        <v>30.83</v>
      </c>
      <c r="L6318">
        <v>17638</v>
      </c>
      <c r="M6318" t="s">
        <v>765</v>
      </c>
      <c r="N6318" t="str">
        <f>"5237386149  "</f>
        <v xml:space="preserve">5237386149  </v>
      </c>
      <c r="O6318">
        <v>230602</v>
      </c>
    </row>
    <row r="6319" spans="1:15" x14ac:dyDescent="0.25">
      <c r="A6319" t="s">
        <v>16</v>
      </c>
      <c r="B6319" t="s">
        <v>3221</v>
      </c>
      <c r="C6319">
        <v>11101</v>
      </c>
      <c r="D6319" t="s">
        <v>469</v>
      </c>
      <c r="E6319" t="s">
        <v>470</v>
      </c>
      <c r="F6319">
        <v>33.92</v>
      </c>
      <c r="G6319">
        <v>230828</v>
      </c>
      <c r="H6319">
        <v>4600</v>
      </c>
      <c r="I6319" t="s">
        <v>105</v>
      </c>
      <c r="J6319">
        <v>42.06</v>
      </c>
      <c r="K6319">
        <v>8.14</v>
      </c>
      <c r="L6319">
        <v>17807</v>
      </c>
      <c r="M6319" t="s">
        <v>318</v>
      </c>
      <c r="N6319" t="str">
        <f>"5237689426  "</f>
        <v xml:space="preserve">5237689426  </v>
      </c>
      <c r="O6319">
        <v>230830</v>
      </c>
    </row>
    <row r="6320" spans="1:15" x14ac:dyDescent="0.25">
      <c r="A6320" t="s">
        <v>16</v>
      </c>
      <c r="B6320" t="s">
        <v>3221</v>
      </c>
      <c r="C6320">
        <v>11438</v>
      </c>
      <c r="D6320" t="s">
        <v>469</v>
      </c>
      <c r="E6320" t="s">
        <v>470</v>
      </c>
      <c r="F6320">
        <v>67.849999999999994</v>
      </c>
      <c r="G6320">
        <v>230831</v>
      </c>
      <c r="H6320">
        <v>4600</v>
      </c>
      <c r="I6320" t="s">
        <v>105</v>
      </c>
      <c r="J6320">
        <v>84.13</v>
      </c>
      <c r="K6320">
        <v>16.28</v>
      </c>
      <c r="L6320">
        <v>17807</v>
      </c>
      <c r="M6320" t="s">
        <v>318</v>
      </c>
      <c r="N6320" t="str">
        <f>"5237708711  "</f>
        <v xml:space="preserve">5237708711  </v>
      </c>
      <c r="O6320">
        <v>230905</v>
      </c>
    </row>
    <row r="6321" spans="1:15" x14ac:dyDescent="0.25">
      <c r="A6321" t="s">
        <v>16</v>
      </c>
      <c r="B6321" t="s">
        <v>3221</v>
      </c>
      <c r="C6321">
        <v>1031</v>
      </c>
      <c r="D6321" t="s">
        <v>469</v>
      </c>
      <c r="E6321" t="s">
        <v>470</v>
      </c>
      <c r="F6321">
        <v>609.69000000000005</v>
      </c>
      <c r="G6321">
        <v>230131</v>
      </c>
      <c r="H6321">
        <v>4590</v>
      </c>
      <c r="I6321" t="s">
        <v>203</v>
      </c>
      <c r="J6321">
        <v>756.02</v>
      </c>
      <c r="K6321">
        <v>146.33000000000001</v>
      </c>
      <c r="L6321">
        <v>17806</v>
      </c>
      <c r="M6321" t="s">
        <v>265</v>
      </c>
      <c r="N6321" t="str">
        <f>"5237034032  "</f>
        <v xml:space="preserve">5237034032  </v>
      </c>
      <c r="O6321">
        <v>230202</v>
      </c>
    </row>
    <row r="6322" spans="1:15" x14ac:dyDescent="0.25">
      <c r="A6322" t="s">
        <v>16</v>
      </c>
      <c r="B6322" t="s">
        <v>3221</v>
      </c>
      <c r="C6322">
        <v>3373</v>
      </c>
      <c r="D6322" t="s">
        <v>469</v>
      </c>
      <c r="E6322" t="s">
        <v>470</v>
      </c>
      <c r="F6322">
        <v>116.31</v>
      </c>
      <c r="G6322">
        <v>230313</v>
      </c>
      <c r="H6322">
        <v>4590</v>
      </c>
      <c r="I6322" t="s">
        <v>203</v>
      </c>
      <c r="J6322">
        <v>144.22</v>
      </c>
      <c r="K6322">
        <v>27.91</v>
      </c>
      <c r="L6322">
        <v>17806</v>
      </c>
      <c r="M6322" t="s">
        <v>265</v>
      </c>
      <c r="N6322" t="str">
        <f>"5237135007  "</f>
        <v xml:space="preserve">5237135007  </v>
      </c>
      <c r="O6322">
        <v>230315</v>
      </c>
    </row>
    <row r="6323" spans="1:15" x14ac:dyDescent="0.25">
      <c r="A6323" t="s">
        <v>16</v>
      </c>
      <c r="B6323" t="s">
        <v>3221</v>
      </c>
      <c r="C6323">
        <v>4099</v>
      </c>
      <c r="D6323" t="s">
        <v>469</v>
      </c>
      <c r="E6323" t="s">
        <v>470</v>
      </c>
      <c r="F6323">
        <v>17.100000000000001</v>
      </c>
      <c r="G6323">
        <v>230327</v>
      </c>
      <c r="H6323">
        <v>4590</v>
      </c>
      <c r="I6323" t="s">
        <v>203</v>
      </c>
      <c r="J6323">
        <v>21.21</v>
      </c>
      <c r="K6323">
        <v>4.1100000000000003</v>
      </c>
      <c r="L6323">
        <v>17806</v>
      </c>
      <c r="M6323" t="s">
        <v>265</v>
      </c>
      <c r="N6323" t="str">
        <f>"5237169892  "</f>
        <v xml:space="preserve">5237169892  </v>
      </c>
      <c r="O6323">
        <v>230330</v>
      </c>
    </row>
    <row r="6324" spans="1:15" x14ac:dyDescent="0.25">
      <c r="A6324" t="s">
        <v>16</v>
      </c>
      <c r="B6324" t="s">
        <v>3221</v>
      </c>
      <c r="C6324">
        <v>4748</v>
      </c>
      <c r="D6324" t="s">
        <v>469</v>
      </c>
      <c r="E6324" t="s">
        <v>470</v>
      </c>
      <c r="F6324">
        <v>82.38</v>
      </c>
      <c r="G6324">
        <v>230403</v>
      </c>
      <c r="H6324">
        <v>4590</v>
      </c>
      <c r="I6324" t="s">
        <v>203</v>
      </c>
      <c r="J6324">
        <v>102.15</v>
      </c>
      <c r="K6324">
        <v>19.77</v>
      </c>
      <c r="L6324">
        <v>17806</v>
      </c>
      <c r="M6324" t="s">
        <v>265</v>
      </c>
      <c r="N6324" t="str">
        <f>"5237192765  "</f>
        <v xml:space="preserve">5237192765  </v>
      </c>
      <c r="O6324">
        <v>230412</v>
      </c>
    </row>
    <row r="6325" spans="1:15" x14ac:dyDescent="0.25">
      <c r="A6325" t="s">
        <v>16</v>
      </c>
      <c r="B6325" t="s">
        <v>3221</v>
      </c>
      <c r="C6325">
        <v>12446</v>
      </c>
      <c r="D6325" t="s">
        <v>469</v>
      </c>
      <c r="E6325" t="s">
        <v>470</v>
      </c>
      <c r="F6325">
        <v>59.33</v>
      </c>
      <c r="G6325">
        <v>230918</v>
      </c>
      <c r="H6325">
        <v>4590</v>
      </c>
      <c r="I6325" t="s">
        <v>203</v>
      </c>
      <c r="J6325">
        <v>73.569999999999993</v>
      </c>
      <c r="K6325">
        <v>14.24</v>
      </c>
      <c r="L6325">
        <v>17806</v>
      </c>
      <c r="M6325" t="s">
        <v>265</v>
      </c>
      <c r="N6325" t="str">
        <f>"5237764818  "</f>
        <v xml:space="preserve">5237764818  </v>
      </c>
      <c r="O6325">
        <v>230920</v>
      </c>
    </row>
    <row r="6326" spans="1:15" x14ac:dyDescent="0.25">
      <c r="A6326" t="s">
        <v>16</v>
      </c>
      <c r="B6326" t="s">
        <v>3221</v>
      </c>
      <c r="C6326">
        <v>14762</v>
      </c>
      <c r="D6326" t="s">
        <v>469</v>
      </c>
      <c r="E6326" t="s">
        <v>470</v>
      </c>
      <c r="F6326">
        <v>9.91</v>
      </c>
      <c r="G6326">
        <v>231023</v>
      </c>
      <c r="H6326">
        <v>4590</v>
      </c>
      <c r="I6326" t="s">
        <v>203</v>
      </c>
      <c r="J6326">
        <v>12.29</v>
      </c>
      <c r="K6326">
        <v>2.38</v>
      </c>
      <c r="L6326">
        <v>13540</v>
      </c>
      <c r="M6326" t="s">
        <v>85</v>
      </c>
      <c r="N6326" t="str">
        <f>"5237876405  "</f>
        <v xml:space="preserve">5237876405  </v>
      </c>
      <c r="O6326">
        <v>231106</v>
      </c>
    </row>
    <row r="6327" spans="1:15" x14ac:dyDescent="0.25">
      <c r="A6327" t="s">
        <v>16</v>
      </c>
      <c r="B6327" t="s">
        <v>3221</v>
      </c>
      <c r="C6327">
        <v>14762</v>
      </c>
      <c r="D6327" t="s">
        <v>469</v>
      </c>
      <c r="E6327" t="s">
        <v>470</v>
      </c>
      <c r="F6327">
        <v>80.19</v>
      </c>
      <c r="G6327">
        <v>231023</v>
      </c>
      <c r="H6327">
        <v>4590</v>
      </c>
      <c r="I6327" t="s">
        <v>203</v>
      </c>
      <c r="J6327">
        <v>99.43</v>
      </c>
      <c r="K6327">
        <v>19.239999999999998</v>
      </c>
      <c r="L6327">
        <v>17950</v>
      </c>
      <c r="M6327" t="s">
        <v>86</v>
      </c>
      <c r="N6327" t="str">
        <f>"5237876405  "</f>
        <v xml:space="preserve">5237876405  </v>
      </c>
      <c r="O6327">
        <v>231106</v>
      </c>
    </row>
    <row r="6328" spans="1:15" x14ac:dyDescent="0.25">
      <c r="A6328" t="s">
        <v>16</v>
      </c>
      <c r="B6328" t="s">
        <v>3221</v>
      </c>
      <c r="C6328">
        <v>16467</v>
      </c>
      <c r="D6328" t="s">
        <v>469</v>
      </c>
      <c r="E6328" t="s">
        <v>470</v>
      </c>
      <c r="F6328">
        <v>114.7</v>
      </c>
      <c r="G6328">
        <v>231120</v>
      </c>
      <c r="H6328">
        <v>4590</v>
      </c>
      <c r="I6328" t="s">
        <v>203</v>
      </c>
      <c r="J6328">
        <v>142.22999999999999</v>
      </c>
      <c r="K6328">
        <v>27.53</v>
      </c>
      <c r="L6328">
        <v>17711</v>
      </c>
      <c r="M6328" t="s">
        <v>65</v>
      </c>
      <c r="N6328" t="str">
        <f>"5237961281  "</f>
        <v xml:space="preserve">5237961281  </v>
      </c>
      <c r="O6328">
        <v>231201</v>
      </c>
    </row>
    <row r="6329" spans="1:15" x14ac:dyDescent="0.25">
      <c r="A6329" t="s">
        <v>16</v>
      </c>
      <c r="B6329" t="s">
        <v>3221</v>
      </c>
      <c r="C6329">
        <v>6317</v>
      </c>
      <c r="D6329" t="s">
        <v>1954</v>
      </c>
      <c r="E6329" t="s">
        <v>1955</v>
      </c>
      <c r="F6329">
        <v>321.05</v>
      </c>
      <c r="G6329">
        <v>230430</v>
      </c>
      <c r="H6329">
        <v>4420</v>
      </c>
      <c r="I6329" t="s">
        <v>132</v>
      </c>
      <c r="J6329">
        <v>321.05</v>
      </c>
      <c r="K6329">
        <v>0</v>
      </c>
      <c r="L6329">
        <v>69702</v>
      </c>
      <c r="M6329" t="s">
        <v>489</v>
      </c>
      <c r="N6329" t="str">
        <f>"602304005   "</f>
        <v xml:space="preserve">602304005   </v>
      </c>
      <c r="O6329">
        <v>230510</v>
      </c>
    </row>
    <row r="6330" spans="1:15" x14ac:dyDescent="0.25">
      <c r="A6330" t="s">
        <v>16</v>
      </c>
      <c r="B6330" t="s">
        <v>3221</v>
      </c>
      <c r="C6330">
        <v>3680</v>
      </c>
      <c r="D6330" t="s">
        <v>1594</v>
      </c>
      <c r="E6330" t="s">
        <v>1595</v>
      </c>
      <c r="F6330">
        <v>992</v>
      </c>
      <c r="G6330">
        <v>230320</v>
      </c>
      <c r="H6330">
        <v>4390</v>
      </c>
      <c r="I6330" t="s">
        <v>98</v>
      </c>
      <c r="J6330">
        <v>1230.08</v>
      </c>
      <c r="K6330">
        <v>238.08</v>
      </c>
      <c r="L6330">
        <v>17951</v>
      </c>
      <c r="M6330" t="s">
        <v>87</v>
      </c>
      <c r="N6330" t="str">
        <f>"1145        "</f>
        <v xml:space="preserve">1145        </v>
      </c>
      <c r="O6330">
        <v>230321</v>
      </c>
    </row>
    <row r="6331" spans="1:15" x14ac:dyDescent="0.25">
      <c r="A6331" t="s">
        <v>16</v>
      </c>
      <c r="B6331" t="s">
        <v>3221</v>
      </c>
      <c r="C6331">
        <v>2834</v>
      </c>
      <c r="D6331" t="s">
        <v>1480</v>
      </c>
      <c r="E6331" t="s">
        <v>1481</v>
      </c>
      <c r="F6331">
        <v>347.26</v>
      </c>
      <c r="G6331">
        <v>230216</v>
      </c>
      <c r="H6331">
        <v>4600</v>
      </c>
      <c r="I6331" t="s">
        <v>105</v>
      </c>
      <c r="J6331">
        <v>430.6</v>
      </c>
      <c r="K6331">
        <v>83.34</v>
      </c>
      <c r="L6331">
        <v>17525</v>
      </c>
      <c r="M6331" t="s">
        <v>135</v>
      </c>
      <c r="N6331" t="str">
        <f>"1000180     "</f>
        <v xml:space="preserve">1000180     </v>
      </c>
      <c r="O6331">
        <v>230308</v>
      </c>
    </row>
    <row r="6332" spans="1:15" x14ac:dyDescent="0.25">
      <c r="A6332" t="s">
        <v>16</v>
      </c>
      <c r="B6332" t="s">
        <v>3221</v>
      </c>
      <c r="C6332">
        <v>2834</v>
      </c>
      <c r="D6332" t="s">
        <v>1480</v>
      </c>
      <c r="E6332" t="s">
        <v>1481</v>
      </c>
      <c r="F6332">
        <v>106.2</v>
      </c>
      <c r="G6332">
        <v>230216</v>
      </c>
      <c r="H6332">
        <v>4600</v>
      </c>
      <c r="I6332" t="s">
        <v>105</v>
      </c>
      <c r="J6332">
        <v>131.69</v>
      </c>
      <c r="K6332">
        <v>25.49</v>
      </c>
      <c r="L6332">
        <v>17529</v>
      </c>
      <c r="M6332" t="s">
        <v>453</v>
      </c>
      <c r="N6332" t="str">
        <f>"1000180     "</f>
        <v xml:space="preserve">1000180     </v>
      </c>
      <c r="O6332">
        <v>230308</v>
      </c>
    </row>
    <row r="6333" spans="1:15" x14ac:dyDescent="0.25">
      <c r="A6333" t="s">
        <v>16</v>
      </c>
      <c r="B6333" t="s">
        <v>3221</v>
      </c>
      <c r="C6333">
        <v>11265</v>
      </c>
      <c r="D6333" t="s">
        <v>1480</v>
      </c>
      <c r="E6333" t="s">
        <v>1481</v>
      </c>
      <c r="F6333">
        <v>319.36</v>
      </c>
      <c r="G6333">
        <v>230818</v>
      </c>
      <c r="H6333">
        <v>4600</v>
      </c>
      <c r="I6333" t="s">
        <v>105</v>
      </c>
      <c r="J6333">
        <v>396.01</v>
      </c>
      <c r="K6333">
        <v>76.650000000000006</v>
      </c>
      <c r="L6333">
        <v>17525</v>
      </c>
      <c r="M6333" t="s">
        <v>135</v>
      </c>
      <c r="N6333" t="str">
        <f>"1000214     "</f>
        <v xml:space="preserve">1000214     </v>
      </c>
      <c r="O6333">
        <v>230904</v>
      </c>
    </row>
    <row r="6334" spans="1:15" x14ac:dyDescent="0.25">
      <c r="A6334" t="s">
        <v>16</v>
      </c>
      <c r="B6334" t="s">
        <v>3221</v>
      </c>
      <c r="C6334">
        <v>13072</v>
      </c>
      <c r="D6334" t="s">
        <v>1480</v>
      </c>
      <c r="E6334" t="s">
        <v>1481</v>
      </c>
      <c r="F6334">
        <v>85.29</v>
      </c>
      <c r="G6334">
        <v>230922</v>
      </c>
      <c r="H6334">
        <v>4600</v>
      </c>
      <c r="I6334" t="s">
        <v>105</v>
      </c>
      <c r="J6334">
        <v>105.76</v>
      </c>
      <c r="K6334">
        <v>20.47</v>
      </c>
      <c r="L6334">
        <v>17525</v>
      </c>
      <c r="M6334" t="s">
        <v>135</v>
      </c>
      <c r="N6334" t="str">
        <f>"0272-1000221"</f>
        <v>0272-1000221</v>
      </c>
      <c r="O6334">
        <v>231003</v>
      </c>
    </row>
    <row r="6335" spans="1:15" x14ac:dyDescent="0.25">
      <c r="A6335" t="s">
        <v>16</v>
      </c>
      <c r="B6335" t="s">
        <v>3221</v>
      </c>
      <c r="C6335">
        <v>16499</v>
      </c>
      <c r="D6335" t="s">
        <v>1480</v>
      </c>
      <c r="E6335" t="s">
        <v>1481</v>
      </c>
      <c r="F6335">
        <v>252.98</v>
      </c>
      <c r="G6335">
        <v>231127</v>
      </c>
      <c r="H6335">
        <v>4600</v>
      </c>
      <c r="I6335" t="s">
        <v>105</v>
      </c>
      <c r="J6335">
        <v>313.7</v>
      </c>
      <c r="K6335">
        <v>60.72</v>
      </c>
      <c r="L6335">
        <v>17525</v>
      </c>
      <c r="M6335" t="s">
        <v>135</v>
      </c>
      <c r="N6335" t="str">
        <f>"1000229     "</f>
        <v xml:space="preserve">1000229     </v>
      </c>
      <c r="O6335">
        <v>231201</v>
      </c>
    </row>
    <row r="6336" spans="1:15" x14ac:dyDescent="0.25">
      <c r="A6336" t="s">
        <v>16</v>
      </c>
      <c r="B6336" t="s">
        <v>3221</v>
      </c>
      <c r="C6336">
        <v>16721</v>
      </c>
      <c r="D6336" t="s">
        <v>1480</v>
      </c>
      <c r="E6336" t="s">
        <v>1481</v>
      </c>
      <c r="F6336">
        <v>123.11</v>
      </c>
      <c r="G6336">
        <v>231127</v>
      </c>
      <c r="H6336">
        <v>4600</v>
      </c>
      <c r="I6336" t="s">
        <v>105</v>
      </c>
      <c r="J6336">
        <v>152.66</v>
      </c>
      <c r="K6336">
        <v>29.55</v>
      </c>
      <c r="L6336">
        <v>17529</v>
      </c>
      <c r="M6336" t="s">
        <v>453</v>
      </c>
      <c r="N6336" t="str">
        <f>"11666       "</f>
        <v xml:space="preserve">11666       </v>
      </c>
      <c r="O6336">
        <v>231208</v>
      </c>
    </row>
    <row r="6337" spans="1:16" x14ac:dyDescent="0.25">
      <c r="A6337" t="s">
        <v>16</v>
      </c>
      <c r="B6337" t="s">
        <v>3221</v>
      </c>
      <c r="C6337">
        <v>17828</v>
      </c>
      <c r="D6337" t="s">
        <v>1480</v>
      </c>
      <c r="E6337" t="s">
        <v>1481</v>
      </c>
      <c r="F6337">
        <v>111.3</v>
      </c>
      <c r="G6337">
        <v>231213</v>
      </c>
      <c r="H6337">
        <v>4590</v>
      </c>
      <c r="I6337" t="s">
        <v>203</v>
      </c>
      <c r="J6337">
        <v>138.01</v>
      </c>
      <c r="K6337">
        <v>26.71</v>
      </c>
      <c r="L6337">
        <v>56522</v>
      </c>
      <c r="M6337" t="s">
        <v>43</v>
      </c>
      <c r="N6337" t="str">
        <f>"11729       "</f>
        <v xml:space="preserve">11729       </v>
      </c>
      <c r="O6337">
        <v>231227</v>
      </c>
    </row>
    <row r="6338" spans="1:16" x14ac:dyDescent="0.25">
      <c r="A6338" t="s">
        <v>16</v>
      </c>
      <c r="B6338" t="s">
        <v>3221</v>
      </c>
      <c r="C6338">
        <v>18195</v>
      </c>
      <c r="D6338" t="s">
        <v>1480</v>
      </c>
      <c r="E6338" t="s">
        <v>1481</v>
      </c>
      <c r="F6338">
        <v>89.13</v>
      </c>
      <c r="G6338">
        <v>231220</v>
      </c>
      <c r="H6338">
        <v>4590</v>
      </c>
      <c r="I6338" t="s">
        <v>203</v>
      </c>
      <c r="J6338">
        <v>110.52</v>
      </c>
      <c r="K6338">
        <v>21.39</v>
      </c>
      <c r="L6338">
        <v>56522</v>
      </c>
      <c r="M6338" t="s">
        <v>43</v>
      </c>
      <c r="N6338" t="str">
        <f>"11745       "</f>
        <v xml:space="preserve">11745       </v>
      </c>
      <c r="O6338">
        <v>240102</v>
      </c>
    </row>
    <row r="6339" spans="1:16" x14ac:dyDescent="0.25">
      <c r="A6339" t="s">
        <v>16</v>
      </c>
      <c r="B6339" t="s">
        <v>3221</v>
      </c>
      <c r="C6339">
        <v>400</v>
      </c>
      <c r="D6339" t="s">
        <v>3335</v>
      </c>
      <c r="E6339" t="s">
        <v>3336</v>
      </c>
      <c r="F6339">
        <v>930</v>
      </c>
      <c r="G6339">
        <v>230111</v>
      </c>
      <c r="H6339">
        <v>4410</v>
      </c>
      <c r="I6339" t="s">
        <v>517</v>
      </c>
      <c r="J6339">
        <v>930</v>
      </c>
      <c r="K6339">
        <v>0</v>
      </c>
      <c r="L6339">
        <v>11902</v>
      </c>
      <c r="M6339" t="s">
        <v>1443</v>
      </c>
      <c r="N6339" t="str">
        <f>"008/23      "</f>
        <v xml:space="preserve">008/23      </v>
      </c>
      <c r="O6339">
        <v>230120</v>
      </c>
      <c r="P6339" t="s">
        <v>3337</v>
      </c>
    </row>
    <row r="6340" spans="1:16" x14ac:dyDescent="0.25">
      <c r="A6340" t="s">
        <v>16</v>
      </c>
      <c r="B6340" t="s">
        <v>3221</v>
      </c>
      <c r="C6340">
        <v>2123</v>
      </c>
      <c r="D6340" t="s">
        <v>3335</v>
      </c>
      <c r="E6340" t="s">
        <v>3336</v>
      </c>
      <c r="F6340">
        <v>4450</v>
      </c>
      <c r="G6340">
        <v>230220</v>
      </c>
      <c r="H6340">
        <v>4410</v>
      </c>
      <c r="I6340" t="s">
        <v>517</v>
      </c>
      <c r="J6340">
        <v>4450</v>
      </c>
      <c r="K6340">
        <v>0</v>
      </c>
      <c r="L6340">
        <v>11902</v>
      </c>
      <c r="M6340" t="s">
        <v>1443</v>
      </c>
      <c r="N6340" t="str">
        <f>"033/23      "</f>
        <v xml:space="preserve">033/23      </v>
      </c>
      <c r="O6340">
        <v>230221</v>
      </c>
      <c r="P6340" t="s">
        <v>3337</v>
      </c>
    </row>
    <row r="6341" spans="1:16" x14ac:dyDescent="0.25">
      <c r="A6341" t="s">
        <v>16</v>
      </c>
      <c r="B6341" t="s">
        <v>3221</v>
      </c>
      <c r="C6341">
        <v>2404</v>
      </c>
      <c r="D6341" t="s">
        <v>3335</v>
      </c>
      <c r="E6341" t="s">
        <v>3336</v>
      </c>
      <c r="F6341">
        <v>1760</v>
      </c>
      <c r="G6341">
        <v>230220</v>
      </c>
      <c r="H6341">
        <v>4410</v>
      </c>
      <c r="I6341" t="s">
        <v>517</v>
      </c>
      <c r="J6341">
        <v>1760</v>
      </c>
      <c r="K6341">
        <v>0</v>
      </c>
      <c r="L6341">
        <v>11902</v>
      </c>
      <c r="M6341" t="s">
        <v>1443</v>
      </c>
      <c r="N6341" t="str">
        <f>"034/23      "</f>
        <v xml:space="preserve">034/23      </v>
      </c>
      <c r="O6341">
        <v>230227</v>
      </c>
      <c r="P6341" t="s">
        <v>3337</v>
      </c>
    </row>
    <row r="6342" spans="1:16" x14ac:dyDescent="0.25">
      <c r="A6342" t="s">
        <v>16</v>
      </c>
      <c r="B6342" t="s">
        <v>3221</v>
      </c>
      <c r="C6342">
        <v>2434</v>
      </c>
      <c r="D6342" t="s">
        <v>3335</v>
      </c>
      <c r="E6342" t="s">
        <v>3336</v>
      </c>
      <c r="F6342">
        <v>755</v>
      </c>
      <c r="G6342">
        <v>230203</v>
      </c>
      <c r="H6342">
        <v>4410</v>
      </c>
      <c r="I6342" t="s">
        <v>517</v>
      </c>
      <c r="J6342">
        <v>755</v>
      </c>
      <c r="K6342">
        <v>0</v>
      </c>
      <c r="L6342">
        <v>11902</v>
      </c>
      <c r="M6342" t="s">
        <v>1443</v>
      </c>
      <c r="N6342" t="str">
        <f>"080/23      "</f>
        <v xml:space="preserve">080/23      </v>
      </c>
      <c r="O6342">
        <v>230227</v>
      </c>
      <c r="P6342" t="s">
        <v>3337</v>
      </c>
    </row>
    <row r="6343" spans="1:16" x14ac:dyDescent="0.25">
      <c r="A6343" t="s">
        <v>16</v>
      </c>
      <c r="B6343" t="s">
        <v>3221</v>
      </c>
      <c r="C6343">
        <v>9331</v>
      </c>
      <c r="D6343" t="s">
        <v>3335</v>
      </c>
      <c r="E6343" t="s">
        <v>3336</v>
      </c>
      <c r="F6343">
        <v>4445</v>
      </c>
      <c r="G6343">
        <v>230705</v>
      </c>
      <c r="H6343">
        <v>4410</v>
      </c>
      <c r="I6343" t="s">
        <v>517</v>
      </c>
      <c r="J6343">
        <v>4445</v>
      </c>
      <c r="K6343">
        <v>0</v>
      </c>
      <c r="L6343">
        <v>11902</v>
      </c>
      <c r="M6343" t="s">
        <v>1443</v>
      </c>
      <c r="N6343" t="str">
        <f>"391/23      "</f>
        <v xml:space="preserve">391/23      </v>
      </c>
      <c r="O6343">
        <v>230706</v>
      </c>
      <c r="P6343" t="s">
        <v>3337</v>
      </c>
    </row>
    <row r="6344" spans="1:16" x14ac:dyDescent="0.25">
      <c r="A6344" t="s">
        <v>16</v>
      </c>
      <c r="B6344" t="s">
        <v>3221</v>
      </c>
      <c r="C6344">
        <v>400</v>
      </c>
      <c r="D6344" t="s">
        <v>3335</v>
      </c>
      <c r="E6344" t="s">
        <v>3336</v>
      </c>
      <c r="F6344">
        <v>55</v>
      </c>
      <c r="G6344">
        <v>230111</v>
      </c>
      <c r="H6344">
        <v>4420</v>
      </c>
      <c r="I6344" t="s">
        <v>132</v>
      </c>
      <c r="J6344">
        <v>55</v>
      </c>
      <c r="K6344">
        <v>0</v>
      </c>
      <c r="L6344">
        <v>11902</v>
      </c>
      <c r="M6344" t="s">
        <v>1443</v>
      </c>
      <c r="N6344" t="str">
        <f>"008/23      "</f>
        <v xml:space="preserve">008/23      </v>
      </c>
      <c r="O6344">
        <v>230120</v>
      </c>
      <c r="P6344" t="s">
        <v>3337</v>
      </c>
    </row>
    <row r="6345" spans="1:16" x14ac:dyDescent="0.25">
      <c r="A6345" t="s">
        <v>16</v>
      </c>
      <c r="B6345" t="s">
        <v>3221</v>
      </c>
      <c r="C6345">
        <v>2123</v>
      </c>
      <c r="D6345" t="s">
        <v>3335</v>
      </c>
      <c r="E6345" t="s">
        <v>3336</v>
      </c>
      <c r="F6345">
        <v>110</v>
      </c>
      <c r="G6345">
        <v>230220</v>
      </c>
      <c r="H6345">
        <v>4420</v>
      </c>
      <c r="I6345" t="s">
        <v>132</v>
      </c>
      <c r="J6345">
        <v>110</v>
      </c>
      <c r="K6345">
        <v>0</v>
      </c>
      <c r="L6345">
        <v>11902</v>
      </c>
      <c r="M6345" t="s">
        <v>1443</v>
      </c>
      <c r="N6345" t="str">
        <f>"033/23      "</f>
        <v xml:space="preserve">033/23      </v>
      </c>
      <c r="O6345">
        <v>230221</v>
      </c>
      <c r="P6345" t="s">
        <v>3337</v>
      </c>
    </row>
    <row r="6346" spans="1:16" x14ac:dyDescent="0.25">
      <c r="A6346" t="s">
        <v>16</v>
      </c>
      <c r="B6346" t="s">
        <v>3221</v>
      </c>
      <c r="C6346">
        <v>2404</v>
      </c>
      <c r="D6346" t="s">
        <v>3335</v>
      </c>
      <c r="E6346" t="s">
        <v>3336</v>
      </c>
      <c r="F6346">
        <v>110</v>
      </c>
      <c r="G6346">
        <v>230220</v>
      </c>
      <c r="H6346">
        <v>4420</v>
      </c>
      <c r="I6346" t="s">
        <v>132</v>
      </c>
      <c r="J6346">
        <v>110</v>
      </c>
      <c r="K6346">
        <v>0</v>
      </c>
      <c r="L6346">
        <v>11902</v>
      </c>
      <c r="M6346" t="s">
        <v>1443</v>
      </c>
      <c r="N6346" t="str">
        <f>"034/23      "</f>
        <v xml:space="preserve">034/23      </v>
      </c>
      <c r="O6346">
        <v>230227</v>
      </c>
      <c r="P6346" t="s">
        <v>3337</v>
      </c>
    </row>
    <row r="6347" spans="1:16" x14ac:dyDescent="0.25">
      <c r="A6347" t="s">
        <v>16</v>
      </c>
      <c r="B6347" t="s">
        <v>3221</v>
      </c>
      <c r="C6347">
        <v>2434</v>
      </c>
      <c r="D6347" t="s">
        <v>3335</v>
      </c>
      <c r="E6347" t="s">
        <v>3336</v>
      </c>
      <c r="F6347">
        <v>55</v>
      </c>
      <c r="G6347">
        <v>230203</v>
      </c>
      <c r="H6347">
        <v>4420</v>
      </c>
      <c r="I6347" t="s">
        <v>132</v>
      </c>
      <c r="J6347">
        <v>55</v>
      </c>
      <c r="K6347">
        <v>0</v>
      </c>
      <c r="L6347">
        <v>11902</v>
      </c>
      <c r="M6347" t="s">
        <v>1443</v>
      </c>
      <c r="N6347" t="str">
        <f>"080/23      "</f>
        <v xml:space="preserve">080/23      </v>
      </c>
      <c r="O6347">
        <v>230227</v>
      </c>
      <c r="P6347" t="s">
        <v>3337</v>
      </c>
    </row>
    <row r="6348" spans="1:16" x14ac:dyDescent="0.25">
      <c r="A6348" t="s">
        <v>16</v>
      </c>
      <c r="B6348" t="s">
        <v>3221</v>
      </c>
      <c r="C6348">
        <v>9331</v>
      </c>
      <c r="D6348" t="s">
        <v>3335</v>
      </c>
      <c r="E6348" t="s">
        <v>3336</v>
      </c>
      <c r="F6348">
        <v>55</v>
      </c>
      <c r="G6348">
        <v>230705</v>
      </c>
      <c r="H6348">
        <v>4420</v>
      </c>
      <c r="I6348" t="s">
        <v>132</v>
      </c>
      <c r="J6348">
        <v>55</v>
      </c>
      <c r="K6348">
        <v>0</v>
      </c>
      <c r="L6348">
        <v>11902</v>
      </c>
      <c r="M6348" t="s">
        <v>1443</v>
      </c>
      <c r="N6348" t="str">
        <f>"391/23      "</f>
        <v xml:space="preserve">391/23      </v>
      </c>
      <c r="O6348">
        <v>230706</v>
      </c>
      <c r="P6348" t="s">
        <v>3337</v>
      </c>
    </row>
    <row r="6349" spans="1:16" x14ac:dyDescent="0.25">
      <c r="A6349" t="s">
        <v>16</v>
      </c>
      <c r="B6349" t="s">
        <v>3221</v>
      </c>
      <c r="C6349">
        <v>400</v>
      </c>
      <c r="D6349" t="s">
        <v>3335</v>
      </c>
      <c r="E6349" t="s">
        <v>3336</v>
      </c>
      <c r="F6349">
        <v>200</v>
      </c>
      <c r="G6349">
        <v>230111</v>
      </c>
      <c r="H6349">
        <v>4440</v>
      </c>
      <c r="I6349" t="s">
        <v>250</v>
      </c>
      <c r="J6349">
        <v>200</v>
      </c>
      <c r="K6349">
        <v>0</v>
      </c>
      <c r="L6349">
        <v>11902</v>
      </c>
      <c r="M6349" t="s">
        <v>1443</v>
      </c>
      <c r="N6349" t="str">
        <f>"008/23      "</f>
        <v xml:space="preserve">008/23      </v>
      </c>
      <c r="O6349">
        <v>230120</v>
      </c>
      <c r="P6349" t="s">
        <v>3337</v>
      </c>
    </row>
    <row r="6350" spans="1:16" x14ac:dyDescent="0.25">
      <c r="A6350" t="s">
        <v>16</v>
      </c>
      <c r="B6350" t="s">
        <v>3221</v>
      </c>
      <c r="C6350">
        <v>2123</v>
      </c>
      <c r="D6350" t="s">
        <v>3335</v>
      </c>
      <c r="E6350" t="s">
        <v>3336</v>
      </c>
      <c r="F6350">
        <v>400</v>
      </c>
      <c r="G6350">
        <v>230220</v>
      </c>
      <c r="H6350">
        <v>4440</v>
      </c>
      <c r="I6350" t="s">
        <v>250</v>
      </c>
      <c r="J6350">
        <v>400</v>
      </c>
      <c r="K6350">
        <v>0</v>
      </c>
      <c r="L6350">
        <v>11902</v>
      </c>
      <c r="M6350" t="s">
        <v>1443</v>
      </c>
      <c r="N6350" t="str">
        <f>"033/23      "</f>
        <v xml:space="preserve">033/23      </v>
      </c>
      <c r="O6350">
        <v>230221</v>
      </c>
      <c r="P6350" t="s">
        <v>3337</v>
      </c>
    </row>
    <row r="6351" spans="1:16" x14ac:dyDescent="0.25">
      <c r="A6351" t="s">
        <v>16</v>
      </c>
      <c r="B6351" t="s">
        <v>3221</v>
      </c>
      <c r="C6351">
        <v>2404</v>
      </c>
      <c r="D6351" t="s">
        <v>3335</v>
      </c>
      <c r="E6351" t="s">
        <v>3336</v>
      </c>
      <c r="F6351">
        <v>400</v>
      </c>
      <c r="G6351">
        <v>230220</v>
      </c>
      <c r="H6351">
        <v>4440</v>
      </c>
      <c r="I6351" t="s">
        <v>250</v>
      </c>
      <c r="J6351">
        <v>400</v>
      </c>
      <c r="K6351">
        <v>0</v>
      </c>
      <c r="L6351">
        <v>11902</v>
      </c>
      <c r="M6351" t="s">
        <v>1443</v>
      </c>
      <c r="N6351" t="str">
        <f>"034/23      "</f>
        <v xml:space="preserve">034/23      </v>
      </c>
      <c r="O6351">
        <v>230227</v>
      </c>
      <c r="P6351" t="s">
        <v>3337</v>
      </c>
    </row>
    <row r="6352" spans="1:16" x14ac:dyDescent="0.25">
      <c r="A6352" t="s">
        <v>16</v>
      </c>
      <c r="B6352" t="s">
        <v>3221</v>
      </c>
      <c r="C6352">
        <v>2434</v>
      </c>
      <c r="D6352" t="s">
        <v>3335</v>
      </c>
      <c r="E6352" t="s">
        <v>3336</v>
      </c>
      <c r="F6352">
        <v>200</v>
      </c>
      <c r="G6352">
        <v>230203</v>
      </c>
      <c r="H6352">
        <v>4440</v>
      </c>
      <c r="I6352" t="s">
        <v>250</v>
      </c>
      <c r="J6352">
        <v>200</v>
      </c>
      <c r="K6352">
        <v>0</v>
      </c>
      <c r="L6352">
        <v>11902</v>
      </c>
      <c r="M6352" t="s">
        <v>1443</v>
      </c>
      <c r="N6352" t="str">
        <f>"080/23      "</f>
        <v xml:space="preserve">080/23      </v>
      </c>
      <c r="O6352">
        <v>230227</v>
      </c>
      <c r="P6352" t="s">
        <v>3337</v>
      </c>
    </row>
    <row r="6353" spans="1:16" x14ac:dyDescent="0.25">
      <c r="A6353" t="s">
        <v>16</v>
      </c>
      <c r="B6353" t="s">
        <v>3221</v>
      </c>
      <c r="C6353">
        <v>5596</v>
      </c>
      <c r="D6353" t="s">
        <v>3335</v>
      </c>
      <c r="E6353" t="s">
        <v>3336</v>
      </c>
      <c r="F6353">
        <v>500</v>
      </c>
      <c r="G6353">
        <v>230424</v>
      </c>
      <c r="H6353">
        <v>4440</v>
      </c>
      <c r="I6353" t="s">
        <v>250</v>
      </c>
      <c r="J6353">
        <v>500</v>
      </c>
      <c r="K6353">
        <v>0</v>
      </c>
      <c r="L6353">
        <v>11902</v>
      </c>
      <c r="M6353" t="s">
        <v>1443</v>
      </c>
      <c r="N6353" t="str">
        <f>"201/23      "</f>
        <v xml:space="preserve">201/23      </v>
      </c>
      <c r="O6353">
        <v>230428</v>
      </c>
      <c r="P6353" s="3" t="s">
        <v>3337</v>
      </c>
    </row>
    <row r="6354" spans="1:16" x14ac:dyDescent="0.25">
      <c r="A6354" t="s">
        <v>16</v>
      </c>
      <c r="B6354" t="s">
        <v>3221</v>
      </c>
      <c r="C6354">
        <v>9331</v>
      </c>
      <c r="D6354" t="s">
        <v>3335</v>
      </c>
      <c r="E6354" t="s">
        <v>3336</v>
      </c>
      <c r="F6354">
        <v>200</v>
      </c>
      <c r="G6354">
        <v>230705</v>
      </c>
      <c r="H6354">
        <v>4440</v>
      </c>
      <c r="I6354" t="s">
        <v>250</v>
      </c>
      <c r="J6354">
        <v>200</v>
      </c>
      <c r="K6354">
        <v>0</v>
      </c>
      <c r="L6354">
        <v>11902</v>
      </c>
      <c r="M6354" t="s">
        <v>1443</v>
      </c>
      <c r="N6354" t="str">
        <f>"391/23      "</f>
        <v xml:space="preserve">391/23      </v>
      </c>
      <c r="O6354">
        <v>230706</v>
      </c>
      <c r="P6354" t="s">
        <v>3337</v>
      </c>
    </row>
    <row r="6355" spans="1:16" x14ac:dyDescent="0.25">
      <c r="A6355" t="s">
        <v>16</v>
      </c>
      <c r="B6355" t="s">
        <v>3221</v>
      </c>
      <c r="C6355">
        <v>6069</v>
      </c>
      <c r="D6355" t="s">
        <v>1929</v>
      </c>
      <c r="E6355" t="s">
        <v>1930</v>
      </c>
      <c r="F6355">
        <v>342.1</v>
      </c>
      <c r="G6355">
        <v>230426</v>
      </c>
      <c r="H6355">
        <v>4600</v>
      </c>
      <c r="I6355" t="s">
        <v>105</v>
      </c>
      <c r="J6355">
        <v>424.2</v>
      </c>
      <c r="K6355">
        <v>82.1</v>
      </c>
      <c r="L6355">
        <v>17632</v>
      </c>
      <c r="M6355" t="s">
        <v>495</v>
      </c>
      <c r="N6355" t="str">
        <f>"2541        "</f>
        <v xml:space="preserve">2541        </v>
      </c>
      <c r="O6355">
        <v>230508</v>
      </c>
    </row>
    <row r="6356" spans="1:16" x14ac:dyDescent="0.25">
      <c r="A6356" t="s">
        <v>16</v>
      </c>
      <c r="B6356" t="s">
        <v>3221</v>
      </c>
      <c r="C6356">
        <v>11521</v>
      </c>
      <c r="D6356" t="s">
        <v>1929</v>
      </c>
      <c r="E6356" t="s">
        <v>1930</v>
      </c>
      <c r="F6356">
        <v>129.1</v>
      </c>
      <c r="G6356">
        <v>230904</v>
      </c>
      <c r="H6356">
        <v>4600</v>
      </c>
      <c r="I6356" t="s">
        <v>105</v>
      </c>
      <c r="J6356">
        <v>160.09</v>
      </c>
      <c r="K6356">
        <v>30.99</v>
      </c>
      <c r="L6356">
        <v>17632</v>
      </c>
      <c r="M6356" t="s">
        <v>495</v>
      </c>
      <c r="N6356" t="str">
        <f>"2923        "</f>
        <v xml:space="preserve">2923        </v>
      </c>
      <c r="O6356">
        <v>230907</v>
      </c>
    </row>
    <row r="6357" spans="1:16" x14ac:dyDescent="0.25">
      <c r="A6357" t="s">
        <v>16</v>
      </c>
      <c r="B6357" t="s">
        <v>3221</v>
      </c>
      <c r="C6357">
        <v>12679</v>
      </c>
      <c r="D6357" t="s">
        <v>1929</v>
      </c>
      <c r="E6357" t="s">
        <v>1930</v>
      </c>
      <c r="F6357">
        <v>269.68</v>
      </c>
      <c r="G6357">
        <v>230915</v>
      </c>
      <c r="H6357">
        <v>4600</v>
      </c>
      <c r="I6357" t="s">
        <v>105</v>
      </c>
      <c r="J6357">
        <v>334.4</v>
      </c>
      <c r="K6357">
        <v>64.72</v>
      </c>
      <c r="L6357">
        <v>17632</v>
      </c>
      <c r="M6357" t="s">
        <v>495</v>
      </c>
      <c r="N6357" t="str">
        <f>"2972        "</f>
        <v xml:space="preserve">2972        </v>
      </c>
      <c r="O6357">
        <v>230925</v>
      </c>
    </row>
    <row r="6358" spans="1:16" x14ac:dyDescent="0.25">
      <c r="A6358" t="s">
        <v>16</v>
      </c>
      <c r="B6358" t="s">
        <v>3221</v>
      </c>
      <c r="C6358">
        <v>13120</v>
      </c>
      <c r="D6358" t="s">
        <v>1929</v>
      </c>
      <c r="E6358" t="s">
        <v>1930</v>
      </c>
      <c r="F6358">
        <v>152.41</v>
      </c>
      <c r="G6358">
        <v>230922</v>
      </c>
      <c r="H6358">
        <v>4600</v>
      </c>
      <c r="I6358" t="s">
        <v>105</v>
      </c>
      <c r="J6358">
        <v>188.99</v>
      </c>
      <c r="K6358">
        <v>36.58</v>
      </c>
      <c r="L6358">
        <v>17632</v>
      </c>
      <c r="M6358" t="s">
        <v>495</v>
      </c>
      <c r="N6358" t="str">
        <f>"3000        "</f>
        <v xml:space="preserve">3000        </v>
      </c>
      <c r="O6358">
        <v>231004</v>
      </c>
    </row>
    <row r="6359" spans="1:16" x14ac:dyDescent="0.25">
      <c r="A6359" t="s">
        <v>16</v>
      </c>
      <c r="B6359" t="s">
        <v>3221</v>
      </c>
      <c r="C6359">
        <v>1143</v>
      </c>
      <c r="D6359" t="s">
        <v>911</v>
      </c>
      <c r="E6359" t="s">
        <v>912</v>
      </c>
      <c r="F6359">
        <v>85.18</v>
      </c>
      <c r="G6359">
        <v>230118</v>
      </c>
      <c r="H6359">
        <v>4600</v>
      </c>
      <c r="I6359" t="s">
        <v>105</v>
      </c>
      <c r="J6359">
        <v>105.62</v>
      </c>
      <c r="K6359">
        <v>20.440000000000001</v>
      </c>
      <c r="L6359">
        <v>56550</v>
      </c>
      <c r="M6359" t="s">
        <v>913</v>
      </c>
      <c r="N6359" t="str">
        <f>"13102       "</f>
        <v xml:space="preserve">13102       </v>
      </c>
      <c r="O6359">
        <v>230206</v>
      </c>
    </row>
    <row r="6360" spans="1:16" x14ac:dyDescent="0.25">
      <c r="A6360" t="s">
        <v>16</v>
      </c>
      <c r="B6360" t="s">
        <v>3221</v>
      </c>
      <c r="C6360">
        <v>3550</v>
      </c>
      <c r="D6360" t="s">
        <v>911</v>
      </c>
      <c r="E6360" t="s">
        <v>912</v>
      </c>
      <c r="F6360">
        <v>2305.41</v>
      </c>
      <c r="G6360">
        <v>230306</v>
      </c>
      <c r="H6360">
        <v>4600</v>
      </c>
      <c r="I6360" t="s">
        <v>105</v>
      </c>
      <c r="J6360">
        <v>2858.71</v>
      </c>
      <c r="K6360">
        <v>553.29999999999995</v>
      </c>
      <c r="L6360">
        <v>56528</v>
      </c>
      <c r="M6360" t="s">
        <v>153</v>
      </c>
      <c r="N6360" t="str">
        <f>"13176       "</f>
        <v xml:space="preserve">13176       </v>
      </c>
      <c r="O6360">
        <v>230316</v>
      </c>
    </row>
    <row r="6361" spans="1:16" x14ac:dyDescent="0.25">
      <c r="A6361" t="s">
        <v>16</v>
      </c>
      <c r="B6361" t="s">
        <v>3221</v>
      </c>
      <c r="C6361">
        <v>5320</v>
      </c>
      <c r="D6361" t="s">
        <v>911</v>
      </c>
      <c r="E6361" t="s">
        <v>912</v>
      </c>
      <c r="F6361">
        <v>1756.65</v>
      </c>
      <c r="G6361">
        <v>230413</v>
      </c>
      <c r="H6361">
        <v>4600</v>
      </c>
      <c r="I6361" t="s">
        <v>105</v>
      </c>
      <c r="J6361">
        <v>2178.25</v>
      </c>
      <c r="K6361">
        <v>421.6</v>
      </c>
      <c r="L6361">
        <v>56550</v>
      </c>
      <c r="M6361" t="s">
        <v>913</v>
      </c>
      <c r="N6361" t="str">
        <f>"13234       "</f>
        <v xml:space="preserve">13234       </v>
      </c>
      <c r="O6361">
        <v>230420</v>
      </c>
    </row>
    <row r="6362" spans="1:16" x14ac:dyDescent="0.25">
      <c r="A6362" t="s">
        <v>16</v>
      </c>
      <c r="B6362" t="s">
        <v>3221</v>
      </c>
      <c r="C6362">
        <v>10945</v>
      </c>
      <c r="D6362" t="s">
        <v>911</v>
      </c>
      <c r="E6362" t="s">
        <v>912</v>
      </c>
      <c r="F6362">
        <v>2472.59</v>
      </c>
      <c r="G6362">
        <v>230810</v>
      </c>
      <c r="H6362">
        <v>4600</v>
      </c>
      <c r="I6362" t="s">
        <v>105</v>
      </c>
      <c r="J6362">
        <v>3066.01</v>
      </c>
      <c r="K6362">
        <v>593.41999999999996</v>
      </c>
      <c r="L6362">
        <v>56550</v>
      </c>
      <c r="M6362" t="s">
        <v>913</v>
      </c>
      <c r="N6362" t="str">
        <f>"13371       "</f>
        <v xml:space="preserve">13371       </v>
      </c>
      <c r="O6362">
        <v>230825</v>
      </c>
    </row>
    <row r="6363" spans="1:16" x14ac:dyDescent="0.25">
      <c r="A6363" t="s">
        <v>16</v>
      </c>
      <c r="B6363" t="s">
        <v>3221</v>
      </c>
      <c r="C6363">
        <v>15928</v>
      </c>
      <c r="D6363" t="s">
        <v>911</v>
      </c>
      <c r="E6363" t="s">
        <v>912</v>
      </c>
      <c r="F6363">
        <v>196.91</v>
      </c>
      <c r="G6363">
        <v>231113</v>
      </c>
      <c r="H6363">
        <v>4600</v>
      </c>
      <c r="I6363" t="s">
        <v>105</v>
      </c>
      <c r="J6363">
        <v>244.17</v>
      </c>
      <c r="K6363">
        <v>47.26</v>
      </c>
      <c r="L6363">
        <v>56550</v>
      </c>
      <c r="M6363" t="s">
        <v>913</v>
      </c>
      <c r="N6363" t="str">
        <f>"13515       "</f>
        <v xml:space="preserve">13515       </v>
      </c>
      <c r="O6363">
        <v>231122</v>
      </c>
    </row>
    <row r="6364" spans="1:16" x14ac:dyDescent="0.25">
      <c r="A6364" t="s">
        <v>16</v>
      </c>
      <c r="B6364" t="s">
        <v>3221</v>
      </c>
      <c r="C6364">
        <v>16474</v>
      </c>
      <c r="D6364" t="s">
        <v>911</v>
      </c>
      <c r="E6364" t="s">
        <v>912</v>
      </c>
      <c r="F6364">
        <v>2932.68</v>
      </c>
      <c r="G6364">
        <v>231122</v>
      </c>
      <c r="H6364">
        <v>4600</v>
      </c>
      <c r="I6364" t="s">
        <v>105</v>
      </c>
      <c r="J6364">
        <v>3636.52</v>
      </c>
      <c r="K6364">
        <v>703.84</v>
      </c>
      <c r="L6364">
        <v>56550</v>
      </c>
      <c r="M6364" t="s">
        <v>913</v>
      </c>
      <c r="N6364" t="str">
        <f>"13544       "</f>
        <v xml:space="preserve">13544       </v>
      </c>
      <c r="O6364">
        <v>231201</v>
      </c>
    </row>
    <row r="6365" spans="1:16" x14ac:dyDescent="0.25">
      <c r="A6365" t="s">
        <v>16</v>
      </c>
      <c r="B6365" t="s">
        <v>3221</v>
      </c>
      <c r="C6365">
        <v>17130</v>
      </c>
      <c r="D6365" t="s">
        <v>3044</v>
      </c>
      <c r="E6365" t="s">
        <v>3045</v>
      </c>
      <c r="F6365">
        <v>1800</v>
      </c>
      <c r="G6365">
        <v>231205</v>
      </c>
      <c r="H6365">
        <v>4440</v>
      </c>
      <c r="I6365" t="s">
        <v>250</v>
      </c>
      <c r="J6365">
        <v>1800</v>
      </c>
      <c r="K6365">
        <v>0</v>
      </c>
      <c r="L6365">
        <v>11605</v>
      </c>
      <c r="M6365" t="s">
        <v>106</v>
      </c>
      <c r="N6365" t="str">
        <f>"1007        "</f>
        <v xml:space="preserve">1007        </v>
      </c>
      <c r="O6365">
        <v>231212</v>
      </c>
    </row>
    <row r="6366" spans="1:16" x14ac:dyDescent="0.25">
      <c r="A6366" t="s">
        <v>16</v>
      </c>
      <c r="B6366" t="s">
        <v>3221</v>
      </c>
      <c r="C6366">
        <v>152</v>
      </c>
      <c r="D6366" t="s">
        <v>226</v>
      </c>
      <c r="E6366" t="s">
        <v>227</v>
      </c>
      <c r="F6366">
        <v>31.96</v>
      </c>
      <c r="G6366">
        <v>230101</v>
      </c>
      <c r="H6366">
        <v>4343</v>
      </c>
      <c r="I6366" t="s">
        <v>91</v>
      </c>
      <c r="J6366">
        <v>39.630000000000003</v>
      </c>
      <c r="K6366">
        <v>7.67</v>
      </c>
      <c r="L6366">
        <v>14422</v>
      </c>
      <c r="M6366" t="s">
        <v>228</v>
      </c>
      <c r="N6366" t="str">
        <f t="shared" ref="N6366:N6374" si="112">"34696       "</f>
        <v xml:space="preserve">34696       </v>
      </c>
      <c r="O6366">
        <v>230113</v>
      </c>
    </row>
    <row r="6367" spans="1:16" x14ac:dyDescent="0.25">
      <c r="A6367" t="s">
        <v>16</v>
      </c>
      <c r="B6367" t="s">
        <v>3221</v>
      </c>
      <c r="C6367">
        <v>152</v>
      </c>
      <c r="D6367" t="s">
        <v>226</v>
      </c>
      <c r="E6367" t="s">
        <v>227</v>
      </c>
      <c r="F6367">
        <v>31.96</v>
      </c>
      <c r="G6367">
        <v>230101</v>
      </c>
      <c r="H6367">
        <v>4343</v>
      </c>
      <c r="I6367" t="s">
        <v>91</v>
      </c>
      <c r="J6367">
        <v>39.630000000000003</v>
      </c>
      <c r="K6367">
        <v>7.67</v>
      </c>
      <c r="L6367">
        <v>14640</v>
      </c>
      <c r="M6367" t="s">
        <v>229</v>
      </c>
      <c r="N6367" t="str">
        <f t="shared" si="112"/>
        <v xml:space="preserve">34696       </v>
      </c>
      <c r="O6367">
        <v>230113</v>
      </c>
    </row>
    <row r="6368" spans="1:16" x14ac:dyDescent="0.25">
      <c r="A6368" t="s">
        <v>16</v>
      </c>
      <c r="B6368" t="s">
        <v>3221</v>
      </c>
      <c r="C6368">
        <v>152</v>
      </c>
      <c r="D6368" t="s">
        <v>226</v>
      </c>
      <c r="E6368" t="s">
        <v>227</v>
      </c>
      <c r="F6368">
        <v>31.96</v>
      </c>
      <c r="G6368">
        <v>230101</v>
      </c>
      <c r="H6368">
        <v>4343</v>
      </c>
      <c r="I6368" t="s">
        <v>91</v>
      </c>
      <c r="J6368">
        <v>39.630000000000003</v>
      </c>
      <c r="K6368">
        <v>7.67</v>
      </c>
      <c r="L6368">
        <v>14912</v>
      </c>
      <c r="M6368" t="s">
        <v>230</v>
      </c>
      <c r="N6368" t="str">
        <f t="shared" si="112"/>
        <v xml:space="preserve">34696       </v>
      </c>
      <c r="O6368">
        <v>230113</v>
      </c>
    </row>
    <row r="6369" spans="1:15" x14ac:dyDescent="0.25">
      <c r="A6369" t="s">
        <v>16</v>
      </c>
      <c r="B6369" t="s">
        <v>3221</v>
      </c>
      <c r="C6369">
        <v>152</v>
      </c>
      <c r="D6369" t="s">
        <v>226</v>
      </c>
      <c r="E6369" t="s">
        <v>227</v>
      </c>
      <c r="F6369">
        <v>95.88</v>
      </c>
      <c r="G6369">
        <v>230101</v>
      </c>
      <c r="H6369">
        <v>4343</v>
      </c>
      <c r="I6369" t="s">
        <v>91</v>
      </c>
      <c r="J6369">
        <v>118.89</v>
      </c>
      <c r="K6369">
        <v>23.01</v>
      </c>
      <c r="L6369">
        <v>16431</v>
      </c>
      <c r="M6369" t="s">
        <v>231</v>
      </c>
      <c r="N6369" t="str">
        <f t="shared" si="112"/>
        <v xml:space="preserve">34696       </v>
      </c>
      <c r="O6369">
        <v>230113</v>
      </c>
    </row>
    <row r="6370" spans="1:15" x14ac:dyDescent="0.25">
      <c r="A6370" t="s">
        <v>16</v>
      </c>
      <c r="B6370" t="s">
        <v>3221</v>
      </c>
      <c r="C6370">
        <v>152</v>
      </c>
      <c r="D6370" t="s">
        <v>226</v>
      </c>
      <c r="E6370" t="s">
        <v>227</v>
      </c>
      <c r="F6370">
        <v>47.94</v>
      </c>
      <c r="G6370">
        <v>230101</v>
      </c>
      <c r="H6370">
        <v>4343</v>
      </c>
      <c r="I6370" t="s">
        <v>91</v>
      </c>
      <c r="J6370">
        <v>59.44</v>
      </c>
      <c r="K6370">
        <v>11.5</v>
      </c>
      <c r="L6370">
        <v>44222</v>
      </c>
      <c r="M6370" t="s">
        <v>232</v>
      </c>
      <c r="N6370" t="str">
        <f t="shared" si="112"/>
        <v xml:space="preserve">34696       </v>
      </c>
      <c r="O6370">
        <v>230113</v>
      </c>
    </row>
    <row r="6371" spans="1:15" x14ac:dyDescent="0.25">
      <c r="A6371" t="s">
        <v>16</v>
      </c>
      <c r="B6371" t="s">
        <v>3221</v>
      </c>
      <c r="C6371">
        <v>152</v>
      </c>
      <c r="D6371" t="s">
        <v>226</v>
      </c>
      <c r="E6371" t="s">
        <v>227</v>
      </c>
      <c r="F6371">
        <v>47.94</v>
      </c>
      <c r="G6371">
        <v>230101</v>
      </c>
      <c r="H6371">
        <v>4343</v>
      </c>
      <c r="I6371" t="s">
        <v>91</v>
      </c>
      <c r="J6371">
        <v>59.45</v>
      </c>
      <c r="K6371">
        <v>11.51</v>
      </c>
      <c r="L6371">
        <v>49112</v>
      </c>
      <c r="M6371" t="s">
        <v>233</v>
      </c>
      <c r="N6371" t="str">
        <f t="shared" si="112"/>
        <v xml:space="preserve">34696       </v>
      </c>
      <c r="O6371">
        <v>230113</v>
      </c>
    </row>
    <row r="6372" spans="1:15" x14ac:dyDescent="0.25">
      <c r="A6372" t="s">
        <v>16</v>
      </c>
      <c r="B6372" t="s">
        <v>3221</v>
      </c>
      <c r="C6372">
        <v>152</v>
      </c>
      <c r="D6372" t="s">
        <v>226</v>
      </c>
      <c r="E6372" t="s">
        <v>227</v>
      </c>
      <c r="F6372">
        <v>47.89</v>
      </c>
      <c r="G6372">
        <v>230101</v>
      </c>
      <c r="H6372">
        <v>4343</v>
      </c>
      <c r="I6372" t="s">
        <v>91</v>
      </c>
      <c r="J6372">
        <v>59.38</v>
      </c>
      <c r="K6372">
        <v>11.49</v>
      </c>
      <c r="L6372">
        <v>54422</v>
      </c>
      <c r="M6372" t="s">
        <v>234</v>
      </c>
      <c r="N6372" t="str">
        <f t="shared" si="112"/>
        <v xml:space="preserve">34696       </v>
      </c>
      <c r="O6372">
        <v>230113</v>
      </c>
    </row>
    <row r="6373" spans="1:15" x14ac:dyDescent="0.25">
      <c r="A6373" t="s">
        <v>16</v>
      </c>
      <c r="B6373" t="s">
        <v>3221</v>
      </c>
      <c r="C6373">
        <v>152</v>
      </c>
      <c r="D6373" t="s">
        <v>226</v>
      </c>
      <c r="E6373" t="s">
        <v>227</v>
      </c>
      <c r="F6373">
        <v>48.04</v>
      </c>
      <c r="G6373">
        <v>230101</v>
      </c>
      <c r="H6373">
        <v>4343</v>
      </c>
      <c r="I6373" t="s">
        <v>91</v>
      </c>
      <c r="J6373">
        <v>59.57</v>
      </c>
      <c r="K6373">
        <v>11.53</v>
      </c>
      <c r="L6373">
        <v>54451</v>
      </c>
      <c r="M6373" t="s">
        <v>158</v>
      </c>
      <c r="N6373" t="str">
        <f t="shared" si="112"/>
        <v xml:space="preserve">34696       </v>
      </c>
      <c r="O6373">
        <v>230113</v>
      </c>
    </row>
    <row r="6374" spans="1:15" x14ac:dyDescent="0.25">
      <c r="A6374" t="s">
        <v>16</v>
      </c>
      <c r="B6374" t="s">
        <v>3221</v>
      </c>
      <c r="C6374">
        <v>152</v>
      </c>
      <c r="D6374" t="s">
        <v>226</v>
      </c>
      <c r="E6374" t="s">
        <v>227</v>
      </c>
      <c r="F6374">
        <v>47.9</v>
      </c>
      <c r="G6374">
        <v>230101</v>
      </c>
      <c r="H6374">
        <v>4343</v>
      </c>
      <c r="I6374" t="s">
        <v>91</v>
      </c>
      <c r="J6374">
        <v>59.39</v>
      </c>
      <c r="K6374">
        <v>11.49</v>
      </c>
      <c r="L6374">
        <v>59113</v>
      </c>
      <c r="M6374" t="s">
        <v>235</v>
      </c>
      <c r="N6374" t="str">
        <f t="shared" si="112"/>
        <v xml:space="preserve">34696       </v>
      </c>
      <c r="O6374">
        <v>230113</v>
      </c>
    </row>
    <row r="6375" spans="1:15" x14ac:dyDescent="0.25">
      <c r="A6375" t="s">
        <v>16</v>
      </c>
      <c r="B6375" t="s">
        <v>3221</v>
      </c>
      <c r="C6375">
        <v>1534</v>
      </c>
      <c r="D6375" t="s">
        <v>226</v>
      </c>
      <c r="E6375" t="s">
        <v>227</v>
      </c>
      <c r="F6375">
        <v>31.95</v>
      </c>
      <c r="G6375">
        <v>230201</v>
      </c>
      <c r="H6375">
        <v>4343</v>
      </c>
      <c r="I6375" t="s">
        <v>91</v>
      </c>
      <c r="J6375">
        <v>39.619999999999997</v>
      </c>
      <c r="K6375">
        <v>7.67</v>
      </c>
      <c r="L6375">
        <v>14422</v>
      </c>
      <c r="M6375" t="s">
        <v>228</v>
      </c>
      <c r="N6375" t="str">
        <f t="shared" ref="N6375:N6383" si="113">"35207       "</f>
        <v xml:space="preserve">35207       </v>
      </c>
      <c r="O6375">
        <v>230209</v>
      </c>
    </row>
    <row r="6376" spans="1:15" x14ac:dyDescent="0.25">
      <c r="A6376" t="s">
        <v>16</v>
      </c>
      <c r="B6376" t="s">
        <v>3221</v>
      </c>
      <c r="C6376">
        <v>1534</v>
      </c>
      <c r="D6376" t="s">
        <v>226</v>
      </c>
      <c r="E6376" t="s">
        <v>227</v>
      </c>
      <c r="F6376">
        <v>31.95</v>
      </c>
      <c r="G6376">
        <v>230201</v>
      </c>
      <c r="H6376">
        <v>4343</v>
      </c>
      <c r="I6376" t="s">
        <v>91</v>
      </c>
      <c r="J6376">
        <v>39.619999999999997</v>
      </c>
      <c r="K6376">
        <v>7.67</v>
      </c>
      <c r="L6376">
        <v>14640</v>
      </c>
      <c r="M6376" t="s">
        <v>229</v>
      </c>
      <c r="N6376" t="str">
        <f t="shared" si="113"/>
        <v xml:space="preserve">35207       </v>
      </c>
      <c r="O6376">
        <v>230209</v>
      </c>
    </row>
    <row r="6377" spans="1:15" x14ac:dyDescent="0.25">
      <c r="A6377" t="s">
        <v>16</v>
      </c>
      <c r="B6377" t="s">
        <v>3221</v>
      </c>
      <c r="C6377">
        <v>1534</v>
      </c>
      <c r="D6377" t="s">
        <v>226</v>
      </c>
      <c r="E6377" t="s">
        <v>227</v>
      </c>
      <c r="F6377">
        <v>31.97</v>
      </c>
      <c r="G6377">
        <v>230201</v>
      </c>
      <c r="H6377">
        <v>4343</v>
      </c>
      <c r="I6377" t="s">
        <v>91</v>
      </c>
      <c r="J6377">
        <v>39.64</v>
      </c>
      <c r="K6377">
        <v>7.67</v>
      </c>
      <c r="L6377">
        <v>14912</v>
      </c>
      <c r="M6377" t="s">
        <v>230</v>
      </c>
      <c r="N6377" t="str">
        <f t="shared" si="113"/>
        <v xml:space="preserve">35207       </v>
      </c>
      <c r="O6377">
        <v>230209</v>
      </c>
    </row>
    <row r="6378" spans="1:15" x14ac:dyDescent="0.25">
      <c r="A6378" t="s">
        <v>16</v>
      </c>
      <c r="B6378" t="s">
        <v>3221</v>
      </c>
      <c r="C6378">
        <v>1534</v>
      </c>
      <c r="D6378" t="s">
        <v>226</v>
      </c>
      <c r="E6378" t="s">
        <v>227</v>
      </c>
      <c r="F6378">
        <v>95.87</v>
      </c>
      <c r="G6378">
        <v>230201</v>
      </c>
      <c r="H6378">
        <v>4343</v>
      </c>
      <c r="I6378" t="s">
        <v>91</v>
      </c>
      <c r="J6378">
        <v>118.88</v>
      </c>
      <c r="K6378">
        <v>23.01</v>
      </c>
      <c r="L6378">
        <v>16431</v>
      </c>
      <c r="M6378" t="s">
        <v>231</v>
      </c>
      <c r="N6378" t="str">
        <f t="shared" si="113"/>
        <v xml:space="preserve">35207       </v>
      </c>
      <c r="O6378">
        <v>230209</v>
      </c>
    </row>
    <row r="6379" spans="1:15" x14ac:dyDescent="0.25">
      <c r="A6379" t="s">
        <v>16</v>
      </c>
      <c r="B6379" t="s">
        <v>3221</v>
      </c>
      <c r="C6379">
        <v>1534</v>
      </c>
      <c r="D6379" t="s">
        <v>226</v>
      </c>
      <c r="E6379" t="s">
        <v>227</v>
      </c>
      <c r="F6379">
        <v>47.94</v>
      </c>
      <c r="G6379">
        <v>230201</v>
      </c>
      <c r="H6379">
        <v>4343</v>
      </c>
      <c r="I6379" t="s">
        <v>91</v>
      </c>
      <c r="J6379">
        <v>59.44</v>
      </c>
      <c r="K6379">
        <v>11.5</v>
      </c>
      <c r="L6379">
        <v>44222</v>
      </c>
      <c r="M6379" t="s">
        <v>232</v>
      </c>
      <c r="N6379" t="str">
        <f t="shared" si="113"/>
        <v xml:space="preserve">35207       </v>
      </c>
      <c r="O6379">
        <v>230209</v>
      </c>
    </row>
    <row r="6380" spans="1:15" x14ac:dyDescent="0.25">
      <c r="A6380" t="s">
        <v>16</v>
      </c>
      <c r="B6380" t="s">
        <v>3221</v>
      </c>
      <c r="C6380">
        <v>1534</v>
      </c>
      <c r="D6380" t="s">
        <v>226</v>
      </c>
      <c r="E6380" t="s">
        <v>227</v>
      </c>
      <c r="F6380">
        <v>47.94</v>
      </c>
      <c r="G6380">
        <v>230201</v>
      </c>
      <c r="H6380">
        <v>4343</v>
      </c>
      <c r="I6380" t="s">
        <v>91</v>
      </c>
      <c r="J6380">
        <v>59.44</v>
      </c>
      <c r="K6380">
        <v>11.5</v>
      </c>
      <c r="L6380">
        <v>49112</v>
      </c>
      <c r="M6380" t="s">
        <v>233</v>
      </c>
      <c r="N6380" t="str">
        <f t="shared" si="113"/>
        <v xml:space="preserve">35207       </v>
      </c>
      <c r="O6380">
        <v>230209</v>
      </c>
    </row>
    <row r="6381" spans="1:15" x14ac:dyDescent="0.25">
      <c r="A6381" t="s">
        <v>16</v>
      </c>
      <c r="B6381" t="s">
        <v>3221</v>
      </c>
      <c r="C6381">
        <v>1534</v>
      </c>
      <c r="D6381" t="s">
        <v>226</v>
      </c>
      <c r="E6381" t="s">
        <v>227</v>
      </c>
      <c r="F6381">
        <v>47.9</v>
      </c>
      <c r="G6381">
        <v>230201</v>
      </c>
      <c r="H6381">
        <v>4343</v>
      </c>
      <c r="I6381" t="s">
        <v>91</v>
      </c>
      <c r="J6381">
        <v>59.39</v>
      </c>
      <c r="K6381">
        <v>11.49</v>
      </c>
      <c r="L6381">
        <v>54422</v>
      </c>
      <c r="M6381" t="s">
        <v>234</v>
      </c>
      <c r="N6381" t="str">
        <f t="shared" si="113"/>
        <v xml:space="preserve">35207       </v>
      </c>
      <c r="O6381">
        <v>230209</v>
      </c>
    </row>
    <row r="6382" spans="1:15" x14ac:dyDescent="0.25">
      <c r="A6382" t="s">
        <v>16</v>
      </c>
      <c r="B6382" t="s">
        <v>3221</v>
      </c>
      <c r="C6382">
        <v>1534</v>
      </c>
      <c r="D6382" t="s">
        <v>226</v>
      </c>
      <c r="E6382" t="s">
        <v>227</v>
      </c>
      <c r="F6382">
        <v>48.05</v>
      </c>
      <c r="G6382">
        <v>230201</v>
      </c>
      <c r="H6382">
        <v>4343</v>
      </c>
      <c r="I6382" t="s">
        <v>91</v>
      </c>
      <c r="J6382">
        <v>59.58</v>
      </c>
      <c r="K6382">
        <v>11.53</v>
      </c>
      <c r="L6382">
        <v>54451</v>
      </c>
      <c r="M6382" t="s">
        <v>158</v>
      </c>
      <c r="N6382" t="str">
        <f t="shared" si="113"/>
        <v xml:space="preserve">35207       </v>
      </c>
      <c r="O6382">
        <v>230209</v>
      </c>
    </row>
    <row r="6383" spans="1:15" x14ac:dyDescent="0.25">
      <c r="A6383" t="s">
        <v>16</v>
      </c>
      <c r="B6383" t="s">
        <v>3221</v>
      </c>
      <c r="C6383">
        <v>1534</v>
      </c>
      <c r="D6383" t="s">
        <v>226</v>
      </c>
      <c r="E6383" t="s">
        <v>227</v>
      </c>
      <c r="F6383">
        <v>47.9</v>
      </c>
      <c r="G6383">
        <v>230201</v>
      </c>
      <c r="H6383">
        <v>4343</v>
      </c>
      <c r="I6383" t="s">
        <v>91</v>
      </c>
      <c r="J6383">
        <v>59.4</v>
      </c>
      <c r="K6383">
        <v>11.5</v>
      </c>
      <c r="L6383">
        <v>59113</v>
      </c>
      <c r="M6383" t="s">
        <v>235</v>
      </c>
      <c r="N6383" t="str">
        <f t="shared" si="113"/>
        <v xml:space="preserve">35207       </v>
      </c>
      <c r="O6383">
        <v>230209</v>
      </c>
    </row>
    <row r="6384" spans="1:15" x14ac:dyDescent="0.25">
      <c r="A6384" t="s">
        <v>16</v>
      </c>
      <c r="B6384" t="s">
        <v>3221</v>
      </c>
      <c r="C6384">
        <v>3097</v>
      </c>
      <c r="D6384" t="s">
        <v>226</v>
      </c>
      <c r="E6384" t="s">
        <v>227</v>
      </c>
      <c r="F6384">
        <v>95.87</v>
      </c>
      <c r="G6384">
        <v>230301</v>
      </c>
      <c r="H6384">
        <v>4343</v>
      </c>
      <c r="I6384" t="s">
        <v>91</v>
      </c>
      <c r="J6384">
        <v>118.88</v>
      </c>
      <c r="K6384">
        <v>23.01</v>
      </c>
      <c r="L6384">
        <v>14422</v>
      </c>
      <c r="M6384" t="s">
        <v>228</v>
      </c>
      <c r="N6384" t="str">
        <f t="shared" ref="N6384:N6390" si="114">"35726       "</f>
        <v xml:space="preserve">35726       </v>
      </c>
      <c r="O6384">
        <v>230309</v>
      </c>
    </row>
    <row r="6385" spans="1:15" x14ac:dyDescent="0.25">
      <c r="A6385" t="s">
        <v>16</v>
      </c>
      <c r="B6385" t="s">
        <v>3221</v>
      </c>
      <c r="C6385">
        <v>3097</v>
      </c>
      <c r="D6385" t="s">
        <v>226</v>
      </c>
      <c r="E6385" t="s">
        <v>227</v>
      </c>
      <c r="F6385">
        <v>95.87</v>
      </c>
      <c r="G6385">
        <v>230301</v>
      </c>
      <c r="H6385">
        <v>4343</v>
      </c>
      <c r="I6385" t="s">
        <v>91</v>
      </c>
      <c r="J6385">
        <v>118.88</v>
      </c>
      <c r="K6385">
        <v>23.01</v>
      </c>
      <c r="L6385">
        <v>16431</v>
      </c>
      <c r="M6385" t="s">
        <v>231</v>
      </c>
      <c r="N6385" t="str">
        <f t="shared" si="114"/>
        <v xml:space="preserve">35726       </v>
      </c>
      <c r="O6385">
        <v>230309</v>
      </c>
    </row>
    <row r="6386" spans="1:15" x14ac:dyDescent="0.25">
      <c r="A6386" t="s">
        <v>16</v>
      </c>
      <c r="B6386" t="s">
        <v>3221</v>
      </c>
      <c r="C6386">
        <v>3097</v>
      </c>
      <c r="D6386" t="s">
        <v>226</v>
      </c>
      <c r="E6386" t="s">
        <v>227</v>
      </c>
      <c r="F6386">
        <v>47.94</v>
      </c>
      <c r="G6386">
        <v>230301</v>
      </c>
      <c r="H6386">
        <v>4343</v>
      </c>
      <c r="I6386" t="s">
        <v>91</v>
      </c>
      <c r="J6386">
        <v>59.44</v>
      </c>
      <c r="K6386">
        <v>11.5</v>
      </c>
      <c r="L6386">
        <v>44222</v>
      </c>
      <c r="M6386" t="s">
        <v>232</v>
      </c>
      <c r="N6386" t="str">
        <f t="shared" si="114"/>
        <v xml:space="preserve">35726       </v>
      </c>
      <c r="O6386">
        <v>230309</v>
      </c>
    </row>
    <row r="6387" spans="1:15" x14ac:dyDescent="0.25">
      <c r="A6387" t="s">
        <v>16</v>
      </c>
      <c r="B6387" t="s">
        <v>3221</v>
      </c>
      <c r="C6387">
        <v>3097</v>
      </c>
      <c r="D6387" t="s">
        <v>226</v>
      </c>
      <c r="E6387" t="s">
        <v>227</v>
      </c>
      <c r="F6387">
        <v>47.94</v>
      </c>
      <c r="G6387">
        <v>230301</v>
      </c>
      <c r="H6387">
        <v>4343</v>
      </c>
      <c r="I6387" t="s">
        <v>91</v>
      </c>
      <c r="J6387">
        <v>59.44</v>
      </c>
      <c r="K6387">
        <v>11.5</v>
      </c>
      <c r="L6387">
        <v>49112</v>
      </c>
      <c r="M6387" t="s">
        <v>233</v>
      </c>
      <c r="N6387" t="str">
        <f t="shared" si="114"/>
        <v xml:space="preserve">35726       </v>
      </c>
      <c r="O6387">
        <v>230309</v>
      </c>
    </row>
    <row r="6388" spans="1:15" x14ac:dyDescent="0.25">
      <c r="A6388" t="s">
        <v>16</v>
      </c>
      <c r="B6388" t="s">
        <v>3221</v>
      </c>
      <c r="C6388">
        <v>3097</v>
      </c>
      <c r="D6388" t="s">
        <v>226</v>
      </c>
      <c r="E6388" t="s">
        <v>227</v>
      </c>
      <c r="F6388">
        <v>47.9</v>
      </c>
      <c r="G6388">
        <v>230301</v>
      </c>
      <c r="H6388">
        <v>4343</v>
      </c>
      <c r="I6388" t="s">
        <v>91</v>
      </c>
      <c r="J6388">
        <v>59.39</v>
      </c>
      <c r="K6388">
        <v>11.49</v>
      </c>
      <c r="L6388">
        <v>54422</v>
      </c>
      <c r="M6388" t="s">
        <v>234</v>
      </c>
      <c r="N6388" t="str">
        <f t="shared" si="114"/>
        <v xml:space="preserve">35726       </v>
      </c>
      <c r="O6388">
        <v>230309</v>
      </c>
    </row>
    <row r="6389" spans="1:15" x14ac:dyDescent="0.25">
      <c r="A6389" t="s">
        <v>16</v>
      </c>
      <c r="B6389" t="s">
        <v>3221</v>
      </c>
      <c r="C6389">
        <v>3097</v>
      </c>
      <c r="D6389" t="s">
        <v>226</v>
      </c>
      <c r="E6389" t="s">
        <v>227</v>
      </c>
      <c r="F6389">
        <v>48.05</v>
      </c>
      <c r="G6389">
        <v>230301</v>
      </c>
      <c r="H6389">
        <v>4343</v>
      </c>
      <c r="I6389" t="s">
        <v>91</v>
      </c>
      <c r="J6389">
        <v>59.58</v>
      </c>
      <c r="K6389">
        <v>11.53</v>
      </c>
      <c r="L6389">
        <v>54451</v>
      </c>
      <c r="M6389" t="s">
        <v>158</v>
      </c>
      <c r="N6389" t="str">
        <f t="shared" si="114"/>
        <v xml:space="preserve">35726       </v>
      </c>
      <c r="O6389">
        <v>230309</v>
      </c>
    </row>
    <row r="6390" spans="1:15" x14ac:dyDescent="0.25">
      <c r="A6390" t="s">
        <v>16</v>
      </c>
      <c r="B6390" t="s">
        <v>3221</v>
      </c>
      <c r="C6390">
        <v>3097</v>
      </c>
      <c r="D6390" t="s">
        <v>226</v>
      </c>
      <c r="E6390" t="s">
        <v>227</v>
      </c>
      <c r="F6390">
        <v>47.9</v>
      </c>
      <c r="G6390">
        <v>230301</v>
      </c>
      <c r="H6390">
        <v>4343</v>
      </c>
      <c r="I6390" t="s">
        <v>91</v>
      </c>
      <c r="J6390">
        <v>59.4</v>
      </c>
      <c r="K6390">
        <v>11.5</v>
      </c>
      <c r="L6390">
        <v>59113</v>
      </c>
      <c r="M6390" t="s">
        <v>235</v>
      </c>
      <c r="N6390" t="str">
        <f t="shared" si="114"/>
        <v xml:space="preserve">35726       </v>
      </c>
      <c r="O6390">
        <v>230309</v>
      </c>
    </row>
    <row r="6391" spans="1:15" x14ac:dyDescent="0.25">
      <c r="A6391" t="s">
        <v>16</v>
      </c>
      <c r="B6391" t="s">
        <v>3221</v>
      </c>
      <c r="C6391">
        <v>4822</v>
      </c>
      <c r="D6391" t="s">
        <v>226</v>
      </c>
      <c r="E6391" t="s">
        <v>227</v>
      </c>
      <c r="F6391">
        <v>31.96</v>
      </c>
      <c r="G6391">
        <v>230401</v>
      </c>
      <c r="H6391">
        <v>4343</v>
      </c>
      <c r="I6391" t="s">
        <v>91</v>
      </c>
      <c r="J6391">
        <v>39.630000000000003</v>
      </c>
      <c r="K6391">
        <v>7.67</v>
      </c>
      <c r="L6391">
        <v>14422</v>
      </c>
      <c r="M6391" t="s">
        <v>228</v>
      </c>
      <c r="N6391" t="str">
        <f t="shared" ref="N6391:N6399" si="115">"36239       "</f>
        <v xml:space="preserve">36239       </v>
      </c>
      <c r="O6391">
        <v>230413</v>
      </c>
    </row>
    <row r="6392" spans="1:15" x14ac:dyDescent="0.25">
      <c r="A6392" t="s">
        <v>16</v>
      </c>
      <c r="B6392" t="s">
        <v>3221</v>
      </c>
      <c r="C6392">
        <v>4822</v>
      </c>
      <c r="D6392" t="s">
        <v>226</v>
      </c>
      <c r="E6392" t="s">
        <v>227</v>
      </c>
      <c r="F6392">
        <v>31.96</v>
      </c>
      <c r="G6392">
        <v>230401</v>
      </c>
      <c r="H6392">
        <v>4343</v>
      </c>
      <c r="I6392" t="s">
        <v>91</v>
      </c>
      <c r="J6392">
        <v>39.630000000000003</v>
      </c>
      <c r="K6392">
        <v>7.67</v>
      </c>
      <c r="L6392">
        <v>14640</v>
      </c>
      <c r="M6392" t="s">
        <v>229</v>
      </c>
      <c r="N6392" t="str">
        <f t="shared" si="115"/>
        <v xml:space="preserve">36239       </v>
      </c>
      <c r="O6392">
        <v>230413</v>
      </c>
    </row>
    <row r="6393" spans="1:15" x14ac:dyDescent="0.25">
      <c r="A6393" t="s">
        <v>16</v>
      </c>
      <c r="B6393" t="s">
        <v>3221</v>
      </c>
      <c r="C6393">
        <v>4822</v>
      </c>
      <c r="D6393" t="s">
        <v>226</v>
      </c>
      <c r="E6393" t="s">
        <v>227</v>
      </c>
      <c r="F6393">
        <v>31.95</v>
      </c>
      <c r="G6393">
        <v>230401</v>
      </c>
      <c r="H6393">
        <v>4343</v>
      </c>
      <c r="I6393" t="s">
        <v>91</v>
      </c>
      <c r="J6393">
        <v>39.619999999999997</v>
      </c>
      <c r="K6393">
        <v>7.67</v>
      </c>
      <c r="L6393">
        <v>14912</v>
      </c>
      <c r="M6393" t="s">
        <v>230</v>
      </c>
      <c r="N6393" t="str">
        <f t="shared" si="115"/>
        <v xml:space="preserve">36239       </v>
      </c>
      <c r="O6393">
        <v>230413</v>
      </c>
    </row>
    <row r="6394" spans="1:15" x14ac:dyDescent="0.25">
      <c r="A6394" t="s">
        <v>16</v>
      </c>
      <c r="B6394" t="s">
        <v>3221</v>
      </c>
      <c r="C6394">
        <v>4822</v>
      </c>
      <c r="D6394" t="s">
        <v>226</v>
      </c>
      <c r="E6394" t="s">
        <v>227</v>
      </c>
      <c r="F6394">
        <v>95.87</v>
      </c>
      <c r="G6394">
        <v>230401</v>
      </c>
      <c r="H6394">
        <v>4343</v>
      </c>
      <c r="I6394" t="s">
        <v>91</v>
      </c>
      <c r="J6394">
        <v>118.88</v>
      </c>
      <c r="K6394">
        <v>23.01</v>
      </c>
      <c r="L6394">
        <v>16431</v>
      </c>
      <c r="M6394" t="s">
        <v>231</v>
      </c>
      <c r="N6394" t="str">
        <f t="shared" si="115"/>
        <v xml:space="preserve">36239       </v>
      </c>
      <c r="O6394">
        <v>230413</v>
      </c>
    </row>
    <row r="6395" spans="1:15" x14ac:dyDescent="0.25">
      <c r="A6395" t="s">
        <v>16</v>
      </c>
      <c r="B6395" t="s">
        <v>3221</v>
      </c>
      <c r="C6395">
        <v>4822</v>
      </c>
      <c r="D6395" t="s">
        <v>226</v>
      </c>
      <c r="E6395" t="s">
        <v>227</v>
      </c>
      <c r="F6395">
        <v>47.94</v>
      </c>
      <c r="G6395">
        <v>230401</v>
      </c>
      <c r="H6395">
        <v>4343</v>
      </c>
      <c r="I6395" t="s">
        <v>91</v>
      </c>
      <c r="J6395">
        <v>59.44</v>
      </c>
      <c r="K6395">
        <v>11.5</v>
      </c>
      <c r="L6395">
        <v>44222</v>
      </c>
      <c r="M6395" t="s">
        <v>232</v>
      </c>
      <c r="N6395" t="str">
        <f t="shared" si="115"/>
        <v xml:space="preserve">36239       </v>
      </c>
      <c r="O6395">
        <v>230413</v>
      </c>
    </row>
    <row r="6396" spans="1:15" x14ac:dyDescent="0.25">
      <c r="A6396" t="s">
        <v>16</v>
      </c>
      <c r="B6396" t="s">
        <v>3221</v>
      </c>
      <c r="C6396">
        <v>4822</v>
      </c>
      <c r="D6396" t="s">
        <v>226</v>
      </c>
      <c r="E6396" t="s">
        <v>227</v>
      </c>
      <c r="F6396">
        <v>47.94</v>
      </c>
      <c r="G6396">
        <v>230401</v>
      </c>
      <c r="H6396">
        <v>4343</v>
      </c>
      <c r="I6396" t="s">
        <v>91</v>
      </c>
      <c r="J6396">
        <v>59.44</v>
      </c>
      <c r="K6396">
        <v>11.5</v>
      </c>
      <c r="L6396">
        <v>49112</v>
      </c>
      <c r="M6396" t="s">
        <v>233</v>
      </c>
      <c r="N6396" t="str">
        <f t="shared" si="115"/>
        <v xml:space="preserve">36239       </v>
      </c>
      <c r="O6396">
        <v>230413</v>
      </c>
    </row>
    <row r="6397" spans="1:15" x14ac:dyDescent="0.25">
      <c r="A6397" t="s">
        <v>16</v>
      </c>
      <c r="B6397" t="s">
        <v>3221</v>
      </c>
      <c r="C6397">
        <v>4822</v>
      </c>
      <c r="D6397" t="s">
        <v>226</v>
      </c>
      <c r="E6397" t="s">
        <v>227</v>
      </c>
      <c r="F6397">
        <v>47.9</v>
      </c>
      <c r="G6397">
        <v>230401</v>
      </c>
      <c r="H6397">
        <v>4343</v>
      </c>
      <c r="I6397" t="s">
        <v>91</v>
      </c>
      <c r="J6397">
        <v>59.39</v>
      </c>
      <c r="K6397">
        <v>11.49</v>
      </c>
      <c r="L6397">
        <v>54422</v>
      </c>
      <c r="M6397" t="s">
        <v>234</v>
      </c>
      <c r="N6397" t="str">
        <f t="shared" si="115"/>
        <v xml:space="preserve">36239       </v>
      </c>
      <c r="O6397">
        <v>230413</v>
      </c>
    </row>
    <row r="6398" spans="1:15" x14ac:dyDescent="0.25">
      <c r="A6398" t="s">
        <v>16</v>
      </c>
      <c r="B6398" t="s">
        <v>3221</v>
      </c>
      <c r="C6398">
        <v>4822</v>
      </c>
      <c r="D6398" t="s">
        <v>226</v>
      </c>
      <c r="E6398" t="s">
        <v>227</v>
      </c>
      <c r="F6398">
        <v>48.05</v>
      </c>
      <c r="G6398">
        <v>230401</v>
      </c>
      <c r="H6398">
        <v>4343</v>
      </c>
      <c r="I6398" t="s">
        <v>91</v>
      </c>
      <c r="J6398">
        <v>59.58</v>
      </c>
      <c r="K6398">
        <v>11.53</v>
      </c>
      <c r="L6398">
        <v>54451</v>
      </c>
      <c r="M6398" t="s">
        <v>158</v>
      </c>
      <c r="N6398" t="str">
        <f t="shared" si="115"/>
        <v xml:space="preserve">36239       </v>
      </c>
      <c r="O6398">
        <v>230413</v>
      </c>
    </row>
    <row r="6399" spans="1:15" x14ac:dyDescent="0.25">
      <c r="A6399" t="s">
        <v>16</v>
      </c>
      <c r="B6399" t="s">
        <v>3221</v>
      </c>
      <c r="C6399">
        <v>4822</v>
      </c>
      <c r="D6399" t="s">
        <v>226</v>
      </c>
      <c r="E6399" t="s">
        <v>227</v>
      </c>
      <c r="F6399">
        <v>47.9</v>
      </c>
      <c r="G6399">
        <v>230401</v>
      </c>
      <c r="H6399">
        <v>4343</v>
      </c>
      <c r="I6399" t="s">
        <v>91</v>
      </c>
      <c r="J6399">
        <v>59.4</v>
      </c>
      <c r="K6399">
        <v>11.5</v>
      </c>
      <c r="L6399">
        <v>59113</v>
      </c>
      <c r="M6399" t="s">
        <v>235</v>
      </c>
      <c r="N6399" t="str">
        <f t="shared" si="115"/>
        <v xml:space="preserve">36239       </v>
      </c>
      <c r="O6399">
        <v>230413</v>
      </c>
    </row>
    <row r="6400" spans="1:15" x14ac:dyDescent="0.25">
      <c r="A6400" t="s">
        <v>16</v>
      </c>
      <c r="B6400" t="s">
        <v>3221</v>
      </c>
      <c r="C6400">
        <v>6300</v>
      </c>
      <c r="D6400" t="s">
        <v>226</v>
      </c>
      <c r="E6400" t="s">
        <v>227</v>
      </c>
      <c r="F6400">
        <v>31.96</v>
      </c>
      <c r="G6400">
        <v>230501</v>
      </c>
      <c r="H6400">
        <v>4343</v>
      </c>
      <c r="I6400" t="s">
        <v>91</v>
      </c>
      <c r="J6400">
        <v>39.630000000000003</v>
      </c>
      <c r="K6400">
        <v>7.67</v>
      </c>
      <c r="L6400">
        <v>14422</v>
      </c>
      <c r="M6400" t="s">
        <v>228</v>
      </c>
      <c r="N6400" t="str">
        <f t="shared" ref="N6400:N6408" si="116">"36702       "</f>
        <v xml:space="preserve">36702       </v>
      </c>
      <c r="O6400">
        <v>230510</v>
      </c>
    </row>
    <row r="6401" spans="1:15" x14ac:dyDescent="0.25">
      <c r="A6401" t="s">
        <v>16</v>
      </c>
      <c r="B6401" t="s">
        <v>3221</v>
      </c>
      <c r="C6401">
        <v>6300</v>
      </c>
      <c r="D6401" t="s">
        <v>226</v>
      </c>
      <c r="E6401" t="s">
        <v>227</v>
      </c>
      <c r="F6401">
        <v>31.96</v>
      </c>
      <c r="G6401">
        <v>230501</v>
      </c>
      <c r="H6401">
        <v>4343</v>
      </c>
      <c r="I6401" t="s">
        <v>91</v>
      </c>
      <c r="J6401">
        <v>39.630000000000003</v>
      </c>
      <c r="K6401">
        <v>7.67</v>
      </c>
      <c r="L6401">
        <v>14640</v>
      </c>
      <c r="M6401" t="s">
        <v>229</v>
      </c>
      <c r="N6401" t="str">
        <f t="shared" si="116"/>
        <v xml:space="preserve">36702       </v>
      </c>
      <c r="O6401">
        <v>230510</v>
      </c>
    </row>
    <row r="6402" spans="1:15" x14ac:dyDescent="0.25">
      <c r="A6402" t="s">
        <v>16</v>
      </c>
      <c r="B6402" t="s">
        <v>3221</v>
      </c>
      <c r="C6402">
        <v>6300</v>
      </c>
      <c r="D6402" t="s">
        <v>226</v>
      </c>
      <c r="E6402" t="s">
        <v>227</v>
      </c>
      <c r="F6402">
        <v>31.95</v>
      </c>
      <c r="G6402">
        <v>230501</v>
      </c>
      <c r="H6402">
        <v>4343</v>
      </c>
      <c r="I6402" t="s">
        <v>91</v>
      </c>
      <c r="J6402">
        <v>39.619999999999997</v>
      </c>
      <c r="K6402">
        <v>7.67</v>
      </c>
      <c r="L6402">
        <v>14912</v>
      </c>
      <c r="M6402" t="s">
        <v>230</v>
      </c>
      <c r="N6402" t="str">
        <f t="shared" si="116"/>
        <v xml:space="preserve">36702       </v>
      </c>
      <c r="O6402">
        <v>230510</v>
      </c>
    </row>
    <row r="6403" spans="1:15" x14ac:dyDescent="0.25">
      <c r="A6403" t="s">
        <v>16</v>
      </c>
      <c r="B6403" t="s">
        <v>3221</v>
      </c>
      <c r="C6403">
        <v>6300</v>
      </c>
      <c r="D6403" t="s">
        <v>226</v>
      </c>
      <c r="E6403" t="s">
        <v>227</v>
      </c>
      <c r="F6403">
        <v>95.87</v>
      </c>
      <c r="G6403">
        <v>230501</v>
      </c>
      <c r="H6403">
        <v>4343</v>
      </c>
      <c r="I6403" t="s">
        <v>91</v>
      </c>
      <c r="J6403">
        <v>118.88</v>
      </c>
      <c r="K6403">
        <v>23.01</v>
      </c>
      <c r="L6403">
        <v>16431</v>
      </c>
      <c r="M6403" t="s">
        <v>231</v>
      </c>
      <c r="N6403" t="str">
        <f t="shared" si="116"/>
        <v xml:space="preserve">36702       </v>
      </c>
      <c r="O6403">
        <v>230510</v>
      </c>
    </row>
    <row r="6404" spans="1:15" x14ac:dyDescent="0.25">
      <c r="A6404" t="s">
        <v>16</v>
      </c>
      <c r="B6404" t="s">
        <v>3221</v>
      </c>
      <c r="C6404">
        <v>6300</v>
      </c>
      <c r="D6404" t="s">
        <v>226</v>
      </c>
      <c r="E6404" t="s">
        <v>227</v>
      </c>
      <c r="F6404">
        <v>47.94</v>
      </c>
      <c r="G6404">
        <v>230501</v>
      </c>
      <c r="H6404">
        <v>4343</v>
      </c>
      <c r="I6404" t="s">
        <v>91</v>
      </c>
      <c r="J6404">
        <v>59.44</v>
      </c>
      <c r="K6404">
        <v>11.5</v>
      </c>
      <c r="L6404">
        <v>44222</v>
      </c>
      <c r="M6404" t="s">
        <v>232</v>
      </c>
      <c r="N6404" t="str">
        <f t="shared" si="116"/>
        <v xml:space="preserve">36702       </v>
      </c>
      <c r="O6404">
        <v>230510</v>
      </c>
    </row>
    <row r="6405" spans="1:15" x14ac:dyDescent="0.25">
      <c r="A6405" t="s">
        <v>16</v>
      </c>
      <c r="B6405" t="s">
        <v>3221</v>
      </c>
      <c r="C6405">
        <v>6300</v>
      </c>
      <c r="D6405" t="s">
        <v>226</v>
      </c>
      <c r="E6405" t="s">
        <v>227</v>
      </c>
      <c r="F6405">
        <v>47.94</v>
      </c>
      <c r="G6405">
        <v>230501</v>
      </c>
      <c r="H6405">
        <v>4343</v>
      </c>
      <c r="I6405" t="s">
        <v>91</v>
      </c>
      <c r="J6405">
        <v>59.44</v>
      </c>
      <c r="K6405">
        <v>11.5</v>
      </c>
      <c r="L6405">
        <v>49112</v>
      </c>
      <c r="M6405" t="s">
        <v>233</v>
      </c>
      <c r="N6405" t="str">
        <f t="shared" si="116"/>
        <v xml:space="preserve">36702       </v>
      </c>
      <c r="O6405">
        <v>230510</v>
      </c>
    </row>
    <row r="6406" spans="1:15" x14ac:dyDescent="0.25">
      <c r="A6406" t="s">
        <v>16</v>
      </c>
      <c r="B6406" t="s">
        <v>3221</v>
      </c>
      <c r="C6406">
        <v>6300</v>
      </c>
      <c r="D6406" t="s">
        <v>226</v>
      </c>
      <c r="E6406" t="s">
        <v>227</v>
      </c>
      <c r="F6406">
        <v>47.9</v>
      </c>
      <c r="G6406">
        <v>230501</v>
      </c>
      <c r="H6406">
        <v>4343</v>
      </c>
      <c r="I6406" t="s">
        <v>91</v>
      </c>
      <c r="J6406">
        <v>59.39</v>
      </c>
      <c r="K6406">
        <v>11.49</v>
      </c>
      <c r="L6406">
        <v>54422</v>
      </c>
      <c r="M6406" t="s">
        <v>234</v>
      </c>
      <c r="N6406" t="str">
        <f t="shared" si="116"/>
        <v xml:space="preserve">36702       </v>
      </c>
      <c r="O6406">
        <v>230510</v>
      </c>
    </row>
    <row r="6407" spans="1:15" x14ac:dyDescent="0.25">
      <c r="A6407" t="s">
        <v>16</v>
      </c>
      <c r="B6407" t="s">
        <v>3221</v>
      </c>
      <c r="C6407">
        <v>6300</v>
      </c>
      <c r="D6407" t="s">
        <v>226</v>
      </c>
      <c r="E6407" t="s">
        <v>227</v>
      </c>
      <c r="F6407">
        <v>48.05</v>
      </c>
      <c r="G6407">
        <v>230501</v>
      </c>
      <c r="H6407">
        <v>4343</v>
      </c>
      <c r="I6407" t="s">
        <v>91</v>
      </c>
      <c r="J6407">
        <v>59.58</v>
      </c>
      <c r="K6407">
        <v>11.53</v>
      </c>
      <c r="L6407">
        <v>54451</v>
      </c>
      <c r="M6407" t="s">
        <v>158</v>
      </c>
      <c r="N6407" t="str">
        <f t="shared" si="116"/>
        <v xml:space="preserve">36702       </v>
      </c>
      <c r="O6407">
        <v>230510</v>
      </c>
    </row>
    <row r="6408" spans="1:15" x14ac:dyDescent="0.25">
      <c r="A6408" t="s">
        <v>16</v>
      </c>
      <c r="B6408" t="s">
        <v>3221</v>
      </c>
      <c r="C6408">
        <v>6300</v>
      </c>
      <c r="D6408" t="s">
        <v>226</v>
      </c>
      <c r="E6408" t="s">
        <v>227</v>
      </c>
      <c r="F6408">
        <v>47.9</v>
      </c>
      <c r="G6408">
        <v>230501</v>
      </c>
      <c r="H6408">
        <v>4343</v>
      </c>
      <c r="I6408" t="s">
        <v>91</v>
      </c>
      <c r="J6408">
        <v>59.4</v>
      </c>
      <c r="K6408">
        <v>11.5</v>
      </c>
      <c r="L6408">
        <v>59113</v>
      </c>
      <c r="M6408" t="s">
        <v>235</v>
      </c>
      <c r="N6408" t="str">
        <f t="shared" si="116"/>
        <v xml:space="preserve">36702       </v>
      </c>
      <c r="O6408">
        <v>230510</v>
      </c>
    </row>
    <row r="6409" spans="1:15" x14ac:dyDescent="0.25">
      <c r="A6409" t="s">
        <v>16</v>
      </c>
      <c r="B6409" t="s">
        <v>3221</v>
      </c>
      <c r="C6409">
        <v>8538</v>
      </c>
      <c r="D6409" t="s">
        <v>226</v>
      </c>
      <c r="E6409" t="s">
        <v>227</v>
      </c>
      <c r="F6409">
        <v>31.96</v>
      </c>
      <c r="G6409">
        <v>230601</v>
      </c>
      <c r="H6409">
        <v>4343</v>
      </c>
      <c r="I6409" t="s">
        <v>91</v>
      </c>
      <c r="J6409">
        <v>39.630000000000003</v>
      </c>
      <c r="K6409">
        <v>7.67</v>
      </c>
      <c r="L6409">
        <v>14422</v>
      </c>
      <c r="M6409" t="s">
        <v>228</v>
      </c>
      <c r="N6409" t="str">
        <f t="shared" ref="N6409:N6417" si="117">"37191       "</f>
        <v xml:space="preserve">37191       </v>
      </c>
      <c r="O6409">
        <v>230612</v>
      </c>
    </row>
    <row r="6410" spans="1:15" x14ac:dyDescent="0.25">
      <c r="A6410" t="s">
        <v>16</v>
      </c>
      <c r="B6410" t="s">
        <v>3221</v>
      </c>
      <c r="C6410">
        <v>8538</v>
      </c>
      <c r="D6410" t="s">
        <v>226</v>
      </c>
      <c r="E6410" t="s">
        <v>227</v>
      </c>
      <c r="F6410">
        <v>31.96</v>
      </c>
      <c r="G6410">
        <v>230601</v>
      </c>
      <c r="H6410">
        <v>4343</v>
      </c>
      <c r="I6410" t="s">
        <v>91</v>
      </c>
      <c r="J6410">
        <v>39.630000000000003</v>
      </c>
      <c r="K6410">
        <v>7.67</v>
      </c>
      <c r="L6410">
        <v>14640</v>
      </c>
      <c r="M6410" t="s">
        <v>229</v>
      </c>
      <c r="N6410" t="str">
        <f t="shared" si="117"/>
        <v xml:space="preserve">37191       </v>
      </c>
      <c r="O6410">
        <v>230612</v>
      </c>
    </row>
    <row r="6411" spans="1:15" x14ac:dyDescent="0.25">
      <c r="A6411" t="s">
        <v>16</v>
      </c>
      <c r="B6411" t="s">
        <v>3221</v>
      </c>
      <c r="C6411">
        <v>8538</v>
      </c>
      <c r="D6411" t="s">
        <v>226</v>
      </c>
      <c r="E6411" t="s">
        <v>227</v>
      </c>
      <c r="F6411">
        <v>31.95</v>
      </c>
      <c r="G6411">
        <v>230601</v>
      </c>
      <c r="H6411">
        <v>4343</v>
      </c>
      <c r="I6411" t="s">
        <v>91</v>
      </c>
      <c r="J6411">
        <v>39.619999999999997</v>
      </c>
      <c r="K6411">
        <v>7.67</v>
      </c>
      <c r="L6411">
        <v>14912</v>
      </c>
      <c r="M6411" t="s">
        <v>230</v>
      </c>
      <c r="N6411" t="str">
        <f t="shared" si="117"/>
        <v xml:space="preserve">37191       </v>
      </c>
      <c r="O6411">
        <v>230612</v>
      </c>
    </row>
    <row r="6412" spans="1:15" x14ac:dyDescent="0.25">
      <c r="A6412" t="s">
        <v>16</v>
      </c>
      <c r="B6412" t="s">
        <v>3221</v>
      </c>
      <c r="C6412">
        <v>8538</v>
      </c>
      <c r="D6412" t="s">
        <v>226</v>
      </c>
      <c r="E6412" t="s">
        <v>227</v>
      </c>
      <c r="F6412">
        <v>95.87</v>
      </c>
      <c r="G6412">
        <v>230601</v>
      </c>
      <c r="H6412">
        <v>4343</v>
      </c>
      <c r="I6412" t="s">
        <v>91</v>
      </c>
      <c r="J6412">
        <v>118.88</v>
      </c>
      <c r="K6412">
        <v>23.01</v>
      </c>
      <c r="L6412">
        <v>16431</v>
      </c>
      <c r="M6412" t="s">
        <v>231</v>
      </c>
      <c r="N6412" t="str">
        <f t="shared" si="117"/>
        <v xml:space="preserve">37191       </v>
      </c>
      <c r="O6412">
        <v>230612</v>
      </c>
    </row>
    <row r="6413" spans="1:15" x14ac:dyDescent="0.25">
      <c r="A6413" t="s">
        <v>16</v>
      </c>
      <c r="B6413" t="s">
        <v>3221</v>
      </c>
      <c r="C6413">
        <v>8538</v>
      </c>
      <c r="D6413" t="s">
        <v>226</v>
      </c>
      <c r="E6413" t="s">
        <v>227</v>
      </c>
      <c r="F6413">
        <v>47.94</v>
      </c>
      <c r="G6413">
        <v>230601</v>
      </c>
      <c r="H6413">
        <v>4343</v>
      </c>
      <c r="I6413" t="s">
        <v>91</v>
      </c>
      <c r="J6413">
        <v>59.44</v>
      </c>
      <c r="K6413">
        <v>11.5</v>
      </c>
      <c r="L6413">
        <v>44222</v>
      </c>
      <c r="M6413" t="s">
        <v>232</v>
      </c>
      <c r="N6413" t="str">
        <f t="shared" si="117"/>
        <v xml:space="preserve">37191       </v>
      </c>
      <c r="O6413">
        <v>230612</v>
      </c>
    </row>
    <row r="6414" spans="1:15" x14ac:dyDescent="0.25">
      <c r="A6414" t="s">
        <v>16</v>
      </c>
      <c r="B6414" t="s">
        <v>3221</v>
      </c>
      <c r="C6414">
        <v>8538</v>
      </c>
      <c r="D6414" t="s">
        <v>226</v>
      </c>
      <c r="E6414" t="s">
        <v>227</v>
      </c>
      <c r="F6414">
        <v>47.94</v>
      </c>
      <c r="G6414">
        <v>230601</v>
      </c>
      <c r="H6414">
        <v>4343</v>
      </c>
      <c r="I6414" t="s">
        <v>91</v>
      </c>
      <c r="J6414">
        <v>59.44</v>
      </c>
      <c r="K6414">
        <v>11.5</v>
      </c>
      <c r="L6414">
        <v>49112</v>
      </c>
      <c r="M6414" t="s">
        <v>233</v>
      </c>
      <c r="N6414" t="str">
        <f t="shared" si="117"/>
        <v xml:space="preserve">37191       </v>
      </c>
      <c r="O6414">
        <v>230612</v>
      </c>
    </row>
    <row r="6415" spans="1:15" x14ac:dyDescent="0.25">
      <c r="A6415" t="s">
        <v>16</v>
      </c>
      <c r="B6415" t="s">
        <v>3221</v>
      </c>
      <c r="C6415">
        <v>8538</v>
      </c>
      <c r="D6415" t="s">
        <v>226</v>
      </c>
      <c r="E6415" t="s">
        <v>227</v>
      </c>
      <c r="F6415">
        <v>47.9</v>
      </c>
      <c r="G6415">
        <v>230601</v>
      </c>
      <c r="H6415">
        <v>4343</v>
      </c>
      <c r="I6415" t="s">
        <v>91</v>
      </c>
      <c r="J6415">
        <v>59.39</v>
      </c>
      <c r="K6415">
        <v>11.49</v>
      </c>
      <c r="L6415">
        <v>54422</v>
      </c>
      <c r="M6415" t="s">
        <v>234</v>
      </c>
      <c r="N6415" t="str">
        <f t="shared" si="117"/>
        <v xml:space="preserve">37191       </v>
      </c>
      <c r="O6415">
        <v>230612</v>
      </c>
    </row>
    <row r="6416" spans="1:15" x14ac:dyDescent="0.25">
      <c r="A6416" t="s">
        <v>16</v>
      </c>
      <c r="B6416" t="s">
        <v>3221</v>
      </c>
      <c r="C6416">
        <v>8538</v>
      </c>
      <c r="D6416" t="s">
        <v>226</v>
      </c>
      <c r="E6416" t="s">
        <v>227</v>
      </c>
      <c r="F6416">
        <v>48.05</v>
      </c>
      <c r="G6416">
        <v>230601</v>
      </c>
      <c r="H6416">
        <v>4343</v>
      </c>
      <c r="I6416" t="s">
        <v>91</v>
      </c>
      <c r="J6416">
        <v>59.58</v>
      </c>
      <c r="K6416">
        <v>11.53</v>
      </c>
      <c r="L6416">
        <v>54451</v>
      </c>
      <c r="M6416" t="s">
        <v>158</v>
      </c>
      <c r="N6416" t="str">
        <f t="shared" si="117"/>
        <v xml:space="preserve">37191       </v>
      </c>
      <c r="O6416">
        <v>230612</v>
      </c>
    </row>
    <row r="6417" spans="1:15" x14ac:dyDescent="0.25">
      <c r="A6417" t="s">
        <v>16</v>
      </c>
      <c r="B6417" t="s">
        <v>3221</v>
      </c>
      <c r="C6417">
        <v>8538</v>
      </c>
      <c r="D6417" t="s">
        <v>226</v>
      </c>
      <c r="E6417" t="s">
        <v>227</v>
      </c>
      <c r="F6417">
        <v>47.9</v>
      </c>
      <c r="G6417">
        <v>230601</v>
      </c>
      <c r="H6417">
        <v>4343</v>
      </c>
      <c r="I6417" t="s">
        <v>91</v>
      </c>
      <c r="J6417">
        <v>59.4</v>
      </c>
      <c r="K6417">
        <v>11.5</v>
      </c>
      <c r="L6417">
        <v>59113</v>
      </c>
      <c r="M6417" t="s">
        <v>235</v>
      </c>
      <c r="N6417" t="str">
        <f t="shared" si="117"/>
        <v xml:space="preserve">37191       </v>
      </c>
      <c r="O6417">
        <v>230612</v>
      </c>
    </row>
    <row r="6418" spans="1:15" x14ac:dyDescent="0.25">
      <c r="A6418" t="s">
        <v>16</v>
      </c>
      <c r="B6418" t="s">
        <v>3221</v>
      </c>
      <c r="C6418">
        <v>9663</v>
      </c>
      <c r="D6418" t="s">
        <v>226</v>
      </c>
      <c r="E6418" t="s">
        <v>227</v>
      </c>
      <c r="F6418">
        <v>31.95</v>
      </c>
      <c r="G6418">
        <v>230701</v>
      </c>
      <c r="H6418">
        <v>4343</v>
      </c>
      <c r="I6418" t="s">
        <v>91</v>
      </c>
      <c r="J6418">
        <v>39.619999999999997</v>
      </c>
      <c r="K6418">
        <v>7.67</v>
      </c>
      <c r="L6418">
        <v>14422</v>
      </c>
      <c r="M6418" t="s">
        <v>228</v>
      </c>
      <c r="N6418" t="str">
        <f t="shared" ref="N6418:N6426" si="118">"37668       "</f>
        <v xml:space="preserve">37668       </v>
      </c>
      <c r="O6418">
        <v>230718</v>
      </c>
    </row>
    <row r="6419" spans="1:15" x14ac:dyDescent="0.25">
      <c r="A6419" t="s">
        <v>16</v>
      </c>
      <c r="B6419" t="s">
        <v>3221</v>
      </c>
      <c r="C6419">
        <v>9663</v>
      </c>
      <c r="D6419" t="s">
        <v>226</v>
      </c>
      <c r="E6419" t="s">
        <v>227</v>
      </c>
      <c r="F6419">
        <v>31.95</v>
      </c>
      <c r="G6419">
        <v>230701</v>
      </c>
      <c r="H6419">
        <v>4343</v>
      </c>
      <c r="I6419" t="s">
        <v>91</v>
      </c>
      <c r="J6419">
        <v>39.619999999999997</v>
      </c>
      <c r="K6419">
        <v>7.67</v>
      </c>
      <c r="L6419">
        <v>14640</v>
      </c>
      <c r="M6419" t="s">
        <v>229</v>
      </c>
      <c r="N6419" t="str">
        <f t="shared" si="118"/>
        <v xml:space="preserve">37668       </v>
      </c>
      <c r="O6419">
        <v>230718</v>
      </c>
    </row>
    <row r="6420" spans="1:15" x14ac:dyDescent="0.25">
      <c r="A6420" t="s">
        <v>16</v>
      </c>
      <c r="B6420" t="s">
        <v>3221</v>
      </c>
      <c r="C6420">
        <v>9663</v>
      </c>
      <c r="D6420" t="s">
        <v>226</v>
      </c>
      <c r="E6420" t="s">
        <v>227</v>
      </c>
      <c r="F6420">
        <v>31.97</v>
      </c>
      <c r="G6420">
        <v>230701</v>
      </c>
      <c r="H6420">
        <v>4343</v>
      </c>
      <c r="I6420" t="s">
        <v>91</v>
      </c>
      <c r="J6420">
        <v>39.64</v>
      </c>
      <c r="K6420">
        <v>7.67</v>
      </c>
      <c r="L6420">
        <v>14912</v>
      </c>
      <c r="M6420" t="s">
        <v>230</v>
      </c>
      <c r="N6420" t="str">
        <f t="shared" si="118"/>
        <v xml:space="preserve">37668       </v>
      </c>
      <c r="O6420">
        <v>230718</v>
      </c>
    </row>
    <row r="6421" spans="1:15" x14ac:dyDescent="0.25">
      <c r="A6421" t="s">
        <v>16</v>
      </c>
      <c r="B6421" t="s">
        <v>3221</v>
      </c>
      <c r="C6421">
        <v>9663</v>
      </c>
      <c r="D6421" t="s">
        <v>226</v>
      </c>
      <c r="E6421" t="s">
        <v>227</v>
      </c>
      <c r="F6421">
        <v>95.87</v>
      </c>
      <c r="G6421">
        <v>230701</v>
      </c>
      <c r="H6421">
        <v>4343</v>
      </c>
      <c r="I6421" t="s">
        <v>91</v>
      </c>
      <c r="J6421">
        <v>118.88</v>
      </c>
      <c r="K6421">
        <v>23.01</v>
      </c>
      <c r="L6421">
        <v>16431</v>
      </c>
      <c r="M6421" t="s">
        <v>231</v>
      </c>
      <c r="N6421" t="str">
        <f t="shared" si="118"/>
        <v xml:space="preserve">37668       </v>
      </c>
      <c r="O6421">
        <v>230718</v>
      </c>
    </row>
    <row r="6422" spans="1:15" x14ac:dyDescent="0.25">
      <c r="A6422" t="s">
        <v>16</v>
      </c>
      <c r="B6422" t="s">
        <v>3221</v>
      </c>
      <c r="C6422">
        <v>9663</v>
      </c>
      <c r="D6422" t="s">
        <v>226</v>
      </c>
      <c r="E6422" t="s">
        <v>227</v>
      </c>
      <c r="F6422">
        <v>47.94</v>
      </c>
      <c r="G6422">
        <v>230701</v>
      </c>
      <c r="H6422">
        <v>4343</v>
      </c>
      <c r="I6422" t="s">
        <v>91</v>
      </c>
      <c r="J6422">
        <v>59.44</v>
      </c>
      <c r="K6422">
        <v>11.5</v>
      </c>
      <c r="L6422">
        <v>44222</v>
      </c>
      <c r="M6422" t="s">
        <v>232</v>
      </c>
      <c r="N6422" t="str">
        <f t="shared" si="118"/>
        <v xml:space="preserve">37668       </v>
      </c>
      <c r="O6422">
        <v>230718</v>
      </c>
    </row>
    <row r="6423" spans="1:15" x14ac:dyDescent="0.25">
      <c r="A6423" t="s">
        <v>16</v>
      </c>
      <c r="B6423" t="s">
        <v>3221</v>
      </c>
      <c r="C6423">
        <v>9663</v>
      </c>
      <c r="D6423" t="s">
        <v>226</v>
      </c>
      <c r="E6423" t="s">
        <v>227</v>
      </c>
      <c r="F6423">
        <v>47.94</v>
      </c>
      <c r="G6423">
        <v>230701</v>
      </c>
      <c r="H6423">
        <v>4343</v>
      </c>
      <c r="I6423" t="s">
        <v>91</v>
      </c>
      <c r="J6423">
        <v>59.44</v>
      </c>
      <c r="K6423">
        <v>11.5</v>
      </c>
      <c r="L6423">
        <v>49112</v>
      </c>
      <c r="M6423" t="s">
        <v>233</v>
      </c>
      <c r="N6423" t="str">
        <f t="shared" si="118"/>
        <v xml:space="preserve">37668       </v>
      </c>
      <c r="O6423">
        <v>230718</v>
      </c>
    </row>
    <row r="6424" spans="1:15" x14ac:dyDescent="0.25">
      <c r="A6424" t="s">
        <v>16</v>
      </c>
      <c r="B6424" t="s">
        <v>3221</v>
      </c>
      <c r="C6424">
        <v>9663</v>
      </c>
      <c r="D6424" t="s">
        <v>226</v>
      </c>
      <c r="E6424" t="s">
        <v>227</v>
      </c>
      <c r="F6424">
        <v>47.9</v>
      </c>
      <c r="G6424">
        <v>230701</v>
      </c>
      <c r="H6424">
        <v>4343</v>
      </c>
      <c r="I6424" t="s">
        <v>91</v>
      </c>
      <c r="J6424">
        <v>59.39</v>
      </c>
      <c r="K6424">
        <v>11.49</v>
      </c>
      <c r="L6424">
        <v>54422</v>
      </c>
      <c r="M6424" t="s">
        <v>234</v>
      </c>
      <c r="N6424" t="str">
        <f t="shared" si="118"/>
        <v xml:space="preserve">37668       </v>
      </c>
      <c r="O6424">
        <v>230718</v>
      </c>
    </row>
    <row r="6425" spans="1:15" x14ac:dyDescent="0.25">
      <c r="A6425" t="s">
        <v>16</v>
      </c>
      <c r="B6425" t="s">
        <v>3221</v>
      </c>
      <c r="C6425">
        <v>9663</v>
      </c>
      <c r="D6425" t="s">
        <v>226</v>
      </c>
      <c r="E6425" t="s">
        <v>227</v>
      </c>
      <c r="F6425">
        <v>48.05</v>
      </c>
      <c r="G6425">
        <v>230701</v>
      </c>
      <c r="H6425">
        <v>4343</v>
      </c>
      <c r="I6425" t="s">
        <v>91</v>
      </c>
      <c r="J6425">
        <v>59.58</v>
      </c>
      <c r="K6425">
        <v>11.53</v>
      </c>
      <c r="L6425">
        <v>54451</v>
      </c>
      <c r="M6425" t="s">
        <v>158</v>
      </c>
      <c r="N6425" t="str">
        <f t="shared" si="118"/>
        <v xml:space="preserve">37668       </v>
      </c>
      <c r="O6425">
        <v>230718</v>
      </c>
    </row>
    <row r="6426" spans="1:15" x14ac:dyDescent="0.25">
      <c r="A6426" t="s">
        <v>16</v>
      </c>
      <c r="B6426" t="s">
        <v>3221</v>
      </c>
      <c r="C6426">
        <v>9663</v>
      </c>
      <c r="D6426" t="s">
        <v>226</v>
      </c>
      <c r="E6426" t="s">
        <v>227</v>
      </c>
      <c r="F6426">
        <v>47.9</v>
      </c>
      <c r="G6426">
        <v>230701</v>
      </c>
      <c r="H6426">
        <v>4343</v>
      </c>
      <c r="I6426" t="s">
        <v>91</v>
      </c>
      <c r="J6426">
        <v>59.4</v>
      </c>
      <c r="K6426">
        <v>11.5</v>
      </c>
      <c r="L6426">
        <v>59113</v>
      </c>
      <c r="M6426" t="s">
        <v>235</v>
      </c>
      <c r="N6426" t="str">
        <f t="shared" si="118"/>
        <v xml:space="preserve">37668       </v>
      </c>
      <c r="O6426">
        <v>230718</v>
      </c>
    </row>
    <row r="6427" spans="1:15" x14ac:dyDescent="0.25">
      <c r="A6427" t="s">
        <v>16</v>
      </c>
      <c r="B6427" t="s">
        <v>3221</v>
      </c>
      <c r="C6427">
        <v>10152</v>
      </c>
      <c r="D6427" t="s">
        <v>226</v>
      </c>
      <c r="E6427" t="s">
        <v>227</v>
      </c>
      <c r="F6427">
        <v>31.96</v>
      </c>
      <c r="G6427">
        <v>230801</v>
      </c>
      <c r="H6427">
        <v>4343</v>
      </c>
      <c r="I6427" t="s">
        <v>91</v>
      </c>
      <c r="J6427">
        <v>39.630000000000003</v>
      </c>
      <c r="K6427">
        <v>7.67</v>
      </c>
      <c r="L6427">
        <v>14422</v>
      </c>
      <c r="M6427" t="s">
        <v>228</v>
      </c>
      <c r="N6427" t="str">
        <f t="shared" ref="N6427:N6435" si="119">"38110       "</f>
        <v xml:space="preserve">38110       </v>
      </c>
      <c r="O6427">
        <v>230808</v>
      </c>
    </row>
    <row r="6428" spans="1:15" x14ac:dyDescent="0.25">
      <c r="A6428" t="s">
        <v>16</v>
      </c>
      <c r="B6428" t="s">
        <v>3221</v>
      </c>
      <c r="C6428">
        <v>10152</v>
      </c>
      <c r="D6428" t="s">
        <v>226</v>
      </c>
      <c r="E6428" t="s">
        <v>227</v>
      </c>
      <c r="F6428">
        <v>31.96</v>
      </c>
      <c r="G6428">
        <v>230801</v>
      </c>
      <c r="H6428">
        <v>4343</v>
      </c>
      <c r="I6428" t="s">
        <v>91</v>
      </c>
      <c r="J6428">
        <v>39.630000000000003</v>
      </c>
      <c r="K6428">
        <v>7.67</v>
      </c>
      <c r="L6428">
        <v>14640</v>
      </c>
      <c r="M6428" t="s">
        <v>229</v>
      </c>
      <c r="N6428" t="str">
        <f t="shared" si="119"/>
        <v xml:space="preserve">38110       </v>
      </c>
      <c r="O6428">
        <v>230808</v>
      </c>
    </row>
    <row r="6429" spans="1:15" x14ac:dyDescent="0.25">
      <c r="A6429" t="s">
        <v>16</v>
      </c>
      <c r="B6429" t="s">
        <v>3221</v>
      </c>
      <c r="C6429">
        <v>10152</v>
      </c>
      <c r="D6429" t="s">
        <v>226</v>
      </c>
      <c r="E6429" t="s">
        <v>227</v>
      </c>
      <c r="F6429">
        <v>31.95</v>
      </c>
      <c r="G6429">
        <v>230801</v>
      </c>
      <c r="H6429">
        <v>4343</v>
      </c>
      <c r="I6429" t="s">
        <v>91</v>
      </c>
      <c r="J6429">
        <v>39.619999999999997</v>
      </c>
      <c r="K6429">
        <v>7.67</v>
      </c>
      <c r="L6429">
        <v>14912</v>
      </c>
      <c r="M6429" t="s">
        <v>230</v>
      </c>
      <c r="N6429" t="str">
        <f t="shared" si="119"/>
        <v xml:space="preserve">38110       </v>
      </c>
      <c r="O6429">
        <v>230808</v>
      </c>
    </row>
    <row r="6430" spans="1:15" x14ac:dyDescent="0.25">
      <c r="A6430" t="s">
        <v>16</v>
      </c>
      <c r="B6430" t="s">
        <v>3221</v>
      </c>
      <c r="C6430">
        <v>10152</v>
      </c>
      <c r="D6430" t="s">
        <v>226</v>
      </c>
      <c r="E6430" t="s">
        <v>227</v>
      </c>
      <c r="F6430">
        <v>95.87</v>
      </c>
      <c r="G6430">
        <v>230801</v>
      </c>
      <c r="H6430">
        <v>4343</v>
      </c>
      <c r="I6430" t="s">
        <v>91</v>
      </c>
      <c r="J6430">
        <v>118.88</v>
      </c>
      <c r="K6430">
        <v>23.01</v>
      </c>
      <c r="L6430">
        <v>16431</v>
      </c>
      <c r="M6430" t="s">
        <v>231</v>
      </c>
      <c r="N6430" t="str">
        <f t="shared" si="119"/>
        <v xml:space="preserve">38110       </v>
      </c>
      <c r="O6430">
        <v>230808</v>
      </c>
    </row>
    <row r="6431" spans="1:15" x14ac:dyDescent="0.25">
      <c r="A6431" t="s">
        <v>16</v>
      </c>
      <c r="B6431" t="s">
        <v>3221</v>
      </c>
      <c r="C6431">
        <v>10152</v>
      </c>
      <c r="D6431" t="s">
        <v>226</v>
      </c>
      <c r="E6431" t="s">
        <v>227</v>
      </c>
      <c r="F6431">
        <v>47.94</v>
      </c>
      <c r="G6431">
        <v>230801</v>
      </c>
      <c r="H6431">
        <v>4343</v>
      </c>
      <c r="I6431" t="s">
        <v>91</v>
      </c>
      <c r="J6431">
        <v>59.44</v>
      </c>
      <c r="K6431">
        <v>11.5</v>
      </c>
      <c r="L6431">
        <v>44222</v>
      </c>
      <c r="M6431" t="s">
        <v>232</v>
      </c>
      <c r="N6431" t="str">
        <f t="shared" si="119"/>
        <v xml:space="preserve">38110       </v>
      </c>
      <c r="O6431">
        <v>230808</v>
      </c>
    </row>
    <row r="6432" spans="1:15" x14ac:dyDescent="0.25">
      <c r="A6432" t="s">
        <v>16</v>
      </c>
      <c r="B6432" t="s">
        <v>3221</v>
      </c>
      <c r="C6432">
        <v>10152</v>
      </c>
      <c r="D6432" t="s">
        <v>226</v>
      </c>
      <c r="E6432" t="s">
        <v>227</v>
      </c>
      <c r="F6432">
        <v>47.94</v>
      </c>
      <c r="G6432">
        <v>230801</v>
      </c>
      <c r="H6432">
        <v>4343</v>
      </c>
      <c r="I6432" t="s">
        <v>91</v>
      </c>
      <c r="J6432">
        <v>59.44</v>
      </c>
      <c r="K6432">
        <v>11.5</v>
      </c>
      <c r="L6432">
        <v>49112</v>
      </c>
      <c r="M6432" t="s">
        <v>233</v>
      </c>
      <c r="N6432" t="str">
        <f t="shared" si="119"/>
        <v xml:space="preserve">38110       </v>
      </c>
      <c r="O6432">
        <v>230808</v>
      </c>
    </row>
    <row r="6433" spans="1:15" x14ac:dyDescent="0.25">
      <c r="A6433" t="s">
        <v>16</v>
      </c>
      <c r="B6433" t="s">
        <v>3221</v>
      </c>
      <c r="C6433">
        <v>10152</v>
      </c>
      <c r="D6433" t="s">
        <v>226</v>
      </c>
      <c r="E6433" t="s">
        <v>227</v>
      </c>
      <c r="F6433">
        <v>47.9</v>
      </c>
      <c r="G6433">
        <v>230801</v>
      </c>
      <c r="H6433">
        <v>4343</v>
      </c>
      <c r="I6433" t="s">
        <v>91</v>
      </c>
      <c r="J6433">
        <v>59.39</v>
      </c>
      <c r="K6433">
        <v>11.49</v>
      </c>
      <c r="L6433">
        <v>54422</v>
      </c>
      <c r="M6433" t="s">
        <v>234</v>
      </c>
      <c r="N6433" t="str">
        <f t="shared" si="119"/>
        <v xml:space="preserve">38110       </v>
      </c>
      <c r="O6433">
        <v>230808</v>
      </c>
    </row>
    <row r="6434" spans="1:15" x14ac:dyDescent="0.25">
      <c r="A6434" t="s">
        <v>16</v>
      </c>
      <c r="B6434" t="s">
        <v>3221</v>
      </c>
      <c r="C6434">
        <v>10152</v>
      </c>
      <c r="D6434" t="s">
        <v>226</v>
      </c>
      <c r="E6434" t="s">
        <v>227</v>
      </c>
      <c r="F6434">
        <v>48.05</v>
      </c>
      <c r="G6434">
        <v>230801</v>
      </c>
      <c r="H6434">
        <v>4343</v>
      </c>
      <c r="I6434" t="s">
        <v>91</v>
      </c>
      <c r="J6434">
        <v>59.58</v>
      </c>
      <c r="K6434">
        <v>11.53</v>
      </c>
      <c r="L6434">
        <v>54451</v>
      </c>
      <c r="M6434" t="s">
        <v>158</v>
      </c>
      <c r="N6434" t="str">
        <f t="shared" si="119"/>
        <v xml:space="preserve">38110       </v>
      </c>
      <c r="O6434">
        <v>230808</v>
      </c>
    </row>
    <row r="6435" spans="1:15" x14ac:dyDescent="0.25">
      <c r="A6435" t="s">
        <v>16</v>
      </c>
      <c r="B6435" t="s">
        <v>3221</v>
      </c>
      <c r="C6435">
        <v>10152</v>
      </c>
      <c r="D6435" t="s">
        <v>226</v>
      </c>
      <c r="E6435" t="s">
        <v>227</v>
      </c>
      <c r="F6435">
        <v>47.9</v>
      </c>
      <c r="G6435">
        <v>230801</v>
      </c>
      <c r="H6435">
        <v>4343</v>
      </c>
      <c r="I6435" t="s">
        <v>91</v>
      </c>
      <c r="J6435">
        <v>59.4</v>
      </c>
      <c r="K6435">
        <v>11.5</v>
      </c>
      <c r="L6435">
        <v>59113</v>
      </c>
      <c r="M6435" t="s">
        <v>235</v>
      </c>
      <c r="N6435" t="str">
        <f t="shared" si="119"/>
        <v xml:space="preserve">38110       </v>
      </c>
      <c r="O6435">
        <v>230808</v>
      </c>
    </row>
    <row r="6436" spans="1:15" x14ac:dyDescent="0.25">
      <c r="A6436" t="s">
        <v>16</v>
      </c>
      <c r="B6436" t="s">
        <v>3221</v>
      </c>
      <c r="C6436">
        <v>11803</v>
      </c>
      <c r="D6436" t="s">
        <v>226</v>
      </c>
      <c r="E6436" t="s">
        <v>227</v>
      </c>
      <c r="F6436">
        <v>31.96</v>
      </c>
      <c r="G6436">
        <v>230901</v>
      </c>
      <c r="H6436">
        <v>4343</v>
      </c>
      <c r="I6436" t="s">
        <v>91</v>
      </c>
      <c r="J6436">
        <v>39.630000000000003</v>
      </c>
      <c r="K6436">
        <v>7.67</v>
      </c>
      <c r="L6436">
        <v>14422</v>
      </c>
      <c r="M6436" t="s">
        <v>228</v>
      </c>
      <c r="N6436" t="str">
        <f t="shared" ref="N6436:N6444" si="120">"38556       "</f>
        <v xml:space="preserve">38556       </v>
      </c>
      <c r="O6436">
        <v>230911</v>
      </c>
    </row>
    <row r="6437" spans="1:15" x14ac:dyDescent="0.25">
      <c r="A6437" t="s">
        <v>16</v>
      </c>
      <c r="B6437" t="s">
        <v>3221</v>
      </c>
      <c r="C6437">
        <v>11803</v>
      </c>
      <c r="D6437" t="s">
        <v>226</v>
      </c>
      <c r="E6437" t="s">
        <v>227</v>
      </c>
      <c r="F6437">
        <v>31.96</v>
      </c>
      <c r="G6437">
        <v>230901</v>
      </c>
      <c r="H6437">
        <v>4343</v>
      </c>
      <c r="I6437" t="s">
        <v>91</v>
      </c>
      <c r="J6437">
        <v>39.630000000000003</v>
      </c>
      <c r="K6437">
        <v>7.67</v>
      </c>
      <c r="L6437">
        <v>14640</v>
      </c>
      <c r="M6437" t="s">
        <v>229</v>
      </c>
      <c r="N6437" t="str">
        <f t="shared" si="120"/>
        <v xml:space="preserve">38556       </v>
      </c>
      <c r="O6437">
        <v>230911</v>
      </c>
    </row>
    <row r="6438" spans="1:15" x14ac:dyDescent="0.25">
      <c r="A6438" t="s">
        <v>16</v>
      </c>
      <c r="B6438" t="s">
        <v>3221</v>
      </c>
      <c r="C6438">
        <v>11803</v>
      </c>
      <c r="D6438" t="s">
        <v>226</v>
      </c>
      <c r="E6438" t="s">
        <v>227</v>
      </c>
      <c r="F6438">
        <v>31.95</v>
      </c>
      <c r="G6438">
        <v>230901</v>
      </c>
      <c r="H6438">
        <v>4343</v>
      </c>
      <c r="I6438" t="s">
        <v>91</v>
      </c>
      <c r="J6438">
        <v>39.619999999999997</v>
      </c>
      <c r="K6438">
        <v>7.67</v>
      </c>
      <c r="L6438">
        <v>14912</v>
      </c>
      <c r="M6438" t="s">
        <v>230</v>
      </c>
      <c r="N6438" t="str">
        <f t="shared" si="120"/>
        <v xml:space="preserve">38556       </v>
      </c>
      <c r="O6438">
        <v>230911</v>
      </c>
    </row>
    <row r="6439" spans="1:15" x14ac:dyDescent="0.25">
      <c r="A6439" t="s">
        <v>16</v>
      </c>
      <c r="B6439" t="s">
        <v>3221</v>
      </c>
      <c r="C6439">
        <v>11803</v>
      </c>
      <c r="D6439" t="s">
        <v>226</v>
      </c>
      <c r="E6439" t="s">
        <v>227</v>
      </c>
      <c r="F6439">
        <v>95.87</v>
      </c>
      <c r="G6439">
        <v>230901</v>
      </c>
      <c r="H6439">
        <v>4343</v>
      </c>
      <c r="I6439" t="s">
        <v>91</v>
      </c>
      <c r="J6439">
        <v>118.88</v>
      </c>
      <c r="K6439">
        <v>23.01</v>
      </c>
      <c r="L6439">
        <v>16431</v>
      </c>
      <c r="M6439" t="s">
        <v>231</v>
      </c>
      <c r="N6439" t="str">
        <f t="shared" si="120"/>
        <v xml:space="preserve">38556       </v>
      </c>
      <c r="O6439">
        <v>230911</v>
      </c>
    </row>
    <row r="6440" spans="1:15" x14ac:dyDescent="0.25">
      <c r="A6440" t="s">
        <v>16</v>
      </c>
      <c r="B6440" t="s">
        <v>3221</v>
      </c>
      <c r="C6440">
        <v>11803</v>
      </c>
      <c r="D6440" t="s">
        <v>226</v>
      </c>
      <c r="E6440" t="s">
        <v>227</v>
      </c>
      <c r="F6440">
        <v>47.94</v>
      </c>
      <c r="G6440">
        <v>230901</v>
      </c>
      <c r="H6440">
        <v>4343</v>
      </c>
      <c r="I6440" t="s">
        <v>91</v>
      </c>
      <c r="J6440">
        <v>59.44</v>
      </c>
      <c r="K6440">
        <v>11.5</v>
      </c>
      <c r="L6440">
        <v>44222</v>
      </c>
      <c r="M6440" t="s">
        <v>232</v>
      </c>
      <c r="N6440" t="str">
        <f t="shared" si="120"/>
        <v xml:space="preserve">38556       </v>
      </c>
      <c r="O6440">
        <v>230911</v>
      </c>
    </row>
    <row r="6441" spans="1:15" x14ac:dyDescent="0.25">
      <c r="A6441" t="s">
        <v>16</v>
      </c>
      <c r="B6441" t="s">
        <v>3221</v>
      </c>
      <c r="C6441">
        <v>11803</v>
      </c>
      <c r="D6441" t="s">
        <v>226</v>
      </c>
      <c r="E6441" t="s">
        <v>227</v>
      </c>
      <c r="F6441">
        <v>47.94</v>
      </c>
      <c r="G6441">
        <v>230901</v>
      </c>
      <c r="H6441">
        <v>4343</v>
      </c>
      <c r="I6441" t="s">
        <v>91</v>
      </c>
      <c r="J6441">
        <v>59.44</v>
      </c>
      <c r="K6441">
        <v>11.5</v>
      </c>
      <c r="L6441">
        <v>49112</v>
      </c>
      <c r="M6441" t="s">
        <v>233</v>
      </c>
      <c r="N6441" t="str">
        <f t="shared" si="120"/>
        <v xml:space="preserve">38556       </v>
      </c>
      <c r="O6441">
        <v>230911</v>
      </c>
    </row>
    <row r="6442" spans="1:15" x14ac:dyDescent="0.25">
      <c r="A6442" t="s">
        <v>16</v>
      </c>
      <c r="B6442" t="s">
        <v>3221</v>
      </c>
      <c r="C6442">
        <v>11803</v>
      </c>
      <c r="D6442" t="s">
        <v>226</v>
      </c>
      <c r="E6442" t="s">
        <v>227</v>
      </c>
      <c r="F6442">
        <v>47.9</v>
      </c>
      <c r="G6442">
        <v>230901</v>
      </c>
      <c r="H6442">
        <v>4343</v>
      </c>
      <c r="I6442" t="s">
        <v>91</v>
      </c>
      <c r="J6442">
        <v>59.39</v>
      </c>
      <c r="K6442">
        <v>11.49</v>
      </c>
      <c r="L6442">
        <v>54422</v>
      </c>
      <c r="M6442" t="s">
        <v>234</v>
      </c>
      <c r="N6442" t="str">
        <f t="shared" si="120"/>
        <v xml:space="preserve">38556       </v>
      </c>
      <c r="O6442">
        <v>230911</v>
      </c>
    </row>
    <row r="6443" spans="1:15" x14ac:dyDescent="0.25">
      <c r="A6443" t="s">
        <v>16</v>
      </c>
      <c r="B6443" t="s">
        <v>3221</v>
      </c>
      <c r="C6443">
        <v>11803</v>
      </c>
      <c r="D6443" t="s">
        <v>226</v>
      </c>
      <c r="E6443" t="s">
        <v>227</v>
      </c>
      <c r="F6443">
        <v>48.05</v>
      </c>
      <c r="G6443">
        <v>230901</v>
      </c>
      <c r="H6443">
        <v>4343</v>
      </c>
      <c r="I6443" t="s">
        <v>91</v>
      </c>
      <c r="J6443">
        <v>59.58</v>
      </c>
      <c r="K6443">
        <v>11.53</v>
      </c>
      <c r="L6443">
        <v>54451</v>
      </c>
      <c r="M6443" t="s">
        <v>158</v>
      </c>
      <c r="N6443" t="str">
        <f t="shared" si="120"/>
        <v xml:space="preserve">38556       </v>
      </c>
      <c r="O6443">
        <v>230911</v>
      </c>
    </row>
    <row r="6444" spans="1:15" x14ac:dyDescent="0.25">
      <c r="A6444" t="s">
        <v>16</v>
      </c>
      <c r="B6444" t="s">
        <v>3221</v>
      </c>
      <c r="C6444">
        <v>11803</v>
      </c>
      <c r="D6444" t="s">
        <v>226</v>
      </c>
      <c r="E6444" t="s">
        <v>227</v>
      </c>
      <c r="F6444">
        <v>47.9</v>
      </c>
      <c r="G6444">
        <v>230901</v>
      </c>
      <c r="H6444">
        <v>4343</v>
      </c>
      <c r="I6444" t="s">
        <v>91</v>
      </c>
      <c r="J6444">
        <v>59.4</v>
      </c>
      <c r="K6444">
        <v>11.5</v>
      </c>
      <c r="L6444">
        <v>59113</v>
      </c>
      <c r="M6444" t="s">
        <v>235</v>
      </c>
      <c r="N6444" t="str">
        <f t="shared" si="120"/>
        <v xml:space="preserve">38556       </v>
      </c>
      <c r="O6444">
        <v>230911</v>
      </c>
    </row>
    <row r="6445" spans="1:15" x14ac:dyDescent="0.25">
      <c r="A6445" t="s">
        <v>16</v>
      </c>
      <c r="B6445" t="s">
        <v>3221</v>
      </c>
      <c r="C6445">
        <v>13672</v>
      </c>
      <c r="D6445" t="s">
        <v>226</v>
      </c>
      <c r="E6445" t="s">
        <v>227</v>
      </c>
      <c r="F6445">
        <v>31.96</v>
      </c>
      <c r="G6445">
        <v>231001</v>
      </c>
      <c r="H6445">
        <v>4343</v>
      </c>
      <c r="I6445" t="s">
        <v>91</v>
      </c>
      <c r="J6445">
        <v>39.630000000000003</v>
      </c>
      <c r="K6445">
        <v>7.67</v>
      </c>
      <c r="L6445">
        <v>14422</v>
      </c>
      <c r="M6445" t="s">
        <v>228</v>
      </c>
      <c r="N6445" t="str">
        <f t="shared" ref="N6445:N6453" si="121">"39006       "</f>
        <v xml:space="preserve">39006       </v>
      </c>
      <c r="O6445">
        <v>231012</v>
      </c>
    </row>
    <row r="6446" spans="1:15" x14ac:dyDescent="0.25">
      <c r="A6446" t="s">
        <v>16</v>
      </c>
      <c r="B6446" t="s">
        <v>3221</v>
      </c>
      <c r="C6446">
        <v>13672</v>
      </c>
      <c r="D6446" t="s">
        <v>226</v>
      </c>
      <c r="E6446" t="s">
        <v>227</v>
      </c>
      <c r="F6446">
        <v>31.96</v>
      </c>
      <c r="G6446">
        <v>231001</v>
      </c>
      <c r="H6446">
        <v>4343</v>
      </c>
      <c r="I6446" t="s">
        <v>91</v>
      </c>
      <c r="J6446">
        <v>39.630000000000003</v>
      </c>
      <c r="K6446">
        <v>7.67</v>
      </c>
      <c r="L6446">
        <v>14640</v>
      </c>
      <c r="M6446" t="s">
        <v>229</v>
      </c>
      <c r="N6446" t="str">
        <f t="shared" si="121"/>
        <v xml:space="preserve">39006       </v>
      </c>
      <c r="O6446">
        <v>231012</v>
      </c>
    </row>
    <row r="6447" spans="1:15" x14ac:dyDescent="0.25">
      <c r="A6447" t="s">
        <v>16</v>
      </c>
      <c r="B6447" t="s">
        <v>3221</v>
      </c>
      <c r="C6447">
        <v>13672</v>
      </c>
      <c r="D6447" t="s">
        <v>226</v>
      </c>
      <c r="E6447" t="s">
        <v>227</v>
      </c>
      <c r="F6447">
        <v>31.95</v>
      </c>
      <c r="G6447">
        <v>231001</v>
      </c>
      <c r="H6447">
        <v>4343</v>
      </c>
      <c r="I6447" t="s">
        <v>91</v>
      </c>
      <c r="J6447">
        <v>39.619999999999997</v>
      </c>
      <c r="K6447">
        <v>7.67</v>
      </c>
      <c r="L6447">
        <v>14912</v>
      </c>
      <c r="M6447" t="s">
        <v>230</v>
      </c>
      <c r="N6447" t="str">
        <f t="shared" si="121"/>
        <v xml:space="preserve">39006       </v>
      </c>
      <c r="O6447">
        <v>231012</v>
      </c>
    </row>
    <row r="6448" spans="1:15" x14ac:dyDescent="0.25">
      <c r="A6448" t="s">
        <v>16</v>
      </c>
      <c r="B6448" t="s">
        <v>3221</v>
      </c>
      <c r="C6448">
        <v>13672</v>
      </c>
      <c r="D6448" t="s">
        <v>226</v>
      </c>
      <c r="E6448" t="s">
        <v>227</v>
      </c>
      <c r="F6448">
        <v>95.87</v>
      </c>
      <c r="G6448">
        <v>231001</v>
      </c>
      <c r="H6448">
        <v>4343</v>
      </c>
      <c r="I6448" t="s">
        <v>91</v>
      </c>
      <c r="J6448">
        <v>118.88</v>
      </c>
      <c r="K6448">
        <v>23.01</v>
      </c>
      <c r="L6448">
        <v>16431</v>
      </c>
      <c r="M6448" t="s">
        <v>231</v>
      </c>
      <c r="N6448" t="str">
        <f t="shared" si="121"/>
        <v xml:space="preserve">39006       </v>
      </c>
      <c r="O6448">
        <v>231012</v>
      </c>
    </row>
    <row r="6449" spans="1:15" x14ac:dyDescent="0.25">
      <c r="A6449" t="s">
        <v>16</v>
      </c>
      <c r="B6449" t="s">
        <v>3221</v>
      </c>
      <c r="C6449">
        <v>13672</v>
      </c>
      <c r="D6449" t="s">
        <v>226</v>
      </c>
      <c r="E6449" t="s">
        <v>227</v>
      </c>
      <c r="F6449">
        <v>47.94</v>
      </c>
      <c r="G6449">
        <v>231001</v>
      </c>
      <c r="H6449">
        <v>4343</v>
      </c>
      <c r="I6449" t="s">
        <v>91</v>
      </c>
      <c r="J6449">
        <v>59.44</v>
      </c>
      <c r="K6449">
        <v>11.5</v>
      </c>
      <c r="L6449">
        <v>44222</v>
      </c>
      <c r="M6449" t="s">
        <v>232</v>
      </c>
      <c r="N6449" t="str">
        <f t="shared" si="121"/>
        <v xml:space="preserve">39006       </v>
      </c>
      <c r="O6449">
        <v>231012</v>
      </c>
    </row>
    <row r="6450" spans="1:15" x14ac:dyDescent="0.25">
      <c r="A6450" t="s">
        <v>16</v>
      </c>
      <c r="B6450" t="s">
        <v>3221</v>
      </c>
      <c r="C6450">
        <v>13672</v>
      </c>
      <c r="D6450" t="s">
        <v>226</v>
      </c>
      <c r="E6450" t="s">
        <v>227</v>
      </c>
      <c r="F6450">
        <v>47.94</v>
      </c>
      <c r="G6450">
        <v>231001</v>
      </c>
      <c r="H6450">
        <v>4343</v>
      </c>
      <c r="I6450" t="s">
        <v>91</v>
      </c>
      <c r="J6450">
        <v>59.44</v>
      </c>
      <c r="K6450">
        <v>11.5</v>
      </c>
      <c r="L6450">
        <v>49112</v>
      </c>
      <c r="M6450" t="s">
        <v>233</v>
      </c>
      <c r="N6450" t="str">
        <f t="shared" si="121"/>
        <v xml:space="preserve">39006       </v>
      </c>
      <c r="O6450">
        <v>231012</v>
      </c>
    </row>
    <row r="6451" spans="1:15" x14ac:dyDescent="0.25">
      <c r="A6451" t="s">
        <v>16</v>
      </c>
      <c r="B6451" t="s">
        <v>3221</v>
      </c>
      <c r="C6451">
        <v>13672</v>
      </c>
      <c r="D6451" t="s">
        <v>226</v>
      </c>
      <c r="E6451" t="s">
        <v>227</v>
      </c>
      <c r="F6451">
        <v>47.9</v>
      </c>
      <c r="G6451">
        <v>231001</v>
      </c>
      <c r="H6451">
        <v>4343</v>
      </c>
      <c r="I6451" t="s">
        <v>91</v>
      </c>
      <c r="J6451">
        <v>59.39</v>
      </c>
      <c r="K6451">
        <v>11.49</v>
      </c>
      <c r="L6451">
        <v>54422</v>
      </c>
      <c r="M6451" t="s">
        <v>234</v>
      </c>
      <c r="N6451" t="str">
        <f t="shared" si="121"/>
        <v xml:space="preserve">39006       </v>
      </c>
      <c r="O6451">
        <v>231012</v>
      </c>
    </row>
    <row r="6452" spans="1:15" x14ac:dyDescent="0.25">
      <c r="A6452" t="s">
        <v>16</v>
      </c>
      <c r="B6452" t="s">
        <v>3221</v>
      </c>
      <c r="C6452">
        <v>13672</v>
      </c>
      <c r="D6452" t="s">
        <v>226</v>
      </c>
      <c r="E6452" t="s">
        <v>227</v>
      </c>
      <c r="F6452">
        <v>48.05</v>
      </c>
      <c r="G6452">
        <v>231001</v>
      </c>
      <c r="H6452">
        <v>4343</v>
      </c>
      <c r="I6452" t="s">
        <v>91</v>
      </c>
      <c r="J6452">
        <v>59.58</v>
      </c>
      <c r="K6452">
        <v>11.53</v>
      </c>
      <c r="L6452">
        <v>54451</v>
      </c>
      <c r="M6452" t="s">
        <v>158</v>
      </c>
      <c r="N6452" t="str">
        <f t="shared" si="121"/>
        <v xml:space="preserve">39006       </v>
      </c>
      <c r="O6452">
        <v>231012</v>
      </c>
    </row>
    <row r="6453" spans="1:15" x14ac:dyDescent="0.25">
      <c r="A6453" t="s">
        <v>16</v>
      </c>
      <c r="B6453" t="s">
        <v>3221</v>
      </c>
      <c r="C6453">
        <v>13672</v>
      </c>
      <c r="D6453" t="s">
        <v>226</v>
      </c>
      <c r="E6453" t="s">
        <v>227</v>
      </c>
      <c r="F6453">
        <v>47.9</v>
      </c>
      <c r="G6453">
        <v>231001</v>
      </c>
      <c r="H6453">
        <v>4343</v>
      </c>
      <c r="I6453" t="s">
        <v>91</v>
      </c>
      <c r="J6453">
        <v>59.4</v>
      </c>
      <c r="K6453">
        <v>11.5</v>
      </c>
      <c r="L6453">
        <v>59113</v>
      </c>
      <c r="M6453" t="s">
        <v>235</v>
      </c>
      <c r="N6453" t="str">
        <f t="shared" si="121"/>
        <v xml:space="preserve">39006       </v>
      </c>
      <c r="O6453">
        <v>231012</v>
      </c>
    </row>
    <row r="6454" spans="1:15" x14ac:dyDescent="0.25">
      <c r="A6454" t="s">
        <v>16</v>
      </c>
      <c r="B6454" t="s">
        <v>3221</v>
      </c>
      <c r="C6454">
        <v>15029</v>
      </c>
      <c r="D6454" t="s">
        <v>226</v>
      </c>
      <c r="E6454" t="s">
        <v>227</v>
      </c>
      <c r="F6454">
        <v>31.96</v>
      </c>
      <c r="G6454">
        <v>231101</v>
      </c>
      <c r="H6454">
        <v>4343</v>
      </c>
      <c r="I6454" t="s">
        <v>91</v>
      </c>
      <c r="J6454">
        <v>39.630000000000003</v>
      </c>
      <c r="K6454">
        <v>7.67</v>
      </c>
      <c r="L6454">
        <v>14422</v>
      </c>
      <c r="M6454" t="s">
        <v>228</v>
      </c>
      <c r="N6454" t="str">
        <f t="shared" ref="N6454:N6462" si="122">"39467       "</f>
        <v xml:space="preserve">39467       </v>
      </c>
      <c r="O6454">
        <v>231108</v>
      </c>
    </row>
    <row r="6455" spans="1:15" x14ac:dyDescent="0.25">
      <c r="A6455" t="s">
        <v>16</v>
      </c>
      <c r="B6455" t="s">
        <v>3221</v>
      </c>
      <c r="C6455">
        <v>15029</v>
      </c>
      <c r="D6455" t="s">
        <v>226</v>
      </c>
      <c r="E6455" t="s">
        <v>227</v>
      </c>
      <c r="F6455">
        <v>31.96</v>
      </c>
      <c r="G6455">
        <v>231101</v>
      </c>
      <c r="H6455">
        <v>4343</v>
      </c>
      <c r="I6455" t="s">
        <v>91</v>
      </c>
      <c r="J6455">
        <v>39.630000000000003</v>
      </c>
      <c r="K6455">
        <v>7.67</v>
      </c>
      <c r="L6455">
        <v>14640</v>
      </c>
      <c r="M6455" t="s">
        <v>229</v>
      </c>
      <c r="N6455" t="str">
        <f t="shared" si="122"/>
        <v xml:space="preserve">39467       </v>
      </c>
      <c r="O6455">
        <v>231108</v>
      </c>
    </row>
    <row r="6456" spans="1:15" x14ac:dyDescent="0.25">
      <c r="A6456" t="s">
        <v>16</v>
      </c>
      <c r="B6456" t="s">
        <v>3221</v>
      </c>
      <c r="C6456">
        <v>15029</v>
      </c>
      <c r="D6456" t="s">
        <v>226</v>
      </c>
      <c r="E6456" t="s">
        <v>227</v>
      </c>
      <c r="F6456">
        <v>31.95</v>
      </c>
      <c r="G6456">
        <v>231101</v>
      </c>
      <c r="H6456">
        <v>4343</v>
      </c>
      <c r="I6456" t="s">
        <v>91</v>
      </c>
      <c r="J6456">
        <v>39.619999999999997</v>
      </c>
      <c r="K6456">
        <v>7.67</v>
      </c>
      <c r="L6456">
        <v>14912</v>
      </c>
      <c r="M6456" t="s">
        <v>230</v>
      </c>
      <c r="N6456" t="str">
        <f t="shared" si="122"/>
        <v xml:space="preserve">39467       </v>
      </c>
      <c r="O6456">
        <v>231108</v>
      </c>
    </row>
    <row r="6457" spans="1:15" x14ac:dyDescent="0.25">
      <c r="A6457" t="s">
        <v>16</v>
      </c>
      <c r="B6457" t="s">
        <v>3221</v>
      </c>
      <c r="C6457">
        <v>15029</v>
      </c>
      <c r="D6457" t="s">
        <v>226</v>
      </c>
      <c r="E6457" t="s">
        <v>227</v>
      </c>
      <c r="F6457">
        <v>95.87</v>
      </c>
      <c r="G6457">
        <v>231101</v>
      </c>
      <c r="H6457">
        <v>4343</v>
      </c>
      <c r="I6457" t="s">
        <v>91</v>
      </c>
      <c r="J6457">
        <v>118.88</v>
      </c>
      <c r="K6457">
        <v>23.01</v>
      </c>
      <c r="L6457">
        <v>16431</v>
      </c>
      <c r="M6457" t="s">
        <v>231</v>
      </c>
      <c r="N6457" t="str">
        <f t="shared" si="122"/>
        <v xml:space="preserve">39467       </v>
      </c>
      <c r="O6457">
        <v>231108</v>
      </c>
    </row>
    <row r="6458" spans="1:15" x14ac:dyDescent="0.25">
      <c r="A6458" t="s">
        <v>16</v>
      </c>
      <c r="B6458" t="s">
        <v>3221</v>
      </c>
      <c r="C6458">
        <v>15029</v>
      </c>
      <c r="D6458" t="s">
        <v>226</v>
      </c>
      <c r="E6458" t="s">
        <v>227</v>
      </c>
      <c r="F6458">
        <v>47.94</v>
      </c>
      <c r="G6458">
        <v>231101</v>
      </c>
      <c r="H6458">
        <v>4343</v>
      </c>
      <c r="I6458" t="s">
        <v>91</v>
      </c>
      <c r="J6458">
        <v>59.44</v>
      </c>
      <c r="K6458">
        <v>11.5</v>
      </c>
      <c r="L6458">
        <v>44222</v>
      </c>
      <c r="M6458" t="s">
        <v>232</v>
      </c>
      <c r="N6458" t="str">
        <f t="shared" si="122"/>
        <v xml:space="preserve">39467       </v>
      </c>
      <c r="O6458">
        <v>231108</v>
      </c>
    </row>
    <row r="6459" spans="1:15" x14ac:dyDescent="0.25">
      <c r="A6459" t="s">
        <v>16</v>
      </c>
      <c r="B6459" t="s">
        <v>3221</v>
      </c>
      <c r="C6459">
        <v>15029</v>
      </c>
      <c r="D6459" t="s">
        <v>226</v>
      </c>
      <c r="E6459" t="s">
        <v>227</v>
      </c>
      <c r="F6459">
        <v>47.94</v>
      </c>
      <c r="G6459">
        <v>231101</v>
      </c>
      <c r="H6459">
        <v>4343</v>
      </c>
      <c r="I6459" t="s">
        <v>91</v>
      </c>
      <c r="J6459">
        <v>59.44</v>
      </c>
      <c r="K6459">
        <v>11.5</v>
      </c>
      <c r="L6459">
        <v>49112</v>
      </c>
      <c r="M6459" t="s">
        <v>233</v>
      </c>
      <c r="N6459" t="str">
        <f t="shared" si="122"/>
        <v xml:space="preserve">39467       </v>
      </c>
      <c r="O6459">
        <v>231108</v>
      </c>
    </row>
    <row r="6460" spans="1:15" x14ac:dyDescent="0.25">
      <c r="A6460" t="s">
        <v>16</v>
      </c>
      <c r="B6460" t="s">
        <v>3221</v>
      </c>
      <c r="C6460">
        <v>15029</v>
      </c>
      <c r="D6460" t="s">
        <v>226</v>
      </c>
      <c r="E6460" t="s">
        <v>227</v>
      </c>
      <c r="F6460">
        <v>47.9</v>
      </c>
      <c r="G6460">
        <v>231101</v>
      </c>
      <c r="H6460">
        <v>4343</v>
      </c>
      <c r="I6460" t="s">
        <v>91</v>
      </c>
      <c r="J6460">
        <v>59.39</v>
      </c>
      <c r="K6460">
        <v>11.49</v>
      </c>
      <c r="L6460">
        <v>54422</v>
      </c>
      <c r="M6460" t="s">
        <v>234</v>
      </c>
      <c r="N6460" t="str">
        <f t="shared" si="122"/>
        <v xml:space="preserve">39467       </v>
      </c>
      <c r="O6460">
        <v>231108</v>
      </c>
    </row>
    <row r="6461" spans="1:15" x14ac:dyDescent="0.25">
      <c r="A6461" t="s">
        <v>16</v>
      </c>
      <c r="B6461" t="s">
        <v>3221</v>
      </c>
      <c r="C6461">
        <v>15029</v>
      </c>
      <c r="D6461" t="s">
        <v>226</v>
      </c>
      <c r="E6461" t="s">
        <v>227</v>
      </c>
      <c r="F6461">
        <v>48.05</v>
      </c>
      <c r="G6461">
        <v>231101</v>
      </c>
      <c r="H6461">
        <v>4343</v>
      </c>
      <c r="I6461" t="s">
        <v>91</v>
      </c>
      <c r="J6461">
        <v>59.58</v>
      </c>
      <c r="K6461">
        <v>11.53</v>
      </c>
      <c r="L6461">
        <v>54451</v>
      </c>
      <c r="M6461" t="s">
        <v>158</v>
      </c>
      <c r="N6461" t="str">
        <f t="shared" si="122"/>
        <v xml:space="preserve">39467       </v>
      </c>
      <c r="O6461">
        <v>231108</v>
      </c>
    </row>
    <row r="6462" spans="1:15" x14ac:dyDescent="0.25">
      <c r="A6462" t="s">
        <v>16</v>
      </c>
      <c r="B6462" t="s">
        <v>3221</v>
      </c>
      <c r="C6462">
        <v>15029</v>
      </c>
      <c r="D6462" t="s">
        <v>226</v>
      </c>
      <c r="E6462" t="s">
        <v>227</v>
      </c>
      <c r="F6462">
        <v>47.9</v>
      </c>
      <c r="G6462">
        <v>231101</v>
      </c>
      <c r="H6462">
        <v>4343</v>
      </c>
      <c r="I6462" t="s">
        <v>91</v>
      </c>
      <c r="J6462">
        <v>59.4</v>
      </c>
      <c r="K6462">
        <v>11.5</v>
      </c>
      <c r="L6462">
        <v>59113</v>
      </c>
      <c r="M6462" t="s">
        <v>235</v>
      </c>
      <c r="N6462" t="str">
        <f t="shared" si="122"/>
        <v xml:space="preserve">39467       </v>
      </c>
      <c r="O6462">
        <v>231108</v>
      </c>
    </row>
    <row r="6463" spans="1:15" x14ac:dyDescent="0.25">
      <c r="A6463" t="s">
        <v>16</v>
      </c>
      <c r="B6463" t="s">
        <v>3221</v>
      </c>
      <c r="C6463">
        <v>17028</v>
      </c>
      <c r="D6463" t="s">
        <v>226</v>
      </c>
      <c r="E6463" t="s">
        <v>227</v>
      </c>
      <c r="F6463">
        <v>31.96</v>
      </c>
      <c r="G6463">
        <v>231201</v>
      </c>
      <c r="H6463">
        <v>4343</v>
      </c>
      <c r="I6463" t="s">
        <v>91</v>
      </c>
      <c r="J6463">
        <v>39.630000000000003</v>
      </c>
      <c r="K6463">
        <v>7.67</v>
      </c>
      <c r="L6463">
        <v>14422</v>
      </c>
      <c r="M6463" t="s">
        <v>228</v>
      </c>
      <c r="N6463" t="str">
        <f t="shared" ref="N6463:N6471" si="123">"39927       "</f>
        <v xml:space="preserve">39927       </v>
      </c>
      <c r="O6463">
        <v>231212</v>
      </c>
    </row>
    <row r="6464" spans="1:15" x14ac:dyDescent="0.25">
      <c r="A6464" t="s">
        <v>16</v>
      </c>
      <c r="B6464" t="s">
        <v>3221</v>
      </c>
      <c r="C6464">
        <v>17028</v>
      </c>
      <c r="D6464" t="s">
        <v>226</v>
      </c>
      <c r="E6464" t="s">
        <v>227</v>
      </c>
      <c r="F6464">
        <v>31.96</v>
      </c>
      <c r="G6464">
        <v>231201</v>
      </c>
      <c r="H6464">
        <v>4343</v>
      </c>
      <c r="I6464" t="s">
        <v>91</v>
      </c>
      <c r="J6464">
        <v>39.630000000000003</v>
      </c>
      <c r="K6464">
        <v>7.67</v>
      </c>
      <c r="L6464">
        <v>14640</v>
      </c>
      <c r="M6464" t="s">
        <v>229</v>
      </c>
      <c r="N6464" t="str">
        <f t="shared" si="123"/>
        <v xml:space="preserve">39927       </v>
      </c>
      <c r="O6464">
        <v>231212</v>
      </c>
    </row>
    <row r="6465" spans="1:15" x14ac:dyDescent="0.25">
      <c r="A6465" t="s">
        <v>16</v>
      </c>
      <c r="B6465" t="s">
        <v>3221</v>
      </c>
      <c r="C6465">
        <v>17028</v>
      </c>
      <c r="D6465" t="s">
        <v>226</v>
      </c>
      <c r="E6465" t="s">
        <v>227</v>
      </c>
      <c r="F6465">
        <v>31.95</v>
      </c>
      <c r="G6465">
        <v>231201</v>
      </c>
      <c r="H6465">
        <v>4343</v>
      </c>
      <c r="I6465" t="s">
        <v>91</v>
      </c>
      <c r="J6465">
        <v>39.619999999999997</v>
      </c>
      <c r="K6465">
        <v>7.67</v>
      </c>
      <c r="L6465">
        <v>14912</v>
      </c>
      <c r="M6465" t="s">
        <v>230</v>
      </c>
      <c r="N6465" t="str">
        <f t="shared" si="123"/>
        <v xml:space="preserve">39927       </v>
      </c>
      <c r="O6465">
        <v>231212</v>
      </c>
    </row>
    <row r="6466" spans="1:15" x14ac:dyDescent="0.25">
      <c r="A6466" t="s">
        <v>16</v>
      </c>
      <c r="B6466" t="s">
        <v>3221</v>
      </c>
      <c r="C6466">
        <v>17028</v>
      </c>
      <c r="D6466" t="s">
        <v>226</v>
      </c>
      <c r="E6466" t="s">
        <v>227</v>
      </c>
      <c r="F6466">
        <v>95.87</v>
      </c>
      <c r="G6466">
        <v>231201</v>
      </c>
      <c r="H6466">
        <v>4343</v>
      </c>
      <c r="I6466" t="s">
        <v>91</v>
      </c>
      <c r="J6466">
        <v>118.88</v>
      </c>
      <c r="K6466">
        <v>23.01</v>
      </c>
      <c r="L6466">
        <v>16431</v>
      </c>
      <c r="M6466" t="s">
        <v>231</v>
      </c>
      <c r="N6466" t="str">
        <f t="shared" si="123"/>
        <v xml:space="preserve">39927       </v>
      </c>
      <c r="O6466">
        <v>231212</v>
      </c>
    </row>
    <row r="6467" spans="1:15" x14ac:dyDescent="0.25">
      <c r="A6467" t="s">
        <v>16</v>
      </c>
      <c r="B6467" t="s">
        <v>3221</v>
      </c>
      <c r="C6467">
        <v>17028</v>
      </c>
      <c r="D6467" t="s">
        <v>226</v>
      </c>
      <c r="E6467" t="s">
        <v>227</v>
      </c>
      <c r="F6467">
        <v>47.94</v>
      </c>
      <c r="G6467">
        <v>231201</v>
      </c>
      <c r="H6467">
        <v>4343</v>
      </c>
      <c r="I6467" t="s">
        <v>91</v>
      </c>
      <c r="J6467">
        <v>59.44</v>
      </c>
      <c r="K6467">
        <v>11.5</v>
      </c>
      <c r="L6467">
        <v>44222</v>
      </c>
      <c r="M6467" t="s">
        <v>232</v>
      </c>
      <c r="N6467" t="str">
        <f t="shared" si="123"/>
        <v xml:space="preserve">39927       </v>
      </c>
      <c r="O6467">
        <v>231212</v>
      </c>
    </row>
    <row r="6468" spans="1:15" x14ac:dyDescent="0.25">
      <c r="A6468" t="s">
        <v>16</v>
      </c>
      <c r="B6468" t="s">
        <v>3221</v>
      </c>
      <c r="C6468">
        <v>17028</v>
      </c>
      <c r="D6468" t="s">
        <v>226</v>
      </c>
      <c r="E6468" t="s">
        <v>227</v>
      </c>
      <c r="F6468">
        <v>47.94</v>
      </c>
      <c r="G6468">
        <v>231201</v>
      </c>
      <c r="H6468">
        <v>4343</v>
      </c>
      <c r="I6468" t="s">
        <v>91</v>
      </c>
      <c r="J6468">
        <v>59.44</v>
      </c>
      <c r="K6468">
        <v>11.5</v>
      </c>
      <c r="L6468">
        <v>49112</v>
      </c>
      <c r="M6468" t="s">
        <v>233</v>
      </c>
      <c r="N6468" t="str">
        <f t="shared" si="123"/>
        <v xml:space="preserve">39927       </v>
      </c>
      <c r="O6468">
        <v>231212</v>
      </c>
    </row>
    <row r="6469" spans="1:15" x14ac:dyDescent="0.25">
      <c r="A6469" t="s">
        <v>16</v>
      </c>
      <c r="B6469" t="s">
        <v>3221</v>
      </c>
      <c r="C6469">
        <v>17028</v>
      </c>
      <c r="D6469" t="s">
        <v>226</v>
      </c>
      <c r="E6469" t="s">
        <v>227</v>
      </c>
      <c r="F6469">
        <v>47.9</v>
      </c>
      <c r="G6469">
        <v>231201</v>
      </c>
      <c r="H6469">
        <v>4343</v>
      </c>
      <c r="I6469" t="s">
        <v>91</v>
      </c>
      <c r="J6469">
        <v>59.39</v>
      </c>
      <c r="K6469">
        <v>11.49</v>
      </c>
      <c r="L6469">
        <v>54422</v>
      </c>
      <c r="M6469" t="s">
        <v>234</v>
      </c>
      <c r="N6469" t="str">
        <f t="shared" si="123"/>
        <v xml:space="preserve">39927       </v>
      </c>
      <c r="O6469">
        <v>231212</v>
      </c>
    </row>
    <row r="6470" spans="1:15" x14ac:dyDescent="0.25">
      <c r="A6470" t="s">
        <v>16</v>
      </c>
      <c r="B6470" t="s">
        <v>3221</v>
      </c>
      <c r="C6470">
        <v>17028</v>
      </c>
      <c r="D6470" t="s">
        <v>226</v>
      </c>
      <c r="E6470" t="s">
        <v>227</v>
      </c>
      <c r="F6470">
        <v>48.05</v>
      </c>
      <c r="G6470">
        <v>231201</v>
      </c>
      <c r="H6470">
        <v>4343</v>
      </c>
      <c r="I6470" t="s">
        <v>91</v>
      </c>
      <c r="J6470">
        <v>59.58</v>
      </c>
      <c r="K6470">
        <v>11.53</v>
      </c>
      <c r="L6470">
        <v>54451</v>
      </c>
      <c r="M6470" t="s">
        <v>158</v>
      </c>
      <c r="N6470" t="str">
        <f t="shared" si="123"/>
        <v xml:space="preserve">39927       </v>
      </c>
      <c r="O6470">
        <v>231212</v>
      </c>
    </row>
    <row r="6471" spans="1:15" x14ac:dyDescent="0.25">
      <c r="A6471" t="s">
        <v>16</v>
      </c>
      <c r="B6471" t="s">
        <v>3221</v>
      </c>
      <c r="C6471">
        <v>17028</v>
      </c>
      <c r="D6471" t="s">
        <v>226</v>
      </c>
      <c r="E6471" t="s">
        <v>227</v>
      </c>
      <c r="F6471">
        <v>47.9</v>
      </c>
      <c r="G6471">
        <v>231201</v>
      </c>
      <c r="H6471">
        <v>4343</v>
      </c>
      <c r="I6471" t="s">
        <v>91</v>
      </c>
      <c r="J6471">
        <v>59.4</v>
      </c>
      <c r="K6471">
        <v>11.5</v>
      </c>
      <c r="L6471">
        <v>59113</v>
      </c>
      <c r="M6471" t="s">
        <v>235</v>
      </c>
      <c r="N6471" t="str">
        <f t="shared" si="123"/>
        <v xml:space="preserve">39927       </v>
      </c>
      <c r="O6471">
        <v>231212</v>
      </c>
    </row>
    <row r="6472" spans="1:15" x14ac:dyDescent="0.25">
      <c r="A6472" t="s">
        <v>16</v>
      </c>
      <c r="B6472" t="s">
        <v>3221</v>
      </c>
      <c r="C6472">
        <v>10421</v>
      </c>
      <c r="D6472" t="s">
        <v>226</v>
      </c>
      <c r="E6472" t="s">
        <v>227</v>
      </c>
      <c r="F6472">
        <v>5600</v>
      </c>
      <c r="G6472">
        <v>230814</v>
      </c>
      <c r="H6472">
        <v>4362</v>
      </c>
      <c r="I6472" t="s">
        <v>79</v>
      </c>
      <c r="J6472">
        <v>6944</v>
      </c>
      <c r="K6472">
        <v>1344</v>
      </c>
      <c r="L6472">
        <v>18972</v>
      </c>
      <c r="M6472" t="s">
        <v>163</v>
      </c>
      <c r="N6472" t="str">
        <f>"38208       "</f>
        <v xml:space="preserve">38208       </v>
      </c>
      <c r="O6472">
        <v>230815</v>
      </c>
    </row>
    <row r="6473" spans="1:15" x14ac:dyDescent="0.25">
      <c r="A6473" t="s">
        <v>16</v>
      </c>
      <c r="B6473" t="s">
        <v>3221</v>
      </c>
      <c r="C6473">
        <v>11874</v>
      </c>
      <c r="D6473" t="s">
        <v>226</v>
      </c>
      <c r="E6473" t="s">
        <v>227</v>
      </c>
      <c r="F6473">
        <v>1100</v>
      </c>
      <c r="G6473">
        <v>230908</v>
      </c>
      <c r="H6473">
        <v>4440</v>
      </c>
      <c r="I6473" t="s">
        <v>250</v>
      </c>
      <c r="J6473">
        <v>1364</v>
      </c>
      <c r="K6473">
        <v>264</v>
      </c>
      <c r="L6473">
        <v>18972</v>
      </c>
      <c r="M6473" t="s">
        <v>163</v>
      </c>
      <c r="N6473" t="str">
        <f>"38651       "</f>
        <v xml:space="preserve">38651       </v>
      </c>
      <c r="O6473">
        <v>230911</v>
      </c>
    </row>
    <row r="6474" spans="1:15" x14ac:dyDescent="0.25">
      <c r="A6474" t="s">
        <v>16</v>
      </c>
      <c r="B6474" t="s">
        <v>3221</v>
      </c>
      <c r="C6474">
        <v>17509</v>
      </c>
      <c r="D6474" t="s">
        <v>3067</v>
      </c>
      <c r="E6474" t="s">
        <v>3068</v>
      </c>
      <c r="F6474">
        <v>250</v>
      </c>
      <c r="G6474">
        <v>231211</v>
      </c>
      <c r="H6474">
        <v>4420</v>
      </c>
      <c r="I6474" t="s">
        <v>132</v>
      </c>
      <c r="J6474">
        <v>310</v>
      </c>
      <c r="K6474">
        <v>60</v>
      </c>
      <c r="L6474">
        <v>17952</v>
      </c>
      <c r="M6474" t="s">
        <v>88</v>
      </c>
      <c r="N6474" t="str">
        <f>"56703       "</f>
        <v xml:space="preserve">56703       </v>
      </c>
      <c r="O6474">
        <v>231214</v>
      </c>
    </row>
    <row r="6475" spans="1:15" x14ac:dyDescent="0.25">
      <c r="A6475" t="s">
        <v>16</v>
      </c>
      <c r="B6475" t="s">
        <v>3221</v>
      </c>
      <c r="C6475">
        <v>17509</v>
      </c>
      <c r="D6475" t="s">
        <v>3067</v>
      </c>
      <c r="E6475" t="s">
        <v>3068</v>
      </c>
      <c r="F6475">
        <v>487.3</v>
      </c>
      <c r="G6475">
        <v>231211</v>
      </c>
      <c r="H6475">
        <v>4590</v>
      </c>
      <c r="I6475" t="s">
        <v>203</v>
      </c>
      <c r="J6475">
        <v>604.25</v>
      </c>
      <c r="K6475">
        <v>116.95</v>
      </c>
      <c r="L6475">
        <v>17952</v>
      </c>
      <c r="M6475" t="s">
        <v>88</v>
      </c>
      <c r="N6475" t="str">
        <f>"56703       "</f>
        <v xml:space="preserve">56703       </v>
      </c>
      <c r="O6475">
        <v>231214</v>
      </c>
    </row>
    <row r="6476" spans="1:15" x14ac:dyDescent="0.25">
      <c r="A6476" t="s">
        <v>16</v>
      </c>
      <c r="B6476" t="s">
        <v>3221</v>
      </c>
      <c r="C6476">
        <v>6566</v>
      </c>
      <c r="D6476" t="s">
        <v>1982</v>
      </c>
      <c r="E6476" t="s">
        <v>1983</v>
      </c>
      <c r="F6476">
        <v>83.94</v>
      </c>
      <c r="G6476">
        <v>230510</v>
      </c>
      <c r="H6476">
        <v>4557</v>
      </c>
      <c r="I6476" t="s">
        <v>238</v>
      </c>
      <c r="J6476">
        <v>104.09</v>
      </c>
      <c r="K6476">
        <v>20.149999999999999</v>
      </c>
      <c r="L6476">
        <v>17147</v>
      </c>
      <c r="M6476" t="s">
        <v>1734</v>
      </c>
      <c r="N6476" t="str">
        <f>"36914       "</f>
        <v xml:space="preserve">36914       </v>
      </c>
      <c r="O6476">
        <v>230515</v>
      </c>
    </row>
    <row r="6477" spans="1:15" x14ac:dyDescent="0.25">
      <c r="A6477" t="s">
        <v>16</v>
      </c>
      <c r="B6477" t="s">
        <v>3221</v>
      </c>
      <c r="C6477">
        <v>14308</v>
      </c>
      <c r="D6477" t="s">
        <v>2759</v>
      </c>
      <c r="E6477" t="s">
        <v>2760</v>
      </c>
      <c r="F6477">
        <v>25</v>
      </c>
      <c r="G6477">
        <v>231016</v>
      </c>
      <c r="H6477">
        <v>4510</v>
      </c>
      <c r="I6477" t="s">
        <v>42</v>
      </c>
      <c r="J6477">
        <v>27.5</v>
      </c>
      <c r="K6477">
        <v>2.5</v>
      </c>
      <c r="L6477">
        <v>53222</v>
      </c>
      <c r="M6477" t="s">
        <v>445</v>
      </c>
      <c r="N6477" t="str">
        <f>"40646       "</f>
        <v xml:space="preserve">40646       </v>
      </c>
      <c r="O6477">
        <v>231026</v>
      </c>
    </row>
    <row r="6478" spans="1:15" x14ac:dyDescent="0.25">
      <c r="A6478" t="s">
        <v>16</v>
      </c>
      <c r="B6478" t="s">
        <v>3221</v>
      </c>
      <c r="C6478">
        <v>13074</v>
      </c>
      <c r="D6478" t="s">
        <v>2622</v>
      </c>
      <c r="E6478" t="s">
        <v>2623</v>
      </c>
      <c r="F6478">
        <v>2522</v>
      </c>
      <c r="G6478">
        <v>230927</v>
      </c>
      <c r="H6478">
        <v>4400</v>
      </c>
      <c r="I6478" t="s">
        <v>348</v>
      </c>
      <c r="J6478">
        <v>3127.28</v>
      </c>
      <c r="K6478">
        <v>605.28</v>
      </c>
      <c r="L6478">
        <v>67554</v>
      </c>
      <c r="M6478" t="s">
        <v>60</v>
      </c>
      <c r="N6478" t="str">
        <f>"131         "</f>
        <v xml:space="preserve">131         </v>
      </c>
      <c r="O6478">
        <v>231003</v>
      </c>
    </row>
    <row r="6479" spans="1:15" x14ac:dyDescent="0.25">
      <c r="A6479" t="s">
        <v>16</v>
      </c>
      <c r="B6479" t="s">
        <v>3221</v>
      </c>
      <c r="C6479">
        <v>1222</v>
      </c>
      <c r="D6479" t="s">
        <v>958</v>
      </c>
      <c r="E6479" t="s">
        <v>959</v>
      </c>
      <c r="F6479">
        <v>154.05000000000001</v>
      </c>
      <c r="G6479">
        <v>230127</v>
      </c>
      <c r="H6479">
        <v>4600</v>
      </c>
      <c r="I6479" t="s">
        <v>105</v>
      </c>
      <c r="J6479">
        <v>191.02</v>
      </c>
      <c r="K6479">
        <v>36.97</v>
      </c>
      <c r="L6479">
        <v>54222</v>
      </c>
      <c r="M6479" t="s">
        <v>308</v>
      </c>
      <c r="N6479" t="str">
        <f>"709         "</f>
        <v xml:space="preserve">709         </v>
      </c>
      <c r="O6479">
        <v>230206</v>
      </c>
    </row>
    <row r="6480" spans="1:15" x14ac:dyDescent="0.25">
      <c r="A6480" t="s">
        <v>16</v>
      </c>
      <c r="B6480" t="s">
        <v>3221</v>
      </c>
      <c r="C6480">
        <v>1222</v>
      </c>
      <c r="D6480" t="s">
        <v>958</v>
      </c>
      <c r="E6480" t="s">
        <v>959</v>
      </c>
      <c r="F6480">
        <v>154.05000000000001</v>
      </c>
      <c r="G6480">
        <v>230127</v>
      </c>
      <c r="H6480">
        <v>4600</v>
      </c>
      <c r="I6480" t="s">
        <v>105</v>
      </c>
      <c r="J6480">
        <v>191.02</v>
      </c>
      <c r="K6480">
        <v>36.97</v>
      </c>
      <c r="L6480">
        <v>54251</v>
      </c>
      <c r="M6480" t="s">
        <v>309</v>
      </c>
      <c r="N6480" t="str">
        <f>"709         "</f>
        <v xml:space="preserve">709         </v>
      </c>
      <c r="O6480">
        <v>230206</v>
      </c>
    </row>
    <row r="6481" spans="1:15" x14ac:dyDescent="0.25">
      <c r="A6481" t="s">
        <v>16</v>
      </c>
      <c r="B6481" t="s">
        <v>3221</v>
      </c>
      <c r="C6481">
        <v>5815</v>
      </c>
      <c r="D6481" t="s">
        <v>958</v>
      </c>
      <c r="E6481" t="s">
        <v>959</v>
      </c>
      <c r="F6481">
        <v>514.9</v>
      </c>
      <c r="G6481">
        <v>230421</v>
      </c>
      <c r="H6481">
        <v>4600</v>
      </c>
      <c r="I6481" t="s">
        <v>105</v>
      </c>
      <c r="J6481">
        <v>638.48</v>
      </c>
      <c r="K6481">
        <v>123.58</v>
      </c>
      <c r="L6481">
        <v>54222</v>
      </c>
      <c r="M6481" t="s">
        <v>308</v>
      </c>
      <c r="N6481" t="str">
        <f>"759         "</f>
        <v xml:space="preserve">759         </v>
      </c>
      <c r="O6481">
        <v>230503</v>
      </c>
    </row>
    <row r="6482" spans="1:15" x14ac:dyDescent="0.25">
      <c r="A6482" t="s">
        <v>16</v>
      </c>
      <c r="B6482" t="s">
        <v>3221</v>
      </c>
      <c r="C6482">
        <v>5835</v>
      </c>
      <c r="D6482" t="s">
        <v>958</v>
      </c>
      <c r="E6482" t="s">
        <v>959</v>
      </c>
      <c r="F6482">
        <v>582</v>
      </c>
      <c r="G6482">
        <v>230426</v>
      </c>
      <c r="H6482">
        <v>4600</v>
      </c>
      <c r="I6482" t="s">
        <v>105</v>
      </c>
      <c r="J6482">
        <v>721.68</v>
      </c>
      <c r="K6482">
        <v>139.68</v>
      </c>
      <c r="L6482">
        <v>54222</v>
      </c>
      <c r="M6482" t="s">
        <v>308</v>
      </c>
      <c r="N6482" t="str">
        <f>"763         "</f>
        <v xml:space="preserve">763         </v>
      </c>
      <c r="O6482">
        <v>230503</v>
      </c>
    </row>
    <row r="6483" spans="1:15" x14ac:dyDescent="0.25">
      <c r="A6483" t="s">
        <v>16</v>
      </c>
      <c r="B6483" t="s">
        <v>3221</v>
      </c>
      <c r="C6483">
        <v>5837</v>
      </c>
      <c r="D6483" t="s">
        <v>958</v>
      </c>
      <c r="E6483" t="s">
        <v>959</v>
      </c>
      <c r="F6483">
        <v>582</v>
      </c>
      <c r="G6483">
        <v>230426</v>
      </c>
      <c r="H6483">
        <v>4600</v>
      </c>
      <c r="I6483" t="s">
        <v>105</v>
      </c>
      <c r="J6483">
        <v>721.68</v>
      </c>
      <c r="K6483">
        <v>139.68</v>
      </c>
      <c r="L6483">
        <v>44422</v>
      </c>
      <c r="M6483" t="s">
        <v>482</v>
      </c>
      <c r="N6483" t="str">
        <f>"762         "</f>
        <v xml:space="preserve">762         </v>
      </c>
      <c r="O6483">
        <v>230503</v>
      </c>
    </row>
    <row r="6484" spans="1:15" x14ac:dyDescent="0.25">
      <c r="A6484" t="s">
        <v>16</v>
      </c>
      <c r="B6484" t="s">
        <v>3221</v>
      </c>
      <c r="C6484">
        <v>16634</v>
      </c>
      <c r="D6484" t="s">
        <v>2287</v>
      </c>
      <c r="E6484" t="s">
        <v>2288</v>
      </c>
      <c r="F6484">
        <v>75</v>
      </c>
      <c r="G6484">
        <v>231122</v>
      </c>
      <c r="H6484">
        <v>4520</v>
      </c>
      <c r="I6484" t="s">
        <v>254</v>
      </c>
      <c r="J6484">
        <v>85.5</v>
      </c>
      <c r="K6484">
        <v>10.5</v>
      </c>
      <c r="L6484">
        <v>54451</v>
      </c>
      <c r="M6484" t="s">
        <v>158</v>
      </c>
      <c r="N6484" t="str">
        <f>"3469        "</f>
        <v xml:space="preserve">3469        </v>
      </c>
      <c r="O6484">
        <v>231205</v>
      </c>
    </row>
    <row r="6485" spans="1:15" x14ac:dyDescent="0.25">
      <c r="A6485" t="s">
        <v>16</v>
      </c>
      <c r="B6485" t="s">
        <v>3221</v>
      </c>
      <c r="C6485">
        <v>2729</v>
      </c>
      <c r="D6485" t="s">
        <v>1468</v>
      </c>
      <c r="E6485" t="s">
        <v>1469</v>
      </c>
      <c r="F6485">
        <v>155.56</v>
      </c>
      <c r="G6485">
        <v>230228</v>
      </c>
      <c r="H6485">
        <v>4440</v>
      </c>
      <c r="I6485" t="s">
        <v>250</v>
      </c>
      <c r="J6485">
        <v>192.89</v>
      </c>
      <c r="K6485">
        <v>37.33</v>
      </c>
      <c r="L6485">
        <v>17521</v>
      </c>
      <c r="M6485" t="s">
        <v>133</v>
      </c>
      <c r="N6485" t="str">
        <f>"20230203    "</f>
        <v xml:space="preserve">20230203    </v>
      </c>
      <c r="O6485">
        <v>230307</v>
      </c>
    </row>
    <row r="6486" spans="1:15" x14ac:dyDescent="0.25">
      <c r="A6486" t="s">
        <v>16</v>
      </c>
      <c r="B6486" t="s">
        <v>3221</v>
      </c>
      <c r="C6486">
        <v>2516</v>
      </c>
      <c r="D6486" t="s">
        <v>1420</v>
      </c>
      <c r="E6486" t="s">
        <v>1421</v>
      </c>
      <c r="F6486">
        <v>54.09</v>
      </c>
      <c r="G6486">
        <v>230224</v>
      </c>
      <c r="H6486">
        <v>4510</v>
      </c>
      <c r="I6486" t="s">
        <v>42</v>
      </c>
      <c r="J6486">
        <v>59.5</v>
      </c>
      <c r="K6486">
        <v>5.41</v>
      </c>
      <c r="L6486">
        <v>47522</v>
      </c>
      <c r="M6486" t="s">
        <v>410</v>
      </c>
      <c r="N6486" t="str">
        <f>"9002        "</f>
        <v xml:space="preserve">9002        </v>
      </c>
      <c r="O6486">
        <v>230301</v>
      </c>
    </row>
    <row r="6487" spans="1:15" x14ac:dyDescent="0.25">
      <c r="A6487" t="s">
        <v>16</v>
      </c>
      <c r="B6487" t="s">
        <v>3221</v>
      </c>
      <c r="C6487">
        <v>19180</v>
      </c>
      <c r="D6487" t="s">
        <v>2862</v>
      </c>
      <c r="E6487" t="s">
        <v>2863</v>
      </c>
      <c r="F6487">
        <v>10985</v>
      </c>
      <c r="G6487">
        <v>231222</v>
      </c>
      <c r="H6487">
        <v>4580</v>
      </c>
      <c r="I6487" t="s">
        <v>35</v>
      </c>
      <c r="J6487">
        <v>13621.4</v>
      </c>
      <c r="K6487">
        <v>2636.4</v>
      </c>
      <c r="L6487">
        <v>11301</v>
      </c>
      <c r="M6487" t="s">
        <v>29</v>
      </c>
      <c r="N6487" t="str">
        <f>"2509        "</f>
        <v xml:space="preserve">2509        </v>
      </c>
      <c r="O6487">
        <v>240129</v>
      </c>
    </row>
    <row r="6488" spans="1:15" x14ac:dyDescent="0.25">
      <c r="A6488" t="s">
        <v>16</v>
      </c>
      <c r="B6488" t="s">
        <v>3221</v>
      </c>
      <c r="C6488">
        <v>15346</v>
      </c>
      <c r="D6488" t="s">
        <v>2862</v>
      </c>
      <c r="E6488" t="s">
        <v>2863</v>
      </c>
      <c r="F6488">
        <v>10985</v>
      </c>
      <c r="G6488">
        <v>231102</v>
      </c>
      <c r="H6488">
        <v>4600</v>
      </c>
      <c r="I6488" t="s">
        <v>105</v>
      </c>
      <c r="J6488">
        <v>13621.4</v>
      </c>
      <c r="K6488">
        <v>2636.4</v>
      </c>
      <c r="L6488">
        <v>11301</v>
      </c>
      <c r="M6488" t="s">
        <v>29</v>
      </c>
      <c r="N6488" t="str">
        <f>"2479        "</f>
        <v xml:space="preserve">2479        </v>
      </c>
      <c r="O6488">
        <v>231113</v>
      </c>
    </row>
    <row r="6489" spans="1:15" x14ac:dyDescent="0.25">
      <c r="A6489" t="s">
        <v>16</v>
      </c>
      <c r="B6489" t="s">
        <v>3221</v>
      </c>
      <c r="C6489">
        <v>3064</v>
      </c>
      <c r="D6489" t="s">
        <v>1504</v>
      </c>
      <c r="E6489" t="s">
        <v>1505</v>
      </c>
      <c r="F6489">
        <v>391</v>
      </c>
      <c r="G6489">
        <v>230219</v>
      </c>
      <c r="H6489">
        <v>4400</v>
      </c>
      <c r="I6489" t="s">
        <v>348</v>
      </c>
      <c r="J6489">
        <v>484.84</v>
      </c>
      <c r="K6489">
        <v>93.84</v>
      </c>
      <c r="L6489">
        <v>46554</v>
      </c>
      <c r="M6489" t="s">
        <v>117</v>
      </c>
      <c r="N6489" t="str">
        <f>"1139        "</f>
        <v xml:space="preserve">1139        </v>
      </c>
      <c r="O6489">
        <v>230309</v>
      </c>
    </row>
    <row r="6490" spans="1:15" x14ac:dyDescent="0.25">
      <c r="A6490" t="s">
        <v>16</v>
      </c>
      <c r="B6490" t="s">
        <v>3221</v>
      </c>
      <c r="C6490">
        <v>12579</v>
      </c>
      <c r="D6490" t="s">
        <v>1504</v>
      </c>
      <c r="E6490" t="s">
        <v>1505</v>
      </c>
      <c r="F6490">
        <v>3115.3</v>
      </c>
      <c r="G6490">
        <v>230914</v>
      </c>
      <c r="H6490">
        <v>4400</v>
      </c>
      <c r="I6490" t="s">
        <v>348</v>
      </c>
      <c r="J6490">
        <v>3862.97</v>
      </c>
      <c r="K6490">
        <v>747.67</v>
      </c>
      <c r="L6490">
        <v>46554</v>
      </c>
      <c r="M6490" t="s">
        <v>117</v>
      </c>
      <c r="N6490" t="str">
        <f>"1201        "</f>
        <v xml:space="preserve">1201        </v>
      </c>
      <c r="O6490">
        <v>230922</v>
      </c>
    </row>
    <row r="6491" spans="1:15" x14ac:dyDescent="0.25">
      <c r="A6491" t="s">
        <v>16</v>
      </c>
      <c r="B6491" t="s">
        <v>3221</v>
      </c>
      <c r="C6491">
        <v>14353</v>
      </c>
      <c r="D6491" t="s">
        <v>2765</v>
      </c>
      <c r="E6491" t="s">
        <v>2766</v>
      </c>
      <c r="F6491">
        <v>4430</v>
      </c>
      <c r="G6491">
        <v>231012</v>
      </c>
      <c r="H6491">
        <v>4600</v>
      </c>
      <c r="I6491" t="s">
        <v>105</v>
      </c>
      <c r="J6491">
        <v>5493.2</v>
      </c>
      <c r="K6491">
        <v>1063.2</v>
      </c>
      <c r="L6491">
        <v>46554</v>
      </c>
      <c r="M6491" t="s">
        <v>117</v>
      </c>
      <c r="N6491" t="str">
        <f>"4179        "</f>
        <v xml:space="preserve">4179        </v>
      </c>
      <c r="O6491">
        <v>231027</v>
      </c>
    </row>
    <row r="6492" spans="1:15" x14ac:dyDescent="0.25">
      <c r="A6492" t="s">
        <v>16</v>
      </c>
      <c r="B6492" t="s">
        <v>3221</v>
      </c>
      <c r="C6492">
        <v>11003</v>
      </c>
      <c r="D6492" t="s">
        <v>909</v>
      </c>
      <c r="E6492" t="s">
        <v>910</v>
      </c>
      <c r="F6492">
        <v>252.5</v>
      </c>
      <c r="G6492">
        <v>230822</v>
      </c>
      <c r="H6492">
        <v>4343</v>
      </c>
      <c r="I6492" t="s">
        <v>91</v>
      </c>
      <c r="J6492">
        <v>313.10000000000002</v>
      </c>
      <c r="K6492">
        <v>60.6</v>
      </c>
      <c r="L6492">
        <v>49501</v>
      </c>
      <c r="M6492" t="s">
        <v>177</v>
      </c>
      <c r="N6492" t="str">
        <f>"15615       "</f>
        <v xml:space="preserve">15615       </v>
      </c>
      <c r="O6492">
        <v>230828</v>
      </c>
    </row>
    <row r="6493" spans="1:15" x14ac:dyDescent="0.25">
      <c r="A6493" t="s">
        <v>16</v>
      </c>
      <c r="B6493" t="s">
        <v>3221</v>
      </c>
      <c r="C6493">
        <v>12921</v>
      </c>
      <c r="D6493" t="s">
        <v>909</v>
      </c>
      <c r="E6493" t="s">
        <v>910</v>
      </c>
      <c r="F6493">
        <v>157.86000000000001</v>
      </c>
      <c r="G6493">
        <v>230921</v>
      </c>
      <c r="H6493">
        <v>4580</v>
      </c>
      <c r="I6493" t="s">
        <v>35</v>
      </c>
      <c r="J6493">
        <v>195.75</v>
      </c>
      <c r="K6493">
        <v>37.89</v>
      </c>
      <c r="L6493">
        <v>49501</v>
      </c>
      <c r="M6493" t="s">
        <v>177</v>
      </c>
      <c r="N6493" t="str">
        <f>"16115       "</f>
        <v xml:space="preserve">16115       </v>
      </c>
      <c r="O6493">
        <v>231002</v>
      </c>
    </row>
    <row r="6494" spans="1:15" x14ac:dyDescent="0.25">
      <c r="A6494" t="s">
        <v>16</v>
      </c>
      <c r="B6494" t="s">
        <v>3221</v>
      </c>
      <c r="C6494">
        <v>18221</v>
      </c>
      <c r="D6494" t="s">
        <v>909</v>
      </c>
      <c r="E6494" t="s">
        <v>910</v>
      </c>
      <c r="F6494">
        <v>7440</v>
      </c>
      <c r="G6494">
        <v>231227</v>
      </c>
      <c r="H6494">
        <v>1196</v>
      </c>
      <c r="I6494" t="s">
        <v>392</v>
      </c>
      <c r="J6494">
        <v>9225.6</v>
      </c>
      <c r="K6494">
        <v>1785.6</v>
      </c>
      <c r="L6494">
        <v>96501</v>
      </c>
      <c r="M6494" t="s">
        <v>2361</v>
      </c>
      <c r="N6494" t="str">
        <f>"17307       "</f>
        <v xml:space="preserve">17307       </v>
      </c>
      <c r="O6494">
        <v>240102</v>
      </c>
    </row>
    <row r="6495" spans="1:15" x14ac:dyDescent="0.25">
      <c r="A6495" t="s">
        <v>16</v>
      </c>
      <c r="B6495" t="s">
        <v>3221</v>
      </c>
      <c r="C6495">
        <v>1139</v>
      </c>
      <c r="D6495" t="s">
        <v>909</v>
      </c>
      <c r="E6495" t="s">
        <v>910</v>
      </c>
      <c r="F6495">
        <v>24.35</v>
      </c>
      <c r="G6495">
        <v>230202</v>
      </c>
      <c r="H6495">
        <v>4600</v>
      </c>
      <c r="I6495" t="s">
        <v>105</v>
      </c>
      <c r="J6495">
        <v>30.2</v>
      </c>
      <c r="K6495">
        <v>5.85</v>
      </c>
      <c r="L6495">
        <v>49501</v>
      </c>
      <c r="M6495" t="s">
        <v>177</v>
      </c>
      <c r="N6495" t="str">
        <f>"13228       "</f>
        <v xml:space="preserve">13228       </v>
      </c>
      <c r="O6495">
        <v>230206</v>
      </c>
    </row>
    <row r="6496" spans="1:15" x14ac:dyDescent="0.25">
      <c r="A6496" t="s">
        <v>16</v>
      </c>
      <c r="B6496" t="s">
        <v>3221</v>
      </c>
      <c r="C6496">
        <v>1141</v>
      </c>
      <c r="D6496" t="s">
        <v>909</v>
      </c>
      <c r="E6496" t="s">
        <v>910</v>
      </c>
      <c r="F6496">
        <v>92.1</v>
      </c>
      <c r="G6496">
        <v>230117</v>
      </c>
      <c r="H6496">
        <v>4600</v>
      </c>
      <c r="I6496" t="s">
        <v>105</v>
      </c>
      <c r="J6496">
        <v>114.2</v>
      </c>
      <c r="K6496">
        <v>22.1</v>
      </c>
      <c r="L6496">
        <v>49501</v>
      </c>
      <c r="M6496" t="s">
        <v>177</v>
      </c>
      <c r="N6496" t="str">
        <f>"13041       "</f>
        <v xml:space="preserve">13041       </v>
      </c>
      <c r="O6496">
        <v>230206</v>
      </c>
    </row>
    <row r="6497" spans="1:15" x14ac:dyDescent="0.25">
      <c r="A6497" t="s">
        <v>16</v>
      </c>
      <c r="B6497" t="s">
        <v>3221</v>
      </c>
      <c r="C6497">
        <v>1330</v>
      </c>
      <c r="D6497" t="s">
        <v>909</v>
      </c>
      <c r="E6497" t="s">
        <v>910</v>
      </c>
      <c r="F6497">
        <v>24.65</v>
      </c>
      <c r="G6497">
        <v>230203</v>
      </c>
      <c r="H6497">
        <v>4600</v>
      </c>
      <c r="I6497" t="s">
        <v>105</v>
      </c>
      <c r="J6497">
        <v>30.56</v>
      </c>
      <c r="K6497">
        <v>5.91</v>
      </c>
      <c r="L6497">
        <v>49501</v>
      </c>
      <c r="M6497" t="s">
        <v>177</v>
      </c>
      <c r="N6497" t="str">
        <f>"13238       "</f>
        <v xml:space="preserve">13238       </v>
      </c>
      <c r="O6497">
        <v>230208</v>
      </c>
    </row>
    <row r="6498" spans="1:15" x14ac:dyDescent="0.25">
      <c r="A6498" t="s">
        <v>16</v>
      </c>
      <c r="B6498" t="s">
        <v>3221</v>
      </c>
      <c r="C6498">
        <v>1646</v>
      </c>
      <c r="D6498" t="s">
        <v>909</v>
      </c>
      <c r="E6498" t="s">
        <v>910</v>
      </c>
      <c r="F6498">
        <v>340.05</v>
      </c>
      <c r="G6498">
        <v>230207</v>
      </c>
      <c r="H6498">
        <v>4600</v>
      </c>
      <c r="I6498" t="s">
        <v>105</v>
      </c>
      <c r="J6498">
        <v>421.66</v>
      </c>
      <c r="K6498">
        <v>81.61</v>
      </c>
      <c r="L6498">
        <v>49501</v>
      </c>
      <c r="M6498" t="s">
        <v>177</v>
      </c>
      <c r="N6498" t="str">
        <f>"13270       "</f>
        <v xml:space="preserve">13270       </v>
      </c>
      <c r="O6498">
        <v>230213</v>
      </c>
    </row>
    <row r="6499" spans="1:15" x14ac:dyDescent="0.25">
      <c r="A6499" t="s">
        <v>16</v>
      </c>
      <c r="B6499" t="s">
        <v>3221</v>
      </c>
      <c r="C6499">
        <v>2066</v>
      </c>
      <c r="D6499" t="s">
        <v>909</v>
      </c>
      <c r="E6499" t="s">
        <v>910</v>
      </c>
      <c r="F6499">
        <v>179.2</v>
      </c>
      <c r="G6499">
        <v>230216</v>
      </c>
      <c r="H6499">
        <v>4600</v>
      </c>
      <c r="I6499" t="s">
        <v>105</v>
      </c>
      <c r="J6499">
        <v>222.21</v>
      </c>
      <c r="K6499">
        <v>43.01</v>
      </c>
      <c r="L6499">
        <v>49501</v>
      </c>
      <c r="M6499" t="s">
        <v>177</v>
      </c>
      <c r="N6499" t="str">
        <f>"13389       "</f>
        <v xml:space="preserve">13389       </v>
      </c>
      <c r="O6499">
        <v>230220</v>
      </c>
    </row>
    <row r="6500" spans="1:15" x14ac:dyDescent="0.25">
      <c r="A6500" t="s">
        <v>16</v>
      </c>
      <c r="B6500" t="s">
        <v>3221</v>
      </c>
      <c r="C6500">
        <v>2407</v>
      </c>
      <c r="D6500" t="s">
        <v>909</v>
      </c>
      <c r="E6500" t="s">
        <v>910</v>
      </c>
      <c r="F6500">
        <v>109.52</v>
      </c>
      <c r="G6500">
        <v>230222</v>
      </c>
      <c r="H6500">
        <v>4600</v>
      </c>
      <c r="I6500" t="s">
        <v>105</v>
      </c>
      <c r="J6500">
        <v>135.80000000000001</v>
      </c>
      <c r="K6500">
        <v>26.28</v>
      </c>
      <c r="L6500">
        <v>49501</v>
      </c>
      <c r="M6500" t="s">
        <v>177</v>
      </c>
      <c r="N6500" t="str">
        <f>"13449       "</f>
        <v xml:space="preserve">13449       </v>
      </c>
      <c r="O6500">
        <v>230227</v>
      </c>
    </row>
    <row r="6501" spans="1:15" x14ac:dyDescent="0.25">
      <c r="A6501" t="s">
        <v>16</v>
      </c>
      <c r="B6501" t="s">
        <v>3221</v>
      </c>
      <c r="C6501">
        <v>4446</v>
      </c>
      <c r="D6501" t="s">
        <v>909</v>
      </c>
      <c r="E6501" t="s">
        <v>910</v>
      </c>
      <c r="F6501">
        <v>48.56</v>
      </c>
      <c r="G6501">
        <v>230322</v>
      </c>
      <c r="H6501">
        <v>4600</v>
      </c>
      <c r="I6501" t="s">
        <v>105</v>
      </c>
      <c r="J6501">
        <v>60.21</v>
      </c>
      <c r="K6501">
        <v>11.65</v>
      </c>
      <c r="L6501">
        <v>46554</v>
      </c>
      <c r="M6501" t="s">
        <v>117</v>
      </c>
      <c r="N6501" t="str">
        <f>"13753       "</f>
        <v xml:space="preserve">13753       </v>
      </c>
      <c r="O6501">
        <v>230406</v>
      </c>
    </row>
    <row r="6502" spans="1:15" x14ac:dyDescent="0.25">
      <c r="A6502" t="s">
        <v>16</v>
      </c>
      <c r="B6502" t="s">
        <v>3221</v>
      </c>
      <c r="C6502">
        <v>8255</v>
      </c>
      <c r="D6502" t="s">
        <v>909</v>
      </c>
      <c r="E6502" t="s">
        <v>910</v>
      </c>
      <c r="F6502">
        <v>195.85</v>
      </c>
      <c r="G6502">
        <v>230607</v>
      </c>
      <c r="H6502">
        <v>4600</v>
      </c>
      <c r="I6502" t="s">
        <v>105</v>
      </c>
      <c r="J6502">
        <v>242.86</v>
      </c>
      <c r="K6502">
        <v>47.01</v>
      </c>
      <c r="L6502">
        <v>49501</v>
      </c>
      <c r="M6502" t="s">
        <v>177</v>
      </c>
      <c r="N6502" t="str">
        <f>"14643       "</f>
        <v xml:space="preserve">14643       </v>
      </c>
      <c r="O6502">
        <v>230608</v>
      </c>
    </row>
    <row r="6503" spans="1:15" x14ac:dyDescent="0.25">
      <c r="A6503" t="s">
        <v>16</v>
      </c>
      <c r="B6503" t="s">
        <v>3221</v>
      </c>
      <c r="C6503">
        <v>11772</v>
      </c>
      <c r="D6503" t="s">
        <v>909</v>
      </c>
      <c r="E6503" t="s">
        <v>910</v>
      </c>
      <c r="F6503">
        <v>383.6</v>
      </c>
      <c r="G6503">
        <v>230906</v>
      </c>
      <c r="H6503">
        <v>4600</v>
      </c>
      <c r="I6503" t="s">
        <v>105</v>
      </c>
      <c r="J6503">
        <v>475.66</v>
      </c>
      <c r="K6503">
        <v>92.06</v>
      </c>
      <c r="L6503">
        <v>49501</v>
      </c>
      <c r="M6503" t="s">
        <v>177</v>
      </c>
      <c r="N6503" t="str">
        <f>"15902       "</f>
        <v xml:space="preserve">15902       </v>
      </c>
      <c r="O6503">
        <v>230911</v>
      </c>
    </row>
    <row r="6504" spans="1:15" x14ac:dyDescent="0.25">
      <c r="A6504" t="s">
        <v>16</v>
      </c>
      <c r="B6504" t="s">
        <v>3221</v>
      </c>
      <c r="C6504">
        <v>12570</v>
      </c>
      <c r="D6504" t="s">
        <v>909</v>
      </c>
      <c r="E6504" t="s">
        <v>910</v>
      </c>
      <c r="F6504">
        <v>151.94</v>
      </c>
      <c r="G6504">
        <v>230914</v>
      </c>
      <c r="H6504">
        <v>4600</v>
      </c>
      <c r="I6504" t="s">
        <v>105</v>
      </c>
      <c r="J6504">
        <v>188.4</v>
      </c>
      <c r="K6504">
        <v>36.46</v>
      </c>
      <c r="L6504">
        <v>49501</v>
      </c>
      <c r="M6504" t="s">
        <v>177</v>
      </c>
      <c r="N6504" t="str">
        <f>"16031       "</f>
        <v xml:space="preserve">16031       </v>
      </c>
      <c r="O6504">
        <v>230922</v>
      </c>
    </row>
    <row r="6505" spans="1:15" x14ac:dyDescent="0.25">
      <c r="A6505" t="s">
        <v>16</v>
      </c>
      <c r="B6505" t="s">
        <v>3221</v>
      </c>
      <c r="C6505">
        <v>14794</v>
      </c>
      <c r="D6505" t="s">
        <v>909</v>
      </c>
      <c r="E6505" t="s">
        <v>910</v>
      </c>
      <c r="F6505">
        <v>150.16</v>
      </c>
      <c r="G6505">
        <v>231030</v>
      </c>
      <c r="H6505">
        <v>4600</v>
      </c>
      <c r="I6505" t="s">
        <v>105</v>
      </c>
      <c r="J6505">
        <v>186.2</v>
      </c>
      <c r="K6505">
        <v>36.04</v>
      </c>
      <c r="L6505">
        <v>49501</v>
      </c>
      <c r="M6505" t="s">
        <v>177</v>
      </c>
      <c r="N6505" t="str">
        <f>"16614       "</f>
        <v xml:space="preserve">16614       </v>
      </c>
      <c r="O6505">
        <v>231106</v>
      </c>
    </row>
    <row r="6506" spans="1:15" x14ac:dyDescent="0.25">
      <c r="A6506" t="s">
        <v>16</v>
      </c>
      <c r="B6506" t="s">
        <v>3221</v>
      </c>
      <c r="C6506">
        <v>17405</v>
      </c>
      <c r="D6506" t="s">
        <v>909</v>
      </c>
      <c r="E6506" t="s">
        <v>910</v>
      </c>
      <c r="F6506">
        <v>79.069999999999993</v>
      </c>
      <c r="G6506">
        <v>231207</v>
      </c>
      <c r="H6506">
        <v>4600</v>
      </c>
      <c r="I6506" t="s">
        <v>105</v>
      </c>
      <c r="J6506">
        <v>98.05</v>
      </c>
      <c r="K6506">
        <v>18.98</v>
      </c>
      <c r="L6506">
        <v>49501</v>
      </c>
      <c r="M6506" t="s">
        <v>177</v>
      </c>
      <c r="N6506" t="str">
        <f>"17126       "</f>
        <v xml:space="preserve">17126       </v>
      </c>
      <c r="O6506">
        <v>231214</v>
      </c>
    </row>
    <row r="6507" spans="1:15" x14ac:dyDescent="0.25">
      <c r="A6507" t="s">
        <v>16</v>
      </c>
      <c r="B6507" t="s">
        <v>3221</v>
      </c>
      <c r="C6507">
        <v>18029</v>
      </c>
      <c r="D6507" t="s">
        <v>909</v>
      </c>
      <c r="E6507" t="s">
        <v>910</v>
      </c>
      <c r="F6507">
        <v>251.23</v>
      </c>
      <c r="G6507">
        <v>231222</v>
      </c>
      <c r="H6507">
        <v>4600</v>
      </c>
      <c r="I6507" t="s">
        <v>105</v>
      </c>
      <c r="J6507">
        <v>311.52</v>
      </c>
      <c r="K6507">
        <v>60.29</v>
      </c>
      <c r="L6507">
        <v>49501</v>
      </c>
      <c r="M6507" t="s">
        <v>177</v>
      </c>
      <c r="N6507" t="str">
        <f>"17286       "</f>
        <v xml:space="preserve">17286       </v>
      </c>
      <c r="O6507">
        <v>231229</v>
      </c>
    </row>
    <row r="6508" spans="1:15" x14ac:dyDescent="0.25">
      <c r="A6508" t="s">
        <v>16</v>
      </c>
      <c r="B6508" t="s">
        <v>3221</v>
      </c>
      <c r="C6508">
        <v>10800</v>
      </c>
      <c r="D6508" t="s">
        <v>909</v>
      </c>
      <c r="E6508" t="s">
        <v>910</v>
      </c>
      <c r="F6508">
        <v>2854.69</v>
      </c>
      <c r="G6508">
        <v>230816</v>
      </c>
      <c r="H6508">
        <v>4390</v>
      </c>
      <c r="I6508" t="s">
        <v>98</v>
      </c>
      <c r="J6508">
        <v>3539.82</v>
      </c>
      <c r="K6508">
        <v>685.13</v>
      </c>
      <c r="L6508">
        <v>49501</v>
      </c>
      <c r="M6508" t="s">
        <v>177</v>
      </c>
      <c r="N6508" t="str">
        <f>"15550       "</f>
        <v xml:space="preserve">15550       </v>
      </c>
      <c r="O6508">
        <v>230823</v>
      </c>
    </row>
    <row r="6509" spans="1:15" x14ac:dyDescent="0.25">
      <c r="A6509" t="s">
        <v>16</v>
      </c>
      <c r="B6509" t="s">
        <v>3221</v>
      </c>
      <c r="C6509">
        <v>11002</v>
      </c>
      <c r="D6509" t="s">
        <v>909</v>
      </c>
      <c r="E6509" t="s">
        <v>910</v>
      </c>
      <c r="F6509">
        <v>81.55</v>
      </c>
      <c r="G6509">
        <v>230822</v>
      </c>
      <c r="H6509">
        <v>4390</v>
      </c>
      <c r="I6509" t="s">
        <v>98</v>
      </c>
      <c r="J6509">
        <v>101.12</v>
      </c>
      <c r="K6509">
        <v>19.57</v>
      </c>
      <c r="L6509">
        <v>49501</v>
      </c>
      <c r="M6509" t="s">
        <v>177</v>
      </c>
      <c r="N6509" t="str">
        <f>"15630       "</f>
        <v xml:space="preserve">15630       </v>
      </c>
      <c r="O6509">
        <v>230828</v>
      </c>
    </row>
    <row r="6510" spans="1:15" x14ac:dyDescent="0.25">
      <c r="A6510" t="s">
        <v>16</v>
      </c>
      <c r="B6510" t="s">
        <v>3221</v>
      </c>
      <c r="C6510">
        <v>5392</v>
      </c>
      <c r="D6510" t="s">
        <v>909</v>
      </c>
      <c r="E6510" t="s">
        <v>910</v>
      </c>
      <c r="F6510">
        <v>78.47</v>
      </c>
      <c r="G6510">
        <v>230417</v>
      </c>
      <c r="H6510">
        <v>4590</v>
      </c>
      <c r="I6510" t="s">
        <v>203</v>
      </c>
      <c r="J6510">
        <v>97.3</v>
      </c>
      <c r="K6510">
        <v>18.829999999999998</v>
      </c>
      <c r="L6510">
        <v>49501</v>
      </c>
      <c r="M6510" t="s">
        <v>177</v>
      </c>
      <c r="N6510" t="str">
        <f>"13972       "</f>
        <v xml:space="preserve">13972       </v>
      </c>
      <c r="O6510">
        <v>230424</v>
      </c>
    </row>
    <row r="6511" spans="1:15" x14ac:dyDescent="0.25">
      <c r="A6511" t="s">
        <v>16</v>
      </c>
      <c r="B6511" t="s">
        <v>3221</v>
      </c>
      <c r="C6511">
        <v>6754</v>
      </c>
      <c r="D6511" t="s">
        <v>909</v>
      </c>
      <c r="E6511" t="s">
        <v>910</v>
      </c>
      <c r="F6511">
        <v>45.46</v>
      </c>
      <c r="G6511">
        <v>230516</v>
      </c>
      <c r="H6511">
        <v>4590</v>
      </c>
      <c r="I6511" t="s">
        <v>203</v>
      </c>
      <c r="J6511">
        <v>56.37</v>
      </c>
      <c r="K6511">
        <v>10.91</v>
      </c>
      <c r="L6511">
        <v>49501</v>
      </c>
      <c r="M6511" t="s">
        <v>177</v>
      </c>
      <c r="N6511" t="str">
        <f>"14333       "</f>
        <v xml:space="preserve">14333       </v>
      </c>
      <c r="O6511">
        <v>230522</v>
      </c>
    </row>
    <row r="6512" spans="1:15" x14ac:dyDescent="0.25">
      <c r="A6512" t="s">
        <v>16</v>
      </c>
      <c r="B6512" t="s">
        <v>3221</v>
      </c>
      <c r="C6512">
        <v>14365</v>
      </c>
      <c r="D6512" t="s">
        <v>2095</v>
      </c>
      <c r="E6512" t="s">
        <v>2096</v>
      </c>
      <c r="F6512">
        <v>184.3</v>
      </c>
      <c r="G6512">
        <v>231018</v>
      </c>
      <c r="H6512">
        <v>4520</v>
      </c>
      <c r="I6512" t="s">
        <v>254</v>
      </c>
      <c r="J6512">
        <v>210.1</v>
      </c>
      <c r="K6512">
        <v>25.8</v>
      </c>
      <c r="L6512">
        <v>18972</v>
      </c>
      <c r="M6512" t="s">
        <v>163</v>
      </c>
      <c r="N6512" t="str">
        <f>"3905        "</f>
        <v xml:space="preserve">3905        </v>
      </c>
      <c r="O6512">
        <v>231030</v>
      </c>
    </row>
    <row r="6513" spans="1:15" x14ac:dyDescent="0.25">
      <c r="A6513" t="s">
        <v>16</v>
      </c>
      <c r="B6513" t="s">
        <v>3221</v>
      </c>
      <c r="C6513">
        <v>7452</v>
      </c>
      <c r="D6513" t="s">
        <v>2095</v>
      </c>
      <c r="E6513" t="s">
        <v>2096</v>
      </c>
      <c r="F6513">
        <v>4.03</v>
      </c>
      <c r="G6513">
        <v>230522</v>
      </c>
      <c r="H6513">
        <v>4410</v>
      </c>
      <c r="I6513" t="s">
        <v>517</v>
      </c>
      <c r="J6513">
        <v>5</v>
      </c>
      <c r="K6513">
        <v>0.97</v>
      </c>
      <c r="L6513">
        <v>18972</v>
      </c>
      <c r="M6513" t="s">
        <v>163</v>
      </c>
      <c r="N6513" t="str">
        <f>"3669        "</f>
        <v xml:space="preserve">3669        </v>
      </c>
      <c r="O6513">
        <v>230531</v>
      </c>
    </row>
    <row r="6514" spans="1:15" x14ac:dyDescent="0.25">
      <c r="A6514" t="s">
        <v>16</v>
      </c>
      <c r="B6514" t="s">
        <v>3221</v>
      </c>
      <c r="C6514">
        <v>7452</v>
      </c>
      <c r="D6514" t="s">
        <v>2095</v>
      </c>
      <c r="E6514" t="s">
        <v>2096</v>
      </c>
      <c r="F6514">
        <v>93.68</v>
      </c>
      <c r="G6514">
        <v>230522</v>
      </c>
      <c r="H6514">
        <v>4410</v>
      </c>
      <c r="I6514" t="s">
        <v>517</v>
      </c>
      <c r="J6514">
        <v>106.8</v>
      </c>
      <c r="K6514">
        <v>13.12</v>
      </c>
      <c r="L6514">
        <v>18972</v>
      </c>
      <c r="M6514" t="s">
        <v>163</v>
      </c>
      <c r="N6514" t="str">
        <f>"3669        "</f>
        <v xml:space="preserve">3669        </v>
      </c>
      <c r="O6514">
        <v>230531</v>
      </c>
    </row>
    <row r="6515" spans="1:15" x14ac:dyDescent="0.25">
      <c r="A6515" t="s">
        <v>16</v>
      </c>
      <c r="B6515" t="s">
        <v>3221</v>
      </c>
      <c r="C6515">
        <v>7723</v>
      </c>
      <c r="D6515" t="s">
        <v>2095</v>
      </c>
      <c r="E6515" t="s">
        <v>2096</v>
      </c>
      <c r="F6515">
        <v>4.03</v>
      </c>
      <c r="G6515">
        <v>230530</v>
      </c>
      <c r="H6515">
        <v>4410</v>
      </c>
      <c r="I6515" t="s">
        <v>517</v>
      </c>
      <c r="J6515">
        <v>5</v>
      </c>
      <c r="K6515">
        <v>0.97</v>
      </c>
      <c r="L6515">
        <v>49704</v>
      </c>
      <c r="M6515" t="s">
        <v>1065</v>
      </c>
      <c r="N6515" t="str">
        <f>"3707        "</f>
        <v xml:space="preserve">3707        </v>
      </c>
      <c r="O6515">
        <v>230602</v>
      </c>
    </row>
    <row r="6516" spans="1:15" x14ac:dyDescent="0.25">
      <c r="A6516" t="s">
        <v>16</v>
      </c>
      <c r="B6516" t="s">
        <v>3221</v>
      </c>
      <c r="C6516">
        <v>7723</v>
      </c>
      <c r="D6516" t="s">
        <v>2095</v>
      </c>
      <c r="E6516" t="s">
        <v>2096</v>
      </c>
      <c r="F6516">
        <v>292.89</v>
      </c>
      <c r="G6516">
        <v>230530</v>
      </c>
      <c r="H6516">
        <v>4410</v>
      </c>
      <c r="I6516" t="s">
        <v>517</v>
      </c>
      <c r="J6516">
        <v>333.9</v>
      </c>
      <c r="K6516">
        <v>41.01</v>
      </c>
      <c r="L6516">
        <v>49704</v>
      </c>
      <c r="M6516" t="s">
        <v>1065</v>
      </c>
      <c r="N6516" t="str">
        <f>"3707        "</f>
        <v xml:space="preserve">3707        </v>
      </c>
      <c r="O6516">
        <v>230602</v>
      </c>
    </row>
    <row r="6517" spans="1:15" x14ac:dyDescent="0.25">
      <c r="A6517" t="s">
        <v>16</v>
      </c>
      <c r="B6517" t="s">
        <v>3221</v>
      </c>
      <c r="C6517">
        <v>8769</v>
      </c>
      <c r="D6517" t="s">
        <v>2095</v>
      </c>
      <c r="E6517" t="s">
        <v>2096</v>
      </c>
      <c r="F6517">
        <v>1727.11</v>
      </c>
      <c r="G6517">
        <v>230613</v>
      </c>
      <c r="H6517">
        <v>4410</v>
      </c>
      <c r="I6517" t="s">
        <v>517</v>
      </c>
      <c r="J6517">
        <v>1968.9</v>
      </c>
      <c r="K6517">
        <v>241.79</v>
      </c>
      <c r="L6517">
        <v>11905</v>
      </c>
      <c r="M6517" t="s">
        <v>39</v>
      </c>
      <c r="N6517" t="str">
        <f>"3728        "</f>
        <v xml:space="preserve">3728        </v>
      </c>
      <c r="O6517">
        <v>230614</v>
      </c>
    </row>
    <row r="6518" spans="1:15" x14ac:dyDescent="0.25">
      <c r="A6518" t="s">
        <v>16</v>
      </c>
      <c r="B6518" t="s">
        <v>3221</v>
      </c>
      <c r="C6518">
        <v>14365</v>
      </c>
      <c r="D6518" t="s">
        <v>2095</v>
      </c>
      <c r="E6518" t="s">
        <v>2096</v>
      </c>
      <c r="F6518">
        <v>4.03</v>
      </c>
      <c r="G6518">
        <v>231018</v>
      </c>
      <c r="H6518">
        <v>4600</v>
      </c>
      <c r="I6518" t="s">
        <v>105</v>
      </c>
      <c r="J6518">
        <v>5</v>
      </c>
      <c r="K6518">
        <v>0.97</v>
      </c>
      <c r="L6518">
        <v>18972</v>
      </c>
      <c r="M6518" t="s">
        <v>163</v>
      </c>
      <c r="N6518" t="str">
        <f>"3905        "</f>
        <v xml:space="preserve">3905        </v>
      </c>
      <c r="O6518">
        <v>231030</v>
      </c>
    </row>
    <row r="6519" spans="1:15" x14ac:dyDescent="0.25">
      <c r="A6519" t="s">
        <v>16</v>
      </c>
      <c r="B6519" t="s">
        <v>3221</v>
      </c>
      <c r="C6519">
        <v>8769</v>
      </c>
      <c r="D6519" t="s">
        <v>2095</v>
      </c>
      <c r="E6519" t="s">
        <v>2096</v>
      </c>
      <c r="F6519">
        <v>286.29000000000002</v>
      </c>
      <c r="G6519">
        <v>230613</v>
      </c>
      <c r="H6519">
        <v>4820</v>
      </c>
      <c r="I6519" t="s">
        <v>50</v>
      </c>
      <c r="J6519">
        <v>355</v>
      </c>
      <c r="K6519">
        <v>68.709999999999994</v>
      </c>
      <c r="L6519">
        <v>11905</v>
      </c>
      <c r="M6519" t="s">
        <v>39</v>
      </c>
      <c r="N6519" t="str">
        <f>"3728        "</f>
        <v xml:space="preserve">3728        </v>
      </c>
      <c r="O6519">
        <v>230614</v>
      </c>
    </row>
    <row r="6520" spans="1:15" x14ac:dyDescent="0.25">
      <c r="A6520" t="s">
        <v>16</v>
      </c>
      <c r="B6520" t="s">
        <v>3221</v>
      </c>
      <c r="C6520">
        <v>1987</v>
      </c>
      <c r="D6520" t="s">
        <v>1247</v>
      </c>
      <c r="E6520" t="s">
        <v>1248</v>
      </c>
      <c r="F6520">
        <v>1007.26</v>
      </c>
      <c r="G6520">
        <v>230202</v>
      </c>
      <c r="H6520">
        <v>4580</v>
      </c>
      <c r="I6520" t="s">
        <v>35</v>
      </c>
      <c r="J6520">
        <v>1249</v>
      </c>
      <c r="K6520">
        <v>241.74</v>
      </c>
      <c r="L6520">
        <v>17526</v>
      </c>
      <c r="M6520" t="s">
        <v>437</v>
      </c>
      <c r="N6520" t="str">
        <f>"18060       "</f>
        <v xml:space="preserve">18060       </v>
      </c>
      <c r="O6520">
        <v>230216</v>
      </c>
    </row>
    <row r="6521" spans="1:15" x14ac:dyDescent="0.25">
      <c r="A6521" t="s">
        <v>16</v>
      </c>
      <c r="B6521" t="s">
        <v>3221</v>
      </c>
      <c r="C6521">
        <v>8366</v>
      </c>
      <c r="D6521" t="s">
        <v>2174</v>
      </c>
      <c r="E6521" t="s">
        <v>2175</v>
      </c>
      <c r="F6521">
        <v>93.15</v>
      </c>
      <c r="G6521">
        <v>230607</v>
      </c>
      <c r="H6521">
        <v>4530</v>
      </c>
      <c r="I6521" t="s">
        <v>342</v>
      </c>
      <c r="J6521">
        <v>115.5</v>
      </c>
      <c r="K6521">
        <v>22.35</v>
      </c>
      <c r="L6521">
        <v>17522</v>
      </c>
      <c r="M6521" t="s">
        <v>451</v>
      </c>
      <c r="N6521" t="str">
        <f>"10991       "</f>
        <v xml:space="preserve">10991       </v>
      </c>
      <c r="O6521">
        <v>230608</v>
      </c>
    </row>
    <row r="6522" spans="1:15" x14ac:dyDescent="0.25">
      <c r="A6522" t="s">
        <v>16</v>
      </c>
      <c r="B6522" t="s">
        <v>3221</v>
      </c>
      <c r="C6522">
        <v>252</v>
      </c>
      <c r="D6522" t="s">
        <v>377</v>
      </c>
      <c r="E6522" t="s">
        <v>378</v>
      </c>
      <c r="F6522">
        <v>1276</v>
      </c>
      <c r="G6522">
        <v>230109</v>
      </c>
      <c r="H6522">
        <v>4390</v>
      </c>
      <c r="I6522" t="s">
        <v>98</v>
      </c>
      <c r="J6522">
        <v>1582.24</v>
      </c>
      <c r="K6522">
        <v>306.24</v>
      </c>
      <c r="L6522">
        <v>49501</v>
      </c>
      <c r="M6522" t="s">
        <v>177</v>
      </c>
      <c r="N6522" t="str">
        <f>"6023010093  "</f>
        <v xml:space="preserve">6023010093  </v>
      </c>
      <c r="O6522">
        <v>230117</v>
      </c>
    </row>
    <row r="6523" spans="1:15" x14ac:dyDescent="0.25">
      <c r="A6523" t="s">
        <v>16</v>
      </c>
      <c r="B6523" t="s">
        <v>3221</v>
      </c>
      <c r="C6523">
        <v>1810</v>
      </c>
      <c r="D6523" t="s">
        <v>1021</v>
      </c>
      <c r="E6523" t="s">
        <v>1022</v>
      </c>
      <c r="F6523">
        <v>13.63</v>
      </c>
      <c r="G6523">
        <v>230203</v>
      </c>
      <c r="H6523">
        <v>4574</v>
      </c>
      <c r="I6523" t="s">
        <v>396</v>
      </c>
      <c r="J6523">
        <v>16.899999999999999</v>
      </c>
      <c r="K6523">
        <v>3.27</v>
      </c>
      <c r="L6523">
        <v>17522</v>
      </c>
      <c r="M6523" t="s">
        <v>451</v>
      </c>
      <c r="N6523" t="str">
        <f>"81 / 1997820"</f>
        <v>81 / 1997820</v>
      </c>
      <c r="O6523">
        <v>230214</v>
      </c>
    </row>
    <row r="6524" spans="1:15" x14ac:dyDescent="0.25">
      <c r="A6524" t="s">
        <v>16</v>
      </c>
      <c r="B6524" t="s">
        <v>3221</v>
      </c>
      <c r="C6524">
        <v>18468</v>
      </c>
      <c r="D6524" t="s">
        <v>1021</v>
      </c>
      <c r="E6524" t="s">
        <v>1022</v>
      </c>
      <c r="F6524">
        <v>28.55</v>
      </c>
      <c r="G6524">
        <v>231220</v>
      </c>
      <c r="H6524">
        <v>4574</v>
      </c>
      <c r="I6524" t="s">
        <v>396</v>
      </c>
      <c r="J6524">
        <v>35.4</v>
      </c>
      <c r="K6524">
        <v>6.85</v>
      </c>
      <c r="L6524">
        <v>17522</v>
      </c>
      <c r="M6524" t="s">
        <v>451</v>
      </c>
      <c r="N6524" t="str">
        <f>"47 / 2320943"</f>
        <v>47 / 2320943</v>
      </c>
      <c r="O6524">
        <v>240103</v>
      </c>
    </row>
    <row r="6525" spans="1:15" x14ac:dyDescent="0.25">
      <c r="A6525" t="s">
        <v>16</v>
      </c>
      <c r="B6525" t="s">
        <v>3221</v>
      </c>
      <c r="C6525">
        <v>1721</v>
      </c>
      <c r="D6525" t="s">
        <v>1021</v>
      </c>
      <c r="E6525" t="s">
        <v>1022</v>
      </c>
      <c r="F6525">
        <v>12.02</v>
      </c>
      <c r="G6525">
        <v>230203</v>
      </c>
      <c r="H6525">
        <v>4580</v>
      </c>
      <c r="I6525" t="s">
        <v>35</v>
      </c>
      <c r="J6525">
        <v>14.9</v>
      </c>
      <c r="K6525">
        <v>2.88</v>
      </c>
      <c r="L6525">
        <v>17524</v>
      </c>
      <c r="M6525" t="s">
        <v>452</v>
      </c>
      <c r="N6525" t="str">
        <f>"71 / 1997810"</f>
        <v>71 / 1997810</v>
      </c>
      <c r="O6525">
        <v>230213</v>
      </c>
    </row>
    <row r="6526" spans="1:15" x14ac:dyDescent="0.25">
      <c r="A6526" t="s">
        <v>16</v>
      </c>
      <c r="B6526" t="s">
        <v>3221</v>
      </c>
      <c r="C6526">
        <v>2967</v>
      </c>
      <c r="D6526" t="s">
        <v>1021</v>
      </c>
      <c r="E6526" t="s">
        <v>1022</v>
      </c>
      <c r="F6526">
        <v>58.85</v>
      </c>
      <c r="G6526">
        <v>230306</v>
      </c>
      <c r="H6526">
        <v>4580</v>
      </c>
      <c r="I6526" t="s">
        <v>35</v>
      </c>
      <c r="J6526">
        <v>72.97</v>
      </c>
      <c r="K6526">
        <v>14.12</v>
      </c>
      <c r="L6526">
        <v>17525</v>
      </c>
      <c r="M6526" t="s">
        <v>135</v>
      </c>
      <c r="N6526" t="str">
        <f>"22 / 2027049"</f>
        <v>22 / 2027049</v>
      </c>
      <c r="O6526">
        <v>230308</v>
      </c>
    </row>
    <row r="6527" spans="1:15" x14ac:dyDescent="0.25">
      <c r="A6527" t="s">
        <v>16</v>
      </c>
      <c r="B6527" t="s">
        <v>3221</v>
      </c>
      <c r="C6527">
        <v>3121</v>
      </c>
      <c r="D6527" t="s">
        <v>1021</v>
      </c>
      <c r="E6527" t="s">
        <v>1022</v>
      </c>
      <c r="F6527">
        <v>23.95</v>
      </c>
      <c r="G6527">
        <v>230306</v>
      </c>
      <c r="H6527">
        <v>4580</v>
      </c>
      <c r="I6527" t="s">
        <v>35</v>
      </c>
      <c r="J6527">
        <v>29.7</v>
      </c>
      <c r="K6527">
        <v>5.75</v>
      </c>
      <c r="L6527">
        <v>17524</v>
      </c>
      <c r="M6527" t="s">
        <v>452</v>
      </c>
      <c r="N6527" t="str">
        <f>"20 / 2027047"</f>
        <v>20 / 2027047</v>
      </c>
      <c r="O6527">
        <v>230309</v>
      </c>
    </row>
    <row r="6528" spans="1:15" x14ac:dyDescent="0.25">
      <c r="A6528" t="s">
        <v>16</v>
      </c>
      <c r="B6528" t="s">
        <v>3221</v>
      </c>
      <c r="C6528">
        <v>5078</v>
      </c>
      <c r="D6528" t="s">
        <v>1021</v>
      </c>
      <c r="E6528" t="s">
        <v>1022</v>
      </c>
      <c r="F6528">
        <v>7.58</v>
      </c>
      <c r="G6528">
        <v>230403</v>
      </c>
      <c r="H6528">
        <v>4580</v>
      </c>
      <c r="I6528" t="s">
        <v>35</v>
      </c>
      <c r="J6528">
        <v>9.4</v>
      </c>
      <c r="K6528">
        <v>1.82</v>
      </c>
      <c r="L6528">
        <v>17950</v>
      </c>
      <c r="M6528" t="s">
        <v>86</v>
      </c>
      <c r="N6528" t="str">
        <f>"87 / 2053648"</f>
        <v>87 / 2053648</v>
      </c>
      <c r="O6528">
        <v>230418</v>
      </c>
    </row>
    <row r="6529" spans="1:15" x14ac:dyDescent="0.25">
      <c r="A6529" t="s">
        <v>16</v>
      </c>
      <c r="B6529" t="s">
        <v>3221</v>
      </c>
      <c r="C6529">
        <v>6168</v>
      </c>
      <c r="D6529" t="s">
        <v>1021</v>
      </c>
      <c r="E6529" t="s">
        <v>1022</v>
      </c>
      <c r="F6529">
        <v>99.52</v>
      </c>
      <c r="G6529">
        <v>230502</v>
      </c>
      <c r="H6529">
        <v>4580</v>
      </c>
      <c r="I6529" t="s">
        <v>35</v>
      </c>
      <c r="J6529">
        <v>123.4</v>
      </c>
      <c r="K6529">
        <v>23.88</v>
      </c>
      <c r="L6529">
        <v>17950</v>
      </c>
      <c r="M6529" t="s">
        <v>86</v>
      </c>
      <c r="N6529" t="str">
        <f>"63 / 2086153"</f>
        <v>63 / 2086153</v>
      </c>
      <c r="O6529">
        <v>230508</v>
      </c>
    </row>
    <row r="6530" spans="1:15" x14ac:dyDescent="0.25">
      <c r="A6530" t="s">
        <v>16</v>
      </c>
      <c r="B6530" t="s">
        <v>3221</v>
      </c>
      <c r="C6530">
        <v>7137</v>
      </c>
      <c r="D6530" t="s">
        <v>1021</v>
      </c>
      <c r="E6530" t="s">
        <v>1022</v>
      </c>
      <c r="F6530">
        <v>31.85</v>
      </c>
      <c r="G6530">
        <v>230517</v>
      </c>
      <c r="H6530">
        <v>4580</v>
      </c>
      <c r="I6530" t="s">
        <v>35</v>
      </c>
      <c r="J6530">
        <v>39.49</v>
      </c>
      <c r="K6530">
        <v>7.64</v>
      </c>
      <c r="L6530">
        <v>17527</v>
      </c>
      <c r="M6530" t="s">
        <v>422</v>
      </c>
      <c r="N6530" t="str">
        <f>"41 / 2095254"</f>
        <v>41 / 2095254</v>
      </c>
      <c r="O6530">
        <v>230525</v>
      </c>
    </row>
    <row r="6531" spans="1:15" x14ac:dyDescent="0.25">
      <c r="A6531" t="s">
        <v>16</v>
      </c>
      <c r="B6531" t="s">
        <v>3221</v>
      </c>
      <c r="C6531">
        <v>10069</v>
      </c>
      <c r="D6531" t="s">
        <v>1021</v>
      </c>
      <c r="E6531" t="s">
        <v>1022</v>
      </c>
      <c r="F6531">
        <v>47.1</v>
      </c>
      <c r="G6531">
        <v>230801</v>
      </c>
      <c r="H6531">
        <v>4580</v>
      </c>
      <c r="I6531" t="s">
        <v>35</v>
      </c>
      <c r="J6531">
        <v>58.4</v>
      </c>
      <c r="K6531">
        <v>11.3</v>
      </c>
      <c r="L6531">
        <v>17956</v>
      </c>
      <c r="M6531" t="s">
        <v>53</v>
      </c>
      <c r="N6531" t="str">
        <f>"80 / 2168331"</f>
        <v>80 / 2168331</v>
      </c>
      <c r="O6531">
        <v>230808</v>
      </c>
    </row>
    <row r="6532" spans="1:15" x14ac:dyDescent="0.25">
      <c r="A6532" t="s">
        <v>16</v>
      </c>
      <c r="B6532" t="s">
        <v>3221</v>
      </c>
      <c r="C6532">
        <v>11272</v>
      </c>
      <c r="D6532" t="s">
        <v>1021</v>
      </c>
      <c r="E6532" t="s">
        <v>1022</v>
      </c>
      <c r="F6532">
        <v>11.69</v>
      </c>
      <c r="G6532">
        <v>230821</v>
      </c>
      <c r="H6532">
        <v>4580</v>
      </c>
      <c r="I6532" t="s">
        <v>35</v>
      </c>
      <c r="J6532">
        <v>14.5</v>
      </c>
      <c r="K6532">
        <v>2.81</v>
      </c>
      <c r="L6532">
        <v>17525</v>
      </c>
      <c r="M6532" t="s">
        <v>135</v>
      </c>
      <c r="N6532" t="str">
        <f>"42 / 2187115"</f>
        <v>42 / 2187115</v>
      </c>
      <c r="O6532">
        <v>230904</v>
      </c>
    </row>
    <row r="6533" spans="1:15" x14ac:dyDescent="0.25">
      <c r="A6533" t="s">
        <v>16</v>
      </c>
      <c r="B6533" t="s">
        <v>3221</v>
      </c>
      <c r="C6533">
        <v>12476</v>
      </c>
      <c r="D6533" t="s">
        <v>1021</v>
      </c>
      <c r="E6533" t="s">
        <v>1022</v>
      </c>
      <c r="F6533">
        <v>9.1</v>
      </c>
      <c r="G6533">
        <v>230901</v>
      </c>
      <c r="H6533">
        <v>4580</v>
      </c>
      <c r="I6533" t="s">
        <v>35</v>
      </c>
      <c r="J6533">
        <v>11.29</v>
      </c>
      <c r="K6533">
        <v>2.19</v>
      </c>
      <c r="L6533">
        <v>17527</v>
      </c>
      <c r="M6533" t="s">
        <v>422</v>
      </c>
      <c r="N6533" t="str">
        <f>"50 / 2198793"</f>
        <v>50 / 2198793</v>
      </c>
      <c r="O6533">
        <v>230920</v>
      </c>
    </row>
    <row r="6534" spans="1:15" x14ac:dyDescent="0.25">
      <c r="A6534" t="s">
        <v>16</v>
      </c>
      <c r="B6534" t="s">
        <v>3221</v>
      </c>
      <c r="C6534">
        <v>15276</v>
      </c>
      <c r="D6534" t="s">
        <v>1021</v>
      </c>
      <c r="E6534" t="s">
        <v>1022</v>
      </c>
      <c r="F6534">
        <v>12.78</v>
      </c>
      <c r="G6534">
        <v>231103</v>
      </c>
      <c r="H6534">
        <v>4580</v>
      </c>
      <c r="I6534" t="s">
        <v>35</v>
      </c>
      <c r="J6534">
        <v>15.85</v>
      </c>
      <c r="K6534">
        <v>3.07</v>
      </c>
      <c r="L6534">
        <v>17525</v>
      </c>
      <c r="M6534" t="s">
        <v>135</v>
      </c>
      <c r="N6534" t="str">
        <f>"76 / 2267507"</f>
        <v>76 / 2267507</v>
      </c>
      <c r="O6534">
        <v>231109</v>
      </c>
    </row>
    <row r="6535" spans="1:15" x14ac:dyDescent="0.25">
      <c r="A6535" t="s">
        <v>16</v>
      </c>
      <c r="B6535" t="s">
        <v>3221</v>
      </c>
      <c r="C6535">
        <v>16399</v>
      </c>
      <c r="D6535" t="s">
        <v>1021</v>
      </c>
      <c r="E6535" t="s">
        <v>1022</v>
      </c>
      <c r="F6535">
        <v>15.56</v>
      </c>
      <c r="G6535">
        <v>231122</v>
      </c>
      <c r="H6535">
        <v>4580</v>
      </c>
      <c r="I6535" t="s">
        <v>35</v>
      </c>
      <c r="J6535">
        <v>19.3</v>
      </c>
      <c r="K6535">
        <v>3.74</v>
      </c>
      <c r="L6535">
        <v>17803</v>
      </c>
      <c r="M6535" t="s">
        <v>389</v>
      </c>
      <c r="N6535" t="str">
        <f>"45 / 2291317"</f>
        <v>45 / 2291317</v>
      </c>
      <c r="O6535">
        <v>231129</v>
      </c>
    </row>
    <row r="6536" spans="1:15" x14ac:dyDescent="0.25">
      <c r="A6536" t="s">
        <v>16</v>
      </c>
      <c r="B6536" t="s">
        <v>3221</v>
      </c>
      <c r="C6536">
        <v>16439</v>
      </c>
      <c r="D6536" t="s">
        <v>1021</v>
      </c>
      <c r="E6536" t="s">
        <v>1022</v>
      </c>
      <c r="F6536">
        <v>45.08</v>
      </c>
      <c r="G6536">
        <v>231122</v>
      </c>
      <c r="H6536">
        <v>4580</v>
      </c>
      <c r="I6536" t="s">
        <v>35</v>
      </c>
      <c r="J6536">
        <v>55.9</v>
      </c>
      <c r="K6536">
        <v>10.82</v>
      </c>
      <c r="L6536">
        <v>17525</v>
      </c>
      <c r="M6536" t="s">
        <v>135</v>
      </c>
      <c r="N6536" t="str">
        <f>"93 / 2291251"</f>
        <v>93 / 2291251</v>
      </c>
      <c r="O6536">
        <v>231129</v>
      </c>
    </row>
    <row r="6537" spans="1:15" x14ac:dyDescent="0.25">
      <c r="A6537" t="s">
        <v>16</v>
      </c>
      <c r="B6537" t="s">
        <v>3221</v>
      </c>
      <c r="C6537">
        <v>18260</v>
      </c>
      <c r="D6537" t="s">
        <v>1021</v>
      </c>
      <c r="E6537" t="s">
        <v>1022</v>
      </c>
      <c r="F6537">
        <v>93.87</v>
      </c>
      <c r="G6537">
        <v>231214</v>
      </c>
      <c r="H6537">
        <v>4580</v>
      </c>
      <c r="I6537" t="s">
        <v>35</v>
      </c>
      <c r="J6537">
        <v>116.4</v>
      </c>
      <c r="K6537">
        <v>22.53</v>
      </c>
      <c r="L6537">
        <v>17521</v>
      </c>
      <c r="M6537" t="s">
        <v>133</v>
      </c>
      <c r="N6537" t="str">
        <f>"68 / 2313752"</f>
        <v>68 / 2313752</v>
      </c>
      <c r="O6537">
        <v>240102</v>
      </c>
    </row>
    <row r="6538" spans="1:15" x14ac:dyDescent="0.25">
      <c r="A6538" t="s">
        <v>16</v>
      </c>
      <c r="B6538" t="s">
        <v>3221</v>
      </c>
      <c r="C6538">
        <v>1721</v>
      </c>
      <c r="D6538" t="s">
        <v>1021</v>
      </c>
      <c r="E6538" t="s">
        <v>1022</v>
      </c>
      <c r="F6538">
        <v>56.57</v>
      </c>
      <c r="G6538">
        <v>230203</v>
      </c>
      <c r="H6538">
        <v>4400</v>
      </c>
      <c r="I6538" t="s">
        <v>348</v>
      </c>
      <c r="J6538">
        <v>70.150000000000006</v>
      </c>
      <c r="K6538">
        <v>13.58</v>
      </c>
      <c r="L6538">
        <v>17524</v>
      </c>
      <c r="M6538" t="s">
        <v>452</v>
      </c>
      <c r="N6538" t="str">
        <f>"71 / 1997810"</f>
        <v>71 / 1997810</v>
      </c>
      <c r="O6538">
        <v>230213</v>
      </c>
    </row>
    <row r="6539" spans="1:15" x14ac:dyDescent="0.25">
      <c r="A6539" t="s">
        <v>16</v>
      </c>
      <c r="B6539" t="s">
        <v>3221</v>
      </c>
      <c r="C6539">
        <v>4408</v>
      </c>
      <c r="D6539" t="s">
        <v>1021</v>
      </c>
      <c r="E6539" t="s">
        <v>1022</v>
      </c>
      <c r="F6539">
        <v>16.489999999999998</v>
      </c>
      <c r="G6539">
        <v>230403</v>
      </c>
      <c r="H6539">
        <v>4400</v>
      </c>
      <c r="I6539" t="s">
        <v>348</v>
      </c>
      <c r="J6539">
        <v>20.45</v>
      </c>
      <c r="K6539">
        <v>3.96</v>
      </c>
      <c r="L6539">
        <v>17635</v>
      </c>
      <c r="M6539" t="s">
        <v>349</v>
      </c>
      <c r="N6539" t="str">
        <f>"89 / 2053650"</f>
        <v>89 / 2053650</v>
      </c>
      <c r="O6539">
        <v>230405</v>
      </c>
    </row>
    <row r="6540" spans="1:15" x14ac:dyDescent="0.25">
      <c r="A6540" t="s">
        <v>16</v>
      </c>
      <c r="B6540" t="s">
        <v>3221</v>
      </c>
      <c r="C6540">
        <v>6110</v>
      </c>
      <c r="D6540" t="s">
        <v>1021</v>
      </c>
      <c r="E6540" t="s">
        <v>1022</v>
      </c>
      <c r="F6540">
        <v>57.66</v>
      </c>
      <c r="G6540">
        <v>230502</v>
      </c>
      <c r="H6540">
        <v>4400</v>
      </c>
      <c r="I6540" t="s">
        <v>348</v>
      </c>
      <c r="J6540">
        <v>71.5</v>
      </c>
      <c r="K6540">
        <v>13.84</v>
      </c>
      <c r="L6540">
        <v>17535</v>
      </c>
      <c r="M6540" t="s">
        <v>357</v>
      </c>
      <c r="N6540" t="str">
        <f>"24 / 2086213"</f>
        <v>24 / 2086213</v>
      </c>
      <c r="O6540">
        <v>230508</v>
      </c>
    </row>
    <row r="6541" spans="1:15" x14ac:dyDescent="0.25">
      <c r="A6541" t="s">
        <v>16</v>
      </c>
      <c r="B6541" t="s">
        <v>3221</v>
      </c>
      <c r="C6541">
        <v>10556</v>
      </c>
      <c r="D6541" t="s">
        <v>1021</v>
      </c>
      <c r="E6541" t="s">
        <v>1022</v>
      </c>
      <c r="F6541">
        <v>25.4</v>
      </c>
      <c r="G6541">
        <v>230811</v>
      </c>
      <c r="H6541">
        <v>4400</v>
      </c>
      <c r="I6541" t="s">
        <v>348</v>
      </c>
      <c r="J6541">
        <v>31.5</v>
      </c>
      <c r="K6541">
        <v>6.1</v>
      </c>
      <c r="L6541">
        <v>17524</v>
      </c>
      <c r="M6541" t="s">
        <v>452</v>
      </c>
      <c r="N6541" t="str">
        <f>"51 / 2178635"</f>
        <v>51 / 2178635</v>
      </c>
      <c r="O6541">
        <v>230818</v>
      </c>
    </row>
    <row r="6542" spans="1:15" x14ac:dyDescent="0.25">
      <c r="A6542" t="s">
        <v>16</v>
      </c>
      <c r="B6542" t="s">
        <v>3221</v>
      </c>
      <c r="C6542">
        <v>10972</v>
      </c>
      <c r="D6542" t="s">
        <v>1021</v>
      </c>
      <c r="E6542" t="s">
        <v>1022</v>
      </c>
      <c r="F6542">
        <v>14.68</v>
      </c>
      <c r="G6542">
        <v>230821</v>
      </c>
      <c r="H6542">
        <v>4400</v>
      </c>
      <c r="I6542" t="s">
        <v>348</v>
      </c>
      <c r="J6542">
        <v>18.2</v>
      </c>
      <c r="K6542">
        <v>3.52</v>
      </c>
      <c r="L6542">
        <v>17524</v>
      </c>
      <c r="M6542" t="s">
        <v>452</v>
      </c>
      <c r="N6542" t="str">
        <f>"41 / 2187114"</f>
        <v>41 / 2187114</v>
      </c>
      <c r="O6542">
        <v>230825</v>
      </c>
    </row>
    <row r="6543" spans="1:15" x14ac:dyDescent="0.25">
      <c r="A6543" t="s">
        <v>16</v>
      </c>
      <c r="B6543" t="s">
        <v>3221</v>
      </c>
      <c r="C6543">
        <v>1363</v>
      </c>
      <c r="D6543" t="s">
        <v>1021</v>
      </c>
      <c r="E6543" t="s">
        <v>1022</v>
      </c>
      <c r="F6543">
        <v>31.77</v>
      </c>
      <c r="G6543">
        <v>230203</v>
      </c>
      <c r="H6543">
        <v>4600</v>
      </c>
      <c r="I6543" t="s">
        <v>105</v>
      </c>
      <c r="J6543">
        <v>39.4</v>
      </c>
      <c r="K6543">
        <v>7.63</v>
      </c>
      <c r="L6543">
        <v>17531</v>
      </c>
      <c r="M6543" t="s">
        <v>136</v>
      </c>
      <c r="N6543" t="str">
        <f>"09 / 1997848"</f>
        <v>09 / 1997848</v>
      </c>
      <c r="O6543">
        <v>230208</v>
      </c>
    </row>
    <row r="6544" spans="1:15" x14ac:dyDescent="0.25">
      <c r="A6544" t="s">
        <v>16</v>
      </c>
      <c r="B6544" t="s">
        <v>3221</v>
      </c>
      <c r="C6544">
        <v>1809</v>
      </c>
      <c r="D6544" t="s">
        <v>1021</v>
      </c>
      <c r="E6544" t="s">
        <v>1022</v>
      </c>
      <c r="F6544">
        <v>8.8699999999999992</v>
      </c>
      <c r="G6544">
        <v>230203</v>
      </c>
      <c r="H6544">
        <v>4600</v>
      </c>
      <c r="I6544" t="s">
        <v>105</v>
      </c>
      <c r="J6544">
        <v>11</v>
      </c>
      <c r="K6544">
        <v>2.13</v>
      </c>
      <c r="L6544">
        <v>17525</v>
      </c>
      <c r="M6544" t="s">
        <v>135</v>
      </c>
      <c r="N6544" t="str">
        <f>"72 / 1997811"</f>
        <v>72 / 1997811</v>
      </c>
      <c r="O6544">
        <v>230214</v>
      </c>
    </row>
    <row r="6545" spans="1:15" x14ac:dyDescent="0.25">
      <c r="A6545" t="s">
        <v>16</v>
      </c>
      <c r="B6545" t="s">
        <v>3221</v>
      </c>
      <c r="C6545">
        <v>1810</v>
      </c>
      <c r="D6545" t="s">
        <v>1021</v>
      </c>
      <c r="E6545" t="s">
        <v>1022</v>
      </c>
      <c r="F6545">
        <v>81.13</v>
      </c>
      <c r="G6545">
        <v>230203</v>
      </c>
      <c r="H6545">
        <v>4600</v>
      </c>
      <c r="I6545" t="s">
        <v>105</v>
      </c>
      <c r="J6545">
        <v>100.6</v>
      </c>
      <c r="K6545">
        <v>19.47</v>
      </c>
      <c r="L6545">
        <v>17522</v>
      </c>
      <c r="M6545" t="s">
        <v>451</v>
      </c>
      <c r="N6545" t="str">
        <f>"81 / 1997820"</f>
        <v>81 / 1997820</v>
      </c>
      <c r="O6545">
        <v>230214</v>
      </c>
    </row>
    <row r="6546" spans="1:15" x14ac:dyDescent="0.25">
      <c r="A6546" t="s">
        <v>16</v>
      </c>
      <c r="B6546" t="s">
        <v>3221</v>
      </c>
      <c r="C6546">
        <v>1811</v>
      </c>
      <c r="D6546" t="s">
        <v>1021</v>
      </c>
      <c r="E6546" t="s">
        <v>1022</v>
      </c>
      <c r="F6546">
        <v>55.44</v>
      </c>
      <c r="G6546">
        <v>230203</v>
      </c>
      <c r="H6546">
        <v>4600</v>
      </c>
      <c r="I6546" t="s">
        <v>105</v>
      </c>
      <c r="J6546">
        <v>68.75</v>
      </c>
      <c r="K6546">
        <v>13.31</v>
      </c>
      <c r="L6546">
        <v>17527</v>
      </c>
      <c r="M6546" t="s">
        <v>422</v>
      </c>
      <c r="N6546" t="str">
        <f>"69 / 1997808"</f>
        <v>69 / 1997808</v>
      </c>
      <c r="O6546">
        <v>230214</v>
      </c>
    </row>
    <row r="6547" spans="1:15" x14ac:dyDescent="0.25">
      <c r="A6547" t="s">
        <v>16</v>
      </c>
      <c r="B6547" t="s">
        <v>3221</v>
      </c>
      <c r="C6547">
        <v>1988</v>
      </c>
      <c r="D6547" t="s">
        <v>1021</v>
      </c>
      <c r="E6547" t="s">
        <v>1022</v>
      </c>
      <c r="F6547">
        <v>273.16000000000003</v>
      </c>
      <c r="G6547">
        <v>230203</v>
      </c>
      <c r="H6547">
        <v>4600</v>
      </c>
      <c r="I6547" t="s">
        <v>105</v>
      </c>
      <c r="J6547">
        <v>338.72</v>
      </c>
      <c r="K6547">
        <v>65.56</v>
      </c>
      <c r="L6547">
        <v>17526</v>
      </c>
      <c r="M6547" t="s">
        <v>437</v>
      </c>
      <c r="N6547" t="str">
        <f>"67 / 1997806"</f>
        <v>67 / 1997806</v>
      </c>
      <c r="O6547">
        <v>230216</v>
      </c>
    </row>
    <row r="6548" spans="1:15" x14ac:dyDescent="0.25">
      <c r="A6548" t="s">
        <v>16</v>
      </c>
      <c r="B6548" t="s">
        <v>3221</v>
      </c>
      <c r="C6548">
        <v>2948</v>
      </c>
      <c r="D6548" t="s">
        <v>1021</v>
      </c>
      <c r="E6548" t="s">
        <v>1022</v>
      </c>
      <c r="F6548">
        <v>11.61</v>
      </c>
      <c r="G6548">
        <v>230306</v>
      </c>
      <c r="H6548">
        <v>4600</v>
      </c>
      <c r="I6548" t="s">
        <v>105</v>
      </c>
      <c r="J6548">
        <v>14.4</v>
      </c>
      <c r="K6548">
        <v>2.79</v>
      </c>
      <c r="L6548">
        <v>17527</v>
      </c>
      <c r="M6548" t="s">
        <v>422</v>
      </c>
      <c r="N6548" t="str">
        <f>"18 / 2027045"</f>
        <v>18 / 2027045</v>
      </c>
      <c r="O6548">
        <v>230308</v>
      </c>
    </row>
    <row r="6549" spans="1:15" x14ac:dyDescent="0.25">
      <c r="A6549" t="s">
        <v>16</v>
      </c>
      <c r="B6549" t="s">
        <v>3221</v>
      </c>
      <c r="C6549">
        <v>2956</v>
      </c>
      <c r="D6549" t="s">
        <v>1021</v>
      </c>
      <c r="E6549" t="s">
        <v>1022</v>
      </c>
      <c r="F6549">
        <v>531.21</v>
      </c>
      <c r="G6549">
        <v>230306</v>
      </c>
      <c r="H6549">
        <v>4600</v>
      </c>
      <c r="I6549" t="s">
        <v>105</v>
      </c>
      <c r="J6549">
        <v>658.7</v>
      </c>
      <c r="K6549">
        <v>127.49</v>
      </c>
      <c r="L6549">
        <v>17526</v>
      </c>
      <c r="M6549" t="s">
        <v>437</v>
      </c>
      <c r="N6549" t="str">
        <f>"17 / 2027044"</f>
        <v>17 / 2027044</v>
      </c>
      <c r="O6549">
        <v>230308</v>
      </c>
    </row>
    <row r="6550" spans="1:15" x14ac:dyDescent="0.25">
      <c r="A6550" t="s">
        <v>16</v>
      </c>
      <c r="B6550" t="s">
        <v>3221</v>
      </c>
      <c r="C6550">
        <v>2961</v>
      </c>
      <c r="D6550" t="s">
        <v>1021</v>
      </c>
      <c r="E6550" t="s">
        <v>1022</v>
      </c>
      <c r="F6550">
        <v>12.89</v>
      </c>
      <c r="G6550">
        <v>230306</v>
      </c>
      <c r="H6550">
        <v>4600</v>
      </c>
      <c r="I6550" t="s">
        <v>105</v>
      </c>
      <c r="J6550">
        <v>15.98</v>
      </c>
      <c r="K6550">
        <v>3.09</v>
      </c>
      <c r="L6550">
        <v>17950</v>
      </c>
      <c r="M6550" t="s">
        <v>86</v>
      </c>
      <c r="N6550" t="str">
        <f>"98 / 2027025"</f>
        <v>98 / 2027025</v>
      </c>
      <c r="O6550">
        <v>230308</v>
      </c>
    </row>
    <row r="6551" spans="1:15" x14ac:dyDescent="0.25">
      <c r="A6551" t="s">
        <v>16</v>
      </c>
      <c r="B6551" t="s">
        <v>3221</v>
      </c>
      <c r="C6551">
        <v>2964</v>
      </c>
      <c r="D6551" t="s">
        <v>1021</v>
      </c>
      <c r="E6551" t="s">
        <v>1022</v>
      </c>
      <c r="F6551">
        <v>107.78</v>
      </c>
      <c r="G6551">
        <v>230306</v>
      </c>
      <c r="H6551">
        <v>4600</v>
      </c>
      <c r="I6551" t="s">
        <v>105</v>
      </c>
      <c r="J6551">
        <v>133.65</v>
      </c>
      <c r="K6551">
        <v>25.87</v>
      </c>
      <c r="L6551">
        <v>17521</v>
      </c>
      <c r="M6551" t="s">
        <v>133</v>
      </c>
      <c r="N6551" t="str">
        <f>"16 / 2027043"</f>
        <v>16 / 2027043</v>
      </c>
      <c r="O6551">
        <v>230308</v>
      </c>
    </row>
    <row r="6552" spans="1:15" x14ac:dyDescent="0.25">
      <c r="A6552" t="s">
        <v>16</v>
      </c>
      <c r="B6552" t="s">
        <v>3221</v>
      </c>
      <c r="C6552">
        <v>2967</v>
      </c>
      <c r="D6552" t="s">
        <v>1021</v>
      </c>
      <c r="E6552" t="s">
        <v>1022</v>
      </c>
      <c r="F6552">
        <v>142.74</v>
      </c>
      <c r="G6552">
        <v>230306</v>
      </c>
      <c r="H6552">
        <v>4600</v>
      </c>
      <c r="I6552" t="s">
        <v>105</v>
      </c>
      <c r="J6552">
        <v>177</v>
      </c>
      <c r="K6552">
        <v>34.26</v>
      </c>
      <c r="L6552">
        <v>17525</v>
      </c>
      <c r="M6552" t="s">
        <v>135</v>
      </c>
      <c r="N6552" t="str">
        <f>"22 / 2027049"</f>
        <v>22 / 2027049</v>
      </c>
      <c r="O6552">
        <v>230308</v>
      </c>
    </row>
    <row r="6553" spans="1:15" x14ac:dyDescent="0.25">
      <c r="A6553" t="s">
        <v>16</v>
      </c>
      <c r="B6553" t="s">
        <v>3221</v>
      </c>
      <c r="C6553">
        <v>2967</v>
      </c>
      <c r="D6553" t="s">
        <v>1021</v>
      </c>
      <c r="E6553" t="s">
        <v>1022</v>
      </c>
      <c r="F6553">
        <v>10.47</v>
      </c>
      <c r="G6553">
        <v>230306</v>
      </c>
      <c r="H6553">
        <v>4600</v>
      </c>
      <c r="I6553" t="s">
        <v>105</v>
      </c>
      <c r="J6553">
        <v>12.98</v>
      </c>
      <c r="K6553">
        <v>2.5099999999999998</v>
      </c>
      <c r="L6553">
        <v>17636</v>
      </c>
      <c r="M6553" t="s">
        <v>352</v>
      </c>
      <c r="N6553" t="str">
        <f>"22 / 2027049"</f>
        <v>22 / 2027049</v>
      </c>
      <c r="O6553">
        <v>230308</v>
      </c>
    </row>
    <row r="6554" spans="1:15" x14ac:dyDescent="0.25">
      <c r="A6554" t="s">
        <v>16</v>
      </c>
      <c r="B6554" t="s">
        <v>3221</v>
      </c>
      <c r="C6554">
        <v>3118</v>
      </c>
      <c r="D6554" t="s">
        <v>1021</v>
      </c>
      <c r="E6554" t="s">
        <v>1022</v>
      </c>
      <c r="F6554">
        <v>121.29</v>
      </c>
      <c r="G6554">
        <v>230306</v>
      </c>
      <c r="H6554">
        <v>4600</v>
      </c>
      <c r="I6554" t="s">
        <v>105</v>
      </c>
      <c r="J6554">
        <v>150.4</v>
      </c>
      <c r="K6554">
        <v>29.11</v>
      </c>
      <c r="L6554">
        <v>17522</v>
      </c>
      <c r="M6554" t="s">
        <v>451</v>
      </c>
      <c r="N6554" t="str">
        <f>"27 / 2027054"</f>
        <v>27 / 2027054</v>
      </c>
      <c r="O6554">
        <v>230309</v>
      </c>
    </row>
    <row r="6555" spans="1:15" x14ac:dyDescent="0.25">
      <c r="A6555" t="s">
        <v>16</v>
      </c>
      <c r="B6555" t="s">
        <v>3221</v>
      </c>
      <c r="C6555">
        <v>3121</v>
      </c>
      <c r="D6555" t="s">
        <v>1021</v>
      </c>
      <c r="E6555" t="s">
        <v>1022</v>
      </c>
      <c r="F6555">
        <v>12.7</v>
      </c>
      <c r="G6555">
        <v>230306</v>
      </c>
      <c r="H6555">
        <v>4600</v>
      </c>
      <c r="I6555" t="s">
        <v>105</v>
      </c>
      <c r="J6555">
        <v>15.75</v>
      </c>
      <c r="K6555">
        <v>3.05</v>
      </c>
      <c r="L6555">
        <v>17524</v>
      </c>
      <c r="M6555" t="s">
        <v>452</v>
      </c>
      <c r="N6555" t="str">
        <f>"20 / 2027047"</f>
        <v>20 / 2027047</v>
      </c>
      <c r="O6555">
        <v>230309</v>
      </c>
    </row>
    <row r="6556" spans="1:15" x14ac:dyDescent="0.25">
      <c r="A6556" t="s">
        <v>16</v>
      </c>
      <c r="B6556" t="s">
        <v>3221</v>
      </c>
      <c r="C6556">
        <v>4406</v>
      </c>
      <c r="D6556" t="s">
        <v>1021</v>
      </c>
      <c r="E6556" t="s">
        <v>1022</v>
      </c>
      <c r="F6556">
        <v>37.18</v>
      </c>
      <c r="G6556">
        <v>230403</v>
      </c>
      <c r="H6556">
        <v>4600</v>
      </c>
      <c r="I6556" t="s">
        <v>105</v>
      </c>
      <c r="J6556">
        <v>46.1</v>
      </c>
      <c r="K6556">
        <v>8.92</v>
      </c>
      <c r="L6556">
        <v>17523</v>
      </c>
      <c r="M6556" t="s">
        <v>134</v>
      </c>
      <c r="N6556" t="str">
        <f>"91 / 2053652"</f>
        <v>91 / 2053652</v>
      </c>
      <c r="O6556">
        <v>230405</v>
      </c>
    </row>
    <row r="6557" spans="1:15" x14ac:dyDescent="0.25">
      <c r="A6557" t="s">
        <v>16</v>
      </c>
      <c r="B6557" t="s">
        <v>3221</v>
      </c>
      <c r="C6557">
        <v>4571</v>
      </c>
      <c r="D6557" t="s">
        <v>1021</v>
      </c>
      <c r="E6557" t="s">
        <v>1022</v>
      </c>
      <c r="F6557">
        <v>10.199999999999999</v>
      </c>
      <c r="G6557">
        <v>230403</v>
      </c>
      <c r="H6557">
        <v>4600</v>
      </c>
      <c r="I6557" t="s">
        <v>105</v>
      </c>
      <c r="J6557">
        <v>12.65</v>
      </c>
      <c r="K6557">
        <v>2.4500000000000002</v>
      </c>
      <c r="L6557">
        <v>17737</v>
      </c>
      <c r="M6557" t="s">
        <v>279</v>
      </c>
      <c r="N6557" t="str">
        <f>"88 / 2053649"</f>
        <v>88 / 2053649</v>
      </c>
      <c r="O6557">
        <v>230406</v>
      </c>
    </row>
    <row r="6558" spans="1:15" x14ac:dyDescent="0.25">
      <c r="A6558" t="s">
        <v>16</v>
      </c>
      <c r="B6558" t="s">
        <v>3221</v>
      </c>
      <c r="C6558">
        <v>4571</v>
      </c>
      <c r="D6558" t="s">
        <v>1021</v>
      </c>
      <c r="E6558" t="s">
        <v>1022</v>
      </c>
      <c r="F6558">
        <v>181.05</v>
      </c>
      <c r="G6558">
        <v>230403</v>
      </c>
      <c r="H6558">
        <v>4600</v>
      </c>
      <c r="I6558" t="s">
        <v>105</v>
      </c>
      <c r="J6558">
        <v>224.5</v>
      </c>
      <c r="K6558">
        <v>43.45</v>
      </c>
      <c r="L6558">
        <v>17952</v>
      </c>
      <c r="M6558" t="s">
        <v>88</v>
      </c>
      <c r="N6558" t="str">
        <f>"88 / 2053649"</f>
        <v>88 / 2053649</v>
      </c>
      <c r="O6558">
        <v>230406</v>
      </c>
    </row>
    <row r="6559" spans="1:15" x14ac:dyDescent="0.25">
      <c r="A6559" t="s">
        <v>16</v>
      </c>
      <c r="B6559" t="s">
        <v>3221</v>
      </c>
      <c r="C6559">
        <v>4583</v>
      </c>
      <c r="D6559" t="s">
        <v>1021</v>
      </c>
      <c r="E6559" t="s">
        <v>1022</v>
      </c>
      <c r="F6559">
        <v>293.56</v>
      </c>
      <c r="G6559">
        <v>230403</v>
      </c>
      <c r="H6559">
        <v>4600</v>
      </c>
      <c r="I6559" t="s">
        <v>105</v>
      </c>
      <c r="J6559">
        <v>364.01</v>
      </c>
      <c r="K6559">
        <v>70.45</v>
      </c>
      <c r="L6559">
        <v>17526</v>
      </c>
      <c r="M6559" t="s">
        <v>437</v>
      </c>
      <c r="N6559" t="str">
        <f>"86 / 2053647"</f>
        <v>86 / 2053647</v>
      </c>
      <c r="O6559">
        <v>230406</v>
      </c>
    </row>
    <row r="6560" spans="1:15" x14ac:dyDescent="0.25">
      <c r="A6560" t="s">
        <v>16</v>
      </c>
      <c r="B6560" t="s">
        <v>3221</v>
      </c>
      <c r="C6560">
        <v>4739</v>
      </c>
      <c r="D6560" t="s">
        <v>1021</v>
      </c>
      <c r="E6560" t="s">
        <v>1022</v>
      </c>
      <c r="F6560">
        <v>74.27</v>
      </c>
      <c r="G6560">
        <v>230403</v>
      </c>
      <c r="H6560">
        <v>4600</v>
      </c>
      <c r="I6560" t="s">
        <v>105</v>
      </c>
      <c r="J6560">
        <v>92.1</v>
      </c>
      <c r="K6560">
        <v>17.829999999999998</v>
      </c>
      <c r="L6560">
        <v>17802</v>
      </c>
      <c r="M6560" t="s">
        <v>174</v>
      </c>
      <c r="N6560" t="str">
        <f>"64 / 2053724"</f>
        <v>64 / 2053724</v>
      </c>
      <c r="O6560">
        <v>230412</v>
      </c>
    </row>
    <row r="6561" spans="1:15" x14ac:dyDescent="0.25">
      <c r="A6561" t="s">
        <v>16</v>
      </c>
      <c r="B6561" t="s">
        <v>3221</v>
      </c>
      <c r="C6561">
        <v>6107</v>
      </c>
      <c r="D6561" t="s">
        <v>1021</v>
      </c>
      <c r="E6561" t="s">
        <v>1022</v>
      </c>
      <c r="F6561">
        <v>33.39</v>
      </c>
      <c r="G6561">
        <v>230502</v>
      </c>
      <c r="H6561">
        <v>4600</v>
      </c>
      <c r="I6561" t="s">
        <v>105</v>
      </c>
      <c r="J6561">
        <v>41.4</v>
      </c>
      <c r="K6561">
        <v>8.01</v>
      </c>
      <c r="L6561">
        <v>17531</v>
      </c>
      <c r="M6561" t="s">
        <v>136</v>
      </c>
      <c r="N6561" t="str">
        <f>"13 / 2086203"</f>
        <v>13 / 2086203</v>
      </c>
      <c r="O6561">
        <v>230508</v>
      </c>
    </row>
    <row r="6562" spans="1:15" x14ac:dyDescent="0.25">
      <c r="A6562" t="s">
        <v>16</v>
      </c>
      <c r="B6562" t="s">
        <v>3221</v>
      </c>
      <c r="C6562">
        <v>6165</v>
      </c>
      <c r="D6562" t="s">
        <v>1021</v>
      </c>
      <c r="E6562" t="s">
        <v>1022</v>
      </c>
      <c r="F6562">
        <v>4.5199999999999996</v>
      </c>
      <c r="G6562">
        <v>230502</v>
      </c>
      <c r="H6562">
        <v>4600</v>
      </c>
      <c r="I6562" t="s">
        <v>105</v>
      </c>
      <c r="J6562">
        <v>5.6</v>
      </c>
      <c r="K6562">
        <v>1.08</v>
      </c>
      <c r="L6562">
        <v>17950</v>
      </c>
      <c r="M6562" t="s">
        <v>86</v>
      </c>
      <c r="N6562" t="str">
        <f>"70 / 2086161"</f>
        <v>70 / 2086161</v>
      </c>
      <c r="O6562">
        <v>230508</v>
      </c>
    </row>
    <row r="6563" spans="1:15" x14ac:dyDescent="0.25">
      <c r="A6563" t="s">
        <v>16</v>
      </c>
      <c r="B6563" t="s">
        <v>3221</v>
      </c>
      <c r="C6563">
        <v>6168</v>
      </c>
      <c r="D6563" t="s">
        <v>1021</v>
      </c>
      <c r="E6563" t="s">
        <v>1022</v>
      </c>
      <c r="F6563">
        <v>45.4</v>
      </c>
      <c r="G6563">
        <v>230502</v>
      </c>
      <c r="H6563">
        <v>4600</v>
      </c>
      <c r="I6563" t="s">
        <v>105</v>
      </c>
      <c r="J6563">
        <v>56.3</v>
      </c>
      <c r="K6563">
        <v>10.9</v>
      </c>
      <c r="L6563">
        <v>17521</v>
      </c>
      <c r="M6563" t="s">
        <v>133</v>
      </c>
      <c r="N6563" t="str">
        <f>"63 / 2086153"</f>
        <v>63 / 2086153</v>
      </c>
      <c r="O6563">
        <v>230508</v>
      </c>
    </row>
    <row r="6564" spans="1:15" x14ac:dyDescent="0.25">
      <c r="A6564" t="s">
        <v>16</v>
      </c>
      <c r="B6564" t="s">
        <v>3221</v>
      </c>
      <c r="C6564">
        <v>6334</v>
      </c>
      <c r="D6564" t="s">
        <v>1021</v>
      </c>
      <c r="E6564" t="s">
        <v>1022</v>
      </c>
      <c r="F6564">
        <v>45.79</v>
      </c>
      <c r="G6564">
        <v>230502</v>
      </c>
      <c r="H6564">
        <v>4600</v>
      </c>
      <c r="I6564" t="s">
        <v>105</v>
      </c>
      <c r="J6564">
        <v>56.78</v>
      </c>
      <c r="K6564">
        <v>10.99</v>
      </c>
      <c r="L6564">
        <v>17522</v>
      </c>
      <c r="M6564" t="s">
        <v>451</v>
      </c>
      <c r="N6564" t="str">
        <f>"79 / 2086170"</f>
        <v>79 / 2086170</v>
      </c>
      <c r="O6564">
        <v>230510</v>
      </c>
    </row>
    <row r="6565" spans="1:15" x14ac:dyDescent="0.25">
      <c r="A6565" t="s">
        <v>16</v>
      </c>
      <c r="B6565" t="s">
        <v>3221</v>
      </c>
      <c r="C6565">
        <v>6496</v>
      </c>
      <c r="D6565" t="s">
        <v>1021</v>
      </c>
      <c r="E6565" t="s">
        <v>1022</v>
      </c>
      <c r="F6565">
        <v>90.39</v>
      </c>
      <c r="G6565">
        <v>230502</v>
      </c>
      <c r="H6565">
        <v>4600</v>
      </c>
      <c r="I6565" t="s">
        <v>105</v>
      </c>
      <c r="J6565">
        <v>112.08</v>
      </c>
      <c r="K6565">
        <v>21.69</v>
      </c>
      <c r="L6565">
        <v>17525</v>
      </c>
      <c r="M6565" t="s">
        <v>135</v>
      </c>
      <c r="N6565" t="str">
        <f>"68 / 2086158"</f>
        <v>68 / 2086158</v>
      </c>
      <c r="O6565">
        <v>230512</v>
      </c>
    </row>
    <row r="6566" spans="1:15" x14ac:dyDescent="0.25">
      <c r="A6566" t="s">
        <v>16</v>
      </c>
      <c r="B6566" t="s">
        <v>3221</v>
      </c>
      <c r="C6566">
        <v>6615</v>
      </c>
      <c r="D6566" t="s">
        <v>1021</v>
      </c>
      <c r="E6566" t="s">
        <v>1022</v>
      </c>
      <c r="F6566">
        <v>33.39</v>
      </c>
      <c r="G6566">
        <v>230502</v>
      </c>
      <c r="H6566">
        <v>4600</v>
      </c>
      <c r="I6566" t="s">
        <v>105</v>
      </c>
      <c r="J6566">
        <v>41.4</v>
      </c>
      <c r="K6566">
        <v>8.01</v>
      </c>
      <c r="L6566">
        <v>17538</v>
      </c>
      <c r="M6566" t="s">
        <v>24</v>
      </c>
      <c r="N6566" t="str">
        <f>"75 / 2086166"</f>
        <v>75 / 2086166</v>
      </c>
      <c r="O6566">
        <v>230516</v>
      </c>
    </row>
    <row r="6567" spans="1:15" x14ac:dyDescent="0.25">
      <c r="A6567" t="s">
        <v>16</v>
      </c>
      <c r="B6567" t="s">
        <v>3221</v>
      </c>
      <c r="C6567">
        <v>6929</v>
      </c>
      <c r="D6567" t="s">
        <v>1021</v>
      </c>
      <c r="E6567" t="s">
        <v>1022</v>
      </c>
      <c r="F6567">
        <v>305.64</v>
      </c>
      <c r="G6567">
        <v>230517</v>
      </c>
      <c r="H6567">
        <v>4600</v>
      </c>
      <c r="I6567" t="s">
        <v>105</v>
      </c>
      <c r="J6567">
        <v>378.99</v>
      </c>
      <c r="K6567">
        <v>73.349999999999994</v>
      </c>
      <c r="L6567">
        <v>17952</v>
      </c>
      <c r="M6567" t="s">
        <v>88</v>
      </c>
      <c r="N6567" t="str">
        <f>"42 / 2095255"</f>
        <v>42 / 2095255</v>
      </c>
      <c r="O6567">
        <v>230523</v>
      </c>
    </row>
    <row r="6568" spans="1:15" x14ac:dyDescent="0.25">
      <c r="A6568" t="s">
        <v>16</v>
      </c>
      <c r="B6568" t="s">
        <v>3221</v>
      </c>
      <c r="C6568">
        <v>6981</v>
      </c>
      <c r="D6568" t="s">
        <v>1021</v>
      </c>
      <c r="E6568" t="s">
        <v>1022</v>
      </c>
      <c r="F6568">
        <v>191.45</v>
      </c>
      <c r="G6568">
        <v>230502</v>
      </c>
      <c r="H6568">
        <v>4600</v>
      </c>
      <c r="I6568" t="s">
        <v>105</v>
      </c>
      <c r="J6568">
        <v>237.4</v>
      </c>
      <c r="K6568">
        <v>45.95</v>
      </c>
      <c r="L6568">
        <v>17526</v>
      </c>
      <c r="M6568" t="s">
        <v>437</v>
      </c>
      <c r="N6568" t="str">
        <f>"64 / 2086154"</f>
        <v>64 / 2086154</v>
      </c>
      <c r="O6568">
        <v>230524</v>
      </c>
    </row>
    <row r="6569" spans="1:15" x14ac:dyDescent="0.25">
      <c r="A6569" t="s">
        <v>16</v>
      </c>
      <c r="B6569" t="s">
        <v>3221</v>
      </c>
      <c r="C6569">
        <v>7137</v>
      </c>
      <c r="D6569" t="s">
        <v>1021</v>
      </c>
      <c r="E6569" t="s">
        <v>1022</v>
      </c>
      <c r="F6569">
        <v>103.86</v>
      </c>
      <c r="G6569">
        <v>230517</v>
      </c>
      <c r="H6569">
        <v>4600</v>
      </c>
      <c r="I6569" t="s">
        <v>105</v>
      </c>
      <c r="J6569">
        <v>128.79</v>
      </c>
      <c r="K6569">
        <v>24.93</v>
      </c>
      <c r="L6569">
        <v>17527</v>
      </c>
      <c r="M6569" t="s">
        <v>422</v>
      </c>
      <c r="N6569" t="str">
        <f>"41 / 2095254"</f>
        <v>41 / 2095254</v>
      </c>
      <c r="O6569">
        <v>230525</v>
      </c>
    </row>
    <row r="6570" spans="1:15" x14ac:dyDescent="0.25">
      <c r="A6570" t="s">
        <v>16</v>
      </c>
      <c r="B6570" t="s">
        <v>3221</v>
      </c>
      <c r="C6570">
        <v>7357</v>
      </c>
      <c r="D6570" t="s">
        <v>1021</v>
      </c>
      <c r="E6570" t="s">
        <v>1022</v>
      </c>
      <c r="F6570">
        <v>256.05</v>
      </c>
      <c r="G6570">
        <v>230517</v>
      </c>
      <c r="H6570">
        <v>4600</v>
      </c>
      <c r="I6570" t="s">
        <v>105</v>
      </c>
      <c r="J6570">
        <v>317.5</v>
      </c>
      <c r="K6570">
        <v>61.45</v>
      </c>
      <c r="L6570">
        <v>17522</v>
      </c>
      <c r="M6570" t="s">
        <v>451</v>
      </c>
      <c r="N6570" t="str">
        <f>"54 / 2095267"</f>
        <v>54 / 2095267</v>
      </c>
      <c r="O6570">
        <v>230529</v>
      </c>
    </row>
    <row r="6571" spans="1:15" x14ac:dyDescent="0.25">
      <c r="A6571" t="s">
        <v>16</v>
      </c>
      <c r="B6571" t="s">
        <v>3221</v>
      </c>
      <c r="C6571">
        <v>7358</v>
      </c>
      <c r="D6571" t="s">
        <v>1021</v>
      </c>
      <c r="E6571" t="s">
        <v>1022</v>
      </c>
      <c r="F6571">
        <v>-128.22999999999999</v>
      </c>
      <c r="G6571">
        <v>230522</v>
      </c>
      <c r="H6571">
        <v>4600</v>
      </c>
      <c r="I6571" t="s">
        <v>105</v>
      </c>
      <c r="J6571">
        <v>-159</v>
      </c>
      <c r="K6571">
        <v>-30.77</v>
      </c>
      <c r="L6571">
        <v>17522</v>
      </c>
      <c r="M6571" t="s">
        <v>451</v>
      </c>
      <c r="N6571" t="str">
        <f>"68 / 2099808"</f>
        <v>68 / 2099808</v>
      </c>
      <c r="O6571">
        <v>230529</v>
      </c>
    </row>
    <row r="6572" spans="1:15" x14ac:dyDescent="0.25">
      <c r="A6572" t="s">
        <v>16</v>
      </c>
      <c r="B6572" t="s">
        <v>3221</v>
      </c>
      <c r="C6572">
        <v>7677</v>
      </c>
      <c r="D6572" t="s">
        <v>1021</v>
      </c>
      <c r="E6572" t="s">
        <v>1022</v>
      </c>
      <c r="F6572">
        <v>41.69</v>
      </c>
      <c r="G6572">
        <v>230530</v>
      </c>
      <c r="H6572">
        <v>4600</v>
      </c>
      <c r="I6572" t="s">
        <v>105</v>
      </c>
      <c r="J6572">
        <v>51.7</v>
      </c>
      <c r="K6572">
        <v>10.01</v>
      </c>
      <c r="L6572">
        <v>17523</v>
      </c>
      <c r="M6572" t="s">
        <v>134</v>
      </c>
      <c r="N6572" t="str">
        <f>"21 / 2105001"</f>
        <v>21 / 2105001</v>
      </c>
      <c r="O6572">
        <v>230601</v>
      </c>
    </row>
    <row r="6573" spans="1:15" x14ac:dyDescent="0.25">
      <c r="A6573" t="s">
        <v>16</v>
      </c>
      <c r="B6573" t="s">
        <v>3221</v>
      </c>
      <c r="C6573">
        <v>7681</v>
      </c>
      <c r="D6573" t="s">
        <v>1021</v>
      </c>
      <c r="E6573" t="s">
        <v>1022</v>
      </c>
      <c r="F6573">
        <v>73.59</v>
      </c>
      <c r="G6573">
        <v>230530</v>
      </c>
      <c r="H6573">
        <v>4600</v>
      </c>
      <c r="I6573" t="s">
        <v>105</v>
      </c>
      <c r="J6573">
        <v>91.25</v>
      </c>
      <c r="K6573">
        <v>17.66</v>
      </c>
      <c r="L6573">
        <v>17522</v>
      </c>
      <c r="M6573" t="s">
        <v>451</v>
      </c>
      <c r="N6573" t="str">
        <f>"33 / 2105013"</f>
        <v>33 / 2105013</v>
      </c>
      <c r="O6573">
        <v>230601</v>
      </c>
    </row>
    <row r="6574" spans="1:15" x14ac:dyDescent="0.25">
      <c r="A6574" t="s">
        <v>16</v>
      </c>
      <c r="B6574" t="s">
        <v>3221</v>
      </c>
      <c r="C6574">
        <v>8217</v>
      </c>
      <c r="D6574" t="s">
        <v>1021</v>
      </c>
      <c r="E6574" t="s">
        <v>1022</v>
      </c>
      <c r="F6574">
        <v>112.26</v>
      </c>
      <c r="G6574">
        <v>230517</v>
      </c>
      <c r="H6574">
        <v>4600</v>
      </c>
      <c r="I6574" t="s">
        <v>105</v>
      </c>
      <c r="J6574">
        <v>139.19999999999999</v>
      </c>
      <c r="K6574">
        <v>26.94</v>
      </c>
      <c r="L6574">
        <v>17526</v>
      </c>
      <c r="M6574" t="s">
        <v>437</v>
      </c>
      <c r="N6574" t="str">
        <f>"40 / 2095253"</f>
        <v>40 / 2095253</v>
      </c>
      <c r="O6574">
        <v>230608</v>
      </c>
    </row>
    <row r="6575" spans="1:15" x14ac:dyDescent="0.25">
      <c r="A6575" t="s">
        <v>16</v>
      </c>
      <c r="B6575" t="s">
        <v>3221</v>
      </c>
      <c r="C6575">
        <v>8354</v>
      </c>
      <c r="D6575" t="s">
        <v>1021</v>
      </c>
      <c r="E6575" t="s">
        <v>1022</v>
      </c>
      <c r="F6575">
        <v>81.53</v>
      </c>
      <c r="G6575">
        <v>230530</v>
      </c>
      <c r="H6575">
        <v>4600</v>
      </c>
      <c r="I6575" t="s">
        <v>105</v>
      </c>
      <c r="J6575">
        <v>101.1</v>
      </c>
      <c r="K6575">
        <v>19.57</v>
      </c>
      <c r="L6575">
        <v>17526</v>
      </c>
      <c r="M6575" t="s">
        <v>437</v>
      </c>
      <c r="N6575" t="str">
        <f>"19 / 2104999"</f>
        <v>19 / 2104999</v>
      </c>
      <c r="O6575">
        <v>230608</v>
      </c>
    </row>
    <row r="6576" spans="1:15" x14ac:dyDescent="0.25">
      <c r="A6576" t="s">
        <v>16</v>
      </c>
      <c r="B6576" t="s">
        <v>3221</v>
      </c>
      <c r="C6576">
        <v>8974</v>
      </c>
      <c r="D6576" t="s">
        <v>1021</v>
      </c>
      <c r="E6576" t="s">
        <v>1022</v>
      </c>
      <c r="F6576">
        <v>6.19</v>
      </c>
      <c r="G6576">
        <v>230613</v>
      </c>
      <c r="H6576">
        <v>4600</v>
      </c>
      <c r="I6576" t="s">
        <v>105</v>
      </c>
      <c r="J6576">
        <v>7.67</v>
      </c>
      <c r="K6576">
        <v>1.48</v>
      </c>
      <c r="L6576">
        <v>17737</v>
      </c>
      <c r="M6576" t="s">
        <v>279</v>
      </c>
      <c r="N6576" t="str">
        <f>"69 / 2121536"</f>
        <v>69 / 2121536</v>
      </c>
      <c r="O6576">
        <v>230620</v>
      </c>
    </row>
    <row r="6577" spans="1:15" x14ac:dyDescent="0.25">
      <c r="A6577" t="s">
        <v>16</v>
      </c>
      <c r="B6577" t="s">
        <v>3221</v>
      </c>
      <c r="C6577">
        <v>8974</v>
      </c>
      <c r="D6577" t="s">
        <v>1021</v>
      </c>
      <c r="E6577" t="s">
        <v>1022</v>
      </c>
      <c r="F6577">
        <v>81.599999999999994</v>
      </c>
      <c r="G6577">
        <v>230613</v>
      </c>
      <c r="H6577">
        <v>4600</v>
      </c>
      <c r="I6577" t="s">
        <v>105</v>
      </c>
      <c r="J6577">
        <v>101.18</v>
      </c>
      <c r="K6577">
        <v>19.579999999999998</v>
      </c>
      <c r="L6577">
        <v>17971</v>
      </c>
      <c r="M6577" t="s">
        <v>138</v>
      </c>
      <c r="N6577" t="str">
        <f>"69 / 2121536"</f>
        <v>69 / 2121536</v>
      </c>
      <c r="O6577">
        <v>230620</v>
      </c>
    </row>
    <row r="6578" spans="1:15" x14ac:dyDescent="0.25">
      <c r="A6578" t="s">
        <v>16</v>
      </c>
      <c r="B6578" t="s">
        <v>3221</v>
      </c>
      <c r="C6578">
        <v>9206</v>
      </c>
      <c r="D6578" t="s">
        <v>1021</v>
      </c>
      <c r="E6578" t="s">
        <v>1022</v>
      </c>
      <c r="F6578">
        <v>108.27</v>
      </c>
      <c r="G6578">
        <v>230628</v>
      </c>
      <c r="H6578">
        <v>4600</v>
      </c>
      <c r="I6578" t="s">
        <v>105</v>
      </c>
      <c r="J6578">
        <v>134.25</v>
      </c>
      <c r="K6578">
        <v>25.98</v>
      </c>
      <c r="L6578">
        <v>17538</v>
      </c>
      <c r="M6578" t="s">
        <v>24</v>
      </c>
      <c r="N6578" t="str">
        <f>"87 / 2134783"</f>
        <v>87 / 2134783</v>
      </c>
      <c r="O6578">
        <v>230629</v>
      </c>
    </row>
    <row r="6579" spans="1:15" x14ac:dyDescent="0.25">
      <c r="A6579" t="s">
        <v>16</v>
      </c>
      <c r="B6579" t="s">
        <v>3221</v>
      </c>
      <c r="C6579">
        <v>9230</v>
      </c>
      <c r="D6579" t="s">
        <v>1021</v>
      </c>
      <c r="E6579" t="s">
        <v>1022</v>
      </c>
      <c r="F6579">
        <v>48.06</v>
      </c>
      <c r="G6579">
        <v>230628</v>
      </c>
      <c r="H6579">
        <v>4600</v>
      </c>
      <c r="I6579" t="s">
        <v>105</v>
      </c>
      <c r="J6579">
        <v>59.6</v>
      </c>
      <c r="K6579">
        <v>11.54</v>
      </c>
      <c r="L6579">
        <v>17737</v>
      </c>
      <c r="M6579" t="s">
        <v>279</v>
      </c>
      <c r="N6579" t="str">
        <f>"49 / 2134746"</f>
        <v>49 / 2134746</v>
      </c>
      <c r="O6579">
        <v>230630</v>
      </c>
    </row>
    <row r="6580" spans="1:15" x14ac:dyDescent="0.25">
      <c r="A6580" t="s">
        <v>16</v>
      </c>
      <c r="B6580" t="s">
        <v>3221</v>
      </c>
      <c r="C6580">
        <v>10703</v>
      </c>
      <c r="D6580" t="s">
        <v>1021</v>
      </c>
      <c r="E6580" t="s">
        <v>1022</v>
      </c>
      <c r="F6580">
        <v>13.71</v>
      </c>
      <c r="G6580">
        <v>230821</v>
      </c>
      <c r="H6580">
        <v>4600</v>
      </c>
      <c r="I6580" t="s">
        <v>105</v>
      </c>
      <c r="J6580">
        <v>17</v>
      </c>
      <c r="K6580">
        <v>3.29</v>
      </c>
      <c r="L6580">
        <v>17951</v>
      </c>
      <c r="M6580" t="s">
        <v>87</v>
      </c>
      <c r="N6580" t="str">
        <f>"84 / 2187157"</f>
        <v>84 / 2187157</v>
      </c>
      <c r="O6580">
        <v>230822</v>
      </c>
    </row>
    <row r="6581" spans="1:15" x14ac:dyDescent="0.25">
      <c r="A6581" t="s">
        <v>16</v>
      </c>
      <c r="B6581" t="s">
        <v>3221</v>
      </c>
      <c r="C6581">
        <v>10815</v>
      </c>
      <c r="D6581" t="s">
        <v>1021</v>
      </c>
      <c r="E6581" t="s">
        <v>1022</v>
      </c>
      <c r="F6581">
        <v>20.48</v>
      </c>
      <c r="G6581">
        <v>230811</v>
      </c>
      <c r="H6581">
        <v>4600</v>
      </c>
      <c r="I6581" t="s">
        <v>105</v>
      </c>
      <c r="J6581">
        <v>25.4</v>
      </c>
      <c r="K6581">
        <v>4.92</v>
      </c>
      <c r="L6581">
        <v>17538</v>
      </c>
      <c r="M6581" t="s">
        <v>24</v>
      </c>
      <c r="N6581" t="str">
        <f>"36 / 2178620"</f>
        <v>36 / 2178620</v>
      </c>
      <c r="O6581">
        <v>230823</v>
      </c>
    </row>
    <row r="6582" spans="1:15" x14ac:dyDescent="0.25">
      <c r="A6582" t="s">
        <v>16</v>
      </c>
      <c r="B6582" t="s">
        <v>3221</v>
      </c>
      <c r="C6582">
        <v>10824</v>
      </c>
      <c r="D6582" t="s">
        <v>1021</v>
      </c>
      <c r="E6582" t="s">
        <v>1022</v>
      </c>
      <c r="F6582">
        <v>13.23</v>
      </c>
      <c r="G6582">
        <v>230821</v>
      </c>
      <c r="H6582">
        <v>4600</v>
      </c>
      <c r="I6582" t="s">
        <v>105</v>
      </c>
      <c r="J6582">
        <v>16.399999999999999</v>
      </c>
      <c r="K6582">
        <v>3.17</v>
      </c>
      <c r="L6582">
        <v>17527</v>
      </c>
      <c r="M6582" t="s">
        <v>422</v>
      </c>
      <c r="N6582" t="str">
        <f>"40 / 2187113"</f>
        <v>40 / 2187113</v>
      </c>
      <c r="O6582">
        <v>230823</v>
      </c>
    </row>
    <row r="6583" spans="1:15" x14ac:dyDescent="0.25">
      <c r="A6583" t="s">
        <v>16</v>
      </c>
      <c r="B6583" t="s">
        <v>3221</v>
      </c>
      <c r="C6583">
        <v>10952</v>
      </c>
      <c r="D6583" t="s">
        <v>1021</v>
      </c>
      <c r="E6583" t="s">
        <v>1022</v>
      </c>
      <c r="F6583">
        <v>125.8</v>
      </c>
      <c r="G6583">
        <v>230811</v>
      </c>
      <c r="H6583">
        <v>4600</v>
      </c>
      <c r="I6583" t="s">
        <v>105</v>
      </c>
      <c r="J6583">
        <v>155.99</v>
      </c>
      <c r="K6583">
        <v>30.19</v>
      </c>
      <c r="L6583">
        <v>17526</v>
      </c>
      <c r="M6583" t="s">
        <v>437</v>
      </c>
      <c r="N6583" t="str">
        <f>"50 / 2178634"</f>
        <v>50 / 2178634</v>
      </c>
      <c r="O6583">
        <v>230825</v>
      </c>
    </row>
    <row r="6584" spans="1:15" x14ac:dyDescent="0.25">
      <c r="A6584" t="s">
        <v>16</v>
      </c>
      <c r="B6584" t="s">
        <v>3221</v>
      </c>
      <c r="C6584">
        <v>10971</v>
      </c>
      <c r="D6584" t="s">
        <v>1021</v>
      </c>
      <c r="E6584" t="s">
        <v>1022</v>
      </c>
      <c r="F6584">
        <v>148.41</v>
      </c>
      <c r="G6584">
        <v>230821</v>
      </c>
      <c r="H6584">
        <v>4600</v>
      </c>
      <c r="I6584" t="s">
        <v>105</v>
      </c>
      <c r="J6584">
        <v>184.03</v>
      </c>
      <c r="K6584">
        <v>35.619999999999997</v>
      </c>
      <c r="L6584">
        <v>17526</v>
      </c>
      <c r="M6584" t="s">
        <v>437</v>
      </c>
      <c r="N6584" t="str">
        <f>"39 / 2187112"</f>
        <v>39 / 2187112</v>
      </c>
      <c r="O6584">
        <v>230825</v>
      </c>
    </row>
    <row r="6585" spans="1:15" x14ac:dyDescent="0.25">
      <c r="A6585" t="s">
        <v>16</v>
      </c>
      <c r="B6585" t="s">
        <v>3221</v>
      </c>
      <c r="C6585">
        <v>11272</v>
      </c>
      <c r="D6585" t="s">
        <v>1021</v>
      </c>
      <c r="E6585" t="s">
        <v>1022</v>
      </c>
      <c r="F6585">
        <v>67.58</v>
      </c>
      <c r="G6585">
        <v>230821</v>
      </c>
      <c r="H6585">
        <v>4600</v>
      </c>
      <c r="I6585" t="s">
        <v>105</v>
      </c>
      <c r="J6585">
        <v>83.8</v>
      </c>
      <c r="K6585">
        <v>16.22</v>
      </c>
      <c r="L6585">
        <v>17525</v>
      </c>
      <c r="M6585" t="s">
        <v>135</v>
      </c>
      <c r="N6585" t="str">
        <f>"42 / 2187115"</f>
        <v>42 / 2187115</v>
      </c>
      <c r="O6585">
        <v>230904</v>
      </c>
    </row>
    <row r="6586" spans="1:15" x14ac:dyDescent="0.25">
      <c r="A6586" t="s">
        <v>16</v>
      </c>
      <c r="B6586" t="s">
        <v>3221</v>
      </c>
      <c r="C6586">
        <v>11707</v>
      </c>
      <c r="D6586" t="s">
        <v>1021</v>
      </c>
      <c r="E6586" t="s">
        <v>1022</v>
      </c>
      <c r="F6586">
        <v>160.97</v>
      </c>
      <c r="G6586">
        <v>230901</v>
      </c>
      <c r="H6586">
        <v>4600</v>
      </c>
      <c r="I6586" t="s">
        <v>105</v>
      </c>
      <c r="J6586">
        <v>199.6</v>
      </c>
      <c r="K6586">
        <v>38.630000000000003</v>
      </c>
      <c r="L6586">
        <v>17526</v>
      </c>
      <c r="M6586" t="s">
        <v>437</v>
      </c>
      <c r="N6586" t="str">
        <f>"48 / 2198791"</f>
        <v>48 / 2198791</v>
      </c>
      <c r="O6586">
        <v>230908</v>
      </c>
    </row>
    <row r="6587" spans="1:15" x14ac:dyDescent="0.25">
      <c r="A6587" t="s">
        <v>16</v>
      </c>
      <c r="B6587" t="s">
        <v>3221</v>
      </c>
      <c r="C6587">
        <v>12364</v>
      </c>
      <c r="D6587" t="s">
        <v>1021</v>
      </c>
      <c r="E6587" t="s">
        <v>1022</v>
      </c>
      <c r="F6587">
        <v>24.13</v>
      </c>
      <c r="G6587">
        <v>230911</v>
      </c>
      <c r="H6587">
        <v>4600</v>
      </c>
      <c r="I6587" t="s">
        <v>105</v>
      </c>
      <c r="J6587">
        <v>29.92</v>
      </c>
      <c r="K6587">
        <v>5.79</v>
      </c>
      <c r="L6587">
        <v>17525</v>
      </c>
      <c r="M6587" t="s">
        <v>135</v>
      </c>
      <c r="N6587" t="str">
        <f>"64 / 2208353"</f>
        <v>64 / 2208353</v>
      </c>
      <c r="O6587">
        <v>230918</v>
      </c>
    </row>
    <row r="6588" spans="1:15" x14ac:dyDescent="0.25">
      <c r="A6588" t="s">
        <v>16</v>
      </c>
      <c r="B6588" t="s">
        <v>3221</v>
      </c>
      <c r="C6588">
        <v>12476</v>
      </c>
      <c r="D6588" t="s">
        <v>1021</v>
      </c>
      <c r="E6588" t="s">
        <v>1022</v>
      </c>
      <c r="F6588">
        <v>12.1</v>
      </c>
      <c r="G6588">
        <v>230901</v>
      </c>
      <c r="H6588">
        <v>4600</v>
      </c>
      <c r="I6588" t="s">
        <v>105</v>
      </c>
      <c r="J6588">
        <v>15</v>
      </c>
      <c r="K6588">
        <v>2.9</v>
      </c>
      <c r="L6588">
        <v>17638</v>
      </c>
      <c r="M6588" t="s">
        <v>765</v>
      </c>
      <c r="N6588" t="str">
        <f>"50 / 2198793"</f>
        <v>50 / 2198793</v>
      </c>
      <c r="O6588">
        <v>230920</v>
      </c>
    </row>
    <row r="6589" spans="1:15" x14ac:dyDescent="0.25">
      <c r="A6589" t="s">
        <v>16</v>
      </c>
      <c r="B6589" t="s">
        <v>3221</v>
      </c>
      <c r="C6589">
        <v>12476</v>
      </c>
      <c r="D6589" t="s">
        <v>1021</v>
      </c>
      <c r="E6589" t="s">
        <v>1022</v>
      </c>
      <c r="F6589">
        <v>15.17</v>
      </c>
      <c r="G6589">
        <v>230901</v>
      </c>
      <c r="H6589">
        <v>4600</v>
      </c>
      <c r="I6589" t="s">
        <v>105</v>
      </c>
      <c r="J6589">
        <v>18.809999999999999</v>
      </c>
      <c r="K6589">
        <v>3.64</v>
      </c>
      <c r="L6589">
        <v>17638</v>
      </c>
      <c r="M6589" t="s">
        <v>765</v>
      </c>
      <c r="N6589" t="str">
        <f>"50 / 2198793"</f>
        <v>50 / 2198793</v>
      </c>
      <c r="O6589">
        <v>230920</v>
      </c>
    </row>
    <row r="6590" spans="1:15" x14ac:dyDescent="0.25">
      <c r="A6590" t="s">
        <v>16</v>
      </c>
      <c r="B6590" t="s">
        <v>3221</v>
      </c>
      <c r="C6590">
        <v>12484</v>
      </c>
      <c r="D6590" t="s">
        <v>1021</v>
      </c>
      <c r="E6590" t="s">
        <v>1022</v>
      </c>
      <c r="F6590">
        <v>20.25</v>
      </c>
      <c r="G6590">
        <v>230911</v>
      </c>
      <c r="H6590">
        <v>4600</v>
      </c>
      <c r="I6590" t="s">
        <v>105</v>
      </c>
      <c r="J6590">
        <v>25.11</v>
      </c>
      <c r="K6590">
        <v>4.8600000000000003</v>
      </c>
      <c r="L6590">
        <v>17638</v>
      </c>
      <c r="M6590" t="s">
        <v>765</v>
      </c>
      <c r="N6590" t="str">
        <f>"63 / 2208351"</f>
        <v>63 / 2208351</v>
      </c>
      <c r="O6590">
        <v>230920</v>
      </c>
    </row>
    <row r="6591" spans="1:15" x14ac:dyDescent="0.25">
      <c r="A6591" t="s">
        <v>16</v>
      </c>
      <c r="B6591" t="s">
        <v>3221</v>
      </c>
      <c r="C6591">
        <v>13893</v>
      </c>
      <c r="D6591" t="s">
        <v>1021</v>
      </c>
      <c r="E6591" t="s">
        <v>1022</v>
      </c>
      <c r="F6591">
        <v>33.51</v>
      </c>
      <c r="G6591">
        <v>231004</v>
      </c>
      <c r="H6591">
        <v>4600</v>
      </c>
      <c r="I6591" t="s">
        <v>105</v>
      </c>
      <c r="J6591">
        <v>41.55</v>
      </c>
      <c r="K6591">
        <v>8.0399999999999991</v>
      </c>
      <c r="L6591">
        <v>17523</v>
      </c>
      <c r="M6591" t="s">
        <v>134</v>
      </c>
      <c r="N6591" t="str">
        <f>"82 / 2233769"</f>
        <v>82 / 2233769</v>
      </c>
      <c r="O6591">
        <v>231016</v>
      </c>
    </row>
    <row r="6592" spans="1:15" x14ac:dyDescent="0.25">
      <c r="A6592" t="s">
        <v>16</v>
      </c>
      <c r="B6592" t="s">
        <v>3221</v>
      </c>
      <c r="C6592">
        <v>13893</v>
      </c>
      <c r="D6592" t="s">
        <v>1021</v>
      </c>
      <c r="E6592" t="s">
        <v>1022</v>
      </c>
      <c r="F6592">
        <v>78.19</v>
      </c>
      <c r="G6592">
        <v>231004</v>
      </c>
      <c r="H6592">
        <v>4600</v>
      </c>
      <c r="I6592" t="s">
        <v>105</v>
      </c>
      <c r="J6592">
        <v>96.95</v>
      </c>
      <c r="K6592">
        <v>18.760000000000002</v>
      </c>
      <c r="L6592">
        <v>17523</v>
      </c>
      <c r="M6592" t="s">
        <v>134</v>
      </c>
      <c r="N6592" t="str">
        <f>"82 / 2233769"</f>
        <v>82 / 2233769</v>
      </c>
      <c r="O6592">
        <v>231016</v>
      </c>
    </row>
    <row r="6593" spans="1:15" x14ac:dyDescent="0.25">
      <c r="A6593" t="s">
        <v>16</v>
      </c>
      <c r="B6593" t="s">
        <v>3221</v>
      </c>
      <c r="C6593">
        <v>14234</v>
      </c>
      <c r="D6593" t="s">
        <v>1021</v>
      </c>
      <c r="E6593" t="s">
        <v>1022</v>
      </c>
      <c r="F6593">
        <v>216.09</v>
      </c>
      <c r="G6593">
        <v>231004</v>
      </c>
      <c r="H6593">
        <v>4600</v>
      </c>
      <c r="I6593" t="s">
        <v>105</v>
      </c>
      <c r="J6593">
        <v>267.95</v>
      </c>
      <c r="K6593">
        <v>51.86</v>
      </c>
      <c r="L6593">
        <v>17525</v>
      </c>
      <c r="M6593" t="s">
        <v>135</v>
      </c>
      <c r="N6593" t="str">
        <f>"81 / 2233768"</f>
        <v>81 / 2233768</v>
      </c>
      <c r="O6593">
        <v>231024</v>
      </c>
    </row>
    <row r="6594" spans="1:15" x14ac:dyDescent="0.25">
      <c r="A6594" t="s">
        <v>16</v>
      </c>
      <c r="B6594" t="s">
        <v>3221</v>
      </c>
      <c r="C6594">
        <v>14305</v>
      </c>
      <c r="D6594" t="s">
        <v>1021</v>
      </c>
      <c r="E6594" t="s">
        <v>1022</v>
      </c>
      <c r="F6594">
        <v>58.3</v>
      </c>
      <c r="G6594">
        <v>231004</v>
      </c>
      <c r="H6594">
        <v>4600</v>
      </c>
      <c r="I6594" t="s">
        <v>105</v>
      </c>
      <c r="J6594">
        <v>72.290000000000006</v>
      </c>
      <c r="K6594">
        <v>13.99</v>
      </c>
      <c r="L6594">
        <v>17638</v>
      </c>
      <c r="M6594" t="s">
        <v>765</v>
      </c>
      <c r="N6594" t="str">
        <f>"80 / 2233767"</f>
        <v>80 / 2233767</v>
      </c>
      <c r="O6594">
        <v>231026</v>
      </c>
    </row>
    <row r="6595" spans="1:15" x14ac:dyDescent="0.25">
      <c r="A6595" t="s">
        <v>16</v>
      </c>
      <c r="B6595" t="s">
        <v>3221</v>
      </c>
      <c r="C6595">
        <v>14459</v>
      </c>
      <c r="D6595" t="s">
        <v>1021</v>
      </c>
      <c r="E6595" t="s">
        <v>1022</v>
      </c>
      <c r="F6595">
        <v>18.059999999999999</v>
      </c>
      <c r="G6595">
        <v>231017</v>
      </c>
      <c r="H6595">
        <v>4600</v>
      </c>
      <c r="I6595" t="s">
        <v>105</v>
      </c>
      <c r="J6595">
        <v>22.4</v>
      </c>
      <c r="K6595">
        <v>4.34</v>
      </c>
      <c r="L6595">
        <v>17523</v>
      </c>
      <c r="M6595" t="s">
        <v>134</v>
      </c>
      <c r="N6595" t="str">
        <f>"40 / 2245310"</f>
        <v>40 / 2245310</v>
      </c>
      <c r="O6595">
        <v>231030</v>
      </c>
    </row>
    <row r="6596" spans="1:15" x14ac:dyDescent="0.25">
      <c r="A6596" t="s">
        <v>16</v>
      </c>
      <c r="B6596" t="s">
        <v>3221</v>
      </c>
      <c r="C6596">
        <v>14480</v>
      </c>
      <c r="D6596" t="s">
        <v>1021</v>
      </c>
      <c r="E6596" t="s">
        <v>1022</v>
      </c>
      <c r="F6596">
        <v>44.6</v>
      </c>
      <c r="G6596">
        <v>231017</v>
      </c>
      <c r="H6596">
        <v>4600</v>
      </c>
      <c r="I6596" t="s">
        <v>105</v>
      </c>
      <c r="J6596">
        <v>55.3</v>
      </c>
      <c r="K6596">
        <v>10.7</v>
      </c>
      <c r="L6596">
        <v>17525</v>
      </c>
      <c r="M6596" t="s">
        <v>135</v>
      </c>
      <c r="N6596" t="str">
        <f>"39 / 2245309"</f>
        <v>39 / 2245309</v>
      </c>
      <c r="O6596">
        <v>231030</v>
      </c>
    </row>
    <row r="6597" spans="1:15" x14ac:dyDescent="0.25">
      <c r="A6597" t="s">
        <v>16</v>
      </c>
      <c r="B6597" t="s">
        <v>3221</v>
      </c>
      <c r="C6597">
        <v>14484</v>
      </c>
      <c r="D6597" t="s">
        <v>1021</v>
      </c>
      <c r="E6597" t="s">
        <v>1022</v>
      </c>
      <c r="F6597">
        <v>229.51</v>
      </c>
      <c r="G6597">
        <v>231017</v>
      </c>
      <c r="H6597">
        <v>4600</v>
      </c>
      <c r="I6597" t="s">
        <v>105</v>
      </c>
      <c r="J6597">
        <v>284.58999999999997</v>
      </c>
      <c r="K6597">
        <v>55.08</v>
      </c>
      <c r="L6597">
        <v>17638</v>
      </c>
      <c r="M6597" t="s">
        <v>765</v>
      </c>
      <c r="N6597" t="str">
        <f>"36 / 2245306"</f>
        <v>36 / 2245306</v>
      </c>
      <c r="O6597">
        <v>231030</v>
      </c>
    </row>
    <row r="6598" spans="1:15" x14ac:dyDescent="0.25">
      <c r="A6598" t="s">
        <v>16</v>
      </c>
      <c r="B6598" t="s">
        <v>3221</v>
      </c>
      <c r="C6598">
        <v>14490</v>
      </c>
      <c r="D6598" t="s">
        <v>1021</v>
      </c>
      <c r="E6598" t="s">
        <v>1022</v>
      </c>
      <c r="F6598">
        <v>30.08</v>
      </c>
      <c r="G6598">
        <v>231017</v>
      </c>
      <c r="H6598">
        <v>4600</v>
      </c>
      <c r="I6598" t="s">
        <v>105</v>
      </c>
      <c r="J6598">
        <v>37.299999999999997</v>
      </c>
      <c r="K6598">
        <v>7.22</v>
      </c>
      <c r="L6598">
        <v>17524</v>
      </c>
      <c r="M6598" t="s">
        <v>452</v>
      </c>
      <c r="N6598" t="str">
        <f>"38 / 2245308"</f>
        <v>38 / 2245308</v>
      </c>
      <c r="O6598">
        <v>231030</v>
      </c>
    </row>
    <row r="6599" spans="1:15" x14ac:dyDescent="0.25">
      <c r="A6599" t="s">
        <v>16</v>
      </c>
      <c r="B6599" t="s">
        <v>3221</v>
      </c>
      <c r="C6599">
        <v>15274</v>
      </c>
      <c r="D6599" t="s">
        <v>1021</v>
      </c>
      <c r="E6599" t="s">
        <v>1022</v>
      </c>
      <c r="F6599">
        <v>177.54</v>
      </c>
      <c r="G6599">
        <v>231103</v>
      </c>
      <c r="H6599">
        <v>4600</v>
      </c>
      <c r="I6599" t="s">
        <v>105</v>
      </c>
      <c r="J6599">
        <v>220.15</v>
      </c>
      <c r="K6599">
        <v>42.61</v>
      </c>
      <c r="L6599">
        <v>17526</v>
      </c>
      <c r="M6599" t="s">
        <v>437</v>
      </c>
      <c r="N6599" t="str">
        <f>"73 / 2267504"</f>
        <v>73 / 2267504</v>
      </c>
      <c r="O6599">
        <v>231109</v>
      </c>
    </row>
    <row r="6600" spans="1:15" x14ac:dyDescent="0.25">
      <c r="A6600" t="s">
        <v>16</v>
      </c>
      <c r="B6600" t="s">
        <v>3221</v>
      </c>
      <c r="C6600">
        <v>15275</v>
      </c>
      <c r="D6600" t="s">
        <v>1021</v>
      </c>
      <c r="E6600" t="s">
        <v>1022</v>
      </c>
      <c r="F6600">
        <v>74.84</v>
      </c>
      <c r="G6600">
        <v>231103</v>
      </c>
      <c r="H6600">
        <v>4600</v>
      </c>
      <c r="I6600" t="s">
        <v>105</v>
      </c>
      <c r="J6600">
        <v>92.8</v>
      </c>
      <c r="K6600">
        <v>17.96</v>
      </c>
      <c r="L6600">
        <v>17524</v>
      </c>
      <c r="M6600" t="s">
        <v>452</v>
      </c>
      <c r="N6600" t="str">
        <f>"75 / 2267506"</f>
        <v>75 / 2267506</v>
      </c>
      <c r="O6600">
        <v>231109</v>
      </c>
    </row>
    <row r="6601" spans="1:15" x14ac:dyDescent="0.25">
      <c r="A6601" t="s">
        <v>16</v>
      </c>
      <c r="B6601" t="s">
        <v>3221</v>
      </c>
      <c r="C6601">
        <v>15276</v>
      </c>
      <c r="D6601" t="s">
        <v>1021</v>
      </c>
      <c r="E6601" t="s">
        <v>1022</v>
      </c>
      <c r="F6601">
        <v>21.94</v>
      </c>
      <c r="G6601">
        <v>231103</v>
      </c>
      <c r="H6601">
        <v>4600</v>
      </c>
      <c r="I6601" t="s">
        <v>105</v>
      </c>
      <c r="J6601">
        <v>27.2</v>
      </c>
      <c r="K6601">
        <v>5.26</v>
      </c>
      <c r="L6601">
        <v>17525</v>
      </c>
      <c r="M6601" t="s">
        <v>135</v>
      </c>
      <c r="N6601" t="str">
        <f>"76 / 2267507"</f>
        <v>76 / 2267507</v>
      </c>
      <c r="O6601">
        <v>231109</v>
      </c>
    </row>
    <row r="6602" spans="1:15" x14ac:dyDescent="0.25">
      <c r="A6602" t="s">
        <v>16</v>
      </c>
      <c r="B6602" t="s">
        <v>3221</v>
      </c>
      <c r="C6602">
        <v>15276</v>
      </c>
      <c r="D6602" t="s">
        <v>1021</v>
      </c>
      <c r="E6602" t="s">
        <v>1022</v>
      </c>
      <c r="F6602">
        <v>12.78</v>
      </c>
      <c r="G6602">
        <v>231103</v>
      </c>
      <c r="H6602">
        <v>4600</v>
      </c>
      <c r="I6602" t="s">
        <v>105</v>
      </c>
      <c r="J6602">
        <v>15.85</v>
      </c>
      <c r="K6602">
        <v>3.07</v>
      </c>
      <c r="L6602">
        <v>17636</v>
      </c>
      <c r="M6602" t="s">
        <v>352</v>
      </c>
      <c r="N6602" t="str">
        <f>"76 / 2267507"</f>
        <v>76 / 2267507</v>
      </c>
      <c r="O6602">
        <v>231109</v>
      </c>
    </row>
    <row r="6603" spans="1:15" x14ac:dyDescent="0.25">
      <c r="A6603" t="s">
        <v>16</v>
      </c>
      <c r="B6603" t="s">
        <v>3221</v>
      </c>
      <c r="C6603">
        <v>16135</v>
      </c>
      <c r="D6603" t="s">
        <v>1021</v>
      </c>
      <c r="E6603" t="s">
        <v>1022</v>
      </c>
      <c r="F6603">
        <v>133.27000000000001</v>
      </c>
      <c r="G6603">
        <v>231122</v>
      </c>
      <c r="H6603">
        <v>4600</v>
      </c>
      <c r="I6603" t="s">
        <v>105</v>
      </c>
      <c r="J6603">
        <v>165.25</v>
      </c>
      <c r="K6603">
        <v>31.98</v>
      </c>
      <c r="L6603">
        <v>17711</v>
      </c>
      <c r="M6603" t="s">
        <v>65</v>
      </c>
      <c r="N6603" t="str">
        <f>"92 / 2291250"</f>
        <v>92 / 2291250</v>
      </c>
      <c r="O6603">
        <v>231123</v>
      </c>
    </row>
    <row r="6604" spans="1:15" x14ac:dyDescent="0.25">
      <c r="A6604" t="s">
        <v>16</v>
      </c>
      <c r="B6604" t="s">
        <v>3221</v>
      </c>
      <c r="C6604">
        <v>16136</v>
      </c>
      <c r="D6604" t="s">
        <v>1021</v>
      </c>
      <c r="E6604" t="s">
        <v>1022</v>
      </c>
      <c r="F6604">
        <v>3.75</v>
      </c>
      <c r="G6604">
        <v>231122</v>
      </c>
      <c r="H6604">
        <v>4600</v>
      </c>
      <c r="I6604" t="s">
        <v>105</v>
      </c>
      <c r="J6604">
        <v>4.6500000000000004</v>
      </c>
      <c r="K6604">
        <v>0.9</v>
      </c>
      <c r="L6604">
        <v>17529</v>
      </c>
      <c r="M6604" t="s">
        <v>453</v>
      </c>
      <c r="N6604" t="str">
        <f>"89 / 2291247"</f>
        <v>89 / 2291247</v>
      </c>
      <c r="O6604">
        <v>231123</v>
      </c>
    </row>
    <row r="6605" spans="1:15" x14ac:dyDescent="0.25">
      <c r="A6605" t="s">
        <v>16</v>
      </c>
      <c r="B6605" t="s">
        <v>3221</v>
      </c>
      <c r="C6605">
        <v>16439</v>
      </c>
      <c r="D6605" t="s">
        <v>1021</v>
      </c>
      <c r="E6605" t="s">
        <v>1022</v>
      </c>
      <c r="F6605">
        <v>45.08</v>
      </c>
      <c r="G6605">
        <v>231122</v>
      </c>
      <c r="H6605">
        <v>4600</v>
      </c>
      <c r="I6605" t="s">
        <v>105</v>
      </c>
      <c r="J6605">
        <v>55.9</v>
      </c>
      <c r="K6605">
        <v>10.82</v>
      </c>
      <c r="L6605">
        <v>17636</v>
      </c>
      <c r="M6605" t="s">
        <v>352</v>
      </c>
      <c r="N6605" t="str">
        <f>"93 / 2291251"</f>
        <v>93 / 2291251</v>
      </c>
      <c r="O6605">
        <v>231129</v>
      </c>
    </row>
    <row r="6606" spans="1:15" x14ac:dyDescent="0.25">
      <c r="A6606" t="s">
        <v>16</v>
      </c>
      <c r="B6606" t="s">
        <v>3221</v>
      </c>
      <c r="C6606">
        <v>16535</v>
      </c>
      <c r="D6606" t="s">
        <v>1021</v>
      </c>
      <c r="E6606" t="s">
        <v>1022</v>
      </c>
      <c r="F6606">
        <v>34.92</v>
      </c>
      <c r="G6606">
        <v>231122</v>
      </c>
      <c r="H6606">
        <v>4600</v>
      </c>
      <c r="I6606" t="s">
        <v>105</v>
      </c>
      <c r="J6606">
        <v>43.3</v>
      </c>
      <c r="K6606">
        <v>8.3800000000000008</v>
      </c>
      <c r="L6606">
        <v>17527</v>
      </c>
      <c r="M6606" t="s">
        <v>422</v>
      </c>
      <c r="N6606" t="str">
        <f>"91 / 2291249"</f>
        <v>91 / 2291249</v>
      </c>
      <c r="O6606">
        <v>231201</v>
      </c>
    </row>
    <row r="6607" spans="1:15" x14ac:dyDescent="0.25">
      <c r="A6607" t="s">
        <v>16</v>
      </c>
      <c r="B6607" t="s">
        <v>3221</v>
      </c>
      <c r="C6607">
        <v>16780</v>
      </c>
      <c r="D6607" t="s">
        <v>1021</v>
      </c>
      <c r="E6607" t="s">
        <v>1022</v>
      </c>
      <c r="F6607">
        <v>5.07</v>
      </c>
      <c r="G6607">
        <v>231129</v>
      </c>
      <c r="H6607">
        <v>4600</v>
      </c>
      <c r="I6607" t="s">
        <v>105</v>
      </c>
      <c r="J6607">
        <v>6.29</v>
      </c>
      <c r="K6607">
        <v>1.22</v>
      </c>
      <c r="L6607">
        <v>17523</v>
      </c>
      <c r="M6607" t="s">
        <v>134</v>
      </c>
      <c r="N6607" t="str">
        <f>"92 / 2296244"</f>
        <v>92 / 2296244</v>
      </c>
      <c r="O6607">
        <v>231208</v>
      </c>
    </row>
    <row r="6608" spans="1:15" x14ac:dyDescent="0.25">
      <c r="A6608" t="s">
        <v>16</v>
      </c>
      <c r="B6608" t="s">
        <v>3221</v>
      </c>
      <c r="C6608">
        <v>16830</v>
      </c>
      <c r="D6608" t="s">
        <v>1021</v>
      </c>
      <c r="E6608" t="s">
        <v>1022</v>
      </c>
      <c r="F6608">
        <v>1000.16</v>
      </c>
      <c r="G6608">
        <v>231004</v>
      </c>
      <c r="H6608">
        <v>4600</v>
      </c>
      <c r="I6608" t="s">
        <v>105</v>
      </c>
      <c r="J6608">
        <v>1240.2</v>
      </c>
      <c r="K6608">
        <v>240.04</v>
      </c>
      <c r="L6608">
        <v>17526</v>
      </c>
      <c r="M6608" t="s">
        <v>437</v>
      </c>
      <c r="N6608" t="str">
        <f>"79 / 2300524"</f>
        <v>79 / 2300524</v>
      </c>
      <c r="O6608">
        <v>231211</v>
      </c>
    </row>
    <row r="6609" spans="1:15" x14ac:dyDescent="0.25">
      <c r="A6609" t="s">
        <v>16</v>
      </c>
      <c r="B6609" t="s">
        <v>3221</v>
      </c>
      <c r="C6609">
        <v>16845</v>
      </c>
      <c r="D6609" t="s">
        <v>1021</v>
      </c>
      <c r="E6609" t="s">
        <v>1022</v>
      </c>
      <c r="F6609">
        <v>17.73</v>
      </c>
      <c r="G6609">
        <v>231129</v>
      </c>
      <c r="H6609">
        <v>4600</v>
      </c>
      <c r="I6609" t="s">
        <v>105</v>
      </c>
      <c r="J6609">
        <v>21.98</v>
      </c>
      <c r="K6609">
        <v>4.25</v>
      </c>
      <c r="L6609">
        <v>17711</v>
      </c>
      <c r="M6609" t="s">
        <v>65</v>
      </c>
      <c r="N6609" t="str">
        <f>"91 / 2296243"</f>
        <v>91 / 2296243</v>
      </c>
      <c r="O6609">
        <v>231211</v>
      </c>
    </row>
    <row r="6610" spans="1:15" x14ac:dyDescent="0.25">
      <c r="A6610" t="s">
        <v>16</v>
      </c>
      <c r="B6610" t="s">
        <v>3221</v>
      </c>
      <c r="C6610">
        <v>16868</v>
      </c>
      <c r="D6610" t="s">
        <v>1021</v>
      </c>
      <c r="E6610" t="s">
        <v>1022</v>
      </c>
      <c r="F6610">
        <v>235.32</v>
      </c>
      <c r="G6610">
        <v>231122</v>
      </c>
      <c r="H6610">
        <v>4600</v>
      </c>
      <c r="I6610" t="s">
        <v>105</v>
      </c>
      <c r="J6610">
        <v>291.8</v>
      </c>
      <c r="K6610">
        <v>56.48</v>
      </c>
      <c r="L6610">
        <v>17526</v>
      </c>
      <c r="M6610" t="s">
        <v>437</v>
      </c>
      <c r="N6610" t="str">
        <f>"88 / 2291246"</f>
        <v>88 / 2291246</v>
      </c>
      <c r="O6610">
        <v>231211</v>
      </c>
    </row>
    <row r="6611" spans="1:15" x14ac:dyDescent="0.25">
      <c r="A6611" t="s">
        <v>16</v>
      </c>
      <c r="B6611" t="s">
        <v>3221</v>
      </c>
      <c r="C6611">
        <v>17570</v>
      </c>
      <c r="D6611" t="s">
        <v>1021</v>
      </c>
      <c r="E6611" t="s">
        <v>1022</v>
      </c>
      <c r="F6611">
        <v>141.51</v>
      </c>
      <c r="G6611">
        <v>231129</v>
      </c>
      <c r="H6611">
        <v>4600</v>
      </c>
      <c r="I6611" t="s">
        <v>105</v>
      </c>
      <c r="J6611">
        <v>175.47</v>
      </c>
      <c r="K6611">
        <v>33.96</v>
      </c>
      <c r="L6611">
        <v>17526</v>
      </c>
      <c r="M6611" t="s">
        <v>437</v>
      </c>
      <c r="N6611" t="str">
        <f>"90 / 2296242"</f>
        <v>90 / 2296242</v>
      </c>
      <c r="O6611">
        <v>231215</v>
      </c>
    </row>
    <row r="6612" spans="1:15" x14ac:dyDescent="0.25">
      <c r="A6612" t="s">
        <v>16</v>
      </c>
      <c r="B6612" t="s">
        <v>3221</v>
      </c>
      <c r="C6612">
        <v>18263</v>
      </c>
      <c r="D6612" t="s">
        <v>1021</v>
      </c>
      <c r="E6612" t="s">
        <v>1022</v>
      </c>
      <c r="F6612">
        <v>94.92</v>
      </c>
      <c r="G6612">
        <v>231214</v>
      </c>
      <c r="H6612">
        <v>4600</v>
      </c>
      <c r="I6612" t="s">
        <v>105</v>
      </c>
      <c r="J6612">
        <v>117.7</v>
      </c>
      <c r="K6612">
        <v>22.78</v>
      </c>
      <c r="L6612">
        <v>17526</v>
      </c>
      <c r="M6612" t="s">
        <v>437</v>
      </c>
      <c r="N6612" t="str">
        <f>"69 / 2313753"</f>
        <v>69 / 2313753</v>
      </c>
      <c r="O6612">
        <v>240102</v>
      </c>
    </row>
    <row r="6613" spans="1:15" x14ac:dyDescent="0.25">
      <c r="A6613" t="s">
        <v>16</v>
      </c>
      <c r="B6613" t="s">
        <v>3221</v>
      </c>
      <c r="C6613">
        <v>18298</v>
      </c>
      <c r="D6613" t="s">
        <v>1021</v>
      </c>
      <c r="E6613" t="s">
        <v>1022</v>
      </c>
      <c r="F6613">
        <v>67.66</v>
      </c>
      <c r="G6613">
        <v>231214</v>
      </c>
      <c r="H6613">
        <v>4600</v>
      </c>
      <c r="I6613" t="s">
        <v>105</v>
      </c>
      <c r="J6613">
        <v>83.9</v>
      </c>
      <c r="K6613">
        <v>16.239999999999998</v>
      </c>
      <c r="L6613">
        <v>17633</v>
      </c>
      <c r="M6613" t="s">
        <v>724</v>
      </c>
      <c r="N6613" t="str">
        <f>"76 / 2313760"</f>
        <v>76 / 2313760</v>
      </c>
      <c r="O6613">
        <v>240102</v>
      </c>
    </row>
    <row r="6614" spans="1:15" x14ac:dyDescent="0.25">
      <c r="A6614" t="s">
        <v>16</v>
      </c>
      <c r="B6614" t="s">
        <v>3221</v>
      </c>
      <c r="C6614">
        <v>18306</v>
      </c>
      <c r="D6614" t="s">
        <v>1021</v>
      </c>
      <c r="E6614" t="s">
        <v>1022</v>
      </c>
      <c r="F6614">
        <v>38.71</v>
      </c>
      <c r="G6614">
        <v>231214</v>
      </c>
      <c r="H6614">
        <v>4600</v>
      </c>
      <c r="I6614" t="s">
        <v>105</v>
      </c>
      <c r="J6614">
        <v>48</v>
      </c>
      <c r="K6614">
        <v>9.2899999999999991</v>
      </c>
      <c r="L6614">
        <v>17527</v>
      </c>
      <c r="M6614" t="s">
        <v>422</v>
      </c>
      <c r="N6614" t="str">
        <f>"70 / 2313754"</f>
        <v>70 / 2313754</v>
      </c>
      <c r="O6614">
        <v>240102</v>
      </c>
    </row>
    <row r="6615" spans="1:15" x14ac:dyDescent="0.25">
      <c r="A6615" t="s">
        <v>16</v>
      </c>
      <c r="B6615" t="s">
        <v>3221</v>
      </c>
      <c r="C6615">
        <v>18313</v>
      </c>
      <c r="D6615" t="s">
        <v>1021</v>
      </c>
      <c r="E6615" t="s">
        <v>1022</v>
      </c>
      <c r="F6615">
        <v>24.35</v>
      </c>
      <c r="G6615">
        <v>231214</v>
      </c>
      <c r="H6615">
        <v>4600</v>
      </c>
      <c r="I6615" t="s">
        <v>105</v>
      </c>
      <c r="J6615">
        <v>30.2</v>
      </c>
      <c r="K6615">
        <v>5.85</v>
      </c>
      <c r="L6615">
        <v>17525</v>
      </c>
      <c r="M6615" t="s">
        <v>135</v>
      </c>
      <c r="N6615" t="str">
        <f>"71 / 2313755"</f>
        <v>71 / 2313755</v>
      </c>
      <c r="O6615">
        <v>240102</v>
      </c>
    </row>
    <row r="6616" spans="1:15" x14ac:dyDescent="0.25">
      <c r="A6616" t="s">
        <v>16</v>
      </c>
      <c r="B6616" t="s">
        <v>3221</v>
      </c>
      <c r="C6616">
        <v>18454</v>
      </c>
      <c r="D6616" t="s">
        <v>1021</v>
      </c>
      <c r="E6616" t="s">
        <v>1022</v>
      </c>
      <c r="F6616">
        <v>148.38999999999999</v>
      </c>
      <c r="G6616">
        <v>231220</v>
      </c>
      <c r="H6616">
        <v>4600</v>
      </c>
      <c r="I6616" t="s">
        <v>105</v>
      </c>
      <c r="J6616">
        <v>184</v>
      </c>
      <c r="K6616">
        <v>35.61</v>
      </c>
      <c r="L6616">
        <v>17526</v>
      </c>
      <c r="M6616" t="s">
        <v>437</v>
      </c>
      <c r="N6616" t="str">
        <f>"44 / 2320940"</f>
        <v>44 / 2320940</v>
      </c>
      <c r="O6616">
        <v>240103</v>
      </c>
    </row>
    <row r="6617" spans="1:15" x14ac:dyDescent="0.25">
      <c r="A6617" t="s">
        <v>16</v>
      </c>
      <c r="B6617" t="s">
        <v>3221</v>
      </c>
      <c r="C6617">
        <v>19015</v>
      </c>
      <c r="D6617" t="s">
        <v>1021</v>
      </c>
      <c r="E6617" t="s">
        <v>1022</v>
      </c>
      <c r="F6617">
        <v>42.9</v>
      </c>
      <c r="G6617">
        <v>240104</v>
      </c>
      <c r="H6617">
        <v>4600</v>
      </c>
      <c r="I6617" t="s">
        <v>105</v>
      </c>
      <c r="J6617">
        <v>53.2</v>
      </c>
      <c r="K6617">
        <v>10.3</v>
      </c>
      <c r="L6617">
        <v>17522</v>
      </c>
      <c r="M6617" t="s">
        <v>451</v>
      </c>
      <c r="N6617" t="str">
        <f>"01 / 2337212"</f>
        <v>01 / 2337212</v>
      </c>
      <c r="O6617">
        <v>240109</v>
      </c>
    </row>
    <row r="6618" spans="1:15" x14ac:dyDescent="0.25">
      <c r="A6618" t="s">
        <v>16</v>
      </c>
      <c r="B6618" t="s">
        <v>3221</v>
      </c>
      <c r="C6618">
        <v>5079</v>
      </c>
      <c r="D6618" t="s">
        <v>1021</v>
      </c>
      <c r="E6618" t="s">
        <v>1022</v>
      </c>
      <c r="F6618">
        <v>25.36</v>
      </c>
      <c r="G6618">
        <v>230403</v>
      </c>
      <c r="H6618">
        <v>4555</v>
      </c>
      <c r="I6618" t="s">
        <v>481</v>
      </c>
      <c r="J6618">
        <v>31.45</v>
      </c>
      <c r="K6618">
        <v>6.09</v>
      </c>
      <c r="L6618">
        <v>17950</v>
      </c>
      <c r="M6618" t="s">
        <v>86</v>
      </c>
      <c r="N6618" t="str">
        <f>"68 / 2053623"</f>
        <v>68 / 2053623</v>
      </c>
      <c r="O6618">
        <v>230418</v>
      </c>
    </row>
    <row r="6619" spans="1:15" x14ac:dyDescent="0.25">
      <c r="A6619" t="s">
        <v>16</v>
      </c>
      <c r="B6619" t="s">
        <v>3221</v>
      </c>
      <c r="C6619">
        <v>1422</v>
      </c>
      <c r="D6619" t="s">
        <v>1021</v>
      </c>
      <c r="E6619" t="s">
        <v>1022</v>
      </c>
      <c r="F6619">
        <v>21.35</v>
      </c>
      <c r="G6619">
        <v>230203</v>
      </c>
      <c r="H6619">
        <v>4390</v>
      </c>
      <c r="I6619" t="s">
        <v>98</v>
      </c>
      <c r="J6619">
        <v>26.47</v>
      </c>
      <c r="K6619">
        <v>5.12</v>
      </c>
      <c r="L6619">
        <v>13540</v>
      </c>
      <c r="M6619" t="s">
        <v>85</v>
      </c>
      <c r="N6619" t="str">
        <f>"68 / 1997807"</f>
        <v>68 / 1997807</v>
      </c>
      <c r="O6619">
        <v>230208</v>
      </c>
    </row>
    <row r="6620" spans="1:15" x14ac:dyDescent="0.25">
      <c r="A6620" t="s">
        <v>16</v>
      </c>
      <c r="B6620" t="s">
        <v>3221</v>
      </c>
      <c r="C6620">
        <v>1422</v>
      </c>
      <c r="D6620" t="s">
        <v>1021</v>
      </c>
      <c r="E6620" t="s">
        <v>1022</v>
      </c>
      <c r="F6620">
        <v>172.73</v>
      </c>
      <c r="G6620">
        <v>230203</v>
      </c>
      <c r="H6620">
        <v>4390</v>
      </c>
      <c r="I6620" t="s">
        <v>98</v>
      </c>
      <c r="J6620">
        <v>214.18</v>
      </c>
      <c r="K6620">
        <v>41.45</v>
      </c>
      <c r="L6620">
        <v>17950</v>
      </c>
      <c r="M6620" t="s">
        <v>86</v>
      </c>
      <c r="N6620" t="str">
        <f>"68 / 1997807"</f>
        <v>68 / 1997807</v>
      </c>
      <c r="O6620">
        <v>230208</v>
      </c>
    </row>
    <row r="6621" spans="1:15" x14ac:dyDescent="0.25">
      <c r="A6621" t="s">
        <v>16</v>
      </c>
      <c r="B6621" t="s">
        <v>3221</v>
      </c>
      <c r="C6621">
        <v>1422</v>
      </c>
      <c r="D6621" t="s">
        <v>1021</v>
      </c>
      <c r="E6621" t="s">
        <v>1022</v>
      </c>
      <c r="F6621">
        <v>104.6</v>
      </c>
      <c r="G6621">
        <v>230203</v>
      </c>
      <c r="H6621">
        <v>4390</v>
      </c>
      <c r="I6621" t="s">
        <v>98</v>
      </c>
      <c r="J6621">
        <v>129.69999999999999</v>
      </c>
      <c r="K6621">
        <v>25.1</v>
      </c>
      <c r="L6621">
        <v>17956</v>
      </c>
      <c r="M6621" t="s">
        <v>53</v>
      </c>
      <c r="N6621" t="str">
        <f>"68 / 1997807"</f>
        <v>68 / 1997807</v>
      </c>
      <c r="O6621">
        <v>230208</v>
      </c>
    </row>
    <row r="6622" spans="1:15" x14ac:dyDescent="0.25">
      <c r="A6622" t="s">
        <v>16</v>
      </c>
      <c r="B6622" t="s">
        <v>3221</v>
      </c>
      <c r="C6622">
        <v>16736</v>
      </c>
      <c r="D6622" t="s">
        <v>1021</v>
      </c>
      <c r="E6622" t="s">
        <v>1022</v>
      </c>
      <c r="F6622">
        <v>65.73</v>
      </c>
      <c r="G6622">
        <v>231122</v>
      </c>
      <c r="H6622">
        <v>4390</v>
      </c>
      <c r="I6622" t="s">
        <v>98</v>
      </c>
      <c r="J6622">
        <v>81.5</v>
      </c>
      <c r="K6622">
        <v>15.77</v>
      </c>
      <c r="L6622">
        <v>17950</v>
      </c>
      <c r="M6622" t="s">
        <v>86</v>
      </c>
      <c r="N6622" t="str">
        <f>"90 / 2291248"</f>
        <v>90 / 2291248</v>
      </c>
      <c r="O6622">
        <v>231208</v>
      </c>
    </row>
    <row r="6623" spans="1:15" x14ac:dyDescent="0.25">
      <c r="A6623" t="s">
        <v>16</v>
      </c>
      <c r="B6623" t="s">
        <v>3221</v>
      </c>
      <c r="C6623">
        <v>1493</v>
      </c>
      <c r="D6623" t="s">
        <v>1021</v>
      </c>
      <c r="E6623" t="s">
        <v>1022</v>
      </c>
      <c r="F6623">
        <v>32.5</v>
      </c>
      <c r="G6623">
        <v>230203</v>
      </c>
      <c r="H6623">
        <v>4590</v>
      </c>
      <c r="I6623" t="s">
        <v>203</v>
      </c>
      <c r="J6623">
        <v>40.299999999999997</v>
      </c>
      <c r="K6623">
        <v>7.8</v>
      </c>
      <c r="L6623">
        <v>17737</v>
      </c>
      <c r="M6623" t="s">
        <v>279</v>
      </c>
      <c r="N6623" t="str">
        <f>"70 / 1997809"</f>
        <v>70 / 1997809</v>
      </c>
      <c r="O6623">
        <v>230209</v>
      </c>
    </row>
    <row r="6624" spans="1:15" x14ac:dyDescent="0.25">
      <c r="A6624" t="s">
        <v>16</v>
      </c>
      <c r="B6624" t="s">
        <v>3221</v>
      </c>
      <c r="C6624">
        <v>2946</v>
      </c>
      <c r="D6624" t="s">
        <v>1021</v>
      </c>
      <c r="E6624" t="s">
        <v>1022</v>
      </c>
      <c r="F6624">
        <v>141.83000000000001</v>
      </c>
      <c r="G6624">
        <v>230306</v>
      </c>
      <c r="H6624">
        <v>4590</v>
      </c>
      <c r="I6624" t="s">
        <v>203</v>
      </c>
      <c r="J6624">
        <v>175.87</v>
      </c>
      <c r="K6624">
        <v>34.04</v>
      </c>
      <c r="L6624">
        <v>17952</v>
      </c>
      <c r="M6624" t="s">
        <v>88</v>
      </c>
      <c r="N6624" t="str">
        <f>"19 / 2027046"</f>
        <v>19 / 2027046</v>
      </c>
      <c r="O6624">
        <v>230308</v>
      </c>
    </row>
    <row r="6625" spans="1:15" x14ac:dyDescent="0.25">
      <c r="A6625" t="s">
        <v>16</v>
      </c>
      <c r="B6625" t="s">
        <v>3221</v>
      </c>
      <c r="C6625">
        <v>6166</v>
      </c>
      <c r="D6625" t="s">
        <v>1021</v>
      </c>
      <c r="E6625" t="s">
        <v>1022</v>
      </c>
      <c r="F6625">
        <v>1.24</v>
      </c>
      <c r="G6625">
        <v>230502</v>
      </c>
      <c r="H6625">
        <v>4590</v>
      </c>
      <c r="I6625" t="s">
        <v>203</v>
      </c>
      <c r="J6625">
        <v>1.54</v>
      </c>
      <c r="K6625">
        <v>0.3</v>
      </c>
      <c r="L6625">
        <v>13540</v>
      </c>
      <c r="M6625" t="s">
        <v>85</v>
      </c>
      <c r="N6625" t="str">
        <f>"65 / 2086155"</f>
        <v>65 / 2086155</v>
      </c>
      <c r="O6625">
        <v>230508</v>
      </c>
    </row>
    <row r="6626" spans="1:15" x14ac:dyDescent="0.25">
      <c r="A6626" t="s">
        <v>16</v>
      </c>
      <c r="B6626" t="s">
        <v>3221</v>
      </c>
      <c r="C6626">
        <v>6166</v>
      </c>
      <c r="D6626" t="s">
        <v>1021</v>
      </c>
      <c r="E6626" t="s">
        <v>1022</v>
      </c>
      <c r="F6626">
        <v>10.050000000000001</v>
      </c>
      <c r="G6626">
        <v>230502</v>
      </c>
      <c r="H6626">
        <v>4590</v>
      </c>
      <c r="I6626" t="s">
        <v>203</v>
      </c>
      <c r="J6626">
        <v>12.46</v>
      </c>
      <c r="K6626">
        <v>2.41</v>
      </c>
      <c r="L6626">
        <v>17950</v>
      </c>
      <c r="M6626" t="s">
        <v>86</v>
      </c>
      <c r="N6626" t="str">
        <f>"65 / 2086155"</f>
        <v>65 / 2086155</v>
      </c>
      <c r="O6626">
        <v>230508</v>
      </c>
    </row>
    <row r="6627" spans="1:15" x14ac:dyDescent="0.25">
      <c r="A6627" t="s">
        <v>16</v>
      </c>
      <c r="B6627" t="s">
        <v>3221</v>
      </c>
      <c r="C6627">
        <v>6167</v>
      </c>
      <c r="D6627" t="s">
        <v>1021</v>
      </c>
      <c r="E6627" t="s">
        <v>1022</v>
      </c>
      <c r="F6627">
        <v>0.6</v>
      </c>
      <c r="G6627">
        <v>230502</v>
      </c>
      <c r="H6627">
        <v>4590</v>
      </c>
      <c r="I6627" t="s">
        <v>203</v>
      </c>
      <c r="J6627">
        <v>0.75</v>
      </c>
      <c r="K6627">
        <v>0.15</v>
      </c>
      <c r="L6627">
        <v>13540</v>
      </c>
      <c r="M6627" t="s">
        <v>85</v>
      </c>
      <c r="N6627" t="str">
        <f>"43 / 2086133"</f>
        <v>43 / 2086133</v>
      </c>
      <c r="O6627">
        <v>230508</v>
      </c>
    </row>
    <row r="6628" spans="1:15" x14ac:dyDescent="0.25">
      <c r="A6628" t="s">
        <v>16</v>
      </c>
      <c r="B6628" t="s">
        <v>3221</v>
      </c>
      <c r="C6628">
        <v>6167</v>
      </c>
      <c r="D6628" t="s">
        <v>1021</v>
      </c>
      <c r="E6628" t="s">
        <v>1022</v>
      </c>
      <c r="F6628">
        <v>4.88</v>
      </c>
      <c r="G6628">
        <v>230502</v>
      </c>
      <c r="H6628">
        <v>4590</v>
      </c>
      <c r="I6628" t="s">
        <v>203</v>
      </c>
      <c r="J6628">
        <v>6.05</v>
      </c>
      <c r="K6628">
        <v>1.17</v>
      </c>
      <c r="L6628">
        <v>17950</v>
      </c>
      <c r="M6628" t="s">
        <v>86</v>
      </c>
      <c r="N6628" t="str">
        <f>"43 / 2086133"</f>
        <v>43 / 2086133</v>
      </c>
      <c r="O6628">
        <v>230508</v>
      </c>
    </row>
    <row r="6629" spans="1:15" x14ac:dyDescent="0.25">
      <c r="A6629" t="s">
        <v>16</v>
      </c>
      <c r="B6629" t="s">
        <v>3221</v>
      </c>
      <c r="C6629">
        <v>6168</v>
      </c>
      <c r="D6629" t="s">
        <v>1021</v>
      </c>
      <c r="E6629" t="s">
        <v>1022</v>
      </c>
      <c r="F6629">
        <v>127.82</v>
      </c>
      <c r="G6629">
        <v>230502</v>
      </c>
      <c r="H6629">
        <v>4590</v>
      </c>
      <c r="I6629" t="s">
        <v>203</v>
      </c>
      <c r="J6629">
        <v>158.5</v>
      </c>
      <c r="K6629">
        <v>30.68</v>
      </c>
      <c r="L6629">
        <v>17522</v>
      </c>
      <c r="M6629" t="s">
        <v>451</v>
      </c>
      <c r="N6629" t="str">
        <f>"63 / 2086153"</f>
        <v>63 / 2086153</v>
      </c>
      <c r="O6629">
        <v>230508</v>
      </c>
    </row>
    <row r="6630" spans="1:15" x14ac:dyDescent="0.25">
      <c r="A6630" t="s">
        <v>16</v>
      </c>
      <c r="B6630" t="s">
        <v>3221</v>
      </c>
      <c r="C6630">
        <v>6169</v>
      </c>
      <c r="D6630" t="s">
        <v>1021</v>
      </c>
      <c r="E6630" t="s">
        <v>1022</v>
      </c>
      <c r="F6630">
        <v>68.31</v>
      </c>
      <c r="G6630">
        <v>230502</v>
      </c>
      <c r="H6630">
        <v>4590</v>
      </c>
      <c r="I6630" t="s">
        <v>203</v>
      </c>
      <c r="J6630">
        <v>84.71</v>
      </c>
      <c r="K6630">
        <v>16.399999999999999</v>
      </c>
      <c r="L6630">
        <v>17952</v>
      </c>
      <c r="M6630" t="s">
        <v>88</v>
      </c>
      <c r="N6630" t="str">
        <f>"66 / 2086156"</f>
        <v>66 / 2086156</v>
      </c>
      <c r="O6630">
        <v>230508</v>
      </c>
    </row>
    <row r="6631" spans="1:15" x14ac:dyDescent="0.25">
      <c r="A6631" t="s">
        <v>16</v>
      </c>
      <c r="B6631" t="s">
        <v>3221</v>
      </c>
      <c r="C6631">
        <v>6929</v>
      </c>
      <c r="D6631" t="s">
        <v>1021</v>
      </c>
      <c r="E6631" t="s">
        <v>1022</v>
      </c>
      <c r="F6631">
        <v>362.04</v>
      </c>
      <c r="G6631">
        <v>230517</v>
      </c>
      <c r="H6631">
        <v>4590</v>
      </c>
      <c r="I6631" t="s">
        <v>203</v>
      </c>
      <c r="J6631">
        <v>448.93</v>
      </c>
      <c r="K6631">
        <v>86.89</v>
      </c>
      <c r="L6631">
        <v>17952</v>
      </c>
      <c r="M6631" t="s">
        <v>88</v>
      </c>
      <c r="N6631" t="str">
        <f>"42 / 2095255"</f>
        <v>42 / 2095255</v>
      </c>
      <c r="O6631">
        <v>230523</v>
      </c>
    </row>
    <row r="6632" spans="1:15" x14ac:dyDescent="0.25">
      <c r="A6632" t="s">
        <v>16</v>
      </c>
      <c r="B6632" t="s">
        <v>3221</v>
      </c>
      <c r="C6632">
        <v>7613</v>
      </c>
      <c r="D6632" t="s">
        <v>1021</v>
      </c>
      <c r="E6632" t="s">
        <v>1022</v>
      </c>
      <c r="F6632">
        <v>511.46</v>
      </c>
      <c r="G6632">
        <v>230530</v>
      </c>
      <c r="H6632">
        <v>4590</v>
      </c>
      <c r="I6632" t="s">
        <v>203</v>
      </c>
      <c r="J6632">
        <v>634.21</v>
      </c>
      <c r="K6632">
        <v>122.75</v>
      </c>
      <c r="L6632">
        <v>17952</v>
      </c>
      <c r="M6632" t="s">
        <v>88</v>
      </c>
      <c r="N6632" t="str">
        <f>"20 / 2105000"</f>
        <v>20 / 2105000</v>
      </c>
      <c r="O6632">
        <v>230601</v>
      </c>
    </row>
    <row r="6633" spans="1:15" x14ac:dyDescent="0.25">
      <c r="A6633" t="s">
        <v>16</v>
      </c>
      <c r="B6633" t="s">
        <v>3221</v>
      </c>
      <c r="C6633">
        <v>8796</v>
      </c>
      <c r="D6633" t="s">
        <v>1021</v>
      </c>
      <c r="E6633" t="s">
        <v>1022</v>
      </c>
      <c r="F6633">
        <v>79.23</v>
      </c>
      <c r="G6633">
        <v>230613</v>
      </c>
      <c r="H6633">
        <v>4590</v>
      </c>
      <c r="I6633" t="s">
        <v>203</v>
      </c>
      <c r="J6633">
        <v>98.25</v>
      </c>
      <c r="K6633">
        <v>19.02</v>
      </c>
      <c r="L6633">
        <v>17538</v>
      </c>
      <c r="M6633" t="s">
        <v>24</v>
      </c>
      <c r="N6633" t="str">
        <f>"09 / 2121576"</f>
        <v>09 / 2121576</v>
      </c>
      <c r="O6633">
        <v>230615</v>
      </c>
    </row>
    <row r="6634" spans="1:15" x14ac:dyDescent="0.25">
      <c r="A6634" t="s">
        <v>16</v>
      </c>
      <c r="B6634" t="s">
        <v>3221</v>
      </c>
      <c r="C6634">
        <v>8974</v>
      </c>
      <c r="D6634" t="s">
        <v>1021</v>
      </c>
      <c r="E6634" t="s">
        <v>1022</v>
      </c>
      <c r="F6634">
        <v>6.83</v>
      </c>
      <c r="G6634">
        <v>230613</v>
      </c>
      <c r="H6634">
        <v>4590</v>
      </c>
      <c r="I6634" t="s">
        <v>203</v>
      </c>
      <c r="J6634">
        <v>8.4700000000000006</v>
      </c>
      <c r="K6634">
        <v>1.64</v>
      </c>
      <c r="L6634">
        <v>17737</v>
      </c>
      <c r="M6634" t="s">
        <v>279</v>
      </c>
      <c r="N6634" t="str">
        <f>"69 / 2121536"</f>
        <v>69 / 2121536</v>
      </c>
      <c r="O6634">
        <v>230620</v>
      </c>
    </row>
    <row r="6635" spans="1:15" x14ac:dyDescent="0.25">
      <c r="A6635" t="s">
        <v>16</v>
      </c>
      <c r="B6635" t="s">
        <v>3221</v>
      </c>
      <c r="C6635">
        <v>9230</v>
      </c>
      <c r="D6635" t="s">
        <v>1021</v>
      </c>
      <c r="E6635" t="s">
        <v>1022</v>
      </c>
      <c r="F6635">
        <v>94.68</v>
      </c>
      <c r="G6635">
        <v>230628</v>
      </c>
      <c r="H6635">
        <v>4590</v>
      </c>
      <c r="I6635" t="s">
        <v>203</v>
      </c>
      <c r="J6635">
        <v>117.4</v>
      </c>
      <c r="K6635">
        <v>22.72</v>
      </c>
      <c r="L6635">
        <v>17952</v>
      </c>
      <c r="M6635" t="s">
        <v>88</v>
      </c>
      <c r="N6635" t="str">
        <f>"49 / 2134746"</f>
        <v>49 / 2134746</v>
      </c>
      <c r="O6635">
        <v>230630</v>
      </c>
    </row>
    <row r="6636" spans="1:15" x14ac:dyDescent="0.25">
      <c r="A6636" t="s">
        <v>16</v>
      </c>
      <c r="B6636" t="s">
        <v>3221</v>
      </c>
      <c r="C6636">
        <v>9230</v>
      </c>
      <c r="D6636" t="s">
        <v>1021</v>
      </c>
      <c r="E6636" t="s">
        <v>1022</v>
      </c>
      <c r="F6636">
        <v>446.57</v>
      </c>
      <c r="G6636">
        <v>230628</v>
      </c>
      <c r="H6636">
        <v>4590</v>
      </c>
      <c r="I6636" t="s">
        <v>203</v>
      </c>
      <c r="J6636">
        <v>553.75</v>
      </c>
      <c r="K6636">
        <v>107.18</v>
      </c>
      <c r="L6636">
        <v>17952</v>
      </c>
      <c r="M6636" t="s">
        <v>88</v>
      </c>
      <c r="N6636" t="str">
        <f>"49 / 2134746"</f>
        <v>49 / 2134746</v>
      </c>
      <c r="O6636">
        <v>230630</v>
      </c>
    </row>
    <row r="6637" spans="1:15" x14ac:dyDescent="0.25">
      <c r="A6637" t="s">
        <v>16</v>
      </c>
      <c r="B6637" t="s">
        <v>3221</v>
      </c>
      <c r="C6637">
        <v>9751</v>
      </c>
      <c r="D6637" t="s">
        <v>1021</v>
      </c>
      <c r="E6637" t="s">
        <v>1022</v>
      </c>
      <c r="F6637">
        <v>75.349999999999994</v>
      </c>
      <c r="G6637">
        <v>230712</v>
      </c>
      <c r="H6637">
        <v>4590</v>
      </c>
      <c r="I6637" t="s">
        <v>203</v>
      </c>
      <c r="J6637">
        <v>93.44</v>
      </c>
      <c r="K6637">
        <v>18.09</v>
      </c>
      <c r="L6637">
        <v>17952</v>
      </c>
      <c r="M6637" t="s">
        <v>88</v>
      </c>
      <c r="N6637" t="str">
        <f>"08 / 2151743"</f>
        <v>08 / 2151743</v>
      </c>
      <c r="O6637">
        <v>230724</v>
      </c>
    </row>
    <row r="6638" spans="1:15" x14ac:dyDescent="0.25">
      <c r="A6638" t="s">
        <v>16</v>
      </c>
      <c r="B6638" t="s">
        <v>3221</v>
      </c>
      <c r="C6638">
        <v>10077</v>
      </c>
      <c r="D6638" t="s">
        <v>1021</v>
      </c>
      <c r="E6638" t="s">
        <v>1022</v>
      </c>
      <c r="F6638">
        <v>158.06</v>
      </c>
      <c r="G6638">
        <v>230801</v>
      </c>
      <c r="H6638">
        <v>4590</v>
      </c>
      <c r="I6638" t="s">
        <v>203</v>
      </c>
      <c r="J6638">
        <v>196</v>
      </c>
      <c r="K6638">
        <v>37.94</v>
      </c>
      <c r="L6638">
        <v>17952</v>
      </c>
      <c r="M6638" t="s">
        <v>88</v>
      </c>
      <c r="N6638" t="str">
        <f>"95 / 2168346"</f>
        <v>95 / 2168346</v>
      </c>
      <c r="O6638">
        <v>230808</v>
      </c>
    </row>
    <row r="6639" spans="1:15" x14ac:dyDescent="0.25">
      <c r="A6639" t="s">
        <v>16</v>
      </c>
      <c r="B6639" t="s">
        <v>3221</v>
      </c>
      <c r="C6639">
        <v>11582</v>
      </c>
      <c r="D6639" t="s">
        <v>1021</v>
      </c>
      <c r="E6639" t="s">
        <v>1022</v>
      </c>
      <c r="F6639">
        <v>218.95</v>
      </c>
      <c r="G6639">
        <v>230901</v>
      </c>
      <c r="H6639">
        <v>4590</v>
      </c>
      <c r="I6639" t="s">
        <v>203</v>
      </c>
      <c r="J6639">
        <v>271.5</v>
      </c>
      <c r="K6639">
        <v>52.55</v>
      </c>
      <c r="L6639">
        <v>17950</v>
      </c>
      <c r="M6639" t="s">
        <v>86</v>
      </c>
      <c r="N6639" t="str">
        <f>"49 / 2198792"</f>
        <v>49 / 2198792</v>
      </c>
      <c r="O6639">
        <v>230907</v>
      </c>
    </row>
    <row r="6640" spans="1:15" x14ac:dyDescent="0.25">
      <c r="A6640" t="s">
        <v>16</v>
      </c>
      <c r="B6640" t="s">
        <v>3221</v>
      </c>
      <c r="C6640">
        <v>14137</v>
      </c>
      <c r="D6640" t="s">
        <v>1021</v>
      </c>
      <c r="E6640" t="s">
        <v>1022</v>
      </c>
      <c r="F6640">
        <v>3.74</v>
      </c>
      <c r="G6640">
        <v>231017</v>
      </c>
      <c r="H6640">
        <v>4590</v>
      </c>
      <c r="I6640" t="s">
        <v>203</v>
      </c>
      <c r="J6640">
        <v>4.6399999999999997</v>
      </c>
      <c r="K6640">
        <v>0.9</v>
      </c>
      <c r="L6640">
        <v>17950</v>
      </c>
      <c r="M6640" t="s">
        <v>86</v>
      </c>
      <c r="N6640" t="str">
        <f>"35 / 2245305"</f>
        <v>35 / 2245305</v>
      </c>
      <c r="O6640">
        <v>231019</v>
      </c>
    </row>
    <row r="6641" spans="1:15" x14ac:dyDescent="0.25">
      <c r="A6641" t="s">
        <v>16</v>
      </c>
      <c r="B6641" t="s">
        <v>3221</v>
      </c>
      <c r="C6641">
        <v>14476</v>
      </c>
      <c r="D6641" t="s">
        <v>1021</v>
      </c>
      <c r="E6641" t="s">
        <v>1022</v>
      </c>
      <c r="F6641">
        <v>88.06</v>
      </c>
      <c r="G6641">
        <v>231017</v>
      </c>
      <c r="H6641">
        <v>4590</v>
      </c>
      <c r="I6641" t="s">
        <v>203</v>
      </c>
      <c r="J6641">
        <v>109.2</v>
      </c>
      <c r="K6641">
        <v>21.14</v>
      </c>
      <c r="L6641">
        <v>17952</v>
      </c>
      <c r="M6641" t="s">
        <v>88</v>
      </c>
      <c r="N6641" t="str">
        <f>"37 / 2245307"</f>
        <v>37 / 2245307</v>
      </c>
      <c r="O6641">
        <v>231030</v>
      </c>
    </row>
    <row r="6642" spans="1:15" x14ac:dyDescent="0.25">
      <c r="A6642" t="s">
        <v>16</v>
      </c>
      <c r="B6642" t="s">
        <v>3221</v>
      </c>
      <c r="C6642">
        <v>15247</v>
      </c>
      <c r="D6642" t="s">
        <v>1021</v>
      </c>
      <c r="E6642" t="s">
        <v>1022</v>
      </c>
      <c r="F6642">
        <v>8.06</v>
      </c>
      <c r="G6642">
        <v>231103</v>
      </c>
      <c r="H6642">
        <v>4590</v>
      </c>
      <c r="I6642" t="s">
        <v>203</v>
      </c>
      <c r="J6642">
        <v>10</v>
      </c>
      <c r="K6642">
        <v>1.94</v>
      </c>
      <c r="L6642">
        <v>17952</v>
      </c>
      <c r="M6642" t="s">
        <v>88</v>
      </c>
      <c r="N6642" t="str">
        <f>"74 / 2267505"</f>
        <v>74 / 2267505</v>
      </c>
      <c r="O6642">
        <v>231109</v>
      </c>
    </row>
    <row r="6643" spans="1:15" x14ac:dyDescent="0.25">
      <c r="A6643" t="s">
        <v>16</v>
      </c>
      <c r="B6643" t="s">
        <v>3221</v>
      </c>
      <c r="C6643">
        <v>19118</v>
      </c>
      <c r="D6643" t="s">
        <v>1021</v>
      </c>
      <c r="E6643" t="s">
        <v>1022</v>
      </c>
      <c r="F6643">
        <v>27.9</v>
      </c>
      <c r="G6643">
        <v>240104</v>
      </c>
      <c r="H6643">
        <v>4500</v>
      </c>
      <c r="I6643" t="s">
        <v>212</v>
      </c>
      <c r="J6643">
        <v>34.6</v>
      </c>
      <c r="K6643">
        <v>6.7</v>
      </c>
      <c r="L6643">
        <v>17526</v>
      </c>
      <c r="M6643" t="s">
        <v>437</v>
      </c>
      <c r="N6643" t="str">
        <f>"95 / 2337206"</f>
        <v>95 / 2337206</v>
      </c>
      <c r="O6643">
        <v>240110</v>
      </c>
    </row>
    <row r="6644" spans="1:15" x14ac:dyDescent="0.25">
      <c r="A6644" t="s">
        <v>16</v>
      </c>
      <c r="B6644" t="s">
        <v>3221</v>
      </c>
      <c r="C6644">
        <v>9230</v>
      </c>
      <c r="D6644" t="s">
        <v>1021</v>
      </c>
      <c r="E6644" t="s">
        <v>1022</v>
      </c>
      <c r="F6644">
        <v>2.86</v>
      </c>
      <c r="G6644">
        <v>230628</v>
      </c>
      <c r="H6644">
        <v>4347</v>
      </c>
      <c r="I6644" t="s">
        <v>193</v>
      </c>
      <c r="J6644">
        <v>3.55</v>
      </c>
      <c r="K6644">
        <v>0.69</v>
      </c>
      <c r="L6644">
        <v>17972</v>
      </c>
      <c r="M6644" t="s">
        <v>248</v>
      </c>
      <c r="N6644" t="str">
        <f>"49 / 2134746"</f>
        <v>49 / 2134746</v>
      </c>
      <c r="O6644">
        <v>230630</v>
      </c>
    </row>
    <row r="6645" spans="1:15" x14ac:dyDescent="0.25">
      <c r="A6645" t="s">
        <v>16</v>
      </c>
      <c r="B6645" t="s">
        <v>3221</v>
      </c>
      <c r="C6645">
        <v>6168</v>
      </c>
      <c r="D6645" t="s">
        <v>1021</v>
      </c>
      <c r="E6645" t="s">
        <v>1022</v>
      </c>
      <c r="F6645">
        <v>48.15</v>
      </c>
      <c r="G6645">
        <v>230502</v>
      </c>
      <c r="H6645">
        <v>4530</v>
      </c>
      <c r="I6645" t="s">
        <v>342</v>
      </c>
      <c r="J6645">
        <v>59.7</v>
      </c>
      <c r="K6645">
        <v>11.55</v>
      </c>
      <c r="L6645">
        <v>17521</v>
      </c>
      <c r="M6645" t="s">
        <v>133</v>
      </c>
      <c r="N6645" t="str">
        <f>"63 / 2086153"</f>
        <v>63 / 2086153</v>
      </c>
      <c r="O6645">
        <v>230508</v>
      </c>
    </row>
    <row r="6646" spans="1:15" x14ac:dyDescent="0.25">
      <c r="A6646" t="s">
        <v>16</v>
      </c>
      <c r="B6646" t="s">
        <v>3221</v>
      </c>
      <c r="C6646">
        <v>9197</v>
      </c>
      <c r="D6646" t="s">
        <v>3636</v>
      </c>
      <c r="E6646" t="s">
        <v>2277</v>
      </c>
      <c r="F6646">
        <v>14.52</v>
      </c>
      <c r="G6646">
        <v>230627</v>
      </c>
      <c r="H6646">
        <v>4500</v>
      </c>
      <c r="I6646" t="s">
        <v>212</v>
      </c>
      <c r="J6646">
        <v>18</v>
      </c>
      <c r="K6646">
        <v>3.48</v>
      </c>
      <c r="L6646">
        <v>47522</v>
      </c>
      <c r="M6646" t="s">
        <v>410</v>
      </c>
      <c r="N6646" t="str">
        <f>"33558       "</f>
        <v xml:space="preserve">33558       </v>
      </c>
      <c r="O6646">
        <v>230629</v>
      </c>
    </row>
    <row r="6647" spans="1:15" x14ac:dyDescent="0.25">
      <c r="A6647" t="s">
        <v>16</v>
      </c>
      <c r="B6647" t="s">
        <v>3221</v>
      </c>
      <c r="C6647">
        <v>15574</v>
      </c>
      <c r="D6647" t="s">
        <v>2882</v>
      </c>
      <c r="E6647" t="s">
        <v>2883</v>
      </c>
      <c r="F6647">
        <v>688.32</v>
      </c>
      <c r="G6647">
        <v>231102</v>
      </c>
      <c r="H6647">
        <v>4600</v>
      </c>
      <c r="I6647" t="s">
        <v>105</v>
      </c>
      <c r="J6647">
        <v>853.52</v>
      </c>
      <c r="K6647">
        <v>165.2</v>
      </c>
      <c r="L6647">
        <v>49501</v>
      </c>
      <c r="M6647" t="s">
        <v>177</v>
      </c>
      <c r="N6647" t="str">
        <f>"108570      "</f>
        <v xml:space="preserve">108570      </v>
      </c>
      <c r="O6647">
        <v>231114</v>
      </c>
    </row>
    <row r="6648" spans="1:15" x14ac:dyDescent="0.25">
      <c r="A6648" t="s">
        <v>16</v>
      </c>
      <c r="B6648" t="s">
        <v>3221</v>
      </c>
      <c r="C6648">
        <v>7820</v>
      </c>
      <c r="D6648" t="s">
        <v>2128</v>
      </c>
      <c r="E6648" t="s">
        <v>2129</v>
      </c>
      <c r="F6648">
        <v>7</v>
      </c>
      <c r="G6648">
        <v>230526</v>
      </c>
      <c r="H6648">
        <v>4410</v>
      </c>
      <c r="I6648" t="s">
        <v>517</v>
      </c>
      <c r="J6648">
        <v>7</v>
      </c>
      <c r="K6648">
        <v>0</v>
      </c>
      <c r="L6648">
        <v>18122</v>
      </c>
      <c r="M6648" t="s">
        <v>407</v>
      </c>
      <c r="N6648" t="str">
        <f>"232         "</f>
        <v xml:space="preserve">232         </v>
      </c>
      <c r="O6648">
        <v>230605</v>
      </c>
    </row>
    <row r="6649" spans="1:15" x14ac:dyDescent="0.25">
      <c r="A6649" t="s">
        <v>16</v>
      </c>
      <c r="B6649" t="s">
        <v>3221</v>
      </c>
      <c r="C6649">
        <v>7820</v>
      </c>
      <c r="D6649" t="s">
        <v>2128</v>
      </c>
      <c r="E6649" t="s">
        <v>2129</v>
      </c>
      <c r="F6649">
        <v>43.86</v>
      </c>
      <c r="G6649">
        <v>230526</v>
      </c>
      <c r="H6649">
        <v>4410</v>
      </c>
      <c r="I6649" t="s">
        <v>517</v>
      </c>
      <c r="J6649">
        <v>50</v>
      </c>
      <c r="K6649">
        <v>6.14</v>
      </c>
      <c r="L6649">
        <v>18122</v>
      </c>
      <c r="M6649" t="s">
        <v>407</v>
      </c>
      <c r="N6649" t="str">
        <f>"232         "</f>
        <v xml:space="preserve">232         </v>
      </c>
      <c r="O6649">
        <v>230605</v>
      </c>
    </row>
    <row r="6650" spans="1:15" x14ac:dyDescent="0.25">
      <c r="A6650" t="s">
        <v>16</v>
      </c>
      <c r="B6650" t="s">
        <v>3221</v>
      </c>
      <c r="C6650">
        <v>7820</v>
      </c>
      <c r="D6650" t="s">
        <v>2128</v>
      </c>
      <c r="E6650" t="s">
        <v>2129</v>
      </c>
      <c r="F6650">
        <v>100</v>
      </c>
      <c r="G6650">
        <v>230526</v>
      </c>
      <c r="H6650">
        <v>4410</v>
      </c>
      <c r="I6650" t="s">
        <v>517</v>
      </c>
      <c r="J6650">
        <v>110</v>
      </c>
      <c r="K6650">
        <v>10</v>
      </c>
      <c r="L6650">
        <v>18122</v>
      </c>
      <c r="M6650" t="s">
        <v>407</v>
      </c>
      <c r="N6650" t="str">
        <f>"232         "</f>
        <v xml:space="preserve">232         </v>
      </c>
      <c r="O6650">
        <v>230605</v>
      </c>
    </row>
    <row r="6651" spans="1:15" x14ac:dyDescent="0.25">
      <c r="A6651" t="s">
        <v>16</v>
      </c>
      <c r="B6651" t="s">
        <v>3221</v>
      </c>
      <c r="C6651">
        <v>16650</v>
      </c>
      <c r="D6651" t="s">
        <v>3000</v>
      </c>
      <c r="E6651" t="s">
        <v>3001</v>
      </c>
      <c r="F6651">
        <v>842.74</v>
      </c>
      <c r="G6651">
        <v>231201</v>
      </c>
      <c r="H6651">
        <v>4390</v>
      </c>
      <c r="I6651" t="s">
        <v>98</v>
      </c>
      <c r="J6651">
        <v>1045</v>
      </c>
      <c r="K6651">
        <v>202.26</v>
      </c>
      <c r="L6651">
        <v>17950</v>
      </c>
      <c r="M6651" t="s">
        <v>86</v>
      </c>
      <c r="N6651" t="str">
        <f>"1107        "</f>
        <v xml:space="preserve">1107        </v>
      </c>
      <c r="O6651">
        <v>231205</v>
      </c>
    </row>
    <row r="6652" spans="1:15" x14ac:dyDescent="0.25">
      <c r="A6652" t="s">
        <v>16</v>
      </c>
      <c r="B6652" t="s">
        <v>3221</v>
      </c>
      <c r="C6652">
        <v>14159</v>
      </c>
      <c r="D6652" t="s">
        <v>2744</v>
      </c>
      <c r="E6652" t="s">
        <v>2745</v>
      </c>
      <c r="F6652">
        <v>636.69000000000005</v>
      </c>
      <c r="G6652">
        <v>231009</v>
      </c>
      <c r="H6652">
        <v>4410</v>
      </c>
      <c r="I6652" t="s">
        <v>517</v>
      </c>
      <c r="J6652">
        <v>789.5</v>
      </c>
      <c r="K6652">
        <v>152.81</v>
      </c>
      <c r="L6652">
        <v>11605</v>
      </c>
      <c r="M6652" t="s">
        <v>106</v>
      </c>
      <c r="N6652" t="str">
        <f>"6023100004  "</f>
        <v xml:space="preserve">6023100004  </v>
      </c>
      <c r="O6652">
        <v>231023</v>
      </c>
    </row>
    <row r="6653" spans="1:15" x14ac:dyDescent="0.25">
      <c r="A6653" t="s">
        <v>16</v>
      </c>
      <c r="B6653" t="s">
        <v>3221</v>
      </c>
      <c r="C6653">
        <v>14159</v>
      </c>
      <c r="D6653" t="s">
        <v>2744</v>
      </c>
      <c r="E6653" t="s">
        <v>2745</v>
      </c>
      <c r="F6653">
        <v>814.91</v>
      </c>
      <c r="G6653">
        <v>231009</v>
      </c>
      <c r="H6653">
        <v>4410</v>
      </c>
      <c r="I6653" t="s">
        <v>517</v>
      </c>
      <c r="J6653">
        <v>929</v>
      </c>
      <c r="K6653">
        <v>114.09</v>
      </c>
      <c r="L6653">
        <v>11605</v>
      </c>
      <c r="M6653" t="s">
        <v>106</v>
      </c>
      <c r="N6653" t="str">
        <f>"6023100004  "</f>
        <v xml:space="preserve">6023100004  </v>
      </c>
      <c r="O6653">
        <v>231023</v>
      </c>
    </row>
    <row r="6654" spans="1:15" x14ac:dyDescent="0.25">
      <c r="A6654" t="s">
        <v>16</v>
      </c>
      <c r="B6654" t="s">
        <v>3221</v>
      </c>
      <c r="C6654">
        <v>9018</v>
      </c>
      <c r="D6654" t="s">
        <v>2237</v>
      </c>
      <c r="E6654" t="s">
        <v>2238</v>
      </c>
      <c r="F6654">
        <v>69</v>
      </c>
      <c r="G6654">
        <v>230620</v>
      </c>
      <c r="H6654">
        <v>4420</v>
      </c>
      <c r="I6654" t="s">
        <v>132</v>
      </c>
      <c r="J6654">
        <v>85.56</v>
      </c>
      <c r="K6654">
        <v>16.559999999999999</v>
      </c>
      <c r="L6654">
        <v>17737</v>
      </c>
      <c r="M6654" t="s">
        <v>279</v>
      </c>
      <c r="N6654" t="str">
        <f>"15014       "</f>
        <v xml:space="preserve">15014       </v>
      </c>
      <c r="O6654">
        <v>230621</v>
      </c>
    </row>
    <row r="6655" spans="1:15" x14ac:dyDescent="0.25">
      <c r="A6655" t="s">
        <v>16</v>
      </c>
      <c r="B6655" t="s">
        <v>3221</v>
      </c>
      <c r="C6655">
        <v>9018</v>
      </c>
      <c r="D6655" t="s">
        <v>2237</v>
      </c>
      <c r="E6655" t="s">
        <v>2238</v>
      </c>
      <c r="F6655">
        <v>4997.75</v>
      </c>
      <c r="G6655">
        <v>230620</v>
      </c>
      <c r="H6655">
        <v>4552</v>
      </c>
      <c r="I6655" t="s">
        <v>338</v>
      </c>
      <c r="J6655">
        <v>6197.21</v>
      </c>
      <c r="K6655">
        <v>1199.46</v>
      </c>
      <c r="L6655">
        <v>17737</v>
      </c>
      <c r="M6655" t="s">
        <v>279</v>
      </c>
      <c r="N6655" t="str">
        <f>"15014       "</f>
        <v xml:space="preserve">15014       </v>
      </c>
      <c r="O6655">
        <v>230621</v>
      </c>
    </row>
    <row r="6656" spans="1:15" x14ac:dyDescent="0.25">
      <c r="A6656" t="s">
        <v>16</v>
      </c>
      <c r="B6656" t="s">
        <v>3221</v>
      </c>
      <c r="C6656">
        <v>16196</v>
      </c>
      <c r="D6656" t="s">
        <v>2941</v>
      </c>
      <c r="E6656" t="s">
        <v>2942</v>
      </c>
      <c r="F6656">
        <v>800</v>
      </c>
      <c r="G6656">
        <v>231118</v>
      </c>
      <c r="H6656">
        <v>4470</v>
      </c>
      <c r="I6656" t="s">
        <v>83</v>
      </c>
      <c r="J6656">
        <v>800</v>
      </c>
      <c r="K6656">
        <v>0</v>
      </c>
      <c r="L6656">
        <v>49702</v>
      </c>
      <c r="M6656" t="s">
        <v>584</v>
      </c>
      <c r="N6656" t="str">
        <f>"20-2023     "</f>
        <v xml:space="preserve">20-2023     </v>
      </c>
      <c r="O6656">
        <v>231127</v>
      </c>
    </row>
    <row r="6657" spans="1:15" x14ac:dyDescent="0.25">
      <c r="A6657" t="s">
        <v>16</v>
      </c>
      <c r="B6657" t="s">
        <v>3221</v>
      </c>
      <c r="C6657">
        <v>6375</v>
      </c>
      <c r="D6657" t="s">
        <v>1958</v>
      </c>
      <c r="E6657" t="s">
        <v>1959</v>
      </c>
      <c r="F6657">
        <v>98.55</v>
      </c>
      <c r="G6657">
        <v>230506</v>
      </c>
      <c r="H6657">
        <v>4600</v>
      </c>
      <c r="I6657" t="s">
        <v>105</v>
      </c>
      <c r="J6657">
        <v>122.2</v>
      </c>
      <c r="K6657">
        <v>23.65</v>
      </c>
      <c r="L6657">
        <v>17536</v>
      </c>
      <c r="M6657" t="s">
        <v>734</v>
      </c>
      <c r="N6657" t="str">
        <f>"921101001808"</f>
        <v>921101001808</v>
      </c>
      <c r="O6657">
        <v>230510</v>
      </c>
    </row>
    <row r="6658" spans="1:15" x14ac:dyDescent="0.25">
      <c r="A6658" t="s">
        <v>16</v>
      </c>
      <c r="B6658" t="s">
        <v>3221</v>
      </c>
      <c r="C6658">
        <v>15534</v>
      </c>
      <c r="D6658" t="s">
        <v>1958</v>
      </c>
      <c r="E6658" t="s">
        <v>1959</v>
      </c>
      <c r="F6658">
        <v>208.47</v>
      </c>
      <c r="G6658">
        <v>231107</v>
      </c>
      <c r="H6658">
        <v>4530</v>
      </c>
      <c r="I6658" t="s">
        <v>342</v>
      </c>
      <c r="J6658">
        <v>258.5</v>
      </c>
      <c r="K6658">
        <v>50.03</v>
      </c>
      <c r="L6658">
        <v>69111</v>
      </c>
      <c r="M6658" t="s">
        <v>471</v>
      </c>
      <c r="N6658" t="str">
        <f>"947101000474"</f>
        <v>947101000474</v>
      </c>
      <c r="O6658">
        <v>231113</v>
      </c>
    </row>
    <row r="6659" spans="1:15" x14ac:dyDescent="0.25">
      <c r="A6659" t="s">
        <v>16</v>
      </c>
      <c r="B6659" t="s">
        <v>3221</v>
      </c>
      <c r="C6659">
        <v>17544</v>
      </c>
      <c r="D6659" t="s">
        <v>3071</v>
      </c>
      <c r="E6659" t="s">
        <v>3072</v>
      </c>
      <c r="F6659">
        <v>1854.84</v>
      </c>
      <c r="G6659">
        <v>231212</v>
      </c>
      <c r="H6659">
        <v>1198</v>
      </c>
      <c r="I6659" t="s">
        <v>1128</v>
      </c>
      <c r="J6659">
        <v>2300</v>
      </c>
      <c r="K6659">
        <v>445.16</v>
      </c>
      <c r="L6659">
        <v>96511</v>
      </c>
      <c r="M6659" t="s">
        <v>2452</v>
      </c>
      <c r="N6659" t="str">
        <f>"5502426     "</f>
        <v xml:space="preserve">5502426     </v>
      </c>
      <c r="O6659">
        <v>231215</v>
      </c>
    </row>
    <row r="6660" spans="1:15" x14ac:dyDescent="0.25">
      <c r="A6660" t="s">
        <v>16</v>
      </c>
      <c r="B6660" t="s">
        <v>3221</v>
      </c>
      <c r="C6660">
        <v>3714</v>
      </c>
      <c r="D6660" t="s">
        <v>3637</v>
      </c>
      <c r="E6660" t="s">
        <v>3255</v>
      </c>
      <c r="F6660">
        <v>21.58</v>
      </c>
      <c r="G6660">
        <v>230317</v>
      </c>
      <c r="H6660">
        <v>4410</v>
      </c>
      <c r="I6660" t="s">
        <v>517</v>
      </c>
      <c r="J6660">
        <v>24.6</v>
      </c>
      <c r="K6660">
        <v>3.02</v>
      </c>
      <c r="L6660">
        <v>48601</v>
      </c>
      <c r="M6660" t="s">
        <v>1047</v>
      </c>
      <c r="N6660" t="str">
        <f>"203246      "</f>
        <v xml:space="preserve">203246      </v>
      </c>
      <c r="O6660">
        <v>230321</v>
      </c>
    </row>
    <row r="6661" spans="1:15" x14ac:dyDescent="0.25">
      <c r="A6661" t="s">
        <v>16</v>
      </c>
      <c r="B6661" t="s">
        <v>3221</v>
      </c>
      <c r="C6661">
        <v>9387</v>
      </c>
      <c r="D6661" t="s">
        <v>1766</v>
      </c>
      <c r="E6661" t="s">
        <v>1767</v>
      </c>
      <c r="F6661">
        <v>313.39999999999998</v>
      </c>
      <c r="G6661">
        <v>230702</v>
      </c>
      <c r="H6661">
        <v>4400</v>
      </c>
      <c r="I6661" t="s">
        <v>348</v>
      </c>
      <c r="J6661">
        <v>388.62</v>
      </c>
      <c r="K6661">
        <v>75.22</v>
      </c>
      <c r="L6661">
        <v>69501</v>
      </c>
      <c r="M6661" t="s">
        <v>185</v>
      </c>
      <c r="N6661" t="str">
        <f>"202         "</f>
        <v xml:space="preserve">202         </v>
      </c>
      <c r="O6661">
        <v>230710</v>
      </c>
    </row>
    <row r="6662" spans="1:15" x14ac:dyDescent="0.25">
      <c r="A6662" t="s">
        <v>16</v>
      </c>
      <c r="B6662" t="s">
        <v>3221</v>
      </c>
      <c r="C6662">
        <v>14431</v>
      </c>
      <c r="D6662" t="s">
        <v>1766</v>
      </c>
      <c r="E6662" t="s">
        <v>1767</v>
      </c>
      <c r="F6662">
        <v>940.24</v>
      </c>
      <c r="G6662">
        <v>231023</v>
      </c>
      <c r="H6662">
        <v>4400</v>
      </c>
      <c r="I6662" t="s">
        <v>348</v>
      </c>
      <c r="J6662">
        <v>1165.9000000000001</v>
      </c>
      <c r="K6662">
        <v>225.66</v>
      </c>
      <c r="L6662">
        <v>65422</v>
      </c>
      <c r="M6662" t="s">
        <v>602</v>
      </c>
      <c r="N6662" t="str">
        <f>"233         "</f>
        <v xml:space="preserve">233         </v>
      </c>
      <c r="O6662">
        <v>231030</v>
      </c>
    </row>
    <row r="6663" spans="1:15" x14ac:dyDescent="0.25">
      <c r="A6663" t="s">
        <v>16</v>
      </c>
      <c r="B6663" t="s">
        <v>3221</v>
      </c>
      <c r="C6663">
        <v>14434</v>
      </c>
      <c r="D6663" t="s">
        <v>1766</v>
      </c>
      <c r="E6663" t="s">
        <v>1767</v>
      </c>
      <c r="F6663">
        <v>212.25</v>
      </c>
      <c r="G6663">
        <v>231023</v>
      </c>
      <c r="H6663">
        <v>4400</v>
      </c>
      <c r="I6663" t="s">
        <v>348</v>
      </c>
      <c r="J6663">
        <v>263.19</v>
      </c>
      <c r="K6663">
        <v>50.94</v>
      </c>
      <c r="L6663">
        <v>69501</v>
      </c>
      <c r="M6663" t="s">
        <v>185</v>
      </c>
      <c r="N6663" t="str">
        <f>"232         "</f>
        <v xml:space="preserve">232         </v>
      </c>
      <c r="O6663">
        <v>231030</v>
      </c>
    </row>
    <row r="6664" spans="1:15" x14ac:dyDescent="0.25">
      <c r="A6664" t="s">
        <v>16</v>
      </c>
      <c r="B6664" t="s">
        <v>3221</v>
      </c>
      <c r="C6664">
        <v>15156</v>
      </c>
      <c r="D6664" t="s">
        <v>1766</v>
      </c>
      <c r="E6664" t="s">
        <v>1767</v>
      </c>
      <c r="F6664">
        <v>271.17</v>
      </c>
      <c r="G6664">
        <v>231107</v>
      </c>
      <c r="H6664">
        <v>4400</v>
      </c>
      <c r="I6664" t="s">
        <v>348</v>
      </c>
      <c r="J6664">
        <v>336.25</v>
      </c>
      <c r="K6664">
        <v>65.08</v>
      </c>
      <c r="L6664">
        <v>69501</v>
      </c>
      <c r="M6664" t="s">
        <v>185</v>
      </c>
      <c r="N6664" t="str">
        <f>"242         "</f>
        <v xml:space="preserve">242         </v>
      </c>
      <c r="O6664">
        <v>231109</v>
      </c>
    </row>
    <row r="6665" spans="1:15" x14ac:dyDescent="0.25">
      <c r="A6665" t="s">
        <v>16</v>
      </c>
      <c r="B6665" t="s">
        <v>3221</v>
      </c>
      <c r="C6665">
        <v>4895</v>
      </c>
      <c r="D6665" t="s">
        <v>1766</v>
      </c>
      <c r="E6665" t="s">
        <v>1767</v>
      </c>
      <c r="F6665">
        <v>1484.1</v>
      </c>
      <c r="G6665">
        <v>230412</v>
      </c>
      <c r="H6665">
        <v>4390</v>
      </c>
      <c r="I6665" t="s">
        <v>98</v>
      </c>
      <c r="J6665">
        <v>1484.1</v>
      </c>
      <c r="K6665">
        <v>0</v>
      </c>
      <c r="L6665">
        <v>69501</v>
      </c>
      <c r="M6665" t="s">
        <v>185</v>
      </c>
      <c r="N6665" t="str">
        <f>"188         "</f>
        <v xml:space="preserve">188         </v>
      </c>
      <c r="O6665">
        <v>230414</v>
      </c>
    </row>
    <row r="6666" spans="1:15" x14ac:dyDescent="0.25">
      <c r="A6666" t="s">
        <v>16</v>
      </c>
      <c r="B6666" t="s">
        <v>3221</v>
      </c>
      <c r="C6666">
        <v>4945</v>
      </c>
      <c r="D6666" t="s">
        <v>1766</v>
      </c>
      <c r="E6666" t="s">
        <v>1767</v>
      </c>
      <c r="F6666">
        <v>2275.13</v>
      </c>
      <c r="G6666">
        <v>230412</v>
      </c>
      <c r="H6666">
        <v>4390</v>
      </c>
      <c r="I6666" t="s">
        <v>98</v>
      </c>
      <c r="J6666">
        <v>2275.13</v>
      </c>
      <c r="K6666">
        <v>0</v>
      </c>
      <c r="L6666">
        <v>69501</v>
      </c>
      <c r="M6666" t="s">
        <v>185</v>
      </c>
      <c r="N6666" t="str">
        <f>"187         "</f>
        <v xml:space="preserve">187         </v>
      </c>
      <c r="O6666">
        <v>230414</v>
      </c>
    </row>
    <row r="6667" spans="1:15" x14ac:dyDescent="0.25">
      <c r="A6667" t="s">
        <v>16</v>
      </c>
      <c r="B6667" t="s">
        <v>3221</v>
      </c>
      <c r="C6667">
        <v>15831</v>
      </c>
      <c r="D6667" t="s">
        <v>1766</v>
      </c>
      <c r="E6667" t="s">
        <v>1767</v>
      </c>
      <c r="F6667">
        <v>1847.27</v>
      </c>
      <c r="G6667">
        <v>231109</v>
      </c>
      <c r="H6667">
        <v>4390</v>
      </c>
      <c r="I6667" t="s">
        <v>98</v>
      </c>
      <c r="J6667">
        <v>1847.27</v>
      </c>
      <c r="K6667">
        <v>0</v>
      </c>
      <c r="L6667">
        <v>69501</v>
      </c>
      <c r="M6667" t="s">
        <v>185</v>
      </c>
      <c r="N6667" t="str">
        <f>"252         "</f>
        <v xml:space="preserve">252         </v>
      </c>
      <c r="O6667">
        <v>231120</v>
      </c>
    </row>
    <row r="6668" spans="1:15" x14ac:dyDescent="0.25">
      <c r="A6668" t="s">
        <v>16</v>
      </c>
      <c r="B6668" t="s">
        <v>3221</v>
      </c>
      <c r="C6668">
        <v>2697</v>
      </c>
      <c r="D6668" t="s">
        <v>1462</v>
      </c>
      <c r="E6668" t="s">
        <v>1463</v>
      </c>
      <c r="F6668">
        <v>19.5</v>
      </c>
      <c r="G6668">
        <v>230224</v>
      </c>
      <c r="H6668">
        <v>1198</v>
      </c>
      <c r="I6668" t="s">
        <v>1128</v>
      </c>
      <c r="J6668">
        <v>19.5</v>
      </c>
      <c r="K6668">
        <v>0</v>
      </c>
      <c r="L6668">
        <v>95511</v>
      </c>
      <c r="M6668" t="s">
        <v>1129</v>
      </c>
      <c r="N6668" t="str">
        <f>"500115064   "</f>
        <v xml:space="preserve">500115064   </v>
      </c>
      <c r="O6668">
        <v>230307</v>
      </c>
    </row>
    <row r="6669" spans="1:15" x14ac:dyDescent="0.25">
      <c r="A6669" t="s">
        <v>16</v>
      </c>
      <c r="B6669" t="s">
        <v>3221</v>
      </c>
      <c r="C6669">
        <v>2697</v>
      </c>
      <c r="D6669" t="s">
        <v>1462</v>
      </c>
      <c r="E6669" t="s">
        <v>1463</v>
      </c>
      <c r="F6669">
        <v>37426.22</v>
      </c>
      <c r="G6669">
        <v>230224</v>
      </c>
      <c r="H6669">
        <v>1198</v>
      </c>
      <c r="I6669" t="s">
        <v>1128</v>
      </c>
      <c r="J6669">
        <v>46408.51</v>
      </c>
      <c r="K6669">
        <v>8982.2900000000009</v>
      </c>
      <c r="L6669">
        <v>95511</v>
      </c>
      <c r="M6669" t="s">
        <v>1129</v>
      </c>
      <c r="N6669" t="str">
        <f>"500115064   "</f>
        <v xml:space="preserve">500115064   </v>
      </c>
      <c r="O6669">
        <v>230307</v>
      </c>
    </row>
    <row r="6670" spans="1:15" x14ac:dyDescent="0.25">
      <c r="A6670" t="s">
        <v>16</v>
      </c>
      <c r="B6670" t="s">
        <v>3221</v>
      </c>
      <c r="C6670">
        <v>18826</v>
      </c>
      <c r="D6670" t="s">
        <v>1462</v>
      </c>
      <c r="E6670" t="s">
        <v>1463</v>
      </c>
      <c r="F6670">
        <v>11522.35</v>
      </c>
      <c r="G6670">
        <v>231228</v>
      </c>
      <c r="H6670">
        <v>1198</v>
      </c>
      <c r="I6670" t="s">
        <v>1128</v>
      </c>
      <c r="J6670">
        <v>14287.72</v>
      </c>
      <c r="K6670">
        <v>2765.37</v>
      </c>
      <c r="L6670">
        <v>95511</v>
      </c>
      <c r="M6670" t="s">
        <v>1129</v>
      </c>
      <c r="N6670" t="str">
        <f>"41245194    "</f>
        <v xml:space="preserve">41245194    </v>
      </c>
      <c r="O6670">
        <v>240108</v>
      </c>
    </row>
    <row r="6671" spans="1:15" x14ac:dyDescent="0.25">
      <c r="A6671" t="s">
        <v>16</v>
      </c>
      <c r="B6671" t="s">
        <v>3221</v>
      </c>
      <c r="C6671">
        <v>13703</v>
      </c>
      <c r="D6671" t="s">
        <v>1462</v>
      </c>
      <c r="E6671" t="s">
        <v>1463</v>
      </c>
      <c r="F6671">
        <v>161.29</v>
      </c>
      <c r="G6671">
        <v>231006</v>
      </c>
      <c r="H6671">
        <v>4400</v>
      </c>
      <c r="I6671" t="s">
        <v>348</v>
      </c>
      <c r="J6671">
        <v>200</v>
      </c>
      <c r="K6671">
        <v>38.71</v>
      </c>
      <c r="L6671">
        <v>56559</v>
      </c>
      <c r="M6671" t="s">
        <v>129</v>
      </c>
      <c r="N6671" t="str">
        <f>"41179306    "</f>
        <v xml:space="preserve">41179306    </v>
      </c>
      <c r="O6671">
        <v>231012</v>
      </c>
    </row>
    <row r="6672" spans="1:15" x14ac:dyDescent="0.25">
      <c r="A6672" t="s">
        <v>16</v>
      </c>
      <c r="B6672" t="s">
        <v>3221</v>
      </c>
      <c r="C6672">
        <v>112</v>
      </c>
      <c r="D6672" t="s">
        <v>151</v>
      </c>
      <c r="E6672" t="s">
        <v>152</v>
      </c>
      <c r="F6672">
        <v>156.19999999999999</v>
      </c>
      <c r="G6672">
        <v>230103</v>
      </c>
      <c r="H6672">
        <v>4600</v>
      </c>
      <c r="I6672" t="s">
        <v>105</v>
      </c>
      <c r="J6672">
        <v>193.69</v>
      </c>
      <c r="K6672">
        <v>37.49</v>
      </c>
      <c r="L6672">
        <v>56528</v>
      </c>
      <c r="M6672" t="s">
        <v>153</v>
      </c>
      <c r="N6672" t="str">
        <f>"786189      "</f>
        <v xml:space="preserve">786189      </v>
      </c>
      <c r="O6672">
        <v>230111</v>
      </c>
    </row>
    <row r="6673" spans="1:15" x14ac:dyDescent="0.25">
      <c r="A6673" t="s">
        <v>16</v>
      </c>
      <c r="B6673" t="s">
        <v>3221</v>
      </c>
      <c r="C6673">
        <v>17667</v>
      </c>
      <c r="D6673" t="s">
        <v>151</v>
      </c>
      <c r="E6673" t="s">
        <v>152</v>
      </c>
      <c r="F6673">
        <v>425.14</v>
      </c>
      <c r="G6673">
        <v>231205</v>
      </c>
      <c r="H6673">
        <v>4590</v>
      </c>
      <c r="I6673" t="s">
        <v>203</v>
      </c>
      <c r="J6673">
        <v>527.16999999999996</v>
      </c>
      <c r="K6673">
        <v>102.03</v>
      </c>
      <c r="L6673">
        <v>17522</v>
      </c>
      <c r="M6673" t="s">
        <v>451</v>
      </c>
      <c r="N6673" t="str">
        <f>"1009287     "</f>
        <v xml:space="preserve">1009287     </v>
      </c>
      <c r="O6673">
        <v>231219</v>
      </c>
    </row>
    <row r="6674" spans="1:15" x14ac:dyDescent="0.25">
      <c r="A6674" t="s">
        <v>16</v>
      </c>
      <c r="B6674" t="s">
        <v>3221</v>
      </c>
      <c r="C6674">
        <v>2122</v>
      </c>
      <c r="D6674" t="s">
        <v>3638</v>
      </c>
      <c r="E6674" t="s">
        <v>1299</v>
      </c>
      <c r="F6674">
        <v>125</v>
      </c>
      <c r="G6674">
        <v>230214</v>
      </c>
      <c r="H6674">
        <v>4441</v>
      </c>
      <c r="I6674" t="s">
        <v>109</v>
      </c>
      <c r="J6674">
        <v>125</v>
      </c>
      <c r="K6674">
        <v>0</v>
      </c>
      <c r="L6674">
        <v>11901</v>
      </c>
      <c r="M6674" t="s">
        <v>36</v>
      </c>
      <c r="N6674" t="str">
        <f>"14661       "</f>
        <v xml:space="preserve">14661       </v>
      </c>
      <c r="O6674">
        <v>230221</v>
      </c>
    </row>
    <row r="6675" spans="1:15" x14ac:dyDescent="0.25">
      <c r="A6675" t="s">
        <v>16</v>
      </c>
      <c r="B6675" t="s">
        <v>3221</v>
      </c>
      <c r="C6675">
        <v>2122</v>
      </c>
      <c r="D6675" t="s">
        <v>3638</v>
      </c>
      <c r="E6675" t="s">
        <v>1299</v>
      </c>
      <c r="F6675">
        <v>55</v>
      </c>
      <c r="G6675">
        <v>230214</v>
      </c>
      <c r="H6675">
        <v>4441</v>
      </c>
      <c r="I6675" t="s">
        <v>109</v>
      </c>
      <c r="J6675">
        <v>55</v>
      </c>
      <c r="K6675">
        <v>0</v>
      </c>
      <c r="L6675">
        <v>11905</v>
      </c>
      <c r="M6675" t="s">
        <v>39</v>
      </c>
      <c r="N6675" t="str">
        <f>"14661       "</f>
        <v xml:space="preserve">14661       </v>
      </c>
      <c r="O6675">
        <v>230221</v>
      </c>
    </row>
    <row r="6676" spans="1:15" x14ac:dyDescent="0.25">
      <c r="A6676" t="s">
        <v>16</v>
      </c>
      <c r="B6676" t="s">
        <v>3221</v>
      </c>
      <c r="C6676">
        <v>632</v>
      </c>
      <c r="D6676" t="s">
        <v>648</v>
      </c>
      <c r="E6676" t="s">
        <v>649</v>
      </c>
      <c r="F6676">
        <v>320.89999999999998</v>
      </c>
      <c r="G6676">
        <v>230118</v>
      </c>
      <c r="H6676">
        <v>4590</v>
      </c>
      <c r="I6676" t="s">
        <v>203</v>
      </c>
      <c r="J6676">
        <v>397.92</v>
      </c>
      <c r="K6676">
        <v>77.02</v>
      </c>
      <c r="L6676">
        <v>69111</v>
      </c>
      <c r="M6676" t="s">
        <v>471</v>
      </c>
      <c r="N6676" t="str">
        <f>"39509       "</f>
        <v xml:space="preserve">39509       </v>
      </c>
      <c r="O6676">
        <v>230125</v>
      </c>
    </row>
    <row r="6677" spans="1:15" x14ac:dyDescent="0.25">
      <c r="A6677" t="s">
        <v>16</v>
      </c>
      <c r="B6677" t="s">
        <v>3221</v>
      </c>
      <c r="C6677">
        <v>632</v>
      </c>
      <c r="D6677" t="s">
        <v>648</v>
      </c>
      <c r="E6677" t="s">
        <v>649</v>
      </c>
      <c r="F6677">
        <v>2872.24</v>
      </c>
      <c r="G6677">
        <v>230118</v>
      </c>
      <c r="H6677">
        <v>4590</v>
      </c>
      <c r="I6677" t="s">
        <v>203</v>
      </c>
      <c r="J6677">
        <v>3561.58</v>
      </c>
      <c r="K6677">
        <v>689.34</v>
      </c>
      <c r="L6677">
        <v>69501</v>
      </c>
      <c r="M6677" t="s">
        <v>185</v>
      </c>
      <c r="N6677" t="str">
        <f>"39509       "</f>
        <v xml:space="preserve">39509       </v>
      </c>
      <c r="O6677">
        <v>230125</v>
      </c>
    </row>
    <row r="6678" spans="1:15" x14ac:dyDescent="0.25">
      <c r="A6678" t="s">
        <v>16</v>
      </c>
      <c r="B6678" t="s">
        <v>3221</v>
      </c>
      <c r="C6678">
        <v>8440</v>
      </c>
      <c r="D6678" t="s">
        <v>1362</v>
      </c>
      <c r="E6678" t="s">
        <v>1363</v>
      </c>
      <c r="F6678">
        <v>15424</v>
      </c>
      <c r="G6678">
        <v>230530</v>
      </c>
      <c r="H6678">
        <v>1198</v>
      </c>
      <c r="I6678" t="s">
        <v>1128</v>
      </c>
      <c r="J6678">
        <v>19125.759999999998</v>
      </c>
      <c r="K6678">
        <v>3701.76</v>
      </c>
      <c r="L6678">
        <v>95511</v>
      </c>
      <c r="M6678" t="s">
        <v>1129</v>
      </c>
      <c r="N6678" t="str">
        <f>"0916040137  "</f>
        <v xml:space="preserve">0916040137  </v>
      </c>
      <c r="O6678">
        <v>230608</v>
      </c>
    </row>
    <row r="6679" spans="1:15" x14ac:dyDescent="0.25">
      <c r="A6679" t="s">
        <v>16</v>
      </c>
      <c r="B6679" t="s">
        <v>3221</v>
      </c>
      <c r="C6679">
        <v>10692</v>
      </c>
      <c r="D6679" t="s">
        <v>1362</v>
      </c>
      <c r="E6679" t="s">
        <v>1363</v>
      </c>
      <c r="F6679">
        <v>1845</v>
      </c>
      <c r="G6679">
        <v>230804</v>
      </c>
      <c r="H6679">
        <v>1198</v>
      </c>
      <c r="I6679" t="s">
        <v>1128</v>
      </c>
      <c r="J6679">
        <v>2287.8000000000002</v>
      </c>
      <c r="K6679">
        <v>442.8</v>
      </c>
      <c r="L6679">
        <v>95511</v>
      </c>
      <c r="M6679" t="s">
        <v>1129</v>
      </c>
      <c r="N6679" t="str">
        <f>"0916179525  "</f>
        <v xml:space="preserve">0916179525  </v>
      </c>
      <c r="O6679">
        <v>230822</v>
      </c>
    </row>
    <row r="6680" spans="1:15" x14ac:dyDescent="0.25">
      <c r="A6680" t="s">
        <v>16</v>
      </c>
      <c r="B6680" t="s">
        <v>3221</v>
      </c>
      <c r="C6680">
        <v>2327</v>
      </c>
      <c r="D6680" t="s">
        <v>1362</v>
      </c>
      <c r="E6680" t="s">
        <v>1363</v>
      </c>
      <c r="F6680">
        <v>405.2</v>
      </c>
      <c r="G6680">
        <v>230214</v>
      </c>
      <c r="H6680">
        <v>4400</v>
      </c>
      <c r="I6680" t="s">
        <v>348</v>
      </c>
      <c r="J6680">
        <v>502.45</v>
      </c>
      <c r="K6680">
        <v>97.25</v>
      </c>
      <c r="L6680">
        <v>17525</v>
      </c>
      <c r="M6680" t="s">
        <v>135</v>
      </c>
      <c r="N6680" t="str">
        <f>"0915821649  "</f>
        <v xml:space="preserve">0915821649  </v>
      </c>
      <c r="O6680">
        <v>230224</v>
      </c>
    </row>
    <row r="6681" spans="1:15" x14ac:dyDescent="0.25">
      <c r="A6681" t="s">
        <v>16</v>
      </c>
      <c r="B6681" t="s">
        <v>3221</v>
      </c>
      <c r="C6681">
        <v>2327</v>
      </c>
      <c r="D6681" t="s">
        <v>1362</v>
      </c>
      <c r="E6681" t="s">
        <v>1363</v>
      </c>
      <c r="F6681">
        <v>405.2</v>
      </c>
      <c r="G6681">
        <v>230214</v>
      </c>
      <c r="H6681">
        <v>4400</v>
      </c>
      <c r="I6681" t="s">
        <v>348</v>
      </c>
      <c r="J6681">
        <v>502.45</v>
      </c>
      <c r="K6681">
        <v>97.25</v>
      </c>
      <c r="L6681">
        <v>17529</v>
      </c>
      <c r="M6681" t="s">
        <v>453</v>
      </c>
      <c r="N6681" t="str">
        <f>"0915821649  "</f>
        <v xml:space="preserve">0915821649  </v>
      </c>
      <c r="O6681">
        <v>230224</v>
      </c>
    </row>
    <row r="6682" spans="1:15" x14ac:dyDescent="0.25">
      <c r="A6682" t="s">
        <v>16</v>
      </c>
      <c r="B6682" t="s">
        <v>3221</v>
      </c>
      <c r="C6682">
        <v>10127</v>
      </c>
      <c r="D6682" t="s">
        <v>1362</v>
      </c>
      <c r="E6682" t="s">
        <v>1363</v>
      </c>
      <c r="F6682">
        <v>2282.1999999999998</v>
      </c>
      <c r="G6682">
        <v>230727</v>
      </c>
      <c r="H6682">
        <v>4400</v>
      </c>
      <c r="I6682" t="s">
        <v>348</v>
      </c>
      <c r="J6682">
        <v>2829.93</v>
      </c>
      <c r="K6682">
        <v>547.73</v>
      </c>
      <c r="L6682">
        <v>59501</v>
      </c>
      <c r="M6682" t="s">
        <v>69</v>
      </c>
      <c r="N6682" t="str">
        <f>"0916161005  "</f>
        <v xml:space="preserve">0916161005  </v>
      </c>
      <c r="O6682">
        <v>230808</v>
      </c>
    </row>
    <row r="6683" spans="1:15" x14ac:dyDescent="0.25">
      <c r="A6683" t="s">
        <v>16</v>
      </c>
      <c r="B6683" t="s">
        <v>3221</v>
      </c>
      <c r="C6683">
        <v>15707</v>
      </c>
      <c r="D6683" t="s">
        <v>1362</v>
      </c>
      <c r="E6683" t="s">
        <v>1363</v>
      </c>
      <c r="F6683">
        <v>342</v>
      </c>
      <c r="G6683">
        <v>231107</v>
      </c>
      <c r="H6683">
        <v>4400</v>
      </c>
      <c r="I6683" t="s">
        <v>348</v>
      </c>
      <c r="J6683">
        <v>424.08</v>
      </c>
      <c r="K6683">
        <v>82.08</v>
      </c>
      <c r="L6683">
        <v>59501</v>
      </c>
      <c r="M6683" t="s">
        <v>69</v>
      </c>
      <c r="N6683" t="str">
        <f>"0916375427  "</f>
        <v xml:space="preserve">0916375427  </v>
      </c>
      <c r="O6683">
        <v>231116</v>
      </c>
    </row>
    <row r="6684" spans="1:15" x14ac:dyDescent="0.25">
      <c r="A6684" t="s">
        <v>16</v>
      </c>
      <c r="B6684" t="s">
        <v>3221</v>
      </c>
      <c r="C6684">
        <v>1152</v>
      </c>
      <c r="D6684" t="s">
        <v>921</v>
      </c>
      <c r="E6684" t="s">
        <v>922</v>
      </c>
      <c r="F6684">
        <v>192.32</v>
      </c>
      <c r="G6684">
        <v>230130</v>
      </c>
      <c r="H6684">
        <v>4600</v>
      </c>
      <c r="I6684" t="s">
        <v>105</v>
      </c>
      <c r="J6684">
        <v>238.48</v>
      </c>
      <c r="K6684">
        <v>46.16</v>
      </c>
      <c r="L6684">
        <v>54252</v>
      </c>
      <c r="M6684" t="s">
        <v>534</v>
      </c>
      <c r="N6684" t="str">
        <f>"42          "</f>
        <v xml:space="preserve">42          </v>
      </c>
      <c r="O6684">
        <v>230206</v>
      </c>
    </row>
    <row r="6685" spans="1:15" x14ac:dyDescent="0.25">
      <c r="A6685" t="s">
        <v>16</v>
      </c>
      <c r="B6685" t="s">
        <v>3221</v>
      </c>
      <c r="C6685">
        <v>3197</v>
      </c>
      <c r="D6685" t="s">
        <v>1524</v>
      </c>
      <c r="E6685" t="s">
        <v>1525</v>
      </c>
      <c r="F6685">
        <v>298.35000000000002</v>
      </c>
      <c r="G6685">
        <v>230228</v>
      </c>
      <c r="H6685">
        <v>4520</v>
      </c>
      <c r="I6685" t="s">
        <v>254</v>
      </c>
      <c r="J6685">
        <v>340.12</v>
      </c>
      <c r="K6685">
        <v>41.77</v>
      </c>
      <c r="L6685">
        <v>14432</v>
      </c>
      <c r="M6685" t="s">
        <v>862</v>
      </c>
      <c r="N6685" t="str">
        <f>"8959        "</f>
        <v xml:space="preserve">8959        </v>
      </c>
      <c r="O6685">
        <v>230310</v>
      </c>
    </row>
    <row r="6686" spans="1:15" x14ac:dyDescent="0.25">
      <c r="A6686" t="s">
        <v>16</v>
      </c>
      <c r="B6686" t="s">
        <v>3221</v>
      </c>
      <c r="C6686">
        <v>6638</v>
      </c>
      <c r="D6686" t="s">
        <v>1524</v>
      </c>
      <c r="E6686" t="s">
        <v>1525</v>
      </c>
      <c r="F6686">
        <v>3.99</v>
      </c>
      <c r="G6686">
        <v>230430</v>
      </c>
      <c r="H6686">
        <v>4520</v>
      </c>
      <c r="I6686" t="s">
        <v>254</v>
      </c>
      <c r="J6686">
        <v>4.95</v>
      </c>
      <c r="K6686">
        <v>0.96</v>
      </c>
      <c r="L6686">
        <v>14431</v>
      </c>
      <c r="M6686" t="s">
        <v>861</v>
      </c>
      <c r="N6686" t="str">
        <f>"9084        "</f>
        <v xml:space="preserve">9084        </v>
      </c>
      <c r="O6686">
        <v>230516</v>
      </c>
    </row>
    <row r="6687" spans="1:15" x14ac:dyDescent="0.25">
      <c r="A6687" t="s">
        <v>16</v>
      </c>
      <c r="B6687" t="s">
        <v>3221</v>
      </c>
      <c r="C6687">
        <v>6638</v>
      </c>
      <c r="D6687" t="s">
        <v>1524</v>
      </c>
      <c r="E6687" t="s">
        <v>1525</v>
      </c>
      <c r="F6687">
        <v>69.45</v>
      </c>
      <c r="G6687">
        <v>230430</v>
      </c>
      <c r="H6687">
        <v>4520</v>
      </c>
      <c r="I6687" t="s">
        <v>254</v>
      </c>
      <c r="J6687">
        <v>79.17</v>
      </c>
      <c r="K6687">
        <v>9.7200000000000006</v>
      </c>
      <c r="L6687">
        <v>14431</v>
      </c>
      <c r="M6687" t="s">
        <v>861</v>
      </c>
      <c r="N6687" t="str">
        <f>"9084        "</f>
        <v xml:space="preserve">9084        </v>
      </c>
      <c r="O6687">
        <v>230516</v>
      </c>
    </row>
    <row r="6688" spans="1:15" x14ac:dyDescent="0.25">
      <c r="A6688" t="s">
        <v>16</v>
      </c>
      <c r="B6688" t="s">
        <v>3221</v>
      </c>
      <c r="C6688">
        <v>9122</v>
      </c>
      <c r="D6688" t="s">
        <v>1524</v>
      </c>
      <c r="E6688" t="s">
        <v>1525</v>
      </c>
      <c r="F6688">
        <v>4.95</v>
      </c>
      <c r="G6688">
        <v>230531</v>
      </c>
      <c r="H6688">
        <v>4520</v>
      </c>
      <c r="I6688" t="s">
        <v>254</v>
      </c>
      <c r="J6688">
        <v>6.14</v>
      </c>
      <c r="K6688">
        <v>1.19</v>
      </c>
      <c r="L6688">
        <v>14431</v>
      </c>
      <c r="M6688" t="s">
        <v>861</v>
      </c>
      <c r="N6688" t="str">
        <f>"9180        "</f>
        <v xml:space="preserve">9180        </v>
      </c>
      <c r="O6688">
        <v>230628</v>
      </c>
    </row>
    <row r="6689" spans="1:15" x14ac:dyDescent="0.25">
      <c r="A6689" t="s">
        <v>16</v>
      </c>
      <c r="B6689" t="s">
        <v>3221</v>
      </c>
      <c r="C6689">
        <v>9122</v>
      </c>
      <c r="D6689" t="s">
        <v>1524</v>
      </c>
      <c r="E6689" t="s">
        <v>1525</v>
      </c>
      <c r="F6689">
        <v>328.82</v>
      </c>
      <c r="G6689">
        <v>230531</v>
      </c>
      <c r="H6689">
        <v>4520</v>
      </c>
      <c r="I6689" t="s">
        <v>254</v>
      </c>
      <c r="J6689">
        <v>374.85</v>
      </c>
      <c r="K6689">
        <v>46.03</v>
      </c>
      <c r="L6689">
        <v>14431</v>
      </c>
      <c r="M6689" t="s">
        <v>861</v>
      </c>
      <c r="N6689" t="str">
        <f>"9180        "</f>
        <v xml:space="preserve">9180        </v>
      </c>
      <c r="O6689">
        <v>230628</v>
      </c>
    </row>
    <row r="6690" spans="1:15" x14ac:dyDescent="0.25">
      <c r="A6690" t="s">
        <v>16</v>
      </c>
      <c r="B6690" t="s">
        <v>3221</v>
      </c>
      <c r="C6690">
        <v>14170</v>
      </c>
      <c r="D6690" t="s">
        <v>1524</v>
      </c>
      <c r="E6690" t="s">
        <v>1525</v>
      </c>
      <c r="F6690">
        <v>4.95</v>
      </c>
      <c r="G6690">
        <v>230930</v>
      </c>
      <c r="H6690">
        <v>4520</v>
      </c>
      <c r="I6690" t="s">
        <v>254</v>
      </c>
      <c r="J6690">
        <v>6.14</v>
      </c>
      <c r="K6690">
        <v>1.19</v>
      </c>
      <c r="L6690">
        <v>14431</v>
      </c>
      <c r="M6690" t="s">
        <v>861</v>
      </c>
      <c r="N6690" t="str">
        <f>"9494        "</f>
        <v xml:space="preserve">9494        </v>
      </c>
      <c r="O6690">
        <v>231023</v>
      </c>
    </row>
    <row r="6691" spans="1:15" x14ac:dyDescent="0.25">
      <c r="A6691" t="s">
        <v>16</v>
      </c>
      <c r="B6691" t="s">
        <v>3221</v>
      </c>
      <c r="C6691">
        <v>14170</v>
      </c>
      <c r="D6691" t="s">
        <v>1524</v>
      </c>
      <c r="E6691" t="s">
        <v>1525</v>
      </c>
      <c r="F6691">
        <v>42.25</v>
      </c>
      <c r="G6691">
        <v>230930</v>
      </c>
      <c r="H6691">
        <v>4520</v>
      </c>
      <c r="I6691" t="s">
        <v>254</v>
      </c>
      <c r="J6691">
        <v>48.16</v>
      </c>
      <c r="K6691">
        <v>5.91</v>
      </c>
      <c r="L6691">
        <v>14431</v>
      </c>
      <c r="M6691" t="s">
        <v>861</v>
      </c>
      <c r="N6691" t="str">
        <f>"9494        "</f>
        <v xml:space="preserve">9494        </v>
      </c>
      <c r="O6691">
        <v>231023</v>
      </c>
    </row>
    <row r="6692" spans="1:15" x14ac:dyDescent="0.25">
      <c r="A6692" t="s">
        <v>16</v>
      </c>
      <c r="B6692" t="s">
        <v>3221</v>
      </c>
      <c r="C6692">
        <v>3197</v>
      </c>
      <c r="D6692" t="s">
        <v>1524</v>
      </c>
      <c r="E6692" t="s">
        <v>1525</v>
      </c>
      <c r="F6692">
        <v>3.99</v>
      </c>
      <c r="G6692">
        <v>230228</v>
      </c>
      <c r="H6692">
        <v>4364</v>
      </c>
      <c r="I6692" t="s">
        <v>296</v>
      </c>
      <c r="J6692">
        <v>4.95</v>
      </c>
      <c r="K6692">
        <v>0.96</v>
      </c>
      <c r="L6692">
        <v>14432</v>
      </c>
      <c r="M6692" t="s">
        <v>862</v>
      </c>
      <c r="N6692" t="str">
        <f>"8959        "</f>
        <v xml:space="preserve">8959        </v>
      </c>
      <c r="O6692">
        <v>230310</v>
      </c>
    </row>
    <row r="6693" spans="1:15" x14ac:dyDescent="0.25">
      <c r="A6693" t="s">
        <v>16</v>
      </c>
      <c r="B6693" t="s">
        <v>3221</v>
      </c>
      <c r="C6693">
        <v>9362</v>
      </c>
      <c r="D6693" t="s">
        <v>2289</v>
      </c>
      <c r="E6693" t="s">
        <v>2290</v>
      </c>
      <c r="F6693">
        <v>175.45</v>
      </c>
      <c r="G6693">
        <v>230628</v>
      </c>
      <c r="H6693">
        <v>4520</v>
      </c>
      <c r="I6693" t="s">
        <v>254</v>
      </c>
      <c r="J6693">
        <v>200.01</v>
      </c>
      <c r="K6693">
        <v>24.56</v>
      </c>
      <c r="L6693">
        <v>54451</v>
      </c>
      <c r="M6693" t="s">
        <v>158</v>
      </c>
      <c r="N6693" t="str">
        <f>"243         "</f>
        <v xml:space="preserve">243         </v>
      </c>
      <c r="O6693">
        <v>230710</v>
      </c>
    </row>
    <row r="6694" spans="1:15" x14ac:dyDescent="0.25">
      <c r="A6694" t="s">
        <v>16</v>
      </c>
      <c r="B6694" t="s">
        <v>3221</v>
      </c>
      <c r="C6694">
        <v>14833</v>
      </c>
      <c r="D6694" t="s">
        <v>2804</v>
      </c>
      <c r="E6694" t="s">
        <v>2805</v>
      </c>
      <c r="F6694">
        <v>270.7</v>
      </c>
      <c r="G6694">
        <v>231030</v>
      </c>
      <c r="H6694">
        <v>4520</v>
      </c>
      <c r="I6694" t="s">
        <v>254</v>
      </c>
      <c r="J6694">
        <v>308.60000000000002</v>
      </c>
      <c r="K6694">
        <v>37.9</v>
      </c>
      <c r="L6694">
        <v>54451</v>
      </c>
      <c r="M6694" t="s">
        <v>158</v>
      </c>
      <c r="N6694" t="str">
        <f>"201701      "</f>
        <v xml:space="preserve">201701      </v>
      </c>
      <c r="O6694">
        <v>231106</v>
      </c>
    </row>
    <row r="6695" spans="1:15" x14ac:dyDescent="0.25">
      <c r="A6695" t="s">
        <v>16</v>
      </c>
      <c r="B6695" t="s">
        <v>3221</v>
      </c>
      <c r="C6695">
        <v>14873</v>
      </c>
      <c r="D6695" t="s">
        <v>2804</v>
      </c>
      <c r="E6695" t="s">
        <v>2805</v>
      </c>
      <c r="F6695">
        <v>145.01</v>
      </c>
      <c r="G6695">
        <v>231031</v>
      </c>
      <c r="H6695">
        <v>4520</v>
      </c>
      <c r="I6695" t="s">
        <v>254</v>
      </c>
      <c r="J6695">
        <v>165.31</v>
      </c>
      <c r="K6695">
        <v>20.3</v>
      </c>
      <c r="L6695">
        <v>54451</v>
      </c>
      <c r="M6695" t="s">
        <v>158</v>
      </c>
      <c r="N6695" t="str">
        <f>"201808      "</f>
        <v xml:space="preserve">201808      </v>
      </c>
      <c r="O6695">
        <v>231107</v>
      </c>
    </row>
    <row r="6696" spans="1:15" x14ac:dyDescent="0.25">
      <c r="A6696" t="s">
        <v>16</v>
      </c>
      <c r="B6696" t="s">
        <v>3221</v>
      </c>
      <c r="C6696">
        <v>4370</v>
      </c>
      <c r="D6696" t="s">
        <v>1702</v>
      </c>
      <c r="E6696" t="s">
        <v>1703</v>
      </c>
      <c r="F6696">
        <v>337.26</v>
      </c>
      <c r="G6696">
        <v>230331</v>
      </c>
      <c r="H6696">
        <v>4350</v>
      </c>
      <c r="I6696" t="s">
        <v>546</v>
      </c>
      <c r="J6696">
        <v>418.2</v>
      </c>
      <c r="K6696">
        <v>80.94</v>
      </c>
      <c r="L6696">
        <v>49702</v>
      </c>
      <c r="M6696" t="s">
        <v>584</v>
      </c>
      <c r="N6696" t="str">
        <f>"15076837    "</f>
        <v xml:space="preserve">15076837    </v>
      </c>
      <c r="O6696">
        <v>230405</v>
      </c>
    </row>
    <row r="6697" spans="1:15" x14ac:dyDescent="0.25">
      <c r="A6697" t="s">
        <v>16</v>
      </c>
      <c r="B6697" t="s">
        <v>3221</v>
      </c>
      <c r="C6697">
        <v>15583</v>
      </c>
      <c r="D6697" t="s">
        <v>1702</v>
      </c>
      <c r="E6697" t="s">
        <v>1703</v>
      </c>
      <c r="F6697">
        <v>338.8</v>
      </c>
      <c r="G6697">
        <v>231107</v>
      </c>
      <c r="H6697">
        <v>4350</v>
      </c>
      <c r="I6697" t="s">
        <v>546</v>
      </c>
      <c r="J6697">
        <v>420.11</v>
      </c>
      <c r="K6697">
        <v>81.31</v>
      </c>
      <c r="L6697">
        <v>49702</v>
      </c>
      <c r="M6697" t="s">
        <v>584</v>
      </c>
      <c r="N6697" t="str">
        <f>"15095661    "</f>
        <v xml:space="preserve">15095661    </v>
      </c>
      <c r="O6697">
        <v>231114</v>
      </c>
    </row>
    <row r="6698" spans="1:15" x14ac:dyDescent="0.25">
      <c r="A6698" t="s">
        <v>16</v>
      </c>
      <c r="B6698" t="s">
        <v>3221</v>
      </c>
      <c r="C6698">
        <v>13657</v>
      </c>
      <c r="D6698" t="s">
        <v>2697</v>
      </c>
      <c r="E6698" t="s">
        <v>2698</v>
      </c>
      <c r="F6698">
        <v>354.93</v>
      </c>
      <c r="G6698">
        <v>231002</v>
      </c>
      <c r="H6698">
        <v>4600</v>
      </c>
      <c r="I6698" t="s">
        <v>105</v>
      </c>
      <c r="J6698">
        <v>440.11</v>
      </c>
      <c r="K6698">
        <v>85.18</v>
      </c>
      <c r="L6698">
        <v>49702</v>
      </c>
      <c r="M6698" t="s">
        <v>584</v>
      </c>
      <c r="N6698" t="str">
        <f>"1147        "</f>
        <v xml:space="preserve">1147        </v>
      </c>
      <c r="O6698">
        <v>231012</v>
      </c>
    </row>
    <row r="6699" spans="1:15" x14ac:dyDescent="0.25">
      <c r="A6699" t="s">
        <v>16</v>
      </c>
      <c r="B6699" t="s">
        <v>3221</v>
      </c>
      <c r="C6699">
        <v>6309</v>
      </c>
      <c r="D6699" t="s">
        <v>3639</v>
      </c>
      <c r="E6699" t="s">
        <v>1953</v>
      </c>
      <c r="F6699">
        <v>1375</v>
      </c>
      <c r="G6699">
        <v>230508</v>
      </c>
      <c r="H6699">
        <v>4580</v>
      </c>
      <c r="I6699" t="s">
        <v>35</v>
      </c>
      <c r="J6699">
        <v>1705</v>
      </c>
      <c r="K6699">
        <v>330</v>
      </c>
      <c r="L6699">
        <v>17529</v>
      </c>
      <c r="M6699" t="s">
        <v>453</v>
      </c>
      <c r="N6699" t="str">
        <f>"840         "</f>
        <v xml:space="preserve">840         </v>
      </c>
      <c r="O6699">
        <v>230510</v>
      </c>
    </row>
    <row r="6700" spans="1:15" x14ac:dyDescent="0.25">
      <c r="A6700" t="s">
        <v>16</v>
      </c>
      <c r="B6700" t="s">
        <v>3221</v>
      </c>
      <c r="C6700">
        <v>10554</v>
      </c>
      <c r="D6700" t="s">
        <v>3639</v>
      </c>
      <c r="E6700" t="s">
        <v>1953</v>
      </c>
      <c r="F6700">
        <v>490</v>
      </c>
      <c r="G6700">
        <v>230811</v>
      </c>
      <c r="H6700">
        <v>4580</v>
      </c>
      <c r="I6700" t="s">
        <v>35</v>
      </c>
      <c r="J6700">
        <v>607.6</v>
      </c>
      <c r="K6700">
        <v>117.6</v>
      </c>
      <c r="L6700">
        <v>17537</v>
      </c>
      <c r="M6700" t="s">
        <v>455</v>
      </c>
      <c r="N6700" t="str">
        <f>"869         "</f>
        <v xml:space="preserve">869         </v>
      </c>
      <c r="O6700">
        <v>230818</v>
      </c>
    </row>
    <row r="6701" spans="1:15" x14ac:dyDescent="0.25">
      <c r="A6701" t="s">
        <v>16</v>
      </c>
      <c r="B6701" t="s">
        <v>3221</v>
      </c>
      <c r="C6701">
        <v>14219</v>
      </c>
      <c r="D6701" t="s">
        <v>3639</v>
      </c>
      <c r="E6701" t="s">
        <v>1953</v>
      </c>
      <c r="F6701">
        <v>34.1</v>
      </c>
      <c r="G6701">
        <v>231016</v>
      </c>
      <c r="H6701">
        <v>4580</v>
      </c>
      <c r="I6701" t="s">
        <v>35</v>
      </c>
      <c r="J6701">
        <v>42.28</v>
      </c>
      <c r="K6701">
        <v>8.18</v>
      </c>
      <c r="L6701">
        <v>13540</v>
      </c>
      <c r="M6701" t="s">
        <v>85</v>
      </c>
      <c r="N6701" t="str">
        <f>"890         "</f>
        <v xml:space="preserve">890         </v>
      </c>
      <c r="O6701">
        <v>231024</v>
      </c>
    </row>
    <row r="6702" spans="1:15" x14ac:dyDescent="0.25">
      <c r="A6702" t="s">
        <v>16</v>
      </c>
      <c r="B6702" t="s">
        <v>3221</v>
      </c>
      <c r="C6702">
        <v>14219</v>
      </c>
      <c r="D6702" t="s">
        <v>3639</v>
      </c>
      <c r="E6702" t="s">
        <v>1953</v>
      </c>
      <c r="F6702">
        <v>232.5</v>
      </c>
      <c r="G6702">
        <v>231016</v>
      </c>
      <c r="H6702">
        <v>4580</v>
      </c>
      <c r="I6702" t="s">
        <v>35</v>
      </c>
      <c r="J6702">
        <v>288.3</v>
      </c>
      <c r="K6702">
        <v>55.8</v>
      </c>
      <c r="L6702">
        <v>17950</v>
      </c>
      <c r="M6702" t="s">
        <v>86</v>
      </c>
      <c r="N6702" t="str">
        <f>"890         "</f>
        <v xml:space="preserve">890         </v>
      </c>
      <c r="O6702">
        <v>231024</v>
      </c>
    </row>
    <row r="6703" spans="1:15" x14ac:dyDescent="0.25">
      <c r="A6703" t="s">
        <v>16</v>
      </c>
      <c r="B6703" t="s">
        <v>3221</v>
      </c>
      <c r="C6703">
        <v>14219</v>
      </c>
      <c r="D6703" t="s">
        <v>3639</v>
      </c>
      <c r="E6703" t="s">
        <v>1953</v>
      </c>
      <c r="F6703">
        <v>43.4</v>
      </c>
      <c r="G6703">
        <v>231016</v>
      </c>
      <c r="H6703">
        <v>4580</v>
      </c>
      <c r="I6703" t="s">
        <v>35</v>
      </c>
      <c r="J6703">
        <v>53.82</v>
      </c>
      <c r="K6703">
        <v>10.42</v>
      </c>
      <c r="L6703">
        <v>17956</v>
      </c>
      <c r="M6703" t="s">
        <v>53</v>
      </c>
      <c r="N6703" t="str">
        <f>"890         "</f>
        <v xml:space="preserve">890         </v>
      </c>
      <c r="O6703">
        <v>231024</v>
      </c>
    </row>
    <row r="6704" spans="1:15" x14ac:dyDescent="0.25">
      <c r="A6704" t="s">
        <v>16</v>
      </c>
      <c r="B6704" t="s">
        <v>3221</v>
      </c>
      <c r="C6704">
        <v>17879</v>
      </c>
      <c r="D6704" t="s">
        <v>3639</v>
      </c>
      <c r="E6704" t="s">
        <v>1953</v>
      </c>
      <c r="F6704">
        <v>490</v>
      </c>
      <c r="G6704">
        <v>231218</v>
      </c>
      <c r="H6704">
        <v>4580</v>
      </c>
      <c r="I6704" t="s">
        <v>35</v>
      </c>
      <c r="J6704">
        <v>607.6</v>
      </c>
      <c r="K6704">
        <v>117.6</v>
      </c>
      <c r="L6704">
        <v>13281</v>
      </c>
      <c r="M6704" t="s">
        <v>1296</v>
      </c>
      <c r="N6704" t="str">
        <f>"916         "</f>
        <v xml:space="preserve">916         </v>
      </c>
      <c r="O6704">
        <v>231227</v>
      </c>
    </row>
    <row r="6705" spans="1:15" x14ac:dyDescent="0.25">
      <c r="A6705" t="s">
        <v>16</v>
      </c>
      <c r="B6705" t="s">
        <v>3221</v>
      </c>
      <c r="C6705">
        <v>15619</v>
      </c>
      <c r="D6705" t="s">
        <v>2886</v>
      </c>
      <c r="E6705" t="s">
        <v>2887</v>
      </c>
      <c r="F6705">
        <v>107.62</v>
      </c>
      <c r="G6705">
        <v>231110</v>
      </c>
      <c r="H6705">
        <v>4600</v>
      </c>
      <c r="I6705" t="s">
        <v>105</v>
      </c>
      <c r="J6705">
        <v>133.44999999999999</v>
      </c>
      <c r="K6705">
        <v>25.83</v>
      </c>
      <c r="L6705">
        <v>54251</v>
      </c>
      <c r="M6705" t="s">
        <v>309</v>
      </c>
      <c r="N6705" t="str">
        <f>"6023110003  "</f>
        <v xml:space="preserve">6023110003  </v>
      </c>
      <c r="O6705">
        <v>231114</v>
      </c>
    </row>
    <row r="6706" spans="1:15" x14ac:dyDescent="0.25">
      <c r="A6706" t="s">
        <v>16</v>
      </c>
      <c r="B6706" t="s">
        <v>3221</v>
      </c>
      <c r="C6706">
        <v>3586</v>
      </c>
      <c r="D6706" t="s">
        <v>1574</v>
      </c>
      <c r="E6706" t="s">
        <v>1575</v>
      </c>
      <c r="F6706">
        <v>57</v>
      </c>
      <c r="G6706">
        <v>230314</v>
      </c>
      <c r="H6706">
        <v>4580</v>
      </c>
      <c r="I6706" t="s">
        <v>35</v>
      </c>
      <c r="J6706">
        <v>70.680000000000007</v>
      </c>
      <c r="K6706">
        <v>13.68</v>
      </c>
      <c r="L6706">
        <v>44453</v>
      </c>
      <c r="M6706" t="s">
        <v>492</v>
      </c>
      <c r="N6706" t="str">
        <f>"24442       "</f>
        <v xml:space="preserve">24442       </v>
      </c>
      <c r="O6706">
        <v>230317</v>
      </c>
    </row>
    <row r="6707" spans="1:15" x14ac:dyDescent="0.25">
      <c r="A6707" t="s">
        <v>16</v>
      </c>
      <c r="B6707" t="s">
        <v>3221</v>
      </c>
      <c r="C6707">
        <v>6663</v>
      </c>
      <c r="D6707" t="s">
        <v>1574</v>
      </c>
      <c r="E6707" t="s">
        <v>1575</v>
      </c>
      <c r="F6707">
        <v>111</v>
      </c>
      <c r="G6707">
        <v>230504</v>
      </c>
      <c r="H6707">
        <v>4580</v>
      </c>
      <c r="I6707" t="s">
        <v>35</v>
      </c>
      <c r="J6707">
        <v>137.63999999999999</v>
      </c>
      <c r="K6707">
        <v>26.64</v>
      </c>
      <c r="L6707">
        <v>44422</v>
      </c>
      <c r="M6707" t="s">
        <v>482</v>
      </c>
      <c r="N6707" t="str">
        <f>"25089       "</f>
        <v xml:space="preserve">25089       </v>
      </c>
      <c r="O6707">
        <v>230517</v>
      </c>
    </row>
    <row r="6708" spans="1:15" x14ac:dyDescent="0.25">
      <c r="A6708" t="s">
        <v>16</v>
      </c>
      <c r="B6708" t="s">
        <v>3221</v>
      </c>
      <c r="C6708">
        <v>11193</v>
      </c>
      <c r="D6708" t="s">
        <v>2450</v>
      </c>
      <c r="E6708" t="s">
        <v>2451</v>
      </c>
      <c r="F6708">
        <v>262.98</v>
      </c>
      <c r="G6708">
        <v>230830</v>
      </c>
      <c r="H6708">
        <v>1198</v>
      </c>
      <c r="I6708" t="s">
        <v>1128</v>
      </c>
      <c r="J6708">
        <v>326.10000000000002</v>
      </c>
      <c r="K6708">
        <v>63.12</v>
      </c>
      <c r="L6708">
        <v>96511</v>
      </c>
      <c r="M6708" t="s">
        <v>2452</v>
      </c>
      <c r="N6708" t="str">
        <f>"4449        "</f>
        <v xml:space="preserve">4449        </v>
      </c>
      <c r="O6708">
        <v>230831</v>
      </c>
    </row>
    <row r="6709" spans="1:15" x14ac:dyDescent="0.25">
      <c r="A6709" t="s">
        <v>16</v>
      </c>
      <c r="B6709" t="s">
        <v>3221</v>
      </c>
      <c r="C6709">
        <v>17558</v>
      </c>
      <c r="D6709" t="s">
        <v>3580</v>
      </c>
      <c r="E6709" t="s">
        <v>3581</v>
      </c>
      <c r="F6709">
        <v>40</v>
      </c>
      <c r="G6709">
        <v>231213</v>
      </c>
      <c r="H6709">
        <v>4350</v>
      </c>
      <c r="I6709" t="s">
        <v>546</v>
      </c>
      <c r="J6709">
        <v>40</v>
      </c>
      <c r="K6709">
        <v>0</v>
      </c>
      <c r="L6709">
        <v>13801</v>
      </c>
      <c r="M6709" t="s">
        <v>162</v>
      </c>
      <c r="N6709" t="str">
        <f>"6023120011  "</f>
        <v xml:space="preserve">6023120011  </v>
      </c>
      <c r="O6709">
        <v>231215</v>
      </c>
    </row>
    <row r="6710" spans="1:15" x14ac:dyDescent="0.25">
      <c r="A6710" t="s">
        <v>16</v>
      </c>
      <c r="B6710" t="s">
        <v>3221</v>
      </c>
      <c r="C6710">
        <v>2736</v>
      </c>
      <c r="D6710" t="s">
        <v>3640</v>
      </c>
      <c r="E6710" t="s">
        <v>1470</v>
      </c>
      <c r="F6710">
        <v>95.6</v>
      </c>
      <c r="G6710">
        <v>230228</v>
      </c>
      <c r="H6710">
        <v>4380</v>
      </c>
      <c r="I6710" t="s">
        <v>113</v>
      </c>
      <c r="J6710">
        <v>118.54</v>
      </c>
      <c r="K6710">
        <v>22.94</v>
      </c>
      <c r="L6710">
        <v>13841</v>
      </c>
      <c r="M6710" t="s">
        <v>47</v>
      </c>
      <c r="N6710" t="str">
        <f>"5302326     "</f>
        <v xml:space="preserve">5302326     </v>
      </c>
      <c r="O6710">
        <v>230307</v>
      </c>
    </row>
    <row r="6711" spans="1:15" x14ac:dyDescent="0.25">
      <c r="A6711" t="s">
        <v>16</v>
      </c>
      <c r="B6711" t="s">
        <v>3221</v>
      </c>
      <c r="C6711">
        <v>5822</v>
      </c>
      <c r="D6711" t="s">
        <v>3640</v>
      </c>
      <c r="E6711" t="s">
        <v>1470</v>
      </c>
      <c r="F6711">
        <v>100.98</v>
      </c>
      <c r="G6711">
        <v>230428</v>
      </c>
      <c r="H6711">
        <v>4380</v>
      </c>
      <c r="I6711" t="s">
        <v>113</v>
      </c>
      <c r="J6711">
        <v>125.22</v>
      </c>
      <c r="K6711">
        <v>24.24</v>
      </c>
      <c r="L6711">
        <v>13841</v>
      </c>
      <c r="M6711" t="s">
        <v>47</v>
      </c>
      <c r="N6711" t="str">
        <f>"5305225     "</f>
        <v xml:space="preserve">5305225     </v>
      </c>
      <c r="O6711">
        <v>230503</v>
      </c>
    </row>
    <row r="6712" spans="1:15" x14ac:dyDescent="0.25">
      <c r="A6712" t="s">
        <v>16</v>
      </c>
      <c r="B6712" t="s">
        <v>3221</v>
      </c>
      <c r="C6712">
        <v>9542</v>
      </c>
      <c r="D6712" t="s">
        <v>3640</v>
      </c>
      <c r="E6712" t="s">
        <v>1470</v>
      </c>
      <c r="F6712">
        <v>132.94999999999999</v>
      </c>
      <c r="G6712">
        <v>230630</v>
      </c>
      <c r="H6712">
        <v>4380</v>
      </c>
      <c r="I6712" t="s">
        <v>113</v>
      </c>
      <c r="J6712">
        <v>164.86</v>
      </c>
      <c r="K6712">
        <v>31.91</v>
      </c>
      <c r="L6712">
        <v>13841</v>
      </c>
      <c r="M6712" t="s">
        <v>47</v>
      </c>
      <c r="N6712" t="str">
        <f>"5308168     "</f>
        <v xml:space="preserve">5308168     </v>
      </c>
      <c r="O6712">
        <v>230717</v>
      </c>
    </row>
    <row r="6713" spans="1:15" x14ac:dyDescent="0.25">
      <c r="A6713" t="s">
        <v>16</v>
      </c>
      <c r="B6713" t="s">
        <v>3221</v>
      </c>
      <c r="C6713">
        <v>11286</v>
      </c>
      <c r="D6713" t="s">
        <v>3640</v>
      </c>
      <c r="E6713" t="s">
        <v>1470</v>
      </c>
      <c r="F6713">
        <v>106.36</v>
      </c>
      <c r="G6713">
        <v>230831</v>
      </c>
      <c r="H6713">
        <v>4380</v>
      </c>
      <c r="I6713" t="s">
        <v>113</v>
      </c>
      <c r="J6713">
        <v>131.88999999999999</v>
      </c>
      <c r="K6713">
        <v>25.53</v>
      </c>
      <c r="L6713">
        <v>13841</v>
      </c>
      <c r="M6713" t="s">
        <v>47</v>
      </c>
      <c r="N6713" t="str">
        <f>"5311328     "</f>
        <v xml:space="preserve">5311328     </v>
      </c>
      <c r="O6713">
        <v>230904</v>
      </c>
    </row>
    <row r="6714" spans="1:15" x14ac:dyDescent="0.25">
      <c r="A6714" t="s">
        <v>16</v>
      </c>
      <c r="B6714" t="s">
        <v>3221</v>
      </c>
      <c r="C6714">
        <v>14931</v>
      </c>
      <c r="D6714" t="s">
        <v>3640</v>
      </c>
      <c r="E6714" t="s">
        <v>1470</v>
      </c>
      <c r="F6714">
        <v>106.36</v>
      </c>
      <c r="G6714">
        <v>231031</v>
      </c>
      <c r="H6714">
        <v>4380</v>
      </c>
      <c r="I6714" t="s">
        <v>113</v>
      </c>
      <c r="J6714">
        <v>131.88999999999999</v>
      </c>
      <c r="K6714">
        <v>25.53</v>
      </c>
      <c r="L6714">
        <v>13841</v>
      </c>
      <c r="M6714" t="s">
        <v>47</v>
      </c>
      <c r="N6714" t="str">
        <f>"5314398     "</f>
        <v xml:space="preserve">5314398     </v>
      </c>
      <c r="O6714">
        <v>231107</v>
      </c>
    </row>
    <row r="6715" spans="1:15" x14ac:dyDescent="0.25">
      <c r="A6715" t="s">
        <v>16</v>
      </c>
      <c r="B6715" t="s">
        <v>3221</v>
      </c>
      <c r="C6715">
        <v>18518</v>
      </c>
      <c r="D6715" t="s">
        <v>3640</v>
      </c>
      <c r="E6715" t="s">
        <v>1470</v>
      </c>
      <c r="F6715">
        <v>132.94999999999999</v>
      </c>
      <c r="G6715">
        <v>231229</v>
      </c>
      <c r="H6715">
        <v>4380</v>
      </c>
      <c r="I6715" t="s">
        <v>113</v>
      </c>
      <c r="J6715">
        <v>164.86</v>
      </c>
      <c r="K6715">
        <v>31.91</v>
      </c>
      <c r="L6715">
        <v>13841</v>
      </c>
      <c r="M6715" t="s">
        <v>47</v>
      </c>
      <c r="N6715" t="str">
        <f>"5317444     "</f>
        <v xml:space="preserve">5317444     </v>
      </c>
      <c r="O6715">
        <v>240103</v>
      </c>
    </row>
    <row r="6716" spans="1:15" x14ac:dyDescent="0.25">
      <c r="A6716" t="s">
        <v>16</v>
      </c>
      <c r="B6716" t="s">
        <v>3221</v>
      </c>
      <c r="C6716">
        <v>18160</v>
      </c>
      <c r="D6716" t="s">
        <v>1921</v>
      </c>
      <c r="E6716" t="s">
        <v>1922</v>
      </c>
      <c r="F6716">
        <v>136.84</v>
      </c>
      <c r="G6716">
        <v>231218</v>
      </c>
      <c r="H6716">
        <v>4520</v>
      </c>
      <c r="I6716" t="s">
        <v>254</v>
      </c>
      <c r="J6716">
        <v>156</v>
      </c>
      <c r="K6716">
        <v>19.16</v>
      </c>
      <c r="L6716">
        <v>13861</v>
      </c>
      <c r="M6716" t="s">
        <v>1143</v>
      </c>
      <c r="N6716" t="str">
        <f>"662739      "</f>
        <v xml:space="preserve">662739      </v>
      </c>
      <c r="O6716">
        <v>240102</v>
      </c>
    </row>
    <row r="6717" spans="1:15" x14ac:dyDescent="0.25">
      <c r="A6717" t="s">
        <v>16</v>
      </c>
      <c r="B6717" t="s">
        <v>3221</v>
      </c>
      <c r="C6717">
        <v>6000</v>
      </c>
      <c r="D6717" t="s">
        <v>1921</v>
      </c>
      <c r="E6717" t="s">
        <v>1922</v>
      </c>
      <c r="F6717">
        <v>954.55</v>
      </c>
      <c r="G6717">
        <v>230430</v>
      </c>
      <c r="H6717">
        <v>4820</v>
      </c>
      <c r="I6717" t="s">
        <v>50</v>
      </c>
      <c r="J6717">
        <v>1050</v>
      </c>
      <c r="K6717">
        <v>95.45</v>
      </c>
      <c r="L6717">
        <v>13841</v>
      </c>
      <c r="M6717" t="s">
        <v>47</v>
      </c>
      <c r="N6717" t="str">
        <f>"625703      "</f>
        <v xml:space="preserve">625703      </v>
      </c>
      <c r="O6717">
        <v>230505</v>
      </c>
    </row>
    <row r="6718" spans="1:15" x14ac:dyDescent="0.25">
      <c r="A6718" t="s">
        <v>16</v>
      </c>
      <c r="B6718" t="s">
        <v>3221</v>
      </c>
      <c r="C6718">
        <v>16610</v>
      </c>
      <c r="D6718" t="s">
        <v>1921</v>
      </c>
      <c r="E6718" t="s">
        <v>1922</v>
      </c>
      <c r="F6718">
        <v>818.18</v>
      </c>
      <c r="G6718">
        <v>231128</v>
      </c>
      <c r="H6718">
        <v>4500</v>
      </c>
      <c r="I6718" t="s">
        <v>212</v>
      </c>
      <c r="J6718">
        <v>900</v>
      </c>
      <c r="K6718">
        <v>81.819999999999993</v>
      </c>
      <c r="L6718">
        <v>13802</v>
      </c>
      <c r="M6718" t="s">
        <v>200</v>
      </c>
      <c r="N6718" t="str">
        <f>"659478      "</f>
        <v xml:space="preserve">659478      </v>
      </c>
      <c r="O6718">
        <v>231204</v>
      </c>
    </row>
    <row r="6719" spans="1:15" x14ac:dyDescent="0.25">
      <c r="A6719" t="s">
        <v>16</v>
      </c>
      <c r="B6719" t="s">
        <v>3221</v>
      </c>
      <c r="C6719">
        <v>16663</v>
      </c>
      <c r="D6719" t="s">
        <v>3196</v>
      </c>
      <c r="E6719" t="s">
        <v>3197</v>
      </c>
      <c r="F6719">
        <v>300</v>
      </c>
      <c r="G6719">
        <v>231201</v>
      </c>
      <c r="H6719">
        <v>4840</v>
      </c>
      <c r="I6719" t="s">
        <v>19</v>
      </c>
      <c r="J6719">
        <v>300</v>
      </c>
      <c r="K6719">
        <v>0</v>
      </c>
      <c r="L6719">
        <v>13841</v>
      </c>
      <c r="M6719" t="s">
        <v>47</v>
      </c>
      <c r="N6719" t="str">
        <f>"041223      "</f>
        <v xml:space="preserve">041223      </v>
      </c>
      <c r="O6719">
        <v>231205</v>
      </c>
    </row>
    <row r="6720" spans="1:15" x14ac:dyDescent="0.25">
      <c r="A6720" t="s">
        <v>16</v>
      </c>
      <c r="B6720" t="s">
        <v>3221</v>
      </c>
      <c r="C6720">
        <v>8980</v>
      </c>
      <c r="D6720" t="s">
        <v>3196</v>
      </c>
      <c r="E6720" t="s">
        <v>3197</v>
      </c>
      <c r="F6720">
        <v>340.93</v>
      </c>
      <c r="G6720">
        <v>230614</v>
      </c>
      <c r="H6720">
        <v>4440</v>
      </c>
      <c r="I6720" t="s">
        <v>250</v>
      </c>
      <c r="J6720">
        <v>340.93</v>
      </c>
      <c r="K6720">
        <v>0</v>
      </c>
      <c r="L6720">
        <v>13501</v>
      </c>
      <c r="M6720" t="s">
        <v>20</v>
      </c>
      <c r="N6720" t="str">
        <f>"2000003636  "</f>
        <v xml:space="preserve">2000003636  </v>
      </c>
      <c r="O6720">
        <v>230620</v>
      </c>
    </row>
    <row r="6721" spans="1:15" x14ac:dyDescent="0.25">
      <c r="A6721" t="s">
        <v>16</v>
      </c>
      <c r="B6721" t="s">
        <v>3221</v>
      </c>
      <c r="C6721">
        <v>18438</v>
      </c>
      <c r="D6721" t="s">
        <v>3196</v>
      </c>
      <c r="E6721" t="s">
        <v>3197</v>
      </c>
      <c r="F6721">
        <v>587.41999999999996</v>
      </c>
      <c r="G6721">
        <v>231220</v>
      </c>
      <c r="H6721">
        <v>4440</v>
      </c>
      <c r="I6721" t="s">
        <v>250</v>
      </c>
      <c r="J6721">
        <v>587.41999999999996</v>
      </c>
      <c r="K6721">
        <v>0</v>
      </c>
      <c r="L6721">
        <v>13501</v>
      </c>
      <c r="M6721" t="s">
        <v>20</v>
      </c>
      <c r="N6721" t="str">
        <f>"2000003819  "</f>
        <v xml:space="preserve">2000003819  </v>
      </c>
      <c r="O6721">
        <v>240103</v>
      </c>
    </row>
    <row r="6722" spans="1:15" x14ac:dyDescent="0.25">
      <c r="A6722" t="s">
        <v>16</v>
      </c>
      <c r="B6722" t="s">
        <v>3221</v>
      </c>
      <c r="C6722">
        <v>52</v>
      </c>
      <c r="D6722" t="s">
        <v>3196</v>
      </c>
      <c r="E6722" t="s">
        <v>3197</v>
      </c>
      <c r="F6722">
        <v>4019.44</v>
      </c>
      <c r="G6722">
        <v>230101</v>
      </c>
      <c r="H6722">
        <v>4820</v>
      </c>
      <c r="I6722" t="s">
        <v>50</v>
      </c>
      <c r="J6722">
        <v>4984.1099999999997</v>
      </c>
      <c r="K6722">
        <v>964.67</v>
      </c>
      <c r="L6722">
        <v>13841</v>
      </c>
      <c r="M6722" t="s">
        <v>47</v>
      </c>
      <c r="N6722" t="str">
        <f>"1000006108  "</f>
        <v xml:space="preserve">1000006108  </v>
      </c>
      <c r="O6722">
        <v>230104</v>
      </c>
    </row>
    <row r="6723" spans="1:15" x14ac:dyDescent="0.25">
      <c r="A6723" t="s">
        <v>16</v>
      </c>
      <c r="B6723" t="s">
        <v>3221</v>
      </c>
      <c r="C6723">
        <v>364</v>
      </c>
      <c r="D6723" t="s">
        <v>3196</v>
      </c>
      <c r="E6723" t="s">
        <v>3197</v>
      </c>
      <c r="F6723">
        <v>4019.44</v>
      </c>
      <c r="G6723">
        <v>230201</v>
      </c>
      <c r="H6723">
        <v>4820</v>
      </c>
      <c r="I6723" t="s">
        <v>50</v>
      </c>
      <c r="J6723">
        <v>4984.1099999999997</v>
      </c>
      <c r="K6723">
        <v>964.67</v>
      </c>
      <c r="L6723">
        <v>13841</v>
      </c>
      <c r="M6723" t="s">
        <v>47</v>
      </c>
      <c r="N6723" t="str">
        <f>"1000006342  "</f>
        <v xml:space="preserve">1000006342  </v>
      </c>
      <c r="O6723">
        <v>230119</v>
      </c>
    </row>
    <row r="6724" spans="1:15" x14ac:dyDescent="0.25">
      <c r="A6724" t="s">
        <v>16</v>
      </c>
      <c r="B6724" t="s">
        <v>3221</v>
      </c>
      <c r="C6724">
        <v>2098</v>
      </c>
      <c r="D6724" t="s">
        <v>3196</v>
      </c>
      <c r="E6724" t="s">
        <v>3197</v>
      </c>
      <c r="F6724">
        <v>4019.44</v>
      </c>
      <c r="G6724">
        <v>230301</v>
      </c>
      <c r="H6724">
        <v>4820</v>
      </c>
      <c r="I6724" t="s">
        <v>50</v>
      </c>
      <c r="J6724">
        <v>4984.1099999999997</v>
      </c>
      <c r="K6724">
        <v>964.67</v>
      </c>
      <c r="L6724">
        <v>13841</v>
      </c>
      <c r="M6724" t="s">
        <v>47</v>
      </c>
      <c r="N6724" t="str">
        <f>"1000006537  "</f>
        <v xml:space="preserve">1000006537  </v>
      </c>
      <c r="O6724">
        <v>230220</v>
      </c>
    </row>
    <row r="6725" spans="1:15" x14ac:dyDescent="0.25">
      <c r="A6725" t="s">
        <v>16</v>
      </c>
      <c r="B6725" t="s">
        <v>3221</v>
      </c>
      <c r="C6725">
        <v>3420</v>
      </c>
      <c r="D6725" t="s">
        <v>3196</v>
      </c>
      <c r="E6725" t="s">
        <v>3197</v>
      </c>
      <c r="F6725">
        <v>4019.44</v>
      </c>
      <c r="G6725">
        <v>230401</v>
      </c>
      <c r="H6725">
        <v>4820</v>
      </c>
      <c r="I6725" t="s">
        <v>50</v>
      </c>
      <c r="J6725">
        <v>4984.1099999999997</v>
      </c>
      <c r="K6725">
        <v>964.67</v>
      </c>
      <c r="L6725">
        <v>13841</v>
      </c>
      <c r="M6725" t="s">
        <v>47</v>
      </c>
      <c r="N6725" t="str">
        <f>"1000006593  "</f>
        <v xml:space="preserve">1000006593  </v>
      </c>
      <c r="O6725">
        <v>230315</v>
      </c>
    </row>
    <row r="6726" spans="1:15" x14ac:dyDescent="0.25">
      <c r="A6726" t="s">
        <v>16</v>
      </c>
      <c r="B6726" t="s">
        <v>3221</v>
      </c>
      <c r="C6726">
        <v>5268</v>
      </c>
      <c r="D6726" t="s">
        <v>3196</v>
      </c>
      <c r="E6726" t="s">
        <v>3197</v>
      </c>
      <c r="F6726">
        <v>4019.44</v>
      </c>
      <c r="G6726">
        <v>230501</v>
      </c>
      <c r="H6726">
        <v>4820</v>
      </c>
      <c r="I6726" t="s">
        <v>50</v>
      </c>
      <c r="J6726">
        <v>4984.1099999999997</v>
      </c>
      <c r="K6726">
        <v>964.67</v>
      </c>
      <c r="L6726">
        <v>13841</v>
      </c>
      <c r="M6726" t="s">
        <v>47</v>
      </c>
      <c r="N6726" t="str">
        <f>"1000006642  "</f>
        <v xml:space="preserve">1000006642  </v>
      </c>
      <c r="O6726">
        <v>230419</v>
      </c>
    </row>
    <row r="6727" spans="1:15" x14ac:dyDescent="0.25">
      <c r="A6727" t="s">
        <v>16</v>
      </c>
      <c r="B6727" t="s">
        <v>3221</v>
      </c>
      <c r="C6727">
        <v>6918</v>
      </c>
      <c r="D6727" t="s">
        <v>3196</v>
      </c>
      <c r="E6727" t="s">
        <v>3197</v>
      </c>
      <c r="F6727">
        <v>4019.44</v>
      </c>
      <c r="G6727">
        <v>230601</v>
      </c>
      <c r="H6727">
        <v>4820</v>
      </c>
      <c r="I6727" t="s">
        <v>50</v>
      </c>
      <c r="J6727">
        <v>4984.1099999999997</v>
      </c>
      <c r="K6727">
        <v>964.67</v>
      </c>
      <c r="L6727">
        <v>13841</v>
      </c>
      <c r="M6727" t="s">
        <v>47</v>
      </c>
      <c r="N6727" t="str">
        <f>"1000006702  "</f>
        <v xml:space="preserve">1000006702  </v>
      </c>
      <c r="O6727">
        <v>230523</v>
      </c>
    </row>
    <row r="6728" spans="1:15" x14ac:dyDescent="0.25">
      <c r="A6728" t="s">
        <v>16</v>
      </c>
      <c r="B6728" t="s">
        <v>3221</v>
      </c>
      <c r="C6728">
        <v>8981</v>
      </c>
      <c r="D6728" t="s">
        <v>3196</v>
      </c>
      <c r="E6728" t="s">
        <v>3197</v>
      </c>
      <c r="F6728">
        <v>4019.44</v>
      </c>
      <c r="G6728">
        <v>230701</v>
      </c>
      <c r="H6728">
        <v>4820</v>
      </c>
      <c r="I6728" t="s">
        <v>50</v>
      </c>
      <c r="J6728">
        <v>4984.1099999999997</v>
      </c>
      <c r="K6728">
        <v>964.67</v>
      </c>
      <c r="L6728">
        <v>13841</v>
      </c>
      <c r="M6728" t="s">
        <v>47</v>
      </c>
      <c r="N6728" t="str">
        <f>"1000006757  "</f>
        <v xml:space="preserve">1000006757  </v>
      </c>
      <c r="O6728">
        <v>230620</v>
      </c>
    </row>
    <row r="6729" spans="1:15" x14ac:dyDescent="0.25">
      <c r="A6729" t="s">
        <v>16</v>
      </c>
      <c r="B6729" t="s">
        <v>3221</v>
      </c>
      <c r="C6729">
        <v>9670</v>
      </c>
      <c r="D6729" t="s">
        <v>3196</v>
      </c>
      <c r="E6729" t="s">
        <v>3197</v>
      </c>
      <c r="F6729">
        <v>4019.44</v>
      </c>
      <c r="G6729">
        <v>230801</v>
      </c>
      <c r="H6729">
        <v>4820</v>
      </c>
      <c r="I6729" t="s">
        <v>50</v>
      </c>
      <c r="J6729">
        <v>4984.1099999999997</v>
      </c>
      <c r="K6729">
        <v>964.67</v>
      </c>
      <c r="L6729">
        <v>13841</v>
      </c>
      <c r="M6729" t="s">
        <v>47</v>
      </c>
      <c r="N6729" t="str">
        <f>"1000006901  "</f>
        <v xml:space="preserve">1000006901  </v>
      </c>
      <c r="O6729">
        <v>230718</v>
      </c>
    </row>
    <row r="6730" spans="1:15" x14ac:dyDescent="0.25">
      <c r="A6730" t="s">
        <v>16</v>
      </c>
      <c r="B6730" t="s">
        <v>3221</v>
      </c>
      <c r="C6730">
        <v>10423</v>
      </c>
      <c r="D6730" t="s">
        <v>3196</v>
      </c>
      <c r="E6730" t="s">
        <v>3197</v>
      </c>
      <c r="F6730">
        <v>4019.44</v>
      </c>
      <c r="G6730">
        <v>230901</v>
      </c>
      <c r="H6730">
        <v>4820</v>
      </c>
      <c r="I6730" t="s">
        <v>50</v>
      </c>
      <c r="J6730">
        <v>4984.1099999999997</v>
      </c>
      <c r="K6730">
        <v>964.67</v>
      </c>
      <c r="L6730">
        <v>13841</v>
      </c>
      <c r="M6730" t="s">
        <v>47</v>
      </c>
      <c r="N6730" t="str">
        <f>"1000006951  "</f>
        <v xml:space="preserve">1000006951  </v>
      </c>
      <c r="O6730">
        <v>230815</v>
      </c>
    </row>
    <row r="6731" spans="1:15" x14ac:dyDescent="0.25">
      <c r="A6731" t="s">
        <v>16</v>
      </c>
      <c r="B6731" t="s">
        <v>3221</v>
      </c>
      <c r="C6731">
        <v>12453</v>
      </c>
      <c r="D6731" t="s">
        <v>3196</v>
      </c>
      <c r="E6731" t="s">
        <v>3197</v>
      </c>
      <c r="F6731">
        <v>4019.44</v>
      </c>
      <c r="G6731">
        <v>231001</v>
      </c>
      <c r="H6731">
        <v>4820</v>
      </c>
      <c r="I6731" t="s">
        <v>50</v>
      </c>
      <c r="J6731">
        <v>4984.1099999999997</v>
      </c>
      <c r="K6731">
        <v>964.67</v>
      </c>
      <c r="L6731">
        <v>13841</v>
      </c>
      <c r="M6731" t="s">
        <v>47</v>
      </c>
      <c r="N6731" t="str">
        <f>"1000006990  "</f>
        <v xml:space="preserve">1000006990  </v>
      </c>
      <c r="O6731">
        <v>230920</v>
      </c>
    </row>
    <row r="6732" spans="1:15" x14ac:dyDescent="0.25">
      <c r="A6732" t="s">
        <v>16</v>
      </c>
      <c r="B6732" t="s">
        <v>3221</v>
      </c>
      <c r="C6732">
        <v>14133</v>
      </c>
      <c r="D6732" t="s">
        <v>3196</v>
      </c>
      <c r="E6732" t="s">
        <v>3197</v>
      </c>
      <c r="F6732">
        <v>4019.44</v>
      </c>
      <c r="G6732">
        <v>231101</v>
      </c>
      <c r="H6732">
        <v>4820</v>
      </c>
      <c r="I6732" t="s">
        <v>50</v>
      </c>
      <c r="J6732">
        <v>4984.1099999999997</v>
      </c>
      <c r="K6732">
        <v>964.67</v>
      </c>
      <c r="L6732">
        <v>13841</v>
      </c>
      <c r="M6732" t="s">
        <v>47</v>
      </c>
      <c r="N6732" t="str">
        <f>"1000007043  "</f>
        <v xml:space="preserve">1000007043  </v>
      </c>
      <c r="O6732">
        <v>231019</v>
      </c>
    </row>
    <row r="6733" spans="1:15" x14ac:dyDescent="0.25">
      <c r="A6733" t="s">
        <v>16</v>
      </c>
      <c r="B6733" t="s">
        <v>3221</v>
      </c>
      <c r="C6733">
        <v>16073</v>
      </c>
      <c r="D6733" t="s">
        <v>3196</v>
      </c>
      <c r="E6733" t="s">
        <v>3197</v>
      </c>
      <c r="F6733">
        <v>4019.44</v>
      </c>
      <c r="G6733">
        <v>231201</v>
      </c>
      <c r="H6733">
        <v>4820</v>
      </c>
      <c r="I6733" t="s">
        <v>50</v>
      </c>
      <c r="J6733">
        <v>4984.1099999999997</v>
      </c>
      <c r="K6733">
        <v>964.67</v>
      </c>
      <c r="L6733">
        <v>13841</v>
      </c>
      <c r="M6733" t="s">
        <v>47</v>
      </c>
      <c r="N6733" t="str">
        <f>"1000007104  "</f>
        <v xml:space="preserve">1000007104  </v>
      </c>
      <c r="O6733">
        <v>231122</v>
      </c>
    </row>
    <row r="6734" spans="1:15" x14ac:dyDescent="0.25">
      <c r="A6734" t="s">
        <v>16</v>
      </c>
      <c r="B6734" t="s">
        <v>3221</v>
      </c>
      <c r="C6734">
        <v>3126</v>
      </c>
      <c r="D6734" t="s">
        <v>3196</v>
      </c>
      <c r="E6734" t="s">
        <v>3197</v>
      </c>
      <c r="F6734">
        <v>325.56</v>
      </c>
      <c r="G6734">
        <v>230228</v>
      </c>
      <c r="H6734">
        <v>4573</v>
      </c>
      <c r="I6734" t="s">
        <v>46</v>
      </c>
      <c r="J6734">
        <v>403.69</v>
      </c>
      <c r="K6734">
        <v>78.13</v>
      </c>
      <c r="L6734">
        <v>13841</v>
      </c>
      <c r="M6734" t="s">
        <v>47</v>
      </c>
      <c r="N6734" t="str">
        <f>"75058593    "</f>
        <v xml:space="preserve">75058593    </v>
      </c>
      <c r="O6734">
        <v>230309</v>
      </c>
    </row>
    <row r="6735" spans="1:15" x14ac:dyDescent="0.25">
      <c r="A6735" t="s">
        <v>16</v>
      </c>
      <c r="B6735" t="s">
        <v>3221</v>
      </c>
      <c r="C6735">
        <v>8445</v>
      </c>
      <c r="D6735" t="s">
        <v>3196</v>
      </c>
      <c r="E6735" t="s">
        <v>3197</v>
      </c>
      <c r="F6735">
        <v>464.16</v>
      </c>
      <c r="G6735">
        <v>230605</v>
      </c>
      <c r="H6735">
        <v>4573</v>
      </c>
      <c r="I6735" t="s">
        <v>46</v>
      </c>
      <c r="J6735">
        <v>575.55999999999995</v>
      </c>
      <c r="K6735">
        <v>111.4</v>
      </c>
      <c r="L6735">
        <v>13841</v>
      </c>
      <c r="M6735" t="s">
        <v>47</v>
      </c>
      <c r="N6735" t="str">
        <f>"75061710    "</f>
        <v xml:space="preserve">75061710    </v>
      </c>
      <c r="O6735">
        <v>230608</v>
      </c>
    </row>
    <row r="6736" spans="1:15" x14ac:dyDescent="0.25">
      <c r="A6736" t="s">
        <v>16</v>
      </c>
      <c r="B6736" t="s">
        <v>3221</v>
      </c>
      <c r="C6736">
        <v>11923</v>
      </c>
      <c r="D6736" t="s">
        <v>3196</v>
      </c>
      <c r="E6736" t="s">
        <v>3197</v>
      </c>
      <c r="F6736">
        <v>275.16000000000003</v>
      </c>
      <c r="G6736">
        <v>230904</v>
      </c>
      <c r="H6736">
        <v>4573</v>
      </c>
      <c r="I6736" t="s">
        <v>46</v>
      </c>
      <c r="J6736">
        <v>341.2</v>
      </c>
      <c r="K6736">
        <v>66.040000000000006</v>
      </c>
      <c r="L6736">
        <v>13841</v>
      </c>
      <c r="M6736" t="s">
        <v>47</v>
      </c>
      <c r="N6736" t="str">
        <f>"75065572    "</f>
        <v xml:space="preserve">75065572    </v>
      </c>
      <c r="O6736">
        <v>230911</v>
      </c>
    </row>
    <row r="6737" spans="1:15" x14ac:dyDescent="0.25">
      <c r="A6737" t="s">
        <v>16</v>
      </c>
      <c r="B6737" t="s">
        <v>3221</v>
      </c>
      <c r="C6737">
        <v>17394</v>
      </c>
      <c r="D6737" t="s">
        <v>3196</v>
      </c>
      <c r="E6737" t="s">
        <v>3197</v>
      </c>
      <c r="F6737">
        <v>325.56</v>
      </c>
      <c r="G6737">
        <v>231204</v>
      </c>
      <c r="H6737">
        <v>4573</v>
      </c>
      <c r="I6737" t="s">
        <v>46</v>
      </c>
      <c r="J6737">
        <v>403.69</v>
      </c>
      <c r="K6737">
        <v>78.13</v>
      </c>
      <c r="L6737">
        <v>13841</v>
      </c>
      <c r="M6737" t="s">
        <v>47</v>
      </c>
      <c r="N6737" t="str">
        <f>"75068818    "</f>
        <v xml:space="preserve">75068818    </v>
      </c>
      <c r="O6737">
        <v>231213</v>
      </c>
    </row>
    <row r="6738" spans="1:15" x14ac:dyDescent="0.25">
      <c r="A6738" t="s">
        <v>16</v>
      </c>
      <c r="B6738" t="s">
        <v>3221</v>
      </c>
      <c r="C6738">
        <v>2777</v>
      </c>
      <c r="D6738" t="s">
        <v>3383</v>
      </c>
      <c r="E6738" t="s">
        <v>3384</v>
      </c>
      <c r="F6738">
        <v>850</v>
      </c>
      <c r="G6738">
        <v>230302</v>
      </c>
      <c r="H6738">
        <v>4440</v>
      </c>
      <c r="I6738" t="s">
        <v>250</v>
      </c>
      <c r="J6738">
        <v>850</v>
      </c>
      <c r="K6738">
        <v>0</v>
      </c>
      <c r="L6738">
        <v>18123</v>
      </c>
      <c r="M6738" t="s">
        <v>3385</v>
      </c>
      <c r="N6738" t="str">
        <f>"6023030058  "</f>
        <v xml:space="preserve">6023030058  </v>
      </c>
      <c r="O6738">
        <v>230307</v>
      </c>
    </row>
    <row r="6739" spans="1:15" x14ac:dyDescent="0.25">
      <c r="A6739" t="s">
        <v>16</v>
      </c>
      <c r="B6739" t="s">
        <v>3221</v>
      </c>
      <c r="C6739">
        <v>2795</v>
      </c>
      <c r="D6739" t="s">
        <v>3383</v>
      </c>
      <c r="E6739" t="s">
        <v>3384</v>
      </c>
      <c r="F6739">
        <v>700</v>
      </c>
      <c r="G6739">
        <v>230302</v>
      </c>
      <c r="H6739">
        <v>4440</v>
      </c>
      <c r="I6739" t="s">
        <v>250</v>
      </c>
      <c r="J6739">
        <v>700</v>
      </c>
      <c r="K6739">
        <v>0</v>
      </c>
      <c r="L6739">
        <v>18123</v>
      </c>
      <c r="M6739" t="s">
        <v>3385</v>
      </c>
      <c r="N6739" t="str">
        <f>"6023030048  "</f>
        <v xml:space="preserve">6023030048  </v>
      </c>
      <c r="O6739">
        <v>230307</v>
      </c>
    </row>
    <row r="6740" spans="1:15" x14ac:dyDescent="0.25">
      <c r="A6740" t="s">
        <v>16</v>
      </c>
      <c r="B6740" t="s">
        <v>3221</v>
      </c>
      <c r="C6740">
        <v>8861</v>
      </c>
      <c r="D6740" t="s">
        <v>3383</v>
      </c>
      <c r="E6740" t="s">
        <v>3384</v>
      </c>
      <c r="F6740">
        <v>850</v>
      </c>
      <c r="G6740">
        <v>230613</v>
      </c>
      <c r="H6740">
        <v>4440</v>
      </c>
      <c r="I6740" t="s">
        <v>250</v>
      </c>
      <c r="J6740">
        <v>850</v>
      </c>
      <c r="K6740">
        <v>0</v>
      </c>
      <c r="L6740">
        <v>18123</v>
      </c>
      <c r="M6740" t="s">
        <v>3385</v>
      </c>
      <c r="N6740" t="str">
        <f>"6023060005  "</f>
        <v xml:space="preserve">6023060005  </v>
      </c>
      <c r="O6740">
        <v>230619</v>
      </c>
    </row>
    <row r="6741" spans="1:15" x14ac:dyDescent="0.25">
      <c r="A6741" t="s">
        <v>16</v>
      </c>
      <c r="B6741" t="s">
        <v>3221</v>
      </c>
      <c r="C6741">
        <v>9049</v>
      </c>
      <c r="D6741" t="s">
        <v>3383</v>
      </c>
      <c r="E6741" t="s">
        <v>3384</v>
      </c>
      <c r="F6741">
        <v>750</v>
      </c>
      <c r="G6741">
        <v>230613</v>
      </c>
      <c r="H6741">
        <v>4440</v>
      </c>
      <c r="I6741" t="s">
        <v>250</v>
      </c>
      <c r="J6741">
        <v>750</v>
      </c>
      <c r="K6741">
        <v>0</v>
      </c>
      <c r="L6741">
        <v>18123</v>
      </c>
      <c r="M6741" t="s">
        <v>3385</v>
      </c>
      <c r="N6741" t="str">
        <f>"6023060006  "</f>
        <v xml:space="preserve">6023060006  </v>
      </c>
      <c r="O6741">
        <v>230621</v>
      </c>
    </row>
    <row r="6742" spans="1:15" x14ac:dyDescent="0.25">
      <c r="A6742" t="s">
        <v>16</v>
      </c>
      <c r="B6742" t="s">
        <v>3221</v>
      </c>
      <c r="C6742">
        <v>18161</v>
      </c>
      <c r="D6742" t="s">
        <v>3383</v>
      </c>
      <c r="E6742" t="s">
        <v>3384</v>
      </c>
      <c r="F6742">
        <v>1700</v>
      </c>
      <c r="G6742">
        <v>231218</v>
      </c>
      <c r="H6742">
        <v>4440</v>
      </c>
      <c r="I6742" t="s">
        <v>250</v>
      </c>
      <c r="J6742">
        <v>1700</v>
      </c>
      <c r="K6742">
        <v>0</v>
      </c>
      <c r="L6742">
        <v>18123</v>
      </c>
      <c r="M6742" t="s">
        <v>3385</v>
      </c>
      <c r="N6742" t="str">
        <f>"6023120024  "</f>
        <v xml:space="preserve">6023120024  </v>
      </c>
      <c r="O6742">
        <v>240102</v>
      </c>
    </row>
    <row r="6743" spans="1:15" x14ac:dyDescent="0.25">
      <c r="A6743" t="s">
        <v>16</v>
      </c>
      <c r="B6743" t="s">
        <v>3221</v>
      </c>
      <c r="C6743">
        <v>3230</v>
      </c>
      <c r="D6743" t="s">
        <v>3641</v>
      </c>
      <c r="E6743" t="s">
        <v>3394</v>
      </c>
      <c r="F6743">
        <v>2011</v>
      </c>
      <c r="G6743">
        <v>230307</v>
      </c>
      <c r="H6743">
        <v>4940</v>
      </c>
      <c r="I6743" t="s">
        <v>514</v>
      </c>
      <c r="J6743">
        <v>2011</v>
      </c>
      <c r="K6743">
        <v>0</v>
      </c>
      <c r="L6743">
        <v>13801</v>
      </c>
      <c r="M6743" t="s">
        <v>162</v>
      </c>
      <c r="N6743" t="str">
        <f>"1708        "</f>
        <v xml:space="preserve">1708        </v>
      </c>
      <c r="O6743">
        <v>230310</v>
      </c>
    </row>
    <row r="6744" spans="1:15" x14ac:dyDescent="0.25">
      <c r="A6744" t="s">
        <v>16</v>
      </c>
      <c r="B6744" t="s">
        <v>3221</v>
      </c>
      <c r="C6744">
        <v>3412</v>
      </c>
      <c r="D6744" t="s">
        <v>3641</v>
      </c>
      <c r="E6744" t="s">
        <v>3394</v>
      </c>
      <c r="F6744">
        <v>175</v>
      </c>
      <c r="G6744">
        <v>230228</v>
      </c>
      <c r="H6744">
        <v>4441</v>
      </c>
      <c r="I6744" t="s">
        <v>109</v>
      </c>
      <c r="J6744">
        <v>175</v>
      </c>
      <c r="K6744">
        <v>0</v>
      </c>
      <c r="L6744">
        <v>13801</v>
      </c>
      <c r="M6744" t="s">
        <v>162</v>
      </c>
      <c r="N6744" t="str">
        <f>"1916        "</f>
        <v xml:space="preserve">1916        </v>
      </c>
      <c r="O6744">
        <v>230315</v>
      </c>
    </row>
    <row r="6745" spans="1:15" x14ac:dyDescent="0.25">
      <c r="A6745" t="s">
        <v>16</v>
      </c>
      <c r="B6745" t="s">
        <v>3221</v>
      </c>
      <c r="C6745">
        <v>3413</v>
      </c>
      <c r="D6745" t="s">
        <v>3641</v>
      </c>
      <c r="E6745" t="s">
        <v>3394</v>
      </c>
      <c r="F6745">
        <v>175</v>
      </c>
      <c r="G6745">
        <v>230228</v>
      </c>
      <c r="H6745">
        <v>4441</v>
      </c>
      <c r="I6745" t="s">
        <v>109</v>
      </c>
      <c r="J6745">
        <v>175</v>
      </c>
      <c r="K6745">
        <v>0</v>
      </c>
      <c r="L6745">
        <v>13801</v>
      </c>
      <c r="M6745" t="s">
        <v>162</v>
      </c>
      <c r="N6745" t="str">
        <f>"1917        "</f>
        <v xml:space="preserve">1917        </v>
      </c>
      <c r="O6745">
        <v>230315</v>
      </c>
    </row>
    <row r="6746" spans="1:15" x14ac:dyDescent="0.25">
      <c r="A6746" t="s">
        <v>16</v>
      </c>
      <c r="B6746" t="s">
        <v>3221</v>
      </c>
      <c r="C6746">
        <v>3414</v>
      </c>
      <c r="D6746" t="s">
        <v>3641</v>
      </c>
      <c r="E6746" t="s">
        <v>3394</v>
      </c>
      <c r="F6746">
        <v>175</v>
      </c>
      <c r="G6746">
        <v>230228</v>
      </c>
      <c r="H6746">
        <v>4441</v>
      </c>
      <c r="I6746" t="s">
        <v>109</v>
      </c>
      <c r="J6746">
        <v>175</v>
      </c>
      <c r="K6746">
        <v>0</v>
      </c>
      <c r="L6746">
        <v>13801</v>
      </c>
      <c r="M6746" t="s">
        <v>162</v>
      </c>
      <c r="N6746" t="str">
        <f>"1918        "</f>
        <v xml:space="preserve">1918        </v>
      </c>
      <c r="O6746">
        <v>230315</v>
      </c>
    </row>
    <row r="6747" spans="1:15" x14ac:dyDescent="0.25">
      <c r="A6747" t="s">
        <v>16</v>
      </c>
      <c r="B6747" t="s">
        <v>3221</v>
      </c>
      <c r="C6747">
        <v>10819</v>
      </c>
      <c r="D6747" t="s">
        <v>2417</v>
      </c>
      <c r="E6747" t="s">
        <v>2418</v>
      </c>
      <c r="F6747">
        <v>6.5</v>
      </c>
      <c r="G6747">
        <v>230821</v>
      </c>
      <c r="H6747">
        <v>4510</v>
      </c>
      <c r="I6747" t="s">
        <v>42</v>
      </c>
      <c r="J6747">
        <v>8.06</v>
      </c>
      <c r="K6747">
        <v>1.56</v>
      </c>
      <c r="L6747">
        <v>17521</v>
      </c>
      <c r="M6747" t="s">
        <v>133</v>
      </c>
      <c r="N6747" t="str">
        <f>"124/12490   "</f>
        <v xml:space="preserve">124/12490   </v>
      </c>
      <c r="O6747">
        <v>230823</v>
      </c>
    </row>
    <row r="6748" spans="1:15" x14ac:dyDescent="0.25">
      <c r="A6748" t="s">
        <v>16</v>
      </c>
      <c r="B6748" t="s">
        <v>3221</v>
      </c>
      <c r="C6748">
        <v>10819</v>
      </c>
      <c r="D6748" t="s">
        <v>2417</v>
      </c>
      <c r="E6748" t="s">
        <v>2418</v>
      </c>
      <c r="F6748">
        <v>1082.8499999999999</v>
      </c>
      <c r="G6748">
        <v>230821</v>
      </c>
      <c r="H6748">
        <v>4510</v>
      </c>
      <c r="I6748" t="s">
        <v>42</v>
      </c>
      <c r="J6748">
        <v>1191.1400000000001</v>
      </c>
      <c r="K6748">
        <v>108.29</v>
      </c>
      <c r="L6748">
        <v>17521</v>
      </c>
      <c r="M6748" t="s">
        <v>133</v>
      </c>
      <c r="N6748" t="str">
        <f>"124/12490   "</f>
        <v xml:space="preserve">124/12490   </v>
      </c>
      <c r="O6748">
        <v>230823</v>
      </c>
    </row>
    <row r="6749" spans="1:15" x14ac:dyDescent="0.25">
      <c r="A6749" t="s">
        <v>16</v>
      </c>
      <c r="B6749" t="s">
        <v>3221</v>
      </c>
      <c r="C6749">
        <v>2093</v>
      </c>
      <c r="D6749" t="s">
        <v>479</v>
      </c>
      <c r="E6749" t="s">
        <v>480</v>
      </c>
      <c r="F6749">
        <v>484.41</v>
      </c>
      <c r="G6749">
        <v>230203</v>
      </c>
      <c r="H6749">
        <v>4600</v>
      </c>
      <c r="I6749" t="s">
        <v>105</v>
      </c>
      <c r="J6749">
        <v>600.66999999999996</v>
      </c>
      <c r="K6749">
        <v>116.26</v>
      </c>
      <c r="L6749">
        <v>54222</v>
      </c>
      <c r="M6749" t="s">
        <v>308</v>
      </c>
      <c r="N6749" t="str">
        <f>"7180624200  "</f>
        <v xml:space="preserve">7180624200  </v>
      </c>
      <c r="O6749">
        <v>230220</v>
      </c>
    </row>
    <row r="6750" spans="1:15" x14ac:dyDescent="0.25">
      <c r="A6750" t="s">
        <v>16</v>
      </c>
      <c r="B6750" t="s">
        <v>3221</v>
      </c>
      <c r="C6750">
        <v>2093</v>
      </c>
      <c r="D6750" t="s">
        <v>479</v>
      </c>
      <c r="E6750" t="s">
        <v>480</v>
      </c>
      <c r="F6750">
        <v>484.42</v>
      </c>
      <c r="G6750">
        <v>230203</v>
      </c>
      <c r="H6750">
        <v>4600</v>
      </c>
      <c r="I6750" t="s">
        <v>105</v>
      </c>
      <c r="J6750">
        <v>600.67999999999995</v>
      </c>
      <c r="K6750">
        <v>116.26</v>
      </c>
      <c r="L6750">
        <v>54251</v>
      </c>
      <c r="M6750" t="s">
        <v>309</v>
      </c>
      <c r="N6750" t="str">
        <f>"7180624200  "</f>
        <v xml:space="preserve">7180624200  </v>
      </c>
      <c r="O6750">
        <v>230220</v>
      </c>
    </row>
    <row r="6751" spans="1:15" x14ac:dyDescent="0.25">
      <c r="A6751" t="s">
        <v>16</v>
      </c>
      <c r="B6751" t="s">
        <v>3221</v>
      </c>
      <c r="C6751">
        <v>12370</v>
      </c>
      <c r="D6751" t="s">
        <v>479</v>
      </c>
      <c r="E6751" t="s">
        <v>480</v>
      </c>
      <c r="F6751">
        <v>212.82</v>
      </c>
      <c r="G6751">
        <v>230906</v>
      </c>
      <c r="H6751">
        <v>4600</v>
      </c>
      <c r="I6751" t="s">
        <v>105</v>
      </c>
      <c r="J6751">
        <v>263.89999999999998</v>
      </c>
      <c r="K6751">
        <v>51.08</v>
      </c>
      <c r="L6751">
        <v>54222</v>
      </c>
      <c r="M6751" t="s">
        <v>308</v>
      </c>
      <c r="N6751" t="str">
        <f>"7180634278  "</f>
        <v xml:space="preserve">7180634278  </v>
      </c>
      <c r="O6751">
        <v>230918</v>
      </c>
    </row>
    <row r="6752" spans="1:15" x14ac:dyDescent="0.25">
      <c r="A6752" t="s">
        <v>16</v>
      </c>
      <c r="B6752" t="s">
        <v>3221</v>
      </c>
      <c r="C6752">
        <v>12370</v>
      </c>
      <c r="D6752" t="s">
        <v>479</v>
      </c>
      <c r="E6752" t="s">
        <v>480</v>
      </c>
      <c r="F6752">
        <v>212.81</v>
      </c>
      <c r="G6752">
        <v>230906</v>
      </c>
      <c r="H6752">
        <v>4600</v>
      </c>
      <c r="I6752" t="s">
        <v>105</v>
      </c>
      <c r="J6752">
        <v>263.89</v>
      </c>
      <c r="K6752">
        <v>51.08</v>
      </c>
      <c r="L6752">
        <v>54251</v>
      </c>
      <c r="M6752" t="s">
        <v>309</v>
      </c>
      <c r="N6752" t="str">
        <f>"7180634278  "</f>
        <v xml:space="preserve">7180634278  </v>
      </c>
      <c r="O6752">
        <v>230918</v>
      </c>
    </row>
    <row r="6753" spans="1:15" x14ac:dyDescent="0.25">
      <c r="A6753" t="s">
        <v>16</v>
      </c>
      <c r="B6753" t="s">
        <v>3221</v>
      </c>
      <c r="C6753">
        <v>17105</v>
      </c>
      <c r="D6753" t="s">
        <v>479</v>
      </c>
      <c r="E6753" t="s">
        <v>480</v>
      </c>
      <c r="F6753">
        <v>823.24</v>
      </c>
      <c r="G6753">
        <v>231204</v>
      </c>
      <c r="H6753">
        <v>4600</v>
      </c>
      <c r="I6753" t="s">
        <v>105</v>
      </c>
      <c r="J6753">
        <v>1020.82</v>
      </c>
      <c r="K6753">
        <v>197.58</v>
      </c>
      <c r="L6753">
        <v>54251</v>
      </c>
      <c r="M6753" t="s">
        <v>309</v>
      </c>
      <c r="N6753" t="str">
        <f>"7180638524  "</f>
        <v xml:space="preserve">7180638524  </v>
      </c>
      <c r="O6753">
        <v>231212</v>
      </c>
    </row>
    <row r="6754" spans="1:15" x14ac:dyDescent="0.25">
      <c r="A6754" t="s">
        <v>16</v>
      </c>
      <c r="B6754" t="s">
        <v>3221</v>
      </c>
      <c r="C6754">
        <v>352</v>
      </c>
      <c r="D6754" t="s">
        <v>479</v>
      </c>
      <c r="E6754" t="s">
        <v>480</v>
      </c>
      <c r="F6754">
        <v>62.12</v>
      </c>
      <c r="G6754">
        <v>230103</v>
      </c>
      <c r="H6754">
        <v>4555</v>
      </c>
      <c r="I6754" t="s">
        <v>481</v>
      </c>
      <c r="J6754">
        <v>77.03</v>
      </c>
      <c r="K6754">
        <v>14.91</v>
      </c>
      <c r="L6754">
        <v>44422</v>
      </c>
      <c r="M6754" t="s">
        <v>482</v>
      </c>
      <c r="N6754" t="str">
        <f>"7180622252  "</f>
        <v xml:space="preserve">7180622252  </v>
      </c>
      <c r="O6754">
        <v>230119</v>
      </c>
    </row>
    <row r="6755" spans="1:15" x14ac:dyDescent="0.25">
      <c r="A6755" t="s">
        <v>16</v>
      </c>
      <c r="B6755" t="s">
        <v>3221</v>
      </c>
      <c r="C6755">
        <v>4963</v>
      </c>
      <c r="D6755" t="s">
        <v>479</v>
      </c>
      <c r="E6755" t="s">
        <v>480</v>
      </c>
      <c r="F6755">
        <v>395.76</v>
      </c>
      <c r="G6755">
        <v>230308</v>
      </c>
      <c r="H6755">
        <v>4555</v>
      </c>
      <c r="I6755" t="s">
        <v>481</v>
      </c>
      <c r="J6755">
        <v>490.74</v>
      </c>
      <c r="K6755">
        <v>94.98</v>
      </c>
      <c r="L6755">
        <v>44422</v>
      </c>
      <c r="M6755" t="s">
        <v>482</v>
      </c>
      <c r="N6755" t="str">
        <f>"7180625908  "</f>
        <v xml:space="preserve">7180625908  </v>
      </c>
      <c r="O6755">
        <v>230414</v>
      </c>
    </row>
    <row r="6756" spans="1:15" x14ac:dyDescent="0.25">
      <c r="A6756" t="s">
        <v>16</v>
      </c>
      <c r="B6756" t="s">
        <v>3221</v>
      </c>
      <c r="C6756">
        <v>7042</v>
      </c>
      <c r="D6756" t="s">
        <v>479</v>
      </c>
      <c r="E6756" t="s">
        <v>480</v>
      </c>
      <c r="F6756">
        <v>1185.6600000000001</v>
      </c>
      <c r="G6756">
        <v>230414</v>
      </c>
      <c r="H6756">
        <v>4555</v>
      </c>
      <c r="I6756" t="s">
        <v>481</v>
      </c>
      <c r="J6756">
        <v>1470.22</v>
      </c>
      <c r="K6756">
        <v>284.56</v>
      </c>
      <c r="L6756">
        <v>44453</v>
      </c>
      <c r="M6756" t="s">
        <v>492</v>
      </c>
      <c r="N6756" t="str">
        <f>"7180627700  "</f>
        <v xml:space="preserve">7180627700  </v>
      </c>
      <c r="O6756">
        <v>230525</v>
      </c>
    </row>
    <row r="6757" spans="1:15" x14ac:dyDescent="0.25">
      <c r="A6757" t="s">
        <v>16</v>
      </c>
      <c r="B6757" t="s">
        <v>3221</v>
      </c>
      <c r="C6757">
        <v>7173</v>
      </c>
      <c r="D6757" t="s">
        <v>479</v>
      </c>
      <c r="E6757" t="s">
        <v>480</v>
      </c>
      <c r="F6757">
        <v>315.62</v>
      </c>
      <c r="G6757">
        <v>230516</v>
      </c>
      <c r="H6757">
        <v>4555</v>
      </c>
      <c r="I6757" t="s">
        <v>481</v>
      </c>
      <c r="J6757">
        <v>391.37</v>
      </c>
      <c r="K6757">
        <v>75.75</v>
      </c>
      <c r="L6757">
        <v>44422</v>
      </c>
      <c r="M6757" t="s">
        <v>482</v>
      </c>
      <c r="N6757" t="str">
        <f>"7180629290  "</f>
        <v xml:space="preserve">7180629290  </v>
      </c>
      <c r="O6757">
        <v>230525</v>
      </c>
    </row>
    <row r="6758" spans="1:15" x14ac:dyDescent="0.25">
      <c r="A6758" t="s">
        <v>16</v>
      </c>
      <c r="B6758" t="s">
        <v>3221</v>
      </c>
      <c r="C6758">
        <v>12171</v>
      </c>
      <c r="D6758" t="s">
        <v>479</v>
      </c>
      <c r="E6758" t="s">
        <v>480</v>
      </c>
      <c r="F6758">
        <v>1086.56</v>
      </c>
      <c r="G6758">
        <v>230901</v>
      </c>
      <c r="H6758">
        <v>4555</v>
      </c>
      <c r="I6758" t="s">
        <v>481</v>
      </c>
      <c r="J6758">
        <v>1347.33</v>
      </c>
      <c r="K6758">
        <v>260.77</v>
      </c>
      <c r="L6758">
        <v>44453</v>
      </c>
      <c r="M6758" t="s">
        <v>492</v>
      </c>
      <c r="N6758" t="str">
        <f>"7180634137  "</f>
        <v xml:space="preserve">7180634137  </v>
      </c>
      <c r="O6758">
        <v>230914</v>
      </c>
    </row>
    <row r="6759" spans="1:15" x14ac:dyDescent="0.25">
      <c r="A6759" t="s">
        <v>16</v>
      </c>
      <c r="B6759" t="s">
        <v>3221</v>
      </c>
      <c r="C6759">
        <v>12184</v>
      </c>
      <c r="D6759" t="s">
        <v>479</v>
      </c>
      <c r="E6759" t="s">
        <v>480</v>
      </c>
      <c r="F6759">
        <v>753.5</v>
      </c>
      <c r="G6759">
        <v>230907</v>
      </c>
      <c r="H6759">
        <v>4555</v>
      </c>
      <c r="I6759" t="s">
        <v>481</v>
      </c>
      <c r="J6759">
        <v>934.34</v>
      </c>
      <c r="K6759">
        <v>180.84</v>
      </c>
      <c r="L6759">
        <v>44453</v>
      </c>
      <c r="M6759" t="s">
        <v>492</v>
      </c>
      <c r="N6759" t="str">
        <f>"7180634387  "</f>
        <v xml:space="preserve">7180634387  </v>
      </c>
      <c r="O6759">
        <v>230915</v>
      </c>
    </row>
    <row r="6760" spans="1:15" x14ac:dyDescent="0.25">
      <c r="A6760" t="s">
        <v>16</v>
      </c>
      <c r="B6760" t="s">
        <v>3221</v>
      </c>
      <c r="C6760">
        <v>14734</v>
      </c>
      <c r="D6760" t="s">
        <v>479</v>
      </c>
      <c r="E6760" t="s">
        <v>480</v>
      </c>
      <c r="F6760">
        <v>643.42999999999995</v>
      </c>
      <c r="G6760">
        <v>231025</v>
      </c>
      <c r="H6760">
        <v>4555</v>
      </c>
      <c r="I6760" t="s">
        <v>481</v>
      </c>
      <c r="J6760">
        <v>797.85</v>
      </c>
      <c r="K6760">
        <v>154.41999999999999</v>
      </c>
      <c r="L6760">
        <v>44453</v>
      </c>
      <c r="M6760" t="s">
        <v>492</v>
      </c>
      <c r="N6760" t="str">
        <f>"7180636707  "</f>
        <v xml:space="preserve">7180636707  </v>
      </c>
      <c r="O6760">
        <v>231101</v>
      </c>
    </row>
    <row r="6761" spans="1:15" x14ac:dyDescent="0.25">
      <c r="A6761" t="s">
        <v>16</v>
      </c>
      <c r="B6761" t="s">
        <v>3221</v>
      </c>
      <c r="C6761">
        <v>17929</v>
      </c>
      <c r="D6761" t="s">
        <v>479</v>
      </c>
      <c r="E6761" t="s">
        <v>480</v>
      </c>
      <c r="F6761">
        <v>513.57000000000005</v>
      </c>
      <c r="G6761">
        <v>231128</v>
      </c>
      <c r="H6761">
        <v>4555</v>
      </c>
      <c r="I6761" t="s">
        <v>481</v>
      </c>
      <c r="J6761">
        <v>636.83000000000004</v>
      </c>
      <c r="K6761">
        <v>123.26</v>
      </c>
      <c r="L6761">
        <v>44453</v>
      </c>
      <c r="M6761" t="s">
        <v>492</v>
      </c>
      <c r="N6761" t="str">
        <f>"7180638285  "</f>
        <v xml:space="preserve">7180638285  </v>
      </c>
      <c r="O6761">
        <v>231228</v>
      </c>
    </row>
    <row r="6762" spans="1:15" x14ac:dyDescent="0.25">
      <c r="A6762" t="s">
        <v>16</v>
      </c>
      <c r="B6762" t="s">
        <v>3221</v>
      </c>
      <c r="C6762">
        <v>11508</v>
      </c>
      <c r="D6762" t="s">
        <v>2498</v>
      </c>
      <c r="E6762" t="s">
        <v>2499</v>
      </c>
      <c r="F6762">
        <v>2.77</v>
      </c>
      <c r="G6762">
        <v>230831</v>
      </c>
      <c r="H6762">
        <v>4410</v>
      </c>
      <c r="I6762" t="s">
        <v>517</v>
      </c>
      <c r="J6762">
        <v>3.43</v>
      </c>
      <c r="K6762">
        <v>0.66</v>
      </c>
      <c r="L6762">
        <v>16121</v>
      </c>
      <c r="M6762" t="s">
        <v>21</v>
      </c>
      <c r="N6762" t="str">
        <f t="shared" ref="N6762:N6767" si="124">"2360767654  "</f>
        <v xml:space="preserve">2360767654  </v>
      </c>
      <c r="O6762">
        <v>230907</v>
      </c>
    </row>
    <row r="6763" spans="1:15" x14ac:dyDescent="0.25">
      <c r="A6763" t="s">
        <v>16</v>
      </c>
      <c r="B6763" t="s">
        <v>3221</v>
      </c>
      <c r="C6763">
        <v>11508</v>
      </c>
      <c r="D6763" t="s">
        <v>2498</v>
      </c>
      <c r="E6763" t="s">
        <v>2499</v>
      </c>
      <c r="F6763">
        <v>16.39</v>
      </c>
      <c r="G6763">
        <v>230831</v>
      </c>
      <c r="H6763">
        <v>4410</v>
      </c>
      <c r="I6763" t="s">
        <v>517</v>
      </c>
      <c r="J6763">
        <v>18.68</v>
      </c>
      <c r="K6763">
        <v>2.29</v>
      </c>
      <c r="L6763">
        <v>16121</v>
      </c>
      <c r="M6763" t="s">
        <v>21</v>
      </c>
      <c r="N6763" t="str">
        <f t="shared" si="124"/>
        <v xml:space="preserve">2360767654  </v>
      </c>
      <c r="O6763">
        <v>230907</v>
      </c>
    </row>
    <row r="6764" spans="1:15" x14ac:dyDescent="0.25">
      <c r="A6764" t="s">
        <v>16</v>
      </c>
      <c r="B6764" t="s">
        <v>3221</v>
      </c>
      <c r="C6764">
        <v>11508</v>
      </c>
      <c r="D6764" t="s">
        <v>2498</v>
      </c>
      <c r="E6764" t="s">
        <v>2499</v>
      </c>
      <c r="F6764">
        <v>0.65</v>
      </c>
      <c r="G6764">
        <v>230831</v>
      </c>
      <c r="H6764">
        <v>4410</v>
      </c>
      <c r="I6764" t="s">
        <v>517</v>
      </c>
      <c r="J6764">
        <v>0.8</v>
      </c>
      <c r="K6764">
        <v>0.15</v>
      </c>
      <c r="L6764">
        <v>16322</v>
      </c>
      <c r="M6764" t="s">
        <v>22</v>
      </c>
      <c r="N6764" t="str">
        <f t="shared" si="124"/>
        <v xml:space="preserve">2360767654  </v>
      </c>
      <c r="O6764">
        <v>230907</v>
      </c>
    </row>
    <row r="6765" spans="1:15" x14ac:dyDescent="0.25">
      <c r="A6765" t="s">
        <v>16</v>
      </c>
      <c r="B6765" t="s">
        <v>3221</v>
      </c>
      <c r="C6765">
        <v>11508</v>
      </c>
      <c r="D6765" t="s">
        <v>2498</v>
      </c>
      <c r="E6765" t="s">
        <v>2499</v>
      </c>
      <c r="F6765">
        <v>3.77</v>
      </c>
      <c r="G6765">
        <v>230831</v>
      </c>
      <c r="H6765">
        <v>4410</v>
      </c>
      <c r="I6765" t="s">
        <v>517</v>
      </c>
      <c r="J6765">
        <v>4.3</v>
      </c>
      <c r="K6765">
        <v>0.53</v>
      </c>
      <c r="L6765">
        <v>16322</v>
      </c>
      <c r="M6765" t="s">
        <v>22</v>
      </c>
      <c r="N6765" t="str">
        <f t="shared" si="124"/>
        <v xml:space="preserve">2360767654  </v>
      </c>
      <c r="O6765">
        <v>230907</v>
      </c>
    </row>
    <row r="6766" spans="1:15" x14ac:dyDescent="0.25">
      <c r="A6766" t="s">
        <v>16</v>
      </c>
      <c r="B6766" t="s">
        <v>3221</v>
      </c>
      <c r="C6766">
        <v>11508</v>
      </c>
      <c r="D6766" t="s">
        <v>2498</v>
      </c>
      <c r="E6766" t="s">
        <v>2499</v>
      </c>
      <c r="F6766">
        <v>0.85</v>
      </c>
      <c r="G6766">
        <v>230831</v>
      </c>
      <c r="H6766">
        <v>4410</v>
      </c>
      <c r="I6766" t="s">
        <v>517</v>
      </c>
      <c r="J6766">
        <v>1.05</v>
      </c>
      <c r="K6766">
        <v>0.2</v>
      </c>
      <c r="L6766">
        <v>16820</v>
      </c>
      <c r="M6766" t="s">
        <v>23</v>
      </c>
      <c r="N6766" t="str">
        <f t="shared" si="124"/>
        <v xml:space="preserve">2360767654  </v>
      </c>
      <c r="O6766">
        <v>230907</v>
      </c>
    </row>
    <row r="6767" spans="1:15" x14ac:dyDescent="0.25">
      <c r="A6767" t="s">
        <v>16</v>
      </c>
      <c r="B6767" t="s">
        <v>3221</v>
      </c>
      <c r="C6767">
        <v>11508</v>
      </c>
      <c r="D6767" t="s">
        <v>2498</v>
      </c>
      <c r="E6767" t="s">
        <v>2499</v>
      </c>
      <c r="F6767">
        <v>5.04</v>
      </c>
      <c r="G6767">
        <v>230831</v>
      </c>
      <c r="H6767">
        <v>4410</v>
      </c>
      <c r="I6767" t="s">
        <v>517</v>
      </c>
      <c r="J6767">
        <v>5.75</v>
      </c>
      <c r="K6767">
        <v>0.71</v>
      </c>
      <c r="L6767">
        <v>16820</v>
      </c>
      <c r="M6767" t="s">
        <v>23</v>
      </c>
      <c r="N6767" t="str">
        <f t="shared" si="124"/>
        <v xml:space="preserve">2360767654  </v>
      </c>
      <c r="O6767">
        <v>230907</v>
      </c>
    </row>
    <row r="6768" spans="1:15" x14ac:dyDescent="0.25">
      <c r="A6768" t="s">
        <v>16</v>
      </c>
      <c r="B6768" t="s">
        <v>3221</v>
      </c>
      <c r="C6768">
        <v>14919</v>
      </c>
      <c r="D6768" t="s">
        <v>2498</v>
      </c>
      <c r="E6768" t="s">
        <v>2499</v>
      </c>
      <c r="F6768">
        <v>4.03</v>
      </c>
      <c r="G6768">
        <v>231031</v>
      </c>
      <c r="H6768">
        <v>4410</v>
      </c>
      <c r="I6768" t="s">
        <v>517</v>
      </c>
      <c r="J6768">
        <v>5</v>
      </c>
      <c r="K6768">
        <v>0.97</v>
      </c>
      <c r="L6768">
        <v>17971</v>
      </c>
      <c r="M6768" t="s">
        <v>138</v>
      </c>
      <c r="N6768" t="str">
        <f>"2360969423  "</f>
        <v xml:space="preserve">2360969423  </v>
      </c>
      <c r="O6768">
        <v>231107</v>
      </c>
    </row>
    <row r="6769" spans="1:15" x14ac:dyDescent="0.25">
      <c r="A6769" t="s">
        <v>16</v>
      </c>
      <c r="B6769" t="s">
        <v>3221</v>
      </c>
      <c r="C6769">
        <v>14919</v>
      </c>
      <c r="D6769" t="s">
        <v>2498</v>
      </c>
      <c r="E6769" t="s">
        <v>2499</v>
      </c>
      <c r="F6769">
        <v>16.559999999999999</v>
      </c>
      <c r="G6769">
        <v>231031</v>
      </c>
      <c r="H6769">
        <v>4410</v>
      </c>
      <c r="I6769" t="s">
        <v>517</v>
      </c>
      <c r="J6769">
        <v>18.88</v>
      </c>
      <c r="K6769">
        <v>2.3199999999999998</v>
      </c>
      <c r="L6769">
        <v>17971</v>
      </c>
      <c r="M6769" t="s">
        <v>138</v>
      </c>
      <c r="N6769" t="str">
        <f>"2360969423  "</f>
        <v xml:space="preserve">2360969423  </v>
      </c>
      <c r="O6769">
        <v>231107</v>
      </c>
    </row>
    <row r="6770" spans="1:15" x14ac:dyDescent="0.25">
      <c r="A6770" t="s">
        <v>16</v>
      </c>
      <c r="B6770" t="s">
        <v>3221</v>
      </c>
      <c r="C6770">
        <v>19319</v>
      </c>
      <c r="D6770" t="s">
        <v>2498</v>
      </c>
      <c r="E6770" t="s">
        <v>2499</v>
      </c>
      <c r="F6770">
        <v>8</v>
      </c>
      <c r="G6770">
        <v>231231</v>
      </c>
      <c r="H6770">
        <v>4410</v>
      </c>
      <c r="I6770" t="s">
        <v>517</v>
      </c>
      <c r="J6770">
        <v>9.1199999999999992</v>
      </c>
      <c r="K6770">
        <v>1.1200000000000001</v>
      </c>
      <c r="L6770">
        <v>16121</v>
      </c>
      <c r="M6770" t="s">
        <v>21</v>
      </c>
      <c r="N6770" t="str">
        <f>"2361167839  "</f>
        <v xml:space="preserve">2361167839  </v>
      </c>
      <c r="O6770">
        <v>240117</v>
      </c>
    </row>
    <row r="6771" spans="1:15" x14ac:dyDescent="0.25">
      <c r="A6771" t="s">
        <v>16</v>
      </c>
      <c r="B6771" t="s">
        <v>3221</v>
      </c>
      <c r="C6771">
        <v>19319</v>
      </c>
      <c r="D6771" t="s">
        <v>2498</v>
      </c>
      <c r="E6771" t="s">
        <v>2499</v>
      </c>
      <c r="F6771">
        <v>23.55</v>
      </c>
      <c r="G6771">
        <v>231231</v>
      </c>
      <c r="H6771">
        <v>4410</v>
      </c>
      <c r="I6771" t="s">
        <v>517</v>
      </c>
      <c r="J6771">
        <v>29.2</v>
      </c>
      <c r="K6771">
        <v>5.65</v>
      </c>
      <c r="L6771">
        <v>16121</v>
      </c>
      <c r="M6771" t="s">
        <v>21</v>
      </c>
      <c r="N6771" t="str">
        <f>"2361167839  "</f>
        <v xml:space="preserve">2361167839  </v>
      </c>
      <c r="O6771">
        <v>240117</v>
      </c>
    </row>
    <row r="6772" spans="1:15" x14ac:dyDescent="0.25">
      <c r="A6772" t="s">
        <v>16</v>
      </c>
      <c r="B6772" t="s">
        <v>3221</v>
      </c>
      <c r="C6772">
        <v>19319</v>
      </c>
      <c r="D6772" t="s">
        <v>2498</v>
      </c>
      <c r="E6772" t="s">
        <v>2499</v>
      </c>
      <c r="F6772">
        <v>26.94</v>
      </c>
      <c r="G6772">
        <v>231231</v>
      </c>
      <c r="H6772">
        <v>4410</v>
      </c>
      <c r="I6772" t="s">
        <v>517</v>
      </c>
      <c r="J6772">
        <v>30.71</v>
      </c>
      <c r="K6772">
        <v>3.77</v>
      </c>
      <c r="L6772">
        <v>16322</v>
      </c>
      <c r="M6772" t="s">
        <v>22</v>
      </c>
      <c r="N6772" t="str">
        <f>"2361167839  "</f>
        <v xml:space="preserve">2361167839  </v>
      </c>
      <c r="O6772">
        <v>240117</v>
      </c>
    </row>
    <row r="6773" spans="1:15" x14ac:dyDescent="0.25">
      <c r="A6773" t="s">
        <v>16</v>
      </c>
      <c r="B6773" t="s">
        <v>3221</v>
      </c>
      <c r="C6773">
        <v>441</v>
      </c>
      <c r="D6773" t="s">
        <v>544</v>
      </c>
      <c r="E6773" t="s">
        <v>545</v>
      </c>
      <c r="F6773">
        <v>40.5</v>
      </c>
      <c r="G6773">
        <v>230118</v>
      </c>
      <c r="H6773">
        <v>4600</v>
      </c>
      <c r="I6773" t="s">
        <v>105</v>
      </c>
      <c r="J6773">
        <v>40.5</v>
      </c>
      <c r="K6773">
        <v>0</v>
      </c>
      <c r="L6773">
        <v>56568</v>
      </c>
      <c r="M6773" t="s">
        <v>268</v>
      </c>
      <c r="N6773" t="str">
        <f>"17229       "</f>
        <v xml:space="preserve">17229       </v>
      </c>
      <c r="O6773">
        <v>230123</v>
      </c>
    </row>
    <row r="6774" spans="1:15" x14ac:dyDescent="0.25">
      <c r="A6774" t="s">
        <v>16</v>
      </c>
      <c r="B6774" t="s">
        <v>3221</v>
      </c>
      <c r="C6774">
        <v>10874</v>
      </c>
      <c r="D6774" t="s">
        <v>544</v>
      </c>
      <c r="E6774" t="s">
        <v>545</v>
      </c>
      <c r="F6774">
        <v>27</v>
      </c>
      <c r="G6774">
        <v>230823</v>
      </c>
      <c r="H6774">
        <v>4600</v>
      </c>
      <c r="I6774" t="s">
        <v>105</v>
      </c>
      <c r="J6774">
        <v>27</v>
      </c>
      <c r="K6774">
        <v>0</v>
      </c>
      <c r="L6774">
        <v>56568</v>
      </c>
      <c r="M6774" t="s">
        <v>268</v>
      </c>
      <c r="N6774" t="str">
        <f>"17909       "</f>
        <v xml:space="preserve">17909       </v>
      </c>
      <c r="O6774">
        <v>230824</v>
      </c>
    </row>
    <row r="6775" spans="1:15" x14ac:dyDescent="0.25">
      <c r="A6775" t="s">
        <v>16</v>
      </c>
      <c r="B6775" t="s">
        <v>3221</v>
      </c>
      <c r="C6775">
        <v>441</v>
      </c>
      <c r="D6775" t="s">
        <v>544</v>
      </c>
      <c r="E6775" t="s">
        <v>545</v>
      </c>
      <c r="F6775">
        <v>16.13</v>
      </c>
      <c r="G6775">
        <v>230118</v>
      </c>
      <c r="H6775">
        <v>4470</v>
      </c>
      <c r="I6775" t="s">
        <v>83</v>
      </c>
      <c r="J6775">
        <v>20</v>
      </c>
      <c r="K6775">
        <v>3.87</v>
      </c>
      <c r="L6775">
        <v>56568</v>
      </c>
      <c r="M6775" t="s">
        <v>268</v>
      </c>
      <c r="N6775" t="str">
        <f>"17229       "</f>
        <v xml:space="preserve">17229       </v>
      </c>
      <c r="O6775">
        <v>230123</v>
      </c>
    </row>
    <row r="6776" spans="1:15" x14ac:dyDescent="0.25">
      <c r="A6776" t="s">
        <v>16</v>
      </c>
      <c r="B6776" t="s">
        <v>3221</v>
      </c>
      <c r="C6776">
        <v>10874</v>
      </c>
      <c r="D6776" t="s">
        <v>544</v>
      </c>
      <c r="E6776" t="s">
        <v>545</v>
      </c>
      <c r="F6776">
        <v>16.13</v>
      </c>
      <c r="G6776">
        <v>230823</v>
      </c>
      <c r="H6776">
        <v>4364</v>
      </c>
      <c r="I6776" t="s">
        <v>296</v>
      </c>
      <c r="J6776">
        <v>20</v>
      </c>
      <c r="K6776">
        <v>3.87</v>
      </c>
      <c r="L6776">
        <v>56568</v>
      </c>
      <c r="M6776" t="s">
        <v>268</v>
      </c>
      <c r="N6776" t="str">
        <f>"17909       "</f>
        <v xml:space="preserve">17909       </v>
      </c>
      <c r="O6776">
        <v>230824</v>
      </c>
    </row>
    <row r="6777" spans="1:15" x14ac:dyDescent="0.25">
      <c r="A6777" t="s">
        <v>16</v>
      </c>
      <c r="B6777" t="s">
        <v>3221</v>
      </c>
      <c r="C6777">
        <v>7446</v>
      </c>
      <c r="D6777" t="s">
        <v>2093</v>
      </c>
      <c r="E6777" t="s">
        <v>2094</v>
      </c>
      <c r="F6777">
        <v>13.64</v>
      </c>
      <c r="G6777">
        <v>230530</v>
      </c>
      <c r="H6777">
        <v>4510</v>
      </c>
      <c r="I6777" t="s">
        <v>42</v>
      </c>
      <c r="J6777">
        <v>15</v>
      </c>
      <c r="K6777">
        <v>1.36</v>
      </c>
      <c r="L6777">
        <v>56562</v>
      </c>
      <c r="M6777" t="s">
        <v>126</v>
      </c>
      <c r="N6777" t="str">
        <f>"30001793    "</f>
        <v xml:space="preserve">30001793    </v>
      </c>
      <c r="O6777">
        <v>230530</v>
      </c>
    </row>
    <row r="6778" spans="1:15" x14ac:dyDescent="0.25">
      <c r="A6778" t="s">
        <v>16</v>
      </c>
      <c r="B6778" t="s">
        <v>3221</v>
      </c>
      <c r="C6778">
        <v>18684</v>
      </c>
      <c r="D6778" t="s">
        <v>3294</v>
      </c>
      <c r="E6778" t="s">
        <v>3295</v>
      </c>
      <c r="F6778">
        <v>630</v>
      </c>
      <c r="G6778">
        <v>231219</v>
      </c>
      <c r="H6778">
        <v>4550</v>
      </c>
      <c r="I6778" t="s">
        <v>312</v>
      </c>
      <c r="J6778">
        <v>781.2</v>
      </c>
      <c r="K6778">
        <v>151.19999999999999</v>
      </c>
      <c r="L6778">
        <v>13841</v>
      </c>
      <c r="M6778" t="s">
        <v>47</v>
      </c>
      <c r="N6778" t="str">
        <f>"101/230069  "</f>
        <v xml:space="preserve">101/230069  </v>
      </c>
      <c r="O6778">
        <v>240104</v>
      </c>
    </row>
    <row r="6779" spans="1:15" x14ac:dyDescent="0.25">
      <c r="A6779" t="s">
        <v>16</v>
      </c>
      <c r="B6779" t="s">
        <v>3221</v>
      </c>
      <c r="C6779">
        <v>8819</v>
      </c>
      <c r="D6779" t="s">
        <v>3294</v>
      </c>
      <c r="E6779" t="s">
        <v>3295</v>
      </c>
      <c r="F6779">
        <v>40.81</v>
      </c>
      <c r="G6779">
        <v>230531</v>
      </c>
      <c r="H6779">
        <v>4500</v>
      </c>
      <c r="I6779" t="s">
        <v>212</v>
      </c>
      <c r="J6779">
        <v>50.6</v>
      </c>
      <c r="K6779">
        <v>9.7899999999999991</v>
      </c>
      <c r="L6779">
        <v>13802</v>
      </c>
      <c r="M6779" t="s">
        <v>200</v>
      </c>
      <c r="N6779" t="str">
        <f>"101/230013  "</f>
        <v xml:space="preserve">101/230013  </v>
      </c>
      <c r="O6779">
        <v>230616</v>
      </c>
    </row>
    <row r="6780" spans="1:15" x14ac:dyDescent="0.25">
      <c r="A6780" t="s">
        <v>16</v>
      </c>
      <c r="B6780" t="s">
        <v>3221</v>
      </c>
      <c r="C6780">
        <v>17824</v>
      </c>
      <c r="D6780" t="s">
        <v>3294</v>
      </c>
      <c r="E6780" t="s">
        <v>3295</v>
      </c>
      <c r="F6780">
        <v>150.6</v>
      </c>
      <c r="G6780">
        <v>231219</v>
      </c>
      <c r="H6780">
        <v>4500</v>
      </c>
      <c r="I6780" t="s">
        <v>212</v>
      </c>
      <c r="J6780">
        <v>186.74</v>
      </c>
      <c r="K6780">
        <v>36.14</v>
      </c>
      <c r="L6780">
        <v>13802</v>
      </c>
      <c r="M6780" t="s">
        <v>200</v>
      </c>
      <c r="N6780" t="str">
        <f>"101/230061  "</f>
        <v xml:space="preserve">101/230061  </v>
      </c>
      <c r="O6780">
        <v>231227</v>
      </c>
    </row>
    <row r="6781" spans="1:15" x14ac:dyDescent="0.25">
      <c r="A6781" t="s">
        <v>16</v>
      </c>
      <c r="B6781" t="s">
        <v>3221</v>
      </c>
      <c r="C6781">
        <v>13695</v>
      </c>
      <c r="D6781" t="s">
        <v>1126</v>
      </c>
      <c r="E6781" t="s">
        <v>1127</v>
      </c>
      <c r="F6781">
        <v>525</v>
      </c>
      <c r="G6781">
        <v>231004</v>
      </c>
      <c r="H6781">
        <v>4580</v>
      </c>
      <c r="I6781" t="s">
        <v>35</v>
      </c>
      <c r="J6781">
        <v>651</v>
      </c>
      <c r="K6781">
        <v>126</v>
      </c>
      <c r="L6781">
        <v>56564</v>
      </c>
      <c r="M6781" t="s">
        <v>327</v>
      </c>
      <c r="N6781" t="str">
        <f>"27256       "</f>
        <v xml:space="preserve">27256       </v>
      </c>
      <c r="O6781">
        <v>231012</v>
      </c>
    </row>
    <row r="6782" spans="1:15" x14ac:dyDescent="0.25">
      <c r="A6782" t="s">
        <v>16</v>
      </c>
      <c r="B6782" t="s">
        <v>3221</v>
      </c>
      <c r="C6782">
        <v>1665</v>
      </c>
      <c r="D6782" t="s">
        <v>1126</v>
      </c>
      <c r="E6782" t="s">
        <v>1127</v>
      </c>
      <c r="F6782">
        <v>15250</v>
      </c>
      <c r="G6782">
        <v>230209</v>
      </c>
      <c r="H6782">
        <v>1198</v>
      </c>
      <c r="I6782" t="s">
        <v>1128</v>
      </c>
      <c r="J6782">
        <v>18910</v>
      </c>
      <c r="K6782">
        <v>3660</v>
      </c>
      <c r="L6782">
        <v>95511</v>
      </c>
      <c r="M6782" t="s">
        <v>1129</v>
      </c>
      <c r="N6782" t="str">
        <f>"27006       "</f>
        <v xml:space="preserve">27006       </v>
      </c>
      <c r="O6782">
        <v>230213</v>
      </c>
    </row>
    <row r="6783" spans="1:15" x14ac:dyDescent="0.25">
      <c r="A6783" t="s">
        <v>16</v>
      </c>
      <c r="B6783" t="s">
        <v>3221</v>
      </c>
      <c r="C6783">
        <v>10449</v>
      </c>
      <c r="D6783" t="s">
        <v>1126</v>
      </c>
      <c r="E6783" t="s">
        <v>1127</v>
      </c>
      <c r="F6783">
        <v>3050</v>
      </c>
      <c r="G6783">
        <v>230809</v>
      </c>
      <c r="H6783">
        <v>1198</v>
      </c>
      <c r="I6783" t="s">
        <v>1128</v>
      </c>
      <c r="J6783">
        <v>3782</v>
      </c>
      <c r="K6783">
        <v>732</v>
      </c>
      <c r="L6783">
        <v>95511</v>
      </c>
      <c r="M6783" t="s">
        <v>1129</v>
      </c>
      <c r="N6783" t="str">
        <f>"27197       "</f>
        <v xml:space="preserve">27197       </v>
      </c>
      <c r="O6783">
        <v>230816</v>
      </c>
    </row>
    <row r="6784" spans="1:15" x14ac:dyDescent="0.25">
      <c r="A6784" t="s">
        <v>16</v>
      </c>
      <c r="B6784" t="s">
        <v>3221</v>
      </c>
      <c r="C6784">
        <v>10534</v>
      </c>
      <c r="D6784" t="s">
        <v>1126</v>
      </c>
      <c r="E6784" t="s">
        <v>1127</v>
      </c>
      <c r="F6784">
        <v>3600</v>
      </c>
      <c r="G6784">
        <v>230809</v>
      </c>
      <c r="H6784">
        <v>1198</v>
      </c>
      <c r="I6784" t="s">
        <v>1128</v>
      </c>
      <c r="J6784">
        <v>4464</v>
      </c>
      <c r="K6784">
        <v>864</v>
      </c>
      <c r="L6784">
        <v>95511</v>
      </c>
      <c r="M6784" t="s">
        <v>1129</v>
      </c>
      <c r="N6784" t="str">
        <f>"27196       "</f>
        <v xml:space="preserve">27196       </v>
      </c>
      <c r="O6784">
        <v>230818</v>
      </c>
    </row>
    <row r="6785" spans="1:15" x14ac:dyDescent="0.25">
      <c r="A6785" t="s">
        <v>16</v>
      </c>
      <c r="B6785" t="s">
        <v>3221</v>
      </c>
      <c r="C6785">
        <v>3900</v>
      </c>
      <c r="D6785" t="s">
        <v>1126</v>
      </c>
      <c r="E6785" t="s">
        <v>1127</v>
      </c>
      <c r="F6785">
        <v>1645</v>
      </c>
      <c r="G6785">
        <v>230320</v>
      </c>
      <c r="H6785">
        <v>4400</v>
      </c>
      <c r="I6785" t="s">
        <v>348</v>
      </c>
      <c r="J6785">
        <v>2039.8</v>
      </c>
      <c r="K6785">
        <v>394.8</v>
      </c>
      <c r="L6785">
        <v>56564</v>
      </c>
      <c r="M6785" t="s">
        <v>327</v>
      </c>
      <c r="N6785" t="str">
        <f>"27055       "</f>
        <v xml:space="preserve">27055       </v>
      </c>
      <c r="O6785">
        <v>230324</v>
      </c>
    </row>
    <row r="6786" spans="1:15" x14ac:dyDescent="0.25">
      <c r="A6786" t="s">
        <v>16</v>
      </c>
      <c r="B6786" t="s">
        <v>3221</v>
      </c>
      <c r="C6786">
        <v>11094</v>
      </c>
      <c r="D6786" t="s">
        <v>1126</v>
      </c>
      <c r="E6786" t="s">
        <v>1127</v>
      </c>
      <c r="F6786">
        <v>9035.66</v>
      </c>
      <c r="G6786">
        <v>230814</v>
      </c>
      <c r="H6786">
        <v>4400</v>
      </c>
      <c r="I6786" t="s">
        <v>348</v>
      </c>
      <c r="J6786">
        <v>11204.22</v>
      </c>
      <c r="K6786">
        <v>2168.56</v>
      </c>
      <c r="L6786">
        <v>56564</v>
      </c>
      <c r="M6786" t="s">
        <v>327</v>
      </c>
      <c r="N6786" t="str">
        <f>"27202       "</f>
        <v xml:space="preserve">27202       </v>
      </c>
      <c r="O6786">
        <v>230830</v>
      </c>
    </row>
    <row r="6787" spans="1:15" x14ac:dyDescent="0.25">
      <c r="A6787" t="s">
        <v>16</v>
      </c>
      <c r="B6787" t="s">
        <v>3221</v>
      </c>
      <c r="C6787">
        <v>3900</v>
      </c>
      <c r="D6787" t="s">
        <v>1126</v>
      </c>
      <c r="E6787" t="s">
        <v>1127</v>
      </c>
      <c r="F6787">
        <v>90</v>
      </c>
      <c r="G6787">
        <v>230320</v>
      </c>
      <c r="H6787">
        <v>4410</v>
      </c>
      <c r="I6787" t="s">
        <v>517</v>
      </c>
      <c r="J6787">
        <v>111.6</v>
      </c>
      <c r="K6787">
        <v>21.6</v>
      </c>
      <c r="L6787">
        <v>56564</v>
      </c>
      <c r="M6787" t="s">
        <v>327</v>
      </c>
      <c r="N6787" t="str">
        <f>"27055       "</f>
        <v xml:space="preserve">27055       </v>
      </c>
      <c r="O6787">
        <v>230324</v>
      </c>
    </row>
    <row r="6788" spans="1:15" x14ac:dyDescent="0.25">
      <c r="A6788" t="s">
        <v>16</v>
      </c>
      <c r="B6788" t="s">
        <v>3221</v>
      </c>
      <c r="C6788">
        <v>3900</v>
      </c>
      <c r="D6788" t="s">
        <v>1126</v>
      </c>
      <c r="E6788" t="s">
        <v>1127</v>
      </c>
      <c r="F6788">
        <v>408.64</v>
      </c>
      <c r="G6788">
        <v>230320</v>
      </c>
      <c r="H6788">
        <v>4420</v>
      </c>
      <c r="I6788" t="s">
        <v>132</v>
      </c>
      <c r="J6788">
        <v>506.71</v>
      </c>
      <c r="K6788">
        <v>98.07</v>
      </c>
      <c r="L6788">
        <v>56564</v>
      </c>
      <c r="M6788" t="s">
        <v>327</v>
      </c>
      <c r="N6788" t="str">
        <f>"27055       "</f>
        <v xml:space="preserve">27055       </v>
      </c>
      <c r="O6788">
        <v>230324</v>
      </c>
    </row>
    <row r="6789" spans="1:15" x14ac:dyDescent="0.25">
      <c r="A6789" t="s">
        <v>16</v>
      </c>
      <c r="B6789" t="s">
        <v>3221</v>
      </c>
      <c r="C6789">
        <v>11095</v>
      </c>
      <c r="D6789" t="s">
        <v>1126</v>
      </c>
      <c r="E6789" t="s">
        <v>1127</v>
      </c>
      <c r="F6789">
        <v>2671.35</v>
      </c>
      <c r="G6789">
        <v>230814</v>
      </c>
      <c r="H6789">
        <v>4600</v>
      </c>
      <c r="I6789" t="s">
        <v>105</v>
      </c>
      <c r="J6789">
        <v>3312.47</v>
      </c>
      <c r="K6789">
        <v>641.12</v>
      </c>
      <c r="L6789">
        <v>56564</v>
      </c>
      <c r="M6789" t="s">
        <v>327</v>
      </c>
      <c r="N6789" t="str">
        <f>"27203       "</f>
        <v xml:space="preserve">27203       </v>
      </c>
      <c r="O6789">
        <v>230830</v>
      </c>
    </row>
    <row r="6790" spans="1:15" x14ac:dyDescent="0.25">
      <c r="A6790" t="s">
        <v>16</v>
      </c>
      <c r="B6790" t="s">
        <v>3221</v>
      </c>
      <c r="C6790">
        <v>8064</v>
      </c>
      <c r="D6790" t="s">
        <v>1126</v>
      </c>
      <c r="E6790" t="s">
        <v>1127</v>
      </c>
      <c r="F6790">
        <v>2530.62</v>
      </c>
      <c r="G6790">
        <v>230601</v>
      </c>
      <c r="H6790">
        <v>4390</v>
      </c>
      <c r="I6790" t="s">
        <v>98</v>
      </c>
      <c r="J6790">
        <v>3137.97</v>
      </c>
      <c r="K6790">
        <v>607.35</v>
      </c>
      <c r="L6790">
        <v>56564</v>
      </c>
      <c r="M6790" t="s">
        <v>327</v>
      </c>
      <c r="N6790" t="str">
        <f>"27123       "</f>
        <v xml:space="preserve">27123       </v>
      </c>
      <c r="O6790">
        <v>230607</v>
      </c>
    </row>
    <row r="6791" spans="1:15" x14ac:dyDescent="0.25">
      <c r="A6791" t="s">
        <v>16</v>
      </c>
      <c r="B6791" t="s">
        <v>3221</v>
      </c>
      <c r="C6791">
        <v>13425</v>
      </c>
      <c r="D6791" t="s">
        <v>1126</v>
      </c>
      <c r="E6791" t="s">
        <v>1127</v>
      </c>
      <c r="F6791">
        <v>2907.5</v>
      </c>
      <c r="G6791">
        <v>231004</v>
      </c>
      <c r="H6791">
        <v>4390</v>
      </c>
      <c r="I6791" t="s">
        <v>98</v>
      </c>
      <c r="J6791">
        <v>3605.3</v>
      </c>
      <c r="K6791">
        <v>697.8</v>
      </c>
      <c r="L6791">
        <v>56564</v>
      </c>
      <c r="M6791" t="s">
        <v>327</v>
      </c>
      <c r="N6791" t="str">
        <f>"27255       "</f>
        <v xml:space="preserve">27255       </v>
      </c>
      <c r="O6791">
        <v>231010</v>
      </c>
    </row>
    <row r="6792" spans="1:15" x14ac:dyDescent="0.25">
      <c r="A6792" t="s">
        <v>16</v>
      </c>
      <c r="B6792" t="s">
        <v>3221</v>
      </c>
      <c r="C6792">
        <v>8330</v>
      </c>
      <c r="D6792" t="s">
        <v>2172</v>
      </c>
      <c r="E6792" t="s">
        <v>2173</v>
      </c>
      <c r="F6792">
        <v>100</v>
      </c>
      <c r="G6792">
        <v>230604</v>
      </c>
      <c r="H6792">
        <v>4470</v>
      </c>
      <c r="I6792" t="s">
        <v>83</v>
      </c>
      <c r="J6792">
        <v>100</v>
      </c>
      <c r="K6792">
        <v>0</v>
      </c>
      <c r="L6792">
        <v>17972</v>
      </c>
      <c r="M6792" t="s">
        <v>248</v>
      </c>
      <c r="N6792" t="str">
        <f>"153814      "</f>
        <v xml:space="preserve">153814      </v>
      </c>
      <c r="O6792">
        <v>230608</v>
      </c>
    </row>
    <row r="6793" spans="1:15" x14ac:dyDescent="0.25">
      <c r="A6793" t="s">
        <v>16</v>
      </c>
      <c r="B6793" t="s">
        <v>3221</v>
      </c>
      <c r="C6793">
        <v>608</v>
      </c>
      <c r="D6793" t="s">
        <v>3642</v>
      </c>
      <c r="E6793" t="s">
        <v>639</v>
      </c>
      <c r="F6793">
        <v>1520</v>
      </c>
      <c r="G6793">
        <v>230123</v>
      </c>
      <c r="H6793">
        <v>4390</v>
      </c>
      <c r="I6793" t="s">
        <v>98</v>
      </c>
      <c r="J6793">
        <v>1520</v>
      </c>
      <c r="K6793">
        <v>0</v>
      </c>
      <c r="L6793">
        <v>69501</v>
      </c>
      <c r="M6793" t="s">
        <v>185</v>
      </c>
      <c r="N6793" t="str">
        <f>"6023010017  "</f>
        <v xml:space="preserve">6023010017  </v>
      </c>
      <c r="O6793">
        <v>230125</v>
      </c>
    </row>
    <row r="6794" spans="1:15" x14ac:dyDescent="0.25">
      <c r="A6794" t="s">
        <v>16</v>
      </c>
      <c r="B6794" t="s">
        <v>3221</v>
      </c>
      <c r="C6794">
        <v>608</v>
      </c>
      <c r="D6794" t="s">
        <v>3642</v>
      </c>
      <c r="E6794" t="s">
        <v>639</v>
      </c>
      <c r="F6794">
        <v>984.52</v>
      </c>
      <c r="G6794">
        <v>230123</v>
      </c>
      <c r="H6794">
        <v>4590</v>
      </c>
      <c r="I6794" t="s">
        <v>203</v>
      </c>
      <c r="J6794">
        <v>1220.8</v>
      </c>
      <c r="K6794">
        <v>236.28</v>
      </c>
      <c r="L6794">
        <v>69501</v>
      </c>
      <c r="M6794" t="s">
        <v>185</v>
      </c>
      <c r="N6794" t="str">
        <f>"6023010017  "</f>
        <v xml:space="preserve">6023010017  </v>
      </c>
      <c r="O6794">
        <v>230125</v>
      </c>
    </row>
    <row r="6795" spans="1:15" x14ac:dyDescent="0.25">
      <c r="A6795" t="s">
        <v>16</v>
      </c>
      <c r="B6795" t="s">
        <v>3221</v>
      </c>
      <c r="C6795">
        <v>1267</v>
      </c>
      <c r="D6795" t="s">
        <v>3353</v>
      </c>
      <c r="E6795" t="s">
        <v>3354</v>
      </c>
      <c r="F6795">
        <v>200</v>
      </c>
      <c r="G6795">
        <v>230203</v>
      </c>
      <c r="H6795">
        <v>4600</v>
      </c>
      <c r="I6795" t="s">
        <v>105</v>
      </c>
      <c r="J6795">
        <v>200</v>
      </c>
      <c r="K6795">
        <v>0</v>
      </c>
      <c r="L6795">
        <v>17131</v>
      </c>
      <c r="M6795" t="s">
        <v>64</v>
      </c>
      <c r="N6795" t="str">
        <f>"5909        "</f>
        <v xml:space="preserve">5909        </v>
      </c>
      <c r="O6795">
        <v>230207</v>
      </c>
    </row>
    <row r="6796" spans="1:15" x14ac:dyDescent="0.25">
      <c r="A6796" t="s">
        <v>16</v>
      </c>
      <c r="B6796" t="s">
        <v>3221</v>
      </c>
      <c r="C6796">
        <v>4378</v>
      </c>
      <c r="D6796" t="s">
        <v>1704</v>
      </c>
      <c r="E6796" t="s">
        <v>1705</v>
      </c>
      <c r="F6796">
        <v>315.12</v>
      </c>
      <c r="G6796">
        <v>230316</v>
      </c>
      <c r="H6796">
        <v>4600</v>
      </c>
      <c r="I6796" t="s">
        <v>105</v>
      </c>
      <c r="J6796">
        <v>390.75</v>
      </c>
      <c r="K6796">
        <v>75.63</v>
      </c>
      <c r="L6796">
        <v>44453</v>
      </c>
      <c r="M6796" t="s">
        <v>492</v>
      </c>
      <c r="N6796" t="str">
        <f>"1035348     "</f>
        <v xml:space="preserve">1035348     </v>
      </c>
      <c r="O6796">
        <v>230405</v>
      </c>
    </row>
    <row r="6797" spans="1:15" x14ac:dyDescent="0.25">
      <c r="A6797" t="s">
        <v>16</v>
      </c>
      <c r="B6797" t="s">
        <v>3221</v>
      </c>
      <c r="C6797">
        <v>4378</v>
      </c>
      <c r="D6797" t="s">
        <v>1704</v>
      </c>
      <c r="E6797" t="s">
        <v>1705</v>
      </c>
      <c r="F6797">
        <v>491.22</v>
      </c>
      <c r="G6797">
        <v>230316</v>
      </c>
      <c r="H6797">
        <v>4555</v>
      </c>
      <c r="I6797" t="s">
        <v>481</v>
      </c>
      <c r="J6797">
        <v>609.11</v>
      </c>
      <c r="K6797">
        <v>117.89</v>
      </c>
      <c r="L6797">
        <v>44453</v>
      </c>
      <c r="M6797" t="s">
        <v>492</v>
      </c>
      <c r="N6797" t="str">
        <f>"1035348     "</f>
        <v xml:space="preserve">1035348     </v>
      </c>
      <c r="O6797">
        <v>230405</v>
      </c>
    </row>
    <row r="6798" spans="1:15" x14ac:dyDescent="0.25">
      <c r="A6798" t="s">
        <v>16</v>
      </c>
      <c r="B6798" t="s">
        <v>3221</v>
      </c>
      <c r="C6798">
        <v>16559</v>
      </c>
      <c r="D6798" t="s">
        <v>1704</v>
      </c>
      <c r="E6798" t="s">
        <v>1705</v>
      </c>
      <c r="F6798">
        <v>371.12</v>
      </c>
      <c r="G6798">
        <v>231120</v>
      </c>
      <c r="H6798">
        <v>4555</v>
      </c>
      <c r="I6798" t="s">
        <v>481</v>
      </c>
      <c r="J6798">
        <v>460.19</v>
      </c>
      <c r="K6798">
        <v>89.07</v>
      </c>
      <c r="L6798">
        <v>44453</v>
      </c>
      <c r="M6798" t="s">
        <v>492</v>
      </c>
      <c r="N6798" t="str">
        <f>"1036746     "</f>
        <v xml:space="preserve">1036746     </v>
      </c>
      <c r="O6798">
        <v>231201</v>
      </c>
    </row>
    <row r="6799" spans="1:15" x14ac:dyDescent="0.25">
      <c r="A6799" t="s">
        <v>16</v>
      </c>
      <c r="B6799" t="s">
        <v>3221</v>
      </c>
      <c r="C6799">
        <v>13122</v>
      </c>
      <c r="D6799" t="s">
        <v>3537</v>
      </c>
      <c r="E6799" t="s">
        <v>3538</v>
      </c>
      <c r="F6799">
        <v>21.77</v>
      </c>
      <c r="G6799">
        <v>230923</v>
      </c>
      <c r="H6799">
        <v>4600</v>
      </c>
      <c r="I6799" t="s">
        <v>105</v>
      </c>
      <c r="J6799">
        <v>27</v>
      </c>
      <c r="K6799">
        <v>5.23</v>
      </c>
      <c r="L6799">
        <v>17524</v>
      </c>
      <c r="M6799" t="s">
        <v>452</v>
      </c>
      <c r="N6799" t="str">
        <f>"3713        "</f>
        <v xml:space="preserve">3713        </v>
      </c>
      <c r="O6799">
        <v>231004</v>
      </c>
    </row>
    <row r="6800" spans="1:15" x14ac:dyDescent="0.25">
      <c r="A6800" t="s">
        <v>16</v>
      </c>
      <c r="B6800" t="s">
        <v>3221</v>
      </c>
      <c r="C6800">
        <v>17607</v>
      </c>
      <c r="D6800" t="s">
        <v>3537</v>
      </c>
      <c r="E6800" t="s">
        <v>3538</v>
      </c>
      <c r="F6800">
        <v>72.58</v>
      </c>
      <c r="G6800">
        <v>231213</v>
      </c>
      <c r="H6800">
        <v>4600</v>
      </c>
      <c r="I6800" t="s">
        <v>105</v>
      </c>
      <c r="J6800">
        <v>90</v>
      </c>
      <c r="K6800">
        <v>17.420000000000002</v>
      </c>
      <c r="L6800">
        <v>17524</v>
      </c>
      <c r="M6800" t="s">
        <v>452</v>
      </c>
      <c r="N6800" t="str">
        <f>"3851        "</f>
        <v xml:space="preserve">3851        </v>
      </c>
      <c r="O6800">
        <v>231215</v>
      </c>
    </row>
    <row r="6801" spans="1:15" x14ac:dyDescent="0.25">
      <c r="A6801" t="s">
        <v>16</v>
      </c>
      <c r="B6801" t="s">
        <v>3221</v>
      </c>
      <c r="C6801">
        <v>1131</v>
      </c>
      <c r="D6801" t="s">
        <v>903</v>
      </c>
      <c r="E6801" t="s">
        <v>904</v>
      </c>
      <c r="F6801">
        <v>47.18</v>
      </c>
      <c r="G6801">
        <v>230131</v>
      </c>
      <c r="H6801">
        <v>4470</v>
      </c>
      <c r="I6801" t="s">
        <v>83</v>
      </c>
      <c r="J6801">
        <v>58.5</v>
      </c>
      <c r="K6801">
        <v>11.32</v>
      </c>
      <c r="L6801">
        <v>56568</v>
      </c>
      <c r="M6801" t="s">
        <v>268</v>
      </c>
      <c r="N6801" t="str">
        <f>"10261       "</f>
        <v xml:space="preserve">10261       </v>
      </c>
      <c r="O6801">
        <v>230206</v>
      </c>
    </row>
    <row r="6802" spans="1:15" x14ac:dyDescent="0.25">
      <c r="A6802" t="s">
        <v>16</v>
      </c>
      <c r="B6802" t="s">
        <v>3221</v>
      </c>
      <c r="C6802">
        <v>2748</v>
      </c>
      <c r="D6802" t="s">
        <v>903</v>
      </c>
      <c r="E6802" t="s">
        <v>904</v>
      </c>
      <c r="F6802">
        <v>54.44</v>
      </c>
      <c r="G6802">
        <v>230228</v>
      </c>
      <c r="H6802">
        <v>4470</v>
      </c>
      <c r="I6802" t="s">
        <v>83</v>
      </c>
      <c r="J6802">
        <v>67.5</v>
      </c>
      <c r="K6802">
        <v>13.06</v>
      </c>
      <c r="L6802">
        <v>56568</v>
      </c>
      <c r="M6802" t="s">
        <v>268</v>
      </c>
      <c r="N6802" t="str">
        <f>"10286       "</f>
        <v xml:space="preserve">10286       </v>
      </c>
      <c r="O6802">
        <v>230307</v>
      </c>
    </row>
    <row r="6803" spans="1:15" x14ac:dyDescent="0.25">
      <c r="A6803" t="s">
        <v>16</v>
      </c>
      <c r="B6803" t="s">
        <v>3221</v>
      </c>
      <c r="C6803">
        <v>4608</v>
      </c>
      <c r="D6803" t="s">
        <v>903</v>
      </c>
      <c r="E6803" t="s">
        <v>904</v>
      </c>
      <c r="F6803">
        <v>94.35</v>
      </c>
      <c r="G6803">
        <v>230331</v>
      </c>
      <c r="H6803">
        <v>4470</v>
      </c>
      <c r="I6803" t="s">
        <v>83</v>
      </c>
      <c r="J6803">
        <v>117</v>
      </c>
      <c r="K6803">
        <v>22.65</v>
      </c>
      <c r="L6803">
        <v>56568</v>
      </c>
      <c r="M6803" t="s">
        <v>268</v>
      </c>
      <c r="N6803" t="str">
        <f>"10302       "</f>
        <v xml:space="preserve">10302       </v>
      </c>
      <c r="O6803">
        <v>230411</v>
      </c>
    </row>
    <row r="6804" spans="1:15" x14ac:dyDescent="0.25">
      <c r="A6804" t="s">
        <v>16</v>
      </c>
      <c r="B6804" t="s">
        <v>3221</v>
      </c>
      <c r="C6804">
        <v>5783</v>
      </c>
      <c r="D6804" t="s">
        <v>903</v>
      </c>
      <c r="E6804" t="s">
        <v>904</v>
      </c>
      <c r="F6804">
        <v>20.16</v>
      </c>
      <c r="G6804">
        <v>230430</v>
      </c>
      <c r="H6804">
        <v>4470</v>
      </c>
      <c r="I6804" t="s">
        <v>83</v>
      </c>
      <c r="J6804">
        <v>25</v>
      </c>
      <c r="K6804">
        <v>4.84</v>
      </c>
      <c r="L6804">
        <v>56568</v>
      </c>
      <c r="M6804" t="s">
        <v>268</v>
      </c>
      <c r="N6804" t="str">
        <f>"5220        "</f>
        <v xml:space="preserve">5220        </v>
      </c>
      <c r="O6804">
        <v>230502</v>
      </c>
    </row>
    <row r="6805" spans="1:15" x14ac:dyDescent="0.25">
      <c r="A6805" t="s">
        <v>16</v>
      </c>
      <c r="B6805" t="s">
        <v>3221</v>
      </c>
      <c r="C6805">
        <v>7724</v>
      </c>
      <c r="D6805" t="s">
        <v>903</v>
      </c>
      <c r="E6805" t="s">
        <v>904</v>
      </c>
      <c r="F6805">
        <v>43.55</v>
      </c>
      <c r="G6805">
        <v>230531</v>
      </c>
      <c r="H6805">
        <v>4470</v>
      </c>
      <c r="I6805" t="s">
        <v>83</v>
      </c>
      <c r="J6805">
        <v>54</v>
      </c>
      <c r="K6805">
        <v>10.45</v>
      </c>
      <c r="L6805">
        <v>56568</v>
      </c>
      <c r="M6805" t="s">
        <v>268</v>
      </c>
      <c r="N6805" t="str">
        <f>"10347       "</f>
        <v xml:space="preserve">10347       </v>
      </c>
      <c r="O6805">
        <v>230602</v>
      </c>
    </row>
    <row r="6806" spans="1:15" x14ac:dyDescent="0.25">
      <c r="A6806" t="s">
        <v>16</v>
      </c>
      <c r="B6806" t="s">
        <v>3221</v>
      </c>
      <c r="C6806">
        <v>11498</v>
      </c>
      <c r="D6806" t="s">
        <v>903</v>
      </c>
      <c r="E6806" t="s">
        <v>904</v>
      </c>
      <c r="F6806">
        <v>79.84</v>
      </c>
      <c r="G6806">
        <v>230831</v>
      </c>
      <c r="H6806">
        <v>4470</v>
      </c>
      <c r="I6806" t="s">
        <v>83</v>
      </c>
      <c r="J6806">
        <v>99</v>
      </c>
      <c r="K6806">
        <v>19.16</v>
      </c>
      <c r="L6806">
        <v>56568</v>
      </c>
      <c r="M6806" t="s">
        <v>268</v>
      </c>
      <c r="N6806" t="str">
        <f>"10438       "</f>
        <v xml:space="preserve">10438       </v>
      </c>
      <c r="O6806">
        <v>230907</v>
      </c>
    </row>
    <row r="6807" spans="1:15" x14ac:dyDescent="0.25">
      <c r="A6807" t="s">
        <v>16</v>
      </c>
      <c r="B6807" t="s">
        <v>3221</v>
      </c>
      <c r="C6807">
        <v>13421</v>
      </c>
      <c r="D6807" t="s">
        <v>903</v>
      </c>
      <c r="E6807" t="s">
        <v>904</v>
      </c>
      <c r="F6807">
        <v>76.209999999999994</v>
      </c>
      <c r="G6807">
        <v>230930</v>
      </c>
      <c r="H6807">
        <v>4470</v>
      </c>
      <c r="I6807" t="s">
        <v>83</v>
      </c>
      <c r="J6807">
        <v>94.5</v>
      </c>
      <c r="K6807">
        <v>18.29</v>
      </c>
      <c r="L6807">
        <v>56568</v>
      </c>
      <c r="M6807" t="s">
        <v>268</v>
      </c>
      <c r="N6807" t="str">
        <f>"10457       "</f>
        <v xml:space="preserve">10457       </v>
      </c>
      <c r="O6807">
        <v>231010</v>
      </c>
    </row>
    <row r="6808" spans="1:15" x14ac:dyDescent="0.25">
      <c r="A6808" t="s">
        <v>16</v>
      </c>
      <c r="B6808" t="s">
        <v>3221</v>
      </c>
      <c r="C6808">
        <v>16555</v>
      </c>
      <c r="D6808" t="s">
        <v>903</v>
      </c>
      <c r="E6808" t="s">
        <v>904</v>
      </c>
      <c r="F6808">
        <v>112.5</v>
      </c>
      <c r="G6808">
        <v>231130</v>
      </c>
      <c r="H6808">
        <v>4470</v>
      </c>
      <c r="I6808" t="s">
        <v>83</v>
      </c>
      <c r="J6808">
        <v>139.5</v>
      </c>
      <c r="K6808">
        <v>27</v>
      </c>
      <c r="L6808">
        <v>56568</v>
      </c>
      <c r="M6808" t="s">
        <v>268</v>
      </c>
      <c r="N6808" t="str">
        <f>"10506       "</f>
        <v xml:space="preserve">10506       </v>
      </c>
      <c r="O6808">
        <v>231201</v>
      </c>
    </row>
    <row r="6809" spans="1:15" x14ac:dyDescent="0.25">
      <c r="A6809" t="s">
        <v>16</v>
      </c>
      <c r="B6809" t="s">
        <v>3221</v>
      </c>
      <c r="C6809">
        <v>10865</v>
      </c>
      <c r="D6809" t="s">
        <v>1836</v>
      </c>
      <c r="E6809" t="s">
        <v>1837</v>
      </c>
      <c r="F6809">
        <v>330</v>
      </c>
      <c r="G6809">
        <v>230822</v>
      </c>
      <c r="H6809">
        <v>4410</v>
      </c>
      <c r="I6809" t="s">
        <v>517</v>
      </c>
      <c r="J6809">
        <v>409.2</v>
      </c>
      <c r="K6809">
        <v>79.2</v>
      </c>
      <c r="L6809">
        <v>69113</v>
      </c>
      <c r="M6809" t="s">
        <v>282</v>
      </c>
      <c r="N6809" t="str">
        <f>"518461      "</f>
        <v xml:space="preserve">518461      </v>
      </c>
      <c r="O6809">
        <v>230824</v>
      </c>
    </row>
    <row r="6810" spans="1:15" x14ac:dyDescent="0.25">
      <c r="A6810" t="s">
        <v>16</v>
      </c>
      <c r="B6810" t="s">
        <v>3221</v>
      </c>
      <c r="C6810">
        <v>18162</v>
      </c>
      <c r="D6810" t="s">
        <v>1836</v>
      </c>
      <c r="E6810" t="s">
        <v>1837</v>
      </c>
      <c r="F6810">
        <v>50</v>
      </c>
      <c r="G6810">
        <v>231218</v>
      </c>
      <c r="H6810">
        <v>4940</v>
      </c>
      <c r="I6810" t="s">
        <v>514</v>
      </c>
      <c r="J6810">
        <v>62</v>
      </c>
      <c r="K6810">
        <v>12</v>
      </c>
      <c r="L6810">
        <v>66754</v>
      </c>
      <c r="M6810" t="s">
        <v>239</v>
      </c>
      <c r="N6810" t="str">
        <f>"617685      "</f>
        <v xml:space="preserve">617685      </v>
      </c>
      <c r="O6810">
        <v>240102</v>
      </c>
    </row>
    <row r="6811" spans="1:15" x14ac:dyDescent="0.25">
      <c r="A6811" t="s">
        <v>16</v>
      </c>
      <c r="B6811" t="s">
        <v>3221</v>
      </c>
      <c r="C6811">
        <v>18164</v>
      </c>
      <c r="D6811" t="s">
        <v>1836</v>
      </c>
      <c r="E6811" t="s">
        <v>1837</v>
      </c>
      <c r="F6811">
        <v>50</v>
      </c>
      <c r="G6811">
        <v>231218</v>
      </c>
      <c r="H6811">
        <v>4940</v>
      </c>
      <c r="I6811" t="s">
        <v>514</v>
      </c>
      <c r="J6811">
        <v>62</v>
      </c>
      <c r="K6811">
        <v>12</v>
      </c>
      <c r="L6811">
        <v>66754</v>
      </c>
      <c r="M6811" t="s">
        <v>239</v>
      </c>
      <c r="N6811" t="str">
        <f>"800217      "</f>
        <v xml:space="preserve">800217      </v>
      </c>
      <c r="O6811">
        <v>240102</v>
      </c>
    </row>
    <row r="6812" spans="1:15" x14ac:dyDescent="0.25">
      <c r="A6812" t="s">
        <v>16</v>
      </c>
      <c r="B6812" t="s">
        <v>3221</v>
      </c>
      <c r="C6812">
        <v>12340</v>
      </c>
      <c r="D6812" t="s">
        <v>2561</v>
      </c>
      <c r="E6812" t="s">
        <v>2562</v>
      </c>
      <c r="F6812">
        <v>270</v>
      </c>
      <c r="G6812">
        <v>230914</v>
      </c>
      <c r="H6812">
        <v>4441</v>
      </c>
      <c r="I6812" t="s">
        <v>109</v>
      </c>
      <c r="J6812">
        <v>270</v>
      </c>
      <c r="K6812">
        <v>0</v>
      </c>
      <c r="L6812">
        <v>66722</v>
      </c>
      <c r="M6812" t="s">
        <v>518</v>
      </c>
      <c r="N6812" t="str">
        <f>"ML-01452    "</f>
        <v xml:space="preserve">ML-01452    </v>
      </c>
      <c r="O6812">
        <v>230918</v>
      </c>
    </row>
    <row r="6813" spans="1:15" x14ac:dyDescent="0.25">
      <c r="A6813" t="s">
        <v>16</v>
      </c>
      <c r="B6813" t="s">
        <v>3221</v>
      </c>
      <c r="C6813">
        <v>9209</v>
      </c>
      <c r="D6813" t="s">
        <v>3643</v>
      </c>
      <c r="E6813" t="s">
        <v>2280</v>
      </c>
      <c r="F6813">
        <v>60</v>
      </c>
      <c r="G6813">
        <v>230629</v>
      </c>
      <c r="H6813">
        <v>4350</v>
      </c>
      <c r="I6813" t="s">
        <v>546</v>
      </c>
      <c r="J6813">
        <v>74.400000000000006</v>
      </c>
      <c r="K6813">
        <v>14.4</v>
      </c>
      <c r="L6813">
        <v>13561</v>
      </c>
      <c r="M6813" t="s">
        <v>246</v>
      </c>
      <c r="N6813" t="str">
        <f>"59966       "</f>
        <v xml:space="preserve">59966       </v>
      </c>
      <c r="O6813">
        <v>230629</v>
      </c>
    </row>
    <row r="6814" spans="1:15" x14ac:dyDescent="0.25">
      <c r="A6814" t="s">
        <v>16</v>
      </c>
      <c r="B6814" t="s">
        <v>3221</v>
      </c>
      <c r="C6814">
        <v>9209</v>
      </c>
      <c r="D6814" t="s">
        <v>3643</v>
      </c>
      <c r="E6814" t="s">
        <v>2280</v>
      </c>
      <c r="F6814">
        <v>240</v>
      </c>
      <c r="G6814">
        <v>230629</v>
      </c>
      <c r="H6814">
        <v>4350</v>
      </c>
      <c r="I6814" t="s">
        <v>546</v>
      </c>
      <c r="J6814">
        <v>297.60000000000002</v>
      </c>
      <c r="K6814">
        <v>57.6</v>
      </c>
      <c r="L6814">
        <v>17972</v>
      </c>
      <c r="M6814" t="s">
        <v>248</v>
      </c>
      <c r="N6814" t="str">
        <f>"59966       "</f>
        <v xml:space="preserve">59966       </v>
      </c>
      <c r="O6814">
        <v>230629</v>
      </c>
    </row>
    <row r="6815" spans="1:15" x14ac:dyDescent="0.25">
      <c r="A6815" t="s">
        <v>16</v>
      </c>
      <c r="B6815" t="s">
        <v>3221</v>
      </c>
      <c r="C6815">
        <v>10766</v>
      </c>
      <c r="D6815" t="s">
        <v>2415</v>
      </c>
      <c r="E6815" t="s">
        <v>2416</v>
      </c>
      <c r="F6815">
        <v>1500</v>
      </c>
      <c r="G6815">
        <v>230815</v>
      </c>
      <c r="H6815">
        <v>4346</v>
      </c>
      <c r="I6815" t="s">
        <v>197</v>
      </c>
      <c r="J6815">
        <v>1860</v>
      </c>
      <c r="K6815">
        <v>360</v>
      </c>
      <c r="L6815">
        <v>11908</v>
      </c>
      <c r="M6815" t="s">
        <v>598</v>
      </c>
      <c r="N6815" t="str">
        <f>"2318        "</f>
        <v xml:space="preserve">2318        </v>
      </c>
      <c r="O6815">
        <v>230822</v>
      </c>
    </row>
    <row r="6816" spans="1:15" x14ac:dyDescent="0.25">
      <c r="A6816" t="s">
        <v>16</v>
      </c>
      <c r="B6816" t="s">
        <v>3221</v>
      </c>
      <c r="C6816">
        <v>3385</v>
      </c>
      <c r="D6816" t="s">
        <v>3644</v>
      </c>
      <c r="E6816" t="s">
        <v>3395</v>
      </c>
      <c r="F6816">
        <v>34</v>
      </c>
      <c r="G6816">
        <v>230313</v>
      </c>
      <c r="H6816">
        <v>4510</v>
      </c>
      <c r="I6816" t="s">
        <v>42</v>
      </c>
      <c r="J6816">
        <v>34</v>
      </c>
      <c r="K6816">
        <v>0</v>
      </c>
      <c r="L6816">
        <v>53222</v>
      </c>
      <c r="M6816" t="s">
        <v>445</v>
      </c>
      <c r="N6816" t="str">
        <f>"149018      "</f>
        <v xml:space="preserve">149018      </v>
      </c>
      <c r="O6816">
        <v>230315</v>
      </c>
    </row>
    <row r="6817" spans="1:15" x14ac:dyDescent="0.25">
      <c r="A6817" t="s">
        <v>16</v>
      </c>
      <c r="B6817" t="s">
        <v>3221</v>
      </c>
      <c r="C6817">
        <v>13407</v>
      </c>
      <c r="D6817" t="s">
        <v>3645</v>
      </c>
      <c r="E6817" t="s">
        <v>2318</v>
      </c>
      <c r="F6817">
        <v>277.27999999999997</v>
      </c>
      <c r="G6817">
        <v>230930</v>
      </c>
      <c r="H6817">
        <v>4410</v>
      </c>
      <c r="I6817" t="s">
        <v>517</v>
      </c>
      <c r="J6817">
        <v>316.10000000000002</v>
      </c>
      <c r="K6817">
        <v>38.82</v>
      </c>
      <c r="L6817">
        <v>17538</v>
      </c>
      <c r="M6817" t="s">
        <v>24</v>
      </c>
      <c r="N6817" t="str">
        <f>"1084        "</f>
        <v xml:space="preserve">1084        </v>
      </c>
      <c r="O6817">
        <v>231010</v>
      </c>
    </row>
    <row r="6818" spans="1:15" x14ac:dyDescent="0.25">
      <c r="A6818" t="s">
        <v>16</v>
      </c>
      <c r="B6818" t="s">
        <v>3221</v>
      </c>
      <c r="C6818">
        <v>9684</v>
      </c>
      <c r="D6818" t="s">
        <v>3645</v>
      </c>
      <c r="E6818" t="s">
        <v>2318</v>
      </c>
      <c r="F6818">
        <v>1100</v>
      </c>
      <c r="G6818">
        <v>230801</v>
      </c>
      <c r="H6818">
        <v>4860</v>
      </c>
      <c r="I6818" t="s">
        <v>28</v>
      </c>
      <c r="J6818">
        <v>1364</v>
      </c>
      <c r="K6818">
        <v>264</v>
      </c>
      <c r="L6818">
        <v>17538</v>
      </c>
      <c r="M6818" t="s">
        <v>24</v>
      </c>
      <c r="N6818" t="str">
        <f>"1072        "</f>
        <v xml:space="preserve">1072        </v>
      </c>
      <c r="O6818">
        <v>230719</v>
      </c>
    </row>
    <row r="6819" spans="1:15" x14ac:dyDescent="0.25">
      <c r="A6819" t="s">
        <v>16</v>
      </c>
      <c r="B6819" t="s">
        <v>3221</v>
      </c>
      <c r="C6819">
        <v>9684</v>
      </c>
      <c r="D6819" t="s">
        <v>3645</v>
      </c>
      <c r="E6819" t="s">
        <v>2318</v>
      </c>
      <c r="F6819">
        <v>250</v>
      </c>
      <c r="G6819">
        <v>230801</v>
      </c>
      <c r="H6819">
        <v>4572</v>
      </c>
      <c r="I6819" t="s">
        <v>122</v>
      </c>
      <c r="J6819">
        <v>310</v>
      </c>
      <c r="K6819">
        <v>60</v>
      </c>
      <c r="L6819">
        <v>17538</v>
      </c>
      <c r="M6819" t="s">
        <v>24</v>
      </c>
      <c r="N6819" t="str">
        <f>"1072        "</f>
        <v xml:space="preserve">1072        </v>
      </c>
      <c r="O6819">
        <v>230719</v>
      </c>
    </row>
    <row r="6820" spans="1:15" x14ac:dyDescent="0.25">
      <c r="A6820" t="s">
        <v>16</v>
      </c>
      <c r="B6820" t="s">
        <v>3221</v>
      </c>
      <c r="C6820">
        <v>7048</v>
      </c>
      <c r="D6820" t="s">
        <v>2051</v>
      </c>
      <c r="E6820" t="s">
        <v>2052</v>
      </c>
      <c r="F6820">
        <v>819.2</v>
      </c>
      <c r="G6820">
        <v>230516</v>
      </c>
      <c r="H6820">
        <v>4390</v>
      </c>
      <c r="I6820" t="s">
        <v>98</v>
      </c>
      <c r="J6820">
        <v>819.2</v>
      </c>
      <c r="K6820">
        <v>0</v>
      </c>
      <c r="L6820">
        <v>59501</v>
      </c>
      <c r="M6820" t="s">
        <v>69</v>
      </c>
      <c r="N6820" t="str">
        <f>"95          "</f>
        <v xml:space="preserve">95          </v>
      </c>
      <c r="O6820">
        <v>230525</v>
      </c>
    </row>
    <row r="6821" spans="1:15" x14ac:dyDescent="0.25">
      <c r="A6821" t="s">
        <v>16</v>
      </c>
      <c r="B6821" t="s">
        <v>3221</v>
      </c>
      <c r="C6821">
        <v>155</v>
      </c>
      <c r="D6821" t="s">
        <v>236</v>
      </c>
      <c r="E6821" t="s">
        <v>237</v>
      </c>
      <c r="F6821">
        <v>1524.82</v>
      </c>
      <c r="G6821">
        <v>230103</v>
      </c>
      <c r="H6821">
        <v>4557</v>
      </c>
      <c r="I6821" t="s">
        <v>238</v>
      </c>
      <c r="J6821">
        <v>1890.78</v>
      </c>
      <c r="K6821">
        <v>365.96</v>
      </c>
      <c r="L6821">
        <v>66754</v>
      </c>
      <c r="M6821" t="s">
        <v>239</v>
      </c>
      <c r="N6821" t="str">
        <f>"36059618    "</f>
        <v xml:space="preserve">36059618    </v>
      </c>
      <c r="O6821">
        <v>230113</v>
      </c>
    </row>
    <row r="6822" spans="1:15" x14ac:dyDescent="0.25">
      <c r="A6822" t="s">
        <v>16</v>
      </c>
      <c r="B6822" t="s">
        <v>3221</v>
      </c>
      <c r="C6822">
        <v>224</v>
      </c>
      <c r="D6822" t="s">
        <v>236</v>
      </c>
      <c r="E6822" t="s">
        <v>237</v>
      </c>
      <c r="F6822">
        <v>361.33</v>
      </c>
      <c r="G6822">
        <v>230110</v>
      </c>
      <c r="H6822">
        <v>4557</v>
      </c>
      <c r="I6822" t="s">
        <v>238</v>
      </c>
      <c r="J6822">
        <v>448.05</v>
      </c>
      <c r="K6822">
        <v>86.72</v>
      </c>
      <c r="L6822">
        <v>66754</v>
      </c>
      <c r="M6822" t="s">
        <v>239</v>
      </c>
      <c r="N6822" t="str">
        <f>"36059990    "</f>
        <v xml:space="preserve">36059990    </v>
      </c>
      <c r="O6822">
        <v>230116</v>
      </c>
    </row>
    <row r="6823" spans="1:15" x14ac:dyDescent="0.25">
      <c r="A6823" t="s">
        <v>16</v>
      </c>
      <c r="B6823" t="s">
        <v>3221</v>
      </c>
      <c r="C6823">
        <v>5863</v>
      </c>
      <c r="D6823" t="s">
        <v>236</v>
      </c>
      <c r="E6823" t="s">
        <v>237</v>
      </c>
      <c r="F6823">
        <v>1714.95</v>
      </c>
      <c r="G6823">
        <v>230428</v>
      </c>
      <c r="H6823">
        <v>4557</v>
      </c>
      <c r="I6823" t="s">
        <v>238</v>
      </c>
      <c r="J6823">
        <v>2126.54</v>
      </c>
      <c r="K6823">
        <v>411.59</v>
      </c>
      <c r="L6823">
        <v>66754</v>
      </c>
      <c r="M6823" t="s">
        <v>239</v>
      </c>
      <c r="N6823" t="str">
        <f>"36067652    "</f>
        <v xml:space="preserve">36067652    </v>
      </c>
      <c r="O6823">
        <v>230503</v>
      </c>
    </row>
    <row r="6824" spans="1:15" x14ac:dyDescent="0.25">
      <c r="A6824" t="s">
        <v>16</v>
      </c>
      <c r="B6824" t="s">
        <v>3221</v>
      </c>
      <c r="C6824">
        <v>13985</v>
      </c>
      <c r="D6824" t="s">
        <v>236</v>
      </c>
      <c r="E6824" t="s">
        <v>237</v>
      </c>
      <c r="F6824">
        <v>2499.92</v>
      </c>
      <c r="G6824">
        <v>231011</v>
      </c>
      <c r="H6824">
        <v>4557</v>
      </c>
      <c r="I6824" t="s">
        <v>238</v>
      </c>
      <c r="J6824">
        <v>3099.9</v>
      </c>
      <c r="K6824">
        <v>599.98</v>
      </c>
      <c r="L6824">
        <v>66754</v>
      </c>
      <c r="M6824" t="s">
        <v>239</v>
      </c>
      <c r="N6824" t="str">
        <f>"36082800    "</f>
        <v xml:space="preserve">36082800    </v>
      </c>
      <c r="O6824">
        <v>231017</v>
      </c>
    </row>
    <row r="6825" spans="1:15" x14ac:dyDescent="0.25">
      <c r="A6825" t="s">
        <v>16</v>
      </c>
      <c r="B6825" t="s">
        <v>3221</v>
      </c>
      <c r="C6825">
        <v>13985</v>
      </c>
      <c r="D6825" t="s">
        <v>236</v>
      </c>
      <c r="E6825" t="s">
        <v>237</v>
      </c>
      <c r="F6825">
        <v>44.07</v>
      </c>
      <c r="G6825">
        <v>231011</v>
      </c>
      <c r="H6825">
        <v>4557</v>
      </c>
      <c r="I6825" t="s">
        <v>238</v>
      </c>
      <c r="J6825">
        <v>54.65</v>
      </c>
      <c r="K6825">
        <v>10.58</v>
      </c>
      <c r="L6825">
        <v>66754</v>
      </c>
      <c r="M6825" t="s">
        <v>239</v>
      </c>
      <c r="N6825" t="str">
        <f>"36082800    "</f>
        <v xml:space="preserve">36082800    </v>
      </c>
      <c r="O6825">
        <v>231017</v>
      </c>
    </row>
    <row r="6826" spans="1:15" x14ac:dyDescent="0.25">
      <c r="A6826" t="s">
        <v>16</v>
      </c>
      <c r="B6826" t="s">
        <v>3221</v>
      </c>
      <c r="C6826">
        <v>13985</v>
      </c>
      <c r="D6826" t="s">
        <v>236</v>
      </c>
      <c r="E6826" t="s">
        <v>237</v>
      </c>
      <c r="F6826">
        <v>308.45</v>
      </c>
      <c r="G6826">
        <v>231011</v>
      </c>
      <c r="H6826">
        <v>4420</v>
      </c>
      <c r="I6826" t="s">
        <v>132</v>
      </c>
      <c r="J6826">
        <v>382.48</v>
      </c>
      <c r="K6826">
        <v>74.03</v>
      </c>
      <c r="L6826">
        <v>66754</v>
      </c>
      <c r="M6826" t="s">
        <v>239</v>
      </c>
      <c r="N6826" t="str">
        <f>"36082800    "</f>
        <v xml:space="preserve">36082800    </v>
      </c>
      <c r="O6826">
        <v>231017</v>
      </c>
    </row>
    <row r="6827" spans="1:15" x14ac:dyDescent="0.25">
      <c r="A6827" t="s">
        <v>16</v>
      </c>
      <c r="B6827" t="s">
        <v>3221</v>
      </c>
      <c r="C6827">
        <v>13985</v>
      </c>
      <c r="D6827" t="s">
        <v>236</v>
      </c>
      <c r="E6827" t="s">
        <v>237</v>
      </c>
      <c r="F6827">
        <v>44.07</v>
      </c>
      <c r="G6827">
        <v>231011</v>
      </c>
      <c r="H6827">
        <v>4420</v>
      </c>
      <c r="I6827" t="s">
        <v>132</v>
      </c>
      <c r="J6827">
        <v>54.65</v>
      </c>
      <c r="K6827">
        <v>10.58</v>
      </c>
      <c r="L6827">
        <v>66754</v>
      </c>
      <c r="M6827" t="s">
        <v>239</v>
      </c>
      <c r="N6827" t="str">
        <f>"36082800    "</f>
        <v xml:space="preserve">36082800    </v>
      </c>
      <c r="O6827">
        <v>231017</v>
      </c>
    </row>
    <row r="6828" spans="1:15" x14ac:dyDescent="0.25">
      <c r="A6828" t="s">
        <v>16</v>
      </c>
      <c r="B6828" t="s">
        <v>3221</v>
      </c>
      <c r="C6828">
        <v>1149</v>
      </c>
      <c r="D6828" t="s">
        <v>917</v>
      </c>
      <c r="E6828" t="s">
        <v>918</v>
      </c>
      <c r="F6828">
        <v>777.41</v>
      </c>
      <c r="G6828">
        <v>230127</v>
      </c>
      <c r="H6828">
        <v>4600</v>
      </c>
      <c r="I6828" t="s">
        <v>105</v>
      </c>
      <c r="J6828">
        <v>963.99</v>
      </c>
      <c r="K6828">
        <v>186.58</v>
      </c>
      <c r="L6828">
        <v>49501</v>
      </c>
      <c r="M6828" t="s">
        <v>177</v>
      </c>
      <c r="N6828" t="str">
        <f>"3139        "</f>
        <v xml:space="preserve">3139        </v>
      </c>
      <c r="O6828">
        <v>230206</v>
      </c>
    </row>
    <row r="6829" spans="1:15" x14ac:dyDescent="0.25">
      <c r="A6829" t="s">
        <v>16</v>
      </c>
      <c r="B6829" t="s">
        <v>3221</v>
      </c>
      <c r="C6829">
        <v>13184</v>
      </c>
      <c r="D6829" t="s">
        <v>917</v>
      </c>
      <c r="E6829" t="s">
        <v>918</v>
      </c>
      <c r="F6829">
        <v>1439.41</v>
      </c>
      <c r="G6829">
        <v>230926</v>
      </c>
      <c r="H6829">
        <v>4600</v>
      </c>
      <c r="I6829" t="s">
        <v>105</v>
      </c>
      <c r="J6829">
        <v>1784.87</v>
      </c>
      <c r="K6829">
        <v>345.46</v>
      </c>
      <c r="L6829">
        <v>49501</v>
      </c>
      <c r="M6829" t="s">
        <v>177</v>
      </c>
      <c r="N6829" t="str">
        <f>"3976        "</f>
        <v xml:space="preserve">3976        </v>
      </c>
      <c r="O6829">
        <v>231005</v>
      </c>
    </row>
    <row r="6830" spans="1:15" x14ac:dyDescent="0.25">
      <c r="A6830" t="s">
        <v>16</v>
      </c>
      <c r="B6830" t="s">
        <v>3221</v>
      </c>
      <c r="C6830">
        <v>16164</v>
      </c>
      <c r="D6830" t="s">
        <v>917</v>
      </c>
      <c r="E6830" t="s">
        <v>918</v>
      </c>
      <c r="F6830">
        <v>406.41</v>
      </c>
      <c r="G6830">
        <v>231110</v>
      </c>
      <c r="H6830">
        <v>4600</v>
      </c>
      <c r="I6830" t="s">
        <v>105</v>
      </c>
      <c r="J6830">
        <v>503.95</v>
      </c>
      <c r="K6830">
        <v>97.54</v>
      </c>
      <c r="L6830">
        <v>46554</v>
      </c>
      <c r="M6830" t="s">
        <v>117</v>
      </c>
      <c r="N6830" t="str">
        <f>"4269        "</f>
        <v xml:space="preserve">4269        </v>
      </c>
      <c r="O6830">
        <v>231124</v>
      </c>
    </row>
    <row r="6831" spans="1:15" x14ac:dyDescent="0.25">
      <c r="A6831" t="s">
        <v>16</v>
      </c>
      <c r="B6831" t="s">
        <v>3221</v>
      </c>
      <c r="C6831">
        <v>12875</v>
      </c>
      <c r="D6831" t="s">
        <v>917</v>
      </c>
      <c r="E6831" t="s">
        <v>918</v>
      </c>
      <c r="F6831">
        <v>226.41</v>
      </c>
      <c r="G6831">
        <v>230927</v>
      </c>
      <c r="H6831">
        <v>4555</v>
      </c>
      <c r="I6831" t="s">
        <v>481</v>
      </c>
      <c r="J6831">
        <v>280.75</v>
      </c>
      <c r="K6831">
        <v>54.34</v>
      </c>
      <c r="L6831">
        <v>69501</v>
      </c>
      <c r="M6831" t="s">
        <v>185</v>
      </c>
      <c r="N6831" t="str">
        <f>"3983        "</f>
        <v xml:space="preserve">3983        </v>
      </c>
      <c r="O6831">
        <v>230929</v>
      </c>
    </row>
    <row r="6832" spans="1:15" x14ac:dyDescent="0.25">
      <c r="A6832" t="s">
        <v>16</v>
      </c>
      <c r="B6832" t="s">
        <v>3221</v>
      </c>
      <c r="C6832">
        <v>2242</v>
      </c>
      <c r="D6832" t="s">
        <v>917</v>
      </c>
      <c r="E6832" t="s">
        <v>918</v>
      </c>
      <c r="F6832">
        <v>246.41</v>
      </c>
      <c r="G6832">
        <v>230214</v>
      </c>
      <c r="H6832">
        <v>4380</v>
      </c>
      <c r="I6832" t="s">
        <v>113</v>
      </c>
      <c r="J6832">
        <v>305.55</v>
      </c>
      <c r="K6832">
        <v>59.14</v>
      </c>
      <c r="L6832">
        <v>17952</v>
      </c>
      <c r="M6832" t="s">
        <v>88</v>
      </c>
      <c r="N6832" t="str">
        <f>"3211        "</f>
        <v xml:space="preserve">3211        </v>
      </c>
      <c r="O6832">
        <v>230222</v>
      </c>
    </row>
    <row r="6833" spans="1:15" x14ac:dyDescent="0.25">
      <c r="A6833" t="s">
        <v>16</v>
      </c>
      <c r="B6833" t="s">
        <v>3221</v>
      </c>
      <c r="C6833">
        <v>13866</v>
      </c>
      <c r="D6833" t="s">
        <v>2709</v>
      </c>
      <c r="E6833" t="s">
        <v>2710</v>
      </c>
      <c r="F6833">
        <v>153.22999999999999</v>
      </c>
      <c r="G6833">
        <v>231004</v>
      </c>
      <c r="H6833">
        <v>4580</v>
      </c>
      <c r="I6833" t="s">
        <v>35</v>
      </c>
      <c r="J6833">
        <v>190.01</v>
      </c>
      <c r="K6833">
        <v>36.78</v>
      </c>
      <c r="L6833">
        <v>17521</v>
      </c>
      <c r="M6833" t="s">
        <v>133</v>
      </c>
      <c r="N6833" t="str">
        <f>"38123       "</f>
        <v xml:space="preserve">38123       </v>
      </c>
      <c r="O6833">
        <v>231016</v>
      </c>
    </row>
    <row r="6834" spans="1:15" x14ac:dyDescent="0.25">
      <c r="A6834" t="s">
        <v>16</v>
      </c>
      <c r="B6834" t="s">
        <v>3221</v>
      </c>
      <c r="C6834">
        <v>4548</v>
      </c>
      <c r="D6834" t="s">
        <v>1726</v>
      </c>
      <c r="E6834" t="s">
        <v>1727</v>
      </c>
      <c r="F6834">
        <v>3039.6</v>
      </c>
      <c r="G6834">
        <v>230330</v>
      </c>
      <c r="H6834">
        <v>4600</v>
      </c>
      <c r="I6834" t="s">
        <v>105</v>
      </c>
      <c r="J6834">
        <v>3769.1</v>
      </c>
      <c r="K6834">
        <v>729.5</v>
      </c>
      <c r="L6834">
        <v>17711</v>
      </c>
      <c r="M6834" t="s">
        <v>65</v>
      </c>
      <c r="N6834" t="str">
        <f>"2755        "</f>
        <v xml:space="preserve">2755        </v>
      </c>
      <c r="O6834">
        <v>230406</v>
      </c>
    </row>
    <row r="6835" spans="1:15" x14ac:dyDescent="0.25">
      <c r="A6835" t="s">
        <v>16</v>
      </c>
      <c r="B6835" t="s">
        <v>3221</v>
      </c>
      <c r="C6835">
        <v>4548</v>
      </c>
      <c r="D6835" t="s">
        <v>1726</v>
      </c>
      <c r="E6835" t="s">
        <v>1727</v>
      </c>
      <c r="F6835">
        <v>200</v>
      </c>
      <c r="G6835">
        <v>230330</v>
      </c>
      <c r="H6835">
        <v>4364</v>
      </c>
      <c r="I6835" t="s">
        <v>296</v>
      </c>
      <c r="J6835">
        <v>248</v>
      </c>
      <c r="K6835">
        <v>48</v>
      </c>
      <c r="L6835">
        <v>17711</v>
      </c>
      <c r="M6835" t="s">
        <v>65</v>
      </c>
      <c r="N6835" t="str">
        <f>"2755        "</f>
        <v xml:space="preserve">2755        </v>
      </c>
      <c r="O6835">
        <v>230406</v>
      </c>
    </row>
    <row r="6836" spans="1:15" x14ac:dyDescent="0.25">
      <c r="A6836" t="s">
        <v>16</v>
      </c>
      <c r="B6836" t="s">
        <v>3221</v>
      </c>
      <c r="C6836">
        <v>13198</v>
      </c>
      <c r="D6836" t="s">
        <v>2644</v>
      </c>
      <c r="E6836" t="s">
        <v>2645</v>
      </c>
      <c r="F6836">
        <v>3582.9</v>
      </c>
      <c r="G6836">
        <v>230922</v>
      </c>
      <c r="H6836">
        <v>4600</v>
      </c>
      <c r="I6836" t="s">
        <v>105</v>
      </c>
      <c r="J6836">
        <v>4442.8</v>
      </c>
      <c r="K6836">
        <v>859.9</v>
      </c>
      <c r="L6836">
        <v>46554</v>
      </c>
      <c r="M6836" t="s">
        <v>117</v>
      </c>
      <c r="N6836" t="str">
        <f>"486220      "</f>
        <v xml:space="preserve">486220      </v>
      </c>
      <c r="O6836">
        <v>231005</v>
      </c>
    </row>
    <row r="6837" spans="1:15" x14ac:dyDescent="0.25">
      <c r="A6837" t="s">
        <v>16</v>
      </c>
      <c r="B6837" t="s">
        <v>3221</v>
      </c>
      <c r="C6837">
        <v>12871</v>
      </c>
      <c r="D6837" t="s">
        <v>2608</v>
      </c>
      <c r="E6837" t="s">
        <v>2609</v>
      </c>
      <c r="F6837">
        <v>566.82000000000005</v>
      </c>
      <c r="G6837">
        <v>230925</v>
      </c>
      <c r="H6837">
        <v>4400</v>
      </c>
      <c r="I6837" t="s">
        <v>348</v>
      </c>
      <c r="J6837">
        <v>702.86</v>
      </c>
      <c r="K6837">
        <v>136.04</v>
      </c>
      <c r="L6837">
        <v>13841</v>
      </c>
      <c r="M6837" t="s">
        <v>47</v>
      </c>
      <c r="N6837" t="str">
        <f>"12320       "</f>
        <v xml:space="preserve">12320       </v>
      </c>
      <c r="O6837">
        <v>230928</v>
      </c>
    </row>
    <row r="6838" spans="1:15" x14ac:dyDescent="0.25">
      <c r="A6838" t="s">
        <v>16</v>
      </c>
      <c r="B6838" t="s">
        <v>3221</v>
      </c>
      <c r="C6838">
        <v>7480</v>
      </c>
      <c r="D6838" t="s">
        <v>3594</v>
      </c>
      <c r="E6838" t="s">
        <v>1319</v>
      </c>
      <c r="F6838">
        <v>323.39</v>
      </c>
      <c r="G6838">
        <v>230524</v>
      </c>
      <c r="H6838">
        <v>4400</v>
      </c>
      <c r="I6838" t="s">
        <v>348</v>
      </c>
      <c r="J6838">
        <v>401</v>
      </c>
      <c r="K6838">
        <v>77.61</v>
      </c>
      <c r="L6838">
        <v>13801</v>
      </c>
      <c r="M6838" t="s">
        <v>162</v>
      </c>
      <c r="N6838" t="str">
        <f>"77605       "</f>
        <v xml:space="preserve">77605       </v>
      </c>
      <c r="O6838">
        <v>230531</v>
      </c>
    </row>
    <row r="6839" spans="1:15" x14ac:dyDescent="0.25">
      <c r="A6839" t="s">
        <v>16</v>
      </c>
      <c r="B6839" t="s">
        <v>3221</v>
      </c>
      <c r="C6839">
        <v>17506</v>
      </c>
      <c r="D6839" t="s">
        <v>3594</v>
      </c>
      <c r="E6839" t="s">
        <v>1319</v>
      </c>
      <c r="F6839">
        <v>18.55</v>
      </c>
      <c r="G6839">
        <v>231211</v>
      </c>
      <c r="H6839">
        <v>4420</v>
      </c>
      <c r="I6839" t="s">
        <v>132</v>
      </c>
      <c r="J6839">
        <v>23</v>
      </c>
      <c r="K6839">
        <v>4.45</v>
      </c>
      <c r="L6839">
        <v>13801</v>
      </c>
      <c r="M6839" t="s">
        <v>162</v>
      </c>
      <c r="N6839" t="str">
        <f>"250468      "</f>
        <v xml:space="preserve">250468      </v>
      </c>
      <c r="O6839">
        <v>231214</v>
      </c>
    </row>
    <row r="6840" spans="1:15" x14ac:dyDescent="0.25">
      <c r="A6840" t="s">
        <v>16</v>
      </c>
      <c r="B6840" t="s">
        <v>3221</v>
      </c>
      <c r="C6840">
        <v>15018</v>
      </c>
      <c r="D6840" t="s">
        <v>3594</v>
      </c>
      <c r="E6840" t="s">
        <v>1319</v>
      </c>
      <c r="F6840">
        <v>307.32</v>
      </c>
      <c r="G6840">
        <v>231023</v>
      </c>
      <c r="H6840">
        <v>4460</v>
      </c>
      <c r="I6840" t="s">
        <v>524</v>
      </c>
      <c r="J6840">
        <v>381.08</v>
      </c>
      <c r="K6840">
        <v>73.760000000000005</v>
      </c>
      <c r="L6840">
        <v>17531</v>
      </c>
      <c r="M6840" t="s">
        <v>136</v>
      </c>
      <c r="N6840" t="str">
        <f>"79641       "</f>
        <v xml:space="preserve">79641       </v>
      </c>
      <c r="O6840">
        <v>231108</v>
      </c>
    </row>
    <row r="6841" spans="1:15" x14ac:dyDescent="0.25">
      <c r="A6841" t="s">
        <v>16</v>
      </c>
      <c r="B6841" t="s">
        <v>3221</v>
      </c>
      <c r="C6841">
        <v>7480</v>
      </c>
      <c r="D6841" t="s">
        <v>3594</v>
      </c>
      <c r="E6841" t="s">
        <v>1319</v>
      </c>
      <c r="F6841">
        <v>10.48</v>
      </c>
      <c r="G6841">
        <v>230524</v>
      </c>
      <c r="H6841">
        <v>4364</v>
      </c>
      <c r="I6841" t="s">
        <v>296</v>
      </c>
      <c r="J6841">
        <v>13</v>
      </c>
      <c r="K6841">
        <v>2.52</v>
      </c>
      <c r="L6841">
        <v>13801</v>
      </c>
      <c r="M6841" t="s">
        <v>162</v>
      </c>
      <c r="N6841" t="str">
        <f>"77605       "</f>
        <v xml:space="preserve">77605       </v>
      </c>
      <c r="O6841">
        <v>230531</v>
      </c>
    </row>
    <row r="6842" spans="1:15" x14ac:dyDescent="0.25">
      <c r="A6842" t="s">
        <v>16</v>
      </c>
      <c r="B6842" t="s">
        <v>3221</v>
      </c>
      <c r="C6842">
        <v>3786</v>
      </c>
      <c r="D6842" t="s">
        <v>3593</v>
      </c>
      <c r="E6842" t="s">
        <v>1319</v>
      </c>
      <c r="F6842">
        <v>890</v>
      </c>
      <c r="G6842">
        <v>230321</v>
      </c>
      <c r="H6842">
        <v>4400</v>
      </c>
      <c r="I6842" t="s">
        <v>348</v>
      </c>
      <c r="J6842">
        <v>1103.5999999999999</v>
      </c>
      <c r="K6842">
        <v>213.6</v>
      </c>
      <c r="L6842">
        <v>17535</v>
      </c>
      <c r="M6842" t="s">
        <v>357</v>
      </c>
      <c r="N6842" t="str">
        <f>"76778       "</f>
        <v xml:space="preserve">76778       </v>
      </c>
      <c r="O6842">
        <v>230322</v>
      </c>
    </row>
    <row r="6843" spans="1:15" x14ac:dyDescent="0.25">
      <c r="A6843" t="s">
        <v>16</v>
      </c>
      <c r="B6843" t="s">
        <v>3221</v>
      </c>
      <c r="C6843">
        <v>2182</v>
      </c>
      <c r="D6843" t="s">
        <v>3593</v>
      </c>
      <c r="E6843" t="s">
        <v>1319</v>
      </c>
      <c r="F6843">
        <v>469.61</v>
      </c>
      <c r="G6843">
        <v>230213</v>
      </c>
      <c r="H6843">
        <v>4600</v>
      </c>
      <c r="I6843" t="s">
        <v>105</v>
      </c>
      <c r="J6843">
        <v>582.32000000000005</v>
      </c>
      <c r="K6843">
        <v>112.71</v>
      </c>
      <c r="L6843">
        <v>17538</v>
      </c>
      <c r="M6843" t="s">
        <v>24</v>
      </c>
      <c r="N6843" t="str">
        <f>"76257       "</f>
        <v xml:space="preserve">76257       </v>
      </c>
      <c r="O6843">
        <v>230222</v>
      </c>
    </row>
    <row r="6844" spans="1:15" x14ac:dyDescent="0.25">
      <c r="A6844" t="s">
        <v>16</v>
      </c>
      <c r="B6844" t="s">
        <v>3221</v>
      </c>
      <c r="C6844">
        <v>17506</v>
      </c>
      <c r="D6844" t="s">
        <v>3593</v>
      </c>
      <c r="E6844" t="s">
        <v>1319</v>
      </c>
      <c r="F6844">
        <v>35.9</v>
      </c>
      <c r="G6844">
        <v>231211</v>
      </c>
      <c r="H6844">
        <v>4600</v>
      </c>
      <c r="I6844" t="s">
        <v>105</v>
      </c>
      <c r="J6844">
        <v>44.51</v>
      </c>
      <c r="K6844">
        <v>8.61</v>
      </c>
      <c r="L6844">
        <v>13801</v>
      </c>
      <c r="M6844" t="s">
        <v>162</v>
      </c>
      <c r="N6844" t="str">
        <f>"250468      "</f>
        <v xml:space="preserve">250468      </v>
      </c>
      <c r="O6844">
        <v>231214</v>
      </c>
    </row>
    <row r="6845" spans="1:15" x14ac:dyDescent="0.25">
      <c r="A6845" t="s">
        <v>16</v>
      </c>
      <c r="B6845" t="s">
        <v>3221</v>
      </c>
      <c r="C6845">
        <v>9813</v>
      </c>
      <c r="D6845" t="s">
        <v>2324</v>
      </c>
      <c r="E6845" t="s">
        <v>2325</v>
      </c>
      <c r="F6845">
        <v>54.54</v>
      </c>
      <c r="G6845">
        <v>230721</v>
      </c>
      <c r="H6845">
        <v>4380</v>
      </c>
      <c r="I6845" t="s">
        <v>113</v>
      </c>
      <c r="J6845">
        <v>67.63</v>
      </c>
      <c r="K6845">
        <v>13.09</v>
      </c>
      <c r="L6845">
        <v>69111</v>
      </c>
      <c r="M6845" t="s">
        <v>471</v>
      </c>
      <c r="N6845" t="str">
        <f>"23013776    "</f>
        <v xml:space="preserve">23013776    </v>
      </c>
      <c r="O6845">
        <v>230725</v>
      </c>
    </row>
    <row r="6846" spans="1:15" x14ac:dyDescent="0.25">
      <c r="A6846" t="s">
        <v>16</v>
      </c>
      <c r="B6846" t="s">
        <v>3221</v>
      </c>
      <c r="C6846">
        <v>9813</v>
      </c>
      <c r="D6846" t="s">
        <v>2324</v>
      </c>
      <c r="E6846" t="s">
        <v>2325</v>
      </c>
      <c r="F6846">
        <v>30.38</v>
      </c>
      <c r="G6846">
        <v>230721</v>
      </c>
      <c r="H6846">
        <v>4380</v>
      </c>
      <c r="I6846" t="s">
        <v>113</v>
      </c>
      <c r="J6846">
        <v>30.38</v>
      </c>
      <c r="K6846">
        <v>0</v>
      </c>
      <c r="L6846">
        <v>69803</v>
      </c>
      <c r="M6846" t="s">
        <v>755</v>
      </c>
      <c r="N6846" t="str">
        <f>"23013776    "</f>
        <v xml:space="preserve">23013776    </v>
      </c>
      <c r="O6846">
        <v>230725</v>
      </c>
    </row>
    <row r="6847" spans="1:15" x14ac:dyDescent="0.25">
      <c r="A6847" t="s">
        <v>16</v>
      </c>
      <c r="B6847" t="s">
        <v>3221</v>
      </c>
      <c r="C6847">
        <v>3856</v>
      </c>
      <c r="D6847" t="s">
        <v>1624</v>
      </c>
      <c r="E6847" t="s">
        <v>1625</v>
      </c>
      <c r="F6847">
        <v>208.19</v>
      </c>
      <c r="G6847">
        <v>230310</v>
      </c>
      <c r="H6847">
        <v>4600</v>
      </c>
      <c r="I6847" t="s">
        <v>105</v>
      </c>
      <c r="J6847">
        <v>258.14999999999998</v>
      </c>
      <c r="K6847">
        <v>49.96</v>
      </c>
      <c r="L6847">
        <v>56550</v>
      </c>
      <c r="M6847" t="s">
        <v>913</v>
      </c>
      <c r="N6847" t="str">
        <f>"2311000556  "</f>
        <v xml:space="preserve">2311000556  </v>
      </c>
      <c r="O6847">
        <v>230323</v>
      </c>
    </row>
    <row r="6848" spans="1:15" x14ac:dyDescent="0.25">
      <c r="A6848" t="s">
        <v>16</v>
      </c>
      <c r="B6848" t="s">
        <v>3221</v>
      </c>
      <c r="C6848">
        <v>4263</v>
      </c>
      <c r="D6848" t="s">
        <v>3728</v>
      </c>
      <c r="E6848" t="s">
        <v>3413</v>
      </c>
      <c r="F6848">
        <v>102</v>
      </c>
      <c r="G6848">
        <v>230330</v>
      </c>
      <c r="H6848">
        <v>4440</v>
      </c>
      <c r="I6848" t="s">
        <v>250</v>
      </c>
      <c r="J6848">
        <v>102</v>
      </c>
      <c r="K6848">
        <v>0</v>
      </c>
      <c r="L6848">
        <v>47522</v>
      </c>
      <c r="M6848" t="s">
        <v>410</v>
      </c>
      <c r="N6848" t="str">
        <f>"2069        "</f>
        <v xml:space="preserve">2069        </v>
      </c>
      <c r="O6848">
        <v>230403</v>
      </c>
    </row>
    <row r="6849" spans="1:15" x14ac:dyDescent="0.25">
      <c r="A6849" t="s">
        <v>16</v>
      </c>
      <c r="B6849" t="s">
        <v>3221</v>
      </c>
      <c r="C6849">
        <v>3819</v>
      </c>
      <c r="D6849" t="s">
        <v>3646</v>
      </c>
      <c r="E6849" t="s">
        <v>1619</v>
      </c>
      <c r="F6849">
        <v>376.97</v>
      </c>
      <c r="G6849">
        <v>230315</v>
      </c>
      <c r="H6849">
        <v>4400</v>
      </c>
      <c r="I6849" t="s">
        <v>348</v>
      </c>
      <c r="J6849">
        <v>467.44</v>
      </c>
      <c r="K6849">
        <v>90.47</v>
      </c>
      <c r="L6849">
        <v>49501</v>
      </c>
      <c r="M6849" t="s">
        <v>177</v>
      </c>
      <c r="N6849" t="str">
        <f>"67987       "</f>
        <v xml:space="preserve">67987       </v>
      </c>
      <c r="O6849">
        <v>230323</v>
      </c>
    </row>
    <row r="6850" spans="1:15" x14ac:dyDescent="0.25">
      <c r="A6850" t="s">
        <v>16</v>
      </c>
      <c r="B6850" t="s">
        <v>3221</v>
      </c>
      <c r="C6850">
        <v>7709</v>
      </c>
      <c r="D6850" t="s">
        <v>3646</v>
      </c>
      <c r="E6850" t="s">
        <v>1619</v>
      </c>
      <c r="F6850">
        <v>848.49</v>
      </c>
      <c r="G6850">
        <v>230523</v>
      </c>
      <c r="H6850">
        <v>4400</v>
      </c>
      <c r="I6850" t="s">
        <v>348</v>
      </c>
      <c r="J6850">
        <v>1052.1300000000001</v>
      </c>
      <c r="K6850">
        <v>203.64</v>
      </c>
      <c r="L6850">
        <v>49501</v>
      </c>
      <c r="M6850" t="s">
        <v>177</v>
      </c>
      <c r="N6850" t="str">
        <f>"68760       "</f>
        <v xml:space="preserve">68760       </v>
      </c>
      <c r="O6850">
        <v>230602</v>
      </c>
    </row>
    <row r="6851" spans="1:15" x14ac:dyDescent="0.25">
      <c r="A6851" t="s">
        <v>16</v>
      </c>
      <c r="B6851" t="s">
        <v>3221</v>
      </c>
      <c r="C6851">
        <v>1027</v>
      </c>
      <c r="D6851" t="s">
        <v>838</v>
      </c>
      <c r="E6851" t="s">
        <v>839</v>
      </c>
      <c r="F6851">
        <v>555</v>
      </c>
      <c r="G6851">
        <v>230131</v>
      </c>
      <c r="H6851">
        <v>4350</v>
      </c>
      <c r="I6851" t="s">
        <v>546</v>
      </c>
      <c r="J6851">
        <v>688.2</v>
      </c>
      <c r="K6851">
        <v>133.19999999999999</v>
      </c>
      <c r="L6851">
        <v>17538</v>
      </c>
      <c r="M6851" t="s">
        <v>24</v>
      </c>
      <c r="N6851" t="str">
        <f>"22186844    "</f>
        <v xml:space="preserve">22186844    </v>
      </c>
      <c r="O6851">
        <v>230202</v>
      </c>
    </row>
    <row r="6852" spans="1:15" x14ac:dyDescent="0.25">
      <c r="A6852" t="s">
        <v>16</v>
      </c>
      <c r="B6852" t="s">
        <v>3221</v>
      </c>
      <c r="C6852">
        <v>1572</v>
      </c>
      <c r="D6852" t="s">
        <v>838</v>
      </c>
      <c r="E6852" t="s">
        <v>839</v>
      </c>
      <c r="F6852">
        <v>355</v>
      </c>
      <c r="G6852">
        <v>230208</v>
      </c>
      <c r="H6852">
        <v>4350</v>
      </c>
      <c r="I6852" t="s">
        <v>546</v>
      </c>
      <c r="J6852">
        <v>440.2</v>
      </c>
      <c r="K6852">
        <v>85.2</v>
      </c>
      <c r="L6852">
        <v>17972</v>
      </c>
      <c r="M6852" t="s">
        <v>248</v>
      </c>
      <c r="N6852" t="str">
        <f>"22187148    "</f>
        <v xml:space="preserve">22187148    </v>
      </c>
      <c r="O6852">
        <v>230209</v>
      </c>
    </row>
    <row r="6853" spans="1:15" x14ac:dyDescent="0.25">
      <c r="A6853" t="s">
        <v>16</v>
      </c>
      <c r="B6853" t="s">
        <v>3221</v>
      </c>
      <c r="C6853">
        <v>4380</v>
      </c>
      <c r="D6853" t="s">
        <v>838</v>
      </c>
      <c r="E6853" t="s">
        <v>839</v>
      </c>
      <c r="F6853">
        <v>349.38</v>
      </c>
      <c r="G6853">
        <v>230331</v>
      </c>
      <c r="H6853">
        <v>4350</v>
      </c>
      <c r="I6853" t="s">
        <v>546</v>
      </c>
      <c r="J6853">
        <v>433.23</v>
      </c>
      <c r="K6853">
        <v>83.85</v>
      </c>
      <c r="L6853">
        <v>49702</v>
      </c>
      <c r="M6853" t="s">
        <v>584</v>
      </c>
      <c r="N6853" t="str">
        <f>"22189617    "</f>
        <v xml:space="preserve">22189617    </v>
      </c>
      <c r="O6853">
        <v>230405</v>
      </c>
    </row>
    <row r="6854" spans="1:15" x14ac:dyDescent="0.25">
      <c r="A6854" t="s">
        <v>16</v>
      </c>
      <c r="B6854" t="s">
        <v>3221</v>
      </c>
      <c r="C6854">
        <v>13228</v>
      </c>
      <c r="D6854" t="s">
        <v>838</v>
      </c>
      <c r="E6854" t="s">
        <v>839</v>
      </c>
      <c r="F6854">
        <v>2905</v>
      </c>
      <c r="G6854">
        <v>230929</v>
      </c>
      <c r="H6854">
        <v>4350</v>
      </c>
      <c r="I6854" t="s">
        <v>546</v>
      </c>
      <c r="J6854">
        <v>3602.2</v>
      </c>
      <c r="K6854">
        <v>697.2</v>
      </c>
      <c r="L6854">
        <v>17538</v>
      </c>
      <c r="M6854" t="s">
        <v>24</v>
      </c>
      <c r="N6854" t="str">
        <f>"22197365    "</f>
        <v xml:space="preserve">22197365    </v>
      </c>
      <c r="O6854">
        <v>231006</v>
      </c>
    </row>
    <row r="6855" spans="1:15" x14ac:dyDescent="0.25">
      <c r="A6855" t="s">
        <v>16</v>
      </c>
      <c r="B6855" t="s">
        <v>3221</v>
      </c>
      <c r="C6855">
        <v>14422</v>
      </c>
      <c r="D6855" t="s">
        <v>838</v>
      </c>
      <c r="E6855" t="s">
        <v>839</v>
      </c>
      <c r="F6855">
        <v>1421.8</v>
      </c>
      <c r="G6855">
        <v>231024</v>
      </c>
      <c r="H6855">
        <v>4350</v>
      </c>
      <c r="I6855" t="s">
        <v>546</v>
      </c>
      <c r="J6855">
        <v>1763.03</v>
      </c>
      <c r="K6855">
        <v>341.23</v>
      </c>
      <c r="L6855">
        <v>18972</v>
      </c>
      <c r="M6855" t="s">
        <v>163</v>
      </c>
      <c r="N6855" t="str">
        <f>"22198196    "</f>
        <v xml:space="preserve">22198196    </v>
      </c>
      <c r="O6855">
        <v>231030</v>
      </c>
    </row>
    <row r="6856" spans="1:15" x14ac:dyDescent="0.25">
      <c r="A6856" t="s">
        <v>16</v>
      </c>
      <c r="B6856" t="s">
        <v>3221</v>
      </c>
      <c r="C6856">
        <v>15593</v>
      </c>
      <c r="D6856" t="s">
        <v>838</v>
      </c>
      <c r="E6856" t="s">
        <v>839</v>
      </c>
      <c r="F6856">
        <v>349.38</v>
      </c>
      <c r="G6856">
        <v>231108</v>
      </c>
      <c r="H6856">
        <v>4350</v>
      </c>
      <c r="I6856" t="s">
        <v>546</v>
      </c>
      <c r="J6856">
        <v>433.23</v>
      </c>
      <c r="K6856">
        <v>83.85</v>
      </c>
      <c r="L6856">
        <v>49702</v>
      </c>
      <c r="M6856" t="s">
        <v>584</v>
      </c>
      <c r="N6856" t="str">
        <f>"22198836    "</f>
        <v xml:space="preserve">22198836    </v>
      </c>
      <c r="O6856">
        <v>231114</v>
      </c>
    </row>
    <row r="6857" spans="1:15" x14ac:dyDescent="0.25">
      <c r="A6857" t="s">
        <v>16</v>
      </c>
      <c r="B6857" t="s">
        <v>3221</v>
      </c>
      <c r="C6857">
        <v>296</v>
      </c>
      <c r="D6857" t="s">
        <v>428</v>
      </c>
      <c r="E6857" t="s">
        <v>429</v>
      </c>
      <c r="F6857">
        <v>5.09</v>
      </c>
      <c r="G6857">
        <v>230115</v>
      </c>
      <c r="H6857">
        <v>4520</v>
      </c>
      <c r="I6857" t="s">
        <v>254</v>
      </c>
      <c r="J6857">
        <v>6.31</v>
      </c>
      <c r="K6857">
        <v>1.22</v>
      </c>
      <c r="L6857">
        <v>16431</v>
      </c>
      <c r="M6857" t="s">
        <v>231</v>
      </c>
      <c r="N6857" t="str">
        <f t="shared" ref="N6857:N6863" si="125">"2360029518  "</f>
        <v xml:space="preserve">2360029518  </v>
      </c>
      <c r="O6857">
        <v>230118</v>
      </c>
    </row>
    <row r="6858" spans="1:15" x14ac:dyDescent="0.25">
      <c r="A6858" t="s">
        <v>16</v>
      </c>
      <c r="B6858" t="s">
        <v>3221</v>
      </c>
      <c r="C6858">
        <v>296</v>
      </c>
      <c r="D6858" t="s">
        <v>428</v>
      </c>
      <c r="E6858" t="s">
        <v>429</v>
      </c>
      <c r="F6858">
        <v>257.02</v>
      </c>
      <c r="G6858">
        <v>230115</v>
      </c>
      <c r="H6858">
        <v>4520</v>
      </c>
      <c r="I6858" t="s">
        <v>254</v>
      </c>
      <c r="J6858">
        <v>293</v>
      </c>
      <c r="K6858">
        <v>35.979999999999997</v>
      </c>
      <c r="L6858">
        <v>16431</v>
      </c>
      <c r="M6858" t="s">
        <v>231</v>
      </c>
      <c r="N6858" t="str">
        <f t="shared" si="125"/>
        <v xml:space="preserve">2360029518  </v>
      </c>
      <c r="O6858">
        <v>230118</v>
      </c>
    </row>
    <row r="6859" spans="1:15" x14ac:dyDescent="0.25">
      <c r="A6859" t="s">
        <v>16</v>
      </c>
      <c r="B6859" t="s">
        <v>3221</v>
      </c>
      <c r="C6859">
        <v>296</v>
      </c>
      <c r="D6859" t="s">
        <v>428</v>
      </c>
      <c r="E6859" t="s">
        <v>429</v>
      </c>
      <c r="F6859">
        <v>165.09</v>
      </c>
      <c r="G6859">
        <v>230115</v>
      </c>
      <c r="H6859">
        <v>4520</v>
      </c>
      <c r="I6859" t="s">
        <v>254</v>
      </c>
      <c r="J6859">
        <v>188.2</v>
      </c>
      <c r="K6859">
        <v>23.11</v>
      </c>
      <c r="L6859">
        <v>16442</v>
      </c>
      <c r="M6859" t="s">
        <v>430</v>
      </c>
      <c r="N6859" t="str">
        <f t="shared" si="125"/>
        <v xml:space="preserve">2360029518  </v>
      </c>
      <c r="O6859">
        <v>230118</v>
      </c>
    </row>
    <row r="6860" spans="1:15" x14ac:dyDescent="0.25">
      <c r="A6860" t="s">
        <v>16</v>
      </c>
      <c r="B6860" t="s">
        <v>3221</v>
      </c>
      <c r="C6860">
        <v>296</v>
      </c>
      <c r="D6860" t="s">
        <v>428</v>
      </c>
      <c r="E6860" t="s">
        <v>429</v>
      </c>
      <c r="F6860">
        <v>40.700000000000003</v>
      </c>
      <c r="G6860">
        <v>230115</v>
      </c>
      <c r="H6860">
        <v>4520</v>
      </c>
      <c r="I6860" t="s">
        <v>254</v>
      </c>
      <c r="J6860">
        <v>50.47</v>
      </c>
      <c r="K6860">
        <v>9.77</v>
      </c>
      <c r="L6860">
        <v>17913</v>
      </c>
      <c r="M6860" t="s">
        <v>431</v>
      </c>
      <c r="N6860" t="str">
        <f t="shared" si="125"/>
        <v xml:space="preserve">2360029518  </v>
      </c>
      <c r="O6860">
        <v>230118</v>
      </c>
    </row>
    <row r="6861" spans="1:15" x14ac:dyDescent="0.25">
      <c r="A6861" t="s">
        <v>16</v>
      </c>
      <c r="B6861" t="s">
        <v>3221</v>
      </c>
      <c r="C6861">
        <v>296</v>
      </c>
      <c r="D6861" t="s">
        <v>428</v>
      </c>
      <c r="E6861" t="s">
        <v>429</v>
      </c>
      <c r="F6861">
        <v>1738.75</v>
      </c>
      <c r="G6861">
        <v>230115</v>
      </c>
      <c r="H6861">
        <v>4520</v>
      </c>
      <c r="I6861" t="s">
        <v>254</v>
      </c>
      <c r="J6861">
        <v>2156.0500000000002</v>
      </c>
      <c r="K6861">
        <v>417.3</v>
      </c>
      <c r="L6861">
        <v>17913</v>
      </c>
      <c r="M6861" t="s">
        <v>431</v>
      </c>
      <c r="N6861" t="str">
        <f t="shared" si="125"/>
        <v xml:space="preserve">2360029518  </v>
      </c>
      <c r="O6861">
        <v>230118</v>
      </c>
    </row>
    <row r="6862" spans="1:15" x14ac:dyDescent="0.25">
      <c r="A6862" t="s">
        <v>16</v>
      </c>
      <c r="B6862" t="s">
        <v>3221</v>
      </c>
      <c r="C6862">
        <v>296</v>
      </c>
      <c r="D6862" t="s">
        <v>428</v>
      </c>
      <c r="E6862" t="s">
        <v>429</v>
      </c>
      <c r="F6862">
        <v>5.09</v>
      </c>
      <c r="G6862">
        <v>230115</v>
      </c>
      <c r="H6862">
        <v>4520</v>
      </c>
      <c r="I6862" t="s">
        <v>254</v>
      </c>
      <c r="J6862">
        <v>6.31</v>
      </c>
      <c r="K6862">
        <v>1.22</v>
      </c>
      <c r="L6862">
        <v>17982</v>
      </c>
      <c r="M6862" t="s">
        <v>432</v>
      </c>
      <c r="N6862" t="str">
        <f t="shared" si="125"/>
        <v xml:space="preserve">2360029518  </v>
      </c>
      <c r="O6862">
        <v>230118</v>
      </c>
    </row>
    <row r="6863" spans="1:15" x14ac:dyDescent="0.25">
      <c r="A6863" t="s">
        <v>16</v>
      </c>
      <c r="B6863" t="s">
        <v>3221</v>
      </c>
      <c r="C6863">
        <v>296</v>
      </c>
      <c r="D6863" t="s">
        <v>428</v>
      </c>
      <c r="E6863" t="s">
        <v>429</v>
      </c>
      <c r="F6863">
        <v>257.02</v>
      </c>
      <c r="G6863">
        <v>230115</v>
      </c>
      <c r="H6863">
        <v>4520</v>
      </c>
      <c r="I6863" t="s">
        <v>254</v>
      </c>
      <c r="J6863">
        <v>293</v>
      </c>
      <c r="K6863">
        <v>35.979999999999997</v>
      </c>
      <c r="L6863">
        <v>17982</v>
      </c>
      <c r="M6863" t="s">
        <v>432</v>
      </c>
      <c r="N6863" t="str">
        <f t="shared" si="125"/>
        <v xml:space="preserve">2360029518  </v>
      </c>
      <c r="O6863">
        <v>230118</v>
      </c>
    </row>
    <row r="6864" spans="1:15" x14ac:dyDescent="0.25">
      <c r="A6864" t="s">
        <v>16</v>
      </c>
      <c r="B6864" t="s">
        <v>3221</v>
      </c>
      <c r="C6864">
        <v>301</v>
      </c>
      <c r="D6864" t="s">
        <v>428</v>
      </c>
      <c r="E6864" t="s">
        <v>429</v>
      </c>
      <c r="F6864">
        <v>1936.21</v>
      </c>
      <c r="G6864">
        <v>230115</v>
      </c>
      <c r="H6864">
        <v>4520</v>
      </c>
      <c r="I6864" t="s">
        <v>254</v>
      </c>
      <c r="J6864">
        <v>2207.2800000000002</v>
      </c>
      <c r="K6864">
        <v>271.07</v>
      </c>
      <c r="L6864">
        <v>49112</v>
      </c>
      <c r="M6864" t="s">
        <v>233</v>
      </c>
      <c r="N6864" t="str">
        <f>"2360029515  "</f>
        <v xml:space="preserve">2360029515  </v>
      </c>
      <c r="O6864">
        <v>230118</v>
      </c>
    </row>
    <row r="6865" spans="1:15" x14ac:dyDescent="0.25">
      <c r="A6865" t="s">
        <v>16</v>
      </c>
      <c r="B6865" t="s">
        <v>3221</v>
      </c>
      <c r="C6865">
        <v>319</v>
      </c>
      <c r="D6865" t="s">
        <v>428</v>
      </c>
      <c r="E6865" t="s">
        <v>429</v>
      </c>
      <c r="F6865">
        <v>4507.34</v>
      </c>
      <c r="G6865">
        <v>230115</v>
      </c>
      <c r="H6865">
        <v>4520</v>
      </c>
      <c r="I6865" t="s">
        <v>254</v>
      </c>
      <c r="J6865">
        <v>5138.37</v>
      </c>
      <c r="K6865">
        <v>631.03</v>
      </c>
      <c r="L6865">
        <v>54451</v>
      </c>
      <c r="M6865" t="s">
        <v>158</v>
      </c>
      <c r="N6865" t="str">
        <f>"2360029512  "</f>
        <v xml:space="preserve">2360029512  </v>
      </c>
      <c r="O6865">
        <v>230118</v>
      </c>
    </row>
    <row r="6866" spans="1:15" x14ac:dyDescent="0.25">
      <c r="A6866" t="s">
        <v>16</v>
      </c>
      <c r="B6866" t="s">
        <v>3221</v>
      </c>
      <c r="C6866">
        <v>405</v>
      </c>
      <c r="D6866" t="s">
        <v>428</v>
      </c>
      <c r="E6866" t="s">
        <v>429</v>
      </c>
      <c r="F6866">
        <v>107.34</v>
      </c>
      <c r="G6866">
        <v>230115</v>
      </c>
      <c r="H6866">
        <v>4520</v>
      </c>
      <c r="I6866" t="s">
        <v>254</v>
      </c>
      <c r="J6866">
        <v>133.1</v>
      </c>
      <c r="K6866">
        <v>25.76</v>
      </c>
      <c r="L6866">
        <v>44251</v>
      </c>
      <c r="M6866" t="s">
        <v>156</v>
      </c>
      <c r="N6866" t="str">
        <f>"2360029517  "</f>
        <v xml:space="preserve">2360029517  </v>
      </c>
      <c r="O6866">
        <v>230120</v>
      </c>
    </row>
    <row r="6867" spans="1:15" x14ac:dyDescent="0.25">
      <c r="A6867" t="s">
        <v>16</v>
      </c>
      <c r="B6867" t="s">
        <v>3221</v>
      </c>
      <c r="C6867">
        <v>405</v>
      </c>
      <c r="D6867" t="s">
        <v>428</v>
      </c>
      <c r="E6867" t="s">
        <v>429</v>
      </c>
      <c r="F6867">
        <v>1145.8900000000001</v>
      </c>
      <c r="G6867">
        <v>230115</v>
      </c>
      <c r="H6867">
        <v>4520</v>
      </c>
      <c r="I6867" t="s">
        <v>254</v>
      </c>
      <c r="J6867">
        <v>1306.32</v>
      </c>
      <c r="K6867">
        <v>160.43</v>
      </c>
      <c r="L6867">
        <v>44252</v>
      </c>
      <c r="M6867" t="s">
        <v>157</v>
      </c>
      <c r="N6867" t="str">
        <f>"2360029517  "</f>
        <v xml:space="preserve">2360029517  </v>
      </c>
      <c r="O6867">
        <v>230120</v>
      </c>
    </row>
    <row r="6868" spans="1:15" x14ac:dyDescent="0.25">
      <c r="A6868" t="s">
        <v>16</v>
      </c>
      <c r="B6868" t="s">
        <v>3221</v>
      </c>
      <c r="C6868">
        <v>426</v>
      </c>
      <c r="D6868" t="s">
        <v>428</v>
      </c>
      <c r="E6868" t="s">
        <v>429</v>
      </c>
      <c r="F6868">
        <v>2231.1999999999998</v>
      </c>
      <c r="G6868">
        <v>230115</v>
      </c>
      <c r="H6868">
        <v>4520</v>
      </c>
      <c r="I6868" t="s">
        <v>254</v>
      </c>
      <c r="J6868">
        <v>2543.5700000000002</v>
      </c>
      <c r="K6868">
        <v>312.37</v>
      </c>
      <c r="L6868">
        <v>59113</v>
      </c>
      <c r="M6868" t="s">
        <v>235</v>
      </c>
      <c r="N6868" t="str">
        <f>"2360029513  "</f>
        <v xml:space="preserve">2360029513  </v>
      </c>
      <c r="O6868">
        <v>230123</v>
      </c>
    </row>
    <row r="6869" spans="1:15" x14ac:dyDescent="0.25">
      <c r="A6869" t="s">
        <v>16</v>
      </c>
      <c r="B6869" t="s">
        <v>3221</v>
      </c>
      <c r="C6869">
        <v>426</v>
      </c>
      <c r="D6869" t="s">
        <v>428</v>
      </c>
      <c r="E6869" t="s">
        <v>429</v>
      </c>
      <c r="F6869">
        <v>393.75</v>
      </c>
      <c r="G6869">
        <v>230115</v>
      </c>
      <c r="H6869">
        <v>4520</v>
      </c>
      <c r="I6869" t="s">
        <v>254</v>
      </c>
      <c r="J6869">
        <v>448.87</v>
      </c>
      <c r="K6869">
        <v>55.12</v>
      </c>
      <c r="L6869">
        <v>59803</v>
      </c>
      <c r="M6869" t="s">
        <v>533</v>
      </c>
      <c r="N6869" t="str">
        <f>"2360029513  "</f>
        <v xml:space="preserve">2360029513  </v>
      </c>
      <c r="O6869">
        <v>230123</v>
      </c>
    </row>
    <row r="6870" spans="1:15" x14ac:dyDescent="0.25">
      <c r="A6870" t="s">
        <v>16</v>
      </c>
      <c r="B6870" t="s">
        <v>3221</v>
      </c>
      <c r="C6870">
        <v>457</v>
      </c>
      <c r="D6870" t="s">
        <v>428</v>
      </c>
      <c r="E6870" t="s">
        <v>429</v>
      </c>
      <c r="F6870">
        <v>1489.26</v>
      </c>
      <c r="G6870">
        <v>230115</v>
      </c>
      <c r="H6870">
        <v>4520</v>
      </c>
      <c r="I6870" t="s">
        <v>254</v>
      </c>
      <c r="J6870">
        <v>1697.76</v>
      </c>
      <c r="K6870">
        <v>208.5</v>
      </c>
      <c r="L6870">
        <v>59114</v>
      </c>
      <c r="M6870" t="s">
        <v>556</v>
      </c>
      <c r="N6870" t="str">
        <f>"2360029511  "</f>
        <v xml:space="preserve">2360029511  </v>
      </c>
      <c r="O6870">
        <v>230123</v>
      </c>
    </row>
    <row r="6871" spans="1:15" x14ac:dyDescent="0.25">
      <c r="A6871" t="s">
        <v>16</v>
      </c>
      <c r="B6871" t="s">
        <v>3221</v>
      </c>
      <c r="C6871">
        <v>457</v>
      </c>
      <c r="D6871" t="s">
        <v>428</v>
      </c>
      <c r="E6871" t="s">
        <v>429</v>
      </c>
      <c r="F6871">
        <v>262.81</v>
      </c>
      <c r="G6871">
        <v>230115</v>
      </c>
      <c r="H6871">
        <v>4520</v>
      </c>
      <c r="I6871" t="s">
        <v>254</v>
      </c>
      <c r="J6871">
        <v>299.60000000000002</v>
      </c>
      <c r="K6871">
        <v>36.79</v>
      </c>
      <c r="L6871">
        <v>59808</v>
      </c>
      <c r="M6871" t="s">
        <v>557</v>
      </c>
      <c r="N6871" t="str">
        <f>"2360029511  "</f>
        <v xml:space="preserve">2360029511  </v>
      </c>
      <c r="O6871">
        <v>230123</v>
      </c>
    </row>
    <row r="6872" spans="1:15" x14ac:dyDescent="0.25">
      <c r="A6872" t="s">
        <v>16</v>
      </c>
      <c r="B6872" t="s">
        <v>3221</v>
      </c>
      <c r="C6872">
        <v>473</v>
      </c>
      <c r="D6872" t="s">
        <v>428</v>
      </c>
      <c r="E6872" t="s">
        <v>429</v>
      </c>
      <c r="F6872">
        <v>9</v>
      </c>
      <c r="G6872">
        <v>230115</v>
      </c>
      <c r="H6872">
        <v>4520</v>
      </c>
      <c r="I6872" t="s">
        <v>254</v>
      </c>
      <c r="J6872">
        <v>11.16</v>
      </c>
      <c r="K6872">
        <v>2.16</v>
      </c>
      <c r="L6872">
        <v>17915</v>
      </c>
      <c r="M6872" t="s">
        <v>572</v>
      </c>
      <c r="N6872" t="str">
        <f>"2360029516  "</f>
        <v xml:space="preserve">2360029516  </v>
      </c>
      <c r="O6872">
        <v>230123</v>
      </c>
    </row>
    <row r="6873" spans="1:15" x14ac:dyDescent="0.25">
      <c r="A6873" t="s">
        <v>16</v>
      </c>
      <c r="B6873" t="s">
        <v>3221</v>
      </c>
      <c r="C6873">
        <v>473</v>
      </c>
      <c r="D6873" t="s">
        <v>428</v>
      </c>
      <c r="E6873" t="s">
        <v>429</v>
      </c>
      <c r="F6873">
        <v>851.91</v>
      </c>
      <c r="G6873">
        <v>230115</v>
      </c>
      <c r="H6873">
        <v>4520</v>
      </c>
      <c r="I6873" t="s">
        <v>254</v>
      </c>
      <c r="J6873">
        <v>971.18</v>
      </c>
      <c r="K6873">
        <v>119.27</v>
      </c>
      <c r="L6873">
        <v>17915</v>
      </c>
      <c r="M6873" t="s">
        <v>572</v>
      </c>
      <c r="N6873" t="str">
        <f>"2360029516  "</f>
        <v xml:space="preserve">2360029516  </v>
      </c>
      <c r="O6873">
        <v>230123</v>
      </c>
    </row>
    <row r="6874" spans="1:15" x14ac:dyDescent="0.25">
      <c r="A6874" t="s">
        <v>16</v>
      </c>
      <c r="B6874" t="s">
        <v>3221</v>
      </c>
      <c r="C6874">
        <v>473</v>
      </c>
      <c r="D6874" t="s">
        <v>428</v>
      </c>
      <c r="E6874" t="s">
        <v>429</v>
      </c>
      <c r="F6874">
        <v>1</v>
      </c>
      <c r="G6874">
        <v>230115</v>
      </c>
      <c r="H6874">
        <v>4520</v>
      </c>
      <c r="I6874" t="s">
        <v>254</v>
      </c>
      <c r="J6874">
        <v>1.24</v>
      </c>
      <c r="K6874">
        <v>0.24</v>
      </c>
      <c r="L6874">
        <v>17982</v>
      </c>
      <c r="M6874" t="s">
        <v>432</v>
      </c>
      <c r="N6874" t="str">
        <f>"2360029516  "</f>
        <v xml:space="preserve">2360029516  </v>
      </c>
      <c r="O6874">
        <v>230123</v>
      </c>
    </row>
    <row r="6875" spans="1:15" x14ac:dyDescent="0.25">
      <c r="A6875" t="s">
        <v>16</v>
      </c>
      <c r="B6875" t="s">
        <v>3221</v>
      </c>
      <c r="C6875">
        <v>473</v>
      </c>
      <c r="D6875" t="s">
        <v>428</v>
      </c>
      <c r="E6875" t="s">
        <v>429</v>
      </c>
      <c r="F6875">
        <v>94.65</v>
      </c>
      <c r="G6875">
        <v>230115</v>
      </c>
      <c r="H6875">
        <v>4520</v>
      </c>
      <c r="I6875" t="s">
        <v>254</v>
      </c>
      <c r="J6875">
        <v>107.9</v>
      </c>
      <c r="K6875">
        <v>13.25</v>
      </c>
      <c r="L6875">
        <v>17982</v>
      </c>
      <c r="M6875" t="s">
        <v>432</v>
      </c>
      <c r="N6875" t="str">
        <f>"2360029516  "</f>
        <v xml:space="preserve">2360029516  </v>
      </c>
      <c r="O6875">
        <v>230123</v>
      </c>
    </row>
    <row r="6876" spans="1:15" x14ac:dyDescent="0.25">
      <c r="A6876" t="s">
        <v>16</v>
      </c>
      <c r="B6876" t="s">
        <v>3221</v>
      </c>
      <c r="C6876">
        <v>481</v>
      </c>
      <c r="D6876" t="s">
        <v>428</v>
      </c>
      <c r="E6876" t="s">
        <v>429</v>
      </c>
      <c r="F6876">
        <v>2096.65</v>
      </c>
      <c r="G6876">
        <v>230115</v>
      </c>
      <c r="H6876">
        <v>4520</v>
      </c>
      <c r="I6876" t="s">
        <v>254</v>
      </c>
      <c r="J6876">
        <v>2390.1799999999998</v>
      </c>
      <c r="K6876">
        <v>293.52999999999997</v>
      </c>
      <c r="L6876">
        <v>69112</v>
      </c>
      <c r="M6876" t="s">
        <v>313</v>
      </c>
      <c r="N6876" t="str">
        <f>"2360029520  "</f>
        <v xml:space="preserve">2360029520  </v>
      </c>
      <c r="O6876">
        <v>230123</v>
      </c>
    </row>
    <row r="6877" spans="1:15" x14ac:dyDescent="0.25">
      <c r="A6877" t="s">
        <v>16</v>
      </c>
      <c r="B6877" t="s">
        <v>3221</v>
      </c>
      <c r="C6877">
        <v>481</v>
      </c>
      <c r="D6877" t="s">
        <v>428</v>
      </c>
      <c r="E6877" t="s">
        <v>429</v>
      </c>
      <c r="F6877">
        <v>116.48</v>
      </c>
      <c r="G6877">
        <v>230115</v>
      </c>
      <c r="H6877">
        <v>4520</v>
      </c>
      <c r="I6877" t="s">
        <v>254</v>
      </c>
      <c r="J6877">
        <v>132.79</v>
      </c>
      <c r="K6877">
        <v>16.309999999999999</v>
      </c>
      <c r="L6877">
        <v>69810</v>
      </c>
      <c r="M6877" t="s">
        <v>314</v>
      </c>
      <c r="N6877" t="str">
        <f>"2360029520  "</f>
        <v xml:space="preserve">2360029520  </v>
      </c>
      <c r="O6877">
        <v>230123</v>
      </c>
    </row>
    <row r="6878" spans="1:15" x14ac:dyDescent="0.25">
      <c r="A6878" t="s">
        <v>16</v>
      </c>
      <c r="B6878" t="s">
        <v>3221</v>
      </c>
      <c r="C6878">
        <v>481</v>
      </c>
      <c r="D6878" t="s">
        <v>428</v>
      </c>
      <c r="E6878" t="s">
        <v>429</v>
      </c>
      <c r="F6878">
        <v>116.48</v>
      </c>
      <c r="G6878">
        <v>230115</v>
      </c>
      <c r="H6878">
        <v>4520</v>
      </c>
      <c r="I6878" t="s">
        <v>254</v>
      </c>
      <c r="J6878">
        <v>132.79</v>
      </c>
      <c r="K6878">
        <v>16.309999999999999</v>
      </c>
      <c r="L6878">
        <v>69811</v>
      </c>
      <c r="M6878" t="s">
        <v>315</v>
      </c>
      <c r="N6878" t="str">
        <f>"2360029520  "</f>
        <v xml:space="preserve">2360029520  </v>
      </c>
      <c r="O6878">
        <v>230123</v>
      </c>
    </row>
    <row r="6879" spans="1:15" x14ac:dyDescent="0.25">
      <c r="A6879" t="s">
        <v>16</v>
      </c>
      <c r="B6879" t="s">
        <v>3221</v>
      </c>
      <c r="C6879">
        <v>597</v>
      </c>
      <c r="D6879" t="s">
        <v>428</v>
      </c>
      <c r="E6879" t="s">
        <v>429</v>
      </c>
      <c r="F6879">
        <v>1449.3</v>
      </c>
      <c r="G6879">
        <v>230115</v>
      </c>
      <c r="H6879">
        <v>4520</v>
      </c>
      <c r="I6879" t="s">
        <v>254</v>
      </c>
      <c r="J6879">
        <v>1652.2</v>
      </c>
      <c r="K6879">
        <v>202.9</v>
      </c>
      <c r="L6879">
        <v>69113</v>
      </c>
      <c r="M6879" t="s">
        <v>282</v>
      </c>
      <c r="N6879" t="str">
        <f>"2360029514  "</f>
        <v xml:space="preserve">2360029514  </v>
      </c>
      <c r="O6879">
        <v>230125</v>
      </c>
    </row>
    <row r="6880" spans="1:15" x14ac:dyDescent="0.25">
      <c r="A6880" t="s">
        <v>16</v>
      </c>
      <c r="B6880" t="s">
        <v>3221</v>
      </c>
      <c r="C6880">
        <v>597</v>
      </c>
      <c r="D6880" t="s">
        <v>428</v>
      </c>
      <c r="E6880" t="s">
        <v>429</v>
      </c>
      <c r="F6880">
        <v>170.51</v>
      </c>
      <c r="G6880">
        <v>230115</v>
      </c>
      <c r="H6880">
        <v>4520</v>
      </c>
      <c r="I6880" t="s">
        <v>254</v>
      </c>
      <c r="J6880">
        <v>194.38</v>
      </c>
      <c r="K6880">
        <v>23.87</v>
      </c>
      <c r="L6880">
        <v>69802</v>
      </c>
      <c r="M6880" t="s">
        <v>283</v>
      </c>
      <c r="N6880" t="str">
        <f>"2360029514  "</f>
        <v xml:space="preserve">2360029514  </v>
      </c>
      <c r="O6880">
        <v>230125</v>
      </c>
    </row>
    <row r="6881" spans="1:15" x14ac:dyDescent="0.25">
      <c r="A6881" t="s">
        <v>16</v>
      </c>
      <c r="B6881" t="s">
        <v>3221</v>
      </c>
      <c r="C6881">
        <v>597</v>
      </c>
      <c r="D6881" t="s">
        <v>428</v>
      </c>
      <c r="E6881" t="s">
        <v>429</v>
      </c>
      <c r="F6881">
        <v>85.25</v>
      </c>
      <c r="G6881">
        <v>230115</v>
      </c>
      <c r="H6881">
        <v>4520</v>
      </c>
      <c r="I6881" t="s">
        <v>254</v>
      </c>
      <c r="J6881">
        <v>97.18</v>
      </c>
      <c r="K6881">
        <v>11.93</v>
      </c>
      <c r="L6881">
        <v>69804</v>
      </c>
      <c r="M6881" t="s">
        <v>284</v>
      </c>
      <c r="N6881" t="str">
        <f>"2360029514  "</f>
        <v xml:space="preserve">2360029514  </v>
      </c>
      <c r="O6881">
        <v>230125</v>
      </c>
    </row>
    <row r="6882" spans="1:15" x14ac:dyDescent="0.25">
      <c r="A6882" t="s">
        <v>16</v>
      </c>
      <c r="B6882" t="s">
        <v>3221</v>
      </c>
      <c r="C6882">
        <v>987</v>
      </c>
      <c r="D6882" t="s">
        <v>428</v>
      </c>
      <c r="E6882" t="s">
        <v>429</v>
      </c>
      <c r="F6882">
        <v>3613.71</v>
      </c>
      <c r="G6882">
        <v>230131</v>
      </c>
      <c r="H6882">
        <v>4520</v>
      </c>
      <c r="I6882" t="s">
        <v>254</v>
      </c>
      <c r="J6882">
        <v>4119.63</v>
      </c>
      <c r="K6882">
        <v>505.92</v>
      </c>
      <c r="L6882">
        <v>69112</v>
      </c>
      <c r="M6882" t="s">
        <v>313</v>
      </c>
      <c r="N6882" t="str">
        <f>"2360066724  "</f>
        <v xml:space="preserve">2360066724  </v>
      </c>
      <c r="O6882">
        <v>230202</v>
      </c>
    </row>
    <row r="6883" spans="1:15" x14ac:dyDescent="0.25">
      <c r="A6883" t="s">
        <v>16</v>
      </c>
      <c r="B6883" t="s">
        <v>3221</v>
      </c>
      <c r="C6883">
        <v>987</v>
      </c>
      <c r="D6883" t="s">
        <v>428</v>
      </c>
      <c r="E6883" t="s">
        <v>429</v>
      </c>
      <c r="F6883">
        <v>200.76</v>
      </c>
      <c r="G6883">
        <v>230131</v>
      </c>
      <c r="H6883">
        <v>4520</v>
      </c>
      <c r="I6883" t="s">
        <v>254</v>
      </c>
      <c r="J6883">
        <v>228.87</v>
      </c>
      <c r="K6883">
        <v>28.11</v>
      </c>
      <c r="L6883">
        <v>69810</v>
      </c>
      <c r="M6883" t="s">
        <v>314</v>
      </c>
      <c r="N6883" t="str">
        <f>"2360066724  "</f>
        <v xml:space="preserve">2360066724  </v>
      </c>
      <c r="O6883">
        <v>230202</v>
      </c>
    </row>
    <row r="6884" spans="1:15" x14ac:dyDescent="0.25">
      <c r="A6884" t="s">
        <v>16</v>
      </c>
      <c r="B6884" t="s">
        <v>3221</v>
      </c>
      <c r="C6884">
        <v>987</v>
      </c>
      <c r="D6884" t="s">
        <v>428</v>
      </c>
      <c r="E6884" t="s">
        <v>429</v>
      </c>
      <c r="F6884">
        <v>200.76</v>
      </c>
      <c r="G6884">
        <v>230131</v>
      </c>
      <c r="H6884">
        <v>4520</v>
      </c>
      <c r="I6884" t="s">
        <v>254</v>
      </c>
      <c r="J6884">
        <v>228.87</v>
      </c>
      <c r="K6884">
        <v>28.11</v>
      </c>
      <c r="L6884">
        <v>69811</v>
      </c>
      <c r="M6884" t="s">
        <v>315</v>
      </c>
      <c r="N6884" t="str">
        <f>"2360066724  "</f>
        <v xml:space="preserve">2360066724  </v>
      </c>
      <c r="O6884">
        <v>230202</v>
      </c>
    </row>
    <row r="6885" spans="1:15" x14ac:dyDescent="0.25">
      <c r="A6885" t="s">
        <v>16</v>
      </c>
      <c r="B6885" t="s">
        <v>3221</v>
      </c>
      <c r="C6885">
        <v>988</v>
      </c>
      <c r="D6885" t="s">
        <v>428</v>
      </c>
      <c r="E6885" t="s">
        <v>429</v>
      </c>
      <c r="F6885">
        <v>3485.48</v>
      </c>
      <c r="G6885">
        <v>230131</v>
      </c>
      <c r="H6885">
        <v>4520</v>
      </c>
      <c r="I6885" t="s">
        <v>254</v>
      </c>
      <c r="J6885">
        <v>3973.45</v>
      </c>
      <c r="K6885">
        <v>487.97</v>
      </c>
      <c r="L6885">
        <v>69113</v>
      </c>
      <c r="M6885" t="s">
        <v>282</v>
      </c>
      <c r="N6885" t="str">
        <f>"2360066717  "</f>
        <v xml:space="preserve">2360066717  </v>
      </c>
      <c r="O6885">
        <v>230202</v>
      </c>
    </row>
    <row r="6886" spans="1:15" x14ac:dyDescent="0.25">
      <c r="A6886" t="s">
        <v>16</v>
      </c>
      <c r="B6886" t="s">
        <v>3221</v>
      </c>
      <c r="C6886">
        <v>988</v>
      </c>
      <c r="D6886" t="s">
        <v>428</v>
      </c>
      <c r="E6886" t="s">
        <v>429</v>
      </c>
      <c r="F6886">
        <v>410.05</v>
      </c>
      <c r="G6886">
        <v>230131</v>
      </c>
      <c r="H6886">
        <v>4520</v>
      </c>
      <c r="I6886" t="s">
        <v>254</v>
      </c>
      <c r="J6886">
        <v>467.46</v>
      </c>
      <c r="K6886">
        <v>57.41</v>
      </c>
      <c r="L6886">
        <v>69802</v>
      </c>
      <c r="M6886" t="s">
        <v>283</v>
      </c>
      <c r="N6886" t="str">
        <f>"2360066717  "</f>
        <v xml:space="preserve">2360066717  </v>
      </c>
      <c r="O6886">
        <v>230202</v>
      </c>
    </row>
    <row r="6887" spans="1:15" x14ac:dyDescent="0.25">
      <c r="A6887" t="s">
        <v>16</v>
      </c>
      <c r="B6887" t="s">
        <v>3221</v>
      </c>
      <c r="C6887">
        <v>988</v>
      </c>
      <c r="D6887" t="s">
        <v>428</v>
      </c>
      <c r="E6887" t="s">
        <v>429</v>
      </c>
      <c r="F6887">
        <v>205.04</v>
      </c>
      <c r="G6887">
        <v>230131</v>
      </c>
      <c r="H6887">
        <v>4520</v>
      </c>
      <c r="I6887" t="s">
        <v>254</v>
      </c>
      <c r="J6887">
        <v>233.74</v>
      </c>
      <c r="K6887">
        <v>28.7</v>
      </c>
      <c r="L6887">
        <v>69804</v>
      </c>
      <c r="M6887" t="s">
        <v>284</v>
      </c>
      <c r="N6887" t="str">
        <f>"2360066717  "</f>
        <v xml:space="preserve">2360066717  </v>
      </c>
      <c r="O6887">
        <v>230202</v>
      </c>
    </row>
    <row r="6888" spans="1:15" x14ac:dyDescent="0.25">
      <c r="A6888" t="s">
        <v>16</v>
      </c>
      <c r="B6888" t="s">
        <v>3221</v>
      </c>
      <c r="C6888">
        <v>1076</v>
      </c>
      <c r="D6888" t="s">
        <v>428</v>
      </c>
      <c r="E6888" t="s">
        <v>429</v>
      </c>
      <c r="F6888">
        <v>44.35</v>
      </c>
      <c r="G6888">
        <v>230115</v>
      </c>
      <c r="H6888">
        <v>4520</v>
      </c>
      <c r="I6888" t="s">
        <v>254</v>
      </c>
      <c r="J6888">
        <v>50.56</v>
      </c>
      <c r="K6888">
        <v>6.21</v>
      </c>
      <c r="L6888">
        <v>14422</v>
      </c>
      <c r="M6888" t="s">
        <v>228</v>
      </c>
      <c r="N6888" t="str">
        <f t="shared" ref="N6888:N6894" si="126">"2360029519  "</f>
        <v xml:space="preserve">2360029519  </v>
      </c>
      <c r="O6888">
        <v>230203</v>
      </c>
    </row>
    <row r="6889" spans="1:15" x14ac:dyDescent="0.25">
      <c r="A6889" t="s">
        <v>16</v>
      </c>
      <c r="B6889" t="s">
        <v>3221</v>
      </c>
      <c r="C6889">
        <v>1076</v>
      </c>
      <c r="D6889" t="s">
        <v>428</v>
      </c>
      <c r="E6889" t="s">
        <v>429</v>
      </c>
      <c r="F6889">
        <v>177.4</v>
      </c>
      <c r="G6889">
        <v>230115</v>
      </c>
      <c r="H6889">
        <v>4520</v>
      </c>
      <c r="I6889" t="s">
        <v>254</v>
      </c>
      <c r="J6889">
        <v>202.24</v>
      </c>
      <c r="K6889">
        <v>24.84</v>
      </c>
      <c r="L6889">
        <v>14431</v>
      </c>
      <c r="M6889" t="s">
        <v>861</v>
      </c>
      <c r="N6889" t="str">
        <f t="shared" si="126"/>
        <v xml:space="preserve">2360029519  </v>
      </c>
      <c r="O6889">
        <v>230203</v>
      </c>
    </row>
    <row r="6890" spans="1:15" x14ac:dyDescent="0.25">
      <c r="A6890" t="s">
        <v>16</v>
      </c>
      <c r="B6890" t="s">
        <v>3221</v>
      </c>
      <c r="C6890">
        <v>1076</v>
      </c>
      <c r="D6890" t="s">
        <v>428</v>
      </c>
      <c r="E6890" t="s">
        <v>429</v>
      </c>
      <c r="F6890">
        <v>753.95</v>
      </c>
      <c r="G6890">
        <v>230115</v>
      </c>
      <c r="H6890">
        <v>4520</v>
      </c>
      <c r="I6890" t="s">
        <v>254</v>
      </c>
      <c r="J6890">
        <v>859.5</v>
      </c>
      <c r="K6890">
        <v>105.55</v>
      </c>
      <c r="L6890">
        <v>14432</v>
      </c>
      <c r="M6890" t="s">
        <v>862</v>
      </c>
      <c r="N6890" t="str">
        <f t="shared" si="126"/>
        <v xml:space="preserve">2360029519  </v>
      </c>
      <c r="O6890">
        <v>230203</v>
      </c>
    </row>
    <row r="6891" spans="1:15" x14ac:dyDescent="0.25">
      <c r="A6891" t="s">
        <v>16</v>
      </c>
      <c r="B6891" t="s">
        <v>3221</v>
      </c>
      <c r="C6891">
        <v>1076</v>
      </c>
      <c r="D6891" t="s">
        <v>428</v>
      </c>
      <c r="E6891" t="s">
        <v>429</v>
      </c>
      <c r="F6891">
        <v>44.35</v>
      </c>
      <c r="G6891">
        <v>230115</v>
      </c>
      <c r="H6891">
        <v>4520</v>
      </c>
      <c r="I6891" t="s">
        <v>254</v>
      </c>
      <c r="J6891">
        <v>50.56</v>
      </c>
      <c r="K6891">
        <v>6.21</v>
      </c>
      <c r="L6891">
        <v>14640</v>
      </c>
      <c r="M6891" t="s">
        <v>229</v>
      </c>
      <c r="N6891" t="str">
        <f t="shared" si="126"/>
        <v xml:space="preserve">2360029519  </v>
      </c>
      <c r="O6891">
        <v>230203</v>
      </c>
    </row>
    <row r="6892" spans="1:15" x14ac:dyDescent="0.25">
      <c r="A6892" t="s">
        <v>16</v>
      </c>
      <c r="B6892" t="s">
        <v>3221</v>
      </c>
      <c r="C6892">
        <v>1076</v>
      </c>
      <c r="D6892" t="s">
        <v>428</v>
      </c>
      <c r="E6892" t="s">
        <v>429</v>
      </c>
      <c r="F6892">
        <v>177.4</v>
      </c>
      <c r="G6892">
        <v>230115</v>
      </c>
      <c r="H6892">
        <v>4520</v>
      </c>
      <c r="I6892" t="s">
        <v>254</v>
      </c>
      <c r="J6892">
        <v>202.24</v>
      </c>
      <c r="K6892">
        <v>24.84</v>
      </c>
      <c r="L6892">
        <v>14642</v>
      </c>
      <c r="M6892" t="s">
        <v>863</v>
      </c>
      <c r="N6892" t="str">
        <f t="shared" si="126"/>
        <v xml:space="preserve">2360029519  </v>
      </c>
      <c r="O6892">
        <v>230203</v>
      </c>
    </row>
    <row r="6893" spans="1:15" x14ac:dyDescent="0.25">
      <c r="A6893" t="s">
        <v>16</v>
      </c>
      <c r="B6893" t="s">
        <v>3221</v>
      </c>
      <c r="C6893">
        <v>1076</v>
      </c>
      <c r="D6893" t="s">
        <v>428</v>
      </c>
      <c r="E6893" t="s">
        <v>429</v>
      </c>
      <c r="F6893">
        <v>725.03</v>
      </c>
      <c r="G6893">
        <v>230115</v>
      </c>
      <c r="H6893">
        <v>4520</v>
      </c>
      <c r="I6893" t="s">
        <v>254</v>
      </c>
      <c r="J6893">
        <v>899.04</v>
      </c>
      <c r="K6893">
        <v>174.01</v>
      </c>
      <c r="L6893">
        <v>14912</v>
      </c>
      <c r="M6893" t="s">
        <v>230</v>
      </c>
      <c r="N6893" t="str">
        <f t="shared" si="126"/>
        <v xml:space="preserve">2360029519  </v>
      </c>
      <c r="O6893">
        <v>230203</v>
      </c>
    </row>
    <row r="6894" spans="1:15" x14ac:dyDescent="0.25">
      <c r="A6894" t="s">
        <v>16</v>
      </c>
      <c r="B6894" t="s">
        <v>3221</v>
      </c>
      <c r="C6894">
        <v>1076</v>
      </c>
      <c r="D6894" t="s">
        <v>428</v>
      </c>
      <c r="E6894" t="s">
        <v>429</v>
      </c>
      <c r="F6894">
        <v>2448.92</v>
      </c>
      <c r="G6894">
        <v>230115</v>
      </c>
      <c r="H6894">
        <v>4520</v>
      </c>
      <c r="I6894" t="s">
        <v>254</v>
      </c>
      <c r="J6894">
        <v>2791.77</v>
      </c>
      <c r="K6894">
        <v>342.85</v>
      </c>
      <c r="L6894">
        <v>14912</v>
      </c>
      <c r="M6894" t="s">
        <v>230</v>
      </c>
      <c r="N6894" t="str">
        <f t="shared" si="126"/>
        <v xml:space="preserve">2360029519  </v>
      </c>
      <c r="O6894">
        <v>230203</v>
      </c>
    </row>
    <row r="6895" spans="1:15" x14ac:dyDescent="0.25">
      <c r="A6895" t="s">
        <v>16</v>
      </c>
      <c r="B6895" t="s">
        <v>3221</v>
      </c>
      <c r="C6895">
        <v>1200</v>
      </c>
      <c r="D6895" t="s">
        <v>428</v>
      </c>
      <c r="E6895" t="s">
        <v>429</v>
      </c>
      <c r="F6895">
        <v>4980.62</v>
      </c>
      <c r="G6895">
        <v>230131</v>
      </c>
      <c r="H6895">
        <v>4520</v>
      </c>
      <c r="I6895" t="s">
        <v>254</v>
      </c>
      <c r="J6895">
        <v>5677.91</v>
      </c>
      <c r="K6895">
        <v>697.29</v>
      </c>
      <c r="L6895">
        <v>49112</v>
      </c>
      <c r="M6895" t="s">
        <v>233</v>
      </c>
      <c r="N6895" t="str">
        <f>"2360066718  "</f>
        <v xml:space="preserve">2360066718  </v>
      </c>
      <c r="O6895">
        <v>230206</v>
      </c>
    </row>
    <row r="6896" spans="1:15" x14ac:dyDescent="0.25">
      <c r="A6896" t="s">
        <v>16</v>
      </c>
      <c r="B6896" t="s">
        <v>3221</v>
      </c>
      <c r="C6896">
        <v>1203</v>
      </c>
      <c r="D6896" t="s">
        <v>428</v>
      </c>
      <c r="E6896" t="s">
        <v>429</v>
      </c>
      <c r="F6896">
        <v>6408.36</v>
      </c>
      <c r="G6896">
        <v>230131</v>
      </c>
      <c r="H6896">
        <v>4520</v>
      </c>
      <c r="I6896" t="s">
        <v>254</v>
      </c>
      <c r="J6896">
        <v>7305.53</v>
      </c>
      <c r="K6896">
        <v>897.17</v>
      </c>
      <c r="L6896">
        <v>54451</v>
      </c>
      <c r="M6896" t="s">
        <v>158</v>
      </c>
      <c r="N6896" t="str">
        <f>"2360066715  "</f>
        <v xml:space="preserve">2360066715  </v>
      </c>
      <c r="O6896">
        <v>230206</v>
      </c>
    </row>
    <row r="6897" spans="1:15" x14ac:dyDescent="0.25">
      <c r="A6897" t="s">
        <v>16</v>
      </c>
      <c r="B6897" t="s">
        <v>3221</v>
      </c>
      <c r="C6897">
        <v>1206</v>
      </c>
      <c r="D6897" t="s">
        <v>428</v>
      </c>
      <c r="E6897" t="s">
        <v>429</v>
      </c>
      <c r="F6897">
        <v>10.82</v>
      </c>
      <c r="G6897">
        <v>230131</v>
      </c>
      <c r="H6897">
        <v>4520</v>
      </c>
      <c r="I6897" t="s">
        <v>254</v>
      </c>
      <c r="J6897">
        <v>13.42</v>
      </c>
      <c r="K6897">
        <v>2.6</v>
      </c>
      <c r="L6897">
        <v>16431</v>
      </c>
      <c r="M6897" t="s">
        <v>231</v>
      </c>
      <c r="N6897" t="str">
        <f t="shared" ref="N6897:N6903" si="127">"2360066721  "</f>
        <v xml:space="preserve">2360066721  </v>
      </c>
      <c r="O6897">
        <v>230206</v>
      </c>
    </row>
    <row r="6898" spans="1:15" x14ac:dyDescent="0.25">
      <c r="A6898" t="s">
        <v>16</v>
      </c>
      <c r="B6898" t="s">
        <v>3221</v>
      </c>
      <c r="C6898">
        <v>1206</v>
      </c>
      <c r="D6898" t="s">
        <v>428</v>
      </c>
      <c r="E6898" t="s">
        <v>429</v>
      </c>
      <c r="F6898">
        <v>650.17999999999995</v>
      </c>
      <c r="G6898">
        <v>230131</v>
      </c>
      <c r="H6898">
        <v>4520</v>
      </c>
      <c r="I6898" t="s">
        <v>254</v>
      </c>
      <c r="J6898">
        <v>741.2</v>
      </c>
      <c r="K6898">
        <v>91.02</v>
      </c>
      <c r="L6898">
        <v>16431</v>
      </c>
      <c r="M6898" t="s">
        <v>231</v>
      </c>
      <c r="N6898" t="str">
        <f t="shared" si="127"/>
        <v xml:space="preserve">2360066721  </v>
      </c>
      <c r="O6898">
        <v>230206</v>
      </c>
    </row>
    <row r="6899" spans="1:15" x14ac:dyDescent="0.25">
      <c r="A6899" t="s">
        <v>16</v>
      </c>
      <c r="B6899" t="s">
        <v>3221</v>
      </c>
      <c r="C6899">
        <v>1206</v>
      </c>
      <c r="D6899" t="s">
        <v>428</v>
      </c>
      <c r="E6899" t="s">
        <v>429</v>
      </c>
      <c r="F6899">
        <v>197.41</v>
      </c>
      <c r="G6899">
        <v>230131</v>
      </c>
      <c r="H6899">
        <v>4520</v>
      </c>
      <c r="I6899" t="s">
        <v>254</v>
      </c>
      <c r="J6899">
        <v>225.05</v>
      </c>
      <c r="K6899">
        <v>27.64</v>
      </c>
      <c r="L6899">
        <v>16442</v>
      </c>
      <c r="M6899" t="s">
        <v>430</v>
      </c>
      <c r="N6899" t="str">
        <f t="shared" si="127"/>
        <v xml:space="preserve">2360066721  </v>
      </c>
      <c r="O6899">
        <v>230206</v>
      </c>
    </row>
    <row r="6900" spans="1:15" x14ac:dyDescent="0.25">
      <c r="A6900" t="s">
        <v>16</v>
      </c>
      <c r="B6900" t="s">
        <v>3221</v>
      </c>
      <c r="C6900">
        <v>1206</v>
      </c>
      <c r="D6900" t="s">
        <v>428</v>
      </c>
      <c r="E6900" t="s">
        <v>429</v>
      </c>
      <c r="F6900">
        <v>97.41</v>
      </c>
      <c r="G6900">
        <v>230131</v>
      </c>
      <c r="H6900">
        <v>4520</v>
      </c>
      <c r="I6900" t="s">
        <v>254</v>
      </c>
      <c r="J6900">
        <v>120.79</v>
      </c>
      <c r="K6900">
        <v>23.38</v>
      </c>
      <c r="L6900">
        <v>17913</v>
      </c>
      <c r="M6900" t="s">
        <v>431</v>
      </c>
      <c r="N6900" t="str">
        <f t="shared" si="127"/>
        <v xml:space="preserve">2360066721  </v>
      </c>
      <c r="O6900">
        <v>230206</v>
      </c>
    </row>
    <row r="6901" spans="1:15" x14ac:dyDescent="0.25">
      <c r="A6901" t="s">
        <v>16</v>
      </c>
      <c r="B6901" t="s">
        <v>3221</v>
      </c>
      <c r="C6901">
        <v>1206</v>
      </c>
      <c r="D6901" t="s">
        <v>428</v>
      </c>
      <c r="E6901" t="s">
        <v>429</v>
      </c>
      <c r="F6901">
        <v>4722.18</v>
      </c>
      <c r="G6901">
        <v>230131</v>
      </c>
      <c r="H6901">
        <v>4520</v>
      </c>
      <c r="I6901" t="s">
        <v>254</v>
      </c>
      <c r="J6901">
        <v>5383.29</v>
      </c>
      <c r="K6901">
        <v>661.11</v>
      </c>
      <c r="L6901">
        <v>17913</v>
      </c>
      <c r="M6901" t="s">
        <v>431</v>
      </c>
      <c r="N6901" t="str">
        <f t="shared" si="127"/>
        <v xml:space="preserve">2360066721  </v>
      </c>
      <c r="O6901">
        <v>230206</v>
      </c>
    </row>
    <row r="6902" spans="1:15" x14ac:dyDescent="0.25">
      <c r="A6902" t="s">
        <v>16</v>
      </c>
      <c r="B6902" t="s">
        <v>3221</v>
      </c>
      <c r="C6902">
        <v>1206</v>
      </c>
      <c r="D6902" t="s">
        <v>428</v>
      </c>
      <c r="E6902" t="s">
        <v>429</v>
      </c>
      <c r="F6902">
        <v>650.17999999999995</v>
      </c>
      <c r="G6902">
        <v>230131</v>
      </c>
      <c r="H6902">
        <v>4520</v>
      </c>
      <c r="I6902" t="s">
        <v>254</v>
      </c>
      <c r="J6902">
        <v>741.2</v>
      </c>
      <c r="K6902">
        <v>91.02</v>
      </c>
      <c r="L6902">
        <v>17982</v>
      </c>
      <c r="M6902" t="s">
        <v>432</v>
      </c>
      <c r="N6902" t="str">
        <f t="shared" si="127"/>
        <v xml:space="preserve">2360066721  </v>
      </c>
      <c r="O6902">
        <v>230206</v>
      </c>
    </row>
    <row r="6903" spans="1:15" x14ac:dyDescent="0.25">
      <c r="A6903" t="s">
        <v>16</v>
      </c>
      <c r="B6903" t="s">
        <v>3221</v>
      </c>
      <c r="C6903">
        <v>1206</v>
      </c>
      <c r="D6903" t="s">
        <v>428</v>
      </c>
      <c r="E6903" t="s">
        <v>429</v>
      </c>
      <c r="F6903">
        <v>280.7</v>
      </c>
      <c r="G6903">
        <v>230131</v>
      </c>
      <c r="H6903">
        <v>4520</v>
      </c>
      <c r="I6903" t="s">
        <v>254</v>
      </c>
      <c r="J6903">
        <v>320</v>
      </c>
      <c r="K6903">
        <v>39.299999999999997</v>
      </c>
      <c r="L6903">
        <v>17984</v>
      </c>
      <c r="M6903" t="s">
        <v>950</v>
      </c>
      <c r="N6903" t="str">
        <f t="shared" si="127"/>
        <v xml:space="preserve">2360066721  </v>
      </c>
      <c r="O6903">
        <v>230206</v>
      </c>
    </row>
    <row r="6904" spans="1:15" x14ac:dyDescent="0.25">
      <c r="A6904" t="s">
        <v>16</v>
      </c>
      <c r="B6904" t="s">
        <v>3221</v>
      </c>
      <c r="C6904">
        <v>1290</v>
      </c>
      <c r="D6904" t="s">
        <v>428</v>
      </c>
      <c r="E6904" t="s">
        <v>429</v>
      </c>
      <c r="F6904">
        <v>1813.96</v>
      </c>
      <c r="G6904">
        <v>230131</v>
      </c>
      <c r="H6904">
        <v>4520</v>
      </c>
      <c r="I6904" t="s">
        <v>254</v>
      </c>
      <c r="J6904">
        <v>2067.91</v>
      </c>
      <c r="K6904">
        <v>253.95</v>
      </c>
      <c r="L6904">
        <v>59114</v>
      </c>
      <c r="M6904" t="s">
        <v>556</v>
      </c>
      <c r="N6904" t="str">
        <f>"2360066714  "</f>
        <v xml:space="preserve">2360066714  </v>
      </c>
      <c r="O6904">
        <v>230207</v>
      </c>
    </row>
    <row r="6905" spans="1:15" x14ac:dyDescent="0.25">
      <c r="A6905" t="s">
        <v>16</v>
      </c>
      <c r="B6905" t="s">
        <v>3221</v>
      </c>
      <c r="C6905">
        <v>1290</v>
      </c>
      <c r="D6905" t="s">
        <v>428</v>
      </c>
      <c r="E6905" t="s">
        <v>429</v>
      </c>
      <c r="F6905">
        <v>320.11</v>
      </c>
      <c r="G6905">
        <v>230131</v>
      </c>
      <c r="H6905">
        <v>4520</v>
      </c>
      <c r="I6905" t="s">
        <v>254</v>
      </c>
      <c r="J6905">
        <v>364.93</v>
      </c>
      <c r="K6905">
        <v>44.82</v>
      </c>
      <c r="L6905">
        <v>59808</v>
      </c>
      <c r="M6905" t="s">
        <v>557</v>
      </c>
      <c r="N6905" t="str">
        <f>"2360066714  "</f>
        <v xml:space="preserve">2360066714  </v>
      </c>
      <c r="O6905">
        <v>230207</v>
      </c>
    </row>
    <row r="6906" spans="1:15" x14ac:dyDescent="0.25">
      <c r="A6906" t="s">
        <v>16</v>
      </c>
      <c r="B6906" t="s">
        <v>3221</v>
      </c>
      <c r="C6906">
        <v>1291</v>
      </c>
      <c r="D6906" t="s">
        <v>428</v>
      </c>
      <c r="E6906" t="s">
        <v>429</v>
      </c>
      <c r="F6906">
        <v>4417.8900000000003</v>
      </c>
      <c r="G6906">
        <v>230131</v>
      </c>
      <c r="H6906">
        <v>4520</v>
      </c>
      <c r="I6906" t="s">
        <v>254</v>
      </c>
      <c r="J6906">
        <v>5036.3900000000003</v>
      </c>
      <c r="K6906">
        <v>618.5</v>
      </c>
      <c r="L6906">
        <v>59113</v>
      </c>
      <c r="M6906" t="s">
        <v>235</v>
      </c>
      <c r="N6906" t="str">
        <f>"2360066716  "</f>
        <v xml:space="preserve">2360066716  </v>
      </c>
      <c r="O6906">
        <v>230207</v>
      </c>
    </row>
    <row r="6907" spans="1:15" x14ac:dyDescent="0.25">
      <c r="A6907" t="s">
        <v>16</v>
      </c>
      <c r="B6907" t="s">
        <v>3221</v>
      </c>
      <c r="C6907">
        <v>1291</v>
      </c>
      <c r="D6907" t="s">
        <v>428</v>
      </c>
      <c r="E6907" t="s">
        <v>429</v>
      </c>
      <c r="F6907">
        <v>779.63</v>
      </c>
      <c r="G6907">
        <v>230131</v>
      </c>
      <c r="H6907">
        <v>4520</v>
      </c>
      <c r="I6907" t="s">
        <v>254</v>
      </c>
      <c r="J6907">
        <v>888.78</v>
      </c>
      <c r="K6907">
        <v>109.15</v>
      </c>
      <c r="L6907">
        <v>59803</v>
      </c>
      <c r="M6907" t="s">
        <v>533</v>
      </c>
      <c r="N6907" t="str">
        <f>"2360066716  "</f>
        <v xml:space="preserve">2360066716  </v>
      </c>
      <c r="O6907">
        <v>230207</v>
      </c>
    </row>
    <row r="6908" spans="1:15" x14ac:dyDescent="0.25">
      <c r="A6908" t="s">
        <v>16</v>
      </c>
      <c r="B6908" t="s">
        <v>3221</v>
      </c>
      <c r="C6908">
        <v>1411</v>
      </c>
      <c r="D6908" t="s">
        <v>428</v>
      </c>
      <c r="E6908" t="s">
        <v>429</v>
      </c>
      <c r="F6908">
        <v>15.45</v>
      </c>
      <c r="G6908">
        <v>230131</v>
      </c>
      <c r="H6908">
        <v>4520</v>
      </c>
      <c r="I6908" t="s">
        <v>254</v>
      </c>
      <c r="J6908">
        <v>19.16</v>
      </c>
      <c r="K6908">
        <v>3.71</v>
      </c>
      <c r="L6908">
        <v>17915</v>
      </c>
      <c r="M6908" t="s">
        <v>572</v>
      </c>
      <c r="N6908" t="str">
        <f>"2360066719  "</f>
        <v xml:space="preserve">2360066719  </v>
      </c>
      <c r="O6908">
        <v>230208</v>
      </c>
    </row>
    <row r="6909" spans="1:15" x14ac:dyDescent="0.25">
      <c r="A6909" t="s">
        <v>16</v>
      </c>
      <c r="B6909" t="s">
        <v>3221</v>
      </c>
      <c r="C6909">
        <v>1411</v>
      </c>
      <c r="D6909" t="s">
        <v>428</v>
      </c>
      <c r="E6909" t="s">
        <v>429</v>
      </c>
      <c r="F6909">
        <v>1728.99</v>
      </c>
      <c r="G6909">
        <v>230131</v>
      </c>
      <c r="H6909">
        <v>4520</v>
      </c>
      <c r="I6909" t="s">
        <v>254</v>
      </c>
      <c r="J6909">
        <v>1971.05</v>
      </c>
      <c r="K6909">
        <v>242.06</v>
      </c>
      <c r="L6909">
        <v>17915</v>
      </c>
      <c r="M6909" t="s">
        <v>572</v>
      </c>
      <c r="N6909" t="str">
        <f>"2360066719  "</f>
        <v xml:space="preserve">2360066719  </v>
      </c>
      <c r="O6909">
        <v>230208</v>
      </c>
    </row>
    <row r="6910" spans="1:15" x14ac:dyDescent="0.25">
      <c r="A6910" t="s">
        <v>16</v>
      </c>
      <c r="B6910" t="s">
        <v>3221</v>
      </c>
      <c r="C6910">
        <v>1411</v>
      </c>
      <c r="D6910" t="s">
        <v>428</v>
      </c>
      <c r="E6910" t="s">
        <v>429</v>
      </c>
      <c r="F6910">
        <v>1.72</v>
      </c>
      <c r="G6910">
        <v>230131</v>
      </c>
      <c r="H6910">
        <v>4520</v>
      </c>
      <c r="I6910" t="s">
        <v>254</v>
      </c>
      <c r="J6910">
        <v>2.13</v>
      </c>
      <c r="K6910">
        <v>0.41</v>
      </c>
      <c r="L6910">
        <v>17982</v>
      </c>
      <c r="M6910" t="s">
        <v>432</v>
      </c>
      <c r="N6910" t="str">
        <f>"2360066719  "</f>
        <v xml:space="preserve">2360066719  </v>
      </c>
      <c r="O6910">
        <v>230208</v>
      </c>
    </row>
    <row r="6911" spans="1:15" x14ac:dyDescent="0.25">
      <c r="A6911" t="s">
        <v>16</v>
      </c>
      <c r="B6911" t="s">
        <v>3221</v>
      </c>
      <c r="C6911">
        <v>1411</v>
      </c>
      <c r="D6911" t="s">
        <v>428</v>
      </c>
      <c r="E6911" t="s">
        <v>429</v>
      </c>
      <c r="F6911">
        <v>192.11</v>
      </c>
      <c r="G6911">
        <v>230131</v>
      </c>
      <c r="H6911">
        <v>4520</v>
      </c>
      <c r="I6911" t="s">
        <v>254</v>
      </c>
      <c r="J6911">
        <v>219</v>
      </c>
      <c r="K6911">
        <v>26.89</v>
      </c>
      <c r="L6911">
        <v>17982</v>
      </c>
      <c r="M6911" t="s">
        <v>432</v>
      </c>
      <c r="N6911" t="str">
        <f>"2360066719  "</f>
        <v xml:space="preserve">2360066719  </v>
      </c>
      <c r="O6911">
        <v>230208</v>
      </c>
    </row>
    <row r="6912" spans="1:15" x14ac:dyDescent="0.25">
      <c r="A6912" t="s">
        <v>16</v>
      </c>
      <c r="B6912" t="s">
        <v>3221</v>
      </c>
      <c r="C6912">
        <v>1484</v>
      </c>
      <c r="D6912" t="s">
        <v>428</v>
      </c>
      <c r="E6912" t="s">
        <v>429</v>
      </c>
      <c r="F6912">
        <v>410.8</v>
      </c>
      <c r="G6912">
        <v>230131</v>
      </c>
      <c r="H6912">
        <v>4520</v>
      </c>
      <c r="I6912" t="s">
        <v>254</v>
      </c>
      <c r="J6912">
        <v>468.31</v>
      </c>
      <c r="K6912">
        <v>57.51</v>
      </c>
      <c r="L6912">
        <v>44222</v>
      </c>
      <c r="M6912" t="s">
        <v>232</v>
      </c>
      <c r="N6912" t="str">
        <f>"2360066723  "</f>
        <v xml:space="preserve">2360066723  </v>
      </c>
      <c r="O6912">
        <v>230209</v>
      </c>
    </row>
    <row r="6913" spans="1:15" x14ac:dyDescent="0.25">
      <c r="A6913" t="s">
        <v>16</v>
      </c>
      <c r="B6913" t="s">
        <v>3221</v>
      </c>
      <c r="C6913">
        <v>1484</v>
      </c>
      <c r="D6913" t="s">
        <v>428</v>
      </c>
      <c r="E6913" t="s">
        <v>429</v>
      </c>
      <c r="F6913">
        <v>614.47</v>
      </c>
      <c r="G6913">
        <v>230131</v>
      </c>
      <c r="H6913">
        <v>4520</v>
      </c>
      <c r="I6913" t="s">
        <v>254</v>
      </c>
      <c r="J6913">
        <v>700.5</v>
      </c>
      <c r="K6913">
        <v>86.03</v>
      </c>
      <c r="L6913">
        <v>44253</v>
      </c>
      <c r="M6913" t="s">
        <v>1058</v>
      </c>
      <c r="N6913" t="str">
        <f>"2360066723  "</f>
        <v xml:space="preserve">2360066723  </v>
      </c>
      <c r="O6913">
        <v>230209</v>
      </c>
    </row>
    <row r="6914" spans="1:15" x14ac:dyDescent="0.25">
      <c r="A6914" t="s">
        <v>16</v>
      </c>
      <c r="B6914" t="s">
        <v>3221</v>
      </c>
      <c r="C6914">
        <v>1491</v>
      </c>
      <c r="D6914" t="s">
        <v>428</v>
      </c>
      <c r="E6914" t="s">
        <v>429</v>
      </c>
      <c r="F6914">
        <v>2018.76</v>
      </c>
      <c r="G6914">
        <v>230131</v>
      </c>
      <c r="H6914">
        <v>4520</v>
      </c>
      <c r="I6914" t="s">
        <v>254</v>
      </c>
      <c r="J6914">
        <v>2301.39</v>
      </c>
      <c r="K6914">
        <v>282.63</v>
      </c>
      <c r="L6914">
        <v>44251</v>
      </c>
      <c r="M6914" t="s">
        <v>156</v>
      </c>
      <c r="N6914" t="str">
        <f>"2360066720  "</f>
        <v xml:space="preserve">2360066720  </v>
      </c>
      <c r="O6914">
        <v>230209</v>
      </c>
    </row>
    <row r="6915" spans="1:15" x14ac:dyDescent="0.25">
      <c r="A6915" t="s">
        <v>16</v>
      </c>
      <c r="B6915" t="s">
        <v>3221</v>
      </c>
      <c r="C6915">
        <v>1491</v>
      </c>
      <c r="D6915" t="s">
        <v>428</v>
      </c>
      <c r="E6915" t="s">
        <v>429</v>
      </c>
      <c r="F6915">
        <v>1445.85</v>
      </c>
      <c r="G6915">
        <v>230131</v>
      </c>
      <c r="H6915">
        <v>4520</v>
      </c>
      <c r="I6915" t="s">
        <v>254</v>
      </c>
      <c r="J6915">
        <v>1648.27</v>
      </c>
      <c r="K6915">
        <v>202.42</v>
      </c>
      <c r="L6915">
        <v>44252</v>
      </c>
      <c r="M6915" t="s">
        <v>157</v>
      </c>
      <c r="N6915" t="str">
        <f>"2360066720  "</f>
        <v xml:space="preserve">2360066720  </v>
      </c>
      <c r="O6915">
        <v>230209</v>
      </c>
    </row>
    <row r="6916" spans="1:15" x14ac:dyDescent="0.25">
      <c r="A6916" t="s">
        <v>16</v>
      </c>
      <c r="B6916" t="s">
        <v>3221</v>
      </c>
      <c r="C6916">
        <v>2015</v>
      </c>
      <c r="D6916" t="s">
        <v>428</v>
      </c>
      <c r="E6916" t="s">
        <v>429</v>
      </c>
      <c r="F6916">
        <v>504.82</v>
      </c>
      <c r="G6916">
        <v>230215</v>
      </c>
      <c r="H6916">
        <v>4520</v>
      </c>
      <c r="I6916" t="s">
        <v>254</v>
      </c>
      <c r="J6916">
        <v>575.5</v>
      </c>
      <c r="K6916">
        <v>70.680000000000007</v>
      </c>
      <c r="L6916">
        <v>16431</v>
      </c>
      <c r="M6916" t="s">
        <v>231</v>
      </c>
      <c r="N6916" t="str">
        <f t="shared" ref="N6916:N6922" si="128">"2360127428  "</f>
        <v xml:space="preserve">2360127428  </v>
      </c>
      <c r="O6916">
        <v>230217</v>
      </c>
    </row>
    <row r="6917" spans="1:15" x14ac:dyDescent="0.25">
      <c r="A6917" t="s">
        <v>16</v>
      </c>
      <c r="B6917" t="s">
        <v>3221</v>
      </c>
      <c r="C6917">
        <v>2015</v>
      </c>
      <c r="D6917" t="s">
        <v>428</v>
      </c>
      <c r="E6917" t="s">
        <v>429</v>
      </c>
      <c r="F6917">
        <v>167.37</v>
      </c>
      <c r="G6917">
        <v>230215</v>
      </c>
      <c r="H6917">
        <v>4520</v>
      </c>
      <c r="I6917" t="s">
        <v>254</v>
      </c>
      <c r="J6917">
        <v>190.8</v>
      </c>
      <c r="K6917">
        <v>23.43</v>
      </c>
      <c r="L6917">
        <v>16442</v>
      </c>
      <c r="M6917" t="s">
        <v>430</v>
      </c>
      <c r="N6917" t="str">
        <f t="shared" si="128"/>
        <v xml:space="preserve">2360127428  </v>
      </c>
      <c r="O6917">
        <v>230217</v>
      </c>
    </row>
    <row r="6918" spans="1:15" x14ac:dyDescent="0.25">
      <c r="A6918" t="s">
        <v>16</v>
      </c>
      <c r="B6918" t="s">
        <v>3221</v>
      </c>
      <c r="C6918">
        <v>2015</v>
      </c>
      <c r="D6918" t="s">
        <v>428</v>
      </c>
      <c r="E6918" t="s">
        <v>429</v>
      </c>
      <c r="F6918">
        <v>56.93</v>
      </c>
      <c r="G6918">
        <v>230215</v>
      </c>
      <c r="H6918">
        <v>4520</v>
      </c>
      <c r="I6918" t="s">
        <v>254</v>
      </c>
      <c r="J6918">
        <v>70.59</v>
      </c>
      <c r="K6918">
        <v>13.66</v>
      </c>
      <c r="L6918">
        <v>17913</v>
      </c>
      <c r="M6918" t="s">
        <v>431</v>
      </c>
      <c r="N6918" t="str">
        <f t="shared" si="128"/>
        <v xml:space="preserve">2360127428  </v>
      </c>
      <c r="O6918">
        <v>230217</v>
      </c>
    </row>
    <row r="6919" spans="1:15" x14ac:dyDescent="0.25">
      <c r="A6919" t="s">
        <v>16</v>
      </c>
      <c r="B6919" t="s">
        <v>3221</v>
      </c>
      <c r="C6919">
        <v>2015</v>
      </c>
      <c r="D6919" t="s">
        <v>428</v>
      </c>
      <c r="E6919" t="s">
        <v>429</v>
      </c>
      <c r="F6919">
        <v>3660.58</v>
      </c>
      <c r="G6919">
        <v>230215</v>
      </c>
      <c r="H6919">
        <v>4520</v>
      </c>
      <c r="I6919" t="s">
        <v>254</v>
      </c>
      <c r="J6919">
        <v>4173.0600000000004</v>
      </c>
      <c r="K6919">
        <v>512.48</v>
      </c>
      <c r="L6919">
        <v>17913</v>
      </c>
      <c r="M6919" t="s">
        <v>431</v>
      </c>
      <c r="N6919" t="str">
        <f t="shared" si="128"/>
        <v xml:space="preserve">2360127428  </v>
      </c>
      <c r="O6919">
        <v>230217</v>
      </c>
    </row>
    <row r="6920" spans="1:15" x14ac:dyDescent="0.25">
      <c r="A6920" t="s">
        <v>16</v>
      </c>
      <c r="B6920" t="s">
        <v>3221</v>
      </c>
      <c r="C6920">
        <v>2015</v>
      </c>
      <c r="D6920" t="s">
        <v>428</v>
      </c>
      <c r="E6920" t="s">
        <v>429</v>
      </c>
      <c r="F6920">
        <v>6.32</v>
      </c>
      <c r="G6920">
        <v>230215</v>
      </c>
      <c r="H6920">
        <v>4520</v>
      </c>
      <c r="I6920" t="s">
        <v>254</v>
      </c>
      <c r="J6920">
        <v>7.84</v>
      </c>
      <c r="K6920">
        <v>1.52</v>
      </c>
      <c r="L6920">
        <v>17982</v>
      </c>
      <c r="M6920" t="s">
        <v>432</v>
      </c>
      <c r="N6920" t="str">
        <f t="shared" si="128"/>
        <v xml:space="preserve">2360127428  </v>
      </c>
      <c r="O6920">
        <v>230217</v>
      </c>
    </row>
    <row r="6921" spans="1:15" x14ac:dyDescent="0.25">
      <c r="A6921" t="s">
        <v>16</v>
      </c>
      <c r="B6921" t="s">
        <v>3221</v>
      </c>
      <c r="C6921">
        <v>2015</v>
      </c>
      <c r="D6921" t="s">
        <v>428</v>
      </c>
      <c r="E6921" t="s">
        <v>429</v>
      </c>
      <c r="F6921">
        <v>504.82</v>
      </c>
      <c r="G6921">
        <v>230215</v>
      </c>
      <c r="H6921">
        <v>4520</v>
      </c>
      <c r="I6921" t="s">
        <v>254</v>
      </c>
      <c r="J6921">
        <v>575.5</v>
      </c>
      <c r="K6921">
        <v>70.680000000000007</v>
      </c>
      <c r="L6921">
        <v>17982</v>
      </c>
      <c r="M6921" t="s">
        <v>432</v>
      </c>
      <c r="N6921" t="str">
        <f t="shared" si="128"/>
        <v xml:space="preserve">2360127428  </v>
      </c>
      <c r="O6921">
        <v>230217</v>
      </c>
    </row>
    <row r="6922" spans="1:15" x14ac:dyDescent="0.25">
      <c r="A6922" t="s">
        <v>16</v>
      </c>
      <c r="B6922" t="s">
        <v>3221</v>
      </c>
      <c r="C6922">
        <v>2015</v>
      </c>
      <c r="D6922" t="s">
        <v>428</v>
      </c>
      <c r="E6922" t="s">
        <v>429</v>
      </c>
      <c r="F6922">
        <v>210.53</v>
      </c>
      <c r="G6922">
        <v>230215</v>
      </c>
      <c r="H6922">
        <v>4520</v>
      </c>
      <c r="I6922" t="s">
        <v>254</v>
      </c>
      <c r="J6922">
        <v>240</v>
      </c>
      <c r="K6922">
        <v>29.47</v>
      </c>
      <c r="L6922">
        <v>17984</v>
      </c>
      <c r="M6922" t="s">
        <v>950</v>
      </c>
      <c r="N6922" t="str">
        <f t="shared" si="128"/>
        <v xml:space="preserve">2360127428  </v>
      </c>
      <c r="O6922">
        <v>230217</v>
      </c>
    </row>
    <row r="6923" spans="1:15" x14ac:dyDescent="0.25">
      <c r="A6923" t="s">
        <v>16</v>
      </c>
      <c r="B6923" t="s">
        <v>3221</v>
      </c>
      <c r="C6923">
        <v>2050</v>
      </c>
      <c r="D6923" t="s">
        <v>428</v>
      </c>
      <c r="E6923" t="s">
        <v>429</v>
      </c>
      <c r="F6923">
        <v>78.75</v>
      </c>
      <c r="G6923">
        <v>230131</v>
      </c>
      <c r="H6923">
        <v>4520</v>
      </c>
      <c r="I6923" t="s">
        <v>254</v>
      </c>
      <c r="J6923">
        <v>89.78</v>
      </c>
      <c r="K6923">
        <v>11.03</v>
      </c>
      <c r="L6923">
        <v>14422</v>
      </c>
      <c r="M6923" t="s">
        <v>228</v>
      </c>
      <c r="N6923" t="str">
        <f t="shared" ref="N6923:N6929" si="129">"2360066722  "</f>
        <v xml:space="preserve">2360066722  </v>
      </c>
      <c r="O6923">
        <v>230220</v>
      </c>
    </row>
    <row r="6924" spans="1:15" x14ac:dyDescent="0.25">
      <c r="A6924" t="s">
        <v>16</v>
      </c>
      <c r="B6924" t="s">
        <v>3221</v>
      </c>
      <c r="C6924">
        <v>2050</v>
      </c>
      <c r="D6924" t="s">
        <v>428</v>
      </c>
      <c r="E6924" t="s">
        <v>429</v>
      </c>
      <c r="F6924">
        <v>315.02</v>
      </c>
      <c r="G6924">
        <v>230131</v>
      </c>
      <c r="H6924">
        <v>4520</v>
      </c>
      <c r="I6924" t="s">
        <v>254</v>
      </c>
      <c r="J6924">
        <v>359.12</v>
      </c>
      <c r="K6924">
        <v>44.1</v>
      </c>
      <c r="L6924">
        <v>14431</v>
      </c>
      <c r="M6924" t="s">
        <v>861</v>
      </c>
      <c r="N6924" t="str">
        <f t="shared" si="129"/>
        <v xml:space="preserve">2360066722  </v>
      </c>
      <c r="O6924">
        <v>230220</v>
      </c>
    </row>
    <row r="6925" spans="1:15" x14ac:dyDescent="0.25">
      <c r="A6925" t="s">
        <v>16</v>
      </c>
      <c r="B6925" t="s">
        <v>3221</v>
      </c>
      <c r="C6925">
        <v>2050</v>
      </c>
      <c r="D6925" t="s">
        <v>428</v>
      </c>
      <c r="E6925" t="s">
        <v>429</v>
      </c>
      <c r="F6925">
        <v>1338.81</v>
      </c>
      <c r="G6925">
        <v>230131</v>
      </c>
      <c r="H6925">
        <v>4520</v>
      </c>
      <c r="I6925" t="s">
        <v>254</v>
      </c>
      <c r="J6925">
        <v>1526.24</v>
      </c>
      <c r="K6925">
        <v>187.43</v>
      </c>
      <c r="L6925">
        <v>14432</v>
      </c>
      <c r="M6925" t="s">
        <v>862</v>
      </c>
      <c r="N6925" t="str">
        <f t="shared" si="129"/>
        <v xml:space="preserve">2360066722  </v>
      </c>
      <c r="O6925">
        <v>230220</v>
      </c>
    </row>
    <row r="6926" spans="1:15" x14ac:dyDescent="0.25">
      <c r="A6926" t="s">
        <v>16</v>
      </c>
      <c r="B6926" t="s">
        <v>3221</v>
      </c>
      <c r="C6926">
        <v>2050</v>
      </c>
      <c r="D6926" t="s">
        <v>428</v>
      </c>
      <c r="E6926" t="s">
        <v>429</v>
      </c>
      <c r="F6926">
        <v>78.75</v>
      </c>
      <c r="G6926">
        <v>230131</v>
      </c>
      <c r="H6926">
        <v>4520</v>
      </c>
      <c r="I6926" t="s">
        <v>254</v>
      </c>
      <c r="J6926">
        <v>89.78</v>
      </c>
      <c r="K6926">
        <v>11.03</v>
      </c>
      <c r="L6926">
        <v>14640</v>
      </c>
      <c r="M6926" t="s">
        <v>229</v>
      </c>
      <c r="N6926" t="str">
        <f t="shared" si="129"/>
        <v xml:space="preserve">2360066722  </v>
      </c>
      <c r="O6926">
        <v>230220</v>
      </c>
    </row>
    <row r="6927" spans="1:15" x14ac:dyDescent="0.25">
      <c r="A6927" t="s">
        <v>16</v>
      </c>
      <c r="B6927" t="s">
        <v>3221</v>
      </c>
      <c r="C6927">
        <v>2050</v>
      </c>
      <c r="D6927" t="s">
        <v>428</v>
      </c>
      <c r="E6927" t="s">
        <v>429</v>
      </c>
      <c r="F6927">
        <v>315.02</v>
      </c>
      <c r="G6927">
        <v>230131</v>
      </c>
      <c r="H6927">
        <v>4520</v>
      </c>
      <c r="I6927" t="s">
        <v>254</v>
      </c>
      <c r="J6927">
        <v>359.12</v>
      </c>
      <c r="K6927">
        <v>44.1</v>
      </c>
      <c r="L6927">
        <v>14642</v>
      </c>
      <c r="M6927" t="s">
        <v>863</v>
      </c>
      <c r="N6927" t="str">
        <f t="shared" si="129"/>
        <v xml:space="preserve">2360066722  </v>
      </c>
      <c r="O6927">
        <v>230220</v>
      </c>
    </row>
    <row r="6928" spans="1:15" x14ac:dyDescent="0.25">
      <c r="A6928" t="s">
        <v>16</v>
      </c>
      <c r="B6928" t="s">
        <v>3221</v>
      </c>
      <c r="C6928">
        <v>2050</v>
      </c>
      <c r="D6928" t="s">
        <v>428</v>
      </c>
      <c r="E6928" t="s">
        <v>429</v>
      </c>
      <c r="F6928">
        <v>1203.81</v>
      </c>
      <c r="G6928">
        <v>230131</v>
      </c>
      <c r="H6928">
        <v>4520</v>
      </c>
      <c r="I6928" t="s">
        <v>254</v>
      </c>
      <c r="J6928">
        <v>1492.73</v>
      </c>
      <c r="K6928">
        <v>288.92</v>
      </c>
      <c r="L6928">
        <v>14912</v>
      </c>
      <c r="M6928" t="s">
        <v>230</v>
      </c>
      <c r="N6928" t="str">
        <f t="shared" si="129"/>
        <v xml:space="preserve">2360066722  </v>
      </c>
      <c r="O6928">
        <v>230220</v>
      </c>
    </row>
    <row r="6929" spans="1:15" x14ac:dyDescent="0.25">
      <c r="A6929" t="s">
        <v>16</v>
      </c>
      <c r="B6929" t="s">
        <v>3221</v>
      </c>
      <c r="C6929">
        <v>2050</v>
      </c>
      <c r="D6929" t="s">
        <v>428</v>
      </c>
      <c r="E6929" t="s">
        <v>429</v>
      </c>
      <c r="F6929">
        <v>4439.6000000000004</v>
      </c>
      <c r="G6929">
        <v>230131</v>
      </c>
      <c r="H6929">
        <v>4520</v>
      </c>
      <c r="I6929" t="s">
        <v>254</v>
      </c>
      <c r="J6929">
        <v>5061.1400000000003</v>
      </c>
      <c r="K6929">
        <v>621.54</v>
      </c>
      <c r="L6929">
        <v>14912</v>
      </c>
      <c r="M6929" t="s">
        <v>230</v>
      </c>
      <c r="N6929" t="str">
        <f t="shared" si="129"/>
        <v xml:space="preserve">2360066722  </v>
      </c>
      <c r="O6929">
        <v>230220</v>
      </c>
    </row>
    <row r="6930" spans="1:15" x14ac:dyDescent="0.25">
      <c r="A6930" t="s">
        <v>16</v>
      </c>
      <c r="B6930" t="s">
        <v>3221</v>
      </c>
      <c r="C6930">
        <v>2100</v>
      </c>
      <c r="D6930" t="s">
        <v>428</v>
      </c>
      <c r="E6930" t="s">
        <v>429</v>
      </c>
      <c r="F6930">
        <v>1317.78</v>
      </c>
      <c r="G6930">
        <v>230215</v>
      </c>
      <c r="H6930">
        <v>4520</v>
      </c>
      <c r="I6930" t="s">
        <v>254</v>
      </c>
      <c r="J6930">
        <v>1502.27</v>
      </c>
      <c r="K6930">
        <v>184.49</v>
      </c>
      <c r="L6930">
        <v>59114</v>
      </c>
      <c r="M6930" t="s">
        <v>556</v>
      </c>
      <c r="N6930" t="str">
        <f>"2360127421  "</f>
        <v xml:space="preserve">2360127421  </v>
      </c>
      <c r="O6930">
        <v>230221</v>
      </c>
    </row>
    <row r="6931" spans="1:15" x14ac:dyDescent="0.25">
      <c r="A6931" t="s">
        <v>16</v>
      </c>
      <c r="B6931" t="s">
        <v>3221</v>
      </c>
      <c r="C6931">
        <v>2100</v>
      </c>
      <c r="D6931" t="s">
        <v>428</v>
      </c>
      <c r="E6931" t="s">
        <v>429</v>
      </c>
      <c r="F6931">
        <v>245.71</v>
      </c>
      <c r="G6931">
        <v>230215</v>
      </c>
      <c r="H6931">
        <v>4520</v>
      </c>
      <c r="I6931" t="s">
        <v>254</v>
      </c>
      <c r="J6931">
        <v>280.11</v>
      </c>
      <c r="K6931">
        <v>34.4</v>
      </c>
      <c r="L6931">
        <v>59808</v>
      </c>
      <c r="M6931" t="s">
        <v>557</v>
      </c>
      <c r="N6931" t="str">
        <f>"2360127421  "</f>
        <v xml:space="preserve">2360127421  </v>
      </c>
      <c r="O6931">
        <v>230221</v>
      </c>
    </row>
    <row r="6932" spans="1:15" x14ac:dyDescent="0.25">
      <c r="A6932" t="s">
        <v>16</v>
      </c>
      <c r="B6932" t="s">
        <v>3221</v>
      </c>
      <c r="C6932">
        <v>2101</v>
      </c>
      <c r="D6932" t="s">
        <v>428</v>
      </c>
      <c r="E6932" t="s">
        <v>429</v>
      </c>
      <c r="F6932">
        <v>4973.34</v>
      </c>
      <c r="G6932">
        <v>230215</v>
      </c>
      <c r="H6932">
        <v>4520</v>
      </c>
      <c r="I6932" t="s">
        <v>254</v>
      </c>
      <c r="J6932">
        <v>5669.61</v>
      </c>
      <c r="K6932">
        <v>696.27</v>
      </c>
      <c r="L6932">
        <v>54451</v>
      </c>
      <c r="M6932" t="s">
        <v>158</v>
      </c>
      <c r="N6932" t="str">
        <f>"2360127422  "</f>
        <v xml:space="preserve">2360127422  </v>
      </c>
      <c r="O6932">
        <v>230221</v>
      </c>
    </row>
    <row r="6933" spans="1:15" x14ac:dyDescent="0.25">
      <c r="A6933" t="s">
        <v>16</v>
      </c>
      <c r="B6933" t="s">
        <v>3221</v>
      </c>
      <c r="C6933">
        <v>2103</v>
      </c>
      <c r="D6933" t="s">
        <v>428</v>
      </c>
      <c r="E6933" t="s">
        <v>429</v>
      </c>
      <c r="F6933">
        <v>3414.04</v>
      </c>
      <c r="G6933">
        <v>230215</v>
      </c>
      <c r="H6933">
        <v>4520</v>
      </c>
      <c r="I6933" t="s">
        <v>254</v>
      </c>
      <c r="J6933">
        <v>3892.01</v>
      </c>
      <c r="K6933">
        <v>477.97</v>
      </c>
      <c r="L6933">
        <v>59113</v>
      </c>
      <c r="M6933" t="s">
        <v>235</v>
      </c>
      <c r="N6933" t="str">
        <f>"2360127423  "</f>
        <v xml:space="preserve">2360127423  </v>
      </c>
      <c r="O6933">
        <v>230221</v>
      </c>
    </row>
    <row r="6934" spans="1:15" x14ac:dyDescent="0.25">
      <c r="A6934" t="s">
        <v>16</v>
      </c>
      <c r="B6934" t="s">
        <v>3221</v>
      </c>
      <c r="C6934">
        <v>2103</v>
      </c>
      <c r="D6934" t="s">
        <v>428</v>
      </c>
      <c r="E6934" t="s">
        <v>429</v>
      </c>
      <c r="F6934">
        <v>602.47</v>
      </c>
      <c r="G6934">
        <v>230215</v>
      </c>
      <c r="H6934">
        <v>4520</v>
      </c>
      <c r="I6934" t="s">
        <v>254</v>
      </c>
      <c r="J6934">
        <v>686.82</v>
      </c>
      <c r="K6934">
        <v>84.35</v>
      </c>
      <c r="L6934">
        <v>59803</v>
      </c>
      <c r="M6934" t="s">
        <v>533</v>
      </c>
      <c r="N6934" t="str">
        <f>"2360127423  "</f>
        <v xml:space="preserve">2360127423  </v>
      </c>
      <c r="O6934">
        <v>230221</v>
      </c>
    </row>
    <row r="6935" spans="1:15" x14ac:dyDescent="0.25">
      <c r="A6935" t="s">
        <v>16</v>
      </c>
      <c r="B6935" t="s">
        <v>3221</v>
      </c>
      <c r="C6935">
        <v>2280</v>
      </c>
      <c r="D6935" t="s">
        <v>428</v>
      </c>
      <c r="E6935" t="s">
        <v>429</v>
      </c>
      <c r="F6935">
        <v>287.79000000000002</v>
      </c>
      <c r="G6935">
        <v>230215</v>
      </c>
      <c r="H6935">
        <v>4520</v>
      </c>
      <c r="I6935" t="s">
        <v>254</v>
      </c>
      <c r="J6935">
        <v>328.08</v>
      </c>
      <c r="K6935">
        <v>40.29</v>
      </c>
      <c r="L6935">
        <v>44222</v>
      </c>
      <c r="M6935" t="s">
        <v>232</v>
      </c>
      <c r="N6935" t="str">
        <f>"2360127430  "</f>
        <v xml:space="preserve">2360127430  </v>
      </c>
      <c r="O6935">
        <v>230223</v>
      </c>
    </row>
    <row r="6936" spans="1:15" x14ac:dyDescent="0.25">
      <c r="A6936" t="s">
        <v>16</v>
      </c>
      <c r="B6936" t="s">
        <v>3221</v>
      </c>
      <c r="C6936">
        <v>2280</v>
      </c>
      <c r="D6936" t="s">
        <v>428</v>
      </c>
      <c r="E6936" t="s">
        <v>429</v>
      </c>
      <c r="F6936">
        <v>533.6</v>
      </c>
      <c r="G6936">
        <v>230215</v>
      </c>
      <c r="H6936">
        <v>4520</v>
      </c>
      <c r="I6936" t="s">
        <v>254</v>
      </c>
      <c r="J6936">
        <v>608.29999999999995</v>
      </c>
      <c r="K6936">
        <v>74.7</v>
      </c>
      <c r="L6936">
        <v>44253</v>
      </c>
      <c r="M6936" t="s">
        <v>1058</v>
      </c>
      <c r="N6936" t="str">
        <f>"2360127430  "</f>
        <v xml:space="preserve">2360127430  </v>
      </c>
      <c r="O6936">
        <v>230223</v>
      </c>
    </row>
    <row r="6937" spans="1:15" x14ac:dyDescent="0.25">
      <c r="A6937" t="s">
        <v>16</v>
      </c>
      <c r="B6937" t="s">
        <v>3221</v>
      </c>
      <c r="C6937">
        <v>2343</v>
      </c>
      <c r="D6937" t="s">
        <v>428</v>
      </c>
      <c r="E6937" t="s">
        <v>429</v>
      </c>
      <c r="F6937">
        <v>3500.61</v>
      </c>
      <c r="G6937">
        <v>230215</v>
      </c>
      <c r="H6937">
        <v>4520</v>
      </c>
      <c r="I6937" t="s">
        <v>254</v>
      </c>
      <c r="J6937">
        <v>3990.69</v>
      </c>
      <c r="K6937">
        <v>490.08</v>
      </c>
      <c r="L6937">
        <v>49112</v>
      </c>
      <c r="M6937" t="s">
        <v>233</v>
      </c>
      <c r="N6937" t="str">
        <f>"2360127425  "</f>
        <v xml:space="preserve">2360127425  </v>
      </c>
      <c r="O6937">
        <v>230224</v>
      </c>
    </row>
    <row r="6938" spans="1:15" x14ac:dyDescent="0.25">
      <c r="A6938" t="s">
        <v>16</v>
      </c>
      <c r="B6938" t="s">
        <v>3221</v>
      </c>
      <c r="C6938">
        <v>2355</v>
      </c>
      <c r="D6938" t="s">
        <v>428</v>
      </c>
      <c r="E6938" t="s">
        <v>429</v>
      </c>
      <c r="F6938">
        <v>1846.59</v>
      </c>
      <c r="G6938">
        <v>230215</v>
      </c>
      <c r="H6938">
        <v>4520</v>
      </c>
      <c r="I6938" t="s">
        <v>254</v>
      </c>
      <c r="J6938">
        <v>2105.11</v>
      </c>
      <c r="K6938">
        <v>258.52</v>
      </c>
      <c r="L6938">
        <v>17915</v>
      </c>
      <c r="M6938" t="s">
        <v>572</v>
      </c>
      <c r="N6938" t="str">
        <f>"2360127426  "</f>
        <v xml:space="preserve">2360127426  </v>
      </c>
      <c r="O6938">
        <v>230224</v>
      </c>
    </row>
    <row r="6939" spans="1:15" x14ac:dyDescent="0.25">
      <c r="A6939" t="s">
        <v>16</v>
      </c>
      <c r="B6939" t="s">
        <v>3221</v>
      </c>
      <c r="C6939">
        <v>2355</v>
      </c>
      <c r="D6939" t="s">
        <v>428</v>
      </c>
      <c r="E6939" t="s">
        <v>429</v>
      </c>
      <c r="F6939">
        <v>249.3</v>
      </c>
      <c r="G6939">
        <v>230215</v>
      </c>
      <c r="H6939">
        <v>4520</v>
      </c>
      <c r="I6939" t="s">
        <v>254</v>
      </c>
      <c r="J6939">
        <v>284.2</v>
      </c>
      <c r="K6939">
        <v>34.9</v>
      </c>
      <c r="L6939">
        <v>17982</v>
      </c>
      <c r="M6939" t="s">
        <v>432</v>
      </c>
      <c r="N6939" t="str">
        <f>"2360127426  "</f>
        <v xml:space="preserve">2360127426  </v>
      </c>
      <c r="O6939">
        <v>230224</v>
      </c>
    </row>
    <row r="6940" spans="1:15" x14ac:dyDescent="0.25">
      <c r="A6940" t="s">
        <v>16</v>
      </c>
      <c r="B6940" t="s">
        <v>3221</v>
      </c>
      <c r="C6940">
        <v>2355</v>
      </c>
      <c r="D6940" t="s">
        <v>428</v>
      </c>
      <c r="E6940" t="s">
        <v>429</v>
      </c>
      <c r="F6940">
        <v>397.37</v>
      </c>
      <c r="G6940">
        <v>230215</v>
      </c>
      <c r="H6940">
        <v>4520</v>
      </c>
      <c r="I6940" t="s">
        <v>254</v>
      </c>
      <c r="J6940">
        <v>453</v>
      </c>
      <c r="K6940">
        <v>55.63</v>
      </c>
      <c r="L6940">
        <v>17984</v>
      </c>
      <c r="M6940" t="s">
        <v>950</v>
      </c>
      <c r="N6940" t="str">
        <f>"2360127426  "</f>
        <v xml:space="preserve">2360127426  </v>
      </c>
      <c r="O6940">
        <v>230224</v>
      </c>
    </row>
    <row r="6941" spans="1:15" x14ac:dyDescent="0.25">
      <c r="A6941" t="s">
        <v>16</v>
      </c>
      <c r="B6941" t="s">
        <v>3221</v>
      </c>
      <c r="C6941">
        <v>2427</v>
      </c>
      <c r="D6941" t="s">
        <v>428</v>
      </c>
      <c r="E6941" t="s">
        <v>429</v>
      </c>
      <c r="F6941">
        <v>2797.91</v>
      </c>
      <c r="G6941">
        <v>230215</v>
      </c>
      <c r="H6941">
        <v>4520</v>
      </c>
      <c r="I6941" t="s">
        <v>254</v>
      </c>
      <c r="J6941">
        <v>3189.62</v>
      </c>
      <c r="K6941">
        <v>391.71</v>
      </c>
      <c r="L6941">
        <v>69113</v>
      </c>
      <c r="M6941" t="s">
        <v>282</v>
      </c>
      <c r="N6941" t="str">
        <f>"2360127424  "</f>
        <v xml:space="preserve">2360127424  </v>
      </c>
      <c r="O6941">
        <v>230227</v>
      </c>
    </row>
    <row r="6942" spans="1:15" x14ac:dyDescent="0.25">
      <c r="A6942" t="s">
        <v>16</v>
      </c>
      <c r="B6942" t="s">
        <v>3221</v>
      </c>
      <c r="C6942">
        <v>2427</v>
      </c>
      <c r="D6942" t="s">
        <v>428</v>
      </c>
      <c r="E6942" t="s">
        <v>429</v>
      </c>
      <c r="F6942">
        <v>329.17</v>
      </c>
      <c r="G6942">
        <v>230215</v>
      </c>
      <c r="H6942">
        <v>4520</v>
      </c>
      <c r="I6942" t="s">
        <v>254</v>
      </c>
      <c r="J6942">
        <v>375.25</v>
      </c>
      <c r="K6942">
        <v>46.08</v>
      </c>
      <c r="L6942">
        <v>69802</v>
      </c>
      <c r="M6942" t="s">
        <v>283</v>
      </c>
      <c r="N6942" t="str">
        <f>"2360127424  "</f>
        <v xml:space="preserve">2360127424  </v>
      </c>
      <c r="O6942">
        <v>230227</v>
      </c>
    </row>
    <row r="6943" spans="1:15" x14ac:dyDescent="0.25">
      <c r="A6943" t="s">
        <v>16</v>
      </c>
      <c r="B6943" t="s">
        <v>3221</v>
      </c>
      <c r="C6943">
        <v>2427</v>
      </c>
      <c r="D6943" t="s">
        <v>428</v>
      </c>
      <c r="E6943" t="s">
        <v>429</v>
      </c>
      <c r="F6943">
        <v>164.58</v>
      </c>
      <c r="G6943">
        <v>230215</v>
      </c>
      <c r="H6943">
        <v>4520</v>
      </c>
      <c r="I6943" t="s">
        <v>254</v>
      </c>
      <c r="J6943">
        <v>187.62</v>
      </c>
      <c r="K6943">
        <v>23.04</v>
      </c>
      <c r="L6943">
        <v>69804</v>
      </c>
      <c r="M6943" t="s">
        <v>284</v>
      </c>
      <c r="N6943" t="str">
        <f>"2360127424  "</f>
        <v xml:space="preserve">2360127424  </v>
      </c>
      <c r="O6943">
        <v>230227</v>
      </c>
    </row>
    <row r="6944" spans="1:15" x14ac:dyDescent="0.25">
      <c r="A6944" t="s">
        <v>16</v>
      </c>
      <c r="B6944" t="s">
        <v>3221</v>
      </c>
      <c r="C6944">
        <v>2449</v>
      </c>
      <c r="D6944" t="s">
        <v>428</v>
      </c>
      <c r="E6944" t="s">
        <v>429</v>
      </c>
      <c r="F6944">
        <v>1304.6400000000001</v>
      </c>
      <c r="G6944">
        <v>230215</v>
      </c>
      <c r="H6944">
        <v>4520</v>
      </c>
      <c r="I6944" t="s">
        <v>254</v>
      </c>
      <c r="J6944">
        <v>1487.29</v>
      </c>
      <c r="K6944">
        <v>182.65</v>
      </c>
      <c r="L6944">
        <v>69112</v>
      </c>
      <c r="M6944" t="s">
        <v>313</v>
      </c>
      <c r="N6944" t="str">
        <f>"2360127431  "</f>
        <v xml:space="preserve">2360127431  </v>
      </c>
      <c r="O6944">
        <v>230228</v>
      </c>
    </row>
    <row r="6945" spans="1:15" x14ac:dyDescent="0.25">
      <c r="A6945" t="s">
        <v>16</v>
      </c>
      <c r="B6945" t="s">
        <v>3221</v>
      </c>
      <c r="C6945">
        <v>2449</v>
      </c>
      <c r="D6945" t="s">
        <v>428</v>
      </c>
      <c r="E6945" t="s">
        <v>429</v>
      </c>
      <c r="F6945">
        <v>72.48</v>
      </c>
      <c r="G6945">
        <v>230215</v>
      </c>
      <c r="H6945">
        <v>4520</v>
      </c>
      <c r="I6945" t="s">
        <v>254</v>
      </c>
      <c r="J6945">
        <v>82.63</v>
      </c>
      <c r="K6945">
        <v>10.15</v>
      </c>
      <c r="L6945">
        <v>69810</v>
      </c>
      <c r="M6945" t="s">
        <v>314</v>
      </c>
      <c r="N6945" t="str">
        <f>"2360127431  "</f>
        <v xml:space="preserve">2360127431  </v>
      </c>
      <c r="O6945">
        <v>230228</v>
      </c>
    </row>
    <row r="6946" spans="1:15" x14ac:dyDescent="0.25">
      <c r="A6946" t="s">
        <v>16</v>
      </c>
      <c r="B6946" t="s">
        <v>3221</v>
      </c>
      <c r="C6946">
        <v>2449</v>
      </c>
      <c r="D6946" t="s">
        <v>428</v>
      </c>
      <c r="E6946" t="s">
        <v>429</v>
      </c>
      <c r="F6946">
        <v>72.47</v>
      </c>
      <c r="G6946">
        <v>230215</v>
      </c>
      <c r="H6946">
        <v>4520</v>
      </c>
      <c r="I6946" t="s">
        <v>254</v>
      </c>
      <c r="J6946">
        <v>82.62</v>
      </c>
      <c r="K6946">
        <v>10.15</v>
      </c>
      <c r="L6946">
        <v>69811</v>
      </c>
      <c r="M6946" t="s">
        <v>315</v>
      </c>
      <c r="N6946" t="str">
        <f>"2360127431  "</f>
        <v xml:space="preserve">2360127431  </v>
      </c>
      <c r="O6946">
        <v>230228</v>
      </c>
    </row>
    <row r="6947" spans="1:15" x14ac:dyDescent="0.25">
      <c r="A6947" t="s">
        <v>16</v>
      </c>
      <c r="B6947" t="s">
        <v>3221</v>
      </c>
      <c r="C6947">
        <v>2451</v>
      </c>
      <c r="D6947" t="s">
        <v>428</v>
      </c>
      <c r="E6947" t="s">
        <v>429</v>
      </c>
      <c r="F6947">
        <v>1147.8</v>
      </c>
      <c r="G6947">
        <v>230215</v>
      </c>
      <c r="H6947">
        <v>4520</v>
      </c>
      <c r="I6947" t="s">
        <v>254</v>
      </c>
      <c r="J6947">
        <v>1308.49</v>
      </c>
      <c r="K6947">
        <v>160.69</v>
      </c>
      <c r="L6947">
        <v>44251</v>
      </c>
      <c r="M6947" t="s">
        <v>156</v>
      </c>
      <c r="N6947" t="str">
        <f>"2360127427  "</f>
        <v xml:space="preserve">2360127427  </v>
      </c>
      <c r="O6947">
        <v>230228</v>
      </c>
    </row>
    <row r="6948" spans="1:15" x14ac:dyDescent="0.25">
      <c r="A6948" t="s">
        <v>16</v>
      </c>
      <c r="B6948" t="s">
        <v>3221</v>
      </c>
      <c r="C6948">
        <v>2451</v>
      </c>
      <c r="D6948" t="s">
        <v>428</v>
      </c>
      <c r="E6948" t="s">
        <v>429</v>
      </c>
      <c r="F6948">
        <v>64.95</v>
      </c>
      <c r="G6948">
        <v>230215</v>
      </c>
      <c r="H6948">
        <v>4520</v>
      </c>
      <c r="I6948" t="s">
        <v>254</v>
      </c>
      <c r="J6948">
        <v>80.540000000000006</v>
      </c>
      <c r="K6948">
        <v>15.59</v>
      </c>
      <c r="L6948">
        <v>44252</v>
      </c>
      <c r="M6948" t="s">
        <v>157</v>
      </c>
      <c r="N6948" t="str">
        <f>"2360127427  "</f>
        <v xml:space="preserve">2360127427  </v>
      </c>
      <c r="O6948">
        <v>230228</v>
      </c>
    </row>
    <row r="6949" spans="1:15" x14ac:dyDescent="0.25">
      <c r="A6949" t="s">
        <v>16</v>
      </c>
      <c r="B6949" t="s">
        <v>3221</v>
      </c>
      <c r="C6949">
        <v>2451</v>
      </c>
      <c r="D6949" t="s">
        <v>428</v>
      </c>
      <c r="E6949" t="s">
        <v>429</v>
      </c>
      <c r="F6949">
        <v>1228.8599999999999</v>
      </c>
      <c r="G6949">
        <v>230215</v>
      </c>
      <c r="H6949">
        <v>4520</v>
      </c>
      <c r="I6949" t="s">
        <v>254</v>
      </c>
      <c r="J6949">
        <v>1400.9</v>
      </c>
      <c r="K6949">
        <v>172.04</v>
      </c>
      <c r="L6949">
        <v>44252</v>
      </c>
      <c r="M6949" t="s">
        <v>157</v>
      </c>
      <c r="N6949" t="str">
        <f>"2360127427  "</f>
        <v xml:space="preserve">2360127427  </v>
      </c>
      <c r="O6949">
        <v>230228</v>
      </c>
    </row>
    <row r="6950" spans="1:15" x14ac:dyDescent="0.25">
      <c r="A6950" t="s">
        <v>16</v>
      </c>
      <c r="B6950" t="s">
        <v>3221</v>
      </c>
      <c r="C6950">
        <v>2542</v>
      </c>
      <c r="D6950" t="s">
        <v>428</v>
      </c>
      <c r="E6950" t="s">
        <v>429</v>
      </c>
      <c r="F6950">
        <v>920.99</v>
      </c>
      <c r="G6950">
        <v>230228</v>
      </c>
      <c r="H6950">
        <v>4520</v>
      </c>
      <c r="I6950" t="s">
        <v>254</v>
      </c>
      <c r="J6950">
        <v>1049.93</v>
      </c>
      <c r="K6950">
        <v>128.94</v>
      </c>
      <c r="L6950">
        <v>69113</v>
      </c>
      <c r="M6950" t="s">
        <v>282</v>
      </c>
      <c r="N6950" t="str">
        <f>"2360156974  "</f>
        <v xml:space="preserve">2360156974  </v>
      </c>
      <c r="O6950">
        <v>230302</v>
      </c>
    </row>
    <row r="6951" spans="1:15" x14ac:dyDescent="0.25">
      <c r="A6951" t="s">
        <v>16</v>
      </c>
      <c r="B6951" t="s">
        <v>3221</v>
      </c>
      <c r="C6951">
        <v>2542</v>
      </c>
      <c r="D6951" t="s">
        <v>428</v>
      </c>
      <c r="E6951" t="s">
        <v>429</v>
      </c>
      <c r="F6951">
        <v>108.35</v>
      </c>
      <c r="G6951">
        <v>230228</v>
      </c>
      <c r="H6951">
        <v>4520</v>
      </c>
      <c r="I6951" t="s">
        <v>254</v>
      </c>
      <c r="J6951">
        <v>123.52</v>
      </c>
      <c r="K6951">
        <v>15.17</v>
      </c>
      <c r="L6951">
        <v>69802</v>
      </c>
      <c r="M6951" t="s">
        <v>283</v>
      </c>
      <c r="N6951" t="str">
        <f>"2360156974  "</f>
        <v xml:space="preserve">2360156974  </v>
      </c>
      <c r="O6951">
        <v>230302</v>
      </c>
    </row>
    <row r="6952" spans="1:15" x14ac:dyDescent="0.25">
      <c r="A6952" t="s">
        <v>16</v>
      </c>
      <c r="B6952" t="s">
        <v>3221</v>
      </c>
      <c r="C6952">
        <v>2542</v>
      </c>
      <c r="D6952" t="s">
        <v>428</v>
      </c>
      <c r="E6952" t="s">
        <v>429</v>
      </c>
      <c r="F6952">
        <v>54.18</v>
      </c>
      <c r="G6952">
        <v>230228</v>
      </c>
      <c r="H6952">
        <v>4520</v>
      </c>
      <c r="I6952" t="s">
        <v>254</v>
      </c>
      <c r="J6952">
        <v>61.76</v>
      </c>
      <c r="K6952">
        <v>7.58</v>
      </c>
      <c r="L6952">
        <v>69804</v>
      </c>
      <c r="M6952" t="s">
        <v>284</v>
      </c>
      <c r="N6952" t="str">
        <f>"2360156974  "</f>
        <v xml:space="preserve">2360156974  </v>
      </c>
      <c r="O6952">
        <v>230302</v>
      </c>
    </row>
    <row r="6953" spans="1:15" x14ac:dyDescent="0.25">
      <c r="A6953" t="s">
        <v>16</v>
      </c>
      <c r="B6953" t="s">
        <v>3221</v>
      </c>
      <c r="C6953">
        <v>2580</v>
      </c>
      <c r="D6953" t="s">
        <v>428</v>
      </c>
      <c r="E6953" t="s">
        <v>429</v>
      </c>
      <c r="F6953">
        <v>52.82</v>
      </c>
      <c r="G6953">
        <v>230215</v>
      </c>
      <c r="H6953">
        <v>4520</v>
      </c>
      <c r="I6953" t="s">
        <v>254</v>
      </c>
      <c r="J6953">
        <v>60.22</v>
      </c>
      <c r="K6953">
        <v>7.4</v>
      </c>
      <c r="L6953">
        <v>14422</v>
      </c>
      <c r="M6953" t="s">
        <v>228</v>
      </c>
      <c r="N6953" t="str">
        <f t="shared" ref="N6953:N6959" si="130">"2360127429  "</f>
        <v xml:space="preserve">2360127429  </v>
      </c>
      <c r="O6953">
        <v>230302</v>
      </c>
    </row>
    <row r="6954" spans="1:15" x14ac:dyDescent="0.25">
      <c r="A6954" t="s">
        <v>16</v>
      </c>
      <c r="B6954" t="s">
        <v>3221</v>
      </c>
      <c r="C6954">
        <v>2580</v>
      </c>
      <c r="D6954" t="s">
        <v>428</v>
      </c>
      <c r="E6954" t="s">
        <v>429</v>
      </c>
      <c r="F6954">
        <v>211.31</v>
      </c>
      <c r="G6954">
        <v>230215</v>
      </c>
      <c r="H6954">
        <v>4520</v>
      </c>
      <c r="I6954" t="s">
        <v>254</v>
      </c>
      <c r="J6954">
        <v>240.89</v>
      </c>
      <c r="K6954">
        <v>29.58</v>
      </c>
      <c r="L6954">
        <v>14431</v>
      </c>
      <c r="M6954" t="s">
        <v>861</v>
      </c>
      <c r="N6954" t="str">
        <f t="shared" si="130"/>
        <v xml:space="preserve">2360127429  </v>
      </c>
      <c r="O6954">
        <v>230302</v>
      </c>
    </row>
    <row r="6955" spans="1:15" x14ac:dyDescent="0.25">
      <c r="A6955" t="s">
        <v>16</v>
      </c>
      <c r="B6955" t="s">
        <v>3221</v>
      </c>
      <c r="C6955">
        <v>2580</v>
      </c>
      <c r="D6955" t="s">
        <v>428</v>
      </c>
      <c r="E6955" t="s">
        <v>429</v>
      </c>
      <c r="F6955">
        <v>898.05</v>
      </c>
      <c r="G6955">
        <v>230215</v>
      </c>
      <c r="H6955">
        <v>4520</v>
      </c>
      <c r="I6955" t="s">
        <v>254</v>
      </c>
      <c r="J6955">
        <v>1023.78</v>
      </c>
      <c r="K6955">
        <v>125.73</v>
      </c>
      <c r="L6955">
        <v>14432</v>
      </c>
      <c r="M6955" t="s">
        <v>862</v>
      </c>
      <c r="N6955" t="str">
        <f t="shared" si="130"/>
        <v xml:space="preserve">2360127429  </v>
      </c>
      <c r="O6955">
        <v>230302</v>
      </c>
    </row>
    <row r="6956" spans="1:15" x14ac:dyDescent="0.25">
      <c r="A6956" t="s">
        <v>16</v>
      </c>
      <c r="B6956" t="s">
        <v>3221</v>
      </c>
      <c r="C6956">
        <v>2580</v>
      </c>
      <c r="D6956" t="s">
        <v>428</v>
      </c>
      <c r="E6956" t="s">
        <v>429</v>
      </c>
      <c r="F6956">
        <v>52.82</v>
      </c>
      <c r="G6956">
        <v>230215</v>
      </c>
      <c r="H6956">
        <v>4520</v>
      </c>
      <c r="I6956" t="s">
        <v>254</v>
      </c>
      <c r="J6956">
        <v>60.22</v>
      </c>
      <c r="K6956">
        <v>7.4</v>
      </c>
      <c r="L6956">
        <v>14640</v>
      </c>
      <c r="M6956" t="s">
        <v>229</v>
      </c>
      <c r="N6956" t="str">
        <f t="shared" si="130"/>
        <v xml:space="preserve">2360127429  </v>
      </c>
      <c r="O6956">
        <v>230302</v>
      </c>
    </row>
    <row r="6957" spans="1:15" x14ac:dyDescent="0.25">
      <c r="A6957" t="s">
        <v>16</v>
      </c>
      <c r="B6957" t="s">
        <v>3221</v>
      </c>
      <c r="C6957">
        <v>2580</v>
      </c>
      <c r="D6957" t="s">
        <v>428</v>
      </c>
      <c r="E6957" t="s">
        <v>429</v>
      </c>
      <c r="F6957">
        <v>211.31</v>
      </c>
      <c r="G6957">
        <v>230215</v>
      </c>
      <c r="H6957">
        <v>4520</v>
      </c>
      <c r="I6957" t="s">
        <v>254</v>
      </c>
      <c r="J6957">
        <v>240.89</v>
      </c>
      <c r="K6957">
        <v>29.58</v>
      </c>
      <c r="L6957">
        <v>14642</v>
      </c>
      <c r="M6957" t="s">
        <v>863</v>
      </c>
      <c r="N6957" t="str">
        <f t="shared" si="130"/>
        <v xml:space="preserve">2360127429  </v>
      </c>
      <c r="O6957">
        <v>230302</v>
      </c>
    </row>
    <row r="6958" spans="1:15" x14ac:dyDescent="0.25">
      <c r="A6958" t="s">
        <v>16</v>
      </c>
      <c r="B6958" t="s">
        <v>3221</v>
      </c>
      <c r="C6958">
        <v>2580</v>
      </c>
      <c r="D6958" t="s">
        <v>428</v>
      </c>
      <c r="E6958" t="s">
        <v>429</v>
      </c>
      <c r="F6958">
        <v>696.6</v>
      </c>
      <c r="G6958">
        <v>230215</v>
      </c>
      <c r="H6958">
        <v>4520</v>
      </c>
      <c r="I6958" t="s">
        <v>254</v>
      </c>
      <c r="J6958">
        <v>863.78</v>
      </c>
      <c r="K6958">
        <v>167.18</v>
      </c>
      <c r="L6958">
        <v>14912</v>
      </c>
      <c r="M6958" t="s">
        <v>230</v>
      </c>
      <c r="N6958" t="str">
        <f t="shared" si="130"/>
        <v xml:space="preserve">2360127429  </v>
      </c>
      <c r="O6958">
        <v>230302</v>
      </c>
    </row>
    <row r="6959" spans="1:15" x14ac:dyDescent="0.25">
      <c r="A6959" t="s">
        <v>16</v>
      </c>
      <c r="B6959" t="s">
        <v>3221</v>
      </c>
      <c r="C6959">
        <v>2580</v>
      </c>
      <c r="D6959" t="s">
        <v>428</v>
      </c>
      <c r="E6959" t="s">
        <v>429</v>
      </c>
      <c r="F6959">
        <v>3856.33</v>
      </c>
      <c r="G6959">
        <v>230215</v>
      </c>
      <c r="H6959">
        <v>4520</v>
      </c>
      <c r="I6959" t="s">
        <v>254</v>
      </c>
      <c r="J6959">
        <v>4396.22</v>
      </c>
      <c r="K6959">
        <v>539.89</v>
      </c>
      <c r="L6959">
        <v>14912</v>
      </c>
      <c r="M6959" t="s">
        <v>230</v>
      </c>
      <c r="N6959" t="str">
        <f t="shared" si="130"/>
        <v xml:space="preserve">2360127429  </v>
      </c>
      <c r="O6959">
        <v>230302</v>
      </c>
    </row>
    <row r="6960" spans="1:15" x14ac:dyDescent="0.25">
      <c r="A6960" t="s">
        <v>16</v>
      </c>
      <c r="B6960" t="s">
        <v>3221</v>
      </c>
      <c r="C6960">
        <v>2973</v>
      </c>
      <c r="D6960" t="s">
        <v>428</v>
      </c>
      <c r="E6960" t="s">
        <v>429</v>
      </c>
      <c r="F6960">
        <v>7.19</v>
      </c>
      <c r="G6960">
        <v>230228</v>
      </c>
      <c r="H6960">
        <v>4520</v>
      </c>
      <c r="I6960" t="s">
        <v>254</v>
      </c>
      <c r="J6960">
        <v>8.92</v>
      </c>
      <c r="K6960">
        <v>1.73</v>
      </c>
      <c r="L6960">
        <v>16431</v>
      </c>
      <c r="M6960" t="s">
        <v>231</v>
      </c>
      <c r="N6960" t="str">
        <f t="shared" ref="N6960:N6966" si="131">"2360156978  "</f>
        <v xml:space="preserve">2360156978  </v>
      </c>
      <c r="O6960">
        <v>230308</v>
      </c>
    </row>
    <row r="6961" spans="1:15" x14ac:dyDescent="0.25">
      <c r="A6961" t="s">
        <v>16</v>
      </c>
      <c r="B6961" t="s">
        <v>3221</v>
      </c>
      <c r="C6961">
        <v>2973</v>
      </c>
      <c r="D6961" t="s">
        <v>428</v>
      </c>
      <c r="E6961" t="s">
        <v>429</v>
      </c>
      <c r="F6961">
        <v>246.49</v>
      </c>
      <c r="G6961">
        <v>230228</v>
      </c>
      <c r="H6961">
        <v>4520</v>
      </c>
      <c r="I6961" t="s">
        <v>254</v>
      </c>
      <c r="J6961">
        <v>281</v>
      </c>
      <c r="K6961">
        <v>34.51</v>
      </c>
      <c r="L6961">
        <v>16431</v>
      </c>
      <c r="M6961" t="s">
        <v>231</v>
      </c>
      <c r="N6961" t="str">
        <f t="shared" si="131"/>
        <v xml:space="preserve">2360156978  </v>
      </c>
      <c r="O6961">
        <v>230308</v>
      </c>
    </row>
    <row r="6962" spans="1:15" x14ac:dyDescent="0.25">
      <c r="A6962" t="s">
        <v>16</v>
      </c>
      <c r="B6962" t="s">
        <v>3221</v>
      </c>
      <c r="C6962">
        <v>2973</v>
      </c>
      <c r="D6962" t="s">
        <v>428</v>
      </c>
      <c r="E6962" t="s">
        <v>429</v>
      </c>
      <c r="F6962">
        <v>74.56</v>
      </c>
      <c r="G6962">
        <v>230228</v>
      </c>
      <c r="H6962">
        <v>4520</v>
      </c>
      <c r="I6962" t="s">
        <v>254</v>
      </c>
      <c r="J6962">
        <v>85</v>
      </c>
      <c r="K6962">
        <v>10.44</v>
      </c>
      <c r="L6962">
        <v>16442</v>
      </c>
      <c r="M6962" t="s">
        <v>430</v>
      </c>
      <c r="N6962" t="str">
        <f t="shared" si="131"/>
        <v xml:space="preserve">2360156978  </v>
      </c>
      <c r="O6962">
        <v>230308</v>
      </c>
    </row>
    <row r="6963" spans="1:15" x14ac:dyDescent="0.25">
      <c r="A6963" t="s">
        <v>16</v>
      </c>
      <c r="B6963" t="s">
        <v>3221</v>
      </c>
      <c r="C6963">
        <v>2973</v>
      </c>
      <c r="D6963" t="s">
        <v>428</v>
      </c>
      <c r="E6963" t="s">
        <v>429</v>
      </c>
      <c r="F6963">
        <v>57.56</v>
      </c>
      <c r="G6963">
        <v>230228</v>
      </c>
      <c r="H6963">
        <v>4520</v>
      </c>
      <c r="I6963" t="s">
        <v>254</v>
      </c>
      <c r="J6963">
        <v>71.37</v>
      </c>
      <c r="K6963">
        <v>13.81</v>
      </c>
      <c r="L6963">
        <v>17913</v>
      </c>
      <c r="M6963" t="s">
        <v>431</v>
      </c>
      <c r="N6963" t="str">
        <f t="shared" si="131"/>
        <v xml:space="preserve">2360156978  </v>
      </c>
      <c r="O6963">
        <v>230308</v>
      </c>
    </row>
    <row r="6964" spans="1:15" x14ac:dyDescent="0.25">
      <c r="A6964" t="s">
        <v>16</v>
      </c>
      <c r="B6964" t="s">
        <v>3221</v>
      </c>
      <c r="C6964">
        <v>2973</v>
      </c>
      <c r="D6964" t="s">
        <v>428</v>
      </c>
      <c r="E6964" t="s">
        <v>429</v>
      </c>
      <c r="F6964">
        <v>802.13</v>
      </c>
      <c r="G6964">
        <v>230228</v>
      </c>
      <c r="H6964">
        <v>4520</v>
      </c>
      <c r="I6964" t="s">
        <v>254</v>
      </c>
      <c r="J6964">
        <v>914.43</v>
      </c>
      <c r="K6964">
        <v>112.3</v>
      </c>
      <c r="L6964">
        <v>17913</v>
      </c>
      <c r="M6964" t="s">
        <v>431</v>
      </c>
      <c r="N6964" t="str">
        <f t="shared" si="131"/>
        <v xml:space="preserve">2360156978  </v>
      </c>
      <c r="O6964">
        <v>230308</v>
      </c>
    </row>
    <row r="6965" spans="1:15" x14ac:dyDescent="0.25">
      <c r="A6965" t="s">
        <v>16</v>
      </c>
      <c r="B6965" t="s">
        <v>3221</v>
      </c>
      <c r="C6965">
        <v>2973</v>
      </c>
      <c r="D6965" t="s">
        <v>428</v>
      </c>
      <c r="E6965" t="s">
        <v>429</v>
      </c>
      <c r="F6965">
        <v>7.19</v>
      </c>
      <c r="G6965">
        <v>230228</v>
      </c>
      <c r="H6965">
        <v>4520</v>
      </c>
      <c r="I6965" t="s">
        <v>254</v>
      </c>
      <c r="J6965">
        <v>8.92</v>
      </c>
      <c r="K6965">
        <v>1.73</v>
      </c>
      <c r="L6965">
        <v>17982</v>
      </c>
      <c r="M6965" t="s">
        <v>432</v>
      </c>
      <c r="N6965" t="str">
        <f t="shared" si="131"/>
        <v xml:space="preserve">2360156978  </v>
      </c>
      <c r="O6965">
        <v>230308</v>
      </c>
    </row>
    <row r="6966" spans="1:15" x14ac:dyDescent="0.25">
      <c r="A6966" t="s">
        <v>16</v>
      </c>
      <c r="B6966" t="s">
        <v>3221</v>
      </c>
      <c r="C6966">
        <v>2973</v>
      </c>
      <c r="D6966" t="s">
        <v>428</v>
      </c>
      <c r="E6966" t="s">
        <v>429</v>
      </c>
      <c r="F6966">
        <v>124.8</v>
      </c>
      <c r="G6966">
        <v>230228</v>
      </c>
      <c r="H6966">
        <v>4520</v>
      </c>
      <c r="I6966" t="s">
        <v>254</v>
      </c>
      <c r="J6966">
        <v>142.27000000000001</v>
      </c>
      <c r="K6966">
        <v>17.47</v>
      </c>
      <c r="L6966">
        <v>17982</v>
      </c>
      <c r="M6966" t="s">
        <v>432</v>
      </c>
      <c r="N6966" t="str">
        <f t="shared" si="131"/>
        <v xml:space="preserve">2360156978  </v>
      </c>
      <c r="O6966">
        <v>230308</v>
      </c>
    </row>
    <row r="6967" spans="1:15" x14ac:dyDescent="0.25">
      <c r="A6967" t="s">
        <v>16</v>
      </c>
      <c r="B6967" t="s">
        <v>3221</v>
      </c>
      <c r="C6967">
        <v>2997</v>
      </c>
      <c r="D6967" t="s">
        <v>428</v>
      </c>
      <c r="E6967" t="s">
        <v>429</v>
      </c>
      <c r="F6967">
        <v>680.71</v>
      </c>
      <c r="G6967">
        <v>230228</v>
      </c>
      <c r="H6967">
        <v>4520</v>
      </c>
      <c r="I6967" t="s">
        <v>254</v>
      </c>
      <c r="J6967">
        <v>776.01</v>
      </c>
      <c r="K6967">
        <v>95.3</v>
      </c>
      <c r="L6967">
        <v>59113</v>
      </c>
      <c r="M6967" t="s">
        <v>235</v>
      </c>
      <c r="N6967" t="str">
        <f>"2360156973  "</f>
        <v xml:space="preserve">2360156973  </v>
      </c>
      <c r="O6967">
        <v>230308</v>
      </c>
    </row>
    <row r="6968" spans="1:15" x14ac:dyDescent="0.25">
      <c r="A6968" t="s">
        <v>16</v>
      </c>
      <c r="B6968" t="s">
        <v>3221</v>
      </c>
      <c r="C6968">
        <v>2997</v>
      </c>
      <c r="D6968" t="s">
        <v>428</v>
      </c>
      <c r="E6968" t="s">
        <v>429</v>
      </c>
      <c r="F6968">
        <v>120.12</v>
      </c>
      <c r="G6968">
        <v>230228</v>
      </c>
      <c r="H6968">
        <v>4520</v>
      </c>
      <c r="I6968" t="s">
        <v>254</v>
      </c>
      <c r="J6968">
        <v>136.94</v>
      </c>
      <c r="K6968">
        <v>16.82</v>
      </c>
      <c r="L6968">
        <v>59803</v>
      </c>
      <c r="M6968" t="s">
        <v>533</v>
      </c>
      <c r="N6968" t="str">
        <f>"2360156973  "</f>
        <v xml:space="preserve">2360156973  </v>
      </c>
      <c r="O6968">
        <v>230308</v>
      </c>
    </row>
    <row r="6969" spans="1:15" x14ac:dyDescent="0.25">
      <c r="A6969" t="s">
        <v>16</v>
      </c>
      <c r="B6969" t="s">
        <v>3221</v>
      </c>
      <c r="C6969">
        <v>2999</v>
      </c>
      <c r="D6969" t="s">
        <v>428</v>
      </c>
      <c r="E6969" t="s">
        <v>429</v>
      </c>
      <c r="F6969">
        <v>616.67999999999995</v>
      </c>
      <c r="G6969">
        <v>230228</v>
      </c>
      <c r="H6969">
        <v>4520</v>
      </c>
      <c r="I6969" t="s">
        <v>254</v>
      </c>
      <c r="J6969">
        <v>703.01</v>
      </c>
      <c r="K6969">
        <v>86.33</v>
      </c>
      <c r="L6969">
        <v>59114</v>
      </c>
      <c r="M6969" t="s">
        <v>556</v>
      </c>
      <c r="N6969" t="str">
        <f>"2360156971  "</f>
        <v xml:space="preserve">2360156971  </v>
      </c>
      <c r="O6969">
        <v>230308</v>
      </c>
    </row>
    <row r="6970" spans="1:15" x14ac:dyDescent="0.25">
      <c r="A6970" t="s">
        <v>16</v>
      </c>
      <c r="B6970" t="s">
        <v>3221</v>
      </c>
      <c r="C6970">
        <v>2999</v>
      </c>
      <c r="D6970" t="s">
        <v>428</v>
      </c>
      <c r="E6970" t="s">
        <v>429</v>
      </c>
      <c r="F6970">
        <v>108.82</v>
      </c>
      <c r="G6970">
        <v>230228</v>
      </c>
      <c r="H6970">
        <v>4520</v>
      </c>
      <c r="I6970" t="s">
        <v>254</v>
      </c>
      <c r="J6970">
        <v>124.06</v>
      </c>
      <c r="K6970">
        <v>15.24</v>
      </c>
      <c r="L6970">
        <v>59808</v>
      </c>
      <c r="M6970" t="s">
        <v>557</v>
      </c>
      <c r="N6970" t="str">
        <f>"2360156971  "</f>
        <v xml:space="preserve">2360156971  </v>
      </c>
      <c r="O6970">
        <v>230308</v>
      </c>
    </row>
    <row r="6971" spans="1:15" x14ac:dyDescent="0.25">
      <c r="A6971" t="s">
        <v>16</v>
      </c>
      <c r="B6971" t="s">
        <v>3221</v>
      </c>
      <c r="C6971">
        <v>3002</v>
      </c>
      <c r="D6971" t="s">
        <v>428</v>
      </c>
      <c r="E6971" t="s">
        <v>429</v>
      </c>
      <c r="F6971">
        <v>46.56</v>
      </c>
      <c r="G6971">
        <v>230228</v>
      </c>
      <c r="H6971">
        <v>4520</v>
      </c>
      <c r="I6971" t="s">
        <v>254</v>
      </c>
      <c r="J6971">
        <v>57.73</v>
      </c>
      <c r="K6971">
        <v>11.17</v>
      </c>
      <c r="L6971">
        <v>17915</v>
      </c>
      <c r="M6971" t="s">
        <v>572</v>
      </c>
      <c r="N6971" t="str">
        <f>"2360156976  "</f>
        <v xml:space="preserve">2360156976  </v>
      </c>
      <c r="O6971">
        <v>230308</v>
      </c>
    </row>
    <row r="6972" spans="1:15" x14ac:dyDescent="0.25">
      <c r="A6972" t="s">
        <v>16</v>
      </c>
      <c r="B6972" t="s">
        <v>3221</v>
      </c>
      <c r="C6972">
        <v>3002</v>
      </c>
      <c r="D6972" t="s">
        <v>428</v>
      </c>
      <c r="E6972" t="s">
        <v>429</v>
      </c>
      <c r="F6972">
        <v>920.32</v>
      </c>
      <c r="G6972">
        <v>230228</v>
      </c>
      <c r="H6972">
        <v>4520</v>
      </c>
      <c r="I6972" t="s">
        <v>254</v>
      </c>
      <c r="J6972">
        <v>1049.17</v>
      </c>
      <c r="K6972">
        <v>128.85</v>
      </c>
      <c r="L6972">
        <v>17915</v>
      </c>
      <c r="M6972" t="s">
        <v>572</v>
      </c>
      <c r="N6972" t="str">
        <f>"2360156976  "</f>
        <v xml:space="preserve">2360156976  </v>
      </c>
      <c r="O6972">
        <v>230308</v>
      </c>
    </row>
    <row r="6973" spans="1:15" x14ac:dyDescent="0.25">
      <c r="A6973" t="s">
        <v>16</v>
      </c>
      <c r="B6973" t="s">
        <v>3221</v>
      </c>
      <c r="C6973">
        <v>3002</v>
      </c>
      <c r="D6973" t="s">
        <v>428</v>
      </c>
      <c r="E6973" t="s">
        <v>429</v>
      </c>
      <c r="F6973">
        <v>5.18</v>
      </c>
      <c r="G6973">
        <v>230228</v>
      </c>
      <c r="H6973">
        <v>4520</v>
      </c>
      <c r="I6973" t="s">
        <v>254</v>
      </c>
      <c r="J6973">
        <v>6.42</v>
      </c>
      <c r="K6973">
        <v>1.24</v>
      </c>
      <c r="L6973">
        <v>17982</v>
      </c>
      <c r="M6973" t="s">
        <v>432</v>
      </c>
      <c r="N6973" t="str">
        <f>"2360156976  "</f>
        <v xml:space="preserve">2360156976  </v>
      </c>
      <c r="O6973">
        <v>230308</v>
      </c>
    </row>
    <row r="6974" spans="1:15" x14ac:dyDescent="0.25">
      <c r="A6974" t="s">
        <v>16</v>
      </c>
      <c r="B6974" t="s">
        <v>3221</v>
      </c>
      <c r="C6974">
        <v>3002</v>
      </c>
      <c r="D6974" t="s">
        <v>428</v>
      </c>
      <c r="E6974" t="s">
        <v>429</v>
      </c>
      <c r="F6974">
        <v>102.26</v>
      </c>
      <c r="G6974">
        <v>230228</v>
      </c>
      <c r="H6974">
        <v>4520</v>
      </c>
      <c r="I6974" t="s">
        <v>254</v>
      </c>
      <c r="J6974">
        <v>116.58</v>
      </c>
      <c r="K6974">
        <v>14.32</v>
      </c>
      <c r="L6974">
        <v>17982</v>
      </c>
      <c r="M6974" t="s">
        <v>432</v>
      </c>
      <c r="N6974" t="str">
        <f>"2360156976  "</f>
        <v xml:space="preserve">2360156976  </v>
      </c>
      <c r="O6974">
        <v>230308</v>
      </c>
    </row>
    <row r="6975" spans="1:15" x14ac:dyDescent="0.25">
      <c r="A6975" t="s">
        <v>16</v>
      </c>
      <c r="B6975" t="s">
        <v>3221</v>
      </c>
      <c r="C6975">
        <v>3003</v>
      </c>
      <c r="D6975" t="s">
        <v>428</v>
      </c>
      <c r="E6975" t="s">
        <v>429</v>
      </c>
      <c r="F6975">
        <v>1379.57</v>
      </c>
      <c r="G6975">
        <v>230228</v>
      </c>
      <c r="H6975">
        <v>4520</v>
      </c>
      <c r="I6975" t="s">
        <v>254</v>
      </c>
      <c r="J6975">
        <v>1572.71</v>
      </c>
      <c r="K6975">
        <v>193.14</v>
      </c>
      <c r="L6975">
        <v>54451</v>
      </c>
      <c r="M6975" t="s">
        <v>158</v>
      </c>
      <c r="N6975" t="str">
        <f>"2360156972  "</f>
        <v xml:space="preserve">2360156972  </v>
      </c>
      <c r="O6975">
        <v>230308</v>
      </c>
    </row>
    <row r="6976" spans="1:15" x14ac:dyDescent="0.25">
      <c r="A6976" t="s">
        <v>16</v>
      </c>
      <c r="B6976" t="s">
        <v>3221</v>
      </c>
      <c r="C6976">
        <v>3005</v>
      </c>
      <c r="D6976" t="s">
        <v>428</v>
      </c>
      <c r="E6976" t="s">
        <v>429</v>
      </c>
      <c r="F6976">
        <v>160.05000000000001</v>
      </c>
      <c r="G6976">
        <v>230228</v>
      </c>
      <c r="H6976">
        <v>4520</v>
      </c>
      <c r="I6976" t="s">
        <v>254</v>
      </c>
      <c r="J6976">
        <v>182.46</v>
      </c>
      <c r="K6976">
        <v>22.41</v>
      </c>
      <c r="L6976">
        <v>44253</v>
      </c>
      <c r="M6976" t="s">
        <v>1058</v>
      </c>
      <c r="N6976" t="str">
        <f>"2360156980  "</f>
        <v xml:space="preserve">2360156980  </v>
      </c>
      <c r="O6976">
        <v>230308</v>
      </c>
    </row>
    <row r="6977" spans="1:15" x14ac:dyDescent="0.25">
      <c r="A6977" t="s">
        <v>16</v>
      </c>
      <c r="B6977" t="s">
        <v>3221</v>
      </c>
      <c r="C6977">
        <v>3009</v>
      </c>
      <c r="D6977" t="s">
        <v>428</v>
      </c>
      <c r="E6977" t="s">
        <v>429</v>
      </c>
      <c r="F6977">
        <v>812.91</v>
      </c>
      <c r="G6977">
        <v>230228</v>
      </c>
      <c r="H6977">
        <v>4520</v>
      </c>
      <c r="I6977" t="s">
        <v>254</v>
      </c>
      <c r="J6977">
        <v>926.72</v>
      </c>
      <c r="K6977">
        <v>113.81</v>
      </c>
      <c r="L6977">
        <v>49112</v>
      </c>
      <c r="M6977" t="s">
        <v>233</v>
      </c>
      <c r="N6977" t="str">
        <f>"2360156975  "</f>
        <v xml:space="preserve">2360156975  </v>
      </c>
      <c r="O6977">
        <v>230308</v>
      </c>
    </row>
    <row r="6978" spans="1:15" x14ac:dyDescent="0.25">
      <c r="A6978" t="s">
        <v>16</v>
      </c>
      <c r="B6978" t="s">
        <v>3221</v>
      </c>
      <c r="C6978">
        <v>3041</v>
      </c>
      <c r="D6978" t="s">
        <v>428</v>
      </c>
      <c r="E6978" t="s">
        <v>429</v>
      </c>
      <c r="F6978">
        <v>1250.99</v>
      </c>
      <c r="G6978">
        <v>230228</v>
      </c>
      <c r="H6978">
        <v>4520</v>
      </c>
      <c r="I6978" t="s">
        <v>254</v>
      </c>
      <c r="J6978">
        <v>1426.13</v>
      </c>
      <c r="K6978">
        <v>175.14</v>
      </c>
      <c r="L6978">
        <v>44251</v>
      </c>
      <c r="M6978" t="s">
        <v>156</v>
      </c>
      <c r="N6978" t="str">
        <f>"2360156977  "</f>
        <v xml:space="preserve">2360156977  </v>
      </c>
      <c r="O6978">
        <v>230308</v>
      </c>
    </row>
    <row r="6979" spans="1:15" x14ac:dyDescent="0.25">
      <c r="A6979" t="s">
        <v>16</v>
      </c>
      <c r="B6979" t="s">
        <v>3221</v>
      </c>
      <c r="C6979">
        <v>3041</v>
      </c>
      <c r="D6979" t="s">
        <v>428</v>
      </c>
      <c r="E6979" t="s">
        <v>429</v>
      </c>
      <c r="F6979">
        <v>695.52</v>
      </c>
      <c r="G6979">
        <v>230228</v>
      </c>
      <c r="H6979">
        <v>4520</v>
      </c>
      <c r="I6979" t="s">
        <v>254</v>
      </c>
      <c r="J6979">
        <v>792.89</v>
      </c>
      <c r="K6979">
        <v>97.37</v>
      </c>
      <c r="L6979">
        <v>44252</v>
      </c>
      <c r="M6979" t="s">
        <v>157</v>
      </c>
      <c r="N6979" t="str">
        <f>"2360156977  "</f>
        <v xml:space="preserve">2360156977  </v>
      </c>
      <c r="O6979">
        <v>230308</v>
      </c>
    </row>
    <row r="6980" spans="1:15" x14ac:dyDescent="0.25">
      <c r="A6980" t="s">
        <v>16</v>
      </c>
      <c r="B6980" t="s">
        <v>3221</v>
      </c>
      <c r="C6980">
        <v>3041</v>
      </c>
      <c r="D6980" t="s">
        <v>428</v>
      </c>
      <c r="E6980" t="s">
        <v>429</v>
      </c>
      <c r="F6980">
        <v>35.69</v>
      </c>
      <c r="G6980">
        <v>230228</v>
      </c>
      <c r="H6980">
        <v>4520</v>
      </c>
      <c r="I6980" t="s">
        <v>254</v>
      </c>
      <c r="J6980">
        <v>40.69</v>
      </c>
      <c r="K6980">
        <v>5</v>
      </c>
      <c r="L6980">
        <v>48601</v>
      </c>
      <c r="M6980" t="s">
        <v>1047</v>
      </c>
      <c r="N6980" t="str">
        <f>"2360156977  "</f>
        <v xml:space="preserve">2360156977  </v>
      </c>
      <c r="O6980">
        <v>230308</v>
      </c>
    </row>
    <row r="6981" spans="1:15" x14ac:dyDescent="0.25">
      <c r="A6981" t="s">
        <v>16</v>
      </c>
      <c r="B6981" t="s">
        <v>3221</v>
      </c>
      <c r="C6981">
        <v>3405</v>
      </c>
      <c r="D6981" t="s">
        <v>428</v>
      </c>
      <c r="E6981" t="s">
        <v>429</v>
      </c>
      <c r="F6981">
        <v>907.14</v>
      </c>
      <c r="G6981">
        <v>230228</v>
      </c>
      <c r="H6981">
        <v>4520</v>
      </c>
      <c r="I6981" t="s">
        <v>254</v>
      </c>
      <c r="J6981">
        <v>1034.1400000000001</v>
      </c>
      <c r="K6981">
        <v>127</v>
      </c>
      <c r="L6981">
        <v>69112</v>
      </c>
      <c r="M6981" t="s">
        <v>313</v>
      </c>
      <c r="N6981" t="str">
        <f>"2360156981  "</f>
        <v xml:space="preserve">2360156981  </v>
      </c>
      <c r="O6981">
        <v>230315</v>
      </c>
    </row>
    <row r="6982" spans="1:15" x14ac:dyDescent="0.25">
      <c r="A6982" t="s">
        <v>16</v>
      </c>
      <c r="B6982" t="s">
        <v>3221</v>
      </c>
      <c r="C6982">
        <v>3405</v>
      </c>
      <c r="D6982" t="s">
        <v>428</v>
      </c>
      <c r="E6982" t="s">
        <v>429</v>
      </c>
      <c r="F6982">
        <v>50.39</v>
      </c>
      <c r="G6982">
        <v>230228</v>
      </c>
      <c r="H6982">
        <v>4520</v>
      </c>
      <c r="I6982" t="s">
        <v>254</v>
      </c>
      <c r="J6982">
        <v>57.45</v>
      </c>
      <c r="K6982">
        <v>7.06</v>
      </c>
      <c r="L6982">
        <v>69810</v>
      </c>
      <c r="M6982" t="s">
        <v>314</v>
      </c>
      <c r="N6982" t="str">
        <f>"2360156981  "</f>
        <v xml:space="preserve">2360156981  </v>
      </c>
      <c r="O6982">
        <v>230315</v>
      </c>
    </row>
    <row r="6983" spans="1:15" x14ac:dyDescent="0.25">
      <c r="A6983" t="s">
        <v>16</v>
      </c>
      <c r="B6983" t="s">
        <v>3221</v>
      </c>
      <c r="C6983">
        <v>3405</v>
      </c>
      <c r="D6983" t="s">
        <v>428</v>
      </c>
      <c r="E6983" t="s">
        <v>429</v>
      </c>
      <c r="F6983">
        <v>50.39</v>
      </c>
      <c r="G6983">
        <v>230228</v>
      </c>
      <c r="H6983">
        <v>4520</v>
      </c>
      <c r="I6983" t="s">
        <v>254</v>
      </c>
      <c r="J6983">
        <v>57.45</v>
      </c>
      <c r="K6983">
        <v>7.06</v>
      </c>
      <c r="L6983">
        <v>69811</v>
      </c>
      <c r="M6983" t="s">
        <v>315</v>
      </c>
      <c r="N6983" t="str">
        <f>"2360156981  "</f>
        <v xml:space="preserve">2360156981  </v>
      </c>
      <c r="O6983">
        <v>230315</v>
      </c>
    </row>
    <row r="6984" spans="1:15" x14ac:dyDescent="0.25">
      <c r="A6984" t="s">
        <v>16</v>
      </c>
      <c r="B6984" t="s">
        <v>3221</v>
      </c>
      <c r="C6984">
        <v>3514</v>
      </c>
      <c r="D6984" t="s">
        <v>428</v>
      </c>
      <c r="E6984" t="s">
        <v>429</v>
      </c>
      <c r="F6984">
        <v>2.97</v>
      </c>
      <c r="G6984">
        <v>230228</v>
      </c>
      <c r="H6984">
        <v>4520</v>
      </c>
      <c r="I6984" t="s">
        <v>254</v>
      </c>
      <c r="J6984">
        <v>3.68</v>
      </c>
      <c r="K6984">
        <v>0.71</v>
      </c>
      <c r="L6984">
        <v>14422</v>
      </c>
      <c r="M6984" t="s">
        <v>228</v>
      </c>
      <c r="N6984" t="str">
        <f t="shared" ref="N6984:N6995" si="132">"2360156979  "</f>
        <v xml:space="preserve">2360156979  </v>
      </c>
      <c r="O6984">
        <v>230316</v>
      </c>
    </row>
    <row r="6985" spans="1:15" x14ac:dyDescent="0.25">
      <c r="A6985" t="s">
        <v>16</v>
      </c>
      <c r="B6985" t="s">
        <v>3221</v>
      </c>
      <c r="C6985">
        <v>3514</v>
      </c>
      <c r="D6985" t="s">
        <v>428</v>
      </c>
      <c r="E6985" t="s">
        <v>429</v>
      </c>
      <c r="F6985">
        <v>20.49</v>
      </c>
      <c r="G6985">
        <v>230228</v>
      </c>
      <c r="H6985">
        <v>4520</v>
      </c>
      <c r="I6985" t="s">
        <v>254</v>
      </c>
      <c r="J6985">
        <v>23.36</v>
      </c>
      <c r="K6985">
        <v>2.87</v>
      </c>
      <c r="L6985">
        <v>14422</v>
      </c>
      <c r="M6985" t="s">
        <v>228</v>
      </c>
      <c r="N6985" t="str">
        <f t="shared" si="132"/>
        <v xml:space="preserve">2360156979  </v>
      </c>
      <c r="O6985">
        <v>230316</v>
      </c>
    </row>
    <row r="6986" spans="1:15" x14ac:dyDescent="0.25">
      <c r="A6986" t="s">
        <v>16</v>
      </c>
      <c r="B6986" t="s">
        <v>3221</v>
      </c>
      <c r="C6986">
        <v>3514</v>
      </c>
      <c r="D6986" t="s">
        <v>428</v>
      </c>
      <c r="E6986" t="s">
        <v>429</v>
      </c>
      <c r="F6986">
        <v>11.88</v>
      </c>
      <c r="G6986">
        <v>230228</v>
      </c>
      <c r="H6986">
        <v>4520</v>
      </c>
      <c r="I6986" t="s">
        <v>254</v>
      </c>
      <c r="J6986">
        <v>14.73</v>
      </c>
      <c r="K6986">
        <v>2.85</v>
      </c>
      <c r="L6986">
        <v>14431</v>
      </c>
      <c r="M6986" t="s">
        <v>861</v>
      </c>
      <c r="N6986" t="str">
        <f t="shared" si="132"/>
        <v xml:space="preserve">2360156979  </v>
      </c>
      <c r="O6986">
        <v>230316</v>
      </c>
    </row>
    <row r="6987" spans="1:15" x14ac:dyDescent="0.25">
      <c r="A6987" t="s">
        <v>16</v>
      </c>
      <c r="B6987" t="s">
        <v>3221</v>
      </c>
      <c r="C6987">
        <v>3514</v>
      </c>
      <c r="D6987" t="s">
        <v>428</v>
      </c>
      <c r="E6987" t="s">
        <v>429</v>
      </c>
      <c r="F6987">
        <v>81.96</v>
      </c>
      <c r="G6987">
        <v>230228</v>
      </c>
      <c r="H6987">
        <v>4520</v>
      </c>
      <c r="I6987" t="s">
        <v>254</v>
      </c>
      <c r="J6987">
        <v>93.43</v>
      </c>
      <c r="K6987">
        <v>11.47</v>
      </c>
      <c r="L6987">
        <v>14431</v>
      </c>
      <c r="M6987" t="s">
        <v>861</v>
      </c>
      <c r="N6987" t="str">
        <f t="shared" si="132"/>
        <v xml:space="preserve">2360156979  </v>
      </c>
      <c r="O6987">
        <v>230316</v>
      </c>
    </row>
    <row r="6988" spans="1:15" x14ac:dyDescent="0.25">
      <c r="A6988" t="s">
        <v>16</v>
      </c>
      <c r="B6988" t="s">
        <v>3221</v>
      </c>
      <c r="C6988">
        <v>3514</v>
      </c>
      <c r="D6988" t="s">
        <v>428</v>
      </c>
      <c r="E6988" t="s">
        <v>429</v>
      </c>
      <c r="F6988">
        <v>50.48</v>
      </c>
      <c r="G6988">
        <v>230228</v>
      </c>
      <c r="H6988">
        <v>4520</v>
      </c>
      <c r="I6988" t="s">
        <v>254</v>
      </c>
      <c r="J6988">
        <v>62.59</v>
      </c>
      <c r="K6988">
        <v>12.11</v>
      </c>
      <c r="L6988">
        <v>14432</v>
      </c>
      <c r="M6988" t="s">
        <v>862</v>
      </c>
      <c r="N6988" t="str">
        <f t="shared" si="132"/>
        <v xml:space="preserve">2360156979  </v>
      </c>
      <c r="O6988">
        <v>230316</v>
      </c>
    </row>
    <row r="6989" spans="1:15" x14ac:dyDescent="0.25">
      <c r="A6989" t="s">
        <v>16</v>
      </c>
      <c r="B6989" t="s">
        <v>3221</v>
      </c>
      <c r="C6989">
        <v>3514</v>
      </c>
      <c r="D6989" t="s">
        <v>428</v>
      </c>
      <c r="E6989" t="s">
        <v>429</v>
      </c>
      <c r="F6989">
        <v>348.31</v>
      </c>
      <c r="G6989">
        <v>230228</v>
      </c>
      <c r="H6989">
        <v>4520</v>
      </c>
      <c r="I6989" t="s">
        <v>254</v>
      </c>
      <c r="J6989">
        <v>397.07</v>
      </c>
      <c r="K6989">
        <v>48.76</v>
      </c>
      <c r="L6989">
        <v>14432</v>
      </c>
      <c r="M6989" t="s">
        <v>862</v>
      </c>
      <c r="N6989" t="str">
        <f t="shared" si="132"/>
        <v xml:space="preserve">2360156979  </v>
      </c>
      <c r="O6989">
        <v>230316</v>
      </c>
    </row>
    <row r="6990" spans="1:15" x14ac:dyDescent="0.25">
      <c r="A6990" t="s">
        <v>16</v>
      </c>
      <c r="B6990" t="s">
        <v>3221</v>
      </c>
      <c r="C6990">
        <v>3514</v>
      </c>
      <c r="D6990" t="s">
        <v>428</v>
      </c>
      <c r="E6990" t="s">
        <v>429</v>
      </c>
      <c r="F6990">
        <v>2.97</v>
      </c>
      <c r="G6990">
        <v>230228</v>
      </c>
      <c r="H6990">
        <v>4520</v>
      </c>
      <c r="I6990" t="s">
        <v>254</v>
      </c>
      <c r="J6990">
        <v>3.68</v>
      </c>
      <c r="K6990">
        <v>0.71</v>
      </c>
      <c r="L6990">
        <v>14640</v>
      </c>
      <c r="M6990" t="s">
        <v>229</v>
      </c>
      <c r="N6990" t="str">
        <f t="shared" si="132"/>
        <v xml:space="preserve">2360156979  </v>
      </c>
      <c r="O6990">
        <v>230316</v>
      </c>
    </row>
    <row r="6991" spans="1:15" x14ac:dyDescent="0.25">
      <c r="A6991" t="s">
        <v>16</v>
      </c>
      <c r="B6991" t="s">
        <v>3221</v>
      </c>
      <c r="C6991">
        <v>3514</v>
      </c>
      <c r="D6991" t="s">
        <v>428</v>
      </c>
      <c r="E6991" t="s">
        <v>429</v>
      </c>
      <c r="F6991">
        <v>20.49</v>
      </c>
      <c r="G6991">
        <v>230228</v>
      </c>
      <c r="H6991">
        <v>4520</v>
      </c>
      <c r="I6991" t="s">
        <v>254</v>
      </c>
      <c r="J6991">
        <v>23.36</v>
      </c>
      <c r="K6991">
        <v>2.87</v>
      </c>
      <c r="L6991">
        <v>14640</v>
      </c>
      <c r="M6991" t="s">
        <v>229</v>
      </c>
      <c r="N6991" t="str">
        <f t="shared" si="132"/>
        <v xml:space="preserve">2360156979  </v>
      </c>
      <c r="O6991">
        <v>230316</v>
      </c>
    </row>
    <row r="6992" spans="1:15" x14ac:dyDescent="0.25">
      <c r="A6992" t="s">
        <v>16</v>
      </c>
      <c r="B6992" t="s">
        <v>3221</v>
      </c>
      <c r="C6992">
        <v>3514</v>
      </c>
      <c r="D6992" t="s">
        <v>428</v>
      </c>
      <c r="E6992" t="s">
        <v>429</v>
      </c>
      <c r="F6992">
        <v>11.88</v>
      </c>
      <c r="G6992">
        <v>230228</v>
      </c>
      <c r="H6992">
        <v>4520</v>
      </c>
      <c r="I6992" t="s">
        <v>254</v>
      </c>
      <c r="J6992">
        <v>14.73</v>
      </c>
      <c r="K6992">
        <v>2.85</v>
      </c>
      <c r="L6992">
        <v>14642</v>
      </c>
      <c r="M6992" t="s">
        <v>863</v>
      </c>
      <c r="N6992" t="str">
        <f t="shared" si="132"/>
        <v xml:space="preserve">2360156979  </v>
      </c>
      <c r="O6992">
        <v>230316</v>
      </c>
    </row>
    <row r="6993" spans="1:15" x14ac:dyDescent="0.25">
      <c r="A6993" t="s">
        <v>16</v>
      </c>
      <c r="B6993" t="s">
        <v>3221</v>
      </c>
      <c r="C6993">
        <v>3514</v>
      </c>
      <c r="D6993" t="s">
        <v>428</v>
      </c>
      <c r="E6993" t="s">
        <v>429</v>
      </c>
      <c r="F6993">
        <v>81.96</v>
      </c>
      <c r="G6993">
        <v>230228</v>
      </c>
      <c r="H6993">
        <v>4520</v>
      </c>
      <c r="I6993" t="s">
        <v>254</v>
      </c>
      <c r="J6993">
        <v>93.43</v>
      </c>
      <c r="K6993">
        <v>11.47</v>
      </c>
      <c r="L6993">
        <v>14642</v>
      </c>
      <c r="M6993" t="s">
        <v>863</v>
      </c>
      <c r="N6993" t="str">
        <f t="shared" si="132"/>
        <v xml:space="preserve">2360156979  </v>
      </c>
      <c r="O6993">
        <v>230316</v>
      </c>
    </row>
    <row r="6994" spans="1:15" x14ac:dyDescent="0.25">
      <c r="A6994" t="s">
        <v>16</v>
      </c>
      <c r="B6994" t="s">
        <v>3221</v>
      </c>
      <c r="C6994">
        <v>3514</v>
      </c>
      <c r="D6994" t="s">
        <v>428</v>
      </c>
      <c r="E6994" t="s">
        <v>429</v>
      </c>
      <c r="F6994">
        <v>216.76</v>
      </c>
      <c r="G6994">
        <v>230228</v>
      </c>
      <c r="H6994">
        <v>4520</v>
      </c>
      <c r="I6994" t="s">
        <v>254</v>
      </c>
      <c r="J6994">
        <v>268.77999999999997</v>
      </c>
      <c r="K6994">
        <v>52.02</v>
      </c>
      <c r="L6994">
        <v>14912</v>
      </c>
      <c r="M6994" t="s">
        <v>230</v>
      </c>
      <c r="N6994" t="str">
        <f t="shared" si="132"/>
        <v xml:space="preserve">2360156979  </v>
      </c>
      <c r="O6994">
        <v>230316</v>
      </c>
    </row>
    <row r="6995" spans="1:15" x14ac:dyDescent="0.25">
      <c r="A6995" t="s">
        <v>16</v>
      </c>
      <c r="B6995" t="s">
        <v>3221</v>
      </c>
      <c r="C6995">
        <v>3514</v>
      </c>
      <c r="D6995" t="s">
        <v>428</v>
      </c>
      <c r="E6995" t="s">
        <v>429</v>
      </c>
      <c r="F6995">
        <v>1495.65</v>
      </c>
      <c r="G6995">
        <v>230228</v>
      </c>
      <c r="H6995">
        <v>4520</v>
      </c>
      <c r="I6995" t="s">
        <v>254</v>
      </c>
      <c r="J6995">
        <v>1705.04</v>
      </c>
      <c r="K6995">
        <v>209.39</v>
      </c>
      <c r="L6995">
        <v>14912</v>
      </c>
      <c r="M6995" t="s">
        <v>230</v>
      </c>
      <c r="N6995" t="str">
        <f t="shared" si="132"/>
        <v xml:space="preserve">2360156979  </v>
      </c>
      <c r="O6995">
        <v>230316</v>
      </c>
    </row>
    <row r="6996" spans="1:15" x14ac:dyDescent="0.25">
      <c r="A6996" t="s">
        <v>16</v>
      </c>
      <c r="B6996" t="s">
        <v>3221</v>
      </c>
      <c r="C6996">
        <v>3520</v>
      </c>
      <c r="D6996" t="s">
        <v>428</v>
      </c>
      <c r="E6996" t="s">
        <v>429</v>
      </c>
      <c r="F6996">
        <v>3970.18</v>
      </c>
      <c r="G6996">
        <v>230315</v>
      </c>
      <c r="H6996">
        <v>4520</v>
      </c>
      <c r="I6996" t="s">
        <v>254</v>
      </c>
      <c r="J6996">
        <v>4526</v>
      </c>
      <c r="K6996">
        <v>555.82000000000005</v>
      </c>
      <c r="L6996">
        <v>59113</v>
      </c>
      <c r="M6996" t="s">
        <v>235</v>
      </c>
      <c r="N6996" t="str">
        <f>"2360220755  "</f>
        <v xml:space="preserve">2360220755  </v>
      </c>
      <c r="O6996">
        <v>230316</v>
      </c>
    </row>
    <row r="6997" spans="1:15" x14ac:dyDescent="0.25">
      <c r="A6997" t="s">
        <v>16</v>
      </c>
      <c r="B6997" t="s">
        <v>3221</v>
      </c>
      <c r="C6997">
        <v>3520</v>
      </c>
      <c r="D6997" t="s">
        <v>428</v>
      </c>
      <c r="E6997" t="s">
        <v>429</v>
      </c>
      <c r="F6997">
        <v>700.62</v>
      </c>
      <c r="G6997">
        <v>230315</v>
      </c>
      <c r="H6997">
        <v>4520</v>
      </c>
      <c r="I6997" t="s">
        <v>254</v>
      </c>
      <c r="J6997">
        <v>798.71</v>
      </c>
      <c r="K6997">
        <v>98.09</v>
      </c>
      <c r="L6997">
        <v>59803</v>
      </c>
      <c r="M6997" t="s">
        <v>533</v>
      </c>
      <c r="N6997" t="str">
        <f>"2360220755  "</f>
        <v xml:space="preserve">2360220755  </v>
      </c>
      <c r="O6997">
        <v>230316</v>
      </c>
    </row>
    <row r="6998" spans="1:15" x14ac:dyDescent="0.25">
      <c r="A6998" t="s">
        <v>16</v>
      </c>
      <c r="B6998" t="s">
        <v>3221</v>
      </c>
      <c r="C6998">
        <v>3521</v>
      </c>
      <c r="D6998" t="s">
        <v>428</v>
      </c>
      <c r="E6998" t="s">
        <v>429</v>
      </c>
      <c r="F6998">
        <v>1385.63</v>
      </c>
      <c r="G6998">
        <v>230315</v>
      </c>
      <c r="H6998">
        <v>4520</v>
      </c>
      <c r="I6998" t="s">
        <v>254</v>
      </c>
      <c r="J6998">
        <v>1579.62</v>
      </c>
      <c r="K6998">
        <v>193.99</v>
      </c>
      <c r="L6998">
        <v>59114</v>
      </c>
      <c r="M6998" t="s">
        <v>556</v>
      </c>
      <c r="N6998" t="str">
        <f>"2360220753  "</f>
        <v xml:space="preserve">2360220753  </v>
      </c>
      <c r="O6998">
        <v>230316</v>
      </c>
    </row>
    <row r="6999" spans="1:15" x14ac:dyDescent="0.25">
      <c r="A6999" t="s">
        <v>16</v>
      </c>
      <c r="B6999" t="s">
        <v>3221</v>
      </c>
      <c r="C6999">
        <v>3521</v>
      </c>
      <c r="D6999" t="s">
        <v>428</v>
      </c>
      <c r="E6999" t="s">
        <v>429</v>
      </c>
      <c r="F6999">
        <v>244.53</v>
      </c>
      <c r="G6999">
        <v>230315</v>
      </c>
      <c r="H6999">
        <v>4520</v>
      </c>
      <c r="I6999" t="s">
        <v>254</v>
      </c>
      <c r="J6999">
        <v>278.76</v>
      </c>
      <c r="K6999">
        <v>34.229999999999997</v>
      </c>
      <c r="L6999">
        <v>59808</v>
      </c>
      <c r="M6999" t="s">
        <v>557</v>
      </c>
      <c r="N6999" t="str">
        <f>"2360220753  "</f>
        <v xml:space="preserve">2360220753  </v>
      </c>
      <c r="O6999">
        <v>230316</v>
      </c>
    </row>
    <row r="7000" spans="1:15" x14ac:dyDescent="0.25">
      <c r="A7000" t="s">
        <v>16</v>
      </c>
      <c r="B7000" t="s">
        <v>3221</v>
      </c>
      <c r="C7000">
        <v>3619</v>
      </c>
      <c r="D7000" t="s">
        <v>428</v>
      </c>
      <c r="E7000" t="s">
        <v>429</v>
      </c>
      <c r="F7000">
        <v>10.039999999999999</v>
      </c>
      <c r="G7000">
        <v>230315</v>
      </c>
      <c r="H7000">
        <v>4520</v>
      </c>
      <c r="I7000" t="s">
        <v>254</v>
      </c>
      <c r="J7000">
        <v>12.45</v>
      </c>
      <c r="K7000">
        <v>2.41</v>
      </c>
      <c r="L7000">
        <v>14422</v>
      </c>
      <c r="M7000" t="s">
        <v>228</v>
      </c>
      <c r="N7000" t="str">
        <f t="shared" ref="N7000:N7011" si="133">"2360220761  "</f>
        <v xml:space="preserve">2360220761  </v>
      </c>
      <c r="O7000">
        <v>230317</v>
      </c>
    </row>
    <row r="7001" spans="1:15" x14ac:dyDescent="0.25">
      <c r="A7001" t="s">
        <v>16</v>
      </c>
      <c r="B7001" t="s">
        <v>3221</v>
      </c>
      <c r="C7001">
        <v>3619</v>
      </c>
      <c r="D7001" t="s">
        <v>428</v>
      </c>
      <c r="E7001" t="s">
        <v>429</v>
      </c>
      <c r="F7001">
        <v>66.069999999999993</v>
      </c>
      <c r="G7001">
        <v>230315</v>
      </c>
      <c r="H7001">
        <v>4520</v>
      </c>
      <c r="I7001" t="s">
        <v>254</v>
      </c>
      <c r="J7001">
        <v>75.319999999999993</v>
      </c>
      <c r="K7001">
        <v>9.25</v>
      </c>
      <c r="L7001">
        <v>14422</v>
      </c>
      <c r="M7001" t="s">
        <v>228</v>
      </c>
      <c r="N7001" t="str">
        <f t="shared" si="133"/>
        <v xml:space="preserve">2360220761  </v>
      </c>
      <c r="O7001">
        <v>230317</v>
      </c>
    </row>
    <row r="7002" spans="1:15" x14ac:dyDescent="0.25">
      <c r="A7002" t="s">
        <v>16</v>
      </c>
      <c r="B7002" t="s">
        <v>3221</v>
      </c>
      <c r="C7002">
        <v>3619</v>
      </c>
      <c r="D7002" t="s">
        <v>428</v>
      </c>
      <c r="E7002" t="s">
        <v>429</v>
      </c>
      <c r="F7002">
        <v>40.15</v>
      </c>
      <c r="G7002">
        <v>230315</v>
      </c>
      <c r="H7002">
        <v>4520</v>
      </c>
      <c r="I7002" t="s">
        <v>254</v>
      </c>
      <c r="J7002">
        <v>49.78</v>
      </c>
      <c r="K7002">
        <v>9.6300000000000008</v>
      </c>
      <c r="L7002">
        <v>14431</v>
      </c>
      <c r="M7002" t="s">
        <v>861</v>
      </c>
      <c r="N7002" t="str">
        <f t="shared" si="133"/>
        <v xml:space="preserve">2360220761  </v>
      </c>
      <c r="O7002">
        <v>230317</v>
      </c>
    </row>
    <row r="7003" spans="1:15" x14ac:dyDescent="0.25">
      <c r="A7003" t="s">
        <v>16</v>
      </c>
      <c r="B7003" t="s">
        <v>3221</v>
      </c>
      <c r="C7003">
        <v>3619</v>
      </c>
      <c r="D7003" t="s">
        <v>428</v>
      </c>
      <c r="E7003" t="s">
        <v>429</v>
      </c>
      <c r="F7003">
        <v>264.25</v>
      </c>
      <c r="G7003">
        <v>230315</v>
      </c>
      <c r="H7003">
        <v>4520</v>
      </c>
      <c r="I7003" t="s">
        <v>254</v>
      </c>
      <c r="J7003">
        <v>301.25</v>
      </c>
      <c r="K7003">
        <v>37</v>
      </c>
      <c r="L7003">
        <v>14431</v>
      </c>
      <c r="M7003" t="s">
        <v>861</v>
      </c>
      <c r="N7003" t="str">
        <f t="shared" si="133"/>
        <v xml:space="preserve">2360220761  </v>
      </c>
      <c r="O7003">
        <v>230317</v>
      </c>
    </row>
    <row r="7004" spans="1:15" x14ac:dyDescent="0.25">
      <c r="A7004" t="s">
        <v>16</v>
      </c>
      <c r="B7004" t="s">
        <v>3221</v>
      </c>
      <c r="C7004">
        <v>3619</v>
      </c>
      <c r="D7004" t="s">
        <v>428</v>
      </c>
      <c r="E7004" t="s">
        <v>429</v>
      </c>
      <c r="F7004">
        <v>170.62</v>
      </c>
      <c r="G7004">
        <v>230315</v>
      </c>
      <c r="H7004">
        <v>4520</v>
      </c>
      <c r="I7004" t="s">
        <v>254</v>
      </c>
      <c r="J7004">
        <v>211.57</v>
      </c>
      <c r="K7004">
        <v>40.950000000000003</v>
      </c>
      <c r="L7004">
        <v>14432</v>
      </c>
      <c r="M7004" t="s">
        <v>862</v>
      </c>
      <c r="N7004" t="str">
        <f t="shared" si="133"/>
        <v xml:space="preserve">2360220761  </v>
      </c>
      <c r="O7004">
        <v>230317</v>
      </c>
    </row>
    <row r="7005" spans="1:15" x14ac:dyDescent="0.25">
      <c r="A7005" t="s">
        <v>16</v>
      </c>
      <c r="B7005" t="s">
        <v>3221</v>
      </c>
      <c r="C7005">
        <v>3619</v>
      </c>
      <c r="D7005" t="s">
        <v>428</v>
      </c>
      <c r="E7005" t="s">
        <v>429</v>
      </c>
      <c r="F7005">
        <v>1123.08</v>
      </c>
      <c r="G7005">
        <v>230315</v>
      </c>
      <c r="H7005">
        <v>4520</v>
      </c>
      <c r="I7005" t="s">
        <v>254</v>
      </c>
      <c r="J7005">
        <v>1280.31</v>
      </c>
      <c r="K7005">
        <v>157.22999999999999</v>
      </c>
      <c r="L7005">
        <v>14432</v>
      </c>
      <c r="M7005" t="s">
        <v>862</v>
      </c>
      <c r="N7005" t="str">
        <f t="shared" si="133"/>
        <v xml:space="preserve">2360220761  </v>
      </c>
      <c r="O7005">
        <v>230317</v>
      </c>
    </row>
    <row r="7006" spans="1:15" x14ac:dyDescent="0.25">
      <c r="A7006" t="s">
        <v>16</v>
      </c>
      <c r="B7006" t="s">
        <v>3221</v>
      </c>
      <c r="C7006">
        <v>3619</v>
      </c>
      <c r="D7006" t="s">
        <v>428</v>
      </c>
      <c r="E7006" t="s">
        <v>429</v>
      </c>
      <c r="F7006">
        <v>10.039999999999999</v>
      </c>
      <c r="G7006">
        <v>230315</v>
      </c>
      <c r="H7006">
        <v>4520</v>
      </c>
      <c r="I7006" t="s">
        <v>254</v>
      </c>
      <c r="J7006">
        <v>12.45</v>
      </c>
      <c r="K7006">
        <v>2.41</v>
      </c>
      <c r="L7006">
        <v>14640</v>
      </c>
      <c r="M7006" t="s">
        <v>229</v>
      </c>
      <c r="N7006" t="str">
        <f t="shared" si="133"/>
        <v xml:space="preserve">2360220761  </v>
      </c>
      <c r="O7006">
        <v>230317</v>
      </c>
    </row>
    <row r="7007" spans="1:15" x14ac:dyDescent="0.25">
      <c r="A7007" t="s">
        <v>16</v>
      </c>
      <c r="B7007" t="s">
        <v>3221</v>
      </c>
      <c r="C7007">
        <v>3619</v>
      </c>
      <c r="D7007" t="s">
        <v>428</v>
      </c>
      <c r="E7007" t="s">
        <v>429</v>
      </c>
      <c r="F7007">
        <v>66.069999999999993</v>
      </c>
      <c r="G7007">
        <v>230315</v>
      </c>
      <c r="H7007">
        <v>4520</v>
      </c>
      <c r="I7007" t="s">
        <v>254</v>
      </c>
      <c r="J7007">
        <v>75.319999999999993</v>
      </c>
      <c r="K7007">
        <v>9.25</v>
      </c>
      <c r="L7007">
        <v>14640</v>
      </c>
      <c r="M7007" t="s">
        <v>229</v>
      </c>
      <c r="N7007" t="str">
        <f t="shared" si="133"/>
        <v xml:space="preserve">2360220761  </v>
      </c>
      <c r="O7007">
        <v>230317</v>
      </c>
    </row>
    <row r="7008" spans="1:15" x14ac:dyDescent="0.25">
      <c r="A7008" t="s">
        <v>16</v>
      </c>
      <c r="B7008" t="s">
        <v>3221</v>
      </c>
      <c r="C7008">
        <v>3619</v>
      </c>
      <c r="D7008" t="s">
        <v>428</v>
      </c>
      <c r="E7008" t="s">
        <v>429</v>
      </c>
      <c r="F7008">
        <v>40.15</v>
      </c>
      <c r="G7008">
        <v>230315</v>
      </c>
      <c r="H7008">
        <v>4520</v>
      </c>
      <c r="I7008" t="s">
        <v>254</v>
      </c>
      <c r="J7008">
        <v>49.78</v>
      </c>
      <c r="K7008">
        <v>9.6300000000000008</v>
      </c>
      <c r="L7008">
        <v>14642</v>
      </c>
      <c r="M7008" t="s">
        <v>863</v>
      </c>
      <c r="N7008" t="str">
        <f t="shared" si="133"/>
        <v xml:space="preserve">2360220761  </v>
      </c>
      <c r="O7008">
        <v>230317</v>
      </c>
    </row>
    <row r="7009" spans="1:15" x14ac:dyDescent="0.25">
      <c r="A7009" t="s">
        <v>16</v>
      </c>
      <c r="B7009" t="s">
        <v>3221</v>
      </c>
      <c r="C7009">
        <v>3619</v>
      </c>
      <c r="D7009" t="s">
        <v>428</v>
      </c>
      <c r="E7009" t="s">
        <v>429</v>
      </c>
      <c r="F7009">
        <v>264.25</v>
      </c>
      <c r="G7009">
        <v>230315</v>
      </c>
      <c r="H7009">
        <v>4520</v>
      </c>
      <c r="I7009" t="s">
        <v>254</v>
      </c>
      <c r="J7009">
        <v>301.25</v>
      </c>
      <c r="K7009">
        <v>37</v>
      </c>
      <c r="L7009">
        <v>14642</v>
      </c>
      <c r="M7009" t="s">
        <v>863</v>
      </c>
      <c r="N7009" t="str">
        <f t="shared" si="133"/>
        <v xml:space="preserve">2360220761  </v>
      </c>
      <c r="O7009">
        <v>230317</v>
      </c>
    </row>
    <row r="7010" spans="1:15" x14ac:dyDescent="0.25">
      <c r="A7010" t="s">
        <v>16</v>
      </c>
      <c r="B7010" t="s">
        <v>3221</v>
      </c>
      <c r="C7010">
        <v>3619</v>
      </c>
      <c r="D7010" t="s">
        <v>428</v>
      </c>
      <c r="E7010" t="s">
        <v>429</v>
      </c>
      <c r="F7010">
        <v>732.67</v>
      </c>
      <c r="G7010">
        <v>230315</v>
      </c>
      <c r="H7010">
        <v>4520</v>
      </c>
      <c r="I7010" t="s">
        <v>254</v>
      </c>
      <c r="J7010">
        <v>908.51</v>
      </c>
      <c r="K7010">
        <v>175.84</v>
      </c>
      <c r="L7010">
        <v>14912</v>
      </c>
      <c r="M7010" t="s">
        <v>230</v>
      </c>
      <c r="N7010" t="str">
        <f t="shared" si="133"/>
        <v xml:space="preserve">2360220761  </v>
      </c>
      <c r="O7010">
        <v>230317</v>
      </c>
    </row>
    <row r="7011" spans="1:15" x14ac:dyDescent="0.25">
      <c r="A7011" t="s">
        <v>16</v>
      </c>
      <c r="B7011" t="s">
        <v>3221</v>
      </c>
      <c r="C7011">
        <v>3619</v>
      </c>
      <c r="D7011" t="s">
        <v>428</v>
      </c>
      <c r="E7011" t="s">
        <v>429</v>
      </c>
      <c r="F7011">
        <v>4822.66</v>
      </c>
      <c r="G7011">
        <v>230315</v>
      </c>
      <c r="H7011">
        <v>4520</v>
      </c>
      <c r="I7011" t="s">
        <v>254</v>
      </c>
      <c r="J7011">
        <v>5497.83</v>
      </c>
      <c r="K7011">
        <v>675.17</v>
      </c>
      <c r="L7011">
        <v>14912</v>
      </c>
      <c r="M7011" t="s">
        <v>230</v>
      </c>
      <c r="N7011" t="str">
        <f t="shared" si="133"/>
        <v xml:space="preserve">2360220761  </v>
      </c>
      <c r="O7011">
        <v>230317</v>
      </c>
    </row>
    <row r="7012" spans="1:15" x14ac:dyDescent="0.25">
      <c r="A7012" t="s">
        <v>16</v>
      </c>
      <c r="B7012" t="s">
        <v>3221</v>
      </c>
      <c r="C7012">
        <v>3660</v>
      </c>
      <c r="D7012" t="s">
        <v>428</v>
      </c>
      <c r="E7012" t="s">
        <v>429</v>
      </c>
      <c r="F7012">
        <v>4527.59</v>
      </c>
      <c r="G7012">
        <v>230315</v>
      </c>
      <c r="H7012">
        <v>4520</v>
      </c>
      <c r="I7012" t="s">
        <v>254</v>
      </c>
      <c r="J7012">
        <v>5161.45</v>
      </c>
      <c r="K7012">
        <v>633.86</v>
      </c>
      <c r="L7012">
        <v>54451</v>
      </c>
      <c r="M7012" t="s">
        <v>158</v>
      </c>
      <c r="N7012" t="str">
        <f>"2360220754  "</f>
        <v xml:space="preserve">2360220754  </v>
      </c>
      <c r="O7012">
        <v>230320</v>
      </c>
    </row>
    <row r="7013" spans="1:15" x14ac:dyDescent="0.25">
      <c r="A7013" t="s">
        <v>16</v>
      </c>
      <c r="B7013" t="s">
        <v>3221</v>
      </c>
      <c r="C7013">
        <v>3702</v>
      </c>
      <c r="D7013" t="s">
        <v>428</v>
      </c>
      <c r="E7013" t="s">
        <v>429</v>
      </c>
      <c r="F7013">
        <v>623.6</v>
      </c>
      <c r="G7013">
        <v>230315</v>
      </c>
      <c r="H7013">
        <v>4520</v>
      </c>
      <c r="I7013" t="s">
        <v>254</v>
      </c>
      <c r="J7013">
        <v>710.9</v>
      </c>
      <c r="K7013">
        <v>87.3</v>
      </c>
      <c r="L7013">
        <v>16431</v>
      </c>
      <c r="M7013" t="s">
        <v>231</v>
      </c>
      <c r="N7013" t="str">
        <f t="shared" ref="N7013:N7019" si="134">"2360220760  "</f>
        <v xml:space="preserve">2360220760  </v>
      </c>
      <c r="O7013">
        <v>230321</v>
      </c>
    </row>
    <row r="7014" spans="1:15" x14ac:dyDescent="0.25">
      <c r="A7014" t="s">
        <v>16</v>
      </c>
      <c r="B7014" t="s">
        <v>3221</v>
      </c>
      <c r="C7014">
        <v>3702</v>
      </c>
      <c r="D7014" t="s">
        <v>428</v>
      </c>
      <c r="E7014" t="s">
        <v>429</v>
      </c>
      <c r="F7014">
        <v>1336.01</v>
      </c>
      <c r="G7014">
        <v>230315</v>
      </c>
      <c r="H7014">
        <v>4520</v>
      </c>
      <c r="I7014" t="s">
        <v>254</v>
      </c>
      <c r="J7014">
        <v>1523.05</v>
      </c>
      <c r="K7014">
        <v>187.04</v>
      </c>
      <c r="L7014">
        <v>16442</v>
      </c>
      <c r="M7014" t="s">
        <v>430</v>
      </c>
      <c r="N7014" t="str">
        <f t="shared" si="134"/>
        <v xml:space="preserve">2360220760  </v>
      </c>
      <c r="O7014">
        <v>230321</v>
      </c>
    </row>
    <row r="7015" spans="1:15" x14ac:dyDescent="0.25">
      <c r="A7015" t="s">
        <v>16</v>
      </c>
      <c r="B7015" t="s">
        <v>3221</v>
      </c>
      <c r="C7015">
        <v>3702</v>
      </c>
      <c r="D7015" t="s">
        <v>428</v>
      </c>
      <c r="E7015" t="s">
        <v>429</v>
      </c>
      <c r="F7015">
        <v>168.92</v>
      </c>
      <c r="G7015">
        <v>230315</v>
      </c>
      <c r="H7015">
        <v>4520</v>
      </c>
      <c r="I7015" t="s">
        <v>254</v>
      </c>
      <c r="J7015">
        <v>209.46</v>
      </c>
      <c r="K7015">
        <v>40.54</v>
      </c>
      <c r="L7015">
        <v>17913</v>
      </c>
      <c r="M7015" t="s">
        <v>431</v>
      </c>
      <c r="N7015" t="str">
        <f t="shared" si="134"/>
        <v xml:space="preserve">2360220760  </v>
      </c>
      <c r="O7015">
        <v>230321</v>
      </c>
    </row>
    <row r="7016" spans="1:15" x14ac:dyDescent="0.25">
      <c r="A7016" t="s">
        <v>16</v>
      </c>
      <c r="B7016" t="s">
        <v>3221</v>
      </c>
      <c r="C7016">
        <v>3702</v>
      </c>
      <c r="D7016" t="s">
        <v>428</v>
      </c>
      <c r="E7016" t="s">
        <v>429</v>
      </c>
      <c r="F7016">
        <v>3005.55</v>
      </c>
      <c r="G7016">
        <v>230315</v>
      </c>
      <c r="H7016">
        <v>4520</v>
      </c>
      <c r="I7016" t="s">
        <v>254</v>
      </c>
      <c r="J7016">
        <v>3426.33</v>
      </c>
      <c r="K7016">
        <v>420.78</v>
      </c>
      <c r="L7016">
        <v>17913</v>
      </c>
      <c r="M7016" t="s">
        <v>431</v>
      </c>
      <c r="N7016" t="str">
        <f t="shared" si="134"/>
        <v xml:space="preserve">2360220760  </v>
      </c>
      <c r="O7016">
        <v>230321</v>
      </c>
    </row>
    <row r="7017" spans="1:15" x14ac:dyDescent="0.25">
      <c r="A7017" t="s">
        <v>16</v>
      </c>
      <c r="B7017" t="s">
        <v>3221</v>
      </c>
      <c r="C7017">
        <v>3702</v>
      </c>
      <c r="D7017" t="s">
        <v>428</v>
      </c>
      <c r="E7017" t="s">
        <v>429</v>
      </c>
      <c r="F7017">
        <v>18.79</v>
      </c>
      <c r="G7017">
        <v>230315</v>
      </c>
      <c r="H7017">
        <v>4520</v>
      </c>
      <c r="I7017" t="s">
        <v>254</v>
      </c>
      <c r="J7017">
        <v>23.3</v>
      </c>
      <c r="K7017">
        <v>4.51</v>
      </c>
      <c r="L7017">
        <v>17982</v>
      </c>
      <c r="M7017" t="s">
        <v>432</v>
      </c>
      <c r="N7017" t="str">
        <f t="shared" si="134"/>
        <v xml:space="preserve">2360220760  </v>
      </c>
      <c r="O7017">
        <v>230321</v>
      </c>
    </row>
    <row r="7018" spans="1:15" x14ac:dyDescent="0.25">
      <c r="A7018" t="s">
        <v>16</v>
      </c>
      <c r="B7018" t="s">
        <v>3221</v>
      </c>
      <c r="C7018">
        <v>3702</v>
      </c>
      <c r="D7018" t="s">
        <v>428</v>
      </c>
      <c r="E7018" t="s">
        <v>429</v>
      </c>
      <c r="F7018">
        <v>623.6</v>
      </c>
      <c r="G7018">
        <v>230315</v>
      </c>
      <c r="H7018">
        <v>4520</v>
      </c>
      <c r="I7018" t="s">
        <v>254</v>
      </c>
      <c r="J7018">
        <v>710.9</v>
      </c>
      <c r="K7018">
        <v>87.3</v>
      </c>
      <c r="L7018">
        <v>17982</v>
      </c>
      <c r="M7018" t="s">
        <v>432</v>
      </c>
      <c r="N7018" t="str">
        <f t="shared" si="134"/>
        <v xml:space="preserve">2360220760  </v>
      </c>
      <c r="O7018">
        <v>230321</v>
      </c>
    </row>
    <row r="7019" spans="1:15" x14ac:dyDescent="0.25">
      <c r="A7019" t="s">
        <v>16</v>
      </c>
      <c r="B7019" t="s">
        <v>3221</v>
      </c>
      <c r="C7019">
        <v>3702</v>
      </c>
      <c r="D7019" t="s">
        <v>428</v>
      </c>
      <c r="E7019" t="s">
        <v>429</v>
      </c>
      <c r="F7019">
        <v>442.98</v>
      </c>
      <c r="G7019">
        <v>230315</v>
      </c>
      <c r="H7019">
        <v>4520</v>
      </c>
      <c r="I7019" t="s">
        <v>254</v>
      </c>
      <c r="J7019">
        <v>505</v>
      </c>
      <c r="K7019">
        <v>62.02</v>
      </c>
      <c r="L7019">
        <v>17984</v>
      </c>
      <c r="M7019" t="s">
        <v>950</v>
      </c>
      <c r="N7019" t="str">
        <f t="shared" si="134"/>
        <v xml:space="preserve">2360220760  </v>
      </c>
      <c r="O7019">
        <v>230321</v>
      </c>
    </row>
    <row r="7020" spans="1:15" x14ac:dyDescent="0.25">
      <c r="A7020" t="s">
        <v>16</v>
      </c>
      <c r="B7020" t="s">
        <v>3221</v>
      </c>
      <c r="C7020">
        <v>3703</v>
      </c>
      <c r="D7020" t="s">
        <v>428</v>
      </c>
      <c r="E7020" t="s">
        <v>429</v>
      </c>
      <c r="F7020">
        <v>3219.74</v>
      </c>
      <c r="G7020">
        <v>230315</v>
      </c>
      <c r="H7020">
        <v>4520</v>
      </c>
      <c r="I7020" t="s">
        <v>254</v>
      </c>
      <c r="J7020">
        <v>3670.5</v>
      </c>
      <c r="K7020">
        <v>450.76</v>
      </c>
      <c r="L7020">
        <v>69113</v>
      </c>
      <c r="M7020" t="s">
        <v>282</v>
      </c>
      <c r="N7020" t="str">
        <f>"2360220756  "</f>
        <v xml:space="preserve">2360220756  </v>
      </c>
      <c r="O7020">
        <v>230321</v>
      </c>
    </row>
    <row r="7021" spans="1:15" x14ac:dyDescent="0.25">
      <c r="A7021" t="s">
        <v>16</v>
      </c>
      <c r="B7021" t="s">
        <v>3221</v>
      </c>
      <c r="C7021">
        <v>3703</v>
      </c>
      <c r="D7021" t="s">
        <v>428</v>
      </c>
      <c r="E7021" t="s">
        <v>429</v>
      </c>
      <c r="F7021">
        <v>378.79</v>
      </c>
      <c r="G7021">
        <v>230315</v>
      </c>
      <c r="H7021">
        <v>4520</v>
      </c>
      <c r="I7021" t="s">
        <v>254</v>
      </c>
      <c r="J7021">
        <v>431.82</v>
      </c>
      <c r="K7021">
        <v>53.03</v>
      </c>
      <c r="L7021">
        <v>69802</v>
      </c>
      <c r="M7021" t="s">
        <v>283</v>
      </c>
      <c r="N7021" t="str">
        <f>"2360220756  "</f>
        <v xml:space="preserve">2360220756  </v>
      </c>
      <c r="O7021">
        <v>230321</v>
      </c>
    </row>
    <row r="7022" spans="1:15" x14ac:dyDescent="0.25">
      <c r="A7022" t="s">
        <v>16</v>
      </c>
      <c r="B7022" t="s">
        <v>3221</v>
      </c>
      <c r="C7022">
        <v>3703</v>
      </c>
      <c r="D7022" t="s">
        <v>428</v>
      </c>
      <c r="E7022" t="s">
        <v>429</v>
      </c>
      <c r="F7022">
        <v>189.4</v>
      </c>
      <c r="G7022">
        <v>230315</v>
      </c>
      <c r="H7022">
        <v>4520</v>
      </c>
      <c r="I7022" t="s">
        <v>254</v>
      </c>
      <c r="J7022">
        <v>215.92</v>
      </c>
      <c r="K7022">
        <v>26.52</v>
      </c>
      <c r="L7022">
        <v>69804</v>
      </c>
      <c r="M7022" t="s">
        <v>284</v>
      </c>
      <c r="N7022" t="str">
        <f>"2360220756  "</f>
        <v xml:space="preserve">2360220756  </v>
      </c>
      <c r="O7022">
        <v>230321</v>
      </c>
    </row>
    <row r="7023" spans="1:15" x14ac:dyDescent="0.25">
      <c r="A7023" t="s">
        <v>16</v>
      </c>
      <c r="B7023" t="s">
        <v>3221</v>
      </c>
      <c r="C7023">
        <v>3803</v>
      </c>
      <c r="D7023" t="s">
        <v>428</v>
      </c>
      <c r="E7023" t="s">
        <v>429</v>
      </c>
      <c r="F7023">
        <v>1395.54</v>
      </c>
      <c r="G7023">
        <v>230315</v>
      </c>
      <c r="H7023">
        <v>4520</v>
      </c>
      <c r="I7023" t="s">
        <v>254</v>
      </c>
      <c r="J7023">
        <v>1590.92</v>
      </c>
      <c r="K7023">
        <v>195.38</v>
      </c>
      <c r="L7023">
        <v>69112</v>
      </c>
      <c r="M7023" t="s">
        <v>313</v>
      </c>
      <c r="N7023" t="str">
        <f>"2360220763  "</f>
        <v xml:space="preserve">2360220763  </v>
      </c>
      <c r="O7023">
        <v>230322</v>
      </c>
    </row>
    <row r="7024" spans="1:15" x14ac:dyDescent="0.25">
      <c r="A7024" t="s">
        <v>16</v>
      </c>
      <c r="B7024" t="s">
        <v>3221</v>
      </c>
      <c r="C7024">
        <v>3803</v>
      </c>
      <c r="D7024" t="s">
        <v>428</v>
      </c>
      <c r="E7024" t="s">
        <v>429</v>
      </c>
      <c r="F7024">
        <v>77.540000000000006</v>
      </c>
      <c r="G7024">
        <v>230315</v>
      </c>
      <c r="H7024">
        <v>4520</v>
      </c>
      <c r="I7024" t="s">
        <v>254</v>
      </c>
      <c r="J7024">
        <v>88.39</v>
      </c>
      <c r="K7024">
        <v>10.85</v>
      </c>
      <c r="L7024">
        <v>69810</v>
      </c>
      <c r="M7024" t="s">
        <v>314</v>
      </c>
      <c r="N7024" t="str">
        <f>"2360220763  "</f>
        <v xml:space="preserve">2360220763  </v>
      </c>
      <c r="O7024">
        <v>230322</v>
      </c>
    </row>
    <row r="7025" spans="1:15" x14ac:dyDescent="0.25">
      <c r="A7025" t="s">
        <v>16</v>
      </c>
      <c r="B7025" t="s">
        <v>3221</v>
      </c>
      <c r="C7025">
        <v>3803</v>
      </c>
      <c r="D7025" t="s">
        <v>428</v>
      </c>
      <c r="E7025" t="s">
        <v>429</v>
      </c>
      <c r="F7025">
        <v>77.53</v>
      </c>
      <c r="G7025">
        <v>230315</v>
      </c>
      <c r="H7025">
        <v>4520</v>
      </c>
      <c r="I7025" t="s">
        <v>254</v>
      </c>
      <c r="J7025">
        <v>88.38</v>
      </c>
      <c r="K7025">
        <v>10.85</v>
      </c>
      <c r="L7025">
        <v>69811</v>
      </c>
      <c r="M7025" t="s">
        <v>315</v>
      </c>
      <c r="N7025" t="str">
        <f>"2360220763  "</f>
        <v xml:space="preserve">2360220763  </v>
      </c>
      <c r="O7025">
        <v>230322</v>
      </c>
    </row>
    <row r="7026" spans="1:15" x14ac:dyDescent="0.25">
      <c r="A7026" t="s">
        <v>16</v>
      </c>
      <c r="B7026" t="s">
        <v>3221</v>
      </c>
      <c r="C7026">
        <v>3842</v>
      </c>
      <c r="D7026" t="s">
        <v>428</v>
      </c>
      <c r="E7026" t="s">
        <v>429</v>
      </c>
      <c r="F7026">
        <v>2467.65</v>
      </c>
      <c r="G7026">
        <v>230315</v>
      </c>
      <c r="H7026">
        <v>4520</v>
      </c>
      <c r="I7026" t="s">
        <v>254</v>
      </c>
      <c r="J7026">
        <v>2813.12</v>
      </c>
      <c r="K7026">
        <v>345.47</v>
      </c>
      <c r="L7026">
        <v>49112</v>
      </c>
      <c r="M7026" t="s">
        <v>233</v>
      </c>
      <c r="N7026" t="str">
        <f>"2360220757  "</f>
        <v xml:space="preserve">2360220757  </v>
      </c>
      <c r="O7026">
        <v>230323</v>
      </c>
    </row>
    <row r="7027" spans="1:15" x14ac:dyDescent="0.25">
      <c r="A7027" t="s">
        <v>16</v>
      </c>
      <c r="B7027" t="s">
        <v>3221</v>
      </c>
      <c r="C7027">
        <v>3878</v>
      </c>
      <c r="D7027" t="s">
        <v>428</v>
      </c>
      <c r="E7027" t="s">
        <v>429</v>
      </c>
      <c r="F7027">
        <v>127.73</v>
      </c>
      <c r="G7027">
        <v>230315</v>
      </c>
      <c r="H7027">
        <v>4520</v>
      </c>
      <c r="I7027" t="s">
        <v>254</v>
      </c>
      <c r="J7027">
        <v>158.38999999999999</v>
      </c>
      <c r="K7027">
        <v>30.66</v>
      </c>
      <c r="L7027">
        <v>17915</v>
      </c>
      <c r="M7027" t="s">
        <v>572</v>
      </c>
      <c r="N7027" t="str">
        <f>"2360220758  "</f>
        <v xml:space="preserve">2360220758  </v>
      </c>
      <c r="O7027">
        <v>230324</v>
      </c>
    </row>
    <row r="7028" spans="1:15" x14ac:dyDescent="0.25">
      <c r="A7028" t="s">
        <v>16</v>
      </c>
      <c r="B7028" t="s">
        <v>3221</v>
      </c>
      <c r="C7028">
        <v>3878</v>
      </c>
      <c r="D7028" t="s">
        <v>428</v>
      </c>
      <c r="E7028" t="s">
        <v>429</v>
      </c>
      <c r="F7028">
        <v>1798.81</v>
      </c>
      <c r="G7028">
        <v>230315</v>
      </c>
      <c r="H7028">
        <v>4520</v>
      </c>
      <c r="I7028" t="s">
        <v>254</v>
      </c>
      <c r="J7028">
        <v>2050.64</v>
      </c>
      <c r="K7028">
        <v>251.83</v>
      </c>
      <c r="L7028">
        <v>17915</v>
      </c>
      <c r="M7028" t="s">
        <v>572</v>
      </c>
      <c r="N7028" t="str">
        <f>"2360220758  "</f>
        <v xml:space="preserve">2360220758  </v>
      </c>
      <c r="O7028">
        <v>230324</v>
      </c>
    </row>
    <row r="7029" spans="1:15" x14ac:dyDescent="0.25">
      <c r="A7029" t="s">
        <v>16</v>
      </c>
      <c r="B7029" t="s">
        <v>3221</v>
      </c>
      <c r="C7029">
        <v>3878</v>
      </c>
      <c r="D7029" t="s">
        <v>428</v>
      </c>
      <c r="E7029" t="s">
        <v>429</v>
      </c>
      <c r="F7029">
        <v>14.19</v>
      </c>
      <c r="G7029">
        <v>230315</v>
      </c>
      <c r="H7029">
        <v>4520</v>
      </c>
      <c r="I7029" t="s">
        <v>254</v>
      </c>
      <c r="J7029">
        <v>17.600000000000001</v>
      </c>
      <c r="K7029">
        <v>3.41</v>
      </c>
      <c r="L7029">
        <v>17982</v>
      </c>
      <c r="M7029" t="s">
        <v>432</v>
      </c>
      <c r="N7029" t="str">
        <f>"2360220758  "</f>
        <v xml:space="preserve">2360220758  </v>
      </c>
      <c r="O7029">
        <v>230324</v>
      </c>
    </row>
    <row r="7030" spans="1:15" x14ac:dyDescent="0.25">
      <c r="A7030" t="s">
        <v>16</v>
      </c>
      <c r="B7030" t="s">
        <v>3221</v>
      </c>
      <c r="C7030">
        <v>3878</v>
      </c>
      <c r="D7030" t="s">
        <v>428</v>
      </c>
      <c r="E7030" t="s">
        <v>429</v>
      </c>
      <c r="F7030">
        <v>199.91</v>
      </c>
      <c r="G7030">
        <v>230315</v>
      </c>
      <c r="H7030">
        <v>4520</v>
      </c>
      <c r="I7030" t="s">
        <v>254</v>
      </c>
      <c r="J7030">
        <v>227.9</v>
      </c>
      <c r="K7030">
        <v>27.99</v>
      </c>
      <c r="L7030">
        <v>17982</v>
      </c>
      <c r="M7030" t="s">
        <v>432</v>
      </c>
      <c r="N7030" t="str">
        <f>"2360220758  "</f>
        <v xml:space="preserve">2360220758  </v>
      </c>
      <c r="O7030">
        <v>230324</v>
      </c>
    </row>
    <row r="7031" spans="1:15" x14ac:dyDescent="0.25">
      <c r="A7031" t="s">
        <v>16</v>
      </c>
      <c r="B7031" t="s">
        <v>3221</v>
      </c>
      <c r="C7031">
        <v>3969</v>
      </c>
      <c r="D7031" t="s">
        <v>428</v>
      </c>
      <c r="E7031" t="s">
        <v>429</v>
      </c>
      <c r="F7031">
        <v>185.29</v>
      </c>
      <c r="G7031">
        <v>230315</v>
      </c>
      <c r="H7031">
        <v>4520</v>
      </c>
      <c r="I7031" t="s">
        <v>254</v>
      </c>
      <c r="J7031">
        <v>211.23</v>
      </c>
      <c r="K7031">
        <v>25.94</v>
      </c>
      <c r="L7031">
        <v>44222</v>
      </c>
      <c r="M7031" t="s">
        <v>232</v>
      </c>
      <c r="N7031" t="str">
        <f>"2360220762  "</f>
        <v xml:space="preserve">2360220762  </v>
      </c>
      <c r="O7031">
        <v>230328</v>
      </c>
    </row>
    <row r="7032" spans="1:15" x14ac:dyDescent="0.25">
      <c r="A7032" t="s">
        <v>16</v>
      </c>
      <c r="B7032" t="s">
        <v>3221</v>
      </c>
      <c r="C7032">
        <v>3969</v>
      </c>
      <c r="D7032" t="s">
        <v>428</v>
      </c>
      <c r="E7032" t="s">
        <v>429</v>
      </c>
      <c r="F7032">
        <v>508.46</v>
      </c>
      <c r="G7032">
        <v>230315</v>
      </c>
      <c r="H7032">
        <v>4520</v>
      </c>
      <c r="I7032" t="s">
        <v>254</v>
      </c>
      <c r="J7032">
        <v>579.64</v>
      </c>
      <c r="K7032">
        <v>71.180000000000007</v>
      </c>
      <c r="L7032">
        <v>44253</v>
      </c>
      <c r="M7032" t="s">
        <v>1058</v>
      </c>
      <c r="N7032" t="str">
        <f>"2360220762  "</f>
        <v xml:space="preserve">2360220762  </v>
      </c>
      <c r="O7032">
        <v>230328</v>
      </c>
    </row>
    <row r="7033" spans="1:15" x14ac:dyDescent="0.25">
      <c r="A7033" t="s">
        <v>16</v>
      </c>
      <c r="B7033" t="s">
        <v>3221</v>
      </c>
      <c r="C7033">
        <v>4260</v>
      </c>
      <c r="D7033" t="s">
        <v>428</v>
      </c>
      <c r="E7033" t="s">
        <v>429</v>
      </c>
      <c r="F7033">
        <v>539.66999999999996</v>
      </c>
      <c r="G7033">
        <v>230315</v>
      </c>
      <c r="H7033">
        <v>4520</v>
      </c>
      <c r="I7033" t="s">
        <v>254</v>
      </c>
      <c r="J7033">
        <v>615.22</v>
      </c>
      <c r="K7033">
        <v>75.55</v>
      </c>
      <c r="L7033">
        <v>44251</v>
      </c>
      <c r="M7033" t="s">
        <v>156</v>
      </c>
      <c r="N7033" t="str">
        <f>"2360220759  "</f>
        <v xml:space="preserve">2360220759  </v>
      </c>
      <c r="O7033">
        <v>230403</v>
      </c>
    </row>
    <row r="7034" spans="1:15" x14ac:dyDescent="0.25">
      <c r="A7034" t="s">
        <v>16</v>
      </c>
      <c r="B7034" t="s">
        <v>3221</v>
      </c>
      <c r="C7034">
        <v>4260</v>
      </c>
      <c r="D7034" t="s">
        <v>428</v>
      </c>
      <c r="E7034" t="s">
        <v>429</v>
      </c>
      <c r="F7034">
        <v>1245.94</v>
      </c>
      <c r="G7034">
        <v>230315</v>
      </c>
      <c r="H7034">
        <v>4520</v>
      </c>
      <c r="I7034" t="s">
        <v>254</v>
      </c>
      <c r="J7034">
        <v>1420.37</v>
      </c>
      <c r="K7034">
        <v>174.43</v>
      </c>
      <c r="L7034">
        <v>44252</v>
      </c>
      <c r="M7034" t="s">
        <v>157</v>
      </c>
      <c r="N7034" t="str">
        <f>"2360220759  "</f>
        <v xml:space="preserve">2360220759  </v>
      </c>
      <c r="O7034">
        <v>230403</v>
      </c>
    </row>
    <row r="7035" spans="1:15" x14ac:dyDescent="0.25">
      <c r="A7035" t="s">
        <v>16</v>
      </c>
      <c r="B7035" t="s">
        <v>3221</v>
      </c>
      <c r="C7035">
        <v>4333</v>
      </c>
      <c r="D7035" t="s">
        <v>428</v>
      </c>
      <c r="E7035" t="s">
        <v>429</v>
      </c>
      <c r="F7035">
        <v>7.73</v>
      </c>
      <c r="G7035">
        <v>230331</v>
      </c>
      <c r="H7035">
        <v>4520</v>
      </c>
      <c r="I7035" t="s">
        <v>254</v>
      </c>
      <c r="J7035">
        <v>9.58</v>
      </c>
      <c r="K7035">
        <v>1.85</v>
      </c>
      <c r="L7035">
        <v>14422</v>
      </c>
      <c r="M7035" t="s">
        <v>228</v>
      </c>
      <c r="N7035" t="str">
        <f t="shared" ref="N7035:N7046" si="135">"2360257258  "</f>
        <v xml:space="preserve">2360257258  </v>
      </c>
      <c r="O7035">
        <v>230404</v>
      </c>
    </row>
    <row r="7036" spans="1:15" x14ac:dyDescent="0.25">
      <c r="A7036" t="s">
        <v>16</v>
      </c>
      <c r="B7036" t="s">
        <v>3221</v>
      </c>
      <c r="C7036">
        <v>4333</v>
      </c>
      <c r="D7036" t="s">
        <v>428</v>
      </c>
      <c r="E7036" t="s">
        <v>429</v>
      </c>
      <c r="F7036">
        <v>72.2</v>
      </c>
      <c r="G7036">
        <v>230331</v>
      </c>
      <c r="H7036">
        <v>4520</v>
      </c>
      <c r="I7036" t="s">
        <v>254</v>
      </c>
      <c r="J7036">
        <v>82.31</v>
      </c>
      <c r="K7036">
        <v>10.11</v>
      </c>
      <c r="L7036">
        <v>14422</v>
      </c>
      <c r="M7036" t="s">
        <v>228</v>
      </c>
      <c r="N7036" t="str">
        <f t="shared" si="135"/>
        <v xml:space="preserve">2360257258  </v>
      </c>
      <c r="O7036">
        <v>230404</v>
      </c>
    </row>
    <row r="7037" spans="1:15" x14ac:dyDescent="0.25">
      <c r="A7037" t="s">
        <v>16</v>
      </c>
      <c r="B7037" t="s">
        <v>3221</v>
      </c>
      <c r="C7037">
        <v>4333</v>
      </c>
      <c r="D7037" t="s">
        <v>428</v>
      </c>
      <c r="E7037" t="s">
        <v>429</v>
      </c>
      <c r="F7037">
        <v>30.87</v>
      </c>
      <c r="G7037">
        <v>230331</v>
      </c>
      <c r="H7037">
        <v>4520</v>
      </c>
      <c r="I7037" t="s">
        <v>254</v>
      </c>
      <c r="J7037">
        <v>38.28</v>
      </c>
      <c r="K7037">
        <v>7.41</v>
      </c>
      <c r="L7037">
        <v>14431</v>
      </c>
      <c r="M7037" t="s">
        <v>861</v>
      </c>
      <c r="N7037" t="str">
        <f t="shared" si="135"/>
        <v xml:space="preserve">2360257258  </v>
      </c>
      <c r="O7037">
        <v>230404</v>
      </c>
    </row>
    <row r="7038" spans="1:15" x14ac:dyDescent="0.25">
      <c r="A7038" t="s">
        <v>16</v>
      </c>
      <c r="B7038" t="s">
        <v>3221</v>
      </c>
      <c r="C7038">
        <v>4333</v>
      </c>
      <c r="D7038" t="s">
        <v>428</v>
      </c>
      <c r="E7038" t="s">
        <v>429</v>
      </c>
      <c r="F7038">
        <v>288.75</v>
      </c>
      <c r="G7038">
        <v>230331</v>
      </c>
      <c r="H7038">
        <v>4520</v>
      </c>
      <c r="I7038" t="s">
        <v>254</v>
      </c>
      <c r="J7038">
        <v>329.18</v>
      </c>
      <c r="K7038">
        <v>40.43</v>
      </c>
      <c r="L7038">
        <v>14431</v>
      </c>
      <c r="M7038" t="s">
        <v>861</v>
      </c>
      <c r="N7038" t="str">
        <f t="shared" si="135"/>
        <v xml:space="preserve">2360257258  </v>
      </c>
      <c r="O7038">
        <v>230404</v>
      </c>
    </row>
    <row r="7039" spans="1:15" x14ac:dyDescent="0.25">
      <c r="A7039" t="s">
        <v>16</v>
      </c>
      <c r="B7039" t="s">
        <v>3221</v>
      </c>
      <c r="C7039">
        <v>4333</v>
      </c>
      <c r="D7039" t="s">
        <v>428</v>
      </c>
      <c r="E7039" t="s">
        <v>429</v>
      </c>
      <c r="F7039">
        <v>131.21</v>
      </c>
      <c r="G7039">
        <v>230331</v>
      </c>
      <c r="H7039">
        <v>4520</v>
      </c>
      <c r="I7039" t="s">
        <v>254</v>
      </c>
      <c r="J7039">
        <v>162.69999999999999</v>
      </c>
      <c r="K7039">
        <v>31.49</v>
      </c>
      <c r="L7039">
        <v>14432</v>
      </c>
      <c r="M7039" t="s">
        <v>862</v>
      </c>
      <c r="N7039" t="str">
        <f t="shared" si="135"/>
        <v xml:space="preserve">2360257258  </v>
      </c>
      <c r="O7039">
        <v>230404</v>
      </c>
    </row>
    <row r="7040" spans="1:15" x14ac:dyDescent="0.25">
      <c r="A7040" t="s">
        <v>16</v>
      </c>
      <c r="B7040" t="s">
        <v>3221</v>
      </c>
      <c r="C7040">
        <v>4333</v>
      </c>
      <c r="D7040" t="s">
        <v>428</v>
      </c>
      <c r="E7040" t="s">
        <v>429</v>
      </c>
      <c r="F7040">
        <v>1227.22</v>
      </c>
      <c r="G7040">
        <v>230331</v>
      </c>
      <c r="H7040">
        <v>4520</v>
      </c>
      <c r="I7040" t="s">
        <v>254</v>
      </c>
      <c r="J7040">
        <v>1399.03</v>
      </c>
      <c r="K7040">
        <v>171.81</v>
      </c>
      <c r="L7040">
        <v>14432</v>
      </c>
      <c r="M7040" t="s">
        <v>862</v>
      </c>
      <c r="N7040" t="str">
        <f t="shared" si="135"/>
        <v xml:space="preserve">2360257258  </v>
      </c>
      <c r="O7040">
        <v>230404</v>
      </c>
    </row>
    <row r="7041" spans="1:15" x14ac:dyDescent="0.25">
      <c r="A7041" t="s">
        <v>16</v>
      </c>
      <c r="B7041" t="s">
        <v>3221</v>
      </c>
      <c r="C7041">
        <v>4333</v>
      </c>
      <c r="D7041" t="s">
        <v>428</v>
      </c>
      <c r="E7041" t="s">
        <v>429</v>
      </c>
      <c r="F7041">
        <v>7.73</v>
      </c>
      <c r="G7041">
        <v>230331</v>
      </c>
      <c r="H7041">
        <v>4520</v>
      </c>
      <c r="I7041" t="s">
        <v>254</v>
      </c>
      <c r="J7041">
        <v>9.58</v>
      </c>
      <c r="K7041">
        <v>1.85</v>
      </c>
      <c r="L7041">
        <v>14640</v>
      </c>
      <c r="M7041" t="s">
        <v>229</v>
      </c>
      <c r="N7041" t="str">
        <f t="shared" si="135"/>
        <v xml:space="preserve">2360257258  </v>
      </c>
      <c r="O7041">
        <v>230404</v>
      </c>
    </row>
    <row r="7042" spans="1:15" x14ac:dyDescent="0.25">
      <c r="A7042" t="s">
        <v>16</v>
      </c>
      <c r="B7042" t="s">
        <v>3221</v>
      </c>
      <c r="C7042">
        <v>4333</v>
      </c>
      <c r="D7042" t="s">
        <v>428</v>
      </c>
      <c r="E7042" t="s">
        <v>429</v>
      </c>
      <c r="F7042">
        <v>72.19</v>
      </c>
      <c r="G7042">
        <v>230331</v>
      </c>
      <c r="H7042">
        <v>4520</v>
      </c>
      <c r="I7042" t="s">
        <v>254</v>
      </c>
      <c r="J7042">
        <v>82.3</v>
      </c>
      <c r="K7042">
        <v>10.11</v>
      </c>
      <c r="L7042">
        <v>14640</v>
      </c>
      <c r="M7042" t="s">
        <v>229</v>
      </c>
      <c r="N7042" t="str">
        <f t="shared" si="135"/>
        <v xml:space="preserve">2360257258  </v>
      </c>
      <c r="O7042">
        <v>230404</v>
      </c>
    </row>
    <row r="7043" spans="1:15" x14ac:dyDescent="0.25">
      <c r="A7043" t="s">
        <v>16</v>
      </c>
      <c r="B7043" t="s">
        <v>3221</v>
      </c>
      <c r="C7043">
        <v>4333</v>
      </c>
      <c r="D7043" t="s">
        <v>428</v>
      </c>
      <c r="E7043" t="s">
        <v>429</v>
      </c>
      <c r="F7043">
        <v>30.87</v>
      </c>
      <c r="G7043">
        <v>230331</v>
      </c>
      <c r="H7043">
        <v>4520</v>
      </c>
      <c r="I7043" t="s">
        <v>254</v>
      </c>
      <c r="J7043">
        <v>38.28</v>
      </c>
      <c r="K7043">
        <v>7.41</v>
      </c>
      <c r="L7043">
        <v>14642</v>
      </c>
      <c r="M7043" t="s">
        <v>863</v>
      </c>
      <c r="N7043" t="str">
        <f t="shared" si="135"/>
        <v xml:space="preserve">2360257258  </v>
      </c>
      <c r="O7043">
        <v>230404</v>
      </c>
    </row>
    <row r="7044" spans="1:15" x14ac:dyDescent="0.25">
      <c r="A7044" t="s">
        <v>16</v>
      </c>
      <c r="B7044" t="s">
        <v>3221</v>
      </c>
      <c r="C7044">
        <v>4333</v>
      </c>
      <c r="D7044" t="s">
        <v>428</v>
      </c>
      <c r="E7044" t="s">
        <v>429</v>
      </c>
      <c r="F7044">
        <v>288.75</v>
      </c>
      <c r="G7044">
        <v>230331</v>
      </c>
      <c r="H7044">
        <v>4520</v>
      </c>
      <c r="I7044" t="s">
        <v>254</v>
      </c>
      <c r="J7044">
        <v>329.18</v>
      </c>
      <c r="K7044">
        <v>40.43</v>
      </c>
      <c r="L7044">
        <v>14642</v>
      </c>
      <c r="M7044" t="s">
        <v>863</v>
      </c>
      <c r="N7044" t="str">
        <f t="shared" si="135"/>
        <v xml:space="preserve">2360257258  </v>
      </c>
      <c r="O7044">
        <v>230404</v>
      </c>
    </row>
    <row r="7045" spans="1:15" x14ac:dyDescent="0.25">
      <c r="A7045" t="s">
        <v>16</v>
      </c>
      <c r="B7045" t="s">
        <v>3221</v>
      </c>
      <c r="C7045">
        <v>4333</v>
      </c>
      <c r="D7045" t="s">
        <v>428</v>
      </c>
      <c r="E7045" t="s">
        <v>429</v>
      </c>
      <c r="F7045">
        <v>563.44000000000005</v>
      </c>
      <c r="G7045">
        <v>230331</v>
      </c>
      <c r="H7045">
        <v>4520</v>
      </c>
      <c r="I7045" t="s">
        <v>254</v>
      </c>
      <c r="J7045">
        <v>698.66</v>
      </c>
      <c r="K7045">
        <v>135.22</v>
      </c>
      <c r="L7045">
        <v>14912</v>
      </c>
      <c r="M7045" t="s">
        <v>230</v>
      </c>
      <c r="N7045" t="str">
        <f t="shared" si="135"/>
        <v xml:space="preserve">2360257258  </v>
      </c>
      <c r="O7045">
        <v>230404</v>
      </c>
    </row>
    <row r="7046" spans="1:15" x14ac:dyDescent="0.25">
      <c r="A7046" t="s">
        <v>16</v>
      </c>
      <c r="B7046" t="s">
        <v>3221</v>
      </c>
      <c r="C7046">
        <v>4333</v>
      </c>
      <c r="D7046" t="s">
        <v>428</v>
      </c>
      <c r="E7046" t="s">
        <v>429</v>
      </c>
      <c r="F7046">
        <v>5269.84</v>
      </c>
      <c r="G7046">
        <v>230331</v>
      </c>
      <c r="H7046">
        <v>4520</v>
      </c>
      <c r="I7046" t="s">
        <v>254</v>
      </c>
      <c r="J7046">
        <v>6007.62</v>
      </c>
      <c r="K7046">
        <v>737.78</v>
      </c>
      <c r="L7046">
        <v>14912</v>
      </c>
      <c r="M7046" t="s">
        <v>230</v>
      </c>
      <c r="N7046" t="str">
        <f t="shared" si="135"/>
        <v xml:space="preserve">2360257258  </v>
      </c>
      <c r="O7046">
        <v>230404</v>
      </c>
    </row>
    <row r="7047" spans="1:15" x14ac:dyDescent="0.25">
      <c r="A7047" t="s">
        <v>16</v>
      </c>
      <c r="B7047" t="s">
        <v>3221</v>
      </c>
      <c r="C7047">
        <v>4335</v>
      </c>
      <c r="D7047" t="s">
        <v>428</v>
      </c>
      <c r="E7047" t="s">
        <v>429</v>
      </c>
      <c r="F7047">
        <v>3737.31</v>
      </c>
      <c r="G7047">
        <v>230331</v>
      </c>
      <c r="H7047">
        <v>4520</v>
      </c>
      <c r="I7047" t="s">
        <v>254</v>
      </c>
      <c r="J7047">
        <v>4260.53</v>
      </c>
      <c r="K7047">
        <v>523.22</v>
      </c>
      <c r="L7047">
        <v>69113</v>
      </c>
      <c r="M7047" t="s">
        <v>282</v>
      </c>
      <c r="N7047" t="str">
        <f>"2360257253  "</f>
        <v xml:space="preserve">2360257253  </v>
      </c>
      <c r="O7047">
        <v>230404</v>
      </c>
    </row>
    <row r="7048" spans="1:15" x14ac:dyDescent="0.25">
      <c r="A7048" t="s">
        <v>16</v>
      </c>
      <c r="B7048" t="s">
        <v>3221</v>
      </c>
      <c r="C7048">
        <v>4335</v>
      </c>
      <c r="D7048" t="s">
        <v>428</v>
      </c>
      <c r="E7048" t="s">
        <v>429</v>
      </c>
      <c r="F7048">
        <v>439.68</v>
      </c>
      <c r="G7048">
        <v>230331</v>
      </c>
      <c r="H7048">
        <v>4520</v>
      </c>
      <c r="I7048" t="s">
        <v>254</v>
      </c>
      <c r="J7048">
        <v>501.24</v>
      </c>
      <c r="K7048">
        <v>61.56</v>
      </c>
      <c r="L7048">
        <v>69802</v>
      </c>
      <c r="M7048" t="s">
        <v>283</v>
      </c>
      <c r="N7048" t="str">
        <f>"2360257253  "</f>
        <v xml:space="preserve">2360257253  </v>
      </c>
      <c r="O7048">
        <v>230404</v>
      </c>
    </row>
    <row r="7049" spans="1:15" x14ac:dyDescent="0.25">
      <c r="A7049" t="s">
        <v>16</v>
      </c>
      <c r="B7049" t="s">
        <v>3221</v>
      </c>
      <c r="C7049">
        <v>4335</v>
      </c>
      <c r="D7049" t="s">
        <v>428</v>
      </c>
      <c r="E7049" t="s">
        <v>429</v>
      </c>
      <c r="F7049">
        <v>219.84</v>
      </c>
      <c r="G7049">
        <v>230331</v>
      </c>
      <c r="H7049">
        <v>4520</v>
      </c>
      <c r="I7049" t="s">
        <v>254</v>
      </c>
      <c r="J7049">
        <v>250.62</v>
      </c>
      <c r="K7049">
        <v>30.78</v>
      </c>
      <c r="L7049">
        <v>69804</v>
      </c>
      <c r="M7049" t="s">
        <v>284</v>
      </c>
      <c r="N7049" t="str">
        <f>"2360257253  "</f>
        <v xml:space="preserve">2360257253  </v>
      </c>
      <c r="O7049">
        <v>230404</v>
      </c>
    </row>
    <row r="7050" spans="1:15" x14ac:dyDescent="0.25">
      <c r="A7050" t="s">
        <v>16</v>
      </c>
      <c r="B7050" t="s">
        <v>3221</v>
      </c>
      <c r="C7050">
        <v>4385</v>
      </c>
      <c r="D7050" t="s">
        <v>428</v>
      </c>
      <c r="E7050" t="s">
        <v>429</v>
      </c>
      <c r="F7050">
        <v>2055.73</v>
      </c>
      <c r="G7050">
        <v>230331</v>
      </c>
      <c r="H7050">
        <v>4520</v>
      </c>
      <c r="I7050" t="s">
        <v>254</v>
      </c>
      <c r="J7050">
        <v>2343.5300000000002</v>
      </c>
      <c r="K7050">
        <v>287.8</v>
      </c>
      <c r="L7050">
        <v>44251</v>
      </c>
      <c r="M7050" t="s">
        <v>156</v>
      </c>
      <c r="N7050" t="str">
        <f>"2360257256  "</f>
        <v xml:space="preserve">2360257256  </v>
      </c>
      <c r="O7050">
        <v>230405</v>
      </c>
    </row>
    <row r="7051" spans="1:15" x14ac:dyDescent="0.25">
      <c r="A7051" t="s">
        <v>16</v>
      </c>
      <c r="B7051" t="s">
        <v>3221</v>
      </c>
      <c r="C7051">
        <v>4385</v>
      </c>
      <c r="D7051" t="s">
        <v>428</v>
      </c>
      <c r="E7051" t="s">
        <v>429</v>
      </c>
      <c r="F7051">
        <v>1521</v>
      </c>
      <c r="G7051">
        <v>230331</v>
      </c>
      <c r="H7051">
        <v>4520</v>
      </c>
      <c r="I7051" t="s">
        <v>254</v>
      </c>
      <c r="J7051">
        <v>1733.94</v>
      </c>
      <c r="K7051">
        <v>212.94</v>
      </c>
      <c r="L7051">
        <v>44252</v>
      </c>
      <c r="M7051" t="s">
        <v>157</v>
      </c>
      <c r="N7051" t="str">
        <f>"2360257256  "</f>
        <v xml:space="preserve">2360257256  </v>
      </c>
      <c r="O7051">
        <v>230405</v>
      </c>
    </row>
    <row r="7052" spans="1:15" x14ac:dyDescent="0.25">
      <c r="A7052" t="s">
        <v>16</v>
      </c>
      <c r="B7052" t="s">
        <v>3221</v>
      </c>
      <c r="C7052">
        <v>4442</v>
      </c>
      <c r="D7052" t="s">
        <v>428</v>
      </c>
      <c r="E7052" t="s">
        <v>429</v>
      </c>
      <c r="F7052">
        <v>968.45</v>
      </c>
      <c r="G7052">
        <v>230331</v>
      </c>
      <c r="H7052">
        <v>4520</v>
      </c>
      <c r="I7052" t="s">
        <v>254</v>
      </c>
      <c r="J7052">
        <v>1104.03</v>
      </c>
      <c r="K7052">
        <v>135.58000000000001</v>
      </c>
      <c r="L7052">
        <v>59114</v>
      </c>
      <c r="M7052" t="s">
        <v>556</v>
      </c>
      <c r="N7052" t="str">
        <f>"2360257250  "</f>
        <v xml:space="preserve">2360257250  </v>
      </c>
      <c r="O7052">
        <v>230405</v>
      </c>
    </row>
    <row r="7053" spans="1:15" x14ac:dyDescent="0.25">
      <c r="A7053" t="s">
        <v>16</v>
      </c>
      <c r="B7053" t="s">
        <v>3221</v>
      </c>
      <c r="C7053">
        <v>4443</v>
      </c>
      <c r="D7053" t="s">
        <v>428</v>
      </c>
      <c r="E7053" t="s">
        <v>429</v>
      </c>
      <c r="F7053">
        <v>2991.6</v>
      </c>
      <c r="G7053">
        <v>230331</v>
      </c>
      <c r="H7053">
        <v>4520</v>
      </c>
      <c r="I7053" t="s">
        <v>254</v>
      </c>
      <c r="J7053">
        <v>3410.42</v>
      </c>
      <c r="K7053">
        <v>418.82</v>
      </c>
      <c r="L7053">
        <v>59113</v>
      </c>
      <c r="M7053" t="s">
        <v>235</v>
      </c>
      <c r="N7053" t="str">
        <f>"2360257252  "</f>
        <v xml:space="preserve">2360257252  </v>
      </c>
      <c r="O7053">
        <v>230405</v>
      </c>
    </row>
    <row r="7054" spans="1:15" x14ac:dyDescent="0.25">
      <c r="A7054" t="s">
        <v>16</v>
      </c>
      <c r="B7054" t="s">
        <v>3221</v>
      </c>
      <c r="C7054">
        <v>4443</v>
      </c>
      <c r="D7054" t="s">
        <v>428</v>
      </c>
      <c r="E7054" t="s">
        <v>429</v>
      </c>
      <c r="F7054">
        <v>654.54999999999995</v>
      </c>
      <c r="G7054">
        <v>230331</v>
      </c>
      <c r="H7054">
        <v>4520</v>
      </c>
      <c r="I7054" t="s">
        <v>254</v>
      </c>
      <c r="J7054">
        <v>746.19</v>
      </c>
      <c r="K7054">
        <v>91.64</v>
      </c>
      <c r="L7054">
        <v>59803</v>
      </c>
      <c r="M7054" t="s">
        <v>533</v>
      </c>
      <c r="N7054" t="str">
        <f>"2360257252  "</f>
        <v xml:space="preserve">2360257252  </v>
      </c>
      <c r="O7054">
        <v>230405</v>
      </c>
    </row>
    <row r="7055" spans="1:15" x14ac:dyDescent="0.25">
      <c r="A7055" t="s">
        <v>16</v>
      </c>
      <c r="B7055" t="s">
        <v>3221</v>
      </c>
      <c r="C7055">
        <v>4443</v>
      </c>
      <c r="D7055" t="s">
        <v>428</v>
      </c>
      <c r="E7055" t="s">
        <v>429</v>
      </c>
      <c r="F7055">
        <v>717.54</v>
      </c>
      <c r="G7055">
        <v>230331</v>
      </c>
      <c r="H7055">
        <v>4520</v>
      </c>
      <c r="I7055" t="s">
        <v>254</v>
      </c>
      <c r="J7055">
        <v>818</v>
      </c>
      <c r="K7055">
        <v>100.46</v>
      </c>
      <c r="L7055">
        <v>59805</v>
      </c>
      <c r="M7055" t="s">
        <v>1716</v>
      </c>
      <c r="N7055" t="str">
        <f>"2360257252  "</f>
        <v xml:space="preserve">2360257252  </v>
      </c>
      <c r="O7055">
        <v>230405</v>
      </c>
    </row>
    <row r="7056" spans="1:15" x14ac:dyDescent="0.25">
      <c r="A7056" t="s">
        <v>16</v>
      </c>
      <c r="B7056" t="s">
        <v>3221</v>
      </c>
      <c r="C7056">
        <v>4495</v>
      </c>
      <c r="D7056" t="s">
        <v>428</v>
      </c>
      <c r="E7056" t="s">
        <v>429</v>
      </c>
      <c r="F7056">
        <v>3621.07</v>
      </c>
      <c r="G7056">
        <v>230331</v>
      </c>
      <c r="H7056">
        <v>4520</v>
      </c>
      <c r="I7056" t="s">
        <v>254</v>
      </c>
      <c r="J7056">
        <v>4128.0200000000004</v>
      </c>
      <c r="K7056">
        <v>506.95</v>
      </c>
      <c r="L7056">
        <v>49112</v>
      </c>
      <c r="M7056" t="s">
        <v>233</v>
      </c>
      <c r="N7056" t="str">
        <f>"2360257254  "</f>
        <v xml:space="preserve">2360257254  </v>
      </c>
      <c r="O7056">
        <v>230406</v>
      </c>
    </row>
    <row r="7057" spans="1:15" x14ac:dyDescent="0.25">
      <c r="A7057" t="s">
        <v>16</v>
      </c>
      <c r="B7057" t="s">
        <v>3221</v>
      </c>
      <c r="C7057">
        <v>4545</v>
      </c>
      <c r="D7057" t="s">
        <v>428</v>
      </c>
      <c r="E7057" t="s">
        <v>429</v>
      </c>
      <c r="F7057">
        <v>2718.54</v>
      </c>
      <c r="G7057">
        <v>230331</v>
      </c>
      <c r="H7057">
        <v>4520</v>
      </c>
      <c r="I7057" t="s">
        <v>254</v>
      </c>
      <c r="J7057">
        <v>3099.14</v>
      </c>
      <c r="K7057">
        <v>380.6</v>
      </c>
      <c r="L7057">
        <v>69112</v>
      </c>
      <c r="M7057" t="s">
        <v>313</v>
      </c>
      <c r="N7057" t="str">
        <f>"2360257260  "</f>
        <v xml:space="preserve">2360257260  </v>
      </c>
      <c r="O7057">
        <v>230406</v>
      </c>
    </row>
    <row r="7058" spans="1:15" x14ac:dyDescent="0.25">
      <c r="A7058" t="s">
        <v>16</v>
      </c>
      <c r="B7058" t="s">
        <v>3221</v>
      </c>
      <c r="C7058">
        <v>4545</v>
      </c>
      <c r="D7058" t="s">
        <v>428</v>
      </c>
      <c r="E7058" t="s">
        <v>429</v>
      </c>
      <c r="F7058">
        <v>151.04</v>
      </c>
      <c r="G7058">
        <v>230331</v>
      </c>
      <c r="H7058">
        <v>4520</v>
      </c>
      <c r="I7058" t="s">
        <v>254</v>
      </c>
      <c r="J7058">
        <v>172.18</v>
      </c>
      <c r="K7058">
        <v>21.14</v>
      </c>
      <c r="L7058">
        <v>69810</v>
      </c>
      <c r="M7058" t="s">
        <v>314</v>
      </c>
      <c r="N7058" t="str">
        <f>"2360257260  "</f>
        <v xml:space="preserve">2360257260  </v>
      </c>
      <c r="O7058">
        <v>230406</v>
      </c>
    </row>
    <row r="7059" spans="1:15" x14ac:dyDescent="0.25">
      <c r="A7059" t="s">
        <v>16</v>
      </c>
      <c r="B7059" t="s">
        <v>3221</v>
      </c>
      <c r="C7059">
        <v>4545</v>
      </c>
      <c r="D7059" t="s">
        <v>428</v>
      </c>
      <c r="E7059" t="s">
        <v>429</v>
      </c>
      <c r="F7059">
        <v>151.03</v>
      </c>
      <c r="G7059">
        <v>230331</v>
      </c>
      <c r="H7059">
        <v>4520</v>
      </c>
      <c r="I7059" t="s">
        <v>254</v>
      </c>
      <c r="J7059">
        <v>172.17</v>
      </c>
      <c r="K7059">
        <v>21.14</v>
      </c>
      <c r="L7059">
        <v>69811</v>
      </c>
      <c r="M7059" t="s">
        <v>315</v>
      </c>
      <c r="N7059" t="str">
        <f>"2360257260  "</f>
        <v xml:space="preserve">2360257260  </v>
      </c>
      <c r="O7059">
        <v>230406</v>
      </c>
    </row>
    <row r="7060" spans="1:15" x14ac:dyDescent="0.25">
      <c r="A7060" t="s">
        <v>16</v>
      </c>
      <c r="B7060" t="s">
        <v>3221</v>
      </c>
      <c r="C7060">
        <v>4722</v>
      </c>
      <c r="D7060" t="s">
        <v>428</v>
      </c>
      <c r="E7060" t="s">
        <v>429</v>
      </c>
      <c r="F7060">
        <v>9</v>
      </c>
      <c r="G7060">
        <v>230331</v>
      </c>
      <c r="H7060">
        <v>4520</v>
      </c>
      <c r="I7060" t="s">
        <v>254</v>
      </c>
      <c r="J7060">
        <v>11.16</v>
      </c>
      <c r="K7060">
        <v>2.16</v>
      </c>
      <c r="L7060">
        <v>17915</v>
      </c>
      <c r="M7060" t="s">
        <v>572</v>
      </c>
      <c r="N7060" t="str">
        <f>"2360257255  "</f>
        <v xml:space="preserve">2360257255  </v>
      </c>
      <c r="O7060">
        <v>230412</v>
      </c>
    </row>
    <row r="7061" spans="1:15" x14ac:dyDescent="0.25">
      <c r="A7061" t="s">
        <v>16</v>
      </c>
      <c r="B7061" t="s">
        <v>3221</v>
      </c>
      <c r="C7061">
        <v>4722</v>
      </c>
      <c r="D7061" t="s">
        <v>428</v>
      </c>
      <c r="E7061" t="s">
        <v>429</v>
      </c>
      <c r="F7061">
        <v>1659.02</v>
      </c>
      <c r="G7061">
        <v>230331</v>
      </c>
      <c r="H7061">
        <v>4520</v>
      </c>
      <c r="I7061" t="s">
        <v>254</v>
      </c>
      <c r="J7061">
        <v>2057.19</v>
      </c>
      <c r="K7061">
        <v>398.17</v>
      </c>
      <c r="L7061">
        <v>17915</v>
      </c>
      <c r="M7061" t="s">
        <v>572</v>
      </c>
      <c r="N7061" t="str">
        <f>"2360257255  "</f>
        <v xml:space="preserve">2360257255  </v>
      </c>
      <c r="O7061">
        <v>230412</v>
      </c>
    </row>
    <row r="7062" spans="1:15" x14ac:dyDescent="0.25">
      <c r="A7062" t="s">
        <v>16</v>
      </c>
      <c r="B7062" t="s">
        <v>3221</v>
      </c>
      <c r="C7062">
        <v>4722</v>
      </c>
      <c r="D7062" t="s">
        <v>428</v>
      </c>
      <c r="E7062" t="s">
        <v>429</v>
      </c>
      <c r="F7062">
        <v>1</v>
      </c>
      <c r="G7062">
        <v>230331</v>
      </c>
      <c r="H7062">
        <v>4520</v>
      </c>
      <c r="I7062" t="s">
        <v>254</v>
      </c>
      <c r="J7062">
        <v>1.24</v>
      </c>
      <c r="K7062">
        <v>0.24</v>
      </c>
      <c r="L7062">
        <v>17982</v>
      </c>
      <c r="M7062" t="s">
        <v>432</v>
      </c>
      <c r="N7062" t="str">
        <f>"2360257255  "</f>
        <v xml:space="preserve">2360257255  </v>
      </c>
      <c r="O7062">
        <v>230412</v>
      </c>
    </row>
    <row r="7063" spans="1:15" x14ac:dyDescent="0.25">
      <c r="A7063" t="s">
        <v>16</v>
      </c>
      <c r="B7063" t="s">
        <v>3221</v>
      </c>
      <c r="C7063">
        <v>4722</v>
      </c>
      <c r="D7063" t="s">
        <v>428</v>
      </c>
      <c r="E7063" t="s">
        <v>429</v>
      </c>
      <c r="F7063">
        <v>200.53</v>
      </c>
      <c r="G7063">
        <v>230331</v>
      </c>
      <c r="H7063">
        <v>4520</v>
      </c>
      <c r="I7063" t="s">
        <v>254</v>
      </c>
      <c r="J7063">
        <v>228.6</v>
      </c>
      <c r="K7063">
        <v>28.07</v>
      </c>
      <c r="L7063">
        <v>17982</v>
      </c>
      <c r="M7063" t="s">
        <v>432</v>
      </c>
      <c r="N7063" t="str">
        <f>"2360257255  "</f>
        <v xml:space="preserve">2360257255  </v>
      </c>
      <c r="O7063">
        <v>230412</v>
      </c>
    </row>
    <row r="7064" spans="1:15" x14ac:dyDescent="0.25">
      <c r="A7064" t="s">
        <v>16</v>
      </c>
      <c r="B7064" t="s">
        <v>3221</v>
      </c>
      <c r="C7064">
        <v>4724</v>
      </c>
      <c r="D7064" t="s">
        <v>428</v>
      </c>
      <c r="E7064" t="s">
        <v>429</v>
      </c>
      <c r="F7064">
        <v>14.28</v>
      </c>
      <c r="G7064">
        <v>230331</v>
      </c>
      <c r="H7064">
        <v>4520</v>
      </c>
      <c r="I7064" t="s">
        <v>254</v>
      </c>
      <c r="J7064">
        <v>17.71</v>
      </c>
      <c r="K7064">
        <v>3.43</v>
      </c>
      <c r="L7064">
        <v>16431</v>
      </c>
      <c r="M7064" t="s">
        <v>231</v>
      </c>
      <c r="N7064" t="str">
        <f t="shared" ref="N7064:N7071" si="136">"2360257257  "</f>
        <v xml:space="preserve">2360257257  </v>
      </c>
      <c r="O7064">
        <v>230412</v>
      </c>
    </row>
    <row r="7065" spans="1:15" x14ac:dyDescent="0.25">
      <c r="A7065" t="s">
        <v>16</v>
      </c>
      <c r="B7065" t="s">
        <v>3221</v>
      </c>
      <c r="C7065">
        <v>4724</v>
      </c>
      <c r="D7065" t="s">
        <v>428</v>
      </c>
      <c r="E7065" t="s">
        <v>429</v>
      </c>
      <c r="F7065">
        <v>491.75</v>
      </c>
      <c r="G7065">
        <v>230331</v>
      </c>
      <c r="H7065">
        <v>4520</v>
      </c>
      <c r="I7065" t="s">
        <v>254</v>
      </c>
      <c r="J7065">
        <v>560.6</v>
      </c>
      <c r="K7065">
        <v>68.849999999999994</v>
      </c>
      <c r="L7065">
        <v>16431</v>
      </c>
      <c r="M7065" t="s">
        <v>231</v>
      </c>
      <c r="N7065" t="str">
        <f t="shared" si="136"/>
        <v xml:space="preserve">2360257257  </v>
      </c>
      <c r="O7065">
        <v>230412</v>
      </c>
    </row>
    <row r="7066" spans="1:15" x14ac:dyDescent="0.25">
      <c r="A7066" t="s">
        <v>16</v>
      </c>
      <c r="B7066" t="s">
        <v>3221</v>
      </c>
      <c r="C7066">
        <v>4724</v>
      </c>
      <c r="D7066" t="s">
        <v>428</v>
      </c>
      <c r="E7066" t="s">
        <v>429</v>
      </c>
      <c r="F7066">
        <v>258.77</v>
      </c>
      <c r="G7066">
        <v>230331</v>
      </c>
      <c r="H7066">
        <v>4520</v>
      </c>
      <c r="I7066" t="s">
        <v>254</v>
      </c>
      <c r="J7066">
        <v>295</v>
      </c>
      <c r="K7066">
        <v>36.229999999999997</v>
      </c>
      <c r="L7066">
        <v>16442</v>
      </c>
      <c r="M7066" t="s">
        <v>430</v>
      </c>
      <c r="N7066" t="str">
        <f t="shared" si="136"/>
        <v xml:space="preserve">2360257257  </v>
      </c>
      <c r="O7066">
        <v>230412</v>
      </c>
    </row>
    <row r="7067" spans="1:15" x14ac:dyDescent="0.25">
      <c r="A7067" t="s">
        <v>16</v>
      </c>
      <c r="B7067" t="s">
        <v>3221</v>
      </c>
      <c r="C7067">
        <v>4724</v>
      </c>
      <c r="D7067" t="s">
        <v>428</v>
      </c>
      <c r="E7067" t="s">
        <v>429</v>
      </c>
      <c r="F7067">
        <v>114.28</v>
      </c>
      <c r="G7067">
        <v>230331</v>
      </c>
      <c r="H7067">
        <v>4520</v>
      </c>
      <c r="I7067" t="s">
        <v>254</v>
      </c>
      <c r="J7067">
        <v>141.71</v>
      </c>
      <c r="K7067">
        <v>27.43</v>
      </c>
      <c r="L7067">
        <v>17913</v>
      </c>
      <c r="M7067" t="s">
        <v>431</v>
      </c>
      <c r="N7067" t="str">
        <f t="shared" si="136"/>
        <v xml:space="preserve">2360257257  </v>
      </c>
      <c r="O7067">
        <v>230412</v>
      </c>
    </row>
    <row r="7068" spans="1:15" x14ac:dyDescent="0.25">
      <c r="A7068" t="s">
        <v>16</v>
      </c>
      <c r="B7068" t="s">
        <v>3221</v>
      </c>
      <c r="C7068">
        <v>4724</v>
      </c>
      <c r="D7068" t="s">
        <v>428</v>
      </c>
      <c r="E7068" t="s">
        <v>429</v>
      </c>
      <c r="F7068">
        <v>3587.68</v>
      </c>
      <c r="G7068">
        <v>230331</v>
      </c>
      <c r="H7068">
        <v>4520</v>
      </c>
      <c r="I7068" t="s">
        <v>254</v>
      </c>
      <c r="J7068">
        <v>4089.96</v>
      </c>
      <c r="K7068">
        <v>502.28</v>
      </c>
      <c r="L7068">
        <v>17913</v>
      </c>
      <c r="M7068" t="s">
        <v>431</v>
      </c>
      <c r="N7068" t="str">
        <f t="shared" si="136"/>
        <v xml:space="preserve">2360257257  </v>
      </c>
      <c r="O7068">
        <v>230412</v>
      </c>
    </row>
    <row r="7069" spans="1:15" x14ac:dyDescent="0.25">
      <c r="A7069" t="s">
        <v>16</v>
      </c>
      <c r="B7069" t="s">
        <v>3221</v>
      </c>
      <c r="C7069">
        <v>4724</v>
      </c>
      <c r="D7069" t="s">
        <v>428</v>
      </c>
      <c r="E7069" t="s">
        <v>429</v>
      </c>
      <c r="F7069">
        <v>14.28</v>
      </c>
      <c r="G7069">
        <v>230331</v>
      </c>
      <c r="H7069">
        <v>4520</v>
      </c>
      <c r="I7069" t="s">
        <v>254</v>
      </c>
      <c r="J7069">
        <v>17.71</v>
      </c>
      <c r="K7069">
        <v>3.43</v>
      </c>
      <c r="L7069">
        <v>17982</v>
      </c>
      <c r="M7069" t="s">
        <v>432</v>
      </c>
      <c r="N7069" t="str">
        <f t="shared" si="136"/>
        <v xml:space="preserve">2360257257  </v>
      </c>
      <c r="O7069">
        <v>230412</v>
      </c>
    </row>
    <row r="7070" spans="1:15" x14ac:dyDescent="0.25">
      <c r="A7070" t="s">
        <v>16</v>
      </c>
      <c r="B7070" t="s">
        <v>3221</v>
      </c>
      <c r="C7070">
        <v>4724</v>
      </c>
      <c r="D7070" t="s">
        <v>428</v>
      </c>
      <c r="E7070" t="s">
        <v>429</v>
      </c>
      <c r="F7070">
        <v>491.75</v>
      </c>
      <c r="G7070">
        <v>230331</v>
      </c>
      <c r="H7070">
        <v>4520</v>
      </c>
      <c r="I7070" t="s">
        <v>254</v>
      </c>
      <c r="J7070">
        <v>560.6</v>
      </c>
      <c r="K7070">
        <v>68.849999999999994</v>
      </c>
      <c r="L7070">
        <v>17982</v>
      </c>
      <c r="M7070" t="s">
        <v>432</v>
      </c>
      <c r="N7070" t="str">
        <f t="shared" si="136"/>
        <v xml:space="preserve">2360257257  </v>
      </c>
      <c r="O7070">
        <v>230412</v>
      </c>
    </row>
    <row r="7071" spans="1:15" x14ac:dyDescent="0.25">
      <c r="A7071" t="s">
        <v>16</v>
      </c>
      <c r="B7071" t="s">
        <v>3221</v>
      </c>
      <c r="C7071">
        <v>4724</v>
      </c>
      <c r="D7071" t="s">
        <v>428</v>
      </c>
      <c r="E7071" t="s">
        <v>429</v>
      </c>
      <c r="F7071">
        <v>87.72</v>
      </c>
      <c r="G7071">
        <v>230331</v>
      </c>
      <c r="H7071">
        <v>4520</v>
      </c>
      <c r="I7071" t="s">
        <v>254</v>
      </c>
      <c r="J7071">
        <v>100</v>
      </c>
      <c r="K7071">
        <v>12.28</v>
      </c>
      <c r="L7071">
        <v>17984</v>
      </c>
      <c r="M7071" t="s">
        <v>950</v>
      </c>
      <c r="N7071" t="str">
        <f t="shared" si="136"/>
        <v xml:space="preserve">2360257257  </v>
      </c>
      <c r="O7071">
        <v>230412</v>
      </c>
    </row>
    <row r="7072" spans="1:15" x14ac:dyDescent="0.25">
      <c r="A7072" t="s">
        <v>16</v>
      </c>
      <c r="B7072" t="s">
        <v>3221</v>
      </c>
      <c r="C7072">
        <v>4886</v>
      </c>
      <c r="D7072" t="s">
        <v>428</v>
      </c>
      <c r="E7072" t="s">
        <v>429</v>
      </c>
      <c r="F7072">
        <v>168.63</v>
      </c>
      <c r="G7072">
        <v>230331</v>
      </c>
      <c r="H7072">
        <v>4520</v>
      </c>
      <c r="I7072" t="s">
        <v>254</v>
      </c>
      <c r="J7072">
        <v>209.1</v>
      </c>
      <c r="K7072">
        <v>40.47</v>
      </c>
      <c r="L7072">
        <v>44222</v>
      </c>
      <c r="M7072" t="s">
        <v>232</v>
      </c>
      <c r="N7072" t="str">
        <f>"2360257259  "</f>
        <v xml:space="preserve">2360257259  </v>
      </c>
      <c r="O7072">
        <v>230414</v>
      </c>
    </row>
    <row r="7073" spans="1:15" x14ac:dyDescent="0.25">
      <c r="A7073" t="s">
        <v>16</v>
      </c>
      <c r="B7073" t="s">
        <v>3221</v>
      </c>
      <c r="C7073">
        <v>4886</v>
      </c>
      <c r="D7073" t="s">
        <v>428</v>
      </c>
      <c r="E7073" t="s">
        <v>429</v>
      </c>
      <c r="F7073">
        <v>459.09</v>
      </c>
      <c r="G7073">
        <v>230331</v>
      </c>
      <c r="H7073">
        <v>4520</v>
      </c>
      <c r="I7073" t="s">
        <v>254</v>
      </c>
      <c r="J7073">
        <v>523.36</v>
      </c>
      <c r="K7073">
        <v>64.27</v>
      </c>
      <c r="L7073">
        <v>44253</v>
      </c>
      <c r="M7073" t="s">
        <v>1058</v>
      </c>
      <c r="N7073" t="str">
        <f>"2360257259  "</f>
        <v xml:space="preserve">2360257259  </v>
      </c>
      <c r="O7073">
        <v>230414</v>
      </c>
    </row>
    <row r="7074" spans="1:15" x14ac:dyDescent="0.25">
      <c r="A7074" t="s">
        <v>16</v>
      </c>
      <c r="B7074" t="s">
        <v>3221</v>
      </c>
      <c r="C7074">
        <v>5056</v>
      </c>
      <c r="D7074" t="s">
        <v>428</v>
      </c>
      <c r="E7074" t="s">
        <v>429</v>
      </c>
      <c r="F7074">
        <v>4617.17</v>
      </c>
      <c r="G7074">
        <v>230331</v>
      </c>
      <c r="H7074">
        <v>4520</v>
      </c>
      <c r="I7074" t="s">
        <v>254</v>
      </c>
      <c r="J7074">
        <v>5263.57</v>
      </c>
      <c r="K7074">
        <v>646.4</v>
      </c>
      <c r="L7074">
        <v>54451</v>
      </c>
      <c r="M7074" t="s">
        <v>158</v>
      </c>
      <c r="N7074" t="str">
        <f>"2360257251  "</f>
        <v xml:space="preserve">2360257251  </v>
      </c>
      <c r="O7074">
        <v>230418</v>
      </c>
    </row>
    <row r="7075" spans="1:15" x14ac:dyDescent="0.25">
      <c r="A7075" t="s">
        <v>16</v>
      </c>
      <c r="B7075" t="s">
        <v>3221</v>
      </c>
      <c r="C7075">
        <v>5269</v>
      </c>
      <c r="D7075" t="s">
        <v>428</v>
      </c>
      <c r="E7075" t="s">
        <v>429</v>
      </c>
      <c r="F7075">
        <v>81.2</v>
      </c>
      <c r="G7075">
        <v>230415</v>
      </c>
      <c r="H7075">
        <v>4520</v>
      </c>
      <c r="I7075" t="s">
        <v>254</v>
      </c>
      <c r="J7075">
        <v>100.69</v>
      </c>
      <c r="K7075">
        <v>19.489999999999998</v>
      </c>
      <c r="L7075">
        <v>16431</v>
      </c>
      <c r="M7075" t="s">
        <v>231</v>
      </c>
      <c r="N7075" t="str">
        <f t="shared" ref="N7075:N7080" si="137">"2360317617  "</f>
        <v xml:space="preserve">2360317617  </v>
      </c>
      <c r="O7075">
        <v>230419</v>
      </c>
    </row>
    <row r="7076" spans="1:15" x14ac:dyDescent="0.25">
      <c r="A7076" t="s">
        <v>16</v>
      </c>
      <c r="B7076" t="s">
        <v>3221</v>
      </c>
      <c r="C7076">
        <v>5269</v>
      </c>
      <c r="D7076" t="s">
        <v>428</v>
      </c>
      <c r="E7076" t="s">
        <v>429</v>
      </c>
      <c r="F7076">
        <v>303.8</v>
      </c>
      <c r="G7076">
        <v>230415</v>
      </c>
      <c r="H7076">
        <v>4520</v>
      </c>
      <c r="I7076" t="s">
        <v>254</v>
      </c>
      <c r="J7076">
        <v>346.33</v>
      </c>
      <c r="K7076">
        <v>42.53</v>
      </c>
      <c r="L7076">
        <v>16431</v>
      </c>
      <c r="M7076" t="s">
        <v>231</v>
      </c>
      <c r="N7076" t="str">
        <f t="shared" si="137"/>
        <v xml:space="preserve">2360317617  </v>
      </c>
      <c r="O7076">
        <v>230419</v>
      </c>
    </row>
    <row r="7077" spans="1:15" x14ac:dyDescent="0.25">
      <c r="A7077" t="s">
        <v>16</v>
      </c>
      <c r="B7077" t="s">
        <v>3221</v>
      </c>
      <c r="C7077">
        <v>5269</v>
      </c>
      <c r="D7077" t="s">
        <v>428</v>
      </c>
      <c r="E7077" t="s">
        <v>429</v>
      </c>
      <c r="F7077">
        <v>103.33</v>
      </c>
      <c r="G7077">
        <v>230415</v>
      </c>
      <c r="H7077">
        <v>4520</v>
      </c>
      <c r="I7077" t="s">
        <v>254</v>
      </c>
      <c r="J7077">
        <v>117.8</v>
      </c>
      <c r="K7077">
        <v>14.47</v>
      </c>
      <c r="L7077">
        <v>16442</v>
      </c>
      <c r="M7077" t="s">
        <v>430</v>
      </c>
      <c r="N7077" t="str">
        <f t="shared" si="137"/>
        <v xml:space="preserve">2360317617  </v>
      </c>
      <c r="O7077">
        <v>230419</v>
      </c>
    </row>
    <row r="7078" spans="1:15" x14ac:dyDescent="0.25">
      <c r="A7078" t="s">
        <v>16</v>
      </c>
      <c r="B7078" t="s">
        <v>3221</v>
      </c>
      <c r="C7078">
        <v>5269</v>
      </c>
      <c r="D7078" t="s">
        <v>428</v>
      </c>
      <c r="E7078" t="s">
        <v>429</v>
      </c>
      <c r="F7078">
        <v>2256.89</v>
      </c>
      <c r="G7078">
        <v>230415</v>
      </c>
      <c r="H7078">
        <v>4520</v>
      </c>
      <c r="I7078" t="s">
        <v>254</v>
      </c>
      <c r="J7078">
        <v>2572.86</v>
      </c>
      <c r="K7078">
        <v>315.97000000000003</v>
      </c>
      <c r="L7078">
        <v>17913</v>
      </c>
      <c r="M7078" t="s">
        <v>431</v>
      </c>
      <c r="N7078" t="str">
        <f t="shared" si="137"/>
        <v xml:space="preserve">2360317617  </v>
      </c>
      <c r="O7078">
        <v>230419</v>
      </c>
    </row>
    <row r="7079" spans="1:15" x14ac:dyDescent="0.25">
      <c r="A7079" t="s">
        <v>16</v>
      </c>
      <c r="B7079" t="s">
        <v>3221</v>
      </c>
      <c r="C7079">
        <v>5269</v>
      </c>
      <c r="D7079" t="s">
        <v>428</v>
      </c>
      <c r="E7079" t="s">
        <v>429</v>
      </c>
      <c r="F7079">
        <v>303.8</v>
      </c>
      <c r="G7079">
        <v>230415</v>
      </c>
      <c r="H7079">
        <v>4520</v>
      </c>
      <c r="I7079" t="s">
        <v>254</v>
      </c>
      <c r="J7079">
        <v>346.33</v>
      </c>
      <c r="K7079">
        <v>42.53</v>
      </c>
      <c r="L7079">
        <v>17982</v>
      </c>
      <c r="M7079" t="s">
        <v>432</v>
      </c>
      <c r="N7079" t="str">
        <f t="shared" si="137"/>
        <v xml:space="preserve">2360317617  </v>
      </c>
      <c r="O7079">
        <v>230419</v>
      </c>
    </row>
    <row r="7080" spans="1:15" x14ac:dyDescent="0.25">
      <c r="A7080" t="s">
        <v>16</v>
      </c>
      <c r="B7080" t="s">
        <v>3221</v>
      </c>
      <c r="C7080">
        <v>5269</v>
      </c>
      <c r="D7080" t="s">
        <v>428</v>
      </c>
      <c r="E7080" t="s">
        <v>429</v>
      </c>
      <c r="F7080">
        <v>70.180000000000007</v>
      </c>
      <c r="G7080">
        <v>230415</v>
      </c>
      <c r="H7080">
        <v>4520</v>
      </c>
      <c r="I7080" t="s">
        <v>254</v>
      </c>
      <c r="J7080">
        <v>80</v>
      </c>
      <c r="K7080">
        <v>9.82</v>
      </c>
      <c r="L7080">
        <v>17984</v>
      </c>
      <c r="M7080" t="s">
        <v>950</v>
      </c>
      <c r="N7080" t="str">
        <f t="shared" si="137"/>
        <v xml:space="preserve">2360317617  </v>
      </c>
      <c r="O7080">
        <v>230419</v>
      </c>
    </row>
    <row r="7081" spans="1:15" x14ac:dyDescent="0.25">
      <c r="A7081" t="s">
        <v>16</v>
      </c>
      <c r="B7081" t="s">
        <v>3221</v>
      </c>
      <c r="C7081">
        <v>5286</v>
      </c>
      <c r="D7081" t="s">
        <v>428</v>
      </c>
      <c r="E7081" t="s">
        <v>429</v>
      </c>
      <c r="F7081">
        <v>499.51</v>
      </c>
      <c r="G7081">
        <v>230415</v>
      </c>
      <c r="H7081">
        <v>4520</v>
      </c>
      <c r="I7081" t="s">
        <v>254</v>
      </c>
      <c r="J7081">
        <v>569.44000000000005</v>
      </c>
      <c r="K7081">
        <v>69.930000000000007</v>
      </c>
      <c r="L7081">
        <v>44252</v>
      </c>
      <c r="M7081" t="s">
        <v>157</v>
      </c>
      <c r="N7081" t="str">
        <f>"2360317616  "</f>
        <v xml:space="preserve">2360317616  </v>
      </c>
      <c r="O7081">
        <v>230420</v>
      </c>
    </row>
    <row r="7082" spans="1:15" x14ac:dyDescent="0.25">
      <c r="A7082" t="s">
        <v>16</v>
      </c>
      <c r="B7082" t="s">
        <v>3221</v>
      </c>
      <c r="C7082">
        <v>5343</v>
      </c>
      <c r="D7082" t="s">
        <v>428</v>
      </c>
      <c r="E7082" t="s">
        <v>429</v>
      </c>
      <c r="F7082">
        <v>4083.32</v>
      </c>
      <c r="G7082">
        <v>230415</v>
      </c>
      <c r="H7082">
        <v>4520</v>
      </c>
      <c r="I7082" t="s">
        <v>254</v>
      </c>
      <c r="J7082">
        <v>4654.99</v>
      </c>
      <c r="K7082">
        <v>571.66999999999996</v>
      </c>
      <c r="L7082">
        <v>54451</v>
      </c>
      <c r="M7082" t="s">
        <v>158</v>
      </c>
      <c r="N7082" t="str">
        <f>"2360317611  "</f>
        <v xml:space="preserve">2360317611  </v>
      </c>
      <c r="O7082">
        <v>230421</v>
      </c>
    </row>
    <row r="7083" spans="1:15" x14ac:dyDescent="0.25">
      <c r="A7083" t="s">
        <v>16</v>
      </c>
      <c r="B7083" t="s">
        <v>3221</v>
      </c>
      <c r="C7083">
        <v>5344</v>
      </c>
      <c r="D7083" t="s">
        <v>428</v>
      </c>
      <c r="E7083" t="s">
        <v>429</v>
      </c>
      <c r="F7083">
        <v>1266.54</v>
      </c>
      <c r="G7083">
        <v>230415</v>
      </c>
      <c r="H7083">
        <v>4520</v>
      </c>
      <c r="I7083" t="s">
        <v>254</v>
      </c>
      <c r="J7083">
        <v>1443.86</v>
      </c>
      <c r="K7083">
        <v>177.32</v>
      </c>
      <c r="L7083">
        <v>17915</v>
      </c>
      <c r="M7083" t="s">
        <v>572</v>
      </c>
      <c r="N7083" t="str">
        <f>"2360317615  "</f>
        <v xml:space="preserve">2360317615  </v>
      </c>
      <c r="O7083">
        <v>230421</v>
      </c>
    </row>
    <row r="7084" spans="1:15" x14ac:dyDescent="0.25">
      <c r="A7084" t="s">
        <v>16</v>
      </c>
      <c r="B7084" t="s">
        <v>3221</v>
      </c>
      <c r="C7084">
        <v>5344</v>
      </c>
      <c r="D7084" t="s">
        <v>428</v>
      </c>
      <c r="E7084" t="s">
        <v>429</v>
      </c>
      <c r="F7084">
        <v>140.72999999999999</v>
      </c>
      <c r="G7084">
        <v>230415</v>
      </c>
      <c r="H7084">
        <v>4520</v>
      </c>
      <c r="I7084" t="s">
        <v>254</v>
      </c>
      <c r="J7084">
        <v>160.43</v>
      </c>
      <c r="K7084">
        <v>19.7</v>
      </c>
      <c r="L7084">
        <v>17982</v>
      </c>
      <c r="M7084" t="s">
        <v>432</v>
      </c>
      <c r="N7084" t="str">
        <f>"2360317615  "</f>
        <v xml:space="preserve">2360317615  </v>
      </c>
      <c r="O7084">
        <v>230421</v>
      </c>
    </row>
    <row r="7085" spans="1:15" x14ac:dyDescent="0.25">
      <c r="A7085" t="s">
        <v>16</v>
      </c>
      <c r="B7085" t="s">
        <v>3221</v>
      </c>
      <c r="C7085">
        <v>5383</v>
      </c>
      <c r="D7085" t="s">
        <v>428</v>
      </c>
      <c r="E7085" t="s">
        <v>429</v>
      </c>
      <c r="F7085">
        <v>1072.02</v>
      </c>
      <c r="G7085">
        <v>230415</v>
      </c>
      <c r="H7085">
        <v>4520</v>
      </c>
      <c r="I7085" t="s">
        <v>254</v>
      </c>
      <c r="J7085">
        <v>1222.0999999999999</v>
      </c>
      <c r="K7085">
        <v>150.08000000000001</v>
      </c>
      <c r="L7085">
        <v>59114</v>
      </c>
      <c r="M7085" t="s">
        <v>556</v>
      </c>
      <c r="N7085" t="str">
        <f>"2360317610  "</f>
        <v xml:space="preserve">2360317610  </v>
      </c>
      <c r="O7085">
        <v>230421</v>
      </c>
    </row>
    <row r="7086" spans="1:15" x14ac:dyDescent="0.25">
      <c r="A7086" t="s">
        <v>16</v>
      </c>
      <c r="B7086" t="s">
        <v>3221</v>
      </c>
      <c r="C7086">
        <v>5383</v>
      </c>
      <c r="D7086" t="s">
        <v>428</v>
      </c>
      <c r="E7086" t="s">
        <v>429</v>
      </c>
      <c r="F7086">
        <v>199.21</v>
      </c>
      <c r="G7086">
        <v>230415</v>
      </c>
      <c r="H7086">
        <v>4520</v>
      </c>
      <c r="I7086" t="s">
        <v>254</v>
      </c>
      <c r="J7086">
        <v>227.1</v>
      </c>
      <c r="K7086">
        <v>27.89</v>
      </c>
      <c r="L7086">
        <v>59810</v>
      </c>
      <c r="M7086" t="s">
        <v>1840</v>
      </c>
      <c r="N7086" t="str">
        <f>"2360317610  "</f>
        <v xml:space="preserve">2360317610  </v>
      </c>
      <c r="O7086">
        <v>230421</v>
      </c>
    </row>
    <row r="7087" spans="1:15" x14ac:dyDescent="0.25">
      <c r="A7087" t="s">
        <v>16</v>
      </c>
      <c r="B7087" t="s">
        <v>3221</v>
      </c>
      <c r="C7087">
        <v>5384</v>
      </c>
      <c r="D7087" t="s">
        <v>428</v>
      </c>
      <c r="E7087" t="s">
        <v>429</v>
      </c>
      <c r="F7087">
        <v>2442.9</v>
      </c>
      <c r="G7087">
        <v>230415</v>
      </c>
      <c r="H7087">
        <v>4520</v>
      </c>
      <c r="I7087" t="s">
        <v>254</v>
      </c>
      <c r="J7087">
        <v>2784.91</v>
      </c>
      <c r="K7087">
        <v>342.01</v>
      </c>
      <c r="L7087">
        <v>59113</v>
      </c>
      <c r="M7087" t="s">
        <v>235</v>
      </c>
      <c r="N7087" t="str">
        <f>"2360317612  "</f>
        <v xml:space="preserve">2360317612  </v>
      </c>
      <c r="O7087">
        <v>230421</v>
      </c>
    </row>
    <row r="7088" spans="1:15" x14ac:dyDescent="0.25">
      <c r="A7088" t="s">
        <v>16</v>
      </c>
      <c r="B7088" t="s">
        <v>3221</v>
      </c>
      <c r="C7088">
        <v>5384</v>
      </c>
      <c r="D7088" t="s">
        <v>428</v>
      </c>
      <c r="E7088" t="s">
        <v>429</v>
      </c>
      <c r="F7088">
        <v>431.11</v>
      </c>
      <c r="G7088">
        <v>230415</v>
      </c>
      <c r="H7088">
        <v>4520</v>
      </c>
      <c r="I7088" t="s">
        <v>254</v>
      </c>
      <c r="J7088">
        <v>491.46</v>
      </c>
      <c r="K7088">
        <v>60.35</v>
      </c>
      <c r="L7088">
        <v>59803</v>
      </c>
      <c r="M7088" t="s">
        <v>533</v>
      </c>
      <c r="N7088" t="str">
        <f>"2360317612  "</f>
        <v xml:space="preserve">2360317612  </v>
      </c>
      <c r="O7088">
        <v>230421</v>
      </c>
    </row>
    <row r="7089" spans="1:15" x14ac:dyDescent="0.25">
      <c r="A7089" t="s">
        <v>16</v>
      </c>
      <c r="B7089" t="s">
        <v>3221</v>
      </c>
      <c r="C7089">
        <v>5429</v>
      </c>
      <c r="D7089" t="s">
        <v>428</v>
      </c>
      <c r="E7089" t="s">
        <v>429</v>
      </c>
      <c r="F7089">
        <v>1652.76</v>
      </c>
      <c r="G7089">
        <v>230415</v>
      </c>
      <c r="H7089">
        <v>4520</v>
      </c>
      <c r="I7089" t="s">
        <v>254</v>
      </c>
      <c r="J7089">
        <v>1884.15</v>
      </c>
      <c r="K7089">
        <v>231.39</v>
      </c>
      <c r="L7089">
        <v>49112</v>
      </c>
      <c r="M7089" t="s">
        <v>233</v>
      </c>
      <c r="N7089" t="str">
        <f>"2360317614  "</f>
        <v xml:space="preserve">2360317614  </v>
      </c>
      <c r="O7089">
        <v>230424</v>
      </c>
    </row>
    <row r="7090" spans="1:15" x14ac:dyDescent="0.25">
      <c r="A7090" t="s">
        <v>16</v>
      </c>
      <c r="B7090" t="s">
        <v>3221</v>
      </c>
      <c r="C7090">
        <v>5444</v>
      </c>
      <c r="D7090" t="s">
        <v>428</v>
      </c>
      <c r="E7090" t="s">
        <v>429</v>
      </c>
      <c r="F7090">
        <v>6.45</v>
      </c>
      <c r="G7090">
        <v>230415</v>
      </c>
      <c r="H7090">
        <v>4520</v>
      </c>
      <c r="I7090" t="s">
        <v>254</v>
      </c>
      <c r="J7090">
        <v>8</v>
      </c>
      <c r="K7090">
        <v>1.55</v>
      </c>
      <c r="L7090">
        <v>14422</v>
      </c>
      <c r="M7090" t="s">
        <v>228</v>
      </c>
      <c r="N7090" t="str">
        <f t="shared" ref="N7090:N7101" si="138">"2360317618  "</f>
        <v xml:space="preserve">2360317618  </v>
      </c>
      <c r="O7090">
        <v>230424</v>
      </c>
    </row>
    <row r="7091" spans="1:15" x14ac:dyDescent="0.25">
      <c r="A7091" t="s">
        <v>16</v>
      </c>
      <c r="B7091" t="s">
        <v>3221</v>
      </c>
      <c r="C7091">
        <v>5444</v>
      </c>
      <c r="D7091" t="s">
        <v>428</v>
      </c>
      <c r="E7091" t="s">
        <v>429</v>
      </c>
      <c r="F7091">
        <v>59.05</v>
      </c>
      <c r="G7091">
        <v>230415</v>
      </c>
      <c r="H7091">
        <v>4520</v>
      </c>
      <c r="I7091" t="s">
        <v>254</v>
      </c>
      <c r="J7091">
        <v>67.319999999999993</v>
      </c>
      <c r="K7091">
        <v>8.27</v>
      </c>
      <c r="L7091">
        <v>14422</v>
      </c>
      <c r="M7091" t="s">
        <v>228</v>
      </c>
      <c r="N7091" t="str">
        <f t="shared" si="138"/>
        <v xml:space="preserve">2360317618  </v>
      </c>
      <c r="O7091">
        <v>230424</v>
      </c>
    </row>
    <row r="7092" spans="1:15" x14ac:dyDescent="0.25">
      <c r="A7092" t="s">
        <v>16</v>
      </c>
      <c r="B7092" t="s">
        <v>3221</v>
      </c>
      <c r="C7092">
        <v>5444</v>
      </c>
      <c r="D7092" t="s">
        <v>428</v>
      </c>
      <c r="E7092" t="s">
        <v>429</v>
      </c>
      <c r="F7092">
        <v>25.84</v>
      </c>
      <c r="G7092">
        <v>230415</v>
      </c>
      <c r="H7092">
        <v>4520</v>
      </c>
      <c r="I7092" t="s">
        <v>254</v>
      </c>
      <c r="J7092">
        <v>32.04</v>
      </c>
      <c r="K7092">
        <v>6.2</v>
      </c>
      <c r="L7092">
        <v>14431</v>
      </c>
      <c r="M7092" t="s">
        <v>861</v>
      </c>
      <c r="N7092" t="str">
        <f t="shared" si="138"/>
        <v xml:space="preserve">2360317618  </v>
      </c>
      <c r="O7092">
        <v>230424</v>
      </c>
    </row>
    <row r="7093" spans="1:15" x14ac:dyDescent="0.25">
      <c r="A7093" t="s">
        <v>16</v>
      </c>
      <c r="B7093" t="s">
        <v>3221</v>
      </c>
      <c r="C7093">
        <v>5444</v>
      </c>
      <c r="D7093" t="s">
        <v>428</v>
      </c>
      <c r="E7093" t="s">
        <v>429</v>
      </c>
      <c r="F7093">
        <v>236.21</v>
      </c>
      <c r="G7093">
        <v>230415</v>
      </c>
      <c r="H7093">
        <v>4520</v>
      </c>
      <c r="I7093" t="s">
        <v>254</v>
      </c>
      <c r="J7093">
        <v>269.27999999999997</v>
      </c>
      <c r="K7093">
        <v>33.07</v>
      </c>
      <c r="L7093">
        <v>14431</v>
      </c>
      <c r="M7093" t="s">
        <v>861</v>
      </c>
      <c r="N7093" t="str">
        <f t="shared" si="138"/>
        <v xml:space="preserve">2360317618  </v>
      </c>
      <c r="O7093">
        <v>230424</v>
      </c>
    </row>
    <row r="7094" spans="1:15" x14ac:dyDescent="0.25">
      <c r="A7094" t="s">
        <v>16</v>
      </c>
      <c r="B7094" t="s">
        <v>3221</v>
      </c>
      <c r="C7094">
        <v>5444</v>
      </c>
      <c r="D7094" t="s">
        <v>428</v>
      </c>
      <c r="E7094" t="s">
        <v>429</v>
      </c>
      <c r="F7094">
        <v>109.8</v>
      </c>
      <c r="G7094">
        <v>230415</v>
      </c>
      <c r="H7094">
        <v>4520</v>
      </c>
      <c r="I7094" t="s">
        <v>254</v>
      </c>
      <c r="J7094">
        <v>136.15</v>
      </c>
      <c r="K7094">
        <v>26.35</v>
      </c>
      <c r="L7094">
        <v>14432</v>
      </c>
      <c r="M7094" t="s">
        <v>862</v>
      </c>
      <c r="N7094" t="str">
        <f t="shared" si="138"/>
        <v xml:space="preserve">2360317618  </v>
      </c>
      <c r="O7094">
        <v>230424</v>
      </c>
    </row>
    <row r="7095" spans="1:15" x14ac:dyDescent="0.25">
      <c r="A7095" t="s">
        <v>16</v>
      </c>
      <c r="B7095" t="s">
        <v>3221</v>
      </c>
      <c r="C7095">
        <v>5444</v>
      </c>
      <c r="D7095" t="s">
        <v>428</v>
      </c>
      <c r="E7095" t="s">
        <v>429</v>
      </c>
      <c r="F7095">
        <v>1003.88</v>
      </c>
      <c r="G7095">
        <v>230415</v>
      </c>
      <c r="H7095">
        <v>4520</v>
      </c>
      <c r="I7095" t="s">
        <v>254</v>
      </c>
      <c r="J7095">
        <v>1144.42</v>
      </c>
      <c r="K7095">
        <v>140.54</v>
      </c>
      <c r="L7095">
        <v>14432</v>
      </c>
      <c r="M7095" t="s">
        <v>862</v>
      </c>
      <c r="N7095" t="str">
        <f t="shared" si="138"/>
        <v xml:space="preserve">2360317618  </v>
      </c>
      <c r="O7095">
        <v>230424</v>
      </c>
    </row>
    <row r="7096" spans="1:15" x14ac:dyDescent="0.25">
      <c r="A7096" t="s">
        <v>16</v>
      </c>
      <c r="B7096" t="s">
        <v>3221</v>
      </c>
      <c r="C7096">
        <v>5444</v>
      </c>
      <c r="D7096" t="s">
        <v>428</v>
      </c>
      <c r="E7096" t="s">
        <v>429</v>
      </c>
      <c r="F7096">
        <v>6.46</v>
      </c>
      <c r="G7096">
        <v>230415</v>
      </c>
      <c r="H7096">
        <v>4520</v>
      </c>
      <c r="I7096" t="s">
        <v>254</v>
      </c>
      <c r="J7096">
        <v>8.01</v>
      </c>
      <c r="K7096">
        <v>1.55</v>
      </c>
      <c r="L7096">
        <v>14640</v>
      </c>
      <c r="M7096" t="s">
        <v>229</v>
      </c>
      <c r="N7096" t="str">
        <f t="shared" si="138"/>
        <v xml:space="preserve">2360317618  </v>
      </c>
      <c r="O7096">
        <v>230424</v>
      </c>
    </row>
    <row r="7097" spans="1:15" x14ac:dyDescent="0.25">
      <c r="A7097" t="s">
        <v>16</v>
      </c>
      <c r="B7097" t="s">
        <v>3221</v>
      </c>
      <c r="C7097">
        <v>5444</v>
      </c>
      <c r="D7097" t="s">
        <v>428</v>
      </c>
      <c r="E7097" t="s">
        <v>429</v>
      </c>
      <c r="F7097">
        <v>59.04</v>
      </c>
      <c r="G7097">
        <v>230415</v>
      </c>
      <c r="H7097">
        <v>4520</v>
      </c>
      <c r="I7097" t="s">
        <v>254</v>
      </c>
      <c r="J7097">
        <v>67.31</v>
      </c>
      <c r="K7097">
        <v>8.27</v>
      </c>
      <c r="L7097">
        <v>14640</v>
      </c>
      <c r="M7097" t="s">
        <v>229</v>
      </c>
      <c r="N7097" t="str">
        <f t="shared" si="138"/>
        <v xml:space="preserve">2360317618  </v>
      </c>
      <c r="O7097">
        <v>230424</v>
      </c>
    </row>
    <row r="7098" spans="1:15" x14ac:dyDescent="0.25">
      <c r="A7098" t="s">
        <v>16</v>
      </c>
      <c r="B7098" t="s">
        <v>3221</v>
      </c>
      <c r="C7098">
        <v>5444</v>
      </c>
      <c r="D7098" t="s">
        <v>428</v>
      </c>
      <c r="E7098" t="s">
        <v>429</v>
      </c>
      <c r="F7098">
        <v>25.84</v>
      </c>
      <c r="G7098">
        <v>230415</v>
      </c>
      <c r="H7098">
        <v>4520</v>
      </c>
      <c r="I7098" t="s">
        <v>254</v>
      </c>
      <c r="J7098">
        <v>32.04</v>
      </c>
      <c r="K7098">
        <v>6.2</v>
      </c>
      <c r="L7098">
        <v>14642</v>
      </c>
      <c r="M7098" t="s">
        <v>863</v>
      </c>
      <c r="N7098" t="str">
        <f t="shared" si="138"/>
        <v xml:space="preserve">2360317618  </v>
      </c>
      <c r="O7098">
        <v>230424</v>
      </c>
    </row>
    <row r="7099" spans="1:15" x14ac:dyDescent="0.25">
      <c r="A7099" t="s">
        <v>16</v>
      </c>
      <c r="B7099" t="s">
        <v>3221</v>
      </c>
      <c r="C7099">
        <v>5444</v>
      </c>
      <c r="D7099" t="s">
        <v>428</v>
      </c>
      <c r="E7099" t="s">
        <v>429</v>
      </c>
      <c r="F7099">
        <v>236.21</v>
      </c>
      <c r="G7099">
        <v>230415</v>
      </c>
      <c r="H7099">
        <v>4520</v>
      </c>
      <c r="I7099" t="s">
        <v>254</v>
      </c>
      <c r="J7099">
        <v>269.27999999999997</v>
      </c>
      <c r="K7099">
        <v>33.07</v>
      </c>
      <c r="L7099">
        <v>14642</v>
      </c>
      <c r="M7099" t="s">
        <v>863</v>
      </c>
      <c r="N7099" t="str">
        <f t="shared" si="138"/>
        <v xml:space="preserve">2360317618  </v>
      </c>
      <c r="O7099">
        <v>230424</v>
      </c>
    </row>
    <row r="7100" spans="1:15" x14ac:dyDescent="0.25">
      <c r="A7100" t="s">
        <v>16</v>
      </c>
      <c r="B7100" t="s">
        <v>3221</v>
      </c>
      <c r="C7100">
        <v>5444</v>
      </c>
      <c r="D7100" t="s">
        <v>428</v>
      </c>
      <c r="E7100" t="s">
        <v>429</v>
      </c>
      <c r="F7100">
        <v>471.5</v>
      </c>
      <c r="G7100">
        <v>230415</v>
      </c>
      <c r="H7100">
        <v>4520</v>
      </c>
      <c r="I7100" t="s">
        <v>254</v>
      </c>
      <c r="J7100">
        <v>584.66</v>
      </c>
      <c r="K7100">
        <v>113.16</v>
      </c>
      <c r="L7100">
        <v>14912</v>
      </c>
      <c r="M7100" t="s">
        <v>230</v>
      </c>
      <c r="N7100" t="str">
        <f t="shared" si="138"/>
        <v xml:space="preserve">2360317618  </v>
      </c>
      <c r="O7100">
        <v>230424</v>
      </c>
    </row>
    <row r="7101" spans="1:15" x14ac:dyDescent="0.25">
      <c r="A7101" t="s">
        <v>16</v>
      </c>
      <c r="B7101" t="s">
        <v>3221</v>
      </c>
      <c r="C7101">
        <v>5444</v>
      </c>
      <c r="D7101" t="s">
        <v>428</v>
      </c>
      <c r="E7101" t="s">
        <v>429</v>
      </c>
      <c r="F7101">
        <v>4310.76</v>
      </c>
      <c r="G7101">
        <v>230415</v>
      </c>
      <c r="H7101">
        <v>4520</v>
      </c>
      <c r="I7101" t="s">
        <v>254</v>
      </c>
      <c r="J7101">
        <v>4914.2700000000004</v>
      </c>
      <c r="K7101">
        <v>603.51</v>
      </c>
      <c r="L7101">
        <v>14912</v>
      </c>
      <c r="M7101" t="s">
        <v>230</v>
      </c>
      <c r="N7101" t="str">
        <f t="shared" si="138"/>
        <v xml:space="preserve">2360317618  </v>
      </c>
      <c r="O7101">
        <v>230424</v>
      </c>
    </row>
    <row r="7102" spans="1:15" x14ac:dyDescent="0.25">
      <c r="A7102" t="s">
        <v>16</v>
      </c>
      <c r="B7102" t="s">
        <v>3221</v>
      </c>
      <c r="C7102">
        <v>5485</v>
      </c>
      <c r="D7102" t="s">
        <v>428</v>
      </c>
      <c r="E7102" t="s">
        <v>429</v>
      </c>
      <c r="F7102">
        <v>2481.39</v>
      </c>
      <c r="G7102">
        <v>230415</v>
      </c>
      <c r="H7102">
        <v>4520</v>
      </c>
      <c r="I7102" t="s">
        <v>254</v>
      </c>
      <c r="J7102">
        <v>2828.78</v>
      </c>
      <c r="K7102">
        <v>347.39</v>
      </c>
      <c r="L7102">
        <v>69113</v>
      </c>
      <c r="M7102" t="s">
        <v>282</v>
      </c>
      <c r="N7102" t="str">
        <f>"2360317613  "</f>
        <v xml:space="preserve">2360317613  </v>
      </c>
      <c r="O7102">
        <v>230425</v>
      </c>
    </row>
    <row r="7103" spans="1:15" x14ac:dyDescent="0.25">
      <c r="A7103" t="s">
        <v>16</v>
      </c>
      <c r="B7103" t="s">
        <v>3221</v>
      </c>
      <c r="C7103">
        <v>5485</v>
      </c>
      <c r="D7103" t="s">
        <v>428</v>
      </c>
      <c r="E7103" t="s">
        <v>429</v>
      </c>
      <c r="F7103">
        <v>291.93</v>
      </c>
      <c r="G7103">
        <v>230415</v>
      </c>
      <c r="H7103">
        <v>4520</v>
      </c>
      <c r="I7103" t="s">
        <v>254</v>
      </c>
      <c r="J7103">
        <v>332.8</v>
      </c>
      <c r="K7103">
        <v>40.869999999999997</v>
      </c>
      <c r="L7103">
        <v>69802</v>
      </c>
      <c r="M7103" t="s">
        <v>283</v>
      </c>
      <c r="N7103" t="str">
        <f>"2360317613  "</f>
        <v xml:space="preserve">2360317613  </v>
      </c>
      <c r="O7103">
        <v>230425</v>
      </c>
    </row>
    <row r="7104" spans="1:15" x14ac:dyDescent="0.25">
      <c r="A7104" t="s">
        <v>16</v>
      </c>
      <c r="B7104" t="s">
        <v>3221</v>
      </c>
      <c r="C7104">
        <v>5485</v>
      </c>
      <c r="D7104" t="s">
        <v>428</v>
      </c>
      <c r="E7104" t="s">
        <v>429</v>
      </c>
      <c r="F7104">
        <v>145.96</v>
      </c>
      <c r="G7104">
        <v>230415</v>
      </c>
      <c r="H7104">
        <v>4520</v>
      </c>
      <c r="I7104" t="s">
        <v>254</v>
      </c>
      <c r="J7104">
        <v>166.4</v>
      </c>
      <c r="K7104">
        <v>20.440000000000001</v>
      </c>
      <c r="L7104">
        <v>69804</v>
      </c>
      <c r="M7104" t="s">
        <v>284</v>
      </c>
      <c r="N7104" t="str">
        <f>"2360317613  "</f>
        <v xml:space="preserve">2360317613  </v>
      </c>
      <c r="O7104">
        <v>230425</v>
      </c>
    </row>
    <row r="7105" spans="1:15" x14ac:dyDescent="0.25">
      <c r="A7105" t="s">
        <v>16</v>
      </c>
      <c r="B7105" t="s">
        <v>3221</v>
      </c>
      <c r="C7105">
        <v>5486</v>
      </c>
      <c r="D7105" t="s">
        <v>428</v>
      </c>
      <c r="E7105" t="s">
        <v>429</v>
      </c>
      <c r="F7105">
        <v>-10</v>
      </c>
      <c r="G7105">
        <v>230420</v>
      </c>
      <c r="H7105">
        <v>4520</v>
      </c>
      <c r="I7105" t="s">
        <v>254</v>
      </c>
      <c r="J7105">
        <v>-12.4</v>
      </c>
      <c r="K7105">
        <v>-2.4</v>
      </c>
      <c r="L7105">
        <v>17915</v>
      </c>
      <c r="M7105" t="s">
        <v>572</v>
      </c>
      <c r="N7105" t="str">
        <f>"2360330075  "</f>
        <v xml:space="preserve">2360330075  </v>
      </c>
      <c r="O7105">
        <v>230425</v>
      </c>
    </row>
    <row r="7106" spans="1:15" x14ac:dyDescent="0.25">
      <c r="A7106" t="s">
        <v>16</v>
      </c>
      <c r="B7106" t="s">
        <v>3221</v>
      </c>
      <c r="C7106">
        <v>5538</v>
      </c>
      <c r="D7106" t="s">
        <v>428</v>
      </c>
      <c r="E7106" t="s">
        <v>429</v>
      </c>
      <c r="F7106">
        <v>2178.39</v>
      </c>
      <c r="G7106">
        <v>230415</v>
      </c>
      <c r="H7106">
        <v>4520</v>
      </c>
      <c r="I7106" t="s">
        <v>254</v>
      </c>
      <c r="J7106">
        <v>2483.36</v>
      </c>
      <c r="K7106">
        <v>304.97000000000003</v>
      </c>
      <c r="L7106">
        <v>69112</v>
      </c>
      <c r="M7106" t="s">
        <v>313</v>
      </c>
      <c r="N7106" t="str">
        <f>"2360317620  "</f>
        <v xml:space="preserve">2360317620  </v>
      </c>
      <c r="O7106">
        <v>230426</v>
      </c>
    </row>
    <row r="7107" spans="1:15" x14ac:dyDescent="0.25">
      <c r="A7107" t="s">
        <v>16</v>
      </c>
      <c r="B7107" t="s">
        <v>3221</v>
      </c>
      <c r="C7107">
        <v>5538</v>
      </c>
      <c r="D7107" t="s">
        <v>428</v>
      </c>
      <c r="E7107" t="s">
        <v>429</v>
      </c>
      <c r="F7107">
        <v>121.02</v>
      </c>
      <c r="G7107">
        <v>230415</v>
      </c>
      <c r="H7107">
        <v>4520</v>
      </c>
      <c r="I7107" t="s">
        <v>254</v>
      </c>
      <c r="J7107">
        <v>137.96</v>
      </c>
      <c r="K7107">
        <v>16.940000000000001</v>
      </c>
      <c r="L7107">
        <v>69810</v>
      </c>
      <c r="M7107" t="s">
        <v>314</v>
      </c>
      <c r="N7107" t="str">
        <f>"2360317620  "</f>
        <v xml:space="preserve">2360317620  </v>
      </c>
      <c r="O7107">
        <v>230426</v>
      </c>
    </row>
    <row r="7108" spans="1:15" x14ac:dyDescent="0.25">
      <c r="A7108" t="s">
        <v>16</v>
      </c>
      <c r="B7108" t="s">
        <v>3221</v>
      </c>
      <c r="C7108">
        <v>5538</v>
      </c>
      <c r="D7108" t="s">
        <v>428</v>
      </c>
      <c r="E7108" t="s">
        <v>429</v>
      </c>
      <c r="F7108">
        <v>121.03</v>
      </c>
      <c r="G7108">
        <v>230415</v>
      </c>
      <c r="H7108">
        <v>4520</v>
      </c>
      <c r="I7108" t="s">
        <v>254</v>
      </c>
      <c r="J7108">
        <v>137.97</v>
      </c>
      <c r="K7108">
        <v>16.940000000000001</v>
      </c>
      <c r="L7108">
        <v>69811</v>
      </c>
      <c r="M7108" t="s">
        <v>315</v>
      </c>
      <c r="N7108" t="str">
        <f>"2360317620  "</f>
        <v xml:space="preserve">2360317620  </v>
      </c>
      <c r="O7108">
        <v>230426</v>
      </c>
    </row>
    <row r="7109" spans="1:15" x14ac:dyDescent="0.25">
      <c r="A7109" t="s">
        <v>16</v>
      </c>
      <c r="B7109" t="s">
        <v>3221</v>
      </c>
      <c r="C7109">
        <v>5549</v>
      </c>
      <c r="D7109" t="s">
        <v>428</v>
      </c>
      <c r="E7109" t="s">
        <v>429</v>
      </c>
      <c r="F7109">
        <v>-21.52</v>
      </c>
      <c r="G7109">
        <v>230420</v>
      </c>
      <c r="H7109">
        <v>4520</v>
      </c>
      <c r="I7109" t="s">
        <v>254</v>
      </c>
      <c r="J7109">
        <v>-24.53</v>
      </c>
      <c r="K7109">
        <v>-3.01</v>
      </c>
      <c r="L7109">
        <v>17913</v>
      </c>
      <c r="M7109" t="s">
        <v>431</v>
      </c>
      <c r="N7109" t="str">
        <f>"2360330076  "</f>
        <v xml:space="preserve">2360330076  </v>
      </c>
      <c r="O7109">
        <v>230426</v>
      </c>
    </row>
    <row r="7110" spans="1:15" x14ac:dyDescent="0.25">
      <c r="A7110" t="s">
        <v>16</v>
      </c>
      <c r="B7110" t="s">
        <v>3221</v>
      </c>
      <c r="C7110">
        <v>5614</v>
      </c>
      <c r="D7110" t="s">
        <v>428</v>
      </c>
      <c r="E7110" t="s">
        <v>429</v>
      </c>
      <c r="F7110">
        <v>-65.459999999999994</v>
      </c>
      <c r="G7110">
        <v>230420</v>
      </c>
      <c r="H7110">
        <v>4520</v>
      </c>
      <c r="I7110" t="s">
        <v>254</v>
      </c>
      <c r="J7110">
        <v>-74.63</v>
      </c>
      <c r="K7110">
        <v>-9.17</v>
      </c>
      <c r="L7110">
        <v>69113</v>
      </c>
      <c r="M7110" t="s">
        <v>282</v>
      </c>
      <c r="N7110" t="str">
        <f>"2360330074  "</f>
        <v xml:space="preserve">2360330074  </v>
      </c>
      <c r="O7110">
        <v>230428</v>
      </c>
    </row>
    <row r="7111" spans="1:15" x14ac:dyDescent="0.25">
      <c r="A7111" t="s">
        <v>16</v>
      </c>
      <c r="B7111" t="s">
        <v>3221</v>
      </c>
      <c r="C7111">
        <v>5614</v>
      </c>
      <c r="D7111" t="s">
        <v>428</v>
      </c>
      <c r="E7111" t="s">
        <v>429</v>
      </c>
      <c r="F7111">
        <v>-7.7</v>
      </c>
      <c r="G7111">
        <v>230420</v>
      </c>
      <c r="H7111">
        <v>4520</v>
      </c>
      <c r="I7111" t="s">
        <v>254</v>
      </c>
      <c r="J7111">
        <v>-8.7799999999999994</v>
      </c>
      <c r="K7111">
        <v>-1.08</v>
      </c>
      <c r="L7111">
        <v>69802</v>
      </c>
      <c r="M7111" t="s">
        <v>283</v>
      </c>
      <c r="N7111" t="str">
        <f>"2360330074  "</f>
        <v xml:space="preserve">2360330074  </v>
      </c>
      <c r="O7111">
        <v>230428</v>
      </c>
    </row>
    <row r="7112" spans="1:15" x14ac:dyDescent="0.25">
      <c r="A7112" t="s">
        <v>16</v>
      </c>
      <c r="B7112" t="s">
        <v>3221</v>
      </c>
      <c r="C7112">
        <v>5614</v>
      </c>
      <c r="D7112" t="s">
        <v>428</v>
      </c>
      <c r="E7112" t="s">
        <v>429</v>
      </c>
      <c r="F7112">
        <v>-3.85</v>
      </c>
      <c r="G7112">
        <v>230420</v>
      </c>
      <c r="H7112">
        <v>4520</v>
      </c>
      <c r="I7112" t="s">
        <v>254</v>
      </c>
      <c r="J7112">
        <v>-4.3899999999999997</v>
      </c>
      <c r="K7112">
        <v>-0.54</v>
      </c>
      <c r="L7112">
        <v>69804</v>
      </c>
      <c r="M7112" t="s">
        <v>284</v>
      </c>
      <c r="N7112" t="str">
        <f>"2360330074  "</f>
        <v xml:space="preserve">2360330074  </v>
      </c>
      <c r="O7112">
        <v>230428</v>
      </c>
    </row>
    <row r="7113" spans="1:15" x14ac:dyDescent="0.25">
      <c r="A7113" t="s">
        <v>16</v>
      </c>
      <c r="B7113" t="s">
        <v>3221</v>
      </c>
      <c r="C7113">
        <v>5699</v>
      </c>
      <c r="D7113" t="s">
        <v>428</v>
      </c>
      <c r="E7113" t="s">
        <v>429</v>
      </c>
      <c r="F7113">
        <v>-48.87</v>
      </c>
      <c r="G7113">
        <v>230420</v>
      </c>
      <c r="H7113">
        <v>4520</v>
      </c>
      <c r="I7113" t="s">
        <v>254</v>
      </c>
      <c r="J7113">
        <v>-55.71</v>
      </c>
      <c r="K7113">
        <v>-6.84</v>
      </c>
      <c r="L7113">
        <v>14432</v>
      </c>
      <c r="M7113" t="s">
        <v>862</v>
      </c>
      <c r="N7113" t="str">
        <f>"2360330077  "</f>
        <v xml:space="preserve">2360330077  </v>
      </c>
      <c r="O7113">
        <v>230502</v>
      </c>
    </row>
    <row r="7114" spans="1:15" x14ac:dyDescent="0.25">
      <c r="A7114" t="s">
        <v>16</v>
      </c>
      <c r="B7114" t="s">
        <v>3221</v>
      </c>
      <c r="C7114">
        <v>5699</v>
      </c>
      <c r="D7114" t="s">
        <v>428</v>
      </c>
      <c r="E7114" t="s">
        <v>429</v>
      </c>
      <c r="F7114">
        <v>-60</v>
      </c>
      <c r="G7114">
        <v>230420</v>
      </c>
      <c r="H7114">
        <v>4520</v>
      </c>
      <c r="I7114" t="s">
        <v>254</v>
      </c>
      <c r="J7114">
        <v>-74.400000000000006</v>
      </c>
      <c r="K7114">
        <v>-14.4</v>
      </c>
      <c r="L7114">
        <v>14432</v>
      </c>
      <c r="M7114" t="s">
        <v>862</v>
      </c>
      <c r="N7114" t="str">
        <f>"2360330077  "</f>
        <v xml:space="preserve">2360330077  </v>
      </c>
      <c r="O7114">
        <v>230502</v>
      </c>
    </row>
    <row r="7115" spans="1:15" x14ac:dyDescent="0.25">
      <c r="A7115" t="s">
        <v>16</v>
      </c>
      <c r="B7115" t="s">
        <v>3221</v>
      </c>
      <c r="C7115">
        <v>5779</v>
      </c>
      <c r="D7115" t="s">
        <v>428</v>
      </c>
      <c r="E7115" t="s">
        <v>429</v>
      </c>
      <c r="F7115">
        <v>433.97</v>
      </c>
      <c r="G7115">
        <v>230415</v>
      </c>
      <c r="H7115">
        <v>4520</v>
      </c>
      <c r="I7115" t="s">
        <v>254</v>
      </c>
      <c r="J7115">
        <v>494.73</v>
      </c>
      <c r="K7115">
        <v>60.76</v>
      </c>
      <c r="L7115">
        <v>44253</v>
      </c>
      <c r="M7115" t="s">
        <v>1058</v>
      </c>
      <c r="N7115" t="str">
        <f>"2360317619  "</f>
        <v xml:space="preserve">2360317619  </v>
      </c>
      <c r="O7115">
        <v>230502</v>
      </c>
    </row>
    <row r="7116" spans="1:15" x14ac:dyDescent="0.25">
      <c r="A7116" t="s">
        <v>16</v>
      </c>
      <c r="B7116" t="s">
        <v>3221</v>
      </c>
      <c r="C7116">
        <v>5968</v>
      </c>
      <c r="D7116" t="s">
        <v>428</v>
      </c>
      <c r="E7116" t="s">
        <v>429</v>
      </c>
      <c r="F7116">
        <v>1515.74</v>
      </c>
      <c r="G7116">
        <v>230430</v>
      </c>
      <c r="H7116">
        <v>4520</v>
      </c>
      <c r="I7116" t="s">
        <v>254</v>
      </c>
      <c r="J7116">
        <v>1727.94</v>
      </c>
      <c r="K7116">
        <v>212.2</v>
      </c>
      <c r="L7116">
        <v>59114</v>
      </c>
      <c r="M7116" t="s">
        <v>556</v>
      </c>
      <c r="N7116" t="str">
        <f>"2360352002  "</f>
        <v xml:space="preserve">2360352002  </v>
      </c>
      <c r="O7116">
        <v>230504</v>
      </c>
    </row>
    <row r="7117" spans="1:15" x14ac:dyDescent="0.25">
      <c r="A7117" t="s">
        <v>16</v>
      </c>
      <c r="B7117" t="s">
        <v>3221</v>
      </c>
      <c r="C7117">
        <v>5969</v>
      </c>
      <c r="D7117" t="s">
        <v>428</v>
      </c>
      <c r="E7117" t="s">
        <v>429</v>
      </c>
      <c r="F7117">
        <v>2323.61</v>
      </c>
      <c r="G7117">
        <v>230430</v>
      </c>
      <c r="H7117">
        <v>4520</v>
      </c>
      <c r="I7117" t="s">
        <v>254</v>
      </c>
      <c r="J7117">
        <v>2648.92</v>
      </c>
      <c r="K7117">
        <v>325.31</v>
      </c>
      <c r="L7117">
        <v>59113</v>
      </c>
      <c r="M7117" t="s">
        <v>235</v>
      </c>
      <c r="N7117" t="str">
        <f>"2360352004  "</f>
        <v xml:space="preserve">2360352004  </v>
      </c>
      <c r="O7117">
        <v>230504</v>
      </c>
    </row>
    <row r="7118" spans="1:15" x14ac:dyDescent="0.25">
      <c r="A7118" t="s">
        <v>16</v>
      </c>
      <c r="B7118" t="s">
        <v>3221</v>
      </c>
      <c r="C7118">
        <v>5969</v>
      </c>
      <c r="D7118" t="s">
        <v>428</v>
      </c>
      <c r="E7118" t="s">
        <v>429</v>
      </c>
      <c r="F7118">
        <v>410.05</v>
      </c>
      <c r="G7118">
        <v>230430</v>
      </c>
      <c r="H7118">
        <v>4520</v>
      </c>
      <c r="I7118" t="s">
        <v>254</v>
      </c>
      <c r="J7118">
        <v>467.46</v>
      </c>
      <c r="K7118">
        <v>57.41</v>
      </c>
      <c r="L7118">
        <v>59803</v>
      </c>
      <c r="M7118" t="s">
        <v>533</v>
      </c>
      <c r="N7118" t="str">
        <f>"2360352004  "</f>
        <v xml:space="preserve">2360352004  </v>
      </c>
      <c r="O7118">
        <v>230504</v>
      </c>
    </row>
    <row r="7119" spans="1:15" x14ac:dyDescent="0.25">
      <c r="A7119" t="s">
        <v>16</v>
      </c>
      <c r="B7119" t="s">
        <v>3221</v>
      </c>
      <c r="C7119">
        <v>6156</v>
      </c>
      <c r="D7119" t="s">
        <v>428</v>
      </c>
      <c r="E7119" t="s">
        <v>429</v>
      </c>
      <c r="F7119">
        <v>4961.04</v>
      </c>
      <c r="G7119">
        <v>230430</v>
      </c>
      <c r="H7119">
        <v>4520</v>
      </c>
      <c r="I7119" t="s">
        <v>254</v>
      </c>
      <c r="J7119">
        <v>5655.58</v>
      </c>
      <c r="K7119">
        <v>694.54</v>
      </c>
      <c r="L7119">
        <v>54422</v>
      </c>
      <c r="M7119" t="s">
        <v>234</v>
      </c>
      <c r="N7119" t="str">
        <f>"2360352003  "</f>
        <v xml:space="preserve">2360352003  </v>
      </c>
      <c r="O7119">
        <v>230508</v>
      </c>
    </row>
    <row r="7120" spans="1:15" x14ac:dyDescent="0.25">
      <c r="A7120" t="s">
        <v>16</v>
      </c>
      <c r="B7120" t="s">
        <v>3221</v>
      </c>
      <c r="C7120">
        <v>6157</v>
      </c>
      <c r="D7120" t="s">
        <v>428</v>
      </c>
      <c r="E7120" t="s">
        <v>429</v>
      </c>
      <c r="F7120">
        <v>1471.12</v>
      </c>
      <c r="G7120">
        <v>230430</v>
      </c>
      <c r="H7120">
        <v>4520</v>
      </c>
      <c r="I7120" t="s">
        <v>254</v>
      </c>
      <c r="J7120">
        <v>1677.08</v>
      </c>
      <c r="K7120">
        <v>205.96</v>
      </c>
      <c r="L7120">
        <v>49112</v>
      </c>
      <c r="M7120" t="s">
        <v>233</v>
      </c>
      <c r="N7120" t="str">
        <f>"2360352006  "</f>
        <v xml:space="preserve">2360352006  </v>
      </c>
      <c r="O7120">
        <v>230508</v>
      </c>
    </row>
    <row r="7121" spans="1:15" x14ac:dyDescent="0.25">
      <c r="A7121" t="s">
        <v>16</v>
      </c>
      <c r="B7121" t="s">
        <v>3221</v>
      </c>
      <c r="C7121">
        <v>6158</v>
      </c>
      <c r="D7121" t="s">
        <v>428</v>
      </c>
      <c r="E7121" t="s">
        <v>429</v>
      </c>
      <c r="F7121">
        <v>20.83</v>
      </c>
      <c r="G7121">
        <v>230430</v>
      </c>
      <c r="H7121">
        <v>4520</v>
      </c>
      <c r="I7121" t="s">
        <v>254</v>
      </c>
      <c r="J7121">
        <v>25.83</v>
      </c>
      <c r="K7121">
        <v>5</v>
      </c>
      <c r="L7121">
        <v>16442</v>
      </c>
      <c r="M7121" t="s">
        <v>430</v>
      </c>
      <c r="N7121" t="str">
        <f t="shared" ref="N7121:N7127" si="139">"2360352008  "</f>
        <v xml:space="preserve">2360352008  </v>
      </c>
      <c r="O7121">
        <v>230508</v>
      </c>
    </row>
    <row r="7122" spans="1:15" x14ac:dyDescent="0.25">
      <c r="A7122" t="s">
        <v>16</v>
      </c>
      <c r="B7122" t="s">
        <v>3221</v>
      </c>
      <c r="C7122">
        <v>6158</v>
      </c>
      <c r="D7122" t="s">
        <v>428</v>
      </c>
      <c r="E7122" t="s">
        <v>429</v>
      </c>
      <c r="F7122">
        <v>194.99</v>
      </c>
      <c r="G7122">
        <v>230430</v>
      </c>
      <c r="H7122">
        <v>4520</v>
      </c>
      <c r="I7122" t="s">
        <v>254</v>
      </c>
      <c r="J7122">
        <v>222.29</v>
      </c>
      <c r="K7122">
        <v>27.3</v>
      </c>
      <c r="L7122">
        <v>16442</v>
      </c>
      <c r="M7122" t="s">
        <v>430</v>
      </c>
      <c r="N7122" t="str">
        <f t="shared" si="139"/>
        <v xml:space="preserve">2360352008  </v>
      </c>
      <c r="O7122">
        <v>230508</v>
      </c>
    </row>
    <row r="7123" spans="1:15" x14ac:dyDescent="0.25">
      <c r="A7123" t="s">
        <v>16</v>
      </c>
      <c r="B7123" t="s">
        <v>3221</v>
      </c>
      <c r="C7123">
        <v>6158</v>
      </c>
      <c r="D7123" t="s">
        <v>428</v>
      </c>
      <c r="E7123" t="s">
        <v>429</v>
      </c>
      <c r="F7123">
        <v>16.649999999999999</v>
      </c>
      <c r="G7123">
        <v>230430</v>
      </c>
      <c r="H7123">
        <v>4520</v>
      </c>
      <c r="I7123" t="s">
        <v>254</v>
      </c>
      <c r="J7123">
        <v>20.65</v>
      </c>
      <c r="K7123">
        <v>4</v>
      </c>
      <c r="L7123">
        <v>17913</v>
      </c>
      <c r="M7123" t="s">
        <v>431</v>
      </c>
      <c r="N7123" t="str">
        <f t="shared" si="139"/>
        <v xml:space="preserve">2360352008  </v>
      </c>
      <c r="O7123">
        <v>230508</v>
      </c>
    </row>
    <row r="7124" spans="1:15" x14ac:dyDescent="0.25">
      <c r="A7124" t="s">
        <v>16</v>
      </c>
      <c r="B7124" t="s">
        <v>3221</v>
      </c>
      <c r="C7124">
        <v>6158</v>
      </c>
      <c r="D7124" t="s">
        <v>428</v>
      </c>
      <c r="E7124" t="s">
        <v>429</v>
      </c>
      <c r="F7124">
        <v>3716.02</v>
      </c>
      <c r="G7124">
        <v>230430</v>
      </c>
      <c r="H7124">
        <v>4520</v>
      </c>
      <c r="I7124" t="s">
        <v>254</v>
      </c>
      <c r="J7124">
        <v>4236.26</v>
      </c>
      <c r="K7124">
        <v>520.24</v>
      </c>
      <c r="L7124">
        <v>17913</v>
      </c>
      <c r="M7124" t="s">
        <v>431</v>
      </c>
      <c r="N7124" t="str">
        <f t="shared" si="139"/>
        <v xml:space="preserve">2360352008  </v>
      </c>
      <c r="O7124">
        <v>230508</v>
      </c>
    </row>
    <row r="7125" spans="1:15" x14ac:dyDescent="0.25">
      <c r="A7125" t="s">
        <v>16</v>
      </c>
      <c r="B7125" t="s">
        <v>3221</v>
      </c>
      <c r="C7125">
        <v>6158</v>
      </c>
      <c r="D7125" t="s">
        <v>428</v>
      </c>
      <c r="E7125" t="s">
        <v>429</v>
      </c>
      <c r="F7125">
        <v>1.85</v>
      </c>
      <c r="G7125">
        <v>230430</v>
      </c>
      <c r="H7125">
        <v>4520</v>
      </c>
      <c r="I7125" t="s">
        <v>254</v>
      </c>
      <c r="J7125">
        <v>2.29</v>
      </c>
      <c r="K7125">
        <v>0.44</v>
      </c>
      <c r="L7125">
        <v>17982</v>
      </c>
      <c r="M7125" t="s">
        <v>432</v>
      </c>
      <c r="N7125" t="str">
        <f t="shared" si="139"/>
        <v xml:space="preserve">2360352008  </v>
      </c>
      <c r="O7125">
        <v>230508</v>
      </c>
    </row>
    <row r="7126" spans="1:15" x14ac:dyDescent="0.25">
      <c r="A7126" t="s">
        <v>16</v>
      </c>
      <c r="B7126" t="s">
        <v>3221</v>
      </c>
      <c r="C7126">
        <v>6158</v>
      </c>
      <c r="D7126" t="s">
        <v>428</v>
      </c>
      <c r="E7126" t="s">
        <v>429</v>
      </c>
      <c r="F7126">
        <v>412.89</v>
      </c>
      <c r="G7126">
        <v>230430</v>
      </c>
      <c r="H7126">
        <v>4520</v>
      </c>
      <c r="I7126" t="s">
        <v>254</v>
      </c>
      <c r="J7126">
        <v>470.7</v>
      </c>
      <c r="K7126">
        <v>57.81</v>
      </c>
      <c r="L7126">
        <v>17982</v>
      </c>
      <c r="M7126" t="s">
        <v>432</v>
      </c>
      <c r="N7126" t="str">
        <f t="shared" si="139"/>
        <v xml:space="preserve">2360352008  </v>
      </c>
      <c r="O7126">
        <v>230508</v>
      </c>
    </row>
    <row r="7127" spans="1:15" x14ac:dyDescent="0.25">
      <c r="A7127" t="s">
        <v>16</v>
      </c>
      <c r="B7127" t="s">
        <v>3221</v>
      </c>
      <c r="C7127">
        <v>6158</v>
      </c>
      <c r="D7127" t="s">
        <v>428</v>
      </c>
      <c r="E7127" t="s">
        <v>429</v>
      </c>
      <c r="F7127">
        <v>131.58000000000001</v>
      </c>
      <c r="G7127">
        <v>230430</v>
      </c>
      <c r="H7127">
        <v>4520</v>
      </c>
      <c r="I7127" t="s">
        <v>254</v>
      </c>
      <c r="J7127">
        <v>150</v>
      </c>
      <c r="K7127">
        <v>18.420000000000002</v>
      </c>
      <c r="L7127">
        <v>17984</v>
      </c>
      <c r="M7127" t="s">
        <v>950</v>
      </c>
      <c r="N7127" t="str">
        <f t="shared" si="139"/>
        <v xml:space="preserve">2360352008  </v>
      </c>
      <c r="O7127">
        <v>230508</v>
      </c>
    </row>
    <row r="7128" spans="1:15" x14ac:dyDescent="0.25">
      <c r="A7128" t="s">
        <v>16</v>
      </c>
      <c r="B7128" t="s">
        <v>3221</v>
      </c>
      <c r="C7128">
        <v>6163</v>
      </c>
      <c r="D7128" t="s">
        <v>428</v>
      </c>
      <c r="E7128" t="s">
        <v>429</v>
      </c>
      <c r="F7128">
        <v>80.209999999999994</v>
      </c>
      <c r="G7128">
        <v>230430</v>
      </c>
      <c r="H7128">
        <v>4520</v>
      </c>
      <c r="I7128" t="s">
        <v>254</v>
      </c>
      <c r="J7128">
        <v>99.46</v>
      </c>
      <c r="K7128">
        <v>19.25</v>
      </c>
      <c r="L7128">
        <v>17915</v>
      </c>
      <c r="M7128" t="s">
        <v>572</v>
      </c>
      <c r="N7128" t="str">
        <f>"2360352007  "</f>
        <v xml:space="preserve">2360352007  </v>
      </c>
      <c r="O7128">
        <v>230508</v>
      </c>
    </row>
    <row r="7129" spans="1:15" x14ac:dyDescent="0.25">
      <c r="A7129" t="s">
        <v>16</v>
      </c>
      <c r="B7129" t="s">
        <v>3221</v>
      </c>
      <c r="C7129">
        <v>6163</v>
      </c>
      <c r="D7129" t="s">
        <v>428</v>
      </c>
      <c r="E7129" t="s">
        <v>429</v>
      </c>
      <c r="F7129">
        <v>1438.21</v>
      </c>
      <c r="G7129">
        <v>230430</v>
      </c>
      <c r="H7129">
        <v>4520</v>
      </c>
      <c r="I7129" t="s">
        <v>254</v>
      </c>
      <c r="J7129">
        <v>1639.56</v>
      </c>
      <c r="K7129">
        <v>201.35</v>
      </c>
      <c r="L7129">
        <v>17915</v>
      </c>
      <c r="M7129" t="s">
        <v>572</v>
      </c>
      <c r="N7129" t="str">
        <f>"2360352007  "</f>
        <v xml:space="preserve">2360352007  </v>
      </c>
      <c r="O7129">
        <v>230508</v>
      </c>
    </row>
    <row r="7130" spans="1:15" x14ac:dyDescent="0.25">
      <c r="A7130" t="s">
        <v>16</v>
      </c>
      <c r="B7130" t="s">
        <v>3221</v>
      </c>
      <c r="C7130">
        <v>6163</v>
      </c>
      <c r="D7130" t="s">
        <v>428</v>
      </c>
      <c r="E7130" t="s">
        <v>429</v>
      </c>
      <c r="F7130">
        <v>8.8800000000000008</v>
      </c>
      <c r="G7130">
        <v>230430</v>
      </c>
      <c r="H7130">
        <v>4520</v>
      </c>
      <c r="I7130" t="s">
        <v>254</v>
      </c>
      <c r="J7130">
        <v>11.01</v>
      </c>
      <c r="K7130">
        <v>2.13</v>
      </c>
      <c r="L7130">
        <v>17982</v>
      </c>
      <c r="M7130" t="s">
        <v>432</v>
      </c>
      <c r="N7130" t="str">
        <f>"2360352007  "</f>
        <v xml:space="preserve">2360352007  </v>
      </c>
      <c r="O7130">
        <v>230508</v>
      </c>
    </row>
    <row r="7131" spans="1:15" x14ac:dyDescent="0.25">
      <c r="A7131" t="s">
        <v>16</v>
      </c>
      <c r="B7131" t="s">
        <v>3221</v>
      </c>
      <c r="C7131">
        <v>6163</v>
      </c>
      <c r="D7131" t="s">
        <v>428</v>
      </c>
      <c r="E7131" t="s">
        <v>429</v>
      </c>
      <c r="F7131">
        <v>159.82</v>
      </c>
      <c r="G7131">
        <v>230430</v>
      </c>
      <c r="H7131">
        <v>4520</v>
      </c>
      <c r="I7131" t="s">
        <v>254</v>
      </c>
      <c r="J7131">
        <v>182.2</v>
      </c>
      <c r="K7131">
        <v>22.38</v>
      </c>
      <c r="L7131">
        <v>17982</v>
      </c>
      <c r="M7131" t="s">
        <v>432</v>
      </c>
      <c r="N7131" t="str">
        <f>"2360352007  "</f>
        <v xml:space="preserve">2360352007  </v>
      </c>
      <c r="O7131">
        <v>230508</v>
      </c>
    </row>
    <row r="7132" spans="1:15" x14ac:dyDescent="0.25">
      <c r="A7132" t="s">
        <v>16</v>
      </c>
      <c r="B7132" t="s">
        <v>3221</v>
      </c>
      <c r="C7132">
        <v>6164</v>
      </c>
      <c r="D7132" t="s">
        <v>428</v>
      </c>
      <c r="E7132" t="s">
        <v>429</v>
      </c>
      <c r="F7132">
        <v>6.44</v>
      </c>
      <c r="G7132">
        <v>230430</v>
      </c>
      <c r="H7132">
        <v>4520</v>
      </c>
      <c r="I7132" t="s">
        <v>254</v>
      </c>
      <c r="J7132">
        <v>7.98</v>
      </c>
      <c r="K7132">
        <v>1.54</v>
      </c>
      <c r="L7132">
        <v>14422</v>
      </c>
      <c r="M7132" t="s">
        <v>228</v>
      </c>
      <c r="N7132" t="str">
        <f t="shared" ref="N7132:N7143" si="140">"2360352009  "</f>
        <v xml:space="preserve">2360352009  </v>
      </c>
      <c r="O7132">
        <v>230508</v>
      </c>
    </row>
    <row r="7133" spans="1:15" x14ac:dyDescent="0.25">
      <c r="A7133" t="s">
        <v>16</v>
      </c>
      <c r="B7133" t="s">
        <v>3221</v>
      </c>
      <c r="C7133">
        <v>6164</v>
      </c>
      <c r="D7133" t="s">
        <v>428</v>
      </c>
      <c r="E7133" t="s">
        <v>429</v>
      </c>
      <c r="F7133">
        <v>55.25</v>
      </c>
      <c r="G7133">
        <v>230430</v>
      </c>
      <c r="H7133">
        <v>4520</v>
      </c>
      <c r="I7133" t="s">
        <v>254</v>
      </c>
      <c r="J7133">
        <v>62.98</v>
      </c>
      <c r="K7133">
        <v>7.73</v>
      </c>
      <c r="L7133">
        <v>14422</v>
      </c>
      <c r="M7133" t="s">
        <v>228</v>
      </c>
      <c r="N7133" t="str">
        <f t="shared" si="140"/>
        <v xml:space="preserve">2360352009  </v>
      </c>
      <c r="O7133">
        <v>230508</v>
      </c>
    </row>
    <row r="7134" spans="1:15" x14ac:dyDescent="0.25">
      <c r="A7134" t="s">
        <v>16</v>
      </c>
      <c r="B7134" t="s">
        <v>3221</v>
      </c>
      <c r="C7134">
        <v>6164</v>
      </c>
      <c r="D7134" t="s">
        <v>428</v>
      </c>
      <c r="E7134" t="s">
        <v>429</v>
      </c>
      <c r="F7134">
        <v>25.74</v>
      </c>
      <c r="G7134">
        <v>230430</v>
      </c>
      <c r="H7134">
        <v>4520</v>
      </c>
      <c r="I7134" t="s">
        <v>254</v>
      </c>
      <c r="J7134">
        <v>31.92</v>
      </c>
      <c r="K7134">
        <v>6.18</v>
      </c>
      <c r="L7134">
        <v>14431</v>
      </c>
      <c r="M7134" t="s">
        <v>861</v>
      </c>
      <c r="N7134" t="str">
        <f t="shared" si="140"/>
        <v xml:space="preserve">2360352009  </v>
      </c>
      <c r="O7134">
        <v>230508</v>
      </c>
    </row>
    <row r="7135" spans="1:15" x14ac:dyDescent="0.25">
      <c r="A7135" t="s">
        <v>16</v>
      </c>
      <c r="B7135" t="s">
        <v>3221</v>
      </c>
      <c r="C7135">
        <v>6164</v>
      </c>
      <c r="D7135" t="s">
        <v>428</v>
      </c>
      <c r="E7135" t="s">
        <v>429</v>
      </c>
      <c r="F7135">
        <v>220.98</v>
      </c>
      <c r="G7135">
        <v>230430</v>
      </c>
      <c r="H7135">
        <v>4520</v>
      </c>
      <c r="I7135" t="s">
        <v>254</v>
      </c>
      <c r="J7135">
        <v>251.92</v>
      </c>
      <c r="K7135">
        <v>30.94</v>
      </c>
      <c r="L7135">
        <v>14431</v>
      </c>
      <c r="M7135" t="s">
        <v>861</v>
      </c>
      <c r="N7135" t="str">
        <f t="shared" si="140"/>
        <v xml:space="preserve">2360352009  </v>
      </c>
      <c r="O7135">
        <v>230508</v>
      </c>
    </row>
    <row r="7136" spans="1:15" x14ac:dyDescent="0.25">
      <c r="A7136" t="s">
        <v>16</v>
      </c>
      <c r="B7136" t="s">
        <v>3221</v>
      </c>
      <c r="C7136">
        <v>6164</v>
      </c>
      <c r="D7136" t="s">
        <v>428</v>
      </c>
      <c r="E7136" t="s">
        <v>429</v>
      </c>
      <c r="F7136">
        <v>109.42</v>
      </c>
      <c r="G7136">
        <v>230430</v>
      </c>
      <c r="H7136">
        <v>4520</v>
      </c>
      <c r="I7136" t="s">
        <v>254</v>
      </c>
      <c r="J7136">
        <v>135.68</v>
      </c>
      <c r="K7136">
        <v>26.26</v>
      </c>
      <c r="L7136">
        <v>14432</v>
      </c>
      <c r="M7136" t="s">
        <v>862</v>
      </c>
      <c r="N7136" t="str">
        <f t="shared" si="140"/>
        <v xml:space="preserve">2360352009  </v>
      </c>
      <c r="O7136">
        <v>230508</v>
      </c>
    </row>
    <row r="7137" spans="1:15" x14ac:dyDescent="0.25">
      <c r="A7137" t="s">
        <v>16</v>
      </c>
      <c r="B7137" t="s">
        <v>3221</v>
      </c>
      <c r="C7137">
        <v>6164</v>
      </c>
      <c r="D7137" t="s">
        <v>428</v>
      </c>
      <c r="E7137" t="s">
        <v>429</v>
      </c>
      <c r="F7137">
        <v>939.18</v>
      </c>
      <c r="G7137">
        <v>230430</v>
      </c>
      <c r="H7137">
        <v>4520</v>
      </c>
      <c r="I7137" t="s">
        <v>254</v>
      </c>
      <c r="J7137">
        <v>1070.67</v>
      </c>
      <c r="K7137">
        <v>131.49</v>
      </c>
      <c r="L7137">
        <v>14432</v>
      </c>
      <c r="M7137" t="s">
        <v>862</v>
      </c>
      <c r="N7137" t="str">
        <f t="shared" si="140"/>
        <v xml:space="preserve">2360352009  </v>
      </c>
      <c r="O7137">
        <v>230508</v>
      </c>
    </row>
    <row r="7138" spans="1:15" x14ac:dyDescent="0.25">
      <c r="A7138" t="s">
        <v>16</v>
      </c>
      <c r="B7138" t="s">
        <v>3221</v>
      </c>
      <c r="C7138">
        <v>6164</v>
      </c>
      <c r="D7138" t="s">
        <v>428</v>
      </c>
      <c r="E7138" t="s">
        <v>429</v>
      </c>
      <c r="F7138">
        <v>6.44</v>
      </c>
      <c r="G7138">
        <v>230430</v>
      </c>
      <c r="H7138">
        <v>4520</v>
      </c>
      <c r="I7138" t="s">
        <v>254</v>
      </c>
      <c r="J7138">
        <v>7.99</v>
      </c>
      <c r="K7138">
        <v>1.55</v>
      </c>
      <c r="L7138">
        <v>14640</v>
      </c>
      <c r="M7138" t="s">
        <v>229</v>
      </c>
      <c r="N7138" t="str">
        <f t="shared" si="140"/>
        <v xml:space="preserve">2360352009  </v>
      </c>
      <c r="O7138">
        <v>230508</v>
      </c>
    </row>
    <row r="7139" spans="1:15" x14ac:dyDescent="0.25">
      <c r="A7139" t="s">
        <v>16</v>
      </c>
      <c r="B7139" t="s">
        <v>3221</v>
      </c>
      <c r="C7139">
        <v>6164</v>
      </c>
      <c r="D7139" t="s">
        <v>428</v>
      </c>
      <c r="E7139" t="s">
        <v>429</v>
      </c>
      <c r="F7139">
        <v>55.25</v>
      </c>
      <c r="G7139">
        <v>230430</v>
      </c>
      <c r="H7139">
        <v>4520</v>
      </c>
      <c r="I7139" t="s">
        <v>254</v>
      </c>
      <c r="J7139">
        <v>62.99</v>
      </c>
      <c r="K7139">
        <v>7.74</v>
      </c>
      <c r="L7139">
        <v>14640</v>
      </c>
      <c r="M7139" t="s">
        <v>229</v>
      </c>
      <c r="N7139" t="str">
        <f t="shared" si="140"/>
        <v xml:space="preserve">2360352009  </v>
      </c>
      <c r="O7139">
        <v>230508</v>
      </c>
    </row>
    <row r="7140" spans="1:15" x14ac:dyDescent="0.25">
      <c r="A7140" t="s">
        <v>16</v>
      </c>
      <c r="B7140" t="s">
        <v>3221</v>
      </c>
      <c r="C7140">
        <v>6164</v>
      </c>
      <c r="D7140" t="s">
        <v>428</v>
      </c>
      <c r="E7140" t="s">
        <v>429</v>
      </c>
      <c r="F7140">
        <v>25.74</v>
      </c>
      <c r="G7140">
        <v>230430</v>
      </c>
      <c r="H7140">
        <v>4520</v>
      </c>
      <c r="I7140" t="s">
        <v>254</v>
      </c>
      <c r="J7140">
        <v>31.92</v>
      </c>
      <c r="K7140">
        <v>6.18</v>
      </c>
      <c r="L7140">
        <v>14642</v>
      </c>
      <c r="M7140" t="s">
        <v>863</v>
      </c>
      <c r="N7140" t="str">
        <f t="shared" si="140"/>
        <v xml:space="preserve">2360352009  </v>
      </c>
      <c r="O7140">
        <v>230508</v>
      </c>
    </row>
    <row r="7141" spans="1:15" x14ac:dyDescent="0.25">
      <c r="A7141" t="s">
        <v>16</v>
      </c>
      <c r="B7141" t="s">
        <v>3221</v>
      </c>
      <c r="C7141">
        <v>6164</v>
      </c>
      <c r="D7141" t="s">
        <v>428</v>
      </c>
      <c r="E7141" t="s">
        <v>429</v>
      </c>
      <c r="F7141">
        <v>220.98</v>
      </c>
      <c r="G7141">
        <v>230430</v>
      </c>
      <c r="H7141">
        <v>4520</v>
      </c>
      <c r="I7141" t="s">
        <v>254</v>
      </c>
      <c r="J7141">
        <v>251.92</v>
      </c>
      <c r="K7141">
        <v>30.94</v>
      </c>
      <c r="L7141">
        <v>14642</v>
      </c>
      <c r="M7141" t="s">
        <v>863</v>
      </c>
      <c r="N7141" t="str">
        <f t="shared" si="140"/>
        <v xml:space="preserve">2360352009  </v>
      </c>
      <c r="O7141">
        <v>230508</v>
      </c>
    </row>
    <row r="7142" spans="1:15" x14ac:dyDescent="0.25">
      <c r="A7142" t="s">
        <v>16</v>
      </c>
      <c r="B7142" t="s">
        <v>3221</v>
      </c>
      <c r="C7142">
        <v>6164</v>
      </c>
      <c r="D7142" t="s">
        <v>428</v>
      </c>
      <c r="E7142" t="s">
        <v>429</v>
      </c>
      <c r="F7142">
        <v>469.85</v>
      </c>
      <c r="G7142">
        <v>230430</v>
      </c>
      <c r="H7142">
        <v>4520</v>
      </c>
      <c r="I7142" t="s">
        <v>254</v>
      </c>
      <c r="J7142">
        <v>582.62</v>
      </c>
      <c r="K7142">
        <v>112.77</v>
      </c>
      <c r="L7142">
        <v>14912</v>
      </c>
      <c r="M7142" t="s">
        <v>230</v>
      </c>
      <c r="N7142" t="str">
        <f t="shared" si="140"/>
        <v xml:space="preserve">2360352009  </v>
      </c>
      <c r="O7142">
        <v>230508</v>
      </c>
    </row>
    <row r="7143" spans="1:15" x14ac:dyDescent="0.25">
      <c r="A7143" t="s">
        <v>16</v>
      </c>
      <c r="B7143" t="s">
        <v>3221</v>
      </c>
      <c r="C7143">
        <v>6164</v>
      </c>
      <c r="D7143" t="s">
        <v>428</v>
      </c>
      <c r="E7143" t="s">
        <v>429</v>
      </c>
      <c r="F7143">
        <v>4032.96</v>
      </c>
      <c r="G7143">
        <v>230430</v>
      </c>
      <c r="H7143">
        <v>4520</v>
      </c>
      <c r="I7143" t="s">
        <v>254</v>
      </c>
      <c r="J7143">
        <v>4597.58</v>
      </c>
      <c r="K7143">
        <v>564.62</v>
      </c>
      <c r="L7143">
        <v>14912</v>
      </c>
      <c r="M7143" t="s">
        <v>230</v>
      </c>
      <c r="N7143" t="str">
        <f t="shared" si="140"/>
        <v xml:space="preserve">2360352009  </v>
      </c>
      <c r="O7143">
        <v>230508</v>
      </c>
    </row>
    <row r="7144" spans="1:15" x14ac:dyDescent="0.25">
      <c r="A7144" t="s">
        <v>16</v>
      </c>
      <c r="B7144" t="s">
        <v>3221</v>
      </c>
      <c r="C7144">
        <v>6245</v>
      </c>
      <c r="D7144" t="s">
        <v>428</v>
      </c>
      <c r="E7144" t="s">
        <v>429</v>
      </c>
      <c r="F7144">
        <v>2331.31</v>
      </c>
      <c r="G7144">
        <v>230430</v>
      </c>
      <c r="H7144">
        <v>4520</v>
      </c>
      <c r="I7144" t="s">
        <v>254</v>
      </c>
      <c r="J7144">
        <v>2657.69</v>
      </c>
      <c r="K7144">
        <v>326.38</v>
      </c>
      <c r="L7144">
        <v>69113</v>
      </c>
      <c r="M7144" t="s">
        <v>282</v>
      </c>
      <c r="N7144" t="str">
        <f>"2360352005  "</f>
        <v xml:space="preserve">2360352005  </v>
      </c>
      <c r="O7144">
        <v>230509</v>
      </c>
    </row>
    <row r="7145" spans="1:15" x14ac:dyDescent="0.25">
      <c r="A7145" t="s">
        <v>16</v>
      </c>
      <c r="B7145" t="s">
        <v>3221</v>
      </c>
      <c r="C7145">
        <v>6245</v>
      </c>
      <c r="D7145" t="s">
        <v>428</v>
      </c>
      <c r="E7145" t="s">
        <v>429</v>
      </c>
      <c r="F7145">
        <v>274.27</v>
      </c>
      <c r="G7145">
        <v>230430</v>
      </c>
      <c r="H7145">
        <v>4520</v>
      </c>
      <c r="I7145" t="s">
        <v>254</v>
      </c>
      <c r="J7145">
        <v>312.67</v>
      </c>
      <c r="K7145">
        <v>38.4</v>
      </c>
      <c r="L7145">
        <v>69802</v>
      </c>
      <c r="M7145" t="s">
        <v>283</v>
      </c>
      <c r="N7145" t="str">
        <f>"2360352005  "</f>
        <v xml:space="preserve">2360352005  </v>
      </c>
      <c r="O7145">
        <v>230509</v>
      </c>
    </row>
    <row r="7146" spans="1:15" x14ac:dyDescent="0.25">
      <c r="A7146" t="s">
        <v>16</v>
      </c>
      <c r="B7146" t="s">
        <v>3221</v>
      </c>
      <c r="C7146">
        <v>6245</v>
      </c>
      <c r="D7146" t="s">
        <v>428</v>
      </c>
      <c r="E7146" t="s">
        <v>429</v>
      </c>
      <c r="F7146">
        <v>137.13</v>
      </c>
      <c r="G7146">
        <v>230430</v>
      </c>
      <c r="H7146">
        <v>4520</v>
      </c>
      <c r="I7146" t="s">
        <v>254</v>
      </c>
      <c r="J7146">
        <v>156.33000000000001</v>
      </c>
      <c r="K7146">
        <v>19.2</v>
      </c>
      <c r="L7146">
        <v>69804</v>
      </c>
      <c r="M7146" t="s">
        <v>284</v>
      </c>
      <c r="N7146" t="str">
        <f>"2360352005  "</f>
        <v xml:space="preserve">2360352005  </v>
      </c>
      <c r="O7146">
        <v>230509</v>
      </c>
    </row>
    <row r="7147" spans="1:15" x14ac:dyDescent="0.25">
      <c r="A7147" t="s">
        <v>16</v>
      </c>
      <c r="B7147" t="s">
        <v>3221</v>
      </c>
      <c r="C7147">
        <v>6324</v>
      </c>
      <c r="D7147" t="s">
        <v>428</v>
      </c>
      <c r="E7147" t="s">
        <v>429</v>
      </c>
      <c r="F7147">
        <v>1465.38</v>
      </c>
      <c r="G7147">
        <v>230430</v>
      </c>
      <c r="H7147">
        <v>4520</v>
      </c>
      <c r="I7147" t="s">
        <v>254</v>
      </c>
      <c r="J7147">
        <v>1670.53</v>
      </c>
      <c r="K7147">
        <v>205.15</v>
      </c>
      <c r="L7147">
        <v>69112</v>
      </c>
      <c r="M7147" t="s">
        <v>313</v>
      </c>
      <c r="N7147" t="str">
        <f>"2360352011  "</f>
        <v xml:space="preserve">2360352011  </v>
      </c>
      <c r="O7147">
        <v>230510</v>
      </c>
    </row>
    <row r="7148" spans="1:15" x14ac:dyDescent="0.25">
      <c r="A7148" t="s">
        <v>16</v>
      </c>
      <c r="B7148" t="s">
        <v>3221</v>
      </c>
      <c r="C7148">
        <v>6324</v>
      </c>
      <c r="D7148" t="s">
        <v>428</v>
      </c>
      <c r="E7148" t="s">
        <v>429</v>
      </c>
      <c r="F7148">
        <v>81.41</v>
      </c>
      <c r="G7148">
        <v>230430</v>
      </c>
      <c r="H7148">
        <v>4520</v>
      </c>
      <c r="I7148" t="s">
        <v>254</v>
      </c>
      <c r="J7148">
        <v>92.81</v>
      </c>
      <c r="K7148">
        <v>11.4</v>
      </c>
      <c r="L7148">
        <v>69810</v>
      </c>
      <c r="M7148" t="s">
        <v>314</v>
      </c>
      <c r="N7148" t="str">
        <f>"2360352011  "</f>
        <v xml:space="preserve">2360352011  </v>
      </c>
      <c r="O7148">
        <v>230510</v>
      </c>
    </row>
    <row r="7149" spans="1:15" x14ac:dyDescent="0.25">
      <c r="A7149" t="s">
        <v>16</v>
      </c>
      <c r="B7149" t="s">
        <v>3221</v>
      </c>
      <c r="C7149">
        <v>6324</v>
      </c>
      <c r="D7149" t="s">
        <v>428</v>
      </c>
      <c r="E7149" t="s">
        <v>429</v>
      </c>
      <c r="F7149">
        <v>81.41</v>
      </c>
      <c r="G7149">
        <v>230430</v>
      </c>
      <c r="H7149">
        <v>4520</v>
      </c>
      <c r="I7149" t="s">
        <v>254</v>
      </c>
      <c r="J7149">
        <v>92.81</v>
      </c>
      <c r="K7149">
        <v>11.4</v>
      </c>
      <c r="L7149">
        <v>69811</v>
      </c>
      <c r="M7149" t="s">
        <v>315</v>
      </c>
      <c r="N7149" t="str">
        <f>"2360352011  "</f>
        <v xml:space="preserve">2360352011  </v>
      </c>
      <c r="O7149">
        <v>230510</v>
      </c>
    </row>
    <row r="7150" spans="1:15" x14ac:dyDescent="0.25">
      <c r="A7150" t="s">
        <v>16</v>
      </c>
      <c r="B7150" t="s">
        <v>3221</v>
      </c>
      <c r="C7150">
        <v>6680</v>
      </c>
      <c r="D7150" t="s">
        <v>428</v>
      </c>
      <c r="E7150" t="s">
        <v>429</v>
      </c>
      <c r="F7150">
        <v>227.6</v>
      </c>
      <c r="G7150">
        <v>230430</v>
      </c>
      <c r="H7150">
        <v>4520</v>
      </c>
      <c r="I7150" t="s">
        <v>254</v>
      </c>
      <c r="J7150">
        <v>259.45999999999998</v>
      </c>
      <c r="K7150">
        <v>31.86</v>
      </c>
      <c r="L7150">
        <v>44222</v>
      </c>
      <c r="M7150" t="s">
        <v>232</v>
      </c>
      <c r="N7150" t="str">
        <f>"2360352010  "</f>
        <v xml:space="preserve">2360352010  </v>
      </c>
      <c r="O7150">
        <v>230517</v>
      </c>
    </row>
    <row r="7151" spans="1:15" x14ac:dyDescent="0.25">
      <c r="A7151" t="s">
        <v>16</v>
      </c>
      <c r="B7151" t="s">
        <v>3221</v>
      </c>
      <c r="C7151">
        <v>6680</v>
      </c>
      <c r="D7151" t="s">
        <v>428</v>
      </c>
      <c r="E7151" t="s">
        <v>429</v>
      </c>
      <c r="F7151">
        <v>295.68</v>
      </c>
      <c r="G7151">
        <v>230430</v>
      </c>
      <c r="H7151">
        <v>4520</v>
      </c>
      <c r="I7151" t="s">
        <v>254</v>
      </c>
      <c r="J7151">
        <v>337.07</v>
      </c>
      <c r="K7151">
        <v>41.39</v>
      </c>
      <c r="L7151">
        <v>44253</v>
      </c>
      <c r="M7151" t="s">
        <v>1058</v>
      </c>
      <c r="N7151" t="str">
        <f>"2360352010  "</f>
        <v xml:space="preserve">2360352010  </v>
      </c>
      <c r="O7151">
        <v>230517</v>
      </c>
    </row>
    <row r="7152" spans="1:15" x14ac:dyDescent="0.25">
      <c r="A7152" t="s">
        <v>16</v>
      </c>
      <c r="B7152" t="s">
        <v>3221</v>
      </c>
      <c r="C7152">
        <v>6913</v>
      </c>
      <c r="D7152" t="s">
        <v>428</v>
      </c>
      <c r="E7152" t="s">
        <v>429</v>
      </c>
      <c r="F7152">
        <v>1834.1</v>
      </c>
      <c r="G7152">
        <v>230515</v>
      </c>
      <c r="H7152">
        <v>4520</v>
      </c>
      <c r="I7152" t="s">
        <v>254</v>
      </c>
      <c r="J7152">
        <v>2090.87</v>
      </c>
      <c r="K7152">
        <v>256.77</v>
      </c>
      <c r="L7152">
        <v>69113</v>
      </c>
      <c r="M7152" t="s">
        <v>282</v>
      </c>
      <c r="N7152" t="str">
        <f>"2360414420  "</f>
        <v xml:space="preserve">2360414420  </v>
      </c>
      <c r="O7152">
        <v>230523</v>
      </c>
    </row>
    <row r="7153" spans="1:15" x14ac:dyDescent="0.25">
      <c r="A7153" t="s">
        <v>16</v>
      </c>
      <c r="B7153" t="s">
        <v>3221</v>
      </c>
      <c r="C7153">
        <v>6913</v>
      </c>
      <c r="D7153" t="s">
        <v>428</v>
      </c>
      <c r="E7153" t="s">
        <v>429</v>
      </c>
      <c r="F7153">
        <v>215.78</v>
      </c>
      <c r="G7153">
        <v>230515</v>
      </c>
      <c r="H7153">
        <v>4520</v>
      </c>
      <c r="I7153" t="s">
        <v>254</v>
      </c>
      <c r="J7153">
        <v>245.99</v>
      </c>
      <c r="K7153">
        <v>30.21</v>
      </c>
      <c r="L7153">
        <v>69802</v>
      </c>
      <c r="M7153" t="s">
        <v>283</v>
      </c>
      <c r="N7153" t="str">
        <f>"2360414420  "</f>
        <v xml:space="preserve">2360414420  </v>
      </c>
      <c r="O7153">
        <v>230523</v>
      </c>
    </row>
    <row r="7154" spans="1:15" x14ac:dyDescent="0.25">
      <c r="A7154" t="s">
        <v>16</v>
      </c>
      <c r="B7154" t="s">
        <v>3221</v>
      </c>
      <c r="C7154">
        <v>6913</v>
      </c>
      <c r="D7154" t="s">
        <v>428</v>
      </c>
      <c r="E7154" t="s">
        <v>429</v>
      </c>
      <c r="F7154">
        <v>107.89</v>
      </c>
      <c r="G7154">
        <v>230515</v>
      </c>
      <c r="H7154">
        <v>4520</v>
      </c>
      <c r="I7154" t="s">
        <v>254</v>
      </c>
      <c r="J7154">
        <v>122.99</v>
      </c>
      <c r="K7154">
        <v>15.1</v>
      </c>
      <c r="L7154">
        <v>69804</v>
      </c>
      <c r="M7154" t="s">
        <v>284</v>
      </c>
      <c r="N7154" t="str">
        <f>"2360414420  "</f>
        <v xml:space="preserve">2360414420  </v>
      </c>
      <c r="O7154">
        <v>230523</v>
      </c>
    </row>
    <row r="7155" spans="1:15" x14ac:dyDescent="0.25">
      <c r="A7155" t="s">
        <v>16</v>
      </c>
      <c r="B7155" t="s">
        <v>3221</v>
      </c>
      <c r="C7155">
        <v>6916</v>
      </c>
      <c r="D7155" t="s">
        <v>428</v>
      </c>
      <c r="E7155" t="s">
        <v>429</v>
      </c>
      <c r="F7155">
        <v>2950.62</v>
      </c>
      <c r="G7155">
        <v>230515</v>
      </c>
      <c r="H7155">
        <v>4520</v>
      </c>
      <c r="I7155" t="s">
        <v>254</v>
      </c>
      <c r="J7155">
        <v>3363.71</v>
      </c>
      <c r="K7155">
        <v>413.09</v>
      </c>
      <c r="L7155">
        <v>59113</v>
      </c>
      <c r="M7155" t="s">
        <v>235</v>
      </c>
      <c r="N7155" t="str">
        <f>"2360414419  "</f>
        <v xml:space="preserve">2360414419  </v>
      </c>
      <c r="O7155">
        <v>230523</v>
      </c>
    </row>
    <row r="7156" spans="1:15" x14ac:dyDescent="0.25">
      <c r="A7156" t="s">
        <v>16</v>
      </c>
      <c r="B7156" t="s">
        <v>3221</v>
      </c>
      <c r="C7156">
        <v>6916</v>
      </c>
      <c r="D7156" t="s">
        <v>428</v>
      </c>
      <c r="E7156" t="s">
        <v>429</v>
      </c>
      <c r="F7156">
        <v>520.70000000000005</v>
      </c>
      <c r="G7156">
        <v>230515</v>
      </c>
      <c r="H7156">
        <v>4520</v>
      </c>
      <c r="I7156" t="s">
        <v>254</v>
      </c>
      <c r="J7156">
        <v>593.6</v>
      </c>
      <c r="K7156">
        <v>72.900000000000006</v>
      </c>
      <c r="L7156">
        <v>59803</v>
      </c>
      <c r="M7156" t="s">
        <v>533</v>
      </c>
      <c r="N7156" t="str">
        <f>"2360414419  "</f>
        <v xml:space="preserve">2360414419  </v>
      </c>
      <c r="O7156">
        <v>230523</v>
      </c>
    </row>
    <row r="7157" spans="1:15" x14ac:dyDescent="0.25">
      <c r="A7157" t="s">
        <v>16</v>
      </c>
      <c r="B7157" t="s">
        <v>3221</v>
      </c>
      <c r="C7157">
        <v>6916</v>
      </c>
      <c r="D7157" t="s">
        <v>428</v>
      </c>
      <c r="E7157" t="s">
        <v>429</v>
      </c>
      <c r="F7157">
        <v>1316.67</v>
      </c>
      <c r="G7157">
        <v>230515</v>
      </c>
      <c r="H7157">
        <v>4520</v>
      </c>
      <c r="I7157" t="s">
        <v>254</v>
      </c>
      <c r="J7157">
        <v>1501</v>
      </c>
      <c r="K7157">
        <v>184.33</v>
      </c>
      <c r="L7157">
        <v>59805</v>
      </c>
      <c r="M7157" t="s">
        <v>1716</v>
      </c>
      <c r="N7157" t="str">
        <f>"2360414419  "</f>
        <v xml:space="preserve">2360414419  </v>
      </c>
      <c r="O7157">
        <v>230523</v>
      </c>
    </row>
    <row r="7158" spans="1:15" x14ac:dyDescent="0.25">
      <c r="A7158" t="s">
        <v>16</v>
      </c>
      <c r="B7158" t="s">
        <v>3221</v>
      </c>
      <c r="C7158">
        <v>6920</v>
      </c>
      <c r="D7158" t="s">
        <v>428</v>
      </c>
      <c r="E7158" t="s">
        <v>429</v>
      </c>
      <c r="F7158">
        <v>5</v>
      </c>
      <c r="G7158">
        <v>230515</v>
      </c>
      <c r="H7158">
        <v>4520</v>
      </c>
      <c r="I7158" t="s">
        <v>254</v>
      </c>
      <c r="J7158">
        <v>6.2</v>
      </c>
      <c r="K7158">
        <v>1.2</v>
      </c>
      <c r="L7158">
        <v>14422</v>
      </c>
      <c r="M7158" t="s">
        <v>228</v>
      </c>
      <c r="N7158" t="str">
        <f t="shared" ref="N7158:N7169" si="141">"2360414424  "</f>
        <v xml:space="preserve">2360414424  </v>
      </c>
      <c r="O7158">
        <v>230523</v>
      </c>
    </row>
    <row r="7159" spans="1:15" x14ac:dyDescent="0.25">
      <c r="A7159" t="s">
        <v>16</v>
      </c>
      <c r="B7159" t="s">
        <v>3221</v>
      </c>
      <c r="C7159">
        <v>6920</v>
      </c>
      <c r="D7159" t="s">
        <v>428</v>
      </c>
      <c r="E7159" t="s">
        <v>429</v>
      </c>
      <c r="F7159">
        <v>55.3</v>
      </c>
      <c r="G7159">
        <v>230515</v>
      </c>
      <c r="H7159">
        <v>4520</v>
      </c>
      <c r="I7159" t="s">
        <v>254</v>
      </c>
      <c r="J7159">
        <v>63.04</v>
      </c>
      <c r="K7159">
        <v>7.74</v>
      </c>
      <c r="L7159">
        <v>14422</v>
      </c>
      <c r="M7159" t="s">
        <v>228</v>
      </c>
      <c r="N7159" t="str">
        <f t="shared" si="141"/>
        <v xml:space="preserve">2360414424  </v>
      </c>
      <c r="O7159">
        <v>230523</v>
      </c>
    </row>
    <row r="7160" spans="1:15" x14ac:dyDescent="0.25">
      <c r="A7160" t="s">
        <v>16</v>
      </c>
      <c r="B7160" t="s">
        <v>3221</v>
      </c>
      <c r="C7160">
        <v>6920</v>
      </c>
      <c r="D7160" t="s">
        <v>428</v>
      </c>
      <c r="E7160" t="s">
        <v>429</v>
      </c>
      <c r="F7160">
        <v>19.98</v>
      </c>
      <c r="G7160">
        <v>230515</v>
      </c>
      <c r="H7160">
        <v>4520</v>
      </c>
      <c r="I7160" t="s">
        <v>254</v>
      </c>
      <c r="J7160">
        <v>24.78</v>
      </c>
      <c r="K7160">
        <v>4.8</v>
      </c>
      <c r="L7160">
        <v>14431</v>
      </c>
      <c r="M7160" t="s">
        <v>861</v>
      </c>
      <c r="N7160" t="str">
        <f t="shared" si="141"/>
        <v xml:space="preserve">2360414424  </v>
      </c>
      <c r="O7160">
        <v>230523</v>
      </c>
    </row>
    <row r="7161" spans="1:15" x14ac:dyDescent="0.25">
      <c r="A7161" t="s">
        <v>16</v>
      </c>
      <c r="B7161" t="s">
        <v>3221</v>
      </c>
      <c r="C7161">
        <v>6920</v>
      </c>
      <c r="D7161" t="s">
        <v>428</v>
      </c>
      <c r="E7161" t="s">
        <v>429</v>
      </c>
      <c r="F7161">
        <v>221.19</v>
      </c>
      <c r="G7161">
        <v>230515</v>
      </c>
      <c r="H7161">
        <v>4520</v>
      </c>
      <c r="I7161" t="s">
        <v>254</v>
      </c>
      <c r="J7161">
        <v>252.16</v>
      </c>
      <c r="K7161">
        <v>30.97</v>
      </c>
      <c r="L7161">
        <v>14431</v>
      </c>
      <c r="M7161" t="s">
        <v>861</v>
      </c>
      <c r="N7161" t="str">
        <f t="shared" si="141"/>
        <v xml:space="preserve">2360414424  </v>
      </c>
      <c r="O7161">
        <v>230523</v>
      </c>
    </row>
    <row r="7162" spans="1:15" x14ac:dyDescent="0.25">
      <c r="A7162" t="s">
        <v>16</v>
      </c>
      <c r="B7162" t="s">
        <v>3221</v>
      </c>
      <c r="C7162">
        <v>6920</v>
      </c>
      <c r="D7162" t="s">
        <v>428</v>
      </c>
      <c r="E7162" t="s">
        <v>429</v>
      </c>
      <c r="F7162">
        <v>84.94</v>
      </c>
      <c r="G7162">
        <v>230515</v>
      </c>
      <c r="H7162">
        <v>4520</v>
      </c>
      <c r="I7162" t="s">
        <v>254</v>
      </c>
      <c r="J7162">
        <v>105.32</v>
      </c>
      <c r="K7162">
        <v>20.38</v>
      </c>
      <c r="L7162">
        <v>14432</v>
      </c>
      <c r="M7162" t="s">
        <v>862</v>
      </c>
      <c r="N7162" t="str">
        <f t="shared" si="141"/>
        <v xml:space="preserve">2360414424  </v>
      </c>
      <c r="O7162">
        <v>230523</v>
      </c>
    </row>
    <row r="7163" spans="1:15" x14ac:dyDescent="0.25">
      <c r="A7163" t="s">
        <v>16</v>
      </c>
      <c r="B7163" t="s">
        <v>3221</v>
      </c>
      <c r="C7163">
        <v>6920</v>
      </c>
      <c r="D7163" t="s">
        <v>428</v>
      </c>
      <c r="E7163" t="s">
        <v>429</v>
      </c>
      <c r="F7163">
        <v>940.08</v>
      </c>
      <c r="G7163">
        <v>230515</v>
      </c>
      <c r="H7163">
        <v>4520</v>
      </c>
      <c r="I7163" t="s">
        <v>254</v>
      </c>
      <c r="J7163">
        <v>1071.69</v>
      </c>
      <c r="K7163">
        <v>131.61000000000001</v>
      </c>
      <c r="L7163">
        <v>14432</v>
      </c>
      <c r="M7163" t="s">
        <v>862</v>
      </c>
      <c r="N7163" t="str">
        <f t="shared" si="141"/>
        <v xml:space="preserve">2360414424  </v>
      </c>
      <c r="O7163">
        <v>230523</v>
      </c>
    </row>
    <row r="7164" spans="1:15" x14ac:dyDescent="0.25">
      <c r="A7164" t="s">
        <v>16</v>
      </c>
      <c r="B7164" t="s">
        <v>3221</v>
      </c>
      <c r="C7164">
        <v>6920</v>
      </c>
      <c r="D7164" t="s">
        <v>428</v>
      </c>
      <c r="E7164" t="s">
        <v>429</v>
      </c>
      <c r="F7164">
        <v>5.01</v>
      </c>
      <c r="G7164">
        <v>230515</v>
      </c>
      <c r="H7164">
        <v>4520</v>
      </c>
      <c r="I7164" t="s">
        <v>254</v>
      </c>
      <c r="J7164">
        <v>6.21</v>
      </c>
      <c r="K7164">
        <v>1.2</v>
      </c>
      <c r="L7164">
        <v>14640</v>
      </c>
      <c r="M7164" t="s">
        <v>229</v>
      </c>
      <c r="N7164" t="str">
        <f t="shared" si="141"/>
        <v xml:space="preserve">2360414424  </v>
      </c>
      <c r="O7164">
        <v>230523</v>
      </c>
    </row>
    <row r="7165" spans="1:15" x14ac:dyDescent="0.25">
      <c r="A7165" t="s">
        <v>16</v>
      </c>
      <c r="B7165" t="s">
        <v>3221</v>
      </c>
      <c r="C7165">
        <v>6920</v>
      </c>
      <c r="D7165" t="s">
        <v>428</v>
      </c>
      <c r="E7165" t="s">
        <v>429</v>
      </c>
      <c r="F7165">
        <v>55.3</v>
      </c>
      <c r="G7165">
        <v>230515</v>
      </c>
      <c r="H7165">
        <v>4520</v>
      </c>
      <c r="I7165" t="s">
        <v>254</v>
      </c>
      <c r="J7165">
        <v>63.04</v>
      </c>
      <c r="K7165">
        <v>7.74</v>
      </c>
      <c r="L7165">
        <v>14640</v>
      </c>
      <c r="M7165" t="s">
        <v>229</v>
      </c>
      <c r="N7165" t="str">
        <f t="shared" si="141"/>
        <v xml:space="preserve">2360414424  </v>
      </c>
      <c r="O7165">
        <v>230523</v>
      </c>
    </row>
    <row r="7166" spans="1:15" x14ac:dyDescent="0.25">
      <c r="A7166" t="s">
        <v>16</v>
      </c>
      <c r="B7166" t="s">
        <v>3221</v>
      </c>
      <c r="C7166">
        <v>6920</v>
      </c>
      <c r="D7166" t="s">
        <v>428</v>
      </c>
      <c r="E7166" t="s">
        <v>429</v>
      </c>
      <c r="F7166">
        <v>19.98</v>
      </c>
      <c r="G7166">
        <v>230515</v>
      </c>
      <c r="H7166">
        <v>4520</v>
      </c>
      <c r="I7166" t="s">
        <v>254</v>
      </c>
      <c r="J7166">
        <v>24.78</v>
      </c>
      <c r="K7166">
        <v>4.8</v>
      </c>
      <c r="L7166">
        <v>14642</v>
      </c>
      <c r="M7166" t="s">
        <v>863</v>
      </c>
      <c r="N7166" t="str">
        <f t="shared" si="141"/>
        <v xml:space="preserve">2360414424  </v>
      </c>
      <c r="O7166">
        <v>230523</v>
      </c>
    </row>
    <row r="7167" spans="1:15" x14ac:dyDescent="0.25">
      <c r="A7167" t="s">
        <v>16</v>
      </c>
      <c r="B7167" t="s">
        <v>3221</v>
      </c>
      <c r="C7167">
        <v>6920</v>
      </c>
      <c r="D7167" t="s">
        <v>428</v>
      </c>
      <c r="E7167" t="s">
        <v>429</v>
      </c>
      <c r="F7167">
        <v>221.19</v>
      </c>
      <c r="G7167">
        <v>230515</v>
      </c>
      <c r="H7167">
        <v>4520</v>
      </c>
      <c r="I7167" t="s">
        <v>254</v>
      </c>
      <c r="J7167">
        <v>252.16</v>
      </c>
      <c r="K7167">
        <v>30.97</v>
      </c>
      <c r="L7167">
        <v>14642</v>
      </c>
      <c r="M7167" t="s">
        <v>863</v>
      </c>
      <c r="N7167" t="str">
        <f t="shared" si="141"/>
        <v xml:space="preserve">2360414424  </v>
      </c>
      <c r="O7167">
        <v>230523</v>
      </c>
    </row>
    <row r="7168" spans="1:15" x14ac:dyDescent="0.25">
      <c r="A7168" t="s">
        <v>16</v>
      </c>
      <c r="B7168" t="s">
        <v>3221</v>
      </c>
      <c r="C7168">
        <v>6920</v>
      </c>
      <c r="D7168" t="s">
        <v>428</v>
      </c>
      <c r="E7168" t="s">
        <v>429</v>
      </c>
      <c r="F7168">
        <v>364.75</v>
      </c>
      <c r="G7168">
        <v>230515</v>
      </c>
      <c r="H7168">
        <v>4520</v>
      </c>
      <c r="I7168" t="s">
        <v>254</v>
      </c>
      <c r="J7168">
        <v>452.29</v>
      </c>
      <c r="K7168">
        <v>87.54</v>
      </c>
      <c r="L7168">
        <v>14912</v>
      </c>
      <c r="M7168" t="s">
        <v>230</v>
      </c>
      <c r="N7168" t="str">
        <f t="shared" si="141"/>
        <v xml:space="preserve">2360414424  </v>
      </c>
      <c r="O7168">
        <v>230523</v>
      </c>
    </row>
    <row r="7169" spans="1:15" x14ac:dyDescent="0.25">
      <c r="A7169" t="s">
        <v>16</v>
      </c>
      <c r="B7169" t="s">
        <v>3221</v>
      </c>
      <c r="C7169">
        <v>6920</v>
      </c>
      <c r="D7169" t="s">
        <v>428</v>
      </c>
      <c r="E7169" t="s">
        <v>429</v>
      </c>
      <c r="F7169">
        <v>4036.8</v>
      </c>
      <c r="G7169">
        <v>230515</v>
      </c>
      <c r="H7169">
        <v>4520</v>
      </c>
      <c r="I7169" t="s">
        <v>254</v>
      </c>
      <c r="J7169">
        <v>4601.95</v>
      </c>
      <c r="K7169">
        <v>565.15</v>
      </c>
      <c r="L7169">
        <v>14912</v>
      </c>
      <c r="M7169" t="s">
        <v>230</v>
      </c>
      <c r="N7169" t="str">
        <f t="shared" si="141"/>
        <v xml:space="preserve">2360414424  </v>
      </c>
      <c r="O7169">
        <v>230523</v>
      </c>
    </row>
    <row r="7170" spans="1:15" x14ac:dyDescent="0.25">
      <c r="A7170" t="s">
        <v>16</v>
      </c>
      <c r="B7170" t="s">
        <v>3221</v>
      </c>
      <c r="C7170">
        <v>6923</v>
      </c>
      <c r="D7170" t="s">
        <v>428</v>
      </c>
      <c r="E7170" t="s">
        <v>429</v>
      </c>
      <c r="F7170">
        <v>753.67</v>
      </c>
      <c r="G7170">
        <v>230515</v>
      </c>
      <c r="H7170">
        <v>4520</v>
      </c>
      <c r="I7170" t="s">
        <v>254</v>
      </c>
      <c r="J7170">
        <v>859.18</v>
      </c>
      <c r="K7170">
        <v>105.51</v>
      </c>
      <c r="L7170">
        <v>69112</v>
      </c>
      <c r="M7170" t="s">
        <v>313</v>
      </c>
      <c r="N7170" t="str">
        <f>"2360414426  "</f>
        <v xml:space="preserve">2360414426  </v>
      </c>
      <c r="O7170">
        <v>230523</v>
      </c>
    </row>
    <row r="7171" spans="1:15" x14ac:dyDescent="0.25">
      <c r="A7171" t="s">
        <v>16</v>
      </c>
      <c r="B7171" t="s">
        <v>3221</v>
      </c>
      <c r="C7171">
        <v>6923</v>
      </c>
      <c r="D7171" t="s">
        <v>428</v>
      </c>
      <c r="E7171" t="s">
        <v>429</v>
      </c>
      <c r="F7171">
        <v>41.88</v>
      </c>
      <c r="G7171">
        <v>230515</v>
      </c>
      <c r="H7171">
        <v>4520</v>
      </c>
      <c r="I7171" t="s">
        <v>254</v>
      </c>
      <c r="J7171">
        <v>47.74</v>
      </c>
      <c r="K7171">
        <v>5.86</v>
      </c>
      <c r="L7171">
        <v>69810</v>
      </c>
      <c r="M7171" t="s">
        <v>314</v>
      </c>
      <c r="N7171" t="str">
        <f>"2360414426  "</f>
        <v xml:space="preserve">2360414426  </v>
      </c>
      <c r="O7171">
        <v>230523</v>
      </c>
    </row>
    <row r="7172" spans="1:15" x14ac:dyDescent="0.25">
      <c r="A7172" t="s">
        <v>16</v>
      </c>
      <c r="B7172" t="s">
        <v>3221</v>
      </c>
      <c r="C7172">
        <v>6923</v>
      </c>
      <c r="D7172" t="s">
        <v>428</v>
      </c>
      <c r="E7172" t="s">
        <v>429</v>
      </c>
      <c r="F7172">
        <v>41.87</v>
      </c>
      <c r="G7172">
        <v>230515</v>
      </c>
      <c r="H7172">
        <v>4520</v>
      </c>
      <c r="I7172" t="s">
        <v>254</v>
      </c>
      <c r="J7172">
        <v>47.73</v>
      </c>
      <c r="K7172">
        <v>5.86</v>
      </c>
      <c r="L7172">
        <v>69811</v>
      </c>
      <c r="M7172" t="s">
        <v>315</v>
      </c>
      <c r="N7172" t="str">
        <f>"2360414426  "</f>
        <v xml:space="preserve">2360414426  </v>
      </c>
      <c r="O7172">
        <v>230523</v>
      </c>
    </row>
    <row r="7173" spans="1:15" x14ac:dyDescent="0.25">
      <c r="A7173" t="s">
        <v>16</v>
      </c>
      <c r="B7173" t="s">
        <v>3221</v>
      </c>
      <c r="C7173">
        <v>6924</v>
      </c>
      <c r="D7173" t="s">
        <v>428</v>
      </c>
      <c r="E7173" t="s">
        <v>429</v>
      </c>
      <c r="F7173">
        <v>438.21</v>
      </c>
      <c r="G7173">
        <v>230515</v>
      </c>
      <c r="H7173">
        <v>4520</v>
      </c>
      <c r="I7173" t="s">
        <v>254</v>
      </c>
      <c r="J7173">
        <v>499.56</v>
      </c>
      <c r="K7173">
        <v>61.35</v>
      </c>
      <c r="L7173">
        <v>59114</v>
      </c>
      <c r="M7173" t="s">
        <v>556</v>
      </c>
      <c r="N7173" t="str">
        <f>"2360414417  "</f>
        <v xml:space="preserve">2360414417  </v>
      </c>
      <c r="O7173">
        <v>230523</v>
      </c>
    </row>
    <row r="7174" spans="1:15" x14ac:dyDescent="0.25">
      <c r="A7174" t="s">
        <v>16</v>
      </c>
      <c r="B7174" t="s">
        <v>3221</v>
      </c>
      <c r="C7174">
        <v>7087</v>
      </c>
      <c r="D7174" t="s">
        <v>428</v>
      </c>
      <c r="E7174" t="s">
        <v>429</v>
      </c>
      <c r="F7174">
        <v>289.39</v>
      </c>
      <c r="G7174">
        <v>230515</v>
      </c>
      <c r="H7174">
        <v>4520</v>
      </c>
      <c r="I7174" t="s">
        <v>254</v>
      </c>
      <c r="J7174">
        <v>329.9</v>
      </c>
      <c r="K7174">
        <v>40.51</v>
      </c>
      <c r="L7174">
        <v>16431</v>
      </c>
      <c r="M7174" t="s">
        <v>231</v>
      </c>
      <c r="N7174" t="str">
        <f t="shared" ref="N7174:N7180" si="142">"2360414423  "</f>
        <v xml:space="preserve">2360414423  </v>
      </c>
      <c r="O7174">
        <v>230525</v>
      </c>
    </row>
    <row r="7175" spans="1:15" x14ac:dyDescent="0.25">
      <c r="A7175" t="s">
        <v>16</v>
      </c>
      <c r="B7175" t="s">
        <v>3221</v>
      </c>
      <c r="C7175">
        <v>7087</v>
      </c>
      <c r="D7175" t="s">
        <v>428</v>
      </c>
      <c r="E7175" t="s">
        <v>429</v>
      </c>
      <c r="F7175">
        <v>114.04</v>
      </c>
      <c r="G7175">
        <v>230515</v>
      </c>
      <c r="H7175">
        <v>4520</v>
      </c>
      <c r="I7175" t="s">
        <v>254</v>
      </c>
      <c r="J7175">
        <v>130</v>
      </c>
      <c r="K7175">
        <v>15.96</v>
      </c>
      <c r="L7175">
        <v>16442</v>
      </c>
      <c r="M7175" t="s">
        <v>430</v>
      </c>
      <c r="N7175" t="str">
        <f t="shared" si="142"/>
        <v xml:space="preserve">2360414423  </v>
      </c>
      <c r="O7175">
        <v>230525</v>
      </c>
    </row>
    <row r="7176" spans="1:15" x14ac:dyDescent="0.25">
      <c r="A7176" t="s">
        <v>16</v>
      </c>
      <c r="B7176" t="s">
        <v>3221</v>
      </c>
      <c r="C7176">
        <v>7087</v>
      </c>
      <c r="D7176" t="s">
        <v>428</v>
      </c>
      <c r="E7176" t="s">
        <v>429</v>
      </c>
      <c r="F7176">
        <v>36.82</v>
      </c>
      <c r="G7176">
        <v>230515</v>
      </c>
      <c r="H7176">
        <v>4520</v>
      </c>
      <c r="I7176" t="s">
        <v>254</v>
      </c>
      <c r="J7176">
        <v>45.66</v>
      </c>
      <c r="K7176">
        <v>8.84</v>
      </c>
      <c r="L7176">
        <v>17913</v>
      </c>
      <c r="M7176" t="s">
        <v>431</v>
      </c>
      <c r="N7176" t="str">
        <f t="shared" si="142"/>
        <v xml:space="preserve">2360414423  </v>
      </c>
      <c r="O7176">
        <v>230525</v>
      </c>
    </row>
    <row r="7177" spans="1:15" x14ac:dyDescent="0.25">
      <c r="A7177" t="s">
        <v>16</v>
      </c>
      <c r="B7177" t="s">
        <v>3221</v>
      </c>
      <c r="C7177">
        <v>7087</v>
      </c>
      <c r="D7177" t="s">
        <v>428</v>
      </c>
      <c r="E7177" t="s">
        <v>429</v>
      </c>
      <c r="F7177">
        <v>1937.74</v>
      </c>
      <c r="G7177">
        <v>230515</v>
      </c>
      <c r="H7177">
        <v>4520</v>
      </c>
      <c r="I7177" t="s">
        <v>254</v>
      </c>
      <c r="J7177">
        <v>2209.02</v>
      </c>
      <c r="K7177">
        <v>271.27999999999997</v>
      </c>
      <c r="L7177">
        <v>17913</v>
      </c>
      <c r="M7177" t="s">
        <v>431</v>
      </c>
      <c r="N7177" t="str">
        <f t="shared" si="142"/>
        <v xml:space="preserve">2360414423  </v>
      </c>
      <c r="O7177">
        <v>230525</v>
      </c>
    </row>
    <row r="7178" spans="1:15" x14ac:dyDescent="0.25">
      <c r="A7178" t="s">
        <v>16</v>
      </c>
      <c r="B7178" t="s">
        <v>3221</v>
      </c>
      <c r="C7178">
        <v>7087</v>
      </c>
      <c r="D7178" t="s">
        <v>428</v>
      </c>
      <c r="E7178" t="s">
        <v>429</v>
      </c>
      <c r="F7178">
        <v>4.09</v>
      </c>
      <c r="G7178">
        <v>230515</v>
      </c>
      <c r="H7178">
        <v>4520</v>
      </c>
      <c r="I7178" t="s">
        <v>254</v>
      </c>
      <c r="J7178">
        <v>5.07</v>
      </c>
      <c r="K7178">
        <v>0.98</v>
      </c>
      <c r="L7178">
        <v>17982</v>
      </c>
      <c r="M7178" t="s">
        <v>432</v>
      </c>
      <c r="N7178" t="str">
        <f t="shared" si="142"/>
        <v xml:space="preserve">2360414423  </v>
      </c>
      <c r="O7178">
        <v>230525</v>
      </c>
    </row>
    <row r="7179" spans="1:15" x14ac:dyDescent="0.25">
      <c r="A7179" t="s">
        <v>16</v>
      </c>
      <c r="B7179" t="s">
        <v>3221</v>
      </c>
      <c r="C7179">
        <v>7087</v>
      </c>
      <c r="D7179" t="s">
        <v>428</v>
      </c>
      <c r="E7179" t="s">
        <v>429</v>
      </c>
      <c r="F7179">
        <v>289.39</v>
      </c>
      <c r="G7179">
        <v>230515</v>
      </c>
      <c r="H7179">
        <v>4520</v>
      </c>
      <c r="I7179" t="s">
        <v>254</v>
      </c>
      <c r="J7179">
        <v>329.9</v>
      </c>
      <c r="K7179">
        <v>40.51</v>
      </c>
      <c r="L7179">
        <v>17982</v>
      </c>
      <c r="M7179" t="s">
        <v>432</v>
      </c>
      <c r="N7179" t="str">
        <f t="shared" si="142"/>
        <v xml:space="preserve">2360414423  </v>
      </c>
      <c r="O7179">
        <v>230525</v>
      </c>
    </row>
    <row r="7180" spans="1:15" x14ac:dyDescent="0.25">
      <c r="A7180" t="s">
        <v>16</v>
      </c>
      <c r="B7180" t="s">
        <v>3221</v>
      </c>
      <c r="C7180">
        <v>7087</v>
      </c>
      <c r="D7180" t="s">
        <v>428</v>
      </c>
      <c r="E7180" t="s">
        <v>429</v>
      </c>
      <c r="F7180">
        <v>263.16000000000003</v>
      </c>
      <c r="G7180">
        <v>230515</v>
      </c>
      <c r="H7180">
        <v>4520</v>
      </c>
      <c r="I7180" t="s">
        <v>254</v>
      </c>
      <c r="J7180">
        <v>300</v>
      </c>
      <c r="K7180">
        <v>36.840000000000003</v>
      </c>
      <c r="L7180">
        <v>17984</v>
      </c>
      <c r="M7180" t="s">
        <v>950</v>
      </c>
      <c r="N7180" t="str">
        <f t="shared" si="142"/>
        <v xml:space="preserve">2360414423  </v>
      </c>
      <c r="O7180">
        <v>230525</v>
      </c>
    </row>
    <row r="7181" spans="1:15" x14ac:dyDescent="0.25">
      <c r="A7181" t="s">
        <v>16</v>
      </c>
      <c r="B7181" t="s">
        <v>3221</v>
      </c>
      <c r="C7181">
        <v>7088</v>
      </c>
      <c r="D7181" t="s">
        <v>428</v>
      </c>
      <c r="E7181" t="s">
        <v>429</v>
      </c>
      <c r="F7181">
        <v>597.97</v>
      </c>
      <c r="G7181">
        <v>230515</v>
      </c>
      <c r="H7181">
        <v>4520</v>
      </c>
      <c r="I7181" t="s">
        <v>254</v>
      </c>
      <c r="J7181">
        <v>681.69</v>
      </c>
      <c r="K7181">
        <v>83.72</v>
      </c>
      <c r="L7181">
        <v>44253</v>
      </c>
      <c r="M7181" t="s">
        <v>1058</v>
      </c>
      <c r="N7181" t="str">
        <f>"2360414425  "</f>
        <v xml:space="preserve">2360414425  </v>
      </c>
      <c r="O7181">
        <v>230525</v>
      </c>
    </row>
    <row r="7182" spans="1:15" x14ac:dyDescent="0.25">
      <c r="A7182" t="s">
        <v>16</v>
      </c>
      <c r="B7182" t="s">
        <v>3221</v>
      </c>
      <c r="C7182">
        <v>7113</v>
      </c>
      <c r="D7182" t="s">
        <v>428</v>
      </c>
      <c r="E7182" t="s">
        <v>429</v>
      </c>
      <c r="F7182">
        <v>18.91</v>
      </c>
      <c r="G7182">
        <v>230515</v>
      </c>
      <c r="H7182">
        <v>4520</v>
      </c>
      <c r="I7182" t="s">
        <v>254</v>
      </c>
      <c r="J7182">
        <v>21.56</v>
      </c>
      <c r="K7182">
        <v>2.65</v>
      </c>
      <c r="L7182">
        <v>17131</v>
      </c>
      <c r="M7182" t="s">
        <v>64</v>
      </c>
      <c r="N7182" t="str">
        <f>"2360414422  "</f>
        <v xml:space="preserve">2360414422  </v>
      </c>
      <c r="O7182">
        <v>230525</v>
      </c>
    </row>
    <row r="7183" spans="1:15" x14ac:dyDescent="0.25">
      <c r="A7183" t="s">
        <v>16</v>
      </c>
      <c r="B7183" t="s">
        <v>3221</v>
      </c>
      <c r="C7183">
        <v>7113</v>
      </c>
      <c r="D7183" t="s">
        <v>428</v>
      </c>
      <c r="E7183" t="s">
        <v>429</v>
      </c>
      <c r="F7183">
        <v>971.63</v>
      </c>
      <c r="G7183">
        <v>230515</v>
      </c>
      <c r="H7183">
        <v>4520</v>
      </c>
      <c r="I7183" t="s">
        <v>254</v>
      </c>
      <c r="J7183">
        <v>1107.6600000000001</v>
      </c>
      <c r="K7183">
        <v>136.03</v>
      </c>
      <c r="L7183">
        <v>17915</v>
      </c>
      <c r="M7183" t="s">
        <v>572</v>
      </c>
      <c r="N7183" t="str">
        <f>"2360414422  "</f>
        <v xml:space="preserve">2360414422  </v>
      </c>
      <c r="O7183">
        <v>230525</v>
      </c>
    </row>
    <row r="7184" spans="1:15" x14ac:dyDescent="0.25">
      <c r="A7184" t="s">
        <v>16</v>
      </c>
      <c r="B7184" t="s">
        <v>3221</v>
      </c>
      <c r="C7184">
        <v>7113</v>
      </c>
      <c r="D7184" t="s">
        <v>428</v>
      </c>
      <c r="E7184" t="s">
        <v>429</v>
      </c>
      <c r="F7184">
        <v>188.04</v>
      </c>
      <c r="G7184">
        <v>230515</v>
      </c>
      <c r="H7184">
        <v>4520</v>
      </c>
      <c r="I7184" t="s">
        <v>254</v>
      </c>
      <c r="J7184">
        <v>214.36</v>
      </c>
      <c r="K7184">
        <v>26.32</v>
      </c>
      <c r="L7184">
        <v>17982</v>
      </c>
      <c r="M7184" t="s">
        <v>432</v>
      </c>
      <c r="N7184" t="str">
        <f>"2360414422  "</f>
        <v xml:space="preserve">2360414422  </v>
      </c>
      <c r="O7184">
        <v>230525</v>
      </c>
    </row>
    <row r="7185" spans="1:15" x14ac:dyDescent="0.25">
      <c r="A7185" t="s">
        <v>16</v>
      </c>
      <c r="B7185" t="s">
        <v>3221</v>
      </c>
      <c r="C7185">
        <v>7113</v>
      </c>
      <c r="D7185" t="s">
        <v>428</v>
      </c>
      <c r="E7185" t="s">
        <v>429</v>
      </c>
      <c r="F7185">
        <v>701.75</v>
      </c>
      <c r="G7185">
        <v>230515</v>
      </c>
      <c r="H7185">
        <v>4520</v>
      </c>
      <c r="I7185" t="s">
        <v>254</v>
      </c>
      <c r="J7185">
        <v>800</v>
      </c>
      <c r="K7185">
        <v>98.25</v>
      </c>
      <c r="L7185">
        <v>17984</v>
      </c>
      <c r="M7185" t="s">
        <v>950</v>
      </c>
      <c r="N7185" t="str">
        <f>"2360414422  "</f>
        <v xml:space="preserve">2360414422  </v>
      </c>
      <c r="O7185">
        <v>230525</v>
      </c>
    </row>
    <row r="7186" spans="1:15" x14ac:dyDescent="0.25">
      <c r="A7186" t="s">
        <v>16</v>
      </c>
      <c r="B7186" t="s">
        <v>3221</v>
      </c>
      <c r="C7186">
        <v>7213</v>
      </c>
      <c r="D7186" t="s">
        <v>428</v>
      </c>
      <c r="E7186" t="s">
        <v>429</v>
      </c>
      <c r="F7186">
        <v>1861.2</v>
      </c>
      <c r="G7186">
        <v>230515</v>
      </c>
      <c r="H7186">
        <v>4520</v>
      </c>
      <c r="I7186" t="s">
        <v>254</v>
      </c>
      <c r="J7186">
        <v>2121.77</v>
      </c>
      <c r="K7186">
        <v>260.57</v>
      </c>
      <c r="L7186">
        <v>49112</v>
      </c>
      <c r="M7186" t="s">
        <v>233</v>
      </c>
      <c r="N7186" t="str">
        <f>"2360414421  "</f>
        <v xml:space="preserve">2360414421  </v>
      </c>
      <c r="O7186">
        <v>230526</v>
      </c>
    </row>
    <row r="7187" spans="1:15" x14ac:dyDescent="0.25">
      <c r="A7187" t="s">
        <v>16</v>
      </c>
      <c r="B7187" t="s">
        <v>3221</v>
      </c>
      <c r="C7187">
        <v>7510</v>
      </c>
      <c r="D7187" t="s">
        <v>428</v>
      </c>
      <c r="E7187" t="s">
        <v>429</v>
      </c>
      <c r="F7187">
        <v>3028.96</v>
      </c>
      <c r="G7187">
        <v>230515</v>
      </c>
      <c r="H7187">
        <v>4520</v>
      </c>
      <c r="I7187" t="s">
        <v>254</v>
      </c>
      <c r="J7187">
        <v>3453.01</v>
      </c>
      <c r="K7187">
        <v>424.05</v>
      </c>
      <c r="L7187">
        <v>54422</v>
      </c>
      <c r="M7187" t="s">
        <v>234</v>
      </c>
      <c r="N7187" t="str">
        <f>"2360414418  "</f>
        <v xml:space="preserve">2360414418  </v>
      </c>
      <c r="O7187">
        <v>230531</v>
      </c>
    </row>
    <row r="7188" spans="1:15" x14ac:dyDescent="0.25">
      <c r="A7188" t="s">
        <v>16</v>
      </c>
      <c r="B7188" t="s">
        <v>3221</v>
      </c>
      <c r="C7188">
        <v>7747</v>
      </c>
      <c r="D7188" t="s">
        <v>428</v>
      </c>
      <c r="E7188" t="s">
        <v>429</v>
      </c>
      <c r="F7188">
        <v>4189.96</v>
      </c>
      <c r="G7188">
        <v>230531</v>
      </c>
      <c r="H7188">
        <v>4520</v>
      </c>
      <c r="I7188" t="s">
        <v>254</v>
      </c>
      <c r="J7188">
        <v>4776.5600000000004</v>
      </c>
      <c r="K7188">
        <v>586.6</v>
      </c>
      <c r="L7188">
        <v>54451</v>
      </c>
      <c r="M7188" t="s">
        <v>158</v>
      </c>
      <c r="N7188" t="str">
        <f>"2360452069  "</f>
        <v xml:space="preserve">2360452069  </v>
      </c>
      <c r="O7188">
        <v>230602</v>
      </c>
    </row>
    <row r="7189" spans="1:15" x14ac:dyDescent="0.25">
      <c r="A7189" t="s">
        <v>16</v>
      </c>
      <c r="B7189" t="s">
        <v>3221</v>
      </c>
      <c r="C7189">
        <v>7906</v>
      </c>
      <c r="D7189" t="s">
        <v>428</v>
      </c>
      <c r="E7189" t="s">
        <v>429</v>
      </c>
      <c r="F7189">
        <v>226.98</v>
      </c>
      <c r="G7189">
        <v>230531</v>
      </c>
      <c r="H7189">
        <v>4520</v>
      </c>
      <c r="I7189" t="s">
        <v>254</v>
      </c>
      <c r="J7189">
        <v>258.76</v>
      </c>
      <c r="K7189">
        <v>31.78</v>
      </c>
      <c r="L7189">
        <v>16431</v>
      </c>
      <c r="M7189" t="s">
        <v>231</v>
      </c>
      <c r="N7189" t="str">
        <f t="shared" ref="N7189:N7195" si="143">"2360452074  "</f>
        <v xml:space="preserve">2360452074  </v>
      </c>
      <c r="O7189">
        <v>230605</v>
      </c>
    </row>
    <row r="7190" spans="1:15" x14ac:dyDescent="0.25">
      <c r="A7190" t="s">
        <v>16</v>
      </c>
      <c r="B7190" t="s">
        <v>3221</v>
      </c>
      <c r="C7190">
        <v>7906</v>
      </c>
      <c r="D7190" t="s">
        <v>428</v>
      </c>
      <c r="E7190" t="s">
        <v>429</v>
      </c>
      <c r="F7190">
        <v>250.26</v>
      </c>
      <c r="G7190">
        <v>230531</v>
      </c>
      <c r="H7190">
        <v>4520</v>
      </c>
      <c r="I7190" t="s">
        <v>254</v>
      </c>
      <c r="J7190">
        <v>285.3</v>
      </c>
      <c r="K7190">
        <v>35.04</v>
      </c>
      <c r="L7190">
        <v>16442</v>
      </c>
      <c r="M7190" t="s">
        <v>430</v>
      </c>
      <c r="N7190" t="str">
        <f t="shared" si="143"/>
        <v xml:space="preserve">2360452074  </v>
      </c>
      <c r="O7190">
        <v>230605</v>
      </c>
    </row>
    <row r="7191" spans="1:15" x14ac:dyDescent="0.25">
      <c r="A7191" t="s">
        <v>16</v>
      </c>
      <c r="B7191" t="s">
        <v>3221</v>
      </c>
      <c r="C7191">
        <v>7906</v>
      </c>
      <c r="D7191" t="s">
        <v>428</v>
      </c>
      <c r="E7191" t="s">
        <v>429</v>
      </c>
      <c r="F7191">
        <v>12.91</v>
      </c>
      <c r="G7191">
        <v>230531</v>
      </c>
      <c r="H7191">
        <v>4520</v>
      </c>
      <c r="I7191" t="s">
        <v>254</v>
      </c>
      <c r="J7191">
        <v>16.010000000000002</v>
      </c>
      <c r="K7191">
        <v>3.1</v>
      </c>
      <c r="L7191">
        <v>17913</v>
      </c>
      <c r="M7191" t="s">
        <v>431</v>
      </c>
      <c r="N7191" t="str">
        <f t="shared" si="143"/>
        <v xml:space="preserve">2360452074  </v>
      </c>
      <c r="O7191">
        <v>230605</v>
      </c>
    </row>
    <row r="7192" spans="1:15" x14ac:dyDescent="0.25">
      <c r="A7192" t="s">
        <v>16</v>
      </c>
      <c r="B7192" t="s">
        <v>3221</v>
      </c>
      <c r="C7192">
        <v>7906</v>
      </c>
      <c r="D7192" t="s">
        <v>428</v>
      </c>
      <c r="E7192" t="s">
        <v>429</v>
      </c>
      <c r="F7192">
        <v>1429.6</v>
      </c>
      <c r="G7192">
        <v>230531</v>
      </c>
      <c r="H7192">
        <v>4520</v>
      </c>
      <c r="I7192" t="s">
        <v>254</v>
      </c>
      <c r="J7192">
        <v>1629.74</v>
      </c>
      <c r="K7192">
        <v>200.14</v>
      </c>
      <c r="L7192">
        <v>17913</v>
      </c>
      <c r="M7192" t="s">
        <v>431</v>
      </c>
      <c r="N7192" t="str">
        <f t="shared" si="143"/>
        <v xml:space="preserve">2360452074  </v>
      </c>
      <c r="O7192">
        <v>230605</v>
      </c>
    </row>
    <row r="7193" spans="1:15" x14ac:dyDescent="0.25">
      <c r="A7193" t="s">
        <v>16</v>
      </c>
      <c r="B7193" t="s">
        <v>3221</v>
      </c>
      <c r="C7193">
        <v>7906</v>
      </c>
      <c r="D7193" t="s">
        <v>428</v>
      </c>
      <c r="E7193" t="s">
        <v>429</v>
      </c>
      <c r="F7193">
        <v>1.44</v>
      </c>
      <c r="G7193">
        <v>230531</v>
      </c>
      <c r="H7193">
        <v>4520</v>
      </c>
      <c r="I7193" t="s">
        <v>254</v>
      </c>
      <c r="J7193">
        <v>1.78</v>
      </c>
      <c r="K7193">
        <v>0.34</v>
      </c>
      <c r="L7193">
        <v>17982</v>
      </c>
      <c r="M7193" t="s">
        <v>432</v>
      </c>
      <c r="N7193" t="str">
        <f t="shared" si="143"/>
        <v xml:space="preserve">2360452074  </v>
      </c>
      <c r="O7193">
        <v>230605</v>
      </c>
    </row>
    <row r="7194" spans="1:15" x14ac:dyDescent="0.25">
      <c r="A7194" t="s">
        <v>16</v>
      </c>
      <c r="B7194" t="s">
        <v>3221</v>
      </c>
      <c r="C7194">
        <v>7906</v>
      </c>
      <c r="D7194" t="s">
        <v>428</v>
      </c>
      <c r="E7194" t="s">
        <v>429</v>
      </c>
      <c r="F7194">
        <v>226.98</v>
      </c>
      <c r="G7194">
        <v>230531</v>
      </c>
      <c r="H7194">
        <v>4520</v>
      </c>
      <c r="I7194" t="s">
        <v>254</v>
      </c>
      <c r="J7194">
        <v>258.76</v>
      </c>
      <c r="K7194">
        <v>31.78</v>
      </c>
      <c r="L7194">
        <v>17982</v>
      </c>
      <c r="M7194" t="s">
        <v>432</v>
      </c>
      <c r="N7194" t="str">
        <f t="shared" si="143"/>
        <v xml:space="preserve">2360452074  </v>
      </c>
      <c r="O7194">
        <v>230605</v>
      </c>
    </row>
    <row r="7195" spans="1:15" x14ac:dyDescent="0.25">
      <c r="A7195" t="s">
        <v>16</v>
      </c>
      <c r="B7195" t="s">
        <v>3221</v>
      </c>
      <c r="C7195">
        <v>7906</v>
      </c>
      <c r="D7195" t="s">
        <v>428</v>
      </c>
      <c r="E7195" t="s">
        <v>429</v>
      </c>
      <c r="F7195">
        <v>135.96</v>
      </c>
      <c r="G7195">
        <v>230531</v>
      </c>
      <c r="H7195">
        <v>4520</v>
      </c>
      <c r="I7195" t="s">
        <v>254</v>
      </c>
      <c r="J7195">
        <v>155</v>
      </c>
      <c r="K7195">
        <v>19.04</v>
      </c>
      <c r="L7195">
        <v>17984</v>
      </c>
      <c r="M7195" t="s">
        <v>950</v>
      </c>
      <c r="N7195" t="str">
        <f t="shared" si="143"/>
        <v xml:space="preserve">2360452074  </v>
      </c>
      <c r="O7195">
        <v>230605</v>
      </c>
    </row>
    <row r="7196" spans="1:15" x14ac:dyDescent="0.25">
      <c r="A7196" t="s">
        <v>16</v>
      </c>
      <c r="B7196" t="s">
        <v>3221</v>
      </c>
      <c r="C7196">
        <v>7909</v>
      </c>
      <c r="D7196" t="s">
        <v>428</v>
      </c>
      <c r="E7196" t="s">
        <v>429</v>
      </c>
      <c r="F7196">
        <v>2024.99</v>
      </c>
      <c r="G7196">
        <v>230531</v>
      </c>
      <c r="H7196">
        <v>4520</v>
      </c>
      <c r="I7196" t="s">
        <v>254</v>
      </c>
      <c r="J7196">
        <v>2308.4899999999998</v>
      </c>
      <c r="K7196">
        <v>283.5</v>
      </c>
      <c r="L7196">
        <v>69113</v>
      </c>
      <c r="M7196" t="s">
        <v>282</v>
      </c>
      <c r="N7196" t="str">
        <f>"2360452071  "</f>
        <v xml:space="preserve">2360452071  </v>
      </c>
      <c r="O7196">
        <v>230605</v>
      </c>
    </row>
    <row r="7197" spans="1:15" x14ac:dyDescent="0.25">
      <c r="A7197" t="s">
        <v>16</v>
      </c>
      <c r="B7197" t="s">
        <v>3221</v>
      </c>
      <c r="C7197">
        <v>7909</v>
      </c>
      <c r="D7197" t="s">
        <v>428</v>
      </c>
      <c r="E7197" t="s">
        <v>429</v>
      </c>
      <c r="F7197">
        <v>238.24</v>
      </c>
      <c r="G7197">
        <v>230531</v>
      </c>
      <c r="H7197">
        <v>4520</v>
      </c>
      <c r="I7197" t="s">
        <v>254</v>
      </c>
      <c r="J7197">
        <v>271.58999999999997</v>
      </c>
      <c r="K7197">
        <v>33.35</v>
      </c>
      <c r="L7197">
        <v>69802</v>
      </c>
      <c r="M7197" t="s">
        <v>283</v>
      </c>
      <c r="N7197" t="str">
        <f>"2360452071  "</f>
        <v xml:space="preserve">2360452071  </v>
      </c>
      <c r="O7197">
        <v>230605</v>
      </c>
    </row>
    <row r="7198" spans="1:15" x14ac:dyDescent="0.25">
      <c r="A7198" t="s">
        <v>16</v>
      </c>
      <c r="B7198" t="s">
        <v>3221</v>
      </c>
      <c r="C7198">
        <v>7909</v>
      </c>
      <c r="D7198" t="s">
        <v>428</v>
      </c>
      <c r="E7198" t="s">
        <v>429</v>
      </c>
      <c r="F7198">
        <v>119.11</v>
      </c>
      <c r="G7198">
        <v>230531</v>
      </c>
      <c r="H7198">
        <v>4520</v>
      </c>
      <c r="I7198" t="s">
        <v>254</v>
      </c>
      <c r="J7198">
        <v>135.79</v>
      </c>
      <c r="K7198">
        <v>16.68</v>
      </c>
      <c r="L7198">
        <v>69804</v>
      </c>
      <c r="M7198" t="s">
        <v>284</v>
      </c>
      <c r="N7198" t="str">
        <f>"2360452071  "</f>
        <v xml:space="preserve">2360452071  </v>
      </c>
      <c r="O7198">
        <v>230605</v>
      </c>
    </row>
    <row r="7199" spans="1:15" x14ac:dyDescent="0.25">
      <c r="A7199" t="s">
        <v>16</v>
      </c>
      <c r="B7199" t="s">
        <v>3221</v>
      </c>
      <c r="C7199">
        <v>8123</v>
      </c>
      <c r="D7199" t="s">
        <v>428</v>
      </c>
      <c r="E7199" t="s">
        <v>429</v>
      </c>
      <c r="F7199">
        <v>696.88</v>
      </c>
      <c r="G7199">
        <v>230531</v>
      </c>
      <c r="H7199">
        <v>4520</v>
      </c>
      <c r="I7199" t="s">
        <v>254</v>
      </c>
      <c r="J7199">
        <v>794.44</v>
      </c>
      <c r="K7199">
        <v>97.56</v>
      </c>
      <c r="L7199">
        <v>59114</v>
      </c>
      <c r="M7199" t="s">
        <v>556</v>
      </c>
      <c r="N7199" t="str">
        <f>"2360452068  "</f>
        <v xml:space="preserve">2360452068  </v>
      </c>
      <c r="O7199">
        <v>230607</v>
      </c>
    </row>
    <row r="7200" spans="1:15" x14ac:dyDescent="0.25">
      <c r="A7200" t="s">
        <v>16</v>
      </c>
      <c r="B7200" t="s">
        <v>3221</v>
      </c>
      <c r="C7200">
        <v>8124</v>
      </c>
      <c r="D7200" t="s">
        <v>428</v>
      </c>
      <c r="E7200" t="s">
        <v>429</v>
      </c>
      <c r="F7200">
        <v>271.68</v>
      </c>
      <c r="G7200">
        <v>230531</v>
      </c>
      <c r="H7200">
        <v>4520</v>
      </c>
      <c r="I7200" t="s">
        <v>254</v>
      </c>
      <c r="J7200">
        <v>309.72000000000003</v>
      </c>
      <c r="K7200">
        <v>38.04</v>
      </c>
      <c r="L7200">
        <v>44253</v>
      </c>
      <c r="M7200" t="s">
        <v>1058</v>
      </c>
      <c r="N7200" t="str">
        <f>"2360452076  "</f>
        <v xml:space="preserve">2360452076  </v>
      </c>
      <c r="O7200">
        <v>230607</v>
      </c>
    </row>
    <row r="7201" spans="1:15" x14ac:dyDescent="0.25">
      <c r="A7201" t="s">
        <v>16</v>
      </c>
      <c r="B7201" t="s">
        <v>3221</v>
      </c>
      <c r="C7201">
        <v>8125</v>
      </c>
      <c r="D7201" t="s">
        <v>428</v>
      </c>
      <c r="E7201" t="s">
        <v>429</v>
      </c>
      <c r="F7201">
        <v>1789.15</v>
      </c>
      <c r="G7201">
        <v>230531</v>
      </c>
      <c r="H7201">
        <v>4520</v>
      </c>
      <c r="I7201" t="s">
        <v>254</v>
      </c>
      <c r="J7201">
        <v>2039.63</v>
      </c>
      <c r="K7201">
        <v>250.48</v>
      </c>
      <c r="L7201">
        <v>59113</v>
      </c>
      <c r="M7201" t="s">
        <v>235</v>
      </c>
      <c r="N7201" t="str">
        <f>"2360452070  "</f>
        <v xml:space="preserve">2360452070  </v>
      </c>
      <c r="O7201">
        <v>230607</v>
      </c>
    </row>
    <row r="7202" spans="1:15" x14ac:dyDescent="0.25">
      <c r="A7202" t="s">
        <v>16</v>
      </c>
      <c r="B7202" t="s">
        <v>3221</v>
      </c>
      <c r="C7202">
        <v>8125</v>
      </c>
      <c r="D7202" t="s">
        <v>428</v>
      </c>
      <c r="E7202" t="s">
        <v>429</v>
      </c>
      <c r="F7202">
        <v>315.74</v>
      </c>
      <c r="G7202">
        <v>230531</v>
      </c>
      <c r="H7202">
        <v>4520</v>
      </c>
      <c r="I7202" t="s">
        <v>254</v>
      </c>
      <c r="J7202">
        <v>359.94</v>
      </c>
      <c r="K7202">
        <v>44.2</v>
      </c>
      <c r="L7202">
        <v>59803</v>
      </c>
      <c r="M7202" t="s">
        <v>533</v>
      </c>
      <c r="N7202" t="str">
        <f>"2360452070  "</f>
        <v xml:space="preserve">2360452070  </v>
      </c>
      <c r="O7202">
        <v>230607</v>
      </c>
    </row>
    <row r="7203" spans="1:15" x14ac:dyDescent="0.25">
      <c r="A7203" t="s">
        <v>16</v>
      </c>
      <c r="B7203" t="s">
        <v>3221</v>
      </c>
      <c r="C7203">
        <v>8181</v>
      </c>
      <c r="D7203" t="s">
        <v>428</v>
      </c>
      <c r="E7203" t="s">
        <v>429</v>
      </c>
      <c r="F7203">
        <v>219.88</v>
      </c>
      <c r="G7203">
        <v>230531</v>
      </c>
      <c r="H7203">
        <v>4520</v>
      </c>
      <c r="I7203" t="s">
        <v>254</v>
      </c>
      <c r="J7203">
        <v>250.66</v>
      </c>
      <c r="K7203">
        <v>30.78</v>
      </c>
      <c r="L7203">
        <v>69112</v>
      </c>
      <c r="M7203" t="s">
        <v>313</v>
      </c>
      <c r="N7203" t="str">
        <f>"2360452077  "</f>
        <v xml:space="preserve">2360452077  </v>
      </c>
      <c r="O7203">
        <v>230607</v>
      </c>
    </row>
    <row r="7204" spans="1:15" x14ac:dyDescent="0.25">
      <c r="A7204" t="s">
        <v>16</v>
      </c>
      <c r="B7204" t="s">
        <v>3221</v>
      </c>
      <c r="C7204">
        <v>8181</v>
      </c>
      <c r="D7204" t="s">
        <v>428</v>
      </c>
      <c r="E7204" t="s">
        <v>429</v>
      </c>
      <c r="F7204">
        <v>12.22</v>
      </c>
      <c r="G7204">
        <v>230531</v>
      </c>
      <c r="H7204">
        <v>4520</v>
      </c>
      <c r="I7204" t="s">
        <v>254</v>
      </c>
      <c r="J7204">
        <v>13.93</v>
      </c>
      <c r="K7204">
        <v>1.71</v>
      </c>
      <c r="L7204">
        <v>69810</v>
      </c>
      <c r="M7204" t="s">
        <v>314</v>
      </c>
      <c r="N7204" t="str">
        <f>"2360452077  "</f>
        <v xml:space="preserve">2360452077  </v>
      </c>
      <c r="O7204">
        <v>230607</v>
      </c>
    </row>
    <row r="7205" spans="1:15" x14ac:dyDescent="0.25">
      <c r="A7205" t="s">
        <v>16</v>
      </c>
      <c r="B7205" t="s">
        <v>3221</v>
      </c>
      <c r="C7205">
        <v>8181</v>
      </c>
      <c r="D7205" t="s">
        <v>428</v>
      </c>
      <c r="E7205" t="s">
        <v>429</v>
      </c>
      <c r="F7205">
        <v>12.21</v>
      </c>
      <c r="G7205">
        <v>230531</v>
      </c>
      <c r="H7205">
        <v>4520</v>
      </c>
      <c r="I7205" t="s">
        <v>254</v>
      </c>
      <c r="J7205">
        <v>13.92</v>
      </c>
      <c r="K7205">
        <v>1.71</v>
      </c>
      <c r="L7205">
        <v>69811</v>
      </c>
      <c r="M7205" t="s">
        <v>315</v>
      </c>
      <c r="N7205" t="str">
        <f>"2360452077  "</f>
        <v xml:space="preserve">2360452077  </v>
      </c>
      <c r="O7205">
        <v>230607</v>
      </c>
    </row>
    <row r="7206" spans="1:15" x14ac:dyDescent="0.25">
      <c r="A7206" t="s">
        <v>16</v>
      </c>
      <c r="B7206" t="s">
        <v>3221</v>
      </c>
      <c r="C7206">
        <v>8387</v>
      </c>
      <c r="D7206" t="s">
        <v>428</v>
      </c>
      <c r="E7206" t="s">
        <v>429</v>
      </c>
      <c r="F7206">
        <v>1167.4100000000001</v>
      </c>
      <c r="G7206">
        <v>230531</v>
      </c>
      <c r="H7206">
        <v>4520</v>
      </c>
      <c r="I7206" t="s">
        <v>254</v>
      </c>
      <c r="J7206">
        <v>1330.85</v>
      </c>
      <c r="K7206">
        <v>163.44</v>
      </c>
      <c r="L7206">
        <v>49112</v>
      </c>
      <c r="M7206" t="s">
        <v>233</v>
      </c>
      <c r="N7206" t="str">
        <f>"2360452072  "</f>
        <v xml:space="preserve">2360452072  </v>
      </c>
      <c r="O7206">
        <v>230608</v>
      </c>
    </row>
    <row r="7207" spans="1:15" x14ac:dyDescent="0.25">
      <c r="A7207" t="s">
        <v>16</v>
      </c>
      <c r="B7207" t="s">
        <v>3221</v>
      </c>
      <c r="C7207">
        <v>8467</v>
      </c>
      <c r="D7207" t="s">
        <v>428</v>
      </c>
      <c r="E7207" t="s">
        <v>429</v>
      </c>
      <c r="F7207">
        <v>8.44</v>
      </c>
      <c r="G7207">
        <v>230531</v>
      </c>
      <c r="H7207">
        <v>4520</v>
      </c>
      <c r="I7207" t="s">
        <v>254</v>
      </c>
      <c r="J7207">
        <v>10.46</v>
      </c>
      <c r="K7207">
        <v>2.02</v>
      </c>
      <c r="L7207">
        <v>14422</v>
      </c>
      <c r="M7207" t="s">
        <v>228</v>
      </c>
      <c r="N7207" t="str">
        <f t="shared" ref="N7207:N7218" si="144">"2360452075  "</f>
        <v xml:space="preserve">2360452075  </v>
      </c>
      <c r="O7207">
        <v>230609</v>
      </c>
    </row>
    <row r="7208" spans="1:15" x14ac:dyDescent="0.25">
      <c r="A7208" t="s">
        <v>16</v>
      </c>
      <c r="B7208" t="s">
        <v>3221</v>
      </c>
      <c r="C7208">
        <v>8467</v>
      </c>
      <c r="D7208" t="s">
        <v>428</v>
      </c>
      <c r="E7208" t="s">
        <v>429</v>
      </c>
      <c r="F7208">
        <v>49.3</v>
      </c>
      <c r="G7208">
        <v>230531</v>
      </c>
      <c r="H7208">
        <v>4520</v>
      </c>
      <c r="I7208" t="s">
        <v>254</v>
      </c>
      <c r="J7208">
        <v>56.2</v>
      </c>
      <c r="K7208">
        <v>6.9</v>
      </c>
      <c r="L7208">
        <v>14422</v>
      </c>
      <c r="M7208" t="s">
        <v>228</v>
      </c>
      <c r="N7208" t="str">
        <f t="shared" si="144"/>
        <v xml:space="preserve">2360452075  </v>
      </c>
      <c r="O7208">
        <v>230609</v>
      </c>
    </row>
    <row r="7209" spans="1:15" x14ac:dyDescent="0.25">
      <c r="A7209" t="s">
        <v>16</v>
      </c>
      <c r="B7209" t="s">
        <v>3221</v>
      </c>
      <c r="C7209">
        <v>8467</v>
      </c>
      <c r="D7209" t="s">
        <v>428</v>
      </c>
      <c r="E7209" t="s">
        <v>429</v>
      </c>
      <c r="F7209">
        <v>33.729999999999997</v>
      </c>
      <c r="G7209">
        <v>230531</v>
      </c>
      <c r="H7209">
        <v>4520</v>
      </c>
      <c r="I7209" t="s">
        <v>254</v>
      </c>
      <c r="J7209">
        <v>41.83</v>
      </c>
      <c r="K7209">
        <v>8.1</v>
      </c>
      <c r="L7209">
        <v>14431</v>
      </c>
      <c r="M7209" t="s">
        <v>861</v>
      </c>
      <c r="N7209" t="str">
        <f t="shared" si="144"/>
        <v xml:space="preserve">2360452075  </v>
      </c>
      <c r="O7209">
        <v>230609</v>
      </c>
    </row>
    <row r="7210" spans="1:15" x14ac:dyDescent="0.25">
      <c r="A7210" t="s">
        <v>16</v>
      </c>
      <c r="B7210" t="s">
        <v>3221</v>
      </c>
      <c r="C7210">
        <v>8467</v>
      </c>
      <c r="D7210" t="s">
        <v>428</v>
      </c>
      <c r="E7210" t="s">
        <v>429</v>
      </c>
      <c r="F7210">
        <v>197.21</v>
      </c>
      <c r="G7210">
        <v>230531</v>
      </c>
      <c r="H7210">
        <v>4520</v>
      </c>
      <c r="I7210" t="s">
        <v>254</v>
      </c>
      <c r="J7210">
        <v>224.82</v>
      </c>
      <c r="K7210">
        <v>27.61</v>
      </c>
      <c r="L7210">
        <v>14431</v>
      </c>
      <c r="M7210" t="s">
        <v>861</v>
      </c>
      <c r="N7210" t="str">
        <f t="shared" si="144"/>
        <v xml:space="preserve">2360452075  </v>
      </c>
      <c r="O7210">
        <v>230609</v>
      </c>
    </row>
    <row r="7211" spans="1:15" x14ac:dyDescent="0.25">
      <c r="A7211" t="s">
        <v>16</v>
      </c>
      <c r="B7211" t="s">
        <v>3221</v>
      </c>
      <c r="C7211">
        <v>8467</v>
      </c>
      <c r="D7211" t="s">
        <v>428</v>
      </c>
      <c r="E7211" t="s">
        <v>429</v>
      </c>
      <c r="F7211">
        <v>143.38</v>
      </c>
      <c r="G7211">
        <v>230531</v>
      </c>
      <c r="H7211">
        <v>4520</v>
      </c>
      <c r="I7211" t="s">
        <v>254</v>
      </c>
      <c r="J7211">
        <v>177.79</v>
      </c>
      <c r="K7211">
        <v>34.409999999999997</v>
      </c>
      <c r="L7211">
        <v>14432</v>
      </c>
      <c r="M7211" t="s">
        <v>862</v>
      </c>
      <c r="N7211" t="str">
        <f t="shared" si="144"/>
        <v xml:space="preserve">2360452075  </v>
      </c>
      <c r="O7211">
        <v>230609</v>
      </c>
    </row>
    <row r="7212" spans="1:15" x14ac:dyDescent="0.25">
      <c r="A7212" t="s">
        <v>16</v>
      </c>
      <c r="B7212" t="s">
        <v>3221</v>
      </c>
      <c r="C7212">
        <v>8467</v>
      </c>
      <c r="D7212" t="s">
        <v>428</v>
      </c>
      <c r="E7212" t="s">
        <v>429</v>
      </c>
      <c r="F7212">
        <v>838.13</v>
      </c>
      <c r="G7212">
        <v>230531</v>
      </c>
      <c r="H7212">
        <v>4520</v>
      </c>
      <c r="I7212" t="s">
        <v>254</v>
      </c>
      <c r="J7212">
        <v>955.47</v>
      </c>
      <c r="K7212">
        <v>117.34</v>
      </c>
      <c r="L7212">
        <v>14432</v>
      </c>
      <c r="M7212" t="s">
        <v>862</v>
      </c>
      <c r="N7212" t="str">
        <f t="shared" si="144"/>
        <v xml:space="preserve">2360452075  </v>
      </c>
      <c r="O7212">
        <v>230609</v>
      </c>
    </row>
    <row r="7213" spans="1:15" x14ac:dyDescent="0.25">
      <c r="A7213" t="s">
        <v>16</v>
      </c>
      <c r="B7213" t="s">
        <v>3221</v>
      </c>
      <c r="C7213">
        <v>8467</v>
      </c>
      <c r="D7213" t="s">
        <v>428</v>
      </c>
      <c r="E7213" t="s">
        <v>429</v>
      </c>
      <c r="F7213">
        <v>8.44</v>
      </c>
      <c r="G7213">
        <v>230531</v>
      </c>
      <c r="H7213">
        <v>4520</v>
      </c>
      <c r="I7213" t="s">
        <v>254</v>
      </c>
      <c r="J7213">
        <v>10.47</v>
      </c>
      <c r="K7213">
        <v>2.0299999999999998</v>
      </c>
      <c r="L7213">
        <v>14640</v>
      </c>
      <c r="M7213" t="s">
        <v>229</v>
      </c>
      <c r="N7213" t="str">
        <f t="shared" si="144"/>
        <v xml:space="preserve">2360452075  </v>
      </c>
      <c r="O7213">
        <v>230609</v>
      </c>
    </row>
    <row r="7214" spans="1:15" x14ac:dyDescent="0.25">
      <c r="A7214" t="s">
        <v>16</v>
      </c>
      <c r="B7214" t="s">
        <v>3221</v>
      </c>
      <c r="C7214">
        <v>8467</v>
      </c>
      <c r="D7214" t="s">
        <v>428</v>
      </c>
      <c r="E7214" t="s">
        <v>429</v>
      </c>
      <c r="F7214">
        <v>49.32</v>
      </c>
      <c r="G7214">
        <v>230531</v>
      </c>
      <c r="H7214">
        <v>4520</v>
      </c>
      <c r="I7214" t="s">
        <v>254</v>
      </c>
      <c r="J7214">
        <v>56.22</v>
      </c>
      <c r="K7214">
        <v>6.9</v>
      </c>
      <c r="L7214">
        <v>14640</v>
      </c>
      <c r="M7214" t="s">
        <v>229</v>
      </c>
      <c r="N7214" t="str">
        <f t="shared" si="144"/>
        <v xml:space="preserve">2360452075  </v>
      </c>
      <c r="O7214">
        <v>230609</v>
      </c>
    </row>
    <row r="7215" spans="1:15" x14ac:dyDescent="0.25">
      <c r="A7215" t="s">
        <v>16</v>
      </c>
      <c r="B7215" t="s">
        <v>3221</v>
      </c>
      <c r="C7215">
        <v>8467</v>
      </c>
      <c r="D7215" t="s">
        <v>428</v>
      </c>
      <c r="E7215" t="s">
        <v>429</v>
      </c>
      <c r="F7215">
        <v>33.729999999999997</v>
      </c>
      <c r="G7215">
        <v>230531</v>
      </c>
      <c r="H7215">
        <v>4520</v>
      </c>
      <c r="I7215" t="s">
        <v>254</v>
      </c>
      <c r="J7215">
        <v>41.83</v>
      </c>
      <c r="K7215">
        <v>8.1</v>
      </c>
      <c r="L7215">
        <v>14642</v>
      </c>
      <c r="M7215" t="s">
        <v>863</v>
      </c>
      <c r="N7215" t="str">
        <f t="shared" si="144"/>
        <v xml:space="preserve">2360452075  </v>
      </c>
      <c r="O7215">
        <v>230609</v>
      </c>
    </row>
    <row r="7216" spans="1:15" x14ac:dyDescent="0.25">
      <c r="A7216" t="s">
        <v>16</v>
      </c>
      <c r="B7216" t="s">
        <v>3221</v>
      </c>
      <c r="C7216">
        <v>8467</v>
      </c>
      <c r="D7216" t="s">
        <v>428</v>
      </c>
      <c r="E7216" t="s">
        <v>429</v>
      </c>
      <c r="F7216">
        <v>197.21</v>
      </c>
      <c r="G7216">
        <v>230531</v>
      </c>
      <c r="H7216">
        <v>4520</v>
      </c>
      <c r="I7216" t="s">
        <v>254</v>
      </c>
      <c r="J7216">
        <v>224.82</v>
      </c>
      <c r="K7216">
        <v>27.61</v>
      </c>
      <c r="L7216">
        <v>14642</v>
      </c>
      <c r="M7216" t="s">
        <v>863</v>
      </c>
      <c r="N7216" t="str">
        <f t="shared" si="144"/>
        <v xml:space="preserve">2360452075  </v>
      </c>
      <c r="O7216">
        <v>230609</v>
      </c>
    </row>
    <row r="7217" spans="1:15" x14ac:dyDescent="0.25">
      <c r="A7217" t="s">
        <v>16</v>
      </c>
      <c r="B7217" t="s">
        <v>3221</v>
      </c>
      <c r="C7217">
        <v>8467</v>
      </c>
      <c r="D7217" t="s">
        <v>428</v>
      </c>
      <c r="E7217" t="s">
        <v>429</v>
      </c>
      <c r="F7217">
        <v>615.70000000000005</v>
      </c>
      <c r="G7217">
        <v>230531</v>
      </c>
      <c r="H7217">
        <v>4520</v>
      </c>
      <c r="I7217" t="s">
        <v>254</v>
      </c>
      <c r="J7217">
        <v>763.47</v>
      </c>
      <c r="K7217">
        <v>147.77000000000001</v>
      </c>
      <c r="L7217">
        <v>14912</v>
      </c>
      <c r="M7217" t="s">
        <v>230</v>
      </c>
      <c r="N7217" t="str">
        <f t="shared" si="144"/>
        <v xml:space="preserve">2360452075  </v>
      </c>
      <c r="O7217">
        <v>230609</v>
      </c>
    </row>
    <row r="7218" spans="1:15" x14ac:dyDescent="0.25">
      <c r="A7218" t="s">
        <v>16</v>
      </c>
      <c r="B7218" t="s">
        <v>3221</v>
      </c>
      <c r="C7218">
        <v>8467</v>
      </c>
      <c r="D7218" t="s">
        <v>428</v>
      </c>
      <c r="E7218" t="s">
        <v>429</v>
      </c>
      <c r="F7218">
        <v>3599.04</v>
      </c>
      <c r="G7218">
        <v>230531</v>
      </c>
      <c r="H7218">
        <v>4520</v>
      </c>
      <c r="I7218" t="s">
        <v>254</v>
      </c>
      <c r="J7218">
        <v>4102.8999999999996</v>
      </c>
      <c r="K7218">
        <v>503.86</v>
      </c>
      <c r="L7218">
        <v>14912</v>
      </c>
      <c r="M7218" t="s">
        <v>230</v>
      </c>
      <c r="N7218" t="str">
        <f t="shared" si="144"/>
        <v xml:space="preserve">2360452075  </v>
      </c>
      <c r="O7218">
        <v>230609</v>
      </c>
    </row>
    <row r="7219" spans="1:15" x14ac:dyDescent="0.25">
      <c r="A7219" t="s">
        <v>16</v>
      </c>
      <c r="B7219" t="s">
        <v>3221</v>
      </c>
      <c r="C7219">
        <v>8470</v>
      </c>
      <c r="D7219" t="s">
        <v>428</v>
      </c>
      <c r="E7219" t="s">
        <v>429</v>
      </c>
      <c r="F7219">
        <v>83.75</v>
      </c>
      <c r="G7219">
        <v>230531</v>
      </c>
      <c r="H7219">
        <v>4520</v>
      </c>
      <c r="I7219" t="s">
        <v>254</v>
      </c>
      <c r="J7219">
        <v>103.85</v>
      </c>
      <c r="K7219">
        <v>20.100000000000001</v>
      </c>
      <c r="L7219">
        <v>17915</v>
      </c>
      <c r="M7219" t="s">
        <v>572</v>
      </c>
      <c r="N7219" t="str">
        <f>"2360452073  "</f>
        <v xml:space="preserve">2360452073  </v>
      </c>
      <c r="O7219">
        <v>230609</v>
      </c>
    </row>
    <row r="7220" spans="1:15" x14ac:dyDescent="0.25">
      <c r="A7220" t="s">
        <v>16</v>
      </c>
      <c r="B7220" t="s">
        <v>3221</v>
      </c>
      <c r="C7220">
        <v>8470</v>
      </c>
      <c r="D7220" t="s">
        <v>428</v>
      </c>
      <c r="E7220" t="s">
        <v>429</v>
      </c>
      <c r="F7220">
        <v>1248.83</v>
      </c>
      <c r="G7220">
        <v>230531</v>
      </c>
      <c r="H7220">
        <v>4520</v>
      </c>
      <c r="I7220" t="s">
        <v>254</v>
      </c>
      <c r="J7220">
        <v>1423.67</v>
      </c>
      <c r="K7220">
        <v>174.84</v>
      </c>
      <c r="L7220">
        <v>17915</v>
      </c>
      <c r="M7220" t="s">
        <v>572</v>
      </c>
      <c r="N7220" t="str">
        <f>"2360452073  "</f>
        <v xml:space="preserve">2360452073  </v>
      </c>
      <c r="O7220">
        <v>230609</v>
      </c>
    </row>
    <row r="7221" spans="1:15" x14ac:dyDescent="0.25">
      <c r="A7221" t="s">
        <v>16</v>
      </c>
      <c r="B7221" t="s">
        <v>3221</v>
      </c>
      <c r="C7221">
        <v>8470</v>
      </c>
      <c r="D7221" t="s">
        <v>428</v>
      </c>
      <c r="E7221" t="s">
        <v>429</v>
      </c>
      <c r="F7221">
        <v>9.31</v>
      </c>
      <c r="G7221">
        <v>230531</v>
      </c>
      <c r="H7221">
        <v>4520</v>
      </c>
      <c r="I7221" t="s">
        <v>254</v>
      </c>
      <c r="J7221">
        <v>11.54</v>
      </c>
      <c r="K7221">
        <v>2.23</v>
      </c>
      <c r="L7221">
        <v>17982</v>
      </c>
      <c r="M7221" t="s">
        <v>432</v>
      </c>
      <c r="N7221" t="str">
        <f>"2360452073  "</f>
        <v xml:space="preserve">2360452073  </v>
      </c>
      <c r="O7221">
        <v>230609</v>
      </c>
    </row>
    <row r="7222" spans="1:15" x14ac:dyDescent="0.25">
      <c r="A7222" t="s">
        <v>16</v>
      </c>
      <c r="B7222" t="s">
        <v>3221</v>
      </c>
      <c r="C7222">
        <v>8470</v>
      </c>
      <c r="D7222" t="s">
        <v>428</v>
      </c>
      <c r="E7222" t="s">
        <v>429</v>
      </c>
      <c r="F7222">
        <v>138.77000000000001</v>
      </c>
      <c r="G7222">
        <v>230531</v>
      </c>
      <c r="H7222">
        <v>4520</v>
      </c>
      <c r="I7222" t="s">
        <v>254</v>
      </c>
      <c r="J7222">
        <v>158.19999999999999</v>
      </c>
      <c r="K7222">
        <v>19.43</v>
      </c>
      <c r="L7222">
        <v>17982</v>
      </c>
      <c r="M7222" t="s">
        <v>432</v>
      </c>
      <c r="N7222" t="str">
        <f>"2360452073  "</f>
        <v xml:space="preserve">2360452073  </v>
      </c>
      <c r="O7222">
        <v>230609</v>
      </c>
    </row>
    <row r="7223" spans="1:15" x14ac:dyDescent="0.25">
      <c r="A7223" t="s">
        <v>16</v>
      </c>
      <c r="B7223" t="s">
        <v>3221</v>
      </c>
      <c r="C7223">
        <v>8990</v>
      </c>
      <c r="D7223" t="s">
        <v>428</v>
      </c>
      <c r="E7223" t="s">
        <v>429</v>
      </c>
      <c r="F7223">
        <v>1179.42</v>
      </c>
      <c r="G7223">
        <v>230615</v>
      </c>
      <c r="H7223">
        <v>4520</v>
      </c>
      <c r="I7223" t="s">
        <v>254</v>
      </c>
      <c r="J7223">
        <v>1344.54</v>
      </c>
      <c r="K7223">
        <v>165.12</v>
      </c>
      <c r="L7223">
        <v>69113</v>
      </c>
      <c r="M7223" t="s">
        <v>282</v>
      </c>
      <c r="N7223" t="str">
        <f>"2360518965  "</f>
        <v xml:space="preserve">2360518965  </v>
      </c>
      <c r="O7223">
        <v>230620</v>
      </c>
    </row>
    <row r="7224" spans="1:15" x14ac:dyDescent="0.25">
      <c r="A7224" t="s">
        <v>16</v>
      </c>
      <c r="B7224" t="s">
        <v>3221</v>
      </c>
      <c r="C7224">
        <v>8990</v>
      </c>
      <c r="D7224" t="s">
        <v>428</v>
      </c>
      <c r="E7224" t="s">
        <v>429</v>
      </c>
      <c r="F7224">
        <v>138.75</v>
      </c>
      <c r="G7224">
        <v>230615</v>
      </c>
      <c r="H7224">
        <v>4520</v>
      </c>
      <c r="I7224" t="s">
        <v>254</v>
      </c>
      <c r="J7224">
        <v>158.18</v>
      </c>
      <c r="K7224">
        <v>19.43</v>
      </c>
      <c r="L7224">
        <v>69802</v>
      </c>
      <c r="M7224" t="s">
        <v>283</v>
      </c>
      <c r="N7224" t="str">
        <f>"2360518965  "</f>
        <v xml:space="preserve">2360518965  </v>
      </c>
      <c r="O7224">
        <v>230620</v>
      </c>
    </row>
    <row r="7225" spans="1:15" x14ac:dyDescent="0.25">
      <c r="A7225" t="s">
        <v>16</v>
      </c>
      <c r="B7225" t="s">
        <v>3221</v>
      </c>
      <c r="C7225">
        <v>8990</v>
      </c>
      <c r="D7225" t="s">
        <v>428</v>
      </c>
      <c r="E7225" t="s">
        <v>429</v>
      </c>
      <c r="F7225">
        <v>69.38</v>
      </c>
      <c r="G7225">
        <v>230615</v>
      </c>
      <c r="H7225">
        <v>4520</v>
      </c>
      <c r="I7225" t="s">
        <v>254</v>
      </c>
      <c r="J7225">
        <v>79.09</v>
      </c>
      <c r="K7225">
        <v>9.7100000000000009</v>
      </c>
      <c r="L7225">
        <v>69804</v>
      </c>
      <c r="M7225" t="s">
        <v>284</v>
      </c>
      <c r="N7225" t="str">
        <f>"2360518965  "</f>
        <v xml:space="preserve">2360518965  </v>
      </c>
      <c r="O7225">
        <v>230620</v>
      </c>
    </row>
    <row r="7226" spans="1:15" x14ac:dyDescent="0.25">
      <c r="A7226" t="s">
        <v>16</v>
      </c>
      <c r="B7226" t="s">
        <v>3221</v>
      </c>
      <c r="C7226">
        <v>8992</v>
      </c>
      <c r="D7226" t="s">
        <v>428</v>
      </c>
      <c r="E7226" t="s">
        <v>429</v>
      </c>
      <c r="F7226">
        <v>24.48</v>
      </c>
      <c r="G7226">
        <v>230615</v>
      </c>
      <c r="H7226">
        <v>4520</v>
      </c>
      <c r="I7226" t="s">
        <v>254</v>
      </c>
      <c r="J7226">
        <v>30.36</v>
      </c>
      <c r="K7226">
        <v>5.88</v>
      </c>
      <c r="L7226">
        <v>17915</v>
      </c>
      <c r="M7226" t="s">
        <v>572</v>
      </c>
      <c r="N7226" t="str">
        <f>"2360518966  "</f>
        <v xml:space="preserve">2360518966  </v>
      </c>
      <c r="O7226">
        <v>230620</v>
      </c>
    </row>
    <row r="7227" spans="1:15" x14ac:dyDescent="0.25">
      <c r="A7227" t="s">
        <v>16</v>
      </c>
      <c r="B7227" t="s">
        <v>3221</v>
      </c>
      <c r="C7227">
        <v>8992</v>
      </c>
      <c r="D7227" t="s">
        <v>428</v>
      </c>
      <c r="E7227" t="s">
        <v>429</v>
      </c>
      <c r="F7227">
        <v>1444.18</v>
      </c>
      <c r="G7227">
        <v>230615</v>
      </c>
      <c r="H7227">
        <v>4520</v>
      </c>
      <c r="I7227" t="s">
        <v>254</v>
      </c>
      <c r="J7227">
        <v>1646.37</v>
      </c>
      <c r="K7227">
        <v>202.19</v>
      </c>
      <c r="L7227">
        <v>17915</v>
      </c>
      <c r="M7227" t="s">
        <v>572</v>
      </c>
      <c r="N7227" t="str">
        <f>"2360518966  "</f>
        <v xml:space="preserve">2360518966  </v>
      </c>
      <c r="O7227">
        <v>230620</v>
      </c>
    </row>
    <row r="7228" spans="1:15" x14ac:dyDescent="0.25">
      <c r="A7228" t="s">
        <v>16</v>
      </c>
      <c r="B7228" t="s">
        <v>3221</v>
      </c>
      <c r="C7228">
        <v>8992</v>
      </c>
      <c r="D7228" t="s">
        <v>428</v>
      </c>
      <c r="E7228" t="s">
        <v>429</v>
      </c>
      <c r="F7228">
        <v>2.72</v>
      </c>
      <c r="G7228">
        <v>230615</v>
      </c>
      <c r="H7228">
        <v>4520</v>
      </c>
      <c r="I7228" t="s">
        <v>254</v>
      </c>
      <c r="J7228">
        <v>3.37</v>
      </c>
      <c r="K7228">
        <v>0.65</v>
      </c>
      <c r="L7228">
        <v>17982</v>
      </c>
      <c r="M7228" t="s">
        <v>432</v>
      </c>
      <c r="N7228" t="str">
        <f>"2360518966  "</f>
        <v xml:space="preserve">2360518966  </v>
      </c>
      <c r="O7228">
        <v>230620</v>
      </c>
    </row>
    <row r="7229" spans="1:15" x14ac:dyDescent="0.25">
      <c r="A7229" t="s">
        <v>16</v>
      </c>
      <c r="B7229" t="s">
        <v>3221</v>
      </c>
      <c r="C7229">
        <v>8992</v>
      </c>
      <c r="D7229" t="s">
        <v>428</v>
      </c>
      <c r="E7229" t="s">
        <v>429</v>
      </c>
      <c r="F7229">
        <v>160.53</v>
      </c>
      <c r="G7229">
        <v>230615</v>
      </c>
      <c r="H7229">
        <v>4520</v>
      </c>
      <c r="I7229" t="s">
        <v>254</v>
      </c>
      <c r="J7229">
        <v>183</v>
      </c>
      <c r="K7229">
        <v>22.47</v>
      </c>
      <c r="L7229">
        <v>17982</v>
      </c>
      <c r="M7229" t="s">
        <v>432</v>
      </c>
      <c r="N7229" t="str">
        <f>"2360518966  "</f>
        <v xml:space="preserve">2360518966  </v>
      </c>
      <c r="O7229">
        <v>230620</v>
      </c>
    </row>
    <row r="7230" spans="1:15" x14ac:dyDescent="0.25">
      <c r="A7230" t="s">
        <v>16</v>
      </c>
      <c r="B7230" t="s">
        <v>3221</v>
      </c>
      <c r="C7230">
        <v>9067</v>
      </c>
      <c r="D7230" t="s">
        <v>428</v>
      </c>
      <c r="E7230" t="s">
        <v>429</v>
      </c>
      <c r="F7230">
        <v>3.77</v>
      </c>
      <c r="G7230">
        <v>230615</v>
      </c>
      <c r="H7230">
        <v>4520</v>
      </c>
      <c r="I7230" t="s">
        <v>254</v>
      </c>
      <c r="J7230">
        <v>4.68</v>
      </c>
      <c r="K7230">
        <v>0.91</v>
      </c>
      <c r="L7230">
        <v>14422</v>
      </c>
      <c r="M7230" t="s">
        <v>228</v>
      </c>
      <c r="N7230" t="str">
        <f t="shared" ref="N7230:N7241" si="145">"2360518967  "</f>
        <v xml:space="preserve">2360518967  </v>
      </c>
      <c r="O7230">
        <v>230622</v>
      </c>
    </row>
    <row r="7231" spans="1:15" x14ac:dyDescent="0.25">
      <c r="A7231" t="s">
        <v>16</v>
      </c>
      <c r="B7231" t="s">
        <v>3221</v>
      </c>
      <c r="C7231">
        <v>9067</v>
      </c>
      <c r="D7231" t="s">
        <v>428</v>
      </c>
      <c r="E7231" t="s">
        <v>429</v>
      </c>
      <c r="F7231">
        <v>33.53</v>
      </c>
      <c r="G7231">
        <v>230615</v>
      </c>
      <c r="H7231">
        <v>4520</v>
      </c>
      <c r="I7231" t="s">
        <v>254</v>
      </c>
      <c r="J7231">
        <v>38.22</v>
      </c>
      <c r="K7231">
        <v>4.6900000000000004</v>
      </c>
      <c r="L7231">
        <v>14422</v>
      </c>
      <c r="M7231" t="s">
        <v>228</v>
      </c>
      <c r="N7231" t="str">
        <f t="shared" si="145"/>
        <v xml:space="preserve">2360518967  </v>
      </c>
      <c r="O7231">
        <v>230622</v>
      </c>
    </row>
    <row r="7232" spans="1:15" x14ac:dyDescent="0.25">
      <c r="A7232" t="s">
        <v>16</v>
      </c>
      <c r="B7232" t="s">
        <v>3221</v>
      </c>
      <c r="C7232">
        <v>9067</v>
      </c>
      <c r="D7232" t="s">
        <v>428</v>
      </c>
      <c r="E7232" t="s">
        <v>429</v>
      </c>
      <c r="F7232">
        <v>15.11</v>
      </c>
      <c r="G7232">
        <v>230615</v>
      </c>
      <c r="H7232">
        <v>4520</v>
      </c>
      <c r="I7232" t="s">
        <v>254</v>
      </c>
      <c r="J7232">
        <v>18.739999999999998</v>
      </c>
      <c r="K7232">
        <v>3.63</v>
      </c>
      <c r="L7232">
        <v>14431</v>
      </c>
      <c r="M7232" t="s">
        <v>861</v>
      </c>
      <c r="N7232" t="str">
        <f t="shared" si="145"/>
        <v xml:space="preserve">2360518967  </v>
      </c>
      <c r="O7232">
        <v>230622</v>
      </c>
    </row>
    <row r="7233" spans="1:15" x14ac:dyDescent="0.25">
      <c r="A7233" t="s">
        <v>16</v>
      </c>
      <c r="B7233" t="s">
        <v>3221</v>
      </c>
      <c r="C7233">
        <v>9067</v>
      </c>
      <c r="D7233" t="s">
        <v>428</v>
      </c>
      <c r="E7233" t="s">
        <v>429</v>
      </c>
      <c r="F7233">
        <v>134.11000000000001</v>
      </c>
      <c r="G7233">
        <v>230615</v>
      </c>
      <c r="H7233">
        <v>4520</v>
      </c>
      <c r="I7233" t="s">
        <v>254</v>
      </c>
      <c r="J7233">
        <v>152.88999999999999</v>
      </c>
      <c r="K7233">
        <v>18.78</v>
      </c>
      <c r="L7233">
        <v>14431</v>
      </c>
      <c r="M7233" t="s">
        <v>861</v>
      </c>
      <c r="N7233" t="str">
        <f t="shared" si="145"/>
        <v xml:space="preserve">2360518967  </v>
      </c>
      <c r="O7233">
        <v>230622</v>
      </c>
    </row>
    <row r="7234" spans="1:15" x14ac:dyDescent="0.25">
      <c r="A7234" t="s">
        <v>16</v>
      </c>
      <c r="B7234" t="s">
        <v>3221</v>
      </c>
      <c r="C7234">
        <v>9067</v>
      </c>
      <c r="D7234" t="s">
        <v>428</v>
      </c>
      <c r="E7234" t="s">
        <v>429</v>
      </c>
      <c r="F7234">
        <v>64.22</v>
      </c>
      <c r="G7234">
        <v>230615</v>
      </c>
      <c r="H7234">
        <v>4520</v>
      </c>
      <c r="I7234" t="s">
        <v>254</v>
      </c>
      <c r="J7234">
        <v>79.63</v>
      </c>
      <c r="K7234">
        <v>15.41</v>
      </c>
      <c r="L7234">
        <v>14432</v>
      </c>
      <c r="M7234" t="s">
        <v>862</v>
      </c>
      <c r="N7234" t="str">
        <f t="shared" si="145"/>
        <v xml:space="preserve">2360518967  </v>
      </c>
      <c r="O7234">
        <v>230622</v>
      </c>
    </row>
    <row r="7235" spans="1:15" x14ac:dyDescent="0.25">
      <c r="A7235" t="s">
        <v>16</v>
      </c>
      <c r="B7235" t="s">
        <v>3221</v>
      </c>
      <c r="C7235">
        <v>9067</v>
      </c>
      <c r="D7235" t="s">
        <v>428</v>
      </c>
      <c r="E7235" t="s">
        <v>429</v>
      </c>
      <c r="F7235">
        <v>569.98</v>
      </c>
      <c r="G7235">
        <v>230615</v>
      </c>
      <c r="H7235">
        <v>4520</v>
      </c>
      <c r="I7235" t="s">
        <v>254</v>
      </c>
      <c r="J7235">
        <v>649.78</v>
      </c>
      <c r="K7235">
        <v>79.8</v>
      </c>
      <c r="L7235">
        <v>14432</v>
      </c>
      <c r="M7235" t="s">
        <v>862</v>
      </c>
      <c r="N7235" t="str">
        <f t="shared" si="145"/>
        <v xml:space="preserve">2360518967  </v>
      </c>
      <c r="O7235">
        <v>230622</v>
      </c>
    </row>
    <row r="7236" spans="1:15" x14ac:dyDescent="0.25">
      <c r="A7236" t="s">
        <v>16</v>
      </c>
      <c r="B7236" t="s">
        <v>3221</v>
      </c>
      <c r="C7236">
        <v>9067</v>
      </c>
      <c r="D7236" t="s">
        <v>428</v>
      </c>
      <c r="E7236" t="s">
        <v>429</v>
      </c>
      <c r="F7236">
        <v>3.78</v>
      </c>
      <c r="G7236">
        <v>230615</v>
      </c>
      <c r="H7236">
        <v>4520</v>
      </c>
      <c r="I7236" t="s">
        <v>254</v>
      </c>
      <c r="J7236">
        <v>4.6900000000000004</v>
      </c>
      <c r="K7236">
        <v>0.91</v>
      </c>
      <c r="L7236">
        <v>14640</v>
      </c>
      <c r="M7236" t="s">
        <v>229</v>
      </c>
      <c r="N7236" t="str">
        <f t="shared" si="145"/>
        <v xml:space="preserve">2360518967  </v>
      </c>
      <c r="O7236">
        <v>230622</v>
      </c>
    </row>
    <row r="7237" spans="1:15" x14ac:dyDescent="0.25">
      <c r="A7237" t="s">
        <v>16</v>
      </c>
      <c r="B7237" t="s">
        <v>3221</v>
      </c>
      <c r="C7237">
        <v>9067</v>
      </c>
      <c r="D7237" t="s">
        <v>428</v>
      </c>
      <c r="E7237" t="s">
        <v>429</v>
      </c>
      <c r="F7237">
        <v>33.53</v>
      </c>
      <c r="G7237">
        <v>230615</v>
      </c>
      <c r="H7237">
        <v>4520</v>
      </c>
      <c r="I7237" t="s">
        <v>254</v>
      </c>
      <c r="J7237">
        <v>38.22</v>
      </c>
      <c r="K7237">
        <v>4.6900000000000004</v>
      </c>
      <c r="L7237">
        <v>14640</v>
      </c>
      <c r="M7237" t="s">
        <v>229</v>
      </c>
      <c r="N7237" t="str">
        <f t="shared" si="145"/>
        <v xml:space="preserve">2360518967  </v>
      </c>
      <c r="O7237">
        <v>230622</v>
      </c>
    </row>
    <row r="7238" spans="1:15" x14ac:dyDescent="0.25">
      <c r="A7238" t="s">
        <v>16</v>
      </c>
      <c r="B7238" t="s">
        <v>3221</v>
      </c>
      <c r="C7238">
        <v>9067</v>
      </c>
      <c r="D7238" t="s">
        <v>428</v>
      </c>
      <c r="E7238" t="s">
        <v>429</v>
      </c>
      <c r="F7238">
        <v>15.11</v>
      </c>
      <c r="G7238">
        <v>230615</v>
      </c>
      <c r="H7238">
        <v>4520</v>
      </c>
      <c r="I7238" t="s">
        <v>254</v>
      </c>
      <c r="J7238">
        <v>18.739999999999998</v>
      </c>
      <c r="K7238">
        <v>3.63</v>
      </c>
      <c r="L7238">
        <v>14642</v>
      </c>
      <c r="M7238" t="s">
        <v>863</v>
      </c>
      <c r="N7238" t="str">
        <f t="shared" si="145"/>
        <v xml:space="preserve">2360518967  </v>
      </c>
      <c r="O7238">
        <v>230622</v>
      </c>
    </row>
    <row r="7239" spans="1:15" x14ac:dyDescent="0.25">
      <c r="A7239" t="s">
        <v>16</v>
      </c>
      <c r="B7239" t="s">
        <v>3221</v>
      </c>
      <c r="C7239">
        <v>9067</v>
      </c>
      <c r="D7239" t="s">
        <v>428</v>
      </c>
      <c r="E7239" t="s">
        <v>429</v>
      </c>
      <c r="F7239">
        <v>134.11000000000001</v>
      </c>
      <c r="G7239">
        <v>230615</v>
      </c>
      <c r="H7239">
        <v>4520</v>
      </c>
      <c r="I7239" t="s">
        <v>254</v>
      </c>
      <c r="J7239">
        <v>152.88999999999999</v>
      </c>
      <c r="K7239">
        <v>18.78</v>
      </c>
      <c r="L7239">
        <v>14642</v>
      </c>
      <c r="M7239" t="s">
        <v>863</v>
      </c>
      <c r="N7239" t="str">
        <f t="shared" si="145"/>
        <v xml:space="preserve">2360518967  </v>
      </c>
      <c r="O7239">
        <v>230622</v>
      </c>
    </row>
    <row r="7240" spans="1:15" x14ac:dyDescent="0.25">
      <c r="A7240" t="s">
        <v>16</v>
      </c>
      <c r="B7240" t="s">
        <v>3221</v>
      </c>
      <c r="C7240">
        <v>9067</v>
      </c>
      <c r="D7240" t="s">
        <v>428</v>
      </c>
      <c r="E7240" t="s">
        <v>429</v>
      </c>
      <c r="F7240">
        <v>275.77</v>
      </c>
      <c r="G7240">
        <v>230615</v>
      </c>
      <c r="H7240">
        <v>4520</v>
      </c>
      <c r="I7240" t="s">
        <v>254</v>
      </c>
      <c r="J7240">
        <v>341.95</v>
      </c>
      <c r="K7240">
        <v>66.180000000000007</v>
      </c>
      <c r="L7240">
        <v>14912</v>
      </c>
      <c r="M7240" t="s">
        <v>230</v>
      </c>
      <c r="N7240" t="str">
        <f t="shared" si="145"/>
        <v xml:space="preserve">2360518967  </v>
      </c>
      <c r="O7240">
        <v>230622</v>
      </c>
    </row>
    <row r="7241" spans="1:15" x14ac:dyDescent="0.25">
      <c r="A7241" t="s">
        <v>16</v>
      </c>
      <c r="B7241" t="s">
        <v>3221</v>
      </c>
      <c r="C7241">
        <v>9067</v>
      </c>
      <c r="D7241" t="s">
        <v>428</v>
      </c>
      <c r="E7241" t="s">
        <v>429</v>
      </c>
      <c r="F7241">
        <v>2447.5500000000002</v>
      </c>
      <c r="G7241">
        <v>230615</v>
      </c>
      <c r="H7241">
        <v>4520</v>
      </c>
      <c r="I7241" t="s">
        <v>254</v>
      </c>
      <c r="J7241">
        <v>2790.21</v>
      </c>
      <c r="K7241">
        <v>342.66</v>
      </c>
      <c r="L7241">
        <v>14912</v>
      </c>
      <c r="M7241" t="s">
        <v>230</v>
      </c>
      <c r="N7241" t="str">
        <f t="shared" si="145"/>
        <v xml:space="preserve">2360518967  </v>
      </c>
      <c r="O7241">
        <v>230622</v>
      </c>
    </row>
    <row r="7242" spans="1:15" x14ac:dyDescent="0.25">
      <c r="A7242" t="s">
        <v>16</v>
      </c>
      <c r="B7242" t="s">
        <v>3221</v>
      </c>
      <c r="C7242">
        <v>9142</v>
      </c>
      <c r="D7242" t="s">
        <v>428</v>
      </c>
      <c r="E7242" t="s">
        <v>429</v>
      </c>
      <c r="F7242">
        <v>2614.7199999999998</v>
      </c>
      <c r="G7242">
        <v>230615</v>
      </c>
      <c r="H7242">
        <v>4520</v>
      </c>
      <c r="I7242" t="s">
        <v>254</v>
      </c>
      <c r="J7242">
        <v>2980.78</v>
      </c>
      <c r="K7242">
        <v>366.06</v>
      </c>
      <c r="L7242">
        <v>54451</v>
      </c>
      <c r="M7242" t="s">
        <v>158</v>
      </c>
      <c r="N7242" t="str">
        <f>"2360518964  "</f>
        <v xml:space="preserve">2360518964  </v>
      </c>
      <c r="O7242">
        <v>230628</v>
      </c>
    </row>
    <row r="7243" spans="1:15" x14ac:dyDescent="0.25">
      <c r="A7243" t="s">
        <v>16</v>
      </c>
      <c r="B7243" t="s">
        <v>3221</v>
      </c>
      <c r="C7243">
        <v>9455</v>
      </c>
      <c r="D7243" t="s">
        <v>428</v>
      </c>
      <c r="E7243" t="s">
        <v>429</v>
      </c>
      <c r="F7243">
        <v>174.83</v>
      </c>
      <c r="G7243">
        <v>230630</v>
      </c>
      <c r="H7243">
        <v>4520</v>
      </c>
      <c r="I7243" t="s">
        <v>254</v>
      </c>
      <c r="J7243">
        <v>216.79</v>
      </c>
      <c r="K7243">
        <v>41.96</v>
      </c>
      <c r="L7243">
        <v>14432</v>
      </c>
      <c r="M7243" t="s">
        <v>862</v>
      </c>
      <c r="N7243" t="str">
        <f>"2360552363  "</f>
        <v xml:space="preserve">2360552363  </v>
      </c>
      <c r="O7243">
        <v>230711</v>
      </c>
    </row>
    <row r="7244" spans="1:15" x14ac:dyDescent="0.25">
      <c r="A7244" t="s">
        <v>16</v>
      </c>
      <c r="B7244" t="s">
        <v>3221</v>
      </c>
      <c r="C7244">
        <v>9455</v>
      </c>
      <c r="D7244" t="s">
        <v>428</v>
      </c>
      <c r="E7244" t="s">
        <v>429</v>
      </c>
      <c r="F7244">
        <v>318.32</v>
      </c>
      <c r="G7244">
        <v>230630</v>
      </c>
      <c r="H7244">
        <v>4520</v>
      </c>
      <c r="I7244" t="s">
        <v>254</v>
      </c>
      <c r="J7244">
        <v>362.89</v>
      </c>
      <c r="K7244">
        <v>44.57</v>
      </c>
      <c r="L7244">
        <v>14432</v>
      </c>
      <c r="M7244" t="s">
        <v>862</v>
      </c>
      <c r="N7244" t="str">
        <f>"2360552363  "</f>
        <v xml:space="preserve">2360552363  </v>
      </c>
      <c r="O7244">
        <v>230711</v>
      </c>
    </row>
    <row r="7245" spans="1:15" x14ac:dyDescent="0.25">
      <c r="A7245" t="s">
        <v>16</v>
      </c>
      <c r="B7245" t="s">
        <v>3221</v>
      </c>
      <c r="C7245">
        <v>9460</v>
      </c>
      <c r="D7245" t="s">
        <v>428</v>
      </c>
      <c r="E7245" t="s">
        <v>429</v>
      </c>
      <c r="F7245">
        <v>564.29999999999995</v>
      </c>
      <c r="G7245">
        <v>230630</v>
      </c>
      <c r="H7245">
        <v>4520</v>
      </c>
      <c r="I7245" t="s">
        <v>254</v>
      </c>
      <c r="J7245">
        <v>643.29999999999995</v>
      </c>
      <c r="K7245">
        <v>79</v>
      </c>
      <c r="L7245">
        <v>69113</v>
      </c>
      <c r="M7245" t="s">
        <v>282</v>
      </c>
      <c r="N7245" t="str">
        <f>"2360552361  "</f>
        <v xml:space="preserve">2360552361  </v>
      </c>
      <c r="O7245">
        <v>230711</v>
      </c>
    </row>
    <row r="7246" spans="1:15" x14ac:dyDescent="0.25">
      <c r="A7246" t="s">
        <v>16</v>
      </c>
      <c r="B7246" t="s">
        <v>3221</v>
      </c>
      <c r="C7246">
        <v>9460</v>
      </c>
      <c r="D7246" t="s">
        <v>428</v>
      </c>
      <c r="E7246" t="s">
        <v>429</v>
      </c>
      <c r="F7246">
        <v>90.81</v>
      </c>
      <c r="G7246">
        <v>230630</v>
      </c>
      <c r="H7246">
        <v>4520</v>
      </c>
      <c r="I7246" t="s">
        <v>254</v>
      </c>
      <c r="J7246">
        <v>103.52</v>
      </c>
      <c r="K7246">
        <v>12.71</v>
      </c>
      <c r="L7246">
        <v>69802</v>
      </c>
      <c r="M7246" t="s">
        <v>283</v>
      </c>
      <c r="N7246" t="str">
        <f>"2360552361  "</f>
        <v xml:space="preserve">2360552361  </v>
      </c>
      <c r="O7246">
        <v>230711</v>
      </c>
    </row>
    <row r="7247" spans="1:15" x14ac:dyDescent="0.25">
      <c r="A7247" t="s">
        <v>16</v>
      </c>
      <c r="B7247" t="s">
        <v>3221</v>
      </c>
      <c r="C7247">
        <v>9460</v>
      </c>
      <c r="D7247" t="s">
        <v>428</v>
      </c>
      <c r="E7247" t="s">
        <v>429</v>
      </c>
      <c r="F7247">
        <v>8.77</v>
      </c>
      <c r="G7247">
        <v>230630</v>
      </c>
      <c r="H7247">
        <v>4520</v>
      </c>
      <c r="I7247" t="s">
        <v>254</v>
      </c>
      <c r="J7247">
        <v>10</v>
      </c>
      <c r="K7247">
        <v>1.23</v>
      </c>
      <c r="L7247">
        <v>69804</v>
      </c>
      <c r="M7247" t="s">
        <v>284</v>
      </c>
      <c r="N7247" t="str">
        <f>"2360552361  "</f>
        <v xml:space="preserve">2360552361  </v>
      </c>
      <c r="O7247">
        <v>230711</v>
      </c>
    </row>
    <row r="7248" spans="1:15" x14ac:dyDescent="0.25">
      <c r="A7248" t="s">
        <v>16</v>
      </c>
      <c r="B7248" t="s">
        <v>3221</v>
      </c>
      <c r="C7248">
        <v>9471</v>
      </c>
      <c r="D7248" t="s">
        <v>428</v>
      </c>
      <c r="E7248" t="s">
        <v>429</v>
      </c>
      <c r="F7248">
        <v>553.19000000000005</v>
      </c>
      <c r="G7248">
        <v>230630</v>
      </c>
      <c r="H7248">
        <v>4520</v>
      </c>
      <c r="I7248" t="s">
        <v>254</v>
      </c>
      <c r="J7248">
        <v>630.64</v>
      </c>
      <c r="K7248">
        <v>77.45</v>
      </c>
      <c r="L7248">
        <v>54451</v>
      </c>
      <c r="M7248" t="s">
        <v>158</v>
      </c>
      <c r="N7248" t="str">
        <f>"2360552360  "</f>
        <v xml:space="preserve">2360552360  </v>
      </c>
      <c r="O7248">
        <v>230711</v>
      </c>
    </row>
    <row r="7249" spans="1:15" x14ac:dyDescent="0.25">
      <c r="A7249" t="s">
        <v>16</v>
      </c>
      <c r="B7249" t="s">
        <v>3221</v>
      </c>
      <c r="C7249">
        <v>9765</v>
      </c>
      <c r="D7249" t="s">
        <v>428</v>
      </c>
      <c r="E7249" t="s">
        <v>429</v>
      </c>
      <c r="F7249">
        <v>139.24</v>
      </c>
      <c r="G7249">
        <v>230630</v>
      </c>
      <c r="H7249">
        <v>4520</v>
      </c>
      <c r="I7249" t="s">
        <v>254</v>
      </c>
      <c r="J7249">
        <v>172.66</v>
      </c>
      <c r="K7249">
        <v>33.42</v>
      </c>
      <c r="L7249">
        <v>17915</v>
      </c>
      <c r="M7249" t="s">
        <v>572</v>
      </c>
      <c r="N7249" t="str">
        <f>"2360552362  "</f>
        <v xml:space="preserve">2360552362  </v>
      </c>
      <c r="O7249">
        <v>230725</v>
      </c>
    </row>
    <row r="7250" spans="1:15" x14ac:dyDescent="0.25">
      <c r="A7250" t="s">
        <v>16</v>
      </c>
      <c r="B7250" t="s">
        <v>3221</v>
      </c>
      <c r="C7250">
        <v>9765</v>
      </c>
      <c r="D7250" t="s">
        <v>428</v>
      </c>
      <c r="E7250" t="s">
        <v>429</v>
      </c>
      <c r="F7250">
        <v>156.32</v>
      </c>
      <c r="G7250">
        <v>230630</v>
      </c>
      <c r="H7250">
        <v>4520</v>
      </c>
      <c r="I7250" t="s">
        <v>254</v>
      </c>
      <c r="J7250">
        <v>178.2</v>
      </c>
      <c r="K7250">
        <v>21.88</v>
      </c>
      <c r="L7250">
        <v>17915</v>
      </c>
      <c r="M7250" t="s">
        <v>572</v>
      </c>
      <c r="N7250" t="str">
        <f>"2360552362  "</f>
        <v xml:space="preserve">2360552362  </v>
      </c>
      <c r="O7250">
        <v>230725</v>
      </c>
    </row>
    <row r="7251" spans="1:15" x14ac:dyDescent="0.25">
      <c r="A7251" t="s">
        <v>16</v>
      </c>
      <c r="B7251" t="s">
        <v>3221</v>
      </c>
      <c r="C7251">
        <v>9748</v>
      </c>
      <c r="D7251" t="s">
        <v>428</v>
      </c>
      <c r="E7251" t="s">
        <v>429</v>
      </c>
      <c r="F7251">
        <v>223.94</v>
      </c>
      <c r="G7251">
        <v>230715</v>
      </c>
      <c r="H7251">
        <v>4520</v>
      </c>
      <c r="I7251" t="s">
        <v>254</v>
      </c>
      <c r="J7251">
        <v>255.29</v>
      </c>
      <c r="K7251">
        <v>31.35</v>
      </c>
      <c r="L7251">
        <v>14432</v>
      </c>
      <c r="M7251" t="s">
        <v>862</v>
      </c>
      <c r="N7251" t="str">
        <f>"2360617839  "</f>
        <v xml:space="preserve">2360617839  </v>
      </c>
      <c r="O7251">
        <v>230724</v>
      </c>
    </row>
    <row r="7252" spans="1:15" x14ac:dyDescent="0.25">
      <c r="A7252" t="s">
        <v>16</v>
      </c>
      <c r="B7252" t="s">
        <v>3221</v>
      </c>
      <c r="C7252">
        <v>9748</v>
      </c>
      <c r="D7252" t="s">
        <v>428</v>
      </c>
      <c r="E7252" t="s">
        <v>429</v>
      </c>
      <c r="F7252">
        <v>263.11</v>
      </c>
      <c r="G7252">
        <v>230715</v>
      </c>
      <c r="H7252">
        <v>4520</v>
      </c>
      <c r="I7252" t="s">
        <v>254</v>
      </c>
      <c r="J7252">
        <v>326.26</v>
      </c>
      <c r="K7252">
        <v>63.15</v>
      </c>
      <c r="L7252">
        <v>14432</v>
      </c>
      <c r="M7252" t="s">
        <v>862</v>
      </c>
      <c r="N7252" t="str">
        <f>"2360617839  "</f>
        <v xml:space="preserve">2360617839  </v>
      </c>
      <c r="O7252">
        <v>230724</v>
      </c>
    </row>
    <row r="7253" spans="1:15" x14ac:dyDescent="0.25">
      <c r="A7253" t="s">
        <v>16</v>
      </c>
      <c r="B7253" t="s">
        <v>3221</v>
      </c>
      <c r="C7253">
        <v>10094</v>
      </c>
      <c r="D7253" t="s">
        <v>428</v>
      </c>
      <c r="E7253" t="s">
        <v>429</v>
      </c>
      <c r="F7253">
        <v>2954.8</v>
      </c>
      <c r="G7253">
        <v>230731</v>
      </c>
      <c r="H7253">
        <v>4520</v>
      </c>
      <c r="I7253" t="s">
        <v>254</v>
      </c>
      <c r="J7253">
        <v>3368.47</v>
      </c>
      <c r="K7253">
        <v>413.67</v>
      </c>
      <c r="L7253">
        <v>59810</v>
      </c>
      <c r="M7253" t="s">
        <v>1840</v>
      </c>
      <c r="N7253" t="str">
        <f>"2360647611  "</f>
        <v xml:space="preserve">2360647611  </v>
      </c>
      <c r="O7253">
        <v>230808</v>
      </c>
    </row>
    <row r="7254" spans="1:15" x14ac:dyDescent="0.25">
      <c r="A7254" t="s">
        <v>16</v>
      </c>
      <c r="B7254" t="s">
        <v>3221</v>
      </c>
      <c r="C7254">
        <v>10221</v>
      </c>
      <c r="D7254" t="s">
        <v>428</v>
      </c>
      <c r="E7254" t="s">
        <v>429</v>
      </c>
      <c r="F7254">
        <v>15.66</v>
      </c>
      <c r="G7254">
        <v>230731</v>
      </c>
      <c r="H7254">
        <v>4520</v>
      </c>
      <c r="I7254" t="s">
        <v>254</v>
      </c>
      <c r="J7254">
        <v>19.420000000000002</v>
      </c>
      <c r="K7254">
        <v>3.76</v>
      </c>
      <c r="L7254">
        <v>17915</v>
      </c>
      <c r="M7254" t="s">
        <v>572</v>
      </c>
      <c r="N7254" t="str">
        <f>"2360647612  "</f>
        <v xml:space="preserve">2360647612  </v>
      </c>
      <c r="O7254">
        <v>230810</v>
      </c>
    </row>
    <row r="7255" spans="1:15" x14ac:dyDescent="0.25">
      <c r="A7255" t="s">
        <v>16</v>
      </c>
      <c r="B7255" t="s">
        <v>3221</v>
      </c>
      <c r="C7255">
        <v>10221</v>
      </c>
      <c r="D7255" t="s">
        <v>428</v>
      </c>
      <c r="E7255" t="s">
        <v>429</v>
      </c>
      <c r="F7255">
        <v>358.08</v>
      </c>
      <c r="G7255">
        <v>230731</v>
      </c>
      <c r="H7255">
        <v>4520</v>
      </c>
      <c r="I7255" t="s">
        <v>254</v>
      </c>
      <c r="J7255">
        <v>408.21</v>
      </c>
      <c r="K7255">
        <v>50.13</v>
      </c>
      <c r="L7255">
        <v>17915</v>
      </c>
      <c r="M7255" t="s">
        <v>572</v>
      </c>
      <c r="N7255" t="str">
        <f>"2360647612  "</f>
        <v xml:space="preserve">2360647612  </v>
      </c>
      <c r="O7255">
        <v>230810</v>
      </c>
    </row>
    <row r="7256" spans="1:15" x14ac:dyDescent="0.25">
      <c r="A7256" t="s">
        <v>16</v>
      </c>
      <c r="B7256" t="s">
        <v>3221</v>
      </c>
      <c r="C7256">
        <v>10221</v>
      </c>
      <c r="D7256" t="s">
        <v>428</v>
      </c>
      <c r="E7256" t="s">
        <v>429</v>
      </c>
      <c r="F7256">
        <v>1.74</v>
      </c>
      <c r="G7256">
        <v>230731</v>
      </c>
      <c r="H7256">
        <v>4520</v>
      </c>
      <c r="I7256" t="s">
        <v>254</v>
      </c>
      <c r="J7256">
        <v>2.16</v>
      </c>
      <c r="K7256">
        <v>0.42</v>
      </c>
      <c r="L7256">
        <v>17982</v>
      </c>
      <c r="M7256" t="s">
        <v>432</v>
      </c>
      <c r="N7256" t="str">
        <f>"2360647612  "</f>
        <v xml:space="preserve">2360647612  </v>
      </c>
      <c r="O7256">
        <v>230810</v>
      </c>
    </row>
    <row r="7257" spans="1:15" x14ac:dyDescent="0.25">
      <c r="A7257" t="s">
        <v>16</v>
      </c>
      <c r="B7257" t="s">
        <v>3221</v>
      </c>
      <c r="C7257">
        <v>10221</v>
      </c>
      <c r="D7257" t="s">
        <v>428</v>
      </c>
      <c r="E7257" t="s">
        <v>429</v>
      </c>
      <c r="F7257">
        <v>39.79</v>
      </c>
      <c r="G7257">
        <v>230731</v>
      </c>
      <c r="H7257">
        <v>4520</v>
      </c>
      <c r="I7257" t="s">
        <v>254</v>
      </c>
      <c r="J7257">
        <v>45.36</v>
      </c>
      <c r="K7257">
        <v>5.57</v>
      </c>
      <c r="L7257">
        <v>17982</v>
      </c>
      <c r="M7257" t="s">
        <v>432</v>
      </c>
      <c r="N7257" t="str">
        <f>"2360647612  "</f>
        <v xml:space="preserve">2360647612  </v>
      </c>
      <c r="O7257">
        <v>230810</v>
      </c>
    </row>
    <row r="7258" spans="1:15" x14ac:dyDescent="0.25">
      <c r="A7258" t="s">
        <v>16</v>
      </c>
      <c r="B7258" t="s">
        <v>3221</v>
      </c>
      <c r="C7258">
        <v>10358</v>
      </c>
      <c r="D7258" t="s">
        <v>428</v>
      </c>
      <c r="E7258" t="s">
        <v>429</v>
      </c>
      <c r="F7258">
        <v>136.16999999999999</v>
      </c>
      <c r="G7258">
        <v>230731</v>
      </c>
      <c r="H7258">
        <v>4520</v>
      </c>
      <c r="I7258" t="s">
        <v>254</v>
      </c>
      <c r="J7258">
        <v>168.85</v>
      </c>
      <c r="K7258">
        <v>32.68</v>
      </c>
      <c r="L7258">
        <v>14432</v>
      </c>
      <c r="M7258" t="s">
        <v>862</v>
      </c>
      <c r="N7258" t="str">
        <f>"2360647613  "</f>
        <v xml:space="preserve">2360647613  </v>
      </c>
      <c r="O7258">
        <v>230814</v>
      </c>
    </row>
    <row r="7259" spans="1:15" x14ac:dyDescent="0.25">
      <c r="A7259" t="s">
        <v>16</v>
      </c>
      <c r="B7259" t="s">
        <v>3221</v>
      </c>
      <c r="C7259">
        <v>10358</v>
      </c>
      <c r="D7259" t="s">
        <v>428</v>
      </c>
      <c r="E7259" t="s">
        <v>429</v>
      </c>
      <c r="F7259">
        <v>331.18</v>
      </c>
      <c r="G7259">
        <v>230731</v>
      </c>
      <c r="H7259">
        <v>4520</v>
      </c>
      <c r="I7259" t="s">
        <v>254</v>
      </c>
      <c r="J7259">
        <v>377.54</v>
      </c>
      <c r="K7259">
        <v>46.36</v>
      </c>
      <c r="L7259">
        <v>14432</v>
      </c>
      <c r="M7259" t="s">
        <v>862</v>
      </c>
      <c r="N7259" t="str">
        <f>"2360647613  "</f>
        <v xml:space="preserve">2360647613  </v>
      </c>
      <c r="O7259">
        <v>230814</v>
      </c>
    </row>
    <row r="7260" spans="1:15" x14ac:dyDescent="0.25">
      <c r="A7260" t="s">
        <v>16</v>
      </c>
      <c r="B7260" t="s">
        <v>3221</v>
      </c>
      <c r="C7260">
        <v>10358</v>
      </c>
      <c r="D7260" t="s">
        <v>428</v>
      </c>
      <c r="E7260" t="s">
        <v>429</v>
      </c>
      <c r="F7260">
        <v>368.17</v>
      </c>
      <c r="G7260">
        <v>230731</v>
      </c>
      <c r="H7260">
        <v>4520</v>
      </c>
      <c r="I7260" t="s">
        <v>254</v>
      </c>
      <c r="J7260">
        <v>456.53</v>
      </c>
      <c r="K7260">
        <v>88.36</v>
      </c>
      <c r="L7260">
        <v>14912</v>
      </c>
      <c r="M7260" t="s">
        <v>230</v>
      </c>
      <c r="N7260" t="str">
        <f>"2360647613  "</f>
        <v xml:space="preserve">2360647613  </v>
      </c>
      <c r="O7260">
        <v>230814</v>
      </c>
    </row>
    <row r="7261" spans="1:15" x14ac:dyDescent="0.25">
      <c r="A7261" t="s">
        <v>16</v>
      </c>
      <c r="B7261" t="s">
        <v>3221</v>
      </c>
      <c r="C7261">
        <v>10358</v>
      </c>
      <c r="D7261" t="s">
        <v>428</v>
      </c>
      <c r="E7261" t="s">
        <v>429</v>
      </c>
      <c r="F7261">
        <v>895.39</v>
      </c>
      <c r="G7261">
        <v>230731</v>
      </c>
      <c r="H7261">
        <v>4520</v>
      </c>
      <c r="I7261" t="s">
        <v>254</v>
      </c>
      <c r="J7261">
        <v>1020.75</v>
      </c>
      <c r="K7261">
        <v>125.36</v>
      </c>
      <c r="L7261">
        <v>14912</v>
      </c>
      <c r="M7261" t="s">
        <v>230</v>
      </c>
      <c r="N7261" t="str">
        <f>"2360647613  "</f>
        <v xml:space="preserve">2360647613  </v>
      </c>
      <c r="O7261">
        <v>230814</v>
      </c>
    </row>
    <row r="7262" spans="1:15" x14ac:dyDescent="0.25">
      <c r="A7262" t="s">
        <v>16</v>
      </c>
      <c r="B7262" t="s">
        <v>3221</v>
      </c>
      <c r="C7262">
        <v>10460</v>
      </c>
      <c r="D7262" t="s">
        <v>428</v>
      </c>
      <c r="E7262" t="s">
        <v>429</v>
      </c>
      <c r="F7262">
        <v>3348.47</v>
      </c>
      <c r="G7262">
        <v>230815</v>
      </c>
      <c r="H7262">
        <v>4520</v>
      </c>
      <c r="I7262" t="s">
        <v>254</v>
      </c>
      <c r="J7262">
        <v>3817.26</v>
      </c>
      <c r="K7262">
        <v>468.79</v>
      </c>
      <c r="L7262">
        <v>69113</v>
      </c>
      <c r="M7262" t="s">
        <v>282</v>
      </c>
      <c r="N7262" t="str">
        <f>"2360709482  "</f>
        <v xml:space="preserve">2360709482  </v>
      </c>
      <c r="O7262">
        <v>230816</v>
      </c>
    </row>
    <row r="7263" spans="1:15" x14ac:dyDescent="0.25">
      <c r="A7263" t="s">
        <v>16</v>
      </c>
      <c r="B7263" t="s">
        <v>3221</v>
      </c>
      <c r="C7263">
        <v>10460</v>
      </c>
      <c r="D7263" t="s">
        <v>428</v>
      </c>
      <c r="E7263" t="s">
        <v>429</v>
      </c>
      <c r="F7263">
        <v>393.94</v>
      </c>
      <c r="G7263">
        <v>230815</v>
      </c>
      <c r="H7263">
        <v>4520</v>
      </c>
      <c r="I7263" t="s">
        <v>254</v>
      </c>
      <c r="J7263">
        <v>449.09</v>
      </c>
      <c r="K7263">
        <v>55.15</v>
      </c>
      <c r="L7263">
        <v>69802</v>
      </c>
      <c r="M7263" t="s">
        <v>283</v>
      </c>
      <c r="N7263" t="str">
        <f>"2360709482  "</f>
        <v xml:space="preserve">2360709482  </v>
      </c>
      <c r="O7263">
        <v>230816</v>
      </c>
    </row>
    <row r="7264" spans="1:15" x14ac:dyDescent="0.25">
      <c r="A7264" t="s">
        <v>16</v>
      </c>
      <c r="B7264" t="s">
        <v>3221</v>
      </c>
      <c r="C7264">
        <v>10460</v>
      </c>
      <c r="D7264" t="s">
        <v>428</v>
      </c>
      <c r="E7264" t="s">
        <v>429</v>
      </c>
      <c r="F7264">
        <v>196.96</v>
      </c>
      <c r="G7264">
        <v>230815</v>
      </c>
      <c r="H7264">
        <v>4520</v>
      </c>
      <c r="I7264" t="s">
        <v>254</v>
      </c>
      <c r="J7264">
        <v>224.54</v>
      </c>
      <c r="K7264">
        <v>27.58</v>
      </c>
      <c r="L7264">
        <v>69804</v>
      </c>
      <c r="M7264" t="s">
        <v>284</v>
      </c>
      <c r="N7264" t="str">
        <f>"2360709482  "</f>
        <v xml:space="preserve">2360709482  </v>
      </c>
      <c r="O7264">
        <v>230816</v>
      </c>
    </row>
    <row r="7265" spans="1:15" x14ac:dyDescent="0.25">
      <c r="A7265" t="s">
        <v>16</v>
      </c>
      <c r="B7265" t="s">
        <v>3221</v>
      </c>
      <c r="C7265">
        <v>10494</v>
      </c>
      <c r="D7265" t="s">
        <v>428</v>
      </c>
      <c r="E7265" t="s">
        <v>429</v>
      </c>
      <c r="F7265">
        <v>1841.71</v>
      </c>
      <c r="G7265">
        <v>230815</v>
      </c>
      <c r="H7265">
        <v>4520</v>
      </c>
      <c r="I7265" t="s">
        <v>254</v>
      </c>
      <c r="J7265">
        <v>2099.5500000000002</v>
      </c>
      <c r="K7265">
        <v>257.83999999999997</v>
      </c>
      <c r="L7265">
        <v>17915</v>
      </c>
      <c r="M7265" t="s">
        <v>572</v>
      </c>
      <c r="N7265" t="str">
        <f>"2360709484  "</f>
        <v xml:space="preserve">2360709484  </v>
      </c>
      <c r="O7265">
        <v>230817</v>
      </c>
    </row>
    <row r="7266" spans="1:15" x14ac:dyDescent="0.25">
      <c r="A7266" t="s">
        <v>16</v>
      </c>
      <c r="B7266" t="s">
        <v>3221</v>
      </c>
      <c r="C7266">
        <v>10585</v>
      </c>
      <c r="D7266" t="s">
        <v>428</v>
      </c>
      <c r="E7266" t="s">
        <v>429</v>
      </c>
      <c r="F7266">
        <v>2722.35</v>
      </c>
      <c r="G7266">
        <v>230815</v>
      </c>
      <c r="H7266">
        <v>4520</v>
      </c>
      <c r="I7266" t="s">
        <v>254</v>
      </c>
      <c r="J7266">
        <v>3103.48</v>
      </c>
      <c r="K7266">
        <v>381.13</v>
      </c>
      <c r="L7266">
        <v>69112</v>
      </c>
      <c r="M7266" t="s">
        <v>313</v>
      </c>
      <c r="N7266" t="str">
        <f>"2360709489  "</f>
        <v xml:space="preserve">2360709489  </v>
      </c>
      <c r="O7266">
        <v>230818</v>
      </c>
    </row>
    <row r="7267" spans="1:15" x14ac:dyDescent="0.25">
      <c r="A7267" t="s">
        <v>16</v>
      </c>
      <c r="B7267" t="s">
        <v>3221</v>
      </c>
      <c r="C7267">
        <v>10585</v>
      </c>
      <c r="D7267" t="s">
        <v>428</v>
      </c>
      <c r="E7267" t="s">
        <v>429</v>
      </c>
      <c r="F7267">
        <v>151.24</v>
      </c>
      <c r="G7267">
        <v>230815</v>
      </c>
      <c r="H7267">
        <v>4520</v>
      </c>
      <c r="I7267" t="s">
        <v>254</v>
      </c>
      <c r="J7267">
        <v>172.41</v>
      </c>
      <c r="K7267">
        <v>21.17</v>
      </c>
      <c r="L7267">
        <v>69810</v>
      </c>
      <c r="M7267" t="s">
        <v>314</v>
      </c>
      <c r="N7267" t="str">
        <f>"2360709489  "</f>
        <v xml:space="preserve">2360709489  </v>
      </c>
      <c r="O7267">
        <v>230818</v>
      </c>
    </row>
    <row r="7268" spans="1:15" x14ac:dyDescent="0.25">
      <c r="A7268" t="s">
        <v>16</v>
      </c>
      <c r="B7268" t="s">
        <v>3221</v>
      </c>
      <c r="C7268">
        <v>10585</v>
      </c>
      <c r="D7268" t="s">
        <v>428</v>
      </c>
      <c r="E7268" t="s">
        <v>429</v>
      </c>
      <c r="F7268">
        <v>151.25</v>
      </c>
      <c r="G7268">
        <v>230815</v>
      </c>
      <c r="H7268">
        <v>4520</v>
      </c>
      <c r="I7268" t="s">
        <v>254</v>
      </c>
      <c r="J7268">
        <v>172.42</v>
      </c>
      <c r="K7268">
        <v>21.17</v>
      </c>
      <c r="L7268">
        <v>69811</v>
      </c>
      <c r="M7268" t="s">
        <v>315</v>
      </c>
      <c r="N7268" t="str">
        <f>"2360709489  "</f>
        <v xml:space="preserve">2360709489  </v>
      </c>
      <c r="O7268">
        <v>230818</v>
      </c>
    </row>
    <row r="7269" spans="1:15" x14ac:dyDescent="0.25">
      <c r="A7269" t="s">
        <v>16</v>
      </c>
      <c r="B7269" t="s">
        <v>3221</v>
      </c>
      <c r="C7269">
        <v>10598</v>
      </c>
      <c r="D7269" t="s">
        <v>428</v>
      </c>
      <c r="E7269" t="s">
        <v>429</v>
      </c>
      <c r="F7269">
        <v>4923.3900000000003</v>
      </c>
      <c r="G7269">
        <v>230815</v>
      </c>
      <c r="H7269">
        <v>4520</v>
      </c>
      <c r="I7269" t="s">
        <v>254</v>
      </c>
      <c r="J7269">
        <v>5612.66</v>
      </c>
      <c r="K7269">
        <v>689.27</v>
      </c>
      <c r="L7269">
        <v>59113</v>
      </c>
      <c r="M7269" t="s">
        <v>235</v>
      </c>
      <c r="N7269" t="str">
        <f>"2360709481  "</f>
        <v xml:space="preserve">2360709481  </v>
      </c>
      <c r="O7269">
        <v>230818</v>
      </c>
    </row>
    <row r="7270" spans="1:15" x14ac:dyDescent="0.25">
      <c r="A7270" t="s">
        <v>16</v>
      </c>
      <c r="B7270" t="s">
        <v>3221</v>
      </c>
      <c r="C7270">
        <v>10598</v>
      </c>
      <c r="D7270" t="s">
        <v>428</v>
      </c>
      <c r="E7270" t="s">
        <v>429</v>
      </c>
      <c r="F7270">
        <v>868.83</v>
      </c>
      <c r="G7270">
        <v>230815</v>
      </c>
      <c r="H7270">
        <v>4520</v>
      </c>
      <c r="I7270" t="s">
        <v>254</v>
      </c>
      <c r="J7270">
        <v>990.47</v>
      </c>
      <c r="K7270">
        <v>121.64</v>
      </c>
      <c r="L7270">
        <v>59803</v>
      </c>
      <c r="M7270" t="s">
        <v>533</v>
      </c>
      <c r="N7270" t="str">
        <f>"2360709481  "</f>
        <v xml:space="preserve">2360709481  </v>
      </c>
      <c r="O7270">
        <v>230818</v>
      </c>
    </row>
    <row r="7271" spans="1:15" x14ac:dyDescent="0.25">
      <c r="A7271" t="s">
        <v>16</v>
      </c>
      <c r="B7271" t="s">
        <v>3221</v>
      </c>
      <c r="C7271">
        <v>10599</v>
      </c>
      <c r="D7271" t="s">
        <v>428</v>
      </c>
      <c r="E7271" t="s">
        <v>429</v>
      </c>
      <c r="F7271">
        <v>1929.54</v>
      </c>
      <c r="G7271">
        <v>230815</v>
      </c>
      <c r="H7271">
        <v>4520</v>
      </c>
      <c r="I7271" t="s">
        <v>254</v>
      </c>
      <c r="J7271">
        <v>2199.67</v>
      </c>
      <c r="K7271">
        <v>270.13</v>
      </c>
      <c r="L7271">
        <v>59114</v>
      </c>
      <c r="M7271" t="s">
        <v>556</v>
      </c>
      <c r="N7271" t="str">
        <f>"2360709479  "</f>
        <v xml:space="preserve">2360709479  </v>
      </c>
      <c r="O7271">
        <v>230818</v>
      </c>
    </row>
    <row r="7272" spans="1:15" x14ac:dyDescent="0.25">
      <c r="A7272" t="s">
        <v>16</v>
      </c>
      <c r="B7272" t="s">
        <v>3221</v>
      </c>
      <c r="C7272">
        <v>10713</v>
      </c>
      <c r="D7272" t="s">
        <v>428</v>
      </c>
      <c r="E7272" t="s">
        <v>429</v>
      </c>
      <c r="F7272">
        <v>3274.35</v>
      </c>
      <c r="G7272">
        <v>230815</v>
      </c>
      <c r="H7272">
        <v>4520</v>
      </c>
      <c r="I7272" t="s">
        <v>254</v>
      </c>
      <c r="J7272">
        <v>3732.76</v>
      </c>
      <c r="K7272">
        <v>458.41</v>
      </c>
      <c r="L7272">
        <v>54422</v>
      </c>
      <c r="M7272" t="s">
        <v>234</v>
      </c>
      <c r="N7272" t="str">
        <f>"2360709480  "</f>
        <v xml:space="preserve">2360709480  </v>
      </c>
      <c r="O7272">
        <v>230822</v>
      </c>
    </row>
    <row r="7273" spans="1:15" x14ac:dyDescent="0.25">
      <c r="A7273" t="s">
        <v>16</v>
      </c>
      <c r="B7273" t="s">
        <v>3221</v>
      </c>
      <c r="C7273">
        <v>10713</v>
      </c>
      <c r="D7273" t="s">
        <v>428</v>
      </c>
      <c r="E7273" t="s">
        <v>429</v>
      </c>
      <c r="F7273">
        <v>160.19999999999999</v>
      </c>
      <c r="G7273">
        <v>230815</v>
      </c>
      <c r="H7273">
        <v>4520</v>
      </c>
      <c r="I7273" t="s">
        <v>254</v>
      </c>
      <c r="J7273">
        <v>198.65</v>
      </c>
      <c r="K7273">
        <v>38.450000000000003</v>
      </c>
      <c r="L7273">
        <v>54451</v>
      </c>
      <c r="M7273" t="s">
        <v>158</v>
      </c>
      <c r="N7273" t="str">
        <f>"2360709480  "</f>
        <v xml:space="preserve">2360709480  </v>
      </c>
      <c r="O7273">
        <v>230822</v>
      </c>
    </row>
    <row r="7274" spans="1:15" x14ac:dyDescent="0.25">
      <c r="A7274" t="s">
        <v>16</v>
      </c>
      <c r="B7274" t="s">
        <v>3221</v>
      </c>
      <c r="C7274">
        <v>10713</v>
      </c>
      <c r="D7274" t="s">
        <v>428</v>
      </c>
      <c r="E7274" t="s">
        <v>429</v>
      </c>
      <c r="F7274">
        <v>3622.87</v>
      </c>
      <c r="G7274">
        <v>230815</v>
      </c>
      <c r="H7274">
        <v>4520</v>
      </c>
      <c r="I7274" t="s">
        <v>254</v>
      </c>
      <c r="J7274">
        <v>4130.07</v>
      </c>
      <c r="K7274">
        <v>507.2</v>
      </c>
      <c r="L7274">
        <v>54451</v>
      </c>
      <c r="M7274" t="s">
        <v>158</v>
      </c>
      <c r="N7274" t="str">
        <f>"2360709480  "</f>
        <v xml:space="preserve">2360709480  </v>
      </c>
      <c r="O7274">
        <v>230822</v>
      </c>
    </row>
    <row r="7275" spans="1:15" x14ac:dyDescent="0.25">
      <c r="A7275" t="s">
        <v>16</v>
      </c>
      <c r="B7275" t="s">
        <v>3221</v>
      </c>
      <c r="C7275">
        <v>10714</v>
      </c>
      <c r="D7275" t="s">
        <v>428</v>
      </c>
      <c r="E7275" t="s">
        <v>429</v>
      </c>
      <c r="F7275">
        <v>21.93</v>
      </c>
      <c r="G7275">
        <v>230815</v>
      </c>
      <c r="H7275">
        <v>4520</v>
      </c>
      <c r="I7275" t="s">
        <v>254</v>
      </c>
      <c r="J7275">
        <v>27.19</v>
      </c>
      <c r="K7275">
        <v>5.26</v>
      </c>
      <c r="L7275">
        <v>14422</v>
      </c>
      <c r="M7275" t="s">
        <v>228</v>
      </c>
      <c r="N7275" t="str">
        <f t="shared" ref="N7275:N7286" si="146">"2360709487  "</f>
        <v xml:space="preserve">2360709487  </v>
      </c>
      <c r="O7275">
        <v>230822</v>
      </c>
    </row>
    <row r="7276" spans="1:15" x14ac:dyDescent="0.25">
      <c r="A7276" t="s">
        <v>16</v>
      </c>
      <c r="B7276" t="s">
        <v>3221</v>
      </c>
      <c r="C7276">
        <v>10714</v>
      </c>
      <c r="D7276" t="s">
        <v>428</v>
      </c>
      <c r="E7276" t="s">
        <v>429</v>
      </c>
      <c r="F7276">
        <v>80.19</v>
      </c>
      <c r="G7276">
        <v>230815</v>
      </c>
      <c r="H7276">
        <v>4520</v>
      </c>
      <c r="I7276" t="s">
        <v>254</v>
      </c>
      <c r="J7276">
        <v>91.42</v>
      </c>
      <c r="K7276">
        <v>11.23</v>
      </c>
      <c r="L7276">
        <v>14422</v>
      </c>
      <c r="M7276" t="s">
        <v>228</v>
      </c>
      <c r="N7276" t="str">
        <f t="shared" si="146"/>
        <v xml:space="preserve">2360709487  </v>
      </c>
      <c r="O7276">
        <v>230822</v>
      </c>
    </row>
    <row r="7277" spans="1:15" x14ac:dyDescent="0.25">
      <c r="A7277" t="s">
        <v>16</v>
      </c>
      <c r="B7277" t="s">
        <v>3221</v>
      </c>
      <c r="C7277">
        <v>10714</v>
      </c>
      <c r="D7277" t="s">
        <v>428</v>
      </c>
      <c r="E7277" t="s">
        <v>429</v>
      </c>
      <c r="F7277">
        <v>87.69</v>
      </c>
      <c r="G7277">
        <v>230815</v>
      </c>
      <c r="H7277">
        <v>4520</v>
      </c>
      <c r="I7277" t="s">
        <v>254</v>
      </c>
      <c r="J7277">
        <v>108.74</v>
      </c>
      <c r="K7277">
        <v>21.05</v>
      </c>
      <c r="L7277">
        <v>14431</v>
      </c>
      <c r="M7277" t="s">
        <v>861</v>
      </c>
      <c r="N7277" t="str">
        <f t="shared" si="146"/>
        <v xml:space="preserve">2360709487  </v>
      </c>
      <c r="O7277">
        <v>230822</v>
      </c>
    </row>
    <row r="7278" spans="1:15" x14ac:dyDescent="0.25">
      <c r="A7278" t="s">
        <v>16</v>
      </c>
      <c r="B7278" t="s">
        <v>3221</v>
      </c>
      <c r="C7278">
        <v>10714</v>
      </c>
      <c r="D7278" t="s">
        <v>428</v>
      </c>
      <c r="E7278" t="s">
        <v>429</v>
      </c>
      <c r="F7278">
        <v>320.77999999999997</v>
      </c>
      <c r="G7278">
        <v>230815</v>
      </c>
      <c r="H7278">
        <v>4520</v>
      </c>
      <c r="I7278" t="s">
        <v>254</v>
      </c>
      <c r="J7278">
        <v>365.69</v>
      </c>
      <c r="K7278">
        <v>44.91</v>
      </c>
      <c r="L7278">
        <v>14431</v>
      </c>
      <c r="M7278" t="s">
        <v>861</v>
      </c>
      <c r="N7278" t="str">
        <f t="shared" si="146"/>
        <v xml:space="preserve">2360709487  </v>
      </c>
      <c r="O7278">
        <v>230822</v>
      </c>
    </row>
    <row r="7279" spans="1:15" x14ac:dyDescent="0.25">
      <c r="A7279" t="s">
        <v>16</v>
      </c>
      <c r="B7279" t="s">
        <v>3221</v>
      </c>
      <c r="C7279">
        <v>10714</v>
      </c>
      <c r="D7279" t="s">
        <v>428</v>
      </c>
      <c r="E7279" t="s">
        <v>429</v>
      </c>
      <c r="F7279">
        <v>372.71</v>
      </c>
      <c r="G7279">
        <v>230815</v>
      </c>
      <c r="H7279">
        <v>4520</v>
      </c>
      <c r="I7279" t="s">
        <v>254</v>
      </c>
      <c r="J7279">
        <v>462.16</v>
      </c>
      <c r="K7279">
        <v>89.45</v>
      </c>
      <c r="L7279">
        <v>14432</v>
      </c>
      <c r="M7279" t="s">
        <v>862</v>
      </c>
      <c r="N7279" t="str">
        <f t="shared" si="146"/>
        <v xml:space="preserve">2360709487  </v>
      </c>
      <c r="O7279">
        <v>230822</v>
      </c>
    </row>
    <row r="7280" spans="1:15" x14ac:dyDescent="0.25">
      <c r="A7280" t="s">
        <v>16</v>
      </c>
      <c r="B7280" t="s">
        <v>3221</v>
      </c>
      <c r="C7280">
        <v>10714</v>
      </c>
      <c r="D7280" t="s">
        <v>428</v>
      </c>
      <c r="E7280" t="s">
        <v>429</v>
      </c>
      <c r="F7280">
        <v>1363.35</v>
      </c>
      <c r="G7280">
        <v>230815</v>
      </c>
      <c r="H7280">
        <v>4520</v>
      </c>
      <c r="I7280" t="s">
        <v>254</v>
      </c>
      <c r="J7280">
        <v>1554.22</v>
      </c>
      <c r="K7280">
        <v>190.87</v>
      </c>
      <c r="L7280">
        <v>14432</v>
      </c>
      <c r="M7280" t="s">
        <v>862</v>
      </c>
      <c r="N7280" t="str">
        <f t="shared" si="146"/>
        <v xml:space="preserve">2360709487  </v>
      </c>
      <c r="O7280">
        <v>230822</v>
      </c>
    </row>
    <row r="7281" spans="1:15" x14ac:dyDescent="0.25">
      <c r="A7281" t="s">
        <v>16</v>
      </c>
      <c r="B7281" t="s">
        <v>3221</v>
      </c>
      <c r="C7281">
        <v>10714</v>
      </c>
      <c r="D7281" t="s">
        <v>428</v>
      </c>
      <c r="E7281" t="s">
        <v>429</v>
      </c>
      <c r="F7281">
        <v>21.93</v>
      </c>
      <c r="G7281">
        <v>230815</v>
      </c>
      <c r="H7281">
        <v>4520</v>
      </c>
      <c r="I7281" t="s">
        <v>254</v>
      </c>
      <c r="J7281">
        <v>27.19</v>
      </c>
      <c r="K7281">
        <v>5.26</v>
      </c>
      <c r="L7281">
        <v>14640</v>
      </c>
      <c r="M7281" t="s">
        <v>229</v>
      </c>
      <c r="N7281" t="str">
        <f t="shared" si="146"/>
        <v xml:space="preserve">2360709487  </v>
      </c>
      <c r="O7281">
        <v>230822</v>
      </c>
    </row>
    <row r="7282" spans="1:15" x14ac:dyDescent="0.25">
      <c r="A7282" t="s">
        <v>16</v>
      </c>
      <c r="B7282" t="s">
        <v>3221</v>
      </c>
      <c r="C7282">
        <v>10714</v>
      </c>
      <c r="D7282" t="s">
        <v>428</v>
      </c>
      <c r="E7282" t="s">
        <v>429</v>
      </c>
      <c r="F7282">
        <v>80.22</v>
      </c>
      <c r="G7282">
        <v>230815</v>
      </c>
      <c r="H7282">
        <v>4520</v>
      </c>
      <c r="I7282" t="s">
        <v>254</v>
      </c>
      <c r="J7282">
        <v>91.45</v>
      </c>
      <c r="K7282">
        <v>11.23</v>
      </c>
      <c r="L7282">
        <v>14640</v>
      </c>
      <c r="M7282" t="s">
        <v>229</v>
      </c>
      <c r="N7282" t="str">
        <f t="shared" si="146"/>
        <v xml:space="preserve">2360709487  </v>
      </c>
      <c r="O7282">
        <v>230822</v>
      </c>
    </row>
    <row r="7283" spans="1:15" x14ac:dyDescent="0.25">
      <c r="A7283" t="s">
        <v>16</v>
      </c>
      <c r="B7283" t="s">
        <v>3221</v>
      </c>
      <c r="C7283">
        <v>10714</v>
      </c>
      <c r="D7283" t="s">
        <v>428</v>
      </c>
      <c r="E7283" t="s">
        <v>429</v>
      </c>
      <c r="F7283">
        <v>87.69</v>
      </c>
      <c r="G7283">
        <v>230815</v>
      </c>
      <c r="H7283">
        <v>4520</v>
      </c>
      <c r="I7283" t="s">
        <v>254</v>
      </c>
      <c r="J7283">
        <v>108.74</v>
      </c>
      <c r="K7283">
        <v>21.05</v>
      </c>
      <c r="L7283">
        <v>14642</v>
      </c>
      <c r="M7283" t="s">
        <v>863</v>
      </c>
      <c r="N7283" t="str">
        <f t="shared" si="146"/>
        <v xml:space="preserve">2360709487  </v>
      </c>
      <c r="O7283">
        <v>230822</v>
      </c>
    </row>
    <row r="7284" spans="1:15" x14ac:dyDescent="0.25">
      <c r="A7284" t="s">
        <v>16</v>
      </c>
      <c r="B7284" t="s">
        <v>3221</v>
      </c>
      <c r="C7284">
        <v>10714</v>
      </c>
      <c r="D7284" t="s">
        <v>428</v>
      </c>
      <c r="E7284" t="s">
        <v>429</v>
      </c>
      <c r="F7284">
        <v>320.77999999999997</v>
      </c>
      <c r="G7284">
        <v>230815</v>
      </c>
      <c r="H7284">
        <v>4520</v>
      </c>
      <c r="I7284" t="s">
        <v>254</v>
      </c>
      <c r="J7284">
        <v>365.69</v>
      </c>
      <c r="K7284">
        <v>44.91</v>
      </c>
      <c r="L7284">
        <v>14642</v>
      </c>
      <c r="M7284" t="s">
        <v>863</v>
      </c>
      <c r="N7284" t="str">
        <f t="shared" si="146"/>
        <v xml:space="preserve">2360709487  </v>
      </c>
      <c r="O7284">
        <v>230822</v>
      </c>
    </row>
    <row r="7285" spans="1:15" x14ac:dyDescent="0.25">
      <c r="A7285" t="s">
        <v>16</v>
      </c>
      <c r="B7285" t="s">
        <v>3221</v>
      </c>
      <c r="C7285">
        <v>10714</v>
      </c>
      <c r="D7285" t="s">
        <v>428</v>
      </c>
      <c r="E7285" t="s">
        <v>429</v>
      </c>
      <c r="F7285">
        <v>1600.44</v>
      </c>
      <c r="G7285">
        <v>230815</v>
      </c>
      <c r="H7285">
        <v>4520</v>
      </c>
      <c r="I7285" t="s">
        <v>254</v>
      </c>
      <c r="J7285">
        <v>1984.54</v>
      </c>
      <c r="K7285">
        <v>384.1</v>
      </c>
      <c r="L7285">
        <v>14912</v>
      </c>
      <c r="M7285" t="s">
        <v>230</v>
      </c>
      <c r="N7285" t="str">
        <f t="shared" si="146"/>
        <v xml:space="preserve">2360709487  </v>
      </c>
      <c r="O7285">
        <v>230822</v>
      </c>
    </row>
    <row r="7286" spans="1:15" x14ac:dyDescent="0.25">
      <c r="A7286" t="s">
        <v>16</v>
      </c>
      <c r="B7286" t="s">
        <v>3221</v>
      </c>
      <c r="C7286">
        <v>10714</v>
      </c>
      <c r="D7286" t="s">
        <v>428</v>
      </c>
      <c r="E7286" t="s">
        <v>429</v>
      </c>
      <c r="F7286">
        <v>5854.39</v>
      </c>
      <c r="G7286">
        <v>230815</v>
      </c>
      <c r="H7286">
        <v>4520</v>
      </c>
      <c r="I7286" t="s">
        <v>254</v>
      </c>
      <c r="J7286">
        <v>6674</v>
      </c>
      <c r="K7286">
        <v>819.61</v>
      </c>
      <c r="L7286">
        <v>14912</v>
      </c>
      <c r="M7286" t="s">
        <v>230</v>
      </c>
      <c r="N7286" t="str">
        <f t="shared" si="146"/>
        <v xml:space="preserve">2360709487  </v>
      </c>
      <c r="O7286">
        <v>230822</v>
      </c>
    </row>
    <row r="7287" spans="1:15" x14ac:dyDescent="0.25">
      <c r="A7287" t="s">
        <v>16</v>
      </c>
      <c r="B7287" t="s">
        <v>3221</v>
      </c>
      <c r="C7287">
        <v>10821</v>
      </c>
      <c r="D7287" t="s">
        <v>428</v>
      </c>
      <c r="E7287" t="s">
        <v>429</v>
      </c>
      <c r="F7287">
        <v>4464.74</v>
      </c>
      <c r="G7287">
        <v>230815</v>
      </c>
      <c r="H7287">
        <v>4520</v>
      </c>
      <c r="I7287" t="s">
        <v>254</v>
      </c>
      <c r="J7287">
        <v>5089.8</v>
      </c>
      <c r="K7287">
        <v>625.05999999999995</v>
      </c>
      <c r="L7287">
        <v>49112</v>
      </c>
      <c r="M7287" t="s">
        <v>233</v>
      </c>
      <c r="N7287" t="str">
        <f>"2360709483  "</f>
        <v xml:space="preserve">2360709483  </v>
      </c>
      <c r="O7287">
        <v>230823</v>
      </c>
    </row>
    <row r="7288" spans="1:15" x14ac:dyDescent="0.25">
      <c r="A7288" t="s">
        <v>16</v>
      </c>
      <c r="B7288" t="s">
        <v>3221</v>
      </c>
      <c r="C7288">
        <v>10822</v>
      </c>
      <c r="D7288" t="s">
        <v>428</v>
      </c>
      <c r="E7288" t="s">
        <v>429</v>
      </c>
      <c r="F7288">
        <v>428.85</v>
      </c>
      <c r="G7288">
        <v>230815</v>
      </c>
      <c r="H7288">
        <v>4520</v>
      </c>
      <c r="I7288" t="s">
        <v>254</v>
      </c>
      <c r="J7288">
        <v>488.89</v>
      </c>
      <c r="K7288">
        <v>60.04</v>
      </c>
      <c r="L7288">
        <v>44222</v>
      </c>
      <c r="M7288" t="s">
        <v>232</v>
      </c>
      <c r="N7288" t="str">
        <f>"2360709488  "</f>
        <v xml:space="preserve">2360709488  </v>
      </c>
      <c r="O7288">
        <v>230823</v>
      </c>
    </row>
    <row r="7289" spans="1:15" x14ac:dyDescent="0.25">
      <c r="A7289" t="s">
        <v>16</v>
      </c>
      <c r="B7289" t="s">
        <v>3221</v>
      </c>
      <c r="C7289">
        <v>10822</v>
      </c>
      <c r="D7289" t="s">
        <v>428</v>
      </c>
      <c r="E7289" t="s">
        <v>429</v>
      </c>
      <c r="F7289">
        <v>240.35</v>
      </c>
      <c r="G7289">
        <v>230815</v>
      </c>
      <c r="H7289">
        <v>4520</v>
      </c>
      <c r="I7289" t="s">
        <v>254</v>
      </c>
      <c r="J7289">
        <v>274</v>
      </c>
      <c r="K7289">
        <v>33.65</v>
      </c>
      <c r="L7289">
        <v>44253</v>
      </c>
      <c r="M7289" t="s">
        <v>1058</v>
      </c>
      <c r="N7289" t="str">
        <f>"2360709488  "</f>
        <v xml:space="preserve">2360709488  </v>
      </c>
      <c r="O7289">
        <v>230823</v>
      </c>
    </row>
    <row r="7290" spans="1:15" x14ac:dyDescent="0.25">
      <c r="A7290" t="s">
        <v>16</v>
      </c>
      <c r="B7290" t="s">
        <v>3221</v>
      </c>
      <c r="C7290">
        <v>11059</v>
      </c>
      <c r="D7290" t="s">
        <v>428</v>
      </c>
      <c r="E7290" t="s">
        <v>429</v>
      </c>
      <c r="F7290">
        <v>84.02</v>
      </c>
      <c r="G7290">
        <v>230815</v>
      </c>
      <c r="H7290">
        <v>4520</v>
      </c>
      <c r="I7290" t="s">
        <v>254</v>
      </c>
      <c r="J7290">
        <v>95.78</v>
      </c>
      <c r="K7290">
        <v>11.76</v>
      </c>
      <c r="L7290">
        <v>44251</v>
      </c>
      <c r="M7290" t="s">
        <v>156</v>
      </c>
      <c r="N7290" t="str">
        <f>"2360709485  "</f>
        <v xml:space="preserve">2360709485  </v>
      </c>
      <c r="O7290">
        <v>230829</v>
      </c>
    </row>
    <row r="7291" spans="1:15" x14ac:dyDescent="0.25">
      <c r="A7291" t="s">
        <v>16</v>
      </c>
      <c r="B7291" t="s">
        <v>3221</v>
      </c>
      <c r="C7291">
        <v>11059</v>
      </c>
      <c r="D7291" t="s">
        <v>428</v>
      </c>
      <c r="E7291" t="s">
        <v>429</v>
      </c>
      <c r="F7291">
        <v>1103.18</v>
      </c>
      <c r="G7291">
        <v>230815</v>
      </c>
      <c r="H7291">
        <v>4520</v>
      </c>
      <c r="I7291" t="s">
        <v>254</v>
      </c>
      <c r="J7291">
        <v>1257.6199999999999</v>
      </c>
      <c r="K7291">
        <v>154.44</v>
      </c>
      <c r="L7291">
        <v>44252</v>
      </c>
      <c r="M7291" t="s">
        <v>157</v>
      </c>
      <c r="N7291" t="str">
        <f>"2360709485  "</f>
        <v xml:space="preserve">2360709485  </v>
      </c>
      <c r="O7291">
        <v>230829</v>
      </c>
    </row>
    <row r="7292" spans="1:15" x14ac:dyDescent="0.25">
      <c r="A7292" t="s">
        <v>16</v>
      </c>
      <c r="B7292" t="s">
        <v>3221</v>
      </c>
      <c r="C7292">
        <v>11254</v>
      </c>
      <c r="D7292" t="s">
        <v>428</v>
      </c>
      <c r="E7292" t="s">
        <v>429</v>
      </c>
      <c r="F7292">
        <v>239.2</v>
      </c>
      <c r="G7292">
        <v>230831</v>
      </c>
      <c r="H7292">
        <v>4520</v>
      </c>
      <c r="I7292" t="s">
        <v>254</v>
      </c>
      <c r="J7292">
        <v>272.69</v>
      </c>
      <c r="K7292">
        <v>33.49</v>
      </c>
      <c r="L7292">
        <v>16431</v>
      </c>
      <c r="M7292" t="s">
        <v>231</v>
      </c>
      <c r="N7292" t="str">
        <f>"2360747921  "</f>
        <v xml:space="preserve">2360747921  </v>
      </c>
      <c r="O7292">
        <v>230904</v>
      </c>
    </row>
    <row r="7293" spans="1:15" x14ac:dyDescent="0.25">
      <c r="A7293" t="s">
        <v>16</v>
      </c>
      <c r="B7293" t="s">
        <v>3221</v>
      </c>
      <c r="C7293">
        <v>11254</v>
      </c>
      <c r="D7293" t="s">
        <v>428</v>
      </c>
      <c r="E7293" t="s">
        <v>429</v>
      </c>
      <c r="F7293">
        <v>85.1</v>
      </c>
      <c r="G7293">
        <v>230831</v>
      </c>
      <c r="H7293">
        <v>4520</v>
      </c>
      <c r="I7293" t="s">
        <v>254</v>
      </c>
      <c r="J7293">
        <v>97.01</v>
      </c>
      <c r="K7293">
        <v>11.91</v>
      </c>
      <c r="L7293">
        <v>16442</v>
      </c>
      <c r="M7293" t="s">
        <v>430</v>
      </c>
      <c r="N7293" t="str">
        <f>"2360747921  "</f>
        <v xml:space="preserve">2360747921  </v>
      </c>
      <c r="O7293">
        <v>230904</v>
      </c>
    </row>
    <row r="7294" spans="1:15" x14ac:dyDescent="0.25">
      <c r="A7294" t="s">
        <v>16</v>
      </c>
      <c r="B7294" t="s">
        <v>3221</v>
      </c>
      <c r="C7294">
        <v>11254</v>
      </c>
      <c r="D7294" t="s">
        <v>428</v>
      </c>
      <c r="E7294" t="s">
        <v>429</v>
      </c>
      <c r="F7294">
        <v>5863.86</v>
      </c>
      <c r="G7294">
        <v>230831</v>
      </c>
      <c r="H7294">
        <v>4520</v>
      </c>
      <c r="I7294" t="s">
        <v>254</v>
      </c>
      <c r="J7294">
        <v>6684.8</v>
      </c>
      <c r="K7294">
        <v>820.94</v>
      </c>
      <c r="L7294">
        <v>17913</v>
      </c>
      <c r="M7294" t="s">
        <v>431</v>
      </c>
      <c r="N7294" t="str">
        <f>"2360747921  "</f>
        <v xml:space="preserve">2360747921  </v>
      </c>
      <c r="O7294">
        <v>230904</v>
      </c>
    </row>
    <row r="7295" spans="1:15" x14ac:dyDescent="0.25">
      <c r="A7295" t="s">
        <v>16</v>
      </c>
      <c r="B7295" t="s">
        <v>3221</v>
      </c>
      <c r="C7295">
        <v>11345</v>
      </c>
      <c r="D7295" t="s">
        <v>428</v>
      </c>
      <c r="E7295" t="s">
        <v>429</v>
      </c>
      <c r="F7295">
        <v>732.74</v>
      </c>
      <c r="G7295">
        <v>230831</v>
      </c>
      <c r="H7295">
        <v>4520</v>
      </c>
      <c r="I7295" t="s">
        <v>254</v>
      </c>
      <c r="J7295">
        <v>835.32</v>
      </c>
      <c r="K7295">
        <v>102.58</v>
      </c>
      <c r="L7295">
        <v>44251</v>
      </c>
      <c r="M7295" t="s">
        <v>156</v>
      </c>
      <c r="N7295" t="str">
        <f>"2360747920  "</f>
        <v xml:space="preserve">2360747920  </v>
      </c>
      <c r="O7295">
        <v>230904</v>
      </c>
    </row>
    <row r="7296" spans="1:15" x14ac:dyDescent="0.25">
      <c r="A7296" t="s">
        <v>16</v>
      </c>
      <c r="B7296" t="s">
        <v>3221</v>
      </c>
      <c r="C7296">
        <v>11345</v>
      </c>
      <c r="D7296" t="s">
        <v>428</v>
      </c>
      <c r="E7296" t="s">
        <v>429</v>
      </c>
      <c r="F7296">
        <v>1113.18</v>
      </c>
      <c r="G7296">
        <v>230831</v>
      </c>
      <c r="H7296">
        <v>4520</v>
      </c>
      <c r="I7296" t="s">
        <v>254</v>
      </c>
      <c r="J7296">
        <v>1269.03</v>
      </c>
      <c r="K7296">
        <v>155.85</v>
      </c>
      <c r="L7296">
        <v>44252</v>
      </c>
      <c r="M7296" t="s">
        <v>157</v>
      </c>
      <c r="N7296" t="str">
        <f>"2360747920  "</f>
        <v xml:space="preserve">2360747920  </v>
      </c>
      <c r="O7296">
        <v>230904</v>
      </c>
    </row>
    <row r="7297" spans="1:15" x14ac:dyDescent="0.25">
      <c r="A7297" t="s">
        <v>16</v>
      </c>
      <c r="B7297" t="s">
        <v>3221</v>
      </c>
      <c r="C7297">
        <v>11346</v>
      </c>
      <c r="D7297" t="s">
        <v>428</v>
      </c>
      <c r="E7297" t="s">
        <v>429</v>
      </c>
      <c r="F7297">
        <v>76.930000000000007</v>
      </c>
      <c r="G7297">
        <v>230831</v>
      </c>
      <c r="H7297">
        <v>4520</v>
      </c>
      <c r="I7297" t="s">
        <v>254</v>
      </c>
      <c r="J7297">
        <v>87.7</v>
      </c>
      <c r="K7297">
        <v>10.77</v>
      </c>
      <c r="L7297">
        <v>17131</v>
      </c>
      <c r="M7297" t="s">
        <v>64</v>
      </c>
      <c r="N7297" t="str">
        <f>"2360747919  "</f>
        <v xml:space="preserve">2360747919  </v>
      </c>
      <c r="O7297">
        <v>230904</v>
      </c>
    </row>
    <row r="7298" spans="1:15" x14ac:dyDescent="0.25">
      <c r="A7298" t="s">
        <v>16</v>
      </c>
      <c r="B7298" t="s">
        <v>3221</v>
      </c>
      <c r="C7298">
        <v>11346</v>
      </c>
      <c r="D7298" t="s">
        <v>428</v>
      </c>
      <c r="E7298" t="s">
        <v>429</v>
      </c>
      <c r="F7298">
        <v>26.66</v>
      </c>
      <c r="G7298">
        <v>230831</v>
      </c>
      <c r="H7298">
        <v>4520</v>
      </c>
      <c r="I7298" t="s">
        <v>254</v>
      </c>
      <c r="J7298">
        <v>30.39</v>
      </c>
      <c r="K7298">
        <v>3.73</v>
      </c>
      <c r="L7298">
        <v>17711</v>
      </c>
      <c r="M7298" t="s">
        <v>65</v>
      </c>
      <c r="N7298" t="str">
        <f>"2360747919  "</f>
        <v xml:space="preserve">2360747919  </v>
      </c>
      <c r="O7298">
        <v>230904</v>
      </c>
    </row>
    <row r="7299" spans="1:15" x14ac:dyDescent="0.25">
      <c r="A7299" t="s">
        <v>16</v>
      </c>
      <c r="B7299" t="s">
        <v>3221</v>
      </c>
      <c r="C7299">
        <v>11346</v>
      </c>
      <c r="D7299" t="s">
        <v>428</v>
      </c>
      <c r="E7299" t="s">
        <v>429</v>
      </c>
      <c r="F7299">
        <v>1714.99</v>
      </c>
      <c r="G7299">
        <v>230831</v>
      </c>
      <c r="H7299">
        <v>4520</v>
      </c>
      <c r="I7299" t="s">
        <v>254</v>
      </c>
      <c r="J7299">
        <v>1955.09</v>
      </c>
      <c r="K7299">
        <v>240.1</v>
      </c>
      <c r="L7299">
        <v>17915</v>
      </c>
      <c r="M7299" t="s">
        <v>572</v>
      </c>
      <c r="N7299" t="str">
        <f>"2360747919  "</f>
        <v xml:space="preserve">2360747919  </v>
      </c>
      <c r="O7299">
        <v>230904</v>
      </c>
    </row>
    <row r="7300" spans="1:15" x14ac:dyDescent="0.25">
      <c r="A7300" t="s">
        <v>16</v>
      </c>
      <c r="B7300" t="s">
        <v>3221</v>
      </c>
      <c r="C7300">
        <v>11415</v>
      </c>
      <c r="D7300" t="s">
        <v>428</v>
      </c>
      <c r="E7300" t="s">
        <v>429</v>
      </c>
      <c r="F7300">
        <v>2561.67</v>
      </c>
      <c r="G7300">
        <v>230831</v>
      </c>
      <c r="H7300">
        <v>4520</v>
      </c>
      <c r="I7300" t="s">
        <v>254</v>
      </c>
      <c r="J7300">
        <v>2920.3</v>
      </c>
      <c r="K7300">
        <v>358.63</v>
      </c>
      <c r="L7300">
        <v>69112</v>
      </c>
      <c r="M7300" t="s">
        <v>313</v>
      </c>
      <c r="N7300" t="str">
        <f>"2360747924  "</f>
        <v xml:space="preserve">2360747924  </v>
      </c>
      <c r="O7300">
        <v>230905</v>
      </c>
    </row>
    <row r="7301" spans="1:15" x14ac:dyDescent="0.25">
      <c r="A7301" t="s">
        <v>16</v>
      </c>
      <c r="B7301" t="s">
        <v>3221</v>
      </c>
      <c r="C7301">
        <v>11415</v>
      </c>
      <c r="D7301" t="s">
        <v>428</v>
      </c>
      <c r="E7301" t="s">
        <v>429</v>
      </c>
      <c r="F7301">
        <v>142.32</v>
      </c>
      <c r="G7301">
        <v>230831</v>
      </c>
      <c r="H7301">
        <v>4520</v>
      </c>
      <c r="I7301" t="s">
        <v>254</v>
      </c>
      <c r="J7301">
        <v>162.24</v>
      </c>
      <c r="K7301">
        <v>19.920000000000002</v>
      </c>
      <c r="L7301">
        <v>69810</v>
      </c>
      <c r="M7301" t="s">
        <v>314</v>
      </c>
      <c r="N7301" t="str">
        <f>"2360747924  "</f>
        <v xml:space="preserve">2360747924  </v>
      </c>
      <c r="O7301">
        <v>230905</v>
      </c>
    </row>
    <row r="7302" spans="1:15" x14ac:dyDescent="0.25">
      <c r="A7302" t="s">
        <v>16</v>
      </c>
      <c r="B7302" t="s">
        <v>3221</v>
      </c>
      <c r="C7302">
        <v>11415</v>
      </c>
      <c r="D7302" t="s">
        <v>428</v>
      </c>
      <c r="E7302" t="s">
        <v>429</v>
      </c>
      <c r="F7302">
        <v>142.32</v>
      </c>
      <c r="G7302">
        <v>230831</v>
      </c>
      <c r="H7302">
        <v>4520</v>
      </c>
      <c r="I7302" t="s">
        <v>254</v>
      </c>
      <c r="J7302">
        <v>162.24</v>
      </c>
      <c r="K7302">
        <v>19.920000000000002</v>
      </c>
      <c r="L7302">
        <v>69810</v>
      </c>
      <c r="M7302" t="s">
        <v>314</v>
      </c>
      <c r="N7302" t="str">
        <f>"2360747924  "</f>
        <v xml:space="preserve">2360747924  </v>
      </c>
      <c r="O7302">
        <v>230905</v>
      </c>
    </row>
    <row r="7303" spans="1:15" x14ac:dyDescent="0.25">
      <c r="A7303" t="s">
        <v>16</v>
      </c>
      <c r="B7303" t="s">
        <v>3221</v>
      </c>
      <c r="C7303">
        <v>11557</v>
      </c>
      <c r="D7303" t="s">
        <v>428</v>
      </c>
      <c r="E7303" t="s">
        <v>429</v>
      </c>
      <c r="F7303">
        <v>4409.33</v>
      </c>
      <c r="G7303">
        <v>230831</v>
      </c>
      <c r="H7303">
        <v>4520</v>
      </c>
      <c r="I7303" t="s">
        <v>254</v>
      </c>
      <c r="J7303">
        <v>5026.6400000000003</v>
      </c>
      <c r="K7303">
        <v>617.30999999999995</v>
      </c>
      <c r="L7303">
        <v>59113</v>
      </c>
      <c r="M7303" t="s">
        <v>235</v>
      </c>
      <c r="N7303" t="str">
        <f>"2360747916  "</f>
        <v xml:space="preserve">2360747916  </v>
      </c>
      <c r="O7303">
        <v>230907</v>
      </c>
    </row>
    <row r="7304" spans="1:15" x14ac:dyDescent="0.25">
      <c r="A7304" t="s">
        <v>16</v>
      </c>
      <c r="B7304" t="s">
        <v>3221</v>
      </c>
      <c r="C7304">
        <v>11558</v>
      </c>
      <c r="D7304" t="s">
        <v>428</v>
      </c>
      <c r="E7304" t="s">
        <v>429</v>
      </c>
      <c r="F7304">
        <v>1828.68</v>
      </c>
      <c r="G7304">
        <v>230831</v>
      </c>
      <c r="H7304">
        <v>4520</v>
      </c>
      <c r="I7304" t="s">
        <v>254</v>
      </c>
      <c r="J7304">
        <v>2084.69</v>
      </c>
      <c r="K7304">
        <v>256.01</v>
      </c>
      <c r="L7304">
        <v>59114</v>
      </c>
      <c r="M7304" t="s">
        <v>556</v>
      </c>
      <c r="N7304" t="str">
        <f>"2360747914  "</f>
        <v xml:space="preserve">2360747914  </v>
      </c>
      <c r="O7304">
        <v>230907</v>
      </c>
    </row>
    <row r="7305" spans="1:15" x14ac:dyDescent="0.25">
      <c r="A7305" t="s">
        <v>16</v>
      </c>
      <c r="B7305" t="s">
        <v>3221</v>
      </c>
      <c r="C7305">
        <v>11864</v>
      </c>
      <c r="D7305" t="s">
        <v>428</v>
      </c>
      <c r="E7305" t="s">
        <v>429</v>
      </c>
      <c r="F7305">
        <v>848.33</v>
      </c>
      <c r="G7305">
        <v>230831</v>
      </c>
      <c r="H7305">
        <v>4520</v>
      </c>
      <c r="I7305" t="s">
        <v>254</v>
      </c>
      <c r="J7305">
        <v>1051.93</v>
      </c>
      <c r="K7305">
        <v>203.6</v>
      </c>
      <c r="L7305">
        <v>54422</v>
      </c>
      <c r="M7305" t="s">
        <v>234</v>
      </c>
      <c r="N7305" t="str">
        <f>"2360747915  "</f>
        <v xml:space="preserve">2360747915  </v>
      </c>
      <c r="O7305">
        <v>230911</v>
      </c>
    </row>
    <row r="7306" spans="1:15" x14ac:dyDescent="0.25">
      <c r="A7306" t="s">
        <v>16</v>
      </c>
      <c r="B7306" t="s">
        <v>3221</v>
      </c>
      <c r="C7306">
        <v>11864</v>
      </c>
      <c r="D7306" t="s">
        <v>428</v>
      </c>
      <c r="E7306" t="s">
        <v>429</v>
      </c>
      <c r="F7306">
        <v>3158.47</v>
      </c>
      <c r="G7306">
        <v>230831</v>
      </c>
      <c r="H7306">
        <v>4520</v>
      </c>
      <c r="I7306" t="s">
        <v>254</v>
      </c>
      <c r="J7306">
        <v>3600.66</v>
      </c>
      <c r="K7306">
        <v>442.19</v>
      </c>
      <c r="L7306">
        <v>54422</v>
      </c>
      <c r="M7306" t="s">
        <v>234</v>
      </c>
      <c r="N7306" t="str">
        <f>"2360747915  "</f>
        <v xml:space="preserve">2360747915  </v>
      </c>
      <c r="O7306">
        <v>230911</v>
      </c>
    </row>
    <row r="7307" spans="1:15" x14ac:dyDescent="0.25">
      <c r="A7307" t="s">
        <v>16</v>
      </c>
      <c r="B7307" t="s">
        <v>3221</v>
      </c>
      <c r="C7307">
        <v>11864</v>
      </c>
      <c r="D7307" t="s">
        <v>428</v>
      </c>
      <c r="E7307" t="s">
        <v>429</v>
      </c>
      <c r="F7307">
        <v>3158.47</v>
      </c>
      <c r="G7307">
        <v>230831</v>
      </c>
      <c r="H7307">
        <v>4520</v>
      </c>
      <c r="I7307" t="s">
        <v>254</v>
      </c>
      <c r="J7307">
        <v>3600.66</v>
      </c>
      <c r="K7307">
        <v>442.19</v>
      </c>
      <c r="L7307">
        <v>54451</v>
      </c>
      <c r="M7307" t="s">
        <v>158</v>
      </c>
      <c r="N7307" t="str">
        <f>"2360747915  "</f>
        <v xml:space="preserve">2360747915  </v>
      </c>
      <c r="O7307">
        <v>230911</v>
      </c>
    </row>
    <row r="7308" spans="1:15" x14ac:dyDescent="0.25">
      <c r="A7308" t="s">
        <v>16</v>
      </c>
      <c r="B7308" t="s">
        <v>3221</v>
      </c>
      <c r="C7308">
        <v>11865</v>
      </c>
      <c r="D7308" t="s">
        <v>428</v>
      </c>
      <c r="E7308" t="s">
        <v>429</v>
      </c>
      <c r="F7308">
        <v>3695.03</v>
      </c>
      <c r="G7308">
        <v>230831</v>
      </c>
      <c r="H7308">
        <v>4520</v>
      </c>
      <c r="I7308" t="s">
        <v>254</v>
      </c>
      <c r="J7308">
        <v>4212.33</v>
      </c>
      <c r="K7308">
        <v>517.29999999999995</v>
      </c>
      <c r="L7308">
        <v>49112</v>
      </c>
      <c r="M7308" t="s">
        <v>233</v>
      </c>
      <c r="N7308" t="str">
        <f>"2360747918  "</f>
        <v xml:space="preserve">2360747918  </v>
      </c>
      <c r="O7308">
        <v>230911</v>
      </c>
    </row>
    <row r="7309" spans="1:15" x14ac:dyDescent="0.25">
      <c r="A7309" t="s">
        <v>16</v>
      </c>
      <c r="B7309" t="s">
        <v>3221</v>
      </c>
      <c r="C7309">
        <v>11869</v>
      </c>
      <c r="D7309" t="s">
        <v>428</v>
      </c>
      <c r="E7309" t="s">
        <v>429</v>
      </c>
      <c r="F7309">
        <v>3777.04</v>
      </c>
      <c r="G7309">
        <v>230831</v>
      </c>
      <c r="H7309">
        <v>4520</v>
      </c>
      <c r="I7309" t="s">
        <v>254</v>
      </c>
      <c r="J7309">
        <v>4305.83</v>
      </c>
      <c r="K7309">
        <v>528.79</v>
      </c>
      <c r="L7309">
        <v>69113</v>
      </c>
      <c r="M7309" t="s">
        <v>282</v>
      </c>
      <c r="N7309" t="str">
        <f>"2360747917  "</f>
        <v xml:space="preserve">2360747917  </v>
      </c>
      <c r="O7309">
        <v>230911</v>
      </c>
    </row>
    <row r="7310" spans="1:15" x14ac:dyDescent="0.25">
      <c r="A7310" t="s">
        <v>16</v>
      </c>
      <c r="B7310" t="s">
        <v>3221</v>
      </c>
      <c r="C7310">
        <v>11869</v>
      </c>
      <c r="D7310" t="s">
        <v>428</v>
      </c>
      <c r="E7310" t="s">
        <v>429</v>
      </c>
      <c r="F7310">
        <v>444.36</v>
      </c>
      <c r="G7310">
        <v>230831</v>
      </c>
      <c r="H7310">
        <v>4520</v>
      </c>
      <c r="I7310" t="s">
        <v>254</v>
      </c>
      <c r="J7310">
        <v>506.57</v>
      </c>
      <c r="K7310">
        <v>62.21</v>
      </c>
      <c r="L7310">
        <v>69802</v>
      </c>
      <c r="M7310" t="s">
        <v>283</v>
      </c>
      <c r="N7310" t="str">
        <f>"2360747917  "</f>
        <v xml:space="preserve">2360747917  </v>
      </c>
      <c r="O7310">
        <v>230911</v>
      </c>
    </row>
    <row r="7311" spans="1:15" x14ac:dyDescent="0.25">
      <c r="A7311" t="s">
        <v>16</v>
      </c>
      <c r="B7311" t="s">
        <v>3221</v>
      </c>
      <c r="C7311">
        <v>11869</v>
      </c>
      <c r="D7311" t="s">
        <v>428</v>
      </c>
      <c r="E7311" t="s">
        <v>429</v>
      </c>
      <c r="F7311">
        <v>222.18</v>
      </c>
      <c r="G7311">
        <v>230831</v>
      </c>
      <c r="H7311">
        <v>4520</v>
      </c>
      <c r="I7311" t="s">
        <v>254</v>
      </c>
      <c r="J7311">
        <v>253.28</v>
      </c>
      <c r="K7311">
        <v>31.1</v>
      </c>
      <c r="L7311">
        <v>69804</v>
      </c>
      <c r="M7311" t="s">
        <v>284</v>
      </c>
      <c r="N7311" t="str">
        <f>"2360747917  "</f>
        <v xml:space="preserve">2360747917  </v>
      </c>
      <c r="O7311">
        <v>230911</v>
      </c>
    </row>
    <row r="7312" spans="1:15" x14ac:dyDescent="0.25">
      <c r="A7312" t="s">
        <v>16</v>
      </c>
      <c r="B7312" t="s">
        <v>3221</v>
      </c>
      <c r="C7312">
        <v>11957</v>
      </c>
      <c r="D7312" t="s">
        <v>428</v>
      </c>
      <c r="E7312" t="s">
        <v>429</v>
      </c>
      <c r="F7312">
        <v>359.21</v>
      </c>
      <c r="G7312">
        <v>230831</v>
      </c>
      <c r="H7312">
        <v>4520</v>
      </c>
      <c r="I7312" t="s">
        <v>254</v>
      </c>
      <c r="J7312">
        <v>409.5</v>
      </c>
      <c r="K7312">
        <v>50.29</v>
      </c>
      <c r="L7312">
        <v>44222</v>
      </c>
      <c r="M7312" t="s">
        <v>232</v>
      </c>
      <c r="N7312" t="str">
        <f>"2360747923  "</f>
        <v xml:space="preserve">2360747923  </v>
      </c>
      <c r="O7312">
        <v>230912</v>
      </c>
    </row>
    <row r="7313" spans="1:15" x14ac:dyDescent="0.25">
      <c r="A7313" t="s">
        <v>16</v>
      </c>
      <c r="B7313" t="s">
        <v>3221</v>
      </c>
      <c r="C7313">
        <v>11957</v>
      </c>
      <c r="D7313" t="s">
        <v>428</v>
      </c>
      <c r="E7313" t="s">
        <v>429</v>
      </c>
      <c r="F7313">
        <v>432.23</v>
      </c>
      <c r="G7313">
        <v>230831</v>
      </c>
      <c r="H7313">
        <v>4520</v>
      </c>
      <c r="I7313" t="s">
        <v>254</v>
      </c>
      <c r="J7313">
        <v>492.74</v>
      </c>
      <c r="K7313">
        <v>60.51</v>
      </c>
      <c r="L7313">
        <v>44253</v>
      </c>
      <c r="M7313" t="s">
        <v>1058</v>
      </c>
      <c r="N7313" t="str">
        <f>"2360747923  "</f>
        <v xml:space="preserve">2360747923  </v>
      </c>
      <c r="O7313">
        <v>230912</v>
      </c>
    </row>
    <row r="7314" spans="1:15" x14ac:dyDescent="0.25">
      <c r="A7314" t="s">
        <v>16</v>
      </c>
      <c r="B7314" t="s">
        <v>3221</v>
      </c>
      <c r="C7314">
        <v>12369</v>
      </c>
      <c r="D7314" t="s">
        <v>428</v>
      </c>
      <c r="E7314" t="s">
        <v>429</v>
      </c>
      <c r="F7314">
        <v>276.93</v>
      </c>
      <c r="G7314">
        <v>230915</v>
      </c>
      <c r="H7314">
        <v>4520</v>
      </c>
      <c r="I7314" t="s">
        <v>254</v>
      </c>
      <c r="J7314">
        <v>343.39</v>
      </c>
      <c r="K7314">
        <v>66.459999999999994</v>
      </c>
      <c r="L7314">
        <v>54422</v>
      </c>
      <c r="M7314" t="s">
        <v>234</v>
      </c>
      <c r="N7314" t="str">
        <f>"2360816077  "</f>
        <v xml:space="preserve">2360816077  </v>
      </c>
      <c r="O7314">
        <v>230918</v>
      </c>
    </row>
    <row r="7315" spans="1:15" x14ac:dyDescent="0.25">
      <c r="A7315" t="s">
        <v>16</v>
      </c>
      <c r="B7315" t="s">
        <v>3221</v>
      </c>
      <c r="C7315">
        <v>12369</v>
      </c>
      <c r="D7315" t="s">
        <v>428</v>
      </c>
      <c r="E7315" t="s">
        <v>429</v>
      </c>
      <c r="F7315">
        <v>2773</v>
      </c>
      <c r="G7315">
        <v>230915</v>
      </c>
      <c r="H7315">
        <v>4520</v>
      </c>
      <c r="I7315" t="s">
        <v>254</v>
      </c>
      <c r="J7315">
        <v>3161.22</v>
      </c>
      <c r="K7315">
        <v>388.22</v>
      </c>
      <c r="L7315">
        <v>54451</v>
      </c>
      <c r="M7315" t="s">
        <v>158</v>
      </c>
      <c r="N7315" t="str">
        <f>"2360816077  "</f>
        <v xml:space="preserve">2360816077  </v>
      </c>
      <c r="O7315">
        <v>230918</v>
      </c>
    </row>
    <row r="7316" spans="1:15" x14ac:dyDescent="0.25">
      <c r="A7316" t="s">
        <v>16</v>
      </c>
      <c r="B7316" t="s">
        <v>3221</v>
      </c>
      <c r="C7316">
        <v>12369</v>
      </c>
      <c r="D7316" t="s">
        <v>428</v>
      </c>
      <c r="E7316" t="s">
        <v>429</v>
      </c>
      <c r="F7316">
        <v>2773.01</v>
      </c>
      <c r="G7316">
        <v>230915</v>
      </c>
      <c r="H7316">
        <v>4520</v>
      </c>
      <c r="I7316" t="s">
        <v>254</v>
      </c>
      <c r="J7316">
        <v>3161.23</v>
      </c>
      <c r="K7316">
        <v>388.22</v>
      </c>
      <c r="L7316">
        <v>59113</v>
      </c>
      <c r="M7316" t="s">
        <v>235</v>
      </c>
      <c r="N7316" t="str">
        <f>"2360816077  "</f>
        <v xml:space="preserve">2360816077  </v>
      </c>
      <c r="O7316">
        <v>230918</v>
      </c>
    </row>
    <row r="7317" spans="1:15" x14ac:dyDescent="0.25">
      <c r="A7317" t="s">
        <v>16</v>
      </c>
      <c r="B7317" t="s">
        <v>3221</v>
      </c>
      <c r="C7317">
        <v>12413</v>
      </c>
      <c r="D7317" t="s">
        <v>428</v>
      </c>
      <c r="E7317" t="s">
        <v>429</v>
      </c>
      <c r="F7317">
        <v>12.2</v>
      </c>
      <c r="G7317">
        <v>230831</v>
      </c>
      <c r="H7317">
        <v>4520</v>
      </c>
      <c r="I7317" t="s">
        <v>254</v>
      </c>
      <c r="J7317">
        <v>15.13</v>
      </c>
      <c r="K7317">
        <v>2.93</v>
      </c>
      <c r="L7317">
        <v>14422</v>
      </c>
      <c r="M7317" t="s">
        <v>228</v>
      </c>
      <c r="N7317" t="str">
        <f t="shared" ref="N7317:N7328" si="147">"2360747922  "</f>
        <v xml:space="preserve">2360747922  </v>
      </c>
      <c r="O7317">
        <v>230919</v>
      </c>
    </row>
    <row r="7318" spans="1:15" x14ac:dyDescent="0.25">
      <c r="A7318" t="s">
        <v>16</v>
      </c>
      <c r="B7318" t="s">
        <v>3221</v>
      </c>
      <c r="C7318">
        <v>12413</v>
      </c>
      <c r="D7318" t="s">
        <v>428</v>
      </c>
      <c r="E7318" t="s">
        <v>429</v>
      </c>
      <c r="F7318">
        <v>118.69</v>
      </c>
      <c r="G7318">
        <v>230831</v>
      </c>
      <c r="H7318">
        <v>4520</v>
      </c>
      <c r="I7318" t="s">
        <v>254</v>
      </c>
      <c r="J7318">
        <v>135.31</v>
      </c>
      <c r="K7318">
        <v>16.62</v>
      </c>
      <c r="L7318">
        <v>14422</v>
      </c>
      <c r="M7318" t="s">
        <v>228</v>
      </c>
      <c r="N7318" t="str">
        <f t="shared" si="147"/>
        <v xml:space="preserve">2360747922  </v>
      </c>
      <c r="O7318">
        <v>230919</v>
      </c>
    </row>
    <row r="7319" spans="1:15" x14ac:dyDescent="0.25">
      <c r="A7319" t="s">
        <v>16</v>
      </c>
      <c r="B7319" t="s">
        <v>3221</v>
      </c>
      <c r="C7319">
        <v>12413</v>
      </c>
      <c r="D7319" t="s">
        <v>428</v>
      </c>
      <c r="E7319" t="s">
        <v>429</v>
      </c>
      <c r="F7319">
        <v>48.8</v>
      </c>
      <c r="G7319">
        <v>230831</v>
      </c>
      <c r="H7319">
        <v>4520</v>
      </c>
      <c r="I7319" t="s">
        <v>254</v>
      </c>
      <c r="J7319">
        <v>60.51</v>
      </c>
      <c r="K7319">
        <v>11.71</v>
      </c>
      <c r="L7319">
        <v>14431</v>
      </c>
      <c r="M7319" t="s">
        <v>861</v>
      </c>
      <c r="N7319" t="str">
        <f t="shared" si="147"/>
        <v xml:space="preserve">2360747922  </v>
      </c>
      <c r="O7319">
        <v>230919</v>
      </c>
    </row>
    <row r="7320" spans="1:15" x14ac:dyDescent="0.25">
      <c r="A7320" t="s">
        <v>16</v>
      </c>
      <c r="B7320" t="s">
        <v>3221</v>
      </c>
      <c r="C7320">
        <v>12413</v>
      </c>
      <c r="D7320" t="s">
        <v>428</v>
      </c>
      <c r="E7320" t="s">
        <v>429</v>
      </c>
      <c r="F7320">
        <v>474.78</v>
      </c>
      <c r="G7320">
        <v>230831</v>
      </c>
      <c r="H7320">
        <v>4520</v>
      </c>
      <c r="I7320" t="s">
        <v>254</v>
      </c>
      <c r="J7320">
        <v>541.25</v>
      </c>
      <c r="K7320">
        <v>66.47</v>
      </c>
      <c r="L7320">
        <v>14431</v>
      </c>
      <c r="M7320" t="s">
        <v>861</v>
      </c>
      <c r="N7320" t="str">
        <f t="shared" si="147"/>
        <v xml:space="preserve">2360747922  </v>
      </c>
      <c r="O7320">
        <v>230919</v>
      </c>
    </row>
    <row r="7321" spans="1:15" x14ac:dyDescent="0.25">
      <c r="A7321" t="s">
        <v>16</v>
      </c>
      <c r="B7321" t="s">
        <v>3221</v>
      </c>
      <c r="C7321">
        <v>12413</v>
      </c>
      <c r="D7321" t="s">
        <v>428</v>
      </c>
      <c r="E7321" t="s">
        <v>429</v>
      </c>
      <c r="F7321">
        <v>207.4</v>
      </c>
      <c r="G7321">
        <v>230831</v>
      </c>
      <c r="H7321">
        <v>4520</v>
      </c>
      <c r="I7321" t="s">
        <v>254</v>
      </c>
      <c r="J7321">
        <v>257.17</v>
      </c>
      <c r="K7321">
        <v>49.77</v>
      </c>
      <c r="L7321">
        <v>14432</v>
      </c>
      <c r="M7321" t="s">
        <v>862</v>
      </c>
      <c r="N7321" t="str">
        <f t="shared" si="147"/>
        <v xml:space="preserve">2360747922  </v>
      </c>
      <c r="O7321">
        <v>230919</v>
      </c>
    </row>
    <row r="7322" spans="1:15" x14ac:dyDescent="0.25">
      <c r="A7322" t="s">
        <v>16</v>
      </c>
      <c r="B7322" t="s">
        <v>3221</v>
      </c>
      <c r="C7322">
        <v>12413</v>
      </c>
      <c r="D7322" t="s">
        <v>428</v>
      </c>
      <c r="E7322" t="s">
        <v>429</v>
      </c>
      <c r="F7322">
        <v>2017.82</v>
      </c>
      <c r="G7322">
        <v>230831</v>
      </c>
      <c r="H7322">
        <v>4520</v>
      </c>
      <c r="I7322" t="s">
        <v>254</v>
      </c>
      <c r="J7322">
        <v>2300.3200000000002</v>
      </c>
      <c r="K7322">
        <v>282.5</v>
      </c>
      <c r="L7322">
        <v>14432</v>
      </c>
      <c r="M7322" t="s">
        <v>862</v>
      </c>
      <c r="N7322" t="str">
        <f t="shared" si="147"/>
        <v xml:space="preserve">2360747922  </v>
      </c>
      <c r="O7322">
        <v>230919</v>
      </c>
    </row>
    <row r="7323" spans="1:15" x14ac:dyDescent="0.25">
      <c r="A7323" t="s">
        <v>16</v>
      </c>
      <c r="B7323" t="s">
        <v>3221</v>
      </c>
      <c r="C7323">
        <v>12413</v>
      </c>
      <c r="D7323" t="s">
        <v>428</v>
      </c>
      <c r="E7323" t="s">
        <v>429</v>
      </c>
      <c r="F7323">
        <v>12.19</v>
      </c>
      <c r="G7323">
        <v>230831</v>
      </c>
      <c r="H7323">
        <v>4520</v>
      </c>
      <c r="I7323" t="s">
        <v>254</v>
      </c>
      <c r="J7323">
        <v>15.12</v>
      </c>
      <c r="K7323">
        <v>2.93</v>
      </c>
      <c r="L7323">
        <v>14640</v>
      </c>
      <c r="M7323" t="s">
        <v>229</v>
      </c>
      <c r="N7323" t="str">
        <f t="shared" si="147"/>
        <v xml:space="preserve">2360747922  </v>
      </c>
      <c r="O7323">
        <v>230919</v>
      </c>
    </row>
    <row r="7324" spans="1:15" x14ac:dyDescent="0.25">
      <c r="A7324" t="s">
        <v>16</v>
      </c>
      <c r="B7324" t="s">
        <v>3221</v>
      </c>
      <c r="C7324">
        <v>12413</v>
      </c>
      <c r="D7324" t="s">
        <v>428</v>
      </c>
      <c r="E7324" t="s">
        <v>429</v>
      </c>
      <c r="F7324">
        <v>118.7</v>
      </c>
      <c r="G7324">
        <v>230831</v>
      </c>
      <c r="H7324">
        <v>4520</v>
      </c>
      <c r="I7324" t="s">
        <v>254</v>
      </c>
      <c r="J7324">
        <v>135.32</v>
      </c>
      <c r="K7324">
        <v>16.62</v>
      </c>
      <c r="L7324">
        <v>14640</v>
      </c>
      <c r="M7324" t="s">
        <v>229</v>
      </c>
      <c r="N7324" t="str">
        <f t="shared" si="147"/>
        <v xml:space="preserve">2360747922  </v>
      </c>
      <c r="O7324">
        <v>230919</v>
      </c>
    </row>
    <row r="7325" spans="1:15" x14ac:dyDescent="0.25">
      <c r="A7325" t="s">
        <v>16</v>
      </c>
      <c r="B7325" t="s">
        <v>3221</v>
      </c>
      <c r="C7325">
        <v>12413</v>
      </c>
      <c r="D7325" t="s">
        <v>428</v>
      </c>
      <c r="E7325" t="s">
        <v>429</v>
      </c>
      <c r="F7325">
        <v>48.8</v>
      </c>
      <c r="G7325">
        <v>230831</v>
      </c>
      <c r="H7325">
        <v>4520</v>
      </c>
      <c r="I7325" t="s">
        <v>254</v>
      </c>
      <c r="J7325">
        <v>60.51</v>
      </c>
      <c r="K7325">
        <v>11.71</v>
      </c>
      <c r="L7325">
        <v>14642</v>
      </c>
      <c r="M7325" t="s">
        <v>863</v>
      </c>
      <c r="N7325" t="str">
        <f t="shared" si="147"/>
        <v xml:space="preserve">2360747922  </v>
      </c>
      <c r="O7325">
        <v>230919</v>
      </c>
    </row>
    <row r="7326" spans="1:15" x14ac:dyDescent="0.25">
      <c r="A7326" t="s">
        <v>16</v>
      </c>
      <c r="B7326" t="s">
        <v>3221</v>
      </c>
      <c r="C7326">
        <v>12413</v>
      </c>
      <c r="D7326" t="s">
        <v>428</v>
      </c>
      <c r="E7326" t="s">
        <v>429</v>
      </c>
      <c r="F7326">
        <v>474.78</v>
      </c>
      <c r="G7326">
        <v>230831</v>
      </c>
      <c r="H7326">
        <v>4520</v>
      </c>
      <c r="I7326" t="s">
        <v>254</v>
      </c>
      <c r="J7326">
        <v>541.25</v>
      </c>
      <c r="K7326">
        <v>66.47</v>
      </c>
      <c r="L7326">
        <v>14642</v>
      </c>
      <c r="M7326" t="s">
        <v>863</v>
      </c>
      <c r="N7326" t="str">
        <f t="shared" si="147"/>
        <v xml:space="preserve">2360747922  </v>
      </c>
      <c r="O7326">
        <v>230919</v>
      </c>
    </row>
    <row r="7327" spans="1:15" x14ac:dyDescent="0.25">
      <c r="A7327" t="s">
        <v>16</v>
      </c>
      <c r="B7327" t="s">
        <v>3221</v>
      </c>
      <c r="C7327">
        <v>12413</v>
      </c>
      <c r="D7327" t="s">
        <v>428</v>
      </c>
      <c r="E7327" t="s">
        <v>429</v>
      </c>
      <c r="F7327">
        <v>890.56</v>
      </c>
      <c r="G7327">
        <v>230831</v>
      </c>
      <c r="H7327">
        <v>4520</v>
      </c>
      <c r="I7327" t="s">
        <v>254</v>
      </c>
      <c r="J7327">
        <v>1104.3</v>
      </c>
      <c r="K7327">
        <v>213.74</v>
      </c>
      <c r="L7327">
        <v>14912</v>
      </c>
      <c r="M7327" t="s">
        <v>230</v>
      </c>
      <c r="N7327" t="str">
        <f t="shared" si="147"/>
        <v xml:space="preserve">2360747922  </v>
      </c>
      <c r="O7327">
        <v>230919</v>
      </c>
    </row>
    <row r="7328" spans="1:15" x14ac:dyDescent="0.25">
      <c r="A7328" t="s">
        <v>16</v>
      </c>
      <c r="B7328" t="s">
        <v>3221</v>
      </c>
      <c r="C7328">
        <v>12413</v>
      </c>
      <c r="D7328" t="s">
        <v>428</v>
      </c>
      <c r="E7328" t="s">
        <v>429</v>
      </c>
      <c r="F7328">
        <v>8664.76</v>
      </c>
      <c r="G7328">
        <v>230831</v>
      </c>
      <c r="H7328">
        <v>4520</v>
      </c>
      <c r="I7328" t="s">
        <v>254</v>
      </c>
      <c r="J7328">
        <v>9877.83</v>
      </c>
      <c r="K7328">
        <v>1213.07</v>
      </c>
      <c r="L7328">
        <v>14912</v>
      </c>
      <c r="M7328" t="s">
        <v>230</v>
      </c>
      <c r="N7328" t="str">
        <f t="shared" si="147"/>
        <v xml:space="preserve">2360747922  </v>
      </c>
      <c r="O7328">
        <v>230919</v>
      </c>
    </row>
    <row r="7329" spans="1:15" x14ac:dyDescent="0.25">
      <c r="A7329" t="s">
        <v>16</v>
      </c>
      <c r="B7329" t="s">
        <v>3221</v>
      </c>
      <c r="C7329">
        <v>12465</v>
      </c>
      <c r="D7329" t="s">
        <v>428</v>
      </c>
      <c r="E7329" t="s">
        <v>429</v>
      </c>
      <c r="F7329">
        <v>17.66</v>
      </c>
      <c r="G7329">
        <v>230915</v>
      </c>
      <c r="H7329">
        <v>4520</v>
      </c>
      <c r="I7329" t="s">
        <v>254</v>
      </c>
      <c r="J7329">
        <v>20.13</v>
      </c>
      <c r="K7329">
        <v>2.4700000000000002</v>
      </c>
      <c r="L7329">
        <v>17131</v>
      </c>
      <c r="M7329" t="s">
        <v>64</v>
      </c>
      <c r="N7329" t="str">
        <f>"2360816081  "</f>
        <v xml:space="preserve">2360816081  </v>
      </c>
      <c r="O7329">
        <v>230920</v>
      </c>
    </row>
    <row r="7330" spans="1:15" x14ac:dyDescent="0.25">
      <c r="A7330" t="s">
        <v>16</v>
      </c>
      <c r="B7330" t="s">
        <v>3221</v>
      </c>
      <c r="C7330">
        <v>12465</v>
      </c>
      <c r="D7330" t="s">
        <v>428</v>
      </c>
      <c r="E7330" t="s">
        <v>429</v>
      </c>
      <c r="F7330">
        <v>1207.8399999999999</v>
      </c>
      <c r="G7330">
        <v>230915</v>
      </c>
      <c r="H7330">
        <v>4520</v>
      </c>
      <c r="I7330" t="s">
        <v>254</v>
      </c>
      <c r="J7330">
        <v>1376.94</v>
      </c>
      <c r="K7330">
        <v>169.1</v>
      </c>
      <c r="L7330">
        <v>17915</v>
      </c>
      <c r="M7330" t="s">
        <v>572</v>
      </c>
      <c r="N7330" t="str">
        <f>"2360816081  "</f>
        <v xml:space="preserve">2360816081  </v>
      </c>
      <c r="O7330">
        <v>230920</v>
      </c>
    </row>
    <row r="7331" spans="1:15" x14ac:dyDescent="0.25">
      <c r="A7331" t="s">
        <v>16</v>
      </c>
      <c r="B7331" t="s">
        <v>3221</v>
      </c>
      <c r="C7331">
        <v>12467</v>
      </c>
      <c r="D7331" t="s">
        <v>428</v>
      </c>
      <c r="E7331" t="s">
        <v>429</v>
      </c>
      <c r="F7331">
        <v>1311.88</v>
      </c>
      <c r="G7331">
        <v>230915</v>
      </c>
      <c r="H7331">
        <v>4520</v>
      </c>
      <c r="I7331" t="s">
        <v>254</v>
      </c>
      <c r="J7331">
        <v>1495.54</v>
      </c>
      <c r="K7331">
        <v>183.66</v>
      </c>
      <c r="L7331">
        <v>16431</v>
      </c>
      <c r="M7331" t="s">
        <v>231</v>
      </c>
      <c r="N7331" t="str">
        <f>"2360816083  "</f>
        <v xml:space="preserve">2360816083  </v>
      </c>
      <c r="O7331">
        <v>230920</v>
      </c>
    </row>
    <row r="7332" spans="1:15" x14ac:dyDescent="0.25">
      <c r="A7332" t="s">
        <v>16</v>
      </c>
      <c r="B7332" t="s">
        <v>3221</v>
      </c>
      <c r="C7332">
        <v>12467</v>
      </c>
      <c r="D7332" t="s">
        <v>428</v>
      </c>
      <c r="E7332" t="s">
        <v>429</v>
      </c>
      <c r="F7332">
        <v>112.13</v>
      </c>
      <c r="G7332">
        <v>230915</v>
      </c>
      <c r="H7332">
        <v>4520</v>
      </c>
      <c r="I7332" t="s">
        <v>254</v>
      </c>
      <c r="J7332">
        <v>127.83</v>
      </c>
      <c r="K7332">
        <v>15.7</v>
      </c>
      <c r="L7332">
        <v>16442</v>
      </c>
      <c r="M7332" t="s">
        <v>430</v>
      </c>
      <c r="N7332" t="str">
        <f>"2360816083  "</f>
        <v xml:space="preserve">2360816083  </v>
      </c>
      <c r="O7332">
        <v>230920</v>
      </c>
    </row>
    <row r="7333" spans="1:15" x14ac:dyDescent="0.25">
      <c r="A7333" t="s">
        <v>16</v>
      </c>
      <c r="B7333" t="s">
        <v>3221</v>
      </c>
      <c r="C7333">
        <v>12467</v>
      </c>
      <c r="D7333" t="s">
        <v>428</v>
      </c>
      <c r="E7333" t="s">
        <v>429</v>
      </c>
      <c r="F7333">
        <v>3770.25</v>
      </c>
      <c r="G7333">
        <v>230915</v>
      </c>
      <c r="H7333">
        <v>4520</v>
      </c>
      <c r="I7333" t="s">
        <v>254</v>
      </c>
      <c r="J7333">
        <v>4298.09</v>
      </c>
      <c r="K7333">
        <v>527.84</v>
      </c>
      <c r="L7333">
        <v>17913</v>
      </c>
      <c r="M7333" t="s">
        <v>431</v>
      </c>
      <c r="N7333" t="str">
        <f>"2360816083  "</f>
        <v xml:space="preserve">2360816083  </v>
      </c>
      <c r="O7333">
        <v>230920</v>
      </c>
    </row>
    <row r="7334" spans="1:15" x14ac:dyDescent="0.25">
      <c r="A7334" t="s">
        <v>16</v>
      </c>
      <c r="B7334" t="s">
        <v>3221</v>
      </c>
      <c r="C7334">
        <v>12468</v>
      </c>
      <c r="D7334" t="s">
        <v>428</v>
      </c>
      <c r="E7334" t="s">
        <v>429</v>
      </c>
      <c r="F7334">
        <v>2229.84</v>
      </c>
      <c r="G7334">
        <v>230915</v>
      </c>
      <c r="H7334">
        <v>4520</v>
      </c>
      <c r="I7334" t="s">
        <v>254</v>
      </c>
      <c r="J7334">
        <v>2542.02</v>
      </c>
      <c r="K7334">
        <v>312.18</v>
      </c>
      <c r="L7334">
        <v>69113</v>
      </c>
      <c r="M7334" t="s">
        <v>282</v>
      </c>
      <c r="N7334" t="str">
        <f>"2360816079  "</f>
        <v xml:space="preserve">2360816079  </v>
      </c>
      <c r="O7334">
        <v>230920</v>
      </c>
    </row>
    <row r="7335" spans="1:15" x14ac:dyDescent="0.25">
      <c r="A7335" t="s">
        <v>16</v>
      </c>
      <c r="B7335" t="s">
        <v>3221</v>
      </c>
      <c r="C7335">
        <v>12468</v>
      </c>
      <c r="D7335" t="s">
        <v>428</v>
      </c>
      <c r="E7335" t="s">
        <v>429</v>
      </c>
      <c r="F7335">
        <v>262.33</v>
      </c>
      <c r="G7335">
        <v>230915</v>
      </c>
      <c r="H7335">
        <v>4520</v>
      </c>
      <c r="I7335" t="s">
        <v>254</v>
      </c>
      <c r="J7335">
        <v>299.06</v>
      </c>
      <c r="K7335">
        <v>36.729999999999997</v>
      </c>
      <c r="L7335">
        <v>69802</v>
      </c>
      <c r="M7335" t="s">
        <v>283</v>
      </c>
      <c r="N7335" t="str">
        <f>"2360816079  "</f>
        <v xml:space="preserve">2360816079  </v>
      </c>
      <c r="O7335">
        <v>230920</v>
      </c>
    </row>
    <row r="7336" spans="1:15" x14ac:dyDescent="0.25">
      <c r="A7336" t="s">
        <v>16</v>
      </c>
      <c r="B7336" t="s">
        <v>3221</v>
      </c>
      <c r="C7336">
        <v>12468</v>
      </c>
      <c r="D7336" t="s">
        <v>428</v>
      </c>
      <c r="E7336" t="s">
        <v>429</v>
      </c>
      <c r="F7336">
        <v>131.16999999999999</v>
      </c>
      <c r="G7336">
        <v>230915</v>
      </c>
      <c r="H7336">
        <v>4520</v>
      </c>
      <c r="I7336" t="s">
        <v>254</v>
      </c>
      <c r="J7336">
        <v>149.53</v>
      </c>
      <c r="K7336">
        <v>18.36</v>
      </c>
      <c r="L7336">
        <v>69804</v>
      </c>
      <c r="M7336" t="s">
        <v>284</v>
      </c>
      <c r="N7336" t="str">
        <f>"2360816079  "</f>
        <v xml:space="preserve">2360816079  </v>
      </c>
      <c r="O7336">
        <v>230920</v>
      </c>
    </row>
    <row r="7337" spans="1:15" x14ac:dyDescent="0.25">
      <c r="A7337" t="s">
        <v>16</v>
      </c>
      <c r="B7337" t="s">
        <v>3221</v>
      </c>
      <c r="C7337">
        <v>12641</v>
      </c>
      <c r="D7337" t="s">
        <v>428</v>
      </c>
      <c r="E7337" t="s">
        <v>429</v>
      </c>
      <c r="F7337">
        <v>140.1</v>
      </c>
      <c r="G7337">
        <v>230915</v>
      </c>
      <c r="H7337">
        <v>4520</v>
      </c>
      <c r="I7337" t="s">
        <v>254</v>
      </c>
      <c r="J7337">
        <v>159.71</v>
      </c>
      <c r="K7337">
        <v>19.61</v>
      </c>
      <c r="L7337">
        <v>68601</v>
      </c>
      <c r="M7337" t="s">
        <v>2370</v>
      </c>
      <c r="N7337" t="str">
        <f>"2360816086  "</f>
        <v xml:space="preserve">2360816086  </v>
      </c>
      <c r="O7337">
        <v>230922</v>
      </c>
    </row>
    <row r="7338" spans="1:15" x14ac:dyDescent="0.25">
      <c r="A7338" t="s">
        <v>16</v>
      </c>
      <c r="B7338" t="s">
        <v>3221</v>
      </c>
      <c r="C7338">
        <v>12641</v>
      </c>
      <c r="D7338" t="s">
        <v>428</v>
      </c>
      <c r="E7338" t="s">
        <v>429</v>
      </c>
      <c r="F7338">
        <v>2661.88</v>
      </c>
      <c r="G7338">
        <v>230915</v>
      </c>
      <c r="H7338">
        <v>4520</v>
      </c>
      <c r="I7338" t="s">
        <v>254</v>
      </c>
      <c r="J7338">
        <v>3034.54</v>
      </c>
      <c r="K7338">
        <v>372.66</v>
      </c>
      <c r="L7338">
        <v>69112</v>
      </c>
      <c r="M7338" t="s">
        <v>313</v>
      </c>
      <c r="N7338" t="str">
        <f>"2360816086  "</f>
        <v xml:space="preserve">2360816086  </v>
      </c>
      <c r="O7338">
        <v>230922</v>
      </c>
    </row>
    <row r="7339" spans="1:15" x14ac:dyDescent="0.25">
      <c r="A7339" t="s">
        <v>16</v>
      </c>
      <c r="B7339" t="s">
        <v>3221</v>
      </c>
      <c r="C7339">
        <v>12641</v>
      </c>
      <c r="D7339" t="s">
        <v>428</v>
      </c>
      <c r="E7339" t="s">
        <v>429</v>
      </c>
      <c r="F7339">
        <v>155.66999999999999</v>
      </c>
      <c r="G7339">
        <v>230915</v>
      </c>
      <c r="H7339">
        <v>4520</v>
      </c>
      <c r="I7339" t="s">
        <v>254</v>
      </c>
      <c r="J7339">
        <v>177.46</v>
      </c>
      <c r="K7339">
        <v>21.79</v>
      </c>
      <c r="L7339">
        <v>69810</v>
      </c>
      <c r="M7339" t="s">
        <v>314</v>
      </c>
      <c r="N7339" t="str">
        <f>"2360816086  "</f>
        <v xml:space="preserve">2360816086  </v>
      </c>
      <c r="O7339">
        <v>230922</v>
      </c>
    </row>
    <row r="7340" spans="1:15" x14ac:dyDescent="0.25">
      <c r="A7340" t="s">
        <v>16</v>
      </c>
      <c r="B7340" t="s">
        <v>3221</v>
      </c>
      <c r="C7340">
        <v>12641</v>
      </c>
      <c r="D7340" t="s">
        <v>428</v>
      </c>
      <c r="E7340" t="s">
        <v>429</v>
      </c>
      <c r="F7340">
        <v>155.66999999999999</v>
      </c>
      <c r="G7340">
        <v>230915</v>
      </c>
      <c r="H7340">
        <v>4520</v>
      </c>
      <c r="I7340" t="s">
        <v>254</v>
      </c>
      <c r="J7340">
        <v>177.46</v>
      </c>
      <c r="K7340">
        <v>21.79</v>
      </c>
      <c r="L7340">
        <v>69811</v>
      </c>
      <c r="M7340" t="s">
        <v>315</v>
      </c>
      <c r="N7340" t="str">
        <f>"2360816086  "</f>
        <v xml:space="preserve">2360816086  </v>
      </c>
      <c r="O7340">
        <v>230922</v>
      </c>
    </row>
    <row r="7341" spans="1:15" x14ac:dyDescent="0.25">
      <c r="A7341" t="s">
        <v>16</v>
      </c>
      <c r="B7341" t="s">
        <v>3221</v>
      </c>
      <c r="C7341">
        <v>12644</v>
      </c>
      <c r="D7341" t="s">
        <v>428</v>
      </c>
      <c r="E7341" t="s">
        <v>429</v>
      </c>
      <c r="F7341">
        <v>3690.57</v>
      </c>
      <c r="G7341">
        <v>230915</v>
      </c>
      <c r="H7341">
        <v>4520</v>
      </c>
      <c r="I7341" t="s">
        <v>254</v>
      </c>
      <c r="J7341">
        <v>4207.25</v>
      </c>
      <c r="K7341">
        <v>516.67999999999995</v>
      </c>
      <c r="L7341">
        <v>59113</v>
      </c>
      <c r="M7341" t="s">
        <v>235</v>
      </c>
      <c r="N7341" t="str">
        <f>"2360816078  "</f>
        <v xml:space="preserve">2360816078  </v>
      </c>
      <c r="O7341">
        <v>230922</v>
      </c>
    </row>
    <row r="7342" spans="1:15" x14ac:dyDescent="0.25">
      <c r="A7342" t="s">
        <v>16</v>
      </c>
      <c r="B7342" t="s">
        <v>3221</v>
      </c>
      <c r="C7342">
        <v>12644</v>
      </c>
      <c r="D7342" t="s">
        <v>428</v>
      </c>
      <c r="E7342" t="s">
        <v>429</v>
      </c>
      <c r="F7342">
        <v>651.27</v>
      </c>
      <c r="G7342">
        <v>230915</v>
      </c>
      <c r="H7342">
        <v>4520</v>
      </c>
      <c r="I7342" t="s">
        <v>254</v>
      </c>
      <c r="J7342">
        <v>742.45</v>
      </c>
      <c r="K7342">
        <v>91.18</v>
      </c>
      <c r="L7342">
        <v>59803</v>
      </c>
      <c r="M7342" t="s">
        <v>533</v>
      </c>
      <c r="N7342" t="str">
        <f>"2360816078  "</f>
        <v xml:space="preserve">2360816078  </v>
      </c>
      <c r="O7342">
        <v>230922</v>
      </c>
    </row>
    <row r="7343" spans="1:15" x14ac:dyDescent="0.25">
      <c r="A7343" t="s">
        <v>16</v>
      </c>
      <c r="B7343" t="s">
        <v>3221</v>
      </c>
      <c r="C7343">
        <v>12645</v>
      </c>
      <c r="D7343" t="s">
        <v>428</v>
      </c>
      <c r="E7343" t="s">
        <v>429</v>
      </c>
      <c r="F7343">
        <v>3866.07</v>
      </c>
      <c r="G7343">
        <v>230915</v>
      </c>
      <c r="H7343">
        <v>4520</v>
      </c>
      <c r="I7343" t="s">
        <v>254</v>
      </c>
      <c r="J7343">
        <v>4407.32</v>
      </c>
      <c r="K7343">
        <v>541.25</v>
      </c>
      <c r="L7343">
        <v>49112</v>
      </c>
      <c r="M7343" t="s">
        <v>233</v>
      </c>
      <c r="N7343" t="str">
        <f>"2360816080  "</f>
        <v xml:space="preserve">2360816080  </v>
      </c>
      <c r="O7343">
        <v>230922</v>
      </c>
    </row>
    <row r="7344" spans="1:15" x14ac:dyDescent="0.25">
      <c r="A7344" t="s">
        <v>16</v>
      </c>
      <c r="B7344" t="s">
        <v>3221</v>
      </c>
      <c r="C7344">
        <v>12651</v>
      </c>
      <c r="D7344" t="s">
        <v>428</v>
      </c>
      <c r="E7344" t="s">
        <v>429</v>
      </c>
      <c r="F7344">
        <v>2860.67</v>
      </c>
      <c r="G7344">
        <v>230915</v>
      </c>
      <c r="H7344">
        <v>4520</v>
      </c>
      <c r="I7344" t="s">
        <v>254</v>
      </c>
      <c r="J7344">
        <v>3261.16</v>
      </c>
      <c r="K7344">
        <v>400.49</v>
      </c>
      <c r="L7344">
        <v>59114</v>
      </c>
      <c r="M7344" t="s">
        <v>556</v>
      </c>
      <c r="N7344" t="str">
        <f>"2360816076  "</f>
        <v xml:space="preserve">2360816076  </v>
      </c>
      <c r="O7344">
        <v>230922</v>
      </c>
    </row>
    <row r="7345" spans="1:15" x14ac:dyDescent="0.25">
      <c r="A7345" t="s">
        <v>16</v>
      </c>
      <c r="B7345" t="s">
        <v>3221</v>
      </c>
      <c r="C7345">
        <v>12775</v>
      </c>
      <c r="D7345" t="s">
        <v>428</v>
      </c>
      <c r="E7345" t="s">
        <v>429</v>
      </c>
      <c r="F7345">
        <v>1069.98</v>
      </c>
      <c r="G7345">
        <v>230915</v>
      </c>
      <c r="H7345">
        <v>4520</v>
      </c>
      <c r="I7345" t="s">
        <v>254</v>
      </c>
      <c r="J7345">
        <v>1219.78</v>
      </c>
      <c r="K7345">
        <v>149.80000000000001</v>
      </c>
      <c r="L7345">
        <v>44251</v>
      </c>
      <c r="M7345" t="s">
        <v>156</v>
      </c>
      <c r="N7345" t="str">
        <f>"2360816082  "</f>
        <v xml:space="preserve">2360816082  </v>
      </c>
      <c r="O7345">
        <v>230926</v>
      </c>
    </row>
    <row r="7346" spans="1:15" x14ac:dyDescent="0.25">
      <c r="A7346" t="s">
        <v>16</v>
      </c>
      <c r="B7346" t="s">
        <v>3221</v>
      </c>
      <c r="C7346">
        <v>12775</v>
      </c>
      <c r="D7346" t="s">
        <v>428</v>
      </c>
      <c r="E7346" t="s">
        <v>429</v>
      </c>
      <c r="F7346">
        <v>1306.06</v>
      </c>
      <c r="G7346">
        <v>230915</v>
      </c>
      <c r="H7346">
        <v>4520</v>
      </c>
      <c r="I7346" t="s">
        <v>254</v>
      </c>
      <c r="J7346">
        <v>1488.91</v>
      </c>
      <c r="K7346">
        <v>182.85</v>
      </c>
      <c r="L7346">
        <v>44252</v>
      </c>
      <c r="M7346" t="s">
        <v>157</v>
      </c>
      <c r="N7346" t="str">
        <f>"2360816082  "</f>
        <v xml:space="preserve">2360816082  </v>
      </c>
      <c r="O7346">
        <v>230926</v>
      </c>
    </row>
    <row r="7347" spans="1:15" x14ac:dyDescent="0.25">
      <c r="A7347" t="s">
        <v>16</v>
      </c>
      <c r="B7347" t="s">
        <v>3221</v>
      </c>
      <c r="C7347">
        <v>12777</v>
      </c>
      <c r="D7347" t="s">
        <v>428</v>
      </c>
      <c r="E7347" t="s">
        <v>429</v>
      </c>
      <c r="F7347">
        <v>444.23</v>
      </c>
      <c r="G7347">
        <v>230915</v>
      </c>
      <c r="H7347">
        <v>4520</v>
      </c>
      <c r="I7347" t="s">
        <v>254</v>
      </c>
      <c r="J7347">
        <v>550.85</v>
      </c>
      <c r="K7347">
        <v>106.62</v>
      </c>
      <c r="L7347">
        <v>44222</v>
      </c>
      <c r="M7347" t="s">
        <v>232</v>
      </c>
      <c r="N7347" t="str">
        <f>"2360816085  "</f>
        <v xml:space="preserve">2360816085  </v>
      </c>
      <c r="O7347">
        <v>230926</v>
      </c>
    </row>
    <row r="7348" spans="1:15" x14ac:dyDescent="0.25">
      <c r="A7348" t="s">
        <v>16</v>
      </c>
      <c r="B7348" t="s">
        <v>3221</v>
      </c>
      <c r="C7348">
        <v>12777</v>
      </c>
      <c r="D7348" t="s">
        <v>428</v>
      </c>
      <c r="E7348" t="s">
        <v>429</v>
      </c>
      <c r="F7348">
        <v>327.19</v>
      </c>
      <c r="G7348">
        <v>230915</v>
      </c>
      <c r="H7348">
        <v>4520</v>
      </c>
      <c r="I7348" t="s">
        <v>254</v>
      </c>
      <c r="J7348">
        <v>373</v>
      </c>
      <c r="K7348">
        <v>45.81</v>
      </c>
      <c r="L7348">
        <v>44253</v>
      </c>
      <c r="M7348" t="s">
        <v>1058</v>
      </c>
      <c r="N7348" t="str">
        <f>"2360816085  "</f>
        <v xml:space="preserve">2360816085  </v>
      </c>
      <c r="O7348">
        <v>230926</v>
      </c>
    </row>
    <row r="7349" spans="1:15" x14ac:dyDescent="0.25">
      <c r="A7349" t="s">
        <v>16</v>
      </c>
      <c r="B7349" t="s">
        <v>3221</v>
      </c>
      <c r="C7349">
        <v>12917</v>
      </c>
      <c r="D7349" t="s">
        <v>428</v>
      </c>
      <c r="E7349" t="s">
        <v>429</v>
      </c>
      <c r="F7349">
        <v>12.94</v>
      </c>
      <c r="G7349">
        <v>230915</v>
      </c>
      <c r="H7349">
        <v>4520</v>
      </c>
      <c r="I7349" t="s">
        <v>254</v>
      </c>
      <c r="J7349">
        <v>16.05</v>
      </c>
      <c r="K7349">
        <v>3.11</v>
      </c>
      <c r="L7349">
        <v>14422</v>
      </c>
      <c r="M7349" t="s">
        <v>228</v>
      </c>
      <c r="N7349" t="str">
        <f t="shared" ref="N7349:N7360" si="148">"2360816084  "</f>
        <v xml:space="preserve">2360816084  </v>
      </c>
      <c r="O7349">
        <v>230929</v>
      </c>
    </row>
    <row r="7350" spans="1:15" x14ac:dyDescent="0.25">
      <c r="A7350" t="s">
        <v>16</v>
      </c>
      <c r="B7350" t="s">
        <v>3221</v>
      </c>
      <c r="C7350">
        <v>12917</v>
      </c>
      <c r="D7350" t="s">
        <v>428</v>
      </c>
      <c r="E7350" t="s">
        <v>429</v>
      </c>
      <c r="F7350">
        <v>92.28</v>
      </c>
      <c r="G7350">
        <v>230915</v>
      </c>
      <c r="H7350">
        <v>4520</v>
      </c>
      <c r="I7350" t="s">
        <v>254</v>
      </c>
      <c r="J7350">
        <v>105.2</v>
      </c>
      <c r="K7350">
        <v>12.92</v>
      </c>
      <c r="L7350">
        <v>14422</v>
      </c>
      <c r="M7350" t="s">
        <v>228</v>
      </c>
      <c r="N7350" t="str">
        <f t="shared" si="148"/>
        <v xml:space="preserve">2360816084  </v>
      </c>
      <c r="O7350">
        <v>230929</v>
      </c>
    </row>
    <row r="7351" spans="1:15" x14ac:dyDescent="0.25">
      <c r="A7351" t="s">
        <v>16</v>
      </c>
      <c r="B7351" t="s">
        <v>3221</v>
      </c>
      <c r="C7351">
        <v>12917</v>
      </c>
      <c r="D7351" t="s">
        <v>428</v>
      </c>
      <c r="E7351" t="s">
        <v>429</v>
      </c>
      <c r="F7351">
        <v>51.79</v>
      </c>
      <c r="G7351">
        <v>230915</v>
      </c>
      <c r="H7351">
        <v>4520</v>
      </c>
      <c r="I7351" t="s">
        <v>254</v>
      </c>
      <c r="J7351">
        <v>64.22</v>
      </c>
      <c r="K7351">
        <v>12.43</v>
      </c>
      <c r="L7351">
        <v>14431</v>
      </c>
      <c r="M7351" t="s">
        <v>861</v>
      </c>
      <c r="N7351" t="str">
        <f t="shared" si="148"/>
        <v xml:space="preserve">2360816084  </v>
      </c>
      <c r="O7351">
        <v>230929</v>
      </c>
    </row>
    <row r="7352" spans="1:15" x14ac:dyDescent="0.25">
      <c r="A7352" t="s">
        <v>16</v>
      </c>
      <c r="B7352" t="s">
        <v>3221</v>
      </c>
      <c r="C7352">
        <v>12917</v>
      </c>
      <c r="D7352" t="s">
        <v>428</v>
      </c>
      <c r="E7352" t="s">
        <v>429</v>
      </c>
      <c r="F7352">
        <v>369.11</v>
      </c>
      <c r="G7352">
        <v>230915</v>
      </c>
      <c r="H7352">
        <v>4520</v>
      </c>
      <c r="I7352" t="s">
        <v>254</v>
      </c>
      <c r="J7352">
        <v>420.78</v>
      </c>
      <c r="K7352">
        <v>51.67</v>
      </c>
      <c r="L7352">
        <v>14431</v>
      </c>
      <c r="M7352" t="s">
        <v>861</v>
      </c>
      <c r="N7352" t="str">
        <f t="shared" si="148"/>
        <v xml:space="preserve">2360816084  </v>
      </c>
      <c r="O7352">
        <v>230929</v>
      </c>
    </row>
    <row r="7353" spans="1:15" x14ac:dyDescent="0.25">
      <c r="A7353" t="s">
        <v>16</v>
      </c>
      <c r="B7353" t="s">
        <v>3221</v>
      </c>
      <c r="C7353">
        <v>12917</v>
      </c>
      <c r="D7353" t="s">
        <v>428</v>
      </c>
      <c r="E7353" t="s">
        <v>429</v>
      </c>
      <c r="F7353">
        <v>220.1</v>
      </c>
      <c r="G7353">
        <v>230915</v>
      </c>
      <c r="H7353">
        <v>4520</v>
      </c>
      <c r="I7353" t="s">
        <v>254</v>
      </c>
      <c r="J7353">
        <v>272.93</v>
      </c>
      <c r="K7353">
        <v>52.83</v>
      </c>
      <c r="L7353">
        <v>14432</v>
      </c>
      <c r="M7353" t="s">
        <v>862</v>
      </c>
      <c r="N7353" t="str">
        <f t="shared" si="148"/>
        <v xml:space="preserve">2360816084  </v>
      </c>
      <c r="O7353">
        <v>230929</v>
      </c>
    </row>
    <row r="7354" spans="1:15" x14ac:dyDescent="0.25">
      <c r="A7354" t="s">
        <v>16</v>
      </c>
      <c r="B7354" t="s">
        <v>3221</v>
      </c>
      <c r="C7354">
        <v>12917</v>
      </c>
      <c r="D7354" t="s">
        <v>428</v>
      </c>
      <c r="E7354" t="s">
        <v>429</v>
      </c>
      <c r="F7354">
        <v>1568.71</v>
      </c>
      <c r="G7354">
        <v>230915</v>
      </c>
      <c r="H7354">
        <v>4520</v>
      </c>
      <c r="I7354" t="s">
        <v>254</v>
      </c>
      <c r="J7354">
        <v>1788.33</v>
      </c>
      <c r="K7354">
        <v>219.62</v>
      </c>
      <c r="L7354">
        <v>14432</v>
      </c>
      <c r="M7354" t="s">
        <v>862</v>
      </c>
      <c r="N7354" t="str">
        <f t="shared" si="148"/>
        <v xml:space="preserve">2360816084  </v>
      </c>
      <c r="O7354">
        <v>230929</v>
      </c>
    </row>
    <row r="7355" spans="1:15" x14ac:dyDescent="0.25">
      <c r="A7355" t="s">
        <v>16</v>
      </c>
      <c r="B7355" t="s">
        <v>3221</v>
      </c>
      <c r="C7355">
        <v>12917</v>
      </c>
      <c r="D7355" t="s">
        <v>428</v>
      </c>
      <c r="E7355" t="s">
        <v>429</v>
      </c>
      <c r="F7355">
        <v>12.94</v>
      </c>
      <c r="G7355">
        <v>230915</v>
      </c>
      <c r="H7355">
        <v>4520</v>
      </c>
      <c r="I7355" t="s">
        <v>254</v>
      </c>
      <c r="J7355">
        <v>16.05</v>
      </c>
      <c r="K7355">
        <v>3.11</v>
      </c>
      <c r="L7355">
        <v>14640</v>
      </c>
      <c r="M7355" t="s">
        <v>229</v>
      </c>
      <c r="N7355" t="str">
        <f t="shared" si="148"/>
        <v xml:space="preserve">2360816084  </v>
      </c>
      <c r="O7355">
        <v>230929</v>
      </c>
    </row>
    <row r="7356" spans="1:15" x14ac:dyDescent="0.25">
      <c r="A7356" t="s">
        <v>16</v>
      </c>
      <c r="B7356" t="s">
        <v>3221</v>
      </c>
      <c r="C7356">
        <v>12917</v>
      </c>
      <c r="D7356" t="s">
        <v>428</v>
      </c>
      <c r="E7356" t="s">
        <v>429</v>
      </c>
      <c r="F7356">
        <v>92.27</v>
      </c>
      <c r="G7356">
        <v>230915</v>
      </c>
      <c r="H7356">
        <v>4520</v>
      </c>
      <c r="I7356" t="s">
        <v>254</v>
      </c>
      <c r="J7356">
        <v>105.19</v>
      </c>
      <c r="K7356">
        <v>12.92</v>
      </c>
      <c r="L7356">
        <v>14640</v>
      </c>
      <c r="M7356" t="s">
        <v>229</v>
      </c>
      <c r="N7356" t="str">
        <f t="shared" si="148"/>
        <v xml:space="preserve">2360816084  </v>
      </c>
      <c r="O7356">
        <v>230929</v>
      </c>
    </row>
    <row r="7357" spans="1:15" x14ac:dyDescent="0.25">
      <c r="A7357" t="s">
        <v>16</v>
      </c>
      <c r="B7357" t="s">
        <v>3221</v>
      </c>
      <c r="C7357">
        <v>12917</v>
      </c>
      <c r="D7357" t="s">
        <v>428</v>
      </c>
      <c r="E7357" t="s">
        <v>429</v>
      </c>
      <c r="F7357">
        <v>51.79</v>
      </c>
      <c r="G7357">
        <v>230915</v>
      </c>
      <c r="H7357">
        <v>4520</v>
      </c>
      <c r="I7357" t="s">
        <v>254</v>
      </c>
      <c r="J7357">
        <v>64.22</v>
      </c>
      <c r="K7357">
        <v>12.43</v>
      </c>
      <c r="L7357">
        <v>14642</v>
      </c>
      <c r="M7357" t="s">
        <v>863</v>
      </c>
      <c r="N7357" t="str">
        <f t="shared" si="148"/>
        <v xml:space="preserve">2360816084  </v>
      </c>
      <c r="O7357">
        <v>230929</v>
      </c>
    </row>
    <row r="7358" spans="1:15" x14ac:dyDescent="0.25">
      <c r="A7358" t="s">
        <v>16</v>
      </c>
      <c r="B7358" t="s">
        <v>3221</v>
      </c>
      <c r="C7358">
        <v>12917</v>
      </c>
      <c r="D7358" t="s">
        <v>428</v>
      </c>
      <c r="E7358" t="s">
        <v>429</v>
      </c>
      <c r="F7358">
        <v>369.11</v>
      </c>
      <c r="G7358">
        <v>230915</v>
      </c>
      <c r="H7358">
        <v>4520</v>
      </c>
      <c r="I7358" t="s">
        <v>254</v>
      </c>
      <c r="J7358">
        <v>420.78</v>
      </c>
      <c r="K7358">
        <v>51.67</v>
      </c>
      <c r="L7358">
        <v>14642</v>
      </c>
      <c r="M7358" t="s">
        <v>863</v>
      </c>
      <c r="N7358" t="str">
        <f t="shared" si="148"/>
        <v xml:space="preserve">2360816084  </v>
      </c>
      <c r="O7358">
        <v>230929</v>
      </c>
    </row>
    <row r="7359" spans="1:15" x14ac:dyDescent="0.25">
      <c r="A7359" t="s">
        <v>16</v>
      </c>
      <c r="B7359" t="s">
        <v>3221</v>
      </c>
      <c r="C7359">
        <v>12917</v>
      </c>
      <c r="D7359" t="s">
        <v>428</v>
      </c>
      <c r="E7359" t="s">
        <v>429</v>
      </c>
      <c r="F7359">
        <v>945.15</v>
      </c>
      <c r="G7359">
        <v>230915</v>
      </c>
      <c r="H7359">
        <v>4520</v>
      </c>
      <c r="I7359" t="s">
        <v>254</v>
      </c>
      <c r="J7359">
        <v>1171.98</v>
      </c>
      <c r="K7359">
        <v>226.83</v>
      </c>
      <c r="L7359">
        <v>14912</v>
      </c>
      <c r="M7359" t="s">
        <v>230</v>
      </c>
      <c r="N7359" t="str">
        <f t="shared" si="148"/>
        <v xml:space="preserve">2360816084  </v>
      </c>
      <c r="O7359">
        <v>230929</v>
      </c>
    </row>
    <row r="7360" spans="1:15" x14ac:dyDescent="0.25">
      <c r="A7360" t="s">
        <v>16</v>
      </c>
      <c r="B7360" t="s">
        <v>3221</v>
      </c>
      <c r="C7360">
        <v>12917</v>
      </c>
      <c r="D7360" t="s">
        <v>428</v>
      </c>
      <c r="E7360" t="s">
        <v>429</v>
      </c>
      <c r="F7360">
        <v>6736.21</v>
      </c>
      <c r="G7360">
        <v>230915</v>
      </c>
      <c r="H7360">
        <v>4520</v>
      </c>
      <c r="I7360" t="s">
        <v>254</v>
      </c>
      <c r="J7360">
        <v>7679.28</v>
      </c>
      <c r="K7360">
        <v>943.07</v>
      </c>
      <c r="L7360">
        <v>14912</v>
      </c>
      <c r="M7360" t="s">
        <v>230</v>
      </c>
      <c r="N7360" t="str">
        <f t="shared" si="148"/>
        <v xml:space="preserve">2360816084  </v>
      </c>
      <c r="O7360">
        <v>230929</v>
      </c>
    </row>
    <row r="7361" spans="1:15" x14ac:dyDescent="0.25">
      <c r="A7361" t="s">
        <v>16</v>
      </c>
      <c r="B7361" t="s">
        <v>3221</v>
      </c>
      <c r="C7361">
        <v>13390</v>
      </c>
      <c r="D7361" t="s">
        <v>428</v>
      </c>
      <c r="E7361" t="s">
        <v>429</v>
      </c>
      <c r="F7361">
        <v>9.44</v>
      </c>
      <c r="G7361">
        <v>230930</v>
      </c>
      <c r="H7361">
        <v>4520</v>
      </c>
      <c r="I7361" t="s">
        <v>254</v>
      </c>
      <c r="J7361">
        <v>11.7</v>
      </c>
      <c r="K7361">
        <v>2.2599999999999998</v>
      </c>
      <c r="L7361">
        <v>14422</v>
      </c>
      <c r="M7361" t="s">
        <v>228</v>
      </c>
      <c r="N7361" t="str">
        <f t="shared" ref="N7361:N7372" si="149">"2360851996  "</f>
        <v xml:space="preserve">2360851996  </v>
      </c>
      <c r="O7361">
        <v>231009</v>
      </c>
    </row>
    <row r="7362" spans="1:15" x14ac:dyDescent="0.25">
      <c r="A7362" t="s">
        <v>16</v>
      </c>
      <c r="B7362" t="s">
        <v>3221</v>
      </c>
      <c r="C7362">
        <v>13390</v>
      </c>
      <c r="D7362" t="s">
        <v>428</v>
      </c>
      <c r="E7362" t="s">
        <v>429</v>
      </c>
      <c r="F7362">
        <v>107.5</v>
      </c>
      <c r="G7362">
        <v>230930</v>
      </c>
      <c r="H7362">
        <v>4520</v>
      </c>
      <c r="I7362" t="s">
        <v>254</v>
      </c>
      <c r="J7362">
        <v>122.55</v>
      </c>
      <c r="K7362">
        <v>15.05</v>
      </c>
      <c r="L7362">
        <v>14422</v>
      </c>
      <c r="M7362" t="s">
        <v>228</v>
      </c>
      <c r="N7362" t="str">
        <f t="shared" si="149"/>
        <v xml:space="preserve">2360851996  </v>
      </c>
      <c r="O7362">
        <v>231009</v>
      </c>
    </row>
    <row r="7363" spans="1:15" x14ac:dyDescent="0.25">
      <c r="A7363" t="s">
        <v>16</v>
      </c>
      <c r="B7363" t="s">
        <v>3221</v>
      </c>
      <c r="C7363">
        <v>13390</v>
      </c>
      <c r="D7363" t="s">
        <v>428</v>
      </c>
      <c r="E7363" t="s">
        <v>429</v>
      </c>
      <c r="F7363">
        <v>37.729999999999997</v>
      </c>
      <c r="G7363">
        <v>230930</v>
      </c>
      <c r="H7363">
        <v>4520</v>
      </c>
      <c r="I7363" t="s">
        <v>254</v>
      </c>
      <c r="J7363">
        <v>46.78</v>
      </c>
      <c r="K7363">
        <v>9.0500000000000007</v>
      </c>
      <c r="L7363">
        <v>14431</v>
      </c>
      <c r="M7363" t="s">
        <v>861</v>
      </c>
      <c r="N7363" t="str">
        <f t="shared" si="149"/>
        <v xml:space="preserve">2360851996  </v>
      </c>
      <c r="O7363">
        <v>231009</v>
      </c>
    </row>
    <row r="7364" spans="1:15" x14ac:dyDescent="0.25">
      <c r="A7364" t="s">
        <v>16</v>
      </c>
      <c r="B7364" t="s">
        <v>3221</v>
      </c>
      <c r="C7364">
        <v>13390</v>
      </c>
      <c r="D7364" t="s">
        <v>428</v>
      </c>
      <c r="E7364" t="s">
        <v>429</v>
      </c>
      <c r="F7364">
        <v>429.99</v>
      </c>
      <c r="G7364">
        <v>230930</v>
      </c>
      <c r="H7364">
        <v>4520</v>
      </c>
      <c r="I7364" t="s">
        <v>254</v>
      </c>
      <c r="J7364">
        <v>490.19</v>
      </c>
      <c r="K7364">
        <v>60.2</v>
      </c>
      <c r="L7364">
        <v>14431</v>
      </c>
      <c r="M7364" t="s">
        <v>861</v>
      </c>
      <c r="N7364" t="str">
        <f t="shared" si="149"/>
        <v xml:space="preserve">2360851996  </v>
      </c>
      <c r="O7364">
        <v>231009</v>
      </c>
    </row>
    <row r="7365" spans="1:15" x14ac:dyDescent="0.25">
      <c r="A7365" t="s">
        <v>16</v>
      </c>
      <c r="B7365" t="s">
        <v>3221</v>
      </c>
      <c r="C7365">
        <v>13390</v>
      </c>
      <c r="D7365" t="s">
        <v>428</v>
      </c>
      <c r="E7365" t="s">
        <v>429</v>
      </c>
      <c r="F7365">
        <v>160.34</v>
      </c>
      <c r="G7365">
        <v>230930</v>
      </c>
      <c r="H7365">
        <v>4520</v>
      </c>
      <c r="I7365" t="s">
        <v>254</v>
      </c>
      <c r="J7365">
        <v>198.82</v>
      </c>
      <c r="K7365">
        <v>38.479999999999997</v>
      </c>
      <c r="L7365">
        <v>14432</v>
      </c>
      <c r="M7365" t="s">
        <v>862</v>
      </c>
      <c r="N7365" t="str">
        <f t="shared" si="149"/>
        <v xml:space="preserve">2360851996  </v>
      </c>
      <c r="O7365">
        <v>231009</v>
      </c>
    </row>
    <row r="7366" spans="1:15" x14ac:dyDescent="0.25">
      <c r="A7366" t="s">
        <v>16</v>
      </c>
      <c r="B7366" t="s">
        <v>3221</v>
      </c>
      <c r="C7366">
        <v>13390</v>
      </c>
      <c r="D7366" t="s">
        <v>428</v>
      </c>
      <c r="E7366" t="s">
        <v>429</v>
      </c>
      <c r="F7366">
        <v>1827.45</v>
      </c>
      <c r="G7366">
        <v>230930</v>
      </c>
      <c r="H7366">
        <v>4520</v>
      </c>
      <c r="I7366" t="s">
        <v>254</v>
      </c>
      <c r="J7366">
        <v>2083.29</v>
      </c>
      <c r="K7366">
        <v>255.84</v>
      </c>
      <c r="L7366">
        <v>14432</v>
      </c>
      <c r="M7366" t="s">
        <v>862</v>
      </c>
      <c r="N7366" t="str">
        <f t="shared" si="149"/>
        <v xml:space="preserve">2360851996  </v>
      </c>
      <c r="O7366">
        <v>231009</v>
      </c>
    </row>
    <row r="7367" spans="1:15" x14ac:dyDescent="0.25">
      <c r="A7367" t="s">
        <v>16</v>
      </c>
      <c r="B7367" t="s">
        <v>3221</v>
      </c>
      <c r="C7367">
        <v>13390</v>
      </c>
      <c r="D7367" t="s">
        <v>428</v>
      </c>
      <c r="E7367" t="s">
        <v>429</v>
      </c>
      <c r="F7367">
        <v>9.43</v>
      </c>
      <c r="G7367">
        <v>230930</v>
      </c>
      <c r="H7367">
        <v>4520</v>
      </c>
      <c r="I7367" t="s">
        <v>254</v>
      </c>
      <c r="J7367">
        <v>11.69</v>
      </c>
      <c r="K7367">
        <v>2.2599999999999998</v>
      </c>
      <c r="L7367">
        <v>14640</v>
      </c>
      <c r="M7367" t="s">
        <v>229</v>
      </c>
      <c r="N7367" t="str">
        <f t="shared" si="149"/>
        <v xml:space="preserve">2360851996  </v>
      </c>
      <c r="O7367">
        <v>231009</v>
      </c>
    </row>
    <row r="7368" spans="1:15" x14ac:dyDescent="0.25">
      <c r="A7368" t="s">
        <v>16</v>
      </c>
      <c r="B7368" t="s">
        <v>3221</v>
      </c>
      <c r="C7368">
        <v>13390</v>
      </c>
      <c r="D7368" t="s">
        <v>428</v>
      </c>
      <c r="E7368" t="s">
        <v>429</v>
      </c>
      <c r="F7368">
        <v>107.49</v>
      </c>
      <c r="G7368">
        <v>230930</v>
      </c>
      <c r="H7368">
        <v>4520</v>
      </c>
      <c r="I7368" t="s">
        <v>254</v>
      </c>
      <c r="J7368">
        <v>122.54</v>
      </c>
      <c r="K7368">
        <v>15.05</v>
      </c>
      <c r="L7368">
        <v>14640</v>
      </c>
      <c r="M7368" t="s">
        <v>229</v>
      </c>
      <c r="N7368" t="str">
        <f t="shared" si="149"/>
        <v xml:space="preserve">2360851996  </v>
      </c>
      <c r="O7368">
        <v>231009</v>
      </c>
    </row>
    <row r="7369" spans="1:15" x14ac:dyDescent="0.25">
      <c r="A7369" t="s">
        <v>16</v>
      </c>
      <c r="B7369" t="s">
        <v>3221</v>
      </c>
      <c r="C7369">
        <v>13390</v>
      </c>
      <c r="D7369" t="s">
        <v>428</v>
      </c>
      <c r="E7369" t="s">
        <v>429</v>
      </c>
      <c r="F7369">
        <v>37.729999999999997</v>
      </c>
      <c r="G7369">
        <v>230930</v>
      </c>
      <c r="H7369">
        <v>4520</v>
      </c>
      <c r="I7369" t="s">
        <v>254</v>
      </c>
      <c r="J7369">
        <v>46.78</v>
      </c>
      <c r="K7369">
        <v>9.0500000000000007</v>
      </c>
      <c r="L7369">
        <v>14642</v>
      </c>
      <c r="M7369" t="s">
        <v>863</v>
      </c>
      <c r="N7369" t="str">
        <f t="shared" si="149"/>
        <v xml:space="preserve">2360851996  </v>
      </c>
      <c r="O7369">
        <v>231009</v>
      </c>
    </row>
    <row r="7370" spans="1:15" x14ac:dyDescent="0.25">
      <c r="A7370" t="s">
        <v>16</v>
      </c>
      <c r="B7370" t="s">
        <v>3221</v>
      </c>
      <c r="C7370">
        <v>13390</v>
      </c>
      <c r="D7370" t="s">
        <v>428</v>
      </c>
      <c r="E7370" t="s">
        <v>429</v>
      </c>
      <c r="F7370">
        <v>429.99</v>
      </c>
      <c r="G7370">
        <v>230930</v>
      </c>
      <c r="H7370">
        <v>4520</v>
      </c>
      <c r="I7370" t="s">
        <v>254</v>
      </c>
      <c r="J7370">
        <v>490.19</v>
      </c>
      <c r="K7370">
        <v>60.2</v>
      </c>
      <c r="L7370">
        <v>14642</v>
      </c>
      <c r="M7370" t="s">
        <v>863</v>
      </c>
      <c r="N7370" t="str">
        <f t="shared" si="149"/>
        <v xml:space="preserve">2360851996  </v>
      </c>
      <c r="O7370">
        <v>231009</v>
      </c>
    </row>
    <row r="7371" spans="1:15" x14ac:dyDescent="0.25">
      <c r="A7371" t="s">
        <v>16</v>
      </c>
      <c r="B7371" t="s">
        <v>3221</v>
      </c>
      <c r="C7371">
        <v>13390</v>
      </c>
      <c r="D7371" t="s">
        <v>428</v>
      </c>
      <c r="E7371" t="s">
        <v>429</v>
      </c>
      <c r="F7371">
        <v>688.52</v>
      </c>
      <c r="G7371">
        <v>230930</v>
      </c>
      <c r="H7371">
        <v>4520</v>
      </c>
      <c r="I7371" t="s">
        <v>254</v>
      </c>
      <c r="J7371">
        <v>853.76</v>
      </c>
      <c r="K7371">
        <v>165.24</v>
      </c>
      <c r="L7371">
        <v>14912</v>
      </c>
      <c r="M7371" t="s">
        <v>230</v>
      </c>
      <c r="N7371" t="str">
        <f t="shared" si="149"/>
        <v xml:space="preserve">2360851996  </v>
      </c>
      <c r="O7371">
        <v>231009</v>
      </c>
    </row>
    <row r="7372" spans="1:15" x14ac:dyDescent="0.25">
      <c r="A7372" t="s">
        <v>16</v>
      </c>
      <c r="B7372" t="s">
        <v>3221</v>
      </c>
      <c r="C7372">
        <v>13390</v>
      </c>
      <c r="D7372" t="s">
        <v>428</v>
      </c>
      <c r="E7372" t="s">
        <v>429</v>
      </c>
      <c r="F7372">
        <v>7847.28</v>
      </c>
      <c r="G7372">
        <v>230930</v>
      </c>
      <c r="H7372">
        <v>4520</v>
      </c>
      <c r="I7372" t="s">
        <v>254</v>
      </c>
      <c r="J7372">
        <v>8945.9</v>
      </c>
      <c r="K7372">
        <v>1098.6199999999999</v>
      </c>
      <c r="L7372">
        <v>14912</v>
      </c>
      <c r="M7372" t="s">
        <v>230</v>
      </c>
      <c r="N7372" t="str">
        <f t="shared" si="149"/>
        <v xml:space="preserve">2360851996  </v>
      </c>
      <c r="O7372">
        <v>231009</v>
      </c>
    </row>
    <row r="7373" spans="1:15" x14ac:dyDescent="0.25">
      <c r="A7373" t="s">
        <v>16</v>
      </c>
      <c r="B7373" t="s">
        <v>3221</v>
      </c>
      <c r="C7373">
        <v>13440</v>
      </c>
      <c r="D7373" t="s">
        <v>428</v>
      </c>
      <c r="E7373" t="s">
        <v>429</v>
      </c>
      <c r="F7373">
        <v>1602.43</v>
      </c>
      <c r="G7373">
        <v>230930</v>
      </c>
      <c r="H7373">
        <v>4520</v>
      </c>
      <c r="I7373" t="s">
        <v>254</v>
      </c>
      <c r="J7373">
        <v>1826.77</v>
      </c>
      <c r="K7373">
        <v>224.34</v>
      </c>
      <c r="L7373">
        <v>17915</v>
      </c>
      <c r="M7373" t="s">
        <v>572</v>
      </c>
      <c r="N7373" t="str">
        <f>"2360851993  "</f>
        <v xml:space="preserve">2360851993  </v>
      </c>
      <c r="O7373">
        <v>231010</v>
      </c>
    </row>
    <row r="7374" spans="1:15" x14ac:dyDescent="0.25">
      <c r="A7374" t="s">
        <v>16</v>
      </c>
      <c r="B7374" t="s">
        <v>3221</v>
      </c>
      <c r="C7374">
        <v>13478</v>
      </c>
      <c r="D7374" t="s">
        <v>428</v>
      </c>
      <c r="E7374" t="s">
        <v>429</v>
      </c>
      <c r="F7374">
        <v>1485.18</v>
      </c>
      <c r="G7374">
        <v>230930</v>
      </c>
      <c r="H7374">
        <v>4520</v>
      </c>
      <c r="I7374" t="s">
        <v>254</v>
      </c>
      <c r="J7374">
        <v>1693.1</v>
      </c>
      <c r="K7374">
        <v>207.92</v>
      </c>
      <c r="L7374">
        <v>16431</v>
      </c>
      <c r="M7374" t="s">
        <v>231</v>
      </c>
      <c r="N7374" t="str">
        <f>"2360851995  "</f>
        <v xml:space="preserve">2360851995  </v>
      </c>
      <c r="O7374">
        <v>231010</v>
      </c>
    </row>
    <row r="7375" spans="1:15" x14ac:dyDescent="0.25">
      <c r="A7375" t="s">
        <v>16</v>
      </c>
      <c r="B7375" t="s">
        <v>3221</v>
      </c>
      <c r="C7375">
        <v>13478</v>
      </c>
      <c r="D7375" t="s">
        <v>428</v>
      </c>
      <c r="E7375" t="s">
        <v>429</v>
      </c>
      <c r="F7375">
        <v>98.53</v>
      </c>
      <c r="G7375">
        <v>230930</v>
      </c>
      <c r="H7375">
        <v>4520</v>
      </c>
      <c r="I7375" t="s">
        <v>254</v>
      </c>
      <c r="J7375">
        <v>112.32</v>
      </c>
      <c r="K7375">
        <v>13.79</v>
      </c>
      <c r="L7375">
        <v>16442</v>
      </c>
      <c r="M7375" t="s">
        <v>430</v>
      </c>
      <c r="N7375" t="str">
        <f>"2360851995  "</f>
        <v xml:space="preserve">2360851995  </v>
      </c>
      <c r="O7375">
        <v>231010</v>
      </c>
    </row>
    <row r="7376" spans="1:15" x14ac:dyDescent="0.25">
      <c r="A7376" t="s">
        <v>16</v>
      </c>
      <c r="B7376" t="s">
        <v>3221</v>
      </c>
      <c r="C7376">
        <v>13478</v>
      </c>
      <c r="D7376" t="s">
        <v>428</v>
      </c>
      <c r="E7376" t="s">
        <v>429</v>
      </c>
      <c r="F7376">
        <v>3335.33</v>
      </c>
      <c r="G7376">
        <v>230930</v>
      </c>
      <c r="H7376">
        <v>4520</v>
      </c>
      <c r="I7376" t="s">
        <v>254</v>
      </c>
      <c r="J7376">
        <v>3802.28</v>
      </c>
      <c r="K7376">
        <v>466.95</v>
      </c>
      <c r="L7376">
        <v>17913</v>
      </c>
      <c r="M7376" t="s">
        <v>431</v>
      </c>
      <c r="N7376" t="str">
        <f>"2360851995  "</f>
        <v xml:space="preserve">2360851995  </v>
      </c>
      <c r="O7376">
        <v>231010</v>
      </c>
    </row>
    <row r="7377" spans="1:15" x14ac:dyDescent="0.25">
      <c r="A7377" t="s">
        <v>16</v>
      </c>
      <c r="B7377" t="s">
        <v>3221</v>
      </c>
      <c r="C7377">
        <v>13536</v>
      </c>
      <c r="D7377" t="s">
        <v>428</v>
      </c>
      <c r="E7377" t="s">
        <v>429</v>
      </c>
      <c r="F7377">
        <v>350.88</v>
      </c>
      <c r="G7377">
        <v>230930</v>
      </c>
      <c r="H7377">
        <v>4520</v>
      </c>
      <c r="I7377" t="s">
        <v>254</v>
      </c>
      <c r="J7377">
        <v>400</v>
      </c>
      <c r="K7377">
        <v>49.12</v>
      </c>
      <c r="L7377">
        <v>59113</v>
      </c>
      <c r="M7377" t="s">
        <v>235</v>
      </c>
      <c r="N7377" t="str">
        <f>"2360851988  "</f>
        <v xml:space="preserve">2360851988  </v>
      </c>
      <c r="O7377">
        <v>231011</v>
      </c>
    </row>
    <row r="7378" spans="1:15" x14ac:dyDescent="0.25">
      <c r="A7378" t="s">
        <v>16</v>
      </c>
      <c r="B7378" t="s">
        <v>3221</v>
      </c>
      <c r="C7378">
        <v>13536</v>
      </c>
      <c r="D7378" t="s">
        <v>428</v>
      </c>
      <c r="E7378" t="s">
        <v>429</v>
      </c>
      <c r="F7378">
        <v>1621.61</v>
      </c>
      <c r="G7378">
        <v>230930</v>
      </c>
      <c r="H7378">
        <v>4520</v>
      </c>
      <c r="I7378" t="s">
        <v>254</v>
      </c>
      <c r="J7378">
        <v>1848.64</v>
      </c>
      <c r="K7378">
        <v>227.03</v>
      </c>
      <c r="L7378">
        <v>59114</v>
      </c>
      <c r="M7378" t="s">
        <v>556</v>
      </c>
      <c r="N7378" t="str">
        <f>"2360851988  "</f>
        <v xml:space="preserve">2360851988  </v>
      </c>
      <c r="O7378">
        <v>231011</v>
      </c>
    </row>
    <row r="7379" spans="1:15" x14ac:dyDescent="0.25">
      <c r="A7379" t="s">
        <v>16</v>
      </c>
      <c r="B7379" t="s">
        <v>3221</v>
      </c>
      <c r="C7379">
        <v>13553</v>
      </c>
      <c r="D7379" t="s">
        <v>428</v>
      </c>
      <c r="E7379" t="s">
        <v>429</v>
      </c>
      <c r="F7379">
        <v>3125.38</v>
      </c>
      <c r="G7379">
        <v>230930</v>
      </c>
      <c r="H7379">
        <v>4520</v>
      </c>
      <c r="I7379" t="s">
        <v>254</v>
      </c>
      <c r="J7379">
        <v>3562.93</v>
      </c>
      <c r="K7379">
        <v>437.55</v>
      </c>
      <c r="L7379">
        <v>54422</v>
      </c>
      <c r="M7379" t="s">
        <v>234</v>
      </c>
      <c r="N7379" t="str">
        <f>"2360851989  "</f>
        <v xml:space="preserve">2360851989  </v>
      </c>
      <c r="O7379">
        <v>231011</v>
      </c>
    </row>
    <row r="7380" spans="1:15" x14ac:dyDescent="0.25">
      <c r="A7380" t="s">
        <v>16</v>
      </c>
      <c r="B7380" t="s">
        <v>3221</v>
      </c>
      <c r="C7380">
        <v>13553</v>
      </c>
      <c r="D7380" t="s">
        <v>428</v>
      </c>
      <c r="E7380" t="s">
        <v>429</v>
      </c>
      <c r="F7380">
        <v>632.1</v>
      </c>
      <c r="G7380">
        <v>230930</v>
      </c>
      <c r="H7380">
        <v>4520</v>
      </c>
      <c r="I7380" t="s">
        <v>254</v>
      </c>
      <c r="J7380">
        <v>783.8</v>
      </c>
      <c r="K7380">
        <v>151.69999999999999</v>
      </c>
      <c r="L7380">
        <v>54451</v>
      </c>
      <c r="M7380" t="s">
        <v>158</v>
      </c>
      <c r="N7380" t="str">
        <f>"2360851989  "</f>
        <v xml:space="preserve">2360851989  </v>
      </c>
      <c r="O7380">
        <v>231011</v>
      </c>
    </row>
    <row r="7381" spans="1:15" x14ac:dyDescent="0.25">
      <c r="A7381" t="s">
        <v>16</v>
      </c>
      <c r="B7381" t="s">
        <v>3221</v>
      </c>
      <c r="C7381">
        <v>13553</v>
      </c>
      <c r="D7381" t="s">
        <v>428</v>
      </c>
      <c r="E7381" t="s">
        <v>429</v>
      </c>
      <c r="F7381">
        <v>2437.83</v>
      </c>
      <c r="G7381">
        <v>230930</v>
      </c>
      <c r="H7381">
        <v>4520</v>
      </c>
      <c r="I7381" t="s">
        <v>254</v>
      </c>
      <c r="J7381">
        <v>2779.13</v>
      </c>
      <c r="K7381">
        <v>341.3</v>
      </c>
      <c r="L7381">
        <v>54451</v>
      </c>
      <c r="M7381" t="s">
        <v>158</v>
      </c>
      <c r="N7381" t="str">
        <f>"2360851989  "</f>
        <v xml:space="preserve">2360851989  </v>
      </c>
      <c r="O7381">
        <v>231011</v>
      </c>
    </row>
    <row r="7382" spans="1:15" x14ac:dyDescent="0.25">
      <c r="A7382" t="s">
        <v>16</v>
      </c>
      <c r="B7382" t="s">
        <v>3221</v>
      </c>
      <c r="C7382">
        <v>13561</v>
      </c>
      <c r="D7382" t="s">
        <v>428</v>
      </c>
      <c r="E7382" t="s">
        <v>429</v>
      </c>
      <c r="F7382">
        <v>2154.79</v>
      </c>
      <c r="G7382">
        <v>230930</v>
      </c>
      <c r="H7382">
        <v>4520</v>
      </c>
      <c r="I7382" t="s">
        <v>254</v>
      </c>
      <c r="J7382">
        <v>2456.46</v>
      </c>
      <c r="K7382">
        <v>301.67</v>
      </c>
      <c r="L7382">
        <v>59113</v>
      </c>
      <c r="M7382" t="s">
        <v>235</v>
      </c>
      <c r="N7382" t="str">
        <f>"2360851990  "</f>
        <v xml:space="preserve">2360851990  </v>
      </c>
      <c r="O7382">
        <v>231011</v>
      </c>
    </row>
    <row r="7383" spans="1:15" x14ac:dyDescent="0.25">
      <c r="A7383" t="s">
        <v>16</v>
      </c>
      <c r="B7383" t="s">
        <v>3221</v>
      </c>
      <c r="C7383">
        <v>13561</v>
      </c>
      <c r="D7383" t="s">
        <v>428</v>
      </c>
      <c r="E7383" t="s">
        <v>429</v>
      </c>
      <c r="F7383">
        <v>380.25</v>
      </c>
      <c r="G7383">
        <v>230930</v>
      </c>
      <c r="H7383">
        <v>4520</v>
      </c>
      <c r="I7383" t="s">
        <v>254</v>
      </c>
      <c r="J7383">
        <v>433.49</v>
      </c>
      <c r="K7383">
        <v>53.24</v>
      </c>
      <c r="L7383">
        <v>59803</v>
      </c>
      <c r="M7383" t="s">
        <v>533</v>
      </c>
      <c r="N7383" t="str">
        <f>"2360851990  "</f>
        <v xml:space="preserve">2360851990  </v>
      </c>
      <c r="O7383">
        <v>231011</v>
      </c>
    </row>
    <row r="7384" spans="1:15" x14ac:dyDescent="0.25">
      <c r="A7384" t="s">
        <v>16</v>
      </c>
      <c r="B7384" t="s">
        <v>3221</v>
      </c>
      <c r="C7384">
        <v>13561</v>
      </c>
      <c r="D7384" t="s">
        <v>428</v>
      </c>
      <c r="E7384" t="s">
        <v>429</v>
      </c>
      <c r="F7384">
        <v>604.41999999999996</v>
      </c>
      <c r="G7384">
        <v>230930</v>
      </c>
      <c r="H7384">
        <v>4520</v>
      </c>
      <c r="I7384" t="s">
        <v>254</v>
      </c>
      <c r="J7384">
        <v>689.04</v>
      </c>
      <c r="K7384">
        <v>84.62</v>
      </c>
      <c r="L7384">
        <v>59805</v>
      </c>
      <c r="M7384" t="s">
        <v>1716</v>
      </c>
      <c r="N7384" t="str">
        <f>"2360851990  "</f>
        <v xml:space="preserve">2360851990  </v>
      </c>
      <c r="O7384">
        <v>231011</v>
      </c>
    </row>
    <row r="7385" spans="1:15" x14ac:dyDescent="0.25">
      <c r="A7385" t="s">
        <v>16</v>
      </c>
      <c r="B7385" t="s">
        <v>3221</v>
      </c>
      <c r="C7385">
        <v>13668</v>
      </c>
      <c r="D7385" t="s">
        <v>428</v>
      </c>
      <c r="E7385" t="s">
        <v>429</v>
      </c>
      <c r="F7385">
        <v>3450.42</v>
      </c>
      <c r="G7385">
        <v>230930</v>
      </c>
      <c r="H7385">
        <v>4520</v>
      </c>
      <c r="I7385" t="s">
        <v>254</v>
      </c>
      <c r="J7385">
        <v>3933.48</v>
      </c>
      <c r="K7385">
        <v>483.06</v>
      </c>
      <c r="L7385">
        <v>49112</v>
      </c>
      <c r="M7385" t="s">
        <v>233</v>
      </c>
      <c r="N7385" t="str">
        <f>"2360851992  "</f>
        <v xml:space="preserve">2360851992  </v>
      </c>
      <c r="O7385">
        <v>231012</v>
      </c>
    </row>
    <row r="7386" spans="1:15" x14ac:dyDescent="0.25">
      <c r="A7386" t="s">
        <v>16</v>
      </c>
      <c r="B7386" t="s">
        <v>3221</v>
      </c>
      <c r="C7386">
        <v>13759</v>
      </c>
      <c r="D7386" t="s">
        <v>428</v>
      </c>
      <c r="E7386" t="s">
        <v>429</v>
      </c>
      <c r="F7386">
        <v>2399.89</v>
      </c>
      <c r="G7386">
        <v>230930</v>
      </c>
      <c r="H7386">
        <v>4520</v>
      </c>
      <c r="I7386" t="s">
        <v>254</v>
      </c>
      <c r="J7386">
        <v>2735.87</v>
      </c>
      <c r="K7386">
        <v>335.98</v>
      </c>
      <c r="L7386">
        <v>69112</v>
      </c>
      <c r="M7386" t="s">
        <v>313</v>
      </c>
      <c r="N7386" t="str">
        <f>"2360851998  "</f>
        <v xml:space="preserve">2360851998  </v>
      </c>
      <c r="O7386">
        <v>231013</v>
      </c>
    </row>
    <row r="7387" spans="1:15" x14ac:dyDescent="0.25">
      <c r="A7387" t="s">
        <v>16</v>
      </c>
      <c r="B7387" t="s">
        <v>3221</v>
      </c>
      <c r="C7387">
        <v>13759</v>
      </c>
      <c r="D7387" t="s">
        <v>428</v>
      </c>
      <c r="E7387" t="s">
        <v>429</v>
      </c>
      <c r="F7387">
        <v>133.32</v>
      </c>
      <c r="G7387">
        <v>230930</v>
      </c>
      <c r="H7387">
        <v>4520</v>
      </c>
      <c r="I7387" t="s">
        <v>254</v>
      </c>
      <c r="J7387">
        <v>151.99</v>
      </c>
      <c r="K7387">
        <v>18.670000000000002</v>
      </c>
      <c r="L7387">
        <v>69810</v>
      </c>
      <c r="M7387" t="s">
        <v>314</v>
      </c>
      <c r="N7387" t="str">
        <f>"2360851998  "</f>
        <v xml:space="preserve">2360851998  </v>
      </c>
      <c r="O7387">
        <v>231013</v>
      </c>
    </row>
    <row r="7388" spans="1:15" x14ac:dyDescent="0.25">
      <c r="A7388" t="s">
        <v>16</v>
      </c>
      <c r="B7388" t="s">
        <v>3221</v>
      </c>
      <c r="C7388">
        <v>13759</v>
      </c>
      <c r="D7388" t="s">
        <v>428</v>
      </c>
      <c r="E7388" t="s">
        <v>429</v>
      </c>
      <c r="F7388">
        <v>133.33000000000001</v>
      </c>
      <c r="G7388">
        <v>230930</v>
      </c>
      <c r="H7388">
        <v>4520</v>
      </c>
      <c r="I7388" t="s">
        <v>254</v>
      </c>
      <c r="J7388">
        <v>152</v>
      </c>
      <c r="K7388">
        <v>18.670000000000002</v>
      </c>
      <c r="L7388">
        <v>69811</v>
      </c>
      <c r="M7388" t="s">
        <v>315</v>
      </c>
      <c r="N7388" t="str">
        <f>"2360851998  "</f>
        <v xml:space="preserve">2360851998  </v>
      </c>
      <c r="O7388">
        <v>231013</v>
      </c>
    </row>
    <row r="7389" spans="1:15" x14ac:dyDescent="0.25">
      <c r="A7389" t="s">
        <v>16</v>
      </c>
      <c r="B7389" t="s">
        <v>3221</v>
      </c>
      <c r="C7389">
        <v>13911</v>
      </c>
      <c r="D7389" t="s">
        <v>428</v>
      </c>
      <c r="E7389" t="s">
        <v>429</v>
      </c>
      <c r="F7389">
        <v>242.8</v>
      </c>
      <c r="G7389">
        <v>230930</v>
      </c>
      <c r="H7389">
        <v>4520</v>
      </c>
      <c r="I7389" t="s">
        <v>254</v>
      </c>
      <c r="J7389">
        <v>276.79000000000002</v>
      </c>
      <c r="K7389">
        <v>33.99</v>
      </c>
      <c r="L7389">
        <v>44222</v>
      </c>
      <c r="M7389" t="s">
        <v>232</v>
      </c>
      <c r="N7389" t="str">
        <f>"2360851997  "</f>
        <v xml:space="preserve">2360851997  </v>
      </c>
      <c r="O7389">
        <v>231016</v>
      </c>
    </row>
    <row r="7390" spans="1:15" x14ac:dyDescent="0.25">
      <c r="A7390" t="s">
        <v>16</v>
      </c>
      <c r="B7390" t="s">
        <v>3221</v>
      </c>
      <c r="C7390">
        <v>13911</v>
      </c>
      <c r="D7390" t="s">
        <v>428</v>
      </c>
      <c r="E7390" t="s">
        <v>429</v>
      </c>
      <c r="F7390">
        <v>471.14</v>
      </c>
      <c r="G7390">
        <v>230930</v>
      </c>
      <c r="H7390">
        <v>4520</v>
      </c>
      <c r="I7390" t="s">
        <v>254</v>
      </c>
      <c r="J7390">
        <v>537.1</v>
      </c>
      <c r="K7390">
        <v>65.959999999999994</v>
      </c>
      <c r="L7390">
        <v>44253</v>
      </c>
      <c r="M7390" t="s">
        <v>1058</v>
      </c>
      <c r="N7390" t="str">
        <f>"2360851997  "</f>
        <v xml:space="preserve">2360851997  </v>
      </c>
      <c r="O7390">
        <v>231016</v>
      </c>
    </row>
    <row r="7391" spans="1:15" x14ac:dyDescent="0.25">
      <c r="A7391" t="s">
        <v>16</v>
      </c>
      <c r="B7391" t="s">
        <v>3221</v>
      </c>
      <c r="C7391">
        <v>13946</v>
      </c>
      <c r="D7391" t="s">
        <v>428</v>
      </c>
      <c r="E7391" t="s">
        <v>429</v>
      </c>
      <c r="F7391">
        <v>2539.12</v>
      </c>
      <c r="G7391">
        <v>230930</v>
      </c>
      <c r="H7391">
        <v>4520</v>
      </c>
      <c r="I7391" t="s">
        <v>254</v>
      </c>
      <c r="J7391">
        <v>2894.6</v>
      </c>
      <c r="K7391">
        <v>355.48</v>
      </c>
      <c r="L7391">
        <v>69113</v>
      </c>
      <c r="M7391" t="s">
        <v>282</v>
      </c>
      <c r="N7391" t="str">
        <f>"2360851991  "</f>
        <v xml:space="preserve">2360851991  </v>
      </c>
      <c r="O7391">
        <v>231017</v>
      </c>
    </row>
    <row r="7392" spans="1:15" x14ac:dyDescent="0.25">
      <c r="A7392" t="s">
        <v>16</v>
      </c>
      <c r="B7392" t="s">
        <v>3221</v>
      </c>
      <c r="C7392">
        <v>13946</v>
      </c>
      <c r="D7392" t="s">
        <v>428</v>
      </c>
      <c r="E7392" t="s">
        <v>429</v>
      </c>
      <c r="F7392">
        <v>298.72000000000003</v>
      </c>
      <c r="G7392">
        <v>230930</v>
      </c>
      <c r="H7392">
        <v>4520</v>
      </c>
      <c r="I7392" t="s">
        <v>254</v>
      </c>
      <c r="J7392">
        <v>340.54</v>
      </c>
      <c r="K7392">
        <v>41.82</v>
      </c>
      <c r="L7392">
        <v>69802</v>
      </c>
      <c r="M7392" t="s">
        <v>283</v>
      </c>
      <c r="N7392" t="str">
        <f>"2360851991  "</f>
        <v xml:space="preserve">2360851991  </v>
      </c>
      <c r="O7392">
        <v>231017</v>
      </c>
    </row>
    <row r="7393" spans="1:15" x14ac:dyDescent="0.25">
      <c r="A7393" t="s">
        <v>16</v>
      </c>
      <c r="B7393" t="s">
        <v>3221</v>
      </c>
      <c r="C7393">
        <v>13946</v>
      </c>
      <c r="D7393" t="s">
        <v>428</v>
      </c>
      <c r="E7393" t="s">
        <v>429</v>
      </c>
      <c r="F7393">
        <v>149.36000000000001</v>
      </c>
      <c r="G7393">
        <v>230930</v>
      </c>
      <c r="H7393">
        <v>4520</v>
      </c>
      <c r="I7393" t="s">
        <v>254</v>
      </c>
      <c r="J7393">
        <v>170.27</v>
      </c>
      <c r="K7393">
        <v>20.91</v>
      </c>
      <c r="L7393">
        <v>69804</v>
      </c>
      <c r="M7393" t="s">
        <v>284</v>
      </c>
      <c r="N7393" t="str">
        <f>"2360851991  "</f>
        <v xml:space="preserve">2360851991  </v>
      </c>
      <c r="O7393">
        <v>231017</v>
      </c>
    </row>
    <row r="7394" spans="1:15" x14ac:dyDescent="0.25">
      <c r="A7394" t="s">
        <v>16</v>
      </c>
      <c r="B7394" t="s">
        <v>3221</v>
      </c>
      <c r="C7394">
        <v>13976</v>
      </c>
      <c r="D7394" t="s">
        <v>428</v>
      </c>
      <c r="E7394" t="s">
        <v>429</v>
      </c>
      <c r="F7394">
        <v>1770.31</v>
      </c>
      <c r="G7394">
        <v>231015</v>
      </c>
      <c r="H7394">
        <v>4520</v>
      </c>
      <c r="I7394" t="s">
        <v>254</v>
      </c>
      <c r="J7394">
        <v>2018.15</v>
      </c>
      <c r="K7394">
        <v>247.84</v>
      </c>
      <c r="L7394">
        <v>69112</v>
      </c>
      <c r="M7394" t="s">
        <v>313</v>
      </c>
      <c r="N7394" t="str">
        <f>"2360914859  "</f>
        <v xml:space="preserve">2360914859  </v>
      </c>
      <c r="O7394">
        <v>231017</v>
      </c>
    </row>
    <row r="7395" spans="1:15" x14ac:dyDescent="0.25">
      <c r="A7395" t="s">
        <v>16</v>
      </c>
      <c r="B7395" t="s">
        <v>3221</v>
      </c>
      <c r="C7395">
        <v>13976</v>
      </c>
      <c r="D7395" t="s">
        <v>428</v>
      </c>
      <c r="E7395" t="s">
        <v>429</v>
      </c>
      <c r="F7395">
        <v>98.35</v>
      </c>
      <c r="G7395">
        <v>231015</v>
      </c>
      <c r="H7395">
        <v>4520</v>
      </c>
      <c r="I7395" t="s">
        <v>254</v>
      </c>
      <c r="J7395">
        <v>112.12</v>
      </c>
      <c r="K7395">
        <v>13.77</v>
      </c>
      <c r="L7395">
        <v>69810</v>
      </c>
      <c r="M7395" t="s">
        <v>314</v>
      </c>
      <c r="N7395" t="str">
        <f>"2360914859  "</f>
        <v xml:space="preserve">2360914859  </v>
      </c>
      <c r="O7395">
        <v>231017</v>
      </c>
    </row>
    <row r="7396" spans="1:15" x14ac:dyDescent="0.25">
      <c r="A7396" t="s">
        <v>16</v>
      </c>
      <c r="B7396" t="s">
        <v>3221</v>
      </c>
      <c r="C7396">
        <v>13976</v>
      </c>
      <c r="D7396" t="s">
        <v>428</v>
      </c>
      <c r="E7396" t="s">
        <v>429</v>
      </c>
      <c r="F7396">
        <v>98.35</v>
      </c>
      <c r="G7396">
        <v>231015</v>
      </c>
      <c r="H7396">
        <v>4520</v>
      </c>
      <c r="I7396" t="s">
        <v>254</v>
      </c>
      <c r="J7396">
        <v>112.12</v>
      </c>
      <c r="K7396">
        <v>13.77</v>
      </c>
      <c r="L7396">
        <v>69811</v>
      </c>
      <c r="M7396" t="s">
        <v>315</v>
      </c>
      <c r="N7396" t="str">
        <f>"2360914859  "</f>
        <v xml:space="preserve">2360914859  </v>
      </c>
      <c r="O7396">
        <v>231017</v>
      </c>
    </row>
    <row r="7397" spans="1:15" x14ac:dyDescent="0.25">
      <c r="A7397" t="s">
        <v>16</v>
      </c>
      <c r="B7397" t="s">
        <v>3221</v>
      </c>
      <c r="C7397">
        <v>13978</v>
      </c>
      <c r="D7397" t="s">
        <v>428</v>
      </c>
      <c r="E7397" t="s">
        <v>429</v>
      </c>
      <c r="F7397">
        <v>3451.84</v>
      </c>
      <c r="G7397">
        <v>231015</v>
      </c>
      <c r="H7397">
        <v>4520</v>
      </c>
      <c r="I7397" t="s">
        <v>254</v>
      </c>
      <c r="J7397">
        <v>3935.1</v>
      </c>
      <c r="K7397">
        <v>483.26</v>
      </c>
      <c r="L7397">
        <v>69113</v>
      </c>
      <c r="M7397" t="s">
        <v>282</v>
      </c>
      <c r="N7397" t="str">
        <f>"2360914852  "</f>
        <v xml:space="preserve">2360914852  </v>
      </c>
      <c r="O7397">
        <v>231017</v>
      </c>
    </row>
    <row r="7398" spans="1:15" x14ac:dyDescent="0.25">
      <c r="A7398" t="s">
        <v>16</v>
      </c>
      <c r="B7398" t="s">
        <v>3221</v>
      </c>
      <c r="C7398">
        <v>13978</v>
      </c>
      <c r="D7398" t="s">
        <v>428</v>
      </c>
      <c r="E7398" t="s">
        <v>429</v>
      </c>
      <c r="F7398">
        <v>406.1</v>
      </c>
      <c r="G7398">
        <v>231015</v>
      </c>
      <c r="H7398">
        <v>4520</v>
      </c>
      <c r="I7398" t="s">
        <v>254</v>
      </c>
      <c r="J7398">
        <v>462.95</v>
      </c>
      <c r="K7398">
        <v>56.85</v>
      </c>
      <c r="L7398">
        <v>69802</v>
      </c>
      <c r="M7398" t="s">
        <v>283</v>
      </c>
      <c r="N7398" t="str">
        <f>"2360914852  "</f>
        <v xml:space="preserve">2360914852  </v>
      </c>
      <c r="O7398">
        <v>231017</v>
      </c>
    </row>
    <row r="7399" spans="1:15" x14ac:dyDescent="0.25">
      <c r="A7399" t="s">
        <v>16</v>
      </c>
      <c r="B7399" t="s">
        <v>3221</v>
      </c>
      <c r="C7399">
        <v>13978</v>
      </c>
      <c r="D7399" t="s">
        <v>428</v>
      </c>
      <c r="E7399" t="s">
        <v>429</v>
      </c>
      <c r="F7399">
        <v>203.05</v>
      </c>
      <c r="G7399">
        <v>231015</v>
      </c>
      <c r="H7399">
        <v>4520</v>
      </c>
      <c r="I7399" t="s">
        <v>254</v>
      </c>
      <c r="J7399">
        <v>231.48</v>
      </c>
      <c r="K7399">
        <v>28.43</v>
      </c>
      <c r="L7399">
        <v>69804</v>
      </c>
      <c r="M7399" t="s">
        <v>284</v>
      </c>
      <c r="N7399" t="str">
        <f>"2360914852  "</f>
        <v xml:space="preserve">2360914852  </v>
      </c>
      <c r="O7399">
        <v>231017</v>
      </c>
    </row>
    <row r="7400" spans="1:15" x14ac:dyDescent="0.25">
      <c r="A7400" t="s">
        <v>16</v>
      </c>
      <c r="B7400" t="s">
        <v>3221</v>
      </c>
      <c r="C7400">
        <v>14136</v>
      </c>
      <c r="D7400" t="s">
        <v>428</v>
      </c>
      <c r="E7400" t="s">
        <v>429</v>
      </c>
      <c r="F7400">
        <v>19.39</v>
      </c>
      <c r="G7400">
        <v>231015</v>
      </c>
      <c r="H7400">
        <v>4520</v>
      </c>
      <c r="I7400" t="s">
        <v>254</v>
      </c>
      <c r="J7400">
        <v>22.1</v>
      </c>
      <c r="K7400">
        <v>2.71</v>
      </c>
      <c r="L7400">
        <v>17131</v>
      </c>
      <c r="M7400" t="s">
        <v>64</v>
      </c>
      <c r="N7400" t="str">
        <f>"2360914854  "</f>
        <v xml:space="preserve">2360914854  </v>
      </c>
      <c r="O7400">
        <v>231019</v>
      </c>
    </row>
    <row r="7401" spans="1:15" x14ac:dyDescent="0.25">
      <c r="A7401" t="s">
        <v>16</v>
      </c>
      <c r="B7401" t="s">
        <v>3221</v>
      </c>
      <c r="C7401">
        <v>14136</v>
      </c>
      <c r="D7401" t="s">
        <v>428</v>
      </c>
      <c r="E7401" t="s">
        <v>429</v>
      </c>
      <c r="F7401">
        <v>1165.1500000000001</v>
      </c>
      <c r="G7401">
        <v>231015</v>
      </c>
      <c r="H7401">
        <v>4520</v>
      </c>
      <c r="I7401" t="s">
        <v>254</v>
      </c>
      <c r="J7401">
        <v>1328.27</v>
      </c>
      <c r="K7401">
        <v>163.12</v>
      </c>
      <c r="L7401">
        <v>17915</v>
      </c>
      <c r="M7401" t="s">
        <v>572</v>
      </c>
      <c r="N7401" t="str">
        <f>"2360914854  "</f>
        <v xml:space="preserve">2360914854  </v>
      </c>
      <c r="O7401">
        <v>231019</v>
      </c>
    </row>
    <row r="7402" spans="1:15" x14ac:dyDescent="0.25">
      <c r="A7402" t="s">
        <v>16</v>
      </c>
      <c r="B7402" t="s">
        <v>3221</v>
      </c>
      <c r="C7402">
        <v>14325</v>
      </c>
      <c r="D7402" t="s">
        <v>428</v>
      </c>
      <c r="E7402" t="s">
        <v>429</v>
      </c>
      <c r="F7402">
        <v>1666.74</v>
      </c>
      <c r="G7402">
        <v>230930</v>
      </c>
      <c r="H7402">
        <v>4520</v>
      </c>
      <c r="I7402" t="s">
        <v>254</v>
      </c>
      <c r="J7402">
        <v>1900.08</v>
      </c>
      <c r="K7402">
        <v>233.34</v>
      </c>
      <c r="L7402">
        <v>44251</v>
      </c>
      <c r="M7402" t="s">
        <v>156</v>
      </c>
      <c r="N7402" t="str">
        <f>"2360851994  "</f>
        <v xml:space="preserve">2360851994  </v>
      </c>
      <c r="O7402">
        <v>231027</v>
      </c>
    </row>
    <row r="7403" spans="1:15" x14ac:dyDescent="0.25">
      <c r="A7403" t="s">
        <v>16</v>
      </c>
      <c r="B7403" t="s">
        <v>3221</v>
      </c>
      <c r="C7403">
        <v>14325</v>
      </c>
      <c r="D7403" t="s">
        <v>428</v>
      </c>
      <c r="E7403" t="s">
        <v>429</v>
      </c>
      <c r="F7403">
        <v>587.62</v>
      </c>
      <c r="G7403">
        <v>230930</v>
      </c>
      <c r="H7403">
        <v>4520</v>
      </c>
      <c r="I7403" t="s">
        <v>254</v>
      </c>
      <c r="J7403">
        <v>669.89</v>
      </c>
      <c r="K7403">
        <v>82.27</v>
      </c>
      <c r="L7403">
        <v>44252</v>
      </c>
      <c r="M7403" t="s">
        <v>157</v>
      </c>
      <c r="N7403" t="str">
        <f>"2360851994  "</f>
        <v xml:space="preserve">2360851994  </v>
      </c>
      <c r="O7403">
        <v>231027</v>
      </c>
    </row>
    <row r="7404" spans="1:15" x14ac:dyDescent="0.25">
      <c r="A7404" t="s">
        <v>16</v>
      </c>
      <c r="B7404" t="s">
        <v>3221</v>
      </c>
      <c r="C7404">
        <v>14418</v>
      </c>
      <c r="D7404" t="s">
        <v>428</v>
      </c>
      <c r="E7404" t="s">
        <v>429</v>
      </c>
      <c r="F7404">
        <v>1758.99</v>
      </c>
      <c r="G7404">
        <v>231015</v>
      </c>
      <c r="H7404">
        <v>4520</v>
      </c>
      <c r="I7404" t="s">
        <v>254</v>
      </c>
      <c r="J7404">
        <v>2005.25</v>
      </c>
      <c r="K7404">
        <v>246.26</v>
      </c>
      <c r="L7404">
        <v>54422</v>
      </c>
      <c r="M7404" t="s">
        <v>234</v>
      </c>
      <c r="N7404" t="str">
        <f>"2360914850  "</f>
        <v xml:space="preserve">2360914850  </v>
      </c>
      <c r="O7404">
        <v>231030</v>
      </c>
    </row>
    <row r="7405" spans="1:15" x14ac:dyDescent="0.25">
      <c r="A7405" t="s">
        <v>16</v>
      </c>
      <c r="B7405" t="s">
        <v>3221</v>
      </c>
      <c r="C7405">
        <v>14418</v>
      </c>
      <c r="D7405" t="s">
        <v>428</v>
      </c>
      <c r="E7405" t="s">
        <v>429</v>
      </c>
      <c r="F7405">
        <v>8.42</v>
      </c>
      <c r="G7405">
        <v>231015</v>
      </c>
      <c r="H7405">
        <v>4520</v>
      </c>
      <c r="I7405" t="s">
        <v>254</v>
      </c>
      <c r="J7405">
        <v>10.44</v>
      </c>
      <c r="K7405">
        <v>2.02</v>
      </c>
      <c r="L7405">
        <v>54451</v>
      </c>
      <c r="M7405" t="s">
        <v>158</v>
      </c>
      <c r="N7405" t="str">
        <f>"2360914850  "</f>
        <v xml:space="preserve">2360914850  </v>
      </c>
      <c r="O7405">
        <v>231030</v>
      </c>
    </row>
    <row r="7406" spans="1:15" x14ac:dyDescent="0.25">
      <c r="A7406" t="s">
        <v>16</v>
      </c>
      <c r="B7406" t="s">
        <v>3221</v>
      </c>
      <c r="C7406">
        <v>14418</v>
      </c>
      <c r="D7406" t="s">
        <v>428</v>
      </c>
      <c r="E7406" t="s">
        <v>429</v>
      </c>
      <c r="F7406">
        <v>1749.83</v>
      </c>
      <c r="G7406">
        <v>231015</v>
      </c>
      <c r="H7406">
        <v>4520</v>
      </c>
      <c r="I7406" t="s">
        <v>254</v>
      </c>
      <c r="J7406">
        <v>1994.81</v>
      </c>
      <c r="K7406">
        <v>244.98</v>
      </c>
      <c r="L7406">
        <v>54451</v>
      </c>
      <c r="M7406" t="s">
        <v>158</v>
      </c>
      <c r="N7406" t="str">
        <f>"2360914850  "</f>
        <v xml:space="preserve">2360914850  </v>
      </c>
      <c r="O7406">
        <v>231030</v>
      </c>
    </row>
    <row r="7407" spans="1:15" x14ac:dyDescent="0.25">
      <c r="A7407" t="s">
        <v>16</v>
      </c>
      <c r="B7407" t="s">
        <v>3221</v>
      </c>
      <c r="C7407">
        <v>14419</v>
      </c>
      <c r="D7407" t="s">
        <v>428</v>
      </c>
      <c r="E7407" t="s">
        <v>429</v>
      </c>
      <c r="F7407">
        <v>1206.25</v>
      </c>
      <c r="G7407">
        <v>231015</v>
      </c>
      <c r="H7407">
        <v>4520</v>
      </c>
      <c r="I7407" t="s">
        <v>254</v>
      </c>
      <c r="J7407">
        <v>1375.13</v>
      </c>
      <c r="K7407">
        <v>168.88</v>
      </c>
      <c r="L7407">
        <v>59114</v>
      </c>
      <c r="M7407" t="s">
        <v>556</v>
      </c>
      <c r="N7407" t="str">
        <f>"2360914849  "</f>
        <v xml:space="preserve">2360914849  </v>
      </c>
      <c r="O7407">
        <v>231030</v>
      </c>
    </row>
    <row r="7408" spans="1:15" x14ac:dyDescent="0.25">
      <c r="A7408" t="s">
        <v>16</v>
      </c>
      <c r="B7408" t="s">
        <v>3221</v>
      </c>
      <c r="C7408">
        <v>14423</v>
      </c>
      <c r="D7408" t="s">
        <v>428</v>
      </c>
      <c r="E7408" t="s">
        <v>429</v>
      </c>
      <c r="F7408">
        <v>2470.8200000000002</v>
      </c>
      <c r="G7408">
        <v>231015</v>
      </c>
      <c r="H7408">
        <v>4520</v>
      </c>
      <c r="I7408" t="s">
        <v>254</v>
      </c>
      <c r="J7408">
        <v>2816.74</v>
      </c>
      <c r="K7408">
        <v>345.92</v>
      </c>
      <c r="L7408">
        <v>59113</v>
      </c>
      <c r="M7408" t="s">
        <v>235</v>
      </c>
      <c r="N7408" t="str">
        <f>"2360914851  "</f>
        <v xml:space="preserve">2360914851  </v>
      </c>
      <c r="O7408">
        <v>231030</v>
      </c>
    </row>
    <row r="7409" spans="1:15" x14ac:dyDescent="0.25">
      <c r="A7409" t="s">
        <v>16</v>
      </c>
      <c r="B7409" t="s">
        <v>3221</v>
      </c>
      <c r="C7409">
        <v>14423</v>
      </c>
      <c r="D7409" t="s">
        <v>428</v>
      </c>
      <c r="E7409" t="s">
        <v>429</v>
      </c>
      <c r="F7409">
        <v>436.03</v>
      </c>
      <c r="G7409">
        <v>231015</v>
      </c>
      <c r="H7409">
        <v>4520</v>
      </c>
      <c r="I7409" t="s">
        <v>254</v>
      </c>
      <c r="J7409">
        <v>497.07</v>
      </c>
      <c r="K7409">
        <v>61.04</v>
      </c>
      <c r="L7409">
        <v>59803</v>
      </c>
      <c r="M7409" t="s">
        <v>533</v>
      </c>
      <c r="N7409" t="str">
        <f>"2360914851  "</f>
        <v xml:space="preserve">2360914851  </v>
      </c>
      <c r="O7409">
        <v>231030</v>
      </c>
    </row>
    <row r="7410" spans="1:15" x14ac:dyDescent="0.25">
      <c r="A7410" t="s">
        <v>16</v>
      </c>
      <c r="B7410" t="s">
        <v>3221</v>
      </c>
      <c r="C7410">
        <v>14435</v>
      </c>
      <c r="D7410" t="s">
        <v>428</v>
      </c>
      <c r="E7410" t="s">
        <v>429</v>
      </c>
      <c r="F7410">
        <v>15.04</v>
      </c>
      <c r="G7410">
        <v>231015</v>
      </c>
      <c r="H7410">
        <v>4520</v>
      </c>
      <c r="I7410" t="s">
        <v>254</v>
      </c>
      <c r="J7410">
        <v>18.649999999999999</v>
      </c>
      <c r="K7410">
        <v>3.61</v>
      </c>
      <c r="L7410">
        <v>14422</v>
      </c>
      <c r="M7410" t="s">
        <v>228</v>
      </c>
      <c r="N7410" t="str">
        <f t="shared" ref="N7410:N7421" si="150">"2360914857  "</f>
        <v xml:space="preserve">2360914857  </v>
      </c>
      <c r="O7410">
        <v>231030</v>
      </c>
    </row>
    <row r="7411" spans="1:15" x14ac:dyDescent="0.25">
      <c r="A7411" t="s">
        <v>16</v>
      </c>
      <c r="B7411" t="s">
        <v>3221</v>
      </c>
      <c r="C7411">
        <v>14435</v>
      </c>
      <c r="D7411" t="s">
        <v>428</v>
      </c>
      <c r="E7411" t="s">
        <v>429</v>
      </c>
      <c r="F7411">
        <v>84.34</v>
      </c>
      <c r="G7411">
        <v>231015</v>
      </c>
      <c r="H7411">
        <v>4520</v>
      </c>
      <c r="I7411" t="s">
        <v>254</v>
      </c>
      <c r="J7411">
        <v>96.15</v>
      </c>
      <c r="K7411">
        <v>11.81</v>
      </c>
      <c r="L7411">
        <v>14422</v>
      </c>
      <c r="M7411" t="s">
        <v>228</v>
      </c>
      <c r="N7411" t="str">
        <f t="shared" si="150"/>
        <v xml:space="preserve">2360914857  </v>
      </c>
      <c r="O7411">
        <v>231030</v>
      </c>
    </row>
    <row r="7412" spans="1:15" x14ac:dyDescent="0.25">
      <c r="A7412" t="s">
        <v>16</v>
      </c>
      <c r="B7412" t="s">
        <v>3221</v>
      </c>
      <c r="C7412">
        <v>14435</v>
      </c>
      <c r="D7412" t="s">
        <v>428</v>
      </c>
      <c r="E7412" t="s">
        <v>429</v>
      </c>
      <c r="F7412">
        <v>60.19</v>
      </c>
      <c r="G7412">
        <v>231015</v>
      </c>
      <c r="H7412">
        <v>4520</v>
      </c>
      <c r="I7412" t="s">
        <v>254</v>
      </c>
      <c r="J7412">
        <v>74.63</v>
      </c>
      <c r="K7412">
        <v>14.44</v>
      </c>
      <c r="L7412">
        <v>14431</v>
      </c>
      <c r="M7412" t="s">
        <v>861</v>
      </c>
      <c r="N7412" t="str">
        <f t="shared" si="150"/>
        <v xml:space="preserve">2360914857  </v>
      </c>
      <c r="O7412">
        <v>231030</v>
      </c>
    </row>
    <row r="7413" spans="1:15" x14ac:dyDescent="0.25">
      <c r="A7413" t="s">
        <v>16</v>
      </c>
      <c r="B7413" t="s">
        <v>3221</v>
      </c>
      <c r="C7413">
        <v>14435</v>
      </c>
      <c r="D7413" t="s">
        <v>428</v>
      </c>
      <c r="E7413" t="s">
        <v>429</v>
      </c>
      <c r="F7413">
        <v>337.39</v>
      </c>
      <c r="G7413">
        <v>231015</v>
      </c>
      <c r="H7413">
        <v>4520</v>
      </c>
      <c r="I7413" t="s">
        <v>254</v>
      </c>
      <c r="J7413">
        <v>384.62</v>
      </c>
      <c r="K7413">
        <v>47.23</v>
      </c>
      <c r="L7413">
        <v>14431</v>
      </c>
      <c r="M7413" t="s">
        <v>861</v>
      </c>
      <c r="N7413" t="str">
        <f t="shared" si="150"/>
        <v xml:space="preserve">2360914857  </v>
      </c>
      <c r="O7413">
        <v>231030</v>
      </c>
    </row>
    <row r="7414" spans="1:15" x14ac:dyDescent="0.25">
      <c r="A7414" t="s">
        <v>16</v>
      </c>
      <c r="B7414" t="s">
        <v>3221</v>
      </c>
      <c r="C7414">
        <v>14435</v>
      </c>
      <c r="D7414" t="s">
        <v>428</v>
      </c>
      <c r="E7414" t="s">
        <v>429</v>
      </c>
      <c r="F7414">
        <v>255.77</v>
      </c>
      <c r="G7414">
        <v>231015</v>
      </c>
      <c r="H7414">
        <v>4520</v>
      </c>
      <c r="I7414" t="s">
        <v>254</v>
      </c>
      <c r="J7414">
        <v>317.16000000000003</v>
      </c>
      <c r="K7414">
        <v>61.39</v>
      </c>
      <c r="L7414">
        <v>14432</v>
      </c>
      <c r="M7414" t="s">
        <v>862</v>
      </c>
      <c r="N7414" t="str">
        <f t="shared" si="150"/>
        <v xml:space="preserve">2360914857  </v>
      </c>
      <c r="O7414">
        <v>231030</v>
      </c>
    </row>
    <row r="7415" spans="1:15" x14ac:dyDescent="0.25">
      <c r="A7415" t="s">
        <v>16</v>
      </c>
      <c r="B7415" t="s">
        <v>3221</v>
      </c>
      <c r="C7415">
        <v>14435</v>
      </c>
      <c r="D7415" t="s">
        <v>428</v>
      </c>
      <c r="E7415" t="s">
        <v>429</v>
      </c>
      <c r="F7415">
        <v>1433.89</v>
      </c>
      <c r="G7415">
        <v>231015</v>
      </c>
      <c r="H7415">
        <v>4520</v>
      </c>
      <c r="I7415" t="s">
        <v>254</v>
      </c>
      <c r="J7415">
        <v>1634.64</v>
      </c>
      <c r="K7415">
        <v>200.75</v>
      </c>
      <c r="L7415">
        <v>14432</v>
      </c>
      <c r="M7415" t="s">
        <v>862</v>
      </c>
      <c r="N7415" t="str">
        <f t="shared" si="150"/>
        <v xml:space="preserve">2360914857  </v>
      </c>
      <c r="O7415">
        <v>231030</v>
      </c>
    </row>
    <row r="7416" spans="1:15" x14ac:dyDescent="0.25">
      <c r="A7416" t="s">
        <v>16</v>
      </c>
      <c r="B7416" t="s">
        <v>3221</v>
      </c>
      <c r="C7416">
        <v>14435</v>
      </c>
      <c r="D7416" t="s">
        <v>428</v>
      </c>
      <c r="E7416" t="s">
        <v>429</v>
      </c>
      <c r="F7416">
        <v>15.04</v>
      </c>
      <c r="G7416">
        <v>231015</v>
      </c>
      <c r="H7416">
        <v>4520</v>
      </c>
      <c r="I7416" t="s">
        <v>254</v>
      </c>
      <c r="J7416">
        <v>18.649999999999999</v>
      </c>
      <c r="K7416">
        <v>3.61</v>
      </c>
      <c r="L7416">
        <v>14640</v>
      </c>
      <c r="M7416" t="s">
        <v>229</v>
      </c>
      <c r="N7416" t="str">
        <f t="shared" si="150"/>
        <v xml:space="preserve">2360914857  </v>
      </c>
      <c r="O7416">
        <v>231030</v>
      </c>
    </row>
    <row r="7417" spans="1:15" x14ac:dyDescent="0.25">
      <c r="A7417" t="s">
        <v>16</v>
      </c>
      <c r="B7417" t="s">
        <v>3221</v>
      </c>
      <c r="C7417">
        <v>14435</v>
      </c>
      <c r="D7417" t="s">
        <v>428</v>
      </c>
      <c r="E7417" t="s">
        <v>429</v>
      </c>
      <c r="F7417">
        <v>84.34</v>
      </c>
      <c r="G7417">
        <v>231015</v>
      </c>
      <c r="H7417">
        <v>4520</v>
      </c>
      <c r="I7417" t="s">
        <v>254</v>
      </c>
      <c r="J7417">
        <v>96.15</v>
      </c>
      <c r="K7417">
        <v>11.81</v>
      </c>
      <c r="L7417">
        <v>14640</v>
      </c>
      <c r="M7417" t="s">
        <v>229</v>
      </c>
      <c r="N7417" t="str">
        <f t="shared" si="150"/>
        <v xml:space="preserve">2360914857  </v>
      </c>
      <c r="O7417">
        <v>231030</v>
      </c>
    </row>
    <row r="7418" spans="1:15" x14ac:dyDescent="0.25">
      <c r="A7418" t="s">
        <v>16</v>
      </c>
      <c r="B7418" t="s">
        <v>3221</v>
      </c>
      <c r="C7418">
        <v>14435</v>
      </c>
      <c r="D7418" t="s">
        <v>428</v>
      </c>
      <c r="E7418" t="s">
        <v>429</v>
      </c>
      <c r="F7418">
        <v>60.19</v>
      </c>
      <c r="G7418">
        <v>231015</v>
      </c>
      <c r="H7418">
        <v>4520</v>
      </c>
      <c r="I7418" t="s">
        <v>254</v>
      </c>
      <c r="J7418">
        <v>74.63</v>
      </c>
      <c r="K7418">
        <v>14.44</v>
      </c>
      <c r="L7418">
        <v>14642</v>
      </c>
      <c r="M7418" t="s">
        <v>863</v>
      </c>
      <c r="N7418" t="str">
        <f t="shared" si="150"/>
        <v xml:space="preserve">2360914857  </v>
      </c>
      <c r="O7418">
        <v>231030</v>
      </c>
    </row>
    <row r="7419" spans="1:15" x14ac:dyDescent="0.25">
      <c r="A7419" t="s">
        <v>16</v>
      </c>
      <c r="B7419" t="s">
        <v>3221</v>
      </c>
      <c r="C7419">
        <v>14435</v>
      </c>
      <c r="D7419" t="s">
        <v>428</v>
      </c>
      <c r="E7419" t="s">
        <v>429</v>
      </c>
      <c r="F7419">
        <v>337.39</v>
      </c>
      <c r="G7419">
        <v>231015</v>
      </c>
      <c r="H7419">
        <v>4520</v>
      </c>
      <c r="I7419" t="s">
        <v>254</v>
      </c>
      <c r="J7419">
        <v>384.62</v>
      </c>
      <c r="K7419">
        <v>47.23</v>
      </c>
      <c r="L7419">
        <v>14642</v>
      </c>
      <c r="M7419" t="s">
        <v>863</v>
      </c>
      <c r="N7419" t="str">
        <f t="shared" si="150"/>
        <v xml:space="preserve">2360914857  </v>
      </c>
      <c r="O7419">
        <v>231030</v>
      </c>
    </row>
    <row r="7420" spans="1:15" x14ac:dyDescent="0.25">
      <c r="A7420" t="s">
        <v>16</v>
      </c>
      <c r="B7420" t="s">
        <v>3221</v>
      </c>
      <c r="C7420">
        <v>14435</v>
      </c>
      <c r="D7420" t="s">
        <v>428</v>
      </c>
      <c r="E7420" t="s">
        <v>429</v>
      </c>
      <c r="F7420">
        <v>1098.32</v>
      </c>
      <c r="G7420">
        <v>231015</v>
      </c>
      <c r="H7420">
        <v>4520</v>
      </c>
      <c r="I7420" t="s">
        <v>254</v>
      </c>
      <c r="J7420">
        <v>1361.92</v>
      </c>
      <c r="K7420">
        <v>263.60000000000002</v>
      </c>
      <c r="L7420">
        <v>14912</v>
      </c>
      <c r="M7420" t="s">
        <v>230</v>
      </c>
      <c r="N7420" t="str">
        <f t="shared" si="150"/>
        <v xml:space="preserve">2360914857  </v>
      </c>
      <c r="O7420">
        <v>231030</v>
      </c>
    </row>
    <row r="7421" spans="1:15" x14ac:dyDescent="0.25">
      <c r="A7421" t="s">
        <v>16</v>
      </c>
      <c r="B7421" t="s">
        <v>3221</v>
      </c>
      <c r="C7421">
        <v>14435</v>
      </c>
      <c r="D7421" t="s">
        <v>428</v>
      </c>
      <c r="E7421" t="s">
        <v>429</v>
      </c>
      <c r="F7421">
        <v>6157.3</v>
      </c>
      <c r="G7421">
        <v>231015</v>
      </c>
      <c r="H7421">
        <v>4520</v>
      </c>
      <c r="I7421" t="s">
        <v>254</v>
      </c>
      <c r="J7421">
        <v>7019.32</v>
      </c>
      <c r="K7421">
        <v>862.02</v>
      </c>
      <c r="L7421">
        <v>14912</v>
      </c>
      <c r="M7421" t="s">
        <v>230</v>
      </c>
      <c r="N7421" t="str">
        <f t="shared" si="150"/>
        <v xml:space="preserve">2360914857  </v>
      </c>
      <c r="O7421">
        <v>231030</v>
      </c>
    </row>
    <row r="7422" spans="1:15" x14ac:dyDescent="0.25">
      <c r="A7422" t="s">
        <v>16</v>
      </c>
      <c r="B7422" t="s">
        <v>3221</v>
      </c>
      <c r="C7422">
        <v>14437</v>
      </c>
      <c r="D7422" t="s">
        <v>428</v>
      </c>
      <c r="E7422" t="s">
        <v>429</v>
      </c>
      <c r="F7422">
        <v>264.22000000000003</v>
      </c>
      <c r="G7422">
        <v>231015</v>
      </c>
      <c r="H7422">
        <v>4520</v>
      </c>
      <c r="I7422" t="s">
        <v>254</v>
      </c>
      <c r="J7422">
        <v>301.20999999999998</v>
      </c>
      <c r="K7422">
        <v>36.99</v>
      </c>
      <c r="L7422">
        <v>44222</v>
      </c>
      <c r="M7422" t="s">
        <v>232</v>
      </c>
      <c r="N7422" t="str">
        <f>"2360914858  "</f>
        <v xml:space="preserve">2360914858  </v>
      </c>
      <c r="O7422">
        <v>231030</v>
      </c>
    </row>
    <row r="7423" spans="1:15" x14ac:dyDescent="0.25">
      <c r="A7423" t="s">
        <v>16</v>
      </c>
      <c r="B7423" t="s">
        <v>3221</v>
      </c>
      <c r="C7423">
        <v>14437</v>
      </c>
      <c r="D7423" t="s">
        <v>428</v>
      </c>
      <c r="E7423" t="s">
        <v>429</v>
      </c>
      <c r="F7423">
        <v>534.65</v>
      </c>
      <c r="G7423">
        <v>231015</v>
      </c>
      <c r="H7423">
        <v>4520</v>
      </c>
      <c r="I7423" t="s">
        <v>254</v>
      </c>
      <c r="J7423">
        <v>609.5</v>
      </c>
      <c r="K7423">
        <v>74.849999999999994</v>
      </c>
      <c r="L7423">
        <v>44253</v>
      </c>
      <c r="M7423" t="s">
        <v>1058</v>
      </c>
      <c r="N7423" t="str">
        <f>"2360914858  "</f>
        <v xml:space="preserve">2360914858  </v>
      </c>
      <c r="O7423">
        <v>231030</v>
      </c>
    </row>
    <row r="7424" spans="1:15" x14ac:dyDescent="0.25">
      <c r="A7424" t="s">
        <v>16</v>
      </c>
      <c r="B7424" t="s">
        <v>3221</v>
      </c>
      <c r="C7424">
        <v>14439</v>
      </c>
      <c r="D7424" t="s">
        <v>428</v>
      </c>
      <c r="E7424" t="s">
        <v>429</v>
      </c>
      <c r="F7424">
        <v>185.78</v>
      </c>
      <c r="G7424">
        <v>231015</v>
      </c>
      <c r="H7424">
        <v>4520</v>
      </c>
      <c r="I7424" t="s">
        <v>254</v>
      </c>
      <c r="J7424">
        <v>211.79</v>
      </c>
      <c r="K7424">
        <v>26.01</v>
      </c>
      <c r="L7424">
        <v>16442</v>
      </c>
      <c r="M7424" t="s">
        <v>430</v>
      </c>
      <c r="N7424" t="str">
        <f>"2360914856  "</f>
        <v xml:space="preserve">2360914856  </v>
      </c>
      <c r="O7424">
        <v>231030</v>
      </c>
    </row>
    <row r="7425" spans="1:15" x14ac:dyDescent="0.25">
      <c r="A7425" t="s">
        <v>16</v>
      </c>
      <c r="B7425" t="s">
        <v>3221</v>
      </c>
      <c r="C7425">
        <v>14439</v>
      </c>
      <c r="D7425" t="s">
        <v>428</v>
      </c>
      <c r="E7425" t="s">
        <v>429</v>
      </c>
      <c r="F7425">
        <v>2593.67</v>
      </c>
      <c r="G7425">
        <v>231015</v>
      </c>
      <c r="H7425">
        <v>4520</v>
      </c>
      <c r="I7425" t="s">
        <v>254</v>
      </c>
      <c r="J7425">
        <v>2956.78</v>
      </c>
      <c r="K7425">
        <v>363.11</v>
      </c>
      <c r="L7425">
        <v>17913</v>
      </c>
      <c r="M7425" t="s">
        <v>431</v>
      </c>
      <c r="N7425" t="str">
        <f>"2360914856  "</f>
        <v xml:space="preserve">2360914856  </v>
      </c>
      <c r="O7425">
        <v>231030</v>
      </c>
    </row>
    <row r="7426" spans="1:15" x14ac:dyDescent="0.25">
      <c r="A7426" t="s">
        <v>16</v>
      </c>
      <c r="B7426" t="s">
        <v>3221</v>
      </c>
      <c r="C7426">
        <v>14811</v>
      </c>
      <c r="D7426" t="s">
        <v>428</v>
      </c>
      <c r="E7426" t="s">
        <v>429</v>
      </c>
      <c r="F7426">
        <v>1197.79</v>
      </c>
      <c r="G7426">
        <v>231015</v>
      </c>
      <c r="H7426">
        <v>4520</v>
      </c>
      <c r="I7426" t="s">
        <v>254</v>
      </c>
      <c r="J7426">
        <v>1365.48</v>
      </c>
      <c r="K7426">
        <v>167.69</v>
      </c>
      <c r="L7426">
        <v>44251</v>
      </c>
      <c r="M7426" t="s">
        <v>156</v>
      </c>
      <c r="N7426" t="str">
        <f>"2360914855  "</f>
        <v xml:space="preserve">2360914855  </v>
      </c>
      <c r="O7426">
        <v>231106</v>
      </c>
    </row>
    <row r="7427" spans="1:15" x14ac:dyDescent="0.25">
      <c r="A7427" t="s">
        <v>16</v>
      </c>
      <c r="B7427" t="s">
        <v>3221</v>
      </c>
      <c r="C7427">
        <v>14811</v>
      </c>
      <c r="D7427" t="s">
        <v>428</v>
      </c>
      <c r="E7427" t="s">
        <v>429</v>
      </c>
      <c r="F7427">
        <v>806.78</v>
      </c>
      <c r="G7427">
        <v>231015</v>
      </c>
      <c r="H7427">
        <v>4520</v>
      </c>
      <c r="I7427" t="s">
        <v>254</v>
      </c>
      <c r="J7427">
        <v>919.73</v>
      </c>
      <c r="K7427">
        <v>112.95</v>
      </c>
      <c r="L7427">
        <v>44252</v>
      </c>
      <c r="M7427" t="s">
        <v>157</v>
      </c>
      <c r="N7427" t="str">
        <f>"2360914855  "</f>
        <v xml:space="preserve">2360914855  </v>
      </c>
      <c r="O7427">
        <v>231106</v>
      </c>
    </row>
    <row r="7428" spans="1:15" x14ac:dyDescent="0.25">
      <c r="A7428" t="s">
        <v>16</v>
      </c>
      <c r="B7428" t="s">
        <v>3221</v>
      </c>
      <c r="C7428">
        <v>14812</v>
      </c>
      <c r="D7428" t="s">
        <v>428</v>
      </c>
      <c r="E7428" t="s">
        <v>429</v>
      </c>
      <c r="F7428">
        <v>2798.27</v>
      </c>
      <c r="G7428">
        <v>231015</v>
      </c>
      <c r="H7428">
        <v>4520</v>
      </c>
      <c r="I7428" t="s">
        <v>254</v>
      </c>
      <c r="J7428">
        <v>3190.03</v>
      </c>
      <c r="K7428">
        <v>391.76</v>
      </c>
      <c r="L7428">
        <v>49112</v>
      </c>
      <c r="M7428" t="s">
        <v>233</v>
      </c>
      <c r="N7428" t="str">
        <f>"2360914853  "</f>
        <v xml:space="preserve">2360914853  </v>
      </c>
      <c r="O7428">
        <v>231106</v>
      </c>
    </row>
    <row r="7429" spans="1:15" x14ac:dyDescent="0.25">
      <c r="A7429" t="s">
        <v>16</v>
      </c>
      <c r="B7429" t="s">
        <v>3221</v>
      </c>
      <c r="C7429">
        <v>15106</v>
      </c>
      <c r="D7429" t="s">
        <v>428</v>
      </c>
      <c r="E7429" t="s">
        <v>429</v>
      </c>
      <c r="F7429">
        <v>405.52</v>
      </c>
      <c r="G7429">
        <v>231031</v>
      </c>
      <c r="H7429">
        <v>4520</v>
      </c>
      <c r="I7429" t="s">
        <v>254</v>
      </c>
      <c r="J7429">
        <v>462.29</v>
      </c>
      <c r="K7429">
        <v>56.77</v>
      </c>
      <c r="L7429">
        <v>44222</v>
      </c>
      <c r="M7429" t="s">
        <v>232</v>
      </c>
      <c r="N7429" t="str">
        <f>"2360950364  "</f>
        <v xml:space="preserve">2360950364  </v>
      </c>
      <c r="O7429">
        <v>231108</v>
      </c>
    </row>
    <row r="7430" spans="1:15" x14ac:dyDescent="0.25">
      <c r="A7430" t="s">
        <v>16</v>
      </c>
      <c r="B7430" t="s">
        <v>3221</v>
      </c>
      <c r="C7430">
        <v>15106</v>
      </c>
      <c r="D7430" t="s">
        <v>428</v>
      </c>
      <c r="E7430" t="s">
        <v>429</v>
      </c>
      <c r="F7430">
        <v>588.6</v>
      </c>
      <c r="G7430">
        <v>231031</v>
      </c>
      <c r="H7430">
        <v>4520</v>
      </c>
      <c r="I7430" t="s">
        <v>254</v>
      </c>
      <c r="J7430">
        <v>671</v>
      </c>
      <c r="K7430">
        <v>82.4</v>
      </c>
      <c r="L7430">
        <v>44253</v>
      </c>
      <c r="M7430" t="s">
        <v>1058</v>
      </c>
      <c r="N7430" t="str">
        <f>"2360950364  "</f>
        <v xml:space="preserve">2360950364  </v>
      </c>
      <c r="O7430">
        <v>231108</v>
      </c>
    </row>
    <row r="7431" spans="1:15" x14ac:dyDescent="0.25">
      <c r="A7431" t="s">
        <v>16</v>
      </c>
      <c r="B7431" t="s">
        <v>3221</v>
      </c>
      <c r="C7431">
        <v>15143</v>
      </c>
      <c r="D7431" t="s">
        <v>428</v>
      </c>
      <c r="E7431" t="s">
        <v>429</v>
      </c>
      <c r="F7431">
        <v>429.21</v>
      </c>
      <c r="G7431">
        <v>231031</v>
      </c>
      <c r="H7431">
        <v>4520</v>
      </c>
      <c r="I7431" t="s">
        <v>254</v>
      </c>
      <c r="J7431">
        <v>489.3</v>
      </c>
      <c r="K7431">
        <v>60.09</v>
      </c>
      <c r="L7431">
        <v>66722</v>
      </c>
      <c r="M7431" t="s">
        <v>518</v>
      </c>
      <c r="N7431" t="str">
        <f>"2360950358  "</f>
        <v xml:space="preserve">2360950358  </v>
      </c>
      <c r="O7431">
        <v>231109</v>
      </c>
    </row>
    <row r="7432" spans="1:15" x14ac:dyDescent="0.25">
      <c r="A7432" t="s">
        <v>16</v>
      </c>
      <c r="B7432" t="s">
        <v>3221</v>
      </c>
      <c r="C7432">
        <v>15143</v>
      </c>
      <c r="D7432" t="s">
        <v>428</v>
      </c>
      <c r="E7432" t="s">
        <v>429</v>
      </c>
      <c r="F7432">
        <v>1663.19</v>
      </c>
      <c r="G7432">
        <v>231031</v>
      </c>
      <c r="H7432">
        <v>4520</v>
      </c>
      <c r="I7432" t="s">
        <v>254</v>
      </c>
      <c r="J7432">
        <v>1896.04</v>
      </c>
      <c r="K7432">
        <v>232.85</v>
      </c>
      <c r="L7432">
        <v>69113</v>
      </c>
      <c r="M7432" t="s">
        <v>282</v>
      </c>
      <c r="N7432" t="str">
        <f>"2360950358  "</f>
        <v xml:space="preserve">2360950358  </v>
      </c>
      <c r="O7432">
        <v>231109</v>
      </c>
    </row>
    <row r="7433" spans="1:15" x14ac:dyDescent="0.25">
      <c r="A7433" t="s">
        <v>16</v>
      </c>
      <c r="B7433" t="s">
        <v>3221</v>
      </c>
      <c r="C7433">
        <v>15143</v>
      </c>
      <c r="D7433" t="s">
        <v>428</v>
      </c>
      <c r="E7433" t="s">
        <v>429</v>
      </c>
      <c r="F7433">
        <v>195.67</v>
      </c>
      <c r="G7433">
        <v>231031</v>
      </c>
      <c r="H7433">
        <v>4520</v>
      </c>
      <c r="I7433" t="s">
        <v>254</v>
      </c>
      <c r="J7433">
        <v>223.06</v>
      </c>
      <c r="K7433">
        <v>27.39</v>
      </c>
      <c r="L7433">
        <v>69802</v>
      </c>
      <c r="M7433" t="s">
        <v>283</v>
      </c>
      <c r="N7433" t="str">
        <f>"2360950358  "</f>
        <v xml:space="preserve">2360950358  </v>
      </c>
      <c r="O7433">
        <v>231109</v>
      </c>
    </row>
    <row r="7434" spans="1:15" x14ac:dyDescent="0.25">
      <c r="A7434" t="s">
        <v>16</v>
      </c>
      <c r="B7434" t="s">
        <v>3221</v>
      </c>
      <c r="C7434">
        <v>15143</v>
      </c>
      <c r="D7434" t="s">
        <v>428</v>
      </c>
      <c r="E7434" t="s">
        <v>429</v>
      </c>
      <c r="F7434">
        <v>97.84</v>
      </c>
      <c r="G7434">
        <v>231031</v>
      </c>
      <c r="H7434">
        <v>4520</v>
      </c>
      <c r="I7434" t="s">
        <v>254</v>
      </c>
      <c r="J7434">
        <v>111.54</v>
      </c>
      <c r="K7434">
        <v>13.7</v>
      </c>
      <c r="L7434">
        <v>69804</v>
      </c>
      <c r="M7434" t="s">
        <v>284</v>
      </c>
      <c r="N7434" t="str">
        <f>"2360950358  "</f>
        <v xml:space="preserve">2360950358  </v>
      </c>
      <c r="O7434">
        <v>231109</v>
      </c>
    </row>
    <row r="7435" spans="1:15" x14ac:dyDescent="0.25">
      <c r="A7435" t="s">
        <v>16</v>
      </c>
      <c r="B7435" t="s">
        <v>3221</v>
      </c>
      <c r="C7435">
        <v>15151</v>
      </c>
      <c r="D7435" t="s">
        <v>428</v>
      </c>
      <c r="E7435" t="s">
        <v>429</v>
      </c>
      <c r="F7435">
        <v>1812.58</v>
      </c>
      <c r="G7435">
        <v>231031</v>
      </c>
      <c r="H7435">
        <v>4520</v>
      </c>
      <c r="I7435" t="s">
        <v>254</v>
      </c>
      <c r="J7435">
        <v>2066.34</v>
      </c>
      <c r="K7435">
        <v>253.76</v>
      </c>
      <c r="L7435">
        <v>59114</v>
      </c>
      <c r="M7435" t="s">
        <v>556</v>
      </c>
      <c r="N7435" t="str">
        <f>"2360950355  "</f>
        <v xml:space="preserve">2360950355  </v>
      </c>
      <c r="O7435">
        <v>231109</v>
      </c>
    </row>
    <row r="7436" spans="1:15" x14ac:dyDescent="0.25">
      <c r="A7436" t="s">
        <v>16</v>
      </c>
      <c r="B7436" t="s">
        <v>3221</v>
      </c>
      <c r="C7436">
        <v>15154</v>
      </c>
      <c r="D7436" t="s">
        <v>428</v>
      </c>
      <c r="E7436" t="s">
        <v>429</v>
      </c>
      <c r="F7436">
        <v>47.76</v>
      </c>
      <c r="G7436">
        <v>231031</v>
      </c>
      <c r="H7436">
        <v>4520</v>
      </c>
      <c r="I7436" t="s">
        <v>254</v>
      </c>
      <c r="J7436">
        <v>59.22</v>
      </c>
      <c r="K7436">
        <v>11.46</v>
      </c>
      <c r="L7436">
        <v>16431</v>
      </c>
      <c r="M7436" t="s">
        <v>231</v>
      </c>
      <c r="N7436" t="str">
        <f t="shared" ref="N7436:N7441" si="151">"2360950362  "</f>
        <v xml:space="preserve">2360950362  </v>
      </c>
      <c r="O7436">
        <v>231109</v>
      </c>
    </row>
    <row r="7437" spans="1:15" x14ac:dyDescent="0.25">
      <c r="A7437" t="s">
        <v>16</v>
      </c>
      <c r="B7437" t="s">
        <v>3221</v>
      </c>
      <c r="C7437">
        <v>15154</v>
      </c>
      <c r="D7437" t="s">
        <v>428</v>
      </c>
      <c r="E7437" t="s">
        <v>429</v>
      </c>
      <c r="F7437">
        <v>261.76</v>
      </c>
      <c r="G7437">
        <v>231031</v>
      </c>
      <c r="H7437">
        <v>4520</v>
      </c>
      <c r="I7437" t="s">
        <v>254</v>
      </c>
      <c r="J7437">
        <v>298.41000000000003</v>
      </c>
      <c r="K7437">
        <v>36.65</v>
      </c>
      <c r="L7437">
        <v>16431</v>
      </c>
      <c r="M7437" t="s">
        <v>231</v>
      </c>
      <c r="N7437" t="str">
        <f t="shared" si="151"/>
        <v xml:space="preserve">2360950362  </v>
      </c>
      <c r="O7437">
        <v>231109</v>
      </c>
    </row>
    <row r="7438" spans="1:15" x14ac:dyDescent="0.25">
      <c r="A7438" t="s">
        <v>16</v>
      </c>
      <c r="B7438" t="s">
        <v>3221</v>
      </c>
      <c r="C7438">
        <v>15154</v>
      </c>
      <c r="D7438" t="s">
        <v>428</v>
      </c>
      <c r="E7438" t="s">
        <v>429</v>
      </c>
      <c r="F7438">
        <v>382.04</v>
      </c>
      <c r="G7438">
        <v>231031</v>
      </c>
      <c r="H7438">
        <v>4520</v>
      </c>
      <c r="I7438" t="s">
        <v>254</v>
      </c>
      <c r="J7438">
        <v>473.73</v>
      </c>
      <c r="K7438">
        <v>91.69</v>
      </c>
      <c r="L7438">
        <v>17913</v>
      </c>
      <c r="M7438" t="s">
        <v>431</v>
      </c>
      <c r="N7438" t="str">
        <f t="shared" si="151"/>
        <v xml:space="preserve">2360950362  </v>
      </c>
      <c r="O7438">
        <v>231109</v>
      </c>
    </row>
    <row r="7439" spans="1:15" x14ac:dyDescent="0.25">
      <c r="A7439" t="s">
        <v>16</v>
      </c>
      <c r="B7439" t="s">
        <v>3221</v>
      </c>
      <c r="C7439">
        <v>15154</v>
      </c>
      <c r="D7439" t="s">
        <v>428</v>
      </c>
      <c r="E7439" t="s">
        <v>429</v>
      </c>
      <c r="F7439">
        <v>2094.0700000000002</v>
      </c>
      <c r="G7439">
        <v>231031</v>
      </c>
      <c r="H7439">
        <v>4520</v>
      </c>
      <c r="I7439" t="s">
        <v>254</v>
      </c>
      <c r="J7439">
        <v>2387.2399999999998</v>
      </c>
      <c r="K7439">
        <v>293.17</v>
      </c>
      <c r="L7439">
        <v>17913</v>
      </c>
      <c r="M7439" t="s">
        <v>431</v>
      </c>
      <c r="N7439" t="str">
        <f t="shared" si="151"/>
        <v xml:space="preserve">2360950362  </v>
      </c>
      <c r="O7439">
        <v>231109</v>
      </c>
    </row>
    <row r="7440" spans="1:15" x14ac:dyDescent="0.25">
      <c r="A7440" t="s">
        <v>16</v>
      </c>
      <c r="B7440" t="s">
        <v>3221</v>
      </c>
      <c r="C7440">
        <v>15154</v>
      </c>
      <c r="D7440" t="s">
        <v>428</v>
      </c>
      <c r="E7440" t="s">
        <v>429</v>
      </c>
      <c r="F7440">
        <v>47.76</v>
      </c>
      <c r="G7440">
        <v>231031</v>
      </c>
      <c r="H7440">
        <v>4520</v>
      </c>
      <c r="I7440" t="s">
        <v>254</v>
      </c>
      <c r="J7440">
        <v>59.22</v>
      </c>
      <c r="K7440">
        <v>11.46</v>
      </c>
      <c r="L7440">
        <v>17982</v>
      </c>
      <c r="M7440" t="s">
        <v>432</v>
      </c>
      <c r="N7440" t="str">
        <f t="shared" si="151"/>
        <v xml:space="preserve">2360950362  </v>
      </c>
      <c r="O7440">
        <v>231109</v>
      </c>
    </row>
    <row r="7441" spans="1:15" x14ac:dyDescent="0.25">
      <c r="A7441" t="s">
        <v>16</v>
      </c>
      <c r="B7441" t="s">
        <v>3221</v>
      </c>
      <c r="C7441">
        <v>15154</v>
      </c>
      <c r="D7441" t="s">
        <v>428</v>
      </c>
      <c r="E7441" t="s">
        <v>429</v>
      </c>
      <c r="F7441">
        <v>261.76</v>
      </c>
      <c r="G7441">
        <v>231031</v>
      </c>
      <c r="H7441">
        <v>4520</v>
      </c>
      <c r="I7441" t="s">
        <v>254</v>
      </c>
      <c r="J7441">
        <v>298.41000000000003</v>
      </c>
      <c r="K7441">
        <v>36.65</v>
      </c>
      <c r="L7441">
        <v>17982</v>
      </c>
      <c r="M7441" t="s">
        <v>432</v>
      </c>
      <c r="N7441" t="str">
        <f t="shared" si="151"/>
        <v xml:space="preserve">2360950362  </v>
      </c>
      <c r="O7441">
        <v>231109</v>
      </c>
    </row>
    <row r="7442" spans="1:15" x14ac:dyDescent="0.25">
      <c r="A7442" t="s">
        <v>16</v>
      </c>
      <c r="B7442" t="s">
        <v>3221</v>
      </c>
      <c r="C7442">
        <v>15158</v>
      </c>
      <c r="D7442" t="s">
        <v>428</v>
      </c>
      <c r="E7442" t="s">
        <v>429</v>
      </c>
      <c r="F7442">
        <v>3576.69</v>
      </c>
      <c r="G7442">
        <v>231031</v>
      </c>
      <c r="H7442">
        <v>4520</v>
      </c>
      <c r="I7442" t="s">
        <v>254</v>
      </c>
      <c r="J7442">
        <v>4077.43</v>
      </c>
      <c r="K7442">
        <v>500.74</v>
      </c>
      <c r="L7442">
        <v>59113</v>
      </c>
      <c r="M7442" t="s">
        <v>235</v>
      </c>
      <c r="N7442" t="str">
        <f>"2360950357  "</f>
        <v xml:space="preserve">2360950357  </v>
      </c>
      <c r="O7442">
        <v>231109</v>
      </c>
    </row>
    <row r="7443" spans="1:15" x14ac:dyDescent="0.25">
      <c r="A7443" t="s">
        <v>16</v>
      </c>
      <c r="B7443" t="s">
        <v>3221</v>
      </c>
      <c r="C7443">
        <v>15158</v>
      </c>
      <c r="D7443" t="s">
        <v>428</v>
      </c>
      <c r="E7443" t="s">
        <v>429</v>
      </c>
      <c r="F7443">
        <v>631.17999999999995</v>
      </c>
      <c r="G7443">
        <v>231031</v>
      </c>
      <c r="H7443">
        <v>4520</v>
      </c>
      <c r="I7443" t="s">
        <v>254</v>
      </c>
      <c r="J7443">
        <v>719.55</v>
      </c>
      <c r="K7443">
        <v>88.37</v>
      </c>
      <c r="L7443">
        <v>59803</v>
      </c>
      <c r="M7443" t="s">
        <v>533</v>
      </c>
      <c r="N7443" t="str">
        <f>"2360950357  "</f>
        <v xml:space="preserve">2360950357  </v>
      </c>
      <c r="O7443">
        <v>231109</v>
      </c>
    </row>
    <row r="7444" spans="1:15" x14ac:dyDescent="0.25">
      <c r="A7444" t="s">
        <v>16</v>
      </c>
      <c r="B7444" t="s">
        <v>3221</v>
      </c>
      <c r="C7444">
        <v>15159</v>
      </c>
      <c r="D7444" t="s">
        <v>428</v>
      </c>
      <c r="E7444" t="s">
        <v>429</v>
      </c>
      <c r="F7444">
        <v>2135.38</v>
      </c>
      <c r="G7444">
        <v>231031</v>
      </c>
      <c r="H7444">
        <v>4520</v>
      </c>
      <c r="I7444" t="s">
        <v>254</v>
      </c>
      <c r="J7444">
        <v>2434.33</v>
      </c>
      <c r="K7444">
        <v>298.95</v>
      </c>
      <c r="L7444">
        <v>69112</v>
      </c>
      <c r="M7444" t="s">
        <v>313</v>
      </c>
      <c r="N7444" t="str">
        <f>"2360950365  "</f>
        <v xml:space="preserve">2360950365  </v>
      </c>
      <c r="O7444">
        <v>231109</v>
      </c>
    </row>
    <row r="7445" spans="1:15" x14ac:dyDescent="0.25">
      <c r="A7445" t="s">
        <v>16</v>
      </c>
      <c r="B7445" t="s">
        <v>3221</v>
      </c>
      <c r="C7445">
        <v>15159</v>
      </c>
      <c r="D7445" t="s">
        <v>428</v>
      </c>
      <c r="E7445" t="s">
        <v>429</v>
      </c>
      <c r="F7445">
        <v>118.63</v>
      </c>
      <c r="G7445">
        <v>231031</v>
      </c>
      <c r="H7445">
        <v>4520</v>
      </c>
      <c r="I7445" t="s">
        <v>254</v>
      </c>
      <c r="J7445">
        <v>135.24</v>
      </c>
      <c r="K7445">
        <v>16.61</v>
      </c>
      <c r="L7445">
        <v>69810</v>
      </c>
      <c r="M7445" t="s">
        <v>314</v>
      </c>
      <c r="N7445" t="str">
        <f>"2360950365  "</f>
        <v xml:space="preserve">2360950365  </v>
      </c>
      <c r="O7445">
        <v>231109</v>
      </c>
    </row>
    <row r="7446" spans="1:15" x14ac:dyDescent="0.25">
      <c r="A7446" t="s">
        <v>16</v>
      </c>
      <c r="B7446" t="s">
        <v>3221</v>
      </c>
      <c r="C7446">
        <v>15159</v>
      </c>
      <c r="D7446" t="s">
        <v>428</v>
      </c>
      <c r="E7446" t="s">
        <v>429</v>
      </c>
      <c r="F7446">
        <v>118.63</v>
      </c>
      <c r="G7446">
        <v>231031</v>
      </c>
      <c r="H7446">
        <v>4520</v>
      </c>
      <c r="I7446" t="s">
        <v>254</v>
      </c>
      <c r="J7446">
        <v>135.24</v>
      </c>
      <c r="K7446">
        <v>16.61</v>
      </c>
      <c r="L7446">
        <v>69811</v>
      </c>
      <c r="M7446" t="s">
        <v>315</v>
      </c>
      <c r="N7446" t="str">
        <f>"2360950365  "</f>
        <v xml:space="preserve">2360950365  </v>
      </c>
      <c r="O7446">
        <v>231109</v>
      </c>
    </row>
    <row r="7447" spans="1:15" x14ac:dyDescent="0.25">
      <c r="A7447" t="s">
        <v>16</v>
      </c>
      <c r="B7447" t="s">
        <v>3221</v>
      </c>
      <c r="C7447">
        <v>15163</v>
      </c>
      <c r="D7447" t="s">
        <v>428</v>
      </c>
      <c r="E7447" t="s">
        <v>429</v>
      </c>
      <c r="F7447">
        <v>1181.6500000000001</v>
      </c>
      <c r="G7447">
        <v>231031</v>
      </c>
      <c r="H7447">
        <v>4520</v>
      </c>
      <c r="I7447" t="s">
        <v>254</v>
      </c>
      <c r="J7447">
        <v>1347.08</v>
      </c>
      <c r="K7447">
        <v>165.43</v>
      </c>
      <c r="L7447">
        <v>44251</v>
      </c>
      <c r="M7447" t="s">
        <v>156</v>
      </c>
      <c r="N7447" t="str">
        <f>"2360950361  "</f>
        <v xml:space="preserve">2360950361  </v>
      </c>
      <c r="O7447">
        <v>231109</v>
      </c>
    </row>
    <row r="7448" spans="1:15" x14ac:dyDescent="0.25">
      <c r="A7448" t="s">
        <v>16</v>
      </c>
      <c r="B7448" t="s">
        <v>3221</v>
      </c>
      <c r="C7448">
        <v>15163</v>
      </c>
      <c r="D7448" t="s">
        <v>428</v>
      </c>
      <c r="E7448" t="s">
        <v>429</v>
      </c>
      <c r="F7448">
        <v>806.78</v>
      </c>
      <c r="G7448">
        <v>231031</v>
      </c>
      <c r="H7448">
        <v>4520</v>
      </c>
      <c r="I7448" t="s">
        <v>254</v>
      </c>
      <c r="J7448">
        <v>919.73</v>
      </c>
      <c r="K7448">
        <v>112.95</v>
      </c>
      <c r="L7448">
        <v>44252</v>
      </c>
      <c r="M7448" t="s">
        <v>157</v>
      </c>
      <c r="N7448" t="str">
        <f>"2360950361  "</f>
        <v xml:space="preserve">2360950361  </v>
      </c>
      <c r="O7448">
        <v>231109</v>
      </c>
    </row>
    <row r="7449" spans="1:15" x14ac:dyDescent="0.25">
      <c r="A7449" t="s">
        <v>16</v>
      </c>
      <c r="B7449" t="s">
        <v>3221</v>
      </c>
      <c r="C7449">
        <v>15164</v>
      </c>
      <c r="D7449" t="s">
        <v>428</v>
      </c>
      <c r="E7449" t="s">
        <v>429</v>
      </c>
      <c r="F7449">
        <v>2080.23</v>
      </c>
      <c r="G7449">
        <v>231031</v>
      </c>
      <c r="H7449">
        <v>4520</v>
      </c>
      <c r="I7449" t="s">
        <v>254</v>
      </c>
      <c r="J7449">
        <v>2371.46</v>
      </c>
      <c r="K7449">
        <v>291.23</v>
      </c>
      <c r="L7449">
        <v>54422</v>
      </c>
      <c r="M7449" t="s">
        <v>234</v>
      </c>
      <c r="N7449" t="str">
        <f>"2360950356  "</f>
        <v xml:space="preserve">2360950356  </v>
      </c>
      <c r="O7449">
        <v>231109</v>
      </c>
    </row>
    <row r="7450" spans="1:15" x14ac:dyDescent="0.25">
      <c r="A7450" t="s">
        <v>16</v>
      </c>
      <c r="B7450" t="s">
        <v>3221</v>
      </c>
      <c r="C7450">
        <v>15164</v>
      </c>
      <c r="D7450" t="s">
        <v>428</v>
      </c>
      <c r="E7450" t="s">
        <v>429</v>
      </c>
      <c r="F7450">
        <v>435.29</v>
      </c>
      <c r="G7450">
        <v>231031</v>
      </c>
      <c r="H7450">
        <v>4520</v>
      </c>
      <c r="I7450" t="s">
        <v>254</v>
      </c>
      <c r="J7450">
        <v>539.76</v>
      </c>
      <c r="K7450">
        <v>104.47</v>
      </c>
      <c r="L7450">
        <v>54451</v>
      </c>
      <c r="M7450" t="s">
        <v>158</v>
      </c>
      <c r="N7450" t="str">
        <f>"2360950356  "</f>
        <v xml:space="preserve">2360950356  </v>
      </c>
      <c r="O7450">
        <v>231109</v>
      </c>
    </row>
    <row r="7451" spans="1:15" x14ac:dyDescent="0.25">
      <c r="A7451" t="s">
        <v>16</v>
      </c>
      <c r="B7451" t="s">
        <v>3221</v>
      </c>
      <c r="C7451">
        <v>15164</v>
      </c>
      <c r="D7451" t="s">
        <v>428</v>
      </c>
      <c r="E7451" t="s">
        <v>429</v>
      </c>
      <c r="F7451">
        <v>2553.6999999999998</v>
      </c>
      <c r="G7451">
        <v>231031</v>
      </c>
      <c r="H7451">
        <v>4520</v>
      </c>
      <c r="I7451" t="s">
        <v>254</v>
      </c>
      <c r="J7451">
        <v>2911.22</v>
      </c>
      <c r="K7451">
        <v>357.52</v>
      </c>
      <c r="L7451">
        <v>54451</v>
      </c>
      <c r="M7451" t="s">
        <v>158</v>
      </c>
      <c r="N7451" t="str">
        <f>"2360950356  "</f>
        <v xml:space="preserve">2360950356  </v>
      </c>
      <c r="O7451">
        <v>231109</v>
      </c>
    </row>
    <row r="7452" spans="1:15" x14ac:dyDescent="0.25">
      <c r="A7452" t="s">
        <v>16</v>
      </c>
      <c r="B7452" t="s">
        <v>3221</v>
      </c>
      <c r="C7452">
        <v>15396</v>
      </c>
      <c r="D7452" t="s">
        <v>428</v>
      </c>
      <c r="E7452" t="s">
        <v>429</v>
      </c>
      <c r="F7452">
        <v>42.11</v>
      </c>
      <c r="G7452">
        <v>231031</v>
      </c>
      <c r="H7452">
        <v>4520</v>
      </c>
      <c r="I7452" t="s">
        <v>254</v>
      </c>
      <c r="J7452">
        <v>48</v>
      </c>
      <c r="K7452">
        <v>5.89</v>
      </c>
      <c r="L7452">
        <v>17131</v>
      </c>
      <c r="M7452" t="s">
        <v>64</v>
      </c>
      <c r="N7452" t="str">
        <f>"2360950360  "</f>
        <v xml:space="preserve">2360950360  </v>
      </c>
      <c r="O7452">
        <v>231113</v>
      </c>
    </row>
    <row r="7453" spans="1:15" x14ac:dyDescent="0.25">
      <c r="A7453" t="s">
        <v>16</v>
      </c>
      <c r="B7453" t="s">
        <v>3221</v>
      </c>
      <c r="C7453">
        <v>15396</v>
      </c>
      <c r="D7453" t="s">
        <v>428</v>
      </c>
      <c r="E7453" t="s">
        <v>429</v>
      </c>
      <c r="F7453">
        <v>268.42</v>
      </c>
      <c r="G7453">
        <v>231031</v>
      </c>
      <c r="H7453">
        <v>4520</v>
      </c>
      <c r="I7453" t="s">
        <v>254</v>
      </c>
      <c r="J7453">
        <v>332.84</v>
      </c>
      <c r="K7453">
        <v>64.42</v>
      </c>
      <c r="L7453">
        <v>17915</v>
      </c>
      <c r="M7453" t="s">
        <v>572</v>
      </c>
      <c r="N7453" t="str">
        <f>"2360950360  "</f>
        <v xml:space="preserve">2360950360  </v>
      </c>
      <c r="O7453">
        <v>231113</v>
      </c>
    </row>
    <row r="7454" spans="1:15" x14ac:dyDescent="0.25">
      <c r="A7454" t="s">
        <v>16</v>
      </c>
      <c r="B7454" t="s">
        <v>3221</v>
      </c>
      <c r="C7454">
        <v>15396</v>
      </c>
      <c r="D7454" t="s">
        <v>428</v>
      </c>
      <c r="E7454" t="s">
        <v>429</v>
      </c>
      <c r="F7454">
        <v>1492.51</v>
      </c>
      <c r="G7454">
        <v>231031</v>
      </c>
      <c r="H7454">
        <v>4520</v>
      </c>
      <c r="I7454" t="s">
        <v>254</v>
      </c>
      <c r="J7454">
        <v>1701.46</v>
      </c>
      <c r="K7454">
        <v>208.95</v>
      </c>
      <c r="L7454">
        <v>17915</v>
      </c>
      <c r="M7454" t="s">
        <v>572</v>
      </c>
      <c r="N7454" t="str">
        <f>"2360950360  "</f>
        <v xml:space="preserve">2360950360  </v>
      </c>
      <c r="O7454">
        <v>231113</v>
      </c>
    </row>
    <row r="7455" spans="1:15" x14ac:dyDescent="0.25">
      <c r="A7455" t="s">
        <v>16</v>
      </c>
      <c r="B7455" t="s">
        <v>3221</v>
      </c>
      <c r="C7455">
        <v>15396</v>
      </c>
      <c r="D7455" t="s">
        <v>428</v>
      </c>
      <c r="E7455" t="s">
        <v>429</v>
      </c>
      <c r="F7455">
        <v>29.82</v>
      </c>
      <c r="G7455">
        <v>231031</v>
      </c>
      <c r="H7455">
        <v>4520</v>
      </c>
      <c r="I7455" t="s">
        <v>254</v>
      </c>
      <c r="J7455">
        <v>36.979999999999997</v>
      </c>
      <c r="K7455">
        <v>7.16</v>
      </c>
      <c r="L7455">
        <v>17982</v>
      </c>
      <c r="M7455" t="s">
        <v>432</v>
      </c>
      <c r="N7455" t="str">
        <f>"2360950360  "</f>
        <v xml:space="preserve">2360950360  </v>
      </c>
      <c r="O7455">
        <v>231113</v>
      </c>
    </row>
    <row r="7456" spans="1:15" x14ac:dyDescent="0.25">
      <c r="A7456" t="s">
        <v>16</v>
      </c>
      <c r="B7456" t="s">
        <v>3221</v>
      </c>
      <c r="C7456">
        <v>15396</v>
      </c>
      <c r="D7456" t="s">
        <v>428</v>
      </c>
      <c r="E7456" t="s">
        <v>429</v>
      </c>
      <c r="F7456">
        <v>170.52</v>
      </c>
      <c r="G7456">
        <v>231031</v>
      </c>
      <c r="H7456">
        <v>4520</v>
      </c>
      <c r="I7456" t="s">
        <v>254</v>
      </c>
      <c r="J7456">
        <v>194.39</v>
      </c>
      <c r="K7456">
        <v>23.87</v>
      </c>
      <c r="L7456">
        <v>17982</v>
      </c>
      <c r="M7456" t="s">
        <v>432</v>
      </c>
      <c r="N7456" t="str">
        <f>"2360950360  "</f>
        <v xml:space="preserve">2360950360  </v>
      </c>
      <c r="O7456">
        <v>231113</v>
      </c>
    </row>
    <row r="7457" spans="1:15" x14ac:dyDescent="0.25">
      <c r="A7457" t="s">
        <v>16</v>
      </c>
      <c r="B7457" t="s">
        <v>3221</v>
      </c>
      <c r="C7457">
        <v>15704</v>
      </c>
      <c r="D7457" t="s">
        <v>428</v>
      </c>
      <c r="E7457" t="s">
        <v>429</v>
      </c>
      <c r="F7457">
        <v>3157.55</v>
      </c>
      <c r="G7457">
        <v>231031</v>
      </c>
      <c r="H7457">
        <v>4520</v>
      </c>
      <c r="I7457" t="s">
        <v>254</v>
      </c>
      <c r="J7457">
        <v>3599.61</v>
      </c>
      <c r="K7457">
        <v>442.06</v>
      </c>
      <c r="L7457">
        <v>49112</v>
      </c>
      <c r="M7457" t="s">
        <v>233</v>
      </c>
      <c r="N7457" t="str">
        <f>"2360950359  "</f>
        <v xml:space="preserve">2360950359  </v>
      </c>
      <c r="O7457">
        <v>231116</v>
      </c>
    </row>
    <row r="7458" spans="1:15" x14ac:dyDescent="0.25">
      <c r="A7458" t="s">
        <v>16</v>
      </c>
      <c r="B7458" t="s">
        <v>3221</v>
      </c>
      <c r="C7458">
        <v>15878</v>
      </c>
      <c r="D7458" t="s">
        <v>428</v>
      </c>
      <c r="E7458" t="s">
        <v>429</v>
      </c>
      <c r="F7458">
        <v>7.1</v>
      </c>
      <c r="G7458">
        <v>231031</v>
      </c>
      <c r="H7458">
        <v>4520</v>
      </c>
      <c r="I7458" t="s">
        <v>254</v>
      </c>
      <c r="J7458">
        <v>8.8000000000000007</v>
      </c>
      <c r="K7458">
        <v>1.7</v>
      </c>
      <c r="L7458">
        <v>14422</v>
      </c>
      <c r="M7458" t="s">
        <v>228</v>
      </c>
      <c r="N7458" t="str">
        <f t="shared" ref="N7458:N7469" si="152">"2360950363  "</f>
        <v xml:space="preserve">2360950363  </v>
      </c>
      <c r="O7458">
        <v>231121</v>
      </c>
    </row>
    <row r="7459" spans="1:15" x14ac:dyDescent="0.25">
      <c r="A7459" t="s">
        <v>16</v>
      </c>
      <c r="B7459" t="s">
        <v>3221</v>
      </c>
      <c r="C7459">
        <v>15878</v>
      </c>
      <c r="D7459" t="s">
        <v>428</v>
      </c>
      <c r="E7459" t="s">
        <v>429</v>
      </c>
      <c r="F7459">
        <v>100.85</v>
      </c>
      <c r="G7459">
        <v>231031</v>
      </c>
      <c r="H7459">
        <v>4520</v>
      </c>
      <c r="I7459" t="s">
        <v>254</v>
      </c>
      <c r="J7459">
        <v>114.97</v>
      </c>
      <c r="K7459">
        <v>14.12</v>
      </c>
      <c r="L7459">
        <v>14422</v>
      </c>
      <c r="M7459" t="s">
        <v>228</v>
      </c>
      <c r="N7459" t="str">
        <f t="shared" si="152"/>
        <v xml:space="preserve">2360950363  </v>
      </c>
      <c r="O7459">
        <v>231121</v>
      </c>
    </row>
    <row r="7460" spans="1:15" x14ac:dyDescent="0.25">
      <c r="A7460" t="s">
        <v>16</v>
      </c>
      <c r="B7460" t="s">
        <v>3221</v>
      </c>
      <c r="C7460">
        <v>15878</v>
      </c>
      <c r="D7460" t="s">
        <v>428</v>
      </c>
      <c r="E7460" t="s">
        <v>429</v>
      </c>
      <c r="F7460">
        <v>28.38</v>
      </c>
      <c r="G7460">
        <v>231031</v>
      </c>
      <c r="H7460">
        <v>4520</v>
      </c>
      <c r="I7460" t="s">
        <v>254</v>
      </c>
      <c r="J7460">
        <v>35.19</v>
      </c>
      <c r="K7460">
        <v>6.81</v>
      </c>
      <c r="L7460">
        <v>14431</v>
      </c>
      <c r="M7460" t="s">
        <v>861</v>
      </c>
      <c r="N7460" t="str">
        <f t="shared" si="152"/>
        <v xml:space="preserve">2360950363  </v>
      </c>
      <c r="O7460">
        <v>231121</v>
      </c>
    </row>
    <row r="7461" spans="1:15" x14ac:dyDescent="0.25">
      <c r="A7461" t="s">
        <v>16</v>
      </c>
      <c r="B7461" t="s">
        <v>3221</v>
      </c>
      <c r="C7461">
        <v>15878</v>
      </c>
      <c r="D7461" t="s">
        <v>428</v>
      </c>
      <c r="E7461" t="s">
        <v>429</v>
      </c>
      <c r="F7461">
        <v>403.42</v>
      </c>
      <c r="G7461">
        <v>231031</v>
      </c>
      <c r="H7461">
        <v>4520</v>
      </c>
      <c r="I7461" t="s">
        <v>254</v>
      </c>
      <c r="J7461">
        <v>459.9</v>
      </c>
      <c r="K7461">
        <v>56.48</v>
      </c>
      <c r="L7461">
        <v>14431</v>
      </c>
      <c r="M7461" t="s">
        <v>861</v>
      </c>
      <c r="N7461" t="str">
        <f t="shared" si="152"/>
        <v xml:space="preserve">2360950363  </v>
      </c>
      <c r="O7461">
        <v>231121</v>
      </c>
    </row>
    <row r="7462" spans="1:15" x14ac:dyDescent="0.25">
      <c r="A7462" t="s">
        <v>16</v>
      </c>
      <c r="B7462" t="s">
        <v>3221</v>
      </c>
      <c r="C7462">
        <v>15878</v>
      </c>
      <c r="D7462" t="s">
        <v>428</v>
      </c>
      <c r="E7462" t="s">
        <v>429</v>
      </c>
      <c r="F7462">
        <v>120.6</v>
      </c>
      <c r="G7462">
        <v>231031</v>
      </c>
      <c r="H7462">
        <v>4520</v>
      </c>
      <c r="I7462" t="s">
        <v>254</v>
      </c>
      <c r="J7462">
        <v>149.55000000000001</v>
      </c>
      <c r="K7462">
        <v>28.95</v>
      </c>
      <c r="L7462">
        <v>14432</v>
      </c>
      <c r="M7462" t="s">
        <v>862</v>
      </c>
      <c r="N7462" t="str">
        <f t="shared" si="152"/>
        <v xml:space="preserve">2360950363  </v>
      </c>
      <c r="O7462">
        <v>231121</v>
      </c>
    </row>
    <row r="7463" spans="1:15" x14ac:dyDescent="0.25">
      <c r="A7463" t="s">
        <v>16</v>
      </c>
      <c r="B7463" t="s">
        <v>3221</v>
      </c>
      <c r="C7463">
        <v>15878</v>
      </c>
      <c r="D7463" t="s">
        <v>428</v>
      </c>
      <c r="E7463" t="s">
        <v>429</v>
      </c>
      <c r="F7463">
        <v>1714.53</v>
      </c>
      <c r="G7463">
        <v>231031</v>
      </c>
      <c r="H7463">
        <v>4520</v>
      </c>
      <c r="I7463" t="s">
        <v>254</v>
      </c>
      <c r="J7463">
        <v>1954.56</v>
      </c>
      <c r="K7463">
        <v>240.03</v>
      </c>
      <c r="L7463">
        <v>14432</v>
      </c>
      <c r="M7463" t="s">
        <v>862</v>
      </c>
      <c r="N7463" t="str">
        <f t="shared" si="152"/>
        <v xml:space="preserve">2360950363  </v>
      </c>
      <c r="O7463">
        <v>231121</v>
      </c>
    </row>
    <row r="7464" spans="1:15" x14ac:dyDescent="0.25">
      <c r="A7464" t="s">
        <v>16</v>
      </c>
      <c r="B7464" t="s">
        <v>3221</v>
      </c>
      <c r="C7464">
        <v>15878</v>
      </c>
      <c r="D7464" t="s">
        <v>428</v>
      </c>
      <c r="E7464" t="s">
        <v>429</v>
      </c>
      <c r="F7464">
        <v>7.1</v>
      </c>
      <c r="G7464">
        <v>231031</v>
      </c>
      <c r="H7464">
        <v>4520</v>
      </c>
      <c r="I7464" t="s">
        <v>254</v>
      </c>
      <c r="J7464">
        <v>8.8000000000000007</v>
      </c>
      <c r="K7464">
        <v>1.7</v>
      </c>
      <c r="L7464">
        <v>14640</v>
      </c>
      <c r="M7464" t="s">
        <v>229</v>
      </c>
      <c r="N7464" t="str">
        <f t="shared" si="152"/>
        <v xml:space="preserve">2360950363  </v>
      </c>
      <c r="O7464">
        <v>231121</v>
      </c>
    </row>
    <row r="7465" spans="1:15" x14ac:dyDescent="0.25">
      <c r="A7465" t="s">
        <v>16</v>
      </c>
      <c r="B7465" t="s">
        <v>3221</v>
      </c>
      <c r="C7465">
        <v>15878</v>
      </c>
      <c r="D7465" t="s">
        <v>428</v>
      </c>
      <c r="E7465" t="s">
        <v>429</v>
      </c>
      <c r="F7465">
        <v>100.85</v>
      </c>
      <c r="G7465">
        <v>231031</v>
      </c>
      <c r="H7465">
        <v>4520</v>
      </c>
      <c r="I7465" t="s">
        <v>254</v>
      </c>
      <c r="J7465">
        <v>114.97</v>
      </c>
      <c r="K7465">
        <v>14.12</v>
      </c>
      <c r="L7465">
        <v>14640</v>
      </c>
      <c r="M7465" t="s">
        <v>229</v>
      </c>
      <c r="N7465" t="str">
        <f t="shared" si="152"/>
        <v xml:space="preserve">2360950363  </v>
      </c>
      <c r="O7465">
        <v>231121</v>
      </c>
    </row>
    <row r="7466" spans="1:15" x14ac:dyDescent="0.25">
      <c r="A7466" t="s">
        <v>16</v>
      </c>
      <c r="B7466" t="s">
        <v>3221</v>
      </c>
      <c r="C7466">
        <v>15878</v>
      </c>
      <c r="D7466" t="s">
        <v>428</v>
      </c>
      <c r="E7466" t="s">
        <v>429</v>
      </c>
      <c r="F7466">
        <v>28.38</v>
      </c>
      <c r="G7466">
        <v>231031</v>
      </c>
      <c r="H7466">
        <v>4520</v>
      </c>
      <c r="I7466" t="s">
        <v>254</v>
      </c>
      <c r="J7466">
        <v>35.19</v>
      </c>
      <c r="K7466">
        <v>6.81</v>
      </c>
      <c r="L7466">
        <v>14642</v>
      </c>
      <c r="M7466" t="s">
        <v>863</v>
      </c>
      <c r="N7466" t="str">
        <f t="shared" si="152"/>
        <v xml:space="preserve">2360950363  </v>
      </c>
      <c r="O7466">
        <v>231121</v>
      </c>
    </row>
    <row r="7467" spans="1:15" x14ac:dyDescent="0.25">
      <c r="A7467" t="s">
        <v>16</v>
      </c>
      <c r="B7467" t="s">
        <v>3221</v>
      </c>
      <c r="C7467">
        <v>15878</v>
      </c>
      <c r="D7467" t="s">
        <v>428</v>
      </c>
      <c r="E7467" t="s">
        <v>429</v>
      </c>
      <c r="F7467">
        <v>403.42</v>
      </c>
      <c r="G7467">
        <v>231031</v>
      </c>
      <c r="H7467">
        <v>4520</v>
      </c>
      <c r="I7467" t="s">
        <v>254</v>
      </c>
      <c r="J7467">
        <v>459.9</v>
      </c>
      <c r="K7467">
        <v>56.48</v>
      </c>
      <c r="L7467">
        <v>14642</v>
      </c>
      <c r="M7467" t="s">
        <v>863</v>
      </c>
      <c r="N7467" t="str">
        <f t="shared" si="152"/>
        <v xml:space="preserve">2360950363  </v>
      </c>
      <c r="O7467">
        <v>231121</v>
      </c>
    </row>
    <row r="7468" spans="1:15" x14ac:dyDescent="0.25">
      <c r="A7468" t="s">
        <v>16</v>
      </c>
      <c r="B7468" t="s">
        <v>3221</v>
      </c>
      <c r="C7468">
        <v>15878</v>
      </c>
      <c r="D7468" t="s">
        <v>428</v>
      </c>
      <c r="E7468" t="s">
        <v>429</v>
      </c>
      <c r="F7468">
        <v>517.9</v>
      </c>
      <c r="G7468">
        <v>231031</v>
      </c>
      <c r="H7468">
        <v>4520</v>
      </c>
      <c r="I7468" t="s">
        <v>254</v>
      </c>
      <c r="J7468">
        <v>642.20000000000005</v>
      </c>
      <c r="K7468">
        <v>124.3</v>
      </c>
      <c r="L7468">
        <v>14912</v>
      </c>
      <c r="M7468" t="s">
        <v>230</v>
      </c>
      <c r="N7468" t="str">
        <f t="shared" si="152"/>
        <v xml:space="preserve">2360950363  </v>
      </c>
      <c r="O7468">
        <v>231121</v>
      </c>
    </row>
    <row r="7469" spans="1:15" x14ac:dyDescent="0.25">
      <c r="A7469" t="s">
        <v>16</v>
      </c>
      <c r="B7469" t="s">
        <v>3221</v>
      </c>
      <c r="C7469">
        <v>15878</v>
      </c>
      <c r="D7469" t="s">
        <v>428</v>
      </c>
      <c r="E7469" t="s">
        <v>429</v>
      </c>
      <c r="F7469">
        <v>7362.38</v>
      </c>
      <c r="G7469">
        <v>231031</v>
      </c>
      <c r="H7469">
        <v>4520</v>
      </c>
      <c r="I7469" t="s">
        <v>254</v>
      </c>
      <c r="J7469">
        <v>8393.11</v>
      </c>
      <c r="K7469">
        <v>1030.73</v>
      </c>
      <c r="L7469">
        <v>14912</v>
      </c>
      <c r="M7469" t="s">
        <v>230</v>
      </c>
      <c r="N7469" t="str">
        <f t="shared" si="152"/>
        <v xml:space="preserve">2360950363  </v>
      </c>
      <c r="O7469">
        <v>231121</v>
      </c>
    </row>
    <row r="7470" spans="1:15" x14ac:dyDescent="0.25">
      <c r="A7470" t="s">
        <v>16</v>
      </c>
      <c r="B7470" t="s">
        <v>3221</v>
      </c>
      <c r="C7470">
        <v>16018</v>
      </c>
      <c r="D7470" t="s">
        <v>428</v>
      </c>
      <c r="E7470" t="s">
        <v>429</v>
      </c>
      <c r="F7470">
        <v>1483.46</v>
      </c>
      <c r="G7470">
        <v>231115</v>
      </c>
      <c r="H7470">
        <v>4520</v>
      </c>
      <c r="I7470" t="s">
        <v>254</v>
      </c>
      <c r="J7470">
        <v>1691.15</v>
      </c>
      <c r="K7470">
        <v>207.69</v>
      </c>
      <c r="L7470">
        <v>69112</v>
      </c>
      <c r="M7470" t="s">
        <v>313</v>
      </c>
      <c r="N7470" t="str">
        <f>"2361016588  "</f>
        <v xml:space="preserve">2361016588  </v>
      </c>
      <c r="O7470">
        <v>231122</v>
      </c>
    </row>
    <row r="7471" spans="1:15" x14ac:dyDescent="0.25">
      <c r="A7471" t="s">
        <v>16</v>
      </c>
      <c r="B7471" t="s">
        <v>3221</v>
      </c>
      <c r="C7471">
        <v>16018</v>
      </c>
      <c r="D7471" t="s">
        <v>428</v>
      </c>
      <c r="E7471" t="s">
        <v>429</v>
      </c>
      <c r="F7471">
        <v>82.41</v>
      </c>
      <c r="G7471">
        <v>231115</v>
      </c>
      <c r="H7471">
        <v>4520</v>
      </c>
      <c r="I7471" t="s">
        <v>254</v>
      </c>
      <c r="J7471">
        <v>93.95</v>
      </c>
      <c r="K7471">
        <v>11.54</v>
      </c>
      <c r="L7471">
        <v>69810</v>
      </c>
      <c r="M7471" t="s">
        <v>314</v>
      </c>
      <c r="N7471" t="str">
        <f>"2361016588  "</f>
        <v xml:space="preserve">2361016588  </v>
      </c>
      <c r="O7471">
        <v>231122</v>
      </c>
    </row>
    <row r="7472" spans="1:15" x14ac:dyDescent="0.25">
      <c r="A7472" t="s">
        <v>16</v>
      </c>
      <c r="B7472" t="s">
        <v>3221</v>
      </c>
      <c r="C7472">
        <v>16018</v>
      </c>
      <c r="D7472" t="s">
        <v>428</v>
      </c>
      <c r="E7472" t="s">
        <v>429</v>
      </c>
      <c r="F7472">
        <v>82.41</v>
      </c>
      <c r="G7472">
        <v>231115</v>
      </c>
      <c r="H7472">
        <v>4520</v>
      </c>
      <c r="I7472" t="s">
        <v>254</v>
      </c>
      <c r="J7472">
        <v>93.95</v>
      </c>
      <c r="K7472">
        <v>11.54</v>
      </c>
      <c r="L7472">
        <v>69810</v>
      </c>
      <c r="M7472" t="s">
        <v>314</v>
      </c>
      <c r="N7472" t="str">
        <f>"2361016588  "</f>
        <v xml:space="preserve">2361016588  </v>
      </c>
      <c r="O7472">
        <v>231122</v>
      </c>
    </row>
    <row r="7473" spans="1:15" x14ac:dyDescent="0.25">
      <c r="A7473" t="s">
        <v>16</v>
      </c>
      <c r="B7473" t="s">
        <v>3221</v>
      </c>
      <c r="C7473">
        <v>16024</v>
      </c>
      <c r="D7473" t="s">
        <v>428</v>
      </c>
      <c r="E7473" t="s">
        <v>429</v>
      </c>
      <c r="F7473">
        <v>115.96</v>
      </c>
      <c r="G7473">
        <v>231115</v>
      </c>
      <c r="H7473">
        <v>4520</v>
      </c>
      <c r="I7473" t="s">
        <v>254</v>
      </c>
      <c r="J7473">
        <v>132.19999999999999</v>
      </c>
      <c r="K7473">
        <v>16.239999999999998</v>
      </c>
      <c r="L7473">
        <v>66722</v>
      </c>
      <c r="M7473" t="s">
        <v>518</v>
      </c>
      <c r="N7473" t="str">
        <f>"2361016581  "</f>
        <v xml:space="preserve">2361016581  </v>
      </c>
      <c r="O7473">
        <v>231122</v>
      </c>
    </row>
    <row r="7474" spans="1:15" x14ac:dyDescent="0.25">
      <c r="A7474" t="s">
        <v>16</v>
      </c>
      <c r="B7474" t="s">
        <v>3221</v>
      </c>
      <c r="C7474">
        <v>16024</v>
      </c>
      <c r="D7474" t="s">
        <v>428</v>
      </c>
      <c r="E7474" t="s">
        <v>429</v>
      </c>
      <c r="F7474">
        <v>4671.46</v>
      </c>
      <c r="G7474">
        <v>231115</v>
      </c>
      <c r="H7474">
        <v>4520</v>
      </c>
      <c r="I7474" t="s">
        <v>254</v>
      </c>
      <c r="J7474">
        <v>5325.47</v>
      </c>
      <c r="K7474">
        <v>654.01</v>
      </c>
      <c r="L7474">
        <v>69113</v>
      </c>
      <c r="M7474" t="s">
        <v>282</v>
      </c>
      <c r="N7474" t="str">
        <f>"2361016581  "</f>
        <v xml:space="preserve">2361016581  </v>
      </c>
      <c r="O7474">
        <v>231122</v>
      </c>
    </row>
    <row r="7475" spans="1:15" x14ac:dyDescent="0.25">
      <c r="A7475" t="s">
        <v>16</v>
      </c>
      <c r="B7475" t="s">
        <v>3221</v>
      </c>
      <c r="C7475">
        <v>16024</v>
      </c>
      <c r="D7475" t="s">
        <v>428</v>
      </c>
      <c r="E7475" t="s">
        <v>429</v>
      </c>
      <c r="F7475">
        <v>549.59</v>
      </c>
      <c r="G7475">
        <v>231115</v>
      </c>
      <c r="H7475">
        <v>4520</v>
      </c>
      <c r="I7475" t="s">
        <v>254</v>
      </c>
      <c r="J7475">
        <v>626.53</v>
      </c>
      <c r="K7475">
        <v>76.94</v>
      </c>
      <c r="L7475">
        <v>69802</v>
      </c>
      <c r="M7475" t="s">
        <v>283</v>
      </c>
      <c r="N7475" t="str">
        <f>"2361016581  "</f>
        <v xml:space="preserve">2361016581  </v>
      </c>
      <c r="O7475">
        <v>231122</v>
      </c>
    </row>
    <row r="7476" spans="1:15" x14ac:dyDescent="0.25">
      <c r="A7476" t="s">
        <v>16</v>
      </c>
      <c r="B7476" t="s">
        <v>3221</v>
      </c>
      <c r="C7476">
        <v>16024</v>
      </c>
      <c r="D7476" t="s">
        <v>428</v>
      </c>
      <c r="E7476" t="s">
        <v>429</v>
      </c>
      <c r="F7476">
        <v>274.79000000000002</v>
      </c>
      <c r="G7476">
        <v>231115</v>
      </c>
      <c r="H7476">
        <v>4520</v>
      </c>
      <c r="I7476" t="s">
        <v>254</v>
      </c>
      <c r="J7476">
        <v>313.26</v>
      </c>
      <c r="K7476">
        <v>38.47</v>
      </c>
      <c r="L7476">
        <v>69804</v>
      </c>
      <c r="M7476" t="s">
        <v>284</v>
      </c>
      <c r="N7476" t="str">
        <f>"2361016581  "</f>
        <v xml:space="preserve">2361016581  </v>
      </c>
      <c r="O7476">
        <v>231122</v>
      </c>
    </row>
    <row r="7477" spans="1:15" x14ac:dyDescent="0.25">
      <c r="A7477" t="s">
        <v>16</v>
      </c>
      <c r="B7477" t="s">
        <v>3221</v>
      </c>
      <c r="C7477">
        <v>16025</v>
      </c>
      <c r="D7477" t="s">
        <v>428</v>
      </c>
      <c r="E7477" t="s">
        <v>429</v>
      </c>
      <c r="F7477">
        <v>1045.96</v>
      </c>
      <c r="G7477">
        <v>231115</v>
      </c>
      <c r="H7477">
        <v>4520</v>
      </c>
      <c r="I7477" t="s">
        <v>254</v>
      </c>
      <c r="J7477">
        <v>1192.3900000000001</v>
      </c>
      <c r="K7477">
        <v>146.43</v>
      </c>
      <c r="L7477">
        <v>44251</v>
      </c>
      <c r="M7477" t="s">
        <v>156</v>
      </c>
      <c r="N7477" t="str">
        <f>"2361016584  "</f>
        <v xml:space="preserve">2361016584  </v>
      </c>
      <c r="O7477">
        <v>231122</v>
      </c>
    </row>
    <row r="7478" spans="1:15" x14ac:dyDescent="0.25">
      <c r="A7478" t="s">
        <v>16</v>
      </c>
      <c r="B7478" t="s">
        <v>3221</v>
      </c>
      <c r="C7478">
        <v>16025</v>
      </c>
      <c r="D7478" t="s">
        <v>428</v>
      </c>
      <c r="E7478" t="s">
        <v>429</v>
      </c>
      <c r="F7478">
        <v>1544.94</v>
      </c>
      <c r="G7478">
        <v>231115</v>
      </c>
      <c r="H7478">
        <v>4520</v>
      </c>
      <c r="I7478" t="s">
        <v>254</v>
      </c>
      <c r="J7478">
        <v>1761.23</v>
      </c>
      <c r="K7478">
        <v>216.29</v>
      </c>
      <c r="L7478">
        <v>44252</v>
      </c>
      <c r="M7478" t="s">
        <v>157</v>
      </c>
      <c r="N7478" t="str">
        <f>"2361016584  "</f>
        <v xml:space="preserve">2361016584  </v>
      </c>
      <c r="O7478">
        <v>231122</v>
      </c>
    </row>
    <row r="7479" spans="1:15" x14ac:dyDescent="0.25">
      <c r="A7479" t="s">
        <v>16</v>
      </c>
      <c r="B7479" t="s">
        <v>3221</v>
      </c>
      <c r="C7479">
        <v>16026</v>
      </c>
      <c r="D7479" t="s">
        <v>428</v>
      </c>
      <c r="E7479" t="s">
        <v>429</v>
      </c>
      <c r="F7479">
        <v>395.46</v>
      </c>
      <c r="G7479">
        <v>231115</v>
      </c>
      <c r="H7479">
        <v>4520</v>
      </c>
      <c r="I7479" t="s">
        <v>254</v>
      </c>
      <c r="J7479">
        <v>490.37</v>
      </c>
      <c r="K7479">
        <v>94.91</v>
      </c>
      <c r="L7479">
        <v>54422</v>
      </c>
      <c r="M7479" t="s">
        <v>234</v>
      </c>
      <c r="N7479" t="str">
        <f>"2361016579  "</f>
        <v xml:space="preserve">2361016579  </v>
      </c>
      <c r="O7479">
        <v>231122</v>
      </c>
    </row>
    <row r="7480" spans="1:15" x14ac:dyDescent="0.25">
      <c r="A7480" t="s">
        <v>16</v>
      </c>
      <c r="B7480" t="s">
        <v>3221</v>
      </c>
      <c r="C7480">
        <v>16026</v>
      </c>
      <c r="D7480" t="s">
        <v>428</v>
      </c>
      <c r="E7480" t="s">
        <v>429</v>
      </c>
      <c r="F7480">
        <v>3000.53</v>
      </c>
      <c r="G7480">
        <v>231115</v>
      </c>
      <c r="H7480">
        <v>4520</v>
      </c>
      <c r="I7480" t="s">
        <v>254</v>
      </c>
      <c r="J7480">
        <v>3420.6</v>
      </c>
      <c r="K7480">
        <v>420.07</v>
      </c>
      <c r="L7480">
        <v>54422</v>
      </c>
      <c r="M7480" t="s">
        <v>234</v>
      </c>
      <c r="N7480" t="str">
        <f>"2361016579  "</f>
        <v xml:space="preserve">2361016579  </v>
      </c>
      <c r="O7480">
        <v>231122</v>
      </c>
    </row>
    <row r="7481" spans="1:15" x14ac:dyDescent="0.25">
      <c r="A7481" t="s">
        <v>16</v>
      </c>
      <c r="B7481" t="s">
        <v>3221</v>
      </c>
      <c r="C7481">
        <v>16026</v>
      </c>
      <c r="D7481" t="s">
        <v>428</v>
      </c>
      <c r="E7481" t="s">
        <v>429</v>
      </c>
      <c r="F7481">
        <v>3430.68</v>
      </c>
      <c r="G7481">
        <v>231115</v>
      </c>
      <c r="H7481">
        <v>4520</v>
      </c>
      <c r="I7481" t="s">
        <v>254</v>
      </c>
      <c r="J7481">
        <v>3910.97</v>
      </c>
      <c r="K7481">
        <v>480.29</v>
      </c>
      <c r="L7481">
        <v>54451</v>
      </c>
      <c r="M7481" t="s">
        <v>158</v>
      </c>
      <c r="N7481" t="str">
        <f>"2361016579  "</f>
        <v xml:space="preserve">2361016579  </v>
      </c>
      <c r="O7481">
        <v>231122</v>
      </c>
    </row>
    <row r="7482" spans="1:15" x14ac:dyDescent="0.25">
      <c r="A7482" t="s">
        <v>16</v>
      </c>
      <c r="B7482" t="s">
        <v>3221</v>
      </c>
      <c r="C7482">
        <v>16030</v>
      </c>
      <c r="D7482" t="s">
        <v>428</v>
      </c>
      <c r="E7482" t="s">
        <v>429</v>
      </c>
      <c r="F7482">
        <v>73.099999999999994</v>
      </c>
      <c r="G7482">
        <v>231115</v>
      </c>
      <c r="H7482">
        <v>4520</v>
      </c>
      <c r="I7482" t="s">
        <v>254</v>
      </c>
      <c r="J7482">
        <v>90.64</v>
      </c>
      <c r="K7482">
        <v>17.54</v>
      </c>
      <c r="L7482">
        <v>16431</v>
      </c>
      <c r="M7482" t="s">
        <v>231</v>
      </c>
      <c r="N7482" t="str">
        <f t="shared" ref="N7482:N7489" si="153">"2361016585  "</f>
        <v xml:space="preserve">2361016585  </v>
      </c>
      <c r="O7482">
        <v>231122</v>
      </c>
    </row>
    <row r="7483" spans="1:15" x14ac:dyDescent="0.25">
      <c r="A7483" t="s">
        <v>16</v>
      </c>
      <c r="B7483" t="s">
        <v>3221</v>
      </c>
      <c r="C7483">
        <v>16030</v>
      </c>
      <c r="D7483" t="s">
        <v>428</v>
      </c>
      <c r="E7483" t="s">
        <v>429</v>
      </c>
      <c r="F7483">
        <v>471.09</v>
      </c>
      <c r="G7483">
        <v>231115</v>
      </c>
      <c r="H7483">
        <v>4520</v>
      </c>
      <c r="I7483" t="s">
        <v>254</v>
      </c>
      <c r="J7483">
        <v>537.04</v>
      </c>
      <c r="K7483">
        <v>65.95</v>
      </c>
      <c r="L7483">
        <v>16431</v>
      </c>
      <c r="M7483" t="s">
        <v>231</v>
      </c>
      <c r="N7483" t="str">
        <f t="shared" si="153"/>
        <v xml:space="preserve">2361016585  </v>
      </c>
      <c r="O7483">
        <v>231122</v>
      </c>
    </row>
    <row r="7484" spans="1:15" x14ac:dyDescent="0.25">
      <c r="A7484" t="s">
        <v>16</v>
      </c>
      <c r="B7484" t="s">
        <v>3221</v>
      </c>
      <c r="C7484">
        <v>16030</v>
      </c>
      <c r="D7484" t="s">
        <v>428</v>
      </c>
      <c r="E7484" t="s">
        <v>429</v>
      </c>
      <c r="F7484">
        <v>239.22</v>
      </c>
      <c r="G7484">
        <v>231115</v>
      </c>
      <c r="H7484">
        <v>4520</v>
      </c>
      <c r="I7484" t="s">
        <v>254</v>
      </c>
      <c r="J7484">
        <v>272.70999999999998</v>
      </c>
      <c r="K7484">
        <v>33.49</v>
      </c>
      <c r="L7484">
        <v>16442</v>
      </c>
      <c r="M7484" t="s">
        <v>430</v>
      </c>
      <c r="N7484" t="str">
        <f t="shared" si="153"/>
        <v xml:space="preserve">2361016585  </v>
      </c>
      <c r="O7484">
        <v>231122</v>
      </c>
    </row>
    <row r="7485" spans="1:15" x14ac:dyDescent="0.25">
      <c r="A7485" t="s">
        <v>16</v>
      </c>
      <c r="B7485" t="s">
        <v>3221</v>
      </c>
      <c r="C7485">
        <v>16030</v>
      </c>
      <c r="D7485" t="s">
        <v>428</v>
      </c>
      <c r="E7485" t="s">
        <v>429</v>
      </c>
      <c r="F7485">
        <v>386.19</v>
      </c>
      <c r="G7485">
        <v>231115</v>
      </c>
      <c r="H7485">
        <v>4520</v>
      </c>
      <c r="I7485" t="s">
        <v>254</v>
      </c>
      <c r="J7485">
        <v>478.88</v>
      </c>
      <c r="K7485">
        <v>92.69</v>
      </c>
      <c r="L7485">
        <v>17913</v>
      </c>
      <c r="M7485" t="s">
        <v>431</v>
      </c>
      <c r="N7485" t="str">
        <f t="shared" si="153"/>
        <v xml:space="preserve">2361016585  </v>
      </c>
      <c r="O7485">
        <v>231122</v>
      </c>
    </row>
    <row r="7486" spans="1:15" x14ac:dyDescent="0.25">
      <c r="A7486" t="s">
        <v>16</v>
      </c>
      <c r="B7486" t="s">
        <v>3221</v>
      </c>
      <c r="C7486">
        <v>16030</v>
      </c>
      <c r="D7486" t="s">
        <v>428</v>
      </c>
      <c r="E7486" t="s">
        <v>429</v>
      </c>
      <c r="F7486">
        <v>3419.88</v>
      </c>
      <c r="G7486">
        <v>231115</v>
      </c>
      <c r="H7486">
        <v>4520</v>
      </c>
      <c r="I7486" t="s">
        <v>254</v>
      </c>
      <c r="J7486">
        <v>3898.66</v>
      </c>
      <c r="K7486">
        <v>478.78</v>
      </c>
      <c r="L7486">
        <v>17913</v>
      </c>
      <c r="M7486" t="s">
        <v>431</v>
      </c>
      <c r="N7486" t="str">
        <f t="shared" si="153"/>
        <v xml:space="preserve">2361016585  </v>
      </c>
      <c r="O7486">
        <v>231122</v>
      </c>
    </row>
    <row r="7487" spans="1:15" x14ac:dyDescent="0.25">
      <c r="A7487" t="s">
        <v>16</v>
      </c>
      <c r="B7487" t="s">
        <v>3221</v>
      </c>
      <c r="C7487">
        <v>16030</v>
      </c>
      <c r="D7487" t="s">
        <v>428</v>
      </c>
      <c r="E7487" t="s">
        <v>429</v>
      </c>
      <c r="F7487">
        <v>50.99</v>
      </c>
      <c r="G7487">
        <v>231115</v>
      </c>
      <c r="H7487">
        <v>4520</v>
      </c>
      <c r="I7487" t="s">
        <v>254</v>
      </c>
      <c r="J7487">
        <v>63.23</v>
      </c>
      <c r="K7487">
        <v>12.24</v>
      </c>
      <c r="L7487">
        <v>17982</v>
      </c>
      <c r="M7487" t="s">
        <v>432</v>
      </c>
      <c r="N7487" t="str">
        <f t="shared" si="153"/>
        <v xml:space="preserve">2361016585  </v>
      </c>
      <c r="O7487">
        <v>231122</v>
      </c>
    </row>
    <row r="7488" spans="1:15" x14ac:dyDescent="0.25">
      <c r="A7488" t="s">
        <v>16</v>
      </c>
      <c r="B7488" t="s">
        <v>3221</v>
      </c>
      <c r="C7488">
        <v>16030</v>
      </c>
      <c r="D7488" t="s">
        <v>428</v>
      </c>
      <c r="E7488" t="s">
        <v>429</v>
      </c>
      <c r="F7488">
        <v>471.09</v>
      </c>
      <c r="G7488">
        <v>231115</v>
      </c>
      <c r="H7488">
        <v>4520</v>
      </c>
      <c r="I7488" t="s">
        <v>254</v>
      </c>
      <c r="J7488">
        <v>537.04</v>
      </c>
      <c r="K7488">
        <v>65.95</v>
      </c>
      <c r="L7488">
        <v>17982</v>
      </c>
      <c r="M7488" t="s">
        <v>432</v>
      </c>
      <c r="N7488" t="str">
        <f t="shared" si="153"/>
        <v xml:space="preserve">2361016585  </v>
      </c>
      <c r="O7488">
        <v>231122</v>
      </c>
    </row>
    <row r="7489" spans="1:15" x14ac:dyDescent="0.25">
      <c r="A7489" t="s">
        <v>16</v>
      </c>
      <c r="B7489" t="s">
        <v>3221</v>
      </c>
      <c r="C7489">
        <v>16030</v>
      </c>
      <c r="D7489" t="s">
        <v>428</v>
      </c>
      <c r="E7489" t="s">
        <v>429</v>
      </c>
      <c r="F7489">
        <v>109.65</v>
      </c>
      <c r="G7489">
        <v>231115</v>
      </c>
      <c r="H7489">
        <v>4520</v>
      </c>
      <c r="I7489" t="s">
        <v>254</v>
      </c>
      <c r="J7489">
        <v>125</v>
      </c>
      <c r="K7489">
        <v>15.35</v>
      </c>
      <c r="L7489">
        <v>17984</v>
      </c>
      <c r="M7489" t="s">
        <v>950</v>
      </c>
      <c r="N7489" t="str">
        <f t="shared" si="153"/>
        <v xml:space="preserve">2361016585  </v>
      </c>
      <c r="O7489">
        <v>231122</v>
      </c>
    </row>
    <row r="7490" spans="1:15" x14ac:dyDescent="0.25">
      <c r="A7490" t="s">
        <v>16</v>
      </c>
      <c r="B7490" t="s">
        <v>3221</v>
      </c>
      <c r="C7490">
        <v>16081</v>
      </c>
      <c r="D7490" t="s">
        <v>428</v>
      </c>
      <c r="E7490" t="s">
        <v>429</v>
      </c>
      <c r="F7490">
        <v>87.9</v>
      </c>
      <c r="G7490">
        <v>231115</v>
      </c>
      <c r="H7490">
        <v>4520</v>
      </c>
      <c r="I7490" t="s">
        <v>254</v>
      </c>
      <c r="J7490">
        <v>108.99</v>
      </c>
      <c r="K7490">
        <v>21.09</v>
      </c>
      <c r="L7490">
        <v>17915</v>
      </c>
      <c r="M7490" t="s">
        <v>572</v>
      </c>
      <c r="N7490" t="str">
        <f>"2361016583  "</f>
        <v xml:space="preserve">2361016583  </v>
      </c>
      <c r="O7490">
        <v>231122</v>
      </c>
    </row>
    <row r="7491" spans="1:15" x14ac:dyDescent="0.25">
      <c r="A7491" t="s">
        <v>16</v>
      </c>
      <c r="B7491" t="s">
        <v>3221</v>
      </c>
      <c r="C7491">
        <v>16081</v>
      </c>
      <c r="D7491" t="s">
        <v>428</v>
      </c>
      <c r="E7491" t="s">
        <v>429</v>
      </c>
      <c r="F7491">
        <v>1319.32</v>
      </c>
      <c r="G7491">
        <v>231115</v>
      </c>
      <c r="H7491">
        <v>4520</v>
      </c>
      <c r="I7491" t="s">
        <v>254</v>
      </c>
      <c r="J7491">
        <v>1504.02</v>
      </c>
      <c r="K7491">
        <v>184.7</v>
      </c>
      <c r="L7491">
        <v>17915</v>
      </c>
      <c r="M7491" t="s">
        <v>572</v>
      </c>
      <c r="N7491" t="str">
        <f>"2361016583  "</f>
        <v xml:space="preserve">2361016583  </v>
      </c>
      <c r="O7491">
        <v>231122</v>
      </c>
    </row>
    <row r="7492" spans="1:15" x14ac:dyDescent="0.25">
      <c r="A7492" t="s">
        <v>16</v>
      </c>
      <c r="B7492" t="s">
        <v>3221</v>
      </c>
      <c r="C7492">
        <v>16081</v>
      </c>
      <c r="D7492" t="s">
        <v>428</v>
      </c>
      <c r="E7492" t="s">
        <v>429</v>
      </c>
      <c r="F7492">
        <v>9.84</v>
      </c>
      <c r="G7492">
        <v>231115</v>
      </c>
      <c r="H7492">
        <v>4520</v>
      </c>
      <c r="I7492" t="s">
        <v>254</v>
      </c>
      <c r="J7492">
        <v>12.2</v>
      </c>
      <c r="K7492">
        <v>2.36</v>
      </c>
      <c r="L7492">
        <v>17982</v>
      </c>
      <c r="M7492" t="s">
        <v>432</v>
      </c>
      <c r="N7492" t="str">
        <f>"2361016583  "</f>
        <v xml:space="preserve">2361016583  </v>
      </c>
      <c r="O7492">
        <v>231122</v>
      </c>
    </row>
    <row r="7493" spans="1:15" x14ac:dyDescent="0.25">
      <c r="A7493" t="s">
        <v>16</v>
      </c>
      <c r="B7493" t="s">
        <v>3221</v>
      </c>
      <c r="C7493">
        <v>16081</v>
      </c>
      <c r="D7493" t="s">
        <v>428</v>
      </c>
      <c r="E7493" t="s">
        <v>429</v>
      </c>
      <c r="F7493">
        <v>146.59</v>
      </c>
      <c r="G7493">
        <v>231115</v>
      </c>
      <c r="H7493">
        <v>4520</v>
      </c>
      <c r="I7493" t="s">
        <v>254</v>
      </c>
      <c r="J7493">
        <v>167.11</v>
      </c>
      <c r="K7493">
        <v>20.52</v>
      </c>
      <c r="L7493">
        <v>17982</v>
      </c>
      <c r="M7493" t="s">
        <v>432</v>
      </c>
      <c r="N7493" t="str">
        <f>"2361016583  "</f>
        <v xml:space="preserve">2361016583  </v>
      </c>
      <c r="O7493">
        <v>231122</v>
      </c>
    </row>
    <row r="7494" spans="1:15" x14ac:dyDescent="0.25">
      <c r="A7494" t="s">
        <v>16</v>
      </c>
      <c r="B7494" t="s">
        <v>3221</v>
      </c>
      <c r="C7494">
        <v>16269</v>
      </c>
      <c r="D7494" t="s">
        <v>428</v>
      </c>
      <c r="E7494" t="s">
        <v>429</v>
      </c>
      <c r="F7494">
        <v>3660.55</v>
      </c>
      <c r="G7494">
        <v>231115</v>
      </c>
      <c r="H7494">
        <v>4520</v>
      </c>
      <c r="I7494" t="s">
        <v>254</v>
      </c>
      <c r="J7494">
        <v>4173.03</v>
      </c>
      <c r="K7494">
        <v>512.48</v>
      </c>
      <c r="L7494">
        <v>49112</v>
      </c>
      <c r="M7494" t="s">
        <v>233</v>
      </c>
      <c r="N7494" t="str">
        <f>"2361016582  "</f>
        <v xml:space="preserve">2361016582  </v>
      </c>
      <c r="O7494">
        <v>231127</v>
      </c>
    </row>
    <row r="7495" spans="1:15" x14ac:dyDescent="0.25">
      <c r="A7495" t="s">
        <v>16</v>
      </c>
      <c r="B7495" t="s">
        <v>3221</v>
      </c>
      <c r="C7495">
        <v>16274</v>
      </c>
      <c r="D7495" t="s">
        <v>428</v>
      </c>
      <c r="E7495" t="s">
        <v>429</v>
      </c>
      <c r="F7495">
        <v>789.03</v>
      </c>
      <c r="G7495">
        <v>231115</v>
      </c>
      <c r="H7495">
        <v>4520</v>
      </c>
      <c r="I7495" t="s">
        <v>254</v>
      </c>
      <c r="J7495">
        <v>899.49</v>
      </c>
      <c r="K7495">
        <v>110.46</v>
      </c>
      <c r="L7495">
        <v>44253</v>
      </c>
      <c r="M7495" t="s">
        <v>1058</v>
      </c>
      <c r="N7495" t="str">
        <f>"2361016587  "</f>
        <v xml:space="preserve">2361016587  </v>
      </c>
      <c r="O7495">
        <v>231127</v>
      </c>
    </row>
    <row r="7496" spans="1:15" x14ac:dyDescent="0.25">
      <c r="A7496" t="s">
        <v>16</v>
      </c>
      <c r="B7496" t="s">
        <v>3221</v>
      </c>
      <c r="C7496">
        <v>16276</v>
      </c>
      <c r="D7496" t="s">
        <v>428</v>
      </c>
      <c r="E7496" t="s">
        <v>429</v>
      </c>
      <c r="F7496">
        <v>3929.26</v>
      </c>
      <c r="G7496">
        <v>231115</v>
      </c>
      <c r="H7496">
        <v>4520</v>
      </c>
      <c r="I7496" t="s">
        <v>254</v>
      </c>
      <c r="J7496">
        <v>4479.3599999999997</v>
      </c>
      <c r="K7496">
        <v>550.1</v>
      </c>
      <c r="L7496">
        <v>59113</v>
      </c>
      <c r="M7496" t="s">
        <v>235</v>
      </c>
      <c r="N7496" t="str">
        <f>"2361016580  "</f>
        <v xml:space="preserve">2361016580  </v>
      </c>
      <c r="O7496">
        <v>231127</v>
      </c>
    </row>
    <row r="7497" spans="1:15" x14ac:dyDescent="0.25">
      <c r="A7497" t="s">
        <v>16</v>
      </c>
      <c r="B7497" t="s">
        <v>3221</v>
      </c>
      <c r="C7497">
        <v>16276</v>
      </c>
      <c r="D7497" t="s">
        <v>428</v>
      </c>
      <c r="E7497" t="s">
        <v>429</v>
      </c>
      <c r="F7497">
        <v>693.4</v>
      </c>
      <c r="G7497">
        <v>231115</v>
      </c>
      <c r="H7497">
        <v>4520</v>
      </c>
      <c r="I7497" t="s">
        <v>254</v>
      </c>
      <c r="J7497">
        <v>790.48</v>
      </c>
      <c r="K7497">
        <v>97.08</v>
      </c>
      <c r="L7497">
        <v>59803</v>
      </c>
      <c r="M7497" t="s">
        <v>533</v>
      </c>
      <c r="N7497" t="str">
        <f>"2361016580  "</f>
        <v xml:space="preserve">2361016580  </v>
      </c>
      <c r="O7497">
        <v>231127</v>
      </c>
    </row>
    <row r="7498" spans="1:15" x14ac:dyDescent="0.25">
      <c r="A7498" t="s">
        <v>16</v>
      </c>
      <c r="B7498" t="s">
        <v>3221</v>
      </c>
      <c r="C7498">
        <v>16278</v>
      </c>
      <c r="D7498" t="s">
        <v>428</v>
      </c>
      <c r="E7498" t="s">
        <v>429</v>
      </c>
      <c r="F7498">
        <v>2045.28</v>
      </c>
      <c r="G7498">
        <v>231115</v>
      </c>
      <c r="H7498">
        <v>4520</v>
      </c>
      <c r="I7498" t="s">
        <v>254</v>
      </c>
      <c r="J7498">
        <v>2331.62</v>
      </c>
      <c r="K7498">
        <v>286.33999999999997</v>
      </c>
      <c r="L7498">
        <v>59114</v>
      </c>
      <c r="M7498" t="s">
        <v>556</v>
      </c>
      <c r="N7498" t="str">
        <f>"2361016578  "</f>
        <v xml:space="preserve">2361016578  </v>
      </c>
      <c r="O7498">
        <v>231127</v>
      </c>
    </row>
    <row r="7499" spans="1:15" x14ac:dyDescent="0.25">
      <c r="A7499" t="s">
        <v>16</v>
      </c>
      <c r="B7499" t="s">
        <v>3221</v>
      </c>
      <c r="C7499">
        <v>16561</v>
      </c>
      <c r="D7499" t="s">
        <v>428</v>
      </c>
      <c r="E7499" t="s">
        <v>429</v>
      </c>
      <c r="F7499">
        <v>2373.31</v>
      </c>
      <c r="G7499">
        <v>231130</v>
      </c>
      <c r="H7499">
        <v>4520</v>
      </c>
      <c r="I7499" t="s">
        <v>254</v>
      </c>
      <c r="J7499">
        <v>2705.57</v>
      </c>
      <c r="K7499">
        <v>332.26</v>
      </c>
      <c r="L7499">
        <v>59113</v>
      </c>
      <c r="M7499" t="s">
        <v>235</v>
      </c>
      <c r="N7499" t="str">
        <f>"2361053321  "</f>
        <v xml:space="preserve">2361053321  </v>
      </c>
      <c r="O7499">
        <v>231201</v>
      </c>
    </row>
    <row r="7500" spans="1:15" x14ac:dyDescent="0.25">
      <c r="A7500" t="s">
        <v>16</v>
      </c>
      <c r="B7500" t="s">
        <v>3221</v>
      </c>
      <c r="C7500">
        <v>16561</v>
      </c>
      <c r="D7500" t="s">
        <v>428</v>
      </c>
      <c r="E7500" t="s">
        <v>429</v>
      </c>
      <c r="F7500">
        <v>418.82</v>
      </c>
      <c r="G7500">
        <v>231130</v>
      </c>
      <c r="H7500">
        <v>4520</v>
      </c>
      <c r="I7500" t="s">
        <v>254</v>
      </c>
      <c r="J7500">
        <v>477.45</v>
      </c>
      <c r="K7500">
        <v>58.63</v>
      </c>
      <c r="L7500">
        <v>59803</v>
      </c>
      <c r="M7500" t="s">
        <v>533</v>
      </c>
      <c r="N7500" t="str">
        <f>"2361053321  "</f>
        <v xml:space="preserve">2361053321  </v>
      </c>
      <c r="O7500">
        <v>231201</v>
      </c>
    </row>
    <row r="7501" spans="1:15" x14ac:dyDescent="0.25">
      <c r="A7501" t="s">
        <v>16</v>
      </c>
      <c r="B7501" t="s">
        <v>3221</v>
      </c>
      <c r="C7501">
        <v>16561</v>
      </c>
      <c r="D7501" t="s">
        <v>428</v>
      </c>
      <c r="E7501" t="s">
        <v>429</v>
      </c>
      <c r="F7501">
        <v>858.47</v>
      </c>
      <c r="G7501">
        <v>231130</v>
      </c>
      <c r="H7501">
        <v>4520</v>
      </c>
      <c r="I7501" t="s">
        <v>254</v>
      </c>
      <c r="J7501">
        <v>978.66</v>
      </c>
      <c r="K7501">
        <v>120.19</v>
      </c>
      <c r="L7501">
        <v>59805</v>
      </c>
      <c r="M7501" t="s">
        <v>1716</v>
      </c>
      <c r="N7501" t="str">
        <f>"2361053321  "</f>
        <v xml:space="preserve">2361053321  </v>
      </c>
      <c r="O7501">
        <v>231201</v>
      </c>
    </row>
    <row r="7502" spans="1:15" x14ac:dyDescent="0.25">
      <c r="A7502" t="s">
        <v>16</v>
      </c>
      <c r="B7502" t="s">
        <v>3221</v>
      </c>
      <c r="C7502">
        <v>16853</v>
      </c>
      <c r="D7502" t="s">
        <v>428</v>
      </c>
      <c r="E7502" t="s">
        <v>429</v>
      </c>
      <c r="F7502">
        <v>26.73</v>
      </c>
      <c r="G7502">
        <v>231130</v>
      </c>
      <c r="H7502">
        <v>4520</v>
      </c>
      <c r="I7502" t="s">
        <v>254</v>
      </c>
      <c r="J7502">
        <v>33.15</v>
      </c>
      <c r="K7502">
        <v>6.42</v>
      </c>
      <c r="L7502">
        <v>17915</v>
      </c>
      <c r="M7502" t="s">
        <v>572</v>
      </c>
      <c r="N7502" t="str">
        <f>"2361053324  "</f>
        <v xml:space="preserve">2361053324  </v>
      </c>
      <c r="O7502">
        <v>231211</v>
      </c>
    </row>
    <row r="7503" spans="1:15" x14ac:dyDescent="0.25">
      <c r="A7503" t="s">
        <v>16</v>
      </c>
      <c r="B7503" t="s">
        <v>3221</v>
      </c>
      <c r="C7503">
        <v>16853</v>
      </c>
      <c r="D7503" t="s">
        <v>428</v>
      </c>
      <c r="E7503" t="s">
        <v>429</v>
      </c>
      <c r="F7503">
        <v>1743.35</v>
      </c>
      <c r="G7503">
        <v>231130</v>
      </c>
      <c r="H7503">
        <v>4520</v>
      </c>
      <c r="I7503" t="s">
        <v>254</v>
      </c>
      <c r="J7503">
        <v>1987.42</v>
      </c>
      <c r="K7503">
        <v>244.07</v>
      </c>
      <c r="L7503">
        <v>17915</v>
      </c>
      <c r="M7503" t="s">
        <v>572</v>
      </c>
      <c r="N7503" t="str">
        <f>"2361053324  "</f>
        <v xml:space="preserve">2361053324  </v>
      </c>
      <c r="O7503">
        <v>231211</v>
      </c>
    </row>
    <row r="7504" spans="1:15" x14ac:dyDescent="0.25">
      <c r="A7504" t="s">
        <v>16</v>
      </c>
      <c r="B7504" t="s">
        <v>3221</v>
      </c>
      <c r="C7504">
        <v>16853</v>
      </c>
      <c r="D7504" t="s">
        <v>428</v>
      </c>
      <c r="E7504" t="s">
        <v>429</v>
      </c>
      <c r="F7504">
        <v>2.97</v>
      </c>
      <c r="G7504">
        <v>231130</v>
      </c>
      <c r="H7504">
        <v>4520</v>
      </c>
      <c r="I7504" t="s">
        <v>254</v>
      </c>
      <c r="J7504">
        <v>3.68</v>
      </c>
      <c r="K7504">
        <v>0.71</v>
      </c>
      <c r="L7504">
        <v>17982</v>
      </c>
      <c r="M7504" t="s">
        <v>432</v>
      </c>
      <c r="N7504" t="str">
        <f>"2361053324  "</f>
        <v xml:space="preserve">2361053324  </v>
      </c>
      <c r="O7504">
        <v>231211</v>
      </c>
    </row>
    <row r="7505" spans="1:15" x14ac:dyDescent="0.25">
      <c r="A7505" t="s">
        <v>16</v>
      </c>
      <c r="B7505" t="s">
        <v>3221</v>
      </c>
      <c r="C7505">
        <v>16853</v>
      </c>
      <c r="D7505" t="s">
        <v>428</v>
      </c>
      <c r="E7505" t="s">
        <v>429</v>
      </c>
      <c r="F7505">
        <v>193.7</v>
      </c>
      <c r="G7505">
        <v>231130</v>
      </c>
      <c r="H7505">
        <v>4520</v>
      </c>
      <c r="I7505" t="s">
        <v>254</v>
      </c>
      <c r="J7505">
        <v>220.82</v>
      </c>
      <c r="K7505">
        <v>27.12</v>
      </c>
      <c r="L7505">
        <v>17982</v>
      </c>
      <c r="M7505" t="s">
        <v>432</v>
      </c>
      <c r="N7505" t="str">
        <f>"2361053324  "</f>
        <v xml:space="preserve">2361053324  </v>
      </c>
      <c r="O7505">
        <v>231211</v>
      </c>
    </row>
    <row r="7506" spans="1:15" x14ac:dyDescent="0.25">
      <c r="A7506" t="s">
        <v>16</v>
      </c>
      <c r="B7506" t="s">
        <v>3221</v>
      </c>
      <c r="C7506">
        <v>16854</v>
      </c>
      <c r="D7506" t="s">
        <v>428</v>
      </c>
      <c r="E7506" t="s">
        <v>429</v>
      </c>
      <c r="F7506">
        <v>9.83</v>
      </c>
      <c r="G7506">
        <v>231130</v>
      </c>
      <c r="H7506">
        <v>4520</v>
      </c>
      <c r="I7506" t="s">
        <v>254</v>
      </c>
      <c r="J7506">
        <v>12.19</v>
      </c>
      <c r="K7506">
        <v>2.36</v>
      </c>
      <c r="L7506">
        <v>16431</v>
      </c>
      <c r="M7506" t="s">
        <v>231</v>
      </c>
      <c r="N7506" t="str">
        <f t="shared" ref="N7506:N7513" si="154">"2361053326  "</f>
        <v xml:space="preserve">2361053326  </v>
      </c>
      <c r="O7506">
        <v>231211</v>
      </c>
    </row>
    <row r="7507" spans="1:15" x14ac:dyDescent="0.25">
      <c r="A7507" t="s">
        <v>16</v>
      </c>
      <c r="B7507" t="s">
        <v>3221</v>
      </c>
      <c r="C7507">
        <v>16854</v>
      </c>
      <c r="D7507" t="s">
        <v>428</v>
      </c>
      <c r="E7507" t="s">
        <v>429</v>
      </c>
      <c r="F7507">
        <v>520</v>
      </c>
      <c r="G7507">
        <v>231130</v>
      </c>
      <c r="H7507">
        <v>4520</v>
      </c>
      <c r="I7507" t="s">
        <v>254</v>
      </c>
      <c r="J7507">
        <v>592.79999999999995</v>
      </c>
      <c r="K7507">
        <v>72.8</v>
      </c>
      <c r="L7507">
        <v>16431</v>
      </c>
      <c r="M7507" t="s">
        <v>231</v>
      </c>
      <c r="N7507" t="str">
        <f t="shared" si="154"/>
        <v xml:space="preserve">2361053326  </v>
      </c>
      <c r="O7507">
        <v>231211</v>
      </c>
    </row>
    <row r="7508" spans="1:15" x14ac:dyDescent="0.25">
      <c r="A7508" t="s">
        <v>16</v>
      </c>
      <c r="B7508" t="s">
        <v>3221</v>
      </c>
      <c r="C7508">
        <v>16854</v>
      </c>
      <c r="D7508" t="s">
        <v>428</v>
      </c>
      <c r="E7508" t="s">
        <v>429</v>
      </c>
      <c r="F7508">
        <v>457.42</v>
      </c>
      <c r="G7508">
        <v>231130</v>
      </c>
      <c r="H7508">
        <v>4520</v>
      </c>
      <c r="I7508" t="s">
        <v>254</v>
      </c>
      <c r="J7508">
        <v>521.46</v>
      </c>
      <c r="K7508">
        <v>64.040000000000006</v>
      </c>
      <c r="L7508">
        <v>16442</v>
      </c>
      <c r="M7508" t="s">
        <v>430</v>
      </c>
      <c r="N7508" t="str">
        <f t="shared" si="154"/>
        <v xml:space="preserve">2361053326  </v>
      </c>
      <c r="O7508">
        <v>231211</v>
      </c>
    </row>
    <row r="7509" spans="1:15" x14ac:dyDescent="0.25">
      <c r="A7509" t="s">
        <v>16</v>
      </c>
      <c r="B7509" t="s">
        <v>3221</v>
      </c>
      <c r="C7509">
        <v>16854</v>
      </c>
      <c r="D7509" t="s">
        <v>428</v>
      </c>
      <c r="E7509" t="s">
        <v>429</v>
      </c>
      <c r="F7509">
        <v>78.64</v>
      </c>
      <c r="G7509">
        <v>231130</v>
      </c>
      <c r="H7509">
        <v>4520</v>
      </c>
      <c r="I7509" t="s">
        <v>254</v>
      </c>
      <c r="J7509">
        <v>97.51</v>
      </c>
      <c r="K7509">
        <v>18.87</v>
      </c>
      <c r="L7509">
        <v>17913</v>
      </c>
      <c r="M7509" t="s">
        <v>431</v>
      </c>
      <c r="N7509" t="str">
        <f t="shared" si="154"/>
        <v xml:space="preserve">2361053326  </v>
      </c>
      <c r="O7509">
        <v>231211</v>
      </c>
    </row>
    <row r="7510" spans="1:15" x14ac:dyDescent="0.25">
      <c r="A7510" t="s">
        <v>16</v>
      </c>
      <c r="B7510" t="s">
        <v>3221</v>
      </c>
      <c r="C7510">
        <v>16854</v>
      </c>
      <c r="D7510" t="s">
        <v>428</v>
      </c>
      <c r="E7510" t="s">
        <v>429</v>
      </c>
      <c r="F7510">
        <v>3615.16</v>
      </c>
      <c r="G7510">
        <v>231130</v>
      </c>
      <c r="H7510">
        <v>4520</v>
      </c>
      <c r="I7510" t="s">
        <v>254</v>
      </c>
      <c r="J7510">
        <v>4121.28</v>
      </c>
      <c r="K7510">
        <v>506.12</v>
      </c>
      <c r="L7510">
        <v>17913</v>
      </c>
      <c r="M7510" t="s">
        <v>431</v>
      </c>
      <c r="N7510" t="str">
        <f t="shared" si="154"/>
        <v xml:space="preserve">2361053326  </v>
      </c>
      <c r="O7510">
        <v>231211</v>
      </c>
    </row>
    <row r="7511" spans="1:15" x14ac:dyDescent="0.25">
      <c r="A7511" t="s">
        <v>16</v>
      </c>
      <c r="B7511" t="s">
        <v>3221</v>
      </c>
      <c r="C7511">
        <v>16854</v>
      </c>
      <c r="D7511" t="s">
        <v>428</v>
      </c>
      <c r="E7511" t="s">
        <v>429</v>
      </c>
      <c r="F7511">
        <v>9.83</v>
      </c>
      <c r="G7511">
        <v>231130</v>
      </c>
      <c r="H7511">
        <v>4520</v>
      </c>
      <c r="I7511" t="s">
        <v>254</v>
      </c>
      <c r="J7511">
        <v>12.19</v>
      </c>
      <c r="K7511">
        <v>2.36</v>
      </c>
      <c r="L7511">
        <v>17982</v>
      </c>
      <c r="M7511" t="s">
        <v>432</v>
      </c>
      <c r="N7511" t="str">
        <f t="shared" si="154"/>
        <v xml:space="preserve">2361053326  </v>
      </c>
      <c r="O7511">
        <v>231211</v>
      </c>
    </row>
    <row r="7512" spans="1:15" x14ac:dyDescent="0.25">
      <c r="A7512" t="s">
        <v>16</v>
      </c>
      <c r="B7512" t="s">
        <v>3221</v>
      </c>
      <c r="C7512">
        <v>16854</v>
      </c>
      <c r="D7512" t="s">
        <v>428</v>
      </c>
      <c r="E7512" t="s">
        <v>429</v>
      </c>
      <c r="F7512">
        <v>520</v>
      </c>
      <c r="G7512">
        <v>231130</v>
      </c>
      <c r="H7512">
        <v>4520</v>
      </c>
      <c r="I7512" t="s">
        <v>254</v>
      </c>
      <c r="J7512">
        <v>592.79999999999995</v>
      </c>
      <c r="K7512">
        <v>72.8</v>
      </c>
      <c r="L7512">
        <v>17982</v>
      </c>
      <c r="M7512" t="s">
        <v>432</v>
      </c>
      <c r="N7512" t="str">
        <f t="shared" si="154"/>
        <v xml:space="preserve">2361053326  </v>
      </c>
      <c r="O7512">
        <v>231211</v>
      </c>
    </row>
    <row r="7513" spans="1:15" x14ac:dyDescent="0.25">
      <c r="A7513" t="s">
        <v>16</v>
      </c>
      <c r="B7513" t="s">
        <v>3221</v>
      </c>
      <c r="C7513">
        <v>16854</v>
      </c>
      <c r="D7513" t="s">
        <v>428</v>
      </c>
      <c r="E7513" t="s">
        <v>429</v>
      </c>
      <c r="F7513">
        <v>86.71</v>
      </c>
      <c r="G7513">
        <v>231130</v>
      </c>
      <c r="H7513">
        <v>4520</v>
      </c>
      <c r="I7513" t="s">
        <v>254</v>
      </c>
      <c r="J7513">
        <v>98.85</v>
      </c>
      <c r="K7513">
        <v>12.14</v>
      </c>
      <c r="L7513">
        <v>17984</v>
      </c>
      <c r="M7513" t="s">
        <v>950</v>
      </c>
      <c r="N7513" t="str">
        <f t="shared" si="154"/>
        <v xml:space="preserve">2361053326  </v>
      </c>
      <c r="O7513">
        <v>231211</v>
      </c>
    </row>
    <row r="7514" spans="1:15" x14ac:dyDescent="0.25">
      <c r="A7514" t="s">
        <v>16</v>
      </c>
      <c r="B7514" t="s">
        <v>3221</v>
      </c>
      <c r="C7514">
        <v>16856</v>
      </c>
      <c r="D7514" t="s">
        <v>428</v>
      </c>
      <c r="E7514" t="s">
        <v>429</v>
      </c>
      <c r="F7514">
        <v>3112.26</v>
      </c>
      <c r="G7514">
        <v>231130</v>
      </c>
      <c r="H7514">
        <v>4520</v>
      </c>
      <c r="I7514" t="s">
        <v>254</v>
      </c>
      <c r="J7514">
        <v>3547.98</v>
      </c>
      <c r="K7514">
        <v>435.72</v>
      </c>
      <c r="L7514">
        <v>49112</v>
      </c>
      <c r="M7514" t="s">
        <v>233</v>
      </c>
      <c r="N7514" t="str">
        <f>"2361053323  "</f>
        <v xml:space="preserve">2361053323  </v>
      </c>
      <c r="O7514">
        <v>231211</v>
      </c>
    </row>
    <row r="7515" spans="1:15" x14ac:dyDescent="0.25">
      <c r="A7515" t="s">
        <v>16</v>
      </c>
      <c r="B7515" t="s">
        <v>3221</v>
      </c>
      <c r="C7515">
        <v>16926</v>
      </c>
      <c r="D7515" t="s">
        <v>428</v>
      </c>
      <c r="E7515" t="s">
        <v>429</v>
      </c>
      <c r="F7515">
        <v>993.45</v>
      </c>
      <c r="G7515">
        <v>231130</v>
      </c>
      <c r="H7515">
        <v>4520</v>
      </c>
      <c r="I7515" t="s">
        <v>254</v>
      </c>
      <c r="J7515">
        <v>1132.53</v>
      </c>
      <c r="K7515">
        <v>139.08000000000001</v>
      </c>
      <c r="L7515">
        <v>44252</v>
      </c>
      <c r="M7515" t="s">
        <v>157</v>
      </c>
      <c r="N7515" t="str">
        <f>"2361053325  "</f>
        <v xml:space="preserve">2361053325  </v>
      </c>
      <c r="O7515">
        <v>231211</v>
      </c>
    </row>
    <row r="7516" spans="1:15" x14ac:dyDescent="0.25">
      <c r="A7516" t="s">
        <v>16</v>
      </c>
      <c r="B7516" t="s">
        <v>3221</v>
      </c>
      <c r="C7516">
        <v>16940</v>
      </c>
      <c r="D7516" t="s">
        <v>428</v>
      </c>
      <c r="E7516" t="s">
        <v>429</v>
      </c>
      <c r="F7516">
        <v>2195.38</v>
      </c>
      <c r="G7516">
        <v>231130</v>
      </c>
      <c r="H7516">
        <v>4520</v>
      </c>
      <c r="I7516" t="s">
        <v>254</v>
      </c>
      <c r="J7516">
        <v>2502.73</v>
      </c>
      <c r="K7516">
        <v>307.35000000000002</v>
      </c>
      <c r="L7516">
        <v>69112</v>
      </c>
      <c r="M7516" t="s">
        <v>313</v>
      </c>
      <c r="N7516" t="str">
        <f>"2361053329  "</f>
        <v xml:space="preserve">2361053329  </v>
      </c>
      <c r="O7516">
        <v>231211</v>
      </c>
    </row>
    <row r="7517" spans="1:15" x14ac:dyDescent="0.25">
      <c r="A7517" t="s">
        <v>16</v>
      </c>
      <c r="B7517" t="s">
        <v>3221</v>
      </c>
      <c r="C7517">
        <v>16940</v>
      </c>
      <c r="D7517" t="s">
        <v>428</v>
      </c>
      <c r="E7517" t="s">
        <v>429</v>
      </c>
      <c r="F7517">
        <v>121.96</v>
      </c>
      <c r="G7517">
        <v>231130</v>
      </c>
      <c r="H7517">
        <v>4520</v>
      </c>
      <c r="I7517" t="s">
        <v>254</v>
      </c>
      <c r="J7517">
        <v>139.04</v>
      </c>
      <c r="K7517">
        <v>17.079999999999998</v>
      </c>
      <c r="L7517">
        <v>69810</v>
      </c>
      <c r="M7517" t="s">
        <v>314</v>
      </c>
      <c r="N7517" t="str">
        <f>"2361053329  "</f>
        <v xml:space="preserve">2361053329  </v>
      </c>
      <c r="O7517">
        <v>231211</v>
      </c>
    </row>
    <row r="7518" spans="1:15" x14ac:dyDescent="0.25">
      <c r="A7518" t="s">
        <v>16</v>
      </c>
      <c r="B7518" t="s">
        <v>3221</v>
      </c>
      <c r="C7518">
        <v>16940</v>
      </c>
      <c r="D7518" t="s">
        <v>428</v>
      </c>
      <c r="E7518" t="s">
        <v>429</v>
      </c>
      <c r="F7518">
        <v>121.96</v>
      </c>
      <c r="G7518">
        <v>231130</v>
      </c>
      <c r="H7518">
        <v>4520</v>
      </c>
      <c r="I7518" t="s">
        <v>254</v>
      </c>
      <c r="J7518">
        <v>139.04</v>
      </c>
      <c r="K7518">
        <v>17.079999999999998</v>
      </c>
      <c r="L7518">
        <v>69811</v>
      </c>
      <c r="M7518" t="s">
        <v>315</v>
      </c>
      <c r="N7518" t="str">
        <f>"2361053329  "</f>
        <v xml:space="preserve">2361053329  </v>
      </c>
      <c r="O7518">
        <v>231211</v>
      </c>
    </row>
    <row r="7519" spans="1:15" x14ac:dyDescent="0.25">
      <c r="A7519" t="s">
        <v>16</v>
      </c>
      <c r="B7519" t="s">
        <v>3221</v>
      </c>
      <c r="C7519">
        <v>16941</v>
      </c>
      <c r="D7519" t="s">
        <v>428</v>
      </c>
      <c r="E7519" t="s">
        <v>429</v>
      </c>
      <c r="F7519">
        <v>2703.03</v>
      </c>
      <c r="G7519">
        <v>231130</v>
      </c>
      <c r="H7519">
        <v>4520</v>
      </c>
      <c r="I7519" t="s">
        <v>254</v>
      </c>
      <c r="J7519">
        <v>3081.45</v>
      </c>
      <c r="K7519">
        <v>378.42</v>
      </c>
      <c r="L7519">
        <v>54422</v>
      </c>
      <c r="M7519" t="s">
        <v>234</v>
      </c>
      <c r="N7519" t="str">
        <f>"2361053320  "</f>
        <v xml:space="preserve">2361053320  </v>
      </c>
      <c r="O7519">
        <v>231211</v>
      </c>
    </row>
    <row r="7520" spans="1:15" x14ac:dyDescent="0.25">
      <c r="A7520" t="s">
        <v>16</v>
      </c>
      <c r="B7520" t="s">
        <v>3221</v>
      </c>
      <c r="C7520">
        <v>16941</v>
      </c>
      <c r="D7520" t="s">
        <v>428</v>
      </c>
      <c r="E7520" t="s">
        <v>429</v>
      </c>
      <c r="F7520">
        <v>600.66999999999996</v>
      </c>
      <c r="G7520">
        <v>231130</v>
      </c>
      <c r="H7520">
        <v>4520</v>
      </c>
      <c r="I7520" t="s">
        <v>254</v>
      </c>
      <c r="J7520">
        <v>744.83</v>
      </c>
      <c r="K7520">
        <v>144.16</v>
      </c>
      <c r="L7520">
        <v>54451</v>
      </c>
      <c r="M7520" t="s">
        <v>158</v>
      </c>
      <c r="N7520" t="str">
        <f>"2361053320  "</f>
        <v xml:space="preserve">2361053320  </v>
      </c>
      <c r="O7520">
        <v>231211</v>
      </c>
    </row>
    <row r="7521" spans="1:15" x14ac:dyDescent="0.25">
      <c r="A7521" t="s">
        <v>16</v>
      </c>
      <c r="B7521" t="s">
        <v>3221</v>
      </c>
      <c r="C7521">
        <v>16941</v>
      </c>
      <c r="D7521" t="s">
        <v>428</v>
      </c>
      <c r="E7521" t="s">
        <v>429</v>
      </c>
      <c r="F7521">
        <v>3356.39</v>
      </c>
      <c r="G7521">
        <v>231130</v>
      </c>
      <c r="H7521">
        <v>4520</v>
      </c>
      <c r="I7521" t="s">
        <v>254</v>
      </c>
      <c r="J7521">
        <v>3826.29</v>
      </c>
      <c r="K7521">
        <v>469.9</v>
      </c>
      <c r="L7521">
        <v>54451</v>
      </c>
      <c r="M7521" t="s">
        <v>158</v>
      </c>
      <c r="N7521" t="str">
        <f>"2361053320  "</f>
        <v xml:space="preserve">2361053320  </v>
      </c>
      <c r="O7521">
        <v>231211</v>
      </c>
    </row>
    <row r="7522" spans="1:15" x14ac:dyDescent="0.25">
      <c r="A7522" t="s">
        <v>16</v>
      </c>
      <c r="B7522" t="s">
        <v>3221</v>
      </c>
      <c r="C7522">
        <v>17178</v>
      </c>
      <c r="D7522" t="s">
        <v>428</v>
      </c>
      <c r="E7522" t="s">
        <v>429</v>
      </c>
      <c r="F7522">
        <v>8.1</v>
      </c>
      <c r="G7522">
        <v>231115</v>
      </c>
      <c r="H7522">
        <v>4520</v>
      </c>
      <c r="I7522" t="s">
        <v>254</v>
      </c>
      <c r="J7522">
        <v>10.050000000000001</v>
      </c>
      <c r="K7522">
        <v>1.95</v>
      </c>
      <c r="L7522">
        <v>14422</v>
      </c>
      <c r="M7522" t="s">
        <v>228</v>
      </c>
      <c r="N7522" t="str">
        <f t="shared" ref="N7522:N7533" si="155">"2361016586  "</f>
        <v xml:space="preserve">2361016586  </v>
      </c>
      <c r="O7522">
        <v>231212</v>
      </c>
    </row>
    <row r="7523" spans="1:15" x14ac:dyDescent="0.25">
      <c r="A7523" t="s">
        <v>16</v>
      </c>
      <c r="B7523" t="s">
        <v>3221</v>
      </c>
      <c r="C7523">
        <v>17178</v>
      </c>
      <c r="D7523" t="s">
        <v>428</v>
      </c>
      <c r="E7523" t="s">
        <v>429</v>
      </c>
      <c r="F7523">
        <v>62.89</v>
      </c>
      <c r="G7523">
        <v>231115</v>
      </c>
      <c r="H7523">
        <v>4520</v>
      </c>
      <c r="I7523" t="s">
        <v>254</v>
      </c>
      <c r="J7523">
        <v>71.69</v>
      </c>
      <c r="K7523">
        <v>8.8000000000000007</v>
      </c>
      <c r="L7523">
        <v>14422</v>
      </c>
      <c r="M7523" t="s">
        <v>228</v>
      </c>
      <c r="N7523" t="str">
        <f t="shared" si="155"/>
        <v xml:space="preserve">2361016586  </v>
      </c>
      <c r="O7523">
        <v>231212</v>
      </c>
    </row>
    <row r="7524" spans="1:15" x14ac:dyDescent="0.25">
      <c r="A7524" t="s">
        <v>16</v>
      </c>
      <c r="B7524" t="s">
        <v>3221</v>
      </c>
      <c r="C7524">
        <v>17178</v>
      </c>
      <c r="D7524" t="s">
        <v>428</v>
      </c>
      <c r="E7524" t="s">
        <v>429</v>
      </c>
      <c r="F7524">
        <v>32.4</v>
      </c>
      <c r="G7524">
        <v>231115</v>
      </c>
      <c r="H7524">
        <v>4520</v>
      </c>
      <c r="I7524" t="s">
        <v>254</v>
      </c>
      <c r="J7524">
        <v>40.18</v>
      </c>
      <c r="K7524">
        <v>7.78</v>
      </c>
      <c r="L7524">
        <v>14431</v>
      </c>
      <c r="M7524" t="s">
        <v>861</v>
      </c>
      <c r="N7524" t="str">
        <f t="shared" si="155"/>
        <v xml:space="preserve">2361016586  </v>
      </c>
      <c r="O7524">
        <v>231212</v>
      </c>
    </row>
    <row r="7525" spans="1:15" x14ac:dyDescent="0.25">
      <c r="A7525" t="s">
        <v>16</v>
      </c>
      <c r="B7525" t="s">
        <v>3221</v>
      </c>
      <c r="C7525">
        <v>17178</v>
      </c>
      <c r="D7525" t="s">
        <v>428</v>
      </c>
      <c r="E7525" t="s">
        <v>429</v>
      </c>
      <c r="F7525">
        <v>251.52</v>
      </c>
      <c r="G7525">
        <v>231115</v>
      </c>
      <c r="H7525">
        <v>4520</v>
      </c>
      <c r="I7525" t="s">
        <v>254</v>
      </c>
      <c r="J7525">
        <v>286.73</v>
      </c>
      <c r="K7525">
        <v>35.21</v>
      </c>
      <c r="L7525">
        <v>14431</v>
      </c>
      <c r="M7525" t="s">
        <v>861</v>
      </c>
      <c r="N7525" t="str">
        <f t="shared" si="155"/>
        <v xml:space="preserve">2361016586  </v>
      </c>
      <c r="O7525">
        <v>231212</v>
      </c>
    </row>
    <row r="7526" spans="1:15" x14ac:dyDescent="0.25">
      <c r="A7526" t="s">
        <v>16</v>
      </c>
      <c r="B7526" t="s">
        <v>3221</v>
      </c>
      <c r="C7526">
        <v>17178</v>
      </c>
      <c r="D7526" t="s">
        <v>428</v>
      </c>
      <c r="E7526" t="s">
        <v>429</v>
      </c>
      <c r="F7526">
        <v>137.72999999999999</v>
      </c>
      <c r="G7526">
        <v>231115</v>
      </c>
      <c r="H7526">
        <v>4520</v>
      </c>
      <c r="I7526" t="s">
        <v>254</v>
      </c>
      <c r="J7526">
        <v>170.78</v>
      </c>
      <c r="K7526">
        <v>33.049999999999997</v>
      </c>
      <c r="L7526">
        <v>14432</v>
      </c>
      <c r="M7526" t="s">
        <v>862</v>
      </c>
      <c r="N7526" t="str">
        <f t="shared" si="155"/>
        <v xml:space="preserve">2361016586  </v>
      </c>
      <c r="O7526">
        <v>231212</v>
      </c>
    </row>
    <row r="7527" spans="1:15" x14ac:dyDescent="0.25">
      <c r="A7527" t="s">
        <v>16</v>
      </c>
      <c r="B7527" t="s">
        <v>3221</v>
      </c>
      <c r="C7527">
        <v>17178</v>
      </c>
      <c r="D7527" t="s">
        <v>428</v>
      </c>
      <c r="E7527" t="s">
        <v>429</v>
      </c>
      <c r="F7527">
        <v>1068.96</v>
      </c>
      <c r="G7527">
        <v>231115</v>
      </c>
      <c r="H7527">
        <v>4520</v>
      </c>
      <c r="I7527" t="s">
        <v>254</v>
      </c>
      <c r="J7527">
        <v>1218.6199999999999</v>
      </c>
      <c r="K7527">
        <v>149.66</v>
      </c>
      <c r="L7527">
        <v>14432</v>
      </c>
      <c r="M7527" t="s">
        <v>862</v>
      </c>
      <c r="N7527" t="str">
        <f t="shared" si="155"/>
        <v xml:space="preserve">2361016586  </v>
      </c>
      <c r="O7527">
        <v>231212</v>
      </c>
    </row>
    <row r="7528" spans="1:15" x14ac:dyDescent="0.25">
      <c r="A7528" t="s">
        <v>16</v>
      </c>
      <c r="B7528" t="s">
        <v>3221</v>
      </c>
      <c r="C7528">
        <v>17178</v>
      </c>
      <c r="D7528" t="s">
        <v>428</v>
      </c>
      <c r="E7528" t="s">
        <v>429</v>
      </c>
      <c r="F7528">
        <v>8.1</v>
      </c>
      <c r="G7528">
        <v>231115</v>
      </c>
      <c r="H7528">
        <v>4520</v>
      </c>
      <c r="I7528" t="s">
        <v>254</v>
      </c>
      <c r="J7528">
        <v>10.050000000000001</v>
      </c>
      <c r="K7528">
        <v>1.95</v>
      </c>
      <c r="L7528">
        <v>14640</v>
      </c>
      <c r="M7528" t="s">
        <v>229</v>
      </c>
      <c r="N7528" t="str">
        <f t="shared" si="155"/>
        <v xml:space="preserve">2361016586  </v>
      </c>
      <c r="O7528">
        <v>231212</v>
      </c>
    </row>
    <row r="7529" spans="1:15" x14ac:dyDescent="0.25">
      <c r="A7529" t="s">
        <v>16</v>
      </c>
      <c r="B7529" t="s">
        <v>3221</v>
      </c>
      <c r="C7529">
        <v>17178</v>
      </c>
      <c r="D7529" t="s">
        <v>428</v>
      </c>
      <c r="E7529" t="s">
        <v>429</v>
      </c>
      <c r="F7529">
        <v>62.89</v>
      </c>
      <c r="G7529">
        <v>231115</v>
      </c>
      <c r="H7529">
        <v>4520</v>
      </c>
      <c r="I7529" t="s">
        <v>254</v>
      </c>
      <c r="J7529">
        <v>71.69</v>
      </c>
      <c r="K7529">
        <v>8.8000000000000007</v>
      </c>
      <c r="L7529">
        <v>14640</v>
      </c>
      <c r="M7529" t="s">
        <v>229</v>
      </c>
      <c r="N7529" t="str">
        <f t="shared" si="155"/>
        <v xml:space="preserve">2361016586  </v>
      </c>
      <c r="O7529">
        <v>231212</v>
      </c>
    </row>
    <row r="7530" spans="1:15" x14ac:dyDescent="0.25">
      <c r="A7530" t="s">
        <v>16</v>
      </c>
      <c r="B7530" t="s">
        <v>3221</v>
      </c>
      <c r="C7530">
        <v>17178</v>
      </c>
      <c r="D7530" t="s">
        <v>428</v>
      </c>
      <c r="E7530" t="s">
        <v>429</v>
      </c>
      <c r="F7530">
        <v>32.4</v>
      </c>
      <c r="G7530">
        <v>231115</v>
      </c>
      <c r="H7530">
        <v>4520</v>
      </c>
      <c r="I7530" t="s">
        <v>254</v>
      </c>
      <c r="J7530">
        <v>40.18</v>
      </c>
      <c r="K7530">
        <v>7.78</v>
      </c>
      <c r="L7530">
        <v>14642</v>
      </c>
      <c r="M7530" t="s">
        <v>863</v>
      </c>
      <c r="N7530" t="str">
        <f t="shared" si="155"/>
        <v xml:space="preserve">2361016586  </v>
      </c>
      <c r="O7530">
        <v>231212</v>
      </c>
    </row>
    <row r="7531" spans="1:15" x14ac:dyDescent="0.25">
      <c r="A7531" t="s">
        <v>16</v>
      </c>
      <c r="B7531" t="s">
        <v>3221</v>
      </c>
      <c r="C7531">
        <v>17178</v>
      </c>
      <c r="D7531" t="s">
        <v>428</v>
      </c>
      <c r="E7531" t="s">
        <v>429</v>
      </c>
      <c r="F7531">
        <v>251.52</v>
      </c>
      <c r="G7531">
        <v>231115</v>
      </c>
      <c r="H7531">
        <v>4520</v>
      </c>
      <c r="I7531" t="s">
        <v>254</v>
      </c>
      <c r="J7531">
        <v>286.73</v>
      </c>
      <c r="K7531">
        <v>35.21</v>
      </c>
      <c r="L7531">
        <v>14642</v>
      </c>
      <c r="M7531" t="s">
        <v>863</v>
      </c>
      <c r="N7531" t="str">
        <f t="shared" si="155"/>
        <v xml:space="preserve">2361016586  </v>
      </c>
      <c r="O7531">
        <v>231212</v>
      </c>
    </row>
    <row r="7532" spans="1:15" x14ac:dyDescent="0.25">
      <c r="A7532" t="s">
        <v>16</v>
      </c>
      <c r="B7532" t="s">
        <v>3221</v>
      </c>
      <c r="C7532">
        <v>17178</v>
      </c>
      <c r="D7532" t="s">
        <v>428</v>
      </c>
      <c r="E7532" t="s">
        <v>429</v>
      </c>
      <c r="F7532">
        <v>591.42999999999995</v>
      </c>
      <c r="G7532">
        <v>231115</v>
      </c>
      <c r="H7532">
        <v>4520</v>
      </c>
      <c r="I7532" t="s">
        <v>254</v>
      </c>
      <c r="J7532">
        <v>733.37</v>
      </c>
      <c r="K7532">
        <v>141.94</v>
      </c>
      <c r="L7532">
        <v>14912</v>
      </c>
      <c r="M7532" t="s">
        <v>230</v>
      </c>
      <c r="N7532" t="str">
        <f t="shared" si="155"/>
        <v xml:space="preserve">2361016586  </v>
      </c>
      <c r="O7532">
        <v>231212</v>
      </c>
    </row>
    <row r="7533" spans="1:15" x14ac:dyDescent="0.25">
      <c r="A7533" t="s">
        <v>16</v>
      </c>
      <c r="B7533" t="s">
        <v>3221</v>
      </c>
      <c r="C7533">
        <v>17178</v>
      </c>
      <c r="D7533" t="s">
        <v>428</v>
      </c>
      <c r="E7533" t="s">
        <v>429</v>
      </c>
      <c r="F7533">
        <v>4590.2700000000004</v>
      </c>
      <c r="G7533">
        <v>231115</v>
      </c>
      <c r="H7533">
        <v>4520</v>
      </c>
      <c r="I7533" t="s">
        <v>254</v>
      </c>
      <c r="J7533">
        <v>5232.91</v>
      </c>
      <c r="K7533">
        <v>642.64</v>
      </c>
      <c r="L7533">
        <v>14912</v>
      </c>
      <c r="M7533" t="s">
        <v>230</v>
      </c>
      <c r="N7533" t="str">
        <f t="shared" si="155"/>
        <v xml:space="preserve">2361016586  </v>
      </c>
      <c r="O7533">
        <v>231212</v>
      </c>
    </row>
    <row r="7534" spans="1:15" x14ac:dyDescent="0.25">
      <c r="A7534" t="s">
        <v>16</v>
      </c>
      <c r="B7534" t="s">
        <v>3221</v>
      </c>
      <c r="C7534">
        <v>17257</v>
      </c>
      <c r="D7534" t="s">
        <v>428</v>
      </c>
      <c r="E7534" t="s">
        <v>429</v>
      </c>
      <c r="F7534">
        <v>3371.14</v>
      </c>
      <c r="G7534">
        <v>231130</v>
      </c>
      <c r="H7534">
        <v>4520</v>
      </c>
      <c r="I7534" t="s">
        <v>254</v>
      </c>
      <c r="J7534">
        <v>3843.1</v>
      </c>
      <c r="K7534">
        <v>471.96</v>
      </c>
      <c r="L7534">
        <v>69113</v>
      </c>
      <c r="M7534" t="s">
        <v>282</v>
      </c>
      <c r="N7534" t="str">
        <f>"2361053322  "</f>
        <v xml:space="preserve">2361053322  </v>
      </c>
      <c r="O7534">
        <v>231212</v>
      </c>
    </row>
    <row r="7535" spans="1:15" x14ac:dyDescent="0.25">
      <c r="A7535" t="s">
        <v>16</v>
      </c>
      <c r="B7535" t="s">
        <v>3221</v>
      </c>
      <c r="C7535">
        <v>17257</v>
      </c>
      <c r="D7535" t="s">
        <v>428</v>
      </c>
      <c r="E7535" t="s">
        <v>429</v>
      </c>
      <c r="F7535">
        <v>396.61</v>
      </c>
      <c r="G7535">
        <v>231130</v>
      </c>
      <c r="H7535">
        <v>4520</v>
      </c>
      <c r="I7535" t="s">
        <v>254</v>
      </c>
      <c r="J7535">
        <v>452.13</v>
      </c>
      <c r="K7535">
        <v>55.52</v>
      </c>
      <c r="L7535">
        <v>69802</v>
      </c>
      <c r="M7535" t="s">
        <v>283</v>
      </c>
      <c r="N7535" t="str">
        <f>"2361053322  "</f>
        <v xml:space="preserve">2361053322  </v>
      </c>
      <c r="O7535">
        <v>231212</v>
      </c>
    </row>
    <row r="7536" spans="1:15" x14ac:dyDescent="0.25">
      <c r="A7536" t="s">
        <v>16</v>
      </c>
      <c r="B7536" t="s">
        <v>3221</v>
      </c>
      <c r="C7536">
        <v>17257</v>
      </c>
      <c r="D7536" t="s">
        <v>428</v>
      </c>
      <c r="E7536" t="s">
        <v>429</v>
      </c>
      <c r="F7536">
        <v>198.3</v>
      </c>
      <c r="G7536">
        <v>231130</v>
      </c>
      <c r="H7536">
        <v>4520</v>
      </c>
      <c r="I7536" t="s">
        <v>254</v>
      </c>
      <c r="J7536">
        <v>226.06</v>
      </c>
      <c r="K7536">
        <v>27.76</v>
      </c>
      <c r="L7536">
        <v>69804</v>
      </c>
      <c r="M7536" t="s">
        <v>284</v>
      </c>
      <c r="N7536" t="str">
        <f>"2361053322  "</f>
        <v xml:space="preserve">2361053322  </v>
      </c>
      <c r="O7536">
        <v>231212</v>
      </c>
    </row>
    <row r="7537" spans="1:15" x14ac:dyDescent="0.25">
      <c r="A7537" t="s">
        <v>16</v>
      </c>
      <c r="B7537" t="s">
        <v>3221</v>
      </c>
      <c r="C7537">
        <v>17444</v>
      </c>
      <c r="D7537" t="s">
        <v>428</v>
      </c>
      <c r="E7537" t="s">
        <v>429</v>
      </c>
      <c r="F7537">
        <v>566.66</v>
      </c>
      <c r="G7537">
        <v>231130</v>
      </c>
      <c r="H7537">
        <v>4520</v>
      </c>
      <c r="I7537" t="s">
        <v>254</v>
      </c>
      <c r="J7537">
        <v>645.99</v>
      </c>
      <c r="K7537">
        <v>79.33</v>
      </c>
      <c r="L7537">
        <v>44222</v>
      </c>
      <c r="M7537" t="s">
        <v>232</v>
      </c>
      <c r="N7537" t="str">
        <f>"2361053328  "</f>
        <v xml:space="preserve">2361053328  </v>
      </c>
      <c r="O7537">
        <v>231214</v>
      </c>
    </row>
    <row r="7538" spans="1:15" x14ac:dyDescent="0.25">
      <c r="A7538" t="s">
        <v>16</v>
      </c>
      <c r="B7538" t="s">
        <v>3221</v>
      </c>
      <c r="C7538">
        <v>17444</v>
      </c>
      <c r="D7538" t="s">
        <v>428</v>
      </c>
      <c r="E7538" t="s">
        <v>429</v>
      </c>
      <c r="F7538">
        <v>265.35000000000002</v>
      </c>
      <c r="G7538">
        <v>231130</v>
      </c>
      <c r="H7538">
        <v>4520</v>
      </c>
      <c r="I7538" t="s">
        <v>254</v>
      </c>
      <c r="J7538">
        <v>302.5</v>
      </c>
      <c r="K7538">
        <v>37.15</v>
      </c>
      <c r="L7538">
        <v>44253</v>
      </c>
      <c r="M7538" t="s">
        <v>1058</v>
      </c>
      <c r="N7538" t="str">
        <f>"2361053328  "</f>
        <v xml:space="preserve">2361053328  </v>
      </c>
      <c r="O7538">
        <v>231214</v>
      </c>
    </row>
    <row r="7539" spans="1:15" x14ac:dyDescent="0.25">
      <c r="A7539" t="s">
        <v>16</v>
      </c>
      <c r="B7539" t="s">
        <v>3221</v>
      </c>
      <c r="C7539">
        <v>17641</v>
      </c>
      <c r="D7539" t="s">
        <v>428</v>
      </c>
      <c r="E7539" t="s">
        <v>429</v>
      </c>
      <c r="F7539">
        <v>313.97000000000003</v>
      </c>
      <c r="G7539">
        <v>231130</v>
      </c>
      <c r="H7539">
        <v>4520</v>
      </c>
      <c r="I7539" t="s">
        <v>254</v>
      </c>
      <c r="J7539">
        <v>389.32</v>
      </c>
      <c r="K7539">
        <v>75.349999999999994</v>
      </c>
      <c r="L7539">
        <v>59808</v>
      </c>
      <c r="M7539" t="s">
        <v>557</v>
      </c>
      <c r="N7539" t="str">
        <f>"2361053319  "</f>
        <v xml:space="preserve">2361053319  </v>
      </c>
      <c r="O7539">
        <v>231218</v>
      </c>
    </row>
    <row r="7540" spans="1:15" x14ac:dyDescent="0.25">
      <c r="A7540" t="s">
        <v>16</v>
      </c>
      <c r="B7540" t="s">
        <v>3221</v>
      </c>
      <c r="C7540">
        <v>17641</v>
      </c>
      <c r="D7540" t="s">
        <v>428</v>
      </c>
      <c r="E7540" t="s">
        <v>429</v>
      </c>
      <c r="F7540">
        <v>967.74</v>
      </c>
      <c r="G7540">
        <v>231130</v>
      </c>
      <c r="H7540">
        <v>4520</v>
      </c>
      <c r="I7540" t="s">
        <v>254</v>
      </c>
      <c r="J7540">
        <v>1200</v>
      </c>
      <c r="K7540">
        <v>232.26</v>
      </c>
      <c r="L7540">
        <v>59810</v>
      </c>
      <c r="M7540" t="s">
        <v>1840</v>
      </c>
      <c r="N7540" t="str">
        <f>"2361053319  "</f>
        <v xml:space="preserve">2361053319  </v>
      </c>
      <c r="O7540">
        <v>231218</v>
      </c>
    </row>
    <row r="7541" spans="1:15" x14ac:dyDescent="0.25">
      <c r="A7541" t="s">
        <v>16</v>
      </c>
      <c r="B7541" t="s">
        <v>3221</v>
      </c>
      <c r="C7541">
        <v>17682</v>
      </c>
      <c r="D7541" t="s">
        <v>428</v>
      </c>
      <c r="E7541" t="s">
        <v>429</v>
      </c>
      <c r="F7541">
        <v>9.23</v>
      </c>
      <c r="G7541">
        <v>231130</v>
      </c>
      <c r="H7541">
        <v>4520</v>
      </c>
      <c r="I7541" t="s">
        <v>254</v>
      </c>
      <c r="J7541">
        <v>11.45</v>
      </c>
      <c r="K7541">
        <v>2.2200000000000002</v>
      </c>
      <c r="L7541">
        <v>14422</v>
      </c>
      <c r="M7541" t="s">
        <v>228</v>
      </c>
      <c r="N7541" t="str">
        <f t="shared" ref="N7541:N7552" si="156">"2361053327  "</f>
        <v xml:space="preserve">2361053327  </v>
      </c>
      <c r="O7541">
        <v>231220</v>
      </c>
    </row>
    <row r="7542" spans="1:15" x14ac:dyDescent="0.25">
      <c r="A7542" t="s">
        <v>16</v>
      </c>
      <c r="B7542" t="s">
        <v>3221</v>
      </c>
      <c r="C7542">
        <v>17682</v>
      </c>
      <c r="D7542" t="s">
        <v>428</v>
      </c>
      <c r="E7542" t="s">
        <v>429</v>
      </c>
      <c r="F7542">
        <v>90.99</v>
      </c>
      <c r="G7542">
        <v>231130</v>
      </c>
      <c r="H7542">
        <v>4520</v>
      </c>
      <c r="I7542" t="s">
        <v>254</v>
      </c>
      <c r="J7542">
        <v>103.73</v>
      </c>
      <c r="K7542">
        <v>12.74</v>
      </c>
      <c r="L7542">
        <v>14422</v>
      </c>
      <c r="M7542" t="s">
        <v>228</v>
      </c>
      <c r="N7542" t="str">
        <f t="shared" si="156"/>
        <v xml:space="preserve">2361053327  </v>
      </c>
      <c r="O7542">
        <v>231220</v>
      </c>
    </row>
    <row r="7543" spans="1:15" x14ac:dyDescent="0.25">
      <c r="A7543" t="s">
        <v>16</v>
      </c>
      <c r="B7543" t="s">
        <v>3221</v>
      </c>
      <c r="C7543">
        <v>17682</v>
      </c>
      <c r="D7543" t="s">
        <v>428</v>
      </c>
      <c r="E7543" t="s">
        <v>429</v>
      </c>
      <c r="F7543">
        <v>36.93</v>
      </c>
      <c r="G7543">
        <v>231130</v>
      </c>
      <c r="H7543">
        <v>4520</v>
      </c>
      <c r="I7543" t="s">
        <v>254</v>
      </c>
      <c r="J7543">
        <v>45.79</v>
      </c>
      <c r="K7543">
        <v>8.86</v>
      </c>
      <c r="L7543">
        <v>14431</v>
      </c>
      <c r="M7543" t="s">
        <v>861</v>
      </c>
      <c r="N7543" t="str">
        <f t="shared" si="156"/>
        <v xml:space="preserve">2361053327  </v>
      </c>
      <c r="O7543">
        <v>231220</v>
      </c>
    </row>
    <row r="7544" spans="1:15" x14ac:dyDescent="0.25">
      <c r="A7544" t="s">
        <v>16</v>
      </c>
      <c r="B7544" t="s">
        <v>3221</v>
      </c>
      <c r="C7544">
        <v>17682</v>
      </c>
      <c r="D7544" t="s">
        <v>428</v>
      </c>
      <c r="E7544" t="s">
        <v>429</v>
      </c>
      <c r="F7544">
        <v>363.96</v>
      </c>
      <c r="G7544">
        <v>231130</v>
      </c>
      <c r="H7544">
        <v>4520</v>
      </c>
      <c r="I7544" t="s">
        <v>254</v>
      </c>
      <c r="J7544">
        <v>414.92</v>
      </c>
      <c r="K7544">
        <v>50.96</v>
      </c>
      <c r="L7544">
        <v>14431</v>
      </c>
      <c r="M7544" t="s">
        <v>861</v>
      </c>
      <c r="N7544" t="str">
        <f t="shared" si="156"/>
        <v xml:space="preserve">2361053327  </v>
      </c>
      <c r="O7544">
        <v>231220</v>
      </c>
    </row>
    <row r="7545" spans="1:15" x14ac:dyDescent="0.25">
      <c r="A7545" t="s">
        <v>16</v>
      </c>
      <c r="B7545" t="s">
        <v>3221</v>
      </c>
      <c r="C7545">
        <v>17682</v>
      </c>
      <c r="D7545" t="s">
        <v>428</v>
      </c>
      <c r="E7545" t="s">
        <v>429</v>
      </c>
      <c r="F7545">
        <v>156.94999999999999</v>
      </c>
      <c r="G7545">
        <v>231130</v>
      </c>
      <c r="H7545">
        <v>4520</v>
      </c>
      <c r="I7545" t="s">
        <v>254</v>
      </c>
      <c r="J7545">
        <v>194.62</v>
      </c>
      <c r="K7545">
        <v>37.67</v>
      </c>
      <c r="L7545">
        <v>14432</v>
      </c>
      <c r="M7545" t="s">
        <v>862</v>
      </c>
      <c r="N7545" t="str">
        <f t="shared" si="156"/>
        <v xml:space="preserve">2361053327  </v>
      </c>
      <c r="O7545">
        <v>231220</v>
      </c>
    </row>
    <row r="7546" spans="1:15" x14ac:dyDescent="0.25">
      <c r="A7546" t="s">
        <v>16</v>
      </c>
      <c r="B7546" t="s">
        <v>3221</v>
      </c>
      <c r="C7546">
        <v>17682</v>
      </c>
      <c r="D7546" t="s">
        <v>428</v>
      </c>
      <c r="E7546" t="s">
        <v>429</v>
      </c>
      <c r="F7546">
        <v>1546.85</v>
      </c>
      <c r="G7546">
        <v>231130</v>
      </c>
      <c r="H7546">
        <v>4520</v>
      </c>
      <c r="I7546" t="s">
        <v>254</v>
      </c>
      <c r="J7546">
        <v>1763.41</v>
      </c>
      <c r="K7546">
        <v>216.56</v>
      </c>
      <c r="L7546">
        <v>14432</v>
      </c>
      <c r="M7546" t="s">
        <v>862</v>
      </c>
      <c r="N7546" t="str">
        <f t="shared" si="156"/>
        <v xml:space="preserve">2361053327  </v>
      </c>
      <c r="O7546">
        <v>231220</v>
      </c>
    </row>
    <row r="7547" spans="1:15" x14ac:dyDescent="0.25">
      <c r="A7547" t="s">
        <v>16</v>
      </c>
      <c r="B7547" t="s">
        <v>3221</v>
      </c>
      <c r="C7547">
        <v>17682</v>
      </c>
      <c r="D7547" t="s">
        <v>428</v>
      </c>
      <c r="E7547" t="s">
        <v>429</v>
      </c>
      <c r="F7547">
        <v>9.24</v>
      </c>
      <c r="G7547">
        <v>231130</v>
      </c>
      <c r="H7547">
        <v>4520</v>
      </c>
      <c r="I7547" t="s">
        <v>254</v>
      </c>
      <c r="J7547">
        <v>11.46</v>
      </c>
      <c r="K7547">
        <v>2.2200000000000002</v>
      </c>
      <c r="L7547">
        <v>14640</v>
      </c>
      <c r="M7547" t="s">
        <v>229</v>
      </c>
      <c r="N7547" t="str">
        <f t="shared" si="156"/>
        <v xml:space="preserve">2361053327  </v>
      </c>
      <c r="O7547">
        <v>231220</v>
      </c>
    </row>
    <row r="7548" spans="1:15" x14ac:dyDescent="0.25">
      <c r="A7548" t="s">
        <v>16</v>
      </c>
      <c r="B7548" t="s">
        <v>3221</v>
      </c>
      <c r="C7548">
        <v>17682</v>
      </c>
      <c r="D7548" t="s">
        <v>428</v>
      </c>
      <c r="E7548" t="s">
        <v>429</v>
      </c>
      <c r="F7548">
        <v>90.98</v>
      </c>
      <c r="G7548">
        <v>231130</v>
      </c>
      <c r="H7548">
        <v>4520</v>
      </c>
      <c r="I7548" t="s">
        <v>254</v>
      </c>
      <c r="J7548">
        <v>103.72</v>
      </c>
      <c r="K7548">
        <v>12.74</v>
      </c>
      <c r="L7548">
        <v>14640</v>
      </c>
      <c r="M7548" t="s">
        <v>229</v>
      </c>
      <c r="N7548" t="str">
        <f t="shared" si="156"/>
        <v xml:space="preserve">2361053327  </v>
      </c>
      <c r="O7548">
        <v>231220</v>
      </c>
    </row>
    <row r="7549" spans="1:15" x14ac:dyDescent="0.25">
      <c r="A7549" t="s">
        <v>16</v>
      </c>
      <c r="B7549" t="s">
        <v>3221</v>
      </c>
      <c r="C7549">
        <v>17682</v>
      </c>
      <c r="D7549" t="s">
        <v>428</v>
      </c>
      <c r="E7549" t="s">
        <v>429</v>
      </c>
      <c r="F7549">
        <v>36.93</v>
      </c>
      <c r="G7549">
        <v>231130</v>
      </c>
      <c r="H7549">
        <v>4520</v>
      </c>
      <c r="I7549" t="s">
        <v>254</v>
      </c>
      <c r="J7549">
        <v>45.79</v>
      </c>
      <c r="K7549">
        <v>8.86</v>
      </c>
      <c r="L7549">
        <v>14642</v>
      </c>
      <c r="M7549" t="s">
        <v>863</v>
      </c>
      <c r="N7549" t="str">
        <f t="shared" si="156"/>
        <v xml:space="preserve">2361053327  </v>
      </c>
      <c r="O7549">
        <v>231220</v>
      </c>
    </row>
    <row r="7550" spans="1:15" x14ac:dyDescent="0.25">
      <c r="A7550" t="s">
        <v>16</v>
      </c>
      <c r="B7550" t="s">
        <v>3221</v>
      </c>
      <c r="C7550">
        <v>17682</v>
      </c>
      <c r="D7550" t="s">
        <v>428</v>
      </c>
      <c r="E7550" t="s">
        <v>429</v>
      </c>
      <c r="F7550">
        <v>363.96</v>
      </c>
      <c r="G7550">
        <v>231130</v>
      </c>
      <c r="H7550">
        <v>4520</v>
      </c>
      <c r="I7550" t="s">
        <v>254</v>
      </c>
      <c r="J7550">
        <v>414.92</v>
      </c>
      <c r="K7550">
        <v>50.96</v>
      </c>
      <c r="L7550">
        <v>14642</v>
      </c>
      <c r="M7550" t="s">
        <v>863</v>
      </c>
      <c r="N7550" t="str">
        <f t="shared" si="156"/>
        <v xml:space="preserve">2361053327  </v>
      </c>
      <c r="O7550">
        <v>231220</v>
      </c>
    </row>
    <row r="7551" spans="1:15" x14ac:dyDescent="0.25">
      <c r="A7551" t="s">
        <v>16</v>
      </c>
      <c r="B7551" t="s">
        <v>3221</v>
      </c>
      <c r="C7551">
        <v>17682</v>
      </c>
      <c r="D7551" t="s">
        <v>428</v>
      </c>
      <c r="E7551" t="s">
        <v>429</v>
      </c>
      <c r="F7551">
        <v>673.98</v>
      </c>
      <c r="G7551">
        <v>231130</v>
      </c>
      <c r="H7551">
        <v>4520</v>
      </c>
      <c r="I7551" t="s">
        <v>254</v>
      </c>
      <c r="J7551">
        <v>835.74</v>
      </c>
      <c r="K7551">
        <v>161.76</v>
      </c>
      <c r="L7551">
        <v>14912</v>
      </c>
      <c r="M7551" t="s">
        <v>230</v>
      </c>
      <c r="N7551" t="str">
        <f t="shared" si="156"/>
        <v xml:space="preserve">2361053327  </v>
      </c>
      <c r="O7551">
        <v>231220</v>
      </c>
    </row>
    <row r="7552" spans="1:15" x14ac:dyDescent="0.25">
      <c r="A7552" t="s">
        <v>16</v>
      </c>
      <c r="B7552" t="s">
        <v>3221</v>
      </c>
      <c r="C7552">
        <v>17682</v>
      </c>
      <c r="D7552" t="s">
        <v>428</v>
      </c>
      <c r="E7552" t="s">
        <v>429</v>
      </c>
      <c r="F7552">
        <v>6642.35</v>
      </c>
      <c r="G7552">
        <v>231130</v>
      </c>
      <c r="H7552">
        <v>4520</v>
      </c>
      <c r="I7552" t="s">
        <v>254</v>
      </c>
      <c r="J7552">
        <v>7572.28</v>
      </c>
      <c r="K7552">
        <v>929.93</v>
      </c>
      <c r="L7552">
        <v>14912</v>
      </c>
      <c r="M7552" t="s">
        <v>230</v>
      </c>
      <c r="N7552" t="str">
        <f t="shared" si="156"/>
        <v xml:space="preserve">2361053327  </v>
      </c>
      <c r="O7552">
        <v>231220</v>
      </c>
    </row>
    <row r="7553" spans="1:15" x14ac:dyDescent="0.25">
      <c r="A7553" t="s">
        <v>16</v>
      </c>
      <c r="B7553" t="s">
        <v>3221</v>
      </c>
      <c r="C7553">
        <v>18324</v>
      </c>
      <c r="D7553" t="s">
        <v>428</v>
      </c>
      <c r="E7553" t="s">
        <v>429</v>
      </c>
      <c r="F7553">
        <v>4.84</v>
      </c>
      <c r="G7553">
        <v>231215</v>
      </c>
      <c r="H7553">
        <v>4520</v>
      </c>
      <c r="I7553" t="s">
        <v>254</v>
      </c>
      <c r="J7553">
        <v>6</v>
      </c>
      <c r="K7553">
        <v>1.1599999999999999</v>
      </c>
      <c r="L7553">
        <v>17913</v>
      </c>
      <c r="M7553" t="s">
        <v>431</v>
      </c>
      <c r="N7553" t="str">
        <f>"2361118290  "</f>
        <v xml:space="preserve">2361118290  </v>
      </c>
      <c r="O7553">
        <v>240102</v>
      </c>
    </row>
    <row r="7554" spans="1:15" x14ac:dyDescent="0.25">
      <c r="A7554" t="s">
        <v>16</v>
      </c>
      <c r="B7554" t="s">
        <v>3221</v>
      </c>
      <c r="C7554">
        <v>18324</v>
      </c>
      <c r="D7554" t="s">
        <v>428</v>
      </c>
      <c r="E7554" t="s">
        <v>429</v>
      </c>
      <c r="F7554">
        <v>4942.82</v>
      </c>
      <c r="G7554">
        <v>231215</v>
      </c>
      <c r="H7554">
        <v>4520</v>
      </c>
      <c r="I7554" t="s">
        <v>254</v>
      </c>
      <c r="J7554">
        <v>5634.82</v>
      </c>
      <c r="K7554">
        <v>692</v>
      </c>
      <c r="L7554">
        <v>17913</v>
      </c>
      <c r="M7554" t="s">
        <v>431</v>
      </c>
      <c r="N7554" t="str">
        <f>"2361118290  "</f>
        <v xml:space="preserve">2361118290  </v>
      </c>
      <c r="O7554">
        <v>240102</v>
      </c>
    </row>
    <row r="7555" spans="1:15" x14ac:dyDescent="0.25">
      <c r="A7555" t="s">
        <v>16</v>
      </c>
      <c r="B7555" t="s">
        <v>3221</v>
      </c>
      <c r="C7555">
        <v>18324</v>
      </c>
      <c r="D7555" t="s">
        <v>428</v>
      </c>
      <c r="E7555" t="s">
        <v>429</v>
      </c>
      <c r="F7555">
        <v>421.05</v>
      </c>
      <c r="G7555">
        <v>231215</v>
      </c>
      <c r="H7555">
        <v>4520</v>
      </c>
      <c r="I7555" t="s">
        <v>254</v>
      </c>
      <c r="J7555">
        <v>480</v>
      </c>
      <c r="K7555">
        <v>58.95</v>
      </c>
      <c r="L7555">
        <v>17915</v>
      </c>
      <c r="M7555" t="s">
        <v>572</v>
      </c>
      <c r="N7555" t="str">
        <f>"2361118290  "</f>
        <v xml:space="preserve">2361118290  </v>
      </c>
      <c r="O7555">
        <v>240102</v>
      </c>
    </row>
    <row r="7556" spans="1:15" x14ac:dyDescent="0.25">
      <c r="A7556" t="s">
        <v>16</v>
      </c>
      <c r="B7556" t="s">
        <v>3221</v>
      </c>
      <c r="C7556">
        <v>18324</v>
      </c>
      <c r="D7556" t="s">
        <v>428</v>
      </c>
      <c r="E7556" t="s">
        <v>429</v>
      </c>
      <c r="F7556">
        <v>790.92</v>
      </c>
      <c r="G7556">
        <v>231215</v>
      </c>
      <c r="H7556">
        <v>4520</v>
      </c>
      <c r="I7556" t="s">
        <v>254</v>
      </c>
      <c r="J7556">
        <v>901.65</v>
      </c>
      <c r="K7556">
        <v>110.73</v>
      </c>
      <c r="L7556">
        <v>17982</v>
      </c>
      <c r="M7556" t="s">
        <v>432</v>
      </c>
      <c r="N7556" t="str">
        <f>"2361118290  "</f>
        <v xml:space="preserve">2361118290  </v>
      </c>
      <c r="O7556">
        <v>240102</v>
      </c>
    </row>
    <row r="7557" spans="1:15" x14ac:dyDescent="0.25">
      <c r="A7557" t="s">
        <v>16</v>
      </c>
      <c r="B7557" t="s">
        <v>3221</v>
      </c>
      <c r="C7557">
        <v>18351</v>
      </c>
      <c r="D7557" t="s">
        <v>428</v>
      </c>
      <c r="E7557" t="s">
        <v>429</v>
      </c>
      <c r="F7557">
        <v>834.07</v>
      </c>
      <c r="G7557">
        <v>231215</v>
      </c>
      <c r="H7557">
        <v>4520</v>
      </c>
      <c r="I7557" t="s">
        <v>254</v>
      </c>
      <c r="J7557">
        <v>950.84</v>
      </c>
      <c r="K7557">
        <v>116.77</v>
      </c>
      <c r="L7557">
        <v>69112</v>
      </c>
      <c r="M7557" t="s">
        <v>313</v>
      </c>
      <c r="N7557" t="str">
        <f>"2361118293  "</f>
        <v xml:space="preserve">2361118293  </v>
      </c>
      <c r="O7557">
        <v>240103</v>
      </c>
    </row>
    <row r="7558" spans="1:15" x14ac:dyDescent="0.25">
      <c r="A7558" t="s">
        <v>16</v>
      </c>
      <c r="B7558" t="s">
        <v>3221</v>
      </c>
      <c r="C7558">
        <v>18351</v>
      </c>
      <c r="D7558" t="s">
        <v>428</v>
      </c>
      <c r="E7558" t="s">
        <v>429</v>
      </c>
      <c r="F7558">
        <v>46.34</v>
      </c>
      <c r="G7558">
        <v>231215</v>
      </c>
      <c r="H7558">
        <v>4520</v>
      </c>
      <c r="I7558" t="s">
        <v>254</v>
      </c>
      <c r="J7558">
        <v>52.83</v>
      </c>
      <c r="K7558">
        <v>6.49</v>
      </c>
      <c r="L7558">
        <v>69810</v>
      </c>
      <c r="M7558" t="s">
        <v>314</v>
      </c>
      <c r="N7558" t="str">
        <f>"2361118293  "</f>
        <v xml:space="preserve">2361118293  </v>
      </c>
      <c r="O7558">
        <v>240103</v>
      </c>
    </row>
    <row r="7559" spans="1:15" x14ac:dyDescent="0.25">
      <c r="A7559" t="s">
        <v>16</v>
      </c>
      <c r="B7559" t="s">
        <v>3221</v>
      </c>
      <c r="C7559">
        <v>18351</v>
      </c>
      <c r="D7559" t="s">
        <v>428</v>
      </c>
      <c r="E7559" t="s">
        <v>429</v>
      </c>
      <c r="F7559">
        <v>46.33</v>
      </c>
      <c r="G7559">
        <v>231215</v>
      </c>
      <c r="H7559">
        <v>4520</v>
      </c>
      <c r="I7559" t="s">
        <v>254</v>
      </c>
      <c r="J7559">
        <v>52.82</v>
      </c>
      <c r="K7559">
        <v>6.49</v>
      </c>
      <c r="L7559">
        <v>69811</v>
      </c>
      <c r="M7559" t="s">
        <v>315</v>
      </c>
      <c r="N7559" t="str">
        <f>"2361118293  "</f>
        <v xml:space="preserve">2361118293  </v>
      </c>
      <c r="O7559">
        <v>240103</v>
      </c>
    </row>
    <row r="7560" spans="1:15" x14ac:dyDescent="0.25">
      <c r="A7560" t="s">
        <v>16</v>
      </c>
      <c r="B7560" t="s">
        <v>3221</v>
      </c>
      <c r="C7560">
        <v>18444</v>
      </c>
      <c r="D7560" t="s">
        <v>428</v>
      </c>
      <c r="E7560" t="s">
        <v>429</v>
      </c>
      <c r="F7560">
        <v>3164.35</v>
      </c>
      <c r="G7560">
        <v>231215</v>
      </c>
      <c r="H7560">
        <v>4520</v>
      </c>
      <c r="I7560" t="s">
        <v>254</v>
      </c>
      <c r="J7560">
        <v>3923.79</v>
      </c>
      <c r="K7560">
        <v>759.44</v>
      </c>
      <c r="L7560">
        <v>59113</v>
      </c>
      <c r="M7560" t="s">
        <v>235</v>
      </c>
      <c r="N7560" t="str">
        <f>"2361118285  "</f>
        <v xml:space="preserve">2361118285  </v>
      </c>
      <c r="O7560">
        <v>240103</v>
      </c>
    </row>
    <row r="7561" spans="1:15" x14ac:dyDescent="0.25">
      <c r="A7561" t="s">
        <v>16</v>
      </c>
      <c r="B7561" t="s">
        <v>3221</v>
      </c>
      <c r="C7561">
        <v>18444</v>
      </c>
      <c r="D7561" t="s">
        <v>428</v>
      </c>
      <c r="E7561" t="s">
        <v>429</v>
      </c>
      <c r="F7561">
        <v>607.39</v>
      </c>
      <c r="G7561">
        <v>231215</v>
      </c>
      <c r="H7561">
        <v>4520</v>
      </c>
      <c r="I7561" t="s">
        <v>254</v>
      </c>
      <c r="J7561">
        <v>692.43</v>
      </c>
      <c r="K7561">
        <v>85.04</v>
      </c>
      <c r="L7561">
        <v>59803</v>
      </c>
      <c r="M7561" t="s">
        <v>533</v>
      </c>
      <c r="N7561" t="str">
        <f>"2361118285  "</f>
        <v xml:space="preserve">2361118285  </v>
      </c>
      <c r="O7561">
        <v>240103</v>
      </c>
    </row>
    <row r="7562" spans="1:15" x14ac:dyDescent="0.25">
      <c r="A7562" t="s">
        <v>16</v>
      </c>
      <c r="B7562" t="s">
        <v>3221</v>
      </c>
      <c r="C7562">
        <v>18451</v>
      </c>
      <c r="D7562" t="s">
        <v>428</v>
      </c>
      <c r="E7562" t="s">
        <v>429</v>
      </c>
      <c r="F7562">
        <v>2093.59</v>
      </c>
      <c r="G7562">
        <v>231215</v>
      </c>
      <c r="H7562">
        <v>4520</v>
      </c>
      <c r="I7562" t="s">
        <v>254</v>
      </c>
      <c r="J7562">
        <v>2386.69</v>
      </c>
      <c r="K7562">
        <v>293.10000000000002</v>
      </c>
      <c r="L7562">
        <v>59114</v>
      </c>
      <c r="M7562" t="s">
        <v>556</v>
      </c>
      <c r="N7562" t="str">
        <f>"2361118283  "</f>
        <v xml:space="preserve">2361118283  </v>
      </c>
      <c r="O7562">
        <v>240103</v>
      </c>
    </row>
    <row r="7563" spans="1:15" x14ac:dyDescent="0.25">
      <c r="A7563" t="s">
        <v>16</v>
      </c>
      <c r="B7563" t="s">
        <v>3221</v>
      </c>
      <c r="C7563">
        <v>18451</v>
      </c>
      <c r="D7563" t="s">
        <v>428</v>
      </c>
      <c r="E7563" t="s">
        <v>429</v>
      </c>
      <c r="F7563">
        <v>110.19</v>
      </c>
      <c r="G7563">
        <v>231215</v>
      </c>
      <c r="H7563">
        <v>4520</v>
      </c>
      <c r="I7563" t="s">
        <v>254</v>
      </c>
      <c r="J7563">
        <v>125.62</v>
      </c>
      <c r="K7563">
        <v>15.43</v>
      </c>
      <c r="L7563">
        <v>59808</v>
      </c>
      <c r="M7563" t="s">
        <v>557</v>
      </c>
      <c r="N7563" t="str">
        <f>"2361118283  "</f>
        <v xml:space="preserve">2361118283  </v>
      </c>
      <c r="O7563">
        <v>240103</v>
      </c>
    </row>
    <row r="7564" spans="1:15" x14ac:dyDescent="0.25">
      <c r="A7564" t="s">
        <v>16</v>
      </c>
      <c r="B7564" t="s">
        <v>3221</v>
      </c>
      <c r="C7564">
        <v>18465</v>
      </c>
      <c r="D7564" t="s">
        <v>428</v>
      </c>
      <c r="E7564" t="s">
        <v>429</v>
      </c>
      <c r="F7564">
        <v>1739.42</v>
      </c>
      <c r="G7564">
        <v>231215</v>
      </c>
      <c r="H7564">
        <v>4520</v>
      </c>
      <c r="I7564" t="s">
        <v>254</v>
      </c>
      <c r="J7564">
        <v>1982.94</v>
      </c>
      <c r="K7564">
        <v>243.52</v>
      </c>
      <c r="L7564">
        <v>54422</v>
      </c>
      <c r="M7564" t="s">
        <v>234</v>
      </c>
      <c r="N7564" t="str">
        <f>"2361118284  "</f>
        <v xml:space="preserve">2361118284  </v>
      </c>
      <c r="O7564">
        <v>240103</v>
      </c>
    </row>
    <row r="7565" spans="1:15" x14ac:dyDescent="0.25">
      <c r="A7565" t="s">
        <v>16</v>
      </c>
      <c r="B7565" t="s">
        <v>3221</v>
      </c>
      <c r="C7565">
        <v>18465</v>
      </c>
      <c r="D7565" t="s">
        <v>428</v>
      </c>
      <c r="E7565" t="s">
        <v>429</v>
      </c>
      <c r="F7565">
        <v>1055.8699999999999</v>
      </c>
      <c r="G7565">
        <v>231215</v>
      </c>
      <c r="H7565">
        <v>4520</v>
      </c>
      <c r="I7565" t="s">
        <v>254</v>
      </c>
      <c r="J7565">
        <v>1309.28</v>
      </c>
      <c r="K7565">
        <v>253.41</v>
      </c>
      <c r="L7565">
        <v>54451</v>
      </c>
      <c r="M7565" t="s">
        <v>158</v>
      </c>
      <c r="N7565" t="str">
        <f>"2361118284  "</f>
        <v xml:space="preserve">2361118284  </v>
      </c>
      <c r="O7565">
        <v>240103</v>
      </c>
    </row>
    <row r="7566" spans="1:15" x14ac:dyDescent="0.25">
      <c r="A7566" t="s">
        <v>16</v>
      </c>
      <c r="B7566" t="s">
        <v>3221</v>
      </c>
      <c r="C7566">
        <v>18465</v>
      </c>
      <c r="D7566" t="s">
        <v>428</v>
      </c>
      <c r="E7566" t="s">
        <v>429</v>
      </c>
      <c r="F7566">
        <v>4002.63</v>
      </c>
      <c r="G7566">
        <v>231215</v>
      </c>
      <c r="H7566">
        <v>4520</v>
      </c>
      <c r="I7566" t="s">
        <v>254</v>
      </c>
      <c r="J7566">
        <v>4563</v>
      </c>
      <c r="K7566">
        <v>560.37</v>
      </c>
      <c r="L7566">
        <v>54451</v>
      </c>
      <c r="M7566" t="s">
        <v>158</v>
      </c>
      <c r="N7566" t="str">
        <f>"2361118284  "</f>
        <v xml:space="preserve">2361118284  </v>
      </c>
      <c r="O7566">
        <v>240103</v>
      </c>
    </row>
    <row r="7567" spans="1:15" x14ac:dyDescent="0.25">
      <c r="A7567" t="s">
        <v>16</v>
      </c>
      <c r="B7567" t="s">
        <v>3221</v>
      </c>
      <c r="C7567">
        <v>18465</v>
      </c>
      <c r="D7567" t="s">
        <v>428</v>
      </c>
      <c r="E7567" t="s">
        <v>429</v>
      </c>
      <c r="F7567">
        <v>482.46</v>
      </c>
      <c r="G7567">
        <v>231215</v>
      </c>
      <c r="H7567">
        <v>4520</v>
      </c>
      <c r="I7567" t="s">
        <v>254</v>
      </c>
      <c r="J7567">
        <v>550</v>
      </c>
      <c r="K7567">
        <v>67.540000000000006</v>
      </c>
      <c r="L7567">
        <v>59113</v>
      </c>
      <c r="M7567" t="s">
        <v>235</v>
      </c>
      <c r="N7567" t="str">
        <f>"2361118284  "</f>
        <v xml:space="preserve">2361118284  </v>
      </c>
      <c r="O7567">
        <v>240103</v>
      </c>
    </row>
    <row r="7568" spans="1:15" x14ac:dyDescent="0.25">
      <c r="A7568" t="s">
        <v>16</v>
      </c>
      <c r="B7568" t="s">
        <v>3221</v>
      </c>
      <c r="C7568">
        <v>18478</v>
      </c>
      <c r="D7568" t="s">
        <v>428</v>
      </c>
      <c r="E7568" t="s">
        <v>429</v>
      </c>
      <c r="F7568">
        <v>239.36</v>
      </c>
      <c r="G7568">
        <v>231215</v>
      </c>
      <c r="H7568">
        <v>4520</v>
      </c>
      <c r="I7568" t="s">
        <v>254</v>
      </c>
      <c r="J7568">
        <v>272.87</v>
      </c>
      <c r="K7568">
        <v>33.51</v>
      </c>
      <c r="L7568">
        <v>44253</v>
      </c>
      <c r="M7568" t="s">
        <v>1058</v>
      </c>
      <c r="N7568" t="str">
        <f>"2361118292  "</f>
        <v xml:space="preserve">2361118292  </v>
      </c>
      <c r="O7568">
        <v>240103</v>
      </c>
    </row>
    <row r="7569" spans="1:15" x14ac:dyDescent="0.25">
      <c r="A7569" t="s">
        <v>16</v>
      </c>
      <c r="B7569" t="s">
        <v>3221</v>
      </c>
      <c r="C7569">
        <v>18496</v>
      </c>
      <c r="D7569" t="s">
        <v>428</v>
      </c>
      <c r="E7569" t="s">
        <v>429</v>
      </c>
      <c r="F7569">
        <v>15.72</v>
      </c>
      <c r="G7569">
        <v>231215</v>
      </c>
      <c r="H7569">
        <v>4520</v>
      </c>
      <c r="I7569" t="s">
        <v>254</v>
      </c>
      <c r="J7569">
        <v>19.489999999999998</v>
      </c>
      <c r="K7569">
        <v>3.77</v>
      </c>
      <c r="L7569">
        <v>14422</v>
      </c>
      <c r="M7569" t="s">
        <v>228</v>
      </c>
      <c r="N7569" t="str">
        <f t="shared" ref="N7569:N7580" si="157">"2361118291  "</f>
        <v xml:space="preserve">2361118291  </v>
      </c>
      <c r="O7569">
        <v>240103</v>
      </c>
    </row>
    <row r="7570" spans="1:15" x14ac:dyDescent="0.25">
      <c r="A7570" t="s">
        <v>16</v>
      </c>
      <c r="B7570" t="s">
        <v>3221</v>
      </c>
      <c r="C7570">
        <v>18496</v>
      </c>
      <c r="D7570" t="s">
        <v>428</v>
      </c>
      <c r="E7570" t="s">
        <v>429</v>
      </c>
      <c r="F7570">
        <v>110.55</v>
      </c>
      <c r="G7570">
        <v>231215</v>
      </c>
      <c r="H7570">
        <v>4520</v>
      </c>
      <c r="I7570" t="s">
        <v>254</v>
      </c>
      <c r="J7570">
        <v>126.03</v>
      </c>
      <c r="K7570">
        <v>15.48</v>
      </c>
      <c r="L7570">
        <v>14422</v>
      </c>
      <c r="M7570" t="s">
        <v>228</v>
      </c>
      <c r="N7570" t="str">
        <f t="shared" si="157"/>
        <v xml:space="preserve">2361118291  </v>
      </c>
      <c r="O7570">
        <v>240103</v>
      </c>
    </row>
    <row r="7571" spans="1:15" x14ac:dyDescent="0.25">
      <c r="A7571" t="s">
        <v>16</v>
      </c>
      <c r="B7571" t="s">
        <v>3221</v>
      </c>
      <c r="C7571">
        <v>18496</v>
      </c>
      <c r="D7571" t="s">
        <v>428</v>
      </c>
      <c r="E7571" t="s">
        <v>429</v>
      </c>
      <c r="F7571">
        <v>62.87</v>
      </c>
      <c r="G7571">
        <v>231215</v>
      </c>
      <c r="H7571">
        <v>4520</v>
      </c>
      <c r="I7571" t="s">
        <v>254</v>
      </c>
      <c r="J7571">
        <v>77.959999999999994</v>
      </c>
      <c r="K7571">
        <v>15.09</v>
      </c>
      <c r="L7571">
        <v>14431</v>
      </c>
      <c r="M7571" t="s">
        <v>861</v>
      </c>
      <c r="N7571" t="str">
        <f t="shared" si="157"/>
        <v xml:space="preserve">2361118291  </v>
      </c>
      <c r="O7571">
        <v>240103</v>
      </c>
    </row>
    <row r="7572" spans="1:15" x14ac:dyDescent="0.25">
      <c r="A7572" t="s">
        <v>16</v>
      </c>
      <c r="B7572" t="s">
        <v>3221</v>
      </c>
      <c r="C7572">
        <v>18496</v>
      </c>
      <c r="D7572" t="s">
        <v>428</v>
      </c>
      <c r="E7572" t="s">
        <v>429</v>
      </c>
      <c r="F7572">
        <v>442.22</v>
      </c>
      <c r="G7572">
        <v>231215</v>
      </c>
      <c r="H7572">
        <v>4520</v>
      </c>
      <c r="I7572" t="s">
        <v>254</v>
      </c>
      <c r="J7572">
        <v>504.13</v>
      </c>
      <c r="K7572">
        <v>61.91</v>
      </c>
      <c r="L7572">
        <v>14431</v>
      </c>
      <c r="M7572" t="s">
        <v>861</v>
      </c>
      <c r="N7572" t="str">
        <f t="shared" si="157"/>
        <v xml:space="preserve">2361118291  </v>
      </c>
      <c r="O7572">
        <v>240103</v>
      </c>
    </row>
    <row r="7573" spans="1:15" x14ac:dyDescent="0.25">
      <c r="A7573" t="s">
        <v>16</v>
      </c>
      <c r="B7573" t="s">
        <v>3221</v>
      </c>
      <c r="C7573">
        <v>18496</v>
      </c>
      <c r="D7573" t="s">
        <v>428</v>
      </c>
      <c r="E7573" t="s">
        <v>429</v>
      </c>
      <c r="F7573">
        <v>267.19</v>
      </c>
      <c r="G7573">
        <v>231215</v>
      </c>
      <c r="H7573">
        <v>4520</v>
      </c>
      <c r="I7573" t="s">
        <v>254</v>
      </c>
      <c r="J7573">
        <v>331.31</v>
      </c>
      <c r="K7573">
        <v>64.12</v>
      </c>
      <c r="L7573">
        <v>14432</v>
      </c>
      <c r="M7573" t="s">
        <v>862</v>
      </c>
      <c r="N7573" t="str">
        <f t="shared" si="157"/>
        <v xml:space="preserve">2361118291  </v>
      </c>
      <c r="O7573">
        <v>240103</v>
      </c>
    </row>
    <row r="7574" spans="1:15" x14ac:dyDescent="0.25">
      <c r="A7574" t="s">
        <v>16</v>
      </c>
      <c r="B7574" t="s">
        <v>3221</v>
      </c>
      <c r="C7574">
        <v>18496</v>
      </c>
      <c r="D7574" t="s">
        <v>428</v>
      </c>
      <c r="E7574" t="s">
        <v>429</v>
      </c>
      <c r="F7574">
        <v>1879.44</v>
      </c>
      <c r="G7574">
        <v>231215</v>
      </c>
      <c r="H7574">
        <v>4520</v>
      </c>
      <c r="I7574" t="s">
        <v>254</v>
      </c>
      <c r="J7574">
        <v>2142.56</v>
      </c>
      <c r="K7574">
        <v>263.12</v>
      </c>
      <c r="L7574">
        <v>14432</v>
      </c>
      <c r="M7574" t="s">
        <v>862</v>
      </c>
      <c r="N7574" t="str">
        <f t="shared" si="157"/>
        <v xml:space="preserve">2361118291  </v>
      </c>
      <c r="O7574">
        <v>240103</v>
      </c>
    </row>
    <row r="7575" spans="1:15" x14ac:dyDescent="0.25">
      <c r="A7575" t="s">
        <v>16</v>
      </c>
      <c r="B7575" t="s">
        <v>3221</v>
      </c>
      <c r="C7575">
        <v>18496</v>
      </c>
      <c r="D7575" t="s">
        <v>428</v>
      </c>
      <c r="E7575" t="s">
        <v>429</v>
      </c>
      <c r="F7575">
        <v>15.71</v>
      </c>
      <c r="G7575">
        <v>231215</v>
      </c>
      <c r="H7575">
        <v>4520</v>
      </c>
      <c r="I7575" t="s">
        <v>254</v>
      </c>
      <c r="J7575">
        <v>19.48</v>
      </c>
      <c r="K7575">
        <v>3.77</v>
      </c>
      <c r="L7575">
        <v>14640</v>
      </c>
      <c r="M7575" t="s">
        <v>229</v>
      </c>
      <c r="N7575" t="str">
        <f t="shared" si="157"/>
        <v xml:space="preserve">2361118291  </v>
      </c>
      <c r="O7575">
        <v>240103</v>
      </c>
    </row>
    <row r="7576" spans="1:15" x14ac:dyDescent="0.25">
      <c r="A7576" t="s">
        <v>16</v>
      </c>
      <c r="B7576" t="s">
        <v>3221</v>
      </c>
      <c r="C7576">
        <v>18496</v>
      </c>
      <c r="D7576" t="s">
        <v>428</v>
      </c>
      <c r="E7576" t="s">
        <v>429</v>
      </c>
      <c r="F7576">
        <v>110.55</v>
      </c>
      <c r="G7576">
        <v>231215</v>
      </c>
      <c r="H7576">
        <v>4520</v>
      </c>
      <c r="I7576" t="s">
        <v>254</v>
      </c>
      <c r="J7576">
        <v>126.03</v>
      </c>
      <c r="K7576">
        <v>15.48</v>
      </c>
      <c r="L7576">
        <v>14640</v>
      </c>
      <c r="M7576" t="s">
        <v>229</v>
      </c>
      <c r="N7576" t="str">
        <f t="shared" si="157"/>
        <v xml:space="preserve">2361118291  </v>
      </c>
      <c r="O7576">
        <v>240103</v>
      </c>
    </row>
    <row r="7577" spans="1:15" x14ac:dyDescent="0.25">
      <c r="A7577" t="s">
        <v>16</v>
      </c>
      <c r="B7577" t="s">
        <v>3221</v>
      </c>
      <c r="C7577">
        <v>18496</v>
      </c>
      <c r="D7577" t="s">
        <v>428</v>
      </c>
      <c r="E7577" t="s">
        <v>429</v>
      </c>
      <c r="F7577">
        <v>62.87</v>
      </c>
      <c r="G7577">
        <v>231215</v>
      </c>
      <c r="H7577">
        <v>4520</v>
      </c>
      <c r="I7577" t="s">
        <v>254</v>
      </c>
      <c r="J7577">
        <v>77.959999999999994</v>
      </c>
      <c r="K7577">
        <v>15.09</v>
      </c>
      <c r="L7577">
        <v>14642</v>
      </c>
      <c r="M7577" t="s">
        <v>863</v>
      </c>
      <c r="N7577" t="str">
        <f t="shared" si="157"/>
        <v xml:space="preserve">2361118291  </v>
      </c>
      <c r="O7577">
        <v>240103</v>
      </c>
    </row>
    <row r="7578" spans="1:15" x14ac:dyDescent="0.25">
      <c r="A7578" t="s">
        <v>16</v>
      </c>
      <c r="B7578" t="s">
        <v>3221</v>
      </c>
      <c r="C7578">
        <v>18496</v>
      </c>
      <c r="D7578" t="s">
        <v>428</v>
      </c>
      <c r="E7578" t="s">
        <v>429</v>
      </c>
      <c r="F7578">
        <v>442.22</v>
      </c>
      <c r="G7578">
        <v>231215</v>
      </c>
      <c r="H7578">
        <v>4520</v>
      </c>
      <c r="I7578" t="s">
        <v>254</v>
      </c>
      <c r="J7578">
        <v>504.13</v>
      </c>
      <c r="K7578">
        <v>61.91</v>
      </c>
      <c r="L7578">
        <v>14642</v>
      </c>
      <c r="M7578" t="s">
        <v>863</v>
      </c>
      <c r="N7578" t="str">
        <f t="shared" si="157"/>
        <v xml:space="preserve">2361118291  </v>
      </c>
      <c r="O7578">
        <v>240103</v>
      </c>
    </row>
    <row r="7579" spans="1:15" x14ac:dyDescent="0.25">
      <c r="A7579" t="s">
        <v>16</v>
      </c>
      <c r="B7579" t="s">
        <v>3221</v>
      </c>
      <c r="C7579">
        <v>18496</v>
      </c>
      <c r="D7579" t="s">
        <v>428</v>
      </c>
      <c r="E7579" t="s">
        <v>429</v>
      </c>
      <c r="F7579">
        <v>1147.3399999999999</v>
      </c>
      <c r="G7579">
        <v>231215</v>
      </c>
      <c r="H7579">
        <v>4520</v>
      </c>
      <c r="I7579" t="s">
        <v>254</v>
      </c>
      <c r="J7579">
        <v>1422.7</v>
      </c>
      <c r="K7579">
        <v>275.36</v>
      </c>
      <c r="L7579">
        <v>14912</v>
      </c>
      <c r="M7579" t="s">
        <v>230</v>
      </c>
      <c r="N7579" t="str">
        <f t="shared" si="157"/>
        <v xml:space="preserve">2361118291  </v>
      </c>
      <c r="O7579">
        <v>240103</v>
      </c>
    </row>
    <row r="7580" spans="1:15" x14ac:dyDescent="0.25">
      <c r="A7580" t="s">
        <v>16</v>
      </c>
      <c r="B7580" t="s">
        <v>3221</v>
      </c>
      <c r="C7580">
        <v>18496</v>
      </c>
      <c r="D7580" t="s">
        <v>428</v>
      </c>
      <c r="E7580" t="s">
        <v>429</v>
      </c>
      <c r="F7580">
        <v>8070.52</v>
      </c>
      <c r="G7580">
        <v>231215</v>
      </c>
      <c r="H7580">
        <v>4520</v>
      </c>
      <c r="I7580" t="s">
        <v>254</v>
      </c>
      <c r="J7580">
        <v>9200.39</v>
      </c>
      <c r="K7580">
        <v>1129.8699999999999</v>
      </c>
      <c r="L7580">
        <v>14912</v>
      </c>
      <c r="M7580" t="s">
        <v>230</v>
      </c>
      <c r="N7580" t="str">
        <f t="shared" si="157"/>
        <v xml:space="preserve">2361118291  </v>
      </c>
      <c r="O7580">
        <v>240103</v>
      </c>
    </row>
    <row r="7581" spans="1:15" x14ac:dyDescent="0.25">
      <c r="A7581" t="s">
        <v>16</v>
      </c>
      <c r="B7581" t="s">
        <v>3221</v>
      </c>
      <c r="C7581">
        <v>18547</v>
      </c>
      <c r="D7581" t="s">
        <v>428</v>
      </c>
      <c r="E7581" t="s">
        <v>429</v>
      </c>
      <c r="F7581">
        <v>2740.37</v>
      </c>
      <c r="G7581">
        <v>231215</v>
      </c>
      <c r="H7581">
        <v>4520</v>
      </c>
      <c r="I7581" t="s">
        <v>254</v>
      </c>
      <c r="J7581">
        <v>3124.02</v>
      </c>
      <c r="K7581">
        <v>383.65</v>
      </c>
      <c r="L7581">
        <v>69113</v>
      </c>
      <c r="M7581" t="s">
        <v>282</v>
      </c>
      <c r="N7581" t="str">
        <f>"2361118286  "</f>
        <v xml:space="preserve">2361118286  </v>
      </c>
      <c r="O7581">
        <v>240103</v>
      </c>
    </row>
    <row r="7582" spans="1:15" x14ac:dyDescent="0.25">
      <c r="A7582" t="s">
        <v>16</v>
      </c>
      <c r="B7582" t="s">
        <v>3221</v>
      </c>
      <c r="C7582">
        <v>18547</v>
      </c>
      <c r="D7582" t="s">
        <v>428</v>
      </c>
      <c r="E7582" t="s">
        <v>429</v>
      </c>
      <c r="F7582">
        <v>322.39</v>
      </c>
      <c r="G7582">
        <v>231215</v>
      </c>
      <c r="H7582">
        <v>4520</v>
      </c>
      <c r="I7582" t="s">
        <v>254</v>
      </c>
      <c r="J7582">
        <v>367.53</v>
      </c>
      <c r="K7582">
        <v>45.14</v>
      </c>
      <c r="L7582">
        <v>69802</v>
      </c>
      <c r="M7582" t="s">
        <v>283</v>
      </c>
      <c r="N7582" t="str">
        <f>"2361118286  "</f>
        <v xml:space="preserve">2361118286  </v>
      </c>
      <c r="O7582">
        <v>240103</v>
      </c>
    </row>
    <row r="7583" spans="1:15" x14ac:dyDescent="0.25">
      <c r="A7583" t="s">
        <v>16</v>
      </c>
      <c r="B7583" t="s">
        <v>3221</v>
      </c>
      <c r="C7583">
        <v>18547</v>
      </c>
      <c r="D7583" t="s">
        <v>428</v>
      </c>
      <c r="E7583" t="s">
        <v>429</v>
      </c>
      <c r="F7583">
        <v>161.19999999999999</v>
      </c>
      <c r="G7583">
        <v>231215</v>
      </c>
      <c r="H7583">
        <v>4520</v>
      </c>
      <c r="I7583" t="s">
        <v>254</v>
      </c>
      <c r="J7583">
        <v>183.77</v>
      </c>
      <c r="K7583">
        <v>22.57</v>
      </c>
      <c r="L7583">
        <v>69804</v>
      </c>
      <c r="M7583" t="s">
        <v>284</v>
      </c>
      <c r="N7583" t="str">
        <f>"2361118286  "</f>
        <v xml:space="preserve">2361118286  </v>
      </c>
      <c r="O7583">
        <v>240103</v>
      </c>
    </row>
    <row r="7584" spans="1:15" x14ac:dyDescent="0.25">
      <c r="A7584" t="s">
        <v>16</v>
      </c>
      <c r="B7584" t="s">
        <v>3221</v>
      </c>
      <c r="C7584">
        <v>18552</v>
      </c>
      <c r="D7584" t="s">
        <v>428</v>
      </c>
      <c r="E7584" t="s">
        <v>429</v>
      </c>
      <c r="F7584">
        <v>1821.94</v>
      </c>
      <c r="G7584">
        <v>231215</v>
      </c>
      <c r="H7584">
        <v>4520</v>
      </c>
      <c r="I7584" t="s">
        <v>254</v>
      </c>
      <c r="J7584">
        <v>2077.0100000000002</v>
      </c>
      <c r="K7584">
        <v>255.07</v>
      </c>
      <c r="L7584">
        <v>44251</v>
      </c>
      <c r="M7584" t="s">
        <v>156</v>
      </c>
      <c r="N7584" t="str">
        <f>"2361118289  "</f>
        <v xml:space="preserve">2361118289  </v>
      </c>
      <c r="O7584">
        <v>240103</v>
      </c>
    </row>
    <row r="7585" spans="1:15" x14ac:dyDescent="0.25">
      <c r="A7585" t="s">
        <v>16</v>
      </c>
      <c r="B7585" t="s">
        <v>3221</v>
      </c>
      <c r="C7585">
        <v>18552</v>
      </c>
      <c r="D7585" t="s">
        <v>428</v>
      </c>
      <c r="E7585" t="s">
        <v>429</v>
      </c>
      <c r="F7585">
        <v>951.82</v>
      </c>
      <c r="G7585">
        <v>231215</v>
      </c>
      <c r="H7585">
        <v>4520</v>
      </c>
      <c r="I7585" t="s">
        <v>254</v>
      </c>
      <c r="J7585">
        <v>1085.08</v>
      </c>
      <c r="K7585">
        <v>133.26</v>
      </c>
      <c r="L7585">
        <v>44252</v>
      </c>
      <c r="M7585" t="s">
        <v>157</v>
      </c>
      <c r="N7585" t="str">
        <f>"2361118289  "</f>
        <v xml:space="preserve">2361118289  </v>
      </c>
      <c r="O7585">
        <v>240103</v>
      </c>
    </row>
    <row r="7586" spans="1:15" x14ac:dyDescent="0.25">
      <c r="A7586" t="s">
        <v>16</v>
      </c>
      <c r="B7586" t="s">
        <v>3221</v>
      </c>
      <c r="C7586">
        <v>18552</v>
      </c>
      <c r="D7586" t="s">
        <v>428</v>
      </c>
      <c r="E7586" t="s">
        <v>429</v>
      </c>
      <c r="F7586">
        <v>78.5</v>
      </c>
      <c r="G7586">
        <v>231215</v>
      </c>
      <c r="H7586">
        <v>4520</v>
      </c>
      <c r="I7586" t="s">
        <v>254</v>
      </c>
      <c r="J7586">
        <v>89.49</v>
      </c>
      <c r="K7586">
        <v>10.99</v>
      </c>
      <c r="L7586">
        <v>48601</v>
      </c>
      <c r="M7586" t="s">
        <v>1047</v>
      </c>
      <c r="N7586" t="str">
        <f>"2361118289  "</f>
        <v xml:space="preserve">2361118289  </v>
      </c>
      <c r="O7586">
        <v>240103</v>
      </c>
    </row>
    <row r="7587" spans="1:15" x14ac:dyDescent="0.25">
      <c r="A7587" t="s">
        <v>16</v>
      </c>
      <c r="B7587" t="s">
        <v>3221</v>
      </c>
      <c r="C7587">
        <v>18625</v>
      </c>
      <c r="D7587" t="s">
        <v>428</v>
      </c>
      <c r="E7587" t="s">
        <v>429</v>
      </c>
      <c r="F7587">
        <v>92.56</v>
      </c>
      <c r="G7587">
        <v>231215</v>
      </c>
      <c r="H7587">
        <v>4520</v>
      </c>
      <c r="I7587" t="s">
        <v>254</v>
      </c>
      <c r="J7587">
        <v>114.77</v>
      </c>
      <c r="K7587">
        <v>22.21</v>
      </c>
      <c r="L7587">
        <v>17915</v>
      </c>
      <c r="M7587" t="s">
        <v>572</v>
      </c>
      <c r="N7587" t="str">
        <f>"2361118288  "</f>
        <v xml:space="preserve">2361118288  </v>
      </c>
      <c r="O7587">
        <v>240104</v>
      </c>
    </row>
    <row r="7588" spans="1:15" x14ac:dyDescent="0.25">
      <c r="A7588" t="s">
        <v>16</v>
      </c>
      <c r="B7588" t="s">
        <v>3221</v>
      </c>
      <c r="C7588">
        <v>18625</v>
      </c>
      <c r="D7588" t="s">
        <v>428</v>
      </c>
      <c r="E7588" t="s">
        <v>429</v>
      </c>
      <c r="F7588">
        <v>1599.29</v>
      </c>
      <c r="G7588">
        <v>231215</v>
      </c>
      <c r="H7588">
        <v>4520</v>
      </c>
      <c r="I7588" t="s">
        <v>254</v>
      </c>
      <c r="J7588">
        <v>1823.19</v>
      </c>
      <c r="K7588">
        <v>223.9</v>
      </c>
      <c r="L7588">
        <v>17915</v>
      </c>
      <c r="M7588" t="s">
        <v>572</v>
      </c>
      <c r="N7588" t="str">
        <f>"2361118288  "</f>
        <v xml:space="preserve">2361118288  </v>
      </c>
      <c r="O7588">
        <v>240104</v>
      </c>
    </row>
    <row r="7589" spans="1:15" x14ac:dyDescent="0.25">
      <c r="A7589" t="s">
        <v>16</v>
      </c>
      <c r="B7589" t="s">
        <v>3221</v>
      </c>
      <c r="C7589">
        <v>18625</v>
      </c>
      <c r="D7589" t="s">
        <v>428</v>
      </c>
      <c r="E7589" t="s">
        <v>429</v>
      </c>
      <c r="F7589">
        <v>10.28</v>
      </c>
      <c r="G7589">
        <v>231215</v>
      </c>
      <c r="H7589">
        <v>4520</v>
      </c>
      <c r="I7589" t="s">
        <v>254</v>
      </c>
      <c r="J7589">
        <v>12.75</v>
      </c>
      <c r="K7589">
        <v>2.4700000000000002</v>
      </c>
      <c r="L7589">
        <v>17982</v>
      </c>
      <c r="M7589" t="s">
        <v>432</v>
      </c>
      <c r="N7589" t="str">
        <f>"2361118288  "</f>
        <v xml:space="preserve">2361118288  </v>
      </c>
      <c r="O7589">
        <v>240104</v>
      </c>
    </row>
    <row r="7590" spans="1:15" x14ac:dyDescent="0.25">
      <c r="A7590" t="s">
        <v>16</v>
      </c>
      <c r="B7590" t="s">
        <v>3221</v>
      </c>
      <c r="C7590">
        <v>18625</v>
      </c>
      <c r="D7590" t="s">
        <v>428</v>
      </c>
      <c r="E7590" t="s">
        <v>429</v>
      </c>
      <c r="F7590">
        <v>177.7</v>
      </c>
      <c r="G7590">
        <v>231215</v>
      </c>
      <c r="H7590">
        <v>4520</v>
      </c>
      <c r="I7590" t="s">
        <v>254</v>
      </c>
      <c r="J7590">
        <v>202.58</v>
      </c>
      <c r="K7590">
        <v>24.88</v>
      </c>
      <c r="L7590">
        <v>17982</v>
      </c>
      <c r="M7590" t="s">
        <v>432</v>
      </c>
      <c r="N7590" t="str">
        <f>"2361118288  "</f>
        <v xml:space="preserve">2361118288  </v>
      </c>
      <c r="O7590">
        <v>240104</v>
      </c>
    </row>
    <row r="7591" spans="1:15" x14ac:dyDescent="0.25">
      <c r="A7591" t="s">
        <v>16</v>
      </c>
      <c r="B7591" t="s">
        <v>3221</v>
      </c>
      <c r="C7591">
        <v>18769</v>
      </c>
      <c r="D7591" t="s">
        <v>428</v>
      </c>
      <c r="E7591" t="s">
        <v>429</v>
      </c>
      <c r="F7591">
        <v>40.47</v>
      </c>
      <c r="G7591">
        <v>231231</v>
      </c>
      <c r="H7591">
        <v>4520</v>
      </c>
      <c r="I7591" t="s">
        <v>254</v>
      </c>
      <c r="J7591">
        <v>50.18</v>
      </c>
      <c r="K7591">
        <v>9.7100000000000009</v>
      </c>
      <c r="L7591">
        <v>17915</v>
      </c>
      <c r="M7591" t="s">
        <v>572</v>
      </c>
      <c r="N7591" t="str">
        <f>"2361150304  "</f>
        <v xml:space="preserve">2361150304  </v>
      </c>
      <c r="O7591">
        <v>240105</v>
      </c>
    </row>
    <row r="7592" spans="1:15" x14ac:dyDescent="0.25">
      <c r="A7592" t="s">
        <v>16</v>
      </c>
      <c r="B7592" t="s">
        <v>3221</v>
      </c>
      <c r="C7592">
        <v>18769</v>
      </c>
      <c r="D7592" t="s">
        <v>428</v>
      </c>
      <c r="E7592" t="s">
        <v>429</v>
      </c>
      <c r="F7592">
        <v>324.83</v>
      </c>
      <c r="G7592">
        <v>231231</v>
      </c>
      <c r="H7592">
        <v>4520</v>
      </c>
      <c r="I7592" t="s">
        <v>254</v>
      </c>
      <c r="J7592">
        <v>370.31</v>
      </c>
      <c r="K7592">
        <v>45.48</v>
      </c>
      <c r="L7592">
        <v>17915</v>
      </c>
      <c r="M7592" t="s">
        <v>572</v>
      </c>
      <c r="N7592" t="str">
        <f>"2361150304  "</f>
        <v xml:space="preserve">2361150304  </v>
      </c>
      <c r="O7592">
        <v>240105</v>
      </c>
    </row>
    <row r="7593" spans="1:15" x14ac:dyDescent="0.25">
      <c r="A7593" t="s">
        <v>16</v>
      </c>
      <c r="B7593" t="s">
        <v>3221</v>
      </c>
      <c r="C7593">
        <v>18769</v>
      </c>
      <c r="D7593" t="s">
        <v>428</v>
      </c>
      <c r="E7593" t="s">
        <v>429</v>
      </c>
      <c r="F7593">
        <v>4.5199999999999996</v>
      </c>
      <c r="G7593">
        <v>231231</v>
      </c>
      <c r="H7593">
        <v>4520</v>
      </c>
      <c r="I7593" t="s">
        <v>254</v>
      </c>
      <c r="J7593">
        <v>5.6</v>
      </c>
      <c r="K7593">
        <v>1.08</v>
      </c>
      <c r="L7593">
        <v>17982</v>
      </c>
      <c r="M7593" t="s">
        <v>432</v>
      </c>
      <c r="N7593" t="str">
        <f>"2361150304  "</f>
        <v xml:space="preserve">2361150304  </v>
      </c>
      <c r="O7593">
        <v>240105</v>
      </c>
    </row>
    <row r="7594" spans="1:15" x14ac:dyDescent="0.25">
      <c r="A7594" t="s">
        <v>16</v>
      </c>
      <c r="B7594" t="s">
        <v>3221</v>
      </c>
      <c r="C7594">
        <v>18769</v>
      </c>
      <c r="D7594" t="s">
        <v>428</v>
      </c>
      <c r="E7594" t="s">
        <v>429</v>
      </c>
      <c r="F7594">
        <v>36.1</v>
      </c>
      <c r="G7594">
        <v>231231</v>
      </c>
      <c r="H7594">
        <v>4520</v>
      </c>
      <c r="I7594" t="s">
        <v>254</v>
      </c>
      <c r="J7594">
        <v>41.15</v>
      </c>
      <c r="K7594">
        <v>5.05</v>
      </c>
      <c r="L7594">
        <v>17982</v>
      </c>
      <c r="M7594" t="s">
        <v>432</v>
      </c>
      <c r="N7594" t="str">
        <f>"2361150304  "</f>
        <v xml:space="preserve">2361150304  </v>
      </c>
      <c r="O7594">
        <v>240105</v>
      </c>
    </row>
    <row r="7595" spans="1:15" x14ac:dyDescent="0.25">
      <c r="A7595" t="s">
        <v>16</v>
      </c>
      <c r="B7595" t="s">
        <v>3221</v>
      </c>
      <c r="C7595">
        <v>18907</v>
      </c>
      <c r="D7595" t="s">
        <v>428</v>
      </c>
      <c r="E7595" t="s">
        <v>429</v>
      </c>
      <c r="F7595">
        <v>372.98</v>
      </c>
      <c r="G7595">
        <v>231231</v>
      </c>
      <c r="H7595">
        <v>4520</v>
      </c>
      <c r="I7595" t="s">
        <v>254</v>
      </c>
      <c r="J7595">
        <v>425.2</v>
      </c>
      <c r="K7595">
        <v>52.22</v>
      </c>
      <c r="L7595">
        <v>59113</v>
      </c>
      <c r="M7595" t="s">
        <v>235</v>
      </c>
      <c r="N7595" t="str">
        <f>"2361150302  "</f>
        <v xml:space="preserve">2361150302  </v>
      </c>
      <c r="O7595">
        <v>240108</v>
      </c>
    </row>
    <row r="7596" spans="1:15" x14ac:dyDescent="0.25">
      <c r="A7596" t="s">
        <v>16</v>
      </c>
      <c r="B7596" t="s">
        <v>3221</v>
      </c>
      <c r="C7596">
        <v>18907</v>
      </c>
      <c r="D7596" t="s">
        <v>428</v>
      </c>
      <c r="E7596" t="s">
        <v>429</v>
      </c>
      <c r="F7596">
        <v>65.819999999999993</v>
      </c>
      <c r="G7596">
        <v>231231</v>
      </c>
      <c r="H7596">
        <v>4520</v>
      </c>
      <c r="I7596" t="s">
        <v>254</v>
      </c>
      <c r="J7596">
        <v>75.040000000000006</v>
      </c>
      <c r="K7596">
        <v>9.2200000000000006</v>
      </c>
      <c r="L7596">
        <v>59803</v>
      </c>
      <c r="M7596" t="s">
        <v>533</v>
      </c>
      <c r="N7596" t="str">
        <f>"2361150302  "</f>
        <v xml:space="preserve">2361150302  </v>
      </c>
      <c r="O7596">
        <v>240108</v>
      </c>
    </row>
    <row r="7597" spans="1:15" x14ac:dyDescent="0.25">
      <c r="A7597" t="s">
        <v>16</v>
      </c>
      <c r="B7597" t="s">
        <v>3221</v>
      </c>
      <c r="C7597">
        <v>18910</v>
      </c>
      <c r="D7597" t="s">
        <v>428</v>
      </c>
      <c r="E7597" t="s">
        <v>429</v>
      </c>
      <c r="F7597">
        <v>221.45</v>
      </c>
      <c r="G7597">
        <v>231231</v>
      </c>
      <c r="H7597">
        <v>4520</v>
      </c>
      <c r="I7597" t="s">
        <v>254</v>
      </c>
      <c r="J7597">
        <v>252.45</v>
      </c>
      <c r="K7597">
        <v>31</v>
      </c>
      <c r="L7597">
        <v>59114</v>
      </c>
      <c r="M7597" t="s">
        <v>556</v>
      </c>
      <c r="N7597" t="str">
        <f>"2361150301  "</f>
        <v xml:space="preserve">2361150301  </v>
      </c>
      <c r="O7597">
        <v>240108</v>
      </c>
    </row>
    <row r="7598" spans="1:15" x14ac:dyDescent="0.25">
      <c r="A7598" t="s">
        <v>16</v>
      </c>
      <c r="B7598" t="s">
        <v>3221</v>
      </c>
      <c r="C7598">
        <v>19000</v>
      </c>
      <c r="D7598" t="s">
        <v>428</v>
      </c>
      <c r="E7598" t="s">
        <v>429</v>
      </c>
      <c r="F7598">
        <v>2.82</v>
      </c>
      <c r="G7598">
        <v>231231</v>
      </c>
      <c r="H7598">
        <v>4520</v>
      </c>
      <c r="I7598" t="s">
        <v>254</v>
      </c>
      <c r="J7598">
        <v>3.5</v>
      </c>
      <c r="K7598">
        <v>0.68</v>
      </c>
      <c r="L7598">
        <v>14422</v>
      </c>
      <c r="M7598" t="s">
        <v>228</v>
      </c>
      <c r="N7598" t="str">
        <f t="shared" ref="N7598:N7609" si="158">"2361150306  "</f>
        <v xml:space="preserve">2361150306  </v>
      </c>
      <c r="O7598">
        <v>240109</v>
      </c>
    </row>
    <row r="7599" spans="1:15" x14ac:dyDescent="0.25">
      <c r="A7599" t="s">
        <v>16</v>
      </c>
      <c r="B7599" t="s">
        <v>3221</v>
      </c>
      <c r="C7599">
        <v>19000</v>
      </c>
      <c r="D7599" t="s">
        <v>428</v>
      </c>
      <c r="E7599" t="s">
        <v>429</v>
      </c>
      <c r="F7599">
        <v>10.25</v>
      </c>
      <c r="G7599">
        <v>231231</v>
      </c>
      <c r="H7599">
        <v>4520</v>
      </c>
      <c r="I7599" t="s">
        <v>254</v>
      </c>
      <c r="J7599">
        <v>11.68</v>
      </c>
      <c r="K7599">
        <v>1.43</v>
      </c>
      <c r="L7599">
        <v>14422</v>
      </c>
      <c r="M7599" t="s">
        <v>228</v>
      </c>
      <c r="N7599" t="str">
        <f t="shared" si="158"/>
        <v xml:space="preserve">2361150306  </v>
      </c>
      <c r="O7599">
        <v>240109</v>
      </c>
    </row>
    <row r="7600" spans="1:15" x14ac:dyDescent="0.25">
      <c r="A7600" t="s">
        <v>16</v>
      </c>
      <c r="B7600" t="s">
        <v>3221</v>
      </c>
      <c r="C7600">
        <v>19000</v>
      </c>
      <c r="D7600" t="s">
        <v>428</v>
      </c>
      <c r="E7600" t="s">
        <v>429</v>
      </c>
      <c r="F7600">
        <v>12.28</v>
      </c>
      <c r="G7600">
        <v>231231</v>
      </c>
      <c r="H7600">
        <v>4520</v>
      </c>
      <c r="I7600" t="s">
        <v>254</v>
      </c>
      <c r="J7600">
        <v>14</v>
      </c>
      <c r="K7600">
        <v>1.72</v>
      </c>
      <c r="L7600">
        <v>14431</v>
      </c>
      <c r="M7600" t="s">
        <v>861</v>
      </c>
      <c r="N7600" t="str">
        <f t="shared" si="158"/>
        <v xml:space="preserve">2361150306  </v>
      </c>
      <c r="O7600">
        <v>240109</v>
      </c>
    </row>
    <row r="7601" spans="1:15" x14ac:dyDescent="0.25">
      <c r="A7601" t="s">
        <v>16</v>
      </c>
      <c r="B7601" t="s">
        <v>3221</v>
      </c>
      <c r="C7601">
        <v>19000</v>
      </c>
      <c r="D7601" t="s">
        <v>428</v>
      </c>
      <c r="E7601" t="s">
        <v>429</v>
      </c>
      <c r="F7601">
        <v>41</v>
      </c>
      <c r="G7601">
        <v>231231</v>
      </c>
      <c r="H7601">
        <v>4520</v>
      </c>
      <c r="I7601" t="s">
        <v>254</v>
      </c>
      <c r="J7601">
        <v>46.74</v>
      </c>
      <c r="K7601">
        <v>5.74</v>
      </c>
      <c r="L7601">
        <v>14431</v>
      </c>
      <c r="M7601" t="s">
        <v>861</v>
      </c>
      <c r="N7601" t="str">
        <f t="shared" si="158"/>
        <v xml:space="preserve">2361150306  </v>
      </c>
      <c r="O7601">
        <v>240109</v>
      </c>
    </row>
    <row r="7602" spans="1:15" x14ac:dyDescent="0.25">
      <c r="A7602" t="s">
        <v>16</v>
      </c>
      <c r="B7602" t="s">
        <v>3221</v>
      </c>
      <c r="C7602">
        <v>19000</v>
      </c>
      <c r="D7602" t="s">
        <v>428</v>
      </c>
      <c r="E7602" t="s">
        <v>429</v>
      </c>
      <c r="F7602">
        <v>52.18</v>
      </c>
      <c r="G7602">
        <v>231231</v>
      </c>
      <c r="H7602">
        <v>4520</v>
      </c>
      <c r="I7602" t="s">
        <v>254</v>
      </c>
      <c r="J7602">
        <v>59.48</v>
      </c>
      <c r="K7602">
        <v>7.3</v>
      </c>
      <c r="L7602">
        <v>14432</v>
      </c>
      <c r="M7602" t="s">
        <v>862</v>
      </c>
      <c r="N7602" t="str">
        <f t="shared" si="158"/>
        <v xml:space="preserve">2361150306  </v>
      </c>
      <c r="O7602">
        <v>240109</v>
      </c>
    </row>
    <row r="7603" spans="1:15" x14ac:dyDescent="0.25">
      <c r="A7603" t="s">
        <v>16</v>
      </c>
      <c r="B7603" t="s">
        <v>3221</v>
      </c>
      <c r="C7603">
        <v>19000</v>
      </c>
      <c r="D7603" t="s">
        <v>428</v>
      </c>
      <c r="E7603" t="s">
        <v>429</v>
      </c>
      <c r="F7603">
        <v>174.25</v>
      </c>
      <c r="G7603">
        <v>231231</v>
      </c>
      <c r="H7603">
        <v>4520</v>
      </c>
      <c r="I7603" t="s">
        <v>254</v>
      </c>
      <c r="J7603">
        <v>198.65</v>
      </c>
      <c r="K7603">
        <v>24.4</v>
      </c>
      <c r="L7603">
        <v>14432</v>
      </c>
      <c r="M7603" t="s">
        <v>862</v>
      </c>
      <c r="N7603" t="str">
        <f t="shared" si="158"/>
        <v xml:space="preserve">2361150306  </v>
      </c>
      <c r="O7603">
        <v>240109</v>
      </c>
    </row>
    <row r="7604" spans="1:15" x14ac:dyDescent="0.25">
      <c r="A7604" t="s">
        <v>16</v>
      </c>
      <c r="B7604" t="s">
        <v>3221</v>
      </c>
      <c r="C7604">
        <v>19000</v>
      </c>
      <c r="D7604" t="s">
        <v>428</v>
      </c>
      <c r="E7604" t="s">
        <v>429</v>
      </c>
      <c r="F7604">
        <v>2.82</v>
      </c>
      <c r="G7604">
        <v>231231</v>
      </c>
      <c r="H7604">
        <v>4520</v>
      </c>
      <c r="I7604" t="s">
        <v>254</v>
      </c>
      <c r="J7604">
        <v>3.5</v>
      </c>
      <c r="K7604">
        <v>0.68</v>
      </c>
      <c r="L7604">
        <v>14640</v>
      </c>
      <c r="M7604" t="s">
        <v>229</v>
      </c>
      <c r="N7604" t="str">
        <f t="shared" si="158"/>
        <v xml:space="preserve">2361150306  </v>
      </c>
      <c r="O7604">
        <v>240109</v>
      </c>
    </row>
    <row r="7605" spans="1:15" x14ac:dyDescent="0.25">
      <c r="A7605" t="s">
        <v>16</v>
      </c>
      <c r="B7605" t="s">
        <v>3221</v>
      </c>
      <c r="C7605">
        <v>19000</v>
      </c>
      <c r="D7605" t="s">
        <v>428</v>
      </c>
      <c r="E7605" t="s">
        <v>429</v>
      </c>
      <c r="F7605">
        <v>10.25</v>
      </c>
      <c r="G7605">
        <v>231231</v>
      </c>
      <c r="H7605">
        <v>4520</v>
      </c>
      <c r="I7605" t="s">
        <v>254</v>
      </c>
      <c r="J7605">
        <v>11.68</v>
      </c>
      <c r="K7605">
        <v>1.43</v>
      </c>
      <c r="L7605">
        <v>14640</v>
      </c>
      <c r="M7605" t="s">
        <v>229</v>
      </c>
      <c r="N7605" t="str">
        <f t="shared" si="158"/>
        <v xml:space="preserve">2361150306  </v>
      </c>
      <c r="O7605">
        <v>240109</v>
      </c>
    </row>
    <row r="7606" spans="1:15" x14ac:dyDescent="0.25">
      <c r="A7606" t="s">
        <v>16</v>
      </c>
      <c r="B7606" t="s">
        <v>3221</v>
      </c>
      <c r="C7606">
        <v>19000</v>
      </c>
      <c r="D7606" t="s">
        <v>428</v>
      </c>
      <c r="E7606" t="s">
        <v>429</v>
      </c>
      <c r="F7606">
        <v>12.28</v>
      </c>
      <c r="G7606">
        <v>231231</v>
      </c>
      <c r="H7606">
        <v>4520</v>
      </c>
      <c r="I7606" t="s">
        <v>254</v>
      </c>
      <c r="J7606">
        <v>14</v>
      </c>
      <c r="K7606">
        <v>1.72</v>
      </c>
      <c r="L7606">
        <v>14642</v>
      </c>
      <c r="M7606" t="s">
        <v>863</v>
      </c>
      <c r="N7606" t="str">
        <f t="shared" si="158"/>
        <v xml:space="preserve">2361150306  </v>
      </c>
      <c r="O7606">
        <v>240109</v>
      </c>
    </row>
    <row r="7607" spans="1:15" x14ac:dyDescent="0.25">
      <c r="A7607" t="s">
        <v>16</v>
      </c>
      <c r="B7607" t="s">
        <v>3221</v>
      </c>
      <c r="C7607">
        <v>19000</v>
      </c>
      <c r="D7607" t="s">
        <v>428</v>
      </c>
      <c r="E7607" t="s">
        <v>429</v>
      </c>
      <c r="F7607">
        <v>41</v>
      </c>
      <c r="G7607">
        <v>231231</v>
      </c>
      <c r="H7607">
        <v>4520</v>
      </c>
      <c r="I7607" t="s">
        <v>254</v>
      </c>
      <c r="J7607">
        <v>46.74</v>
      </c>
      <c r="K7607">
        <v>5.74</v>
      </c>
      <c r="L7607">
        <v>14642</v>
      </c>
      <c r="M7607" t="s">
        <v>863</v>
      </c>
      <c r="N7607" t="str">
        <f t="shared" si="158"/>
        <v xml:space="preserve">2361150306  </v>
      </c>
      <c r="O7607">
        <v>240109</v>
      </c>
    </row>
    <row r="7608" spans="1:15" x14ac:dyDescent="0.25">
      <c r="A7608" t="s">
        <v>16</v>
      </c>
      <c r="B7608" t="s">
        <v>3221</v>
      </c>
      <c r="C7608">
        <v>19000</v>
      </c>
      <c r="D7608" t="s">
        <v>428</v>
      </c>
      <c r="E7608" t="s">
        <v>429</v>
      </c>
      <c r="F7608">
        <v>205.99</v>
      </c>
      <c r="G7608">
        <v>231231</v>
      </c>
      <c r="H7608">
        <v>4520</v>
      </c>
      <c r="I7608" t="s">
        <v>254</v>
      </c>
      <c r="J7608">
        <v>255.43</v>
      </c>
      <c r="K7608">
        <v>49.44</v>
      </c>
      <c r="L7608">
        <v>14912</v>
      </c>
      <c r="M7608" t="s">
        <v>230</v>
      </c>
      <c r="N7608" t="str">
        <f t="shared" si="158"/>
        <v xml:space="preserve">2361150306  </v>
      </c>
      <c r="O7608">
        <v>240109</v>
      </c>
    </row>
    <row r="7609" spans="1:15" x14ac:dyDescent="0.25">
      <c r="A7609" t="s">
        <v>16</v>
      </c>
      <c r="B7609" t="s">
        <v>3221</v>
      </c>
      <c r="C7609">
        <v>19000</v>
      </c>
      <c r="D7609" t="s">
        <v>428</v>
      </c>
      <c r="E7609" t="s">
        <v>429</v>
      </c>
      <c r="F7609">
        <v>748.25</v>
      </c>
      <c r="G7609">
        <v>231231</v>
      </c>
      <c r="H7609">
        <v>4520</v>
      </c>
      <c r="I7609" t="s">
        <v>254</v>
      </c>
      <c r="J7609">
        <v>853.01</v>
      </c>
      <c r="K7609">
        <v>104.76</v>
      </c>
      <c r="L7609">
        <v>14912</v>
      </c>
      <c r="M7609" t="s">
        <v>230</v>
      </c>
      <c r="N7609" t="str">
        <f t="shared" si="158"/>
        <v xml:space="preserve">2361150306  </v>
      </c>
      <c r="O7609">
        <v>240109</v>
      </c>
    </row>
    <row r="7610" spans="1:15" x14ac:dyDescent="0.25">
      <c r="A7610" t="s">
        <v>16</v>
      </c>
      <c r="B7610" t="s">
        <v>3221</v>
      </c>
      <c r="C7610">
        <v>19021</v>
      </c>
      <c r="D7610" t="s">
        <v>428</v>
      </c>
      <c r="E7610" t="s">
        <v>429</v>
      </c>
      <c r="F7610">
        <v>4720.18</v>
      </c>
      <c r="G7610">
        <v>231215</v>
      </c>
      <c r="H7610">
        <v>4520</v>
      </c>
      <c r="I7610" t="s">
        <v>254</v>
      </c>
      <c r="J7610">
        <v>5381.01</v>
      </c>
      <c r="K7610">
        <v>660.83</v>
      </c>
      <c r="L7610">
        <v>49112</v>
      </c>
      <c r="M7610" t="s">
        <v>233</v>
      </c>
      <c r="N7610" t="str">
        <f>"2361118287  "</f>
        <v xml:space="preserve">2361118287  </v>
      </c>
      <c r="O7610">
        <v>240110</v>
      </c>
    </row>
    <row r="7611" spans="1:15" x14ac:dyDescent="0.25">
      <c r="A7611" t="s">
        <v>16</v>
      </c>
      <c r="B7611" t="s">
        <v>3221</v>
      </c>
      <c r="C7611">
        <v>19062</v>
      </c>
      <c r="D7611" t="s">
        <v>428</v>
      </c>
      <c r="E7611" t="s">
        <v>429</v>
      </c>
      <c r="F7611">
        <v>852.24</v>
      </c>
      <c r="G7611">
        <v>231231</v>
      </c>
      <c r="H7611">
        <v>4520</v>
      </c>
      <c r="I7611" t="s">
        <v>254</v>
      </c>
      <c r="J7611">
        <v>971.55</v>
      </c>
      <c r="K7611">
        <v>119.31</v>
      </c>
      <c r="L7611">
        <v>69113</v>
      </c>
      <c r="M7611" t="s">
        <v>282</v>
      </c>
      <c r="N7611" t="str">
        <f>"2361150303  "</f>
        <v xml:space="preserve">2361150303  </v>
      </c>
      <c r="O7611">
        <v>240110</v>
      </c>
    </row>
    <row r="7612" spans="1:15" x14ac:dyDescent="0.25">
      <c r="A7612" t="s">
        <v>16</v>
      </c>
      <c r="B7612" t="s">
        <v>3221</v>
      </c>
      <c r="C7612">
        <v>19062</v>
      </c>
      <c r="D7612" t="s">
        <v>428</v>
      </c>
      <c r="E7612" t="s">
        <v>429</v>
      </c>
      <c r="F7612">
        <v>92.18</v>
      </c>
      <c r="G7612">
        <v>231231</v>
      </c>
      <c r="H7612">
        <v>4520</v>
      </c>
      <c r="I7612" t="s">
        <v>254</v>
      </c>
      <c r="J7612">
        <v>114.3</v>
      </c>
      <c r="K7612">
        <v>22.12</v>
      </c>
      <c r="L7612">
        <v>69802</v>
      </c>
      <c r="M7612" t="s">
        <v>283</v>
      </c>
      <c r="N7612" t="str">
        <f>"2361150303  "</f>
        <v xml:space="preserve">2361150303  </v>
      </c>
      <c r="O7612">
        <v>240110</v>
      </c>
    </row>
    <row r="7613" spans="1:15" x14ac:dyDescent="0.25">
      <c r="A7613" t="s">
        <v>16</v>
      </c>
      <c r="B7613" t="s">
        <v>3221</v>
      </c>
      <c r="C7613">
        <v>19062</v>
      </c>
      <c r="D7613" t="s">
        <v>428</v>
      </c>
      <c r="E7613" t="s">
        <v>429</v>
      </c>
      <c r="F7613">
        <v>46.09</v>
      </c>
      <c r="G7613">
        <v>231231</v>
      </c>
      <c r="H7613">
        <v>4520</v>
      </c>
      <c r="I7613" t="s">
        <v>254</v>
      </c>
      <c r="J7613">
        <v>57.15</v>
      </c>
      <c r="K7613">
        <v>11.06</v>
      </c>
      <c r="L7613">
        <v>69804</v>
      </c>
      <c r="M7613" t="s">
        <v>284</v>
      </c>
      <c r="N7613" t="str">
        <f>"2361150303  "</f>
        <v xml:space="preserve">2361150303  </v>
      </c>
      <c r="O7613">
        <v>240110</v>
      </c>
    </row>
    <row r="7614" spans="1:15" x14ac:dyDescent="0.25">
      <c r="A7614" t="s">
        <v>16</v>
      </c>
      <c r="B7614" t="s">
        <v>3221</v>
      </c>
      <c r="C7614">
        <v>19106</v>
      </c>
      <c r="D7614" t="s">
        <v>428</v>
      </c>
      <c r="E7614" t="s">
        <v>429</v>
      </c>
      <c r="F7614">
        <v>27.6</v>
      </c>
      <c r="G7614">
        <v>231231</v>
      </c>
      <c r="H7614">
        <v>4520</v>
      </c>
      <c r="I7614" t="s">
        <v>254</v>
      </c>
      <c r="J7614">
        <v>34.229999999999997</v>
      </c>
      <c r="K7614">
        <v>6.63</v>
      </c>
      <c r="L7614">
        <v>16431</v>
      </c>
      <c r="M7614" t="s">
        <v>231</v>
      </c>
      <c r="N7614" t="str">
        <f t="shared" ref="N7614:N7620" si="159">"2361150305  "</f>
        <v xml:space="preserve">2361150305  </v>
      </c>
      <c r="O7614">
        <v>240110</v>
      </c>
    </row>
    <row r="7615" spans="1:15" x14ac:dyDescent="0.25">
      <c r="A7615" t="s">
        <v>16</v>
      </c>
      <c r="B7615" t="s">
        <v>3221</v>
      </c>
      <c r="C7615">
        <v>19106</v>
      </c>
      <c r="D7615" t="s">
        <v>428</v>
      </c>
      <c r="E7615" t="s">
        <v>429</v>
      </c>
      <c r="F7615">
        <v>127.11</v>
      </c>
      <c r="G7615">
        <v>231231</v>
      </c>
      <c r="H7615">
        <v>4520</v>
      </c>
      <c r="I7615" t="s">
        <v>254</v>
      </c>
      <c r="J7615">
        <v>144.9</v>
      </c>
      <c r="K7615">
        <v>17.79</v>
      </c>
      <c r="L7615">
        <v>16431</v>
      </c>
      <c r="M7615" t="s">
        <v>231</v>
      </c>
      <c r="N7615" t="str">
        <f t="shared" si="159"/>
        <v xml:space="preserve">2361150305  </v>
      </c>
      <c r="O7615">
        <v>240110</v>
      </c>
    </row>
    <row r="7616" spans="1:15" x14ac:dyDescent="0.25">
      <c r="A7616" t="s">
        <v>16</v>
      </c>
      <c r="B7616" t="s">
        <v>3221</v>
      </c>
      <c r="C7616">
        <v>19106</v>
      </c>
      <c r="D7616" t="s">
        <v>428</v>
      </c>
      <c r="E7616" t="s">
        <v>429</v>
      </c>
      <c r="F7616">
        <v>220.85</v>
      </c>
      <c r="G7616">
        <v>231231</v>
      </c>
      <c r="H7616">
        <v>4520</v>
      </c>
      <c r="I7616" t="s">
        <v>254</v>
      </c>
      <c r="J7616">
        <v>273.85000000000002</v>
      </c>
      <c r="K7616">
        <v>53</v>
      </c>
      <c r="L7616">
        <v>17913</v>
      </c>
      <c r="M7616" t="s">
        <v>431</v>
      </c>
      <c r="N7616" t="str">
        <f t="shared" si="159"/>
        <v xml:space="preserve">2361150305  </v>
      </c>
      <c r="O7616">
        <v>240110</v>
      </c>
    </row>
    <row r="7617" spans="1:15" x14ac:dyDescent="0.25">
      <c r="A7617" t="s">
        <v>16</v>
      </c>
      <c r="B7617" t="s">
        <v>3221</v>
      </c>
      <c r="C7617">
        <v>19106</v>
      </c>
      <c r="D7617" t="s">
        <v>428</v>
      </c>
      <c r="E7617" t="s">
        <v>429</v>
      </c>
      <c r="F7617">
        <v>823.74</v>
      </c>
      <c r="G7617">
        <v>231231</v>
      </c>
      <c r="H7617">
        <v>4520</v>
      </c>
      <c r="I7617" t="s">
        <v>254</v>
      </c>
      <c r="J7617">
        <v>939.06</v>
      </c>
      <c r="K7617">
        <v>115.32</v>
      </c>
      <c r="L7617">
        <v>17913</v>
      </c>
      <c r="M7617" t="s">
        <v>431</v>
      </c>
      <c r="N7617" t="str">
        <f t="shared" si="159"/>
        <v xml:space="preserve">2361150305  </v>
      </c>
      <c r="O7617">
        <v>240110</v>
      </c>
    </row>
    <row r="7618" spans="1:15" x14ac:dyDescent="0.25">
      <c r="A7618" t="s">
        <v>16</v>
      </c>
      <c r="B7618" t="s">
        <v>3221</v>
      </c>
      <c r="C7618">
        <v>19106</v>
      </c>
      <c r="D7618" t="s">
        <v>428</v>
      </c>
      <c r="E7618" t="s">
        <v>429</v>
      </c>
      <c r="F7618">
        <v>192.98</v>
      </c>
      <c r="G7618">
        <v>231231</v>
      </c>
      <c r="H7618">
        <v>4520</v>
      </c>
      <c r="I7618" t="s">
        <v>254</v>
      </c>
      <c r="J7618">
        <v>220</v>
      </c>
      <c r="K7618">
        <v>27.02</v>
      </c>
      <c r="L7618">
        <v>17915</v>
      </c>
      <c r="M7618" t="s">
        <v>572</v>
      </c>
      <c r="N7618" t="str">
        <f t="shared" si="159"/>
        <v xml:space="preserve">2361150305  </v>
      </c>
      <c r="O7618">
        <v>240110</v>
      </c>
    </row>
    <row r="7619" spans="1:15" x14ac:dyDescent="0.25">
      <c r="A7619" t="s">
        <v>16</v>
      </c>
      <c r="B7619" t="s">
        <v>3221</v>
      </c>
      <c r="C7619">
        <v>19106</v>
      </c>
      <c r="D7619" t="s">
        <v>428</v>
      </c>
      <c r="E7619" t="s">
        <v>429</v>
      </c>
      <c r="F7619">
        <v>27.6</v>
      </c>
      <c r="G7619">
        <v>231231</v>
      </c>
      <c r="H7619">
        <v>4520</v>
      </c>
      <c r="I7619" t="s">
        <v>254</v>
      </c>
      <c r="J7619">
        <v>34.229999999999997</v>
      </c>
      <c r="K7619">
        <v>6.63</v>
      </c>
      <c r="L7619">
        <v>17982</v>
      </c>
      <c r="M7619" t="s">
        <v>432</v>
      </c>
      <c r="N7619" t="str">
        <f t="shared" si="159"/>
        <v xml:space="preserve">2361150305  </v>
      </c>
      <c r="O7619">
        <v>240110</v>
      </c>
    </row>
    <row r="7620" spans="1:15" x14ac:dyDescent="0.25">
      <c r="A7620" t="s">
        <v>16</v>
      </c>
      <c r="B7620" t="s">
        <v>3221</v>
      </c>
      <c r="C7620">
        <v>19106</v>
      </c>
      <c r="D7620" t="s">
        <v>428</v>
      </c>
      <c r="E7620" t="s">
        <v>429</v>
      </c>
      <c r="F7620">
        <v>127.11</v>
      </c>
      <c r="G7620">
        <v>231231</v>
      </c>
      <c r="H7620">
        <v>4520</v>
      </c>
      <c r="I7620" t="s">
        <v>254</v>
      </c>
      <c r="J7620">
        <v>144.9</v>
      </c>
      <c r="K7620">
        <v>17.79</v>
      </c>
      <c r="L7620">
        <v>17982</v>
      </c>
      <c r="M7620" t="s">
        <v>432</v>
      </c>
      <c r="N7620" t="str">
        <f t="shared" si="159"/>
        <v xml:space="preserve">2361150305  </v>
      </c>
      <c r="O7620">
        <v>240110</v>
      </c>
    </row>
    <row r="7621" spans="1:15" x14ac:dyDescent="0.25">
      <c r="A7621" t="s">
        <v>16</v>
      </c>
      <c r="B7621" t="s">
        <v>3221</v>
      </c>
      <c r="C7621">
        <v>19171</v>
      </c>
      <c r="D7621" t="s">
        <v>428</v>
      </c>
      <c r="E7621" t="s">
        <v>429</v>
      </c>
      <c r="F7621">
        <v>60.1</v>
      </c>
      <c r="G7621">
        <v>231231</v>
      </c>
      <c r="H7621">
        <v>4520</v>
      </c>
      <c r="I7621" t="s">
        <v>254</v>
      </c>
      <c r="J7621">
        <v>68.510000000000005</v>
      </c>
      <c r="K7621">
        <v>8.41</v>
      </c>
      <c r="L7621">
        <v>44253</v>
      </c>
      <c r="M7621" t="s">
        <v>1058</v>
      </c>
      <c r="N7621" t="str">
        <f>"2361150307  "</f>
        <v xml:space="preserve">2361150307  </v>
      </c>
      <c r="O7621">
        <v>240129</v>
      </c>
    </row>
    <row r="7622" spans="1:15" x14ac:dyDescent="0.25">
      <c r="A7622" t="s">
        <v>16</v>
      </c>
      <c r="B7622" t="s">
        <v>3221</v>
      </c>
      <c r="C7622">
        <v>1206</v>
      </c>
      <c r="D7622" t="s">
        <v>428</v>
      </c>
      <c r="E7622" t="s">
        <v>429</v>
      </c>
      <c r="F7622">
        <v>218.36</v>
      </c>
      <c r="G7622">
        <v>230131</v>
      </c>
      <c r="H7622">
        <v>4580</v>
      </c>
      <c r="I7622" t="s">
        <v>35</v>
      </c>
      <c r="J7622">
        <v>270.77</v>
      </c>
      <c r="K7622">
        <v>52.41</v>
      </c>
      <c r="L7622">
        <v>17913</v>
      </c>
      <c r="M7622" t="s">
        <v>431</v>
      </c>
      <c r="N7622" t="str">
        <f>"2360066721  "</f>
        <v xml:space="preserve">2360066721  </v>
      </c>
      <c r="O7622">
        <v>230206</v>
      </c>
    </row>
    <row r="7623" spans="1:15" x14ac:dyDescent="0.25">
      <c r="A7623" t="s">
        <v>16</v>
      </c>
      <c r="B7623" t="s">
        <v>3221</v>
      </c>
      <c r="C7623">
        <v>2103</v>
      </c>
      <c r="D7623" t="s">
        <v>428</v>
      </c>
      <c r="E7623" t="s">
        <v>429</v>
      </c>
      <c r="F7623">
        <v>829.7</v>
      </c>
      <c r="G7623">
        <v>230215</v>
      </c>
      <c r="H7623">
        <v>4580</v>
      </c>
      <c r="I7623" t="s">
        <v>35</v>
      </c>
      <c r="J7623">
        <v>1028.83</v>
      </c>
      <c r="K7623">
        <v>199.13</v>
      </c>
      <c r="L7623">
        <v>59113</v>
      </c>
      <c r="M7623" t="s">
        <v>235</v>
      </c>
      <c r="N7623" t="str">
        <f>"2360127423  "</f>
        <v xml:space="preserve">2360127423  </v>
      </c>
      <c r="O7623">
        <v>230221</v>
      </c>
    </row>
    <row r="7624" spans="1:15" x14ac:dyDescent="0.25">
      <c r="A7624" t="s">
        <v>16</v>
      </c>
      <c r="B7624" t="s">
        <v>3221</v>
      </c>
      <c r="C7624">
        <v>3521</v>
      </c>
      <c r="D7624" t="s">
        <v>428</v>
      </c>
      <c r="E7624" t="s">
        <v>429</v>
      </c>
      <c r="F7624">
        <v>118.23</v>
      </c>
      <c r="G7624">
        <v>230315</v>
      </c>
      <c r="H7624">
        <v>4580</v>
      </c>
      <c r="I7624" t="s">
        <v>35</v>
      </c>
      <c r="J7624">
        <v>146.61000000000001</v>
      </c>
      <c r="K7624">
        <v>28.38</v>
      </c>
      <c r="L7624">
        <v>59114</v>
      </c>
      <c r="M7624" t="s">
        <v>556</v>
      </c>
      <c r="N7624" t="str">
        <f>"2360220753  "</f>
        <v xml:space="preserve">2360220753  </v>
      </c>
      <c r="O7624">
        <v>230316</v>
      </c>
    </row>
    <row r="7625" spans="1:15" x14ac:dyDescent="0.25">
      <c r="A7625" t="s">
        <v>16</v>
      </c>
      <c r="B7625" t="s">
        <v>3221</v>
      </c>
      <c r="C7625">
        <v>5969</v>
      </c>
      <c r="D7625" t="s">
        <v>428</v>
      </c>
      <c r="E7625" t="s">
        <v>429</v>
      </c>
      <c r="F7625">
        <v>37.74</v>
      </c>
      <c r="G7625">
        <v>230430</v>
      </c>
      <c r="H7625">
        <v>4580</v>
      </c>
      <c r="I7625" t="s">
        <v>35</v>
      </c>
      <c r="J7625">
        <v>46.8</v>
      </c>
      <c r="K7625">
        <v>9.06</v>
      </c>
      <c r="L7625">
        <v>59113</v>
      </c>
      <c r="M7625" t="s">
        <v>235</v>
      </c>
      <c r="N7625" t="str">
        <f>"2360352004  "</f>
        <v xml:space="preserve">2360352004  </v>
      </c>
      <c r="O7625">
        <v>230504</v>
      </c>
    </row>
    <row r="7626" spans="1:15" x14ac:dyDescent="0.25">
      <c r="A7626" t="s">
        <v>16</v>
      </c>
      <c r="B7626" t="s">
        <v>3221</v>
      </c>
      <c r="C7626">
        <v>10503</v>
      </c>
      <c r="D7626" t="s">
        <v>428</v>
      </c>
      <c r="E7626" t="s">
        <v>429</v>
      </c>
      <c r="F7626">
        <v>69.62</v>
      </c>
      <c r="G7626">
        <v>230815</v>
      </c>
      <c r="H7626">
        <v>4580</v>
      </c>
      <c r="I7626" t="s">
        <v>35</v>
      </c>
      <c r="J7626">
        <v>86.33</v>
      </c>
      <c r="K7626">
        <v>16.71</v>
      </c>
      <c r="L7626">
        <v>17913</v>
      </c>
      <c r="M7626" t="s">
        <v>431</v>
      </c>
      <c r="N7626" t="str">
        <f>"2360709486  "</f>
        <v xml:space="preserve">2360709486  </v>
      </c>
      <c r="O7626">
        <v>230817</v>
      </c>
    </row>
    <row r="7627" spans="1:15" x14ac:dyDescent="0.25">
      <c r="A7627" t="s">
        <v>16</v>
      </c>
      <c r="B7627" t="s">
        <v>3221</v>
      </c>
      <c r="C7627">
        <v>10598</v>
      </c>
      <c r="D7627" t="s">
        <v>428</v>
      </c>
      <c r="E7627" t="s">
        <v>429</v>
      </c>
      <c r="F7627">
        <v>78.8</v>
      </c>
      <c r="G7627">
        <v>230815</v>
      </c>
      <c r="H7627">
        <v>4580</v>
      </c>
      <c r="I7627" t="s">
        <v>35</v>
      </c>
      <c r="J7627">
        <v>97.71</v>
      </c>
      <c r="K7627">
        <v>18.91</v>
      </c>
      <c r="L7627">
        <v>59113</v>
      </c>
      <c r="M7627" t="s">
        <v>235</v>
      </c>
      <c r="N7627" t="str">
        <f>"2360709481  "</f>
        <v xml:space="preserve">2360709481  </v>
      </c>
      <c r="O7627">
        <v>230818</v>
      </c>
    </row>
    <row r="7628" spans="1:15" x14ac:dyDescent="0.25">
      <c r="A7628" t="s">
        <v>16</v>
      </c>
      <c r="B7628" t="s">
        <v>3221</v>
      </c>
      <c r="C7628">
        <v>11254</v>
      </c>
      <c r="D7628" t="s">
        <v>428</v>
      </c>
      <c r="E7628" t="s">
        <v>429</v>
      </c>
      <c r="F7628">
        <v>449.48</v>
      </c>
      <c r="G7628">
        <v>230831</v>
      </c>
      <c r="H7628">
        <v>4580</v>
      </c>
      <c r="I7628" t="s">
        <v>35</v>
      </c>
      <c r="J7628">
        <v>557.36</v>
      </c>
      <c r="K7628">
        <v>107.88</v>
      </c>
      <c r="L7628">
        <v>16431</v>
      </c>
      <c r="M7628" t="s">
        <v>231</v>
      </c>
      <c r="N7628" t="str">
        <f>"2360747921  "</f>
        <v xml:space="preserve">2360747921  </v>
      </c>
      <c r="O7628">
        <v>230904</v>
      </c>
    </row>
    <row r="7629" spans="1:15" x14ac:dyDescent="0.25">
      <c r="A7629" t="s">
        <v>16</v>
      </c>
      <c r="B7629" t="s">
        <v>3221</v>
      </c>
      <c r="C7629">
        <v>11254</v>
      </c>
      <c r="D7629" t="s">
        <v>428</v>
      </c>
      <c r="E7629" t="s">
        <v>429</v>
      </c>
      <c r="F7629">
        <v>409.18</v>
      </c>
      <c r="G7629">
        <v>230831</v>
      </c>
      <c r="H7629">
        <v>4580</v>
      </c>
      <c r="I7629" t="s">
        <v>35</v>
      </c>
      <c r="J7629">
        <v>507.38</v>
      </c>
      <c r="K7629">
        <v>98.2</v>
      </c>
      <c r="L7629">
        <v>17913</v>
      </c>
      <c r="M7629" t="s">
        <v>431</v>
      </c>
      <c r="N7629" t="str">
        <f>"2360747921  "</f>
        <v xml:space="preserve">2360747921  </v>
      </c>
      <c r="O7629">
        <v>230904</v>
      </c>
    </row>
    <row r="7630" spans="1:15" x14ac:dyDescent="0.25">
      <c r="A7630" t="s">
        <v>16</v>
      </c>
      <c r="B7630" t="s">
        <v>3221</v>
      </c>
      <c r="C7630">
        <v>12467</v>
      </c>
      <c r="D7630" t="s">
        <v>428</v>
      </c>
      <c r="E7630" t="s">
        <v>429</v>
      </c>
      <c r="F7630">
        <v>172.98</v>
      </c>
      <c r="G7630">
        <v>230915</v>
      </c>
      <c r="H7630">
        <v>4580</v>
      </c>
      <c r="I7630" t="s">
        <v>35</v>
      </c>
      <c r="J7630">
        <v>214.49</v>
      </c>
      <c r="K7630">
        <v>41.51</v>
      </c>
      <c r="L7630">
        <v>16431</v>
      </c>
      <c r="M7630" t="s">
        <v>231</v>
      </c>
      <c r="N7630" t="str">
        <f>"2360816083  "</f>
        <v xml:space="preserve">2360816083  </v>
      </c>
      <c r="O7630">
        <v>230920</v>
      </c>
    </row>
    <row r="7631" spans="1:15" x14ac:dyDescent="0.25">
      <c r="A7631" t="s">
        <v>16</v>
      </c>
      <c r="B7631" t="s">
        <v>3221</v>
      </c>
      <c r="C7631">
        <v>12644</v>
      </c>
      <c r="D7631" t="s">
        <v>428</v>
      </c>
      <c r="E7631" t="s">
        <v>429</v>
      </c>
      <c r="F7631">
        <v>34.1</v>
      </c>
      <c r="G7631">
        <v>230915</v>
      </c>
      <c r="H7631">
        <v>4580</v>
      </c>
      <c r="I7631" t="s">
        <v>35</v>
      </c>
      <c r="J7631">
        <v>42.28</v>
      </c>
      <c r="K7631">
        <v>8.18</v>
      </c>
      <c r="L7631">
        <v>59113</v>
      </c>
      <c r="M7631" t="s">
        <v>235</v>
      </c>
      <c r="N7631" t="str">
        <f>"2360816078  "</f>
        <v xml:space="preserve">2360816078  </v>
      </c>
      <c r="O7631">
        <v>230922</v>
      </c>
    </row>
    <row r="7632" spans="1:15" x14ac:dyDescent="0.25">
      <c r="A7632" t="s">
        <v>16</v>
      </c>
      <c r="B7632" t="s">
        <v>3221</v>
      </c>
      <c r="C7632">
        <v>13478</v>
      </c>
      <c r="D7632" t="s">
        <v>428</v>
      </c>
      <c r="E7632" t="s">
        <v>429</v>
      </c>
      <c r="F7632">
        <v>79.73</v>
      </c>
      <c r="G7632">
        <v>230930</v>
      </c>
      <c r="H7632">
        <v>4580</v>
      </c>
      <c r="I7632" t="s">
        <v>35</v>
      </c>
      <c r="J7632">
        <v>98.87</v>
      </c>
      <c r="K7632">
        <v>19.14</v>
      </c>
      <c r="L7632">
        <v>16431</v>
      </c>
      <c r="M7632" t="s">
        <v>231</v>
      </c>
      <c r="N7632" t="str">
        <f>"2360851995  "</f>
        <v xml:space="preserve">2360851995  </v>
      </c>
      <c r="O7632">
        <v>231010</v>
      </c>
    </row>
    <row r="7633" spans="1:15" x14ac:dyDescent="0.25">
      <c r="A7633" t="s">
        <v>16</v>
      </c>
      <c r="B7633" t="s">
        <v>3221</v>
      </c>
      <c r="C7633">
        <v>13478</v>
      </c>
      <c r="D7633" t="s">
        <v>428</v>
      </c>
      <c r="E7633" t="s">
        <v>429</v>
      </c>
      <c r="F7633">
        <v>281.60000000000002</v>
      </c>
      <c r="G7633">
        <v>230930</v>
      </c>
      <c r="H7633">
        <v>4580</v>
      </c>
      <c r="I7633" t="s">
        <v>35</v>
      </c>
      <c r="J7633">
        <v>349.19</v>
      </c>
      <c r="K7633">
        <v>67.59</v>
      </c>
      <c r="L7633">
        <v>17913</v>
      </c>
      <c r="M7633" t="s">
        <v>431</v>
      </c>
      <c r="N7633" t="str">
        <f>"2360851995  "</f>
        <v xml:space="preserve">2360851995  </v>
      </c>
      <c r="O7633">
        <v>231010</v>
      </c>
    </row>
    <row r="7634" spans="1:15" x14ac:dyDescent="0.25">
      <c r="A7634" t="s">
        <v>16</v>
      </c>
      <c r="B7634" t="s">
        <v>3221</v>
      </c>
      <c r="C7634">
        <v>13561</v>
      </c>
      <c r="D7634" t="s">
        <v>428</v>
      </c>
      <c r="E7634" t="s">
        <v>429</v>
      </c>
      <c r="F7634">
        <v>32.11</v>
      </c>
      <c r="G7634">
        <v>230930</v>
      </c>
      <c r="H7634">
        <v>4580</v>
      </c>
      <c r="I7634" t="s">
        <v>35</v>
      </c>
      <c r="J7634">
        <v>39.82</v>
      </c>
      <c r="K7634">
        <v>7.71</v>
      </c>
      <c r="L7634">
        <v>59113</v>
      </c>
      <c r="M7634" t="s">
        <v>235</v>
      </c>
      <c r="N7634" t="str">
        <f>"2360851990  "</f>
        <v xml:space="preserve">2360851990  </v>
      </c>
      <c r="O7634">
        <v>231011</v>
      </c>
    </row>
    <row r="7635" spans="1:15" x14ac:dyDescent="0.25">
      <c r="A7635" t="s">
        <v>16</v>
      </c>
      <c r="B7635" t="s">
        <v>3221</v>
      </c>
      <c r="C7635">
        <v>14439</v>
      </c>
      <c r="D7635" t="s">
        <v>428</v>
      </c>
      <c r="E7635" t="s">
        <v>429</v>
      </c>
      <c r="F7635">
        <v>286.07</v>
      </c>
      <c r="G7635">
        <v>231015</v>
      </c>
      <c r="H7635">
        <v>4580</v>
      </c>
      <c r="I7635" t="s">
        <v>35</v>
      </c>
      <c r="J7635">
        <v>354.73</v>
      </c>
      <c r="K7635">
        <v>68.66</v>
      </c>
      <c r="L7635">
        <v>17913</v>
      </c>
      <c r="M7635" t="s">
        <v>431</v>
      </c>
      <c r="N7635" t="str">
        <f>"2360914856  "</f>
        <v xml:space="preserve">2360914856  </v>
      </c>
      <c r="O7635">
        <v>231030</v>
      </c>
    </row>
    <row r="7636" spans="1:15" x14ac:dyDescent="0.25">
      <c r="A7636" t="s">
        <v>16</v>
      </c>
      <c r="B7636" t="s">
        <v>3221</v>
      </c>
      <c r="C7636">
        <v>16030</v>
      </c>
      <c r="D7636" t="s">
        <v>428</v>
      </c>
      <c r="E7636" t="s">
        <v>429</v>
      </c>
      <c r="F7636">
        <v>88.66</v>
      </c>
      <c r="G7636">
        <v>231115</v>
      </c>
      <c r="H7636">
        <v>4580</v>
      </c>
      <c r="I7636" t="s">
        <v>35</v>
      </c>
      <c r="J7636">
        <v>109.94</v>
      </c>
      <c r="K7636">
        <v>21.28</v>
      </c>
      <c r="L7636">
        <v>17913</v>
      </c>
      <c r="M7636" t="s">
        <v>431</v>
      </c>
      <c r="N7636" t="str">
        <f>"2361016585  "</f>
        <v xml:space="preserve">2361016585  </v>
      </c>
      <c r="O7636">
        <v>231122</v>
      </c>
    </row>
    <row r="7637" spans="1:15" x14ac:dyDescent="0.25">
      <c r="A7637" t="s">
        <v>16</v>
      </c>
      <c r="B7637" t="s">
        <v>3221</v>
      </c>
      <c r="C7637">
        <v>18451</v>
      </c>
      <c r="D7637" t="s">
        <v>428</v>
      </c>
      <c r="E7637" t="s">
        <v>429</v>
      </c>
      <c r="F7637">
        <v>82.77</v>
      </c>
      <c r="G7637">
        <v>231215</v>
      </c>
      <c r="H7637">
        <v>4580</v>
      </c>
      <c r="I7637" t="s">
        <v>35</v>
      </c>
      <c r="J7637">
        <v>102.63</v>
      </c>
      <c r="K7637">
        <v>19.86</v>
      </c>
      <c r="L7637">
        <v>59114</v>
      </c>
      <c r="M7637" t="s">
        <v>556</v>
      </c>
      <c r="N7637" t="str">
        <f>"2361118283  "</f>
        <v xml:space="preserve">2361118283  </v>
      </c>
      <c r="O7637">
        <v>240103</v>
      </c>
    </row>
    <row r="7638" spans="1:15" x14ac:dyDescent="0.25">
      <c r="A7638" t="s">
        <v>16</v>
      </c>
      <c r="B7638" t="s">
        <v>3221</v>
      </c>
      <c r="C7638">
        <v>18907</v>
      </c>
      <c r="D7638" t="s">
        <v>428</v>
      </c>
      <c r="E7638" t="s">
        <v>429</v>
      </c>
      <c r="F7638">
        <v>615.63</v>
      </c>
      <c r="G7638">
        <v>231231</v>
      </c>
      <c r="H7638">
        <v>4580</v>
      </c>
      <c r="I7638" t="s">
        <v>35</v>
      </c>
      <c r="J7638">
        <v>763.38</v>
      </c>
      <c r="K7638">
        <v>147.75</v>
      </c>
      <c r="L7638">
        <v>59113</v>
      </c>
      <c r="M7638" t="s">
        <v>235</v>
      </c>
      <c r="N7638" t="str">
        <f>"2361150302  "</f>
        <v xml:space="preserve">2361150302  </v>
      </c>
      <c r="O7638">
        <v>240108</v>
      </c>
    </row>
    <row r="7639" spans="1:15" x14ac:dyDescent="0.25">
      <c r="A7639" t="s">
        <v>16</v>
      </c>
      <c r="B7639" t="s">
        <v>3221</v>
      </c>
      <c r="C7639">
        <v>10503</v>
      </c>
      <c r="D7639" t="s">
        <v>428</v>
      </c>
      <c r="E7639" t="s">
        <v>429</v>
      </c>
      <c r="F7639">
        <v>5044.28</v>
      </c>
      <c r="G7639">
        <v>230815</v>
      </c>
      <c r="H7639">
        <v>4510</v>
      </c>
      <c r="I7639" t="s">
        <v>42</v>
      </c>
      <c r="J7639">
        <v>5750.48</v>
      </c>
      <c r="K7639">
        <v>706.2</v>
      </c>
      <c r="L7639">
        <v>17913</v>
      </c>
      <c r="M7639" t="s">
        <v>431</v>
      </c>
      <c r="N7639" t="str">
        <f>"2360709486  "</f>
        <v xml:space="preserve">2360709486  </v>
      </c>
      <c r="O7639">
        <v>230817</v>
      </c>
    </row>
    <row r="7640" spans="1:15" x14ac:dyDescent="0.25">
      <c r="A7640" t="s">
        <v>16</v>
      </c>
      <c r="B7640" t="s">
        <v>3221</v>
      </c>
      <c r="C7640">
        <v>301</v>
      </c>
      <c r="D7640" t="s">
        <v>428</v>
      </c>
      <c r="E7640" t="s">
        <v>429</v>
      </c>
      <c r="F7640">
        <v>182.05</v>
      </c>
      <c r="G7640">
        <v>230115</v>
      </c>
      <c r="H7640">
        <v>4600</v>
      </c>
      <c r="I7640" t="s">
        <v>105</v>
      </c>
      <c r="J7640">
        <v>225.74</v>
      </c>
      <c r="K7640">
        <v>43.69</v>
      </c>
      <c r="L7640">
        <v>49112</v>
      </c>
      <c r="M7640" t="s">
        <v>233</v>
      </c>
      <c r="N7640" t="str">
        <f>"2360029515  "</f>
        <v xml:space="preserve">2360029515  </v>
      </c>
      <c r="O7640">
        <v>230118</v>
      </c>
    </row>
    <row r="7641" spans="1:15" x14ac:dyDescent="0.25">
      <c r="A7641" t="s">
        <v>16</v>
      </c>
      <c r="B7641" t="s">
        <v>3221</v>
      </c>
      <c r="C7641">
        <v>319</v>
      </c>
      <c r="D7641" t="s">
        <v>428</v>
      </c>
      <c r="E7641" t="s">
        <v>429</v>
      </c>
      <c r="F7641">
        <v>88.67</v>
      </c>
      <c r="G7641">
        <v>230115</v>
      </c>
      <c r="H7641">
        <v>4600</v>
      </c>
      <c r="I7641" t="s">
        <v>105</v>
      </c>
      <c r="J7641">
        <v>109.95</v>
      </c>
      <c r="K7641">
        <v>21.28</v>
      </c>
      <c r="L7641">
        <v>54451</v>
      </c>
      <c r="M7641" t="s">
        <v>158</v>
      </c>
      <c r="N7641" t="str">
        <f>"2360029512  "</f>
        <v xml:space="preserve">2360029512  </v>
      </c>
      <c r="O7641">
        <v>230118</v>
      </c>
    </row>
    <row r="7642" spans="1:15" x14ac:dyDescent="0.25">
      <c r="A7642" t="s">
        <v>16</v>
      </c>
      <c r="B7642" t="s">
        <v>3221</v>
      </c>
      <c r="C7642">
        <v>405</v>
      </c>
      <c r="D7642" t="s">
        <v>428</v>
      </c>
      <c r="E7642" t="s">
        <v>429</v>
      </c>
      <c r="F7642">
        <v>1.94</v>
      </c>
      <c r="G7642">
        <v>230115</v>
      </c>
      <c r="H7642">
        <v>4600</v>
      </c>
      <c r="I7642" t="s">
        <v>105</v>
      </c>
      <c r="J7642">
        <v>2.4</v>
      </c>
      <c r="K7642">
        <v>0.46</v>
      </c>
      <c r="L7642">
        <v>44251</v>
      </c>
      <c r="M7642" t="s">
        <v>156</v>
      </c>
      <c r="N7642" t="str">
        <f>"2360029517  "</f>
        <v xml:space="preserve">2360029517  </v>
      </c>
      <c r="O7642">
        <v>230120</v>
      </c>
    </row>
    <row r="7643" spans="1:15" x14ac:dyDescent="0.25">
      <c r="A7643" t="s">
        <v>16</v>
      </c>
      <c r="B7643" t="s">
        <v>3221</v>
      </c>
      <c r="C7643">
        <v>405</v>
      </c>
      <c r="D7643" t="s">
        <v>428</v>
      </c>
      <c r="E7643" t="s">
        <v>429</v>
      </c>
      <c r="F7643">
        <v>73.45</v>
      </c>
      <c r="G7643">
        <v>230115</v>
      </c>
      <c r="H7643">
        <v>4600</v>
      </c>
      <c r="I7643" t="s">
        <v>105</v>
      </c>
      <c r="J7643">
        <v>91.08</v>
      </c>
      <c r="K7643">
        <v>17.63</v>
      </c>
      <c r="L7643">
        <v>44252</v>
      </c>
      <c r="M7643" t="s">
        <v>157</v>
      </c>
      <c r="N7643" t="str">
        <f>"2360029517  "</f>
        <v xml:space="preserve">2360029517  </v>
      </c>
      <c r="O7643">
        <v>230120</v>
      </c>
    </row>
    <row r="7644" spans="1:15" x14ac:dyDescent="0.25">
      <c r="A7644" t="s">
        <v>16</v>
      </c>
      <c r="B7644" t="s">
        <v>3221</v>
      </c>
      <c r="C7644">
        <v>426</v>
      </c>
      <c r="D7644" t="s">
        <v>428</v>
      </c>
      <c r="E7644" t="s">
        <v>429</v>
      </c>
      <c r="F7644">
        <v>10</v>
      </c>
      <c r="G7644">
        <v>230115</v>
      </c>
      <c r="H7644">
        <v>4600</v>
      </c>
      <c r="I7644" t="s">
        <v>105</v>
      </c>
      <c r="J7644">
        <v>12.4</v>
      </c>
      <c r="K7644">
        <v>2.4</v>
      </c>
      <c r="L7644">
        <v>59113</v>
      </c>
      <c r="M7644" t="s">
        <v>235</v>
      </c>
      <c r="N7644" t="str">
        <f>"2360029513  "</f>
        <v xml:space="preserve">2360029513  </v>
      </c>
      <c r="O7644">
        <v>230123</v>
      </c>
    </row>
    <row r="7645" spans="1:15" x14ac:dyDescent="0.25">
      <c r="A7645" t="s">
        <v>16</v>
      </c>
      <c r="B7645" t="s">
        <v>3221</v>
      </c>
      <c r="C7645">
        <v>457</v>
      </c>
      <c r="D7645" t="s">
        <v>428</v>
      </c>
      <c r="E7645" t="s">
        <v>429</v>
      </c>
      <c r="F7645">
        <v>40.83</v>
      </c>
      <c r="G7645">
        <v>230115</v>
      </c>
      <c r="H7645">
        <v>4600</v>
      </c>
      <c r="I7645" t="s">
        <v>105</v>
      </c>
      <c r="J7645">
        <v>50.63</v>
      </c>
      <c r="K7645">
        <v>9.8000000000000007</v>
      </c>
      <c r="L7645">
        <v>59114</v>
      </c>
      <c r="M7645" t="s">
        <v>556</v>
      </c>
      <c r="N7645" t="str">
        <f>"2360029511  "</f>
        <v xml:space="preserve">2360029511  </v>
      </c>
      <c r="O7645">
        <v>230123</v>
      </c>
    </row>
    <row r="7646" spans="1:15" x14ac:dyDescent="0.25">
      <c r="A7646" t="s">
        <v>16</v>
      </c>
      <c r="B7646" t="s">
        <v>3221</v>
      </c>
      <c r="C7646">
        <v>481</v>
      </c>
      <c r="D7646" t="s">
        <v>428</v>
      </c>
      <c r="E7646" t="s">
        <v>429</v>
      </c>
      <c r="F7646">
        <v>410.73</v>
      </c>
      <c r="G7646">
        <v>230115</v>
      </c>
      <c r="H7646">
        <v>4600</v>
      </c>
      <c r="I7646" t="s">
        <v>105</v>
      </c>
      <c r="J7646">
        <v>509.31</v>
      </c>
      <c r="K7646">
        <v>98.58</v>
      </c>
      <c r="L7646">
        <v>69112</v>
      </c>
      <c r="M7646" t="s">
        <v>313</v>
      </c>
      <c r="N7646" t="str">
        <f>"2360029520  "</f>
        <v xml:space="preserve">2360029520  </v>
      </c>
      <c r="O7646">
        <v>230123</v>
      </c>
    </row>
    <row r="7647" spans="1:15" x14ac:dyDescent="0.25">
      <c r="A7647" t="s">
        <v>16</v>
      </c>
      <c r="B7647" t="s">
        <v>3221</v>
      </c>
      <c r="C7647">
        <v>481</v>
      </c>
      <c r="D7647" t="s">
        <v>428</v>
      </c>
      <c r="E7647" t="s">
        <v>429</v>
      </c>
      <c r="F7647">
        <v>22.82</v>
      </c>
      <c r="G7647">
        <v>230115</v>
      </c>
      <c r="H7647">
        <v>4600</v>
      </c>
      <c r="I7647" t="s">
        <v>105</v>
      </c>
      <c r="J7647">
        <v>28.3</v>
      </c>
      <c r="K7647">
        <v>5.48</v>
      </c>
      <c r="L7647">
        <v>69810</v>
      </c>
      <c r="M7647" t="s">
        <v>314</v>
      </c>
      <c r="N7647" t="str">
        <f>"2360029520  "</f>
        <v xml:space="preserve">2360029520  </v>
      </c>
      <c r="O7647">
        <v>230123</v>
      </c>
    </row>
    <row r="7648" spans="1:15" x14ac:dyDescent="0.25">
      <c r="A7648" t="s">
        <v>16</v>
      </c>
      <c r="B7648" t="s">
        <v>3221</v>
      </c>
      <c r="C7648">
        <v>481</v>
      </c>
      <c r="D7648" t="s">
        <v>428</v>
      </c>
      <c r="E7648" t="s">
        <v>429</v>
      </c>
      <c r="F7648">
        <v>22.81</v>
      </c>
      <c r="G7648">
        <v>230115</v>
      </c>
      <c r="H7648">
        <v>4600</v>
      </c>
      <c r="I7648" t="s">
        <v>105</v>
      </c>
      <c r="J7648">
        <v>28.29</v>
      </c>
      <c r="K7648">
        <v>5.48</v>
      </c>
      <c r="L7648">
        <v>69811</v>
      </c>
      <c r="M7648" t="s">
        <v>315</v>
      </c>
      <c r="N7648" t="str">
        <f>"2360029520  "</f>
        <v xml:space="preserve">2360029520  </v>
      </c>
      <c r="O7648">
        <v>230123</v>
      </c>
    </row>
    <row r="7649" spans="1:15" x14ac:dyDescent="0.25">
      <c r="A7649" t="s">
        <v>16</v>
      </c>
      <c r="B7649" t="s">
        <v>3221</v>
      </c>
      <c r="C7649">
        <v>597</v>
      </c>
      <c r="D7649" t="s">
        <v>428</v>
      </c>
      <c r="E7649" t="s">
        <v>429</v>
      </c>
      <c r="F7649">
        <v>112.99</v>
      </c>
      <c r="G7649">
        <v>230115</v>
      </c>
      <c r="H7649">
        <v>4600</v>
      </c>
      <c r="I7649" t="s">
        <v>105</v>
      </c>
      <c r="J7649">
        <v>140.11000000000001</v>
      </c>
      <c r="K7649">
        <v>27.12</v>
      </c>
      <c r="L7649">
        <v>69113</v>
      </c>
      <c r="M7649" t="s">
        <v>282</v>
      </c>
      <c r="N7649" t="str">
        <f>"2360029514  "</f>
        <v xml:space="preserve">2360029514  </v>
      </c>
      <c r="O7649">
        <v>230125</v>
      </c>
    </row>
    <row r="7650" spans="1:15" x14ac:dyDescent="0.25">
      <c r="A7650" t="s">
        <v>16</v>
      </c>
      <c r="B7650" t="s">
        <v>3221</v>
      </c>
      <c r="C7650">
        <v>597</v>
      </c>
      <c r="D7650" t="s">
        <v>428</v>
      </c>
      <c r="E7650" t="s">
        <v>429</v>
      </c>
      <c r="F7650">
        <v>12.56</v>
      </c>
      <c r="G7650">
        <v>230115</v>
      </c>
      <c r="H7650">
        <v>4600</v>
      </c>
      <c r="I7650" t="s">
        <v>105</v>
      </c>
      <c r="J7650">
        <v>15.57</v>
      </c>
      <c r="K7650">
        <v>3.01</v>
      </c>
      <c r="L7650">
        <v>69802</v>
      </c>
      <c r="M7650" t="s">
        <v>283</v>
      </c>
      <c r="N7650" t="str">
        <f>"2360029514  "</f>
        <v xml:space="preserve">2360029514  </v>
      </c>
      <c r="O7650">
        <v>230125</v>
      </c>
    </row>
    <row r="7651" spans="1:15" x14ac:dyDescent="0.25">
      <c r="A7651" t="s">
        <v>16</v>
      </c>
      <c r="B7651" t="s">
        <v>3221</v>
      </c>
      <c r="C7651">
        <v>987</v>
      </c>
      <c r="D7651" t="s">
        <v>428</v>
      </c>
      <c r="E7651" t="s">
        <v>429</v>
      </c>
      <c r="F7651">
        <v>436.41</v>
      </c>
      <c r="G7651">
        <v>230131</v>
      </c>
      <c r="H7651">
        <v>4600</v>
      </c>
      <c r="I7651" t="s">
        <v>105</v>
      </c>
      <c r="J7651">
        <v>541.15</v>
      </c>
      <c r="K7651">
        <v>104.74</v>
      </c>
      <c r="L7651">
        <v>69112</v>
      </c>
      <c r="M7651" t="s">
        <v>313</v>
      </c>
      <c r="N7651" t="str">
        <f>"2360066724  "</f>
        <v xml:space="preserve">2360066724  </v>
      </c>
      <c r="O7651">
        <v>230202</v>
      </c>
    </row>
    <row r="7652" spans="1:15" x14ac:dyDescent="0.25">
      <c r="A7652" t="s">
        <v>16</v>
      </c>
      <c r="B7652" t="s">
        <v>3221</v>
      </c>
      <c r="C7652">
        <v>987</v>
      </c>
      <c r="D7652" t="s">
        <v>428</v>
      </c>
      <c r="E7652" t="s">
        <v>429</v>
      </c>
      <c r="F7652">
        <v>24.25</v>
      </c>
      <c r="G7652">
        <v>230131</v>
      </c>
      <c r="H7652">
        <v>4600</v>
      </c>
      <c r="I7652" t="s">
        <v>105</v>
      </c>
      <c r="J7652">
        <v>30.07</v>
      </c>
      <c r="K7652">
        <v>5.82</v>
      </c>
      <c r="L7652">
        <v>69810</v>
      </c>
      <c r="M7652" t="s">
        <v>314</v>
      </c>
      <c r="N7652" t="str">
        <f>"2360066724  "</f>
        <v xml:space="preserve">2360066724  </v>
      </c>
      <c r="O7652">
        <v>230202</v>
      </c>
    </row>
    <row r="7653" spans="1:15" x14ac:dyDescent="0.25">
      <c r="A7653" t="s">
        <v>16</v>
      </c>
      <c r="B7653" t="s">
        <v>3221</v>
      </c>
      <c r="C7653">
        <v>987</v>
      </c>
      <c r="D7653" t="s">
        <v>428</v>
      </c>
      <c r="E7653" t="s">
        <v>429</v>
      </c>
      <c r="F7653">
        <v>24.24</v>
      </c>
      <c r="G7653">
        <v>230131</v>
      </c>
      <c r="H7653">
        <v>4600</v>
      </c>
      <c r="I7653" t="s">
        <v>105</v>
      </c>
      <c r="J7653">
        <v>30.06</v>
      </c>
      <c r="K7653">
        <v>5.82</v>
      </c>
      <c r="L7653">
        <v>69811</v>
      </c>
      <c r="M7653" t="s">
        <v>315</v>
      </c>
      <c r="N7653" t="str">
        <f>"2360066724  "</f>
        <v xml:space="preserve">2360066724  </v>
      </c>
      <c r="O7653">
        <v>230202</v>
      </c>
    </row>
    <row r="7654" spans="1:15" x14ac:dyDescent="0.25">
      <c r="A7654" t="s">
        <v>16</v>
      </c>
      <c r="B7654" t="s">
        <v>3221</v>
      </c>
      <c r="C7654">
        <v>988</v>
      </c>
      <c r="D7654" t="s">
        <v>428</v>
      </c>
      <c r="E7654" t="s">
        <v>429</v>
      </c>
      <c r="F7654">
        <v>300.5</v>
      </c>
      <c r="G7654">
        <v>230131</v>
      </c>
      <c r="H7654">
        <v>4600</v>
      </c>
      <c r="I7654" t="s">
        <v>105</v>
      </c>
      <c r="J7654">
        <v>372.62</v>
      </c>
      <c r="K7654">
        <v>72.12</v>
      </c>
      <c r="L7654">
        <v>69113</v>
      </c>
      <c r="M7654" t="s">
        <v>282</v>
      </c>
      <c r="N7654" t="str">
        <f>"2360066717  "</f>
        <v xml:space="preserve">2360066717  </v>
      </c>
      <c r="O7654">
        <v>230202</v>
      </c>
    </row>
    <row r="7655" spans="1:15" x14ac:dyDescent="0.25">
      <c r="A7655" t="s">
        <v>16</v>
      </c>
      <c r="B7655" t="s">
        <v>3221</v>
      </c>
      <c r="C7655">
        <v>988</v>
      </c>
      <c r="D7655" t="s">
        <v>428</v>
      </c>
      <c r="E7655" t="s">
        <v>429</v>
      </c>
      <c r="F7655">
        <v>33.39</v>
      </c>
      <c r="G7655">
        <v>230131</v>
      </c>
      <c r="H7655">
        <v>4600</v>
      </c>
      <c r="I7655" t="s">
        <v>105</v>
      </c>
      <c r="J7655">
        <v>41.4</v>
      </c>
      <c r="K7655">
        <v>8.01</v>
      </c>
      <c r="L7655">
        <v>69802</v>
      </c>
      <c r="M7655" t="s">
        <v>283</v>
      </c>
      <c r="N7655" t="str">
        <f>"2360066717  "</f>
        <v xml:space="preserve">2360066717  </v>
      </c>
      <c r="O7655">
        <v>230202</v>
      </c>
    </row>
    <row r="7656" spans="1:15" x14ac:dyDescent="0.25">
      <c r="A7656" t="s">
        <v>16</v>
      </c>
      <c r="B7656" t="s">
        <v>3221</v>
      </c>
      <c r="C7656">
        <v>1200</v>
      </c>
      <c r="D7656" t="s">
        <v>428</v>
      </c>
      <c r="E7656" t="s">
        <v>429</v>
      </c>
      <c r="F7656">
        <v>55.73</v>
      </c>
      <c r="G7656">
        <v>230131</v>
      </c>
      <c r="H7656">
        <v>4600</v>
      </c>
      <c r="I7656" t="s">
        <v>105</v>
      </c>
      <c r="J7656">
        <v>69.11</v>
      </c>
      <c r="K7656">
        <v>13.38</v>
      </c>
      <c r="L7656">
        <v>49112</v>
      </c>
      <c r="M7656" t="s">
        <v>233</v>
      </c>
      <c r="N7656" t="str">
        <f>"2360066718  "</f>
        <v xml:space="preserve">2360066718  </v>
      </c>
      <c r="O7656">
        <v>230206</v>
      </c>
    </row>
    <row r="7657" spans="1:15" x14ac:dyDescent="0.25">
      <c r="A7657" t="s">
        <v>16</v>
      </c>
      <c r="B7657" t="s">
        <v>3221</v>
      </c>
      <c r="C7657">
        <v>1203</v>
      </c>
      <c r="D7657" t="s">
        <v>428</v>
      </c>
      <c r="E7657" t="s">
        <v>429</v>
      </c>
      <c r="F7657">
        <v>695.15</v>
      </c>
      <c r="G7657">
        <v>230131</v>
      </c>
      <c r="H7657">
        <v>4600</v>
      </c>
      <c r="I7657" t="s">
        <v>105</v>
      </c>
      <c r="J7657">
        <v>861.99</v>
      </c>
      <c r="K7657">
        <v>166.84</v>
      </c>
      <c r="L7657">
        <v>54451</v>
      </c>
      <c r="M7657" t="s">
        <v>158</v>
      </c>
      <c r="N7657" t="str">
        <f>"2360066715  "</f>
        <v xml:space="preserve">2360066715  </v>
      </c>
      <c r="O7657">
        <v>230206</v>
      </c>
    </row>
    <row r="7658" spans="1:15" x14ac:dyDescent="0.25">
      <c r="A7658" t="s">
        <v>16</v>
      </c>
      <c r="B7658" t="s">
        <v>3221</v>
      </c>
      <c r="C7658">
        <v>1290</v>
      </c>
      <c r="D7658" t="s">
        <v>428</v>
      </c>
      <c r="E7658" t="s">
        <v>429</v>
      </c>
      <c r="F7658">
        <v>20</v>
      </c>
      <c r="G7658">
        <v>230131</v>
      </c>
      <c r="H7658">
        <v>4600</v>
      </c>
      <c r="I7658" t="s">
        <v>105</v>
      </c>
      <c r="J7658">
        <v>24.8</v>
      </c>
      <c r="K7658">
        <v>4.8</v>
      </c>
      <c r="L7658">
        <v>59114</v>
      </c>
      <c r="M7658" t="s">
        <v>556</v>
      </c>
      <c r="N7658" t="str">
        <f>"2360066714  "</f>
        <v xml:space="preserve">2360066714  </v>
      </c>
      <c r="O7658">
        <v>230207</v>
      </c>
    </row>
    <row r="7659" spans="1:15" x14ac:dyDescent="0.25">
      <c r="A7659" t="s">
        <v>16</v>
      </c>
      <c r="B7659" t="s">
        <v>3221</v>
      </c>
      <c r="C7659">
        <v>1291</v>
      </c>
      <c r="D7659" t="s">
        <v>428</v>
      </c>
      <c r="E7659" t="s">
        <v>429</v>
      </c>
      <c r="F7659">
        <v>30</v>
      </c>
      <c r="G7659">
        <v>230131</v>
      </c>
      <c r="H7659">
        <v>4600</v>
      </c>
      <c r="I7659" t="s">
        <v>105</v>
      </c>
      <c r="J7659">
        <v>37.200000000000003</v>
      </c>
      <c r="K7659">
        <v>7.2</v>
      </c>
      <c r="L7659">
        <v>59113</v>
      </c>
      <c r="M7659" t="s">
        <v>235</v>
      </c>
      <c r="N7659" t="str">
        <f>"2360066716  "</f>
        <v xml:space="preserve">2360066716  </v>
      </c>
      <c r="O7659">
        <v>230207</v>
      </c>
    </row>
    <row r="7660" spans="1:15" x14ac:dyDescent="0.25">
      <c r="A7660" t="s">
        <v>16</v>
      </c>
      <c r="B7660" t="s">
        <v>3221</v>
      </c>
      <c r="C7660">
        <v>1484</v>
      </c>
      <c r="D7660" t="s">
        <v>428</v>
      </c>
      <c r="E7660" t="s">
        <v>429</v>
      </c>
      <c r="F7660">
        <v>141.6</v>
      </c>
      <c r="G7660">
        <v>230131</v>
      </c>
      <c r="H7660">
        <v>4600</v>
      </c>
      <c r="I7660" t="s">
        <v>105</v>
      </c>
      <c r="J7660">
        <v>175.59</v>
      </c>
      <c r="K7660">
        <v>33.99</v>
      </c>
      <c r="L7660">
        <v>44253</v>
      </c>
      <c r="M7660" t="s">
        <v>1058</v>
      </c>
      <c r="N7660" t="str">
        <f>"2360066723  "</f>
        <v xml:space="preserve">2360066723  </v>
      </c>
      <c r="O7660">
        <v>230209</v>
      </c>
    </row>
    <row r="7661" spans="1:15" x14ac:dyDescent="0.25">
      <c r="A7661" t="s">
        <v>16</v>
      </c>
      <c r="B7661" t="s">
        <v>3221</v>
      </c>
      <c r="C7661">
        <v>1491</v>
      </c>
      <c r="D7661" t="s">
        <v>428</v>
      </c>
      <c r="E7661" t="s">
        <v>429</v>
      </c>
      <c r="F7661">
        <v>176.7</v>
      </c>
      <c r="G7661">
        <v>230131</v>
      </c>
      <c r="H7661">
        <v>4600</v>
      </c>
      <c r="I7661" t="s">
        <v>105</v>
      </c>
      <c r="J7661">
        <v>219.11</v>
      </c>
      <c r="K7661">
        <v>42.41</v>
      </c>
      <c r="L7661">
        <v>44251</v>
      </c>
      <c r="M7661" t="s">
        <v>156</v>
      </c>
      <c r="N7661" t="str">
        <f>"2360066720  "</f>
        <v xml:space="preserve">2360066720  </v>
      </c>
      <c r="O7661">
        <v>230209</v>
      </c>
    </row>
    <row r="7662" spans="1:15" x14ac:dyDescent="0.25">
      <c r="A7662" t="s">
        <v>16</v>
      </c>
      <c r="B7662" t="s">
        <v>3221</v>
      </c>
      <c r="C7662">
        <v>1491</v>
      </c>
      <c r="D7662" t="s">
        <v>428</v>
      </c>
      <c r="E7662" t="s">
        <v>429</v>
      </c>
      <c r="F7662">
        <v>556.47</v>
      </c>
      <c r="G7662">
        <v>230131</v>
      </c>
      <c r="H7662">
        <v>4600</v>
      </c>
      <c r="I7662" t="s">
        <v>105</v>
      </c>
      <c r="J7662">
        <v>690.02</v>
      </c>
      <c r="K7662">
        <v>133.55000000000001</v>
      </c>
      <c r="L7662">
        <v>44252</v>
      </c>
      <c r="M7662" t="s">
        <v>157</v>
      </c>
      <c r="N7662" t="str">
        <f>"2360066720  "</f>
        <v xml:space="preserve">2360066720  </v>
      </c>
      <c r="O7662">
        <v>230209</v>
      </c>
    </row>
    <row r="7663" spans="1:15" x14ac:dyDescent="0.25">
      <c r="A7663" t="s">
        <v>16</v>
      </c>
      <c r="B7663" t="s">
        <v>3221</v>
      </c>
      <c r="C7663">
        <v>2100</v>
      </c>
      <c r="D7663" t="s">
        <v>428</v>
      </c>
      <c r="E7663" t="s">
        <v>429</v>
      </c>
      <c r="F7663">
        <v>10</v>
      </c>
      <c r="G7663">
        <v>230215</v>
      </c>
      <c r="H7663">
        <v>4600</v>
      </c>
      <c r="I7663" t="s">
        <v>105</v>
      </c>
      <c r="J7663">
        <v>12.4</v>
      </c>
      <c r="K7663">
        <v>2.4</v>
      </c>
      <c r="L7663">
        <v>59114</v>
      </c>
      <c r="M7663" t="s">
        <v>556</v>
      </c>
      <c r="N7663" t="str">
        <f>"2360127421  "</f>
        <v xml:space="preserve">2360127421  </v>
      </c>
      <c r="O7663">
        <v>230221</v>
      </c>
    </row>
    <row r="7664" spans="1:15" x14ac:dyDescent="0.25">
      <c r="A7664" t="s">
        <v>16</v>
      </c>
      <c r="B7664" t="s">
        <v>3221</v>
      </c>
      <c r="C7664">
        <v>2101</v>
      </c>
      <c r="D7664" t="s">
        <v>428</v>
      </c>
      <c r="E7664" t="s">
        <v>429</v>
      </c>
      <c r="F7664">
        <v>819.19</v>
      </c>
      <c r="G7664">
        <v>230215</v>
      </c>
      <c r="H7664">
        <v>4600</v>
      </c>
      <c r="I7664" t="s">
        <v>105</v>
      </c>
      <c r="J7664">
        <v>1015.8</v>
      </c>
      <c r="K7664">
        <v>196.61</v>
      </c>
      <c r="L7664">
        <v>54451</v>
      </c>
      <c r="M7664" t="s">
        <v>158</v>
      </c>
      <c r="N7664" t="str">
        <f>"2360127422  "</f>
        <v xml:space="preserve">2360127422  </v>
      </c>
      <c r="O7664">
        <v>230221</v>
      </c>
    </row>
    <row r="7665" spans="1:15" x14ac:dyDescent="0.25">
      <c r="A7665" t="s">
        <v>16</v>
      </c>
      <c r="B7665" t="s">
        <v>3221</v>
      </c>
      <c r="C7665">
        <v>2103</v>
      </c>
      <c r="D7665" t="s">
        <v>428</v>
      </c>
      <c r="E7665" t="s">
        <v>429</v>
      </c>
      <c r="F7665">
        <v>88.56</v>
      </c>
      <c r="G7665">
        <v>230215</v>
      </c>
      <c r="H7665">
        <v>4600</v>
      </c>
      <c r="I7665" t="s">
        <v>105</v>
      </c>
      <c r="J7665">
        <v>109.81</v>
      </c>
      <c r="K7665">
        <v>21.25</v>
      </c>
      <c r="L7665">
        <v>59113</v>
      </c>
      <c r="M7665" t="s">
        <v>235</v>
      </c>
      <c r="N7665" t="str">
        <f>"2360127423  "</f>
        <v xml:space="preserve">2360127423  </v>
      </c>
      <c r="O7665">
        <v>230221</v>
      </c>
    </row>
    <row r="7666" spans="1:15" x14ac:dyDescent="0.25">
      <c r="A7666" t="s">
        <v>16</v>
      </c>
      <c r="B7666" t="s">
        <v>3221</v>
      </c>
      <c r="C7666">
        <v>2280</v>
      </c>
      <c r="D7666" t="s">
        <v>428</v>
      </c>
      <c r="E7666" t="s">
        <v>429</v>
      </c>
      <c r="F7666">
        <v>-20</v>
      </c>
      <c r="G7666">
        <v>230215</v>
      </c>
      <c r="H7666">
        <v>4600</v>
      </c>
      <c r="I7666" t="s">
        <v>105</v>
      </c>
      <c r="J7666">
        <v>-24.8</v>
      </c>
      <c r="K7666">
        <v>-4.8</v>
      </c>
      <c r="L7666">
        <v>44253</v>
      </c>
      <c r="M7666" t="s">
        <v>1058</v>
      </c>
      <c r="N7666" t="str">
        <f>"2360127430  "</f>
        <v xml:space="preserve">2360127430  </v>
      </c>
      <c r="O7666">
        <v>230223</v>
      </c>
    </row>
    <row r="7667" spans="1:15" x14ac:dyDescent="0.25">
      <c r="A7667" t="s">
        <v>16</v>
      </c>
      <c r="B7667" t="s">
        <v>3221</v>
      </c>
      <c r="C7667">
        <v>2343</v>
      </c>
      <c r="D7667" t="s">
        <v>428</v>
      </c>
      <c r="E7667" t="s">
        <v>429</v>
      </c>
      <c r="F7667">
        <v>-2.66</v>
      </c>
      <c r="G7667">
        <v>230215</v>
      </c>
      <c r="H7667">
        <v>4600</v>
      </c>
      <c r="I7667" t="s">
        <v>105</v>
      </c>
      <c r="J7667">
        <v>-3.3</v>
      </c>
      <c r="K7667">
        <v>-0.64</v>
      </c>
      <c r="L7667">
        <v>49112</v>
      </c>
      <c r="M7667" t="s">
        <v>233</v>
      </c>
      <c r="N7667" t="str">
        <f>"2360127425  "</f>
        <v xml:space="preserve">2360127425  </v>
      </c>
      <c r="O7667">
        <v>230224</v>
      </c>
    </row>
    <row r="7668" spans="1:15" x14ac:dyDescent="0.25">
      <c r="A7668" t="s">
        <v>16</v>
      </c>
      <c r="B7668" t="s">
        <v>3221</v>
      </c>
      <c r="C7668">
        <v>2427</v>
      </c>
      <c r="D7668" t="s">
        <v>428</v>
      </c>
      <c r="E7668" t="s">
        <v>429</v>
      </c>
      <c r="F7668">
        <v>102.86</v>
      </c>
      <c r="G7668">
        <v>230215</v>
      </c>
      <c r="H7668">
        <v>4600</v>
      </c>
      <c r="I7668" t="s">
        <v>105</v>
      </c>
      <c r="J7668">
        <v>127.55</v>
      </c>
      <c r="K7668">
        <v>24.69</v>
      </c>
      <c r="L7668">
        <v>69113</v>
      </c>
      <c r="M7668" t="s">
        <v>282</v>
      </c>
      <c r="N7668" t="str">
        <f>"2360127424  "</f>
        <v xml:space="preserve">2360127424  </v>
      </c>
      <c r="O7668">
        <v>230227</v>
      </c>
    </row>
    <row r="7669" spans="1:15" x14ac:dyDescent="0.25">
      <c r="A7669" t="s">
        <v>16</v>
      </c>
      <c r="B7669" t="s">
        <v>3221</v>
      </c>
      <c r="C7669">
        <v>2427</v>
      </c>
      <c r="D7669" t="s">
        <v>428</v>
      </c>
      <c r="E7669" t="s">
        <v>429</v>
      </c>
      <c r="F7669">
        <v>11.43</v>
      </c>
      <c r="G7669">
        <v>230215</v>
      </c>
      <c r="H7669">
        <v>4600</v>
      </c>
      <c r="I7669" t="s">
        <v>105</v>
      </c>
      <c r="J7669">
        <v>14.17</v>
      </c>
      <c r="K7669">
        <v>2.74</v>
      </c>
      <c r="L7669">
        <v>69802</v>
      </c>
      <c r="M7669" t="s">
        <v>283</v>
      </c>
      <c r="N7669" t="str">
        <f>"2360127424  "</f>
        <v xml:space="preserve">2360127424  </v>
      </c>
      <c r="O7669">
        <v>230227</v>
      </c>
    </row>
    <row r="7670" spans="1:15" x14ac:dyDescent="0.25">
      <c r="A7670" t="s">
        <v>16</v>
      </c>
      <c r="B7670" t="s">
        <v>3221</v>
      </c>
      <c r="C7670">
        <v>2449</v>
      </c>
      <c r="D7670" t="s">
        <v>428</v>
      </c>
      <c r="E7670" t="s">
        <v>429</v>
      </c>
      <c r="F7670">
        <v>22.67</v>
      </c>
      <c r="G7670">
        <v>230215</v>
      </c>
      <c r="H7670">
        <v>4600</v>
      </c>
      <c r="I7670" t="s">
        <v>105</v>
      </c>
      <c r="J7670">
        <v>28.11</v>
      </c>
      <c r="K7670">
        <v>5.44</v>
      </c>
      <c r="L7670">
        <v>69112</v>
      </c>
      <c r="M7670" t="s">
        <v>313</v>
      </c>
      <c r="N7670" t="str">
        <f>"2360127431  "</f>
        <v xml:space="preserve">2360127431  </v>
      </c>
      <c r="O7670">
        <v>230228</v>
      </c>
    </row>
    <row r="7671" spans="1:15" x14ac:dyDescent="0.25">
      <c r="A7671" t="s">
        <v>16</v>
      </c>
      <c r="B7671" t="s">
        <v>3221</v>
      </c>
      <c r="C7671">
        <v>2542</v>
      </c>
      <c r="D7671" t="s">
        <v>428</v>
      </c>
      <c r="E7671" t="s">
        <v>429</v>
      </c>
      <c r="F7671">
        <v>141.65</v>
      </c>
      <c r="G7671">
        <v>230228</v>
      </c>
      <c r="H7671">
        <v>4600</v>
      </c>
      <c r="I7671" t="s">
        <v>105</v>
      </c>
      <c r="J7671">
        <v>175.64</v>
      </c>
      <c r="K7671">
        <v>33.99</v>
      </c>
      <c r="L7671">
        <v>69113</v>
      </c>
      <c r="M7671" t="s">
        <v>282</v>
      </c>
      <c r="N7671" t="str">
        <f>"2360156974  "</f>
        <v xml:space="preserve">2360156974  </v>
      </c>
      <c r="O7671">
        <v>230302</v>
      </c>
    </row>
    <row r="7672" spans="1:15" x14ac:dyDescent="0.25">
      <c r="A7672" t="s">
        <v>16</v>
      </c>
      <c r="B7672" t="s">
        <v>3221</v>
      </c>
      <c r="C7672">
        <v>2542</v>
      </c>
      <c r="D7672" t="s">
        <v>428</v>
      </c>
      <c r="E7672" t="s">
        <v>429</v>
      </c>
      <c r="F7672">
        <v>15.73</v>
      </c>
      <c r="G7672">
        <v>230228</v>
      </c>
      <c r="H7672">
        <v>4600</v>
      </c>
      <c r="I7672" t="s">
        <v>105</v>
      </c>
      <c r="J7672">
        <v>19.510000000000002</v>
      </c>
      <c r="K7672">
        <v>3.78</v>
      </c>
      <c r="L7672">
        <v>69802</v>
      </c>
      <c r="M7672" t="s">
        <v>283</v>
      </c>
      <c r="N7672" t="str">
        <f>"2360156974  "</f>
        <v xml:space="preserve">2360156974  </v>
      </c>
      <c r="O7672">
        <v>230302</v>
      </c>
    </row>
    <row r="7673" spans="1:15" x14ac:dyDescent="0.25">
      <c r="A7673" t="s">
        <v>16</v>
      </c>
      <c r="B7673" t="s">
        <v>3221</v>
      </c>
      <c r="C7673">
        <v>2997</v>
      </c>
      <c r="D7673" t="s">
        <v>428</v>
      </c>
      <c r="E7673" t="s">
        <v>429</v>
      </c>
      <c r="F7673">
        <v>-20</v>
      </c>
      <c r="G7673">
        <v>230228</v>
      </c>
      <c r="H7673">
        <v>4600</v>
      </c>
      <c r="I7673" t="s">
        <v>105</v>
      </c>
      <c r="J7673">
        <v>-24.8</v>
      </c>
      <c r="K7673">
        <v>-4.8</v>
      </c>
      <c r="L7673">
        <v>59113</v>
      </c>
      <c r="M7673" t="s">
        <v>235</v>
      </c>
      <c r="N7673" t="str">
        <f>"2360156973  "</f>
        <v xml:space="preserve">2360156973  </v>
      </c>
      <c r="O7673">
        <v>230308</v>
      </c>
    </row>
    <row r="7674" spans="1:15" x14ac:dyDescent="0.25">
      <c r="A7674" t="s">
        <v>16</v>
      </c>
      <c r="B7674" t="s">
        <v>3221</v>
      </c>
      <c r="C7674">
        <v>2999</v>
      </c>
      <c r="D7674" t="s">
        <v>428</v>
      </c>
      <c r="E7674" t="s">
        <v>429</v>
      </c>
      <c r="F7674">
        <v>32.770000000000003</v>
      </c>
      <c r="G7674">
        <v>230228</v>
      </c>
      <c r="H7674">
        <v>4600</v>
      </c>
      <c r="I7674" t="s">
        <v>105</v>
      </c>
      <c r="J7674">
        <v>40.64</v>
      </c>
      <c r="K7674">
        <v>7.87</v>
      </c>
      <c r="L7674">
        <v>59114</v>
      </c>
      <c r="M7674" t="s">
        <v>556</v>
      </c>
      <c r="N7674" t="str">
        <f>"2360156971  "</f>
        <v xml:space="preserve">2360156971  </v>
      </c>
      <c r="O7674">
        <v>230308</v>
      </c>
    </row>
    <row r="7675" spans="1:15" x14ac:dyDescent="0.25">
      <c r="A7675" t="s">
        <v>16</v>
      </c>
      <c r="B7675" t="s">
        <v>3221</v>
      </c>
      <c r="C7675">
        <v>3003</v>
      </c>
      <c r="D7675" t="s">
        <v>428</v>
      </c>
      <c r="E7675" t="s">
        <v>429</v>
      </c>
      <c r="F7675">
        <v>10</v>
      </c>
      <c r="G7675">
        <v>230228</v>
      </c>
      <c r="H7675">
        <v>4600</v>
      </c>
      <c r="I7675" t="s">
        <v>105</v>
      </c>
      <c r="J7675">
        <v>12.4</v>
      </c>
      <c r="K7675">
        <v>2.4</v>
      </c>
      <c r="L7675">
        <v>54451</v>
      </c>
      <c r="M7675" t="s">
        <v>158</v>
      </c>
      <c r="N7675" t="str">
        <f>"2360156972  "</f>
        <v xml:space="preserve">2360156972  </v>
      </c>
      <c r="O7675">
        <v>230308</v>
      </c>
    </row>
    <row r="7676" spans="1:15" x14ac:dyDescent="0.25">
      <c r="A7676" t="s">
        <v>16</v>
      </c>
      <c r="B7676" t="s">
        <v>3221</v>
      </c>
      <c r="C7676">
        <v>3005</v>
      </c>
      <c r="D7676" t="s">
        <v>428</v>
      </c>
      <c r="E7676" t="s">
        <v>429</v>
      </c>
      <c r="F7676">
        <v>67.92</v>
      </c>
      <c r="G7676">
        <v>230228</v>
      </c>
      <c r="H7676">
        <v>4600</v>
      </c>
      <c r="I7676" t="s">
        <v>105</v>
      </c>
      <c r="J7676">
        <v>84.22</v>
      </c>
      <c r="K7676">
        <v>16.3</v>
      </c>
      <c r="L7676">
        <v>44253</v>
      </c>
      <c r="M7676" t="s">
        <v>1058</v>
      </c>
      <c r="N7676" t="str">
        <f>"2360156980  "</f>
        <v xml:space="preserve">2360156980  </v>
      </c>
      <c r="O7676">
        <v>230308</v>
      </c>
    </row>
    <row r="7677" spans="1:15" x14ac:dyDescent="0.25">
      <c r="A7677" t="s">
        <v>16</v>
      </c>
      <c r="B7677" t="s">
        <v>3221</v>
      </c>
      <c r="C7677">
        <v>3009</v>
      </c>
      <c r="D7677" t="s">
        <v>428</v>
      </c>
      <c r="E7677" t="s">
        <v>429</v>
      </c>
      <c r="F7677">
        <v>268.52999999999997</v>
      </c>
      <c r="G7677">
        <v>230228</v>
      </c>
      <c r="H7677">
        <v>4600</v>
      </c>
      <c r="I7677" t="s">
        <v>105</v>
      </c>
      <c r="J7677">
        <v>332.98</v>
      </c>
      <c r="K7677">
        <v>64.45</v>
      </c>
      <c r="L7677">
        <v>49112</v>
      </c>
      <c r="M7677" t="s">
        <v>233</v>
      </c>
      <c r="N7677" t="str">
        <f>"2360156975  "</f>
        <v xml:space="preserve">2360156975  </v>
      </c>
      <c r="O7677">
        <v>230308</v>
      </c>
    </row>
    <row r="7678" spans="1:15" x14ac:dyDescent="0.25">
      <c r="A7678" t="s">
        <v>16</v>
      </c>
      <c r="B7678" t="s">
        <v>3221</v>
      </c>
      <c r="C7678">
        <v>3041</v>
      </c>
      <c r="D7678" t="s">
        <v>428</v>
      </c>
      <c r="E7678" t="s">
        <v>429</v>
      </c>
      <c r="F7678">
        <v>40.65</v>
      </c>
      <c r="G7678">
        <v>230228</v>
      </c>
      <c r="H7678">
        <v>4600</v>
      </c>
      <c r="I7678" t="s">
        <v>105</v>
      </c>
      <c r="J7678">
        <v>50.4</v>
      </c>
      <c r="K7678">
        <v>9.75</v>
      </c>
      <c r="L7678">
        <v>44251</v>
      </c>
      <c r="M7678" t="s">
        <v>156</v>
      </c>
      <c r="N7678" t="str">
        <f>"2360156977  "</f>
        <v xml:space="preserve">2360156977  </v>
      </c>
      <c r="O7678">
        <v>230308</v>
      </c>
    </row>
    <row r="7679" spans="1:15" x14ac:dyDescent="0.25">
      <c r="A7679" t="s">
        <v>16</v>
      </c>
      <c r="B7679" t="s">
        <v>3221</v>
      </c>
      <c r="C7679">
        <v>3041</v>
      </c>
      <c r="D7679" t="s">
        <v>428</v>
      </c>
      <c r="E7679" t="s">
        <v>429</v>
      </c>
      <c r="F7679">
        <v>47.05</v>
      </c>
      <c r="G7679">
        <v>230228</v>
      </c>
      <c r="H7679">
        <v>4600</v>
      </c>
      <c r="I7679" t="s">
        <v>105</v>
      </c>
      <c r="J7679">
        <v>58.34</v>
      </c>
      <c r="K7679">
        <v>11.29</v>
      </c>
      <c r="L7679">
        <v>44252</v>
      </c>
      <c r="M7679" t="s">
        <v>157</v>
      </c>
      <c r="N7679" t="str">
        <f>"2360156977  "</f>
        <v xml:space="preserve">2360156977  </v>
      </c>
      <c r="O7679">
        <v>230308</v>
      </c>
    </row>
    <row r="7680" spans="1:15" x14ac:dyDescent="0.25">
      <c r="A7680" t="s">
        <v>16</v>
      </c>
      <c r="B7680" t="s">
        <v>3221</v>
      </c>
      <c r="C7680">
        <v>3405</v>
      </c>
      <c r="D7680" t="s">
        <v>428</v>
      </c>
      <c r="E7680" t="s">
        <v>429</v>
      </c>
      <c r="F7680">
        <v>129.07</v>
      </c>
      <c r="G7680">
        <v>230228</v>
      </c>
      <c r="H7680">
        <v>4600</v>
      </c>
      <c r="I7680" t="s">
        <v>105</v>
      </c>
      <c r="J7680">
        <v>160.05000000000001</v>
      </c>
      <c r="K7680">
        <v>30.98</v>
      </c>
      <c r="L7680">
        <v>69112</v>
      </c>
      <c r="M7680" t="s">
        <v>313</v>
      </c>
      <c r="N7680" t="str">
        <f>"2360156981  "</f>
        <v xml:space="preserve">2360156981  </v>
      </c>
      <c r="O7680">
        <v>230315</v>
      </c>
    </row>
    <row r="7681" spans="1:15" x14ac:dyDescent="0.25">
      <c r="A7681" t="s">
        <v>16</v>
      </c>
      <c r="B7681" t="s">
        <v>3221</v>
      </c>
      <c r="C7681">
        <v>3520</v>
      </c>
      <c r="D7681" t="s">
        <v>428</v>
      </c>
      <c r="E7681" t="s">
        <v>429</v>
      </c>
      <c r="F7681">
        <v>159.91</v>
      </c>
      <c r="G7681">
        <v>230315</v>
      </c>
      <c r="H7681">
        <v>4600</v>
      </c>
      <c r="I7681" t="s">
        <v>105</v>
      </c>
      <c r="J7681">
        <v>198.29</v>
      </c>
      <c r="K7681">
        <v>38.380000000000003</v>
      </c>
      <c r="L7681">
        <v>59113</v>
      </c>
      <c r="M7681" t="s">
        <v>235</v>
      </c>
      <c r="N7681" t="str">
        <f>"2360220755  "</f>
        <v xml:space="preserve">2360220755  </v>
      </c>
      <c r="O7681">
        <v>230316</v>
      </c>
    </row>
    <row r="7682" spans="1:15" x14ac:dyDescent="0.25">
      <c r="A7682" t="s">
        <v>16</v>
      </c>
      <c r="B7682" t="s">
        <v>3221</v>
      </c>
      <c r="C7682">
        <v>3521</v>
      </c>
      <c r="D7682" t="s">
        <v>428</v>
      </c>
      <c r="E7682" t="s">
        <v>429</v>
      </c>
      <c r="F7682">
        <v>20</v>
      </c>
      <c r="G7682">
        <v>230315</v>
      </c>
      <c r="H7682">
        <v>4600</v>
      </c>
      <c r="I7682" t="s">
        <v>105</v>
      </c>
      <c r="J7682">
        <v>24.8</v>
      </c>
      <c r="K7682">
        <v>4.8</v>
      </c>
      <c r="L7682">
        <v>59114</v>
      </c>
      <c r="M7682" t="s">
        <v>556</v>
      </c>
      <c r="N7682" t="str">
        <f>"2360220753  "</f>
        <v xml:space="preserve">2360220753  </v>
      </c>
      <c r="O7682">
        <v>230316</v>
      </c>
    </row>
    <row r="7683" spans="1:15" x14ac:dyDescent="0.25">
      <c r="A7683" t="s">
        <v>16</v>
      </c>
      <c r="B7683" t="s">
        <v>3221</v>
      </c>
      <c r="C7683">
        <v>3521</v>
      </c>
      <c r="D7683" t="s">
        <v>428</v>
      </c>
      <c r="E7683" t="s">
        <v>429</v>
      </c>
      <c r="F7683">
        <v>60.06</v>
      </c>
      <c r="G7683">
        <v>230315</v>
      </c>
      <c r="H7683">
        <v>4600</v>
      </c>
      <c r="I7683" t="s">
        <v>105</v>
      </c>
      <c r="J7683">
        <v>74.47</v>
      </c>
      <c r="K7683">
        <v>14.41</v>
      </c>
      <c r="L7683">
        <v>59114</v>
      </c>
      <c r="M7683" t="s">
        <v>556</v>
      </c>
      <c r="N7683" t="str">
        <f>"2360220753  "</f>
        <v xml:space="preserve">2360220753  </v>
      </c>
      <c r="O7683">
        <v>230316</v>
      </c>
    </row>
    <row r="7684" spans="1:15" x14ac:dyDescent="0.25">
      <c r="A7684" t="s">
        <v>16</v>
      </c>
      <c r="B7684" t="s">
        <v>3221</v>
      </c>
      <c r="C7684">
        <v>3660</v>
      </c>
      <c r="D7684" t="s">
        <v>428</v>
      </c>
      <c r="E7684" t="s">
        <v>429</v>
      </c>
      <c r="F7684">
        <v>272.11</v>
      </c>
      <c r="G7684">
        <v>230315</v>
      </c>
      <c r="H7684">
        <v>4600</v>
      </c>
      <c r="I7684" t="s">
        <v>105</v>
      </c>
      <c r="J7684">
        <v>337.42</v>
      </c>
      <c r="K7684">
        <v>65.31</v>
      </c>
      <c r="L7684">
        <v>54451</v>
      </c>
      <c r="M7684" t="s">
        <v>158</v>
      </c>
      <c r="N7684" t="str">
        <f>"2360220754  "</f>
        <v xml:space="preserve">2360220754  </v>
      </c>
      <c r="O7684">
        <v>230320</v>
      </c>
    </row>
    <row r="7685" spans="1:15" x14ac:dyDescent="0.25">
      <c r="A7685" t="s">
        <v>16</v>
      </c>
      <c r="B7685" t="s">
        <v>3221</v>
      </c>
      <c r="C7685">
        <v>3703</v>
      </c>
      <c r="D7685" t="s">
        <v>428</v>
      </c>
      <c r="E7685" t="s">
        <v>429</v>
      </c>
      <c r="F7685">
        <v>92.23</v>
      </c>
      <c r="G7685">
        <v>230315</v>
      </c>
      <c r="H7685">
        <v>4600</v>
      </c>
      <c r="I7685" t="s">
        <v>105</v>
      </c>
      <c r="J7685">
        <v>114.37</v>
      </c>
      <c r="K7685">
        <v>22.14</v>
      </c>
      <c r="L7685">
        <v>69113</v>
      </c>
      <c r="M7685" t="s">
        <v>282</v>
      </c>
      <c r="N7685" t="str">
        <f>"2360220756  "</f>
        <v xml:space="preserve">2360220756  </v>
      </c>
      <c r="O7685">
        <v>230321</v>
      </c>
    </row>
    <row r="7686" spans="1:15" x14ac:dyDescent="0.25">
      <c r="A7686" t="s">
        <v>16</v>
      </c>
      <c r="B7686" t="s">
        <v>3221</v>
      </c>
      <c r="C7686">
        <v>3703</v>
      </c>
      <c r="D7686" t="s">
        <v>428</v>
      </c>
      <c r="E7686" t="s">
        <v>429</v>
      </c>
      <c r="F7686">
        <v>10.25</v>
      </c>
      <c r="G7686">
        <v>230315</v>
      </c>
      <c r="H7686">
        <v>4600</v>
      </c>
      <c r="I7686" t="s">
        <v>105</v>
      </c>
      <c r="J7686">
        <v>12.71</v>
      </c>
      <c r="K7686">
        <v>2.46</v>
      </c>
      <c r="L7686">
        <v>69802</v>
      </c>
      <c r="M7686" t="s">
        <v>283</v>
      </c>
      <c r="N7686" t="str">
        <f>"2360220756  "</f>
        <v xml:space="preserve">2360220756  </v>
      </c>
      <c r="O7686">
        <v>230321</v>
      </c>
    </row>
    <row r="7687" spans="1:15" x14ac:dyDescent="0.25">
      <c r="A7687" t="s">
        <v>16</v>
      </c>
      <c r="B7687" t="s">
        <v>3221</v>
      </c>
      <c r="C7687">
        <v>3803</v>
      </c>
      <c r="D7687" t="s">
        <v>428</v>
      </c>
      <c r="E7687" t="s">
        <v>429</v>
      </c>
      <c r="F7687">
        <v>49.1</v>
      </c>
      <c r="G7687">
        <v>230315</v>
      </c>
      <c r="H7687">
        <v>4600</v>
      </c>
      <c r="I7687" t="s">
        <v>105</v>
      </c>
      <c r="J7687">
        <v>60.88</v>
      </c>
      <c r="K7687">
        <v>11.78</v>
      </c>
      <c r="L7687">
        <v>69810</v>
      </c>
      <c r="M7687" t="s">
        <v>314</v>
      </c>
      <c r="N7687" t="str">
        <f>"2360220763  "</f>
        <v xml:space="preserve">2360220763  </v>
      </c>
      <c r="O7687">
        <v>230322</v>
      </c>
    </row>
    <row r="7688" spans="1:15" x14ac:dyDescent="0.25">
      <c r="A7688" t="s">
        <v>16</v>
      </c>
      <c r="B7688" t="s">
        <v>3221</v>
      </c>
      <c r="C7688">
        <v>3803</v>
      </c>
      <c r="D7688" t="s">
        <v>428</v>
      </c>
      <c r="E7688" t="s">
        <v>429</v>
      </c>
      <c r="F7688">
        <v>49.1</v>
      </c>
      <c r="G7688">
        <v>230315</v>
      </c>
      <c r="H7688">
        <v>4600</v>
      </c>
      <c r="I7688" t="s">
        <v>105</v>
      </c>
      <c r="J7688">
        <v>60.88</v>
      </c>
      <c r="K7688">
        <v>11.78</v>
      </c>
      <c r="L7688">
        <v>69811</v>
      </c>
      <c r="M7688" t="s">
        <v>315</v>
      </c>
      <c r="N7688" t="str">
        <f>"2360220763  "</f>
        <v xml:space="preserve">2360220763  </v>
      </c>
      <c r="O7688">
        <v>230322</v>
      </c>
    </row>
    <row r="7689" spans="1:15" x14ac:dyDescent="0.25">
      <c r="A7689" t="s">
        <v>16</v>
      </c>
      <c r="B7689" t="s">
        <v>3221</v>
      </c>
      <c r="C7689">
        <v>3842</v>
      </c>
      <c r="D7689" t="s">
        <v>428</v>
      </c>
      <c r="E7689" t="s">
        <v>429</v>
      </c>
      <c r="F7689">
        <v>36.11</v>
      </c>
      <c r="G7689">
        <v>230315</v>
      </c>
      <c r="H7689">
        <v>4600</v>
      </c>
      <c r="I7689" t="s">
        <v>105</v>
      </c>
      <c r="J7689">
        <v>44.78</v>
      </c>
      <c r="K7689">
        <v>8.67</v>
      </c>
      <c r="L7689">
        <v>49112</v>
      </c>
      <c r="M7689" t="s">
        <v>233</v>
      </c>
      <c r="N7689" t="str">
        <f>"2360220757  "</f>
        <v xml:space="preserve">2360220757  </v>
      </c>
      <c r="O7689">
        <v>230323</v>
      </c>
    </row>
    <row r="7690" spans="1:15" x14ac:dyDescent="0.25">
      <c r="A7690" t="s">
        <v>16</v>
      </c>
      <c r="B7690" t="s">
        <v>3221</v>
      </c>
      <c r="C7690">
        <v>4260</v>
      </c>
      <c r="D7690" t="s">
        <v>428</v>
      </c>
      <c r="E7690" t="s">
        <v>429</v>
      </c>
      <c r="F7690">
        <v>-9.9700000000000006</v>
      </c>
      <c r="G7690">
        <v>230315</v>
      </c>
      <c r="H7690">
        <v>4600</v>
      </c>
      <c r="I7690" t="s">
        <v>105</v>
      </c>
      <c r="J7690">
        <v>-12.36</v>
      </c>
      <c r="K7690">
        <v>-2.39</v>
      </c>
      <c r="L7690">
        <v>44252</v>
      </c>
      <c r="M7690" t="s">
        <v>157</v>
      </c>
      <c r="N7690" t="str">
        <f>"2360220759  "</f>
        <v xml:space="preserve">2360220759  </v>
      </c>
      <c r="O7690">
        <v>230403</v>
      </c>
    </row>
    <row r="7691" spans="1:15" x14ac:dyDescent="0.25">
      <c r="A7691" t="s">
        <v>16</v>
      </c>
      <c r="B7691" t="s">
        <v>3221</v>
      </c>
      <c r="C7691">
        <v>4335</v>
      </c>
      <c r="D7691" t="s">
        <v>428</v>
      </c>
      <c r="E7691" t="s">
        <v>429</v>
      </c>
      <c r="F7691">
        <v>521.45000000000005</v>
      </c>
      <c r="G7691">
        <v>230331</v>
      </c>
      <c r="H7691">
        <v>4600</v>
      </c>
      <c r="I7691" t="s">
        <v>105</v>
      </c>
      <c r="J7691">
        <v>646.6</v>
      </c>
      <c r="K7691">
        <v>125.15</v>
      </c>
      <c r="L7691">
        <v>69113</v>
      </c>
      <c r="M7691" t="s">
        <v>282</v>
      </c>
      <c r="N7691" t="str">
        <f>"2360257253  "</f>
        <v xml:space="preserve">2360257253  </v>
      </c>
      <c r="O7691">
        <v>230404</v>
      </c>
    </row>
    <row r="7692" spans="1:15" x14ac:dyDescent="0.25">
      <c r="A7692" t="s">
        <v>16</v>
      </c>
      <c r="B7692" t="s">
        <v>3221</v>
      </c>
      <c r="C7692">
        <v>4335</v>
      </c>
      <c r="D7692" t="s">
        <v>428</v>
      </c>
      <c r="E7692" t="s">
        <v>429</v>
      </c>
      <c r="F7692">
        <v>57.94</v>
      </c>
      <c r="G7692">
        <v>230331</v>
      </c>
      <c r="H7692">
        <v>4600</v>
      </c>
      <c r="I7692" t="s">
        <v>105</v>
      </c>
      <c r="J7692">
        <v>71.84</v>
      </c>
      <c r="K7692">
        <v>13.9</v>
      </c>
      <c r="L7692">
        <v>69802</v>
      </c>
      <c r="M7692" t="s">
        <v>283</v>
      </c>
      <c r="N7692" t="str">
        <f>"2360257253  "</f>
        <v xml:space="preserve">2360257253  </v>
      </c>
      <c r="O7692">
        <v>230404</v>
      </c>
    </row>
    <row r="7693" spans="1:15" x14ac:dyDescent="0.25">
      <c r="A7693" t="s">
        <v>16</v>
      </c>
      <c r="B7693" t="s">
        <v>3221</v>
      </c>
      <c r="C7693">
        <v>4385</v>
      </c>
      <c r="D7693" t="s">
        <v>428</v>
      </c>
      <c r="E7693" t="s">
        <v>429</v>
      </c>
      <c r="F7693">
        <v>156.02000000000001</v>
      </c>
      <c r="G7693">
        <v>230331</v>
      </c>
      <c r="H7693">
        <v>4600</v>
      </c>
      <c r="I7693" t="s">
        <v>105</v>
      </c>
      <c r="J7693">
        <v>193.47</v>
      </c>
      <c r="K7693">
        <v>37.450000000000003</v>
      </c>
      <c r="L7693">
        <v>44251</v>
      </c>
      <c r="M7693" t="s">
        <v>156</v>
      </c>
      <c r="N7693" t="str">
        <f>"2360257256  "</f>
        <v xml:space="preserve">2360257256  </v>
      </c>
      <c r="O7693">
        <v>230405</v>
      </c>
    </row>
    <row r="7694" spans="1:15" x14ac:dyDescent="0.25">
      <c r="A7694" t="s">
        <v>16</v>
      </c>
      <c r="B7694" t="s">
        <v>3221</v>
      </c>
      <c r="C7694">
        <v>4385</v>
      </c>
      <c r="D7694" t="s">
        <v>428</v>
      </c>
      <c r="E7694" t="s">
        <v>429</v>
      </c>
      <c r="F7694">
        <v>235.4</v>
      </c>
      <c r="G7694">
        <v>230331</v>
      </c>
      <c r="H7694">
        <v>4600</v>
      </c>
      <c r="I7694" t="s">
        <v>105</v>
      </c>
      <c r="J7694">
        <v>291.89</v>
      </c>
      <c r="K7694">
        <v>56.49</v>
      </c>
      <c r="L7694">
        <v>44252</v>
      </c>
      <c r="M7694" t="s">
        <v>157</v>
      </c>
      <c r="N7694" t="str">
        <f>"2360257256  "</f>
        <v xml:space="preserve">2360257256  </v>
      </c>
      <c r="O7694">
        <v>230405</v>
      </c>
    </row>
    <row r="7695" spans="1:15" x14ac:dyDescent="0.25">
      <c r="A7695" t="s">
        <v>16</v>
      </c>
      <c r="B7695" t="s">
        <v>3221</v>
      </c>
      <c r="C7695">
        <v>4442</v>
      </c>
      <c r="D7695" t="s">
        <v>428</v>
      </c>
      <c r="E7695" t="s">
        <v>429</v>
      </c>
      <c r="F7695">
        <v>120.54</v>
      </c>
      <c r="G7695">
        <v>230331</v>
      </c>
      <c r="H7695">
        <v>4600</v>
      </c>
      <c r="I7695" t="s">
        <v>105</v>
      </c>
      <c r="J7695">
        <v>149.47</v>
      </c>
      <c r="K7695">
        <v>28.93</v>
      </c>
      <c r="L7695">
        <v>59114</v>
      </c>
      <c r="M7695" t="s">
        <v>556</v>
      </c>
      <c r="N7695" t="str">
        <f>"2360257250  "</f>
        <v xml:space="preserve">2360257250  </v>
      </c>
      <c r="O7695">
        <v>230405</v>
      </c>
    </row>
    <row r="7696" spans="1:15" x14ac:dyDescent="0.25">
      <c r="A7696" t="s">
        <v>16</v>
      </c>
      <c r="B7696" t="s">
        <v>3221</v>
      </c>
      <c r="C7696">
        <v>4443</v>
      </c>
      <c r="D7696" t="s">
        <v>428</v>
      </c>
      <c r="E7696" t="s">
        <v>429</v>
      </c>
      <c r="F7696">
        <v>2.1</v>
      </c>
      <c r="G7696">
        <v>230331</v>
      </c>
      <c r="H7696">
        <v>4600</v>
      </c>
      <c r="I7696" t="s">
        <v>105</v>
      </c>
      <c r="J7696">
        <v>2.6</v>
      </c>
      <c r="K7696">
        <v>0.5</v>
      </c>
      <c r="L7696">
        <v>59113</v>
      </c>
      <c r="M7696" t="s">
        <v>235</v>
      </c>
      <c r="N7696" t="str">
        <f>"2360257252  "</f>
        <v xml:space="preserve">2360257252  </v>
      </c>
      <c r="O7696">
        <v>230405</v>
      </c>
    </row>
    <row r="7697" spans="1:15" x14ac:dyDescent="0.25">
      <c r="A7697" t="s">
        <v>16</v>
      </c>
      <c r="B7697" t="s">
        <v>3221</v>
      </c>
      <c r="C7697">
        <v>4495</v>
      </c>
      <c r="D7697" t="s">
        <v>428</v>
      </c>
      <c r="E7697" t="s">
        <v>429</v>
      </c>
      <c r="F7697">
        <v>65.19</v>
      </c>
      <c r="G7697">
        <v>230331</v>
      </c>
      <c r="H7697">
        <v>4600</v>
      </c>
      <c r="I7697" t="s">
        <v>105</v>
      </c>
      <c r="J7697">
        <v>80.84</v>
      </c>
      <c r="K7697">
        <v>15.65</v>
      </c>
      <c r="L7697">
        <v>49112</v>
      </c>
      <c r="M7697" t="s">
        <v>233</v>
      </c>
      <c r="N7697" t="str">
        <f>"2360257254  "</f>
        <v xml:space="preserve">2360257254  </v>
      </c>
      <c r="O7697">
        <v>230406</v>
      </c>
    </row>
    <row r="7698" spans="1:15" x14ac:dyDescent="0.25">
      <c r="A7698" t="s">
        <v>16</v>
      </c>
      <c r="B7698" t="s">
        <v>3221</v>
      </c>
      <c r="C7698">
        <v>4545</v>
      </c>
      <c r="D7698" t="s">
        <v>428</v>
      </c>
      <c r="E7698" t="s">
        <v>429</v>
      </c>
      <c r="F7698">
        <v>152.77000000000001</v>
      </c>
      <c r="G7698">
        <v>230331</v>
      </c>
      <c r="H7698">
        <v>4600</v>
      </c>
      <c r="I7698" t="s">
        <v>105</v>
      </c>
      <c r="J7698">
        <v>189.43</v>
      </c>
      <c r="K7698">
        <v>36.659999999999997</v>
      </c>
      <c r="L7698">
        <v>69112</v>
      </c>
      <c r="M7698" t="s">
        <v>313</v>
      </c>
      <c r="N7698" t="str">
        <f>"2360257260  "</f>
        <v xml:space="preserve">2360257260  </v>
      </c>
      <c r="O7698">
        <v>230406</v>
      </c>
    </row>
    <row r="7699" spans="1:15" x14ac:dyDescent="0.25">
      <c r="A7699" t="s">
        <v>16</v>
      </c>
      <c r="B7699" t="s">
        <v>3221</v>
      </c>
      <c r="C7699">
        <v>4545</v>
      </c>
      <c r="D7699" t="s">
        <v>428</v>
      </c>
      <c r="E7699" t="s">
        <v>429</v>
      </c>
      <c r="F7699">
        <v>6</v>
      </c>
      <c r="G7699">
        <v>230331</v>
      </c>
      <c r="H7699">
        <v>4600</v>
      </c>
      <c r="I7699" t="s">
        <v>105</v>
      </c>
      <c r="J7699">
        <v>7.44</v>
      </c>
      <c r="K7699">
        <v>1.44</v>
      </c>
      <c r="L7699">
        <v>69811</v>
      </c>
      <c r="M7699" t="s">
        <v>315</v>
      </c>
      <c r="N7699" t="str">
        <f>"2360257260  "</f>
        <v xml:space="preserve">2360257260  </v>
      </c>
      <c r="O7699">
        <v>230406</v>
      </c>
    </row>
    <row r="7700" spans="1:15" x14ac:dyDescent="0.25">
      <c r="A7700" t="s">
        <v>16</v>
      </c>
      <c r="B7700" t="s">
        <v>3221</v>
      </c>
      <c r="C7700">
        <v>4886</v>
      </c>
      <c r="D7700" t="s">
        <v>428</v>
      </c>
      <c r="E7700" t="s">
        <v>429</v>
      </c>
      <c r="F7700">
        <v>91.63</v>
      </c>
      <c r="G7700">
        <v>230331</v>
      </c>
      <c r="H7700">
        <v>4600</v>
      </c>
      <c r="I7700" t="s">
        <v>105</v>
      </c>
      <c r="J7700">
        <v>104.46</v>
      </c>
      <c r="K7700">
        <v>12.83</v>
      </c>
      <c r="L7700">
        <v>44253</v>
      </c>
      <c r="M7700" t="s">
        <v>1058</v>
      </c>
      <c r="N7700" t="str">
        <f>"2360257259  "</f>
        <v xml:space="preserve">2360257259  </v>
      </c>
      <c r="O7700">
        <v>230414</v>
      </c>
    </row>
    <row r="7701" spans="1:15" x14ac:dyDescent="0.25">
      <c r="A7701" t="s">
        <v>16</v>
      </c>
      <c r="B7701" t="s">
        <v>3221</v>
      </c>
      <c r="C7701">
        <v>5056</v>
      </c>
      <c r="D7701" t="s">
        <v>428</v>
      </c>
      <c r="E7701" t="s">
        <v>429</v>
      </c>
      <c r="F7701">
        <v>396.38</v>
      </c>
      <c r="G7701">
        <v>230331</v>
      </c>
      <c r="H7701">
        <v>4600</v>
      </c>
      <c r="I7701" t="s">
        <v>105</v>
      </c>
      <c r="J7701">
        <v>491.51</v>
      </c>
      <c r="K7701">
        <v>95.13</v>
      </c>
      <c r="L7701">
        <v>54451</v>
      </c>
      <c r="M7701" t="s">
        <v>158</v>
      </c>
      <c r="N7701" t="str">
        <f>"2360257251  "</f>
        <v xml:space="preserve">2360257251  </v>
      </c>
      <c r="O7701">
        <v>230418</v>
      </c>
    </row>
    <row r="7702" spans="1:15" x14ac:dyDescent="0.25">
      <c r="A7702" t="s">
        <v>16</v>
      </c>
      <c r="B7702" t="s">
        <v>3221</v>
      </c>
      <c r="C7702">
        <v>5286</v>
      </c>
      <c r="D7702" t="s">
        <v>428</v>
      </c>
      <c r="E7702" t="s">
        <v>429</v>
      </c>
      <c r="F7702">
        <v>13.79</v>
      </c>
      <c r="G7702">
        <v>230415</v>
      </c>
      <c r="H7702">
        <v>4600</v>
      </c>
      <c r="I7702" t="s">
        <v>105</v>
      </c>
      <c r="J7702">
        <v>17.100000000000001</v>
      </c>
      <c r="K7702">
        <v>3.31</v>
      </c>
      <c r="L7702">
        <v>44252</v>
      </c>
      <c r="M7702" t="s">
        <v>157</v>
      </c>
      <c r="N7702" t="str">
        <f>"2360317616  "</f>
        <v xml:space="preserve">2360317616  </v>
      </c>
      <c r="O7702">
        <v>230420</v>
      </c>
    </row>
    <row r="7703" spans="1:15" x14ac:dyDescent="0.25">
      <c r="A7703" t="s">
        <v>16</v>
      </c>
      <c r="B7703" t="s">
        <v>3221</v>
      </c>
      <c r="C7703">
        <v>5343</v>
      </c>
      <c r="D7703" t="s">
        <v>428</v>
      </c>
      <c r="E7703" t="s">
        <v>429</v>
      </c>
      <c r="F7703">
        <v>325.7</v>
      </c>
      <c r="G7703">
        <v>230415</v>
      </c>
      <c r="H7703">
        <v>4600</v>
      </c>
      <c r="I7703" t="s">
        <v>105</v>
      </c>
      <c r="J7703">
        <v>403.87</v>
      </c>
      <c r="K7703">
        <v>78.17</v>
      </c>
      <c r="L7703">
        <v>54451</v>
      </c>
      <c r="M7703" t="s">
        <v>158</v>
      </c>
      <c r="N7703" t="str">
        <f>"2360317611  "</f>
        <v xml:space="preserve">2360317611  </v>
      </c>
      <c r="O7703">
        <v>230421</v>
      </c>
    </row>
    <row r="7704" spans="1:15" x14ac:dyDescent="0.25">
      <c r="A7704" t="s">
        <v>16</v>
      </c>
      <c r="B7704" t="s">
        <v>3221</v>
      </c>
      <c r="C7704">
        <v>5383</v>
      </c>
      <c r="D7704" t="s">
        <v>428</v>
      </c>
      <c r="E7704" t="s">
        <v>429</v>
      </c>
      <c r="F7704">
        <v>10</v>
      </c>
      <c r="G7704">
        <v>230415</v>
      </c>
      <c r="H7704">
        <v>4600</v>
      </c>
      <c r="I7704" t="s">
        <v>105</v>
      </c>
      <c r="J7704">
        <v>12.4</v>
      </c>
      <c r="K7704">
        <v>2.4</v>
      </c>
      <c r="L7704">
        <v>59114</v>
      </c>
      <c r="M7704" t="s">
        <v>556</v>
      </c>
      <c r="N7704" t="str">
        <f>"2360317610  "</f>
        <v xml:space="preserve">2360317610  </v>
      </c>
      <c r="O7704">
        <v>230421</v>
      </c>
    </row>
    <row r="7705" spans="1:15" x14ac:dyDescent="0.25">
      <c r="A7705" t="s">
        <v>16</v>
      </c>
      <c r="B7705" t="s">
        <v>3221</v>
      </c>
      <c r="C7705">
        <v>5384</v>
      </c>
      <c r="D7705" t="s">
        <v>428</v>
      </c>
      <c r="E7705" t="s">
        <v>429</v>
      </c>
      <c r="F7705">
        <v>10</v>
      </c>
      <c r="G7705">
        <v>230415</v>
      </c>
      <c r="H7705">
        <v>4600</v>
      </c>
      <c r="I7705" t="s">
        <v>105</v>
      </c>
      <c r="J7705">
        <v>12.4</v>
      </c>
      <c r="K7705">
        <v>2.4</v>
      </c>
      <c r="L7705">
        <v>59113</v>
      </c>
      <c r="M7705" t="s">
        <v>235</v>
      </c>
      <c r="N7705" t="str">
        <f>"2360317612  "</f>
        <v xml:space="preserve">2360317612  </v>
      </c>
      <c r="O7705">
        <v>230421</v>
      </c>
    </row>
    <row r="7706" spans="1:15" x14ac:dyDescent="0.25">
      <c r="A7706" t="s">
        <v>16</v>
      </c>
      <c r="B7706" t="s">
        <v>3221</v>
      </c>
      <c r="C7706">
        <v>5385</v>
      </c>
      <c r="D7706" t="s">
        <v>428</v>
      </c>
      <c r="E7706" t="s">
        <v>429</v>
      </c>
      <c r="F7706">
        <v>-20</v>
      </c>
      <c r="G7706">
        <v>230420</v>
      </c>
      <c r="H7706">
        <v>4600</v>
      </c>
      <c r="I7706" t="s">
        <v>105</v>
      </c>
      <c r="J7706">
        <v>-24.8</v>
      </c>
      <c r="K7706">
        <v>-4.8</v>
      </c>
      <c r="L7706">
        <v>59113</v>
      </c>
      <c r="M7706" t="s">
        <v>235</v>
      </c>
      <c r="N7706" t="str">
        <f>"2360330073  "</f>
        <v xml:space="preserve">2360330073  </v>
      </c>
      <c r="O7706">
        <v>230421</v>
      </c>
    </row>
    <row r="7707" spans="1:15" x14ac:dyDescent="0.25">
      <c r="A7707" t="s">
        <v>16</v>
      </c>
      <c r="B7707" t="s">
        <v>3221</v>
      </c>
      <c r="C7707">
        <v>5425</v>
      </c>
      <c r="D7707" t="s">
        <v>428</v>
      </c>
      <c r="E7707" t="s">
        <v>429</v>
      </c>
      <c r="F7707">
        <v>-20</v>
      </c>
      <c r="G7707">
        <v>230420</v>
      </c>
      <c r="H7707">
        <v>4600</v>
      </c>
      <c r="I7707" t="s">
        <v>105</v>
      </c>
      <c r="J7707">
        <v>-24.8</v>
      </c>
      <c r="K7707">
        <v>-4.8</v>
      </c>
      <c r="L7707">
        <v>54451</v>
      </c>
      <c r="M7707" t="s">
        <v>158</v>
      </c>
      <c r="N7707" t="str">
        <f>"2360330072  "</f>
        <v xml:space="preserve">2360330072  </v>
      </c>
      <c r="O7707">
        <v>230424</v>
      </c>
    </row>
    <row r="7708" spans="1:15" x14ac:dyDescent="0.25">
      <c r="A7708" t="s">
        <v>16</v>
      </c>
      <c r="B7708" t="s">
        <v>3221</v>
      </c>
      <c r="C7708">
        <v>5485</v>
      </c>
      <c r="D7708" t="s">
        <v>428</v>
      </c>
      <c r="E7708" t="s">
        <v>429</v>
      </c>
      <c r="F7708">
        <v>345.74</v>
      </c>
      <c r="G7708">
        <v>230415</v>
      </c>
      <c r="H7708">
        <v>4600</v>
      </c>
      <c r="I7708" t="s">
        <v>105</v>
      </c>
      <c r="J7708">
        <v>428.72</v>
      </c>
      <c r="K7708">
        <v>82.98</v>
      </c>
      <c r="L7708">
        <v>69113</v>
      </c>
      <c r="M7708" t="s">
        <v>282</v>
      </c>
      <c r="N7708" t="str">
        <f>"2360317613  "</f>
        <v xml:space="preserve">2360317613  </v>
      </c>
      <c r="O7708">
        <v>230425</v>
      </c>
    </row>
    <row r="7709" spans="1:15" x14ac:dyDescent="0.25">
      <c r="A7709" t="s">
        <v>16</v>
      </c>
      <c r="B7709" t="s">
        <v>3221</v>
      </c>
      <c r="C7709">
        <v>5485</v>
      </c>
      <c r="D7709" t="s">
        <v>428</v>
      </c>
      <c r="E7709" t="s">
        <v>429</v>
      </c>
      <c r="F7709">
        <v>38.42</v>
      </c>
      <c r="G7709">
        <v>230415</v>
      </c>
      <c r="H7709">
        <v>4600</v>
      </c>
      <c r="I7709" t="s">
        <v>105</v>
      </c>
      <c r="J7709">
        <v>47.64</v>
      </c>
      <c r="K7709">
        <v>9.2200000000000006</v>
      </c>
      <c r="L7709">
        <v>69802</v>
      </c>
      <c r="M7709" t="s">
        <v>283</v>
      </c>
      <c r="N7709" t="str">
        <f>"2360317613  "</f>
        <v xml:space="preserve">2360317613  </v>
      </c>
      <c r="O7709">
        <v>230425</v>
      </c>
    </row>
    <row r="7710" spans="1:15" x14ac:dyDescent="0.25">
      <c r="A7710" t="s">
        <v>16</v>
      </c>
      <c r="B7710" t="s">
        <v>3221</v>
      </c>
      <c r="C7710">
        <v>5538</v>
      </c>
      <c r="D7710" t="s">
        <v>428</v>
      </c>
      <c r="E7710" t="s">
        <v>429</v>
      </c>
      <c r="F7710">
        <v>43.93</v>
      </c>
      <c r="G7710">
        <v>230415</v>
      </c>
      <c r="H7710">
        <v>4600</v>
      </c>
      <c r="I7710" t="s">
        <v>105</v>
      </c>
      <c r="J7710">
        <v>54.47</v>
      </c>
      <c r="K7710">
        <v>10.54</v>
      </c>
      <c r="L7710">
        <v>69112</v>
      </c>
      <c r="M7710" t="s">
        <v>313</v>
      </c>
      <c r="N7710" t="str">
        <f>"2360317620  "</f>
        <v xml:space="preserve">2360317620  </v>
      </c>
      <c r="O7710">
        <v>230426</v>
      </c>
    </row>
    <row r="7711" spans="1:15" x14ac:dyDescent="0.25">
      <c r="A7711" t="s">
        <v>16</v>
      </c>
      <c r="B7711" t="s">
        <v>3221</v>
      </c>
      <c r="C7711">
        <v>5538</v>
      </c>
      <c r="D7711" t="s">
        <v>428</v>
      </c>
      <c r="E7711" t="s">
        <v>429</v>
      </c>
      <c r="F7711">
        <v>2.44</v>
      </c>
      <c r="G7711">
        <v>230415</v>
      </c>
      <c r="H7711">
        <v>4600</v>
      </c>
      <c r="I7711" t="s">
        <v>105</v>
      </c>
      <c r="J7711">
        <v>3.03</v>
      </c>
      <c r="K7711">
        <v>0.59</v>
      </c>
      <c r="L7711">
        <v>69810</v>
      </c>
      <c r="M7711" t="s">
        <v>314</v>
      </c>
      <c r="N7711" t="str">
        <f>"2360317620  "</f>
        <v xml:space="preserve">2360317620  </v>
      </c>
      <c r="O7711">
        <v>230426</v>
      </c>
    </row>
    <row r="7712" spans="1:15" x14ac:dyDescent="0.25">
      <c r="A7712" t="s">
        <v>16</v>
      </c>
      <c r="B7712" t="s">
        <v>3221</v>
      </c>
      <c r="C7712">
        <v>5538</v>
      </c>
      <c r="D7712" t="s">
        <v>428</v>
      </c>
      <c r="E7712" t="s">
        <v>429</v>
      </c>
      <c r="F7712">
        <v>2.44</v>
      </c>
      <c r="G7712">
        <v>230415</v>
      </c>
      <c r="H7712">
        <v>4600</v>
      </c>
      <c r="I7712" t="s">
        <v>105</v>
      </c>
      <c r="J7712">
        <v>3.02</v>
      </c>
      <c r="K7712">
        <v>0.57999999999999996</v>
      </c>
      <c r="L7712">
        <v>69811</v>
      </c>
      <c r="M7712" t="s">
        <v>315</v>
      </c>
      <c r="N7712" t="str">
        <f>"2360317620  "</f>
        <v xml:space="preserve">2360317620  </v>
      </c>
      <c r="O7712">
        <v>230426</v>
      </c>
    </row>
    <row r="7713" spans="1:15" x14ac:dyDescent="0.25">
      <c r="A7713" t="s">
        <v>16</v>
      </c>
      <c r="B7713" t="s">
        <v>3221</v>
      </c>
      <c r="C7713">
        <v>5614</v>
      </c>
      <c r="D7713" t="s">
        <v>428</v>
      </c>
      <c r="E7713" t="s">
        <v>429</v>
      </c>
      <c r="F7713">
        <v>-9</v>
      </c>
      <c r="G7713">
        <v>230420</v>
      </c>
      <c r="H7713">
        <v>4600</v>
      </c>
      <c r="I7713" t="s">
        <v>105</v>
      </c>
      <c r="J7713">
        <v>-11.16</v>
      </c>
      <c r="K7713">
        <v>-2.16</v>
      </c>
      <c r="L7713">
        <v>69113</v>
      </c>
      <c r="M7713" t="s">
        <v>282</v>
      </c>
      <c r="N7713" t="str">
        <f>"2360330074  "</f>
        <v xml:space="preserve">2360330074  </v>
      </c>
      <c r="O7713">
        <v>230428</v>
      </c>
    </row>
    <row r="7714" spans="1:15" x14ac:dyDescent="0.25">
      <c r="A7714" t="s">
        <v>16</v>
      </c>
      <c r="B7714" t="s">
        <v>3221</v>
      </c>
      <c r="C7714">
        <v>5614</v>
      </c>
      <c r="D7714" t="s">
        <v>428</v>
      </c>
      <c r="E7714" t="s">
        <v>429</v>
      </c>
      <c r="F7714">
        <v>-1</v>
      </c>
      <c r="G7714">
        <v>230420</v>
      </c>
      <c r="H7714">
        <v>4600</v>
      </c>
      <c r="I7714" t="s">
        <v>105</v>
      </c>
      <c r="J7714">
        <v>-1.24</v>
      </c>
      <c r="K7714">
        <v>-0.24</v>
      </c>
      <c r="L7714">
        <v>69802</v>
      </c>
      <c r="M7714" t="s">
        <v>283</v>
      </c>
      <c r="N7714" t="str">
        <f>"2360330074  "</f>
        <v xml:space="preserve">2360330074  </v>
      </c>
      <c r="O7714">
        <v>230428</v>
      </c>
    </row>
    <row r="7715" spans="1:15" x14ac:dyDescent="0.25">
      <c r="A7715" t="s">
        <v>16</v>
      </c>
      <c r="B7715" t="s">
        <v>3221</v>
      </c>
      <c r="C7715">
        <v>5968</v>
      </c>
      <c r="D7715" t="s">
        <v>428</v>
      </c>
      <c r="E7715" t="s">
        <v>429</v>
      </c>
      <c r="F7715">
        <v>57.9</v>
      </c>
      <c r="G7715">
        <v>230430</v>
      </c>
      <c r="H7715">
        <v>4600</v>
      </c>
      <c r="I7715" t="s">
        <v>105</v>
      </c>
      <c r="J7715">
        <v>71.8</v>
      </c>
      <c r="K7715">
        <v>13.9</v>
      </c>
      <c r="L7715">
        <v>59114</v>
      </c>
      <c r="M7715" t="s">
        <v>556</v>
      </c>
      <c r="N7715" t="str">
        <f>"2360352002  "</f>
        <v xml:space="preserve">2360352002  </v>
      </c>
      <c r="O7715">
        <v>230504</v>
      </c>
    </row>
    <row r="7716" spans="1:15" x14ac:dyDescent="0.25">
      <c r="A7716" t="s">
        <v>16</v>
      </c>
      <c r="B7716" t="s">
        <v>3221</v>
      </c>
      <c r="C7716">
        <v>5969</v>
      </c>
      <c r="D7716" t="s">
        <v>428</v>
      </c>
      <c r="E7716" t="s">
        <v>429</v>
      </c>
      <c r="F7716">
        <v>62.73</v>
      </c>
      <c r="G7716">
        <v>230430</v>
      </c>
      <c r="H7716">
        <v>4600</v>
      </c>
      <c r="I7716" t="s">
        <v>105</v>
      </c>
      <c r="J7716">
        <v>77.78</v>
      </c>
      <c r="K7716">
        <v>15.05</v>
      </c>
      <c r="L7716">
        <v>59113</v>
      </c>
      <c r="M7716" t="s">
        <v>235</v>
      </c>
      <c r="N7716" t="str">
        <f>"2360352004  "</f>
        <v xml:space="preserve">2360352004  </v>
      </c>
      <c r="O7716">
        <v>230504</v>
      </c>
    </row>
    <row r="7717" spans="1:15" x14ac:dyDescent="0.25">
      <c r="A7717" t="s">
        <v>16</v>
      </c>
      <c r="B7717" t="s">
        <v>3221</v>
      </c>
      <c r="C7717">
        <v>6156</v>
      </c>
      <c r="D7717" t="s">
        <v>428</v>
      </c>
      <c r="E7717" t="s">
        <v>429</v>
      </c>
      <c r="F7717">
        <v>141.66999999999999</v>
      </c>
      <c r="G7717">
        <v>230430</v>
      </c>
      <c r="H7717">
        <v>4600</v>
      </c>
      <c r="I7717" t="s">
        <v>105</v>
      </c>
      <c r="J7717">
        <v>175.67</v>
      </c>
      <c r="K7717">
        <v>34</v>
      </c>
      <c r="L7717">
        <v>54451</v>
      </c>
      <c r="M7717" t="s">
        <v>158</v>
      </c>
      <c r="N7717" t="str">
        <f>"2360352003  "</f>
        <v xml:space="preserve">2360352003  </v>
      </c>
      <c r="O7717">
        <v>230508</v>
      </c>
    </row>
    <row r="7718" spans="1:15" x14ac:dyDescent="0.25">
      <c r="A7718" t="s">
        <v>16</v>
      </c>
      <c r="B7718" t="s">
        <v>3221</v>
      </c>
      <c r="C7718">
        <v>6157</v>
      </c>
      <c r="D7718" t="s">
        <v>428</v>
      </c>
      <c r="E7718" t="s">
        <v>429</v>
      </c>
      <c r="F7718">
        <v>251.52</v>
      </c>
      <c r="G7718">
        <v>230430</v>
      </c>
      <c r="H7718">
        <v>4600</v>
      </c>
      <c r="I7718" t="s">
        <v>105</v>
      </c>
      <c r="J7718">
        <v>311.88</v>
      </c>
      <c r="K7718">
        <v>60.36</v>
      </c>
      <c r="L7718">
        <v>49112</v>
      </c>
      <c r="M7718" t="s">
        <v>233</v>
      </c>
      <c r="N7718" t="str">
        <f>"2360352006  "</f>
        <v xml:space="preserve">2360352006  </v>
      </c>
      <c r="O7718">
        <v>230508</v>
      </c>
    </row>
    <row r="7719" spans="1:15" x14ac:dyDescent="0.25">
      <c r="A7719" t="s">
        <v>16</v>
      </c>
      <c r="B7719" t="s">
        <v>3221</v>
      </c>
      <c r="C7719">
        <v>6245</v>
      </c>
      <c r="D7719" t="s">
        <v>428</v>
      </c>
      <c r="E7719" t="s">
        <v>429</v>
      </c>
      <c r="F7719">
        <v>242.23</v>
      </c>
      <c r="G7719">
        <v>230430</v>
      </c>
      <c r="H7719">
        <v>4600</v>
      </c>
      <c r="I7719" t="s">
        <v>105</v>
      </c>
      <c r="J7719">
        <v>300.36</v>
      </c>
      <c r="K7719">
        <v>58.13</v>
      </c>
      <c r="L7719">
        <v>69113</v>
      </c>
      <c r="M7719" t="s">
        <v>282</v>
      </c>
      <c r="N7719" t="str">
        <f>"2360352005  "</f>
        <v xml:space="preserve">2360352005  </v>
      </c>
      <c r="O7719">
        <v>230509</v>
      </c>
    </row>
    <row r="7720" spans="1:15" x14ac:dyDescent="0.25">
      <c r="A7720" t="s">
        <v>16</v>
      </c>
      <c r="B7720" t="s">
        <v>3221</v>
      </c>
      <c r="C7720">
        <v>6245</v>
      </c>
      <c r="D7720" t="s">
        <v>428</v>
      </c>
      <c r="E7720" t="s">
        <v>429</v>
      </c>
      <c r="F7720">
        <v>26.91</v>
      </c>
      <c r="G7720">
        <v>230430</v>
      </c>
      <c r="H7720">
        <v>4600</v>
      </c>
      <c r="I7720" t="s">
        <v>105</v>
      </c>
      <c r="J7720">
        <v>33.369999999999997</v>
      </c>
      <c r="K7720">
        <v>6.46</v>
      </c>
      <c r="L7720">
        <v>69802</v>
      </c>
      <c r="M7720" t="s">
        <v>283</v>
      </c>
      <c r="N7720" t="str">
        <f>"2360352005  "</f>
        <v xml:space="preserve">2360352005  </v>
      </c>
      <c r="O7720">
        <v>230509</v>
      </c>
    </row>
    <row r="7721" spans="1:15" x14ac:dyDescent="0.25">
      <c r="A7721" t="s">
        <v>16</v>
      </c>
      <c r="B7721" t="s">
        <v>3221</v>
      </c>
      <c r="C7721">
        <v>6324</v>
      </c>
      <c r="D7721" t="s">
        <v>428</v>
      </c>
      <c r="E7721" t="s">
        <v>429</v>
      </c>
      <c r="F7721">
        <v>111.89</v>
      </c>
      <c r="G7721">
        <v>230430</v>
      </c>
      <c r="H7721">
        <v>4600</v>
      </c>
      <c r="I7721" t="s">
        <v>105</v>
      </c>
      <c r="J7721">
        <v>138.74</v>
      </c>
      <c r="K7721">
        <v>26.85</v>
      </c>
      <c r="L7721">
        <v>69112</v>
      </c>
      <c r="M7721" t="s">
        <v>313</v>
      </c>
      <c r="N7721" t="str">
        <f>"2360352011  "</f>
        <v xml:space="preserve">2360352011  </v>
      </c>
      <c r="O7721">
        <v>230510</v>
      </c>
    </row>
    <row r="7722" spans="1:15" x14ac:dyDescent="0.25">
      <c r="A7722" t="s">
        <v>16</v>
      </c>
      <c r="B7722" t="s">
        <v>3221</v>
      </c>
      <c r="C7722">
        <v>6324</v>
      </c>
      <c r="D7722" t="s">
        <v>428</v>
      </c>
      <c r="E7722" t="s">
        <v>429</v>
      </c>
      <c r="F7722">
        <v>6.22</v>
      </c>
      <c r="G7722">
        <v>230430</v>
      </c>
      <c r="H7722">
        <v>4600</v>
      </c>
      <c r="I7722" t="s">
        <v>105</v>
      </c>
      <c r="J7722">
        <v>7.71</v>
      </c>
      <c r="K7722">
        <v>1.49</v>
      </c>
      <c r="L7722">
        <v>69810</v>
      </c>
      <c r="M7722" t="s">
        <v>314</v>
      </c>
      <c r="N7722" t="str">
        <f>"2360352011  "</f>
        <v xml:space="preserve">2360352011  </v>
      </c>
      <c r="O7722">
        <v>230510</v>
      </c>
    </row>
    <row r="7723" spans="1:15" x14ac:dyDescent="0.25">
      <c r="A7723" t="s">
        <v>16</v>
      </c>
      <c r="B7723" t="s">
        <v>3221</v>
      </c>
      <c r="C7723">
        <v>6324</v>
      </c>
      <c r="D7723" t="s">
        <v>428</v>
      </c>
      <c r="E7723" t="s">
        <v>429</v>
      </c>
      <c r="F7723">
        <v>6.22</v>
      </c>
      <c r="G7723">
        <v>230430</v>
      </c>
      <c r="H7723">
        <v>4600</v>
      </c>
      <c r="I7723" t="s">
        <v>105</v>
      </c>
      <c r="J7723">
        <v>7.71</v>
      </c>
      <c r="K7723">
        <v>1.49</v>
      </c>
      <c r="L7723">
        <v>69811</v>
      </c>
      <c r="M7723" t="s">
        <v>315</v>
      </c>
      <c r="N7723" t="str">
        <f>"2360352011  "</f>
        <v xml:space="preserve">2360352011  </v>
      </c>
      <c r="O7723">
        <v>230510</v>
      </c>
    </row>
    <row r="7724" spans="1:15" x14ac:dyDescent="0.25">
      <c r="A7724" t="s">
        <v>16</v>
      </c>
      <c r="B7724" t="s">
        <v>3221</v>
      </c>
      <c r="C7724">
        <v>6680</v>
      </c>
      <c r="D7724" t="s">
        <v>428</v>
      </c>
      <c r="E7724" t="s">
        <v>429</v>
      </c>
      <c r="F7724">
        <v>19.440000000000001</v>
      </c>
      <c r="G7724">
        <v>230430</v>
      </c>
      <c r="H7724">
        <v>4600</v>
      </c>
      <c r="I7724" t="s">
        <v>105</v>
      </c>
      <c r="J7724">
        <v>24.11</v>
      </c>
      <c r="K7724">
        <v>4.67</v>
      </c>
      <c r="L7724">
        <v>44253</v>
      </c>
      <c r="M7724" t="s">
        <v>1058</v>
      </c>
      <c r="N7724" t="str">
        <f>"2360352010  "</f>
        <v xml:space="preserve">2360352010  </v>
      </c>
      <c r="O7724">
        <v>230517</v>
      </c>
    </row>
    <row r="7725" spans="1:15" x14ac:dyDescent="0.25">
      <c r="A7725" t="s">
        <v>16</v>
      </c>
      <c r="B7725" t="s">
        <v>3221</v>
      </c>
      <c r="C7725">
        <v>6913</v>
      </c>
      <c r="D7725" t="s">
        <v>428</v>
      </c>
      <c r="E7725" t="s">
        <v>429</v>
      </c>
      <c r="F7725">
        <v>104.48</v>
      </c>
      <c r="G7725">
        <v>230515</v>
      </c>
      <c r="H7725">
        <v>4600</v>
      </c>
      <c r="I7725" t="s">
        <v>105</v>
      </c>
      <c r="J7725">
        <v>129.55000000000001</v>
      </c>
      <c r="K7725">
        <v>25.07</v>
      </c>
      <c r="L7725">
        <v>69113</v>
      </c>
      <c r="M7725" t="s">
        <v>282</v>
      </c>
      <c r="N7725" t="str">
        <f>"2360414420  "</f>
        <v xml:space="preserve">2360414420  </v>
      </c>
      <c r="O7725">
        <v>230523</v>
      </c>
    </row>
    <row r="7726" spans="1:15" x14ac:dyDescent="0.25">
      <c r="A7726" t="s">
        <v>16</v>
      </c>
      <c r="B7726" t="s">
        <v>3221</v>
      </c>
      <c r="C7726">
        <v>6913</v>
      </c>
      <c r="D7726" t="s">
        <v>428</v>
      </c>
      <c r="E7726" t="s">
        <v>429</v>
      </c>
      <c r="F7726">
        <v>11.6</v>
      </c>
      <c r="G7726">
        <v>230515</v>
      </c>
      <c r="H7726">
        <v>4600</v>
      </c>
      <c r="I7726" t="s">
        <v>105</v>
      </c>
      <c r="J7726">
        <v>14.39</v>
      </c>
      <c r="K7726">
        <v>2.79</v>
      </c>
      <c r="L7726">
        <v>69802</v>
      </c>
      <c r="M7726" t="s">
        <v>283</v>
      </c>
      <c r="N7726" t="str">
        <f>"2360414420  "</f>
        <v xml:space="preserve">2360414420  </v>
      </c>
      <c r="O7726">
        <v>230523</v>
      </c>
    </row>
    <row r="7727" spans="1:15" x14ac:dyDescent="0.25">
      <c r="A7727" t="s">
        <v>16</v>
      </c>
      <c r="B7727" t="s">
        <v>3221</v>
      </c>
      <c r="C7727">
        <v>6916</v>
      </c>
      <c r="D7727" t="s">
        <v>428</v>
      </c>
      <c r="E7727" t="s">
        <v>429</v>
      </c>
      <c r="F7727">
        <v>121.84</v>
      </c>
      <c r="G7727">
        <v>230515</v>
      </c>
      <c r="H7727">
        <v>4600</v>
      </c>
      <c r="I7727" t="s">
        <v>105</v>
      </c>
      <c r="J7727">
        <v>151.08000000000001</v>
      </c>
      <c r="K7727">
        <v>29.24</v>
      </c>
      <c r="L7727">
        <v>59113</v>
      </c>
      <c r="M7727" t="s">
        <v>235</v>
      </c>
      <c r="N7727" t="str">
        <f>"2360414419  "</f>
        <v xml:space="preserve">2360414419  </v>
      </c>
      <c r="O7727">
        <v>230523</v>
      </c>
    </row>
    <row r="7728" spans="1:15" x14ac:dyDescent="0.25">
      <c r="A7728" t="s">
        <v>16</v>
      </c>
      <c r="B7728" t="s">
        <v>3221</v>
      </c>
      <c r="C7728">
        <v>6923</v>
      </c>
      <c r="D7728" t="s">
        <v>428</v>
      </c>
      <c r="E7728" t="s">
        <v>429</v>
      </c>
      <c r="F7728">
        <v>31.14</v>
      </c>
      <c r="G7728">
        <v>230515</v>
      </c>
      <c r="H7728">
        <v>4600</v>
      </c>
      <c r="I7728" t="s">
        <v>105</v>
      </c>
      <c r="J7728">
        <v>38.61</v>
      </c>
      <c r="K7728">
        <v>7.47</v>
      </c>
      <c r="L7728">
        <v>69112</v>
      </c>
      <c r="M7728" t="s">
        <v>313</v>
      </c>
      <c r="N7728" t="str">
        <f>"2360414426  "</f>
        <v xml:space="preserve">2360414426  </v>
      </c>
      <c r="O7728">
        <v>230523</v>
      </c>
    </row>
    <row r="7729" spans="1:15" x14ac:dyDescent="0.25">
      <c r="A7729" t="s">
        <v>16</v>
      </c>
      <c r="B7729" t="s">
        <v>3221</v>
      </c>
      <c r="C7729">
        <v>6923</v>
      </c>
      <c r="D7729" t="s">
        <v>428</v>
      </c>
      <c r="E7729" t="s">
        <v>429</v>
      </c>
      <c r="F7729">
        <v>1.73</v>
      </c>
      <c r="G7729">
        <v>230515</v>
      </c>
      <c r="H7729">
        <v>4600</v>
      </c>
      <c r="I7729" t="s">
        <v>105</v>
      </c>
      <c r="J7729">
        <v>2.15</v>
      </c>
      <c r="K7729">
        <v>0.42</v>
      </c>
      <c r="L7729">
        <v>69810</v>
      </c>
      <c r="M7729" t="s">
        <v>314</v>
      </c>
      <c r="N7729" t="str">
        <f>"2360414426  "</f>
        <v xml:space="preserve">2360414426  </v>
      </c>
      <c r="O7729">
        <v>230523</v>
      </c>
    </row>
    <row r="7730" spans="1:15" x14ac:dyDescent="0.25">
      <c r="A7730" t="s">
        <v>16</v>
      </c>
      <c r="B7730" t="s">
        <v>3221</v>
      </c>
      <c r="C7730">
        <v>6923</v>
      </c>
      <c r="D7730" t="s">
        <v>428</v>
      </c>
      <c r="E7730" t="s">
        <v>429</v>
      </c>
      <c r="F7730">
        <v>1.73</v>
      </c>
      <c r="G7730">
        <v>230515</v>
      </c>
      <c r="H7730">
        <v>4600</v>
      </c>
      <c r="I7730" t="s">
        <v>105</v>
      </c>
      <c r="J7730">
        <v>2.14</v>
      </c>
      <c r="K7730">
        <v>0.41</v>
      </c>
      <c r="L7730">
        <v>69811</v>
      </c>
      <c r="M7730" t="s">
        <v>315</v>
      </c>
      <c r="N7730" t="str">
        <f>"2360414426  "</f>
        <v xml:space="preserve">2360414426  </v>
      </c>
      <c r="O7730">
        <v>230523</v>
      </c>
    </row>
    <row r="7731" spans="1:15" x14ac:dyDescent="0.25">
      <c r="A7731" t="s">
        <v>16</v>
      </c>
      <c r="B7731" t="s">
        <v>3221</v>
      </c>
      <c r="C7731">
        <v>6924</v>
      </c>
      <c r="D7731" t="s">
        <v>428</v>
      </c>
      <c r="E7731" t="s">
        <v>429</v>
      </c>
      <c r="F7731">
        <v>10</v>
      </c>
      <c r="G7731">
        <v>230515</v>
      </c>
      <c r="H7731">
        <v>4600</v>
      </c>
      <c r="I7731" t="s">
        <v>105</v>
      </c>
      <c r="J7731">
        <v>12.4</v>
      </c>
      <c r="K7731">
        <v>2.4</v>
      </c>
      <c r="L7731">
        <v>59114</v>
      </c>
      <c r="M7731" t="s">
        <v>556</v>
      </c>
      <c r="N7731" t="str">
        <f>"2360414417  "</f>
        <v xml:space="preserve">2360414417  </v>
      </c>
      <c r="O7731">
        <v>230523</v>
      </c>
    </row>
    <row r="7732" spans="1:15" x14ac:dyDescent="0.25">
      <c r="A7732" t="s">
        <v>16</v>
      </c>
      <c r="B7732" t="s">
        <v>3221</v>
      </c>
      <c r="C7732">
        <v>7088</v>
      </c>
      <c r="D7732" t="s">
        <v>428</v>
      </c>
      <c r="E7732" t="s">
        <v>429</v>
      </c>
      <c r="F7732">
        <v>148.72</v>
      </c>
      <c r="G7732">
        <v>230515</v>
      </c>
      <c r="H7732">
        <v>4600</v>
      </c>
      <c r="I7732" t="s">
        <v>105</v>
      </c>
      <c r="J7732">
        <v>184.41</v>
      </c>
      <c r="K7732">
        <v>35.69</v>
      </c>
      <c r="L7732">
        <v>44253</v>
      </c>
      <c r="M7732" t="s">
        <v>1058</v>
      </c>
      <c r="N7732" t="str">
        <f>"2360414425  "</f>
        <v xml:space="preserve">2360414425  </v>
      </c>
      <c r="O7732">
        <v>230525</v>
      </c>
    </row>
    <row r="7733" spans="1:15" x14ac:dyDescent="0.25">
      <c r="A7733" t="s">
        <v>16</v>
      </c>
      <c r="B7733" t="s">
        <v>3221</v>
      </c>
      <c r="C7733">
        <v>7213</v>
      </c>
      <c r="D7733" t="s">
        <v>428</v>
      </c>
      <c r="E7733" t="s">
        <v>429</v>
      </c>
      <c r="F7733">
        <v>247.86</v>
      </c>
      <c r="G7733">
        <v>230515</v>
      </c>
      <c r="H7733">
        <v>4600</v>
      </c>
      <c r="I7733" t="s">
        <v>105</v>
      </c>
      <c r="J7733">
        <v>307.35000000000002</v>
      </c>
      <c r="K7733">
        <v>59.49</v>
      </c>
      <c r="L7733">
        <v>49112</v>
      </c>
      <c r="M7733" t="s">
        <v>233</v>
      </c>
      <c r="N7733" t="str">
        <f>"2360414421  "</f>
        <v xml:space="preserve">2360414421  </v>
      </c>
      <c r="O7733">
        <v>230526</v>
      </c>
    </row>
    <row r="7734" spans="1:15" x14ac:dyDescent="0.25">
      <c r="A7734" t="s">
        <v>16</v>
      </c>
      <c r="B7734" t="s">
        <v>3221</v>
      </c>
      <c r="C7734">
        <v>7213</v>
      </c>
      <c r="D7734" t="s">
        <v>428</v>
      </c>
      <c r="E7734" t="s">
        <v>429</v>
      </c>
      <c r="F7734">
        <v>223.1</v>
      </c>
      <c r="G7734">
        <v>230515</v>
      </c>
      <c r="H7734">
        <v>4600</v>
      </c>
      <c r="I7734" t="s">
        <v>105</v>
      </c>
      <c r="J7734">
        <v>276.64999999999998</v>
      </c>
      <c r="K7734">
        <v>53.55</v>
      </c>
      <c r="L7734">
        <v>49701</v>
      </c>
      <c r="M7734" t="s">
        <v>166</v>
      </c>
      <c r="N7734" t="str">
        <f>"2360414421  "</f>
        <v xml:space="preserve">2360414421  </v>
      </c>
      <c r="O7734">
        <v>230526</v>
      </c>
    </row>
    <row r="7735" spans="1:15" x14ac:dyDescent="0.25">
      <c r="A7735" t="s">
        <v>16</v>
      </c>
      <c r="B7735" t="s">
        <v>3221</v>
      </c>
      <c r="C7735">
        <v>7510</v>
      </c>
      <c r="D7735" t="s">
        <v>428</v>
      </c>
      <c r="E7735" t="s">
        <v>429</v>
      </c>
      <c r="F7735">
        <v>504.8</v>
      </c>
      <c r="G7735">
        <v>230515</v>
      </c>
      <c r="H7735">
        <v>4600</v>
      </c>
      <c r="I7735" t="s">
        <v>105</v>
      </c>
      <c r="J7735">
        <v>625.95000000000005</v>
      </c>
      <c r="K7735">
        <v>121.15</v>
      </c>
      <c r="L7735">
        <v>54451</v>
      </c>
      <c r="M7735" t="s">
        <v>158</v>
      </c>
      <c r="N7735" t="str">
        <f>"2360414418  "</f>
        <v xml:space="preserve">2360414418  </v>
      </c>
      <c r="O7735">
        <v>230531</v>
      </c>
    </row>
    <row r="7736" spans="1:15" x14ac:dyDescent="0.25">
      <c r="A7736" t="s">
        <v>16</v>
      </c>
      <c r="B7736" t="s">
        <v>3221</v>
      </c>
      <c r="C7736">
        <v>7747</v>
      </c>
      <c r="D7736" t="s">
        <v>428</v>
      </c>
      <c r="E7736" t="s">
        <v>429</v>
      </c>
      <c r="F7736">
        <v>183.68</v>
      </c>
      <c r="G7736">
        <v>230531</v>
      </c>
      <c r="H7736">
        <v>4600</v>
      </c>
      <c r="I7736" t="s">
        <v>105</v>
      </c>
      <c r="J7736">
        <v>227.76</v>
      </c>
      <c r="K7736">
        <v>44.08</v>
      </c>
      <c r="L7736">
        <v>54451</v>
      </c>
      <c r="M7736" t="s">
        <v>158</v>
      </c>
      <c r="N7736" t="str">
        <f>"2360452069  "</f>
        <v xml:space="preserve">2360452069  </v>
      </c>
      <c r="O7736">
        <v>230602</v>
      </c>
    </row>
    <row r="7737" spans="1:15" x14ac:dyDescent="0.25">
      <c r="A7737" t="s">
        <v>16</v>
      </c>
      <c r="B7737" t="s">
        <v>3221</v>
      </c>
      <c r="C7737">
        <v>7909</v>
      </c>
      <c r="D7737" t="s">
        <v>428</v>
      </c>
      <c r="E7737" t="s">
        <v>429</v>
      </c>
      <c r="F7737">
        <v>78.709999999999994</v>
      </c>
      <c r="G7737">
        <v>230531</v>
      </c>
      <c r="H7737">
        <v>4600</v>
      </c>
      <c r="I7737" t="s">
        <v>105</v>
      </c>
      <c r="J7737">
        <v>97.6</v>
      </c>
      <c r="K7737">
        <v>18.89</v>
      </c>
      <c r="L7737">
        <v>69113</v>
      </c>
      <c r="M7737" t="s">
        <v>282</v>
      </c>
      <c r="N7737" t="str">
        <f>"2360452071  "</f>
        <v xml:space="preserve">2360452071  </v>
      </c>
      <c r="O7737">
        <v>230605</v>
      </c>
    </row>
    <row r="7738" spans="1:15" x14ac:dyDescent="0.25">
      <c r="A7738" t="s">
        <v>16</v>
      </c>
      <c r="B7738" t="s">
        <v>3221</v>
      </c>
      <c r="C7738">
        <v>7909</v>
      </c>
      <c r="D7738" t="s">
        <v>428</v>
      </c>
      <c r="E7738" t="s">
        <v>429</v>
      </c>
      <c r="F7738">
        <v>8.74</v>
      </c>
      <c r="G7738">
        <v>230531</v>
      </c>
      <c r="H7738">
        <v>4600</v>
      </c>
      <c r="I7738" t="s">
        <v>105</v>
      </c>
      <c r="J7738">
        <v>10.84</v>
      </c>
      <c r="K7738">
        <v>2.1</v>
      </c>
      <c r="L7738">
        <v>69802</v>
      </c>
      <c r="M7738" t="s">
        <v>283</v>
      </c>
      <c r="N7738" t="str">
        <f>"2360452071  "</f>
        <v xml:space="preserve">2360452071  </v>
      </c>
      <c r="O7738">
        <v>230605</v>
      </c>
    </row>
    <row r="7739" spans="1:15" x14ac:dyDescent="0.25">
      <c r="A7739" t="s">
        <v>16</v>
      </c>
      <c r="B7739" t="s">
        <v>3221</v>
      </c>
      <c r="C7739">
        <v>8125</v>
      </c>
      <c r="D7739" t="s">
        <v>428</v>
      </c>
      <c r="E7739" t="s">
        <v>429</v>
      </c>
      <c r="F7739">
        <v>-55</v>
      </c>
      <c r="G7739">
        <v>230531</v>
      </c>
      <c r="H7739">
        <v>4600</v>
      </c>
      <c r="I7739" t="s">
        <v>105</v>
      </c>
      <c r="J7739">
        <v>-68.2</v>
      </c>
      <c r="K7739">
        <v>-13.2</v>
      </c>
      <c r="L7739">
        <v>59113</v>
      </c>
      <c r="M7739" t="s">
        <v>235</v>
      </c>
      <c r="N7739" t="str">
        <f>"2360452070  "</f>
        <v xml:space="preserve">2360452070  </v>
      </c>
      <c r="O7739">
        <v>230607</v>
      </c>
    </row>
    <row r="7740" spans="1:15" x14ac:dyDescent="0.25">
      <c r="A7740" t="s">
        <v>16</v>
      </c>
      <c r="B7740" t="s">
        <v>3221</v>
      </c>
      <c r="C7740">
        <v>8181</v>
      </c>
      <c r="D7740" t="s">
        <v>428</v>
      </c>
      <c r="E7740" t="s">
        <v>429</v>
      </c>
      <c r="F7740">
        <v>88.4</v>
      </c>
      <c r="G7740">
        <v>230531</v>
      </c>
      <c r="H7740">
        <v>4600</v>
      </c>
      <c r="I7740" t="s">
        <v>105</v>
      </c>
      <c r="J7740">
        <v>109.61</v>
      </c>
      <c r="K7740">
        <v>21.21</v>
      </c>
      <c r="L7740">
        <v>69112</v>
      </c>
      <c r="M7740" t="s">
        <v>313</v>
      </c>
      <c r="N7740" t="str">
        <f>"2360452077  "</f>
        <v xml:space="preserve">2360452077  </v>
      </c>
      <c r="O7740">
        <v>230607</v>
      </c>
    </row>
    <row r="7741" spans="1:15" x14ac:dyDescent="0.25">
      <c r="A7741" t="s">
        <v>16</v>
      </c>
      <c r="B7741" t="s">
        <v>3221</v>
      </c>
      <c r="C7741">
        <v>8181</v>
      </c>
      <c r="D7741" t="s">
        <v>428</v>
      </c>
      <c r="E7741" t="s">
        <v>429</v>
      </c>
      <c r="F7741">
        <v>4.91</v>
      </c>
      <c r="G7741">
        <v>230531</v>
      </c>
      <c r="H7741">
        <v>4600</v>
      </c>
      <c r="I7741" t="s">
        <v>105</v>
      </c>
      <c r="J7741">
        <v>6.09</v>
      </c>
      <c r="K7741">
        <v>1.18</v>
      </c>
      <c r="L7741">
        <v>69810</v>
      </c>
      <c r="M7741" t="s">
        <v>314</v>
      </c>
      <c r="N7741" t="str">
        <f>"2360452077  "</f>
        <v xml:space="preserve">2360452077  </v>
      </c>
      <c r="O7741">
        <v>230607</v>
      </c>
    </row>
    <row r="7742" spans="1:15" x14ac:dyDescent="0.25">
      <c r="A7742" t="s">
        <v>16</v>
      </c>
      <c r="B7742" t="s">
        <v>3221</v>
      </c>
      <c r="C7742">
        <v>8181</v>
      </c>
      <c r="D7742" t="s">
        <v>428</v>
      </c>
      <c r="E7742" t="s">
        <v>429</v>
      </c>
      <c r="F7742">
        <v>4.91</v>
      </c>
      <c r="G7742">
        <v>230531</v>
      </c>
      <c r="H7742">
        <v>4600</v>
      </c>
      <c r="I7742" t="s">
        <v>105</v>
      </c>
      <c r="J7742">
        <v>6.09</v>
      </c>
      <c r="K7742">
        <v>1.18</v>
      </c>
      <c r="L7742">
        <v>69811</v>
      </c>
      <c r="M7742" t="s">
        <v>315</v>
      </c>
      <c r="N7742" t="str">
        <f>"2360452077  "</f>
        <v xml:space="preserve">2360452077  </v>
      </c>
      <c r="O7742">
        <v>230607</v>
      </c>
    </row>
    <row r="7743" spans="1:15" x14ac:dyDescent="0.25">
      <c r="A7743" t="s">
        <v>16</v>
      </c>
      <c r="B7743" t="s">
        <v>3221</v>
      </c>
      <c r="C7743">
        <v>8387</v>
      </c>
      <c r="D7743" t="s">
        <v>428</v>
      </c>
      <c r="E7743" t="s">
        <v>429</v>
      </c>
      <c r="F7743">
        <v>48.92</v>
      </c>
      <c r="G7743">
        <v>230531</v>
      </c>
      <c r="H7743">
        <v>4600</v>
      </c>
      <c r="I7743" t="s">
        <v>105</v>
      </c>
      <c r="J7743">
        <v>60.66</v>
      </c>
      <c r="K7743">
        <v>11.74</v>
      </c>
      <c r="L7743">
        <v>49112</v>
      </c>
      <c r="M7743" t="s">
        <v>233</v>
      </c>
      <c r="N7743" t="str">
        <f>"2360452072  "</f>
        <v xml:space="preserve">2360452072  </v>
      </c>
      <c r="O7743">
        <v>230608</v>
      </c>
    </row>
    <row r="7744" spans="1:15" x14ac:dyDescent="0.25">
      <c r="A7744" t="s">
        <v>16</v>
      </c>
      <c r="B7744" t="s">
        <v>3221</v>
      </c>
      <c r="C7744">
        <v>8990</v>
      </c>
      <c r="D7744" t="s">
        <v>428</v>
      </c>
      <c r="E7744" t="s">
        <v>429</v>
      </c>
      <c r="F7744">
        <v>15.48</v>
      </c>
      <c r="G7744">
        <v>230615</v>
      </c>
      <c r="H7744">
        <v>4600</v>
      </c>
      <c r="I7744" t="s">
        <v>105</v>
      </c>
      <c r="J7744">
        <v>19.2</v>
      </c>
      <c r="K7744">
        <v>3.72</v>
      </c>
      <c r="L7744">
        <v>69113</v>
      </c>
      <c r="M7744" t="s">
        <v>282</v>
      </c>
      <c r="N7744" t="str">
        <f>"2360518965  "</f>
        <v xml:space="preserve">2360518965  </v>
      </c>
      <c r="O7744">
        <v>230620</v>
      </c>
    </row>
    <row r="7745" spans="1:15" x14ac:dyDescent="0.25">
      <c r="A7745" t="s">
        <v>16</v>
      </c>
      <c r="B7745" t="s">
        <v>3221</v>
      </c>
      <c r="C7745">
        <v>8990</v>
      </c>
      <c r="D7745" t="s">
        <v>428</v>
      </c>
      <c r="E7745" t="s">
        <v>429</v>
      </c>
      <c r="F7745">
        <v>1.72</v>
      </c>
      <c r="G7745">
        <v>230615</v>
      </c>
      <c r="H7745">
        <v>4600</v>
      </c>
      <c r="I7745" t="s">
        <v>105</v>
      </c>
      <c r="J7745">
        <v>2.13</v>
      </c>
      <c r="K7745">
        <v>0.41</v>
      </c>
      <c r="L7745">
        <v>69802</v>
      </c>
      <c r="M7745" t="s">
        <v>283</v>
      </c>
      <c r="N7745" t="str">
        <f>"2360518965  "</f>
        <v xml:space="preserve">2360518965  </v>
      </c>
      <c r="O7745">
        <v>230620</v>
      </c>
    </row>
    <row r="7746" spans="1:15" x14ac:dyDescent="0.25">
      <c r="A7746" t="s">
        <v>16</v>
      </c>
      <c r="B7746" t="s">
        <v>3221</v>
      </c>
      <c r="C7746">
        <v>9142</v>
      </c>
      <c r="D7746" t="s">
        <v>428</v>
      </c>
      <c r="E7746" t="s">
        <v>429</v>
      </c>
      <c r="F7746">
        <v>-5</v>
      </c>
      <c r="G7746">
        <v>230615</v>
      </c>
      <c r="H7746">
        <v>4600</v>
      </c>
      <c r="I7746" t="s">
        <v>105</v>
      </c>
      <c r="J7746">
        <v>-6.2</v>
      </c>
      <c r="K7746">
        <v>-1.2</v>
      </c>
      <c r="L7746">
        <v>54451</v>
      </c>
      <c r="M7746" t="s">
        <v>158</v>
      </c>
      <c r="N7746" t="str">
        <f>"2360518964  "</f>
        <v xml:space="preserve">2360518964  </v>
      </c>
      <c r="O7746">
        <v>230628</v>
      </c>
    </row>
    <row r="7747" spans="1:15" x14ac:dyDescent="0.25">
      <c r="A7747" t="s">
        <v>16</v>
      </c>
      <c r="B7747" t="s">
        <v>3221</v>
      </c>
      <c r="C7747">
        <v>9150</v>
      </c>
      <c r="D7747" t="s">
        <v>428</v>
      </c>
      <c r="E7747" t="s">
        <v>429</v>
      </c>
      <c r="F7747">
        <v>-31.61</v>
      </c>
      <c r="G7747">
        <v>230615</v>
      </c>
      <c r="H7747">
        <v>4600</v>
      </c>
      <c r="I7747" t="s">
        <v>105</v>
      </c>
      <c r="J7747">
        <v>-39.200000000000003</v>
      </c>
      <c r="K7747">
        <v>-7.59</v>
      </c>
      <c r="L7747">
        <v>69112</v>
      </c>
      <c r="M7747" t="s">
        <v>313</v>
      </c>
      <c r="N7747" t="str">
        <f>"2360518968  "</f>
        <v xml:space="preserve">2360518968  </v>
      </c>
      <c r="O7747">
        <v>230628</v>
      </c>
    </row>
    <row r="7748" spans="1:15" x14ac:dyDescent="0.25">
      <c r="A7748" t="s">
        <v>16</v>
      </c>
      <c r="B7748" t="s">
        <v>3221</v>
      </c>
      <c r="C7748">
        <v>9460</v>
      </c>
      <c r="D7748" t="s">
        <v>428</v>
      </c>
      <c r="E7748" t="s">
        <v>429</v>
      </c>
      <c r="F7748">
        <v>85.98</v>
      </c>
      <c r="G7748">
        <v>230630</v>
      </c>
      <c r="H7748">
        <v>4600</v>
      </c>
      <c r="I7748" t="s">
        <v>105</v>
      </c>
      <c r="J7748">
        <v>106.62</v>
      </c>
      <c r="K7748">
        <v>20.64</v>
      </c>
      <c r="L7748">
        <v>69113</v>
      </c>
      <c r="M7748" t="s">
        <v>282</v>
      </c>
      <c r="N7748" t="str">
        <f>"2360552361  "</f>
        <v xml:space="preserve">2360552361  </v>
      </c>
      <c r="O7748">
        <v>230711</v>
      </c>
    </row>
    <row r="7749" spans="1:15" x14ac:dyDescent="0.25">
      <c r="A7749" t="s">
        <v>16</v>
      </c>
      <c r="B7749" t="s">
        <v>3221</v>
      </c>
      <c r="C7749">
        <v>9460</v>
      </c>
      <c r="D7749" t="s">
        <v>428</v>
      </c>
      <c r="E7749" t="s">
        <v>429</v>
      </c>
      <c r="F7749">
        <v>13.65</v>
      </c>
      <c r="G7749">
        <v>230630</v>
      </c>
      <c r="H7749">
        <v>4600</v>
      </c>
      <c r="I7749" t="s">
        <v>105</v>
      </c>
      <c r="J7749">
        <v>16.93</v>
      </c>
      <c r="K7749">
        <v>3.28</v>
      </c>
      <c r="L7749">
        <v>69802</v>
      </c>
      <c r="M7749" t="s">
        <v>283</v>
      </c>
      <c r="N7749" t="str">
        <f>"2360552361  "</f>
        <v xml:space="preserve">2360552361  </v>
      </c>
      <c r="O7749">
        <v>230711</v>
      </c>
    </row>
    <row r="7750" spans="1:15" x14ac:dyDescent="0.25">
      <c r="A7750" t="s">
        <v>16</v>
      </c>
      <c r="B7750" t="s">
        <v>3221</v>
      </c>
      <c r="C7750">
        <v>9460</v>
      </c>
      <c r="D7750" t="s">
        <v>428</v>
      </c>
      <c r="E7750" t="s">
        <v>429</v>
      </c>
      <c r="F7750">
        <v>1.52</v>
      </c>
      <c r="G7750">
        <v>230630</v>
      </c>
      <c r="H7750">
        <v>4600</v>
      </c>
      <c r="I7750" t="s">
        <v>105</v>
      </c>
      <c r="J7750">
        <v>1.88</v>
      </c>
      <c r="K7750">
        <v>0.36</v>
      </c>
      <c r="L7750">
        <v>69804</v>
      </c>
      <c r="M7750" t="s">
        <v>284</v>
      </c>
      <c r="N7750" t="str">
        <f>"2360552361  "</f>
        <v xml:space="preserve">2360552361  </v>
      </c>
      <c r="O7750">
        <v>230711</v>
      </c>
    </row>
    <row r="7751" spans="1:15" x14ac:dyDescent="0.25">
      <c r="A7751" t="s">
        <v>16</v>
      </c>
      <c r="B7751" t="s">
        <v>3221</v>
      </c>
      <c r="C7751">
        <v>10094</v>
      </c>
      <c r="D7751" t="s">
        <v>428</v>
      </c>
      <c r="E7751" t="s">
        <v>429</v>
      </c>
      <c r="F7751">
        <v>10</v>
      </c>
      <c r="G7751">
        <v>230731</v>
      </c>
      <c r="H7751">
        <v>4600</v>
      </c>
      <c r="I7751" t="s">
        <v>105</v>
      </c>
      <c r="J7751">
        <v>12.4</v>
      </c>
      <c r="K7751">
        <v>2.4</v>
      </c>
      <c r="L7751">
        <v>59810</v>
      </c>
      <c r="M7751" t="s">
        <v>1840</v>
      </c>
      <c r="N7751" t="str">
        <f>"2360647611  "</f>
        <v xml:space="preserve">2360647611  </v>
      </c>
      <c r="O7751">
        <v>230808</v>
      </c>
    </row>
    <row r="7752" spans="1:15" x14ac:dyDescent="0.25">
      <c r="A7752" t="s">
        <v>16</v>
      </c>
      <c r="B7752" t="s">
        <v>3221</v>
      </c>
      <c r="C7752">
        <v>10460</v>
      </c>
      <c r="D7752" t="s">
        <v>428</v>
      </c>
      <c r="E7752" t="s">
        <v>429</v>
      </c>
      <c r="F7752">
        <v>121.98</v>
      </c>
      <c r="G7752">
        <v>230815</v>
      </c>
      <c r="H7752">
        <v>4600</v>
      </c>
      <c r="I7752" t="s">
        <v>105</v>
      </c>
      <c r="J7752">
        <v>151.25</v>
      </c>
      <c r="K7752">
        <v>29.27</v>
      </c>
      <c r="L7752">
        <v>69113</v>
      </c>
      <c r="M7752" t="s">
        <v>282</v>
      </c>
      <c r="N7752" t="str">
        <f>"2360709482  "</f>
        <v xml:space="preserve">2360709482  </v>
      </c>
      <c r="O7752">
        <v>230816</v>
      </c>
    </row>
    <row r="7753" spans="1:15" x14ac:dyDescent="0.25">
      <c r="A7753" t="s">
        <v>16</v>
      </c>
      <c r="B7753" t="s">
        <v>3221</v>
      </c>
      <c r="C7753">
        <v>10460</v>
      </c>
      <c r="D7753" t="s">
        <v>428</v>
      </c>
      <c r="E7753" t="s">
        <v>429</v>
      </c>
      <c r="F7753">
        <v>13.56</v>
      </c>
      <c r="G7753">
        <v>230815</v>
      </c>
      <c r="H7753">
        <v>4600</v>
      </c>
      <c r="I7753" t="s">
        <v>105</v>
      </c>
      <c r="J7753">
        <v>16.809999999999999</v>
      </c>
      <c r="K7753">
        <v>3.25</v>
      </c>
      <c r="L7753">
        <v>69802</v>
      </c>
      <c r="M7753" t="s">
        <v>283</v>
      </c>
      <c r="N7753" t="str">
        <f>"2360709482  "</f>
        <v xml:space="preserve">2360709482  </v>
      </c>
      <c r="O7753">
        <v>230816</v>
      </c>
    </row>
    <row r="7754" spans="1:15" x14ac:dyDescent="0.25">
      <c r="A7754" t="s">
        <v>16</v>
      </c>
      <c r="B7754" t="s">
        <v>3221</v>
      </c>
      <c r="C7754">
        <v>10494</v>
      </c>
      <c r="D7754" t="s">
        <v>428</v>
      </c>
      <c r="E7754" t="s">
        <v>429</v>
      </c>
      <c r="F7754">
        <v>41.81</v>
      </c>
      <c r="G7754">
        <v>230815</v>
      </c>
      <c r="H7754">
        <v>4600</v>
      </c>
      <c r="I7754" t="s">
        <v>105</v>
      </c>
      <c r="J7754">
        <v>51.84</v>
      </c>
      <c r="K7754">
        <v>10.029999999999999</v>
      </c>
      <c r="L7754">
        <v>17915</v>
      </c>
      <c r="M7754" t="s">
        <v>572</v>
      </c>
      <c r="N7754" t="str">
        <f>"2360709484  "</f>
        <v xml:space="preserve">2360709484  </v>
      </c>
      <c r="O7754">
        <v>230817</v>
      </c>
    </row>
    <row r="7755" spans="1:15" x14ac:dyDescent="0.25">
      <c r="A7755" t="s">
        <v>16</v>
      </c>
      <c r="B7755" t="s">
        <v>3221</v>
      </c>
      <c r="C7755">
        <v>10503</v>
      </c>
      <c r="D7755" t="s">
        <v>428</v>
      </c>
      <c r="E7755" t="s">
        <v>429</v>
      </c>
      <c r="F7755">
        <v>75.34</v>
      </c>
      <c r="G7755">
        <v>230815</v>
      </c>
      <c r="H7755">
        <v>4600</v>
      </c>
      <c r="I7755" t="s">
        <v>105</v>
      </c>
      <c r="J7755">
        <v>93.42</v>
      </c>
      <c r="K7755">
        <v>18.079999999999998</v>
      </c>
      <c r="L7755">
        <v>17913</v>
      </c>
      <c r="M7755" t="s">
        <v>431</v>
      </c>
      <c r="N7755" t="str">
        <f>"2360709486  "</f>
        <v xml:space="preserve">2360709486  </v>
      </c>
      <c r="O7755">
        <v>230817</v>
      </c>
    </row>
    <row r="7756" spans="1:15" x14ac:dyDescent="0.25">
      <c r="A7756" t="s">
        <v>16</v>
      </c>
      <c r="B7756" t="s">
        <v>3221</v>
      </c>
      <c r="C7756">
        <v>10585</v>
      </c>
      <c r="D7756" t="s">
        <v>428</v>
      </c>
      <c r="E7756" t="s">
        <v>429</v>
      </c>
      <c r="F7756">
        <v>87.93</v>
      </c>
      <c r="G7756">
        <v>230815</v>
      </c>
      <c r="H7756">
        <v>4600</v>
      </c>
      <c r="I7756" t="s">
        <v>105</v>
      </c>
      <c r="J7756">
        <v>109.03</v>
      </c>
      <c r="K7756">
        <v>21.1</v>
      </c>
      <c r="L7756">
        <v>69112</v>
      </c>
      <c r="M7756" t="s">
        <v>313</v>
      </c>
      <c r="N7756" t="str">
        <f>"2360709489  "</f>
        <v xml:space="preserve">2360709489  </v>
      </c>
      <c r="O7756">
        <v>230818</v>
      </c>
    </row>
    <row r="7757" spans="1:15" x14ac:dyDescent="0.25">
      <c r="A7757" t="s">
        <v>16</v>
      </c>
      <c r="B7757" t="s">
        <v>3221</v>
      </c>
      <c r="C7757">
        <v>10585</v>
      </c>
      <c r="D7757" t="s">
        <v>428</v>
      </c>
      <c r="E7757" t="s">
        <v>429</v>
      </c>
      <c r="F7757">
        <v>4.8899999999999997</v>
      </c>
      <c r="G7757">
        <v>230815</v>
      </c>
      <c r="H7757">
        <v>4600</v>
      </c>
      <c r="I7757" t="s">
        <v>105</v>
      </c>
      <c r="J7757">
        <v>6.06</v>
      </c>
      <c r="K7757">
        <v>1.17</v>
      </c>
      <c r="L7757">
        <v>69810</v>
      </c>
      <c r="M7757" t="s">
        <v>314</v>
      </c>
      <c r="N7757" t="str">
        <f>"2360709489  "</f>
        <v xml:space="preserve">2360709489  </v>
      </c>
      <c r="O7757">
        <v>230818</v>
      </c>
    </row>
    <row r="7758" spans="1:15" x14ac:dyDescent="0.25">
      <c r="A7758" t="s">
        <v>16</v>
      </c>
      <c r="B7758" t="s">
        <v>3221</v>
      </c>
      <c r="C7758">
        <v>10585</v>
      </c>
      <c r="D7758" t="s">
        <v>428</v>
      </c>
      <c r="E7758" t="s">
        <v>429</v>
      </c>
      <c r="F7758">
        <v>4.88</v>
      </c>
      <c r="G7758">
        <v>230815</v>
      </c>
      <c r="H7758">
        <v>4600</v>
      </c>
      <c r="I7758" t="s">
        <v>105</v>
      </c>
      <c r="J7758">
        <v>6.05</v>
      </c>
      <c r="K7758">
        <v>1.17</v>
      </c>
      <c r="L7758">
        <v>69811</v>
      </c>
      <c r="M7758" t="s">
        <v>315</v>
      </c>
      <c r="N7758" t="str">
        <f>"2360709489  "</f>
        <v xml:space="preserve">2360709489  </v>
      </c>
      <c r="O7758">
        <v>230818</v>
      </c>
    </row>
    <row r="7759" spans="1:15" x14ac:dyDescent="0.25">
      <c r="A7759" t="s">
        <v>16</v>
      </c>
      <c r="B7759" t="s">
        <v>3221</v>
      </c>
      <c r="C7759">
        <v>10598</v>
      </c>
      <c r="D7759" t="s">
        <v>428</v>
      </c>
      <c r="E7759" t="s">
        <v>429</v>
      </c>
      <c r="F7759">
        <v>590.63</v>
      </c>
      <c r="G7759">
        <v>230815</v>
      </c>
      <c r="H7759">
        <v>4600</v>
      </c>
      <c r="I7759" t="s">
        <v>105</v>
      </c>
      <c r="J7759">
        <v>732.38</v>
      </c>
      <c r="K7759">
        <v>141.75</v>
      </c>
      <c r="L7759">
        <v>59113</v>
      </c>
      <c r="M7759" t="s">
        <v>235</v>
      </c>
      <c r="N7759" t="str">
        <f>"2360709481  "</f>
        <v xml:space="preserve">2360709481  </v>
      </c>
      <c r="O7759">
        <v>230818</v>
      </c>
    </row>
    <row r="7760" spans="1:15" x14ac:dyDescent="0.25">
      <c r="A7760" t="s">
        <v>16</v>
      </c>
      <c r="B7760" t="s">
        <v>3221</v>
      </c>
      <c r="C7760">
        <v>10599</v>
      </c>
      <c r="D7760" t="s">
        <v>428</v>
      </c>
      <c r="E7760" t="s">
        <v>429</v>
      </c>
      <c r="F7760">
        <v>24.35</v>
      </c>
      <c r="G7760">
        <v>230815</v>
      </c>
      <c r="H7760">
        <v>4600</v>
      </c>
      <c r="I7760" t="s">
        <v>105</v>
      </c>
      <c r="J7760">
        <v>30.19</v>
      </c>
      <c r="K7760">
        <v>5.84</v>
      </c>
      <c r="L7760">
        <v>59114</v>
      </c>
      <c r="M7760" t="s">
        <v>556</v>
      </c>
      <c r="N7760" t="str">
        <f>"2360709479  "</f>
        <v xml:space="preserve">2360709479  </v>
      </c>
      <c r="O7760">
        <v>230818</v>
      </c>
    </row>
    <row r="7761" spans="1:15" x14ac:dyDescent="0.25">
      <c r="A7761" t="s">
        <v>16</v>
      </c>
      <c r="B7761" t="s">
        <v>3221</v>
      </c>
      <c r="C7761">
        <v>10821</v>
      </c>
      <c r="D7761" t="s">
        <v>428</v>
      </c>
      <c r="E7761" t="s">
        <v>429</v>
      </c>
      <c r="F7761">
        <v>221.99</v>
      </c>
      <c r="G7761">
        <v>230815</v>
      </c>
      <c r="H7761">
        <v>4600</v>
      </c>
      <c r="I7761" t="s">
        <v>105</v>
      </c>
      <c r="J7761">
        <v>275.27</v>
      </c>
      <c r="K7761">
        <v>53.28</v>
      </c>
      <c r="L7761">
        <v>49112</v>
      </c>
      <c r="M7761" t="s">
        <v>233</v>
      </c>
      <c r="N7761" t="str">
        <f>"2360709483  "</f>
        <v xml:space="preserve">2360709483  </v>
      </c>
      <c r="O7761">
        <v>230823</v>
      </c>
    </row>
    <row r="7762" spans="1:15" x14ac:dyDescent="0.25">
      <c r="A7762" t="s">
        <v>16</v>
      </c>
      <c r="B7762" t="s">
        <v>3221</v>
      </c>
      <c r="C7762">
        <v>11059</v>
      </c>
      <c r="D7762" t="s">
        <v>428</v>
      </c>
      <c r="E7762" t="s">
        <v>429</v>
      </c>
      <c r="F7762">
        <v>83.11</v>
      </c>
      <c r="G7762">
        <v>230815</v>
      </c>
      <c r="H7762">
        <v>4600</v>
      </c>
      <c r="I7762" t="s">
        <v>105</v>
      </c>
      <c r="J7762">
        <v>103.06</v>
      </c>
      <c r="K7762">
        <v>19.95</v>
      </c>
      <c r="L7762">
        <v>44252</v>
      </c>
      <c r="M7762" t="s">
        <v>157</v>
      </c>
      <c r="N7762" t="str">
        <f>"2360709485  "</f>
        <v xml:space="preserve">2360709485  </v>
      </c>
      <c r="O7762">
        <v>230829</v>
      </c>
    </row>
    <row r="7763" spans="1:15" x14ac:dyDescent="0.25">
      <c r="A7763" t="s">
        <v>16</v>
      </c>
      <c r="B7763" t="s">
        <v>3221</v>
      </c>
      <c r="C7763">
        <v>11254</v>
      </c>
      <c r="D7763" t="s">
        <v>428</v>
      </c>
      <c r="E7763" t="s">
        <v>429</v>
      </c>
      <c r="F7763">
        <v>5.08</v>
      </c>
      <c r="G7763">
        <v>230831</v>
      </c>
      <c r="H7763">
        <v>4600</v>
      </c>
      <c r="I7763" t="s">
        <v>105</v>
      </c>
      <c r="J7763">
        <v>6.3</v>
      </c>
      <c r="K7763">
        <v>1.22</v>
      </c>
      <c r="L7763">
        <v>17913</v>
      </c>
      <c r="M7763" t="s">
        <v>431</v>
      </c>
      <c r="N7763" t="str">
        <f>"2360747921  "</f>
        <v xml:space="preserve">2360747921  </v>
      </c>
      <c r="O7763">
        <v>230904</v>
      </c>
    </row>
    <row r="7764" spans="1:15" x14ac:dyDescent="0.25">
      <c r="A7764" t="s">
        <v>16</v>
      </c>
      <c r="B7764" t="s">
        <v>3221</v>
      </c>
      <c r="C7764">
        <v>11345</v>
      </c>
      <c r="D7764" t="s">
        <v>428</v>
      </c>
      <c r="E7764" t="s">
        <v>429</v>
      </c>
      <c r="F7764">
        <v>176.66</v>
      </c>
      <c r="G7764">
        <v>230831</v>
      </c>
      <c r="H7764">
        <v>4600</v>
      </c>
      <c r="I7764" t="s">
        <v>105</v>
      </c>
      <c r="J7764">
        <v>219.06</v>
      </c>
      <c r="K7764">
        <v>42.4</v>
      </c>
      <c r="L7764">
        <v>44251</v>
      </c>
      <c r="M7764" t="s">
        <v>156</v>
      </c>
      <c r="N7764" t="str">
        <f>"2360747920  "</f>
        <v xml:space="preserve">2360747920  </v>
      </c>
      <c r="O7764">
        <v>230904</v>
      </c>
    </row>
    <row r="7765" spans="1:15" x14ac:dyDescent="0.25">
      <c r="A7765" t="s">
        <v>16</v>
      </c>
      <c r="B7765" t="s">
        <v>3221</v>
      </c>
      <c r="C7765">
        <v>11345</v>
      </c>
      <c r="D7765" t="s">
        <v>428</v>
      </c>
      <c r="E7765" t="s">
        <v>429</v>
      </c>
      <c r="F7765">
        <v>160.82</v>
      </c>
      <c r="G7765">
        <v>230831</v>
      </c>
      <c r="H7765">
        <v>4600</v>
      </c>
      <c r="I7765" t="s">
        <v>105</v>
      </c>
      <c r="J7765">
        <v>199.42</v>
      </c>
      <c r="K7765">
        <v>38.6</v>
      </c>
      <c r="L7765">
        <v>44252</v>
      </c>
      <c r="M7765" t="s">
        <v>157</v>
      </c>
      <c r="N7765" t="str">
        <f>"2360747920  "</f>
        <v xml:space="preserve">2360747920  </v>
      </c>
      <c r="O7765">
        <v>230904</v>
      </c>
    </row>
    <row r="7766" spans="1:15" x14ac:dyDescent="0.25">
      <c r="A7766" t="s">
        <v>16</v>
      </c>
      <c r="B7766" t="s">
        <v>3221</v>
      </c>
      <c r="C7766">
        <v>11346</v>
      </c>
      <c r="D7766" t="s">
        <v>428</v>
      </c>
      <c r="E7766" t="s">
        <v>429</v>
      </c>
      <c r="F7766">
        <v>216.19</v>
      </c>
      <c r="G7766">
        <v>230831</v>
      </c>
      <c r="H7766">
        <v>4600</v>
      </c>
      <c r="I7766" t="s">
        <v>105</v>
      </c>
      <c r="J7766">
        <v>268.08</v>
      </c>
      <c r="K7766">
        <v>51.89</v>
      </c>
      <c r="L7766">
        <v>17915</v>
      </c>
      <c r="M7766" t="s">
        <v>572</v>
      </c>
      <c r="N7766" t="str">
        <f>"2360747919  "</f>
        <v xml:space="preserve">2360747919  </v>
      </c>
      <c r="O7766">
        <v>230904</v>
      </c>
    </row>
    <row r="7767" spans="1:15" x14ac:dyDescent="0.25">
      <c r="A7767" t="s">
        <v>16</v>
      </c>
      <c r="B7767" t="s">
        <v>3221</v>
      </c>
      <c r="C7767">
        <v>11415</v>
      </c>
      <c r="D7767" t="s">
        <v>428</v>
      </c>
      <c r="E7767" t="s">
        <v>429</v>
      </c>
      <c r="F7767">
        <v>57.38</v>
      </c>
      <c r="G7767">
        <v>230831</v>
      </c>
      <c r="H7767">
        <v>4600</v>
      </c>
      <c r="I7767" t="s">
        <v>105</v>
      </c>
      <c r="J7767">
        <v>71.150000000000006</v>
      </c>
      <c r="K7767">
        <v>13.77</v>
      </c>
      <c r="L7767">
        <v>69112</v>
      </c>
      <c r="M7767" t="s">
        <v>313</v>
      </c>
      <c r="N7767" t="str">
        <f>"2360747924  "</f>
        <v xml:space="preserve">2360747924  </v>
      </c>
      <c r="O7767">
        <v>230905</v>
      </c>
    </row>
    <row r="7768" spans="1:15" x14ac:dyDescent="0.25">
      <c r="A7768" t="s">
        <v>16</v>
      </c>
      <c r="B7768" t="s">
        <v>3221</v>
      </c>
      <c r="C7768">
        <v>11415</v>
      </c>
      <c r="D7768" t="s">
        <v>428</v>
      </c>
      <c r="E7768" t="s">
        <v>429</v>
      </c>
      <c r="F7768">
        <v>3.19</v>
      </c>
      <c r="G7768">
        <v>230831</v>
      </c>
      <c r="H7768">
        <v>4600</v>
      </c>
      <c r="I7768" t="s">
        <v>105</v>
      </c>
      <c r="J7768">
        <v>3.96</v>
      </c>
      <c r="K7768">
        <v>0.77</v>
      </c>
      <c r="L7768">
        <v>69810</v>
      </c>
      <c r="M7768" t="s">
        <v>314</v>
      </c>
      <c r="N7768" t="str">
        <f>"2360747924  "</f>
        <v xml:space="preserve">2360747924  </v>
      </c>
      <c r="O7768">
        <v>230905</v>
      </c>
    </row>
    <row r="7769" spans="1:15" x14ac:dyDescent="0.25">
      <c r="A7769" t="s">
        <v>16</v>
      </c>
      <c r="B7769" t="s">
        <v>3221</v>
      </c>
      <c r="C7769">
        <v>11415</v>
      </c>
      <c r="D7769" t="s">
        <v>428</v>
      </c>
      <c r="E7769" t="s">
        <v>429</v>
      </c>
      <c r="F7769">
        <v>3.19</v>
      </c>
      <c r="G7769">
        <v>230831</v>
      </c>
      <c r="H7769">
        <v>4600</v>
      </c>
      <c r="I7769" t="s">
        <v>105</v>
      </c>
      <c r="J7769">
        <v>3.95</v>
      </c>
      <c r="K7769">
        <v>0.76</v>
      </c>
      <c r="L7769">
        <v>69811</v>
      </c>
      <c r="M7769" t="s">
        <v>315</v>
      </c>
      <c r="N7769" t="str">
        <f>"2360747924  "</f>
        <v xml:space="preserve">2360747924  </v>
      </c>
      <c r="O7769">
        <v>230905</v>
      </c>
    </row>
    <row r="7770" spans="1:15" x14ac:dyDescent="0.25">
      <c r="A7770" t="s">
        <v>16</v>
      </c>
      <c r="B7770" t="s">
        <v>3221</v>
      </c>
      <c r="C7770">
        <v>11557</v>
      </c>
      <c r="D7770" t="s">
        <v>428</v>
      </c>
      <c r="E7770" t="s">
        <v>429</v>
      </c>
      <c r="F7770">
        <v>10</v>
      </c>
      <c r="G7770">
        <v>230831</v>
      </c>
      <c r="H7770">
        <v>4600</v>
      </c>
      <c r="I7770" t="s">
        <v>105</v>
      </c>
      <c r="J7770">
        <v>12.4</v>
      </c>
      <c r="K7770">
        <v>2.4</v>
      </c>
      <c r="L7770">
        <v>59113</v>
      </c>
      <c r="M7770" t="s">
        <v>235</v>
      </c>
      <c r="N7770" t="str">
        <f>"2360747916  "</f>
        <v xml:space="preserve">2360747916  </v>
      </c>
      <c r="O7770">
        <v>230907</v>
      </c>
    </row>
    <row r="7771" spans="1:15" x14ac:dyDescent="0.25">
      <c r="A7771" t="s">
        <v>16</v>
      </c>
      <c r="B7771" t="s">
        <v>3221</v>
      </c>
      <c r="C7771">
        <v>11558</v>
      </c>
      <c r="D7771" t="s">
        <v>428</v>
      </c>
      <c r="E7771" t="s">
        <v>429</v>
      </c>
      <c r="F7771">
        <v>10</v>
      </c>
      <c r="G7771">
        <v>230831</v>
      </c>
      <c r="H7771">
        <v>4600</v>
      </c>
      <c r="I7771" t="s">
        <v>105</v>
      </c>
      <c r="J7771">
        <v>12.4</v>
      </c>
      <c r="K7771">
        <v>2.4</v>
      </c>
      <c r="L7771">
        <v>59114</v>
      </c>
      <c r="M7771" t="s">
        <v>556</v>
      </c>
      <c r="N7771" t="str">
        <f>"2360747914  "</f>
        <v xml:space="preserve">2360747914  </v>
      </c>
      <c r="O7771">
        <v>230907</v>
      </c>
    </row>
    <row r="7772" spans="1:15" x14ac:dyDescent="0.25">
      <c r="A7772" t="s">
        <v>16</v>
      </c>
      <c r="B7772" t="s">
        <v>3221</v>
      </c>
      <c r="C7772">
        <v>11865</v>
      </c>
      <c r="D7772" t="s">
        <v>428</v>
      </c>
      <c r="E7772" t="s">
        <v>429</v>
      </c>
      <c r="F7772">
        <v>30</v>
      </c>
      <c r="G7772">
        <v>230831</v>
      </c>
      <c r="H7772">
        <v>4600</v>
      </c>
      <c r="I7772" t="s">
        <v>105</v>
      </c>
      <c r="J7772">
        <v>37.200000000000003</v>
      </c>
      <c r="K7772">
        <v>7.2</v>
      </c>
      <c r="L7772">
        <v>49112</v>
      </c>
      <c r="M7772" t="s">
        <v>233</v>
      </c>
      <c r="N7772" t="str">
        <f>"2360747918  "</f>
        <v xml:space="preserve">2360747918  </v>
      </c>
      <c r="O7772">
        <v>230911</v>
      </c>
    </row>
    <row r="7773" spans="1:15" x14ac:dyDescent="0.25">
      <c r="A7773" t="s">
        <v>16</v>
      </c>
      <c r="B7773" t="s">
        <v>3221</v>
      </c>
      <c r="C7773">
        <v>11869</v>
      </c>
      <c r="D7773" t="s">
        <v>428</v>
      </c>
      <c r="E7773" t="s">
        <v>429</v>
      </c>
      <c r="F7773">
        <v>164.36</v>
      </c>
      <c r="G7773">
        <v>230831</v>
      </c>
      <c r="H7773">
        <v>4600</v>
      </c>
      <c r="I7773" t="s">
        <v>105</v>
      </c>
      <c r="J7773">
        <v>203.81</v>
      </c>
      <c r="K7773">
        <v>39.450000000000003</v>
      </c>
      <c r="L7773">
        <v>69113</v>
      </c>
      <c r="M7773" t="s">
        <v>282</v>
      </c>
      <c r="N7773" t="str">
        <f>"2360747917  "</f>
        <v xml:space="preserve">2360747917  </v>
      </c>
      <c r="O7773">
        <v>230911</v>
      </c>
    </row>
    <row r="7774" spans="1:15" x14ac:dyDescent="0.25">
      <c r="A7774" t="s">
        <v>16</v>
      </c>
      <c r="B7774" t="s">
        <v>3221</v>
      </c>
      <c r="C7774">
        <v>11869</v>
      </c>
      <c r="D7774" t="s">
        <v>428</v>
      </c>
      <c r="E7774" t="s">
        <v>429</v>
      </c>
      <c r="F7774">
        <v>18.27</v>
      </c>
      <c r="G7774">
        <v>230831</v>
      </c>
      <c r="H7774">
        <v>4600</v>
      </c>
      <c r="I7774" t="s">
        <v>105</v>
      </c>
      <c r="J7774">
        <v>22.65</v>
      </c>
      <c r="K7774">
        <v>4.38</v>
      </c>
      <c r="L7774">
        <v>69802</v>
      </c>
      <c r="M7774" t="s">
        <v>283</v>
      </c>
      <c r="N7774" t="str">
        <f>"2360747917  "</f>
        <v xml:space="preserve">2360747917  </v>
      </c>
      <c r="O7774">
        <v>230911</v>
      </c>
    </row>
    <row r="7775" spans="1:15" x14ac:dyDescent="0.25">
      <c r="A7775" t="s">
        <v>16</v>
      </c>
      <c r="B7775" t="s">
        <v>3221</v>
      </c>
      <c r="C7775">
        <v>11957</v>
      </c>
      <c r="D7775" t="s">
        <v>428</v>
      </c>
      <c r="E7775" t="s">
        <v>429</v>
      </c>
      <c r="F7775">
        <v>143.81</v>
      </c>
      <c r="G7775">
        <v>230831</v>
      </c>
      <c r="H7775">
        <v>4600</v>
      </c>
      <c r="I7775" t="s">
        <v>105</v>
      </c>
      <c r="J7775">
        <v>178.32</v>
      </c>
      <c r="K7775">
        <v>34.51</v>
      </c>
      <c r="L7775">
        <v>44253</v>
      </c>
      <c r="M7775" t="s">
        <v>1058</v>
      </c>
      <c r="N7775" t="str">
        <f>"2360747923  "</f>
        <v xml:space="preserve">2360747923  </v>
      </c>
      <c r="O7775">
        <v>230912</v>
      </c>
    </row>
    <row r="7776" spans="1:15" x14ac:dyDescent="0.25">
      <c r="A7776" t="s">
        <v>16</v>
      </c>
      <c r="B7776" t="s">
        <v>3221</v>
      </c>
      <c r="C7776">
        <v>12465</v>
      </c>
      <c r="D7776" t="s">
        <v>428</v>
      </c>
      <c r="E7776" t="s">
        <v>429</v>
      </c>
      <c r="F7776">
        <v>120.05</v>
      </c>
      <c r="G7776">
        <v>230915</v>
      </c>
      <c r="H7776">
        <v>4600</v>
      </c>
      <c r="I7776" t="s">
        <v>105</v>
      </c>
      <c r="J7776">
        <v>148.86000000000001</v>
      </c>
      <c r="K7776">
        <v>28.81</v>
      </c>
      <c r="L7776">
        <v>17915</v>
      </c>
      <c r="M7776" t="s">
        <v>572</v>
      </c>
      <c r="N7776" t="str">
        <f>"2360816081  "</f>
        <v xml:space="preserve">2360816081  </v>
      </c>
      <c r="O7776">
        <v>230920</v>
      </c>
    </row>
    <row r="7777" spans="1:15" x14ac:dyDescent="0.25">
      <c r="A7777" t="s">
        <v>16</v>
      </c>
      <c r="B7777" t="s">
        <v>3221</v>
      </c>
      <c r="C7777">
        <v>12467</v>
      </c>
      <c r="D7777" t="s">
        <v>428</v>
      </c>
      <c r="E7777" t="s">
        <v>429</v>
      </c>
      <c r="F7777">
        <v>203.81</v>
      </c>
      <c r="G7777">
        <v>230915</v>
      </c>
      <c r="H7777">
        <v>4600</v>
      </c>
      <c r="I7777" t="s">
        <v>105</v>
      </c>
      <c r="J7777">
        <v>252.73</v>
      </c>
      <c r="K7777">
        <v>48.92</v>
      </c>
      <c r="L7777">
        <v>17913</v>
      </c>
      <c r="M7777" t="s">
        <v>431</v>
      </c>
      <c r="N7777" t="str">
        <f>"2360816083  "</f>
        <v xml:space="preserve">2360816083  </v>
      </c>
      <c r="O7777">
        <v>230920</v>
      </c>
    </row>
    <row r="7778" spans="1:15" x14ac:dyDescent="0.25">
      <c r="A7778" t="s">
        <v>16</v>
      </c>
      <c r="B7778" t="s">
        <v>3221</v>
      </c>
      <c r="C7778">
        <v>12468</v>
      </c>
      <c r="D7778" t="s">
        <v>428</v>
      </c>
      <c r="E7778" t="s">
        <v>429</v>
      </c>
      <c r="F7778">
        <v>305.94</v>
      </c>
      <c r="G7778">
        <v>230915</v>
      </c>
      <c r="H7778">
        <v>4600</v>
      </c>
      <c r="I7778" t="s">
        <v>105</v>
      </c>
      <c r="J7778">
        <v>379.37</v>
      </c>
      <c r="K7778">
        <v>73.430000000000007</v>
      </c>
      <c r="L7778">
        <v>69113</v>
      </c>
      <c r="M7778" t="s">
        <v>282</v>
      </c>
      <c r="N7778" t="str">
        <f>"2360816079  "</f>
        <v xml:space="preserve">2360816079  </v>
      </c>
      <c r="O7778">
        <v>230920</v>
      </c>
    </row>
    <row r="7779" spans="1:15" x14ac:dyDescent="0.25">
      <c r="A7779" t="s">
        <v>16</v>
      </c>
      <c r="B7779" t="s">
        <v>3221</v>
      </c>
      <c r="C7779">
        <v>12468</v>
      </c>
      <c r="D7779" t="s">
        <v>428</v>
      </c>
      <c r="E7779" t="s">
        <v>429</v>
      </c>
      <c r="F7779">
        <v>33.99</v>
      </c>
      <c r="G7779">
        <v>230915</v>
      </c>
      <c r="H7779">
        <v>4600</v>
      </c>
      <c r="I7779" t="s">
        <v>105</v>
      </c>
      <c r="J7779">
        <v>42.15</v>
      </c>
      <c r="K7779">
        <v>8.16</v>
      </c>
      <c r="L7779">
        <v>69802</v>
      </c>
      <c r="M7779" t="s">
        <v>283</v>
      </c>
      <c r="N7779" t="str">
        <f>"2360816079  "</f>
        <v xml:space="preserve">2360816079  </v>
      </c>
      <c r="O7779">
        <v>230920</v>
      </c>
    </row>
    <row r="7780" spans="1:15" x14ac:dyDescent="0.25">
      <c r="A7780" t="s">
        <v>16</v>
      </c>
      <c r="B7780" t="s">
        <v>3221</v>
      </c>
      <c r="C7780">
        <v>12641</v>
      </c>
      <c r="D7780" t="s">
        <v>428</v>
      </c>
      <c r="E7780" t="s">
        <v>429</v>
      </c>
      <c r="F7780">
        <v>100.32</v>
      </c>
      <c r="G7780">
        <v>230915</v>
      </c>
      <c r="H7780">
        <v>4600</v>
      </c>
      <c r="I7780" t="s">
        <v>105</v>
      </c>
      <c r="J7780">
        <v>124.4</v>
      </c>
      <c r="K7780">
        <v>24.08</v>
      </c>
      <c r="L7780">
        <v>69112</v>
      </c>
      <c r="M7780" t="s">
        <v>313</v>
      </c>
      <c r="N7780" t="str">
        <f>"2360816086  "</f>
        <v xml:space="preserve">2360816086  </v>
      </c>
      <c r="O7780">
        <v>230922</v>
      </c>
    </row>
    <row r="7781" spans="1:15" x14ac:dyDescent="0.25">
      <c r="A7781" t="s">
        <v>16</v>
      </c>
      <c r="B7781" t="s">
        <v>3221</v>
      </c>
      <c r="C7781">
        <v>12641</v>
      </c>
      <c r="D7781" t="s">
        <v>428</v>
      </c>
      <c r="E7781" t="s">
        <v>429</v>
      </c>
      <c r="F7781">
        <v>5.57</v>
      </c>
      <c r="G7781">
        <v>230915</v>
      </c>
      <c r="H7781">
        <v>4600</v>
      </c>
      <c r="I7781" t="s">
        <v>105</v>
      </c>
      <c r="J7781">
        <v>6.91</v>
      </c>
      <c r="K7781">
        <v>1.34</v>
      </c>
      <c r="L7781">
        <v>69810</v>
      </c>
      <c r="M7781" t="s">
        <v>314</v>
      </c>
      <c r="N7781" t="str">
        <f>"2360816086  "</f>
        <v xml:space="preserve">2360816086  </v>
      </c>
      <c r="O7781">
        <v>230922</v>
      </c>
    </row>
    <row r="7782" spans="1:15" x14ac:dyDescent="0.25">
      <c r="A7782" t="s">
        <v>16</v>
      </c>
      <c r="B7782" t="s">
        <v>3221</v>
      </c>
      <c r="C7782">
        <v>12641</v>
      </c>
      <c r="D7782" t="s">
        <v>428</v>
      </c>
      <c r="E7782" t="s">
        <v>429</v>
      </c>
      <c r="F7782">
        <v>5.57</v>
      </c>
      <c r="G7782">
        <v>230915</v>
      </c>
      <c r="H7782">
        <v>4600</v>
      </c>
      <c r="I7782" t="s">
        <v>105</v>
      </c>
      <c r="J7782">
        <v>6.91</v>
      </c>
      <c r="K7782">
        <v>1.34</v>
      </c>
      <c r="L7782">
        <v>69811</v>
      </c>
      <c r="M7782" t="s">
        <v>315</v>
      </c>
      <c r="N7782" t="str">
        <f>"2360816086  "</f>
        <v xml:space="preserve">2360816086  </v>
      </c>
      <c r="O7782">
        <v>230922</v>
      </c>
    </row>
    <row r="7783" spans="1:15" x14ac:dyDescent="0.25">
      <c r="A7783" t="s">
        <v>16</v>
      </c>
      <c r="B7783" t="s">
        <v>3221</v>
      </c>
      <c r="C7783">
        <v>12644</v>
      </c>
      <c r="D7783" t="s">
        <v>428</v>
      </c>
      <c r="E7783" t="s">
        <v>429</v>
      </c>
      <c r="F7783">
        <v>53.99</v>
      </c>
      <c r="G7783">
        <v>230915</v>
      </c>
      <c r="H7783">
        <v>4600</v>
      </c>
      <c r="I7783" t="s">
        <v>105</v>
      </c>
      <c r="J7783">
        <v>66.95</v>
      </c>
      <c r="K7783">
        <v>12.96</v>
      </c>
      <c r="L7783">
        <v>59113</v>
      </c>
      <c r="M7783" t="s">
        <v>235</v>
      </c>
      <c r="N7783" t="str">
        <f>"2360816078  "</f>
        <v xml:space="preserve">2360816078  </v>
      </c>
      <c r="O7783">
        <v>230922</v>
      </c>
    </row>
    <row r="7784" spans="1:15" x14ac:dyDescent="0.25">
      <c r="A7784" t="s">
        <v>16</v>
      </c>
      <c r="B7784" t="s">
        <v>3221</v>
      </c>
      <c r="C7784">
        <v>12645</v>
      </c>
      <c r="D7784" t="s">
        <v>428</v>
      </c>
      <c r="E7784" t="s">
        <v>429</v>
      </c>
      <c r="F7784">
        <v>63.62</v>
      </c>
      <c r="G7784">
        <v>230915</v>
      </c>
      <c r="H7784">
        <v>4600</v>
      </c>
      <c r="I7784" t="s">
        <v>105</v>
      </c>
      <c r="J7784">
        <v>78.89</v>
      </c>
      <c r="K7784">
        <v>15.27</v>
      </c>
      <c r="L7784">
        <v>49112</v>
      </c>
      <c r="M7784" t="s">
        <v>233</v>
      </c>
      <c r="N7784" t="str">
        <f>"2360816080  "</f>
        <v xml:space="preserve">2360816080  </v>
      </c>
      <c r="O7784">
        <v>230922</v>
      </c>
    </row>
    <row r="7785" spans="1:15" x14ac:dyDescent="0.25">
      <c r="A7785" t="s">
        <v>16</v>
      </c>
      <c r="B7785" t="s">
        <v>3221</v>
      </c>
      <c r="C7785">
        <v>12651</v>
      </c>
      <c r="D7785" t="s">
        <v>428</v>
      </c>
      <c r="E7785" t="s">
        <v>429</v>
      </c>
      <c r="F7785">
        <v>30</v>
      </c>
      <c r="G7785">
        <v>230915</v>
      </c>
      <c r="H7785">
        <v>4600</v>
      </c>
      <c r="I7785" t="s">
        <v>105</v>
      </c>
      <c r="J7785">
        <v>37.200000000000003</v>
      </c>
      <c r="K7785">
        <v>7.2</v>
      </c>
      <c r="L7785">
        <v>59114</v>
      </c>
      <c r="M7785" t="s">
        <v>556</v>
      </c>
      <c r="N7785" t="str">
        <f>"2360816076  "</f>
        <v xml:space="preserve">2360816076  </v>
      </c>
      <c r="O7785">
        <v>230922</v>
      </c>
    </row>
    <row r="7786" spans="1:15" x14ac:dyDescent="0.25">
      <c r="A7786" t="s">
        <v>16</v>
      </c>
      <c r="B7786" t="s">
        <v>3221</v>
      </c>
      <c r="C7786">
        <v>12775</v>
      </c>
      <c r="D7786" t="s">
        <v>428</v>
      </c>
      <c r="E7786" t="s">
        <v>429</v>
      </c>
      <c r="F7786">
        <v>7.43</v>
      </c>
      <c r="G7786">
        <v>230915</v>
      </c>
      <c r="H7786">
        <v>4600</v>
      </c>
      <c r="I7786" t="s">
        <v>105</v>
      </c>
      <c r="J7786">
        <v>9.2100000000000009</v>
      </c>
      <c r="K7786">
        <v>1.78</v>
      </c>
      <c r="L7786">
        <v>44251</v>
      </c>
      <c r="M7786" t="s">
        <v>156</v>
      </c>
      <c r="N7786" t="str">
        <f>"2360816082  "</f>
        <v xml:space="preserve">2360816082  </v>
      </c>
      <c r="O7786">
        <v>230926</v>
      </c>
    </row>
    <row r="7787" spans="1:15" x14ac:dyDescent="0.25">
      <c r="A7787" t="s">
        <v>16</v>
      </c>
      <c r="B7787" t="s">
        <v>3221</v>
      </c>
      <c r="C7787">
        <v>12775</v>
      </c>
      <c r="D7787" t="s">
        <v>428</v>
      </c>
      <c r="E7787" t="s">
        <v>429</v>
      </c>
      <c r="F7787">
        <v>43.55</v>
      </c>
      <c r="G7787">
        <v>230915</v>
      </c>
      <c r="H7787">
        <v>4600</v>
      </c>
      <c r="I7787" t="s">
        <v>105</v>
      </c>
      <c r="J7787">
        <v>54</v>
      </c>
      <c r="K7787">
        <v>10.45</v>
      </c>
      <c r="L7787">
        <v>44252</v>
      </c>
      <c r="M7787" t="s">
        <v>157</v>
      </c>
      <c r="N7787" t="str">
        <f>"2360816082  "</f>
        <v xml:space="preserve">2360816082  </v>
      </c>
      <c r="O7787">
        <v>230926</v>
      </c>
    </row>
    <row r="7788" spans="1:15" x14ac:dyDescent="0.25">
      <c r="A7788" t="s">
        <v>16</v>
      </c>
      <c r="B7788" t="s">
        <v>3221</v>
      </c>
      <c r="C7788">
        <v>12777</v>
      </c>
      <c r="D7788" t="s">
        <v>428</v>
      </c>
      <c r="E7788" t="s">
        <v>429</v>
      </c>
      <c r="F7788">
        <v>24.78</v>
      </c>
      <c r="G7788">
        <v>230915</v>
      </c>
      <c r="H7788">
        <v>4600</v>
      </c>
      <c r="I7788" t="s">
        <v>105</v>
      </c>
      <c r="J7788">
        <v>28.25</v>
      </c>
      <c r="K7788">
        <v>3.47</v>
      </c>
      <c r="L7788">
        <v>44253</v>
      </c>
      <c r="M7788" t="s">
        <v>1058</v>
      </c>
      <c r="N7788" t="str">
        <f>"2360816085  "</f>
        <v xml:space="preserve">2360816085  </v>
      </c>
      <c r="O7788">
        <v>230926</v>
      </c>
    </row>
    <row r="7789" spans="1:15" x14ac:dyDescent="0.25">
      <c r="A7789" t="s">
        <v>16</v>
      </c>
      <c r="B7789" t="s">
        <v>3221</v>
      </c>
      <c r="C7789">
        <v>13440</v>
      </c>
      <c r="D7789" t="s">
        <v>428</v>
      </c>
      <c r="E7789" t="s">
        <v>429</v>
      </c>
      <c r="F7789">
        <v>61.94</v>
      </c>
      <c r="G7789">
        <v>230930</v>
      </c>
      <c r="H7789">
        <v>4600</v>
      </c>
      <c r="I7789" t="s">
        <v>105</v>
      </c>
      <c r="J7789">
        <v>76.81</v>
      </c>
      <c r="K7789">
        <v>14.87</v>
      </c>
      <c r="L7789">
        <v>17915</v>
      </c>
      <c r="M7789" t="s">
        <v>572</v>
      </c>
      <c r="N7789" t="str">
        <f>"2360851993  "</f>
        <v xml:space="preserve">2360851993  </v>
      </c>
      <c r="O7789">
        <v>231010</v>
      </c>
    </row>
    <row r="7790" spans="1:15" x14ac:dyDescent="0.25">
      <c r="A7790" t="s">
        <v>16</v>
      </c>
      <c r="B7790" t="s">
        <v>3221</v>
      </c>
      <c r="C7790">
        <v>13561</v>
      </c>
      <c r="D7790" t="s">
        <v>428</v>
      </c>
      <c r="E7790" t="s">
        <v>429</v>
      </c>
      <c r="F7790">
        <v>132.1</v>
      </c>
      <c r="G7790">
        <v>230930</v>
      </c>
      <c r="H7790">
        <v>4600</v>
      </c>
      <c r="I7790" t="s">
        <v>105</v>
      </c>
      <c r="J7790">
        <v>163.80000000000001</v>
      </c>
      <c r="K7790">
        <v>31.7</v>
      </c>
      <c r="L7790">
        <v>59113</v>
      </c>
      <c r="M7790" t="s">
        <v>235</v>
      </c>
      <c r="N7790" t="str">
        <f>"2360851990  "</f>
        <v xml:space="preserve">2360851990  </v>
      </c>
      <c r="O7790">
        <v>231011</v>
      </c>
    </row>
    <row r="7791" spans="1:15" x14ac:dyDescent="0.25">
      <c r="A7791" t="s">
        <v>16</v>
      </c>
      <c r="B7791" t="s">
        <v>3221</v>
      </c>
      <c r="C7791">
        <v>13668</v>
      </c>
      <c r="D7791" t="s">
        <v>428</v>
      </c>
      <c r="E7791" t="s">
        <v>429</v>
      </c>
      <c r="F7791">
        <v>30</v>
      </c>
      <c r="G7791">
        <v>230930</v>
      </c>
      <c r="H7791">
        <v>4600</v>
      </c>
      <c r="I7791" t="s">
        <v>105</v>
      </c>
      <c r="J7791">
        <v>37.200000000000003</v>
      </c>
      <c r="K7791">
        <v>7.2</v>
      </c>
      <c r="L7791">
        <v>49112</v>
      </c>
      <c r="M7791" t="s">
        <v>233</v>
      </c>
      <c r="N7791" t="str">
        <f>"2360851992  "</f>
        <v xml:space="preserve">2360851992  </v>
      </c>
      <c r="O7791">
        <v>231012</v>
      </c>
    </row>
    <row r="7792" spans="1:15" x14ac:dyDescent="0.25">
      <c r="A7792" t="s">
        <v>16</v>
      </c>
      <c r="B7792" t="s">
        <v>3221</v>
      </c>
      <c r="C7792">
        <v>13759</v>
      </c>
      <c r="D7792" t="s">
        <v>428</v>
      </c>
      <c r="E7792" t="s">
        <v>429</v>
      </c>
      <c r="F7792">
        <v>132.59</v>
      </c>
      <c r="G7792">
        <v>230930</v>
      </c>
      <c r="H7792">
        <v>4600</v>
      </c>
      <c r="I7792" t="s">
        <v>105</v>
      </c>
      <c r="J7792">
        <v>164.41</v>
      </c>
      <c r="K7792">
        <v>31.82</v>
      </c>
      <c r="L7792">
        <v>69112</v>
      </c>
      <c r="M7792" t="s">
        <v>313</v>
      </c>
      <c r="N7792" t="str">
        <f>"2360851998  "</f>
        <v xml:space="preserve">2360851998  </v>
      </c>
      <c r="O7792">
        <v>231013</v>
      </c>
    </row>
    <row r="7793" spans="1:15" x14ac:dyDescent="0.25">
      <c r="A7793" t="s">
        <v>16</v>
      </c>
      <c r="B7793" t="s">
        <v>3221</v>
      </c>
      <c r="C7793">
        <v>13759</v>
      </c>
      <c r="D7793" t="s">
        <v>428</v>
      </c>
      <c r="E7793" t="s">
        <v>429</v>
      </c>
      <c r="F7793">
        <v>7.37</v>
      </c>
      <c r="G7793">
        <v>230930</v>
      </c>
      <c r="H7793">
        <v>4600</v>
      </c>
      <c r="I7793" t="s">
        <v>105</v>
      </c>
      <c r="J7793">
        <v>9.14</v>
      </c>
      <c r="K7793">
        <v>1.77</v>
      </c>
      <c r="L7793">
        <v>69810</v>
      </c>
      <c r="M7793" t="s">
        <v>314</v>
      </c>
      <c r="N7793" t="str">
        <f>"2360851998  "</f>
        <v xml:space="preserve">2360851998  </v>
      </c>
      <c r="O7793">
        <v>231013</v>
      </c>
    </row>
    <row r="7794" spans="1:15" x14ac:dyDescent="0.25">
      <c r="A7794" t="s">
        <v>16</v>
      </c>
      <c r="B7794" t="s">
        <v>3221</v>
      </c>
      <c r="C7794">
        <v>13759</v>
      </c>
      <c r="D7794" t="s">
        <v>428</v>
      </c>
      <c r="E7794" t="s">
        <v>429</v>
      </c>
      <c r="F7794">
        <v>7.36</v>
      </c>
      <c r="G7794">
        <v>230930</v>
      </c>
      <c r="H7794">
        <v>4600</v>
      </c>
      <c r="I7794" t="s">
        <v>105</v>
      </c>
      <c r="J7794">
        <v>9.1300000000000008</v>
      </c>
      <c r="K7794">
        <v>1.77</v>
      </c>
      <c r="L7794">
        <v>69811</v>
      </c>
      <c r="M7794" t="s">
        <v>315</v>
      </c>
      <c r="N7794" t="str">
        <f>"2360851998  "</f>
        <v xml:space="preserve">2360851998  </v>
      </c>
      <c r="O7794">
        <v>231013</v>
      </c>
    </row>
    <row r="7795" spans="1:15" x14ac:dyDescent="0.25">
      <c r="A7795" t="s">
        <v>16</v>
      </c>
      <c r="B7795" t="s">
        <v>3221</v>
      </c>
      <c r="C7795">
        <v>13946</v>
      </c>
      <c r="D7795" t="s">
        <v>428</v>
      </c>
      <c r="E7795" t="s">
        <v>429</v>
      </c>
      <c r="F7795">
        <v>71.7</v>
      </c>
      <c r="G7795">
        <v>230930</v>
      </c>
      <c r="H7795">
        <v>4600</v>
      </c>
      <c r="I7795" t="s">
        <v>105</v>
      </c>
      <c r="J7795">
        <v>88.91</v>
      </c>
      <c r="K7795">
        <v>17.21</v>
      </c>
      <c r="L7795">
        <v>69113</v>
      </c>
      <c r="M7795" t="s">
        <v>282</v>
      </c>
      <c r="N7795" t="str">
        <f>"2360851991  "</f>
        <v xml:space="preserve">2360851991  </v>
      </c>
      <c r="O7795">
        <v>231017</v>
      </c>
    </row>
    <row r="7796" spans="1:15" x14ac:dyDescent="0.25">
      <c r="A7796" t="s">
        <v>16</v>
      </c>
      <c r="B7796" t="s">
        <v>3221</v>
      </c>
      <c r="C7796">
        <v>13946</v>
      </c>
      <c r="D7796" t="s">
        <v>428</v>
      </c>
      <c r="E7796" t="s">
        <v>429</v>
      </c>
      <c r="F7796">
        <v>7.97</v>
      </c>
      <c r="G7796">
        <v>230930</v>
      </c>
      <c r="H7796">
        <v>4600</v>
      </c>
      <c r="I7796" t="s">
        <v>105</v>
      </c>
      <c r="J7796">
        <v>9.8800000000000008</v>
      </c>
      <c r="K7796">
        <v>1.91</v>
      </c>
      <c r="L7796">
        <v>69802</v>
      </c>
      <c r="M7796" t="s">
        <v>283</v>
      </c>
      <c r="N7796" t="str">
        <f>"2360851991  "</f>
        <v xml:space="preserve">2360851991  </v>
      </c>
      <c r="O7796">
        <v>231017</v>
      </c>
    </row>
    <row r="7797" spans="1:15" x14ac:dyDescent="0.25">
      <c r="A7797" t="s">
        <v>16</v>
      </c>
      <c r="B7797" t="s">
        <v>3221</v>
      </c>
      <c r="C7797">
        <v>13976</v>
      </c>
      <c r="D7797" t="s">
        <v>428</v>
      </c>
      <c r="E7797" t="s">
        <v>429</v>
      </c>
      <c r="F7797">
        <v>209.1</v>
      </c>
      <c r="G7797">
        <v>231015</v>
      </c>
      <c r="H7797">
        <v>4600</v>
      </c>
      <c r="I7797" t="s">
        <v>105</v>
      </c>
      <c r="J7797">
        <v>259.27999999999997</v>
      </c>
      <c r="K7797">
        <v>50.18</v>
      </c>
      <c r="L7797">
        <v>69112</v>
      </c>
      <c r="M7797" t="s">
        <v>313</v>
      </c>
      <c r="N7797" t="str">
        <f>"2360914859  "</f>
        <v xml:space="preserve">2360914859  </v>
      </c>
      <c r="O7797">
        <v>231017</v>
      </c>
    </row>
    <row r="7798" spans="1:15" x14ac:dyDescent="0.25">
      <c r="A7798" t="s">
        <v>16</v>
      </c>
      <c r="B7798" t="s">
        <v>3221</v>
      </c>
      <c r="C7798">
        <v>13976</v>
      </c>
      <c r="D7798" t="s">
        <v>428</v>
      </c>
      <c r="E7798" t="s">
        <v>429</v>
      </c>
      <c r="F7798">
        <v>11.62</v>
      </c>
      <c r="G7798">
        <v>231015</v>
      </c>
      <c r="H7798">
        <v>4600</v>
      </c>
      <c r="I7798" t="s">
        <v>105</v>
      </c>
      <c r="J7798">
        <v>14.41</v>
      </c>
      <c r="K7798">
        <v>2.79</v>
      </c>
      <c r="L7798">
        <v>69810</v>
      </c>
      <c r="M7798" t="s">
        <v>314</v>
      </c>
      <c r="N7798" t="str">
        <f>"2360914859  "</f>
        <v xml:space="preserve">2360914859  </v>
      </c>
      <c r="O7798">
        <v>231017</v>
      </c>
    </row>
    <row r="7799" spans="1:15" x14ac:dyDescent="0.25">
      <c r="A7799" t="s">
        <v>16</v>
      </c>
      <c r="B7799" t="s">
        <v>3221</v>
      </c>
      <c r="C7799">
        <v>13976</v>
      </c>
      <c r="D7799" t="s">
        <v>428</v>
      </c>
      <c r="E7799" t="s">
        <v>429</v>
      </c>
      <c r="F7799">
        <v>11.61</v>
      </c>
      <c r="G7799">
        <v>231015</v>
      </c>
      <c r="H7799">
        <v>4600</v>
      </c>
      <c r="I7799" t="s">
        <v>105</v>
      </c>
      <c r="J7799">
        <v>14.4</v>
      </c>
      <c r="K7799">
        <v>2.79</v>
      </c>
      <c r="L7799">
        <v>69811</v>
      </c>
      <c r="M7799" t="s">
        <v>315</v>
      </c>
      <c r="N7799" t="str">
        <f>"2360914859  "</f>
        <v xml:space="preserve">2360914859  </v>
      </c>
      <c r="O7799">
        <v>231017</v>
      </c>
    </row>
    <row r="7800" spans="1:15" x14ac:dyDescent="0.25">
      <c r="A7800" t="s">
        <v>16</v>
      </c>
      <c r="B7800" t="s">
        <v>3221</v>
      </c>
      <c r="C7800">
        <v>13978</v>
      </c>
      <c r="D7800" t="s">
        <v>428</v>
      </c>
      <c r="E7800" t="s">
        <v>429</v>
      </c>
      <c r="F7800">
        <v>364.99</v>
      </c>
      <c r="G7800">
        <v>231015</v>
      </c>
      <c r="H7800">
        <v>4600</v>
      </c>
      <c r="I7800" t="s">
        <v>105</v>
      </c>
      <c r="J7800">
        <v>452.59</v>
      </c>
      <c r="K7800">
        <v>87.6</v>
      </c>
      <c r="L7800">
        <v>69113</v>
      </c>
      <c r="M7800" t="s">
        <v>282</v>
      </c>
      <c r="N7800" t="str">
        <f>"2360914852  "</f>
        <v xml:space="preserve">2360914852  </v>
      </c>
      <c r="O7800">
        <v>231017</v>
      </c>
    </row>
    <row r="7801" spans="1:15" x14ac:dyDescent="0.25">
      <c r="A7801" t="s">
        <v>16</v>
      </c>
      <c r="B7801" t="s">
        <v>3221</v>
      </c>
      <c r="C7801">
        <v>13978</v>
      </c>
      <c r="D7801" t="s">
        <v>428</v>
      </c>
      <c r="E7801" t="s">
        <v>429</v>
      </c>
      <c r="F7801">
        <v>40.56</v>
      </c>
      <c r="G7801">
        <v>231015</v>
      </c>
      <c r="H7801">
        <v>4600</v>
      </c>
      <c r="I7801" t="s">
        <v>105</v>
      </c>
      <c r="J7801">
        <v>50.29</v>
      </c>
      <c r="K7801">
        <v>9.73</v>
      </c>
      <c r="L7801">
        <v>69802</v>
      </c>
      <c r="M7801" t="s">
        <v>283</v>
      </c>
      <c r="N7801" t="str">
        <f>"2360914852  "</f>
        <v xml:space="preserve">2360914852  </v>
      </c>
      <c r="O7801">
        <v>231017</v>
      </c>
    </row>
    <row r="7802" spans="1:15" x14ac:dyDescent="0.25">
      <c r="A7802" t="s">
        <v>16</v>
      </c>
      <c r="B7802" t="s">
        <v>3221</v>
      </c>
      <c r="C7802">
        <v>14136</v>
      </c>
      <c r="D7802" t="s">
        <v>428</v>
      </c>
      <c r="E7802" t="s">
        <v>429</v>
      </c>
      <c r="F7802">
        <v>15.93</v>
      </c>
      <c r="G7802">
        <v>231015</v>
      </c>
      <c r="H7802">
        <v>4600</v>
      </c>
      <c r="I7802" t="s">
        <v>105</v>
      </c>
      <c r="J7802">
        <v>19.75</v>
      </c>
      <c r="K7802">
        <v>3.82</v>
      </c>
      <c r="L7802">
        <v>17915</v>
      </c>
      <c r="M7802" t="s">
        <v>572</v>
      </c>
      <c r="N7802" t="str">
        <f>"2360914854  "</f>
        <v xml:space="preserve">2360914854  </v>
      </c>
      <c r="O7802">
        <v>231019</v>
      </c>
    </row>
    <row r="7803" spans="1:15" x14ac:dyDescent="0.25">
      <c r="A7803" t="s">
        <v>16</v>
      </c>
      <c r="B7803" t="s">
        <v>3221</v>
      </c>
      <c r="C7803">
        <v>14325</v>
      </c>
      <c r="D7803" t="s">
        <v>428</v>
      </c>
      <c r="E7803" t="s">
        <v>429</v>
      </c>
      <c r="F7803">
        <v>662.52</v>
      </c>
      <c r="G7803">
        <v>230930</v>
      </c>
      <c r="H7803">
        <v>4600</v>
      </c>
      <c r="I7803" t="s">
        <v>105</v>
      </c>
      <c r="J7803">
        <v>821.52</v>
      </c>
      <c r="K7803">
        <v>159</v>
      </c>
      <c r="L7803">
        <v>44251</v>
      </c>
      <c r="M7803" t="s">
        <v>156</v>
      </c>
      <c r="N7803" t="str">
        <f>"2360851994  "</f>
        <v xml:space="preserve">2360851994  </v>
      </c>
      <c r="O7803">
        <v>231027</v>
      </c>
    </row>
    <row r="7804" spans="1:15" x14ac:dyDescent="0.25">
      <c r="A7804" t="s">
        <v>16</v>
      </c>
      <c r="B7804" t="s">
        <v>3221</v>
      </c>
      <c r="C7804">
        <v>14325</v>
      </c>
      <c r="D7804" t="s">
        <v>428</v>
      </c>
      <c r="E7804" t="s">
        <v>429</v>
      </c>
      <c r="F7804">
        <v>115.27</v>
      </c>
      <c r="G7804">
        <v>230930</v>
      </c>
      <c r="H7804">
        <v>4600</v>
      </c>
      <c r="I7804" t="s">
        <v>105</v>
      </c>
      <c r="J7804">
        <v>142.93</v>
      </c>
      <c r="K7804">
        <v>27.66</v>
      </c>
      <c r="L7804">
        <v>44252</v>
      </c>
      <c r="M7804" t="s">
        <v>157</v>
      </c>
      <c r="N7804" t="str">
        <f>"2360851994  "</f>
        <v xml:space="preserve">2360851994  </v>
      </c>
      <c r="O7804">
        <v>231027</v>
      </c>
    </row>
    <row r="7805" spans="1:15" x14ac:dyDescent="0.25">
      <c r="A7805" t="s">
        <v>16</v>
      </c>
      <c r="B7805" t="s">
        <v>3221</v>
      </c>
      <c r="C7805">
        <v>14419</v>
      </c>
      <c r="D7805" t="s">
        <v>428</v>
      </c>
      <c r="E7805" t="s">
        <v>429</v>
      </c>
      <c r="F7805">
        <v>141.5</v>
      </c>
      <c r="G7805">
        <v>231015</v>
      </c>
      <c r="H7805">
        <v>4600</v>
      </c>
      <c r="I7805" t="s">
        <v>105</v>
      </c>
      <c r="J7805">
        <v>175.46</v>
      </c>
      <c r="K7805">
        <v>33.96</v>
      </c>
      <c r="L7805">
        <v>59114</v>
      </c>
      <c r="M7805" t="s">
        <v>556</v>
      </c>
      <c r="N7805" t="str">
        <f>"2360914849  "</f>
        <v xml:space="preserve">2360914849  </v>
      </c>
      <c r="O7805">
        <v>231030</v>
      </c>
    </row>
    <row r="7806" spans="1:15" x14ac:dyDescent="0.25">
      <c r="A7806" t="s">
        <v>16</v>
      </c>
      <c r="B7806" t="s">
        <v>3221</v>
      </c>
      <c r="C7806">
        <v>14423</v>
      </c>
      <c r="D7806" t="s">
        <v>428</v>
      </c>
      <c r="E7806" t="s">
        <v>429</v>
      </c>
      <c r="F7806">
        <v>10</v>
      </c>
      <c r="G7806">
        <v>231015</v>
      </c>
      <c r="H7806">
        <v>4600</v>
      </c>
      <c r="I7806" t="s">
        <v>105</v>
      </c>
      <c r="J7806">
        <v>12.4</v>
      </c>
      <c r="K7806">
        <v>2.4</v>
      </c>
      <c r="L7806">
        <v>59113</v>
      </c>
      <c r="M7806" t="s">
        <v>235</v>
      </c>
      <c r="N7806" t="str">
        <f>"2360914851  "</f>
        <v xml:space="preserve">2360914851  </v>
      </c>
      <c r="O7806">
        <v>231030</v>
      </c>
    </row>
    <row r="7807" spans="1:15" x14ac:dyDescent="0.25">
      <c r="A7807" t="s">
        <v>16</v>
      </c>
      <c r="B7807" t="s">
        <v>3221</v>
      </c>
      <c r="C7807">
        <v>14437</v>
      </c>
      <c r="D7807" t="s">
        <v>428</v>
      </c>
      <c r="E7807" t="s">
        <v>429</v>
      </c>
      <c r="F7807">
        <v>123.14</v>
      </c>
      <c r="G7807">
        <v>231015</v>
      </c>
      <c r="H7807">
        <v>4600</v>
      </c>
      <c r="I7807" t="s">
        <v>105</v>
      </c>
      <c r="J7807">
        <v>152.69</v>
      </c>
      <c r="K7807">
        <v>29.55</v>
      </c>
      <c r="L7807">
        <v>44253</v>
      </c>
      <c r="M7807" t="s">
        <v>1058</v>
      </c>
      <c r="N7807" t="str">
        <f>"2360914858  "</f>
        <v xml:space="preserve">2360914858  </v>
      </c>
      <c r="O7807">
        <v>231030</v>
      </c>
    </row>
    <row r="7808" spans="1:15" x14ac:dyDescent="0.25">
      <c r="A7808" t="s">
        <v>16</v>
      </c>
      <c r="B7808" t="s">
        <v>3221</v>
      </c>
      <c r="C7808">
        <v>14811</v>
      </c>
      <c r="D7808" t="s">
        <v>428</v>
      </c>
      <c r="E7808" t="s">
        <v>429</v>
      </c>
      <c r="F7808">
        <v>27.81</v>
      </c>
      <c r="G7808">
        <v>231015</v>
      </c>
      <c r="H7808">
        <v>4600</v>
      </c>
      <c r="I7808" t="s">
        <v>105</v>
      </c>
      <c r="J7808">
        <v>34.49</v>
      </c>
      <c r="K7808">
        <v>6.68</v>
      </c>
      <c r="L7808">
        <v>44251</v>
      </c>
      <c r="M7808" t="s">
        <v>156</v>
      </c>
      <c r="N7808" t="str">
        <f>"2360914855  "</f>
        <v xml:space="preserve">2360914855  </v>
      </c>
      <c r="O7808">
        <v>231106</v>
      </c>
    </row>
    <row r="7809" spans="1:15" x14ac:dyDescent="0.25">
      <c r="A7809" t="s">
        <v>16</v>
      </c>
      <c r="B7809" t="s">
        <v>3221</v>
      </c>
      <c r="C7809">
        <v>14811</v>
      </c>
      <c r="D7809" t="s">
        <v>428</v>
      </c>
      <c r="E7809" t="s">
        <v>429</v>
      </c>
      <c r="F7809">
        <v>40.65</v>
      </c>
      <c r="G7809">
        <v>231015</v>
      </c>
      <c r="H7809">
        <v>4600</v>
      </c>
      <c r="I7809" t="s">
        <v>105</v>
      </c>
      <c r="J7809">
        <v>50.4</v>
      </c>
      <c r="K7809">
        <v>9.75</v>
      </c>
      <c r="L7809">
        <v>44252</v>
      </c>
      <c r="M7809" t="s">
        <v>157</v>
      </c>
      <c r="N7809" t="str">
        <f>"2360914855  "</f>
        <v xml:space="preserve">2360914855  </v>
      </c>
      <c r="O7809">
        <v>231106</v>
      </c>
    </row>
    <row r="7810" spans="1:15" x14ac:dyDescent="0.25">
      <c r="A7810" t="s">
        <v>16</v>
      </c>
      <c r="B7810" t="s">
        <v>3221</v>
      </c>
      <c r="C7810">
        <v>14812</v>
      </c>
      <c r="D7810" t="s">
        <v>428</v>
      </c>
      <c r="E7810" t="s">
        <v>429</v>
      </c>
      <c r="F7810">
        <v>20</v>
      </c>
      <c r="G7810">
        <v>231015</v>
      </c>
      <c r="H7810">
        <v>4600</v>
      </c>
      <c r="I7810" t="s">
        <v>105</v>
      </c>
      <c r="J7810">
        <v>24.8</v>
      </c>
      <c r="K7810">
        <v>4.8</v>
      </c>
      <c r="L7810">
        <v>49112</v>
      </c>
      <c r="M7810" t="s">
        <v>233</v>
      </c>
      <c r="N7810" t="str">
        <f>"2360914853  "</f>
        <v xml:space="preserve">2360914853  </v>
      </c>
      <c r="O7810">
        <v>231106</v>
      </c>
    </row>
    <row r="7811" spans="1:15" x14ac:dyDescent="0.25">
      <c r="A7811" t="s">
        <v>16</v>
      </c>
      <c r="B7811" t="s">
        <v>3221</v>
      </c>
      <c r="C7811">
        <v>15106</v>
      </c>
      <c r="D7811" t="s">
        <v>428</v>
      </c>
      <c r="E7811" t="s">
        <v>429</v>
      </c>
      <c r="F7811">
        <v>10</v>
      </c>
      <c r="G7811">
        <v>231031</v>
      </c>
      <c r="H7811">
        <v>4600</v>
      </c>
      <c r="I7811" t="s">
        <v>105</v>
      </c>
      <c r="J7811">
        <v>12.4</v>
      </c>
      <c r="K7811">
        <v>2.4</v>
      </c>
      <c r="L7811">
        <v>44253</v>
      </c>
      <c r="M7811" t="s">
        <v>1058</v>
      </c>
      <c r="N7811" t="str">
        <f>"2360950364  "</f>
        <v xml:space="preserve">2360950364  </v>
      </c>
      <c r="O7811">
        <v>231108</v>
      </c>
    </row>
    <row r="7812" spans="1:15" x14ac:dyDescent="0.25">
      <c r="A7812" t="s">
        <v>16</v>
      </c>
      <c r="B7812" t="s">
        <v>3221</v>
      </c>
      <c r="C7812">
        <v>15143</v>
      </c>
      <c r="D7812" t="s">
        <v>428</v>
      </c>
      <c r="E7812" t="s">
        <v>429</v>
      </c>
      <c r="F7812">
        <v>176.88</v>
      </c>
      <c r="G7812">
        <v>231031</v>
      </c>
      <c r="H7812">
        <v>4600</v>
      </c>
      <c r="I7812" t="s">
        <v>105</v>
      </c>
      <c r="J7812">
        <v>219.33</v>
      </c>
      <c r="K7812">
        <v>42.45</v>
      </c>
      <c r="L7812">
        <v>66722</v>
      </c>
      <c r="M7812" t="s">
        <v>518</v>
      </c>
      <c r="N7812" t="str">
        <f>"2360950358  "</f>
        <v xml:space="preserve">2360950358  </v>
      </c>
      <c r="O7812">
        <v>231109</v>
      </c>
    </row>
    <row r="7813" spans="1:15" x14ac:dyDescent="0.25">
      <c r="A7813" t="s">
        <v>16</v>
      </c>
      <c r="B7813" t="s">
        <v>3221</v>
      </c>
      <c r="C7813">
        <v>15143</v>
      </c>
      <c r="D7813" t="s">
        <v>428</v>
      </c>
      <c r="E7813" t="s">
        <v>429</v>
      </c>
      <c r="F7813">
        <v>23.34</v>
      </c>
      <c r="G7813">
        <v>231031</v>
      </c>
      <c r="H7813">
        <v>4600</v>
      </c>
      <c r="I7813" t="s">
        <v>105</v>
      </c>
      <c r="J7813">
        <v>28.94</v>
      </c>
      <c r="K7813">
        <v>5.6</v>
      </c>
      <c r="L7813">
        <v>69113</v>
      </c>
      <c r="M7813" t="s">
        <v>282</v>
      </c>
      <c r="N7813" t="str">
        <f>"2360950358  "</f>
        <v xml:space="preserve">2360950358  </v>
      </c>
      <c r="O7813">
        <v>231109</v>
      </c>
    </row>
    <row r="7814" spans="1:15" x14ac:dyDescent="0.25">
      <c r="A7814" t="s">
        <v>16</v>
      </c>
      <c r="B7814" t="s">
        <v>3221</v>
      </c>
      <c r="C7814">
        <v>15143</v>
      </c>
      <c r="D7814" t="s">
        <v>428</v>
      </c>
      <c r="E7814" t="s">
        <v>429</v>
      </c>
      <c r="F7814">
        <v>2.59</v>
      </c>
      <c r="G7814">
        <v>231031</v>
      </c>
      <c r="H7814">
        <v>4600</v>
      </c>
      <c r="I7814" t="s">
        <v>105</v>
      </c>
      <c r="J7814">
        <v>3.21</v>
      </c>
      <c r="K7814">
        <v>0.62</v>
      </c>
      <c r="L7814">
        <v>69802</v>
      </c>
      <c r="M7814" t="s">
        <v>283</v>
      </c>
      <c r="N7814" t="str">
        <f>"2360950358  "</f>
        <v xml:space="preserve">2360950358  </v>
      </c>
      <c r="O7814">
        <v>231109</v>
      </c>
    </row>
    <row r="7815" spans="1:15" x14ac:dyDescent="0.25">
      <c r="A7815" t="s">
        <v>16</v>
      </c>
      <c r="B7815" t="s">
        <v>3221</v>
      </c>
      <c r="C7815">
        <v>15151</v>
      </c>
      <c r="D7815" t="s">
        <v>428</v>
      </c>
      <c r="E7815" t="s">
        <v>429</v>
      </c>
      <c r="F7815">
        <v>6.18</v>
      </c>
      <c r="G7815">
        <v>231031</v>
      </c>
      <c r="H7815">
        <v>4600</v>
      </c>
      <c r="I7815" t="s">
        <v>105</v>
      </c>
      <c r="J7815">
        <v>7.66</v>
      </c>
      <c r="K7815">
        <v>1.48</v>
      </c>
      <c r="L7815">
        <v>59114</v>
      </c>
      <c r="M7815" t="s">
        <v>556</v>
      </c>
      <c r="N7815" t="str">
        <f>"2360950355  "</f>
        <v xml:space="preserve">2360950355  </v>
      </c>
      <c r="O7815">
        <v>231109</v>
      </c>
    </row>
    <row r="7816" spans="1:15" x14ac:dyDescent="0.25">
      <c r="A7816" t="s">
        <v>16</v>
      </c>
      <c r="B7816" t="s">
        <v>3221</v>
      </c>
      <c r="C7816">
        <v>15158</v>
      </c>
      <c r="D7816" t="s">
        <v>428</v>
      </c>
      <c r="E7816" t="s">
        <v>429</v>
      </c>
      <c r="F7816">
        <v>19.09</v>
      </c>
      <c r="G7816">
        <v>231031</v>
      </c>
      <c r="H7816">
        <v>4600</v>
      </c>
      <c r="I7816" t="s">
        <v>105</v>
      </c>
      <c r="J7816">
        <v>23.67</v>
      </c>
      <c r="K7816">
        <v>4.58</v>
      </c>
      <c r="L7816">
        <v>59113</v>
      </c>
      <c r="M7816" t="s">
        <v>235</v>
      </c>
      <c r="N7816" t="str">
        <f>"2360950357  "</f>
        <v xml:space="preserve">2360950357  </v>
      </c>
      <c r="O7816">
        <v>231109</v>
      </c>
    </row>
    <row r="7817" spans="1:15" x14ac:dyDescent="0.25">
      <c r="A7817" t="s">
        <v>16</v>
      </c>
      <c r="B7817" t="s">
        <v>3221</v>
      </c>
      <c r="C7817">
        <v>15159</v>
      </c>
      <c r="D7817" t="s">
        <v>428</v>
      </c>
      <c r="E7817" t="s">
        <v>429</v>
      </c>
      <c r="F7817">
        <v>179.59</v>
      </c>
      <c r="G7817">
        <v>231031</v>
      </c>
      <c r="H7817">
        <v>4600</v>
      </c>
      <c r="I7817" t="s">
        <v>105</v>
      </c>
      <c r="J7817">
        <v>222.69</v>
      </c>
      <c r="K7817">
        <v>43.1</v>
      </c>
      <c r="L7817">
        <v>69112</v>
      </c>
      <c r="M7817" t="s">
        <v>313</v>
      </c>
      <c r="N7817" t="str">
        <f>"2360950365  "</f>
        <v xml:space="preserve">2360950365  </v>
      </c>
      <c r="O7817">
        <v>231109</v>
      </c>
    </row>
    <row r="7818" spans="1:15" x14ac:dyDescent="0.25">
      <c r="A7818" t="s">
        <v>16</v>
      </c>
      <c r="B7818" t="s">
        <v>3221</v>
      </c>
      <c r="C7818">
        <v>15159</v>
      </c>
      <c r="D7818" t="s">
        <v>428</v>
      </c>
      <c r="E7818" t="s">
        <v>429</v>
      </c>
      <c r="F7818">
        <v>9.98</v>
      </c>
      <c r="G7818">
        <v>231031</v>
      </c>
      <c r="H7818">
        <v>4600</v>
      </c>
      <c r="I7818" t="s">
        <v>105</v>
      </c>
      <c r="J7818">
        <v>12.37</v>
      </c>
      <c r="K7818">
        <v>2.39</v>
      </c>
      <c r="L7818">
        <v>69810</v>
      </c>
      <c r="M7818" t="s">
        <v>314</v>
      </c>
      <c r="N7818" t="str">
        <f>"2360950365  "</f>
        <v xml:space="preserve">2360950365  </v>
      </c>
      <c r="O7818">
        <v>231109</v>
      </c>
    </row>
    <row r="7819" spans="1:15" x14ac:dyDescent="0.25">
      <c r="A7819" t="s">
        <v>16</v>
      </c>
      <c r="B7819" t="s">
        <v>3221</v>
      </c>
      <c r="C7819">
        <v>15159</v>
      </c>
      <c r="D7819" t="s">
        <v>428</v>
      </c>
      <c r="E7819" t="s">
        <v>429</v>
      </c>
      <c r="F7819">
        <v>9.98</v>
      </c>
      <c r="G7819">
        <v>231031</v>
      </c>
      <c r="H7819">
        <v>4600</v>
      </c>
      <c r="I7819" t="s">
        <v>105</v>
      </c>
      <c r="J7819">
        <v>12.37</v>
      </c>
      <c r="K7819">
        <v>2.39</v>
      </c>
      <c r="L7819">
        <v>69811</v>
      </c>
      <c r="M7819" t="s">
        <v>315</v>
      </c>
      <c r="N7819" t="str">
        <f>"2360950365  "</f>
        <v xml:space="preserve">2360950365  </v>
      </c>
      <c r="O7819">
        <v>231109</v>
      </c>
    </row>
    <row r="7820" spans="1:15" x14ac:dyDescent="0.25">
      <c r="A7820" t="s">
        <v>16</v>
      </c>
      <c r="B7820" t="s">
        <v>3221</v>
      </c>
      <c r="C7820">
        <v>15163</v>
      </c>
      <c r="D7820" t="s">
        <v>428</v>
      </c>
      <c r="E7820" t="s">
        <v>429</v>
      </c>
      <c r="F7820">
        <v>27.81</v>
      </c>
      <c r="G7820">
        <v>231031</v>
      </c>
      <c r="H7820">
        <v>4600</v>
      </c>
      <c r="I7820" t="s">
        <v>105</v>
      </c>
      <c r="J7820">
        <v>34.49</v>
      </c>
      <c r="K7820">
        <v>6.68</v>
      </c>
      <c r="L7820">
        <v>44251</v>
      </c>
      <c r="M7820" t="s">
        <v>156</v>
      </c>
      <c r="N7820" t="str">
        <f>"2360950361  "</f>
        <v xml:space="preserve">2360950361  </v>
      </c>
      <c r="O7820">
        <v>231109</v>
      </c>
    </row>
    <row r="7821" spans="1:15" x14ac:dyDescent="0.25">
      <c r="A7821" t="s">
        <v>16</v>
      </c>
      <c r="B7821" t="s">
        <v>3221</v>
      </c>
      <c r="C7821">
        <v>15163</v>
      </c>
      <c r="D7821" t="s">
        <v>428</v>
      </c>
      <c r="E7821" t="s">
        <v>429</v>
      </c>
      <c r="F7821">
        <v>40.65</v>
      </c>
      <c r="G7821">
        <v>231031</v>
      </c>
      <c r="H7821">
        <v>4600</v>
      </c>
      <c r="I7821" t="s">
        <v>105</v>
      </c>
      <c r="J7821">
        <v>50.4</v>
      </c>
      <c r="K7821">
        <v>9.75</v>
      </c>
      <c r="L7821">
        <v>44252</v>
      </c>
      <c r="M7821" t="s">
        <v>157</v>
      </c>
      <c r="N7821" t="str">
        <f>"2360950361  "</f>
        <v xml:space="preserve">2360950361  </v>
      </c>
      <c r="O7821">
        <v>231109</v>
      </c>
    </row>
    <row r="7822" spans="1:15" x14ac:dyDescent="0.25">
      <c r="A7822" t="s">
        <v>16</v>
      </c>
      <c r="B7822" t="s">
        <v>3221</v>
      </c>
      <c r="C7822">
        <v>15704</v>
      </c>
      <c r="D7822" t="s">
        <v>428</v>
      </c>
      <c r="E7822" t="s">
        <v>429</v>
      </c>
      <c r="F7822">
        <v>53.81</v>
      </c>
      <c r="G7822">
        <v>231031</v>
      </c>
      <c r="H7822">
        <v>4600</v>
      </c>
      <c r="I7822" t="s">
        <v>105</v>
      </c>
      <c r="J7822">
        <v>66.72</v>
      </c>
      <c r="K7822">
        <v>12.91</v>
      </c>
      <c r="L7822">
        <v>49112</v>
      </c>
      <c r="M7822" t="s">
        <v>233</v>
      </c>
      <c r="N7822" t="str">
        <f>"2360950359  "</f>
        <v xml:space="preserve">2360950359  </v>
      </c>
      <c r="O7822">
        <v>231116</v>
      </c>
    </row>
    <row r="7823" spans="1:15" x14ac:dyDescent="0.25">
      <c r="A7823" t="s">
        <v>16</v>
      </c>
      <c r="B7823" t="s">
        <v>3221</v>
      </c>
      <c r="C7823">
        <v>16018</v>
      </c>
      <c r="D7823" t="s">
        <v>428</v>
      </c>
      <c r="E7823" t="s">
        <v>429</v>
      </c>
      <c r="F7823">
        <v>176.73</v>
      </c>
      <c r="G7823">
        <v>231115</v>
      </c>
      <c r="H7823">
        <v>4600</v>
      </c>
      <c r="I7823" t="s">
        <v>105</v>
      </c>
      <c r="J7823">
        <v>219.15</v>
      </c>
      <c r="K7823">
        <v>42.42</v>
      </c>
      <c r="L7823">
        <v>69112</v>
      </c>
      <c r="M7823" t="s">
        <v>313</v>
      </c>
      <c r="N7823" t="str">
        <f>"2361016588  "</f>
        <v xml:space="preserve">2361016588  </v>
      </c>
      <c r="O7823">
        <v>231122</v>
      </c>
    </row>
    <row r="7824" spans="1:15" x14ac:dyDescent="0.25">
      <c r="A7824" t="s">
        <v>16</v>
      </c>
      <c r="B7824" t="s">
        <v>3221</v>
      </c>
      <c r="C7824">
        <v>16018</v>
      </c>
      <c r="D7824" t="s">
        <v>428</v>
      </c>
      <c r="E7824" t="s">
        <v>429</v>
      </c>
      <c r="F7824">
        <v>9.82</v>
      </c>
      <c r="G7824">
        <v>231115</v>
      </c>
      <c r="H7824">
        <v>4600</v>
      </c>
      <c r="I7824" t="s">
        <v>105</v>
      </c>
      <c r="J7824">
        <v>12.18</v>
      </c>
      <c r="K7824">
        <v>2.36</v>
      </c>
      <c r="L7824">
        <v>69810</v>
      </c>
      <c r="M7824" t="s">
        <v>314</v>
      </c>
      <c r="N7824" t="str">
        <f>"2361016588  "</f>
        <v xml:space="preserve">2361016588  </v>
      </c>
      <c r="O7824">
        <v>231122</v>
      </c>
    </row>
    <row r="7825" spans="1:15" x14ac:dyDescent="0.25">
      <c r="A7825" t="s">
        <v>16</v>
      </c>
      <c r="B7825" t="s">
        <v>3221</v>
      </c>
      <c r="C7825">
        <v>16018</v>
      </c>
      <c r="D7825" t="s">
        <v>428</v>
      </c>
      <c r="E7825" t="s">
        <v>429</v>
      </c>
      <c r="F7825">
        <v>9.81</v>
      </c>
      <c r="G7825">
        <v>231115</v>
      </c>
      <c r="H7825">
        <v>4600</v>
      </c>
      <c r="I7825" t="s">
        <v>105</v>
      </c>
      <c r="J7825">
        <v>12.17</v>
      </c>
      <c r="K7825">
        <v>2.36</v>
      </c>
      <c r="L7825">
        <v>69811</v>
      </c>
      <c r="M7825" t="s">
        <v>315</v>
      </c>
      <c r="N7825" t="str">
        <f>"2361016588  "</f>
        <v xml:space="preserve">2361016588  </v>
      </c>
      <c r="O7825">
        <v>231122</v>
      </c>
    </row>
    <row r="7826" spans="1:15" x14ac:dyDescent="0.25">
      <c r="A7826" t="s">
        <v>16</v>
      </c>
      <c r="B7826" t="s">
        <v>3221</v>
      </c>
      <c r="C7826">
        <v>16024</v>
      </c>
      <c r="D7826" t="s">
        <v>428</v>
      </c>
      <c r="E7826" t="s">
        <v>429</v>
      </c>
      <c r="F7826">
        <v>21.74</v>
      </c>
      <c r="G7826">
        <v>231115</v>
      </c>
      <c r="H7826">
        <v>4600</v>
      </c>
      <c r="I7826" t="s">
        <v>105</v>
      </c>
      <c r="J7826">
        <v>26.96</v>
      </c>
      <c r="K7826">
        <v>5.22</v>
      </c>
      <c r="L7826">
        <v>66722</v>
      </c>
      <c r="M7826" t="s">
        <v>518</v>
      </c>
      <c r="N7826" t="str">
        <f>"2361016581  "</f>
        <v xml:space="preserve">2361016581  </v>
      </c>
      <c r="O7826">
        <v>231122</v>
      </c>
    </row>
    <row r="7827" spans="1:15" x14ac:dyDescent="0.25">
      <c r="A7827" t="s">
        <v>16</v>
      </c>
      <c r="B7827" t="s">
        <v>3221</v>
      </c>
      <c r="C7827">
        <v>16024</v>
      </c>
      <c r="D7827" t="s">
        <v>428</v>
      </c>
      <c r="E7827" t="s">
        <v>429</v>
      </c>
      <c r="F7827">
        <v>215.85</v>
      </c>
      <c r="G7827">
        <v>231115</v>
      </c>
      <c r="H7827">
        <v>4600</v>
      </c>
      <c r="I7827" t="s">
        <v>105</v>
      </c>
      <c r="J7827">
        <v>267.66000000000003</v>
      </c>
      <c r="K7827">
        <v>51.81</v>
      </c>
      <c r="L7827">
        <v>69113</v>
      </c>
      <c r="M7827" t="s">
        <v>282</v>
      </c>
      <c r="N7827" t="str">
        <f>"2361016581  "</f>
        <v xml:space="preserve">2361016581  </v>
      </c>
      <c r="O7827">
        <v>231122</v>
      </c>
    </row>
    <row r="7828" spans="1:15" x14ac:dyDescent="0.25">
      <c r="A7828" t="s">
        <v>16</v>
      </c>
      <c r="B7828" t="s">
        <v>3221</v>
      </c>
      <c r="C7828">
        <v>16024</v>
      </c>
      <c r="D7828" t="s">
        <v>428</v>
      </c>
      <c r="E7828" t="s">
        <v>429</v>
      </c>
      <c r="F7828">
        <v>23.98</v>
      </c>
      <c r="G7828">
        <v>231115</v>
      </c>
      <c r="H7828">
        <v>4600</v>
      </c>
      <c r="I7828" t="s">
        <v>105</v>
      </c>
      <c r="J7828">
        <v>29.74</v>
      </c>
      <c r="K7828">
        <v>5.76</v>
      </c>
      <c r="L7828">
        <v>69802</v>
      </c>
      <c r="M7828" t="s">
        <v>283</v>
      </c>
      <c r="N7828" t="str">
        <f>"2361016581  "</f>
        <v xml:space="preserve">2361016581  </v>
      </c>
      <c r="O7828">
        <v>231122</v>
      </c>
    </row>
    <row r="7829" spans="1:15" x14ac:dyDescent="0.25">
      <c r="A7829" t="s">
        <v>16</v>
      </c>
      <c r="B7829" t="s">
        <v>3221</v>
      </c>
      <c r="C7829">
        <v>16025</v>
      </c>
      <c r="D7829" t="s">
        <v>428</v>
      </c>
      <c r="E7829" t="s">
        <v>429</v>
      </c>
      <c r="F7829">
        <v>79.06</v>
      </c>
      <c r="G7829">
        <v>231115</v>
      </c>
      <c r="H7829">
        <v>4600</v>
      </c>
      <c r="I7829" t="s">
        <v>105</v>
      </c>
      <c r="J7829">
        <v>98.03</v>
      </c>
      <c r="K7829">
        <v>18.97</v>
      </c>
      <c r="L7829">
        <v>44252</v>
      </c>
      <c r="M7829" t="s">
        <v>157</v>
      </c>
      <c r="N7829" t="str">
        <f>"2361016584  "</f>
        <v xml:space="preserve">2361016584  </v>
      </c>
      <c r="O7829">
        <v>231122</v>
      </c>
    </row>
    <row r="7830" spans="1:15" x14ac:dyDescent="0.25">
      <c r="A7830" t="s">
        <v>16</v>
      </c>
      <c r="B7830" t="s">
        <v>3221</v>
      </c>
      <c r="C7830">
        <v>16269</v>
      </c>
      <c r="D7830" t="s">
        <v>428</v>
      </c>
      <c r="E7830" t="s">
        <v>429</v>
      </c>
      <c r="F7830">
        <v>174.17</v>
      </c>
      <c r="G7830">
        <v>231115</v>
      </c>
      <c r="H7830">
        <v>4600</v>
      </c>
      <c r="I7830" t="s">
        <v>105</v>
      </c>
      <c r="J7830">
        <v>215.97</v>
      </c>
      <c r="K7830">
        <v>41.8</v>
      </c>
      <c r="L7830">
        <v>49112</v>
      </c>
      <c r="M7830" t="s">
        <v>233</v>
      </c>
      <c r="N7830" t="str">
        <f>"2361016582  "</f>
        <v xml:space="preserve">2361016582  </v>
      </c>
      <c r="O7830">
        <v>231127</v>
      </c>
    </row>
    <row r="7831" spans="1:15" x14ac:dyDescent="0.25">
      <c r="A7831" t="s">
        <v>16</v>
      </c>
      <c r="B7831" t="s">
        <v>3221</v>
      </c>
      <c r="C7831">
        <v>16276</v>
      </c>
      <c r="D7831" t="s">
        <v>428</v>
      </c>
      <c r="E7831" t="s">
        <v>429</v>
      </c>
      <c r="F7831">
        <v>43.21</v>
      </c>
      <c r="G7831">
        <v>231115</v>
      </c>
      <c r="H7831">
        <v>4600</v>
      </c>
      <c r="I7831" t="s">
        <v>105</v>
      </c>
      <c r="J7831">
        <v>53.58</v>
      </c>
      <c r="K7831">
        <v>10.37</v>
      </c>
      <c r="L7831">
        <v>59113</v>
      </c>
      <c r="M7831" t="s">
        <v>235</v>
      </c>
      <c r="N7831" t="str">
        <f>"2361016580  "</f>
        <v xml:space="preserve">2361016580  </v>
      </c>
      <c r="O7831">
        <v>231127</v>
      </c>
    </row>
    <row r="7832" spans="1:15" x14ac:dyDescent="0.25">
      <c r="A7832" t="s">
        <v>16</v>
      </c>
      <c r="B7832" t="s">
        <v>3221</v>
      </c>
      <c r="C7832">
        <v>16278</v>
      </c>
      <c r="D7832" t="s">
        <v>428</v>
      </c>
      <c r="E7832" t="s">
        <v>429</v>
      </c>
      <c r="F7832">
        <v>87.49</v>
      </c>
      <c r="G7832">
        <v>231115</v>
      </c>
      <c r="H7832">
        <v>4600</v>
      </c>
      <c r="I7832" t="s">
        <v>105</v>
      </c>
      <c r="J7832">
        <v>108.49</v>
      </c>
      <c r="K7832">
        <v>21</v>
      </c>
      <c r="L7832">
        <v>59114</v>
      </c>
      <c r="M7832" t="s">
        <v>556</v>
      </c>
      <c r="N7832" t="str">
        <f>"2361016578  "</f>
        <v xml:space="preserve">2361016578  </v>
      </c>
      <c r="O7832">
        <v>231127</v>
      </c>
    </row>
    <row r="7833" spans="1:15" x14ac:dyDescent="0.25">
      <c r="A7833" t="s">
        <v>16</v>
      </c>
      <c r="B7833" t="s">
        <v>3221</v>
      </c>
      <c r="C7833">
        <v>16561</v>
      </c>
      <c r="D7833" t="s">
        <v>428</v>
      </c>
      <c r="E7833" t="s">
        <v>429</v>
      </c>
      <c r="F7833">
        <v>84.05</v>
      </c>
      <c r="G7833">
        <v>231130</v>
      </c>
      <c r="H7833">
        <v>4600</v>
      </c>
      <c r="I7833" t="s">
        <v>105</v>
      </c>
      <c r="J7833">
        <v>104.22</v>
      </c>
      <c r="K7833">
        <v>20.170000000000002</v>
      </c>
      <c r="L7833">
        <v>59113</v>
      </c>
      <c r="M7833" t="s">
        <v>235</v>
      </c>
      <c r="N7833" t="str">
        <f>"2361053321  "</f>
        <v xml:space="preserve">2361053321  </v>
      </c>
      <c r="O7833">
        <v>231201</v>
      </c>
    </row>
    <row r="7834" spans="1:15" x14ac:dyDescent="0.25">
      <c r="A7834" t="s">
        <v>16</v>
      </c>
      <c r="B7834" t="s">
        <v>3221</v>
      </c>
      <c r="C7834">
        <v>16856</v>
      </c>
      <c r="D7834" t="s">
        <v>428</v>
      </c>
      <c r="E7834" t="s">
        <v>429</v>
      </c>
      <c r="F7834">
        <v>29.74</v>
      </c>
      <c r="G7834">
        <v>231130</v>
      </c>
      <c r="H7834">
        <v>4600</v>
      </c>
      <c r="I7834" t="s">
        <v>105</v>
      </c>
      <c r="J7834">
        <v>36.880000000000003</v>
      </c>
      <c r="K7834">
        <v>7.14</v>
      </c>
      <c r="L7834">
        <v>49112</v>
      </c>
      <c r="M7834" t="s">
        <v>233</v>
      </c>
      <c r="N7834" t="str">
        <f>"2361053323  "</f>
        <v xml:space="preserve">2361053323  </v>
      </c>
      <c r="O7834">
        <v>231211</v>
      </c>
    </row>
    <row r="7835" spans="1:15" x14ac:dyDescent="0.25">
      <c r="A7835" t="s">
        <v>16</v>
      </c>
      <c r="B7835" t="s">
        <v>3221</v>
      </c>
      <c r="C7835">
        <v>16926</v>
      </c>
      <c r="D7835" t="s">
        <v>428</v>
      </c>
      <c r="E7835" t="s">
        <v>429</v>
      </c>
      <c r="F7835">
        <v>6.3</v>
      </c>
      <c r="G7835">
        <v>231130</v>
      </c>
      <c r="H7835">
        <v>4600</v>
      </c>
      <c r="I7835" t="s">
        <v>105</v>
      </c>
      <c r="J7835">
        <v>7.81</v>
      </c>
      <c r="K7835">
        <v>1.51</v>
      </c>
      <c r="L7835">
        <v>44252</v>
      </c>
      <c r="M7835" t="s">
        <v>157</v>
      </c>
      <c r="N7835" t="str">
        <f>"2361053325  "</f>
        <v xml:space="preserve">2361053325  </v>
      </c>
      <c r="O7835">
        <v>231211</v>
      </c>
    </row>
    <row r="7836" spans="1:15" x14ac:dyDescent="0.25">
      <c r="A7836" t="s">
        <v>16</v>
      </c>
      <c r="B7836" t="s">
        <v>3221</v>
      </c>
      <c r="C7836">
        <v>16940</v>
      </c>
      <c r="D7836" t="s">
        <v>428</v>
      </c>
      <c r="E7836" t="s">
        <v>429</v>
      </c>
      <c r="F7836">
        <v>361.02</v>
      </c>
      <c r="G7836">
        <v>231130</v>
      </c>
      <c r="H7836">
        <v>4600</v>
      </c>
      <c r="I7836" t="s">
        <v>105</v>
      </c>
      <c r="J7836">
        <v>447.66</v>
      </c>
      <c r="K7836">
        <v>86.64</v>
      </c>
      <c r="L7836">
        <v>69112</v>
      </c>
      <c r="M7836" t="s">
        <v>313</v>
      </c>
      <c r="N7836" t="str">
        <f>"2361053329  "</f>
        <v xml:space="preserve">2361053329  </v>
      </c>
      <c r="O7836">
        <v>231211</v>
      </c>
    </row>
    <row r="7837" spans="1:15" x14ac:dyDescent="0.25">
      <c r="A7837" t="s">
        <v>16</v>
      </c>
      <c r="B7837" t="s">
        <v>3221</v>
      </c>
      <c r="C7837">
        <v>16940</v>
      </c>
      <c r="D7837" t="s">
        <v>428</v>
      </c>
      <c r="E7837" t="s">
        <v>429</v>
      </c>
      <c r="F7837">
        <v>20.059999999999999</v>
      </c>
      <c r="G7837">
        <v>231130</v>
      </c>
      <c r="H7837">
        <v>4600</v>
      </c>
      <c r="I7837" t="s">
        <v>105</v>
      </c>
      <c r="J7837">
        <v>24.87</v>
      </c>
      <c r="K7837">
        <v>4.8099999999999996</v>
      </c>
      <c r="L7837">
        <v>69810</v>
      </c>
      <c r="M7837" t="s">
        <v>314</v>
      </c>
      <c r="N7837" t="str">
        <f>"2361053329  "</f>
        <v xml:space="preserve">2361053329  </v>
      </c>
      <c r="O7837">
        <v>231211</v>
      </c>
    </row>
    <row r="7838" spans="1:15" x14ac:dyDescent="0.25">
      <c r="A7838" t="s">
        <v>16</v>
      </c>
      <c r="B7838" t="s">
        <v>3221</v>
      </c>
      <c r="C7838">
        <v>16940</v>
      </c>
      <c r="D7838" t="s">
        <v>428</v>
      </c>
      <c r="E7838" t="s">
        <v>429</v>
      </c>
      <c r="F7838">
        <v>20.059999999999999</v>
      </c>
      <c r="G7838">
        <v>231130</v>
      </c>
      <c r="H7838">
        <v>4600</v>
      </c>
      <c r="I7838" t="s">
        <v>105</v>
      </c>
      <c r="J7838">
        <v>24.87</v>
      </c>
      <c r="K7838">
        <v>4.8099999999999996</v>
      </c>
      <c r="L7838">
        <v>69811</v>
      </c>
      <c r="M7838" t="s">
        <v>315</v>
      </c>
      <c r="N7838" t="str">
        <f>"2361053329  "</f>
        <v xml:space="preserve">2361053329  </v>
      </c>
      <c r="O7838">
        <v>231211</v>
      </c>
    </row>
    <row r="7839" spans="1:15" x14ac:dyDescent="0.25">
      <c r="A7839" t="s">
        <v>16</v>
      </c>
      <c r="B7839" t="s">
        <v>3221</v>
      </c>
      <c r="C7839">
        <v>17257</v>
      </c>
      <c r="D7839" t="s">
        <v>428</v>
      </c>
      <c r="E7839" t="s">
        <v>429</v>
      </c>
      <c r="F7839">
        <v>85.54</v>
      </c>
      <c r="G7839">
        <v>231130</v>
      </c>
      <c r="H7839">
        <v>4600</v>
      </c>
      <c r="I7839" t="s">
        <v>105</v>
      </c>
      <c r="J7839">
        <v>106.07</v>
      </c>
      <c r="K7839">
        <v>20.53</v>
      </c>
      <c r="L7839">
        <v>69113</v>
      </c>
      <c r="M7839" t="s">
        <v>282</v>
      </c>
      <c r="N7839" t="str">
        <f>"2361053322  "</f>
        <v xml:space="preserve">2361053322  </v>
      </c>
      <c r="O7839">
        <v>231212</v>
      </c>
    </row>
    <row r="7840" spans="1:15" x14ac:dyDescent="0.25">
      <c r="A7840" t="s">
        <v>16</v>
      </c>
      <c r="B7840" t="s">
        <v>3221</v>
      </c>
      <c r="C7840">
        <v>17257</v>
      </c>
      <c r="D7840" t="s">
        <v>428</v>
      </c>
      <c r="E7840" t="s">
        <v>429</v>
      </c>
      <c r="F7840">
        <v>9.5</v>
      </c>
      <c r="G7840">
        <v>231130</v>
      </c>
      <c r="H7840">
        <v>4600</v>
      </c>
      <c r="I7840" t="s">
        <v>105</v>
      </c>
      <c r="J7840">
        <v>11.78</v>
      </c>
      <c r="K7840">
        <v>2.2799999999999998</v>
      </c>
      <c r="L7840">
        <v>69802</v>
      </c>
      <c r="M7840" t="s">
        <v>283</v>
      </c>
      <c r="N7840" t="str">
        <f>"2361053322  "</f>
        <v xml:space="preserve">2361053322  </v>
      </c>
      <c r="O7840">
        <v>231212</v>
      </c>
    </row>
    <row r="7841" spans="1:15" x14ac:dyDescent="0.25">
      <c r="A7841" t="s">
        <v>16</v>
      </c>
      <c r="B7841" t="s">
        <v>3221</v>
      </c>
      <c r="C7841">
        <v>17444</v>
      </c>
      <c r="D7841" t="s">
        <v>428</v>
      </c>
      <c r="E7841" t="s">
        <v>429</v>
      </c>
      <c r="F7841">
        <v>103.68</v>
      </c>
      <c r="G7841">
        <v>231130</v>
      </c>
      <c r="H7841">
        <v>4600</v>
      </c>
      <c r="I7841" t="s">
        <v>105</v>
      </c>
      <c r="J7841">
        <v>128.56</v>
      </c>
      <c r="K7841">
        <v>24.88</v>
      </c>
      <c r="L7841">
        <v>44253</v>
      </c>
      <c r="M7841" t="s">
        <v>1058</v>
      </c>
      <c r="N7841" t="str">
        <f>"2361053328  "</f>
        <v xml:space="preserve">2361053328  </v>
      </c>
      <c r="O7841">
        <v>231214</v>
      </c>
    </row>
    <row r="7842" spans="1:15" x14ac:dyDescent="0.25">
      <c r="A7842" t="s">
        <v>16</v>
      </c>
      <c r="B7842" t="s">
        <v>3221</v>
      </c>
      <c r="C7842">
        <v>17641</v>
      </c>
      <c r="D7842" t="s">
        <v>428</v>
      </c>
      <c r="E7842" t="s">
        <v>429</v>
      </c>
      <c r="F7842">
        <v>12.78</v>
      </c>
      <c r="G7842">
        <v>231130</v>
      </c>
      <c r="H7842">
        <v>4600</v>
      </c>
      <c r="I7842" t="s">
        <v>105</v>
      </c>
      <c r="J7842">
        <v>15.85</v>
      </c>
      <c r="K7842">
        <v>3.07</v>
      </c>
      <c r="L7842">
        <v>59114</v>
      </c>
      <c r="M7842" t="s">
        <v>556</v>
      </c>
      <c r="N7842" t="str">
        <f>"2361053319  "</f>
        <v xml:space="preserve">2361053319  </v>
      </c>
      <c r="O7842">
        <v>231218</v>
      </c>
    </row>
    <row r="7843" spans="1:15" x14ac:dyDescent="0.25">
      <c r="A7843" t="s">
        <v>16</v>
      </c>
      <c r="B7843" t="s">
        <v>3221</v>
      </c>
      <c r="C7843">
        <v>18351</v>
      </c>
      <c r="D7843" t="s">
        <v>428</v>
      </c>
      <c r="E7843" t="s">
        <v>429</v>
      </c>
      <c r="F7843">
        <v>34.08</v>
      </c>
      <c r="G7843">
        <v>231215</v>
      </c>
      <c r="H7843">
        <v>4600</v>
      </c>
      <c r="I7843" t="s">
        <v>105</v>
      </c>
      <c r="J7843">
        <v>42.26</v>
      </c>
      <c r="K7843">
        <v>8.18</v>
      </c>
      <c r="L7843">
        <v>69112</v>
      </c>
      <c r="M7843" t="s">
        <v>313</v>
      </c>
      <c r="N7843" t="str">
        <f>"2361118293  "</f>
        <v xml:space="preserve">2361118293  </v>
      </c>
      <c r="O7843">
        <v>240103</v>
      </c>
    </row>
    <row r="7844" spans="1:15" x14ac:dyDescent="0.25">
      <c r="A7844" t="s">
        <v>16</v>
      </c>
      <c r="B7844" t="s">
        <v>3221</v>
      </c>
      <c r="C7844">
        <v>18351</v>
      </c>
      <c r="D7844" t="s">
        <v>428</v>
      </c>
      <c r="E7844" t="s">
        <v>429</v>
      </c>
      <c r="F7844">
        <v>1.9</v>
      </c>
      <c r="G7844">
        <v>231215</v>
      </c>
      <c r="H7844">
        <v>4600</v>
      </c>
      <c r="I7844" t="s">
        <v>105</v>
      </c>
      <c r="J7844">
        <v>2.35</v>
      </c>
      <c r="K7844">
        <v>0.45</v>
      </c>
      <c r="L7844">
        <v>69810</v>
      </c>
      <c r="M7844" t="s">
        <v>314</v>
      </c>
      <c r="N7844" t="str">
        <f>"2361118293  "</f>
        <v xml:space="preserve">2361118293  </v>
      </c>
      <c r="O7844">
        <v>240103</v>
      </c>
    </row>
    <row r="7845" spans="1:15" x14ac:dyDescent="0.25">
      <c r="A7845" t="s">
        <v>16</v>
      </c>
      <c r="B7845" t="s">
        <v>3221</v>
      </c>
      <c r="C7845">
        <v>18351</v>
      </c>
      <c r="D7845" t="s">
        <v>428</v>
      </c>
      <c r="E7845" t="s">
        <v>429</v>
      </c>
      <c r="F7845">
        <v>1.9</v>
      </c>
      <c r="G7845">
        <v>231215</v>
      </c>
      <c r="H7845">
        <v>4600</v>
      </c>
      <c r="I7845" t="s">
        <v>105</v>
      </c>
      <c r="J7845">
        <v>2.35</v>
      </c>
      <c r="K7845">
        <v>0.45</v>
      </c>
      <c r="L7845">
        <v>69810</v>
      </c>
      <c r="M7845" t="s">
        <v>314</v>
      </c>
      <c r="N7845" t="str">
        <f>"2361118293  "</f>
        <v xml:space="preserve">2361118293  </v>
      </c>
      <c r="O7845">
        <v>240103</v>
      </c>
    </row>
    <row r="7846" spans="1:15" x14ac:dyDescent="0.25">
      <c r="A7846" t="s">
        <v>16</v>
      </c>
      <c r="B7846" t="s">
        <v>3221</v>
      </c>
      <c r="C7846">
        <v>18444</v>
      </c>
      <c r="D7846" t="s">
        <v>428</v>
      </c>
      <c r="E7846" t="s">
        <v>429</v>
      </c>
      <c r="F7846">
        <v>-30</v>
      </c>
      <c r="G7846">
        <v>231215</v>
      </c>
      <c r="H7846">
        <v>4600</v>
      </c>
      <c r="I7846" t="s">
        <v>105</v>
      </c>
      <c r="J7846">
        <v>-37.200000000000003</v>
      </c>
      <c r="K7846">
        <v>-7.2</v>
      </c>
      <c r="L7846">
        <v>59113</v>
      </c>
      <c r="M7846" t="s">
        <v>235</v>
      </c>
      <c r="N7846" t="str">
        <f>"2361118285  "</f>
        <v xml:space="preserve">2361118285  </v>
      </c>
      <c r="O7846">
        <v>240103</v>
      </c>
    </row>
    <row r="7847" spans="1:15" x14ac:dyDescent="0.25">
      <c r="A7847" t="s">
        <v>16</v>
      </c>
      <c r="B7847" t="s">
        <v>3221</v>
      </c>
      <c r="C7847">
        <v>18547</v>
      </c>
      <c r="D7847" t="s">
        <v>428</v>
      </c>
      <c r="E7847" t="s">
        <v>429</v>
      </c>
      <c r="F7847">
        <v>83.71</v>
      </c>
      <c r="G7847">
        <v>231215</v>
      </c>
      <c r="H7847">
        <v>4600</v>
      </c>
      <c r="I7847" t="s">
        <v>105</v>
      </c>
      <c r="J7847">
        <v>103.8</v>
      </c>
      <c r="K7847">
        <v>20.09</v>
      </c>
      <c r="L7847">
        <v>69113</v>
      </c>
      <c r="M7847" t="s">
        <v>282</v>
      </c>
      <c r="N7847" t="str">
        <f>"2361118286  "</f>
        <v xml:space="preserve">2361118286  </v>
      </c>
      <c r="O7847">
        <v>240103</v>
      </c>
    </row>
    <row r="7848" spans="1:15" x14ac:dyDescent="0.25">
      <c r="A7848" t="s">
        <v>16</v>
      </c>
      <c r="B7848" t="s">
        <v>3221</v>
      </c>
      <c r="C7848">
        <v>18547</v>
      </c>
      <c r="D7848" t="s">
        <v>428</v>
      </c>
      <c r="E7848" t="s">
        <v>429</v>
      </c>
      <c r="F7848">
        <v>9.3000000000000007</v>
      </c>
      <c r="G7848">
        <v>231215</v>
      </c>
      <c r="H7848">
        <v>4600</v>
      </c>
      <c r="I7848" t="s">
        <v>105</v>
      </c>
      <c r="J7848">
        <v>11.53</v>
      </c>
      <c r="K7848">
        <v>2.23</v>
      </c>
      <c r="L7848">
        <v>69802</v>
      </c>
      <c r="M7848" t="s">
        <v>283</v>
      </c>
      <c r="N7848" t="str">
        <f>"2361118286  "</f>
        <v xml:space="preserve">2361118286  </v>
      </c>
      <c r="O7848">
        <v>240103</v>
      </c>
    </row>
    <row r="7849" spans="1:15" x14ac:dyDescent="0.25">
      <c r="A7849" t="s">
        <v>16</v>
      </c>
      <c r="B7849" t="s">
        <v>3221</v>
      </c>
      <c r="C7849">
        <v>18552</v>
      </c>
      <c r="D7849" t="s">
        <v>428</v>
      </c>
      <c r="E7849" t="s">
        <v>429</v>
      </c>
      <c r="F7849">
        <v>10</v>
      </c>
      <c r="G7849">
        <v>231215</v>
      </c>
      <c r="H7849">
        <v>4600</v>
      </c>
      <c r="I7849" t="s">
        <v>105</v>
      </c>
      <c r="J7849">
        <v>12.4</v>
      </c>
      <c r="K7849">
        <v>2.4</v>
      </c>
      <c r="L7849">
        <v>44251</v>
      </c>
      <c r="M7849" t="s">
        <v>156</v>
      </c>
      <c r="N7849" t="str">
        <f>"2361118289  "</f>
        <v xml:space="preserve">2361118289  </v>
      </c>
      <c r="O7849">
        <v>240103</v>
      </c>
    </row>
    <row r="7850" spans="1:15" x14ac:dyDescent="0.25">
      <c r="A7850" t="s">
        <v>16</v>
      </c>
      <c r="B7850" t="s">
        <v>3221</v>
      </c>
      <c r="C7850">
        <v>18552</v>
      </c>
      <c r="D7850" t="s">
        <v>428</v>
      </c>
      <c r="E7850" t="s">
        <v>429</v>
      </c>
      <c r="F7850">
        <v>103.25</v>
      </c>
      <c r="G7850">
        <v>231215</v>
      </c>
      <c r="H7850">
        <v>4600</v>
      </c>
      <c r="I7850" t="s">
        <v>105</v>
      </c>
      <c r="J7850">
        <v>128.03</v>
      </c>
      <c r="K7850">
        <v>24.78</v>
      </c>
      <c r="L7850">
        <v>44252</v>
      </c>
      <c r="M7850" t="s">
        <v>157</v>
      </c>
      <c r="N7850" t="str">
        <f>"2361118289  "</f>
        <v xml:space="preserve">2361118289  </v>
      </c>
      <c r="O7850">
        <v>240103</v>
      </c>
    </row>
    <row r="7851" spans="1:15" x14ac:dyDescent="0.25">
      <c r="A7851" t="s">
        <v>16</v>
      </c>
      <c r="B7851" t="s">
        <v>3221</v>
      </c>
      <c r="C7851">
        <v>18910</v>
      </c>
      <c r="D7851" t="s">
        <v>428</v>
      </c>
      <c r="E7851" t="s">
        <v>429</v>
      </c>
      <c r="F7851">
        <v>28.93</v>
      </c>
      <c r="G7851">
        <v>231231</v>
      </c>
      <c r="H7851">
        <v>4600</v>
      </c>
      <c r="I7851" t="s">
        <v>105</v>
      </c>
      <c r="J7851">
        <v>35.869999999999997</v>
      </c>
      <c r="K7851">
        <v>6.94</v>
      </c>
      <c r="L7851">
        <v>59114</v>
      </c>
      <c r="M7851" t="s">
        <v>556</v>
      </c>
      <c r="N7851" t="str">
        <f>"2361150301  "</f>
        <v xml:space="preserve">2361150301  </v>
      </c>
      <c r="O7851">
        <v>240108</v>
      </c>
    </row>
    <row r="7852" spans="1:15" x14ac:dyDescent="0.25">
      <c r="A7852" t="s">
        <v>16</v>
      </c>
      <c r="B7852" t="s">
        <v>3221</v>
      </c>
      <c r="C7852">
        <v>19021</v>
      </c>
      <c r="D7852" t="s">
        <v>428</v>
      </c>
      <c r="E7852" t="s">
        <v>429</v>
      </c>
      <c r="F7852">
        <v>44.44</v>
      </c>
      <c r="G7852">
        <v>231215</v>
      </c>
      <c r="H7852">
        <v>4600</v>
      </c>
      <c r="I7852" t="s">
        <v>105</v>
      </c>
      <c r="J7852">
        <v>55.11</v>
      </c>
      <c r="K7852">
        <v>10.67</v>
      </c>
      <c r="L7852">
        <v>49112</v>
      </c>
      <c r="M7852" t="s">
        <v>233</v>
      </c>
      <c r="N7852" t="str">
        <f>"2361118287  "</f>
        <v xml:space="preserve">2361118287  </v>
      </c>
      <c r="O7852">
        <v>240110</v>
      </c>
    </row>
    <row r="7853" spans="1:15" x14ac:dyDescent="0.25">
      <c r="A7853" t="s">
        <v>16</v>
      </c>
      <c r="B7853" t="s">
        <v>3221</v>
      </c>
      <c r="C7853">
        <v>426</v>
      </c>
      <c r="D7853" t="s">
        <v>428</v>
      </c>
      <c r="E7853" t="s">
        <v>429</v>
      </c>
      <c r="F7853">
        <v>137.94999999999999</v>
      </c>
      <c r="G7853">
        <v>230115</v>
      </c>
      <c r="H7853">
        <v>4550</v>
      </c>
      <c r="I7853" t="s">
        <v>312</v>
      </c>
      <c r="J7853">
        <v>171.06</v>
      </c>
      <c r="K7853">
        <v>33.11</v>
      </c>
      <c r="L7853">
        <v>59113</v>
      </c>
      <c r="M7853" t="s">
        <v>235</v>
      </c>
      <c r="N7853" t="str">
        <f>"2360029513  "</f>
        <v xml:space="preserve">2360029513  </v>
      </c>
      <c r="O7853">
        <v>230123</v>
      </c>
    </row>
    <row r="7854" spans="1:15" x14ac:dyDescent="0.25">
      <c r="A7854" t="s">
        <v>16</v>
      </c>
      <c r="B7854" t="s">
        <v>3221</v>
      </c>
      <c r="C7854">
        <v>457</v>
      </c>
      <c r="D7854" t="s">
        <v>428</v>
      </c>
      <c r="E7854" t="s">
        <v>429</v>
      </c>
      <c r="F7854">
        <v>56.48</v>
      </c>
      <c r="G7854">
        <v>230115</v>
      </c>
      <c r="H7854">
        <v>4550</v>
      </c>
      <c r="I7854" t="s">
        <v>312</v>
      </c>
      <c r="J7854">
        <v>70.03</v>
      </c>
      <c r="K7854">
        <v>13.55</v>
      </c>
      <c r="L7854">
        <v>59114</v>
      </c>
      <c r="M7854" t="s">
        <v>556</v>
      </c>
      <c r="N7854" t="str">
        <f>"2360029511  "</f>
        <v xml:space="preserve">2360029511  </v>
      </c>
      <c r="O7854">
        <v>230123</v>
      </c>
    </row>
    <row r="7855" spans="1:15" x14ac:dyDescent="0.25">
      <c r="A7855" t="s">
        <v>16</v>
      </c>
      <c r="B7855" t="s">
        <v>3221</v>
      </c>
      <c r="C7855">
        <v>987</v>
      </c>
      <c r="D7855" t="s">
        <v>428</v>
      </c>
      <c r="E7855" t="s">
        <v>429</v>
      </c>
      <c r="F7855">
        <v>48.35</v>
      </c>
      <c r="G7855">
        <v>230131</v>
      </c>
      <c r="H7855">
        <v>4550</v>
      </c>
      <c r="I7855" t="s">
        <v>312</v>
      </c>
      <c r="J7855">
        <v>59.96</v>
      </c>
      <c r="K7855">
        <v>11.61</v>
      </c>
      <c r="L7855">
        <v>69112</v>
      </c>
      <c r="M7855" t="s">
        <v>313</v>
      </c>
      <c r="N7855" t="str">
        <f>"2360066724  "</f>
        <v xml:space="preserve">2360066724  </v>
      </c>
      <c r="O7855">
        <v>230202</v>
      </c>
    </row>
    <row r="7856" spans="1:15" x14ac:dyDescent="0.25">
      <c r="A7856" t="s">
        <v>16</v>
      </c>
      <c r="B7856" t="s">
        <v>3221</v>
      </c>
      <c r="C7856">
        <v>1206</v>
      </c>
      <c r="D7856" t="s">
        <v>428</v>
      </c>
      <c r="E7856" t="s">
        <v>429</v>
      </c>
      <c r="F7856">
        <v>88.41</v>
      </c>
      <c r="G7856">
        <v>230131</v>
      </c>
      <c r="H7856">
        <v>4550</v>
      </c>
      <c r="I7856" t="s">
        <v>312</v>
      </c>
      <c r="J7856">
        <v>109.63</v>
      </c>
      <c r="K7856">
        <v>21.22</v>
      </c>
      <c r="L7856">
        <v>16431</v>
      </c>
      <c r="M7856" t="s">
        <v>231</v>
      </c>
      <c r="N7856" t="str">
        <f>"2360066721  "</f>
        <v xml:space="preserve">2360066721  </v>
      </c>
      <c r="O7856">
        <v>230206</v>
      </c>
    </row>
    <row r="7857" spans="1:15" x14ac:dyDescent="0.25">
      <c r="A7857" t="s">
        <v>16</v>
      </c>
      <c r="B7857" t="s">
        <v>3221</v>
      </c>
      <c r="C7857">
        <v>1206</v>
      </c>
      <c r="D7857" t="s">
        <v>428</v>
      </c>
      <c r="E7857" t="s">
        <v>429</v>
      </c>
      <c r="F7857">
        <v>322.58</v>
      </c>
      <c r="G7857">
        <v>230131</v>
      </c>
      <c r="H7857">
        <v>4550</v>
      </c>
      <c r="I7857" t="s">
        <v>312</v>
      </c>
      <c r="J7857">
        <v>400</v>
      </c>
      <c r="K7857">
        <v>77.42</v>
      </c>
      <c r="L7857">
        <v>17913</v>
      </c>
      <c r="M7857" t="s">
        <v>431</v>
      </c>
      <c r="N7857" t="str">
        <f>"2360066721  "</f>
        <v xml:space="preserve">2360066721  </v>
      </c>
      <c r="O7857">
        <v>230206</v>
      </c>
    </row>
    <row r="7858" spans="1:15" x14ac:dyDescent="0.25">
      <c r="A7858" t="s">
        <v>16</v>
      </c>
      <c r="B7858" t="s">
        <v>3221</v>
      </c>
      <c r="C7858">
        <v>1290</v>
      </c>
      <c r="D7858" t="s">
        <v>428</v>
      </c>
      <c r="E7858" t="s">
        <v>429</v>
      </c>
      <c r="F7858">
        <v>96.89</v>
      </c>
      <c r="G7858">
        <v>230131</v>
      </c>
      <c r="H7858">
        <v>4550</v>
      </c>
      <c r="I7858" t="s">
        <v>312</v>
      </c>
      <c r="J7858">
        <v>120.14</v>
      </c>
      <c r="K7858">
        <v>23.25</v>
      </c>
      <c r="L7858">
        <v>59114</v>
      </c>
      <c r="M7858" t="s">
        <v>556</v>
      </c>
      <c r="N7858" t="str">
        <f>"2360066714  "</f>
        <v xml:space="preserve">2360066714  </v>
      </c>
      <c r="O7858">
        <v>230207</v>
      </c>
    </row>
    <row r="7859" spans="1:15" x14ac:dyDescent="0.25">
      <c r="A7859" t="s">
        <v>16</v>
      </c>
      <c r="B7859" t="s">
        <v>3221</v>
      </c>
      <c r="C7859">
        <v>1291</v>
      </c>
      <c r="D7859" t="s">
        <v>428</v>
      </c>
      <c r="E7859" t="s">
        <v>429</v>
      </c>
      <c r="F7859">
        <v>39.65</v>
      </c>
      <c r="G7859">
        <v>230131</v>
      </c>
      <c r="H7859">
        <v>4550</v>
      </c>
      <c r="I7859" t="s">
        <v>312</v>
      </c>
      <c r="J7859">
        <v>49.17</v>
      </c>
      <c r="K7859">
        <v>9.52</v>
      </c>
      <c r="L7859">
        <v>59113</v>
      </c>
      <c r="M7859" t="s">
        <v>235</v>
      </c>
      <c r="N7859" t="str">
        <f>"2360066716  "</f>
        <v xml:space="preserve">2360066716  </v>
      </c>
      <c r="O7859">
        <v>230207</v>
      </c>
    </row>
    <row r="7860" spans="1:15" x14ac:dyDescent="0.25">
      <c r="A7860" t="s">
        <v>16</v>
      </c>
      <c r="B7860" t="s">
        <v>3221</v>
      </c>
      <c r="C7860">
        <v>2100</v>
      </c>
      <c r="D7860" t="s">
        <v>428</v>
      </c>
      <c r="E7860" t="s">
        <v>429</v>
      </c>
      <c r="F7860">
        <v>40.450000000000003</v>
      </c>
      <c r="G7860">
        <v>230215</v>
      </c>
      <c r="H7860">
        <v>4550</v>
      </c>
      <c r="I7860" t="s">
        <v>312</v>
      </c>
      <c r="J7860">
        <v>50.16</v>
      </c>
      <c r="K7860">
        <v>9.7100000000000009</v>
      </c>
      <c r="L7860">
        <v>59114</v>
      </c>
      <c r="M7860" t="s">
        <v>556</v>
      </c>
      <c r="N7860" t="str">
        <f>"2360127421  "</f>
        <v xml:space="preserve">2360127421  </v>
      </c>
      <c r="O7860">
        <v>230221</v>
      </c>
    </row>
    <row r="7861" spans="1:15" x14ac:dyDescent="0.25">
      <c r="A7861" t="s">
        <v>16</v>
      </c>
      <c r="B7861" t="s">
        <v>3221</v>
      </c>
      <c r="C7861">
        <v>2103</v>
      </c>
      <c r="D7861" t="s">
        <v>428</v>
      </c>
      <c r="E7861" t="s">
        <v>429</v>
      </c>
      <c r="F7861">
        <v>32.36</v>
      </c>
      <c r="G7861">
        <v>230215</v>
      </c>
      <c r="H7861">
        <v>4550</v>
      </c>
      <c r="I7861" t="s">
        <v>312</v>
      </c>
      <c r="J7861">
        <v>40.130000000000003</v>
      </c>
      <c r="K7861">
        <v>7.77</v>
      </c>
      <c r="L7861">
        <v>59113</v>
      </c>
      <c r="M7861" t="s">
        <v>235</v>
      </c>
      <c r="N7861" t="str">
        <f>"2360127423  "</f>
        <v xml:space="preserve">2360127423  </v>
      </c>
      <c r="O7861">
        <v>230221</v>
      </c>
    </row>
    <row r="7862" spans="1:15" x14ac:dyDescent="0.25">
      <c r="A7862" t="s">
        <v>16</v>
      </c>
      <c r="B7862" t="s">
        <v>3221</v>
      </c>
      <c r="C7862">
        <v>2580</v>
      </c>
      <c r="D7862" t="s">
        <v>428</v>
      </c>
      <c r="E7862" t="s">
        <v>429</v>
      </c>
      <c r="F7862">
        <v>200.48</v>
      </c>
      <c r="G7862">
        <v>230215</v>
      </c>
      <c r="H7862">
        <v>4550</v>
      </c>
      <c r="I7862" t="s">
        <v>312</v>
      </c>
      <c r="J7862">
        <v>248.59</v>
      </c>
      <c r="K7862">
        <v>48.11</v>
      </c>
      <c r="L7862">
        <v>14951</v>
      </c>
      <c r="M7862" t="s">
        <v>57</v>
      </c>
      <c r="N7862" t="str">
        <f>"2360127429  "</f>
        <v xml:space="preserve">2360127429  </v>
      </c>
      <c r="O7862">
        <v>230302</v>
      </c>
    </row>
    <row r="7863" spans="1:15" x14ac:dyDescent="0.25">
      <c r="A7863" t="s">
        <v>16</v>
      </c>
      <c r="B7863" t="s">
        <v>3221</v>
      </c>
      <c r="C7863">
        <v>2999</v>
      </c>
      <c r="D7863" t="s">
        <v>428</v>
      </c>
      <c r="E7863" t="s">
        <v>429</v>
      </c>
      <c r="F7863">
        <v>41.06</v>
      </c>
      <c r="G7863">
        <v>230228</v>
      </c>
      <c r="H7863">
        <v>4550</v>
      </c>
      <c r="I7863" t="s">
        <v>312</v>
      </c>
      <c r="J7863">
        <v>50.91</v>
      </c>
      <c r="K7863">
        <v>9.85</v>
      </c>
      <c r="L7863">
        <v>59114</v>
      </c>
      <c r="M7863" t="s">
        <v>556</v>
      </c>
      <c r="N7863" t="str">
        <f>"2360156971  "</f>
        <v xml:space="preserve">2360156971  </v>
      </c>
      <c r="O7863">
        <v>230308</v>
      </c>
    </row>
    <row r="7864" spans="1:15" x14ac:dyDescent="0.25">
      <c r="A7864" t="s">
        <v>16</v>
      </c>
      <c r="B7864" t="s">
        <v>3221</v>
      </c>
      <c r="C7864">
        <v>3521</v>
      </c>
      <c r="D7864" t="s">
        <v>428</v>
      </c>
      <c r="E7864" t="s">
        <v>429</v>
      </c>
      <c r="F7864">
        <v>25.44</v>
      </c>
      <c r="G7864">
        <v>230315</v>
      </c>
      <c r="H7864">
        <v>4550</v>
      </c>
      <c r="I7864" t="s">
        <v>312</v>
      </c>
      <c r="J7864">
        <v>31.55</v>
      </c>
      <c r="K7864">
        <v>6.11</v>
      </c>
      <c r="L7864">
        <v>59114</v>
      </c>
      <c r="M7864" t="s">
        <v>556</v>
      </c>
      <c r="N7864" t="str">
        <f>"2360220753  "</f>
        <v xml:space="preserve">2360220753  </v>
      </c>
      <c r="O7864">
        <v>230316</v>
      </c>
    </row>
    <row r="7865" spans="1:15" x14ac:dyDescent="0.25">
      <c r="A7865" t="s">
        <v>16</v>
      </c>
      <c r="B7865" t="s">
        <v>3221</v>
      </c>
      <c r="C7865">
        <v>3521</v>
      </c>
      <c r="D7865" t="s">
        <v>428</v>
      </c>
      <c r="E7865" t="s">
        <v>429</v>
      </c>
      <c r="F7865">
        <v>154.56</v>
      </c>
      <c r="G7865">
        <v>230315</v>
      </c>
      <c r="H7865">
        <v>4550</v>
      </c>
      <c r="I7865" t="s">
        <v>312</v>
      </c>
      <c r="J7865">
        <v>191.65</v>
      </c>
      <c r="K7865">
        <v>37.090000000000003</v>
      </c>
      <c r="L7865">
        <v>59114</v>
      </c>
      <c r="M7865" t="s">
        <v>556</v>
      </c>
      <c r="N7865" t="str">
        <f>"2360220753  "</f>
        <v xml:space="preserve">2360220753  </v>
      </c>
      <c r="O7865">
        <v>230316</v>
      </c>
    </row>
    <row r="7866" spans="1:15" x14ac:dyDescent="0.25">
      <c r="A7866" t="s">
        <v>16</v>
      </c>
      <c r="B7866" t="s">
        <v>3221</v>
      </c>
      <c r="C7866">
        <v>4442</v>
      </c>
      <c r="D7866" t="s">
        <v>428</v>
      </c>
      <c r="E7866" t="s">
        <v>429</v>
      </c>
      <c r="F7866">
        <v>40.47</v>
      </c>
      <c r="G7866">
        <v>230331</v>
      </c>
      <c r="H7866">
        <v>4550</v>
      </c>
      <c r="I7866" t="s">
        <v>312</v>
      </c>
      <c r="J7866">
        <v>50.18</v>
      </c>
      <c r="K7866">
        <v>9.7100000000000009</v>
      </c>
      <c r="L7866">
        <v>59114</v>
      </c>
      <c r="M7866" t="s">
        <v>556</v>
      </c>
      <c r="N7866" t="str">
        <f>"2360257250  "</f>
        <v xml:space="preserve">2360257250  </v>
      </c>
      <c r="O7866">
        <v>230405</v>
      </c>
    </row>
    <row r="7867" spans="1:15" x14ac:dyDescent="0.25">
      <c r="A7867" t="s">
        <v>16</v>
      </c>
      <c r="B7867" t="s">
        <v>3221</v>
      </c>
      <c r="C7867">
        <v>4442</v>
      </c>
      <c r="D7867" t="s">
        <v>428</v>
      </c>
      <c r="E7867" t="s">
        <v>429</v>
      </c>
      <c r="F7867">
        <v>40.32</v>
      </c>
      <c r="G7867">
        <v>230331</v>
      </c>
      <c r="H7867">
        <v>4550</v>
      </c>
      <c r="I7867" t="s">
        <v>312</v>
      </c>
      <c r="J7867">
        <v>50</v>
      </c>
      <c r="K7867">
        <v>9.68</v>
      </c>
      <c r="L7867">
        <v>59808</v>
      </c>
      <c r="M7867" t="s">
        <v>557</v>
      </c>
      <c r="N7867" t="str">
        <f>"2360257250  "</f>
        <v xml:space="preserve">2360257250  </v>
      </c>
      <c r="O7867">
        <v>230405</v>
      </c>
    </row>
    <row r="7868" spans="1:15" x14ac:dyDescent="0.25">
      <c r="A7868" t="s">
        <v>16</v>
      </c>
      <c r="B7868" t="s">
        <v>3221</v>
      </c>
      <c r="C7868">
        <v>5383</v>
      </c>
      <c r="D7868" t="s">
        <v>428</v>
      </c>
      <c r="E7868" t="s">
        <v>429</v>
      </c>
      <c r="F7868">
        <v>24.27</v>
      </c>
      <c r="G7868">
        <v>230415</v>
      </c>
      <c r="H7868">
        <v>4550</v>
      </c>
      <c r="I7868" t="s">
        <v>312</v>
      </c>
      <c r="J7868">
        <v>30.09</v>
      </c>
      <c r="K7868">
        <v>5.82</v>
      </c>
      <c r="L7868">
        <v>59114</v>
      </c>
      <c r="M7868" t="s">
        <v>556</v>
      </c>
      <c r="N7868" t="str">
        <f>"2360317610  "</f>
        <v xml:space="preserve">2360317610  </v>
      </c>
      <c r="O7868">
        <v>230421</v>
      </c>
    </row>
    <row r="7869" spans="1:15" x14ac:dyDescent="0.25">
      <c r="A7869" t="s">
        <v>16</v>
      </c>
      <c r="B7869" t="s">
        <v>3221</v>
      </c>
      <c r="C7869">
        <v>6924</v>
      </c>
      <c r="D7869" t="s">
        <v>428</v>
      </c>
      <c r="E7869" t="s">
        <v>429</v>
      </c>
      <c r="F7869">
        <v>49.7</v>
      </c>
      <c r="G7869">
        <v>230515</v>
      </c>
      <c r="H7869">
        <v>4550</v>
      </c>
      <c r="I7869" t="s">
        <v>312</v>
      </c>
      <c r="J7869">
        <v>61.63</v>
      </c>
      <c r="K7869">
        <v>11.93</v>
      </c>
      <c r="L7869">
        <v>59114</v>
      </c>
      <c r="M7869" t="s">
        <v>556</v>
      </c>
      <c r="N7869" t="str">
        <f>"2360414417  "</f>
        <v xml:space="preserve">2360414417  </v>
      </c>
      <c r="O7869">
        <v>230523</v>
      </c>
    </row>
    <row r="7870" spans="1:15" x14ac:dyDescent="0.25">
      <c r="A7870" t="s">
        <v>16</v>
      </c>
      <c r="B7870" t="s">
        <v>3221</v>
      </c>
      <c r="C7870">
        <v>7113</v>
      </c>
      <c r="D7870" t="s">
        <v>428</v>
      </c>
      <c r="E7870" t="s">
        <v>429</v>
      </c>
      <c r="F7870">
        <v>311.37</v>
      </c>
      <c r="G7870">
        <v>230515</v>
      </c>
      <c r="H7870">
        <v>4550</v>
      </c>
      <c r="I7870" t="s">
        <v>312</v>
      </c>
      <c r="J7870">
        <v>386.1</v>
      </c>
      <c r="K7870">
        <v>74.73</v>
      </c>
      <c r="L7870">
        <v>17915</v>
      </c>
      <c r="M7870" t="s">
        <v>572</v>
      </c>
      <c r="N7870" t="str">
        <f>"2360414422  "</f>
        <v xml:space="preserve">2360414422  </v>
      </c>
      <c r="O7870">
        <v>230525</v>
      </c>
    </row>
    <row r="7871" spans="1:15" x14ac:dyDescent="0.25">
      <c r="A7871" t="s">
        <v>16</v>
      </c>
      <c r="B7871" t="s">
        <v>3221</v>
      </c>
      <c r="C7871">
        <v>10494</v>
      </c>
      <c r="D7871" t="s">
        <v>428</v>
      </c>
      <c r="E7871" t="s">
        <v>429</v>
      </c>
      <c r="F7871">
        <v>65.75</v>
      </c>
      <c r="G7871">
        <v>230815</v>
      </c>
      <c r="H7871">
        <v>4550</v>
      </c>
      <c r="I7871" t="s">
        <v>312</v>
      </c>
      <c r="J7871">
        <v>81.53</v>
      </c>
      <c r="K7871">
        <v>15.78</v>
      </c>
      <c r="L7871">
        <v>17915</v>
      </c>
      <c r="M7871" t="s">
        <v>572</v>
      </c>
      <c r="N7871" t="str">
        <f>"2360709484  "</f>
        <v xml:space="preserve">2360709484  </v>
      </c>
      <c r="O7871">
        <v>230817</v>
      </c>
    </row>
    <row r="7872" spans="1:15" x14ac:dyDescent="0.25">
      <c r="A7872" t="s">
        <v>16</v>
      </c>
      <c r="B7872" t="s">
        <v>3221</v>
      </c>
      <c r="C7872">
        <v>10503</v>
      </c>
      <c r="D7872" t="s">
        <v>428</v>
      </c>
      <c r="E7872" t="s">
        <v>429</v>
      </c>
      <c r="F7872">
        <v>202.19</v>
      </c>
      <c r="G7872">
        <v>230815</v>
      </c>
      <c r="H7872">
        <v>4550</v>
      </c>
      <c r="I7872" t="s">
        <v>312</v>
      </c>
      <c r="J7872">
        <v>250.72</v>
      </c>
      <c r="K7872">
        <v>48.53</v>
      </c>
      <c r="L7872">
        <v>17913</v>
      </c>
      <c r="M7872" t="s">
        <v>431</v>
      </c>
      <c r="N7872" t="str">
        <f>"2360709486  "</f>
        <v xml:space="preserve">2360709486  </v>
      </c>
      <c r="O7872">
        <v>230817</v>
      </c>
    </row>
    <row r="7873" spans="1:15" x14ac:dyDescent="0.25">
      <c r="A7873" t="s">
        <v>16</v>
      </c>
      <c r="B7873" t="s">
        <v>3221</v>
      </c>
      <c r="C7873">
        <v>11254</v>
      </c>
      <c r="D7873" t="s">
        <v>428</v>
      </c>
      <c r="E7873" t="s">
        <v>429</v>
      </c>
      <c r="F7873">
        <v>24.37</v>
      </c>
      <c r="G7873">
        <v>230831</v>
      </c>
      <c r="H7873">
        <v>4550</v>
      </c>
      <c r="I7873" t="s">
        <v>312</v>
      </c>
      <c r="J7873">
        <v>30.22</v>
      </c>
      <c r="K7873">
        <v>5.85</v>
      </c>
      <c r="L7873">
        <v>16442</v>
      </c>
      <c r="M7873" t="s">
        <v>430</v>
      </c>
      <c r="N7873" t="str">
        <f>"2360747921  "</f>
        <v xml:space="preserve">2360747921  </v>
      </c>
      <c r="O7873">
        <v>230904</v>
      </c>
    </row>
    <row r="7874" spans="1:15" x14ac:dyDescent="0.25">
      <c r="A7874" t="s">
        <v>16</v>
      </c>
      <c r="B7874" t="s">
        <v>3221</v>
      </c>
      <c r="C7874">
        <v>11558</v>
      </c>
      <c r="D7874" t="s">
        <v>428</v>
      </c>
      <c r="E7874" t="s">
        <v>429</v>
      </c>
      <c r="F7874">
        <v>24.94</v>
      </c>
      <c r="G7874">
        <v>230831</v>
      </c>
      <c r="H7874">
        <v>4550</v>
      </c>
      <c r="I7874" t="s">
        <v>312</v>
      </c>
      <c r="J7874">
        <v>30.93</v>
      </c>
      <c r="K7874">
        <v>5.99</v>
      </c>
      <c r="L7874">
        <v>59114</v>
      </c>
      <c r="M7874" t="s">
        <v>556</v>
      </c>
      <c r="N7874" t="str">
        <f>"2360747914  "</f>
        <v xml:space="preserve">2360747914  </v>
      </c>
      <c r="O7874">
        <v>230907</v>
      </c>
    </row>
    <row r="7875" spans="1:15" x14ac:dyDescent="0.25">
      <c r="A7875" t="s">
        <v>16</v>
      </c>
      <c r="B7875" t="s">
        <v>3221</v>
      </c>
      <c r="C7875">
        <v>12651</v>
      </c>
      <c r="D7875" t="s">
        <v>428</v>
      </c>
      <c r="E7875" t="s">
        <v>429</v>
      </c>
      <c r="F7875">
        <v>24.27</v>
      </c>
      <c r="G7875">
        <v>230915</v>
      </c>
      <c r="H7875">
        <v>4550</v>
      </c>
      <c r="I7875" t="s">
        <v>312</v>
      </c>
      <c r="J7875">
        <v>30.09</v>
      </c>
      <c r="K7875">
        <v>5.82</v>
      </c>
      <c r="L7875">
        <v>59114</v>
      </c>
      <c r="M7875" t="s">
        <v>556</v>
      </c>
      <c r="N7875" t="str">
        <f>"2360816076  "</f>
        <v xml:space="preserve">2360816076  </v>
      </c>
      <c r="O7875">
        <v>230922</v>
      </c>
    </row>
    <row r="7876" spans="1:15" x14ac:dyDescent="0.25">
      <c r="A7876" t="s">
        <v>16</v>
      </c>
      <c r="B7876" t="s">
        <v>3221</v>
      </c>
      <c r="C7876">
        <v>13536</v>
      </c>
      <c r="D7876" t="s">
        <v>428</v>
      </c>
      <c r="E7876" t="s">
        <v>429</v>
      </c>
      <c r="F7876">
        <v>9.15</v>
      </c>
      <c r="G7876">
        <v>230930</v>
      </c>
      <c r="H7876">
        <v>4550</v>
      </c>
      <c r="I7876" t="s">
        <v>312</v>
      </c>
      <c r="J7876">
        <v>11.35</v>
      </c>
      <c r="K7876">
        <v>2.2000000000000002</v>
      </c>
      <c r="L7876">
        <v>59114</v>
      </c>
      <c r="M7876" t="s">
        <v>556</v>
      </c>
      <c r="N7876" t="str">
        <f>"2360851988  "</f>
        <v xml:space="preserve">2360851988  </v>
      </c>
      <c r="O7876">
        <v>231011</v>
      </c>
    </row>
    <row r="7877" spans="1:15" x14ac:dyDescent="0.25">
      <c r="A7877" t="s">
        <v>16</v>
      </c>
      <c r="B7877" t="s">
        <v>3221</v>
      </c>
      <c r="C7877">
        <v>18451</v>
      </c>
      <c r="D7877" t="s">
        <v>428</v>
      </c>
      <c r="E7877" t="s">
        <v>429</v>
      </c>
      <c r="F7877">
        <v>16.18</v>
      </c>
      <c r="G7877">
        <v>231215</v>
      </c>
      <c r="H7877">
        <v>4550</v>
      </c>
      <c r="I7877" t="s">
        <v>312</v>
      </c>
      <c r="J7877">
        <v>20.059999999999999</v>
      </c>
      <c r="K7877">
        <v>3.88</v>
      </c>
      <c r="L7877">
        <v>59114</v>
      </c>
      <c r="M7877" t="s">
        <v>556</v>
      </c>
      <c r="N7877" t="str">
        <f>"2361118283  "</f>
        <v xml:space="preserve">2361118283  </v>
      </c>
      <c r="O7877">
        <v>240103</v>
      </c>
    </row>
    <row r="7878" spans="1:15" x14ac:dyDescent="0.25">
      <c r="A7878" t="s">
        <v>16</v>
      </c>
      <c r="B7878" t="s">
        <v>3221</v>
      </c>
      <c r="C7878">
        <v>558</v>
      </c>
      <c r="D7878" t="s">
        <v>615</v>
      </c>
      <c r="E7878" t="s">
        <v>616</v>
      </c>
      <c r="F7878">
        <v>679.49</v>
      </c>
      <c r="G7878">
        <v>230123</v>
      </c>
      <c r="H7878">
        <v>4580</v>
      </c>
      <c r="I7878" t="s">
        <v>35</v>
      </c>
      <c r="J7878">
        <v>842.57</v>
      </c>
      <c r="K7878">
        <v>163.08000000000001</v>
      </c>
      <c r="L7878">
        <v>17803</v>
      </c>
      <c r="M7878" t="s">
        <v>389</v>
      </c>
      <c r="N7878" t="str">
        <f>"1216        "</f>
        <v xml:space="preserve">1216        </v>
      </c>
      <c r="O7878">
        <v>230124</v>
      </c>
    </row>
    <row r="7879" spans="1:15" x14ac:dyDescent="0.25">
      <c r="A7879" t="s">
        <v>16</v>
      </c>
      <c r="B7879" t="s">
        <v>3221</v>
      </c>
      <c r="C7879">
        <v>652</v>
      </c>
      <c r="D7879" t="s">
        <v>615</v>
      </c>
      <c r="E7879" t="s">
        <v>616</v>
      </c>
      <c r="F7879">
        <v>37.86</v>
      </c>
      <c r="G7879">
        <v>230120</v>
      </c>
      <c r="H7879">
        <v>4580</v>
      </c>
      <c r="I7879" t="s">
        <v>35</v>
      </c>
      <c r="J7879">
        <v>46.95</v>
      </c>
      <c r="K7879">
        <v>9.09</v>
      </c>
      <c r="L7879">
        <v>56558</v>
      </c>
      <c r="M7879" t="s">
        <v>217</v>
      </c>
      <c r="N7879" t="str">
        <f>"1127        "</f>
        <v xml:space="preserve">1127        </v>
      </c>
      <c r="O7879">
        <v>230126</v>
      </c>
    </row>
    <row r="7880" spans="1:15" x14ac:dyDescent="0.25">
      <c r="A7880" t="s">
        <v>16</v>
      </c>
      <c r="B7880" t="s">
        <v>3221</v>
      </c>
      <c r="C7880">
        <v>655</v>
      </c>
      <c r="D7880" t="s">
        <v>615</v>
      </c>
      <c r="E7880" t="s">
        <v>616</v>
      </c>
      <c r="F7880">
        <v>410.12</v>
      </c>
      <c r="G7880">
        <v>230123</v>
      </c>
      <c r="H7880">
        <v>4580</v>
      </c>
      <c r="I7880" t="s">
        <v>35</v>
      </c>
      <c r="J7880">
        <v>508.55</v>
      </c>
      <c r="K7880">
        <v>98.43</v>
      </c>
      <c r="L7880">
        <v>56558</v>
      </c>
      <c r="M7880" t="s">
        <v>217</v>
      </c>
      <c r="N7880" t="str">
        <f>"1217        "</f>
        <v xml:space="preserve">1217        </v>
      </c>
      <c r="O7880">
        <v>230126</v>
      </c>
    </row>
    <row r="7881" spans="1:15" x14ac:dyDescent="0.25">
      <c r="A7881" t="s">
        <v>16</v>
      </c>
      <c r="B7881" t="s">
        <v>3221</v>
      </c>
      <c r="C7881">
        <v>772</v>
      </c>
      <c r="D7881" t="s">
        <v>615</v>
      </c>
      <c r="E7881" t="s">
        <v>616</v>
      </c>
      <c r="F7881">
        <v>219.71</v>
      </c>
      <c r="G7881">
        <v>230124</v>
      </c>
      <c r="H7881">
        <v>4580</v>
      </c>
      <c r="I7881" t="s">
        <v>35</v>
      </c>
      <c r="J7881">
        <v>272.44</v>
      </c>
      <c r="K7881">
        <v>52.73</v>
      </c>
      <c r="L7881">
        <v>17522</v>
      </c>
      <c r="M7881" t="s">
        <v>451</v>
      </c>
      <c r="N7881" t="str">
        <f>"1166        "</f>
        <v xml:space="preserve">1166        </v>
      </c>
      <c r="O7881">
        <v>230130</v>
      </c>
    </row>
    <row r="7882" spans="1:15" x14ac:dyDescent="0.25">
      <c r="A7882" t="s">
        <v>16</v>
      </c>
      <c r="B7882" t="s">
        <v>3221</v>
      </c>
      <c r="C7882">
        <v>813</v>
      </c>
      <c r="D7882" t="s">
        <v>615</v>
      </c>
      <c r="E7882" t="s">
        <v>616</v>
      </c>
      <c r="F7882">
        <v>150.85</v>
      </c>
      <c r="G7882">
        <v>230123</v>
      </c>
      <c r="H7882">
        <v>4580</v>
      </c>
      <c r="I7882" t="s">
        <v>35</v>
      </c>
      <c r="J7882">
        <v>187.05</v>
      </c>
      <c r="K7882">
        <v>36.200000000000003</v>
      </c>
      <c r="L7882">
        <v>56565</v>
      </c>
      <c r="M7882" t="s">
        <v>758</v>
      </c>
      <c r="N7882" t="str">
        <f>"1218        "</f>
        <v xml:space="preserve">1218        </v>
      </c>
      <c r="O7882">
        <v>230130</v>
      </c>
    </row>
    <row r="7883" spans="1:15" x14ac:dyDescent="0.25">
      <c r="A7883" t="s">
        <v>16</v>
      </c>
      <c r="B7883" t="s">
        <v>3221</v>
      </c>
      <c r="C7883">
        <v>839</v>
      </c>
      <c r="D7883" t="s">
        <v>615</v>
      </c>
      <c r="E7883" t="s">
        <v>616</v>
      </c>
      <c r="F7883">
        <v>468.86</v>
      </c>
      <c r="G7883">
        <v>230125</v>
      </c>
      <c r="H7883">
        <v>4580</v>
      </c>
      <c r="I7883" t="s">
        <v>35</v>
      </c>
      <c r="J7883">
        <v>581.39</v>
      </c>
      <c r="K7883">
        <v>112.53</v>
      </c>
      <c r="L7883">
        <v>17803</v>
      </c>
      <c r="M7883" t="s">
        <v>389</v>
      </c>
      <c r="N7883" t="str">
        <f>"1299        "</f>
        <v xml:space="preserve">1299        </v>
      </c>
      <c r="O7883">
        <v>230131</v>
      </c>
    </row>
    <row r="7884" spans="1:15" x14ac:dyDescent="0.25">
      <c r="A7884" t="s">
        <v>16</v>
      </c>
      <c r="B7884" t="s">
        <v>3221</v>
      </c>
      <c r="C7884">
        <v>2798</v>
      </c>
      <c r="D7884" t="s">
        <v>615</v>
      </c>
      <c r="E7884" t="s">
        <v>616</v>
      </c>
      <c r="F7884">
        <v>418.54</v>
      </c>
      <c r="G7884">
        <v>230223</v>
      </c>
      <c r="H7884">
        <v>4580</v>
      </c>
      <c r="I7884" t="s">
        <v>35</v>
      </c>
      <c r="J7884">
        <v>518.99</v>
      </c>
      <c r="K7884">
        <v>100.45</v>
      </c>
      <c r="L7884">
        <v>56558</v>
      </c>
      <c r="M7884" t="s">
        <v>217</v>
      </c>
      <c r="N7884" t="str">
        <f>"1801        "</f>
        <v xml:space="preserve">1801        </v>
      </c>
      <c r="O7884">
        <v>230307</v>
      </c>
    </row>
    <row r="7885" spans="1:15" x14ac:dyDescent="0.25">
      <c r="A7885" t="s">
        <v>16</v>
      </c>
      <c r="B7885" t="s">
        <v>3221</v>
      </c>
      <c r="C7885">
        <v>2893</v>
      </c>
      <c r="D7885" t="s">
        <v>615</v>
      </c>
      <c r="E7885" t="s">
        <v>616</v>
      </c>
      <c r="F7885">
        <v>420.4</v>
      </c>
      <c r="G7885">
        <v>230223</v>
      </c>
      <c r="H7885">
        <v>4580</v>
      </c>
      <c r="I7885" t="s">
        <v>35</v>
      </c>
      <c r="J7885">
        <v>521.29999999999995</v>
      </c>
      <c r="K7885">
        <v>100.9</v>
      </c>
      <c r="L7885">
        <v>56558</v>
      </c>
      <c r="M7885" t="s">
        <v>217</v>
      </c>
      <c r="N7885" t="str">
        <f>"1800        "</f>
        <v xml:space="preserve">1800        </v>
      </c>
      <c r="O7885">
        <v>230308</v>
      </c>
    </row>
    <row r="7886" spans="1:15" x14ac:dyDescent="0.25">
      <c r="A7886" t="s">
        <v>16</v>
      </c>
      <c r="B7886" t="s">
        <v>3221</v>
      </c>
      <c r="C7886">
        <v>3555</v>
      </c>
      <c r="D7886" t="s">
        <v>615</v>
      </c>
      <c r="E7886" t="s">
        <v>616</v>
      </c>
      <c r="F7886">
        <v>17.84</v>
      </c>
      <c r="G7886">
        <v>230315</v>
      </c>
      <c r="H7886">
        <v>4580</v>
      </c>
      <c r="I7886" t="s">
        <v>35</v>
      </c>
      <c r="J7886">
        <v>22.12</v>
      </c>
      <c r="K7886">
        <v>4.28</v>
      </c>
      <c r="L7886">
        <v>56565</v>
      </c>
      <c r="M7886" t="s">
        <v>758</v>
      </c>
      <c r="N7886" t="str">
        <f>"2125        "</f>
        <v xml:space="preserve">2125        </v>
      </c>
      <c r="O7886">
        <v>230316</v>
      </c>
    </row>
    <row r="7887" spans="1:15" x14ac:dyDescent="0.25">
      <c r="A7887" t="s">
        <v>16</v>
      </c>
      <c r="B7887" t="s">
        <v>3221</v>
      </c>
      <c r="C7887">
        <v>3692</v>
      </c>
      <c r="D7887" t="s">
        <v>615</v>
      </c>
      <c r="E7887" t="s">
        <v>616</v>
      </c>
      <c r="F7887">
        <v>360.49</v>
      </c>
      <c r="G7887">
        <v>230315</v>
      </c>
      <c r="H7887">
        <v>4580</v>
      </c>
      <c r="I7887" t="s">
        <v>35</v>
      </c>
      <c r="J7887">
        <v>447.01</v>
      </c>
      <c r="K7887">
        <v>86.52</v>
      </c>
      <c r="L7887">
        <v>56565</v>
      </c>
      <c r="M7887" t="s">
        <v>758</v>
      </c>
      <c r="N7887" t="str">
        <f>"2126        "</f>
        <v xml:space="preserve">2126        </v>
      </c>
      <c r="O7887">
        <v>230321</v>
      </c>
    </row>
    <row r="7888" spans="1:15" x14ac:dyDescent="0.25">
      <c r="A7888" t="s">
        <v>16</v>
      </c>
      <c r="B7888" t="s">
        <v>3221</v>
      </c>
      <c r="C7888">
        <v>3693</v>
      </c>
      <c r="D7888" t="s">
        <v>615</v>
      </c>
      <c r="E7888" t="s">
        <v>616</v>
      </c>
      <c r="F7888">
        <v>148.44999999999999</v>
      </c>
      <c r="G7888">
        <v>230315</v>
      </c>
      <c r="H7888">
        <v>4580</v>
      </c>
      <c r="I7888" t="s">
        <v>35</v>
      </c>
      <c r="J7888">
        <v>184.08</v>
      </c>
      <c r="K7888">
        <v>35.630000000000003</v>
      </c>
      <c r="L7888">
        <v>56565</v>
      </c>
      <c r="M7888" t="s">
        <v>758</v>
      </c>
      <c r="N7888" t="str">
        <f>"2140        "</f>
        <v xml:space="preserve">2140        </v>
      </c>
      <c r="O7888">
        <v>230321</v>
      </c>
    </row>
    <row r="7889" spans="1:15" x14ac:dyDescent="0.25">
      <c r="A7889" t="s">
        <v>16</v>
      </c>
      <c r="B7889" t="s">
        <v>3221</v>
      </c>
      <c r="C7889">
        <v>6113</v>
      </c>
      <c r="D7889" t="s">
        <v>615</v>
      </c>
      <c r="E7889" t="s">
        <v>616</v>
      </c>
      <c r="F7889">
        <v>607.01</v>
      </c>
      <c r="G7889">
        <v>230503</v>
      </c>
      <c r="H7889">
        <v>4580</v>
      </c>
      <c r="I7889" t="s">
        <v>35</v>
      </c>
      <c r="J7889">
        <v>752.69</v>
      </c>
      <c r="K7889">
        <v>145.68</v>
      </c>
      <c r="L7889">
        <v>17522</v>
      </c>
      <c r="M7889" t="s">
        <v>451</v>
      </c>
      <c r="N7889" t="str">
        <f>"3046        "</f>
        <v xml:space="preserve">3046        </v>
      </c>
      <c r="O7889">
        <v>230508</v>
      </c>
    </row>
    <row r="7890" spans="1:15" x14ac:dyDescent="0.25">
      <c r="A7890" t="s">
        <v>16</v>
      </c>
      <c r="B7890" t="s">
        <v>3221</v>
      </c>
      <c r="C7890">
        <v>6114</v>
      </c>
      <c r="D7890" t="s">
        <v>615</v>
      </c>
      <c r="E7890" t="s">
        <v>616</v>
      </c>
      <c r="F7890">
        <v>393.54</v>
      </c>
      <c r="G7890">
        <v>230503</v>
      </c>
      <c r="H7890">
        <v>4580</v>
      </c>
      <c r="I7890" t="s">
        <v>35</v>
      </c>
      <c r="J7890">
        <v>487.99</v>
      </c>
      <c r="K7890">
        <v>94.45</v>
      </c>
      <c r="L7890">
        <v>17804</v>
      </c>
      <c r="M7890" t="s">
        <v>549</v>
      </c>
      <c r="N7890" t="str">
        <f>"3057        "</f>
        <v xml:space="preserve">3057        </v>
      </c>
      <c r="O7890">
        <v>230508</v>
      </c>
    </row>
    <row r="7891" spans="1:15" x14ac:dyDescent="0.25">
      <c r="A7891" t="s">
        <v>16</v>
      </c>
      <c r="B7891" t="s">
        <v>3221</v>
      </c>
      <c r="C7891">
        <v>7107</v>
      </c>
      <c r="D7891" t="s">
        <v>615</v>
      </c>
      <c r="E7891" t="s">
        <v>616</v>
      </c>
      <c r="F7891">
        <v>259.88</v>
      </c>
      <c r="G7891">
        <v>230522</v>
      </c>
      <c r="H7891">
        <v>4580</v>
      </c>
      <c r="I7891" t="s">
        <v>35</v>
      </c>
      <c r="J7891">
        <v>322.25</v>
      </c>
      <c r="K7891">
        <v>62.37</v>
      </c>
      <c r="L7891">
        <v>56558</v>
      </c>
      <c r="M7891" t="s">
        <v>217</v>
      </c>
      <c r="N7891" t="str">
        <f>"3374        "</f>
        <v xml:space="preserve">3374        </v>
      </c>
      <c r="O7891">
        <v>230525</v>
      </c>
    </row>
    <row r="7892" spans="1:15" x14ac:dyDescent="0.25">
      <c r="A7892" t="s">
        <v>16</v>
      </c>
      <c r="B7892" t="s">
        <v>3221</v>
      </c>
      <c r="C7892">
        <v>7946</v>
      </c>
      <c r="D7892" t="s">
        <v>615</v>
      </c>
      <c r="E7892" t="s">
        <v>616</v>
      </c>
      <c r="F7892">
        <v>296.64999999999998</v>
      </c>
      <c r="G7892">
        <v>230530</v>
      </c>
      <c r="H7892">
        <v>4580</v>
      </c>
      <c r="I7892" t="s">
        <v>35</v>
      </c>
      <c r="J7892">
        <v>367.85</v>
      </c>
      <c r="K7892">
        <v>71.2</v>
      </c>
      <c r="L7892">
        <v>56565</v>
      </c>
      <c r="M7892" t="s">
        <v>758</v>
      </c>
      <c r="N7892" t="str">
        <f>"3532        "</f>
        <v xml:space="preserve">3532        </v>
      </c>
      <c r="O7892">
        <v>230606</v>
      </c>
    </row>
    <row r="7893" spans="1:15" x14ac:dyDescent="0.25">
      <c r="A7893" t="s">
        <v>16</v>
      </c>
      <c r="B7893" t="s">
        <v>3221</v>
      </c>
      <c r="C7893">
        <v>8570</v>
      </c>
      <c r="D7893" t="s">
        <v>615</v>
      </c>
      <c r="E7893" t="s">
        <v>616</v>
      </c>
      <c r="F7893">
        <v>21.76</v>
      </c>
      <c r="G7893">
        <v>230608</v>
      </c>
      <c r="H7893">
        <v>4580</v>
      </c>
      <c r="I7893" t="s">
        <v>35</v>
      </c>
      <c r="J7893">
        <v>26.98</v>
      </c>
      <c r="K7893">
        <v>5.22</v>
      </c>
      <c r="L7893">
        <v>56565</v>
      </c>
      <c r="M7893" t="s">
        <v>758</v>
      </c>
      <c r="N7893" t="str">
        <f>"3743        "</f>
        <v xml:space="preserve">3743        </v>
      </c>
      <c r="O7893">
        <v>230612</v>
      </c>
    </row>
    <row r="7894" spans="1:15" x14ac:dyDescent="0.25">
      <c r="A7894" t="s">
        <v>16</v>
      </c>
      <c r="B7894" t="s">
        <v>3221</v>
      </c>
      <c r="C7894">
        <v>11017</v>
      </c>
      <c r="D7894" t="s">
        <v>615</v>
      </c>
      <c r="E7894" t="s">
        <v>616</v>
      </c>
      <c r="F7894">
        <v>266.85000000000002</v>
      </c>
      <c r="G7894">
        <v>230824</v>
      </c>
      <c r="H7894">
        <v>4580</v>
      </c>
      <c r="I7894" t="s">
        <v>35</v>
      </c>
      <c r="J7894">
        <v>330.89</v>
      </c>
      <c r="K7894">
        <v>64.040000000000006</v>
      </c>
      <c r="L7894">
        <v>56558</v>
      </c>
      <c r="M7894" t="s">
        <v>217</v>
      </c>
      <c r="N7894" t="str">
        <f>"4627        "</f>
        <v xml:space="preserve">4627        </v>
      </c>
      <c r="O7894">
        <v>230828</v>
      </c>
    </row>
    <row r="7895" spans="1:15" x14ac:dyDescent="0.25">
      <c r="A7895" t="s">
        <v>16</v>
      </c>
      <c r="B7895" t="s">
        <v>3221</v>
      </c>
      <c r="C7895">
        <v>11018</v>
      </c>
      <c r="D7895" t="s">
        <v>615</v>
      </c>
      <c r="E7895" t="s">
        <v>616</v>
      </c>
      <c r="F7895">
        <v>361.19</v>
      </c>
      <c r="G7895">
        <v>230824</v>
      </c>
      <c r="H7895">
        <v>4580</v>
      </c>
      <c r="I7895" t="s">
        <v>35</v>
      </c>
      <c r="J7895">
        <v>447.88</v>
      </c>
      <c r="K7895">
        <v>86.69</v>
      </c>
      <c r="L7895">
        <v>56558</v>
      </c>
      <c r="M7895" t="s">
        <v>217</v>
      </c>
      <c r="N7895" t="str">
        <f>"4628        "</f>
        <v xml:space="preserve">4628        </v>
      </c>
      <c r="O7895">
        <v>230828</v>
      </c>
    </row>
    <row r="7896" spans="1:15" x14ac:dyDescent="0.25">
      <c r="A7896" t="s">
        <v>16</v>
      </c>
      <c r="B7896" t="s">
        <v>3221</v>
      </c>
      <c r="C7896">
        <v>12119</v>
      </c>
      <c r="D7896" t="s">
        <v>615</v>
      </c>
      <c r="E7896" t="s">
        <v>616</v>
      </c>
      <c r="F7896">
        <v>371.9</v>
      </c>
      <c r="G7896">
        <v>230911</v>
      </c>
      <c r="H7896">
        <v>4580</v>
      </c>
      <c r="I7896" t="s">
        <v>35</v>
      </c>
      <c r="J7896">
        <v>461.16</v>
      </c>
      <c r="K7896">
        <v>89.26</v>
      </c>
      <c r="L7896">
        <v>17804</v>
      </c>
      <c r="M7896" t="s">
        <v>549</v>
      </c>
      <c r="N7896" t="str">
        <f>"4905        "</f>
        <v xml:space="preserve">4905        </v>
      </c>
      <c r="O7896">
        <v>230914</v>
      </c>
    </row>
    <row r="7897" spans="1:15" x14ac:dyDescent="0.25">
      <c r="A7897" t="s">
        <v>16</v>
      </c>
      <c r="B7897" t="s">
        <v>3221</v>
      </c>
      <c r="C7897">
        <v>12120</v>
      </c>
      <c r="D7897" t="s">
        <v>615</v>
      </c>
      <c r="E7897" t="s">
        <v>616</v>
      </c>
      <c r="F7897">
        <v>948.33</v>
      </c>
      <c r="G7897">
        <v>230911</v>
      </c>
      <c r="H7897">
        <v>4580</v>
      </c>
      <c r="I7897" t="s">
        <v>35</v>
      </c>
      <c r="J7897">
        <v>1175.93</v>
      </c>
      <c r="K7897">
        <v>227.6</v>
      </c>
      <c r="L7897">
        <v>17804</v>
      </c>
      <c r="M7897" t="s">
        <v>549</v>
      </c>
      <c r="N7897" t="str">
        <f>"4900        "</f>
        <v xml:space="preserve">4900        </v>
      </c>
      <c r="O7897">
        <v>230914</v>
      </c>
    </row>
    <row r="7898" spans="1:15" x14ac:dyDescent="0.25">
      <c r="A7898" t="s">
        <v>16</v>
      </c>
      <c r="B7898" t="s">
        <v>3221</v>
      </c>
      <c r="C7898">
        <v>12696</v>
      </c>
      <c r="D7898" t="s">
        <v>615</v>
      </c>
      <c r="E7898" t="s">
        <v>616</v>
      </c>
      <c r="F7898">
        <v>3.88</v>
      </c>
      <c r="G7898">
        <v>230919</v>
      </c>
      <c r="H7898">
        <v>4580</v>
      </c>
      <c r="I7898" t="s">
        <v>35</v>
      </c>
      <c r="J7898">
        <v>4.8099999999999996</v>
      </c>
      <c r="K7898">
        <v>0.93</v>
      </c>
      <c r="L7898">
        <v>56558</v>
      </c>
      <c r="M7898" t="s">
        <v>217</v>
      </c>
      <c r="N7898" t="str">
        <f>"5071        "</f>
        <v xml:space="preserve">5071        </v>
      </c>
      <c r="O7898">
        <v>230925</v>
      </c>
    </row>
    <row r="7899" spans="1:15" x14ac:dyDescent="0.25">
      <c r="A7899" t="s">
        <v>16</v>
      </c>
      <c r="B7899" t="s">
        <v>3221</v>
      </c>
      <c r="C7899">
        <v>12703</v>
      </c>
      <c r="D7899" t="s">
        <v>615</v>
      </c>
      <c r="E7899" t="s">
        <v>616</v>
      </c>
      <c r="F7899">
        <v>379.94</v>
      </c>
      <c r="G7899">
        <v>230919</v>
      </c>
      <c r="H7899">
        <v>4580</v>
      </c>
      <c r="I7899" t="s">
        <v>35</v>
      </c>
      <c r="J7899">
        <v>471.13</v>
      </c>
      <c r="K7899">
        <v>91.19</v>
      </c>
      <c r="L7899">
        <v>56558</v>
      </c>
      <c r="M7899" t="s">
        <v>217</v>
      </c>
      <c r="N7899" t="str">
        <f>"5077        "</f>
        <v xml:space="preserve">5077        </v>
      </c>
      <c r="O7899">
        <v>230925</v>
      </c>
    </row>
    <row r="7900" spans="1:15" x14ac:dyDescent="0.25">
      <c r="A7900" t="s">
        <v>16</v>
      </c>
      <c r="B7900" t="s">
        <v>3221</v>
      </c>
      <c r="C7900">
        <v>13185</v>
      </c>
      <c r="D7900" t="s">
        <v>615</v>
      </c>
      <c r="E7900" t="s">
        <v>616</v>
      </c>
      <c r="F7900">
        <v>210.36</v>
      </c>
      <c r="G7900">
        <v>230926</v>
      </c>
      <c r="H7900">
        <v>4580</v>
      </c>
      <c r="I7900" t="s">
        <v>35</v>
      </c>
      <c r="J7900">
        <v>260.85000000000002</v>
      </c>
      <c r="K7900">
        <v>50.49</v>
      </c>
      <c r="L7900">
        <v>56565</v>
      </c>
      <c r="M7900" t="s">
        <v>758</v>
      </c>
      <c r="N7900" t="str">
        <f>"5184        "</f>
        <v xml:space="preserve">5184        </v>
      </c>
      <c r="O7900">
        <v>231005</v>
      </c>
    </row>
    <row r="7901" spans="1:15" x14ac:dyDescent="0.25">
      <c r="A7901" t="s">
        <v>16</v>
      </c>
      <c r="B7901" t="s">
        <v>3221</v>
      </c>
      <c r="C7901">
        <v>13296</v>
      </c>
      <c r="D7901" t="s">
        <v>615</v>
      </c>
      <c r="E7901" t="s">
        <v>616</v>
      </c>
      <c r="F7901">
        <v>69.31</v>
      </c>
      <c r="G7901">
        <v>230927</v>
      </c>
      <c r="H7901">
        <v>4580</v>
      </c>
      <c r="I7901" t="s">
        <v>35</v>
      </c>
      <c r="J7901">
        <v>85.94</v>
      </c>
      <c r="K7901">
        <v>16.63</v>
      </c>
      <c r="L7901">
        <v>17803</v>
      </c>
      <c r="M7901" t="s">
        <v>389</v>
      </c>
      <c r="N7901" t="str">
        <f>"5230        "</f>
        <v xml:space="preserve">5230        </v>
      </c>
      <c r="O7901">
        <v>231009</v>
      </c>
    </row>
    <row r="7902" spans="1:15" x14ac:dyDescent="0.25">
      <c r="A7902" t="s">
        <v>16</v>
      </c>
      <c r="B7902" t="s">
        <v>3221</v>
      </c>
      <c r="C7902">
        <v>13629</v>
      </c>
      <c r="D7902" t="s">
        <v>615</v>
      </c>
      <c r="E7902" t="s">
        <v>616</v>
      </c>
      <c r="F7902">
        <v>134</v>
      </c>
      <c r="G7902">
        <v>231003</v>
      </c>
      <c r="H7902">
        <v>4580</v>
      </c>
      <c r="I7902" t="s">
        <v>35</v>
      </c>
      <c r="J7902">
        <v>166.16</v>
      </c>
      <c r="K7902">
        <v>32.159999999999997</v>
      </c>
      <c r="L7902">
        <v>56558</v>
      </c>
      <c r="M7902" t="s">
        <v>217</v>
      </c>
      <c r="N7902" t="str">
        <f>"5318        "</f>
        <v xml:space="preserve">5318        </v>
      </c>
      <c r="O7902">
        <v>231012</v>
      </c>
    </row>
    <row r="7903" spans="1:15" x14ac:dyDescent="0.25">
      <c r="A7903" t="s">
        <v>16</v>
      </c>
      <c r="B7903" t="s">
        <v>3221</v>
      </c>
      <c r="C7903">
        <v>13873</v>
      </c>
      <c r="D7903" t="s">
        <v>615</v>
      </c>
      <c r="E7903" t="s">
        <v>616</v>
      </c>
      <c r="F7903">
        <v>262.22000000000003</v>
      </c>
      <c r="G7903">
        <v>231006</v>
      </c>
      <c r="H7903">
        <v>4580</v>
      </c>
      <c r="I7903" t="s">
        <v>35</v>
      </c>
      <c r="J7903">
        <v>325.14999999999998</v>
      </c>
      <c r="K7903">
        <v>62.93</v>
      </c>
      <c r="L7903">
        <v>17804</v>
      </c>
      <c r="M7903" t="s">
        <v>549</v>
      </c>
      <c r="N7903" t="str">
        <f>"5404        "</f>
        <v xml:space="preserve">5404        </v>
      </c>
      <c r="O7903">
        <v>231016</v>
      </c>
    </row>
    <row r="7904" spans="1:15" x14ac:dyDescent="0.25">
      <c r="A7904" t="s">
        <v>16</v>
      </c>
      <c r="B7904" t="s">
        <v>3221</v>
      </c>
      <c r="C7904">
        <v>14123</v>
      </c>
      <c r="D7904" t="s">
        <v>615</v>
      </c>
      <c r="E7904" t="s">
        <v>616</v>
      </c>
      <c r="F7904">
        <v>68.209999999999994</v>
      </c>
      <c r="G7904">
        <v>231013</v>
      </c>
      <c r="H7904">
        <v>4580</v>
      </c>
      <c r="I7904" t="s">
        <v>35</v>
      </c>
      <c r="J7904">
        <v>84.58</v>
      </c>
      <c r="K7904">
        <v>16.37</v>
      </c>
      <c r="L7904">
        <v>56558</v>
      </c>
      <c r="M7904" t="s">
        <v>217</v>
      </c>
      <c r="N7904" t="str">
        <f>"5546        "</f>
        <v xml:space="preserve">5546        </v>
      </c>
      <c r="O7904">
        <v>231019</v>
      </c>
    </row>
    <row r="7905" spans="1:15" x14ac:dyDescent="0.25">
      <c r="A7905" t="s">
        <v>16</v>
      </c>
      <c r="B7905" t="s">
        <v>3221</v>
      </c>
      <c r="C7905">
        <v>14124</v>
      </c>
      <c r="D7905" t="s">
        <v>615</v>
      </c>
      <c r="E7905" t="s">
        <v>616</v>
      </c>
      <c r="F7905">
        <v>978</v>
      </c>
      <c r="G7905">
        <v>231013</v>
      </c>
      <c r="H7905">
        <v>4580</v>
      </c>
      <c r="I7905" t="s">
        <v>35</v>
      </c>
      <c r="J7905">
        <v>1212.72</v>
      </c>
      <c r="K7905">
        <v>234.72</v>
      </c>
      <c r="L7905">
        <v>56558</v>
      </c>
      <c r="M7905" t="s">
        <v>217</v>
      </c>
      <c r="N7905" t="str">
        <f>"5547        "</f>
        <v xml:space="preserve">5547        </v>
      </c>
      <c r="O7905">
        <v>231019</v>
      </c>
    </row>
    <row r="7906" spans="1:15" x14ac:dyDescent="0.25">
      <c r="A7906" t="s">
        <v>16</v>
      </c>
      <c r="B7906" t="s">
        <v>3221</v>
      </c>
      <c r="C7906">
        <v>14657</v>
      </c>
      <c r="D7906" t="s">
        <v>615</v>
      </c>
      <c r="E7906" t="s">
        <v>616</v>
      </c>
      <c r="F7906">
        <v>533.58000000000004</v>
      </c>
      <c r="G7906">
        <v>231024</v>
      </c>
      <c r="H7906">
        <v>4580</v>
      </c>
      <c r="I7906" t="s">
        <v>35</v>
      </c>
      <c r="J7906">
        <v>661.64</v>
      </c>
      <c r="K7906">
        <v>128.06</v>
      </c>
      <c r="L7906">
        <v>17522</v>
      </c>
      <c r="M7906" t="s">
        <v>451</v>
      </c>
      <c r="N7906" t="str">
        <f>"5642        "</f>
        <v xml:space="preserve">5642        </v>
      </c>
      <c r="O7906">
        <v>231031</v>
      </c>
    </row>
    <row r="7907" spans="1:15" x14ac:dyDescent="0.25">
      <c r="A7907" t="s">
        <v>16</v>
      </c>
      <c r="B7907" t="s">
        <v>3221</v>
      </c>
      <c r="C7907">
        <v>15334</v>
      </c>
      <c r="D7907" t="s">
        <v>615</v>
      </c>
      <c r="E7907" t="s">
        <v>616</v>
      </c>
      <c r="F7907">
        <v>174.95</v>
      </c>
      <c r="G7907">
        <v>231101</v>
      </c>
      <c r="H7907">
        <v>4580</v>
      </c>
      <c r="I7907" t="s">
        <v>35</v>
      </c>
      <c r="J7907">
        <v>216.94</v>
      </c>
      <c r="K7907">
        <v>41.99</v>
      </c>
      <c r="L7907">
        <v>17804</v>
      </c>
      <c r="M7907" t="s">
        <v>549</v>
      </c>
      <c r="N7907" t="str">
        <f>"5834        "</f>
        <v xml:space="preserve">5834        </v>
      </c>
      <c r="O7907">
        <v>231113</v>
      </c>
    </row>
    <row r="7908" spans="1:15" x14ac:dyDescent="0.25">
      <c r="A7908" t="s">
        <v>16</v>
      </c>
      <c r="B7908" t="s">
        <v>3221</v>
      </c>
      <c r="C7908">
        <v>17205</v>
      </c>
      <c r="D7908" t="s">
        <v>615</v>
      </c>
      <c r="E7908" t="s">
        <v>616</v>
      </c>
      <c r="F7908">
        <v>356</v>
      </c>
      <c r="G7908">
        <v>231207</v>
      </c>
      <c r="H7908">
        <v>4580</v>
      </c>
      <c r="I7908" t="s">
        <v>35</v>
      </c>
      <c r="J7908">
        <v>441.44</v>
      </c>
      <c r="K7908">
        <v>85.44</v>
      </c>
      <c r="L7908">
        <v>56565</v>
      </c>
      <c r="M7908" t="s">
        <v>758</v>
      </c>
      <c r="N7908" t="str">
        <f>"6475        "</f>
        <v xml:space="preserve">6475        </v>
      </c>
      <c r="O7908">
        <v>231212</v>
      </c>
    </row>
    <row r="7909" spans="1:15" x14ac:dyDescent="0.25">
      <c r="A7909" t="s">
        <v>16</v>
      </c>
      <c r="B7909" t="s">
        <v>3221</v>
      </c>
      <c r="C7909">
        <v>17612</v>
      </c>
      <c r="D7909" t="s">
        <v>615</v>
      </c>
      <c r="E7909" t="s">
        <v>616</v>
      </c>
      <c r="F7909">
        <v>43.77</v>
      </c>
      <c r="G7909">
        <v>231214</v>
      </c>
      <c r="H7909">
        <v>4580</v>
      </c>
      <c r="I7909" t="s">
        <v>35</v>
      </c>
      <c r="J7909">
        <v>54.27</v>
      </c>
      <c r="K7909">
        <v>10.5</v>
      </c>
      <c r="L7909">
        <v>56558</v>
      </c>
      <c r="M7909" t="s">
        <v>217</v>
      </c>
      <c r="N7909" t="str">
        <f>"6604        "</f>
        <v xml:space="preserve">6604        </v>
      </c>
      <c r="O7909">
        <v>231215</v>
      </c>
    </row>
    <row r="7910" spans="1:15" x14ac:dyDescent="0.25">
      <c r="A7910" t="s">
        <v>16</v>
      </c>
      <c r="B7910" t="s">
        <v>3221</v>
      </c>
      <c r="C7910">
        <v>18576</v>
      </c>
      <c r="D7910" t="s">
        <v>615</v>
      </c>
      <c r="E7910" t="s">
        <v>616</v>
      </c>
      <c r="F7910">
        <v>216.78</v>
      </c>
      <c r="G7910">
        <v>231229</v>
      </c>
      <c r="H7910">
        <v>4580</v>
      </c>
      <c r="I7910" t="s">
        <v>35</v>
      </c>
      <c r="J7910">
        <v>268.81</v>
      </c>
      <c r="K7910">
        <v>52.03</v>
      </c>
      <c r="L7910">
        <v>17804</v>
      </c>
      <c r="M7910" t="s">
        <v>549</v>
      </c>
      <c r="N7910" t="str">
        <f>"6765        "</f>
        <v xml:space="preserve">6765        </v>
      </c>
      <c r="O7910">
        <v>240104</v>
      </c>
    </row>
    <row r="7911" spans="1:15" x14ac:dyDescent="0.25">
      <c r="A7911" t="s">
        <v>16</v>
      </c>
      <c r="B7911" t="s">
        <v>3221</v>
      </c>
      <c r="C7911">
        <v>7524</v>
      </c>
      <c r="D7911" t="s">
        <v>615</v>
      </c>
      <c r="E7911" t="s">
        <v>616</v>
      </c>
      <c r="F7911">
        <v>430.79</v>
      </c>
      <c r="G7911">
        <v>230530</v>
      </c>
      <c r="H7911">
        <v>4600</v>
      </c>
      <c r="I7911" t="s">
        <v>105</v>
      </c>
      <c r="J7911">
        <v>534.17999999999995</v>
      </c>
      <c r="K7911">
        <v>103.39</v>
      </c>
      <c r="L7911">
        <v>56558</v>
      </c>
      <c r="M7911" t="s">
        <v>217</v>
      </c>
      <c r="N7911" t="str">
        <f>"3533        "</f>
        <v xml:space="preserve">3533        </v>
      </c>
      <c r="O7911">
        <v>230531</v>
      </c>
    </row>
    <row r="7912" spans="1:15" x14ac:dyDescent="0.25">
      <c r="A7912" t="s">
        <v>16</v>
      </c>
      <c r="B7912" t="s">
        <v>3221</v>
      </c>
      <c r="C7912">
        <v>13554</v>
      </c>
      <c r="D7912" t="s">
        <v>615</v>
      </c>
      <c r="E7912" t="s">
        <v>616</v>
      </c>
      <c r="F7912">
        <v>165</v>
      </c>
      <c r="G7912">
        <v>231009</v>
      </c>
      <c r="H7912">
        <v>4600</v>
      </c>
      <c r="I7912" t="s">
        <v>105</v>
      </c>
      <c r="J7912">
        <v>204.6</v>
      </c>
      <c r="K7912">
        <v>39.6</v>
      </c>
      <c r="L7912">
        <v>56565</v>
      </c>
      <c r="M7912" t="s">
        <v>758</v>
      </c>
      <c r="N7912" t="str">
        <f>"5432        "</f>
        <v xml:space="preserve">5432        </v>
      </c>
      <c r="O7912">
        <v>231011</v>
      </c>
    </row>
    <row r="7913" spans="1:15" x14ac:dyDescent="0.25">
      <c r="A7913" t="s">
        <v>16</v>
      </c>
      <c r="B7913" t="s">
        <v>3221</v>
      </c>
      <c r="C7913">
        <v>14202</v>
      </c>
      <c r="D7913" t="s">
        <v>615</v>
      </c>
      <c r="E7913" t="s">
        <v>616</v>
      </c>
      <c r="F7913">
        <v>185.3</v>
      </c>
      <c r="G7913">
        <v>231006</v>
      </c>
      <c r="H7913">
        <v>4600</v>
      </c>
      <c r="I7913" t="s">
        <v>105</v>
      </c>
      <c r="J7913">
        <v>229.77</v>
      </c>
      <c r="K7913">
        <v>44.47</v>
      </c>
      <c r="L7913">
        <v>46554</v>
      </c>
      <c r="M7913" t="s">
        <v>117</v>
      </c>
      <c r="N7913" t="str">
        <f>"5411        "</f>
        <v xml:space="preserve">5411        </v>
      </c>
      <c r="O7913">
        <v>231024</v>
      </c>
    </row>
    <row r="7914" spans="1:15" x14ac:dyDescent="0.25">
      <c r="A7914" t="s">
        <v>16</v>
      </c>
      <c r="B7914" t="s">
        <v>3221</v>
      </c>
      <c r="C7914">
        <v>16335</v>
      </c>
      <c r="D7914" t="s">
        <v>615</v>
      </c>
      <c r="E7914" t="s">
        <v>616</v>
      </c>
      <c r="F7914">
        <v>415</v>
      </c>
      <c r="G7914">
        <v>231121</v>
      </c>
      <c r="H7914">
        <v>4600</v>
      </c>
      <c r="I7914" t="s">
        <v>105</v>
      </c>
      <c r="J7914">
        <v>514.6</v>
      </c>
      <c r="K7914">
        <v>99.6</v>
      </c>
      <c r="L7914">
        <v>56565</v>
      </c>
      <c r="M7914" t="s">
        <v>758</v>
      </c>
      <c r="N7914" t="str">
        <f>"6107        "</f>
        <v xml:space="preserve">6107        </v>
      </c>
      <c r="O7914">
        <v>231128</v>
      </c>
    </row>
    <row r="7915" spans="1:15" x14ac:dyDescent="0.25">
      <c r="A7915" t="s">
        <v>16</v>
      </c>
      <c r="B7915" t="s">
        <v>3221</v>
      </c>
      <c r="C7915">
        <v>16342</v>
      </c>
      <c r="D7915" t="s">
        <v>615</v>
      </c>
      <c r="E7915" t="s">
        <v>616</v>
      </c>
      <c r="F7915">
        <v>464.11</v>
      </c>
      <c r="G7915">
        <v>231121</v>
      </c>
      <c r="H7915">
        <v>4600</v>
      </c>
      <c r="I7915" t="s">
        <v>105</v>
      </c>
      <c r="J7915">
        <v>575.5</v>
      </c>
      <c r="K7915">
        <v>111.39</v>
      </c>
      <c r="L7915">
        <v>56565</v>
      </c>
      <c r="M7915" t="s">
        <v>758</v>
      </c>
      <c r="N7915" t="str">
        <f>"6108        "</f>
        <v xml:space="preserve">6108        </v>
      </c>
      <c r="O7915">
        <v>231128</v>
      </c>
    </row>
    <row r="7916" spans="1:15" x14ac:dyDescent="0.25">
      <c r="A7916" t="s">
        <v>16</v>
      </c>
      <c r="B7916" t="s">
        <v>3221</v>
      </c>
      <c r="C7916">
        <v>17800</v>
      </c>
      <c r="D7916" t="s">
        <v>615</v>
      </c>
      <c r="E7916" t="s">
        <v>616</v>
      </c>
      <c r="F7916">
        <v>423.81</v>
      </c>
      <c r="G7916">
        <v>231213</v>
      </c>
      <c r="H7916">
        <v>4600</v>
      </c>
      <c r="I7916" t="s">
        <v>105</v>
      </c>
      <c r="J7916">
        <v>525.52</v>
      </c>
      <c r="K7916">
        <v>101.71</v>
      </c>
      <c r="L7916">
        <v>56565</v>
      </c>
      <c r="M7916" t="s">
        <v>758</v>
      </c>
      <c r="N7916" t="str">
        <f>"6579        "</f>
        <v xml:space="preserve">6579        </v>
      </c>
      <c r="O7916">
        <v>231227</v>
      </c>
    </row>
    <row r="7917" spans="1:15" x14ac:dyDescent="0.25">
      <c r="A7917" t="s">
        <v>16</v>
      </c>
      <c r="B7917" t="s">
        <v>3221</v>
      </c>
      <c r="C7917">
        <v>13269</v>
      </c>
      <c r="D7917" t="s">
        <v>2654</v>
      </c>
      <c r="E7917" t="s">
        <v>2655</v>
      </c>
      <c r="F7917">
        <v>2170</v>
      </c>
      <c r="G7917">
        <v>231003</v>
      </c>
      <c r="H7917">
        <v>4350</v>
      </c>
      <c r="I7917" t="s">
        <v>546</v>
      </c>
      <c r="J7917">
        <v>2690.8</v>
      </c>
      <c r="K7917">
        <v>520.79999999999995</v>
      </c>
      <c r="L7917">
        <v>49702</v>
      </c>
      <c r="M7917" t="s">
        <v>584</v>
      </c>
      <c r="N7917" t="str">
        <f>"8614        "</f>
        <v xml:space="preserve">8614        </v>
      </c>
      <c r="O7917">
        <v>231009</v>
      </c>
    </row>
    <row r="7918" spans="1:15" x14ac:dyDescent="0.25">
      <c r="A7918" t="s">
        <v>16</v>
      </c>
      <c r="B7918" t="s">
        <v>3221</v>
      </c>
      <c r="C7918">
        <v>16576</v>
      </c>
      <c r="D7918" t="s">
        <v>2654</v>
      </c>
      <c r="E7918" t="s">
        <v>2655</v>
      </c>
      <c r="F7918">
        <v>170</v>
      </c>
      <c r="G7918">
        <v>231129</v>
      </c>
      <c r="H7918">
        <v>4350</v>
      </c>
      <c r="I7918" t="s">
        <v>546</v>
      </c>
      <c r="J7918">
        <v>210.8</v>
      </c>
      <c r="K7918">
        <v>40.799999999999997</v>
      </c>
      <c r="L7918">
        <v>49702</v>
      </c>
      <c r="M7918" t="s">
        <v>584</v>
      </c>
      <c r="N7918" t="str">
        <f>"8677        "</f>
        <v xml:space="preserve">8677        </v>
      </c>
      <c r="O7918">
        <v>231204</v>
      </c>
    </row>
    <row r="7919" spans="1:15" x14ac:dyDescent="0.25">
      <c r="A7919" t="s">
        <v>16</v>
      </c>
      <c r="B7919" t="s">
        <v>3221</v>
      </c>
      <c r="C7919">
        <v>10555</v>
      </c>
      <c r="D7919" t="s">
        <v>2395</v>
      </c>
      <c r="E7919" t="s">
        <v>2396</v>
      </c>
      <c r="F7919">
        <v>327</v>
      </c>
      <c r="G7919">
        <v>230811</v>
      </c>
      <c r="H7919">
        <v>4580</v>
      </c>
      <c r="I7919" t="s">
        <v>35</v>
      </c>
      <c r="J7919">
        <v>405.48</v>
      </c>
      <c r="K7919">
        <v>78.48</v>
      </c>
      <c r="L7919">
        <v>17522</v>
      </c>
      <c r="M7919" t="s">
        <v>451</v>
      </c>
      <c r="N7919" t="str">
        <f>"103054      "</f>
        <v xml:space="preserve">103054      </v>
      </c>
      <c r="O7919">
        <v>230818</v>
      </c>
    </row>
    <row r="7920" spans="1:15" x14ac:dyDescent="0.25">
      <c r="A7920" t="s">
        <v>16</v>
      </c>
      <c r="B7920" t="s">
        <v>3221</v>
      </c>
      <c r="C7920">
        <v>16404</v>
      </c>
      <c r="D7920" t="s">
        <v>2395</v>
      </c>
      <c r="E7920" t="s">
        <v>2396</v>
      </c>
      <c r="F7920">
        <v>392.95</v>
      </c>
      <c r="G7920">
        <v>231124</v>
      </c>
      <c r="H7920">
        <v>4580</v>
      </c>
      <c r="I7920" t="s">
        <v>35</v>
      </c>
      <c r="J7920">
        <v>487.26</v>
      </c>
      <c r="K7920">
        <v>94.31</v>
      </c>
      <c r="L7920">
        <v>56565</v>
      </c>
      <c r="M7920" t="s">
        <v>758</v>
      </c>
      <c r="N7920" t="str">
        <f>"103331      "</f>
        <v xml:space="preserve">103331      </v>
      </c>
      <c r="O7920">
        <v>231129</v>
      </c>
    </row>
    <row r="7921" spans="1:15" x14ac:dyDescent="0.25">
      <c r="A7921" t="s">
        <v>16</v>
      </c>
      <c r="B7921" t="s">
        <v>3221</v>
      </c>
      <c r="C7921">
        <v>18449</v>
      </c>
      <c r="D7921" t="s">
        <v>2395</v>
      </c>
      <c r="E7921" t="s">
        <v>2396</v>
      </c>
      <c r="F7921">
        <v>651</v>
      </c>
      <c r="G7921">
        <v>231227</v>
      </c>
      <c r="H7921">
        <v>4580</v>
      </c>
      <c r="I7921" t="s">
        <v>35</v>
      </c>
      <c r="J7921">
        <v>807.24</v>
      </c>
      <c r="K7921">
        <v>156.24</v>
      </c>
      <c r="L7921">
        <v>56565</v>
      </c>
      <c r="M7921" t="s">
        <v>758</v>
      </c>
      <c r="N7921" t="str">
        <f>"103392      "</f>
        <v xml:space="preserve">103392      </v>
      </c>
      <c r="O7921">
        <v>240103</v>
      </c>
    </row>
    <row r="7922" spans="1:15" x14ac:dyDescent="0.25">
      <c r="A7922" t="s">
        <v>16</v>
      </c>
      <c r="B7922" t="s">
        <v>3221</v>
      </c>
      <c r="C7922">
        <v>5220</v>
      </c>
      <c r="D7922" t="s">
        <v>3266</v>
      </c>
      <c r="E7922" t="s">
        <v>3267</v>
      </c>
      <c r="F7922">
        <v>150</v>
      </c>
      <c r="G7922">
        <v>230405</v>
      </c>
      <c r="H7922">
        <v>4346</v>
      </c>
      <c r="I7922" t="s">
        <v>197</v>
      </c>
      <c r="J7922">
        <v>150</v>
      </c>
      <c r="K7922">
        <v>0</v>
      </c>
      <c r="L7922">
        <v>49503</v>
      </c>
      <c r="M7922" t="s">
        <v>178</v>
      </c>
      <c r="N7922" t="str">
        <f>"161/230352  "</f>
        <v xml:space="preserve">161/230352  </v>
      </c>
      <c r="O7922">
        <v>230419</v>
      </c>
    </row>
    <row r="7923" spans="1:15" x14ac:dyDescent="0.25">
      <c r="A7923" t="s">
        <v>16</v>
      </c>
      <c r="B7923" t="s">
        <v>3221</v>
      </c>
      <c r="C7923">
        <v>5221</v>
      </c>
      <c r="D7923" t="s">
        <v>3266</v>
      </c>
      <c r="E7923" t="s">
        <v>3267</v>
      </c>
      <c r="F7923">
        <v>150</v>
      </c>
      <c r="G7923">
        <v>230405</v>
      </c>
      <c r="H7923">
        <v>4346</v>
      </c>
      <c r="I7923" t="s">
        <v>197</v>
      </c>
      <c r="J7923">
        <v>150</v>
      </c>
      <c r="K7923">
        <v>0</v>
      </c>
      <c r="L7923">
        <v>49501</v>
      </c>
      <c r="M7923" t="s">
        <v>177</v>
      </c>
      <c r="N7923" t="str">
        <f>"161/230353  "</f>
        <v xml:space="preserve">161/230353  </v>
      </c>
      <c r="O7923">
        <v>230419</v>
      </c>
    </row>
    <row r="7924" spans="1:15" x14ac:dyDescent="0.25">
      <c r="A7924" t="s">
        <v>16</v>
      </c>
      <c r="B7924" t="s">
        <v>3221</v>
      </c>
      <c r="C7924">
        <v>5264</v>
      </c>
      <c r="D7924" t="s">
        <v>3266</v>
      </c>
      <c r="E7924" t="s">
        <v>3267</v>
      </c>
      <c r="F7924">
        <v>150</v>
      </c>
      <c r="G7924">
        <v>230413</v>
      </c>
      <c r="H7924">
        <v>4346</v>
      </c>
      <c r="I7924" t="s">
        <v>197</v>
      </c>
      <c r="J7924">
        <v>150</v>
      </c>
      <c r="K7924">
        <v>0</v>
      </c>
      <c r="L7924">
        <v>49112</v>
      </c>
      <c r="M7924" t="s">
        <v>233</v>
      </c>
      <c r="N7924" t="str">
        <f>"161/230456  "</f>
        <v xml:space="preserve">161/230456  </v>
      </c>
      <c r="O7924">
        <v>230419</v>
      </c>
    </row>
    <row r="7925" spans="1:15" x14ac:dyDescent="0.25">
      <c r="A7925" t="s">
        <v>16</v>
      </c>
      <c r="B7925" t="s">
        <v>3221</v>
      </c>
      <c r="C7925">
        <v>7256</v>
      </c>
      <c r="D7925" t="s">
        <v>3266</v>
      </c>
      <c r="E7925" t="s">
        <v>3267</v>
      </c>
      <c r="F7925">
        <v>180</v>
      </c>
      <c r="G7925">
        <v>230517</v>
      </c>
      <c r="H7925">
        <v>4346</v>
      </c>
      <c r="I7925" t="s">
        <v>197</v>
      </c>
      <c r="J7925">
        <v>180</v>
      </c>
      <c r="K7925">
        <v>0</v>
      </c>
      <c r="L7925">
        <v>49112</v>
      </c>
      <c r="M7925" t="s">
        <v>233</v>
      </c>
      <c r="N7925" t="str">
        <f>"161/230725  "</f>
        <v xml:space="preserve">161/230725  </v>
      </c>
      <c r="O7925">
        <v>230526</v>
      </c>
    </row>
    <row r="7926" spans="1:15" x14ac:dyDescent="0.25">
      <c r="A7926" t="s">
        <v>16</v>
      </c>
      <c r="B7926" t="s">
        <v>3221</v>
      </c>
      <c r="C7926">
        <v>15844</v>
      </c>
      <c r="D7926" t="s">
        <v>3266</v>
      </c>
      <c r="E7926" t="s">
        <v>3267</v>
      </c>
      <c r="F7926">
        <v>200</v>
      </c>
      <c r="G7926">
        <v>231031</v>
      </c>
      <c r="H7926">
        <v>4346</v>
      </c>
      <c r="I7926" t="s">
        <v>197</v>
      </c>
      <c r="J7926">
        <v>200</v>
      </c>
      <c r="K7926">
        <v>0</v>
      </c>
      <c r="L7926">
        <v>13401</v>
      </c>
      <c r="M7926" t="s">
        <v>80</v>
      </c>
      <c r="N7926" t="str">
        <f>"161/231094  "</f>
        <v xml:space="preserve">161/231094  </v>
      </c>
      <c r="O7926">
        <v>231120</v>
      </c>
    </row>
    <row r="7927" spans="1:15" x14ac:dyDescent="0.25">
      <c r="A7927" t="s">
        <v>16</v>
      </c>
      <c r="B7927" t="s">
        <v>3221</v>
      </c>
      <c r="C7927">
        <v>18357</v>
      </c>
      <c r="D7927" t="s">
        <v>3266</v>
      </c>
      <c r="E7927" t="s">
        <v>3267</v>
      </c>
      <c r="F7927">
        <v>270</v>
      </c>
      <c r="G7927">
        <v>231215</v>
      </c>
      <c r="H7927">
        <v>4346</v>
      </c>
      <c r="I7927" t="s">
        <v>197</v>
      </c>
      <c r="J7927">
        <v>270</v>
      </c>
      <c r="K7927">
        <v>0</v>
      </c>
      <c r="L7927">
        <v>49503</v>
      </c>
      <c r="M7927" t="s">
        <v>178</v>
      </c>
      <c r="N7927" t="str">
        <f>"161/231189  "</f>
        <v xml:space="preserve">161/231189  </v>
      </c>
      <c r="O7927">
        <v>240103</v>
      </c>
    </row>
    <row r="7928" spans="1:15" x14ac:dyDescent="0.25">
      <c r="A7928" t="s">
        <v>16</v>
      </c>
      <c r="B7928" t="s">
        <v>3221</v>
      </c>
      <c r="C7928">
        <v>5277</v>
      </c>
      <c r="D7928" t="s">
        <v>3266</v>
      </c>
      <c r="E7928" t="s">
        <v>3267</v>
      </c>
      <c r="F7928">
        <v>150</v>
      </c>
      <c r="G7928">
        <v>230405</v>
      </c>
      <c r="H7928">
        <v>4470</v>
      </c>
      <c r="I7928" t="s">
        <v>83</v>
      </c>
      <c r="J7928">
        <v>150</v>
      </c>
      <c r="K7928">
        <v>0</v>
      </c>
      <c r="L7928">
        <v>13401</v>
      </c>
      <c r="M7928" t="s">
        <v>80</v>
      </c>
      <c r="N7928" t="str">
        <f>"161/230351  "</f>
        <v xml:space="preserve">161/230351  </v>
      </c>
      <c r="O7928">
        <v>230420</v>
      </c>
    </row>
    <row r="7929" spans="1:15" x14ac:dyDescent="0.25">
      <c r="A7929" t="s">
        <v>16</v>
      </c>
      <c r="B7929" t="s">
        <v>3221</v>
      </c>
      <c r="C7929">
        <v>8756</v>
      </c>
      <c r="D7929" t="s">
        <v>2201</v>
      </c>
      <c r="E7929" t="s">
        <v>2202</v>
      </c>
      <c r="F7929">
        <v>1013.95</v>
      </c>
      <c r="G7929">
        <v>230603</v>
      </c>
      <c r="H7929">
        <v>4600</v>
      </c>
      <c r="I7929" t="s">
        <v>105</v>
      </c>
      <c r="J7929">
        <v>1257.3</v>
      </c>
      <c r="K7929">
        <v>243.35</v>
      </c>
      <c r="L7929">
        <v>46561</v>
      </c>
      <c r="M7929" t="s">
        <v>1236</v>
      </c>
      <c r="N7929" t="str">
        <f>"17469       "</f>
        <v xml:space="preserve">17469       </v>
      </c>
      <c r="O7929">
        <v>230614</v>
      </c>
    </row>
    <row r="7930" spans="1:15" x14ac:dyDescent="0.25">
      <c r="A7930" t="s">
        <v>16</v>
      </c>
      <c r="B7930" t="s">
        <v>3221</v>
      </c>
      <c r="C7930">
        <v>9441</v>
      </c>
      <c r="D7930" t="s">
        <v>2201</v>
      </c>
      <c r="E7930" t="s">
        <v>2202</v>
      </c>
      <c r="F7930">
        <v>138.87</v>
      </c>
      <c r="G7930">
        <v>230705</v>
      </c>
      <c r="H7930">
        <v>4600</v>
      </c>
      <c r="I7930" t="s">
        <v>105</v>
      </c>
      <c r="J7930">
        <v>172.2</v>
      </c>
      <c r="K7930">
        <v>33.33</v>
      </c>
      <c r="L7930">
        <v>46554</v>
      </c>
      <c r="M7930" t="s">
        <v>117</v>
      </c>
      <c r="N7930" t="str">
        <f>"17604       "</f>
        <v xml:space="preserve">17604       </v>
      </c>
      <c r="O7930">
        <v>230711</v>
      </c>
    </row>
    <row r="7931" spans="1:15" x14ac:dyDescent="0.25">
      <c r="A7931" t="s">
        <v>16</v>
      </c>
      <c r="B7931" t="s">
        <v>3221</v>
      </c>
      <c r="C7931">
        <v>1156</v>
      </c>
      <c r="D7931" t="s">
        <v>923</v>
      </c>
      <c r="E7931" t="s">
        <v>924</v>
      </c>
      <c r="F7931">
        <v>5.49</v>
      </c>
      <c r="G7931">
        <v>230131</v>
      </c>
      <c r="H7931">
        <v>4410</v>
      </c>
      <c r="I7931" t="s">
        <v>517</v>
      </c>
      <c r="J7931">
        <v>5.49</v>
      </c>
      <c r="K7931">
        <v>0</v>
      </c>
      <c r="L7931">
        <v>16121</v>
      </c>
      <c r="M7931" t="s">
        <v>21</v>
      </c>
      <c r="N7931" t="str">
        <f>"15161       "</f>
        <v xml:space="preserve">15161       </v>
      </c>
      <c r="O7931">
        <v>230206</v>
      </c>
    </row>
    <row r="7932" spans="1:15" x14ac:dyDescent="0.25">
      <c r="A7932" t="s">
        <v>16</v>
      </c>
      <c r="B7932" t="s">
        <v>3221</v>
      </c>
      <c r="C7932">
        <v>1156</v>
      </c>
      <c r="D7932" t="s">
        <v>923</v>
      </c>
      <c r="E7932" t="s">
        <v>924</v>
      </c>
      <c r="F7932">
        <v>4.82</v>
      </c>
      <c r="G7932">
        <v>230131</v>
      </c>
      <c r="H7932">
        <v>4410</v>
      </c>
      <c r="I7932" t="s">
        <v>517</v>
      </c>
      <c r="J7932">
        <v>5.49</v>
      </c>
      <c r="K7932">
        <v>0.67</v>
      </c>
      <c r="L7932">
        <v>16121</v>
      </c>
      <c r="M7932" t="s">
        <v>21</v>
      </c>
      <c r="N7932" t="str">
        <f>"15161       "</f>
        <v xml:space="preserve">15161       </v>
      </c>
      <c r="O7932">
        <v>230206</v>
      </c>
    </row>
    <row r="7933" spans="1:15" x14ac:dyDescent="0.25">
      <c r="A7933" t="s">
        <v>16</v>
      </c>
      <c r="B7933" t="s">
        <v>3221</v>
      </c>
      <c r="C7933">
        <v>1156</v>
      </c>
      <c r="D7933" t="s">
        <v>923</v>
      </c>
      <c r="E7933" t="s">
        <v>924</v>
      </c>
      <c r="F7933">
        <v>140</v>
      </c>
      <c r="G7933">
        <v>230131</v>
      </c>
      <c r="H7933">
        <v>4410</v>
      </c>
      <c r="I7933" t="s">
        <v>517</v>
      </c>
      <c r="J7933">
        <v>154</v>
      </c>
      <c r="K7933">
        <v>14</v>
      </c>
      <c r="L7933">
        <v>16121</v>
      </c>
      <c r="M7933" t="s">
        <v>21</v>
      </c>
      <c r="N7933" t="str">
        <f>"15161       "</f>
        <v xml:space="preserve">15161       </v>
      </c>
      <c r="O7933">
        <v>230206</v>
      </c>
    </row>
    <row r="7934" spans="1:15" x14ac:dyDescent="0.25">
      <c r="A7934" t="s">
        <v>16</v>
      </c>
      <c r="B7934" t="s">
        <v>3221</v>
      </c>
      <c r="C7934">
        <v>591</v>
      </c>
      <c r="D7934" t="s">
        <v>627</v>
      </c>
      <c r="E7934" t="s">
        <v>628</v>
      </c>
      <c r="F7934">
        <v>500</v>
      </c>
      <c r="G7934">
        <v>230119</v>
      </c>
      <c r="H7934">
        <v>4362</v>
      </c>
      <c r="I7934" t="s">
        <v>79</v>
      </c>
      <c r="J7934">
        <v>620</v>
      </c>
      <c r="K7934">
        <v>120</v>
      </c>
      <c r="L7934">
        <v>13401</v>
      </c>
      <c r="M7934" t="s">
        <v>80</v>
      </c>
      <c r="N7934" t="str">
        <f>"1336        "</f>
        <v xml:space="preserve">1336        </v>
      </c>
      <c r="O7934">
        <v>230125</v>
      </c>
    </row>
    <row r="7935" spans="1:15" x14ac:dyDescent="0.25">
      <c r="A7935" t="s">
        <v>16</v>
      </c>
      <c r="B7935" t="s">
        <v>3221</v>
      </c>
      <c r="C7935">
        <v>591</v>
      </c>
      <c r="D7935" t="s">
        <v>627</v>
      </c>
      <c r="E7935" t="s">
        <v>628</v>
      </c>
      <c r="F7935">
        <v>500</v>
      </c>
      <c r="G7935">
        <v>230119</v>
      </c>
      <c r="H7935">
        <v>4362</v>
      </c>
      <c r="I7935" t="s">
        <v>79</v>
      </c>
      <c r="J7935">
        <v>620</v>
      </c>
      <c r="K7935">
        <v>120</v>
      </c>
      <c r="L7935">
        <v>13501</v>
      </c>
      <c r="M7935" t="s">
        <v>20</v>
      </c>
      <c r="N7935" t="str">
        <f>"1336        "</f>
        <v xml:space="preserve">1336        </v>
      </c>
      <c r="O7935">
        <v>230125</v>
      </c>
    </row>
    <row r="7936" spans="1:15" x14ac:dyDescent="0.25">
      <c r="A7936" t="s">
        <v>16</v>
      </c>
      <c r="B7936" t="s">
        <v>3221</v>
      </c>
      <c r="C7936">
        <v>2074</v>
      </c>
      <c r="D7936" t="s">
        <v>274</v>
      </c>
      <c r="E7936" t="s">
        <v>275</v>
      </c>
      <c r="F7936">
        <v>358.87</v>
      </c>
      <c r="G7936">
        <v>230220</v>
      </c>
      <c r="H7936">
        <v>4580</v>
      </c>
      <c r="I7936" t="s">
        <v>35</v>
      </c>
      <c r="J7936">
        <v>445</v>
      </c>
      <c r="K7936">
        <v>86.13</v>
      </c>
      <c r="L7936">
        <v>17803</v>
      </c>
      <c r="M7936" t="s">
        <v>389</v>
      </c>
      <c r="N7936" t="str">
        <f>"103090      "</f>
        <v xml:space="preserve">103090      </v>
      </c>
      <c r="O7936">
        <v>230220</v>
      </c>
    </row>
    <row r="7937" spans="1:15" x14ac:dyDescent="0.25">
      <c r="A7937" t="s">
        <v>16</v>
      </c>
      <c r="B7937" t="s">
        <v>3221</v>
      </c>
      <c r="C7937">
        <v>3310</v>
      </c>
      <c r="D7937" t="s">
        <v>274</v>
      </c>
      <c r="E7937" t="s">
        <v>275</v>
      </c>
      <c r="F7937">
        <v>241.94</v>
      </c>
      <c r="G7937">
        <v>230313</v>
      </c>
      <c r="H7937">
        <v>4580</v>
      </c>
      <c r="I7937" t="s">
        <v>35</v>
      </c>
      <c r="J7937">
        <v>300</v>
      </c>
      <c r="K7937">
        <v>58.06</v>
      </c>
      <c r="L7937">
        <v>17803</v>
      </c>
      <c r="M7937" t="s">
        <v>389</v>
      </c>
      <c r="N7937" t="str">
        <f>"103903      "</f>
        <v xml:space="preserve">103903      </v>
      </c>
      <c r="O7937">
        <v>230314</v>
      </c>
    </row>
    <row r="7938" spans="1:15" x14ac:dyDescent="0.25">
      <c r="A7938" t="s">
        <v>16</v>
      </c>
      <c r="B7938" t="s">
        <v>3221</v>
      </c>
      <c r="C7938">
        <v>4995</v>
      </c>
      <c r="D7938" t="s">
        <v>274</v>
      </c>
      <c r="E7938" t="s">
        <v>275</v>
      </c>
      <c r="F7938">
        <v>7800</v>
      </c>
      <c r="G7938">
        <v>230414</v>
      </c>
      <c r="H7938">
        <v>4580</v>
      </c>
      <c r="I7938" t="s">
        <v>35</v>
      </c>
      <c r="J7938">
        <v>7800</v>
      </c>
      <c r="K7938">
        <v>0</v>
      </c>
      <c r="L7938">
        <v>17804</v>
      </c>
      <c r="M7938" t="s">
        <v>549</v>
      </c>
      <c r="N7938" t="str">
        <f>"105978      "</f>
        <v xml:space="preserve">105978      </v>
      </c>
      <c r="O7938">
        <v>230417</v>
      </c>
    </row>
    <row r="7939" spans="1:15" x14ac:dyDescent="0.25">
      <c r="A7939" t="s">
        <v>16</v>
      </c>
      <c r="B7939" t="s">
        <v>3221</v>
      </c>
      <c r="C7939">
        <v>12042</v>
      </c>
      <c r="D7939" t="s">
        <v>274</v>
      </c>
      <c r="E7939" t="s">
        <v>275</v>
      </c>
      <c r="F7939">
        <v>1950</v>
      </c>
      <c r="G7939">
        <v>230911</v>
      </c>
      <c r="H7939">
        <v>4580</v>
      </c>
      <c r="I7939" t="s">
        <v>35</v>
      </c>
      <c r="J7939">
        <v>1950</v>
      </c>
      <c r="K7939">
        <v>0</v>
      </c>
      <c r="L7939">
        <v>17804</v>
      </c>
      <c r="M7939" t="s">
        <v>549</v>
      </c>
      <c r="N7939" t="str">
        <f>"114353      "</f>
        <v xml:space="preserve">114353      </v>
      </c>
      <c r="O7939">
        <v>230913</v>
      </c>
    </row>
    <row r="7940" spans="1:15" x14ac:dyDescent="0.25">
      <c r="A7940" t="s">
        <v>16</v>
      </c>
      <c r="B7940" t="s">
        <v>3221</v>
      </c>
      <c r="C7940">
        <v>178</v>
      </c>
      <c r="D7940" t="s">
        <v>274</v>
      </c>
      <c r="E7940" t="s">
        <v>275</v>
      </c>
      <c r="F7940">
        <v>60</v>
      </c>
      <c r="G7940">
        <v>230109</v>
      </c>
      <c r="H7940">
        <v>4470</v>
      </c>
      <c r="I7940" t="s">
        <v>83</v>
      </c>
      <c r="J7940">
        <v>74.400000000000006</v>
      </c>
      <c r="K7940">
        <v>14.4</v>
      </c>
      <c r="L7940">
        <v>46570</v>
      </c>
      <c r="M7940" t="s">
        <v>276</v>
      </c>
      <c r="N7940" t="str">
        <f>"201524      "</f>
        <v xml:space="preserve">201524      </v>
      </c>
      <c r="O7940">
        <v>230116</v>
      </c>
    </row>
    <row r="7941" spans="1:15" x14ac:dyDescent="0.25">
      <c r="A7941" t="s">
        <v>16</v>
      </c>
      <c r="B7941" t="s">
        <v>3221</v>
      </c>
      <c r="C7941">
        <v>3955</v>
      </c>
      <c r="D7941" t="s">
        <v>274</v>
      </c>
      <c r="E7941" t="s">
        <v>275</v>
      </c>
      <c r="F7941">
        <v>30</v>
      </c>
      <c r="G7941">
        <v>230321</v>
      </c>
      <c r="H7941">
        <v>4470</v>
      </c>
      <c r="I7941" t="s">
        <v>83</v>
      </c>
      <c r="J7941">
        <v>37.200000000000003</v>
      </c>
      <c r="K7941">
        <v>7.2</v>
      </c>
      <c r="L7941">
        <v>46572</v>
      </c>
      <c r="M7941" t="s">
        <v>1644</v>
      </c>
      <c r="N7941" t="str">
        <f>"204326      "</f>
        <v xml:space="preserve">204326      </v>
      </c>
      <c r="O7941">
        <v>230328</v>
      </c>
    </row>
    <row r="7942" spans="1:15" x14ac:dyDescent="0.25">
      <c r="A7942" t="s">
        <v>16</v>
      </c>
      <c r="B7942" t="s">
        <v>3221</v>
      </c>
      <c r="C7942">
        <v>3956</v>
      </c>
      <c r="D7942" t="s">
        <v>274</v>
      </c>
      <c r="E7942" t="s">
        <v>275</v>
      </c>
      <c r="F7942">
        <v>15</v>
      </c>
      <c r="G7942">
        <v>230321</v>
      </c>
      <c r="H7942">
        <v>4470</v>
      </c>
      <c r="I7942" t="s">
        <v>83</v>
      </c>
      <c r="J7942">
        <v>18.600000000000001</v>
      </c>
      <c r="K7942">
        <v>3.6</v>
      </c>
      <c r="L7942">
        <v>46572</v>
      </c>
      <c r="M7942" t="s">
        <v>1644</v>
      </c>
      <c r="N7942" t="str">
        <f>"204327      "</f>
        <v xml:space="preserve">204327      </v>
      </c>
      <c r="O7942">
        <v>230328</v>
      </c>
    </row>
    <row r="7943" spans="1:15" x14ac:dyDescent="0.25">
      <c r="A7943" t="s">
        <v>16</v>
      </c>
      <c r="B7943" t="s">
        <v>3221</v>
      </c>
      <c r="C7943">
        <v>4752</v>
      </c>
      <c r="D7943" t="s">
        <v>274</v>
      </c>
      <c r="E7943" t="s">
        <v>275</v>
      </c>
      <c r="F7943">
        <v>60</v>
      </c>
      <c r="G7943">
        <v>230404</v>
      </c>
      <c r="H7943">
        <v>4470</v>
      </c>
      <c r="I7943" t="s">
        <v>83</v>
      </c>
      <c r="J7943">
        <v>74.400000000000006</v>
      </c>
      <c r="K7943">
        <v>14.4</v>
      </c>
      <c r="L7943">
        <v>56562</v>
      </c>
      <c r="M7943" t="s">
        <v>126</v>
      </c>
      <c r="N7943" t="str">
        <f>"204730      "</f>
        <v xml:space="preserve">204730      </v>
      </c>
      <c r="O7943">
        <v>230412</v>
      </c>
    </row>
    <row r="7944" spans="1:15" x14ac:dyDescent="0.25">
      <c r="A7944" t="s">
        <v>16</v>
      </c>
      <c r="B7944" t="s">
        <v>3221</v>
      </c>
      <c r="C7944">
        <v>4757</v>
      </c>
      <c r="D7944" t="s">
        <v>274</v>
      </c>
      <c r="E7944" t="s">
        <v>275</v>
      </c>
      <c r="F7944">
        <v>220</v>
      </c>
      <c r="G7944">
        <v>230405</v>
      </c>
      <c r="H7944">
        <v>4470</v>
      </c>
      <c r="I7944" t="s">
        <v>83</v>
      </c>
      <c r="J7944">
        <v>272.8</v>
      </c>
      <c r="K7944">
        <v>52.8</v>
      </c>
      <c r="L7944">
        <v>56562</v>
      </c>
      <c r="M7944" t="s">
        <v>126</v>
      </c>
      <c r="N7944" t="str">
        <f>"204874      "</f>
        <v xml:space="preserve">204874      </v>
      </c>
      <c r="O7944">
        <v>230412</v>
      </c>
    </row>
    <row r="7945" spans="1:15" x14ac:dyDescent="0.25">
      <c r="A7945" t="s">
        <v>16</v>
      </c>
      <c r="B7945" t="s">
        <v>3221</v>
      </c>
      <c r="C7945">
        <v>4961</v>
      </c>
      <c r="D7945" t="s">
        <v>274</v>
      </c>
      <c r="E7945" t="s">
        <v>275</v>
      </c>
      <c r="F7945">
        <v>90</v>
      </c>
      <c r="G7945">
        <v>230331</v>
      </c>
      <c r="H7945">
        <v>4470</v>
      </c>
      <c r="I7945" t="s">
        <v>83</v>
      </c>
      <c r="J7945">
        <v>111.6</v>
      </c>
      <c r="K7945">
        <v>21.6</v>
      </c>
      <c r="L7945">
        <v>56575</v>
      </c>
      <c r="M7945" t="s">
        <v>95</v>
      </c>
      <c r="N7945" t="str">
        <f>"204694      "</f>
        <v xml:space="preserve">204694      </v>
      </c>
      <c r="O7945">
        <v>230414</v>
      </c>
    </row>
    <row r="7946" spans="1:15" x14ac:dyDescent="0.25">
      <c r="A7946" t="s">
        <v>16</v>
      </c>
      <c r="B7946" t="s">
        <v>3221</v>
      </c>
      <c r="C7946">
        <v>4979</v>
      </c>
      <c r="D7946" t="s">
        <v>274</v>
      </c>
      <c r="E7946" t="s">
        <v>275</v>
      </c>
      <c r="F7946">
        <v>60</v>
      </c>
      <c r="G7946">
        <v>230329</v>
      </c>
      <c r="H7946">
        <v>4470</v>
      </c>
      <c r="I7946" t="s">
        <v>83</v>
      </c>
      <c r="J7946">
        <v>74.400000000000006</v>
      </c>
      <c r="K7946">
        <v>14.4</v>
      </c>
      <c r="L7946">
        <v>56575</v>
      </c>
      <c r="M7946" t="s">
        <v>95</v>
      </c>
      <c r="N7946" t="str">
        <f>"204600      "</f>
        <v xml:space="preserve">204600      </v>
      </c>
      <c r="O7946">
        <v>230414</v>
      </c>
    </row>
    <row r="7947" spans="1:15" x14ac:dyDescent="0.25">
      <c r="A7947" t="s">
        <v>16</v>
      </c>
      <c r="B7947" t="s">
        <v>3221</v>
      </c>
      <c r="C7947">
        <v>4987</v>
      </c>
      <c r="D7947" t="s">
        <v>274</v>
      </c>
      <c r="E7947" t="s">
        <v>275</v>
      </c>
      <c r="F7947">
        <v>30</v>
      </c>
      <c r="G7947">
        <v>230323</v>
      </c>
      <c r="H7947">
        <v>4470</v>
      </c>
      <c r="I7947" t="s">
        <v>83</v>
      </c>
      <c r="J7947">
        <v>37.200000000000003</v>
      </c>
      <c r="K7947">
        <v>7.2</v>
      </c>
      <c r="L7947">
        <v>56575</v>
      </c>
      <c r="M7947" t="s">
        <v>95</v>
      </c>
      <c r="N7947" t="str">
        <f>"204300      "</f>
        <v xml:space="preserve">204300      </v>
      </c>
      <c r="O7947">
        <v>230417</v>
      </c>
    </row>
    <row r="7948" spans="1:15" x14ac:dyDescent="0.25">
      <c r="A7948" t="s">
        <v>16</v>
      </c>
      <c r="B7948" t="s">
        <v>3221</v>
      </c>
      <c r="C7948">
        <v>4988</v>
      </c>
      <c r="D7948" t="s">
        <v>274</v>
      </c>
      <c r="E7948" t="s">
        <v>275</v>
      </c>
      <c r="F7948">
        <v>220</v>
      </c>
      <c r="G7948">
        <v>230412</v>
      </c>
      <c r="H7948">
        <v>4470</v>
      </c>
      <c r="I7948" t="s">
        <v>83</v>
      </c>
      <c r="J7948">
        <v>272.8</v>
      </c>
      <c r="K7948">
        <v>52.8</v>
      </c>
      <c r="L7948">
        <v>56575</v>
      </c>
      <c r="M7948" t="s">
        <v>95</v>
      </c>
      <c r="N7948" t="str">
        <f>"204611      "</f>
        <v xml:space="preserve">204611      </v>
      </c>
      <c r="O7948">
        <v>230417</v>
      </c>
    </row>
    <row r="7949" spans="1:15" x14ac:dyDescent="0.25">
      <c r="A7949" t="s">
        <v>16</v>
      </c>
      <c r="B7949" t="s">
        <v>3221</v>
      </c>
      <c r="C7949">
        <v>5118</v>
      </c>
      <c r="D7949" t="s">
        <v>274</v>
      </c>
      <c r="E7949" t="s">
        <v>275</v>
      </c>
      <c r="F7949">
        <v>450</v>
      </c>
      <c r="G7949">
        <v>230414</v>
      </c>
      <c r="H7949">
        <v>4470</v>
      </c>
      <c r="I7949" t="s">
        <v>83</v>
      </c>
      <c r="J7949">
        <v>558</v>
      </c>
      <c r="K7949">
        <v>108</v>
      </c>
      <c r="L7949">
        <v>56575</v>
      </c>
      <c r="M7949" t="s">
        <v>95</v>
      </c>
      <c r="N7949" t="str">
        <f>"205967      "</f>
        <v xml:space="preserve">205967      </v>
      </c>
      <c r="O7949">
        <v>230418</v>
      </c>
    </row>
    <row r="7950" spans="1:15" x14ac:dyDescent="0.25">
      <c r="A7950" t="s">
        <v>16</v>
      </c>
      <c r="B7950" t="s">
        <v>3221</v>
      </c>
      <c r="C7950">
        <v>5141</v>
      </c>
      <c r="D7950" t="s">
        <v>274</v>
      </c>
      <c r="E7950" t="s">
        <v>275</v>
      </c>
      <c r="F7950">
        <v>60</v>
      </c>
      <c r="G7950">
        <v>230417</v>
      </c>
      <c r="H7950">
        <v>4470</v>
      </c>
      <c r="I7950" t="s">
        <v>83</v>
      </c>
      <c r="J7950">
        <v>74.400000000000006</v>
      </c>
      <c r="K7950">
        <v>14.4</v>
      </c>
      <c r="L7950">
        <v>56575</v>
      </c>
      <c r="M7950" t="s">
        <v>95</v>
      </c>
      <c r="N7950" t="str">
        <f>"206052      "</f>
        <v xml:space="preserve">206052      </v>
      </c>
      <c r="O7950">
        <v>230418</v>
      </c>
    </row>
    <row r="7951" spans="1:15" x14ac:dyDescent="0.25">
      <c r="A7951" t="s">
        <v>16</v>
      </c>
      <c r="B7951" t="s">
        <v>3221</v>
      </c>
      <c r="C7951">
        <v>5142</v>
      </c>
      <c r="D7951" t="s">
        <v>274</v>
      </c>
      <c r="E7951" t="s">
        <v>275</v>
      </c>
      <c r="F7951">
        <v>110</v>
      </c>
      <c r="G7951">
        <v>230417</v>
      </c>
      <c r="H7951">
        <v>4470</v>
      </c>
      <c r="I7951" t="s">
        <v>83</v>
      </c>
      <c r="J7951">
        <v>136.4</v>
      </c>
      <c r="K7951">
        <v>26.4</v>
      </c>
      <c r="L7951">
        <v>56575</v>
      </c>
      <c r="M7951" t="s">
        <v>95</v>
      </c>
      <c r="N7951" t="str">
        <f>"206051      "</f>
        <v xml:space="preserve">206051      </v>
      </c>
      <c r="O7951">
        <v>230418</v>
      </c>
    </row>
    <row r="7952" spans="1:15" x14ac:dyDescent="0.25">
      <c r="A7952" t="s">
        <v>16</v>
      </c>
      <c r="B7952" t="s">
        <v>3221</v>
      </c>
      <c r="C7952">
        <v>5143</v>
      </c>
      <c r="D7952" t="s">
        <v>274</v>
      </c>
      <c r="E7952" t="s">
        <v>275</v>
      </c>
      <c r="F7952">
        <v>30</v>
      </c>
      <c r="G7952">
        <v>230417</v>
      </c>
      <c r="H7952">
        <v>4470</v>
      </c>
      <c r="I7952" t="s">
        <v>83</v>
      </c>
      <c r="J7952">
        <v>37.200000000000003</v>
      </c>
      <c r="K7952">
        <v>7.2</v>
      </c>
      <c r="L7952">
        <v>56575</v>
      </c>
      <c r="M7952" t="s">
        <v>95</v>
      </c>
      <c r="N7952" t="str">
        <f>"206050      "</f>
        <v xml:space="preserve">206050      </v>
      </c>
      <c r="O7952">
        <v>230418</v>
      </c>
    </row>
    <row r="7953" spans="1:15" x14ac:dyDescent="0.25">
      <c r="A7953" t="s">
        <v>16</v>
      </c>
      <c r="B7953" t="s">
        <v>3221</v>
      </c>
      <c r="C7953">
        <v>5248</v>
      </c>
      <c r="D7953" t="s">
        <v>274</v>
      </c>
      <c r="E7953" t="s">
        <v>275</v>
      </c>
      <c r="F7953">
        <v>60</v>
      </c>
      <c r="G7953">
        <v>230417</v>
      </c>
      <c r="H7953">
        <v>4470</v>
      </c>
      <c r="I7953" t="s">
        <v>83</v>
      </c>
      <c r="J7953">
        <v>74.400000000000006</v>
      </c>
      <c r="K7953">
        <v>14.4</v>
      </c>
      <c r="L7953">
        <v>17804</v>
      </c>
      <c r="M7953" t="s">
        <v>549</v>
      </c>
      <c r="N7953" t="str">
        <f>"206056      "</f>
        <v xml:space="preserve">206056      </v>
      </c>
      <c r="O7953">
        <v>230419</v>
      </c>
    </row>
    <row r="7954" spans="1:15" x14ac:dyDescent="0.25">
      <c r="A7954" t="s">
        <v>16</v>
      </c>
      <c r="B7954" t="s">
        <v>3221</v>
      </c>
      <c r="C7954">
        <v>5542</v>
      </c>
      <c r="D7954" t="s">
        <v>274</v>
      </c>
      <c r="E7954" t="s">
        <v>275</v>
      </c>
      <c r="F7954">
        <v>130</v>
      </c>
      <c r="G7954">
        <v>230424</v>
      </c>
      <c r="H7954">
        <v>4470</v>
      </c>
      <c r="I7954" t="s">
        <v>83</v>
      </c>
      <c r="J7954">
        <v>161.19999999999999</v>
      </c>
      <c r="K7954">
        <v>31.2</v>
      </c>
      <c r="L7954">
        <v>56575</v>
      </c>
      <c r="M7954" t="s">
        <v>95</v>
      </c>
      <c r="N7954" t="str">
        <f>"207147      "</f>
        <v xml:space="preserve">207147      </v>
      </c>
      <c r="O7954">
        <v>230426</v>
      </c>
    </row>
    <row r="7955" spans="1:15" x14ac:dyDescent="0.25">
      <c r="A7955" t="s">
        <v>16</v>
      </c>
      <c r="B7955" t="s">
        <v>3221</v>
      </c>
      <c r="C7955">
        <v>5603</v>
      </c>
      <c r="D7955" t="s">
        <v>274</v>
      </c>
      <c r="E7955" t="s">
        <v>275</v>
      </c>
      <c r="F7955">
        <v>170</v>
      </c>
      <c r="G7955">
        <v>230421</v>
      </c>
      <c r="H7955">
        <v>4470</v>
      </c>
      <c r="I7955" t="s">
        <v>83</v>
      </c>
      <c r="J7955">
        <v>210.8</v>
      </c>
      <c r="K7955">
        <v>40.799999999999997</v>
      </c>
      <c r="L7955">
        <v>17702</v>
      </c>
      <c r="M7955" t="s">
        <v>1869</v>
      </c>
      <c r="N7955" t="str">
        <f>"206053      "</f>
        <v xml:space="preserve">206053      </v>
      </c>
      <c r="O7955">
        <v>230428</v>
      </c>
    </row>
    <row r="7956" spans="1:15" x14ac:dyDescent="0.25">
      <c r="A7956" t="s">
        <v>16</v>
      </c>
      <c r="B7956" t="s">
        <v>3221</v>
      </c>
      <c r="C7956">
        <v>5605</v>
      </c>
      <c r="D7956" t="s">
        <v>274</v>
      </c>
      <c r="E7956" t="s">
        <v>275</v>
      </c>
      <c r="F7956">
        <v>60</v>
      </c>
      <c r="G7956">
        <v>230421</v>
      </c>
      <c r="H7956">
        <v>4470</v>
      </c>
      <c r="I7956" t="s">
        <v>83</v>
      </c>
      <c r="J7956">
        <v>74.400000000000006</v>
      </c>
      <c r="K7956">
        <v>14.4</v>
      </c>
      <c r="L7956">
        <v>17702</v>
      </c>
      <c r="M7956" t="s">
        <v>1869</v>
      </c>
      <c r="N7956" t="str">
        <f>"206054      "</f>
        <v xml:space="preserve">206054      </v>
      </c>
      <c r="O7956">
        <v>230428</v>
      </c>
    </row>
    <row r="7957" spans="1:15" x14ac:dyDescent="0.25">
      <c r="A7957" t="s">
        <v>16</v>
      </c>
      <c r="B7957" t="s">
        <v>3221</v>
      </c>
      <c r="C7957">
        <v>5752</v>
      </c>
      <c r="D7957" t="s">
        <v>274</v>
      </c>
      <c r="E7957" t="s">
        <v>275</v>
      </c>
      <c r="F7957">
        <v>90</v>
      </c>
      <c r="G7957">
        <v>230428</v>
      </c>
      <c r="H7957">
        <v>4470</v>
      </c>
      <c r="I7957" t="s">
        <v>83</v>
      </c>
      <c r="J7957">
        <v>111.6</v>
      </c>
      <c r="K7957">
        <v>21.6</v>
      </c>
      <c r="L7957">
        <v>56575</v>
      </c>
      <c r="M7957" t="s">
        <v>95</v>
      </c>
      <c r="N7957" t="str">
        <f>"207277      "</f>
        <v xml:space="preserve">207277      </v>
      </c>
      <c r="O7957">
        <v>230502</v>
      </c>
    </row>
    <row r="7958" spans="1:15" x14ac:dyDescent="0.25">
      <c r="A7958" t="s">
        <v>16</v>
      </c>
      <c r="B7958" t="s">
        <v>3221</v>
      </c>
      <c r="C7958">
        <v>5764</v>
      </c>
      <c r="D7958" t="s">
        <v>274</v>
      </c>
      <c r="E7958" t="s">
        <v>275</v>
      </c>
      <c r="F7958">
        <v>170</v>
      </c>
      <c r="G7958">
        <v>230428</v>
      </c>
      <c r="H7958">
        <v>4470</v>
      </c>
      <c r="I7958" t="s">
        <v>83</v>
      </c>
      <c r="J7958">
        <v>210.8</v>
      </c>
      <c r="K7958">
        <v>40.799999999999997</v>
      </c>
      <c r="L7958">
        <v>56575</v>
      </c>
      <c r="M7958" t="s">
        <v>95</v>
      </c>
      <c r="N7958" t="str">
        <f>"207278      "</f>
        <v xml:space="preserve">207278      </v>
      </c>
      <c r="O7958">
        <v>230502</v>
      </c>
    </row>
    <row r="7959" spans="1:15" x14ac:dyDescent="0.25">
      <c r="A7959" t="s">
        <v>16</v>
      </c>
      <c r="B7959" t="s">
        <v>3221</v>
      </c>
      <c r="C7959">
        <v>6046</v>
      </c>
      <c r="D7959" t="s">
        <v>274</v>
      </c>
      <c r="E7959" t="s">
        <v>275</v>
      </c>
      <c r="F7959">
        <v>60</v>
      </c>
      <c r="G7959">
        <v>230504</v>
      </c>
      <c r="H7959">
        <v>4470</v>
      </c>
      <c r="I7959" t="s">
        <v>83</v>
      </c>
      <c r="J7959">
        <v>74.400000000000006</v>
      </c>
      <c r="K7959">
        <v>14.4</v>
      </c>
      <c r="L7959">
        <v>56575</v>
      </c>
      <c r="M7959" t="s">
        <v>95</v>
      </c>
      <c r="N7959" t="str">
        <f>"207384      "</f>
        <v xml:space="preserve">207384      </v>
      </c>
      <c r="O7959">
        <v>230505</v>
      </c>
    </row>
    <row r="7960" spans="1:15" x14ac:dyDescent="0.25">
      <c r="A7960" t="s">
        <v>16</v>
      </c>
      <c r="B7960" t="s">
        <v>3221</v>
      </c>
      <c r="C7960">
        <v>6068</v>
      </c>
      <c r="D7960" t="s">
        <v>274</v>
      </c>
      <c r="E7960" t="s">
        <v>275</v>
      </c>
      <c r="F7960">
        <v>60</v>
      </c>
      <c r="G7960">
        <v>230418</v>
      </c>
      <c r="H7960">
        <v>4470</v>
      </c>
      <c r="I7960" t="s">
        <v>83</v>
      </c>
      <c r="J7960">
        <v>74.400000000000006</v>
      </c>
      <c r="K7960">
        <v>14.4</v>
      </c>
      <c r="L7960">
        <v>17702</v>
      </c>
      <c r="M7960" t="s">
        <v>1869</v>
      </c>
      <c r="N7960" t="str">
        <f>"206055      "</f>
        <v xml:space="preserve">206055      </v>
      </c>
      <c r="O7960">
        <v>230508</v>
      </c>
    </row>
    <row r="7961" spans="1:15" x14ac:dyDescent="0.25">
      <c r="A7961" t="s">
        <v>16</v>
      </c>
      <c r="B7961" t="s">
        <v>3221</v>
      </c>
      <c r="C7961">
        <v>6284</v>
      </c>
      <c r="D7961" t="s">
        <v>274</v>
      </c>
      <c r="E7961" t="s">
        <v>275</v>
      </c>
      <c r="F7961">
        <v>60</v>
      </c>
      <c r="G7961">
        <v>230505</v>
      </c>
      <c r="H7961">
        <v>4470</v>
      </c>
      <c r="I7961" t="s">
        <v>83</v>
      </c>
      <c r="J7961">
        <v>74.400000000000006</v>
      </c>
      <c r="K7961">
        <v>14.4</v>
      </c>
      <c r="L7961">
        <v>56575</v>
      </c>
      <c r="M7961" t="s">
        <v>95</v>
      </c>
      <c r="N7961" t="str">
        <f>"207385      "</f>
        <v xml:space="preserve">207385      </v>
      </c>
      <c r="O7961">
        <v>230509</v>
      </c>
    </row>
    <row r="7962" spans="1:15" x14ac:dyDescent="0.25">
      <c r="A7962" t="s">
        <v>16</v>
      </c>
      <c r="B7962" t="s">
        <v>3221</v>
      </c>
      <c r="C7962">
        <v>6651</v>
      </c>
      <c r="D7962" t="s">
        <v>274</v>
      </c>
      <c r="E7962" t="s">
        <v>275</v>
      </c>
      <c r="F7962">
        <v>30</v>
      </c>
      <c r="G7962">
        <v>230512</v>
      </c>
      <c r="H7962">
        <v>4470</v>
      </c>
      <c r="I7962" t="s">
        <v>83</v>
      </c>
      <c r="J7962">
        <v>37.200000000000003</v>
      </c>
      <c r="K7962">
        <v>7.2</v>
      </c>
      <c r="L7962">
        <v>56575</v>
      </c>
      <c r="M7962" t="s">
        <v>95</v>
      </c>
      <c r="N7962" t="str">
        <f>"207853      "</f>
        <v xml:space="preserve">207853      </v>
      </c>
      <c r="O7962">
        <v>230516</v>
      </c>
    </row>
    <row r="7963" spans="1:15" x14ac:dyDescent="0.25">
      <c r="A7963" t="s">
        <v>16</v>
      </c>
      <c r="B7963" t="s">
        <v>3221</v>
      </c>
      <c r="C7963">
        <v>6654</v>
      </c>
      <c r="D7963" t="s">
        <v>274</v>
      </c>
      <c r="E7963" t="s">
        <v>275</v>
      </c>
      <c r="F7963">
        <v>15</v>
      </c>
      <c r="G7963">
        <v>230502</v>
      </c>
      <c r="H7963">
        <v>4470</v>
      </c>
      <c r="I7963" t="s">
        <v>83</v>
      </c>
      <c r="J7963">
        <v>18.600000000000001</v>
      </c>
      <c r="K7963">
        <v>3.6</v>
      </c>
      <c r="L7963">
        <v>49804</v>
      </c>
      <c r="M7963" t="s">
        <v>2002</v>
      </c>
      <c r="N7963" t="str">
        <f>"207414      "</f>
        <v xml:space="preserve">207414      </v>
      </c>
      <c r="O7963">
        <v>230516</v>
      </c>
    </row>
    <row r="7964" spans="1:15" x14ac:dyDescent="0.25">
      <c r="A7964" t="s">
        <v>16</v>
      </c>
      <c r="B7964" t="s">
        <v>3221</v>
      </c>
      <c r="C7964">
        <v>6678</v>
      </c>
      <c r="D7964" t="s">
        <v>274</v>
      </c>
      <c r="E7964" t="s">
        <v>275</v>
      </c>
      <c r="F7964">
        <v>30</v>
      </c>
      <c r="G7964">
        <v>230505</v>
      </c>
      <c r="H7964">
        <v>4470</v>
      </c>
      <c r="I7964" t="s">
        <v>83</v>
      </c>
      <c r="J7964">
        <v>37.200000000000003</v>
      </c>
      <c r="K7964">
        <v>7.2</v>
      </c>
      <c r="L7964">
        <v>49804</v>
      </c>
      <c r="M7964" t="s">
        <v>2002</v>
      </c>
      <c r="N7964" t="str">
        <f>"207504      "</f>
        <v xml:space="preserve">207504      </v>
      </c>
      <c r="O7964">
        <v>230517</v>
      </c>
    </row>
    <row r="7965" spans="1:15" x14ac:dyDescent="0.25">
      <c r="A7965" t="s">
        <v>16</v>
      </c>
      <c r="B7965" t="s">
        <v>3221</v>
      </c>
      <c r="C7965">
        <v>7208</v>
      </c>
      <c r="D7965" t="s">
        <v>274</v>
      </c>
      <c r="E7965" t="s">
        <v>275</v>
      </c>
      <c r="F7965">
        <v>15</v>
      </c>
      <c r="G7965">
        <v>230510</v>
      </c>
      <c r="H7965">
        <v>4470</v>
      </c>
      <c r="I7965" t="s">
        <v>83</v>
      </c>
      <c r="J7965">
        <v>18.600000000000001</v>
      </c>
      <c r="K7965">
        <v>3.6</v>
      </c>
      <c r="L7965">
        <v>49804</v>
      </c>
      <c r="M7965" t="s">
        <v>2002</v>
      </c>
      <c r="N7965" t="str">
        <f>"207648      "</f>
        <v xml:space="preserve">207648      </v>
      </c>
      <c r="O7965">
        <v>230526</v>
      </c>
    </row>
    <row r="7966" spans="1:15" x14ac:dyDescent="0.25">
      <c r="A7966" t="s">
        <v>16</v>
      </c>
      <c r="B7966" t="s">
        <v>3221</v>
      </c>
      <c r="C7966">
        <v>7795</v>
      </c>
      <c r="D7966" t="s">
        <v>274</v>
      </c>
      <c r="E7966" t="s">
        <v>275</v>
      </c>
      <c r="F7966">
        <v>450</v>
      </c>
      <c r="G7966">
        <v>230601</v>
      </c>
      <c r="H7966">
        <v>4470</v>
      </c>
      <c r="I7966" t="s">
        <v>83</v>
      </c>
      <c r="J7966">
        <v>558</v>
      </c>
      <c r="K7966">
        <v>108</v>
      </c>
      <c r="L7966">
        <v>17702</v>
      </c>
      <c r="M7966" t="s">
        <v>1869</v>
      </c>
      <c r="N7966" t="str">
        <f>"209151      "</f>
        <v xml:space="preserve">209151      </v>
      </c>
      <c r="O7966">
        <v>230602</v>
      </c>
    </row>
    <row r="7967" spans="1:15" x14ac:dyDescent="0.25">
      <c r="A7967" t="s">
        <v>16</v>
      </c>
      <c r="B7967" t="s">
        <v>3221</v>
      </c>
      <c r="C7967">
        <v>9051</v>
      </c>
      <c r="D7967" t="s">
        <v>274</v>
      </c>
      <c r="E7967" t="s">
        <v>275</v>
      </c>
      <c r="F7967">
        <v>15</v>
      </c>
      <c r="G7967">
        <v>230612</v>
      </c>
      <c r="H7967">
        <v>4470</v>
      </c>
      <c r="I7967" t="s">
        <v>83</v>
      </c>
      <c r="J7967">
        <v>18.600000000000001</v>
      </c>
      <c r="K7967">
        <v>3.6</v>
      </c>
      <c r="L7967">
        <v>56557</v>
      </c>
      <c r="M7967" t="s">
        <v>2243</v>
      </c>
      <c r="N7967" t="str">
        <f>"210041      "</f>
        <v xml:space="preserve">210041      </v>
      </c>
      <c r="O7967">
        <v>230622</v>
      </c>
    </row>
    <row r="7968" spans="1:15" x14ac:dyDescent="0.25">
      <c r="A7968" t="s">
        <v>16</v>
      </c>
      <c r="B7968" t="s">
        <v>3221</v>
      </c>
      <c r="C7968">
        <v>9052</v>
      </c>
      <c r="D7968" t="s">
        <v>274</v>
      </c>
      <c r="E7968" t="s">
        <v>275</v>
      </c>
      <c r="F7968">
        <v>15</v>
      </c>
      <c r="G7968">
        <v>230612</v>
      </c>
      <c r="H7968">
        <v>4470</v>
      </c>
      <c r="I7968" t="s">
        <v>83</v>
      </c>
      <c r="J7968">
        <v>18.600000000000001</v>
      </c>
      <c r="K7968">
        <v>3.6</v>
      </c>
      <c r="L7968">
        <v>56575</v>
      </c>
      <c r="M7968" t="s">
        <v>95</v>
      </c>
      <c r="N7968" t="str">
        <f>"210042      "</f>
        <v xml:space="preserve">210042      </v>
      </c>
      <c r="O7968">
        <v>230622</v>
      </c>
    </row>
    <row r="7969" spans="1:15" x14ac:dyDescent="0.25">
      <c r="A7969" t="s">
        <v>16</v>
      </c>
      <c r="B7969" t="s">
        <v>3221</v>
      </c>
      <c r="C7969">
        <v>9053</v>
      </c>
      <c r="D7969" t="s">
        <v>274</v>
      </c>
      <c r="E7969" t="s">
        <v>275</v>
      </c>
      <c r="F7969">
        <v>15</v>
      </c>
      <c r="G7969">
        <v>230612</v>
      </c>
      <c r="H7969">
        <v>4470</v>
      </c>
      <c r="I7969" t="s">
        <v>83</v>
      </c>
      <c r="J7969">
        <v>18.600000000000001</v>
      </c>
      <c r="K7969">
        <v>3.6</v>
      </c>
      <c r="L7969">
        <v>56575</v>
      </c>
      <c r="M7969" t="s">
        <v>95</v>
      </c>
      <c r="N7969" t="str">
        <f>"210043      "</f>
        <v xml:space="preserve">210043      </v>
      </c>
      <c r="O7969">
        <v>230622</v>
      </c>
    </row>
    <row r="7970" spans="1:15" x14ac:dyDescent="0.25">
      <c r="A7970" t="s">
        <v>16</v>
      </c>
      <c r="B7970" t="s">
        <v>3221</v>
      </c>
      <c r="C7970">
        <v>9065</v>
      </c>
      <c r="D7970" t="s">
        <v>274</v>
      </c>
      <c r="E7970" t="s">
        <v>275</v>
      </c>
      <c r="F7970">
        <v>4</v>
      </c>
      <c r="G7970">
        <v>230617</v>
      </c>
      <c r="H7970">
        <v>4470</v>
      </c>
      <c r="I7970" t="s">
        <v>83</v>
      </c>
      <c r="J7970">
        <v>4.96</v>
      </c>
      <c r="K7970">
        <v>0.96</v>
      </c>
      <c r="L7970">
        <v>56575</v>
      </c>
      <c r="M7970" t="s">
        <v>95</v>
      </c>
      <c r="N7970" t="str">
        <f>"210288      "</f>
        <v xml:space="preserve">210288      </v>
      </c>
      <c r="O7970">
        <v>230622</v>
      </c>
    </row>
    <row r="7971" spans="1:15" x14ac:dyDescent="0.25">
      <c r="A7971" t="s">
        <v>16</v>
      </c>
      <c r="B7971" t="s">
        <v>3221</v>
      </c>
      <c r="C7971">
        <v>11045</v>
      </c>
      <c r="D7971" t="s">
        <v>274</v>
      </c>
      <c r="E7971" t="s">
        <v>275</v>
      </c>
      <c r="F7971">
        <v>4</v>
      </c>
      <c r="G7971">
        <v>230818</v>
      </c>
      <c r="H7971">
        <v>4470</v>
      </c>
      <c r="I7971" t="s">
        <v>83</v>
      </c>
      <c r="J7971">
        <v>4.96</v>
      </c>
      <c r="K7971">
        <v>0.96</v>
      </c>
      <c r="L7971">
        <v>49804</v>
      </c>
      <c r="M7971" t="s">
        <v>2002</v>
      </c>
      <c r="N7971" t="str">
        <f>"212857      "</f>
        <v xml:space="preserve">212857      </v>
      </c>
      <c r="O7971">
        <v>230829</v>
      </c>
    </row>
    <row r="7972" spans="1:15" x14ac:dyDescent="0.25">
      <c r="A7972" t="s">
        <v>16</v>
      </c>
      <c r="B7972" t="s">
        <v>3221</v>
      </c>
      <c r="C7972">
        <v>11782</v>
      </c>
      <c r="D7972" t="s">
        <v>274</v>
      </c>
      <c r="E7972" t="s">
        <v>275</v>
      </c>
      <c r="F7972">
        <v>30</v>
      </c>
      <c r="G7972">
        <v>230904</v>
      </c>
      <c r="H7972">
        <v>4470</v>
      </c>
      <c r="I7972" t="s">
        <v>83</v>
      </c>
      <c r="J7972">
        <v>37.200000000000003</v>
      </c>
      <c r="K7972">
        <v>7.2</v>
      </c>
      <c r="L7972">
        <v>46572</v>
      </c>
      <c r="M7972" t="s">
        <v>1644</v>
      </c>
      <c r="N7972" t="str">
        <f>"213844      "</f>
        <v xml:space="preserve">213844      </v>
      </c>
      <c r="O7972">
        <v>230911</v>
      </c>
    </row>
    <row r="7973" spans="1:15" x14ac:dyDescent="0.25">
      <c r="A7973" t="s">
        <v>16</v>
      </c>
      <c r="B7973" t="s">
        <v>3221</v>
      </c>
      <c r="C7973">
        <v>14890</v>
      </c>
      <c r="D7973" t="s">
        <v>274</v>
      </c>
      <c r="E7973" t="s">
        <v>275</v>
      </c>
      <c r="F7973">
        <v>4</v>
      </c>
      <c r="G7973">
        <v>231026</v>
      </c>
      <c r="H7973">
        <v>4470</v>
      </c>
      <c r="I7973" t="s">
        <v>83</v>
      </c>
      <c r="J7973">
        <v>4.96</v>
      </c>
      <c r="K7973">
        <v>0.96</v>
      </c>
      <c r="L7973">
        <v>44457</v>
      </c>
      <c r="M7973" t="s">
        <v>2812</v>
      </c>
      <c r="N7973" t="str">
        <f>"216568      "</f>
        <v xml:space="preserve">216568      </v>
      </c>
      <c r="O7973">
        <v>231107</v>
      </c>
    </row>
    <row r="7974" spans="1:15" x14ac:dyDescent="0.25">
      <c r="A7974" t="s">
        <v>16</v>
      </c>
      <c r="B7974" t="s">
        <v>3221</v>
      </c>
      <c r="C7974">
        <v>14891</v>
      </c>
      <c r="D7974" t="s">
        <v>274</v>
      </c>
      <c r="E7974" t="s">
        <v>275</v>
      </c>
      <c r="F7974">
        <v>4</v>
      </c>
      <c r="G7974">
        <v>231026</v>
      </c>
      <c r="H7974">
        <v>4470</v>
      </c>
      <c r="I7974" t="s">
        <v>83</v>
      </c>
      <c r="J7974">
        <v>4.96</v>
      </c>
      <c r="K7974">
        <v>0.96</v>
      </c>
      <c r="L7974">
        <v>44457</v>
      </c>
      <c r="M7974" t="s">
        <v>2812</v>
      </c>
      <c r="N7974" t="str">
        <f>"216569      "</f>
        <v xml:space="preserve">216569      </v>
      </c>
      <c r="O7974">
        <v>231107</v>
      </c>
    </row>
    <row r="7975" spans="1:15" x14ac:dyDescent="0.25">
      <c r="A7975" t="s">
        <v>16</v>
      </c>
      <c r="B7975" t="s">
        <v>3221</v>
      </c>
      <c r="C7975">
        <v>16005</v>
      </c>
      <c r="D7975" t="s">
        <v>274</v>
      </c>
      <c r="E7975" t="s">
        <v>275</v>
      </c>
      <c r="F7975">
        <v>60</v>
      </c>
      <c r="G7975">
        <v>231116</v>
      </c>
      <c r="H7975">
        <v>4470</v>
      </c>
      <c r="I7975" t="s">
        <v>83</v>
      </c>
      <c r="J7975">
        <v>74.400000000000006</v>
      </c>
      <c r="K7975">
        <v>14.4</v>
      </c>
      <c r="L7975">
        <v>56561</v>
      </c>
      <c r="M7975" t="s">
        <v>358</v>
      </c>
      <c r="N7975" t="str">
        <f>"217378      "</f>
        <v xml:space="preserve">217378      </v>
      </c>
      <c r="O7975">
        <v>231122</v>
      </c>
    </row>
    <row r="7976" spans="1:15" x14ac:dyDescent="0.25">
      <c r="A7976" t="s">
        <v>16</v>
      </c>
      <c r="B7976" t="s">
        <v>3221</v>
      </c>
      <c r="C7976">
        <v>16433</v>
      </c>
      <c r="D7976" t="s">
        <v>274</v>
      </c>
      <c r="E7976" t="s">
        <v>275</v>
      </c>
      <c r="F7976">
        <v>30</v>
      </c>
      <c r="G7976">
        <v>231127</v>
      </c>
      <c r="H7976">
        <v>4470</v>
      </c>
      <c r="I7976" t="s">
        <v>83</v>
      </c>
      <c r="J7976">
        <v>37.200000000000003</v>
      </c>
      <c r="K7976">
        <v>7.2</v>
      </c>
      <c r="L7976">
        <v>56561</v>
      </c>
      <c r="M7976" t="s">
        <v>358</v>
      </c>
      <c r="N7976" t="str">
        <f>"217831      "</f>
        <v xml:space="preserve">217831      </v>
      </c>
      <c r="O7976">
        <v>231129</v>
      </c>
    </row>
    <row r="7977" spans="1:15" x14ac:dyDescent="0.25">
      <c r="A7977" t="s">
        <v>16</v>
      </c>
      <c r="B7977" t="s">
        <v>3221</v>
      </c>
      <c r="C7977">
        <v>16994</v>
      </c>
      <c r="D7977" t="s">
        <v>274</v>
      </c>
      <c r="E7977" t="s">
        <v>275</v>
      </c>
      <c r="F7977">
        <v>220</v>
      </c>
      <c r="G7977">
        <v>231202</v>
      </c>
      <c r="H7977">
        <v>4470</v>
      </c>
      <c r="I7977" t="s">
        <v>83</v>
      </c>
      <c r="J7977">
        <v>272.8</v>
      </c>
      <c r="K7977">
        <v>52.8</v>
      </c>
      <c r="L7977">
        <v>17737</v>
      </c>
      <c r="M7977" t="s">
        <v>279</v>
      </c>
      <c r="N7977" t="str">
        <f>"218460      "</f>
        <v xml:space="preserve">218460      </v>
      </c>
      <c r="O7977">
        <v>231211</v>
      </c>
    </row>
    <row r="7978" spans="1:15" x14ac:dyDescent="0.25">
      <c r="A7978" t="s">
        <v>16</v>
      </c>
      <c r="B7978" t="s">
        <v>3221</v>
      </c>
      <c r="C7978">
        <v>17149</v>
      </c>
      <c r="D7978" t="s">
        <v>274</v>
      </c>
      <c r="E7978" t="s">
        <v>275</v>
      </c>
      <c r="F7978">
        <v>60</v>
      </c>
      <c r="G7978">
        <v>231206</v>
      </c>
      <c r="H7978">
        <v>4470</v>
      </c>
      <c r="I7978" t="s">
        <v>83</v>
      </c>
      <c r="J7978">
        <v>74.400000000000006</v>
      </c>
      <c r="K7978">
        <v>14.4</v>
      </c>
      <c r="L7978">
        <v>56575</v>
      </c>
      <c r="M7978" t="s">
        <v>95</v>
      </c>
      <c r="N7978" t="str">
        <f>"218620      "</f>
        <v xml:space="preserve">218620      </v>
      </c>
      <c r="O7978">
        <v>231212</v>
      </c>
    </row>
    <row r="7979" spans="1:15" x14ac:dyDescent="0.25">
      <c r="A7979" t="s">
        <v>16</v>
      </c>
      <c r="B7979" t="s">
        <v>3221</v>
      </c>
      <c r="C7979">
        <v>18347</v>
      </c>
      <c r="D7979" t="s">
        <v>274</v>
      </c>
      <c r="E7979" t="s">
        <v>275</v>
      </c>
      <c r="F7979">
        <v>90</v>
      </c>
      <c r="G7979">
        <v>231221</v>
      </c>
      <c r="H7979">
        <v>4470</v>
      </c>
      <c r="I7979" t="s">
        <v>83</v>
      </c>
      <c r="J7979">
        <v>111.6</v>
      </c>
      <c r="K7979">
        <v>21.6</v>
      </c>
      <c r="L7979">
        <v>46570</v>
      </c>
      <c r="M7979" t="s">
        <v>276</v>
      </c>
      <c r="N7979" t="str">
        <f>"219115      "</f>
        <v xml:space="preserve">219115      </v>
      </c>
      <c r="O7979">
        <v>240103</v>
      </c>
    </row>
    <row r="7980" spans="1:15" x14ac:dyDescent="0.25">
      <c r="A7980" t="s">
        <v>16</v>
      </c>
      <c r="B7980" t="s">
        <v>3221</v>
      </c>
      <c r="C7980">
        <v>18509</v>
      </c>
      <c r="D7980" t="s">
        <v>274</v>
      </c>
      <c r="E7980" t="s">
        <v>275</v>
      </c>
      <c r="F7980">
        <v>60</v>
      </c>
      <c r="G7980">
        <v>231228</v>
      </c>
      <c r="H7980">
        <v>4470</v>
      </c>
      <c r="I7980" t="s">
        <v>83</v>
      </c>
      <c r="J7980">
        <v>74.400000000000006</v>
      </c>
      <c r="K7980">
        <v>14.4</v>
      </c>
      <c r="L7980">
        <v>46570</v>
      </c>
      <c r="M7980" t="s">
        <v>276</v>
      </c>
      <c r="N7980" t="str">
        <f>"219178      "</f>
        <v xml:space="preserve">219178      </v>
      </c>
      <c r="O7980">
        <v>240103</v>
      </c>
    </row>
    <row r="7981" spans="1:15" x14ac:dyDescent="0.25">
      <c r="A7981" t="s">
        <v>16</v>
      </c>
      <c r="B7981" t="s">
        <v>3221</v>
      </c>
      <c r="C7981">
        <v>3522</v>
      </c>
      <c r="D7981" t="s">
        <v>274</v>
      </c>
      <c r="E7981" t="s">
        <v>275</v>
      </c>
      <c r="F7981">
        <v>15</v>
      </c>
      <c r="G7981">
        <v>230315</v>
      </c>
      <c r="H7981">
        <v>4350</v>
      </c>
      <c r="I7981" t="s">
        <v>546</v>
      </c>
      <c r="J7981">
        <v>18.600000000000001</v>
      </c>
      <c r="K7981">
        <v>3.6</v>
      </c>
      <c r="L7981">
        <v>56564</v>
      </c>
      <c r="M7981" t="s">
        <v>327</v>
      </c>
      <c r="N7981" t="str">
        <f>"203994      "</f>
        <v xml:space="preserve">203994      </v>
      </c>
      <c r="O7981">
        <v>230316</v>
      </c>
    </row>
    <row r="7982" spans="1:15" x14ac:dyDescent="0.25">
      <c r="A7982" t="s">
        <v>16</v>
      </c>
      <c r="B7982" t="s">
        <v>3221</v>
      </c>
      <c r="C7982">
        <v>3658</v>
      </c>
      <c r="D7982" t="s">
        <v>274</v>
      </c>
      <c r="E7982" t="s">
        <v>275</v>
      </c>
      <c r="F7982">
        <v>30</v>
      </c>
      <c r="G7982">
        <v>230317</v>
      </c>
      <c r="H7982">
        <v>4350</v>
      </c>
      <c r="I7982" t="s">
        <v>546</v>
      </c>
      <c r="J7982">
        <v>37.200000000000003</v>
      </c>
      <c r="K7982">
        <v>7.2</v>
      </c>
      <c r="L7982">
        <v>56564</v>
      </c>
      <c r="M7982" t="s">
        <v>327</v>
      </c>
      <c r="N7982" t="str">
        <f>"204120      "</f>
        <v xml:space="preserve">204120      </v>
      </c>
      <c r="O7982">
        <v>230320</v>
      </c>
    </row>
    <row r="7983" spans="1:15" x14ac:dyDescent="0.25">
      <c r="A7983" t="s">
        <v>16</v>
      </c>
      <c r="B7983" t="s">
        <v>3221</v>
      </c>
      <c r="C7983">
        <v>4278</v>
      </c>
      <c r="D7983" t="s">
        <v>274</v>
      </c>
      <c r="E7983" t="s">
        <v>275</v>
      </c>
      <c r="F7983">
        <v>15</v>
      </c>
      <c r="G7983">
        <v>230320</v>
      </c>
      <c r="H7983">
        <v>4350</v>
      </c>
      <c r="I7983" t="s">
        <v>546</v>
      </c>
      <c r="J7983">
        <v>18.600000000000001</v>
      </c>
      <c r="K7983">
        <v>3.6</v>
      </c>
      <c r="L7983">
        <v>56564</v>
      </c>
      <c r="M7983" t="s">
        <v>327</v>
      </c>
      <c r="N7983" t="str">
        <f>"204277      "</f>
        <v xml:space="preserve">204277      </v>
      </c>
      <c r="O7983">
        <v>230404</v>
      </c>
    </row>
    <row r="7984" spans="1:15" x14ac:dyDescent="0.25">
      <c r="A7984" t="s">
        <v>16</v>
      </c>
      <c r="B7984" t="s">
        <v>3221</v>
      </c>
      <c r="C7984">
        <v>4279</v>
      </c>
      <c r="D7984" t="s">
        <v>274</v>
      </c>
      <c r="E7984" t="s">
        <v>275</v>
      </c>
      <c r="F7984">
        <v>15</v>
      </c>
      <c r="G7984">
        <v>230320</v>
      </c>
      <c r="H7984">
        <v>4350</v>
      </c>
      <c r="I7984" t="s">
        <v>546</v>
      </c>
      <c r="J7984">
        <v>18.600000000000001</v>
      </c>
      <c r="K7984">
        <v>3.6</v>
      </c>
      <c r="L7984">
        <v>56564</v>
      </c>
      <c r="M7984" t="s">
        <v>327</v>
      </c>
      <c r="N7984" t="str">
        <f>"204278      "</f>
        <v xml:space="preserve">204278      </v>
      </c>
      <c r="O7984">
        <v>230404</v>
      </c>
    </row>
    <row r="7985" spans="1:15" x14ac:dyDescent="0.25">
      <c r="A7985" t="s">
        <v>16</v>
      </c>
      <c r="B7985" t="s">
        <v>3221</v>
      </c>
      <c r="C7985">
        <v>4282</v>
      </c>
      <c r="D7985" t="s">
        <v>274</v>
      </c>
      <c r="E7985" t="s">
        <v>275</v>
      </c>
      <c r="F7985">
        <v>170</v>
      </c>
      <c r="G7985">
        <v>230322</v>
      </c>
      <c r="H7985">
        <v>4350</v>
      </c>
      <c r="I7985" t="s">
        <v>546</v>
      </c>
      <c r="J7985">
        <v>210.8</v>
      </c>
      <c r="K7985">
        <v>40.799999999999997</v>
      </c>
      <c r="L7985">
        <v>56564</v>
      </c>
      <c r="M7985" t="s">
        <v>327</v>
      </c>
      <c r="N7985" t="str">
        <f>"204276      "</f>
        <v xml:space="preserve">204276      </v>
      </c>
      <c r="O7985">
        <v>230404</v>
      </c>
    </row>
    <row r="7986" spans="1:15" x14ac:dyDescent="0.25">
      <c r="A7986" t="s">
        <v>16</v>
      </c>
      <c r="B7986" t="s">
        <v>3221</v>
      </c>
      <c r="C7986">
        <v>4284</v>
      </c>
      <c r="D7986" t="s">
        <v>274</v>
      </c>
      <c r="E7986" t="s">
        <v>275</v>
      </c>
      <c r="F7986">
        <v>15</v>
      </c>
      <c r="G7986">
        <v>230323</v>
      </c>
      <c r="H7986">
        <v>4350</v>
      </c>
      <c r="I7986" t="s">
        <v>546</v>
      </c>
      <c r="J7986">
        <v>18.600000000000001</v>
      </c>
      <c r="K7986">
        <v>3.6</v>
      </c>
      <c r="L7986">
        <v>56564</v>
      </c>
      <c r="M7986" t="s">
        <v>327</v>
      </c>
      <c r="N7986" t="str">
        <f>"204399      "</f>
        <v xml:space="preserve">204399      </v>
      </c>
      <c r="O7986">
        <v>230404</v>
      </c>
    </row>
    <row r="7987" spans="1:15" x14ac:dyDescent="0.25">
      <c r="A7987" t="s">
        <v>16</v>
      </c>
      <c r="B7987" t="s">
        <v>3221</v>
      </c>
      <c r="C7987">
        <v>9121</v>
      </c>
      <c r="D7987" t="s">
        <v>274</v>
      </c>
      <c r="E7987" t="s">
        <v>275</v>
      </c>
      <c r="F7987">
        <v>450</v>
      </c>
      <c r="G7987">
        <v>230619</v>
      </c>
      <c r="H7987">
        <v>4347</v>
      </c>
      <c r="I7987" t="s">
        <v>193</v>
      </c>
      <c r="J7987">
        <v>558</v>
      </c>
      <c r="K7987">
        <v>108</v>
      </c>
      <c r="L7987">
        <v>59501</v>
      </c>
      <c r="M7987" t="s">
        <v>69</v>
      </c>
      <c r="N7987" t="str">
        <f>"210390      "</f>
        <v xml:space="preserve">210390      </v>
      </c>
      <c r="O7987">
        <v>230628</v>
      </c>
    </row>
    <row r="7988" spans="1:15" x14ac:dyDescent="0.25">
      <c r="A7988" t="s">
        <v>16</v>
      </c>
      <c r="B7988" t="s">
        <v>3221</v>
      </c>
      <c r="C7988">
        <v>9134</v>
      </c>
      <c r="D7988" t="s">
        <v>274</v>
      </c>
      <c r="E7988" t="s">
        <v>275</v>
      </c>
      <c r="F7988">
        <v>110</v>
      </c>
      <c r="G7988">
        <v>230621</v>
      </c>
      <c r="H7988">
        <v>4347</v>
      </c>
      <c r="I7988" t="s">
        <v>193</v>
      </c>
      <c r="J7988">
        <v>136.4</v>
      </c>
      <c r="K7988">
        <v>26.4</v>
      </c>
      <c r="L7988">
        <v>59501</v>
      </c>
      <c r="M7988" t="s">
        <v>69</v>
      </c>
      <c r="N7988" t="str">
        <f>"210640      "</f>
        <v xml:space="preserve">210640      </v>
      </c>
      <c r="O7988">
        <v>230628</v>
      </c>
    </row>
    <row r="7989" spans="1:15" x14ac:dyDescent="0.25">
      <c r="A7989" t="s">
        <v>16</v>
      </c>
      <c r="B7989" t="s">
        <v>3221</v>
      </c>
      <c r="C7989">
        <v>12438</v>
      </c>
      <c r="D7989" t="s">
        <v>274</v>
      </c>
      <c r="E7989" t="s">
        <v>275</v>
      </c>
      <c r="F7989">
        <v>15</v>
      </c>
      <c r="G7989">
        <v>230917</v>
      </c>
      <c r="H7989">
        <v>4347</v>
      </c>
      <c r="I7989" t="s">
        <v>193</v>
      </c>
      <c r="J7989">
        <v>18.600000000000001</v>
      </c>
      <c r="K7989">
        <v>3.6</v>
      </c>
      <c r="L7989">
        <v>17952</v>
      </c>
      <c r="M7989" t="s">
        <v>88</v>
      </c>
      <c r="N7989" t="str">
        <f>"214615      "</f>
        <v xml:space="preserve">214615      </v>
      </c>
      <c r="O7989">
        <v>230920</v>
      </c>
    </row>
    <row r="7990" spans="1:15" x14ac:dyDescent="0.25">
      <c r="A7990" t="s">
        <v>16</v>
      </c>
      <c r="B7990" t="s">
        <v>3221</v>
      </c>
      <c r="C7990">
        <v>53</v>
      </c>
      <c r="D7990" t="s">
        <v>3198</v>
      </c>
      <c r="E7990" t="s">
        <v>3199</v>
      </c>
      <c r="F7990">
        <v>506.09</v>
      </c>
      <c r="G7990">
        <v>230101</v>
      </c>
      <c r="H7990">
        <v>4820</v>
      </c>
      <c r="I7990" t="s">
        <v>50</v>
      </c>
      <c r="J7990">
        <v>627.54999999999995</v>
      </c>
      <c r="K7990">
        <v>121.46</v>
      </c>
      <c r="L7990">
        <v>13841</v>
      </c>
      <c r="M7990" t="s">
        <v>47</v>
      </c>
      <c r="N7990" t="str">
        <f>"103/230006  "</f>
        <v xml:space="preserve">103/230006  </v>
      </c>
      <c r="O7990">
        <v>230104</v>
      </c>
    </row>
    <row r="7991" spans="1:15" x14ac:dyDescent="0.25">
      <c r="A7991" t="s">
        <v>16</v>
      </c>
      <c r="B7991" t="s">
        <v>3221</v>
      </c>
      <c r="C7991">
        <v>456</v>
      </c>
      <c r="D7991" t="s">
        <v>3198</v>
      </c>
      <c r="E7991" t="s">
        <v>3199</v>
      </c>
      <c r="F7991">
        <v>506.09</v>
      </c>
      <c r="G7991">
        <v>230201</v>
      </c>
      <c r="H7991">
        <v>4820</v>
      </c>
      <c r="I7991" t="s">
        <v>50</v>
      </c>
      <c r="J7991">
        <v>627.54999999999995</v>
      </c>
      <c r="K7991">
        <v>121.46</v>
      </c>
      <c r="L7991">
        <v>13841</v>
      </c>
      <c r="M7991" t="s">
        <v>47</v>
      </c>
      <c r="N7991" t="str">
        <f>"103/230030  "</f>
        <v xml:space="preserve">103/230030  </v>
      </c>
      <c r="O7991">
        <v>230123</v>
      </c>
    </row>
    <row r="7992" spans="1:15" x14ac:dyDescent="0.25">
      <c r="A7992" t="s">
        <v>16</v>
      </c>
      <c r="B7992" t="s">
        <v>3221</v>
      </c>
      <c r="C7992">
        <v>2397</v>
      </c>
      <c r="D7992" t="s">
        <v>3198</v>
      </c>
      <c r="E7992" t="s">
        <v>3199</v>
      </c>
      <c r="F7992">
        <v>506.09</v>
      </c>
      <c r="G7992">
        <v>230301</v>
      </c>
      <c r="H7992">
        <v>4820</v>
      </c>
      <c r="I7992" t="s">
        <v>50</v>
      </c>
      <c r="J7992">
        <v>627.54999999999995</v>
      </c>
      <c r="K7992">
        <v>121.46</v>
      </c>
      <c r="L7992">
        <v>13841</v>
      </c>
      <c r="M7992" t="s">
        <v>47</v>
      </c>
      <c r="N7992" t="str">
        <f>"103/230046  "</f>
        <v xml:space="preserve">103/230046  </v>
      </c>
      <c r="O7992">
        <v>230227</v>
      </c>
    </row>
    <row r="7993" spans="1:15" x14ac:dyDescent="0.25">
      <c r="A7993" t="s">
        <v>16</v>
      </c>
      <c r="B7993" t="s">
        <v>3221</v>
      </c>
      <c r="C7993">
        <v>3602</v>
      </c>
      <c r="D7993" t="s">
        <v>3198</v>
      </c>
      <c r="E7993" t="s">
        <v>3199</v>
      </c>
      <c r="F7993">
        <v>506.09</v>
      </c>
      <c r="G7993">
        <v>230401</v>
      </c>
      <c r="H7993">
        <v>4820</v>
      </c>
      <c r="I7993" t="s">
        <v>50</v>
      </c>
      <c r="J7993">
        <v>627.54999999999995</v>
      </c>
      <c r="K7993">
        <v>121.46</v>
      </c>
      <c r="L7993">
        <v>13841</v>
      </c>
      <c r="M7993" t="s">
        <v>47</v>
      </c>
      <c r="N7993" t="str">
        <f>"103/230062  "</f>
        <v xml:space="preserve">103/230062  </v>
      </c>
      <c r="O7993">
        <v>230317</v>
      </c>
    </row>
    <row r="7994" spans="1:15" x14ac:dyDescent="0.25">
      <c r="A7994" t="s">
        <v>16</v>
      </c>
      <c r="B7994" t="s">
        <v>3221</v>
      </c>
      <c r="C7994">
        <v>5441</v>
      </c>
      <c r="D7994" t="s">
        <v>3198</v>
      </c>
      <c r="E7994" t="s">
        <v>3199</v>
      </c>
      <c r="F7994">
        <v>506.09</v>
      </c>
      <c r="G7994">
        <v>230501</v>
      </c>
      <c r="H7994">
        <v>4820</v>
      </c>
      <c r="I7994" t="s">
        <v>50</v>
      </c>
      <c r="J7994">
        <v>627.54999999999995</v>
      </c>
      <c r="K7994">
        <v>121.46</v>
      </c>
      <c r="L7994">
        <v>13841</v>
      </c>
      <c r="M7994" t="s">
        <v>47</v>
      </c>
      <c r="N7994" t="str">
        <f>"103/230078  "</f>
        <v xml:space="preserve">103/230078  </v>
      </c>
      <c r="O7994">
        <v>230424</v>
      </c>
    </row>
    <row r="7995" spans="1:15" x14ac:dyDescent="0.25">
      <c r="A7995" t="s">
        <v>16</v>
      </c>
      <c r="B7995" t="s">
        <v>3221</v>
      </c>
      <c r="C7995">
        <v>6925</v>
      </c>
      <c r="D7995" t="s">
        <v>3198</v>
      </c>
      <c r="E7995" t="s">
        <v>3199</v>
      </c>
      <c r="F7995">
        <v>506.09</v>
      </c>
      <c r="G7995">
        <v>230601</v>
      </c>
      <c r="H7995">
        <v>4820</v>
      </c>
      <c r="I7995" t="s">
        <v>50</v>
      </c>
      <c r="J7995">
        <v>627.54999999999995</v>
      </c>
      <c r="K7995">
        <v>121.46</v>
      </c>
      <c r="L7995">
        <v>13841</v>
      </c>
      <c r="M7995" t="s">
        <v>47</v>
      </c>
      <c r="N7995" t="str">
        <f>"103/230093  "</f>
        <v xml:space="preserve">103/230093  </v>
      </c>
      <c r="O7995">
        <v>230523</v>
      </c>
    </row>
    <row r="7996" spans="1:15" x14ac:dyDescent="0.25">
      <c r="A7996" t="s">
        <v>16</v>
      </c>
      <c r="B7996" t="s">
        <v>3221</v>
      </c>
      <c r="C7996">
        <v>7495</v>
      </c>
      <c r="D7996" t="s">
        <v>3198</v>
      </c>
      <c r="E7996" t="s">
        <v>3199</v>
      </c>
      <c r="F7996">
        <v>99.66</v>
      </c>
      <c r="G7996">
        <v>230526</v>
      </c>
      <c r="H7996">
        <v>4820</v>
      </c>
      <c r="I7996" t="s">
        <v>50</v>
      </c>
      <c r="J7996">
        <v>109.63</v>
      </c>
      <c r="K7996">
        <v>9.9700000000000006</v>
      </c>
      <c r="L7996">
        <v>13841</v>
      </c>
      <c r="M7996" t="s">
        <v>47</v>
      </c>
      <c r="N7996" t="str">
        <f>"102/230011  "</f>
        <v xml:space="preserve">102/230011  </v>
      </c>
      <c r="O7996">
        <v>230531</v>
      </c>
    </row>
    <row r="7997" spans="1:15" x14ac:dyDescent="0.25">
      <c r="A7997" t="s">
        <v>16</v>
      </c>
      <c r="B7997" t="s">
        <v>3221</v>
      </c>
      <c r="C7997">
        <v>7495</v>
      </c>
      <c r="D7997" t="s">
        <v>3198</v>
      </c>
      <c r="E7997" t="s">
        <v>3199</v>
      </c>
      <c r="F7997">
        <v>351.5</v>
      </c>
      <c r="G7997">
        <v>230526</v>
      </c>
      <c r="H7997">
        <v>4820</v>
      </c>
      <c r="I7997" t="s">
        <v>50</v>
      </c>
      <c r="J7997">
        <v>435.86</v>
      </c>
      <c r="K7997">
        <v>84.36</v>
      </c>
      <c r="L7997">
        <v>13841</v>
      </c>
      <c r="M7997" t="s">
        <v>47</v>
      </c>
      <c r="N7997" t="str">
        <f>"102/230011  "</f>
        <v xml:space="preserve">102/230011  </v>
      </c>
      <c r="O7997">
        <v>230531</v>
      </c>
    </row>
    <row r="7998" spans="1:15" x14ac:dyDescent="0.25">
      <c r="A7998" t="s">
        <v>16</v>
      </c>
      <c r="B7998" t="s">
        <v>3221</v>
      </c>
      <c r="C7998">
        <v>8701</v>
      </c>
      <c r="D7998" t="s">
        <v>3198</v>
      </c>
      <c r="E7998" t="s">
        <v>3199</v>
      </c>
      <c r="F7998">
        <v>401.96</v>
      </c>
      <c r="G7998">
        <v>230609</v>
      </c>
      <c r="H7998">
        <v>4820</v>
      </c>
      <c r="I7998" t="s">
        <v>50</v>
      </c>
      <c r="J7998">
        <v>442.16</v>
      </c>
      <c r="K7998">
        <v>40.200000000000003</v>
      </c>
      <c r="L7998">
        <v>13841</v>
      </c>
      <c r="M7998" t="s">
        <v>47</v>
      </c>
      <c r="N7998" t="str">
        <f>"102/230031  "</f>
        <v xml:space="preserve">102/230031  </v>
      </c>
      <c r="O7998">
        <v>230613</v>
      </c>
    </row>
    <row r="7999" spans="1:15" x14ac:dyDescent="0.25">
      <c r="A7999" t="s">
        <v>16</v>
      </c>
      <c r="B7999" t="s">
        <v>3221</v>
      </c>
      <c r="C7999">
        <v>8978</v>
      </c>
      <c r="D7999" t="s">
        <v>3198</v>
      </c>
      <c r="E7999" t="s">
        <v>3199</v>
      </c>
      <c r="F7999">
        <v>506.09</v>
      </c>
      <c r="G7999">
        <v>230701</v>
      </c>
      <c r="H7999">
        <v>4820</v>
      </c>
      <c r="I7999" t="s">
        <v>50</v>
      </c>
      <c r="J7999">
        <v>627.54999999999995</v>
      </c>
      <c r="K7999">
        <v>121.46</v>
      </c>
      <c r="L7999">
        <v>13841</v>
      </c>
      <c r="M7999" t="s">
        <v>47</v>
      </c>
      <c r="N7999" t="str">
        <f>"103/230108  "</f>
        <v xml:space="preserve">103/230108  </v>
      </c>
      <c r="O7999">
        <v>230620</v>
      </c>
    </row>
    <row r="8000" spans="1:15" x14ac:dyDescent="0.25">
      <c r="A8000" t="s">
        <v>16</v>
      </c>
      <c r="B8000" t="s">
        <v>3221</v>
      </c>
      <c r="C8000">
        <v>9161</v>
      </c>
      <c r="D8000" t="s">
        <v>3198</v>
      </c>
      <c r="E8000" t="s">
        <v>3199</v>
      </c>
      <c r="F8000">
        <v>800</v>
      </c>
      <c r="G8000">
        <v>230626</v>
      </c>
      <c r="H8000">
        <v>4820</v>
      </c>
      <c r="I8000" t="s">
        <v>50</v>
      </c>
      <c r="J8000">
        <v>992</v>
      </c>
      <c r="K8000">
        <v>192</v>
      </c>
      <c r="L8000">
        <v>13841</v>
      </c>
      <c r="M8000" t="s">
        <v>47</v>
      </c>
      <c r="N8000" t="str">
        <f>"300/230032  "</f>
        <v xml:space="preserve">300/230032  </v>
      </c>
      <c r="O8000">
        <v>230629</v>
      </c>
    </row>
    <row r="8001" spans="1:15" x14ac:dyDescent="0.25">
      <c r="A8001" t="s">
        <v>16</v>
      </c>
      <c r="B8001" t="s">
        <v>3221</v>
      </c>
      <c r="C8001">
        <v>9728</v>
      </c>
      <c r="D8001" t="s">
        <v>3198</v>
      </c>
      <c r="E8001" t="s">
        <v>3199</v>
      </c>
      <c r="F8001">
        <v>506.09</v>
      </c>
      <c r="G8001">
        <v>230801</v>
      </c>
      <c r="H8001">
        <v>4820</v>
      </c>
      <c r="I8001" t="s">
        <v>50</v>
      </c>
      <c r="J8001">
        <v>627.54999999999995</v>
      </c>
      <c r="K8001">
        <v>121.46</v>
      </c>
      <c r="L8001">
        <v>13841</v>
      </c>
      <c r="M8001" t="s">
        <v>47</v>
      </c>
      <c r="N8001" t="str">
        <f>"103/230123  "</f>
        <v xml:space="preserve">103/230123  </v>
      </c>
      <c r="O8001">
        <v>230720</v>
      </c>
    </row>
    <row r="8002" spans="1:15" x14ac:dyDescent="0.25">
      <c r="A8002" t="s">
        <v>16</v>
      </c>
      <c r="B8002" t="s">
        <v>3221</v>
      </c>
      <c r="C8002">
        <v>10934</v>
      </c>
      <c r="D8002" t="s">
        <v>3198</v>
      </c>
      <c r="E8002" t="s">
        <v>3199</v>
      </c>
      <c r="F8002">
        <v>506.09</v>
      </c>
      <c r="G8002">
        <v>230901</v>
      </c>
      <c r="H8002">
        <v>4820</v>
      </c>
      <c r="I8002" t="s">
        <v>50</v>
      </c>
      <c r="J8002">
        <v>627.54999999999995</v>
      </c>
      <c r="K8002">
        <v>121.46</v>
      </c>
      <c r="L8002">
        <v>13841</v>
      </c>
      <c r="M8002" t="s">
        <v>47</v>
      </c>
      <c r="N8002" t="str">
        <f>"103/230139  "</f>
        <v xml:space="preserve">103/230139  </v>
      </c>
      <c r="O8002">
        <v>230825</v>
      </c>
    </row>
    <row r="8003" spans="1:15" x14ac:dyDescent="0.25">
      <c r="A8003" t="s">
        <v>16</v>
      </c>
      <c r="B8003" t="s">
        <v>3221</v>
      </c>
      <c r="C8003">
        <v>12693</v>
      </c>
      <c r="D8003" t="s">
        <v>3198</v>
      </c>
      <c r="E8003" t="s">
        <v>3199</v>
      </c>
      <c r="F8003">
        <v>506.09</v>
      </c>
      <c r="G8003">
        <v>231001</v>
      </c>
      <c r="H8003">
        <v>4820</v>
      </c>
      <c r="I8003" t="s">
        <v>50</v>
      </c>
      <c r="J8003">
        <v>627.54999999999995</v>
      </c>
      <c r="K8003">
        <v>121.46</v>
      </c>
      <c r="L8003">
        <v>13841</v>
      </c>
      <c r="M8003" t="s">
        <v>47</v>
      </c>
      <c r="N8003" t="str">
        <f>"103/230154  "</f>
        <v xml:space="preserve">103/230154  </v>
      </c>
      <c r="O8003">
        <v>230925</v>
      </c>
    </row>
    <row r="8004" spans="1:15" x14ac:dyDescent="0.25">
      <c r="A8004" t="s">
        <v>16</v>
      </c>
      <c r="B8004" t="s">
        <v>3221</v>
      </c>
      <c r="C8004">
        <v>14135</v>
      </c>
      <c r="D8004" t="s">
        <v>3198</v>
      </c>
      <c r="E8004" t="s">
        <v>3199</v>
      </c>
      <c r="F8004">
        <v>506.09</v>
      </c>
      <c r="G8004">
        <v>231101</v>
      </c>
      <c r="H8004">
        <v>4820</v>
      </c>
      <c r="I8004" t="s">
        <v>50</v>
      </c>
      <c r="J8004">
        <v>627.54999999999995</v>
      </c>
      <c r="K8004">
        <v>121.46</v>
      </c>
      <c r="L8004">
        <v>13841</v>
      </c>
      <c r="M8004" t="s">
        <v>47</v>
      </c>
      <c r="N8004" t="str">
        <f>"103/230171  "</f>
        <v xml:space="preserve">103/230171  </v>
      </c>
      <c r="O8004">
        <v>231019</v>
      </c>
    </row>
    <row r="8005" spans="1:15" x14ac:dyDescent="0.25">
      <c r="A8005" t="s">
        <v>16</v>
      </c>
      <c r="B8005" t="s">
        <v>3221</v>
      </c>
      <c r="C8005">
        <v>16074</v>
      </c>
      <c r="D8005" t="s">
        <v>3198</v>
      </c>
      <c r="E8005" t="s">
        <v>3199</v>
      </c>
      <c r="F8005">
        <v>506.09</v>
      </c>
      <c r="G8005">
        <v>231201</v>
      </c>
      <c r="H8005">
        <v>4820</v>
      </c>
      <c r="I8005" t="s">
        <v>50</v>
      </c>
      <c r="J8005">
        <v>627.54999999999995</v>
      </c>
      <c r="K8005">
        <v>121.46</v>
      </c>
      <c r="L8005">
        <v>13841</v>
      </c>
      <c r="M8005" t="s">
        <v>47</v>
      </c>
      <c r="N8005" t="str">
        <f>"103/230186  "</f>
        <v xml:space="preserve">103/230186  </v>
      </c>
      <c r="O8005">
        <v>231122</v>
      </c>
    </row>
    <row r="8006" spans="1:15" x14ac:dyDescent="0.25">
      <c r="A8006" t="s">
        <v>16</v>
      </c>
      <c r="B8006" t="s">
        <v>3221</v>
      </c>
      <c r="C8006">
        <v>17921</v>
      </c>
      <c r="D8006" t="s">
        <v>3198</v>
      </c>
      <c r="E8006" t="s">
        <v>3199</v>
      </c>
      <c r="F8006">
        <v>312.64999999999998</v>
      </c>
      <c r="G8006">
        <v>231214</v>
      </c>
      <c r="H8006">
        <v>4820</v>
      </c>
      <c r="I8006" t="s">
        <v>50</v>
      </c>
      <c r="J8006">
        <v>387.69</v>
      </c>
      <c r="K8006">
        <v>75.040000000000006</v>
      </c>
      <c r="L8006">
        <v>13841</v>
      </c>
      <c r="M8006" t="s">
        <v>47</v>
      </c>
      <c r="N8006" t="str">
        <f>"102/230097  "</f>
        <v xml:space="preserve">102/230097  </v>
      </c>
      <c r="O8006">
        <v>231227</v>
      </c>
    </row>
    <row r="8007" spans="1:15" x14ac:dyDescent="0.25">
      <c r="A8007" t="s">
        <v>16</v>
      </c>
      <c r="B8007" t="s">
        <v>3221</v>
      </c>
      <c r="C8007">
        <v>17921</v>
      </c>
      <c r="D8007" t="s">
        <v>3198</v>
      </c>
      <c r="E8007" t="s">
        <v>3199</v>
      </c>
      <c r="F8007">
        <v>461.64</v>
      </c>
      <c r="G8007">
        <v>231214</v>
      </c>
      <c r="H8007">
        <v>4820</v>
      </c>
      <c r="I8007" t="s">
        <v>50</v>
      </c>
      <c r="J8007">
        <v>507.8</v>
      </c>
      <c r="K8007">
        <v>46.16</v>
      </c>
      <c r="L8007">
        <v>13841</v>
      </c>
      <c r="M8007" t="s">
        <v>47</v>
      </c>
      <c r="N8007" t="str">
        <f>"102/230097  "</f>
        <v xml:space="preserve">102/230097  </v>
      </c>
      <c r="O8007">
        <v>231227</v>
      </c>
    </row>
    <row r="8008" spans="1:15" x14ac:dyDescent="0.25">
      <c r="A8008" t="s">
        <v>16</v>
      </c>
      <c r="B8008" t="s">
        <v>3221</v>
      </c>
      <c r="C8008">
        <v>18062</v>
      </c>
      <c r="D8008" t="s">
        <v>3198</v>
      </c>
      <c r="E8008" t="s">
        <v>3199</v>
      </c>
      <c r="F8008">
        <v>954</v>
      </c>
      <c r="G8008">
        <v>231218</v>
      </c>
      <c r="H8008">
        <v>4820</v>
      </c>
      <c r="I8008" t="s">
        <v>50</v>
      </c>
      <c r="J8008">
        <v>1182.96</v>
      </c>
      <c r="K8008">
        <v>228.96</v>
      </c>
      <c r="L8008">
        <v>13841</v>
      </c>
      <c r="M8008" t="s">
        <v>47</v>
      </c>
      <c r="N8008" t="str">
        <f>"300/230150  "</f>
        <v xml:space="preserve">300/230150  </v>
      </c>
      <c r="O8008">
        <v>240102</v>
      </c>
    </row>
    <row r="8009" spans="1:15" x14ac:dyDescent="0.25">
      <c r="A8009" t="s">
        <v>16</v>
      </c>
      <c r="B8009" t="s">
        <v>3221</v>
      </c>
      <c r="C8009">
        <v>7467</v>
      </c>
      <c r="D8009" t="s">
        <v>3647</v>
      </c>
      <c r="E8009" t="s">
        <v>3482</v>
      </c>
      <c r="F8009">
        <v>200</v>
      </c>
      <c r="G8009">
        <v>230529</v>
      </c>
      <c r="H8009">
        <v>4820</v>
      </c>
      <c r="I8009" t="s">
        <v>50</v>
      </c>
      <c r="J8009">
        <v>200</v>
      </c>
      <c r="K8009">
        <v>0</v>
      </c>
      <c r="L8009">
        <v>13841</v>
      </c>
      <c r="M8009" t="s">
        <v>47</v>
      </c>
      <c r="N8009" t="str">
        <f>"290523      "</f>
        <v xml:space="preserve">290523      </v>
      </c>
      <c r="O8009">
        <v>230531</v>
      </c>
    </row>
    <row r="8010" spans="1:15" x14ac:dyDescent="0.25">
      <c r="A8010" t="s">
        <v>16</v>
      </c>
      <c r="B8010" t="s">
        <v>3221</v>
      </c>
      <c r="C8010">
        <v>13149</v>
      </c>
      <c r="D8010" t="s">
        <v>3539</v>
      </c>
      <c r="E8010" t="s">
        <v>3540</v>
      </c>
      <c r="F8010">
        <v>60.48</v>
      </c>
      <c r="G8010">
        <v>230925</v>
      </c>
      <c r="H8010">
        <v>4470</v>
      </c>
      <c r="I8010" t="s">
        <v>83</v>
      </c>
      <c r="J8010">
        <v>75</v>
      </c>
      <c r="K8010">
        <v>14.52</v>
      </c>
      <c r="L8010">
        <v>11001</v>
      </c>
      <c r="M8010" t="s">
        <v>326</v>
      </c>
      <c r="N8010" t="str">
        <f>"319         "</f>
        <v xml:space="preserve">319         </v>
      </c>
      <c r="O8010">
        <v>231004</v>
      </c>
    </row>
    <row r="8011" spans="1:15" x14ac:dyDescent="0.25">
      <c r="A8011" t="s">
        <v>16</v>
      </c>
      <c r="B8011" t="s">
        <v>3221</v>
      </c>
      <c r="C8011">
        <v>4195</v>
      </c>
      <c r="D8011" t="s">
        <v>1668</v>
      </c>
      <c r="E8011" t="s">
        <v>1669</v>
      </c>
      <c r="F8011">
        <v>148.56</v>
      </c>
      <c r="G8011">
        <v>230328</v>
      </c>
      <c r="H8011">
        <v>4550</v>
      </c>
      <c r="I8011" t="s">
        <v>312</v>
      </c>
      <c r="J8011">
        <v>184.21</v>
      </c>
      <c r="K8011">
        <v>35.65</v>
      </c>
      <c r="L8011">
        <v>54222</v>
      </c>
      <c r="M8011" t="s">
        <v>308</v>
      </c>
      <c r="N8011" t="str">
        <f>"765110      "</f>
        <v xml:space="preserve">765110      </v>
      </c>
      <c r="O8011">
        <v>230331</v>
      </c>
    </row>
    <row r="8012" spans="1:15" x14ac:dyDescent="0.25">
      <c r="A8012" t="s">
        <v>16</v>
      </c>
      <c r="B8012" t="s">
        <v>3221</v>
      </c>
      <c r="C8012">
        <v>127</v>
      </c>
      <c r="D8012" t="s">
        <v>186</v>
      </c>
      <c r="E8012" t="s">
        <v>187</v>
      </c>
      <c r="F8012">
        <v>480</v>
      </c>
      <c r="G8012">
        <v>230111</v>
      </c>
      <c r="H8012">
        <v>4820</v>
      </c>
      <c r="I8012" t="s">
        <v>50</v>
      </c>
      <c r="J8012">
        <v>480</v>
      </c>
      <c r="K8012">
        <v>0</v>
      </c>
      <c r="L8012">
        <v>13841</v>
      </c>
      <c r="M8012" t="s">
        <v>47</v>
      </c>
      <c r="N8012" t="str">
        <f>"110123      "</f>
        <v xml:space="preserve">110123      </v>
      </c>
      <c r="O8012">
        <v>230112</v>
      </c>
    </row>
    <row r="8013" spans="1:15" x14ac:dyDescent="0.25">
      <c r="A8013" t="s">
        <v>16</v>
      </c>
      <c r="B8013" t="s">
        <v>3221</v>
      </c>
      <c r="C8013">
        <v>1532</v>
      </c>
      <c r="D8013" t="s">
        <v>186</v>
      </c>
      <c r="E8013" t="s">
        <v>187</v>
      </c>
      <c r="F8013">
        <v>480</v>
      </c>
      <c r="G8013">
        <v>230201</v>
      </c>
      <c r="H8013">
        <v>4820</v>
      </c>
      <c r="I8013" t="s">
        <v>50</v>
      </c>
      <c r="J8013">
        <v>480</v>
      </c>
      <c r="K8013">
        <v>0</v>
      </c>
      <c r="L8013">
        <v>13841</v>
      </c>
      <c r="M8013" t="s">
        <v>47</v>
      </c>
      <c r="N8013" t="str">
        <f>"070223      "</f>
        <v xml:space="preserve">070223      </v>
      </c>
      <c r="O8013">
        <v>230209</v>
      </c>
    </row>
    <row r="8014" spans="1:15" x14ac:dyDescent="0.25">
      <c r="A8014" t="s">
        <v>16</v>
      </c>
      <c r="B8014" t="s">
        <v>3221</v>
      </c>
      <c r="C8014">
        <v>3221</v>
      </c>
      <c r="D8014" t="s">
        <v>186</v>
      </c>
      <c r="E8014" t="s">
        <v>187</v>
      </c>
      <c r="F8014">
        <v>480</v>
      </c>
      <c r="G8014">
        <v>230309</v>
      </c>
      <c r="H8014">
        <v>4820</v>
      </c>
      <c r="I8014" t="s">
        <v>50</v>
      </c>
      <c r="J8014">
        <v>480</v>
      </c>
      <c r="K8014">
        <v>0</v>
      </c>
      <c r="L8014">
        <v>13841</v>
      </c>
      <c r="M8014" t="s">
        <v>47</v>
      </c>
      <c r="N8014" t="str">
        <f>"090323      "</f>
        <v xml:space="preserve">090323      </v>
      </c>
      <c r="O8014">
        <v>230310</v>
      </c>
    </row>
    <row r="8015" spans="1:15" x14ac:dyDescent="0.25">
      <c r="A8015" t="s">
        <v>16</v>
      </c>
      <c r="B8015" t="s">
        <v>3221</v>
      </c>
      <c r="C8015">
        <v>4761</v>
      </c>
      <c r="D8015" t="s">
        <v>186</v>
      </c>
      <c r="E8015" t="s">
        <v>187</v>
      </c>
      <c r="F8015">
        <v>480</v>
      </c>
      <c r="G8015">
        <v>230406</v>
      </c>
      <c r="H8015">
        <v>4820</v>
      </c>
      <c r="I8015" t="s">
        <v>50</v>
      </c>
      <c r="J8015">
        <v>480</v>
      </c>
      <c r="K8015">
        <v>0</v>
      </c>
      <c r="L8015">
        <v>13841</v>
      </c>
      <c r="M8015" t="s">
        <v>47</v>
      </c>
      <c r="N8015" t="str">
        <f>"060423      "</f>
        <v xml:space="preserve">060423      </v>
      </c>
      <c r="O8015">
        <v>230412</v>
      </c>
    </row>
    <row r="8016" spans="1:15" x14ac:dyDescent="0.25">
      <c r="A8016" t="s">
        <v>16</v>
      </c>
      <c r="B8016" t="s">
        <v>3221</v>
      </c>
      <c r="C8016">
        <v>6211</v>
      </c>
      <c r="D8016" t="s">
        <v>186</v>
      </c>
      <c r="E8016" t="s">
        <v>187</v>
      </c>
      <c r="F8016">
        <v>480</v>
      </c>
      <c r="G8016">
        <v>230501</v>
      </c>
      <c r="H8016">
        <v>4820</v>
      </c>
      <c r="I8016" t="s">
        <v>50</v>
      </c>
      <c r="J8016">
        <v>480</v>
      </c>
      <c r="K8016">
        <v>0</v>
      </c>
      <c r="L8016">
        <v>13841</v>
      </c>
      <c r="M8016" t="s">
        <v>47</v>
      </c>
      <c r="N8016" t="str">
        <f>"080523      "</f>
        <v xml:space="preserve">080523      </v>
      </c>
      <c r="O8016">
        <v>230508</v>
      </c>
    </row>
    <row r="8017" spans="1:15" x14ac:dyDescent="0.25">
      <c r="A8017" t="s">
        <v>16</v>
      </c>
      <c r="B8017" t="s">
        <v>3221</v>
      </c>
      <c r="C8017">
        <v>8287</v>
      </c>
      <c r="D8017" t="s">
        <v>186</v>
      </c>
      <c r="E8017" t="s">
        <v>187</v>
      </c>
      <c r="F8017">
        <v>480</v>
      </c>
      <c r="G8017">
        <v>230601</v>
      </c>
      <c r="H8017">
        <v>4820</v>
      </c>
      <c r="I8017" t="s">
        <v>50</v>
      </c>
      <c r="J8017">
        <v>480</v>
      </c>
      <c r="K8017">
        <v>0</v>
      </c>
      <c r="L8017">
        <v>13841</v>
      </c>
      <c r="M8017" t="s">
        <v>47</v>
      </c>
      <c r="N8017" t="str">
        <f>"060623      "</f>
        <v xml:space="preserve">060623      </v>
      </c>
      <c r="O8017">
        <v>230608</v>
      </c>
    </row>
    <row r="8018" spans="1:15" x14ac:dyDescent="0.25">
      <c r="A8018" t="s">
        <v>16</v>
      </c>
      <c r="B8018" t="s">
        <v>3221</v>
      </c>
      <c r="C8018">
        <v>9528</v>
      </c>
      <c r="D8018" t="s">
        <v>186</v>
      </c>
      <c r="E8018" t="s">
        <v>187</v>
      </c>
      <c r="F8018">
        <v>480</v>
      </c>
      <c r="G8018">
        <v>230711</v>
      </c>
      <c r="H8018">
        <v>4820</v>
      </c>
      <c r="I8018" t="s">
        <v>50</v>
      </c>
      <c r="J8018">
        <v>480</v>
      </c>
      <c r="K8018">
        <v>0</v>
      </c>
      <c r="L8018">
        <v>13841</v>
      </c>
      <c r="M8018" t="s">
        <v>47</v>
      </c>
      <c r="N8018" t="str">
        <f>"110723      "</f>
        <v xml:space="preserve">110723      </v>
      </c>
      <c r="O8018">
        <v>230717</v>
      </c>
    </row>
    <row r="8019" spans="1:15" x14ac:dyDescent="0.25">
      <c r="A8019" t="s">
        <v>16</v>
      </c>
      <c r="B8019" t="s">
        <v>3221</v>
      </c>
      <c r="C8019">
        <v>10114</v>
      </c>
      <c r="D8019" t="s">
        <v>186</v>
      </c>
      <c r="E8019" t="s">
        <v>187</v>
      </c>
      <c r="F8019">
        <v>480</v>
      </c>
      <c r="G8019">
        <v>230801</v>
      </c>
      <c r="H8019">
        <v>4820</v>
      </c>
      <c r="I8019" t="s">
        <v>50</v>
      </c>
      <c r="J8019">
        <v>480</v>
      </c>
      <c r="K8019">
        <v>0</v>
      </c>
      <c r="L8019">
        <v>13841</v>
      </c>
      <c r="M8019" t="s">
        <v>47</v>
      </c>
      <c r="N8019" t="str">
        <f>"01082023    "</f>
        <v xml:space="preserve">01082023    </v>
      </c>
      <c r="O8019">
        <v>230808</v>
      </c>
    </row>
    <row r="8020" spans="1:15" x14ac:dyDescent="0.25">
      <c r="A8020" t="s">
        <v>16</v>
      </c>
      <c r="B8020" t="s">
        <v>3221</v>
      </c>
      <c r="C8020">
        <v>12400</v>
      </c>
      <c r="D8020" t="s">
        <v>186</v>
      </c>
      <c r="E8020" t="s">
        <v>187</v>
      </c>
      <c r="F8020">
        <v>480</v>
      </c>
      <c r="G8020">
        <v>230901</v>
      </c>
      <c r="H8020">
        <v>4820</v>
      </c>
      <c r="I8020" t="s">
        <v>50</v>
      </c>
      <c r="J8020">
        <v>480</v>
      </c>
      <c r="K8020">
        <v>0</v>
      </c>
      <c r="L8020">
        <v>13841</v>
      </c>
      <c r="M8020" t="s">
        <v>47</v>
      </c>
      <c r="N8020" t="str">
        <f>"120923      "</f>
        <v xml:space="preserve">120923      </v>
      </c>
      <c r="O8020">
        <v>230919</v>
      </c>
    </row>
    <row r="8021" spans="1:15" x14ac:dyDescent="0.25">
      <c r="A8021" t="s">
        <v>16</v>
      </c>
      <c r="B8021" t="s">
        <v>3221</v>
      </c>
      <c r="C8021">
        <v>13916</v>
      </c>
      <c r="D8021" t="s">
        <v>186</v>
      </c>
      <c r="E8021" t="s">
        <v>187</v>
      </c>
      <c r="F8021">
        <v>480</v>
      </c>
      <c r="G8021">
        <v>231010</v>
      </c>
      <c r="H8021">
        <v>4820</v>
      </c>
      <c r="I8021" t="s">
        <v>50</v>
      </c>
      <c r="J8021">
        <v>480</v>
      </c>
      <c r="K8021">
        <v>0</v>
      </c>
      <c r="L8021">
        <v>13841</v>
      </c>
      <c r="M8021" t="s">
        <v>47</v>
      </c>
      <c r="N8021" t="str">
        <f>"101023      "</f>
        <v xml:space="preserve">101023      </v>
      </c>
      <c r="O8021">
        <v>231016</v>
      </c>
    </row>
    <row r="8022" spans="1:15" x14ac:dyDescent="0.25">
      <c r="A8022" t="s">
        <v>16</v>
      </c>
      <c r="B8022" t="s">
        <v>3221</v>
      </c>
      <c r="C8022">
        <v>15331</v>
      </c>
      <c r="D8022" t="s">
        <v>186</v>
      </c>
      <c r="E8022" t="s">
        <v>187</v>
      </c>
      <c r="F8022">
        <v>480</v>
      </c>
      <c r="G8022">
        <v>231109</v>
      </c>
      <c r="H8022">
        <v>4820</v>
      </c>
      <c r="I8022" t="s">
        <v>50</v>
      </c>
      <c r="J8022">
        <v>480</v>
      </c>
      <c r="K8022">
        <v>0</v>
      </c>
      <c r="L8022">
        <v>13841</v>
      </c>
      <c r="M8022" t="s">
        <v>47</v>
      </c>
      <c r="N8022" t="str">
        <f>"091123      "</f>
        <v xml:space="preserve">091123      </v>
      </c>
      <c r="O8022">
        <v>231113</v>
      </c>
    </row>
    <row r="8023" spans="1:15" x14ac:dyDescent="0.25">
      <c r="A8023" t="s">
        <v>16</v>
      </c>
      <c r="B8023" t="s">
        <v>3221</v>
      </c>
      <c r="C8023">
        <v>17366</v>
      </c>
      <c r="D8023" t="s">
        <v>186</v>
      </c>
      <c r="E8023" t="s">
        <v>187</v>
      </c>
      <c r="F8023">
        <v>480</v>
      </c>
      <c r="G8023">
        <v>231212</v>
      </c>
      <c r="H8023">
        <v>4820</v>
      </c>
      <c r="I8023" t="s">
        <v>50</v>
      </c>
      <c r="J8023">
        <v>480</v>
      </c>
      <c r="K8023">
        <v>0</v>
      </c>
      <c r="L8023">
        <v>13841</v>
      </c>
      <c r="M8023" t="s">
        <v>47</v>
      </c>
      <c r="N8023" t="str">
        <f>"121223      "</f>
        <v xml:space="preserve">121223      </v>
      </c>
      <c r="O8023">
        <v>231213</v>
      </c>
    </row>
    <row r="8024" spans="1:15" x14ac:dyDescent="0.25">
      <c r="A8024" t="s">
        <v>16</v>
      </c>
      <c r="B8024" t="s">
        <v>3221</v>
      </c>
      <c r="C8024">
        <v>73</v>
      </c>
      <c r="D8024" t="s">
        <v>3648</v>
      </c>
      <c r="E8024" t="s">
        <v>52</v>
      </c>
      <c r="F8024">
        <v>7000</v>
      </c>
      <c r="G8024">
        <v>230101</v>
      </c>
      <c r="H8024">
        <v>4820</v>
      </c>
      <c r="I8024" t="s">
        <v>50</v>
      </c>
      <c r="J8024">
        <v>7000</v>
      </c>
      <c r="K8024">
        <v>0</v>
      </c>
      <c r="L8024">
        <v>17956</v>
      </c>
      <c r="M8024" t="s">
        <v>53</v>
      </c>
      <c r="N8024" t="str">
        <f>"01012023    "</f>
        <v xml:space="preserve">01012023    </v>
      </c>
      <c r="O8024">
        <v>230105</v>
      </c>
    </row>
    <row r="8025" spans="1:15" x14ac:dyDescent="0.25">
      <c r="A8025" t="s">
        <v>16</v>
      </c>
      <c r="B8025" t="s">
        <v>3221</v>
      </c>
      <c r="C8025">
        <v>750</v>
      </c>
      <c r="D8025" t="s">
        <v>3648</v>
      </c>
      <c r="E8025" t="s">
        <v>52</v>
      </c>
      <c r="F8025">
        <v>7000</v>
      </c>
      <c r="G8025">
        <v>230201</v>
      </c>
      <c r="H8025">
        <v>4820</v>
      </c>
      <c r="I8025" t="s">
        <v>50</v>
      </c>
      <c r="J8025">
        <v>7000</v>
      </c>
      <c r="K8025">
        <v>0</v>
      </c>
      <c r="L8025">
        <v>17956</v>
      </c>
      <c r="M8025" t="s">
        <v>53</v>
      </c>
      <c r="N8025" t="str">
        <f>"2/23        "</f>
        <v xml:space="preserve">2/23        </v>
      </c>
      <c r="O8025">
        <v>230130</v>
      </c>
    </row>
    <row r="8026" spans="1:15" x14ac:dyDescent="0.25">
      <c r="A8026" t="s">
        <v>16</v>
      </c>
      <c r="B8026" t="s">
        <v>3221</v>
      </c>
      <c r="C8026">
        <v>2097</v>
      </c>
      <c r="D8026" t="s">
        <v>3648</v>
      </c>
      <c r="E8026" t="s">
        <v>52</v>
      </c>
      <c r="F8026">
        <v>7000</v>
      </c>
      <c r="G8026">
        <v>230301</v>
      </c>
      <c r="H8026">
        <v>4820</v>
      </c>
      <c r="I8026" t="s">
        <v>50</v>
      </c>
      <c r="J8026">
        <v>7000</v>
      </c>
      <c r="K8026">
        <v>0</v>
      </c>
      <c r="L8026">
        <v>17956</v>
      </c>
      <c r="M8026" t="s">
        <v>53</v>
      </c>
      <c r="N8026" t="str">
        <f>"3/23        "</f>
        <v xml:space="preserve">3/23        </v>
      </c>
      <c r="O8026">
        <v>230220</v>
      </c>
    </row>
    <row r="8027" spans="1:15" x14ac:dyDescent="0.25">
      <c r="A8027" t="s">
        <v>16</v>
      </c>
      <c r="B8027" t="s">
        <v>3221</v>
      </c>
      <c r="C8027">
        <v>3986</v>
      </c>
      <c r="D8027" t="s">
        <v>3648</v>
      </c>
      <c r="E8027" t="s">
        <v>52</v>
      </c>
      <c r="F8027">
        <v>7000</v>
      </c>
      <c r="G8027">
        <v>230401</v>
      </c>
      <c r="H8027">
        <v>4820</v>
      </c>
      <c r="I8027" t="s">
        <v>50</v>
      </c>
      <c r="J8027">
        <v>7000</v>
      </c>
      <c r="K8027">
        <v>0</v>
      </c>
      <c r="L8027">
        <v>17956</v>
      </c>
      <c r="M8027" t="s">
        <v>53</v>
      </c>
      <c r="N8027" t="str">
        <f>"4/23        "</f>
        <v xml:space="preserve">4/23        </v>
      </c>
      <c r="O8027">
        <v>230328</v>
      </c>
    </row>
    <row r="8028" spans="1:15" x14ac:dyDescent="0.25">
      <c r="A8028" t="s">
        <v>16</v>
      </c>
      <c r="B8028" t="s">
        <v>3221</v>
      </c>
      <c r="C8028">
        <v>5416</v>
      </c>
      <c r="D8028" t="s">
        <v>3648</v>
      </c>
      <c r="E8028" t="s">
        <v>52</v>
      </c>
      <c r="F8028">
        <v>7000</v>
      </c>
      <c r="G8028">
        <v>230501</v>
      </c>
      <c r="H8028">
        <v>4820</v>
      </c>
      <c r="I8028" t="s">
        <v>50</v>
      </c>
      <c r="J8028">
        <v>7000</v>
      </c>
      <c r="K8028">
        <v>0</v>
      </c>
      <c r="L8028">
        <v>17956</v>
      </c>
      <c r="M8028" t="s">
        <v>53</v>
      </c>
      <c r="N8028" t="str">
        <f>"5/23        "</f>
        <v xml:space="preserve">5/23        </v>
      </c>
      <c r="O8028">
        <v>230424</v>
      </c>
    </row>
    <row r="8029" spans="1:15" x14ac:dyDescent="0.25">
      <c r="A8029" t="s">
        <v>16</v>
      </c>
      <c r="B8029" t="s">
        <v>3221</v>
      </c>
      <c r="C8029">
        <v>6940</v>
      </c>
      <c r="D8029" t="s">
        <v>3648</v>
      </c>
      <c r="E8029" t="s">
        <v>52</v>
      </c>
      <c r="F8029">
        <v>7000</v>
      </c>
      <c r="G8029">
        <v>230601</v>
      </c>
      <c r="H8029">
        <v>4820</v>
      </c>
      <c r="I8029" t="s">
        <v>50</v>
      </c>
      <c r="J8029">
        <v>7000</v>
      </c>
      <c r="K8029">
        <v>0</v>
      </c>
      <c r="L8029">
        <v>17956</v>
      </c>
      <c r="M8029" t="s">
        <v>53</v>
      </c>
      <c r="N8029" t="str">
        <f>"6/23        "</f>
        <v xml:space="preserve">6/23        </v>
      </c>
      <c r="O8029">
        <v>230523</v>
      </c>
    </row>
    <row r="8030" spans="1:15" x14ac:dyDescent="0.25">
      <c r="A8030" t="s">
        <v>16</v>
      </c>
      <c r="B8030" t="s">
        <v>3221</v>
      </c>
      <c r="C8030">
        <v>8987</v>
      </c>
      <c r="D8030" t="s">
        <v>3648</v>
      </c>
      <c r="E8030" t="s">
        <v>52</v>
      </c>
      <c r="F8030">
        <v>7000</v>
      </c>
      <c r="G8030">
        <v>230701</v>
      </c>
      <c r="H8030">
        <v>4820</v>
      </c>
      <c r="I8030" t="s">
        <v>50</v>
      </c>
      <c r="J8030">
        <v>7000</v>
      </c>
      <c r="K8030">
        <v>0</v>
      </c>
      <c r="L8030">
        <v>17956</v>
      </c>
      <c r="M8030" t="s">
        <v>53</v>
      </c>
      <c r="N8030" t="str">
        <f>"7/010723    "</f>
        <v xml:space="preserve">7/010723    </v>
      </c>
      <c r="O8030">
        <v>230620</v>
      </c>
    </row>
    <row r="8031" spans="1:15" x14ac:dyDescent="0.25">
      <c r="A8031" t="s">
        <v>16</v>
      </c>
      <c r="B8031" t="s">
        <v>3221</v>
      </c>
      <c r="C8031">
        <v>9814</v>
      </c>
      <c r="D8031" t="s">
        <v>3648</v>
      </c>
      <c r="E8031" t="s">
        <v>52</v>
      </c>
      <c r="F8031">
        <v>7000</v>
      </c>
      <c r="G8031">
        <v>230724</v>
      </c>
      <c r="H8031">
        <v>4820</v>
      </c>
      <c r="I8031" t="s">
        <v>50</v>
      </c>
      <c r="J8031">
        <v>7000</v>
      </c>
      <c r="K8031">
        <v>0</v>
      </c>
      <c r="L8031">
        <v>17956</v>
      </c>
      <c r="M8031" t="s">
        <v>53</v>
      </c>
      <c r="N8031" t="str">
        <f>"46/010823   "</f>
        <v xml:space="preserve">46/010823   </v>
      </c>
      <c r="O8031">
        <v>230726</v>
      </c>
    </row>
    <row r="8032" spans="1:15" x14ac:dyDescent="0.25">
      <c r="A8032" t="s">
        <v>16</v>
      </c>
      <c r="B8032" t="s">
        <v>3221</v>
      </c>
      <c r="C8032">
        <v>10868</v>
      </c>
      <c r="D8032" t="s">
        <v>3648</v>
      </c>
      <c r="E8032" t="s">
        <v>52</v>
      </c>
      <c r="F8032">
        <v>7000</v>
      </c>
      <c r="G8032">
        <v>230822</v>
      </c>
      <c r="H8032">
        <v>4820</v>
      </c>
      <c r="I8032" t="s">
        <v>50</v>
      </c>
      <c r="J8032">
        <v>7000</v>
      </c>
      <c r="K8032">
        <v>0</v>
      </c>
      <c r="L8032">
        <v>17956</v>
      </c>
      <c r="M8032" t="s">
        <v>53</v>
      </c>
      <c r="N8032" t="str">
        <f>"48          "</f>
        <v xml:space="preserve">48          </v>
      </c>
      <c r="O8032">
        <v>230824</v>
      </c>
    </row>
    <row r="8033" spans="1:15" x14ac:dyDescent="0.25">
      <c r="A8033" t="s">
        <v>16</v>
      </c>
      <c r="B8033" t="s">
        <v>3221</v>
      </c>
      <c r="C8033">
        <v>12734</v>
      </c>
      <c r="D8033" t="s">
        <v>3648</v>
      </c>
      <c r="E8033" t="s">
        <v>52</v>
      </c>
      <c r="F8033">
        <v>7000</v>
      </c>
      <c r="G8033">
        <v>230921</v>
      </c>
      <c r="H8033">
        <v>4820</v>
      </c>
      <c r="I8033" t="s">
        <v>50</v>
      </c>
      <c r="J8033">
        <v>7000</v>
      </c>
      <c r="K8033">
        <v>0</v>
      </c>
      <c r="L8033">
        <v>17956</v>
      </c>
      <c r="M8033" t="s">
        <v>53</v>
      </c>
      <c r="N8033" t="str">
        <f>"50          "</f>
        <v xml:space="preserve">50          </v>
      </c>
      <c r="O8033">
        <v>230925</v>
      </c>
    </row>
    <row r="8034" spans="1:15" x14ac:dyDescent="0.25">
      <c r="A8034" t="s">
        <v>16</v>
      </c>
      <c r="B8034" t="s">
        <v>3221</v>
      </c>
      <c r="C8034">
        <v>14457</v>
      </c>
      <c r="D8034" t="s">
        <v>3648</v>
      </c>
      <c r="E8034" t="s">
        <v>52</v>
      </c>
      <c r="F8034">
        <v>7451.2</v>
      </c>
      <c r="G8034">
        <v>231023</v>
      </c>
      <c r="H8034">
        <v>4820</v>
      </c>
      <c r="I8034" t="s">
        <v>50</v>
      </c>
      <c r="J8034">
        <v>7451.2</v>
      </c>
      <c r="K8034">
        <v>0</v>
      </c>
      <c r="L8034">
        <v>17956</v>
      </c>
      <c r="M8034" t="s">
        <v>53</v>
      </c>
      <c r="N8034" t="str">
        <f>"52          "</f>
        <v xml:space="preserve">52          </v>
      </c>
      <c r="O8034">
        <v>231030</v>
      </c>
    </row>
    <row r="8035" spans="1:15" x14ac:dyDescent="0.25">
      <c r="A8035" t="s">
        <v>16</v>
      </c>
      <c r="B8035" t="s">
        <v>3221</v>
      </c>
      <c r="C8035">
        <v>16263</v>
      </c>
      <c r="D8035" t="s">
        <v>3648</v>
      </c>
      <c r="E8035" t="s">
        <v>52</v>
      </c>
      <c r="F8035">
        <v>6009.03</v>
      </c>
      <c r="G8035">
        <v>231122</v>
      </c>
      <c r="H8035">
        <v>4820</v>
      </c>
      <c r="I8035" t="s">
        <v>50</v>
      </c>
      <c r="J8035">
        <v>7451.2</v>
      </c>
      <c r="K8035">
        <v>1442.17</v>
      </c>
      <c r="L8035">
        <v>17956</v>
      </c>
      <c r="M8035" t="s">
        <v>53</v>
      </c>
      <c r="N8035" t="str">
        <f>"54          "</f>
        <v xml:space="preserve">54          </v>
      </c>
      <c r="O8035">
        <v>231127</v>
      </c>
    </row>
    <row r="8036" spans="1:15" x14ac:dyDescent="0.25">
      <c r="A8036" t="s">
        <v>16</v>
      </c>
      <c r="B8036" t="s">
        <v>3221</v>
      </c>
      <c r="C8036">
        <v>19247</v>
      </c>
      <c r="D8036" t="s">
        <v>1168</v>
      </c>
      <c r="E8036" t="s">
        <v>1169</v>
      </c>
      <c r="F8036">
        <v>317.58</v>
      </c>
      <c r="G8036">
        <v>240109</v>
      </c>
      <c r="H8036">
        <v>4580</v>
      </c>
      <c r="I8036" t="s">
        <v>35</v>
      </c>
      <c r="J8036">
        <v>393.8</v>
      </c>
      <c r="K8036">
        <v>76.22</v>
      </c>
      <c r="L8036">
        <v>17951</v>
      </c>
      <c r="M8036" t="s">
        <v>87</v>
      </c>
      <c r="N8036" t="str">
        <f>"35247       "</f>
        <v xml:space="preserve">35247       </v>
      </c>
      <c r="O8036">
        <v>240115</v>
      </c>
    </row>
    <row r="8037" spans="1:15" x14ac:dyDescent="0.25">
      <c r="A8037" t="s">
        <v>16</v>
      </c>
      <c r="B8037" t="s">
        <v>3221</v>
      </c>
      <c r="C8037">
        <v>11087</v>
      </c>
      <c r="D8037" t="s">
        <v>1168</v>
      </c>
      <c r="E8037" t="s">
        <v>1169</v>
      </c>
      <c r="F8037">
        <v>700.77</v>
      </c>
      <c r="G8037">
        <v>230828</v>
      </c>
      <c r="H8037">
        <v>4600</v>
      </c>
      <c r="I8037" t="s">
        <v>105</v>
      </c>
      <c r="J8037">
        <v>868.96</v>
      </c>
      <c r="K8037">
        <v>168.19</v>
      </c>
      <c r="L8037">
        <v>17807</v>
      </c>
      <c r="M8037" t="s">
        <v>318</v>
      </c>
      <c r="N8037" t="str">
        <f>"34281       "</f>
        <v xml:space="preserve">34281       </v>
      </c>
      <c r="O8037">
        <v>230830</v>
      </c>
    </row>
    <row r="8038" spans="1:15" x14ac:dyDescent="0.25">
      <c r="A8038" t="s">
        <v>16</v>
      </c>
      <c r="B8038" t="s">
        <v>3221</v>
      </c>
      <c r="C8038">
        <v>17960</v>
      </c>
      <c r="D8038" t="s">
        <v>1168</v>
      </c>
      <c r="E8038" t="s">
        <v>1169</v>
      </c>
      <c r="F8038">
        <v>249.79</v>
      </c>
      <c r="G8038">
        <v>231215</v>
      </c>
      <c r="H8038">
        <v>4470</v>
      </c>
      <c r="I8038" t="s">
        <v>83</v>
      </c>
      <c r="J8038">
        <v>309.74</v>
      </c>
      <c r="K8038">
        <v>59.95</v>
      </c>
      <c r="L8038">
        <v>17951</v>
      </c>
      <c r="M8038" t="s">
        <v>87</v>
      </c>
      <c r="N8038" t="str">
        <f>"35084       "</f>
        <v xml:space="preserve">35084       </v>
      </c>
      <c r="O8038">
        <v>231228</v>
      </c>
    </row>
    <row r="8039" spans="1:15" x14ac:dyDescent="0.25">
      <c r="A8039" t="s">
        <v>16</v>
      </c>
      <c r="B8039" t="s">
        <v>3221</v>
      </c>
      <c r="C8039">
        <v>1732</v>
      </c>
      <c r="D8039" t="s">
        <v>1168</v>
      </c>
      <c r="E8039" t="s">
        <v>1169</v>
      </c>
      <c r="F8039">
        <v>2807.53</v>
      </c>
      <c r="G8039">
        <v>230209</v>
      </c>
      <c r="H8039">
        <v>4390</v>
      </c>
      <c r="I8039" t="s">
        <v>98</v>
      </c>
      <c r="J8039">
        <v>3481.34</v>
      </c>
      <c r="K8039">
        <v>673.81</v>
      </c>
      <c r="L8039">
        <v>17951</v>
      </c>
      <c r="M8039" t="s">
        <v>87</v>
      </c>
      <c r="N8039" t="str">
        <f>"33167       "</f>
        <v xml:space="preserve">33167       </v>
      </c>
      <c r="O8039">
        <v>230213</v>
      </c>
    </row>
    <row r="8040" spans="1:15" x14ac:dyDescent="0.25">
      <c r="A8040" t="s">
        <v>16</v>
      </c>
      <c r="B8040" t="s">
        <v>3221</v>
      </c>
      <c r="C8040">
        <v>3426</v>
      </c>
      <c r="D8040" t="s">
        <v>1168</v>
      </c>
      <c r="E8040" t="s">
        <v>1169</v>
      </c>
      <c r="F8040">
        <v>2109.2800000000002</v>
      </c>
      <c r="G8040">
        <v>230307</v>
      </c>
      <c r="H8040">
        <v>4390</v>
      </c>
      <c r="I8040" t="s">
        <v>98</v>
      </c>
      <c r="J8040">
        <v>2615.5100000000002</v>
      </c>
      <c r="K8040">
        <v>506.23</v>
      </c>
      <c r="L8040">
        <v>17951</v>
      </c>
      <c r="M8040" t="s">
        <v>87</v>
      </c>
      <c r="N8040" t="str">
        <f>"33337       "</f>
        <v xml:space="preserve">33337       </v>
      </c>
      <c r="O8040">
        <v>230315</v>
      </c>
    </row>
    <row r="8041" spans="1:15" x14ac:dyDescent="0.25">
      <c r="A8041" t="s">
        <v>16</v>
      </c>
      <c r="B8041" t="s">
        <v>3221</v>
      </c>
      <c r="C8041">
        <v>4909</v>
      </c>
      <c r="D8041" t="s">
        <v>1168</v>
      </c>
      <c r="E8041" t="s">
        <v>1169</v>
      </c>
      <c r="F8041">
        <v>3505.78</v>
      </c>
      <c r="G8041">
        <v>230409</v>
      </c>
      <c r="H8041">
        <v>4390</v>
      </c>
      <c r="I8041" t="s">
        <v>98</v>
      </c>
      <c r="J8041">
        <v>4347.17</v>
      </c>
      <c r="K8041">
        <v>841.39</v>
      </c>
      <c r="L8041">
        <v>17951</v>
      </c>
      <c r="M8041" t="s">
        <v>87</v>
      </c>
      <c r="N8041" t="str">
        <f>"33505       "</f>
        <v xml:space="preserve">33505       </v>
      </c>
      <c r="O8041">
        <v>230414</v>
      </c>
    </row>
    <row r="8042" spans="1:15" x14ac:dyDescent="0.25">
      <c r="A8042" t="s">
        <v>16</v>
      </c>
      <c r="B8042" t="s">
        <v>3221</v>
      </c>
      <c r="C8042">
        <v>6897</v>
      </c>
      <c r="D8042" t="s">
        <v>1168</v>
      </c>
      <c r="E8042" t="s">
        <v>1169</v>
      </c>
      <c r="F8042">
        <v>166.78</v>
      </c>
      <c r="G8042">
        <v>230517</v>
      </c>
      <c r="H8042">
        <v>4390</v>
      </c>
      <c r="I8042" t="s">
        <v>98</v>
      </c>
      <c r="J8042">
        <v>206.81</v>
      </c>
      <c r="K8042">
        <v>40.03</v>
      </c>
      <c r="L8042">
        <v>17951</v>
      </c>
      <c r="M8042" t="s">
        <v>87</v>
      </c>
      <c r="N8042" t="str">
        <f>"33690       "</f>
        <v xml:space="preserve">33690       </v>
      </c>
      <c r="O8042">
        <v>230523</v>
      </c>
    </row>
    <row r="8043" spans="1:15" x14ac:dyDescent="0.25">
      <c r="A8043" t="s">
        <v>16</v>
      </c>
      <c r="B8043" t="s">
        <v>3221</v>
      </c>
      <c r="C8043">
        <v>9762</v>
      </c>
      <c r="D8043" t="s">
        <v>1168</v>
      </c>
      <c r="E8043" t="s">
        <v>1169</v>
      </c>
      <c r="F8043">
        <v>324.58</v>
      </c>
      <c r="G8043">
        <v>230705</v>
      </c>
      <c r="H8043">
        <v>4390</v>
      </c>
      <c r="I8043" t="s">
        <v>98</v>
      </c>
      <c r="J8043">
        <v>402.48</v>
      </c>
      <c r="K8043">
        <v>77.900000000000006</v>
      </c>
      <c r="L8043">
        <v>17951</v>
      </c>
      <c r="M8043" t="s">
        <v>87</v>
      </c>
      <c r="N8043" t="str">
        <f>"34014       "</f>
        <v xml:space="preserve">34014       </v>
      </c>
      <c r="O8043">
        <v>230725</v>
      </c>
    </row>
    <row r="8044" spans="1:15" x14ac:dyDescent="0.25">
      <c r="A8044" t="s">
        <v>16</v>
      </c>
      <c r="B8044" t="s">
        <v>3221</v>
      </c>
      <c r="C8044">
        <v>12433</v>
      </c>
      <c r="D8044" t="s">
        <v>1168</v>
      </c>
      <c r="E8044" t="s">
        <v>1169</v>
      </c>
      <c r="F8044">
        <v>876.03</v>
      </c>
      <c r="G8044">
        <v>230915</v>
      </c>
      <c r="H8044">
        <v>4390</v>
      </c>
      <c r="I8044" t="s">
        <v>98</v>
      </c>
      <c r="J8044">
        <v>1086.28</v>
      </c>
      <c r="K8044">
        <v>210.25</v>
      </c>
      <c r="L8044">
        <v>17951</v>
      </c>
      <c r="M8044" t="s">
        <v>87</v>
      </c>
      <c r="N8044" t="str">
        <f>"34408       "</f>
        <v xml:space="preserve">34408       </v>
      </c>
      <c r="O8044">
        <v>230919</v>
      </c>
    </row>
    <row r="8045" spans="1:15" x14ac:dyDescent="0.25">
      <c r="A8045" t="s">
        <v>16</v>
      </c>
      <c r="B8045" t="s">
        <v>3221</v>
      </c>
      <c r="C8045">
        <v>17462</v>
      </c>
      <c r="D8045" t="s">
        <v>1168</v>
      </c>
      <c r="E8045" t="s">
        <v>1169</v>
      </c>
      <c r="F8045">
        <v>3077.89</v>
      </c>
      <c r="G8045">
        <v>231207</v>
      </c>
      <c r="H8045">
        <v>4390</v>
      </c>
      <c r="I8045" t="s">
        <v>98</v>
      </c>
      <c r="J8045">
        <v>3816.58</v>
      </c>
      <c r="K8045">
        <v>738.69</v>
      </c>
      <c r="L8045">
        <v>17951</v>
      </c>
      <c r="M8045" t="s">
        <v>87</v>
      </c>
      <c r="N8045" t="str">
        <f>"35014       "</f>
        <v xml:space="preserve">35014       </v>
      </c>
      <c r="O8045">
        <v>231214</v>
      </c>
    </row>
    <row r="8046" spans="1:15" x14ac:dyDescent="0.25">
      <c r="A8046" t="s">
        <v>16</v>
      </c>
      <c r="B8046" t="s">
        <v>3221</v>
      </c>
      <c r="C8046">
        <v>18906</v>
      </c>
      <c r="D8046" t="s">
        <v>1168</v>
      </c>
      <c r="E8046" t="s">
        <v>1169</v>
      </c>
      <c r="F8046">
        <v>2630.19</v>
      </c>
      <c r="G8046">
        <v>240104</v>
      </c>
      <c r="H8046">
        <v>4390</v>
      </c>
      <c r="I8046" t="s">
        <v>98</v>
      </c>
      <c r="J8046">
        <v>3261.43</v>
      </c>
      <c r="K8046">
        <v>631.24</v>
      </c>
      <c r="L8046">
        <v>17951</v>
      </c>
      <c r="M8046" t="s">
        <v>87</v>
      </c>
      <c r="N8046" t="str">
        <f>"35215       "</f>
        <v xml:space="preserve">35215       </v>
      </c>
      <c r="O8046">
        <v>240108</v>
      </c>
    </row>
    <row r="8047" spans="1:15" x14ac:dyDescent="0.25">
      <c r="A8047" t="s">
        <v>16</v>
      </c>
      <c r="B8047" t="s">
        <v>3221</v>
      </c>
      <c r="C8047">
        <v>16125</v>
      </c>
      <c r="D8047" t="s">
        <v>96</v>
      </c>
      <c r="E8047" t="s">
        <v>97</v>
      </c>
      <c r="F8047">
        <v>26.4</v>
      </c>
      <c r="G8047">
        <v>231120</v>
      </c>
      <c r="H8047">
        <v>4840</v>
      </c>
      <c r="I8047" t="s">
        <v>19</v>
      </c>
      <c r="J8047">
        <v>32.74</v>
      </c>
      <c r="K8047">
        <v>6.34</v>
      </c>
      <c r="L8047">
        <v>13540</v>
      </c>
      <c r="M8047" t="s">
        <v>85</v>
      </c>
      <c r="N8047" t="str">
        <f>"420         "</f>
        <v xml:space="preserve">420         </v>
      </c>
      <c r="O8047">
        <v>231123</v>
      </c>
    </row>
    <row r="8048" spans="1:15" x14ac:dyDescent="0.25">
      <c r="A8048" t="s">
        <v>16</v>
      </c>
      <c r="B8048" t="s">
        <v>3221</v>
      </c>
      <c r="C8048">
        <v>16125</v>
      </c>
      <c r="D8048" t="s">
        <v>96</v>
      </c>
      <c r="E8048" t="s">
        <v>97</v>
      </c>
      <c r="F8048">
        <v>213.6</v>
      </c>
      <c r="G8048">
        <v>231120</v>
      </c>
      <c r="H8048">
        <v>4840</v>
      </c>
      <c r="I8048" t="s">
        <v>19</v>
      </c>
      <c r="J8048">
        <v>264.86</v>
      </c>
      <c r="K8048">
        <v>51.26</v>
      </c>
      <c r="L8048">
        <v>17950</v>
      </c>
      <c r="M8048" t="s">
        <v>86</v>
      </c>
      <c r="N8048" t="str">
        <f>"420         "</f>
        <v xml:space="preserve">420         </v>
      </c>
      <c r="O8048">
        <v>231123</v>
      </c>
    </row>
    <row r="8049" spans="1:15" x14ac:dyDescent="0.25">
      <c r="A8049" t="s">
        <v>16</v>
      </c>
      <c r="B8049" t="s">
        <v>3221</v>
      </c>
      <c r="C8049">
        <v>18699</v>
      </c>
      <c r="D8049" t="s">
        <v>96</v>
      </c>
      <c r="E8049" t="s">
        <v>97</v>
      </c>
      <c r="F8049">
        <v>16.5</v>
      </c>
      <c r="G8049">
        <v>231226</v>
      </c>
      <c r="H8049">
        <v>4840</v>
      </c>
      <c r="I8049" t="s">
        <v>19</v>
      </c>
      <c r="J8049">
        <v>20.46</v>
      </c>
      <c r="K8049">
        <v>3.96</v>
      </c>
      <c r="L8049">
        <v>13540</v>
      </c>
      <c r="M8049" t="s">
        <v>85</v>
      </c>
      <c r="N8049" t="str">
        <f>"472         "</f>
        <v xml:space="preserve">472         </v>
      </c>
      <c r="O8049">
        <v>240105</v>
      </c>
    </row>
    <row r="8050" spans="1:15" x14ac:dyDescent="0.25">
      <c r="A8050" t="s">
        <v>16</v>
      </c>
      <c r="B8050" t="s">
        <v>3221</v>
      </c>
      <c r="C8050">
        <v>18699</v>
      </c>
      <c r="D8050" t="s">
        <v>96</v>
      </c>
      <c r="E8050" t="s">
        <v>97</v>
      </c>
      <c r="F8050">
        <v>133.5</v>
      </c>
      <c r="G8050">
        <v>231226</v>
      </c>
      <c r="H8050">
        <v>4840</v>
      </c>
      <c r="I8050" t="s">
        <v>19</v>
      </c>
      <c r="J8050">
        <v>165.54</v>
      </c>
      <c r="K8050">
        <v>32.04</v>
      </c>
      <c r="L8050">
        <v>17950</v>
      </c>
      <c r="M8050" t="s">
        <v>86</v>
      </c>
      <c r="N8050" t="str">
        <f>"472         "</f>
        <v xml:space="preserve">472         </v>
      </c>
      <c r="O8050">
        <v>240105</v>
      </c>
    </row>
    <row r="8051" spans="1:15" x14ac:dyDescent="0.25">
      <c r="A8051" t="s">
        <v>16</v>
      </c>
      <c r="B8051" t="s">
        <v>3221</v>
      </c>
      <c r="C8051">
        <v>16125</v>
      </c>
      <c r="D8051" t="s">
        <v>96</v>
      </c>
      <c r="E8051" t="s">
        <v>97</v>
      </c>
      <c r="F8051">
        <v>239</v>
      </c>
      <c r="G8051">
        <v>231120</v>
      </c>
      <c r="H8051">
        <v>4470</v>
      </c>
      <c r="I8051" t="s">
        <v>83</v>
      </c>
      <c r="J8051">
        <v>296.36</v>
      </c>
      <c r="K8051">
        <v>57.36</v>
      </c>
      <c r="L8051">
        <v>17956</v>
      </c>
      <c r="M8051" t="s">
        <v>53</v>
      </c>
      <c r="N8051" t="str">
        <f>"420         "</f>
        <v xml:space="preserve">420         </v>
      </c>
      <c r="O8051">
        <v>231123</v>
      </c>
    </row>
    <row r="8052" spans="1:15" x14ac:dyDescent="0.25">
      <c r="A8052" t="s">
        <v>16</v>
      </c>
      <c r="B8052" t="s">
        <v>3221</v>
      </c>
      <c r="C8052">
        <v>2863</v>
      </c>
      <c r="D8052" t="s">
        <v>96</v>
      </c>
      <c r="E8052" t="s">
        <v>97</v>
      </c>
      <c r="F8052">
        <v>60</v>
      </c>
      <c r="G8052">
        <v>230301</v>
      </c>
      <c r="H8052">
        <v>4380</v>
      </c>
      <c r="I8052" t="s">
        <v>113</v>
      </c>
      <c r="J8052">
        <v>74.400000000000006</v>
      </c>
      <c r="K8052">
        <v>14.4</v>
      </c>
      <c r="L8052">
        <v>17950</v>
      </c>
      <c r="M8052" t="s">
        <v>86</v>
      </c>
      <c r="N8052" t="str">
        <f>"11          "</f>
        <v xml:space="preserve">11          </v>
      </c>
      <c r="O8052">
        <v>230308</v>
      </c>
    </row>
    <row r="8053" spans="1:15" x14ac:dyDescent="0.25">
      <c r="A8053" t="s">
        <v>16</v>
      </c>
      <c r="B8053" t="s">
        <v>3221</v>
      </c>
      <c r="C8053">
        <v>88</v>
      </c>
      <c r="D8053" t="s">
        <v>96</v>
      </c>
      <c r="E8053" t="s">
        <v>97</v>
      </c>
      <c r="F8053">
        <v>613.36</v>
      </c>
      <c r="G8053">
        <v>230101</v>
      </c>
      <c r="H8053">
        <v>4390</v>
      </c>
      <c r="I8053" t="s">
        <v>98</v>
      </c>
      <c r="J8053">
        <v>760.57</v>
      </c>
      <c r="K8053">
        <v>147.21</v>
      </c>
      <c r="L8053">
        <v>13540</v>
      </c>
      <c r="M8053" t="s">
        <v>85</v>
      </c>
      <c r="N8053" t="str">
        <f>"187         "</f>
        <v xml:space="preserve">187         </v>
      </c>
      <c r="O8053">
        <v>230109</v>
      </c>
    </row>
    <row r="8054" spans="1:15" x14ac:dyDescent="0.25">
      <c r="A8054" t="s">
        <v>16</v>
      </c>
      <c r="B8054" t="s">
        <v>3221</v>
      </c>
      <c r="C8054">
        <v>88</v>
      </c>
      <c r="D8054" t="s">
        <v>96</v>
      </c>
      <c r="E8054" t="s">
        <v>97</v>
      </c>
      <c r="F8054">
        <v>4182</v>
      </c>
      <c r="G8054">
        <v>230101</v>
      </c>
      <c r="H8054">
        <v>4390</v>
      </c>
      <c r="I8054" t="s">
        <v>98</v>
      </c>
      <c r="J8054">
        <v>5185.68</v>
      </c>
      <c r="K8054">
        <v>1003.68</v>
      </c>
      <c r="L8054">
        <v>17950</v>
      </c>
      <c r="M8054" t="s">
        <v>86</v>
      </c>
      <c r="N8054" t="str">
        <f>"187         "</f>
        <v xml:space="preserve">187         </v>
      </c>
      <c r="O8054">
        <v>230109</v>
      </c>
    </row>
    <row r="8055" spans="1:15" x14ac:dyDescent="0.25">
      <c r="A8055" t="s">
        <v>16</v>
      </c>
      <c r="B8055" t="s">
        <v>3221</v>
      </c>
      <c r="C8055">
        <v>88</v>
      </c>
      <c r="D8055" t="s">
        <v>96</v>
      </c>
      <c r="E8055" t="s">
        <v>97</v>
      </c>
      <c r="F8055">
        <v>780.64</v>
      </c>
      <c r="G8055">
        <v>230101</v>
      </c>
      <c r="H8055">
        <v>4390</v>
      </c>
      <c r="I8055" t="s">
        <v>98</v>
      </c>
      <c r="J8055">
        <v>967.99</v>
      </c>
      <c r="K8055">
        <v>187.35</v>
      </c>
      <c r="L8055">
        <v>17956</v>
      </c>
      <c r="M8055" t="s">
        <v>53</v>
      </c>
      <c r="N8055" t="str">
        <f>"187         "</f>
        <v xml:space="preserve">187         </v>
      </c>
      <c r="O8055">
        <v>230109</v>
      </c>
    </row>
    <row r="8056" spans="1:15" x14ac:dyDescent="0.25">
      <c r="A8056" t="s">
        <v>16</v>
      </c>
      <c r="B8056" t="s">
        <v>3221</v>
      </c>
      <c r="C8056">
        <v>270</v>
      </c>
      <c r="D8056" t="s">
        <v>96</v>
      </c>
      <c r="E8056" t="s">
        <v>97</v>
      </c>
      <c r="F8056">
        <v>8793.17</v>
      </c>
      <c r="G8056">
        <v>230112</v>
      </c>
      <c r="H8056">
        <v>4390</v>
      </c>
      <c r="I8056" t="s">
        <v>98</v>
      </c>
      <c r="J8056">
        <v>10903.53</v>
      </c>
      <c r="K8056">
        <v>2110.36</v>
      </c>
      <c r="L8056">
        <v>17950</v>
      </c>
      <c r="M8056" t="s">
        <v>86</v>
      </c>
      <c r="N8056" t="str">
        <f>"211/2       "</f>
        <v xml:space="preserve">211/2       </v>
      </c>
      <c r="O8056">
        <v>230117</v>
      </c>
    </row>
    <row r="8057" spans="1:15" x14ac:dyDescent="0.25">
      <c r="A8057" t="s">
        <v>16</v>
      </c>
      <c r="B8057" t="s">
        <v>3221</v>
      </c>
      <c r="C8057">
        <v>1155</v>
      </c>
      <c r="D8057" t="s">
        <v>96</v>
      </c>
      <c r="E8057" t="s">
        <v>97</v>
      </c>
      <c r="F8057">
        <v>613.36</v>
      </c>
      <c r="G8057">
        <v>230201</v>
      </c>
      <c r="H8057">
        <v>4390</v>
      </c>
      <c r="I8057" t="s">
        <v>98</v>
      </c>
      <c r="J8057">
        <v>760.57</v>
      </c>
      <c r="K8057">
        <v>147.21</v>
      </c>
      <c r="L8057">
        <v>13540</v>
      </c>
      <c r="M8057" t="s">
        <v>85</v>
      </c>
      <c r="N8057" t="str">
        <f>"229         "</f>
        <v xml:space="preserve">229         </v>
      </c>
      <c r="O8057">
        <v>230206</v>
      </c>
    </row>
    <row r="8058" spans="1:15" x14ac:dyDescent="0.25">
      <c r="A8058" t="s">
        <v>16</v>
      </c>
      <c r="B8058" t="s">
        <v>3221</v>
      </c>
      <c r="C8058">
        <v>1155</v>
      </c>
      <c r="D8058" t="s">
        <v>96</v>
      </c>
      <c r="E8058" t="s">
        <v>97</v>
      </c>
      <c r="F8058">
        <v>4182</v>
      </c>
      <c r="G8058">
        <v>230201</v>
      </c>
      <c r="H8058">
        <v>4390</v>
      </c>
      <c r="I8058" t="s">
        <v>98</v>
      </c>
      <c r="J8058">
        <v>5185.68</v>
      </c>
      <c r="K8058">
        <v>1003.68</v>
      </c>
      <c r="L8058">
        <v>17950</v>
      </c>
      <c r="M8058" t="s">
        <v>86</v>
      </c>
      <c r="N8058" t="str">
        <f>"229         "</f>
        <v xml:space="preserve">229         </v>
      </c>
      <c r="O8058">
        <v>230206</v>
      </c>
    </row>
    <row r="8059" spans="1:15" x14ac:dyDescent="0.25">
      <c r="A8059" t="s">
        <v>16</v>
      </c>
      <c r="B8059" t="s">
        <v>3221</v>
      </c>
      <c r="C8059">
        <v>1155</v>
      </c>
      <c r="D8059" t="s">
        <v>96</v>
      </c>
      <c r="E8059" t="s">
        <v>97</v>
      </c>
      <c r="F8059">
        <v>780.64</v>
      </c>
      <c r="G8059">
        <v>230201</v>
      </c>
      <c r="H8059">
        <v>4390</v>
      </c>
      <c r="I8059" t="s">
        <v>98</v>
      </c>
      <c r="J8059">
        <v>967.99</v>
      </c>
      <c r="K8059">
        <v>187.35</v>
      </c>
      <c r="L8059">
        <v>17956</v>
      </c>
      <c r="M8059" t="s">
        <v>53</v>
      </c>
      <c r="N8059" t="str">
        <f>"229         "</f>
        <v xml:space="preserve">229         </v>
      </c>
      <c r="O8059">
        <v>230206</v>
      </c>
    </row>
    <row r="8060" spans="1:15" x14ac:dyDescent="0.25">
      <c r="A8060" t="s">
        <v>16</v>
      </c>
      <c r="B8060" t="s">
        <v>3221</v>
      </c>
      <c r="C8060">
        <v>2863</v>
      </c>
      <c r="D8060" t="s">
        <v>96</v>
      </c>
      <c r="E8060" t="s">
        <v>97</v>
      </c>
      <c r="F8060">
        <v>613.36</v>
      </c>
      <c r="G8060">
        <v>230301</v>
      </c>
      <c r="H8060">
        <v>4390</v>
      </c>
      <c r="I8060" t="s">
        <v>98</v>
      </c>
      <c r="J8060">
        <v>760.57</v>
      </c>
      <c r="K8060">
        <v>147.21</v>
      </c>
      <c r="L8060">
        <v>13540</v>
      </c>
      <c r="M8060" t="s">
        <v>85</v>
      </c>
      <c r="N8060" t="str">
        <f>"11          "</f>
        <v xml:space="preserve">11          </v>
      </c>
      <c r="O8060">
        <v>230308</v>
      </c>
    </row>
    <row r="8061" spans="1:15" x14ac:dyDescent="0.25">
      <c r="A8061" t="s">
        <v>16</v>
      </c>
      <c r="B8061" t="s">
        <v>3221</v>
      </c>
      <c r="C8061">
        <v>2863</v>
      </c>
      <c r="D8061" t="s">
        <v>96</v>
      </c>
      <c r="E8061" t="s">
        <v>97</v>
      </c>
      <c r="F8061">
        <v>4182</v>
      </c>
      <c r="G8061">
        <v>230301</v>
      </c>
      <c r="H8061">
        <v>4390</v>
      </c>
      <c r="I8061" t="s">
        <v>98</v>
      </c>
      <c r="J8061">
        <v>5185.68</v>
      </c>
      <c r="K8061">
        <v>1003.68</v>
      </c>
      <c r="L8061">
        <v>17950</v>
      </c>
      <c r="M8061" t="s">
        <v>86</v>
      </c>
      <c r="N8061" t="str">
        <f>"11          "</f>
        <v xml:space="preserve">11          </v>
      </c>
      <c r="O8061">
        <v>230308</v>
      </c>
    </row>
    <row r="8062" spans="1:15" x14ac:dyDescent="0.25">
      <c r="A8062" t="s">
        <v>16</v>
      </c>
      <c r="B8062" t="s">
        <v>3221</v>
      </c>
      <c r="C8062">
        <v>2863</v>
      </c>
      <c r="D8062" t="s">
        <v>96</v>
      </c>
      <c r="E8062" t="s">
        <v>97</v>
      </c>
      <c r="F8062">
        <v>780.64</v>
      </c>
      <c r="G8062">
        <v>230301</v>
      </c>
      <c r="H8062">
        <v>4390</v>
      </c>
      <c r="I8062" t="s">
        <v>98</v>
      </c>
      <c r="J8062">
        <v>967.99</v>
      </c>
      <c r="K8062">
        <v>187.35</v>
      </c>
      <c r="L8062">
        <v>17956</v>
      </c>
      <c r="M8062" t="s">
        <v>53</v>
      </c>
      <c r="N8062" t="str">
        <f>"11          "</f>
        <v xml:space="preserve">11          </v>
      </c>
      <c r="O8062">
        <v>230308</v>
      </c>
    </row>
    <row r="8063" spans="1:15" x14ac:dyDescent="0.25">
      <c r="A8063" t="s">
        <v>16</v>
      </c>
      <c r="B8063" t="s">
        <v>3221</v>
      </c>
      <c r="C8063">
        <v>4623</v>
      </c>
      <c r="D8063" t="s">
        <v>96</v>
      </c>
      <c r="E8063" t="s">
        <v>97</v>
      </c>
      <c r="F8063">
        <v>613.36</v>
      </c>
      <c r="G8063">
        <v>230401</v>
      </c>
      <c r="H8063">
        <v>4390</v>
      </c>
      <c r="I8063" t="s">
        <v>98</v>
      </c>
      <c r="J8063">
        <v>760.57</v>
      </c>
      <c r="K8063">
        <v>147.21</v>
      </c>
      <c r="L8063">
        <v>13540</v>
      </c>
      <c r="M8063" t="s">
        <v>85</v>
      </c>
      <c r="N8063" t="str">
        <f>"43          "</f>
        <v xml:space="preserve">43          </v>
      </c>
      <c r="O8063">
        <v>230411</v>
      </c>
    </row>
    <row r="8064" spans="1:15" x14ac:dyDescent="0.25">
      <c r="A8064" t="s">
        <v>16</v>
      </c>
      <c r="B8064" t="s">
        <v>3221</v>
      </c>
      <c r="C8064">
        <v>4623</v>
      </c>
      <c r="D8064" t="s">
        <v>96</v>
      </c>
      <c r="E8064" t="s">
        <v>97</v>
      </c>
      <c r="F8064">
        <v>4182</v>
      </c>
      <c r="G8064">
        <v>230401</v>
      </c>
      <c r="H8064">
        <v>4390</v>
      </c>
      <c r="I8064" t="s">
        <v>98</v>
      </c>
      <c r="J8064">
        <v>5185.68</v>
      </c>
      <c r="K8064">
        <v>1003.68</v>
      </c>
      <c r="L8064">
        <v>17950</v>
      </c>
      <c r="M8064" t="s">
        <v>86</v>
      </c>
      <c r="N8064" t="str">
        <f>"43          "</f>
        <v xml:space="preserve">43          </v>
      </c>
      <c r="O8064">
        <v>230411</v>
      </c>
    </row>
    <row r="8065" spans="1:15" x14ac:dyDescent="0.25">
      <c r="A8065" t="s">
        <v>16</v>
      </c>
      <c r="B8065" t="s">
        <v>3221</v>
      </c>
      <c r="C8065">
        <v>4623</v>
      </c>
      <c r="D8065" t="s">
        <v>96</v>
      </c>
      <c r="E8065" t="s">
        <v>97</v>
      </c>
      <c r="F8065">
        <v>780.64</v>
      </c>
      <c r="G8065">
        <v>230401</v>
      </c>
      <c r="H8065">
        <v>4390</v>
      </c>
      <c r="I8065" t="s">
        <v>98</v>
      </c>
      <c r="J8065">
        <v>967.99</v>
      </c>
      <c r="K8065">
        <v>187.35</v>
      </c>
      <c r="L8065">
        <v>17956</v>
      </c>
      <c r="M8065" t="s">
        <v>53</v>
      </c>
      <c r="N8065" t="str">
        <f>"43          "</f>
        <v xml:space="preserve">43          </v>
      </c>
      <c r="O8065">
        <v>230411</v>
      </c>
    </row>
    <row r="8066" spans="1:15" x14ac:dyDescent="0.25">
      <c r="A8066" t="s">
        <v>16</v>
      </c>
      <c r="B8066" t="s">
        <v>3221</v>
      </c>
      <c r="C8066">
        <v>6552</v>
      </c>
      <c r="D8066" t="s">
        <v>96</v>
      </c>
      <c r="E8066" t="s">
        <v>97</v>
      </c>
      <c r="F8066">
        <v>671.69</v>
      </c>
      <c r="G8066">
        <v>230510</v>
      </c>
      <c r="H8066">
        <v>4390</v>
      </c>
      <c r="I8066" t="s">
        <v>98</v>
      </c>
      <c r="J8066">
        <v>832.9</v>
      </c>
      <c r="K8066">
        <v>161.21</v>
      </c>
      <c r="L8066">
        <v>13540</v>
      </c>
      <c r="M8066" t="s">
        <v>85</v>
      </c>
      <c r="N8066" t="str">
        <f>"105         "</f>
        <v xml:space="preserve">105         </v>
      </c>
      <c r="O8066">
        <v>230515</v>
      </c>
    </row>
    <row r="8067" spans="1:15" x14ac:dyDescent="0.25">
      <c r="A8067" t="s">
        <v>16</v>
      </c>
      <c r="B8067" t="s">
        <v>3221</v>
      </c>
      <c r="C8067">
        <v>6552</v>
      </c>
      <c r="D8067" t="s">
        <v>96</v>
      </c>
      <c r="E8067" t="s">
        <v>97</v>
      </c>
      <c r="F8067">
        <v>4702.1000000000004</v>
      </c>
      <c r="G8067">
        <v>230510</v>
      </c>
      <c r="H8067">
        <v>4390</v>
      </c>
      <c r="I8067" t="s">
        <v>98</v>
      </c>
      <c r="J8067">
        <v>5830.6</v>
      </c>
      <c r="K8067">
        <v>1128.5</v>
      </c>
      <c r="L8067">
        <v>17950</v>
      </c>
      <c r="M8067" t="s">
        <v>86</v>
      </c>
      <c r="N8067" t="str">
        <f>"105         "</f>
        <v xml:space="preserve">105         </v>
      </c>
      <c r="O8067">
        <v>230515</v>
      </c>
    </row>
    <row r="8068" spans="1:15" x14ac:dyDescent="0.25">
      <c r="A8068" t="s">
        <v>16</v>
      </c>
      <c r="B8068" t="s">
        <v>3221</v>
      </c>
      <c r="C8068">
        <v>6552</v>
      </c>
      <c r="D8068" t="s">
        <v>96</v>
      </c>
      <c r="E8068" t="s">
        <v>97</v>
      </c>
      <c r="F8068">
        <v>874.81</v>
      </c>
      <c r="G8068">
        <v>230510</v>
      </c>
      <c r="H8068">
        <v>4390</v>
      </c>
      <c r="I8068" t="s">
        <v>98</v>
      </c>
      <c r="J8068">
        <v>1084.76</v>
      </c>
      <c r="K8068">
        <v>209.95</v>
      </c>
      <c r="L8068">
        <v>17956</v>
      </c>
      <c r="M8068" t="s">
        <v>53</v>
      </c>
      <c r="N8068" t="str">
        <f>"105         "</f>
        <v xml:space="preserve">105         </v>
      </c>
      <c r="O8068">
        <v>230515</v>
      </c>
    </row>
    <row r="8069" spans="1:15" x14ac:dyDescent="0.25">
      <c r="A8069" t="s">
        <v>16</v>
      </c>
      <c r="B8069" t="s">
        <v>3221</v>
      </c>
      <c r="C8069">
        <v>9098</v>
      </c>
      <c r="D8069" t="s">
        <v>96</v>
      </c>
      <c r="E8069" t="s">
        <v>97</v>
      </c>
      <c r="F8069">
        <v>189.6</v>
      </c>
      <c r="G8069">
        <v>230619</v>
      </c>
      <c r="H8069">
        <v>4390</v>
      </c>
      <c r="I8069" t="s">
        <v>98</v>
      </c>
      <c r="J8069">
        <v>235.11</v>
      </c>
      <c r="K8069">
        <v>45.51</v>
      </c>
      <c r="L8069">
        <v>13540</v>
      </c>
      <c r="M8069" t="s">
        <v>85</v>
      </c>
      <c r="N8069" t="str">
        <f>"143         "</f>
        <v xml:space="preserve">143         </v>
      </c>
      <c r="O8069">
        <v>230627</v>
      </c>
    </row>
    <row r="8070" spans="1:15" x14ac:dyDescent="0.25">
      <c r="A8070" t="s">
        <v>16</v>
      </c>
      <c r="B8070" t="s">
        <v>3221</v>
      </c>
      <c r="C8070">
        <v>9098</v>
      </c>
      <c r="D8070" t="s">
        <v>96</v>
      </c>
      <c r="E8070" t="s">
        <v>97</v>
      </c>
      <c r="F8070">
        <v>1534.1</v>
      </c>
      <c r="G8070">
        <v>230619</v>
      </c>
      <c r="H8070">
        <v>4390</v>
      </c>
      <c r="I8070" t="s">
        <v>98</v>
      </c>
      <c r="J8070">
        <v>1902.28</v>
      </c>
      <c r="K8070">
        <v>368.18</v>
      </c>
      <c r="L8070">
        <v>17950</v>
      </c>
      <c r="M8070" t="s">
        <v>86</v>
      </c>
      <c r="N8070" t="str">
        <f>"143         "</f>
        <v xml:space="preserve">143         </v>
      </c>
      <c r="O8070">
        <v>230627</v>
      </c>
    </row>
    <row r="8071" spans="1:15" x14ac:dyDescent="0.25">
      <c r="A8071" t="s">
        <v>16</v>
      </c>
      <c r="B8071" t="s">
        <v>3221</v>
      </c>
      <c r="C8071">
        <v>9308</v>
      </c>
      <c r="D8071" t="s">
        <v>96</v>
      </c>
      <c r="E8071" t="s">
        <v>97</v>
      </c>
      <c r="F8071">
        <v>357.61</v>
      </c>
      <c r="G8071">
        <v>230701</v>
      </c>
      <c r="H8071">
        <v>4390</v>
      </c>
      <c r="I8071" t="s">
        <v>98</v>
      </c>
      <c r="J8071">
        <v>443.44</v>
      </c>
      <c r="K8071">
        <v>85.83</v>
      </c>
      <c r="L8071">
        <v>13540</v>
      </c>
      <c r="M8071" t="s">
        <v>85</v>
      </c>
      <c r="N8071" t="str">
        <f>"121         "</f>
        <v xml:space="preserve">121         </v>
      </c>
      <c r="O8071">
        <v>230705</v>
      </c>
    </row>
    <row r="8072" spans="1:15" x14ac:dyDescent="0.25">
      <c r="A8072" t="s">
        <v>16</v>
      </c>
      <c r="B8072" t="s">
        <v>3221</v>
      </c>
      <c r="C8072">
        <v>9308</v>
      </c>
      <c r="D8072" t="s">
        <v>96</v>
      </c>
      <c r="E8072" t="s">
        <v>97</v>
      </c>
      <c r="F8072">
        <v>2438.25</v>
      </c>
      <c r="G8072">
        <v>230701</v>
      </c>
      <c r="H8072">
        <v>4390</v>
      </c>
      <c r="I8072" t="s">
        <v>98</v>
      </c>
      <c r="J8072">
        <v>3023.43</v>
      </c>
      <c r="K8072">
        <v>585.17999999999995</v>
      </c>
      <c r="L8072">
        <v>17950</v>
      </c>
      <c r="M8072" t="s">
        <v>86</v>
      </c>
      <c r="N8072" t="str">
        <f>"121         "</f>
        <v xml:space="preserve">121         </v>
      </c>
      <c r="O8072">
        <v>230705</v>
      </c>
    </row>
    <row r="8073" spans="1:15" x14ac:dyDescent="0.25">
      <c r="A8073" t="s">
        <v>16</v>
      </c>
      <c r="B8073" t="s">
        <v>3221</v>
      </c>
      <c r="C8073">
        <v>9308</v>
      </c>
      <c r="D8073" t="s">
        <v>96</v>
      </c>
      <c r="E8073" t="s">
        <v>97</v>
      </c>
      <c r="F8073">
        <v>455.14</v>
      </c>
      <c r="G8073">
        <v>230701</v>
      </c>
      <c r="H8073">
        <v>4390</v>
      </c>
      <c r="I8073" t="s">
        <v>98</v>
      </c>
      <c r="J8073">
        <v>564.37</v>
      </c>
      <c r="K8073">
        <v>109.23</v>
      </c>
      <c r="L8073">
        <v>17956</v>
      </c>
      <c r="M8073" t="s">
        <v>53</v>
      </c>
      <c r="N8073" t="str">
        <f>"121         "</f>
        <v xml:space="preserve">121         </v>
      </c>
      <c r="O8073">
        <v>230705</v>
      </c>
    </row>
    <row r="8074" spans="1:15" x14ac:dyDescent="0.25">
      <c r="A8074" t="s">
        <v>16</v>
      </c>
      <c r="B8074" t="s">
        <v>3221</v>
      </c>
      <c r="C8074">
        <v>9896</v>
      </c>
      <c r="D8074" t="s">
        <v>96</v>
      </c>
      <c r="E8074" t="s">
        <v>97</v>
      </c>
      <c r="F8074">
        <v>121.89</v>
      </c>
      <c r="G8074">
        <v>230728</v>
      </c>
      <c r="H8074">
        <v>4390</v>
      </c>
      <c r="I8074" t="s">
        <v>98</v>
      </c>
      <c r="J8074">
        <v>151.13999999999999</v>
      </c>
      <c r="K8074">
        <v>29.25</v>
      </c>
      <c r="L8074">
        <v>13540</v>
      </c>
      <c r="M8074" t="s">
        <v>85</v>
      </c>
      <c r="N8074" t="str">
        <f>"233         "</f>
        <v xml:space="preserve">233         </v>
      </c>
      <c r="O8074">
        <v>230731</v>
      </c>
    </row>
    <row r="8075" spans="1:15" x14ac:dyDescent="0.25">
      <c r="A8075" t="s">
        <v>16</v>
      </c>
      <c r="B8075" t="s">
        <v>3221</v>
      </c>
      <c r="C8075">
        <v>9896</v>
      </c>
      <c r="D8075" t="s">
        <v>96</v>
      </c>
      <c r="E8075" t="s">
        <v>97</v>
      </c>
      <c r="F8075">
        <v>986.15</v>
      </c>
      <c r="G8075">
        <v>230728</v>
      </c>
      <c r="H8075">
        <v>4390</v>
      </c>
      <c r="I8075" t="s">
        <v>98</v>
      </c>
      <c r="J8075">
        <v>1222.83</v>
      </c>
      <c r="K8075">
        <v>236.68</v>
      </c>
      <c r="L8075">
        <v>17950</v>
      </c>
      <c r="M8075" t="s">
        <v>86</v>
      </c>
      <c r="N8075" t="str">
        <f>"233         "</f>
        <v xml:space="preserve">233         </v>
      </c>
      <c r="O8075">
        <v>230731</v>
      </c>
    </row>
    <row r="8076" spans="1:15" x14ac:dyDescent="0.25">
      <c r="A8076" t="s">
        <v>16</v>
      </c>
      <c r="B8076" t="s">
        <v>3221</v>
      </c>
      <c r="C8076">
        <v>9986</v>
      </c>
      <c r="D8076" t="s">
        <v>96</v>
      </c>
      <c r="E8076" t="s">
        <v>97</v>
      </c>
      <c r="F8076">
        <v>282.14999999999998</v>
      </c>
      <c r="G8076">
        <v>230801</v>
      </c>
      <c r="H8076">
        <v>4390</v>
      </c>
      <c r="I8076" t="s">
        <v>98</v>
      </c>
      <c r="J8076">
        <v>349.87</v>
      </c>
      <c r="K8076">
        <v>67.72</v>
      </c>
      <c r="L8076">
        <v>13540</v>
      </c>
      <c r="M8076" t="s">
        <v>85</v>
      </c>
      <c r="N8076" t="str">
        <f>"156/01082023"</f>
        <v>156/01082023</v>
      </c>
      <c r="O8076">
        <v>230808</v>
      </c>
    </row>
    <row r="8077" spans="1:15" x14ac:dyDescent="0.25">
      <c r="A8077" t="s">
        <v>16</v>
      </c>
      <c r="B8077" t="s">
        <v>3221</v>
      </c>
      <c r="C8077">
        <v>9986</v>
      </c>
      <c r="D8077" t="s">
        <v>96</v>
      </c>
      <c r="E8077" t="s">
        <v>97</v>
      </c>
      <c r="F8077">
        <v>2282.85</v>
      </c>
      <c r="G8077">
        <v>230801</v>
      </c>
      <c r="H8077">
        <v>4390</v>
      </c>
      <c r="I8077" t="s">
        <v>98</v>
      </c>
      <c r="J8077">
        <v>2830.73</v>
      </c>
      <c r="K8077">
        <v>547.88</v>
      </c>
      <c r="L8077">
        <v>17950</v>
      </c>
      <c r="M8077" t="s">
        <v>86</v>
      </c>
      <c r="N8077" t="str">
        <f>"156/01082023"</f>
        <v>156/01082023</v>
      </c>
      <c r="O8077">
        <v>230808</v>
      </c>
    </row>
    <row r="8078" spans="1:15" x14ac:dyDescent="0.25">
      <c r="A8078" t="s">
        <v>16</v>
      </c>
      <c r="B8078" t="s">
        <v>3221</v>
      </c>
      <c r="C8078">
        <v>11397</v>
      </c>
      <c r="D8078" t="s">
        <v>96</v>
      </c>
      <c r="E8078" t="s">
        <v>97</v>
      </c>
      <c r="F8078">
        <v>282.14999999999998</v>
      </c>
      <c r="G8078">
        <v>230901</v>
      </c>
      <c r="H8078">
        <v>4390</v>
      </c>
      <c r="I8078" t="s">
        <v>98</v>
      </c>
      <c r="J8078">
        <v>349.87</v>
      </c>
      <c r="K8078">
        <v>67.72</v>
      </c>
      <c r="L8078">
        <v>13540</v>
      </c>
      <c r="M8078" t="s">
        <v>85</v>
      </c>
      <c r="N8078" t="str">
        <f>"205         "</f>
        <v xml:space="preserve">205         </v>
      </c>
      <c r="O8078">
        <v>230905</v>
      </c>
    </row>
    <row r="8079" spans="1:15" x14ac:dyDescent="0.25">
      <c r="A8079" t="s">
        <v>16</v>
      </c>
      <c r="B8079" t="s">
        <v>3221</v>
      </c>
      <c r="C8079">
        <v>11397</v>
      </c>
      <c r="D8079" t="s">
        <v>96</v>
      </c>
      <c r="E8079" t="s">
        <v>97</v>
      </c>
      <c r="F8079">
        <v>2282.85</v>
      </c>
      <c r="G8079">
        <v>230901</v>
      </c>
      <c r="H8079">
        <v>4390</v>
      </c>
      <c r="I8079" t="s">
        <v>98</v>
      </c>
      <c r="J8079">
        <v>2830.73</v>
      </c>
      <c r="K8079">
        <v>547.88</v>
      </c>
      <c r="L8079">
        <v>17950</v>
      </c>
      <c r="M8079" t="s">
        <v>86</v>
      </c>
      <c r="N8079" t="str">
        <f>"205         "</f>
        <v xml:space="preserve">205         </v>
      </c>
      <c r="O8079">
        <v>230905</v>
      </c>
    </row>
    <row r="8080" spans="1:15" x14ac:dyDescent="0.25">
      <c r="A8080" t="s">
        <v>16</v>
      </c>
      <c r="B8080" t="s">
        <v>3221</v>
      </c>
      <c r="C8080">
        <v>13391</v>
      </c>
      <c r="D8080" t="s">
        <v>96</v>
      </c>
      <c r="E8080" t="s">
        <v>97</v>
      </c>
      <c r="F8080">
        <v>613.36</v>
      </c>
      <c r="G8080">
        <v>231001</v>
      </c>
      <c r="H8080">
        <v>4390</v>
      </c>
      <c r="I8080" t="s">
        <v>98</v>
      </c>
      <c r="J8080">
        <v>760.57</v>
      </c>
      <c r="K8080">
        <v>147.21</v>
      </c>
      <c r="L8080">
        <v>13540</v>
      </c>
      <c r="M8080" t="s">
        <v>85</v>
      </c>
      <c r="N8080" t="str">
        <f>"260         "</f>
        <v xml:space="preserve">260         </v>
      </c>
      <c r="O8080">
        <v>231009</v>
      </c>
    </row>
    <row r="8081" spans="1:15" x14ac:dyDescent="0.25">
      <c r="A8081" t="s">
        <v>16</v>
      </c>
      <c r="B8081" t="s">
        <v>3221</v>
      </c>
      <c r="C8081">
        <v>13391</v>
      </c>
      <c r="D8081" t="s">
        <v>96</v>
      </c>
      <c r="E8081" t="s">
        <v>97</v>
      </c>
      <c r="F8081">
        <v>4182</v>
      </c>
      <c r="G8081">
        <v>231001</v>
      </c>
      <c r="H8081">
        <v>4390</v>
      </c>
      <c r="I8081" t="s">
        <v>98</v>
      </c>
      <c r="J8081">
        <v>5185.68</v>
      </c>
      <c r="K8081">
        <v>1003.68</v>
      </c>
      <c r="L8081">
        <v>17950</v>
      </c>
      <c r="M8081" t="s">
        <v>86</v>
      </c>
      <c r="N8081" t="str">
        <f>"260         "</f>
        <v xml:space="preserve">260         </v>
      </c>
      <c r="O8081">
        <v>231009</v>
      </c>
    </row>
    <row r="8082" spans="1:15" x14ac:dyDescent="0.25">
      <c r="A8082" t="s">
        <v>16</v>
      </c>
      <c r="B8082" t="s">
        <v>3221</v>
      </c>
      <c r="C8082">
        <v>13391</v>
      </c>
      <c r="D8082" t="s">
        <v>96</v>
      </c>
      <c r="E8082" t="s">
        <v>97</v>
      </c>
      <c r="F8082">
        <v>780.64</v>
      </c>
      <c r="G8082">
        <v>231001</v>
      </c>
      <c r="H8082">
        <v>4390</v>
      </c>
      <c r="I8082" t="s">
        <v>98</v>
      </c>
      <c r="J8082">
        <v>967.99</v>
      </c>
      <c r="K8082">
        <v>187.35</v>
      </c>
      <c r="L8082">
        <v>17956</v>
      </c>
      <c r="M8082" t="s">
        <v>53</v>
      </c>
      <c r="N8082" t="str">
        <f>"260         "</f>
        <v xml:space="preserve">260         </v>
      </c>
      <c r="O8082">
        <v>231009</v>
      </c>
    </row>
    <row r="8083" spans="1:15" x14ac:dyDescent="0.25">
      <c r="A8083" t="s">
        <v>16</v>
      </c>
      <c r="B8083" t="s">
        <v>3221</v>
      </c>
      <c r="C8083">
        <v>14120</v>
      </c>
      <c r="D8083" t="s">
        <v>96</v>
      </c>
      <c r="E8083" t="s">
        <v>97</v>
      </c>
      <c r="F8083">
        <v>398.2</v>
      </c>
      <c r="G8083">
        <v>231012</v>
      </c>
      <c r="H8083">
        <v>4390</v>
      </c>
      <c r="I8083" t="s">
        <v>98</v>
      </c>
      <c r="J8083">
        <v>493.77</v>
      </c>
      <c r="K8083">
        <v>95.57</v>
      </c>
      <c r="L8083">
        <v>13540</v>
      </c>
      <c r="M8083" t="s">
        <v>85</v>
      </c>
      <c r="N8083" t="str">
        <f>"332         "</f>
        <v xml:space="preserve">332         </v>
      </c>
      <c r="O8083">
        <v>231019</v>
      </c>
    </row>
    <row r="8084" spans="1:15" x14ac:dyDescent="0.25">
      <c r="A8084" t="s">
        <v>16</v>
      </c>
      <c r="B8084" t="s">
        <v>3221</v>
      </c>
      <c r="C8084">
        <v>14120</v>
      </c>
      <c r="D8084" t="s">
        <v>96</v>
      </c>
      <c r="E8084" t="s">
        <v>97</v>
      </c>
      <c r="F8084">
        <v>3221.8</v>
      </c>
      <c r="G8084">
        <v>231012</v>
      </c>
      <c r="H8084">
        <v>4390</v>
      </c>
      <c r="I8084" t="s">
        <v>98</v>
      </c>
      <c r="J8084">
        <v>3995.03</v>
      </c>
      <c r="K8084">
        <v>773.23</v>
      </c>
      <c r="L8084">
        <v>17950</v>
      </c>
      <c r="M8084" t="s">
        <v>86</v>
      </c>
      <c r="N8084" t="str">
        <f>"332         "</f>
        <v xml:space="preserve">332         </v>
      </c>
      <c r="O8084">
        <v>231019</v>
      </c>
    </row>
    <row r="8085" spans="1:15" x14ac:dyDescent="0.25">
      <c r="A8085" t="s">
        <v>16</v>
      </c>
      <c r="B8085" t="s">
        <v>3221</v>
      </c>
      <c r="C8085">
        <v>14216</v>
      </c>
      <c r="D8085" t="s">
        <v>96</v>
      </c>
      <c r="E8085" t="s">
        <v>97</v>
      </c>
      <c r="F8085">
        <v>36.44</v>
      </c>
      <c r="G8085">
        <v>231012</v>
      </c>
      <c r="H8085">
        <v>4390</v>
      </c>
      <c r="I8085" t="s">
        <v>98</v>
      </c>
      <c r="J8085">
        <v>45.19</v>
      </c>
      <c r="K8085">
        <v>8.75</v>
      </c>
      <c r="L8085">
        <v>13540</v>
      </c>
      <c r="M8085" t="s">
        <v>85</v>
      </c>
      <c r="N8085" t="str">
        <f>"333         "</f>
        <v xml:space="preserve">333         </v>
      </c>
      <c r="O8085">
        <v>231024</v>
      </c>
    </row>
    <row r="8086" spans="1:15" x14ac:dyDescent="0.25">
      <c r="A8086" t="s">
        <v>16</v>
      </c>
      <c r="B8086" t="s">
        <v>3221</v>
      </c>
      <c r="C8086">
        <v>14216</v>
      </c>
      <c r="D8086" t="s">
        <v>96</v>
      </c>
      <c r="E8086" t="s">
        <v>97</v>
      </c>
      <c r="F8086">
        <v>294.85000000000002</v>
      </c>
      <c r="G8086">
        <v>231012</v>
      </c>
      <c r="H8086">
        <v>4390</v>
      </c>
      <c r="I8086" t="s">
        <v>98</v>
      </c>
      <c r="J8086">
        <v>365.62</v>
      </c>
      <c r="K8086">
        <v>70.77</v>
      </c>
      <c r="L8086">
        <v>17950</v>
      </c>
      <c r="M8086" t="s">
        <v>86</v>
      </c>
      <c r="N8086" t="str">
        <f>"333         "</f>
        <v xml:space="preserve">333         </v>
      </c>
      <c r="O8086">
        <v>231024</v>
      </c>
    </row>
    <row r="8087" spans="1:15" x14ac:dyDescent="0.25">
      <c r="A8087" t="s">
        <v>16</v>
      </c>
      <c r="B8087" t="s">
        <v>3221</v>
      </c>
      <c r="C8087">
        <v>14216</v>
      </c>
      <c r="D8087" t="s">
        <v>96</v>
      </c>
      <c r="E8087" t="s">
        <v>97</v>
      </c>
      <c r="F8087">
        <v>331.3</v>
      </c>
      <c r="G8087">
        <v>231012</v>
      </c>
      <c r="H8087">
        <v>4390</v>
      </c>
      <c r="I8087" t="s">
        <v>98</v>
      </c>
      <c r="J8087">
        <v>410.81</v>
      </c>
      <c r="K8087">
        <v>79.510000000000005</v>
      </c>
      <c r="L8087">
        <v>17950</v>
      </c>
      <c r="M8087" t="s">
        <v>86</v>
      </c>
      <c r="N8087" t="str">
        <f>"333         "</f>
        <v xml:space="preserve">333         </v>
      </c>
      <c r="O8087">
        <v>231024</v>
      </c>
    </row>
    <row r="8088" spans="1:15" x14ac:dyDescent="0.25">
      <c r="A8088" t="s">
        <v>16</v>
      </c>
      <c r="B8088" t="s">
        <v>3221</v>
      </c>
      <c r="C8088">
        <v>14950</v>
      </c>
      <c r="D8088" t="s">
        <v>96</v>
      </c>
      <c r="E8088" t="s">
        <v>97</v>
      </c>
      <c r="F8088">
        <v>613.36</v>
      </c>
      <c r="G8088">
        <v>231101</v>
      </c>
      <c r="H8088">
        <v>4390</v>
      </c>
      <c r="I8088" t="s">
        <v>98</v>
      </c>
      <c r="J8088">
        <v>760.57</v>
      </c>
      <c r="K8088">
        <v>147.21</v>
      </c>
      <c r="L8088">
        <v>13540</v>
      </c>
      <c r="M8088" t="s">
        <v>85</v>
      </c>
      <c r="N8088" t="str">
        <f>"300         "</f>
        <v xml:space="preserve">300         </v>
      </c>
      <c r="O8088">
        <v>231107</v>
      </c>
    </row>
    <row r="8089" spans="1:15" x14ac:dyDescent="0.25">
      <c r="A8089" t="s">
        <v>16</v>
      </c>
      <c r="B8089" t="s">
        <v>3221</v>
      </c>
      <c r="C8089">
        <v>14950</v>
      </c>
      <c r="D8089" t="s">
        <v>96</v>
      </c>
      <c r="E8089" t="s">
        <v>97</v>
      </c>
      <c r="F8089">
        <v>4182</v>
      </c>
      <c r="G8089">
        <v>231101</v>
      </c>
      <c r="H8089">
        <v>4390</v>
      </c>
      <c r="I8089" t="s">
        <v>98</v>
      </c>
      <c r="J8089">
        <v>5185.68</v>
      </c>
      <c r="K8089">
        <v>1003.68</v>
      </c>
      <c r="L8089">
        <v>17950</v>
      </c>
      <c r="M8089" t="s">
        <v>86</v>
      </c>
      <c r="N8089" t="str">
        <f>"300         "</f>
        <v xml:space="preserve">300         </v>
      </c>
      <c r="O8089">
        <v>231107</v>
      </c>
    </row>
    <row r="8090" spans="1:15" x14ac:dyDescent="0.25">
      <c r="A8090" t="s">
        <v>16</v>
      </c>
      <c r="B8090" t="s">
        <v>3221</v>
      </c>
      <c r="C8090">
        <v>14950</v>
      </c>
      <c r="D8090" t="s">
        <v>96</v>
      </c>
      <c r="E8090" t="s">
        <v>97</v>
      </c>
      <c r="F8090">
        <v>780.64</v>
      </c>
      <c r="G8090">
        <v>231101</v>
      </c>
      <c r="H8090">
        <v>4390</v>
      </c>
      <c r="I8090" t="s">
        <v>98</v>
      </c>
      <c r="J8090">
        <v>967.99</v>
      </c>
      <c r="K8090">
        <v>187.35</v>
      </c>
      <c r="L8090">
        <v>17956</v>
      </c>
      <c r="M8090" t="s">
        <v>53</v>
      </c>
      <c r="N8090" t="str">
        <f>"300         "</f>
        <v xml:space="preserve">300         </v>
      </c>
      <c r="O8090">
        <v>231107</v>
      </c>
    </row>
    <row r="8091" spans="1:15" x14ac:dyDescent="0.25">
      <c r="A8091" t="s">
        <v>16</v>
      </c>
      <c r="B8091" t="s">
        <v>3221</v>
      </c>
      <c r="C8091">
        <v>16986</v>
      </c>
      <c r="D8091" t="s">
        <v>96</v>
      </c>
      <c r="E8091" t="s">
        <v>97</v>
      </c>
      <c r="F8091">
        <v>613.36</v>
      </c>
      <c r="G8091">
        <v>231201</v>
      </c>
      <c r="H8091">
        <v>4390</v>
      </c>
      <c r="I8091" t="s">
        <v>98</v>
      </c>
      <c r="J8091">
        <v>760.57</v>
      </c>
      <c r="K8091">
        <v>147.21</v>
      </c>
      <c r="L8091">
        <v>13540</v>
      </c>
      <c r="M8091" t="s">
        <v>85</v>
      </c>
      <c r="N8091" t="str">
        <f>"361         "</f>
        <v xml:space="preserve">361         </v>
      </c>
      <c r="O8091">
        <v>231211</v>
      </c>
    </row>
    <row r="8092" spans="1:15" x14ac:dyDescent="0.25">
      <c r="A8092" t="s">
        <v>16</v>
      </c>
      <c r="B8092" t="s">
        <v>3221</v>
      </c>
      <c r="C8092">
        <v>16986</v>
      </c>
      <c r="D8092" t="s">
        <v>96</v>
      </c>
      <c r="E8092" t="s">
        <v>97</v>
      </c>
      <c r="F8092">
        <v>4182</v>
      </c>
      <c r="G8092">
        <v>231201</v>
      </c>
      <c r="H8092">
        <v>4390</v>
      </c>
      <c r="I8092" t="s">
        <v>98</v>
      </c>
      <c r="J8092">
        <v>5185.68</v>
      </c>
      <c r="K8092">
        <v>1003.68</v>
      </c>
      <c r="L8092">
        <v>17950</v>
      </c>
      <c r="M8092" t="s">
        <v>86</v>
      </c>
      <c r="N8092" t="str">
        <f>"361         "</f>
        <v xml:space="preserve">361         </v>
      </c>
      <c r="O8092">
        <v>231211</v>
      </c>
    </row>
    <row r="8093" spans="1:15" x14ac:dyDescent="0.25">
      <c r="A8093" t="s">
        <v>16</v>
      </c>
      <c r="B8093" t="s">
        <v>3221</v>
      </c>
      <c r="C8093">
        <v>16986</v>
      </c>
      <c r="D8093" t="s">
        <v>96</v>
      </c>
      <c r="E8093" t="s">
        <v>97</v>
      </c>
      <c r="F8093">
        <v>780.64</v>
      </c>
      <c r="G8093">
        <v>231201</v>
      </c>
      <c r="H8093">
        <v>4390</v>
      </c>
      <c r="I8093" t="s">
        <v>98</v>
      </c>
      <c r="J8093">
        <v>967.99</v>
      </c>
      <c r="K8093">
        <v>187.35</v>
      </c>
      <c r="L8093">
        <v>17956</v>
      </c>
      <c r="M8093" t="s">
        <v>53</v>
      </c>
      <c r="N8093" t="str">
        <f>"361         "</f>
        <v xml:space="preserve">361         </v>
      </c>
      <c r="O8093">
        <v>231211</v>
      </c>
    </row>
    <row r="8094" spans="1:15" x14ac:dyDescent="0.25">
      <c r="A8094" t="s">
        <v>16</v>
      </c>
      <c r="B8094" t="s">
        <v>3221</v>
      </c>
      <c r="C8094">
        <v>16125</v>
      </c>
      <c r="D8094" t="s">
        <v>96</v>
      </c>
      <c r="E8094" t="s">
        <v>97</v>
      </c>
      <c r="F8094">
        <v>66.599999999999994</v>
      </c>
      <c r="G8094">
        <v>231120</v>
      </c>
      <c r="H8094">
        <v>4590</v>
      </c>
      <c r="I8094" t="s">
        <v>203</v>
      </c>
      <c r="J8094">
        <v>82.58</v>
      </c>
      <c r="K8094">
        <v>15.98</v>
      </c>
      <c r="L8094">
        <v>17950</v>
      </c>
      <c r="M8094" t="s">
        <v>86</v>
      </c>
      <c r="N8094" t="str">
        <f>"420         "</f>
        <v xml:space="preserve">420         </v>
      </c>
      <c r="O8094">
        <v>231123</v>
      </c>
    </row>
    <row r="8095" spans="1:15" x14ac:dyDescent="0.25">
      <c r="A8095" t="s">
        <v>16</v>
      </c>
      <c r="B8095" t="s">
        <v>3221</v>
      </c>
      <c r="C8095">
        <v>18699</v>
      </c>
      <c r="D8095" t="s">
        <v>96</v>
      </c>
      <c r="E8095" t="s">
        <v>97</v>
      </c>
      <c r="F8095">
        <v>4.62</v>
      </c>
      <c r="G8095">
        <v>231226</v>
      </c>
      <c r="H8095">
        <v>4550</v>
      </c>
      <c r="I8095" t="s">
        <v>312</v>
      </c>
      <c r="J8095">
        <v>5.73</v>
      </c>
      <c r="K8095">
        <v>1.1100000000000001</v>
      </c>
      <c r="L8095">
        <v>13540</v>
      </c>
      <c r="M8095" t="s">
        <v>85</v>
      </c>
      <c r="N8095" t="str">
        <f>"472         "</f>
        <v xml:space="preserve">472         </v>
      </c>
      <c r="O8095">
        <v>240105</v>
      </c>
    </row>
    <row r="8096" spans="1:15" x14ac:dyDescent="0.25">
      <c r="A8096" t="s">
        <v>16</v>
      </c>
      <c r="B8096" t="s">
        <v>3221</v>
      </c>
      <c r="C8096">
        <v>18699</v>
      </c>
      <c r="D8096" t="s">
        <v>96</v>
      </c>
      <c r="E8096" t="s">
        <v>97</v>
      </c>
      <c r="F8096">
        <v>37.380000000000003</v>
      </c>
      <c r="G8096">
        <v>231226</v>
      </c>
      <c r="H8096">
        <v>4550</v>
      </c>
      <c r="I8096" t="s">
        <v>312</v>
      </c>
      <c r="J8096">
        <v>46.35</v>
      </c>
      <c r="K8096">
        <v>8.9700000000000006</v>
      </c>
      <c r="L8096">
        <v>17950</v>
      </c>
      <c r="M8096" t="s">
        <v>86</v>
      </c>
      <c r="N8096" t="str">
        <f>"472         "</f>
        <v xml:space="preserve">472         </v>
      </c>
      <c r="O8096">
        <v>240105</v>
      </c>
    </row>
    <row r="8097" spans="1:15" x14ac:dyDescent="0.25">
      <c r="A8097" t="s">
        <v>16</v>
      </c>
      <c r="B8097" t="s">
        <v>3221</v>
      </c>
      <c r="C8097">
        <v>7794</v>
      </c>
      <c r="D8097" t="s">
        <v>96</v>
      </c>
      <c r="E8097" t="s">
        <v>97</v>
      </c>
      <c r="F8097">
        <v>321.75</v>
      </c>
      <c r="G8097">
        <v>230601</v>
      </c>
      <c r="H8097">
        <v>4572</v>
      </c>
      <c r="I8097" t="s">
        <v>122</v>
      </c>
      <c r="J8097">
        <v>398.97</v>
      </c>
      <c r="K8097">
        <v>77.22</v>
      </c>
      <c r="L8097">
        <v>13540</v>
      </c>
      <c r="M8097" t="s">
        <v>85</v>
      </c>
      <c r="N8097" t="str">
        <f>"88          "</f>
        <v xml:space="preserve">88          </v>
      </c>
      <c r="O8097">
        <v>230602</v>
      </c>
    </row>
    <row r="8098" spans="1:15" x14ac:dyDescent="0.25">
      <c r="A8098" t="s">
        <v>16</v>
      </c>
      <c r="B8098" t="s">
        <v>3221</v>
      </c>
      <c r="C8098">
        <v>7794</v>
      </c>
      <c r="D8098" t="s">
        <v>96</v>
      </c>
      <c r="E8098" t="s">
        <v>97</v>
      </c>
      <c r="F8098">
        <v>2603.25</v>
      </c>
      <c r="G8098">
        <v>230601</v>
      </c>
      <c r="H8098">
        <v>4572</v>
      </c>
      <c r="I8098" t="s">
        <v>122</v>
      </c>
      <c r="J8098">
        <v>3228.03</v>
      </c>
      <c r="K8098">
        <v>624.78</v>
      </c>
      <c r="L8098">
        <v>17950</v>
      </c>
      <c r="M8098" t="s">
        <v>86</v>
      </c>
      <c r="N8098" t="str">
        <f>"88          "</f>
        <v xml:space="preserve">88          </v>
      </c>
      <c r="O8098">
        <v>230602</v>
      </c>
    </row>
    <row r="8099" spans="1:15" x14ac:dyDescent="0.25">
      <c r="A8099" t="s">
        <v>16</v>
      </c>
      <c r="B8099" t="s">
        <v>3221</v>
      </c>
      <c r="C8099">
        <v>18699</v>
      </c>
      <c r="D8099" t="s">
        <v>96</v>
      </c>
      <c r="E8099" t="s">
        <v>97</v>
      </c>
      <c r="F8099">
        <v>26.33</v>
      </c>
      <c r="G8099">
        <v>231226</v>
      </c>
      <c r="H8099">
        <v>4572</v>
      </c>
      <c r="I8099" t="s">
        <v>122</v>
      </c>
      <c r="J8099">
        <v>32.65</v>
      </c>
      <c r="K8099">
        <v>6.32</v>
      </c>
      <c r="L8099">
        <v>13540</v>
      </c>
      <c r="M8099" t="s">
        <v>85</v>
      </c>
      <c r="N8099" t="str">
        <f>"472         "</f>
        <v xml:space="preserve">472         </v>
      </c>
      <c r="O8099">
        <v>240105</v>
      </c>
    </row>
    <row r="8100" spans="1:15" x14ac:dyDescent="0.25">
      <c r="A8100" t="s">
        <v>16</v>
      </c>
      <c r="B8100" t="s">
        <v>3221</v>
      </c>
      <c r="C8100">
        <v>18699</v>
      </c>
      <c r="D8100" t="s">
        <v>96</v>
      </c>
      <c r="E8100" t="s">
        <v>97</v>
      </c>
      <c r="F8100">
        <v>213.07</v>
      </c>
      <c r="G8100">
        <v>231226</v>
      </c>
      <c r="H8100">
        <v>4572</v>
      </c>
      <c r="I8100" t="s">
        <v>122</v>
      </c>
      <c r="J8100">
        <v>264.20999999999998</v>
      </c>
      <c r="K8100">
        <v>51.14</v>
      </c>
      <c r="L8100">
        <v>17950</v>
      </c>
      <c r="M8100" t="s">
        <v>86</v>
      </c>
      <c r="N8100" t="str">
        <f>"472         "</f>
        <v xml:space="preserve">472         </v>
      </c>
      <c r="O8100">
        <v>240105</v>
      </c>
    </row>
    <row r="8101" spans="1:15" x14ac:dyDescent="0.25">
      <c r="A8101" t="s">
        <v>16</v>
      </c>
      <c r="B8101" t="s">
        <v>3221</v>
      </c>
      <c r="C8101">
        <v>14174</v>
      </c>
      <c r="D8101" t="s">
        <v>1015</v>
      </c>
      <c r="E8101" t="s">
        <v>1016</v>
      </c>
      <c r="F8101">
        <v>241.94</v>
      </c>
      <c r="G8101">
        <v>231018</v>
      </c>
      <c r="H8101">
        <v>4410</v>
      </c>
      <c r="I8101" t="s">
        <v>517</v>
      </c>
      <c r="J8101">
        <v>300</v>
      </c>
      <c r="K8101">
        <v>58.06</v>
      </c>
      <c r="L8101">
        <v>10002</v>
      </c>
      <c r="M8101" t="s">
        <v>1066</v>
      </c>
      <c r="N8101" t="str">
        <f>"334         "</f>
        <v xml:space="preserve">334         </v>
      </c>
      <c r="O8101">
        <v>231023</v>
      </c>
    </row>
    <row r="8102" spans="1:15" x14ac:dyDescent="0.25">
      <c r="A8102" t="s">
        <v>16</v>
      </c>
      <c r="B8102" t="s">
        <v>3221</v>
      </c>
      <c r="C8102">
        <v>18812</v>
      </c>
      <c r="D8102" t="s">
        <v>1015</v>
      </c>
      <c r="E8102" t="s">
        <v>1016</v>
      </c>
      <c r="F8102">
        <v>382.27</v>
      </c>
      <c r="G8102">
        <v>231231</v>
      </c>
      <c r="H8102">
        <v>4380</v>
      </c>
      <c r="I8102" t="s">
        <v>113</v>
      </c>
      <c r="J8102">
        <v>474.01</v>
      </c>
      <c r="K8102">
        <v>91.74</v>
      </c>
      <c r="L8102">
        <v>59503</v>
      </c>
      <c r="M8102" t="s">
        <v>194</v>
      </c>
      <c r="N8102" t="str">
        <f>"359         "</f>
        <v xml:space="preserve">359         </v>
      </c>
      <c r="O8102">
        <v>240108</v>
      </c>
    </row>
    <row r="8103" spans="1:15" x14ac:dyDescent="0.25">
      <c r="A8103" t="s">
        <v>16</v>
      </c>
      <c r="B8103" t="s">
        <v>3221</v>
      </c>
      <c r="C8103">
        <v>1349</v>
      </c>
      <c r="D8103" t="s">
        <v>1015</v>
      </c>
      <c r="E8103" t="s">
        <v>1016</v>
      </c>
      <c r="F8103">
        <v>6427.38</v>
      </c>
      <c r="G8103">
        <v>230202</v>
      </c>
      <c r="H8103">
        <v>4820</v>
      </c>
      <c r="I8103" t="s">
        <v>50</v>
      </c>
      <c r="J8103">
        <v>7969.95</v>
      </c>
      <c r="K8103">
        <v>1542.57</v>
      </c>
      <c r="L8103">
        <v>18951</v>
      </c>
      <c r="M8103" t="s">
        <v>1017</v>
      </c>
      <c r="N8103" t="str">
        <f>"275         "</f>
        <v xml:space="preserve">275         </v>
      </c>
      <c r="O8103">
        <v>230208</v>
      </c>
    </row>
    <row r="8104" spans="1:15" x14ac:dyDescent="0.25">
      <c r="A8104" t="s">
        <v>16</v>
      </c>
      <c r="B8104" t="s">
        <v>3221</v>
      </c>
      <c r="C8104">
        <v>1539</v>
      </c>
      <c r="D8104" t="s">
        <v>1015</v>
      </c>
      <c r="E8104" t="s">
        <v>1016</v>
      </c>
      <c r="F8104">
        <v>8393.26</v>
      </c>
      <c r="G8104">
        <v>230202</v>
      </c>
      <c r="H8104">
        <v>4820</v>
      </c>
      <c r="I8104" t="s">
        <v>50</v>
      </c>
      <c r="J8104">
        <v>10407.64</v>
      </c>
      <c r="K8104">
        <v>2014.38</v>
      </c>
      <c r="L8104">
        <v>59503</v>
      </c>
      <c r="M8104" t="s">
        <v>194</v>
      </c>
      <c r="N8104" t="str">
        <f>"273         "</f>
        <v xml:space="preserve">273         </v>
      </c>
      <c r="O8104">
        <v>230209</v>
      </c>
    </row>
    <row r="8105" spans="1:15" x14ac:dyDescent="0.25">
      <c r="A8105" t="s">
        <v>16</v>
      </c>
      <c r="B8105" t="s">
        <v>3221</v>
      </c>
      <c r="C8105">
        <v>2955</v>
      </c>
      <c r="D8105" t="s">
        <v>1015</v>
      </c>
      <c r="E8105" t="s">
        <v>1016</v>
      </c>
      <c r="F8105">
        <v>8393.26</v>
      </c>
      <c r="G8105">
        <v>230306</v>
      </c>
      <c r="H8105">
        <v>4820</v>
      </c>
      <c r="I8105" t="s">
        <v>50</v>
      </c>
      <c r="J8105">
        <v>10407.64</v>
      </c>
      <c r="K8105">
        <v>2014.38</v>
      </c>
      <c r="L8105">
        <v>59503</v>
      </c>
      <c r="M8105" t="s">
        <v>194</v>
      </c>
      <c r="N8105" t="str">
        <f>"278         "</f>
        <v xml:space="preserve">278         </v>
      </c>
      <c r="O8105">
        <v>230308</v>
      </c>
    </row>
    <row r="8106" spans="1:15" x14ac:dyDescent="0.25">
      <c r="A8106" t="s">
        <v>16</v>
      </c>
      <c r="B8106" t="s">
        <v>3221</v>
      </c>
      <c r="C8106">
        <v>2958</v>
      </c>
      <c r="D8106" t="s">
        <v>1015</v>
      </c>
      <c r="E8106" t="s">
        <v>1016</v>
      </c>
      <c r="F8106">
        <v>6427.38</v>
      </c>
      <c r="G8106">
        <v>230306</v>
      </c>
      <c r="H8106">
        <v>4820</v>
      </c>
      <c r="I8106" t="s">
        <v>50</v>
      </c>
      <c r="J8106">
        <v>7969.95</v>
      </c>
      <c r="K8106">
        <v>1542.57</v>
      </c>
      <c r="L8106">
        <v>18951</v>
      </c>
      <c r="M8106" t="s">
        <v>1017</v>
      </c>
      <c r="N8106" t="str">
        <f>"277         "</f>
        <v xml:space="preserve">277         </v>
      </c>
      <c r="O8106">
        <v>230308</v>
      </c>
    </row>
    <row r="8107" spans="1:15" x14ac:dyDescent="0.25">
      <c r="A8107" t="s">
        <v>16</v>
      </c>
      <c r="B8107" t="s">
        <v>3221</v>
      </c>
      <c r="C8107">
        <v>4311</v>
      </c>
      <c r="D8107" t="s">
        <v>1015</v>
      </c>
      <c r="E8107" t="s">
        <v>1016</v>
      </c>
      <c r="F8107">
        <v>6427.38</v>
      </c>
      <c r="G8107">
        <v>230331</v>
      </c>
      <c r="H8107">
        <v>4820</v>
      </c>
      <c r="I8107" t="s">
        <v>50</v>
      </c>
      <c r="J8107">
        <v>7969.95</v>
      </c>
      <c r="K8107">
        <v>1542.57</v>
      </c>
      <c r="L8107">
        <v>18951</v>
      </c>
      <c r="M8107" t="s">
        <v>1017</v>
      </c>
      <c r="N8107" t="str">
        <f>"283         "</f>
        <v xml:space="preserve">283         </v>
      </c>
      <c r="O8107">
        <v>230404</v>
      </c>
    </row>
    <row r="8108" spans="1:15" x14ac:dyDescent="0.25">
      <c r="A8108" t="s">
        <v>16</v>
      </c>
      <c r="B8108" t="s">
        <v>3221</v>
      </c>
      <c r="C8108">
        <v>4795</v>
      </c>
      <c r="D8108" t="s">
        <v>1015</v>
      </c>
      <c r="E8108" t="s">
        <v>1016</v>
      </c>
      <c r="F8108">
        <v>8393.26</v>
      </c>
      <c r="G8108">
        <v>230331</v>
      </c>
      <c r="H8108">
        <v>4820</v>
      </c>
      <c r="I8108" t="s">
        <v>50</v>
      </c>
      <c r="J8108">
        <v>10407.64</v>
      </c>
      <c r="K8108">
        <v>2014.38</v>
      </c>
      <c r="L8108">
        <v>59503</v>
      </c>
      <c r="M8108" t="s">
        <v>194</v>
      </c>
      <c r="N8108" t="str">
        <f>"282         "</f>
        <v xml:space="preserve">282         </v>
      </c>
      <c r="O8108">
        <v>230412</v>
      </c>
    </row>
    <row r="8109" spans="1:15" x14ac:dyDescent="0.25">
      <c r="A8109" t="s">
        <v>16</v>
      </c>
      <c r="B8109" t="s">
        <v>3221</v>
      </c>
      <c r="C8109">
        <v>6491</v>
      </c>
      <c r="D8109" t="s">
        <v>1015</v>
      </c>
      <c r="E8109" t="s">
        <v>1016</v>
      </c>
      <c r="F8109">
        <v>6427.38</v>
      </c>
      <c r="G8109">
        <v>230508</v>
      </c>
      <c r="H8109">
        <v>4820</v>
      </c>
      <c r="I8109" t="s">
        <v>50</v>
      </c>
      <c r="J8109">
        <v>7969.95</v>
      </c>
      <c r="K8109">
        <v>1542.57</v>
      </c>
      <c r="L8109">
        <v>18951</v>
      </c>
      <c r="M8109" t="s">
        <v>1017</v>
      </c>
      <c r="N8109" t="str">
        <f>"291         "</f>
        <v xml:space="preserve">291         </v>
      </c>
      <c r="O8109">
        <v>230512</v>
      </c>
    </row>
    <row r="8110" spans="1:15" x14ac:dyDescent="0.25">
      <c r="A8110" t="s">
        <v>16</v>
      </c>
      <c r="B8110" t="s">
        <v>3221</v>
      </c>
      <c r="C8110">
        <v>6545</v>
      </c>
      <c r="D8110" t="s">
        <v>1015</v>
      </c>
      <c r="E8110" t="s">
        <v>1016</v>
      </c>
      <c r="F8110">
        <v>8393.26</v>
      </c>
      <c r="G8110">
        <v>230508</v>
      </c>
      <c r="H8110">
        <v>4820</v>
      </c>
      <c r="I8110" t="s">
        <v>50</v>
      </c>
      <c r="J8110">
        <v>10407.64</v>
      </c>
      <c r="K8110">
        <v>2014.38</v>
      </c>
      <c r="L8110">
        <v>59503</v>
      </c>
      <c r="M8110" t="s">
        <v>194</v>
      </c>
      <c r="N8110" t="str">
        <f>"290         "</f>
        <v xml:space="preserve">290         </v>
      </c>
      <c r="O8110">
        <v>230512</v>
      </c>
    </row>
    <row r="8111" spans="1:15" x14ac:dyDescent="0.25">
      <c r="A8111" t="s">
        <v>16</v>
      </c>
      <c r="B8111" t="s">
        <v>3221</v>
      </c>
      <c r="C8111">
        <v>7884</v>
      </c>
      <c r="D8111" t="s">
        <v>1015</v>
      </c>
      <c r="E8111" t="s">
        <v>1016</v>
      </c>
      <c r="F8111">
        <v>6427.38</v>
      </c>
      <c r="G8111">
        <v>230601</v>
      </c>
      <c r="H8111">
        <v>4820</v>
      </c>
      <c r="I8111" t="s">
        <v>50</v>
      </c>
      <c r="J8111">
        <v>7969.95</v>
      </c>
      <c r="K8111">
        <v>1542.57</v>
      </c>
      <c r="L8111">
        <v>18951</v>
      </c>
      <c r="M8111" t="s">
        <v>1017</v>
      </c>
      <c r="N8111" t="str">
        <f>"296         "</f>
        <v xml:space="preserve">296         </v>
      </c>
      <c r="O8111">
        <v>230605</v>
      </c>
    </row>
    <row r="8112" spans="1:15" x14ac:dyDescent="0.25">
      <c r="A8112" t="s">
        <v>16</v>
      </c>
      <c r="B8112" t="s">
        <v>3221</v>
      </c>
      <c r="C8112">
        <v>7992</v>
      </c>
      <c r="D8112" t="s">
        <v>1015</v>
      </c>
      <c r="E8112" t="s">
        <v>1016</v>
      </c>
      <c r="F8112">
        <v>8393.26</v>
      </c>
      <c r="G8112">
        <v>230601</v>
      </c>
      <c r="H8112">
        <v>4820</v>
      </c>
      <c r="I8112" t="s">
        <v>50</v>
      </c>
      <c r="J8112">
        <v>10407.64</v>
      </c>
      <c r="K8112">
        <v>2014.38</v>
      </c>
      <c r="L8112">
        <v>59503</v>
      </c>
      <c r="M8112" t="s">
        <v>194</v>
      </c>
      <c r="N8112" t="str">
        <f>"295         "</f>
        <v xml:space="preserve">295         </v>
      </c>
      <c r="O8112">
        <v>230606</v>
      </c>
    </row>
    <row r="8113" spans="1:15" x14ac:dyDescent="0.25">
      <c r="A8113" t="s">
        <v>16</v>
      </c>
      <c r="B8113" t="s">
        <v>3221</v>
      </c>
      <c r="C8113">
        <v>8651</v>
      </c>
      <c r="D8113" t="s">
        <v>1015</v>
      </c>
      <c r="E8113" t="s">
        <v>1016</v>
      </c>
      <c r="F8113">
        <v>241.94</v>
      </c>
      <c r="G8113">
        <v>230602</v>
      </c>
      <c r="H8113">
        <v>4820</v>
      </c>
      <c r="I8113" t="s">
        <v>50</v>
      </c>
      <c r="J8113">
        <v>300</v>
      </c>
      <c r="K8113">
        <v>58.06</v>
      </c>
      <c r="L8113">
        <v>11602</v>
      </c>
      <c r="M8113" t="s">
        <v>714</v>
      </c>
      <c r="N8113" t="str">
        <f>"302         "</f>
        <v xml:space="preserve">302         </v>
      </c>
      <c r="O8113">
        <v>230613</v>
      </c>
    </row>
    <row r="8114" spans="1:15" x14ac:dyDescent="0.25">
      <c r="A8114" t="s">
        <v>16</v>
      </c>
      <c r="B8114" t="s">
        <v>3221</v>
      </c>
      <c r="C8114">
        <v>9369</v>
      </c>
      <c r="D8114" t="s">
        <v>1015</v>
      </c>
      <c r="E8114" t="s">
        <v>1016</v>
      </c>
      <c r="F8114">
        <v>8393.26</v>
      </c>
      <c r="G8114">
        <v>230630</v>
      </c>
      <c r="H8114">
        <v>4820</v>
      </c>
      <c r="I8114" t="s">
        <v>50</v>
      </c>
      <c r="J8114">
        <v>10407.64</v>
      </c>
      <c r="K8114">
        <v>2014.38</v>
      </c>
      <c r="L8114">
        <v>59503</v>
      </c>
      <c r="M8114" t="s">
        <v>194</v>
      </c>
      <c r="N8114" t="str">
        <f>"307         "</f>
        <v xml:space="preserve">307         </v>
      </c>
      <c r="O8114">
        <v>230710</v>
      </c>
    </row>
    <row r="8115" spans="1:15" x14ac:dyDescent="0.25">
      <c r="A8115" t="s">
        <v>16</v>
      </c>
      <c r="B8115" t="s">
        <v>3221</v>
      </c>
      <c r="C8115">
        <v>9376</v>
      </c>
      <c r="D8115" t="s">
        <v>1015</v>
      </c>
      <c r="E8115" t="s">
        <v>1016</v>
      </c>
      <c r="F8115">
        <v>6427.38</v>
      </c>
      <c r="G8115">
        <v>230630</v>
      </c>
      <c r="H8115">
        <v>4820</v>
      </c>
      <c r="I8115" t="s">
        <v>50</v>
      </c>
      <c r="J8115">
        <v>7969.95</v>
      </c>
      <c r="K8115">
        <v>1542.57</v>
      </c>
      <c r="L8115">
        <v>18951</v>
      </c>
      <c r="M8115" t="s">
        <v>1017</v>
      </c>
      <c r="N8115" t="str">
        <f>"308         "</f>
        <v xml:space="preserve">308         </v>
      </c>
      <c r="O8115">
        <v>230710</v>
      </c>
    </row>
    <row r="8116" spans="1:15" x14ac:dyDescent="0.25">
      <c r="A8116" t="s">
        <v>16</v>
      </c>
      <c r="B8116" t="s">
        <v>3221</v>
      </c>
      <c r="C8116">
        <v>12874</v>
      </c>
      <c r="D8116" t="s">
        <v>1015</v>
      </c>
      <c r="E8116" t="s">
        <v>1016</v>
      </c>
      <c r="F8116">
        <v>12854.76</v>
      </c>
      <c r="G8116">
        <v>230925</v>
      </c>
      <c r="H8116">
        <v>4820</v>
      </c>
      <c r="I8116" t="s">
        <v>50</v>
      </c>
      <c r="J8116">
        <v>15939.9</v>
      </c>
      <c r="K8116">
        <v>3085.14</v>
      </c>
      <c r="L8116">
        <v>18951</v>
      </c>
      <c r="M8116" t="s">
        <v>1017</v>
      </c>
      <c r="N8116" t="str">
        <f>"328         "</f>
        <v xml:space="preserve">328         </v>
      </c>
      <c r="O8116">
        <v>230929</v>
      </c>
    </row>
    <row r="8117" spans="1:15" x14ac:dyDescent="0.25">
      <c r="A8117" t="s">
        <v>16</v>
      </c>
      <c r="B8117" t="s">
        <v>3221</v>
      </c>
      <c r="C8117">
        <v>12894</v>
      </c>
      <c r="D8117" t="s">
        <v>1015</v>
      </c>
      <c r="E8117" t="s">
        <v>1016</v>
      </c>
      <c r="F8117">
        <v>8393.26</v>
      </c>
      <c r="G8117">
        <v>230926</v>
      </c>
      <c r="H8117">
        <v>4820</v>
      </c>
      <c r="I8117" t="s">
        <v>50</v>
      </c>
      <c r="J8117">
        <v>10407.64</v>
      </c>
      <c r="K8117">
        <v>2014.38</v>
      </c>
      <c r="L8117">
        <v>59503</v>
      </c>
      <c r="M8117" t="s">
        <v>194</v>
      </c>
      <c r="N8117" t="str">
        <f>"330         "</f>
        <v xml:space="preserve">330         </v>
      </c>
      <c r="O8117">
        <v>230929</v>
      </c>
    </row>
    <row r="8118" spans="1:15" x14ac:dyDescent="0.25">
      <c r="A8118" t="s">
        <v>16</v>
      </c>
      <c r="B8118" t="s">
        <v>3221</v>
      </c>
      <c r="C8118">
        <v>12902</v>
      </c>
      <c r="D8118" t="s">
        <v>1015</v>
      </c>
      <c r="E8118" t="s">
        <v>1016</v>
      </c>
      <c r="F8118">
        <v>16786.52</v>
      </c>
      <c r="G8118">
        <v>230925</v>
      </c>
      <c r="H8118">
        <v>4820</v>
      </c>
      <c r="I8118" t="s">
        <v>50</v>
      </c>
      <c r="J8118">
        <v>20815.28</v>
      </c>
      <c r="K8118">
        <v>4028.76</v>
      </c>
      <c r="L8118">
        <v>59503</v>
      </c>
      <c r="M8118" t="s">
        <v>194</v>
      </c>
      <c r="N8118" t="str">
        <f>"327         "</f>
        <v xml:space="preserve">327         </v>
      </c>
      <c r="O8118">
        <v>230929</v>
      </c>
    </row>
    <row r="8119" spans="1:15" x14ac:dyDescent="0.25">
      <c r="A8119" t="s">
        <v>16</v>
      </c>
      <c r="B8119" t="s">
        <v>3221</v>
      </c>
      <c r="C8119">
        <v>13931</v>
      </c>
      <c r="D8119" t="s">
        <v>1015</v>
      </c>
      <c r="E8119" t="s">
        <v>1016</v>
      </c>
      <c r="F8119">
        <v>6427.38</v>
      </c>
      <c r="G8119">
        <v>230926</v>
      </c>
      <c r="H8119">
        <v>4820</v>
      </c>
      <c r="I8119" t="s">
        <v>50</v>
      </c>
      <c r="J8119">
        <v>7969.95</v>
      </c>
      <c r="K8119">
        <v>1542.57</v>
      </c>
      <c r="L8119">
        <v>18951</v>
      </c>
      <c r="M8119" t="s">
        <v>1017</v>
      </c>
      <c r="N8119" t="str">
        <f>"329         "</f>
        <v xml:space="preserve">329         </v>
      </c>
      <c r="O8119">
        <v>231017</v>
      </c>
    </row>
    <row r="8120" spans="1:15" x14ac:dyDescent="0.25">
      <c r="A8120" t="s">
        <v>16</v>
      </c>
      <c r="B8120" t="s">
        <v>3221</v>
      </c>
      <c r="C8120">
        <v>14961</v>
      </c>
      <c r="D8120" t="s">
        <v>1015</v>
      </c>
      <c r="E8120" t="s">
        <v>1016</v>
      </c>
      <c r="F8120">
        <v>6427.38</v>
      </c>
      <c r="G8120">
        <v>231101</v>
      </c>
      <c r="H8120">
        <v>4820</v>
      </c>
      <c r="I8120" t="s">
        <v>50</v>
      </c>
      <c r="J8120">
        <v>7969.95</v>
      </c>
      <c r="K8120">
        <v>1542.57</v>
      </c>
      <c r="L8120">
        <v>18951</v>
      </c>
      <c r="M8120" t="s">
        <v>1017</v>
      </c>
      <c r="N8120" t="str">
        <f>"340         "</f>
        <v xml:space="preserve">340         </v>
      </c>
      <c r="O8120">
        <v>231107</v>
      </c>
    </row>
    <row r="8121" spans="1:15" x14ac:dyDescent="0.25">
      <c r="A8121" t="s">
        <v>16</v>
      </c>
      <c r="B8121" t="s">
        <v>3221</v>
      </c>
      <c r="C8121">
        <v>15089</v>
      </c>
      <c r="D8121" t="s">
        <v>1015</v>
      </c>
      <c r="E8121" t="s">
        <v>1016</v>
      </c>
      <c r="F8121">
        <v>8393.26</v>
      </c>
      <c r="G8121">
        <v>231101</v>
      </c>
      <c r="H8121">
        <v>4820</v>
      </c>
      <c r="I8121" t="s">
        <v>50</v>
      </c>
      <c r="J8121">
        <v>10407.64</v>
      </c>
      <c r="K8121">
        <v>2014.38</v>
      </c>
      <c r="L8121">
        <v>59503</v>
      </c>
      <c r="M8121" t="s">
        <v>194</v>
      </c>
      <c r="N8121" t="str">
        <f>"338         "</f>
        <v xml:space="preserve">338         </v>
      </c>
      <c r="O8121">
        <v>231108</v>
      </c>
    </row>
    <row r="8122" spans="1:15" x14ac:dyDescent="0.25">
      <c r="A8122" t="s">
        <v>16</v>
      </c>
      <c r="B8122" t="s">
        <v>3221</v>
      </c>
      <c r="C8122">
        <v>16910</v>
      </c>
      <c r="D8122" t="s">
        <v>1015</v>
      </c>
      <c r="E8122" t="s">
        <v>1016</v>
      </c>
      <c r="F8122">
        <v>6427.38</v>
      </c>
      <c r="G8122">
        <v>231205</v>
      </c>
      <c r="H8122">
        <v>4820</v>
      </c>
      <c r="I8122" t="s">
        <v>50</v>
      </c>
      <c r="J8122">
        <v>7969.95</v>
      </c>
      <c r="K8122">
        <v>1542.57</v>
      </c>
      <c r="L8122">
        <v>18951</v>
      </c>
      <c r="M8122" t="s">
        <v>1017</v>
      </c>
      <c r="N8122" t="str">
        <f>"345         "</f>
        <v xml:space="preserve">345         </v>
      </c>
      <c r="O8122">
        <v>231211</v>
      </c>
    </row>
    <row r="8123" spans="1:15" x14ac:dyDescent="0.25">
      <c r="A8123" t="s">
        <v>16</v>
      </c>
      <c r="B8123" t="s">
        <v>3221</v>
      </c>
      <c r="C8123">
        <v>17037</v>
      </c>
      <c r="D8123" t="s">
        <v>1015</v>
      </c>
      <c r="E8123" t="s">
        <v>1016</v>
      </c>
      <c r="F8123">
        <v>8393.26</v>
      </c>
      <c r="G8123">
        <v>231205</v>
      </c>
      <c r="H8123">
        <v>4820</v>
      </c>
      <c r="I8123" t="s">
        <v>50</v>
      </c>
      <c r="J8123">
        <v>10407.64</v>
      </c>
      <c r="K8123">
        <v>2014.38</v>
      </c>
      <c r="L8123">
        <v>59503</v>
      </c>
      <c r="M8123" t="s">
        <v>194</v>
      </c>
      <c r="N8123" t="str">
        <f>"344         "</f>
        <v xml:space="preserve">344         </v>
      </c>
      <c r="O8123">
        <v>231212</v>
      </c>
    </row>
    <row r="8124" spans="1:15" x14ac:dyDescent="0.25">
      <c r="A8124" t="s">
        <v>16</v>
      </c>
      <c r="B8124" t="s">
        <v>3221</v>
      </c>
      <c r="C8124">
        <v>18588</v>
      </c>
      <c r="D8124" t="s">
        <v>1015</v>
      </c>
      <c r="E8124" t="s">
        <v>1016</v>
      </c>
      <c r="F8124">
        <v>6427.38</v>
      </c>
      <c r="G8124">
        <v>231231</v>
      </c>
      <c r="H8124">
        <v>4820</v>
      </c>
      <c r="I8124" t="s">
        <v>50</v>
      </c>
      <c r="J8124">
        <v>7969.95</v>
      </c>
      <c r="K8124">
        <v>1542.57</v>
      </c>
      <c r="L8124">
        <v>18951</v>
      </c>
      <c r="M8124" t="s">
        <v>1017</v>
      </c>
      <c r="N8124" t="str">
        <f>"357         "</f>
        <v xml:space="preserve">357         </v>
      </c>
      <c r="O8124">
        <v>240104</v>
      </c>
    </row>
    <row r="8125" spans="1:15" x14ac:dyDescent="0.25">
      <c r="A8125" t="s">
        <v>16</v>
      </c>
      <c r="B8125" t="s">
        <v>3221</v>
      </c>
      <c r="C8125">
        <v>18813</v>
      </c>
      <c r="D8125" t="s">
        <v>1015</v>
      </c>
      <c r="E8125" t="s">
        <v>1016</v>
      </c>
      <c r="F8125">
        <v>8393.26</v>
      </c>
      <c r="G8125">
        <v>231231</v>
      </c>
      <c r="H8125">
        <v>4820</v>
      </c>
      <c r="I8125" t="s">
        <v>50</v>
      </c>
      <c r="J8125">
        <v>10407.64</v>
      </c>
      <c r="K8125">
        <v>2014.38</v>
      </c>
      <c r="L8125">
        <v>59503</v>
      </c>
      <c r="M8125" t="s">
        <v>194</v>
      </c>
      <c r="N8125" t="str">
        <f>"356         "</f>
        <v xml:space="preserve">356         </v>
      </c>
      <c r="O8125">
        <v>240108</v>
      </c>
    </row>
    <row r="8126" spans="1:15" x14ac:dyDescent="0.25">
      <c r="A8126" t="s">
        <v>16</v>
      </c>
      <c r="B8126" t="s">
        <v>3221</v>
      </c>
      <c r="C8126">
        <v>17132</v>
      </c>
      <c r="D8126" t="s">
        <v>3046</v>
      </c>
      <c r="E8126" t="s">
        <v>3047</v>
      </c>
      <c r="F8126">
        <v>1138.8</v>
      </c>
      <c r="G8126">
        <v>231205</v>
      </c>
      <c r="H8126">
        <v>4600</v>
      </c>
      <c r="I8126" t="s">
        <v>105</v>
      </c>
      <c r="J8126">
        <v>1412.11</v>
      </c>
      <c r="K8126">
        <v>273.31</v>
      </c>
      <c r="L8126">
        <v>18972</v>
      </c>
      <c r="M8126" t="s">
        <v>163</v>
      </c>
      <c r="N8126" t="str">
        <f>"1209704     "</f>
        <v xml:space="preserve">1209704     </v>
      </c>
      <c r="O8126">
        <v>231212</v>
      </c>
    </row>
    <row r="8127" spans="1:15" x14ac:dyDescent="0.25">
      <c r="A8127" t="s">
        <v>16</v>
      </c>
      <c r="B8127" t="s">
        <v>3221</v>
      </c>
      <c r="C8127">
        <v>10450</v>
      </c>
      <c r="D8127" t="s">
        <v>2379</v>
      </c>
      <c r="E8127" t="s">
        <v>2380</v>
      </c>
      <c r="F8127">
        <v>753.92</v>
      </c>
      <c r="G8127">
        <v>230810</v>
      </c>
      <c r="H8127">
        <v>4600</v>
      </c>
      <c r="I8127" t="s">
        <v>105</v>
      </c>
      <c r="J8127">
        <v>934.86</v>
      </c>
      <c r="K8127">
        <v>180.94</v>
      </c>
      <c r="L8127">
        <v>59503</v>
      </c>
      <c r="M8127" t="s">
        <v>194</v>
      </c>
      <c r="N8127" t="str">
        <f>"1003103     "</f>
        <v xml:space="preserve">1003103     </v>
      </c>
      <c r="O8127">
        <v>230816</v>
      </c>
    </row>
    <row r="8128" spans="1:15" x14ac:dyDescent="0.25">
      <c r="A8128" t="s">
        <v>16</v>
      </c>
      <c r="B8128" t="s">
        <v>3221</v>
      </c>
      <c r="C8128">
        <v>15993</v>
      </c>
      <c r="D8128" t="s">
        <v>2379</v>
      </c>
      <c r="E8128" t="s">
        <v>2380</v>
      </c>
      <c r="F8128">
        <v>163.15</v>
      </c>
      <c r="G8128">
        <v>231116</v>
      </c>
      <c r="H8128">
        <v>4600</v>
      </c>
      <c r="I8128" t="s">
        <v>105</v>
      </c>
      <c r="J8128">
        <v>202.3</v>
      </c>
      <c r="K8128">
        <v>39.15</v>
      </c>
      <c r="L8128">
        <v>18972</v>
      </c>
      <c r="M8128" t="s">
        <v>163</v>
      </c>
      <c r="N8128" t="str">
        <f>"1003166     "</f>
        <v xml:space="preserve">1003166     </v>
      </c>
      <c r="O8128">
        <v>231122</v>
      </c>
    </row>
    <row r="8129" spans="1:15" x14ac:dyDescent="0.25">
      <c r="A8129" t="s">
        <v>16</v>
      </c>
      <c r="B8129" t="s">
        <v>3221</v>
      </c>
      <c r="C8129">
        <v>17536</v>
      </c>
      <c r="D8129" t="s">
        <v>2379</v>
      </c>
      <c r="E8129" t="s">
        <v>2380</v>
      </c>
      <c r="F8129">
        <v>144.27000000000001</v>
      </c>
      <c r="G8129">
        <v>231212</v>
      </c>
      <c r="H8129">
        <v>4600</v>
      </c>
      <c r="I8129" t="s">
        <v>105</v>
      </c>
      <c r="J8129">
        <v>178.9</v>
      </c>
      <c r="K8129">
        <v>34.630000000000003</v>
      </c>
      <c r="L8129">
        <v>18972</v>
      </c>
      <c r="M8129" t="s">
        <v>163</v>
      </c>
      <c r="N8129" t="str">
        <f>"1003184     "</f>
        <v xml:space="preserve">1003184     </v>
      </c>
      <c r="O8129">
        <v>231215</v>
      </c>
    </row>
    <row r="8130" spans="1:15" x14ac:dyDescent="0.25">
      <c r="A8130" t="s">
        <v>16</v>
      </c>
      <c r="B8130" t="s">
        <v>3221</v>
      </c>
      <c r="C8130">
        <v>7918</v>
      </c>
      <c r="D8130" t="s">
        <v>2142</v>
      </c>
      <c r="E8130" t="s">
        <v>2143</v>
      </c>
      <c r="F8130">
        <v>588.16</v>
      </c>
      <c r="G8130">
        <v>230515</v>
      </c>
      <c r="H8130">
        <v>4440</v>
      </c>
      <c r="I8130" t="s">
        <v>250</v>
      </c>
      <c r="J8130">
        <v>729.32</v>
      </c>
      <c r="K8130">
        <v>141.16</v>
      </c>
      <c r="L8130">
        <v>17711</v>
      </c>
      <c r="M8130" t="s">
        <v>65</v>
      </c>
      <c r="N8130" t="str">
        <f>"1004        "</f>
        <v xml:space="preserve">1004        </v>
      </c>
      <c r="O8130">
        <v>230606</v>
      </c>
    </row>
    <row r="8131" spans="1:15" x14ac:dyDescent="0.25">
      <c r="A8131" t="s">
        <v>16</v>
      </c>
      <c r="B8131" t="s">
        <v>3221</v>
      </c>
      <c r="C8131">
        <v>2390</v>
      </c>
      <c r="D8131" t="s">
        <v>1379</v>
      </c>
      <c r="E8131" t="s">
        <v>1380</v>
      </c>
      <c r="F8131">
        <v>232.8</v>
      </c>
      <c r="G8131">
        <v>230223</v>
      </c>
      <c r="H8131">
        <v>4470</v>
      </c>
      <c r="I8131" t="s">
        <v>83</v>
      </c>
      <c r="J8131">
        <v>288.67</v>
      </c>
      <c r="K8131">
        <v>55.87</v>
      </c>
      <c r="L8131">
        <v>67554</v>
      </c>
      <c r="M8131" t="s">
        <v>60</v>
      </c>
      <c r="N8131" t="str">
        <f>"230223      "</f>
        <v xml:space="preserve">230223      </v>
      </c>
      <c r="O8131">
        <v>230227</v>
      </c>
    </row>
    <row r="8132" spans="1:15" x14ac:dyDescent="0.25">
      <c r="A8132" t="s">
        <v>16</v>
      </c>
      <c r="B8132" t="s">
        <v>3221</v>
      </c>
      <c r="C8132">
        <v>7650</v>
      </c>
      <c r="D8132" t="s">
        <v>1379</v>
      </c>
      <c r="E8132" t="s">
        <v>1380</v>
      </c>
      <c r="F8132">
        <v>1212.8</v>
      </c>
      <c r="G8132">
        <v>230530</v>
      </c>
      <c r="H8132">
        <v>4470</v>
      </c>
      <c r="I8132" t="s">
        <v>83</v>
      </c>
      <c r="J8132">
        <v>1503.87</v>
      </c>
      <c r="K8132">
        <v>291.07</v>
      </c>
      <c r="L8132">
        <v>67554</v>
      </c>
      <c r="M8132" t="s">
        <v>60</v>
      </c>
      <c r="N8132" t="str">
        <f>"300523      "</f>
        <v xml:space="preserve">300523      </v>
      </c>
      <c r="O8132">
        <v>230601</v>
      </c>
    </row>
    <row r="8133" spans="1:15" x14ac:dyDescent="0.25">
      <c r="A8133" t="s">
        <v>16</v>
      </c>
      <c r="B8133" t="s">
        <v>3221</v>
      </c>
      <c r="C8133">
        <v>18655</v>
      </c>
      <c r="D8133" t="s">
        <v>2681</v>
      </c>
      <c r="E8133" t="s">
        <v>2682</v>
      </c>
      <c r="F8133">
        <v>668.36</v>
      </c>
      <c r="G8133">
        <v>231227</v>
      </c>
      <c r="H8133">
        <v>4420</v>
      </c>
      <c r="I8133" t="s">
        <v>132</v>
      </c>
      <c r="J8133">
        <v>761.93</v>
      </c>
      <c r="K8133">
        <v>93.57</v>
      </c>
      <c r="L8133">
        <v>17737</v>
      </c>
      <c r="M8133" t="s">
        <v>279</v>
      </c>
      <c r="N8133" t="str">
        <f>"240651      "</f>
        <v xml:space="preserve">240651      </v>
      </c>
      <c r="O8133">
        <v>240104</v>
      </c>
    </row>
    <row r="8134" spans="1:15" x14ac:dyDescent="0.25">
      <c r="A8134" t="s">
        <v>16</v>
      </c>
      <c r="B8134" t="s">
        <v>3221</v>
      </c>
      <c r="C8134">
        <v>13451</v>
      </c>
      <c r="D8134" t="s">
        <v>2681</v>
      </c>
      <c r="E8134" t="s">
        <v>2682</v>
      </c>
      <c r="F8134">
        <v>9171.23</v>
      </c>
      <c r="G8134">
        <v>231004</v>
      </c>
      <c r="H8134">
        <v>4554</v>
      </c>
      <c r="I8134" t="s">
        <v>371</v>
      </c>
      <c r="J8134">
        <v>10455.200000000001</v>
      </c>
      <c r="K8134">
        <v>1283.97</v>
      </c>
      <c r="L8134">
        <v>17737</v>
      </c>
      <c r="M8134" t="s">
        <v>279</v>
      </c>
      <c r="N8134" t="str">
        <f>"237190      "</f>
        <v xml:space="preserve">237190      </v>
      </c>
      <c r="O8134">
        <v>231010</v>
      </c>
    </row>
    <row r="8135" spans="1:15" x14ac:dyDescent="0.25">
      <c r="A8135" t="s">
        <v>16</v>
      </c>
      <c r="B8135" t="s">
        <v>3221</v>
      </c>
      <c r="C8135">
        <v>18655</v>
      </c>
      <c r="D8135" t="s">
        <v>2681</v>
      </c>
      <c r="E8135" t="s">
        <v>2682</v>
      </c>
      <c r="F8135">
        <v>9583.6</v>
      </c>
      <c r="G8135">
        <v>231227</v>
      </c>
      <c r="H8135">
        <v>4554</v>
      </c>
      <c r="I8135" t="s">
        <v>371</v>
      </c>
      <c r="J8135">
        <v>10925.3</v>
      </c>
      <c r="K8135">
        <v>1341.7</v>
      </c>
      <c r="L8135">
        <v>17737</v>
      </c>
      <c r="M8135" t="s">
        <v>279</v>
      </c>
      <c r="N8135" t="str">
        <f>"240651      "</f>
        <v xml:space="preserve">240651      </v>
      </c>
      <c r="O8135">
        <v>240104</v>
      </c>
    </row>
    <row r="8136" spans="1:15" x14ac:dyDescent="0.25">
      <c r="A8136" t="s">
        <v>16</v>
      </c>
      <c r="B8136" t="s">
        <v>3221</v>
      </c>
      <c r="C8136">
        <v>15746</v>
      </c>
      <c r="D8136" t="s">
        <v>3649</v>
      </c>
      <c r="E8136" t="s">
        <v>2907</v>
      </c>
      <c r="F8136">
        <v>240.96</v>
      </c>
      <c r="G8136">
        <v>231115</v>
      </c>
      <c r="H8136">
        <v>4520</v>
      </c>
      <c r="I8136" t="s">
        <v>254</v>
      </c>
      <c r="J8136">
        <v>298.79000000000002</v>
      </c>
      <c r="K8136">
        <v>57.83</v>
      </c>
      <c r="L8136">
        <v>16431</v>
      </c>
      <c r="M8136" t="s">
        <v>231</v>
      </c>
      <c r="N8136" t="str">
        <f>"17046       "</f>
        <v xml:space="preserve">17046       </v>
      </c>
      <c r="O8136">
        <v>231116</v>
      </c>
    </row>
    <row r="8137" spans="1:15" x14ac:dyDescent="0.25">
      <c r="A8137" t="s">
        <v>16</v>
      </c>
      <c r="B8137" t="s">
        <v>3221</v>
      </c>
      <c r="C8137">
        <v>15980</v>
      </c>
      <c r="D8137" t="s">
        <v>3649</v>
      </c>
      <c r="E8137" t="s">
        <v>2907</v>
      </c>
      <c r="F8137">
        <v>246.7</v>
      </c>
      <c r="G8137">
        <v>231115</v>
      </c>
      <c r="H8137">
        <v>4520</v>
      </c>
      <c r="I8137" t="s">
        <v>254</v>
      </c>
      <c r="J8137">
        <v>305.91000000000003</v>
      </c>
      <c r="K8137">
        <v>59.21</v>
      </c>
      <c r="L8137">
        <v>16431</v>
      </c>
      <c r="M8137" t="s">
        <v>231</v>
      </c>
      <c r="N8137" t="str">
        <f>"17045       "</f>
        <v xml:space="preserve">17045       </v>
      </c>
      <c r="O8137">
        <v>231122</v>
      </c>
    </row>
    <row r="8138" spans="1:15" x14ac:dyDescent="0.25">
      <c r="A8138" t="s">
        <v>16</v>
      </c>
      <c r="B8138" t="s">
        <v>3221</v>
      </c>
      <c r="C8138">
        <v>15927</v>
      </c>
      <c r="D8138" t="s">
        <v>836</v>
      </c>
      <c r="E8138" t="s">
        <v>837</v>
      </c>
      <c r="F8138">
        <v>945</v>
      </c>
      <c r="G8138">
        <v>231113</v>
      </c>
      <c r="H8138">
        <v>4510</v>
      </c>
      <c r="I8138" t="s">
        <v>42</v>
      </c>
      <c r="J8138">
        <v>1171.8</v>
      </c>
      <c r="K8138">
        <v>226.8</v>
      </c>
      <c r="L8138">
        <v>17538</v>
      </c>
      <c r="M8138" t="s">
        <v>24</v>
      </c>
      <c r="N8138" t="str">
        <f>"27971       "</f>
        <v xml:space="preserve">27971       </v>
      </c>
      <c r="O8138">
        <v>231122</v>
      </c>
    </row>
    <row r="8139" spans="1:15" x14ac:dyDescent="0.25">
      <c r="A8139" t="s">
        <v>16</v>
      </c>
      <c r="B8139" t="s">
        <v>3221</v>
      </c>
      <c r="C8139">
        <v>1025</v>
      </c>
      <c r="D8139" t="s">
        <v>836</v>
      </c>
      <c r="E8139" t="s">
        <v>837</v>
      </c>
      <c r="F8139">
        <v>75</v>
      </c>
      <c r="G8139">
        <v>230131</v>
      </c>
      <c r="H8139">
        <v>4500</v>
      </c>
      <c r="I8139" t="s">
        <v>212</v>
      </c>
      <c r="J8139">
        <v>93</v>
      </c>
      <c r="K8139">
        <v>18</v>
      </c>
      <c r="L8139">
        <v>17538</v>
      </c>
      <c r="M8139" t="s">
        <v>24</v>
      </c>
      <c r="N8139" t="str">
        <f>"27176       "</f>
        <v xml:space="preserve">27176       </v>
      </c>
      <c r="O8139">
        <v>230202</v>
      </c>
    </row>
    <row r="8140" spans="1:15" x14ac:dyDescent="0.25">
      <c r="A8140" t="s">
        <v>16</v>
      </c>
      <c r="B8140" t="s">
        <v>3221</v>
      </c>
      <c r="C8140">
        <v>16194</v>
      </c>
      <c r="D8140" t="s">
        <v>2939</v>
      </c>
      <c r="E8140" t="s">
        <v>2940</v>
      </c>
      <c r="F8140">
        <v>741</v>
      </c>
      <c r="G8140">
        <v>231117</v>
      </c>
      <c r="H8140">
        <v>4350</v>
      </c>
      <c r="I8140" t="s">
        <v>546</v>
      </c>
      <c r="J8140">
        <v>918.84</v>
      </c>
      <c r="K8140">
        <v>177.84</v>
      </c>
      <c r="L8140">
        <v>11301</v>
      </c>
      <c r="M8140" t="s">
        <v>29</v>
      </c>
      <c r="N8140" t="str">
        <f>"29493       "</f>
        <v xml:space="preserve">29493       </v>
      </c>
      <c r="O8140">
        <v>231127</v>
      </c>
    </row>
    <row r="8141" spans="1:15" x14ac:dyDescent="0.25">
      <c r="A8141" t="s">
        <v>16</v>
      </c>
      <c r="B8141" t="s">
        <v>3221</v>
      </c>
      <c r="C8141">
        <v>7649</v>
      </c>
      <c r="D8141" t="s">
        <v>2108</v>
      </c>
      <c r="E8141" t="s">
        <v>2109</v>
      </c>
      <c r="F8141">
        <v>120.97</v>
      </c>
      <c r="G8141">
        <v>230531</v>
      </c>
      <c r="H8141">
        <v>4600</v>
      </c>
      <c r="I8141" t="s">
        <v>105</v>
      </c>
      <c r="J8141">
        <v>150</v>
      </c>
      <c r="K8141">
        <v>29.03</v>
      </c>
      <c r="L8141">
        <v>17635</v>
      </c>
      <c r="M8141" t="s">
        <v>349</v>
      </c>
      <c r="N8141" t="str">
        <f>"10062       "</f>
        <v xml:space="preserve">10062       </v>
      </c>
      <c r="O8141">
        <v>230601</v>
      </c>
    </row>
    <row r="8142" spans="1:15" x14ac:dyDescent="0.25">
      <c r="A8142" t="s">
        <v>16</v>
      </c>
      <c r="B8142" t="s">
        <v>3221</v>
      </c>
      <c r="C8142">
        <v>156</v>
      </c>
      <c r="D8142" t="s">
        <v>240</v>
      </c>
      <c r="E8142" t="s">
        <v>241</v>
      </c>
      <c r="F8142">
        <v>485.03</v>
      </c>
      <c r="G8142">
        <v>221231</v>
      </c>
      <c r="H8142">
        <v>4510</v>
      </c>
      <c r="I8142" t="s">
        <v>42</v>
      </c>
      <c r="J8142">
        <v>533.53</v>
      </c>
      <c r="K8142">
        <v>48.5</v>
      </c>
      <c r="L8142">
        <v>13402</v>
      </c>
      <c r="M8142" t="s">
        <v>242</v>
      </c>
      <c r="N8142" t="str">
        <f>"10737       "</f>
        <v xml:space="preserve">10737       </v>
      </c>
      <c r="O8142">
        <v>230113</v>
      </c>
    </row>
    <row r="8143" spans="1:15" x14ac:dyDescent="0.25">
      <c r="A8143" t="s">
        <v>16</v>
      </c>
      <c r="B8143" t="s">
        <v>3221</v>
      </c>
      <c r="C8143">
        <v>157</v>
      </c>
      <c r="D8143" t="s">
        <v>240</v>
      </c>
      <c r="E8143" t="s">
        <v>241</v>
      </c>
      <c r="F8143">
        <v>639.77</v>
      </c>
      <c r="G8143">
        <v>221231</v>
      </c>
      <c r="H8143">
        <v>4510</v>
      </c>
      <c r="I8143" t="s">
        <v>42</v>
      </c>
      <c r="J8143">
        <v>703.75</v>
      </c>
      <c r="K8143">
        <v>63.98</v>
      </c>
      <c r="L8143">
        <v>13502</v>
      </c>
      <c r="M8143" t="s">
        <v>243</v>
      </c>
      <c r="N8143" t="str">
        <f>"10736       "</f>
        <v xml:space="preserve">10736       </v>
      </c>
      <c r="O8143">
        <v>230113</v>
      </c>
    </row>
    <row r="8144" spans="1:15" x14ac:dyDescent="0.25">
      <c r="A8144" t="s">
        <v>16</v>
      </c>
      <c r="B8144" t="s">
        <v>3221</v>
      </c>
      <c r="C8144">
        <v>290</v>
      </c>
      <c r="D8144" t="s">
        <v>240</v>
      </c>
      <c r="E8144" t="s">
        <v>241</v>
      </c>
      <c r="F8144">
        <v>34.159999999999997</v>
      </c>
      <c r="G8144">
        <v>230117</v>
      </c>
      <c r="H8144">
        <v>4510</v>
      </c>
      <c r="I8144" t="s">
        <v>42</v>
      </c>
      <c r="J8144">
        <v>37.58</v>
      </c>
      <c r="K8144">
        <v>3.42</v>
      </c>
      <c r="L8144">
        <v>13201</v>
      </c>
      <c r="M8144" t="s">
        <v>161</v>
      </c>
      <c r="N8144" t="str">
        <f>"10955       "</f>
        <v xml:space="preserve">10955       </v>
      </c>
      <c r="O8144">
        <v>230118</v>
      </c>
    </row>
    <row r="8145" spans="1:15" x14ac:dyDescent="0.25">
      <c r="A8145" t="s">
        <v>16</v>
      </c>
      <c r="B8145" t="s">
        <v>3221</v>
      </c>
      <c r="C8145">
        <v>290</v>
      </c>
      <c r="D8145" t="s">
        <v>240</v>
      </c>
      <c r="E8145" t="s">
        <v>241</v>
      </c>
      <c r="F8145">
        <v>64.400000000000006</v>
      </c>
      <c r="G8145">
        <v>230117</v>
      </c>
      <c r="H8145">
        <v>4510</v>
      </c>
      <c r="I8145" t="s">
        <v>42</v>
      </c>
      <c r="J8145">
        <v>70.84</v>
      </c>
      <c r="K8145">
        <v>6.44</v>
      </c>
      <c r="L8145">
        <v>13502</v>
      </c>
      <c r="M8145" t="s">
        <v>243</v>
      </c>
      <c r="N8145" t="str">
        <f>"10955       "</f>
        <v xml:space="preserve">10955       </v>
      </c>
      <c r="O8145">
        <v>230118</v>
      </c>
    </row>
    <row r="8146" spans="1:15" x14ac:dyDescent="0.25">
      <c r="A8146" t="s">
        <v>16</v>
      </c>
      <c r="B8146" t="s">
        <v>3221</v>
      </c>
      <c r="C8146">
        <v>291</v>
      </c>
      <c r="D8146" t="s">
        <v>240</v>
      </c>
      <c r="E8146" t="s">
        <v>241</v>
      </c>
      <c r="F8146">
        <v>204.26</v>
      </c>
      <c r="G8146">
        <v>230117</v>
      </c>
      <c r="H8146">
        <v>4510</v>
      </c>
      <c r="I8146" t="s">
        <v>42</v>
      </c>
      <c r="J8146">
        <v>224.69</v>
      </c>
      <c r="K8146">
        <v>20.43</v>
      </c>
      <c r="L8146">
        <v>16321</v>
      </c>
      <c r="M8146" t="s">
        <v>423</v>
      </c>
      <c r="N8146" t="str">
        <f>"10952       "</f>
        <v xml:space="preserve">10952       </v>
      </c>
      <c r="O8146">
        <v>230118</v>
      </c>
    </row>
    <row r="8147" spans="1:15" x14ac:dyDescent="0.25">
      <c r="A8147" t="s">
        <v>16</v>
      </c>
      <c r="B8147" t="s">
        <v>3221</v>
      </c>
      <c r="C8147">
        <v>291</v>
      </c>
      <c r="D8147" t="s">
        <v>240</v>
      </c>
      <c r="E8147" t="s">
        <v>241</v>
      </c>
      <c r="F8147">
        <v>296.36</v>
      </c>
      <c r="G8147">
        <v>230117</v>
      </c>
      <c r="H8147">
        <v>4510</v>
      </c>
      <c r="I8147" t="s">
        <v>42</v>
      </c>
      <c r="J8147">
        <v>326</v>
      </c>
      <c r="K8147">
        <v>29.64</v>
      </c>
      <c r="L8147">
        <v>16431</v>
      </c>
      <c r="M8147" t="s">
        <v>231</v>
      </c>
      <c r="N8147" t="str">
        <f>"10952       "</f>
        <v xml:space="preserve">10952       </v>
      </c>
      <c r="O8147">
        <v>230118</v>
      </c>
    </row>
    <row r="8148" spans="1:15" x14ac:dyDescent="0.25">
      <c r="A8148" t="s">
        <v>16</v>
      </c>
      <c r="B8148" t="s">
        <v>3221</v>
      </c>
      <c r="C8148">
        <v>401</v>
      </c>
      <c r="D8148" t="s">
        <v>240</v>
      </c>
      <c r="E8148" t="s">
        <v>241</v>
      </c>
      <c r="F8148">
        <v>24.82</v>
      </c>
      <c r="G8148">
        <v>230118</v>
      </c>
      <c r="H8148">
        <v>4510</v>
      </c>
      <c r="I8148" t="s">
        <v>42</v>
      </c>
      <c r="J8148">
        <v>27.3</v>
      </c>
      <c r="K8148">
        <v>2.48</v>
      </c>
      <c r="L8148">
        <v>13801</v>
      </c>
      <c r="M8148" t="s">
        <v>162</v>
      </c>
      <c r="N8148" t="str">
        <f>"3803505     "</f>
        <v xml:space="preserve">3803505     </v>
      </c>
      <c r="O8148">
        <v>230120</v>
      </c>
    </row>
    <row r="8149" spans="1:15" x14ac:dyDescent="0.25">
      <c r="A8149" t="s">
        <v>16</v>
      </c>
      <c r="B8149" t="s">
        <v>3221</v>
      </c>
      <c r="C8149">
        <v>761</v>
      </c>
      <c r="D8149" t="s">
        <v>240</v>
      </c>
      <c r="E8149" t="s">
        <v>241</v>
      </c>
      <c r="F8149">
        <v>100</v>
      </c>
      <c r="G8149">
        <v>230123</v>
      </c>
      <c r="H8149">
        <v>4510</v>
      </c>
      <c r="I8149" t="s">
        <v>42</v>
      </c>
      <c r="J8149">
        <v>110</v>
      </c>
      <c r="K8149">
        <v>10</v>
      </c>
      <c r="L8149">
        <v>11602</v>
      </c>
      <c r="M8149" t="s">
        <v>714</v>
      </c>
      <c r="N8149" t="str">
        <f>"11112       "</f>
        <v xml:space="preserve">11112       </v>
      </c>
      <c r="O8149">
        <v>230130</v>
      </c>
    </row>
    <row r="8150" spans="1:15" x14ac:dyDescent="0.25">
      <c r="A8150" t="s">
        <v>16</v>
      </c>
      <c r="B8150" t="s">
        <v>3221</v>
      </c>
      <c r="C8150">
        <v>773</v>
      </c>
      <c r="D8150" t="s">
        <v>240</v>
      </c>
      <c r="E8150" t="s">
        <v>241</v>
      </c>
      <c r="F8150">
        <v>79.819999999999993</v>
      </c>
      <c r="G8150">
        <v>230124</v>
      </c>
      <c r="H8150">
        <v>4510</v>
      </c>
      <c r="I8150" t="s">
        <v>42</v>
      </c>
      <c r="J8150">
        <v>87.8</v>
      </c>
      <c r="K8150">
        <v>7.98</v>
      </c>
      <c r="L8150">
        <v>13801</v>
      </c>
      <c r="M8150" t="s">
        <v>162</v>
      </c>
      <c r="N8150" t="str">
        <f>"3806034     "</f>
        <v xml:space="preserve">3806034     </v>
      </c>
      <c r="O8150">
        <v>230130</v>
      </c>
    </row>
    <row r="8151" spans="1:15" x14ac:dyDescent="0.25">
      <c r="A8151" t="s">
        <v>16</v>
      </c>
      <c r="B8151" t="s">
        <v>3221</v>
      </c>
      <c r="C8151">
        <v>821</v>
      </c>
      <c r="D8151" t="s">
        <v>240</v>
      </c>
      <c r="E8151" t="s">
        <v>241</v>
      </c>
      <c r="F8151">
        <v>285.85000000000002</v>
      </c>
      <c r="G8151">
        <v>230117</v>
      </c>
      <c r="H8151">
        <v>4510</v>
      </c>
      <c r="I8151" t="s">
        <v>42</v>
      </c>
      <c r="J8151">
        <v>314.44</v>
      </c>
      <c r="K8151">
        <v>28.59</v>
      </c>
      <c r="L8151">
        <v>41126</v>
      </c>
      <c r="M8151" t="s">
        <v>761</v>
      </c>
      <c r="N8151" t="str">
        <f>"10954       "</f>
        <v xml:space="preserve">10954       </v>
      </c>
      <c r="O8151">
        <v>230131</v>
      </c>
    </row>
    <row r="8152" spans="1:15" x14ac:dyDescent="0.25">
      <c r="A8152" t="s">
        <v>16</v>
      </c>
      <c r="B8152" t="s">
        <v>3221</v>
      </c>
      <c r="C8152">
        <v>821</v>
      </c>
      <c r="D8152" t="s">
        <v>240</v>
      </c>
      <c r="E8152" t="s">
        <v>241</v>
      </c>
      <c r="F8152">
        <v>286.55</v>
      </c>
      <c r="G8152">
        <v>230117</v>
      </c>
      <c r="H8152">
        <v>4510</v>
      </c>
      <c r="I8152" t="s">
        <v>42</v>
      </c>
      <c r="J8152">
        <v>315.20999999999998</v>
      </c>
      <c r="K8152">
        <v>28.66</v>
      </c>
      <c r="L8152">
        <v>44222</v>
      </c>
      <c r="M8152" t="s">
        <v>232</v>
      </c>
      <c r="N8152" t="str">
        <f>"10954       "</f>
        <v xml:space="preserve">10954       </v>
      </c>
      <c r="O8152">
        <v>230131</v>
      </c>
    </row>
    <row r="8153" spans="1:15" x14ac:dyDescent="0.25">
      <c r="A8153" t="s">
        <v>16</v>
      </c>
      <c r="B8153" t="s">
        <v>3221</v>
      </c>
      <c r="C8153">
        <v>821</v>
      </c>
      <c r="D8153" t="s">
        <v>240</v>
      </c>
      <c r="E8153" t="s">
        <v>241</v>
      </c>
      <c r="F8153">
        <v>285.85000000000002</v>
      </c>
      <c r="G8153">
        <v>230117</v>
      </c>
      <c r="H8153">
        <v>4510</v>
      </c>
      <c r="I8153" t="s">
        <v>42</v>
      </c>
      <c r="J8153">
        <v>314.44</v>
      </c>
      <c r="K8153">
        <v>28.59</v>
      </c>
      <c r="L8153">
        <v>46222</v>
      </c>
      <c r="M8153" t="s">
        <v>293</v>
      </c>
      <c r="N8153" t="str">
        <f>"10954       "</f>
        <v xml:space="preserve">10954       </v>
      </c>
      <c r="O8153">
        <v>230131</v>
      </c>
    </row>
    <row r="8154" spans="1:15" x14ac:dyDescent="0.25">
      <c r="A8154" t="s">
        <v>16</v>
      </c>
      <c r="B8154" t="s">
        <v>3221</v>
      </c>
      <c r="C8154">
        <v>955</v>
      </c>
      <c r="D8154" t="s">
        <v>240</v>
      </c>
      <c r="E8154" t="s">
        <v>241</v>
      </c>
      <c r="F8154">
        <v>33.65</v>
      </c>
      <c r="G8154">
        <v>230110</v>
      </c>
      <c r="H8154">
        <v>4510</v>
      </c>
      <c r="I8154" t="s">
        <v>42</v>
      </c>
      <c r="J8154">
        <v>37.020000000000003</v>
      </c>
      <c r="K8154">
        <v>3.37</v>
      </c>
      <c r="L8154">
        <v>53222</v>
      </c>
      <c r="M8154" t="s">
        <v>445</v>
      </c>
      <c r="N8154" t="str">
        <f>"10783       "</f>
        <v xml:space="preserve">10783       </v>
      </c>
      <c r="O8154">
        <v>230201</v>
      </c>
    </row>
    <row r="8155" spans="1:15" x14ac:dyDescent="0.25">
      <c r="A8155" t="s">
        <v>16</v>
      </c>
      <c r="B8155" t="s">
        <v>3221</v>
      </c>
      <c r="C8155">
        <v>1182</v>
      </c>
      <c r="D8155" t="s">
        <v>240</v>
      </c>
      <c r="E8155" t="s">
        <v>241</v>
      </c>
      <c r="F8155">
        <v>193.72</v>
      </c>
      <c r="G8155">
        <v>230117</v>
      </c>
      <c r="H8155">
        <v>4510</v>
      </c>
      <c r="I8155" t="s">
        <v>42</v>
      </c>
      <c r="J8155">
        <v>213.09</v>
      </c>
      <c r="K8155">
        <v>19.37</v>
      </c>
      <c r="L8155">
        <v>53222</v>
      </c>
      <c r="M8155" t="s">
        <v>445</v>
      </c>
      <c r="N8155" t="str">
        <f>"10953       "</f>
        <v xml:space="preserve">10953       </v>
      </c>
      <c r="O8155">
        <v>230206</v>
      </c>
    </row>
    <row r="8156" spans="1:15" x14ac:dyDescent="0.25">
      <c r="A8156" t="s">
        <v>16</v>
      </c>
      <c r="B8156" t="s">
        <v>3221</v>
      </c>
      <c r="C8156">
        <v>1437</v>
      </c>
      <c r="D8156" t="s">
        <v>240</v>
      </c>
      <c r="E8156" t="s">
        <v>241</v>
      </c>
      <c r="F8156">
        <v>43.37</v>
      </c>
      <c r="G8156">
        <v>230206</v>
      </c>
      <c r="H8156">
        <v>4510</v>
      </c>
      <c r="I8156" t="s">
        <v>42</v>
      </c>
      <c r="J8156">
        <v>47.71</v>
      </c>
      <c r="K8156">
        <v>4.34</v>
      </c>
      <c r="L8156">
        <v>17808</v>
      </c>
      <c r="M8156" t="s">
        <v>322</v>
      </c>
      <c r="N8156" t="str">
        <f>"11438       "</f>
        <v xml:space="preserve">11438       </v>
      </c>
      <c r="O8156">
        <v>230208</v>
      </c>
    </row>
    <row r="8157" spans="1:15" x14ac:dyDescent="0.25">
      <c r="A8157" t="s">
        <v>16</v>
      </c>
      <c r="B8157" t="s">
        <v>3221</v>
      </c>
      <c r="C8157">
        <v>1747</v>
      </c>
      <c r="D8157" t="s">
        <v>240</v>
      </c>
      <c r="E8157" t="s">
        <v>241</v>
      </c>
      <c r="F8157">
        <v>317.99</v>
      </c>
      <c r="G8157">
        <v>230206</v>
      </c>
      <c r="H8157">
        <v>4510</v>
      </c>
      <c r="I8157" t="s">
        <v>42</v>
      </c>
      <c r="J8157">
        <v>349.79</v>
      </c>
      <c r="K8157">
        <v>31.8</v>
      </c>
      <c r="L8157">
        <v>13402</v>
      </c>
      <c r="M8157" t="s">
        <v>242</v>
      </c>
      <c r="N8157" t="str">
        <f>"11440       "</f>
        <v xml:space="preserve">11440       </v>
      </c>
      <c r="O8157">
        <v>230213</v>
      </c>
    </row>
    <row r="8158" spans="1:15" x14ac:dyDescent="0.25">
      <c r="A8158" t="s">
        <v>16</v>
      </c>
      <c r="B8158" t="s">
        <v>3221</v>
      </c>
      <c r="C8158">
        <v>1889</v>
      </c>
      <c r="D8158" t="s">
        <v>240</v>
      </c>
      <c r="E8158" t="s">
        <v>241</v>
      </c>
      <c r="F8158">
        <v>86.73</v>
      </c>
      <c r="G8158">
        <v>230213</v>
      </c>
      <c r="H8158">
        <v>4510</v>
      </c>
      <c r="I8158" t="s">
        <v>42</v>
      </c>
      <c r="J8158">
        <v>95.4</v>
      </c>
      <c r="K8158">
        <v>8.67</v>
      </c>
      <c r="L8158">
        <v>17808</v>
      </c>
      <c r="M8158" t="s">
        <v>322</v>
      </c>
      <c r="N8158" t="str">
        <f>"11635       "</f>
        <v xml:space="preserve">11635       </v>
      </c>
      <c r="O8158">
        <v>230215</v>
      </c>
    </row>
    <row r="8159" spans="1:15" x14ac:dyDescent="0.25">
      <c r="A8159" t="s">
        <v>16</v>
      </c>
      <c r="B8159" t="s">
        <v>3221</v>
      </c>
      <c r="C8159">
        <v>2035</v>
      </c>
      <c r="D8159" t="s">
        <v>240</v>
      </c>
      <c r="E8159" t="s">
        <v>241</v>
      </c>
      <c r="F8159">
        <v>112.54</v>
      </c>
      <c r="G8159">
        <v>230206</v>
      </c>
      <c r="H8159">
        <v>4510</v>
      </c>
      <c r="I8159" t="s">
        <v>42</v>
      </c>
      <c r="J8159">
        <v>123.79</v>
      </c>
      <c r="K8159">
        <v>11.25</v>
      </c>
      <c r="L8159">
        <v>41126</v>
      </c>
      <c r="M8159" t="s">
        <v>761</v>
      </c>
      <c r="N8159" t="str">
        <f>"11439       "</f>
        <v xml:space="preserve">11439       </v>
      </c>
      <c r="O8159">
        <v>230217</v>
      </c>
    </row>
    <row r="8160" spans="1:15" x14ac:dyDescent="0.25">
      <c r="A8160" t="s">
        <v>16</v>
      </c>
      <c r="B8160" t="s">
        <v>3221</v>
      </c>
      <c r="C8160">
        <v>2035</v>
      </c>
      <c r="D8160" t="s">
        <v>240</v>
      </c>
      <c r="E8160" t="s">
        <v>241</v>
      </c>
      <c r="F8160">
        <v>13.08</v>
      </c>
      <c r="G8160">
        <v>230206</v>
      </c>
      <c r="H8160">
        <v>4510</v>
      </c>
      <c r="I8160" t="s">
        <v>42</v>
      </c>
      <c r="J8160">
        <v>14.39</v>
      </c>
      <c r="K8160">
        <v>1.31</v>
      </c>
      <c r="L8160">
        <v>43222</v>
      </c>
      <c r="M8160" t="s">
        <v>507</v>
      </c>
      <c r="N8160" t="str">
        <f>"11439       "</f>
        <v xml:space="preserve">11439       </v>
      </c>
      <c r="O8160">
        <v>230217</v>
      </c>
    </row>
    <row r="8161" spans="1:15" x14ac:dyDescent="0.25">
      <c r="A8161" t="s">
        <v>16</v>
      </c>
      <c r="B8161" t="s">
        <v>3221</v>
      </c>
      <c r="C8161">
        <v>2035</v>
      </c>
      <c r="D8161" t="s">
        <v>240</v>
      </c>
      <c r="E8161" t="s">
        <v>241</v>
      </c>
      <c r="F8161">
        <v>28.14</v>
      </c>
      <c r="G8161">
        <v>230206</v>
      </c>
      <c r="H8161">
        <v>4510</v>
      </c>
      <c r="I8161" t="s">
        <v>42</v>
      </c>
      <c r="J8161">
        <v>30.95</v>
      </c>
      <c r="K8161">
        <v>2.81</v>
      </c>
      <c r="L8161">
        <v>46222</v>
      </c>
      <c r="M8161" t="s">
        <v>293</v>
      </c>
      <c r="N8161" t="str">
        <f>"11439       "</f>
        <v xml:space="preserve">11439       </v>
      </c>
      <c r="O8161">
        <v>230217</v>
      </c>
    </row>
    <row r="8162" spans="1:15" x14ac:dyDescent="0.25">
      <c r="A8162" t="s">
        <v>16</v>
      </c>
      <c r="B8162" t="s">
        <v>3221</v>
      </c>
      <c r="C8162">
        <v>2035</v>
      </c>
      <c r="D8162" t="s">
        <v>240</v>
      </c>
      <c r="E8162" t="s">
        <v>241</v>
      </c>
      <c r="F8162">
        <v>56.26</v>
      </c>
      <c r="G8162">
        <v>230206</v>
      </c>
      <c r="H8162">
        <v>4510</v>
      </c>
      <c r="I8162" t="s">
        <v>42</v>
      </c>
      <c r="J8162">
        <v>61.89</v>
      </c>
      <c r="K8162">
        <v>5.63</v>
      </c>
      <c r="L8162">
        <v>46555</v>
      </c>
      <c r="M8162" t="s">
        <v>597</v>
      </c>
      <c r="N8162" t="str">
        <f>"11439       "</f>
        <v xml:space="preserve">11439       </v>
      </c>
      <c r="O8162">
        <v>230217</v>
      </c>
    </row>
    <row r="8163" spans="1:15" x14ac:dyDescent="0.25">
      <c r="A8163" t="s">
        <v>16</v>
      </c>
      <c r="B8163" t="s">
        <v>3221</v>
      </c>
      <c r="C8163">
        <v>2035</v>
      </c>
      <c r="D8163" t="s">
        <v>240</v>
      </c>
      <c r="E8163" t="s">
        <v>241</v>
      </c>
      <c r="F8163">
        <v>13.07</v>
      </c>
      <c r="G8163">
        <v>230206</v>
      </c>
      <c r="H8163">
        <v>4510</v>
      </c>
      <c r="I8163" t="s">
        <v>42</v>
      </c>
      <c r="J8163">
        <v>14.38</v>
      </c>
      <c r="K8163">
        <v>1.31</v>
      </c>
      <c r="L8163">
        <v>46557</v>
      </c>
      <c r="M8163" t="s">
        <v>221</v>
      </c>
      <c r="N8163" t="str">
        <f>"11439       "</f>
        <v xml:space="preserve">11439       </v>
      </c>
      <c r="O8163">
        <v>230217</v>
      </c>
    </row>
    <row r="8164" spans="1:15" x14ac:dyDescent="0.25">
      <c r="A8164" t="s">
        <v>16</v>
      </c>
      <c r="B8164" t="s">
        <v>3221</v>
      </c>
      <c r="C8164">
        <v>2239</v>
      </c>
      <c r="D8164" t="s">
        <v>240</v>
      </c>
      <c r="E8164" t="s">
        <v>241</v>
      </c>
      <c r="F8164">
        <v>363.04</v>
      </c>
      <c r="G8164">
        <v>230220</v>
      </c>
      <c r="H8164">
        <v>4510</v>
      </c>
      <c r="I8164" t="s">
        <v>42</v>
      </c>
      <c r="J8164">
        <v>399.34</v>
      </c>
      <c r="K8164">
        <v>36.299999999999997</v>
      </c>
      <c r="L8164">
        <v>13401</v>
      </c>
      <c r="M8164" t="s">
        <v>80</v>
      </c>
      <c r="N8164" t="str">
        <f>"11848       "</f>
        <v xml:space="preserve">11848       </v>
      </c>
      <c r="O8164">
        <v>230222</v>
      </c>
    </row>
    <row r="8165" spans="1:15" x14ac:dyDescent="0.25">
      <c r="A8165" t="s">
        <v>16</v>
      </c>
      <c r="B8165" t="s">
        <v>3221</v>
      </c>
      <c r="C8165">
        <v>2373</v>
      </c>
      <c r="D8165" t="s">
        <v>240</v>
      </c>
      <c r="E8165" t="s">
        <v>241</v>
      </c>
      <c r="F8165">
        <v>360.78</v>
      </c>
      <c r="G8165">
        <v>230220</v>
      </c>
      <c r="H8165">
        <v>4510</v>
      </c>
      <c r="I8165" t="s">
        <v>42</v>
      </c>
      <c r="J8165">
        <v>396.86</v>
      </c>
      <c r="K8165">
        <v>36.08</v>
      </c>
      <c r="L8165">
        <v>13502</v>
      </c>
      <c r="M8165" t="s">
        <v>243</v>
      </c>
      <c r="N8165" t="str">
        <f>"11847       "</f>
        <v xml:space="preserve">11847       </v>
      </c>
      <c r="O8165">
        <v>230224</v>
      </c>
    </row>
    <row r="8166" spans="1:15" x14ac:dyDescent="0.25">
      <c r="A8166" t="s">
        <v>16</v>
      </c>
      <c r="B8166" t="s">
        <v>3221</v>
      </c>
      <c r="C8166">
        <v>2436</v>
      </c>
      <c r="D8166" t="s">
        <v>240</v>
      </c>
      <c r="E8166" t="s">
        <v>241</v>
      </c>
      <c r="F8166">
        <v>369.74</v>
      </c>
      <c r="G8166">
        <v>230220</v>
      </c>
      <c r="H8166">
        <v>4510</v>
      </c>
      <c r="I8166" t="s">
        <v>42</v>
      </c>
      <c r="J8166">
        <v>406.71</v>
      </c>
      <c r="K8166">
        <v>36.97</v>
      </c>
      <c r="L8166">
        <v>48601</v>
      </c>
      <c r="M8166" t="s">
        <v>1047</v>
      </c>
      <c r="N8166" t="str">
        <f>"11845       "</f>
        <v xml:space="preserve">11845       </v>
      </c>
      <c r="O8166">
        <v>230227</v>
      </c>
    </row>
    <row r="8167" spans="1:15" x14ac:dyDescent="0.25">
      <c r="A8167" t="s">
        <v>16</v>
      </c>
      <c r="B8167" t="s">
        <v>3221</v>
      </c>
      <c r="C8167">
        <v>2463</v>
      </c>
      <c r="D8167" t="s">
        <v>240</v>
      </c>
      <c r="E8167" t="s">
        <v>241</v>
      </c>
      <c r="F8167">
        <v>96.73</v>
      </c>
      <c r="G8167">
        <v>230217</v>
      </c>
      <c r="H8167">
        <v>4510</v>
      </c>
      <c r="I8167" t="s">
        <v>42</v>
      </c>
      <c r="J8167">
        <v>106.4</v>
      </c>
      <c r="K8167">
        <v>9.67</v>
      </c>
      <c r="L8167">
        <v>13801</v>
      </c>
      <c r="M8167" t="s">
        <v>162</v>
      </c>
      <c r="N8167" t="str">
        <f>"3819925     "</f>
        <v xml:space="preserve">3819925     </v>
      </c>
      <c r="O8167">
        <v>230228</v>
      </c>
    </row>
    <row r="8168" spans="1:15" x14ac:dyDescent="0.25">
      <c r="A8168" t="s">
        <v>16</v>
      </c>
      <c r="B8168" t="s">
        <v>3221</v>
      </c>
      <c r="C8168">
        <v>2600</v>
      </c>
      <c r="D8168" t="s">
        <v>240</v>
      </c>
      <c r="E8168" t="s">
        <v>241</v>
      </c>
      <c r="F8168">
        <v>52</v>
      </c>
      <c r="G8168">
        <v>230213</v>
      </c>
      <c r="H8168">
        <v>4510</v>
      </c>
      <c r="I8168" t="s">
        <v>42</v>
      </c>
      <c r="J8168">
        <v>57.2</v>
      </c>
      <c r="K8168">
        <v>5.2</v>
      </c>
      <c r="L8168">
        <v>14121</v>
      </c>
      <c r="M8168" t="s">
        <v>880</v>
      </c>
      <c r="N8168" t="str">
        <f>"11636       "</f>
        <v xml:space="preserve">11636       </v>
      </c>
      <c r="O8168">
        <v>230302</v>
      </c>
    </row>
    <row r="8169" spans="1:15" x14ac:dyDescent="0.25">
      <c r="A8169" t="s">
        <v>16</v>
      </c>
      <c r="B8169" t="s">
        <v>3221</v>
      </c>
      <c r="C8169">
        <v>2600</v>
      </c>
      <c r="D8169" t="s">
        <v>240</v>
      </c>
      <c r="E8169" t="s">
        <v>241</v>
      </c>
      <c r="F8169">
        <v>67.81</v>
      </c>
      <c r="G8169">
        <v>230213</v>
      </c>
      <c r="H8169">
        <v>4510</v>
      </c>
      <c r="I8169" t="s">
        <v>42</v>
      </c>
      <c r="J8169">
        <v>74.59</v>
      </c>
      <c r="K8169">
        <v>6.78</v>
      </c>
      <c r="L8169">
        <v>14861</v>
      </c>
      <c r="M8169" t="s">
        <v>785</v>
      </c>
      <c r="N8169" t="str">
        <f>"11636       "</f>
        <v xml:space="preserve">11636       </v>
      </c>
      <c r="O8169">
        <v>230302</v>
      </c>
    </row>
    <row r="8170" spans="1:15" x14ac:dyDescent="0.25">
      <c r="A8170" t="s">
        <v>16</v>
      </c>
      <c r="B8170" t="s">
        <v>3221</v>
      </c>
      <c r="C8170">
        <v>2628</v>
      </c>
      <c r="D8170" t="s">
        <v>240</v>
      </c>
      <c r="E8170" t="s">
        <v>241</v>
      </c>
      <c r="F8170">
        <v>148.19999999999999</v>
      </c>
      <c r="G8170">
        <v>230220</v>
      </c>
      <c r="H8170">
        <v>4510</v>
      </c>
      <c r="I8170" t="s">
        <v>42</v>
      </c>
      <c r="J8170">
        <v>163.02000000000001</v>
      </c>
      <c r="K8170">
        <v>14.82</v>
      </c>
      <c r="L8170">
        <v>14861</v>
      </c>
      <c r="M8170" t="s">
        <v>785</v>
      </c>
      <c r="N8170" t="str">
        <f>"11846       "</f>
        <v xml:space="preserve">11846       </v>
      </c>
      <c r="O8170">
        <v>230303</v>
      </c>
    </row>
    <row r="8171" spans="1:15" x14ac:dyDescent="0.25">
      <c r="A8171" t="s">
        <v>16</v>
      </c>
      <c r="B8171" t="s">
        <v>3221</v>
      </c>
      <c r="C8171">
        <v>2970</v>
      </c>
      <c r="D8171" t="s">
        <v>240</v>
      </c>
      <c r="E8171" t="s">
        <v>241</v>
      </c>
      <c r="F8171">
        <v>13.08</v>
      </c>
      <c r="G8171">
        <v>230228</v>
      </c>
      <c r="H8171">
        <v>4510</v>
      </c>
      <c r="I8171" t="s">
        <v>42</v>
      </c>
      <c r="J8171">
        <v>14.39</v>
      </c>
      <c r="K8171">
        <v>1.31</v>
      </c>
      <c r="L8171">
        <v>13201</v>
      </c>
      <c r="M8171" t="s">
        <v>161</v>
      </c>
      <c r="N8171" t="str">
        <f>"12064       "</f>
        <v xml:space="preserve">12064       </v>
      </c>
      <c r="O8171">
        <v>230308</v>
      </c>
    </row>
    <row r="8172" spans="1:15" x14ac:dyDescent="0.25">
      <c r="A8172" t="s">
        <v>16</v>
      </c>
      <c r="B8172" t="s">
        <v>3221</v>
      </c>
      <c r="C8172">
        <v>2970</v>
      </c>
      <c r="D8172" t="s">
        <v>240</v>
      </c>
      <c r="E8172" t="s">
        <v>241</v>
      </c>
      <c r="F8172">
        <v>40.29</v>
      </c>
      <c r="G8172">
        <v>230228</v>
      </c>
      <c r="H8172">
        <v>4510</v>
      </c>
      <c r="I8172" t="s">
        <v>42</v>
      </c>
      <c r="J8172">
        <v>44.32</v>
      </c>
      <c r="K8172">
        <v>4.03</v>
      </c>
      <c r="L8172">
        <v>13501</v>
      </c>
      <c r="M8172" t="s">
        <v>20</v>
      </c>
      <c r="N8172" t="str">
        <f>"12064       "</f>
        <v xml:space="preserve">12064       </v>
      </c>
      <c r="O8172">
        <v>230308</v>
      </c>
    </row>
    <row r="8173" spans="1:15" x14ac:dyDescent="0.25">
      <c r="A8173" t="s">
        <v>16</v>
      </c>
      <c r="B8173" t="s">
        <v>3221</v>
      </c>
      <c r="C8173">
        <v>3048</v>
      </c>
      <c r="D8173" t="s">
        <v>240</v>
      </c>
      <c r="E8173" t="s">
        <v>241</v>
      </c>
      <c r="F8173">
        <v>14.95</v>
      </c>
      <c r="G8173">
        <v>230228</v>
      </c>
      <c r="H8173">
        <v>4510</v>
      </c>
      <c r="I8173" t="s">
        <v>42</v>
      </c>
      <c r="J8173">
        <v>16.45</v>
      </c>
      <c r="K8173">
        <v>1.5</v>
      </c>
      <c r="L8173">
        <v>41126</v>
      </c>
      <c r="M8173" t="s">
        <v>761</v>
      </c>
      <c r="N8173" t="str">
        <f>"12063       "</f>
        <v xml:space="preserve">12063       </v>
      </c>
      <c r="O8173">
        <v>230308</v>
      </c>
    </row>
    <row r="8174" spans="1:15" x14ac:dyDescent="0.25">
      <c r="A8174" t="s">
        <v>16</v>
      </c>
      <c r="B8174" t="s">
        <v>3221</v>
      </c>
      <c r="C8174">
        <v>3180</v>
      </c>
      <c r="D8174" t="s">
        <v>240</v>
      </c>
      <c r="E8174" t="s">
        <v>241</v>
      </c>
      <c r="F8174">
        <v>162.72999999999999</v>
      </c>
      <c r="G8174">
        <v>230308</v>
      </c>
      <c r="H8174">
        <v>4510</v>
      </c>
      <c r="I8174" t="s">
        <v>42</v>
      </c>
      <c r="J8174">
        <v>179</v>
      </c>
      <c r="K8174">
        <v>16.27</v>
      </c>
      <c r="L8174">
        <v>11501</v>
      </c>
      <c r="M8174" t="s">
        <v>339</v>
      </c>
      <c r="N8174" t="str">
        <f>"3830898     "</f>
        <v xml:space="preserve">3830898     </v>
      </c>
      <c r="O8174">
        <v>230310</v>
      </c>
    </row>
    <row r="8175" spans="1:15" x14ac:dyDescent="0.25">
      <c r="A8175" t="s">
        <v>16</v>
      </c>
      <c r="B8175" t="s">
        <v>3221</v>
      </c>
      <c r="C8175">
        <v>3493</v>
      </c>
      <c r="D8175" t="s">
        <v>240</v>
      </c>
      <c r="E8175" t="s">
        <v>241</v>
      </c>
      <c r="F8175">
        <v>38.409999999999997</v>
      </c>
      <c r="G8175">
        <v>230313</v>
      </c>
      <c r="H8175">
        <v>4510</v>
      </c>
      <c r="I8175" t="s">
        <v>42</v>
      </c>
      <c r="J8175">
        <v>42.25</v>
      </c>
      <c r="K8175">
        <v>3.84</v>
      </c>
      <c r="L8175">
        <v>17808</v>
      </c>
      <c r="M8175" t="s">
        <v>322</v>
      </c>
      <c r="N8175" t="str">
        <f>"12230       "</f>
        <v xml:space="preserve">12230       </v>
      </c>
      <c r="O8175">
        <v>230316</v>
      </c>
    </row>
    <row r="8176" spans="1:15" x14ac:dyDescent="0.25">
      <c r="A8176" t="s">
        <v>16</v>
      </c>
      <c r="B8176" t="s">
        <v>3221</v>
      </c>
      <c r="C8176">
        <v>3538</v>
      </c>
      <c r="D8176" t="s">
        <v>240</v>
      </c>
      <c r="E8176" t="s">
        <v>241</v>
      </c>
      <c r="F8176">
        <v>20.149999999999999</v>
      </c>
      <c r="G8176">
        <v>230313</v>
      </c>
      <c r="H8176">
        <v>4510</v>
      </c>
      <c r="I8176" t="s">
        <v>42</v>
      </c>
      <c r="J8176">
        <v>22.16</v>
      </c>
      <c r="K8176">
        <v>2.0099999999999998</v>
      </c>
      <c r="L8176">
        <v>43222</v>
      </c>
      <c r="M8176" t="s">
        <v>507</v>
      </c>
      <c r="N8176" t="str">
        <f>"12231       "</f>
        <v xml:space="preserve">12231       </v>
      </c>
      <c r="O8176">
        <v>230316</v>
      </c>
    </row>
    <row r="8177" spans="1:15" x14ac:dyDescent="0.25">
      <c r="A8177" t="s">
        <v>16</v>
      </c>
      <c r="B8177" t="s">
        <v>3221</v>
      </c>
      <c r="C8177">
        <v>3538</v>
      </c>
      <c r="D8177" t="s">
        <v>240</v>
      </c>
      <c r="E8177" t="s">
        <v>241</v>
      </c>
      <c r="F8177">
        <v>20.149999999999999</v>
      </c>
      <c r="G8177">
        <v>230313</v>
      </c>
      <c r="H8177">
        <v>4510</v>
      </c>
      <c r="I8177" t="s">
        <v>42</v>
      </c>
      <c r="J8177">
        <v>22.16</v>
      </c>
      <c r="K8177">
        <v>2.0099999999999998</v>
      </c>
      <c r="L8177">
        <v>46557</v>
      </c>
      <c r="M8177" t="s">
        <v>221</v>
      </c>
      <c r="N8177" t="str">
        <f>"12231       "</f>
        <v xml:space="preserve">12231       </v>
      </c>
      <c r="O8177">
        <v>230316</v>
      </c>
    </row>
    <row r="8178" spans="1:15" x14ac:dyDescent="0.25">
      <c r="A8178" t="s">
        <v>16</v>
      </c>
      <c r="B8178" t="s">
        <v>3221</v>
      </c>
      <c r="C8178">
        <v>3749</v>
      </c>
      <c r="D8178" t="s">
        <v>240</v>
      </c>
      <c r="E8178" t="s">
        <v>241</v>
      </c>
      <c r="F8178">
        <v>188.46</v>
      </c>
      <c r="G8178">
        <v>230320</v>
      </c>
      <c r="H8178">
        <v>4510</v>
      </c>
      <c r="I8178" t="s">
        <v>42</v>
      </c>
      <c r="J8178">
        <v>207.31</v>
      </c>
      <c r="K8178">
        <v>18.850000000000001</v>
      </c>
      <c r="L8178">
        <v>16321</v>
      </c>
      <c r="M8178" t="s">
        <v>423</v>
      </c>
      <c r="N8178" t="str">
        <f>"12338       "</f>
        <v xml:space="preserve">12338       </v>
      </c>
      <c r="O8178">
        <v>230321</v>
      </c>
    </row>
    <row r="8179" spans="1:15" x14ac:dyDescent="0.25">
      <c r="A8179" t="s">
        <v>16</v>
      </c>
      <c r="B8179" t="s">
        <v>3221</v>
      </c>
      <c r="C8179">
        <v>3749</v>
      </c>
      <c r="D8179" t="s">
        <v>240</v>
      </c>
      <c r="E8179" t="s">
        <v>241</v>
      </c>
      <c r="F8179">
        <v>306.19</v>
      </c>
      <c r="G8179">
        <v>230320</v>
      </c>
      <c r="H8179">
        <v>4510</v>
      </c>
      <c r="I8179" t="s">
        <v>42</v>
      </c>
      <c r="J8179">
        <v>379.67</v>
      </c>
      <c r="K8179">
        <v>73.48</v>
      </c>
      <c r="L8179">
        <v>17808</v>
      </c>
      <c r="M8179" t="s">
        <v>322</v>
      </c>
      <c r="N8179" t="str">
        <f>"12338       "</f>
        <v xml:space="preserve">12338       </v>
      </c>
      <c r="O8179">
        <v>230321</v>
      </c>
    </row>
    <row r="8180" spans="1:15" x14ac:dyDescent="0.25">
      <c r="A8180" t="s">
        <v>16</v>
      </c>
      <c r="B8180" t="s">
        <v>3221</v>
      </c>
      <c r="C8180">
        <v>3750</v>
      </c>
      <c r="D8180" t="s">
        <v>240</v>
      </c>
      <c r="E8180" t="s">
        <v>241</v>
      </c>
      <c r="F8180">
        <v>277.83999999999997</v>
      </c>
      <c r="G8180">
        <v>230320</v>
      </c>
      <c r="H8180">
        <v>4510</v>
      </c>
      <c r="I8180" t="s">
        <v>42</v>
      </c>
      <c r="J8180">
        <v>305.62</v>
      </c>
      <c r="K8180">
        <v>27.78</v>
      </c>
      <c r="L8180">
        <v>41126</v>
      </c>
      <c r="M8180" t="s">
        <v>761</v>
      </c>
      <c r="N8180" t="str">
        <f>"12339       "</f>
        <v xml:space="preserve">12339       </v>
      </c>
      <c r="O8180">
        <v>230321</v>
      </c>
    </row>
    <row r="8181" spans="1:15" x14ac:dyDescent="0.25">
      <c r="A8181" t="s">
        <v>16</v>
      </c>
      <c r="B8181" t="s">
        <v>3221</v>
      </c>
      <c r="C8181">
        <v>3759</v>
      </c>
      <c r="D8181" t="s">
        <v>240</v>
      </c>
      <c r="E8181" t="s">
        <v>241</v>
      </c>
      <c r="F8181">
        <v>7.98</v>
      </c>
      <c r="G8181">
        <v>230317</v>
      </c>
      <c r="H8181">
        <v>4510</v>
      </c>
      <c r="I8181" t="s">
        <v>42</v>
      </c>
      <c r="J8181">
        <v>9.9</v>
      </c>
      <c r="K8181">
        <v>1.92</v>
      </c>
      <c r="L8181">
        <v>11601</v>
      </c>
      <c r="M8181" t="s">
        <v>535</v>
      </c>
      <c r="N8181" t="str">
        <f>"3835143     "</f>
        <v xml:space="preserve">3835143     </v>
      </c>
      <c r="O8181">
        <v>230321</v>
      </c>
    </row>
    <row r="8182" spans="1:15" x14ac:dyDescent="0.25">
      <c r="A8182" t="s">
        <v>16</v>
      </c>
      <c r="B8182" t="s">
        <v>3221</v>
      </c>
      <c r="C8182">
        <v>3759</v>
      </c>
      <c r="D8182" t="s">
        <v>240</v>
      </c>
      <c r="E8182" t="s">
        <v>241</v>
      </c>
      <c r="F8182">
        <v>56.36</v>
      </c>
      <c r="G8182">
        <v>230317</v>
      </c>
      <c r="H8182">
        <v>4510</v>
      </c>
      <c r="I8182" t="s">
        <v>42</v>
      </c>
      <c r="J8182">
        <v>62</v>
      </c>
      <c r="K8182">
        <v>5.64</v>
      </c>
      <c r="L8182">
        <v>11601</v>
      </c>
      <c r="M8182" t="s">
        <v>535</v>
      </c>
      <c r="N8182" t="str">
        <f>"3835143     "</f>
        <v xml:space="preserve">3835143     </v>
      </c>
      <c r="O8182">
        <v>230321</v>
      </c>
    </row>
    <row r="8183" spans="1:15" x14ac:dyDescent="0.25">
      <c r="A8183" t="s">
        <v>16</v>
      </c>
      <c r="B8183" t="s">
        <v>3221</v>
      </c>
      <c r="C8183">
        <v>3861</v>
      </c>
      <c r="D8183" t="s">
        <v>240</v>
      </c>
      <c r="E8183" t="s">
        <v>241</v>
      </c>
      <c r="F8183">
        <v>776.59</v>
      </c>
      <c r="G8183">
        <v>230320</v>
      </c>
      <c r="H8183">
        <v>4510</v>
      </c>
      <c r="I8183" t="s">
        <v>42</v>
      </c>
      <c r="J8183">
        <v>854.25</v>
      </c>
      <c r="K8183">
        <v>77.66</v>
      </c>
      <c r="L8183">
        <v>13402</v>
      </c>
      <c r="M8183" t="s">
        <v>242</v>
      </c>
      <c r="N8183" t="str">
        <f>"12340       "</f>
        <v xml:space="preserve">12340       </v>
      </c>
      <c r="O8183">
        <v>230323</v>
      </c>
    </row>
    <row r="8184" spans="1:15" x14ac:dyDescent="0.25">
      <c r="A8184" t="s">
        <v>16</v>
      </c>
      <c r="B8184" t="s">
        <v>3221</v>
      </c>
      <c r="C8184">
        <v>3983</v>
      </c>
      <c r="D8184" t="s">
        <v>240</v>
      </c>
      <c r="E8184" t="s">
        <v>241</v>
      </c>
      <c r="F8184">
        <v>13.67</v>
      </c>
      <c r="G8184">
        <v>230327</v>
      </c>
      <c r="H8184">
        <v>4510</v>
      </c>
      <c r="I8184" t="s">
        <v>42</v>
      </c>
      <c r="J8184">
        <v>15.04</v>
      </c>
      <c r="K8184">
        <v>1.37</v>
      </c>
      <c r="L8184">
        <v>13502</v>
      </c>
      <c r="M8184" t="s">
        <v>243</v>
      </c>
      <c r="N8184" t="str">
        <f>"12461       "</f>
        <v xml:space="preserve">12461       </v>
      </c>
      <c r="O8184">
        <v>230328</v>
      </c>
    </row>
    <row r="8185" spans="1:15" x14ac:dyDescent="0.25">
      <c r="A8185" t="s">
        <v>16</v>
      </c>
      <c r="B8185" t="s">
        <v>3221</v>
      </c>
      <c r="C8185">
        <v>4003</v>
      </c>
      <c r="D8185" t="s">
        <v>240</v>
      </c>
      <c r="E8185" t="s">
        <v>241</v>
      </c>
      <c r="F8185">
        <v>56.36</v>
      </c>
      <c r="G8185">
        <v>230324</v>
      </c>
      <c r="H8185">
        <v>4510</v>
      </c>
      <c r="I8185" t="s">
        <v>42</v>
      </c>
      <c r="J8185">
        <v>62</v>
      </c>
      <c r="K8185">
        <v>5.64</v>
      </c>
      <c r="L8185">
        <v>11601</v>
      </c>
      <c r="M8185" t="s">
        <v>535</v>
      </c>
      <c r="N8185" t="str">
        <f>"3841149     "</f>
        <v xml:space="preserve">3841149     </v>
      </c>
      <c r="O8185">
        <v>230329</v>
      </c>
    </row>
    <row r="8186" spans="1:15" x14ac:dyDescent="0.25">
      <c r="A8186" t="s">
        <v>16</v>
      </c>
      <c r="B8186" t="s">
        <v>3221</v>
      </c>
      <c r="C8186">
        <v>4792</v>
      </c>
      <c r="D8186" t="s">
        <v>240</v>
      </c>
      <c r="E8186" t="s">
        <v>241</v>
      </c>
      <c r="F8186">
        <v>303.33</v>
      </c>
      <c r="G8186">
        <v>230411</v>
      </c>
      <c r="H8186">
        <v>4510</v>
      </c>
      <c r="I8186" t="s">
        <v>42</v>
      </c>
      <c r="J8186">
        <v>376.13</v>
      </c>
      <c r="K8186">
        <v>72.8</v>
      </c>
      <c r="L8186">
        <v>17806</v>
      </c>
      <c r="M8186" t="s">
        <v>265</v>
      </c>
      <c r="N8186" t="str">
        <f>"12769       "</f>
        <v xml:space="preserve">12769       </v>
      </c>
      <c r="O8186">
        <v>230412</v>
      </c>
    </row>
    <row r="8187" spans="1:15" x14ac:dyDescent="0.25">
      <c r="A8187" t="s">
        <v>16</v>
      </c>
      <c r="B8187" t="s">
        <v>3221</v>
      </c>
      <c r="C8187">
        <v>5153</v>
      </c>
      <c r="D8187" t="s">
        <v>240</v>
      </c>
      <c r="E8187" t="s">
        <v>241</v>
      </c>
      <c r="F8187">
        <v>280.16000000000003</v>
      </c>
      <c r="G8187">
        <v>230411</v>
      </c>
      <c r="H8187">
        <v>4510</v>
      </c>
      <c r="I8187" t="s">
        <v>42</v>
      </c>
      <c r="J8187">
        <v>308.18</v>
      </c>
      <c r="K8187">
        <v>28.02</v>
      </c>
      <c r="L8187">
        <v>13402</v>
      </c>
      <c r="M8187" t="s">
        <v>242</v>
      </c>
      <c r="N8187" t="str">
        <f>"12770       "</f>
        <v xml:space="preserve">12770       </v>
      </c>
      <c r="O8187">
        <v>230418</v>
      </c>
    </row>
    <row r="8188" spans="1:15" x14ac:dyDescent="0.25">
      <c r="A8188" t="s">
        <v>16</v>
      </c>
      <c r="B8188" t="s">
        <v>3221</v>
      </c>
      <c r="C8188">
        <v>5411</v>
      </c>
      <c r="D8188" t="s">
        <v>240</v>
      </c>
      <c r="E8188" t="s">
        <v>241</v>
      </c>
      <c r="F8188">
        <v>104.55</v>
      </c>
      <c r="G8188">
        <v>230417</v>
      </c>
      <c r="H8188">
        <v>4510</v>
      </c>
      <c r="I8188" t="s">
        <v>42</v>
      </c>
      <c r="J8188">
        <v>115</v>
      </c>
      <c r="K8188">
        <v>10.45</v>
      </c>
      <c r="L8188">
        <v>13801</v>
      </c>
      <c r="M8188" t="s">
        <v>162</v>
      </c>
      <c r="N8188" t="str">
        <f>"3854166     "</f>
        <v xml:space="preserve">3854166     </v>
      </c>
      <c r="O8188">
        <v>230424</v>
      </c>
    </row>
    <row r="8189" spans="1:15" x14ac:dyDescent="0.25">
      <c r="A8189" t="s">
        <v>16</v>
      </c>
      <c r="B8189" t="s">
        <v>3221</v>
      </c>
      <c r="C8189">
        <v>5565</v>
      </c>
      <c r="D8189" t="s">
        <v>240</v>
      </c>
      <c r="E8189" t="s">
        <v>241</v>
      </c>
      <c r="F8189">
        <v>19.09</v>
      </c>
      <c r="G8189">
        <v>230426</v>
      </c>
      <c r="H8189">
        <v>4510</v>
      </c>
      <c r="I8189" t="s">
        <v>42</v>
      </c>
      <c r="J8189">
        <v>21</v>
      </c>
      <c r="K8189">
        <v>1.91</v>
      </c>
      <c r="L8189">
        <v>17806</v>
      </c>
      <c r="M8189" t="s">
        <v>265</v>
      </c>
      <c r="N8189" t="str">
        <f>"13148       "</f>
        <v xml:space="preserve">13148       </v>
      </c>
      <c r="O8189">
        <v>230426</v>
      </c>
    </row>
    <row r="8190" spans="1:15" x14ac:dyDescent="0.25">
      <c r="A8190" t="s">
        <v>16</v>
      </c>
      <c r="B8190" t="s">
        <v>3221</v>
      </c>
      <c r="C8190">
        <v>5787</v>
      </c>
      <c r="D8190" t="s">
        <v>240</v>
      </c>
      <c r="E8190" t="s">
        <v>241</v>
      </c>
      <c r="F8190">
        <v>136.05000000000001</v>
      </c>
      <c r="G8190">
        <v>230419</v>
      </c>
      <c r="H8190">
        <v>4510</v>
      </c>
      <c r="I8190" t="s">
        <v>42</v>
      </c>
      <c r="J8190">
        <v>149.66</v>
      </c>
      <c r="K8190">
        <v>13.61</v>
      </c>
      <c r="L8190">
        <v>41138</v>
      </c>
      <c r="M8190" t="s">
        <v>1901</v>
      </c>
      <c r="N8190" t="str">
        <f>"12966       "</f>
        <v xml:space="preserve">12966       </v>
      </c>
      <c r="O8190">
        <v>230502</v>
      </c>
    </row>
    <row r="8191" spans="1:15" x14ac:dyDescent="0.25">
      <c r="A8191" t="s">
        <v>16</v>
      </c>
      <c r="B8191" t="s">
        <v>3221</v>
      </c>
      <c r="C8191">
        <v>5787</v>
      </c>
      <c r="D8191" t="s">
        <v>240</v>
      </c>
      <c r="E8191" t="s">
        <v>241</v>
      </c>
      <c r="F8191">
        <v>68.03</v>
      </c>
      <c r="G8191">
        <v>230419</v>
      </c>
      <c r="H8191">
        <v>4510</v>
      </c>
      <c r="I8191" t="s">
        <v>42</v>
      </c>
      <c r="J8191">
        <v>74.83</v>
      </c>
      <c r="K8191">
        <v>6.8</v>
      </c>
      <c r="L8191">
        <v>41138</v>
      </c>
      <c r="M8191" t="s">
        <v>1901</v>
      </c>
      <c r="N8191" t="str">
        <f>"12966       "</f>
        <v xml:space="preserve">12966       </v>
      </c>
      <c r="O8191">
        <v>230502</v>
      </c>
    </row>
    <row r="8192" spans="1:15" x14ac:dyDescent="0.25">
      <c r="A8192" t="s">
        <v>16</v>
      </c>
      <c r="B8192" t="s">
        <v>3221</v>
      </c>
      <c r="C8192">
        <v>5787</v>
      </c>
      <c r="D8192" t="s">
        <v>240</v>
      </c>
      <c r="E8192" t="s">
        <v>241</v>
      </c>
      <c r="F8192">
        <v>13.08</v>
      </c>
      <c r="G8192">
        <v>230419</v>
      </c>
      <c r="H8192">
        <v>4510</v>
      </c>
      <c r="I8192" t="s">
        <v>42</v>
      </c>
      <c r="J8192">
        <v>14.39</v>
      </c>
      <c r="K8192">
        <v>1.31</v>
      </c>
      <c r="L8192">
        <v>43222</v>
      </c>
      <c r="M8192" t="s">
        <v>507</v>
      </c>
      <c r="N8192" t="str">
        <f>"12966       "</f>
        <v xml:space="preserve">12966       </v>
      </c>
      <c r="O8192">
        <v>230502</v>
      </c>
    </row>
    <row r="8193" spans="1:15" x14ac:dyDescent="0.25">
      <c r="A8193" t="s">
        <v>16</v>
      </c>
      <c r="B8193" t="s">
        <v>3221</v>
      </c>
      <c r="C8193">
        <v>5787</v>
      </c>
      <c r="D8193" t="s">
        <v>240</v>
      </c>
      <c r="E8193" t="s">
        <v>241</v>
      </c>
      <c r="F8193">
        <v>13.08</v>
      </c>
      <c r="G8193">
        <v>230419</v>
      </c>
      <c r="H8193">
        <v>4510</v>
      </c>
      <c r="I8193" t="s">
        <v>42</v>
      </c>
      <c r="J8193">
        <v>14.39</v>
      </c>
      <c r="K8193">
        <v>1.31</v>
      </c>
      <c r="L8193">
        <v>46557</v>
      </c>
      <c r="M8193" t="s">
        <v>221</v>
      </c>
      <c r="N8193" t="str">
        <f>"12966       "</f>
        <v xml:space="preserve">12966       </v>
      </c>
      <c r="O8193">
        <v>230502</v>
      </c>
    </row>
    <row r="8194" spans="1:15" x14ac:dyDescent="0.25">
      <c r="A8194" t="s">
        <v>16</v>
      </c>
      <c r="B8194" t="s">
        <v>3221</v>
      </c>
      <c r="C8194">
        <v>5833</v>
      </c>
      <c r="D8194" t="s">
        <v>240</v>
      </c>
      <c r="E8194" t="s">
        <v>241</v>
      </c>
      <c r="F8194">
        <v>10.16</v>
      </c>
      <c r="G8194">
        <v>230426</v>
      </c>
      <c r="H8194">
        <v>4510</v>
      </c>
      <c r="I8194" t="s">
        <v>42</v>
      </c>
      <c r="J8194">
        <v>11.18</v>
      </c>
      <c r="K8194">
        <v>1.02</v>
      </c>
      <c r="L8194">
        <v>13202</v>
      </c>
      <c r="M8194" t="s">
        <v>1910</v>
      </c>
      <c r="N8194" t="str">
        <f>"13150       "</f>
        <v xml:space="preserve">13150       </v>
      </c>
      <c r="O8194">
        <v>230503</v>
      </c>
    </row>
    <row r="8195" spans="1:15" x14ac:dyDescent="0.25">
      <c r="A8195" t="s">
        <v>16</v>
      </c>
      <c r="B8195" t="s">
        <v>3221</v>
      </c>
      <c r="C8195">
        <v>5838</v>
      </c>
      <c r="D8195" t="s">
        <v>240</v>
      </c>
      <c r="E8195" t="s">
        <v>241</v>
      </c>
      <c r="F8195">
        <v>157.38999999999999</v>
      </c>
      <c r="G8195">
        <v>230426</v>
      </c>
      <c r="H8195">
        <v>4510</v>
      </c>
      <c r="I8195" t="s">
        <v>42</v>
      </c>
      <c r="J8195">
        <v>173.13</v>
      </c>
      <c r="K8195">
        <v>15.74</v>
      </c>
      <c r="L8195">
        <v>13402</v>
      </c>
      <c r="M8195" t="s">
        <v>242</v>
      </c>
      <c r="N8195" t="str">
        <f>"13151       "</f>
        <v xml:space="preserve">13151       </v>
      </c>
      <c r="O8195">
        <v>230503</v>
      </c>
    </row>
    <row r="8196" spans="1:15" x14ac:dyDescent="0.25">
      <c r="A8196" t="s">
        <v>16</v>
      </c>
      <c r="B8196" t="s">
        <v>3221</v>
      </c>
      <c r="C8196">
        <v>6514</v>
      </c>
      <c r="D8196" t="s">
        <v>240</v>
      </c>
      <c r="E8196" t="s">
        <v>241</v>
      </c>
      <c r="F8196">
        <v>136.06</v>
      </c>
      <c r="G8196">
        <v>230426</v>
      </c>
      <c r="H8196">
        <v>4510</v>
      </c>
      <c r="I8196" t="s">
        <v>42</v>
      </c>
      <c r="J8196">
        <v>149.66999999999999</v>
      </c>
      <c r="K8196">
        <v>13.61</v>
      </c>
      <c r="L8196">
        <v>41138</v>
      </c>
      <c r="M8196" t="s">
        <v>1901</v>
      </c>
      <c r="N8196" t="str">
        <f>"13149       "</f>
        <v xml:space="preserve">13149       </v>
      </c>
      <c r="O8196">
        <v>230512</v>
      </c>
    </row>
    <row r="8197" spans="1:15" x14ac:dyDescent="0.25">
      <c r="A8197" t="s">
        <v>16</v>
      </c>
      <c r="B8197" t="s">
        <v>3221</v>
      </c>
      <c r="C8197">
        <v>6576</v>
      </c>
      <c r="D8197" t="s">
        <v>240</v>
      </c>
      <c r="E8197" t="s">
        <v>241</v>
      </c>
      <c r="F8197">
        <v>78.69</v>
      </c>
      <c r="G8197">
        <v>230510</v>
      </c>
      <c r="H8197">
        <v>4510</v>
      </c>
      <c r="I8197" t="s">
        <v>42</v>
      </c>
      <c r="J8197">
        <v>86.56</v>
      </c>
      <c r="K8197">
        <v>7.87</v>
      </c>
      <c r="L8197">
        <v>13402</v>
      </c>
      <c r="M8197" t="s">
        <v>242</v>
      </c>
      <c r="N8197" t="str">
        <f>"13371       "</f>
        <v xml:space="preserve">13371       </v>
      </c>
      <c r="O8197">
        <v>230515</v>
      </c>
    </row>
    <row r="8198" spans="1:15" x14ac:dyDescent="0.25">
      <c r="A8198" t="s">
        <v>16</v>
      </c>
      <c r="B8198" t="s">
        <v>3221</v>
      </c>
      <c r="C8198">
        <v>6957</v>
      </c>
      <c r="D8198" t="s">
        <v>240</v>
      </c>
      <c r="E8198" t="s">
        <v>241</v>
      </c>
      <c r="F8198">
        <v>503.66</v>
      </c>
      <c r="G8198">
        <v>230517</v>
      </c>
      <c r="H8198">
        <v>4510</v>
      </c>
      <c r="I8198" t="s">
        <v>42</v>
      </c>
      <c r="J8198">
        <v>554.03</v>
      </c>
      <c r="K8198">
        <v>50.37</v>
      </c>
      <c r="L8198">
        <v>13502</v>
      </c>
      <c r="M8198" t="s">
        <v>243</v>
      </c>
      <c r="N8198" t="str">
        <f>"13456       "</f>
        <v xml:space="preserve">13456       </v>
      </c>
      <c r="O8198">
        <v>230523</v>
      </c>
    </row>
    <row r="8199" spans="1:15" x14ac:dyDescent="0.25">
      <c r="A8199" t="s">
        <v>16</v>
      </c>
      <c r="B8199" t="s">
        <v>3221</v>
      </c>
      <c r="C8199">
        <v>8153</v>
      </c>
      <c r="D8199" t="s">
        <v>240</v>
      </c>
      <c r="E8199" t="s">
        <v>241</v>
      </c>
      <c r="F8199">
        <v>326.94</v>
      </c>
      <c r="G8199">
        <v>230530</v>
      </c>
      <c r="H8199">
        <v>4510</v>
      </c>
      <c r="I8199" t="s">
        <v>42</v>
      </c>
      <c r="J8199">
        <v>359.63</v>
      </c>
      <c r="K8199">
        <v>32.69</v>
      </c>
      <c r="L8199">
        <v>13502</v>
      </c>
      <c r="M8199" t="s">
        <v>243</v>
      </c>
      <c r="N8199" t="str">
        <f>"13695       "</f>
        <v xml:space="preserve">13695       </v>
      </c>
      <c r="O8199">
        <v>230607</v>
      </c>
    </row>
    <row r="8200" spans="1:15" x14ac:dyDescent="0.25">
      <c r="A8200" t="s">
        <v>16</v>
      </c>
      <c r="B8200" t="s">
        <v>3221</v>
      </c>
      <c r="C8200">
        <v>8186</v>
      </c>
      <c r="D8200" t="s">
        <v>240</v>
      </c>
      <c r="E8200" t="s">
        <v>241</v>
      </c>
      <c r="F8200">
        <v>271.82</v>
      </c>
      <c r="G8200">
        <v>230531</v>
      </c>
      <c r="H8200">
        <v>4510</v>
      </c>
      <c r="I8200" t="s">
        <v>42</v>
      </c>
      <c r="J8200">
        <v>299</v>
      </c>
      <c r="K8200">
        <v>27.18</v>
      </c>
      <c r="L8200">
        <v>61122</v>
      </c>
      <c r="M8200" t="s">
        <v>402</v>
      </c>
      <c r="N8200" t="str">
        <f>"13808       "</f>
        <v xml:space="preserve">13808       </v>
      </c>
      <c r="O8200">
        <v>230607</v>
      </c>
    </row>
    <row r="8201" spans="1:15" x14ac:dyDescent="0.25">
      <c r="A8201" t="s">
        <v>16</v>
      </c>
      <c r="B8201" t="s">
        <v>3221</v>
      </c>
      <c r="C8201">
        <v>8710</v>
      </c>
      <c r="D8201" t="s">
        <v>240</v>
      </c>
      <c r="E8201" t="s">
        <v>241</v>
      </c>
      <c r="F8201">
        <v>96.73</v>
      </c>
      <c r="G8201">
        <v>230602</v>
      </c>
      <c r="H8201">
        <v>4510</v>
      </c>
      <c r="I8201" t="s">
        <v>42</v>
      </c>
      <c r="J8201">
        <v>106.4</v>
      </c>
      <c r="K8201">
        <v>9.67</v>
      </c>
      <c r="L8201">
        <v>48601</v>
      </c>
      <c r="M8201" t="s">
        <v>1047</v>
      </c>
      <c r="N8201" t="str">
        <f>"3876745     "</f>
        <v xml:space="preserve">3876745     </v>
      </c>
      <c r="O8201">
        <v>230613</v>
      </c>
    </row>
    <row r="8202" spans="1:15" x14ac:dyDescent="0.25">
      <c r="A8202" t="s">
        <v>16</v>
      </c>
      <c r="B8202" t="s">
        <v>3221</v>
      </c>
      <c r="C8202">
        <v>8832</v>
      </c>
      <c r="D8202" t="s">
        <v>240</v>
      </c>
      <c r="E8202" t="s">
        <v>241</v>
      </c>
      <c r="F8202">
        <v>15.63</v>
      </c>
      <c r="G8202">
        <v>230530</v>
      </c>
      <c r="H8202">
        <v>4510</v>
      </c>
      <c r="I8202" t="s">
        <v>42</v>
      </c>
      <c r="J8202">
        <v>17.190000000000001</v>
      </c>
      <c r="K8202">
        <v>1.56</v>
      </c>
      <c r="L8202">
        <v>13402</v>
      </c>
      <c r="M8202" t="s">
        <v>242</v>
      </c>
      <c r="N8202" t="str">
        <f>"13696       "</f>
        <v xml:space="preserve">13696       </v>
      </c>
      <c r="O8202">
        <v>230616</v>
      </c>
    </row>
    <row r="8203" spans="1:15" x14ac:dyDescent="0.25">
      <c r="A8203" t="s">
        <v>16</v>
      </c>
      <c r="B8203" t="s">
        <v>3221</v>
      </c>
      <c r="C8203">
        <v>8865</v>
      </c>
      <c r="D8203" t="s">
        <v>240</v>
      </c>
      <c r="E8203" t="s">
        <v>241</v>
      </c>
      <c r="F8203">
        <v>24.71</v>
      </c>
      <c r="G8203">
        <v>230612</v>
      </c>
      <c r="H8203">
        <v>4510</v>
      </c>
      <c r="I8203" t="s">
        <v>42</v>
      </c>
      <c r="J8203">
        <v>27.18</v>
      </c>
      <c r="K8203">
        <v>2.4700000000000002</v>
      </c>
      <c r="L8203">
        <v>13402</v>
      </c>
      <c r="M8203" t="s">
        <v>242</v>
      </c>
      <c r="N8203" t="str">
        <f>"13918       "</f>
        <v xml:space="preserve">13918       </v>
      </c>
      <c r="O8203">
        <v>230619</v>
      </c>
    </row>
    <row r="8204" spans="1:15" x14ac:dyDescent="0.25">
      <c r="A8204" t="s">
        <v>16</v>
      </c>
      <c r="B8204" t="s">
        <v>3221</v>
      </c>
      <c r="C8204">
        <v>9165</v>
      </c>
      <c r="D8204" t="s">
        <v>240</v>
      </c>
      <c r="E8204" t="s">
        <v>241</v>
      </c>
      <c r="F8204">
        <v>48.39</v>
      </c>
      <c r="G8204">
        <v>230627</v>
      </c>
      <c r="H8204">
        <v>4510</v>
      </c>
      <c r="I8204" t="s">
        <v>42</v>
      </c>
      <c r="J8204">
        <v>60</v>
      </c>
      <c r="K8204">
        <v>11.61</v>
      </c>
      <c r="L8204">
        <v>11501</v>
      </c>
      <c r="M8204" t="s">
        <v>339</v>
      </c>
      <c r="N8204" t="str">
        <f>"3885317     "</f>
        <v xml:space="preserve">3885317     </v>
      </c>
      <c r="O8204">
        <v>230629</v>
      </c>
    </row>
    <row r="8205" spans="1:15" x14ac:dyDescent="0.25">
      <c r="A8205" t="s">
        <v>16</v>
      </c>
      <c r="B8205" t="s">
        <v>3221</v>
      </c>
      <c r="C8205">
        <v>9172</v>
      </c>
      <c r="D8205" t="s">
        <v>240</v>
      </c>
      <c r="E8205" t="s">
        <v>241</v>
      </c>
      <c r="F8205">
        <v>333.58</v>
      </c>
      <c r="G8205">
        <v>230612</v>
      </c>
      <c r="H8205">
        <v>4510</v>
      </c>
      <c r="I8205" t="s">
        <v>42</v>
      </c>
      <c r="J8205">
        <v>366.94</v>
      </c>
      <c r="K8205">
        <v>33.36</v>
      </c>
      <c r="L8205">
        <v>13502</v>
      </c>
      <c r="M8205" t="s">
        <v>243</v>
      </c>
      <c r="N8205" t="str">
        <f>"13917       "</f>
        <v xml:space="preserve">13917       </v>
      </c>
      <c r="O8205">
        <v>230629</v>
      </c>
    </row>
    <row r="8206" spans="1:15" x14ac:dyDescent="0.25">
      <c r="A8206" t="s">
        <v>16</v>
      </c>
      <c r="B8206" t="s">
        <v>3221</v>
      </c>
      <c r="C8206">
        <v>9195</v>
      </c>
      <c r="D8206" t="s">
        <v>240</v>
      </c>
      <c r="E8206" t="s">
        <v>241</v>
      </c>
      <c r="F8206">
        <v>54.55</v>
      </c>
      <c r="G8206">
        <v>230627</v>
      </c>
      <c r="H8206">
        <v>4510</v>
      </c>
      <c r="I8206" t="s">
        <v>42</v>
      </c>
      <c r="J8206">
        <v>60</v>
      </c>
      <c r="K8206">
        <v>5.45</v>
      </c>
      <c r="L8206">
        <v>11501</v>
      </c>
      <c r="M8206" t="s">
        <v>339</v>
      </c>
      <c r="N8206" t="str">
        <f>"3885316     "</f>
        <v xml:space="preserve">3885316     </v>
      </c>
      <c r="O8206">
        <v>230629</v>
      </c>
    </row>
    <row r="8207" spans="1:15" x14ac:dyDescent="0.25">
      <c r="A8207" t="s">
        <v>16</v>
      </c>
      <c r="B8207" t="s">
        <v>3221</v>
      </c>
      <c r="C8207">
        <v>10132</v>
      </c>
      <c r="D8207" t="s">
        <v>240</v>
      </c>
      <c r="E8207" t="s">
        <v>241</v>
      </c>
      <c r="F8207">
        <v>656.1</v>
      </c>
      <c r="G8207">
        <v>230731</v>
      </c>
      <c r="H8207">
        <v>4510</v>
      </c>
      <c r="I8207" t="s">
        <v>42</v>
      </c>
      <c r="J8207">
        <v>721.71</v>
      </c>
      <c r="K8207">
        <v>65.61</v>
      </c>
      <c r="L8207">
        <v>16121</v>
      </c>
      <c r="M8207" t="s">
        <v>21</v>
      </c>
      <c r="N8207" t="str">
        <f>"14128       "</f>
        <v xml:space="preserve">14128       </v>
      </c>
      <c r="O8207">
        <v>230808</v>
      </c>
    </row>
    <row r="8208" spans="1:15" x14ac:dyDescent="0.25">
      <c r="A8208" t="s">
        <v>16</v>
      </c>
      <c r="B8208" t="s">
        <v>3221</v>
      </c>
      <c r="C8208">
        <v>10132</v>
      </c>
      <c r="D8208" t="s">
        <v>240</v>
      </c>
      <c r="E8208" t="s">
        <v>241</v>
      </c>
      <c r="F8208">
        <v>3719.77</v>
      </c>
      <c r="G8208">
        <v>230731</v>
      </c>
      <c r="H8208">
        <v>4510</v>
      </c>
      <c r="I8208" t="s">
        <v>42</v>
      </c>
      <c r="J8208">
        <v>4091.75</v>
      </c>
      <c r="K8208">
        <v>371.98</v>
      </c>
      <c r="L8208">
        <v>16322</v>
      </c>
      <c r="M8208" t="s">
        <v>22</v>
      </c>
      <c r="N8208" t="str">
        <f>"14128       "</f>
        <v xml:space="preserve">14128       </v>
      </c>
      <c r="O8208">
        <v>230808</v>
      </c>
    </row>
    <row r="8209" spans="1:15" x14ac:dyDescent="0.25">
      <c r="A8209" t="s">
        <v>16</v>
      </c>
      <c r="B8209" t="s">
        <v>3221</v>
      </c>
      <c r="C8209">
        <v>10132</v>
      </c>
      <c r="D8209" t="s">
        <v>240</v>
      </c>
      <c r="E8209" t="s">
        <v>241</v>
      </c>
      <c r="F8209">
        <v>477.16</v>
      </c>
      <c r="G8209">
        <v>230731</v>
      </c>
      <c r="H8209">
        <v>4510</v>
      </c>
      <c r="I8209" t="s">
        <v>42</v>
      </c>
      <c r="J8209">
        <v>524.88</v>
      </c>
      <c r="K8209">
        <v>47.72</v>
      </c>
      <c r="L8209">
        <v>16820</v>
      </c>
      <c r="M8209" t="s">
        <v>23</v>
      </c>
      <c r="N8209" t="str">
        <f>"14128       "</f>
        <v xml:space="preserve">14128       </v>
      </c>
      <c r="O8209">
        <v>230808</v>
      </c>
    </row>
    <row r="8210" spans="1:15" x14ac:dyDescent="0.25">
      <c r="A8210" t="s">
        <v>16</v>
      </c>
      <c r="B8210" t="s">
        <v>3221</v>
      </c>
      <c r="C8210">
        <v>10140</v>
      </c>
      <c r="D8210" t="s">
        <v>240</v>
      </c>
      <c r="E8210" t="s">
        <v>241</v>
      </c>
      <c r="F8210">
        <v>504.52</v>
      </c>
      <c r="G8210">
        <v>230807</v>
      </c>
      <c r="H8210">
        <v>4510</v>
      </c>
      <c r="I8210" t="s">
        <v>42</v>
      </c>
      <c r="J8210">
        <v>554.97</v>
      </c>
      <c r="K8210">
        <v>50.45</v>
      </c>
      <c r="L8210">
        <v>16121</v>
      </c>
      <c r="M8210" t="s">
        <v>21</v>
      </c>
      <c r="N8210" t="str">
        <f>"14424       "</f>
        <v xml:space="preserve">14424       </v>
      </c>
      <c r="O8210">
        <v>230808</v>
      </c>
    </row>
    <row r="8211" spans="1:15" x14ac:dyDescent="0.25">
      <c r="A8211" t="s">
        <v>16</v>
      </c>
      <c r="B8211" t="s">
        <v>3221</v>
      </c>
      <c r="C8211">
        <v>10140</v>
      </c>
      <c r="D8211" t="s">
        <v>240</v>
      </c>
      <c r="E8211" t="s">
        <v>241</v>
      </c>
      <c r="F8211">
        <v>416.63</v>
      </c>
      <c r="G8211">
        <v>230807</v>
      </c>
      <c r="H8211">
        <v>4510</v>
      </c>
      <c r="I8211" t="s">
        <v>42</v>
      </c>
      <c r="J8211">
        <v>458.29</v>
      </c>
      <c r="K8211">
        <v>41.66</v>
      </c>
      <c r="L8211">
        <v>16322</v>
      </c>
      <c r="M8211" t="s">
        <v>22</v>
      </c>
      <c r="N8211" t="str">
        <f>"14424       "</f>
        <v xml:space="preserve">14424       </v>
      </c>
      <c r="O8211">
        <v>230808</v>
      </c>
    </row>
    <row r="8212" spans="1:15" x14ac:dyDescent="0.25">
      <c r="A8212" t="s">
        <v>16</v>
      </c>
      <c r="B8212" t="s">
        <v>3221</v>
      </c>
      <c r="C8212">
        <v>10155</v>
      </c>
      <c r="D8212" t="s">
        <v>240</v>
      </c>
      <c r="E8212" t="s">
        <v>241</v>
      </c>
      <c r="F8212">
        <v>2365.2800000000002</v>
      </c>
      <c r="G8212">
        <v>230731</v>
      </c>
      <c r="H8212">
        <v>4510</v>
      </c>
      <c r="I8212" t="s">
        <v>42</v>
      </c>
      <c r="J8212">
        <v>2601.81</v>
      </c>
      <c r="K8212">
        <v>236.53</v>
      </c>
      <c r="L8212">
        <v>14321</v>
      </c>
      <c r="M8212" t="s">
        <v>717</v>
      </c>
      <c r="N8212" t="str">
        <f>"14130       "</f>
        <v xml:space="preserve">14130       </v>
      </c>
      <c r="O8212">
        <v>230808</v>
      </c>
    </row>
    <row r="8213" spans="1:15" x14ac:dyDescent="0.25">
      <c r="A8213" t="s">
        <v>16</v>
      </c>
      <c r="B8213" t="s">
        <v>3221</v>
      </c>
      <c r="C8213">
        <v>10156</v>
      </c>
      <c r="D8213" t="s">
        <v>240</v>
      </c>
      <c r="E8213" t="s">
        <v>241</v>
      </c>
      <c r="F8213">
        <v>284.35000000000002</v>
      </c>
      <c r="G8213">
        <v>230807</v>
      </c>
      <c r="H8213">
        <v>4510</v>
      </c>
      <c r="I8213" t="s">
        <v>42</v>
      </c>
      <c r="J8213">
        <v>312.79000000000002</v>
      </c>
      <c r="K8213">
        <v>28.44</v>
      </c>
      <c r="L8213">
        <v>14640</v>
      </c>
      <c r="M8213" t="s">
        <v>229</v>
      </c>
      <c r="N8213" t="str">
        <f>"14427       "</f>
        <v xml:space="preserve">14427       </v>
      </c>
      <c r="O8213">
        <v>230808</v>
      </c>
    </row>
    <row r="8214" spans="1:15" x14ac:dyDescent="0.25">
      <c r="A8214" t="s">
        <v>16</v>
      </c>
      <c r="B8214" t="s">
        <v>3221</v>
      </c>
      <c r="C8214">
        <v>10340</v>
      </c>
      <c r="D8214" t="s">
        <v>240</v>
      </c>
      <c r="E8214" t="s">
        <v>241</v>
      </c>
      <c r="F8214">
        <v>849.02</v>
      </c>
      <c r="G8214">
        <v>230731</v>
      </c>
      <c r="H8214">
        <v>4510</v>
      </c>
      <c r="I8214" t="s">
        <v>42</v>
      </c>
      <c r="J8214">
        <v>933.92</v>
      </c>
      <c r="K8214">
        <v>84.9</v>
      </c>
      <c r="L8214">
        <v>61122</v>
      </c>
      <c r="M8214" t="s">
        <v>402</v>
      </c>
      <c r="N8214" t="str">
        <f>"14132       "</f>
        <v xml:space="preserve">14132       </v>
      </c>
      <c r="O8214">
        <v>230814</v>
      </c>
    </row>
    <row r="8215" spans="1:15" x14ac:dyDescent="0.25">
      <c r="A8215" t="s">
        <v>16</v>
      </c>
      <c r="B8215" t="s">
        <v>3221</v>
      </c>
      <c r="C8215">
        <v>10340</v>
      </c>
      <c r="D8215" t="s">
        <v>240</v>
      </c>
      <c r="E8215" t="s">
        <v>241</v>
      </c>
      <c r="F8215">
        <v>560.11</v>
      </c>
      <c r="G8215">
        <v>230731</v>
      </c>
      <c r="H8215">
        <v>4510</v>
      </c>
      <c r="I8215" t="s">
        <v>42</v>
      </c>
      <c r="J8215">
        <v>616.12</v>
      </c>
      <c r="K8215">
        <v>56.01</v>
      </c>
      <c r="L8215">
        <v>68601</v>
      </c>
      <c r="M8215" t="s">
        <v>2370</v>
      </c>
      <c r="N8215" t="str">
        <f>"14132       "</f>
        <v xml:space="preserve">14132       </v>
      </c>
      <c r="O8215">
        <v>230814</v>
      </c>
    </row>
    <row r="8216" spans="1:15" x14ac:dyDescent="0.25">
      <c r="A8216" t="s">
        <v>16</v>
      </c>
      <c r="B8216" t="s">
        <v>3221</v>
      </c>
      <c r="C8216">
        <v>10347</v>
      </c>
      <c r="D8216" t="s">
        <v>240</v>
      </c>
      <c r="E8216" t="s">
        <v>241</v>
      </c>
      <c r="F8216">
        <v>859.15</v>
      </c>
      <c r="G8216">
        <v>230731</v>
      </c>
      <c r="H8216">
        <v>4510</v>
      </c>
      <c r="I8216" t="s">
        <v>42</v>
      </c>
      <c r="J8216">
        <v>945.06</v>
      </c>
      <c r="K8216">
        <v>85.91</v>
      </c>
      <c r="L8216">
        <v>16321</v>
      </c>
      <c r="M8216" t="s">
        <v>423</v>
      </c>
      <c r="N8216" t="str">
        <f>"14127       "</f>
        <v xml:space="preserve">14127       </v>
      </c>
      <c r="O8216">
        <v>230814</v>
      </c>
    </row>
    <row r="8217" spans="1:15" x14ac:dyDescent="0.25">
      <c r="A8217" t="s">
        <v>16</v>
      </c>
      <c r="B8217" t="s">
        <v>3221</v>
      </c>
      <c r="C8217">
        <v>10347</v>
      </c>
      <c r="D8217" t="s">
        <v>240</v>
      </c>
      <c r="E8217" t="s">
        <v>241</v>
      </c>
      <c r="F8217">
        <v>151.02000000000001</v>
      </c>
      <c r="G8217">
        <v>230731</v>
      </c>
      <c r="H8217">
        <v>4510</v>
      </c>
      <c r="I8217" t="s">
        <v>42</v>
      </c>
      <c r="J8217">
        <v>166.12</v>
      </c>
      <c r="K8217">
        <v>15.1</v>
      </c>
      <c r="L8217">
        <v>16431</v>
      </c>
      <c r="M8217" t="s">
        <v>231</v>
      </c>
      <c r="N8217" t="str">
        <f>"14127       "</f>
        <v xml:space="preserve">14127       </v>
      </c>
      <c r="O8217">
        <v>230814</v>
      </c>
    </row>
    <row r="8218" spans="1:15" x14ac:dyDescent="0.25">
      <c r="A8218" t="s">
        <v>16</v>
      </c>
      <c r="B8218" t="s">
        <v>3221</v>
      </c>
      <c r="C8218">
        <v>10347</v>
      </c>
      <c r="D8218" t="s">
        <v>240</v>
      </c>
      <c r="E8218" t="s">
        <v>241</v>
      </c>
      <c r="F8218">
        <v>395.22</v>
      </c>
      <c r="G8218">
        <v>230731</v>
      </c>
      <c r="H8218">
        <v>4510</v>
      </c>
      <c r="I8218" t="s">
        <v>42</v>
      </c>
      <c r="J8218">
        <v>434.74</v>
      </c>
      <c r="K8218">
        <v>39.520000000000003</v>
      </c>
      <c r="L8218">
        <v>17803</v>
      </c>
      <c r="M8218" t="s">
        <v>389</v>
      </c>
      <c r="N8218" t="str">
        <f>"14127       "</f>
        <v xml:space="preserve">14127       </v>
      </c>
      <c r="O8218">
        <v>230814</v>
      </c>
    </row>
    <row r="8219" spans="1:15" x14ac:dyDescent="0.25">
      <c r="A8219" t="s">
        <v>16</v>
      </c>
      <c r="B8219" t="s">
        <v>3221</v>
      </c>
      <c r="C8219">
        <v>10347</v>
      </c>
      <c r="D8219" t="s">
        <v>240</v>
      </c>
      <c r="E8219" t="s">
        <v>241</v>
      </c>
      <c r="F8219">
        <v>1368.84</v>
      </c>
      <c r="G8219">
        <v>230731</v>
      </c>
      <c r="H8219">
        <v>4510</v>
      </c>
      <c r="I8219" t="s">
        <v>42</v>
      </c>
      <c r="J8219">
        <v>1505.72</v>
      </c>
      <c r="K8219">
        <v>136.88</v>
      </c>
      <c r="L8219">
        <v>17808</v>
      </c>
      <c r="M8219" t="s">
        <v>322</v>
      </c>
      <c r="N8219" t="str">
        <f>"14127       "</f>
        <v xml:space="preserve">14127       </v>
      </c>
      <c r="O8219">
        <v>230814</v>
      </c>
    </row>
    <row r="8220" spans="1:15" x14ac:dyDescent="0.25">
      <c r="A8220" t="s">
        <v>16</v>
      </c>
      <c r="B8220" t="s">
        <v>3221</v>
      </c>
      <c r="C8220">
        <v>10347</v>
      </c>
      <c r="D8220" t="s">
        <v>240</v>
      </c>
      <c r="E8220" t="s">
        <v>241</v>
      </c>
      <c r="F8220">
        <v>346.56</v>
      </c>
      <c r="G8220">
        <v>230731</v>
      </c>
      <c r="H8220">
        <v>4510</v>
      </c>
      <c r="I8220" t="s">
        <v>42</v>
      </c>
      <c r="J8220">
        <v>381.22</v>
      </c>
      <c r="K8220">
        <v>34.659999999999997</v>
      </c>
      <c r="L8220">
        <v>17809</v>
      </c>
      <c r="M8220" t="s">
        <v>376</v>
      </c>
      <c r="N8220" t="str">
        <f>"14127       "</f>
        <v xml:space="preserve">14127       </v>
      </c>
      <c r="O8220">
        <v>230814</v>
      </c>
    </row>
    <row r="8221" spans="1:15" x14ac:dyDescent="0.25">
      <c r="A8221" t="s">
        <v>16</v>
      </c>
      <c r="B8221" t="s">
        <v>3221</v>
      </c>
      <c r="C8221">
        <v>10361</v>
      </c>
      <c r="D8221" t="s">
        <v>240</v>
      </c>
      <c r="E8221" t="s">
        <v>241</v>
      </c>
      <c r="F8221">
        <v>141.75</v>
      </c>
      <c r="G8221">
        <v>230807</v>
      </c>
      <c r="H8221">
        <v>4510</v>
      </c>
      <c r="I8221" t="s">
        <v>42</v>
      </c>
      <c r="J8221">
        <v>155.91999999999999</v>
      </c>
      <c r="K8221">
        <v>14.17</v>
      </c>
      <c r="L8221">
        <v>16321</v>
      </c>
      <c r="M8221" t="s">
        <v>423</v>
      </c>
      <c r="N8221" t="str">
        <f t="shared" ref="N8221:N8226" si="160">"14422       "</f>
        <v xml:space="preserve">14422       </v>
      </c>
      <c r="O8221">
        <v>230814</v>
      </c>
    </row>
    <row r="8222" spans="1:15" x14ac:dyDescent="0.25">
      <c r="A8222" t="s">
        <v>16</v>
      </c>
      <c r="B8222" t="s">
        <v>3221</v>
      </c>
      <c r="C8222">
        <v>10361</v>
      </c>
      <c r="D8222" t="s">
        <v>240</v>
      </c>
      <c r="E8222" t="s">
        <v>241</v>
      </c>
      <c r="F8222">
        <v>704.22</v>
      </c>
      <c r="G8222">
        <v>230807</v>
      </c>
      <c r="H8222">
        <v>4510</v>
      </c>
      <c r="I8222" t="s">
        <v>42</v>
      </c>
      <c r="J8222">
        <v>774.64</v>
      </c>
      <c r="K8222">
        <v>70.42</v>
      </c>
      <c r="L8222">
        <v>17802</v>
      </c>
      <c r="M8222" t="s">
        <v>174</v>
      </c>
      <c r="N8222" t="str">
        <f t="shared" si="160"/>
        <v xml:space="preserve">14422       </v>
      </c>
      <c r="O8222">
        <v>230814</v>
      </c>
    </row>
    <row r="8223" spans="1:15" x14ac:dyDescent="0.25">
      <c r="A8223" t="s">
        <v>16</v>
      </c>
      <c r="B8223" t="s">
        <v>3221</v>
      </c>
      <c r="C8223">
        <v>10361</v>
      </c>
      <c r="D8223" t="s">
        <v>240</v>
      </c>
      <c r="E8223" t="s">
        <v>241</v>
      </c>
      <c r="F8223">
        <v>142.41999999999999</v>
      </c>
      <c r="G8223">
        <v>230807</v>
      </c>
      <c r="H8223">
        <v>4510</v>
      </c>
      <c r="I8223" t="s">
        <v>42</v>
      </c>
      <c r="J8223">
        <v>156.66</v>
      </c>
      <c r="K8223">
        <v>14.24</v>
      </c>
      <c r="L8223">
        <v>17807</v>
      </c>
      <c r="M8223" t="s">
        <v>318</v>
      </c>
      <c r="N8223" t="str">
        <f t="shared" si="160"/>
        <v xml:space="preserve">14422       </v>
      </c>
      <c r="O8223">
        <v>230814</v>
      </c>
    </row>
    <row r="8224" spans="1:15" x14ac:dyDescent="0.25">
      <c r="A8224" t="s">
        <v>16</v>
      </c>
      <c r="B8224" t="s">
        <v>3221</v>
      </c>
      <c r="C8224">
        <v>10361</v>
      </c>
      <c r="D8224" t="s">
        <v>240</v>
      </c>
      <c r="E8224" t="s">
        <v>241</v>
      </c>
      <c r="F8224">
        <v>1722.2</v>
      </c>
      <c r="G8224">
        <v>230807</v>
      </c>
      <c r="H8224">
        <v>4510</v>
      </c>
      <c r="I8224" t="s">
        <v>42</v>
      </c>
      <c r="J8224">
        <v>1894.42</v>
      </c>
      <c r="K8224">
        <v>172.22</v>
      </c>
      <c r="L8224">
        <v>17808</v>
      </c>
      <c r="M8224" t="s">
        <v>322</v>
      </c>
      <c r="N8224" t="str">
        <f t="shared" si="160"/>
        <v xml:space="preserve">14422       </v>
      </c>
      <c r="O8224">
        <v>230814</v>
      </c>
    </row>
    <row r="8225" spans="1:15" x14ac:dyDescent="0.25">
      <c r="A8225" t="s">
        <v>16</v>
      </c>
      <c r="B8225" t="s">
        <v>3221</v>
      </c>
      <c r="C8225">
        <v>10361</v>
      </c>
      <c r="D8225" t="s">
        <v>240</v>
      </c>
      <c r="E8225" t="s">
        <v>241</v>
      </c>
      <c r="F8225">
        <v>1268.17</v>
      </c>
      <c r="G8225">
        <v>230807</v>
      </c>
      <c r="H8225">
        <v>4510</v>
      </c>
      <c r="I8225" t="s">
        <v>42</v>
      </c>
      <c r="J8225">
        <v>1394.99</v>
      </c>
      <c r="K8225">
        <v>126.82</v>
      </c>
      <c r="L8225">
        <v>17808</v>
      </c>
      <c r="M8225" t="s">
        <v>322</v>
      </c>
      <c r="N8225" t="str">
        <f t="shared" si="160"/>
        <v xml:space="preserve">14422       </v>
      </c>
      <c r="O8225">
        <v>230814</v>
      </c>
    </row>
    <row r="8226" spans="1:15" x14ac:dyDescent="0.25">
      <c r="A8226" t="s">
        <v>16</v>
      </c>
      <c r="B8226" t="s">
        <v>3221</v>
      </c>
      <c r="C8226">
        <v>10361</v>
      </c>
      <c r="D8226" t="s">
        <v>240</v>
      </c>
      <c r="E8226" t="s">
        <v>241</v>
      </c>
      <c r="F8226">
        <v>259.32</v>
      </c>
      <c r="G8226">
        <v>230807</v>
      </c>
      <c r="H8226">
        <v>4510</v>
      </c>
      <c r="I8226" t="s">
        <v>42</v>
      </c>
      <c r="J8226">
        <v>285.25</v>
      </c>
      <c r="K8226">
        <v>25.93</v>
      </c>
      <c r="L8226">
        <v>17974</v>
      </c>
      <c r="M8226" t="s">
        <v>460</v>
      </c>
      <c r="N8226" t="str">
        <f t="shared" si="160"/>
        <v xml:space="preserve">14422       </v>
      </c>
      <c r="O8226">
        <v>230814</v>
      </c>
    </row>
    <row r="8227" spans="1:15" x14ac:dyDescent="0.25">
      <c r="A8227" t="s">
        <v>16</v>
      </c>
      <c r="B8227" t="s">
        <v>3221</v>
      </c>
      <c r="C8227">
        <v>10362</v>
      </c>
      <c r="D8227" t="s">
        <v>240</v>
      </c>
      <c r="E8227" t="s">
        <v>241</v>
      </c>
      <c r="F8227">
        <v>150.72999999999999</v>
      </c>
      <c r="G8227">
        <v>230807</v>
      </c>
      <c r="H8227">
        <v>4510</v>
      </c>
      <c r="I8227" t="s">
        <v>42</v>
      </c>
      <c r="J8227">
        <v>165.8</v>
      </c>
      <c r="K8227">
        <v>15.07</v>
      </c>
      <c r="L8227">
        <v>44222</v>
      </c>
      <c r="M8227" t="s">
        <v>232</v>
      </c>
      <c r="N8227" t="str">
        <f>"14426       "</f>
        <v xml:space="preserve">14426       </v>
      </c>
      <c r="O8227">
        <v>230814</v>
      </c>
    </row>
    <row r="8228" spans="1:15" x14ac:dyDescent="0.25">
      <c r="A8228" t="s">
        <v>16</v>
      </c>
      <c r="B8228" t="s">
        <v>3221</v>
      </c>
      <c r="C8228">
        <v>10362</v>
      </c>
      <c r="D8228" t="s">
        <v>240</v>
      </c>
      <c r="E8228" t="s">
        <v>241</v>
      </c>
      <c r="F8228">
        <v>1255.25</v>
      </c>
      <c r="G8228">
        <v>230807</v>
      </c>
      <c r="H8228">
        <v>4510</v>
      </c>
      <c r="I8228" t="s">
        <v>42</v>
      </c>
      <c r="J8228">
        <v>1380.78</v>
      </c>
      <c r="K8228">
        <v>125.53</v>
      </c>
      <c r="L8228">
        <v>48601</v>
      </c>
      <c r="M8228" t="s">
        <v>1047</v>
      </c>
      <c r="N8228" t="str">
        <f>"14426       "</f>
        <v xml:space="preserve">14426       </v>
      </c>
      <c r="O8228">
        <v>230814</v>
      </c>
    </row>
    <row r="8229" spans="1:15" x14ac:dyDescent="0.25">
      <c r="A8229" t="s">
        <v>16</v>
      </c>
      <c r="B8229" t="s">
        <v>3221</v>
      </c>
      <c r="C8229">
        <v>10380</v>
      </c>
      <c r="D8229" t="s">
        <v>240</v>
      </c>
      <c r="E8229" t="s">
        <v>241</v>
      </c>
      <c r="F8229">
        <v>9.64</v>
      </c>
      <c r="G8229">
        <v>230810</v>
      </c>
      <c r="H8229">
        <v>4510</v>
      </c>
      <c r="I8229" t="s">
        <v>42</v>
      </c>
      <c r="J8229">
        <v>10.6</v>
      </c>
      <c r="K8229">
        <v>0.96</v>
      </c>
      <c r="L8229">
        <v>48601</v>
      </c>
      <c r="M8229" t="s">
        <v>1047</v>
      </c>
      <c r="N8229" t="str">
        <f>"3902852     "</f>
        <v xml:space="preserve">3902852     </v>
      </c>
      <c r="O8229">
        <v>230815</v>
      </c>
    </row>
    <row r="8230" spans="1:15" x14ac:dyDescent="0.25">
      <c r="A8230" t="s">
        <v>16</v>
      </c>
      <c r="B8230" t="s">
        <v>3221</v>
      </c>
      <c r="C8230">
        <v>10436</v>
      </c>
      <c r="D8230" t="s">
        <v>240</v>
      </c>
      <c r="E8230" t="s">
        <v>241</v>
      </c>
      <c r="F8230">
        <v>755.16</v>
      </c>
      <c r="G8230">
        <v>230807</v>
      </c>
      <c r="H8230">
        <v>4510</v>
      </c>
      <c r="I8230" t="s">
        <v>42</v>
      </c>
      <c r="J8230">
        <v>830.68</v>
      </c>
      <c r="K8230">
        <v>75.52</v>
      </c>
      <c r="L8230">
        <v>67522</v>
      </c>
      <c r="M8230" t="s">
        <v>397</v>
      </c>
      <c r="N8230" t="str">
        <f>"14423       "</f>
        <v xml:space="preserve">14423       </v>
      </c>
      <c r="O8230">
        <v>230816</v>
      </c>
    </row>
    <row r="8231" spans="1:15" x14ac:dyDescent="0.25">
      <c r="A8231" t="s">
        <v>16</v>
      </c>
      <c r="B8231" t="s">
        <v>3221</v>
      </c>
      <c r="C8231">
        <v>10436</v>
      </c>
      <c r="D8231" t="s">
        <v>240</v>
      </c>
      <c r="E8231" t="s">
        <v>241</v>
      </c>
      <c r="F8231">
        <v>25.64</v>
      </c>
      <c r="G8231">
        <v>230807</v>
      </c>
      <c r="H8231">
        <v>4510</v>
      </c>
      <c r="I8231" t="s">
        <v>42</v>
      </c>
      <c r="J8231">
        <v>28.2</v>
      </c>
      <c r="K8231">
        <v>2.56</v>
      </c>
      <c r="L8231">
        <v>69702</v>
      </c>
      <c r="M8231" t="s">
        <v>489</v>
      </c>
      <c r="N8231" t="str">
        <f>"14423       "</f>
        <v xml:space="preserve">14423       </v>
      </c>
      <c r="O8231">
        <v>230816</v>
      </c>
    </row>
    <row r="8232" spans="1:15" x14ac:dyDescent="0.25">
      <c r="A8232" t="s">
        <v>16</v>
      </c>
      <c r="B8232" t="s">
        <v>3221</v>
      </c>
      <c r="C8232">
        <v>10511</v>
      </c>
      <c r="D8232" t="s">
        <v>240</v>
      </c>
      <c r="E8232" t="s">
        <v>241</v>
      </c>
      <c r="F8232">
        <v>379.01</v>
      </c>
      <c r="G8232">
        <v>230814</v>
      </c>
      <c r="H8232">
        <v>4510</v>
      </c>
      <c r="I8232" t="s">
        <v>42</v>
      </c>
      <c r="J8232">
        <v>416.91</v>
      </c>
      <c r="K8232">
        <v>37.9</v>
      </c>
      <c r="L8232">
        <v>16121</v>
      </c>
      <c r="M8232" t="s">
        <v>21</v>
      </c>
      <c r="N8232" t="str">
        <f>"14779       "</f>
        <v xml:space="preserve">14779       </v>
      </c>
      <c r="O8232">
        <v>230817</v>
      </c>
    </row>
    <row r="8233" spans="1:15" x14ac:dyDescent="0.25">
      <c r="A8233" t="s">
        <v>16</v>
      </c>
      <c r="B8233" t="s">
        <v>3221</v>
      </c>
      <c r="C8233">
        <v>10553</v>
      </c>
      <c r="D8233" t="s">
        <v>240</v>
      </c>
      <c r="E8233" t="s">
        <v>241</v>
      </c>
      <c r="F8233">
        <v>36.36</v>
      </c>
      <c r="G8233">
        <v>230814</v>
      </c>
      <c r="H8233">
        <v>4510</v>
      </c>
      <c r="I8233" t="s">
        <v>42</v>
      </c>
      <c r="J8233">
        <v>40</v>
      </c>
      <c r="K8233">
        <v>3.64</v>
      </c>
      <c r="L8233">
        <v>17530</v>
      </c>
      <c r="M8233" t="s">
        <v>454</v>
      </c>
      <c r="N8233" t="str">
        <f>"14780       "</f>
        <v xml:space="preserve">14780       </v>
      </c>
      <c r="O8233">
        <v>230818</v>
      </c>
    </row>
    <row r="8234" spans="1:15" x14ac:dyDescent="0.25">
      <c r="A8234" t="s">
        <v>16</v>
      </c>
      <c r="B8234" t="s">
        <v>3221</v>
      </c>
      <c r="C8234">
        <v>10592</v>
      </c>
      <c r="D8234" t="s">
        <v>240</v>
      </c>
      <c r="E8234" t="s">
        <v>241</v>
      </c>
      <c r="F8234">
        <v>47.55</v>
      </c>
      <c r="G8234">
        <v>230814</v>
      </c>
      <c r="H8234">
        <v>4510</v>
      </c>
      <c r="I8234" t="s">
        <v>42</v>
      </c>
      <c r="J8234">
        <v>52.3</v>
      </c>
      <c r="K8234">
        <v>4.75</v>
      </c>
      <c r="L8234">
        <v>69702</v>
      </c>
      <c r="M8234" t="s">
        <v>489</v>
      </c>
      <c r="N8234" t="str">
        <f>"14778       "</f>
        <v xml:space="preserve">14778       </v>
      </c>
      <c r="O8234">
        <v>230818</v>
      </c>
    </row>
    <row r="8235" spans="1:15" x14ac:dyDescent="0.25">
      <c r="A8235" t="s">
        <v>16</v>
      </c>
      <c r="B8235" t="s">
        <v>3221</v>
      </c>
      <c r="C8235">
        <v>10624</v>
      </c>
      <c r="D8235" t="s">
        <v>240</v>
      </c>
      <c r="E8235" t="s">
        <v>241</v>
      </c>
      <c r="F8235">
        <v>2785.91</v>
      </c>
      <c r="G8235">
        <v>230731</v>
      </c>
      <c r="H8235">
        <v>4510</v>
      </c>
      <c r="I8235" t="s">
        <v>42</v>
      </c>
      <c r="J8235">
        <v>3064.5</v>
      </c>
      <c r="K8235">
        <v>278.58999999999997</v>
      </c>
      <c r="L8235">
        <v>13402</v>
      </c>
      <c r="M8235" t="s">
        <v>242</v>
      </c>
      <c r="N8235" t="str">
        <f>"14131       "</f>
        <v xml:space="preserve">14131       </v>
      </c>
      <c r="O8235">
        <v>230821</v>
      </c>
    </row>
    <row r="8236" spans="1:15" x14ac:dyDescent="0.25">
      <c r="A8236" t="s">
        <v>16</v>
      </c>
      <c r="B8236" t="s">
        <v>3221</v>
      </c>
      <c r="C8236">
        <v>10654</v>
      </c>
      <c r="D8236" t="s">
        <v>240</v>
      </c>
      <c r="E8236" t="s">
        <v>241</v>
      </c>
      <c r="F8236">
        <v>1090.8</v>
      </c>
      <c r="G8236">
        <v>230731</v>
      </c>
      <c r="H8236">
        <v>4510</v>
      </c>
      <c r="I8236" t="s">
        <v>42</v>
      </c>
      <c r="J8236">
        <v>1199.8800000000001</v>
      </c>
      <c r="K8236">
        <v>109.08</v>
      </c>
      <c r="L8236">
        <v>53222</v>
      </c>
      <c r="M8236" t="s">
        <v>445</v>
      </c>
      <c r="N8236" t="str">
        <f>"14129       "</f>
        <v xml:space="preserve">14129       </v>
      </c>
      <c r="O8236">
        <v>230821</v>
      </c>
    </row>
    <row r="8237" spans="1:15" x14ac:dyDescent="0.25">
      <c r="A8237" t="s">
        <v>16</v>
      </c>
      <c r="B8237" t="s">
        <v>3221</v>
      </c>
      <c r="C8237">
        <v>10689</v>
      </c>
      <c r="D8237" t="s">
        <v>240</v>
      </c>
      <c r="E8237" t="s">
        <v>241</v>
      </c>
      <c r="F8237">
        <v>145.18</v>
      </c>
      <c r="G8237">
        <v>230814</v>
      </c>
      <c r="H8237">
        <v>4510</v>
      </c>
      <c r="I8237" t="s">
        <v>42</v>
      </c>
      <c r="J8237">
        <v>159.69999999999999</v>
      </c>
      <c r="K8237">
        <v>14.52</v>
      </c>
      <c r="L8237">
        <v>17808</v>
      </c>
      <c r="M8237" t="s">
        <v>322</v>
      </c>
      <c r="N8237" t="str">
        <f>"3905570     "</f>
        <v xml:space="preserve">3905570     </v>
      </c>
      <c r="O8237">
        <v>230822</v>
      </c>
    </row>
    <row r="8238" spans="1:15" x14ac:dyDescent="0.25">
      <c r="A8238" t="s">
        <v>16</v>
      </c>
      <c r="B8238" t="s">
        <v>3221</v>
      </c>
      <c r="C8238">
        <v>10717</v>
      </c>
      <c r="D8238" t="s">
        <v>240</v>
      </c>
      <c r="E8238" t="s">
        <v>241</v>
      </c>
      <c r="F8238">
        <v>3295.25</v>
      </c>
      <c r="G8238">
        <v>230807</v>
      </c>
      <c r="H8238">
        <v>4510</v>
      </c>
      <c r="I8238" t="s">
        <v>42</v>
      </c>
      <c r="J8238">
        <v>3624.78</v>
      </c>
      <c r="K8238">
        <v>329.53</v>
      </c>
      <c r="L8238">
        <v>13402</v>
      </c>
      <c r="M8238" t="s">
        <v>242</v>
      </c>
      <c r="N8238" t="str">
        <f>"14429       "</f>
        <v xml:space="preserve">14429       </v>
      </c>
      <c r="O8238">
        <v>230822</v>
      </c>
    </row>
    <row r="8239" spans="1:15" x14ac:dyDescent="0.25">
      <c r="A8239" t="s">
        <v>16</v>
      </c>
      <c r="B8239" t="s">
        <v>3221</v>
      </c>
      <c r="C8239">
        <v>10727</v>
      </c>
      <c r="D8239" t="s">
        <v>240</v>
      </c>
      <c r="E8239" t="s">
        <v>241</v>
      </c>
      <c r="F8239">
        <v>384.54</v>
      </c>
      <c r="G8239">
        <v>230814</v>
      </c>
      <c r="H8239">
        <v>4510</v>
      </c>
      <c r="I8239" t="s">
        <v>42</v>
      </c>
      <c r="J8239">
        <v>422.99</v>
      </c>
      <c r="K8239">
        <v>38.450000000000003</v>
      </c>
      <c r="L8239">
        <v>13402</v>
      </c>
      <c r="M8239" t="s">
        <v>242</v>
      </c>
      <c r="N8239" t="str">
        <f>"14784       "</f>
        <v xml:space="preserve">14784       </v>
      </c>
      <c r="O8239">
        <v>230822</v>
      </c>
    </row>
    <row r="8240" spans="1:15" x14ac:dyDescent="0.25">
      <c r="A8240" t="s">
        <v>16</v>
      </c>
      <c r="B8240" t="s">
        <v>3221</v>
      </c>
      <c r="C8240">
        <v>10973</v>
      </c>
      <c r="D8240" t="s">
        <v>240</v>
      </c>
      <c r="E8240" t="s">
        <v>241</v>
      </c>
      <c r="F8240">
        <v>133.12</v>
      </c>
      <c r="G8240">
        <v>230814</v>
      </c>
      <c r="H8240">
        <v>4510</v>
      </c>
      <c r="I8240" t="s">
        <v>42</v>
      </c>
      <c r="J8240">
        <v>146.43</v>
      </c>
      <c r="K8240">
        <v>13.31</v>
      </c>
      <c r="L8240">
        <v>43222</v>
      </c>
      <c r="M8240" t="s">
        <v>507</v>
      </c>
      <c r="N8240" t="str">
        <f t="shared" ref="N8240:N8246" si="161">"14782       "</f>
        <v xml:space="preserve">14782       </v>
      </c>
      <c r="O8240">
        <v>230825</v>
      </c>
    </row>
    <row r="8241" spans="1:15" x14ac:dyDescent="0.25">
      <c r="A8241" t="s">
        <v>16</v>
      </c>
      <c r="B8241" t="s">
        <v>3221</v>
      </c>
      <c r="C8241">
        <v>10973</v>
      </c>
      <c r="D8241" t="s">
        <v>240</v>
      </c>
      <c r="E8241" t="s">
        <v>241</v>
      </c>
      <c r="F8241">
        <v>296.36</v>
      </c>
      <c r="G8241">
        <v>230814</v>
      </c>
      <c r="H8241">
        <v>4510</v>
      </c>
      <c r="I8241" t="s">
        <v>42</v>
      </c>
      <c r="J8241">
        <v>326</v>
      </c>
      <c r="K8241">
        <v>29.64</v>
      </c>
      <c r="L8241">
        <v>44422</v>
      </c>
      <c r="M8241" t="s">
        <v>482</v>
      </c>
      <c r="N8241" t="str">
        <f t="shared" si="161"/>
        <v xml:space="preserve">14782       </v>
      </c>
      <c r="O8241">
        <v>230825</v>
      </c>
    </row>
    <row r="8242" spans="1:15" x14ac:dyDescent="0.25">
      <c r="A8242" t="s">
        <v>16</v>
      </c>
      <c r="B8242" t="s">
        <v>3221</v>
      </c>
      <c r="C8242">
        <v>10973</v>
      </c>
      <c r="D8242" t="s">
        <v>240</v>
      </c>
      <c r="E8242" t="s">
        <v>241</v>
      </c>
      <c r="F8242">
        <v>49.39</v>
      </c>
      <c r="G8242">
        <v>230814</v>
      </c>
      <c r="H8242">
        <v>4510</v>
      </c>
      <c r="I8242" t="s">
        <v>42</v>
      </c>
      <c r="J8242">
        <v>54.33</v>
      </c>
      <c r="K8242">
        <v>4.9400000000000004</v>
      </c>
      <c r="L8242">
        <v>44423</v>
      </c>
      <c r="M8242" t="s">
        <v>502</v>
      </c>
      <c r="N8242" t="str">
        <f t="shared" si="161"/>
        <v xml:space="preserve">14782       </v>
      </c>
      <c r="O8242">
        <v>230825</v>
      </c>
    </row>
    <row r="8243" spans="1:15" x14ac:dyDescent="0.25">
      <c r="A8243" t="s">
        <v>16</v>
      </c>
      <c r="B8243" t="s">
        <v>3221</v>
      </c>
      <c r="C8243">
        <v>10973</v>
      </c>
      <c r="D8243" t="s">
        <v>240</v>
      </c>
      <c r="E8243" t="s">
        <v>241</v>
      </c>
      <c r="F8243">
        <v>540.15</v>
      </c>
      <c r="G8243">
        <v>230814</v>
      </c>
      <c r="H8243">
        <v>4510</v>
      </c>
      <c r="I8243" t="s">
        <v>42</v>
      </c>
      <c r="J8243">
        <v>594.16999999999996</v>
      </c>
      <c r="K8243">
        <v>54.02</v>
      </c>
      <c r="L8243">
        <v>46554</v>
      </c>
      <c r="M8243" t="s">
        <v>117</v>
      </c>
      <c r="N8243" t="str">
        <f t="shared" si="161"/>
        <v xml:space="preserve">14782       </v>
      </c>
      <c r="O8243">
        <v>230825</v>
      </c>
    </row>
    <row r="8244" spans="1:15" x14ac:dyDescent="0.25">
      <c r="A8244" t="s">
        <v>16</v>
      </c>
      <c r="B8244" t="s">
        <v>3221</v>
      </c>
      <c r="C8244">
        <v>10973</v>
      </c>
      <c r="D8244" t="s">
        <v>240</v>
      </c>
      <c r="E8244" t="s">
        <v>241</v>
      </c>
      <c r="F8244">
        <v>450.12</v>
      </c>
      <c r="G8244">
        <v>230814</v>
      </c>
      <c r="H8244">
        <v>4510</v>
      </c>
      <c r="I8244" t="s">
        <v>42</v>
      </c>
      <c r="J8244">
        <v>495.13</v>
      </c>
      <c r="K8244">
        <v>45.01</v>
      </c>
      <c r="L8244">
        <v>46555</v>
      </c>
      <c r="M8244" t="s">
        <v>597</v>
      </c>
      <c r="N8244" t="str">
        <f t="shared" si="161"/>
        <v xml:space="preserve">14782       </v>
      </c>
      <c r="O8244">
        <v>230825</v>
      </c>
    </row>
    <row r="8245" spans="1:15" x14ac:dyDescent="0.25">
      <c r="A8245" t="s">
        <v>16</v>
      </c>
      <c r="B8245" t="s">
        <v>3221</v>
      </c>
      <c r="C8245">
        <v>10973</v>
      </c>
      <c r="D8245" t="s">
        <v>240</v>
      </c>
      <c r="E8245" t="s">
        <v>241</v>
      </c>
      <c r="F8245">
        <v>38.04</v>
      </c>
      <c r="G8245">
        <v>230814</v>
      </c>
      <c r="H8245">
        <v>4510</v>
      </c>
      <c r="I8245" t="s">
        <v>42</v>
      </c>
      <c r="J8245">
        <v>41.84</v>
      </c>
      <c r="K8245">
        <v>3.8</v>
      </c>
      <c r="L8245">
        <v>46556</v>
      </c>
      <c r="M8245" t="s">
        <v>125</v>
      </c>
      <c r="N8245" t="str">
        <f t="shared" si="161"/>
        <v xml:space="preserve">14782       </v>
      </c>
      <c r="O8245">
        <v>230825</v>
      </c>
    </row>
    <row r="8246" spans="1:15" x14ac:dyDescent="0.25">
      <c r="A8246" t="s">
        <v>16</v>
      </c>
      <c r="B8246" t="s">
        <v>3221</v>
      </c>
      <c r="C8246">
        <v>10973</v>
      </c>
      <c r="D8246" t="s">
        <v>240</v>
      </c>
      <c r="E8246" t="s">
        <v>241</v>
      </c>
      <c r="F8246">
        <v>76.069999999999993</v>
      </c>
      <c r="G8246">
        <v>230814</v>
      </c>
      <c r="H8246">
        <v>4510</v>
      </c>
      <c r="I8246" t="s">
        <v>42</v>
      </c>
      <c r="J8246">
        <v>83.68</v>
      </c>
      <c r="K8246">
        <v>7.61</v>
      </c>
      <c r="L8246">
        <v>46557</v>
      </c>
      <c r="M8246" t="s">
        <v>221</v>
      </c>
      <c r="N8246" t="str">
        <f t="shared" si="161"/>
        <v xml:space="preserve">14782       </v>
      </c>
      <c r="O8246">
        <v>230825</v>
      </c>
    </row>
    <row r="8247" spans="1:15" x14ac:dyDescent="0.25">
      <c r="A8247" t="s">
        <v>16</v>
      </c>
      <c r="B8247" t="s">
        <v>3221</v>
      </c>
      <c r="C8247">
        <v>10993</v>
      </c>
      <c r="D8247" t="s">
        <v>240</v>
      </c>
      <c r="E8247" t="s">
        <v>241</v>
      </c>
      <c r="F8247">
        <v>1323.18</v>
      </c>
      <c r="G8247">
        <v>230807</v>
      </c>
      <c r="H8247">
        <v>4510</v>
      </c>
      <c r="I8247" t="s">
        <v>42</v>
      </c>
      <c r="J8247">
        <v>1455.5</v>
      </c>
      <c r="K8247">
        <v>132.32</v>
      </c>
      <c r="L8247">
        <v>13502</v>
      </c>
      <c r="M8247" t="s">
        <v>243</v>
      </c>
      <c r="N8247" t="str">
        <f>"14428       "</f>
        <v xml:space="preserve">14428       </v>
      </c>
      <c r="O8247">
        <v>230828</v>
      </c>
    </row>
    <row r="8248" spans="1:15" x14ac:dyDescent="0.25">
      <c r="A8248" t="s">
        <v>16</v>
      </c>
      <c r="B8248" t="s">
        <v>3221</v>
      </c>
      <c r="C8248">
        <v>10996</v>
      </c>
      <c r="D8248" t="s">
        <v>240</v>
      </c>
      <c r="E8248" t="s">
        <v>241</v>
      </c>
      <c r="F8248">
        <v>299.52999999999997</v>
      </c>
      <c r="G8248">
        <v>230814</v>
      </c>
      <c r="H8248">
        <v>4510</v>
      </c>
      <c r="I8248" t="s">
        <v>42</v>
      </c>
      <c r="J8248">
        <v>329.48</v>
      </c>
      <c r="K8248">
        <v>29.95</v>
      </c>
      <c r="L8248">
        <v>13502</v>
      </c>
      <c r="M8248" t="s">
        <v>243</v>
      </c>
      <c r="N8248" t="str">
        <f>"14783       "</f>
        <v xml:space="preserve">14783       </v>
      </c>
      <c r="O8248">
        <v>230828</v>
      </c>
    </row>
    <row r="8249" spans="1:15" x14ac:dyDescent="0.25">
      <c r="A8249" t="s">
        <v>16</v>
      </c>
      <c r="B8249" t="s">
        <v>3221</v>
      </c>
      <c r="C8249">
        <v>11032</v>
      </c>
      <c r="D8249" t="s">
        <v>240</v>
      </c>
      <c r="E8249" t="s">
        <v>241</v>
      </c>
      <c r="F8249">
        <v>39.130000000000003</v>
      </c>
      <c r="G8249">
        <v>230821</v>
      </c>
      <c r="H8249">
        <v>4510</v>
      </c>
      <c r="I8249" t="s">
        <v>42</v>
      </c>
      <c r="J8249">
        <v>43.04</v>
      </c>
      <c r="K8249">
        <v>3.91</v>
      </c>
      <c r="L8249">
        <v>16322</v>
      </c>
      <c r="M8249" t="s">
        <v>22</v>
      </c>
      <c r="N8249" t="str">
        <f>"15101       "</f>
        <v xml:space="preserve">15101       </v>
      </c>
      <c r="O8249">
        <v>230828</v>
      </c>
    </row>
    <row r="8250" spans="1:15" x14ac:dyDescent="0.25">
      <c r="A8250" t="s">
        <v>16</v>
      </c>
      <c r="B8250" t="s">
        <v>3221</v>
      </c>
      <c r="C8250">
        <v>11123</v>
      </c>
      <c r="D8250" t="s">
        <v>240</v>
      </c>
      <c r="E8250" t="s">
        <v>241</v>
      </c>
      <c r="F8250">
        <v>52.72</v>
      </c>
      <c r="G8250">
        <v>230828</v>
      </c>
      <c r="H8250">
        <v>4510</v>
      </c>
      <c r="I8250" t="s">
        <v>42</v>
      </c>
      <c r="J8250">
        <v>57.99</v>
      </c>
      <c r="K8250">
        <v>5.27</v>
      </c>
      <c r="L8250">
        <v>17808</v>
      </c>
      <c r="M8250" t="s">
        <v>322</v>
      </c>
      <c r="N8250" t="str">
        <f>"15433       "</f>
        <v xml:space="preserve">15433       </v>
      </c>
      <c r="O8250">
        <v>230830</v>
      </c>
    </row>
    <row r="8251" spans="1:15" x14ac:dyDescent="0.25">
      <c r="A8251" t="s">
        <v>16</v>
      </c>
      <c r="B8251" t="s">
        <v>3221</v>
      </c>
      <c r="C8251">
        <v>11123</v>
      </c>
      <c r="D8251" t="s">
        <v>240</v>
      </c>
      <c r="E8251" t="s">
        <v>241</v>
      </c>
      <c r="F8251">
        <v>440.33</v>
      </c>
      <c r="G8251">
        <v>230828</v>
      </c>
      <c r="H8251">
        <v>4510</v>
      </c>
      <c r="I8251" t="s">
        <v>42</v>
      </c>
      <c r="J8251">
        <v>484.36</v>
      </c>
      <c r="K8251">
        <v>44.03</v>
      </c>
      <c r="L8251">
        <v>17808</v>
      </c>
      <c r="M8251" t="s">
        <v>322</v>
      </c>
      <c r="N8251" t="str">
        <f>"15433       "</f>
        <v xml:space="preserve">15433       </v>
      </c>
      <c r="O8251">
        <v>230830</v>
      </c>
    </row>
    <row r="8252" spans="1:15" x14ac:dyDescent="0.25">
      <c r="A8252" t="s">
        <v>16</v>
      </c>
      <c r="B8252" t="s">
        <v>3221</v>
      </c>
      <c r="C8252">
        <v>11124</v>
      </c>
      <c r="D8252" t="s">
        <v>240</v>
      </c>
      <c r="E8252" t="s">
        <v>241</v>
      </c>
      <c r="F8252">
        <v>1165.07</v>
      </c>
      <c r="G8252">
        <v>230828</v>
      </c>
      <c r="H8252">
        <v>4510</v>
      </c>
      <c r="I8252" t="s">
        <v>42</v>
      </c>
      <c r="J8252">
        <v>1281.58</v>
      </c>
      <c r="K8252">
        <v>116.51</v>
      </c>
      <c r="L8252">
        <v>66756</v>
      </c>
      <c r="M8252" t="s">
        <v>209</v>
      </c>
      <c r="N8252" t="str">
        <f>"15434       "</f>
        <v xml:space="preserve">15434       </v>
      </c>
      <c r="O8252">
        <v>230830</v>
      </c>
    </row>
    <row r="8253" spans="1:15" x14ac:dyDescent="0.25">
      <c r="A8253" t="s">
        <v>16</v>
      </c>
      <c r="B8253" t="s">
        <v>3221</v>
      </c>
      <c r="C8253">
        <v>11153</v>
      </c>
      <c r="D8253" t="s">
        <v>240</v>
      </c>
      <c r="E8253" t="s">
        <v>241</v>
      </c>
      <c r="F8253">
        <v>118.54</v>
      </c>
      <c r="G8253">
        <v>230821</v>
      </c>
      <c r="H8253">
        <v>4510</v>
      </c>
      <c r="I8253" t="s">
        <v>42</v>
      </c>
      <c r="J8253">
        <v>130.38999999999999</v>
      </c>
      <c r="K8253">
        <v>11.85</v>
      </c>
      <c r="L8253">
        <v>55222</v>
      </c>
      <c r="M8253" t="s">
        <v>873</v>
      </c>
      <c r="N8253" t="str">
        <f>"15103       "</f>
        <v xml:space="preserve">15103       </v>
      </c>
      <c r="O8253">
        <v>230830</v>
      </c>
    </row>
    <row r="8254" spans="1:15" x14ac:dyDescent="0.25">
      <c r="A8254" t="s">
        <v>16</v>
      </c>
      <c r="B8254" t="s">
        <v>3221</v>
      </c>
      <c r="C8254">
        <v>11154</v>
      </c>
      <c r="D8254" t="s">
        <v>240</v>
      </c>
      <c r="E8254" t="s">
        <v>241</v>
      </c>
      <c r="F8254">
        <v>60.62</v>
      </c>
      <c r="G8254">
        <v>230828</v>
      </c>
      <c r="H8254">
        <v>4510</v>
      </c>
      <c r="I8254" t="s">
        <v>42</v>
      </c>
      <c r="J8254">
        <v>66.680000000000007</v>
      </c>
      <c r="K8254">
        <v>6.06</v>
      </c>
      <c r="L8254">
        <v>55222</v>
      </c>
      <c r="M8254" t="s">
        <v>873</v>
      </c>
      <c r="N8254" t="str">
        <f>"15435       "</f>
        <v xml:space="preserve">15435       </v>
      </c>
      <c r="O8254">
        <v>230830</v>
      </c>
    </row>
    <row r="8255" spans="1:15" x14ac:dyDescent="0.25">
      <c r="A8255" t="s">
        <v>16</v>
      </c>
      <c r="B8255" t="s">
        <v>3221</v>
      </c>
      <c r="C8255">
        <v>11192</v>
      </c>
      <c r="D8255" t="s">
        <v>240</v>
      </c>
      <c r="E8255" t="s">
        <v>241</v>
      </c>
      <c r="F8255">
        <v>251.95</v>
      </c>
      <c r="G8255">
        <v>230814</v>
      </c>
      <c r="H8255">
        <v>4510</v>
      </c>
      <c r="I8255" t="s">
        <v>42</v>
      </c>
      <c r="J8255">
        <v>277.14</v>
      </c>
      <c r="K8255">
        <v>25.19</v>
      </c>
      <c r="L8255">
        <v>55222</v>
      </c>
      <c r="M8255" t="s">
        <v>873</v>
      </c>
      <c r="N8255" t="str">
        <f>"14781       "</f>
        <v xml:space="preserve">14781       </v>
      </c>
      <c r="O8255">
        <v>230831</v>
      </c>
    </row>
    <row r="8256" spans="1:15" x14ac:dyDescent="0.25">
      <c r="A8256" t="s">
        <v>16</v>
      </c>
      <c r="B8256" t="s">
        <v>3221</v>
      </c>
      <c r="C8256">
        <v>11197</v>
      </c>
      <c r="D8256" t="s">
        <v>240</v>
      </c>
      <c r="E8256" t="s">
        <v>241</v>
      </c>
      <c r="F8256">
        <v>881.96</v>
      </c>
      <c r="G8256">
        <v>230821</v>
      </c>
      <c r="H8256">
        <v>4510</v>
      </c>
      <c r="I8256" t="s">
        <v>42</v>
      </c>
      <c r="J8256">
        <v>970.16</v>
      </c>
      <c r="K8256">
        <v>88.2</v>
      </c>
      <c r="L8256">
        <v>13502</v>
      </c>
      <c r="M8256" t="s">
        <v>243</v>
      </c>
      <c r="N8256" t="str">
        <f>"15106       "</f>
        <v xml:space="preserve">15106       </v>
      </c>
      <c r="O8256">
        <v>230831</v>
      </c>
    </row>
    <row r="8257" spans="1:15" x14ac:dyDescent="0.25">
      <c r="A8257" t="s">
        <v>16</v>
      </c>
      <c r="B8257" t="s">
        <v>3221</v>
      </c>
      <c r="C8257">
        <v>11257</v>
      </c>
      <c r="D8257" t="s">
        <v>240</v>
      </c>
      <c r="E8257" t="s">
        <v>241</v>
      </c>
      <c r="F8257">
        <v>2326.41</v>
      </c>
      <c r="G8257">
        <v>230828</v>
      </c>
      <c r="H8257">
        <v>4510</v>
      </c>
      <c r="I8257" t="s">
        <v>42</v>
      </c>
      <c r="J8257">
        <v>2559.0500000000002</v>
      </c>
      <c r="K8257">
        <v>232.64</v>
      </c>
      <c r="L8257">
        <v>13502</v>
      </c>
      <c r="M8257" t="s">
        <v>243</v>
      </c>
      <c r="N8257" t="str">
        <f>"15437       "</f>
        <v xml:space="preserve">15437       </v>
      </c>
      <c r="O8257">
        <v>230904</v>
      </c>
    </row>
    <row r="8258" spans="1:15" x14ac:dyDescent="0.25">
      <c r="A8258" t="s">
        <v>16</v>
      </c>
      <c r="B8258" t="s">
        <v>3221</v>
      </c>
      <c r="C8258">
        <v>11342</v>
      </c>
      <c r="D8258" t="s">
        <v>240</v>
      </c>
      <c r="E8258" t="s">
        <v>241</v>
      </c>
      <c r="F8258">
        <v>145.44</v>
      </c>
      <c r="G8258">
        <v>230821</v>
      </c>
      <c r="H8258">
        <v>4510</v>
      </c>
      <c r="I8258" t="s">
        <v>42</v>
      </c>
      <c r="J8258">
        <v>159.97999999999999</v>
      </c>
      <c r="K8258">
        <v>14.54</v>
      </c>
      <c r="L8258">
        <v>17530</v>
      </c>
      <c r="M8258" t="s">
        <v>454</v>
      </c>
      <c r="N8258" t="str">
        <f>"15102       "</f>
        <v xml:space="preserve">15102       </v>
      </c>
      <c r="O8258">
        <v>230904</v>
      </c>
    </row>
    <row r="8259" spans="1:15" x14ac:dyDescent="0.25">
      <c r="A8259" t="s">
        <v>16</v>
      </c>
      <c r="B8259" t="s">
        <v>3221</v>
      </c>
      <c r="C8259">
        <v>11579</v>
      </c>
      <c r="D8259" t="s">
        <v>240</v>
      </c>
      <c r="E8259" t="s">
        <v>241</v>
      </c>
      <c r="F8259">
        <v>470.62</v>
      </c>
      <c r="G8259">
        <v>230821</v>
      </c>
      <c r="H8259">
        <v>4510</v>
      </c>
      <c r="I8259" t="s">
        <v>42</v>
      </c>
      <c r="J8259">
        <v>517.67999999999995</v>
      </c>
      <c r="K8259">
        <v>47.06</v>
      </c>
      <c r="L8259">
        <v>13402</v>
      </c>
      <c r="M8259" t="s">
        <v>242</v>
      </c>
      <c r="N8259" t="str">
        <f>"15107       "</f>
        <v xml:space="preserve">15107       </v>
      </c>
      <c r="O8259">
        <v>230907</v>
      </c>
    </row>
    <row r="8260" spans="1:15" x14ac:dyDescent="0.25">
      <c r="A8260" t="s">
        <v>16</v>
      </c>
      <c r="B8260" t="s">
        <v>3221</v>
      </c>
      <c r="C8260">
        <v>11591</v>
      </c>
      <c r="D8260" t="s">
        <v>240</v>
      </c>
      <c r="E8260" t="s">
        <v>241</v>
      </c>
      <c r="F8260">
        <v>1072.3699999999999</v>
      </c>
      <c r="G8260">
        <v>230828</v>
      </c>
      <c r="H8260">
        <v>4510</v>
      </c>
      <c r="I8260" t="s">
        <v>42</v>
      </c>
      <c r="J8260">
        <v>1179.6099999999999</v>
      </c>
      <c r="K8260">
        <v>107.24</v>
      </c>
      <c r="L8260">
        <v>13402</v>
      </c>
      <c r="M8260" t="s">
        <v>242</v>
      </c>
      <c r="N8260" t="str">
        <f>"15438       "</f>
        <v xml:space="preserve">15438       </v>
      </c>
      <c r="O8260">
        <v>230907</v>
      </c>
    </row>
    <row r="8261" spans="1:15" x14ac:dyDescent="0.25">
      <c r="A8261" t="s">
        <v>16</v>
      </c>
      <c r="B8261" t="s">
        <v>3221</v>
      </c>
      <c r="C8261">
        <v>11836</v>
      </c>
      <c r="D8261" t="s">
        <v>240</v>
      </c>
      <c r="E8261" t="s">
        <v>241</v>
      </c>
      <c r="F8261">
        <v>74.91</v>
      </c>
      <c r="G8261">
        <v>230807</v>
      </c>
      <c r="H8261">
        <v>4510</v>
      </c>
      <c r="I8261" t="s">
        <v>42</v>
      </c>
      <c r="J8261">
        <v>82.4</v>
      </c>
      <c r="K8261">
        <v>7.49</v>
      </c>
      <c r="L8261">
        <v>53222</v>
      </c>
      <c r="M8261" t="s">
        <v>445</v>
      </c>
      <c r="N8261" t="str">
        <f>"14425       "</f>
        <v xml:space="preserve">14425       </v>
      </c>
      <c r="O8261">
        <v>230911</v>
      </c>
    </row>
    <row r="8262" spans="1:15" x14ac:dyDescent="0.25">
      <c r="A8262" t="s">
        <v>16</v>
      </c>
      <c r="B8262" t="s">
        <v>3221</v>
      </c>
      <c r="C8262">
        <v>11836</v>
      </c>
      <c r="D8262" t="s">
        <v>240</v>
      </c>
      <c r="E8262" t="s">
        <v>241</v>
      </c>
      <c r="F8262">
        <v>94.97</v>
      </c>
      <c r="G8262">
        <v>230807</v>
      </c>
      <c r="H8262">
        <v>4510</v>
      </c>
      <c r="I8262" t="s">
        <v>42</v>
      </c>
      <c r="J8262">
        <v>104.47</v>
      </c>
      <c r="K8262">
        <v>9.5</v>
      </c>
      <c r="L8262">
        <v>55222</v>
      </c>
      <c r="M8262" t="s">
        <v>873</v>
      </c>
      <c r="N8262" t="str">
        <f>"14425       "</f>
        <v xml:space="preserve">14425       </v>
      </c>
      <c r="O8262">
        <v>230911</v>
      </c>
    </row>
    <row r="8263" spans="1:15" x14ac:dyDescent="0.25">
      <c r="A8263" t="s">
        <v>16</v>
      </c>
      <c r="B8263" t="s">
        <v>3221</v>
      </c>
      <c r="C8263">
        <v>11946</v>
      </c>
      <c r="D8263" t="s">
        <v>240</v>
      </c>
      <c r="E8263" t="s">
        <v>241</v>
      </c>
      <c r="F8263">
        <v>13.08</v>
      </c>
      <c r="G8263">
        <v>230821</v>
      </c>
      <c r="H8263">
        <v>4510</v>
      </c>
      <c r="I8263" t="s">
        <v>42</v>
      </c>
      <c r="J8263">
        <v>14.39</v>
      </c>
      <c r="K8263">
        <v>1.31</v>
      </c>
      <c r="L8263">
        <v>43222</v>
      </c>
      <c r="M8263" t="s">
        <v>507</v>
      </c>
      <c r="N8263" t="str">
        <f>"15104       "</f>
        <v xml:space="preserve">15104       </v>
      </c>
      <c r="O8263">
        <v>230912</v>
      </c>
    </row>
    <row r="8264" spans="1:15" x14ac:dyDescent="0.25">
      <c r="A8264" t="s">
        <v>16</v>
      </c>
      <c r="B8264" t="s">
        <v>3221</v>
      </c>
      <c r="C8264">
        <v>11946</v>
      </c>
      <c r="D8264" t="s">
        <v>240</v>
      </c>
      <c r="E8264" t="s">
        <v>241</v>
      </c>
      <c r="F8264">
        <v>49.39</v>
      </c>
      <c r="G8264">
        <v>230821</v>
      </c>
      <c r="H8264">
        <v>4510</v>
      </c>
      <c r="I8264" t="s">
        <v>42</v>
      </c>
      <c r="J8264">
        <v>54.33</v>
      </c>
      <c r="K8264">
        <v>4.9400000000000004</v>
      </c>
      <c r="L8264">
        <v>44422</v>
      </c>
      <c r="M8264" t="s">
        <v>482</v>
      </c>
      <c r="N8264" t="str">
        <f>"15104       "</f>
        <v xml:space="preserve">15104       </v>
      </c>
      <c r="O8264">
        <v>230912</v>
      </c>
    </row>
    <row r="8265" spans="1:15" x14ac:dyDescent="0.25">
      <c r="A8265" t="s">
        <v>16</v>
      </c>
      <c r="B8265" t="s">
        <v>3221</v>
      </c>
      <c r="C8265">
        <v>11946</v>
      </c>
      <c r="D8265" t="s">
        <v>240</v>
      </c>
      <c r="E8265" t="s">
        <v>241</v>
      </c>
      <c r="F8265">
        <v>45.01</v>
      </c>
      <c r="G8265">
        <v>230821</v>
      </c>
      <c r="H8265">
        <v>4510</v>
      </c>
      <c r="I8265" t="s">
        <v>42</v>
      </c>
      <c r="J8265">
        <v>49.51</v>
      </c>
      <c r="K8265">
        <v>4.5</v>
      </c>
      <c r="L8265">
        <v>46555</v>
      </c>
      <c r="M8265" t="s">
        <v>597</v>
      </c>
      <c r="N8265" t="str">
        <f>"15104       "</f>
        <v xml:space="preserve">15104       </v>
      </c>
      <c r="O8265">
        <v>230912</v>
      </c>
    </row>
    <row r="8266" spans="1:15" x14ac:dyDescent="0.25">
      <c r="A8266" t="s">
        <v>16</v>
      </c>
      <c r="B8266" t="s">
        <v>3221</v>
      </c>
      <c r="C8266">
        <v>11946</v>
      </c>
      <c r="D8266" t="s">
        <v>240</v>
      </c>
      <c r="E8266" t="s">
        <v>241</v>
      </c>
      <c r="F8266">
        <v>19.02</v>
      </c>
      <c r="G8266">
        <v>230821</v>
      </c>
      <c r="H8266">
        <v>4510</v>
      </c>
      <c r="I8266" t="s">
        <v>42</v>
      </c>
      <c r="J8266">
        <v>20.92</v>
      </c>
      <c r="K8266">
        <v>1.9</v>
      </c>
      <c r="L8266">
        <v>46556</v>
      </c>
      <c r="M8266" t="s">
        <v>125</v>
      </c>
      <c r="N8266" t="str">
        <f>"15104       "</f>
        <v xml:space="preserve">15104       </v>
      </c>
      <c r="O8266">
        <v>230912</v>
      </c>
    </row>
    <row r="8267" spans="1:15" x14ac:dyDescent="0.25">
      <c r="A8267" t="s">
        <v>16</v>
      </c>
      <c r="B8267" t="s">
        <v>3221</v>
      </c>
      <c r="C8267">
        <v>11946</v>
      </c>
      <c r="D8267" t="s">
        <v>240</v>
      </c>
      <c r="E8267" t="s">
        <v>241</v>
      </c>
      <c r="F8267">
        <v>13.08</v>
      </c>
      <c r="G8267">
        <v>230821</v>
      </c>
      <c r="H8267">
        <v>4510</v>
      </c>
      <c r="I8267" t="s">
        <v>42</v>
      </c>
      <c r="J8267">
        <v>14.39</v>
      </c>
      <c r="K8267">
        <v>1.31</v>
      </c>
      <c r="L8267">
        <v>46557</v>
      </c>
      <c r="M8267" t="s">
        <v>221</v>
      </c>
      <c r="N8267" t="str">
        <f>"15104       "</f>
        <v xml:space="preserve">15104       </v>
      </c>
      <c r="O8267">
        <v>230912</v>
      </c>
    </row>
    <row r="8268" spans="1:15" x14ac:dyDescent="0.25">
      <c r="A8268" t="s">
        <v>16</v>
      </c>
      <c r="B8268" t="s">
        <v>3221</v>
      </c>
      <c r="C8268">
        <v>11996</v>
      </c>
      <c r="D8268" t="s">
        <v>240</v>
      </c>
      <c r="E8268" t="s">
        <v>241</v>
      </c>
      <c r="F8268">
        <v>39.94</v>
      </c>
      <c r="G8268">
        <v>230828</v>
      </c>
      <c r="H8268">
        <v>4510</v>
      </c>
      <c r="I8268" t="s">
        <v>42</v>
      </c>
      <c r="J8268">
        <v>43.93</v>
      </c>
      <c r="K8268">
        <v>3.99</v>
      </c>
      <c r="L8268">
        <v>43222</v>
      </c>
      <c r="M8268" t="s">
        <v>507</v>
      </c>
      <c r="N8268" t="str">
        <f>"15436       "</f>
        <v xml:space="preserve">15436       </v>
      </c>
      <c r="O8268">
        <v>230912</v>
      </c>
    </row>
    <row r="8269" spans="1:15" x14ac:dyDescent="0.25">
      <c r="A8269" t="s">
        <v>16</v>
      </c>
      <c r="B8269" t="s">
        <v>3221</v>
      </c>
      <c r="C8269">
        <v>11996</v>
      </c>
      <c r="D8269" t="s">
        <v>240</v>
      </c>
      <c r="E8269" t="s">
        <v>241</v>
      </c>
      <c r="F8269">
        <v>47.72</v>
      </c>
      <c r="G8269">
        <v>230828</v>
      </c>
      <c r="H8269">
        <v>4510</v>
      </c>
      <c r="I8269" t="s">
        <v>42</v>
      </c>
      <c r="J8269">
        <v>52.49</v>
      </c>
      <c r="K8269">
        <v>4.7699999999999996</v>
      </c>
      <c r="L8269">
        <v>44222</v>
      </c>
      <c r="M8269" t="s">
        <v>232</v>
      </c>
      <c r="N8269" t="str">
        <f>"15436       "</f>
        <v xml:space="preserve">15436       </v>
      </c>
      <c r="O8269">
        <v>230912</v>
      </c>
    </row>
    <row r="8270" spans="1:15" x14ac:dyDescent="0.25">
      <c r="A8270" t="s">
        <v>16</v>
      </c>
      <c r="B8270" t="s">
        <v>3221</v>
      </c>
      <c r="C8270">
        <v>11996</v>
      </c>
      <c r="D8270" t="s">
        <v>240</v>
      </c>
      <c r="E8270" t="s">
        <v>241</v>
      </c>
      <c r="F8270">
        <v>50.17</v>
      </c>
      <c r="G8270">
        <v>230828</v>
      </c>
      <c r="H8270">
        <v>4510</v>
      </c>
      <c r="I8270" t="s">
        <v>42</v>
      </c>
      <c r="J8270">
        <v>55.19</v>
      </c>
      <c r="K8270">
        <v>5.0199999999999996</v>
      </c>
      <c r="L8270">
        <v>46557</v>
      </c>
      <c r="M8270" t="s">
        <v>221</v>
      </c>
      <c r="N8270" t="str">
        <f>"15436       "</f>
        <v xml:space="preserve">15436       </v>
      </c>
      <c r="O8270">
        <v>230912</v>
      </c>
    </row>
    <row r="8271" spans="1:15" x14ac:dyDescent="0.25">
      <c r="A8271" t="s">
        <v>16</v>
      </c>
      <c r="B8271" t="s">
        <v>3221</v>
      </c>
      <c r="C8271">
        <v>12010</v>
      </c>
      <c r="D8271" t="s">
        <v>240</v>
      </c>
      <c r="E8271" t="s">
        <v>241</v>
      </c>
      <c r="F8271">
        <v>49.39</v>
      </c>
      <c r="G8271">
        <v>230831</v>
      </c>
      <c r="H8271">
        <v>4510</v>
      </c>
      <c r="I8271" t="s">
        <v>42</v>
      </c>
      <c r="J8271">
        <v>54.33</v>
      </c>
      <c r="K8271">
        <v>4.9400000000000004</v>
      </c>
      <c r="L8271">
        <v>44423</v>
      </c>
      <c r="M8271" t="s">
        <v>502</v>
      </c>
      <c r="N8271" t="str">
        <f>"15610       "</f>
        <v xml:space="preserve">15610       </v>
      </c>
      <c r="O8271">
        <v>230912</v>
      </c>
    </row>
    <row r="8272" spans="1:15" x14ac:dyDescent="0.25">
      <c r="A8272" t="s">
        <v>16</v>
      </c>
      <c r="B8272" t="s">
        <v>3221</v>
      </c>
      <c r="C8272">
        <v>12010</v>
      </c>
      <c r="D8272" t="s">
        <v>240</v>
      </c>
      <c r="E8272" t="s">
        <v>241</v>
      </c>
      <c r="F8272">
        <v>70.19</v>
      </c>
      <c r="G8272">
        <v>230831</v>
      </c>
      <c r="H8272">
        <v>4510</v>
      </c>
      <c r="I8272" t="s">
        <v>42</v>
      </c>
      <c r="J8272">
        <v>77.209999999999994</v>
      </c>
      <c r="K8272">
        <v>7.02</v>
      </c>
      <c r="L8272">
        <v>46556</v>
      </c>
      <c r="M8272" t="s">
        <v>125</v>
      </c>
      <c r="N8272" t="str">
        <f>"15610       "</f>
        <v xml:space="preserve">15610       </v>
      </c>
      <c r="O8272">
        <v>230912</v>
      </c>
    </row>
    <row r="8273" spans="1:15" x14ac:dyDescent="0.25">
      <c r="A8273" t="s">
        <v>16</v>
      </c>
      <c r="B8273" t="s">
        <v>3221</v>
      </c>
      <c r="C8273">
        <v>12010</v>
      </c>
      <c r="D8273" t="s">
        <v>240</v>
      </c>
      <c r="E8273" t="s">
        <v>241</v>
      </c>
      <c r="F8273">
        <v>19.02</v>
      </c>
      <c r="G8273">
        <v>230831</v>
      </c>
      <c r="H8273">
        <v>4510</v>
      </c>
      <c r="I8273" t="s">
        <v>42</v>
      </c>
      <c r="J8273">
        <v>20.92</v>
      </c>
      <c r="K8273">
        <v>1.9</v>
      </c>
      <c r="L8273">
        <v>46557</v>
      </c>
      <c r="M8273" t="s">
        <v>221</v>
      </c>
      <c r="N8273" t="str">
        <f>"15610       "</f>
        <v xml:space="preserve">15610       </v>
      </c>
      <c r="O8273">
        <v>230912</v>
      </c>
    </row>
    <row r="8274" spans="1:15" x14ac:dyDescent="0.25">
      <c r="A8274" t="s">
        <v>16</v>
      </c>
      <c r="B8274" t="s">
        <v>3221</v>
      </c>
      <c r="C8274">
        <v>12029</v>
      </c>
      <c r="D8274" t="s">
        <v>240</v>
      </c>
      <c r="E8274" t="s">
        <v>241</v>
      </c>
      <c r="F8274">
        <v>14.62</v>
      </c>
      <c r="G8274">
        <v>230911</v>
      </c>
      <c r="H8274">
        <v>4510</v>
      </c>
      <c r="I8274" t="s">
        <v>42</v>
      </c>
      <c r="J8274">
        <v>16.079999999999998</v>
      </c>
      <c r="K8274">
        <v>1.46</v>
      </c>
      <c r="L8274">
        <v>13502</v>
      </c>
      <c r="M8274" t="s">
        <v>243</v>
      </c>
      <c r="N8274" t="str">
        <f>"15804       "</f>
        <v xml:space="preserve">15804       </v>
      </c>
      <c r="O8274">
        <v>230912</v>
      </c>
    </row>
    <row r="8275" spans="1:15" x14ac:dyDescent="0.25">
      <c r="A8275" t="s">
        <v>16</v>
      </c>
      <c r="B8275" t="s">
        <v>3221</v>
      </c>
      <c r="C8275">
        <v>12144</v>
      </c>
      <c r="D8275" t="s">
        <v>240</v>
      </c>
      <c r="E8275" t="s">
        <v>241</v>
      </c>
      <c r="F8275">
        <v>753.69</v>
      </c>
      <c r="G8275">
        <v>230911</v>
      </c>
      <c r="H8275">
        <v>4510</v>
      </c>
      <c r="I8275" t="s">
        <v>42</v>
      </c>
      <c r="J8275">
        <v>829.06</v>
      </c>
      <c r="K8275">
        <v>75.37</v>
      </c>
      <c r="L8275">
        <v>14121</v>
      </c>
      <c r="M8275" t="s">
        <v>880</v>
      </c>
      <c r="N8275" t="str">
        <f>"15802       "</f>
        <v xml:space="preserve">15802       </v>
      </c>
      <c r="O8275">
        <v>230914</v>
      </c>
    </row>
    <row r="8276" spans="1:15" x14ac:dyDescent="0.25">
      <c r="A8276" t="s">
        <v>16</v>
      </c>
      <c r="B8276" t="s">
        <v>3221</v>
      </c>
      <c r="C8276">
        <v>12145</v>
      </c>
      <c r="D8276" t="s">
        <v>240</v>
      </c>
      <c r="E8276" t="s">
        <v>241</v>
      </c>
      <c r="F8276">
        <v>1470.38</v>
      </c>
      <c r="G8276">
        <v>230911</v>
      </c>
      <c r="H8276">
        <v>4510</v>
      </c>
      <c r="I8276" t="s">
        <v>42</v>
      </c>
      <c r="J8276">
        <v>1617.42</v>
      </c>
      <c r="K8276">
        <v>147.04</v>
      </c>
      <c r="L8276">
        <v>56560</v>
      </c>
      <c r="M8276" t="s">
        <v>654</v>
      </c>
      <c r="N8276" t="str">
        <f>"15803       "</f>
        <v xml:space="preserve">15803       </v>
      </c>
      <c r="O8276">
        <v>230914</v>
      </c>
    </row>
    <row r="8277" spans="1:15" x14ac:dyDescent="0.25">
      <c r="A8277" t="s">
        <v>16</v>
      </c>
      <c r="B8277" t="s">
        <v>3221</v>
      </c>
      <c r="C8277">
        <v>12218</v>
      </c>
      <c r="D8277" t="s">
        <v>240</v>
      </c>
      <c r="E8277" t="s">
        <v>241</v>
      </c>
      <c r="F8277">
        <v>141.16</v>
      </c>
      <c r="G8277">
        <v>230911</v>
      </c>
      <c r="H8277">
        <v>4510</v>
      </c>
      <c r="I8277" t="s">
        <v>42</v>
      </c>
      <c r="J8277">
        <v>155.28</v>
      </c>
      <c r="K8277">
        <v>14.12</v>
      </c>
      <c r="L8277">
        <v>55222</v>
      </c>
      <c r="M8277" t="s">
        <v>873</v>
      </c>
      <c r="N8277" t="str">
        <f>"15800       "</f>
        <v xml:space="preserve">15800       </v>
      </c>
      <c r="O8277">
        <v>230915</v>
      </c>
    </row>
    <row r="8278" spans="1:15" x14ac:dyDescent="0.25">
      <c r="A8278" t="s">
        <v>16</v>
      </c>
      <c r="B8278" t="s">
        <v>3221</v>
      </c>
      <c r="C8278">
        <v>12405</v>
      </c>
      <c r="D8278" t="s">
        <v>240</v>
      </c>
      <c r="E8278" t="s">
        <v>241</v>
      </c>
      <c r="F8278">
        <v>79.819999999999993</v>
      </c>
      <c r="G8278">
        <v>230911</v>
      </c>
      <c r="H8278">
        <v>4510</v>
      </c>
      <c r="I8278" t="s">
        <v>42</v>
      </c>
      <c r="J8278">
        <v>87.8</v>
      </c>
      <c r="K8278">
        <v>7.98</v>
      </c>
      <c r="L8278">
        <v>13801</v>
      </c>
      <c r="M8278" t="s">
        <v>162</v>
      </c>
      <c r="N8278" t="str">
        <f>"3925132     "</f>
        <v xml:space="preserve">3925132     </v>
      </c>
      <c r="O8278">
        <v>230919</v>
      </c>
    </row>
    <row r="8279" spans="1:15" x14ac:dyDescent="0.25">
      <c r="A8279" t="s">
        <v>16</v>
      </c>
      <c r="B8279" t="s">
        <v>3221</v>
      </c>
      <c r="C8279">
        <v>12428</v>
      </c>
      <c r="D8279" t="s">
        <v>240</v>
      </c>
      <c r="E8279" t="s">
        <v>241</v>
      </c>
      <c r="F8279">
        <v>79.819999999999993</v>
      </c>
      <c r="G8279">
        <v>230913</v>
      </c>
      <c r="H8279">
        <v>4510</v>
      </c>
      <c r="I8279" t="s">
        <v>42</v>
      </c>
      <c r="J8279">
        <v>87.8</v>
      </c>
      <c r="K8279">
        <v>7.98</v>
      </c>
      <c r="L8279">
        <v>13801</v>
      </c>
      <c r="M8279" t="s">
        <v>162</v>
      </c>
      <c r="N8279" t="str">
        <f>"3926885     "</f>
        <v xml:space="preserve">3926885     </v>
      </c>
      <c r="O8279">
        <v>230919</v>
      </c>
    </row>
    <row r="8280" spans="1:15" x14ac:dyDescent="0.25">
      <c r="A8280" t="s">
        <v>16</v>
      </c>
      <c r="B8280" t="s">
        <v>3221</v>
      </c>
      <c r="C8280">
        <v>12490</v>
      </c>
      <c r="D8280" t="s">
        <v>240</v>
      </c>
      <c r="E8280" t="s">
        <v>241</v>
      </c>
      <c r="F8280">
        <v>13.67</v>
      </c>
      <c r="G8280">
        <v>230911</v>
      </c>
      <c r="H8280">
        <v>4510</v>
      </c>
      <c r="I8280" t="s">
        <v>42</v>
      </c>
      <c r="J8280">
        <v>15.04</v>
      </c>
      <c r="K8280">
        <v>1.37</v>
      </c>
      <c r="L8280">
        <v>43222</v>
      </c>
      <c r="M8280" t="s">
        <v>507</v>
      </c>
      <c r="N8280" t="str">
        <f>"15801       "</f>
        <v xml:space="preserve">15801       </v>
      </c>
      <c r="O8280">
        <v>230920</v>
      </c>
    </row>
    <row r="8281" spans="1:15" x14ac:dyDescent="0.25">
      <c r="A8281" t="s">
        <v>16</v>
      </c>
      <c r="B8281" t="s">
        <v>3221</v>
      </c>
      <c r="C8281">
        <v>12490</v>
      </c>
      <c r="D8281" t="s">
        <v>240</v>
      </c>
      <c r="E8281" t="s">
        <v>241</v>
      </c>
      <c r="F8281">
        <v>19.02</v>
      </c>
      <c r="G8281">
        <v>230911</v>
      </c>
      <c r="H8281">
        <v>4510</v>
      </c>
      <c r="I8281" t="s">
        <v>42</v>
      </c>
      <c r="J8281">
        <v>20.92</v>
      </c>
      <c r="K8281">
        <v>1.9</v>
      </c>
      <c r="L8281">
        <v>46556</v>
      </c>
      <c r="M8281" t="s">
        <v>125</v>
      </c>
      <c r="N8281" t="str">
        <f>"15801       "</f>
        <v xml:space="preserve">15801       </v>
      </c>
      <c r="O8281">
        <v>230920</v>
      </c>
    </row>
    <row r="8282" spans="1:15" x14ac:dyDescent="0.25">
      <c r="A8282" t="s">
        <v>16</v>
      </c>
      <c r="B8282" t="s">
        <v>3221</v>
      </c>
      <c r="C8282">
        <v>12490</v>
      </c>
      <c r="D8282" t="s">
        <v>240</v>
      </c>
      <c r="E8282" t="s">
        <v>241</v>
      </c>
      <c r="F8282">
        <v>15.07</v>
      </c>
      <c r="G8282">
        <v>230911</v>
      </c>
      <c r="H8282">
        <v>4510</v>
      </c>
      <c r="I8282" t="s">
        <v>42</v>
      </c>
      <c r="J8282">
        <v>16.579999999999998</v>
      </c>
      <c r="K8282">
        <v>1.51</v>
      </c>
      <c r="L8282">
        <v>46557</v>
      </c>
      <c r="M8282" t="s">
        <v>221</v>
      </c>
      <c r="N8282" t="str">
        <f>"15801       "</f>
        <v xml:space="preserve">15801       </v>
      </c>
      <c r="O8282">
        <v>230920</v>
      </c>
    </row>
    <row r="8283" spans="1:15" x14ac:dyDescent="0.25">
      <c r="A8283" t="s">
        <v>16</v>
      </c>
      <c r="B8283" t="s">
        <v>3221</v>
      </c>
      <c r="C8283">
        <v>12510</v>
      </c>
      <c r="D8283" t="s">
        <v>240</v>
      </c>
      <c r="E8283" t="s">
        <v>241</v>
      </c>
      <c r="F8283">
        <v>32.18</v>
      </c>
      <c r="G8283">
        <v>230911</v>
      </c>
      <c r="H8283">
        <v>4510</v>
      </c>
      <c r="I8283" t="s">
        <v>42</v>
      </c>
      <c r="J8283">
        <v>35.4</v>
      </c>
      <c r="K8283">
        <v>3.22</v>
      </c>
      <c r="L8283">
        <v>13202</v>
      </c>
      <c r="M8283" t="s">
        <v>1910</v>
      </c>
      <c r="N8283" t="str">
        <f>"15805       "</f>
        <v xml:space="preserve">15805       </v>
      </c>
      <c r="O8283">
        <v>230920</v>
      </c>
    </row>
    <row r="8284" spans="1:15" x14ac:dyDescent="0.25">
      <c r="A8284" t="s">
        <v>16</v>
      </c>
      <c r="B8284" t="s">
        <v>3221</v>
      </c>
      <c r="C8284">
        <v>12541</v>
      </c>
      <c r="D8284" t="s">
        <v>240</v>
      </c>
      <c r="E8284" t="s">
        <v>241</v>
      </c>
      <c r="F8284">
        <v>78.11</v>
      </c>
      <c r="G8284">
        <v>230918</v>
      </c>
      <c r="H8284">
        <v>4510</v>
      </c>
      <c r="I8284" t="s">
        <v>42</v>
      </c>
      <c r="J8284">
        <v>85.92</v>
      </c>
      <c r="K8284">
        <v>7.81</v>
      </c>
      <c r="L8284">
        <v>16321</v>
      </c>
      <c r="M8284" t="s">
        <v>423</v>
      </c>
      <c r="N8284" t="str">
        <f>"15952       "</f>
        <v xml:space="preserve">15952       </v>
      </c>
      <c r="O8284">
        <v>230920</v>
      </c>
    </row>
    <row r="8285" spans="1:15" x14ac:dyDescent="0.25">
      <c r="A8285" t="s">
        <v>16</v>
      </c>
      <c r="B8285" t="s">
        <v>3221</v>
      </c>
      <c r="C8285">
        <v>12543</v>
      </c>
      <c r="D8285" t="s">
        <v>240</v>
      </c>
      <c r="E8285" t="s">
        <v>241</v>
      </c>
      <c r="F8285">
        <v>45.61</v>
      </c>
      <c r="G8285">
        <v>230918</v>
      </c>
      <c r="H8285">
        <v>4510</v>
      </c>
      <c r="I8285" t="s">
        <v>42</v>
      </c>
      <c r="J8285">
        <v>50.17</v>
      </c>
      <c r="K8285">
        <v>4.5599999999999996</v>
      </c>
      <c r="L8285">
        <v>13502</v>
      </c>
      <c r="M8285" t="s">
        <v>243</v>
      </c>
      <c r="N8285" t="str">
        <f>"15955       "</f>
        <v xml:space="preserve">15955       </v>
      </c>
      <c r="O8285">
        <v>230920</v>
      </c>
    </row>
    <row r="8286" spans="1:15" x14ac:dyDescent="0.25">
      <c r="A8286" t="s">
        <v>16</v>
      </c>
      <c r="B8286" t="s">
        <v>3221</v>
      </c>
      <c r="C8286">
        <v>12544</v>
      </c>
      <c r="D8286" t="s">
        <v>240</v>
      </c>
      <c r="E8286" t="s">
        <v>241</v>
      </c>
      <c r="F8286">
        <v>854.61</v>
      </c>
      <c r="G8286">
        <v>230918</v>
      </c>
      <c r="H8286">
        <v>4510</v>
      </c>
      <c r="I8286" t="s">
        <v>42</v>
      </c>
      <c r="J8286">
        <v>940.07</v>
      </c>
      <c r="K8286">
        <v>85.46</v>
      </c>
      <c r="L8286">
        <v>14121</v>
      </c>
      <c r="M8286" t="s">
        <v>880</v>
      </c>
      <c r="N8286" t="str">
        <f>"15954       "</f>
        <v xml:space="preserve">15954       </v>
      </c>
      <c r="O8286">
        <v>230920</v>
      </c>
    </row>
    <row r="8287" spans="1:15" x14ac:dyDescent="0.25">
      <c r="A8287" t="s">
        <v>16</v>
      </c>
      <c r="B8287" t="s">
        <v>3221</v>
      </c>
      <c r="C8287">
        <v>12680</v>
      </c>
      <c r="D8287" t="s">
        <v>240</v>
      </c>
      <c r="E8287" t="s">
        <v>241</v>
      </c>
      <c r="F8287">
        <v>79.819999999999993</v>
      </c>
      <c r="G8287">
        <v>230918</v>
      </c>
      <c r="H8287">
        <v>4510</v>
      </c>
      <c r="I8287" t="s">
        <v>42</v>
      </c>
      <c r="J8287">
        <v>87.8</v>
      </c>
      <c r="K8287">
        <v>7.98</v>
      </c>
      <c r="L8287">
        <v>13801</v>
      </c>
      <c r="M8287" t="s">
        <v>162</v>
      </c>
      <c r="N8287" t="str">
        <f>"3929128     "</f>
        <v xml:space="preserve">3929128     </v>
      </c>
      <c r="O8287">
        <v>230925</v>
      </c>
    </row>
    <row r="8288" spans="1:15" x14ac:dyDescent="0.25">
      <c r="A8288" t="s">
        <v>16</v>
      </c>
      <c r="B8288" t="s">
        <v>3221</v>
      </c>
      <c r="C8288">
        <v>12785</v>
      </c>
      <c r="D8288" t="s">
        <v>240</v>
      </c>
      <c r="E8288" t="s">
        <v>241</v>
      </c>
      <c r="F8288">
        <v>159.04</v>
      </c>
      <c r="G8288">
        <v>230918</v>
      </c>
      <c r="H8288">
        <v>4510</v>
      </c>
      <c r="I8288" t="s">
        <v>42</v>
      </c>
      <c r="J8288">
        <v>174.94</v>
      </c>
      <c r="K8288">
        <v>15.9</v>
      </c>
      <c r="L8288">
        <v>43222</v>
      </c>
      <c r="M8288" t="s">
        <v>507</v>
      </c>
      <c r="N8288" t="str">
        <f>"15953       "</f>
        <v xml:space="preserve">15953       </v>
      </c>
      <c r="O8288">
        <v>230926</v>
      </c>
    </row>
    <row r="8289" spans="1:15" x14ac:dyDescent="0.25">
      <c r="A8289" t="s">
        <v>16</v>
      </c>
      <c r="B8289" t="s">
        <v>3221</v>
      </c>
      <c r="C8289">
        <v>12785</v>
      </c>
      <c r="D8289" t="s">
        <v>240</v>
      </c>
      <c r="E8289" t="s">
        <v>241</v>
      </c>
      <c r="F8289">
        <v>45.01</v>
      </c>
      <c r="G8289">
        <v>230918</v>
      </c>
      <c r="H8289">
        <v>4510</v>
      </c>
      <c r="I8289" t="s">
        <v>42</v>
      </c>
      <c r="J8289">
        <v>49.51</v>
      </c>
      <c r="K8289">
        <v>4.5</v>
      </c>
      <c r="L8289">
        <v>46554</v>
      </c>
      <c r="M8289" t="s">
        <v>117</v>
      </c>
      <c r="N8289" t="str">
        <f>"15953       "</f>
        <v xml:space="preserve">15953       </v>
      </c>
      <c r="O8289">
        <v>230926</v>
      </c>
    </row>
    <row r="8290" spans="1:15" x14ac:dyDescent="0.25">
      <c r="A8290" t="s">
        <v>16</v>
      </c>
      <c r="B8290" t="s">
        <v>3221</v>
      </c>
      <c r="C8290">
        <v>12785</v>
      </c>
      <c r="D8290" t="s">
        <v>240</v>
      </c>
      <c r="E8290" t="s">
        <v>241</v>
      </c>
      <c r="F8290">
        <v>1344.9</v>
      </c>
      <c r="G8290">
        <v>230918</v>
      </c>
      <c r="H8290">
        <v>4510</v>
      </c>
      <c r="I8290" t="s">
        <v>42</v>
      </c>
      <c r="J8290">
        <v>1479.39</v>
      </c>
      <c r="K8290">
        <v>134.49</v>
      </c>
      <c r="L8290">
        <v>48601</v>
      </c>
      <c r="M8290" t="s">
        <v>1047</v>
      </c>
      <c r="N8290" t="str">
        <f>"15953       "</f>
        <v xml:space="preserve">15953       </v>
      </c>
      <c r="O8290">
        <v>230926</v>
      </c>
    </row>
    <row r="8291" spans="1:15" x14ac:dyDescent="0.25">
      <c r="A8291" t="s">
        <v>16</v>
      </c>
      <c r="B8291" t="s">
        <v>3221</v>
      </c>
      <c r="C8291">
        <v>12807</v>
      </c>
      <c r="D8291" t="s">
        <v>240</v>
      </c>
      <c r="E8291" t="s">
        <v>241</v>
      </c>
      <c r="F8291">
        <v>367.07</v>
      </c>
      <c r="G8291">
        <v>230925</v>
      </c>
      <c r="H8291">
        <v>4510</v>
      </c>
      <c r="I8291" t="s">
        <v>42</v>
      </c>
      <c r="J8291">
        <v>403.78</v>
      </c>
      <c r="K8291">
        <v>36.71</v>
      </c>
      <c r="L8291">
        <v>17807</v>
      </c>
      <c r="M8291" t="s">
        <v>318</v>
      </c>
      <c r="N8291" t="str">
        <f>"16115       "</f>
        <v xml:space="preserve">16115       </v>
      </c>
      <c r="O8291">
        <v>230926</v>
      </c>
    </row>
    <row r="8292" spans="1:15" x14ac:dyDescent="0.25">
      <c r="A8292" t="s">
        <v>16</v>
      </c>
      <c r="B8292" t="s">
        <v>3221</v>
      </c>
      <c r="C8292">
        <v>12864</v>
      </c>
      <c r="D8292" t="s">
        <v>240</v>
      </c>
      <c r="E8292" t="s">
        <v>241</v>
      </c>
      <c r="F8292">
        <v>102.64</v>
      </c>
      <c r="G8292">
        <v>230925</v>
      </c>
      <c r="H8292">
        <v>4510</v>
      </c>
      <c r="I8292" t="s">
        <v>42</v>
      </c>
      <c r="J8292">
        <v>112.9</v>
      </c>
      <c r="K8292">
        <v>10.26</v>
      </c>
      <c r="L8292">
        <v>13402</v>
      </c>
      <c r="M8292" t="s">
        <v>242</v>
      </c>
      <c r="N8292" t="str">
        <f>"16118       "</f>
        <v xml:space="preserve">16118       </v>
      </c>
      <c r="O8292">
        <v>230928</v>
      </c>
    </row>
    <row r="8293" spans="1:15" x14ac:dyDescent="0.25">
      <c r="A8293" t="s">
        <v>16</v>
      </c>
      <c r="B8293" t="s">
        <v>3221</v>
      </c>
      <c r="C8293">
        <v>13197</v>
      </c>
      <c r="D8293" t="s">
        <v>240</v>
      </c>
      <c r="E8293" t="s">
        <v>241</v>
      </c>
      <c r="F8293">
        <v>100.36</v>
      </c>
      <c r="G8293">
        <v>230927</v>
      </c>
      <c r="H8293">
        <v>4510</v>
      </c>
      <c r="I8293" t="s">
        <v>42</v>
      </c>
      <c r="J8293">
        <v>110.4</v>
      </c>
      <c r="K8293">
        <v>10.039999999999999</v>
      </c>
      <c r="L8293">
        <v>11903</v>
      </c>
      <c r="M8293" t="s">
        <v>406</v>
      </c>
      <c r="N8293" t="str">
        <f>"3935280     "</f>
        <v xml:space="preserve">3935280     </v>
      </c>
      <c r="O8293">
        <v>231005</v>
      </c>
    </row>
    <row r="8294" spans="1:15" x14ac:dyDescent="0.25">
      <c r="A8294" t="s">
        <v>16</v>
      </c>
      <c r="B8294" t="s">
        <v>3221</v>
      </c>
      <c r="C8294">
        <v>13205</v>
      </c>
      <c r="D8294" t="s">
        <v>240</v>
      </c>
      <c r="E8294" t="s">
        <v>241</v>
      </c>
      <c r="F8294">
        <v>19.62</v>
      </c>
      <c r="G8294">
        <v>230925</v>
      </c>
      <c r="H8294">
        <v>4510</v>
      </c>
      <c r="I8294" t="s">
        <v>42</v>
      </c>
      <c r="J8294">
        <v>21.58</v>
      </c>
      <c r="K8294">
        <v>1.96</v>
      </c>
      <c r="L8294">
        <v>44222</v>
      </c>
      <c r="M8294" t="s">
        <v>232</v>
      </c>
      <c r="N8294" t="str">
        <f>"16116       "</f>
        <v xml:space="preserve">16116       </v>
      </c>
      <c r="O8294">
        <v>231005</v>
      </c>
    </row>
    <row r="8295" spans="1:15" x14ac:dyDescent="0.25">
      <c r="A8295" t="s">
        <v>16</v>
      </c>
      <c r="B8295" t="s">
        <v>3221</v>
      </c>
      <c r="C8295">
        <v>13205</v>
      </c>
      <c r="D8295" t="s">
        <v>240</v>
      </c>
      <c r="E8295" t="s">
        <v>241</v>
      </c>
      <c r="F8295">
        <v>13.07</v>
      </c>
      <c r="G8295">
        <v>230925</v>
      </c>
      <c r="H8295">
        <v>4510</v>
      </c>
      <c r="I8295" t="s">
        <v>42</v>
      </c>
      <c r="J8295">
        <v>14.38</v>
      </c>
      <c r="K8295">
        <v>1.31</v>
      </c>
      <c r="L8295">
        <v>44422</v>
      </c>
      <c r="M8295" t="s">
        <v>482</v>
      </c>
      <c r="N8295" t="str">
        <f>"16116       "</f>
        <v xml:space="preserve">16116       </v>
      </c>
      <c r="O8295">
        <v>231005</v>
      </c>
    </row>
    <row r="8296" spans="1:15" x14ac:dyDescent="0.25">
      <c r="A8296" t="s">
        <v>16</v>
      </c>
      <c r="B8296" t="s">
        <v>3221</v>
      </c>
      <c r="C8296">
        <v>13205</v>
      </c>
      <c r="D8296" t="s">
        <v>240</v>
      </c>
      <c r="E8296" t="s">
        <v>241</v>
      </c>
      <c r="F8296">
        <v>13.08</v>
      </c>
      <c r="G8296">
        <v>230925</v>
      </c>
      <c r="H8296">
        <v>4510</v>
      </c>
      <c r="I8296" t="s">
        <v>42</v>
      </c>
      <c r="J8296">
        <v>14.39</v>
      </c>
      <c r="K8296">
        <v>1.31</v>
      </c>
      <c r="L8296">
        <v>46555</v>
      </c>
      <c r="M8296" t="s">
        <v>597</v>
      </c>
      <c r="N8296" t="str">
        <f>"16116       "</f>
        <v xml:space="preserve">16116       </v>
      </c>
      <c r="O8296">
        <v>231005</v>
      </c>
    </row>
    <row r="8297" spans="1:15" x14ac:dyDescent="0.25">
      <c r="A8297" t="s">
        <v>16</v>
      </c>
      <c r="B8297" t="s">
        <v>3221</v>
      </c>
      <c r="C8297">
        <v>13247</v>
      </c>
      <c r="D8297" t="s">
        <v>240</v>
      </c>
      <c r="E8297" t="s">
        <v>241</v>
      </c>
      <c r="F8297">
        <v>38.74</v>
      </c>
      <c r="G8297">
        <v>230930</v>
      </c>
      <c r="H8297">
        <v>4510</v>
      </c>
      <c r="I8297" t="s">
        <v>42</v>
      </c>
      <c r="J8297">
        <v>42.61</v>
      </c>
      <c r="K8297">
        <v>3.87</v>
      </c>
      <c r="L8297">
        <v>13402</v>
      </c>
      <c r="M8297" t="s">
        <v>242</v>
      </c>
      <c r="N8297" t="str">
        <f>"16341       "</f>
        <v xml:space="preserve">16341       </v>
      </c>
      <c r="O8297">
        <v>231006</v>
      </c>
    </row>
    <row r="8298" spans="1:15" x14ac:dyDescent="0.25">
      <c r="A8298" t="s">
        <v>16</v>
      </c>
      <c r="B8298" t="s">
        <v>3221</v>
      </c>
      <c r="C8298">
        <v>13261</v>
      </c>
      <c r="D8298" t="s">
        <v>240</v>
      </c>
      <c r="E8298" t="s">
        <v>241</v>
      </c>
      <c r="F8298">
        <v>40.340000000000003</v>
      </c>
      <c r="G8298">
        <v>230930</v>
      </c>
      <c r="H8298">
        <v>4510</v>
      </c>
      <c r="I8298" t="s">
        <v>42</v>
      </c>
      <c r="J8298">
        <v>44.37</v>
      </c>
      <c r="K8298">
        <v>4.03</v>
      </c>
      <c r="L8298">
        <v>13502</v>
      </c>
      <c r="M8298" t="s">
        <v>243</v>
      </c>
      <c r="N8298" t="str">
        <f>"16340       "</f>
        <v xml:space="preserve">16340       </v>
      </c>
      <c r="O8298">
        <v>231006</v>
      </c>
    </row>
    <row r="8299" spans="1:15" x14ac:dyDescent="0.25">
      <c r="A8299" t="s">
        <v>16</v>
      </c>
      <c r="B8299" t="s">
        <v>3221</v>
      </c>
      <c r="C8299">
        <v>13371</v>
      </c>
      <c r="D8299" t="s">
        <v>240</v>
      </c>
      <c r="E8299" t="s">
        <v>241</v>
      </c>
      <c r="F8299">
        <v>1163.97</v>
      </c>
      <c r="G8299">
        <v>230930</v>
      </c>
      <c r="H8299">
        <v>4510</v>
      </c>
      <c r="I8299" t="s">
        <v>42</v>
      </c>
      <c r="J8299">
        <v>1280.3699999999999</v>
      </c>
      <c r="K8299">
        <v>116.4</v>
      </c>
      <c r="L8299">
        <v>17807</v>
      </c>
      <c r="M8299" t="s">
        <v>318</v>
      </c>
      <c r="N8299" t="str">
        <f>"16338       "</f>
        <v xml:space="preserve">16338       </v>
      </c>
      <c r="O8299">
        <v>231009</v>
      </c>
    </row>
    <row r="8300" spans="1:15" x14ac:dyDescent="0.25">
      <c r="A8300" t="s">
        <v>16</v>
      </c>
      <c r="B8300" t="s">
        <v>3221</v>
      </c>
      <c r="C8300">
        <v>13602</v>
      </c>
      <c r="D8300" t="s">
        <v>240</v>
      </c>
      <c r="E8300" t="s">
        <v>241</v>
      </c>
      <c r="F8300">
        <v>45.01</v>
      </c>
      <c r="G8300">
        <v>231009</v>
      </c>
      <c r="H8300">
        <v>4510</v>
      </c>
      <c r="I8300" t="s">
        <v>42</v>
      </c>
      <c r="J8300">
        <v>49.51</v>
      </c>
      <c r="K8300">
        <v>4.5</v>
      </c>
      <c r="L8300">
        <v>46554</v>
      </c>
      <c r="M8300" t="s">
        <v>117</v>
      </c>
      <c r="N8300" t="str">
        <f>"16578       "</f>
        <v xml:space="preserve">16578       </v>
      </c>
      <c r="O8300">
        <v>231011</v>
      </c>
    </row>
    <row r="8301" spans="1:15" x14ac:dyDescent="0.25">
      <c r="A8301" t="s">
        <v>16</v>
      </c>
      <c r="B8301" t="s">
        <v>3221</v>
      </c>
      <c r="C8301">
        <v>13666</v>
      </c>
      <c r="D8301" t="s">
        <v>240</v>
      </c>
      <c r="E8301" t="s">
        <v>241</v>
      </c>
      <c r="F8301">
        <v>27.82</v>
      </c>
      <c r="G8301">
        <v>230930</v>
      </c>
      <c r="H8301">
        <v>4510</v>
      </c>
      <c r="I8301" t="s">
        <v>42</v>
      </c>
      <c r="J8301">
        <v>30.6</v>
      </c>
      <c r="K8301">
        <v>2.78</v>
      </c>
      <c r="L8301">
        <v>43222</v>
      </c>
      <c r="M8301" t="s">
        <v>507</v>
      </c>
      <c r="N8301" t="str">
        <f>"16339       "</f>
        <v xml:space="preserve">16339       </v>
      </c>
      <c r="O8301">
        <v>231012</v>
      </c>
    </row>
    <row r="8302" spans="1:15" x14ac:dyDescent="0.25">
      <c r="A8302" t="s">
        <v>16</v>
      </c>
      <c r="B8302" t="s">
        <v>3221</v>
      </c>
      <c r="C8302">
        <v>13666</v>
      </c>
      <c r="D8302" t="s">
        <v>240</v>
      </c>
      <c r="E8302" t="s">
        <v>241</v>
      </c>
      <c r="F8302">
        <v>26.27</v>
      </c>
      <c r="G8302">
        <v>230930</v>
      </c>
      <c r="H8302">
        <v>4510</v>
      </c>
      <c r="I8302" t="s">
        <v>42</v>
      </c>
      <c r="J8302">
        <v>28.9</v>
      </c>
      <c r="K8302">
        <v>2.63</v>
      </c>
      <c r="L8302">
        <v>44222</v>
      </c>
      <c r="M8302" t="s">
        <v>232</v>
      </c>
      <c r="N8302" t="str">
        <f>"16339       "</f>
        <v xml:space="preserve">16339       </v>
      </c>
      <c r="O8302">
        <v>231012</v>
      </c>
    </row>
    <row r="8303" spans="1:15" x14ac:dyDescent="0.25">
      <c r="A8303" t="s">
        <v>16</v>
      </c>
      <c r="B8303" t="s">
        <v>3221</v>
      </c>
      <c r="C8303">
        <v>13666</v>
      </c>
      <c r="D8303" t="s">
        <v>240</v>
      </c>
      <c r="E8303" t="s">
        <v>241</v>
      </c>
      <c r="F8303">
        <v>26.26</v>
      </c>
      <c r="G8303">
        <v>230930</v>
      </c>
      <c r="H8303">
        <v>4510</v>
      </c>
      <c r="I8303" t="s">
        <v>42</v>
      </c>
      <c r="J8303">
        <v>28.89</v>
      </c>
      <c r="K8303">
        <v>2.63</v>
      </c>
      <c r="L8303">
        <v>44422</v>
      </c>
      <c r="M8303" t="s">
        <v>482</v>
      </c>
      <c r="N8303" t="str">
        <f>"16339       "</f>
        <v xml:space="preserve">16339       </v>
      </c>
      <c r="O8303">
        <v>231012</v>
      </c>
    </row>
    <row r="8304" spans="1:15" x14ac:dyDescent="0.25">
      <c r="A8304" t="s">
        <v>16</v>
      </c>
      <c r="B8304" t="s">
        <v>3221</v>
      </c>
      <c r="C8304">
        <v>13666</v>
      </c>
      <c r="D8304" t="s">
        <v>240</v>
      </c>
      <c r="E8304" t="s">
        <v>241</v>
      </c>
      <c r="F8304">
        <v>30.14</v>
      </c>
      <c r="G8304">
        <v>230930</v>
      </c>
      <c r="H8304">
        <v>4510</v>
      </c>
      <c r="I8304" t="s">
        <v>42</v>
      </c>
      <c r="J8304">
        <v>33.15</v>
      </c>
      <c r="K8304">
        <v>3.01</v>
      </c>
      <c r="L8304">
        <v>46556</v>
      </c>
      <c r="M8304" t="s">
        <v>125</v>
      </c>
      <c r="N8304" t="str">
        <f>"16339       "</f>
        <v xml:space="preserve">16339       </v>
      </c>
      <c r="O8304">
        <v>231012</v>
      </c>
    </row>
    <row r="8305" spans="1:15" x14ac:dyDescent="0.25">
      <c r="A8305" t="s">
        <v>16</v>
      </c>
      <c r="B8305" t="s">
        <v>3221</v>
      </c>
      <c r="C8305">
        <v>13666</v>
      </c>
      <c r="D8305" t="s">
        <v>240</v>
      </c>
      <c r="E8305" t="s">
        <v>241</v>
      </c>
      <c r="F8305">
        <v>26.26</v>
      </c>
      <c r="G8305">
        <v>230930</v>
      </c>
      <c r="H8305">
        <v>4510</v>
      </c>
      <c r="I8305" t="s">
        <v>42</v>
      </c>
      <c r="J8305">
        <v>28.89</v>
      </c>
      <c r="K8305">
        <v>2.63</v>
      </c>
      <c r="L8305">
        <v>46557</v>
      </c>
      <c r="M8305" t="s">
        <v>221</v>
      </c>
      <c r="N8305" t="str">
        <f>"16339       "</f>
        <v xml:space="preserve">16339       </v>
      </c>
      <c r="O8305">
        <v>231012</v>
      </c>
    </row>
    <row r="8306" spans="1:15" x14ac:dyDescent="0.25">
      <c r="A8306" t="s">
        <v>16</v>
      </c>
      <c r="B8306" t="s">
        <v>3221</v>
      </c>
      <c r="C8306">
        <v>13807</v>
      </c>
      <c r="D8306" t="s">
        <v>240</v>
      </c>
      <c r="E8306" t="s">
        <v>241</v>
      </c>
      <c r="F8306">
        <v>159.63999999999999</v>
      </c>
      <c r="G8306">
        <v>231011</v>
      </c>
      <c r="H8306">
        <v>4510</v>
      </c>
      <c r="I8306" t="s">
        <v>42</v>
      </c>
      <c r="J8306">
        <v>175.6</v>
      </c>
      <c r="K8306">
        <v>15.96</v>
      </c>
      <c r="L8306">
        <v>13801</v>
      </c>
      <c r="M8306" t="s">
        <v>162</v>
      </c>
      <c r="N8306" t="str">
        <f>"3944168     "</f>
        <v xml:space="preserve">3944168     </v>
      </c>
      <c r="O8306">
        <v>231013</v>
      </c>
    </row>
    <row r="8307" spans="1:15" x14ac:dyDescent="0.25">
      <c r="A8307" t="s">
        <v>16</v>
      </c>
      <c r="B8307" t="s">
        <v>3221</v>
      </c>
      <c r="C8307">
        <v>13823</v>
      </c>
      <c r="D8307" t="s">
        <v>240</v>
      </c>
      <c r="E8307" t="s">
        <v>241</v>
      </c>
      <c r="F8307">
        <v>886.15</v>
      </c>
      <c r="G8307">
        <v>230925</v>
      </c>
      <c r="H8307">
        <v>4510</v>
      </c>
      <c r="I8307" t="s">
        <v>42</v>
      </c>
      <c r="J8307">
        <v>974.77</v>
      </c>
      <c r="K8307">
        <v>88.62</v>
      </c>
      <c r="L8307">
        <v>56560</v>
      </c>
      <c r="M8307" t="s">
        <v>654</v>
      </c>
      <c r="N8307" t="str">
        <f>"16117       "</f>
        <v xml:space="preserve">16117       </v>
      </c>
      <c r="O8307">
        <v>231013</v>
      </c>
    </row>
    <row r="8308" spans="1:15" x14ac:dyDescent="0.25">
      <c r="A8308" t="s">
        <v>16</v>
      </c>
      <c r="B8308" t="s">
        <v>3221</v>
      </c>
      <c r="C8308">
        <v>14183</v>
      </c>
      <c r="D8308" t="s">
        <v>240</v>
      </c>
      <c r="E8308" t="s">
        <v>241</v>
      </c>
      <c r="F8308">
        <v>142.94999999999999</v>
      </c>
      <c r="G8308">
        <v>231009</v>
      </c>
      <c r="H8308">
        <v>4510</v>
      </c>
      <c r="I8308" t="s">
        <v>42</v>
      </c>
      <c r="J8308">
        <v>157.25</v>
      </c>
      <c r="K8308">
        <v>14.3</v>
      </c>
      <c r="L8308">
        <v>13402</v>
      </c>
      <c r="M8308" t="s">
        <v>242</v>
      </c>
      <c r="N8308" t="str">
        <f>"3942260     "</f>
        <v xml:space="preserve">3942260     </v>
      </c>
      <c r="O8308">
        <v>231023</v>
      </c>
    </row>
    <row r="8309" spans="1:15" x14ac:dyDescent="0.25">
      <c r="A8309" t="s">
        <v>16</v>
      </c>
      <c r="B8309" t="s">
        <v>3221</v>
      </c>
      <c r="C8309">
        <v>14187</v>
      </c>
      <c r="D8309" t="s">
        <v>240</v>
      </c>
      <c r="E8309" t="s">
        <v>241</v>
      </c>
      <c r="F8309">
        <v>63.64</v>
      </c>
      <c r="G8309">
        <v>231010</v>
      </c>
      <c r="H8309">
        <v>4510</v>
      </c>
      <c r="I8309" t="s">
        <v>42</v>
      </c>
      <c r="J8309">
        <v>70</v>
      </c>
      <c r="K8309">
        <v>6.36</v>
      </c>
      <c r="L8309">
        <v>13402</v>
      </c>
      <c r="M8309" t="s">
        <v>242</v>
      </c>
      <c r="N8309" t="str">
        <f>"3942829     "</f>
        <v xml:space="preserve">3942829     </v>
      </c>
      <c r="O8309">
        <v>231023</v>
      </c>
    </row>
    <row r="8310" spans="1:15" x14ac:dyDescent="0.25">
      <c r="A8310" t="s">
        <v>16</v>
      </c>
      <c r="B8310" t="s">
        <v>3221</v>
      </c>
      <c r="C8310">
        <v>14498</v>
      </c>
      <c r="D8310" t="s">
        <v>240</v>
      </c>
      <c r="E8310" t="s">
        <v>241</v>
      </c>
      <c r="F8310">
        <v>81.89</v>
      </c>
      <c r="G8310">
        <v>231009</v>
      </c>
      <c r="H8310">
        <v>4510</v>
      </c>
      <c r="I8310" t="s">
        <v>42</v>
      </c>
      <c r="J8310">
        <v>90.08</v>
      </c>
      <c r="K8310">
        <v>8.19</v>
      </c>
      <c r="L8310">
        <v>61122</v>
      </c>
      <c r="M8310" t="s">
        <v>402</v>
      </c>
      <c r="N8310" t="str">
        <f>"16579       "</f>
        <v xml:space="preserve">16579       </v>
      </c>
      <c r="O8310">
        <v>231030</v>
      </c>
    </row>
    <row r="8311" spans="1:15" x14ac:dyDescent="0.25">
      <c r="A8311" t="s">
        <v>16</v>
      </c>
      <c r="B8311" t="s">
        <v>3221</v>
      </c>
      <c r="C8311">
        <v>14558</v>
      </c>
      <c r="D8311" t="s">
        <v>240</v>
      </c>
      <c r="E8311" t="s">
        <v>241</v>
      </c>
      <c r="F8311">
        <v>111.82</v>
      </c>
      <c r="G8311">
        <v>231016</v>
      </c>
      <c r="H8311">
        <v>4510</v>
      </c>
      <c r="I8311" t="s">
        <v>42</v>
      </c>
      <c r="J8311">
        <v>123</v>
      </c>
      <c r="K8311">
        <v>11.18</v>
      </c>
      <c r="L8311">
        <v>53222</v>
      </c>
      <c r="M8311" t="s">
        <v>445</v>
      </c>
      <c r="N8311" t="str">
        <f>"16783       "</f>
        <v xml:space="preserve">16783       </v>
      </c>
      <c r="O8311">
        <v>231030</v>
      </c>
    </row>
    <row r="8312" spans="1:15" x14ac:dyDescent="0.25">
      <c r="A8312" t="s">
        <v>16</v>
      </c>
      <c r="B8312" t="s">
        <v>3221</v>
      </c>
      <c r="C8312">
        <v>14558</v>
      </c>
      <c r="D8312" t="s">
        <v>240</v>
      </c>
      <c r="E8312" t="s">
        <v>241</v>
      </c>
      <c r="F8312">
        <v>30.93</v>
      </c>
      <c r="G8312">
        <v>231016</v>
      </c>
      <c r="H8312">
        <v>4510</v>
      </c>
      <c r="I8312" t="s">
        <v>42</v>
      </c>
      <c r="J8312">
        <v>34.020000000000003</v>
      </c>
      <c r="K8312">
        <v>3.09</v>
      </c>
      <c r="L8312">
        <v>53222</v>
      </c>
      <c r="M8312" t="s">
        <v>445</v>
      </c>
      <c r="N8312" t="str">
        <f>"16783       "</f>
        <v xml:space="preserve">16783       </v>
      </c>
      <c r="O8312">
        <v>231030</v>
      </c>
    </row>
    <row r="8313" spans="1:15" x14ac:dyDescent="0.25">
      <c r="A8313" t="s">
        <v>16</v>
      </c>
      <c r="B8313" t="s">
        <v>3221</v>
      </c>
      <c r="C8313">
        <v>14603</v>
      </c>
      <c r="D8313" t="s">
        <v>240</v>
      </c>
      <c r="E8313" t="s">
        <v>241</v>
      </c>
      <c r="F8313">
        <v>371.13</v>
      </c>
      <c r="G8313">
        <v>231023</v>
      </c>
      <c r="H8313">
        <v>4510</v>
      </c>
      <c r="I8313" t="s">
        <v>42</v>
      </c>
      <c r="J8313">
        <v>408.24</v>
      </c>
      <c r="K8313">
        <v>37.11</v>
      </c>
      <c r="L8313">
        <v>53222</v>
      </c>
      <c r="M8313" t="s">
        <v>445</v>
      </c>
      <c r="N8313" t="str">
        <f>"16958       "</f>
        <v xml:space="preserve">16958       </v>
      </c>
      <c r="O8313">
        <v>231030</v>
      </c>
    </row>
    <row r="8314" spans="1:15" x14ac:dyDescent="0.25">
      <c r="A8314" t="s">
        <v>16</v>
      </c>
      <c r="B8314" t="s">
        <v>3221</v>
      </c>
      <c r="C8314">
        <v>14607</v>
      </c>
      <c r="D8314" t="s">
        <v>240</v>
      </c>
      <c r="E8314" t="s">
        <v>241</v>
      </c>
      <c r="F8314">
        <v>134.05000000000001</v>
      </c>
      <c r="G8314">
        <v>231023</v>
      </c>
      <c r="H8314">
        <v>4510</v>
      </c>
      <c r="I8314" t="s">
        <v>42</v>
      </c>
      <c r="J8314">
        <v>147.46</v>
      </c>
      <c r="K8314">
        <v>13.41</v>
      </c>
      <c r="L8314">
        <v>13502</v>
      </c>
      <c r="M8314" t="s">
        <v>243</v>
      </c>
      <c r="N8314" t="str">
        <f>"16959       "</f>
        <v xml:space="preserve">16959       </v>
      </c>
      <c r="O8314">
        <v>231030</v>
      </c>
    </row>
    <row r="8315" spans="1:15" x14ac:dyDescent="0.25">
      <c r="A8315" t="s">
        <v>16</v>
      </c>
      <c r="B8315" t="s">
        <v>3221</v>
      </c>
      <c r="C8315">
        <v>15189</v>
      </c>
      <c r="D8315" t="s">
        <v>240</v>
      </c>
      <c r="E8315" t="s">
        <v>241</v>
      </c>
      <c r="F8315">
        <v>70.349999999999994</v>
      </c>
      <c r="G8315">
        <v>231031</v>
      </c>
      <c r="H8315">
        <v>4510</v>
      </c>
      <c r="I8315" t="s">
        <v>42</v>
      </c>
      <c r="J8315">
        <v>77.39</v>
      </c>
      <c r="K8315">
        <v>7.04</v>
      </c>
      <c r="L8315">
        <v>13202</v>
      </c>
      <c r="M8315" t="s">
        <v>1910</v>
      </c>
      <c r="N8315" t="str">
        <f>"17141       "</f>
        <v xml:space="preserve">17141       </v>
      </c>
      <c r="O8315">
        <v>231109</v>
      </c>
    </row>
    <row r="8316" spans="1:15" x14ac:dyDescent="0.25">
      <c r="A8316" t="s">
        <v>16</v>
      </c>
      <c r="B8316" t="s">
        <v>3221</v>
      </c>
      <c r="C8316">
        <v>15195</v>
      </c>
      <c r="D8316" t="s">
        <v>240</v>
      </c>
      <c r="E8316" t="s">
        <v>241</v>
      </c>
      <c r="F8316">
        <v>334.33</v>
      </c>
      <c r="G8316">
        <v>231031</v>
      </c>
      <c r="H8316">
        <v>4510</v>
      </c>
      <c r="I8316" t="s">
        <v>42</v>
      </c>
      <c r="J8316">
        <v>367.76</v>
      </c>
      <c r="K8316">
        <v>33.43</v>
      </c>
      <c r="L8316">
        <v>13402</v>
      </c>
      <c r="M8316" t="s">
        <v>242</v>
      </c>
      <c r="N8316" t="str">
        <f>"17142       "</f>
        <v xml:space="preserve">17142       </v>
      </c>
      <c r="O8316">
        <v>231109</v>
      </c>
    </row>
    <row r="8317" spans="1:15" x14ac:dyDescent="0.25">
      <c r="A8317" t="s">
        <v>16</v>
      </c>
      <c r="B8317" t="s">
        <v>3221</v>
      </c>
      <c r="C8317">
        <v>15218</v>
      </c>
      <c r="D8317" t="s">
        <v>240</v>
      </c>
      <c r="E8317" t="s">
        <v>241</v>
      </c>
      <c r="F8317">
        <v>269.17</v>
      </c>
      <c r="G8317">
        <v>231031</v>
      </c>
      <c r="H8317">
        <v>4510</v>
      </c>
      <c r="I8317" t="s">
        <v>42</v>
      </c>
      <c r="J8317">
        <v>296.08999999999997</v>
      </c>
      <c r="K8317">
        <v>26.92</v>
      </c>
      <c r="L8317">
        <v>17806</v>
      </c>
      <c r="M8317" t="s">
        <v>265</v>
      </c>
      <c r="N8317" t="str">
        <f>"17138       "</f>
        <v xml:space="preserve">17138       </v>
      </c>
      <c r="O8317">
        <v>231109</v>
      </c>
    </row>
    <row r="8318" spans="1:15" x14ac:dyDescent="0.25">
      <c r="A8318" t="s">
        <v>16</v>
      </c>
      <c r="B8318" t="s">
        <v>3221</v>
      </c>
      <c r="C8318">
        <v>15507</v>
      </c>
      <c r="D8318" t="s">
        <v>240</v>
      </c>
      <c r="E8318" t="s">
        <v>241</v>
      </c>
      <c r="F8318">
        <v>512.30999999999995</v>
      </c>
      <c r="G8318">
        <v>231031</v>
      </c>
      <c r="H8318">
        <v>4510</v>
      </c>
      <c r="I8318" t="s">
        <v>42</v>
      </c>
      <c r="J8318">
        <v>563.54</v>
      </c>
      <c r="K8318">
        <v>51.23</v>
      </c>
      <c r="L8318">
        <v>13502</v>
      </c>
      <c r="M8318" t="s">
        <v>243</v>
      </c>
      <c r="N8318" t="str">
        <f>"17140       "</f>
        <v xml:space="preserve">17140       </v>
      </c>
      <c r="O8318">
        <v>231113</v>
      </c>
    </row>
    <row r="8319" spans="1:15" x14ac:dyDescent="0.25">
      <c r="A8319" t="s">
        <v>16</v>
      </c>
      <c r="B8319" t="s">
        <v>3221</v>
      </c>
      <c r="C8319">
        <v>15532</v>
      </c>
      <c r="D8319" t="s">
        <v>240</v>
      </c>
      <c r="E8319" t="s">
        <v>241</v>
      </c>
      <c r="F8319">
        <v>15.07</v>
      </c>
      <c r="G8319">
        <v>231106</v>
      </c>
      <c r="H8319">
        <v>4510</v>
      </c>
      <c r="I8319" t="s">
        <v>42</v>
      </c>
      <c r="J8319">
        <v>16.579999999999998</v>
      </c>
      <c r="K8319">
        <v>1.51</v>
      </c>
      <c r="L8319">
        <v>43222</v>
      </c>
      <c r="M8319" t="s">
        <v>507</v>
      </c>
      <c r="N8319" t="str">
        <f>"17232       "</f>
        <v xml:space="preserve">17232       </v>
      </c>
      <c r="O8319">
        <v>231113</v>
      </c>
    </row>
    <row r="8320" spans="1:15" x14ac:dyDescent="0.25">
      <c r="A8320" t="s">
        <v>16</v>
      </c>
      <c r="B8320" t="s">
        <v>3221</v>
      </c>
      <c r="C8320">
        <v>15532</v>
      </c>
      <c r="D8320" t="s">
        <v>240</v>
      </c>
      <c r="E8320" t="s">
        <v>241</v>
      </c>
      <c r="F8320">
        <v>15.06</v>
      </c>
      <c r="G8320">
        <v>231106</v>
      </c>
      <c r="H8320">
        <v>4510</v>
      </c>
      <c r="I8320" t="s">
        <v>42</v>
      </c>
      <c r="J8320">
        <v>16.57</v>
      </c>
      <c r="K8320">
        <v>1.51</v>
      </c>
      <c r="L8320">
        <v>46557</v>
      </c>
      <c r="M8320" t="s">
        <v>221</v>
      </c>
      <c r="N8320" t="str">
        <f>"17232       "</f>
        <v xml:space="preserve">17232       </v>
      </c>
      <c r="O8320">
        <v>231113</v>
      </c>
    </row>
    <row r="8321" spans="1:15" x14ac:dyDescent="0.25">
      <c r="A8321" t="s">
        <v>16</v>
      </c>
      <c r="B8321" t="s">
        <v>3221</v>
      </c>
      <c r="C8321">
        <v>15601</v>
      </c>
      <c r="D8321" t="s">
        <v>240</v>
      </c>
      <c r="E8321" t="s">
        <v>241</v>
      </c>
      <c r="F8321">
        <v>40.21</v>
      </c>
      <c r="G8321">
        <v>231031</v>
      </c>
      <c r="H8321">
        <v>4510</v>
      </c>
      <c r="I8321" t="s">
        <v>42</v>
      </c>
      <c r="J8321">
        <v>44.23</v>
      </c>
      <c r="K8321">
        <v>4.0199999999999996</v>
      </c>
      <c r="L8321">
        <v>44222</v>
      </c>
      <c r="M8321" t="s">
        <v>232</v>
      </c>
      <c r="N8321" t="str">
        <f>"17139       "</f>
        <v xml:space="preserve">17139       </v>
      </c>
      <c r="O8321">
        <v>231114</v>
      </c>
    </row>
    <row r="8322" spans="1:15" x14ac:dyDescent="0.25">
      <c r="A8322" t="s">
        <v>16</v>
      </c>
      <c r="B8322" t="s">
        <v>3221</v>
      </c>
      <c r="C8322">
        <v>15601</v>
      </c>
      <c r="D8322" t="s">
        <v>240</v>
      </c>
      <c r="E8322" t="s">
        <v>241</v>
      </c>
      <c r="F8322">
        <v>13.07</v>
      </c>
      <c r="G8322">
        <v>231031</v>
      </c>
      <c r="H8322">
        <v>4510</v>
      </c>
      <c r="I8322" t="s">
        <v>42</v>
      </c>
      <c r="J8322">
        <v>14.38</v>
      </c>
      <c r="K8322">
        <v>1.31</v>
      </c>
      <c r="L8322">
        <v>46555</v>
      </c>
      <c r="M8322" t="s">
        <v>597</v>
      </c>
      <c r="N8322" t="str">
        <f>"17139       "</f>
        <v xml:space="preserve">17139       </v>
      </c>
      <c r="O8322">
        <v>231114</v>
      </c>
    </row>
    <row r="8323" spans="1:15" x14ac:dyDescent="0.25">
      <c r="A8323" t="s">
        <v>16</v>
      </c>
      <c r="B8323" t="s">
        <v>3221</v>
      </c>
      <c r="C8323">
        <v>15633</v>
      </c>
      <c r="D8323" t="s">
        <v>240</v>
      </c>
      <c r="E8323" t="s">
        <v>241</v>
      </c>
      <c r="F8323">
        <v>839.6</v>
      </c>
      <c r="G8323">
        <v>231113</v>
      </c>
      <c r="H8323">
        <v>4510</v>
      </c>
      <c r="I8323" t="s">
        <v>42</v>
      </c>
      <c r="J8323">
        <v>923.56</v>
      </c>
      <c r="K8323">
        <v>83.96</v>
      </c>
      <c r="L8323">
        <v>16321</v>
      </c>
      <c r="M8323" t="s">
        <v>423</v>
      </c>
      <c r="N8323" t="str">
        <f>"17360       "</f>
        <v xml:space="preserve">17360       </v>
      </c>
      <c r="O8323">
        <v>231114</v>
      </c>
    </row>
    <row r="8324" spans="1:15" x14ac:dyDescent="0.25">
      <c r="A8324" t="s">
        <v>16</v>
      </c>
      <c r="B8324" t="s">
        <v>3221</v>
      </c>
      <c r="C8324">
        <v>15715</v>
      </c>
      <c r="D8324" t="s">
        <v>240</v>
      </c>
      <c r="E8324" t="s">
        <v>241</v>
      </c>
      <c r="F8324">
        <v>217.26</v>
      </c>
      <c r="G8324">
        <v>231113</v>
      </c>
      <c r="H8324">
        <v>4510</v>
      </c>
      <c r="I8324" t="s">
        <v>42</v>
      </c>
      <c r="J8324">
        <v>238.99</v>
      </c>
      <c r="K8324">
        <v>21.73</v>
      </c>
      <c r="L8324">
        <v>69702</v>
      </c>
      <c r="M8324" t="s">
        <v>489</v>
      </c>
      <c r="N8324" t="str">
        <f>"17361       "</f>
        <v xml:space="preserve">17361       </v>
      </c>
      <c r="O8324">
        <v>231116</v>
      </c>
    </row>
    <row r="8325" spans="1:15" x14ac:dyDescent="0.25">
      <c r="A8325" t="s">
        <v>16</v>
      </c>
      <c r="B8325" t="s">
        <v>3221</v>
      </c>
      <c r="C8325">
        <v>16443</v>
      </c>
      <c r="D8325" t="s">
        <v>240</v>
      </c>
      <c r="E8325" t="s">
        <v>241</v>
      </c>
      <c r="F8325">
        <v>26.75</v>
      </c>
      <c r="G8325">
        <v>231120</v>
      </c>
      <c r="H8325">
        <v>4510</v>
      </c>
      <c r="I8325" t="s">
        <v>42</v>
      </c>
      <c r="J8325">
        <v>29.43</v>
      </c>
      <c r="K8325">
        <v>2.68</v>
      </c>
      <c r="L8325">
        <v>43222</v>
      </c>
      <c r="M8325" t="s">
        <v>507</v>
      </c>
      <c r="N8325" t="str">
        <f>"17504       "</f>
        <v xml:space="preserve">17504       </v>
      </c>
      <c r="O8325">
        <v>231129</v>
      </c>
    </row>
    <row r="8326" spans="1:15" x14ac:dyDescent="0.25">
      <c r="A8326" t="s">
        <v>16</v>
      </c>
      <c r="B8326" t="s">
        <v>3221</v>
      </c>
      <c r="C8326">
        <v>16443</v>
      </c>
      <c r="D8326" t="s">
        <v>240</v>
      </c>
      <c r="E8326" t="s">
        <v>241</v>
      </c>
      <c r="F8326">
        <v>13.08</v>
      </c>
      <c r="G8326">
        <v>231120</v>
      </c>
      <c r="H8326">
        <v>4510</v>
      </c>
      <c r="I8326" t="s">
        <v>42</v>
      </c>
      <c r="J8326">
        <v>14.39</v>
      </c>
      <c r="K8326">
        <v>1.31</v>
      </c>
      <c r="L8326">
        <v>44222</v>
      </c>
      <c r="M8326" t="s">
        <v>232</v>
      </c>
      <c r="N8326" t="str">
        <f>"17504       "</f>
        <v xml:space="preserve">17504       </v>
      </c>
      <c r="O8326">
        <v>231129</v>
      </c>
    </row>
    <row r="8327" spans="1:15" x14ac:dyDescent="0.25">
      <c r="A8327" t="s">
        <v>16</v>
      </c>
      <c r="B8327" t="s">
        <v>3221</v>
      </c>
      <c r="C8327">
        <v>16443</v>
      </c>
      <c r="D8327" t="s">
        <v>240</v>
      </c>
      <c r="E8327" t="s">
        <v>241</v>
      </c>
      <c r="F8327">
        <v>224.15</v>
      </c>
      <c r="G8327">
        <v>231120</v>
      </c>
      <c r="H8327">
        <v>4510</v>
      </c>
      <c r="I8327" t="s">
        <v>42</v>
      </c>
      <c r="J8327">
        <v>246.57</v>
      </c>
      <c r="K8327">
        <v>22.42</v>
      </c>
      <c r="L8327">
        <v>48601</v>
      </c>
      <c r="M8327" t="s">
        <v>1047</v>
      </c>
      <c r="N8327" t="str">
        <f>"17504       "</f>
        <v xml:space="preserve">17504       </v>
      </c>
      <c r="O8327">
        <v>231129</v>
      </c>
    </row>
    <row r="8328" spans="1:15" x14ac:dyDescent="0.25">
      <c r="A8328" t="s">
        <v>16</v>
      </c>
      <c r="B8328" t="s">
        <v>3221</v>
      </c>
      <c r="C8328">
        <v>16628</v>
      </c>
      <c r="D8328" t="s">
        <v>240</v>
      </c>
      <c r="E8328" t="s">
        <v>241</v>
      </c>
      <c r="F8328">
        <v>108.18</v>
      </c>
      <c r="G8328">
        <v>231130</v>
      </c>
      <c r="H8328">
        <v>4510</v>
      </c>
      <c r="I8328" t="s">
        <v>42</v>
      </c>
      <c r="J8328">
        <v>119</v>
      </c>
      <c r="K8328">
        <v>10.82</v>
      </c>
      <c r="L8328">
        <v>11101</v>
      </c>
      <c r="M8328" t="s">
        <v>110</v>
      </c>
      <c r="N8328" t="str">
        <f>"3976581     "</f>
        <v xml:space="preserve">3976581     </v>
      </c>
      <c r="O8328">
        <v>231205</v>
      </c>
    </row>
    <row r="8329" spans="1:15" x14ac:dyDescent="0.25">
      <c r="A8329" t="s">
        <v>16</v>
      </c>
      <c r="B8329" t="s">
        <v>3221</v>
      </c>
      <c r="C8329">
        <v>16628</v>
      </c>
      <c r="D8329" t="s">
        <v>240</v>
      </c>
      <c r="E8329" t="s">
        <v>241</v>
      </c>
      <c r="F8329">
        <v>108.18</v>
      </c>
      <c r="G8329">
        <v>231130</v>
      </c>
      <c r="H8329">
        <v>4510</v>
      </c>
      <c r="I8329" t="s">
        <v>42</v>
      </c>
      <c r="J8329">
        <v>119</v>
      </c>
      <c r="K8329">
        <v>10.82</v>
      </c>
      <c r="L8329">
        <v>11601</v>
      </c>
      <c r="M8329" t="s">
        <v>535</v>
      </c>
      <c r="N8329" t="str">
        <f>"3976581     "</f>
        <v xml:space="preserve">3976581     </v>
      </c>
      <c r="O8329">
        <v>231205</v>
      </c>
    </row>
    <row r="8330" spans="1:15" x14ac:dyDescent="0.25">
      <c r="A8330" t="s">
        <v>16</v>
      </c>
      <c r="B8330" t="s">
        <v>3221</v>
      </c>
      <c r="C8330">
        <v>16628</v>
      </c>
      <c r="D8330" t="s">
        <v>240</v>
      </c>
      <c r="E8330" t="s">
        <v>241</v>
      </c>
      <c r="F8330">
        <v>108.18</v>
      </c>
      <c r="G8330">
        <v>231130</v>
      </c>
      <c r="H8330">
        <v>4510</v>
      </c>
      <c r="I8330" t="s">
        <v>42</v>
      </c>
      <c r="J8330">
        <v>119</v>
      </c>
      <c r="K8330">
        <v>10.82</v>
      </c>
      <c r="L8330">
        <v>18972</v>
      </c>
      <c r="M8330" t="s">
        <v>163</v>
      </c>
      <c r="N8330" t="str">
        <f>"3976581     "</f>
        <v xml:space="preserve">3976581     </v>
      </c>
      <c r="O8330">
        <v>231205</v>
      </c>
    </row>
    <row r="8331" spans="1:15" x14ac:dyDescent="0.25">
      <c r="A8331" t="s">
        <v>16</v>
      </c>
      <c r="B8331" t="s">
        <v>3221</v>
      </c>
      <c r="C8331">
        <v>16880</v>
      </c>
      <c r="D8331" t="s">
        <v>240</v>
      </c>
      <c r="E8331" t="s">
        <v>241</v>
      </c>
      <c r="F8331">
        <v>70.510000000000005</v>
      </c>
      <c r="G8331">
        <v>231130</v>
      </c>
      <c r="H8331">
        <v>4510</v>
      </c>
      <c r="I8331" t="s">
        <v>42</v>
      </c>
      <c r="J8331">
        <v>77.56</v>
      </c>
      <c r="K8331">
        <v>7.05</v>
      </c>
      <c r="L8331">
        <v>13502</v>
      </c>
      <c r="M8331" t="s">
        <v>243</v>
      </c>
      <c r="N8331" t="str">
        <f>"17815       "</f>
        <v xml:space="preserve">17815       </v>
      </c>
      <c r="O8331">
        <v>231211</v>
      </c>
    </row>
    <row r="8332" spans="1:15" x14ac:dyDescent="0.25">
      <c r="A8332" t="s">
        <v>16</v>
      </c>
      <c r="B8332" t="s">
        <v>3221</v>
      </c>
      <c r="C8332">
        <v>16885</v>
      </c>
      <c r="D8332" t="s">
        <v>240</v>
      </c>
      <c r="E8332" t="s">
        <v>241</v>
      </c>
      <c r="F8332">
        <v>42.62</v>
      </c>
      <c r="G8332">
        <v>231130</v>
      </c>
      <c r="H8332">
        <v>4510</v>
      </c>
      <c r="I8332" t="s">
        <v>42</v>
      </c>
      <c r="J8332">
        <v>46.88</v>
      </c>
      <c r="K8332">
        <v>4.26</v>
      </c>
      <c r="L8332">
        <v>13402</v>
      </c>
      <c r="M8332" t="s">
        <v>242</v>
      </c>
      <c r="N8332" t="str">
        <f>"17816       "</f>
        <v xml:space="preserve">17816       </v>
      </c>
      <c r="O8332">
        <v>231211</v>
      </c>
    </row>
    <row r="8333" spans="1:15" x14ac:dyDescent="0.25">
      <c r="A8333" t="s">
        <v>16</v>
      </c>
      <c r="B8333" t="s">
        <v>3221</v>
      </c>
      <c r="C8333">
        <v>16897</v>
      </c>
      <c r="D8333" t="s">
        <v>240</v>
      </c>
      <c r="E8333" t="s">
        <v>241</v>
      </c>
      <c r="F8333">
        <v>226.62</v>
      </c>
      <c r="G8333">
        <v>231130</v>
      </c>
      <c r="H8333">
        <v>4510</v>
      </c>
      <c r="I8333" t="s">
        <v>42</v>
      </c>
      <c r="J8333">
        <v>249.28</v>
      </c>
      <c r="K8333">
        <v>22.66</v>
      </c>
      <c r="L8333">
        <v>14622</v>
      </c>
      <c r="M8333" t="s">
        <v>1005</v>
      </c>
      <c r="N8333" t="str">
        <f>"17814       "</f>
        <v xml:space="preserve">17814       </v>
      </c>
      <c r="O8333">
        <v>231211</v>
      </c>
    </row>
    <row r="8334" spans="1:15" x14ac:dyDescent="0.25">
      <c r="A8334" t="s">
        <v>16</v>
      </c>
      <c r="B8334" t="s">
        <v>3221</v>
      </c>
      <c r="C8334">
        <v>17346</v>
      </c>
      <c r="D8334" t="s">
        <v>240</v>
      </c>
      <c r="E8334" t="s">
        <v>241</v>
      </c>
      <c r="F8334">
        <v>72.64</v>
      </c>
      <c r="G8334">
        <v>231211</v>
      </c>
      <c r="H8334">
        <v>4510</v>
      </c>
      <c r="I8334" t="s">
        <v>42</v>
      </c>
      <c r="J8334">
        <v>79.900000000000006</v>
      </c>
      <c r="K8334">
        <v>7.26</v>
      </c>
      <c r="L8334">
        <v>13402</v>
      </c>
      <c r="M8334" t="s">
        <v>242</v>
      </c>
      <c r="N8334" t="str">
        <f>"18041       "</f>
        <v xml:space="preserve">18041       </v>
      </c>
      <c r="O8334">
        <v>231213</v>
      </c>
    </row>
    <row r="8335" spans="1:15" x14ac:dyDescent="0.25">
      <c r="A8335" t="s">
        <v>16</v>
      </c>
      <c r="B8335" t="s">
        <v>3221</v>
      </c>
      <c r="C8335">
        <v>17486</v>
      </c>
      <c r="D8335" t="s">
        <v>240</v>
      </c>
      <c r="E8335" t="s">
        <v>241</v>
      </c>
      <c r="F8335">
        <v>257.93</v>
      </c>
      <c r="G8335">
        <v>231211</v>
      </c>
      <c r="H8335">
        <v>4510</v>
      </c>
      <c r="I8335" t="s">
        <v>42</v>
      </c>
      <c r="J8335">
        <v>283.72000000000003</v>
      </c>
      <c r="K8335">
        <v>25.79</v>
      </c>
      <c r="L8335">
        <v>13502</v>
      </c>
      <c r="M8335" t="s">
        <v>243</v>
      </c>
      <c r="N8335" t="str">
        <f>"18040       "</f>
        <v xml:space="preserve">18040       </v>
      </c>
      <c r="O8335">
        <v>231214</v>
      </c>
    </row>
    <row r="8336" spans="1:15" x14ac:dyDescent="0.25">
      <c r="A8336" t="s">
        <v>16</v>
      </c>
      <c r="B8336" t="s">
        <v>3221</v>
      </c>
      <c r="C8336">
        <v>18399</v>
      </c>
      <c r="D8336" t="s">
        <v>240</v>
      </c>
      <c r="E8336" t="s">
        <v>241</v>
      </c>
      <c r="F8336">
        <v>96.73</v>
      </c>
      <c r="G8336">
        <v>231225</v>
      </c>
      <c r="H8336">
        <v>4510</v>
      </c>
      <c r="I8336" t="s">
        <v>42</v>
      </c>
      <c r="J8336">
        <v>106.4</v>
      </c>
      <c r="K8336">
        <v>9.67</v>
      </c>
      <c r="L8336">
        <v>48601</v>
      </c>
      <c r="M8336" t="s">
        <v>1047</v>
      </c>
      <c r="N8336" t="str">
        <f>"3995346     "</f>
        <v xml:space="preserve">3995346     </v>
      </c>
      <c r="O8336">
        <v>240103</v>
      </c>
    </row>
    <row r="8337" spans="1:15" x14ac:dyDescent="0.25">
      <c r="A8337" t="s">
        <v>16</v>
      </c>
      <c r="B8337" t="s">
        <v>3221</v>
      </c>
      <c r="C8337">
        <v>18437</v>
      </c>
      <c r="D8337" t="s">
        <v>240</v>
      </c>
      <c r="E8337" t="s">
        <v>241</v>
      </c>
      <c r="F8337">
        <v>3.95</v>
      </c>
      <c r="G8337">
        <v>231222</v>
      </c>
      <c r="H8337">
        <v>4510</v>
      </c>
      <c r="I8337" t="s">
        <v>42</v>
      </c>
      <c r="J8337">
        <v>4.9000000000000004</v>
      </c>
      <c r="K8337">
        <v>0.95</v>
      </c>
      <c r="L8337">
        <v>48601</v>
      </c>
      <c r="M8337" t="s">
        <v>1047</v>
      </c>
      <c r="N8337" t="str">
        <f>"3994522     "</f>
        <v xml:space="preserve">3994522     </v>
      </c>
      <c r="O8337">
        <v>240103</v>
      </c>
    </row>
    <row r="8338" spans="1:15" x14ac:dyDescent="0.25">
      <c r="A8338" t="s">
        <v>16</v>
      </c>
      <c r="B8338" t="s">
        <v>3221</v>
      </c>
      <c r="C8338">
        <v>18437</v>
      </c>
      <c r="D8338" t="s">
        <v>240</v>
      </c>
      <c r="E8338" t="s">
        <v>241</v>
      </c>
      <c r="F8338">
        <v>515</v>
      </c>
      <c r="G8338">
        <v>231222</v>
      </c>
      <c r="H8338">
        <v>4510</v>
      </c>
      <c r="I8338" t="s">
        <v>42</v>
      </c>
      <c r="J8338">
        <v>566.5</v>
      </c>
      <c r="K8338">
        <v>51.5</v>
      </c>
      <c r="L8338">
        <v>48601</v>
      </c>
      <c r="M8338" t="s">
        <v>1047</v>
      </c>
      <c r="N8338" t="str">
        <f>"3994522     "</f>
        <v xml:space="preserve">3994522     </v>
      </c>
      <c r="O8338">
        <v>240103</v>
      </c>
    </row>
    <row r="8339" spans="1:15" x14ac:dyDescent="0.25">
      <c r="A8339" t="s">
        <v>16</v>
      </c>
      <c r="B8339" t="s">
        <v>3221</v>
      </c>
      <c r="C8339">
        <v>18663</v>
      </c>
      <c r="D8339" t="s">
        <v>240</v>
      </c>
      <c r="E8339" t="s">
        <v>241</v>
      </c>
      <c r="F8339">
        <v>38.020000000000003</v>
      </c>
      <c r="G8339">
        <v>231227</v>
      </c>
      <c r="H8339">
        <v>4510</v>
      </c>
      <c r="I8339" t="s">
        <v>42</v>
      </c>
      <c r="J8339">
        <v>41.82</v>
      </c>
      <c r="K8339">
        <v>3.8</v>
      </c>
      <c r="L8339">
        <v>44222</v>
      </c>
      <c r="M8339" t="s">
        <v>232</v>
      </c>
      <c r="N8339" t="str">
        <f>"18357       "</f>
        <v xml:space="preserve">18357       </v>
      </c>
      <c r="O8339">
        <v>240104</v>
      </c>
    </row>
    <row r="8340" spans="1:15" x14ac:dyDescent="0.25">
      <c r="A8340" t="s">
        <v>16</v>
      </c>
      <c r="B8340" t="s">
        <v>3221</v>
      </c>
      <c r="C8340">
        <v>18789</v>
      </c>
      <c r="D8340" t="s">
        <v>240</v>
      </c>
      <c r="E8340" t="s">
        <v>241</v>
      </c>
      <c r="F8340">
        <v>39.24</v>
      </c>
      <c r="G8340">
        <v>231227</v>
      </c>
      <c r="H8340">
        <v>4510</v>
      </c>
      <c r="I8340" t="s">
        <v>42</v>
      </c>
      <c r="J8340">
        <v>43.16</v>
      </c>
      <c r="K8340">
        <v>3.92</v>
      </c>
      <c r="L8340">
        <v>13202</v>
      </c>
      <c r="M8340" t="s">
        <v>1910</v>
      </c>
      <c r="N8340" t="str">
        <f>"18359       "</f>
        <v xml:space="preserve">18359       </v>
      </c>
      <c r="O8340">
        <v>240105</v>
      </c>
    </row>
    <row r="8341" spans="1:15" x14ac:dyDescent="0.25">
      <c r="A8341" t="s">
        <v>16</v>
      </c>
      <c r="B8341" t="s">
        <v>3221</v>
      </c>
      <c r="C8341">
        <v>18790</v>
      </c>
      <c r="D8341" t="s">
        <v>240</v>
      </c>
      <c r="E8341" t="s">
        <v>241</v>
      </c>
      <c r="F8341">
        <v>30.14</v>
      </c>
      <c r="G8341">
        <v>231227</v>
      </c>
      <c r="H8341">
        <v>4510</v>
      </c>
      <c r="I8341" t="s">
        <v>42</v>
      </c>
      <c r="J8341">
        <v>33.15</v>
      </c>
      <c r="K8341">
        <v>3.01</v>
      </c>
      <c r="L8341">
        <v>13502</v>
      </c>
      <c r="M8341" t="s">
        <v>243</v>
      </c>
      <c r="N8341" t="str">
        <f>"18358       "</f>
        <v xml:space="preserve">18358       </v>
      </c>
      <c r="O8341">
        <v>240105</v>
      </c>
    </row>
    <row r="8342" spans="1:15" x14ac:dyDescent="0.25">
      <c r="A8342" t="s">
        <v>16</v>
      </c>
      <c r="B8342" t="s">
        <v>3221</v>
      </c>
      <c r="C8342">
        <v>19317</v>
      </c>
      <c r="D8342" t="s">
        <v>240</v>
      </c>
      <c r="E8342" t="s">
        <v>241</v>
      </c>
      <c r="F8342">
        <v>57.67</v>
      </c>
      <c r="G8342">
        <v>231227</v>
      </c>
      <c r="H8342">
        <v>4510</v>
      </c>
      <c r="I8342" t="s">
        <v>42</v>
      </c>
      <c r="J8342">
        <v>63.44</v>
      </c>
      <c r="K8342">
        <v>5.77</v>
      </c>
      <c r="L8342">
        <v>69703</v>
      </c>
      <c r="M8342" t="s">
        <v>1036</v>
      </c>
      <c r="N8342" t="str">
        <f>"3999479     "</f>
        <v xml:space="preserve">3999479     </v>
      </c>
      <c r="O8342">
        <v>240117</v>
      </c>
    </row>
    <row r="8343" spans="1:15" x14ac:dyDescent="0.25">
      <c r="A8343" t="s">
        <v>16</v>
      </c>
      <c r="B8343" t="s">
        <v>3221</v>
      </c>
      <c r="C8343">
        <v>19318</v>
      </c>
      <c r="D8343" t="s">
        <v>240</v>
      </c>
      <c r="E8343" t="s">
        <v>241</v>
      </c>
      <c r="F8343">
        <v>57.67</v>
      </c>
      <c r="G8343">
        <v>231227</v>
      </c>
      <c r="H8343">
        <v>4510</v>
      </c>
      <c r="I8343" t="s">
        <v>42</v>
      </c>
      <c r="J8343">
        <v>63.44</v>
      </c>
      <c r="K8343">
        <v>5.77</v>
      </c>
      <c r="L8343">
        <v>69701</v>
      </c>
      <c r="M8343" t="s">
        <v>488</v>
      </c>
      <c r="N8343" t="str">
        <f>"3999440     "</f>
        <v xml:space="preserve">3999440     </v>
      </c>
      <c r="O8343">
        <v>240117</v>
      </c>
    </row>
    <row r="8344" spans="1:15" x14ac:dyDescent="0.25">
      <c r="A8344" t="s">
        <v>16</v>
      </c>
      <c r="B8344" t="s">
        <v>3221</v>
      </c>
      <c r="C8344">
        <v>19325</v>
      </c>
      <c r="D8344" t="s">
        <v>240</v>
      </c>
      <c r="E8344" t="s">
        <v>241</v>
      </c>
      <c r="F8344">
        <v>57.67</v>
      </c>
      <c r="G8344">
        <v>231227</v>
      </c>
      <c r="H8344">
        <v>4510</v>
      </c>
      <c r="I8344" t="s">
        <v>42</v>
      </c>
      <c r="J8344">
        <v>63.44</v>
      </c>
      <c r="K8344">
        <v>5.77</v>
      </c>
      <c r="L8344">
        <v>59701</v>
      </c>
      <c r="M8344" t="s">
        <v>297</v>
      </c>
      <c r="N8344" t="str">
        <f>"3999457     "</f>
        <v xml:space="preserve">3999457     </v>
      </c>
      <c r="O8344">
        <v>240117</v>
      </c>
    </row>
    <row r="8345" spans="1:15" x14ac:dyDescent="0.25">
      <c r="A8345" t="s">
        <v>16</v>
      </c>
      <c r="B8345" t="s">
        <v>3221</v>
      </c>
      <c r="C8345">
        <v>19328</v>
      </c>
      <c r="D8345" t="s">
        <v>240</v>
      </c>
      <c r="E8345" t="s">
        <v>241</v>
      </c>
      <c r="F8345">
        <v>57.67</v>
      </c>
      <c r="G8345">
        <v>231227</v>
      </c>
      <c r="H8345">
        <v>4510</v>
      </c>
      <c r="I8345" t="s">
        <v>42</v>
      </c>
      <c r="J8345">
        <v>63.44</v>
      </c>
      <c r="K8345">
        <v>5.77</v>
      </c>
      <c r="L8345">
        <v>11601</v>
      </c>
      <c r="M8345" t="s">
        <v>535</v>
      </c>
      <c r="N8345" t="str">
        <f>"3999704     "</f>
        <v xml:space="preserve">3999704     </v>
      </c>
      <c r="O8345">
        <v>240117</v>
      </c>
    </row>
    <row r="8346" spans="1:15" x14ac:dyDescent="0.25">
      <c r="A8346" t="s">
        <v>16</v>
      </c>
      <c r="B8346" t="s">
        <v>3221</v>
      </c>
      <c r="C8346">
        <v>19349</v>
      </c>
      <c r="D8346" t="s">
        <v>240</v>
      </c>
      <c r="E8346" t="s">
        <v>241</v>
      </c>
      <c r="F8346">
        <v>190.89</v>
      </c>
      <c r="G8346">
        <v>231227</v>
      </c>
      <c r="H8346">
        <v>4510</v>
      </c>
      <c r="I8346" t="s">
        <v>42</v>
      </c>
      <c r="J8346">
        <v>236.7</v>
      </c>
      <c r="K8346">
        <v>45.81</v>
      </c>
      <c r="L8346">
        <v>17972</v>
      </c>
      <c r="M8346" t="s">
        <v>248</v>
      </c>
      <c r="N8346" t="str">
        <f>"3999458     "</f>
        <v xml:space="preserve">3999458     </v>
      </c>
      <c r="O8346">
        <v>240117</v>
      </c>
    </row>
    <row r="8347" spans="1:15" x14ac:dyDescent="0.25">
      <c r="A8347" t="s">
        <v>16</v>
      </c>
      <c r="B8347" t="s">
        <v>3221</v>
      </c>
      <c r="C8347">
        <v>10981</v>
      </c>
      <c r="D8347" t="s">
        <v>240</v>
      </c>
      <c r="E8347" t="s">
        <v>241</v>
      </c>
      <c r="F8347">
        <v>2031.21</v>
      </c>
      <c r="G8347">
        <v>230821</v>
      </c>
      <c r="H8347">
        <v>4600</v>
      </c>
      <c r="I8347" t="s">
        <v>105</v>
      </c>
      <c r="J8347">
        <v>2234.33</v>
      </c>
      <c r="K8347">
        <v>203.12</v>
      </c>
      <c r="L8347">
        <v>54222</v>
      </c>
      <c r="M8347" t="s">
        <v>308</v>
      </c>
      <c r="N8347" t="str">
        <f>"15105       "</f>
        <v xml:space="preserve">15105       </v>
      </c>
      <c r="O8347">
        <v>230825</v>
      </c>
    </row>
    <row r="8348" spans="1:15" x14ac:dyDescent="0.25">
      <c r="A8348" t="s">
        <v>16</v>
      </c>
      <c r="B8348" t="s">
        <v>3221</v>
      </c>
      <c r="C8348">
        <v>13197</v>
      </c>
      <c r="D8348" t="s">
        <v>240</v>
      </c>
      <c r="E8348" t="s">
        <v>241</v>
      </c>
      <c r="F8348">
        <v>4.76</v>
      </c>
      <c r="G8348">
        <v>230927</v>
      </c>
      <c r="H8348">
        <v>4364</v>
      </c>
      <c r="I8348" t="s">
        <v>296</v>
      </c>
      <c r="J8348">
        <v>5.9</v>
      </c>
      <c r="K8348">
        <v>1.1399999999999999</v>
      </c>
      <c r="L8348">
        <v>11903</v>
      </c>
      <c r="M8348" t="s">
        <v>406</v>
      </c>
      <c r="N8348" t="str">
        <f>"3935280     "</f>
        <v xml:space="preserve">3935280     </v>
      </c>
      <c r="O8348">
        <v>231005</v>
      </c>
    </row>
    <row r="8349" spans="1:15" x14ac:dyDescent="0.25">
      <c r="A8349" t="s">
        <v>16</v>
      </c>
      <c r="B8349" t="s">
        <v>3221</v>
      </c>
      <c r="C8349">
        <v>3749</v>
      </c>
      <c r="D8349" t="s">
        <v>240</v>
      </c>
      <c r="E8349" t="s">
        <v>241</v>
      </c>
      <c r="F8349">
        <v>23.94</v>
      </c>
      <c r="G8349">
        <v>230320</v>
      </c>
      <c r="H8349">
        <v>4500</v>
      </c>
      <c r="I8349" t="s">
        <v>212</v>
      </c>
      <c r="J8349">
        <v>29.69</v>
      </c>
      <c r="K8349">
        <v>5.75</v>
      </c>
      <c r="L8349">
        <v>16431</v>
      </c>
      <c r="M8349" t="s">
        <v>231</v>
      </c>
      <c r="N8349" t="str">
        <f>"12338       "</f>
        <v xml:space="preserve">12338       </v>
      </c>
      <c r="O8349">
        <v>230321</v>
      </c>
    </row>
    <row r="8350" spans="1:15" x14ac:dyDescent="0.25">
      <c r="A8350" t="s">
        <v>16</v>
      </c>
      <c r="B8350" t="s">
        <v>3221</v>
      </c>
      <c r="C8350">
        <v>6514</v>
      </c>
      <c r="D8350" t="s">
        <v>240</v>
      </c>
      <c r="E8350" t="s">
        <v>241</v>
      </c>
      <c r="F8350">
        <v>47.87</v>
      </c>
      <c r="G8350">
        <v>230426</v>
      </c>
      <c r="H8350">
        <v>4500</v>
      </c>
      <c r="I8350" t="s">
        <v>212</v>
      </c>
      <c r="J8350">
        <v>59.36</v>
      </c>
      <c r="K8350">
        <v>11.49</v>
      </c>
      <c r="L8350">
        <v>41126</v>
      </c>
      <c r="M8350" t="s">
        <v>761</v>
      </c>
      <c r="N8350" t="str">
        <f t="shared" ref="N8350:N8357" si="162">"13149       "</f>
        <v xml:space="preserve">13149       </v>
      </c>
      <c r="O8350">
        <v>230512</v>
      </c>
    </row>
    <row r="8351" spans="1:15" x14ac:dyDescent="0.25">
      <c r="A8351" t="s">
        <v>16</v>
      </c>
      <c r="B8351" t="s">
        <v>3221</v>
      </c>
      <c r="C8351">
        <v>6514</v>
      </c>
      <c r="D8351" t="s">
        <v>240</v>
      </c>
      <c r="E8351" t="s">
        <v>241</v>
      </c>
      <c r="F8351">
        <v>23.94</v>
      </c>
      <c r="G8351">
        <v>230426</v>
      </c>
      <c r="H8351">
        <v>4500</v>
      </c>
      <c r="I8351" t="s">
        <v>212</v>
      </c>
      <c r="J8351">
        <v>29.68</v>
      </c>
      <c r="K8351">
        <v>5.74</v>
      </c>
      <c r="L8351">
        <v>43222</v>
      </c>
      <c r="M8351" t="s">
        <v>507</v>
      </c>
      <c r="N8351" t="str">
        <f t="shared" si="162"/>
        <v xml:space="preserve">13149       </v>
      </c>
      <c r="O8351">
        <v>230512</v>
      </c>
    </row>
    <row r="8352" spans="1:15" x14ac:dyDescent="0.25">
      <c r="A8352" t="s">
        <v>16</v>
      </c>
      <c r="B8352" t="s">
        <v>3221</v>
      </c>
      <c r="C8352">
        <v>6514</v>
      </c>
      <c r="D8352" t="s">
        <v>240</v>
      </c>
      <c r="E8352" t="s">
        <v>241</v>
      </c>
      <c r="F8352">
        <v>35.9</v>
      </c>
      <c r="G8352">
        <v>230426</v>
      </c>
      <c r="H8352">
        <v>4500</v>
      </c>
      <c r="I8352" t="s">
        <v>212</v>
      </c>
      <c r="J8352">
        <v>44.52</v>
      </c>
      <c r="K8352">
        <v>8.6199999999999992</v>
      </c>
      <c r="L8352">
        <v>44222</v>
      </c>
      <c r="M8352" t="s">
        <v>232</v>
      </c>
      <c r="N8352" t="str">
        <f t="shared" si="162"/>
        <v xml:space="preserve">13149       </v>
      </c>
      <c r="O8352">
        <v>230512</v>
      </c>
    </row>
    <row r="8353" spans="1:15" x14ac:dyDescent="0.25">
      <c r="A8353" t="s">
        <v>16</v>
      </c>
      <c r="B8353" t="s">
        <v>3221</v>
      </c>
      <c r="C8353">
        <v>6514</v>
      </c>
      <c r="D8353" t="s">
        <v>240</v>
      </c>
      <c r="E8353" t="s">
        <v>241</v>
      </c>
      <c r="F8353">
        <v>23.94</v>
      </c>
      <c r="G8353">
        <v>230426</v>
      </c>
      <c r="H8353">
        <v>4500</v>
      </c>
      <c r="I8353" t="s">
        <v>212</v>
      </c>
      <c r="J8353">
        <v>29.68</v>
      </c>
      <c r="K8353">
        <v>5.74</v>
      </c>
      <c r="L8353">
        <v>44424</v>
      </c>
      <c r="M8353" t="s">
        <v>776</v>
      </c>
      <c r="N8353" t="str">
        <f t="shared" si="162"/>
        <v xml:space="preserve">13149       </v>
      </c>
      <c r="O8353">
        <v>230512</v>
      </c>
    </row>
    <row r="8354" spans="1:15" x14ac:dyDescent="0.25">
      <c r="A8354" t="s">
        <v>16</v>
      </c>
      <c r="B8354" t="s">
        <v>3221</v>
      </c>
      <c r="C8354">
        <v>6514</v>
      </c>
      <c r="D8354" t="s">
        <v>240</v>
      </c>
      <c r="E8354" t="s">
        <v>241</v>
      </c>
      <c r="F8354">
        <v>11.97</v>
      </c>
      <c r="G8354">
        <v>230426</v>
      </c>
      <c r="H8354">
        <v>4500</v>
      </c>
      <c r="I8354" t="s">
        <v>212</v>
      </c>
      <c r="J8354">
        <v>14.84</v>
      </c>
      <c r="K8354">
        <v>2.87</v>
      </c>
      <c r="L8354">
        <v>46222</v>
      </c>
      <c r="M8354" t="s">
        <v>293</v>
      </c>
      <c r="N8354" t="str">
        <f t="shared" si="162"/>
        <v xml:space="preserve">13149       </v>
      </c>
      <c r="O8354">
        <v>230512</v>
      </c>
    </row>
    <row r="8355" spans="1:15" x14ac:dyDescent="0.25">
      <c r="A8355" t="s">
        <v>16</v>
      </c>
      <c r="B8355" t="s">
        <v>3221</v>
      </c>
      <c r="C8355">
        <v>6514</v>
      </c>
      <c r="D8355" t="s">
        <v>240</v>
      </c>
      <c r="E8355" t="s">
        <v>241</v>
      </c>
      <c r="F8355">
        <v>12</v>
      </c>
      <c r="G8355">
        <v>230426</v>
      </c>
      <c r="H8355">
        <v>4500</v>
      </c>
      <c r="I8355" t="s">
        <v>212</v>
      </c>
      <c r="J8355">
        <v>14.88</v>
      </c>
      <c r="K8355">
        <v>2.88</v>
      </c>
      <c r="L8355">
        <v>46556</v>
      </c>
      <c r="M8355" t="s">
        <v>125</v>
      </c>
      <c r="N8355" t="str">
        <f t="shared" si="162"/>
        <v xml:space="preserve">13149       </v>
      </c>
      <c r="O8355">
        <v>230512</v>
      </c>
    </row>
    <row r="8356" spans="1:15" x14ac:dyDescent="0.25">
      <c r="A8356" t="s">
        <v>16</v>
      </c>
      <c r="B8356" t="s">
        <v>3221</v>
      </c>
      <c r="C8356">
        <v>6514</v>
      </c>
      <c r="D8356" t="s">
        <v>240</v>
      </c>
      <c r="E8356" t="s">
        <v>241</v>
      </c>
      <c r="F8356">
        <v>11.97</v>
      </c>
      <c r="G8356">
        <v>230426</v>
      </c>
      <c r="H8356">
        <v>4500</v>
      </c>
      <c r="I8356" t="s">
        <v>212</v>
      </c>
      <c r="J8356">
        <v>14.84</v>
      </c>
      <c r="K8356">
        <v>2.87</v>
      </c>
      <c r="L8356">
        <v>48601</v>
      </c>
      <c r="M8356" t="s">
        <v>1047</v>
      </c>
      <c r="N8356" t="str">
        <f t="shared" si="162"/>
        <v xml:space="preserve">13149       </v>
      </c>
      <c r="O8356">
        <v>230512</v>
      </c>
    </row>
    <row r="8357" spans="1:15" x14ac:dyDescent="0.25">
      <c r="A8357" t="s">
        <v>16</v>
      </c>
      <c r="B8357" t="s">
        <v>3221</v>
      </c>
      <c r="C8357">
        <v>6514</v>
      </c>
      <c r="D8357" t="s">
        <v>240</v>
      </c>
      <c r="E8357" t="s">
        <v>241</v>
      </c>
      <c r="F8357">
        <v>23.94</v>
      </c>
      <c r="G8357">
        <v>230426</v>
      </c>
      <c r="H8357">
        <v>4500</v>
      </c>
      <c r="I8357" t="s">
        <v>212</v>
      </c>
      <c r="J8357">
        <v>29.68</v>
      </c>
      <c r="K8357">
        <v>5.74</v>
      </c>
      <c r="L8357">
        <v>48601</v>
      </c>
      <c r="M8357" t="s">
        <v>1047</v>
      </c>
      <c r="N8357" t="str">
        <f t="shared" si="162"/>
        <v xml:space="preserve">13149       </v>
      </c>
      <c r="O8357">
        <v>230512</v>
      </c>
    </row>
    <row r="8358" spans="1:15" x14ac:dyDescent="0.25">
      <c r="A8358" t="s">
        <v>16</v>
      </c>
      <c r="B8358" t="s">
        <v>3221</v>
      </c>
      <c r="C8358">
        <v>3180</v>
      </c>
      <c r="D8358" t="s">
        <v>240</v>
      </c>
      <c r="E8358" t="s">
        <v>241</v>
      </c>
      <c r="F8358">
        <v>7.98</v>
      </c>
      <c r="G8358">
        <v>230308</v>
      </c>
      <c r="H8358">
        <v>4347</v>
      </c>
      <c r="I8358" t="s">
        <v>193</v>
      </c>
      <c r="J8358">
        <v>9.9</v>
      </c>
      <c r="K8358">
        <v>1.92</v>
      </c>
      <c r="L8358">
        <v>11501</v>
      </c>
      <c r="M8358" t="s">
        <v>339</v>
      </c>
      <c r="N8358" t="str">
        <f>"3830898     "</f>
        <v xml:space="preserve">3830898     </v>
      </c>
      <c r="O8358">
        <v>230310</v>
      </c>
    </row>
    <row r="8359" spans="1:15" x14ac:dyDescent="0.25">
      <c r="A8359" t="s">
        <v>16</v>
      </c>
      <c r="B8359" t="s">
        <v>3221</v>
      </c>
      <c r="C8359">
        <v>12166</v>
      </c>
      <c r="D8359" t="s">
        <v>3522</v>
      </c>
      <c r="E8359" t="s">
        <v>3523</v>
      </c>
      <c r="F8359">
        <v>100</v>
      </c>
      <c r="G8359">
        <v>230831</v>
      </c>
      <c r="H8359">
        <v>4441</v>
      </c>
      <c r="I8359" t="s">
        <v>109</v>
      </c>
      <c r="J8359">
        <v>100</v>
      </c>
      <c r="K8359">
        <v>0</v>
      </c>
      <c r="L8359">
        <v>44422</v>
      </c>
      <c r="M8359" t="s">
        <v>482</v>
      </c>
      <c r="N8359" t="str">
        <f>"23312473    "</f>
        <v xml:space="preserve">23312473    </v>
      </c>
      <c r="O8359">
        <v>230914</v>
      </c>
    </row>
    <row r="8360" spans="1:15" x14ac:dyDescent="0.25">
      <c r="A8360" t="s">
        <v>16</v>
      </c>
      <c r="B8360" t="s">
        <v>3221</v>
      </c>
      <c r="C8360">
        <v>12166</v>
      </c>
      <c r="D8360" t="s">
        <v>3522</v>
      </c>
      <c r="E8360" t="s">
        <v>3523</v>
      </c>
      <c r="F8360">
        <v>100</v>
      </c>
      <c r="G8360">
        <v>230831</v>
      </c>
      <c r="H8360">
        <v>4441</v>
      </c>
      <c r="I8360" t="s">
        <v>109</v>
      </c>
      <c r="J8360">
        <v>100</v>
      </c>
      <c r="K8360">
        <v>0</v>
      </c>
      <c r="L8360">
        <v>44423</v>
      </c>
      <c r="M8360" t="s">
        <v>502</v>
      </c>
      <c r="N8360" t="str">
        <f>"23312473    "</f>
        <v xml:space="preserve">23312473    </v>
      </c>
      <c r="O8360">
        <v>230914</v>
      </c>
    </row>
    <row r="8361" spans="1:15" x14ac:dyDescent="0.25">
      <c r="A8361" t="s">
        <v>16</v>
      </c>
      <c r="B8361" t="s">
        <v>3221</v>
      </c>
      <c r="C8361">
        <v>2317</v>
      </c>
      <c r="D8361" t="s">
        <v>1356</v>
      </c>
      <c r="E8361" t="s">
        <v>1357</v>
      </c>
      <c r="F8361">
        <v>183.11</v>
      </c>
      <c r="G8361">
        <v>230208</v>
      </c>
      <c r="H8361">
        <v>4520</v>
      </c>
      <c r="I8361" t="s">
        <v>254</v>
      </c>
      <c r="J8361">
        <v>227.06</v>
      </c>
      <c r="K8361">
        <v>43.95</v>
      </c>
      <c r="L8361">
        <v>14432</v>
      </c>
      <c r="M8361" t="s">
        <v>862</v>
      </c>
      <c r="N8361" t="str">
        <f>"8310205     "</f>
        <v xml:space="preserve">8310205     </v>
      </c>
      <c r="O8361">
        <v>230224</v>
      </c>
    </row>
    <row r="8362" spans="1:15" x14ac:dyDescent="0.25">
      <c r="A8362" t="s">
        <v>16</v>
      </c>
      <c r="B8362" t="s">
        <v>3221</v>
      </c>
      <c r="C8362">
        <v>2317</v>
      </c>
      <c r="D8362" t="s">
        <v>1356</v>
      </c>
      <c r="E8362" t="s">
        <v>1357</v>
      </c>
      <c r="F8362">
        <v>220.01</v>
      </c>
      <c r="G8362">
        <v>230208</v>
      </c>
      <c r="H8362">
        <v>4520</v>
      </c>
      <c r="I8362" t="s">
        <v>254</v>
      </c>
      <c r="J8362">
        <v>272.81</v>
      </c>
      <c r="K8362">
        <v>52.8</v>
      </c>
      <c r="L8362">
        <v>14642</v>
      </c>
      <c r="M8362" t="s">
        <v>863</v>
      </c>
      <c r="N8362" t="str">
        <f>"8310205     "</f>
        <v xml:space="preserve">8310205     </v>
      </c>
      <c r="O8362">
        <v>230224</v>
      </c>
    </row>
    <row r="8363" spans="1:15" x14ac:dyDescent="0.25">
      <c r="A8363" t="s">
        <v>16</v>
      </c>
      <c r="B8363" t="s">
        <v>3221</v>
      </c>
      <c r="C8363">
        <v>2317</v>
      </c>
      <c r="D8363" t="s">
        <v>1356</v>
      </c>
      <c r="E8363" t="s">
        <v>1357</v>
      </c>
      <c r="F8363">
        <v>170.96</v>
      </c>
      <c r="G8363">
        <v>230208</v>
      </c>
      <c r="H8363">
        <v>4520</v>
      </c>
      <c r="I8363" t="s">
        <v>254</v>
      </c>
      <c r="J8363">
        <v>211.99</v>
      </c>
      <c r="K8363">
        <v>41.03</v>
      </c>
      <c r="L8363">
        <v>14912</v>
      </c>
      <c r="M8363" t="s">
        <v>230</v>
      </c>
      <c r="N8363" t="str">
        <f>"8310205     "</f>
        <v xml:space="preserve">8310205     </v>
      </c>
      <c r="O8363">
        <v>230224</v>
      </c>
    </row>
    <row r="8364" spans="1:15" x14ac:dyDescent="0.25">
      <c r="A8364" t="s">
        <v>16</v>
      </c>
      <c r="B8364" t="s">
        <v>3221</v>
      </c>
      <c r="C8364">
        <v>11944</v>
      </c>
      <c r="D8364" t="s">
        <v>1356</v>
      </c>
      <c r="E8364" t="s">
        <v>1357</v>
      </c>
      <c r="F8364">
        <v>166.71</v>
      </c>
      <c r="G8364">
        <v>230905</v>
      </c>
      <c r="H8364">
        <v>4520</v>
      </c>
      <c r="I8364" t="s">
        <v>254</v>
      </c>
      <c r="J8364">
        <v>206.72</v>
      </c>
      <c r="K8364">
        <v>40.01</v>
      </c>
      <c r="L8364">
        <v>14640</v>
      </c>
      <c r="M8364" t="s">
        <v>229</v>
      </c>
      <c r="N8364" t="str">
        <f>"8321924     "</f>
        <v xml:space="preserve">8321924     </v>
      </c>
      <c r="O8364">
        <v>230912</v>
      </c>
    </row>
    <row r="8365" spans="1:15" x14ac:dyDescent="0.25">
      <c r="A8365" t="s">
        <v>16</v>
      </c>
      <c r="B8365" t="s">
        <v>3221</v>
      </c>
      <c r="C8365">
        <v>15527</v>
      </c>
      <c r="D8365" t="s">
        <v>1356</v>
      </c>
      <c r="E8365" t="s">
        <v>1357</v>
      </c>
      <c r="F8365">
        <v>128.69999999999999</v>
      </c>
      <c r="G8365">
        <v>231107</v>
      </c>
      <c r="H8365">
        <v>4520</v>
      </c>
      <c r="I8365" t="s">
        <v>254</v>
      </c>
      <c r="J8365">
        <v>159.59</v>
      </c>
      <c r="K8365">
        <v>30.89</v>
      </c>
      <c r="L8365">
        <v>14642</v>
      </c>
      <c r="M8365" t="s">
        <v>863</v>
      </c>
      <c r="N8365" t="str">
        <f>"8325473     "</f>
        <v xml:space="preserve">8325473     </v>
      </c>
      <c r="O8365">
        <v>231113</v>
      </c>
    </row>
    <row r="8366" spans="1:15" x14ac:dyDescent="0.25">
      <c r="A8366" t="s">
        <v>16</v>
      </c>
      <c r="B8366" t="s">
        <v>3221</v>
      </c>
      <c r="C8366">
        <v>15989</v>
      </c>
      <c r="D8366" t="s">
        <v>1356</v>
      </c>
      <c r="E8366" t="s">
        <v>1357</v>
      </c>
      <c r="F8366">
        <v>438.7</v>
      </c>
      <c r="G8366">
        <v>231116</v>
      </c>
      <c r="H8366">
        <v>4600</v>
      </c>
      <c r="I8366" t="s">
        <v>105</v>
      </c>
      <c r="J8366">
        <v>543.99</v>
      </c>
      <c r="K8366">
        <v>105.29</v>
      </c>
      <c r="L8366">
        <v>54422</v>
      </c>
      <c r="M8366" t="s">
        <v>234</v>
      </c>
      <c r="N8366" t="str">
        <f>"8326222     "</f>
        <v xml:space="preserve">8326222     </v>
      </c>
      <c r="O8366">
        <v>231122</v>
      </c>
    </row>
    <row r="8367" spans="1:15" x14ac:dyDescent="0.25">
      <c r="A8367" t="s">
        <v>16</v>
      </c>
      <c r="B8367" t="s">
        <v>3221</v>
      </c>
      <c r="C8367">
        <v>14289</v>
      </c>
      <c r="D8367" t="s">
        <v>2753</v>
      </c>
      <c r="E8367" t="s">
        <v>2754</v>
      </c>
      <c r="F8367">
        <v>125.26</v>
      </c>
      <c r="G8367">
        <v>231019</v>
      </c>
      <c r="H8367">
        <v>4410</v>
      </c>
      <c r="I8367" t="s">
        <v>517</v>
      </c>
      <c r="J8367">
        <v>142.80000000000001</v>
      </c>
      <c r="K8367">
        <v>17.54</v>
      </c>
      <c r="L8367">
        <v>69112</v>
      </c>
      <c r="M8367" t="s">
        <v>313</v>
      </c>
      <c r="N8367" t="str">
        <f>"77          "</f>
        <v xml:space="preserve">77          </v>
      </c>
      <c r="O8367">
        <v>231025</v>
      </c>
    </row>
    <row r="8368" spans="1:15" x14ac:dyDescent="0.25">
      <c r="A8368" t="s">
        <v>16</v>
      </c>
      <c r="B8368" t="s">
        <v>3221</v>
      </c>
      <c r="C8368">
        <v>2519</v>
      </c>
      <c r="D8368" t="s">
        <v>1422</v>
      </c>
      <c r="E8368" t="s">
        <v>1423</v>
      </c>
      <c r="F8368">
        <v>1996.32</v>
      </c>
      <c r="G8368">
        <v>230223</v>
      </c>
      <c r="H8368">
        <v>4580</v>
      </c>
      <c r="I8368" t="s">
        <v>35</v>
      </c>
      <c r="J8368">
        <v>2475.44</v>
      </c>
      <c r="K8368">
        <v>479.12</v>
      </c>
      <c r="L8368">
        <v>46557</v>
      </c>
      <c r="M8368" t="s">
        <v>221</v>
      </c>
      <c r="N8368" t="str">
        <f>"123/1145    "</f>
        <v xml:space="preserve">123/1145    </v>
      </c>
      <c r="O8368">
        <v>230301</v>
      </c>
    </row>
    <row r="8369" spans="1:15" x14ac:dyDescent="0.25">
      <c r="A8369" t="s">
        <v>16</v>
      </c>
      <c r="B8369" t="s">
        <v>3221</v>
      </c>
      <c r="C8369">
        <v>3829</v>
      </c>
      <c r="D8369" t="s">
        <v>1422</v>
      </c>
      <c r="E8369" t="s">
        <v>1423</v>
      </c>
      <c r="F8369">
        <v>300.48</v>
      </c>
      <c r="G8369">
        <v>230317</v>
      </c>
      <c r="H8369">
        <v>4580</v>
      </c>
      <c r="I8369" t="s">
        <v>35</v>
      </c>
      <c r="J8369">
        <v>372.59</v>
      </c>
      <c r="K8369">
        <v>72.11</v>
      </c>
      <c r="L8369">
        <v>46557</v>
      </c>
      <c r="M8369" t="s">
        <v>221</v>
      </c>
      <c r="N8369" t="str">
        <f>"123/1773    "</f>
        <v xml:space="preserve">123/1773    </v>
      </c>
      <c r="O8369">
        <v>230323</v>
      </c>
    </row>
    <row r="8370" spans="1:15" x14ac:dyDescent="0.25">
      <c r="A8370" t="s">
        <v>16</v>
      </c>
      <c r="B8370" t="s">
        <v>3221</v>
      </c>
      <c r="C8370">
        <v>4004</v>
      </c>
      <c r="D8370" t="s">
        <v>1422</v>
      </c>
      <c r="E8370" t="s">
        <v>1423</v>
      </c>
      <c r="F8370">
        <v>519.57000000000005</v>
      </c>
      <c r="G8370">
        <v>230324</v>
      </c>
      <c r="H8370">
        <v>4580</v>
      </c>
      <c r="I8370" t="s">
        <v>35</v>
      </c>
      <c r="J8370">
        <v>644.27</v>
      </c>
      <c r="K8370">
        <v>124.7</v>
      </c>
      <c r="L8370">
        <v>46557</v>
      </c>
      <c r="M8370" t="s">
        <v>221</v>
      </c>
      <c r="N8370" t="str">
        <f>"123/1849    "</f>
        <v xml:space="preserve">123/1849    </v>
      </c>
      <c r="O8370">
        <v>230329</v>
      </c>
    </row>
    <row r="8371" spans="1:15" x14ac:dyDescent="0.25">
      <c r="A8371" t="s">
        <v>16</v>
      </c>
      <c r="B8371" t="s">
        <v>3221</v>
      </c>
      <c r="C8371">
        <v>12262</v>
      </c>
      <c r="D8371" t="s">
        <v>1422</v>
      </c>
      <c r="E8371" t="s">
        <v>1423</v>
      </c>
      <c r="F8371">
        <v>192.74</v>
      </c>
      <c r="G8371">
        <v>230908</v>
      </c>
      <c r="H8371">
        <v>4580</v>
      </c>
      <c r="I8371" t="s">
        <v>35</v>
      </c>
      <c r="J8371">
        <v>239</v>
      </c>
      <c r="K8371">
        <v>46.26</v>
      </c>
      <c r="L8371">
        <v>46557</v>
      </c>
      <c r="M8371" t="s">
        <v>221</v>
      </c>
      <c r="N8371" t="str">
        <f>"123/6428    "</f>
        <v xml:space="preserve">123/6428    </v>
      </c>
      <c r="O8371">
        <v>230918</v>
      </c>
    </row>
    <row r="8372" spans="1:15" x14ac:dyDescent="0.25">
      <c r="A8372" t="s">
        <v>16</v>
      </c>
      <c r="B8372" t="s">
        <v>3221</v>
      </c>
      <c r="C8372">
        <v>12262</v>
      </c>
      <c r="D8372" t="s">
        <v>1422</v>
      </c>
      <c r="E8372" t="s">
        <v>1423</v>
      </c>
      <c r="F8372">
        <v>190.09</v>
      </c>
      <c r="G8372">
        <v>230908</v>
      </c>
      <c r="H8372">
        <v>4550</v>
      </c>
      <c r="I8372" t="s">
        <v>312</v>
      </c>
      <c r="J8372">
        <v>235.71</v>
      </c>
      <c r="K8372">
        <v>45.62</v>
      </c>
      <c r="L8372">
        <v>49701</v>
      </c>
      <c r="M8372" t="s">
        <v>166</v>
      </c>
      <c r="N8372" t="str">
        <f>"123/6428    "</f>
        <v xml:space="preserve">123/6428    </v>
      </c>
      <c r="O8372">
        <v>230918</v>
      </c>
    </row>
    <row r="8373" spans="1:15" x14ac:dyDescent="0.25">
      <c r="A8373" t="s">
        <v>16</v>
      </c>
      <c r="B8373" t="s">
        <v>3221</v>
      </c>
      <c r="C8373">
        <v>2167</v>
      </c>
      <c r="D8373" t="s">
        <v>1317</v>
      </c>
      <c r="E8373" t="s">
        <v>1318</v>
      </c>
      <c r="F8373">
        <v>130.62</v>
      </c>
      <c r="G8373">
        <v>230217</v>
      </c>
      <c r="H8373">
        <v>4580</v>
      </c>
      <c r="I8373" t="s">
        <v>35</v>
      </c>
      <c r="J8373">
        <v>161.97</v>
      </c>
      <c r="K8373">
        <v>31.35</v>
      </c>
      <c r="L8373">
        <v>17635</v>
      </c>
      <c r="M8373" t="s">
        <v>349</v>
      </c>
      <c r="N8373" t="str">
        <f>"1263        "</f>
        <v xml:space="preserve">1263        </v>
      </c>
      <c r="O8373">
        <v>230221</v>
      </c>
    </row>
    <row r="8374" spans="1:15" x14ac:dyDescent="0.25">
      <c r="A8374" t="s">
        <v>16</v>
      </c>
      <c r="B8374" t="s">
        <v>3221</v>
      </c>
      <c r="C8374">
        <v>5351</v>
      </c>
      <c r="D8374" t="s">
        <v>1317</v>
      </c>
      <c r="E8374" t="s">
        <v>1318</v>
      </c>
      <c r="F8374">
        <v>49.48</v>
      </c>
      <c r="G8374">
        <v>230420</v>
      </c>
      <c r="H8374">
        <v>4400</v>
      </c>
      <c r="I8374" t="s">
        <v>348</v>
      </c>
      <c r="J8374">
        <v>61.36</v>
      </c>
      <c r="K8374">
        <v>11.88</v>
      </c>
      <c r="L8374">
        <v>17635</v>
      </c>
      <c r="M8374" t="s">
        <v>349</v>
      </c>
      <c r="N8374" t="str">
        <f>"1265        "</f>
        <v xml:space="preserve">1265        </v>
      </c>
      <c r="O8374">
        <v>230421</v>
      </c>
    </row>
    <row r="8375" spans="1:15" x14ac:dyDescent="0.25">
      <c r="A8375" t="s">
        <v>16</v>
      </c>
      <c r="B8375" t="s">
        <v>3221</v>
      </c>
      <c r="C8375">
        <v>17820</v>
      </c>
      <c r="D8375" t="s">
        <v>1317</v>
      </c>
      <c r="E8375" t="s">
        <v>1318</v>
      </c>
      <c r="F8375">
        <v>72.58</v>
      </c>
      <c r="G8375">
        <v>231220</v>
      </c>
      <c r="H8375">
        <v>4600</v>
      </c>
      <c r="I8375" t="s">
        <v>105</v>
      </c>
      <c r="J8375">
        <v>90</v>
      </c>
      <c r="K8375">
        <v>17.420000000000002</v>
      </c>
      <c r="L8375">
        <v>17524</v>
      </c>
      <c r="M8375" t="s">
        <v>452</v>
      </c>
      <c r="N8375" t="str">
        <f>"1272        "</f>
        <v xml:space="preserve">1272        </v>
      </c>
      <c r="O8375">
        <v>231227</v>
      </c>
    </row>
    <row r="8376" spans="1:15" x14ac:dyDescent="0.25">
      <c r="A8376" t="s">
        <v>16</v>
      </c>
      <c r="B8376" t="s">
        <v>3221</v>
      </c>
      <c r="C8376">
        <v>5867</v>
      </c>
      <c r="D8376" t="s">
        <v>522</v>
      </c>
      <c r="E8376" t="s">
        <v>523</v>
      </c>
      <c r="F8376">
        <v>60</v>
      </c>
      <c r="G8376">
        <v>230419</v>
      </c>
      <c r="H8376">
        <v>4410</v>
      </c>
      <c r="I8376" t="s">
        <v>517</v>
      </c>
      <c r="J8376">
        <v>68.400000000000006</v>
      </c>
      <c r="K8376">
        <v>8.4</v>
      </c>
      <c r="L8376">
        <v>56564</v>
      </c>
      <c r="M8376" t="s">
        <v>327</v>
      </c>
      <c r="N8376" t="str">
        <f>"1230400020  "</f>
        <v xml:space="preserve">1230400020  </v>
      </c>
      <c r="O8376">
        <v>230503</v>
      </c>
    </row>
    <row r="8377" spans="1:15" x14ac:dyDescent="0.25">
      <c r="A8377" t="s">
        <v>16</v>
      </c>
      <c r="B8377" t="s">
        <v>3221</v>
      </c>
      <c r="C8377">
        <v>417</v>
      </c>
      <c r="D8377" t="s">
        <v>522</v>
      </c>
      <c r="E8377" t="s">
        <v>523</v>
      </c>
      <c r="F8377">
        <v>500</v>
      </c>
      <c r="G8377">
        <v>230118</v>
      </c>
      <c r="H8377">
        <v>4460</v>
      </c>
      <c r="I8377" t="s">
        <v>524</v>
      </c>
      <c r="J8377">
        <v>500</v>
      </c>
      <c r="K8377">
        <v>0</v>
      </c>
      <c r="L8377">
        <v>56564</v>
      </c>
      <c r="M8377" t="s">
        <v>327</v>
      </c>
      <c r="N8377" t="str">
        <f>"9230100003  "</f>
        <v xml:space="preserve">9230100003  </v>
      </c>
      <c r="O8377">
        <v>230120</v>
      </c>
    </row>
    <row r="8378" spans="1:15" x14ac:dyDescent="0.25">
      <c r="A8378" t="s">
        <v>16</v>
      </c>
      <c r="B8378" t="s">
        <v>3221</v>
      </c>
      <c r="C8378">
        <v>5867</v>
      </c>
      <c r="D8378" t="s">
        <v>522</v>
      </c>
      <c r="E8378" t="s">
        <v>523</v>
      </c>
      <c r="F8378">
        <v>85</v>
      </c>
      <c r="G8378">
        <v>230419</v>
      </c>
      <c r="H8378">
        <v>4440</v>
      </c>
      <c r="I8378" t="s">
        <v>250</v>
      </c>
      <c r="J8378">
        <v>105.4</v>
      </c>
      <c r="K8378">
        <v>20.399999999999999</v>
      </c>
      <c r="L8378">
        <v>56564</v>
      </c>
      <c r="M8378" t="s">
        <v>327</v>
      </c>
      <c r="N8378" t="str">
        <f>"1230400020  "</f>
        <v xml:space="preserve">1230400020  </v>
      </c>
      <c r="O8378">
        <v>230503</v>
      </c>
    </row>
    <row r="8379" spans="1:15" x14ac:dyDescent="0.25">
      <c r="A8379" t="s">
        <v>16</v>
      </c>
      <c r="B8379" t="s">
        <v>3221</v>
      </c>
      <c r="C8379">
        <v>10491</v>
      </c>
      <c r="D8379" t="s">
        <v>2388</v>
      </c>
      <c r="E8379" t="s">
        <v>2389</v>
      </c>
      <c r="F8379">
        <v>574.29999999999995</v>
      </c>
      <c r="G8379">
        <v>230810</v>
      </c>
      <c r="H8379">
        <v>4520</v>
      </c>
      <c r="I8379" t="s">
        <v>254</v>
      </c>
      <c r="J8379">
        <v>654.70000000000005</v>
      </c>
      <c r="K8379">
        <v>80.400000000000006</v>
      </c>
      <c r="L8379">
        <v>54451</v>
      </c>
      <c r="M8379" t="s">
        <v>158</v>
      </c>
      <c r="N8379" t="str">
        <f>"401157      "</f>
        <v xml:space="preserve">401157      </v>
      </c>
      <c r="O8379">
        <v>230817</v>
      </c>
    </row>
    <row r="8380" spans="1:15" x14ac:dyDescent="0.25">
      <c r="A8380" t="s">
        <v>16</v>
      </c>
      <c r="B8380" t="s">
        <v>3221</v>
      </c>
      <c r="C8380">
        <v>14925</v>
      </c>
      <c r="D8380" t="s">
        <v>2388</v>
      </c>
      <c r="E8380" t="s">
        <v>2389</v>
      </c>
      <c r="F8380">
        <v>359.38</v>
      </c>
      <c r="G8380">
        <v>231031</v>
      </c>
      <c r="H8380">
        <v>4520</v>
      </c>
      <c r="I8380" t="s">
        <v>254</v>
      </c>
      <c r="J8380">
        <v>409.69</v>
      </c>
      <c r="K8380">
        <v>50.31</v>
      </c>
      <c r="L8380">
        <v>54451</v>
      </c>
      <c r="M8380" t="s">
        <v>158</v>
      </c>
      <c r="N8380" t="str">
        <f>"405625      "</f>
        <v xml:space="preserve">405625      </v>
      </c>
      <c r="O8380">
        <v>231107</v>
      </c>
    </row>
    <row r="8381" spans="1:15" x14ac:dyDescent="0.25">
      <c r="A8381" t="s">
        <v>16</v>
      </c>
      <c r="B8381" t="s">
        <v>3221</v>
      </c>
      <c r="C8381">
        <v>17728</v>
      </c>
      <c r="D8381" t="s">
        <v>2388</v>
      </c>
      <c r="E8381" t="s">
        <v>2389</v>
      </c>
      <c r="F8381">
        <v>116.73</v>
      </c>
      <c r="G8381">
        <v>231210</v>
      </c>
      <c r="H8381">
        <v>4520</v>
      </c>
      <c r="I8381" t="s">
        <v>254</v>
      </c>
      <c r="J8381">
        <v>133.07</v>
      </c>
      <c r="K8381">
        <v>16.34</v>
      </c>
      <c r="L8381">
        <v>59113</v>
      </c>
      <c r="M8381" t="s">
        <v>235</v>
      </c>
      <c r="N8381" t="str">
        <f>"407929      "</f>
        <v xml:space="preserve">407929      </v>
      </c>
      <c r="O8381">
        <v>231222</v>
      </c>
    </row>
    <row r="8382" spans="1:15" x14ac:dyDescent="0.25">
      <c r="A8382" t="s">
        <v>16</v>
      </c>
      <c r="B8382" t="s">
        <v>3221</v>
      </c>
      <c r="C8382">
        <v>18237</v>
      </c>
      <c r="D8382" t="s">
        <v>2388</v>
      </c>
      <c r="E8382" t="s">
        <v>2389</v>
      </c>
      <c r="F8382">
        <v>253.99</v>
      </c>
      <c r="G8382">
        <v>231220</v>
      </c>
      <c r="H8382">
        <v>4520</v>
      </c>
      <c r="I8382" t="s">
        <v>254</v>
      </c>
      <c r="J8382">
        <v>289.55</v>
      </c>
      <c r="K8382">
        <v>35.56</v>
      </c>
      <c r="L8382">
        <v>54451</v>
      </c>
      <c r="M8382" t="s">
        <v>158</v>
      </c>
      <c r="N8382" t="str">
        <f>"408346      "</f>
        <v xml:space="preserve">408346      </v>
      </c>
      <c r="O8382">
        <v>240102</v>
      </c>
    </row>
    <row r="8383" spans="1:15" x14ac:dyDescent="0.25">
      <c r="A8383" t="s">
        <v>16</v>
      </c>
      <c r="B8383" t="s">
        <v>3221</v>
      </c>
      <c r="C8383">
        <v>5106</v>
      </c>
      <c r="D8383" t="s">
        <v>3650</v>
      </c>
      <c r="E8383" t="s">
        <v>298</v>
      </c>
      <c r="F8383">
        <v>14.52</v>
      </c>
      <c r="G8383">
        <v>230413</v>
      </c>
      <c r="H8383">
        <v>4532</v>
      </c>
      <c r="I8383" t="s">
        <v>116</v>
      </c>
      <c r="J8383">
        <v>18</v>
      </c>
      <c r="K8383">
        <v>3.48</v>
      </c>
      <c r="L8383">
        <v>59504</v>
      </c>
      <c r="M8383" t="s">
        <v>71</v>
      </c>
      <c r="N8383" t="str">
        <f>"1297840     "</f>
        <v xml:space="preserve">1297840     </v>
      </c>
      <c r="O8383">
        <v>230418</v>
      </c>
    </row>
    <row r="8384" spans="1:15" x14ac:dyDescent="0.25">
      <c r="A8384" t="s">
        <v>16</v>
      </c>
      <c r="B8384" t="s">
        <v>3221</v>
      </c>
      <c r="C8384">
        <v>5879</v>
      </c>
      <c r="D8384" t="s">
        <v>3650</v>
      </c>
      <c r="E8384" t="s">
        <v>298</v>
      </c>
      <c r="F8384">
        <v>149.02000000000001</v>
      </c>
      <c r="G8384">
        <v>230428</v>
      </c>
      <c r="H8384">
        <v>4532</v>
      </c>
      <c r="I8384" t="s">
        <v>116</v>
      </c>
      <c r="J8384">
        <v>184.79</v>
      </c>
      <c r="K8384">
        <v>35.770000000000003</v>
      </c>
      <c r="L8384">
        <v>11401</v>
      </c>
      <c r="M8384" t="s">
        <v>84</v>
      </c>
      <c r="N8384" t="str">
        <f>"1298578     "</f>
        <v xml:space="preserve">1298578     </v>
      </c>
      <c r="O8384">
        <v>230503</v>
      </c>
    </row>
    <row r="8385" spans="1:15" x14ac:dyDescent="0.25">
      <c r="A8385" t="s">
        <v>16</v>
      </c>
      <c r="B8385" t="s">
        <v>3221</v>
      </c>
      <c r="C8385">
        <v>6424</v>
      </c>
      <c r="D8385" t="s">
        <v>3650</v>
      </c>
      <c r="E8385" t="s">
        <v>298</v>
      </c>
      <c r="F8385">
        <v>144.63999999999999</v>
      </c>
      <c r="G8385">
        <v>230509</v>
      </c>
      <c r="H8385">
        <v>4532</v>
      </c>
      <c r="I8385" t="s">
        <v>116</v>
      </c>
      <c r="J8385">
        <v>179.35</v>
      </c>
      <c r="K8385">
        <v>34.71</v>
      </c>
      <c r="L8385">
        <v>56562</v>
      </c>
      <c r="M8385" t="s">
        <v>126</v>
      </c>
      <c r="N8385" t="str">
        <f>"1300067     "</f>
        <v xml:space="preserve">1300067     </v>
      </c>
      <c r="O8385">
        <v>230511</v>
      </c>
    </row>
    <row r="8386" spans="1:15" x14ac:dyDescent="0.25">
      <c r="A8386" t="s">
        <v>16</v>
      </c>
      <c r="B8386" t="s">
        <v>3221</v>
      </c>
      <c r="C8386">
        <v>7876</v>
      </c>
      <c r="D8386" t="s">
        <v>3650</v>
      </c>
      <c r="E8386" t="s">
        <v>298</v>
      </c>
      <c r="F8386">
        <v>4.84</v>
      </c>
      <c r="G8386">
        <v>230531</v>
      </c>
      <c r="H8386">
        <v>4532</v>
      </c>
      <c r="I8386" t="s">
        <v>116</v>
      </c>
      <c r="J8386">
        <v>6</v>
      </c>
      <c r="K8386">
        <v>1.1599999999999999</v>
      </c>
      <c r="L8386">
        <v>59504</v>
      </c>
      <c r="M8386" t="s">
        <v>71</v>
      </c>
      <c r="N8386" t="str">
        <f>"1301762     "</f>
        <v xml:space="preserve">1301762     </v>
      </c>
      <c r="O8386">
        <v>230605</v>
      </c>
    </row>
    <row r="8387" spans="1:15" x14ac:dyDescent="0.25">
      <c r="A8387" t="s">
        <v>16</v>
      </c>
      <c r="B8387" t="s">
        <v>3221</v>
      </c>
      <c r="C8387">
        <v>668</v>
      </c>
      <c r="D8387" t="s">
        <v>3650</v>
      </c>
      <c r="E8387" t="s">
        <v>298</v>
      </c>
      <c r="F8387">
        <v>80.33</v>
      </c>
      <c r="G8387">
        <v>230124</v>
      </c>
      <c r="H8387">
        <v>4580</v>
      </c>
      <c r="I8387" t="s">
        <v>35</v>
      </c>
      <c r="J8387">
        <v>99.61</v>
      </c>
      <c r="K8387">
        <v>19.28</v>
      </c>
      <c r="L8387">
        <v>56559</v>
      </c>
      <c r="M8387" t="s">
        <v>129</v>
      </c>
      <c r="N8387" t="str">
        <f>"1291736     "</f>
        <v xml:space="preserve">1291736     </v>
      </c>
      <c r="O8387">
        <v>230126</v>
      </c>
    </row>
    <row r="8388" spans="1:15" x14ac:dyDescent="0.25">
      <c r="A8388" t="s">
        <v>16</v>
      </c>
      <c r="B8388" t="s">
        <v>3221</v>
      </c>
      <c r="C8388">
        <v>672</v>
      </c>
      <c r="D8388" t="s">
        <v>3650</v>
      </c>
      <c r="E8388" t="s">
        <v>298</v>
      </c>
      <c r="F8388">
        <v>265.32</v>
      </c>
      <c r="G8388">
        <v>230124</v>
      </c>
      <c r="H8388">
        <v>4580</v>
      </c>
      <c r="I8388" t="s">
        <v>35</v>
      </c>
      <c r="J8388">
        <v>329</v>
      </c>
      <c r="K8388">
        <v>63.68</v>
      </c>
      <c r="L8388">
        <v>56559</v>
      </c>
      <c r="M8388" t="s">
        <v>129</v>
      </c>
      <c r="N8388" t="str">
        <f>"1291751     "</f>
        <v xml:space="preserve">1291751     </v>
      </c>
      <c r="O8388">
        <v>230126</v>
      </c>
    </row>
    <row r="8389" spans="1:15" x14ac:dyDescent="0.25">
      <c r="A8389" t="s">
        <v>16</v>
      </c>
      <c r="B8389" t="s">
        <v>3221</v>
      </c>
      <c r="C8389">
        <v>1398</v>
      </c>
      <c r="D8389" t="s">
        <v>3650</v>
      </c>
      <c r="E8389" t="s">
        <v>298</v>
      </c>
      <c r="F8389">
        <v>221.71</v>
      </c>
      <c r="G8389">
        <v>230207</v>
      </c>
      <c r="H8389">
        <v>4580</v>
      </c>
      <c r="I8389" t="s">
        <v>35</v>
      </c>
      <c r="J8389">
        <v>274.92</v>
      </c>
      <c r="K8389">
        <v>53.21</v>
      </c>
      <c r="L8389">
        <v>56559</v>
      </c>
      <c r="M8389" t="s">
        <v>129</v>
      </c>
      <c r="N8389" t="str">
        <f>"1292480     "</f>
        <v xml:space="preserve">1292480     </v>
      </c>
      <c r="O8389">
        <v>230208</v>
      </c>
    </row>
    <row r="8390" spans="1:15" x14ac:dyDescent="0.25">
      <c r="A8390" t="s">
        <v>16</v>
      </c>
      <c r="B8390" t="s">
        <v>3221</v>
      </c>
      <c r="C8390">
        <v>1415</v>
      </c>
      <c r="D8390" t="s">
        <v>3650</v>
      </c>
      <c r="E8390" t="s">
        <v>298</v>
      </c>
      <c r="F8390">
        <v>62.72</v>
      </c>
      <c r="G8390">
        <v>230207</v>
      </c>
      <c r="H8390">
        <v>4580</v>
      </c>
      <c r="I8390" t="s">
        <v>35</v>
      </c>
      <c r="J8390">
        <v>77.77</v>
      </c>
      <c r="K8390">
        <v>15.05</v>
      </c>
      <c r="L8390">
        <v>56559</v>
      </c>
      <c r="M8390" t="s">
        <v>129</v>
      </c>
      <c r="N8390" t="str">
        <f>"1292486     "</f>
        <v xml:space="preserve">1292486     </v>
      </c>
      <c r="O8390">
        <v>230208</v>
      </c>
    </row>
    <row r="8391" spans="1:15" x14ac:dyDescent="0.25">
      <c r="A8391" t="s">
        <v>16</v>
      </c>
      <c r="B8391" t="s">
        <v>3221</v>
      </c>
      <c r="C8391">
        <v>1844</v>
      </c>
      <c r="D8391" t="s">
        <v>3650</v>
      </c>
      <c r="E8391" t="s">
        <v>298</v>
      </c>
      <c r="F8391">
        <v>40.520000000000003</v>
      </c>
      <c r="G8391">
        <v>230207</v>
      </c>
      <c r="H8391">
        <v>4580</v>
      </c>
      <c r="I8391" t="s">
        <v>35</v>
      </c>
      <c r="J8391">
        <v>50.25</v>
      </c>
      <c r="K8391">
        <v>9.73</v>
      </c>
      <c r="L8391">
        <v>56565</v>
      </c>
      <c r="M8391" t="s">
        <v>758</v>
      </c>
      <c r="N8391" t="str">
        <f>"1292496     "</f>
        <v xml:space="preserve">1292496     </v>
      </c>
      <c r="O8391">
        <v>230214</v>
      </c>
    </row>
    <row r="8392" spans="1:15" x14ac:dyDescent="0.25">
      <c r="A8392" t="s">
        <v>16</v>
      </c>
      <c r="B8392" t="s">
        <v>3221</v>
      </c>
      <c r="C8392">
        <v>1928</v>
      </c>
      <c r="D8392" t="s">
        <v>3650</v>
      </c>
      <c r="E8392" t="s">
        <v>298</v>
      </c>
      <c r="F8392">
        <v>51.17</v>
      </c>
      <c r="G8392">
        <v>230215</v>
      </c>
      <c r="H8392">
        <v>4580</v>
      </c>
      <c r="I8392" t="s">
        <v>35</v>
      </c>
      <c r="J8392">
        <v>63.45</v>
      </c>
      <c r="K8392">
        <v>12.28</v>
      </c>
      <c r="L8392">
        <v>56559</v>
      </c>
      <c r="M8392" t="s">
        <v>129</v>
      </c>
      <c r="N8392" t="str">
        <f>"1293145     "</f>
        <v xml:space="preserve">1293145     </v>
      </c>
      <c r="O8392">
        <v>230216</v>
      </c>
    </row>
    <row r="8393" spans="1:15" x14ac:dyDescent="0.25">
      <c r="A8393" t="s">
        <v>16</v>
      </c>
      <c r="B8393" t="s">
        <v>3221</v>
      </c>
      <c r="C8393">
        <v>1970</v>
      </c>
      <c r="D8393" t="s">
        <v>3650</v>
      </c>
      <c r="E8393" t="s">
        <v>298</v>
      </c>
      <c r="F8393">
        <v>2.52</v>
      </c>
      <c r="G8393">
        <v>230215</v>
      </c>
      <c r="H8393">
        <v>4580</v>
      </c>
      <c r="I8393" t="s">
        <v>35</v>
      </c>
      <c r="J8393">
        <v>3.12</v>
      </c>
      <c r="K8393">
        <v>0.6</v>
      </c>
      <c r="L8393">
        <v>56559</v>
      </c>
      <c r="M8393" t="s">
        <v>129</v>
      </c>
      <c r="N8393" t="str">
        <f>"1293146     "</f>
        <v xml:space="preserve">1293146     </v>
      </c>
      <c r="O8393">
        <v>230216</v>
      </c>
    </row>
    <row r="8394" spans="1:15" x14ac:dyDescent="0.25">
      <c r="A8394" t="s">
        <v>16</v>
      </c>
      <c r="B8394" t="s">
        <v>3221</v>
      </c>
      <c r="C8394">
        <v>1973</v>
      </c>
      <c r="D8394" t="s">
        <v>3650</v>
      </c>
      <c r="E8394" t="s">
        <v>298</v>
      </c>
      <c r="F8394">
        <v>4.84</v>
      </c>
      <c r="G8394">
        <v>230215</v>
      </c>
      <c r="H8394">
        <v>4580</v>
      </c>
      <c r="I8394" t="s">
        <v>35</v>
      </c>
      <c r="J8394">
        <v>6</v>
      </c>
      <c r="K8394">
        <v>1.1599999999999999</v>
      </c>
      <c r="L8394">
        <v>56522</v>
      </c>
      <c r="M8394" t="s">
        <v>43</v>
      </c>
      <c r="N8394" t="str">
        <f>"1293138     "</f>
        <v xml:space="preserve">1293138     </v>
      </c>
      <c r="O8394">
        <v>230216</v>
      </c>
    </row>
    <row r="8395" spans="1:15" x14ac:dyDescent="0.25">
      <c r="A8395" t="s">
        <v>16</v>
      </c>
      <c r="B8395" t="s">
        <v>3221</v>
      </c>
      <c r="C8395">
        <v>2735</v>
      </c>
      <c r="D8395" t="s">
        <v>3650</v>
      </c>
      <c r="E8395" t="s">
        <v>298</v>
      </c>
      <c r="F8395">
        <v>49.28</v>
      </c>
      <c r="G8395">
        <v>230228</v>
      </c>
      <c r="H8395">
        <v>4580</v>
      </c>
      <c r="I8395" t="s">
        <v>35</v>
      </c>
      <c r="J8395">
        <v>61.11</v>
      </c>
      <c r="K8395">
        <v>11.83</v>
      </c>
      <c r="L8395">
        <v>56559</v>
      </c>
      <c r="M8395" t="s">
        <v>129</v>
      </c>
      <c r="N8395" t="str">
        <f>"1294163     "</f>
        <v xml:space="preserve">1294163     </v>
      </c>
      <c r="O8395">
        <v>230307</v>
      </c>
    </row>
    <row r="8396" spans="1:15" x14ac:dyDescent="0.25">
      <c r="A8396" t="s">
        <v>16</v>
      </c>
      <c r="B8396" t="s">
        <v>3221</v>
      </c>
      <c r="C8396">
        <v>2738</v>
      </c>
      <c r="D8396" t="s">
        <v>3650</v>
      </c>
      <c r="E8396" t="s">
        <v>298</v>
      </c>
      <c r="F8396">
        <v>87.68</v>
      </c>
      <c r="G8396">
        <v>230228</v>
      </c>
      <c r="H8396">
        <v>4580</v>
      </c>
      <c r="I8396" t="s">
        <v>35</v>
      </c>
      <c r="J8396">
        <v>108.72</v>
      </c>
      <c r="K8396">
        <v>21.04</v>
      </c>
      <c r="L8396">
        <v>56559</v>
      </c>
      <c r="M8396" t="s">
        <v>129</v>
      </c>
      <c r="N8396" t="str">
        <f>"1294179     "</f>
        <v xml:space="preserve">1294179     </v>
      </c>
      <c r="O8396">
        <v>230307</v>
      </c>
    </row>
    <row r="8397" spans="1:15" x14ac:dyDescent="0.25">
      <c r="A8397" t="s">
        <v>16</v>
      </c>
      <c r="B8397" t="s">
        <v>3221</v>
      </c>
      <c r="C8397">
        <v>4078</v>
      </c>
      <c r="D8397" t="s">
        <v>3650</v>
      </c>
      <c r="E8397" t="s">
        <v>298</v>
      </c>
      <c r="F8397">
        <v>32.49</v>
      </c>
      <c r="G8397">
        <v>230329</v>
      </c>
      <c r="H8397">
        <v>4580</v>
      </c>
      <c r="I8397" t="s">
        <v>35</v>
      </c>
      <c r="J8397">
        <v>40.29</v>
      </c>
      <c r="K8397">
        <v>7.8</v>
      </c>
      <c r="L8397">
        <v>56559</v>
      </c>
      <c r="M8397" t="s">
        <v>129</v>
      </c>
      <c r="N8397" t="str">
        <f>"1296334     "</f>
        <v xml:space="preserve">1296334     </v>
      </c>
      <c r="O8397">
        <v>230330</v>
      </c>
    </row>
    <row r="8398" spans="1:15" x14ac:dyDescent="0.25">
      <c r="A8398" t="s">
        <v>16</v>
      </c>
      <c r="B8398" t="s">
        <v>3221</v>
      </c>
      <c r="C8398">
        <v>4081</v>
      </c>
      <c r="D8398" t="s">
        <v>3650</v>
      </c>
      <c r="E8398" t="s">
        <v>298</v>
      </c>
      <c r="F8398">
        <v>15.35</v>
      </c>
      <c r="G8398">
        <v>230329</v>
      </c>
      <c r="H8398">
        <v>4580</v>
      </c>
      <c r="I8398" t="s">
        <v>35</v>
      </c>
      <c r="J8398">
        <v>19.04</v>
      </c>
      <c r="K8398">
        <v>3.69</v>
      </c>
      <c r="L8398">
        <v>56559</v>
      </c>
      <c r="M8398" t="s">
        <v>129</v>
      </c>
      <c r="N8398" t="str">
        <f>"1296348     "</f>
        <v xml:space="preserve">1296348     </v>
      </c>
      <c r="O8398">
        <v>230330</v>
      </c>
    </row>
    <row r="8399" spans="1:15" x14ac:dyDescent="0.25">
      <c r="A8399" t="s">
        <v>16</v>
      </c>
      <c r="B8399" t="s">
        <v>3221</v>
      </c>
      <c r="C8399">
        <v>4084</v>
      </c>
      <c r="D8399" t="s">
        <v>3650</v>
      </c>
      <c r="E8399" t="s">
        <v>298</v>
      </c>
      <c r="F8399">
        <v>56.16</v>
      </c>
      <c r="G8399">
        <v>230329</v>
      </c>
      <c r="H8399">
        <v>4580</v>
      </c>
      <c r="I8399" t="s">
        <v>35</v>
      </c>
      <c r="J8399">
        <v>69.64</v>
      </c>
      <c r="K8399">
        <v>13.48</v>
      </c>
      <c r="L8399">
        <v>56559</v>
      </c>
      <c r="M8399" t="s">
        <v>129</v>
      </c>
      <c r="N8399" t="str">
        <f>"1296351     "</f>
        <v xml:space="preserve">1296351     </v>
      </c>
      <c r="O8399">
        <v>230330</v>
      </c>
    </row>
    <row r="8400" spans="1:15" x14ac:dyDescent="0.25">
      <c r="A8400" t="s">
        <v>16</v>
      </c>
      <c r="B8400" t="s">
        <v>3221</v>
      </c>
      <c r="C8400">
        <v>4085</v>
      </c>
      <c r="D8400" t="s">
        <v>3650</v>
      </c>
      <c r="E8400" t="s">
        <v>298</v>
      </c>
      <c r="F8400">
        <v>-140.22999999999999</v>
      </c>
      <c r="G8400">
        <v>230329</v>
      </c>
      <c r="H8400">
        <v>4580</v>
      </c>
      <c r="I8400" t="s">
        <v>35</v>
      </c>
      <c r="J8400">
        <v>-173.88</v>
      </c>
      <c r="K8400">
        <v>-33.65</v>
      </c>
      <c r="L8400">
        <v>56559</v>
      </c>
      <c r="M8400" t="s">
        <v>129</v>
      </c>
      <c r="N8400" t="str">
        <f>"1296322     "</f>
        <v xml:space="preserve">1296322     </v>
      </c>
      <c r="O8400">
        <v>230330</v>
      </c>
    </row>
    <row r="8401" spans="1:15" x14ac:dyDescent="0.25">
      <c r="A8401" t="s">
        <v>16</v>
      </c>
      <c r="B8401" t="s">
        <v>3221</v>
      </c>
      <c r="C8401">
        <v>4833</v>
      </c>
      <c r="D8401" t="s">
        <v>3650</v>
      </c>
      <c r="E8401" t="s">
        <v>298</v>
      </c>
      <c r="F8401">
        <v>29.58</v>
      </c>
      <c r="G8401">
        <v>230329</v>
      </c>
      <c r="H8401">
        <v>4580</v>
      </c>
      <c r="I8401" t="s">
        <v>35</v>
      </c>
      <c r="J8401">
        <v>36.68</v>
      </c>
      <c r="K8401">
        <v>7.1</v>
      </c>
      <c r="L8401">
        <v>56565</v>
      </c>
      <c r="M8401" t="s">
        <v>758</v>
      </c>
      <c r="N8401" t="str">
        <f>"1296330     "</f>
        <v xml:space="preserve">1296330     </v>
      </c>
      <c r="O8401">
        <v>230413</v>
      </c>
    </row>
    <row r="8402" spans="1:15" x14ac:dyDescent="0.25">
      <c r="A8402" t="s">
        <v>16</v>
      </c>
      <c r="B8402" t="s">
        <v>3221</v>
      </c>
      <c r="C8402">
        <v>5168</v>
      </c>
      <c r="D8402" t="s">
        <v>3650</v>
      </c>
      <c r="E8402" t="s">
        <v>298</v>
      </c>
      <c r="F8402">
        <v>19.739999999999998</v>
      </c>
      <c r="G8402">
        <v>230314</v>
      </c>
      <c r="H8402">
        <v>4580</v>
      </c>
      <c r="I8402" t="s">
        <v>35</v>
      </c>
      <c r="J8402">
        <v>24.48</v>
      </c>
      <c r="K8402">
        <v>4.74</v>
      </c>
      <c r="L8402">
        <v>56559</v>
      </c>
      <c r="M8402" t="s">
        <v>129</v>
      </c>
      <c r="N8402" t="str">
        <f>"1295336     "</f>
        <v xml:space="preserve">1295336     </v>
      </c>
      <c r="O8402">
        <v>230418</v>
      </c>
    </row>
    <row r="8403" spans="1:15" x14ac:dyDescent="0.25">
      <c r="A8403" t="s">
        <v>16</v>
      </c>
      <c r="B8403" t="s">
        <v>3221</v>
      </c>
      <c r="C8403">
        <v>5175</v>
      </c>
      <c r="D8403" t="s">
        <v>3650</v>
      </c>
      <c r="E8403" t="s">
        <v>298</v>
      </c>
      <c r="F8403">
        <v>126.87</v>
      </c>
      <c r="G8403">
        <v>230314</v>
      </c>
      <c r="H8403">
        <v>4580</v>
      </c>
      <c r="I8403" t="s">
        <v>35</v>
      </c>
      <c r="J8403">
        <v>157.32</v>
      </c>
      <c r="K8403">
        <v>30.45</v>
      </c>
      <c r="L8403">
        <v>56559</v>
      </c>
      <c r="M8403" t="s">
        <v>129</v>
      </c>
      <c r="N8403" t="str">
        <f>"1295340     "</f>
        <v xml:space="preserve">1295340     </v>
      </c>
      <c r="O8403">
        <v>230418</v>
      </c>
    </row>
    <row r="8404" spans="1:15" x14ac:dyDescent="0.25">
      <c r="A8404" t="s">
        <v>16</v>
      </c>
      <c r="B8404" t="s">
        <v>3221</v>
      </c>
      <c r="C8404">
        <v>5176</v>
      </c>
      <c r="D8404" t="s">
        <v>3650</v>
      </c>
      <c r="E8404" t="s">
        <v>298</v>
      </c>
      <c r="F8404">
        <v>1.67</v>
      </c>
      <c r="G8404">
        <v>230314</v>
      </c>
      <c r="H8404">
        <v>4580</v>
      </c>
      <c r="I8404" t="s">
        <v>35</v>
      </c>
      <c r="J8404">
        <v>2.0699999999999998</v>
      </c>
      <c r="K8404">
        <v>0.4</v>
      </c>
      <c r="L8404">
        <v>56559</v>
      </c>
      <c r="M8404" t="s">
        <v>129</v>
      </c>
      <c r="N8404" t="str">
        <f>"1295334     "</f>
        <v xml:space="preserve">1295334     </v>
      </c>
      <c r="O8404">
        <v>230418</v>
      </c>
    </row>
    <row r="8405" spans="1:15" x14ac:dyDescent="0.25">
      <c r="A8405" t="s">
        <v>16</v>
      </c>
      <c r="B8405" t="s">
        <v>3221</v>
      </c>
      <c r="C8405">
        <v>5181</v>
      </c>
      <c r="D8405" t="s">
        <v>3650</v>
      </c>
      <c r="E8405" t="s">
        <v>298</v>
      </c>
      <c r="F8405">
        <v>1.47</v>
      </c>
      <c r="G8405">
        <v>230413</v>
      </c>
      <c r="H8405">
        <v>4580</v>
      </c>
      <c r="I8405" t="s">
        <v>35</v>
      </c>
      <c r="J8405">
        <v>1.82</v>
      </c>
      <c r="K8405">
        <v>0.35</v>
      </c>
      <c r="L8405">
        <v>56559</v>
      </c>
      <c r="M8405" t="s">
        <v>129</v>
      </c>
      <c r="N8405" t="str">
        <f>"1297832     "</f>
        <v xml:space="preserve">1297832     </v>
      </c>
      <c r="O8405">
        <v>230418</v>
      </c>
    </row>
    <row r="8406" spans="1:15" x14ac:dyDescent="0.25">
      <c r="A8406" t="s">
        <v>16</v>
      </c>
      <c r="B8406" t="s">
        <v>3221</v>
      </c>
      <c r="C8406">
        <v>5182</v>
      </c>
      <c r="D8406" t="s">
        <v>3650</v>
      </c>
      <c r="E8406" t="s">
        <v>298</v>
      </c>
      <c r="F8406">
        <v>193.01</v>
      </c>
      <c r="G8406">
        <v>230413</v>
      </c>
      <c r="H8406">
        <v>4580</v>
      </c>
      <c r="I8406" t="s">
        <v>35</v>
      </c>
      <c r="J8406">
        <v>239.33</v>
      </c>
      <c r="K8406">
        <v>46.32</v>
      </c>
      <c r="L8406">
        <v>56559</v>
      </c>
      <c r="M8406" t="s">
        <v>129</v>
      </c>
      <c r="N8406" t="str">
        <f>"1297849     "</f>
        <v xml:space="preserve">1297849     </v>
      </c>
      <c r="O8406">
        <v>230418</v>
      </c>
    </row>
    <row r="8407" spans="1:15" x14ac:dyDescent="0.25">
      <c r="A8407" t="s">
        <v>16</v>
      </c>
      <c r="B8407" t="s">
        <v>3221</v>
      </c>
      <c r="C8407">
        <v>5235</v>
      </c>
      <c r="D8407" t="s">
        <v>3650</v>
      </c>
      <c r="E8407" t="s">
        <v>298</v>
      </c>
      <c r="F8407">
        <v>126.02</v>
      </c>
      <c r="G8407">
        <v>230413</v>
      </c>
      <c r="H8407">
        <v>4580</v>
      </c>
      <c r="I8407" t="s">
        <v>35</v>
      </c>
      <c r="J8407">
        <v>156.27000000000001</v>
      </c>
      <c r="K8407">
        <v>30.25</v>
      </c>
      <c r="L8407">
        <v>56559</v>
      </c>
      <c r="M8407" t="s">
        <v>129</v>
      </c>
      <c r="N8407" t="str">
        <f>"1297839     "</f>
        <v xml:space="preserve">1297839     </v>
      </c>
      <c r="O8407">
        <v>230419</v>
      </c>
    </row>
    <row r="8408" spans="1:15" x14ac:dyDescent="0.25">
      <c r="A8408" t="s">
        <v>16</v>
      </c>
      <c r="B8408" t="s">
        <v>3221</v>
      </c>
      <c r="C8408">
        <v>5316</v>
      </c>
      <c r="D8408" t="s">
        <v>3650</v>
      </c>
      <c r="E8408" t="s">
        <v>298</v>
      </c>
      <c r="F8408">
        <v>359.66</v>
      </c>
      <c r="G8408">
        <v>230314</v>
      </c>
      <c r="H8408">
        <v>4580</v>
      </c>
      <c r="I8408" t="s">
        <v>35</v>
      </c>
      <c r="J8408">
        <v>445.98</v>
      </c>
      <c r="K8408">
        <v>86.32</v>
      </c>
      <c r="L8408">
        <v>56563</v>
      </c>
      <c r="M8408" t="s">
        <v>953</v>
      </c>
      <c r="N8408" t="str">
        <f>"1295329     "</f>
        <v xml:space="preserve">1295329     </v>
      </c>
      <c r="O8408">
        <v>230420</v>
      </c>
    </row>
    <row r="8409" spans="1:15" x14ac:dyDescent="0.25">
      <c r="A8409" t="s">
        <v>16</v>
      </c>
      <c r="B8409" t="s">
        <v>3221</v>
      </c>
      <c r="C8409">
        <v>5551</v>
      </c>
      <c r="D8409" t="s">
        <v>3650</v>
      </c>
      <c r="E8409" t="s">
        <v>298</v>
      </c>
      <c r="F8409">
        <v>33.71</v>
      </c>
      <c r="G8409">
        <v>230314</v>
      </c>
      <c r="H8409">
        <v>4580</v>
      </c>
      <c r="I8409" t="s">
        <v>35</v>
      </c>
      <c r="J8409">
        <v>41.8</v>
      </c>
      <c r="K8409">
        <v>8.09</v>
      </c>
      <c r="L8409">
        <v>56565</v>
      </c>
      <c r="M8409" t="s">
        <v>758</v>
      </c>
      <c r="N8409" t="str">
        <f>"1295339     "</f>
        <v xml:space="preserve">1295339     </v>
      </c>
      <c r="O8409">
        <v>230426</v>
      </c>
    </row>
    <row r="8410" spans="1:15" x14ac:dyDescent="0.25">
      <c r="A8410" t="s">
        <v>16</v>
      </c>
      <c r="B8410" t="s">
        <v>3221</v>
      </c>
      <c r="C8410">
        <v>5766</v>
      </c>
      <c r="D8410" t="s">
        <v>3650</v>
      </c>
      <c r="E8410" t="s">
        <v>298</v>
      </c>
      <c r="F8410">
        <v>3.9</v>
      </c>
      <c r="G8410">
        <v>230428</v>
      </c>
      <c r="H8410">
        <v>4580</v>
      </c>
      <c r="I8410" t="s">
        <v>35</v>
      </c>
      <c r="J8410">
        <v>4.83</v>
      </c>
      <c r="K8410">
        <v>0.93</v>
      </c>
      <c r="L8410">
        <v>56558</v>
      </c>
      <c r="M8410" t="s">
        <v>217</v>
      </c>
      <c r="N8410" t="str">
        <f>"1298597     "</f>
        <v xml:space="preserve">1298597     </v>
      </c>
      <c r="O8410">
        <v>230502</v>
      </c>
    </row>
    <row r="8411" spans="1:15" x14ac:dyDescent="0.25">
      <c r="A8411" t="s">
        <v>16</v>
      </c>
      <c r="B8411" t="s">
        <v>3221</v>
      </c>
      <c r="C8411">
        <v>5923</v>
      </c>
      <c r="D8411" t="s">
        <v>3650</v>
      </c>
      <c r="E8411" t="s">
        <v>298</v>
      </c>
      <c r="F8411">
        <v>100.16</v>
      </c>
      <c r="G8411">
        <v>230428</v>
      </c>
      <c r="H8411">
        <v>4580</v>
      </c>
      <c r="I8411" t="s">
        <v>35</v>
      </c>
      <c r="J8411">
        <v>124.2</v>
      </c>
      <c r="K8411">
        <v>24.04</v>
      </c>
      <c r="L8411">
        <v>56565</v>
      </c>
      <c r="M8411" t="s">
        <v>758</v>
      </c>
      <c r="N8411" t="str">
        <f>"1298601     "</f>
        <v xml:space="preserve">1298601     </v>
      </c>
      <c r="O8411">
        <v>230503</v>
      </c>
    </row>
    <row r="8412" spans="1:15" x14ac:dyDescent="0.25">
      <c r="A8412" t="s">
        <v>16</v>
      </c>
      <c r="B8412" t="s">
        <v>3221</v>
      </c>
      <c r="C8412">
        <v>6624</v>
      </c>
      <c r="D8412" t="s">
        <v>3650</v>
      </c>
      <c r="E8412" t="s">
        <v>298</v>
      </c>
      <c r="F8412">
        <v>125.48</v>
      </c>
      <c r="G8412">
        <v>230509</v>
      </c>
      <c r="H8412">
        <v>4580</v>
      </c>
      <c r="I8412" t="s">
        <v>35</v>
      </c>
      <c r="J8412">
        <v>155.6</v>
      </c>
      <c r="K8412">
        <v>30.12</v>
      </c>
      <c r="L8412">
        <v>56559</v>
      </c>
      <c r="M8412" t="s">
        <v>129</v>
      </c>
      <c r="N8412" t="str">
        <f>"1300050     "</f>
        <v xml:space="preserve">1300050     </v>
      </c>
      <c r="O8412">
        <v>230516</v>
      </c>
    </row>
    <row r="8413" spans="1:15" x14ac:dyDescent="0.25">
      <c r="A8413" t="s">
        <v>16</v>
      </c>
      <c r="B8413" t="s">
        <v>3221</v>
      </c>
      <c r="C8413">
        <v>7320</v>
      </c>
      <c r="D8413" t="s">
        <v>3650</v>
      </c>
      <c r="E8413" t="s">
        <v>298</v>
      </c>
      <c r="F8413">
        <v>50.63</v>
      </c>
      <c r="G8413">
        <v>230524</v>
      </c>
      <c r="H8413">
        <v>4580</v>
      </c>
      <c r="I8413" t="s">
        <v>35</v>
      </c>
      <c r="J8413">
        <v>62.78</v>
      </c>
      <c r="K8413">
        <v>12.15</v>
      </c>
      <c r="L8413">
        <v>56559</v>
      </c>
      <c r="M8413" t="s">
        <v>129</v>
      </c>
      <c r="N8413" t="str">
        <f>"1300966     "</f>
        <v xml:space="preserve">1300966     </v>
      </c>
      <c r="O8413">
        <v>230529</v>
      </c>
    </row>
    <row r="8414" spans="1:15" x14ac:dyDescent="0.25">
      <c r="A8414" t="s">
        <v>16</v>
      </c>
      <c r="B8414" t="s">
        <v>3221</v>
      </c>
      <c r="C8414">
        <v>7511</v>
      </c>
      <c r="D8414" t="s">
        <v>3650</v>
      </c>
      <c r="E8414" t="s">
        <v>298</v>
      </c>
      <c r="F8414">
        <v>13.01</v>
      </c>
      <c r="G8414">
        <v>230524</v>
      </c>
      <c r="H8414">
        <v>4580</v>
      </c>
      <c r="I8414" t="s">
        <v>35</v>
      </c>
      <c r="J8414">
        <v>16.13</v>
      </c>
      <c r="K8414">
        <v>3.12</v>
      </c>
      <c r="L8414">
        <v>56522</v>
      </c>
      <c r="M8414" t="s">
        <v>43</v>
      </c>
      <c r="N8414" t="str">
        <f>"1300951     "</f>
        <v xml:space="preserve">1300951     </v>
      </c>
      <c r="O8414">
        <v>230531</v>
      </c>
    </row>
    <row r="8415" spans="1:15" x14ac:dyDescent="0.25">
      <c r="A8415" t="s">
        <v>16</v>
      </c>
      <c r="B8415" t="s">
        <v>3221</v>
      </c>
      <c r="C8415">
        <v>7786</v>
      </c>
      <c r="D8415" t="s">
        <v>3650</v>
      </c>
      <c r="E8415" t="s">
        <v>298</v>
      </c>
      <c r="F8415">
        <v>890</v>
      </c>
      <c r="G8415">
        <v>230531</v>
      </c>
      <c r="H8415">
        <v>4580</v>
      </c>
      <c r="I8415" t="s">
        <v>35</v>
      </c>
      <c r="J8415">
        <v>1103.5999999999999</v>
      </c>
      <c r="K8415">
        <v>213.6</v>
      </c>
      <c r="L8415">
        <v>56562</v>
      </c>
      <c r="M8415" t="s">
        <v>126</v>
      </c>
      <c r="N8415" t="str">
        <f>"1301765     "</f>
        <v xml:space="preserve">1301765     </v>
      </c>
      <c r="O8415">
        <v>230602</v>
      </c>
    </row>
    <row r="8416" spans="1:15" x14ac:dyDescent="0.25">
      <c r="A8416" t="s">
        <v>16</v>
      </c>
      <c r="B8416" t="s">
        <v>3221</v>
      </c>
      <c r="C8416">
        <v>7950</v>
      </c>
      <c r="D8416" t="s">
        <v>3650</v>
      </c>
      <c r="E8416" t="s">
        <v>298</v>
      </c>
      <c r="F8416">
        <v>124.63</v>
      </c>
      <c r="G8416">
        <v>230531</v>
      </c>
      <c r="H8416">
        <v>4580</v>
      </c>
      <c r="I8416" t="s">
        <v>35</v>
      </c>
      <c r="J8416">
        <v>154.54</v>
      </c>
      <c r="K8416">
        <v>29.91</v>
      </c>
      <c r="L8416">
        <v>56565</v>
      </c>
      <c r="M8416" t="s">
        <v>758</v>
      </c>
      <c r="N8416" t="str">
        <f>"1301766     "</f>
        <v xml:space="preserve">1301766     </v>
      </c>
      <c r="O8416">
        <v>230606</v>
      </c>
    </row>
    <row r="8417" spans="1:15" x14ac:dyDescent="0.25">
      <c r="A8417" t="s">
        <v>16</v>
      </c>
      <c r="B8417" t="s">
        <v>3221</v>
      </c>
      <c r="C8417">
        <v>10648</v>
      </c>
      <c r="D8417" t="s">
        <v>3650</v>
      </c>
      <c r="E8417" t="s">
        <v>298</v>
      </c>
      <c r="F8417">
        <v>28.53</v>
      </c>
      <c r="G8417">
        <v>230815</v>
      </c>
      <c r="H8417">
        <v>4580</v>
      </c>
      <c r="I8417" t="s">
        <v>35</v>
      </c>
      <c r="J8417">
        <v>35.380000000000003</v>
      </c>
      <c r="K8417">
        <v>6.85</v>
      </c>
      <c r="L8417">
        <v>56559</v>
      </c>
      <c r="M8417" t="s">
        <v>129</v>
      </c>
      <c r="N8417" t="str">
        <f>"1307932     "</f>
        <v xml:space="preserve">1307932     </v>
      </c>
      <c r="O8417">
        <v>230821</v>
      </c>
    </row>
    <row r="8418" spans="1:15" x14ac:dyDescent="0.25">
      <c r="A8418" t="s">
        <v>16</v>
      </c>
      <c r="B8418" t="s">
        <v>3221</v>
      </c>
      <c r="C8418">
        <v>10844</v>
      </c>
      <c r="D8418" t="s">
        <v>3650</v>
      </c>
      <c r="E8418" t="s">
        <v>298</v>
      </c>
      <c r="F8418">
        <v>95.77</v>
      </c>
      <c r="G8418">
        <v>230815</v>
      </c>
      <c r="H8418">
        <v>4580</v>
      </c>
      <c r="I8418" t="s">
        <v>35</v>
      </c>
      <c r="J8418">
        <v>118.75</v>
      </c>
      <c r="K8418">
        <v>22.98</v>
      </c>
      <c r="L8418">
        <v>56565</v>
      </c>
      <c r="M8418" t="s">
        <v>758</v>
      </c>
      <c r="N8418" t="str">
        <f>"1307930     "</f>
        <v xml:space="preserve">1307930     </v>
      </c>
      <c r="O8418">
        <v>230824</v>
      </c>
    </row>
    <row r="8419" spans="1:15" x14ac:dyDescent="0.25">
      <c r="A8419" t="s">
        <v>16</v>
      </c>
      <c r="B8419" t="s">
        <v>3221</v>
      </c>
      <c r="C8419">
        <v>11228</v>
      </c>
      <c r="D8419" t="s">
        <v>3650</v>
      </c>
      <c r="E8419" t="s">
        <v>298</v>
      </c>
      <c r="F8419">
        <v>32.86</v>
      </c>
      <c r="G8419">
        <v>230829</v>
      </c>
      <c r="H8419">
        <v>4580</v>
      </c>
      <c r="I8419" t="s">
        <v>35</v>
      </c>
      <c r="J8419">
        <v>40.75</v>
      </c>
      <c r="K8419">
        <v>7.89</v>
      </c>
      <c r="L8419">
        <v>56565</v>
      </c>
      <c r="M8419" t="s">
        <v>758</v>
      </c>
      <c r="N8419" t="str">
        <f>"1309096     "</f>
        <v xml:space="preserve">1309096     </v>
      </c>
      <c r="O8419">
        <v>230901</v>
      </c>
    </row>
    <row r="8420" spans="1:15" x14ac:dyDescent="0.25">
      <c r="A8420" t="s">
        <v>16</v>
      </c>
      <c r="B8420" t="s">
        <v>3221</v>
      </c>
      <c r="C8420">
        <v>12079</v>
      </c>
      <c r="D8420" t="s">
        <v>3650</v>
      </c>
      <c r="E8420" t="s">
        <v>298</v>
      </c>
      <c r="F8420">
        <v>75</v>
      </c>
      <c r="G8420">
        <v>230912</v>
      </c>
      <c r="H8420">
        <v>4580</v>
      </c>
      <c r="I8420" t="s">
        <v>35</v>
      </c>
      <c r="J8420">
        <v>93</v>
      </c>
      <c r="K8420">
        <v>18</v>
      </c>
      <c r="L8420">
        <v>69501</v>
      </c>
      <c r="M8420" t="s">
        <v>185</v>
      </c>
      <c r="N8420" t="str">
        <f>"1310326     "</f>
        <v xml:space="preserve">1310326     </v>
      </c>
      <c r="O8420">
        <v>230913</v>
      </c>
    </row>
    <row r="8421" spans="1:15" x14ac:dyDescent="0.25">
      <c r="A8421" t="s">
        <v>16</v>
      </c>
      <c r="B8421" t="s">
        <v>3221</v>
      </c>
      <c r="C8421">
        <v>12301</v>
      </c>
      <c r="D8421" t="s">
        <v>3650</v>
      </c>
      <c r="E8421" t="s">
        <v>298</v>
      </c>
      <c r="F8421">
        <v>84.59</v>
      </c>
      <c r="G8421">
        <v>230912</v>
      </c>
      <c r="H8421">
        <v>4580</v>
      </c>
      <c r="I8421" t="s">
        <v>35</v>
      </c>
      <c r="J8421">
        <v>104.89</v>
      </c>
      <c r="K8421">
        <v>20.3</v>
      </c>
      <c r="L8421">
        <v>56522</v>
      </c>
      <c r="M8421" t="s">
        <v>43</v>
      </c>
      <c r="N8421" t="str">
        <f>"1310308     "</f>
        <v xml:space="preserve">1310308     </v>
      </c>
      <c r="O8421">
        <v>230918</v>
      </c>
    </row>
    <row r="8422" spans="1:15" x14ac:dyDescent="0.25">
      <c r="A8422" t="s">
        <v>16</v>
      </c>
      <c r="B8422" t="s">
        <v>3221</v>
      </c>
      <c r="C8422">
        <v>12303</v>
      </c>
      <c r="D8422" t="s">
        <v>3650</v>
      </c>
      <c r="E8422" t="s">
        <v>298</v>
      </c>
      <c r="F8422">
        <v>7.1</v>
      </c>
      <c r="G8422">
        <v>230912</v>
      </c>
      <c r="H8422">
        <v>4580</v>
      </c>
      <c r="I8422" t="s">
        <v>35</v>
      </c>
      <c r="J8422">
        <v>8.8000000000000007</v>
      </c>
      <c r="K8422">
        <v>1.7</v>
      </c>
      <c r="L8422">
        <v>56559</v>
      </c>
      <c r="M8422" t="s">
        <v>129</v>
      </c>
      <c r="N8422" t="str">
        <f>"1310320     "</f>
        <v xml:space="preserve">1310320     </v>
      </c>
      <c r="O8422">
        <v>230918</v>
      </c>
    </row>
    <row r="8423" spans="1:15" x14ac:dyDescent="0.25">
      <c r="A8423" t="s">
        <v>16</v>
      </c>
      <c r="B8423" t="s">
        <v>3221</v>
      </c>
      <c r="C8423">
        <v>12307</v>
      </c>
      <c r="D8423" t="s">
        <v>3650</v>
      </c>
      <c r="E8423" t="s">
        <v>298</v>
      </c>
      <c r="F8423">
        <v>236.29</v>
      </c>
      <c r="G8423">
        <v>230912</v>
      </c>
      <c r="H8423">
        <v>4580</v>
      </c>
      <c r="I8423" t="s">
        <v>35</v>
      </c>
      <c r="J8423">
        <v>293</v>
      </c>
      <c r="K8423">
        <v>56.71</v>
      </c>
      <c r="L8423">
        <v>56559</v>
      </c>
      <c r="M8423" t="s">
        <v>129</v>
      </c>
      <c r="N8423" t="str">
        <f>"1310321     "</f>
        <v xml:space="preserve">1310321     </v>
      </c>
      <c r="O8423">
        <v>230918</v>
      </c>
    </row>
    <row r="8424" spans="1:15" x14ac:dyDescent="0.25">
      <c r="A8424" t="s">
        <v>16</v>
      </c>
      <c r="B8424" t="s">
        <v>3221</v>
      </c>
      <c r="C8424">
        <v>12315</v>
      </c>
      <c r="D8424" t="s">
        <v>3650</v>
      </c>
      <c r="E8424" t="s">
        <v>298</v>
      </c>
      <c r="F8424">
        <v>27.72</v>
      </c>
      <c r="G8424">
        <v>230912</v>
      </c>
      <c r="H8424">
        <v>4580</v>
      </c>
      <c r="I8424" t="s">
        <v>35</v>
      </c>
      <c r="J8424">
        <v>34.369999999999997</v>
      </c>
      <c r="K8424">
        <v>6.65</v>
      </c>
      <c r="L8424">
        <v>56559</v>
      </c>
      <c r="M8424" t="s">
        <v>129</v>
      </c>
      <c r="N8424" t="str">
        <f>"1310301     "</f>
        <v xml:space="preserve">1310301     </v>
      </c>
      <c r="O8424">
        <v>230918</v>
      </c>
    </row>
    <row r="8425" spans="1:15" x14ac:dyDescent="0.25">
      <c r="A8425" t="s">
        <v>16</v>
      </c>
      <c r="B8425" t="s">
        <v>3221</v>
      </c>
      <c r="C8425">
        <v>12317</v>
      </c>
      <c r="D8425" t="s">
        <v>3650</v>
      </c>
      <c r="E8425" t="s">
        <v>298</v>
      </c>
      <c r="F8425">
        <v>104.52</v>
      </c>
      <c r="G8425">
        <v>230912</v>
      </c>
      <c r="H8425">
        <v>4580</v>
      </c>
      <c r="I8425" t="s">
        <v>35</v>
      </c>
      <c r="J8425">
        <v>129.61000000000001</v>
      </c>
      <c r="K8425">
        <v>25.09</v>
      </c>
      <c r="L8425">
        <v>56522</v>
      </c>
      <c r="M8425" t="s">
        <v>43</v>
      </c>
      <c r="N8425" t="str">
        <f>"1310323     "</f>
        <v xml:space="preserve">1310323     </v>
      </c>
      <c r="O8425">
        <v>230918</v>
      </c>
    </row>
    <row r="8426" spans="1:15" x14ac:dyDescent="0.25">
      <c r="A8426" t="s">
        <v>16</v>
      </c>
      <c r="B8426" t="s">
        <v>3221</v>
      </c>
      <c r="C8426">
        <v>12586</v>
      </c>
      <c r="D8426" t="s">
        <v>3650</v>
      </c>
      <c r="E8426" t="s">
        <v>298</v>
      </c>
      <c r="F8426">
        <v>40.6</v>
      </c>
      <c r="G8426">
        <v>230829</v>
      </c>
      <c r="H8426">
        <v>4580</v>
      </c>
      <c r="I8426" t="s">
        <v>35</v>
      </c>
      <c r="J8426">
        <v>50.35</v>
      </c>
      <c r="K8426">
        <v>9.75</v>
      </c>
      <c r="L8426">
        <v>56522</v>
      </c>
      <c r="M8426" t="s">
        <v>43</v>
      </c>
      <c r="N8426" t="str">
        <f>"1309087     "</f>
        <v xml:space="preserve">1309087     </v>
      </c>
      <c r="O8426">
        <v>230922</v>
      </c>
    </row>
    <row r="8427" spans="1:15" x14ac:dyDescent="0.25">
      <c r="A8427" t="s">
        <v>16</v>
      </c>
      <c r="B8427" t="s">
        <v>3221</v>
      </c>
      <c r="C8427">
        <v>12729</v>
      </c>
      <c r="D8427" t="s">
        <v>3650</v>
      </c>
      <c r="E8427" t="s">
        <v>298</v>
      </c>
      <c r="F8427">
        <v>304.74</v>
      </c>
      <c r="G8427">
        <v>230912</v>
      </c>
      <c r="H8427">
        <v>4580</v>
      </c>
      <c r="I8427" t="s">
        <v>35</v>
      </c>
      <c r="J8427">
        <v>377.88</v>
      </c>
      <c r="K8427">
        <v>73.14</v>
      </c>
      <c r="L8427">
        <v>56565</v>
      </c>
      <c r="M8427" t="s">
        <v>758</v>
      </c>
      <c r="N8427" t="str">
        <f>"1310306     "</f>
        <v xml:space="preserve">1310306     </v>
      </c>
      <c r="O8427">
        <v>230925</v>
      </c>
    </row>
    <row r="8428" spans="1:15" x14ac:dyDescent="0.25">
      <c r="A8428" t="s">
        <v>16</v>
      </c>
      <c r="B8428" t="s">
        <v>3221</v>
      </c>
      <c r="C8428">
        <v>12903</v>
      </c>
      <c r="D8428" t="s">
        <v>3650</v>
      </c>
      <c r="E8428" t="s">
        <v>298</v>
      </c>
      <c r="F8428">
        <v>5.52</v>
      </c>
      <c r="G8428">
        <v>230926</v>
      </c>
      <c r="H8428">
        <v>4580</v>
      </c>
      <c r="I8428" t="s">
        <v>35</v>
      </c>
      <c r="J8428">
        <v>6.84</v>
      </c>
      <c r="K8428">
        <v>1.32</v>
      </c>
      <c r="L8428">
        <v>59504</v>
      </c>
      <c r="M8428" t="s">
        <v>71</v>
      </c>
      <c r="N8428" t="str">
        <f>"1311635     "</f>
        <v xml:space="preserve">1311635     </v>
      </c>
      <c r="O8428">
        <v>230929</v>
      </c>
    </row>
    <row r="8429" spans="1:15" x14ac:dyDescent="0.25">
      <c r="A8429" t="s">
        <v>16</v>
      </c>
      <c r="B8429" t="s">
        <v>3221</v>
      </c>
      <c r="C8429">
        <v>12986</v>
      </c>
      <c r="D8429" t="s">
        <v>3650</v>
      </c>
      <c r="E8429" t="s">
        <v>298</v>
      </c>
      <c r="F8429">
        <v>144.44</v>
      </c>
      <c r="G8429">
        <v>230926</v>
      </c>
      <c r="H8429">
        <v>4580</v>
      </c>
      <c r="I8429" t="s">
        <v>35</v>
      </c>
      <c r="J8429">
        <v>179.1</v>
      </c>
      <c r="K8429">
        <v>34.659999999999997</v>
      </c>
      <c r="L8429">
        <v>56559</v>
      </c>
      <c r="M8429" t="s">
        <v>129</v>
      </c>
      <c r="N8429" t="str">
        <f>"1311612     "</f>
        <v xml:space="preserve">1311612     </v>
      </c>
      <c r="O8429">
        <v>231002</v>
      </c>
    </row>
    <row r="8430" spans="1:15" x14ac:dyDescent="0.25">
      <c r="A8430" t="s">
        <v>16</v>
      </c>
      <c r="B8430" t="s">
        <v>3221</v>
      </c>
      <c r="C8430">
        <v>13021</v>
      </c>
      <c r="D8430" t="s">
        <v>3650</v>
      </c>
      <c r="E8430" t="s">
        <v>298</v>
      </c>
      <c r="F8430">
        <v>10.9</v>
      </c>
      <c r="G8430">
        <v>230926</v>
      </c>
      <c r="H8430">
        <v>4580</v>
      </c>
      <c r="I8430" t="s">
        <v>35</v>
      </c>
      <c r="J8430">
        <v>13.52</v>
      </c>
      <c r="K8430">
        <v>2.62</v>
      </c>
      <c r="L8430">
        <v>56559</v>
      </c>
      <c r="M8430" t="s">
        <v>129</v>
      </c>
      <c r="N8430" t="str">
        <f>"1311614     "</f>
        <v xml:space="preserve">1311614     </v>
      </c>
      <c r="O8430">
        <v>231002</v>
      </c>
    </row>
    <row r="8431" spans="1:15" x14ac:dyDescent="0.25">
      <c r="A8431" t="s">
        <v>16</v>
      </c>
      <c r="B8431" t="s">
        <v>3221</v>
      </c>
      <c r="C8431">
        <v>13058</v>
      </c>
      <c r="D8431" t="s">
        <v>3650</v>
      </c>
      <c r="E8431" t="s">
        <v>298</v>
      </c>
      <c r="F8431">
        <v>99.4</v>
      </c>
      <c r="G8431">
        <v>230926</v>
      </c>
      <c r="H8431">
        <v>4580</v>
      </c>
      <c r="I8431" t="s">
        <v>35</v>
      </c>
      <c r="J8431">
        <v>123.25</v>
      </c>
      <c r="K8431">
        <v>23.85</v>
      </c>
      <c r="L8431">
        <v>56562</v>
      </c>
      <c r="M8431" t="s">
        <v>126</v>
      </c>
      <c r="N8431" t="str">
        <f>"1311613     "</f>
        <v xml:space="preserve">1311613     </v>
      </c>
      <c r="O8431">
        <v>231003</v>
      </c>
    </row>
    <row r="8432" spans="1:15" x14ac:dyDescent="0.25">
      <c r="A8432" t="s">
        <v>16</v>
      </c>
      <c r="B8432" t="s">
        <v>3221</v>
      </c>
      <c r="C8432">
        <v>13059</v>
      </c>
      <c r="D8432" t="s">
        <v>3650</v>
      </c>
      <c r="E8432" t="s">
        <v>298</v>
      </c>
      <c r="F8432">
        <v>39.6</v>
      </c>
      <c r="G8432">
        <v>230926</v>
      </c>
      <c r="H8432">
        <v>4580</v>
      </c>
      <c r="I8432" t="s">
        <v>35</v>
      </c>
      <c r="J8432">
        <v>49.1</v>
      </c>
      <c r="K8432">
        <v>9.5</v>
      </c>
      <c r="L8432">
        <v>56564</v>
      </c>
      <c r="M8432" t="s">
        <v>327</v>
      </c>
      <c r="N8432" t="str">
        <f>"1311626     "</f>
        <v xml:space="preserve">1311626     </v>
      </c>
      <c r="O8432">
        <v>231003</v>
      </c>
    </row>
    <row r="8433" spans="1:15" x14ac:dyDescent="0.25">
      <c r="A8433" t="s">
        <v>16</v>
      </c>
      <c r="B8433" t="s">
        <v>3221</v>
      </c>
      <c r="C8433">
        <v>13182</v>
      </c>
      <c r="D8433" t="s">
        <v>3650</v>
      </c>
      <c r="E8433" t="s">
        <v>298</v>
      </c>
      <c r="F8433">
        <v>121.97</v>
      </c>
      <c r="G8433">
        <v>230926</v>
      </c>
      <c r="H8433">
        <v>4580</v>
      </c>
      <c r="I8433" t="s">
        <v>35</v>
      </c>
      <c r="J8433">
        <v>151.24</v>
      </c>
      <c r="K8433">
        <v>29.27</v>
      </c>
      <c r="L8433">
        <v>56565</v>
      </c>
      <c r="M8433" t="s">
        <v>758</v>
      </c>
      <c r="N8433" t="str">
        <f>"1311599     "</f>
        <v xml:space="preserve">1311599     </v>
      </c>
      <c r="O8433">
        <v>231005</v>
      </c>
    </row>
    <row r="8434" spans="1:15" x14ac:dyDescent="0.25">
      <c r="A8434" t="s">
        <v>16</v>
      </c>
      <c r="B8434" t="s">
        <v>3221</v>
      </c>
      <c r="C8434">
        <v>13191</v>
      </c>
      <c r="D8434" t="s">
        <v>3650</v>
      </c>
      <c r="E8434" t="s">
        <v>298</v>
      </c>
      <c r="F8434">
        <v>142.58000000000001</v>
      </c>
      <c r="G8434">
        <v>230926</v>
      </c>
      <c r="H8434">
        <v>4580</v>
      </c>
      <c r="I8434" t="s">
        <v>35</v>
      </c>
      <c r="J8434">
        <v>176.8</v>
      </c>
      <c r="K8434">
        <v>34.22</v>
      </c>
      <c r="L8434">
        <v>56565</v>
      </c>
      <c r="M8434" t="s">
        <v>758</v>
      </c>
      <c r="N8434" t="str">
        <f>"1311633     "</f>
        <v xml:space="preserve">1311633     </v>
      </c>
      <c r="O8434">
        <v>231005</v>
      </c>
    </row>
    <row r="8435" spans="1:15" x14ac:dyDescent="0.25">
      <c r="A8435" t="s">
        <v>16</v>
      </c>
      <c r="B8435" t="s">
        <v>3221</v>
      </c>
      <c r="C8435">
        <v>13743</v>
      </c>
      <c r="D8435" t="s">
        <v>3650</v>
      </c>
      <c r="E8435" t="s">
        <v>298</v>
      </c>
      <c r="F8435">
        <v>19.52</v>
      </c>
      <c r="G8435">
        <v>231010</v>
      </c>
      <c r="H8435">
        <v>4580</v>
      </c>
      <c r="I8435" t="s">
        <v>35</v>
      </c>
      <c r="J8435">
        <v>24.21</v>
      </c>
      <c r="K8435">
        <v>4.6900000000000004</v>
      </c>
      <c r="L8435">
        <v>56559</v>
      </c>
      <c r="M8435" t="s">
        <v>129</v>
      </c>
      <c r="N8435" t="str">
        <f>"1312840     "</f>
        <v xml:space="preserve">1312840     </v>
      </c>
      <c r="O8435">
        <v>231012</v>
      </c>
    </row>
    <row r="8436" spans="1:15" x14ac:dyDescent="0.25">
      <c r="A8436" t="s">
        <v>16</v>
      </c>
      <c r="B8436" t="s">
        <v>3221</v>
      </c>
      <c r="C8436">
        <v>13751</v>
      </c>
      <c r="D8436" t="s">
        <v>3650</v>
      </c>
      <c r="E8436" t="s">
        <v>298</v>
      </c>
      <c r="F8436">
        <v>73.72</v>
      </c>
      <c r="G8436">
        <v>231010</v>
      </c>
      <c r="H8436">
        <v>4580</v>
      </c>
      <c r="I8436" t="s">
        <v>35</v>
      </c>
      <c r="J8436">
        <v>91.41</v>
      </c>
      <c r="K8436">
        <v>17.690000000000001</v>
      </c>
      <c r="L8436">
        <v>56559</v>
      </c>
      <c r="M8436" t="s">
        <v>129</v>
      </c>
      <c r="N8436" t="str">
        <f>"1312826     "</f>
        <v xml:space="preserve">1312826     </v>
      </c>
      <c r="O8436">
        <v>231012</v>
      </c>
    </row>
    <row r="8437" spans="1:15" x14ac:dyDescent="0.25">
      <c r="A8437" t="s">
        <v>16</v>
      </c>
      <c r="B8437" t="s">
        <v>3221</v>
      </c>
      <c r="C8437">
        <v>14015</v>
      </c>
      <c r="D8437" t="s">
        <v>3650</v>
      </c>
      <c r="E8437" t="s">
        <v>298</v>
      </c>
      <c r="F8437">
        <v>186.58</v>
      </c>
      <c r="G8437">
        <v>231010</v>
      </c>
      <c r="H8437">
        <v>4580</v>
      </c>
      <c r="I8437" t="s">
        <v>35</v>
      </c>
      <c r="J8437">
        <v>231.36</v>
      </c>
      <c r="K8437">
        <v>44.78</v>
      </c>
      <c r="L8437">
        <v>56522</v>
      </c>
      <c r="M8437" t="s">
        <v>43</v>
      </c>
      <c r="N8437" t="str">
        <f>"1312831     "</f>
        <v xml:space="preserve">1312831     </v>
      </c>
      <c r="O8437">
        <v>231017</v>
      </c>
    </row>
    <row r="8438" spans="1:15" x14ac:dyDescent="0.25">
      <c r="A8438" t="s">
        <v>16</v>
      </c>
      <c r="B8438" t="s">
        <v>3221</v>
      </c>
      <c r="C8438">
        <v>14164</v>
      </c>
      <c r="D8438" t="s">
        <v>3650</v>
      </c>
      <c r="E8438" t="s">
        <v>298</v>
      </c>
      <c r="F8438">
        <v>233.06</v>
      </c>
      <c r="G8438">
        <v>231010</v>
      </c>
      <c r="H8438">
        <v>4580</v>
      </c>
      <c r="I8438" t="s">
        <v>35</v>
      </c>
      <c r="J8438">
        <v>289</v>
      </c>
      <c r="K8438">
        <v>55.94</v>
      </c>
      <c r="L8438">
        <v>66754</v>
      </c>
      <c r="M8438" t="s">
        <v>239</v>
      </c>
      <c r="N8438" t="str">
        <f>"1312867     "</f>
        <v xml:space="preserve">1312867     </v>
      </c>
      <c r="O8438">
        <v>231023</v>
      </c>
    </row>
    <row r="8439" spans="1:15" x14ac:dyDescent="0.25">
      <c r="A8439" t="s">
        <v>16</v>
      </c>
      <c r="B8439" t="s">
        <v>3221</v>
      </c>
      <c r="C8439">
        <v>14166</v>
      </c>
      <c r="D8439" t="s">
        <v>3650</v>
      </c>
      <c r="E8439" t="s">
        <v>298</v>
      </c>
      <c r="F8439">
        <v>265.24</v>
      </c>
      <c r="G8439">
        <v>231010</v>
      </c>
      <c r="H8439">
        <v>4580</v>
      </c>
      <c r="I8439" t="s">
        <v>35</v>
      </c>
      <c r="J8439">
        <v>328.9</v>
      </c>
      <c r="K8439">
        <v>63.66</v>
      </c>
      <c r="L8439">
        <v>69501</v>
      </c>
      <c r="M8439" t="s">
        <v>185</v>
      </c>
      <c r="N8439" t="str">
        <f>"1312866     "</f>
        <v xml:space="preserve">1312866     </v>
      </c>
      <c r="O8439">
        <v>231023</v>
      </c>
    </row>
    <row r="8440" spans="1:15" x14ac:dyDescent="0.25">
      <c r="A8440" t="s">
        <v>16</v>
      </c>
      <c r="B8440" t="s">
        <v>3221</v>
      </c>
      <c r="C8440">
        <v>14167</v>
      </c>
      <c r="D8440" t="s">
        <v>3650</v>
      </c>
      <c r="E8440" t="s">
        <v>298</v>
      </c>
      <c r="F8440">
        <v>243.79</v>
      </c>
      <c r="G8440">
        <v>231010</v>
      </c>
      <c r="H8440">
        <v>4580</v>
      </c>
      <c r="I8440" t="s">
        <v>35</v>
      </c>
      <c r="J8440">
        <v>302.3</v>
      </c>
      <c r="K8440">
        <v>58.51</v>
      </c>
      <c r="L8440">
        <v>69501</v>
      </c>
      <c r="M8440" t="s">
        <v>185</v>
      </c>
      <c r="N8440" t="str">
        <f>"1312868     "</f>
        <v xml:space="preserve">1312868     </v>
      </c>
      <c r="O8440">
        <v>231023</v>
      </c>
    </row>
    <row r="8441" spans="1:15" x14ac:dyDescent="0.25">
      <c r="A8441" t="s">
        <v>16</v>
      </c>
      <c r="B8441" t="s">
        <v>3221</v>
      </c>
      <c r="C8441">
        <v>14206</v>
      </c>
      <c r="D8441" t="s">
        <v>3650</v>
      </c>
      <c r="E8441" t="s">
        <v>298</v>
      </c>
      <c r="F8441">
        <v>245.32</v>
      </c>
      <c r="G8441">
        <v>231010</v>
      </c>
      <c r="H8441">
        <v>4580</v>
      </c>
      <c r="I8441" t="s">
        <v>35</v>
      </c>
      <c r="J8441">
        <v>304.2</v>
      </c>
      <c r="K8441">
        <v>58.88</v>
      </c>
      <c r="L8441">
        <v>66756</v>
      </c>
      <c r="M8441" t="s">
        <v>209</v>
      </c>
      <c r="N8441" t="str">
        <f>"1312865     "</f>
        <v xml:space="preserve">1312865     </v>
      </c>
      <c r="O8441">
        <v>231024</v>
      </c>
    </row>
    <row r="8442" spans="1:15" x14ac:dyDescent="0.25">
      <c r="A8442" t="s">
        <v>16</v>
      </c>
      <c r="B8442" t="s">
        <v>3221</v>
      </c>
      <c r="C8442">
        <v>14468</v>
      </c>
      <c r="D8442" t="s">
        <v>3650</v>
      </c>
      <c r="E8442" t="s">
        <v>298</v>
      </c>
      <c r="F8442">
        <v>111.09</v>
      </c>
      <c r="G8442">
        <v>231024</v>
      </c>
      <c r="H8442">
        <v>4580</v>
      </c>
      <c r="I8442" t="s">
        <v>35</v>
      </c>
      <c r="J8442">
        <v>137.75</v>
      </c>
      <c r="K8442">
        <v>26.66</v>
      </c>
      <c r="L8442">
        <v>69113</v>
      </c>
      <c r="M8442" t="s">
        <v>282</v>
      </c>
      <c r="N8442" t="str">
        <f>"1314029     "</f>
        <v xml:space="preserve">1314029     </v>
      </c>
      <c r="O8442">
        <v>231030</v>
      </c>
    </row>
    <row r="8443" spans="1:15" x14ac:dyDescent="0.25">
      <c r="A8443" t="s">
        <v>16</v>
      </c>
      <c r="B8443" t="s">
        <v>3221</v>
      </c>
      <c r="C8443">
        <v>14477</v>
      </c>
      <c r="D8443" t="s">
        <v>3650</v>
      </c>
      <c r="E8443" t="s">
        <v>298</v>
      </c>
      <c r="F8443">
        <v>216.94</v>
      </c>
      <c r="G8443">
        <v>231024</v>
      </c>
      <c r="H8443">
        <v>4580</v>
      </c>
      <c r="I8443" t="s">
        <v>35</v>
      </c>
      <c r="J8443">
        <v>269</v>
      </c>
      <c r="K8443">
        <v>52.06</v>
      </c>
      <c r="L8443">
        <v>56559</v>
      </c>
      <c r="M8443" t="s">
        <v>129</v>
      </c>
      <c r="N8443" t="str">
        <f>"1314018     "</f>
        <v xml:space="preserve">1314018     </v>
      </c>
      <c r="O8443">
        <v>231030</v>
      </c>
    </row>
    <row r="8444" spans="1:15" x14ac:dyDescent="0.25">
      <c r="A8444" t="s">
        <v>16</v>
      </c>
      <c r="B8444" t="s">
        <v>3221</v>
      </c>
      <c r="C8444">
        <v>15427</v>
      </c>
      <c r="D8444" t="s">
        <v>3650</v>
      </c>
      <c r="E8444" t="s">
        <v>298</v>
      </c>
      <c r="F8444">
        <v>116.92</v>
      </c>
      <c r="G8444">
        <v>231109</v>
      </c>
      <c r="H8444">
        <v>4580</v>
      </c>
      <c r="I8444" t="s">
        <v>35</v>
      </c>
      <c r="J8444">
        <v>144.97999999999999</v>
      </c>
      <c r="K8444">
        <v>28.06</v>
      </c>
      <c r="L8444">
        <v>56559</v>
      </c>
      <c r="M8444" t="s">
        <v>129</v>
      </c>
      <c r="N8444" t="str">
        <f>"1315343     "</f>
        <v xml:space="preserve">1315343     </v>
      </c>
      <c r="O8444">
        <v>231113</v>
      </c>
    </row>
    <row r="8445" spans="1:15" x14ac:dyDescent="0.25">
      <c r="A8445" t="s">
        <v>16</v>
      </c>
      <c r="B8445" t="s">
        <v>3221</v>
      </c>
      <c r="C8445">
        <v>15433</v>
      </c>
      <c r="D8445" t="s">
        <v>3650</v>
      </c>
      <c r="E8445" t="s">
        <v>298</v>
      </c>
      <c r="F8445">
        <v>251.26</v>
      </c>
      <c r="G8445">
        <v>231109</v>
      </c>
      <c r="H8445">
        <v>4580</v>
      </c>
      <c r="I8445" t="s">
        <v>35</v>
      </c>
      <c r="J8445">
        <v>311.56</v>
      </c>
      <c r="K8445">
        <v>60.3</v>
      </c>
      <c r="L8445">
        <v>56559</v>
      </c>
      <c r="M8445" t="s">
        <v>129</v>
      </c>
      <c r="N8445" t="str">
        <f>"1315331     "</f>
        <v xml:space="preserve">1315331     </v>
      </c>
      <c r="O8445">
        <v>231113</v>
      </c>
    </row>
    <row r="8446" spans="1:15" x14ac:dyDescent="0.25">
      <c r="A8446" t="s">
        <v>16</v>
      </c>
      <c r="B8446" t="s">
        <v>3221</v>
      </c>
      <c r="C8446">
        <v>15442</v>
      </c>
      <c r="D8446" t="s">
        <v>3650</v>
      </c>
      <c r="E8446" t="s">
        <v>298</v>
      </c>
      <c r="F8446">
        <v>658.87</v>
      </c>
      <c r="G8446">
        <v>231109</v>
      </c>
      <c r="H8446">
        <v>4580</v>
      </c>
      <c r="I8446" t="s">
        <v>35</v>
      </c>
      <c r="J8446">
        <v>817</v>
      </c>
      <c r="K8446">
        <v>158.13</v>
      </c>
      <c r="L8446">
        <v>66756</v>
      </c>
      <c r="M8446" t="s">
        <v>209</v>
      </c>
      <c r="N8446" t="str">
        <f>"1315347     "</f>
        <v xml:space="preserve">1315347     </v>
      </c>
      <c r="O8446">
        <v>231113</v>
      </c>
    </row>
    <row r="8447" spans="1:15" x14ac:dyDescent="0.25">
      <c r="A8447" t="s">
        <v>16</v>
      </c>
      <c r="B8447" t="s">
        <v>3221</v>
      </c>
      <c r="C8447">
        <v>15444</v>
      </c>
      <c r="D8447" t="s">
        <v>3650</v>
      </c>
      <c r="E8447" t="s">
        <v>298</v>
      </c>
      <c r="F8447">
        <v>701.94</v>
      </c>
      <c r="G8447">
        <v>231109</v>
      </c>
      <c r="H8447">
        <v>4580</v>
      </c>
      <c r="I8447" t="s">
        <v>35</v>
      </c>
      <c r="J8447">
        <v>870.4</v>
      </c>
      <c r="K8447">
        <v>168.46</v>
      </c>
      <c r="L8447">
        <v>56562</v>
      </c>
      <c r="M8447" t="s">
        <v>126</v>
      </c>
      <c r="N8447" t="str">
        <f>"1315333     "</f>
        <v xml:space="preserve">1315333     </v>
      </c>
      <c r="O8447">
        <v>231113</v>
      </c>
    </row>
    <row r="8448" spans="1:15" x14ac:dyDescent="0.25">
      <c r="A8448" t="s">
        <v>16</v>
      </c>
      <c r="B8448" t="s">
        <v>3221</v>
      </c>
      <c r="C8448">
        <v>15453</v>
      </c>
      <c r="D8448" t="s">
        <v>3650</v>
      </c>
      <c r="E8448" t="s">
        <v>298</v>
      </c>
      <c r="F8448">
        <v>111.29</v>
      </c>
      <c r="G8448">
        <v>231109</v>
      </c>
      <c r="H8448">
        <v>4580</v>
      </c>
      <c r="I8448" t="s">
        <v>35</v>
      </c>
      <c r="J8448">
        <v>138</v>
      </c>
      <c r="K8448">
        <v>26.71</v>
      </c>
      <c r="L8448">
        <v>56559</v>
      </c>
      <c r="M8448" t="s">
        <v>129</v>
      </c>
      <c r="N8448" t="str">
        <f>"1315316     "</f>
        <v xml:space="preserve">1315316     </v>
      </c>
      <c r="O8448">
        <v>231113</v>
      </c>
    </row>
    <row r="8449" spans="1:15" x14ac:dyDescent="0.25">
      <c r="A8449" t="s">
        <v>16</v>
      </c>
      <c r="B8449" t="s">
        <v>3221</v>
      </c>
      <c r="C8449">
        <v>15480</v>
      </c>
      <c r="D8449" t="s">
        <v>3650</v>
      </c>
      <c r="E8449" t="s">
        <v>298</v>
      </c>
      <c r="F8449">
        <v>351.01</v>
      </c>
      <c r="G8449">
        <v>231109</v>
      </c>
      <c r="H8449">
        <v>4580</v>
      </c>
      <c r="I8449" t="s">
        <v>35</v>
      </c>
      <c r="J8449">
        <v>435.25</v>
      </c>
      <c r="K8449">
        <v>84.24</v>
      </c>
      <c r="L8449">
        <v>56562</v>
      </c>
      <c r="M8449" t="s">
        <v>126</v>
      </c>
      <c r="N8449" t="str">
        <f>"1315326     "</f>
        <v xml:space="preserve">1315326     </v>
      </c>
      <c r="O8449">
        <v>231113</v>
      </c>
    </row>
    <row r="8450" spans="1:15" x14ac:dyDescent="0.25">
      <c r="A8450" t="s">
        <v>16</v>
      </c>
      <c r="B8450" t="s">
        <v>3221</v>
      </c>
      <c r="C8450">
        <v>15482</v>
      </c>
      <c r="D8450" t="s">
        <v>3650</v>
      </c>
      <c r="E8450" t="s">
        <v>298</v>
      </c>
      <c r="F8450">
        <v>89.72</v>
      </c>
      <c r="G8450">
        <v>231109</v>
      </c>
      <c r="H8450">
        <v>4580</v>
      </c>
      <c r="I8450" t="s">
        <v>35</v>
      </c>
      <c r="J8450">
        <v>111.25</v>
      </c>
      <c r="K8450">
        <v>21.53</v>
      </c>
      <c r="L8450">
        <v>56559</v>
      </c>
      <c r="M8450" t="s">
        <v>129</v>
      </c>
      <c r="N8450" t="str">
        <f>"1315340     "</f>
        <v xml:space="preserve">1315340     </v>
      </c>
      <c r="O8450">
        <v>231113</v>
      </c>
    </row>
    <row r="8451" spans="1:15" x14ac:dyDescent="0.25">
      <c r="A8451" t="s">
        <v>16</v>
      </c>
      <c r="B8451" t="s">
        <v>3221</v>
      </c>
      <c r="C8451">
        <v>15494</v>
      </c>
      <c r="D8451" t="s">
        <v>3650</v>
      </c>
      <c r="E8451" t="s">
        <v>298</v>
      </c>
      <c r="F8451">
        <v>115.22</v>
      </c>
      <c r="G8451">
        <v>231109</v>
      </c>
      <c r="H8451">
        <v>4580</v>
      </c>
      <c r="I8451" t="s">
        <v>35</v>
      </c>
      <c r="J8451">
        <v>142.87</v>
      </c>
      <c r="K8451">
        <v>27.65</v>
      </c>
      <c r="L8451">
        <v>56559</v>
      </c>
      <c r="M8451" t="s">
        <v>129</v>
      </c>
      <c r="N8451" t="str">
        <f>"1315317     "</f>
        <v xml:space="preserve">1315317     </v>
      </c>
      <c r="O8451">
        <v>231113</v>
      </c>
    </row>
    <row r="8452" spans="1:15" x14ac:dyDescent="0.25">
      <c r="A8452" t="s">
        <v>16</v>
      </c>
      <c r="B8452" t="s">
        <v>3221</v>
      </c>
      <c r="C8452">
        <v>15495</v>
      </c>
      <c r="D8452" t="s">
        <v>3650</v>
      </c>
      <c r="E8452" t="s">
        <v>298</v>
      </c>
      <c r="F8452">
        <v>59.76</v>
      </c>
      <c r="G8452">
        <v>231109</v>
      </c>
      <c r="H8452">
        <v>4580</v>
      </c>
      <c r="I8452" t="s">
        <v>35</v>
      </c>
      <c r="J8452">
        <v>74.099999999999994</v>
      </c>
      <c r="K8452">
        <v>14.34</v>
      </c>
      <c r="L8452">
        <v>56559</v>
      </c>
      <c r="M8452" t="s">
        <v>129</v>
      </c>
      <c r="N8452" t="str">
        <f>"1315328     "</f>
        <v xml:space="preserve">1315328     </v>
      </c>
      <c r="O8452">
        <v>231113</v>
      </c>
    </row>
    <row r="8453" spans="1:15" x14ac:dyDescent="0.25">
      <c r="A8453" t="s">
        <v>16</v>
      </c>
      <c r="B8453" t="s">
        <v>3221</v>
      </c>
      <c r="C8453">
        <v>15590</v>
      </c>
      <c r="D8453" t="s">
        <v>3650</v>
      </c>
      <c r="E8453" t="s">
        <v>298</v>
      </c>
      <c r="F8453">
        <v>46.45</v>
      </c>
      <c r="G8453">
        <v>231109</v>
      </c>
      <c r="H8453">
        <v>4580</v>
      </c>
      <c r="I8453" t="s">
        <v>35</v>
      </c>
      <c r="J8453">
        <v>57.6</v>
      </c>
      <c r="K8453">
        <v>11.15</v>
      </c>
      <c r="L8453">
        <v>56522</v>
      </c>
      <c r="M8453" t="s">
        <v>43</v>
      </c>
      <c r="N8453" t="str">
        <f>"1315307     "</f>
        <v xml:space="preserve">1315307     </v>
      </c>
      <c r="O8453">
        <v>231114</v>
      </c>
    </row>
    <row r="8454" spans="1:15" x14ac:dyDescent="0.25">
      <c r="A8454" t="s">
        <v>16</v>
      </c>
      <c r="B8454" t="s">
        <v>3221</v>
      </c>
      <c r="C8454">
        <v>15853</v>
      </c>
      <c r="D8454" t="s">
        <v>3650</v>
      </c>
      <c r="E8454" t="s">
        <v>298</v>
      </c>
      <c r="F8454">
        <v>193.23</v>
      </c>
      <c r="G8454">
        <v>231109</v>
      </c>
      <c r="H8454">
        <v>4580</v>
      </c>
      <c r="I8454" t="s">
        <v>35</v>
      </c>
      <c r="J8454">
        <v>239.6</v>
      </c>
      <c r="K8454">
        <v>46.37</v>
      </c>
      <c r="L8454">
        <v>69501</v>
      </c>
      <c r="M8454" t="s">
        <v>185</v>
      </c>
      <c r="N8454" t="str">
        <f>"1315349     "</f>
        <v xml:space="preserve">1315349     </v>
      </c>
      <c r="O8454">
        <v>231120</v>
      </c>
    </row>
    <row r="8455" spans="1:15" x14ac:dyDescent="0.25">
      <c r="A8455" t="s">
        <v>16</v>
      </c>
      <c r="B8455" t="s">
        <v>3221</v>
      </c>
      <c r="C8455">
        <v>15858</v>
      </c>
      <c r="D8455" t="s">
        <v>3650</v>
      </c>
      <c r="E8455" t="s">
        <v>298</v>
      </c>
      <c r="F8455">
        <v>245.08</v>
      </c>
      <c r="G8455">
        <v>231109</v>
      </c>
      <c r="H8455">
        <v>4580</v>
      </c>
      <c r="I8455" t="s">
        <v>35</v>
      </c>
      <c r="J8455">
        <v>303.89999999999998</v>
      </c>
      <c r="K8455">
        <v>58.82</v>
      </c>
      <c r="L8455">
        <v>69501</v>
      </c>
      <c r="M8455" t="s">
        <v>185</v>
      </c>
      <c r="N8455" t="str">
        <f>"1315350     "</f>
        <v xml:space="preserve">1315350     </v>
      </c>
      <c r="O8455">
        <v>231120</v>
      </c>
    </row>
    <row r="8456" spans="1:15" x14ac:dyDescent="0.25">
      <c r="A8456" t="s">
        <v>16</v>
      </c>
      <c r="B8456" t="s">
        <v>3221</v>
      </c>
      <c r="C8456">
        <v>16218</v>
      </c>
      <c r="D8456" t="s">
        <v>3650</v>
      </c>
      <c r="E8456" t="s">
        <v>298</v>
      </c>
      <c r="F8456">
        <v>2.9</v>
      </c>
      <c r="G8456">
        <v>231121</v>
      </c>
      <c r="H8456">
        <v>4580</v>
      </c>
      <c r="I8456" t="s">
        <v>35</v>
      </c>
      <c r="J8456">
        <v>3.6</v>
      </c>
      <c r="K8456">
        <v>0.7</v>
      </c>
      <c r="L8456">
        <v>56559</v>
      </c>
      <c r="M8456" t="s">
        <v>129</v>
      </c>
      <c r="N8456" t="str">
        <f>"1316505     "</f>
        <v xml:space="preserve">1316505     </v>
      </c>
      <c r="O8456">
        <v>231127</v>
      </c>
    </row>
    <row r="8457" spans="1:15" x14ac:dyDescent="0.25">
      <c r="A8457" t="s">
        <v>16</v>
      </c>
      <c r="B8457" t="s">
        <v>3221</v>
      </c>
      <c r="C8457">
        <v>16233</v>
      </c>
      <c r="D8457" t="s">
        <v>3650</v>
      </c>
      <c r="E8457" t="s">
        <v>298</v>
      </c>
      <c r="F8457">
        <v>-30.44</v>
      </c>
      <c r="G8457">
        <v>231121</v>
      </c>
      <c r="H8457">
        <v>4580</v>
      </c>
      <c r="I8457" t="s">
        <v>35</v>
      </c>
      <c r="J8457">
        <v>-37.74</v>
      </c>
      <c r="K8457">
        <v>-7.3</v>
      </c>
      <c r="L8457">
        <v>56559</v>
      </c>
      <c r="M8457" t="s">
        <v>129</v>
      </c>
      <c r="N8457" t="str">
        <f>"1316502     "</f>
        <v xml:space="preserve">1316502     </v>
      </c>
      <c r="O8457">
        <v>231127</v>
      </c>
    </row>
    <row r="8458" spans="1:15" x14ac:dyDescent="0.25">
      <c r="A8458" t="s">
        <v>16</v>
      </c>
      <c r="B8458" t="s">
        <v>3221</v>
      </c>
      <c r="C8458">
        <v>16248</v>
      </c>
      <c r="D8458" t="s">
        <v>3650</v>
      </c>
      <c r="E8458" t="s">
        <v>298</v>
      </c>
      <c r="F8458">
        <v>84.31</v>
      </c>
      <c r="G8458">
        <v>231121</v>
      </c>
      <c r="H8458">
        <v>4580</v>
      </c>
      <c r="I8458" t="s">
        <v>35</v>
      </c>
      <c r="J8458">
        <v>104.55</v>
      </c>
      <c r="K8458">
        <v>20.239999999999998</v>
      </c>
      <c r="L8458">
        <v>56559</v>
      </c>
      <c r="M8458" t="s">
        <v>129</v>
      </c>
      <c r="N8458" t="str">
        <f>"1316498     "</f>
        <v xml:space="preserve">1316498     </v>
      </c>
      <c r="O8458">
        <v>231127</v>
      </c>
    </row>
    <row r="8459" spans="1:15" x14ac:dyDescent="0.25">
      <c r="A8459" t="s">
        <v>16</v>
      </c>
      <c r="B8459" t="s">
        <v>3221</v>
      </c>
      <c r="C8459">
        <v>16256</v>
      </c>
      <c r="D8459" t="s">
        <v>3650</v>
      </c>
      <c r="E8459" t="s">
        <v>298</v>
      </c>
      <c r="F8459">
        <v>79.03</v>
      </c>
      <c r="G8459">
        <v>231121</v>
      </c>
      <c r="H8459">
        <v>4580</v>
      </c>
      <c r="I8459" t="s">
        <v>35</v>
      </c>
      <c r="J8459">
        <v>98</v>
      </c>
      <c r="K8459">
        <v>18.97</v>
      </c>
      <c r="L8459">
        <v>56559</v>
      </c>
      <c r="M8459" t="s">
        <v>129</v>
      </c>
      <c r="N8459" t="str">
        <f>"1316515     "</f>
        <v xml:space="preserve">1316515     </v>
      </c>
      <c r="O8459">
        <v>231127</v>
      </c>
    </row>
    <row r="8460" spans="1:15" x14ac:dyDescent="0.25">
      <c r="A8460" t="s">
        <v>16</v>
      </c>
      <c r="B8460" t="s">
        <v>3221</v>
      </c>
      <c r="C8460">
        <v>16340</v>
      </c>
      <c r="D8460" t="s">
        <v>3650</v>
      </c>
      <c r="E8460" t="s">
        <v>298</v>
      </c>
      <c r="F8460">
        <v>144.35</v>
      </c>
      <c r="G8460">
        <v>231121</v>
      </c>
      <c r="H8460">
        <v>4580</v>
      </c>
      <c r="I8460" t="s">
        <v>35</v>
      </c>
      <c r="J8460">
        <v>179</v>
      </c>
      <c r="K8460">
        <v>34.65</v>
      </c>
      <c r="L8460">
        <v>56562</v>
      </c>
      <c r="M8460" t="s">
        <v>126</v>
      </c>
      <c r="N8460" t="str">
        <f>"1316523     "</f>
        <v xml:space="preserve">1316523     </v>
      </c>
      <c r="O8460">
        <v>231128</v>
      </c>
    </row>
    <row r="8461" spans="1:15" x14ac:dyDescent="0.25">
      <c r="A8461" t="s">
        <v>16</v>
      </c>
      <c r="B8461" t="s">
        <v>3221</v>
      </c>
      <c r="C8461">
        <v>17210</v>
      </c>
      <c r="D8461" t="s">
        <v>3650</v>
      </c>
      <c r="E8461" t="s">
        <v>298</v>
      </c>
      <c r="F8461">
        <v>4.55</v>
      </c>
      <c r="G8461">
        <v>231208</v>
      </c>
      <c r="H8461">
        <v>4580</v>
      </c>
      <c r="I8461" t="s">
        <v>35</v>
      </c>
      <c r="J8461">
        <v>5.64</v>
      </c>
      <c r="K8461">
        <v>1.0900000000000001</v>
      </c>
      <c r="L8461">
        <v>56559</v>
      </c>
      <c r="M8461" t="s">
        <v>129</v>
      </c>
      <c r="N8461" t="str">
        <f>"1317340     "</f>
        <v xml:space="preserve">1317340     </v>
      </c>
      <c r="O8461">
        <v>231212</v>
      </c>
    </row>
    <row r="8462" spans="1:15" x14ac:dyDescent="0.25">
      <c r="A8462" t="s">
        <v>16</v>
      </c>
      <c r="B8462" t="s">
        <v>3221</v>
      </c>
      <c r="C8462">
        <v>17211</v>
      </c>
      <c r="D8462" t="s">
        <v>3650</v>
      </c>
      <c r="E8462" t="s">
        <v>298</v>
      </c>
      <c r="F8462">
        <v>143.55000000000001</v>
      </c>
      <c r="G8462">
        <v>231208</v>
      </c>
      <c r="H8462">
        <v>4580</v>
      </c>
      <c r="I8462" t="s">
        <v>35</v>
      </c>
      <c r="J8462">
        <v>178</v>
      </c>
      <c r="K8462">
        <v>34.450000000000003</v>
      </c>
      <c r="L8462">
        <v>56564</v>
      </c>
      <c r="M8462" t="s">
        <v>327</v>
      </c>
      <c r="N8462" t="str">
        <f>"1317359     "</f>
        <v xml:space="preserve">1317359     </v>
      </c>
      <c r="O8462">
        <v>231212</v>
      </c>
    </row>
    <row r="8463" spans="1:15" x14ac:dyDescent="0.25">
      <c r="A8463" t="s">
        <v>16</v>
      </c>
      <c r="B8463" t="s">
        <v>3221</v>
      </c>
      <c r="C8463">
        <v>17212</v>
      </c>
      <c r="D8463" t="s">
        <v>3650</v>
      </c>
      <c r="E8463" t="s">
        <v>298</v>
      </c>
      <c r="F8463">
        <v>122.27</v>
      </c>
      <c r="G8463">
        <v>231208</v>
      </c>
      <c r="H8463">
        <v>4580</v>
      </c>
      <c r="I8463" t="s">
        <v>35</v>
      </c>
      <c r="J8463">
        <v>151.62</v>
      </c>
      <c r="K8463">
        <v>29.35</v>
      </c>
      <c r="L8463">
        <v>56559</v>
      </c>
      <c r="M8463" t="s">
        <v>129</v>
      </c>
      <c r="N8463" t="str">
        <f>"1317370     "</f>
        <v xml:space="preserve">1317370     </v>
      </c>
      <c r="O8463">
        <v>231212</v>
      </c>
    </row>
    <row r="8464" spans="1:15" x14ac:dyDescent="0.25">
      <c r="A8464" t="s">
        <v>16</v>
      </c>
      <c r="B8464" t="s">
        <v>3221</v>
      </c>
      <c r="C8464">
        <v>17213</v>
      </c>
      <c r="D8464" t="s">
        <v>3650</v>
      </c>
      <c r="E8464" t="s">
        <v>298</v>
      </c>
      <c r="F8464">
        <v>178.68</v>
      </c>
      <c r="G8464">
        <v>231208</v>
      </c>
      <c r="H8464">
        <v>4580</v>
      </c>
      <c r="I8464" t="s">
        <v>35</v>
      </c>
      <c r="J8464">
        <v>221.56</v>
      </c>
      <c r="K8464">
        <v>42.88</v>
      </c>
      <c r="L8464">
        <v>59504</v>
      </c>
      <c r="M8464" t="s">
        <v>71</v>
      </c>
      <c r="N8464" t="str">
        <f>"1317350     "</f>
        <v xml:space="preserve">1317350     </v>
      </c>
      <c r="O8464">
        <v>231212</v>
      </c>
    </row>
    <row r="8465" spans="1:15" x14ac:dyDescent="0.25">
      <c r="A8465" t="s">
        <v>16</v>
      </c>
      <c r="B8465" t="s">
        <v>3221</v>
      </c>
      <c r="C8465">
        <v>17216</v>
      </c>
      <c r="D8465" t="s">
        <v>3650</v>
      </c>
      <c r="E8465" t="s">
        <v>298</v>
      </c>
      <c r="F8465">
        <v>15.73</v>
      </c>
      <c r="G8465">
        <v>231208</v>
      </c>
      <c r="H8465">
        <v>4580</v>
      </c>
      <c r="I8465" t="s">
        <v>35</v>
      </c>
      <c r="J8465">
        <v>19.5</v>
      </c>
      <c r="K8465">
        <v>3.77</v>
      </c>
      <c r="L8465">
        <v>56559</v>
      </c>
      <c r="M8465" t="s">
        <v>129</v>
      </c>
      <c r="N8465" t="str">
        <f>"1317369     "</f>
        <v xml:space="preserve">1317369     </v>
      </c>
      <c r="O8465">
        <v>231212</v>
      </c>
    </row>
    <row r="8466" spans="1:15" x14ac:dyDescent="0.25">
      <c r="A8466" t="s">
        <v>16</v>
      </c>
      <c r="B8466" t="s">
        <v>3221</v>
      </c>
      <c r="C8466">
        <v>17232</v>
      </c>
      <c r="D8466" t="s">
        <v>3650</v>
      </c>
      <c r="E8466" t="s">
        <v>298</v>
      </c>
      <c r="F8466">
        <v>158.35</v>
      </c>
      <c r="G8466">
        <v>231208</v>
      </c>
      <c r="H8466">
        <v>4580</v>
      </c>
      <c r="I8466" t="s">
        <v>35</v>
      </c>
      <c r="J8466">
        <v>196.35</v>
      </c>
      <c r="K8466">
        <v>38</v>
      </c>
      <c r="L8466">
        <v>56559</v>
      </c>
      <c r="M8466" t="s">
        <v>129</v>
      </c>
      <c r="N8466" t="str">
        <f>"1317353     "</f>
        <v xml:space="preserve">1317353     </v>
      </c>
      <c r="O8466">
        <v>231212</v>
      </c>
    </row>
    <row r="8467" spans="1:15" x14ac:dyDescent="0.25">
      <c r="A8467" t="s">
        <v>16</v>
      </c>
      <c r="B8467" t="s">
        <v>3221</v>
      </c>
      <c r="C8467">
        <v>17235</v>
      </c>
      <c r="D8467" t="s">
        <v>3650</v>
      </c>
      <c r="E8467" t="s">
        <v>298</v>
      </c>
      <c r="F8467">
        <v>51.2</v>
      </c>
      <c r="G8467">
        <v>231208</v>
      </c>
      <c r="H8467">
        <v>4580</v>
      </c>
      <c r="I8467" t="s">
        <v>35</v>
      </c>
      <c r="J8467">
        <v>63.49</v>
      </c>
      <c r="K8467">
        <v>12.29</v>
      </c>
      <c r="L8467">
        <v>56559</v>
      </c>
      <c r="M8467" t="s">
        <v>129</v>
      </c>
      <c r="N8467" t="str">
        <f>"1317344     "</f>
        <v xml:space="preserve">1317344     </v>
      </c>
      <c r="O8467">
        <v>231212</v>
      </c>
    </row>
    <row r="8468" spans="1:15" x14ac:dyDescent="0.25">
      <c r="A8468" t="s">
        <v>16</v>
      </c>
      <c r="B8468" t="s">
        <v>3221</v>
      </c>
      <c r="C8468">
        <v>17237</v>
      </c>
      <c r="D8468" t="s">
        <v>3650</v>
      </c>
      <c r="E8468" t="s">
        <v>298</v>
      </c>
      <c r="F8468">
        <v>79.84</v>
      </c>
      <c r="G8468">
        <v>231208</v>
      </c>
      <c r="H8468">
        <v>4580</v>
      </c>
      <c r="I8468" t="s">
        <v>35</v>
      </c>
      <c r="J8468">
        <v>99</v>
      </c>
      <c r="K8468">
        <v>19.16</v>
      </c>
      <c r="L8468">
        <v>59504</v>
      </c>
      <c r="M8468" t="s">
        <v>71</v>
      </c>
      <c r="N8468" t="str">
        <f>"1317351     "</f>
        <v xml:space="preserve">1317351     </v>
      </c>
      <c r="O8468">
        <v>231212</v>
      </c>
    </row>
    <row r="8469" spans="1:15" x14ac:dyDescent="0.25">
      <c r="A8469" t="s">
        <v>16</v>
      </c>
      <c r="B8469" t="s">
        <v>3221</v>
      </c>
      <c r="C8469">
        <v>18073</v>
      </c>
      <c r="D8469" t="s">
        <v>3650</v>
      </c>
      <c r="E8469" t="s">
        <v>298</v>
      </c>
      <c r="F8469">
        <v>31.1</v>
      </c>
      <c r="G8469">
        <v>231219</v>
      </c>
      <c r="H8469">
        <v>4580</v>
      </c>
      <c r="I8469" t="s">
        <v>35</v>
      </c>
      <c r="J8469">
        <v>38.56</v>
      </c>
      <c r="K8469">
        <v>7.46</v>
      </c>
      <c r="L8469">
        <v>56559</v>
      </c>
      <c r="M8469" t="s">
        <v>129</v>
      </c>
      <c r="N8469" t="str">
        <f>"1318441     "</f>
        <v xml:space="preserve">1318441     </v>
      </c>
      <c r="O8469">
        <v>240102</v>
      </c>
    </row>
    <row r="8470" spans="1:15" x14ac:dyDescent="0.25">
      <c r="A8470" t="s">
        <v>16</v>
      </c>
      <c r="B8470" t="s">
        <v>3221</v>
      </c>
      <c r="C8470">
        <v>18084</v>
      </c>
      <c r="D8470" t="s">
        <v>3650</v>
      </c>
      <c r="E8470" t="s">
        <v>298</v>
      </c>
      <c r="F8470">
        <v>320.16000000000003</v>
      </c>
      <c r="G8470">
        <v>231219</v>
      </c>
      <c r="H8470">
        <v>4580</v>
      </c>
      <c r="I8470" t="s">
        <v>35</v>
      </c>
      <c r="J8470">
        <v>397</v>
      </c>
      <c r="K8470">
        <v>76.84</v>
      </c>
      <c r="L8470">
        <v>56562</v>
      </c>
      <c r="M8470" t="s">
        <v>126</v>
      </c>
      <c r="N8470" t="str">
        <f>"1318446     "</f>
        <v xml:space="preserve">1318446     </v>
      </c>
      <c r="O8470">
        <v>240102</v>
      </c>
    </row>
    <row r="8471" spans="1:15" x14ac:dyDescent="0.25">
      <c r="A8471" t="s">
        <v>16</v>
      </c>
      <c r="B8471" t="s">
        <v>3221</v>
      </c>
      <c r="C8471">
        <v>18097</v>
      </c>
      <c r="D8471" t="s">
        <v>3650</v>
      </c>
      <c r="E8471" t="s">
        <v>298</v>
      </c>
      <c r="F8471">
        <v>103.9</v>
      </c>
      <c r="G8471">
        <v>231219</v>
      </c>
      <c r="H8471">
        <v>4580</v>
      </c>
      <c r="I8471" t="s">
        <v>35</v>
      </c>
      <c r="J8471">
        <v>128.83000000000001</v>
      </c>
      <c r="K8471">
        <v>24.93</v>
      </c>
      <c r="L8471">
        <v>56559</v>
      </c>
      <c r="M8471" t="s">
        <v>129</v>
      </c>
      <c r="N8471" t="str">
        <f>"1318438     "</f>
        <v xml:space="preserve">1318438     </v>
      </c>
      <c r="O8471">
        <v>240102</v>
      </c>
    </row>
    <row r="8472" spans="1:15" x14ac:dyDescent="0.25">
      <c r="A8472" t="s">
        <v>16</v>
      </c>
      <c r="B8472" t="s">
        <v>3221</v>
      </c>
      <c r="C8472">
        <v>9795</v>
      </c>
      <c r="D8472" t="s">
        <v>3650</v>
      </c>
      <c r="E8472" t="s">
        <v>298</v>
      </c>
      <c r="F8472">
        <v>666.98</v>
      </c>
      <c r="G8472">
        <v>230710</v>
      </c>
      <c r="H8472">
        <v>4400</v>
      </c>
      <c r="I8472" t="s">
        <v>348</v>
      </c>
      <c r="J8472">
        <v>827.05</v>
      </c>
      <c r="K8472">
        <v>160.07</v>
      </c>
      <c r="L8472">
        <v>56564</v>
      </c>
      <c r="M8472" t="s">
        <v>327</v>
      </c>
      <c r="N8472" t="str">
        <f>"1305003     "</f>
        <v xml:space="preserve">1305003     </v>
      </c>
      <c r="O8472">
        <v>230725</v>
      </c>
    </row>
    <row r="8473" spans="1:15" x14ac:dyDescent="0.25">
      <c r="A8473" t="s">
        <v>16</v>
      </c>
      <c r="B8473" t="s">
        <v>3221</v>
      </c>
      <c r="C8473">
        <v>11137</v>
      </c>
      <c r="D8473" t="s">
        <v>3650</v>
      </c>
      <c r="E8473" t="s">
        <v>298</v>
      </c>
      <c r="F8473">
        <v>25.5</v>
      </c>
      <c r="G8473">
        <v>230829</v>
      </c>
      <c r="H8473">
        <v>4400</v>
      </c>
      <c r="I8473" t="s">
        <v>348</v>
      </c>
      <c r="J8473">
        <v>31.62</v>
      </c>
      <c r="K8473">
        <v>6.12</v>
      </c>
      <c r="L8473">
        <v>56559</v>
      </c>
      <c r="M8473" t="s">
        <v>129</v>
      </c>
      <c r="N8473" t="str">
        <f>"1309090     "</f>
        <v xml:space="preserve">1309090     </v>
      </c>
      <c r="O8473">
        <v>230830</v>
      </c>
    </row>
    <row r="8474" spans="1:15" x14ac:dyDescent="0.25">
      <c r="A8474" t="s">
        <v>16</v>
      </c>
      <c r="B8474" t="s">
        <v>3221</v>
      </c>
      <c r="C8474">
        <v>18940</v>
      </c>
      <c r="D8474" t="s">
        <v>3650</v>
      </c>
      <c r="E8474" t="s">
        <v>298</v>
      </c>
      <c r="F8474">
        <v>170</v>
      </c>
      <c r="G8474">
        <v>231229</v>
      </c>
      <c r="H8474">
        <v>4400</v>
      </c>
      <c r="I8474" t="s">
        <v>348</v>
      </c>
      <c r="J8474">
        <v>210.8</v>
      </c>
      <c r="K8474">
        <v>40.799999999999997</v>
      </c>
      <c r="L8474">
        <v>56562</v>
      </c>
      <c r="M8474" t="s">
        <v>126</v>
      </c>
      <c r="N8474" t="str">
        <f>"1319148     "</f>
        <v xml:space="preserve">1319148     </v>
      </c>
      <c r="O8474">
        <v>240109</v>
      </c>
    </row>
    <row r="8475" spans="1:15" x14ac:dyDescent="0.25">
      <c r="A8475" t="s">
        <v>16</v>
      </c>
      <c r="B8475" t="s">
        <v>3221</v>
      </c>
      <c r="C8475">
        <v>187</v>
      </c>
      <c r="D8475" t="s">
        <v>3650</v>
      </c>
      <c r="E8475" t="s">
        <v>298</v>
      </c>
      <c r="F8475">
        <v>48.39</v>
      </c>
      <c r="G8475">
        <v>230111</v>
      </c>
      <c r="H8475">
        <v>4600</v>
      </c>
      <c r="I8475" t="s">
        <v>105</v>
      </c>
      <c r="J8475">
        <v>60</v>
      </c>
      <c r="K8475">
        <v>11.61</v>
      </c>
      <c r="L8475">
        <v>56568</v>
      </c>
      <c r="M8475" t="s">
        <v>268</v>
      </c>
      <c r="N8475" t="str">
        <f>"1290347     "</f>
        <v xml:space="preserve">1290347     </v>
      </c>
      <c r="O8475">
        <v>230116</v>
      </c>
    </row>
    <row r="8476" spans="1:15" x14ac:dyDescent="0.25">
      <c r="A8476" t="s">
        <v>16</v>
      </c>
      <c r="B8476" t="s">
        <v>3221</v>
      </c>
      <c r="C8476">
        <v>263</v>
      </c>
      <c r="D8476" t="s">
        <v>3650</v>
      </c>
      <c r="E8476" t="s">
        <v>298</v>
      </c>
      <c r="F8476">
        <v>18.059999999999999</v>
      </c>
      <c r="G8476">
        <v>230111</v>
      </c>
      <c r="H8476">
        <v>4600</v>
      </c>
      <c r="I8476" t="s">
        <v>105</v>
      </c>
      <c r="J8476">
        <v>22.4</v>
      </c>
      <c r="K8476">
        <v>4.34</v>
      </c>
      <c r="L8476">
        <v>59501</v>
      </c>
      <c r="M8476" t="s">
        <v>69</v>
      </c>
      <c r="N8476" t="str">
        <f>"1290346     "</f>
        <v xml:space="preserve">1290346     </v>
      </c>
      <c r="O8476">
        <v>230117</v>
      </c>
    </row>
    <row r="8477" spans="1:15" x14ac:dyDescent="0.25">
      <c r="A8477" t="s">
        <v>16</v>
      </c>
      <c r="B8477" t="s">
        <v>3221</v>
      </c>
      <c r="C8477">
        <v>415</v>
      </c>
      <c r="D8477" t="s">
        <v>3650</v>
      </c>
      <c r="E8477" t="s">
        <v>298</v>
      </c>
      <c r="F8477">
        <v>39.520000000000003</v>
      </c>
      <c r="G8477">
        <v>230111</v>
      </c>
      <c r="H8477">
        <v>4600</v>
      </c>
      <c r="I8477" t="s">
        <v>105</v>
      </c>
      <c r="J8477">
        <v>49</v>
      </c>
      <c r="K8477">
        <v>9.48</v>
      </c>
      <c r="L8477">
        <v>56573</v>
      </c>
      <c r="M8477" t="s">
        <v>521</v>
      </c>
      <c r="N8477" t="str">
        <f>"1290348     "</f>
        <v xml:space="preserve">1290348     </v>
      </c>
      <c r="O8477">
        <v>230120</v>
      </c>
    </row>
    <row r="8478" spans="1:15" x14ac:dyDescent="0.25">
      <c r="A8478" t="s">
        <v>16</v>
      </c>
      <c r="B8478" t="s">
        <v>3221</v>
      </c>
      <c r="C8478">
        <v>609</v>
      </c>
      <c r="D8478" t="s">
        <v>3650</v>
      </c>
      <c r="E8478" t="s">
        <v>298</v>
      </c>
      <c r="F8478">
        <v>34.86</v>
      </c>
      <c r="G8478">
        <v>230124</v>
      </c>
      <c r="H8478">
        <v>4600</v>
      </c>
      <c r="I8478" t="s">
        <v>105</v>
      </c>
      <c r="J8478">
        <v>43.23</v>
      </c>
      <c r="K8478">
        <v>8.3699999999999992</v>
      </c>
      <c r="L8478">
        <v>59501</v>
      </c>
      <c r="M8478" t="s">
        <v>69</v>
      </c>
      <c r="N8478" t="str">
        <f>"1291735     "</f>
        <v xml:space="preserve">1291735     </v>
      </c>
      <c r="O8478">
        <v>230125</v>
      </c>
    </row>
    <row r="8479" spans="1:15" x14ac:dyDescent="0.25">
      <c r="A8479" t="s">
        <v>16</v>
      </c>
      <c r="B8479" t="s">
        <v>3221</v>
      </c>
      <c r="C8479">
        <v>610</v>
      </c>
      <c r="D8479" t="s">
        <v>3650</v>
      </c>
      <c r="E8479" t="s">
        <v>298</v>
      </c>
      <c r="F8479">
        <v>310</v>
      </c>
      <c r="G8479">
        <v>230124</v>
      </c>
      <c r="H8479">
        <v>4600</v>
      </c>
      <c r="I8479" t="s">
        <v>105</v>
      </c>
      <c r="J8479">
        <v>384.4</v>
      </c>
      <c r="K8479">
        <v>74.400000000000006</v>
      </c>
      <c r="L8479">
        <v>56564</v>
      </c>
      <c r="M8479" t="s">
        <v>327</v>
      </c>
      <c r="N8479" t="str">
        <f>"1291749     "</f>
        <v xml:space="preserve">1291749     </v>
      </c>
      <c r="O8479">
        <v>230125</v>
      </c>
    </row>
    <row r="8480" spans="1:15" x14ac:dyDescent="0.25">
      <c r="A8480" t="s">
        <v>16</v>
      </c>
      <c r="B8480" t="s">
        <v>3221</v>
      </c>
      <c r="C8480">
        <v>611</v>
      </c>
      <c r="D8480" t="s">
        <v>3650</v>
      </c>
      <c r="E8480" t="s">
        <v>298</v>
      </c>
      <c r="F8480">
        <v>26.85</v>
      </c>
      <c r="G8480">
        <v>230124</v>
      </c>
      <c r="H8480">
        <v>4600</v>
      </c>
      <c r="I8480" t="s">
        <v>105</v>
      </c>
      <c r="J8480">
        <v>33.299999999999997</v>
      </c>
      <c r="K8480">
        <v>6.45</v>
      </c>
      <c r="L8480">
        <v>56564</v>
      </c>
      <c r="M8480" t="s">
        <v>327</v>
      </c>
      <c r="N8480" t="str">
        <f>"1291748     "</f>
        <v xml:space="preserve">1291748     </v>
      </c>
      <c r="O8480">
        <v>230125</v>
      </c>
    </row>
    <row r="8481" spans="1:15" x14ac:dyDescent="0.25">
      <c r="A8481" t="s">
        <v>16</v>
      </c>
      <c r="B8481" t="s">
        <v>3221</v>
      </c>
      <c r="C8481">
        <v>612</v>
      </c>
      <c r="D8481" t="s">
        <v>3650</v>
      </c>
      <c r="E8481" t="s">
        <v>298</v>
      </c>
      <c r="F8481">
        <v>19.66</v>
      </c>
      <c r="G8481">
        <v>230124</v>
      </c>
      <c r="H8481">
        <v>4600</v>
      </c>
      <c r="I8481" t="s">
        <v>105</v>
      </c>
      <c r="J8481">
        <v>24.38</v>
      </c>
      <c r="K8481">
        <v>4.72</v>
      </c>
      <c r="L8481">
        <v>59504</v>
      </c>
      <c r="M8481" t="s">
        <v>71</v>
      </c>
      <c r="N8481" t="str">
        <f>"1291740     "</f>
        <v xml:space="preserve">1291740     </v>
      </c>
      <c r="O8481">
        <v>230125</v>
      </c>
    </row>
    <row r="8482" spans="1:15" x14ac:dyDescent="0.25">
      <c r="A8482" t="s">
        <v>16</v>
      </c>
      <c r="B8482" t="s">
        <v>3221</v>
      </c>
      <c r="C8482">
        <v>613</v>
      </c>
      <c r="D8482" t="s">
        <v>3650</v>
      </c>
      <c r="E8482" t="s">
        <v>298</v>
      </c>
      <c r="F8482">
        <v>30.41</v>
      </c>
      <c r="G8482">
        <v>230124</v>
      </c>
      <c r="H8482">
        <v>4600</v>
      </c>
      <c r="I8482" t="s">
        <v>105</v>
      </c>
      <c r="J8482">
        <v>37.71</v>
      </c>
      <c r="K8482">
        <v>7.3</v>
      </c>
      <c r="L8482">
        <v>56564</v>
      </c>
      <c r="M8482" t="s">
        <v>327</v>
      </c>
      <c r="N8482" t="str">
        <f>"1291755     "</f>
        <v xml:space="preserve">1291755     </v>
      </c>
      <c r="O8482">
        <v>230125</v>
      </c>
    </row>
    <row r="8483" spans="1:15" x14ac:dyDescent="0.25">
      <c r="A8483" t="s">
        <v>16</v>
      </c>
      <c r="B8483" t="s">
        <v>3221</v>
      </c>
      <c r="C8483">
        <v>643</v>
      </c>
      <c r="D8483" t="s">
        <v>3650</v>
      </c>
      <c r="E8483" t="s">
        <v>298</v>
      </c>
      <c r="F8483">
        <v>-47.1</v>
      </c>
      <c r="G8483">
        <v>230124</v>
      </c>
      <c r="H8483">
        <v>4600</v>
      </c>
      <c r="I8483" t="s">
        <v>105</v>
      </c>
      <c r="J8483">
        <v>-58.4</v>
      </c>
      <c r="K8483">
        <v>-11.3</v>
      </c>
      <c r="L8483">
        <v>56568</v>
      </c>
      <c r="M8483" t="s">
        <v>268</v>
      </c>
      <c r="N8483" t="str">
        <f>"1291753     "</f>
        <v xml:space="preserve">1291753     </v>
      </c>
      <c r="O8483">
        <v>230126</v>
      </c>
    </row>
    <row r="8484" spans="1:15" x14ac:dyDescent="0.25">
      <c r="A8484" t="s">
        <v>16</v>
      </c>
      <c r="B8484" t="s">
        <v>3221</v>
      </c>
      <c r="C8484">
        <v>645</v>
      </c>
      <c r="D8484" t="s">
        <v>3650</v>
      </c>
      <c r="E8484" t="s">
        <v>298</v>
      </c>
      <c r="F8484">
        <v>-31.23</v>
      </c>
      <c r="G8484">
        <v>230124</v>
      </c>
      <c r="H8484">
        <v>4600</v>
      </c>
      <c r="I8484" t="s">
        <v>105</v>
      </c>
      <c r="J8484">
        <v>-38.72</v>
      </c>
      <c r="K8484">
        <v>-7.49</v>
      </c>
      <c r="L8484">
        <v>56568</v>
      </c>
      <c r="M8484" t="s">
        <v>268</v>
      </c>
      <c r="N8484" t="str">
        <f>"1291737     "</f>
        <v xml:space="preserve">1291737     </v>
      </c>
      <c r="O8484">
        <v>230126</v>
      </c>
    </row>
    <row r="8485" spans="1:15" x14ac:dyDescent="0.25">
      <c r="A8485" t="s">
        <v>16</v>
      </c>
      <c r="B8485" t="s">
        <v>3221</v>
      </c>
      <c r="C8485">
        <v>659</v>
      </c>
      <c r="D8485" t="s">
        <v>3650</v>
      </c>
      <c r="E8485" t="s">
        <v>298</v>
      </c>
      <c r="F8485">
        <v>24.19</v>
      </c>
      <c r="G8485">
        <v>230124</v>
      </c>
      <c r="H8485">
        <v>4600</v>
      </c>
      <c r="I8485" t="s">
        <v>105</v>
      </c>
      <c r="J8485">
        <v>30</v>
      </c>
      <c r="K8485">
        <v>5.81</v>
      </c>
      <c r="L8485">
        <v>56568</v>
      </c>
      <c r="M8485" t="s">
        <v>268</v>
      </c>
      <c r="N8485" t="str">
        <f>"1291762     "</f>
        <v xml:space="preserve">1291762     </v>
      </c>
      <c r="O8485">
        <v>230126</v>
      </c>
    </row>
    <row r="8486" spans="1:15" x14ac:dyDescent="0.25">
      <c r="A8486" t="s">
        <v>16</v>
      </c>
      <c r="B8486" t="s">
        <v>3221</v>
      </c>
      <c r="C8486">
        <v>660</v>
      </c>
      <c r="D8486" t="s">
        <v>3650</v>
      </c>
      <c r="E8486" t="s">
        <v>298</v>
      </c>
      <c r="F8486">
        <v>99.94</v>
      </c>
      <c r="G8486">
        <v>230124</v>
      </c>
      <c r="H8486">
        <v>4600</v>
      </c>
      <c r="I8486" t="s">
        <v>105</v>
      </c>
      <c r="J8486">
        <v>123.93</v>
      </c>
      <c r="K8486">
        <v>23.99</v>
      </c>
      <c r="L8486">
        <v>56568</v>
      </c>
      <c r="M8486" t="s">
        <v>268</v>
      </c>
      <c r="N8486" t="str">
        <f>"1291732     "</f>
        <v xml:space="preserve">1291732     </v>
      </c>
      <c r="O8486">
        <v>230126</v>
      </c>
    </row>
    <row r="8487" spans="1:15" x14ac:dyDescent="0.25">
      <c r="A8487" t="s">
        <v>16</v>
      </c>
      <c r="B8487" t="s">
        <v>3221</v>
      </c>
      <c r="C8487">
        <v>661</v>
      </c>
      <c r="D8487" t="s">
        <v>3650</v>
      </c>
      <c r="E8487" t="s">
        <v>298</v>
      </c>
      <c r="F8487">
        <v>41.71</v>
      </c>
      <c r="G8487">
        <v>230124</v>
      </c>
      <c r="H8487">
        <v>4600</v>
      </c>
      <c r="I8487" t="s">
        <v>105</v>
      </c>
      <c r="J8487">
        <v>51.72</v>
      </c>
      <c r="K8487">
        <v>10.01</v>
      </c>
      <c r="L8487">
        <v>56568</v>
      </c>
      <c r="M8487" t="s">
        <v>268</v>
      </c>
      <c r="N8487" t="str">
        <f>"1291760     "</f>
        <v xml:space="preserve">1291760     </v>
      </c>
      <c r="O8487">
        <v>230126</v>
      </c>
    </row>
    <row r="8488" spans="1:15" x14ac:dyDescent="0.25">
      <c r="A8488" t="s">
        <v>16</v>
      </c>
      <c r="B8488" t="s">
        <v>3221</v>
      </c>
      <c r="C8488">
        <v>662</v>
      </c>
      <c r="D8488" t="s">
        <v>3650</v>
      </c>
      <c r="E8488" t="s">
        <v>298</v>
      </c>
      <c r="F8488">
        <v>140.38</v>
      </c>
      <c r="G8488">
        <v>230124</v>
      </c>
      <c r="H8488">
        <v>4600</v>
      </c>
      <c r="I8488" t="s">
        <v>105</v>
      </c>
      <c r="J8488">
        <v>174.07</v>
      </c>
      <c r="K8488">
        <v>33.69</v>
      </c>
      <c r="L8488">
        <v>56568</v>
      </c>
      <c r="M8488" t="s">
        <v>268</v>
      </c>
      <c r="N8488" t="str">
        <f>"1291743     "</f>
        <v xml:space="preserve">1291743     </v>
      </c>
      <c r="O8488">
        <v>230126</v>
      </c>
    </row>
    <row r="8489" spans="1:15" x14ac:dyDescent="0.25">
      <c r="A8489" t="s">
        <v>16</v>
      </c>
      <c r="B8489" t="s">
        <v>3221</v>
      </c>
      <c r="C8489">
        <v>663</v>
      </c>
      <c r="D8489" t="s">
        <v>3650</v>
      </c>
      <c r="E8489" t="s">
        <v>298</v>
      </c>
      <c r="F8489">
        <v>71.650000000000006</v>
      </c>
      <c r="G8489">
        <v>230124</v>
      </c>
      <c r="H8489">
        <v>4600</v>
      </c>
      <c r="I8489" t="s">
        <v>105</v>
      </c>
      <c r="J8489">
        <v>88.84</v>
      </c>
      <c r="K8489">
        <v>17.190000000000001</v>
      </c>
      <c r="L8489">
        <v>56568</v>
      </c>
      <c r="M8489" t="s">
        <v>268</v>
      </c>
      <c r="N8489" t="str">
        <f>"1291750     "</f>
        <v xml:space="preserve">1291750     </v>
      </c>
      <c r="O8489">
        <v>230126</v>
      </c>
    </row>
    <row r="8490" spans="1:15" x14ac:dyDescent="0.25">
      <c r="A8490" t="s">
        <v>16</v>
      </c>
      <c r="B8490" t="s">
        <v>3221</v>
      </c>
      <c r="C8490">
        <v>666</v>
      </c>
      <c r="D8490" t="s">
        <v>3650</v>
      </c>
      <c r="E8490" t="s">
        <v>298</v>
      </c>
      <c r="F8490">
        <v>12.03</v>
      </c>
      <c r="G8490">
        <v>230124</v>
      </c>
      <c r="H8490">
        <v>4600</v>
      </c>
      <c r="I8490" t="s">
        <v>105</v>
      </c>
      <c r="J8490">
        <v>14.92</v>
      </c>
      <c r="K8490">
        <v>2.89</v>
      </c>
      <c r="L8490">
        <v>56568</v>
      </c>
      <c r="M8490" t="s">
        <v>268</v>
      </c>
      <c r="N8490" t="str">
        <f>"1291747     "</f>
        <v xml:space="preserve">1291747     </v>
      </c>
      <c r="O8490">
        <v>230126</v>
      </c>
    </row>
    <row r="8491" spans="1:15" x14ac:dyDescent="0.25">
      <c r="A8491" t="s">
        <v>16</v>
      </c>
      <c r="B8491" t="s">
        <v>3221</v>
      </c>
      <c r="C8491">
        <v>669</v>
      </c>
      <c r="D8491" t="s">
        <v>3650</v>
      </c>
      <c r="E8491" t="s">
        <v>298</v>
      </c>
      <c r="F8491">
        <v>4.5199999999999996</v>
      </c>
      <c r="G8491">
        <v>230124</v>
      </c>
      <c r="H8491">
        <v>4600</v>
      </c>
      <c r="I8491" t="s">
        <v>105</v>
      </c>
      <c r="J8491">
        <v>5.6</v>
      </c>
      <c r="K8491">
        <v>1.08</v>
      </c>
      <c r="L8491">
        <v>56559</v>
      </c>
      <c r="M8491" t="s">
        <v>129</v>
      </c>
      <c r="N8491" t="str">
        <f>"1291752     "</f>
        <v xml:space="preserve">1291752     </v>
      </c>
      <c r="O8491">
        <v>230126</v>
      </c>
    </row>
    <row r="8492" spans="1:15" x14ac:dyDescent="0.25">
      <c r="A8492" t="s">
        <v>16</v>
      </c>
      <c r="B8492" t="s">
        <v>3221</v>
      </c>
      <c r="C8492">
        <v>670</v>
      </c>
      <c r="D8492" t="s">
        <v>3650</v>
      </c>
      <c r="E8492" t="s">
        <v>298</v>
      </c>
      <c r="F8492">
        <v>65.05</v>
      </c>
      <c r="G8492">
        <v>230124</v>
      </c>
      <c r="H8492">
        <v>4600</v>
      </c>
      <c r="I8492" t="s">
        <v>105</v>
      </c>
      <c r="J8492">
        <v>80.66</v>
      </c>
      <c r="K8492">
        <v>15.61</v>
      </c>
      <c r="L8492">
        <v>56568</v>
      </c>
      <c r="M8492" t="s">
        <v>268</v>
      </c>
      <c r="N8492" t="str">
        <f>"1291734     "</f>
        <v xml:space="preserve">1291734     </v>
      </c>
      <c r="O8492">
        <v>230126</v>
      </c>
    </row>
    <row r="8493" spans="1:15" x14ac:dyDescent="0.25">
      <c r="A8493" t="s">
        <v>16</v>
      </c>
      <c r="B8493" t="s">
        <v>3221</v>
      </c>
      <c r="C8493">
        <v>673</v>
      </c>
      <c r="D8493" t="s">
        <v>3650</v>
      </c>
      <c r="E8493" t="s">
        <v>298</v>
      </c>
      <c r="F8493">
        <v>344.19</v>
      </c>
      <c r="G8493">
        <v>230124</v>
      </c>
      <c r="H8493">
        <v>4600</v>
      </c>
      <c r="I8493" t="s">
        <v>105</v>
      </c>
      <c r="J8493">
        <v>426.8</v>
      </c>
      <c r="K8493">
        <v>82.61</v>
      </c>
      <c r="L8493">
        <v>56568</v>
      </c>
      <c r="M8493" t="s">
        <v>268</v>
      </c>
      <c r="N8493" t="str">
        <f>"1291745     "</f>
        <v xml:space="preserve">1291745     </v>
      </c>
      <c r="O8493">
        <v>230126</v>
      </c>
    </row>
    <row r="8494" spans="1:15" x14ac:dyDescent="0.25">
      <c r="A8494" t="s">
        <v>16</v>
      </c>
      <c r="B8494" t="s">
        <v>3221</v>
      </c>
      <c r="C8494">
        <v>674</v>
      </c>
      <c r="D8494" t="s">
        <v>3650</v>
      </c>
      <c r="E8494" t="s">
        <v>298</v>
      </c>
      <c r="F8494">
        <v>47.64</v>
      </c>
      <c r="G8494">
        <v>230124</v>
      </c>
      <c r="H8494">
        <v>4600</v>
      </c>
      <c r="I8494" t="s">
        <v>105</v>
      </c>
      <c r="J8494">
        <v>59.07</v>
      </c>
      <c r="K8494">
        <v>11.43</v>
      </c>
      <c r="L8494">
        <v>56568</v>
      </c>
      <c r="M8494" t="s">
        <v>268</v>
      </c>
      <c r="N8494" t="str">
        <f>"1291746     "</f>
        <v xml:space="preserve">1291746     </v>
      </c>
      <c r="O8494">
        <v>230126</v>
      </c>
    </row>
    <row r="8495" spans="1:15" x14ac:dyDescent="0.25">
      <c r="A8495" t="s">
        <v>16</v>
      </c>
      <c r="B8495" t="s">
        <v>3221</v>
      </c>
      <c r="C8495">
        <v>675</v>
      </c>
      <c r="D8495" t="s">
        <v>3650</v>
      </c>
      <c r="E8495" t="s">
        <v>298</v>
      </c>
      <c r="F8495">
        <v>84.73</v>
      </c>
      <c r="G8495">
        <v>230124</v>
      </c>
      <c r="H8495">
        <v>4600</v>
      </c>
      <c r="I8495" t="s">
        <v>105</v>
      </c>
      <c r="J8495">
        <v>105.07</v>
      </c>
      <c r="K8495">
        <v>20.34</v>
      </c>
      <c r="L8495">
        <v>56568</v>
      </c>
      <c r="M8495" t="s">
        <v>268</v>
      </c>
      <c r="N8495" t="str">
        <f>"1291754     "</f>
        <v xml:space="preserve">1291754     </v>
      </c>
      <c r="O8495">
        <v>230126</v>
      </c>
    </row>
    <row r="8496" spans="1:15" x14ac:dyDescent="0.25">
      <c r="A8496" t="s">
        <v>16</v>
      </c>
      <c r="B8496" t="s">
        <v>3221</v>
      </c>
      <c r="C8496">
        <v>676</v>
      </c>
      <c r="D8496" t="s">
        <v>3650</v>
      </c>
      <c r="E8496" t="s">
        <v>298</v>
      </c>
      <c r="F8496">
        <v>31.4</v>
      </c>
      <c r="G8496">
        <v>230124</v>
      </c>
      <c r="H8496">
        <v>4600</v>
      </c>
      <c r="I8496" t="s">
        <v>105</v>
      </c>
      <c r="J8496">
        <v>38.93</v>
      </c>
      <c r="K8496">
        <v>7.53</v>
      </c>
      <c r="L8496">
        <v>56568</v>
      </c>
      <c r="M8496" t="s">
        <v>268</v>
      </c>
      <c r="N8496" t="str">
        <f>"1291756     "</f>
        <v xml:space="preserve">1291756     </v>
      </c>
      <c r="O8496">
        <v>230126</v>
      </c>
    </row>
    <row r="8497" spans="1:15" x14ac:dyDescent="0.25">
      <c r="A8497" t="s">
        <v>16</v>
      </c>
      <c r="B8497" t="s">
        <v>3221</v>
      </c>
      <c r="C8497">
        <v>677</v>
      </c>
      <c r="D8497" t="s">
        <v>3650</v>
      </c>
      <c r="E8497" t="s">
        <v>298</v>
      </c>
      <c r="F8497">
        <v>21.26</v>
      </c>
      <c r="G8497">
        <v>230124</v>
      </c>
      <c r="H8497">
        <v>4600</v>
      </c>
      <c r="I8497" t="s">
        <v>105</v>
      </c>
      <c r="J8497">
        <v>26.36</v>
      </c>
      <c r="K8497">
        <v>5.0999999999999996</v>
      </c>
      <c r="L8497">
        <v>56568</v>
      </c>
      <c r="M8497" t="s">
        <v>268</v>
      </c>
      <c r="N8497" t="str">
        <f>"1291759     "</f>
        <v xml:space="preserve">1291759     </v>
      </c>
      <c r="O8497">
        <v>230126</v>
      </c>
    </row>
    <row r="8498" spans="1:15" x14ac:dyDescent="0.25">
      <c r="A8498" t="s">
        <v>16</v>
      </c>
      <c r="B8498" t="s">
        <v>3221</v>
      </c>
      <c r="C8498">
        <v>678</v>
      </c>
      <c r="D8498" t="s">
        <v>3650</v>
      </c>
      <c r="E8498" t="s">
        <v>298</v>
      </c>
      <c r="F8498">
        <v>18.149999999999999</v>
      </c>
      <c r="G8498">
        <v>230124</v>
      </c>
      <c r="H8498">
        <v>4600</v>
      </c>
      <c r="I8498" t="s">
        <v>105</v>
      </c>
      <c r="J8498">
        <v>22.5</v>
      </c>
      <c r="K8498">
        <v>4.3499999999999996</v>
      </c>
      <c r="L8498">
        <v>56568</v>
      </c>
      <c r="M8498" t="s">
        <v>268</v>
      </c>
      <c r="N8498" t="str">
        <f>"1291761     "</f>
        <v xml:space="preserve">1291761     </v>
      </c>
      <c r="O8498">
        <v>230126</v>
      </c>
    </row>
    <row r="8499" spans="1:15" x14ac:dyDescent="0.25">
      <c r="A8499" t="s">
        <v>16</v>
      </c>
      <c r="B8499" t="s">
        <v>3221</v>
      </c>
      <c r="C8499">
        <v>679</v>
      </c>
      <c r="D8499" t="s">
        <v>3650</v>
      </c>
      <c r="E8499" t="s">
        <v>298</v>
      </c>
      <c r="F8499">
        <v>17</v>
      </c>
      <c r="G8499">
        <v>230124</v>
      </c>
      <c r="H8499">
        <v>4600</v>
      </c>
      <c r="I8499" t="s">
        <v>105</v>
      </c>
      <c r="J8499">
        <v>21.08</v>
      </c>
      <c r="K8499">
        <v>4.08</v>
      </c>
      <c r="L8499">
        <v>56568</v>
      </c>
      <c r="M8499" t="s">
        <v>268</v>
      </c>
      <c r="N8499" t="str">
        <f>"1291757     "</f>
        <v xml:space="preserve">1291757     </v>
      </c>
      <c r="O8499">
        <v>230126</v>
      </c>
    </row>
    <row r="8500" spans="1:15" x14ac:dyDescent="0.25">
      <c r="A8500" t="s">
        <v>16</v>
      </c>
      <c r="B8500" t="s">
        <v>3221</v>
      </c>
      <c r="C8500">
        <v>680</v>
      </c>
      <c r="D8500" t="s">
        <v>3650</v>
      </c>
      <c r="E8500" t="s">
        <v>298</v>
      </c>
      <c r="F8500">
        <v>47.1</v>
      </c>
      <c r="G8500">
        <v>230124</v>
      </c>
      <c r="H8500">
        <v>4600</v>
      </c>
      <c r="I8500" t="s">
        <v>105</v>
      </c>
      <c r="J8500">
        <v>58.4</v>
      </c>
      <c r="K8500">
        <v>11.3</v>
      </c>
      <c r="L8500">
        <v>56568</v>
      </c>
      <c r="M8500" t="s">
        <v>268</v>
      </c>
      <c r="N8500" t="str">
        <f>"1291744     "</f>
        <v xml:space="preserve">1291744     </v>
      </c>
      <c r="O8500">
        <v>230126</v>
      </c>
    </row>
    <row r="8501" spans="1:15" x14ac:dyDescent="0.25">
      <c r="A8501" t="s">
        <v>16</v>
      </c>
      <c r="B8501" t="s">
        <v>3221</v>
      </c>
      <c r="C8501">
        <v>681</v>
      </c>
      <c r="D8501" t="s">
        <v>3650</v>
      </c>
      <c r="E8501" t="s">
        <v>298</v>
      </c>
      <c r="F8501">
        <v>155.12</v>
      </c>
      <c r="G8501">
        <v>230124</v>
      </c>
      <c r="H8501">
        <v>4600</v>
      </c>
      <c r="I8501" t="s">
        <v>105</v>
      </c>
      <c r="J8501">
        <v>192.35</v>
      </c>
      <c r="K8501">
        <v>37.229999999999997</v>
      </c>
      <c r="L8501">
        <v>56568</v>
      </c>
      <c r="M8501" t="s">
        <v>268</v>
      </c>
      <c r="N8501" t="str">
        <f>"1291739     "</f>
        <v xml:space="preserve">1291739     </v>
      </c>
      <c r="O8501">
        <v>230126</v>
      </c>
    </row>
    <row r="8502" spans="1:15" x14ac:dyDescent="0.25">
      <c r="A8502" t="s">
        <v>16</v>
      </c>
      <c r="B8502" t="s">
        <v>3221</v>
      </c>
      <c r="C8502">
        <v>682</v>
      </c>
      <c r="D8502" t="s">
        <v>3650</v>
      </c>
      <c r="E8502" t="s">
        <v>298</v>
      </c>
      <c r="F8502">
        <v>35.159999999999997</v>
      </c>
      <c r="G8502">
        <v>230124</v>
      </c>
      <c r="H8502">
        <v>4600</v>
      </c>
      <c r="I8502" t="s">
        <v>105</v>
      </c>
      <c r="J8502">
        <v>43.6</v>
      </c>
      <c r="K8502">
        <v>8.44</v>
      </c>
      <c r="L8502">
        <v>56568</v>
      </c>
      <c r="M8502" t="s">
        <v>268</v>
      </c>
      <c r="N8502" t="str">
        <f>"1291758     "</f>
        <v xml:space="preserve">1291758     </v>
      </c>
      <c r="O8502">
        <v>230126</v>
      </c>
    </row>
    <row r="8503" spans="1:15" x14ac:dyDescent="0.25">
      <c r="A8503" t="s">
        <v>16</v>
      </c>
      <c r="B8503" t="s">
        <v>3221</v>
      </c>
      <c r="C8503">
        <v>683</v>
      </c>
      <c r="D8503" t="s">
        <v>3650</v>
      </c>
      <c r="E8503" t="s">
        <v>298</v>
      </c>
      <c r="F8503">
        <v>12.02</v>
      </c>
      <c r="G8503">
        <v>230124</v>
      </c>
      <c r="H8503">
        <v>4600</v>
      </c>
      <c r="I8503" t="s">
        <v>105</v>
      </c>
      <c r="J8503">
        <v>14.9</v>
      </c>
      <c r="K8503">
        <v>2.88</v>
      </c>
      <c r="L8503">
        <v>56568</v>
      </c>
      <c r="M8503" t="s">
        <v>268</v>
      </c>
      <c r="N8503" t="str">
        <f>"1291733     "</f>
        <v xml:space="preserve">1291733     </v>
      </c>
      <c r="O8503">
        <v>230126</v>
      </c>
    </row>
    <row r="8504" spans="1:15" x14ac:dyDescent="0.25">
      <c r="A8504" t="s">
        <v>16</v>
      </c>
      <c r="B8504" t="s">
        <v>3221</v>
      </c>
      <c r="C8504">
        <v>702</v>
      </c>
      <c r="D8504" t="s">
        <v>3650</v>
      </c>
      <c r="E8504" t="s">
        <v>298</v>
      </c>
      <c r="F8504">
        <v>48.39</v>
      </c>
      <c r="G8504">
        <v>230124</v>
      </c>
      <c r="H8504">
        <v>4600</v>
      </c>
      <c r="I8504" t="s">
        <v>105</v>
      </c>
      <c r="J8504">
        <v>60</v>
      </c>
      <c r="K8504">
        <v>11.61</v>
      </c>
      <c r="L8504">
        <v>67522</v>
      </c>
      <c r="M8504" t="s">
        <v>397</v>
      </c>
      <c r="N8504" t="str">
        <f>"1291763     "</f>
        <v xml:space="preserve">1291763     </v>
      </c>
      <c r="O8504">
        <v>230127</v>
      </c>
    </row>
    <row r="8505" spans="1:15" x14ac:dyDescent="0.25">
      <c r="A8505" t="s">
        <v>16</v>
      </c>
      <c r="B8505" t="s">
        <v>3221</v>
      </c>
      <c r="C8505">
        <v>814</v>
      </c>
      <c r="D8505" t="s">
        <v>3650</v>
      </c>
      <c r="E8505" t="s">
        <v>298</v>
      </c>
      <c r="F8505">
        <v>16.77</v>
      </c>
      <c r="G8505">
        <v>230124</v>
      </c>
      <c r="H8505">
        <v>4600</v>
      </c>
      <c r="I8505" t="s">
        <v>105</v>
      </c>
      <c r="J8505">
        <v>20.8</v>
      </c>
      <c r="K8505">
        <v>4.03</v>
      </c>
      <c r="L8505">
        <v>56565</v>
      </c>
      <c r="M8505" t="s">
        <v>758</v>
      </c>
      <c r="N8505" t="str">
        <f>"1291741     "</f>
        <v xml:space="preserve">1291741     </v>
      </c>
      <c r="O8505">
        <v>230130</v>
      </c>
    </row>
    <row r="8506" spans="1:15" x14ac:dyDescent="0.25">
      <c r="A8506" t="s">
        <v>16</v>
      </c>
      <c r="B8506" t="s">
        <v>3221</v>
      </c>
      <c r="C8506">
        <v>815</v>
      </c>
      <c r="D8506" t="s">
        <v>3650</v>
      </c>
      <c r="E8506" t="s">
        <v>298</v>
      </c>
      <c r="F8506">
        <v>11.63</v>
      </c>
      <c r="G8506">
        <v>230124</v>
      </c>
      <c r="H8506">
        <v>4600</v>
      </c>
      <c r="I8506" t="s">
        <v>105</v>
      </c>
      <c r="J8506">
        <v>14.42</v>
      </c>
      <c r="K8506">
        <v>2.79</v>
      </c>
      <c r="L8506">
        <v>56573</v>
      </c>
      <c r="M8506" t="s">
        <v>521</v>
      </c>
      <c r="N8506" t="str">
        <f>"1291742     "</f>
        <v xml:space="preserve">1291742     </v>
      </c>
      <c r="O8506">
        <v>230130</v>
      </c>
    </row>
    <row r="8507" spans="1:15" x14ac:dyDescent="0.25">
      <c r="A8507" t="s">
        <v>16</v>
      </c>
      <c r="B8507" t="s">
        <v>3221</v>
      </c>
      <c r="C8507">
        <v>1315</v>
      </c>
      <c r="D8507" t="s">
        <v>3650</v>
      </c>
      <c r="E8507" t="s">
        <v>298</v>
      </c>
      <c r="F8507">
        <v>61.99</v>
      </c>
      <c r="G8507">
        <v>230207</v>
      </c>
      <c r="H8507">
        <v>4600</v>
      </c>
      <c r="I8507" t="s">
        <v>105</v>
      </c>
      <c r="J8507">
        <v>76.87</v>
      </c>
      <c r="K8507">
        <v>14.88</v>
      </c>
      <c r="L8507">
        <v>56568</v>
      </c>
      <c r="M8507" t="s">
        <v>268</v>
      </c>
      <c r="N8507" t="str">
        <f>"1292471     "</f>
        <v xml:space="preserve">1292471     </v>
      </c>
      <c r="O8507">
        <v>230207</v>
      </c>
    </row>
    <row r="8508" spans="1:15" x14ac:dyDescent="0.25">
      <c r="A8508" t="s">
        <v>16</v>
      </c>
      <c r="B8508" t="s">
        <v>3221</v>
      </c>
      <c r="C8508">
        <v>1316</v>
      </c>
      <c r="D8508" t="s">
        <v>3650</v>
      </c>
      <c r="E8508" t="s">
        <v>298</v>
      </c>
      <c r="F8508">
        <v>3.16</v>
      </c>
      <c r="G8508">
        <v>230207</v>
      </c>
      <c r="H8508">
        <v>4600</v>
      </c>
      <c r="I8508" t="s">
        <v>105</v>
      </c>
      <c r="J8508">
        <v>3.92</v>
      </c>
      <c r="K8508">
        <v>0.76</v>
      </c>
      <c r="L8508">
        <v>56568</v>
      </c>
      <c r="M8508" t="s">
        <v>268</v>
      </c>
      <c r="N8508" t="str">
        <f>"1292492     "</f>
        <v xml:space="preserve">1292492     </v>
      </c>
      <c r="O8508">
        <v>230207</v>
      </c>
    </row>
    <row r="8509" spans="1:15" x14ac:dyDescent="0.25">
      <c r="A8509" t="s">
        <v>16</v>
      </c>
      <c r="B8509" t="s">
        <v>3221</v>
      </c>
      <c r="C8509">
        <v>1317</v>
      </c>
      <c r="D8509" t="s">
        <v>3650</v>
      </c>
      <c r="E8509" t="s">
        <v>298</v>
      </c>
      <c r="F8509">
        <v>190.52</v>
      </c>
      <c r="G8509">
        <v>230207</v>
      </c>
      <c r="H8509">
        <v>4600</v>
      </c>
      <c r="I8509" t="s">
        <v>105</v>
      </c>
      <c r="J8509">
        <v>236.25</v>
      </c>
      <c r="K8509">
        <v>45.73</v>
      </c>
      <c r="L8509">
        <v>66756</v>
      </c>
      <c r="M8509" t="s">
        <v>209</v>
      </c>
      <c r="N8509" t="str">
        <f>"1292501     "</f>
        <v xml:space="preserve">1292501     </v>
      </c>
      <c r="O8509">
        <v>230207</v>
      </c>
    </row>
    <row r="8510" spans="1:15" x14ac:dyDescent="0.25">
      <c r="A8510" t="s">
        <v>16</v>
      </c>
      <c r="B8510" t="s">
        <v>3221</v>
      </c>
      <c r="C8510">
        <v>1376</v>
      </c>
      <c r="D8510" t="s">
        <v>3650</v>
      </c>
      <c r="E8510" t="s">
        <v>298</v>
      </c>
      <c r="F8510">
        <v>15.09</v>
      </c>
      <c r="G8510">
        <v>230207</v>
      </c>
      <c r="H8510">
        <v>4600</v>
      </c>
      <c r="I8510" t="s">
        <v>105</v>
      </c>
      <c r="J8510">
        <v>18.71</v>
      </c>
      <c r="K8510">
        <v>3.62</v>
      </c>
      <c r="L8510">
        <v>56568</v>
      </c>
      <c r="M8510" t="s">
        <v>268</v>
      </c>
      <c r="N8510" t="str">
        <f>"1292479     "</f>
        <v xml:space="preserve">1292479     </v>
      </c>
      <c r="O8510">
        <v>230208</v>
      </c>
    </row>
    <row r="8511" spans="1:15" x14ac:dyDescent="0.25">
      <c r="A8511" t="s">
        <v>16</v>
      </c>
      <c r="B8511" t="s">
        <v>3221</v>
      </c>
      <c r="C8511">
        <v>1377</v>
      </c>
      <c r="D8511" t="s">
        <v>3650</v>
      </c>
      <c r="E8511" t="s">
        <v>298</v>
      </c>
      <c r="F8511">
        <v>8.67</v>
      </c>
      <c r="G8511">
        <v>230207</v>
      </c>
      <c r="H8511">
        <v>4600</v>
      </c>
      <c r="I8511" t="s">
        <v>105</v>
      </c>
      <c r="J8511">
        <v>10.75</v>
      </c>
      <c r="K8511">
        <v>2.08</v>
      </c>
      <c r="L8511">
        <v>56568</v>
      </c>
      <c r="M8511" t="s">
        <v>268</v>
      </c>
      <c r="N8511" t="str">
        <f>"1292484     "</f>
        <v xml:space="preserve">1292484     </v>
      </c>
      <c r="O8511">
        <v>230208</v>
      </c>
    </row>
    <row r="8512" spans="1:15" x14ac:dyDescent="0.25">
      <c r="A8512" t="s">
        <v>16</v>
      </c>
      <c r="B8512" t="s">
        <v>3221</v>
      </c>
      <c r="C8512">
        <v>1378</v>
      </c>
      <c r="D8512" t="s">
        <v>3650</v>
      </c>
      <c r="E8512" t="s">
        <v>298</v>
      </c>
      <c r="F8512">
        <v>454.08</v>
      </c>
      <c r="G8512">
        <v>230207</v>
      </c>
      <c r="H8512">
        <v>4600</v>
      </c>
      <c r="I8512" t="s">
        <v>105</v>
      </c>
      <c r="J8512">
        <v>563.05999999999995</v>
      </c>
      <c r="K8512">
        <v>108.98</v>
      </c>
      <c r="L8512">
        <v>56568</v>
      </c>
      <c r="M8512" t="s">
        <v>268</v>
      </c>
      <c r="N8512" t="str">
        <f>"1292482     "</f>
        <v xml:space="preserve">1292482     </v>
      </c>
      <c r="O8512">
        <v>230208</v>
      </c>
    </row>
    <row r="8513" spans="1:15" x14ac:dyDescent="0.25">
      <c r="A8513" t="s">
        <v>16</v>
      </c>
      <c r="B8513" t="s">
        <v>3221</v>
      </c>
      <c r="C8513">
        <v>1379</v>
      </c>
      <c r="D8513" t="s">
        <v>3650</v>
      </c>
      <c r="E8513" t="s">
        <v>298</v>
      </c>
      <c r="F8513">
        <v>9.4499999999999993</v>
      </c>
      <c r="G8513">
        <v>230207</v>
      </c>
      <c r="H8513">
        <v>4600</v>
      </c>
      <c r="I8513" t="s">
        <v>105</v>
      </c>
      <c r="J8513">
        <v>11.72</v>
      </c>
      <c r="K8513">
        <v>2.27</v>
      </c>
      <c r="L8513">
        <v>56568</v>
      </c>
      <c r="M8513" t="s">
        <v>268</v>
      </c>
      <c r="N8513" t="str">
        <f>"1292476     "</f>
        <v xml:space="preserve">1292476     </v>
      </c>
      <c r="O8513">
        <v>230208</v>
      </c>
    </row>
    <row r="8514" spans="1:15" x14ac:dyDescent="0.25">
      <c r="A8514" t="s">
        <v>16</v>
      </c>
      <c r="B8514" t="s">
        <v>3221</v>
      </c>
      <c r="C8514">
        <v>1380</v>
      </c>
      <c r="D8514" t="s">
        <v>3650</v>
      </c>
      <c r="E8514" t="s">
        <v>298</v>
      </c>
      <c r="F8514">
        <v>31.44</v>
      </c>
      <c r="G8514">
        <v>230207</v>
      </c>
      <c r="H8514">
        <v>4600</v>
      </c>
      <c r="I8514" t="s">
        <v>105</v>
      </c>
      <c r="J8514">
        <v>38.979999999999997</v>
      </c>
      <c r="K8514">
        <v>7.54</v>
      </c>
      <c r="L8514">
        <v>56568</v>
      </c>
      <c r="M8514" t="s">
        <v>268</v>
      </c>
      <c r="N8514" t="str">
        <f>"1292483     "</f>
        <v xml:space="preserve">1292483     </v>
      </c>
      <c r="O8514">
        <v>230208</v>
      </c>
    </row>
    <row r="8515" spans="1:15" x14ac:dyDescent="0.25">
      <c r="A8515" t="s">
        <v>16</v>
      </c>
      <c r="B8515" t="s">
        <v>3221</v>
      </c>
      <c r="C8515">
        <v>1381</v>
      </c>
      <c r="D8515" t="s">
        <v>3650</v>
      </c>
      <c r="E8515" t="s">
        <v>298</v>
      </c>
      <c r="F8515">
        <v>27.29</v>
      </c>
      <c r="G8515">
        <v>230207</v>
      </c>
      <c r="H8515">
        <v>4600</v>
      </c>
      <c r="I8515" t="s">
        <v>105</v>
      </c>
      <c r="J8515">
        <v>33.840000000000003</v>
      </c>
      <c r="K8515">
        <v>6.55</v>
      </c>
      <c r="L8515">
        <v>56568</v>
      </c>
      <c r="M8515" t="s">
        <v>268</v>
      </c>
      <c r="N8515" t="str">
        <f>"1292474     "</f>
        <v xml:space="preserve">1292474     </v>
      </c>
      <c r="O8515">
        <v>230208</v>
      </c>
    </row>
    <row r="8516" spans="1:15" x14ac:dyDescent="0.25">
      <c r="A8516" t="s">
        <v>16</v>
      </c>
      <c r="B8516" t="s">
        <v>3221</v>
      </c>
      <c r="C8516">
        <v>1394</v>
      </c>
      <c r="D8516" t="s">
        <v>3650</v>
      </c>
      <c r="E8516" t="s">
        <v>298</v>
      </c>
      <c r="F8516">
        <v>44.29</v>
      </c>
      <c r="G8516">
        <v>230207</v>
      </c>
      <c r="H8516">
        <v>4600</v>
      </c>
      <c r="I8516" t="s">
        <v>105</v>
      </c>
      <c r="J8516">
        <v>54.92</v>
      </c>
      <c r="K8516">
        <v>10.63</v>
      </c>
      <c r="L8516">
        <v>56568</v>
      </c>
      <c r="M8516" t="s">
        <v>268</v>
      </c>
      <c r="N8516" t="str">
        <f>"1292466     "</f>
        <v xml:space="preserve">1292466     </v>
      </c>
      <c r="O8516">
        <v>230208</v>
      </c>
    </row>
    <row r="8517" spans="1:15" x14ac:dyDescent="0.25">
      <c r="A8517" t="s">
        <v>16</v>
      </c>
      <c r="B8517" t="s">
        <v>3221</v>
      </c>
      <c r="C8517">
        <v>1395</v>
      </c>
      <c r="D8517" t="s">
        <v>3650</v>
      </c>
      <c r="E8517" t="s">
        <v>298</v>
      </c>
      <c r="F8517">
        <v>221.77</v>
      </c>
      <c r="G8517">
        <v>230207</v>
      </c>
      <c r="H8517">
        <v>4600</v>
      </c>
      <c r="I8517" t="s">
        <v>105</v>
      </c>
      <c r="J8517">
        <v>275</v>
      </c>
      <c r="K8517">
        <v>53.23</v>
      </c>
      <c r="L8517">
        <v>56568</v>
      </c>
      <c r="M8517" t="s">
        <v>268</v>
      </c>
      <c r="N8517" t="str">
        <f>"1292473     "</f>
        <v xml:space="preserve">1292473     </v>
      </c>
      <c r="O8517">
        <v>230208</v>
      </c>
    </row>
    <row r="8518" spans="1:15" x14ac:dyDescent="0.25">
      <c r="A8518" t="s">
        <v>16</v>
      </c>
      <c r="B8518" t="s">
        <v>3221</v>
      </c>
      <c r="C8518">
        <v>1396</v>
      </c>
      <c r="D8518" t="s">
        <v>3650</v>
      </c>
      <c r="E8518" t="s">
        <v>298</v>
      </c>
      <c r="F8518">
        <v>36.54</v>
      </c>
      <c r="G8518">
        <v>230207</v>
      </c>
      <c r="H8518">
        <v>4600</v>
      </c>
      <c r="I8518" t="s">
        <v>105</v>
      </c>
      <c r="J8518">
        <v>45.31</v>
      </c>
      <c r="K8518">
        <v>8.77</v>
      </c>
      <c r="L8518">
        <v>56568</v>
      </c>
      <c r="M8518" t="s">
        <v>268</v>
      </c>
      <c r="N8518" t="str">
        <f>"1292467     "</f>
        <v xml:space="preserve">1292467     </v>
      </c>
      <c r="O8518">
        <v>230208</v>
      </c>
    </row>
    <row r="8519" spans="1:15" x14ac:dyDescent="0.25">
      <c r="A8519" t="s">
        <v>16</v>
      </c>
      <c r="B8519" t="s">
        <v>3221</v>
      </c>
      <c r="C8519">
        <v>1397</v>
      </c>
      <c r="D8519" t="s">
        <v>3650</v>
      </c>
      <c r="E8519" t="s">
        <v>298</v>
      </c>
      <c r="F8519">
        <v>72.59</v>
      </c>
      <c r="G8519">
        <v>230207</v>
      </c>
      <c r="H8519">
        <v>4600</v>
      </c>
      <c r="I8519" t="s">
        <v>105</v>
      </c>
      <c r="J8519">
        <v>90.01</v>
      </c>
      <c r="K8519">
        <v>17.420000000000002</v>
      </c>
      <c r="L8519">
        <v>56568</v>
      </c>
      <c r="M8519" t="s">
        <v>268</v>
      </c>
      <c r="N8519" t="str">
        <f>"1292472     "</f>
        <v xml:space="preserve">1292472     </v>
      </c>
      <c r="O8519">
        <v>230208</v>
      </c>
    </row>
    <row r="8520" spans="1:15" x14ac:dyDescent="0.25">
      <c r="A8520" t="s">
        <v>16</v>
      </c>
      <c r="B8520" t="s">
        <v>3221</v>
      </c>
      <c r="C8520">
        <v>1399</v>
      </c>
      <c r="D8520" t="s">
        <v>3650</v>
      </c>
      <c r="E8520" t="s">
        <v>298</v>
      </c>
      <c r="F8520">
        <v>88.87</v>
      </c>
      <c r="G8520">
        <v>230207</v>
      </c>
      <c r="H8520">
        <v>4600</v>
      </c>
      <c r="I8520" t="s">
        <v>105</v>
      </c>
      <c r="J8520">
        <v>110.2</v>
      </c>
      <c r="K8520">
        <v>21.33</v>
      </c>
      <c r="L8520">
        <v>56568</v>
      </c>
      <c r="M8520" t="s">
        <v>268</v>
      </c>
      <c r="N8520" t="str">
        <f>"1292465     "</f>
        <v xml:space="preserve">1292465     </v>
      </c>
      <c r="O8520">
        <v>230208</v>
      </c>
    </row>
    <row r="8521" spans="1:15" x14ac:dyDescent="0.25">
      <c r="A8521" t="s">
        <v>16</v>
      </c>
      <c r="B8521" t="s">
        <v>3221</v>
      </c>
      <c r="C8521">
        <v>1400</v>
      </c>
      <c r="D8521" t="s">
        <v>3650</v>
      </c>
      <c r="E8521" t="s">
        <v>298</v>
      </c>
      <c r="F8521">
        <v>16.45</v>
      </c>
      <c r="G8521">
        <v>230207</v>
      </c>
      <c r="H8521">
        <v>4600</v>
      </c>
      <c r="I8521" t="s">
        <v>105</v>
      </c>
      <c r="J8521">
        <v>20.399999999999999</v>
      </c>
      <c r="K8521">
        <v>3.95</v>
      </c>
      <c r="L8521">
        <v>56568</v>
      </c>
      <c r="M8521" t="s">
        <v>268</v>
      </c>
      <c r="N8521" t="str">
        <f>"1292488     "</f>
        <v xml:space="preserve">1292488     </v>
      </c>
      <c r="O8521">
        <v>230208</v>
      </c>
    </row>
    <row r="8522" spans="1:15" x14ac:dyDescent="0.25">
      <c r="A8522" t="s">
        <v>16</v>
      </c>
      <c r="B8522" t="s">
        <v>3221</v>
      </c>
      <c r="C8522">
        <v>1401</v>
      </c>
      <c r="D8522" t="s">
        <v>3650</v>
      </c>
      <c r="E8522" t="s">
        <v>298</v>
      </c>
      <c r="F8522">
        <v>157.1</v>
      </c>
      <c r="G8522">
        <v>230207</v>
      </c>
      <c r="H8522">
        <v>4600</v>
      </c>
      <c r="I8522" t="s">
        <v>105</v>
      </c>
      <c r="J8522">
        <v>194.8</v>
      </c>
      <c r="K8522">
        <v>37.700000000000003</v>
      </c>
      <c r="L8522">
        <v>56568</v>
      </c>
      <c r="M8522" t="s">
        <v>268</v>
      </c>
      <c r="N8522" t="str">
        <f>"1292494     "</f>
        <v xml:space="preserve">1292494     </v>
      </c>
      <c r="O8522">
        <v>230208</v>
      </c>
    </row>
    <row r="8523" spans="1:15" x14ac:dyDescent="0.25">
      <c r="A8523" t="s">
        <v>16</v>
      </c>
      <c r="B8523" t="s">
        <v>3221</v>
      </c>
      <c r="C8523">
        <v>1402</v>
      </c>
      <c r="D8523" t="s">
        <v>3650</v>
      </c>
      <c r="E8523" t="s">
        <v>298</v>
      </c>
      <c r="F8523">
        <v>3.86</v>
      </c>
      <c r="G8523">
        <v>230207</v>
      </c>
      <c r="H8523">
        <v>4600</v>
      </c>
      <c r="I8523" t="s">
        <v>105</v>
      </c>
      <c r="J8523">
        <v>4.79</v>
      </c>
      <c r="K8523">
        <v>0.93</v>
      </c>
      <c r="L8523">
        <v>56568</v>
      </c>
      <c r="M8523" t="s">
        <v>268</v>
      </c>
      <c r="N8523" t="str">
        <f>"1292469     "</f>
        <v xml:space="preserve">1292469     </v>
      </c>
      <c r="O8523">
        <v>230208</v>
      </c>
    </row>
    <row r="8524" spans="1:15" x14ac:dyDescent="0.25">
      <c r="A8524" t="s">
        <v>16</v>
      </c>
      <c r="B8524" t="s">
        <v>3221</v>
      </c>
      <c r="C8524">
        <v>1403</v>
      </c>
      <c r="D8524" t="s">
        <v>3650</v>
      </c>
      <c r="E8524" t="s">
        <v>298</v>
      </c>
      <c r="F8524">
        <v>44.56</v>
      </c>
      <c r="G8524">
        <v>230207</v>
      </c>
      <c r="H8524">
        <v>4600</v>
      </c>
      <c r="I8524" t="s">
        <v>105</v>
      </c>
      <c r="J8524">
        <v>55.25</v>
      </c>
      <c r="K8524">
        <v>10.69</v>
      </c>
      <c r="L8524">
        <v>56568</v>
      </c>
      <c r="M8524" t="s">
        <v>268</v>
      </c>
      <c r="N8524" t="str">
        <f>"1292490     "</f>
        <v xml:space="preserve">1292490     </v>
      </c>
      <c r="O8524">
        <v>230208</v>
      </c>
    </row>
    <row r="8525" spans="1:15" x14ac:dyDescent="0.25">
      <c r="A8525" t="s">
        <v>16</v>
      </c>
      <c r="B8525" t="s">
        <v>3221</v>
      </c>
      <c r="C8525">
        <v>1404</v>
      </c>
      <c r="D8525" t="s">
        <v>3650</v>
      </c>
      <c r="E8525" t="s">
        <v>298</v>
      </c>
      <c r="F8525">
        <v>3.19</v>
      </c>
      <c r="G8525">
        <v>230207</v>
      </c>
      <c r="H8525">
        <v>4600</v>
      </c>
      <c r="I8525" t="s">
        <v>105</v>
      </c>
      <c r="J8525">
        <v>3.96</v>
      </c>
      <c r="K8525">
        <v>0.77</v>
      </c>
      <c r="L8525">
        <v>56568</v>
      </c>
      <c r="M8525" t="s">
        <v>268</v>
      </c>
      <c r="N8525" t="str">
        <f>"1292478     "</f>
        <v xml:space="preserve">1292478     </v>
      </c>
      <c r="O8525">
        <v>230208</v>
      </c>
    </row>
    <row r="8526" spans="1:15" x14ac:dyDescent="0.25">
      <c r="A8526" t="s">
        <v>16</v>
      </c>
      <c r="B8526" t="s">
        <v>3221</v>
      </c>
      <c r="C8526">
        <v>1405</v>
      </c>
      <c r="D8526" t="s">
        <v>3650</v>
      </c>
      <c r="E8526" t="s">
        <v>298</v>
      </c>
      <c r="F8526">
        <v>94.35</v>
      </c>
      <c r="G8526">
        <v>230207</v>
      </c>
      <c r="H8526">
        <v>4600</v>
      </c>
      <c r="I8526" t="s">
        <v>105</v>
      </c>
      <c r="J8526">
        <v>117</v>
      </c>
      <c r="K8526">
        <v>22.65</v>
      </c>
      <c r="L8526">
        <v>56568</v>
      </c>
      <c r="M8526" t="s">
        <v>268</v>
      </c>
      <c r="N8526" t="str">
        <f>"1292470     "</f>
        <v xml:space="preserve">1292470     </v>
      </c>
      <c r="O8526">
        <v>230208</v>
      </c>
    </row>
    <row r="8527" spans="1:15" x14ac:dyDescent="0.25">
      <c r="A8527" t="s">
        <v>16</v>
      </c>
      <c r="B8527" t="s">
        <v>3221</v>
      </c>
      <c r="C8527">
        <v>1407</v>
      </c>
      <c r="D8527" t="s">
        <v>3650</v>
      </c>
      <c r="E8527" t="s">
        <v>298</v>
      </c>
      <c r="F8527">
        <v>151.31</v>
      </c>
      <c r="G8527">
        <v>230207</v>
      </c>
      <c r="H8527">
        <v>4600</v>
      </c>
      <c r="I8527" t="s">
        <v>105</v>
      </c>
      <c r="J8527">
        <v>187.62</v>
      </c>
      <c r="K8527">
        <v>36.31</v>
      </c>
      <c r="L8527">
        <v>56568</v>
      </c>
      <c r="M8527" t="s">
        <v>268</v>
      </c>
      <c r="N8527" t="str">
        <f>"1292481     "</f>
        <v xml:space="preserve">1292481     </v>
      </c>
      <c r="O8527">
        <v>230208</v>
      </c>
    </row>
    <row r="8528" spans="1:15" x14ac:dyDescent="0.25">
      <c r="A8528" t="s">
        <v>16</v>
      </c>
      <c r="B8528" t="s">
        <v>3221</v>
      </c>
      <c r="C8528">
        <v>1410</v>
      </c>
      <c r="D8528" t="s">
        <v>3650</v>
      </c>
      <c r="E8528" t="s">
        <v>298</v>
      </c>
      <c r="F8528">
        <v>14.68</v>
      </c>
      <c r="G8528">
        <v>230207</v>
      </c>
      <c r="H8528">
        <v>4600</v>
      </c>
      <c r="I8528" t="s">
        <v>105</v>
      </c>
      <c r="J8528">
        <v>18.2</v>
      </c>
      <c r="K8528">
        <v>3.52</v>
      </c>
      <c r="L8528">
        <v>56568</v>
      </c>
      <c r="M8528" t="s">
        <v>268</v>
      </c>
      <c r="N8528" t="str">
        <f>"1292491     "</f>
        <v xml:space="preserve">1292491     </v>
      </c>
      <c r="O8528">
        <v>230208</v>
      </c>
    </row>
    <row r="8529" spans="1:15" x14ac:dyDescent="0.25">
      <c r="A8529" t="s">
        <v>16</v>
      </c>
      <c r="B8529" t="s">
        <v>3221</v>
      </c>
      <c r="C8529">
        <v>1412</v>
      </c>
      <c r="D8529" t="s">
        <v>3650</v>
      </c>
      <c r="E8529" t="s">
        <v>298</v>
      </c>
      <c r="F8529">
        <v>2.68</v>
      </c>
      <c r="G8529">
        <v>230207</v>
      </c>
      <c r="H8529">
        <v>4600</v>
      </c>
      <c r="I8529" t="s">
        <v>105</v>
      </c>
      <c r="J8529">
        <v>3.32</v>
      </c>
      <c r="K8529">
        <v>0.64</v>
      </c>
      <c r="L8529">
        <v>56568</v>
      </c>
      <c r="M8529" t="s">
        <v>268</v>
      </c>
      <c r="N8529" t="str">
        <f>"1292485     "</f>
        <v xml:space="preserve">1292485     </v>
      </c>
      <c r="O8529">
        <v>230208</v>
      </c>
    </row>
    <row r="8530" spans="1:15" x14ac:dyDescent="0.25">
      <c r="A8530" t="s">
        <v>16</v>
      </c>
      <c r="B8530" t="s">
        <v>3221</v>
      </c>
      <c r="C8530">
        <v>1413</v>
      </c>
      <c r="D8530" t="s">
        <v>3650</v>
      </c>
      <c r="E8530" t="s">
        <v>298</v>
      </c>
      <c r="F8530">
        <v>17.96</v>
      </c>
      <c r="G8530">
        <v>230207</v>
      </c>
      <c r="H8530">
        <v>4600</v>
      </c>
      <c r="I8530" t="s">
        <v>105</v>
      </c>
      <c r="J8530">
        <v>22.27</v>
      </c>
      <c r="K8530">
        <v>4.3099999999999996</v>
      </c>
      <c r="L8530">
        <v>56568</v>
      </c>
      <c r="M8530" t="s">
        <v>268</v>
      </c>
      <c r="N8530" t="str">
        <f>"1292464     "</f>
        <v xml:space="preserve">1292464     </v>
      </c>
      <c r="O8530">
        <v>230208</v>
      </c>
    </row>
    <row r="8531" spans="1:15" x14ac:dyDescent="0.25">
      <c r="A8531" t="s">
        <v>16</v>
      </c>
      <c r="B8531" t="s">
        <v>3221</v>
      </c>
      <c r="C8531">
        <v>1414</v>
      </c>
      <c r="D8531" t="s">
        <v>3650</v>
      </c>
      <c r="E8531" t="s">
        <v>298</v>
      </c>
      <c r="F8531">
        <v>26.25</v>
      </c>
      <c r="G8531">
        <v>230207</v>
      </c>
      <c r="H8531">
        <v>4600</v>
      </c>
      <c r="I8531" t="s">
        <v>105</v>
      </c>
      <c r="J8531">
        <v>32.549999999999997</v>
      </c>
      <c r="K8531">
        <v>6.3</v>
      </c>
      <c r="L8531">
        <v>56568</v>
      </c>
      <c r="M8531" t="s">
        <v>268</v>
      </c>
      <c r="N8531" t="str">
        <f>"1292463     "</f>
        <v xml:space="preserve">1292463     </v>
      </c>
      <c r="O8531">
        <v>230208</v>
      </c>
    </row>
    <row r="8532" spans="1:15" x14ac:dyDescent="0.25">
      <c r="A8532" t="s">
        <v>16</v>
      </c>
      <c r="B8532" t="s">
        <v>3221</v>
      </c>
      <c r="C8532">
        <v>1416</v>
      </c>
      <c r="D8532" t="s">
        <v>3650</v>
      </c>
      <c r="E8532" t="s">
        <v>298</v>
      </c>
      <c r="F8532">
        <v>104.76</v>
      </c>
      <c r="G8532">
        <v>230207</v>
      </c>
      <c r="H8532">
        <v>4600</v>
      </c>
      <c r="I8532" t="s">
        <v>105</v>
      </c>
      <c r="J8532">
        <v>129.9</v>
      </c>
      <c r="K8532">
        <v>25.14</v>
      </c>
      <c r="L8532">
        <v>56568</v>
      </c>
      <c r="M8532" t="s">
        <v>268</v>
      </c>
      <c r="N8532" t="str">
        <f>"1292468     "</f>
        <v xml:space="preserve">1292468     </v>
      </c>
      <c r="O8532">
        <v>230208</v>
      </c>
    </row>
    <row r="8533" spans="1:15" x14ac:dyDescent="0.25">
      <c r="A8533" t="s">
        <v>16</v>
      </c>
      <c r="B8533" t="s">
        <v>3221</v>
      </c>
      <c r="C8533">
        <v>1417</v>
      </c>
      <c r="D8533" t="s">
        <v>3650</v>
      </c>
      <c r="E8533" t="s">
        <v>298</v>
      </c>
      <c r="F8533">
        <v>24.18</v>
      </c>
      <c r="G8533">
        <v>230207</v>
      </c>
      <c r="H8533">
        <v>4600</v>
      </c>
      <c r="I8533" t="s">
        <v>105</v>
      </c>
      <c r="J8533">
        <v>29.98</v>
      </c>
      <c r="K8533">
        <v>5.8</v>
      </c>
      <c r="L8533">
        <v>56568</v>
      </c>
      <c r="M8533" t="s">
        <v>268</v>
      </c>
      <c r="N8533" t="str">
        <f>"1292493     "</f>
        <v xml:space="preserve">1292493     </v>
      </c>
      <c r="O8533">
        <v>230208</v>
      </c>
    </row>
    <row r="8534" spans="1:15" x14ac:dyDescent="0.25">
      <c r="A8534" t="s">
        <v>16</v>
      </c>
      <c r="B8534" t="s">
        <v>3221</v>
      </c>
      <c r="C8534">
        <v>1490</v>
      </c>
      <c r="D8534" t="s">
        <v>3650</v>
      </c>
      <c r="E8534" t="s">
        <v>298</v>
      </c>
      <c r="F8534">
        <v>7.58</v>
      </c>
      <c r="G8534">
        <v>230207</v>
      </c>
      <c r="H8534">
        <v>4600</v>
      </c>
      <c r="I8534" t="s">
        <v>105</v>
      </c>
      <c r="J8534">
        <v>9.4</v>
      </c>
      <c r="K8534">
        <v>1.82</v>
      </c>
      <c r="L8534">
        <v>59501</v>
      </c>
      <c r="M8534" t="s">
        <v>69</v>
      </c>
      <c r="N8534" t="str">
        <f>"1292487     "</f>
        <v xml:space="preserve">1292487     </v>
      </c>
      <c r="O8534">
        <v>230209</v>
      </c>
    </row>
    <row r="8535" spans="1:15" x14ac:dyDescent="0.25">
      <c r="A8535" t="s">
        <v>16</v>
      </c>
      <c r="B8535" t="s">
        <v>3221</v>
      </c>
      <c r="C8535">
        <v>1683</v>
      </c>
      <c r="D8535" t="s">
        <v>3650</v>
      </c>
      <c r="E8535" t="s">
        <v>298</v>
      </c>
      <c r="F8535">
        <v>30.95</v>
      </c>
      <c r="G8535">
        <v>230207</v>
      </c>
      <c r="H8535">
        <v>4600</v>
      </c>
      <c r="I8535" t="s">
        <v>105</v>
      </c>
      <c r="J8535">
        <v>38.380000000000003</v>
      </c>
      <c r="K8535">
        <v>7.43</v>
      </c>
      <c r="L8535">
        <v>67522</v>
      </c>
      <c r="M8535" t="s">
        <v>397</v>
      </c>
      <c r="N8535" t="str">
        <f>"1292499     "</f>
        <v xml:space="preserve">1292499     </v>
      </c>
      <c r="O8535">
        <v>230213</v>
      </c>
    </row>
    <row r="8536" spans="1:15" x14ac:dyDescent="0.25">
      <c r="A8536" t="s">
        <v>16</v>
      </c>
      <c r="B8536" t="s">
        <v>3221</v>
      </c>
      <c r="C8536">
        <v>1684</v>
      </c>
      <c r="D8536" t="s">
        <v>3650</v>
      </c>
      <c r="E8536" t="s">
        <v>298</v>
      </c>
      <c r="F8536">
        <v>447.9</v>
      </c>
      <c r="G8536">
        <v>230207</v>
      </c>
      <c r="H8536">
        <v>4600</v>
      </c>
      <c r="I8536" t="s">
        <v>105</v>
      </c>
      <c r="J8536">
        <v>555.39</v>
      </c>
      <c r="K8536">
        <v>107.49</v>
      </c>
      <c r="L8536">
        <v>67522</v>
      </c>
      <c r="M8536" t="s">
        <v>397</v>
      </c>
      <c r="N8536" t="str">
        <f>"1292500     "</f>
        <v xml:space="preserve">1292500     </v>
      </c>
      <c r="O8536">
        <v>230213</v>
      </c>
    </row>
    <row r="8537" spans="1:15" x14ac:dyDescent="0.25">
      <c r="A8537" t="s">
        <v>16</v>
      </c>
      <c r="B8537" t="s">
        <v>3221</v>
      </c>
      <c r="C8537">
        <v>1686</v>
      </c>
      <c r="D8537" t="s">
        <v>3650</v>
      </c>
      <c r="E8537" t="s">
        <v>298</v>
      </c>
      <c r="F8537">
        <v>41.75</v>
      </c>
      <c r="G8537">
        <v>230207</v>
      </c>
      <c r="H8537">
        <v>4600</v>
      </c>
      <c r="I8537" t="s">
        <v>105</v>
      </c>
      <c r="J8537">
        <v>51.77</v>
      </c>
      <c r="K8537">
        <v>10.02</v>
      </c>
      <c r="L8537">
        <v>67522</v>
      </c>
      <c r="M8537" t="s">
        <v>397</v>
      </c>
      <c r="N8537" t="str">
        <f>"1292497     "</f>
        <v xml:space="preserve">1292497     </v>
      </c>
      <c r="O8537">
        <v>230213</v>
      </c>
    </row>
    <row r="8538" spans="1:15" x14ac:dyDescent="0.25">
      <c r="A8538" t="s">
        <v>16</v>
      </c>
      <c r="B8538" t="s">
        <v>3221</v>
      </c>
      <c r="C8538">
        <v>1690</v>
      </c>
      <c r="D8538" t="s">
        <v>3650</v>
      </c>
      <c r="E8538" t="s">
        <v>298</v>
      </c>
      <c r="F8538">
        <v>7.27</v>
      </c>
      <c r="G8538">
        <v>230207</v>
      </c>
      <c r="H8538">
        <v>4600</v>
      </c>
      <c r="I8538" t="s">
        <v>105</v>
      </c>
      <c r="J8538">
        <v>9.02</v>
      </c>
      <c r="K8538">
        <v>1.75</v>
      </c>
      <c r="L8538">
        <v>56564</v>
      </c>
      <c r="M8538" t="s">
        <v>327</v>
      </c>
      <c r="N8538" t="str">
        <f>"1292477     "</f>
        <v xml:space="preserve">1292477     </v>
      </c>
      <c r="O8538">
        <v>230213</v>
      </c>
    </row>
    <row r="8539" spans="1:15" x14ac:dyDescent="0.25">
      <c r="A8539" t="s">
        <v>16</v>
      </c>
      <c r="B8539" t="s">
        <v>3221</v>
      </c>
      <c r="C8539">
        <v>1924</v>
      </c>
      <c r="D8539" t="s">
        <v>3650</v>
      </c>
      <c r="E8539" t="s">
        <v>298</v>
      </c>
      <c r="F8539">
        <v>34.81</v>
      </c>
      <c r="G8539">
        <v>230215</v>
      </c>
      <c r="H8539">
        <v>4600</v>
      </c>
      <c r="I8539" t="s">
        <v>105</v>
      </c>
      <c r="J8539">
        <v>43.17</v>
      </c>
      <c r="K8539">
        <v>8.36</v>
      </c>
      <c r="L8539">
        <v>56568</v>
      </c>
      <c r="M8539" t="s">
        <v>268</v>
      </c>
      <c r="N8539" t="str">
        <f>"1293151     "</f>
        <v xml:space="preserve">1293151     </v>
      </c>
      <c r="O8539">
        <v>230216</v>
      </c>
    </row>
    <row r="8540" spans="1:15" x14ac:dyDescent="0.25">
      <c r="A8540" t="s">
        <v>16</v>
      </c>
      <c r="B8540" t="s">
        <v>3221</v>
      </c>
      <c r="C8540">
        <v>1925</v>
      </c>
      <c r="D8540" t="s">
        <v>3650</v>
      </c>
      <c r="E8540" t="s">
        <v>298</v>
      </c>
      <c r="F8540">
        <v>40.54</v>
      </c>
      <c r="G8540">
        <v>230215</v>
      </c>
      <c r="H8540">
        <v>4600</v>
      </c>
      <c r="I8540" t="s">
        <v>105</v>
      </c>
      <c r="J8540">
        <v>50.27</v>
      </c>
      <c r="K8540">
        <v>9.73</v>
      </c>
      <c r="L8540">
        <v>56568</v>
      </c>
      <c r="M8540" t="s">
        <v>268</v>
      </c>
      <c r="N8540" t="str">
        <f>"1293134     "</f>
        <v xml:space="preserve">1293134     </v>
      </c>
      <c r="O8540">
        <v>230216</v>
      </c>
    </row>
    <row r="8541" spans="1:15" x14ac:dyDescent="0.25">
      <c r="A8541" t="s">
        <v>16</v>
      </c>
      <c r="B8541" t="s">
        <v>3221</v>
      </c>
      <c r="C8541">
        <v>1926</v>
      </c>
      <c r="D8541" t="s">
        <v>3650</v>
      </c>
      <c r="E8541" t="s">
        <v>298</v>
      </c>
      <c r="F8541">
        <v>13.71</v>
      </c>
      <c r="G8541">
        <v>230215</v>
      </c>
      <c r="H8541">
        <v>4600</v>
      </c>
      <c r="I8541" t="s">
        <v>105</v>
      </c>
      <c r="J8541">
        <v>17</v>
      </c>
      <c r="K8541">
        <v>3.29</v>
      </c>
      <c r="L8541">
        <v>56568</v>
      </c>
      <c r="M8541" t="s">
        <v>268</v>
      </c>
      <c r="N8541" t="str">
        <f>"1293141     "</f>
        <v xml:space="preserve">1293141     </v>
      </c>
      <c r="O8541">
        <v>230216</v>
      </c>
    </row>
    <row r="8542" spans="1:15" x14ac:dyDescent="0.25">
      <c r="A8542" t="s">
        <v>16</v>
      </c>
      <c r="B8542" t="s">
        <v>3221</v>
      </c>
      <c r="C8542">
        <v>1927</v>
      </c>
      <c r="D8542" t="s">
        <v>3650</v>
      </c>
      <c r="E8542" t="s">
        <v>298</v>
      </c>
      <c r="F8542">
        <v>88.91</v>
      </c>
      <c r="G8542">
        <v>230215</v>
      </c>
      <c r="H8542">
        <v>4600</v>
      </c>
      <c r="I8542" t="s">
        <v>105</v>
      </c>
      <c r="J8542">
        <v>110.25</v>
      </c>
      <c r="K8542">
        <v>21.34</v>
      </c>
      <c r="L8542">
        <v>56568</v>
      </c>
      <c r="M8542" t="s">
        <v>268</v>
      </c>
      <c r="N8542" t="str">
        <f>"1293140     "</f>
        <v xml:space="preserve">1293140     </v>
      </c>
      <c r="O8542">
        <v>230216</v>
      </c>
    </row>
    <row r="8543" spans="1:15" x14ac:dyDescent="0.25">
      <c r="A8543" t="s">
        <v>16</v>
      </c>
      <c r="B8543" t="s">
        <v>3221</v>
      </c>
      <c r="C8543">
        <v>1929</v>
      </c>
      <c r="D8543" t="s">
        <v>3650</v>
      </c>
      <c r="E8543" t="s">
        <v>298</v>
      </c>
      <c r="F8543">
        <v>4.26</v>
      </c>
      <c r="G8543">
        <v>230215</v>
      </c>
      <c r="H8543">
        <v>4600</v>
      </c>
      <c r="I8543" t="s">
        <v>105</v>
      </c>
      <c r="J8543">
        <v>5.28</v>
      </c>
      <c r="K8543">
        <v>1.02</v>
      </c>
      <c r="L8543">
        <v>56564</v>
      </c>
      <c r="M8543" t="s">
        <v>327</v>
      </c>
      <c r="N8543" t="str">
        <f>"1293133     "</f>
        <v xml:space="preserve">1293133     </v>
      </c>
      <c r="O8543">
        <v>230216</v>
      </c>
    </row>
    <row r="8544" spans="1:15" x14ac:dyDescent="0.25">
      <c r="A8544" t="s">
        <v>16</v>
      </c>
      <c r="B8544" t="s">
        <v>3221</v>
      </c>
      <c r="C8544">
        <v>1930</v>
      </c>
      <c r="D8544" t="s">
        <v>3650</v>
      </c>
      <c r="E8544" t="s">
        <v>298</v>
      </c>
      <c r="F8544">
        <v>84.19</v>
      </c>
      <c r="G8544">
        <v>230215</v>
      </c>
      <c r="H8544">
        <v>4600</v>
      </c>
      <c r="I8544" t="s">
        <v>105</v>
      </c>
      <c r="J8544">
        <v>104.4</v>
      </c>
      <c r="K8544">
        <v>20.21</v>
      </c>
      <c r="L8544">
        <v>56568</v>
      </c>
      <c r="M8544" t="s">
        <v>268</v>
      </c>
      <c r="N8544" t="str">
        <f>"1293149     "</f>
        <v xml:space="preserve">1293149     </v>
      </c>
      <c r="O8544">
        <v>230216</v>
      </c>
    </row>
    <row r="8545" spans="1:15" x14ac:dyDescent="0.25">
      <c r="A8545" t="s">
        <v>16</v>
      </c>
      <c r="B8545" t="s">
        <v>3221</v>
      </c>
      <c r="C8545">
        <v>1931</v>
      </c>
      <c r="D8545" t="s">
        <v>3650</v>
      </c>
      <c r="E8545" t="s">
        <v>298</v>
      </c>
      <c r="F8545">
        <v>4</v>
      </c>
      <c r="G8545">
        <v>230215</v>
      </c>
      <c r="H8545">
        <v>4600</v>
      </c>
      <c r="I8545" t="s">
        <v>105</v>
      </c>
      <c r="J8545">
        <v>4.96</v>
      </c>
      <c r="K8545">
        <v>0.96</v>
      </c>
      <c r="L8545">
        <v>56568</v>
      </c>
      <c r="M8545" t="s">
        <v>268</v>
      </c>
      <c r="N8545" t="str">
        <f>"1293136     "</f>
        <v xml:space="preserve">1293136     </v>
      </c>
      <c r="O8545">
        <v>230216</v>
      </c>
    </row>
    <row r="8546" spans="1:15" x14ac:dyDescent="0.25">
      <c r="A8546" t="s">
        <v>16</v>
      </c>
      <c r="B8546" t="s">
        <v>3221</v>
      </c>
      <c r="C8546">
        <v>1932</v>
      </c>
      <c r="D8546" t="s">
        <v>3650</v>
      </c>
      <c r="E8546" t="s">
        <v>298</v>
      </c>
      <c r="F8546">
        <v>224.31</v>
      </c>
      <c r="G8546">
        <v>230215</v>
      </c>
      <c r="H8546">
        <v>4600</v>
      </c>
      <c r="I8546" t="s">
        <v>105</v>
      </c>
      <c r="J8546">
        <v>278.14</v>
      </c>
      <c r="K8546">
        <v>53.83</v>
      </c>
      <c r="L8546">
        <v>56568</v>
      </c>
      <c r="M8546" t="s">
        <v>268</v>
      </c>
      <c r="N8546" t="str">
        <f>"1293129     "</f>
        <v xml:space="preserve">1293129     </v>
      </c>
      <c r="O8546">
        <v>230216</v>
      </c>
    </row>
    <row r="8547" spans="1:15" x14ac:dyDescent="0.25">
      <c r="A8547" t="s">
        <v>16</v>
      </c>
      <c r="B8547" t="s">
        <v>3221</v>
      </c>
      <c r="C8547">
        <v>1933</v>
      </c>
      <c r="D8547" t="s">
        <v>3650</v>
      </c>
      <c r="E8547" t="s">
        <v>298</v>
      </c>
      <c r="F8547">
        <v>3.98</v>
      </c>
      <c r="G8547">
        <v>230215</v>
      </c>
      <c r="H8547">
        <v>4600</v>
      </c>
      <c r="I8547" t="s">
        <v>105</v>
      </c>
      <c r="J8547">
        <v>4.9400000000000004</v>
      </c>
      <c r="K8547">
        <v>0.96</v>
      </c>
      <c r="L8547">
        <v>56568</v>
      </c>
      <c r="M8547" t="s">
        <v>268</v>
      </c>
      <c r="N8547" t="str">
        <f>"1293150     "</f>
        <v xml:space="preserve">1293150     </v>
      </c>
      <c r="O8547">
        <v>230216</v>
      </c>
    </row>
    <row r="8548" spans="1:15" x14ac:dyDescent="0.25">
      <c r="A8548" t="s">
        <v>16</v>
      </c>
      <c r="B8548" t="s">
        <v>3221</v>
      </c>
      <c r="C8548">
        <v>1965</v>
      </c>
      <c r="D8548" t="s">
        <v>3650</v>
      </c>
      <c r="E8548" t="s">
        <v>298</v>
      </c>
      <c r="F8548">
        <v>41.81</v>
      </c>
      <c r="G8548">
        <v>230215</v>
      </c>
      <c r="H8548">
        <v>4600</v>
      </c>
      <c r="I8548" t="s">
        <v>105</v>
      </c>
      <c r="J8548">
        <v>51.85</v>
      </c>
      <c r="K8548">
        <v>10.039999999999999</v>
      </c>
      <c r="L8548">
        <v>56568</v>
      </c>
      <c r="M8548" t="s">
        <v>268</v>
      </c>
      <c r="N8548" t="str">
        <f>"1293130     "</f>
        <v xml:space="preserve">1293130     </v>
      </c>
      <c r="O8548">
        <v>230216</v>
      </c>
    </row>
    <row r="8549" spans="1:15" x14ac:dyDescent="0.25">
      <c r="A8549" t="s">
        <v>16</v>
      </c>
      <c r="B8549" t="s">
        <v>3221</v>
      </c>
      <c r="C8549">
        <v>1966</v>
      </c>
      <c r="D8549" t="s">
        <v>3650</v>
      </c>
      <c r="E8549" t="s">
        <v>298</v>
      </c>
      <c r="F8549">
        <v>5</v>
      </c>
      <c r="G8549">
        <v>230215</v>
      </c>
      <c r="H8549">
        <v>4600</v>
      </c>
      <c r="I8549" t="s">
        <v>105</v>
      </c>
      <c r="J8549">
        <v>6.2</v>
      </c>
      <c r="K8549">
        <v>1.2</v>
      </c>
      <c r="L8549">
        <v>56568</v>
      </c>
      <c r="M8549" t="s">
        <v>268</v>
      </c>
      <c r="N8549" t="str">
        <f>"1293135     "</f>
        <v xml:space="preserve">1293135     </v>
      </c>
      <c r="O8549">
        <v>230216</v>
      </c>
    </row>
    <row r="8550" spans="1:15" x14ac:dyDescent="0.25">
      <c r="A8550" t="s">
        <v>16</v>
      </c>
      <c r="B8550" t="s">
        <v>3221</v>
      </c>
      <c r="C8550">
        <v>1967</v>
      </c>
      <c r="D8550" t="s">
        <v>3650</v>
      </c>
      <c r="E8550" t="s">
        <v>298</v>
      </c>
      <c r="F8550">
        <v>148.77000000000001</v>
      </c>
      <c r="G8550">
        <v>230215</v>
      </c>
      <c r="H8550">
        <v>4600</v>
      </c>
      <c r="I8550" t="s">
        <v>105</v>
      </c>
      <c r="J8550">
        <v>184.48</v>
      </c>
      <c r="K8550">
        <v>35.71</v>
      </c>
      <c r="L8550">
        <v>56568</v>
      </c>
      <c r="M8550" t="s">
        <v>268</v>
      </c>
      <c r="N8550" t="str">
        <f>"1293143     "</f>
        <v xml:space="preserve">1293143     </v>
      </c>
      <c r="O8550">
        <v>230216</v>
      </c>
    </row>
    <row r="8551" spans="1:15" x14ac:dyDescent="0.25">
      <c r="A8551" t="s">
        <v>16</v>
      </c>
      <c r="B8551" t="s">
        <v>3221</v>
      </c>
      <c r="C8551">
        <v>1969</v>
      </c>
      <c r="D8551" t="s">
        <v>3650</v>
      </c>
      <c r="E8551" t="s">
        <v>298</v>
      </c>
      <c r="F8551">
        <v>16.88</v>
      </c>
      <c r="G8551">
        <v>230215</v>
      </c>
      <c r="H8551">
        <v>4600</v>
      </c>
      <c r="I8551" t="s">
        <v>105</v>
      </c>
      <c r="J8551">
        <v>20.93</v>
      </c>
      <c r="K8551">
        <v>4.05</v>
      </c>
      <c r="L8551">
        <v>56568</v>
      </c>
      <c r="M8551" t="s">
        <v>268</v>
      </c>
      <c r="N8551" t="str">
        <f>"1293137     "</f>
        <v xml:space="preserve">1293137     </v>
      </c>
      <c r="O8551">
        <v>230216</v>
      </c>
    </row>
    <row r="8552" spans="1:15" x14ac:dyDescent="0.25">
      <c r="A8552" t="s">
        <v>16</v>
      </c>
      <c r="B8552" t="s">
        <v>3221</v>
      </c>
      <c r="C8552">
        <v>1971</v>
      </c>
      <c r="D8552" t="s">
        <v>3650</v>
      </c>
      <c r="E8552" t="s">
        <v>298</v>
      </c>
      <c r="F8552">
        <v>8.14</v>
      </c>
      <c r="G8552">
        <v>230215</v>
      </c>
      <c r="H8552">
        <v>4600</v>
      </c>
      <c r="I8552" t="s">
        <v>105</v>
      </c>
      <c r="J8552">
        <v>10.09</v>
      </c>
      <c r="K8552">
        <v>1.95</v>
      </c>
      <c r="L8552">
        <v>56568</v>
      </c>
      <c r="M8552" t="s">
        <v>268</v>
      </c>
      <c r="N8552" t="str">
        <f>"1293144     "</f>
        <v xml:space="preserve">1293144     </v>
      </c>
      <c r="O8552">
        <v>230216</v>
      </c>
    </row>
    <row r="8553" spans="1:15" x14ac:dyDescent="0.25">
      <c r="A8553" t="s">
        <v>16</v>
      </c>
      <c r="B8553" t="s">
        <v>3221</v>
      </c>
      <c r="C8553">
        <v>1974</v>
      </c>
      <c r="D8553" t="s">
        <v>3650</v>
      </c>
      <c r="E8553" t="s">
        <v>298</v>
      </c>
      <c r="F8553">
        <v>39.950000000000003</v>
      </c>
      <c r="G8553">
        <v>230215</v>
      </c>
      <c r="H8553">
        <v>4600</v>
      </c>
      <c r="I8553" t="s">
        <v>105</v>
      </c>
      <c r="J8553">
        <v>49.54</v>
      </c>
      <c r="K8553">
        <v>9.59</v>
      </c>
      <c r="L8553">
        <v>56568</v>
      </c>
      <c r="M8553" t="s">
        <v>268</v>
      </c>
      <c r="N8553" t="str">
        <f>"1293139     "</f>
        <v xml:space="preserve">1293139     </v>
      </c>
      <c r="O8553">
        <v>230216</v>
      </c>
    </row>
    <row r="8554" spans="1:15" x14ac:dyDescent="0.25">
      <c r="A8554" t="s">
        <v>16</v>
      </c>
      <c r="B8554" t="s">
        <v>3221</v>
      </c>
      <c r="C8554">
        <v>1975</v>
      </c>
      <c r="D8554" t="s">
        <v>3650</v>
      </c>
      <c r="E8554" t="s">
        <v>298</v>
      </c>
      <c r="F8554">
        <v>6.5</v>
      </c>
      <c r="G8554">
        <v>230215</v>
      </c>
      <c r="H8554">
        <v>4600</v>
      </c>
      <c r="I8554" t="s">
        <v>105</v>
      </c>
      <c r="J8554">
        <v>8.06</v>
      </c>
      <c r="K8554">
        <v>1.56</v>
      </c>
      <c r="L8554">
        <v>56568</v>
      </c>
      <c r="M8554" t="s">
        <v>268</v>
      </c>
      <c r="N8554" t="str">
        <f>"1293148     "</f>
        <v xml:space="preserve">1293148     </v>
      </c>
      <c r="O8554">
        <v>230216</v>
      </c>
    </row>
    <row r="8555" spans="1:15" x14ac:dyDescent="0.25">
      <c r="A8555" t="s">
        <v>16</v>
      </c>
      <c r="B8555" t="s">
        <v>3221</v>
      </c>
      <c r="C8555">
        <v>1976</v>
      </c>
      <c r="D8555" t="s">
        <v>3650</v>
      </c>
      <c r="E8555" t="s">
        <v>298</v>
      </c>
      <c r="F8555">
        <v>125.1</v>
      </c>
      <c r="G8555">
        <v>230215</v>
      </c>
      <c r="H8555">
        <v>4600</v>
      </c>
      <c r="I8555" t="s">
        <v>105</v>
      </c>
      <c r="J8555">
        <v>155.12</v>
      </c>
      <c r="K8555">
        <v>30.02</v>
      </c>
      <c r="L8555">
        <v>56568</v>
      </c>
      <c r="M8555" t="s">
        <v>268</v>
      </c>
      <c r="N8555" t="str">
        <f>"1293128     "</f>
        <v xml:space="preserve">1293128     </v>
      </c>
      <c r="O8555">
        <v>230216</v>
      </c>
    </row>
    <row r="8556" spans="1:15" x14ac:dyDescent="0.25">
      <c r="A8556" t="s">
        <v>16</v>
      </c>
      <c r="B8556" t="s">
        <v>3221</v>
      </c>
      <c r="C8556">
        <v>1977</v>
      </c>
      <c r="D8556" t="s">
        <v>3650</v>
      </c>
      <c r="E8556" t="s">
        <v>298</v>
      </c>
      <c r="F8556">
        <v>190.34</v>
      </c>
      <c r="G8556">
        <v>230215</v>
      </c>
      <c r="H8556">
        <v>4600</v>
      </c>
      <c r="I8556" t="s">
        <v>105</v>
      </c>
      <c r="J8556">
        <v>236.02</v>
      </c>
      <c r="K8556">
        <v>45.68</v>
      </c>
      <c r="L8556">
        <v>56568</v>
      </c>
      <c r="M8556" t="s">
        <v>268</v>
      </c>
      <c r="N8556" t="str">
        <f>"1293142     "</f>
        <v xml:space="preserve">1293142     </v>
      </c>
      <c r="O8556">
        <v>230216</v>
      </c>
    </row>
    <row r="8557" spans="1:15" x14ac:dyDescent="0.25">
      <c r="A8557" t="s">
        <v>16</v>
      </c>
      <c r="B8557" t="s">
        <v>3221</v>
      </c>
      <c r="C8557">
        <v>1978</v>
      </c>
      <c r="D8557" t="s">
        <v>3650</v>
      </c>
      <c r="E8557" t="s">
        <v>298</v>
      </c>
      <c r="F8557">
        <v>48.06</v>
      </c>
      <c r="G8557">
        <v>230215</v>
      </c>
      <c r="H8557">
        <v>4600</v>
      </c>
      <c r="I8557" t="s">
        <v>105</v>
      </c>
      <c r="J8557">
        <v>59.6</v>
      </c>
      <c r="K8557">
        <v>11.54</v>
      </c>
      <c r="L8557">
        <v>56568</v>
      </c>
      <c r="M8557" t="s">
        <v>268</v>
      </c>
      <c r="N8557" t="str">
        <f>"1293147     "</f>
        <v xml:space="preserve">1293147     </v>
      </c>
      <c r="O8557">
        <v>230216</v>
      </c>
    </row>
    <row r="8558" spans="1:15" x14ac:dyDescent="0.25">
      <c r="A8558" t="s">
        <v>16</v>
      </c>
      <c r="B8558" t="s">
        <v>3221</v>
      </c>
      <c r="C8558">
        <v>1979</v>
      </c>
      <c r="D8558" t="s">
        <v>3650</v>
      </c>
      <c r="E8558" t="s">
        <v>298</v>
      </c>
      <c r="F8558">
        <v>11.42</v>
      </c>
      <c r="G8558">
        <v>230215</v>
      </c>
      <c r="H8558">
        <v>4600</v>
      </c>
      <c r="I8558" t="s">
        <v>105</v>
      </c>
      <c r="J8558">
        <v>14.16</v>
      </c>
      <c r="K8558">
        <v>2.74</v>
      </c>
      <c r="L8558">
        <v>56568</v>
      </c>
      <c r="M8558" t="s">
        <v>268</v>
      </c>
      <c r="N8558" t="str">
        <f>"1293131     "</f>
        <v xml:space="preserve">1293131     </v>
      </c>
      <c r="O8558">
        <v>230216</v>
      </c>
    </row>
    <row r="8559" spans="1:15" x14ac:dyDescent="0.25">
      <c r="A8559" t="s">
        <v>16</v>
      </c>
      <c r="B8559" t="s">
        <v>3221</v>
      </c>
      <c r="C8559">
        <v>2040</v>
      </c>
      <c r="D8559" t="s">
        <v>3650</v>
      </c>
      <c r="E8559" t="s">
        <v>298</v>
      </c>
      <c r="F8559">
        <v>12.06</v>
      </c>
      <c r="G8559">
        <v>230207</v>
      </c>
      <c r="H8559">
        <v>4600</v>
      </c>
      <c r="I8559" t="s">
        <v>105</v>
      </c>
      <c r="J8559">
        <v>14.95</v>
      </c>
      <c r="K8559">
        <v>2.89</v>
      </c>
      <c r="L8559">
        <v>56573</v>
      </c>
      <c r="M8559" t="s">
        <v>521</v>
      </c>
      <c r="N8559" t="str">
        <f>"1292495     "</f>
        <v xml:space="preserve">1292495     </v>
      </c>
      <c r="O8559">
        <v>230220</v>
      </c>
    </row>
    <row r="8560" spans="1:15" x14ac:dyDescent="0.25">
      <c r="A8560" t="s">
        <v>16</v>
      </c>
      <c r="B8560" t="s">
        <v>3221</v>
      </c>
      <c r="C8560">
        <v>2051</v>
      </c>
      <c r="D8560" t="s">
        <v>3650</v>
      </c>
      <c r="E8560" t="s">
        <v>298</v>
      </c>
      <c r="F8560">
        <v>19.350000000000001</v>
      </c>
      <c r="G8560">
        <v>230207</v>
      </c>
      <c r="H8560">
        <v>4600</v>
      </c>
      <c r="I8560" t="s">
        <v>105</v>
      </c>
      <c r="J8560">
        <v>24</v>
      </c>
      <c r="K8560">
        <v>4.6500000000000004</v>
      </c>
      <c r="L8560">
        <v>56565</v>
      </c>
      <c r="M8560" t="s">
        <v>758</v>
      </c>
      <c r="N8560" t="str">
        <f>"1292489     "</f>
        <v xml:space="preserve">1292489     </v>
      </c>
      <c r="O8560">
        <v>230220</v>
      </c>
    </row>
    <row r="8561" spans="1:15" x14ac:dyDescent="0.25">
      <c r="A8561" t="s">
        <v>16</v>
      </c>
      <c r="B8561" t="s">
        <v>3221</v>
      </c>
      <c r="C8561">
        <v>2051</v>
      </c>
      <c r="D8561" t="s">
        <v>3650</v>
      </c>
      <c r="E8561" t="s">
        <v>298</v>
      </c>
      <c r="F8561">
        <v>19.350000000000001</v>
      </c>
      <c r="G8561">
        <v>230207</v>
      </c>
      <c r="H8561">
        <v>4600</v>
      </c>
      <c r="I8561" t="s">
        <v>105</v>
      </c>
      <c r="J8561">
        <v>24</v>
      </c>
      <c r="K8561">
        <v>4.6500000000000004</v>
      </c>
      <c r="L8561">
        <v>56573</v>
      </c>
      <c r="M8561" t="s">
        <v>521</v>
      </c>
      <c r="N8561" t="str">
        <f>"1292489     "</f>
        <v xml:space="preserve">1292489     </v>
      </c>
      <c r="O8561">
        <v>230220</v>
      </c>
    </row>
    <row r="8562" spans="1:15" x14ac:dyDescent="0.25">
      <c r="A8562" t="s">
        <v>16</v>
      </c>
      <c r="B8562" t="s">
        <v>3221</v>
      </c>
      <c r="C8562">
        <v>2133</v>
      </c>
      <c r="D8562" t="s">
        <v>3650</v>
      </c>
      <c r="E8562" t="s">
        <v>298</v>
      </c>
      <c r="F8562">
        <v>86.19</v>
      </c>
      <c r="G8562">
        <v>230215</v>
      </c>
      <c r="H8562">
        <v>4600</v>
      </c>
      <c r="I8562" t="s">
        <v>105</v>
      </c>
      <c r="J8562">
        <v>106.88</v>
      </c>
      <c r="K8562">
        <v>20.69</v>
      </c>
      <c r="L8562">
        <v>56558</v>
      </c>
      <c r="M8562" t="s">
        <v>217</v>
      </c>
      <c r="N8562" t="str">
        <f>"1293132     "</f>
        <v xml:space="preserve">1293132     </v>
      </c>
      <c r="O8562">
        <v>230221</v>
      </c>
    </row>
    <row r="8563" spans="1:15" x14ac:dyDescent="0.25">
      <c r="A8563" t="s">
        <v>16</v>
      </c>
      <c r="B8563" t="s">
        <v>3221</v>
      </c>
      <c r="C8563">
        <v>2527</v>
      </c>
      <c r="D8563" t="s">
        <v>3650</v>
      </c>
      <c r="E8563" t="s">
        <v>298</v>
      </c>
      <c r="F8563">
        <v>216.29</v>
      </c>
      <c r="G8563">
        <v>230228</v>
      </c>
      <c r="H8563">
        <v>4600</v>
      </c>
      <c r="I8563" t="s">
        <v>105</v>
      </c>
      <c r="J8563">
        <v>268.2</v>
      </c>
      <c r="K8563">
        <v>51.91</v>
      </c>
      <c r="L8563">
        <v>66756</v>
      </c>
      <c r="M8563" t="s">
        <v>209</v>
      </c>
      <c r="N8563" t="str">
        <f>"1294180     "</f>
        <v xml:space="preserve">1294180     </v>
      </c>
      <c r="O8563">
        <v>230301</v>
      </c>
    </row>
    <row r="8564" spans="1:15" x14ac:dyDescent="0.25">
      <c r="A8564" t="s">
        <v>16</v>
      </c>
      <c r="B8564" t="s">
        <v>3221</v>
      </c>
      <c r="C8564">
        <v>2566</v>
      </c>
      <c r="D8564" t="s">
        <v>3650</v>
      </c>
      <c r="E8564" t="s">
        <v>298</v>
      </c>
      <c r="F8564">
        <v>193.55</v>
      </c>
      <c r="G8564">
        <v>230228</v>
      </c>
      <c r="H8564">
        <v>4600</v>
      </c>
      <c r="I8564" t="s">
        <v>105</v>
      </c>
      <c r="J8564">
        <v>240</v>
      </c>
      <c r="K8564">
        <v>46.45</v>
      </c>
      <c r="L8564">
        <v>69501</v>
      </c>
      <c r="M8564" t="s">
        <v>185</v>
      </c>
      <c r="N8564" t="str">
        <f>"1294181     "</f>
        <v xml:space="preserve">1294181     </v>
      </c>
      <c r="O8564">
        <v>230302</v>
      </c>
    </row>
    <row r="8565" spans="1:15" x14ac:dyDescent="0.25">
      <c r="A8565" t="s">
        <v>16</v>
      </c>
      <c r="B8565" t="s">
        <v>3221</v>
      </c>
      <c r="C8565">
        <v>2644</v>
      </c>
      <c r="D8565" t="s">
        <v>3650</v>
      </c>
      <c r="E8565" t="s">
        <v>298</v>
      </c>
      <c r="F8565">
        <v>-155.87</v>
      </c>
      <c r="G8565">
        <v>230228</v>
      </c>
      <c r="H8565">
        <v>4600</v>
      </c>
      <c r="I8565" t="s">
        <v>105</v>
      </c>
      <c r="J8565">
        <v>-193.28</v>
      </c>
      <c r="K8565">
        <v>-37.409999999999997</v>
      </c>
      <c r="L8565">
        <v>56568</v>
      </c>
      <c r="M8565" t="s">
        <v>268</v>
      </c>
      <c r="N8565" t="str">
        <f>"1294166     "</f>
        <v xml:space="preserve">1294166     </v>
      </c>
      <c r="O8565">
        <v>230306</v>
      </c>
    </row>
    <row r="8566" spans="1:15" x14ac:dyDescent="0.25">
      <c r="A8566" t="s">
        <v>16</v>
      </c>
      <c r="B8566" t="s">
        <v>3221</v>
      </c>
      <c r="C8566">
        <v>2646</v>
      </c>
      <c r="D8566" t="s">
        <v>3650</v>
      </c>
      <c r="E8566" t="s">
        <v>298</v>
      </c>
      <c r="F8566">
        <v>-13.71</v>
      </c>
      <c r="G8566">
        <v>230228</v>
      </c>
      <c r="H8566">
        <v>4600</v>
      </c>
      <c r="I8566" t="s">
        <v>105</v>
      </c>
      <c r="J8566">
        <v>-17</v>
      </c>
      <c r="K8566">
        <v>-3.29</v>
      </c>
      <c r="L8566">
        <v>56568</v>
      </c>
      <c r="M8566" t="s">
        <v>268</v>
      </c>
      <c r="N8566" t="str">
        <f>"1294167     "</f>
        <v xml:space="preserve">1294167     </v>
      </c>
      <c r="O8566">
        <v>230306</v>
      </c>
    </row>
    <row r="8567" spans="1:15" x14ac:dyDescent="0.25">
      <c r="A8567" t="s">
        <v>16</v>
      </c>
      <c r="B8567" t="s">
        <v>3221</v>
      </c>
      <c r="C8567">
        <v>2683</v>
      </c>
      <c r="D8567" t="s">
        <v>3650</v>
      </c>
      <c r="E8567" t="s">
        <v>298</v>
      </c>
      <c r="F8567">
        <v>6.35</v>
      </c>
      <c r="G8567">
        <v>230228</v>
      </c>
      <c r="H8567">
        <v>4600</v>
      </c>
      <c r="I8567" t="s">
        <v>105</v>
      </c>
      <c r="J8567">
        <v>7.87</v>
      </c>
      <c r="K8567">
        <v>1.52</v>
      </c>
      <c r="L8567">
        <v>56568</v>
      </c>
      <c r="M8567" t="s">
        <v>268</v>
      </c>
      <c r="N8567" t="str">
        <f>"1294154     "</f>
        <v xml:space="preserve">1294154     </v>
      </c>
      <c r="O8567">
        <v>230306</v>
      </c>
    </row>
    <row r="8568" spans="1:15" x14ac:dyDescent="0.25">
      <c r="A8568" t="s">
        <v>16</v>
      </c>
      <c r="B8568" t="s">
        <v>3221</v>
      </c>
      <c r="C8568">
        <v>2685</v>
      </c>
      <c r="D8568" t="s">
        <v>3650</v>
      </c>
      <c r="E8568" t="s">
        <v>298</v>
      </c>
      <c r="F8568">
        <v>19.96</v>
      </c>
      <c r="G8568">
        <v>230228</v>
      </c>
      <c r="H8568">
        <v>4600</v>
      </c>
      <c r="I8568" t="s">
        <v>105</v>
      </c>
      <c r="J8568">
        <v>24.75</v>
      </c>
      <c r="K8568">
        <v>4.79</v>
      </c>
      <c r="L8568">
        <v>56568</v>
      </c>
      <c r="M8568" t="s">
        <v>268</v>
      </c>
      <c r="N8568" t="str">
        <f>"1294170     "</f>
        <v xml:space="preserve">1294170     </v>
      </c>
      <c r="O8568">
        <v>230306</v>
      </c>
    </row>
    <row r="8569" spans="1:15" x14ac:dyDescent="0.25">
      <c r="A8569" t="s">
        <v>16</v>
      </c>
      <c r="B8569" t="s">
        <v>3221</v>
      </c>
      <c r="C8569">
        <v>2704</v>
      </c>
      <c r="D8569" t="s">
        <v>3650</v>
      </c>
      <c r="E8569" t="s">
        <v>298</v>
      </c>
      <c r="F8569">
        <v>172.85</v>
      </c>
      <c r="G8569">
        <v>230228</v>
      </c>
      <c r="H8569">
        <v>4600</v>
      </c>
      <c r="I8569" t="s">
        <v>105</v>
      </c>
      <c r="J8569">
        <v>214.34</v>
      </c>
      <c r="K8569">
        <v>41.49</v>
      </c>
      <c r="L8569">
        <v>56568</v>
      </c>
      <c r="M8569" t="s">
        <v>268</v>
      </c>
      <c r="N8569" t="str">
        <f>"1294174     "</f>
        <v xml:space="preserve">1294174     </v>
      </c>
      <c r="O8569">
        <v>230307</v>
      </c>
    </row>
    <row r="8570" spans="1:15" x14ac:dyDescent="0.25">
      <c r="A8570" t="s">
        <v>16</v>
      </c>
      <c r="B8570" t="s">
        <v>3221</v>
      </c>
      <c r="C8570">
        <v>2705</v>
      </c>
      <c r="D8570" t="s">
        <v>3650</v>
      </c>
      <c r="E8570" t="s">
        <v>298</v>
      </c>
      <c r="F8570">
        <v>12.5</v>
      </c>
      <c r="G8570">
        <v>230228</v>
      </c>
      <c r="H8570">
        <v>4600</v>
      </c>
      <c r="I8570" t="s">
        <v>105</v>
      </c>
      <c r="J8570">
        <v>15.5</v>
      </c>
      <c r="K8570">
        <v>3</v>
      </c>
      <c r="L8570">
        <v>56568</v>
      </c>
      <c r="M8570" t="s">
        <v>268</v>
      </c>
      <c r="N8570" t="str">
        <f>"1294169     "</f>
        <v xml:space="preserve">1294169     </v>
      </c>
      <c r="O8570">
        <v>230307</v>
      </c>
    </row>
    <row r="8571" spans="1:15" x14ac:dyDescent="0.25">
      <c r="A8571" t="s">
        <v>16</v>
      </c>
      <c r="B8571" t="s">
        <v>3221</v>
      </c>
      <c r="C8571">
        <v>2707</v>
      </c>
      <c r="D8571" t="s">
        <v>3650</v>
      </c>
      <c r="E8571" t="s">
        <v>298</v>
      </c>
      <c r="F8571">
        <v>63.97</v>
      </c>
      <c r="G8571">
        <v>230228</v>
      </c>
      <c r="H8571">
        <v>4600</v>
      </c>
      <c r="I8571" t="s">
        <v>105</v>
      </c>
      <c r="J8571">
        <v>79.319999999999993</v>
      </c>
      <c r="K8571">
        <v>15.35</v>
      </c>
      <c r="L8571">
        <v>56568</v>
      </c>
      <c r="M8571" t="s">
        <v>268</v>
      </c>
      <c r="N8571" t="str">
        <f>"1294177     "</f>
        <v xml:space="preserve">1294177     </v>
      </c>
      <c r="O8571">
        <v>230307</v>
      </c>
    </row>
    <row r="8572" spans="1:15" x14ac:dyDescent="0.25">
      <c r="A8572" t="s">
        <v>16</v>
      </c>
      <c r="B8572" t="s">
        <v>3221</v>
      </c>
      <c r="C8572">
        <v>2731</v>
      </c>
      <c r="D8572" t="s">
        <v>3650</v>
      </c>
      <c r="E8572" t="s">
        <v>298</v>
      </c>
      <c r="F8572">
        <v>40.51</v>
      </c>
      <c r="G8572">
        <v>230228</v>
      </c>
      <c r="H8572">
        <v>4600</v>
      </c>
      <c r="I8572" t="s">
        <v>105</v>
      </c>
      <c r="J8572">
        <v>50.23</v>
      </c>
      <c r="K8572">
        <v>9.7200000000000006</v>
      </c>
      <c r="L8572">
        <v>56568</v>
      </c>
      <c r="M8572" t="s">
        <v>268</v>
      </c>
      <c r="N8572" t="str">
        <f>"1294162     "</f>
        <v xml:space="preserve">1294162     </v>
      </c>
      <c r="O8572">
        <v>230307</v>
      </c>
    </row>
    <row r="8573" spans="1:15" x14ac:dyDescent="0.25">
      <c r="A8573" t="s">
        <v>16</v>
      </c>
      <c r="B8573" t="s">
        <v>3221</v>
      </c>
      <c r="C8573">
        <v>2732</v>
      </c>
      <c r="D8573" t="s">
        <v>3650</v>
      </c>
      <c r="E8573" t="s">
        <v>298</v>
      </c>
      <c r="F8573">
        <v>8.33</v>
      </c>
      <c r="G8573">
        <v>230228</v>
      </c>
      <c r="H8573">
        <v>4600</v>
      </c>
      <c r="I8573" t="s">
        <v>105</v>
      </c>
      <c r="J8573">
        <v>10.33</v>
      </c>
      <c r="K8573">
        <v>2</v>
      </c>
      <c r="L8573">
        <v>56568</v>
      </c>
      <c r="M8573" t="s">
        <v>268</v>
      </c>
      <c r="N8573" t="str">
        <f>"1294165     "</f>
        <v xml:space="preserve">1294165     </v>
      </c>
      <c r="O8573">
        <v>230307</v>
      </c>
    </row>
    <row r="8574" spans="1:15" x14ac:dyDescent="0.25">
      <c r="A8574" t="s">
        <v>16</v>
      </c>
      <c r="B8574" t="s">
        <v>3221</v>
      </c>
      <c r="C8574">
        <v>2733</v>
      </c>
      <c r="D8574" t="s">
        <v>3650</v>
      </c>
      <c r="E8574" t="s">
        <v>298</v>
      </c>
      <c r="F8574">
        <v>30.73</v>
      </c>
      <c r="G8574">
        <v>230228</v>
      </c>
      <c r="H8574">
        <v>4600</v>
      </c>
      <c r="I8574" t="s">
        <v>105</v>
      </c>
      <c r="J8574">
        <v>38.1</v>
      </c>
      <c r="K8574">
        <v>7.37</v>
      </c>
      <c r="L8574">
        <v>56568</v>
      </c>
      <c r="M8574" t="s">
        <v>268</v>
      </c>
      <c r="N8574" t="str">
        <f>"1294155     "</f>
        <v xml:space="preserve">1294155     </v>
      </c>
      <c r="O8574">
        <v>230307</v>
      </c>
    </row>
    <row r="8575" spans="1:15" x14ac:dyDescent="0.25">
      <c r="A8575" t="s">
        <v>16</v>
      </c>
      <c r="B8575" t="s">
        <v>3221</v>
      </c>
      <c r="C8575">
        <v>2734</v>
      </c>
      <c r="D8575" t="s">
        <v>3650</v>
      </c>
      <c r="E8575" t="s">
        <v>298</v>
      </c>
      <c r="F8575">
        <v>21.61</v>
      </c>
      <c r="G8575">
        <v>230228</v>
      </c>
      <c r="H8575">
        <v>4600</v>
      </c>
      <c r="I8575" t="s">
        <v>105</v>
      </c>
      <c r="J8575">
        <v>26.8</v>
      </c>
      <c r="K8575">
        <v>5.19</v>
      </c>
      <c r="L8575">
        <v>56568</v>
      </c>
      <c r="M8575" t="s">
        <v>268</v>
      </c>
      <c r="N8575" t="str">
        <f>"1294153     "</f>
        <v xml:space="preserve">1294153     </v>
      </c>
      <c r="O8575">
        <v>230307</v>
      </c>
    </row>
    <row r="8576" spans="1:15" x14ac:dyDescent="0.25">
      <c r="A8576" t="s">
        <v>16</v>
      </c>
      <c r="B8576" t="s">
        <v>3221</v>
      </c>
      <c r="C8576">
        <v>2737</v>
      </c>
      <c r="D8576" t="s">
        <v>3650</v>
      </c>
      <c r="E8576" t="s">
        <v>298</v>
      </c>
      <c r="F8576">
        <v>37.020000000000003</v>
      </c>
      <c r="G8576">
        <v>230228</v>
      </c>
      <c r="H8576">
        <v>4600</v>
      </c>
      <c r="I8576" t="s">
        <v>105</v>
      </c>
      <c r="J8576">
        <v>45.9</v>
      </c>
      <c r="K8576">
        <v>8.8800000000000008</v>
      </c>
      <c r="L8576">
        <v>56568</v>
      </c>
      <c r="M8576" t="s">
        <v>268</v>
      </c>
      <c r="N8576" t="str">
        <f>"1294157     "</f>
        <v xml:space="preserve">1294157     </v>
      </c>
      <c r="O8576">
        <v>230307</v>
      </c>
    </row>
    <row r="8577" spans="1:15" x14ac:dyDescent="0.25">
      <c r="A8577" t="s">
        <v>16</v>
      </c>
      <c r="B8577" t="s">
        <v>3221</v>
      </c>
      <c r="C8577">
        <v>2741</v>
      </c>
      <c r="D8577" t="s">
        <v>3650</v>
      </c>
      <c r="E8577" t="s">
        <v>298</v>
      </c>
      <c r="F8577">
        <v>10.32</v>
      </c>
      <c r="G8577">
        <v>230228</v>
      </c>
      <c r="H8577">
        <v>4600</v>
      </c>
      <c r="I8577" t="s">
        <v>105</v>
      </c>
      <c r="J8577">
        <v>12.8</v>
      </c>
      <c r="K8577">
        <v>2.48</v>
      </c>
      <c r="L8577">
        <v>56568</v>
      </c>
      <c r="M8577" t="s">
        <v>268</v>
      </c>
      <c r="N8577" t="str">
        <f>"1294161     "</f>
        <v xml:space="preserve">1294161     </v>
      </c>
      <c r="O8577">
        <v>230307</v>
      </c>
    </row>
    <row r="8578" spans="1:15" x14ac:dyDescent="0.25">
      <c r="A8578" t="s">
        <v>16</v>
      </c>
      <c r="B8578" t="s">
        <v>3221</v>
      </c>
      <c r="C8578">
        <v>2742</v>
      </c>
      <c r="D8578" t="s">
        <v>3650</v>
      </c>
      <c r="E8578" t="s">
        <v>298</v>
      </c>
      <c r="F8578">
        <v>25.57</v>
      </c>
      <c r="G8578">
        <v>230228</v>
      </c>
      <c r="H8578">
        <v>4600</v>
      </c>
      <c r="I8578" t="s">
        <v>105</v>
      </c>
      <c r="J8578">
        <v>31.71</v>
      </c>
      <c r="K8578">
        <v>6.14</v>
      </c>
      <c r="L8578">
        <v>56573</v>
      </c>
      <c r="M8578" t="s">
        <v>521</v>
      </c>
      <c r="N8578" t="str">
        <f>"1294173     "</f>
        <v xml:space="preserve">1294173     </v>
      </c>
      <c r="O8578">
        <v>230307</v>
      </c>
    </row>
    <row r="8579" spans="1:15" x14ac:dyDescent="0.25">
      <c r="A8579" t="s">
        <v>16</v>
      </c>
      <c r="B8579" t="s">
        <v>3221</v>
      </c>
      <c r="C8579">
        <v>2744</v>
      </c>
      <c r="D8579" t="s">
        <v>3650</v>
      </c>
      <c r="E8579" t="s">
        <v>298</v>
      </c>
      <c r="F8579">
        <v>397.63</v>
      </c>
      <c r="G8579">
        <v>230228</v>
      </c>
      <c r="H8579">
        <v>4600</v>
      </c>
      <c r="I8579" t="s">
        <v>105</v>
      </c>
      <c r="J8579">
        <v>493.06</v>
      </c>
      <c r="K8579">
        <v>95.43</v>
      </c>
      <c r="L8579">
        <v>56568</v>
      </c>
      <c r="M8579" t="s">
        <v>268</v>
      </c>
      <c r="N8579" t="str">
        <f>"1294175     "</f>
        <v xml:space="preserve">1294175     </v>
      </c>
      <c r="O8579">
        <v>230307</v>
      </c>
    </row>
    <row r="8580" spans="1:15" x14ac:dyDescent="0.25">
      <c r="A8580" t="s">
        <v>16</v>
      </c>
      <c r="B8580" t="s">
        <v>3221</v>
      </c>
      <c r="C8580">
        <v>2747</v>
      </c>
      <c r="D8580" t="s">
        <v>3650</v>
      </c>
      <c r="E8580" t="s">
        <v>298</v>
      </c>
      <c r="F8580">
        <v>5.58</v>
      </c>
      <c r="G8580">
        <v>230228</v>
      </c>
      <c r="H8580">
        <v>4600</v>
      </c>
      <c r="I8580" t="s">
        <v>105</v>
      </c>
      <c r="J8580">
        <v>6.92</v>
      </c>
      <c r="K8580">
        <v>1.34</v>
      </c>
      <c r="L8580">
        <v>56568</v>
      </c>
      <c r="M8580" t="s">
        <v>268</v>
      </c>
      <c r="N8580" t="str">
        <f>"1294176     "</f>
        <v xml:space="preserve">1294176     </v>
      </c>
      <c r="O8580">
        <v>230307</v>
      </c>
    </row>
    <row r="8581" spans="1:15" x14ac:dyDescent="0.25">
      <c r="A8581" t="s">
        <v>16</v>
      </c>
      <c r="B8581" t="s">
        <v>3221</v>
      </c>
      <c r="C8581">
        <v>2750</v>
      </c>
      <c r="D8581" t="s">
        <v>3650</v>
      </c>
      <c r="E8581" t="s">
        <v>298</v>
      </c>
      <c r="F8581">
        <v>52.77</v>
      </c>
      <c r="G8581">
        <v>230228</v>
      </c>
      <c r="H8581">
        <v>4600</v>
      </c>
      <c r="I8581" t="s">
        <v>105</v>
      </c>
      <c r="J8581">
        <v>65.44</v>
      </c>
      <c r="K8581">
        <v>12.67</v>
      </c>
      <c r="L8581">
        <v>56568</v>
      </c>
      <c r="M8581" t="s">
        <v>268</v>
      </c>
      <c r="N8581" t="str">
        <f>"1294164     "</f>
        <v xml:space="preserve">1294164     </v>
      </c>
      <c r="O8581">
        <v>230307</v>
      </c>
    </row>
    <row r="8582" spans="1:15" x14ac:dyDescent="0.25">
      <c r="A8582" t="s">
        <v>16</v>
      </c>
      <c r="B8582" t="s">
        <v>3221</v>
      </c>
      <c r="C8582">
        <v>2756</v>
      </c>
      <c r="D8582" t="s">
        <v>3650</v>
      </c>
      <c r="E8582" t="s">
        <v>298</v>
      </c>
      <c r="F8582">
        <v>104.58</v>
      </c>
      <c r="G8582">
        <v>230228</v>
      </c>
      <c r="H8582">
        <v>4600</v>
      </c>
      <c r="I8582" t="s">
        <v>105</v>
      </c>
      <c r="J8582">
        <v>129.68</v>
      </c>
      <c r="K8582">
        <v>25.1</v>
      </c>
      <c r="L8582">
        <v>56568</v>
      </c>
      <c r="M8582" t="s">
        <v>268</v>
      </c>
      <c r="N8582" t="str">
        <f>"1294156     "</f>
        <v xml:space="preserve">1294156     </v>
      </c>
      <c r="O8582">
        <v>230307</v>
      </c>
    </row>
    <row r="8583" spans="1:15" x14ac:dyDescent="0.25">
      <c r="A8583" t="s">
        <v>16</v>
      </c>
      <c r="B8583" t="s">
        <v>3221</v>
      </c>
      <c r="C8583">
        <v>2758</v>
      </c>
      <c r="D8583" t="s">
        <v>3650</v>
      </c>
      <c r="E8583" t="s">
        <v>298</v>
      </c>
      <c r="F8583">
        <v>25.06</v>
      </c>
      <c r="G8583">
        <v>230228</v>
      </c>
      <c r="H8583">
        <v>4600</v>
      </c>
      <c r="I8583" t="s">
        <v>105</v>
      </c>
      <c r="J8583">
        <v>31.07</v>
      </c>
      <c r="K8583">
        <v>6.01</v>
      </c>
      <c r="L8583">
        <v>56568</v>
      </c>
      <c r="M8583" t="s">
        <v>268</v>
      </c>
      <c r="N8583" t="str">
        <f>"1294159     "</f>
        <v xml:space="preserve">1294159     </v>
      </c>
      <c r="O8583">
        <v>230307</v>
      </c>
    </row>
    <row r="8584" spans="1:15" x14ac:dyDescent="0.25">
      <c r="A8584" t="s">
        <v>16</v>
      </c>
      <c r="B8584" t="s">
        <v>3221</v>
      </c>
      <c r="C8584">
        <v>2759</v>
      </c>
      <c r="D8584" t="s">
        <v>3650</v>
      </c>
      <c r="E8584" t="s">
        <v>298</v>
      </c>
      <c r="F8584">
        <v>64.97</v>
      </c>
      <c r="G8584">
        <v>230228</v>
      </c>
      <c r="H8584">
        <v>4600</v>
      </c>
      <c r="I8584" t="s">
        <v>105</v>
      </c>
      <c r="J8584">
        <v>80.56</v>
      </c>
      <c r="K8584">
        <v>15.59</v>
      </c>
      <c r="L8584">
        <v>56568</v>
      </c>
      <c r="M8584" t="s">
        <v>268</v>
      </c>
      <c r="N8584" t="str">
        <f>"1294160     "</f>
        <v xml:space="preserve">1294160     </v>
      </c>
      <c r="O8584">
        <v>230307</v>
      </c>
    </row>
    <row r="8585" spans="1:15" x14ac:dyDescent="0.25">
      <c r="A8585" t="s">
        <v>16</v>
      </c>
      <c r="B8585" t="s">
        <v>3221</v>
      </c>
      <c r="C8585">
        <v>2760</v>
      </c>
      <c r="D8585" t="s">
        <v>3650</v>
      </c>
      <c r="E8585" t="s">
        <v>298</v>
      </c>
      <c r="F8585">
        <v>6.17</v>
      </c>
      <c r="G8585">
        <v>230228</v>
      </c>
      <c r="H8585">
        <v>4600</v>
      </c>
      <c r="I8585" t="s">
        <v>105</v>
      </c>
      <c r="J8585">
        <v>7.65</v>
      </c>
      <c r="K8585">
        <v>1.48</v>
      </c>
      <c r="L8585">
        <v>56564</v>
      </c>
      <c r="M8585" t="s">
        <v>327</v>
      </c>
      <c r="N8585" t="str">
        <f>"1294171     "</f>
        <v xml:space="preserve">1294171     </v>
      </c>
      <c r="O8585">
        <v>230307</v>
      </c>
    </row>
    <row r="8586" spans="1:15" x14ac:dyDescent="0.25">
      <c r="A8586" t="s">
        <v>16</v>
      </c>
      <c r="B8586" t="s">
        <v>3221</v>
      </c>
      <c r="C8586">
        <v>2762</v>
      </c>
      <c r="D8586" t="s">
        <v>3650</v>
      </c>
      <c r="E8586" t="s">
        <v>298</v>
      </c>
      <c r="F8586">
        <v>63.73</v>
      </c>
      <c r="G8586">
        <v>230228</v>
      </c>
      <c r="H8586">
        <v>4600</v>
      </c>
      <c r="I8586" t="s">
        <v>105</v>
      </c>
      <c r="J8586">
        <v>79.02</v>
      </c>
      <c r="K8586">
        <v>15.29</v>
      </c>
      <c r="L8586">
        <v>56568</v>
      </c>
      <c r="M8586" t="s">
        <v>268</v>
      </c>
      <c r="N8586" t="str">
        <f>"1294168     "</f>
        <v xml:space="preserve">1294168     </v>
      </c>
      <c r="O8586">
        <v>230307</v>
      </c>
    </row>
    <row r="8587" spans="1:15" x14ac:dyDescent="0.25">
      <c r="A8587" t="s">
        <v>16</v>
      </c>
      <c r="B8587" t="s">
        <v>3221</v>
      </c>
      <c r="C8587">
        <v>2763</v>
      </c>
      <c r="D8587" t="s">
        <v>3650</v>
      </c>
      <c r="E8587" t="s">
        <v>298</v>
      </c>
      <c r="F8587">
        <v>213.87</v>
      </c>
      <c r="G8587">
        <v>230228</v>
      </c>
      <c r="H8587">
        <v>4600</v>
      </c>
      <c r="I8587" t="s">
        <v>105</v>
      </c>
      <c r="J8587">
        <v>265.2</v>
      </c>
      <c r="K8587">
        <v>51.33</v>
      </c>
      <c r="L8587">
        <v>56568</v>
      </c>
      <c r="M8587" t="s">
        <v>268</v>
      </c>
      <c r="N8587" t="str">
        <f>"1294152     "</f>
        <v xml:space="preserve">1294152     </v>
      </c>
      <c r="O8587">
        <v>230307</v>
      </c>
    </row>
    <row r="8588" spans="1:15" x14ac:dyDescent="0.25">
      <c r="A8588" t="s">
        <v>16</v>
      </c>
      <c r="B8588" t="s">
        <v>3221</v>
      </c>
      <c r="C8588">
        <v>2764</v>
      </c>
      <c r="D8588" t="s">
        <v>3650</v>
      </c>
      <c r="E8588" t="s">
        <v>298</v>
      </c>
      <c r="F8588">
        <v>8.15</v>
      </c>
      <c r="G8588">
        <v>230228</v>
      </c>
      <c r="H8588">
        <v>4600</v>
      </c>
      <c r="I8588" t="s">
        <v>105</v>
      </c>
      <c r="J8588">
        <v>10.1</v>
      </c>
      <c r="K8588">
        <v>1.95</v>
      </c>
      <c r="L8588">
        <v>56568</v>
      </c>
      <c r="M8588" t="s">
        <v>268</v>
      </c>
      <c r="N8588" t="str">
        <f>"1294172     "</f>
        <v xml:space="preserve">1294172     </v>
      </c>
      <c r="O8588">
        <v>230307</v>
      </c>
    </row>
    <row r="8589" spans="1:15" x14ac:dyDescent="0.25">
      <c r="A8589" t="s">
        <v>16</v>
      </c>
      <c r="B8589" t="s">
        <v>3221</v>
      </c>
      <c r="C8589">
        <v>3434</v>
      </c>
      <c r="D8589" t="s">
        <v>3650</v>
      </c>
      <c r="E8589" t="s">
        <v>298</v>
      </c>
      <c r="F8589">
        <v>66.849999999999994</v>
      </c>
      <c r="G8589">
        <v>230228</v>
      </c>
      <c r="H8589">
        <v>4600</v>
      </c>
      <c r="I8589" t="s">
        <v>105</v>
      </c>
      <c r="J8589">
        <v>82.9</v>
      </c>
      <c r="K8589">
        <v>16.05</v>
      </c>
      <c r="L8589">
        <v>56565</v>
      </c>
      <c r="M8589" t="s">
        <v>758</v>
      </c>
      <c r="N8589" t="str">
        <f>"1294158     "</f>
        <v xml:space="preserve">1294158     </v>
      </c>
      <c r="O8589">
        <v>230315</v>
      </c>
    </row>
    <row r="8590" spans="1:15" x14ac:dyDescent="0.25">
      <c r="A8590" t="s">
        <v>16</v>
      </c>
      <c r="B8590" t="s">
        <v>3221</v>
      </c>
      <c r="C8590">
        <v>3434</v>
      </c>
      <c r="D8590" t="s">
        <v>3650</v>
      </c>
      <c r="E8590" t="s">
        <v>298</v>
      </c>
      <c r="F8590">
        <v>18.77</v>
      </c>
      <c r="G8590">
        <v>230228</v>
      </c>
      <c r="H8590">
        <v>4600</v>
      </c>
      <c r="I8590" t="s">
        <v>105</v>
      </c>
      <c r="J8590">
        <v>23.27</v>
      </c>
      <c r="K8590">
        <v>4.5</v>
      </c>
      <c r="L8590">
        <v>56573</v>
      </c>
      <c r="M8590" t="s">
        <v>521</v>
      </c>
      <c r="N8590" t="str">
        <f>"1294158     "</f>
        <v xml:space="preserve">1294158     </v>
      </c>
      <c r="O8590">
        <v>230315</v>
      </c>
    </row>
    <row r="8591" spans="1:15" x14ac:dyDescent="0.25">
      <c r="A8591" t="s">
        <v>16</v>
      </c>
      <c r="B8591" t="s">
        <v>3221</v>
      </c>
      <c r="C8591">
        <v>3553</v>
      </c>
      <c r="D8591" t="s">
        <v>3650</v>
      </c>
      <c r="E8591" t="s">
        <v>298</v>
      </c>
      <c r="F8591">
        <v>33.4</v>
      </c>
      <c r="G8591">
        <v>230228</v>
      </c>
      <c r="H8591">
        <v>4600</v>
      </c>
      <c r="I8591" t="s">
        <v>105</v>
      </c>
      <c r="J8591">
        <v>41.41</v>
      </c>
      <c r="K8591">
        <v>8.01</v>
      </c>
      <c r="L8591">
        <v>56562</v>
      </c>
      <c r="M8591" t="s">
        <v>126</v>
      </c>
      <c r="N8591" t="str">
        <f>"1294178     "</f>
        <v xml:space="preserve">1294178     </v>
      </c>
      <c r="O8591">
        <v>230316</v>
      </c>
    </row>
    <row r="8592" spans="1:15" x14ac:dyDescent="0.25">
      <c r="A8592" t="s">
        <v>16</v>
      </c>
      <c r="B8592" t="s">
        <v>3221</v>
      </c>
      <c r="C8592">
        <v>4068</v>
      </c>
      <c r="D8592" t="s">
        <v>3650</v>
      </c>
      <c r="E8592" t="s">
        <v>298</v>
      </c>
      <c r="F8592">
        <v>40.880000000000003</v>
      </c>
      <c r="G8592">
        <v>230329</v>
      </c>
      <c r="H8592">
        <v>4600</v>
      </c>
      <c r="I8592" t="s">
        <v>105</v>
      </c>
      <c r="J8592">
        <v>50.69</v>
      </c>
      <c r="K8592">
        <v>9.81</v>
      </c>
      <c r="L8592">
        <v>56568</v>
      </c>
      <c r="M8592" t="s">
        <v>268</v>
      </c>
      <c r="N8592" t="str">
        <f>"1296327     "</f>
        <v xml:space="preserve">1296327     </v>
      </c>
      <c r="O8592">
        <v>230330</v>
      </c>
    </row>
    <row r="8593" spans="1:15" x14ac:dyDescent="0.25">
      <c r="A8593" t="s">
        <v>16</v>
      </c>
      <c r="B8593" t="s">
        <v>3221</v>
      </c>
      <c r="C8593">
        <v>4069</v>
      </c>
      <c r="D8593" t="s">
        <v>3650</v>
      </c>
      <c r="E8593" t="s">
        <v>298</v>
      </c>
      <c r="F8593">
        <v>24.68</v>
      </c>
      <c r="G8593">
        <v>230329</v>
      </c>
      <c r="H8593">
        <v>4600</v>
      </c>
      <c r="I8593" t="s">
        <v>105</v>
      </c>
      <c r="J8593">
        <v>30.6</v>
      </c>
      <c r="K8593">
        <v>5.92</v>
      </c>
      <c r="L8593">
        <v>56568</v>
      </c>
      <c r="M8593" t="s">
        <v>268</v>
      </c>
      <c r="N8593" t="str">
        <f>"1296352     "</f>
        <v xml:space="preserve">1296352     </v>
      </c>
      <c r="O8593">
        <v>230330</v>
      </c>
    </row>
    <row r="8594" spans="1:15" x14ac:dyDescent="0.25">
      <c r="A8594" t="s">
        <v>16</v>
      </c>
      <c r="B8594" t="s">
        <v>3221</v>
      </c>
      <c r="C8594">
        <v>4070</v>
      </c>
      <c r="D8594" t="s">
        <v>3650</v>
      </c>
      <c r="E8594" t="s">
        <v>298</v>
      </c>
      <c r="F8594">
        <v>104.13</v>
      </c>
      <c r="G8594">
        <v>230329</v>
      </c>
      <c r="H8594">
        <v>4600</v>
      </c>
      <c r="I8594" t="s">
        <v>105</v>
      </c>
      <c r="J8594">
        <v>129.12</v>
      </c>
      <c r="K8594">
        <v>24.99</v>
      </c>
      <c r="L8594">
        <v>56568</v>
      </c>
      <c r="M8594" t="s">
        <v>268</v>
      </c>
      <c r="N8594" t="str">
        <f>"1296340     "</f>
        <v xml:space="preserve">1296340     </v>
      </c>
      <c r="O8594">
        <v>230330</v>
      </c>
    </row>
    <row r="8595" spans="1:15" x14ac:dyDescent="0.25">
      <c r="A8595" t="s">
        <v>16</v>
      </c>
      <c r="B8595" t="s">
        <v>3221</v>
      </c>
      <c r="C8595">
        <v>4071</v>
      </c>
      <c r="D8595" t="s">
        <v>3650</v>
      </c>
      <c r="E8595" t="s">
        <v>298</v>
      </c>
      <c r="F8595">
        <v>-35.31</v>
      </c>
      <c r="G8595">
        <v>230329</v>
      </c>
      <c r="H8595">
        <v>4600</v>
      </c>
      <c r="I8595" t="s">
        <v>105</v>
      </c>
      <c r="J8595">
        <v>-43.79</v>
      </c>
      <c r="K8595">
        <v>-8.48</v>
      </c>
      <c r="L8595">
        <v>56568</v>
      </c>
      <c r="M8595" t="s">
        <v>268</v>
      </c>
      <c r="N8595" t="str">
        <f>"1296323     "</f>
        <v xml:space="preserve">1296323     </v>
      </c>
      <c r="O8595">
        <v>230330</v>
      </c>
    </row>
    <row r="8596" spans="1:15" x14ac:dyDescent="0.25">
      <c r="A8596" t="s">
        <v>16</v>
      </c>
      <c r="B8596" t="s">
        <v>3221</v>
      </c>
      <c r="C8596">
        <v>4072</v>
      </c>
      <c r="D8596" t="s">
        <v>3650</v>
      </c>
      <c r="E8596" t="s">
        <v>298</v>
      </c>
      <c r="F8596">
        <v>8.42</v>
      </c>
      <c r="G8596">
        <v>230329</v>
      </c>
      <c r="H8596">
        <v>4600</v>
      </c>
      <c r="I8596" t="s">
        <v>105</v>
      </c>
      <c r="J8596">
        <v>10.44</v>
      </c>
      <c r="K8596">
        <v>2.02</v>
      </c>
      <c r="L8596">
        <v>56568</v>
      </c>
      <c r="M8596" t="s">
        <v>268</v>
      </c>
      <c r="N8596" t="str">
        <f>"1296347     "</f>
        <v xml:space="preserve">1296347     </v>
      </c>
      <c r="O8596">
        <v>230330</v>
      </c>
    </row>
    <row r="8597" spans="1:15" x14ac:dyDescent="0.25">
      <c r="A8597" t="s">
        <v>16</v>
      </c>
      <c r="B8597" t="s">
        <v>3221</v>
      </c>
      <c r="C8597">
        <v>4073</v>
      </c>
      <c r="D8597" t="s">
        <v>3650</v>
      </c>
      <c r="E8597" t="s">
        <v>298</v>
      </c>
      <c r="F8597">
        <v>7.1</v>
      </c>
      <c r="G8597">
        <v>230329</v>
      </c>
      <c r="H8597">
        <v>4600</v>
      </c>
      <c r="I8597" t="s">
        <v>105</v>
      </c>
      <c r="J8597">
        <v>8.8000000000000007</v>
      </c>
      <c r="K8597">
        <v>1.7</v>
      </c>
      <c r="L8597">
        <v>56568</v>
      </c>
      <c r="M8597" t="s">
        <v>268</v>
      </c>
      <c r="N8597" t="str">
        <f>"1296339     "</f>
        <v xml:space="preserve">1296339     </v>
      </c>
      <c r="O8597">
        <v>230330</v>
      </c>
    </row>
    <row r="8598" spans="1:15" x14ac:dyDescent="0.25">
      <c r="A8598" t="s">
        <v>16</v>
      </c>
      <c r="B8598" t="s">
        <v>3221</v>
      </c>
      <c r="C8598">
        <v>4074</v>
      </c>
      <c r="D8598" t="s">
        <v>3650</v>
      </c>
      <c r="E8598" t="s">
        <v>298</v>
      </c>
      <c r="F8598">
        <v>11.5</v>
      </c>
      <c r="G8598">
        <v>230329</v>
      </c>
      <c r="H8598">
        <v>4600</v>
      </c>
      <c r="I8598" t="s">
        <v>105</v>
      </c>
      <c r="J8598">
        <v>14.26</v>
      </c>
      <c r="K8598">
        <v>2.76</v>
      </c>
      <c r="L8598">
        <v>56568</v>
      </c>
      <c r="M8598" t="s">
        <v>268</v>
      </c>
      <c r="N8598" t="str">
        <f>"1296333     "</f>
        <v xml:space="preserve">1296333     </v>
      </c>
      <c r="O8598">
        <v>230330</v>
      </c>
    </row>
    <row r="8599" spans="1:15" x14ac:dyDescent="0.25">
      <c r="A8599" t="s">
        <v>16</v>
      </c>
      <c r="B8599" t="s">
        <v>3221</v>
      </c>
      <c r="C8599">
        <v>4075</v>
      </c>
      <c r="D8599" t="s">
        <v>3650</v>
      </c>
      <c r="E8599" t="s">
        <v>298</v>
      </c>
      <c r="F8599">
        <v>497.8</v>
      </c>
      <c r="G8599">
        <v>230329</v>
      </c>
      <c r="H8599">
        <v>4600</v>
      </c>
      <c r="I8599" t="s">
        <v>105</v>
      </c>
      <c r="J8599">
        <v>617.27</v>
      </c>
      <c r="K8599">
        <v>119.47</v>
      </c>
      <c r="L8599">
        <v>56568</v>
      </c>
      <c r="M8599" t="s">
        <v>268</v>
      </c>
      <c r="N8599" t="str">
        <f>"1296335     "</f>
        <v xml:space="preserve">1296335     </v>
      </c>
      <c r="O8599">
        <v>230330</v>
      </c>
    </row>
    <row r="8600" spans="1:15" x14ac:dyDescent="0.25">
      <c r="A8600" t="s">
        <v>16</v>
      </c>
      <c r="B8600" t="s">
        <v>3221</v>
      </c>
      <c r="C8600">
        <v>4076</v>
      </c>
      <c r="D8600" t="s">
        <v>3650</v>
      </c>
      <c r="E8600" t="s">
        <v>298</v>
      </c>
      <c r="F8600">
        <v>510.08</v>
      </c>
      <c r="G8600">
        <v>230329</v>
      </c>
      <c r="H8600">
        <v>4600</v>
      </c>
      <c r="I8600" t="s">
        <v>105</v>
      </c>
      <c r="J8600">
        <v>632.5</v>
      </c>
      <c r="K8600">
        <v>122.42</v>
      </c>
      <c r="L8600">
        <v>56568</v>
      </c>
      <c r="M8600" t="s">
        <v>268</v>
      </c>
      <c r="N8600" t="str">
        <f>"1296355     "</f>
        <v xml:space="preserve">1296355     </v>
      </c>
      <c r="O8600">
        <v>230330</v>
      </c>
    </row>
    <row r="8601" spans="1:15" x14ac:dyDescent="0.25">
      <c r="A8601" t="s">
        <v>16</v>
      </c>
      <c r="B8601" t="s">
        <v>3221</v>
      </c>
      <c r="C8601">
        <v>4077</v>
      </c>
      <c r="D8601" t="s">
        <v>3650</v>
      </c>
      <c r="E8601" t="s">
        <v>298</v>
      </c>
      <c r="F8601">
        <v>45.23</v>
      </c>
      <c r="G8601">
        <v>230329</v>
      </c>
      <c r="H8601">
        <v>4600</v>
      </c>
      <c r="I8601" t="s">
        <v>105</v>
      </c>
      <c r="J8601">
        <v>56.09</v>
      </c>
      <c r="K8601">
        <v>10.86</v>
      </c>
      <c r="L8601">
        <v>56568</v>
      </c>
      <c r="M8601" t="s">
        <v>268</v>
      </c>
      <c r="N8601" t="str">
        <f>"1296331     "</f>
        <v xml:space="preserve">1296331     </v>
      </c>
      <c r="O8601">
        <v>230330</v>
      </c>
    </row>
    <row r="8602" spans="1:15" x14ac:dyDescent="0.25">
      <c r="A8602" t="s">
        <v>16</v>
      </c>
      <c r="B8602" t="s">
        <v>3221</v>
      </c>
      <c r="C8602">
        <v>4079</v>
      </c>
      <c r="D8602" t="s">
        <v>3650</v>
      </c>
      <c r="E8602" t="s">
        <v>298</v>
      </c>
      <c r="F8602">
        <v>22.02</v>
      </c>
      <c r="G8602">
        <v>230329</v>
      </c>
      <c r="H8602">
        <v>4600</v>
      </c>
      <c r="I8602" t="s">
        <v>105</v>
      </c>
      <c r="J8602">
        <v>27.3</v>
      </c>
      <c r="K8602">
        <v>5.28</v>
      </c>
      <c r="L8602">
        <v>56568</v>
      </c>
      <c r="M8602" t="s">
        <v>268</v>
      </c>
      <c r="N8602" t="str">
        <f>"1296343     "</f>
        <v xml:space="preserve">1296343     </v>
      </c>
      <c r="O8602">
        <v>230330</v>
      </c>
    </row>
    <row r="8603" spans="1:15" x14ac:dyDescent="0.25">
      <c r="A8603" t="s">
        <v>16</v>
      </c>
      <c r="B8603" t="s">
        <v>3221</v>
      </c>
      <c r="C8603">
        <v>4080</v>
      </c>
      <c r="D8603" t="s">
        <v>3650</v>
      </c>
      <c r="E8603" t="s">
        <v>298</v>
      </c>
      <c r="F8603">
        <v>42.98</v>
      </c>
      <c r="G8603">
        <v>230329</v>
      </c>
      <c r="H8603">
        <v>4600</v>
      </c>
      <c r="I8603" t="s">
        <v>105</v>
      </c>
      <c r="J8603">
        <v>53.3</v>
      </c>
      <c r="K8603">
        <v>10.32</v>
      </c>
      <c r="L8603">
        <v>56568</v>
      </c>
      <c r="M8603" t="s">
        <v>268</v>
      </c>
      <c r="N8603" t="str">
        <f>"1296337     "</f>
        <v xml:space="preserve">1296337     </v>
      </c>
      <c r="O8603">
        <v>230330</v>
      </c>
    </row>
    <row r="8604" spans="1:15" x14ac:dyDescent="0.25">
      <c r="A8604" t="s">
        <v>16</v>
      </c>
      <c r="B8604" t="s">
        <v>3221</v>
      </c>
      <c r="C8604">
        <v>4082</v>
      </c>
      <c r="D8604" t="s">
        <v>3650</v>
      </c>
      <c r="E8604" t="s">
        <v>298</v>
      </c>
      <c r="F8604">
        <v>25.45</v>
      </c>
      <c r="G8604">
        <v>230329</v>
      </c>
      <c r="H8604">
        <v>4600</v>
      </c>
      <c r="I8604" t="s">
        <v>105</v>
      </c>
      <c r="J8604">
        <v>31.56</v>
      </c>
      <c r="K8604">
        <v>6.11</v>
      </c>
      <c r="L8604">
        <v>56568</v>
      </c>
      <c r="M8604" t="s">
        <v>268</v>
      </c>
      <c r="N8604" t="str">
        <f>"1296350     "</f>
        <v xml:space="preserve">1296350     </v>
      </c>
      <c r="O8604">
        <v>230330</v>
      </c>
    </row>
    <row r="8605" spans="1:15" x14ac:dyDescent="0.25">
      <c r="A8605" t="s">
        <v>16</v>
      </c>
      <c r="B8605" t="s">
        <v>3221</v>
      </c>
      <c r="C8605">
        <v>4083</v>
      </c>
      <c r="D8605" t="s">
        <v>3650</v>
      </c>
      <c r="E8605" t="s">
        <v>298</v>
      </c>
      <c r="F8605">
        <v>37.11</v>
      </c>
      <c r="G8605">
        <v>230329</v>
      </c>
      <c r="H8605">
        <v>4600</v>
      </c>
      <c r="I8605" t="s">
        <v>105</v>
      </c>
      <c r="J8605">
        <v>46.02</v>
      </c>
      <c r="K8605">
        <v>8.91</v>
      </c>
      <c r="L8605">
        <v>56568</v>
      </c>
      <c r="M8605" t="s">
        <v>268</v>
      </c>
      <c r="N8605" t="str">
        <f>"1296326     "</f>
        <v xml:space="preserve">1296326     </v>
      </c>
      <c r="O8605">
        <v>230330</v>
      </c>
    </row>
    <row r="8606" spans="1:15" x14ac:dyDescent="0.25">
      <c r="A8606" t="s">
        <v>16</v>
      </c>
      <c r="B8606" t="s">
        <v>3221</v>
      </c>
      <c r="C8606">
        <v>4086</v>
      </c>
      <c r="D8606" t="s">
        <v>3650</v>
      </c>
      <c r="E8606" t="s">
        <v>298</v>
      </c>
      <c r="F8606">
        <v>24.11</v>
      </c>
      <c r="G8606">
        <v>230329</v>
      </c>
      <c r="H8606">
        <v>4600</v>
      </c>
      <c r="I8606" t="s">
        <v>105</v>
      </c>
      <c r="J8606">
        <v>29.9</v>
      </c>
      <c r="K8606">
        <v>5.79</v>
      </c>
      <c r="L8606">
        <v>56568</v>
      </c>
      <c r="M8606" t="s">
        <v>268</v>
      </c>
      <c r="N8606" t="str">
        <f>"1296345     "</f>
        <v xml:space="preserve">1296345     </v>
      </c>
      <c r="O8606">
        <v>230330</v>
      </c>
    </row>
    <row r="8607" spans="1:15" x14ac:dyDescent="0.25">
      <c r="A8607" t="s">
        <v>16</v>
      </c>
      <c r="B8607" t="s">
        <v>3221</v>
      </c>
      <c r="C8607">
        <v>4087</v>
      </c>
      <c r="D8607" t="s">
        <v>3650</v>
      </c>
      <c r="E8607" t="s">
        <v>298</v>
      </c>
      <c r="F8607">
        <v>56.62</v>
      </c>
      <c r="G8607">
        <v>230329</v>
      </c>
      <c r="H8607">
        <v>4600</v>
      </c>
      <c r="I8607" t="s">
        <v>105</v>
      </c>
      <c r="J8607">
        <v>70.209999999999994</v>
      </c>
      <c r="K8607">
        <v>13.59</v>
      </c>
      <c r="L8607">
        <v>56568</v>
      </c>
      <c r="M8607" t="s">
        <v>268</v>
      </c>
      <c r="N8607" t="str">
        <f>"1296356     "</f>
        <v xml:space="preserve">1296356     </v>
      </c>
      <c r="O8607">
        <v>230330</v>
      </c>
    </row>
    <row r="8608" spans="1:15" x14ac:dyDescent="0.25">
      <c r="A8608" t="s">
        <v>16</v>
      </c>
      <c r="B8608" t="s">
        <v>3221</v>
      </c>
      <c r="C8608">
        <v>4088</v>
      </c>
      <c r="D8608" t="s">
        <v>3650</v>
      </c>
      <c r="E8608" t="s">
        <v>298</v>
      </c>
      <c r="F8608">
        <v>150</v>
      </c>
      <c r="G8608">
        <v>230329</v>
      </c>
      <c r="H8608">
        <v>4600</v>
      </c>
      <c r="I8608" t="s">
        <v>105</v>
      </c>
      <c r="J8608">
        <v>186</v>
      </c>
      <c r="K8608">
        <v>36</v>
      </c>
      <c r="L8608">
        <v>56568</v>
      </c>
      <c r="M8608" t="s">
        <v>268</v>
      </c>
      <c r="N8608" t="str">
        <f>"1296338     "</f>
        <v xml:space="preserve">1296338     </v>
      </c>
      <c r="O8608">
        <v>230330</v>
      </c>
    </row>
    <row r="8609" spans="1:15" x14ac:dyDescent="0.25">
      <c r="A8609" t="s">
        <v>16</v>
      </c>
      <c r="B8609" t="s">
        <v>3221</v>
      </c>
      <c r="C8609">
        <v>4089</v>
      </c>
      <c r="D8609" t="s">
        <v>3650</v>
      </c>
      <c r="E8609" t="s">
        <v>298</v>
      </c>
      <c r="F8609">
        <v>24.11</v>
      </c>
      <c r="G8609">
        <v>230329</v>
      </c>
      <c r="H8609">
        <v>4600</v>
      </c>
      <c r="I8609" t="s">
        <v>105</v>
      </c>
      <c r="J8609">
        <v>29.9</v>
      </c>
      <c r="K8609">
        <v>5.79</v>
      </c>
      <c r="L8609">
        <v>56568</v>
      </c>
      <c r="M8609" t="s">
        <v>268</v>
      </c>
      <c r="N8609" t="str">
        <f>"1296344     "</f>
        <v xml:space="preserve">1296344     </v>
      </c>
      <c r="O8609">
        <v>230330</v>
      </c>
    </row>
    <row r="8610" spans="1:15" x14ac:dyDescent="0.25">
      <c r="A8610" t="s">
        <v>16</v>
      </c>
      <c r="B8610" t="s">
        <v>3221</v>
      </c>
      <c r="C8610">
        <v>4090</v>
      </c>
      <c r="D8610" t="s">
        <v>3650</v>
      </c>
      <c r="E8610" t="s">
        <v>298</v>
      </c>
      <c r="F8610">
        <v>23.9</v>
      </c>
      <c r="G8610">
        <v>230329</v>
      </c>
      <c r="H8610">
        <v>4600</v>
      </c>
      <c r="I8610" t="s">
        <v>105</v>
      </c>
      <c r="J8610">
        <v>29.64</v>
      </c>
      <c r="K8610">
        <v>5.74</v>
      </c>
      <c r="L8610">
        <v>56568</v>
      </c>
      <c r="M8610" t="s">
        <v>268</v>
      </c>
      <c r="N8610" t="str">
        <f>"1296336     "</f>
        <v xml:space="preserve">1296336     </v>
      </c>
      <c r="O8610">
        <v>230330</v>
      </c>
    </row>
    <row r="8611" spans="1:15" x14ac:dyDescent="0.25">
      <c r="A8611" t="s">
        <v>16</v>
      </c>
      <c r="B8611" t="s">
        <v>3221</v>
      </c>
      <c r="C8611">
        <v>4091</v>
      </c>
      <c r="D8611" t="s">
        <v>3650</v>
      </c>
      <c r="E8611" t="s">
        <v>298</v>
      </c>
      <c r="F8611">
        <v>80.45</v>
      </c>
      <c r="G8611">
        <v>230329</v>
      </c>
      <c r="H8611">
        <v>4600</v>
      </c>
      <c r="I8611" t="s">
        <v>105</v>
      </c>
      <c r="J8611">
        <v>99.76</v>
      </c>
      <c r="K8611">
        <v>19.309999999999999</v>
      </c>
      <c r="L8611">
        <v>56568</v>
      </c>
      <c r="M8611" t="s">
        <v>268</v>
      </c>
      <c r="N8611" t="str">
        <f>"1296328     "</f>
        <v xml:space="preserve">1296328     </v>
      </c>
      <c r="O8611">
        <v>230330</v>
      </c>
    </row>
    <row r="8612" spans="1:15" x14ac:dyDescent="0.25">
      <c r="A8612" t="s">
        <v>16</v>
      </c>
      <c r="B8612" t="s">
        <v>3221</v>
      </c>
      <c r="C8612">
        <v>4092</v>
      </c>
      <c r="D8612" t="s">
        <v>3650</v>
      </c>
      <c r="E8612" t="s">
        <v>298</v>
      </c>
      <c r="F8612">
        <v>24.11</v>
      </c>
      <c r="G8612">
        <v>230329</v>
      </c>
      <c r="H8612">
        <v>4600</v>
      </c>
      <c r="I8612" t="s">
        <v>105</v>
      </c>
      <c r="J8612">
        <v>29.9</v>
      </c>
      <c r="K8612">
        <v>5.79</v>
      </c>
      <c r="L8612">
        <v>56568</v>
      </c>
      <c r="M8612" t="s">
        <v>268</v>
      </c>
      <c r="N8612" t="str">
        <f>"1296342     "</f>
        <v xml:space="preserve">1296342     </v>
      </c>
      <c r="O8612">
        <v>230330</v>
      </c>
    </row>
    <row r="8613" spans="1:15" x14ac:dyDescent="0.25">
      <c r="A8613" t="s">
        <v>16</v>
      </c>
      <c r="B8613" t="s">
        <v>3221</v>
      </c>
      <c r="C8613">
        <v>4093</v>
      </c>
      <c r="D8613" t="s">
        <v>3650</v>
      </c>
      <c r="E8613" t="s">
        <v>298</v>
      </c>
      <c r="F8613">
        <v>774.19</v>
      </c>
      <c r="G8613">
        <v>230329</v>
      </c>
      <c r="H8613">
        <v>4600</v>
      </c>
      <c r="I8613" t="s">
        <v>105</v>
      </c>
      <c r="J8613">
        <v>960</v>
      </c>
      <c r="K8613">
        <v>185.81</v>
      </c>
      <c r="L8613">
        <v>56568</v>
      </c>
      <c r="M8613" t="s">
        <v>268</v>
      </c>
      <c r="N8613" t="str">
        <f>"1296349     "</f>
        <v xml:space="preserve">1296349     </v>
      </c>
      <c r="O8613">
        <v>230330</v>
      </c>
    </row>
    <row r="8614" spans="1:15" x14ac:dyDescent="0.25">
      <c r="A8614" t="s">
        <v>16</v>
      </c>
      <c r="B8614" t="s">
        <v>3221</v>
      </c>
      <c r="C8614">
        <v>4094</v>
      </c>
      <c r="D8614" t="s">
        <v>3650</v>
      </c>
      <c r="E8614" t="s">
        <v>298</v>
      </c>
      <c r="F8614">
        <v>7</v>
      </c>
      <c r="G8614">
        <v>230329</v>
      </c>
      <c r="H8614">
        <v>4600</v>
      </c>
      <c r="I8614" t="s">
        <v>105</v>
      </c>
      <c r="J8614">
        <v>8.68</v>
      </c>
      <c r="K8614">
        <v>1.68</v>
      </c>
      <c r="L8614">
        <v>56568</v>
      </c>
      <c r="M8614" t="s">
        <v>268</v>
      </c>
      <c r="N8614" t="str">
        <f>"1296346     "</f>
        <v xml:space="preserve">1296346     </v>
      </c>
      <c r="O8614">
        <v>230330</v>
      </c>
    </row>
    <row r="8615" spans="1:15" x14ac:dyDescent="0.25">
      <c r="A8615" t="s">
        <v>16</v>
      </c>
      <c r="B8615" t="s">
        <v>3221</v>
      </c>
      <c r="C8615">
        <v>4095</v>
      </c>
      <c r="D8615" t="s">
        <v>3650</v>
      </c>
      <c r="E8615" t="s">
        <v>298</v>
      </c>
      <c r="F8615">
        <v>9.39</v>
      </c>
      <c r="G8615">
        <v>230329</v>
      </c>
      <c r="H8615">
        <v>4600</v>
      </c>
      <c r="I8615" t="s">
        <v>105</v>
      </c>
      <c r="J8615">
        <v>11.64</v>
      </c>
      <c r="K8615">
        <v>2.25</v>
      </c>
      <c r="L8615">
        <v>56568</v>
      </c>
      <c r="M8615" t="s">
        <v>268</v>
      </c>
      <c r="N8615" t="str">
        <f>"1296341     "</f>
        <v xml:space="preserve">1296341     </v>
      </c>
      <c r="O8615">
        <v>230330</v>
      </c>
    </row>
    <row r="8616" spans="1:15" x14ac:dyDescent="0.25">
      <c r="A8616" t="s">
        <v>16</v>
      </c>
      <c r="B8616" t="s">
        <v>3221</v>
      </c>
      <c r="C8616">
        <v>4129</v>
      </c>
      <c r="D8616" t="s">
        <v>3650</v>
      </c>
      <c r="E8616" t="s">
        <v>298</v>
      </c>
      <c r="F8616">
        <v>20.69</v>
      </c>
      <c r="G8616">
        <v>230329</v>
      </c>
      <c r="H8616">
        <v>4600</v>
      </c>
      <c r="I8616" t="s">
        <v>105</v>
      </c>
      <c r="J8616">
        <v>25.65</v>
      </c>
      <c r="K8616">
        <v>4.96</v>
      </c>
      <c r="L8616">
        <v>59501</v>
      </c>
      <c r="M8616" t="s">
        <v>69</v>
      </c>
      <c r="N8616" t="str">
        <f>"1296321     "</f>
        <v xml:space="preserve">1296321     </v>
      </c>
      <c r="O8616">
        <v>230330</v>
      </c>
    </row>
    <row r="8617" spans="1:15" x14ac:dyDescent="0.25">
      <c r="A8617" t="s">
        <v>16</v>
      </c>
      <c r="B8617" t="s">
        <v>3221</v>
      </c>
      <c r="C8617">
        <v>4130</v>
      </c>
      <c r="D8617" t="s">
        <v>3650</v>
      </c>
      <c r="E8617" t="s">
        <v>298</v>
      </c>
      <c r="F8617">
        <v>12.84</v>
      </c>
      <c r="G8617">
        <v>230329</v>
      </c>
      <c r="H8617">
        <v>4600</v>
      </c>
      <c r="I8617" t="s">
        <v>105</v>
      </c>
      <c r="J8617">
        <v>15.92</v>
      </c>
      <c r="K8617">
        <v>3.08</v>
      </c>
      <c r="L8617">
        <v>59504</v>
      </c>
      <c r="M8617" t="s">
        <v>71</v>
      </c>
      <c r="N8617" t="str">
        <f>"1296325     "</f>
        <v xml:space="preserve">1296325     </v>
      </c>
      <c r="O8617">
        <v>230330</v>
      </c>
    </row>
    <row r="8618" spans="1:15" x14ac:dyDescent="0.25">
      <c r="A8618" t="s">
        <v>16</v>
      </c>
      <c r="B8618" t="s">
        <v>3221</v>
      </c>
      <c r="C8618">
        <v>4198</v>
      </c>
      <c r="D8618" t="s">
        <v>3650</v>
      </c>
      <c r="E8618" t="s">
        <v>298</v>
      </c>
      <c r="F8618">
        <v>13.81</v>
      </c>
      <c r="G8618">
        <v>230329</v>
      </c>
      <c r="H8618">
        <v>4600</v>
      </c>
      <c r="I8618" t="s">
        <v>105</v>
      </c>
      <c r="J8618">
        <v>17.12</v>
      </c>
      <c r="K8618">
        <v>3.31</v>
      </c>
      <c r="L8618">
        <v>56528</v>
      </c>
      <c r="M8618" t="s">
        <v>153</v>
      </c>
      <c r="N8618" t="str">
        <f>"1296329     "</f>
        <v xml:space="preserve">1296329     </v>
      </c>
      <c r="O8618">
        <v>230331</v>
      </c>
    </row>
    <row r="8619" spans="1:15" x14ac:dyDescent="0.25">
      <c r="A8619" t="s">
        <v>16</v>
      </c>
      <c r="B8619" t="s">
        <v>3221</v>
      </c>
      <c r="C8619">
        <v>4834</v>
      </c>
      <c r="D8619" t="s">
        <v>3650</v>
      </c>
      <c r="E8619" t="s">
        <v>298</v>
      </c>
      <c r="F8619">
        <v>45.97</v>
      </c>
      <c r="G8619">
        <v>230329</v>
      </c>
      <c r="H8619">
        <v>4600</v>
      </c>
      <c r="I8619" t="s">
        <v>105</v>
      </c>
      <c r="J8619">
        <v>57</v>
      </c>
      <c r="K8619">
        <v>11.03</v>
      </c>
      <c r="L8619">
        <v>56565</v>
      </c>
      <c r="M8619" t="s">
        <v>758</v>
      </c>
      <c r="N8619" t="str">
        <f>"1296324     "</f>
        <v xml:space="preserve">1296324     </v>
      </c>
      <c r="O8619">
        <v>230413</v>
      </c>
    </row>
    <row r="8620" spans="1:15" x14ac:dyDescent="0.25">
      <c r="A8620" t="s">
        <v>16</v>
      </c>
      <c r="B8620" t="s">
        <v>3221</v>
      </c>
      <c r="C8620">
        <v>4834</v>
      </c>
      <c r="D8620" t="s">
        <v>3650</v>
      </c>
      <c r="E8620" t="s">
        <v>298</v>
      </c>
      <c r="F8620">
        <v>3.45</v>
      </c>
      <c r="G8620">
        <v>230329</v>
      </c>
      <c r="H8620">
        <v>4600</v>
      </c>
      <c r="I8620" t="s">
        <v>105</v>
      </c>
      <c r="J8620">
        <v>4.28</v>
      </c>
      <c r="K8620">
        <v>0.83</v>
      </c>
      <c r="L8620">
        <v>56570</v>
      </c>
      <c r="M8620" t="s">
        <v>1561</v>
      </c>
      <c r="N8620" t="str">
        <f>"1296324     "</f>
        <v xml:space="preserve">1296324     </v>
      </c>
      <c r="O8620">
        <v>230413</v>
      </c>
    </row>
    <row r="8621" spans="1:15" x14ac:dyDescent="0.25">
      <c r="A8621" t="s">
        <v>16</v>
      </c>
      <c r="B8621" t="s">
        <v>3221</v>
      </c>
      <c r="C8621">
        <v>5100</v>
      </c>
      <c r="D8621" t="s">
        <v>3650</v>
      </c>
      <c r="E8621" t="s">
        <v>298</v>
      </c>
      <c r="F8621">
        <v>5.26</v>
      </c>
      <c r="G8621">
        <v>230413</v>
      </c>
      <c r="H8621">
        <v>4600</v>
      </c>
      <c r="I8621" t="s">
        <v>105</v>
      </c>
      <c r="J8621">
        <v>6.52</v>
      </c>
      <c r="K8621">
        <v>1.26</v>
      </c>
      <c r="L8621">
        <v>56573</v>
      </c>
      <c r="M8621" t="s">
        <v>521</v>
      </c>
      <c r="N8621" t="str">
        <f>"1297837     "</f>
        <v xml:space="preserve">1297837     </v>
      </c>
      <c r="O8621">
        <v>230418</v>
      </c>
    </row>
    <row r="8622" spans="1:15" x14ac:dyDescent="0.25">
      <c r="A8622" t="s">
        <v>16</v>
      </c>
      <c r="B8622" t="s">
        <v>3221</v>
      </c>
      <c r="C8622">
        <v>5101</v>
      </c>
      <c r="D8622" t="s">
        <v>3650</v>
      </c>
      <c r="E8622" t="s">
        <v>298</v>
      </c>
      <c r="F8622">
        <v>29.03</v>
      </c>
      <c r="G8622">
        <v>230413</v>
      </c>
      <c r="H8622">
        <v>4600</v>
      </c>
      <c r="I8622" t="s">
        <v>105</v>
      </c>
      <c r="J8622">
        <v>36</v>
      </c>
      <c r="K8622">
        <v>6.97</v>
      </c>
      <c r="L8622">
        <v>59504</v>
      </c>
      <c r="M8622" t="s">
        <v>71</v>
      </c>
      <c r="N8622" t="str">
        <f>"1297842     "</f>
        <v xml:space="preserve">1297842     </v>
      </c>
      <c r="O8622">
        <v>230418</v>
      </c>
    </row>
    <row r="8623" spans="1:15" x14ac:dyDescent="0.25">
      <c r="A8623" t="s">
        <v>16</v>
      </c>
      <c r="B8623" t="s">
        <v>3221</v>
      </c>
      <c r="C8623">
        <v>5103</v>
      </c>
      <c r="D8623" t="s">
        <v>3650</v>
      </c>
      <c r="E8623" t="s">
        <v>298</v>
      </c>
      <c r="F8623">
        <v>2.12</v>
      </c>
      <c r="G8623">
        <v>230413</v>
      </c>
      <c r="H8623">
        <v>4600</v>
      </c>
      <c r="I8623" t="s">
        <v>105</v>
      </c>
      <c r="J8623">
        <v>2.63</v>
      </c>
      <c r="K8623">
        <v>0.51</v>
      </c>
      <c r="L8623">
        <v>56565</v>
      </c>
      <c r="M8623" t="s">
        <v>758</v>
      </c>
      <c r="N8623" t="str">
        <f>"1297854     "</f>
        <v xml:space="preserve">1297854     </v>
      </c>
      <c r="O8623">
        <v>230418</v>
      </c>
    </row>
    <row r="8624" spans="1:15" x14ac:dyDescent="0.25">
      <c r="A8624" t="s">
        <v>16</v>
      </c>
      <c r="B8624" t="s">
        <v>3221</v>
      </c>
      <c r="C8624">
        <v>5106</v>
      </c>
      <c r="D8624" t="s">
        <v>3650</v>
      </c>
      <c r="E8624" t="s">
        <v>298</v>
      </c>
      <c r="F8624">
        <v>5.74</v>
      </c>
      <c r="G8624">
        <v>230413</v>
      </c>
      <c r="H8624">
        <v>4600</v>
      </c>
      <c r="I8624" t="s">
        <v>105</v>
      </c>
      <c r="J8624">
        <v>7.12</v>
      </c>
      <c r="K8624">
        <v>1.38</v>
      </c>
      <c r="L8624">
        <v>59504</v>
      </c>
      <c r="M8624" t="s">
        <v>71</v>
      </c>
      <c r="N8624" t="str">
        <f>"1297840     "</f>
        <v xml:space="preserve">1297840     </v>
      </c>
      <c r="O8624">
        <v>230418</v>
      </c>
    </row>
    <row r="8625" spans="1:15" x14ac:dyDescent="0.25">
      <c r="A8625" t="s">
        <v>16</v>
      </c>
      <c r="B8625" t="s">
        <v>3221</v>
      </c>
      <c r="C8625">
        <v>5167</v>
      </c>
      <c r="D8625" t="s">
        <v>3650</v>
      </c>
      <c r="E8625" t="s">
        <v>298</v>
      </c>
      <c r="F8625">
        <v>35.479999999999997</v>
      </c>
      <c r="G8625">
        <v>230314</v>
      </c>
      <c r="H8625">
        <v>4600</v>
      </c>
      <c r="I8625" t="s">
        <v>105</v>
      </c>
      <c r="J8625">
        <v>44</v>
      </c>
      <c r="K8625">
        <v>8.52</v>
      </c>
      <c r="L8625">
        <v>56568</v>
      </c>
      <c r="M8625" t="s">
        <v>268</v>
      </c>
      <c r="N8625" t="str">
        <f>"1295331     "</f>
        <v xml:space="preserve">1295331     </v>
      </c>
      <c r="O8625">
        <v>230418</v>
      </c>
    </row>
    <row r="8626" spans="1:15" x14ac:dyDescent="0.25">
      <c r="A8626" t="s">
        <v>16</v>
      </c>
      <c r="B8626" t="s">
        <v>3221</v>
      </c>
      <c r="C8626">
        <v>5169</v>
      </c>
      <c r="D8626" t="s">
        <v>3650</v>
      </c>
      <c r="E8626" t="s">
        <v>298</v>
      </c>
      <c r="F8626">
        <v>28.52</v>
      </c>
      <c r="G8626">
        <v>230314</v>
      </c>
      <c r="H8626">
        <v>4600</v>
      </c>
      <c r="I8626" t="s">
        <v>105</v>
      </c>
      <c r="J8626">
        <v>35.369999999999997</v>
      </c>
      <c r="K8626">
        <v>6.85</v>
      </c>
      <c r="L8626">
        <v>56568</v>
      </c>
      <c r="M8626" t="s">
        <v>268</v>
      </c>
      <c r="N8626" t="str">
        <f>"1295338     "</f>
        <v xml:space="preserve">1295338     </v>
      </c>
      <c r="O8626">
        <v>230418</v>
      </c>
    </row>
    <row r="8627" spans="1:15" x14ac:dyDescent="0.25">
      <c r="A8627" t="s">
        <v>16</v>
      </c>
      <c r="B8627" t="s">
        <v>3221</v>
      </c>
      <c r="C8627">
        <v>5170</v>
      </c>
      <c r="D8627" t="s">
        <v>3650</v>
      </c>
      <c r="E8627" t="s">
        <v>298</v>
      </c>
      <c r="F8627">
        <v>78.81</v>
      </c>
      <c r="G8627">
        <v>230314</v>
      </c>
      <c r="H8627">
        <v>4600</v>
      </c>
      <c r="I8627" t="s">
        <v>105</v>
      </c>
      <c r="J8627">
        <v>97.72</v>
      </c>
      <c r="K8627">
        <v>18.91</v>
      </c>
      <c r="L8627">
        <v>56568</v>
      </c>
      <c r="M8627" t="s">
        <v>268</v>
      </c>
      <c r="N8627" t="str">
        <f>"1295332     "</f>
        <v xml:space="preserve">1295332     </v>
      </c>
      <c r="O8627">
        <v>230418</v>
      </c>
    </row>
    <row r="8628" spans="1:15" x14ac:dyDescent="0.25">
      <c r="A8628" t="s">
        <v>16</v>
      </c>
      <c r="B8628" t="s">
        <v>3221</v>
      </c>
      <c r="C8628">
        <v>5171</v>
      </c>
      <c r="D8628" t="s">
        <v>3650</v>
      </c>
      <c r="E8628" t="s">
        <v>298</v>
      </c>
      <c r="F8628">
        <v>54.3</v>
      </c>
      <c r="G8628">
        <v>230314</v>
      </c>
      <c r="H8628">
        <v>4600</v>
      </c>
      <c r="I8628" t="s">
        <v>105</v>
      </c>
      <c r="J8628">
        <v>67.33</v>
      </c>
      <c r="K8628">
        <v>13.03</v>
      </c>
      <c r="L8628">
        <v>56568</v>
      </c>
      <c r="M8628" t="s">
        <v>268</v>
      </c>
      <c r="N8628" t="str">
        <f>"1295342     "</f>
        <v xml:space="preserve">1295342     </v>
      </c>
      <c r="O8628">
        <v>230418</v>
      </c>
    </row>
    <row r="8629" spans="1:15" x14ac:dyDescent="0.25">
      <c r="A8629" t="s">
        <v>16</v>
      </c>
      <c r="B8629" t="s">
        <v>3221</v>
      </c>
      <c r="C8629">
        <v>5172</v>
      </c>
      <c r="D8629" t="s">
        <v>3650</v>
      </c>
      <c r="E8629" t="s">
        <v>298</v>
      </c>
      <c r="F8629">
        <v>-39.479999999999997</v>
      </c>
      <c r="G8629">
        <v>230314</v>
      </c>
      <c r="H8629">
        <v>4600</v>
      </c>
      <c r="I8629" t="s">
        <v>105</v>
      </c>
      <c r="J8629">
        <v>-48.96</v>
      </c>
      <c r="K8629">
        <v>-9.48</v>
      </c>
      <c r="L8629">
        <v>56568</v>
      </c>
      <c r="M8629" t="s">
        <v>268</v>
      </c>
      <c r="N8629" t="str">
        <f>"1295333     "</f>
        <v xml:space="preserve">1295333     </v>
      </c>
      <c r="O8629">
        <v>230418</v>
      </c>
    </row>
    <row r="8630" spans="1:15" x14ac:dyDescent="0.25">
      <c r="A8630" t="s">
        <v>16</v>
      </c>
      <c r="B8630" t="s">
        <v>3221</v>
      </c>
      <c r="C8630">
        <v>5173</v>
      </c>
      <c r="D8630" t="s">
        <v>3650</v>
      </c>
      <c r="E8630" t="s">
        <v>298</v>
      </c>
      <c r="F8630">
        <v>16.05</v>
      </c>
      <c r="G8630">
        <v>230314</v>
      </c>
      <c r="H8630">
        <v>4600</v>
      </c>
      <c r="I8630" t="s">
        <v>105</v>
      </c>
      <c r="J8630">
        <v>19.899999999999999</v>
      </c>
      <c r="K8630">
        <v>3.85</v>
      </c>
      <c r="L8630">
        <v>56568</v>
      </c>
      <c r="M8630" t="s">
        <v>268</v>
      </c>
      <c r="N8630" t="str">
        <f>"1295327     "</f>
        <v xml:space="preserve">1295327     </v>
      </c>
      <c r="O8630">
        <v>230418</v>
      </c>
    </row>
    <row r="8631" spans="1:15" x14ac:dyDescent="0.25">
      <c r="A8631" t="s">
        <v>16</v>
      </c>
      <c r="B8631" t="s">
        <v>3221</v>
      </c>
      <c r="C8631">
        <v>5174</v>
      </c>
      <c r="D8631" t="s">
        <v>3650</v>
      </c>
      <c r="E8631" t="s">
        <v>298</v>
      </c>
      <c r="F8631">
        <v>10.9</v>
      </c>
      <c r="G8631">
        <v>230314</v>
      </c>
      <c r="H8631">
        <v>4600</v>
      </c>
      <c r="I8631" t="s">
        <v>105</v>
      </c>
      <c r="J8631">
        <v>13.52</v>
      </c>
      <c r="K8631">
        <v>2.62</v>
      </c>
      <c r="L8631">
        <v>56568</v>
      </c>
      <c r="M8631" t="s">
        <v>268</v>
      </c>
      <c r="N8631" t="str">
        <f>"1295328     "</f>
        <v xml:space="preserve">1295328     </v>
      </c>
      <c r="O8631">
        <v>230418</v>
      </c>
    </row>
    <row r="8632" spans="1:15" x14ac:dyDescent="0.25">
      <c r="A8632" t="s">
        <v>16</v>
      </c>
      <c r="B8632" t="s">
        <v>3221</v>
      </c>
      <c r="C8632">
        <v>5177</v>
      </c>
      <c r="D8632" t="s">
        <v>3650</v>
      </c>
      <c r="E8632" t="s">
        <v>298</v>
      </c>
      <c r="F8632">
        <v>49.32</v>
      </c>
      <c r="G8632">
        <v>230314</v>
      </c>
      <c r="H8632">
        <v>4600</v>
      </c>
      <c r="I8632" t="s">
        <v>105</v>
      </c>
      <c r="J8632">
        <v>61.16</v>
      </c>
      <c r="K8632">
        <v>11.84</v>
      </c>
      <c r="L8632">
        <v>56568</v>
      </c>
      <c r="M8632" t="s">
        <v>268</v>
      </c>
      <c r="N8632" t="str">
        <f>"1295335     "</f>
        <v xml:space="preserve">1295335     </v>
      </c>
      <c r="O8632">
        <v>230418</v>
      </c>
    </row>
    <row r="8633" spans="1:15" x14ac:dyDescent="0.25">
      <c r="A8633" t="s">
        <v>16</v>
      </c>
      <c r="B8633" t="s">
        <v>3221</v>
      </c>
      <c r="C8633">
        <v>5178</v>
      </c>
      <c r="D8633" t="s">
        <v>3650</v>
      </c>
      <c r="E8633" t="s">
        <v>298</v>
      </c>
      <c r="F8633">
        <v>27.78</v>
      </c>
      <c r="G8633">
        <v>230314</v>
      </c>
      <c r="H8633">
        <v>4600</v>
      </c>
      <c r="I8633" t="s">
        <v>105</v>
      </c>
      <c r="J8633">
        <v>34.450000000000003</v>
      </c>
      <c r="K8633">
        <v>6.67</v>
      </c>
      <c r="L8633">
        <v>56568</v>
      </c>
      <c r="M8633" t="s">
        <v>268</v>
      </c>
      <c r="N8633" t="str">
        <f>"1295326     "</f>
        <v xml:space="preserve">1295326     </v>
      </c>
      <c r="O8633">
        <v>230418</v>
      </c>
    </row>
    <row r="8634" spans="1:15" x14ac:dyDescent="0.25">
      <c r="A8634" t="s">
        <v>16</v>
      </c>
      <c r="B8634" t="s">
        <v>3221</v>
      </c>
      <c r="C8634">
        <v>5179</v>
      </c>
      <c r="D8634" t="s">
        <v>3650</v>
      </c>
      <c r="E8634" t="s">
        <v>298</v>
      </c>
      <c r="F8634">
        <v>8.6999999999999993</v>
      </c>
      <c r="G8634">
        <v>230314</v>
      </c>
      <c r="H8634">
        <v>4600</v>
      </c>
      <c r="I8634" t="s">
        <v>105</v>
      </c>
      <c r="J8634">
        <v>10.79</v>
      </c>
      <c r="K8634">
        <v>2.09</v>
      </c>
      <c r="L8634">
        <v>56568</v>
      </c>
      <c r="M8634" t="s">
        <v>268</v>
      </c>
      <c r="N8634" t="str">
        <f>"1295341     "</f>
        <v xml:space="preserve">1295341     </v>
      </c>
      <c r="O8634">
        <v>230418</v>
      </c>
    </row>
    <row r="8635" spans="1:15" x14ac:dyDescent="0.25">
      <c r="A8635" t="s">
        <v>16</v>
      </c>
      <c r="B8635" t="s">
        <v>3221</v>
      </c>
      <c r="C8635">
        <v>5183</v>
      </c>
      <c r="D8635" t="s">
        <v>3650</v>
      </c>
      <c r="E8635" t="s">
        <v>298</v>
      </c>
      <c r="F8635">
        <v>21.95</v>
      </c>
      <c r="G8635">
        <v>230413</v>
      </c>
      <c r="H8635">
        <v>4600</v>
      </c>
      <c r="I8635" t="s">
        <v>105</v>
      </c>
      <c r="J8635">
        <v>27.22</v>
      </c>
      <c r="K8635">
        <v>5.27</v>
      </c>
      <c r="L8635">
        <v>56568</v>
      </c>
      <c r="M8635" t="s">
        <v>268</v>
      </c>
      <c r="N8635" t="str">
        <f>"1297843     "</f>
        <v xml:space="preserve">1297843     </v>
      </c>
      <c r="O8635">
        <v>230418</v>
      </c>
    </row>
    <row r="8636" spans="1:15" x14ac:dyDescent="0.25">
      <c r="A8636" t="s">
        <v>16</v>
      </c>
      <c r="B8636" t="s">
        <v>3221</v>
      </c>
      <c r="C8636">
        <v>5184</v>
      </c>
      <c r="D8636" t="s">
        <v>3650</v>
      </c>
      <c r="E8636" t="s">
        <v>298</v>
      </c>
      <c r="F8636">
        <v>16.5</v>
      </c>
      <c r="G8636">
        <v>230413</v>
      </c>
      <c r="H8636">
        <v>4600</v>
      </c>
      <c r="I8636" t="s">
        <v>105</v>
      </c>
      <c r="J8636">
        <v>20.46</v>
      </c>
      <c r="K8636">
        <v>3.96</v>
      </c>
      <c r="L8636">
        <v>56568</v>
      </c>
      <c r="M8636" t="s">
        <v>268</v>
      </c>
      <c r="N8636" t="str">
        <f>"1297853     "</f>
        <v xml:space="preserve">1297853     </v>
      </c>
      <c r="O8636">
        <v>230418</v>
      </c>
    </row>
    <row r="8637" spans="1:15" x14ac:dyDescent="0.25">
      <c r="A8637" t="s">
        <v>16</v>
      </c>
      <c r="B8637" t="s">
        <v>3221</v>
      </c>
      <c r="C8637">
        <v>5185</v>
      </c>
      <c r="D8637" t="s">
        <v>3650</v>
      </c>
      <c r="E8637" t="s">
        <v>298</v>
      </c>
      <c r="F8637">
        <v>47.37</v>
      </c>
      <c r="G8637">
        <v>230413</v>
      </c>
      <c r="H8637">
        <v>4600</v>
      </c>
      <c r="I8637" t="s">
        <v>105</v>
      </c>
      <c r="J8637">
        <v>58.74</v>
      </c>
      <c r="K8637">
        <v>11.37</v>
      </c>
      <c r="L8637">
        <v>56568</v>
      </c>
      <c r="M8637" t="s">
        <v>268</v>
      </c>
      <c r="N8637" t="str">
        <f>"1297855     "</f>
        <v xml:space="preserve">1297855     </v>
      </c>
      <c r="O8637">
        <v>230418</v>
      </c>
    </row>
    <row r="8638" spans="1:15" x14ac:dyDescent="0.25">
      <c r="A8638" t="s">
        <v>16</v>
      </c>
      <c r="B8638" t="s">
        <v>3221</v>
      </c>
      <c r="C8638">
        <v>5186</v>
      </c>
      <c r="D8638" t="s">
        <v>3650</v>
      </c>
      <c r="E8638" t="s">
        <v>298</v>
      </c>
      <c r="F8638">
        <v>124.1</v>
      </c>
      <c r="G8638">
        <v>230413</v>
      </c>
      <c r="H8638">
        <v>4600</v>
      </c>
      <c r="I8638" t="s">
        <v>105</v>
      </c>
      <c r="J8638">
        <v>153.88999999999999</v>
      </c>
      <c r="K8638">
        <v>29.79</v>
      </c>
      <c r="L8638">
        <v>56568</v>
      </c>
      <c r="M8638" t="s">
        <v>268</v>
      </c>
      <c r="N8638" t="str">
        <f>"1297844     "</f>
        <v xml:space="preserve">1297844     </v>
      </c>
      <c r="O8638">
        <v>230418</v>
      </c>
    </row>
    <row r="8639" spans="1:15" x14ac:dyDescent="0.25">
      <c r="A8639" t="s">
        <v>16</v>
      </c>
      <c r="B8639" t="s">
        <v>3221</v>
      </c>
      <c r="C8639">
        <v>5191</v>
      </c>
      <c r="D8639" t="s">
        <v>3650</v>
      </c>
      <c r="E8639" t="s">
        <v>298</v>
      </c>
      <c r="F8639">
        <v>37.5</v>
      </c>
      <c r="G8639">
        <v>230413</v>
      </c>
      <c r="H8639">
        <v>4600</v>
      </c>
      <c r="I8639" t="s">
        <v>105</v>
      </c>
      <c r="J8639">
        <v>46.5</v>
      </c>
      <c r="K8639">
        <v>9</v>
      </c>
      <c r="L8639">
        <v>56568</v>
      </c>
      <c r="M8639" t="s">
        <v>268</v>
      </c>
      <c r="N8639" t="str">
        <f>"1297838     "</f>
        <v xml:space="preserve">1297838     </v>
      </c>
      <c r="O8639">
        <v>230419</v>
      </c>
    </row>
    <row r="8640" spans="1:15" x14ac:dyDescent="0.25">
      <c r="A8640" t="s">
        <v>16</v>
      </c>
      <c r="B8640" t="s">
        <v>3221</v>
      </c>
      <c r="C8640">
        <v>5199</v>
      </c>
      <c r="D8640" t="s">
        <v>3650</v>
      </c>
      <c r="E8640" t="s">
        <v>298</v>
      </c>
      <c r="F8640">
        <v>3.16</v>
      </c>
      <c r="G8640">
        <v>230413</v>
      </c>
      <c r="H8640">
        <v>4600</v>
      </c>
      <c r="I8640" t="s">
        <v>105</v>
      </c>
      <c r="J8640">
        <v>3.92</v>
      </c>
      <c r="K8640">
        <v>0.76</v>
      </c>
      <c r="L8640">
        <v>56568</v>
      </c>
      <c r="M8640" t="s">
        <v>268</v>
      </c>
      <c r="N8640" t="str">
        <f>"1297846     "</f>
        <v xml:space="preserve">1297846     </v>
      </c>
      <c r="O8640">
        <v>230419</v>
      </c>
    </row>
    <row r="8641" spans="1:15" x14ac:dyDescent="0.25">
      <c r="A8641" t="s">
        <v>16</v>
      </c>
      <c r="B8641" t="s">
        <v>3221</v>
      </c>
      <c r="C8641">
        <v>5223</v>
      </c>
      <c r="D8641" t="s">
        <v>3650</v>
      </c>
      <c r="E8641" t="s">
        <v>298</v>
      </c>
      <c r="F8641">
        <v>-28.65</v>
      </c>
      <c r="G8641">
        <v>230413</v>
      </c>
      <c r="H8641">
        <v>4600</v>
      </c>
      <c r="I8641" t="s">
        <v>105</v>
      </c>
      <c r="J8641">
        <v>-35.53</v>
      </c>
      <c r="K8641">
        <v>-6.88</v>
      </c>
      <c r="L8641">
        <v>56568</v>
      </c>
      <c r="M8641" t="s">
        <v>268</v>
      </c>
      <c r="N8641" t="str">
        <f>"1297835     "</f>
        <v xml:space="preserve">1297835     </v>
      </c>
      <c r="O8641">
        <v>230419</v>
      </c>
    </row>
    <row r="8642" spans="1:15" x14ac:dyDescent="0.25">
      <c r="A8642" t="s">
        <v>16</v>
      </c>
      <c r="B8642" t="s">
        <v>3221</v>
      </c>
      <c r="C8642">
        <v>5224</v>
      </c>
      <c r="D8642" t="s">
        <v>3650</v>
      </c>
      <c r="E8642" t="s">
        <v>298</v>
      </c>
      <c r="F8642">
        <v>-9.4</v>
      </c>
      <c r="G8642">
        <v>230413</v>
      </c>
      <c r="H8642">
        <v>4600</v>
      </c>
      <c r="I8642" t="s">
        <v>105</v>
      </c>
      <c r="J8642">
        <v>-11.65</v>
      </c>
      <c r="K8642">
        <v>-2.25</v>
      </c>
      <c r="L8642">
        <v>56568</v>
      </c>
      <c r="M8642" t="s">
        <v>268</v>
      </c>
      <c r="N8642" t="str">
        <f>"1297833     "</f>
        <v xml:space="preserve">1297833     </v>
      </c>
      <c r="O8642">
        <v>230419</v>
      </c>
    </row>
    <row r="8643" spans="1:15" x14ac:dyDescent="0.25">
      <c r="A8643" t="s">
        <v>16</v>
      </c>
      <c r="B8643" t="s">
        <v>3221</v>
      </c>
      <c r="C8643">
        <v>5225</v>
      </c>
      <c r="D8643" t="s">
        <v>3650</v>
      </c>
      <c r="E8643" t="s">
        <v>298</v>
      </c>
      <c r="F8643">
        <v>-80.45</v>
      </c>
      <c r="G8643">
        <v>230413</v>
      </c>
      <c r="H8643">
        <v>4600</v>
      </c>
      <c r="I8643" t="s">
        <v>105</v>
      </c>
      <c r="J8643">
        <v>-99.76</v>
      </c>
      <c r="K8643">
        <v>-19.309999999999999</v>
      </c>
      <c r="L8643">
        <v>56568</v>
      </c>
      <c r="M8643" t="s">
        <v>268</v>
      </c>
      <c r="N8643" t="str">
        <f>"1297834     "</f>
        <v xml:space="preserve">1297834     </v>
      </c>
      <c r="O8643">
        <v>230419</v>
      </c>
    </row>
    <row r="8644" spans="1:15" x14ac:dyDescent="0.25">
      <c r="A8644" t="s">
        <v>16</v>
      </c>
      <c r="B8644" t="s">
        <v>3221</v>
      </c>
      <c r="C8644">
        <v>5228</v>
      </c>
      <c r="D8644" t="s">
        <v>3650</v>
      </c>
      <c r="E8644" t="s">
        <v>298</v>
      </c>
      <c r="F8644">
        <v>64.209999999999994</v>
      </c>
      <c r="G8644">
        <v>230413</v>
      </c>
      <c r="H8644">
        <v>4600</v>
      </c>
      <c r="I8644" t="s">
        <v>105</v>
      </c>
      <c r="J8644">
        <v>79.62</v>
      </c>
      <c r="K8644">
        <v>15.41</v>
      </c>
      <c r="L8644">
        <v>56568</v>
      </c>
      <c r="M8644" t="s">
        <v>268</v>
      </c>
      <c r="N8644" t="str">
        <f>"1297848     "</f>
        <v xml:space="preserve">1297848     </v>
      </c>
      <c r="O8644">
        <v>230419</v>
      </c>
    </row>
    <row r="8645" spans="1:15" x14ac:dyDescent="0.25">
      <c r="A8645" t="s">
        <v>16</v>
      </c>
      <c r="B8645" t="s">
        <v>3221</v>
      </c>
      <c r="C8645">
        <v>5229</v>
      </c>
      <c r="D8645" t="s">
        <v>3650</v>
      </c>
      <c r="E8645" t="s">
        <v>298</v>
      </c>
      <c r="F8645">
        <v>209.63</v>
      </c>
      <c r="G8645">
        <v>230413</v>
      </c>
      <c r="H8645">
        <v>4600</v>
      </c>
      <c r="I8645" t="s">
        <v>105</v>
      </c>
      <c r="J8645">
        <v>259.94</v>
      </c>
      <c r="K8645">
        <v>50.31</v>
      </c>
      <c r="L8645">
        <v>56568</v>
      </c>
      <c r="M8645" t="s">
        <v>268</v>
      </c>
      <c r="N8645" t="str">
        <f>"1297852     "</f>
        <v xml:space="preserve">1297852     </v>
      </c>
      <c r="O8645">
        <v>230419</v>
      </c>
    </row>
    <row r="8646" spans="1:15" x14ac:dyDescent="0.25">
      <c r="A8646" t="s">
        <v>16</v>
      </c>
      <c r="B8646" t="s">
        <v>3221</v>
      </c>
      <c r="C8646">
        <v>5230</v>
      </c>
      <c r="D8646" t="s">
        <v>3650</v>
      </c>
      <c r="E8646" t="s">
        <v>298</v>
      </c>
      <c r="F8646">
        <v>57.19</v>
      </c>
      <c r="G8646">
        <v>230413</v>
      </c>
      <c r="H8646">
        <v>4600</v>
      </c>
      <c r="I8646" t="s">
        <v>105</v>
      </c>
      <c r="J8646">
        <v>70.92</v>
      </c>
      <c r="K8646">
        <v>13.73</v>
      </c>
      <c r="L8646">
        <v>56568</v>
      </c>
      <c r="M8646" t="s">
        <v>268</v>
      </c>
      <c r="N8646" t="str">
        <f>"1297851     "</f>
        <v xml:space="preserve">1297851     </v>
      </c>
      <c r="O8646">
        <v>230419</v>
      </c>
    </row>
    <row r="8647" spans="1:15" x14ac:dyDescent="0.25">
      <c r="A8647" t="s">
        <v>16</v>
      </c>
      <c r="B8647" t="s">
        <v>3221</v>
      </c>
      <c r="C8647">
        <v>5231</v>
      </c>
      <c r="D8647" t="s">
        <v>3650</v>
      </c>
      <c r="E8647" t="s">
        <v>298</v>
      </c>
      <c r="F8647">
        <v>58.29</v>
      </c>
      <c r="G8647">
        <v>230413</v>
      </c>
      <c r="H8647">
        <v>4600</v>
      </c>
      <c r="I8647" t="s">
        <v>105</v>
      </c>
      <c r="J8647">
        <v>72.28</v>
      </c>
      <c r="K8647">
        <v>13.99</v>
      </c>
      <c r="L8647">
        <v>56568</v>
      </c>
      <c r="M8647" t="s">
        <v>268</v>
      </c>
      <c r="N8647" t="str">
        <f>"1297841     "</f>
        <v xml:space="preserve">1297841     </v>
      </c>
      <c r="O8647">
        <v>230419</v>
      </c>
    </row>
    <row r="8648" spans="1:15" x14ac:dyDescent="0.25">
      <c r="A8648" t="s">
        <v>16</v>
      </c>
      <c r="B8648" t="s">
        <v>3221</v>
      </c>
      <c r="C8648">
        <v>5232</v>
      </c>
      <c r="D8648" t="s">
        <v>3650</v>
      </c>
      <c r="E8648" t="s">
        <v>298</v>
      </c>
      <c r="F8648">
        <v>22.58</v>
      </c>
      <c r="G8648">
        <v>230413</v>
      </c>
      <c r="H8648">
        <v>4600</v>
      </c>
      <c r="I8648" t="s">
        <v>105</v>
      </c>
      <c r="J8648">
        <v>28</v>
      </c>
      <c r="K8648">
        <v>5.42</v>
      </c>
      <c r="L8648">
        <v>56568</v>
      </c>
      <c r="M8648" t="s">
        <v>268</v>
      </c>
      <c r="N8648" t="str">
        <f>"1297836     "</f>
        <v xml:space="preserve">1297836     </v>
      </c>
      <c r="O8648">
        <v>230419</v>
      </c>
    </row>
    <row r="8649" spans="1:15" x14ac:dyDescent="0.25">
      <c r="A8649" t="s">
        <v>16</v>
      </c>
      <c r="B8649" t="s">
        <v>3221</v>
      </c>
      <c r="C8649">
        <v>5234</v>
      </c>
      <c r="D8649" t="s">
        <v>3650</v>
      </c>
      <c r="E8649" t="s">
        <v>298</v>
      </c>
      <c r="F8649">
        <v>42</v>
      </c>
      <c r="G8649">
        <v>230413</v>
      </c>
      <c r="H8649">
        <v>4600</v>
      </c>
      <c r="I8649" t="s">
        <v>105</v>
      </c>
      <c r="J8649">
        <v>52.08</v>
      </c>
      <c r="K8649">
        <v>10.08</v>
      </c>
      <c r="L8649">
        <v>56568</v>
      </c>
      <c r="M8649" t="s">
        <v>268</v>
      </c>
      <c r="N8649" t="str">
        <f>"1297845     "</f>
        <v xml:space="preserve">1297845     </v>
      </c>
      <c r="O8649">
        <v>230419</v>
      </c>
    </row>
    <row r="8650" spans="1:15" x14ac:dyDescent="0.25">
      <c r="A8650" t="s">
        <v>16</v>
      </c>
      <c r="B8650" t="s">
        <v>3221</v>
      </c>
      <c r="C8650">
        <v>5236</v>
      </c>
      <c r="D8650" t="s">
        <v>3650</v>
      </c>
      <c r="E8650" t="s">
        <v>298</v>
      </c>
      <c r="F8650">
        <v>12.61</v>
      </c>
      <c r="G8650">
        <v>230413</v>
      </c>
      <c r="H8650">
        <v>4600</v>
      </c>
      <c r="I8650" t="s">
        <v>105</v>
      </c>
      <c r="J8650">
        <v>15.64</v>
      </c>
      <c r="K8650">
        <v>3.03</v>
      </c>
      <c r="L8650">
        <v>56568</v>
      </c>
      <c r="M8650" t="s">
        <v>268</v>
      </c>
      <c r="N8650" t="str">
        <f>"1297850     "</f>
        <v xml:space="preserve">1297850     </v>
      </c>
      <c r="O8650">
        <v>230419</v>
      </c>
    </row>
    <row r="8651" spans="1:15" x14ac:dyDescent="0.25">
      <c r="A8651" t="s">
        <v>16</v>
      </c>
      <c r="B8651" t="s">
        <v>3221</v>
      </c>
      <c r="C8651">
        <v>5413</v>
      </c>
      <c r="D8651" t="s">
        <v>3650</v>
      </c>
      <c r="E8651" t="s">
        <v>298</v>
      </c>
      <c r="F8651">
        <v>30.97</v>
      </c>
      <c r="G8651">
        <v>230314</v>
      </c>
      <c r="H8651">
        <v>4600</v>
      </c>
      <c r="I8651" t="s">
        <v>105</v>
      </c>
      <c r="J8651">
        <v>38.4</v>
      </c>
      <c r="K8651">
        <v>7.43</v>
      </c>
      <c r="L8651">
        <v>56558</v>
      </c>
      <c r="M8651" t="s">
        <v>217</v>
      </c>
      <c r="N8651" t="str">
        <f>"1295330     "</f>
        <v xml:space="preserve">1295330     </v>
      </c>
      <c r="O8651">
        <v>230424</v>
      </c>
    </row>
    <row r="8652" spans="1:15" x14ac:dyDescent="0.25">
      <c r="A8652" t="s">
        <v>16</v>
      </c>
      <c r="B8652" t="s">
        <v>3221</v>
      </c>
      <c r="C8652">
        <v>5482</v>
      </c>
      <c r="D8652" t="s">
        <v>3650</v>
      </c>
      <c r="E8652" t="s">
        <v>298</v>
      </c>
      <c r="F8652">
        <v>69.89</v>
      </c>
      <c r="G8652">
        <v>230413</v>
      </c>
      <c r="H8652">
        <v>4600</v>
      </c>
      <c r="I8652" t="s">
        <v>105</v>
      </c>
      <c r="J8652">
        <v>86.66</v>
      </c>
      <c r="K8652">
        <v>16.77</v>
      </c>
      <c r="L8652">
        <v>56558</v>
      </c>
      <c r="M8652" t="s">
        <v>217</v>
      </c>
      <c r="N8652" t="str">
        <f>"1297847     "</f>
        <v xml:space="preserve">1297847     </v>
      </c>
      <c r="O8652">
        <v>230425</v>
      </c>
    </row>
    <row r="8653" spans="1:15" x14ac:dyDescent="0.25">
      <c r="A8653" t="s">
        <v>16</v>
      </c>
      <c r="B8653" t="s">
        <v>3221</v>
      </c>
      <c r="C8653">
        <v>5551</v>
      </c>
      <c r="D8653" t="s">
        <v>3650</v>
      </c>
      <c r="E8653" t="s">
        <v>298</v>
      </c>
      <c r="F8653">
        <v>41.48</v>
      </c>
      <c r="G8653">
        <v>230314</v>
      </c>
      <c r="H8653">
        <v>4600</v>
      </c>
      <c r="I8653" t="s">
        <v>105</v>
      </c>
      <c r="J8653">
        <v>51.44</v>
      </c>
      <c r="K8653">
        <v>9.9600000000000009</v>
      </c>
      <c r="L8653">
        <v>56573</v>
      </c>
      <c r="M8653" t="s">
        <v>521</v>
      </c>
      <c r="N8653" t="str">
        <f>"1295339     "</f>
        <v xml:space="preserve">1295339     </v>
      </c>
      <c r="O8653">
        <v>230426</v>
      </c>
    </row>
    <row r="8654" spans="1:15" x14ac:dyDescent="0.25">
      <c r="A8654" t="s">
        <v>16</v>
      </c>
      <c r="B8654" t="s">
        <v>3221</v>
      </c>
      <c r="C8654">
        <v>5552</v>
      </c>
      <c r="D8654" t="s">
        <v>3650</v>
      </c>
      <c r="E8654" t="s">
        <v>298</v>
      </c>
      <c r="F8654">
        <v>1.68</v>
      </c>
      <c r="G8654">
        <v>230314</v>
      </c>
      <c r="H8654">
        <v>4600</v>
      </c>
      <c r="I8654" t="s">
        <v>105</v>
      </c>
      <c r="J8654">
        <v>2.08</v>
      </c>
      <c r="K8654">
        <v>0.4</v>
      </c>
      <c r="L8654">
        <v>56573</v>
      </c>
      <c r="M8654" t="s">
        <v>521</v>
      </c>
      <c r="N8654" t="str">
        <f>"1295337     "</f>
        <v xml:space="preserve">1295337     </v>
      </c>
      <c r="O8654">
        <v>230426</v>
      </c>
    </row>
    <row r="8655" spans="1:15" x14ac:dyDescent="0.25">
      <c r="A8655" t="s">
        <v>16</v>
      </c>
      <c r="B8655" t="s">
        <v>3221</v>
      </c>
      <c r="C8655">
        <v>5571</v>
      </c>
      <c r="D8655" t="s">
        <v>3650</v>
      </c>
      <c r="E8655" t="s">
        <v>298</v>
      </c>
      <c r="F8655">
        <v>17.350000000000001</v>
      </c>
      <c r="G8655">
        <v>230413</v>
      </c>
      <c r="H8655">
        <v>4600</v>
      </c>
      <c r="I8655" t="s">
        <v>105</v>
      </c>
      <c r="J8655">
        <v>21.52</v>
      </c>
      <c r="K8655">
        <v>4.17</v>
      </c>
      <c r="L8655">
        <v>56573</v>
      </c>
      <c r="M8655" t="s">
        <v>521</v>
      </c>
      <c r="N8655" t="str">
        <f>"1297856     "</f>
        <v xml:space="preserve">1297856     </v>
      </c>
      <c r="O8655">
        <v>230426</v>
      </c>
    </row>
    <row r="8656" spans="1:15" x14ac:dyDescent="0.25">
      <c r="A8656" t="s">
        <v>16</v>
      </c>
      <c r="B8656" t="s">
        <v>3221</v>
      </c>
      <c r="C8656">
        <v>5730</v>
      </c>
      <c r="D8656" t="s">
        <v>3650</v>
      </c>
      <c r="E8656" t="s">
        <v>298</v>
      </c>
      <c r="F8656">
        <v>281.95999999999998</v>
      </c>
      <c r="G8656">
        <v>230428</v>
      </c>
      <c r="H8656">
        <v>4600</v>
      </c>
      <c r="I8656" t="s">
        <v>105</v>
      </c>
      <c r="J8656">
        <v>349.63</v>
      </c>
      <c r="K8656">
        <v>67.67</v>
      </c>
      <c r="L8656">
        <v>56568</v>
      </c>
      <c r="M8656" t="s">
        <v>268</v>
      </c>
      <c r="N8656" t="str">
        <f>"1298608     "</f>
        <v xml:space="preserve">1298608     </v>
      </c>
      <c r="O8656">
        <v>230502</v>
      </c>
    </row>
    <row r="8657" spans="1:15" x14ac:dyDescent="0.25">
      <c r="A8657" t="s">
        <v>16</v>
      </c>
      <c r="B8657" t="s">
        <v>3221</v>
      </c>
      <c r="C8657">
        <v>5731</v>
      </c>
      <c r="D8657" t="s">
        <v>3650</v>
      </c>
      <c r="E8657" t="s">
        <v>298</v>
      </c>
      <c r="F8657">
        <v>27.65</v>
      </c>
      <c r="G8657">
        <v>230428</v>
      </c>
      <c r="H8657">
        <v>4600</v>
      </c>
      <c r="I8657" t="s">
        <v>105</v>
      </c>
      <c r="J8657">
        <v>34.29</v>
      </c>
      <c r="K8657">
        <v>6.64</v>
      </c>
      <c r="L8657">
        <v>56568</v>
      </c>
      <c r="M8657" t="s">
        <v>268</v>
      </c>
      <c r="N8657" t="str">
        <f>"1298572     "</f>
        <v xml:space="preserve">1298572     </v>
      </c>
      <c r="O8657">
        <v>230502</v>
      </c>
    </row>
    <row r="8658" spans="1:15" x14ac:dyDescent="0.25">
      <c r="A8658" t="s">
        <v>16</v>
      </c>
      <c r="B8658" t="s">
        <v>3221</v>
      </c>
      <c r="C8658">
        <v>5732</v>
      </c>
      <c r="D8658" t="s">
        <v>3650</v>
      </c>
      <c r="E8658" t="s">
        <v>298</v>
      </c>
      <c r="F8658">
        <v>53.88</v>
      </c>
      <c r="G8658">
        <v>230428</v>
      </c>
      <c r="H8658">
        <v>4600</v>
      </c>
      <c r="I8658" t="s">
        <v>105</v>
      </c>
      <c r="J8658">
        <v>66.81</v>
      </c>
      <c r="K8658">
        <v>12.93</v>
      </c>
      <c r="L8658">
        <v>56568</v>
      </c>
      <c r="M8658" t="s">
        <v>268</v>
      </c>
      <c r="N8658" t="str">
        <f>"1298604     "</f>
        <v xml:space="preserve">1298604     </v>
      </c>
      <c r="O8658">
        <v>230502</v>
      </c>
    </row>
    <row r="8659" spans="1:15" x14ac:dyDescent="0.25">
      <c r="A8659" t="s">
        <v>16</v>
      </c>
      <c r="B8659" t="s">
        <v>3221</v>
      </c>
      <c r="C8659">
        <v>5734</v>
      </c>
      <c r="D8659" t="s">
        <v>3650</v>
      </c>
      <c r="E8659" t="s">
        <v>298</v>
      </c>
      <c r="F8659">
        <v>140.25</v>
      </c>
      <c r="G8659">
        <v>230428</v>
      </c>
      <c r="H8659">
        <v>4600</v>
      </c>
      <c r="I8659" t="s">
        <v>105</v>
      </c>
      <c r="J8659">
        <v>173.91</v>
      </c>
      <c r="K8659">
        <v>33.659999999999997</v>
      </c>
      <c r="L8659">
        <v>56568</v>
      </c>
      <c r="M8659" t="s">
        <v>268</v>
      </c>
      <c r="N8659" t="str">
        <f>"1298590     "</f>
        <v xml:space="preserve">1298590     </v>
      </c>
      <c r="O8659">
        <v>230502</v>
      </c>
    </row>
    <row r="8660" spans="1:15" x14ac:dyDescent="0.25">
      <c r="A8660" t="s">
        <v>16</v>
      </c>
      <c r="B8660" t="s">
        <v>3221</v>
      </c>
      <c r="C8660">
        <v>5735</v>
      </c>
      <c r="D8660" t="s">
        <v>3650</v>
      </c>
      <c r="E8660" t="s">
        <v>298</v>
      </c>
      <c r="F8660">
        <v>44.42</v>
      </c>
      <c r="G8660">
        <v>230428</v>
      </c>
      <c r="H8660">
        <v>4600</v>
      </c>
      <c r="I8660" t="s">
        <v>105</v>
      </c>
      <c r="J8660">
        <v>55.08</v>
      </c>
      <c r="K8660">
        <v>10.66</v>
      </c>
      <c r="L8660">
        <v>56568</v>
      </c>
      <c r="M8660" t="s">
        <v>268</v>
      </c>
      <c r="N8660" t="str">
        <f>"1298594     "</f>
        <v xml:space="preserve">1298594     </v>
      </c>
      <c r="O8660">
        <v>230502</v>
      </c>
    </row>
    <row r="8661" spans="1:15" x14ac:dyDescent="0.25">
      <c r="A8661" t="s">
        <v>16</v>
      </c>
      <c r="B8661" t="s">
        <v>3221</v>
      </c>
      <c r="C8661">
        <v>5736</v>
      </c>
      <c r="D8661" t="s">
        <v>3650</v>
      </c>
      <c r="E8661" t="s">
        <v>298</v>
      </c>
      <c r="F8661">
        <v>27.65</v>
      </c>
      <c r="G8661">
        <v>230428</v>
      </c>
      <c r="H8661">
        <v>4600</v>
      </c>
      <c r="I8661" t="s">
        <v>105</v>
      </c>
      <c r="J8661">
        <v>34.28</v>
      </c>
      <c r="K8661">
        <v>6.63</v>
      </c>
      <c r="L8661">
        <v>56568</v>
      </c>
      <c r="M8661" t="s">
        <v>268</v>
      </c>
      <c r="N8661" t="str">
        <f>"1298600     "</f>
        <v xml:space="preserve">1298600     </v>
      </c>
      <c r="O8661">
        <v>230502</v>
      </c>
    </row>
    <row r="8662" spans="1:15" x14ac:dyDescent="0.25">
      <c r="A8662" t="s">
        <v>16</v>
      </c>
      <c r="B8662" t="s">
        <v>3221</v>
      </c>
      <c r="C8662">
        <v>5737</v>
      </c>
      <c r="D8662" t="s">
        <v>3650</v>
      </c>
      <c r="E8662" t="s">
        <v>298</v>
      </c>
      <c r="F8662">
        <v>24.8</v>
      </c>
      <c r="G8662">
        <v>230428</v>
      </c>
      <c r="H8662">
        <v>4600</v>
      </c>
      <c r="I8662" t="s">
        <v>105</v>
      </c>
      <c r="J8662">
        <v>30.75</v>
      </c>
      <c r="K8662">
        <v>5.95</v>
      </c>
      <c r="L8662">
        <v>56568</v>
      </c>
      <c r="M8662" t="s">
        <v>268</v>
      </c>
      <c r="N8662" t="str">
        <f>"1298607     "</f>
        <v xml:space="preserve">1298607     </v>
      </c>
      <c r="O8662">
        <v>230502</v>
      </c>
    </row>
    <row r="8663" spans="1:15" x14ac:dyDescent="0.25">
      <c r="A8663" t="s">
        <v>16</v>
      </c>
      <c r="B8663" t="s">
        <v>3221</v>
      </c>
      <c r="C8663">
        <v>5738</v>
      </c>
      <c r="D8663" t="s">
        <v>3650</v>
      </c>
      <c r="E8663" t="s">
        <v>298</v>
      </c>
      <c r="F8663">
        <v>12.03</v>
      </c>
      <c r="G8663">
        <v>230428</v>
      </c>
      <c r="H8663">
        <v>4600</v>
      </c>
      <c r="I8663" t="s">
        <v>105</v>
      </c>
      <c r="J8663">
        <v>14.92</v>
      </c>
      <c r="K8663">
        <v>2.89</v>
      </c>
      <c r="L8663">
        <v>56568</v>
      </c>
      <c r="M8663" t="s">
        <v>268</v>
      </c>
      <c r="N8663" t="str">
        <f>"1298573     "</f>
        <v xml:space="preserve">1298573     </v>
      </c>
      <c r="O8663">
        <v>230502</v>
      </c>
    </row>
    <row r="8664" spans="1:15" x14ac:dyDescent="0.25">
      <c r="A8664" t="s">
        <v>16</v>
      </c>
      <c r="B8664" t="s">
        <v>3221</v>
      </c>
      <c r="C8664">
        <v>5739</v>
      </c>
      <c r="D8664" t="s">
        <v>3650</v>
      </c>
      <c r="E8664" t="s">
        <v>298</v>
      </c>
      <c r="F8664">
        <v>7.5</v>
      </c>
      <c r="G8664">
        <v>230428</v>
      </c>
      <c r="H8664">
        <v>4600</v>
      </c>
      <c r="I8664" t="s">
        <v>105</v>
      </c>
      <c r="J8664">
        <v>9.3000000000000007</v>
      </c>
      <c r="K8664">
        <v>1.8</v>
      </c>
      <c r="L8664">
        <v>56568</v>
      </c>
      <c r="M8664" t="s">
        <v>268</v>
      </c>
      <c r="N8664" t="str">
        <f>"1298579     "</f>
        <v xml:space="preserve">1298579     </v>
      </c>
      <c r="O8664">
        <v>230502</v>
      </c>
    </row>
    <row r="8665" spans="1:15" x14ac:dyDescent="0.25">
      <c r="A8665" t="s">
        <v>16</v>
      </c>
      <c r="B8665" t="s">
        <v>3221</v>
      </c>
      <c r="C8665">
        <v>5742</v>
      </c>
      <c r="D8665" t="s">
        <v>3650</v>
      </c>
      <c r="E8665" t="s">
        <v>298</v>
      </c>
      <c r="F8665">
        <v>35.65</v>
      </c>
      <c r="G8665">
        <v>230428</v>
      </c>
      <c r="H8665">
        <v>4600</v>
      </c>
      <c r="I8665" t="s">
        <v>105</v>
      </c>
      <c r="J8665">
        <v>44.2</v>
      </c>
      <c r="K8665">
        <v>8.5500000000000007</v>
      </c>
      <c r="L8665">
        <v>56568</v>
      </c>
      <c r="M8665" t="s">
        <v>268</v>
      </c>
      <c r="N8665" t="str">
        <f>"1298589     "</f>
        <v xml:space="preserve">1298589     </v>
      </c>
      <c r="O8665">
        <v>230502</v>
      </c>
    </row>
    <row r="8666" spans="1:15" x14ac:dyDescent="0.25">
      <c r="A8666" t="s">
        <v>16</v>
      </c>
      <c r="B8666" t="s">
        <v>3221</v>
      </c>
      <c r="C8666">
        <v>5743</v>
      </c>
      <c r="D8666" t="s">
        <v>3650</v>
      </c>
      <c r="E8666" t="s">
        <v>298</v>
      </c>
      <c r="F8666">
        <v>12.03</v>
      </c>
      <c r="G8666">
        <v>230428</v>
      </c>
      <c r="H8666">
        <v>4600</v>
      </c>
      <c r="I8666" t="s">
        <v>105</v>
      </c>
      <c r="J8666">
        <v>14.92</v>
      </c>
      <c r="K8666">
        <v>2.89</v>
      </c>
      <c r="L8666">
        <v>56568</v>
      </c>
      <c r="M8666" t="s">
        <v>268</v>
      </c>
      <c r="N8666" t="str">
        <f>"1298595     "</f>
        <v xml:space="preserve">1298595     </v>
      </c>
      <c r="O8666">
        <v>230502</v>
      </c>
    </row>
    <row r="8667" spans="1:15" x14ac:dyDescent="0.25">
      <c r="A8667" t="s">
        <v>16</v>
      </c>
      <c r="B8667" t="s">
        <v>3221</v>
      </c>
      <c r="C8667">
        <v>5744</v>
      </c>
      <c r="D8667" t="s">
        <v>3650</v>
      </c>
      <c r="E8667" t="s">
        <v>298</v>
      </c>
      <c r="F8667">
        <v>63.92</v>
      </c>
      <c r="G8667">
        <v>230428</v>
      </c>
      <c r="H8667">
        <v>4600</v>
      </c>
      <c r="I8667" t="s">
        <v>105</v>
      </c>
      <c r="J8667">
        <v>79.260000000000005</v>
      </c>
      <c r="K8667">
        <v>15.34</v>
      </c>
      <c r="L8667">
        <v>56568</v>
      </c>
      <c r="M8667" t="s">
        <v>268</v>
      </c>
      <c r="N8667" t="str">
        <f>"1298598     "</f>
        <v xml:space="preserve">1298598     </v>
      </c>
      <c r="O8667">
        <v>230502</v>
      </c>
    </row>
    <row r="8668" spans="1:15" x14ac:dyDescent="0.25">
      <c r="A8668" t="s">
        <v>16</v>
      </c>
      <c r="B8668" t="s">
        <v>3221</v>
      </c>
      <c r="C8668">
        <v>5745</v>
      </c>
      <c r="D8668" t="s">
        <v>3650</v>
      </c>
      <c r="E8668" t="s">
        <v>298</v>
      </c>
      <c r="F8668">
        <v>209.74</v>
      </c>
      <c r="G8668">
        <v>230428</v>
      </c>
      <c r="H8668">
        <v>4600</v>
      </c>
      <c r="I8668" t="s">
        <v>105</v>
      </c>
      <c r="J8668">
        <v>260.08</v>
      </c>
      <c r="K8668">
        <v>50.34</v>
      </c>
      <c r="L8668">
        <v>56568</v>
      </c>
      <c r="M8668" t="s">
        <v>268</v>
      </c>
      <c r="N8668" t="str">
        <f>"1298577     "</f>
        <v xml:space="preserve">1298577     </v>
      </c>
      <c r="O8668">
        <v>230502</v>
      </c>
    </row>
    <row r="8669" spans="1:15" x14ac:dyDescent="0.25">
      <c r="A8669" t="s">
        <v>16</v>
      </c>
      <c r="B8669" t="s">
        <v>3221</v>
      </c>
      <c r="C8669">
        <v>5746</v>
      </c>
      <c r="D8669" t="s">
        <v>3650</v>
      </c>
      <c r="E8669" t="s">
        <v>298</v>
      </c>
      <c r="F8669">
        <v>37.71</v>
      </c>
      <c r="G8669">
        <v>230428</v>
      </c>
      <c r="H8669">
        <v>4600</v>
      </c>
      <c r="I8669" t="s">
        <v>105</v>
      </c>
      <c r="J8669">
        <v>46.76</v>
      </c>
      <c r="K8669">
        <v>9.0500000000000007</v>
      </c>
      <c r="L8669">
        <v>56568</v>
      </c>
      <c r="M8669" t="s">
        <v>268</v>
      </c>
      <c r="N8669" t="str">
        <f>"1298574     "</f>
        <v xml:space="preserve">1298574     </v>
      </c>
      <c r="O8669">
        <v>230502</v>
      </c>
    </row>
    <row r="8670" spans="1:15" x14ac:dyDescent="0.25">
      <c r="A8670" t="s">
        <v>16</v>
      </c>
      <c r="B8670" t="s">
        <v>3221</v>
      </c>
      <c r="C8670">
        <v>5747</v>
      </c>
      <c r="D8670" t="s">
        <v>3650</v>
      </c>
      <c r="E8670" t="s">
        <v>298</v>
      </c>
      <c r="F8670">
        <v>44.76</v>
      </c>
      <c r="G8670">
        <v>230428</v>
      </c>
      <c r="H8670">
        <v>4600</v>
      </c>
      <c r="I8670" t="s">
        <v>105</v>
      </c>
      <c r="J8670">
        <v>55.5</v>
      </c>
      <c r="K8670">
        <v>10.74</v>
      </c>
      <c r="L8670">
        <v>56568</v>
      </c>
      <c r="M8670" t="s">
        <v>268</v>
      </c>
      <c r="N8670" t="str">
        <f>"1298585     "</f>
        <v xml:space="preserve">1298585     </v>
      </c>
      <c r="O8670">
        <v>230502</v>
      </c>
    </row>
    <row r="8671" spans="1:15" x14ac:dyDescent="0.25">
      <c r="A8671" t="s">
        <v>16</v>
      </c>
      <c r="B8671" t="s">
        <v>3221</v>
      </c>
      <c r="C8671">
        <v>5748</v>
      </c>
      <c r="D8671" t="s">
        <v>3650</v>
      </c>
      <c r="E8671" t="s">
        <v>298</v>
      </c>
      <c r="F8671">
        <v>106.06</v>
      </c>
      <c r="G8671">
        <v>230428</v>
      </c>
      <c r="H8671">
        <v>4600</v>
      </c>
      <c r="I8671" t="s">
        <v>105</v>
      </c>
      <c r="J8671">
        <v>131.51</v>
      </c>
      <c r="K8671">
        <v>25.45</v>
      </c>
      <c r="L8671">
        <v>56568</v>
      </c>
      <c r="M8671" t="s">
        <v>268</v>
      </c>
      <c r="N8671" t="str">
        <f>"1298576     "</f>
        <v xml:space="preserve">1298576     </v>
      </c>
      <c r="O8671">
        <v>230502</v>
      </c>
    </row>
    <row r="8672" spans="1:15" x14ac:dyDescent="0.25">
      <c r="A8672" t="s">
        <v>16</v>
      </c>
      <c r="B8672" t="s">
        <v>3221</v>
      </c>
      <c r="C8672">
        <v>5751</v>
      </c>
      <c r="D8672" t="s">
        <v>3650</v>
      </c>
      <c r="E8672" t="s">
        <v>298</v>
      </c>
      <c r="F8672">
        <v>4.4000000000000004</v>
      </c>
      <c r="G8672">
        <v>230428</v>
      </c>
      <c r="H8672">
        <v>4600</v>
      </c>
      <c r="I8672" t="s">
        <v>105</v>
      </c>
      <c r="J8672">
        <v>5.46</v>
      </c>
      <c r="K8672">
        <v>1.06</v>
      </c>
      <c r="L8672">
        <v>56568</v>
      </c>
      <c r="M8672" t="s">
        <v>268</v>
      </c>
      <c r="N8672" t="str">
        <f>"1298587     "</f>
        <v xml:space="preserve">1298587     </v>
      </c>
      <c r="O8672">
        <v>230502</v>
      </c>
    </row>
    <row r="8673" spans="1:15" x14ac:dyDescent="0.25">
      <c r="A8673" t="s">
        <v>16</v>
      </c>
      <c r="B8673" t="s">
        <v>3221</v>
      </c>
      <c r="C8673">
        <v>5754</v>
      </c>
      <c r="D8673" t="s">
        <v>3650</v>
      </c>
      <c r="E8673" t="s">
        <v>298</v>
      </c>
      <c r="F8673">
        <v>9.5</v>
      </c>
      <c r="G8673">
        <v>230428</v>
      </c>
      <c r="H8673">
        <v>4600</v>
      </c>
      <c r="I8673" t="s">
        <v>105</v>
      </c>
      <c r="J8673">
        <v>11.78</v>
      </c>
      <c r="K8673">
        <v>2.2799999999999998</v>
      </c>
      <c r="L8673">
        <v>56568</v>
      </c>
      <c r="M8673" t="s">
        <v>268</v>
      </c>
      <c r="N8673" t="str">
        <f>"1298586     "</f>
        <v xml:space="preserve">1298586     </v>
      </c>
      <c r="O8673">
        <v>230502</v>
      </c>
    </row>
    <row r="8674" spans="1:15" x14ac:dyDescent="0.25">
      <c r="A8674" t="s">
        <v>16</v>
      </c>
      <c r="B8674" t="s">
        <v>3221</v>
      </c>
      <c r="C8674">
        <v>5755</v>
      </c>
      <c r="D8674" t="s">
        <v>3650</v>
      </c>
      <c r="E8674" t="s">
        <v>298</v>
      </c>
      <c r="F8674">
        <v>21</v>
      </c>
      <c r="G8674">
        <v>230428</v>
      </c>
      <c r="H8674">
        <v>4600</v>
      </c>
      <c r="I8674" t="s">
        <v>105</v>
      </c>
      <c r="J8674">
        <v>26.04</v>
      </c>
      <c r="K8674">
        <v>5.04</v>
      </c>
      <c r="L8674">
        <v>56568</v>
      </c>
      <c r="M8674" t="s">
        <v>268</v>
      </c>
      <c r="N8674" t="str">
        <f>"1298591     "</f>
        <v xml:space="preserve">1298591     </v>
      </c>
      <c r="O8674">
        <v>230502</v>
      </c>
    </row>
    <row r="8675" spans="1:15" x14ac:dyDescent="0.25">
      <c r="A8675" t="s">
        <v>16</v>
      </c>
      <c r="B8675" t="s">
        <v>3221</v>
      </c>
      <c r="C8675">
        <v>5756</v>
      </c>
      <c r="D8675" t="s">
        <v>3650</v>
      </c>
      <c r="E8675" t="s">
        <v>298</v>
      </c>
      <c r="F8675">
        <v>5.64</v>
      </c>
      <c r="G8675">
        <v>230428</v>
      </c>
      <c r="H8675">
        <v>4600</v>
      </c>
      <c r="I8675" t="s">
        <v>105</v>
      </c>
      <c r="J8675">
        <v>6.99</v>
      </c>
      <c r="K8675">
        <v>1.35</v>
      </c>
      <c r="L8675">
        <v>56568</v>
      </c>
      <c r="M8675" t="s">
        <v>268</v>
      </c>
      <c r="N8675" t="str">
        <f>"1298570     "</f>
        <v xml:space="preserve">1298570     </v>
      </c>
      <c r="O8675">
        <v>230502</v>
      </c>
    </row>
    <row r="8676" spans="1:15" x14ac:dyDescent="0.25">
      <c r="A8676" t="s">
        <v>16</v>
      </c>
      <c r="B8676" t="s">
        <v>3221</v>
      </c>
      <c r="C8676">
        <v>5757</v>
      </c>
      <c r="D8676" t="s">
        <v>3650</v>
      </c>
      <c r="E8676" t="s">
        <v>298</v>
      </c>
      <c r="F8676">
        <v>64.11</v>
      </c>
      <c r="G8676">
        <v>230428</v>
      </c>
      <c r="H8676">
        <v>4600</v>
      </c>
      <c r="I8676" t="s">
        <v>105</v>
      </c>
      <c r="J8676">
        <v>79.5</v>
      </c>
      <c r="K8676">
        <v>15.39</v>
      </c>
      <c r="L8676">
        <v>56568</v>
      </c>
      <c r="M8676" t="s">
        <v>268</v>
      </c>
      <c r="N8676" t="str">
        <f>"1298581     "</f>
        <v xml:space="preserve">1298581     </v>
      </c>
      <c r="O8676">
        <v>230502</v>
      </c>
    </row>
    <row r="8677" spans="1:15" x14ac:dyDescent="0.25">
      <c r="A8677" t="s">
        <v>16</v>
      </c>
      <c r="B8677" t="s">
        <v>3221</v>
      </c>
      <c r="C8677">
        <v>5758</v>
      </c>
      <c r="D8677" t="s">
        <v>3650</v>
      </c>
      <c r="E8677" t="s">
        <v>298</v>
      </c>
      <c r="F8677">
        <v>7.98</v>
      </c>
      <c r="G8677">
        <v>230428</v>
      </c>
      <c r="H8677">
        <v>4600</v>
      </c>
      <c r="I8677" t="s">
        <v>105</v>
      </c>
      <c r="J8677">
        <v>9.9</v>
      </c>
      <c r="K8677">
        <v>1.92</v>
      </c>
      <c r="L8677">
        <v>56568</v>
      </c>
      <c r="M8677" t="s">
        <v>268</v>
      </c>
      <c r="N8677" t="str">
        <f>"1298593     "</f>
        <v xml:space="preserve">1298593     </v>
      </c>
      <c r="O8677">
        <v>230502</v>
      </c>
    </row>
    <row r="8678" spans="1:15" x14ac:dyDescent="0.25">
      <c r="A8678" t="s">
        <v>16</v>
      </c>
      <c r="B8678" t="s">
        <v>3221</v>
      </c>
      <c r="C8678">
        <v>5759</v>
      </c>
      <c r="D8678" t="s">
        <v>3650</v>
      </c>
      <c r="E8678" t="s">
        <v>298</v>
      </c>
      <c r="F8678">
        <v>4.4000000000000004</v>
      </c>
      <c r="G8678">
        <v>230428</v>
      </c>
      <c r="H8678">
        <v>4600</v>
      </c>
      <c r="I8678" t="s">
        <v>105</v>
      </c>
      <c r="J8678">
        <v>5.46</v>
      </c>
      <c r="K8678">
        <v>1.06</v>
      </c>
      <c r="L8678">
        <v>56568</v>
      </c>
      <c r="M8678" t="s">
        <v>268</v>
      </c>
      <c r="N8678" t="str">
        <f>"1298588     "</f>
        <v xml:space="preserve">1298588     </v>
      </c>
      <c r="O8678">
        <v>230502</v>
      </c>
    </row>
    <row r="8679" spans="1:15" x14ac:dyDescent="0.25">
      <c r="A8679" t="s">
        <v>16</v>
      </c>
      <c r="B8679" t="s">
        <v>3221</v>
      </c>
      <c r="C8679">
        <v>5761</v>
      </c>
      <c r="D8679" t="s">
        <v>3650</v>
      </c>
      <c r="E8679" t="s">
        <v>298</v>
      </c>
      <c r="F8679">
        <v>14.5</v>
      </c>
      <c r="G8679">
        <v>230428</v>
      </c>
      <c r="H8679">
        <v>4600</v>
      </c>
      <c r="I8679" t="s">
        <v>105</v>
      </c>
      <c r="J8679">
        <v>17.98</v>
      </c>
      <c r="K8679">
        <v>3.48</v>
      </c>
      <c r="L8679">
        <v>56568</v>
      </c>
      <c r="M8679" t="s">
        <v>268</v>
      </c>
      <c r="N8679" t="str">
        <f>"1298605     "</f>
        <v xml:space="preserve">1298605     </v>
      </c>
      <c r="O8679">
        <v>230502</v>
      </c>
    </row>
    <row r="8680" spans="1:15" x14ac:dyDescent="0.25">
      <c r="A8680" t="s">
        <v>16</v>
      </c>
      <c r="B8680" t="s">
        <v>3221</v>
      </c>
      <c r="C8680">
        <v>5762</v>
      </c>
      <c r="D8680" t="s">
        <v>3650</v>
      </c>
      <c r="E8680" t="s">
        <v>298</v>
      </c>
      <c r="F8680">
        <v>12.61</v>
      </c>
      <c r="G8680">
        <v>230428</v>
      </c>
      <c r="H8680">
        <v>4600</v>
      </c>
      <c r="I8680" t="s">
        <v>105</v>
      </c>
      <c r="J8680">
        <v>15.64</v>
      </c>
      <c r="K8680">
        <v>3.03</v>
      </c>
      <c r="L8680">
        <v>56568</v>
      </c>
      <c r="M8680" t="s">
        <v>268</v>
      </c>
      <c r="N8680" t="str">
        <f>"1298584     "</f>
        <v xml:space="preserve">1298584     </v>
      </c>
      <c r="O8680">
        <v>230502</v>
      </c>
    </row>
    <row r="8681" spans="1:15" x14ac:dyDescent="0.25">
      <c r="A8681" t="s">
        <v>16</v>
      </c>
      <c r="B8681" t="s">
        <v>3221</v>
      </c>
      <c r="C8681">
        <v>5763</v>
      </c>
      <c r="D8681" t="s">
        <v>3650</v>
      </c>
      <c r="E8681" t="s">
        <v>298</v>
      </c>
      <c r="F8681">
        <v>30.73</v>
      </c>
      <c r="G8681">
        <v>230428</v>
      </c>
      <c r="H8681">
        <v>4600</v>
      </c>
      <c r="I8681" t="s">
        <v>105</v>
      </c>
      <c r="J8681">
        <v>38.1</v>
      </c>
      <c r="K8681">
        <v>7.37</v>
      </c>
      <c r="L8681">
        <v>56568</v>
      </c>
      <c r="M8681" t="s">
        <v>268</v>
      </c>
      <c r="N8681" t="str">
        <f>"1298596     "</f>
        <v xml:space="preserve">1298596     </v>
      </c>
      <c r="O8681">
        <v>230502</v>
      </c>
    </row>
    <row r="8682" spans="1:15" x14ac:dyDescent="0.25">
      <c r="A8682" t="s">
        <v>16</v>
      </c>
      <c r="B8682" t="s">
        <v>3221</v>
      </c>
      <c r="C8682">
        <v>5765</v>
      </c>
      <c r="D8682" t="s">
        <v>3650</v>
      </c>
      <c r="E8682" t="s">
        <v>298</v>
      </c>
      <c r="F8682">
        <v>1.45</v>
      </c>
      <c r="G8682">
        <v>230428</v>
      </c>
      <c r="H8682">
        <v>4600</v>
      </c>
      <c r="I8682" t="s">
        <v>105</v>
      </c>
      <c r="J8682">
        <v>1.8</v>
      </c>
      <c r="K8682">
        <v>0.35</v>
      </c>
      <c r="L8682">
        <v>56568</v>
      </c>
      <c r="M8682" t="s">
        <v>268</v>
      </c>
      <c r="N8682" t="str">
        <f>"1298606     "</f>
        <v xml:space="preserve">1298606     </v>
      </c>
      <c r="O8682">
        <v>230502</v>
      </c>
    </row>
    <row r="8683" spans="1:15" x14ac:dyDescent="0.25">
      <c r="A8683" t="s">
        <v>16</v>
      </c>
      <c r="B8683" t="s">
        <v>3221</v>
      </c>
      <c r="C8683">
        <v>5767</v>
      </c>
      <c r="D8683" t="s">
        <v>3650</v>
      </c>
      <c r="E8683" t="s">
        <v>298</v>
      </c>
      <c r="F8683">
        <v>10.28</v>
      </c>
      <c r="G8683">
        <v>230428</v>
      </c>
      <c r="H8683">
        <v>4600</v>
      </c>
      <c r="I8683" t="s">
        <v>105</v>
      </c>
      <c r="J8683">
        <v>12.75</v>
      </c>
      <c r="K8683">
        <v>2.4700000000000002</v>
      </c>
      <c r="L8683">
        <v>56568</v>
      </c>
      <c r="M8683" t="s">
        <v>268</v>
      </c>
      <c r="N8683" t="str">
        <f>"1298592     "</f>
        <v xml:space="preserve">1298592     </v>
      </c>
      <c r="O8683">
        <v>230502</v>
      </c>
    </row>
    <row r="8684" spans="1:15" x14ac:dyDescent="0.25">
      <c r="A8684" t="s">
        <v>16</v>
      </c>
      <c r="B8684" t="s">
        <v>3221</v>
      </c>
      <c r="C8684">
        <v>5768</v>
      </c>
      <c r="D8684" t="s">
        <v>3650</v>
      </c>
      <c r="E8684" t="s">
        <v>298</v>
      </c>
      <c r="F8684">
        <v>3.93</v>
      </c>
      <c r="G8684">
        <v>230428</v>
      </c>
      <c r="H8684">
        <v>4600</v>
      </c>
      <c r="I8684" t="s">
        <v>105</v>
      </c>
      <c r="J8684">
        <v>4.87</v>
      </c>
      <c r="K8684">
        <v>0.94</v>
      </c>
      <c r="L8684">
        <v>56568</v>
      </c>
      <c r="M8684" t="s">
        <v>268</v>
      </c>
      <c r="N8684" t="str">
        <f>"1298571     "</f>
        <v xml:space="preserve">1298571     </v>
      </c>
      <c r="O8684">
        <v>230502</v>
      </c>
    </row>
    <row r="8685" spans="1:15" x14ac:dyDescent="0.25">
      <c r="A8685" t="s">
        <v>16</v>
      </c>
      <c r="B8685" t="s">
        <v>3221</v>
      </c>
      <c r="C8685">
        <v>5769</v>
      </c>
      <c r="D8685" t="s">
        <v>3650</v>
      </c>
      <c r="E8685" t="s">
        <v>298</v>
      </c>
      <c r="F8685">
        <v>91.55</v>
      </c>
      <c r="G8685">
        <v>230428</v>
      </c>
      <c r="H8685">
        <v>4600</v>
      </c>
      <c r="I8685" t="s">
        <v>105</v>
      </c>
      <c r="J8685">
        <v>113.52</v>
      </c>
      <c r="K8685">
        <v>21.97</v>
      </c>
      <c r="L8685">
        <v>56568</v>
      </c>
      <c r="M8685" t="s">
        <v>268</v>
      </c>
      <c r="N8685" t="str">
        <f>"1298599     "</f>
        <v xml:space="preserve">1298599     </v>
      </c>
      <c r="O8685">
        <v>230502</v>
      </c>
    </row>
    <row r="8686" spans="1:15" x14ac:dyDescent="0.25">
      <c r="A8686" t="s">
        <v>16</v>
      </c>
      <c r="B8686" t="s">
        <v>3221</v>
      </c>
      <c r="C8686">
        <v>5770</v>
      </c>
      <c r="D8686" t="s">
        <v>3650</v>
      </c>
      <c r="E8686" t="s">
        <v>298</v>
      </c>
      <c r="F8686">
        <v>5</v>
      </c>
      <c r="G8686">
        <v>230428</v>
      </c>
      <c r="H8686">
        <v>4600</v>
      </c>
      <c r="I8686" t="s">
        <v>105</v>
      </c>
      <c r="J8686">
        <v>6.2</v>
      </c>
      <c r="K8686">
        <v>1.2</v>
      </c>
      <c r="L8686">
        <v>56568</v>
      </c>
      <c r="M8686" t="s">
        <v>268</v>
      </c>
      <c r="N8686" t="str">
        <f>"1298580     "</f>
        <v xml:space="preserve">1298580     </v>
      </c>
      <c r="O8686">
        <v>230502</v>
      </c>
    </row>
    <row r="8687" spans="1:15" x14ac:dyDescent="0.25">
      <c r="A8687" t="s">
        <v>16</v>
      </c>
      <c r="B8687" t="s">
        <v>3221</v>
      </c>
      <c r="C8687">
        <v>5782</v>
      </c>
      <c r="D8687" t="s">
        <v>3650</v>
      </c>
      <c r="E8687" t="s">
        <v>298</v>
      </c>
      <c r="F8687">
        <v>250.13</v>
      </c>
      <c r="G8687">
        <v>230428</v>
      </c>
      <c r="H8687">
        <v>4600</v>
      </c>
      <c r="I8687" t="s">
        <v>105</v>
      </c>
      <c r="J8687">
        <v>310.16000000000003</v>
      </c>
      <c r="K8687">
        <v>60.03</v>
      </c>
      <c r="L8687">
        <v>56558</v>
      </c>
      <c r="M8687" t="s">
        <v>217</v>
      </c>
      <c r="N8687" t="str">
        <f>"1298609     "</f>
        <v xml:space="preserve">1298609     </v>
      </c>
      <c r="O8687">
        <v>230502</v>
      </c>
    </row>
    <row r="8688" spans="1:15" x14ac:dyDescent="0.25">
      <c r="A8688" t="s">
        <v>16</v>
      </c>
      <c r="B8688" t="s">
        <v>3221</v>
      </c>
      <c r="C8688">
        <v>5806</v>
      </c>
      <c r="D8688" t="s">
        <v>3650</v>
      </c>
      <c r="E8688" t="s">
        <v>298</v>
      </c>
      <c r="F8688">
        <v>66.53</v>
      </c>
      <c r="G8688">
        <v>230428</v>
      </c>
      <c r="H8688">
        <v>4600</v>
      </c>
      <c r="I8688" t="s">
        <v>105</v>
      </c>
      <c r="J8688">
        <v>82.5</v>
      </c>
      <c r="K8688">
        <v>15.97</v>
      </c>
      <c r="L8688">
        <v>59505</v>
      </c>
      <c r="M8688" t="s">
        <v>72</v>
      </c>
      <c r="N8688" t="str">
        <f>"1298582     "</f>
        <v xml:space="preserve">1298582     </v>
      </c>
      <c r="O8688">
        <v>230503</v>
      </c>
    </row>
    <row r="8689" spans="1:15" x14ac:dyDescent="0.25">
      <c r="A8689" t="s">
        <v>16</v>
      </c>
      <c r="B8689" t="s">
        <v>3221</v>
      </c>
      <c r="C8689">
        <v>5827</v>
      </c>
      <c r="D8689" t="s">
        <v>3650</v>
      </c>
      <c r="E8689" t="s">
        <v>298</v>
      </c>
      <c r="F8689">
        <v>2.65</v>
      </c>
      <c r="G8689">
        <v>230428</v>
      </c>
      <c r="H8689">
        <v>4600</v>
      </c>
      <c r="I8689" t="s">
        <v>105</v>
      </c>
      <c r="J8689">
        <v>3.29</v>
      </c>
      <c r="K8689">
        <v>0.64</v>
      </c>
      <c r="L8689">
        <v>56573</v>
      </c>
      <c r="M8689" t="s">
        <v>521</v>
      </c>
      <c r="N8689" t="str">
        <f>"1298583     "</f>
        <v xml:space="preserve">1298583     </v>
      </c>
      <c r="O8689">
        <v>230503</v>
      </c>
    </row>
    <row r="8690" spans="1:15" x14ac:dyDescent="0.25">
      <c r="A8690" t="s">
        <v>16</v>
      </c>
      <c r="B8690" t="s">
        <v>3221</v>
      </c>
      <c r="C8690">
        <v>5847</v>
      </c>
      <c r="D8690" t="s">
        <v>3650</v>
      </c>
      <c r="E8690" t="s">
        <v>298</v>
      </c>
      <c r="F8690">
        <v>29.38</v>
      </c>
      <c r="G8690">
        <v>230428</v>
      </c>
      <c r="H8690">
        <v>4600</v>
      </c>
      <c r="I8690" t="s">
        <v>105</v>
      </c>
      <c r="J8690">
        <v>36.43</v>
      </c>
      <c r="K8690">
        <v>7.05</v>
      </c>
      <c r="L8690">
        <v>56573</v>
      </c>
      <c r="M8690" t="s">
        <v>521</v>
      </c>
      <c r="N8690" t="str">
        <f>"1298603     "</f>
        <v xml:space="preserve">1298603     </v>
      </c>
      <c r="O8690">
        <v>230503</v>
      </c>
    </row>
    <row r="8691" spans="1:15" x14ac:dyDescent="0.25">
      <c r="A8691" t="s">
        <v>16</v>
      </c>
      <c r="B8691" t="s">
        <v>3221</v>
      </c>
      <c r="C8691">
        <v>5894</v>
      </c>
      <c r="D8691" t="s">
        <v>3650</v>
      </c>
      <c r="E8691" t="s">
        <v>298</v>
      </c>
      <c r="F8691">
        <v>18.510000000000002</v>
      </c>
      <c r="G8691">
        <v>230428</v>
      </c>
      <c r="H8691">
        <v>4600</v>
      </c>
      <c r="I8691" t="s">
        <v>105</v>
      </c>
      <c r="J8691">
        <v>22.95</v>
      </c>
      <c r="K8691">
        <v>4.4400000000000004</v>
      </c>
      <c r="L8691">
        <v>67522</v>
      </c>
      <c r="M8691" t="s">
        <v>397</v>
      </c>
      <c r="N8691" t="str">
        <f>"1298610     "</f>
        <v xml:space="preserve">1298610     </v>
      </c>
      <c r="O8691">
        <v>230503</v>
      </c>
    </row>
    <row r="8692" spans="1:15" x14ac:dyDescent="0.25">
      <c r="A8692" t="s">
        <v>16</v>
      </c>
      <c r="B8692" t="s">
        <v>3221</v>
      </c>
      <c r="C8692">
        <v>5924</v>
      </c>
      <c r="D8692" t="s">
        <v>3650</v>
      </c>
      <c r="E8692" t="s">
        <v>298</v>
      </c>
      <c r="F8692">
        <v>11.32</v>
      </c>
      <c r="G8692">
        <v>230428</v>
      </c>
      <c r="H8692">
        <v>4600</v>
      </c>
      <c r="I8692" t="s">
        <v>105</v>
      </c>
      <c r="J8692">
        <v>14.04</v>
      </c>
      <c r="K8692">
        <v>2.72</v>
      </c>
      <c r="L8692">
        <v>56573</v>
      </c>
      <c r="M8692" t="s">
        <v>521</v>
      </c>
      <c r="N8692" t="str">
        <f>"1298602     "</f>
        <v xml:space="preserve">1298602     </v>
      </c>
      <c r="O8692">
        <v>230503</v>
      </c>
    </row>
    <row r="8693" spans="1:15" x14ac:dyDescent="0.25">
      <c r="A8693" t="s">
        <v>16</v>
      </c>
      <c r="B8693" t="s">
        <v>3221</v>
      </c>
      <c r="C8693">
        <v>6541</v>
      </c>
      <c r="D8693" t="s">
        <v>3650</v>
      </c>
      <c r="E8693" t="s">
        <v>298</v>
      </c>
      <c r="F8693">
        <v>16.91</v>
      </c>
      <c r="G8693">
        <v>230509</v>
      </c>
      <c r="H8693">
        <v>4600</v>
      </c>
      <c r="I8693" t="s">
        <v>105</v>
      </c>
      <c r="J8693">
        <v>16.91</v>
      </c>
      <c r="K8693">
        <v>0</v>
      </c>
      <c r="L8693">
        <v>56528</v>
      </c>
      <c r="M8693" t="s">
        <v>153</v>
      </c>
      <c r="N8693" t="str">
        <f>"1300069     "</f>
        <v xml:space="preserve">1300069     </v>
      </c>
      <c r="O8693">
        <v>230512</v>
      </c>
    </row>
    <row r="8694" spans="1:15" x14ac:dyDescent="0.25">
      <c r="A8694" t="s">
        <v>16</v>
      </c>
      <c r="B8694" t="s">
        <v>3221</v>
      </c>
      <c r="C8694">
        <v>6581</v>
      </c>
      <c r="D8694" t="s">
        <v>3650</v>
      </c>
      <c r="E8694" t="s">
        <v>298</v>
      </c>
      <c r="F8694">
        <v>-82.22</v>
      </c>
      <c r="G8694">
        <v>230509</v>
      </c>
      <c r="H8694">
        <v>4600</v>
      </c>
      <c r="I8694" t="s">
        <v>105</v>
      </c>
      <c r="J8694">
        <v>-101.95</v>
      </c>
      <c r="K8694">
        <v>-19.73</v>
      </c>
      <c r="L8694">
        <v>56568</v>
      </c>
      <c r="M8694" t="s">
        <v>268</v>
      </c>
      <c r="N8694" t="str">
        <f>"1300056     "</f>
        <v xml:space="preserve">1300056     </v>
      </c>
      <c r="O8694">
        <v>230515</v>
      </c>
    </row>
    <row r="8695" spans="1:15" x14ac:dyDescent="0.25">
      <c r="A8695" t="s">
        <v>16</v>
      </c>
      <c r="B8695" t="s">
        <v>3221</v>
      </c>
      <c r="C8695">
        <v>6612</v>
      </c>
      <c r="D8695" t="s">
        <v>3650</v>
      </c>
      <c r="E8695" t="s">
        <v>298</v>
      </c>
      <c r="F8695">
        <v>44.49</v>
      </c>
      <c r="G8695">
        <v>230509</v>
      </c>
      <c r="H8695">
        <v>4600</v>
      </c>
      <c r="I8695" t="s">
        <v>105</v>
      </c>
      <c r="J8695">
        <v>55.17</v>
      </c>
      <c r="K8695">
        <v>10.68</v>
      </c>
      <c r="L8695">
        <v>56568</v>
      </c>
      <c r="M8695" t="s">
        <v>268</v>
      </c>
      <c r="N8695" t="str">
        <f>"1300058     "</f>
        <v xml:space="preserve">1300058     </v>
      </c>
      <c r="O8695">
        <v>230516</v>
      </c>
    </row>
    <row r="8696" spans="1:15" x14ac:dyDescent="0.25">
      <c r="A8696" t="s">
        <v>16</v>
      </c>
      <c r="B8696" t="s">
        <v>3221</v>
      </c>
      <c r="C8696">
        <v>6613</v>
      </c>
      <c r="D8696" t="s">
        <v>3650</v>
      </c>
      <c r="E8696" t="s">
        <v>298</v>
      </c>
      <c r="F8696">
        <v>175.73</v>
      </c>
      <c r="G8696">
        <v>230509</v>
      </c>
      <c r="H8696">
        <v>4600</v>
      </c>
      <c r="I8696" t="s">
        <v>105</v>
      </c>
      <c r="J8696">
        <v>217.9</v>
      </c>
      <c r="K8696">
        <v>42.17</v>
      </c>
      <c r="L8696">
        <v>56568</v>
      </c>
      <c r="M8696" t="s">
        <v>268</v>
      </c>
      <c r="N8696" t="str">
        <f>"1300064     "</f>
        <v xml:space="preserve">1300064     </v>
      </c>
      <c r="O8696">
        <v>230516</v>
      </c>
    </row>
    <row r="8697" spans="1:15" x14ac:dyDescent="0.25">
      <c r="A8697" t="s">
        <v>16</v>
      </c>
      <c r="B8697" t="s">
        <v>3221</v>
      </c>
      <c r="C8697">
        <v>6614</v>
      </c>
      <c r="D8697" t="s">
        <v>3650</v>
      </c>
      <c r="E8697" t="s">
        <v>298</v>
      </c>
      <c r="F8697">
        <v>30.26</v>
      </c>
      <c r="G8697">
        <v>230509</v>
      </c>
      <c r="H8697">
        <v>4600</v>
      </c>
      <c r="I8697" t="s">
        <v>105</v>
      </c>
      <c r="J8697">
        <v>37.520000000000003</v>
      </c>
      <c r="K8697">
        <v>7.26</v>
      </c>
      <c r="L8697">
        <v>56568</v>
      </c>
      <c r="M8697" t="s">
        <v>268</v>
      </c>
      <c r="N8697" t="str">
        <f>"1300062     "</f>
        <v xml:space="preserve">1300062     </v>
      </c>
      <c r="O8697">
        <v>230516</v>
      </c>
    </row>
    <row r="8698" spans="1:15" x14ac:dyDescent="0.25">
      <c r="A8698" t="s">
        <v>16</v>
      </c>
      <c r="B8698" t="s">
        <v>3221</v>
      </c>
      <c r="C8698">
        <v>6616</v>
      </c>
      <c r="D8698" t="s">
        <v>3650</v>
      </c>
      <c r="E8698" t="s">
        <v>298</v>
      </c>
      <c r="F8698">
        <v>7</v>
      </c>
      <c r="G8698">
        <v>230509</v>
      </c>
      <c r="H8698">
        <v>4600</v>
      </c>
      <c r="I8698" t="s">
        <v>105</v>
      </c>
      <c r="J8698">
        <v>8.68</v>
      </c>
      <c r="K8698">
        <v>1.68</v>
      </c>
      <c r="L8698">
        <v>56568</v>
      </c>
      <c r="M8698" t="s">
        <v>268</v>
      </c>
      <c r="N8698" t="str">
        <f>"1300053     "</f>
        <v xml:space="preserve">1300053     </v>
      </c>
      <c r="O8698">
        <v>230516</v>
      </c>
    </row>
    <row r="8699" spans="1:15" x14ac:dyDescent="0.25">
      <c r="A8699" t="s">
        <v>16</v>
      </c>
      <c r="B8699" t="s">
        <v>3221</v>
      </c>
      <c r="C8699">
        <v>6617</v>
      </c>
      <c r="D8699" t="s">
        <v>3650</v>
      </c>
      <c r="E8699" t="s">
        <v>298</v>
      </c>
      <c r="F8699">
        <v>14.4</v>
      </c>
      <c r="G8699">
        <v>230509</v>
      </c>
      <c r="H8699">
        <v>4600</v>
      </c>
      <c r="I8699" t="s">
        <v>105</v>
      </c>
      <c r="J8699">
        <v>17.86</v>
      </c>
      <c r="K8699">
        <v>3.46</v>
      </c>
      <c r="L8699">
        <v>56568</v>
      </c>
      <c r="M8699" t="s">
        <v>268</v>
      </c>
      <c r="N8699" t="str">
        <f>"1300066     "</f>
        <v xml:space="preserve">1300066     </v>
      </c>
      <c r="O8699">
        <v>230516</v>
      </c>
    </row>
    <row r="8700" spans="1:15" x14ac:dyDescent="0.25">
      <c r="A8700" t="s">
        <v>16</v>
      </c>
      <c r="B8700" t="s">
        <v>3221</v>
      </c>
      <c r="C8700">
        <v>6620</v>
      </c>
      <c r="D8700" t="s">
        <v>3650</v>
      </c>
      <c r="E8700" t="s">
        <v>298</v>
      </c>
      <c r="F8700">
        <v>35.43</v>
      </c>
      <c r="G8700">
        <v>230509</v>
      </c>
      <c r="H8700">
        <v>4600</v>
      </c>
      <c r="I8700" t="s">
        <v>105</v>
      </c>
      <c r="J8700">
        <v>43.93</v>
      </c>
      <c r="K8700">
        <v>8.5</v>
      </c>
      <c r="L8700">
        <v>56568</v>
      </c>
      <c r="M8700" t="s">
        <v>268</v>
      </c>
      <c r="N8700" t="str">
        <f>"1300061     "</f>
        <v xml:space="preserve">1300061     </v>
      </c>
      <c r="O8700">
        <v>230516</v>
      </c>
    </row>
    <row r="8701" spans="1:15" x14ac:dyDescent="0.25">
      <c r="A8701" t="s">
        <v>16</v>
      </c>
      <c r="B8701" t="s">
        <v>3221</v>
      </c>
      <c r="C8701">
        <v>6622</v>
      </c>
      <c r="D8701" t="s">
        <v>3650</v>
      </c>
      <c r="E8701" t="s">
        <v>298</v>
      </c>
      <c r="F8701">
        <v>7</v>
      </c>
      <c r="G8701">
        <v>230509</v>
      </c>
      <c r="H8701">
        <v>4600</v>
      </c>
      <c r="I8701" t="s">
        <v>105</v>
      </c>
      <c r="J8701">
        <v>8.68</v>
      </c>
      <c r="K8701">
        <v>1.68</v>
      </c>
      <c r="L8701">
        <v>56568</v>
      </c>
      <c r="M8701" t="s">
        <v>268</v>
      </c>
      <c r="N8701" t="str">
        <f>"1300059     "</f>
        <v xml:space="preserve">1300059     </v>
      </c>
      <c r="O8701">
        <v>230516</v>
      </c>
    </row>
    <row r="8702" spans="1:15" x14ac:dyDescent="0.25">
      <c r="A8702" t="s">
        <v>16</v>
      </c>
      <c r="B8702" t="s">
        <v>3221</v>
      </c>
      <c r="C8702">
        <v>6623</v>
      </c>
      <c r="D8702" t="s">
        <v>3650</v>
      </c>
      <c r="E8702" t="s">
        <v>298</v>
      </c>
      <c r="F8702">
        <v>58.31</v>
      </c>
      <c r="G8702">
        <v>230509</v>
      </c>
      <c r="H8702">
        <v>4600</v>
      </c>
      <c r="I8702" t="s">
        <v>105</v>
      </c>
      <c r="J8702">
        <v>72.3</v>
      </c>
      <c r="K8702">
        <v>13.99</v>
      </c>
      <c r="L8702">
        <v>56568</v>
      </c>
      <c r="M8702" t="s">
        <v>268</v>
      </c>
      <c r="N8702" t="str">
        <f>"1300065     "</f>
        <v xml:space="preserve">1300065     </v>
      </c>
      <c r="O8702">
        <v>230516</v>
      </c>
    </row>
    <row r="8703" spans="1:15" x14ac:dyDescent="0.25">
      <c r="A8703" t="s">
        <v>16</v>
      </c>
      <c r="B8703" t="s">
        <v>3221</v>
      </c>
      <c r="C8703">
        <v>6625</v>
      </c>
      <c r="D8703" t="s">
        <v>3650</v>
      </c>
      <c r="E8703" t="s">
        <v>298</v>
      </c>
      <c r="F8703">
        <v>78.849999999999994</v>
      </c>
      <c r="G8703">
        <v>230509</v>
      </c>
      <c r="H8703">
        <v>4600</v>
      </c>
      <c r="I8703" t="s">
        <v>105</v>
      </c>
      <c r="J8703">
        <v>97.77</v>
      </c>
      <c r="K8703">
        <v>18.920000000000002</v>
      </c>
      <c r="L8703">
        <v>56568</v>
      </c>
      <c r="M8703" t="s">
        <v>268</v>
      </c>
      <c r="N8703" t="str">
        <f>"1300054     "</f>
        <v xml:space="preserve">1300054     </v>
      </c>
      <c r="O8703">
        <v>230516</v>
      </c>
    </row>
    <row r="8704" spans="1:15" x14ac:dyDescent="0.25">
      <c r="A8704" t="s">
        <v>16</v>
      </c>
      <c r="B8704" t="s">
        <v>3221</v>
      </c>
      <c r="C8704">
        <v>6626</v>
      </c>
      <c r="D8704" t="s">
        <v>3650</v>
      </c>
      <c r="E8704" t="s">
        <v>298</v>
      </c>
      <c r="F8704">
        <v>42</v>
      </c>
      <c r="G8704">
        <v>230509</v>
      </c>
      <c r="H8704">
        <v>4600</v>
      </c>
      <c r="I8704" t="s">
        <v>105</v>
      </c>
      <c r="J8704">
        <v>52.08</v>
      </c>
      <c r="K8704">
        <v>10.08</v>
      </c>
      <c r="L8704">
        <v>56568</v>
      </c>
      <c r="M8704" t="s">
        <v>268</v>
      </c>
      <c r="N8704" t="str">
        <f>"1300060     "</f>
        <v xml:space="preserve">1300060     </v>
      </c>
      <c r="O8704">
        <v>230516</v>
      </c>
    </row>
    <row r="8705" spans="1:15" x14ac:dyDescent="0.25">
      <c r="A8705" t="s">
        <v>16</v>
      </c>
      <c r="B8705" t="s">
        <v>3221</v>
      </c>
      <c r="C8705">
        <v>6627</v>
      </c>
      <c r="D8705" t="s">
        <v>3650</v>
      </c>
      <c r="E8705" t="s">
        <v>298</v>
      </c>
      <c r="F8705">
        <v>35.229999999999997</v>
      </c>
      <c r="G8705">
        <v>230509</v>
      </c>
      <c r="H8705">
        <v>4600</v>
      </c>
      <c r="I8705" t="s">
        <v>105</v>
      </c>
      <c r="J8705">
        <v>43.68</v>
      </c>
      <c r="K8705">
        <v>8.4499999999999993</v>
      </c>
      <c r="L8705">
        <v>56568</v>
      </c>
      <c r="M8705" t="s">
        <v>268</v>
      </c>
      <c r="N8705" t="str">
        <f>"1300052     "</f>
        <v xml:space="preserve">1300052     </v>
      </c>
      <c r="O8705">
        <v>230516</v>
      </c>
    </row>
    <row r="8706" spans="1:15" x14ac:dyDescent="0.25">
      <c r="A8706" t="s">
        <v>16</v>
      </c>
      <c r="B8706" t="s">
        <v>3221</v>
      </c>
      <c r="C8706">
        <v>6628</v>
      </c>
      <c r="D8706" t="s">
        <v>3650</v>
      </c>
      <c r="E8706" t="s">
        <v>298</v>
      </c>
      <c r="F8706">
        <v>42.58</v>
      </c>
      <c r="G8706">
        <v>230509</v>
      </c>
      <c r="H8706">
        <v>4600</v>
      </c>
      <c r="I8706" t="s">
        <v>105</v>
      </c>
      <c r="J8706">
        <v>52.8</v>
      </c>
      <c r="K8706">
        <v>10.220000000000001</v>
      </c>
      <c r="L8706">
        <v>56568</v>
      </c>
      <c r="M8706" t="s">
        <v>268</v>
      </c>
      <c r="N8706" t="str">
        <f>"1300063     "</f>
        <v xml:space="preserve">1300063     </v>
      </c>
      <c r="O8706">
        <v>230516</v>
      </c>
    </row>
    <row r="8707" spans="1:15" x14ac:dyDescent="0.25">
      <c r="A8707" t="s">
        <v>16</v>
      </c>
      <c r="B8707" t="s">
        <v>3221</v>
      </c>
      <c r="C8707">
        <v>6629</v>
      </c>
      <c r="D8707" t="s">
        <v>3650</v>
      </c>
      <c r="E8707" t="s">
        <v>298</v>
      </c>
      <c r="F8707">
        <v>104.52</v>
      </c>
      <c r="G8707">
        <v>230509</v>
      </c>
      <c r="H8707">
        <v>4600</v>
      </c>
      <c r="I8707" t="s">
        <v>105</v>
      </c>
      <c r="J8707">
        <v>129.6</v>
      </c>
      <c r="K8707">
        <v>25.08</v>
      </c>
      <c r="L8707">
        <v>56568</v>
      </c>
      <c r="M8707" t="s">
        <v>268</v>
      </c>
      <c r="N8707" t="str">
        <f>"1300049     "</f>
        <v xml:space="preserve">1300049     </v>
      </c>
      <c r="O8707">
        <v>230516</v>
      </c>
    </row>
    <row r="8708" spans="1:15" x14ac:dyDescent="0.25">
      <c r="A8708" t="s">
        <v>16</v>
      </c>
      <c r="B8708" t="s">
        <v>3221</v>
      </c>
      <c r="C8708">
        <v>6630</v>
      </c>
      <c r="D8708" t="s">
        <v>3650</v>
      </c>
      <c r="E8708" t="s">
        <v>298</v>
      </c>
      <c r="F8708">
        <v>11.16</v>
      </c>
      <c r="G8708">
        <v>230509</v>
      </c>
      <c r="H8708">
        <v>4600</v>
      </c>
      <c r="I8708" t="s">
        <v>105</v>
      </c>
      <c r="J8708">
        <v>13.84</v>
      </c>
      <c r="K8708">
        <v>2.68</v>
      </c>
      <c r="L8708">
        <v>56568</v>
      </c>
      <c r="M8708" t="s">
        <v>268</v>
      </c>
      <c r="N8708" t="str">
        <f>"1300055     "</f>
        <v xml:space="preserve">1300055     </v>
      </c>
      <c r="O8708">
        <v>230516</v>
      </c>
    </row>
    <row r="8709" spans="1:15" x14ac:dyDescent="0.25">
      <c r="A8709" t="s">
        <v>16</v>
      </c>
      <c r="B8709" t="s">
        <v>3221</v>
      </c>
      <c r="C8709">
        <v>6631</v>
      </c>
      <c r="D8709" t="s">
        <v>3650</v>
      </c>
      <c r="E8709" t="s">
        <v>298</v>
      </c>
      <c r="F8709">
        <v>9.07</v>
      </c>
      <c r="G8709">
        <v>230509</v>
      </c>
      <c r="H8709">
        <v>4600</v>
      </c>
      <c r="I8709" t="s">
        <v>105</v>
      </c>
      <c r="J8709">
        <v>11.25</v>
      </c>
      <c r="K8709">
        <v>2.1800000000000002</v>
      </c>
      <c r="L8709">
        <v>56568</v>
      </c>
      <c r="M8709" t="s">
        <v>268</v>
      </c>
      <c r="N8709" t="str">
        <f>"1300051     "</f>
        <v xml:space="preserve">1300051     </v>
      </c>
      <c r="O8709">
        <v>230516</v>
      </c>
    </row>
    <row r="8710" spans="1:15" x14ac:dyDescent="0.25">
      <c r="A8710" t="s">
        <v>16</v>
      </c>
      <c r="B8710" t="s">
        <v>3221</v>
      </c>
      <c r="C8710">
        <v>6632</v>
      </c>
      <c r="D8710" t="s">
        <v>3650</v>
      </c>
      <c r="E8710" t="s">
        <v>298</v>
      </c>
      <c r="F8710">
        <v>37.54</v>
      </c>
      <c r="G8710">
        <v>230509</v>
      </c>
      <c r="H8710">
        <v>4600</v>
      </c>
      <c r="I8710" t="s">
        <v>105</v>
      </c>
      <c r="J8710">
        <v>46.55</v>
      </c>
      <c r="K8710">
        <v>9.01</v>
      </c>
      <c r="L8710">
        <v>56568</v>
      </c>
      <c r="M8710" t="s">
        <v>268</v>
      </c>
      <c r="N8710" t="str">
        <f>"1300068     "</f>
        <v xml:space="preserve">1300068     </v>
      </c>
      <c r="O8710">
        <v>230516</v>
      </c>
    </row>
    <row r="8711" spans="1:15" x14ac:dyDescent="0.25">
      <c r="A8711" t="s">
        <v>16</v>
      </c>
      <c r="B8711" t="s">
        <v>3221</v>
      </c>
      <c r="C8711">
        <v>6978</v>
      </c>
      <c r="D8711" t="s">
        <v>3650</v>
      </c>
      <c r="E8711" t="s">
        <v>298</v>
      </c>
      <c r="F8711">
        <v>8.8000000000000007</v>
      </c>
      <c r="G8711">
        <v>230428</v>
      </c>
      <c r="H8711">
        <v>4600</v>
      </c>
      <c r="I8711" t="s">
        <v>105</v>
      </c>
      <c r="J8711">
        <v>10.91</v>
      </c>
      <c r="K8711">
        <v>2.11</v>
      </c>
      <c r="L8711">
        <v>56573</v>
      </c>
      <c r="M8711" t="s">
        <v>521</v>
      </c>
      <c r="N8711" t="str">
        <f>"1298575     "</f>
        <v xml:space="preserve">1298575     </v>
      </c>
      <c r="O8711">
        <v>230524</v>
      </c>
    </row>
    <row r="8712" spans="1:15" x14ac:dyDescent="0.25">
      <c r="A8712" t="s">
        <v>16</v>
      </c>
      <c r="B8712" t="s">
        <v>3221</v>
      </c>
      <c r="C8712">
        <v>6982</v>
      </c>
      <c r="D8712" t="s">
        <v>3650</v>
      </c>
      <c r="E8712" t="s">
        <v>298</v>
      </c>
      <c r="F8712">
        <v>15.05</v>
      </c>
      <c r="G8712">
        <v>230509</v>
      </c>
      <c r="H8712">
        <v>4600</v>
      </c>
      <c r="I8712" t="s">
        <v>105</v>
      </c>
      <c r="J8712">
        <v>18.66</v>
      </c>
      <c r="K8712">
        <v>3.61</v>
      </c>
      <c r="L8712">
        <v>56565</v>
      </c>
      <c r="M8712" t="s">
        <v>758</v>
      </c>
      <c r="N8712" t="str">
        <f>"1300057     "</f>
        <v xml:space="preserve">1300057     </v>
      </c>
      <c r="O8712">
        <v>230524</v>
      </c>
    </row>
    <row r="8713" spans="1:15" x14ac:dyDescent="0.25">
      <c r="A8713" t="s">
        <v>16</v>
      </c>
      <c r="B8713" t="s">
        <v>3221</v>
      </c>
      <c r="C8713">
        <v>7225</v>
      </c>
      <c r="D8713" t="s">
        <v>3650</v>
      </c>
      <c r="E8713" t="s">
        <v>298</v>
      </c>
      <c r="F8713">
        <v>19.61</v>
      </c>
      <c r="G8713">
        <v>230524</v>
      </c>
      <c r="H8713">
        <v>4600</v>
      </c>
      <c r="I8713" t="s">
        <v>105</v>
      </c>
      <c r="J8713">
        <v>24.32</v>
      </c>
      <c r="K8713">
        <v>4.71</v>
      </c>
      <c r="L8713">
        <v>56565</v>
      </c>
      <c r="M8713" t="s">
        <v>758</v>
      </c>
      <c r="N8713" t="str">
        <f>"1300967     "</f>
        <v xml:space="preserve">1300967     </v>
      </c>
      <c r="O8713">
        <v>230526</v>
      </c>
    </row>
    <row r="8714" spans="1:15" x14ac:dyDescent="0.25">
      <c r="A8714" t="s">
        <v>16</v>
      </c>
      <c r="B8714" t="s">
        <v>3221</v>
      </c>
      <c r="C8714">
        <v>7227</v>
      </c>
      <c r="D8714" t="s">
        <v>3650</v>
      </c>
      <c r="E8714" t="s">
        <v>298</v>
      </c>
      <c r="F8714">
        <v>21.2</v>
      </c>
      <c r="G8714">
        <v>230524</v>
      </c>
      <c r="H8714">
        <v>4600</v>
      </c>
      <c r="I8714" t="s">
        <v>105</v>
      </c>
      <c r="J8714">
        <v>26.29</v>
      </c>
      <c r="K8714">
        <v>5.09</v>
      </c>
      <c r="L8714">
        <v>56573</v>
      </c>
      <c r="M8714" t="s">
        <v>521</v>
      </c>
      <c r="N8714" t="str">
        <f>"1300965     "</f>
        <v xml:space="preserve">1300965     </v>
      </c>
      <c r="O8714">
        <v>230526</v>
      </c>
    </row>
    <row r="8715" spans="1:15" x14ac:dyDescent="0.25">
      <c r="A8715" t="s">
        <v>16</v>
      </c>
      <c r="B8715" t="s">
        <v>3221</v>
      </c>
      <c r="C8715">
        <v>7229</v>
      </c>
      <c r="D8715" t="s">
        <v>3650</v>
      </c>
      <c r="E8715" t="s">
        <v>298</v>
      </c>
      <c r="F8715">
        <v>60.48</v>
      </c>
      <c r="G8715">
        <v>230524</v>
      </c>
      <c r="H8715">
        <v>4600</v>
      </c>
      <c r="I8715" t="s">
        <v>105</v>
      </c>
      <c r="J8715">
        <v>74.989999999999995</v>
      </c>
      <c r="K8715">
        <v>14.51</v>
      </c>
      <c r="L8715">
        <v>56558</v>
      </c>
      <c r="M8715" t="s">
        <v>217</v>
      </c>
      <c r="N8715" t="str">
        <f>"1300960     "</f>
        <v xml:space="preserve">1300960     </v>
      </c>
      <c r="O8715">
        <v>230526</v>
      </c>
    </row>
    <row r="8716" spans="1:15" x14ac:dyDescent="0.25">
      <c r="A8716" t="s">
        <v>16</v>
      </c>
      <c r="B8716" t="s">
        <v>3221</v>
      </c>
      <c r="C8716">
        <v>7255</v>
      </c>
      <c r="D8716" t="s">
        <v>3650</v>
      </c>
      <c r="E8716" t="s">
        <v>298</v>
      </c>
      <c r="F8716">
        <v>15.15</v>
      </c>
      <c r="G8716">
        <v>230524</v>
      </c>
      <c r="H8716">
        <v>4600</v>
      </c>
      <c r="I8716" t="s">
        <v>105</v>
      </c>
      <c r="J8716">
        <v>18.78</v>
      </c>
      <c r="K8716">
        <v>3.63</v>
      </c>
      <c r="L8716">
        <v>56573</v>
      </c>
      <c r="M8716" t="s">
        <v>521</v>
      </c>
      <c r="N8716" t="str">
        <f>"1300950     "</f>
        <v xml:space="preserve">1300950     </v>
      </c>
      <c r="O8716">
        <v>230526</v>
      </c>
    </row>
    <row r="8717" spans="1:15" x14ac:dyDescent="0.25">
      <c r="A8717" t="s">
        <v>16</v>
      </c>
      <c r="B8717" t="s">
        <v>3221</v>
      </c>
      <c r="C8717">
        <v>7313</v>
      </c>
      <c r="D8717" t="s">
        <v>3650</v>
      </c>
      <c r="E8717" t="s">
        <v>298</v>
      </c>
      <c r="F8717">
        <v>247.85</v>
      </c>
      <c r="G8717">
        <v>230524</v>
      </c>
      <c r="H8717">
        <v>4600</v>
      </c>
      <c r="I8717" t="s">
        <v>105</v>
      </c>
      <c r="J8717">
        <v>307.33999999999997</v>
      </c>
      <c r="K8717">
        <v>59.49</v>
      </c>
      <c r="L8717">
        <v>56568</v>
      </c>
      <c r="M8717" t="s">
        <v>268</v>
      </c>
      <c r="N8717" t="str">
        <f>"1300956     "</f>
        <v xml:space="preserve">1300956     </v>
      </c>
      <c r="O8717">
        <v>230529</v>
      </c>
    </row>
    <row r="8718" spans="1:15" x14ac:dyDescent="0.25">
      <c r="A8718" t="s">
        <v>16</v>
      </c>
      <c r="B8718" t="s">
        <v>3221</v>
      </c>
      <c r="C8718">
        <v>7314</v>
      </c>
      <c r="D8718" t="s">
        <v>3650</v>
      </c>
      <c r="E8718" t="s">
        <v>298</v>
      </c>
      <c r="F8718">
        <v>-35.49</v>
      </c>
      <c r="G8718">
        <v>230524</v>
      </c>
      <c r="H8718">
        <v>4600</v>
      </c>
      <c r="I8718" t="s">
        <v>105</v>
      </c>
      <c r="J8718">
        <v>-44.01</v>
      </c>
      <c r="K8718">
        <v>-8.52</v>
      </c>
      <c r="L8718">
        <v>56568</v>
      </c>
      <c r="M8718" t="s">
        <v>268</v>
      </c>
      <c r="N8718" t="str">
        <f>"1300958     "</f>
        <v xml:space="preserve">1300958     </v>
      </c>
      <c r="O8718">
        <v>230529</v>
      </c>
    </row>
    <row r="8719" spans="1:15" x14ac:dyDescent="0.25">
      <c r="A8719" t="s">
        <v>16</v>
      </c>
      <c r="B8719" t="s">
        <v>3221</v>
      </c>
      <c r="C8719">
        <v>7315</v>
      </c>
      <c r="D8719" t="s">
        <v>3650</v>
      </c>
      <c r="E8719" t="s">
        <v>298</v>
      </c>
      <c r="F8719">
        <v>122.43</v>
      </c>
      <c r="G8719">
        <v>230524</v>
      </c>
      <c r="H8719">
        <v>4600</v>
      </c>
      <c r="I8719" t="s">
        <v>105</v>
      </c>
      <c r="J8719">
        <v>151.81</v>
      </c>
      <c r="K8719">
        <v>29.38</v>
      </c>
      <c r="L8719">
        <v>56568</v>
      </c>
      <c r="M8719" t="s">
        <v>268</v>
      </c>
      <c r="N8719" t="str">
        <f>"1300971     "</f>
        <v xml:space="preserve">1300971     </v>
      </c>
      <c r="O8719">
        <v>230529</v>
      </c>
    </row>
    <row r="8720" spans="1:15" x14ac:dyDescent="0.25">
      <c r="A8720" t="s">
        <v>16</v>
      </c>
      <c r="B8720" t="s">
        <v>3221</v>
      </c>
      <c r="C8720">
        <v>7316</v>
      </c>
      <c r="D8720" t="s">
        <v>3650</v>
      </c>
      <c r="E8720" t="s">
        <v>298</v>
      </c>
      <c r="F8720">
        <v>-24</v>
      </c>
      <c r="G8720">
        <v>230524</v>
      </c>
      <c r="H8720">
        <v>4600</v>
      </c>
      <c r="I8720" t="s">
        <v>105</v>
      </c>
      <c r="J8720">
        <v>-29.76</v>
      </c>
      <c r="K8720">
        <v>-5.76</v>
      </c>
      <c r="L8720">
        <v>56568</v>
      </c>
      <c r="M8720" t="s">
        <v>268</v>
      </c>
      <c r="N8720" t="str">
        <f>"1300959     "</f>
        <v xml:space="preserve">1300959     </v>
      </c>
      <c r="O8720">
        <v>230529</v>
      </c>
    </row>
    <row r="8721" spans="1:15" x14ac:dyDescent="0.25">
      <c r="A8721" t="s">
        <v>16</v>
      </c>
      <c r="B8721" t="s">
        <v>3221</v>
      </c>
      <c r="C8721">
        <v>7317</v>
      </c>
      <c r="D8721" t="s">
        <v>3650</v>
      </c>
      <c r="E8721" t="s">
        <v>298</v>
      </c>
      <c r="F8721">
        <v>30.37</v>
      </c>
      <c r="G8721">
        <v>230524</v>
      </c>
      <c r="H8721">
        <v>4600</v>
      </c>
      <c r="I8721" t="s">
        <v>105</v>
      </c>
      <c r="J8721">
        <v>37.659999999999997</v>
      </c>
      <c r="K8721">
        <v>7.29</v>
      </c>
      <c r="L8721">
        <v>56568</v>
      </c>
      <c r="M8721" t="s">
        <v>268</v>
      </c>
      <c r="N8721" t="str">
        <f>"1300970     "</f>
        <v xml:space="preserve">1300970     </v>
      </c>
      <c r="O8721">
        <v>230529</v>
      </c>
    </row>
    <row r="8722" spans="1:15" x14ac:dyDescent="0.25">
      <c r="A8722" t="s">
        <v>16</v>
      </c>
      <c r="B8722" t="s">
        <v>3221</v>
      </c>
      <c r="C8722">
        <v>7318</v>
      </c>
      <c r="D8722" t="s">
        <v>3650</v>
      </c>
      <c r="E8722" t="s">
        <v>298</v>
      </c>
      <c r="F8722">
        <v>21.02</v>
      </c>
      <c r="G8722">
        <v>230524</v>
      </c>
      <c r="H8722">
        <v>4600</v>
      </c>
      <c r="I8722" t="s">
        <v>105</v>
      </c>
      <c r="J8722">
        <v>26.06</v>
      </c>
      <c r="K8722">
        <v>5.04</v>
      </c>
      <c r="L8722">
        <v>56568</v>
      </c>
      <c r="M8722" t="s">
        <v>268</v>
      </c>
      <c r="N8722" t="str">
        <f>"1300968     "</f>
        <v xml:space="preserve">1300968     </v>
      </c>
      <c r="O8722">
        <v>230529</v>
      </c>
    </row>
    <row r="8723" spans="1:15" x14ac:dyDescent="0.25">
      <c r="A8723" t="s">
        <v>16</v>
      </c>
      <c r="B8723" t="s">
        <v>3221</v>
      </c>
      <c r="C8723">
        <v>7319</v>
      </c>
      <c r="D8723" t="s">
        <v>3650</v>
      </c>
      <c r="E8723" t="s">
        <v>298</v>
      </c>
      <c r="F8723">
        <v>21.86</v>
      </c>
      <c r="G8723">
        <v>230524</v>
      </c>
      <c r="H8723">
        <v>4600</v>
      </c>
      <c r="I8723" t="s">
        <v>105</v>
      </c>
      <c r="J8723">
        <v>27.11</v>
      </c>
      <c r="K8723">
        <v>5.25</v>
      </c>
      <c r="L8723">
        <v>56568</v>
      </c>
      <c r="M8723" t="s">
        <v>268</v>
      </c>
      <c r="N8723" t="str">
        <f>"1300955     "</f>
        <v xml:space="preserve">1300955     </v>
      </c>
      <c r="O8723">
        <v>230529</v>
      </c>
    </row>
    <row r="8724" spans="1:15" x14ac:dyDescent="0.25">
      <c r="A8724" t="s">
        <v>16</v>
      </c>
      <c r="B8724" t="s">
        <v>3221</v>
      </c>
      <c r="C8724">
        <v>7321</v>
      </c>
      <c r="D8724" t="s">
        <v>3650</v>
      </c>
      <c r="E8724" t="s">
        <v>298</v>
      </c>
      <c r="F8724">
        <v>132.34</v>
      </c>
      <c r="G8724">
        <v>230524</v>
      </c>
      <c r="H8724">
        <v>4600</v>
      </c>
      <c r="I8724" t="s">
        <v>105</v>
      </c>
      <c r="J8724">
        <v>164.1</v>
      </c>
      <c r="K8724">
        <v>31.76</v>
      </c>
      <c r="L8724">
        <v>56568</v>
      </c>
      <c r="M8724" t="s">
        <v>268</v>
      </c>
      <c r="N8724" t="str">
        <f>"1300962     "</f>
        <v xml:space="preserve">1300962     </v>
      </c>
      <c r="O8724">
        <v>230529</v>
      </c>
    </row>
    <row r="8725" spans="1:15" x14ac:dyDescent="0.25">
      <c r="A8725" t="s">
        <v>16</v>
      </c>
      <c r="B8725" t="s">
        <v>3221</v>
      </c>
      <c r="C8725">
        <v>7322</v>
      </c>
      <c r="D8725" t="s">
        <v>3650</v>
      </c>
      <c r="E8725" t="s">
        <v>298</v>
      </c>
      <c r="F8725">
        <v>262.33999999999997</v>
      </c>
      <c r="G8725">
        <v>230524</v>
      </c>
      <c r="H8725">
        <v>4600</v>
      </c>
      <c r="I8725" t="s">
        <v>105</v>
      </c>
      <c r="J8725">
        <v>325.3</v>
      </c>
      <c r="K8725">
        <v>62.96</v>
      </c>
      <c r="L8725">
        <v>56558</v>
      </c>
      <c r="M8725" t="s">
        <v>217</v>
      </c>
      <c r="N8725" t="str">
        <f>"1300964     "</f>
        <v xml:space="preserve">1300964     </v>
      </c>
      <c r="O8725">
        <v>230529</v>
      </c>
    </row>
    <row r="8726" spans="1:15" x14ac:dyDescent="0.25">
      <c r="A8726" t="s">
        <v>16</v>
      </c>
      <c r="B8726" t="s">
        <v>3221</v>
      </c>
      <c r="C8726">
        <v>7323</v>
      </c>
      <c r="D8726" t="s">
        <v>3650</v>
      </c>
      <c r="E8726" t="s">
        <v>298</v>
      </c>
      <c r="F8726">
        <v>29.39</v>
      </c>
      <c r="G8726">
        <v>230524</v>
      </c>
      <c r="H8726">
        <v>4600</v>
      </c>
      <c r="I8726" t="s">
        <v>105</v>
      </c>
      <c r="J8726">
        <v>36.44</v>
      </c>
      <c r="K8726">
        <v>7.05</v>
      </c>
      <c r="L8726">
        <v>56568</v>
      </c>
      <c r="M8726" t="s">
        <v>268</v>
      </c>
      <c r="N8726" t="str">
        <f>"1300969     "</f>
        <v xml:space="preserve">1300969     </v>
      </c>
      <c r="O8726">
        <v>230529</v>
      </c>
    </row>
    <row r="8727" spans="1:15" x14ac:dyDescent="0.25">
      <c r="A8727" t="s">
        <v>16</v>
      </c>
      <c r="B8727" t="s">
        <v>3221</v>
      </c>
      <c r="C8727">
        <v>7324</v>
      </c>
      <c r="D8727" t="s">
        <v>3650</v>
      </c>
      <c r="E8727" t="s">
        <v>298</v>
      </c>
      <c r="F8727">
        <v>8.15</v>
      </c>
      <c r="G8727">
        <v>230524</v>
      </c>
      <c r="H8727">
        <v>4600</v>
      </c>
      <c r="I8727" t="s">
        <v>105</v>
      </c>
      <c r="J8727">
        <v>10.1</v>
      </c>
      <c r="K8727">
        <v>1.95</v>
      </c>
      <c r="L8727">
        <v>56568</v>
      </c>
      <c r="M8727" t="s">
        <v>268</v>
      </c>
      <c r="N8727" t="str">
        <f>"1300961     "</f>
        <v xml:space="preserve">1300961     </v>
      </c>
      <c r="O8727">
        <v>230529</v>
      </c>
    </row>
    <row r="8728" spans="1:15" x14ac:dyDescent="0.25">
      <c r="A8728" t="s">
        <v>16</v>
      </c>
      <c r="B8728" t="s">
        <v>3221</v>
      </c>
      <c r="C8728">
        <v>7325</v>
      </c>
      <c r="D8728" t="s">
        <v>3650</v>
      </c>
      <c r="E8728" t="s">
        <v>298</v>
      </c>
      <c r="F8728">
        <v>104</v>
      </c>
      <c r="G8728">
        <v>230524</v>
      </c>
      <c r="H8728">
        <v>4600</v>
      </c>
      <c r="I8728" t="s">
        <v>105</v>
      </c>
      <c r="J8728">
        <v>128.96</v>
      </c>
      <c r="K8728">
        <v>24.96</v>
      </c>
      <c r="L8728">
        <v>56568</v>
      </c>
      <c r="M8728" t="s">
        <v>268</v>
      </c>
      <c r="N8728" t="str">
        <f>"1300954     "</f>
        <v xml:space="preserve">1300954     </v>
      </c>
      <c r="O8728">
        <v>230529</v>
      </c>
    </row>
    <row r="8729" spans="1:15" x14ac:dyDescent="0.25">
      <c r="A8729" t="s">
        <v>16</v>
      </c>
      <c r="B8729" t="s">
        <v>3221</v>
      </c>
      <c r="C8729">
        <v>7326</v>
      </c>
      <c r="D8729" t="s">
        <v>3650</v>
      </c>
      <c r="E8729" t="s">
        <v>298</v>
      </c>
      <c r="F8729">
        <v>6.52</v>
      </c>
      <c r="G8729">
        <v>230524</v>
      </c>
      <c r="H8729">
        <v>4600</v>
      </c>
      <c r="I8729" t="s">
        <v>105</v>
      </c>
      <c r="J8729">
        <v>8.08</v>
      </c>
      <c r="K8729">
        <v>1.56</v>
      </c>
      <c r="L8729">
        <v>56568</v>
      </c>
      <c r="M8729" t="s">
        <v>268</v>
      </c>
      <c r="N8729" t="str">
        <f>"1300973     "</f>
        <v xml:space="preserve">1300973     </v>
      </c>
      <c r="O8729">
        <v>230529</v>
      </c>
    </row>
    <row r="8730" spans="1:15" x14ac:dyDescent="0.25">
      <c r="A8730" t="s">
        <v>16</v>
      </c>
      <c r="B8730" t="s">
        <v>3221</v>
      </c>
      <c r="C8730">
        <v>7331</v>
      </c>
      <c r="D8730" t="s">
        <v>3650</v>
      </c>
      <c r="E8730" t="s">
        <v>298</v>
      </c>
      <c r="F8730">
        <v>97.83</v>
      </c>
      <c r="G8730">
        <v>230524</v>
      </c>
      <c r="H8730">
        <v>4600</v>
      </c>
      <c r="I8730" t="s">
        <v>105</v>
      </c>
      <c r="J8730">
        <v>121.31</v>
      </c>
      <c r="K8730">
        <v>23.48</v>
      </c>
      <c r="L8730">
        <v>56568</v>
      </c>
      <c r="M8730" t="s">
        <v>268</v>
      </c>
      <c r="N8730" t="str">
        <f>"1300963     "</f>
        <v xml:space="preserve">1300963     </v>
      </c>
      <c r="O8730">
        <v>230529</v>
      </c>
    </row>
    <row r="8731" spans="1:15" x14ac:dyDescent="0.25">
      <c r="A8731" t="s">
        <v>16</v>
      </c>
      <c r="B8731" t="s">
        <v>3221</v>
      </c>
      <c r="C8731">
        <v>7332</v>
      </c>
      <c r="D8731" t="s">
        <v>3650</v>
      </c>
      <c r="E8731" t="s">
        <v>298</v>
      </c>
      <c r="F8731">
        <v>44.61</v>
      </c>
      <c r="G8731">
        <v>230524</v>
      </c>
      <c r="H8731">
        <v>4600</v>
      </c>
      <c r="I8731" t="s">
        <v>105</v>
      </c>
      <c r="J8731">
        <v>55.32</v>
      </c>
      <c r="K8731">
        <v>10.71</v>
      </c>
      <c r="L8731">
        <v>56568</v>
      </c>
      <c r="M8731" t="s">
        <v>268</v>
      </c>
      <c r="N8731" t="str">
        <f>"1300974     "</f>
        <v xml:space="preserve">1300974     </v>
      </c>
      <c r="O8731">
        <v>230529</v>
      </c>
    </row>
    <row r="8732" spans="1:15" x14ac:dyDescent="0.25">
      <c r="A8732" t="s">
        <v>16</v>
      </c>
      <c r="B8732" t="s">
        <v>3221</v>
      </c>
      <c r="C8732">
        <v>7333</v>
      </c>
      <c r="D8732" t="s">
        <v>3650</v>
      </c>
      <c r="E8732" t="s">
        <v>298</v>
      </c>
      <c r="F8732">
        <v>209</v>
      </c>
      <c r="G8732">
        <v>230524</v>
      </c>
      <c r="H8732">
        <v>4600</v>
      </c>
      <c r="I8732" t="s">
        <v>105</v>
      </c>
      <c r="J8732">
        <v>259.16000000000003</v>
      </c>
      <c r="K8732">
        <v>50.16</v>
      </c>
      <c r="L8732">
        <v>56568</v>
      </c>
      <c r="M8732" t="s">
        <v>268</v>
      </c>
      <c r="N8732" t="str">
        <f>"1300972     "</f>
        <v xml:space="preserve">1300972     </v>
      </c>
      <c r="O8732">
        <v>230529</v>
      </c>
    </row>
    <row r="8733" spans="1:15" x14ac:dyDescent="0.25">
      <c r="A8733" t="s">
        <v>16</v>
      </c>
      <c r="B8733" t="s">
        <v>3221</v>
      </c>
      <c r="C8733">
        <v>7334</v>
      </c>
      <c r="D8733" t="s">
        <v>3650</v>
      </c>
      <c r="E8733" t="s">
        <v>298</v>
      </c>
      <c r="F8733">
        <v>24.6</v>
      </c>
      <c r="G8733">
        <v>230524</v>
      </c>
      <c r="H8733">
        <v>4600</v>
      </c>
      <c r="I8733" t="s">
        <v>105</v>
      </c>
      <c r="J8733">
        <v>30.51</v>
      </c>
      <c r="K8733">
        <v>5.91</v>
      </c>
      <c r="L8733">
        <v>56568</v>
      </c>
      <c r="M8733" t="s">
        <v>268</v>
      </c>
      <c r="N8733" t="str">
        <f>"1300953     "</f>
        <v xml:space="preserve">1300953     </v>
      </c>
      <c r="O8733">
        <v>230529</v>
      </c>
    </row>
    <row r="8734" spans="1:15" x14ac:dyDescent="0.25">
      <c r="A8734" t="s">
        <v>16</v>
      </c>
      <c r="B8734" t="s">
        <v>3221</v>
      </c>
      <c r="C8734">
        <v>7335</v>
      </c>
      <c r="D8734" t="s">
        <v>3650</v>
      </c>
      <c r="E8734" t="s">
        <v>298</v>
      </c>
      <c r="F8734">
        <v>87.69</v>
      </c>
      <c r="G8734">
        <v>230524</v>
      </c>
      <c r="H8734">
        <v>4600</v>
      </c>
      <c r="I8734" t="s">
        <v>105</v>
      </c>
      <c r="J8734">
        <v>108.74</v>
      </c>
      <c r="K8734">
        <v>21.05</v>
      </c>
      <c r="L8734">
        <v>56568</v>
      </c>
      <c r="M8734" t="s">
        <v>268</v>
      </c>
      <c r="N8734" t="str">
        <f>"1300957     "</f>
        <v xml:space="preserve">1300957     </v>
      </c>
      <c r="O8734">
        <v>230529</v>
      </c>
    </row>
    <row r="8735" spans="1:15" x14ac:dyDescent="0.25">
      <c r="A8735" t="s">
        <v>16</v>
      </c>
      <c r="B8735" t="s">
        <v>3221</v>
      </c>
      <c r="C8735">
        <v>7336</v>
      </c>
      <c r="D8735" t="s">
        <v>3650</v>
      </c>
      <c r="E8735" t="s">
        <v>298</v>
      </c>
      <c r="F8735">
        <v>225.81</v>
      </c>
      <c r="G8735">
        <v>230524</v>
      </c>
      <c r="H8735">
        <v>4600</v>
      </c>
      <c r="I8735" t="s">
        <v>105</v>
      </c>
      <c r="J8735">
        <v>280</v>
      </c>
      <c r="K8735">
        <v>54.19</v>
      </c>
      <c r="L8735">
        <v>56568</v>
      </c>
      <c r="M8735" t="s">
        <v>268</v>
      </c>
      <c r="N8735" t="str">
        <f>"1300952     "</f>
        <v xml:space="preserve">1300952     </v>
      </c>
      <c r="O8735">
        <v>230529</v>
      </c>
    </row>
    <row r="8736" spans="1:15" x14ac:dyDescent="0.25">
      <c r="A8736" t="s">
        <v>16</v>
      </c>
      <c r="B8736" t="s">
        <v>3221</v>
      </c>
      <c r="C8736">
        <v>7764</v>
      </c>
      <c r="D8736" t="s">
        <v>3650</v>
      </c>
      <c r="E8736" t="s">
        <v>298</v>
      </c>
      <c r="F8736">
        <v>51.97</v>
      </c>
      <c r="G8736">
        <v>230531</v>
      </c>
      <c r="H8736">
        <v>4600</v>
      </c>
      <c r="I8736" t="s">
        <v>105</v>
      </c>
      <c r="J8736">
        <v>64.44</v>
      </c>
      <c r="K8736">
        <v>12.47</v>
      </c>
      <c r="L8736">
        <v>59505</v>
      </c>
      <c r="M8736" t="s">
        <v>72</v>
      </c>
      <c r="N8736" t="str">
        <f>"1301756     "</f>
        <v xml:space="preserve">1301756     </v>
      </c>
      <c r="O8736">
        <v>230602</v>
      </c>
    </row>
    <row r="8737" spans="1:15" x14ac:dyDescent="0.25">
      <c r="A8737" t="s">
        <v>16</v>
      </c>
      <c r="B8737" t="s">
        <v>3221</v>
      </c>
      <c r="C8737">
        <v>7868</v>
      </c>
      <c r="D8737" t="s">
        <v>3650</v>
      </c>
      <c r="E8737" t="s">
        <v>298</v>
      </c>
      <c r="F8737">
        <v>27.27</v>
      </c>
      <c r="G8737">
        <v>230531</v>
      </c>
      <c r="H8737">
        <v>4600</v>
      </c>
      <c r="I8737" t="s">
        <v>105</v>
      </c>
      <c r="J8737">
        <v>33.82</v>
      </c>
      <c r="K8737">
        <v>6.55</v>
      </c>
      <c r="L8737">
        <v>59504</v>
      </c>
      <c r="M8737" t="s">
        <v>71</v>
      </c>
      <c r="N8737" t="str">
        <f>"1301754     "</f>
        <v xml:space="preserve">1301754     </v>
      </c>
      <c r="O8737">
        <v>230605</v>
      </c>
    </row>
    <row r="8738" spans="1:15" x14ac:dyDescent="0.25">
      <c r="A8738" t="s">
        <v>16</v>
      </c>
      <c r="B8738" t="s">
        <v>3221</v>
      </c>
      <c r="C8738">
        <v>7962</v>
      </c>
      <c r="D8738" t="s">
        <v>3650</v>
      </c>
      <c r="E8738" t="s">
        <v>298</v>
      </c>
      <c r="F8738">
        <v>44.27</v>
      </c>
      <c r="G8738">
        <v>230531</v>
      </c>
      <c r="H8738">
        <v>4600</v>
      </c>
      <c r="I8738" t="s">
        <v>105</v>
      </c>
      <c r="J8738">
        <v>54.9</v>
      </c>
      <c r="K8738">
        <v>10.63</v>
      </c>
      <c r="L8738">
        <v>56568</v>
      </c>
      <c r="M8738" t="s">
        <v>268</v>
      </c>
      <c r="N8738" t="str">
        <f>"1301752     "</f>
        <v xml:space="preserve">1301752     </v>
      </c>
      <c r="O8738">
        <v>230606</v>
      </c>
    </row>
    <row r="8739" spans="1:15" x14ac:dyDescent="0.25">
      <c r="A8739" t="s">
        <v>16</v>
      </c>
      <c r="B8739" t="s">
        <v>3221</v>
      </c>
      <c r="C8739">
        <v>7963</v>
      </c>
      <c r="D8739" t="s">
        <v>3650</v>
      </c>
      <c r="E8739" t="s">
        <v>298</v>
      </c>
      <c r="F8739">
        <v>210.18</v>
      </c>
      <c r="G8739">
        <v>230531</v>
      </c>
      <c r="H8739">
        <v>4600</v>
      </c>
      <c r="I8739" t="s">
        <v>105</v>
      </c>
      <c r="J8739">
        <v>260.62</v>
      </c>
      <c r="K8739">
        <v>50.44</v>
      </c>
      <c r="L8739">
        <v>56568</v>
      </c>
      <c r="M8739" t="s">
        <v>268</v>
      </c>
      <c r="N8739" t="str">
        <f>"1301753     "</f>
        <v xml:space="preserve">1301753     </v>
      </c>
      <c r="O8739">
        <v>230606</v>
      </c>
    </row>
    <row r="8740" spans="1:15" x14ac:dyDescent="0.25">
      <c r="A8740" t="s">
        <v>16</v>
      </c>
      <c r="B8740" t="s">
        <v>3221</v>
      </c>
      <c r="C8740">
        <v>7964</v>
      </c>
      <c r="D8740" t="s">
        <v>3650</v>
      </c>
      <c r="E8740" t="s">
        <v>298</v>
      </c>
      <c r="F8740">
        <v>11.54</v>
      </c>
      <c r="G8740">
        <v>230531</v>
      </c>
      <c r="H8740">
        <v>4600</v>
      </c>
      <c r="I8740" t="s">
        <v>105</v>
      </c>
      <c r="J8740">
        <v>14.31</v>
      </c>
      <c r="K8740">
        <v>2.77</v>
      </c>
      <c r="L8740">
        <v>56568</v>
      </c>
      <c r="M8740" t="s">
        <v>268</v>
      </c>
      <c r="N8740" t="str">
        <f>"1301755     "</f>
        <v xml:space="preserve">1301755     </v>
      </c>
      <c r="O8740">
        <v>230606</v>
      </c>
    </row>
    <row r="8741" spans="1:15" x14ac:dyDescent="0.25">
      <c r="A8741" t="s">
        <v>16</v>
      </c>
      <c r="B8741" t="s">
        <v>3221</v>
      </c>
      <c r="C8741">
        <v>7966</v>
      </c>
      <c r="D8741" t="s">
        <v>3650</v>
      </c>
      <c r="E8741" t="s">
        <v>298</v>
      </c>
      <c r="F8741">
        <v>29.27</v>
      </c>
      <c r="G8741">
        <v>230531</v>
      </c>
      <c r="H8741">
        <v>4600</v>
      </c>
      <c r="I8741" t="s">
        <v>105</v>
      </c>
      <c r="J8741">
        <v>36.299999999999997</v>
      </c>
      <c r="K8741">
        <v>7.03</v>
      </c>
      <c r="L8741">
        <v>56564</v>
      </c>
      <c r="M8741" t="s">
        <v>327</v>
      </c>
      <c r="N8741" t="str">
        <f>"1301763     "</f>
        <v xml:space="preserve">1301763     </v>
      </c>
      <c r="O8741">
        <v>230606</v>
      </c>
    </row>
    <row r="8742" spans="1:15" x14ac:dyDescent="0.25">
      <c r="A8742" t="s">
        <v>16</v>
      </c>
      <c r="B8742" t="s">
        <v>3221</v>
      </c>
      <c r="C8742">
        <v>7969</v>
      </c>
      <c r="D8742" t="s">
        <v>3650</v>
      </c>
      <c r="E8742" t="s">
        <v>298</v>
      </c>
      <c r="F8742">
        <v>12.12</v>
      </c>
      <c r="G8742">
        <v>230531</v>
      </c>
      <c r="H8742">
        <v>4600</v>
      </c>
      <c r="I8742" t="s">
        <v>105</v>
      </c>
      <c r="J8742">
        <v>15.03</v>
      </c>
      <c r="K8742">
        <v>2.91</v>
      </c>
      <c r="L8742">
        <v>56568</v>
      </c>
      <c r="M8742" t="s">
        <v>268</v>
      </c>
      <c r="N8742" t="str">
        <f>"1301758     "</f>
        <v xml:space="preserve">1301758     </v>
      </c>
      <c r="O8742">
        <v>230606</v>
      </c>
    </row>
    <row r="8743" spans="1:15" x14ac:dyDescent="0.25">
      <c r="A8743" t="s">
        <v>16</v>
      </c>
      <c r="B8743" t="s">
        <v>3221</v>
      </c>
      <c r="C8743">
        <v>7972</v>
      </c>
      <c r="D8743" t="s">
        <v>3650</v>
      </c>
      <c r="E8743" t="s">
        <v>298</v>
      </c>
      <c r="F8743">
        <v>28.65</v>
      </c>
      <c r="G8743">
        <v>230531</v>
      </c>
      <c r="H8743">
        <v>4600</v>
      </c>
      <c r="I8743" t="s">
        <v>105</v>
      </c>
      <c r="J8743">
        <v>35.53</v>
      </c>
      <c r="K8743">
        <v>6.88</v>
      </c>
      <c r="L8743">
        <v>56568</v>
      </c>
      <c r="M8743" t="s">
        <v>268</v>
      </c>
      <c r="N8743" t="str">
        <f>"1301761     "</f>
        <v xml:space="preserve">1301761     </v>
      </c>
      <c r="O8743">
        <v>230606</v>
      </c>
    </row>
    <row r="8744" spans="1:15" x14ac:dyDescent="0.25">
      <c r="A8744" t="s">
        <v>16</v>
      </c>
      <c r="B8744" t="s">
        <v>3221</v>
      </c>
      <c r="C8744">
        <v>7973</v>
      </c>
      <c r="D8744" t="s">
        <v>3650</v>
      </c>
      <c r="E8744" t="s">
        <v>298</v>
      </c>
      <c r="F8744">
        <v>22.21</v>
      </c>
      <c r="G8744">
        <v>230531</v>
      </c>
      <c r="H8744">
        <v>4600</v>
      </c>
      <c r="I8744" t="s">
        <v>105</v>
      </c>
      <c r="J8744">
        <v>27.54</v>
      </c>
      <c r="K8744">
        <v>5.33</v>
      </c>
      <c r="L8744">
        <v>56568</v>
      </c>
      <c r="M8744" t="s">
        <v>268</v>
      </c>
      <c r="N8744" t="str">
        <f>"1301757     "</f>
        <v xml:space="preserve">1301757     </v>
      </c>
      <c r="O8744">
        <v>230606</v>
      </c>
    </row>
    <row r="8745" spans="1:15" x14ac:dyDescent="0.25">
      <c r="A8745" t="s">
        <v>16</v>
      </c>
      <c r="B8745" t="s">
        <v>3221</v>
      </c>
      <c r="C8745">
        <v>7974</v>
      </c>
      <c r="D8745" t="s">
        <v>3650</v>
      </c>
      <c r="E8745" t="s">
        <v>298</v>
      </c>
      <c r="F8745">
        <v>37.46</v>
      </c>
      <c r="G8745">
        <v>230531</v>
      </c>
      <c r="H8745">
        <v>4600</v>
      </c>
      <c r="I8745" t="s">
        <v>105</v>
      </c>
      <c r="J8745">
        <v>46.45</v>
      </c>
      <c r="K8745">
        <v>8.99</v>
      </c>
      <c r="L8745">
        <v>56568</v>
      </c>
      <c r="M8745" t="s">
        <v>268</v>
      </c>
      <c r="N8745" t="str">
        <f>"1301759     "</f>
        <v xml:space="preserve">1301759     </v>
      </c>
      <c r="O8745">
        <v>230606</v>
      </c>
    </row>
    <row r="8746" spans="1:15" x14ac:dyDescent="0.25">
      <c r="A8746" t="s">
        <v>16</v>
      </c>
      <c r="B8746" t="s">
        <v>3221</v>
      </c>
      <c r="C8746">
        <v>7979</v>
      </c>
      <c r="D8746" t="s">
        <v>3650</v>
      </c>
      <c r="E8746" t="s">
        <v>298</v>
      </c>
      <c r="F8746">
        <v>2.1800000000000002</v>
      </c>
      <c r="G8746">
        <v>230531</v>
      </c>
      <c r="H8746">
        <v>4600</v>
      </c>
      <c r="I8746" t="s">
        <v>105</v>
      </c>
      <c r="J8746">
        <v>2.7</v>
      </c>
      <c r="K8746">
        <v>0.52</v>
      </c>
      <c r="L8746">
        <v>56568</v>
      </c>
      <c r="M8746" t="s">
        <v>268</v>
      </c>
      <c r="N8746" t="str">
        <f>"1301760     "</f>
        <v xml:space="preserve">1301760     </v>
      </c>
      <c r="O8746">
        <v>230606</v>
      </c>
    </row>
    <row r="8747" spans="1:15" x14ac:dyDescent="0.25">
      <c r="A8747" t="s">
        <v>16</v>
      </c>
      <c r="B8747" t="s">
        <v>3221</v>
      </c>
      <c r="C8747">
        <v>9664</v>
      </c>
      <c r="D8747" t="s">
        <v>3650</v>
      </c>
      <c r="E8747" t="s">
        <v>298</v>
      </c>
      <c r="F8747">
        <v>15.77</v>
      </c>
      <c r="G8747">
        <v>230706</v>
      </c>
      <c r="H8747">
        <v>4600</v>
      </c>
      <c r="I8747" t="s">
        <v>105</v>
      </c>
      <c r="J8747">
        <v>19.559999999999999</v>
      </c>
      <c r="K8747">
        <v>3.79</v>
      </c>
      <c r="L8747">
        <v>59501</v>
      </c>
      <c r="M8747" t="s">
        <v>69</v>
      </c>
      <c r="N8747" t="str">
        <f>"1304883     "</f>
        <v xml:space="preserve">1304883     </v>
      </c>
      <c r="O8747">
        <v>230718</v>
      </c>
    </row>
    <row r="8748" spans="1:15" x14ac:dyDescent="0.25">
      <c r="A8748" t="s">
        <v>16</v>
      </c>
      <c r="B8748" t="s">
        <v>3221</v>
      </c>
      <c r="C8748">
        <v>10646</v>
      </c>
      <c r="D8748" t="s">
        <v>3650</v>
      </c>
      <c r="E8748" t="s">
        <v>298</v>
      </c>
      <c r="F8748">
        <v>68.5</v>
      </c>
      <c r="G8748">
        <v>230815</v>
      </c>
      <c r="H8748">
        <v>4600</v>
      </c>
      <c r="I8748" t="s">
        <v>105</v>
      </c>
      <c r="J8748">
        <v>84.94</v>
      </c>
      <c r="K8748">
        <v>16.440000000000001</v>
      </c>
      <c r="L8748">
        <v>56568</v>
      </c>
      <c r="M8748" t="s">
        <v>268</v>
      </c>
      <c r="N8748" t="str">
        <f>"1307931     "</f>
        <v xml:space="preserve">1307931     </v>
      </c>
      <c r="O8748">
        <v>230821</v>
      </c>
    </row>
    <row r="8749" spans="1:15" x14ac:dyDescent="0.25">
      <c r="A8749" t="s">
        <v>16</v>
      </c>
      <c r="B8749" t="s">
        <v>3221</v>
      </c>
      <c r="C8749">
        <v>10649</v>
      </c>
      <c r="D8749" t="s">
        <v>3650</v>
      </c>
      <c r="E8749" t="s">
        <v>298</v>
      </c>
      <c r="F8749">
        <v>13.97</v>
      </c>
      <c r="G8749">
        <v>230815</v>
      </c>
      <c r="H8749">
        <v>4600</v>
      </c>
      <c r="I8749" t="s">
        <v>105</v>
      </c>
      <c r="J8749">
        <v>17.32</v>
      </c>
      <c r="K8749">
        <v>3.35</v>
      </c>
      <c r="L8749">
        <v>56568</v>
      </c>
      <c r="M8749" t="s">
        <v>268</v>
      </c>
      <c r="N8749" t="str">
        <f>"1307934     "</f>
        <v xml:space="preserve">1307934     </v>
      </c>
      <c r="O8749">
        <v>230821</v>
      </c>
    </row>
    <row r="8750" spans="1:15" x14ac:dyDescent="0.25">
      <c r="A8750" t="s">
        <v>16</v>
      </c>
      <c r="B8750" t="s">
        <v>3221</v>
      </c>
      <c r="C8750">
        <v>10650</v>
      </c>
      <c r="D8750" t="s">
        <v>3650</v>
      </c>
      <c r="E8750" t="s">
        <v>298</v>
      </c>
      <c r="F8750">
        <v>14.55</v>
      </c>
      <c r="G8750">
        <v>230815</v>
      </c>
      <c r="H8750">
        <v>4600</v>
      </c>
      <c r="I8750" t="s">
        <v>105</v>
      </c>
      <c r="J8750">
        <v>18.04</v>
      </c>
      <c r="K8750">
        <v>3.49</v>
      </c>
      <c r="L8750">
        <v>56568</v>
      </c>
      <c r="M8750" t="s">
        <v>268</v>
      </c>
      <c r="N8750" t="str">
        <f>"1307933     "</f>
        <v xml:space="preserve">1307933     </v>
      </c>
      <c r="O8750">
        <v>230821</v>
      </c>
    </row>
    <row r="8751" spans="1:15" x14ac:dyDescent="0.25">
      <c r="A8751" t="s">
        <v>16</v>
      </c>
      <c r="B8751" t="s">
        <v>3221</v>
      </c>
      <c r="C8751">
        <v>10651</v>
      </c>
      <c r="D8751" t="s">
        <v>3650</v>
      </c>
      <c r="E8751" t="s">
        <v>298</v>
      </c>
      <c r="F8751">
        <v>81.81</v>
      </c>
      <c r="G8751">
        <v>230815</v>
      </c>
      <c r="H8751">
        <v>4600</v>
      </c>
      <c r="I8751" t="s">
        <v>105</v>
      </c>
      <c r="J8751">
        <v>101.44</v>
      </c>
      <c r="K8751">
        <v>19.63</v>
      </c>
      <c r="L8751">
        <v>56568</v>
      </c>
      <c r="M8751" t="s">
        <v>268</v>
      </c>
      <c r="N8751" t="str">
        <f>"1307935     "</f>
        <v xml:space="preserve">1307935     </v>
      </c>
      <c r="O8751">
        <v>230821</v>
      </c>
    </row>
    <row r="8752" spans="1:15" x14ac:dyDescent="0.25">
      <c r="A8752" t="s">
        <v>16</v>
      </c>
      <c r="B8752" t="s">
        <v>3221</v>
      </c>
      <c r="C8752">
        <v>10844</v>
      </c>
      <c r="D8752" t="s">
        <v>3650</v>
      </c>
      <c r="E8752" t="s">
        <v>298</v>
      </c>
      <c r="F8752">
        <v>10.65</v>
      </c>
      <c r="G8752">
        <v>230815</v>
      </c>
      <c r="H8752">
        <v>4600</v>
      </c>
      <c r="I8752" t="s">
        <v>105</v>
      </c>
      <c r="J8752">
        <v>13.2</v>
      </c>
      <c r="K8752">
        <v>2.5499999999999998</v>
      </c>
      <c r="L8752">
        <v>56565</v>
      </c>
      <c r="M8752" t="s">
        <v>758</v>
      </c>
      <c r="N8752" t="str">
        <f>"1307930     "</f>
        <v xml:space="preserve">1307930     </v>
      </c>
      <c r="O8752">
        <v>230824</v>
      </c>
    </row>
    <row r="8753" spans="1:15" x14ac:dyDescent="0.25">
      <c r="A8753" t="s">
        <v>16</v>
      </c>
      <c r="B8753" t="s">
        <v>3221</v>
      </c>
      <c r="C8753">
        <v>11112</v>
      </c>
      <c r="D8753" t="s">
        <v>3650</v>
      </c>
      <c r="E8753" t="s">
        <v>298</v>
      </c>
      <c r="F8753">
        <v>68.5</v>
      </c>
      <c r="G8753">
        <v>230829</v>
      </c>
      <c r="H8753">
        <v>4600</v>
      </c>
      <c r="I8753" t="s">
        <v>105</v>
      </c>
      <c r="J8753">
        <v>84.94</v>
      </c>
      <c r="K8753">
        <v>16.440000000000001</v>
      </c>
      <c r="L8753">
        <v>56568</v>
      </c>
      <c r="M8753" t="s">
        <v>268</v>
      </c>
      <c r="N8753" t="str">
        <f>"1309100     "</f>
        <v xml:space="preserve">1309100     </v>
      </c>
      <c r="O8753">
        <v>230830</v>
      </c>
    </row>
    <row r="8754" spans="1:15" x14ac:dyDescent="0.25">
      <c r="A8754" t="s">
        <v>16</v>
      </c>
      <c r="B8754" t="s">
        <v>3221</v>
      </c>
      <c r="C8754">
        <v>11113</v>
      </c>
      <c r="D8754" t="s">
        <v>3650</v>
      </c>
      <c r="E8754" t="s">
        <v>298</v>
      </c>
      <c r="F8754">
        <v>137.1</v>
      </c>
      <c r="G8754">
        <v>230829</v>
      </c>
      <c r="H8754">
        <v>4600</v>
      </c>
      <c r="I8754" t="s">
        <v>105</v>
      </c>
      <c r="J8754">
        <v>170.01</v>
      </c>
      <c r="K8754">
        <v>32.909999999999997</v>
      </c>
      <c r="L8754">
        <v>56568</v>
      </c>
      <c r="M8754" t="s">
        <v>268</v>
      </c>
      <c r="N8754" t="str">
        <f>"1309089     "</f>
        <v xml:space="preserve">1309089     </v>
      </c>
      <c r="O8754">
        <v>230830</v>
      </c>
    </row>
    <row r="8755" spans="1:15" x14ac:dyDescent="0.25">
      <c r="A8755" t="s">
        <v>16</v>
      </c>
      <c r="B8755" t="s">
        <v>3221</v>
      </c>
      <c r="C8755">
        <v>11126</v>
      </c>
      <c r="D8755" t="s">
        <v>3650</v>
      </c>
      <c r="E8755" t="s">
        <v>298</v>
      </c>
      <c r="F8755">
        <v>2.06</v>
      </c>
      <c r="G8755">
        <v>230829</v>
      </c>
      <c r="H8755">
        <v>4600</v>
      </c>
      <c r="I8755" t="s">
        <v>105</v>
      </c>
      <c r="J8755">
        <v>2.56</v>
      </c>
      <c r="K8755">
        <v>0.5</v>
      </c>
      <c r="L8755">
        <v>56568</v>
      </c>
      <c r="M8755" t="s">
        <v>268</v>
      </c>
      <c r="N8755" t="str">
        <f>"1309091     "</f>
        <v xml:space="preserve">1309091     </v>
      </c>
      <c r="O8755">
        <v>230830</v>
      </c>
    </row>
    <row r="8756" spans="1:15" x14ac:dyDescent="0.25">
      <c r="A8756" t="s">
        <v>16</v>
      </c>
      <c r="B8756" t="s">
        <v>3221</v>
      </c>
      <c r="C8756">
        <v>11127</v>
      </c>
      <c r="D8756" t="s">
        <v>3650</v>
      </c>
      <c r="E8756" t="s">
        <v>298</v>
      </c>
      <c r="F8756">
        <v>5.81</v>
      </c>
      <c r="G8756">
        <v>230829</v>
      </c>
      <c r="H8756">
        <v>4600</v>
      </c>
      <c r="I8756" t="s">
        <v>105</v>
      </c>
      <c r="J8756">
        <v>7.2</v>
      </c>
      <c r="K8756">
        <v>1.39</v>
      </c>
      <c r="L8756">
        <v>56568</v>
      </c>
      <c r="M8756" t="s">
        <v>268</v>
      </c>
      <c r="N8756" t="str">
        <f>"1309081     "</f>
        <v xml:space="preserve">1309081     </v>
      </c>
      <c r="O8756">
        <v>230830</v>
      </c>
    </row>
    <row r="8757" spans="1:15" x14ac:dyDescent="0.25">
      <c r="A8757" t="s">
        <v>16</v>
      </c>
      <c r="B8757" t="s">
        <v>3221</v>
      </c>
      <c r="C8757">
        <v>11128</v>
      </c>
      <c r="D8757" t="s">
        <v>3650</v>
      </c>
      <c r="E8757" t="s">
        <v>298</v>
      </c>
      <c r="F8757">
        <v>33.520000000000003</v>
      </c>
      <c r="G8757">
        <v>230829</v>
      </c>
      <c r="H8757">
        <v>4600</v>
      </c>
      <c r="I8757" t="s">
        <v>105</v>
      </c>
      <c r="J8757">
        <v>41.56</v>
      </c>
      <c r="K8757">
        <v>8.0399999999999991</v>
      </c>
      <c r="L8757">
        <v>56568</v>
      </c>
      <c r="M8757" t="s">
        <v>268</v>
      </c>
      <c r="N8757" t="str">
        <f>"1309082     "</f>
        <v xml:space="preserve">1309082     </v>
      </c>
      <c r="O8757">
        <v>230830</v>
      </c>
    </row>
    <row r="8758" spans="1:15" x14ac:dyDescent="0.25">
      <c r="A8758" t="s">
        <v>16</v>
      </c>
      <c r="B8758" t="s">
        <v>3221</v>
      </c>
      <c r="C8758">
        <v>11130</v>
      </c>
      <c r="D8758" t="s">
        <v>3650</v>
      </c>
      <c r="E8758" t="s">
        <v>298</v>
      </c>
      <c r="F8758">
        <v>-85.52</v>
      </c>
      <c r="G8758">
        <v>230829</v>
      </c>
      <c r="H8758">
        <v>4600</v>
      </c>
      <c r="I8758" t="s">
        <v>105</v>
      </c>
      <c r="J8758">
        <v>-106.04</v>
      </c>
      <c r="K8758">
        <v>-20.52</v>
      </c>
      <c r="L8758">
        <v>56568</v>
      </c>
      <c r="M8758" t="s">
        <v>268</v>
      </c>
      <c r="N8758" t="str">
        <f>"1309092     "</f>
        <v xml:space="preserve">1309092     </v>
      </c>
      <c r="O8758">
        <v>230830</v>
      </c>
    </row>
    <row r="8759" spans="1:15" x14ac:dyDescent="0.25">
      <c r="A8759" t="s">
        <v>16</v>
      </c>
      <c r="B8759" t="s">
        <v>3221</v>
      </c>
      <c r="C8759">
        <v>11131</v>
      </c>
      <c r="D8759" t="s">
        <v>3650</v>
      </c>
      <c r="E8759" t="s">
        <v>298</v>
      </c>
      <c r="F8759">
        <v>16.850000000000001</v>
      </c>
      <c r="G8759">
        <v>230829</v>
      </c>
      <c r="H8759">
        <v>4600</v>
      </c>
      <c r="I8759" t="s">
        <v>105</v>
      </c>
      <c r="J8759">
        <v>20.9</v>
      </c>
      <c r="K8759">
        <v>4.05</v>
      </c>
      <c r="L8759">
        <v>56568</v>
      </c>
      <c r="M8759" t="s">
        <v>268</v>
      </c>
      <c r="N8759" t="str">
        <f>"1309101     "</f>
        <v xml:space="preserve">1309101     </v>
      </c>
      <c r="O8759">
        <v>230830</v>
      </c>
    </row>
    <row r="8760" spans="1:15" x14ac:dyDescent="0.25">
      <c r="A8760" t="s">
        <v>16</v>
      </c>
      <c r="B8760" t="s">
        <v>3221</v>
      </c>
      <c r="C8760">
        <v>11132</v>
      </c>
      <c r="D8760" t="s">
        <v>3650</v>
      </c>
      <c r="E8760" t="s">
        <v>298</v>
      </c>
      <c r="F8760">
        <v>29.34</v>
      </c>
      <c r="G8760">
        <v>230829</v>
      </c>
      <c r="H8760">
        <v>4600</v>
      </c>
      <c r="I8760" t="s">
        <v>105</v>
      </c>
      <c r="J8760">
        <v>36.380000000000003</v>
      </c>
      <c r="K8760">
        <v>7.04</v>
      </c>
      <c r="L8760">
        <v>56568</v>
      </c>
      <c r="M8760" t="s">
        <v>268</v>
      </c>
      <c r="N8760" t="str">
        <f>"1309080     "</f>
        <v xml:space="preserve">1309080     </v>
      </c>
      <c r="O8760">
        <v>230830</v>
      </c>
    </row>
    <row r="8761" spans="1:15" x14ac:dyDescent="0.25">
      <c r="A8761" t="s">
        <v>16</v>
      </c>
      <c r="B8761" t="s">
        <v>3221</v>
      </c>
      <c r="C8761">
        <v>11133</v>
      </c>
      <c r="D8761" t="s">
        <v>3650</v>
      </c>
      <c r="E8761" t="s">
        <v>298</v>
      </c>
      <c r="F8761">
        <v>73</v>
      </c>
      <c r="G8761">
        <v>230829</v>
      </c>
      <c r="H8761">
        <v>4600</v>
      </c>
      <c r="I8761" t="s">
        <v>105</v>
      </c>
      <c r="J8761">
        <v>90.52</v>
      </c>
      <c r="K8761">
        <v>17.52</v>
      </c>
      <c r="L8761">
        <v>56568</v>
      </c>
      <c r="M8761" t="s">
        <v>268</v>
      </c>
      <c r="N8761" t="str">
        <f>"1309093     "</f>
        <v xml:space="preserve">1309093     </v>
      </c>
      <c r="O8761">
        <v>230830</v>
      </c>
    </row>
    <row r="8762" spans="1:15" x14ac:dyDescent="0.25">
      <c r="A8762" t="s">
        <v>16</v>
      </c>
      <c r="B8762" t="s">
        <v>3221</v>
      </c>
      <c r="C8762">
        <v>11134</v>
      </c>
      <c r="D8762" t="s">
        <v>3650</v>
      </c>
      <c r="E8762" t="s">
        <v>298</v>
      </c>
      <c r="F8762">
        <v>24.11</v>
      </c>
      <c r="G8762">
        <v>230829</v>
      </c>
      <c r="H8762">
        <v>4600</v>
      </c>
      <c r="I8762" t="s">
        <v>105</v>
      </c>
      <c r="J8762">
        <v>29.9</v>
      </c>
      <c r="K8762">
        <v>5.79</v>
      </c>
      <c r="L8762">
        <v>56568</v>
      </c>
      <c r="M8762" t="s">
        <v>268</v>
      </c>
      <c r="N8762" t="str">
        <f>"1309095     "</f>
        <v xml:space="preserve">1309095     </v>
      </c>
      <c r="O8762">
        <v>230830</v>
      </c>
    </row>
    <row r="8763" spans="1:15" x14ac:dyDescent="0.25">
      <c r="A8763" t="s">
        <v>16</v>
      </c>
      <c r="B8763" t="s">
        <v>3221</v>
      </c>
      <c r="C8763">
        <v>11135</v>
      </c>
      <c r="D8763" t="s">
        <v>3650</v>
      </c>
      <c r="E8763" t="s">
        <v>298</v>
      </c>
      <c r="F8763">
        <v>13</v>
      </c>
      <c r="G8763">
        <v>230829</v>
      </c>
      <c r="H8763">
        <v>4600</v>
      </c>
      <c r="I8763" t="s">
        <v>105</v>
      </c>
      <c r="J8763">
        <v>16.12</v>
      </c>
      <c r="K8763">
        <v>3.12</v>
      </c>
      <c r="L8763">
        <v>56568</v>
      </c>
      <c r="M8763" t="s">
        <v>268</v>
      </c>
      <c r="N8763" t="str">
        <f>"1309085     "</f>
        <v xml:space="preserve">1309085     </v>
      </c>
      <c r="O8763">
        <v>230830</v>
      </c>
    </row>
    <row r="8764" spans="1:15" x14ac:dyDescent="0.25">
      <c r="A8764" t="s">
        <v>16</v>
      </c>
      <c r="B8764" t="s">
        <v>3221</v>
      </c>
      <c r="C8764">
        <v>11136</v>
      </c>
      <c r="D8764" t="s">
        <v>3650</v>
      </c>
      <c r="E8764" t="s">
        <v>298</v>
      </c>
      <c r="F8764">
        <v>31.94</v>
      </c>
      <c r="G8764">
        <v>230829</v>
      </c>
      <c r="H8764">
        <v>4600</v>
      </c>
      <c r="I8764" t="s">
        <v>105</v>
      </c>
      <c r="J8764">
        <v>39.6</v>
      </c>
      <c r="K8764">
        <v>7.66</v>
      </c>
      <c r="L8764">
        <v>56568</v>
      </c>
      <c r="M8764" t="s">
        <v>268</v>
      </c>
      <c r="N8764" t="str">
        <f>"1309088     "</f>
        <v xml:space="preserve">1309088     </v>
      </c>
      <c r="O8764">
        <v>230830</v>
      </c>
    </row>
    <row r="8765" spans="1:15" x14ac:dyDescent="0.25">
      <c r="A8765" t="s">
        <v>16</v>
      </c>
      <c r="B8765" t="s">
        <v>3221</v>
      </c>
      <c r="C8765">
        <v>11140</v>
      </c>
      <c r="D8765" t="s">
        <v>3650</v>
      </c>
      <c r="E8765" t="s">
        <v>298</v>
      </c>
      <c r="F8765">
        <v>91</v>
      </c>
      <c r="G8765">
        <v>230829</v>
      </c>
      <c r="H8765">
        <v>4600</v>
      </c>
      <c r="I8765" t="s">
        <v>105</v>
      </c>
      <c r="J8765">
        <v>112.84</v>
      </c>
      <c r="K8765">
        <v>21.84</v>
      </c>
      <c r="L8765">
        <v>56568</v>
      </c>
      <c r="M8765" t="s">
        <v>268</v>
      </c>
      <c r="N8765" t="str">
        <f>"1309104     "</f>
        <v xml:space="preserve">1309104     </v>
      </c>
      <c r="O8765">
        <v>230830</v>
      </c>
    </row>
    <row r="8766" spans="1:15" x14ac:dyDescent="0.25">
      <c r="A8766" t="s">
        <v>16</v>
      </c>
      <c r="B8766" t="s">
        <v>3221</v>
      </c>
      <c r="C8766">
        <v>11174</v>
      </c>
      <c r="D8766" t="s">
        <v>3650</v>
      </c>
      <c r="E8766" t="s">
        <v>298</v>
      </c>
      <c r="F8766">
        <v>89.52</v>
      </c>
      <c r="G8766">
        <v>230829</v>
      </c>
      <c r="H8766">
        <v>4600</v>
      </c>
      <c r="I8766" t="s">
        <v>105</v>
      </c>
      <c r="J8766">
        <v>111</v>
      </c>
      <c r="K8766">
        <v>21.48</v>
      </c>
      <c r="L8766">
        <v>56568</v>
      </c>
      <c r="M8766" t="s">
        <v>268</v>
      </c>
      <c r="N8766" t="str">
        <f>"1309084     "</f>
        <v xml:space="preserve">1309084     </v>
      </c>
      <c r="O8766">
        <v>230830</v>
      </c>
    </row>
    <row r="8767" spans="1:15" x14ac:dyDescent="0.25">
      <c r="A8767" t="s">
        <v>16</v>
      </c>
      <c r="B8767" t="s">
        <v>3221</v>
      </c>
      <c r="C8767">
        <v>11175</v>
      </c>
      <c r="D8767" t="s">
        <v>3650</v>
      </c>
      <c r="E8767" t="s">
        <v>298</v>
      </c>
      <c r="F8767">
        <v>39.840000000000003</v>
      </c>
      <c r="G8767">
        <v>230829</v>
      </c>
      <c r="H8767">
        <v>4600</v>
      </c>
      <c r="I8767" t="s">
        <v>105</v>
      </c>
      <c r="J8767">
        <v>49.4</v>
      </c>
      <c r="K8767">
        <v>9.56</v>
      </c>
      <c r="L8767">
        <v>56568</v>
      </c>
      <c r="M8767" t="s">
        <v>268</v>
      </c>
      <c r="N8767" t="str">
        <f>"1309098     "</f>
        <v xml:space="preserve">1309098     </v>
      </c>
      <c r="O8767">
        <v>230830</v>
      </c>
    </row>
    <row r="8768" spans="1:15" x14ac:dyDescent="0.25">
      <c r="A8768" t="s">
        <v>16</v>
      </c>
      <c r="B8768" t="s">
        <v>3221</v>
      </c>
      <c r="C8768">
        <v>11177</v>
      </c>
      <c r="D8768" t="s">
        <v>3650</v>
      </c>
      <c r="E8768" t="s">
        <v>298</v>
      </c>
      <c r="F8768">
        <v>51.66</v>
      </c>
      <c r="G8768">
        <v>230829</v>
      </c>
      <c r="H8768">
        <v>4600</v>
      </c>
      <c r="I8768" t="s">
        <v>105</v>
      </c>
      <c r="J8768">
        <v>64.06</v>
      </c>
      <c r="K8768">
        <v>12.4</v>
      </c>
      <c r="L8768">
        <v>56568</v>
      </c>
      <c r="M8768" t="s">
        <v>268</v>
      </c>
      <c r="N8768" t="str">
        <f>"1309094     "</f>
        <v xml:space="preserve">1309094     </v>
      </c>
      <c r="O8768">
        <v>230830</v>
      </c>
    </row>
    <row r="8769" spans="1:15" x14ac:dyDescent="0.25">
      <c r="A8769" t="s">
        <v>16</v>
      </c>
      <c r="B8769" t="s">
        <v>3221</v>
      </c>
      <c r="C8769">
        <v>11179</v>
      </c>
      <c r="D8769" t="s">
        <v>3650</v>
      </c>
      <c r="E8769" t="s">
        <v>298</v>
      </c>
      <c r="F8769">
        <v>27.25</v>
      </c>
      <c r="G8769">
        <v>230829</v>
      </c>
      <c r="H8769">
        <v>4600</v>
      </c>
      <c r="I8769" t="s">
        <v>105</v>
      </c>
      <c r="J8769">
        <v>33.79</v>
      </c>
      <c r="K8769">
        <v>6.54</v>
      </c>
      <c r="L8769">
        <v>56568</v>
      </c>
      <c r="M8769" t="s">
        <v>268</v>
      </c>
      <c r="N8769" t="str">
        <f>"1309083     "</f>
        <v xml:space="preserve">1309083     </v>
      </c>
      <c r="O8769">
        <v>230830</v>
      </c>
    </row>
    <row r="8770" spans="1:15" x14ac:dyDescent="0.25">
      <c r="A8770" t="s">
        <v>16</v>
      </c>
      <c r="B8770" t="s">
        <v>3221</v>
      </c>
      <c r="C8770">
        <v>11180</v>
      </c>
      <c r="D8770" t="s">
        <v>3650</v>
      </c>
      <c r="E8770" t="s">
        <v>298</v>
      </c>
      <c r="F8770">
        <v>93.97</v>
      </c>
      <c r="G8770">
        <v>230829</v>
      </c>
      <c r="H8770">
        <v>4600</v>
      </c>
      <c r="I8770" t="s">
        <v>105</v>
      </c>
      <c r="J8770">
        <v>116.52</v>
      </c>
      <c r="K8770">
        <v>22.55</v>
      </c>
      <c r="L8770">
        <v>56568</v>
      </c>
      <c r="M8770" t="s">
        <v>268</v>
      </c>
      <c r="N8770" t="str">
        <f>"1309102     "</f>
        <v xml:space="preserve">1309102     </v>
      </c>
      <c r="O8770">
        <v>230830</v>
      </c>
    </row>
    <row r="8771" spans="1:15" x14ac:dyDescent="0.25">
      <c r="A8771" t="s">
        <v>16</v>
      </c>
      <c r="B8771" t="s">
        <v>3221</v>
      </c>
      <c r="C8771">
        <v>11228</v>
      </c>
      <c r="D8771" t="s">
        <v>3650</v>
      </c>
      <c r="E8771" t="s">
        <v>298</v>
      </c>
      <c r="F8771">
        <v>30.23</v>
      </c>
      <c r="G8771">
        <v>230829</v>
      </c>
      <c r="H8771">
        <v>4600</v>
      </c>
      <c r="I8771" t="s">
        <v>105</v>
      </c>
      <c r="J8771">
        <v>37.479999999999997</v>
      </c>
      <c r="K8771">
        <v>7.25</v>
      </c>
      <c r="L8771">
        <v>56565</v>
      </c>
      <c r="M8771" t="s">
        <v>758</v>
      </c>
      <c r="N8771" t="str">
        <f>"1309096     "</f>
        <v xml:space="preserve">1309096     </v>
      </c>
      <c r="O8771">
        <v>230901</v>
      </c>
    </row>
    <row r="8772" spans="1:15" x14ac:dyDescent="0.25">
      <c r="A8772" t="s">
        <v>16</v>
      </c>
      <c r="B8772" t="s">
        <v>3221</v>
      </c>
      <c r="C8772">
        <v>11658</v>
      </c>
      <c r="D8772" t="s">
        <v>3650</v>
      </c>
      <c r="E8772" t="s">
        <v>298</v>
      </c>
      <c r="F8772">
        <v>36.33</v>
      </c>
      <c r="G8772">
        <v>230829</v>
      </c>
      <c r="H8772">
        <v>4600</v>
      </c>
      <c r="I8772" t="s">
        <v>105</v>
      </c>
      <c r="J8772">
        <v>45.05</v>
      </c>
      <c r="K8772">
        <v>8.7200000000000006</v>
      </c>
      <c r="L8772">
        <v>56565</v>
      </c>
      <c r="M8772" t="s">
        <v>758</v>
      </c>
      <c r="N8772" t="str">
        <f>"1309103     "</f>
        <v xml:space="preserve">1309103     </v>
      </c>
      <c r="O8772">
        <v>230908</v>
      </c>
    </row>
    <row r="8773" spans="1:15" x14ac:dyDescent="0.25">
      <c r="A8773" t="s">
        <v>16</v>
      </c>
      <c r="B8773" t="s">
        <v>3221</v>
      </c>
      <c r="C8773">
        <v>11658</v>
      </c>
      <c r="D8773" t="s">
        <v>3650</v>
      </c>
      <c r="E8773" t="s">
        <v>298</v>
      </c>
      <c r="F8773">
        <v>30.89</v>
      </c>
      <c r="G8773">
        <v>230829</v>
      </c>
      <c r="H8773">
        <v>4600</v>
      </c>
      <c r="I8773" t="s">
        <v>105</v>
      </c>
      <c r="J8773">
        <v>38.299999999999997</v>
      </c>
      <c r="K8773">
        <v>7.41</v>
      </c>
      <c r="L8773">
        <v>56573</v>
      </c>
      <c r="M8773" t="s">
        <v>521</v>
      </c>
      <c r="N8773" t="str">
        <f>"1309103     "</f>
        <v xml:space="preserve">1309103     </v>
      </c>
      <c r="O8773">
        <v>230908</v>
      </c>
    </row>
    <row r="8774" spans="1:15" x14ac:dyDescent="0.25">
      <c r="A8774" t="s">
        <v>16</v>
      </c>
      <c r="B8774" t="s">
        <v>3221</v>
      </c>
      <c r="C8774">
        <v>12067</v>
      </c>
      <c r="D8774" t="s">
        <v>3650</v>
      </c>
      <c r="E8774" t="s">
        <v>298</v>
      </c>
      <c r="F8774">
        <v>7.16</v>
      </c>
      <c r="G8774">
        <v>230912</v>
      </c>
      <c r="H8774">
        <v>4600</v>
      </c>
      <c r="I8774" t="s">
        <v>105</v>
      </c>
      <c r="J8774">
        <v>8.8800000000000008</v>
      </c>
      <c r="K8774">
        <v>1.72</v>
      </c>
      <c r="L8774">
        <v>67554</v>
      </c>
      <c r="M8774" t="s">
        <v>60</v>
      </c>
      <c r="N8774" t="str">
        <f>"1310324     "</f>
        <v xml:space="preserve">1310324     </v>
      </c>
      <c r="O8774">
        <v>230913</v>
      </c>
    </row>
    <row r="8775" spans="1:15" x14ac:dyDescent="0.25">
      <c r="A8775" t="s">
        <v>16</v>
      </c>
      <c r="B8775" t="s">
        <v>3221</v>
      </c>
      <c r="C8775">
        <v>12080</v>
      </c>
      <c r="D8775" t="s">
        <v>3650</v>
      </c>
      <c r="E8775" t="s">
        <v>298</v>
      </c>
      <c r="F8775">
        <v>25.9</v>
      </c>
      <c r="G8775">
        <v>230912</v>
      </c>
      <c r="H8775">
        <v>4600</v>
      </c>
      <c r="I8775" t="s">
        <v>105</v>
      </c>
      <c r="J8775">
        <v>32.11</v>
      </c>
      <c r="K8775">
        <v>6.21</v>
      </c>
      <c r="L8775">
        <v>69501</v>
      </c>
      <c r="M8775" t="s">
        <v>185</v>
      </c>
      <c r="N8775" t="str">
        <f>"1310325     "</f>
        <v xml:space="preserve">1310325     </v>
      </c>
      <c r="O8775">
        <v>230913</v>
      </c>
    </row>
    <row r="8776" spans="1:15" x14ac:dyDescent="0.25">
      <c r="A8776" t="s">
        <v>16</v>
      </c>
      <c r="B8776" t="s">
        <v>3221</v>
      </c>
      <c r="C8776">
        <v>12295</v>
      </c>
      <c r="D8776" t="s">
        <v>3650</v>
      </c>
      <c r="E8776" t="s">
        <v>298</v>
      </c>
      <c r="F8776">
        <v>84.24</v>
      </c>
      <c r="G8776">
        <v>230912</v>
      </c>
      <c r="H8776">
        <v>4600</v>
      </c>
      <c r="I8776" t="s">
        <v>105</v>
      </c>
      <c r="J8776">
        <v>104.46</v>
      </c>
      <c r="K8776">
        <v>20.22</v>
      </c>
      <c r="L8776">
        <v>56568</v>
      </c>
      <c r="M8776" t="s">
        <v>268</v>
      </c>
      <c r="N8776" t="str">
        <f>"1310300     "</f>
        <v xml:space="preserve">1310300     </v>
      </c>
      <c r="O8776">
        <v>230918</v>
      </c>
    </row>
    <row r="8777" spans="1:15" x14ac:dyDescent="0.25">
      <c r="A8777" t="s">
        <v>16</v>
      </c>
      <c r="B8777" t="s">
        <v>3221</v>
      </c>
      <c r="C8777">
        <v>12296</v>
      </c>
      <c r="D8777" t="s">
        <v>3650</v>
      </c>
      <c r="E8777" t="s">
        <v>298</v>
      </c>
      <c r="F8777">
        <v>115.13</v>
      </c>
      <c r="G8777">
        <v>230912</v>
      </c>
      <c r="H8777">
        <v>4600</v>
      </c>
      <c r="I8777" t="s">
        <v>105</v>
      </c>
      <c r="J8777">
        <v>142.76</v>
      </c>
      <c r="K8777">
        <v>27.63</v>
      </c>
      <c r="L8777">
        <v>56568</v>
      </c>
      <c r="M8777" t="s">
        <v>268</v>
      </c>
      <c r="N8777" t="str">
        <f>"1310305     "</f>
        <v xml:space="preserve">1310305     </v>
      </c>
      <c r="O8777">
        <v>230918</v>
      </c>
    </row>
    <row r="8778" spans="1:15" x14ac:dyDescent="0.25">
      <c r="A8778" t="s">
        <v>16</v>
      </c>
      <c r="B8778" t="s">
        <v>3221</v>
      </c>
      <c r="C8778">
        <v>12297</v>
      </c>
      <c r="D8778" t="s">
        <v>3650</v>
      </c>
      <c r="E8778" t="s">
        <v>298</v>
      </c>
      <c r="F8778">
        <v>12.03</v>
      </c>
      <c r="G8778">
        <v>230912</v>
      </c>
      <c r="H8778">
        <v>4600</v>
      </c>
      <c r="I8778" t="s">
        <v>105</v>
      </c>
      <c r="J8778">
        <v>14.92</v>
      </c>
      <c r="K8778">
        <v>2.89</v>
      </c>
      <c r="L8778">
        <v>56568</v>
      </c>
      <c r="M8778" t="s">
        <v>268</v>
      </c>
      <c r="N8778" t="str">
        <f>"1310303     "</f>
        <v xml:space="preserve">1310303     </v>
      </c>
      <c r="O8778">
        <v>230918</v>
      </c>
    </row>
    <row r="8779" spans="1:15" x14ac:dyDescent="0.25">
      <c r="A8779" t="s">
        <v>16</v>
      </c>
      <c r="B8779" t="s">
        <v>3221</v>
      </c>
      <c r="C8779">
        <v>12298</v>
      </c>
      <c r="D8779" t="s">
        <v>3650</v>
      </c>
      <c r="E8779" t="s">
        <v>298</v>
      </c>
      <c r="F8779">
        <v>215.87</v>
      </c>
      <c r="G8779">
        <v>230912</v>
      </c>
      <c r="H8779">
        <v>4600</v>
      </c>
      <c r="I8779" t="s">
        <v>105</v>
      </c>
      <c r="J8779">
        <v>267.68</v>
      </c>
      <c r="K8779">
        <v>51.81</v>
      </c>
      <c r="L8779">
        <v>17529</v>
      </c>
      <c r="M8779" t="s">
        <v>453</v>
      </c>
      <c r="N8779" t="str">
        <f>"1310309     "</f>
        <v xml:space="preserve">1310309     </v>
      </c>
      <c r="O8779">
        <v>230918</v>
      </c>
    </row>
    <row r="8780" spans="1:15" x14ac:dyDescent="0.25">
      <c r="A8780" t="s">
        <v>16</v>
      </c>
      <c r="B8780" t="s">
        <v>3221</v>
      </c>
      <c r="C8780">
        <v>12300</v>
      </c>
      <c r="D8780" t="s">
        <v>3650</v>
      </c>
      <c r="E8780" t="s">
        <v>298</v>
      </c>
      <c r="F8780">
        <v>16.13</v>
      </c>
      <c r="G8780">
        <v>230912</v>
      </c>
      <c r="H8780">
        <v>4600</v>
      </c>
      <c r="I8780" t="s">
        <v>105</v>
      </c>
      <c r="J8780">
        <v>20</v>
      </c>
      <c r="K8780">
        <v>3.87</v>
      </c>
      <c r="L8780">
        <v>56568</v>
      </c>
      <c r="M8780" t="s">
        <v>268</v>
      </c>
      <c r="N8780" t="str">
        <f>"1310307     "</f>
        <v xml:space="preserve">1310307     </v>
      </c>
      <c r="O8780">
        <v>230918</v>
      </c>
    </row>
    <row r="8781" spans="1:15" x14ac:dyDescent="0.25">
      <c r="A8781" t="s">
        <v>16</v>
      </c>
      <c r="B8781" t="s">
        <v>3221</v>
      </c>
      <c r="C8781">
        <v>12302</v>
      </c>
      <c r="D8781" t="s">
        <v>3650</v>
      </c>
      <c r="E8781" t="s">
        <v>298</v>
      </c>
      <c r="F8781">
        <v>379.47</v>
      </c>
      <c r="G8781">
        <v>230912</v>
      </c>
      <c r="H8781">
        <v>4600</v>
      </c>
      <c r="I8781" t="s">
        <v>105</v>
      </c>
      <c r="J8781">
        <v>470.54</v>
      </c>
      <c r="K8781">
        <v>91.07</v>
      </c>
      <c r="L8781">
        <v>56568</v>
      </c>
      <c r="M8781" t="s">
        <v>268</v>
      </c>
      <c r="N8781" t="str">
        <f>"1310310     "</f>
        <v xml:space="preserve">1310310     </v>
      </c>
      <c r="O8781">
        <v>230918</v>
      </c>
    </row>
    <row r="8782" spans="1:15" x14ac:dyDescent="0.25">
      <c r="A8782" t="s">
        <v>16</v>
      </c>
      <c r="B8782" t="s">
        <v>3221</v>
      </c>
      <c r="C8782">
        <v>12304</v>
      </c>
      <c r="D8782" t="s">
        <v>3650</v>
      </c>
      <c r="E8782" t="s">
        <v>298</v>
      </c>
      <c r="F8782">
        <v>242.14</v>
      </c>
      <c r="G8782">
        <v>230912</v>
      </c>
      <c r="H8782">
        <v>4600</v>
      </c>
      <c r="I8782" t="s">
        <v>105</v>
      </c>
      <c r="J8782">
        <v>300.25</v>
      </c>
      <c r="K8782">
        <v>58.11</v>
      </c>
      <c r="L8782">
        <v>56568</v>
      </c>
      <c r="M8782" t="s">
        <v>268</v>
      </c>
      <c r="N8782" t="str">
        <f>"1310299     "</f>
        <v xml:space="preserve">1310299     </v>
      </c>
      <c r="O8782">
        <v>230918</v>
      </c>
    </row>
    <row r="8783" spans="1:15" x14ac:dyDescent="0.25">
      <c r="A8783" t="s">
        <v>16</v>
      </c>
      <c r="B8783" t="s">
        <v>3221</v>
      </c>
      <c r="C8783">
        <v>12306</v>
      </c>
      <c r="D8783" t="s">
        <v>3650</v>
      </c>
      <c r="E8783" t="s">
        <v>298</v>
      </c>
      <c r="F8783">
        <v>3.59</v>
      </c>
      <c r="G8783">
        <v>230912</v>
      </c>
      <c r="H8783">
        <v>4600</v>
      </c>
      <c r="I8783" t="s">
        <v>105</v>
      </c>
      <c r="J8783">
        <v>4.45</v>
      </c>
      <c r="K8783">
        <v>0.86</v>
      </c>
      <c r="L8783">
        <v>56568</v>
      </c>
      <c r="M8783" t="s">
        <v>268</v>
      </c>
      <c r="N8783" t="str">
        <f>"1310313     "</f>
        <v xml:space="preserve">1310313     </v>
      </c>
      <c r="O8783">
        <v>230918</v>
      </c>
    </row>
    <row r="8784" spans="1:15" x14ac:dyDescent="0.25">
      <c r="A8784" t="s">
        <v>16</v>
      </c>
      <c r="B8784" t="s">
        <v>3221</v>
      </c>
      <c r="C8784">
        <v>12308</v>
      </c>
      <c r="D8784" t="s">
        <v>3650</v>
      </c>
      <c r="E8784" t="s">
        <v>298</v>
      </c>
      <c r="F8784">
        <v>188.16</v>
      </c>
      <c r="G8784">
        <v>230912</v>
      </c>
      <c r="H8784">
        <v>4600</v>
      </c>
      <c r="I8784" t="s">
        <v>105</v>
      </c>
      <c r="J8784">
        <v>233.32</v>
      </c>
      <c r="K8784">
        <v>45.16</v>
      </c>
      <c r="L8784">
        <v>56568</v>
      </c>
      <c r="M8784" t="s">
        <v>268</v>
      </c>
      <c r="N8784" t="str">
        <f>"1310312     "</f>
        <v xml:space="preserve">1310312     </v>
      </c>
      <c r="O8784">
        <v>230918</v>
      </c>
    </row>
    <row r="8785" spans="1:15" x14ac:dyDescent="0.25">
      <c r="A8785" t="s">
        <v>16</v>
      </c>
      <c r="B8785" t="s">
        <v>3221</v>
      </c>
      <c r="C8785">
        <v>12309</v>
      </c>
      <c r="D8785" t="s">
        <v>3650</v>
      </c>
      <c r="E8785" t="s">
        <v>298</v>
      </c>
      <c r="F8785">
        <v>17.75</v>
      </c>
      <c r="G8785">
        <v>230912</v>
      </c>
      <c r="H8785">
        <v>4600</v>
      </c>
      <c r="I8785" t="s">
        <v>105</v>
      </c>
      <c r="J8785">
        <v>22.01</v>
      </c>
      <c r="K8785">
        <v>4.26</v>
      </c>
      <c r="L8785">
        <v>56568</v>
      </c>
      <c r="M8785" t="s">
        <v>268</v>
      </c>
      <c r="N8785" t="str">
        <f>"1310311     "</f>
        <v xml:space="preserve">1310311     </v>
      </c>
      <c r="O8785">
        <v>230918</v>
      </c>
    </row>
    <row r="8786" spans="1:15" x14ac:dyDescent="0.25">
      <c r="A8786" t="s">
        <v>16</v>
      </c>
      <c r="B8786" t="s">
        <v>3221</v>
      </c>
      <c r="C8786">
        <v>12311</v>
      </c>
      <c r="D8786" t="s">
        <v>3650</v>
      </c>
      <c r="E8786" t="s">
        <v>298</v>
      </c>
      <c r="F8786">
        <v>137.27000000000001</v>
      </c>
      <c r="G8786">
        <v>230912</v>
      </c>
      <c r="H8786">
        <v>4600</v>
      </c>
      <c r="I8786" t="s">
        <v>105</v>
      </c>
      <c r="J8786">
        <v>170.22</v>
      </c>
      <c r="K8786">
        <v>32.950000000000003</v>
      </c>
      <c r="L8786">
        <v>56568</v>
      </c>
      <c r="M8786" t="s">
        <v>268</v>
      </c>
      <c r="N8786" t="str">
        <f>"1310314     "</f>
        <v xml:space="preserve">1310314     </v>
      </c>
      <c r="O8786">
        <v>230918</v>
      </c>
    </row>
    <row r="8787" spans="1:15" x14ac:dyDescent="0.25">
      <c r="A8787" t="s">
        <v>16</v>
      </c>
      <c r="B8787" t="s">
        <v>3221</v>
      </c>
      <c r="C8787">
        <v>12312</v>
      </c>
      <c r="D8787" t="s">
        <v>3650</v>
      </c>
      <c r="E8787" t="s">
        <v>298</v>
      </c>
      <c r="F8787">
        <v>34.72</v>
      </c>
      <c r="G8787">
        <v>230912</v>
      </c>
      <c r="H8787">
        <v>4600</v>
      </c>
      <c r="I8787" t="s">
        <v>105</v>
      </c>
      <c r="J8787">
        <v>43.05</v>
      </c>
      <c r="K8787">
        <v>8.33</v>
      </c>
      <c r="L8787">
        <v>56568</v>
      </c>
      <c r="M8787" t="s">
        <v>268</v>
      </c>
      <c r="N8787" t="str">
        <f>"1310316     "</f>
        <v xml:space="preserve">1310316     </v>
      </c>
      <c r="O8787">
        <v>230918</v>
      </c>
    </row>
    <row r="8788" spans="1:15" x14ac:dyDescent="0.25">
      <c r="A8788" t="s">
        <v>16</v>
      </c>
      <c r="B8788" t="s">
        <v>3221</v>
      </c>
      <c r="C8788">
        <v>12313</v>
      </c>
      <c r="D8788" t="s">
        <v>3650</v>
      </c>
      <c r="E8788" t="s">
        <v>298</v>
      </c>
      <c r="F8788">
        <v>103.48</v>
      </c>
      <c r="G8788">
        <v>230912</v>
      </c>
      <c r="H8788">
        <v>4600</v>
      </c>
      <c r="I8788" t="s">
        <v>105</v>
      </c>
      <c r="J8788">
        <v>128.32</v>
      </c>
      <c r="K8788">
        <v>24.84</v>
      </c>
      <c r="L8788">
        <v>56568</v>
      </c>
      <c r="M8788" t="s">
        <v>268</v>
      </c>
      <c r="N8788" t="str">
        <f>"1310304     "</f>
        <v xml:space="preserve">1310304     </v>
      </c>
      <c r="O8788">
        <v>230918</v>
      </c>
    </row>
    <row r="8789" spans="1:15" x14ac:dyDescent="0.25">
      <c r="A8789" t="s">
        <v>16</v>
      </c>
      <c r="B8789" t="s">
        <v>3221</v>
      </c>
      <c r="C8789">
        <v>12318</v>
      </c>
      <c r="D8789" t="s">
        <v>3650</v>
      </c>
      <c r="E8789" t="s">
        <v>298</v>
      </c>
      <c r="F8789">
        <v>12.5</v>
      </c>
      <c r="G8789">
        <v>230912</v>
      </c>
      <c r="H8789">
        <v>4600</v>
      </c>
      <c r="I8789" t="s">
        <v>105</v>
      </c>
      <c r="J8789">
        <v>15.5</v>
      </c>
      <c r="K8789">
        <v>3</v>
      </c>
      <c r="L8789">
        <v>56568</v>
      </c>
      <c r="M8789" t="s">
        <v>268</v>
      </c>
      <c r="N8789" t="str">
        <f>"1310322     "</f>
        <v xml:space="preserve">1310322     </v>
      </c>
      <c r="O8789">
        <v>230918</v>
      </c>
    </row>
    <row r="8790" spans="1:15" x14ac:dyDescent="0.25">
      <c r="A8790" t="s">
        <v>16</v>
      </c>
      <c r="B8790" t="s">
        <v>3221</v>
      </c>
      <c r="C8790">
        <v>12319</v>
      </c>
      <c r="D8790" t="s">
        <v>3650</v>
      </c>
      <c r="E8790" t="s">
        <v>298</v>
      </c>
      <c r="F8790">
        <v>3.05</v>
      </c>
      <c r="G8790">
        <v>230912</v>
      </c>
      <c r="H8790">
        <v>4600</v>
      </c>
      <c r="I8790" t="s">
        <v>105</v>
      </c>
      <c r="J8790">
        <v>3.78</v>
      </c>
      <c r="K8790">
        <v>0.73</v>
      </c>
      <c r="L8790">
        <v>56568</v>
      </c>
      <c r="M8790" t="s">
        <v>268</v>
      </c>
      <c r="N8790" t="str">
        <f>"1310319     "</f>
        <v xml:space="preserve">1310319     </v>
      </c>
      <c r="O8790">
        <v>230918</v>
      </c>
    </row>
    <row r="8791" spans="1:15" x14ac:dyDescent="0.25">
      <c r="A8791" t="s">
        <v>16</v>
      </c>
      <c r="B8791" t="s">
        <v>3221</v>
      </c>
      <c r="C8791">
        <v>12729</v>
      </c>
      <c r="D8791" t="s">
        <v>3650</v>
      </c>
      <c r="E8791" t="s">
        <v>298</v>
      </c>
      <c r="F8791">
        <v>54.65</v>
      </c>
      <c r="G8791">
        <v>230912</v>
      </c>
      <c r="H8791">
        <v>4600</v>
      </c>
      <c r="I8791" t="s">
        <v>105</v>
      </c>
      <c r="J8791">
        <v>67.760000000000005</v>
      </c>
      <c r="K8791">
        <v>13.11</v>
      </c>
      <c r="L8791">
        <v>56565</v>
      </c>
      <c r="M8791" t="s">
        <v>758</v>
      </c>
      <c r="N8791" t="str">
        <f>"1310306     "</f>
        <v xml:space="preserve">1310306     </v>
      </c>
      <c r="O8791">
        <v>230925</v>
      </c>
    </row>
    <row r="8792" spans="1:15" x14ac:dyDescent="0.25">
      <c r="A8792" t="s">
        <v>16</v>
      </c>
      <c r="B8792" t="s">
        <v>3221</v>
      </c>
      <c r="C8792">
        <v>12980</v>
      </c>
      <c r="D8792" t="s">
        <v>3650</v>
      </c>
      <c r="E8792" t="s">
        <v>298</v>
      </c>
      <c r="F8792">
        <v>11.03</v>
      </c>
      <c r="G8792">
        <v>230926</v>
      </c>
      <c r="H8792">
        <v>4600</v>
      </c>
      <c r="I8792" t="s">
        <v>105</v>
      </c>
      <c r="J8792">
        <v>13.68</v>
      </c>
      <c r="K8792">
        <v>2.65</v>
      </c>
      <c r="L8792">
        <v>56568</v>
      </c>
      <c r="M8792" t="s">
        <v>268</v>
      </c>
      <c r="N8792" t="str">
        <f>"1311597     "</f>
        <v xml:space="preserve">1311597     </v>
      </c>
      <c r="O8792">
        <v>231002</v>
      </c>
    </row>
    <row r="8793" spans="1:15" x14ac:dyDescent="0.25">
      <c r="A8793" t="s">
        <v>16</v>
      </c>
      <c r="B8793" t="s">
        <v>3221</v>
      </c>
      <c r="C8793">
        <v>12982</v>
      </c>
      <c r="D8793" t="s">
        <v>3650</v>
      </c>
      <c r="E8793" t="s">
        <v>298</v>
      </c>
      <c r="F8793">
        <v>6.13</v>
      </c>
      <c r="G8793">
        <v>230926</v>
      </c>
      <c r="H8793">
        <v>4600</v>
      </c>
      <c r="I8793" t="s">
        <v>105</v>
      </c>
      <c r="J8793">
        <v>7.6</v>
      </c>
      <c r="K8793">
        <v>1.47</v>
      </c>
      <c r="L8793">
        <v>56568</v>
      </c>
      <c r="M8793" t="s">
        <v>268</v>
      </c>
      <c r="N8793" t="str">
        <f>"1311603     "</f>
        <v xml:space="preserve">1311603     </v>
      </c>
      <c r="O8793">
        <v>231002</v>
      </c>
    </row>
    <row r="8794" spans="1:15" x14ac:dyDescent="0.25">
      <c r="A8794" t="s">
        <v>16</v>
      </c>
      <c r="B8794" t="s">
        <v>3221</v>
      </c>
      <c r="C8794">
        <v>12983</v>
      </c>
      <c r="D8794" t="s">
        <v>3650</v>
      </c>
      <c r="E8794" t="s">
        <v>298</v>
      </c>
      <c r="F8794">
        <v>1.1299999999999999</v>
      </c>
      <c r="G8794">
        <v>230926</v>
      </c>
      <c r="H8794">
        <v>4600</v>
      </c>
      <c r="I8794" t="s">
        <v>105</v>
      </c>
      <c r="J8794">
        <v>1.4</v>
      </c>
      <c r="K8794">
        <v>0.27</v>
      </c>
      <c r="L8794">
        <v>56568</v>
      </c>
      <c r="M8794" t="s">
        <v>268</v>
      </c>
      <c r="N8794" t="str">
        <f>"1311625     "</f>
        <v xml:space="preserve">1311625     </v>
      </c>
      <c r="O8794">
        <v>231002</v>
      </c>
    </row>
    <row r="8795" spans="1:15" x14ac:dyDescent="0.25">
      <c r="A8795" t="s">
        <v>16</v>
      </c>
      <c r="B8795" t="s">
        <v>3221</v>
      </c>
      <c r="C8795">
        <v>12984</v>
      </c>
      <c r="D8795" t="s">
        <v>3650</v>
      </c>
      <c r="E8795" t="s">
        <v>298</v>
      </c>
      <c r="F8795">
        <v>25.5</v>
      </c>
      <c r="G8795">
        <v>230926</v>
      </c>
      <c r="H8795">
        <v>4600</v>
      </c>
      <c r="I8795" t="s">
        <v>105</v>
      </c>
      <c r="J8795">
        <v>31.62</v>
      </c>
      <c r="K8795">
        <v>6.12</v>
      </c>
      <c r="L8795">
        <v>56568</v>
      </c>
      <c r="M8795" t="s">
        <v>268</v>
      </c>
      <c r="N8795" t="str">
        <f>"1311604     "</f>
        <v xml:space="preserve">1311604     </v>
      </c>
      <c r="O8795">
        <v>231002</v>
      </c>
    </row>
    <row r="8796" spans="1:15" x14ac:dyDescent="0.25">
      <c r="A8796" t="s">
        <v>16</v>
      </c>
      <c r="B8796" t="s">
        <v>3221</v>
      </c>
      <c r="C8796">
        <v>12985</v>
      </c>
      <c r="D8796" t="s">
        <v>3650</v>
      </c>
      <c r="E8796" t="s">
        <v>298</v>
      </c>
      <c r="F8796">
        <v>135</v>
      </c>
      <c r="G8796">
        <v>230926</v>
      </c>
      <c r="H8796">
        <v>4600</v>
      </c>
      <c r="I8796" t="s">
        <v>105</v>
      </c>
      <c r="J8796">
        <v>167.4</v>
      </c>
      <c r="K8796">
        <v>32.4</v>
      </c>
      <c r="L8796">
        <v>56568</v>
      </c>
      <c r="M8796" t="s">
        <v>268</v>
      </c>
      <c r="N8796" t="str">
        <f>"1311622     "</f>
        <v xml:space="preserve">1311622     </v>
      </c>
      <c r="O8796">
        <v>231002</v>
      </c>
    </row>
    <row r="8797" spans="1:15" x14ac:dyDescent="0.25">
      <c r="A8797" t="s">
        <v>16</v>
      </c>
      <c r="B8797" t="s">
        <v>3221</v>
      </c>
      <c r="C8797">
        <v>12989</v>
      </c>
      <c r="D8797" t="s">
        <v>3650</v>
      </c>
      <c r="E8797" t="s">
        <v>298</v>
      </c>
      <c r="F8797">
        <v>133.62</v>
      </c>
      <c r="G8797">
        <v>230926</v>
      </c>
      <c r="H8797">
        <v>4600</v>
      </c>
      <c r="I8797" t="s">
        <v>105</v>
      </c>
      <c r="J8797">
        <v>165.69</v>
      </c>
      <c r="K8797">
        <v>32.07</v>
      </c>
      <c r="L8797">
        <v>56568</v>
      </c>
      <c r="M8797" t="s">
        <v>268</v>
      </c>
      <c r="N8797" t="str">
        <f>"1311618     "</f>
        <v xml:space="preserve">1311618     </v>
      </c>
      <c r="O8797">
        <v>231002</v>
      </c>
    </row>
    <row r="8798" spans="1:15" x14ac:dyDescent="0.25">
      <c r="A8798" t="s">
        <v>16</v>
      </c>
      <c r="B8798" t="s">
        <v>3221</v>
      </c>
      <c r="C8798">
        <v>12990</v>
      </c>
      <c r="D8798" t="s">
        <v>3650</v>
      </c>
      <c r="E8798" t="s">
        <v>298</v>
      </c>
      <c r="F8798">
        <v>105.38</v>
      </c>
      <c r="G8798">
        <v>230926</v>
      </c>
      <c r="H8798">
        <v>4600</v>
      </c>
      <c r="I8798" t="s">
        <v>105</v>
      </c>
      <c r="J8798">
        <v>130.66999999999999</v>
      </c>
      <c r="K8798">
        <v>25.29</v>
      </c>
      <c r="L8798">
        <v>56568</v>
      </c>
      <c r="M8798" t="s">
        <v>268</v>
      </c>
      <c r="N8798" t="str">
        <f>"1311605     "</f>
        <v xml:space="preserve">1311605     </v>
      </c>
      <c r="O8798">
        <v>231002</v>
      </c>
    </row>
    <row r="8799" spans="1:15" x14ac:dyDescent="0.25">
      <c r="A8799" t="s">
        <v>16</v>
      </c>
      <c r="B8799" t="s">
        <v>3221</v>
      </c>
      <c r="C8799">
        <v>12991</v>
      </c>
      <c r="D8799" t="s">
        <v>3650</v>
      </c>
      <c r="E8799" t="s">
        <v>298</v>
      </c>
      <c r="F8799">
        <v>20.97</v>
      </c>
      <c r="G8799">
        <v>230926</v>
      </c>
      <c r="H8799">
        <v>4600</v>
      </c>
      <c r="I8799" t="s">
        <v>105</v>
      </c>
      <c r="J8799">
        <v>26</v>
      </c>
      <c r="K8799">
        <v>5.03</v>
      </c>
      <c r="L8799">
        <v>56568</v>
      </c>
      <c r="M8799" t="s">
        <v>268</v>
      </c>
      <c r="N8799" t="str">
        <f>"1311617     "</f>
        <v xml:space="preserve">1311617     </v>
      </c>
      <c r="O8799">
        <v>231002</v>
      </c>
    </row>
    <row r="8800" spans="1:15" x14ac:dyDescent="0.25">
      <c r="A8800" t="s">
        <v>16</v>
      </c>
      <c r="B8800" t="s">
        <v>3221</v>
      </c>
      <c r="C8800">
        <v>12994</v>
      </c>
      <c r="D8800" t="s">
        <v>3650</v>
      </c>
      <c r="E8800" t="s">
        <v>298</v>
      </c>
      <c r="F8800">
        <v>47.02</v>
      </c>
      <c r="G8800">
        <v>230926</v>
      </c>
      <c r="H8800">
        <v>4600</v>
      </c>
      <c r="I8800" t="s">
        <v>105</v>
      </c>
      <c r="J8800">
        <v>58.3</v>
      </c>
      <c r="K8800">
        <v>11.28</v>
      </c>
      <c r="L8800">
        <v>56568</v>
      </c>
      <c r="M8800" t="s">
        <v>268</v>
      </c>
      <c r="N8800" t="str">
        <f>"1311631     "</f>
        <v xml:space="preserve">1311631     </v>
      </c>
      <c r="O8800">
        <v>231002</v>
      </c>
    </row>
    <row r="8801" spans="1:15" x14ac:dyDescent="0.25">
      <c r="A8801" t="s">
        <v>16</v>
      </c>
      <c r="B8801" t="s">
        <v>3221</v>
      </c>
      <c r="C8801">
        <v>12995</v>
      </c>
      <c r="D8801" t="s">
        <v>3650</v>
      </c>
      <c r="E8801" t="s">
        <v>298</v>
      </c>
      <c r="F8801">
        <v>8.15</v>
      </c>
      <c r="G8801">
        <v>230926</v>
      </c>
      <c r="H8801">
        <v>4600</v>
      </c>
      <c r="I8801" t="s">
        <v>105</v>
      </c>
      <c r="J8801">
        <v>10.1</v>
      </c>
      <c r="K8801">
        <v>1.95</v>
      </c>
      <c r="L8801">
        <v>56568</v>
      </c>
      <c r="M8801" t="s">
        <v>268</v>
      </c>
      <c r="N8801" t="str">
        <f>"1311602     "</f>
        <v xml:space="preserve">1311602     </v>
      </c>
      <c r="O8801">
        <v>231002</v>
      </c>
    </row>
    <row r="8802" spans="1:15" x14ac:dyDescent="0.25">
      <c r="A8802" t="s">
        <v>16</v>
      </c>
      <c r="B8802" t="s">
        <v>3221</v>
      </c>
      <c r="C8802">
        <v>12996</v>
      </c>
      <c r="D8802" t="s">
        <v>3650</v>
      </c>
      <c r="E8802" t="s">
        <v>298</v>
      </c>
      <c r="F8802">
        <v>59.4</v>
      </c>
      <c r="G8802">
        <v>230926</v>
      </c>
      <c r="H8802">
        <v>4600</v>
      </c>
      <c r="I8802" t="s">
        <v>105</v>
      </c>
      <c r="J8802">
        <v>73.66</v>
      </c>
      <c r="K8802">
        <v>14.26</v>
      </c>
      <c r="L8802">
        <v>56568</v>
      </c>
      <c r="M8802" t="s">
        <v>268</v>
      </c>
      <c r="N8802" t="str">
        <f>"1311610     "</f>
        <v xml:space="preserve">1311610     </v>
      </c>
      <c r="O8802">
        <v>231002</v>
      </c>
    </row>
    <row r="8803" spans="1:15" x14ac:dyDescent="0.25">
      <c r="A8803" t="s">
        <v>16</v>
      </c>
      <c r="B8803" t="s">
        <v>3221</v>
      </c>
      <c r="C8803">
        <v>12997</v>
      </c>
      <c r="D8803" t="s">
        <v>3650</v>
      </c>
      <c r="E8803" t="s">
        <v>298</v>
      </c>
      <c r="F8803">
        <v>45</v>
      </c>
      <c r="G8803">
        <v>230926</v>
      </c>
      <c r="H8803">
        <v>4600</v>
      </c>
      <c r="I8803" t="s">
        <v>105</v>
      </c>
      <c r="J8803">
        <v>55.8</v>
      </c>
      <c r="K8803">
        <v>10.8</v>
      </c>
      <c r="L8803">
        <v>67554</v>
      </c>
      <c r="M8803" t="s">
        <v>60</v>
      </c>
      <c r="N8803" t="str">
        <f>"1311637     "</f>
        <v xml:space="preserve">1311637     </v>
      </c>
      <c r="O8803">
        <v>231002</v>
      </c>
    </row>
    <row r="8804" spans="1:15" x14ac:dyDescent="0.25">
      <c r="A8804" t="s">
        <v>16</v>
      </c>
      <c r="B8804" t="s">
        <v>3221</v>
      </c>
      <c r="C8804">
        <v>12999</v>
      </c>
      <c r="D8804" t="s">
        <v>3650</v>
      </c>
      <c r="E8804" t="s">
        <v>298</v>
      </c>
      <c r="F8804">
        <v>15.49</v>
      </c>
      <c r="G8804">
        <v>230926</v>
      </c>
      <c r="H8804">
        <v>4600</v>
      </c>
      <c r="I8804" t="s">
        <v>105</v>
      </c>
      <c r="J8804">
        <v>19.21</v>
      </c>
      <c r="K8804">
        <v>3.72</v>
      </c>
      <c r="L8804">
        <v>56568</v>
      </c>
      <c r="M8804" t="s">
        <v>268</v>
      </c>
      <c r="N8804" t="str">
        <f>"1311634     "</f>
        <v xml:space="preserve">1311634     </v>
      </c>
      <c r="O8804">
        <v>231002</v>
      </c>
    </row>
    <row r="8805" spans="1:15" x14ac:dyDescent="0.25">
      <c r="A8805" t="s">
        <v>16</v>
      </c>
      <c r="B8805" t="s">
        <v>3221</v>
      </c>
      <c r="C8805">
        <v>13005</v>
      </c>
      <c r="D8805" t="s">
        <v>3650</v>
      </c>
      <c r="E8805" t="s">
        <v>298</v>
      </c>
      <c r="F8805">
        <v>18.559999999999999</v>
      </c>
      <c r="G8805">
        <v>230926</v>
      </c>
      <c r="H8805">
        <v>4600</v>
      </c>
      <c r="I8805" t="s">
        <v>105</v>
      </c>
      <c r="J8805">
        <v>23.01</v>
      </c>
      <c r="K8805">
        <v>4.45</v>
      </c>
      <c r="L8805">
        <v>56568</v>
      </c>
      <c r="M8805" t="s">
        <v>268</v>
      </c>
      <c r="N8805" t="str">
        <f>"1311629     "</f>
        <v xml:space="preserve">1311629     </v>
      </c>
      <c r="O8805">
        <v>231002</v>
      </c>
    </row>
    <row r="8806" spans="1:15" x14ac:dyDescent="0.25">
      <c r="A8806" t="s">
        <v>16</v>
      </c>
      <c r="B8806" t="s">
        <v>3221</v>
      </c>
      <c r="C8806">
        <v>13007</v>
      </c>
      <c r="D8806" t="s">
        <v>3650</v>
      </c>
      <c r="E8806" t="s">
        <v>298</v>
      </c>
      <c r="F8806">
        <v>47.71</v>
      </c>
      <c r="G8806">
        <v>230926</v>
      </c>
      <c r="H8806">
        <v>4600</v>
      </c>
      <c r="I8806" t="s">
        <v>105</v>
      </c>
      <c r="J8806">
        <v>59.16</v>
      </c>
      <c r="K8806">
        <v>11.45</v>
      </c>
      <c r="L8806">
        <v>56568</v>
      </c>
      <c r="M8806" t="s">
        <v>268</v>
      </c>
      <c r="N8806" t="str">
        <f>"1311616     "</f>
        <v xml:space="preserve">1311616     </v>
      </c>
      <c r="O8806">
        <v>231002</v>
      </c>
    </row>
    <row r="8807" spans="1:15" x14ac:dyDescent="0.25">
      <c r="A8807" t="s">
        <v>16</v>
      </c>
      <c r="B8807" t="s">
        <v>3221</v>
      </c>
      <c r="C8807">
        <v>13008</v>
      </c>
      <c r="D8807" t="s">
        <v>3650</v>
      </c>
      <c r="E8807" t="s">
        <v>298</v>
      </c>
      <c r="F8807">
        <v>6.26</v>
      </c>
      <c r="G8807">
        <v>230926</v>
      </c>
      <c r="H8807">
        <v>4600</v>
      </c>
      <c r="I8807" t="s">
        <v>105</v>
      </c>
      <c r="J8807">
        <v>7.76</v>
      </c>
      <c r="K8807">
        <v>1.5</v>
      </c>
      <c r="L8807">
        <v>56568</v>
      </c>
      <c r="M8807" t="s">
        <v>268</v>
      </c>
      <c r="N8807" t="str">
        <f>"1311615     "</f>
        <v xml:space="preserve">1311615     </v>
      </c>
      <c r="O8807">
        <v>231002</v>
      </c>
    </row>
    <row r="8808" spans="1:15" x14ac:dyDescent="0.25">
      <c r="A8808" t="s">
        <v>16</v>
      </c>
      <c r="B8808" t="s">
        <v>3221</v>
      </c>
      <c r="C8808">
        <v>13009</v>
      </c>
      <c r="D8808" t="s">
        <v>3650</v>
      </c>
      <c r="E8808" t="s">
        <v>298</v>
      </c>
      <c r="F8808">
        <v>11.42</v>
      </c>
      <c r="G8808">
        <v>230926</v>
      </c>
      <c r="H8808">
        <v>4600</v>
      </c>
      <c r="I8808" t="s">
        <v>105</v>
      </c>
      <c r="J8808">
        <v>14.16</v>
      </c>
      <c r="K8808">
        <v>2.74</v>
      </c>
      <c r="L8808">
        <v>56568</v>
      </c>
      <c r="M8808" t="s">
        <v>268</v>
      </c>
      <c r="N8808" t="str">
        <f>"1311624     "</f>
        <v xml:space="preserve">1311624     </v>
      </c>
      <c r="O8808">
        <v>231002</v>
      </c>
    </row>
    <row r="8809" spans="1:15" x14ac:dyDescent="0.25">
      <c r="A8809" t="s">
        <v>16</v>
      </c>
      <c r="B8809" t="s">
        <v>3221</v>
      </c>
      <c r="C8809">
        <v>13010</v>
      </c>
      <c r="D8809" t="s">
        <v>3650</v>
      </c>
      <c r="E8809" t="s">
        <v>298</v>
      </c>
      <c r="F8809">
        <v>-8</v>
      </c>
      <c r="G8809">
        <v>230926</v>
      </c>
      <c r="H8809">
        <v>4600</v>
      </c>
      <c r="I8809" t="s">
        <v>105</v>
      </c>
      <c r="J8809">
        <v>-9.92</v>
      </c>
      <c r="K8809">
        <v>-1.92</v>
      </c>
      <c r="L8809">
        <v>56568</v>
      </c>
      <c r="M8809" t="s">
        <v>268</v>
      </c>
      <c r="N8809" t="str">
        <f>"1311601     "</f>
        <v xml:space="preserve">1311601     </v>
      </c>
      <c r="O8809">
        <v>231002</v>
      </c>
    </row>
    <row r="8810" spans="1:15" x14ac:dyDescent="0.25">
      <c r="A8810" t="s">
        <v>16</v>
      </c>
      <c r="B8810" t="s">
        <v>3221</v>
      </c>
      <c r="C8810">
        <v>13011</v>
      </c>
      <c r="D8810" t="s">
        <v>3650</v>
      </c>
      <c r="E8810" t="s">
        <v>298</v>
      </c>
      <c r="F8810">
        <v>51.77</v>
      </c>
      <c r="G8810">
        <v>230926</v>
      </c>
      <c r="H8810">
        <v>4600</v>
      </c>
      <c r="I8810" t="s">
        <v>105</v>
      </c>
      <c r="J8810">
        <v>64.2</v>
      </c>
      <c r="K8810">
        <v>12.43</v>
      </c>
      <c r="L8810">
        <v>56568</v>
      </c>
      <c r="M8810" t="s">
        <v>268</v>
      </c>
      <c r="N8810" t="str">
        <f>"1311598     "</f>
        <v xml:space="preserve">1311598     </v>
      </c>
      <c r="O8810">
        <v>231002</v>
      </c>
    </row>
    <row r="8811" spans="1:15" x14ac:dyDescent="0.25">
      <c r="A8811" t="s">
        <v>16</v>
      </c>
      <c r="B8811" t="s">
        <v>3221</v>
      </c>
      <c r="C8811">
        <v>13013</v>
      </c>
      <c r="D8811" t="s">
        <v>3650</v>
      </c>
      <c r="E8811" t="s">
        <v>298</v>
      </c>
      <c r="F8811">
        <v>94.35</v>
      </c>
      <c r="G8811">
        <v>230926</v>
      </c>
      <c r="H8811">
        <v>4600</v>
      </c>
      <c r="I8811" t="s">
        <v>105</v>
      </c>
      <c r="J8811">
        <v>117</v>
      </c>
      <c r="K8811">
        <v>22.65</v>
      </c>
      <c r="L8811">
        <v>56568</v>
      </c>
      <c r="M8811" t="s">
        <v>268</v>
      </c>
      <c r="N8811" t="str">
        <f>"1311606     "</f>
        <v xml:space="preserve">1311606     </v>
      </c>
      <c r="O8811">
        <v>231002</v>
      </c>
    </row>
    <row r="8812" spans="1:15" x14ac:dyDescent="0.25">
      <c r="A8812" t="s">
        <v>16</v>
      </c>
      <c r="B8812" t="s">
        <v>3221</v>
      </c>
      <c r="C8812">
        <v>13014</v>
      </c>
      <c r="D8812" t="s">
        <v>3650</v>
      </c>
      <c r="E8812" t="s">
        <v>298</v>
      </c>
      <c r="F8812">
        <v>22.94</v>
      </c>
      <c r="G8812">
        <v>230926</v>
      </c>
      <c r="H8812">
        <v>4600</v>
      </c>
      <c r="I8812" t="s">
        <v>105</v>
      </c>
      <c r="J8812">
        <v>28.44</v>
      </c>
      <c r="K8812">
        <v>5.5</v>
      </c>
      <c r="L8812">
        <v>56568</v>
      </c>
      <c r="M8812" t="s">
        <v>268</v>
      </c>
      <c r="N8812" t="str">
        <f>"1311600     "</f>
        <v xml:space="preserve">1311600     </v>
      </c>
      <c r="O8812">
        <v>231002</v>
      </c>
    </row>
    <row r="8813" spans="1:15" x14ac:dyDescent="0.25">
      <c r="A8813" t="s">
        <v>16</v>
      </c>
      <c r="B8813" t="s">
        <v>3221</v>
      </c>
      <c r="C8813">
        <v>13016</v>
      </c>
      <c r="D8813" t="s">
        <v>3650</v>
      </c>
      <c r="E8813" t="s">
        <v>298</v>
      </c>
      <c r="F8813">
        <v>33.270000000000003</v>
      </c>
      <c r="G8813">
        <v>230926</v>
      </c>
      <c r="H8813">
        <v>4600</v>
      </c>
      <c r="I8813" t="s">
        <v>105</v>
      </c>
      <c r="J8813">
        <v>41.26</v>
      </c>
      <c r="K8813">
        <v>7.99</v>
      </c>
      <c r="L8813">
        <v>56568</v>
      </c>
      <c r="M8813" t="s">
        <v>268</v>
      </c>
      <c r="N8813" t="str">
        <f>"1311630     "</f>
        <v xml:space="preserve">1311630     </v>
      </c>
      <c r="O8813">
        <v>231002</v>
      </c>
    </row>
    <row r="8814" spans="1:15" x14ac:dyDescent="0.25">
      <c r="A8814" t="s">
        <v>16</v>
      </c>
      <c r="B8814" t="s">
        <v>3221</v>
      </c>
      <c r="C8814">
        <v>13017</v>
      </c>
      <c r="D8814" t="s">
        <v>3650</v>
      </c>
      <c r="E8814" t="s">
        <v>298</v>
      </c>
      <c r="F8814">
        <v>108.16</v>
      </c>
      <c r="G8814">
        <v>230926</v>
      </c>
      <c r="H8814">
        <v>4600</v>
      </c>
      <c r="I8814" t="s">
        <v>105</v>
      </c>
      <c r="J8814">
        <v>134.12</v>
      </c>
      <c r="K8814">
        <v>25.96</v>
      </c>
      <c r="L8814">
        <v>67554</v>
      </c>
      <c r="M8814" t="s">
        <v>60</v>
      </c>
      <c r="N8814" t="str">
        <f>"1311636     "</f>
        <v xml:space="preserve">1311636     </v>
      </c>
      <c r="O8814">
        <v>231002</v>
      </c>
    </row>
    <row r="8815" spans="1:15" x14ac:dyDescent="0.25">
      <c r="A8815" t="s">
        <v>16</v>
      </c>
      <c r="B8815" t="s">
        <v>3221</v>
      </c>
      <c r="C8815">
        <v>13018</v>
      </c>
      <c r="D8815" t="s">
        <v>3650</v>
      </c>
      <c r="E8815" t="s">
        <v>298</v>
      </c>
      <c r="F8815">
        <v>51.71</v>
      </c>
      <c r="G8815">
        <v>230926</v>
      </c>
      <c r="H8815">
        <v>4600</v>
      </c>
      <c r="I8815" t="s">
        <v>105</v>
      </c>
      <c r="J8815">
        <v>64.12</v>
      </c>
      <c r="K8815">
        <v>12.41</v>
      </c>
      <c r="L8815">
        <v>56568</v>
      </c>
      <c r="M8815" t="s">
        <v>268</v>
      </c>
      <c r="N8815" t="str">
        <f>"1311632     "</f>
        <v xml:space="preserve">1311632     </v>
      </c>
      <c r="O8815">
        <v>231002</v>
      </c>
    </row>
    <row r="8816" spans="1:15" x14ac:dyDescent="0.25">
      <c r="A8816" t="s">
        <v>16</v>
      </c>
      <c r="B8816" t="s">
        <v>3221</v>
      </c>
      <c r="C8816">
        <v>13020</v>
      </c>
      <c r="D8816" t="s">
        <v>3650</v>
      </c>
      <c r="E8816" t="s">
        <v>298</v>
      </c>
      <c r="F8816">
        <v>19.57</v>
      </c>
      <c r="G8816">
        <v>230926</v>
      </c>
      <c r="H8816">
        <v>4600</v>
      </c>
      <c r="I8816" t="s">
        <v>105</v>
      </c>
      <c r="J8816">
        <v>24.27</v>
      </c>
      <c r="K8816">
        <v>4.7</v>
      </c>
      <c r="L8816">
        <v>56568</v>
      </c>
      <c r="M8816" t="s">
        <v>268</v>
      </c>
      <c r="N8816" t="str">
        <f>"1311621     "</f>
        <v xml:space="preserve">1311621     </v>
      </c>
      <c r="O8816">
        <v>231002</v>
      </c>
    </row>
    <row r="8817" spans="1:15" x14ac:dyDescent="0.25">
      <c r="A8817" t="s">
        <v>16</v>
      </c>
      <c r="B8817" t="s">
        <v>3221</v>
      </c>
      <c r="C8817">
        <v>13022</v>
      </c>
      <c r="D8817" t="s">
        <v>3650</v>
      </c>
      <c r="E8817" t="s">
        <v>298</v>
      </c>
      <c r="F8817">
        <v>10.42</v>
      </c>
      <c r="G8817">
        <v>230926</v>
      </c>
      <c r="H8817">
        <v>4600</v>
      </c>
      <c r="I8817" t="s">
        <v>105</v>
      </c>
      <c r="J8817">
        <v>12.92</v>
      </c>
      <c r="K8817">
        <v>2.5</v>
      </c>
      <c r="L8817">
        <v>56568</v>
      </c>
      <c r="M8817" t="s">
        <v>268</v>
      </c>
      <c r="N8817" t="str">
        <f>"1311608     "</f>
        <v xml:space="preserve">1311608     </v>
      </c>
      <c r="O8817">
        <v>231002</v>
      </c>
    </row>
    <row r="8818" spans="1:15" x14ac:dyDescent="0.25">
      <c r="A8818" t="s">
        <v>16</v>
      </c>
      <c r="B8818" t="s">
        <v>3221</v>
      </c>
      <c r="C8818">
        <v>13023</v>
      </c>
      <c r="D8818" t="s">
        <v>3650</v>
      </c>
      <c r="E8818" t="s">
        <v>298</v>
      </c>
      <c r="F8818">
        <v>54.11</v>
      </c>
      <c r="G8818">
        <v>230926</v>
      </c>
      <c r="H8818">
        <v>4600</v>
      </c>
      <c r="I8818" t="s">
        <v>105</v>
      </c>
      <c r="J8818">
        <v>67.099999999999994</v>
      </c>
      <c r="K8818">
        <v>12.99</v>
      </c>
      <c r="L8818">
        <v>56568</v>
      </c>
      <c r="M8818" t="s">
        <v>268</v>
      </c>
      <c r="N8818" t="str">
        <f>"1311623     "</f>
        <v xml:space="preserve">1311623     </v>
      </c>
      <c r="O8818">
        <v>231002</v>
      </c>
    </row>
    <row r="8819" spans="1:15" x14ac:dyDescent="0.25">
      <c r="A8819" t="s">
        <v>16</v>
      </c>
      <c r="B8819" t="s">
        <v>3221</v>
      </c>
      <c r="C8819">
        <v>13061</v>
      </c>
      <c r="D8819" t="s">
        <v>3650</v>
      </c>
      <c r="E8819" t="s">
        <v>298</v>
      </c>
      <c r="F8819">
        <v>75.59</v>
      </c>
      <c r="G8819">
        <v>230926</v>
      </c>
      <c r="H8819">
        <v>4600</v>
      </c>
      <c r="I8819" t="s">
        <v>105</v>
      </c>
      <c r="J8819">
        <v>93.73</v>
      </c>
      <c r="K8819">
        <v>18.14</v>
      </c>
      <c r="L8819">
        <v>56564</v>
      </c>
      <c r="M8819" t="s">
        <v>327</v>
      </c>
      <c r="N8819" t="str">
        <f>"1311611     "</f>
        <v xml:space="preserve">1311611     </v>
      </c>
      <c r="O8819">
        <v>231003</v>
      </c>
    </row>
    <row r="8820" spans="1:15" x14ac:dyDescent="0.25">
      <c r="A8820" t="s">
        <v>16</v>
      </c>
      <c r="B8820" t="s">
        <v>3221</v>
      </c>
      <c r="C8820">
        <v>13182</v>
      </c>
      <c r="D8820" t="s">
        <v>3650</v>
      </c>
      <c r="E8820" t="s">
        <v>298</v>
      </c>
      <c r="F8820">
        <v>40.71</v>
      </c>
      <c r="G8820">
        <v>230926</v>
      </c>
      <c r="H8820">
        <v>4600</v>
      </c>
      <c r="I8820" t="s">
        <v>105</v>
      </c>
      <c r="J8820">
        <v>50.48</v>
      </c>
      <c r="K8820">
        <v>9.77</v>
      </c>
      <c r="L8820">
        <v>56573</v>
      </c>
      <c r="M8820" t="s">
        <v>521</v>
      </c>
      <c r="N8820" t="str">
        <f>"1311599     "</f>
        <v xml:space="preserve">1311599     </v>
      </c>
      <c r="O8820">
        <v>231005</v>
      </c>
    </row>
    <row r="8821" spans="1:15" x14ac:dyDescent="0.25">
      <c r="A8821" t="s">
        <v>16</v>
      </c>
      <c r="B8821" t="s">
        <v>3221</v>
      </c>
      <c r="C8821">
        <v>13186</v>
      </c>
      <c r="D8821" t="s">
        <v>3650</v>
      </c>
      <c r="E8821" t="s">
        <v>298</v>
      </c>
      <c r="F8821">
        <v>20.97</v>
      </c>
      <c r="G8821">
        <v>230926</v>
      </c>
      <c r="H8821">
        <v>4600</v>
      </c>
      <c r="I8821" t="s">
        <v>105</v>
      </c>
      <c r="J8821">
        <v>26</v>
      </c>
      <c r="K8821">
        <v>5.03</v>
      </c>
      <c r="L8821">
        <v>56565</v>
      </c>
      <c r="M8821" t="s">
        <v>758</v>
      </c>
      <c r="N8821" t="str">
        <f>"1311620     "</f>
        <v xml:space="preserve">1311620     </v>
      </c>
      <c r="O8821">
        <v>231005</v>
      </c>
    </row>
    <row r="8822" spans="1:15" x14ac:dyDescent="0.25">
      <c r="A8822" t="s">
        <v>16</v>
      </c>
      <c r="B8822" t="s">
        <v>3221</v>
      </c>
      <c r="C8822">
        <v>13187</v>
      </c>
      <c r="D8822" t="s">
        <v>3650</v>
      </c>
      <c r="E8822" t="s">
        <v>298</v>
      </c>
      <c r="F8822">
        <v>15.24</v>
      </c>
      <c r="G8822">
        <v>230926</v>
      </c>
      <c r="H8822">
        <v>4600</v>
      </c>
      <c r="I8822" t="s">
        <v>105</v>
      </c>
      <c r="J8822">
        <v>18.899999999999999</v>
      </c>
      <c r="K8822">
        <v>3.66</v>
      </c>
      <c r="L8822">
        <v>56565</v>
      </c>
      <c r="M8822" t="s">
        <v>758</v>
      </c>
      <c r="N8822" t="str">
        <f>"1311627     "</f>
        <v xml:space="preserve">1311627     </v>
      </c>
      <c r="O8822">
        <v>231005</v>
      </c>
    </row>
    <row r="8823" spans="1:15" x14ac:dyDescent="0.25">
      <c r="A8823" t="s">
        <v>16</v>
      </c>
      <c r="B8823" t="s">
        <v>3221</v>
      </c>
      <c r="C8823">
        <v>13187</v>
      </c>
      <c r="D8823" t="s">
        <v>3650</v>
      </c>
      <c r="E8823" t="s">
        <v>298</v>
      </c>
      <c r="F8823">
        <v>34.65</v>
      </c>
      <c r="G8823">
        <v>230926</v>
      </c>
      <c r="H8823">
        <v>4600</v>
      </c>
      <c r="I8823" t="s">
        <v>105</v>
      </c>
      <c r="J8823">
        <v>42.97</v>
      </c>
      <c r="K8823">
        <v>8.32</v>
      </c>
      <c r="L8823">
        <v>56573</v>
      </c>
      <c r="M8823" t="s">
        <v>521</v>
      </c>
      <c r="N8823" t="str">
        <f>"1311627     "</f>
        <v xml:space="preserve">1311627     </v>
      </c>
      <c r="O8823">
        <v>231005</v>
      </c>
    </row>
    <row r="8824" spans="1:15" x14ac:dyDescent="0.25">
      <c r="A8824" t="s">
        <v>16</v>
      </c>
      <c r="B8824" t="s">
        <v>3221</v>
      </c>
      <c r="C8824">
        <v>13188</v>
      </c>
      <c r="D8824" t="s">
        <v>3650</v>
      </c>
      <c r="E8824" t="s">
        <v>298</v>
      </c>
      <c r="F8824">
        <v>27.43</v>
      </c>
      <c r="G8824">
        <v>230926</v>
      </c>
      <c r="H8824">
        <v>4600</v>
      </c>
      <c r="I8824" t="s">
        <v>105</v>
      </c>
      <c r="J8824">
        <v>34.01</v>
      </c>
      <c r="K8824">
        <v>6.58</v>
      </c>
      <c r="L8824">
        <v>56565</v>
      </c>
      <c r="M8824" t="s">
        <v>758</v>
      </c>
      <c r="N8824" t="str">
        <f>"1311619     "</f>
        <v xml:space="preserve">1311619     </v>
      </c>
      <c r="O8824">
        <v>231005</v>
      </c>
    </row>
    <row r="8825" spans="1:15" x14ac:dyDescent="0.25">
      <c r="A8825" t="s">
        <v>16</v>
      </c>
      <c r="B8825" t="s">
        <v>3221</v>
      </c>
      <c r="C8825">
        <v>13189</v>
      </c>
      <c r="D8825" t="s">
        <v>3650</v>
      </c>
      <c r="E8825" t="s">
        <v>298</v>
      </c>
      <c r="F8825">
        <v>15.97</v>
      </c>
      <c r="G8825">
        <v>230926</v>
      </c>
      <c r="H8825">
        <v>4600</v>
      </c>
      <c r="I8825" t="s">
        <v>105</v>
      </c>
      <c r="J8825">
        <v>19.8</v>
      </c>
      <c r="K8825">
        <v>3.83</v>
      </c>
      <c r="L8825">
        <v>56558</v>
      </c>
      <c r="M8825" t="s">
        <v>217</v>
      </c>
      <c r="N8825" t="str">
        <f>"1311607     "</f>
        <v xml:space="preserve">1311607     </v>
      </c>
      <c r="O8825">
        <v>231005</v>
      </c>
    </row>
    <row r="8826" spans="1:15" x14ac:dyDescent="0.25">
      <c r="A8826" t="s">
        <v>16</v>
      </c>
      <c r="B8826" t="s">
        <v>3221</v>
      </c>
      <c r="C8826">
        <v>13191</v>
      </c>
      <c r="D8826" t="s">
        <v>3650</v>
      </c>
      <c r="E8826" t="s">
        <v>298</v>
      </c>
      <c r="F8826">
        <v>9.0299999999999994</v>
      </c>
      <c r="G8826">
        <v>230926</v>
      </c>
      <c r="H8826">
        <v>4600</v>
      </c>
      <c r="I8826" t="s">
        <v>105</v>
      </c>
      <c r="J8826">
        <v>11.2</v>
      </c>
      <c r="K8826">
        <v>2.17</v>
      </c>
      <c r="L8826">
        <v>56565</v>
      </c>
      <c r="M8826" t="s">
        <v>758</v>
      </c>
      <c r="N8826" t="str">
        <f>"1311633     "</f>
        <v xml:space="preserve">1311633     </v>
      </c>
      <c r="O8826">
        <v>231005</v>
      </c>
    </row>
    <row r="8827" spans="1:15" x14ac:dyDescent="0.25">
      <c r="A8827" t="s">
        <v>16</v>
      </c>
      <c r="B8827" t="s">
        <v>3221</v>
      </c>
      <c r="C8827">
        <v>13211</v>
      </c>
      <c r="D8827" t="s">
        <v>3650</v>
      </c>
      <c r="E8827" t="s">
        <v>298</v>
      </c>
      <c r="F8827">
        <v>27.61</v>
      </c>
      <c r="G8827">
        <v>230926</v>
      </c>
      <c r="H8827">
        <v>4600</v>
      </c>
      <c r="I8827" t="s">
        <v>105</v>
      </c>
      <c r="J8827">
        <v>34.24</v>
      </c>
      <c r="K8827">
        <v>6.63</v>
      </c>
      <c r="L8827">
        <v>56522</v>
      </c>
      <c r="M8827" t="s">
        <v>43</v>
      </c>
      <c r="N8827" t="str">
        <f>"1311628     "</f>
        <v xml:space="preserve">1311628     </v>
      </c>
      <c r="O8827">
        <v>231005</v>
      </c>
    </row>
    <row r="8828" spans="1:15" x14ac:dyDescent="0.25">
      <c r="A8828" t="s">
        <v>16</v>
      </c>
      <c r="B8828" t="s">
        <v>3221</v>
      </c>
      <c r="C8828">
        <v>13604</v>
      </c>
      <c r="D8828" t="s">
        <v>3650</v>
      </c>
      <c r="E8828" t="s">
        <v>298</v>
      </c>
      <c r="F8828">
        <v>69.77</v>
      </c>
      <c r="G8828">
        <v>231010</v>
      </c>
      <c r="H8828">
        <v>4600</v>
      </c>
      <c r="I8828" t="s">
        <v>105</v>
      </c>
      <c r="J8828">
        <v>86.51</v>
      </c>
      <c r="K8828">
        <v>16.739999999999998</v>
      </c>
      <c r="L8828">
        <v>56565</v>
      </c>
      <c r="M8828" t="s">
        <v>758</v>
      </c>
      <c r="N8828" t="str">
        <f>"1312850     "</f>
        <v xml:space="preserve">1312850     </v>
      </c>
      <c r="O8828">
        <v>231011</v>
      </c>
    </row>
    <row r="8829" spans="1:15" x14ac:dyDescent="0.25">
      <c r="A8829" t="s">
        <v>16</v>
      </c>
      <c r="B8829" t="s">
        <v>3221</v>
      </c>
      <c r="C8829">
        <v>13604</v>
      </c>
      <c r="D8829" t="s">
        <v>3650</v>
      </c>
      <c r="E8829" t="s">
        <v>298</v>
      </c>
      <c r="F8829">
        <v>18.13</v>
      </c>
      <c r="G8829">
        <v>231010</v>
      </c>
      <c r="H8829">
        <v>4600</v>
      </c>
      <c r="I8829" t="s">
        <v>105</v>
      </c>
      <c r="J8829">
        <v>22.48</v>
      </c>
      <c r="K8829">
        <v>4.3499999999999996</v>
      </c>
      <c r="L8829">
        <v>56573</v>
      </c>
      <c r="M8829" t="s">
        <v>521</v>
      </c>
      <c r="N8829" t="str">
        <f>"1312850     "</f>
        <v xml:space="preserve">1312850     </v>
      </c>
      <c r="O8829">
        <v>231011</v>
      </c>
    </row>
    <row r="8830" spans="1:15" x14ac:dyDescent="0.25">
      <c r="A8830" t="s">
        <v>16</v>
      </c>
      <c r="B8830" t="s">
        <v>3221</v>
      </c>
      <c r="C8830">
        <v>13605</v>
      </c>
      <c r="D8830" t="s">
        <v>3650</v>
      </c>
      <c r="E8830" t="s">
        <v>298</v>
      </c>
      <c r="F8830">
        <v>351.65</v>
      </c>
      <c r="G8830">
        <v>231010</v>
      </c>
      <c r="H8830">
        <v>4600</v>
      </c>
      <c r="I8830" t="s">
        <v>105</v>
      </c>
      <c r="J8830">
        <v>436.04</v>
      </c>
      <c r="K8830">
        <v>84.39</v>
      </c>
      <c r="L8830">
        <v>56565</v>
      </c>
      <c r="M8830" t="s">
        <v>758</v>
      </c>
      <c r="N8830" t="str">
        <f>"1312833     "</f>
        <v xml:space="preserve">1312833     </v>
      </c>
      <c r="O8830">
        <v>231011</v>
      </c>
    </row>
    <row r="8831" spans="1:15" x14ac:dyDescent="0.25">
      <c r="A8831" t="s">
        <v>16</v>
      </c>
      <c r="B8831" t="s">
        <v>3221</v>
      </c>
      <c r="C8831">
        <v>13606</v>
      </c>
      <c r="D8831" t="s">
        <v>3650</v>
      </c>
      <c r="E8831" t="s">
        <v>298</v>
      </c>
      <c r="F8831">
        <v>63.89</v>
      </c>
      <c r="G8831">
        <v>231010</v>
      </c>
      <c r="H8831">
        <v>4600</v>
      </c>
      <c r="I8831" t="s">
        <v>105</v>
      </c>
      <c r="J8831">
        <v>79.22</v>
      </c>
      <c r="K8831">
        <v>15.33</v>
      </c>
      <c r="L8831">
        <v>56565</v>
      </c>
      <c r="M8831" t="s">
        <v>758</v>
      </c>
      <c r="N8831" t="str">
        <f>"1312827     "</f>
        <v xml:space="preserve">1312827     </v>
      </c>
      <c r="O8831">
        <v>231011</v>
      </c>
    </row>
    <row r="8832" spans="1:15" x14ac:dyDescent="0.25">
      <c r="A8832" t="s">
        <v>16</v>
      </c>
      <c r="B8832" t="s">
        <v>3221</v>
      </c>
      <c r="C8832">
        <v>13718</v>
      </c>
      <c r="D8832" t="s">
        <v>3650</v>
      </c>
      <c r="E8832" t="s">
        <v>298</v>
      </c>
      <c r="F8832">
        <v>113.89</v>
      </c>
      <c r="G8832">
        <v>231010</v>
      </c>
      <c r="H8832">
        <v>4600</v>
      </c>
      <c r="I8832" t="s">
        <v>105</v>
      </c>
      <c r="J8832">
        <v>141.22</v>
      </c>
      <c r="K8832">
        <v>27.33</v>
      </c>
      <c r="L8832">
        <v>56568</v>
      </c>
      <c r="M8832" t="s">
        <v>268</v>
      </c>
      <c r="N8832" t="str">
        <f>"1312832     "</f>
        <v xml:space="preserve">1312832     </v>
      </c>
      <c r="O8832">
        <v>231012</v>
      </c>
    </row>
    <row r="8833" spans="1:15" x14ac:dyDescent="0.25">
      <c r="A8833" t="s">
        <v>16</v>
      </c>
      <c r="B8833" t="s">
        <v>3221</v>
      </c>
      <c r="C8833">
        <v>13720</v>
      </c>
      <c r="D8833" t="s">
        <v>3650</v>
      </c>
      <c r="E8833" t="s">
        <v>298</v>
      </c>
      <c r="F8833">
        <v>15.25</v>
      </c>
      <c r="G8833">
        <v>231010</v>
      </c>
      <c r="H8833">
        <v>4600</v>
      </c>
      <c r="I8833" t="s">
        <v>105</v>
      </c>
      <c r="J8833">
        <v>18.91</v>
      </c>
      <c r="K8833">
        <v>3.66</v>
      </c>
      <c r="L8833">
        <v>56568</v>
      </c>
      <c r="M8833" t="s">
        <v>268</v>
      </c>
      <c r="N8833" t="str">
        <f>"1312830     "</f>
        <v xml:space="preserve">1312830     </v>
      </c>
      <c r="O8833">
        <v>231012</v>
      </c>
    </row>
    <row r="8834" spans="1:15" x14ac:dyDescent="0.25">
      <c r="A8834" t="s">
        <v>16</v>
      </c>
      <c r="B8834" t="s">
        <v>3221</v>
      </c>
      <c r="C8834">
        <v>13721</v>
      </c>
      <c r="D8834" t="s">
        <v>3650</v>
      </c>
      <c r="E8834" t="s">
        <v>298</v>
      </c>
      <c r="F8834">
        <v>59.4</v>
      </c>
      <c r="G8834">
        <v>231010</v>
      </c>
      <c r="H8834">
        <v>4600</v>
      </c>
      <c r="I8834" t="s">
        <v>105</v>
      </c>
      <c r="J8834">
        <v>73.650000000000006</v>
      </c>
      <c r="K8834">
        <v>14.25</v>
      </c>
      <c r="L8834">
        <v>59504</v>
      </c>
      <c r="M8834" t="s">
        <v>71</v>
      </c>
      <c r="N8834" t="str">
        <f>"1312837     "</f>
        <v xml:space="preserve">1312837     </v>
      </c>
      <c r="O8834">
        <v>231012</v>
      </c>
    </row>
    <row r="8835" spans="1:15" x14ac:dyDescent="0.25">
      <c r="A8835" t="s">
        <v>16</v>
      </c>
      <c r="B8835" t="s">
        <v>3221</v>
      </c>
      <c r="C8835">
        <v>13722</v>
      </c>
      <c r="D8835" t="s">
        <v>3650</v>
      </c>
      <c r="E8835" t="s">
        <v>298</v>
      </c>
      <c r="F8835">
        <v>34.479999999999997</v>
      </c>
      <c r="G8835">
        <v>231010</v>
      </c>
      <c r="H8835">
        <v>4600</v>
      </c>
      <c r="I8835" t="s">
        <v>105</v>
      </c>
      <c r="J8835">
        <v>42.75</v>
      </c>
      <c r="K8835">
        <v>8.27</v>
      </c>
      <c r="L8835">
        <v>56568</v>
      </c>
      <c r="M8835" t="s">
        <v>268</v>
      </c>
      <c r="N8835" t="str">
        <f>"1312864     "</f>
        <v xml:space="preserve">1312864     </v>
      </c>
      <c r="O8835">
        <v>231012</v>
      </c>
    </row>
    <row r="8836" spans="1:15" x14ac:dyDescent="0.25">
      <c r="A8836" t="s">
        <v>16</v>
      </c>
      <c r="B8836" t="s">
        <v>3221</v>
      </c>
      <c r="C8836">
        <v>13724</v>
      </c>
      <c r="D8836" t="s">
        <v>3650</v>
      </c>
      <c r="E8836" t="s">
        <v>298</v>
      </c>
      <c r="F8836">
        <v>7.45</v>
      </c>
      <c r="G8836">
        <v>231010</v>
      </c>
      <c r="H8836">
        <v>4600</v>
      </c>
      <c r="I8836" t="s">
        <v>105</v>
      </c>
      <c r="J8836">
        <v>9.24</v>
      </c>
      <c r="K8836">
        <v>1.79</v>
      </c>
      <c r="L8836">
        <v>56568</v>
      </c>
      <c r="M8836" t="s">
        <v>268</v>
      </c>
      <c r="N8836" t="str">
        <f>"1312843     "</f>
        <v xml:space="preserve">1312843     </v>
      </c>
      <c r="O8836">
        <v>231012</v>
      </c>
    </row>
    <row r="8837" spans="1:15" x14ac:dyDescent="0.25">
      <c r="A8837" t="s">
        <v>16</v>
      </c>
      <c r="B8837" t="s">
        <v>3221</v>
      </c>
      <c r="C8837">
        <v>13725</v>
      </c>
      <c r="D8837" t="s">
        <v>3650</v>
      </c>
      <c r="E8837" t="s">
        <v>298</v>
      </c>
      <c r="F8837">
        <v>13.19</v>
      </c>
      <c r="G8837">
        <v>231010</v>
      </c>
      <c r="H8837">
        <v>4600</v>
      </c>
      <c r="I8837" t="s">
        <v>105</v>
      </c>
      <c r="J8837">
        <v>16.36</v>
      </c>
      <c r="K8837">
        <v>3.17</v>
      </c>
      <c r="L8837">
        <v>56568</v>
      </c>
      <c r="M8837" t="s">
        <v>268</v>
      </c>
      <c r="N8837" t="str">
        <f>"1312861     "</f>
        <v xml:space="preserve">1312861     </v>
      </c>
      <c r="O8837">
        <v>231012</v>
      </c>
    </row>
    <row r="8838" spans="1:15" x14ac:dyDescent="0.25">
      <c r="A8838" t="s">
        <v>16</v>
      </c>
      <c r="B8838" t="s">
        <v>3221</v>
      </c>
      <c r="C8838">
        <v>13726</v>
      </c>
      <c r="D8838" t="s">
        <v>3650</v>
      </c>
      <c r="E8838" t="s">
        <v>298</v>
      </c>
      <c r="F8838">
        <v>13.21</v>
      </c>
      <c r="G8838">
        <v>231010</v>
      </c>
      <c r="H8838">
        <v>4600</v>
      </c>
      <c r="I8838" t="s">
        <v>105</v>
      </c>
      <c r="J8838">
        <v>16.38</v>
      </c>
      <c r="K8838">
        <v>3.17</v>
      </c>
      <c r="L8838">
        <v>56568</v>
      </c>
      <c r="M8838" t="s">
        <v>268</v>
      </c>
      <c r="N8838" t="str">
        <f>"1312842     "</f>
        <v xml:space="preserve">1312842     </v>
      </c>
      <c r="O8838">
        <v>231012</v>
      </c>
    </row>
    <row r="8839" spans="1:15" x14ac:dyDescent="0.25">
      <c r="A8839" t="s">
        <v>16</v>
      </c>
      <c r="B8839" t="s">
        <v>3221</v>
      </c>
      <c r="C8839">
        <v>13727</v>
      </c>
      <c r="D8839" t="s">
        <v>3650</v>
      </c>
      <c r="E8839" t="s">
        <v>298</v>
      </c>
      <c r="F8839">
        <v>9.35</v>
      </c>
      <c r="G8839">
        <v>231010</v>
      </c>
      <c r="H8839">
        <v>4600</v>
      </c>
      <c r="I8839" t="s">
        <v>105</v>
      </c>
      <c r="J8839">
        <v>11.59</v>
      </c>
      <c r="K8839">
        <v>2.2400000000000002</v>
      </c>
      <c r="L8839">
        <v>56568</v>
      </c>
      <c r="M8839" t="s">
        <v>268</v>
      </c>
      <c r="N8839" t="str">
        <f>"1312862     "</f>
        <v xml:space="preserve">1312862     </v>
      </c>
      <c r="O8839">
        <v>231012</v>
      </c>
    </row>
    <row r="8840" spans="1:15" x14ac:dyDescent="0.25">
      <c r="A8840" t="s">
        <v>16</v>
      </c>
      <c r="B8840" t="s">
        <v>3221</v>
      </c>
      <c r="C8840">
        <v>13728</v>
      </c>
      <c r="D8840" t="s">
        <v>3650</v>
      </c>
      <c r="E8840" t="s">
        <v>298</v>
      </c>
      <c r="F8840">
        <v>8.15</v>
      </c>
      <c r="G8840">
        <v>231010</v>
      </c>
      <c r="H8840">
        <v>4600</v>
      </c>
      <c r="I8840" t="s">
        <v>105</v>
      </c>
      <c r="J8840">
        <v>10.1</v>
      </c>
      <c r="K8840">
        <v>1.95</v>
      </c>
      <c r="L8840">
        <v>56568</v>
      </c>
      <c r="M8840" t="s">
        <v>268</v>
      </c>
      <c r="N8840" t="str">
        <f>"1312856     "</f>
        <v xml:space="preserve">1312856     </v>
      </c>
      <c r="O8840">
        <v>231012</v>
      </c>
    </row>
    <row r="8841" spans="1:15" x14ac:dyDescent="0.25">
      <c r="A8841" t="s">
        <v>16</v>
      </c>
      <c r="B8841" t="s">
        <v>3221</v>
      </c>
      <c r="C8841">
        <v>13729</v>
      </c>
      <c r="D8841" t="s">
        <v>3650</v>
      </c>
      <c r="E8841" t="s">
        <v>298</v>
      </c>
      <c r="F8841">
        <v>12.7</v>
      </c>
      <c r="G8841">
        <v>231010</v>
      </c>
      <c r="H8841">
        <v>4600</v>
      </c>
      <c r="I8841" t="s">
        <v>105</v>
      </c>
      <c r="J8841">
        <v>15.75</v>
      </c>
      <c r="K8841">
        <v>3.05</v>
      </c>
      <c r="L8841">
        <v>56568</v>
      </c>
      <c r="M8841" t="s">
        <v>268</v>
      </c>
      <c r="N8841" t="str">
        <f>"1312839     "</f>
        <v xml:space="preserve">1312839     </v>
      </c>
      <c r="O8841">
        <v>231012</v>
      </c>
    </row>
    <row r="8842" spans="1:15" x14ac:dyDescent="0.25">
      <c r="A8842" t="s">
        <v>16</v>
      </c>
      <c r="B8842" t="s">
        <v>3221</v>
      </c>
      <c r="C8842">
        <v>13732</v>
      </c>
      <c r="D8842" t="s">
        <v>3650</v>
      </c>
      <c r="E8842" t="s">
        <v>298</v>
      </c>
      <c r="F8842">
        <v>16.11</v>
      </c>
      <c r="G8842">
        <v>231010</v>
      </c>
      <c r="H8842">
        <v>4600</v>
      </c>
      <c r="I8842" t="s">
        <v>105</v>
      </c>
      <c r="J8842">
        <v>19.98</v>
      </c>
      <c r="K8842">
        <v>3.87</v>
      </c>
      <c r="L8842">
        <v>56568</v>
      </c>
      <c r="M8842" t="s">
        <v>268</v>
      </c>
      <c r="N8842" t="str">
        <f>"1312860     "</f>
        <v xml:space="preserve">1312860     </v>
      </c>
      <c r="O8842">
        <v>231012</v>
      </c>
    </row>
    <row r="8843" spans="1:15" x14ac:dyDescent="0.25">
      <c r="A8843" t="s">
        <v>16</v>
      </c>
      <c r="B8843" t="s">
        <v>3221</v>
      </c>
      <c r="C8843">
        <v>13734</v>
      </c>
      <c r="D8843" t="s">
        <v>3650</v>
      </c>
      <c r="E8843" t="s">
        <v>298</v>
      </c>
      <c r="F8843">
        <v>32</v>
      </c>
      <c r="G8843">
        <v>231010</v>
      </c>
      <c r="H8843">
        <v>4600</v>
      </c>
      <c r="I8843" t="s">
        <v>105</v>
      </c>
      <c r="J8843">
        <v>39.68</v>
      </c>
      <c r="K8843">
        <v>7.68</v>
      </c>
      <c r="L8843">
        <v>56568</v>
      </c>
      <c r="M8843" t="s">
        <v>268</v>
      </c>
      <c r="N8843" t="str">
        <f>"1312852     "</f>
        <v xml:space="preserve">1312852     </v>
      </c>
      <c r="O8843">
        <v>231012</v>
      </c>
    </row>
    <row r="8844" spans="1:15" x14ac:dyDescent="0.25">
      <c r="A8844" t="s">
        <v>16</v>
      </c>
      <c r="B8844" t="s">
        <v>3221</v>
      </c>
      <c r="C8844">
        <v>13735</v>
      </c>
      <c r="D8844" t="s">
        <v>3650</v>
      </c>
      <c r="E8844" t="s">
        <v>298</v>
      </c>
      <c r="F8844">
        <v>205.19</v>
      </c>
      <c r="G8844">
        <v>231010</v>
      </c>
      <c r="H8844">
        <v>4600</v>
      </c>
      <c r="I8844" t="s">
        <v>105</v>
      </c>
      <c r="J8844">
        <v>254.43</v>
      </c>
      <c r="K8844">
        <v>49.24</v>
      </c>
      <c r="L8844">
        <v>56568</v>
      </c>
      <c r="M8844" t="s">
        <v>268</v>
      </c>
      <c r="N8844" t="str">
        <f>"1312836     "</f>
        <v xml:space="preserve">1312836     </v>
      </c>
      <c r="O8844">
        <v>231012</v>
      </c>
    </row>
    <row r="8845" spans="1:15" x14ac:dyDescent="0.25">
      <c r="A8845" t="s">
        <v>16</v>
      </c>
      <c r="B8845" t="s">
        <v>3221</v>
      </c>
      <c r="C8845">
        <v>13736</v>
      </c>
      <c r="D8845" t="s">
        <v>3650</v>
      </c>
      <c r="E8845" t="s">
        <v>298</v>
      </c>
      <c r="F8845">
        <v>33.619999999999997</v>
      </c>
      <c r="G8845">
        <v>231010</v>
      </c>
      <c r="H8845">
        <v>4600</v>
      </c>
      <c r="I8845" t="s">
        <v>105</v>
      </c>
      <c r="J8845">
        <v>41.69</v>
      </c>
      <c r="K8845">
        <v>8.07</v>
      </c>
      <c r="L8845">
        <v>56568</v>
      </c>
      <c r="M8845" t="s">
        <v>268</v>
      </c>
      <c r="N8845" t="str">
        <f>"1312834     "</f>
        <v xml:space="preserve">1312834     </v>
      </c>
      <c r="O8845">
        <v>231012</v>
      </c>
    </row>
    <row r="8846" spans="1:15" x14ac:dyDescent="0.25">
      <c r="A8846" t="s">
        <v>16</v>
      </c>
      <c r="B8846" t="s">
        <v>3221</v>
      </c>
      <c r="C8846">
        <v>13737</v>
      </c>
      <c r="D8846" t="s">
        <v>3650</v>
      </c>
      <c r="E8846" t="s">
        <v>298</v>
      </c>
      <c r="F8846">
        <v>-49.35</v>
      </c>
      <c r="G8846">
        <v>231010</v>
      </c>
      <c r="H8846">
        <v>4600</v>
      </c>
      <c r="I8846" t="s">
        <v>105</v>
      </c>
      <c r="J8846">
        <v>-61.2</v>
      </c>
      <c r="K8846">
        <v>-11.85</v>
      </c>
      <c r="L8846">
        <v>56568</v>
      </c>
      <c r="M8846" t="s">
        <v>268</v>
      </c>
      <c r="N8846" t="str">
        <f>"1312855     "</f>
        <v xml:space="preserve">1312855     </v>
      </c>
      <c r="O8846">
        <v>231012</v>
      </c>
    </row>
    <row r="8847" spans="1:15" x14ac:dyDescent="0.25">
      <c r="A8847" t="s">
        <v>16</v>
      </c>
      <c r="B8847" t="s">
        <v>3221</v>
      </c>
      <c r="C8847">
        <v>13739</v>
      </c>
      <c r="D8847" t="s">
        <v>3650</v>
      </c>
      <c r="E8847" t="s">
        <v>298</v>
      </c>
      <c r="F8847">
        <v>2.2400000000000002</v>
      </c>
      <c r="G8847">
        <v>231010</v>
      </c>
      <c r="H8847">
        <v>4600</v>
      </c>
      <c r="I8847" t="s">
        <v>105</v>
      </c>
      <c r="J8847">
        <v>2.78</v>
      </c>
      <c r="K8847">
        <v>0.54</v>
      </c>
      <c r="L8847">
        <v>56568</v>
      </c>
      <c r="M8847" t="s">
        <v>268</v>
      </c>
      <c r="N8847" t="str">
        <f>"1312841     "</f>
        <v xml:space="preserve">1312841     </v>
      </c>
      <c r="O8847">
        <v>231012</v>
      </c>
    </row>
    <row r="8848" spans="1:15" x14ac:dyDescent="0.25">
      <c r="A8848" t="s">
        <v>16</v>
      </c>
      <c r="B8848" t="s">
        <v>3221</v>
      </c>
      <c r="C8848">
        <v>13740</v>
      </c>
      <c r="D8848" t="s">
        <v>3650</v>
      </c>
      <c r="E8848" t="s">
        <v>298</v>
      </c>
      <c r="F8848">
        <v>65.349999999999994</v>
      </c>
      <c r="G8848">
        <v>231010</v>
      </c>
      <c r="H8848">
        <v>4600</v>
      </c>
      <c r="I8848" t="s">
        <v>105</v>
      </c>
      <c r="J8848">
        <v>81.040000000000006</v>
      </c>
      <c r="K8848">
        <v>15.69</v>
      </c>
      <c r="L8848">
        <v>56568</v>
      </c>
      <c r="M8848" t="s">
        <v>268</v>
      </c>
      <c r="N8848" t="str">
        <f>"1312828     "</f>
        <v xml:space="preserve">1312828     </v>
      </c>
      <c r="O8848">
        <v>231012</v>
      </c>
    </row>
    <row r="8849" spans="1:15" x14ac:dyDescent="0.25">
      <c r="A8849" t="s">
        <v>16</v>
      </c>
      <c r="B8849" t="s">
        <v>3221</v>
      </c>
      <c r="C8849">
        <v>13741</v>
      </c>
      <c r="D8849" t="s">
        <v>3650</v>
      </c>
      <c r="E8849" t="s">
        <v>298</v>
      </c>
      <c r="F8849">
        <v>60.25</v>
      </c>
      <c r="G8849">
        <v>231010</v>
      </c>
      <c r="H8849">
        <v>4600</v>
      </c>
      <c r="I8849" t="s">
        <v>105</v>
      </c>
      <c r="J8849">
        <v>74.709999999999994</v>
      </c>
      <c r="K8849">
        <v>14.46</v>
      </c>
      <c r="L8849">
        <v>56568</v>
      </c>
      <c r="M8849" t="s">
        <v>268</v>
      </c>
      <c r="N8849" t="str">
        <f>"1312844     "</f>
        <v xml:space="preserve">1312844     </v>
      </c>
      <c r="O8849">
        <v>231012</v>
      </c>
    </row>
    <row r="8850" spans="1:15" x14ac:dyDescent="0.25">
      <c r="A8850" t="s">
        <v>16</v>
      </c>
      <c r="B8850" t="s">
        <v>3221</v>
      </c>
      <c r="C8850">
        <v>13742</v>
      </c>
      <c r="D8850" t="s">
        <v>3650</v>
      </c>
      <c r="E8850" t="s">
        <v>298</v>
      </c>
      <c r="F8850">
        <v>38.770000000000003</v>
      </c>
      <c r="G8850">
        <v>231010</v>
      </c>
      <c r="H8850">
        <v>4600</v>
      </c>
      <c r="I8850" t="s">
        <v>105</v>
      </c>
      <c r="J8850">
        <v>48.07</v>
      </c>
      <c r="K8850">
        <v>9.3000000000000007</v>
      </c>
      <c r="L8850">
        <v>56568</v>
      </c>
      <c r="M8850" t="s">
        <v>268</v>
      </c>
      <c r="N8850" t="str">
        <f>"1312848     "</f>
        <v xml:space="preserve">1312848     </v>
      </c>
      <c r="O8850">
        <v>231012</v>
      </c>
    </row>
    <row r="8851" spans="1:15" x14ac:dyDescent="0.25">
      <c r="A8851" t="s">
        <v>16</v>
      </c>
      <c r="B8851" t="s">
        <v>3221</v>
      </c>
      <c r="C8851">
        <v>13747</v>
      </c>
      <c r="D8851" t="s">
        <v>3650</v>
      </c>
      <c r="E8851" t="s">
        <v>298</v>
      </c>
      <c r="F8851">
        <v>136.13</v>
      </c>
      <c r="G8851">
        <v>231010</v>
      </c>
      <c r="H8851">
        <v>4600</v>
      </c>
      <c r="I8851" t="s">
        <v>105</v>
      </c>
      <c r="J8851">
        <v>168.8</v>
      </c>
      <c r="K8851">
        <v>32.67</v>
      </c>
      <c r="L8851">
        <v>56559</v>
      </c>
      <c r="M8851" t="s">
        <v>129</v>
      </c>
      <c r="N8851" t="str">
        <f>"1312857     "</f>
        <v xml:space="preserve">1312857     </v>
      </c>
      <c r="O8851">
        <v>231012</v>
      </c>
    </row>
    <row r="8852" spans="1:15" x14ac:dyDescent="0.25">
      <c r="A8852" t="s">
        <v>16</v>
      </c>
      <c r="B8852" t="s">
        <v>3221</v>
      </c>
      <c r="C8852">
        <v>13748</v>
      </c>
      <c r="D8852" t="s">
        <v>3650</v>
      </c>
      <c r="E8852" t="s">
        <v>298</v>
      </c>
      <c r="F8852">
        <v>19</v>
      </c>
      <c r="G8852">
        <v>231010</v>
      </c>
      <c r="H8852">
        <v>4600</v>
      </c>
      <c r="I8852" t="s">
        <v>105</v>
      </c>
      <c r="J8852">
        <v>23.56</v>
      </c>
      <c r="K8852">
        <v>4.5599999999999996</v>
      </c>
      <c r="L8852">
        <v>56568</v>
      </c>
      <c r="M8852" t="s">
        <v>268</v>
      </c>
      <c r="N8852" t="str">
        <f>"1312863     "</f>
        <v xml:space="preserve">1312863     </v>
      </c>
      <c r="O8852">
        <v>231012</v>
      </c>
    </row>
    <row r="8853" spans="1:15" x14ac:dyDescent="0.25">
      <c r="A8853" t="s">
        <v>16</v>
      </c>
      <c r="B8853" t="s">
        <v>3221</v>
      </c>
      <c r="C8853">
        <v>13749</v>
      </c>
      <c r="D8853" t="s">
        <v>3650</v>
      </c>
      <c r="E8853" t="s">
        <v>298</v>
      </c>
      <c r="F8853">
        <v>16.16</v>
      </c>
      <c r="G8853">
        <v>231010</v>
      </c>
      <c r="H8853">
        <v>4600</v>
      </c>
      <c r="I8853" t="s">
        <v>105</v>
      </c>
      <c r="J8853">
        <v>20.04</v>
      </c>
      <c r="K8853">
        <v>3.88</v>
      </c>
      <c r="L8853">
        <v>56568</v>
      </c>
      <c r="M8853" t="s">
        <v>268</v>
      </c>
      <c r="N8853" t="str">
        <f>"1312851     "</f>
        <v xml:space="preserve">1312851     </v>
      </c>
      <c r="O8853">
        <v>231012</v>
      </c>
    </row>
    <row r="8854" spans="1:15" x14ac:dyDescent="0.25">
      <c r="A8854" t="s">
        <v>16</v>
      </c>
      <c r="B8854" t="s">
        <v>3221</v>
      </c>
      <c r="C8854">
        <v>13750</v>
      </c>
      <c r="D8854" t="s">
        <v>3650</v>
      </c>
      <c r="E8854" t="s">
        <v>298</v>
      </c>
      <c r="F8854">
        <v>14.33</v>
      </c>
      <c r="G8854">
        <v>231010</v>
      </c>
      <c r="H8854">
        <v>4600</v>
      </c>
      <c r="I8854" t="s">
        <v>105</v>
      </c>
      <c r="J8854">
        <v>17.77</v>
      </c>
      <c r="K8854">
        <v>3.44</v>
      </c>
      <c r="L8854">
        <v>56568</v>
      </c>
      <c r="M8854" t="s">
        <v>268</v>
      </c>
      <c r="N8854" t="str">
        <f>"1312858     "</f>
        <v xml:space="preserve">1312858     </v>
      </c>
      <c r="O8854">
        <v>231012</v>
      </c>
    </row>
    <row r="8855" spans="1:15" x14ac:dyDescent="0.25">
      <c r="A8855" t="s">
        <v>16</v>
      </c>
      <c r="B8855" t="s">
        <v>3221</v>
      </c>
      <c r="C8855">
        <v>13765</v>
      </c>
      <c r="D8855" t="s">
        <v>3650</v>
      </c>
      <c r="E8855" t="s">
        <v>298</v>
      </c>
      <c r="F8855">
        <v>66.55</v>
      </c>
      <c r="G8855">
        <v>231010</v>
      </c>
      <c r="H8855">
        <v>4600</v>
      </c>
      <c r="I8855" t="s">
        <v>105</v>
      </c>
      <c r="J8855">
        <v>82.52</v>
      </c>
      <c r="K8855">
        <v>15.97</v>
      </c>
      <c r="L8855">
        <v>56568</v>
      </c>
      <c r="M8855" t="s">
        <v>268</v>
      </c>
      <c r="N8855" t="str">
        <f>"1312859     "</f>
        <v xml:space="preserve">1312859     </v>
      </c>
      <c r="O8855">
        <v>231013</v>
      </c>
    </row>
    <row r="8856" spans="1:15" x14ac:dyDescent="0.25">
      <c r="A8856" t="s">
        <v>16</v>
      </c>
      <c r="B8856" t="s">
        <v>3221</v>
      </c>
      <c r="C8856">
        <v>13767</v>
      </c>
      <c r="D8856" t="s">
        <v>3650</v>
      </c>
      <c r="E8856" t="s">
        <v>298</v>
      </c>
      <c r="F8856">
        <v>8</v>
      </c>
      <c r="G8856">
        <v>231010</v>
      </c>
      <c r="H8856">
        <v>4600</v>
      </c>
      <c r="I8856" t="s">
        <v>105</v>
      </c>
      <c r="J8856">
        <v>9.92</v>
      </c>
      <c r="K8856">
        <v>1.92</v>
      </c>
      <c r="L8856">
        <v>56568</v>
      </c>
      <c r="M8856" t="s">
        <v>268</v>
      </c>
      <c r="N8856" t="str">
        <f>"1312853     "</f>
        <v xml:space="preserve">1312853     </v>
      </c>
      <c r="O8856">
        <v>231013</v>
      </c>
    </row>
    <row r="8857" spans="1:15" x14ac:dyDescent="0.25">
      <c r="A8857" t="s">
        <v>16</v>
      </c>
      <c r="B8857" t="s">
        <v>3221</v>
      </c>
      <c r="C8857">
        <v>13769</v>
      </c>
      <c r="D8857" t="s">
        <v>3650</v>
      </c>
      <c r="E8857" t="s">
        <v>298</v>
      </c>
      <c r="F8857">
        <v>11.45</v>
      </c>
      <c r="G8857">
        <v>231010</v>
      </c>
      <c r="H8857">
        <v>4600</v>
      </c>
      <c r="I8857" t="s">
        <v>105</v>
      </c>
      <c r="J8857">
        <v>14.2</v>
      </c>
      <c r="K8857">
        <v>2.75</v>
      </c>
      <c r="L8857">
        <v>56568</v>
      </c>
      <c r="M8857" t="s">
        <v>268</v>
      </c>
      <c r="N8857" t="str">
        <f>"1312846     "</f>
        <v xml:space="preserve">1312846     </v>
      </c>
      <c r="O8857">
        <v>231013</v>
      </c>
    </row>
    <row r="8858" spans="1:15" x14ac:dyDescent="0.25">
      <c r="A8858" t="s">
        <v>16</v>
      </c>
      <c r="B8858" t="s">
        <v>3221</v>
      </c>
      <c r="C8858">
        <v>13770</v>
      </c>
      <c r="D8858" t="s">
        <v>3650</v>
      </c>
      <c r="E8858" t="s">
        <v>298</v>
      </c>
      <c r="F8858">
        <v>123.39</v>
      </c>
      <c r="G8858">
        <v>231010</v>
      </c>
      <c r="H8858">
        <v>4600</v>
      </c>
      <c r="I8858" t="s">
        <v>105</v>
      </c>
      <c r="J8858">
        <v>153</v>
      </c>
      <c r="K8858">
        <v>29.61</v>
      </c>
      <c r="L8858">
        <v>56568</v>
      </c>
      <c r="M8858" t="s">
        <v>268</v>
      </c>
      <c r="N8858" t="str">
        <f>"1312849     "</f>
        <v xml:space="preserve">1312849     </v>
      </c>
      <c r="O8858">
        <v>231013</v>
      </c>
    </row>
    <row r="8859" spans="1:15" x14ac:dyDescent="0.25">
      <c r="A8859" t="s">
        <v>16</v>
      </c>
      <c r="B8859" t="s">
        <v>3221</v>
      </c>
      <c r="C8859">
        <v>13771</v>
      </c>
      <c r="D8859" t="s">
        <v>3650</v>
      </c>
      <c r="E8859" t="s">
        <v>298</v>
      </c>
      <c r="F8859">
        <v>99.19</v>
      </c>
      <c r="G8859">
        <v>231010</v>
      </c>
      <c r="H8859">
        <v>4600</v>
      </c>
      <c r="I8859" t="s">
        <v>105</v>
      </c>
      <c r="J8859">
        <v>123</v>
      </c>
      <c r="K8859">
        <v>23.81</v>
      </c>
      <c r="L8859">
        <v>56568</v>
      </c>
      <c r="M8859" t="s">
        <v>268</v>
      </c>
      <c r="N8859" t="str">
        <f>"1312838     "</f>
        <v xml:space="preserve">1312838     </v>
      </c>
      <c r="O8859">
        <v>231013</v>
      </c>
    </row>
    <row r="8860" spans="1:15" x14ac:dyDescent="0.25">
      <c r="A8860" t="s">
        <v>16</v>
      </c>
      <c r="B8860" t="s">
        <v>3221</v>
      </c>
      <c r="C8860">
        <v>13772</v>
      </c>
      <c r="D8860" t="s">
        <v>3650</v>
      </c>
      <c r="E8860" t="s">
        <v>298</v>
      </c>
      <c r="F8860">
        <v>33</v>
      </c>
      <c r="G8860">
        <v>231010</v>
      </c>
      <c r="H8860">
        <v>4600</v>
      </c>
      <c r="I8860" t="s">
        <v>105</v>
      </c>
      <c r="J8860">
        <v>40.92</v>
      </c>
      <c r="K8860">
        <v>7.92</v>
      </c>
      <c r="L8860">
        <v>56568</v>
      </c>
      <c r="M8860" t="s">
        <v>268</v>
      </c>
      <c r="N8860" t="str">
        <f>"1312835     "</f>
        <v xml:space="preserve">1312835     </v>
      </c>
      <c r="O8860">
        <v>231013</v>
      </c>
    </row>
    <row r="8861" spans="1:15" x14ac:dyDescent="0.25">
      <c r="A8861" t="s">
        <v>16</v>
      </c>
      <c r="B8861" t="s">
        <v>3221</v>
      </c>
      <c r="C8861">
        <v>14013</v>
      </c>
      <c r="D8861" t="s">
        <v>3650</v>
      </c>
      <c r="E8861" t="s">
        <v>298</v>
      </c>
      <c r="F8861">
        <v>99.98</v>
      </c>
      <c r="G8861">
        <v>231010</v>
      </c>
      <c r="H8861">
        <v>4600</v>
      </c>
      <c r="I8861" t="s">
        <v>105</v>
      </c>
      <c r="J8861">
        <v>123.97</v>
      </c>
      <c r="K8861">
        <v>23.99</v>
      </c>
      <c r="L8861">
        <v>69113</v>
      </c>
      <c r="M8861" t="s">
        <v>282</v>
      </c>
      <c r="N8861" t="str">
        <f>"1312870     "</f>
        <v xml:space="preserve">1312870     </v>
      </c>
      <c r="O8861">
        <v>231017</v>
      </c>
    </row>
    <row r="8862" spans="1:15" x14ac:dyDescent="0.25">
      <c r="A8862" t="s">
        <v>16</v>
      </c>
      <c r="B8862" t="s">
        <v>3221</v>
      </c>
      <c r="C8862">
        <v>14013</v>
      </c>
      <c r="D8862" t="s">
        <v>3650</v>
      </c>
      <c r="E8862" t="s">
        <v>298</v>
      </c>
      <c r="F8862">
        <v>11.11</v>
      </c>
      <c r="G8862">
        <v>231010</v>
      </c>
      <c r="H8862">
        <v>4600</v>
      </c>
      <c r="I8862" t="s">
        <v>105</v>
      </c>
      <c r="J8862">
        <v>13.78</v>
      </c>
      <c r="K8862">
        <v>2.67</v>
      </c>
      <c r="L8862">
        <v>69802</v>
      </c>
      <c r="M8862" t="s">
        <v>283</v>
      </c>
      <c r="N8862" t="str">
        <f>"1312870     "</f>
        <v xml:space="preserve">1312870     </v>
      </c>
      <c r="O8862">
        <v>231017</v>
      </c>
    </row>
    <row r="8863" spans="1:15" x14ac:dyDescent="0.25">
      <c r="A8863" t="s">
        <v>16</v>
      </c>
      <c r="B8863" t="s">
        <v>3221</v>
      </c>
      <c r="C8863">
        <v>14458</v>
      </c>
      <c r="D8863" t="s">
        <v>3650</v>
      </c>
      <c r="E8863" t="s">
        <v>298</v>
      </c>
      <c r="F8863">
        <v>14.65</v>
      </c>
      <c r="G8863">
        <v>231024</v>
      </c>
      <c r="H8863">
        <v>4600</v>
      </c>
      <c r="I8863" t="s">
        <v>105</v>
      </c>
      <c r="J8863">
        <v>18.16</v>
      </c>
      <c r="K8863">
        <v>3.51</v>
      </c>
      <c r="L8863">
        <v>56568</v>
      </c>
      <c r="M8863" t="s">
        <v>268</v>
      </c>
      <c r="N8863" t="str">
        <f>"1314017     "</f>
        <v xml:space="preserve">1314017     </v>
      </c>
      <c r="O8863">
        <v>231030</v>
      </c>
    </row>
    <row r="8864" spans="1:15" x14ac:dyDescent="0.25">
      <c r="A8864" t="s">
        <v>16</v>
      </c>
      <c r="B8864" t="s">
        <v>3221</v>
      </c>
      <c r="C8864">
        <v>14463</v>
      </c>
      <c r="D8864" t="s">
        <v>3650</v>
      </c>
      <c r="E8864" t="s">
        <v>298</v>
      </c>
      <c r="F8864">
        <v>11.98</v>
      </c>
      <c r="G8864">
        <v>231024</v>
      </c>
      <c r="H8864">
        <v>4600</v>
      </c>
      <c r="I8864" t="s">
        <v>105</v>
      </c>
      <c r="J8864">
        <v>14.85</v>
      </c>
      <c r="K8864">
        <v>2.87</v>
      </c>
      <c r="L8864">
        <v>56568</v>
      </c>
      <c r="M8864" t="s">
        <v>268</v>
      </c>
      <c r="N8864" t="str">
        <f>"1314022     "</f>
        <v xml:space="preserve">1314022     </v>
      </c>
      <c r="O8864">
        <v>231030</v>
      </c>
    </row>
    <row r="8865" spans="1:15" x14ac:dyDescent="0.25">
      <c r="A8865" t="s">
        <v>16</v>
      </c>
      <c r="B8865" t="s">
        <v>3221</v>
      </c>
      <c r="C8865">
        <v>14464</v>
      </c>
      <c r="D8865" t="s">
        <v>3650</v>
      </c>
      <c r="E8865" t="s">
        <v>298</v>
      </c>
      <c r="F8865">
        <v>43.55</v>
      </c>
      <c r="G8865">
        <v>231024</v>
      </c>
      <c r="H8865">
        <v>4600</v>
      </c>
      <c r="I8865" t="s">
        <v>105</v>
      </c>
      <c r="J8865">
        <v>54</v>
      </c>
      <c r="K8865">
        <v>10.45</v>
      </c>
      <c r="L8865">
        <v>56568</v>
      </c>
      <c r="M8865" t="s">
        <v>268</v>
      </c>
      <c r="N8865" t="str">
        <f>"1314026     "</f>
        <v xml:space="preserve">1314026     </v>
      </c>
      <c r="O8865">
        <v>231030</v>
      </c>
    </row>
    <row r="8866" spans="1:15" x14ac:dyDescent="0.25">
      <c r="A8866" t="s">
        <v>16</v>
      </c>
      <c r="B8866" t="s">
        <v>3221</v>
      </c>
      <c r="C8866">
        <v>14465</v>
      </c>
      <c r="D8866" t="s">
        <v>3650</v>
      </c>
      <c r="E8866" t="s">
        <v>298</v>
      </c>
      <c r="F8866">
        <v>95.56</v>
      </c>
      <c r="G8866">
        <v>231024</v>
      </c>
      <c r="H8866">
        <v>4600</v>
      </c>
      <c r="I8866" t="s">
        <v>105</v>
      </c>
      <c r="J8866">
        <v>118.49</v>
      </c>
      <c r="K8866">
        <v>22.93</v>
      </c>
      <c r="L8866">
        <v>56568</v>
      </c>
      <c r="M8866" t="s">
        <v>268</v>
      </c>
      <c r="N8866" t="str">
        <f>"1314028     "</f>
        <v xml:space="preserve">1314028     </v>
      </c>
      <c r="O8866">
        <v>231030</v>
      </c>
    </row>
    <row r="8867" spans="1:15" x14ac:dyDescent="0.25">
      <c r="A8867" t="s">
        <v>16</v>
      </c>
      <c r="B8867" t="s">
        <v>3221</v>
      </c>
      <c r="C8867">
        <v>14467</v>
      </c>
      <c r="D8867" t="s">
        <v>3650</v>
      </c>
      <c r="E8867" t="s">
        <v>298</v>
      </c>
      <c r="F8867">
        <v>4.5199999999999996</v>
      </c>
      <c r="G8867">
        <v>231024</v>
      </c>
      <c r="H8867">
        <v>4600</v>
      </c>
      <c r="I8867" t="s">
        <v>105</v>
      </c>
      <c r="J8867">
        <v>5.6</v>
      </c>
      <c r="K8867">
        <v>1.08</v>
      </c>
      <c r="L8867">
        <v>56568</v>
      </c>
      <c r="M8867" t="s">
        <v>268</v>
      </c>
      <c r="N8867" t="str">
        <f>"1314027     "</f>
        <v xml:space="preserve">1314027     </v>
      </c>
      <c r="O8867">
        <v>231030</v>
      </c>
    </row>
    <row r="8868" spans="1:15" x14ac:dyDescent="0.25">
      <c r="A8868" t="s">
        <v>16</v>
      </c>
      <c r="B8868" t="s">
        <v>3221</v>
      </c>
      <c r="C8868">
        <v>14469</v>
      </c>
      <c r="D8868" t="s">
        <v>3650</v>
      </c>
      <c r="E8868" t="s">
        <v>298</v>
      </c>
      <c r="F8868">
        <v>142.38</v>
      </c>
      <c r="G8868">
        <v>231024</v>
      </c>
      <c r="H8868">
        <v>4600</v>
      </c>
      <c r="I8868" t="s">
        <v>105</v>
      </c>
      <c r="J8868">
        <v>176.55</v>
      </c>
      <c r="K8868">
        <v>34.17</v>
      </c>
      <c r="L8868">
        <v>56568</v>
      </c>
      <c r="M8868" t="s">
        <v>268</v>
      </c>
      <c r="N8868" t="str">
        <f>"1314021     "</f>
        <v xml:space="preserve">1314021     </v>
      </c>
      <c r="O8868">
        <v>231030</v>
      </c>
    </row>
    <row r="8869" spans="1:15" x14ac:dyDescent="0.25">
      <c r="A8869" t="s">
        <v>16</v>
      </c>
      <c r="B8869" t="s">
        <v>3221</v>
      </c>
      <c r="C8869">
        <v>14472</v>
      </c>
      <c r="D8869" t="s">
        <v>3650</v>
      </c>
      <c r="E8869" t="s">
        <v>298</v>
      </c>
      <c r="F8869">
        <v>25.5</v>
      </c>
      <c r="G8869">
        <v>231024</v>
      </c>
      <c r="H8869">
        <v>4600</v>
      </c>
      <c r="I8869" t="s">
        <v>105</v>
      </c>
      <c r="J8869">
        <v>31.62</v>
      </c>
      <c r="K8869">
        <v>6.12</v>
      </c>
      <c r="L8869">
        <v>67554</v>
      </c>
      <c r="M8869" t="s">
        <v>60</v>
      </c>
      <c r="N8869" t="str">
        <f>"1314030     "</f>
        <v xml:space="preserve">1314030     </v>
      </c>
      <c r="O8869">
        <v>231030</v>
      </c>
    </row>
    <row r="8870" spans="1:15" x14ac:dyDescent="0.25">
      <c r="A8870" t="s">
        <v>16</v>
      </c>
      <c r="B8870" t="s">
        <v>3221</v>
      </c>
      <c r="C8870">
        <v>14473</v>
      </c>
      <c r="D8870" t="s">
        <v>3650</v>
      </c>
      <c r="E8870" t="s">
        <v>298</v>
      </c>
      <c r="F8870">
        <v>134.15</v>
      </c>
      <c r="G8870">
        <v>231024</v>
      </c>
      <c r="H8870">
        <v>4600</v>
      </c>
      <c r="I8870" t="s">
        <v>105</v>
      </c>
      <c r="J8870">
        <v>166.34</v>
      </c>
      <c r="K8870">
        <v>32.19</v>
      </c>
      <c r="L8870">
        <v>56566</v>
      </c>
      <c r="M8870" t="s">
        <v>652</v>
      </c>
      <c r="N8870" t="str">
        <f>"1314019     "</f>
        <v xml:space="preserve">1314019     </v>
      </c>
      <c r="O8870">
        <v>231030</v>
      </c>
    </row>
    <row r="8871" spans="1:15" x14ac:dyDescent="0.25">
      <c r="A8871" t="s">
        <v>16</v>
      </c>
      <c r="B8871" t="s">
        <v>3221</v>
      </c>
      <c r="C8871">
        <v>14478</v>
      </c>
      <c r="D8871" t="s">
        <v>3650</v>
      </c>
      <c r="E8871" t="s">
        <v>298</v>
      </c>
      <c r="F8871">
        <v>64.86</v>
      </c>
      <c r="G8871">
        <v>231024</v>
      </c>
      <c r="H8871">
        <v>4600</v>
      </c>
      <c r="I8871" t="s">
        <v>105</v>
      </c>
      <c r="J8871">
        <v>80.430000000000007</v>
      </c>
      <c r="K8871">
        <v>15.57</v>
      </c>
      <c r="L8871">
        <v>56568</v>
      </c>
      <c r="M8871" t="s">
        <v>268</v>
      </c>
      <c r="N8871" t="str">
        <f>"1314020     "</f>
        <v xml:space="preserve">1314020     </v>
      </c>
      <c r="O8871">
        <v>231030</v>
      </c>
    </row>
    <row r="8872" spans="1:15" x14ac:dyDescent="0.25">
      <c r="A8872" t="s">
        <v>16</v>
      </c>
      <c r="B8872" t="s">
        <v>3221</v>
      </c>
      <c r="C8872">
        <v>14481</v>
      </c>
      <c r="D8872" t="s">
        <v>3650</v>
      </c>
      <c r="E8872" t="s">
        <v>298</v>
      </c>
      <c r="F8872">
        <v>39.33</v>
      </c>
      <c r="G8872">
        <v>231024</v>
      </c>
      <c r="H8872">
        <v>4600</v>
      </c>
      <c r="I8872" t="s">
        <v>105</v>
      </c>
      <c r="J8872">
        <v>48.77</v>
      </c>
      <c r="K8872">
        <v>9.44</v>
      </c>
      <c r="L8872">
        <v>59504</v>
      </c>
      <c r="M8872" t="s">
        <v>71</v>
      </c>
      <c r="N8872" t="str">
        <f>"1314024     "</f>
        <v xml:space="preserve">1314024     </v>
      </c>
      <c r="O8872">
        <v>231030</v>
      </c>
    </row>
    <row r="8873" spans="1:15" x14ac:dyDescent="0.25">
      <c r="A8873" t="s">
        <v>16</v>
      </c>
      <c r="B8873" t="s">
        <v>3221</v>
      </c>
      <c r="C8873">
        <v>14489</v>
      </c>
      <c r="D8873" t="s">
        <v>3650</v>
      </c>
      <c r="E8873" t="s">
        <v>298</v>
      </c>
      <c r="F8873">
        <v>21.61</v>
      </c>
      <c r="G8873">
        <v>231024</v>
      </c>
      <c r="H8873">
        <v>4600</v>
      </c>
      <c r="I8873" t="s">
        <v>105</v>
      </c>
      <c r="J8873">
        <v>26.8</v>
      </c>
      <c r="K8873">
        <v>5.19</v>
      </c>
      <c r="L8873">
        <v>56568</v>
      </c>
      <c r="M8873" t="s">
        <v>268</v>
      </c>
      <c r="N8873" t="str">
        <f>"1314016     "</f>
        <v xml:space="preserve">1314016     </v>
      </c>
      <c r="O8873">
        <v>231030</v>
      </c>
    </row>
    <row r="8874" spans="1:15" x14ac:dyDescent="0.25">
      <c r="A8874" t="s">
        <v>16</v>
      </c>
      <c r="B8874" t="s">
        <v>3221</v>
      </c>
      <c r="C8874">
        <v>14491</v>
      </c>
      <c r="D8874" t="s">
        <v>3650</v>
      </c>
      <c r="E8874" t="s">
        <v>298</v>
      </c>
      <c r="F8874">
        <v>200.81</v>
      </c>
      <c r="G8874">
        <v>231024</v>
      </c>
      <c r="H8874">
        <v>4600</v>
      </c>
      <c r="I8874" t="s">
        <v>105</v>
      </c>
      <c r="J8874">
        <v>249</v>
      </c>
      <c r="K8874">
        <v>48.19</v>
      </c>
      <c r="L8874">
        <v>56568</v>
      </c>
      <c r="M8874" t="s">
        <v>268</v>
      </c>
      <c r="N8874" t="str">
        <f>"1314015     "</f>
        <v xml:space="preserve">1314015     </v>
      </c>
      <c r="O8874">
        <v>231030</v>
      </c>
    </row>
    <row r="8875" spans="1:15" x14ac:dyDescent="0.25">
      <c r="A8875" t="s">
        <v>16</v>
      </c>
      <c r="B8875" t="s">
        <v>3221</v>
      </c>
      <c r="C8875">
        <v>15425</v>
      </c>
      <c r="D8875" t="s">
        <v>3650</v>
      </c>
      <c r="E8875" t="s">
        <v>298</v>
      </c>
      <c r="F8875">
        <v>17.27</v>
      </c>
      <c r="G8875">
        <v>231109</v>
      </c>
      <c r="H8875">
        <v>4600</v>
      </c>
      <c r="I8875" t="s">
        <v>105</v>
      </c>
      <c r="J8875">
        <v>21.42</v>
      </c>
      <c r="K8875">
        <v>4.1500000000000004</v>
      </c>
      <c r="L8875">
        <v>56568</v>
      </c>
      <c r="M8875" t="s">
        <v>268</v>
      </c>
      <c r="N8875" t="str">
        <f>"1315302     "</f>
        <v xml:space="preserve">1315302     </v>
      </c>
      <c r="O8875">
        <v>231113</v>
      </c>
    </row>
    <row r="8876" spans="1:15" x14ac:dyDescent="0.25">
      <c r="A8876" t="s">
        <v>16</v>
      </c>
      <c r="B8876" t="s">
        <v>3221</v>
      </c>
      <c r="C8876">
        <v>15428</v>
      </c>
      <c r="D8876" t="s">
        <v>3650</v>
      </c>
      <c r="E8876" t="s">
        <v>298</v>
      </c>
      <c r="F8876">
        <v>2.7</v>
      </c>
      <c r="G8876">
        <v>231109</v>
      </c>
      <c r="H8876">
        <v>4600</v>
      </c>
      <c r="I8876" t="s">
        <v>105</v>
      </c>
      <c r="J8876">
        <v>3.35</v>
      </c>
      <c r="K8876">
        <v>0.65</v>
      </c>
      <c r="L8876">
        <v>56565</v>
      </c>
      <c r="M8876" t="s">
        <v>758</v>
      </c>
      <c r="N8876" t="str">
        <f>"1315322     "</f>
        <v xml:space="preserve">1315322     </v>
      </c>
      <c r="O8876">
        <v>231113</v>
      </c>
    </row>
    <row r="8877" spans="1:15" x14ac:dyDescent="0.25">
      <c r="A8877" t="s">
        <v>16</v>
      </c>
      <c r="B8877" t="s">
        <v>3221</v>
      </c>
      <c r="C8877">
        <v>15431</v>
      </c>
      <c r="D8877" t="s">
        <v>3650</v>
      </c>
      <c r="E8877" t="s">
        <v>298</v>
      </c>
      <c r="F8877">
        <v>32.520000000000003</v>
      </c>
      <c r="G8877">
        <v>231109</v>
      </c>
      <c r="H8877">
        <v>4600</v>
      </c>
      <c r="I8877" t="s">
        <v>105</v>
      </c>
      <c r="J8877">
        <v>40.32</v>
      </c>
      <c r="K8877">
        <v>7.8</v>
      </c>
      <c r="L8877">
        <v>56565</v>
      </c>
      <c r="M8877" t="s">
        <v>758</v>
      </c>
      <c r="N8877" t="str">
        <f>"1315305     "</f>
        <v xml:space="preserve">1315305     </v>
      </c>
      <c r="O8877">
        <v>231113</v>
      </c>
    </row>
    <row r="8878" spans="1:15" x14ac:dyDescent="0.25">
      <c r="A8878" t="s">
        <v>16</v>
      </c>
      <c r="B8878" t="s">
        <v>3221</v>
      </c>
      <c r="C8878">
        <v>15434</v>
      </c>
      <c r="D8878" t="s">
        <v>3650</v>
      </c>
      <c r="E8878" t="s">
        <v>298</v>
      </c>
      <c r="F8878">
        <v>79.680000000000007</v>
      </c>
      <c r="G8878">
        <v>231109</v>
      </c>
      <c r="H8878">
        <v>4600</v>
      </c>
      <c r="I8878" t="s">
        <v>105</v>
      </c>
      <c r="J8878">
        <v>98.8</v>
      </c>
      <c r="K8878">
        <v>19.12</v>
      </c>
      <c r="L8878">
        <v>56568</v>
      </c>
      <c r="M8878" t="s">
        <v>268</v>
      </c>
      <c r="N8878" t="str">
        <f>"1315324     "</f>
        <v xml:space="preserve">1315324     </v>
      </c>
      <c r="O8878">
        <v>231113</v>
      </c>
    </row>
    <row r="8879" spans="1:15" x14ac:dyDescent="0.25">
      <c r="A8879" t="s">
        <v>16</v>
      </c>
      <c r="B8879" t="s">
        <v>3221</v>
      </c>
      <c r="C8879">
        <v>15435</v>
      </c>
      <c r="D8879" t="s">
        <v>3650</v>
      </c>
      <c r="E8879" t="s">
        <v>298</v>
      </c>
      <c r="F8879">
        <v>53.65</v>
      </c>
      <c r="G8879">
        <v>231109</v>
      </c>
      <c r="H8879">
        <v>4600</v>
      </c>
      <c r="I8879" t="s">
        <v>105</v>
      </c>
      <c r="J8879">
        <v>66.52</v>
      </c>
      <c r="K8879">
        <v>12.87</v>
      </c>
      <c r="L8879">
        <v>56568</v>
      </c>
      <c r="M8879" t="s">
        <v>268</v>
      </c>
      <c r="N8879" t="str">
        <f>"1315338     "</f>
        <v xml:space="preserve">1315338     </v>
      </c>
      <c r="O8879">
        <v>231113</v>
      </c>
    </row>
    <row r="8880" spans="1:15" x14ac:dyDescent="0.25">
      <c r="A8880" t="s">
        <v>16</v>
      </c>
      <c r="B8880" t="s">
        <v>3221</v>
      </c>
      <c r="C8880">
        <v>15437</v>
      </c>
      <c r="D8880" t="s">
        <v>3650</v>
      </c>
      <c r="E8880" t="s">
        <v>298</v>
      </c>
      <c r="F8880">
        <v>26.45</v>
      </c>
      <c r="G8880">
        <v>231109</v>
      </c>
      <c r="H8880">
        <v>4600</v>
      </c>
      <c r="I8880" t="s">
        <v>105</v>
      </c>
      <c r="J8880">
        <v>32.799999999999997</v>
      </c>
      <c r="K8880">
        <v>6.35</v>
      </c>
      <c r="L8880">
        <v>56568</v>
      </c>
      <c r="M8880" t="s">
        <v>268</v>
      </c>
      <c r="N8880" t="str">
        <f>"1315312     "</f>
        <v xml:space="preserve">1315312     </v>
      </c>
      <c r="O8880">
        <v>231113</v>
      </c>
    </row>
    <row r="8881" spans="1:15" x14ac:dyDescent="0.25">
      <c r="A8881" t="s">
        <v>16</v>
      </c>
      <c r="B8881" t="s">
        <v>3221</v>
      </c>
      <c r="C8881">
        <v>15440</v>
      </c>
      <c r="D8881" t="s">
        <v>3650</v>
      </c>
      <c r="E8881" t="s">
        <v>298</v>
      </c>
      <c r="F8881">
        <v>116.38</v>
      </c>
      <c r="G8881">
        <v>231109</v>
      </c>
      <c r="H8881">
        <v>4600</v>
      </c>
      <c r="I8881" t="s">
        <v>105</v>
      </c>
      <c r="J8881">
        <v>144.31</v>
      </c>
      <c r="K8881">
        <v>27.93</v>
      </c>
      <c r="L8881">
        <v>56568</v>
      </c>
      <c r="M8881" t="s">
        <v>268</v>
      </c>
      <c r="N8881" t="str">
        <f>"1315320     "</f>
        <v xml:space="preserve">1315320     </v>
      </c>
      <c r="O8881">
        <v>231113</v>
      </c>
    </row>
    <row r="8882" spans="1:15" x14ac:dyDescent="0.25">
      <c r="A8882" t="s">
        <v>16</v>
      </c>
      <c r="B8882" t="s">
        <v>3221</v>
      </c>
      <c r="C8882">
        <v>15446</v>
      </c>
      <c r="D8882" t="s">
        <v>3650</v>
      </c>
      <c r="E8882" t="s">
        <v>298</v>
      </c>
      <c r="F8882">
        <v>34.4</v>
      </c>
      <c r="G8882">
        <v>231109</v>
      </c>
      <c r="H8882">
        <v>4600</v>
      </c>
      <c r="I8882" t="s">
        <v>105</v>
      </c>
      <c r="J8882">
        <v>42.65</v>
      </c>
      <c r="K8882">
        <v>8.25</v>
      </c>
      <c r="L8882">
        <v>56568</v>
      </c>
      <c r="M8882" t="s">
        <v>268</v>
      </c>
      <c r="N8882" t="str">
        <f>"1315309     "</f>
        <v xml:space="preserve">1315309     </v>
      </c>
      <c r="O8882">
        <v>231113</v>
      </c>
    </row>
    <row r="8883" spans="1:15" x14ac:dyDescent="0.25">
      <c r="A8883" t="s">
        <v>16</v>
      </c>
      <c r="B8883" t="s">
        <v>3221</v>
      </c>
      <c r="C8883">
        <v>15447</v>
      </c>
      <c r="D8883" t="s">
        <v>3650</v>
      </c>
      <c r="E8883" t="s">
        <v>298</v>
      </c>
      <c r="F8883">
        <v>56.13</v>
      </c>
      <c r="G8883">
        <v>231109</v>
      </c>
      <c r="H8883">
        <v>4600</v>
      </c>
      <c r="I8883" t="s">
        <v>105</v>
      </c>
      <c r="J8883">
        <v>69.599999999999994</v>
      </c>
      <c r="K8883">
        <v>13.47</v>
      </c>
      <c r="L8883">
        <v>59501</v>
      </c>
      <c r="M8883" t="s">
        <v>69</v>
      </c>
      <c r="N8883" t="str">
        <f>"1315300     "</f>
        <v xml:space="preserve">1315300     </v>
      </c>
      <c r="O8883">
        <v>231113</v>
      </c>
    </row>
    <row r="8884" spans="1:15" x14ac:dyDescent="0.25">
      <c r="A8884" t="s">
        <v>16</v>
      </c>
      <c r="B8884" t="s">
        <v>3221</v>
      </c>
      <c r="C8884">
        <v>15451</v>
      </c>
      <c r="D8884" t="s">
        <v>3650</v>
      </c>
      <c r="E8884" t="s">
        <v>298</v>
      </c>
      <c r="F8884">
        <v>48.84</v>
      </c>
      <c r="G8884">
        <v>231109</v>
      </c>
      <c r="H8884">
        <v>4600</v>
      </c>
      <c r="I8884" t="s">
        <v>105</v>
      </c>
      <c r="J8884">
        <v>60.56</v>
      </c>
      <c r="K8884">
        <v>11.72</v>
      </c>
      <c r="L8884">
        <v>56568</v>
      </c>
      <c r="M8884" t="s">
        <v>268</v>
      </c>
      <c r="N8884" t="str">
        <f>"1315341     "</f>
        <v xml:space="preserve">1315341     </v>
      </c>
      <c r="O8884">
        <v>231113</v>
      </c>
    </row>
    <row r="8885" spans="1:15" x14ac:dyDescent="0.25">
      <c r="A8885" t="s">
        <v>16</v>
      </c>
      <c r="B8885" t="s">
        <v>3221</v>
      </c>
      <c r="C8885">
        <v>15455</v>
      </c>
      <c r="D8885" t="s">
        <v>3650</v>
      </c>
      <c r="E8885" t="s">
        <v>298</v>
      </c>
      <c r="F8885">
        <v>10.19</v>
      </c>
      <c r="G8885">
        <v>231109</v>
      </c>
      <c r="H8885">
        <v>4600</v>
      </c>
      <c r="I8885" t="s">
        <v>105</v>
      </c>
      <c r="J8885">
        <v>12.64</v>
      </c>
      <c r="K8885">
        <v>2.4500000000000002</v>
      </c>
      <c r="L8885">
        <v>56568</v>
      </c>
      <c r="M8885" t="s">
        <v>268</v>
      </c>
      <c r="N8885" t="str">
        <f>"1315336     "</f>
        <v xml:space="preserve">1315336     </v>
      </c>
      <c r="O8885">
        <v>231113</v>
      </c>
    </row>
    <row r="8886" spans="1:15" x14ac:dyDescent="0.25">
      <c r="A8886" t="s">
        <v>16</v>
      </c>
      <c r="B8886" t="s">
        <v>3221</v>
      </c>
      <c r="C8886">
        <v>15457</v>
      </c>
      <c r="D8886" t="s">
        <v>3650</v>
      </c>
      <c r="E8886" t="s">
        <v>298</v>
      </c>
      <c r="F8886">
        <v>219.03</v>
      </c>
      <c r="G8886">
        <v>231109</v>
      </c>
      <c r="H8886">
        <v>4600</v>
      </c>
      <c r="I8886" t="s">
        <v>105</v>
      </c>
      <c r="J8886">
        <v>271.60000000000002</v>
      </c>
      <c r="K8886">
        <v>52.57</v>
      </c>
      <c r="L8886">
        <v>59501</v>
      </c>
      <c r="M8886" t="s">
        <v>69</v>
      </c>
      <c r="N8886" t="str">
        <f>"1315321     "</f>
        <v xml:space="preserve">1315321     </v>
      </c>
      <c r="O8886">
        <v>231113</v>
      </c>
    </row>
    <row r="8887" spans="1:15" x14ac:dyDescent="0.25">
      <c r="A8887" t="s">
        <v>16</v>
      </c>
      <c r="B8887" t="s">
        <v>3221</v>
      </c>
      <c r="C8887">
        <v>15460</v>
      </c>
      <c r="D8887" t="s">
        <v>3650</v>
      </c>
      <c r="E8887" t="s">
        <v>298</v>
      </c>
      <c r="F8887">
        <v>71.94</v>
      </c>
      <c r="G8887">
        <v>231109</v>
      </c>
      <c r="H8887">
        <v>4600</v>
      </c>
      <c r="I8887" t="s">
        <v>105</v>
      </c>
      <c r="J8887">
        <v>89.2</v>
      </c>
      <c r="K8887">
        <v>17.260000000000002</v>
      </c>
      <c r="L8887">
        <v>56565</v>
      </c>
      <c r="M8887" t="s">
        <v>758</v>
      </c>
      <c r="N8887" t="str">
        <f>"1315335     "</f>
        <v xml:space="preserve">1315335     </v>
      </c>
      <c r="O8887">
        <v>231113</v>
      </c>
    </row>
    <row r="8888" spans="1:15" x14ac:dyDescent="0.25">
      <c r="A8888" t="s">
        <v>16</v>
      </c>
      <c r="B8888" t="s">
        <v>3221</v>
      </c>
      <c r="C8888">
        <v>15477</v>
      </c>
      <c r="D8888" t="s">
        <v>3650</v>
      </c>
      <c r="E8888" t="s">
        <v>298</v>
      </c>
      <c r="F8888">
        <v>55.48</v>
      </c>
      <c r="G8888">
        <v>231109</v>
      </c>
      <c r="H8888">
        <v>4600</v>
      </c>
      <c r="I8888" t="s">
        <v>105</v>
      </c>
      <c r="J8888">
        <v>68.8</v>
      </c>
      <c r="K8888">
        <v>13.32</v>
      </c>
      <c r="L8888">
        <v>56568</v>
      </c>
      <c r="M8888" t="s">
        <v>268</v>
      </c>
      <c r="N8888" t="str">
        <f>"1315330     "</f>
        <v xml:space="preserve">1315330     </v>
      </c>
      <c r="O8888">
        <v>231113</v>
      </c>
    </row>
    <row r="8889" spans="1:15" x14ac:dyDescent="0.25">
      <c r="A8889" t="s">
        <v>16</v>
      </c>
      <c r="B8889" t="s">
        <v>3221</v>
      </c>
      <c r="C8889">
        <v>15478</v>
      </c>
      <c r="D8889" t="s">
        <v>3650</v>
      </c>
      <c r="E8889" t="s">
        <v>298</v>
      </c>
      <c r="F8889">
        <v>52.15</v>
      </c>
      <c r="G8889">
        <v>231109</v>
      </c>
      <c r="H8889">
        <v>4600</v>
      </c>
      <c r="I8889" t="s">
        <v>105</v>
      </c>
      <c r="J8889">
        <v>64.66</v>
      </c>
      <c r="K8889">
        <v>12.51</v>
      </c>
      <c r="L8889">
        <v>56565</v>
      </c>
      <c r="M8889" t="s">
        <v>758</v>
      </c>
      <c r="N8889" t="str">
        <f>"1315314     "</f>
        <v xml:space="preserve">1315314     </v>
      </c>
      <c r="O8889">
        <v>231113</v>
      </c>
    </row>
    <row r="8890" spans="1:15" x14ac:dyDescent="0.25">
      <c r="A8890" t="s">
        <v>16</v>
      </c>
      <c r="B8890" t="s">
        <v>3221</v>
      </c>
      <c r="C8890">
        <v>15479</v>
      </c>
      <c r="D8890" t="s">
        <v>3650</v>
      </c>
      <c r="E8890" t="s">
        <v>298</v>
      </c>
      <c r="F8890">
        <v>43.34</v>
      </c>
      <c r="G8890">
        <v>231109</v>
      </c>
      <c r="H8890">
        <v>4600</v>
      </c>
      <c r="I8890" t="s">
        <v>105</v>
      </c>
      <c r="J8890">
        <v>53.74</v>
      </c>
      <c r="K8890">
        <v>10.4</v>
      </c>
      <c r="L8890">
        <v>56568</v>
      </c>
      <c r="M8890" t="s">
        <v>268</v>
      </c>
      <c r="N8890" t="str">
        <f>"1315315     "</f>
        <v xml:space="preserve">1315315     </v>
      </c>
      <c r="O8890">
        <v>231113</v>
      </c>
    </row>
    <row r="8891" spans="1:15" x14ac:dyDescent="0.25">
      <c r="A8891" t="s">
        <v>16</v>
      </c>
      <c r="B8891" t="s">
        <v>3221</v>
      </c>
      <c r="C8891">
        <v>15481</v>
      </c>
      <c r="D8891" t="s">
        <v>3650</v>
      </c>
      <c r="E8891" t="s">
        <v>298</v>
      </c>
      <c r="F8891">
        <v>8.5</v>
      </c>
      <c r="G8891">
        <v>231109</v>
      </c>
      <c r="H8891">
        <v>4600</v>
      </c>
      <c r="I8891" t="s">
        <v>105</v>
      </c>
      <c r="J8891">
        <v>10.54</v>
      </c>
      <c r="K8891">
        <v>2.04</v>
      </c>
      <c r="L8891">
        <v>56568</v>
      </c>
      <c r="M8891" t="s">
        <v>268</v>
      </c>
      <c r="N8891" t="str">
        <f>"1315318     "</f>
        <v xml:space="preserve">1315318     </v>
      </c>
      <c r="O8891">
        <v>231113</v>
      </c>
    </row>
    <row r="8892" spans="1:15" x14ac:dyDescent="0.25">
      <c r="A8892" t="s">
        <v>16</v>
      </c>
      <c r="B8892" t="s">
        <v>3221</v>
      </c>
      <c r="C8892">
        <v>15483</v>
      </c>
      <c r="D8892" t="s">
        <v>3650</v>
      </c>
      <c r="E8892" t="s">
        <v>298</v>
      </c>
      <c r="F8892">
        <v>164.21</v>
      </c>
      <c r="G8892">
        <v>231109</v>
      </c>
      <c r="H8892">
        <v>4600</v>
      </c>
      <c r="I8892" t="s">
        <v>105</v>
      </c>
      <c r="J8892">
        <v>203.62</v>
      </c>
      <c r="K8892">
        <v>39.409999999999997</v>
      </c>
      <c r="L8892">
        <v>56568</v>
      </c>
      <c r="M8892" t="s">
        <v>268</v>
      </c>
      <c r="N8892" t="str">
        <f>"1315329     "</f>
        <v xml:space="preserve">1315329     </v>
      </c>
      <c r="O8892">
        <v>231113</v>
      </c>
    </row>
    <row r="8893" spans="1:15" x14ac:dyDescent="0.25">
      <c r="A8893" t="s">
        <v>16</v>
      </c>
      <c r="B8893" t="s">
        <v>3221</v>
      </c>
      <c r="C8893">
        <v>15484</v>
      </c>
      <c r="D8893" t="s">
        <v>3650</v>
      </c>
      <c r="E8893" t="s">
        <v>298</v>
      </c>
      <c r="F8893">
        <v>8.31</v>
      </c>
      <c r="G8893">
        <v>231109</v>
      </c>
      <c r="H8893">
        <v>4600</v>
      </c>
      <c r="I8893" t="s">
        <v>105</v>
      </c>
      <c r="J8893">
        <v>10.3</v>
      </c>
      <c r="K8893">
        <v>1.99</v>
      </c>
      <c r="L8893">
        <v>56568</v>
      </c>
      <c r="M8893" t="s">
        <v>268</v>
      </c>
      <c r="N8893" t="str">
        <f>"1315304     "</f>
        <v xml:space="preserve">1315304     </v>
      </c>
      <c r="O8893">
        <v>231113</v>
      </c>
    </row>
    <row r="8894" spans="1:15" x14ac:dyDescent="0.25">
      <c r="A8894" t="s">
        <v>16</v>
      </c>
      <c r="B8894" t="s">
        <v>3221</v>
      </c>
      <c r="C8894">
        <v>15485</v>
      </c>
      <c r="D8894" t="s">
        <v>3650</v>
      </c>
      <c r="E8894" t="s">
        <v>298</v>
      </c>
      <c r="F8894">
        <v>16.649999999999999</v>
      </c>
      <c r="G8894">
        <v>231109</v>
      </c>
      <c r="H8894">
        <v>4600</v>
      </c>
      <c r="I8894" t="s">
        <v>105</v>
      </c>
      <c r="J8894">
        <v>20.65</v>
      </c>
      <c r="K8894">
        <v>4</v>
      </c>
      <c r="L8894">
        <v>56568</v>
      </c>
      <c r="M8894" t="s">
        <v>268</v>
      </c>
      <c r="N8894" t="str">
        <f>"1315303     "</f>
        <v xml:space="preserve">1315303     </v>
      </c>
      <c r="O8894">
        <v>231113</v>
      </c>
    </row>
    <row r="8895" spans="1:15" x14ac:dyDescent="0.25">
      <c r="A8895" t="s">
        <v>16</v>
      </c>
      <c r="B8895" t="s">
        <v>3221</v>
      </c>
      <c r="C8895">
        <v>15486</v>
      </c>
      <c r="D8895" t="s">
        <v>3650</v>
      </c>
      <c r="E8895" t="s">
        <v>298</v>
      </c>
      <c r="F8895">
        <v>207.63</v>
      </c>
      <c r="G8895">
        <v>231109</v>
      </c>
      <c r="H8895">
        <v>4600</v>
      </c>
      <c r="I8895" t="s">
        <v>105</v>
      </c>
      <c r="J8895">
        <v>257.45999999999998</v>
      </c>
      <c r="K8895">
        <v>49.83</v>
      </c>
      <c r="L8895">
        <v>56568</v>
      </c>
      <c r="M8895" t="s">
        <v>268</v>
      </c>
      <c r="N8895" t="str">
        <f>"1315327     "</f>
        <v xml:space="preserve">1315327     </v>
      </c>
      <c r="O8895">
        <v>231113</v>
      </c>
    </row>
    <row r="8896" spans="1:15" x14ac:dyDescent="0.25">
      <c r="A8896" t="s">
        <v>16</v>
      </c>
      <c r="B8896" t="s">
        <v>3221</v>
      </c>
      <c r="C8896">
        <v>15487</v>
      </c>
      <c r="D8896" t="s">
        <v>3650</v>
      </c>
      <c r="E8896" t="s">
        <v>298</v>
      </c>
      <c r="F8896">
        <v>24.19</v>
      </c>
      <c r="G8896">
        <v>231109</v>
      </c>
      <c r="H8896">
        <v>4600</v>
      </c>
      <c r="I8896" t="s">
        <v>105</v>
      </c>
      <c r="J8896">
        <v>30</v>
      </c>
      <c r="K8896">
        <v>5.81</v>
      </c>
      <c r="L8896">
        <v>56568</v>
      </c>
      <c r="M8896" t="s">
        <v>268</v>
      </c>
      <c r="N8896" t="str">
        <f>"1315310     "</f>
        <v xml:space="preserve">1315310     </v>
      </c>
      <c r="O8896">
        <v>231113</v>
      </c>
    </row>
    <row r="8897" spans="1:15" x14ac:dyDescent="0.25">
      <c r="A8897" t="s">
        <v>16</v>
      </c>
      <c r="B8897" t="s">
        <v>3221</v>
      </c>
      <c r="C8897">
        <v>15492</v>
      </c>
      <c r="D8897" t="s">
        <v>3650</v>
      </c>
      <c r="E8897" t="s">
        <v>298</v>
      </c>
      <c r="F8897">
        <v>35.520000000000003</v>
      </c>
      <c r="G8897">
        <v>231109</v>
      </c>
      <c r="H8897">
        <v>4600</v>
      </c>
      <c r="I8897" t="s">
        <v>105</v>
      </c>
      <c r="J8897">
        <v>44.05</v>
      </c>
      <c r="K8897">
        <v>8.5299999999999994</v>
      </c>
      <c r="L8897">
        <v>56568</v>
      </c>
      <c r="M8897" t="s">
        <v>268</v>
      </c>
      <c r="N8897" t="str">
        <f>"1315342     "</f>
        <v xml:space="preserve">1315342     </v>
      </c>
      <c r="O8897">
        <v>231113</v>
      </c>
    </row>
    <row r="8898" spans="1:15" x14ac:dyDescent="0.25">
      <c r="A8898" t="s">
        <v>16</v>
      </c>
      <c r="B8898" t="s">
        <v>3221</v>
      </c>
      <c r="C8898">
        <v>15493</v>
      </c>
      <c r="D8898" t="s">
        <v>3650</v>
      </c>
      <c r="E8898" t="s">
        <v>298</v>
      </c>
      <c r="F8898">
        <v>17.68</v>
      </c>
      <c r="G8898">
        <v>231109</v>
      </c>
      <c r="H8898">
        <v>4600</v>
      </c>
      <c r="I8898" t="s">
        <v>105</v>
      </c>
      <c r="J8898">
        <v>21.92</v>
      </c>
      <c r="K8898">
        <v>4.24</v>
      </c>
      <c r="L8898">
        <v>56568</v>
      </c>
      <c r="M8898" t="s">
        <v>268</v>
      </c>
      <c r="N8898" t="str">
        <f>"1315319     "</f>
        <v xml:space="preserve">1315319     </v>
      </c>
      <c r="O8898">
        <v>231113</v>
      </c>
    </row>
    <row r="8899" spans="1:15" x14ac:dyDescent="0.25">
      <c r="A8899" t="s">
        <v>16</v>
      </c>
      <c r="B8899" t="s">
        <v>3221</v>
      </c>
      <c r="C8899">
        <v>15496</v>
      </c>
      <c r="D8899" t="s">
        <v>3650</v>
      </c>
      <c r="E8899" t="s">
        <v>298</v>
      </c>
      <c r="F8899">
        <v>7.1</v>
      </c>
      <c r="G8899">
        <v>231109</v>
      </c>
      <c r="H8899">
        <v>4600</v>
      </c>
      <c r="I8899" t="s">
        <v>105</v>
      </c>
      <c r="J8899">
        <v>8.8000000000000007</v>
      </c>
      <c r="K8899">
        <v>1.7</v>
      </c>
      <c r="L8899">
        <v>56568</v>
      </c>
      <c r="M8899" t="s">
        <v>268</v>
      </c>
      <c r="N8899" t="str">
        <f>"1315346     "</f>
        <v xml:space="preserve">1315346     </v>
      </c>
      <c r="O8899">
        <v>231113</v>
      </c>
    </row>
    <row r="8900" spans="1:15" x14ac:dyDescent="0.25">
      <c r="A8900" t="s">
        <v>16</v>
      </c>
      <c r="B8900" t="s">
        <v>3221</v>
      </c>
      <c r="C8900">
        <v>15497</v>
      </c>
      <c r="D8900" t="s">
        <v>3650</v>
      </c>
      <c r="E8900" t="s">
        <v>298</v>
      </c>
      <c r="F8900">
        <v>3.29</v>
      </c>
      <c r="G8900">
        <v>231109</v>
      </c>
      <c r="H8900">
        <v>4600</v>
      </c>
      <c r="I8900" t="s">
        <v>105</v>
      </c>
      <c r="J8900">
        <v>4.08</v>
      </c>
      <c r="K8900">
        <v>0.79</v>
      </c>
      <c r="L8900">
        <v>56568</v>
      </c>
      <c r="M8900" t="s">
        <v>268</v>
      </c>
      <c r="N8900" t="str">
        <f>"1315313     "</f>
        <v xml:space="preserve">1315313     </v>
      </c>
      <c r="O8900">
        <v>231113</v>
      </c>
    </row>
    <row r="8901" spans="1:15" x14ac:dyDescent="0.25">
      <c r="A8901" t="s">
        <v>16</v>
      </c>
      <c r="B8901" t="s">
        <v>3221</v>
      </c>
      <c r="C8901">
        <v>15498</v>
      </c>
      <c r="D8901" t="s">
        <v>3650</v>
      </c>
      <c r="E8901" t="s">
        <v>298</v>
      </c>
      <c r="F8901">
        <v>-27.42</v>
      </c>
      <c r="G8901">
        <v>231109</v>
      </c>
      <c r="H8901">
        <v>4600</v>
      </c>
      <c r="I8901" t="s">
        <v>105</v>
      </c>
      <c r="J8901">
        <v>-34</v>
      </c>
      <c r="K8901">
        <v>-6.58</v>
      </c>
      <c r="L8901">
        <v>56568</v>
      </c>
      <c r="M8901" t="s">
        <v>268</v>
      </c>
      <c r="N8901" t="str">
        <f>"1315306     "</f>
        <v xml:space="preserve">1315306     </v>
      </c>
      <c r="O8901">
        <v>231113</v>
      </c>
    </row>
    <row r="8902" spans="1:15" x14ac:dyDescent="0.25">
      <c r="A8902" t="s">
        <v>16</v>
      </c>
      <c r="B8902" t="s">
        <v>3221</v>
      </c>
      <c r="C8902">
        <v>15509</v>
      </c>
      <c r="D8902" t="s">
        <v>3650</v>
      </c>
      <c r="E8902" t="s">
        <v>298</v>
      </c>
      <c r="F8902">
        <v>6.18</v>
      </c>
      <c r="G8902">
        <v>231109</v>
      </c>
      <c r="H8902">
        <v>4600</v>
      </c>
      <c r="I8902" t="s">
        <v>105</v>
      </c>
      <c r="J8902">
        <v>7.66</v>
      </c>
      <c r="K8902">
        <v>1.48</v>
      </c>
      <c r="L8902">
        <v>56568</v>
      </c>
      <c r="M8902" t="s">
        <v>268</v>
      </c>
      <c r="N8902" t="str">
        <f>"1315311     "</f>
        <v xml:space="preserve">1315311     </v>
      </c>
      <c r="O8902">
        <v>231113</v>
      </c>
    </row>
    <row r="8903" spans="1:15" x14ac:dyDescent="0.25">
      <c r="A8903" t="s">
        <v>16</v>
      </c>
      <c r="B8903" t="s">
        <v>3221</v>
      </c>
      <c r="C8903">
        <v>15510</v>
      </c>
      <c r="D8903" t="s">
        <v>3650</v>
      </c>
      <c r="E8903" t="s">
        <v>298</v>
      </c>
      <c r="F8903">
        <v>101.61</v>
      </c>
      <c r="G8903">
        <v>231109</v>
      </c>
      <c r="H8903">
        <v>4600</v>
      </c>
      <c r="I8903" t="s">
        <v>105</v>
      </c>
      <c r="J8903">
        <v>126</v>
      </c>
      <c r="K8903">
        <v>24.39</v>
      </c>
      <c r="L8903">
        <v>56568</v>
      </c>
      <c r="M8903" t="s">
        <v>268</v>
      </c>
      <c r="N8903" t="str">
        <f>"1315325     "</f>
        <v xml:space="preserve">1315325     </v>
      </c>
      <c r="O8903">
        <v>231113</v>
      </c>
    </row>
    <row r="8904" spans="1:15" x14ac:dyDescent="0.25">
      <c r="A8904" t="s">
        <v>16</v>
      </c>
      <c r="B8904" t="s">
        <v>3221</v>
      </c>
      <c r="C8904">
        <v>15511</v>
      </c>
      <c r="D8904" t="s">
        <v>3650</v>
      </c>
      <c r="E8904" t="s">
        <v>298</v>
      </c>
      <c r="F8904">
        <v>16.329999999999998</v>
      </c>
      <c r="G8904">
        <v>231109</v>
      </c>
      <c r="H8904">
        <v>4600</v>
      </c>
      <c r="I8904" t="s">
        <v>105</v>
      </c>
      <c r="J8904">
        <v>20.25</v>
      </c>
      <c r="K8904">
        <v>3.92</v>
      </c>
      <c r="L8904">
        <v>56568</v>
      </c>
      <c r="M8904" t="s">
        <v>268</v>
      </c>
      <c r="N8904" t="str">
        <f>"1315344     "</f>
        <v xml:space="preserve">1315344     </v>
      </c>
      <c r="O8904">
        <v>231113</v>
      </c>
    </row>
    <row r="8905" spans="1:15" x14ac:dyDescent="0.25">
      <c r="A8905" t="s">
        <v>16</v>
      </c>
      <c r="B8905" t="s">
        <v>3221</v>
      </c>
      <c r="C8905">
        <v>15512</v>
      </c>
      <c r="D8905" t="s">
        <v>3650</v>
      </c>
      <c r="E8905" t="s">
        <v>298</v>
      </c>
      <c r="F8905">
        <v>19.5</v>
      </c>
      <c r="G8905">
        <v>231109</v>
      </c>
      <c r="H8905">
        <v>4600</v>
      </c>
      <c r="I8905" t="s">
        <v>105</v>
      </c>
      <c r="J8905">
        <v>24.18</v>
      </c>
      <c r="K8905">
        <v>4.68</v>
      </c>
      <c r="L8905">
        <v>56568</v>
      </c>
      <c r="M8905" t="s">
        <v>268</v>
      </c>
      <c r="N8905" t="str">
        <f>"1315334     "</f>
        <v xml:space="preserve">1315334     </v>
      </c>
      <c r="O8905">
        <v>231113</v>
      </c>
    </row>
    <row r="8906" spans="1:15" x14ac:dyDescent="0.25">
      <c r="A8906" t="s">
        <v>16</v>
      </c>
      <c r="B8906" t="s">
        <v>3221</v>
      </c>
      <c r="C8906">
        <v>15513</v>
      </c>
      <c r="D8906" t="s">
        <v>3650</v>
      </c>
      <c r="E8906" t="s">
        <v>298</v>
      </c>
      <c r="F8906">
        <v>101.19</v>
      </c>
      <c r="G8906">
        <v>231109</v>
      </c>
      <c r="H8906">
        <v>4600</v>
      </c>
      <c r="I8906" t="s">
        <v>105</v>
      </c>
      <c r="J8906">
        <v>125.48</v>
      </c>
      <c r="K8906">
        <v>24.29</v>
      </c>
      <c r="L8906">
        <v>56568</v>
      </c>
      <c r="M8906" t="s">
        <v>268</v>
      </c>
      <c r="N8906" t="str">
        <f>"1315339     "</f>
        <v xml:space="preserve">1315339     </v>
      </c>
      <c r="O8906">
        <v>231113</v>
      </c>
    </row>
    <row r="8907" spans="1:15" x14ac:dyDescent="0.25">
      <c r="A8907" t="s">
        <v>16</v>
      </c>
      <c r="B8907" t="s">
        <v>3221</v>
      </c>
      <c r="C8907">
        <v>15514</v>
      </c>
      <c r="D8907" t="s">
        <v>3650</v>
      </c>
      <c r="E8907" t="s">
        <v>298</v>
      </c>
      <c r="F8907">
        <v>38</v>
      </c>
      <c r="G8907">
        <v>231109</v>
      </c>
      <c r="H8907">
        <v>4600</v>
      </c>
      <c r="I8907" t="s">
        <v>105</v>
      </c>
      <c r="J8907">
        <v>47.12</v>
      </c>
      <c r="K8907">
        <v>9.1199999999999992</v>
      </c>
      <c r="L8907">
        <v>56568</v>
      </c>
      <c r="M8907" t="s">
        <v>268</v>
      </c>
      <c r="N8907" t="str">
        <f>"1315345     "</f>
        <v xml:space="preserve">1315345     </v>
      </c>
      <c r="O8907">
        <v>231113</v>
      </c>
    </row>
    <row r="8908" spans="1:15" x14ac:dyDescent="0.25">
      <c r="A8908" t="s">
        <v>16</v>
      </c>
      <c r="B8908" t="s">
        <v>3221</v>
      </c>
      <c r="C8908">
        <v>15515</v>
      </c>
      <c r="D8908" t="s">
        <v>3650</v>
      </c>
      <c r="E8908" t="s">
        <v>298</v>
      </c>
      <c r="F8908">
        <v>24.09</v>
      </c>
      <c r="G8908">
        <v>231109</v>
      </c>
      <c r="H8908">
        <v>4600</v>
      </c>
      <c r="I8908" t="s">
        <v>105</v>
      </c>
      <c r="J8908">
        <v>29.87</v>
      </c>
      <c r="K8908">
        <v>5.78</v>
      </c>
      <c r="L8908">
        <v>56568</v>
      </c>
      <c r="M8908" t="s">
        <v>268</v>
      </c>
      <c r="N8908" t="str">
        <f>"1315308     "</f>
        <v xml:space="preserve">1315308     </v>
      </c>
      <c r="O8908">
        <v>231113</v>
      </c>
    </row>
    <row r="8909" spans="1:15" x14ac:dyDescent="0.25">
      <c r="A8909" t="s">
        <v>16</v>
      </c>
      <c r="B8909" t="s">
        <v>3221</v>
      </c>
      <c r="C8909">
        <v>15516</v>
      </c>
      <c r="D8909" t="s">
        <v>3650</v>
      </c>
      <c r="E8909" t="s">
        <v>298</v>
      </c>
      <c r="F8909">
        <v>430</v>
      </c>
      <c r="G8909">
        <v>231109</v>
      </c>
      <c r="H8909">
        <v>4600</v>
      </c>
      <c r="I8909" t="s">
        <v>105</v>
      </c>
      <c r="J8909">
        <v>533.20000000000005</v>
      </c>
      <c r="K8909">
        <v>103.2</v>
      </c>
      <c r="L8909">
        <v>56562</v>
      </c>
      <c r="M8909" t="s">
        <v>126</v>
      </c>
      <c r="N8909" t="str">
        <f>"1315323     "</f>
        <v xml:space="preserve">1315323     </v>
      </c>
      <c r="O8909">
        <v>231113</v>
      </c>
    </row>
    <row r="8910" spans="1:15" x14ac:dyDescent="0.25">
      <c r="A8910" t="s">
        <v>16</v>
      </c>
      <c r="B8910" t="s">
        <v>3221</v>
      </c>
      <c r="C8910">
        <v>15517</v>
      </c>
      <c r="D8910" t="s">
        <v>3650</v>
      </c>
      <c r="E8910" t="s">
        <v>298</v>
      </c>
      <c r="F8910">
        <v>30.06</v>
      </c>
      <c r="G8910">
        <v>231109</v>
      </c>
      <c r="H8910">
        <v>4600</v>
      </c>
      <c r="I8910" t="s">
        <v>105</v>
      </c>
      <c r="J8910">
        <v>37.270000000000003</v>
      </c>
      <c r="K8910">
        <v>7.21</v>
      </c>
      <c r="L8910">
        <v>56568</v>
      </c>
      <c r="M8910" t="s">
        <v>268</v>
      </c>
      <c r="N8910" t="str">
        <f>"1315301     "</f>
        <v xml:space="preserve">1315301     </v>
      </c>
      <c r="O8910">
        <v>231113</v>
      </c>
    </row>
    <row r="8911" spans="1:15" x14ac:dyDescent="0.25">
      <c r="A8911" t="s">
        <v>16</v>
      </c>
      <c r="B8911" t="s">
        <v>3221</v>
      </c>
      <c r="C8911">
        <v>15657</v>
      </c>
      <c r="D8911" t="s">
        <v>3650</v>
      </c>
      <c r="E8911" t="s">
        <v>298</v>
      </c>
      <c r="F8911">
        <v>37.83</v>
      </c>
      <c r="G8911">
        <v>231109</v>
      </c>
      <c r="H8911">
        <v>4600</v>
      </c>
      <c r="I8911" t="s">
        <v>105</v>
      </c>
      <c r="J8911">
        <v>46.91</v>
      </c>
      <c r="K8911">
        <v>9.08</v>
      </c>
      <c r="L8911">
        <v>59504</v>
      </c>
      <c r="M8911" t="s">
        <v>71</v>
      </c>
      <c r="N8911" t="str">
        <f>"1315299     "</f>
        <v xml:space="preserve">1315299     </v>
      </c>
      <c r="O8911">
        <v>231116</v>
      </c>
    </row>
    <row r="8912" spans="1:15" x14ac:dyDescent="0.25">
      <c r="A8912" t="s">
        <v>16</v>
      </c>
      <c r="B8912" t="s">
        <v>3221</v>
      </c>
      <c r="C8912">
        <v>15830</v>
      </c>
      <c r="D8912" t="s">
        <v>3650</v>
      </c>
      <c r="E8912" t="s">
        <v>298</v>
      </c>
      <c r="F8912">
        <v>100.81</v>
      </c>
      <c r="G8912">
        <v>231109</v>
      </c>
      <c r="H8912">
        <v>4600</v>
      </c>
      <c r="I8912" t="s">
        <v>105</v>
      </c>
      <c r="J8912">
        <v>125</v>
      </c>
      <c r="K8912">
        <v>24.19</v>
      </c>
      <c r="L8912">
        <v>69501</v>
      </c>
      <c r="M8912" t="s">
        <v>185</v>
      </c>
      <c r="N8912" t="str">
        <f>"1315348     "</f>
        <v xml:space="preserve">1315348     </v>
      </c>
      <c r="O8912">
        <v>231120</v>
      </c>
    </row>
    <row r="8913" spans="1:15" x14ac:dyDescent="0.25">
      <c r="A8913" t="s">
        <v>16</v>
      </c>
      <c r="B8913" t="s">
        <v>3221</v>
      </c>
      <c r="C8913">
        <v>16217</v>
      </c>
      <c r="D8913" t="s">
        <v>3650</v>
      </c>
      <c r="E8913" t="s">
        <v>298</v>
      </c>
      <c r="F8913">
        <v>94.88</v>
      </c>
      <c r="G8913">
        <v>231121</v>
      </c>
      <c r="H8913">
        <v>4600</v>
      </c>
      <c r="I8913" t="s">
        <v>105</v>
      </c>
      <c r="J8913">
        <v>117.65</v>
      </c>
      <c r="K8913">
        <v>22.77</v>
      </c>
      <c r="L8913">
        <v>56568</v>
      </c>
      <c r="M8913" t="s">
        <v>268</v>
      </c>
      <c r="N8913" t="str">
        <f>"1316516     "</f>
        <v xml:space="preserve">1316516     </v>
      </c>
      <c r="O8913">
        <v>231127</v>
      </c>
    </row>
    <row r="8914" spans="1:15" x14ac:dyDescent="0.25">
      <c r="A8914" t="s">
        <v>16</v>
      </c>
      <c r="B8914" t="s">
        <v>3221</v>
      </c>
      <c r="C8914">
        <v>16219</v>
      </c>
      <c r="D8914" t="s">
        <v>3650</v>
      </c>
      <c r="E8914" t="s">
        <v>298</v>
      </c>
      <c r="F8914">
        <v>66.459999999999994</v>
      </c>
      <c r="G8914">
        <v>231121</v>
      </c>
      <c r="H8914">
        <v>4600</v>
      </c>
      <c r="I8914" t="s">
        <v>105</v>
      </c>
      <c r="J8914">
        <v>82.41</v>
      </c>
      <c r="K8914">
        <v>15.95</v>
      </c>
      <c r="L8914">
        <v>56568</v>
      </c>
      <c r="M8914" t="s">
        <v>268</v>
      </c>
      <c r="N8914" t="str">
        <f>"1316509     "</f>
        <v xml:space="preserve">1316509     </v>
      </c>
      <c r="O8914">
        <v>231127</v>
      </c>
    </row>
    <row r="8915" spans="1:15" x14ac:dyDescent="0.25">
      <c r="A8915" t="s">
        <v>16</v>
      </c>
      <c r="B8915" t="s">
        <v>3221</v>
      </c>
      <c r="C8915">
        <v>16220</v>
      </c>
      <c r="D8915" t="s">
        <v>3650</v>
      </c>
      <c r="E8915" t="s">
        <v>298</v>
      </c>
      <c r="F8915">
        <v>7.25</v>
      </c>
      <c r="G8915">
        <v>231121</v>
      </c>
      <c r="H8915">
        <v>4600</v>
      </c>
      <c r="I8915" t="s">
        <v>105</v>
      </c>
      <c r="J8915">
        <v>8.99</v>
      </c>
      <c r="K8915">
        <v>1.74</v>
      </c>
      <c r="L8915">
        <v>56568</v>
      </c>
      <c r="M8915" t="s">
        <v>268</v>
      </c>
      <c r="N8915" t="str">
        <f>"1316495     "</f>
        <v xml:space="preserve">1316495     </v>
      </c>
      <c r="O8915">
        <v>231127</v>
      </c>
    </row>
    <row r="8916" spans="1:15" x14ac:dyDescent="0.25">
      <c r="A8916" t="s">
        <v>16</v>
      </c>
      <c r="B8916" t="s">
        <v>3221</v>
      </c>
      <c r="C8916">
        <v>16221</v>
      </c>
      <c r="D8916" t="s">
        <v>3650</v>
      </c>
      <c r="E8916" t="s">
        <v>298</v>
      </c>
      <c r="F8916">
        <v>-34.19</v>
      </c>
      <c r="G8916">
        <v>231121</v>
      </c>
      <c r="H8916">
        <v>4600</v>
      </c>
      <c r="I8916" t="s">
        <v>105</v>
      </c>
      <c r="J8916">
        <v>-42.4</v>
      </c>
      <c r="K8916">
        <v>-8.2100000000000009</v>
      </c>
      <c r="L8916">
        <v>56568</v>
      </c>
      <c r="M8916" t="s">
        <v>268</v>
      </c>
      <c r="N8916" t="str">
        <f>"1316521     "</f>
        <v xml:space="preserve">1316521     </v>
      </c>
      <c r="O8916">
        <v>231127</v>
      </c>
    </row>
    <row r="8917" spans="1:15" x14ac:dyDescent="0.25">
      <c r="A8917" t="s">
        <v>16</v>
      </c>
      <c r="B8917" t="s">
        <v>3221</v>
      </c>
      <c r="C8917">
        <v>16222</v>
      </c>
      <c r="D8917" t="s">
        <v>3650</v>
      </c>
      <c r="E8917" t="s">
        <v>298</v>
      </c>
      <c r="F8917">
        <v>49.16</v>
      </c>
      <c r="G8917">
        <v>231121</v>
      </c>
      <c r="H8917">
        <v>4600</v>
      </c>
      <c r="I8917" t="s">
        <v>105</v>
      </c>
      <c r="J8917">
        <v>60.96</v>
      </c>
      <c r="K8917">
        <v>11.8</v>
      </c>
      <c r="L8917">
        <v>56568</v>
      </c>
      <c r="M8917" t="s">
        <v>268</v>
      </c>
      <c r="N8917" t="str">
        <f>"1316510     "</f>
        <v xml:space="preserve">1316510     </v>
      </c>
      <c r="O8917">
        <v>231127</v>
      </c>
    </row>
    <row r="8918" spans="1:15" x14ac:dyDescent="0.25">
      <c r="A8918" t="s">
        <v>16</v>
      </c>
      <c r="B8918" t="s">
        <v>3221</v>
      </c>
      <c r="C8918">
        <v>16231</v>
      </c>
      <c r="D8918" t="s">
        <v>3650</v>
      </c>
      <c r="E8918" t="s">
        <v>298</v>
      </c>
      <c r="F8918">
        <v>74.19</v>
      </c>
      <c r="G8918">
        <v>231121</v>
      </c>
      <c r="H8918">
        <v>4600</v>
      </c>
      <c r="I8918" t="s">
        <v>105</v>
      </c>
      <c r="J8918">
        <v>92</v>
      </c>
      <c r="K8918">
        <v>17.809999999999999</v>
      </c>
      <c r="L8918">
        <v>67522</v>
      </c>
      <c r="M8918" t="s">
        <v>397</v>
      </c>
      <c r="N8918" t="str">
        <f>"1316530     "</f>
        <v xml:space="preserve">1316530     </v>
      </c>
      <c r="O8918">
        <v>231127</v>
      </c>
    </row>
    <row r="8919" spans="1:15" x14ac:dyDescent="0.25">
      <c r="A8919" t="s">
        <v>16</v>
      </c>
      <c r="B8919" t="s">
        <v>3221</v>
      </c>
      <c r="C8919">
        <v>16232</v>
      </c>
      <c r="D8919" t="s">
        <v>3650</v>
      </c>
      <c r="E8919" t="s">
        <v>298</v>
      </c>
      <c r="F8919">
        <v>43.32</v>
      </c>
      <c r="G8919">
        <v>231121</v>
      </c>
      <c r="H8919">
        <v>4600</v>
      </c>
      <c r="I8919" t="s">
        <v>105</v>
      </c>
      <c r="J8919">
        <v>53.72</v>
      </c>
      <c r="K8919">
        <v>10.4</v>
      </c>
      <c r="L8919">
        <v>56568</v>
      </c>
      <c r="M8919" t="s">
        <v>268</v>
      </c>
      <c r="N8919" t="str">
        <f>"1316508     "</f>
        <v xml:space="preserve">1316508     </v>
      </c>
      <c r="O8919">
        <v>231127</v>
      </c>
    </row>
    <row r="8920" spans="1:15" x14ac:dyDescent="0.25">
      <c r="A8920" t="s">
        <v>16</v>
      </c>
      <c r="B8920" t="s">
        <v>3221</v>
      </c>
      <c r="C8920">
        <v>16235</v>
      </c>
      <c r="D8920" t="s">
        <v>3650</v>
      </c>
      <c r="E8920" t="s">
        <v>298</v>
      </c>
      <c r="F8920">
        <v>33.270000000000003</v>
      </c>
      <c r="G8920">
        <v>231121</v>
      </c>
      <c r="H8920">
        <v>4600</v>
      </c>
      <c r="I8920" t="s">
        <v>105</v>
      </c>
      <c r="J8920">
        <v>41.25</v>
      </c>
      <c r="K8920">
        <v>7.98</v>
      </c>
      <c r="L8920">
        <v>56568</v>
      </c>
      <c r="M8920" t="s">
        <v>268</v>
      </c>
      <c r="N8920" t="str">
        <f>"1316525     "</f>
        <v xml:space="preserve">1316525     </v>
      </c>
      <c r="O8920">
        <v>231127</v>
      </c>
    </row>
    <row r="8921" spans="1:15" x14ac:dyDescent="0.25">
      <c r="A8921" t="s">
        <v>16</v>
      </c>
      <c r="B8921" t="s">
        <v>3221</v>
      </c>
      <c r="C8921">
        <v>16236</v>
      </c>
      <c r="D8921" t="s">
        <v>3650</v>
      </c>
      <c r="E8921" t="s">
        <v>298</v>
      </c>
      <c r="F8921">
        <v>40.03</v>
      </c>
      <c r="G8921">
        <v>231121</v>
      </c>
      <c r="H8921">
        <v>4600</v>
      </c>
      <c r="I8921" t="s">
        <v>105</v>
      </c>
      <c r="J8921">
        <v>49.64</v>
      </c>
      <c r="K8921">
        <v>9.61</v>
      </c>
      <c r="L8921">
        <v>56568</v>
      </c>
      <c r="M8921" t="s">
        <v>268</v>
      </c>
      <c r="N8921" t="str">
        <f>"1316524     "</f>
        <v xml:space="preserve">1316524     </v>
      </c>
      <c r="O8921">
        <v>231127</v>
      </c>
    </row>
    <row r="8922" spans="1:15" x14ac:dyDescent="0.25">
      <c r="A8922" t="s">
        <v>16</v>
      </c>
      <c r="B8922" t="s">
        <v>3221</v>
      </c>
      <c r="C8922">
        <v>16240</v>
      </c>
      <c r="D8922" t="s">
        <v>3650</v>
      </c>
      <c r="E8922" t="s">
        <v>298</v>
      </c>
      <c r="F8922">
        <v>14.5</v>
      </c>
      <c r="G8922">
        <v>231121</v>
      </c>
      <c r="H8922">
        <v>4600</v>
      </c>
      <c r="I8922" t="s">
        <v>105</v>
      </c>
      <c r="J8922">
        <v>17.98</v>
      </c>
      <c r="K8922">
        <v>3.48</v>
      </c>
      <c r="L8922">
        <v>56568</v>
      </c>
      <c r="M8922" t="s">
        <v>268</v>
      </c>
      <c r="N8922" t="str">
        <f>"1316499     "</f>
        <v xml:space="preserve">1316499     </v>
      </c>
      <c r="O8922">
        <v>231127</v>
      </c>
    </row>
    <row r="8923" spans="1:15" x14ac:dyDescent="0.25">
      <c r="A8923" t="s">
        <v>16</v>
      </c>
      <c r="B8923" t="s">
        <v>3221</v>
      </c>
      <c r="C8923">
        <v>16241</v>
      </c>
      <c r="D8923" t="s">
        <v>3650</v>
      </c>
      <c r="E8923" t="s">
        <v>298</v>
      </c>
      <c r="F8923">
        <v>20.56</v>
      </c>
      <c r="G8923">
        <v>231121</v>
      </c>
      <c r="H8923">
        <v>4600</v>
      </c>
      <c r="I8923" t="s">
        <v>105</v>
      </c>
      <c r="J8923">
        <v>25.5</v>
      </c>
      <c r="K8923">
        <v>4.9400000000000004</v>
      </c>
      <c r="L8923">
        <v>56568</v>
      </c>
      <c r="M8923" t="s">
        <v>268</v>
      </c>
      <c r="N8923" t="str">
        <f>"1316507     "</f>
        <v xml:space="preserve">1316507     </v>
      </c>
      <c r="O8923">
        <v>231127</v>
      </c>
    </row>
    <row r="8924" spans="1:15" x14ac:dyDescent="0.25">
      <c r="A8924" t="s">
        <v>16</v>
      </c>
      <c r="B8924" t="s">
        <v>3221</v>
      </c>
      <c r="C8924">
        <v>16242</v>
      </c>
      <c r="D8924" t="s">
        <v>3650</v>
      </c>
      <c r="E8924" t="s">
        <v>298</v>
      </c>
      <c r="F8924">
        <v>18.84</v>
      </c>
      <c r="G8924">
        <v>231121</v>
      </c>
      <c r="H8924">
        <v>4600</v>
      </c>
      <c r="I8924" t="s">
        <v>105</v>
      </c>
      <c r="J8924">
        <v>23.36</v>
      </c>
      <c r="K8924">
        <v>4.5199999999999996</v>
      </c>
      <c r="L8924">
        <v>56568</v>
      </c>
      <c r="M8924" t="s">
        <v>268</v>
      </c>
      <c r="N8924" t="str">
        <f>"1316511     "</f>
        <v xml:space="preserve">1316511     </v>
      </c>
      <c r="O8924">
        <v>231127</v>
      </c>
    </row>
    <row r="8925" spans="1:15" x14ac:dyDescent="0.25">
      <c r="A8925" t="s">
        <v>16</v>
      </c>
      <c r="B8925" t="s">
        <v>3221</v>
      </c>
      <c r="C8925">
        <v>16243</v>
      </c>
      <c r="D8925" t="s">
        <v>3650</v>
      </c>
      <c r="E8925" t="s">
        <v>298</v>
      </c>
      <c r="F8925">
        <v>8.15</v>
      </c>
      <c r="G8925">
        <v>231121</v>
      </c>
      <c r="H8925">
        <v>4600</v>
      </c>
      <c r="I8925" t="s">
        <v>105</v>
      </c>
      <c r="J8925">
        <v>10.1</v>
      </c>
      <c r="K8925">
        <v>1.95</v>
      </c>
      <c r="L8925">
        <v>56568</v>
      </c>
      <c r="M8925" t="s">
        <v>268</v>
      </c>
      <c r="N8925" t="str">
        <f>"1316518     "</f>
        <v xml:space="preserve">1316518     </v>
      </c>
      <c r="O8925">
        <v>231127</v>
      </c>
    </row>
    <row r="8926" spans="1:15" x14ac:dyDescent="0.25">
      <c r="A8926" t="s">
        <v>16</v>
      </c>
      <c r="B8926" t="s">
        <v>3221</v>
      </c>
      <c r="C8926">
        <v>16244</v>
      </c>
      <c r="D8926" t="s">
        <v>3650</v>
      </c>
      <c r="E8926" t="s">
        <v>298</v>
      </c>
      <c r="F8926">
        <v>7.5</v>
      </c>
      <c r="G8926">
        <v>231121</v>
      </c>
      <c r="H8926">
        <v>4600</v>
      </c>
      <c r="I8926" t="s">
        <v>105</v>
      </c>
      <c r="J8926">
        <v>9.3000000000000007</v>
      </c>
      <c r="K8926">
        <v>1.8</v>
      </c>
      <c r="L8926">
        <v>56568</v>
      </c>
      <c r="M8926" t="s">
        <v>268</v>
      </c>
      <c r="N8926" t="str">
        <f>"1316514     "</f>
        <v xml:space="preserve">1316514     </v>
      </c>
      <c r="O8926">
        <v>231127</v>
      </c>
    </row>
    <row r="8927" spans="1:15" x14ac:dyDescent="0.25">
      <c r="A8927" t="s">
        <v>16</v>
      </c>
      <c r="B8927" t="s">
        <v>3221</v>
      </c>
      <c r="C8927">
        <v>16245</v>
      </c>
      <c r="D8927" t="s">
        <v>3650</v>
      </c>
      <c r="E8927" t="s">
        <v>298</v>
      </c>
      <c r="F8927">
        <v>8.25</v>
      </c>
      <c r="G8927">
        <v>231121</v>
      </c>
      <c r="H8927">
        <v>4600</v>
      </c>
      <c r="I8927" t="s">
        <v>105</v>
      </c>
      <c r="J8927">
        <v>10.23</v>
      </c>
      <c r="K8927">
        <v>1.98</v>
      </c>
      <c r="L8927">
        <v>56568</v>
      </c>
      <c r="M8927" t="s">
        <v>268</v>
      </c>
      <c r="N8927" t="str">
        <f>"1316500     "</f>
        <v xml:space="preserve">1316500     </v>
      </c>
      <c r="O8927">
        <v>231127</v>
      </c>
    </row>
    <row r="8928" spans="1:15" x14ac:dyDescent="0.25">
      <c r="A8928" t="s">
        <v>16</v>
      </c>
      <c r="B8928" t="s">
        <v>3221</v>
      </c>
      <c r="C8928">
        <v>16246</v>
      </c>
      <c r="D8928" t="s">
        <v>3650</v>
      </c>
      <c r="E8928" t="s">
        <v>298</v>
      </c>
      <c r="F8928">
        <v>331.78</v>
      </c>
      <c r="G8928">
        <v>231121</v>
      </c>
      <c r="H8928">
        <v>4600</v>
      </c>
      <c r="I8928" t="s">
        <v>105</v>
      </c>
      <c r="J8928">
        <v>411.41</v>
      </c>
      <c r="K8928">
        <v>79.63</v>
      </c>
      <c r="L8928">
        <v>56568</v>
      </c>
      <c r="M8928" t="s">
        <v>268</v>
      </c>
      <c r="N8928" t="str">
        <f>"1316512     "</f>
        <v xml:space="preserve">1316512     </v>
      </c>
      <c r="O8928">
        <v>231127</v>
      </c>
    </row>
    <row r="8929" spans="1:15" x14ac:dyDescent="0.25">
      <c r="A8929" t="s">
        <v>16</v>
      </c>
      <c r="B8929" t="s">
        <v>3221</v>
      </c>
      <c r="C8929">
        <v>16247</v>
      </c>
      <c r="D8929" t="s">
        <v>3650</v>
      </c>
      <c r="E8929" t="s">
        <v>298</v>
      </c>
      <c r="F8929">
        <v>6.32</v>
      </c>
      <c r="G8929">
        <v>231121</v>
      </c>
      <c r="H8929">
        <v>4600</v>
      </c>
      <c r="I8929" t="s">
        <v>105</v>
      </c>
      <c r="J8929">
        <v>7.84</v>
      </c>
      <c r="K8929">
        <v>1.52</v>
      </c>
      <c r="L8929">
        <v>56568</v>
      </c>
      <c r="M8929" t="s">
        <v>268</v>
      </c>
      <c r="N8929" t="str">
        <f>"1316493     "</f>
        <v xml:space="preserve">1316493     </v>
      </c>
      <c r="O8929">
        <v>231127</v>
      </c>
    </row>
    <row r="8930" spans="1:15" x14ac:dyDescent="0.25">
      <c r="A8930" t="s">
        <v>16</v>
      </c>
      <c r="B8930" t="s">
        <v>3221</v>
      </c>
      <c r="C8930">
        <v>16249</v>
      </c>
      <c r="D8930" t="s">
        <v>3650</v>
      </c>
      <c r="E8930" t="s">
        <v>298</v>
      </c>
      <c r="F8930">
        <v>-21.74</v>
      </c>
      <c r="G8930">
        <v>231121</v>
      </c>
      <c r="H8930">
        <v>4600</v>
      </c>
      <c r="I8930" t="s">
        <v>105</v>
      </c>
      <c r="J8930">
        <v>-26.96</v>
      </c>
      <c r="K8930">
        <v>-5.22</v>
      </c>
      <c r="L8930">
        <v>56568</v>
      </c>
      <c r="M8930" t="s">
        <v>268</v>
      </c>
      <c r="N8930" t="str">
        <f>"1316519     "</f>
        <v xml:space="preserve">1316519     </v>
      </c>
      <c r="O8930">
        <v>231127</v>
      </c>
    </row>
    <row r="8931" spans="1:15" x14ac:dyDescent="0.25">
      <c r="A8931" t="s">
        <v>16</v>
      </c>
      <c r="B8931" t="s">
        <v>3221</v>
      </c>
      <c r="C8931">
        <v>16250</v>
      </c>
      <c r="D8931" t="s">
        <v>3650</v>
      </c>
      <c r="E8931" t="s">
        <v>298</v>
      </c>
      <c r="F8931">
        <v>16.59</v>
      </c>
      <c r="G8931">
        <v>231121</v>
      </c>
      <c r="H8931">
        <v>4600</v>
      </c>
      <c r="I8931" t="s">
        <v>105</v>
      </c>
      <c r="J8931">
        <v>20.57</v>
      </c>
      <c r="K8931">
        <v>3.98</v>
      </c>
      <c r="L8931">
        <v>56568</v>
      </c>
      <c r="M8931" t="s">
        <v>268</v>
      </c>
      <c r="N8931" t="str">
        <f>"1316526     "</f>
        <v xml:space="preserve">1316526     </v>
      </c>
      <c r="O8931">
        <v>231127</v>
      </c>
    </row>
    <row r="8932" spans="1:15" x14ac:dyDescent="0.25">
      <c r="A8932" t="s">
        <v>16</v>
      </c>
      <c r="B8932" t="s">
        <v>3221</v>
      </c>
      <c r="C8932">
        <v>16251</v>
      </c>
      <c r="D8932" t="s">
        <v>3650</v>
      </c>
      <c r="E8932" t="s">
        <v>298</v>
      </c>
      <c r="F8932">
        <v>128.31</v>
      </c>
      <c r="G8932">
        <v>231121</v>
      </c>
      <c r="H8932">
        <v>4600</v>
      </c>
      <c r="I8932" t="s">
        <v>105</v>
      </c>
      <c r="J8932">
        <v>159.11000000000001</v>
      </c>
      <c r="K8932">
        <v>30.8</v>
      </c>
      <c r="L8932">
        <v>56568</v>
      </c>
      <c r="M8932" t="s">
        <v>268</v>
      </c>
      <c r="N8932" t="str">
        <f>"1316496     "</f>
        <v xml:space="preserve">1316496     </v>
      </c>
      <c r="O8932">
        <v>231127</v>
      </c>
    </row>
    <row r="8933" spans="1:15" x14ac:dyDescent="0.25">
      <c r="A8933" t="s">
        <v>16</v>
      </c>
      <c r="B8933" t="s">
        <v>3221</v>
      </c>
      <c r="C8933">
        <v>16252</v>
      </c>
      <c r="D8933" t="s">
        <v>3650</v>
      </c>
      <c r="E8933" t="s">
        <v>298</v>
      </c>
      <c r="F8933">
        <v>-62.15</v>
      </c>
      <c r="G8933">
        <v>231121</v>
      </c>
      <c r="H8933">
        <v>4600</v>
      </c>
      <c r="I8933" t="s">
        <v>105</v>
      </c>
      <c r="J8933">
        <v>-77.069999999999993</v>
      </c>
      <c r="K8933">
        <v>-14.92</v>
      </c>
      <c r="L8933">
        <v>56568</v>
      </c>
      <c r="M8933" t="s">
        <v>268</v>
      </c>
      <c r="N8933" t="str">
        <f>"1316522     "</f>
        <v xml:space="preserve">1316522     </v>
      </c>
      <c r="O8933">
        <v>231127</v>
      </c>
    </row>
    <row r="8934" spans="1:15" x14ac:dyDescent="0.25">
      <c r="A8934" t="s">
        <v>16</v>
      </c>
      <c r="B8934" t="s">
        <v>3221</v>
      </c>
      <c r="C8934">
        <v>16253</v>
      </c>
      <c r="D8934" t="s">
        <v>3650</v>
      </c>
      <c r="E8934" t="s">
        <v>298</v>
      </c>
      <c r="F8934">
        <v>-14.97</v>
      </c>
      <c r="G8934">
        <v>231121</v>
      </c>
      <c r="H8934">
        <v>4600</v>
      </c>
      <c r="I8934" t="s">
        <v>105</v>
      </c>
      <c r="J8934">
        <v>-18.559999999999999</v>
      </c>
      <c r="K8934">
        <v>-3.59</v>
      </c>
      <c r="L8934">
        <v>56568</v>
      </c>
      <c r="M8934" t="s">
        <v>268</v>
      </c>
      <c r="N8934" t="str">
        <f>"1316520     "</f>
        <v xml:space="preserve">1316520     </v>
      </c>
      <c r="O8934">
        <v>231127</v>
      </c>
    </row>
    <row r="8935" spans="1:15" x14ac:dyDescent="0.25">
      <c r="A8935" t="s">
        <v>16</v>
      </c>
      <c r="B8935" t="s">
        <v>3221</v>
      </c>
      <c r="C8935">
        <v>16254</v>
      </c>
      <c r="D8935" t="s">
        <v>3650</v>
      </c>
      <c r="E8935" t="s">
        <v>298</v>
      </c>
      <c r="F8935">
        <v>8.15</v>
      </c>
      <c r="G8935">
        <v>231121</v>
      </c>
      <c r="H8935">
        <v>4600</v>
      </c>
      <c r="I8935" t="s">
        <v>105</v>
      </c>
      <c r="J8935">
        <v>10.1</v>
      </c>
      <c r="K8935">
        <v>1.95</v>
      </c>
      <c r="L8935">
        <v>56568</v>
      </c>
      <c r="M8935" t="s">
        <v>268</v>
      </c>
      <c r="N8935" t="str">
        <f>"1316517     "</f>
        <v xml:space="preserve">1316517     </v>
      </c>
      <c r="O8935">
        <v>231127</v>
      </c>
    </row>
    <row r="8936" spans="1:15" x14ac:dyDescent="0.25">
      <c r="A8936" t="s">
        <v>16</v>
      </c>
      <c r="B8936" t="s">
        <v>3221</v>
      </c>
      <c r="C8936">
        <v>16255</v>
      </c>
      <c r="D8936" t="s">
        <v>3650</v>
      </c>
      <c r="E8936" t="s">
        <v>298</v>
      </c>
      <c r="F8936">
        <v>272.61</v>
      </c>
      <c r="G8936">
        <v>231121</v>
      </c>
      <c r="H8936">
        <v>4600</v>
      </c>
      <c r="I8936" t="s">
        <v>105</v>
      </c>
      <c r="J8936">
        <v>338.04</v>
      </c>
      <c r="K8936">
        <v>65.430000000000007</v>
      </c>
      <c r="L8936">
        <v>56568</v>
      </c>
      <c r="M8936" t="s">
        <v>268</v>
      </c>
      <c r="N8936" t="str">
        <f>"1316494     "</f>
        <v xml:space="preserve">1316494     </v>
      </c>
      <c r="O8936">
        <v>231127</v>
      </c>
    </row>
    <row r="8937" spans="1:15" x14ac:dyDescent="0.25">
      <c r="A8937" t="s">
        <v>16</v>
      </c>
      <c r="B8937" t="s">
        <v>3221</v>
      </c>
      <c r="C8937">
        <v>16257</v>
      </c>
      <c r="D8937" t="s">
        <v>3650</v>
      </c>
      <c r="E8937" t="s">
        <v>298</v>
      </c>
      <c r="F8937">
        <v>22.38</v>
      </c>
      <c r="G8937">
        <v>231121</v>
      </c>
      <c r="H8937">
        <v>4600</v>
      </c>
      <c r="I8937" t="s">
        <v>105</v>
      </c>
      <c r="J8937">
        <v>27.75</v>
      </c>
      <c r="K8937">
        <v>5.37</v>
      </c>
      <c r="L8937">
        <v>56568</v>
      </c>
      <c r="M8937" t="s">
        <v>268</v>
      </c>
      <c r="N8937" t="str">
        <f>"1316529     "</f>
        <v xml:space="preserve">1316529     </v>
      </c>
      <c r="O8937">
        <v>231127</v>
      </c>
    </row>
    <row r="8938" spans="1:15" x14ac:dyDescent="0.25">
      <c r="A8938" t="s">
        <v>16</v>
      </c>
      <c r="B8938" t="s">
        <v>3221</v>
      </c>
      <c r="C8938">
        <v>16258</v>
      </c>
      <c r="D8938" t="s">
        <v>3650</v>
      </c>
      <c r="E8938" t="s">
        <v>298</v>
      </c>
      <c r="F8938">
        <v>12.19</v>
      </c>
      <c r="G8938">
        <v>231121</v>
      </c>
      <c r="H8938">
        <v>4600</v>
      </c>
      <c r="I8938" t="s">
        <v>105</v>
      </c>
      <c r="J8938">
        <v>15.12</v>
      </c>
      <c r="K8938">
        <v>2.93</v>
      </c>
      <c r="L8938">
        <v>56568</v>
      </c>
      <c r="M8938" t="s">
        <v>268</v>
      </c>
      <c r="N8938" t="str">
        <f>"1316506     "</f>
        <v xml:space="preserve">1316506     </v>
      </c>
      <c r="O8938">
        <v>231127</v>
      </c>
    </row>
    <row r="8939" spans="1:15" x14ac:dyDescent="0.25">
      <c r="A8939" t="s">
        <v>16</v>
      </c>
      <c r="B8939" t="s">
        <v>3221</v>
      </c>
      <c r="C8939">
        <v>16259</v>
      </c>
      <c r="D8939" t="s">
        <v>3650</v>
      </c>
      <c r="E8939" t="s">
        <v>298</v>
      </c>
      <c r="F8939">
        <v>128.36000000000001</v>
      </c>
      <c r="G8939">
        <v>231121</v>
      </c>
      <c r="H8939">
        <v>4600</v>
      </c>
      <c r="I8939" t="s">
        <v>105</v>
      </c>
      <c r="J8939">
        <v>159.16999999999999</v>
      </c>
      <c r="K8939">
        <v>30.81</v>
      </c>
      <c r="L8939">
        <v>56568</v>
      </c>
      <c r="M8939" t="s">
        <v>268</v>
      </c>
      <c r="N8939" t="str">
        <f>"1316503     "</f>
        <v xml:space="preserve">1316503     </v>
      </c>
      <c r="O8939">
        <v>231127</v>
      </c>
    </row>
    <row r="8940" spans="1:15" x14ac:dyDescent="0.25">
      <c r="A8940" t="s">
        <v>16</v>
      </c>
      <c r="B8940" t="s">
        <v>3221</v>
      </c>
      <c r="C8940">
        <v>16260</v>
      </c>
      <c r="D8940" t="s">
        <v>3650</v>
      </c>
      <c r="E8940" t="s">
        <v>298</v>
      </c>
      <c r="F8940">
        <v>121.4</v>
      </c>
      <c r="G8940">
        <v>231121</v>
      </c>
      <c r="H8940">
        <v>4600</v>
      </c>
      <c r="I8940" t="s">
        <v>105</v>
      </c>
      <c r="J8940">
        <v>150.53</v>
      </c>
      <c r="K8940">
        <v>29.13</v>
      </c>
      <c r="L8940">
        <v>56568</v>
      </c>
      <c r="M8940" t="s">
        <v>268</v>
      </c>
      <c r="N8940" t="str">
        <f>"1316504     "</f>
        <v xml:space="preserve">1316504     </v>
      </c>
      <c r="O8940">
        <v>231127</v>
      </c>
    </row>
    <row r="8941" spans="1:15" x14ac:dyDescent="0.25">
      <c r="A8941" t="s">
        <v>16</v>
      </c>
      <c r="B8941" t="s">
        <v>3221</v>
      </c>
      <c r="C8941">
        <v>16261</v>
      </c>
      <c r="D8941" t="s">
        <v>3650</v>
      </c>
      <c r="E8941" t="s">
        <v>298</v>
      </c>
      <c r="F8941">
        <v>17.399999999999999</v>
      </c>
      <c r="G8941">
        <v>231121</v>
      </c>
      <c r="H8941">
        <v>4600</v>
      </c>
      <c r="I8941" t="s">
        <v>105</v>
      </c>
      <c r="J8941">
        <v>21.58</v>
      </c>
      <c r="K8941">
        <v>4.18</v>
      </c>
      <c r="L8941">
        <v>56568</v>
      </c>
      <c r="M8941" t="s">
        <v>268</v>
      </c>
      <c r="N8941" t="str">
        <f>"1316527     "</f>
        <v xml:space="preserve">1316527     </v>
      </c>
      <c r="O8941">
        <v>231127</v>
      </c>
    </row>
    <row r="8942" spans="1:15" x14ac:dyDescent="0.25">
      <c r="A8942" t="s">
        <v>16</v>
      </c>
      <c r="B8942" t="s">
        <v>3221</v>
      </c>
      <c r="C8942">
        <v>16338</v>
      </c>
      <c r="D8942" t="s">
        <v>3650</v>
      </c>
      <c r="E8942" t="s">
        <v>298</v>
      </c>
      <c r="F8942">
        <v>151.83000000000001</v>
      </c>
      <c r="G8942">
        <v>231121</v>
      </c>
      <c r="H8942">
        <v>4600</v>
      </c>
      <c r="I8942" t="s">
        <v>105</v>
      </c>
      <c r="J8942">
        <v>188.27</v>
      </c>
      <c r="K8942">
        <v>36.44</v>
      </c>
      <c r="L8942">
        <v>56565</v>
      </c>
      <c r="M8942" t="s">
        <v>758</v>
      </c>
      <c r="N8942" t="str">
        <f>"1316501     "</f>
        <v xml:space="preserve">1316501     </v>
      </c>
      <c r="O8942">
        <v>231128</v>
      </c>
    </row>
    <row r="8943" spans="1:15" x14ac:dyDescent="0.25">
      <c r="A8943" t="s">
        <v>16</v>
      </c>
      <c r="B8943" t="s">
        <v>3221</v>
      </c>
      <c r="C8943">
        <v>16341</v>
      </c>
      <c r="D8943" t="s">
        <v>3650</v>
      </c>
      <c r="E8943" t="s">
        <v>298</v>
      </c>
      <c r="F8943">
        <v>9.2899999999999991</v>
      </c>
      <c r="G8943">
        <v>231121</v>
      </c>
      <c r="H8943">
        <v>4600</v>
      </c>
      <c r="I8943" t="s">
        <v>105</v>
      </c>
      <c r="J8943">
        <v>11.52</v>
      </c>
      <c r="K8943">
        <v>2.23</v>
      </c>
      <c r="L8943">
        <v>56565</v>
      </c>
      <c r="M8943" t="s">
        <v>758</v>
      </c>
      <c r="N8943" t="str">
        <f>"1316497     "</f>
        <v xml:space="preserve">1316497     </v>
      </c>
      <c r="O8943">
        <v>231128</v>
      </c>
    </row>
    <row r="8944" spans="1:15" x14ac:dyDescent="0.25">
      <c r="A8944" t="s">
        <v>16</v>
      </c>
      <c r="B8944" t="s">
        <v>3221</v>
      </c>
      <c r="C8944">
        <v>16418</v>
      </c>
      <c r="D8944" t="s">
        <v>3650</v>
      </c>
      <c r="E8944" t="s">
        <v>298</v>
      </c>
      <c r="F8944">
        <v>5.0999999999999996</v>
      </c>
      <c r="G8944">
        <v>231121</v>
      </c>
      <c r="H8944">
        <v>4600</v>
      </c>
      <c r="I8944" t="s">
        <v>105</v>
      </c>
      <c r="J8944">
        <v>6.32</v>
      </c>
      <c r="K8944">
        <v>1.22</v>
      </c>
      <c r="L8944">
        <v>56558</v>
      </c>
      <c r="M8944" t="s">
        <v>217</v>
      </c>
      <c r="N8944" t="str">
        <f>"1316513     "</f>
        <v xml:space="preserve">1316513     </v>
      </c>
      <c r="O8944">
        <v>231129</v>
      </c>
    </row>
    <row r="8945" spans="1:15" x14ac:dyDescent="0.25">
      <c r="A8945" t="s">
        <v>16</v>
      </c>
      <c r="B8945" t="s">
        <v>3221</v>
      </c>
      <c r="C8945">
        <v>17214</v>
      </c>
      <c r="D8945" t="s">
        <v>3650</v>
      </c>
      <c r="E8945" t="s">
        <v>298</v>
      </c>
      <c r="F8945">
        <v>29.2</v>
      </c>
      <c r="G8945">
        <v>231208</v>
      </c>
      <c r="H8945">
        <v>4600</v>
      </c>
      <c r="I8945" t="s">
        <v>105</v>
      </c>
      <c r="J8945">
        <v>36.21</v>
      </c>
      <c r="K8945">
        <v>7.01</v>
      </c>
      <c r="L8945">
        <v>56568</v>
      </c>
      <c r="M8945" t="s">
        <v>268</v>
      </c>
      <c r="N8945" t="str">
        <f>"1317338     "</f>
        <v xml:space="preserve">1317338     </v>
      </c>
      <c r="O8945">
        <v>231212</v>
      </c>
    </row>
    <row r="8946" spans="1:15" x14ac:dyDescent="0.25">
      <c r="A8946" t="s">
        <v>16</v>
      </c>
      <c r="B8946" t="s">
        <v>3221</v>
      </c>
      <c r="C8946">
        <v>17215</v>
      </c>
      <c r="D8946" t="s">
        <v>3650</v>
      </c>
      <c r="E8946" t="s">
        <v>298</v>
      </c>
      <c r="F8946">
        <v>-27.66</v>
      </c>
      <c r="G8946">
        <v>231208</v>
      </c>
      <c r="H8946">
        <v>4600</v>
      </c>
      <c r="I8946" t="s">
        <v>105</v>
      </c>
      <c r="J8946">
        <v>-34.299999999999997</v>
      </c>
      <c r="K8946">
        <v>-6.64</v>
      </c>
      <c r="L8946">
        <v>56568</v>
      </c>
      <c r="M8946" t="s">
        <v>268</v>
      </c>
      <c r="N8946" t="str">
        <f>"1317339     "</f>
        <v xml:space="preserve">1317339     </v>
      </c>
      <c r="O8946">
        <v>231212</v>
      </c>
    </row>
    <row r="8947" spans="1:15" x14ac:dyDescent="0.25">
      <c r="A8947" t="s">
        <v>16</v>
      </c>
      <c r="B8947" t="s">
        <v>3221</v>
      </c>
      <c r="C8947">
        <v>17217</v>
      </c>
      <c r="D8947" t="s">
        <v>3650</v>
      </c>
      <c r="E8947" t="s">
        <v>298</v>
      </c>
      <c r="F8947">
        <v>103.5</v>
      </c>
      <c r="G8947">
        <v>231208</v>
      </c>
      <c r="H8947">
        <v>4600</v>
      </c>
      <c r="I8947" t="s">
        <v>105</v>
      </c>
      <c r="J8947">
        <v>128.34</v>
      </c>
      <c r="K8947">
        <v>24.84</v>
      </c>
      <c r="L8947">
        <v>56550</v>
      </c>
      <c r="M8947" t="s">
        <v>913</v>
      </c>
      <c r="N8947" t="str">
        <f>"1317358     "</f>
        <v xml:space="preserve">1317358     </v>
      </c>
      <c r="O8947">
        <v>231212</v>
      </c>
    </row>
    <row r="8948" spans="1:15" x14ac:dyDescent="0.25">
      <c r="A8948" t="s">
        <v>16</v>
      </c>
      <c r="B8948" t="s">
        <v>3221</v>
      </c>
      <c r="C8948">
        <v>17218</v>
      </c>
      <c r="D8948" t="s">
        <v>3650</v>
      </c>
      <c r="E8948" t="s">
        <v>298</v>
      </c>
      <c r="F8948">
        <v>161.29</v>
      </c>
      <c r="G8948">
        <v>231208</v>
      </c>
      <c r="H8948">
        <v>4600</v>
      </c>
      <c r="I8948" t="s">
        <v>105</v>
      </c>
      <c r="J8948">
        <v>200</v>
      </c>
      <c r="K8948">
        <v>38.71</v>
      </c>
      <c r="L8948">
        <v>56568</v>
      </c>
      <c r="M8948" t="s">
        <v>268</v>
      </c>
      <c r="N8948" t="str">
        <f>"1317356     "</f>
        <v xml:space="preserve">1317356     </v>
      </c>
      <c r="O8948">
        <v>231212</v>
      </c>
    </row>
    <row r="8949" spans="1:15" x14ac:dyDescent="0.25">
      <c r="A8949" t="s">
        <v>16</v>
      </c>
      <c r="B8949" t="s">
        <v>3221</v>
      </c>
      <c r="C8949">
        <v>17219</v>
      </c>
      <c r="D8949" t="s">
        <v>3650</v>
      </c>
      <c r="E8949" t="s">
        <v>298</v>
      </c>
      <c r="F8949">
        <v>-40.03</v>
      </c>
      <c r="G8949">
        <v>231208</v>
      </c>
      <c r="H8949">
        <v>4600</v>
      </c>
      <c r="I8949" t="s">
        <v>105</v>
      </c>
      <c r="J8949">
        <v>-49.64</v>
      </c>
      <c r="K8949">
        <v>-9.61</v>
      </c>
      <c r="L8949">
        <v>56568</v>
      </c>
      <c r="M8949" t="s">
        <v>268</v>
      </c>
      <c r="N8949" t="str">
        <f>"1317366     "</f>
        <v xml:space="preserve">1317366     </v>
      </c>
      <c r="O8949">
        <v>231212</v>
      </c>
    </row>
    <row r="8950" spans="1:15" x14ac:dyDescent="0.25">
      <c r="A8950" t="s">
        <v>16</v>
      </c>
      <c r="B8950" t="s">
        <v>3221</v>
      </c>
      <c r="C8950">
        <v>17220</v>
      </c>
      <c r="D8950" t="s">
        <v>3650</v>
      </c>
      <c r="E8950" t="s">
        <v>298</v>
      </c>
      <c r="F8950">
        <v>28.77</v>
      </c>
      <c r="G8950">
        <v>231208</v>
      </c>
      <c r="H8950">
        <v>4600</v>
      </c>
      <c r="I8950" t="s">
        <v>105</v>
      </c>
      <c r="J8950">
        <v>35.67</v>
      </c>
      <c r="K8950">
        <v>6.9</v>
      </c>
      <c r="L8950">
        <v>56568</v>
      </c>
      <c r="M8950" t="s">
        <v>268</v>
      </c>
      <c r="N8950" t="str">
        <f>"1317349     "</f>
        <v xml:space="preserve">1317349     </v>
      </c>
      <c r="O8950">
        <v>231212</v>
      </c>
    </row>
    <row r="8951" spans="1:15" x14ac:dyDescent="0.25">
      <c r="A8951" t="s">
        <v>16</v>
      </c>
      <c r="B8951" t="s">
        <v>3221</v>
      </c>
      <c r="C8951">
        <v>17221</v>
      </c>
      <c r="D8951" t="s">
        <v>3650</v>
      </c>
      <c r="E8951" t="s">
        <v>298</v>
      </c>
      <c r="F8951">
        <v>11.87</v>
      </c>
      <c r="G8951">
        <v>231208</v>
      </c>
      <c r="H8951">
        <v>4600</v>
      </c>
      <c r="I8951" t="s">
        <v>105</v>
      </c>
      <c r="J8951">
        <v>14.72</v>
      </c>
      <c r="K8951">
        <v>2.85</v>
      </c>
      <c r="L8951">
        <v>56568</v>
      </c>
      <c r="M8951" t="s">
        <v>268</v>
      </c>
      <c r="N8951" t="str">
        <f>"1317345     "</f>
        <v xml:space="preserve">1317345     </v>
      </c>
      <c r="O8951">
        <v>231212</v>
      </c>
    </row>
    <row r="8952" spans="1:15" x14ac:dyDescent="0.25">
      <c r="A8952" t="s">
        <v>16</v>
      </c>
      <c r="B8952" t="s">
        <v>3221</v>
      </c>
      <c r="C8952">
        <v>17222</v>
      </c>
      <c r="D8952" t="s">
        <v>3650</v>
      </c>
      <c r="E8952" t="s">
        <v>298</v>
      </c>
      <c r="F8952">
        <v>-4.9400000000000004</v>
      </c>
      <c r="G8952">
        <v>231208</v>
      </c>
      <c r="H8952">
        <v>4600</v>
      </c>
      <c r="I8952" t="s">
        <v>105</v>
      </c>
      <c r="J8952">
        <v>-6.12</v>
      </c>
      <c r="K8952">
        <v>-1.18</v>
      </c>
      <c r="L8952">
        <v>56568</v>
      </c>
      <c r="M8952" t="s">
        <v>268</v>
      </c>
      <c r="N8952" t="str">
        <f>"1317368     "</f>
        <v xml:space="preserve">1317368     </v>
      </c>
      <c r="O8952">
        <v>231212</v>
      </c>
    </row>
    <row r="8953" spans="1:15" x14ac:dyDescent="0.25">
      <c r="A8953" t="s">
        <v>16</v>
      </c>
      <c r="B8953" t="s">
        <v>3221</v>
      </c>
      <c r="C8953">
        <v>17223</v>
      </c>
      <c r="D8953" t="s">
        <v>3650</v>
      </c>
      <c r="E8953" t="s">
        <v>298</v>
      </c>
      <c r="F8953">
        <v>218.36</v>
      </c>
      <c r="G8953">
        <v>231208</v>
      </c>
      <c r="H8953">
        <v>4600</v>
      </c>
      <c r="I8953" t="s">
        <v>105</v>
      </c>
      <c r="J8953">
        <v>270.77</v>
      </c>
      <c r="K8953">
        <v>52.41</v>
      </c>
      <c r="L8953">
        <v>56568</v>
      </c>
      <c r="M8953" t="s">
        <v>268</v>
      </c>
      <c r="N8953" t="str">
        <f>"1317372     "</f>
        <v xml:space="preserve">1317372     </v>
      </c>
      <c r="O8953">
        <v>231212</v>
      </c>
    </row>
    <row r="8954" spans="1:15" x14ac:dyDescent="0.25">
      <c r="A8954" t="s">
        <v>16</v>
      </c>
      <c r="B8954" t="s">
        <v>3221</v>
      </c>
      <c r="C8954">
        <v>17225</v>
      </c>
      <c r="D8954" t="s">
        <v>3650</v>
      </c>
      <c r="E8954" t="s">
        <v>298</v>
      </c>
      <c r="F8954">
        <v>9.0299999999999994</v>
      </c>
      <c r="G8954">
        <v>231208</v>
      </c>
      <c r="H8954">
        <v>4600</v>
      </c>
      <c r="I8954" t="s">
        <v>105</v>
      </c>
      <c r="J8954">
        <v>11.2</v>
      </c>
      <c r="K8954">
        <v>2.17</v>
      </c>
      <c r="L8954">
        <v>56568</v>
      </c>
      <c r="M8954" t="s">
        <v>268</v>
      </c>
      <c r="N8954" t="str">
        <f>"1317333     "</f>
        <v xml:space="preserve">1317333     </v>
      </c>
      <c r="O8954">
        <v>231212</v>
      </c>
    </row>
    <row r="8955" spans="1:15" x14ac:dyDescent="0.25">
      <c r="A8955" t="s">
        <v>16</v>
      </c>
      <c r="B8955" t="s">
        <v>3221</v>
      </c>
      <c r="C8955">
        <v>17226</v>
      </c>
      <c r="D8955" t="s">
        <v>3650</v>
      </c>
      <c r="E8955" t="s">
        <v>298</v>
      </c>
      <c r="F8955">
        <v>-32.26</v>
      </c>
      <c r="G8955">
        <v>231208</v>
      </c>
      <c r="H8955">
        <v>4600</v>
      </c>
      <c r="I8955" t="s">
        <v>105</v>
      </c>
      <c r="J8955">
        <v>-40</v>
      </c>
      <c r="K8955">
        <v>-7.74</v>
      </c>
      <c r="L8955">
        <v>56568</v>
      </c>
      <c r="M8955" t="s">
        <v>268</v>
      </c>
      <c r="N8955" t="str">
        <f>"1317367     "</f>
        <v xml:space="preserve">1317367     </v>
      </c>
      <c r="O8955">
        <v>231212</v>
      </c>
    </row>
    <row r="8956" spans="1:15" x14ac:dyDescent="0.25">
      <c r="A8956" t="s">
        <v>16</v>
      </c>
      <c r="B8956" t="s">
        <v>3221</v>
      </c>
      <c r="C8956">
        <v>17227</v>
      </c>
      <c r="D8956" t="s">
        <v>3650</v>
      </c>
      <c r="E8956" t="s">
        <v>298</v>
      </c>
      <c r="F8956">
        <v>1.26</v>
      </c>
      <c r="G8956">
        <v>231208</v>
      </c>
      <c r="H8956">
        <v>4600</v>
      </c>
      <c r="I8956" t="s">
        <v>105</v>
      </c>
      <c r="J8956">
        <v>1.56</v>
      </c>
      <c r="K8956">
        <v>0.3</v>
      </c>
      <c r="L8956">
        <v>56568</v>
      </c>
      <c r="M8956" t="s">
        <v>268</v>
      </c>
      <c r="N8956" t="str">
        <f>"1317347     "</f>
        <v xml:space="preserve">1317347     </v>
      </c>
      <c r="O8956">
        <v>231212</v>
      </c>
    </row>
    <row r="8957" spans="1:15" x14ac:dyDescent="0.25">
      <c r="A8957" t="s">
        <v>16</v>
      </c>
      <c r="B8957" t="s">
        <v>3221</v>
      </c>
      <c r="C8957">
        <v>17228</v>
      </c>
      <c r="D8957" t="s">
        <v>3650</v>
      </c>
      <c r="E8957" t="s">
        <v>298</v>
      </c>
      <c r="F8957">
        <v>21.26</v>
      </c>
      <c r="G8957">
        <v>231208</v>
      </c>
      <c r="H8957">
        <v>4600</v>
      </c>
      <c r="I8957" t="s">
        <v>105</v>
      </c>
      <c r="J8957">
        <v>26.36</v>
      </c>
      <c r="K8957">
        <v>5.0999999999999996</v>
      </c>
      <c r="L8957">
        <v>56568</v>
      </c>
      <c r="M8957" t="s">
        <v>268</v>
      </c>
      <c r="N8957" t="str">
        <f>"1317337     "</f>
        <v xml:space="preserve">1317337     </v>
      </c>
      <c r="O8957">
        <v>231212</v>
      </c>
    </row>
    <row r="8958" spans="1:15" x14ac:dyDescent="0.25">
      <c r="A8958" t="s">
        <v>16</v>
      </c>
      <c r="B8958" t="s">
        <v>3221</v>
      </c>
      <c r="C8958">
        <v>17229</v>
      </c>
      <c r="D8958" t="s">
        <v>3650</v>
      </c>
      <c r="E8958" t="s">
        <v>298</v>
      </c>
      <c r="F8958">
        <v>18.71</v>
      </c>
      <c r="G8958">
        <v>231208</v>
      </c>
      <c r="H8958">
        <v>4600</v>
      </c>
      <c r="I8958" t="s">
        <v>105</v>
      </c>
      <c r="J8958">
        <v>23.2</v>
      </c>
      <c r="K8958">
        <v>4.49</v>
      </c>
      <c r="L8958">
        <v>56568</v>
      </c>
      <c r="M8958" t="s">
        <v>268</v>
      </c>
      <c r="N8958" t="str">
        <f>"1317361     "</f>
        <v xml:space="preserve">1317361     </v>
      </c>
      <c r="O8958">
        <v>231212</v>
      </c>
    </row>
    <row r="8959" spans="1:15" x14ac:dyDescent="0.25">
      <c r="A8959" t="s">
        <v>16</v>
      </c>
      <c r="B8959" t="s">
        <v>3221</v>
      </c>
      <c r="C8959">
        <v>17230</v>
      </c>
      <c r="D8959" t="s">
        <v>3650</v>
      </c>
      <c r="E8959" t="s">
        <v>298</v>
      </c>
      <c r="F8959">
        <v>89.95</v>
      </c>
      <c r="G8959">
        <v>231208</v>
      </c>
      <c r="H8959">
        <v>4600</v>
      </c>
      <c r="I8959" t="s">
        <v>105</v>
      </c>
      <c r="J8959">
        <v>111.54</v>
      </c>
      <c r="K8959">
        <v>21.59</v>
      </c>
      <c r="L8959">
        <v>56568</v>
      </c>
      <c r="M8959" t="s">
        <v>268</v>
      </c>
      <c r="N8959" t="str">
        <f>"1317346     "</f>
        <v xml:space="preserve">1317346     </v>
      </c>
      <c r="O8959">
        <v>231212</v>
      </c>
    </row>
    <row r="8960" spans="1:15" x14ac:dyDescent="0.25">
      <c r="A8960" t="s">
        <v>16</v>
      </c>
      <c r="B8960" t="s">
        <v>3221</v>
      </c>
      <c r="C8960">
        <v>17231</v>
      </c>
      <c r="D8960" t="s">
        <v>3650</v>
      </c>
      <c r="E8960" t="s">
        <v>298</v>
      </c>
      <c r="F8960">
        <v>17.09</v>
      </c>
      <c r="G8960">
        <v>231208</v>
      </c>
      <c r="H8960">
        <v>4600</v>
      </c>
      <c r="I8960" t="s">
        <v>105</v>
      </c>
      <c r="J8960">
        <v>21.19</v>
      </c>
      <c r="K8960">
        <v>4.0999999999999996</v>
      </c>
      <c r="L8960">
        <v>56568</v>
      </c>
      <c r="M8960" t="s">
        <v>268</v>
      </c>
      <c r="N8960" t="str">
        <f>"1317341     "</f>
        <v xml:space="preserve">1317341     </v>
      </c>
      <c r="O8960">
        <v>231212</v>
      </c>
    </row>
    <row r="8961" spans="1:15" x14ac:dyDescent="0.25">
      <c r="A8961" t="s">
        <v>16</v>
      </c>
      <c r="B8961" t="s">
        <v>3221</v>
      </c>
      <c r="C8961">
        <v>17233</v>
      </c>
      <c r="D8961" t="s">
        <v>3650</v>
      </c>
      <c r="E8961" t="s">
        <v>298</v>
      </c>
      <c r="F8961">
        <v>93.35</v>
      </c>
      <c r="G8961">
        <v>231208</v>
      </c>
      <c r="H8961">
        <v>4600</v>
      </c>
      <c r="I8961" t="s">
        <v>105</v>
      </c>
      <c r="J8961">
        <v>115.75</v>
      </c>
      <c r="K8961">
        <v>22.4</v>
      </c>
      <c r="L8961">
        <v>56568</v>
      </c>
      <c r="M8961" t="s">
        <v>268</v>
      </c>
      <c r="N8961" t="str">
        <f>"1317354     "</f>
        <v xml:space="preserve">1317354     </v>
      </c>
      <c r="O8961">
        <v>231212</v>
      </c>
    </row>
    <row r="8962" spans="1:15" x14ac:dyDescent="0.25">
      <c r="A8962" t="s">
        <v>16</v>
      </c>
      <c r="B8962" t="s">
        <v>3221</v>
      </c>
      <c r="C8962">
        <v>17234</v>
      </c>
      <c r="D8962" t="s">
        <v>3650</v>
      </c>
      <c r="E8962" t="s">
        <v>298</v>
      </c>
      <c r="F8962">
        <v>28.45</v>
      </c>
      <c r="G8962">
        <v>231208</v>
      </c>
      <c r="H8962">
        <v>4600</v>
      </c>
      <c r="I8962" t="s">
        <v>105</v>
      </c>
      <c r="J8962">
        <v>35.28</v>
      </c>
      <c r="K8962">
        <v>6.83</v>
      </c>
      <c r="L8962">
        <v>56568</v>
      </c>
      <c r="M8962" t="s">
        <v>268</v>
      </c>
      <c r="N8962" t="str">
        <f>"1317343     "</f>
        <v xml:space="preserve">1317343     </v>
      </c>
      <c r="O8962">
        <v>231212</v>
      </c>
    </row>
    <row r="8963" spans="1:15" x14ac:dyDescent="0.25">
      <c r="A8963" t="s">
        <v>16</v>
      </c>
      <c r="B8963" t="s">
        <v>3221</v>
      </c>
      <c r="C8963">
        <v>17236</v>
      </c>
      <c r="D8963" t="s">
        <v>3650</v>
      </c>
      <c r="E8963" t="s">
        <v>298</v>
      </c>
      <c r="F8963">
        <v>58</v>
      </c>
      <c r="G8963">
        <v>231208</v>
      </c>
      <c r="H8963">
        <v>4600</v>
      </c>
      <c r="I8963" t="s">
        <v>105</v>
      </c>
      <c r="J8963">
        <v>71.92</v>
      </c>
      <c r="K8963">
        <v>13.92</v>
      </c>
      <c r="L8963">
        <v>56568</v>
      </c>
      <c r="M8963" t="s">
        <v>268</v>
      </c>
      <c r="N8963" t="str">
        <f>"1317355     "</f>
        <v xml:space="preserve">1317355     </v>
      </c>
      <c r="O8963">
        <v>231212</v>
      </c>
    </row>
    <row r="8964" spans="1:15" x14ac:dyDescent="0.25">
      <c r="A8964" t="s">
        <v>16</v>
      </c>
      <c r="B8964" t="s">
        <v>3221</v>
      </c>
      <c r="C8964">
        <v>17238</v>
      </c>
      <c r="D8964" t="s">
        <v>3650</v>
      </c>
      <c r="E8964" t="s">
        <v>298</v>
      </c>
      <c r="F8964">
        <v>54</v>
      </c>
      <c r="G8964">
        <v>231208</v>
      </c>
      <c r="H8964">
        <v>4600</v>
      </c>
      <c r="I8964" t="s">
        <v>105</v>
      </c>
      <c r="J8964">
        <v>66.959999999999994</v>
      </c>
      <c r="K8964">
        <v>12.96</v>
      </c>
      <c r="L8964">
        <v>56568</v>
      </c>
      <c r="M8964" t="s">
        <v>268</v>
      </c>
      <c r="N8964" t="str">
        <f>"1317342     "</f>
        <v xml:space="preserve">1317342     </v>
      </c>
      <c r="O8964">
        <v>231212</v>
      </c>
    </row>
    <row r="8965" spans="1:15" x14ac:dyDescent="0.25">
      <c r="A8965" t="s">
        <v>16</v>
      </c>
      <c r="B8965" t="s">
        <v>3221</v>
      </c>
      <c r="C8965">
        <v>17239</v>
      </c>
      <c r="D8965" t="s">
        <v>3650</v>
      </c>
      <c r="E8965" t="s">
        <v>298</v>
      </c>
      <c r="F8965">
        <v>8</v>
      </c>
      <c r="G8965">
        <v>231208</v>
      </c>
      <c r="H8965">
        <v>4600</v>
      </c>
      <c r="I8965" t="s">
        <v>105</v>
      </c>
      <c r="J8965">
        <v>9.92</v>
      </c>
      <c r="K8965">
        <v>1.92</v>
      </c>
      <c r="L8965">
        <v>56568</v>
      </c>
      <c r="M8965" t="s">
        <v>268</v>
      </c>
      <c r="N8965" t="str">
        <f>"1317335     "</f>
        <v xml:space="preserve">1317335     </v>
      </c>
      <c r="O8965">
        <v>231212</v>
      </c>
    </row>
    <row r="8966" spans="1:15" x14ac:dyDescent="0.25">
      <c r="A8966" t="s">
        <v>16</v>
      </c>
      <c r="B8966" t="s">
        <v>3221</v>
      </c>
      <c r="C8966">
        <v>17240</v>
      </c>
      <c r="D8966" t="s">
        <v>3650</v>
      </c>
      <c r="E8966" t="s">
        <v>298</v>
      </c>
      <c r="F8966">
        <v>33.1</v>
      </c>
      <c r="G8966">
        <v>231208</v>
      </c>
      <c r="H8966">
        <v>4600</v>
      </c>
      <c r="I8966" t="s">
        <v>105</v>
      </c>
      <c r="J8966">
        <v>41.04</v>
      </c>
      <c r="K8966">
        <v>7.94</v>
      </c>
      <c r="L8966">
        <v>56568</v>
      </c>
      <c r="M8966" t="s">
        <v>268</v>
      </c>
      <c r="N8966" t="str">
        <f>"1317360     "</f>
        <v xml:space="preserve">1317360     </v>
      </c>
      <c r="O8966">
        <v>231212</v>
      </c>
    </row>
    <row r="8967" spans="1:15" x14ac:dyDescent="0.25">
      <c r="A8967" t="s">
        <v>16</v>
      </c>
      <c r="B8967" t="s">
        <v>3221</v>
      </c>
      <c r="C8967">
        <v>17241</v>
      </c>
      <c r="D8967" t="s">
        <v>3650</v>
      </c>
      <c r="E8967" t="s">
        <v>298</v>
      </c>
      <c r="F8967">
        <v>44.52</v>
      </c>
      <c r="G8967">
        <v>231208</v>
      </c>
      <c r="H8967">
        <v>4600</v>
      </c>
      <c r="I8967" t="s">
        <v>105</v>
      </c>
      <c r="J8967">
        <v>55.2</v>
      </c>
      <c r="K8967">
        <v>10.68</v>
      </c>
      <c r="L8967">
        <v>56568</v>
      </c>
      <c r="M8967" t="s">
        <v>268</v>
      </c>
      <c r="N8967" t="str">
        <f>"1317332     "</f>
        <v xml:space="preserve">1317332     </v>
      </c>
      <c r="O8967">
        <v>231212</v>
      </c>
    </row>
    <row r="8968" spans="1:15" x14ac:dyDescent="0.25">
      <c r="A8968" t="s">
        <v>16</v>
      </c>
      <c r="B8968" t="s">
        <v>3221</v>
      </c>
      <c r="C8968">
        <v>17242</v>
      </c>
      <c r="D8968" t="s">
        <v>3650</v>
      </c>
      <c r="E8968" t="s">
        <v>298</v>
      </c>
      <c r="F8968">
        <v>25.63</v>
      </c>
      <c r="G8968">
        <v>231208</v>
      </c>
      <c r="H8968">
        <v>4600</v>
      </c>
      <c r="I8968" t="s">
        <v>105</v>
      </c>
      <c r="J8968">
        <v>31.78</v>
      </c>
      <c r="K8968">
        <v>6.15</v>
      </c>
      <c r="L8968">
        <v>56568</v>
      </c>
      <c r="M8968" t="s">
        <v>268</v>
      </c>
      <c r="N8968" t="str">
        <f>"1317365     "</f>
        <v xml:space="preserve">1317365     </v>
      </c>
      <c r="O8968">
        <v>231212</v>
      </c>
    </row>
    <row r="8969" spans="1:15" x14ac:dyDescent="0.25">
      <c r="A8969" t="s">
        <v>16</v>
      </c>
      <c r="B8969" t="s">
        <v>3221</v>
      </c>
      <c r="C8969">
        <v>17243</v>
      </c>
      <c r="D8969" t="s">
        <v>3650</v>
      </c>
      <c r="E8969" t="s">
        <v>298</v>
      </c>
      <c r="F8969">
        <v>76.84</v>
      </c>
      <c r="G8969">
        <v>231208</v>
      </c>
      <c r="H8969">
        <v>4600</v>
      </c>
      <c r="I8969" t="s">
        <v>105</v>
      </c>
      <c r="J8969">
        <v>95.28</v>
      </c>
      <c r="K8969">
        <v>18.440000000000001</v>
      </c>
      <c r="L8969">
        <v>56568</v>
      </c>
      <c r="M8969" t="s">
        <v>268</v>
      </c>
      <c r="N8969" t="str">
        <f>"1317357     "</f>
        <v xml:space="preserve">1317357     </v>
      </c>
      <c r="O8969">
        <v>231212</v>
      </c>
    </row>
    <row r="8970" spans="1:15" x14ac:dyDescent="0.25">
      <c r="A8970" t="s">
        <v>16</v>
      </c>
      <c r="B8970" t="s">
        <v>3221</v>
      </c>
      <c r="C8970">
        <v>17244</v>
      </c>
      <c r="D8970" t="s">
        <v>3650</v>
      </c>
      <c r="E8970" t="s">
        <v>298</v>
      </c>
      <c r="F8970">
        <v>1.89</v>
      </c>
      <c r="G8970">
        <v>231208</v>
      </c>
      <c r="H8970">
        <v>4600</v>
      </c>
      <c r="I8970" t="s">
        <v>105</v>
      </c>
      <c r="J8970">
        <v>2.34</v>
      </c>
      <c r="K8970">
        <v>0.45</v>
      </c>
      <c r="L8970">
        <v>56568</v>
      </c>
      <c r="M8970" t="s">
        <v>268</v>
      </c>
      <c r="N8970" t="str">
        <f>"1317371     "</f>
        <v xml:space="preserve">1317371     </v>
      </c>
      <c r="O8970">
        <v>231212</v>
      </c>
    </row>
    <row r="8971" spans="1:15" x14ac:dyDescent="0.25">
      <c r="A8971" t="s">
        <v>16</v>
      </c>
      <c r="B8971" t="s">
        <v>3221</v>
      </c>
      <c r="C8971">
        <v>17245</v>
      </c>
      <c r="D8971" t="s">
        <v>3650</v>
      </c>
      <c r="E8971" t="s">
        <v>298</v>
      </c>
      <c r="F8971">
        <v>123.27</v>
      </c>
      <c r="G8971">
        <v>231208</v>
      </c>
      <c r="H8971">
        <v>4600</v>
      </c>
      <c r="I8971" t="s">
        <v>105</v>
      </c>
      <c r="J8971">
        <v>152.85</v>
      </c>
      <c r="K8971">
        <v>29.58</v>
      </c>
      <c r="L8971">
        <v>56568</v>
      </c>
      <c r="M8971" t="s">
        <v>268</v>
      </c>
      <c r="N8971" t="str">
        <f>"1317331     "</f>
        <v xml:space="preserve">1317331     </v>
      </c>
      <c r="O8971">
        <v>231212</v>
      </c>
    </row>
    <row r="8972" spans="1:15" x14ac:dyDescent="0.25">
      <c r="A8972" t="s">
        <v>16</v>
      </c>
      <c r="B8972" t="s">
        <v>3221</v>
      </c>
      <c r="C8972">
        <v>17246</v>
      </c>
      <c r="D8972" t="s">
        <v>3650</v>
      </c>
      <c r="E8972" t="s">
        <v>298</v>
      </c>
      <c r="F8972">
        <v>13.47</v>
      </c>
      <c r="G8972">
        <v>231208</v>
      </c>
      <c r="H8972">
        <v>4600</v>
      </c>
      <c r="I8972" t="s">
        <v>105</v>
      </c>
      <c r="J8972">
        <v>16.7</v>
      </c>
      <c r="K8972">
        <v>3.23</v>
      </c>
      <c r="L8972">
        <v>56568</v>
      </c>
      <c r="M8972" t="s">
        <v>268</v>
      </c>
      <c r="N8972" t="str">
        <f>"1317362     "</f>
        <v xml:space="preserve">1317362     </v>
      </c>
      <c r="O8972">
        <v>231212</v>
      </c>
    </row>
    <row r="8973" spans="1:15" x14ac:dyDescent="0.25">
      <c r="A8973" t="s">
        <v>16</v>
      </c>
      <c r="B8973" t="s">
        <v>3221</v>
      </c>
      <c r="C8973">
        <v>17247</v>
      </c>
      <c r="D8973" t="s">
        <v>3650</v>
      </c>
      <c r="E8973" t="s">
        <v>298</v>
      </c>
      <c r="F8973">
        <v>2.54</v>
      </c>
      <c r="G8973">
        <v>231208</v>
      </c>
      <c r="H8973">
        <v>4600</v>
      </c>
      <c r="I8973" t="s">
        <v>105</v>
      </c>
      <c r="J8973">
        <v>3.15</v>
      </c>
      <c r="K8973">
        <v>0.61</v>
      </c>
      <c r="L8973">
        <v>56568</v>
      </c>
      <c r="M8973" t="s">
        <v>268</v>
      </c>
      <c r="N8973" t="str">
        <f>"1317352     "</f>
        <v xml:space="preserve">1317352     </v>
      </c>
      <c r="O8973">
        <v>231212</v>
      </c>
    </row>
    <row r="8974" spans="1:15" x14ac:dyDescent="0.25">
      <c r="A8974" t="s">
        <v>16</v>
      </c>
      <c r="B8974" t="s">
        <v>3221</v>
      </c>
      <c r="C8974">
        <v>17248</v>
      </c>
      <c r="D8974" t="s">
        <v>3650</v>
      </c>
      <c r="E8974" t="s">
        <v>298</v>
      </c>
      <c r="F8974">
        <v>18.61</v>
      </c>
      <c r="G8974">
        <v>231208</v>
      </c>
      <c r="H8974">
        <v>4600</v>
      </c>
      <c r="I8974" t="s">
        <v>105</v>
      </c>
      <c r="J8974">
        <v>23.08</v>
      </c>
      <c r="K8974">
        <v>4.47</v>
      </c>
      <c r="L8974">
        <v>56568</v>
      </c>
      <c r="M8974" t="s">
        <v>268</v>
      </c>
      <c r="N8974" t="str">
        <f>"1317336     "</f>
        <v xml:space="preserve">1317336     </v>
      </c>
      <c r="O8974">
        <v>231212</v>
      </c>
    </row>
    <row r="8975" spans="1:15" x14ac:dyDescent="0.25">
      <c r="A8975" t="s">
        <v>16</v>
      </c>
      <c r="B8975" t="s">
        <v>3221</v>
      </c>
      <c r="C8975">
        <v>17464</v>
      </c>
      <c r="D8975" t="s">
        <v>3650</v>
      </c>
      <c r="E8975" t="s">
        <v>298</v>
      </c>
      <c r="F8975">
        <v>255.33</v>
      </c>
      <c r="G8975">
        <v>231208</v>
      </c>
      <c r="H8975">
        <v>4600</v>
      </c>
      <c r="I8975" t="s">
        <v>105</v>
      </c>
      <c r="J8975">
        <v>316.61</v>
      </c>
      <c r="K8975">
        <v>61.28</v>
      </c>
      <c r="L8975">
        <v>56565</v>
      </c>
      <c r="M8975" t="s">
        <v>758</v>
      </c>
      <c r="N8975" t="str">
        <f>"1317364     "</f>
        <v xml:space="preserve">1317364     </v>
      </c>
      <c r="O8975">
        <v>231214</v>
      </c>
    </row>
    <row r="8976" spans="1:15" x14ac:dyDescent="0.25">
      <c r="A8976" t="s">
        <v>16</v>
      </c>
      <c r="B8976" t="s">
        <v>3221</v>
      </c>
      <c r="C8976">
        <v>17477</v>
      </c>
      <c r="D8976" t="s">
        <v>3650</v>
      </c>
      <c r="E8976" t="s">
        <v>298</v>
      </c>
      <c r="F8976">
        <v>38.21</v>
      </c>
      <c r="G8976">
        <v>231208</v>
      </c>
      <c r="H8976">
        <v>4600</v>
      </c>
      <c r="I8976" t="s">
        <v>105</v>
      </c>
      <c r="J8976">
        <v>47.38</v>
      </c>
      <c r="K8976">
        <v>9.17</v>
      </c>
      <c r="L8976">
        <v>56565</v>
      </c>
      <c r="M8976" t="s">
        <v>758</v>
      </c>
      <c r="N8976" t="str">
        <f>"1317363     "</f>
        <v xml:space="preserve">1317363     </v>
      </c>
      <c r="O8976">
        <v>231214</v>
      </c>
    </row>
    <row r="8977" spans="1:15" x14ac:dyDescent="0.25">
      <c r="A8977" t="s">
        <v>16</v>
      </c>
      <c r="B8977" t="s">
        <v>3221</v>
      </c>
      <c r="C8977">
        <v>17482</v>
      </c>
      <c r="D8977" t="s">
        <v>3650</v>
      </c>
      <c r="E8977" t="s">
        <v>298</v>
      </c>
      <c r="F8977">
        <v>45.97</v>
      </c>
      <c r="G8977">
        <v>231208</v>
      </c>
      <c r="H8977">
        <v>4600</v>
      </c>
      <c r="I8977" t="s">
        <v>105</v>
      </c>
      <c r="J8977">
        <v>57</v>
      </c>
      <c r="K8977">
        <v>11.03</v>
      </c>
      <c r="L8977">
        <v>56565</v>
      </c>
      <c r="M8977" t="s">
        <v>758</v>
      </c>
      <c r="N8977" t="str">
        <f>"1317348     "</f>
        <v xml:space="preserve">1317348     </v>
      </c>
      <c r="O8977">
        <v>231214</v>
      </c>
    </row>
    <row r="8978" spans="1:15" x14ac:dyDescent="0.25">
      <c r="A8978" t="s">
        <v>16</v>
      </c>
      <c r="B8978" t="s">
        <v>3221</v>
      </c>
      <c r="C8978">
        <v>18054</v>
      </c>
      <c r="D8978" t="s">
        <v>3650</v>
      </c>
      <c r="E8978" t="s">
        <v>298</v>
      </c>
      <c r="F8978">
        <v>21.49</v>
      </c>
      <c r="G8978">
        <v>231219</v>
      </c>
      <c r="H8978">
        <v>4600</v>
      </c>
      <c r="I8978" t="s">
        <v>105</v>
      </c>
      <c r="J8978">
        <v>26.65</v>
      </c>
      <c r="K8978">
        <v>5.16</v>
      </c>
      <c r="L8978">
        <v>56568</v>
      </c>
      <c r="M8978" t="s">
        <v>268</v>
      </c>
      <c r="N8978" t="str">
        <f>"1318440     "</f>
        <v xml:space="preserve">1318440     </v>
      </c>
      <c r="O8978">
        <v>240102</v>
      </c>
    </row>
    <row r="8979" spans="1:15" x14ac:dyDescent="0.25">
      <c r="A8979" t="s">
        <v>16</v>
      </c>
      <c r="B8979" t="s">
        <v>3221</v>
      </c>
      <c r="C8979">
        <v>18067</v>
      </c>
      <c r="D8979" t="s">
        <v>3650</v>
      </c>
      <c r="E8979" t="s">
        <v>298</v>
      </c>
      <c r="F8979">
        <v>76.09</v>
      </c>
      <c r="G8979">
        <v>231219</v>
      </c>
      <c r="H8979">
        <v>4600</v>
      </c>
      <c r="I8979" t="s">
        <v>105</v>
      </c>
      <c r="J8979">
        <v>94.35</v>
      </c>
      <c r="K8979">
        <v>18.260000000000002</v>
      </c>
      <c r="L8979">
        <v>56568</v>
      </c>
      <c r="M8979" t="s">
        <v>268</v>
      </c>
      <c r="N8979" t="str">
        <f>"1318439     "</f>
        <v xml:space="preserve">1318439     </v>
      </c>
      <c r="O8979">
        <v>240102</v>
      </c>
    </row>
    <row r="8980" spans="1:15" x14ac:dyDescent="0.25">
      <c r="A8980" t="s">
        <v>16</v>
      </c>
      <c r="B8980" t="s">
        <v>3221</v>
      </c>
      <c r="C8980">
        <v>18071</v>
      </c>
      <c r="D8980" t="s">
        <v>3650</v>
      </c>
      <c r="E8980" t="s">
        <v>298</v>
      </c>
      <c r="F8980">
        <v>86.03</v>
      </c>
      <c r="G8980">
        <v>231219</v>
      </c>
      <c r="H8980">
        <v>4600</v>
      </c>
      <c r="I8980" t="s">
        <v>105</v>
      </c>
      <c r="J8980">
        <v>106.68</v>
      </c>
      <c r="K8980">
        <v>20.65</v>
      </c>
      <c r="L8980">
        <v>56568</v>
      </c>
      <c r="M8980" t="s">
        <v>268</v>
      </c>
      <c r="N8980" t="str">
        <f>"1318444     "</f>
        <v xml:space="preserve">1318444     </v>
      </c>
      <c r="O8980">
        <v>240102</v>
      </c>
    </row>
    <row r="8981" spans="1:15" x14ac:dyDescent="0.25">
      <c r="A8981" t="s">
        <v>16</v>
      </c>
      <c r="B8981" t="s">
        <v>3221</v>
      </c>
      <c r="C8981">
        <v>18074</v>
      </c>
      <c r="D8981" t="s">
        <v>3650</v>
      </c>
      <c r="E8981" t="s">
        <v>298</v>
      </c>
      <c r="F8981">
        <v>8.15</v>
      </c>
      <c r="G8981">
        <v>231219</v>
      </c>
      <c r="H8981">
        <v>4600</v>
      </c>
      <c r="I8981" t="s">
        <v>105</v>
      </c>
      <c r="J8981">
        <v>10.1</v>
      </c>
      <c r="K8981">
        <v>1.95</v>
      </c>
      <c r="L8981">
        <v>56568</v>
      </c>
      <c r="M8981" t="s">
        <v>268</v>
      </c>
      <c r="N8981" t="str">
        <f>"1318437     "</f>
        <v xml:space="preserve">1318437     </v>
      </c>
      <c r="O8981">
        <v>240102</v>
      </c>
    </row>
    <row r="8982" spans="1:15" x14ac:dyDescent="0.25">
      <c r="A8982" t="s">
        <v>16</v>
      </c>
      <c r="B8982" t="s">
        <v>3221</v>
      </c>
      <c r="C8982">
        <v>18078</v>
      </c>
      <c r="D8982" t="s">
        <v>3650</v>
      </c>
      <c r="E8982" t="s">
        <v>298</v>
      </c>
      <c r="F8982">
        <v>196.15</v>
      </c>
      <c r="G8982">
        <v>231219</v>
      </c>
      <c r="H8982">
        <v>4600</v>
      </c>
      <c r="I8982" t="s">
        <v>105</v>
      </c>
      <c r="J8982">
        <v>243.23</v>
      </c>
      <c r="K8982">
        <v>47.08</v>
      </c>
      <c r="L8982">
        <v>56568</v>
      </c>
      <c r="M8982" t="s">
        <v>268</v>
      </c>
      <c r="N8982" t="str">
        <f>"1318448     "</f>
        <v xml:space="preserve">1318448     </v>
      </c>
      <c r="O8982">
        <v>240102</v>
      </c>
    </row>
    <row r="8983" spans="1:15" x14ac:dyDescent="0.25">
      <c r="A8983" t="s">
        <v>16</v>
      </c>
      <c r="B8983" t="s">
        <v>3221</v>
      </c>
      <c r="C8983">
        <v>18080</v>
      </c>
      <c r="D8983" t="s">
        <v>3650</v>
      </c>
      <c r="E8983" t="s">
        <v>298</v>
      </c>
      <c r="F8983">
        <v>90.52</v>
      </c>
      <c r="G8983">
        <v>231219</v>
      </c>
      <c r="H8983">
        <v>4600</v>
      </c>
      <c r="I8983" t="s">
        <v>105</v>
      </c>
      <c r="J8983">
        <v>112.24</v>
      </c>
      <c r="K8983">
        <v>21.72</v>
      </c>
      <c r="L8983">
        <v>56568</v>
      </c>
      <c r="M8983" t="s">
        <v>268</v>
      </c>
      <c r="N8983" t="str">
        <f>"1318435     "</f>
        <v xml:space="preserve">1318435     </v>
      </c>
      <c r="O8983">
        <v>240102</v>
      </c>
    </row>
    <row r="8984" spans="1:15" x14ac:dyDescent="0.25">
      <c r="A8984" t="s">
        <v>16</v>
      </c>
      <c r="B8984" t="s">
        <v>3221</v>
      </c>
      <c r="C8984">
        <v>18083</v>
      </c>
      <c r="D8984" t="s">
        <v>3650</v>
      </c>
      <c r="E8984" t="s">
        <v>298</v>
      </c>
      <c r="F8984">
        <v>31.38</v>
      </c>
      <c r="G8984">
        <v>231219</v>
      </c>
      <c r="H8984">
        <v>4600</v>
      </c>
      <c r="I8984" t="s">
        <v>105</v>
      </c>
      <c r="J8984">
        <v>38.909999999999997</v>
      </c>
      <c r="K8984">
        <v>7.53</v>
      </c>
      <c r="L8984">
        <v>56568</v>
      </c>
      <c r="M8984" t="s">
        <v>268</v>
      </c>
      <c r="N8984" t="str">
        <f>"1318445     "</f>
        <v xml:space="preserve">1318445     </v>
      </c>
      <c r="O8984">
        <v>240102</v>
      </c>
    </row>
    <row r="8985" spans="1:15" x14ac:dyDescent="0.25">
      <c r="A8985" t="s">
        <v>16</v>
      </c>
      <c r="B8985" t="s">
        <v>3221</v>
      </c>
      <c r="C8985">
        <v>18088</v>
      </c>
      <c r="D8985" t="s">
        <v>3650</v>
      </c>
      <c r="E8985" t="s">
        <v>298</v>
      </c>
      <c r="F8985">
        <v>97.81</v>
      </c>
      <c r="G8985">
        <v>231219</v>
      </c>
      <c r="H8985">
        <v>4600</v>
      </c>
      <c r="I8985" t="s">
        <v>105</v>
      </c>
      <c r="J8985">
        <v>121.28</v>
      </c>
      <c r="K8985">
        <v>23.47</v>
      </c>
      <c r="L8985">
        <v>56568</v>
      </c>
      <c r="M8985" t="s">
        <v>268</v>
      </c>
      <c r="N8985" t="str">
        <f>"1318449     "</f>
        <v xml:space="preserve">1318449     </v>
      </c>
      <c r="O8985">
        <v>240102</v>
      </c>
    </row>
    <row r="8986" spans="1:15" x14ac:dyDescent="0.25">
      <c r="A8986" t="s">
        <v>16</v>
      </c>
      <c r="B8986" t="s">
        <v>3221</v>
      </c>
      <c r="C8986">
        <v>18099</v>
      </c>
      <c r="D8986" t="s">
        <v>3650</v>
      </c>
      <c r="E8986" t="s">
        <v>298</v>
      </c>
      <c r="F8986">
        <v>7.48</v>
      </c>
      <c r="G8986">
        <v>231219</v>
      </c>
      <c r="H8986">
        <v>4600</v>
      </c>
      <c r="I8986" t="s">
        <v>105</v>
      </c>
      <c r="J8986">
        <v>9.2799999999999994</v>
      </c>
      <c r="K8986">
        <v>1.8</v>
      </c>
      <c r="L8986">
        <v>67554</v>
      </c>
      <c r="M8986" t="s">
        <v>60</v>
      </c>
      <c r="N8986" t="str">
        <f>"1318453     "</f>
        <v xml:space="preserve">1318453     </v>
      </c>
      <c r="O8986">
        <v>240102</v>
      </c>
    </row>
    <row r="8987" spans="1:15" x14ac:dyDescent="0.25">
      <c r="A8987" t="s">
        <v>16</v>
      </c>
      <c r="B8987" t="s">
        <v>3221</v>
      </c>
      <c r="C8987">
        <v>18100</v>
      </c>
      <c r="D8987" t="s">
        <v>3650</v>
      </c>
      <c r="E8987" t="s">
        <v>298</v>
      </c>
      <c r="F8987">
        <v>41.63</v>
      </c>
      <c r="G8987">
        <v>231219</v>
      </c>
      <c r="H8987">
        <v>4600</v>
      </c>
      <c r="I8987" t="s">
        <v>105</v>
      </c>
      <c r="J8987">
        <v>51.62</v>
      </c>
      <c r="K8987">
        <v>9.99</v>
      </c>
      <c r="L8987">
        <v>56568</v>
      </c>
      <c r="M8987" t="s">
        <v>268</v>
      </c>
      <c r="N8987" t="str">
        <f>"1318442     "</f>
        <v xml:space="preserve">1318442     </v>
      </c>
      <c r="O8987">
        <v>240102</v>
      </c>
    </row>
    <row r="8988" spans="1:15" x14ac:dyDescent="0.25">
      <c r="A8988" t="s">
        <v>16</v>
      </c>
      <c r="B8988" t="s">
        <v>3221</v>
      </c>
      <c r="C8988">
        <v>18110</v>
      </c>
      <c r="D8988" t="s">
        <v>3650</v>
      </c>
      <c r="E8988" t="s">
        <v>298</v>
      </c>
      <c r="F8988">
        <v>8.61</v>
      </c>
      <c r="G8988">
        <v>231219</v>
      </c>
      <c r="H8988">
        <v>4600</v>
      </c>
      <c r="I8988" t="s">
        <v>105</v>
      </c>
      <c r="J8988">
        <v>10.68</v>
      </c>
      <c r="K8988">
        <v>2.0699999999999998</v>
      </c>
      <c r="L8988">
        <v>56568</v>
      </c>
      <c r="M8988" t="s">
        <v>268</v>
      </c>
      <c r="N8988" t="str">
        <f>"1318443     "</f>
        <v xml:space="preserve">1318443     </v>
      </c>
      <c r="O8988">
        <v>240102</v>
      </c>
    </row>
    <row r="8989" spans="1:15" x14ac:dyDescent="0.25">
      <c r="A8989" t="s">
        <v>16</v>
      </c>
      <c r="B8989" t="s">
        <v>3221</v>
      </c>
      <c r="C8989">
        <v>18759</v>
      </c>
      <c r="D8989" t="s">
        <v>3650</v>
      </c>
      <c r="E8989" t="s">
        <v>298</v>
      </c>
      <c r="F8989">
        <v>248.89</v>
      </c>
      <c r="G8989">
        <v>231229</v>
      </c>
      <c r="H8989">
        <v>4600</v>
      </c>
      <c r="I8989" t="s">
        <v>105</v>
      </c>
      <c r="J8989">
        <v>308.62</v>
      </c>
      <c r="K8989">
        <v>59.73</v>
      </c>
      <c r="L8989">
        <v>56568</v>
      </c>
      <c r="M8989" t="s">
        <v>268</v>
      </c>
      <c r="N8989" t="str">
        <f>"1319142     "</f>
        <v xml:space="preserve">1319142     </v>
      </c>
      <c r="O8989">
        <v>240105</v>
      </c>
    </row>
    <row r="8990" spans="1:15" x14ac:dyDescent="0.25">
      <c r="A8990" t="s">
        <v>16</v>
      </c>
      <c r="B8990" t="s">
        <v>3221</v>
      </c>
      <c r="C8990">
        <v>18829</v>
      </c>
      <c r="D8990" t="s">
        <v>3650</v>
      </c>
      <c r="E8990" t="s">
        <v>298</v>
      </c>
      <c r="F8990">
        <v>33.11</v>
      </c>
      <c r="G8990">
        <v>231229</v>
      </c>
      <c r="H8990">
        <v>4600</v>
      </c>
      <c r="I8990" t="s">
        <v>105</v>
      </c>
      <c r="J8990">
        <v>41.06</v>
      </c>
      <c r="K8990">
        <v>7.95</v>
      </c>
      <c r="L8990">
        <v>56568</v>
      </c>
      <c r="M8990" t="s">
        <v>268</v>
      </c>
      <c r="N8990" t="str">
        <f>"1319143     "</f>
        <v xml:space="preserve">1319143     </v>
      </c>
      <c r="O8990">
        <v>240108</v>
      </c>
    </row>
    <row r="8991" spans="1:15" x14ac:dyDescent="0.25">
      <c r="A8991" t="s">
        <v>16</v>
      </c>
      <c r="B8991" t="s">
        <v>3221</v>
      </c>
      <c r="C8991">
        <v>18830</v>
      </c>
      <c r="D8991" t="s">
        <v>3650</v>
      </c>
      <c r="E8991" t="s">
        <v>298</v>
      </c>
      <c r="F8991">
        <v>28.23</v>
      </c>
      <c r="G8991">
        <v>231229</v>
      </c>
      <c r="H8991">
        <v>4600</v>
      </c>
      <c r="I8991" t="s">
        <v>105</v>
      </c>
      <c r="J8991">
        <v>35</v>
      </c>
      <c r="K8991">
        <v>6.77</v>
      </c>
      <c r="L8991">
        <v>56568</v>
      </c>
      <c r="M8991" t="s">
        <v>268</v>
      </c>
      <c r="N8991" t="str">
        <f>"1319147     "</f>
        <v xml:space="preserve">1319147     </v>
      </c>
      <c r="O8991">
        <v>240108</v>
      </c>
    </row>
    <row r="8992" spans="1:15" x14ac:dyDescent="0.25">
      <c r="A8992" t="s">
        <v>16</v>
      </c>
      <c r="B8992" t="s">
        <v>3221</v>
      </c>
      <c r="C8992">
        <v>18831</v>
      </c>
      <c r="D8992" t="s">
        <v>3650</v>
      </c>
      <c r="E8992" t="s">
        <v>298</v>
      </c>
      <c r="F8992">
        <v>7.74</v>
      </c>
      <c r="G8992">
        <v>231229</v>
      </c>
      <c r="H8992">
        <v>4600</v>
      </c>
      <c r="I8992" t="s">
        <v>105</v>
      </c>
      <c r="J8992">
        <v>9.6</v>
      </c>
      <c r="K8992">
        <v>1.86</v>
      </c>
      <c r="L8992">
        <v>56568</v>
      </c>
      <c r="M8992" t="s">
        <v>268</v>
      </c>
      <c r="N8992" t="str">
        <f>"1319146     "</f>
        <v xml:space="preserve">1319146     </v>
      </c>
      <c r="O8992">
        <v>240108</v>
      </c>
    </row>
    <row r="8993" spans="1:15" x14ac:dyDescent="0.25">
      <c r="A8993" t="s">
        <v>16</v>
      </c>
      <c r="B8993" t="s">
        <v>3221</v>
      </c>
      <c r="C8993">
        <v>18832</v>
      </c>
      <c r="D8993" t="s">
        <v>3650</v>
      </c>
      <c r="E8993" t="s">
        <v>298</v>
      </c>
      <c r="F8993">
        <v>30</v>
      </c>
      <c r="G8993">
        <v>231229</v>
      </c>
      <c r="H8993">
        <v>4600</v>
      </c>
      <c r="I8993" t="s">
        <v>105</v>
      </c>
      <c r="J8993">
        <v>37.200000000000003</v>
      </c>
      <c r="K8993">
        <v>7.2</v>
      </c>
      <c r="L8993">
        <v>56568</v>
      </c>
      <c r="M8993" t="s">
        <v>268</v>
      </c>
      <c r="N8993" t="str">
        <f>"1319144     "</f>
        <v xml:space="preserve">1319144     </v>
      </c>
      <c r="O8993">
        <v>240108</v>
      </c>
    </row>
    <row r="8994" spans="1:15" x14ac:dyDescent="0.25">
      <c r="A8994" t="s">
        <v>16</v>
      </c>
      <c r="B8994" t="s">
        <v>3221</v>
      </c>
      <c r="C8994">
        <v>18833</v>
      </c>
      <c r="D8994" t="s">
        <v>3650</v>
      </c>
      <c r="E8994" t="s">
        <v>298</v>
      </c>
      <c r="F8994">
        <v>13</v>
      </c>
      <c r="G8994">
        <v>231229</v>
      </c>
      <c r="H8994">
        <v>4600</v>
      </c>
      <c r="I8994" t="s">
        <v>105</v>
      </c>
      <c r="J8994">
        <v>16.12</v>
      </c>
      <c r="K8994">
        <v>3.12</v>
      </c>
      <c r="L8994">
        <v>56568</v>
      </c>
      <c r="M8994" t="s">
        <v>268</v>
      </c>
      <c r="N8994" t="str">
        <f>"1319145     "</f>
        <v xml:space="preserve">1319145     </v>
      </c>
      <c r="O8994">
        <v>240108</v>
      </c>
    </row>
    <row r="8995" spans="1:15" x14ac:dyDescent="0.25">
      <c r="A8995" t="s">
        <v>16</v>
      </c>
      <c r="B8995" t="s">
        <v>3221</v>
      </c>
      <c r="C8995">
        <v>18941</v>
      </c>
      <c r="D8995" t="s">
        <v>3650</v>
      </c>
      <c r="E8995" t="s">
        <v>298</v>
      </c>
      <c r="F8995">
        <v>67.14</v>
      </c>
      <c r="G8995">
        <v>231229</v>
      </c>
      <c r="H8995">
        <v>4600</v>
      </c>
      <c r="I8995" t="s">
        <v>105</v>
      </c>
      <c r="J8995">
        <v>83.25</v>
      </c>
      <c r="K8995">
        <v>16.11</v>
      </c>
      <c r="L8995">
        <v>56564</v>
      </c>
      <c r="M8995" t="s">
        <v>327</v>
      </c>
      <c r="N8995" t="str">
        <f>"1319149     "</f>
        <v xml:space="preserve">1319149     </v>
      </c>
      <c r="O8995">
        <v>240109</v>
      </c>
    </row>
    <row r="8996" spans="1:15" x14ac:dyDescent="0.25">
      <c r="A8996" t="s">
        <v>16</v>
      </c>
      <c r="B8996" t="s">
        <v>3221</v>
      </c>
      <c r="C8996">
        <v>18943</v>
      </c>
      <c r="D8996" t="s">
        <v>3650</v>
      </c>
      <c r="E8996" t="s">
        <v>298</v>
      </c>
      <c r="F8996">
        <v>8.84</v>
      </c>
      <c r="G8996">
        <v>231229</v>
      </c>
      <c r="H8996">
        <v>4600</v>
      </c>
      <c r="I8996" t="s">
        <v>105</v>
      </c>
      <c r="J8996">
        <v>10.96</v>
      </c>
      <c r="K8996">
        <v>2.12</v>
      </c>
      <c r="L8996">
        <v>67554</v>
      </c>
      <c r="M8996" t="s">
        <v>60</v>
      </c>
      <c r="N8996" t="str">
        <f>"1319150     "</f>
        <v xml:space="preserve">1319150     </v>
      </c>
      <c r="O8996">
        <v>240109</v>
      </c>
    </row>
    <row r="8997" spans="1:15" x14ac:dyDescent="0.25">
      <c r="A8997" t="s">
        <v>16</v>
      </c>
      <c r="B8997" t="s">
        <v>3221</v>
      </c>
      <c r="C8997">
        <v>10032</v>
      </c>
      <c r="D8997" t="s">
        <v>3650</v>
      </c>
      <c r="E8997" t="s">
        <v>298</v>
      </c>
      <c r="F8997">
        <v>31.69</v>
      </c>
      <c r="G8997">
        <v>230801</v>
      </c>
      <c r="H8997">
        <v>4555</v>
      </c>
      <c r="I8997" t="s">
        <v>481</v>
      </c>
      <c r="J8997">
        <v>39.299999999999997</v>
      </c>
      <c r="K8997">
        <v>7.61</v>
      </c>
      <c r="L8997">
        <v>59504</v>
      </c>
      <c r="M8997" t="s">
        <v>71</v>
      </c>
      <c r="N8997" t="str">
        <f>"1306864     "</f>
        <v xml:space="preserve">1306864     </v>
      </c>
      <c r="O8997">
        <v>230807</v>
      </c>
    </row>
    <row r="8998" spans="1:15" x14ac:dyDescent="0.25">
      <c r="A8998" t="s">
        <v>16</v>
      </c>
      <c r="B8998" t="s">
        <v>3221</v>
      </c>
      <c r="C8998">
        <v>12818</v>
      </c>
      <c r="D8998" t="s">
        <v>3650</v>
      </c>
      <c r="E8998" t="s">
        <v>298</v>
      </c>
      <c r="F8998">
        <v>41.29</v>
      </c>
      <c r="G8998">
        <v>230912</v>
      </c>
      <c r="H8998">
        <v>4350</v>
      </c>
      <c r="I8998" t="s">
        <v>546</v>
      </c>
      <c r="J8998">
        <v>51.2</v>
      </c>
      <c r="K8998">
        <v>9.91</v>
      </c>
      <c r="L8998">
        <v>18992</v>
      </c>
      <c r="M8998" t="s">
        <v>2445</v>
      </c>
      <c r="N8998" t="str">
        <f>"1310302     "</f>
        <v xml:space="preserve">1310302     </v>
      </c>
      <c r="O8998">
        <v>230926</v>
      </c>
    </row>
    <row r="8999" spans="1:15" x14ac:dyDescent="0.25">
      <c r="A8999" t="s">
        <v>16</v>
      </c>
      <c r="B8999" t="s">
        <v>3221</v>
      </c>
      <c r="C8999">
        <v>1708</v>
      </c>
      <c r="D8999" t="s">
        <v>3650</v>
      </c>
      <c r="E8999" t="s">
        <v>298</v>
      </c>
      <c r="F8999">
        <v>129.03</v>
      </c>
      <c r="G8999">
        <v>230207</v>
      </c>
      <c r="H8999">
        <v>4560</v>
      </c>
      <c r="I8999" t="s">
        <v>345</v>
      </c>
      <c r="J8999">
        <v>160</v>
      </c>
      <c r="K8999">
        <v>30.97</v>
      </c>
      <c r="L8999">
        <v>67554</v>
      </c>
      <c r="M8999" t="s">
        <v>60</v>
      </c>
      <c r="N8999" t="str">
        <f>"1292498     "</f>
        <v xml:space="preserve">1292498     </v>
      </c>
      <c r="O8999">
        <v>230213</v>
      </c>
    </row>
    <row r="9000" spans="1:15" x14ac:dyDescent="0.25">
      <c r="A9000" t="s">
        <v>16</v>
      </c>
      <c r="B9000" t="s">
        <v>3221</v>
      </c>
      <c r="C9000">
        <v>7983</v>
      </c>
      <c r="D9000" t="s">
        <v>3650</v>
      </c>
      <c r="E9000" t="s">
        <v>298</v>
      </c>
      <c r="F9000">
        <v>1162.98</v>
      </c>
      <c r="G9000">
        <v>230531</v>
      </c>
      <c r="H9000">
        <v>4560</v>
      </c>
      <c r="I9000" t="s">
        <v>345</v>
      </c>
      <c r="J9000">
        <v>1442.1</v>
      </c>
      <c r="K9000">
        <v>279.12</v>
      </c>
      <c r="L9000">
        <v>56564</v>
      </c>
      <c r="M9000" t="s">
        <v>327</v>
      </c>
      <c r="N9000" t="str">
        <f>"1301764     "</f>
        <v xml:space="preserve">1301764     </v>
      </c>
      <c r="O9000">
        <v>230606</v>
      </c>
    </row>
    <row r="9001" spans="1:15" x14ac:dyDescent="0.25">
      <c r="A9001" t="s">
        <v>16</v>
      </c>
      <c r="B9001" t="s">
        <v>3221</v>
      </c>
      <c r="C9001">
        <v>12729</v>
      </c>
      <c r="D9001" t="s">
        <v>3650</v>
      </c>
      <c r="E9001" t="s">
        <v>298</v>
      </c>
      <c r="F9001">
        <v>33.4</v>
      </c>
      <c r="G9001">
        <v>230912</v>
      </c>
      <c r="H9001">
        <v>4560</v>
      </c>
      <c r="I9001" t="s">
        <v>345</v>
      </c>
      <c r="J9001">
        <v>41.42</v>
      </c>
      <c r="K9001">
        <v>8.02</v>
      </c>
      <c r="L9001">
        <v>56565</v>
      </c>
      <c r="M9001" t="s">
        <v>758</v>
      </c>
      <c r="N9001" t="str">
        <f>"1310306     "</f>
        <v xml:space="preserve">1310306     </v>
      </c>
      <c r="O9001">
        <v>230925</v>
      </c>
    </row>
    <row r="9002" spans="1:15" x14ac:dyDescent="0.25">
      <c r="A9002" t="s">
        <v>16</v>
      </c>
      <c r="B9002" t="s">
        <v>3221</v>
      </c>
      <c r="C9002">
        <v>13017</v>
      </c>
      <c r="D9002" t="s">
        <v>3650</v>
      </c>
      <c r="E9002" t="s">
        <v>298</v>
      </c>
      <c r="F9002">
        <v>45</v>
      </c>
      <c r="G9002">
        <v>230926</v>
      </c>
      <c r="H9002">
        <v>4560</v>
      </c>
      <c r="I9002" t="s">
        <v>345</v>
      </c>
      <c r="J9002">
        <v>55.8</v>
      </c>
      <c r="K9002">
        <v>10.8</v>
      </c>
      <c r="L9002">
        <v>67554</v>
      </c>
      <c r="M9002" t="s">
        <v>60</v>
      </c>
      <c r="N9002" t="str">
        <f>"1311636     "</f>
        <v xml:space="preserve">1311636     </v>
      </c>
      <c r="O9002">
        <v>231002</v>
      </c>
    </row>
    <row r="9003" spans="1:15" x14ac:dyDescent="0.25">
      <c r="A9003" t="s">
        <v>16</v>
      </c>
      <c r="B9003" t="s">
        <v>3221</v>
      </c>
      <c r="C9003">
        <v>4067</v>
      </c>
      <c r="D9003" t="s">
        <v>3650</v>
      </c>
      <c r="E9003" t="s">
        <v>298</v>
      </c>
      <c r="F9003">
        <v>113.97</v>
      </c>
      <c r="G9003">
        <v>230329</v>
      </c>
      <c r="H9003">
        <v>4590</v>
      </c>
      <c r="I9003" t="s">
        <v>203</v>
      </c>
      <c r="J9003">
        <v>141.32</v>
      </c>
      <c r="K9003">
        <v>27.35</v>
      </c>
      <c r="L9003">
        <v>66756</v>
      </c>
      <c r="M9003" t="s">
        <v>209</v>
      </c>
      <c r="N9003" t="str">
        <f>"1296357     "</f>
        <v xml:space="preserve">1296357     </v>
      </c>
      <c r="O9003">
        <v>230330</v>
      </c>
    </row>
    <row r="9004" spans="1:15" x14ac:dyDescent="0.25">
      <c r="A9004" t="s">
        <v>16</v>
      </c>
      <c r="B9004" t="s">
        <v>3221</v>
      </c>
      <c r="C9004">
        <v>4300</v>
      </c>
      <c r="D9004" t="s">
        <v>3650</v>
      </c>
      <c r="E9004" t="s">
        <v>298</v>
      </c>
      <c r="F9004">
        <v>37.19</v>
      </c>
      <c r="G9004">
        <v>230329</v>
      </c>
      <c r="H9004">
        <v>4590</v>
      </c>
      <c r="I9004" t="s">
        <v>203</v>
      </c>
      <c r="J9004">
        <v>46.11</v>
      </c>
      <c r="K9004">
        <v>8.92</v>
      </c>
      <c r="L9004">
        <v>56564</v>
      </c>
      <c r="M9004" t="s">
        <v>327</v>
      </c>
      <c r="N9004" t="str">
        <f>"1296332     "</f>
        <v xml:space="preserve">1296332     </v>
      </c>
      <c r="O9004">
        <v>230404</v>
      </c>
    </row>
    <row r="9005" spans="1:15" x14ac:dyDescent="0.25">
      <c r="A9005" t="s">
        <v>16</v>
      </c>
      <c r="B9005" t="s">
        <v>3221</v>
      </c>
      <c r="C9005">
        <v>5102</v>
      </c>
      <c r="D9005" t="s">
        <v>3650</v>
      </c>
      <c r="E9005" t="s">
        <v>298</v>
      </c>
      <c r="F9005">
        <v>2.9</v>
      </c>
      <c r="G9005">
        <v>230413</v>
      </c>
      <c r="H9005">
        <v>4590</v>
      </c>
      <c r="I9005" t="s">
        <v>203</v>
      </c>
      <c r="J9005">
        <v>3.6</v>
      </c>
      <c r="K9005">
        <v>0.7</v>
      </c>
      <c r="L9005">
        <v>56564</v>
      </c>
      <c r="M9005" t="s">
        <v>327</v>
      </c>
      <c r="N9005" t="str">
        <f>"1297831     "</f>
        <v xml:space="preserve">1297831     </v>
      </c>
      <c r="O9005">
        <v>230418</v>
      </c>
    </row>
    <row r="9006" spans="1:15" x14ac:dyDescent="0.25">
      <c r="A9006" t="s">
        <v>16</v>
      </c>
      <c r="B9006" t="s">
        <v>3221</v>
      </c>
      <c r="C9006">
        <v>5878</v>
      </c>
      <c r="D9006" t="s">
        <v>3650</v>
      </c>
      <c r="E9006" t="s">
        <v>298</v>
      </c>
      <c r="F9006">
        <v>180.81</v>
      </c>
      <c r="G9006">
        <v>230428</v>
      </c>
      <c r="H9006">
        <v>4590</v>
      </c>
      <c r="I9006" t="s">
        <v>203</v>
      </c>
      <c r="J9006">
        <v>224.2</v>
      </c>
      <c r="K9006">
        <v>43.39</v>
      </c>
      <c r="L9006">
        <v>69501</v>
      </c>
      <c r="M9006" t="s">
        <v>185</v>
      </c>
      <c r="N9006" t="str">
        <f>"1298611     "</f>
        <v xml:space="preserve">1298611     </v>
      </c>
      <c r="O9006">
        <v>230503</v>
      </c>
    </row>
    <row r="9007" spans="1:15" x14ac:dyDescent="0.25">
      <c r="A9007" t="s">
        <v>16</v>
      </c>
      <c r="B9007" t="s">
        <v>3221</v>
      </c>
      <c r="C9007">
        <v>9705</v>
      </c>
      <c r="D9007" t="s">
        <v>3650</v>
      </c>
      <c r="E9007" t="s">
        <v>298</v>
      </c>
      <c r="F9007">
        <v>7.27</v>
      </c>
      <c r="G9007">
        <v>230706</v>
      </c>
      <c r="H9007">
        <v>4590</v>
      </c>
      <c r="I9007" t="s">
        <v>203</v>
      </c>
      <c r="J9007">
        <v>9.02</v>
      </c>
      <c r="K9007">
        <v>1.75</v>
      </c>
      <c r="L9007">
        <v>67554</v>
      </c>
      <c r="M9007" t="s">
        <v>60</v>
      </c>
      <c r="N9007" t="str">
        <f>"1304884     "</f>
        <v xml:space="preserve">1304884     </v>
      </c>
      <c r="O9007">
        <v>230720</v>
      </c>
    </row>
    <row r="9008" spans="1:15" x14ac:dyDescent="0.25">
      <c r="A9008" t="s">
        <v>16</v>
      </c>
      <c r="B9008" t="s">
        <v>3221</v>
      </c>
      <c r="C9008">
        <v>11104</v>
      </c>
      <c r="D9008" t="s">
        <v>3650</v>
      </c>
      <c r="E9008" t="s">
        <v>298</v>
      </c>
      <c r="F9008">
        <v>161.91999999999999</v>
      </c>
      <c r="G9008">
        <v>230829</v>
      </c>
      <c r="H9008">
        <v>4590</v>
      </c>
      <c r="I9008" t="s">
        <v>203</v>
      </c>
      <c r="J9008">
        <v>200.78</v>
      </c>
      <c r="K9008">
        <v>38.86</v>
      </c>
      <c r="L9008">
        <v>66756</v>
      </c>
      <c r="M9008" t="s">
        <v>209</v>
      </c>
      <c r="N9008" t="str">
        <f>"1309107     "</f>
        <v xml:space="preserve">1309107     </v>
      </c>
      <c r="O9008">
        <v>230830</v>
      </c>
    </row>
    <row r="9009" spans="1:15" x14ac:dyDescent="0.25">
      <c r="A9009" t="s">
        <v>16</v>
      </c>
      <c r="B9009" t="s">
        <v>3221</v>
      </c>
      <c r="C9009">
        <v>11125</v>
      </c>
      <c r="D9009" t="s">
        <v>3650</v>
      </c>
      <c r="E9009" t="s">
        <v>298</v>
      </c>
      <c r="F9009">
        <v>24.77</v>
      </c>
      <c r="G9009">
        <v>230829</v>
      </c>
      <c r="H9009">
        <v>4590</v>
      </c>
      <c r="I9009" t="s">
        <v>203</v>
      </c>
      <c r="J9009">
        <v>30.72</v>
      </c>
      <c r="K9009">
        <v>5.95</v>
      </c>
      <c r="L9009">
        <v>56561</v>
      </c>
      <c r="M9009" t="s">
        <v>358</v>
      </c>
      <c r="N9009" t="str">
        <f>"1309105     "</f>
        <v xml:space="preserve">1309105     </v>
      </c>
      <c r="O9009">
        <v>230830</v>
      </c>
    </row>
    <row r="9010" spans="1:15" x14ac:dyDescent="0.25">
      <c r="A9010" t="s">
        <v>16</v>
      </c>
      <c r="B9010" t="s">
        <v>3221</v>
      </c>
      <c r="C9010">
        <v>11139</v>
      </c>
      <c r="D9010" t="s">
        <v>3650</v>
      </c>
      <c r="E9010" t="s">
        <v>298</v>
      </c>
      <c r="F9010">
        <v>1.1000000000000001</v>
      </c>
      <c r="G9010">
        <v>230829</v>
      </c>
      <c r="H9010">
        <v>4590</v>
      </c>
      <c r="I9010" t="s">
        <v>203</v>
      </c>
      <c r="J9010">
        <v>1.36</v>
      </c>
      <c r="K9010">
        <v>0.26</v>
      </c>
      <c r="L9010">
        <v>56561</v>
      </c>
      <c r="M9010" t="s">
        <v>358</v>
      </c>
      <c r="N9010" t="str">
        <f>"1309106     "</f>
        <v xml:space="preserve">1309106     </v>
      </c>
      <c r="O9010">
        <v>230830</v>
      </c>
    </row>
    <row r="9011" spans="1:15" x14ac:dyDescent="0.25">
      <c r="A9011" t="s">
        <v>16</v>
      </c>
      <c r="B9011" t="s">
        <v>3221</v>
      </c>
      <c r="C9011">
        <v>11207</v>
      </c>
      <c r="D9011" t="s">
        <v>3650</v>
      </c>
      <c r="E9011" t="s">
        <v>298</v>
      </c>
      <c r="F9011">
        <v>32.39</v>
      </c>
      <c r="G9011">
        <v>230829</v>
      </c>
      <c r="H9011">
        <v>4590</v>
      </c>
      <c r="I9011" t="s">
        <v>203</v>
      </c>
      <c r="J9011">
        <v>40.159999999999997</v>
      </c>
      <c r="K9011">
        <v>7.77</v>
      </c>
      <c r="L9011">
        <v>56564</v>
      </c>
      <c r="M9011" t="s">
        <v>327</v>
      </c>
      <c r="N9011" t="str">
        <f>"1309099     "</f>
        <v xml:space="preserve">1309099     </v>
      </c>
      <c r="O9011">
        <v>230831</v>
      </c>
    </row>
    <row r="9012" spans="1:15" x14ac:dyDescent="0.25">
      <c r="A9012" t="s">
        <v>16</v>
      </c>
      <c r="B9012" t="s">
        <v>3221</v>
      </c>
      <c r="C9012">
        <v>12067</v>
      </c>
      <c r="D9012" t="s">
        <v>3650</v>
      </c>
      <c r="E9012" t="s">
        <v>298</v>
      </c>
      <c r="F9012">
        <v>24.52</v>
      </c>
      <c r="G9012">
        <v>230912</v>
      </c>
      <c r="H9012">
        <v>4590</v>
      </c>
      <c r="I9012" t="s">
        <v>203</v>
      </c>
      <c r="J9012">
        <v>30.4</v>
      </c>
      <c r="K9012">
        <v>5.88</v>
      </c>
      <c r="L9012">
        <v>67554</v>
      </c>
      <c r="M9012" t="s">
        <v>60</v>
      </c>
      <c r="N9012" t="str">
        <f>"1310324     "</f>
        <v xml:space="preserve">1310324     </v>
      </c>
      <c r="O9012">
        <v>230913</v>
      </c>
    </row>
    <row r="9013" spans="1:15" x14ac:dyDescent="0.25">
      <c r="A9013" t="s">
        <v>16</v>
      </c>
      <c r="B9013" t="s">
        <v>3221</v>
      </c>
      <c r="C9013">
        <v>12079</v>
      </c>
      <c r="D9013" t="s">
        <v>3650</v>
      </c>
      <c r="E9013" t="s">
        <v>298</v>
      </c>
      <c r="F9013">
        <v>25.37</v>
      </c>
      <c r="G9013">
        <v>230912</v>
      </c>
      <c r="H9013">
        <v>4590</v>
      </c>
      <c r="I9013" t="s">
        <v>203</v>
      </c>
      <c r="J9013">
        <v>31.46</v>
      </c>
      <c r="K9013">
        <v>6.09</v>
      </c>
      <c r="L9013">
        <v>69501</v>
      </c>
      <c r="M9013" t="s">
        <v>185</v>
      </c>
      <c r="N9013" t="str">
        <f>"1310326     "</f>
        <v xml:space="preserve">1310326     </v>
      </c>
      <c r="O9013">
        <v>230913</v>
      </c>
    </row>
    <row r="9014" spans="1:15" x14ac:dyDescent="0.25">
      <c r="A9014" t="s">
        <v>16</v>
      </c>
      <c r="B9014" t="s">
        <v>3221</v>
      </c>
      <c r="C9014">
        <v>12129</v>
      </c>
      <c r="D9014" t="s">
        <v>3650</v>
      </c>
      <c r="E9014" t="s">
        <v>298</v>
      </c>
      <c r="F9014">
        <v>38.65</v>
      </c>
      <c r="G9014">
        <v>230912</v>
      </c>
      <c r="H9014">
        <v>4590</v>
      </c>
      <c r="I9014" t="s">
        <v>203</v>
      </c>
      <c r="J9014">
        <v>47.92</v>
      </c>
      <c r="K9014">
        <v>9.27</v>
      </c>
      <c r="L9014">
        <v>56564</v>
      </c>
      <c r="M9014" t="s">
        <v>327</v>
      </c>
      <c r="N9014" t="str">
        <f>"1310318     "</f>
        <v xml:space="preserve">1310318     </v>
      </c>
      <c r="O9014">
        <v>230914</v>
      </c>
    </row>
    <row r="9015" spans="1:15" x14ac:dyDescent="0.25">
      <c r="A9015" t="s">
        <v>16</v>
      </c>
      <c r="B9015" t="s">
        <v>3221</v>
      </c>
      <c r="C9015">
        <v>12294</v>
      </c>
      <c r="D9015" t="s">
        <v>3650</v>
      </c>
      <c r="E9015" t="s">
        <v>298</v>
      </c>
      <c r="F9015">
        <v>61.94</v>
      </c>
      <c r="G9015">
        <v>230912</v>
      </c>
      <c r="H9015">
        <v>4590</v>
      </c>
      <c r="I9015" t="s">
        <v>203</v>
      </c>
      <c r="J9015">
        <v>76.8</v>
      </c>
      <c r="K9015">
        <v>14.86</v>
      </c>
      <c r="L9015">
        <v>56551</v>
      </c>
      <c r="M9015" t="s">
        <v>619</v>
      </c>
      <c r="N9015" t="str">
        <f>"1310317     "</f>
        <v xml:space="preserve">1310317     </v>
      </c>
      <c r="O9015">
        <v>230918</v>
      </c>
    </row>
    <row r="9016" spans="1:15" x14ac:dyDescent="0.25">
      <c r="A9016" t="s">
        <v>16</v>
      </c>
      <c r="B9016" t="s">
        <v>3221</v>
      </c>
      <c r="C9016">
        <v>12997</v>
      </c>
      <c r="D9016" t="s">
        <v>3650</v>
      </c>
      <c r="E9016" t="s">
        <v>298</v>
      </c>
      <c r="F9016">
        <v>5.48</v>
      </c>
      <c r="G9016">
        <v>230926</v>
      </c>
      <c r="H9016">
        <v>4590</v>
      </c>
      <c r="I9016" t="s">
        <v>203</v>
      </c>
      <c r="J9016">
        <v>6.8</v>
      </c>
      <c r="K9016">
        <v>1.32</v>
      </c>
      <c r="L9016">
        <v>69501</v>
      </c>
      <c r="M9016" t="s">
        <v>185</v>
      </c>
      <c r="N9016" t="str">
        <f>"1311637     "</f>
        <v xml:space="preserve">1311637     </v>
      </c>
      <c r="O9016">
        <v>231002</v>
      </c>
    </row>
    <row r="9017" spans="1:15" x14ac:dyDescent="0.25">
      <c r="A9017" t="s">
        <v>16</v>
      </c>
      <c r="B9017" t="s">
        <v>3221</v>
      </c>
      <c r="C9017">
        <v>13060</v>
      </c>
      <c r="D9017" t="s">
        <v>3650</v>
      </c>
      <c r="E9017" t="s">
        <v>298</v>
      </c>
      <c r="F9017">
        <v>27.79</v>
      </c>
      <c r="G9017">
        <v>230926</v>
      </c>
      <c r="H9017">
        <v>4590</v>
      </c>
      <c r="I9017" t="s">
        <v>203</v>
      </c>
      <c r="J9017">
        <v>34.46</v>
      </c>
      <c r="K9017">
        <v>6.67</v>
      </c>
      <c r="L9017">
        <v>56564</v>
      </c>
      <c r="M9017" t="s">
        <v>327</v>
      </c>
      <c r="N9017" t="str">
        <f>"1311609     "</f>
        <v xml:space="preserve">1311609     </v>
      </c>
      <c r="O9017">
        <v>231003</v>
      </c>
    </row>
    <row r="9018" spans="1:15" x14ac:dyDescent="0.25">
      <c r="A9018" t="s">
        <v>16</v>
      </c>
      <c r="B9018" t="s">
        <v>3221</v>
      </c>
      <c r="C9018">
        <v>13719</v>
      </c>
      <c r="D9018" t="s">
        <v>3650</v>
      </c>
      <c r="E9018" t="s">
        <v>298</v>
      </c>
      <c r="F9018">
        <v>20.87</v>
      </c>
      <c r="G9018">
        <v>231010</v>
      </c>
      <c r="H9018">
        <v>4590</v>
      </c>
      <c r="I9018" t="s">
        <v>203</v>
      </c>
      <c r="J9018">
        <v>25.88</v>
      </c>
      <c r="K9018">
        <v>5.01</v>
      </c>
      <c r="L9018">
        <v>56564</v>
      </c>
      <c r="M9018" t="s">
        <v>327</v>
      </c>
      <c r="N9018" t="str">
        <f>"1312845     "</f>
        <v xml:space="preserve">1312845     </v>
      </c>
      <c r="O9018">
        <v>231012</v>
      </c>
    </row>
    <row r="9019" spans="1:15" x14ac:dyDescent="0.25">
      <c r="A9019" t="s">
        <v>16</v>
      </c>
      <c r="B9019" t="s">
        <v>3221</v>
      </c>
      <c r="C9019">
        <v>13846</v>
      </c>
      <c r="D9019" t="s">
        <v>3650</v>
      </c>
      <c r="E9019" t="s">
        <v>298</v>
      </c>
      <c r="F9019">
        <v>160.88999999999999</v>
      </c>
      <c r="G9019">
        <v>231010</v>
      </c>
      <c r="H9019">
        <v>4590</v>
      </c>
      <c r="I9019" t="s">
        <v>203</v>
      </c>
      <c r="J9019">
        <v>199.5</v>
      </c>
      <c r="K9019">
        <v>38.61</v>
      </c>
      <c r="L9019">
        <v>56562</v>
      </c>
      <c r="M9019" t="s">
        <v>126</v>
      </c>
      <c r="N9019" t="str">
        <f>"1312829     "</f>
        <v xml:space="preserve">1312829     </v>
      </c>
      <c r="O9019">
        <v>231013</v>
      </c>
    </row>
    <row r="9020" spans="1:15" x14ac:dyDescent="0.25">
      <c r="A9020" t="s">
        <v>16</v>
      </c>
      <c r="B9020" t="s">
        <v>3221</v>
      </c>
      <c r="C9020">
        <v>14018</v>
      </c>
      <c r="D9020" t="s">
        <v>3650</v>
      </c>
      <c r="E9020" t="s">
        <v>298</v>
      </c>
      <c r="F9020">
        <v>17.399999999999999</v>
      </c>
      <c r="G9020">
        <v>231010</v>
      </c>
      <c r="H9020">
        <v>4590</v>
      </c>
      <c r="I9020" t="s">
        <v>203</v>
      </c>
      <c r="J9020">
        <v>21.57</v>
      </c>
      <c r="K9020">
        <v>4.17</v>
      </c>
      <c r="L9020">
        <v>56551</v>
      </c>
      <c r="M9020" t="s">
        <v>619</v>
      </c>
      <c r="N9020" t="str">
        <f>"1312847     "</f>
        <v xml:space="preserve">1312847     </v>
      </c>
      <c r="O9020">
        <v>231017</v>
      </c>
    </row>
    <row r="9021" spans="1:15" x14ac:dyDescent="0.25">
      <c r="A9021" t="s">
        <v>16</v>
      </c>
      <c r="B9021" t="s">
        <v>3221</v>
      </c>
      <c r="C9021">
        <v>14020</v>
      </c>
      <c r="D9021" t="s">
        <v>3650</v>
      </c>
      <c r="E9021" t="s">
        <v>298</v>
      </c>
      <c r="F9021">
        <v>5.26</v>
      </c>
      <c r="G9021">
        <v>231010</v>
      </c>
      <c r="H9021">
        <v>4590</v>
      </c>
      <c r="I9021" t="s">
        <v>203</v>
      </c>
      <c r="J9021">
        <v>6.52</v>
      </c>
      <c r="K9021">
        <v>1.26</v>
      </c>
      <c r="L9021">
        <v>56551</v>
      </c>
      <c r="M9021" t="s">
        <v>619</v>
      </c>
      <c r="N9021" t="str">
        <f>"1312854     "</f>
        <v xml:space="preserve">1312854     </v>
      </c>
      <c r="O9021">
        <v>231017</v>
      </c>
    </row>
    <row r="9022" spans="1:15" x14ac:dyDescent="0.25">
      <c r="A9022" t="s">
        <v>16</v>
      </c>
      <c r="B9022" t="s">
        <v>3221</v>
      </c>
      <c r="C9022">
        <v>14164</v>
      </c>
      <c r="D9022" t="s">
        <v>3650</v>
      </c>
      <c r="E9022" t="s">
        <v>298</v>
      </c>
      <c r="F9022">
        <v>8.3000000000000007</v>
      </c>
      <c r="G9022">
        <v>231010</v>
      </c>
      <c r="H9022">
        <v>4590</v>
      </c>
      <c r="I9022" t="s">
        <v>203</v>
      </c>
      <c r="J9022">
        <v>10.29</v>
      </c>
      <c r="K9022">
        <v>1.99</v>
      </c>
      <c r="L9022">
        <v>66754</v>
      </c>
      <c r="M9022" t="s">
        <v>239</v>
      </c>
      <c r="N9022" t="str">
        <f>"1312867     "</f>
        <v xml:space="preserve">1312867     </v>
      </c>
      <c r="O9022">
        <v>231023</v>
      </c>
    </row>
    <row r="9023" spans="1:15" x14ac:dyDescent="0.25">
      <c r="A9023" t="s">
        <v>16</v>
      </c>
      <c r="B9023" t="s">
        <v>3221</v>
      </c>
      <c r="C9023">
        <v>14166</v>
      </c>
      <c r="D9023" t="s">
        <v>3650</v>
      </c>
      <c r="E9023" t="s">
        <v>298</v>
      </c>
      <c r="F9023">
        <v>25.16</v>
      </c>
      <c r="G9023">
        <v>231010</v>
      </c>
      <c r="H9023">
        <v>4590</v>
      </c>
      <c r="I9023" t="s">
        <v>203</v>
      </c>
      <c r="J9023">
        <v>31.2</v>
      </c>
      <c r="K9023">
        <v>6.04</v>
      </c>
      <c r="L9023">
        <v>69501</v>
      </c>
      <c r="M9023" t="s">
        <v>185</v>
      </c>
      <c r="N9023" t="str">
        <f>"1312866     "</f>
        <v xml:space="preserve">1312866     </v>
      </c>
      <c r="O9023">
        <v>231023</v>
      </c>
    </row>
    <row r="9024" spans="1:15" x14ac:dyDescent="0.25">
      <c r="A9024" t="s">
        <v>16</v>
      </c>
      <c r="B9024" t="s">
        <v>3221</v>
      </c>
      <c r="C9024">
        <v>14167</v>
      </c>
      <c r="D9024" t="s">
        <v>3650</v>
      </c>
      <c r="E9024" t="s">
        <v>298</v>
      </c>
      <c r="F9024">
        <v>26.23</v>
      </c>
      <c r="G9024">
        <v>231010</v>
      </c>
      <c r="H9024">
        <v>4590</v>
      </c>
      <c r="I9024" t="s">
        <v>203</v>
      </c>
      <c r="J9024">
        <v>32.520000000000003</v>
      </c>
      <c r="K9024">
        <v>6.29</v>
      </c>
      <c r="L9024">
        <v>69501</v>
      </c>
      <c r="M9024" t="s">
        <v>185</v>
      </c>
      <c r="N9024" t="str">
        <f>"1312868     "</f>
        <v xml:space="preserve">1312868     </v>
      </c>
      <c r="O9024">
        <v>231023</v>
      </c>
    </row>
    <row r="9025" spans="1:15" x14ac:dyDescent="0.25">
      <c r="A9025" t="s">
        <v>16</v>
      </c>
      <c r="B9025" t="s">
        <v>3221</v>
      </c>
      <c r="C9025">
        <v>14475</v>
      </c>
      <c r="D9025" t="s">
        <v>3650</v>
      </c>
      <c r="E9025" t="s">
        <v>298</v>
      </c>
      <c r="F9025">
        <v>104.03</v>
      </c>
      <c r="G9025">
        <v>231024</v>
      </c>
      <c r="H9025">
        <v>4590</v>
      </c>
      <c r="I9025" t="s">
        <v>203</v>
      </c>
      <c r="J9025">
        <v>129</v>
      </c>
      <c r="K9025">
        <v>24.97</v>
      </c>
      <c r="L9025">
        <v>59504</v>
      </c>
      <c r="M9025" t="s">
        <v>71</v>
      </c>
      <c r="N9025" t="str">
        <f>"1314025     "</f>
        <v xml:space="preserve">1314025     </v>
      </c>
      <c r="O9025">
        <v>231030</v>
      </c>
    </row>
    <row r="9026" spans="1:15" x14ac:dyDescent="0.25">
      <c r="A9026" t="s">
        <v>16</v>
      </c>
      <c r="B9026" t="s">
        <v>3221</v>
      </c>
      <c r="C9026">
        <v>14639</v>
      </c>
      <c r="D9026" t="s">
        <v>3650</v>
      </c>
      <c r="E9026" t="s">
        <v>298</v>
      </c>
      <c r="F9026">
        <v>22.65</v>
      </c>
      <c r="G9026">
        <v>231024</v>
      </c>
      <c r="H9026">
        <v>4590</v>
      </c>
      <c r="I9026" t="s">
        <v>203</v>
      </c>
      <c r="J9026">
        <v>28.08</v>
      </c>
      <c r="K9026">
        <v>5.43</v>
      </c>
      <c r="L9026">
        <v>59504</v>
      </c>
      <c r="M9026" t="s">
        <v>71</v>
      </c>
      <c r="N9026" t="str">
        <f>"1314014     "</f>
        <v xml:space="preserve">1314014     </v>
      </c>
      <c r="O9026">
        <v>231031</v>
      </c>
    </row>
    <row r="9027" spans="1:15" x14ac:dyDescent="0.25">
      <c r="A9027" t="s">
        <v>16</v>
      </c>
      <c r="B9027" t="s">
        <v>3221</v>
      </c>
      <c r="C9027">
        <v>15591</v>
      </c>
      <c r="D9027" t="s">
        <v>3650</v>
      </c>
      <c r="E9027" t="s">
        <v>298</v>
      </c>
      <c r="F9027">
        <v>7.35</v>
      </c>
      <c r="G9027">
        <v>231109</v>
      </c>
      <c r="H9027">
        <v>4590</v>
      </c>
      <c r="I9027" t="s">
        <v>203</v>
      </c>
      <c r="J9027">
        <v>9.1199999999999992</v>
      </c>
      <c r="K9027">
        <v>1.77</v>
      </c>
      <c r="L9027">
        <v>56522</v>
      </c>
      <c r="M9027" t="s">
        <v>43</v>
      </c>
      <c r="N9027" t="str">
        <f>"1315337     "</f>
        <v xml:space="preserve">1315337     </v>
      </c>
      <c r="O9027">
        <v>231114</v>
      </c>
    </row>
    <row r="9028" spans="1:15" x14ac:dyDescent="0.25">
      <c r="A9028" t="s">
        <v>16</v>
      </c>
      <c r="B9028" t="s">
        <v>3221</v>
      </c>
      <c r="C9028">
        <v>15594</v>
      </c>
      <c r="D9028" t="s">
        <v>3650</v>
      </c>
      <c r="E9028" t="s">
        <v>298</v>
      </c>
      <c r="F9028">
        <v>97.23</v>
      </c>
      <c r="G9028">
        <v>231109</v>
      </c>
      <c r="H9028">
        <v>4590</v>
      </c>
      <c r="I9028" t="s">
        <v>203</v>
      </c>
      <c r="J9028">
        <v>120.56</v>
      </c>
      <c r="K9028">
        <v>23.33</v>
      </c>
      <c r="L9028">
        <v>56522</v>
      </c>
      <c r="M9028" t="s">
        <v>43</v>
      </c>
      <c r="N9028" t="str">
        <f>"1315332     "</f>
        <v xml:space="preserve">1315332     </v>
      </c>
      <c r="O9028">
        <v>231114</v>
      </c>
    </row>
    <row r="9029" spans="1:15" x14ac:dyDescent="0.25">
      <c r="A9029" t="s">
        <v>16</v>
      </c>
      <c r="B9029" t="s">
        <v>3221</v>
      </c>
      <c r="C9029">
        <v>16234</v>
      </c>
      <c r="D9029" t="s">
        <v>3650</v>
      </c>
      <c r="E9029" t="s">
        <v>298</v>
      </c>
      <c r="F9029">
        <v>153.57</v>
      </c>
      <c r="G9029">
        <v>231121</v>
      </c>
      <c r="H9029">
        <v>4590</v>
      </c>
      <c r="I9029" t="s">
        <v>203</v>
      </c>
      <c r="J9029">
        <v>190.43</v>
      </c>
      <c r="K9029">
        <v>36.86</v>
      </c>
      <c r="L9029">
        <v>66756</v>
      </c>
      <c r="M9029" t="s">
        <v>209</v>
      </c>
      <c r="N9029" t="str">
        <f>"1316528     "</f>
        <v xml:space="preserve">1316528     </v>
      </c>
      <c r="O9029">
        <v>231127</v>
      </c>
    </row>
    <row r="9030" spans="1:15" x14ac:dyDescent="0.25">
      <c r="A9030" t="s">
        <v>16</v>
      </c>
      <c r="B9030" t="s">
        <v>3221</v>
      </c>
      <c r="C9030">
        <v>17224</v>
      </c>
      <c r="D9030" t="s">
        <v>3650</v>
      </c>
      <c r="E9030" t="s">
        <v>298</v>
      </c>
      <c r="F9030">
        <v>194.6</v>
      </c>
      <c r="G9030">
        <v>231208</v>
      </c>
      <c r="H9030">
        <v>4590</v>
      </c>
      <c r="I9030" t="s">
        <v>203</v>
      </c>
      <c r="J9030">
        <v>241.3</v>
      </c>
      <c r="K9030">
        <v>46.7</v>
      </c>
      <c r="L9030">
        <v>56564</v>
      </c>
      <c r="M9030" t="s">
        <v>327</v>
      </c>
      <c r="N9030" t="str">
        <f>"1317330     "</f>
        <v xml:space="preserve">1317330     </v>
      </c>
      <c r="O9030">
        <v>231212</v>
      </c>
    </row>
    <row r="9031" spans="1:15" x14ac:dyDescent="0.25">
      <c r="A9031" t="s">
        <v>16</v>
      </c>
      <c r="B9031" t="s">
        <v>3221</v>
      </c>
      <c r="C9031">
        <v>17716</v>
      </c>
      <c r="D9031" t="s">
        <v>3650</v>
      </c>
      <c r="E9031" t="s">
        <v>298</v>
      </c>
      <c r="F9031">
        <v>6.39</v>
      </c>
      <c r="G9031">
        <v>231208</v>
      </c>
      <c r="H9031">
        <v>4590</v>
      </c>
      <c r="I9031" t="s">
        <v>203</v>
      </c>
      <c r="J9031">
        <v>7.92</v>
      </c>
      <c r="K9031">
        <v>1.53</v>
      </c>
      <c r="L9031">
        <v>56551</v>
      </c>
      <c r="M9031" t="s">
        <v>619</v>
      </c>
      <c r="N9031" t="str">
        <f>"1317334     "</f>
        <v xml:space="preserve">1317334     </v>
      </c>
      <c r="O9031">
        <v>231221</v>
      </c>
    </row>
    <row r="9032" spans="1:15" x14ac:dyDescent="0.25">
      <c r="A9032" t="s">
        <v>16</v>
      </c>
      <c r="B9032" t="s">
        <v>3221</v>
      </c>
      <c r="C9032">
        <v>18069</v>
      </c>
      <c r="D9032" t="s">
        <v>3650</v>
      </c>
      <c r="E9032" t="s">
        <v>298</v>
      </c>
      <c r="F9032">
        <v>9.57</v>
      </c>
      <c r="G9032">
        <v>231219</v>
      </c>
      <c r="H9032">
        <v>4590</v>
      </c>
      <c r="I9032" t="s">
        <v>203</v>
      </c>
      <c r="J9032">
        <v>11.87</v>
      </c>
      <c r="K9032">
        <v>2.2999999999999998</v>
      </c>
      <c r="L9032">
        <v>56564</v>
      </c>
      <c r="M9032" t="s">
        <v>327</v>
      </c>
      <c r="N9032" t="str">
        <f>"1318436     "</f>
        <v xml:space="preserve">1318436     </v>
      </c>
      <c r="O9032">
        <v>240102</v>
      </c>
    </row>
    <row r="9033" spans="1:15" x14ac:dyDescent="0.25">
      <c r="A9033" t="s">
        <v>16</v>
      </c>
      <c r="B9033" t="s">
        <v>3221</v>
      </c>
      <c r="C9033">
        <v>18096</v>
      </c>
      <c r="D9033" t="s">
        <v>3650</v>
      </c>
      <c r="E9033" t="s">
        <v>298</v>
      </c>
      <c r="F9033">
        <v>182.54</v>
      </c>
      <c r="G9033">
        <v>231219</v>
      </c>
      <c r="H9033">
        <v>4590</v>
      </c>
      <c r="I9033" t="s">
        <v>203</v>
      </c>
      <c r="J9033">
        <v>226.35</v>
      </c>
      <c r="K9033">
        <v>43.81</v>
      </c>
      <c r="L9033">
        <v>66756</v>
      </c>
      <c r="M9033" t="s">
        <v>209</v>
      </c>
      <c r="N9033" t="str">
        <f>"1318452     "</f>
        <v xml:space="preserve">1318452     </v>
      </c>
      <c r="O9033">
        <v>240102</v>
      </c>
    </row>
    <row r="9034" spans="1:15" x14ac:dyDescent="0.25">
      <c r="A9034" t="s">
        <v>16</v>
      </c>
      <c r="B9034" t="s">
        <v>3221</v>
      </c>
      <c r="C9034">
        <v>18102</v>
      </c>
      <c r="D9034" t="s">
        <v>3650</v>
      </c>
      <c r="E9034" t="s">
        <v>298</v>
      </c>
      <c r="F9034">
        <v>83.85</v>
      </c>
      <c r="G9034">
        <v>231219</v>
      </c>
      <c r="H9034">
        <v>4590</v>
      </c>
      <c r="I9034" t="s">
        <v>203</v>
      </c>
      <c r="J9034">
        <v>103.98</v>
      </c>
      <c r="K9034">
        <v>20.13</v>
      </c>
      <c r="L9034">
        <v>66756</v>
      </c>
      <c r="M9034" t="s">
        <v>209</v>
      </c>
      <c r="N9034" t="str">
        <f>"1318451     "</f>
        <v xml:space="preserve">1318451     </v>
      </c>
      <c r="O9034">
        <v>240102</v>
      </c>
    </row>
    <row r="9035" spans="1:15" x14ac:dyDescent="0.25">
      <c r="A9035" t="s">
        <v>16</v>
      </c>
      <c r="B9035" t="s">
        <v>3221</v>
      </c>
      <c r="C9035">
        <v>18109</v>
      </c>
      <c r="D9035" t="s">
        <v>3650</v>
      </c>
      <c r="E9035" t="s">
        <v>298</v>
      </c>
      <c r="F9035">
        <v>18.39</v>
      </c>
      <c r="G9035">
        <v>231219</v>
      </c>
      <c r="H9035">
        <v>4590</v>
      </c>
      <c r="I9035" t="s">
        <v>203</v>
      </c>
      <c r="J9035">
        <v>22.8</v>
      </c>
      <c r="K9035">
        <v>4.41</v>
      </c>
      <c r="L9035">
        <v>56562</v>
      </c>
      <c r="M9035" t="s">
        <v>126</v>
      </c>
      <c r="N9035" t="str">
        <f>"1318447     "</f>
        <v xml:space="preserve">1318447     </v>
      </c>
      <c r="O9035">
        <v>240102</v>
      </c>
    </row>
    <row r="9036" spans="1:15" x14ac:dyDescent="0.25">
      <c r="A9036" t="s">
        <v>16</v>
      </c>
      <c r="B9036" t="s">
        <v>3221</v>
      </c>
      <c r="C9036">
        <v>18112</v>
      </c>
      <c r="D9036" t="s">
        <v>3650</v>
      </c>
      <c r="E9036" t="s">
        <v>298</v>
      </c>
      <c r="F9036">
        <v>134.03</v>
      </c>
      <c r="G9036">
        <v>231219</v>
      </c>
      <c r="H9036">
        <v>4590</v>
      </c>
      <c r="I9036" t="s">
        <v>203</v>
      </c>
      <c r="J9036">
        <v>166.2</v>
      </c>
      <c r="K9036">
        <v>32.17</v>
      </c>
      <c r="L9036">
        <v>66756</v>
      </c>
      <c r="M9036" t="s">
        <v>209</v>
      </c>
      <c r="N9036" t="str">
        <f>"1318450     "</f>
        <v xml:space="preserve">1318450     </v>
      </c>
      <c r="O9036">
        <v>240102</v>
      </c>
    </row>
    <row r="9037" spans="1:15" x14ac:dyDescent="0.25">
      <c r="A9037" t="s">
        <v>16</v>
      </c>
      <c r="B9037" t="s">
        <v>3221</v>
      </c>
      <c r="C9037">
        <v>12079</v>
      </c>
      <c r="D9037" t="s">
        <v>3650</v>
      </c>
      <c r="E9037" t="s">
        <v>298</v>
      </c>
      <c r="F9037">
        <v>16.05</v>
      </c>
      <c r="G9037">
        <v>230912</v>
      </c>
      <c r="H9037">
        <v>4550</v>
      </c>
      <c r="I9037" t="s">
        <v>312</v>
      </c>
      <c r="J9037">
        <v>19.899999999999999</v>
      </c>
      <c r="K9037">
        <v>3.85</v>
      </c>
      <c r="L9037">
        <v>69501</v>
      </c>
      <c r="M9037" t="s">
        <v>185</v>
      </c>
      <c r="N9037" t="str">
        <f>"1310326     "</f>
        <v xml:space="preserve">1310326     </v>
      </c>
      <c r="O9037">
        <v>230913</v>
      </c>
    </row>
    <row r="9038" spans="1:15" x14ac:dyDescent="0.25">
      <c r="A9038" t="s">
        <v>16</v>
      </c>
      <c r="B9038" t="s">
        <v>3221</v>
      </c>
      <c r="C9038">
        <v>817</v>
      </c>
      <c r="D9038" t="s">
        <v>3650</v>
      </c>
      <c r="E9038" t="s">
        <v>298</v>
      </c>
      <c r="F9038">
        <v>40.450000000000003</v>
      </c>
      <c r="G9038">
        <v>230124</v>
      </c>
      <c r="H9038">
        <v>4500</v>
      </c>
      <c r="I9038" t="s">
        <v>212</v>
      </c>
      <c r="J9038">
        <v>50.16</v>
      </c>
      <c r="K9038">
        <v>9.7100000000000009</v>
      </c>
      <c r="L9038">
        <v>56522</v>
      </c>
      <c r="M9038" t="s">
        <v>43</v>
      </c>
      <c r="N9038" t="str">
        <f>"1291738     "</f>
        <v xml:space="preserve">1291738     </v>
      </c>
      <c r="O9038">
        <v>230130</v>
      </c>
    </row>
    <row r="9039" spans="1:15" x14ac:dyDescent="0.25">
      <c r="A9039" t="s">
        <v>16</v>
      </c>
      <c r="B9039" t="s">
        <v>3221</v>
      </c>
      <c r="C9039">
        <v>4296</v>
      </c>
      <c r="D9039" t="s">
        <v>3650</v>
      </c>
      <c r="E9039" t="s">
        <v>298</v>
      </c>
      <c r="F9039">
        <v>43.55</v>
      </c>
      <c r="G9039">
        <v>230329</v>
      </c>
      <c r="H9039">
        <v>4500</v>
      </c>
      <c r="I9039" t="s">
        <v>212</v>
      </c>
      <c r="J9039">
        <v>54</v>
      </c>
      <c r="K9039">
        <v>10.45</v>
      </c>
      <c r="L9039">
        <v>56573</v>
      </c>
      <c r="M9039" t="s">
        <v>521</v>
      </c>
      <c r="N9039" t="str">
        <f>"1296354     "</f>
        <v xml:space="preserve">1296354     </v>
      </c>
      <c r="O9039">
        <v>230404</v>
      </c>
    </row>
    <row r="9040" spans="1:15" x14ac:dyDescent="0.25">
      <c r="A9040" t="s">
        <v>16</v>
      </c>
      <c r="B9040" t="s">
        <v>3221</v>
      </c>
      <c r="C9040">
        <v>4298</v>
      </c>
      <c r="D9040" t="s">
        <v>3650</v>
      </c>
      <c r="E9040" t="s">
        <v>298</v>
      </c>
      <c r="F9040">
        <v>16.77</v>
      </c>
      <c r="G9040">
        <v>230329</v>
      </c>
      <c r="H9040">
        <v>4500</v>
      </c>
      <c r="I9040" t="s">
        <v>212</v>
      </c>
      <c r="J9040">
        <v>20.8</v>
      </c>
      <c r="K9040">
        <v>4.03</v>
      </c>
      <c r="L9040">
        <v>56565</v>
      </c>
      <c r="M9040" t="s">
        <v>758</v>
      </c>
      <c r="N9040" t="str">
        <f>"1296353     "</f>
        <v xml:space="preserve">1296353     </v>
      </c>
      <c r="O9040">
        <v>230404</v>
      </c>
    </row>
    <row r="9041" spans="1:15" x14ac:dyDescent="0.25">
      <c r="A9041" t="s">
        <v>16</v>
      </c>
      <c r="B9041" t="s">
        <v>3221</v>
      </c>
      <c r="C9041">
        <v>6978</v>
      </c>
      <c r="D9041" t="s">
        <v>3650</v>
      </c>
      <c r="E9041" t="s">
        <v>298</v>
      </c>
      <c r="F9041">
        <v>9.68</v>
      </c>
      <c r="G9041">
        <v>230428</v>
      </c>
      <c r="H9041">
        <v>4500</v>
      </c>
      <c r="I9041" t="s">
        <v>212</v>
      </c>
      <c r="J9041">
        <v>12</v>
      </c>
      <c r="K9041">
        <v>2.3199999999999998</v>
      </c>
      <c r="L9041">
        <v>56565</v>
      </c>
      <c r="M9041" t="s">
        <v>758</v>
      </c>
      <c r="N9041" t="str">
        <f>"1298575     "</f>
        <v xml:space="preserve">1298575     </v>
      </c>
      <c r="O9041">
        <v>230524</v>
      </c>
    </row>
    <row r="9042" spans="1:15" x14ac:dyDescent="0.25">
      <c r="A9042" t="s">
        <v>16</v>
      </c>
      <c r="B9042" t="s">
        <v>3221</v>
      </c>
      <c r="C9042">
        <v>1609</v>
      </c>
      <c r="D9042" t="s">
        <v>3650</v>
      </c>
      <c r="E9042" t="s">
        <v>298</v>
      </c>
      <c r="F9042">
        <v>127.26</v>
      </c>
      <c r="G9042">
        <v>230207</v>
      </c>
      <c r="H9042">
        <v>4530</v>
      </c>
      <c r="I9042" t="s">
        <v>342</v>
      </c>
      <c r="J9042">
        <v>157.80000000000001</v>
      </c>
      <c r="K9042">
        <v>30.54</v>
      </c>
      <c r="L9042">
        <v>56558</v>
      </c>
      <c r="M9042" t="s">
        <v>217</v>
      </c>
      <c r="N9042" t="str">
        <f>"1292475     "</f>
        <v xml:space="preserve">1292475     </v>
      </c>
      <c r="O9042">
        <v>230210</v>
      </c>
    </row>
    <row r="9043" spans="1:15" x14ac:dyDescent="0.25">
      <c r="A9043" t="s">
        <v>16</v>
      </c>
      <c r="B9043" t="s">
        <v>3221</v>
      </c>
      <c r="C9043">
        <v>11208</v>
      </c>
      <c r="D9043" t="s">
        <v>3650</v>
      </c>
      <c r="E9043" t="s">
        <v>298</v>
      </c>
      <c r="F9043">
        <v>164.15</v>
      </c>
      <c r="G9043">
        <v>230829</v>
      </c>
      <c r="H9043">
        <v>4530</v>
      </c>
      <c r="I9043" t="s">
        <v>342</v>
      </c>
      <c r="J9043">
        <v>203.55</v>
      </c>
      <c r="K9043">
        <v>39.4</v>
      </c>
      <c r="L9043">
        <v>56564</v>
      </c>
      <c r="M9043" t="s">
        <v>327</v>
      </c>
      <c r="N9043" t="str">
        <f>"1309097     "</f>
        <v xml:space="preserve">1309097     </v>
      </c>
      <c r="O9043">
        <v>230831</v>
      </c>
    </row>
    <row r="9044" spans="1:15" x14ac:dyDescent="0.25">
      <c r="A9044" t="s">
        <v>16</v>
      </c>
      <c r="B9044" t="s">
        <v>3221</v>
      </c>
      <c r="C9044">
        <v>11209</v>
      </c>
      <c r="D9044" t="s">
        <v>3650</v>
      </c>
      <c r="E9044" t="s">
        <v>298</v>
      </c>
      <c r="F9044">
        <v>63.75</v>
      </c>
      <c r="G9044">
        <v>230829</v>
      </c>
      <c r="H9044">
        <v>4530</v>
      </c>
      <c r="I9044" t="s">
        <v>342</v>
      </c>
      <c r="J9044">
        <v>79.05</v>
      </c>
      <c r="K9044">
        <v>15.3</v>
      </c>
      <c r="L9044">
        <v>56564</v>
      </c>
      <c r="M9044" t="s">
        <v>327</v>
      </c>
      <c r="N9044" t="str">
        <f>"1309086     "</f>
        <v xml:space="preserve">1309086     </v>
      </c>
      <c r="O9044">
        <v>230831</v>
      </c>
    </row>
    <row r="9045" spans="1:15" x14ac:dyDescent="0.25">
      <c r="A9045" t="s">
        <v>16</v>
      </c>
      <c r="B9045" t="s">
        <v>3221</v>
      </c>
      <c r="C9045">
        <v>12310</v>
      </c>
      <c r="D9045" t="s">
        <v>3650</v>
      </c>
      <c r="E9045" t="s">
        <v>298</v>
      </c>
      <c r="F9045">
        <v>41.33</v>
      </c>
      <c r="G9045">
        <v>230912</v>
      </c>
      <c r="H9045">
        <v>4530</v>
      </c>
      <c r="I9045" t="s">
        <v>342</v>
      </c>
      <c r="J9045">
        <v>51.25</v>
      </c>
      <c r="K9045">
        <v>9.92</v>
      </c>
      <c r="L9045">
        <v>56522</v>
      </c>
      <c r="M9045" t="s">
        <v>43</v>
      </c>
      <c r="N9045" t="str">
        <f>"1310315     "</f>
        <v xml:space="preserve">1310315     </v>
      </c>
      <c r="O9045">
        <v>230918</v>
      </c>
    </row>
    <row r="9046" spans="1:15" x14ac:dyDescent="0.25">
      <c r="A9046" t="s">
        <v>16</v>
      </c>
      <c r="B9046" t="s">
        <v>3221</v>
      </c>
      <c r="C9046">
        <v>13846</v>
      </c>
      <c r="D9046" t="s">
        <v>3650</v>
      </c>
      <c r="E9046" t="s">
        <v>298</v>
      </c>
      <c r="F9046">
        <v>169.9</v>
      </c>
      <c r="G9046">
        <v>231010</v>
      </c>
      <c r="H9046">
        <v>4530</v>
      </c>
      <c r="I9046" t="s">
        <v>342</v>
      </c>
      <c r="J9046">
        <v>210.68</v>
      </c>
      <c r="K9046">
        <v>40.78</v>
      </c>
      <c r="L9046">
        <v>56562</v>
      </c>
      <c r="M9046" t="s">
        <v>126</v>
      </c>
      <c r="N9046" t="str">
        <f>"1312829     "</f>
        <v xml:space="preserve">1312829     </v>
      </c>
      <c r="O9046">
        <v>231013</v>
      </c>
    </row>
    <row r="9047" spans="1:15" x14ac:dyDescent="0.25">
      <c r="A9047" t="s">
        <v>16</v>
      </c>
      <c r="B9047" t="s">
        <v>3221</v>
      </c>
      <c r="C9047">
        <v>14162</v>
      </c>
      <c r="D9047" t="s">
        <v>3650</v>
      </c>
      <c r="E9047" t="s">
        <v>298</v>
      </c>
      <c r="F9047">
        <v>86.19</v>
      </c>
      <c r="G9047">
        <v>231010</v>
      </c>
      <c r="H9047">
        <v>4530</v>
      </c>
      <c r="I9047" t="s">
        <v>342</v>
      </c>
      <c r="J9047">
        <v>106.88</v>
      </c>
      <c r="K9047">
        <v>20.69</v>
      </c>
      <c r="L9047">
        <v>69501</v>
      </c>
      <c r="M9047" t="s">
        <v>185</v>
      </c>
      <c r="N9047" t="str">
        <f>"1312869     "</f>
        <v xml:space="preserve">1312869     </v>
      </c>
      <c r="O9047">
        <v>231023</v>
      </c>
    </row>
    <row r="9048" spans="1:15" x14ac:dyDescent="0.25">
      <c r="A9048" t="s">
        <v>16</v>
      </c>
      <c r="B9048" t="s">
        <v>3221</v>
      </c>
      <c r="C9048">
        <v>17627</v>
      </c>
      <c r="D9048" t="s">
        <v>3083</v>
      </c>
      <c r="E9048" t="s">
        <v>3084</v>
      </c>
      <c r="F9048">
        <v>11</v>
      </c>
      <c r="G9048">
        <v>231204</v>
      </c>
      <c r="H9048">
        <v>4412</v>
      </c>
      <c r="I9048" t="s">
        <v>149</v>
      </c>
      <c r="J9048">
        <v>11</v>
      </c>
      <c r="K9048">
        <v>0</v>
      </c>
      <c r="L9048">
        <v>44423</v>
      </c>
      <c r="M9048" t="s">
        <v>502</v>
      </c>
      <c r="N9048" t="str">
        <f>"492153      "</f>
        <v xml:space="preserve">492153      </v>
      </c>
      <c r="O9048">
        <v>231215</v>
      </c>
    </row>
    <row r="9049" spans="1:15" x14ac:dyDescent="0.25">
      <c r="A9049" t="s">
        <v>16</v>
      </c>
      <c r="B9049" t="s">
        <v>3221</v>
      </c>
      <c r="C9049">
        <v>17627</v>
      </c>
      <c r="D9049" t="s">
        <v>3083</v>
      </c>
      <c r="E9049" t="s">
        <v>3084</v>
      </c>
      <c r="F9049">
        <v>199.09</v>
      </c>
      <c r="G9049">
        <v>231204</v>
      </c>
      <c r="H9049">
        <v>4412</v>
      </c>
      <c r="I9049" t="s">
        <v>149</v>
      </c>
      <c r="J9049">
        <v>219</v>
      </c>
      <c r="K9049">
        <v>19.91</v>
      </c>
      <c r="L9049">
        <v>44423</v>
      </c>
      <c r="M9049" t="s">
        <v>502</v>
      </c>
      <c r="N9049" t="str">
        <f>"492153      "</f>
        <v xml:space="preserve">492153      </v>
      </c>
      <c r="O9049">
        <v>231215</v>
      </c>
    </row>
    <row r="9050" spans="1:15" x14ac:dyDescent="0.25">
      <c r="A9050" t="s">
        <v>16</v>
      </c>
      <c r="B9050" t="s">
        <v>3221</v>
      </c>
      <c r="C9050">
        <v>17712</v>
      </c>
      <c r="D9050" t="s">
        <v>3083</v>
      </c>
      <c r="E9050" t="s">
        <v>3084</v>
      </c>
      <c r="F9050">
        <v>11</v>
      </c>
      <c r="G9050">
        <v>231204</v>
      </c>
      <c r="H9050">
        <v>4412</v>
      </c>
      <c r="I9050" t="s">
        <v>149</v>
      </c>
      <c r="J9050">
        <v>11</v>
      </c>
      <c r="K9050">
        <v>0</v>
      </c>
      <c r="L9050">
        <v>44422</v>
      </c>
      <c r="M9050" t="s">
        <v>482</v>
      </c>
      <c r="N9050" t="str">
        <f>"492152      "</f>
        <v xml:space="preserve">492152      </v>
      </c>
      <c r="O9050">
        <v>231221</v>
      </c>
    </row>
    <row r="9051" spans="1:15" x14ac:dyDescent="0.25">
      <c r="A9051" t="s">
        <v>16</v>
      </c>
      <c r="B9051" t="s">
        <v>3221</v>
      </c>
      <c r="C9051">
        <v>17712</v>
      </c>
      <c r="D9051" t="s">
        <v>3083</v>
      </c>
      <c r="E9051" t="s">
        <v>3084</v>
      </c>
      <c r="F9051">
        <v>199.09</v>
      </c>
      <c r="G9051">
        <v>231204</v>
      </c>
      <c r="H9051">
        <v>4412</v>
      </c>
      <c r="I9051" t="s">
        <v>149</v>
      </c>
      <c r="J9051">
        <v>219</v>
      </c>
      <c r="K9051">
        <v>19.91</v>
      </c>
      <c r="L9051">
        <v>44422</v>
      </c>
      <c r="M9051" t="s">
        <v>482</v>
      </c>
      <c r="N9051" t="str">
        <f>"492152      "</f>
        <v xml:space="preserve">492152      </v>
      </c>
      <c r="O9051">
        <v>231221</v>
      </c>
    </row>
    <row r="9052" spans="1:15" x14ac:dyDescent="0.25">
      <c r="A9052" t="s">
        <v>16</v>
      </c>
      <c r="B9052" t="s">
        <v>3221</v>
      </c>
      <c r="C9052">
        <v>647</v>
      </c>
      <c r="D9052" t="s">
        <v>665</v>
      </c>
      <c r="E9052" t="s">
        <v>666</v>
      </c>
      <c r="F9052">
        <v>80.91</v>
      </c>
      <c r="G9052">
        <v>230118</v>
      </c>
      <c r="H9052">
        <v>4510</v>
      </c>
      <c r="I9052" t="s">
        <v>42</v>
      </c>
      <c r="J9052">
        <v>89</v>
      </c>
      <c r="K9052">
        <v>8.09</v>
      </c>
      <c r="L9052">
        <v>11501</v>
      </c>
      <c r="M9052" t="s">
        <v>339</v>
      </c>
      <c r="N9052" t="str">
        <f>"35475       "</f>
        <v xml:space="preserve">35475       </v>
      </c>
      <c r="O9052">
        <v>230126</v>
      </c>
    </row>
    <row r="9053" spans="1:15" x14ac:dyDescent="0.25">
      <c r="A9053" t="s">
        <v>16</v>
      </c>
      <c r="B9053" t="s">
        <v>3221</v>
      </c>
      <c r="C9053">
        <v>647</v>
      </c>
      <c r="D9053" t="s">
        <v>665</v>
      </c>
      <c r="E9053" t="s">
        <v>666</v>
      </c>
      <c r="F9053">
        <v>80.91</v>
      </c>
      <c r="G9053">
        <v>230118</v>
      </c>
      <c r="H9053">
        <v>4510</v>
      </c>
      <c r="I9053" t="s">
        <v>42</v>
      </c>
      <c r="J9053">
        <v>89</v>
      </c>
      <c r="K9053">
        <v>8.09</v>
      </c>
      <c r="L9053">
        <v>17972</v>
      </c>
      <c r="M9053" t="s">
        <v>248</v>
      </c>
      <c r="N9053" t="str">
        <f>"35475       "</f>
        <v xml:space="preserve">35475       </v>
      </c>
      <c r="O9053">
        <v>230126</v>
      </c>
    </row>
    <row r="9054" spans="1:15" x14ac:dyDescent="0.25">
      <c r="A9054" t="s">
        <v>16</v>
      </c>
      <c r="B9054" t="s">
        <v>3221</v>
      </c>
      <c r="C9054">
        <v>7627</v>
      </c>
      <c r="D9054" t="s">
        <v>2106</v>
      </c>
      <c r="E9054" t="s">
        <v>2107</v>
      </c>
      <c r="F9054">
        <v>294.19</v>
      </c>
      <c r="G9054">
        <v>230529</v>
      </c>
      <c r="H9054">
        <v>4600</v>
      </c>
      <c r="I9054" t="s">
        <v>105</v>
      </c>
      <c r="J9054">
        <v>364.8</v>
      </c>
      <c r="K9054">
        <v>70.61</v>
      </c>
      <c r="L9054">
        <v>56568</v>
      </c>
      <c r="M9054" t="s">
        <v>268</v>
      </c>
      <c r="N9054" t="str">
        <f>"1416281     "</f>
        <v xml:space="preserve">1416281     </v>
      </c>
      <c r="O9054">
        <v>230601</v>
      </c>
    </row>
    <row r="9055" spans="1:15" x14ac:dyDescent="0.25">
      <c r="A9055" t="s">
        <v>16</v>
      </c>
      <c r="B9055" t="s">
        <v>3221</v>
      </c>
      <c r="C9055">
        <v>12760</v>
      </c>
      <c r="D9055" t="s">
        <v>2601</v>
      </c>
      <c r="E9055" t="s">
        <v>2602</v>
      </c>
      <c r="F9055">
        <v>150</v>
      </c>
      <c r="G9055">
        <v>230916</v>
      </c>
      <c r="H9055">
        <v>4350</v>
      </c>
      <c r="I9055" t="s">
        <v>546</v>
      </c>
      <c r="J9055">
        <v>186</v>
      </c>
      <c r="K9055">
        <v>36</v>
      </c>
      <c r="L9055">
        <v>11908</v>
      </c>
      <c r="M9055" t="s">
        <v>598</v>
      </c>
      <c r="N9055" t="str">
        <f>"1/190923    "</f>
        <v xml:space="preserve">1/190923    </v>
      </c>
      <c r="O9055">
        <v>230926</v>
      </c>
    </row>
    <row r="9056" spans="1:15" x14ac:dyDescent="0.25">
      <c r="A9056" t="s">
        <v>16</v>
      </c>
      <c r="B9056" t="s">
        <v>3221</v>
      </c>
      <c r="C9056">
        <v>2073</v>
      </c>
      <c r="D9056" t="s">
        <v>1286</v>
      </c>
      <c r="E9056" t="s">
        <v>1287</v>
      </c>
      <c r="F9056">
        <v>264.36</v>
      </c>
      <c r="G9056">
        <v>230215</v>
      </c>
      <c r="H9056">
        <v>4380</v>
      </c>
      <c r="I9056" t="s">
        <v>113</v>
      </c>
      <c r="J9056">
        <v>327.81</v>
      </c>
      <c r="K9056">
        <v>63.45</v>
      </c>
      <c r="L9056">
        <v>49501</v>
      </c>
      <c r="M9056" t="s">
        <v>177</v>
      </c>
      <c r="N9056" t="str">
        <f>"6757        "</f>
        <v xml:space="preserve">6757        </v>
      </c>
      <c r="O9056">
        <v>230220</v>
      </c>
    </row>
    <row r="9057" spans="1:15" x14ac:dyDescent="0.25">
      <c r="A9057" t="s">
        <v>16</v>
      </c>
      <c r="B9057" t="s">
        <v>3221</v>
      </c>
      <c r="C9057">
        <v>5826</v>
      </c>
      <c r="D9057" t="s">
        <v>1286</v>
      </c>
      <c r="E9057" t="s">
        <v>1287</v>
      </c>
      <c r="F9057">
        <v>559.46</v>
      </c>
      <c r="G9057">
        <v>230418</v>
      </c>
      <c r="H9057">
        <v>4380</v>
      </c>
      <c r="I9057" t="s">
        <v>113</v>
      </c>
      <c r="J9057">
        <v>693.73</v>
      </c>
      <c r="K9057">
        <v>134.27000000000001</v>
      </c>
      <c r="L9057">
        <v>49501</v>
      </c>
      <c r="M9057" t="s">
        <v>177</v>
      </c>
      <c r="N9057" t="str">
        <f>"6904        "</f>
        <v xml:space="preserve">6904        </v>
      </c>
      <c r="O9057">
        <v>230503</v>
      </c>
    </row>
    <row r="9058" spans="1:15" x14ac:dyDescent="0.25">
      <c r="A9058" t="s">
        <v>16</v>
      </c>
      <c r="B9058" t="s">
        <v>3221</v>
      </c>
      <c r="C9058">
        <v>10796</v>
      </c>
      <c r="D9058" t="s">
        <v>1286</v>
      </c>
      <c r="E9058" t="s">
        <v>1287</v>
      </c>
      <c r="F9058">
        <v>177.34</v>
      </c>
      <c r="G9058">
        <v>230731</v>
      </c>
      <c r="H9058">
        <v>4380</v>
      </c>
      <c r="I9058" t="s">
        <v>113</v>
      </c>
      <c r="J9058">
        <v>219.9</v>
      </c>
      <c r="K9058">
        <v>42.56</v>
      </c>
      <c r="L9058">
        <v>49501</v>
      </c>
      <c r="M9058" t="s">
        <v>177</v>
      </c>
      <c r="N9058" t="str">
        <f>"7100        "</f>
        <v xml:space="preserve">7100        </v>
      </c>
      <c r="O9058">
        <v>230823</v>
      </c>
    </row>
    <row r="9059" spans="1:15" x14ac:dyDescent="0.25">
      <c r="A9059" t="s">
        <v>16</v>
      </c>
      <c r="B9059" t="s">
        <v>3221</v>
      </c>
      <c r="C9059">
        <v>11001</v>
      </c>
      <c r="D9059" t="s">
        <v>1286</v>
      </c>
      <c r="E9059" t="s">
        <v>1287</v>
      </c>
      <c r="F9059">
        <v>275.12</v>
      </c>
      <c r="G9059">
        <v>230815</v>
      </c>
      <c r="H9059">
        <v>4380</v>
      </c>
      <c r="I9059" t="s">
        <v>113</v>
      </c>
      <c r="J9059">
        <v>341.15</v>
      </c>
      <c r="K9059">
        <v>66.03</v>
      </c>
      <c r="L9059">
        <v>49501</v>
      </c>
      <c r="M9059" t="s">
        <v>177</v>
      </c>
      <c r="N9059" t="str">
        <f>"7111        "</f>
        <v xml:space="preserve">7111        </v>
      </c>
      <c r="O9059">
        <v>230828</v>
      </c>
    </row>
    <row r="9060" spans="1:15" x14ac:dyDescent="0.25">
      <c r="A9060" t="s">
        <v>16</v>
      </c>
      <c r="B9060" t="s">
        <v>3221</v>
      </c>
      <c r="C9060">
        <v>13853</v>
      </c>
      <c r="D9060" t="s">
        <v>1286</v>
      </c>
      <c r="E9060" t="s">
        <v>1287</v>
      </c>
      <c r="F9060">
        <v>179.16</v>
      </c>
      <c r="G9060">
        <v>230930</v>
      </c>
      <c r="H9060">
        <v>4380</v>
      </c>
      <c r="I9060" t="s">
        <v>113</v>
      </c>
      <c r="J9060">
        <v>222.16</v>
      </c>
      <c r="K9060">
        <v>43</v>
      </c>
      <c r="L9060">
        <v>49501</v>
      </c>
      <c r="M9060" t="s">
        <v>177</v>
      </c>
      <c r="N9060" t="str">
        <f>"7184        "</f>
        <v xml:space="preserve">7184        </v>
      </c>
      <c r="O9060">
        <v>231016</v>
      </c>
    </row>
    <row r="9061" spans="1:15" x14ac:dyDescent="0.25">
      <c r="A9061" t="s">
        <v>16</v>
      </c>
      <c r="B9061" t="s">
        <v>3221</v>
      </c>
      <c r="C9061">
        <v>15570</v>
      </c>
      <c r="D9061" t="s">
        <v>1286</v>
      </c>
      <c r="E9061" t="s">
        <v>1287</v>
      </c>
      <c r="F9061">
        <v>280.79000000000002</v>
      </c>
      <c r="G9061">
        <v>231031</v>
      </c>
      <c r="H9061">
        <v>4380</v>
      </c>
      <c r="I9061" t="s">
        <v>113</v>
      </c>
      <c r="J9061">
        <v>348.18</v>
      </c>
      <c r="K9061">
        <v>67.39</v>
      </c>
      <c r="L9061">
        <v>49501</v>
      </c>
      <c r="M9061" t="s">
        <v>177</v>
      </c>
      <c r="N9061" t="str">
        <f>"7278        "</f>
        <v xml:space="preserve">7278        </v>
      </c>
      <c r="O9061">
        <v>231114</v>
      </c>
    </row>
    <row r="9062" spans="1:15" x14ac:dyDescent="0.25">
      <c r="A9062" t="s">
        <v>16</v>
      </c>
      <c r="B9062" t="s">
        <v>3221</v>
      </c>
      <c r="C9062">
        <v>3587</v>
      </c>
      <c r="D9062" t="s">
        <v>175</v>
      </c>
      <c r="E9062" t="s">
        <v>176</v>
      </c>
      <c r="F9062">
        <v>50</v>
      </c>
      <c r="G9062">
        <v>230310</v>
      </c>
      <c r="H9062">
        <v>4341</v>
      </c>
      <c r="I9062" t="s">
        <v>32</v>
      </c>
      <c r="J9062">
        <v>62</v>
      </c>
      <c r="K9062">
        <v>12</v>
      </c>
      <c r="L9062">
        <v>49501</v>
      </c>
      <c r="M9062" t="s">
        <v>177</v>
      </c>
      <c r="N9062" t="str">
        <f>"1230300026  "</f>
        <v xml:space="preserve">1230300026  </v>
      </c>
      <c r="O9062">
        <v>230317</v>
      </c>
    </row>
    <row r="9063" spans="1:15" x14ac:dyDescent="0.25">
      <c r="A9063" t="s">
        <v>16</v>
      </c>
      <c r="B9063" t="s">
        <v>3221</v>
      </c>
      <c r="C9063">
        <v>15764</v>
      </c>
      <c r="D9063" t="s">
        <v>175</v>
      </c>
      <c r="E9063" t="s">
        <v>176</v>
      </c>
      <c r="F9063">
        <v>60</v>
      </c>
      <c r="G9063">
        <v>231108</v>
      </c>
      <c r="H9063">
        <v>4400</v>
      </c>
      <c r="I9063" t="s">
        <v>348</v>
      </c>
      <c r="J9063">
        <v>74.400000000000006</v>
      </c>
      <c r="K9063">
        <v>14.4</v>
      </c>
      <c r="L9063">
        <v>49501</v>
      </c>
      <c r="M9063" t="s">
        <v>177</v>
      </c>
      <c r="N9063" t="str">
        <f>"1231100009  "</f>
        <v xml:space="preserve">1231100009  </v>
      </c>
      <c r="O9063">
        <v>231116</v>
      </c>
    </row>
    <row r="9064" spans="1:15" x14ac:dyDescent="0.25">
      <c r="A9064" t="s">
        <v>16</v>
      </c>
      <c r="B9064" t="s">
        <v>3221</v>
      </c>
      <c r="C9064">
        <v>1070</v>
      </c>
      <c r="D9064" t="s">
        <v>175</v>
      </c>
      <c r="E9064" t="s">
        <v>176</v>
      </c>
      <c r="F9064">
        <v>60</v>
      </c>
      <c r="G9064">
        <v>230126</v>
      </c>
      <c r="H9064">
        <v>4860</v>
      </c>
      <c r="I9064" t="s">
        <v>28</v>
      </c>
      <c r="J9064">
        <v>74.400000000000006</v>
      </c>
      <c r="K9064">
        <v>14.4</v>
      </c>
      <c r="L9064">
        <v>49701</v>
      </c>
      <c r="M9064" t="s">
        <v>166</v>
      </c>
      <c r="N9064" t="str">
        <f>"1230100036  "</f>
        <v xml:space="preserve">1230100036  </v>
      </c>
      <c r="O9064">
        <v>230203</v>
      </c>
    </row>
    <row r="9065" spans="1:15" x14ac:dyDescent="0.25">
      <c r="A9065" t="s">
        <v>16</v>
      </c>
      <c r="B9065" t="s">
        <v>3221</v>
      </c>
      <c r="C9065">
        <v>4542</v>
      </c>
      <c r="D9065" t="s">
        <v>175</v>
      </c>
      <c r="E9065" t="s">
        <v>176</v>
      </c>
      <c r="F9065">
        <v>15</v>
      </c>
      <c r="G9065">
        <v>230331</v>
      </c>
      <c r="H9065">
        <v>4860</v>
      </c>
      <c r="I9065" t="s">
        <v>28</v>
      </c>
      <c r="J9065">
        <v>18.600000000000001</v>
      </c>
      <c r="K9065">
        <v>3.6</v>
      </c>
      <c r="L9065">
        <v>47522</v>
      </c>
      <c r="M9065" t="s">
        <v>410</v>
      </c>
      <c r="N9065" t="str">
        <f>"1230300152  "</f>
        <v xml:space="preserve">1230300152  </v>
      </c>
      <c r="O9065">
        <v>230406</v>
      </c>
    </row>
    <row r="9066" spans="1:15" x14ac:dyDescent="0.25">
      <c r="A9066" t="s">
        <v>16</v>
      </c>
      <c r="B9066" t="s">
        <v>3221</v>
      </c>
      <c r="C9066">
        <v>9557</v>
      </c>
      <c r="D9066" t="s">
        <v>175</v>
      </c>
      <c r="E9066" t="s">
        <v>176</v>
      </c>
      <c r="F9066">
        <v>60</v>
      </c>
      <c r="G9066">
        <v>230704</v>
      </c>
      <c r="H9066">
        <v>4860</v>
      </c>
      <c r="I9066" t="s">
        <v>28</v>
      </c>
      <c r="J9066">
        <v>74.400000000000006</v>
      </c>
      <c r="K9066">
        <v>14.4</v>
      </c>
      <c r="L9066">
        <v>49701</v>
      </c>
      <c r="M9066" t="s">
        <v>166</v>
      </c>
      <c r="N9066" t="str">
        <f>"1230700021  "</f>
        <v xml:space="preserve">1230700021  </v>
      </c>
      <c r="O9066">
        <v>230717</v>
      </c>
    </row>
    <row r="9067" spans="1:15" x14ac:dyDescent="0.25">
      <c r="A9067" t="s">
        <v>16</v>
      </c>
      <c r="B9067" t="s">
        <v>3221</v>
      </c>
      <c r="C9067">
        <v>123</v>
      </c>
      <c r="D9067" t="s">
        <v>175</v>
      </c>
      <c r="E9067" t="s">
        <v>176</v>
      </c>
      <c r="F9067">
        <v>1600</v>
      </c>
      <c r="G9067">
        <v>230104</v>
      </c>
      <c r="H9067">
        <v>4471</v>
      </c>
      <c r="I9067" t="s">
        <v>68</v>
      </c>
      <c r="J9067">
        <v>1984</v>
      </c>
      <c r="K9067">
        <v>384</v>
      </c>
      <c r="L9067">
        <v>49501</v>
      </c>
      <c r="M9067" t="s">
        <v>177</v>
      </c>
      <c r="N9067" t="str">
        <f>"9230100053  "</f>
        <v xml:space="preserve">9230100053  </v>
      </c>
      <c r="O9067">
        <v>230112</v>
      </c>
    </row>
    <row r="9068" spans="1:15" x14ac:dyDescent="0.25">
      <c r="A9068" t="s">
        <v>16</v>
      </c>
      <c r="B9068" t="s">
        <v>3221</v>
      </c>
      <c r="C9068">
        <v>123</v>
      </c>
      <c r="D9068" t="s">
        <v>175</v>
      </c>
      <c r="E9068" t="s">
        <v>176</v>
      </c>
      <c r="F9068">
        <v>200</v>
      </c>
      <c r="G9068">
        <v>230104</v>
      </c>
      <c r="H9068">
        <v>4471</v>
      </c>
      <c r="I9068" t="s">
        <v>68</v>
      </c>
      <c r="J9068">
        <v>248</v>
      </c>
      <c r="K9068">
        <v>48</v>
      </c>
      <c r="L9068">
        <v>49503</v>
      </c>
      <c r="M9068" t="s">
        <v>178</v>
      </c>
      <c r="N9068" t="str">
        <f>"9230100053  "</f>
        <v xml:space="preserve">9230100053  </v>
      </c>
      <c r="O9068">
        <v>230112</v>
      </c>
    </row>
    <row r="9069" spans="1:15" x14ac:dyDescent="0.25">
      <c r="A9069" t="s">
        <v>16</v>
      </c>
      <c r="B9069" t="s">
        <v>3221</v>
      </c>
      <c r="C9069">
        <v>129</v>
      </c>
      <c r="D9069" t="s">
        <v>175</v>
      </c>
      <c r="E9069" t="s">
        <v>176</v>
      </c>
      <c r="F9069">
        <v>722.8</v>
      </c>
      <c r="G9069">
        <v>230104</v>
      </c>
      <c r="H9069">
        <v>4471</v>
      </c>
      <c r="I9069" t="s">
        <v>68</v>
      </c>
      <c r="J9069">
        <v>896.27</v>
      </c>
      <c r="K9069">
        <v>173.47</v>
      </c>
      <c r="L9069">
        <v>13451</v>
      </c>
      <c r="M9069" t="s">
        <v>190</v>
      </c>
      <c r="N9069" t="str">
        <f>"1230100003  "</f>
        <v xml:space="preserve">1230100003  </v>
      </c>
      <c r="O9069">
        <v>230112</v>
      </c>
    </row>
    <row r="9070" spans="1:15" x14ac:dyDescent="0.25">
      <c r="A9070" t="s">
        <v>16</v>
      </c>
      <c r="B9070" t="s">
        <v>3221</v>
      </c>
      <c r="C9070">
        <v>1922</v>
      </c>
      <c r="D9070" t="s">
        <v>175</v>
      </c>
      <c r="E9070" t="s">
        <v>176</v>
      </c>
      <c r="F9070">
        <v>100</v>
      </c>
      <c r="G9070">
        <v>230131</v>
      </c>
      <c r="H9070">
        <v>4471</v>
      </c>
      <c r="I9070" t="s">
        <v>68</v>
      </c>
      <c r="J9070">
        <v>124</v>
      </c>
      <c r="K9070">
        <v>24</v>
      </c>
      <c r="L9070">
        <v>49701</v>
      </c>
      <c r="M9070" t="s">
        <v>166</v>
      </c>
      <c r="N9070" t="str">
        <f>"1230100125  "</f>
        <v xml:space="preserve">1230100125  </v>
      </c>
      <c r="O9070">
        <v>230216</v>
      </c>
    </row>
    <row r="9071" spans="1:15" x14ac:dyDescent="0.25">
      <c r="A9071" t="s">
        <v>16</v>
      </c>
      <c r="B9071" t="s">
        <v>3221</v>
      </c>
      <c r="C9071">
        <v>4367</v>
      </c>
      <c r="D9071" t="s">
        <v>175</v>
      </c>
      <c r="E9071" t="s">
        <v>176</v>
      </c>
      <c r="F9071">
        <v>84</v>
      </c>
      <c r="G9071">
        <v>230328</v>
      </c>
      <c r="H9071">
        <v>4471</v>
      </c>
      <c r="I9071" t="s">
        <v>68</v>
      </c>
      <c r="J9071">
        <v>104.16</v>
      </c>
      <c r="K9071">
        <v>20.16</v>
      </c>
      <c r="L9071">
        <v>49501</v>
      </c>
      <c r="M9071" t="s">
        <v>177</v>
      </c>
      <c r="N9071" t="str">
        <f>"1230300080  "</f>
        <v xml:space="preserve">1230300080  </v>
      </c>
      <c r="O9071">
        <v>230405</v>
      </c>
    </row>
    <row r="9072" spans="1:15" x14ac:dyDescent="0.25">
      <c r="A9072" t="s">
        <v>16</v>
      </c>
      <c r="B9072" t="s">
        <v>3221</v>
      </c>
      <c r="C9072">
        <v>4367</v>
      </c>
      <c r="D9072" t="s">
        <v>175</v>
      </c>
      <c r="E9072" t="s">
        <v>176</v>
      </c>
      <c r="F9072">
        <v>126</v>
      </c>
      <c r="G9072">
        <v>230328</v>
      </c>
      <c r="H9072">
        <v>4471</v>
      </c>
      <c r="I9072" t="s">
        <v>68</v>
      </c>
      <c r="J9072">
        <v>156.24</v>
      </c>
      <c r="K9072">
        <v>30.24</v>
      </c>
      <c r="L9072">
        <v>49503</v>
      </c>
      <c r="M9072" t="s">
        <v>178</v>
      </c>
      <c r="N9072" t="str">
        <f>"1230300080  "</f>
        <v xml:space="preserve">1230300080  </v>
      </c>
      <c r="O9072">
        <v>230405</v>
      </c>
    </row>
    <row r="9073" spans="1:15" x14ac:dyDescent="0.25">
      <c r="A9073" t="s">
        <v>16</v>
      </c>
      <c r="B9073" t="s">
        <v>3221</v>
      </c>
      <c r="C9073">
        <v>4542</v>
      </c>
      <c r="D9073" t="s">
        <v>175</v>
      </c>
      <c r="E9073" t="s">
        <v>176</v>
      </c>
      <c r="F9073">
        <v>50</v>
      </c>
      <c r="G9073">
        <v>230331</v>
      </c>
      <c r="H9073">
        <v>4471</v>
      </c>
      <c r="I9073" t="s">
        <v>68</v>
      </c>
      <c r="J9073">
        <v>62</v>
      </c>
      <c r="K9073">
        <v>12</v>
      </c>
      <c r="L9073">
        <v>47522</v>
      </c>
      <c r="M9073" t="s">
        <v>410</v>
      </c>
      <c r="N9073" t="str">
        <f>"1230300152  "</f>
        <v xml:space="preserve">1230300152  </v>
      </c>
      <c r="O9073">
        <v>230406</v>
      </c>
    </row>
    <row r="9074" spans="1:15" x14ac:dyDescent="0.25">
      <c r="A9074" t="s">
        <v>16</v>
      </c>
      <c r="B9074" t="s">
        <v>3221</v>
      </c>
      <c r="C9074">
        <v>4994</v>
      </c>
      <c r="D9074" t="s">
        <v>175</v>
      </c>
      <c r="E9074" t="s">
        <v>176</v>
      </c>
      <c r="F9074">
        <v>1600</v>
      </c>
      <c r="G9074">
        <v>230401</v>
      </c>
      <c r="H9074">
        <v>4471</v>
      </c>
      <c r="I9074" t="s">
        <v>68</v>
      </c>
      <c r="J9074">
        <v>1984</v>
      </c>
      <c r="K9074">
        <v>384</v>
      </c>
      <c r="L9074">
        <v>49501</v>
      </c>
      <c r="M9074" t="s">
        <v>177</v>
      </c>
      <c r="N9074" t="str">
        <f>"9230400051  "</f>
        <v xml:space="preserve">9230400051  </v>
      </c>
      <c r="O9074">
        <v>230417</v>
      </c>
    </row>
    <row r="9075" spans="1:15" x14ac:dyDescent="0.25">
      <c r="A9075" t="s">
        <v>16</v>
      </c>
      <c r="B9075" t="s">
        <v>3221</v>
      </c>
      <c r="C9075">
        <v>4994</v>
      </c>
      <c r="D9075" t="s">
        <v>175</v>
      </c>
      <c r="E9075" t="s">
        <v>176</v>
      </c>
      <c r="F9075">
        <v>200</v>
      </c>
      <c r="G9075">
        <v>230401</v>
      </c>
      <c r="H9075">
        <v>4471</v>
      </c>
      <c r="I9075" t="s">
        <v>68</v>
      </c>
      <c r="J9075">
        <v>248</v>
      </c>
      <c r="K9075">
        <v>48</v>
      </c>
      <c r="L9075">
        <v>49503</v>
      </c>
      <c r="M9075" t="s">
        <v>178</v>
      </c>
      <c r="N9075" t="str">
        <f>"9230400051  "</f>
        <v xml:space="preserve">9230400051  </v>
      </c>
      <c r="O9075">
        <v>230417</v>
      </c>
    </row>
    <row r="9076" spans="1:15" x14ac:dyDescent="0.25">
      <c r="A9076" t="s">
        <v>16</v>
      </c>
      <c r="B9076" t="s">
        <v>3221</v>
      </c>
      <c r="C9076">
        <v>9410</v>
      </c>
      <c r="D9076" t="s">
        <v>175</v>
      </c>
      <c r="E9076" t="s">
        <v>176</v>
      </c>
      <c r="F9076">
        <v>126</v>
      </c>
      <c r="G9076">
        <v>230629</v>
      </c>
      <c r="H9076">
        <v>4471</v>
      </c>
      <c r="I9076" t="s">
        <v>68</v>
      </c>
      <c r="J9076">
        <v>156.24</v>
      </c>
      <c r="K9076">
        <v>30.24</v>
      </c>
      <c r="L9076">
        <v>49503</v>
      </c>
      <c r="M9076" t="s">
        <v>178</v>
      </c>
      <c r="N9076" t="str">
        <f>"1230600042  "</f>
        <v xml:space="preserve">1230600042  </v>
      </c>
      <c r="O9076">
        <v>230710</v>
      </c>
    </row>
    <row r="9077" spans="1:15" x14ac:dyDescent="0.25">
      <c r="A9077" t="s">
        <v>16</v>
      </c>
      <c r="B9077" t="s">
        <v>3221</v>
      </c>
      <c r="C9077">
        <v>9531</v>
      </c>
      <c r="D9077" t="s">
        <v>175</v>
      </c>
      <c r="E9077" t="s">
        <v>176</v>
      </c>
      <c r="F9077">
        <v>1200</v>
      </c>
      <c r="G9077">
        <v>230701</v>
      </c>
      <c r="H9077">
        <v>4471</v>
      </c>
      <c r="I9077" t="s">
        <v>68</v>
      </c>
      <c r="J9077">
        <v>1488</v>
      </c>
      <c r="K9077">
        <v>288</v>
      </c>
      <c r="L9077">
        <v>49501</v>
      </c>
      <c r="M9077" t="s">
        <v>177</v>
      </c>
      <c r="N9077" t="str">
        <f>"9230700051  "</f>
        <v xml:space="preserve">9230700051  </v>
      </c>
      <c r="O9077">
        <v>230717</v>
      </c>
    </row>
    <row r="9078" spans="1:15" x14ac:dyDescent="0.25">
      <c r="A9078" t="s">
        <v>16</v>
      </c>
      <c r="B9078" t="s">
        <v>3221</v>
      </c>
      <c r="C9078">
        <v>9531</v>
      </c>
      <c r="D9078" t="s">
        <v>175</v>
      </c>
      <c r="E9078" t="s">
        <v>176</v>
      </c>
      <c r="F9078">
        <v>600</v>
      </c>
      <c r="G9078">
        <v>230701</v>
      </c>
      <c r="H9078">
        <v>4471</v>
      </c>
      <c r="I9078" t="s">
        <v>68</v>
      </c>
      <c r="J9078">
        <v>744</v>
      </c>
      <c r="K9078">
        <v>144</v>
      </c>
      <c r="L9078">
        <v>49503</v>
      </c>
      <c r="M9078" t="s">
        <v>178</v>
      </c>
      <c r="N9078" t="str">
        <f>"9230700051  "</f>
        <v xml:space="preserve">9230700051  </v>
      </c>
      <c r="O9078">
        <v>230717</v>
      </c>
    </row>
    <row r="9079" spans="1:15" x14ac:dyDescent="0.25">
      <c r="A9079" t="s">
        <v>16</v>
      </c>
      <c r="B9079" t="s">
        <v>3221</v>
      </c>
      <c r="C9079">
        <v>10414</v>
      </c>
      <c r="D9079" t="s">
        <v>175</v>
      </c>
      <c r="E9079" t="s">
        <v>176</v>
      </c>
      <c r="F9079">
        <v>722.8</v>
      </c>
      <c r="G9079">
        <v>230807</v>
      </c>
      <c r="H9079">
        <v>4471</v>
      </c>
      <c r="I9079" t="s">
        <v>68</v>
      </c>
      <c r="J9079">
        <v>896.27</v>
      </c>
      <c r="K9079">
        <v>173.47</v>
      </c>
      <c r="L9079">
        <v>13451</v>
      </c>
      <c r="M9079" t="s">
        <v>190</v>
      </c>
      <c r="N9079" t="str">
        <f>"1230800003  "</f>
        <v xml:space="preserve">1230800003  </v>
      </c>
      <c r="O9079">
        <v>230815</v>
      </c>
    </row>
    <row r="9080" spans="1:15" x14ac:dyDescent="0.25">
      <c r="A9080" t="s">
        <v>16</v>
      </c>
      <c r="B9080" t="s">
        <v>3221</v>
      </c>
      <c r="C9080">
        <v>11776</v>
      </c>
      <c r="D9080" t="s">
        <v>175</v>
      </c>
      <c r="E9080" t="s">
        <v>176</v>
      </c>
      <c r="F9080">
        <v>100</v>
      </c>
      <c r="G9080">
        <v>230831</v>
      </c>
      <c r="H9080">
        <v>4471</v>
      </c>
      <c r="I9080" t="s">
        <v>68</v>
      </c>
      <c r="J9080">
        <v>124</v>
      </c>
      <c r="K9080">
        <v>24</v>
      </c>
      <c r="L9080">
        <v>49701</v>
      </c>
      <c r="M9080" t="s">
        <v>166</v>
      </c>
      <c r="N9080" t="str">
        <f>"1230800048  "</f>
        <v xml:space="preserve">1230800048  </v>
      </c>
      <c r="O9080">
        <v>230911</v>
      </c>
    </row>
    <row r="9081" spans="1:15" x14ac:dyDescent="0.25">
      <c r="A9081" t="s">
        <v>16</v>
      </c>
      <c r="B9081" t="s">
        <v>3221</v>
      </c>
      <c r="C9081">
        <v>13290</v>
      </c>
      <c r="D9081" t="s">
        <v>175</v>
      </c>
      <c r="E9081" t="s">
        <v>176</v>
      </c>
      <c r="F9081">
        <v>1200</v>
      </c>
      <c r="G9081">
        <v>231002</v>
      </c>
      <c r="H9081">
        <v>4471</v>
      </c>
      <c r="I9081" t="s">
        <v>68</v>
      </c>
      <c r="J9081">
        <v>1488</v>
      </c>
      <c r="K9081">
        <v>288</v>
      </c>
      <c r="L9081">
        <v>49501</v>
      </c>
      <c r="M9081" t="s">
        <v>177</v>
      </c>
      <c r="N9081" t="str">
        <f>"9231000051  "</f>
        <v xml:space="preserve">9231000051  </v>
      </c>
      <c r="O9081">
        <v>231009</v>
      </c>
    </row>
    <row r="9082" spans="1:15" x14ac:dyDescent="0.25">
      <c r="A9082" t="s">
        <v>16</v>
      </c>
      <c r="B9082" t="s">
        <v>3221</v>
      </c>
      <c r="C9082">
        <v>13290</v>
      </c>
      <c r="D9082" t="s">
        <v>175</v>
      </c>
      <c r="E9082" t="s">
        <v>176</v>
      </c>
      <c r="F9082">
        <v>600</v>
      </c>
      <c r="G9082">
        <v>231002</v>
      </c>
      <c r="H9082">
        <v>4471</v>
      </c>
      <c r="I9082" t="s">
        <v>68</v>
      </c>
      <c r="J9082">
        <v>744</v>
      </c>
      <c r="K9082">
        <v>144</v>
      </c>
      <c r="L9082">
        <v>49503</v>
      </c>
      <c r="M9082" t="s">
        <v>178</v>
      </c>
      <c r="N9082" t="str">
        <f>"9231000051  "</f>
        <v xml:space="preserve">9231000051  </v>
      </c>
      <c r="O9082">
        <v>231009</v>
      </c>
    </row>
    <row r="9083" spans="1:15" x14ac:dyDescent="0.25">
      <c r="A9083" t="s">
        <v>16</v>
      </c>
      <c r="B9083" t="s">
        <v>3221</v>
      </c>
      <c r="C9083">
        <v>13651</v>
      </c>
      <c r="D9083" t="s">
        <v>175</v>
      </c>
      <c r="E9083" t="s">
        <v>176</v>
      </c>
      <c r="F9083">
        <v>42</v>
      </c>
      <c r="G9083">
        <v>230930</v>
      </c>
      <c r="H9083">
        <v>4471</v>
      </c>
      <c r="I9083" t="s">
        <v>68</v>
      </c>
      <c r="J9083">
        <v>52.08</v>
      </c>
      <c r="K9083">
        <v>10.08</v>
      </c>
      <c r="L9083">
        <v>13451</v>
      </c>
      <c r="M9083" t="s">
        <v>190</v>
      </c>
      <c r="N9083" t="str">
        <f>"1230900133  "</f>
        <v xml:space="preserve">1230900133  </v>
      </c>
      <c r="O9083">
        <v>231012</v>
      </c>
    </row>
    <row r="9084" spans="1:15" x14ac:dyDescent="0.25">
      <c r="A9084" t="s">
        <v>16</v>
      </c>
      <c r="B9084" t="s">
        <v>3221</v>
      </c>
      <c r="C9084">
        <v>13651</v>
      </c>
      <c r="D9084" t="s">
        <v>175</v>
      </c>
      <c r="E9084" t="s">
        <v>176</v>
      </c>
      <c r="F9084">
        <v>84</v>
      </c>
      <c r="G9084">
        <v>230930</v>
      </c>
      <c r="H9084">
        <v>4471</v>
      </c>
      <c r="I9084" t="s">
        <v>68</v>
      </c>
      <c r="J9084">
        <v>104.16</v>
      </c>
      <c r="K9084">
        <v>20.16</v>
      </c>
      <c r="L9084">
        <v>49501</v>
      </c>
      <c r="M9084" t="s">
        <v>177</v>
      </c>
      <c r="N9084" t="str">
        <f>"1230900133  "</f>
        <v xml:space="preserve">1230900133  </v>
      </c>
      <c r="O9084">
        <v>231012</v>
      </c>
    </row>
    <row r="9085" spans="1:15" x14ac:dyDescent="0.25">
      <c r="A9085" t="s">
        <v>16</v>
      </c>
      <c r="B9085" t="s">
        <v>3221</v>
      </c>
      <c r="C9085">
        <v>18472</v>
      </c>
      <c r="D9085" t="s">
        <v>175</v>
      </c>
      <c r="E9085" t="s">
        <v>176</v>
      </c>
      <c r="F9085">
        <v>126</v>
      </c>
      <c r="G9085">
        <v>231228</v>
      </c>
      <c r="H9085">
        <v>4471</v>
      </c>
      <c r="I9085" t="s">
        <v>68</v>
      </c>
      <c r="J9085">
        <v>156.24</v>
      </c>
      <c r="K9085">
        <v>30.24</v>
      </c>
      <c r="L9085">
        <v>49501</v>
      </c>
      <c r="M9085" t="s">
        <v>177</v>
      </c>
      <c r="N9085" t="str">
        <f>"1231200094  "</f>
        <v xml:space="preserve">1231200094  </v>
      </c>
      <c r="O9085">
        <v>240103</v>
      </c>
    </row>
    <row r="9086" spans="1:15" x14ac:dyDescent="0.25">
      <c r="A9086" t="s">
        <v>16</v>
      </c>
      <c r="B9086" t="s">
        <v>3221</v>
      </c>
      <c r="C9086">
        <v>18472</v>
      </c>
      <c r="D9086" t="s">
        <v>175</v>
      </c>
      <c r="E9086" t="s">
        <v>176</v>
      </c>
      <c r="F9086">
        <v>84</v>
      </c>
      <c r="G9086">
        <v>231228</v>
      </c>
      <c r="H9086">
        <v>4471</v>
      </c>
      <c r="I9086" t="s">
        <v>68</v>
      </c>
      <c r="J9086">
        <v>104.16</v>
      </c>
      <c r="K9086">
        <v>20.16</v>
      </c>
      <c r="L9086">
        <v>49503</v>
      </c>
      <c r="M9086" t="s">
        <v>178</v>
      </c>
      <c r="N9086" t="str">
        <f>"1231200094  "</f>
        <v xml:space="preserve">1231200094  </v>
      </c>
      <c r="O9086">
        <v>240103</v>
      </c>
    </row>
    <row r="9087" spans="1:15" x14ac:dyDescent="0.25">
      <c r="A9087" t="s">
        <v>16</v>
      </c>
      <c r="B9087" t="s">
        <v>3221</v>
      </c>
      <c r="C9087">
        <v>19060</v>
      </c>
      <c r="D9087" t="s">
        <v>175</v>
      </c>
      <c r="E9087" t="s">
        <v>176</v>
      </c>
      <c r="F9087">
        <v>100</v>
      </c>
      <c r="G9087">
        <v>240105</v>
      </c>
      <c r="H9087">
        <v>4471</v>
      </c>
      <c r="I9087" t="s">
        <v>68</v>
      </c>
      <c r="J9087">
        <v>124</v>
      </c>
      <c r="K9087">
        <v>24</v>
      </c>
      <c r="L9087">
        <v>49501</v>
      </c>
      <c r="M9087" t="s">
        <v>177</v>
      </c>
      <c r="N9087" t="str">
        <f>"1240100009  "</f>
        <v xml:space="preserve">1240100009  </v>
      </c>
      <c r="O9087">
        <v>240110</v>
      </c>
    </row>
    <row r="9088" spans="1:15" x14ac:dyDescent="0.25">
      <c r="A9088" t="s">
        <v>16</v>
      </c>
      <c r="B9088" t="s">
        <v>3221</v>
      </c>
      <c r="C9088">
        <v>181</v>
      </c>
      <c r="D9088" t="s">
        <v>285</v>
      </c>
      <c r="E9088" t="s">
        <v>286</v>
      </c>
      <c r="F9088">
        <v>320.64999999999998</v>
      </c>
      <c r="G9088">
        <v>230110</v>
      </c>
      <c r="H9088">
        <v>4580</v>
      </c>
      <c r="I9088" t="s">
        <v>35</v>
      </c>
      <c r="J9088">
        <v>397.61</v>
      </c>
      <c r="K9088">
        <v>76.959999999999994</v>
      </c>
      <c r="L9088">
        <v>56558</v>
      </c>
      <c r="M9088" t="s">
        <v>217</v>
      </c>
      <c r="N9088" t="str">
        <f>"1842651     "</f>
        <v xml:space="preserve">1842651     </v>
      </c>
      <c r="O9088">
        <v>230116</v>
      </c>
    </row>
    <row r="9089" spans="1:15" x14ac:dyDescent="0.25">
      <c r="A9089" t="s">
        <v>16</v>
      </c>
      <c r="B9089" t="s">
        <v>3221</v>
      </c>
      <c r="C9089">
        <v>11014</v>
      </c>
      <c r="D9089" t="s">
        <v>285</v>
      </c>
      <c r="E9089" t="s">
        <v>286</v>
      </c>
      <c r="F9089">
        <v>537.4</v>
      </c>
      <c r="G9089">
        <v>230823</v>
      </c>
      <c r="H9089">
        <v>4580</v>
      </c>
      <c r="I9089" t="s">
        <v>35</v>
      </c>
      <c r="J9089">
        <v>666.37</v>
      </c>
      <c r="K9089">
        <v>128.97</v>
      </c>
      <c r="L9089">
        <v>56558</v>
      </c>
      <c r="M9089" t="s">
        <v>217</v>
      </c>
      <c r="N9089" t="str">
        <f>"1847507     "</f>
        <v xml:space="preserve">1847507     </v>
      </c>
      <c r="O9089">
        <v>230828</v>
      </c>
    </row>
    <row r="9090" spans="1:15" x14ac:dyDescent="0.25">
      <c r="A9090" t="s">
        <v>16</v>
      </c>
      <c r="B9090" t="s">
        <v>3221</v>
      </c>
      <c r="C9090">
        <v>9094</v>
      </c>
      <c r="D9090" t="s">
        <v>2248</v>
      </c>
      <c r="E9090" t="s">
        <v>2249</v>
      </c>
      <c r="F9090">
        <v>120.97</v>
      </c>
      <c r="G9090">
        <v>230609</v>
      </c>
      <c r="H9090">
        <v>4580</v>
      </c>
      <c r="I9090" t="s">
        <v>35</v>
      </c>
      <c r="J9090">
        <v>150</v>
      </c>
      <c r="K9090">
        <v>29.03</v>
      </c>
      <c r="L9090">
        <v>49803</v>
      </c>
      <c r="M9090" t="s">
        <v>1229</v>
      </c>
      <c r="N9090" t="str">
        <f>"4683        "</f>
        <v xml:space="preserve">4683        </v>
      </c>
      <c r="O9090">
        <v>230627</v>
      </c>
    </row>
    <row r="9091" spans="1:15" x14ac:dyDescent="0.25">
      <c r="A9091" t="s">
        <v>16</v>
      </c>
      <c r="B9091" t="s">
        <v>3221</v>
      </c>
      <c r="C9091">
        <v>9526</v>
      </c>
      <c r="D9091" t="s">
        <v>2248</v>
      </c>
      <c r="E9091" t="s">
        <v>2249</v>
      </c>
      <c r="F9091">
        <v>96.77</v>
      </c>
      <c r="G9091">
        <v>230629</v>
      </c>
      <c r="H9091">
        <v>4580</v>
      </c>
      <c r="I9091" t="s">
        <v>35</v>
      </c>
      <c r="J9091">
        <v>120</v>
      </c>
      <c r="K9091">
        <v>23.23</v>
      </c>
      <c r="L9091">
        <v>49803</v>
      </c>
      <c r="M9091" t="s">
        <v>1229</v>
      </c>
      <c r="N9091" t="str">
        <f>"4725        "</f>
        <v xml:space="preserve">4725        </v>
      </c>
      <c r="O9091">
        <v>230717</v>
      </c>
    </row>
    <row r="9092" spans="1:15" x14ac:dyDescent="0.25">
      <c r="A9092" t="s">
        <v>16</v>
      </c>
      <c r="B9092" t="s">
        <v>3221</v>
      </c>
      <c r="C9092">
        <v>10798</v>
      </c>
      <c r="D9092" t="s">
        <v>2248</v>
      </c>
      <c r="E9092" t="s">
        <v>2249</v>
      </c>
      <c r="F9092">
        <v>127.42</v>
      </c>
      <c r="G9092">
        <v>230808</v>
      </c>
      <c r="H9092">
        <v>4580</v>
      </c>
      <c r="I9092" t="s">
        <v>35</v>
      </c>
      <c r="J9092">
        <v>158</v>
      </c>
      <c r="K9092">
        <v>30.58</v>
      </c>
      <c r="L9092">
        <v>49501</v>
      </c>
      <c r="M9092" t="s">
        <v>177</v>
      </c>
      <c r="N9092" t="str">
        <f>"4862        "</f>
        <v xml:space="preserve">4862        </v>
      </c>
      <c r="O9092">
        <v>230823</v>
      </c>
    </row>
    <row r="9093" spans="1:15" x14ac:dyDescent="0.25">
      <c r="A9093" t="s">
        <v>16</v>
      </c>
      <c r="B9093" t="s">
        <v>3221</v>
      </c>
      <c r="C9093">
        <v>13180</v>
      </c>
      <c r="D9093" t="s">
        <v>2248</v>
      </c>
      <c r="E9093" t="s">
        <v>2249</v>
      </c>
      <c r="F9093">
        <v>31.45</v>
      </c>
      <c r="G9093">
        <v>230925</v>
      </c>
      <c r="H9093">
        <v>4580</v>
      </c>
      <c r="I9093" t="s">
        <v>35</v>
      </c>
      <c r="J9093">
        <v>39</v>
      </c>
      <c r="K9093">
        <v>7.55</v>
      </c>
      <c r="L9093">
        <v>49501</v>
      </c>
      <c r="M9093" t="s">
        <v>177</v>
      </c>
      <c r="N9093" t="str">
        <f>"5027        "</f>
        <v xml:space="preserve">5027        </v>
      </c>
      <c r="O9093">
        <v>231005</v>
      </c>
    </row>
    <row r="9094" spans="1:15" x14ac:dyDescent="0.25">
      <c r="A9094" t="s">
        <v>16</v>
      </c>
      <c r="B9094" t="s">
        <v>3221</v>
      </c>
      <c r="C9094">
        <v>14201</v>
      </c>
      <c r="D9094" t="s">
        <v>2248</v>
      </c>
      <c r="E9094" t="s">
        <v>2249</v>
      </c>
      <c r="F9094">
        <v>418.55</v>
      </c>
      <c r="G9094">
        <v>231003</v>
      </c>
      <c r="H9094">
        <v>4580</v>
      </c>
      <c r="I9094" t="s">
        <v>35</v>
      </c>
      <c r="J9094">
        <v>519</v>
      </c>
      <c r="K9094">
        <v>100.45</v>
      </c>
      <c r="L9094">
        <v>46554</v>
      </c>
      <c r="M9094" t="s">
        <v>117</v>
      </c>
      <c r="N9094" t="str">
        <f>"5051        "</f>
        <v xml:space="preserve">5051        </v>
      </c>
      <c r="O9094">
        <v>231024</v>
      </c>
    </row>
    <row r="9095" spans="1:15" x14ac:dyDescent="0.25">
      <c r="A9095" t="s">
        <v>16</v>
      </c>
      <c r="B9095" t="s">
        <v>3221</v>
      </c>
      <c r="C9095">
        <v>14905</v>
      </c>
      <c r="D9095" t="s">
        <v>2248</v>
      </c>
      <c r="E9095" t="s">
        <v>2249</v>
      </c>
      <c r="F9095">
        <v>72.42</v>
      </c>
      <c r="G9095">
        <v>231023</v>
      </c>
      <c r="H9095">
        <v>4580</v>
      </c>
      <c r="I9095" t="s">
        <v>35</v>
      </c>
      <c r="J9095">
        <v>89.8</v>
      </c>
      <c r="K9095">
        <v>17.38</v>
      </c>
      <c r="L9095">
        <v>49501</v>
      </c>
      <c r="M9095" t="s">
        <v>177</v>
      </c>
      <c r="N9095" t="str">
        <f>"5099        "</f>
        <v xml:space="preserve">5099        </v>
      </c>
      <c r="O9095">
        <v>231107</v>
      </c>
    </row>
    <row r="9096" spans="1:15" x14ac:dyDescent="0.25">
      <c r="A9096" t="s">
        <v>16</v>
      </c>
      <c r="B9096" t="s">
        <v>3221</v>
      </c>
      <c r="C9096">
        <v>14906</v>
      </c>
      <c r="D9096" t="s">
        <v>2248</v>
      </c>
      <c r="E9096" t="s">
        <v>2249</v>
      </c>
      <c r="F9096">
        <v>233.71</v>
      </c>
      <c r="G9096">
        <v>231024</v>
      </c>
      <c r="H9096">
        <v>4580</v>
      </c>
      <c r="I9096" t="s">
        <v>35</v>
      </c>
      <c r="J9096">
        <v>289.8</v>
      </c>
      <c r="K9096">
        <v>56.09</v>
      </c>
      <c r="L9096">
        <v>49501</v>
      </c>
      <c r="M9096" t="s">
        <v>177</v>
      </c>
      <c r="N9096" t="str">
        <f>"5101        "</f>
        <v xml:space="preserve">5101        </v>
      </c>
      <c r="O9096">
        <v>231107</v>
      </c>
    </row>
    <row r="9097" spans="1:15" x14ac:dyDescent="0.25">
      <c r="A9097" t="s">
        <v>16</v>
      </c>
      <c r="B9097" t="s">
        <v>3221</v>
      </c>
      <c r="C9097">
        <v>17153</v>
      </c>
      <c r="D9097" t="s">
        <v>2248</v>
      </c>
      <c r="E9097" t="s">
        <v>2249</v>
      </c>
      <c r="F9097">
        <v>241.13</v>
      </c>
      <c r="G9097">
        <v>231123</v>
      </c>
      <c r="H9097">
        <v>4580</v>
      </c>
      <c r="I9097" t="s">
        <v>35</v>
      </c>
      <c r="J9097">
        <v>299</v>
      </c>
      <c r="K9097">
        <v>57.87</v>
      </c>
      <c r="L9097">
        <v>44424</v>
      </c>
      <c r="M9097" t="s">
        <v>776</v>
      </c>
      <c r="N9097" t="str">
        <f>"5211        "</f>
        <v xml:space="preserve">5211        </v>
      </c>
      <c r="O9097">
        <v>231212</v>
      </c>
    </row>
    <row r="9098" spans="1:15" x14ac:dyDescent="0.25">
      <c r="A9098" t="s">
        <v>16</v>
      </c>
      <c r="B9098" t="s">
        <v>3221</v>
      </c>
      <c r="C9098">
        <v>18031</v>
      </c>
      <c r="D9098" t="s">
        <v>2248</v>
      </c>
      <c r="E9098" t="s">
        <v>2249</v>
      </c>
      <c r="F9098">
        <v>63.71</v>
      </c>
      <c r="G9098">
        <v>231209</v>
      </c>
      <c r="H9098">
        <v>4580</v>
      </c>
      <c r="I9098" t="s">
        <v>35</v>
      </c>
      <c r="J9098">
        <v>79</v>
      </c>
      <c r="K9098">
        <v>15.29</v>
      </c>
      <c r="L9098">
        <v>49501</v>
      </c>
      <c r="M9098" t="s">
        <v>177</v>
      </c>
      <c r="N9098" t="str">
        <f>"5278        "</f>
        <v xml:space="preserve">5278        </v>
      </c>
      <c r="O9098">
        <v>231229</v>
      </c>
    </row>
    <row r="9099" spans="1:15" x14ac:dyDescent="0.25">
      <c r="A9099" t="s">
        <v>16</v>
      </c>
      <c r="B9099" t="s">
        <v>3221</v>
      </c>
      <c r="C9099">
        <v>18345</v>
      </c>
      <c r="D9099" t="s">
        <v>2248</v>
      </c>
      <c r="E9099" t="s">
        <v>2249</v>
      </c>
      <c r="F9099">
        <v>79.84</v>
      </c>
      <c r="G9099">
        <v>231216</v>
      </c>
      <c r="H9099">
        <v>4580</v>
      </c>
      <c r="I9099" t="s">
        <v>35</v>
      </c>
      <c r="J9099">
        <v>99</v>
      </c>
      <c r="K9099">
        <v>19.16</v>
      </c>
      <c r="L9099">
        <v>44424</v>
      </c>
      <c r="M9099" t="s">
        <v>776</v>
      </c>
      <c r="N9099" t="str">
        <f>"5310        "</f>
        <v xml:space="preserve">5310        </v>
      </c>
      <c r="O9099">
        <v>240103</v>
      </c>
    </row>
    <row r="9100" spans="1:15" x14ac:dyDescent="0.25">
      <c r="A9100" t="s">
        <v>16</v>
      </c>
      <c r="B9100" t="s">
        <v>3221</v>
      </c>
      <c r="C9100">
        <v>17782</v>
      </c>
      <c r="D9100" t="s">
        <v>2248</v>
      </c>
      <c r="E9100" t="s">
        <v>2249</v>
      </c>
      <c r="F9100">
        <v>4233.87</v>
      </c>
      <c r="G9100">
        <v>231213</v>
      </c>
      <c r="H9100">
        <v>1196</v>
      </c>
      <c r="I9100" t="s">
        <v>392</v>
      </c>
      <c r="J9100">
        <v>5250</v>
      </c>
      <c r="K9100">
        <v>1016.13</v>
      </c>
      <c r="L9100">
        <v>96501</v>
      </c>
      <c r="M9100" t="s">
        <v>2361</v>
      </c>
      <c r="N9100" t="str">
        <f>"5297        "</f>
        <v xml:space="preserve">5297        </v>
      </c>
      <c r="O9100">
        <v>231227</v>
      </c>
    </row>
    <row r="9101" spans="1:15" x14ac:dyDescent="0.25">
      <c r="A9101" t="s">
        <v>16</v>
      </c>
      <c r="B9101" t="s">
        <v>3221</v>
      </c>
      <c r="C9101">
        <v>19177</v>
      </c>
      <c r="D9101" t="s">
        <v>2248</v>
      </c>
      <c r="E9101" t="s">
        <v>2249</v>
      </c>
      <c r="F9101">
        <v>80.650000000000006</v>
      </c>
      <c r="G9101">
        <v>240108</v>
      </c>
      <c r="H9101">
        <v>1196</v>
      </c>
      <c r="I9101" t="s">
        <v>392</v>
      </c>
      <c r="J9101">
        <v>100</v>
      </c>
      <c r="K9101">
        <v>19.350000000000001</v>
      </c>
      <c r="L9101">
        <v>96501</v>
      </c>
      <c r="M9101" t="s">
        <v>2361</v>
      </c>
      <c r="N9101" t="str">
        <f>"5321/2      "</f>
        <v xml:space="preserve">5321/2      </v>
      </c>
      <c r="O9101">
        <v>240129</v>
      </c>
    </row>
    <row r="9102" spans="1:15" x14ac:dyDescent="0.25">
      <c r="A9102" t="s">
        <v>16</v>
      </c>
      <c r="B9102" t="s">
        <v>3221</v>
      </c>
      <c r="C9102">
        <v>14019</v>
      </c>
      <c r="D9102" t="s">
        <v>2248</v>
      </c>
      <c r="E9102" t="s">
        <v>2249</v>
      </c>
      <c r="F9102">
        <v>36.21</v>
      </c>
      <c r="G9102">
        <v>231009</v>
      </c>
      <c r="H9102">
        <v>4600</v>
      </c>
      <c r="I9102" t="s">
        <v>105</v>
      </c>
      <c r="J9102">
        <v>44.9</v>
      </c>
      <c r="K9102">
        <v>8.69</v>
      </c>
      <c r="L9102">
        <v>49501</v>
      </c>
      <c r="M9102" t="s">
        <v>177</v>
      </c>
      <c r="N9102" t="str">
        <f>"5066        "</f>
        <v xml:space="preserve">5066        </v>
      </c>
      <c r="O9102">
        <v>231017</v>
      </c>
    </row>
    <row r="9103" spans="1:15" x14ac:dyDescent="0.25">
      <c r="A9103" t="s">
        <v>16</v>
      </c>
      <c r="B9103" t="s">
        <v>3221</v>
      </c>
      <c r="C9103">
        <v>10057</v>
      </c>
      <c r="D9103" t="s">
        <v>3509</v>
      </c>
      <c r="E9103" t="s">
        <v>3510</v>
      </c>
      <c r="F9103">
        <v>300</v>
      </c>
      <c r="G9103">
        <v>230724</v>
      </c>
      <c r="H9103">
        <v>4350</v>
      </c>
      <c r="I9103" t="s">
        <v>546</v>
      </c>
      <c r="J9103">
        <v>300</v>
      </c>
      <c r="K9103">
        <v>0</v>
      </c>
      <c r="L9103">
        <v>49702</v>
      </c>
      <c r="M9103" t="s">
        <v>584</v>
      </c>
      <c r="N9103" t="str">
        <f>"240723      "</f>
        <v xml:space="preserve">240723      </v>
      </c>
      <c r="O9103">
        <v>230808</v>
      </c>
    </row>
    <row r="9104" spans="1:15" x14ac:dyDescent="0.25">
      <c r="A9104" t="s">
        <v>16</v>
      </c>
      <c r="B9104" t="s">
        <v>3221</v>
      </c>
      <c r="C9104">
        <v>14378</v>
      </c>
      <c r="D9104" t="s">
        <v>3509</v>
      </c>
      <c r="E9104" t="s">
        <v>3510</v>
      </c>
      <c r="F9104">
        <v>1000</v>
      </c>
      <c r="G9104">
        <v>231024</v>
      </c>
      <c r="H9104">
        <v>4350</v>
      </c>
      <c r="I9104" t="s">
        <v>546</v>
      </c>
      <c r="J9104">
        <v>1000</v>
      </c>
      <c r="K9104">
        <v>0</v>
      </c>
      <c r="L9104">
        <v>49702</v>
      </c>
      <c r="M9104" t="s">
        <v>584</v>
      </c>
      <c r="N9104" t="str">
        <f>"241023      "</f>
        <v xml:space="preserve">241023      </v>
      </c>
      <c r="O9104">
        <v>231030</v>
      </c>
    </row>
    <row r="9105" spans="1:15" x14ac:dyDescent="0.25">
      <c r="A9105" t="s">
        <v>16</v>
      </c>
      <c r="B9105" t="s">
        <v>3221</v>
      </c>
      <c r="C9105">
        <v>9801</v>
      </c>
      <c r="D9105" t="s">
        <v>3651</v>
      </c>
      <c r="E9105" t="s">
        <v>2321</v>
      </c>
      <c r="F9105">
        <v>1804.03</v>
      </c>
      <c r="G9105">
        <v>230724</v>
      </c>
      <c r="H9105">
        <v>4390</v>
      </c>
      <c r="I9105" t="s">
        <v>98</v>
      </c>
      <c r="J9105">
        <v>2237</v>
      </c>
      <c r="K9105">
        <v>432.97</v>
      </c>
      <c r="L9105">
        <v>49501</v>
      </c>
      <c r="M9105" t="s">
        <v>177</v>
      </c>
      <c r="N9105" t="str">
        <f>"7926        "</f>
        <v xml:space="preserve">7926        </v>
      </c>
      <c r="O9105">
        <v>230725</v>
      </c>
    </row>
    <row r="9106" spans="1:15" x14ac:dyDescent="0.25">
      <c r="A9106" t="s">
        <v>16</v>
      </c>
      <c r="B9106" t="s">
        <v>3221</v>
      </c>
      <c r="C9106">
        <v>9802</v>
      </c>
      <c r="D9106" t="s">
        <v>3651</v>
      </c>
      <c r="E9106" t="s">
        <v>2321</v>
      </c>
      <c r="F9106">
        <v>1084.03</v>
      </c>
      <c r="G9106">
        <v>230724</v>
      </c>
      <c r="H9106">
        <v>4390</v>
      </c>
      <c r="I9106" t="s">
        <v>98</v>
      </c>
      <c r="J9106">
        <v>1344.2</v>
      </c>
      <c r="K9106">
        <v>260.17</v>
      </c>
      <c r="L9106">
        <v>49501</v>
      </c>
      <c r="M9106" t="s">
        <v>177</v>
      </c>
      <c r="N9106" t="str">
        <f>"7925        "</f>
        <v xml:space="preserve">7925        </v>
      </c>
      <c r="O9106">
        <v>230725</v>
      </c>
    </row>
    <row r="9107" spans="1:15" x14ac:dyDescent="0.25">
      <c r="A9107" t="s">
        <v>16</v>
      </c>
      <c r="B9107" t="s">
        <v>3221</v>
      </c>
      <c r="C9107">
        <v>10615</v>
      </c>
      <c r="D9107" t="s">
        <v>3651</v>
      </c>
      <c r="E9107" t="s">
        <v>2321</v>
      </c>
      <c r="F9107">
        <v>8464.0300000000007</v>
      </c>
      <c r="G9107">
        <v>230810</v>
      </c>
      <c r="H9107">
        <v>4390</v>
      </c>
      <c r="I9107" t="s">
        <v>98</v>
      </c>
      <c r="J9107">
        <v>10495.4</v>
      </c>
      <c r="K9107">
        <v>2031.37</v>
      </c>
      <c r="L9107">
        <v>49501</v>
      </c>
      <c r="M9107" t="s">
        <v>177</v>
      </c>
      <c r="N9107" t="str">
        <f>"7980        "</f>
        <v xml:space="preserve">7980        </v>
      </c>
      <c r="O9107">
        <v>230821</v>
      </c>
    </row>
    <row r="9108" spans="1:15" x14ac:dyDescent="0.25">
      <c r="A9108" t="s">
        <v>16</v>
      </c>
      <c r="B9108" t="s">
        <v>3221</v>
      </c>
      <c r="C9108">
        <v>12328</v>
      </c>
      <c r="D9108" t="s">
        <v>2559</v>
      </c>
      <c r="E9108" t="s">
        <v>2560</v>
      </c>
      <c r="F9108">
        <v>35</v>
      </c>
      <c r="G9108">
        <v>230915</v>
      </c>
      <c r="H9108">
        <v>4410</v>
      </c>
      <c r="I9108" t="s">
        <v>517</v>
      </c>
      <c r="J9108">
        <v>35</v>
      </c>
      <c r="K9108">
        <v>0</v>
      </c>
      <c r="L9108">
        <v>13561</v>
      </c>
      <c r="M9108" t="s">
        <v>246</v>
      </c>
      <c r="N9108" t="str">
        <f>"9668        "</f>
        <v xml:space="preserve">9668        </v>
      </c>
      <c r="O9108">
        <v>230918</v>
      </c>
    </row>
    <row r="9109" spans="1:15" x14ac:dyDescent="0.25">
      <c r="A9109" t="s">
        <v>16</v>
      </c>
      <c r="B9109" t="s">
        <v>3221</v>
      </c>
      <c r="C9109">
        <v>17123</v>
      </c>
      <c r="D9109" t="s">
        <v>3040</v>
      </c>
      <c r="E9109" t="s">
        <v>3041</v>
      </c>
      <c r="F9109">
        <v>8000</v>
      </c>
      <c r="G9109">
        <v>231205</v>
      </c>
      <c r="H9109">
        <v>4347</v>
      </c>
      <c r="I9109" t="s">
        <v>193</v>
      </c>
      <c r="J9109">
        <v>9920</v>
      </c>
      <c r="K9109">
        <v>1920</v>
      </c>
      <c r="L9109">
        <v>11301</v>
      </c>
      <c r="M9109" t="s">
        <v>29</v>
      </c>
      <c r="N9109" t="str">
        <f>"1022        "</f>
        <v xml:space="preserve">1022        </v>
      </c>
      <c r="O9109">
        <v>231212</v>
      </c>
    </row>
    <row r="9110" spans="1:15" x14ac:dyDescent="0.25">
      <c r="A9110" t="s">
        <v>16</v>
      </c>
      <c r="B9110" t="s">
        <v>3221</v>
      </c>
      <c r="C9110">
        <v>17128</v>
      </c>
      <c r="D9110" t="s">
        <v>3040</v>
      </c>
      <c r="E9110" t="s">
        <v>3041</v>
      </c>
      <c r="F9110">
        <v>2000</v>
      </c>
      <c r="G9110">
        <v>231205</v>
      </c>
      <c r="H9110">
        <v>4347</v>
      </c>
      <c r="I9110" t="s">
        <v>193</v>
      </c>
      <c r="J9110">
        <v>2480</v>
      </c>
      <c r="K9110">
        <v>480</v>
      </c>
      <c r="L9110">
        <v>11301</v>
      </c>
      <c r="M9110" t="s">
        <v>29</v>
      </c>
      <c r="N9110" t="str">
        <f>"1024        "</f>
        <v xml:space="preserve">1024        </v>
      </c>
      <c r="O9110">
        <v>231212</v>
      </c>
    </row>
    <row r="9111" spans="1:15" x14ac:dyDescent="0.25">
      <c r="A9111" t="s">
        <v>16</v>
      </c>
      <c r="B9111" t="s">
        <v>3221</v>
      </c>
      <c r="C9111">
        <v>17134</v>
      </c>
      <c r="D9111" t="s">
        <v>3040</v>
      </c>
      <c r="E9111" t="s">
        <v>3041</v>
      </c>
      <c r="F9111">
        <v>7000</v>
      </c>
      <c r="G9111">
        <v>231205</v>
      </c>
      <c r="H9111">
        <v>4347</v>
      </c>
      <c r="I9111" t="s">
        <v>193</v>
      </c>
      <c r="J9111">
        <v>8680</v>
      </c>
      <c r="K9111">
        <v>1680</v>
      </c>
      <c r="L9111">
        <v>11301</v>
      </c>
      <c r="M9111" t="s">
        <v>29</v>
      </c>
      <c r="N9111" t="str">
        <f>"1023        "</f>
        <v xml:space="preserve">1023        </v>
      </c>
      <c r="O9111">
        <v>231212</v>
      </c>
    </row>
    <row r="9112" spans="1:15" x14ac:dyDescent="0.25">
      <c r="A9112" t="s">
        <v>16</v>
      </c>
      <c r="B9112" t="s">
        <v>3221</v>
      </c>
      <c r="C9112">
        <v>17351</v>
      </c>
      <c r="D9112" t="s">
        <v>3040</v>
      </c>
      <c r="E9112" t="s">
        <v>3041</v>
      </c>
      <c r="F9112">
        <v>8000</v>
      </c>
      <c r="G9112">
        <v>231211</v>
      </c>
      <c r="H9112">
        <v>4347</v>
      </c>
      <c r="I9112" t="s">
        <v>193</v>
      </c>
      <c r="J9112">
        <v>9920</v>
      </c>
      <c r="K9112">
        <v>1920</v>
      </c>
      <c r="L9112">
        <v>11301</v>
      </c>
      <c r="M9112" t="s">
        <v>29</v>
      </c>
      <c r="N9112" t="str">
        <f>"1030        "</f>
        <v xml:space="preserve">1030        </v>
      </c>
      <c r="O9112">
        <v>231213</v>
      </c>
    </row>
    <row r="9113" spans="1:15" x14ac:dyDescent="0.25">
      <c r="A9113" t="s">
        <v>16</v>
      </c>
      <c r="B9113" t="s">
        <v>3221</v>
      </c>
      <c r="C9113">
        <v>10371</v>
      </c>
      <c r="D9113" t="s">
        <v>3287</v>
      </c>
      <c r="E9113" t="s">
        <v>3288</v>
      </c>
      <c r="F9113">
        <v>2284.6</v>
      </c>
      <c r="G9113">
        <v>230807</v>
      </c>
      <c r="H9113">
        <v>1196</v>
      </c>
      <c r="I9113" t="s">
        <v>392</v>
      </c>
      <c r="J9113">
        <v>2284.6</v>
      </c>
      <c r="K9113">
        <v>0</v>
      </c>
      <c r="L9113">
        <v>97501</v>
      </c>
      <c r="M9113" t="s">
        <v>393</v>
      </c>
      <c r="N9113" t="str">
        <f>"500503      "</f>
        <v xml:space="preserve">500503      </v>
      </c>
      <c r="O9113">
        <v>230814</v>
      </c>
    </row>
    <row r="9114" spans="1:15" x14ac:dyDescent="0.25">
      <c r="A9114" t="s">
        <v>16</v>
      </c>
      <c r="B9114" t="s">
        <v>3221</v>
      </c>
      <c r="C9114">
        <v>7872</v>
      </c>
      <c r="D9114" t="s">
        <v>3287</v>
      </c>
      <c r="E9114" t="s">
        <v>3288</v>
      </c>
      <c r="F9114">
        <v>141.13</v>
      </c>
      <c r="G9114">
        <v>230531</v>
      </c>
      <c r="H9114">
        <v>4350</v>
      </c>
      <c r="I9114" t="s">
        <v>546</v>
      </c>
      <c r="J9114">
        <v>175</v>
      </c>
      <c r="K9114">
        <v>33.869999999999997</v>
      </c>
      <c r="L9114">
        <v>66754</v>
      </c>
      <c r="M9114" t="s">
        <v>239</v>
      </c>
      <c r="N9114" t="str">
        <f>"500249      "</f>
        <v xml:space="preserve">500249      </v>
      </c>
      <c r="O9114">
        <v>230605</v>
      </c>
    </row>
    <row r="9115" spans="1:15" x14ac:dyDescent="0.25">
      <c r="A9115" t="s">
        <v>16</v>
      </c>
      <c r="B9115" t="s">
        <v>3221</v>
      </c>
      <c r="C9115">
        <v>1161</v>
      </c>
      <c r="D9115" t="s">
        <v>929</v>
      </c>
      <c r="E9115" t="s">
        <v>930</v>
      </c>
      <c r="F9115">
        <v>145.16</v>
      </c>
      <c r="G9115">
        <v>230205</v>
      </c>
      <c r="H9115">
        <v>4557</v>
      </c>
      <c r="I9115" t="s">
        <v>238</v>
      </c>
      <c r="J9115">
        <v>180</v>
      </c>
      <c r="K9115">
        <v>34.840000000000003</v>
      </c>
      <c r="L9115">
        <v>66754</v>
      </c>
      <c r="M9115" t="s">
        <v>239</v>
      </c>
      <c r="N9115" t="str">
        <f>"48          "</f>
        <v xml:space="preserve">48          </v>
      </c>
      <c r="O9115">
        <v>230206</v>
      </c>
    </row>
    <row r="9116" spans="1:15" x14ac:dyDescent="0.25">
      <c r="A9116" t="s">
        <v>16</v>
      </c>
      <c r="B9116" t="s">
        <v>3221</v>
      </c>
      <c r="C9116">
        <v>1321</v>
      </c>
      <c r="D9116" t="s">
        <v>999</v>
      </c>
      <c r="E9116" t="s">
        <v>1000</v>
      </c>
      <c r="F9116">
        <v>1267.72</v>
      </c>
      <c r="G9116">
        <v>230131</v>
      </c>
      <c r="H9116">
        <v>4571</v>
      </c>
      <c r="I9116" t="s">
        <v>181</v>
      </c>
      <c r="J9116">
        <v>1571.97</v>
      </c>
      <c r="K9116">
        <v>304.25</v>
      </c>
      <c r="L9116">
        <v>69501</v>
      </c>
      <c r="M9116" t="s">
        <v>185</v>
      </c>
      <c r="N9116" t="str">
        <f>"16939       "</f>
        <v xml:space="preserve">16939       </v>
      </c>
      <c r="O9116">
        <v>230207</v>
      </c>
    </row>
    <row r="9117" spans="1:15" x14ac:dyDescent="0.25">
      <c r="A9117" t="s">
        <v>16</v>
      </c>
      <c r="B9117" t="s">
        <v>3221</v>
      </c>
      <c r="C9117">
        <v>1322</v>
      </c>
      <c r="D9117" t="s">
        <v>999</v>
      </c>
      <c r="E9117" t="s">
        <v>1000</v>
      </c>
      <c r="F9117">
        <v>10707.03</v>
      </c>
      <c r="G9117">
        <v>230131</v>
      </c>
      <c r="H9117">
        <v>4571</v>
      </c>
      <c r="I9117" t="s">
        <v>181</v>
      </c>
      <c r="J9117">
        <v>13276.72</v>
      </c>
      <c r="K9117">
        <v>2569.69</v>
      </c>
      <c r="L9117">
        <v>69501</v>
      </c>
      <c r="M9117" t="s">
        <v>185</v>
      </c>
      <c r="N9117" t="str">
        <f>"16936       "</f>
        <v xml:space="preserve">16936       </v>
      </c>
      <c r="O9117">
        <v>230207</v>
      </c>
    </row>
    <row r="9118" spans="1:15" x14ac:dyDescent="0.25">
      <c r="A9118" t="s">
        <v>16</v>
      </c>
      <c r="B9118" t="s">
        <v>3221</v>
      </c>
      <c r="C9118">
        <v>1323</v>
      </c>
      <c r="D9118" t="s">
        <v>999</v>
      </c>
      <c r="E9118" t="s">
        <v>1000</v>
      </c>
      <c r="F9118">
        <v>1239.08</v>
      </c>
      <c r="G9118">
        <v>230131</v>
      </c>
      <c r="H9118">
        <v>4571</v>
      </c>
      <c r="I9118" t="s">
        <v>181</v>
      </c>
      <c r="J9118">
        <v>1536.46</v>
      </c>
      <c r="K9118">
        <v>297.38</v>
      </c>
      <c r="L9118">
        <v>69501</v>
      </c>
      <c r="M9118" t="s">
        <v>185</v>
      </c>
      <c r="N9118" t="str">
        <f>"16825       "</f>
        <v xml:space="preserve">16825       </v>
      </c>
      <c r="O9118">
        <v>230207</v>
      </c>
    </row>
    <row r="9119" spans="1:15" x14ac:dyDescent="0.25">
      <c r="A9119" t="s">
        <v>16</v>
      </c>
      <c r="B9119" t="s">
        <v>3221</v>
      </c>
      <c r="C9119">
        <v>1324</v>
      </c>
      <c r="D9119" t="s">
        <v>999</v>
      </c>
      <c r="E9119" t="s">
        <v>1000</v>
      </c>
      <c r="F9119">
        <v>6839.98</v>
      </c>
      <c r="G9119">
        <v>230131</v>
      </c>
      <c r="H9119">
        <v>4571</v>
      </c>
      <c r="I9119" t="s">
        <v>181</v>
      </c>
      <c r="J9119">
        <v>8481.57</v>
      </c>
      <c r="K9119">
        <v>1641.59</v>
      </c>
      <c r="L9119">
        <v>69111</v>
      </c>
      <c r="M9119" t="s">
        <v>471</v>
      </c>
      <c r="N9119" t="str">
        <f>"16935       "</f>
        <v xml:space="preserve">16935       </v>
      </c>
      <c r="O9119">
        <v>230207</v>
      </c>
    </row>
    <row r="9120" spans="1:15" x14ac:dyDescent="0.25">
      <c r="A9120" t="s">
        <v>16</v>
      </c>
      <c r="B9120" t="s">
        <v>3221</v>
      </c>
      <c r="C9120">
        <v>1324</v>
      </c>
      <c r="D9120" t="s">
        <v>999</v>
      </c>
      <c r="E9120" t="s">
        <v>1000</v>
      </c>
      <c r="F9120">
        <v>12639.29</v>
      </c>
      <c r="G9120">
        <v>230131</v>
      </c>
      <c r="H9120">
        <v>4571</v>
      </c>
      <c r="I9120" t="s">
        <v>181</v>
      </c>
      <c r="J9120">
        <v>15672.72</v>
      </c>
      <c r="K9120">
        <v>3033.43</v>
      </c>
      <c r="L9120">
        <v>69501</v>
      </c>
      <c r="M9120" t="s">
        <v>185</v>
      </c>
      <c r="N9120" t="str">
        <f>"16935       "</f>
        <v xml:space="preserve">16935       </v>
      </c>
      <c r="O9120">
        <v>230207</v>
      </c>
    </row>
    <row r="9121" spans="1:15" x14ac:dyDescent="0.25">
      <c r="A9121" t="s">
        <v>16</v>
      </c>
      <c r="B9121" t="s">
        <v>3221</v>
      </c>
      <c r="C9121">
        <v>1324</v>
      </c>
      <c r="D9121" t="s">
        <v>999</v>
      </c>
      <c r="E9121" t="s">
        <v>1000</v>
      </c>
      <c r="F9121">
        <v>78.760000000000005</v>
      </c>
      <c r="G9121">
        <v>230131</v>
      </c>
      <c r="H9121">
        <v>4571</v>
      </c>
      <c r="I9121" t="s">
        <v>181</v>
      </c>
      <c r="J9121">
        <v>78.760000000000005</v>
      </c>
      <c r="K9121">
        <v>0</v>
      </c>
      <c r="L9121">
        <v>69803</v>
      </c>
      <c r="M9121" t="s">
        <v>755</v>
      </c>
      <c r="N9121" t="str">
        <f>"16935       "</f>
        <v xml:space="preserve">16935       </v>
      </c>
      <c r="O9121">
        <v>230207</v>
      </c>
    </row>
    <row r="9122" spans="1:15" x14ac:dyDescent="0.25">
      <c r="A9122" t="s">
        <v>16</v>
      </c>
      <c r="B9122" t="s">
        <v>3221</v>
      </c>
      <c r="C9122">
        <v>1325</v>
      </c>
      <c r="D9122" t="s">
        <v>999</v>
      </c>
      <c r="E9122" t="s">
        <v>1000</v>
      </c>
      <c r="F9122">
        <v>2197.3200000000002</v>
      </c>
      <c r="G9122">
        <v>230131</v>
      </c>
      <c r="H9122">
        <v>4571</v>
      </c>
      <c r="I9122" t="s">
        <v>181</v>
      </c>
      <c r="J9122">
        <v>2724.68</v>
      </c>
      <c r="K9122">
        <v>527.36</v>
      </c>
      <c r="L9122">
        <v>69501</v>
      </c>
      <c r="M9122" t="s">
        <v>185</v>
      </c>
      <c r="N9122" t="str">
        <f>"16938       "</f>
        <v xml:space="preserve">16938       </v>
      </c>
      <c r="O9122">
        <v>230207</v>
      </c>
    </row>
    <row r="9123" spans="1:15" x14ac:dyDescent="0.25">
      <c r="A9123" t="s">
        <v>16</v>
      </c>
      <c r="B9123" t="s">
        <v>3221</v>
      </c>
      <c r="C9123">
        <v>1326</v>
      </c>
      <c r="D9123" t="s">
        <v>999</v>
      </c>
      <c r="E9123" t="s">
        <v>1000</v>
      </c>
      <c r="F9123">
        <v>892.71</v>
      </c>
      <c r="G9123">
        <v>230131</v>
      </c>
      <c r="H9123">
        <v>4571</v>
      </c>
      <c r="I9123" t="s">
        <v>181</v>
      </c>
      <c r="J9123">
        <v>1106.96</v>
      </c>
      <c r="K9123">
        <v>214.25</v>
      </c>
      <c r="L9123">
        <v>69501</v>
      </c>
      <c r="M9123" t="s">
        <v>185</v>
      </c>
      <c r="N9123" t="str">
        <f>"16949       "</f>
        <v xml:space="preserve">16949       </v>
      </c>
      <c r="O9123">
        <v>230207</v>
      </c>
    </row>
    <row r="9124" spans="1:15" x14ac:dyDescent="0.25">
      <c r="A9124" t="s">
        <v>16</v>
      </c>
      <c r="B9124" t="s">
        <v>3221</v>
      </c>
      <c r="C9124">
        <v>2983</v>
      </c>
      <c r="D9124" t="s">
        <v>999</v>
      </c>
      <c r="E9124" t="s">
        <v>1000</v>
      </c>
      <c r="F9124">
        <v>1239.2</v>
      </c>
      <c r="G9124">
        <v>230228</v>
      </c>
      <c r="H9124">
        <v>4571</v>
      </c>
      <c r="I9124" t="s">
        <v>181</v>
      </c>
      <c r="J9124">
        <v>1536.61</v>
      </c>
      <c r="K9124">
        <v>297.41000000000003</v>
      </c>
      <c r="L9124">
        <v>69501</v>
      </c>
      <c r="M9124" t="s">
        <v>185</v>
      </c>
      <c r="N9124" t="str">
        <f>"17095       "</f>
        <v xml:space="preserve">17095       </v>
      </c>
      <c r="O9124">
        <v>230308</v>
      </c>
    </row>
    <row r="9125" spans="1:15" x14ac:dyDescent="0.25">
      <c r="A9125" t="s">
        <v>16</v>
      </c>
      <c r="B9125" t="s">
        <v>3221</v>
      </c>
      <c r="C9125">
        <v>2984</v>
      </c>
      <c r="D9125" t="s">
        <v>999</v>
      </c>
      <c r="E9125" t="s">
        <v>1000</v>
      </c>
      <c r="F9125">
        <v>1291.28</v>
      </c>
      <c r="G9125">
        <v>230228</v>
      </c>
      <c r="H9125">
        <v>4571</v>
      </c>
      <c r="I9125" t="s">
        <v>181</v>
      </c>
      <c r="J9125">
        <v>1601.19</v>
      </c>
      <c r="K9125">
        <v>309.91000000000003</v>
      </c>
      <c r="L9125">
        <v>69501</v>
      </c>
      <c r="M9125" t="s">
        <v>185</v>
      </c>
      <c r="N9125" t="str">
        <f>"16985       "</f>
        <v xml:space="preserve">16985       </v>
      </c>
      <c r="O9125">
        <v>230308</v>
      </c>
    </row>
    <row r="9126" spans="1:15" x14ac:dyDescent="0.25">
      <c r="A9126" t="s">
        <v>16</v>
      </c>
      <c r="B9126" t="s">
        <v>3221</v>
      </c>
      <c r="C9126">
        <v>2985</v>
      </c>
      <c r="D9126" t="s">
        <v>999</v>
      </c>
      <c r="E9126" t="s">
        <v>1000</v>
      </c>
      <c r="F9126">
        <v>853.61</v>
      </c>
      <c r="G9126">
        <v>230228</v>
      </c>
      <c r="H9126">
        <v>4571</v>
      </c>
      <c r="I9126" t="s">
        <v>181</v>
      </c>
      <c r="J9126">
        <v>1058.48</v>
      </c>
      <c r="K9126">
        <v>204.87</v>
      </c>
      <c r="L9126">
        <v>69501</v>
      </c>
      <c r="M9126" t="s">
        <v>185</v>
      </c>
      <c r="N9126" t="str">
        <f>"17106       "</f>
        <v xml:space="preserve">17106       </v>
      </c>
      <c r="O9126">
        <v>230308</v>
      </c>
    </row>
    <row r="9127" spans="1:15" x14ac:dyDescent="0.25">
      <c r="A9127" t="s">
        <v>16</v>
      </c>
      <c r="B9127" t="s">
        <v>3221</v>
      </c>
      <c r="C9127">
        <v>2986</v>
      </c>
      <c r="D9127" t="s">
        <v>999</v>
      </c>
      <c r="E9127" t="s">
        <v>1000</v>
      </c>
      <c r="F9127">
        <v>6900.18</v>
      </c>
      <c r="G9127">
        <v>230228</v>
      </c>
      <c r="H9127">
        <v>4571</v>
      </c>
      <c r="I9127" t="s">
        <v>181</v>
      </c>
      <c r="J9127">
        <v>8556.2199999999993</v>
      </c>
      <c r="K9127">
        <v>1656.04</v>
      </c>
      <c r="L9127">
        <v>69111</v>
      </c>
      <c r="M9127" t="s">
        <v>471</v>
      </c>
      <c r="N9127" t="str">
        <f>"17091       "</f>
        <v xml:space="preserve">17091       </v>
      </c>
      <c r="O9127">
        <v>230308</v>
      </c>
    </row>
    <row r="9128" spans="1:15" x14ac:dyDescent="0.25">
      <c r="A9128" t="s">
        <v>16</v>
      </c>
      <c r="B9128" t="s">
        <v>3221</v>
      </c>
      <c r="C9128">
        <v>2986</v>
      </c>
      <c r="D9128" t="s">
        <v>999</v>
      </c>
      <c r="E9128" t="s">
        <v>1000</v>
      </c>
      <c r="F9128">
        <v>12814.62</v>
      </c>
      <c r="G9128">
        <v>230228</v>
      </c>
      <c r="H9128">
        <v>4571</v>
      </c>
      <c r="I9128" t="s">
        <v>181</v>
      </c>
      <c r="J9128">
        <v>15890.13</v>
      </c>
      <c r="K9128">
        <v>3075.51</v>
      </c>
      <c r="L9128">
        <v>69501</v>
      </c>
      <c r="M9128" t="s">
        <v>185</v>
      </c>
      <c r="N9128" t="str">
        <f>"17091       "</f>
        <v xml:space="preserve">17091       </v>
      </c>
      <c r="O9128">
        <v>230308</v>
      </c>
    </row>
    <row r="9129" spans="1:15" x14ac:dyDescent="0.25">
      <c r="A9129" t="s">
        <v>16</v>
      </c>
      <c r="B9129" t="s">
        <v>3221</v>
      </c>
      <c r="C9129">
        <v>2986</v>
      </c>
      <c r="D9129" t="s">
        <v>999</v>
      </c>
      <c r="E9129" t="s">
        <v>1000</v>
      </c>
      <c r="F9129">
        <v>99.07</v>
      </c>
      <c r="G9129">
        <v>230228</v>
      </c>
      <c r="H9129">
        <v>4571</v>
      </c>
      <c r="I9129" t="s">
        <v>181</v>
      </c>
      <c r="J9129">
        <v>122.85</v>
      </c>
      <c r="K9129">
        <v>23.78</v>
      </c>
      <c r="L9129">
        <v>69803</v>
      </c>
      <c r="M9129" t="s">
        <v>755</v>
      </c>
      <c r="N9129" t="str">
        <f>"17091       "</f>
        <v xml:space="preserve">17091       </v>
      </c>
      <c r="O9129">
        <v>230308</v>
      </c>
    </row>
    <row r="9130" spans="1:15" x14ac:dyDescent="0.25">
      <c r="A9130" t="s">
        <v>16</v>
      </c>
      <c r="B9130" t="s">
        <v>3221</v>
      </c>
      <c r="C9130">
        <v>2988</v>
      </c>
      <c r="D9130" t="s">
        <v>999</v>
      </c>
      <c r="E9130" t="s">
        <v>1000</v>
      </c>
      <c r="F9130">
        <v>2222.23</v>
      </c>
      <c r="G9130">
        <v>230228</v>
      </c>
      <c r="H9130">
        <v>4571</v>
      </c>
      <c r="I9130" t="s">
        <v>181</v>
      </c>
      <c r="J9130">
        <v>2755.57</v>
      </c>
      <c r="K9130">
        <v>533.34</v>
      </c>
      <c r="L9130">
        <v>69501</v>
      </c>
      <c r="M9130" t="s">
        <v>185</v>
      </c>
      <c r="N9130" t="str">
        <f>"17094       "</f>
        <v xml:space="preserve">17094       </v>
      </c>
      <c r="O9130">
        <v>230308</v>
      </c>
    </row>
    <row r="9131" spans="1:15" x14ac:dyDescent="0.25">
      <c r="A9131" t="s">
        <v>16</v>
      </c>
      <c r="B9131" t="s">
        <v>3221</v>
      </c>
      <c r="C9131">
        <v>2990</v>
      </c>
      <c r="D9131" t="s">
        <v>999</v>
      </c>
      <c r="E9131" t="s">
        <v>1000</v>
      </c>
      <c r="F9131">
        <v>14419.95</v>
      </c>
      <c r="G9131">
        <v>230228</v>
      </c>
      <c r="H9131">
        <v>4571</v>
      </c>
      <c r="I9131" t="s">
        <v>181</v>
      </c>
      <c r="J9131">
        <v>17880.740000000002</v>
      </c>
      <c r="K9131">
        <v>3460.79</v>
      </c>
      <c r="L9131">
        <v>69501</v>
      </c>
      <c r="M9131" t="s">
        <v>185</v>
      </c>
      <c r="N9131" t="str">
        <f>"17092       "</f>
        <v xml:space="preserve">17092       </v>
      </c>
      <c r="O9131">
        <v>230308</v>
      </c>
    </row>
    <row r="9132" spans="1:15" x14ac:dyDescent="0.25">
      <c r="A9132" t="s">
        <v>16</v>
      </c>
      <c r="B9132" t="s">
        <v>3221</v>
      </c>
      <c r="C9132">
        <v>4577</v>
      </c>
      <c r="D9132" t="s">
        <v>999</v>
      </c>
      <c r="E9132" t="s">
        <v>1000</v>
      </c>
      <c r="F9132">
        <v>20948.810000000001</v>
      </c>
      <c r="G9132">
        <v>230331</v>
      </c>
      <c r="H9132">
        <v>4571</v>
      </c>
      <c r="I9132" t="s">
        <v>181</v>
      </c>
      <c r="J9132">
        <v>25976.52</v>
      </c>
      <c r="K9132">
        <v>5027.71</v>
      </c>
      <c r="L9132">
        <v>69501</v>
      </c>
      <c r="M9132" t="s">
        <v>185</v>
      </c>
      <c r="N9132" t="str">
        <f>"17337       "</f>
        <v xml:space="preserve">17337       </v>
      </c>
      <c r="O9132">
        <v>230406</v>
      </c>
    </row>
    <row r="9133" spans="1:15" x14ac:dyDescent="0.25">
      <c r="A9133" t="s">
        <v>16</v>
      </c>
      <c r="B9133" t="s">
        <v>3221</v>
      </c>
      <c r="C9133">
        <v>4578</v>
      </c>
      <c r="D9133" t="s">
        <v>999</v>
      </c>
      <c r="E9133" t="s">
        <v>1000</v>
      </c>
      <c r="F9133">
        <v>869.76</v>
      </c>
      <c r="G9133">
        <v>230331</v>
      </c>
      <c r="H9133">
        <v>4571</v>
      </c>
      <c r="I9133" t="s">
        <v>181</v>
      </c>
      <c r="J9133">
        <v>1078.5</v>
      </c>
      <c r="K9133">
        <v>208.74</v>
      </c>
      <c r="L9133">
        <v>69501</v>
      </c>
      <c r="M9133" t="s">
        <v>185</v>
      </c>
      <c r="N9133" t="str">
        <f>"17351       "</f>
        <v xml:space="preserve">17351       </v>
      </c>
      <c r="O9133">
        <v>230406</v>
      </c>
    </row>
    <row r="9134" spans="1:15" x14ac:dyDescent="0.25">
      <c r="A9134" t="s">
        <v>16</v>
      </c>
      <c r="B9134" t="s">
        <v>3221</v>
      </c>
      <c r="C9134">
        <v>4579</v>
      </c>
      <c r="D9134" t="s">
        <v>999</v>
      </c>
      <c r="E9134" t="s">
        <v>1000</v>
      </c>
      <c r="F9134">
        <v>9127.56</v>
      </c>
      <c r="G9134">
        <v>230331</v>
      </c>
      <c r="H9134">
        <v>4571</v>
      </c>
      <c r="I9134" t="s">
        <v>181</v>
      </c>
      <c r="J9134">
        <v>11318.17</v>
      </c>
      <c r="K9134">
        <v>2190.61</v>
      </c>
      <c r="L9134">
        <v>69111</v>
      </c>
      <c r="M9134" t="s">
        <v>471</v>
      </c>
      <c r="N9134" t="str">
        <f>"17336       "</f>
        <v xml:space="preserve">17336       </v>
      </c>
      <c r="O9134">
        <v>230406</v>
      </c>
    </row>
    <row r="9135" spans="1:15" x14ac:dyDescent="0.25">
      <c r="A9135" t="s">
        <v>16</v>
      </c>
      <c r="B9135" t="s">
        <v>3221</v>
      </c>
      <c r="C9135">
        <v>4579</v>
      </c>
      <c r="D9135" t="s">
        <v>999</v>
      </c>
      <c r="E9135" t="s">
        <v>1000</v>
      </c>
      <c r="F9135">
        <v>17297.12</v>
      </c>
      <c r="G9135">
        <v>230331</v>
      </c>
      <c r="H9135">
        <v>4571</v>
      </c>
      <c r="I9135" t="s">
        <v>181</v>
      </c>
      <c r="J9135">
        <v>21448.43</v>
      </c>
      <c r="K9135">
        <v>4151.3100000000004</v>
      </c>
      <c r="L9135">
        <v>69501</v>
      </c>
      <c r="M9135" t="s">
        <v>185</v>
      </c>
      <c r="N9135" t="str">
        <f>"17336       "</f>
        <v xml:space="preserve">17336       </v>
      </c>
      <c r="O9135">
        <v>230406</v>
      </c>
    </row>
    <row r="9136" spans="1:15" x14ac:dyDescent="0.25">
      <c r="A9136" t="s">
        <v>16</v>
      </c>
      <c r="B9136" t="s">
        <v>3221</v>
      </c>
      <c r="C9136">
        <v>4579</v>
      </c>
      <c r="D9136" t="s">
        <v>999</v>
      </c>
      <c r="E9136" t="s">
        <v>1000</v>
      </c>
      <c r="F9136">
        <v>93.14</v>
      </c>
      <c r="G9136">
        <v>230331</v>
      </c>
      <c r="H9136">
        <v>4571</v>
      </c>
      <c r="I9136" t="s">
        <v>181</v>
      </c>
      <c r="J9136">
        <v>115.49</v>
      </c>
      <c r="K9136">
        <v>22.35</v>
      </c>
      <c r="L9136">
        <v>69801</v>
      </c>
      <c r="M9136" t="s">
        <v>1735</v>
      </c>
      <c r="N9136" t="str">
        <f>"17336       "</f>
        <v xml:space="preserve">17336       </v>
      </c>
      <c r="O9136">
        <v>230406</v>
      </c>
    </row>
    <row r="9137" spans="1:15" x14ac:dyDescent="0.25">
      <c r="A9137" t="s">
        <v>16</v>
      </c>
      <c r="B9137" t="s">
        <v>3221</v>
      </c>
      <c r="C9137">
        <v>4579</v>
      </c>
      <c r="D9137" t="s">
        <v>999</v>
      </c>
      <c r="E9137" t="s">
        <v>1000</v>
      </c>
      <c r="F9137">
        <v>93.14</v>
      </c>
      <c r="G9137">
        <v>230331</v>
      </c>
      <c r="H9137">
        <v>4571</v>
      </c>
      <c r="I9137" t="s">
        <v>181</v>
      </c>
      <c r="J9137">
        <v>115.49</v>
      </c>
      <c r="K9137">
        <v>22.35</v>
      </c>
      <c r="L9137">
        <v>69803</v>
      </c>
      <c r="M9137" t="s">
        <v>755</v>
      </c>
      <c r="N9137" t="str">
        <f>"17336       "</f>
        <v xml:space="preserve">17336       </v>
      </c>
      <c r="O9137">
        <v>230406</v>
      </c>
    </row>
    <row r="9138" spans="1:15" x14ac:dyDescent="0.25">
      <c r="A9138" t="s">
        <v>16</v>
      </c>
      <c r="B9138" t="s">
        <v>3221</v>
      </c>
      <c r="C9138">
        <v>4580</v>
      </c>
      <c r="D9138" t="s">
        <v>999</v>
      </c>
      <c r="E9138" t="s">
        <v>1000</v>
      </c>
      <c r="F9138">
        <v>2431</v>
      </c>
      <c r="G9138">
        <v>230331</v>
      </c>
      <c r="H9138">
        <v>4571</v>
      </c>
      <c r="I9138" t="s">
        <v>181</v>
      </c>
      <c r="J9138">
        <v>3014.44</v>
      </c>
      <c r="K9138">
        <v>583.44000000000005</v>
      </c>
      <c r="L9138">
        <v>69501</v>
      </c>
      <c r="M9138" t="s">
        <v>185</v>
      </c>
      <c r="N9138" t="str">
        <f>"17339       "</f>
        <v xml:space="preserve">17339       </v>
      </c>
      <c r="O9138">
        <v>230406</v>
      </c>
    </row>
    <row r="9139" spans="1:15" x14ac:dyDescent="0.25">
      <c r="A9139" t="s">
        <v>16</v>
      </c>
      <c r="B9139" t="s">
        <v>3221</v>
      </c>
      <c r="C9139">
        <v>4609</v>
      </c>
      <c r="D9139" t="s">
        <v>999</v>
      </c>
      <c r="E9139" t="s">
        <v>1000</v>
      </c>
      <c r="F9139">
        <v>1355.68</v>
      </c>
      <c r="G9139">
        <v>230331</v>
      </c>
      <c r="H9139">
        <v>4571</v>
      </c>
      <c r="I9139" t="s">
        <v>181</v>
      </c>
      <c r="J9139">
        <v>1681.04</v>
      </c>
      <c r="K9139">
        <v>325.36</v>
      </c>
      <c r="L9139">
        <v>69501</v>
      </c>
      <c r="M9139" t="s">
        <v>185</v>
      </c>
      <c r="N9139" t="str">
        <f>"17231       "</f>
        <v xml:space="preserve">17231       </v>
      </c>
      <c r="O9139">
        <v>230411</v>
      </c>
    </row>
    <row r="9140" spans="1:15" x14ac:dyDescent="0.25">
      <c r="A9140" t="s">
        <v>16</v>
      </c>
      <c r="B9140" t="s">
        <v>3221</v>
      </c>
      <c r="C9140">
        <v>4610</v>
      </c>
      <c r="D9140" t="s">
        <v>999</v>
      </c>
      <c r="E9140" t="s">
        <v>1000</v>
      </c>
      <c r="F9140">
        <v>1271.4000000000001</v>
      </c>
      <c r="G9140">
        <v>230331</v>
      </c>
      <c r="H9140">
        <v>4571</v>
      </c>
      <c r="I9140" t="s">
        <v>181</v>
      </c>
      <c r="J9140">
        <v>1576.54</v>
      </c>
      <c r="K9140">
        <v>305.14</v>
      </c>
      <c r="L9140">
        <v>69501</v>
      </c>
      <c r="M9140" t="s">
        <v>185</v>
      </c>
      <c r="N9140" t="str">
        <f>"17340       "</f>
        <v xml:space="preserve">17340       </v>
      </c>
      <c r="O9140">
        <v>230411</v>
      </c>
    </row>
    <row r="9141" spans="1:15" x14ac:dyDescent="0.25">
      <c r="A9141" t="s">
        <v>16</v>
      </c>
      <c r="B9141" t="s">
        <v>3221</v>
      </c>
      <c r="C9141">
        <v>6318</v>
      </c>
      <c r="D9141" t="s">
        <v>999</v>
      </c>
      <c r="E9141" t="s">
        <v>1000</v>
      </c>
      <c r="F9141">
        <v>812.69</v>
      </c>
      <c r="G9141">
        <v>230430</v>
      </c>
      <c r="H9141">
        <v>4571</v>
      </c>
      <c r="I9141" t="s">
        <v>181</v>
      </c>
      <c r="J9141">
        <v>1007.74</v>
      </c>
      <c r="K9141">
        <v>195.05</v>
      </c>
      <c r="L9141">
        <v>69501</v>
      </c>
      <c r="M9141" t="s">
        <v>185</v>
      </c>
      <c r="N9141" t="str">
        <f>"17395       "</f>
        <v xml:space="preserve">17395       </v>
      </c>
      <c r="O9141">
        <v>230510</v>
      </c>
    </row>
    <row r="9142" spans="1:15" x14ac:dyDescent="0.25">
      <c r="A9142" t="s">
        <v>16</v>
      </c>
      <c r="B9142" t="s">
        <v>3221</v>
      </c>
      <c r="C9142">
        <v>6319</v>
      </c>
      <c r="D9142" t="s">
        <v>999</v>
      </c>
      <c r="E9142" t="s">
        <v>1000</v>
      </c>
      <c r="F9142">
        <v>554.46</v>
      </c>
      <c r="G9142">
        <v>230430</v>
      </c>
      <c r="H9142">
        <v>4571</v>
      </c>
      <c r="I9142" t="s">
        <v>181</v>
      </c>
      <c r="J9142">
        <v>687.53</v>
      </c>
      <c r="K9142">
        <v>133.07</v>
      </c>
      <c r="L9142">
        <v>69501</v>
      </c>
      <c r="M9142" t="s">
        <v>185</v>
      </c>
      <c r="N9142" t="str">
        <f>"17515       "</f>
        <v xml:space="preserve">17515       </v>
      </c>
      <c r="O9142">
        <v>230510</v>
      </c>
    </row>
    <row r="9143" spans="1:15" x14ac:dyDescent="0.25">
      <c r="A9143" t="s">
        <v>16</v>
      </c>
      <c r="B9143" t="s">
        <v>3221</v>
      </c>
      <c r="C9143">
        <v>6336</v>
      </c>
      <c r="D9143" t="s">
        <v>999</v>
      </c>
      <c r="E9143" t="s">
        <v>1000</v>
      </c>
      <c r="F9143">
        <v>1463.55</v>
      </c>
      <c r="G9143">
        <v>230430</v>
      </c>
      <c r="H9143">
        <v>4571</v>
      </c>
      <c r="I9143" t="s">
        <v>181</v>
      </c>
      <c r="J9143">
        <v>1814.8</v>
      </c>
      <c r="K9143">
        <v>351.25</v>
      </c>
      <c r="L9143">
        <v>69501</v>
      </c>
      <c r="M9143" t="s">
        <v>185</v>
      </c>
      <c r="N9143" t="str">
        <f>"17503       "</f>
        <v xml:space="preserve">17503       </v>
      </c>
      <c r="O9143">
        <v>230510</v>
      </c>
    </row>
    <row r="9144" spans="1:15" x14ac:dyDescent="0.25">
      <c r="A9144" t="s">
        <v>16</v>
      </c>
      <c r="B9144" t="s">
        <v>3221</v>
      </c>
      <c r="C9144">
        <v>6342</v>
      </c>
      <c r="D9144" t="s">
        <v>999</v>
      </c>
      <c r="E9144" t="s">
        <v>1000</v>
      </c>
      <c r="F9144">
        <v>427.73</v>
      </c>
      <c r="G9144">
        <v>230430</v>
      </c>
      <c r="H9144">
        <v>4571</v>
      </c>
      <c r="I9144" t="s">
        <v>181</v>
      </c>
      <c r="J9144">
        <v>530.39</v>
      </c>
      <c r="K9144">
        <v>102.66</v>
      </c>
      <c r="L9144">
        <v>69501</v>
      </c>
      <c r="M9144" t="s">
        <v>185</v>
      </c>
      <c r="N9144" t="str">
        <f>"17504       "</f>
        <v xml:space="preserve">17504       </v>
      </c>
      <c r="O9144">
        <v>230510</v>
      </c>
    </row>
    <row r="9145" spans="1:15" x14ac:dyDescent="0.25">
      <c r="A9145" t="s">
        <v>16</v>
      </c>
      <c r="B9145" t="s">
        <v>3221</v>
      </c>
      <c r="C9145">
        <v>6387</v>
      </c>
      <c r="D9145" t="s">
        <v>999</v>
      </c>
      <c r="E9145" t="s">
        <v>1000</v>
      </c>
      <c r="F9145">
        <v>11849.5</v>
      </c>
      <c r="G9145">
        <v>230430</v>
      </c>
      <c r="H9145">
        <v>4571</v>
      </c>
      <c r="I9145" t="s">
        <v>181</v>
      </c>
      <c r="J9145">
        <v>14693.38</v>
      </c>
      <c r="K9145">
        <v>2843.88</v>
      </c>
      <c r="L9145">
        <v>69501</v>
      </c>
      <c r="M9145" t="s">
        <v>185</v>
      </c>
      <c r="N9145" t="str">
        <f>"17501       "</f>
        <v xml:space="preserve">17501       </v>
      </c>
      <c r="O9145">
        <v>230510</v>
      </c>
    </row>
    <row r="9146" spans="1:15" x14ac:dyDescent="0.25">
      <c r="A9146" t="s">
        <v>16</v>
      </c>
      <c r="B9146" t="s">
        <v>3221</v>
      </c>
      <c r="C9146">
        <v>6388</v>
      </c>
      <c r="D9146" t="s">
        <v>999</v>
      </c>
      <c r="E9146" t="s">
        <v>1000</v>
      </c>
      <c r="F9146">
        <v>4348.54</v>
      </c>
      <c r="G9146">
        <v>230430</v>
      </c>
      <c r="H9146">
        <v>4571</v>
      </c>
      <c r="I9146" t="s">
        <v>181</v>
      </c>
      <c r="J9146">
        <v>5392.19</v>
      </c>
      <c r="K9146">
        <v>1043.6500000000001</v>
      </c>
      <c r="L9146">
        <v>69111</v>
      </c>
      <c r="M9146" t="s">
        <v>471</v>
      </c>
      <c r="N9146" t="str">
        <f>"17500       "</f>
        <v xml:space="preserve">17500       </v>
      </c>
      <c r="O9146">
        <v>230510</v>
      </c>
    </row>
    <row r="9147" spans="1:15" x14ac:dyDescent="0.25">
      <c r="A9147" t="s">
        <v>16</v>
      </c>
      <c r="B9147" t="s">
        <v>3221</v>
      </c>
      <c r="C9147">
        <v>6388</v>
      </c>
      <c r="D9147" t="s">
        <v>999</v>
      </c>
      <c r="E9147" t="s">
        <v>1000</v>
      </c>
      <c r="F9147">
        <v>10249.08</v>
      </c>
      <c r="G9147">
        <v>230430</v>
      </c>
      <c r="H9147">
        <v>4571</v>
      </c>
      <c r="I9147" t="s">
        <v>181</v>
      </c>
      <c r="J9147">
        <v>12708.86</v>
      </c>
      <c r="K9147">
        <v>2459.7800000000002</v>
      </c>
      <c r="L9147">
        <v>69501</v>
      </c>
      <c r="M9147" t="s">
        <v>185</v>
      </c>
      <c r="N9147" t="str">
        <f>"17500       "</f>
        <v xml:space="preserve">17500       </v>
      </c>
      <c r="O9147">
        <v>230510</v>
      </c>
    </row>
    <row r="9148" spans="1:15" x14ac:dyDescent="0.25">
      <c r="A9148" t="s">
        <v>16</v>
      </c>
      <c r="B9148" t="s">
        <v>3221</v>
      </c>
      <c r="C9148">
        <v>6388</v>
      </c>
      <c r="D9148" t="s">
        <v>999</v>
      </c>
      <c r="E9148" t="s">
        <v>1000</v>
      </c>
      <c r="F9148">
        <v>54.47</v>
      </c>
      <c r="G9148">
        <v>230430</v>
      </c>
      <c r="H9148">
        <v>4571</v>
      </c>
      <c r="I9148" t="s">
        <v>181</v>
      </c>
      <c r="J9148">
        <v>54.47</v>
      </c>
      <c r="K9148">
        <v>0</v>
      </c>
      <c r="L9148">
        <v>69803</v>
      </c>
      <c r="M9148" t="s">
        <v>755</v>
      </c>
      <c r="N9148" t="str">
        <f>"17500       "</f>
        <v xml:space="preserve">17500       </v>
      </c>
      <c r="O9148">
        <v>230510</v>
      </c>
    </row>
    <row r="9149" spans="1:15" x14ac:dyDescent="0.25">
      <c r="A9149" t="s">
        <v>16</v>
      </c>
      <c r="B9149" t="s">
        <v>3221</v>
      </c>
      <c r="C9149">
        <v>8159</v>
      </c>
      <c r="D9149" t="s">
        <v>999</v>
      </c>
      <c r="E9149" t="s">
        <v>1000</v>
      </c>
      <c r="F9149">
        <v>269.2</v>
      </c>
      <c r="G9149">
        <v>230531</v>
      </c>
      <c r="H9149">
        <v>4571</v>
      </c>
      <c r="I9149" t="s">
        <v>181</v>
      </c>
      <c r="J9149">
        <v>333.81</v>
      </c>
      <c r="K9149">
        <v>64.61</v>
      </c>
      <c r="L9149">
        <v>69501</v>
      </c>
      <c r="M9149" t="s">
        <v>185</v>
      </c>
      <c r="N9149" t="str">
        <f>"17663       "</f>
        <v xml:space="preserve">17663       </v>
      </c>
      <c r="O9149">
        <v>230607</v>
      </c>
    </row>
    <row r="9150" spans="1:15" x14ac:dyDescent="0.25">
      <c r="A9150" t="s">
        <v>16</v>
      </c>
      <c r="B9150" t="s">
        <v>3221</v>
      </c>
      <c r="C9150">
        <v>8161</v>
      </c>
      <c r="D9150" t="s">
        <v>999</v>
      </c>
      <c r="E9150" t="s">
        <v>1000</v>
      </c>
      <c r="F9150">
        <v>6791.6</v>
      </c>
      <c r="G9150">
        <v>230531</v>
      </c>
      <c r="H9150">
        <v>4571</v>
      </c>
      <c r="I9150" t="s">
        <v>181</v>
      </c>
      <c r="J9150">
        <v>8421.58</v>
      </c>
      <c r="K9150">
        <v>1629.98</v>
      </c>
      <c r="L9150">
        <v>69501</v>
      </c>
      <c r="M9150" t="s">
        <v>185</v>
      </c>
      <c r="N9150" t="str">
        <f>"17660       "</f>
        <v xml:space="preserve">17660       </v>
      </c>
      <c r="O9150">
        <v>230607</v>
      </c>
    </row>
    <row r="9151" spans="1:15" x14ac:dyDescent="0.25">
      <c r="A9151" t="s">
        <v>16</v>
      </c>
      <c r="B9151" t="s">
        <v>3221</v>
      </c>
      <c r="C9151">
        <v>8162</v>
      </c>
      <c r="D9151" t="s">
        <v>999</v>
      </c>
      <c r="E9151" t="s">
        <v>1000</v>
      </c>
      <c r="F9151">
        <v>608.77</v>
      </c>
      <c r="G9151">
        <v>230531</v>
      </c>
      <c r="H9151">
        <v>4571</v>
      </c>
      <c r="I9151" t="s">
        <v>181</v>
      </c>
      <c r="J9151">
        <v>754.87</v>
      </c>
      <c r="K9151">
        <v>146.1</v>
      </c>
      <c r="L9151">
        <v>69501</v>
      </c>
      <c r="M9151" t="s">
        <v>185</v>
      </c>
      <c r="N9151" t="str">
        <f>"17554       "</f>
        <v xml:space="preserve">17554       </v>
      </c>
      <c r="O9151">
        <v>230607</v>
      </c>
    </row>
    <row r="9152" spans="1:15" x14ac:dyDescent="0.25">
      <c r="A9152" t="s">
        <v>16</v>
      </c>
      <c r="B9152" t="s">
        <v>3221</v>
      </c>
      <c r="C9152">
        <v>8164</v>
      </c>
      <c r="D9152" t="s">
        <v>999</v>
      </c>
      <c r="E9152" t="s">
        <v>1000</v>
      </c>
      <c r="F9152">
        <v>341.36</v>
      </c>
      <c r="G9152">
        <v>230531</v>
      </c>
      <c r="H9152">
        <v>4571</v>
      </c>
      <c r="I9152" t="s">
        <v>181</v>
      </c>
      <c r="J9152">
        <v>423.29</v>
      </c>
      <c r="K9152">
        <v>81.93</v>
      </c>
      <c r="L9152">
        <v>69501</v>
      </c>
      <c r="M9152" t="s">
        <v>185</v>
      </c>
      <c r="N9152" t="str">
        <f>"17674       "</f>
        <v xml:space="preserve">17674       </v>
      </c>
      <c r="O9152">
        <v>230607</v>
      </c>
    </row>
    <row r="9153" spans="1:15" x14ac:dyDescent="0.25">
      <c r="A9153" t="s">
        <v>16</v>
      </c>
      <c r="B9153" t="s">
        <v>3221</v>
      </c>
      <c r="C9153">
        <v>8165</v>
      </c>
      <c r="D9153" t="s">
        <v>999</v>
      </c>
      <c r="E9153" t="s">
        <v>1000</v>
      </c>
      <c r="F9153">
        <v>2214.75</v>
      </c>
      <c r="G9153">
        <v>230531</v>
      </c>
      <c r="H9153">
        <v>4571</v>
      </c>
      <c r="I9153" t="s">
        <v>181</v>
      </c>
      <c r="J9153">
        <v>2746.29</v>
      </c>
      <c r="K9153">
        <v>531.54</v>
      </c>
      <c r="L9153">
        <v>69111</v>
      </c>
      <c r="M9153" t="s">
        <v>471</v>
      </c>
      <c r="N9153" t="str">
        <f>"17659       "</f>
        <v xml:space="preserve">17659       </v>
      </c>
      <c r="O9153">
        <v>230607</v>
      </c>
    </row>
    <row r="9154" spans="1:15" x14ac:dyDescent="0.25">
      <c r="A9154" t="s">
        <v>16</v>
      </c>
      <c r="B9154" t="s">
        <v>3221</v>
      </c>
      <c r="C9154">
        <v>8165</v>
      </c>
      <c r="D9154" t="s">
        <v>999</v>
      </c>
      <c r="E9154" t="s">
        <v>1000</v>
      </c>
      <c r="F9154">
        <v>6201.3</v>
      </c>
      <c r="G9154">
        <v>230531</v>
      </c>
      <c r="H9154">
        <v>4571</v>
      </c>
      <c r="I9154" t="s">
        <v>181</v>
      </c>
      <c r="J9154">
        <v>7689.61</v>
      </c>
      <c r="K9154">
        <v>1488.31</v>
      </c>
      <c r="L9154">
        <v>69501</v>
      </c>
      <c r="M9154" t="s">
        <v>185</v>
      </c>
      <c r="N9154" t="str">
        <f>"17659       "</f>
        <v xml:space="preserve">17659       </v>
      </c>
      <c r="O9154">
        <v>230607</v>
      </c>
    </row>
    <row r="9155" spans="1:15" x14ac:dyDescent="0.25">
      <c r="A9155" t="s">
        <v>16</v>
      </c>
      <c r="B9155" t="s">
        <v>3221</v>
      </c>
      <c r="C9155">
        <v>8165</v>
      </c>
      <c r="D9155" t="s">
        <v>999</v>
      </c>
      <c r="E9155" t="s">
        <v>1000</v>
      </c>
      <c r="F9155">
        <v>221.48</v>
      </c>
      <c r="G9155">
        <v>230531</v>
      </c>
      <c r="H9155">
        <v>4571</v>
      </c>
      <c r="I9155" t="s">
        <v>181</v>
      </c>
      <c r="J9155">
        <v>274.63</v>
      </c>
      <c r="K9155">
        <v>53.15</v>
      </c>
      <c r="L9155">
        <v>69801</v>
      </c>
      <c r="M9155" t="s">
        <v>1735</v>
      </c>
      <c r="N9155" t="str">
        <f>"17659       "</f>
        <v xml:space="preserve">17659       </v>
      </c>
      <c r="O9155">
        <v>230607</v>
      </c>
    </row>
    <row r="9156" spans="1:15" x14ac:dyDescent="0.25">
      <c r="A9156" t="s">
        <v>16</v>
      </c>
      <c r="B9156" t="s">
        <v>3221</v>
      </c>
      <c r="C9156">
        <v>8165</v>
      </c>
      <c r="D9156" t="s">
        <v>999</v>
      </c>
      <c r="E9156" t="s">
        <v>1000</v>
      </c>
      <c r="F9156">
        <v>274.63</v>
      </c>
      <c r="G9156">
        <v>230531</v>
      </c>
      <c r="H9156">
        <v>4571</v>
      </c>
      <c r="I9156" t="s">
        <v>181</v>
      </c>
      <c r="J9156">
        <v>274.63</v>
      </c>
      <c r="K9156">
        <v>0</v>
      </c>
      <c r="L9156">
        <v>69803</v>
      </c>
      <c r="M9156" t="s">
        <v>755</v>
      </c>
      <c r="N9156" t="str">
        <f>"17659       "</f>
        <v xml:space="preserve">17659       </v>
      </c>
      <c r="O9156">
        <v>230607</v>
      </c>
    </row>
    <row r="9157" spans="1:15" x14ac:dyDescent="0.25">
      <c r="A9157" t="s">
        <v>16</v>
      </c>
      <c r="B9157" t="s">
        <v>3221</v>
      </c>
      <c r="C9157">
        <v>8166</v>
      </c>
      <c r="D9157" t="s">
        <v>999</v>
      </c>
      <c r="E9157" t="s">
        <v>1000</v>
      </c>
      <c r="F9157">
        <v>970.58</v>
      </c>
      <c r="G9157">
        <v>230531</v>
      </c>
      <c r="H9157">
        <v>4571</v>
      </c>
      <c r="I9157" t="s">
        <v>181</v>
      </c>
      <c r="J9157">
        <v>1203.52</v>
      </c>
      <c r="K9157">
        <v>232.94</v>
      </c>
      <c r="L9157">
        <v>69501</v>
      </c>
      <c r="M9157" t="s">
        <v>185</v>
      </c>
      <c r="N9157" t="str">
        <f>"17662       "</f>
        <v xml:space="preserve">17662       </v>
      </c>
      <c r="O9157">
        <v>230607</v>
      </c>
    </row>
    <row r="9158" spans="1:15" x14ac:dyDescent="0.25">
      <c r="A9158" t="s">
        <v>16</v>
      </c>
      <c r="B9158" t="s">
        <v>3221</v>
      </c>
      <c r="C9158">
        <v>9339</v>
      </c>
      <c r="D9158" t="s">
        <v>999</v>
      </c>
      <c r="E9158" t="s">
        <v>1000</v>
      </c>
      <c r="F9158">
        <v>2264.0700000000002</v>
      </c>
      <c r="G9158">
        <v>230630</v>
      </c>
      <c r="H9158">
        <v>4571</v>
      </c>
      <c r="I9158" t="s">
        <v>181</v>
      </c>
      <c r="J9158">
        <v>2807.45</v>
      </c>
      <c r="K9158">
        <v>543.38</v>
      </c>
      <c r="L9158">
        <v>69501</v>
      </c>
      <c r="M9158" t="s">
        <v>185</v>
      </c>
      <c r="N9158" t="str">
        <f>"17934       "</f>
        <v xml:space="preserve">17934       </v>
      </c>
      <c r="O9158">
        <v>230706</v>
      </c>
    </row>
    <row r="9159" spans="1:15" x14ac:dyDescent="0.25">
      <c r="A9159" t="s">
        <v>16</v>
      </c>
      <c r="B9159" t="s">
        <v>3221</v>
      </c>
      <c r="C9159">
        <v>9340</v>
      </c>
      <c r="D9159" t="s">
        <v>999</v>
      </c>
      <c r="E9159" t="s">
        <v>1000</v>
      </c>
      <c r="F9159">
        <v>145.82</v>
      </c>
      <c r="G9159">
        <v>230630</v>
      </c>
      <c r="H9159">
        <v>4571</v>
      </c>
      <c r="I9159" t="s">
        <v>181</v>
      </c>
      <c r="J9159">
        <v>180.82</v>
      </c>
      <c r="K9159">
        <v>35</v>
      </c>
      <c r="L9159">
        <v>69501</v>
      </c>
      <c r="M9159" t="s">
        <v>185</v>
      </c>
      <c r="N9159" t="str">
        <f>"17911       "</f>
        <v xml:space="preserve">17911       </v>
      </c>
      <c r="O9159">
        <v>230706</v>
      </c>
    </row>
    <row r="9160" spans="1:15" x14ac:dyDescent="0.25">
      <c r="A9160" t="s">
        <v>16</v>
      </c>
      <c r="B9160" t="s">
        <v>3221</v>
      </c>
      <c r="C9160">
        <v>9341</v>
      </c>
      <c r="D9160" t="s">
        <v>999</v>
      </c>
      <c r="E9160" t="s">
        <v>1000</v>
      </c>
      <c r="F9160">
        <v>574.25</v>
      </c>
      <c r="G9160">
        <v>230630</v>
      </c>
      <c r="H9160">
        <v>4571</v>
      </c>
      <c r="I9160" t="s">
        <v>181</v>
      </c>
      <c r="J9160">
        <v>712.07</v>
      </c>
      <c r="K9160">
        <v>137.82</v>
      </c>
      <c r="L9160">
        <v>69501</v>
      </c>
      <c r="M9160" t="s">
        <v>185</v>
      </c>
      <c r="N9160" t="str">
        <f>"17910       "</f>
        <v xml:space="preserve">17910       </v>
      </c>
      <c r="O9160">
        <v>230706</v>
      </c>
    </row>
    <row r="9161" spans="1:15" x14ac:dyDescent="0.25">
      <c r="A9161" t="s">
        <v>16</v>
      </c>
      <c r="B9161" t="s">
        <v>3221</v>
      </c>
      <c r="C9161">
        <v>9349</v>
      </c>
      <c r="D9161" t="s">
        <v>999</v>
      </c>
      <c r="E9161" t="s">
        <v>1000</v>
      </c>
      <c r="F9161">
        <v>204.47</v>
      </c>
      <c r="G9161">
        <v>230630</v>
      </c>
      <c r="H9161">
        <v>4571</v>
      </c>
      <c r="I9161" t="s">
        <v>181</v>
      </c>
      <c r="J9161">
        <v>253.54</v>
      </c>
      <c r="K9161">
        <v>49.07</v>
      </c>
      <c r="L9161">
        <v>69501</v>
      </c>
      <c r="M9161" t="s">
        <v>185</v>
      </c>
      <c r="N9161" t="str">
        <f>"17922       "</f>
        <v xml:space="preserve">17922       </v>
      </c>
      <c r="O9161">
        <v>230706</v>
      </c>
    </row>
    <row r="9162" spans="1:15" x14ac:dyDescent="0.25">
      <c r="A9162" t="s">
        <v>16</v>
      </c>
      <c r="B9162" t="s">
        <v>3221</v>
      </c>
      <c r="C9162">
        <v>9350</v>
      </c>
      <c r="D9162" t="s">
        <v>999</v>
      </c>
      <c r="E9162" t="s">
        <v>1000</v>
      </c>
      <c r="F9162">
        <v>484.42</v>
      </c>
      <c r="G9162">
        <v>230630</v>
      </c>
      <c r="H9162">
        <v>4571</v>
      </c>
      <c r="I9162" t="s">
        <v>181</v>
      </c>
      <c r="J9162">
        <v>600.67999999999995</v>
      </c>
      <c r="K9162">
        <v>116.26</v>
      </c>
      <c r="L9162">
        <v>69501</v>
      </c>
      <c r="M9162" t="s">
        <v>185</v>
      </c>
      <c r="N9162" t="str">
        <f>"17802       "</f>
        <v xml:space="preserve">17802       </v>
      </c>
      <c r="O9162">
        <v>230706</v>
      </c>
    </row>
    <row r="9163" spans="1:15" x14ac:dyDescent="0.25">
      <c r="A9163" t="s">
        <v>16</v>
      </c>
      <c r="B9163" t="s">
        <v>3221</v>
      </c>
      <c r="C9163">
        <v>9383</v>
      </c>
      <c r="D9163" t="s">
        <v>999</v>
      </c>
      <c r="E9163" t="s">
        <v>1000</v>
      </c>
      <c r="F9163">
        <v>1564.12</v>
      </c>
      <c r="G9163">
        <v>230630</v>
      </c>
      <c r="H9163">
        <v>4571</v>
      </c>
      <c r="I9163" t="s">
        <v>181</v>
      </c>
      <c r="J9163">
        <v>1939.51</v>
      </c>
      <c r="K9163">
        <v>375.39</v>
      </c>
      <c r="L9163">
        <v>69111</v>
      </c>
      <c r="M9163" t="s">
        <v>471</v>
      </c>
      <c r="N9163" t="str">
        <f>"17908       "</f>
        <v xml:space="preserve">17908       </v>
      </c>
      <c r="O9163">
        <v>230710</v>
      </c>
    </row>
    <row r="9164" spans="1:15" x14ac:dyDescent="0.25">
      <c r="A9164" t="s">
        <v>16</v>
      </c>
      <c r="B9164" t="s">
        <v>3221</v>
      </c>
      <c r="C9164">
        <v>9383</v>
      </c>
      <c r="D9164" t="s">
        <v>999</v>
      </c>
      <c r="E9164" t="s">
        <v>1000</v>
      </c>
      <c r="F9164">
        <v>3649.62</v>
      </c>
      <c r="G9164">
        <v>230630</v>
      </c>
      <c r="H9164">
        <v>4571</v>
      </c>
      <c r="I9164" t="s">
        <v>181</v>
      </c>
      <c r="J9164">
        <v>4525.53</v>
      </c>
      <c r="K9164">
        <v>875.91</v>
      </c>
      <c r="L9164">
        <v>69501</v>
      </c>
      <c r="M9164" t="s">
        <v>185</v>
      </c>
      <c r="N9164" t="str">
        <f>"17908       "</f>
        <v xml:space="preserve">17908       </v>
      </c>
      <c r="O9164">
        <v>230710</v>
      </c>
    </row>
    <row r="9165" spans="1:15" x14ac:dyDescent="0.25">
      <c r="A9165" t="s">
        <v>16</v>
      </c>
      <c r="B9165" t="s">
        <v>3221</v>
      </c>
      <c r="C9165">
        <v>9383</v>
      </c>
      <c r="D9165" t="s">
        <v>999</v>
      </c>
      <c r="E9165" t="s">
        <v>1000</v>
      </c>
      <c r="F9165">
        <v>65.3</v>
      </c>
      <c r="G9165">
        <v>230630</v>
      </c>
      <c r="H9165">
        <v>4571</v>
      </c>
      <c r="I9165" t="s">
        <v>181</v>
      </c>
      <c r="J9165">
        <v>65.3</v>
      </c>
      <c r="K9165">
        <v>0</v>
      </c>
      <c r="L9165">
        <v>69803</v>
      </c>
      <c r="M9165" t="s">
        <v>755</v>
      </c>
      <c r="N9165" t="str">
        <f>"17908       "</f>
        <v xml:space="preserve">17908       </v>
      </c>
      <c r="O9165">
        <v>230710</v>
      </c>
    </row>
    <row r="9166" spans="1:15" x14ac:dyDescent="0.25">
      <c r="A9166" t="s">
        <v>16</v>
      </c>
      <c r="B9166" t="s">
        <v>3221</v>
      </c>
      <c r="C9166">
        <v>9960</v>
      </c>
      <c r="D9166" t="s">
        <v>999</v>
      </c>
      <c r="E9166" t="s">
        <v>1000</v>
      </c>
      <c r="F9166">
        <v>193.2</v>
      </c>
      <c r="G9166">
        <v>230731</v>
      </c>
      <c r="H9166">
        <v>4571</v>
      </c>
      <c r="I9166" t="s">
        <v>181</v>
      </c>
      <c r="J9166">
        <v>239.57</v>
      </c>
      <c r="K9166">
        <v>46.37</v>
      </c>
      <c r="L9166">
        <v>69501</v>
      </c>
      <c r="M9166" t="s">
        <v>185</v>
      </c>
      <c r="N9166" t="str">
        <f>"18081       "</f>
        <v xml:space="preserve">18081       </v>
      </c>
      <c r="O9166">
        <v>230803</v>
      </c>
    </row>
    <row r="9167" spans="1:15" x14ac:dyDescent="0.25">
      <c r="A9167" t="s">
        <v>16</v>
      </c>
      <c r="B9167" t="s">
        <v>3221</v>
      </c>
      <c r="C9167">
        <v>9962</v>
      </c>
      <c r="D9167" t="s">
        <v>999</v>
      </c>
      <c r="E9167" t="s">
        <v>1000</v>
      </c>
      <c r="F9167">
        <v>42.26</v>
      </c>
      <c r="G9167">
        <v>230731</v>
      </c>
      <c r="H9167">
        <v>4571</v>
      </c>
      <c r="I9167" t="s">
        <v>181</v>
      </c>
      <c r="J9167">
        <v>52.4</v>
      </c>
      <c r="K9167">
        <v>10.14</v>
      </c>
      <c r="L9167">
        <v>69501</v>
      </c>
      <c r="M9167" t="s">
        <v>185</v>
      </c>
      <c r="N9167" t="str">
        <f>"18070       "</f>
        <v xml:space="preserve">18070       </v>
      </c>
      <c r="O9167">
        <v>230803</v>
      </c>
    </row>
    <row r="9168" spans="1:15" x14ac:dyDescent="0.25">
      <c r="A9168" t="s">
        <v>16</v>
      </c>
      <c r="B9168" t="s">
        <v>3221</v>
      </c>
      <c r="C9168">
        <v>9963</v>
      </c>
      <c r="D9168" t="s">
        <v>999</v>
      </c>
      <c r="E9168" t="s">
        <v>1000</v>
      </c>
      <c r="F9168">
        <v>427.3</v>
      </c>
      <c r="G9168">
        <v>230731</v>
      </c>
      <c r="H9168">
        <v>4571</v>
      </c>
      <c r="I9168" t="s">
        <v>181</v>
      </c>
      <c r="J9168">
        <v>529.85</v>
      </c>
      <c r="K9168">
        <v>102.55</v>
      </c>
      <c r="L9168">
        <v>69501</v>
      </c>
      <c r="M9168" t="s">
        <v>185</v>
      </c>
      <c r="N9168" t="str">
        <f>"18069       "</f>
        <v xml:space="preserve">18069       </v>
      </c>
      <c r="O9168">
        <v>230803</v>
      </c>
    </row>
    <row r="9169" spans="1:15" x14ac:dyDescent="0.25">
      <c r="A9169" t="s">
        <v>16</v>
      </c>
      <c r="B9169" t="s">
        <v>3221</v>
      </c>
      <c r="C9169">
        <v>9964</v>
      </c>
      <c r="D9169" t="s">
        <v>999</v>
      </c>
      <c r="E9169" t="s">
        <v>1000</v>
      </c>
      <c r="F9169">
        <v>461.74</v>
      </c>
      <c r="G9169">
        <v>230731</v>
      </c>
      <c r="H9169">
        <v>4571</v>
      </c>
      <c r="I9169" t="s">
        <v>181</v>
      </c>
      <c r="J9169">
        <v>572.55999999999995</v>
      </c>
      <c r="K9169">
        <v>110.82</v>
      </c>
      <c r="L9169">
        <v>69501</v>
      </c>
      <c r="M9169" t="s">
        <v>185</v>
      </c>
      <c r="N9169" t="str">
        <f>"17964       "</f>
        <v xml:space="preserve">17964       </v>
      </c>
      <c r="O9169">
        <v>230803</v>
      </c>
    </row>
    <row r="9170" spans="1:15" x14ac:dyDescent="0.25">
      <c r="A9170" t="s">
        <v>16</v>
      </c>
      <c r="B9170" t="s">
        <v>3221</v>
      </c>
      <c r="C9170">
        <v>11546</v>
      </c>
      <c r="D9170" t="s">
        <v>999</v>
      </c>
      <c r="E9170" t="s">
        <v>1000</v>
      </c>
      <c r="F9170">
        <v>22.01</v>
      </c>
      <c r="G9170">
        <v>230831</v>
      </c>
      <c r="H9170">
        <v>4571</v>
      </c>
      <c r="I9170" t="s">
        <v>181</v>
      </c>
      <c r="J9170">
        <v>27.29</v>
      </c>
      <c r="K9170">
        <v>5.28</v>
      </c>
      <c r="L9170">
        <v>69501</v>
      </c>
      <c r="M9170" t="s">
        <v>185</v>
      </c>
      <c r="N9170" t="str">
        <f>"18221       "</f>
        <v xml:space="preserve">18221       </v>
      </c>
      <c r="O9170">
        <v>230907</v>
      </c>
    </row>
    <row r="9171" spans="1:15" x14ac:dyDescent="0.25">
      <c r="A9171" t="s">
        <v>16</v>
      </c>
      <c r="B9171" t="s">
        <v>3221</v>
      </c>
      <c r="C9171">
        <v>11612</v>
      </c>
      <c r="D9171" t="s">
        <v>999</v>
      </c>
      <c r="E9171" t="s">
        <v>1000</v>
      </c>
      <c r="F9171">
        <v>180.29</v>
      </c>
      <c r="G9171">
        <v>230831</v>
      </c>
      <c r="H9171">
        <v>4571</v>
      </c>
      <c r="I9171" t="s">
        <v>181</v>
      </c>
      <c r="J9171">
        <v>223.56</v>
      </c>
      <c r="K9171">
        <v>43.27</v>
      </c>
      <c r="L9171">
        <v>69501</v>
      </c>
      <c r="M9171" t="s">
        <v>185</v>
      </c>
      <c r="N9171" t="str">
        <f>"18233       "</f>
        <v xml:space="preserve">18233       </v>
      </c>
      <c r="O9171">
        <v>230907</v>
      </c>
    </row>
    <row r="9172" spans="1:15" x14ac:dyDescent="0.25">
      <c r="A9172" t="s">
        <v>16</v>
      </c>
      <c r="B9172" t="s">
        <v>3221</v>
      </c>
      <c r="C9172">
        <v>11613</v>
      </c>
      <c r="D9172" t="s">
        <v>999</v>
      </c>
      <c r="E9172" t="s">
        <v>1000</v>
      </c>
      <c r="F9172">
        <v>2321.94</v>
      </c>
      <c r="G9172">
        <v>230831</v>
      </c>
      <c r="H9172">
        <v>4571</v>
      </c>
      <c r="I9172" t="s">
        <v>181</v>
      </c>
      <c r="J9172">
        <v>2879.21</v>
      </c>
      <c r="K9172">
        <v>557.27</v>
      </c>
      <c r="L9172">
        <v>69501</v>
      </c>
      <c r="M9172" t="s">
        <v>185</v>
      </c>
      <c r="N9172" t="str">
        <f>"18247       "</f>
        <v xml:space="preserve">18247       </v>
      </c>
      <c r="O9172">
        <v>230907</v>
      </c>
    </row>
    <row r="9173" spans="1:15" x14ac:dyDescent="0.25">
      <c r="A9173" t="s">
        <v>16</v>
      </c>
      <c r="B9173" t="s">
        <v>3221</v>
      </c>
      <c r="C9173">
        <v>11614</v>
      </c>
      <c r="D9173" t="s">
        <v>999</v>
      </c>
      <c r="E9173" t="s">
        <v>1000</v>
      </c>
      <c r="F9173">
        <v>524.19000000000005</v>
      </c>
      <c r="G9173">
        <v>230831</v>
      </c>
      <c r="H9173">
        <v>4571</v>
      </c>
      <c r="I9173" t="s">
        <v>181</v>
      </c>
      <c r="J9173">
        <v>650</v>
      </c>
      <c r="K9173">
        <v>125.81</v>
      </c>
      <c r="L9173">
        <v>69501</v>
      </c>
      <c r="M9173" t="s">
        <v>185</v>
      </c>
      <c r="N9173" t="str">
        <f>"18220       "</f>
        <v xml:space="preserve">18220       </v>
      </c>
      <c r="O9173">
        <v>230907</v>
      </c>
    </row>
    <row r="9174" spans="1:15" x14ac:dyDescent="0.25">
      <c r="A9174" t="s">
        <v>16</v>
      </c>
      <c r="B9174" t="s">
        <v>3221</v>
      </c>
      <c r="C9174">
        <v>11615</v>
      </c>
      <c r="D9174" t="s">
        <v>999</v>
      </c>
      <c r="E9174" t="s">
        <v>1000</v>
      </c>
      <c r="F9174">
        <v>524.98</v>
      </c>
      <c r="G9174">
        <v>230831</v>
      </c>
      <c r="H9174">
        <v>4571</v>
      </c>
      <c r="I9174" t="s">
        <v>181</v>
      </c>
      <c r="J9174">
        <v>650.98</v>
      </c>
      <c r="K9174">
        <v>126</v>
      </c>
      <c r="L9174">
        <v>69501</v>
      </c>
      <c r="M9174" t="s">
        <v>185</v>
      </c>
      <c r="N9174" t="str">
        <f>"18115       "</f>
        <v xml:space="preserve">18115       </v>
      </c>
      <c r="O9174">
        <v>230907</v>
      </c>
    </row>
    <row r="9175" spans="1:15" x14ac:dyDescent="0.25">
      <c r="A9175" t="s">
        <v>16</v>
      </c>
      <c r="B9175" t="s">
        <v>3221</v>
      </c>
      <c r="C9175">
        <v>12037</v>
      </c>
      <c r="D9175" t="s">
        <v>999</v>
      </c>
      <c r="E9175" t="s">
        <v>1000</v>
      </c>
      <c r="F9175">
        <v>2037.36</v>
      </c>
      <c r="G9175">
        <v>230831</v>
      </c>
      <c r="H9175">
        <v>4571</v>
      </c>
      <c r="I9175" t="s">
        <v>181</v>
      </c>
      <c r="J9175">
        <v>2526.33</v>
      </c>
      <c r="K9175">
        <v>488.97</v>
      </c>
      <c r="L9175">
        <v>69111</v>
      </c>
      <c r="M9175" t="s">
        <v>471</v>
      </c>
      <c r="N9175" t="str">
        <f>"18218       "</f>
        <v xml:space="preserve">18218       </v>
      </c>
      <c r="O9175">
        <v>230913</v>
      </c>
    </row>
    <row r="9176" spans="1:15" x14ac:dyDescent="0.25">
      <c r="A9176" t="s">
        <v>16</v>
      </c>
      <c r="B9176" t="s">
        <v>3221</v>
      </c>
      <c r="C9176">
        <v>12037</v>
      </c>
      <c r="D9176" t="s">
        <v>999</v>
      </c>
      <c r="E9176" t="s">
        <v>1000</v>
      </c>
      <c r="F9176">
        <v>3056.05</v>
      </c>
      <c r="G9176">
        <v>230831</v>
      </c>
      <c r="H9176">
        <v>4571</v>
      </c>
      <c r="I9176" t="s">
        <v>181</v>
      </c>
      <c r="J9176">
        <v>3789.5</v>
      </c>
      <c r="K9176">
        <v>733.45</v>
      </c>
      <c r="L9176">
        <v>69501</v>
      </c>
      <c r="M9176" t="s">
        <v>185</v>
      </c>
      <c r="N9176" t="str">
        <f>"18218       "</f>
        <v xml:space="preserve">18218       </v>
      </c>
      <c r="O9176">
        <v>230913</v>
      </c>
    </row>
    <row r="9177" spans="1:15" x14ac:dyDescent="0.25">
      <c r="A9177" t="s">
        <v>16</v>
      </c>
      <c r="B9177" t="s">
        <v>3221</v>
      </c>
      <c r="C9177">
        <v>13461</v>
      </c>
      <c r="D9177" t="s">
        <v>999</v>
      </c>
      <c r="E9177" t="s">
        <v>1000</v>
      </c>
      <c r="F9177">
        <v>589.14</v>
      </c>
      <c r="G9177">
        <v>230930</v>
      </c>
      <c r="H9177">
        <v>4571</v>
      </c>
      <c r="I9177" t="s">
        <v>181</v>
      </c>
      <c r="J9177">
        <v>730.53</v>
      </c>
      <c r="K9177">
        <v>141.38999999999999</v>
      </c>
      <c r="L9177">
        <v>69501</v>
      </c>
      <c r="M9177" t="s">
        <v>185</v>
      </c>
      <c r="N9177" t="str">
        <f>"18363       "</f>
        <v xml:space="preserve">18363       </v>
      </c>
      <c r="O9177">
        <v>231010</v>
      </c>
    </row>
    <row r="9178" spans="1:15" x14ac:dyDescent="0.25">
      <c r="A9178" t="s">
        <v>16</v>
      </c>
      <c r="B9178" t="s">
        <v>3221</v>
      </c>
      <c r="C9178">
        <v>13462</v>
      </c>
      <c r="D9178" t="s">
        <v>999</v>
      </c>
      <c r="E9178" t="s">
        <v>1000</v>
      </c>
      <c r="F9178">
        <v>43.08</v>
      </c>
      <c r="G9178">
        <v>230930</v>
      </c>
      <c r="H9178">
        <v>4571</v>
      </c>
      <c r="I9178" t="s">
        <v>181</v>
      </c>
      <c r="J9178">
        <v>53.42</v>
      </c>
      <c r="K9178">
        <v>10.34</v>
      </c>
      <c r="L9178">
        <v>69501</v>
      </c>
      <c r="M9178" t="s">
        <v>185</v>
      </c>
      <c r="N9178" t="str">
        <f>"18470       "</f>
        <v xml:space="preserve">18470       </v>
      </c>
      <c r="O9178">
        <v>231010</v>
      </c>
    </row>
    <row r="9179" spans="1:15" x14ac:dyDescent="0.25">
      <c r="A9179" t="s">
        <v>16</v>
      </c>
      <c r="B9179" t="s">
        <v>3221</v>
      </c>
      <c r="C9179">
        <v>13463</v>
      </c>
      <c r="D9179" t="s">
        <v>999</v>
      </c>
      <c r="E9179" t="s">
        <v>1000</v>
      </c>
      <c r="F9179">
        <v>7925.03</v>
      </c>
      <c r="G9179">
        <v>230930</v>
      </c>
      <c r="H9179">
        <v>4571</v>
      </c>
      <c r="I9179" t="s">
        <v>181</v>
      </c>
      <c r="J9179">
        <v>9827.0400000000009</v>
      </c>
      <c r="K9179">
        <v>1902.01</v>
      </c>
      <c r="L9179">
        <v>69501</v>
      </c>
      <c r="M9179" t="s">
        <v>185</v>
      </c>
      <c r="N9179" t="str">
        <f>"18467       "</f>
        <v xml:space="preserve">18467       </v>
      </c>
      <c r="O9179">
        <v>231010</v>
      </c>
    </row>
    <row r="9180" spans="1:15" x14ac:dyDescent="0.25">
      <c r="A9180" t="s">
        <v>16</v>
      </c>
      <c r="B9180" t="s">
        <v>3221</v>
      </c>
      <c r="C9180">
        <v>13464</v>
      </c>
      <c r="D9180" t="s">
        <v>999</v>
      </c>
      <c r="E9180" t="s">
        <v>1000</v>
      </c>
      <c r="F9180">
        <v>215.09</v>
      </c>
      <c r="G9180">
        <v>230930</v>
      </c>
      <c r="H9180">
        <v>4571</v>
      </c>
      <c r="I9180" t="s">
        <v>181</v>
      </c>
      <c r="J9180">
        <v>266.70999999999998</v>
      </c>
      <c r="K9180">
        <v>51.62</v>
      </c>
      <c r="L9180">
        <v>69501</v>
      </c>
      <c r="M9180" t="s">
        <v>185</v>
      </c>
      <c r="N9180" t="str">
        <f>"18482       "</f>
        <v xml:space="preserve">18482       </v>
      </c>
      <c r="O9180">
        <v>231010</v>
      </c>
    </row>
    <row r="9181" spans="1:15" x14ac:dyDescent="0.25">
      <c r="A9181" t="s">
        <v>16</v>
      </c>
      <c r="B9181" t="s">
        <v>3221</v>
      </c>
      <c r="C9181">
        <v>13466</v>
      </c>
      <c r="D9181" t="s">
        <v>999</v>
      </c>
      <c r="E9181" t="s">
        <v>1000</v>
      </c>
      <c r="F9181">
        <v>2150.42</v>
      </c>
      <c r="G9181">
        <v>230930</v>
      </c>
      <c r="H9181">
        <v>4571</v>
      </c>
      <c r="I9181" t="s">
        <v>181</v>
      </c>
      <c r="J9181">
        <v>2666.52</v>
      </c>
      <c r="K9181">
        <v>516.1</v>
      </c>
      <c r="L9181">
        <v>69111</v>
      </c>
      <c r="M9181" t="s">
        <v>471</v>
      </c>
      <c r="N9181" t="str">
        <f>"18466       "</f>
        <v xml:space="preserve">18466       </v>
      </c>
      <c r="O9181">
        <v>231010</v>
      </c>
    </row>
    <row r="9182" spans="1:15" x14ac:dyDescent="0.25">
      <c r="A9182" t="s">
        <v>16</v>
      </c>
      <c r="B9182" t="s">
        <v>3221</v>
      </c>
      <c r="C9182">
        <v>13466</v>
      </c>
      <c r="D9182" t="s">
        <v>999</v>
      </c>
      <c r="E9182" t="s">
        <v>1000</v>
      </c>
      <c r="F9182">
        <v>3395.4</v>
      </c>
      <c r="G9182">
        <v>230930</v>
      </c>
      <c r="H9182">
        <v>4571</v>
      </c>
      <c r="I9182" t="s">
        <v>181</v>
      </c>
      <c r="J9182">
        <v>4210.29</v>
      </c>
      <c r="K9182">
        <v>814.89</v>
      </c>
      <c r="L9182">
        <v>69501</v>
      </c>
      <c r="M9182" t="s">
        <v>185</v>
      </c>
      <c r="N9182" t="str">
        <f>"18466       "</f>
        <v xml:space="preserve">18466       </v>
      </c>
      <c r="O9182">
        <v>231010</v>
      </c>
    </row>
    <row r="9183" spans="1:15" x14ac:dyDescent="0.25">
      <c r="A9183" t="s">
        <v>16</v>
      </c>
      <c r="B9183" t="s">
        <v>3221</v>
      </c>
      <c r="C9183">
        <v>13466</v>
      </c>
      <c r="D9183" t="s">
        <v>999</v>
      </c>
      <c r="E9183" t="s">
        <v>1000</v>
      </c>
      <c r="F9183">
        <v>56.59</v>
      </c>
      <c r="G9183">
        <v>230930</v>
      </c>
      <c r="H9183">
        <v>4571</v>
      </c>
      <c r="I9183" t="s">
        <v>181</v>
      </c>
      <c r="J9183">
        <v>70.17</v>
      </c>
      <c r="K9183">
        <v>13.58</v>
      </c>
      <c r="L9183">
        <v>69801</v>
      </c>
      <c r="M9183" t="s">
        <v>1735</v>
      </c>
      <c r="N9183" t="str">
        <f>"18466       "</f>
        <v xml:space="preserve">18466       </v>
      </c>
      <c r="O9183">
        <v>231010</v>
      </c>
    </row>
    <row r="9184" spans="1:15" x14ac:dyDescent="0.25">
      <c r="A9184" t="s">
        <v>16</v>
      </c>
      <c r="B9184" t="s">
        <v>3221</v>
      </c>
      <c r="C9184">
        <v>13466</v>
      </c>
      <c r="D9184" t="s">
        <v>999</v>
      </c>
      <c r="E9184" t="s">
        <v>1000</v>
      </c>
      <c r="F9184">
        <v>56.59</v>
      </c>
      <c r="G9184">
        <v>230930</v>
      </c>
      <c r="H9184">
        <v>4571</v>
      </c>
      <c r="I9184" t="s">
        <v>181</v>
      </c>
      <c r="J9184">
        <v>70.17</v>
      </c>
      <c r="K9184">
        <v>13.58</v>
      </c>
      <c r="L9184">
        <v>69803</v>
      </c>
      <c r="M9184" t="s">
        <v>755</v>
      </c>
      <c r="N9184" t="str">
        <f>"18466       "</f>
        <v xml:space="preserve">18466       </v>
      </c>
      <c r="O9184">
        <v>231010</v>
      </c>
    </row>
    <row r="9185" spans="1:15" x14ac:dyDescent="0.25">
      <c r="A9185" t="s">
        <v>16</v>
      </c>
      <c r="B9185" t="s">
        <v>3221</v>
      </c>
      <c r="C9185">
        <v>13468</v>
      </c>
      <c r="D9185" t="s">
        <v>999</v>
      </c>
      <c r="E9185" t="s">
        <v>1000</v>
      </c>
      <c r="F9185">
        <v>573.92999999999995</v>
      </c>
      <c r="G9185">
        <v>230930</v>
      </c>
      <c r="H9185">
        <v>4571</v>
      </c>
      <c r="I9185" t="s">
        <v>181</v>
      </c>
      <c r="J9185">
        <v>711.67</v>
      </c>
      <c r="K9185">
        <v>137.74</v>
      </c>
      <c r="L9185">
        <v>69501</v>
      </c>
      <c r="M9185" t="s">
        <v>185</v>
      </c>
      <c r="N9185" t="str">
        <f>"18469       "</f>
        <v xml:space="preserve">18469       </v>
      </c>
      <c r="O9185">
        <v>231010</v>
      </c>
    </row>
    <row r="9186" spans="1:15" x14ac:dyDescent="0.25">
      <c r="A9186" t="s">
        <v>16</v>
      </c>
      <c r="B9186" t="s">
        <v>3221</v>
      </c>
      <c r="C9186">
        <v>15312</v>
      </c>
      <c r="D9186" t="s">
        <v>999</v>
      </c>
      <c r="E9186" t="s">
        <v>1000</v>
      </c>
      <c r="F9186">
        <v>1767.83</v>
      </c>
      <c r="G9186">
        <v>231031</v>
      </c>
      <c r="H9186">
        <v>4571</v>
      </c>
      <c r="I9186" t="s">
        <v>181</v>
      </c>
      <c r="J9186">
        <v>2192.11</v>
      </c>
      <c r="K9186">
        <v>424.28</v>
      </c>
      <c r="L9186">
        <v>69501</v>
      </c>
      <c r="M9186" t="s">
        <v>185</v>
      </c>
      <c r="N9186" t="str">
        <f>"18639       "</f>
        <v xml:space="preserve">18639       </v>
      </c>
      <c r="O9186">
        <v>231113</v>
      </c>
    </row>
    <row r="9187" spans="1:15" x14ac:dyDescent="0.25">
      <c r="A9187" t="s">
        <v>16</v>
      </c>
      <c r="B9187" t="s">
        <v>3221</v>
      </c>
      <c r="C9187">
        <v>15313</v>
      </c>
      <c r="D9187" t="s">
        <v>999</v>
      </c>
      <c r="E9187" t="s">
        <v>1000</v>
      </c>
      <c r="F9187">
        <v>17123</v>
      </c>
      <c r="G9187">
        <v>231031</v>
      </c>
      <c r="H9187">
        <v>4571</v>
      </c>
      <c r="I9187" t="s">
        <v>181</v>
      </c>
      <c r="J9187">
        <v>21232.52</v>
      </c>
      <c r="K9187">
        <v>4109.5200000000004</v>
      </c>
      <c r="L9187">
        <v>69501</v>
      </c>
      <c r="M9187" t="s">
        <v>185</v>
      </c>
      <c r="N9187" t="str">
        <f>"18637       "</f>
        <v xml:space="preserve">18637       </v>
      </c>
      <c r="O9187">
        <v>231113</v>
      </c>
    </row>
    <row r="9188" spans="1:15" x14ac:dyDescent="0.25">
      <c r="A9188" t="s">
        <v>16</v>
      </c>
      <c r="B9188" t="s">
        <v>3221</v>
      </c>
      <c r="C9188">
        <v>15314</v>
      </c>
      <c r="D9188" t="s">
        <v>999</v>
      </c>
      <c r="E9188" t="s">
        <v>1000</v>
      </c>
      <c r="F9188">
        <v>4950.84</v>
      </c>
      <c r="G9188">
        <v>231031</v>
      </c>
      <c r="H9188">
        <v>4571</v>
      </c>
      <c r="I9188" t="s">
        <v>181</v>
      </c>
      <c r="J9188">
        <v>6139.04</v>
      </c>
      <c r="K9188">
        <v>1188.2</v>
      </c>
      <c r="L9188">
        <v>69111</v>
      </c>
      <c r="M9188" t="s">
        <v>471</v>
      </c>
      <c r="N9188" t="str">
        <f>"18636       "</f>
        <v xml:space="preserve">18636       </v>
      </c>
      <c r="O9188">
        <v>231113</v>
      </c>
    </row>
    <row r="9189" spans="1:15" x14ac:dyDescent="0.25">
      <c r="A9189" t="s">
        <v>16</v>
      </c>
      <c r="B9189" t="s">
        <v>3221</v>
      </c>
      <c r="C9189">
        <v>15314</v>
      </c>
      <c r="D9189" t="s">
        <v>999</v>
      </c>
      <c r="E9189" t="s">
        <v>1000</v>
      </c>
      <c r="F9189">
        <v>11906.77</v>
      </c>
      <c r="G9189">
        <v>231031</v>
      </c>
      <c r="H9189">
        <v>4571</v>
      </c>
      <c r="I9189" t="s">
        <v>181</v>
      </c>
      <c r="J9189">
        <v>14764.4</v>
      </c>
      <c r="K9189">
        <v>2857.63</v>
      </c>
      <c r="L9189">
        <v>69501</v>
      </c>
      <c r="M9189" t="s">
        <v>185</v>
      </c>
      <c r="N9189" t="str">
        <f>"18636       "</f>
        <v xml:space="preserve">18636       </v>
      </c>
      <c r="O9189">
        <v>231113</v>
      </c>
    </row>
    <row r="9190" spans="1:15" x14ac:dyDescent="0.25">
      <c r="A9190" t="s">
        <v>16</v>
      </c>
      <c r="B9190" t="s">
        <v>3221</v>
      </c>
      <c r="C9190">
        <v>15314</v>
      </c>
      <c r="D9190" t="s">
        <v>999</v>
      </c>
      <c r="E9190" t="s">
        <v>1000</v>
      </c>
      <c r="F9190">
        <v>102.06</v>
      </c>
      <c r="G9190">
        <v>231031</v>
      </c>
      <c r="H9190">
        <v>4571</v>
      </c>
      <c r="I9190" t="s">
        <v>181</v>
      </c>
      <c r="J9190">
        <v>126.55</v>
      </c>
      <c r="K9190">
        <v>24.49</v>
      </c>
      <c r="L9190">
        <v>69801</v>
      </c>
      <c r="M9190" t="s">
        <v>1735</v>
      </c>
      <c r="N9190" t="str">
        <f>"18636       "</f>
        <v xml:space="preserve">18636       </v>
      </c>
      <c r="O9190">
        <v>231113</v>
      </c>
    </row>
    <row r="9191" spans="1:15" x14ac:dyDescent="0.25">
      <c r="A9191" t="s">
        <v>16</v>
      </c>
      <c r="B9191" t="s">
        <v>3221</v>
      </c>
      <c r="C9191">
        <v>15314</v>
      </c>
      <c r="D9191" t="s">
        <v>999</v>
      </c>
      <c r="E9191" t="s">
        <v>1000</v>
      </c>
      <c r="F9191">
        <v>62.01</v>
      </c>
      <c r="G9191">
        <v>231031</v>
      </c>
      <c r="H9191">
        <v>4571</v>
      </c>
      <c r="I9191" t="s">
        <v>181</v>
      </c>
      <c r="J9191">
        <v>62.01</v>
      </c>
      <c r="K9191">
        <v>0</v>
      </c>
      <c r="L9191">
        <v>69803</v>
      </c>
      <c r="M9191" t="s">
        <v>755</v>
      </c>
      <c r="N9191" t="str">
        <f>"18636       "</f>
        <v xml:space="preserve">18636       </v>
      </c>
      <c r="O9191">
        <v>231113</v>
      </c>
    </row>
    <row r="9192" spans="1:15" x14ac:dyDescent="0.25">
      <c r="A9192" t="s">
        <v>16</v>
      </c>
      <c r="B9192" t="s">
        <v>3221</v>
      </c>
      <c r="C9192">
        <v>15315</v>
      </c>
      <c r="D9192" t="s">
        <v>999</v>
      </c>
      <c r="E9192" t="s">
        <v>1000</v>
      </c>
      <c r="F9192">
        <v>792.85</v>
      </c>
      <c r="G9192">
        <v>231031</v>
      </c>
      <c r="H9192">
        <v>4571</v>
      </c>
      <c r="I9192" t="s">
        <v>181</v>
      </c>
      <c r="J9192">
        <v>983.13</v>
      </c>
      <c r="K9192">
        <v>190.28</v>
      </c>
      <c r="L9192">
        <v>69501</v>
      </c>
      <c r="M9192" t="s">
        <v>185</v>
      </c>
      <c r="N9192" t="str">
        <f>"18640       "</f>
        <v xml:space="preserve">18640       </v>
      </c>
      <c r="O9192">
        <v>231113</v>
      </c>
    </row>
    <row r="9193" spans="1:15" x14ac:dyDescent="0.25">
      <c r="A9193" t="s">
        <v>16</v>
      </c>
      <c r="B9193" t="s">
        <v>3221</v>
      </c>
      <c r="C9193">
        <v>15316</v>
      </c>
      <c r="D9193" t="s">
        <v>999</v>
      </c>
      <c r="E9193" t="s">
        <v>1000</v>
      </c>
      <c r="F9193">
        <v>632.89</v>
      </c>
      <c r="G9193">
        <v>231031</v>
      </c>
      <c r="H9193">
        <v>4571</v>
      </c>
      <c r="I9193" t="s">
        <v>181</v>
      </c>
      <c r="J9193">
        <v>784.78</v>
      </c>
      <c r="K9193">
        <v>151.88999999999999</v>
      </c>
      <c r="L9193">
        <v>69501</v>
      </c>
      <c r="M9193" t="s">
        <v>185</v>
      </c>
      <c r="N9193" t="str">
        <f>"18652       "</f>
        <v xml:space="preserve">18652       </v>
      </c>
      <c r="O9193">
        <v>231113</v>
      </c>
    </row>
    <row r="9194" spans="1:15" x14ac:dyDescent="0.25">
      <c r="A9194" t="s">
        <v>16</v>
      </c>
      <c r="B9194" t="s">
        <v>3221</v>
      </c>
      <c r="C9194">
        <v>15320</v>
      </c>
      <c r="D9194" t="s">
        <v>999</v>
      </c>
      <c r="E9194" t="s">
        <v>1000</v>
      </c>
      <c r="F9194">
        <v>1607.98</v>
      </c>
      <c r="G9194">
        <v>231031</v>
      </c>
      <c r="H9194">
        <v>4571</v>
      </c>
      <c r="I9194" t="s">
        <v>181</v>
      </c>
      <c r="J9194">
        <v>1993.89</v>
      </c>
      <c r="K9194">
        <v>385.91</v>
      </c>
      <c r="L9194">
        <v>69501</v>
      </c>
      <c r="M9194" t="s">
        <v>185</v>
      </c>
      <c r="N9194" t="str">
        <f>"18532       "</f>
        <v xml:space="preserve">18532       </v>
      </c>
      <c r="O9194">
        <v>231113</v>
      </c>
    </row>
    <row r="9195" spans="1:15" x14ac:dyDescent="0.25">
      <c r="A9195" t="s">
        <v>16</v>
      </c>
      <c r="B9195" t="s">
        <v>3221</v>
      </c>
      <c r="C9195">
        <v>17389</v>
      </c>
      <c r="D9195" t="s">
        <v>999</v>
      </c>
      <c r="E9195" t="s">
        <v>1000</v>
      </c>
      <c r="F9195">
        <v>2204.64</v>
      </c>
      <c r="G9195">
        <v>231130</v>
      </c>
      <c r="H9195">
        <v>4571</v>
      </c>
      <c r="I9195" t="s">
        <v>181</v>
      </c>
      <c r="J9195">
        <v>2733.75</v>
      </c>
      <c r="K9195">
        <v>529.11</v>
      </c>
      <c r="L9195">
        <v>69501</v>
      </c>
      <c r="M9195" t="s">
        <v>185</v>
      </c>
      <c r="N9195" t="str">
        <f>"50137       "</f>
        <v xml:space="preserve">50137       </v>
      </c>
      <c r="O9195">
        <v>231213</v>
      </c>
    </row>
    <row r="9196" spans="1:15" x14ac:dyDescent="0.25">
      <c r="A9196" t="s">
        <v>16</v>
      </c>
      <c r="B9196" t="s">
        <v>3221</v>
      </c>
      <c r="C9196">
        <v>17563</v>
      </c>
      <c r="D9196" t="s">
        <v>999</v>
      </c>
      <c r="E9196" t="s">
        <v>1000</v>
      </c>
      <c r="F9196">
        <v>15874.75</v>
      </c>
      <c r="G9196">
        <v>231130</v>
      </c>
      <c r="H9196">
        <v>4571</v>
      </c>
      <c r="I9196" t="s">
        <v>181</v>
      </c>
      <c r="J9196">
        <v>19684.689999999999</v>
      </c>
      <c r="K9196">
        <v>3809.94</v>
      </c>
      <c r="L9196">
        <v>69501</v>
      </c>
      <c r="M9196" t="s">
        <v>185</v>
      </c>
      <c r="N9196" t="str">
        <f>"50135       "</f>
        <v xml:space="preserve">50135       </v>
      </c>
      <c r="O9196">
        <v>231215</v>
      </c>
    </row>
    <row r="9197" spans="1:15" x14ac:dyDescent="0.25">
      <c r="A9197" t="s">
        <v>16</v>
      </c>
      <c r="B9197" t="s">
        <v>3221</v>
      </c>
      <c r="C9197">
        <v>17565</v>
      </c>
      <c r="D9197" t="s">
        <v>999</v>
      </c>
      <c r="E9197" t="s">
        <v>1000</v>
      </c>
      <c r="F9197">
        <v>858.63</v>
      </c>
      <c r="G9197">
        <v>231130</v>
      </c>
      <c r="H9197">
        <v>4571</v>
      </c>
      <c r="I9197" t="s">
        <v>181</v>
      </c>
      <c r="J9197">
        <v>1064.7</v>
      </c>
      <c r="K9197">
        <v>206.07</v>
      </c>
      <c r="L9197">
        <v>69501</v>
      </c>
      <c r="M9197" t="s">
        <v>185</v>
      </c>
      <c r="N9197" t="str">
        <f>"50146       "</f>
        <v xml:space="preserve">50146       </v>
      </c>
      <c r="O9197">
        <v>231215</v>
      </c>
    </row>
    <row r="9198" spans="1:15" x14ac:dyDescent="0.25">
      <c r="A9198" t="s">
        <v>16</v>
      </c>
      <c r="B9198" t="s">
        <v>3221</v>
      </c>
      <c r="C9198">
        <v>17566</v>
      </c>
      <c r="D9198" t="s">
        <v>999</v>
      </c>
      <c r="E9198" t="s">
        <v>1000</v>
      </c>
      <c r="F9198">
        <v>2159.71</v>
      </c>
      <c r="G9198">
        <v>231130</v>
      </c>
      <c r="H9198">
        <v>4571</v>
      </c>
      <c r="I9198" t="s">
        <v>181</v>
      </c>
      <c r="J9198">
        <v>2678.04</v>
      </c>
      <c r="K9198">
        <v>518.33000000000004</v>
      </c>
      <c r="L9198">
        <v>69501</v>
      </c>
      <c r="M9198" t="s">
        <v>185</v>
      </c>
      <c r="N9198" t="str">
        <f>"50141       "</f>
        <v xml:space="preserve">50141       </v>
      </c>
      <c r="O9198">
        <v>231215</v>
      </c>
    </row>
    <row r="9199" spans="1:15" x14ac:dyDescent="0.25">
      <c r="A9199" t="s">
        <v>16</v>
      </c>
      <c r="B9199" t="s">
        <v>3221</v>
      </c>
      <c r="C9199">
        <v>17567</v>
      </c>
      <c r="D9199" t="s">
        <v>999</v>
      </c>
      <c r="E9199" t="s">
        <v>1000</v>
      </c>
      <c r="F9199">
        <v>8186.44</v>
      </c>
      <c r="G9199">
        <v>231130</v>
      </c>
      <c r="H9199">
        <v>4571</v>
      </c>
      <c r="I9199" t="s">
        <v>181</v>
      </c>
      <c r="J9199">
        <v>10151.18</v>
      </c>
      <c r="K9199">
        <v>1964.74</v>
      </c>
      <c r="L9199">
        <v>69111</v>
      </c>
      <c r="M9199" t="s">
        <v>471</v>
      </c>
      <c r="N9199" t="str">
        <f>"50134       "</f>
        <v xml:space="preserve">50134       </v>
      </c>
      <c r="O9199">
        <v>231215</v>
      </c>
    </row>
    <row r="9200" spans="1:15" x14ac:dyDescent="0.25">
      <c r="A9200" t="s">
        <v>16</v>
      </c>
      <c r="B9200" t="s">
        <v>3221</v>
      </c>
      <c r="C9200">
        <v>17567</v>
      </c>
      <c r="D9200" t="s">
        <v>999</v>
      </c>
      <c r="E9200" t="s">
        <v>1000</v>
      </c>
      <c r="F9200">
        <v>12279.65</v>
      </c>
      <c r="G9200">
        <v>231130</v>
      </c>
      <c r="H9200">
        <v>4571</v>
      </c>
      <c r="I9200" t="s">
        <v>181</v>
      </c>
      <c r="J9200">
        <v>15226.77</v>
      </c>
      <c r="K9200">
        <v>2947.12</v>
      </c>
      <c r="L9200">
        <v>69501</v>
      </c>
      <c r="M9200" t="s">
        <v>185</v>
      </c>
      <c r="N9200" t="str">
        <f>"50134       "</f>
        <v xml:space="preserve">50134       </v>
      </c>
      <c r="O9200">
        <v>231215</v>
      </c>
    </row>
    <row r="9201" spans="1:15" x14ac:dyDescent="0.25">
      <c r="A9201" t="s">
        <v>16</v>
      </c>
      <c r="B9201" t="s">
        <v>3221</v>
      </c>
      <c r="C9201">
        <v>17568</v>
      </c>
      <c r="D9201" t="s">
        <v>999</v>
      </c>
      <c r="E9201" t="s">
        <v>1000</v>
      </c>
      <c r="F9201">
        <v>1354.11</v>
      </c>
      <c r="G9201">
        <v>231130</v>
      </c>
      <c r="H9201">
        <v>4571</v>
      </c>
      <c r="I9201" t="s">
        <v>181</v>
      </c>
      <c r="J9201">
        <v>1679.1</v>
      </c>
      <c r="K9201">
        <v>324.99</v>
      </c>
      <c r="L9201">
        <v>69501</v>
      </c>
      <c r="M9201" t="s">
        <v>185</v>
      </c>
      <c r="N9201" t="str">
        <f>"50138       "</f>
        <v xml:space="preserve">50138       </v>
      </c>
      <c r="O9201">
        <v>231215</v>
      </c>
    </row>
    <row r="9202" spans="1:15" x14ac:dyDescent="0.25">
      <c r="A9202" t="s">
        <v>16</v>
      </c>
      <c r="B9202" t="s">
        <v>3221</v>
      </c>
      <c r="C9202">
        <v>19200</v>
      </c>
      <c r="D9202" t="s">
        <v>999</v>
      </c>
      <c r="E9202" t="s">
        <v>1000</v>
      </c>
      <c r="F9202">
        <v>2764.26</v>
      </c>
      <c r="G9202">
        <v>231231</v>
      </c>
      <c r="H9202">
        <v>4571</v>
      </c>
      <c r="I9202" t="s">
        <v>181</v>
      </c>
      <c r="J9202">
        <v>3427.68</v>
      </c>
      <c r="K9202">
        <v>663.42</v>
      </c>
      <c r="L9202">
        <v>69501</v>
      </c>
      <c r="M9202" t="s">
        <v>185</v>
      </c>
      <c r="N9202" t="str">
        <f>"50305       "</f>
        <v xml:space="preserve">50305       </v>
      </c>
      <c r="O9202">
        <v>240112</v>
      </c>
    </row>
    <row r="9203" spans="1:15" x14ac:dyDescent="0.25">
      <c r="A9203" t="s">
        <v>16</v>
      </c>
      <c r="B9203" t="s">
        <v>3221</v>
      </c>
      <c r="C9203">
        <v>19201</v>
      </c>
      <c r="D9203" t="s">
        <v>999</v>
      </c>
      <c r="E9203" t="s">
        <v>1000</v>
      </c>
      <c r="F9203">
        <v>3774.8</v>
      </c>
      <c r="G9203">
        <v>231231</v>
      </c>
      <c r="H9203">
        <v>4571</v>
      </c>
      <c r="I9203" t="s">
        <v>181</v>
      </c>
      <c r="J9203">
        <v>4680.75</v>
      </c>
      <c r="K9203">
        <v>905.95</v>
      </c>
      <c r="L9203">
        <v>69501</v>
      </c>
      <c r="M9203" t="s">
        <v>185</v>
      </c>
      <c r="N9203" t="str">
        <f>"50301       "</f>
        <v xml:space="preserve">50301       </v>
      </c>
      <c r="O9203">
        <v>240112</v>
      </c>
    </row>
    <row r="9204" spans="1:15" x14ac:dyDescent="0.25">
      <c r="A9204" t="s">
        <v>16</v>
      </c>
      <c r="B9204" t="s">
        <v>3221</v>
      </c>
      <c r="C9204">
        <v>19202</v>
      </c>
      <c r="D9204" t="s">
        <v>999</v>
      </c>
      <c r="E9204" t="s">
        <v>1000</v>
      </c>
      <c r="F9204">
        <v>1841.29</v>
      </c>
      <c r="G9204">
        <v>231231</v>
      </c>
      <c r="H9204">
        <v>4571</v>
      </c>
      <c r="I9204" t="s">
        <v>181</v>
      </c>
      <c r="J9204">
        <v>2283.1999999999998</v>
      </c>
      <c r="K9204">
        <v>441.91</v>
      </c>
      <c r="L9204">
        <v>69501</v>
      </c>
      <c r="M9204" t="s">
        <v>185</v>
      </c>
      <c r="N9204" t="str">
        <f>"50302       "</f>
        <v xml:space="preserve">50302       </v>
      </c>
      <c r="O9204">
        <v>240112</v>
      </c>
    </row>
    <row r="9205" spans="1:15" x14ac:dyDescent="0.25">
      <c r="A9205" t="s">
        <v>16</v>
      </c>
      <c r="B9205" t="s">
        <v>3221</v>
      </c>
      <c r="C9205">
        <v>19203</v>
      </c>
      <c r="D9205" t="s">
        <v>999</v>
      </c>
      <c r="E9205" t="s">
        <v>1000</v>
      </c>
      <c r="F9205">
        <v>925.73</v>
      </c>
      <c r="G9205">
        <v>231231</v>
      </c>
      <c r="H9205">
        <v>4571</v>
      </c>
      <c r="I9205" t="s">
        <v>181</v>
      </c>
      <c r="J9205">
        <v>1147.9100000000001</v>
      </c>
      <c r="K9205">
        <v>222.18</v>
      </c>
      <c r="L9205">
        <v>69501</v>
      </c>
      <c r="M9205" t="s">
        <v>185</v>
      </c>
      <c r="N9205" t="str">
        <f>"50309       "</f>
        <v xml:space="preserve">50309       </v>
      </c>
      <c r="O9205">
        <v>240112</v>
      </c>
    </row>
    <row r="9206" spans="1:15" x14ac:dyDescent="0.25">
      <c r="A9206" t="s">
        <v>16</v>
      </c>
      <c r="B9206" t="s">
        <v>3221</v>
      </c>
      <c r="C9206">
        <v>19274</v>
      </c>
      <c r="D9206" t="s">
        <v>999</v>
      </c>
      <c r="E9206" t="s">
        <v>1000</v>
      </c>
      <c r="F9206">
        <v>9570.8700000000008</v>
      </c>
      <c r="G9206">
        <v>231231</v>
      </c>
      <c r="H9206">
        <v>4571</v>
      </c>
      <c r="I9206" t="s">
        <v>181</v>
      </c>
      <c r="J9206">
        <v>11867.88</v>
      </c>
      <c r="K9206">
        <v>2297.0100000000002</v>
      </c>
      <c r="L9206">
        <v>69111</v>
      </c>
      <c r="M9206" t="s">
        <v>471</v>
      </c>
      <c r="N9206" t="str">
        <f>"50298       "</f>
        <v xml:space="preserve">50298       </v>
      </c>
      <c r="O9206">
        <v>240116</v>
      </c>
    </row>
    <row r="9207" spans="1:15" x14ac:dyDescent="0.25">
      <c r="A9207" t="s">
        <v>16</v>
      </c>
      <c r="B9207" t="s">
        <v>3221</v>
      </c>
      <c r="C9207">
        <v>19274</v>
      </c>
      <c r="D9207" t="s">
        <v>999</v>
      </c>
      <c r="E9207" t="s">
        <v>1000</v>
      </c>
      <c r="F9207">
        <v>14356.3</v>
      </c>
      <c r="G9207">
        <v>231231</v>
      </c>
      <c r="H9207">
        <v>4571</v>
      </c>
      <c r="I9207" t="s">
        <v>181</v>
      </c>
      <c r="J9207">
        <v>17801.810000000001</v>
      </c>
      <c r="K9207">
        <v>3445.51</v>
      </c>
      <c r="L9207">
        <v>69501</v>
      </c>
      <c r="M9207" t="s">
        <v>185</v>
      </c>
      <c r="N9207" t="str">
        <f>"50298       "</f>
        <v xml:space="preserve">50298       </v>
      </c>
      <c r="O9207">
        <v>240116</v>
      </c>
    </row>
    <row r="9208" spans="1:15" x14ac:dyDescent="0.25">
      <c r="A9208" t="s">
        <v>16</v>
      </c>
      <c r="B9208" t="s">
        <v>3221</v>
      </c>
      <c r="C9208">
        <v>19275</v>
      </c>
      <c r="D9208" t="s">
        <v>999</v>
      </c>
      <c r="E9208" t="s">
        <v>1000</v>
      </c>
      <c r="F9208">
        <v>19089.86</v>
      </c>
      <c r="G9208">
        <v>231231</v>
      </c>
      <c r="H9208">
        <v>4571</v>
      </c>
      <c r="I9208" t="s">
        <v>181</v>
      </c>
      <c r="J9208">
        <v>23671.43</v>
      </c>
      <c r="K9208">
        <v>4581.57</v>
      </c>
      <c r="L9208">
        <v>69501</v>
      </c>
      <c r="M9208" t="s">
        <v>185</v>
      </c>
      <c r="N9208" t="str">
        <f>"50299       "</f>
        <v xml:space="preserve">50299       </v>
      </c>
      <c r="O9208">
        <v>240116</v>
      </c>
    </row>
    <row r="9209" spans="1:15" x14ac:dyDescent="0.25">
      <c r="A9209" t="s">
        <v>16</v>
      </c>
      <c r="B9209" t="s">
        <v>3221</v>
      </c>
      <c r="C9209">
        <v>9959</v>
      </c>
      <c r="D9209" t="s">
        <v>999</v>
      </c>
      <c r="E9209" t="s">
        <v>1000</v>
      </c>
      <c r="F9209">
        <v>1569.86</v>
      </c>
      <c r="G9209">
        <v>230731</v>
      </c>
      <c r="H9209">
        <v>4572</v>
      </c>
      <c r="I9209" t="s">
        <v>122</v>
      </c>
      <c r="J9209">
        <v>1946.63</v>
      </c>
      <c r="K9209">
        <v>376.77</v>
      </c>
      <c r="L9209">
        <v>69111</v>
      </c>
      <c r="M9209" t="s">
        <v>471</v>
      </c>
      <c r="N9209" t="str">
        <f>"18067       "</f>
        <v xml:space="preserve">18067       </v>
      </c>
      <c r="O9209">
        <v>230803</v>
      </c>
    </row>
    <row r="9210" spans="1:15" x14ac:dyDescent="0.25">
      <c r="A9210" t="s">
        <v>16</v>
      </c>
      <c r="B9210" t="s">
        <v>3221</v>
      </c>
      <c r="C9210">
        <v>9959</v>
      </c>
      <c r="D9210" t="s">
        <v>999</v>
      </c>
      <c r="E9210" t="s">
        <v>1000</v>
      </c>
      <c r="F9210">
        <v>2478.73</v>
      </c>
      <c r="G9210">
        <v>230731</v>
      </c>
      <c r="H9210">
        <v>4572</v>
      </c>
      <c r="I9210" t="s">
        <v>122</v>
      </c>
      <c r="J9210">
        <v>3073.63</v>
      </c>
      <c r="K9210">
        <v>594.9</v>
      </c>
      <c r="L9210">
        <v>69501</v>
      </c>
      <c r="M9210" t="s">
        <v>185</v>
      </c>
      <c r="N9210" t="str">
        <f>"18067       "</f>
        <v xml:space="preserve">18067       </v>
      </c>
      <c r="O9210">
        <v>230803</v>
      </c>
    </row>
    <row r="9211" spans="1:15" x14ac:dyDescent="0.25">
      <c r="A9211" t="s">
        <v>16</v>
      </c>
      <c r="B9211" t="s">
        <v>3221</v>
      </c>
      <c r="C9211">
        <v>9959</v>
      </c>
      <c r="D9211" t="s">
        <v>999</v>
      </c>
      <c r="E9211" t="s">
        <v>1000</v>
      </c>
      <c r="F9211">
        <v>20.65</v>
      </c>
      <c r="G9211">
        <v>230731</v>
      </c>
      <c r="H9211">
        <v>4572</v>
      </c>
      <c r="I9211" t="s">
        <v>122</v>
      </c>
      <c r="J9211">
        <v>25.61</v>
      </c>
      <c r="K9211">
        <v>4.96</v>
      </c>
      <c r="L9211">
        <v>69802</v>
      </c>
      <c r="M9211" t="s">
        <v>283</v>
      </c>
      <c r="N9211" t="str">
        <f>"18067       "</f>
        <v xml:space="preserve">18067       </v>
      </c>
      <c r="O9211">
        <v>230803</v>
      </c>
    </row>
    <row r="9212" spans="1:15" x14ac:dyDescent="0.25">
      <c r="A9212" t="s">
        <v>16</v>
      </c>
      <c r="B9212" t="s">
        <v>3221</v>
      </c>
      <c r="C9212">
        <v>9959</v>
      </c>
      <c r="D9212" t="s">
        <v>999</v>
      </c>
      <c r="E9212" t="s">
        <v>1000</v>
      </c>
      <c r="F9212">
        <v>51.23</v>
      </c>
      <c r="G9212">
        <v>230731</v>
      </c>
      <c r="H9212">
        <v>4572</v>
      </c>
      <c r="I9212" t="s">
        <v>122</v>
      </c>
      <c r="J9212">
        <v>51.23</v>
      </c>
      <c r="K9212">
        <v>0</v>
      </c>
      <c r="L9212">
        <v>69803</v>
      </c>
      <c r="M9212" t="s">
        <v>755</v>
      </c>
      <c r="N9212" t="str">
        <f>"18067       "</f>
        <v xml:space="preserve">18067       </v>
      </c>
      <c r="O9212">
        <v>230803</v>
      </c>
    </row>
    <row r="9213" spans="1:15" x14ac:dyDescent="0.25">
      <c r="A9213" t="s">
        <v>16</v>
      </c>
      <c r="B9213" t="s">
        <v>3221</v>
      </c>
      <c r="C9213">
        <v>9959</v>
      </c>
      <c r="D9213" t="s">
        <v>999</v>
      </c>
      <c r="E9213" t="s">
        <v>1000</v>
      </c>
      <c r="F9213">
        <v>20.65</v>
      </c>
      <c r="G9213">
        <v>230731</v>
      </c>
      <c r="H9213">
        <v>4572</v>
      </c>
      <c r="I9213" t="s">
        <v>122</v>
      </c>
      <c r="J9213">
        <v>25.61</v>
      </c>
      <c r="K9213">
        <v>4.96</v>
      </c>
      <c r="L9213">
        <v>69804</v>
      </c>
      <c r="M9213" t="s">
        <v>284</v>
      </c>
      <c r="N9213" t="str">
        <f>"18067       "</f>
        <v xml:space="preserve">18067       </v>
      </c>
      <c r="O9213">
        <v>230803</v>
      </c>
    </row>
    <row r="9214" spans="1:15" x14ac:dyDescent="0.25">
      <c r="A9214" t="s">
        <v>16</v>
      </c>
      <c r="B9214" t="s">
        <v>3221</v>
      </c>
      <c r="C9214">
        <v>1134</v>
      </c>
      <c r="D9214" t="s">
        <v>905</v>
      </c>
      <c r="E9214" t="s">
        <v>906</v>
      </c>
      <c r="F9214">
        <v>127.8</v>
      </c>
      <c r="G9214">
        <v>230201</v>
      </c>
      <c r="H9214">
        <v>4572</v>
      </c>
      <c r="I9214" t="s">
        <v>122</v>
      </c>
      <c r="J9214">
        <v>158.47</v>
      </c>
      <c r="K9214">
        <v>30.67</v>
      </c>
      <c r="L9214">
        <v>69501</v>
      </c>
      <c r="M9214" t="s">
        <v>185</v>
      </c>
      <c r="N9214" t="str">
        <f>"51114155    "</f>
        <v xml:space="preserve">51114155    </v>
      </c>
      <c r="O9214">
        <v>230206</v>
      </c>
    </row>
    <row r="9215" spans="1:15" x14ac:dyDescent="0.25">
      <c r="A9215" t="s">
        <v>16</v>
      </c>
      <c r="B9215" t="s">
        <v>3221</v>
      </c>
      <c r="C9215">
        <v>1135</v>
      </c>
      <c r="D9215" t="s">
        <v>905</v>
      </c>
      <c r="E9215" t="s">
        <v>906</v>
      </c>
      <c r="F9215">
        <v>16.8</v>
      </c>
      <c r="G9215">
        <v>230201</v>
      </c>
      <c r="H9215">
        <v>4572</v>
      </c>
      <c r="I9215" t="s">
        <v>122</v>
      </c>
      <c r="J9215">
        <v>20.83</v>
      </c>
      <c r="K9215">
        <v>4.03</v>
      </c>
      <c r="L9215">
        <v>69501</v>
      </c>
      <c r="M9215" t="s">
        <v>185</v>
      </c>
      <c r="N9215" t="str">
        <f>"51114156    "</f>
        <v xml:space="preserve">51114156    </v>
      </c>
      <c r="O9215">
        <v>230206</v>
      </c>
    </row>
    <row r="9216" spans="1:15" x14ac:dyDescent="0.25">
      <c r="A9216" t="s">
        <v>16</v>
      </c>
      <c r="B9216" t="s">
        <v>3221</v>
      </c>
      <c r="C9216">
        <v>1657</v>
      </c>
      <c r="D9216" t="s">
        <v>905</v>
      </c>
      <c r="E9216" t="s">
        <v>906</v>
      </c>
      <c r="F9216">
        <v>1413.83</v>
      </c>
      <c r="G9216">
        <v>230201</v>
      </c>
      <c r="H9216">
        <v>4572</v>
      </c>
      <c r="I9216" t="s">
        <v>122</v>
      </c>
      <c r="J9216">
        <v>1753.15</v>
      </c>
      <c r="K9216">
        <v>339.32</v>
      </c>
      <c r="L9216">
        <v>69111</v>
      </c>
      <c r="M9216" t="s">
        <v>471</v>
      </c>
      <c r="N9216" t="str">
        <f>"51114154    "</f>
        <v xml:space="preserve">51114154    </v>
      </c>
      <c r="O9216">
        <v>230213</v>
      </c>
    </row>
    <row r="9217" spans="1:15" x14ac:dyDescent="0.25">
      <c r="A9217" t="s">
        <v>16</v>
      </c>
      <c r="B9217" t="s">
        <v>3221</v>
      </c>
      <c r="C9217">
        <v>1657</v>
      </c>
      <c r="D9217" t="s">
        <v>905</v>
      </c>
      <c r="E9217" t="s">
        <v>906</v>
      </c>
      <c r="F9217">
        <v>2625.69</v>
      </c>
      <c r="G9217">
        <v>230201</v>
      </c>
      <c r="H9217">
        <v>4572</v>
      </c>
      <c r="I9217" t="s">
        <v>122</v>
      </c>
      <c r="J9217">
        <v>3255.86</v>
      </c>
      <c r="K9217">
        <v>630.16999999999996</v>
      </c>
      <c r="L9217">
        <v>69501</v>
      </c>
      <c r="M9217" t="s">
        <v>185</v>
      </c>
      <c r="N9217" t="str">
        <f>"51114154    "</f>
        <v xml:space="preserve">51114154    </v>
      </c>
      <c r="O9217">
        <v>230213</v>
      </c>
    </row>
    <row r="9218" spans="1:15" x14ac:dyDescent="0.25">
      <c r="A9218" t="s">
        <v>16</v>
      </c>
      <c r="B9218" t="s">
        <v>3221</v>
      </c>
      <c r="C9218">
        <v>2574</v>
      </c>
      <c r="D9218" t="s">
        <v>905</v>
      </c>
      <c r="E9218" t="s">
        <v>906</v>
      </c>
      <c r="F9218">
        <v>117.31</v>
      </c>
      <c r="G9218">
        <v>230301</v>
      </c>
      <c r="H9218">
        <v>4572</v>
      </c>
      <c r="I9218" t="s">
        <v>122</v>
      </c>
      <c r="J9218">
        <v>145.47</v>
      </c>
      <c r="K9218">
        <v>28.16</v>
      </c>
      <c r="L9218">
        <v>69501</v>
      </c>
      <c r="M9218" t="s">
        <v>185</v>
      </c>
      <c r="N9218" t="str">
        <f>"51118791    "</f>
        <v xml:space="preserve">51118791    </v>
      </c>
      <c r="O9218">
        <v>230302</v>
      </c>
    </row>
    <row r="9219" spans="1:15" x14ac:dyDescent="0.25">
      <c r="A9219" t="s">
        <v>16</v>
      </c>
      <c r="B9219" t="s">
        <v>3221</v>
      </c>
      <c r="C9219">
        <v>3011</v>
      </c>
      <c r="D9219" t="s">
        <v>905</v>
      </c>
      <c r="E9219" t="s">
        <v>906</v>
      </c>
      <c r="F9219">
        <v>16.8</v>
      </c>
      <c r="G9219">
        <v>230302</v>
      </c>
      <c r="H9219">
        <v>4572</v>
      </c>
      <c r="I9219" t="s">
        <v>122</v>
      </c>
      <c r="J9219">
        <v>20.83</v>
      </c>
      <c r="K9219">
        <v>4.03</v>
      </c>
      <c r="L9219">
        <v>69501</v>
      </c>
      <c r="M9219" t="s">
        <v>185</v>
      </c>
      <c r="N9219" t="str">
        <f>"51119417    "</f>
        <v xml:space="preserve">51119417    </v>
      </c>
      <c r="O9219">
        <v>230308</v>
      </c>
    </row>
    <row r="9220" spans="1:15" x14ac:dyDescent="0.25">
      <c r="A9220" t="s">
        <v>16</v>
      </c>
      <c r="B9220" t="s">
        <v>3221</v>
      </c>
      <c r="C9220">
        <v>3019</v>
      </c>
      <c r="D9220" t="s">
        <v>905</v>
      </c>
      <c r="E9220" t="s">
        <v>906</v>
      </c>
      <c r="F9220">
        <v>1535.85</v>
      </c>
      <c r="G9220">
        <v>230301</v>
      </c>
      <c r="H9220">
        <v>4572</v>
      </c>
      <c r="I9220" t="s">
        <v>122</v>
      </c>
      <c r="J9220">
        <v>1904.46</v>
      </c>
      <c r="K9220">
        <v>368.61</v>
      </c>
      <c r="L9220">
        <v>69111</v>
      </c>
      <c r="M9220" t="s">
        <v>471</v>
      </c>
      <c r="N9220" t="str">
        <f>"51118790    "</f>
        <v xml:space="preserve">51118790    </v>
      </c>
      <c r="O9220">
        <v>230308</v>
      </c>
    </row>
    <row r="9221" spans="1:15" x14ac:dyDescent="0.25">
      <c r="A9221" t="s">
        <v>16</v>
      </c>
      <c r="B9221" t="s">
        <v>3221</v>
      </c>
      <c r="C9221">
        <v>3019</v>
      </c>
      <c r="D9221" t="s">
        <v>905</v>
      </c>
      <c r="E9221" t="s">
        <v>906</v>
      </c>
      <c r="F9221">
        <v>2830.57</v>
      </c>
      <c r="G9221">
        <v>230301</v>
      </c>
      <c r="H9221">
        <v>4572</v>
      </c>
      <c r="I9221" t="s">
        <v>122</v>
      </c>
      <c r="J9221">
        <v>3509.91</v>
      </c>
      <c r="K9221">
        <v>679.34</v>
      </c>
      <c r="L9221">
        <v>69501</v>
      </c>
      <c r="M9221" t="s">
        <v>185</v>
      </c>
      <c r="N9221" t="str">
        <f>"51118790    "</f>
        <v xml:space="preserve">51118790    </v>
      </c>
      <c r="O9221">
        <v>230308</v>
      </c>
    </row>
    <row r="9222" spans="1:15" x14ac:dyDescent="0.25">
      <c r="A9222" t="s">
        <v>16</v>
      </c>
      <c r="B9222" t="s">
        <v>3221</v>
      </c>
      <c r="C9222">
        <v>3019</v>
      </c>
      <c r="D9222" t="s">
        <v>905</v>
      </c>
      <c r="E9222" t="s">
        <v>906</v>
      </c>
      <c r="F9222">
        <v>21.94</v>
      </c>
      <c r="G9222">
        <v>230301</v>
      </c>
      <c r="H9222">
        <v>4572</v>
      </c>
      <c r="I9222" t="s">
        <v>122</v>
      </c>
      <c r="J9222">
        <v>27.21</v>
      </c>
      <c r="K9222">
        <v>5.27</v>
      </c>
      <c r="L9222">
        <v>69803</v>
      </c>
      <c r="M9222" t="s">
        <v>755</v>
      </c>
      <c r="N9222" t="str">
        <f>"51118790    "</f>
        <v xml:space="preserve">51118790    </v>
      </c>
      <c r="O9222">
        <v>230308</v>
      </c>
    </row>
    <row r="9223" spans="1:15" x14ac:dyDescent="0.25">
      <c r="A9223" t="s">
        <v>16</v>
      </c>
      <c r="B9223" t="s">
        <v>3221</v>
      </c>
      <c r="C9223">
        <v>4625</v>
      </c>
      <c r="D9223" t="s">
        <v>905</v>
      </c>
      <c r="E9223" t="s">
        <v>906</v>
      </c>
      <c r="F9223">
        <v>1647.16</v>
      </c>
      <c r="G9223">
        <v>230403</v>
      </c>
      <c r="H9223">
        <v>4572</v>
      </c>
      <c r="I9223" t="s">
        <v>122</v>
      </c>
      <c r="J9223">
        <v>2042.48</v>
      </c>
      <c r="K9223">
        <v>395.32</v>
      </c>
      <c r="L9223">
        <v>69111</v>
      </c>
      <c r="M9223" t="s">
        <v>471</v>
      </c>
      <c r="N9223" t="str">
        <f>"51124499    "</f>
        <v xml:space="preserve">51124499    </v>
      </c>
      <c r="O9223">
        <v>230411</v>
      </c>
    </row>
    <row r="9224" spans="1:15" x14ac:dyDescent="0.25">
      <c r="A9224" t="s">
        <v>16</v>
      </c>
      <c r="B9224" t="s">
        <v>3221</v>
      </c>
      <c r="C9224">
        <v>4625</v>
      </c>
      <c r="D9224" t="s">
        <v>905</v>
      </c>
      <c r="E9224" t="s">
        <v>906</v>
      </c>
      <c r="F9224">
        <v>3220.02</v>
      </c>
      <c r="G9224">
        <v>230403</v>
      </c>
      <c r="H9224">
        <v>4572</v>
      </c>
      <c r="I9224" t="s">
        <v>122</v>
      </c>
      <c r="J9224">
        <v>3992.83</v>
      </c>
      <c r="K9224">
        <v>772.81</v>
      </c>
      <c r="L9224">
        <v>69501</v>
      </c>
      <c r="M9224" t="s">
        <v>185</v>
      </c>
      <c r="N9224" t="str">
        <f>"51124499    "</f>
        <v xml:space="preserve">51124499    </v>
      </c>
      <c r="O9224">
        <v>230411</v>
      </c>
    </row>
    <row r="9225" spans="1:15" x14ac:dyDescent="0.25">
      <c r="A9225" t="s">
        <v>16</v>
      </c>
      <c r="B9225" t="s">
        <v>3221</v>
      </c>
      <c r="C9225">
        <v>4625</v>
      </c>
      <c r="D9225" t="s">
        <v>905</v>
      </c>
      <c r="E9225" t="s">
        <v>906</v>
      </c>
      <c r="F9225">
        <v>43.35</v>
      </c>
      <c r="G9225">
        <v>230403</v>
      </c>
      <c r="H9225">
        <v>4572</v>
      </c>
      <c r="I9225" t="s">
        <v>122</v>
      </c>
      <c r="J9225">
        <v>53.75</v>
      </c>
      <c r="K9225">
        <v>10.4</v>
      </c>
      <c r="L9225">
        <v>69801</v>
      </c>
      <c r="M9225" t="s">
        <v>1735</v>
      </c>
      <c r="N9225" t="str">
        <f>"51124499    "</f>
        <v xml:space="preserve">51124499    </v>
      </c>
      <c r="O9225">
        <v>230411</v>
      </c>
    </row>
    <row r="9226" spans="1:15" x14ac:dyDescent="0.25">
      <c r="A9226" t="s">
        <v>16</v>
      </c>
      <c r="B9226" t="s">
        <v>3221</v>
      </c>
      <c r="C9226">
        <v>4625</v>
      </c>
      <c r="D9226" t="s">
        <v>905</v>
      </c>
      <c r="E9226" t="s">
        <v>906</v>
      </c>
      <c r="F9226">
        <v>43.35</v>
      </c>
      <c r="G9226">
        <v>230403</v>
      </c>
      <c r="H9226">
        <v>4572</v>
      </c>
      <c r="I9226" t="s">
        <v>122</v>
      </c>
      <c r="J9226">
        <v>53.75</v>
      </c>
      <c r="K9226">
        <v>10.4</v>
      </c>
      <c r="L9226">
        <v>69803</v>
      </c>
      <c r="M9226" t="s">
        <v>755</v>
      </c>
      <c r="N9226" t="str">
        <f>"51124499    "</f>
        <v xml:space="preserve">51124499    </v>
      </c>
      <c r="O9226">
        <v>230411</v>
      </c>
    </row>
    <row r="9227" spans="1:15" x14ac:dyDescent="0.25">
      <c r="A9227" t="s">
        <v>16</v>
      </c>
      <c r="B9227" t="s">
        <v>3221</v>
      </c>
      <c r="C9227">
        <v>4626</v>
      </c>
      <c r="D9227" t="s">
        <v>905</v>
      </c>
      <c r="E9227" t="s">
        <v>906</v>
      </c>
      <c r="F9227">
        <v>116.25</v>
      </c>
      <c r="G9227">
        <v>230403</v>
      </c>
      <c r="H9227">
        <v>4572</v>
      </c>
      <c r="I9227" t="s">
        <v>122</v>
      </c>
      <c r="J9227">
        <v>144.15</v>
      </c>
      <c r="K9227">
        <v>27.9</v>
      </c>
      <c r="L9227">
        <v>69501</v>
      </c>
      <c r="M9227" t="s">
        <v>185</v>
      </c>
      <c r="N9227" t="str">
        <f>"51124500    "</f>
        <v xml:space="preserve">51124500    </v>
      </c>
      <c r="O9227">
        <v>230411</v>
      </c>
    </row>
    <row r="9228" spans="1:15" x14ac:dyDescent="0.25">
      <c r="A9228" t="s">
        <v>16</v>
      </c>
      <c r="B9228" t="s">
        <v>3221</v>
      </c>
      <c r="C9228">
        <v>4764</v>
      </c>
      <c r="D9228" t="s">
        <v>905</v>
      </c>
      <c r="E9228" t="s">
        <v>906</v>
      </c>
      <c r="F9228">
        <v>16.8</v>
      </c>
      <c r="G9228">
        <v>230406</v>
      </c>
      <c r="H9228">
        <v>4572</v>
      </c>
      <c r="I9228" t="s">
        <v>122</v>
      </c>
      <c r="J9228">
        <v>20.83</v>
      </c>
      <c r="K9228">
        <v>4.03</v>
      </c>
      <c r="L9228">
        <v>69501</v>
      </c>
      <c r="M9228" t="s">
        <v>185</v>
      </c>
      <c r="N9228" t="str">
        <f>"51124722    "</f>
        <v xml:space="preserve">51124722    </v>
      </c>
      <c r="O9228">
        <v>230412</v>
      </c>
    </row>
    <row r="9229" spans="1:15" x14ac:dyDescent="0.25">
      <c r="A9229" t="s">
        <v>16</v>
      </c>
      <c r="B9229" t="s">
        <v>3221</v>
      </c>
      <c r="C9229">
        <v>5907</v>
      </c>
      <c r="D9229" t="s">
        <v>905</v>
      </c>
      <c r="E9229" t="s">
        <v>906</v>
      </c>
      <c r="F9229">
        <v>83.74</v>
      </c>
      <c r="G9229">
        <v>230502</v>
      </c>
      <c r="H9229">
        <v>4572</v>
      </c>
      <c r="I9229" t="s">
        <v>122</v>
      </c>
      <c r="J9229">
        <v>103.84</v>
      </c>
      <c r="K9229">
        <v>20.100000000000001</v>
      </c>
      <c r="L9229">
        <v>69501</v>
      </c>
      <c r="M9229" t="s">
        <v>185</v>
      </c>
      <c r="N9229" t="str">
        <f>"51129212    "</f>
        <v xml:space="preserve">51129212    </v>
      </c>
      <c r="O9229">
        <v>230503</v>
      </c>
    </row>
    <row r="9230" spans="1:15" x14ac:dyDescent="0.25">
      <c r="A9230" t="s">
        <v>16</v>
      </c>
      <c r="B9230" t="s">
        <v>3221</v>
      </c>
      <c r="C9230">
        <v>5908</v>
      </c>
      <c r="D9230" t="s">
        <v>905</v>
      </c>
      <c r="E9230" t="s">
        <v>906</v>
      </c>
      <c r="F9230">
        <v>16.8</v>
      </c>
      <c r="G9230">
        <v>230502</v>
      </c>
      <c r="H9230">
        <v>4572</v>
      </c>
      <c r="I9230" t="s">
        <v>122</v>
      </c>
      <c r="J9230">
        <v>20.83</v>
      </c>
      <c r="K9230">
        <v>4.03</v>
      </c>
      <c r="L9230">
        <v>69501</v>
      </c>
      <c r="M9230" t="s">
        <v>185</v>
      </c>
      <c r="N9230" t="str">
        <f>"51129213    "</f>
        <v xml:space="preserve">51129213    </v>
      </c>
      <c r="O9230">
        <v>230503</v>
      </c>
    </row>
    <row r="9231" spans="1:15" x14ac:dyDescent="0.25">
      <c r="A9231" t="s">
        <v>16</v>
      </c>
      <c r="B9231" t="s">
        <v>3221</v>
      </c>
      <c r="C9231">
        <v>6389</v>
      </c>
      <c r="D9231" t="s">
        <v>905</v>
      </c>
      <c r="E9231" t="s">
        <v>906</v>
      </c>
      <c r="F9231">
        <v>1136.97</v>
      </c>
      <c r="G9231">
        <v>230502</v>
      </c>
      <c r="H9231">
        <v>4572</v>
      </c>
      <c r="I9231" t="s">
        <v>122</v>
      </c>
      <c r="J9231">
        <v>1409.84</v>
      </c>
      <c r="K9231">
        <v>272.87</v>
      </c>
      <c r="L9231">
        <v>69111</v>
      </c>
      <c r="M9231" t="s">
        <v>471</v>
      </c>
      <c r="N9231" t="str">
        <f>"51129211    "</f>
        <v xml:space="preserve">51129211    </v>
      </c>
      <c r="O9231">
        <v>230510</v>
      </c>
    </row>
    <row r="9232" spans="1:15" x14ac:dyDescent="0.25">
      <c r="A9232" t="s">
        <v>16</v>
      </c>
      <c r="B9232" t="s">
        <v>3221</v>
      </c>
      <c r="C9232">
        <v>6389</v>
      </c>
      <c r="D9232" t="s">
        <v>905</v>
      </c>
      <c r="E9232" t="s">
        <v>906</v>
      </c>
      <c r="F9232">
        <v>2679.71</v>
      </c>
      <c r="G9232">
        <v>230502</v>
      </c>
      <c r="H9232">
        <v>4572</v>
      </c>
      <c r="I9232" t="s">
        <v>122</v>
      </c>
      <c r="J9232">
        <v>3322.84</v>
      </c>
      <c r="K9232">
        <v>643.13</v>
      </c>
      <c r="L9232">
        <v>69501</v>
      </c>
      <c r="M9232" t="s">
        <v>185</v>
      </c>
      <c r="N9232" t="str">
        <f>"51129211    "</f>
        <v xml:space="preserve">51129211    </v>
      </c>
      <c r="O9232">
        <v>230510</v>
      </c>
    </row>
    <row r="9233" spans="1:15" x14ac:dyDescent="0.25">
      <c r="A9233" t="s">
        <v>16</v>
      </c>
      <c r="B9233" t="s">
        <v>3221</v>
      </c>
      <c r="C9233">
        <v>6389</v>
      </c>
      <c r="D9233" t="s">
        <v>905</v>
      </c>
      <c r="E9233" t="s">
        <v>906</v>
      </c>
      <c r="F9233">
        <v>14.24</v>
      </c>
      <c r="G9233">
        <v>230502</v>
      </c>
      <c r="H9233">
        <v>4572</v>
      </c>
      <c r="I9233" t="s">
        <v>122</v>
      </c>
      <c r="J9233">
        <v>14.24</v>
      </c>
      <c r="K9233">
        <v>0</v>
      </c>
      <c r="L9233">
        <v>69803</v>
      </c>
      <c r="M9233" t="s">
        <v>755</v>
      </c>
      <c r="N9233" t="str">
        <f>"51129211    "</f>
        <v xml:space="preserve">51129211    </v>
      </c>
      <c r="O9233">
        <v>230510</v>
      </c>
    </row>
    <row r="9234" spans="1:15" x14ac:dyDescent="0.25">
      <c r="A9234" t="s">
        <v>16</v>
      </c>
      <c r="B9234" t="s">
        <v>3221</v>
      </c>
      <c r="C9234">
        <v>8168</v>
      </c>
      <c r="D9234" t="s">
        <v>905</v>
      </c>
      <c r="E9234" t="s">
        <v>906</v>
      </c>
      <c r="F9234">
        <v>16.8</v>
      </c>
      <c r="G9234">
        <v>230601</v>
      </c>
      <c r="H9234">
        <v>4572</v>
      </c>
      <c r="I9234" t="s">
        <v>122</v>
      </c>
      <c r="J9234">
        <v>20.83</v>
      </c>
      <c r="K9234">
        <v>4.03</v>
      </c>
      <c r="L9234">
        <v>69501</v>
      </c>
      <c r="M9234" t="s">
        <v>185</v>
      </c>
      <c r="N9234" t="str">
        <f>"51134997    "</f>
        <v xml:space="preserve">51134997    </v>
      </c>
      <c r="O9234">
        <v>230607</v>
      </c>
    </row>
    <row r="9235" spans="1:15" x14ac:dyDescent="0.25">
      <c r="A9235" t="s">
        <v>16</v>
      </c>
      <c r="B9235" t="s">
        <v>3221</v>
      </c>
      <c r="C9235">
        <v>8169</v>
      </c>
      <c r="D9235" t="s">
        <v>905</v>
      </c>
      <c r="E9235" t="s">
        <v>906</v>
      </c>
      <c r="F9235">
        <v>56.07</v>
      </c>
      <c r="G9235">
        <v>230601</v>
      </c>
      <c r="H9235">
        <v>4572</v>
      </c>
      <c r="I9235" t="s">
        <v>122</v>
      </c>
      <c r="J9235">
        <v>69.53</v>
      </c>
      <c r="K9235">
        <v>13.46</v>
      </c>
      <c r="L9235">
        <v>69501</v>
      </c>
      <c r="M9235" t="s">
        <v>185</v>
      </c>
      <c r="N9235" t="str">
        <f>"51134998    "</f>
        <v xml:space="preserve">51134998    </v>
      </c>
      <c r="O9235">
        <v>230607</v>
      </c>
    </row>
    <row r="9236" spans="1:15" x14ac:dyDescent="0.25">
      <c r="A9236" t="s">
        <v>16</v>
      </c>
      <c r="B9236" t="s">
        <v>3221</v>
      </c>
      <c r="C9236">
        <v>8170</v>
      </c>
      <c r="D9236" t="s">
        <v>905</v>
      </c>
      <c r="E9236" t="s">
        <v>906</v>
      </c>
      <c r="F9236">
        <v>976.73</v>
      </c>
      <c r="G9236">
        <v>230601</v>
      </c>
      <c r="H9236">
        <v>4572</v>
      </c>
      <c r="I9236" t="s">
        <v>122</v>
      </c>
      <c r="J9236">
        <v>1211.1500000000001</v>
      </c>
      <c r="K9236">
        <v>234.42</v>
      </c>
      <c r="L9236">
        <v>69111</v>
      </c>
      <c r="M9236" t="s">
        <v>471</v>
      </c>
      <c r="N9236" t="str">
        <f>"51134996    "</f>
        <v xml:space="preserve">51134996    </v>
      </c>
      <c r="O9236">
        <v>230607</v>
      </c>
    </row>
    <row r="9237" spans="1:15" x14ac:dyDescent="0.25">
      <c r="A9237" t="s">
        <v>16</v>
      </c>
      <c r="B9237" t="s">
        <v>3221</v>
      </c>
      <c r="C9237">
        <v>8170</v>
      </c>
      <c r="D9237" t="s">
        <v>905</v>
      </c>
      <c r="E9237" t="s">
        <v>906</v>
      </c>
      <c r="F9237">
        <v>2399</v>
      </c>
      <c r="G9237">
        <v>230601</v>
      </c>
      <c r="H9237">
        <v>4572</v>
      </c>
      <c r="I9237" t="s">
        <v>122</v>
      </c>
      <c r="J9237">
        <v>2974.76</v>
      </c>
      <c r="K9237">
        <v>575.76</v>
      </c>
      <c r="L9237">
        <v>69501</v>
      </c>
      <c r="M9237" t="s">
        <v>185</v>
      </c>
      <c r="N9237" t="str">
        <f>"51134996    "</f>
        <v xml:space="preserve">51134996    </v>
      </c>
      <c r="O9237">
        <v>230607</v>
      </c>
    </row>
    <row r="9238" spans="1:15" x14ac:dyDescent="0.25">
      <c r="A9238" t="s">
        <v>16</v>
      </c>
      <c r="B9238" t="s">
        <v>3221</v>
      </c>
      <c r="C9238">
        <v>8170</v>
      </c>
      <c r="D9238" t="s">
        <v>905</v>
      </c>
      <c r="E9238" t="s">
        <v>906</v>
      </c>
      <c r="F9238">
        <v>63.74</v>
      </c>
      <c r="G9238">
        <v>230601</v>
      </c>
      <c r="H9238">
        <v>4572</v>
      </c>
      <c r="I9238" t="s">
        <v>122</v>
      </c>
      <c r="J9238">
        <v>63.74</v>
      </c>
      <c r="K9238">
        <v>0</v>
      </c>
      <c r="L9238">
        <v>69803</v>
      </c>
      <c r="M9238" t="s">
        <v>755</v>
      </c>
      <c r="N9238" t="str">
        <f>"51134996    "</f>
        <v xml:space="preserve">51134996    </v>
      </c>
      <c r="O9238">
        <v>230607</v>
      </c>
    </row>
    <row r="9239" spans="1:15" x14ac:dyDescent="0.25">
      <c r="A9239" t="s">
        <v>16</v>
      </c>
      <c r="B9239" t="s">
        <v>3221</v>
      </c>
      <c r="C9239">
        <v>9394</v>
      </c>
      <c r="D9239" t="s">
        <v>905</v>
      </c>
      <c r="E9239" t="s">
        <v>906</v>
      </c>
      <c r="F9239">
        <v>49.13</v>
      </c>
      <c r="G9239">
        <v>230703</v>
      </c>
      <c r="H9239">
        <v>4572</v>
      </c>
      <c r="I9239" t="s">
        <v>122</v>
      </c>
      <c r="J9239">
        <v>60.92</v>
      </c>
      <c r="K9239">
        <v>11.79</v>
      </c>
      <c r="L9239">
        <v>69501</v>
      </c>
      <c r="M9239" t="s">
        <v>185</v>
      </c>
      <c r="N9239" t="str">
        <f>"51139623    "</f>
        <v xml:space="preserve">51139623    </v>
      </c>
      <c r="O9239">
        <v>230710</v>
      </c>
    </row>
    <row r="9240" spans="1:15" x14ac:dyDescent="0.25">
      <c r="A9240" t="s">
        <v>16</v>
      </c>
      <c r="B9240" t="s">
        <v>3221</v>
      </c>
      <c r="C9240">
        <v>9395</v>
      </c>
      <c r="D9240" t="s">
        <v>905</v>
      </c>
      <c r="E9240" t="s">
        <v>906</v>
      </c>
      <c r="F9240">
        <v>821.27</v>
      </c>
      <c r="G9240">
        <v>230703</v>
      </c>
      <c r="H9240">
        <v>4572</v>
      </c>
      <c r="I9240" t="s">
        <v>122</v>
      </c>
      <c r="J9240">
        <v>1018.37</v>
      </c>
      <c r="K9240">
        <v>197.1</v>
      </c>
      <c r="L9240">
        <v>69111</v>
      </c>
      <c r="M9240" t="s">
        <v>471</v>
      </c>
      <c r="N9240" t="str">
        <f>"51139695    "</f>
        <v xml:space="preserve">51139695    </v>
      </c>
      <c r="O9240">
        <v>230710</v>
      </c>
    </row>
    <row r="9241" spans="1:15" x14ac:dyDescent="0.25">
      <c r="A9241" t="s">
        <v>16</v>
      </c>
      <c r="B9241" t="s">
        <v>3221</v>
      </c>
      <c r="C9241">
        <v>9395</v>
      </c>
      <c r="D9241" t="s">
        <v>905</v>
      </c>
      <c r="E9241" t="s">
        <v>906</v>
      </c>
      <c r="F9241">
        <v>1916.28</v>
      </c>
      <c r="G9241">
        <v>230703</v>
      </c>
      <c r="H9241">
        <v>4572</v>
      </c>
      <c r="I9241" t="s">
        <v>122</v>
      </c>
      <c r="J9241">
        <v>2376.19</v>
      </c>
      <c r="K9241">
        <v>459.91</v>
      </c>
      <c r="L9241">
        <v>69501</v>
      </c>
      <c r="M9241" t="s">
        <v>185</v>
      </c>
      <c r="N9241" t="str">
        <f>"51139695    "</f>
        <v xml:space="preserve">51139695    </v>
      </c>
      <c r="O9241">
        <v>230710</v>
      </c>
    </row>
    <row r="9242" spans="1:15" x14ac:dyDescent="0.25">
      <c r="A9242" t="s">
        <v>16</v>
      </c>
      <c r="B9242" t="s">
        <v>3221</v>
      </c>
      <c r="C9242">
        <v>9395</v>
      </c>
      <c r="D9242" t="s">
        <v>905</v>
      </c>
      <c r="E9242" t="s">
        <v>906</v>
      </c>
      <c r="F9242">
        <v>34.29</v>
      </c>
      <c r="G9242">
        <v>230703</v>
      </c>
      <c r="H9242">
        <v>4572</v>
      </c>
      <c r="I9242" t="s">
        <v>122</v>
      </c>
      <c r="J9242">
        <v>34.29</v>
      </c>
      <c r="K9242">
        <v>0</v>
      </c>
      <c r="L9242">
        <v>69803</v>
      </c>
      <c r="M9242" t="s">
        <v>755</v>
      </c>
      <c r="N9242" t="str">
        <f>"51139695    "</f>
        <v xml:space="preserve">51139695    </v>
      </c>
      <c r="O9242">
        <v>230710</v>
      </c>
    </row>
    <row r="9243" spans="1:15" x14ac:dyDescent="0.25">
      <c r="A9243" t="s">
        <v>16</v>
      </c>
      <c r="B9243" t="s">
        <v>3221</v>
      </c>
      <c r="C9243">
        <v>9401</v>
      </c>
      <c r="D9243" t="s">
        <v>905</v>
      </c>
      <c r="E9243" t="s">
        <v>906</v>
      </c>
      <c r="F9243">
        <v>16.8</v>
      </c>
      <c r="G9243">
        <v>230703</v>
      </c>
      <c r="H9243">
        <v>4572</v>
      </c>
      <c r="I9243" t="s">
        <v>122</v>
      </c>
      <c r="J9243">
        <v>20.83</v>
      </c>
      <c r="K9243">
        <v>4.03</v>
      </c>
      <c r="L9243">
        <v>69501</v>
      </c>
      <c r="M9243" t="s">
        <v>185</v>
      </c>
      <c r="N9243" t="str">
        <f>"51139624    "</f>
        <v xml:space="preserve">51139624    </v>
      </c>
      <c r="O9243">
        <v>230710</v>
      </c>
    </row>
    <row r="9244" spans="1:15" x14ac:dyDescent="0.25">
      <c r="A9244" t="s">
        <v>16</v>
      </c>
      <c r="B9244" t="s">
        <v>3221</v>
      </c>
      <c r="C9244">
        <v>9966</v>
      </c>
      <c r="D9244" t="s">
        <v>905</v>
      </c>
      <c r="E9244" t="s">
        <v>906</v>
      </c>
      <c r="F9244">
        <v>795.2</v>
      </c>
      <c r="G9244">
        <v>230801</v>
      </c>
      <c r="H9244">
        <v>4572</v>
      </c>
      <c r="I9244" t="s">
        <v>122</v>
      </c>
      <c r="J9244">
        <v>986.05</v>
      </c>
      <c r="K9244">
        <v>190.85</v>
      </c>
      <c r="L9244">
        <v>69111</v>
      </c>
      <c r="M9244" t="s">
        <v>471</v>
      </c>
      <c r="N9244" t="str">
        <f>"51145299    "</f>
        <v xml:space="preserve">51145299    </v>
      </c>
      <c r="O9244">
        <v>230803</v>
      </c>
    </row>
    <row r="9245" spans="1:15" x14ac:dyDescent="0.25">
      <c r="A9245" t="s">
        <v>16</v>
      </c>
      <c r="B9245" t="s">
        <v>3221</v>
      </c>
      <c r="C9245">
        <v>9966</v>
      </c>
      <c r="D9245" t="s">
        <v>905</v>
      </c>
      <c r="E9245" t="s">
        <v>906</v>
      </c>
      <c r="F9245">
        <v>1255.58</v>
      </c>
      <c r="G9245">
        <v>230801</v>
      </c>
      <c r="H9245">
        <v>4572</v>
      </c>
      <c r="I9245" t="s">
        <v>122</v>
      </c>
      <c r="J9245">
        <v>1556.92</v>
      </c>
      <c r="K9245">
        <v>301.33999999999997</v>
      </c>
      <c r="L9245">
        <v>69501</v>
      </c>
      <c r="M9245" t="s">
        <v>185</v>
      </c>
      <c r="N9245" t="str">
        <f>"51145299    "</f>
        <v xml:space="preserve">51145299    </v>
      </c>
      <c r="O9245">
        <v>230803</v>
      </c>
    </row>
    <row r="9246" spans="1:15" x14ac:dyDescent="0.25">
      <c r="A9246" t="s">
        <v>16</v>
      </c>
      <c r="B9246" t="s">
        <v>3221</v>
      </c>
      <c r="C9246">
        <v>9966</v>
      </c>
      <c r="D9246" t="s">
        <v>905</v>
      </c>
      <c r="E9246" t="s">
        <v>906</v>
      </c>
      <c r="F9246">
        <v>10.47</v>
      </c>
      <c r="G9246">
        <v>230801</v>
      </c>
      <c r="H9246">
        <v>4572</v>
      </c>
      <c r="I9246" t="s">
        <v>122</v>
      </c>
      <c r="J9246">
        <v>12.98</v>
      </c>
      <c r="K9246">
        <v>2.5099999999999998</v>
      </c>
      <c r="L9246">
        <v>69802</v>
      </c>
      <c r="M9246" t="s">
        <v>283</v>
      </c>
      <c r="N9246" t="str">
        <f>"51145299    "</f>
        <v xml:space="preserve">51145299    </v>
      </c>
      <c r="O9246">
        <v>230803</v>
      </c>
    </row>
    <row r="9247" spans="1:15" x14ac:dyDescent="0.25">
      <c r="A9247" t="s">
        <v>16</v>
      </c>
      <c r="B9247" t="s">
        <v>3221</v>
      </c>
      <c r="C9247">
        <v>9966</v>
      </c>
      <c r="D9247" t="s">
        <v>905</v>
      </c>
      <c r="E9247" t="s">
        <v>906</v>
      </c>
      <c r="F9247">
        <v>25.95</v>
      </c>
      <c r="G9247">
        <v>230801</v>
      </c>
      <c r="H9247">
        <v>4572</v>
      </c>
      <c r="I9247" t="s">
        <v>122</v>
      </c>
      <c r="J9247">
        <v>25.95</v>
      </c>
      <c r="K9247">
        <v>0</v>
      </c>
      <c r="L9247">
        <v>69803</v>
      </c>
      <c r="M9247" t="s">
        <v>755</v>
      </c>
      <c r="N9247" t="str">
        <f>"51145299    "</f>
        <v xml:space="preserve">51145299    </v>
      </c>
      <c r="O9247">
        <v>230803</v>
      </c>
    </row>
    <row r="9248" spans="1:15" x14ac:dyDescent="0.25">
      <c r="A9248" t="s">
        <v>16</v>
      </c>
      <c r="B9248" t="s">
        <v>3221</v>
      </c>
      <c r="C9248">
        <v>9966</v>
      </c>
      <c r="D9248" t="s">
        <v>905</v>
      </c>
      <c r="E9248" t="s">
        <v>906</v>
      </c>
      <c r="F9248">
        <v>10.46</v>
      </c>
      <c r="G9248">
        <v>230801</v>
      </c>
      <c r="H9248">
        <v>4572</v>
      </c>
      <c r="I9248" t="s">
        <v>122</v>
      </c>
      <c r="J9248">
        <v>12.97</v>
      </c>
      <c r="K9248">
        <v>2.5099999999999998</v>
      </c>
      <c r="L9248">
        <v>69804</v>
      </c>
      <c r="M9248" t="s">
        <v>284</v>
      </c>
      <c r="N9248" t="str">
        <f>"51145299    "</f>
        <v xml:space="preserve">51145299    </v>
      </c>
      <c r="O9248">
        <v>230803</v>
      </c>
    </row>
    <row r="9249" spans="1:15" x14ac:dyDescent="0.25">
      <c r="A9249" t="s">
        <v>16</v>
      </c>
      <c r="B9249" t="s">
        <v>3221</v>
      </c>
      <c r="C9249">
        <v>9967</v>
      </c>
      <c r="D9249" t="s">
        <v>905</v>
      </c>
      <c r="E9249" t="s">
        <v>906</v>
      </c>
      <c r="F9249">
        <v>48.48</v>
      </c>
      <c r="G9249">
        <v>230801</v>
      </c>
      <c r="H9249">
        <v>4572</v>
      </c>
      <c r="I9249" t="s">
        <v>122</v>
      </c>
      <c r="J9249">
        <v>60.12</v>
      </c>
      <c r="K9249">
        <v>11.64</v>
      </c>
      <c r="L9249">
        <v>69501</v>
      </c>
      <c r="M9249" t="s">
        <v>185</v>
      </c>
      <c r="N9249" t="str">
        <f>"51145300    "</f>
        <v xml:space="preserve">51145300    </v>
      </c>
      <c r="O9249">
        <v>230803</v>
      </c>
    </row>
    <row r="9250" spans="1:15" x14ac:dyDescent="0.25">
      <c r="A9250" t="s">
        <v>16</v>
      </c>
      <c r="B9250" t="s">
        <v>3221</v>
      </c>
      <c r="C9250">
        <v>10382</v>
      </c>
      <c r="D9250" t="s">
        <v>905</v>
      </c>
      <c r="E9250" t="s">
        <v>906</v>
      </c>
      <c r="F9250">
        <v>16.8</v>
      </c>
      <c r="G9250">
        <v>230811</v>
      </c>
      <c r="H9250">
        <v>4572</v>
      </c>
      <c r="I9250" t="s">
        <v>122</v>
      </c>
      <c r="J9250">
        <v>20.83</v>
      </c>
      <c r="K9250">
        <v>4.03</v>
      </c>
      <c r="L9250">
        <v>69501</v>
      </c>
      <c r="M9250" t="s">
        <v>185</v>
      </c>
      <c r="N9250" t="str">
        <f>"51149784    "</f>
        <v xml:space="preserve">51149784    </v>
      </c>
      <c r="O9250">
        <v>230815</v>
      </c>
    </row>
    <row r="9251" spans="1:15" x14ac:dyDescent="0.25">
      <c r="A9251" t="s">
        <v>16</v>
      </c>
      <c r="B9251" t="s">
        <v>3221</v>
      </c>
      <c r="C9251">
        <v>11616</v>
      </c>
      <c r="D9251" t="s">
        <v>905</v>
      </c>
      <c r="E9251" t="s">
        <v>906</v>
      </c>
      <c r="F9251">
        <v>49.93</v>
      </c>
      <c r="G9251">
        <v>230901</v>
      </c>
      <c r="H9251">
        <v>4572</v>
      </c>
      <c r="I9251" t="s">
        <v>122</v>
      </c>
      <c r="J9251">
        <v>61.91</v>
      </c>
      <c r="K9251">
        <v>11.98</v>
      </c>
      <c r="L9251">
        <v>69501</v>
      </c>
      <c r="M9251" t="s">
        <v>185</v>
      </c>
      <c r="N9251" t="str">
        <f>"51149957    "</f>
        <v xml:space="preserve">51149957    </v>
      </c>
      <c r="O9251">
        <v>230907</v>
      </c>
    </row>
    <row r="9252" spans="1:15" x14ac:dyDescent="0.25">
      <c r="A9252" t="s">
        <v>16</v>
      </c>
      <c r="B9252" t="s">
        <v>3221</v>
      </c>
      <c r="C9252">
        <v>11682</v>
      </c>
      <c r="D9252" t="s">
        <v>905</v>
      </c>
      <c r="E9252" t="s">
        <v>906</v>
      </c>
      <c r="F9252">
        <v>16.8</v>
      </c>
      <c r="G9252">
        <v>230905</v>
      </c>
      <c r="H9252">
        <v>4572</v>
      </c>
      <c r="I9252" t="s">
        <v>122</v>
      </c>
      <c r="J9252">
        <v>20.83</v>
      </c>
      <c r="K9252">
        <v>4.03</v>
      </c>
      <c r="L9252">
        <v>69501</v>
      </c>
      <c r="M9252" t="s">
        <v>185</v>
      </c>
      <c r="N9252" t="str">
        <f>"51155259    "</f>
        <v xml:space="preserve">51155259    </v>
      </c>
      <c r="O9252">
        <v>230908</v>
      </c>
    </row>
    <row r="9253" spans="1:15" x14ac:dyDescent="0.25">
      <c r="A9253" t="s">
        <v>16</v>
      </c>
      <c r="B9253" t="s">
        <v>3221</v>
      </c>
      <c r="C9253">
        <v>12032</v>
      </c>
      <c r="D9253" t="s">
        <v>905</v>
      </c>
      <c r="E9253" t="s">
        <v>906</v>
      </c>
      <c r="F9253">
        <v>1593.86</v>
      </c>
      <c r="G9253">
        <v>230901</v>
      </c>
      <c r="H9253">
        <v>4572</v>
      </c>
      <c r="I9253" t="s">
        <v>122</v>
      </c>
      <c r="J9253">
        <v>1976.39</v>
      </c>
      <c r="K9253">
        <v>382.53</v>
      </c>
      <c r="L9253">
        <v>69111</v>
      </c>
      <c r="M9253" t="s">
        <v>471</v>
      </c>
      <c r="N9253" t="str">
        <f>"51149956    "</f>
        <v xml:space="preserve">51149956    </v>
      </c>
      <c r="O9253">
        <v>230913</v>
      </c>
    </row>
    <row r="9254" spans="1:15" x14ac:dyDescent="0.25">
      <c r="A9254" t="s">
        <v>16</v>
      </c>
      <c r="B9254" t="s">
        <v>3221</v>
      </c>
      <c r="C9254">
        <v>12032</v>
      </c>
      <c r="D9254" t="s">
        <v>905</v>
      </c>
      <c r="E9254" t="s">
        <v>906</v>
      </c>
      <c r="F9254">
        <v>2390.8000000000002</v>
      </c>
      <c r="G9254">
        <v>230901</v>
      </c>
      <c r="H9254">
        <v>4572</v>
      </c>
      <c r="I9254" t="s">
        <v>122</v>
      </c>
      <c r="J9254">
        <v>2964.59</v>
      </c>
      <c r="K9254">
        <v>573.79</v>
      </c>
      <c r="L9254">
        <v>69501</v>
      </c>
      <c r="M9254" t="s">
        <v>185</v>
      </c>
      <c r="N9254" t="str">
        <f>"51149956    "</f>
        <v xml:space="preserve">51149956    </v>
      </c>
      <c r="O9254">
        <v>230913</v>
      </c>
    </row>
    <row r="9255" spans="1:15" x14ac:dyDescent="0.25">
      <c r="A9255" t="s">
        <v>16</v>
      </c>
      <c r="B9255" t="s">
        <v>3221</v>
      </c>
      <c r="C9255">
        <v>13503</v>
      </c>
      <c r="D9255" t="s">
        <v>905</v>
      </c>
      <c r="E9255" t="s">
        <v>906</v>
      </c>
      <c r="F9255">
        <v>16.8</v>
      </c>
      <c r="G9255">
        <v>231002</v>
      </c>
      <c r="H9255">
        <v>4572</v>
      </c>
      <c r="I9255" t="s">
        <v>122</v>
      </c>
      <c r="J9255">
        <v>20.83</v>
      </c>
      <c r="K9255">
        <v>4.03</v>
      </c>
      <c r="L9255">
        <v>69501</v>
      </c>
      <c r="M9255" t="s">
        <v>185</v>
      </c>
      <c r="N9255" t="str">
        <f>"51155674    "</f>
        <v xml:space="preserve">51155674    </v>
      </c>
      <c r="O9255">
        <v>231010</v>
      </c>
    </row>
    <row r="9256" spans="1:15" x14ac:dyDescent="0.25">
      <c r="A9256" t="s">
        <v>16</v>
      </c>
      <c r="B9256" t="s">
        <v>3221</v>
      </c>
      <c r="C9256">
        <v>13504</v>
      </c>
      <c r="D9256" t="s">
        <v>905</v>
      </c>
      <c r="E9256" t="s">
        <v>906</v>
      </c>
      <c r="F9256">
        <v>103.1</v>
      </c>
      <c r="G9256">
        <v>231002</v>
      </c>
      <c r="H9256">
        <v>4572</v>
      </c>
      <c r="I9256" t="s">
        <v>122</v>
      </c>
      <c r="J9256">
        <v>127.85</v>
      </c>
      <c r="K9256">
        <v>24.75</v>
      </c>
      <c r="L9256">
        <v>69501</v>
      </c>
      <c r="M9256" t="s">
        <v>185</v>
      </c>
      <c r="N9256" t="str">
        <f>"51155673    "</f>
        <v xml:space="preserve">51155673    </v>
      </c>
      <c r="O9256">
        <v>231010</v>
      </c>
    </row>
    <row r="9257" spans="1:15" x14ac:dyDescent="0.25">
      <c r="A9257" t="s">
        <v>16</v>
      </c>
      <c r="B9257" t="s">
        <v>3221</v>
      </c>
      <c r="C9257">
        <v>13763</v>
      </c>
      <c r="D9257" t="s">
        <v>905</v>
      </c>
      <c r="E9257" t="s">
        <v>906</v>
      </c>
      <c r="F9257">
        <v>1546.51</v>
      </c>
      <c r="G9257">
        <v>231002</v>
      </c>
      <c r="H9257">
        <v>4572</v>
      </c>
      <c r="I9257" t="s">
        <v>122</v>
      </c>
      <c r="J9257">
        <v>1917.67</v>
      </c>
      <c r="K9257">
        <v>371.16</v>
      </c>
      <c r="L9257">
        <v>69111</v>
      </c>
      <c r="M9257" t="s">
        <v>471</v>
      </c>
      <c r="N9257" t="str">
        <f>"51155672    "</f>
        <v xml:space="preserve">51155672    </v>
      </c>
      <c r="O9257">
        <v>231013</v>
      </c>
    </row>
    <row r="9258" spans="1:15" x14ac:dyDescent="0.25">
      <c r="A9258" t="s">
        <v>16</v>
      </c>
      <c r="B9258" t="s">
        <v>3221</v>
      </c>
      <c r="C9258">
        <v>13763</v>
      </c>
      <c r="D9258" t="s">
        <v>905</v>
      </c>
      <c r="E9258" t="s">
        <v>906</v>
      </c>
      <c r="F9258">
        <v>2418.89</v>
      </c>
      <c r="G9258">
        <v>231002</v>
      </c>
      <c r="H9258">
        <v>4572</v>
      </c>
      <c r="I9258" t="s">
        <v>122</v>
      </c>
      <c r="J9258">
        <v>2999.42</v>
      </c>
      <c r="K9258">
        <v>580.53</v>
      </c>
      <c r="L9258">
        <v>69501</v>
      </c>
      <c r="M9258" t="s">
        <v>185</v>
      </c>
      <c r="N9258" t="str">
        <f>"51155672    "</f>
        <v xml:space="preserve">51155672    </v>
      </c>
      <c r="O9258">
        <v>231013</v>
      </c>
    </row>
    <row r="9259" spans="1:15" x14ac:dyDescent="0.25">
      <c r="A9259" t="s">
        <v>16</v>
      </c>
      <c r="B9259" t="s">
        <v>3221</v>
      </c>
      <c r="C9259">
        <v>13763</v>
      </c>
      <c r="D9259" t="s">
        <v>905</v>
      </c>
      <c r="E9259" t="s">
        <v>906</v>
      </c>
      <c r="F9259">
        <v>49.67</v>
      </c>
      <c r="G9259">
        <v>231002</v>
      </c>
      <c r="H9259">
        <v>4572</v>
      </c>
      <c r="I9259" t="s">
        <v>122</v>
      </c>
      <c r="J9259">
        <v>49.67</v>
      </c>
      <c r="K9259">
        <v>0</v>
      </c>
      <c r="L9259">
        <v>69803</v>
      </c>
      <c r="M9259" t="s">
        <v>755</v>
      </c>
      <c r="N9259" t="str">
        <f>"51155672    "</f>
        <v xml:space="preserve">51155672    </v>
      </c>
      <c r="O9259">
        <v>231013</v>
      </c>
    </row>
    <row r="9260" spans="1:15" x14ac:dyDescent="0.25">
      <c r="A9260" t="s">
        <v>16</v>
      </c>
      <c r="B9260" t="s">
        <v>3221</v>
      </c>
      <c r="C9260">
        <v>15324</v>
      </c>
      <c r="D9260" t="s">
        <v>905</v>
      </c>
      <c r="E9260" t="s">
        <v>906</v>
      </c>
      <c r="F9260">
        <v>16.8</v>
      </c>
      <c r="G9260">
        <v>231101</v>
      </c>
      <c r="H9260">
        <v>4572</v>
      </c>
      <c r="I9260" t="s">
        <v>122</v>
      </c>
      <c r="J9260">
        <v>20.83</v>
      </c>
      <c r="K9260">
        <v>4.03</v>
      </c>
      <c r="L9260">
        <v>69501</v>
      </c>
      <c r="M9260" t="s">
        <v>185</v>
      </c>
      <c r="N9260" t="str">
        <f>"51160385    "</f>
        <v xml:space="preserve">51160385    </v>
      </c>
      <c r="O9260">
        <v>231113</v>
      </c>
    </row>
    <row r="9261" spans="1:15" x14ac:dyDescent="0.25">
      <c r="A9261" t="s">
        <v>16</v>
      </c>
      <c r="B9261" t="s">
        <v>3221</v>
      </c>
      <c r="C9261">
        <v>15329</v>
      </c>
      <c r="D9261" t="s">
        <v>905</v>
      </c>
      <c r="E9261" t="s">
        <v>906</v>
      </c>
      <c r="F9261">
        <v>1330.77</v>
      </c>
      <c r="G9261">
        <v>231101</v>
      </c>
      <c r="H9261">
        <v>4572</v>
      </c>
      <c r="I9261" t="s">
        <v>122</v>
      </c>
      <c r="J9261">
        <v>1650.15</v>
      </c>
      <c r="K9261">
        <v>319.38</v>
      </c>
      <c r="L9261">
        <v>69111</v>
      </c>
      <c r="M9261" t="s">
        <v>471</v>
      </c>
      <c r="N9261" t="str">
        <f>"51160383    "</f>
        <v xml:space="preserve">51160383    </v>
      </c>
      <c r="O9261">
        <v>231113</v>
      </c>
    </row>
    <row r="9262" spans="1:15" x14ac:dyDescent="0.25">
      <c r="A9262" t="s">
        <v>16</v>
      </c>
      <c r="B9262" t="s">
        <v>3221</v>
      </c>
      <c r="C9262">
        <v>15329</v>
      </c>
      <c r="D9262" t="s">
        <v>905</v>
      </c>
      <c r="E9262" t="s">
        <v>906</v>
      </c>
      <c r="F9262">
        <v>3233.15</v>
      </c>
      <c r="G9262">
        <v>231101</v>
      </c>
      <c r="H9262">
        <v>4572</v>
      </c>
      <c r="I9262" t="s">
        <v>122</v>
      </c>
      <c r="J9262">
        <v>4009.1</v>
      </c>
      <c r="K9262">
        <v>775.95</v>
      </c>
      <c r="L9262">
        <v>69501</v>
      </c>
      <c r="M9262" t="s">
        <v>185</v>
      </c>
      <c r="N9262" t="str">
        <f>"51160383    "</f>
        <v xml:space="preserve">51160383    </v>
      </c>
      <c r="O9262">
        <v>231113</v>
      </c>
    </row>
    <row r="9263" spans="1:15" x14ac:dyDescent="0.25">
      <c r="A9263" t="s">
        <v>16</v>
      </c>
      <c r="B9263" t="s">
        <v>3221</v>
      </c>
      <c r="C9263">
        <v>15329</v>
      </c>
      <c r="D9263" t="s">
        <v>905</v>
      </c>
      <c r="E9263" t="s">
        <v>906</v>
      </c>
      <c r="F9263">
        <v>27.71</v>
      </c>
      <c r="G9263">
        <v>231101</v>
      </c>
      <c r="H9263">
        <v>4572</v>
      </c>
      <c r="I9263" t="s">
        <v>122</v>
      </c>
      <c r="J9263">
        <v>34.36</v>
      </c>
      <c r="K9263">
        <v>6.65</v>
      </c>
      <c r="L9263">
        <v>69801</v>
      </c>
      <c r="M9263" t="s">
        <v>1735</v>
      </c>
      <c r="N9263" t="str">
        <f>"51160383    "</f>
        <v xml:space="preserve">51160383    </v>
      </c>
      <c r="O9263">
        <v>231113</v>
      </c>
    </row>
    <row r="9264" spans="1:15" x14ac:dyDescent="0.25">
      <c r="A9264" t="s">
        <v>16</v>
      </c>
      <c r="B9264" t="s">
        <v>3221</v>
      </c>
      <c r="C9264">
        <v>15329</v>
      </c>
      <c r="D9264" t="s">
        <v>905</v>
      </c>
      <c r="E9264" t="s">
        <v>906</v>
      </c>
      <c r="F9264">
        <v>33.68</v>
      </c>
      <c r="G9264">
        <v>231101</v>
      </c>
      <c r="H9264">
        <v>4572</v>
      </c>
      <c r="I9264" t="s">
        <v>122</v>
      </c>
      <c r="J9264">
        <v>33.68</v>
      </c>
      <c r="K9264">
        <v>0</v>
      </c>
      <c r="L9264">
        <v>69803</v>
      </c>
      <c r="M9264" t="s">
        <v>755</v>
      </c>
      <c r="N9264" t="str">
        <f>"51160383    "</f>
        <v xml:space="preserve">51160383    </v>
      </c>
      <c r="O9264">
        <v>231113</v>
      </c>
    </row>
    <row r="9265" spans="1:15" x14ac:dyDescent="0.25">
      <c r="A9265" t="s">
        <v>16</v>
      </c>
      <c r="B9265" t="s">
        <v>3221</v>
      </c>
      <c r="C9265">
        <v>15335</v>
      </c>
      <c r="D9265" t="s">
        <v>905</v>
      </c>
      <c r="E9265" t="s">
        <v>906</v>
      </c>
      <c r="F9265">
        <v>117.12</v>
      </c>
      <c r="G9265">
        <v>231101</v>
      </c>
      <c r="H9265">
        <v>4572</v>
      </c>
      <c r="I9265" t="s">
        <v>122</v>
      </c>
      <c r="J9265">
        <v>145.22999999999999</v>
      </c>
      <c r="K9265">
        <v>28.11</v>
      </c>
      <c r="L9265">
        <v>69501</v>
      </c>
      <c r="M9265" t="s">
        <v>185</v>
      </c>
      <c r="N9265" t="str">
        <f>"51160384    "</f>
        <v xml:space="preserve">51160384    </v>
      </c>
      <c r="O9265">
        <v>231113</v>
      </c>
    </row>
    <row r="9266" spans="1:15" x14ac:dyDescent="0.25">
      <c r="A9266" t="s">
        <v>16</v>
      </c>
      <c r="B9266" t="s">
        <v>3221</v>
      </c>
      <c r="C9266">
        <v>17312</v>
      </c>
      <c r="D9266" t="s">
        <v>905</v>
      </c>
      <c r="E9266" t="s">
        <v>906</v>
      </c>
      <c r="F9266">
        <v>129.06</v>
      </c>
      <c r="G9266">
        <v>231201</v>
      </c>
      <c r="H9266">
        <v>4572</v>
      </c>
      <c r="I9266" t="s">
        <v>122</v>
      </c>
      <c r="J9266">
        <v>160.03</v>
      </c>
      <c r="K9266">
        <v>30.97</v>
      </c>
      <c r="L9266">
        <v>69501</v>
      </c>
      <c r="M9266" t="s">
        <v>185</v>
      </c>
      <c r="N9266" t="str">
        <f>"51166129    "</f>
        <v xml:space="preserve">51166129    </v>
      </c>
      <c r="O9266">
        <v>231213</v>
      </c>
    </row>
    <row r="9267" spans="1:15" x14ac:dyDescent="0.25">
      <c r="A9267" t="s">
        <v>16</v>
      </c>
      <c r="B9267" t="s">
        <v>3221</v>
      </c>
      <c r="C9267">
        <v>17321</v>
      </c>
      <c r="D9267" t="s">
        <v>905</v>
      </c>
      <c r="E9267" t="s">
        <v>906</v>
      </c>
      <c r="F9267">
        <v>16.8</v>
      </c>
      <c r="G9267">
        <v>231201</v>
      </c>
      <c r="H9267">
        <v>4572</v>
      </c>
      <c r="I9267" t="s">
        <v>122</v>
      </c>
      <c r="J9267">
        <v>20.83</v>
      </c>
      <c r="K9267">
        <v>4.03</v>
      </c>
      <c r="L9267">
        <v>69501</v>
      </c>
      <c r="M9267" t="s">
        <v>185</v>
      </c>
      <c r="N9267" t="str">
        <f>"51166130    "</f>
        <v xml:space="preserve">51166130    </v>
      </c>
      <c r="O9267">
        <v>231213</v>
      </c>
    </row>
    <row r="9268" spans="1:15" x14ac:dyDescent="0.25">
      <c r="A9268" t="s">
        <v>16</v>
      </c>
      <c r="B9268" t="s">
        <v>3221</v>
      </c>
      <c r="C9268">
        <v>17364</v>
      </c>
      <c r="D9268" t="s">
        <v>905</v>
      </c>
      <c r="E9268" t="s">
        <v>906</v>
      </c>
      <c r="F9268">
        <v>2221.27</v>
      </c>
      <c r="G9268">
        <v>231201</v>
      </c>
      <c r="H9268">
        <v>4572</v>
      </c>
      <c r="I9268" t="s">
        <v>122</v>
      </c>
      <c r="J9268">
        <v>2754.37</v>
      </c>
      <c r="K9268">
        <v>533.1</v>
      </c>
      <c r="L9268">
        <v>69111</v>
      </c>
      <c r="M9268" t="s">
        <v>471</v>
      </c>
      <c r="N9268" t="str">
        <f>"51166128    "</f>
        <v xml:space="preserve">51166128    </v>
      </c>
      <c r="O9268">
        <v>231213</v>
      </c>
    </row>
    <row r="9269" spans="1:15" x14ac:dyDescent="0.25">
      <c r="A9269" t="s">
        <v>16</v>
      </c>
      <c r="B9269" t="s">
        <v>3221</v>
      </c>
      <c r="C9269">
        <v>17364</v>
      </c>
      <c r="D9269" t="s">
        <v>905</v>
      </c>
      <c r="E9269" t="s">
        <v>906</v>
      </c>
      <c r="F9269">
        <v>3331.9</v>
      </c>
      <c r="G9269">
        <v>231201</v>
      </c>
      <c r="H9269">
        <v>4572</v>
      </c>
      <c r="I9269" t="s">
        <v>122</v>
      </c>
      <c r="J9269">
        <v>4131.55</v>
      </c>
      <c r="K9269">
        <v>799.65</v>
      </c>
      <c r="L9269">
        <v>69501</v>
      </c>
      <c r="M9269" t="s">
        <v>185</v>
      </c>
      <c r="N9269" t="str">
        <f>"51166128    "</f>
        <v xml:space="preserve">51166128    </v>
      </c>
      <c r="O9269">
        <v>231213</v>
      </c>
    </row>
    <row r="9270" spans="1:15" x14ac:dyDescent="0.25">
      <c r="A9270" t="s">
        <v>16</v>
      </c>
      <c r="B9270" t="s">
        <v>3221</v>
      </c>
      <c r="C9270">
        <v>18742</v>
      </c>
      <c r="D9270" t="s">
        <v>905</v>
      </c>
      <c r="E9270" t="s">
        <v>906</v>
      </c>
      <c r="F9270">
        <v>16.8</v>
      </c>
      <c r="G9270">
        <v>240102</v>
      </c>
      <c r="H9270">
        <v>4572</v>
      </c>
      <c r="I9270" t="s">
        <v>122</v>
      </c>
      <c r="J9270">
        <v>20.83</v>
      </c>
      <c r="K9270">
        <v>4.03</v>
      </c>
      <c r="L9270">
        <v>69501</v>
      </c>
      <c r="M9270" t="s">
        <v>185</v>
      </c>
      <c r="N9270" t="str">
        <f>"51170782    "</f>
        <v xml:space="preserve">51170782    </v>
      </c>
      <c r="O9270">
        <v>240105</v>
      </c>
    </row>
    <row r="9271" spans="1:15" x14ac:dyDescent="0.25">
      <c r="A9271" t="s">
        <v>16</v>
      </c>
      <c r="B9271" t="s">
        <v>3221</v>
      </c>
      <c r="C9271">
        <v>18744</v>
      </c>
      <c r="D9271" t="s">
        <v>905</v>
      </c>
      <c r="E9271" t="s">
        <v>906</v>
      </c>
      <c r="F9271">
        <v>145.1</v>
      </c>
      <c r="G9271">
        <v>240102</v>
      </c>
      <c r="H9271">
        <v>4572</v>
      </c>
      <c r="I9271" t="s">
        <v>122</v>
      </c>
      <c r="J9271">
        <v>179.92</v>
      </c>
      <c r="K9271">
        <v>34.82</v>
      </c>
      <c r="L9271">
        <v>69501</v>
      </c>
      <c r="M9271" t="s">
        <v>185</v>
      </c>
      <c r="N9271" t="str">
        <f>"51170781    "</f>
        <v xml:space="preserve">51170781    </v>
      </c>
      <c r="O9271">
        <v>240105</v>
      </c>
    </row>
    <row r="9272" spans="1:15" x14ac:dyDescent="0.25">
      <c r="A9272" t="s">
        <v>16</v>
      </c>
      <c r="B9272" t="s">
        <v>3221</v>
      </c>
      <c r="C9272">
        <v>19288</v>
      </c>
      <c r="D9272" t="s">
        <v>905</v>
      </c>
      <c r="E9272" t="s">
        <v>906</v>
      </c>
      <c r="F9272">
        <v>1937.5</v>
      </c>
      <c r="G9272">
        <v>240102</v>
      </c>
      <c r="H9272">
        <v>4572</v>
      </c>
      <c r="I9272" t="s">
        <v>122</v>
      </c>
      <c r="J9272">
        <v>2402.5</v>
      </c>
      <c r="K9272">
        <v>465</v>
      </c>
      <c r="L9272">
        <v>69111</v>
      </c>
      <c r="M9272" t="s">
        <v>471</v>
      </c>
      <c r="N9272" t="str">
        <f>"51170780    "</f>
        <v xml:space="preserve">51170780    </v>
      </c>
      <c r="O9272">
        <v>240116</v>
      </c>
    </row>
    <row r="9273" spans="1:15" x14ac:dyDescent="0.25">
      <c r="A9273" t="s">
        <v>16</v>
      </c>
      <c r="B9273" t="s">
        <v>3221</v>
      </c>
      <c r="C9273">
        <v>19288</v>
      </c>
      <c r="D9273" t="s">
        <v>905</v>
      </c>
      <c r="E9273" t="s">
        <v>906</v>
      </c>
      <c r="F9273">
        <v>3759.86</v>
      </c>
      <c r="G9273">
        <v>240102</v>
      </c>
      <c r="H9273">
        <v>4572</v>
      </c>
      <c r="I9273" t="s">
        <v>122</v>
      </c>
      <c r="J9273">
        <v>4662.2299999999996</v>
      </c>
      <c r="K9273">
        <v>902.37</v>
      </c>
      <c r="L9273">
        <v>69501</v>
      </c>
      <c r="M9273" t="s">
        <v>185</v>
      </c>
      <c r="N9273" t="str">
        <f>"51170780    "</f>
        <v xml:space="preserve">51170780    </v>
      </c>
      <c r="O9273">
        <v>240116</v>
      </c>
    </row>
    <row r="9274" spans="1:15" x14ac:dyDescent="0.25">
      <c r="A9274" t="s">
        <v>16</v>
      </c>
      <c r="B9274" t="s">
        <v>3221</v>
      </c>
      <c r="C9274">
        <v>19288</v>
      </c>
      <c r="D9274" t="s">
        <v>905</v>
      </c>
      <c r="E9274" t="s">
        <v>906</v>
      </c>
      <c r="F9274">
        <v>220</v>
      </c>
      <c r="G9274">
        <v>240102</v>
      </c>
      <c r="H9274">
        <v>4572</v>
      </c>
      <c r="I9274" t="s">
        <v>122</v>
      </c>
      <c r="J9274">
        <v>220</v>
      </c>
      <c r="K9274">
        <v>0</v>
      </c>
      <c r="L9274">
        <v>69803</v>
      </c>
      <c r="M9274" t="s">
        <v>755</v>
      </c>
      <c r="N9274" t="str">
        <f>"51170780    "</f>
        <v xml:space="preserve">51170780    </v>
      </c>
      <c r="O9274">
        <v>240116</v>
      </c>
    </row>
    <row r="9275" spans="1:15" x14ac:dyDescent="0.25">
      <c r="A9275" t="s">
        <v>16</v>
      </c>
      <c r="B9275" t="s">
        <v>3221</v>
      </c>
      <c r="C9275">
        <v>14587</v>
      </c>
      <c r="D9275" t="s">
        <v>684</v>
      </c>
      <c r="E9275" t="s">
        <v>685</v>
      </c>
      <c r="F9275">
        <v>245.77</v>
      </c>
      <c r="G9275">
        <v>231024</v>
      </c>
      <c r="H9275">
        <v>1196</v>
      </c>
      <c r="I9275" t="s">
        <v>392</v>
      </c>
      <c r="J9275">
        <v>304.75</v>
      </c>
      <c r="K9275">
        <v>58.98</v>
      </c>
      <c r="L9275">
        <v>97501</v>
      </c>
      <c r="M9275" t="s">
        <v>393</v>
      </c>
      <c r="N9275" t="str">
        <f>"12312213    "</f>
        <v xml:space="preserve">12312213    </v>
      </c>
      <c r="O9275">
        <v>231030</v>
      </c>
    </row>
    <row r="9276" spans="1:15" x14ac:dyDescent="0.25">
      <c r="A9276" t="s">
        <v>16</v>
      </c>
      <c r="B9276" t="s">
        <v>3221</v>
      </c>
      <c r="C9276">
        <v>690</v>
      </c>
      <c r="D9276" t="s">
        <v>684</v>
      </c>
      <c r="E9276" t="s">
        <v>685</v>
      </c>
      <c r="F9276">
        <v>14.03</v>
      </c>
      <c r="G9276">
        <v>230125</v>
      </c>
      <c r="H9276">
        <v>4380</v>
      </c>
      <c r="I9276" t="s">
        <v>113</v>
      </c>
      <c r="J9276">
        <v>17.399999999999999</v>
      </c>
      <c r="K9276">
        <v>3.37</v>
      </c>
      <c r="L9276">
        <v>69501</v>
      </c>
      <c r="M9276" t="s">
        <v>185</v>
      </c>
      <c r="N9276" t="str">
        <f>"12301435    "</f>
        <v xml:space="preserve">12301435    </v>
      </c>
      <c r="O9276">
        <v>230126</v>
      </c>
    </row>
    <row r="9277" spans="1:15" x14ac:dyDescent="0.25">
      <c r="A9277" t="s">
        <v>16</v>
      </c>
      <c r="B9277" t="s">
        <v>3221</v>
      </c>
      <c r="C9277">
        <v>692</v>
      </c>
      <c r="D9277" t="s">
        <v>684</v>
      </c>
      <c r="E9277" t="s">
        <v>685</v>
      </c>
      <c r="F9277">
        <v>14.03</v>
      </c>
      <c r="G9277">
        <v>230125</v>
      </c>
      <c r="H9277">
        <v>4380</v>
      </c>
      <c r="I9277" t="s">
        <v>113</v>
      </c>
      <c r="J9277">
        <v>17.399999999999999</v>
      </c>
      <c r="K9277">
        <v>3.37</v>
      </c>
      <c r="L9277">
        <v>69501</v>
      </c>
      <c r="M9277" t="s">
        <v>185</v>
      </c>
      <c r="N9277" t="str">
        <f>"12301436    "</f>
        <v xml:space="preserve">12301436    </v>
      </c>
      <c r="O9277">
        <v>230126</v>
      </c>
    </row>
    <row r="9278" spans="1:15" x14ac:dyDescent="0.25">
      <c r="A9278" t="s">
        <v>16</v>
      </c>
      <c r="B9278" t="s">
        <v>3221</v>
      </c>
      <c r="C9278">
        <v>804</v>
      </c>
      <c r="D9278" t="s">
        <v>684</v>
      </c>
      <c r="E9278" t="s">
        <v>685</v>
      </c>
      <c r="F9278">
        <v>1048.55</v>
      </c>
      <c r="G9278">
        <v>230126</v>
      </c>
      <c r="H9278">
        <v>4380</v>
      </c>
      <c r="I9278" t="s">
        <v>113</v>
      </c>
      <c r="J9278">
        <v>1300.2</v>
      </c>
      <c r="K9278">
        <v>251.65</v>
      </c>
      <c r="L9278">
        <v>69111</v>
      </c>
      <c r="M9278" t="s">
        <v>471</v>
      </c>
      <c r="N9278" t="str">
        <f>"12302795    "</f>
        <v xml:space="preserve">12302795    </v>
      </c>
      <c r="O9278">
        <v>230130</v>
      </c>
    </row>
    <row r="9279" spans="1:15" x14ac:dyDescent="0.25">
      <c r="A9279" t="s">
        <v>16</v>
      </c>
      <c r="B9279" t="s">
        <v>3221</v>
      </c>
      <c r="C9279">
        <v>804</v>
      </c>
      <c r="D9279" t="s">
        <v>684</v>
      </c>
      <c r="E9279" t="s">
        <v>685</v>
      </c>
      <c r="F9279">
        <v>1689.33</v>
      </c>
      <c r="G9279">
        <v>230126</v>
      </c>
      <c r="H9279">
        <v>4380</v>
      </c>
      <c r="I9279" t="s">
        <v>113</v>
      </c>
      <c r="J9279">
        <v>2094.77</v>
      </c>
      <c r="K9279">
        <v>405.44</v>
      </c>
      <c r="L9279">
        <v>69501</v>
      </c>
      <c r="M9279" t="s">
        <v>185</v>
      </c>
      <c r="N9279" t="str">
        <f>"12302795    "</f>
        <v xml:space="preserve">12302795    </v>
      </c>
      <c r="O9279">
        <v>230130</v>
      </c>
    </row>
    <row r="9280" spans="1:15" x14ac:dyDescent="0.25">
      <c r="A9280" t="s">
        <v>16</v>
      </c>
      <c r="B9280" t="s">
        <v>3221</v>
      </c>
      <c r="C9280">
        <v>804</v>
      </c>
      <c r="D9280" t="s">
        <v>684</v>
      </c>
      <c r="E9280" t="s">
        <v>685</v>
      </c>
      <c r="F9280">
        <v>58.25</v>
      </c>
      <c r="G9280">
        <v>230126</v>
      </c>
      <c r="H9280">
        <v>4380</v>
      </c>
      <c r="I9280" t="s">
        <v>113</v>
      </c>
      <c r="J9280">
        <v>72.23</v>
      </c>
      <c r="K9280">
        <v>13.98</v>
      </c>
      <c r="L9280">
        <v>69802</v>
      </c>
      <c r="M9280" t="s">
        <v>283</v>
      </c>
      <c r="N9280" t="str">
        <f>"12302795    "</f>
        <v xml:space="preserve">12302795    </v>
      </c>
      <c r="O9280">
        <v>230130</v>
      </c>
    </row>
    <row r="9281" spans="1:15" x14ac:dyDescent="0.25">
      <c r="A9281" t="s">
        <v>16</v>
      </c>
      <c r="B9281" t="s">
        <v>3221</v>
      </c>
      <c r="C9281">
        <v>804</v>
      </c>
      <c r="D9281" t="s">
        <v>684</v>
      </c>
      <c r="E9281" t="s">
        <v>685</v>
      </c>
      <c r="F9281">
        <v>58.25</v>
      </c>
      <c r="G9281">
        <v>230126</v>
      </c>
      <c r="H9281">
        <v>4380</v>
      </c>
      <c r="I9281" t="s">
        <v>113</v>
      </c>
      <c r="J9281">
        <v>72.23</v>
      </c>
      <c r="K9281">
        <v>13.98</v>
      </c>
      <c r="L9281">
        <v>69803</v>
      </c>
      <c r="M9281" t="s">
        <v>755</v>
      </c>
      <c r="N9281" t="str">
        <f>"12302795    "</f>
        <v xml:space="preserve">12302795    </v>
      </c>
      <c r="O9281">
        <v>230130</v>
      </c>
    </row>
    <row r="9282" spans="1:15" x14ac:dyDescent="0.25">
      <c r="A9282" t="s">
        <v>16</v>
      </c>
      <c r="B9282" t="s">
        <v>3221</v>
      </c>
      <c r="C9282">
        <v>804</v>
      </c>
      <c r="D9282" t="s">
        <v>684</v>
      </c>
      <c r="E9282" t="s">
        <v>685</v>
      </c>
      <c r="F9282">
        <v>58.25</v>
      </c>
      <c r="G9282">
        <v>230126</v>
      </c>
      <c r="H9282">
        <v>4380</v>
      </c>
      <c r="I9282" t="s">
        <v>113</v>
      </c>
      <c r="J9282">
        <v>72.23</v>
      </c>
      <c r="K9282">
        <v>13.98</v>
      </c>
      <c r="L9282">
        <v>69804</v>
      </c>
      <c r="M9282" t="s">
        <v>284</v>
      </c>
      <c r="N9282" t="str">
        <f>"12302795    "</f>
        <v xml:space="preserve">12302795    </v>
      </c>
      <c r="O9282">
        <v>230130</v>
      </c>
    </row>
    <row r="9283" spans="1:15" x14ac:dyDescent="0.25">
      <c r="A9283" t="s">
        <v>16</v>
      </c>
      <c r="B9283" t="s">
        <v>3221</v>
      </c>
      <c r="C9283">
        <v>5499</v>
      </c>
      <c r="D9283" t="s">
        <v>684</v>
      </c>
      <c r="E9283" t="s">
        <v>685</v>
      </c>
      <c r="F9283">
        <v>452.83</v>
      </c>
      <c r="G9283">
        <v>230424</v>
      </c>
      <c r="H9283">
        <v>4380</v>
      </c>
      <c r="I9283" t="s">
        <v>113</v>
      </c>
      <c r="J9283">
        <v>561.51</v>
      </c>
      <c r="K9283">
        <v>108.68</v>
      </c>
      <c r="L9283">
        <v>69111</v>
      </c>
      <c r="M9283" t="s">
        <v>471</v>
      </c>
      <c r="N9283" t="str">
        <f t="shared" ref="N9283:N9288" si="163">"12305643    "</f>
        <v xml:space="preserve">12305643    </v>
      </c>
      <c r="O9283">
        <v>230426</v>
      </c>
    </row>
    <row r="9284" spans="1:15" x14ac:dyDescent="0.25">
      <c r="A9284" t="s">
        <v>16</v>
      </c>
      <c r="B9284" t="s">
        <v>3221</v>
      </c>
      <c r="C9284">
        <v>5499</v>
      </c>
      <c r="D9284" t="s">
        <v>684</v>
      </c>
      <c r="E9284" t="s">
        <v>685</v>
      </c>
      <c r="F9284">
        <v>799.1</v>
      </c>
      <c r="G9284">
        <v>230424</v>
      </c>
      <c r="H9284">
        <v>4380</v>
      </c>
      <c r="I9284" t="s">
        <v>113</v>
      </c>
      <c r="J9284">
        <v>990.89</v>
      </c>
      <c r="K9284">
        <v>191.79</v>
      </c>
      <c r="L9284">
        <v>69501</v>
      </c>
      <c r="M9284" t="s">
        <v>185</v>
      </c>
      <c r="N9284" t="str">
        <f t="shared" si="163"/>
        <v xml:space="preserve">12305643    </v>
      </c>
      <c r="O9284">
        <v>230426</v>
      </c>
    </row>
    <row r="9285" spans="1:15" x14ac:dyDescent="0.25">
      <c r="A9285" t="s">
        <v>16</v>
      </c>
      <c r="B9285" t="s">
        <v>3221</v>
      </c>
      <c r="C9285">
        <v>5499</v>
      </c>
      <c r="D9285" t="s">
        <v>684</v>
      </c>
      <c r="E9285" t="s">
        <v>685</v>
      </c>
      <c r="F9285">
        <v>26.64</v>
      </c>
      <c r="G9285">
        <v>230424</v>
      </c>
      <c r="H9285">
        <v>4380</v>
      </c>
      <c r="I9285" t="s">
        <v>113</v>
      </c>
      <c r="J9285">
        <v>33.03</v>
      </c>
      <c r="K9285">
        <v>6.39</v>
      </c>
      <c r="L9285">
        <v>69801</v>
      </c>
      <c r="M9285" t="s">
        <v>1735</v>
      </c>
      <c r="N9285" t="str">
        <f t="shared" si="163"/>
        <v xml:space="preserve">12305643    </v>
      </c>
      <c r="O9285">
        <v>230426</v>
      </c>
    </row>
    <row r="9286" spans="1:15" x14ac:dyDescent="0.25">
      <c r="A9286" t="s">
        <v>16</v>
      </c>
      <c r="B9286" t="s">
        <v>3221</v>
      </c>
      <c r="C9286">
        <v>5499</v>
      </c>
      <c r="D9286" t="s">
        <v>684</v>
      </c>
      <c r="E9286" t="s">
        <v>685</v>
      </c>
      <c r="F9286">
        <v>13.32</v>
      </c>
      <c r="G9286">
        <v>230424</v>
      </c>
      <c r="H9286">
        <v>4380</v>
      </c>
      <c r="I9286" t="s">
        <v>113</v>
      </c>
      <c r="J9286">
        <v>16.52</v>
      </c>
      <c r="K9286">
        <v>3.2</v>
      </c>
      <c r="L9286">
        <v>69802</v>
      </c>
      <c r="M9286" t="s">
        <v>283</v>
      </c>
      <c r="N9286" t="str">
        <f t="shared" si="163"/>
        <v xml:space="preserve">12305643    </v>
      </c>
      <c r="O9286">
        <v>230426</v>
      </c>
    </row>
    <row r="9287" spans="1:15" x14ac:dyDescent="0.25">
      <c r="A9287" t="s">
        <v>16</v>
      </c>
      <c r="B9287" t="s">
        <v>3221</v>
      </c>
      <c r="C9287">
        <v>5499</v>
      </c>
      <c r="D9287" t="s">
        <v>684</v>
      </c>
      <c r="E9287" t="s">
        <v>685</v>
      </c>
      <c r="F9287">
        <v>26.64</v>
      </c>
      <c r="G9287">
        <v>230424</v>
      </c>
      <c r="H9287">
        <v>4380</v>
      </c>
      <c r="I9287" t="s">
        <v>113</v>
      </c>
      <c r="J9287">
        <v>33.03</v>
      </c>
      <c r="K9287">
        <v>6.39</v>
      </c>
      <c r="L9287">
        <v>69803</v>
      </c>
      <c r="M9287" t="s">
        <v>755</v>
      </c>
      <c r="N9287" t="str">
        <f t="shared" si="163"/>
        <v xml:space="preserve">12305643    </v>
      </c>
      <c r="O9287">
        <v>230426</v>
      </c>
    </row>
    <row r="9288" spans="1:15" x14ac:dyDescent="0.25">
      <c r="A9288" t="s">
        <v>16</v>
      </c>
      <c r="B9288" t="s">
        <v>3221</v>
      </c>
      <c r="C9288">
        <v>5499</v>
      </c>
      <c r="D9288" t="s">
        <v>684</v>
      </c>
      <c r="E9288" t="s">
        <v>685</v>
      </c>
      <c r="F9288">
        <v>13.32</v>
      </c>
      <c r="G9288">
        <v>230424</v>
      </c>
      <c r="H9288">
        <v>4380</v>
      </c>
      <c r="I9288" t="s">
        <v>113</v>
      </c>
      <c r="J9288">
        <v>16.52</v>
      </c>
      <c r="K9288">
        <v>3.2</v>
      </c>
      <c r="L9288">
        <v>69804</v>
      </c>
      <c r="M9288" t="s">
        <v>284</v>
      </c>
      <c r="N9288" t="str">
        <f t="shared" si="163"/>
        <v xml:space="preserve">12305643    </v>
      </c>
      <c r="O9288">
        <v>230426</v>
      </c>
    </row>
    <row r="9289" spans="1:15" x14ac:dyDescent="0.25">
      <c r="A9289" t="s">
        <v>16</v>
      </c>
      <c r="B9289" t="s">
        <v>3221</v>
      </c>
      <c r="C9289">
        <v>5500</v>
      </c>
      <c r="D9289" t="s">
        <v>684</v>
      </c>
      <c r="E9289" t="s">
        <v>685</v>
      </c>
      <c r="F9289">
        <v>13.82</v>
      </c>
      <c r="G9289">
        <v>230424</v>
      </c>
      <c r="H9289">
        <v>4380</v>
      </c>
      <c r="I9289" t="s">
        <v>113</v>
      </c>
      <c r="J9289">
        <v>17.14</v>
      </c>
      <c r="K9289">
        <v>3.32</v>
      </c>
      <c r="L9289">
        <v>69501</v>
      </c>
      <c r="M9289" t="s">
        <v>185</v>
      </c>
      <c r="N9289" t="str">
        <f>"12304125    "</f>
        <v xml:space="preserve">12304125    </v>
      </c>
      <c r="O9289">
        <v>230426</v>
      </c>
    </row>
    <row r="9290" spans="1:15" x14ac:dyDescent="0.25">
      <c r="A9290" t="s">
        <v>16</v>
      </c>
      <c r="B9290" t="s">
        <v>3221</v>
      </c>
      <c r="C9290">
        <v>5501</v>
      </c>
      <c r="D9290" t="s">
        <v>684</v>
      </c>
      <c r="E9290" t="s">
        <v>685</v>
      </c>
      <c r="F9290">
        <v>16.399999999999999</v>
      </c>
      <c r="G9290">
        <v>230424</v>
      </c>
      <c r="H9290">
        <v>4380</v>
      </c>
      <c r="I9290" t="s">
        <v>113</v>
      </c>
      <c r="J9290">
        <v>20.34</v>
      </c>
      <c r="K9290">
        <v>3.94</v>
      </c>
      <c r="L9290">
        <v>69501</v>
      </c>
      <c r="M9290" t="s">
        <v>185</v>
      </c>
      <c r="N9290" t="str">
        <f>"12304126    "</f>
        <v xml:space="preserve">12304126    </v>
      </c>
      <c r="O9290">
        <v>230426</v>
      </c>
    </row>
    <row r="9291" spans="1:15" x14ac:dyDescent="0.25">
      <c r="A9291" t="s">
        <v>16</v>
      </c>
      <c r="B9291" t="s">
        <v>3221</v>
      </c>
      <c r="C9291">
        <v>9811</v>
      </c>
      <c r="D9291" t="s">
        <v>684</v>
      </c>
      <c r="E9291" t="s">
        <v>685</v>
      </c>
      <c r="F9291">
        <v>14.03</v>
      </c>
      <c r="G9291">
        <v>230724</v>
      </c>
      <c r="H9291">
        <v>4380</v>
      </c>
      <c r="I9291" t="s">
        <v>113</v>
      </c>
      <c r="J9291">
        <v>17.399999999999999</v>
      </c>
      <c r="K9291">
        <v>3.37</v>
      </c>
      <c r="L9291">
        <v>69501</v>
      </c>
      <c r="M9291" t="s">
        <v>185</v>
      </c>
      <c r="N9291" t="str">
        <f>"12306984    "</f>
        <v xml:space="preserve">12306984    </v>
      </c>
      <c r="O9291">
        <v>230725</v>
      </c>
    </row>
    <row r="9292" spans="1:15" x14ac:dyDescent="0.25">
      <c r="A9292" t="s">
        <v>16</v>
      </c>
      <c r="B9292" t="s">
        <v>3221</v>
      </c>
      <c r="C9292">
        <v>9812</v>
      </c>
      <c r="D9292" t="s">
        <v>684</v>
      </c>
      <c r="E9292" t="s">
        <v>685</v>
      </c>
      <c r="F9292">
        <v>14.03</v>
      </c>
      <c r="G9292">
        <v>230724</v>
      </c>
      <c r="H9292">
        <v>4380</v>
      </c>
      <c r="I9292" t="s">
        <v>113</v>
      </c>
      <c r="J9292">
        <v>17.399999999999999</v>
      </c>
      <c r="K9292">
        <v>3.37</v>
      </c>
      <c r="L9292">
        <v>69501</v>
      </c>
      <c r="M9292" t="s">
        <v>185</v>
      </c>
      <c r="N9292" t="str">
        <f>"12306985    "</f>
        <v xml:space="preserve">12306985    </v>
      </c>
      <c r="O9292">
        <v>230725</v>
      </c>
    </row>
    <row r="9293" spans="1:15" x14ac:dyDescent="0.25">
      <c r="A9293" t="s">
        <v>16</v>
      </c>
      <c r="B9293" t="s">
        <v>3221</v>
      </c>
      <c r="C9293">
        <v>9970</v>
      </c>
      <c r="D9293" t="s">
        <v>684</v>
      </c>
      <c r="E9293" t="s">
        <v>685</v>
      </c>
      <c r="F9293">
        <v>1352.29</v>
      </c>
      <c r="G9293">
        <v>230731</v>
      </c>
      <c r="H9293">
        <v>4380</v>
      </c>
      <c r="I9293" t="s">
        <v>113</v>
      </c>
      <c r="J9293">
        <v>1676.84</v>
      </c>
      <c r="K9293">
        <v>324.55</v>
      </c>
      <c r="L9293">
        <v>69111</v>
      </c>
      <c r="M9293" t="s">
        <v>471</v>
      </c>
      <c r="N9293" t="str">
        <f>"12308548    "</f>
        <v xml:space="preserve">12308548    </v>
      </c>
      <c r="O9293">
        <v>230803</v>
      </c>
    </row>
    <row r="9294" spans="1:15" x14ac:dyDescent="0.25">
      <c r="A9294" t="s">
        <v>16</v>
      </c>
      <c r="B9294" t="s">
        <v>3221</v>
      </c>
      <c r="C9294">
        <v>9970</v>
      </c>
      <c r="D9294" t="s">
        <v>684</v>
      </c>
      <c r="E9294" t="s">
        <v>685</v>
      </c>
      <c r="F9294">
        <v>2253.81</v>
      </c>
      <c r="G9294">
        <v>230731</v>
      </c>
      <c r="H9294">
        <v>4380</v>
      </c>
      <c r="I9294" t="s">
        <v>113</v>
      </c>
      <c r="J9294">
        <v>2794.73</v>
      </c>
      <c r="K9294">
        <v>540.91999999999996</v>
      </c>
      <c r="L9294">
        <v>69501</v>
      </c>
      <c r="M9294" t="s">
        <v>185</v>
      </c>
      <c r="N9294" t="str">
        <f>"12308548    "</f>
        <v xml:space="preserve">12308548    </v>
      </c>
      <c r="O9294">
        <v>230803</v>
      </c>
    </row>
    <row r="9295" spans="1:15" x14ac:dyDescent="0.25">
      <c r="A9295" t="s">
        <v>16</v>
      </c>
      <c r="B9295" t="s">
        <v>3221</v>
      </c>
      <c r="C9295">
        <v>9970</v>
      </c>
      <c r="D9295" t="s">
        <v>684</v>
      </c>
      <c r="E9295" t="s">
        <v>685</v>
      </c>
      <c r="F9295">
        <v>37.56</v>
      </c>
      <c r="G9295">
        <v>230731</v>
      </c>
      <c r="H9295">
        <v>4380</v>
      </c>
      <c r="I9295" t="s">
        <v>113</v>
      </c>
      <c r="J9295">
        <v>46.58</v>
      </c>
      <c r="K9295">
        <v>9.02</v>
      </c>
      <c r="L9295">
        <v>69802</v>
      </c>
      <c r="M9295" t="s">
        <v>283</v>
      </c>
      <c r="N9295" t="str">
        <f>"12308548    "</f>
        <v xml:space="preserve">12308548    </v>
      </c>
      <c r="O9295">
        <v>230803</v>
      </c>
    </row>
    <row r="9296" spans="1:15" x14ac:dyDescent="0.25">
      <c r="A9296" t="s">
        <v>16</v>
      </c>
      <c r="B9296" t="s">
        <v>3221</v>
      </c>
      <c r="C9296">
        <v>9970</v>
      </c>
      <c r="D9296" t="s">
        <v>684</v>
      </c>
      <c r="E9296" t="s">
        <v>685</v>
      </c>
      <c r="F9296">
        <v>93.16</v>
      </c>
      <c r="G9296">
        <v>230731</v>
      </c>
      <c r="H9296">
        <v>4380</v>
      </c>
      <c r="I9296" t="s">
        <v>113</v>
      </c>
      <c r="J9296">
        <v>93.16</v>
      </c>
      <c r="K9296">
        <v>0</v>
      </c>
      <c r="L9296">
        <v>69803</v>
      </c>
      <c r="M9296" t="s">
        <v>755</v>
      </c>
      <c r="N9296" t="str">
        <f>"12308548    "</f>
        <v xml:space="preserve">12308548    </v>
      </c>
      <c r="O9296">
        <v>230803</v>
      </c>
    </row>
    <row r="9297" spans="1:15" x14ac:dyDescent="0.25">
      <c r="A9297" t="s">
        <v>16</v>
      </c>
      <c r="B9297" t="s">
        <v>3221</v>
      </c>
      <c r="C9297">
        <v>9970</v>
      </c>
      <c r="D9297" t="s">
        <v>684</v>
      </c>
      <c r="E9297" t="s">
        <v>685</v>
      </c>
      <c r="F9297">
        <v>37.56</v>
      </c>
      <c r="G9297">
        <v>230731</v>
      </c>
      <c r="H9297">
        <v>4380</v>
      </c>
      <c r="I9297" t="s">
        <v>113</v>
      </c>
      <c r="J9297">
        <v>46.58</v>
      </c>
      <c r="K9297">
        <v>9.02</v>
      </c>
      <c r="L9297">
        <v>69804</v>
      </c>
      <c r="M9297" t="s">
        <v>284</v>
      </c>
      <c r="N9297" t="str">
        <f>"12308548    "</f>
        <v xml:space="preserve">12308548    </v>
      </c>
      <c r="O9297">
        <v>230803</v>
      </c>
    </row>
    <row r="9298" spans="1:15" x14ac:dyDescent="0.25">
      <c r="A9298" t="s">
        <v>16</v>
      </c>
      <c r="B9298" t="s">
        <v>3221</v>
      </c>
      <c r="C9298">
        <v>14557</v>
      </c>
      <c r="D9298" t="s">
        <v>684</v>
      </c>
      <c r="E9298" t="s">
        <v>685</v>
      </c>
      <c r="F9298">
        <v>11.66</v>
      </c>
      <c r="G9298">
        <v>231025</v>
      </c>
      <c r="H9298">
        <v>4380</v>
      </c>
      <c r="I9298" t="s">
        <v>113</v>
      </c>
      <c r="J9298">
        <v>14.46</v>
      </c>
      <c r="K9298">
        <v>2.8</v>
      </c>
      <c r="L9298">
        <v>69501</v>
      </c>
      <c r="M9298" t="s">
        <v>185</v>
      </c>
      <c r="N9298" t="str">
        <f>"12311112    "</f>
        <v xml:space="preserve">12311112    </v>
      </c>
      <c r="O9298">
        <v>231030</v>
      </c>
    </row>
    <row r="9299" spans="1:15" x14ac:dyDescent="0.25">
      <c r="A9299" t="s">
        <v>16</v>
      </c>
      <c r="B9299" t="s">
        <v>3221</v>
      </c>
      <c r="C9299">
        <v>14561</v>
      </c>
      <c r="D9299" t="s">
        <v>684</v>
      </c>
      <c r="E9299" t="s">
        <v>685</v>
      </c>
      <c r="F9299">
        <v>16.399999999999999</v>
      </c>
      <c r="G9299">
        <v>231025</v>
      </c>
      <c r="H9299">
        <v>4380</v>
      </c>
      <c r="I9299" t="s">
        <v>113</v>
      </c>
      <c r="J9299">
        <v>20.34</v>
      </c>
      <c r="K9299">
        <v>3.94</v>
      </c>
      <c r="L9299">
        <v>69501</v>
      </c>
      <c r="M9299" t="s">
        <v>185</v>
      </c>
      <c r="N9299" t="str">
        <f>"12311111    "</f>
        <v xml:space="preserve">12311111    </v>
      </c>
      <c r="O9299">
        <v>231030</v>
      </c>
    </row>
    <row r="9300" spans="1:15" x14ac:dyDescent="0.25">
      <c r="A9300" t="s">
        <v>16</v>
      </c>
      <c r="B9300" t="s">
        <v>3221</v>
      </c>
      <c r="C9300">
        <v>14590</v>
      </c>
      <c r="D9300" t="s">
        <v>684</v>
      </c>
      <c r="E9300" t="s">
        <v>685</v>
      </c>
      <c r="F9300">
        <v>1462.5</v>
      </c>
      <c r="G9300">
        <v>231024</v>
      </c>
      <c r="H9300">
        <v>4380</v>
      </c>
      <c r="I9300" t="s">
        <v>113</v>
      </c>
      <c r="J9300">
        <v>1813.5</v>
      </c>
      <c r="K9300">
        <v>351</v>
      </c>
      <c r="L9300">
        <v>69111</v>
      </c>
      <c r="M9300" t="s">
        <v>471</v>
      </c>
      <c r="N9300" t="str">
        <f t="shared" ref="N9300:N9305" si="164">"12312169    "</f>
        <v xml:space="preserve">12312169    </v>
      </c>
      <c r="O9300">
        <v>231030</v>
      </c>
    </row>
    <row r="9301" spans="1:15" x14ac:dyDescent="0.25">
      <c r="A9301" t="s">
        <v>16</v>
      </c>
      <c r="B9301" t="s">
        <v>3221</v>
      </c>
      <c r="C9301">
        <v>14590</v>
      </c>
      <c r="D9301" t="s">
        <v>684</v>
      </c>
      <c r="E9301" t="s">
        <v>685</v>
      </c>
      <c r="F9301">
        <v>2580.88</v>
      </c>
      <c r="G9301">
        <v>231024</v>
      </c>
      <c r="H9301">
        <v>4380</v>
      </c>
      <c r="I9301" t="s">
        <v>113</v>
      </c>
      <c r="J9301">
        <v>3200.29</v>
      </c>
      <c r="K9301">
        <v>619.41</v>
      </c>
      <c r="L9301">
        <v>69501</v>
      </c>
      <c r="M9301" t="s">
        <v>185</v>
      </c>
      <c r="N9301" t="str">
        <f t="shared" si="164"/>
        <v xml:space="preserve">12312169    </v>
      </c>
      <c r="O9301">
        <v>231030</v>
      </c>
    </row>
    <row r="9302" spans="1:15" x14ac:dyDescent="0.25">
      <c r="A9302" t="s">
        <v>16</v>
      </c>
      <c r="B9302" t="s">
        <v>3221</v>
      </c>
      <c r="C9302">
        <v>14590</v>
      </c>
      <c r="D9302" t="s">
        <v>684</v>
      </c>
      <c r="E9302" t="s">
        <v>685</v>
      </c>
      <c r="F9302">
        <v>86.03</v>
      </c>
      <c r="G9302">
        <v>231024</v>
      </c>
      <c r="H9302">
        <v>4380</v>
      </c>
      <c r="I9302" t="s">
        <v>113</v>
      </c>
      <c r="J9302">
        <v>106.68</v>
      </c>
      <c r="K9302">
        <v>20.65</v>
      </c>
      <c r="L9302">
        <v>69801</v>
      </c>
      <c r="M9302" t="s">
        <v>1735</v>
      </c>
      <c r="N9302" t="str">
        <f t="shared" si="164"/>
        <v xml:space="preserve">12312169    </v>
      </c>
      <c r="O9302">
        <v>231030</v>
      </c>
    </row>
    <row r="9303" spans="1:15" x14ac:dyDescent="0.25">
      <c r="A9303" t="s">
        <v>16</v>
      </c>
      <c r="B9303" t="s">
        <v>3221</v>
      </c>
      <c r="C9303">
        <v>14590</v>
      </c>
      <c r="D9303" t="s">
        <v>684</v>
      </c>
      <c r="E9303" t="s">
        <v>685</v>
      </c>
      <c r="F9303">
        <v>43.02</v>
      </c>
      <c r="G9303">
        <v>231024</v>
      </c>
      <c r="H9303">
        <v>4380</v>
      </c>
      <c r="I9303" t="s">
        <v>113</v>
      </c>
      <c r="J9303">
        <v>53.34</v>
      </c>
      <c r="K9303">
        <v>10.32</v>
      </c>
      <c r="L9303">
        <v>69802</v>
      </c>
      <c r="M9303" t="s">
        <v>283</v>
      </c>
      <c r="N9303" t="str">
        <f t="shared" si="164"/>
        <v xml:space="preserve">12312169    </v>
      </c>
      <c r="O9303">
        <v>231030</v>
      </c>
    </row>
    <row r="9304" spans="1:15" x14ac:dyDescent="0.25">
      <c r="A9304" t="s">
        <v>16</v>
      </c>
      <c r="B9304" t="s">
        <v>3221</v>
      </c>
      <c r="C9304">
        <v>14590</v>
      </c>
      <c r="D9304" t="s">
        <v>684</v>
      </c>
      <c r="E9304" t="s">
        <v>685</v>
      </c>
      <c r="F9304">
        <v>106.68</v>
      </c>
      <c r="G9304">
        <v>231024</v>
      </c>
      <c r="H9304">
        <v>4380</v>
      </c>
      <c r="I9304" t="s">
        <v>113</v>
      </c>
      <c r="J9304">
        <v>106.68</v>
      </c>
      <c r="K9304">
        <v>0</v>
      </c>
      <c r="L9304">
        <v>69803</v>
      </c>
      <c r="M9304" t="s">
        <v>755</v>
      </c>
      <c r="N9304" t="str">
        <f t="shared" si="164"/>
        <v xml:space="preserve">12312169    </v>
      </c>
      <c r="O9304">
        <v>231030</v>
      </c>
    </row>
    <row r="9305" spans="1:15" x14ac:dyDescent="0.25">
      <c r="A9305" t="s">
        <v>16</v>
      </c>
      <c r="B9305" t="s">
        <v>3221</v>
      </c>
      <c r="C9305">
        <v>14590</v>
      </c>
      <c r="D9305" t="s">
        <v>684</v>
      </c>
      <c r="E9305" t="s">
        <v>685</v>
      </c>
      <c r="F9305">
        <v>43.02</v>
      </c>
      <c r="G9305">
        <v>231024</v>
      </c>
      <c r="H9305">
        <v>4380</v>
      </c>
      <c r="I9305" t="s">
        <v>113</v>
      </c>
      <c r="J9305">
        <v>53.34</v>
      </c>
      <c r="K9305">
        <v>10.32</v>
      </c>
      <c r="L9305">
        <v>69804</v>
      </c>
      <c r="M9305" t="s">
        <v>284</v>
      </c>
      <c r="N9305" t="str">
        <f t="shared" si="164"/>
        <v xml:space="preserve">12312169    </v>
      </c>
      <c r="O9305">
        <v>231030</v>
      </c>
    </row>
    <row r="9306" spans="1:15" x14ac:dyDescent="0.25">
      <c r="A9306" t="s">
        <v>16</v>
      </c>
      <c r="B9306" t="s">
        <v>3221</v>
      </c>
      <c r="C9306">
        <v>690</v>
      </c>
      <c r="D9306" t="s">
        <v>684</v>
      </c>
      <c r="E9306" t="s">
        <v>685</v>
      </c>
      <c r="F9306">
        <v>12.65</v>
      </c>
      <c r="G9306">
        <v>230125</v>
      </c>
      <c r="H9306">
        <v>4573</v>
      </c>
      <c r="I9306" t="s">
        <v>46</v>
      </c>
      <c r="J9306">
        <v>15.69</v>
      </c>
      <c r="K9306">
        <v>3.04</v>
      </c>
      <c r="L9306">
        <v>69501</v>
      </c>
      <c r="M9306" t="s">
        <v>185</v>
      </c>
      <c r="N9306" t="str">
        <f>"12301435    "</f>
        <v xml:space="preserve">12301435    </v>
      </c>
      <c r="O9306">
        <v>230126</v>
      </c>
    </row>
    <row r="9307" spans="1:15" x14ac:dyDescent="0.25">
      <c r="A9307" t="s">
        <v>16</v>
      </c>
      <c r="B9307" t="s">
        <v>3221</v>
      </c>
      <c r="C9307">
        <v>692</v>
      </c>
      <c r="D9307" t="s">
        <v>684</v>
      </c>
      <c r="E9307" t="s">
        <v>685</v>
      </c>
      <c r="F9307">
        <v>12.65</v>
      </c>
      <c r="G9307">
        <v>230125</v>
      </c>
      <c r="H9307">
        <v>4573</v>
      </c>
      <c r="I9307" t="s">
        <v>46</v>
      </c>
      <c r="J9307">
        <v>15.69</v>
      </c>
      <c r="K9307">
        <v>3.04</v>
      </c>
      <c r="L9307">
        <v>69501</v>
      </c>
      <c r="M9307" t="s">
        <v>185</v>
      </c>
      <c r="N9307" t="str">
        <f>"12301436    "</f>
        <v xml:space="preserve">12301436    </v>
      </c>
      <c r="O9307">
        <v>230126</v>
      </c>
    </row>
    <row r="9308" spans="1:15" x14ac:dyDescent="0.25">
      <c r="A9308" t="s">
        <v>16</v>
      </c>
      <c r="B9308" t="s">
        <v>3221</v>
      </c>
      <c r="C9308">
        <v>804</v>
      </c>
      <c r="D9308" t="s">
        <v>684</v>
      </c>
      <c r="E9308" t="s">
        <v>685</v>
      </c>
      <c r="F9308">
        <v>546.63</v>
      </c>
      <c r="G9308">
        <v>230126</v>
      </c>
      <c r="H9308">
        <v>4573</v>
      </c>
      <c r="I9308" t="s">
        <v>46</v>
      </c>
      <c r="J9308">
        <v>677.82</v>
      </c>
      <c r="K9308">
        <v>131.19</v>
      </c>
      <c r="L9308">
        <v>69111</v>
      </c>
      <c r="M9308" t="s">
        <v>471</v>
      </c>
      <c r="N9308" t="str">
        <f>"12302795    "</f>
        <v xml:space="preserve">12302795    </v>
      </c>
      <c r="O9308">
        <v>230130</v>
      </c>
    </row>
    <row r="9309" spans="1:15" x14ac:dyDescent="0.25">
      <c r="A9309" t="s">
        <v>16</v>
      </c>
      <c r="B9309" t="s">
        <v>3221</v>
      </c>
      <c r="C9309">
        <v>804</v>
      </c>
      <c r="D9309" t="s">
        <v>684</v>
      </c>
      <c r="E9309" t="s">
        <v>685</v>
      </c>
      <c r="F9309">
        <v>880.68</v>
      </c>
      <c r="G9309">
        <v>230126</v>
      </c>
      <c r="H9309">
        <v>4573</v>
      </c>
      <c r="I9309" t="s">
        <v>46</v>
      </c>
      <c r="J9309">
        <v>1092.04</v>
      </c>
      <c r="K9309">
        <v>211.36</v>
      </c>
      <c r="L9309">
        <v>69501</v>
      </c>
      <c r="M9309" t="s">
        <v>185</v>
      </c>
      <c r="N9309" t="str">
        <f>"12302795    "</f>
        <v xml:space="preserve">12302795    </v>
      </c>
      <c r="O9309">
        <v>230130</v>
      </c>
    </row>
    <row r="9310" spans="1:15" x14ac:dyDescent="0.25">
      <c r="A9310" t="s">
        <v>16</v>
      </c>
      <c r="B9310" t="s">
        <v>3221</v>
      </c>
      <c r="C9310">
        <v>804</v>
      </c>
      <c r="D9310" t="s">
        <v>684</v>
      </c>
      <c r="E9310" t="s">
        <v>685</v>
      </c>
      <c r="F9310">
        <v>30.37</v>
      </c>
      <c r="G9310">
        <v>230126</v>
      </c>
      <c r="H9310">
        <v>4573</v>
      </c>
      <c r="I9310" t="s">
        <v>46</v>
      </c>
      <c r="J9310">
        <v>37.659999999999997</v>
      </c>
      <c r="K9310">
        <v>7.29</v>
      </c>
      <c r="L9310">
        <v>69802</v>
      </c>
      <c r="M9310" t="s">
        <v>283</v>
      </c>
      <c r="N9310" t="str">
        <f>"12302795    "</f>
        <v xml:space="preserve">12302795    </v>
      </c>
      <c r="O9310">
        <v>230130</v>
      </c>
    </row>
    <row r="9311" spans="1:15" x14ac:dyDescent="0.25">
      <c r="A9311" t="s">
        <v>16</v>
      </c>
      <c r="B9311" t="s">
        <v>3221</v>
      </c>
      <c r="C9311">
        <v>804</v>
      </c>
      <c r="D9311" t="s">
        <v>684</v>
      </c>
      <c r="E9311" t="s">
        <v>685</v>
      </c>
      <c r="F9311">
        <v>30.37</v>
      </c>
      <c r="G9311">
        <v>230126</v>
      </c>
      <c r="H9311">
        <v>4573</v>
      </c>
      <c r="I9311" t="s">
        <v>46</v>
      </c>
      <c r="J9311">
        <v>37.659999999999997</v>
      </c>
      <c r="K9311">
        <v>7.29</v>
      </c>
      <c r="L9311">
        <v>69803</v>
      </c>
      <c r="M9311" t="s">
        <v>755</v>
      </c>
      <c r="N9311" t="str">
        <f>"12302795    "</f>
        <v xml:space="preserve">12302795    </v>
      </c>
      <c r="O9311">
        <v>230130</v>
      </c>
    </row>
    <row r="9312" spans="1:15" x14ac:dyDescent="0.25">
      <c r="A9312" t="s">
        <v>16</v>
      </c>
      <c r="B9312" t="s">
        <v>3221</v>
      </c>
      <c r="C9312">
        <v>804</v>
      </c>
      <c r="D9312" t="s">
        <v>684</v>
      </c>
      <c r="E9312" t="s">
        <v>685</v>
      </c>
      <c r="F9312">
        <v>30.37</v>
      </c>
      <c r="G9312">
        <v>230126</v>
      </c>
      <c r="H9312">
        <v>4573</v>
      </c>
      <c r="I9312" t="s">
        <v>46</v>
      </c>
      <c r="J9312">
        <v>37.659999999999997</v>
      </c>
      <c r="K9312">
        <v>7.29</v>
      </c>
      <c r="L9312">
        <v>69804</v>
      </c>
      <c r="M9312" t="s">
        <v>284</v>
      </c>
      <c r="N9312" t="str">
        <f>"12302795    "</f>
        <v xml:space="preserve">12302795    </v>
      </c>
      <c r="O9312">
        <v>230130</v>
      </c>
    </row>
    <row r="9313" spans="1:15" x14ac:dyDescent="0.25">
      <c r="A9313" t="s">
        <v>16</v>
      </c>
      <c r="B9313" t="s">
        <v>3221</v>
      </c>
      <c r="C9313">
        <v>5499</v>
      </c>
      <c r="D9313" t="s">
        <v>684</v>
      </c>
      <c r="E9313" t="s">
        <v>685</v>
      </c>
      <c r="F9313">
        <v>303.16000000000003</v>
      </c>
      <c r="G9313">
        <v>230424</v>
      </c>
      <c r="H9313">
        <v>4573</v>
      </c>
      <c r="I9313" t="s">
        <v>46</v>
      </c>
      <c r="J9313">
        <v>375.92</v>
      </c>
      <c r="K9313">
        <v>72.760000000000005</v>
      </c>
      <c r="L9313">
        <v>69111</v>
      </c>
      <c r="M9313" t="s">
        <v>471</v>
      </c>
      <c r="N9313" t="str">
        <f t="shared" ref="N9313:N9318" si="165">"12305643    "</f>
        <v xml:space="preserve">12305643    </v>
      </c>
      <c r="O9313">
        <v>230426</v>
      </c>
    </row>
    <row r="9314" spans="1:15" x14ac:dyDescent="0.25">
      <c r="A9314" t="s">
        <v>16</v>
      </c>
      <c r="B9314" t="s">
        <v>3221</v>
      </c>
      <c r="C9314">
        <v>5499</v>
      </c>
      <c r="D9314" t="s">
        <v>684</v>
      </c>
      <c r="E9314" t="s">
        <v>685</v>
      </c>
      <c r="F9314">
        <v>534.98</v>
      </c>
      <c r="G9314">
        <v>230424</v>
      </c>
      <c r="H9314">
        <v>4573</v>
      </c>
      <c r="I9314" t="s">
        <v>46</v>
      </c>
      <c r="J9314">
        <v>663.38</v>
      </c>
      <c r="K9314">
        <v>128.4</v>
      </c>
      <c r="L9314">
        <v>69501</v>
      </c>
      <c r="M9314" t="s">
        <v>185</v>
      </c>
      <c r="N9314" t="str">
        <f t="shared" si="165"/>
        <v xml:space="preserve">12305643    </v>
      </c>
      <c r="O9314">
        <v>230426</v>
      </c>
    </row>
    <row r="9315" spans="1:15" x14ac:dyDescent="0.25">
      <c r="A9315" t="s">
        <v>16</v>
      </c>
      <c r="B9315" t="s">
        <v>3221</v>
      </c>
      <c r="C9315">
        <v>5499</v>
      </c>
      <c r="D9315" t="s">
        <v>684</v>
      </c>
      <c r="E9315" t="s">
        <v>685</v>
      </c>
      <c r="F9315">
        <v>17.829999999999998</v>
      </c>
      <c r="G9315">
        <v>230424</v>
      </c>
      <c r="H9315">
        <v>4573</v>
      </c>
      <c r="I9315" t="s">
        <v>46</v>
      </c>
      <c r="J9315">
        <v>22.11</v>
      </c>
      <c r="K9315">
        <v>4.28</v>
      </c>
      <c r="L9315">
        <v>69801</v>
      </c>
      <c r="M9315" t="s">
        <v>1735</v>
      </c>
      <c r="N9315" t="str">
        <f t="shared" si="165"/>
        <v xml:space="preserve">12305643    </v>
      </c>
      <c r="O9315">
        <v>230426</v>
      </c>
    </row>
    <row r="9316" spans="1:15" x14ac:dyDescent="0.25">
      <c r="A9316" t="s">
        <v>16</v>
      </c>
      <c r="B9316" t="s">
        <v>3221</v>
      </c>
      <c r="C9316">
        <v>5499</v>
      </c>
      <c r="D9316" t="s">
        <v>684</v>
      </c>
      <c r="E9316" t="s">
        <v>685</v>
      </c>
      <c r="F9316">
        <v>8.92</v>
      </c>
      <c r="G9316">
        <v>230424</v>
      </c>
      <c r="H9316">
        <v>4573</v>
      </c>
      <c r="I9316" t="s">
        <v>46</v>
      </c>
      <c r="J9316">
        <v>11.06</v>
      </c>
      <c r="K9316">
        <v>2.14</v>
      </c>
      <c r="L9316">
        <v>69802</v>
      </c>
      <c r="M9316" t="s">
        <v>283</v>
      </c>
      <c r="N9316" t="str">
        <f t="shared" si="165"/>
        <v xml:space="preserve">12305643    </v>
      </c>
      <c r="O9316">
        <v>230426</v>
      </c>
    </row>
    <row r="9317" spans="1:15" x14ac:dyDescent="0.25">
      <c r="A9317" t="s">
        <v>16</v>
      </c>
      <c r="B9317" t="s">
        <v>3221</v>
      </c>
      <c r="C9317">
        <v>5499</v>
      </c>
      <c r="D9317" t="s">
        <v>684</v>
      </c>
      <c r="E9317" t="s">
        <v>685</v>
      </c>
      <c r="F9317">
        <v>17.829999999999998</v>
      </c>
      <c r="G9317">
        <v>230424</v>
      </c>
      <c r="H9317">
        <v>4573</v>
      </c>
      <c r="I9317" t="s">
        <v>46</v>
      </c>
      <c r="J9317">
        <v>22.11</v>
      </c>
      <c r="K9317">
        <v>4.28</v>
      </c>
      <c r="L9317">
        <v>69803</v>
      </c>
      <c r="M9317" t="s">
        <v>755</v>
      </c>
      <c r="N9317" t="str">
        <f t="shared" si="165"/>
        <v xml:space="preserve">12305643    </v>
      </c>
      <c r="O9317">
        <v>230426</v>
      </c>
    </row>
    <row r="9318" spans="1:15" x14ac:dyDescent="0.25">
      <c r="A9318" t="s">
        <v>16</v>
      </c>
      <c r="B9318" t="s">
        <v>3221</v>
      </c>
      <c r="C9318">
        <v>5499</v>
      </c>
      <c r="D9318" t="s">
        <v>684</v>
      </c>
      <c r="E9318" t="s">
        <v>685</v>
      </c>
      <c r="F9318">
        <v>8.92</v>
      </c>
      <c r="G9318">
        <v>230424</v>
      </c>
      <c r="H9318">
        <v>4573</v>
      </c>
      <c r="I9318" t="s">
        <v>46</v>
      </c>
      <c r="J9318">
        <v>11.06</v>
      </c>
      <c r="K9318">
        <v>2.14</v>
      </c>
      <c r="L9318">
        <v>69804</v>
      </c>
      <c r="M9318" t="s">
        <v>284</v>
      </c>
      <c r="N9318" t="str">
        <f t="shared" si="165"/>
        <v xml:space="preserve">12305643    </v>
      </c>
      <c r="O9318">
        <v>230426</v>
      </c>
    </row>
    <row r="9319" spans="1:15" x14ac:dyDescent="0.25">
      <c r="A9319" t="s">
        <v>16</v>
      </c>
      <c r="B9319" t="s">
        <v>3221</v>
      </c>
      <c r="C9319">
        <v>5500</v>
      </c>
      <c r="D9319" t="s">
        <v>684</v>
      </c>
      <c r="E9319" t="s">
        <v>685</v>
      </c>
      <c r="F9319">
        <v>12.86</v>
      </c>
      <c r="G9319">
        <v>230424</v>
      </c>
      <c r="H9319">
        <v>4573</v>
      </c>
      <c r="I9319" t="s">
        <v>46</v>
      </c>
      <c r="J9319">
        <v>15.95</v>
      </c>
      <c r="K9319">
        <v>3.09</v>
      </c>
      <c r="L9319">
        <v>69501</v>
      </c>
      <c r="M9319" t="s">
        <v>185</v>
      </c>
      <c r="N9319" t="str">
        <f>"12304125    "</f>
        <v xml:space="preserve">12304125    </v>
      </c>
      <c r="O9319">
        <v>230426</v>
      </c>
    </row>
    <row r="9320" spans="1:15" x14ac:dyDescent="0.25">
      <c r="A9320" t="s">
        <v>16</v>
      </c>
      <c r="B9320" t="s">
        <v>3221</v>
      </c>
      <c r="C9320">
        <v>5501</v>
      </c>
      <c r="D9320" t="s">
        <v>684</v>
      </c>
      <c r="E9320" t="s">
        <v>685</v>
      </c>
      <c r="F9320">
        <v>13.81</v>
      </c>
      <c r="G9320">
        <v>230424</v>
      </c>
      <c r="H9320">
        <v>4573</v>
      </c>
      <c r="I9320" t="s">
        <v>46</v>
      </c>
      <c r="J9320">
        <v>17.12</v>
      </c>
      <c r="K9320">
        <v>3.31</v>
      </c>
      <c r="L9320">
        <v>69501</v>
      </c>
      <c r="M9320" t="s">
        <v>185</v>
      </c>
      <c r="N9320" t="str">
        <f>"12304126    "</f>
        <v xml:space="preserve">12304126    </v>
      </c>
      <c r="O9320">
        <v>230426</v>
      </c>
    </row>
    <row r="9321" spans="1:15" x14ac:dyDescent="0.25">
      <c r="A9321" t="s">
        <v>16</v>
      </c>
      <c r="B9321" t="s">
        <v>3221</v>
      </c>
      <c r="C9321">
        <v>9811</v>
      </c>
      <c r="D9321" t="s">
        <v>684</v>
      </c>
      <c r="E9321" t="s">
        <v>685</v>
      </c>
      <c r="F9321">
        <v>12.65</v>
      </c>
      <c r="G9321">
        <v>230724</v>
      </c>
      <c r="H9321">
        <v>4573</v>
      </c>
      <c r="I9321" t="s">
        <v>46</v>
      </c>
      <c r="J9321">
        <v>15.69</v>
      </c>
      <c r="K9321">
        <v>3.04</v>
      </c>
      <c r="L9321">
        <v>69501</v>
      </c>
      <c r="M9321" t="s">
        <v>185</v>
      </c>
      <c r="N9321" t="str">
        <f>"12306984    "</f>
        <v xml:space="preserve">12306984    </v>
      </c>
      <c r="O9321">
        <v>230725</v>
      </c>
    </row>
    <row r="9322" spans="1:15" x14ac:dyDescent="0.25">
      <c r="A9322" t="s">
        <v>16</v>
      </c>
      <c r="B9322" t="s">
        <v>3221</v>
      </c>
      <c r="C9322">
        <v>9812</v>
      </c>
      <c r="D9322" t="s">
        <v>684</v>
      </c>
      <c r="E9322" t="s">
        <v>685</v>
      </c>
      <c r="F9322">
        <v>12.65</v>
      </c>
      <c r="G9322">
        <v>230724</v>
      </c>
      <c r="H9322">
        <v>4573</v>
      </c>
      <c r="I9322" t="s">
        <v>46</v>
      </c>
      <c r="J9322">
        <v>15.69</v>
      </c>
      <c r="K9322">
        <v>3.04</v>
      </c>
      <c r="L9322">
        <v>69501</v>
      </c>
      <c r="M9322" t="s">
        <v>185</v>
      </c>
      <c r="N9322" t="str">
        <f>"12306985    "</f>
        <v xml:space="preserve">12306985    </v>
      </c>
      <c r="O9322">
        <v>230725</v>
      </c>
    </row>
    <row r="9323" spans="1:15" x14ac:dyDescent="0.25">
      <c r="A9323" t="s">
        <v>16</v>
      </c>
      <c r="B9323" t="s">
        <v>3221</v>
      </c>
      <c r="C9323">
        <v>9970</v>
      </c>
      <c r="D9323" t="s">
        <v>684</v>
      </c>
      <c r="E9323" t="s">
        <v>685</v>
      </c>
      <c r="F9323">
        <v>1038.8699999999999</v>
      </c>
      <c r="G9323">
        <v>230731</v>
      </c>
      <c r="H9323">
        <v>4573</v>
      </c>
      <c r="I9323" t="s">
        <v>46</v>
      </c>
      <c r="J9323">
        <v>1288.2</v>
      </c>
      <c r="K9323">
        <v>249.33</v>
      </c>
      <c r="L9323">
        <v>69111</v>
      </c>
      <c r="M9323" t="s">
        <v>471</v>
      </c>
      <c r="N9323" t="str">
        <f>"12308548    "</f>
        <v xml:space="preserve">12308548    </v>
      </c>
      <c r="O9323">
        <v>230803</v>
      </c>
    </row>
    <row r="9324" spans="1:15" x14ac:dyDescent="0.25">
      <c r="A9324" t="s">
        <v>16</v>
      </c>
      <c r="B9324" t="s">
        <v>3221</v>
      </c>
      <c r="C9324">
        <v>9970</v>
      </c>
      <c r="D9324" t="s">
        <v>684</v>
      </c>
      <c r="E9324" t="s">
        <v>685</v>
      </c>
      <c r="F9324">
        <v>1731.45</v>
      </c>
      <c r="G9324">
        <v>230731</v>
      </c>
      <c r="H9324">
        <v>4573</v>
      </c>
      <c r="I9324" t="s">
        <v>46</v>
      </c>
      <c r="J9324">
        <v>2147</v>
      </c>
      <c r="K9324">
        <v>415.55</v>
      </c>
      <c r="L9324">
        <v>69501</v>
      </c>
      <c r="M9324" t="s">
        <v>185</v>
      </c>
      <c r="N9324" t="str">
        <f>"12308548    "</f>
        <v xml:space="preserve">12308548    </v>
      </c>
      <c r="O9324">
        <v>230803</v>
      </c>
    </row>
    <row r="9325" spans="1:15" x14ac:dyDescent="0.25">
      <c r="A9325" t="s">
        <v>16</v>
      </c>
      <c r="B9325" t="s">
        <v>3221</v>
      </c>
      <c r="C9325">
        <v>9970</v>
      </c>
      <c r="D9325" t="s">
        <v>684</v>
      </c>
      <c r="E9325" t="s">
        <v>685</v>
      </c>
      <c r="F9325">
        <v>28.85</v>
      </c>
      <c r="G9325">
        <v>230731</v>
      </c>
      <c r="H9325">
        <v>4573</v>
      </c>
      <c r="I9325" t="s">
        <v>46</v>
      </c>
      <c r="J9325">
        <v>35.78</v>
      </c>
      <c r="K9325">
        <v>6.93</v>
      </c>
      <c r="L9325">
        <v>69802</v>
      </c>
      <c r="M9325" t="s">
        <v>283</v>
      </c>
      <c r="N9325" t="str">
        <f>"12308548    "</f>
        <v xml:space="preserve">12308548    </v>
      </c>
      <c r="O9325">
        <v>230803</v>
      </c>
    </row>
    <row r="9326" spans="1:15" x14ac:dyDescent="0.25">
      <c r="A9326" t="s">
        <v>16</v>
      </c>
      <c r="B9326" t="s">
        <v>3221</v>
      </c>
      <c r="C9326">
        <v>9970</v>
      </c>
      <c r="D9326" t="s">
        <v>684</v>
      </c>
      <c r="E9326" t="s">
        <v>685</v>
      </c>
      <c r="F9326">
        <v>71.569999999999993</v>
      </c>
      <c r="G9326">
        <v>230731</v>
      </c>
      <c r="H9326">
        <v>4573</v>
      </c>
      <c r="I9326" t="s">
        <v>46</v>
      </c>
      <c r="J9326">
        <v>71.569999999999993</v>
      </c>
      <c r="K9326">
        <v>0</v>
      </c>
      <c r="L9326">
        <v>69803</v>
      </c>
      <c r="M9326" t="s">
        <v>755</v>
      </c>
      <c r="N9326" t="str">
        <f>"12308548    "</f>
        <v xml:space="preserve">12308548    </v>
      </c>
      <c r="O9326">
        <v>230803</v>
      </c>
    </row>
    <row r="9327" spans="1:15" x14ac:dyDescent="0.25">
      <c r="A9327" t="s">
        <v>16</v>
      </c>
      <c r="B9327" t="s">
        <v>3221</v>
      </c>
      <c r="C9327">
        <v>9970</v>
      </c>
      <c r="D9327" t="s">
        <v>684</v>
      </c>
      <c r="E9327" t="s">
        <v>685</v>
      </c>
      <c r="F9327">
        <v>28.85</v>
      </c>
      <c r="G9327">
        <v>230731</v>
      </c>
      <c r="H9327">
        <v>4573</v>
      </c>
      <c r="I9327" t="s">
        <v>46</v>
      </c>
      <c r="J9327">
        <v>35.78</v>
      </c>
      <c r="K9327">
        <v>6.93</v>
      </c>
      <c r="L9327">
        <v>69804</v>
      </c>
      <c r="M9327" t="s">
        <v>284</v>
      </c>
      <c r="N9327" t="str">
        <f>"12308548    "</f>
        <v xml:space="preserve">12308548    </v>
      </c>
      <c r="O9327">
        <v>230803</v>
      </c>
    </row>
    <row r="9328" spans="1:15" x14ac:dyDescent="0.25">
      <c r="A9328" t="s">
        <v>16</v>
      </c>
      <c r="B9328" t="s">
        <v>3221</v>
      </c>
      <c r="C9328">
        <v>14557</v>
      </c>
      <c r="D9328" t="s">
        <v>684</v>
      </c>
      <c r="E9328" t="s">
        <v>685</v>
      </c>
      <c r="F9328">
        <v>11.51</v>
      </c>
      <c r="G9328">
        <v>231025</v>
      </c>
      <c r="H9328">
        <v>4573</v>
      </c>
      <c r="I9328" t="s">
        <v>46</v>
      </c>
      <c r="J9328">
        <v>14.27</v>
      </c>
      <c r="K9328">
        <v>2.76</v>
      </c>
      <c r="L9328">
        <v>69501</v>
      </c>
      <c r="M9328" t="s">
        <v>185</v>
      </c>
      <c r="N9328" t="str">
        <f>"12311112    "</f>
        <v xml:space="preserve">12311112    </v>
      </c>
      <c r="O9328">
        <v>231030</v>
      </c>
    </row>
    <row r="9329" spans="1:15" x14ac:dyDescent="0.25">
      <c r="A9329" t="s">
        <v>16</v>
      </c>
      <c r="B9329" t="s">
        <v>3221</v>
      </c>
      <c r="C9329">
        <v>14561</v>
      </c>
      <c r="D9329" t="s">
        <v>684</v>
      </c>
      <c r="E9329" t="s">
        <v>685</v>
      </c>
      <c r="F9329">
        <v>13.81</v>
      </c>
      <c r="G9329">
        <v>231025</v>
      </c>
      <c r="H9329">
        <v>4573</v>
      </c>
      <c r="I9329" t="s">
        <v>46</v>
      </c>
      <c r="J9329">
        <v>17.12</v>
      </c>
      <c r="K9329">
        <v>3.31</v>
      </c>
      <c r="L9329">
        <v>69501</v>
      </c>
      <c r="M9329" t="s">
        <v>185</v>
      </c>
      <c r="N9329" t="str">
        <f>"12311111    "</f>
        <v xml:space="preserve">12311111    </v>
      </c>
      <c r="O9329">
        <v>231030</v>
      </c>
    </row>
    <row r="9330" spans="1:15" x14ac:dyDescent="0.25">
      <c r="A9330" t="s">
        <v>16</v>
      </c>
      <c r="B9330" t="s">
        <v>3221</v>
      </c>
      <c r="C9330">
        <v>14590</v>
      </c>
      <c r="D9330" t="s">
        <v>684</v>
      </c>
      <c r="E9330" t="s">
        <v>685</v>
      </c>
      <c r="F9330">
        <v>728.56</v>
      </c>
      <c r="G9330">
        <v>231024</v>
      </c>
      <c r="H9330">
        <v>4573</v>
      </c>
      <c r="I9330" t="s">
        <v>46</v>
      </c>
      <c r="J9330">
        <v>903.42</v>
      </c>
      <c r="K9330">
        <v>174.86</v>
      </c>
      <c r="L9330">
        <v>69111</v>
      </c>
      <c r="M9330" t="s">
        <v>471</v>
      </c>
      <c r="N9330" t="str">
        <f t="shared" ref="N9330:N9335" si="166">"12312169    "</f>
        <v xml:space="preserve">12312169    </v>
      </c>
      <c r="O9330">
        <v>231030</v>
      </c>
    </row>
    <row r="9331" spans="1:15" x14ac:dyDescent="0.25">
      <c r="A9331" t="s">
        <v>16</v>
      </c>
      <c r="B9331" t="s">
        <v>3221</v>
      </c>
      <c r="C9331">
        <v>14590</v>
      </c>
      <c r="D9331" t="s">
        <v>684</v>
      </c>
      <c r="E9331" t="s">
        <v>685</v>
      </c>
      <c r="F9331">
        <v>1285.7</v>
      </c>
      <c r="G9331">
        <v>231024</v>
      </c>
      <c r="H9331">
        <v>4573</v>
      </c>
      <c r="I9331" t="s">
        <v>46</v>
      </c>
      <c r="J9331">
        <v>1594.27</v>
      </c>
      <c r="K9331">
        <v>308.57</v>
      </c>
      <c r="L9331">
        <v>69501</v>
      </c>
      <c r="M9331" t="s">
        <v>185</v>
      </c>
      <c r="N9331" t="str">
        <f t="shared" si="166"/>
        <v xml:space="preserve">12312169    </v>
      </c>
      <c r="O9331">
        <v>231030</v>
      </c>
    </row>
    <row r="9332" spans="1:15" x14ac:dyDescent="0.25">
      <c r="A9332" t="s">
        <v>16</v>
      </c>
      <c r="B9332" t="s">
        <v>3221</v>
      </c>
      <c r="C9332">
        <v>14590</v>
      </c>
      <c r="D9332" t="s">
        <v>684</v>
      </c>
      <c r="E9332" t="s">
        <v>685</v>
      </c>
      <c r="F9332">
        <v>42.85</v>
      </c>
      <c r="G9332">
        <v>231024</v>
      </c>
      <c r="H9332">
        <v>4573</v>
      </c>
      <c r="I9332" t="s">
        <v>46</v>
      </c>
      <c r="J9332">
        <v>53.14</v>
      </c>
      <c r="K9332">
        <v>10.29</v>
      </c>
      <c r="L9332">
        <v>69801</v>
      </c>
      <c r="M9332" t="s">
        <v>1735</v>
      </c>
      <c r="N9332" t="str">
        <f t="shared" si="166"/>
        <v xml:space="preserve">12312169    </v>
      </c>
      <c r="O9332">
        <v>231030</v>
      </c>
    </row>
    <row r="9333" spans="1:15" x14ac:dyDescent="0.25">
      <c r="A9333" t="s">
        <v>16</v>
      </c>
      <c r="B9333" t="s">
        <v>3221</v>
      </c>
      <c r="C9333">
        <v>14590</v>
      </c>
      <c r="D9333" t="s">
        <v>684</v>
      </c>
      <c r="E9333" t="s">
        <v>685</v>
      </c>
      <c r="F9333">
        <v>21.43</v>
      </c>
      <c r="G9333">
        <v>231024</v>
      </c>
      <c r="H9333">
        <v>4573</v>
      </c>
      <c r="I9333" t="s">
        <v>46</v>
      </c>
      <c r="J9333">
        <v>26.57</v>
      </c>
      <c r="K9333">
        <v>5.14</v>
      </c>
      <c r="L9333">
        <v>69802</v>
      </c>
      <c r="M9333" t="s">
        <v>283</v>
      </c>
      <c r="N9333" t="str">
        <f t="shared" si="166"/>
        <v xml:space="preserve">12312169    </v>
      </c>
      <c r="O9333">
        <v>231030</v>
      </c>
    </row>
    <row r="9334" spans="1:15" x14ac:dyDescent="0.25">
      <c r="A9334" t="s">
        <v>16</v>
      </c>
      <c r="B9334" t="s">
        <v>3221</v>
      </c>
      <c r="C9334">
        <v>14590</v>
      </c>
      <c r="D9334" t="s">
        <v>684</v>
      </c>
      <c r="E9334" t="s">
        <v>685</v>
      </c>
      <c r="F9334">
        <v>53.14</v>
      </c>
      <c r="G9334">
        <v>231024</v>
      </c>
      <c r="H9334">
        <v>4573</v>
      </c>
      <c r="I9334" t="s">
        <v>46</v>
      </c>
      <c r="J9334">
        <v>53.14</v>
      </c>
      <c r="K9334">
        <v>0</v>
      </c>
      <c r="L9334">
        <v>69803</v>
      </c>
      <c r="M9334" t="s">
        <v>755</v>
      </c>
      <c r="N9334" t="str">
        <f t="shared" si="166"/>
        <v xml:space="preserve">12312169    </v>
      </c>
      <c r="O9334">
        <v>231030</v>
      </c>
    </row>
    <row r="9335" spans="1:15" x14ac:dyDescent="0.25">
      <c r="A9335" t="s">
        <v>16</v>
      </c>
      <c r="B9335" t="s">
        <v>3221</v>
      </c>
      <c r="C9335">
        <v>14590</v>
      </c>
      <c r="D9335" t="s">
        <v>684</v>
      </c>
      <c r="E9335" t="s">
        <v>685</v>
      </c>
      <c r="F9335">
        <v>21.43</v>
      </c>
      <c r="G9335">
        <v>231024</v>
      </c>
      <c r="H9335">
        <v>4573</v>
      </c>
      <c r="I9335" t="s">
        <v>46</v>
      </c>
      <c r="J9335">
        <v>26.57</v>
      </c>
      <c r="K9335">
        <v>5.14</v>
      </c>
      <c r="L9335">
        <v>69804</v>
      </c>
      <c r="M9335" t="s">
        <v>284</v>
      </c>
      <c r="N9335" t="str">
        <f t="shared" si="166"/>
        <v xml:space="preserve">12312169    </v>
      </c>
      <c r="O9335">
        <v>231030</v>
      </c>
    </row>
    <row r="9336" spans="1:15" x14ac:dyDescent="0.25">
      <c r="A9336" t="s">
        <v>16</v>
      </c>
      <c r="B9336" t="s">
        <v>3221</v>
      </c>
      <c r="C9336">
        <v>6744</v>
      </c>
      <c r="D9336" t="s">
        <v>3468</v>
      </c>
      <c r="E9336" t="s">
        <v>3469</v>
      </c>
      <c r="F9336">
        <v>649.6</v>
      </c>
      <c r="G9336">
        <v>230430</v>
      </c>
      <c r="H9336">
        <v>4800</v>
      </c>
      <c r="I9336" t="s">
        <v>3276</v>
      </c>
      <c r="J9336">
        <v>649.6</v>
      </c>
      <c r="K9336">
        <v>0</v>
      </c>
      <c r="L9336">
        <v>67554</v>
      </c>
      <c r="M9336" t="s">
        <v>60</v>
      </c>
      <c r="N9336" t="str">
        <f>"150523      "</f>
        <v xml:space="preserve">150523      </v>
      </c>
      <c r="O9336">
        <v>230522</v>
      </c>
    </row>
    <row r="9337" spans="1:15" x14ac:dyDescent="0.25">
      <c r="A9337" t="s">
        <v>16</v>
      </c>
      <c r="B9337" t="s">
        <v>3221</v>
      </c>
      <c r="C9337">
        <v>286</v>
      </c>
      <c r="D9337" t="s">
        <v>420</v>
      </c>
      <c r="E9337" t="s">
        <v>421</v>
      </c>
      <c r="F9337">
        <v>9.6300000000000008</v>
      </c>
      <c r="G9337">
        <v>230116</v>
      </c>
      <c r="H9337">
        <v>4520</v>
      </c>
      <c r="I9337" t="s">
        <v>254</v>
      </c>
      <c r="J9337">
        <v>10.98</v>
      </c>
      <c r="K9337">
        <v>1.35</v>
      </c>
      <c r="L9337">
        <v>13801</v>
      </c>
      <c r="M9337" t="s">
        <v>162</v>
      </c>
      <c r="N9337" t="str">
        <f>"29518240    "</f>
        <v xml:space="preserve">29518240    </v>
      </c>
      <c r="O9337">
        <v>230117</v>
      </c>
    </row>
    <row r="9338" spans="1:15" x14ac:dyDescent="0.25">
      <c r="A9338" t="s">
        <v>16</v>
      </c>
      <c r="B9338" t="s">
        <v>3221</v>
      </c>
      <c r="C9338">
        <v>1045</v>
      </c>
      <c r="D9338" t="s">
        <v>420</v>
      </c>
      <c r="E9338" t="s">
        <v>421</v>
      </c>
      <c r="F9338">
        <v>37.4</v>
      </c>
      <c r="G9338">
        <v>230201</v>
      </c>
      <c r="H9338">
        <v>4520</v>
      </c>
      <c r="I9338" t="s">
        <v>254</v>
      </c>
      <c r="J9338">
        <v>42.64</v>
      </c>
      <c r="K9338">
        <v>5.24</v>
      </c>
      <c r="L9338">
        <v>13801</v>
      </c>
      <c r="M9338" t="s">
        <v>162</v>
      </c>
      <c r="N9338" t="str">
        <f>"29518286    "</f>
        <v xml:space="preserve">29518286    </v>
      </c>
      <c r="O9338">
        <v>230202</v>
      </c>
    </row>
    <row r="9339" spans="1:15" x14ac:dyDescent="0.25">
      <c r="A9339" t="s">
        <v>16</v>
      </c>
      <c r="B9339" t="s">
        <v>3221</v>
      </c>
      <c r="C9339">
        <v>2085</v>
      </c>
      <c r="D9339" t="s">
        <v>420</v>
      </c>
      <c r="E9339" t="s">
        <v>421</v>
      </c>
      <c r="F9339">
        <v>19.260000000000002</v>
      </c>
      <c r="G9339">
        <v>230216</v>
      </c>
      <c r="H9339">
        <v>4520</v>
      </c>
      <c r="I9339" t="s">
        <v>254</v>
      </c>
      <c r="J9339">
        <v>21.96</v>
      </c>
      <c r="K9339">
        <v>2.7</v>
      </c>
      <c r="L9339">
        <v>13801</v>
      </c>
      <c r="M9339" t="s">
        <v>162</v>
      </c>
      <c r="N9339" t="str">
        <f>"29518386    "</f>
        <v xml:space="preserve">29518386    </v>
      </c>
      <c r="O9339">
        <v>230220</v>
      </c>
    </row>
    <row r="9340" spans="1:15" x14ac:dyDescent="0.25">
      <c r="A9340" t="s">
        <v>16</v>
      </c>
      <c r="B9340" t="s">
        <v>3221</v>
      </c>
      <c r="C9340">
        <v>2292</v>
      </c>
      <c r="D9340" t="s">
        <v>420</v>
      </c>
      <c r="E9340" t="s">
        <v>421</v>
      </c>
      <c r="F9340">
        <v>32.65</v>
      </c>
      <c r="G9340">
        <v>230215</v>
      </c>
      <c r="H9340">
        <v>4520</v>
      </c>
      <c r="I9340" t="s">
        <v>254</v>
      </c>
      <c r="J9340">
        <v>40.49</v>
      </c>
      <c r="K9340">
        <v>7.84</v>
      </c>
      <c r="L9340">
        <v>16321</v>
      </c>
      <c r="M9340" t="s">
        <v>423</v>
      </c>
      <c r="N9340" t="str">
        <f>"28519188    "</f>
        <v xml:space="preserve">28519188    </v>
      </c>
      <c r="O9340">
        <v>230224</v>
      </c>
    </row>
    <row r="9341" spans="1:15" x14ac:dyDescent="0.25">
      <c r="A9341" t="s">
        <v>16</v>
      </c>
      <c r="B9341" t="s">
        <v>3221</v>
      </c>
      <c r="C9341">
        <v>3707</v>
      </c>
      <c r="D9341" t="s">
        <v>420</v>
      </c>
      <c r="E9341" t="s">
        <v>421</v>
      </c>
      <c r="F9341">
        <v>5.07</v>
      </c>
      <c r="G9341">
        <v>230301</v>
      </c>
      <c r="H9341">
        <v>4520</v>
      </c>
      <c r="I9341" t="s">
        <v>254</v>
      </c>
      <c r="J9341">
        <v>5.78</v>
      </c>
      <c r="K9341">
        <v>0.71</v>
      </c>
      <c r="L9341">
        <v>16321</v>
      </c>
      <c r="M9341" t="s">
        <v>423</v>
      </c>
      <c r="N9341" t="str">
        <f>"28519244    "</f>
        <v xml:space="preserve">28519244    </v>
      </c>
      <c r="O9341">
        <v>230321</v>
      </c>
    </row>
    <row r="9342" spans="1:15" x14ac:dyDescent="0.25">
      <c r="A9342" t="s">
        <v>16</v>
      </c>
      <c r="B9342" t="s">
        <v>3221</v>
      </c>
      <c r="C9342">
        <v>4586</v>
      </c>
      <c r="D9342" t="s">
        <v>420</v>
      </c>
      <c r="E9342" t="s">
        <v>421</v>
      </c>
      <c r="F9342">
        <v>0.19</v>
      </c>
      <c r="G9342">
        <v>230315</v>
      </c>
      <c r="H9342">
        <v>4520</v>
      </c>
      <c r="I9342" t="s">
        <v>254</v>
      </c>
      <c r="J9342">
        <v>0.24</v>
      </c>
      <c r="K9342">
        <v>0.05</v>
      </c>
      <c r="L9342">
        <v>16321</v>
      </c>
      <c r="M9342" t="s">
        <v>423</v>
      </c>
      <c r="N9342" t="str">
        <f>"28519318    "</f>
        <v xml:space="preserve">28519318    </v>
      </c>
      <c r="O9342">
        <v>230406</v>
      </c>
    </row>
    <row r="9343" spans="1:15" x14ac:dyDescent="0.25">
      <c r="A9343" t="s">
        <v>16</v>
      </c>
      <c r="B9343" t="s">
        <v>3221</v>
      </c>
      <c r="C9343">
        <v>4586</v>
      </c>
      <c r="D9343" t="s">
        <v>420</v>
      </c>
      <c r="E9343" t="s">
        <v>421</v>
      </c>
      <c r="F9343">
        <v>14.93</v>
      </c>
      <c r="G9343">
        <v>230315</v>
      </c>
      <c r="H9343">
        <v>4520</v>
      </c>
      <c r="I9343" t="s">
        <v>254</v>
      </c>
      <c r="J9343">
        <v>17.02</v>
      </c>
      <c r="K9343">
        <v>2.09</v>
      </c>
      <c r="L9343">
        <v>16321</v>
      </c>
      <c r="M9343" t="s">
        <v>423</v>
      </c>
      <c r="N9343" t="str">
        <f>"28519318    "</f>
        <v xml:space="preserve">28519318    </v>
      </c>
      <c r="O9343">
        <v>230406</v>
      </c>
    </row>
    <row r="9344" spans="1:15" x14ac:dyDescent="0.25">
      <c r="A9344" t="s">
        <v>16</v>
      </c>
      <c r="B9344" t="s">
        <v>3221</v>
      </c>
      <c r="C9344">
        <v>5237</v>
      </c>
      <c r="D9344" t="s">
        <v>420</v>
      </c>
      <c r="E9344" t="s">
        <v>421</v>
      </c>
      <c r="F9344">
        <v>1.64</v>
      </c>
      <c r="G9344">
        <v>230401</v>
      </c>
      <c r="H9344">
        <v>4520</v>
      </c>
      <c r="I9344" t="s">
        <v>254</v>
      </c>
      <c r="J9344">
        <v>2.0299999999999998</v>
      </c>
      <c r="K9344">
        <v>0.39</v>
      </c>
      <c r="L9344">
        <v>16321</v>
      </c>
      <c r="M9344" t="s">
        <v>423</v>
      </c>
      <c r="N9344" t="str">
        <f>"28519375    "</f>
        <v xml:space="preserve">28519375    </v>
      </c>
      <c r="O9344">
        <v>230419</v>
      </c>
    </row>
    <row r="9345" spans="1:15" x14ac:dyDescent="0.25">
      <c r="A9345" t="s">
        <v>16</v>
      </c>
      <c r="B9345" t="s">
        <v>3221</v>
      </c>
      <c r="C9345">
        <v>5237</v>
      </c>
      <c r="D9345" t="s">
        <v>420</v>
      </c>
      <c r="E9345" t="s">
        <v>421</v>
      </c>
      <c r="F9345">
        <v>21.65</v>
      </c>
      <c r="G9345">
        <v>230401</v>
      </c>
      <c r="H9345">
        <v>4520</v>
      </c>
      <c r="I9345" t="s">
        <v>254</v>
      </c>
      <c r="J9345">
        <v>24.68</v>
      </c>
      <c r="K9345">
        <v>3.03</v>
      </c>
      <c r="L9345">
        <v>16321</v>
      </c>
      <c r="M9345" t="s">
        <v>423</v>
      </c>
      <c r="N9345" t="str">
        <f>"28519375    "</f>
        <v xml:space="preserve">28519375    </v>
      </c>
      <c r="O9345">
        <v>230419</v>
      </c>
    </row>
    <row r="9346" spans="1:15" x14ac:dyDescent="0.25">
      <c r="A9346" t="s">
        <v>16</v>
      </c>
      <c r="B9346" t="s">
        <v>3221</v>
      </c>
      <c r="C9346">
        <v>5247</v>
      </c>
      <c r="D9346" t="s">
        <v>420</v>
      </c>
      <c r="E9346" t="s">
        <v>421</v>
      </c>
      <c r="F9346">
        <v>33.71</v>
      </c>
      <c r="G9346">
        <v>230417</v>
      </c>
      <c r="H9346">
        <v>4520</v>
      </c>
      <c r="I9346" t="s">
        <v>254</v>
      </c>
      <c r="J9346">
        <v>38.43</v>
      </c>
      <c r="K9346">
        <v>4.72</v>
      </c>
      <c r="L9346">
        <v>13801</v>
      </c>
      <c r="M9346" t="s">
        <v>162</v>
      </c>
      <c r="N9346" t="str">
        <f>"29518673    "</f>
        <v xml:space="preserve">29518673    </v>
      </c>
      <c r="O9346">
        <v>230419</v>
      </c>
    </row>
    <row r="9347" spans="1:15" x14ac:dyDescent="0.25">
      <c r="A9347" t="s">
        <v>16</v>
      </c>
      <c r="B9347" t="s">
        <v>3221</v>
      </c>
      <c r="C9347">
        <v>5829</v>
      </c>
      <c r="D9347" t="s">
        <v>420</v>
      </c>
      <c r="E9347" t="s">
        <v>421</v>
      </c>
      <c r="F9347">
        <v>45.56</v>
      </c>
      <c r="G9347">
        <v>230501</v>
      </c>
      <c r="H9347">
        <v>4520</v>
      </c>
      <c r="I9347" t="s">
        <v>254</v>
      </c>
      <c r="J9347">
        <v>51.94</v>
      </c>
      <c r="K9347">
        <v>6.38</v>
      </c>
      <c r="L9347">
        <v>13801</v>
      </c>
      <c r="M9347" t="s">
        <v>162</v>
      </c>
      <c r="N9347" t="str">
        <f>"29518723    "</f>
        <v xml:space="preserve">29518723    </v>
      </c>
      <c r="O9347">
        <v>230503</v>
      </c>
    </row>
    <row r="9348" spans="1:15" x14ac:dyDescent="0.25">
      <c r="A9348" t="s">
        <v>16</v>
      </c>
      <c r="B9348" t="s">
        <v>3221</v>
      </c>
      <c r="C9348">
        <v>11652</v>
      </c>
      <c r="D9348" t="s">
        <v>420</v>
      </c>
      <c r="E9348" t="s">
        <v>421</v>
      </c>
      <c r="F9348">
        <v>28.9</v>
      </c>
      <c r="G9348">
        <v>230815</v>
      </c>
      <c r="H9348">
        <v>4520</v>
      </c>
      <c r="I9348" t="s">
        <v>254</v>
      </c>
      <c r="J9348">
        <v>35.83</v>
      </c>
      <c r="K9348">
        <v>6.93</v>
      </c>
      <c r="L9348">
        <v>16321</v>
      </c>
      <c r="M9348" t="s">
        <v>423</v>
      </c>
      <c r="N9348" t="str">
        <f>"28520006    "</f>
        <v xml:space="preserve">28520006    </v>
      </c>
      <c r="O9348">
        <v>230908</v>
      </c>
    </row>
    <row r="9349" spans="1:15" x14ac:dyDescent="0.25">
      <c r="A9349" t="s">
        <v>16</v>
      </c>
      <c r="B9349" t="s">
        <v>3221</v>
      </c>
      <c r="C9349">
        <v>11670</v>
      </c>
      <c r="D9349" t="s">
        <v>420</v>
      </c>
      <c r="E9349" t="s">
        <v>421</v>
      </c>
      <c r="F9349">
        <v>11.27</v>
      </c>
      <c r="G9349">
        <v>230901</v>
      </c>
      <c r="H9349">
        <v>4520</v>
      </c>
      <c r="I9349" t="s">
        <v>254</v>
      </c>
      <c r="J9349">
        <v>13.97</v>
      </c>
      <c r="K9349">
        <v>2.7</v>
      </c>
      <c r="L9349">
        <v>16321</v>
      </c>
      <c r="M9349" t="s">
        <v>423</v>
      </c>
      <c r="N9349" t="str">
        <f>"28520064    "</f>
        <v xml:space="preserve">28520064    </v>
      </c>
      <c r="O9349">
        <v>230908</v>
      </c>
    </row>
    <row r="9350" spans="1:15" x14ac:dyDescent="0.25">
      <c r="A9350" t="s">
        <v>16</v>
      </c>
      <c r="B9350" t="s">
        <v>3221</v>
      </c>
      <c r="C9350">
        <v>12350</v>
      </c>
      <c r="D9350" t="s">
        <v>420</v>
      </c>
      <c r="E9350" t="s">
        <v>421</v>
      </c>
      <c r="F9350">
        <v>36.56</v>
      </c>
      <c r="G9350">
        <v>230915</v>
      </c>
      <c r="H9350">
        <v>4520</v>
      </c>
      <c r="I9350" t="s">
        <v>254</v>
      </c>
      <c r="J9350">
        <v>41.68</v>
      </c>
      <c r="K9350">
        <v>5.12</v>
      </c>
      <c r="L9350">
        <v>16321</v>
      </c>
      <c r="M9350" t="s">
        <v>423</v>
      </c>
      <c r="N9350" t="str">
        <f>"28520147    "</f>
        <v xml:space="preserve">28520147    </v>
      </c>
      <c r="O9350">
        <v>230918</v>
      </c>
    </row>
    <row r="9351" spans="1:15" x14ac:dyDescent="0.25">
      <c r="A9351" t="s">
        <v>16</v>
      </c>
      <c r="B9351" t="s">
        <v>3221</v>
      </c>
      <c r="C9351">
        <v>12444</v>
      </c>
      <c r="D9351" t="s">
        <v>420</v>
      </c>
      <c r="E9351" t="s">
        <v>421</v>
      </c>
      <c r="F9351">
        <v>53.85</v>
      </c>
      <c r="G9351">
        <v>230918</v>
      </c>
      <c r="H9351">
        <v>4520</v>
      </c>
      <c r="I9351" t="s">
        <v>254</v>
      </c>
      <c r="J9351">
        <v>61.39</v>
      </c>
      <c r="K9351">
        <v>7.54</v>
      </c>
      <c r="L9351">
        <v>13801</v>
      </c>
      <c r="M9351" t="s">
        <v>162</v>
      </c>
      <c r="N9351" t="str">
        <f>"29519369    "</f>
        <v xml:space="preserve">29519369    </v>
      </c>
      <c r="O9351">
        <v>230920</v>
      </c>
    </row>
    <row r="9352" spans="1:15" x14ac:dyDescent="0.25">
      <c r="A9352" t="s">
        <v>16</v>
      </c>
      <c r="B9352" t="s">
        <v>3221</v>
      </c>
      <c r="C9352">
        <v>13469</v>
      </c>
      <c r="D9352" t="s">
        <v>420</v>
      </c>
      <c r="E9352" t="s">
        <v>421</v>
      </c>
      <c r="F9352">
        <v>16.78</v>
      </c>
      <c r="G9352">
        <v>231001</v>
      </c>
      <c r="H9352">
        <v>4520</v>
      </c>
      <c r="I9352" t="s">
        <v>254</v>
      </c>
      <c r="J9352">
        <v>19.13</v>
      </c>
      <c r="K9352">
        <v>2.35</v>
      </c>
      <c r="L9352">
        <v>16321</v>
      </c>
      <c r="M9352" t="s">
        <v>423</v>
      </c>
      <c r="N9352" t="str">
        <f>"28520202    "</f>
        <v xml:space="preserve">28520202    </v>
      </c>
      <c r="O9352">
        <v>231010</v>
      </c>
    </row>
    <row r="9353" spans="1:15" x14ac:dyDescent="0.25">
      <c r="A9353" t="s">
        <v>16</v>
      </c>
      <c r="B9353" t="s">
        <v>3221</v>
      </c>
      <c r="C9353">
        <v>16000</v>
      </c>
      <c r="D9353" t="s">
        <v>420</v>
      </c>
      <c r="E9353" t="s">
        <v>421</v>
      </c>
      <c r="F9353">
        <v>50.33</v>
      </c>
      <c r="G9353">
        <v>231116</v>
      </c>
      <c r="H9353">
        <v>4520</v>
      </c>
      <c r="I9353" t="s">
        <v>254</v>
      </c>
      <c r="J9353">
        <v>57.38</v>
      </c>
      <c r="K9353">
        <v>7.05</v>
      </c>
      <c r="L9353">
        <v>13801</v>
      </c>
      <c r="M9353" t="s">
        <v>162</v>
      </c>
      <c r="N9353" t="str">
        <f>"29519663    "</f>
        <v xml:space="preserve">29519663    </v>
      </c>
      <c r="O9353">
        <v>231122</v>
      </c>
    </row>
    <row r="9354" spans="1:15" x14ac:dyDescent="0.25">
      <c r="A9354" t="s">
        <v>16</v>
      </c>
      <c r="B9354" t="s">
        <v>3221</v>
      </c>
      <c r="C9354">
        <v>17806</v>
      </c>
      <c r="D9354" t="s">
        <v>420</v>
      </c>
      <c r="E9354" t="s">
        <v>421</v>
      </c>
      <c r="F9354">
        <v>9.61</v>
      </c>
      <c r="G9354">
        <v>231201</v>
      </c>
      <c r="H9354">
        <v>4520</v>
      </c>
      <c r="I9354" t="s">
        <v>254</v>
      </c>
      <c r="J9354">
        <v>10.95</v>
      </c>
      <c r="K9354">
        <v>1.34</v>
      </c>
      <c r="L9354">
        <v>16321</v>
      </c>
      <c r="M9354" t="s">
        <v>423</v>
      </c>
      <c r="N9354" t="str">
        <f>"28520481    "</f>
        <v xml:space="preserve">28520481    </v>
      </c>
      <c r="O9354">
        <v>231227</v>
      </c>
    </row>
    <row r="9355" spans="1:15" x14ac:dyDescent="0.25">
      <c r="A9355" t="s">
        <v>16</v>
      </c>
      <c r="B9355" t="s">
        <v>3221</v>
      </c>
      <c r="C9355">
        <v>18082</v>
      </c>
      <c r="D9355" t="s">
        <v>420</v>
      </c>
      <c r="E9355" t="s">
        <v>421</v>
      </c>
      <c r="F9355">
        <v>34.5</v>
      </c>
      <c r="G9355">
        <v>231215</v>
      </c>
      <c r="H9355">
        <v>4520</v>
      </c>
      <c r="I9355" t="s">
        <v>254</v>
      </c>
      <c r="J9355">
        <v>39.33</v>
      </c>
      <c r="K9355">
        <v>4.83</v>
      </c>
      <c r="L9355">
        <v>16321</v>
      </c>
      <c r="M9355" t="s">
        <v>423</v>
      </c>
      <c r="N9355" t="str">
        <f>"28520564    "</f>
        <v xml:space="preserve">28520564    </v>
      </c>
      <c r="O9355">
        <v>240102</v>
      </c>
    </row>
    <row r="9356" spans="1:15" x14ac:dyDescent="0.25">
      <c r="A9356" t="s">
        <v>16</v>
      </c>
      <c r="B9356" t="s">
        <v>3221</v>
      </c>
      <c r="C9356">
        <v>19314</v>
      </c>
      <c r="D9356" t="s">
        <v>420</v>
      </c>
      <c r="E9356" t="s">
        <v>421</v>
      </c>
      <c r="F9356">
        <v>31.59</v>
      </c>
      <c r="G9356">
        <v>240101</v>
      </c>
      <c r="H9356">
        <v>4520</v>
      </c>
      <c r="I9356" t="s">
        <v>254</v>
      </c>
      <c r="J9356">
        <v>36.01</v>
      </c>
      <c r="K9356">
        <v>4.42</v>
      </c>
      <c r="L9356">
        <v>16321</v>
      </c>
      <c r="M9356" t="s">
        <v>423</v>
      </c>
      <c r="N9356" t="str">
        <f>"28520627    "</f>
        <v xml:space="preserve">28520627    </v>
      </c>
      <c r="O9356">
        <v>240117</v>
      </c>
    </row>
    <row r="9357" spans="1:15" x14ac:dyDescent="0.25">
      <c r="A9357" t="s">
        <v>16</v>
      </c>
      <c r="B9357" t="s">
        <v>3221</v>
      </c>
      <c r="C9357">
        <v>13469</v>
      </c>
      <c r="D9357" t="s">
        <v>420</v>
      </c>
      <c r="E9357" t="s">
        <v>421</v>
      </c>
      <c r="F9357">
        <v>20.93</v>
      </c>
      <c r="G9357">
        <v>231001</v>
      </c>
      <c r="H9357">
        <v>4580</v>
      </c>
      <c r="I9357" t="s">
        <v>35</v>
      </c>
      <c r="J9357">
        <v>25.95</v>
      </c>
      <c r="K9357">
        <v>5.0199999999999996</v>
      </c>
      <c r="L9357">
        <v>16321</v>
      </c>
      <c r="M9357" t="s">
        <v>423</v>
      </c>
      <c r="N9357" t="str">
        <f>"28520202    "</f>
        <v xml:space="preserve">28520202    </v>
      </c>
      <c r="O9357">
        <v>231010</v>
      </c>
    </row>
    <row r="9358" spans="1:15" x14ac:dyDescent="0.25">
      <c r="A9358" t="s">
        <v>16</v>
      </c>
      <c r="B9358" t="s">
        <v>3221</v>
      </c>
      <c r="C9358">
        <v>6215</v>
      </c>
      <c r="D9358" t="s">
        <v>420</v>
      </c>
      <c r="E9358" t="s">
        <v>421</v>
      </c>
      <c r="F9358">
        <v>5.67</v>
      </c>
      <c r="G9358">
        <v>230501</v>
      </c>
      <c r="H9358">
        <v>4410</v>
      </c>
      <c r="I9358" t="s">
        <v>517</v>
      </c>
      <c r="J9358">
        <v>7.03</v>
      </c>
      <c r="K9358">
        <v>1.36</v>
      </c>
      <c r="L9358">
        <v>13802</v>
      </c>
      <c r="M9358" t="s">
        <v>200</v>
      </c>
      <c r="N9358" t="str">
        <f>"28519546    "</f>
        <v xml:space="preserve">28519546    </v>
      </c>
      <c r="O9358">
        <v>230508</v>
      </c>
    </row>
    <row r="9359" spans="1:15" x14ac:dyDescent="0.25">
      <c r="A9359" t="s">
        <v>16</v>
      </c>
      <c r="B9359" t="s">
        <v>3221</v>
      </c>
      <c r="C9359">
        <v>6215</v>
      </c>
      <c r="D9359" t="s">
        <v>420</v>
      </c>
      <c r="E9359" t="s">
        <v>421</v>
      </c>
      <c r="F9359">
        <v>67.66</v>
      </c>
      <c r="G9359">
        <v>230501</v>
      </c>
      <c r="H9359">
        <v>4410</v>
      </c>
      <c r="I9359" t="s">
        <v>517</v>
      </c>
      <c r="J9359">
        <v>77.13</v>
      </c>
      <c r="K9359">
        <v>9.4700000000000006</v>
      </c>
      <c r="L9359">
        <v>13802</v>
      </c>
      <c r="M9359" t="s">
        <v>200</v>
      </c>
      <c r="N9359" t="str">
        <f>"28519546    "</f>
        <v xml:space="preserve">28519546    </v>
      </c>
      <c r="O9359">
        <v>230508</v>
      </c>
    </row>
    <row r="9360" spans="1:15" x14ac:dyDescent="0.25">
      <c r="A9360" t="s">
        <v>16</v>
      </c>
      <c r="B9360" t="s">
        <v>3221</v>
      </c>
      <c r="C9360">
        <v>7421</v>
      </c>
      <c r="D9360" t="s">
        <v>420</v>
      </c>
      <c r="E9360" t="s">
        <v>421</v>
      </c>
      <c r="F9360">
        <v>8.73</v>
      </c>
      <c r="G9360">
        <v>230515</v>
      </c>
      <c r="H9360">
        <v>4410</v>
      </c>
      <c r="I9360" t="s">
        <v>517</v>
      </c>
      <c r="J9360">
        <v>9.9499999999999993</v>
      </c>
      <c r="K9360">
        <v>1.22</v>
      </c>
      <c r="L9360">
        <v>13802</v>
      </c>
      <c r="M9360" t="s">
        <v>200</v>
      </c>
      <c r="N9360" t="str">
        <f>"28519636    "</f>
        <v xml:space="preserve">28519636    </v>
      </c>
      <c r="O9360">
        <v>230530</v>
      </c>
    </row>
    <row r="9361" spans="1:15" x14ac:dyDescent="0.25">
      <c r="A9361" t="s">
        <v>16</v>
      </c>
      <c r="B9361" t="s">
        <v>3221</v>
      </c>
      <c r="C9361">
        <v>17363</v>
      </c>
      <c r="D9361" t="s">
        <v>420</v>
      </c>
      <c r="E9361" t="s">
        <v>421</v>
      </c>
      <c r="F9361">
        <v>6.04</v>
      </c>
      <c r="G9361">
        <v>231201</v>
      </c>
      <c r="H9361">
        <v>4410</v>
      </c>
      <c r="I9361" t="s">
        <v>517</v>
      </c>
      <c r="J9361">
        <v>7.49</v>
      </c>
      <c r="K9361">
        <v>1.45</v>
      </c>
      <c r="L9361">
        <v>13802</v>
      </c>
      <c r="M9361" t="s">
        <v>200</v>
      </c>
      <c r="N9361" t="str">
        <f>"28520499    "</f>
        <v xml:space="preserve">28520499    </v>
      </c>
      <c r="O9361">
        <v>231213</v>
      </c>
    </row>
    <row r="9362" spans="1:15" x14ac:dyDescent="0.25">
      <c r="A9362" t="s">
        <v>16</v>
      </c>
      <c r="B9362" t="s">
        <v>3221</v>
      </c>
      <c r="C9362">
        <v>17363</v>
      </c>
      <c r="D9362" t="s">
        <v>420</v>
      </c>
      <c r="E9362" t="s">
        <v>421</v>
      </c>
      <c r="F9362">
        <v>37.18</v>
      </c>
      <c r="G9362">
        <v>231201</v>
      </c>
      <c r="H9362">
        <v>4410</v>
      </c>
      <c r="I9362" t="s">
        <v>517</v>
      </c>
      <c r="J9362">
        <v>42.38</v>
      </c>
      <c r="K9362">
        <v>5.2</v>
      </c>
      <c r="L9362">
        <v>13802</v>
      </c>
      <c r="M9362" t="s">
        <v>200</v>
      </c>
      <c r="N9362" t="str">
        <f>"28520499    "</f>
        <v xml:space="preserve">28520499    </v>
      </c>
      <c r="O9362">
        <v>231213</v>
      </c>
    </row>
    <row r="9363" spans="1:15" x14ac:dyDescent="0.25">
      <c r="A9363" t="s">
        <v>16</v>
      </c>
      <c r="B9363" t="s">
        <v>3221</v>
      </c>
      <c r="C9363">
        <v>1477</v>
      </c>
      <c r="D9363" t="s">
        <v>420</v>
      </c>
      <c r="E9363" t="s">
        <v>421</v>
      </c>
      <c r="F9363">
        <v>83.5</v>
      </c>
      <c r="G9363">
        <v>230201</v>
      </c>
      <c r="H9363">
        <v>4600</v>
      </c>
      <c r="I9363" t="s">
        <v>105</v>
      </c>
      <c r="J9363">
        <v>103.54</v>
      </c>
      <c r="K9363">
        <v>20.04</v>
      </c>
      <c r="L9363">
        <v>16321</v>
      </c>
      <c r="M9363" t="s">
        <v>423</v>
      </c>
      <c r="N9363" t="str">
        <f>"28519111    "</f>
        <v xml:space="preserve">28519111    </v>
      </c>
      <c r="O9363">
        <v>230209</v>
      </c>
    </row>
    <row r="9364" spans="1:15" x14ac:dyDescent="0.25">
      <c r="A9364" t="s">
        <v>16</v>
      </c>
      <c r="B9364" t="s">
        <v>3221</v>
      </c>
      <c r="C9364">
        <v>1706</v>
      </c>
      <c r="D9364" t="s">
        <v>420</v>
      </c>
      <c r="E9364" t="s">
        <v>421</v>
      </c>
      <c r="F9364">
        <v>36.9</v>
      </c>
      <c r="G9364">
        <v>230201</v>
      </c>
      <c r="H9364">
        <v>4600</v>
      </c>
      <c r="I9364" t="s">
        <v>105</v>
      </c>
      <c r="J9364">
        <v>45.75</v>
      </c>
      <c r="K9364">
        <v>8.85</v>
      </c>
      <c r="L9364">
        <v>13661</v>
      </c>
      <c r="M9364" t="s">
        <v>247</v>
      </c>
      <c r="N9364" t="str">
        <f>"28519125    "</f>
        <v xml:space="preserve">28519125    </v>
      </c>
      <c r="O9364">
        <v>230213</v>
      </c>
    </row>
    <row r="9365" spans="1:15" x14ac:dyDescent="0.25">
      <c r="A9365" t="s">
        <v>16</v>
      </c>
      <c r="B9365" t="s">
        <v>3221</v>
      </c>
      <c r="C9365">
        <v>2085</v>
      </c>
      <c r="D9365" t="s">
        <v>420</v>
      </c>
      <c r="E9365" t="s">
        <v>421</v>
      </c>
      <c r="F9365">
        <v>52.34</v>
      </c>
      <c r="G9365">
        <v>230216</v>
      </c>
      <c r="H9365">
        <v>4600</v>
      </c>
      <c r="I9365" t="s">
        <v>105</v>
      </c>
      <c r="J9365">
        <v>64.900000000000006</v>
      </c>
      <c r="K9365">
        <v>12.56</v>
      </c>
      <c r="L9365">
        <v>13801</v>
      </c>
      <c r="M9365" t="s">
        <v>162</v>
      </c>
      <c r="N9365" t="str">
        <f>"29518386    "</f>
        <v xml:space="preserve">29518386    </v>
      </c>
      <c r="O9365">
        <v>230220</v>
      </c>
    </row>
    <row r="9366" spans="1:15" x14ac:dyDescent="0.25">
      <c r="A9366" t="s">
        <v>16</v>
      </c>
      <c r="B9366" t="s">
        <v>3221</v>
      </c>
      <c r="C9366">
        <v>2456</v>
      </c>
      <c r="D9366" t="s">
        <v>420</v>
      </c>
      <c r="E9366" t="s">
        <v>421</v>
      </c>
      <c r="F9366">
        <v>24.8</v>
      </c>
      <c r="G9366">
        <v>230215</v>
      </c>
      <c r="H9366">
        <v>4600</v>
      </c>
      <c r="I9366" t="s">
        <v>105</v>
      </c>
      <c r="J9366">
        <v>30.75</v>
      </c>
      <c r="K9366">
        <v>5.95</v>
      </c>
      <c r="L9366">
        <v>13661</v>
      </c>
      <c r="M9366" t="s">
        <v>247</v>
      </c>
      <c r="N9366" t="str">
        <f>"28519205    "</f>
        <v xml:space="preserve">28519205    </v>
      </c>
      <c r="O9366">
        <v>230228</v>
      </c>
    </row>
    <row r="9367" spans="1:15" x14ac:dyDescent="0.25">
      <c r="A9367" t="s">
        <v>16</v>
      </c>
      <c r="B9367" t="s">
        <v>3221</v>
      </c>
      <c r="C9367">
        <v>5829</v>
      </c>
      <c r="D9367" t="s">
        <v>420</v>
      </c>
      <c r="E9367" t="s">
        <v>421</v>
      </c>
      <c r="F9367">
        <v>5.98</v>
      </c>
      <c r="G9367">
        <v>230501</v>
      </c>
      <c r="H9367">
        <v>4600</v>
      </c>
      <c r="I9367" t="s">
        <v>105</v>
      </c>
      <c r="J9367">
        <v>7.41</v>
      </c>
      <c r="K9367">
        <v>1.43</v>
      </c>
      <c r="L9367">
        <v>13801</v>
      </c>
      <c r="M9367" t="s">
        <v>162</v>
      </c>
      <c r="N9367" t="str">
        <f>"29518723    "</f>
        <v xml:space="preserve">29518723    </v>
      </c>
      <c r="O9367">
        <v>230503</v>
      </c>
    </row>
    <row r="9368" spans="1:15" x14ac:dyDescent="0.25">
      <c r="A9368" t="s">
        <v>16</v>
      </c>
      <c r="B9368" t="s">
        <v>3221</v>
      </c>
      <c r="C9368">
        <v>7160</v>
      </c>
      <c r="D9368" t="s">
        <v>420</v>
      </c>
      <c r="E9368" t="s">
        <v>421</v>
      </c>
      <c r="F9368">
        <v>1.6</v>
      </c>
      <c r="G9368">
        <v>230501</v>
      </c>
      <c r="H9368">
        <v>4600</v>
      </c>
      <c r="I9368" t="s">
        <v>105</v>
      </c>
      <c r="J9368">
        <v>1.99</v>
      </c>
      <c r="K9368">
        <v>0.39</v>
      </c>
      <c r="L9368">
        <v>16321</v>
      </c>
      <c r="M9368" t="s">
        <v>423</v>
      </c>
      <c r="N9368" t="str">
        <f>"28519529    "</f>
        <v xml:space="preserve">28519529    </v>
      </c>
      <c r="O9368">
        <v>230525</v>
      </c>
    </row>
    <row r="9369" spans="1:15" x14ac:dyDescent="0.25">
      <c r="A9369" t="s">
        <v>16</v>
      </c>
      <c r="B9369" t="s">
        <v>3221</v>
      </c>
      <c r="C9369">
        <v>7160</v>
      </c>
      <c r="D9369" t="s">
        <v>420</v>
      </c>
      <c r="E9369" t="s">
        <v>421</v>
      </c>
      <c r="F9369">
        <v>6.06</v>
      </c>
      <c r="G9369">
        <v>230501</v>
      </c>
      <c r="H9369">
        <v>4600</v>
      </c>
      <c r="I9369" t="s">
        <v>105</v>
      </c>
      <c r="J9369">
        <v>6.91</v>
      </c>
      <c r="K9369">
        <v>0.85</v>
      </c>
      <c r="L9369">
        <v>16321</v>
      </c>
      <c r="M9369" t="s">
        <v>423</v>
      </c>
      <c r="N9369" t="str">
        <f>"28519529    "</f>
        <v xml:space="preserve">28519529    </v>
      </c>
      <c r="O9369">
        <v>230525</v>
      </c>
    </row>
    <row r="9370" spans="1:15" x14ac:dyDescent="0.25">
      <c r="A9370" t="s">
        <v>16</v>
      </c>
      <c r="B9370" t="s">
        <v>3221</v>
      </c>
      <c r="C9370">
        <v>7421</v>
      </c>
      <c r="D9370" t="s">
        <v>420</v>
      </c>
      <c r="E9370" t="s">
        <v>421</v>
      </c>
      <c r="F9370">
        <v>19.04</v>
      </c>
      <c r="G9370">
        <v>230515</v>
      </c>
      <c r="H9370">
        <v>4600</v>
      </c>
      <c r="I9370" t="s">
        <v>105</v>
      </c>
      <c r="J9370">
        <v>19.04</v>
      </c>
      <c r="K9370">
        <v>0</v>
      </c>
      <c r="L9370">
        <v>13661</v>
      </c>
      <c r="M9370" t="s">
        <v>247</v>
      </c>
      <c r="N9370" t="str">
        <f>"28519636    "</f>
        <v xml:space="preserve">28519636    </v>
      </c>
      <c r="O9370">
        <v>230530</v>
      </c>
    </row>
    <row r="9371" spans="1:15" x14ac:dyDescent="0.25">
      <c r="A9371" t="s">
        <v>16</v>
      </c>
      <c r="B9371" t="s">
        <v>3221</v>
      </c>
      <c r="C9371">
        <v>7421</v>
      </c>
      <c r="D9371" t="s">
        <v>420</v>
      </c>
      <c r="E9371" t="s">
        <v>421</v>
      </c>
      <c r="F9371">
        <v>58.77</v>
      </c>
      <c r="G9371">
        <v>230515</v>
      </c>
      <c r="H9371">
        <v>4600</v>
      </c>
      <c r="I9371" t="s">
        <v>105</v>
      </c>
      <c r="J9371">
        <v>58.77</v>
      </c>
      <c r="K9371">
        <v>0</v>
      </c>
      <c r="L9371">
        <v>13661</v>
      </c>
      <c r="M9371" t="s">
        <v>247</v>
      </c>
      <c r="N9371" t="str">
        <f>"28519636    "</f>
        <v xml:space="preserve">28519636    </v>
      </c>
      <c r="O9371">
        <v>230530</v>
      </c>
    </row>
    <row r="9372" spans="1:15" x14ac:dyDescent="0.25">
      <c r="A9372" t="s">
        <v>16</v>
      </c>
      <c r="B9372" t="s">
        <v>3221</v>
      </c>
      <c r="C9372">
        <v>12350</v>
      </c>
      <c r="D9372" t="s">
        <v>420</v>
      </c>
      <c r="E9372" t="s">
        <v>421</v>
      </c>
      <c r="F9372">
        <v>1.93</v>
      </c>
      <c r="G9372">
        <v>230915</v>
      </c>
      <c r="H9372">
        <v>4600</v>
      </c>
      <c r="I9372" t="s">
        <v>105</v>
      </c>
      <c r="J9372">
        <v>2.39</v>
      </c>
      <c r="K9372">
        <v>0.46</v>
      </c>
      <c r="L9372">
        <v>16321</v>
      </c>
      <c r="M9372" t="s">
        <v>423</v>
      </c>
      <c r="N9372" t="str">
        <f>"28520147    "</f>
        <v xml:space="preserve">28520147    </v>
      </c>
      <c r="O9372">
        <v>230918</v>
      </c>
    </row>
    <row r="9373" spans="1:15" x14ac:dyDescent="0.25">
      <c r="A9373" t="s">
        <v>16</v>
      </c>
      <c r="B9373" t="s">
        <v>3221</v>
      </c>
      <c r="C9373">
        <v>12444</v>
      </c>
      <c r="D9373" t="s">
        <v>420</v>
      </c>
      <c r="E9373" t="s">
        <v>421</v>
      </c>
      <c r="F9373">
        <v>56.37</v>
      </c>
      <c r="G9373">
        <v>230918</v>
      </c>
      <c r="H9373">
        <v>4600</v>
      </c>
      <c r="I9373" t="s">
        <v>105</v>
      </c>
      <c r="J9373">
        <v>69.900000000000006</v>
      </c>
      <c r="K9373">
        <v>13.53</v>
      </c>
      <c r="L9373">
        <v>13801</v>
      </c>
      <c r="M9373" t="s">
        <v>162</v>
      </c>
      <c r="N9373" t="str">
        <f>"29519369    "</f>
        <v xml:space="preserve">29519369    </v>
      </c>
      <c r="O9373">
        <v>230920</v>
      </c>
    </row>
    <row r="9374" spans="1:15" x14ac:dyDescent="0.25">
      <c r="A9374" t="s">
        <v>16</v>
      </c>
      <c r="B9374" t="s">
        <v>3221</v>
      </c>
      <c r="C9374">
        <v>12444</v>
      </c>
      <c r="D9374" t="s">
        <v>420</v>
      </c>
      <c r="E9374" t="s">
        <v>421</v>
      </c>
      <c r="F9374">
        <v>10.75</v>
      </c>
      <c r="G9374">
        <v>230918</v>
      </c>
      <c r="H9374">
        <v>4600</v>
      </c>
      <c r="I9374" t="s">
        <v>105</v>
      </c>
      <c r="J9374">
        <v>13.33</v>
      </c>
      <c r="K9374">
        <v>2.58</v>
      </c>
      <c r="L9374">
        <v>13801</v>
      </c>
      <c r="M9374" t="s">
        <v>162</v>
      </c>
      <c r="N9374" t="str">
        <f>"29519369    "</f>
        <v xml:space="preserve">29519369    </v>
      </c>
      <c r="O9374">
        <v>230920</v>
      </c>
    </row>
    <row r="9375" spans="1:15" x14ac:dyDescent="0.25">
      <c r="A9375" t="s">
        <v>16</v>
      </c>
      <c r="B9375" t="s">
        <v>3221</v>
      </c>
      <c r="C9375">
        <v>14176</v>
      </c>
      <c r="D9375" t="s">
        <v>420</v>
      </c>
      <c r="E9375" t="s">
        <v>421</v>
      </c>
      <c r="F9375">
        <v>88.36</v>
      </c>
      <c r="G9375">
        <v>231001</v>
      </c>
      <c r="H9375">
        <v>4600</v>
      </c>
      <c r="I9375" t="s">
        <v>105</v>
      </c>
      <c r="J9375">
        <v>109.57</v>
      </c>
      <c r="K9375">
        <v>21.21</v>
      </c>
      <c r="L9375">
        <v>13601</v>
      </c>
      <c r="M9375" t="s">
        <v>147</v>
      </c>
      <c r="N9375" t="str">
        <f>"28520219    "</f>
        <v xml:space="preserve">28520219    </v>
      </c>
      <c r="O9375">
        <v>231023</v>
      </c>
    </row>
    <row r="9376" spans="1:15" x14ac:dyDescent="0.25">
      <c r="A9376" t="s">
        <v>16</v>
      </c>
      <c r="B9376" t="s">
        <v>3221</v>
      </c>
      <c r="C9376">
        <v>14176</v>
      </c>
      <c r="D9376" t="s">
        <v>420</v>
      </c>
      <c r="E9376" t="s">
        <v>421</v>
      </c>
      <c r="F9376">
        <v>67.819999999999993</v>
      </c>
      <c r="G9376">
        <v>231001</v>
      </c>
      <c r="H9376">
        <v>4600</v>
      </c>
      <c r="I9376" t="s">
        <v>105</v>
      </c>
      <c r="J9376">
        <v>84.1</v>
      </c>
      <c r="K9376">
        <v>16.28</v>
      </c>
      <c r="L9376">
        <v>13801</v>
      </c>
      <c r="M9376" t="s">
        <v>162</v>
      </c>
      <c r="N9376" t="str">
        <f>"28520219    "</f>
        <v xml:space="preserve">28520219    </v>
      </c>
      <c r="O9376">
        <v>231023</v>
      </c>
    </row>
    <row r="9377" spans="1:15" x14ac:dyDescent="0.25">
      <c r="A9377" t="s">
        <v>16</v>
      </c>
      <c r="B9377" t="s">
        <v>3221</v>
      </c>
      <c r="C9377">
        <v>15827</v>
      </c>
      <c r="D9377" t="s">
        <v>420</v>
      </c>
      <c r="E9377" t="s">
        <v>421</v>
      </c>
      <c r="F9377">
        <v>49.98</v>
      </c>
      <c r="G9377">
        <v>231101</v>
      </c>
      <c r="H9377">
        <v>4600</v>
      </c>
      <c r="I9377" t="s">
        <v>105</v>
      </c>
      <c r="J9377">
        <v>61.97</v>
      </c>
      <c r="K9377">
        <v>11.99</v>
      </c>
      <c r="L9377">
        <v>16321</v>
      </c>
      <c r="M9377" t="s">
        <v>423</v>
      </c>
      <c r="N9377" t="str">
        <f>"28520351    "</f>
        <v xml:space="preserve">28520351    </v>
      </c>
      <c r="O9377">
        <v>231120</v>
      </c>
    </row>
    <row r="9378" spans="1:15" x14ac:dyDescent="0.25">
      <c r="A9378" t="s">
        <v>16</v>
      </c>
      <c r="B9378" t="s">
        <v>3221</v>
      </c>
      <c r="C9378">
        <v>15827</v>
      </c>
      <c r="D9378" t="s">
        <v>420</v>
      </c>
      <c r="E9378" t="s">
        <v>421</v>
      </c>
      <c r="F9378">
        <v>11.19</v>
      </c>
      <c r="G9378">
        <v>231101</v>
      </c>
      <c r="H9378">
        <v>4600</v>
      </c>
      <c r="I9378" t="s">
        <v>105</v>
      </c>
      <c r="J9378">
        <v>12.76</v>
      </c>
      <c r="K9378">
        <v>1.57</v>
      </c>
      <c r="L9378">
        <v>16321</v>
      </c>
      <c r="M9378" t="s">
        <v>423</v>
      </c>
      <c r="N9378" t="str">
        <f>"28520351    "</f>
        <v xml:space="preserve">28520351    </v>
      </c>
      <c r="O9378">
        <v>231120</v>
      </c>
    </row>
    <row r="9379" spans="1:15" x14ac:dyDescent="0.25">
      <c r="A9379" t="s">
        <v>16</v>
      </c>
      <c r="B9379" t="s">
        <v>3221</v>
      </c>
      <c r="C9379">
        <v>16000</v>
      </c>
      <c r="D9379" t="s">
        <v>420</v>
      </c>
      <c r="E9379" t="s">
        <v>421</v>
      </c>
      <c r="F9379">
        <v>96.9</v>
      </c>
      <c r="G9379">
        <v>231116</v>
      </c>
      <c r="H9379">
        <v>4600</v>
      </c>
      <c r="I9379" t="s">
        <v>105</v>
      </c>
      <c r="J9379">
        <v>120.15</v>
      </c>
      <c r="K9379">
        <v>23.25</v>
      </c>
      <c r="L9379">
        <v>13801</v>
      </c>
      <c r="M9379" t="s">
        <v>162</v>
      </c>
      <c r="N9379" t="str">
        <f>"29519663    "</f>
        <v xml:space="preserve">29519663    </v>
      </c>
      <c r="O9379">
        <v>231122</v>
      </c>
    </row>
    <row r="9380" spans="1:15" x14ac:dyDescent="0.25">
      <c r="A9380" t="s">
        <v>16</v>
      </c>
      <c r="B9380" t="s">
        <v>3221</v>
      </c>
      <c r="C9380">
        <v>18082</v>
      </c>
      <c r="D9380" t="s">
        <v>420</v>
      </c>
      <c r="E9380" t="s">
        <v>421</v>
      </c>
      <c r="F9380">
        <v>30.39</v>
      </c>
      <c r="G9380">
        <v>231215</v>
      </c>
      <c r="H9380">
        <v>4600</v>
      </c>
      <c r="I9380" t="s">
        <v>105</v>
      </c>
      <c r="J9380">
        <v>37.68</v>
      </c>
      <c r="K9380">
        <v>7.29</v>
      </c>
      <c r="L9380">
        <v>16321</v>
      </c>
      <c r="M9380" t="s">
        <v>423</v>
      </c>
      <c r="N9380" t="str">
        <f>"28520564    "</f>
        <v xml:space="preserve">28520564    </v>
      </c>
      <c r="O9380">
        <v>240102</v>
      </c>
    </row>
    <row r="9381" spans="1:15" x14ac:dyDescent="0.25">
      <c r="A9381" t="s">
        <v>16</v>
      </c>
      <c r="B9381" t="s">
        <v>3221</v>
      </c>
      <c r="C9381">
        <v>18612</v>
      </c>
      <c r="D9381" t="s">
        <v>420</v>
      </c>
      <c r="E9381" t="s">
        <v>421</v>
      </c>
      <c r="F9381">
        <v>48.68</v>
      </c>
      <c r="G9381">
        <v>240101</v>
      </c>
      <c r="H9381">
        <v>4600</v>
      </c>
      <c r="I9381" t="s">
        <v>105</v>
      </c>
      <c r="J9381">
        <v>48.68</v>
      </c>
      <c r="K9381">
        <v>0</v>
      </c>
      <c r="L9381">
        <v>13801</v>
      </c>
      <c r="M9381" t="s">
        <v>162</v>
      </c>
      <c r="N9381" t="str">
        <f>"28520662    "</f>
        <v xml:space="preserve">28520662    </v>
      </c>
      <c r="O9381">
        <v>240104</v>
      </c>
    </row>
    <row r="9382" spans="1:15" x14ac:dyDescent="0.25">
      <c r="A9382" t="s">
        <v>16</v>
      </c>
      <c r="B9382" t="s">
        <v>3221</v>
      </c>
      <c r="C9382">
        <v>286</v>
      </c>
      <c r="D9382" t="s">
        <v>420</v>
      </c>
      <c r="E9382" t="s">
        <v>421</v>
      </c>
      <c r="F9382">
        <v>40.56</v>
      </c>
      <c r="G9382">
        <v>230116</v>
      </c>
      <c r="H9382">
        <v>4550</v>
      </c>
      <c r="I9382" t="s">
        <v>312</v>
      </c>
      <c r="J9382">
        <v>50.29</v>
      </c>
      <c r="K9382">
        <v>9.73</v>
      </c>
      <c r="L9382">
        <v>13801</v>
      </c>
      <c r="M9382" t="s">
        <v>162</v>
      </c>
      <c r="N9382" t="str">
        <f>"29518240    "</f>
        <v xml:space="preserve">29518240    </v>
      </c>
      <c r="O9382">
        <v>230117</v>
      </c>
    </row>
    <row r="9383" spans="1:15" x14ac:dyDescent="0.25">
      <c r="A9383" t="s">
        <v>16</v>
      </c>
      <c r="B9383" t="s">
        <v>3221</v>
      </c>
      <c r="C9383">
        <v>1706</v>
      </c>
      <c r="D9383" t="s">
        <v>420</v>
      </c>
      <c r="E9383" t="s">
        <v>421</v>
      </c>
      <c r="F9383">
        <v>7.89</v>
      </c>
      <c r="G9383">
        <v>230201</v>
      </c>
      <c r="H9383">
        <v>4500</v>
      </c>
      <c r="I9383" t="s">
        <v>212</v>
      </c>
      <c r="J9383">
        <v>9.7799999999999994</v>
      </c>
      <c r="K9383">
        <v>1.89</v>
      </c>
      <c r="L9383">
        <v>13801</v>
      </c>
      <c r="M9383" t="s">
        <v>162</v>
      </c>
      <c r="N9383" t="str">
        <f>"28519125    "</f>
        <v xml:space="preserve">28519125    </v>
      </c>
      <c r="O9383">
        <v>230213</v>
      </c>
    </row>
    <row r="9384" spans="1:15" x14ac:dyDescent="0.25">
      <c r="A9384" t="s">
        <v>16</v>
      </c>
      <c r="B9384" t="s">
        <v>3221</v>
      </c>
      <c r="C9384">
        <v>4772</v>
      </c>
      <c r="D9384" t="s">
        <v>420</v>
      </c>
      <c r="E9384" t="s">
        <v>421</v>
      </c>
      <c r="F9384">
        <v>17.760000000000002</v>
      </c>
      <c r="G9384">
        <v>230401</v>
      </c>
      <c r="H9384">
        <v>4500</v>
      </c>
      <c r="I9384" t="s">
        <v>212</v>
      </c>
      <c r="J9384">
        <v>22.02</v>
      </c>
      <c r="K9384">
        <v>4.26</v>
      </c>
      <c r="L9384">
        <v>13802</v>
      </c>
      <c r="M9384" t="s">
        <v>200</v>
      </c>
      <c r="N9384" t="str">
        <f>"28519393    "</f>
        <v xml:space="preserve">28519393    </v>
      </c>
      <c r="O9384">
        <v>230412</v>
      </c>
    </row>
    <row r="9385" spans="1:15" x14ac:dyDescent="0.25">
      <c r="A9385" t="s">
        <v>16</v>
      </c>
      <c r="B9385" t="s">
        <v>3221</v>
      </c>
      <c r="C9385">
        <v>4772</v>
      </c>
      <c r="D9385" t="s">
        <v>420</v>
      </c>
      <c r="E9385" t="s">
        <v>421</v>
      </c>
      <c r="F9385">
        <v>19.23</v>
      </c>
      <c r="G9385">
        <v>230401</v>
      </c>
      <c r="H9385">
        <v>4500</v>
      </c>
      <c r="I9385" t="s">
        <v>212</v>
      </c>
      <c r="J9385">
        <v>23.85</v>
      </c>
      <c r="K9385">
        <v>4.62</v>
      </c>
      <c r="L9385">
        <v>13802</v>
      </c>
      <c r="M9385" t="s">
        <v>200</v>
      </c>
      <c r="N9385" t="str">
        <f>"28519393    "</f>
        <v xml:space="preserve">28519393    </v>
      </c>
      <c r="O9385">
        <v>230412</v>
      </c>
    </row>
    <row r="9386" spans="1:15" x14ac:dyDescent="0.25">
      <c r="A9386" t="s">
        <v>16</v>
      </c>
      <c r="B9386" t="s">
        <v>3221</v>
      </c>
      <c r="C9386">
        <v>5247</v>
      </c>
      <c r="D9386" t="s">
        <v>420</v>
      </c>
      <c r="E9386" t="s">
        <v>421</v>
      </c>
      <c r="F9386">
        <v>0.19</v>
      </c>
      <c r="G9386">
        <v>230417</v>
      </c>
      <c r="H9386">
        <v>4500</v>
      </c>
      <c r="I9386" t="s">
        <v>212</v>
      </c>
      <c r="J9386">
        <v>0.24</v>
      </c>
      <c r="K9386">
        <v>0.05</v>
      </c>
      <c r="L9386">
        <v>13801</v>
      </c>
      <c r="M9386" t="s">
        <v>162</v>
      </c>
      <c r="N9386" t="str">
        <f>"29518673    "</f>
        <v xml:space="preserve">29518673    </v>
      </c>
      <c r="O9386">
        <v>230419</v>
      </c>
    </row>
    <row r="9387" spans="1:15" x14ac:dyDescent="0.25">
      <c r="A9387" t="s">
        <v>16</v>
      </c>
      <c r="B9387" t="s">
        <v>3221</v>
      </c>
      <c r="C9387">
        <v>5817</v>
      </c>
      <c r="D9387" t="s">
        <v>420</v>
      </c>
      <c r="E9387" t="s">
        <v>421</v>
      </c>
      <c r="F9387">
        <v>1.92</v>
      </c>
      <c r="G9387">
        <v>230411</v>
      </c>
      <c r="H9387">
        <v>4500</v>
      </c>
      <c r="I9387" t="s">
        <v>212</v>
      </c>
      <c r="J9387">
        <v>2.19</v>
      </c>
      <c r="K9387">
        <v>0.27</v>
      </c>
      <c r="L9387">
        <v>13802</v>
      </c>
      <c r="M9387" t="s">
        <v>200</v>
      </c>
      <c r="N9387" t="str">
        <f>"28519481    "</f>
        <v xml:space="preserve">28519481    </v>
      </c>
      <c r="O9387">
        <v>230503</v>
      </c>
    </row>
    <row r="9388" spans="1:15" x14ac:dyDescent="0.25">
      <c r="A9388" t="s">
        <v>16</v>
      </c>
      <c r="B9388" t="s">
        <v>3221</v>
      </c>
      <c r="C9388">
        <v>5817</v>
      </c>
      <c r="D9388" t="s">
        <v>420</v>
      </c>
      <c r="E9388" t="s">
        <v>421</v>
      </c>
      <c r="F9388">
        <v>20.059999999999999</v>
      </c>
      <c r="G9388">
        <v>230411</v>
      </c>
      <c r="H9388">
        <v>4500</v>
      </c>
      <c r="I9388" t="s">
        <v>212</v>
      </c>
      <c r="J9388">
        <v>24.88</v>
      </c>
      <c r="K9388">
        <v>4.82</v>
      </c>
      <c r="L9388">
        <v>13802</v>
      </c>
      <c r="M9388" t="s">
        <v>200</v>
      </c>
      <c r="N9388" t="str">
        <f>"28519481    "</f>
        <v xml:space="preserve">28519481    </v>
      </c>
      <c r="O9388">
        <v>230503</v>
      </c>
    </row>
    <row r="9389" spans="1:15" x14ac:dyDescent="0.25">
      <c r="A9389" t="s">
        <v>16</v>
      </c>
      <c r="B9389" t="s">
        <v>3221</v>
      </c>
      <c r="C9389">
        <v>6777</v>
      </c>
      <c r="D9389" t="s">
        <v>420</v>
      </c>
      <c r="E9389" t="s">
        <v>421</v>
      </c>
      <c r="F9389">
        <v>13.06</v>
      </c>
      <c r="G9389">
        <v>230515</v>
      </c>
      <c r="H9389">
        <v>4500</v>
      </c>
      <c r="I9389" t="s">
        <v>212</v>
      </c>
      <c r="J9389">
        <v>16.2</v>
      </c>
      <c r="K9389">
        <v>3.14</v>
      </c>
      <c r="L9389">
        <v>13801</v>
      </c>
      <c r="M9389" t="s">
        <v>162</v>
      </c>
      <c r="N9389" t="str">
        <f>"28519654    "</f>
        <v xml:space="preserve">28519654    </v>
      </c>
      <c r="O9389">
        <v>230522</v>
      </c>
    </row>
    <row r="9390" spans="1:15" x14ac:dyDescent="0.25">
      <c r="A9390" t="s">
        <v>16</v>
      </c>
      <c r="B9390" t="s">
        <v>3221</v>
      </c>
      <c r="C9390">
        <v>11840</v>
      </c>
      <c r="D9390" t="s">
        <v>420</v>
      </c>
      <c r="E9390" t="s">
        <v>421</v>
      </c>
      <c r="F9390">
        <v>11.36</v>
      </c>
      <c r="G9390">
        <v>230901</v>
      </c>
      <c r="H9390">
        <v>4500</v>
      </c>
      <c r="I9390" t="s">
        <v>212</v>
      </c>
      <c r="J9390">
        <v>14.09</v>
      </c>
      <c r="K9390">
        <v>2.73</v>
      </c>
      <c r="L9390">
        <v>13802</v>
      </c>
      <c r="M9390" t="s">
        <v>200</v>
      </c>
      <c r="N9390" t="str">
        <f>"28520079    "</f>
        <v xml:space="preserve">28520079    </v>
      </c>
      <c r="O9390">
        <v>230911</v>
      </c>
    </row>
    <row r="9391" spans="1:15" x14ac:dyDescent="0.25">
      <c r="A9391" t="s">
        <v>16</v>
      </c>
      <c r="B9391" t="s">
        <v>3221</v>
      </c>
      <c r="C9391">
        <v>12437</v>
      </c>
      <c r="D9391" t="s">
        <v>420</v>
      </c>
      <c r="E9391" t="s">
        <v>421</v>
      </c>
      <c r="F9391">
        <v>9.56</v>
      </c>
      <c r="G9391">
        <v>230915</v>
      </c>
      <c r="H9391">
        <v>4500</v>
      </c>
      <c r="I9391" t="s">
        <v>212</v>
      </c>
      <c r="J9391">
        <v>11.85</v>
      </c>
      <c r="K9391">
        <v>2.29</v>
      </c>
      <c r="L9391">
        <v>13802</v>
      </c>
      <c r="M9391" t="s">
        <v>200</v>
      </c>
      <c r="N9391" t="str">
        <f>"28520160    "</f>
        <v xml:space="preserve">28520160    </v>
      </c>
      <c r="O9391">
        <v>230920</v>
      </c>
    </row>
    <row r="9392" spans="1:15" x14ac:dyDescent="0.25">
      <c r="A9392" t="s">
        <v>16</v>
      </c>
      <c r="B9392" t="s">
        <v>3221</v>
      </c>
      <c r="C9392">
        <v>14176</v>
      </c>
      <c r="D9392" t="s">
        <v>420</v>
      </c>
      <c r="E9392" t="s">
        <v>421</v>
      </c>
      <c r="F9392">
        <v>4.6399999999999997</v>
      </c>
      <c r="G9392">
        <v>231001</v>
      </c>
      <c r="H9392">
        <v>4500</v>
      </c>
      <c r="I9392" t="s">
        <v>212</v>
      </c>
      <c r="J9392">
        <v>5.29</v>
      </c>
      <c r="K9392">
        <v>0.65</v>
      </c>
      <c r="L9392">
        <v>13601</v>
      </c>
      <c r="M9392" t="s">
        <v>147</v>
      </c>
      <c r="N9392" t="str">
        <f>"28520219    "</f>
        <v xml:space="preserve">28520219    </v>
      </c>
      <c r="O9392">
        <v>231023</v>
      </c>
    </row>
    <row r="9393" spans="1:15" x14ac:dyDescent="0.25">
      <c r="A9393" t="s">
        <v>16</v>
      </c>
      <c r="B9393" t="s">
        <v>3221</v>
      </c>
      <c r="C9393">
        <v>14176</v>
      </c>
      <c r="D9393" t="s">
        <v>420</v>
      </c>
      <c r="E9393" t="s">
        <v>421</v>
      </c>
      <c r="F9393">
        <v>20.440000000000001</v>
      </c>
      <c r="G9393">
        <v>231001</v>
      </c>
      <c r="H9393">
        <v>4500</v>
      </c>
      <c r="I9393" t="s">
        <v>212</v>
      </c>
      <c r="J9393">
        <v>25.35</v>
      </c>
      <c r="K9393">
        <v>4.91</v>
      </c>
      <c r="L9393">
        <v>13802</v>
      </c>
      <c r="M9393" t="s">
        <v>200</v>
      </c>
      <c r="N9393" t="str">
        <f>"28520219    "</f>
        <v xml:space="preserve">28520219    </v>
      </c>
      <c r="O9393">
        <v>231023</v>
      </c>
    </row>
    <row r="9394" spans="1:15" x14ac:dyDescent="0.25">
      <c r="A9394" t="s">
        <v>16</v>
      </c>
      <c r="B9394" t="s">
        <v>3221</v>
      </c>
      <c r="C9394">
        <v>14742</v>
      </c>
      <c r="D9394" t="s">
        <v>420</v>
      </c>
      <c r="E9394" t="s">
        <v>421</v>
      </c>
      <c r="F9394">
        <v>28.53</v>
      </c>
      <c r="G9394">
        <v>231001</v>
      </c>
      <c r="H9394">
        <v>4500</v>
      </c>
      <c r="I9394" t="s">
        <v>212</v>
      </c>
      <c r="J9394">
        <v>35.380000000000003</v>
      </c>
      <c r="K9394">
        <v>6.85</v>
      </c>
      <c r="L9394">
        <v>13802</v>
      </c>
      <c r="M9394" t="s">
        <v>200</v>
      </c>
      <c r="N9394" t="str">
        <f>"29519431    "</f>
        <v xml:space="preserve">29519431    </v>
      </c>
      <c r="O9394">
        <v>231102</v>
      </c>
    </row>
    <row r="9395" spans="1:15" x14ac:dyDescent="0.25">
      <c r="A9395" t="s">
        <v>16</v>
      </c>
      <c r="B9395" t="s">
        <v>3221</v>
      </c>
      <c r="C9395">
        <v>14940</v>
      </c>
      <c r="D9395" t="s">
        <v>420</v>
      </c>
      <c r="E9395" t="s">
        <v>421</v>
      </c>
      <c r="F9395">
        <v>19.23</v>
      </c>
      <c r="G9395">
        <v>231101</v>
      </c>
      <c r="H9395">
        <v>4500</v>
      </c>
      <c r="I9395" t="s">
        <v>212</v>
      </c>
      <c r="J9395">
        <v>23.85</v>
      </c>
      <c r="K9395">
        <v>4.62</v>
      </c>
      <c r="L9395">
        <v>13802</v>
      </c>
      <c r="M9395" t="s">
        <v>200</v>
      </c>
      <c r="N9395" t="str">
        <f>"28520366    "</f>
        <v xml:space="preserve">28520366    </v>
      </c>
      <c r="O9395">
        <v>231107</v>
      </c>
    </row>
    <row r="9396" spans="1:15" x14ac:dyDescent="0.25">
      <c r="A9396" t="s">
        <v>16</v>
      </c>
      <c r="B9396" t="s">
        <v>3221</v>
      </c>
      <c r="C9396">
        <v>6449</v>
      </c>
      <c r="D9396" t="s">
        <v>617</v>
      </c>
      <c r="E9396" t="s">
        <v>618</v>
      </c>
      <c r="F9396">
        <v>155.26</v>
      </c>
      <c r="G9396">
        <v>230428</v>
      </c>
      <c r="H9396">
        <v>4580</v>
      </c>
      <c r="I9396" t="s">
        <v>35</v>
      </c>
      <c r="J9396">
        <v>192.52</v>
      </c>
      <c r="K9396">
        <v>37.26</v>
      </c>
      <c r="L9396">
        <v>56558</v>
      </c>
      <c r="M9396" t="s">
        <v>217</v>
      </c>
      <c r="N9396" t="str">
        <f>"4346        "</f>
        <v xml:space="preserve">4346        </v>
      </c>
      <c r="O9396">
        <v>230511</v>
      </c>
    </row>
    <row r="9397" spans="1:15" x14ac:dyDescent="0.25">
      <c r="A9397" t="s">
        <v>16</v>
      </c>
      <c r="B9397" t="s">
        <v>3221</v>
      </c>
      <c r="C9397">
        <v>6449</v>
      </c>
      <c r="D9397" t="s">
        <v>617</v>
      </c>
      <c r="E9397" t="s">
        <v>618</v>
      </c>
      <c r="F9397">
        <v>48.39</v>
      </c>
      <c r="G9397">
        <v>230428</v>
      </c>
      <c r="H9397">
        <v>4580</v>
      </c>
      <c r="I9397" t="s">
        <v>35</v>
      </c>
      <c r="J9397">
        <v>60</v>
      </c>
      <c r="K9397">
        <v>11.61</v>
      </c>
      <c r="L9397">
        <v>56562</v>
      </c>
      <c r="M9397" t="s">
        <v>126</v>
      </c>
      <c r="N9397" t="str">
        <f>"4346        "</f>
        <v xml:space="preserve">4346        </v>
      </c>
      <c r="O9397">
        <v>230511</v>
      </c>
    </row>
    <row r="9398" spans="1:15" x14ac:dyDescent="0.25">
      <c r="A9398" t="s">
        <v>16</v>
      </c>
      <c r="B9398" t="s">
        <v>3221</v>
      </c>
      <c r="C9398">
        <v>3860</v>
      </c>
      <c r="D9398" t="s">
        <v>617</v>
      </c>
      <c r="E9398" t="s">
        <v>618</v>
      </c>
      <c r="F9398">
        <v>96.6</v>
      </c>
      <c r="G9398">
        <v>230317</v>
      </c>
      <c r="H9398">
        <v>4600</v>
      </c>
      <c r="I9398" t="s">
        <v>105</v>
      </c>
      <c r="J9398">
        <v>119.79</v>
      </c>
      <c r="K9398">
        <v>23.19</v>
      </c>
      <c r="L9398">
        <v>56524</v>
      </c>
      <c r="M9398" t="s">
        <v>150</v>
      </c>
      <c r="N9398" t="str">
        <f>"4191        "</f>
        <v xml:space="preserve">4191        </v>
      </c>
      <c r="O9398">
        <v>230323</v>
      </c>
    </row>
    <row r="9399" spans="1:15" x14ac:dyDescent="0.25">
      <c r="A9399" t="s">
        <v>16</v>
      </c>
      <c r="B9399" t="s">
        <v>3221</v>
      </c>
      <c r="C9399">
        <v>5075</v>
      </c>
      <c r="D9399" t="s">
        <v>617</v>
      </c>
      <c r="E9399" t="s">
        <v>618</v>
      </c>
      <c r="F9399">
        <v>84.68</v>
      </c>
      <c r="G9399">
        <v>230324</v>
      </c>
      <c r="H9399">
        <v>4600</v>
      </c>
      <c r="I9399" t="s">
        <v>105</v>
      </c>
      <c r="J9399">
        <v>105</v>
      </c>
      <c r="K9399">
        <v>20.32</v>
      </c>
      <c r="L9399">
        <v>56524</v>
      </c>
      <c r="M9399" t="s">
        <v>150</v>
      </c>
      <c r="N9399" t="str">
        <f>"4213        "</f>
        <v xml:space="preserve">4213        </v>
      </c>
      <c r="O9399">
        <v>230418</v>
      </c>
    </row>
    <row r="9400" spans="1:15" x14ac:dyDescent="0.25">
      <c r="A9400" t="s">
        <v>16</v>
      </c>
      <c r="B9400" t="s">
        <v>3221</v>
      </c>
      <c r="C9400">
        <v>5165</v>
      </c>
      <c r="D9400" t="s">
        <v>617</v>
      </c>
      <c r="E9400" t="s">
        <v>618</v>
      </c>
      <c r="F9400">
        <v>34.909999999999997</v>
      </c>
      <c r="G9400">
        <v>230414</v>
      </c>
      <c r="H9400">
        <v>4600</v>
      </c>
      <c r="I9400" t="s">
        <v>105</v>
      </c>
      <c r="J9400">
        <v>43.29</v>
      </c>
      <c r="K9400">
        <v>8.3800000000000008</v>
      </c>
      <c r="L9400">
        <v>56524</v>
      </c>
      <c r="M9400" t="s">
        <v>150</v>
      </c>
      <c r="N9400" t="str">
        <f>"4276        "</f>
        <v xml:space="preserve">4276        </v>
      </c>
      <c r="O9400">
        <v>230418</v>
      </c>
    </row>
    <row r="9401" spans="1:15" x14ac:dyDescent="0.25">
      <c r="A9401" t="s">
        <v>16</v>
      </c>
      <c r="B9401" t="s">
        <v>3221</v>
      </c>
      <c r="C9401">
        <v>10058</v>
      </c>
      <c r="D9401" t="s">
        <v>617</v>
      </c>
      <c r="E9401" t="s">
        <v>618</v>
      </c>
      <c r="F9401">
        <v>467.74</v>
      </c>
      <c r="G9401">
        <v>230728</v>
      </c>
      <c r="H9401">
        <v>4600</v>
      </c>
      <c r="I9401" t="s">
        <v>105</v>
      </c>
      <c r="J9401">
        <v>580</v>
      </c>
      <c r="K9401">
        <v>112.26</v>
      </c>
      <c r="L9401">
        <v>59501</v>
      </c>
      <c r="M9401" t="s">
        <v>69</v>
      </c>
      <c r="N9401" t="str">
        <f>"4804        "</f>
        <v xml:space="preserve">4804        </v>
      </c>
      <c r="O9401">
        <v>230808</v>
      </c>
    </row>
    <row r="9402" spans="1:15" x14ac:dyDescent="0.25">
      <c r="A9402" t="s">
        <v>16</v>
      </c>
      <c r="B9402" t="s">
        <v>3221</v>
      </c>
      <c r="C9402">
        <v>16197</v>
      </c>
      <c r="D9402" t="s">
        <v>617</v>
      </c>
      <c r="E9402" t="s">
        <v>618</v>
      </c>
      <c r="F9402">
        <v>12.3</v>
      </c>
      <c r="G9402">
        <v>231103</v>
      </c>
      <c r="H9402">
        <v>4600</v>
      </c>
      <c r="I9402" t="s">
        <v>105</v>
      </c>
      <c r="J9402">
        <v>15.25</v>
      </c>
      <c r="K9402">
        <v>2.95</v>
      </c>
      <c r="L9402">
        <v>56524</v>
      </c>
      <c r="M9402" t="s">
        <v>150</v>
      </c>
      <c r="N9402" t="str">
        <f>"5155        "</f>
        <v xml:space="preserve">5155        </v>
      </c>
      <c r="O9402">
        <v>231127</v>
      </c>
    </row>
    <row r="9403" spans="1:15" x14ac:dyDescent="0.25">
      <c r="A9403" t="s">
        <v>16</v>
      </c>
      <c r="B9403" t="s">
        <v>3221</v>
      </c>
      <c r="C9403">
        <v>563</v>
      </c>
      <c r="D9403" t="s">
        <v>617</v>
      </c>
      <c r="E9403" t="s">
        <v>618</v>
      </c>
      <c r="F9403">
        <v>166.94</v>
      </c>
      <c r="G9403">
        <v>230120</v>
      </c>
      <c r="H9403">
        <v>4590</v>
      </c>
      <c r="I9403" t="s">
        <v>203</v>
      </c>
      <c r="J9403">
        <v>207.01</v>
      </c>
      <c r="K9403">
        <v>40.07</v>
      </c>
      <c r="L9403">
        <v>56551</v>
      </c>
      <c r="M9403" t="s">
        <v>619</v>
      </c>
      <c r="N9403" t="str">
        <f>"4024        "</f>
        <v xml:space="preserve">4024        </v>
      </c>
      <c r="O9403">
        <v>230124</v>
      </c>
    </row>
    <row r="9404" spans="1:15" x14ac:dyDescent="0.25">
      <c r="A9404" t="s">
        <v>16</v>
      </c>
      <c r="B9404" t="s">
        <v>3221</v>
      </c>
      <c r="C9404">
        <v>2110</v>
      </c>
      <c r="D9404" t="s">
        <v>617</v>
      </c>
      <c r="E9404" t="s">
        <v>618</v>
      </c>
      <c r="F9404">
        <v>54.94</v>
      </c>
      <c r="G9404">
        <v>230210</v>
      </c>
      <c r="H9404">
        <v>4590</v>
      </c>
      <c r="I9404" t="s">
        <v>203</v>
      </c>
      <c r="J9404">
        <v>68.13</v>
      </c>
      <c r="K9404">
        <v>13.19</v>
      </c>
      <c r="L9404">
        <v>56551</v>
      </c>
      <c r="M9404" t="s">
        <v>619</v>
      </c>
      <c r="N9404" t="str">
        <f>"4089        "</f>
        <v xml:space="preserve">4089        </v>
      </c>
      <c r="O9404">
        <v>230221</v>
      </c>
    </row>
    <row r="9405" spans="1:15" x14ac:dyDescent="0.25">
      <c r="A9405" t="s">
        <v>16</v>
      </c>
      <c r="B9405" t="s">
        <v>3221</v>
      </c>
      <c r="C9405">
        <v>3060</v>
      </c>
      <c r="D9405" t="s">
        <v>617</v>
      </c>
      <c r="E9405" t="s">
        <v>618</v>
      </c>
      <c r="F9405">
        <v>81.290000000000006</v>
      </c>
      <c r="G9405">
        <v>230306</v>
      </c>
      <c r="H9405">
        <v>4590</v>
      </c>
      <c r="I9405" t="s">
        <v>203</v>
      </c>
      <c r="J9405">
        <v>100.8</v>
      </c>
      <c r="K9405">
        <v>19.510000000000002</v>
      </c>
      <c r="L9405">
        <v>56522</v>
      </c>
      <c r="M9405" t="s">
        <v>43</v>
      </c>
      <c r="N9405" t="str">
        <f>"4147        "</f>
        <v xml:space="preserve">4147        </v>
      </c>
      <c r="O9405">
        <v>230308</v>
      </c>
    </row>
    <row r="9406" spans="1:15" x14ac:dyDescent="0.25">
      <c r="A9406" t="s">
        <v>16</v>
      </c>
      <c r="B9406" t="s">
        <v>3221</v>
      </c>
      <c r="C9406">
        <v>3269</v>
      </c>
      <c r="D9406" t="s">
        <v>617</v>
      </c>
      <c r="E9406" t="s">
        <v>618</v>
      </c>
      <c r="F9406">
        <v>84.19</v>
      </c>
      <c r="G9406">
        <v>230310</v>
      </c>
      <c r="H9406">
        <v>4590</v>
      </c>
      <c r="I9406" t="s">
        <v>203</v>
      </c>
      <c r="J9406">
        <v>104.4</v>
      </c>
      <c r="K9406">
        <v>20.21</v>
      </c>
      <c r="L9406">
        <v>56561</v>
      </c>
      <c r="M9406" t="s">
        <v>358</v>
      </c>
      <c r="N9406" t="str">
        <f>"4172        "</f>
        <v xml:space="preserve">4172        </v>
      </c>
      <c r="O9406">
        <v>230313</v>
      </c>
    </row>
    <row r="9407" spans="1:15" x14ac:dyDescent="0.25">
      <c r="A9407" t="s">
        <v>16</v>
      </c>
      <c r="B9407" t="s">
        <v>3221</v>
      </c>
      <c r="C9407">
        <v>5165</v>
      </c>
      <c r="D9407" t="s">
        <v>617</v>
      </c>
      <c r="E9407" t="s">
        <v>618</v>
      </c>
      <c r="F9407">
        <v>164.4</v>
      </c>
      <c r="G9407">
        <v>230414</v>
      </c>
      <c r="H9407">
        <v>4590</v>
      </c>
      <c r="I9407" t="s">
        <v>203</v>
      </c>
      <c r="J9407">
        <v>203.85</v>
      </c>
      <c r="K9407">
        <v>39.450000000000003</v>
      </c>
      <c r="L9407">
        <v>56522</v>
      </c>
      <c r="M9407" t="s">
        <v>43</v>
      </c>
      <c r="N9407" t="str">
        <f>"4276        "</f>
        <v xml:space="preserve">4276        </v>
      </c>
      <c r="O9407">
        <v>230418</v>
      </c>
    </row>
    <row r="9408" spans="1:15" x14ac:dyDescent="0.25">
      <c r="A9408" t="s">
        <v>16</v>
      </c>
      <c r="B9408" t="s">
        <v>3221</v>
      </c>
      <c r="C9408">
        <v>6449</v>
      </c>
      <c r="D9408" t="s">
        <v>617</v>
      </c>
      <c r="E9408" t="s">
        <v>618</v>
      </c>
      <c r="F9408">
        <v>75.400000000000006</v>
      </c>
      <c r="G9408">
        <v>230428</v>
      </c>
      <c r="H9408">
        <v>4590</v>
      </c>
      <c r="I9408" t="s">
        <v>203</v>
      </c>
      <c r="J9408">
        <v>93.5</v>
      </c>
      <c r="K9408">
        <v>18.100000000000001</v>
      </c>
      <c r="L9408">
        <v>56551</v>
      </c>
      <c r="M9408" t="s">
        <v>619</v>
      </c>
      <c r="N9408" t="str">
        <f>"4346        "</f>
        <v xml:space="preserve">4346        </v>
      </c>
      <c r="O9408">
        <v>230511</v>
      </c>
    </row>
    <row r="9409" spans="1:15" x14ac:dyDescent="0.25">
      <c r="A9409" t="s">
        <v>16</v>
      </c>
      <c r="B9409" t="s">
        <v>3221</v>
      </c>
      <c r="C9409">
        <v>6950</v>
      </c>
      <c r="D9409" t="s">
        <v>617</v>
      </c>
      <c r="E9409" t="s">
        <v>618</v>
      </c>
      <c r="F9409">
        <v>141.97</v>
      </c>
      <c r="G9409">
        <v>230512</v>
      </c>
      <c r="H9409">
        <v>4590</v>
      </c>
      <c r="I9409" t="s">
        <v>203</v>
      </c>
      <c r="J9409">
        <v>176.04</v>
      </c>
      <c r="K9409">
        <v>34.07</v>
      </c>
      <c r="L9409">
        <v>56561</v>
      </c>
      <c r="M9409" t="s">
        <v>358</v>
      </c>
      <c r="N9409" t="str">
        <f>"4403        "</f>
        <v xml:space="preserve">4403        </v>
      </c>
      <c r="O9409">
        <v>230523</v>
      </c>
    </row>
    <row r="9410" spans="1:15" x14ac:dyDescent="0.25">
      <c r="A9410" t="s">
        <v>16</v>
      </c>
      <c r="B9410" t="s">
        <v>3221</v>
      </c>
      <c r="C9410">
        <v>10750</v>
      </c>
      <c r="D9410" t="s">
        <v>617</v>
      </c>
      <c r="E9410" t="s">
        <v>618</v>
      </c>
      <c r="F9410">
        <v>381.77</v>
      </c>
      <c r="G9410">
        <v>230818</v>
      </c>
      <c r="H9410">
        <v>4590</v>
      </c>
      <c r="I9410" t="s">
        <v>203</v>
      </c>
      <c r="J9410">
        <v>473.4</v>
      </c>
      <c r="K9410">
        <v>91.63</v>
      </c>
      <c r="L9410">
        <v>56561</v>
      </c>
      <c r="M9410" t="s">
        <v>358</v>
      </c>
      <c r="N9410" t="str">
        <f>"4895        "</f>
        <v xml:space="preserve">4895        </v>
      </c>
      <c r="O9410">
        <v>230822</v>
      </c>
    </row>
    <row r="9411" spans="1:15" x14ac:dyDescent="0.25">
      <c r="A9411" t="s">
        <v>16</v>
      </c>
      <c r="B9411" t="s">
        <v>3221</v>
      </c>
      <c r="C9411">
        <v>11637</v>
      </c>
      <c r="D9411" t="s">
        <v>617</v>
      </c>
      <c r="E9411" t="s">
        <v>618</v>
      </c>
      <c r="F9411">
        <v>51.6</v>
      </c>
      <c r="G9411">
        <v>230901</v>
      </c>
      <c r="H9411">
        <v>4590</v>
      </c>
      <c r="I9411" t="s">
        <v>203</v>
      </c>
      <c r="J9411">
        <v>63.99</v>
      </c>
      <c r="K9411">
        <v>12.39</v>
      </c>
      <c r="L9411">
        <v>56561</v>
      </c>
      <c r="M9411" t="s">
        <v>358</v>
      </c>
      <c r="N9411" t="str">
        <f>"4944        "</f>
        <v xml:space="preserve">4944        </v>
      </c>
      <c r="O9411">
        <v>230907</v>
      </c>
    </row>
    <row r="9412" spans="1:15" x14ac:dyDescent="0.25">
      <c r="A9412" t="s">
        <v>16</v>
      </c>
      <c r="B9412" t="s">
        <v>3221</v>
      </c>
      <c r="C9412">
        <v>12534</v>
      </c>
      <c r="D9412" t="s">
        <v>617</v>
      </c>
      <c r="E9412" t="s">
        <v>618</v>
      </c>
      <c r="F9412">
        <v>87.75</v>
      </c>
      <c r="G9412">
        <v>230915</v>
      </c>
      <c r="H9412">
        <v>4590</v>
      </c>
      <c r="I9412" t="s">
        <v>203</v>
      </c>
      <c r="J9412">
        <v>108.81</v>
      </c>
      <c r="K9412">
        <v>21.06</v>
      </c>
      <c r="L9412">
        <v>56551</v>
      </c>
      <c r="M9412" t="s">
        <v>619</v>
      </c>
      <c r="N9412" t="str">
        <f>"4998        "</f>
        <v xml:space="preserve">4998        </v>
      </c>
      <c r="O9412">
        <v>230920</v>
      </c>
    </row>
    <row r="9413" spans="1:15" x14ac:dyDescent="0.25">
      <c r="A9413" t="s">
        <v>16</v>
      </c>
      <c r="B9413" t="s">
        <v>3221</v>
      </c>
      <c r="C9413">
        <v>13886</v>
      </c>
      <c r="D9413" t="s">
        <v>617</v>
      </c>
      <c r="E9413" t="s">
        <v>618</v>
      </c>
      <c r="F9413">
        <v>178.33</v>
      </c>
      <c r="G9413">
        <v>231001</v>
      </c>
      <c r="H9413">
        <v>4590</v>
      </c>
      <c r="I9413" t="s">
        <v>203</v>
      </c>
      <c r="J9413">
        <v>221.13</v>
      </c>
      <c r="K9413">
        <v>42.8</v>
      </c>
      <c r="L9413">
        <v>56551</v>
      </c>
      <c r="M9413" t="s">
        <v>619</v>
      </c>
      <c r="N9413" t="str">
        <f>"5047        "</f>
        <v xml:space="preserve">5047        </v>
      </c>
      <c r="O9413">
        <v>231016</v>
      </c>
    </row>
    <row r="9414" spans="1:15" x14ac:dyDescent="0.25">
      <c r="A9414" t="s">
        <v>16</v>
      </c>
      <c r="B9414" t="s">
        <v>3221</v>
      </c>
      <c r="C9414">
        <v>13970</v>
      </c>
      <c r="D9414" t="s">
        <v>617</v>
      </c>
      <c r="E9414" t="s">
        <v>618</v>
      </c>
      <c r="F9414">
        <v>63.6</v>
      </c>
      <c r="G9414">
        <v>231006</v>
      </c>
      <c r="H9414">
        <v>4590</v>
      </c>
      <c r="I9414" t="s">
        <v>203</v>
      </c>
      <c r="J9414">
        <v>78.87</v>
      </c>
      <c r="K9414">
        <v>15.27</v>
      </c>
      <c r="L9414">
        <v>56551</v>
      </c>
      <c r="M9414" t="s">
        <v>619</v>
      </c>
      <c r="N9414" t="str">
        <f>"5064        "</f>
        <v xml:space="preserve">5064        </v>
      </c>
      <c r="O9414">
        <v>231017</v>
      </c>
    </row>
    <row r="9415" spans="1:15" x14ac:dyDescent="0.25">
      <c r="A9415" t="s">
        <v>16</v>
      </c>
      <c r="B9415" t="s">
        <v>3221</v>
      </c>
      <c r="C9415">
        <v>14554</v>
      </c>
      <c r="D9415" t="s">
        <v>617</v>
      </c>
      <c r="E9415" t="s">
        <v>618</v>
      </c>
      <c r="F9415">
        <v>27</v>
      </c>
      <c r="G9415">
        <v>231013</v>
      </c>
      <c r="H9415">
        <v>4590</v>
      </c>
      <c r="I9415" t="s">
        <v>203</v>
      </c>
      <c r="J9415">
        <v>33.479999999999997</v>
      </c>
      <c r="K9415">
        <v>6.48</v>
      </c>
      <c r="L9415">
        <v>56561</v>
      </c>
      <c r="M9415" t="s">
        <v>358</v>
      </c>
      <c r="N9415" t="str">
        <f>"5093        "</f>
        <v xml:space="preserve">5093        </v>
      </c>
      <c r="O9415">
        <v>231030</v>
      </c>
    </row>
    <row r="9416" spans="1:15" x14ac:dyDescent="0.25">
      <c r="A9416" t="s">
        <v>16</v>
      </c>
      <c r="B9416" t="s">
        <v>3221</v>
      </c>
      <c r="C9416">
        <v>16117</v>
      </c>
      <c r="D9416" t="s">
        <v>617</v>
      </c>
      <c r="E9416" t="s">
        <v>618</v>
      </c>
      <c r="F9416">
        <v>297</v>
      </c>
      <c r="G9416">
        <v>231117</v>
      </c>
      <c r="H9416">
        <v>4590</v>
      </c>
      <c r="I9416" t="s">
        <v>203</v>
      </c>
      <c r="J9416">
        <v>368.28</v>
      </c>
      <c r="K9416">
        <v>71.28</v>
      </c>
      <c r="L9416">
        <v>56561</v>
      </c>
      <c r="M9416" t="s">
        <v>358</v>
      </c>
      <c r="N9416" t="str">
        <f>"5200        "</f>
        <v xml:space="preserve">5200        </v>
      </c>
      <c r="O9416">
        <v>231122</v>
      </c>
    </row>
    <row r="9417" spans="1:15" x14ac:dyDescent="0.25">
      <c r="A9417" t="s">
        <v>16</v>
      </c>
      <c r="B9417" t="s">
        <v>3221</v>
      </c>
      <c r="C9417">
        <v>16197</v>
      </c>
      <c r="D9417" t="s">
        <v>617</v>
      </c>
      <c r="E9417" t="s">
        <v>618</v>
      </c>
      <c r="F9417">
        <v>101</v>
      </c>
      <c r="G9417">
        <v>231103</v>
      </c>
      <c r="H9417">
        <v>4590</v>
      </c>
      <c r="I9417" t="s">
        <v>203</v>
      </c>
      <c r="J9417">
        <v>125.24</v>
      </c>
      <c r="K9417">
        <v>24.24</v>
      </c>
      <c r="L9417">
        <v>56551</v>
      </c>
      <c r="M9417" t="s">
        <v>619</v>
      </c>
      <c r="N9417" t="str">
        <f>"5155        "</f>
        <v xml:space="preserve">5155        </v>
      </c>
      <c r="O9417">
        <v>231127</v>
      </c>
    </row>
    <row r="9418" spans="1:15" x14ac:dyDescent="0.25">
      <c r="A9418" t="s">
        <v>16</v>
      </c>
      <c r="B9418" t="s">
        <v>3221</v>
      </c>
      <c r="C9418">
        <v>16284</v>
      </c>
      <c r="D9418" t="s">
        <v>617</v>
      </c>
      <c r="E9418" t="s">
        <v>618</v>
      </c>
      <c r="F9418">
        <v>80.06</v>
      </c>
      <c r="G9418">
        <v>231110</v>
      </c>
      <c r="H9418">
        <v>4590</v>
      </c>
      <c r="I9418" t="s">
        <v>203</v>
      </c>
      <c r="J9418">
        <v>99.27</v>
      </c>
      <c r="K9418">
        <v>19.21</v>
      </c>
      <c r="L9418">
        <v>56551</v>
      </c>
      <c r="M9418" t="s">
        <v>619</v>
      </c>
      <c r="N9418" t="str">
        <f>"5179        "</f>
        <v xml:space="preserve">5179        </v>
      </c>
      <c r="O9418">
        <v>231127</v>
      </c>
    </row>
    <row r="9419" spans="1:15" x14ac:dyDescent="0.25">
      <c r="A9419" t="s">
        <v>16</v>
      </c>
      <c r="B9419" t="s">
        <v>3221</v>
      </c>
      <c r="C9419">
        <v>16303</v>
      </c>
      <c r="D9419" t="s">
        <v>617</v>
      </c>
      <c r="E9419" t="s">
        <v>618</v>
      </c>
      <c r="F9419">
        <v>144.22</v>
      </c>
      <c r="G9419">
        <v>231124</v>
      </c>
      <c r="H9419">
        <v>4590</v>
      </c>
      <c r="I9419" t="s">
        <v>203</v>
      </c>
      <c r="J9419">
        <v>178.83</v>
      </c>
      <c r="K9419">
        <v>34.61</v>
      </c>
      <c r="L9419">
        <v>56551</v>
      </c>
      <c r="M9419" t="s">
        <v>619</v>
      </c>
      <c r="N9419" t="str">
        <f>"5225        "</f>
        <v xml:space="preserve">5225        </v>
      </c>
      <c r="O9419">
        <v>231127</v>
      </c>
    </row>
    <row r="9420" spans="1:15" x14ac:dyDescent="0.25">
      <c r="A9420" t="s">
        <v>16</v>
      </c>
      <c r="B9420" t="s">
        <v>3221</v>
      </c>
      <c r="C9420">
        <v>18018</v>
      </c>
      <c r="D9420" t="s">
        <v>617</v>
      </c>
      <c r="E9420" t="s">
        <v>618</v>
      </c>
      <c r="F9420">
        <v>197.78</v>
      </c>
      <c r="G9420">
        <v>231201</v>
      </c>
      <c r="H9420">
        <v>4590</v>
      </c>
      <c r="I9420" t="s">
        <v>203</v>
      </c>
      <c r="J9420">
        <v>245.25</v>
      </c>
      <c r="K9420">
        <v>47.47</v>
      </c>
      <c r="L9420">
        <v>56551</v>
      </c>
      <c r="M9420" t="s">
        <v>619</v>
      </c>
      <c r="N9420" t="str">
        <f>"5249        "</f>
        <v xml:space="preserve">5249        </v>
      </c>
      <c r="O9420">
        <v>231228</v>
      </c>
    </row>
    <row r="9421" spans="1:15" x14ac:dyDescent="0.25">
      <c r="A9421" t="s">
        <v>16</v>
      </c>
      <c r="B9421" t="s">
        <v>3221</v>
      </c>
      <c r="C9421">
        <v>18363</v>
      </c>
      <c r="D9421" t="s">
        <v>617</v>
      </c>
      <c r="E9421" t="s">
        <v>618</v>
      </c>
      <c r="F9421">
        <v>105.53</v>
      </c>
      <c r="G9421">
        <v>231208</v>
      </c>
      <c r="H9421">
        <v>4590</v>
      </c>
      <c r="I9421" t="s">
        <v>203</v>
      </c>
      <c r="J9421">
        <v>130.86000000000001</v>
      </c>
      <c r="K9421">
        <v>25.33</v>
      </c>
      <c r="L9421">
        <v>56551</v>
      </c>
      <c r="M9421" t="s">
        <v>619</v>
      </c>
      <c r="N9421" t="str">
        <f>"5267        "</f>
        <v xml:space="preserve">5267        </v>
      </c>
      <c r="O9421">
        <v>240103</v>
      </c>
    </row>
    <row r="9422" spans="1:15" x14ac:dyDescent="0.25">
      <c r="A9422" t="s">
        <v>16</v>
      </c>
      <c r="B9422" t="s">
        <v>3221</v>
      </c>
      <c r="C9422">
        <v>18560</v>
      </c>
      <c r="D9422" t="s">
        <v>617</v>
      </c>
      <c r="E9422" t="s">
        <v>618</v>
      </c>
      <c r="F9422">
        <v>24.24</v>
      </c>
      <c r="G9422">
        <v>231215</v>
      </c>
      <c r="H9422">
        <v>4590</v>
      </c>
      <c r="I9422" t="s">
        <v>203</v>
      </c>
      <c r="J9422">
        <v>30.06</v>
      </c>
      <c r="K9422">
        <v>5.82</v>
      </c>
      <c r="L9422">
        <v>56551</v>
      </c>
      <c r="M9422" t="s">
        <v>619</v>
      </c>
      <c r="N9422" t="str">
        <f>"5292        "</f>
        <v xml:space="preserve">5292        </v>
      </c>
      <c r="O9422">
        <v>240104</v>
      </c>
    </row>
    <row r="9423" spans="1:15" x14ac:dyDescent="0.25">
      <c r="A9423" t="s">
        <v>16</v>
      </c>
      <c r="B9423" t="s">
        <v>3221</v>
      </c>
      <c r="C9423">
        <v>18560</v>
      </c>
      <c r="D9423" t="s">
        <v>617</v>
      </c>
      <c r="E9423" t="s">
        <v>618</v>
      </c>
      <c r="F9423">
        <v>97.33</v>
      </c>
      <c r="G9423">
        <v>231215</v>
      </c>
      <c r="H9423">
        <v>4590</v>
      </c>
      <c r="I9423" t="s">
        <v>203</v>
      </c>
      <c r="J9423">
        <v>120.69</v>
      </c>
      <c r="K9423">
        <v>23.36</v>
      </c>
      <c r="L9423">
        <v>56561</v>
      </c>
      <c r="M9423" t="s">
        <v>358</v>
      </c>
      <c r="N9423" t="str">
        <f>"5292        "</f>
        <v xml:space="preserve">5292        </v>
      </c>
      <c r="O9423">
        <v>240104</v>
      </c>
    </row>
    <row r="9424" spans="1:15" x14ac:dyDescent="0.25">
      <c r="A9424" t="s">
        <v>16</v>
      </c>
      <c r="B9424" t="s">
        <v>3221</v>
      </c>
      <c r="C9424">
        <v>18584</v>
      </c>
      <c r="D9424" t="s">
        <v>617</v>
      </c>
      <c r="E9424" t="s">
        <v>618</v>
      </c>
      <c r="F9424">
        <v>90</v>
      </c>
      <c r="G9424">
        <v>231215</v>
      </c>
      <c r="H9424">
        <v>4590</v>
      </c>
      <c r="I9424" t="s">
        <v>203</v>
      </c>
      <c r="J9424">
        <v>111.6</v>
      </c>
      <c r="K9424">
        <v>21.6</v>
      </c>
      <c r="L9424">
        <v>56561</v>
      </c>
      <c r="M9424" t="s">
        <v>358</v>
      </c>
      <c r="N9424" t="str">
        <f>"5287        "</f>
        <v xml:space="preserve">5287        </v>
      </c>
      <c r="O9424">
        <v>240104</v>
      </c>
    </row>
    <row r="9425" spans="1:15" x14ac:dyDescent="0.25">
      <c r="A9425" t="s">
        <v>16</v>
      </c>
      <c r="B9425" t="s">
        <v>3221</v>
      </c>
      <c r="C9425">
        <v>18672</v>
      </c>
      <c r="D9425" t="s">
        <v>617</v>
      </c>
      <c r="E9425" t="s">
        <v>618</v>
      </c>
      <c r="F9425">
        <v>192.7</v>
      </c>
      <c r="G9425">
        <v>231222</v>
      </c>
      <c r="H9425">
        <v>4590</v>
      </c>
      <c r="I9425" t="s">
        <v>203</v>
      </c>
      <c r="J9425">
        <v>238.95</v>
      </c>
      <c r="K9425">
        <v>46.25</v>
      </c>
      <c r="L9425">
        <v>56551</v>
      </c>
      <c r="M9425" t="s">
        <v>619</v>
      </c>
      <c r="N9425" t="str">
        <f>"5306        "</f>
        <v xml:space="preserve">5306        </v>
      </c>
      <c r="O9425">
        <v>240104</v>
      </c>
    </row>
    <row r="9426" spans="1:15" x14ac:dyDescent="0.25">
      <c r="A9426" t="s">
        <v>16</v>
      </c>
      <c r="B9426" t="s">
        <v>3221</v>
      </c>
      <c r="C9426">
        <v>17010</v>
      </c>
      <c r="D9426" t="s">
        <v>3030</v>
      </c>
      <c r="E9426" t="s">
        <v>3031</v>
      </c>
      <c r="F9426">
        <v>24</v>
      </c>
      <c r="G9426">
        <v>231204</v>
      </c>
      <c r="H9426">
        <v>4412</v>
      </c>
      <c r="I9426" t="s">
        <v>149</v>
      </c>
      <c r="J9426">
        <v>24</v>
      </c>
      <c r="K9426">
        <v>0</v>
      </c>
      <c r="L9426">
        <v>44222</v>
      </c>
      <c r="M9426" t="s">
        <v>232</v>
      </c>
      <c r="N9426" t="str">
        <f>"1231200022  "</f>
        <v xml:space="preserve">1231200022  </v>
      </c>
      <c r="O9426">
        <v>231211</v>
      </c>
    </row>
    <row r="9427" spans="1:15" x14ac:dyDescent="0.25">
      <c r="A9427" t="s">
        <v>16</v>
      </c>
      <c r="B9427" t="s">
        <v>3221</v>
      </c>
      <c r="C9427">
        <v>17010</v>
      </c>
      <c r="D9427" t="s">
        <v>3030</v>
      </c>
      <c r="E9427" t="s">
        <v>3031</v>
      </c>
      <c r="F9427">
        <v>109.09</v>
      </c>
      <c r="G9427">
        <v>231204</v>
      </c>
      <c r="H9427">
        <v>4412</v>
      </c>
      <c r="I9427" t="s">
        <v>149</v>
      </c>
      <c r="J9427">
        <v>120</v>
      </c>
      <c r="K9427">
        <v>10.91</v>
      </c>
      <c r="L9427">
        <v>44222</v>
      </c>
      <c r="M9427" t="s">
        <v>232</v>
      </c>
      <c r="N9427" t="str">
        <f>"1231200022  "</f>
        <v xml:space="preserve">1231200022  </v>
      </c>
      <c r="O9427">
        <v>231211</v>
      </c>
    </row>
    <row r="9428" spans="1:15" x14ac:dyDescent="0.25">
      <c r="A9428" t="s">
        <v>16</v>
      </c>
      <c r="B9428" t="s">
        <v>3221</v>
      </c>
      <c r="C9428">
        <v>17421</v>
      </c>
      <c r="D9428" t="s">
        <v>3030</v>
      </c>
      <c r="E9428" t="s">
        <v>3031</v>
      </c>
      <c r="F9428">
        <v>24</v>
      </c>
      <c r="G9428">
        <v>231204</v>
      </c>
      <c r="H9428">
        <v>4410</v>
      </c>
      <c r="I9428" t="s">
        <v>517</v>
      </c>
      <c r="J9428">
        <v>24</v>
      </c>
      <c r="K9428">
        <v>0</v>
      </c>
      <c r="L9428">
        <v>11901</v>
      </c>
      <c r="M9428" t="s">
        <v>36</v>
      </c>
      <c r="N9428" t="str">
        <f>"1231200020  "</f>
        <v xml:space="preserve">1231200020  </v>
      </c>
      <c r="O9428">
        <v>231214</v>
      </c>
    </row>
    <row r="9429" spans="1:15" x14ac:dyDescent="0.25">
      <c r="A9429" t="s">
        <v>16</v>
      </c>
      <c r="B9429" t="s">
        <v>3221</v>
      </c>
      <c r="C9429">
        <v>17421</v>
      </c>
      <c r="D9429" t="s">
        <v>3030</v>
      </c>
      <c r="E9429" t="s">
        <v>3031</v>
      </c>
      <c r="F9429">
        <v>109.09</v>
      </c>
      <c r="G9429">
        <v>231204</v>
      </c>
      <c r="H9429">
        <v>4410</v>
      </c>
      <c r="I9429" t="s">
        <v>517</v>
      </c>
      <c r="J9429">
        <v>120</v>
      </c>
      <c r="K9429">
        <v>10.91</v>
      </c>
      <c r="L9429">
        <v>11901</v>
      </c>
      <c r="M9429" t="s">
        <v>36</v>
      </c>
      <c r="N9429" t="str">
        <f>"1231200020  "</f>
        <v xml:space="preserve">1231200020  </v>
      </c>
      <c r="O9429">
        <v>231214</v>
      </c>
    </row>
    <row r="9430" spans="1:15" x14ac:dyDescent="0.25">
      <c r="A9430" t="s">
        <v>16</v>
      </c>
      <c r="B9430" t="s">
        <v>3221</v>
      </c>
      <c r="C9430">
        <v>17421</v>
      </c>
      <c r="D9430" t="s">
        <v>3030</v>
      </c>
      <c r="E9430" t="s">
        <v>3031</v>
      </c>
      <c r="F9430">
        <v>138.6</v>
      </c>
      <c r="G9430">
        <v>231204</v>
      </c>
      <c r="H9430">
        <v>4410</v>
      </c>
      <c r="I9430" t="s">
        <v>517</v>
      </c>
      <c r="J9430">
        <v>158</v>
      </c>
      <c r="K9430">
        <v>19.399999999999999</v>
      </c>
      <c r="L9430">
        <v>11901</v>
      </c>
      <c r="M9430" t="s">
        <v>36</v>
      </c>
      <c r="N9430" t="str">
        <f>"1231200020  "</f>
        <v xml:space="preserve">1231200020  </v>
      </c>
      <c r="O9430">
        <v>231214</v>
      </c>
    </row>
    <row r="9431" spans="1:15" x14ac:dyDescent="0.25">
      <c r="A9431" t="s">
        <v>16</v>
      </c>
      <c r="B9431" t="s">
        <v>3221</v>
      </c>
      <c r="C9431">
        <v>17714</v>
      </c>
      <c r="D9431" t="s">
        <v>3030</v>
      </c>
      <c r="E9431" t="s">
        <v>3031</v>
      </c>
      <c r="F9431">
        <v>24</v>
      </c>
      <c r="G9431">
        <v>231204</v>
      </c>
      <c r="H9431">
        <v>4410</v>
      </c>
      <c r="I9431" t="s">
        <v>517</v>
      </c>
      <c r="J9431">
        <v>24</v>
      </c>
      <c r="K9431">
        <v>0</v>
      </c>
      <c r="L9431">
        <v>49702</v>
      </c>
      <c r="M9431" t="s">
        <v>584</v>
      </c>
      <c r="N9431" t="str">
        <f>"1231200021  "</f>
        <v xml:space="preserve">1231200021  </v>
      </c>
      <c r="O9431">
        <v>231221</v>
      </c>
    </row>
    <row r="9432" spans="1:15" x14ac:dyDescent="0.25">
      <c r="A9432" t="s">
        <v>16</v>
      </c>
      <c r="B9432" t="s">
        <v>3221</v>
      </c>
      <c r="C9432">
        <v>17714</v>
      </c>
      <c r="D9432" t="s">
        <v>3030</v>
      </c>
      <c r="E9432" t="s">
        <v>3031</v>
      </c>
      <c r="F9432">
        <v>105.26</v>
      </c>
      <c r="G9432">
        <v>231204</v>
      </c>
      <c r="H9432">
        <v>4410</v>
      </c>
      <c r="I9432" t="s">
        <v>517</v>
      </c>
      <c r="J9432">
        <v>120</v>
      </c>
      <c r="K9432">
        <v>14.74</v>
      </c>
      <c r="L9432">
        <v>49702</v>
      </c>
      <c r="M9432" t="s">
        <v>584</v>
      </c>
      <c r="N9432" t="str">
        <f>"1231200021  "</f>
        <v xml:space="preserve">1231200021  </v>
      </c>
      <c r="O9432">
        <v>231221</v>
      </c>
    </row>
    <row r="9433" spans="1:15" x14ac:dyDescent="0.25">
      <c r="A9433" t="s">
        <v>16</v>
      </c>
      <c r="B9433" t="s">
        <v>3221</v>
      </c>
      <c r="C9433">
        <v>11273</v>
      </c>
      <c r="D9433" t="s">
        <v>2469</v>
      </c>
      <c r="E9433" t="s">
        <v>2470</v>
      </c>
      <c r="F9433">
        <v>71.31</v>
      </c>
      <c r="G9433">
        <v>230828</v>
      </c>
      <c r="H9433">
        <v>4600</v>
      </c>
      <c r="I9433" t="s">
        <v>105</v>
      </c>
      <c r="J9433">
        <v>88.42</v>
      </c>
      <c r="K9433">
        <v>17.11</v>
      </c>
      <c r="L9433">
        <v>17525</v>
      </c>
      <c r="M9433" t="s">
        <v>135</v>
      </c>
      <c r="N9433" t="str">
        <f>"110248      "</f>
        <v xml:space="preserve">110248      </v>
      </c>
      <c r="O9433">
        <v>230904</v>
      </c>
    </row>
    <row r="9434" spans="1:15" x14ac:dyDescent="0.25">
      <c r="A9434" t="s">
        <v>16</v>
      </c>
      <c r="B9434" t="s">
        <v>3221</v>
      </c>
      <c r="C9434">
        <v>10250</v>
      </c>
      <c r="D9434" t="s">
        <v>3652</v>
      </c>
      <c r="E9434" t="s">
        <v>2127</v>
      </c>
      <c r="F9434">
        <v>1119.98</v>
      </c>
      <c r="G9434">
        <v>230808</v>
      </c>
      <c r="H9434">
        <v>4400</v>
      </c>
      <c r="I9434" t="s">
        <v>348</v>
      </c>
      <c r="J9434">
        <v>1388.78</v>
      </c>
      <c r="K9434">
        <v>268.8</v>
      </c>
      <c r="L9434">
        <v>59501</v>
      </c>
      <c r="M9434" t="s">
        <v>69</v>
      </c>
      <c r="N9434" t="str">
        <f>"103578      "</f>
        <v xml:space="preserve">103578      </v>
      </c>
      <c r="O9434">
        <v>230810</v>
      </c>
    </row>
    <row r="9435" spans="1:15" x14ac:dyDescent="0.25">
      <c r="A9435" t="s">
        <v>16</v>
      </c>
      <c r="B9435" t="s">
        <v>3221</v>
      </c>
      <c r="C9435">
        <v>10250</v>
      </c>
      <c r="D9435" t="s">
        <v>3652</v>
      </c>
      <c r="E9435" t="s">
        <v>2127</v>
      </c>
      <c r="F9435">
        <v>872.8</v>
      </c>
      <c r="G9435">
        <v>230808</v>
      </c>
      <c r="H9435">
        <v>4400</v>
      </c>
      <c r="I9435" t="s">
        <v>348</v>
      </c>
      <c r="J9435">
        <v>1082.27</v>
      </c>
      <c r="K9435">
        <v>209.47</v>
      </c>
      <c r="L9435">
        <v>59505</v>
      </c>
      <c r="M9435" t="s">
        <v>72</v>
      </c>
      <c r="N9435" t="str">
        <f>"103578      "</f>
        <v xml:space="preserve">103578      </v>
      </c>
      <c r="O9435">
        <v>230810</v>
      </c>
    </row>
    <row r="9436" spans="1:15" x14ac:dyDescent="0.25">
      <c r="A9436" t="s">
        <v>16</v>
      </c>
      <c r="B9436" t="s">
        <v>3221</v>
      </c>
      <c r="C9436">
        <v>15719</v>
      </c>
      <c r="D9436" t="s">
        <v>3652</v>
      </c>
      <c r="E9436" t="s">
        <v>2127</v>
      </c>
      <c r="F9436">
        <v>934.02</v>
      </c>
      <c r="G9436">
        <v>231113</v>
      </c>
      <c r="H9436">
        <v>4400</v>
      </c>
      <c r="I9436" t="s">
        <v>348</v>
      </c>
      <c r="J9436">
        <v>1158.19</v>
      </c>
      <c r="K9436">
        <v>224.17</v>
      </c>
      <c r="L9436">
        <v>59501</v>
      </c>
      <c r="M9436" t="s">
        <v>69</v>
      </c>
      <c r="N9436" t="str">
        <f>"104057      "</f>
        <v xml:space="preserve">104057      </v>
      </c>
      <c r="O9436">
        <v>231116</v>
      </c>
    </row>
    <row r="9437" spans="1:15" x14ac:dyDescent="0.25">
      <c r="A9437" t="s">
        <v>16</v>
      </c>
      <c r="B9437" t="s">
        <v>3221</v>
      </c>
      <c r="C9437">
        <v>7758</v>
      </c>
      <c r="D9437" t="s">
        <v>3652</v>
      </c>
      <c r="E9437" t="s">
        <v>2127</v>
      </c>
      <c r="F9437">
        <v>1297.1300000000001</v>
      </c>
      <c r="G9437">
        <v>230529</v>
      </c>
      <c r="H9437">
        <v>4390</v>
      </c>
      <c r="I9437" t="s">
        <v>98</v>
      </c>
      <c r="J9437">
        <v>1608.44</v>
      </c>
      <c r="K9437">
        <v>311.31</v>
      </c>
      <c r="L9437">
        <v>59501</v>
      </c>
      <c r="M9437" t="s">
        <v>69</v>
      </c>
      <c r="N9437" t="str">
        <f>"103309      "</f>
        <v xml:space="preserve">103309      </v>
      </c>
      <c r="O9437">
        <v>230602</v>
      </c>
    </row>
    <row r="9438" spans="1:15" x14ac:dyDescent="0.25">
      <c r="A9438" t="s">
        <v>16</v>
      </c>
      <c r="B9438" t="s">
        <v>3221</v>
      </c>
      <c r="C9438">
        <v>4433</v>
      </c>
      <c r="D9438" t="s">
        <v>287</v>
      </c>
      <c r="E9438" t="s">
        <v>288</v>
      </c>
      <c r="F9438">
        <v>333.39</v>
      </c>
      <c r="G9438">
        <v>230403</v>
      </c>
      <c r="H9438">
        <v>4400</v>
      </c>
      <c r="I9438" t="s">
        <v>348</v>
      </c>
      <c r="J9438">
        <v>333.39</v>
      </c>
      <c r="K9438">
        <v>0</v>
      </c>
      <c r="L9438">
        <v>59504</v>
      </c>
      <c r="M9438" t="s">
        <v>71</v>
      </c>
      <c r="N9438" t="str">
        <f>"115445567   "</f>
        <v xml:space="preserve">115445567   </v>
      </c>
      <c r="O9438">
        <v>230405</v>
      </c>
    </row>
    <row r="9439" spans="1:15" x14ac:dyDescent="0.25">
      <c r="A9439" t="s">
        <v>16</v>
      </c>
      <c r="B9439" t="s">
        <v>3221</v>
      </c>
      <c r="C9439">
        <v>4463</v>
      </c>
      <c r="D9439" t="s">
        <v>287</v>
      </c>
      <c r="E9439" t="s">
        <v>288</v>
      </c>
      <c r="F9439">
        <v>1327.74</v>
      </c>
      <c r="G9439">
        <v>230403</v>
      </c>
      <c r="H9439">
        <v>4400</v>
      </c>
      <c r="I9439" t="s">
        <v>348</v>
      </c>
      <c r="J9439">
        <v>1327.74</v>
      </c>
      <c r="K9439">
        <v>0</v>
      </c>
      <c r="L9439">
        <v>17951</v>
      </c>
      <c r="M9439" t="s">
        <v>87</v>
      </c>
      <c r="N9439" t="str">
        <f>"115441852   "</f>
        <v xml:space="preserve">115441852   </v>
      </c>
      <c r="O9439">
        <v>230406</v>
      </c>
    </row>
    <row r="9440" spans="1:15" x14ac:dyDescent="0.25">
      <c r="A9440" t="s">
        <v>16</v>
      </c>
      <c r="B9440" t="s">
        <v>3221</v>
      </c>
      <c r="C9440">
        <v>4467</v>
      </c>
      <c r="D9440" t="s">
        <v>287</v>
      </c>
      <c r="E9440" t="s">
        <v>288</v>
      </c>
      <c r="F9440">
        <v>610.04</v>
      </c>
      <c r="G9440">
        <v>230403</v>
      </c>
      <c r="H9440">
        <v>4400</v>
      </c>
      <c r="I9440" t="s">
        <v>348</v>
      </c>
      <c r="J9440">
        <v>610.04</v>
      </c>
      <c r="K9440">
        <v>0</v>
      </c>
      <c r="L9440">
        <v>17951</v>
      </c>
      <c r="M9440" t="s">
        <v>87</v>
      </c>
      <c r="N9440" t="str">
        <f>"115441851   "</f>
        <v xml:space="preserve">115441851   </v>
      </c>
      <c r="O9440">
        <v>230406</v>
      </c>
    </row>
    <row r="9441" spans="1:15" x14ac:dyDescent="0.25">
      <c r="A9441" t="s">
        <v>16</v>
      </c>
      <c r="B9441" t="s">
        <v>3221</v>
      </c>
      <c r="C9441">
        <v>12805</v>
      </c>
      <c r="D9441" t="s">
        <v>287</v>
      </c>
      <c r="E9441" t="s">
        <v>288</v>
      </c>
      <c r="F9441">
        <v>159</v>
      </c>
      <c r="G9441">
        <v>230925</v>
      </c>
      <c r="H9441">
        <v>4400</v>
      </c>
      <c r="I9441" t="s">
        <v>348</v>
      </c>
      <c r="J9441">
        <v>197.16</v>
      </c>
      <c r="K9441">
        <v>38.159999999999997</v>
      </c>
      <c r="L9441">
        <v>59504</v>
      </c>
      <c r="M9441" t="s">
        <v>71</v>
      </c>
      <c r="N9441" t="str">
        <f>"8874732     "</f>
        <v xml:space="preserve">8874732     </v>
      </c>
      <c r="O9441">
        <v>230926</v>
      </c>
    </row>
    <row r="9442" spans="1:15" x14ac:dyDescent="0.25">
      <c r="A9442" t="s">
        <v>16</v>
      </c>
      <c r="B9442" t="s">
        <v>3221</v>
      </c>
      <c r="C9442">
        <v>13078</v>
      </c>
      <c r="D9442" t="s">
        <v>287</v>
      </c>
      <c r="E9442" t="s">
        <v>288</v>
      </c>
      <c r="F9442">
        <v>107.91</v>
      </c>
      <c r="G9442">
        <v>230929</v>
      </c>
      <c r="H9442">
        <v>4400</v>
      </c>
      <c r="I9442" t="s">
        <v>348</v>
      </c>
      <c r="J9442">
        <v>107.91</v>
      </c>
      <c r="K9442">
        <v>0</v>
      </c>
      <c r="L9442">
        <v>59504</v>
      </c>
      <c r="M9442" t="s">
        <v>71</v>
      </c>
      <c r="N9442" t="str">
        <f>"8877400     "</f>
        <v xml:space="preserve">8877400     </v>
      </c>
      <c r="O9442">
        <v>231003</v>
      </c>
    </row>
    <row r="9443" spans="1:15" x14ac:dyDescent="0.25">
      <c r="A9443" t="s">
        <v>16</v>
      </c>
      <c r="B9443" t="s">
        <v>3221</v>
      </c>
      <c r="C9443">
        <v>14299</v>
      </c>
      <c r="D9443" t="s">
        <v>287</v>
      </c>
      <c r="E9443" t="s">
        <v>288</v>
      </c>
      <c r="F9443">
        <v>504.3</v>
      </c>
      <c r="G9443">
        <v>231017</v>
      </c>
      <c r="H9443">
        <v>4400</v>
      </c>
      <c r="I9443" t="s">
        <v>348</v>
      </c>
      <c r="J9443">
        <v>504.3</v>
      </c>
      <c r="K9443">
        <v>0</v>
      </c>
      <c r="L9443">
        <v>59504</v>
      </c>
      <c r="M9443" t="s">
        <v>71</v>
      </c>
      <c r="N9443" t="str">
        <f>"8881540     "</f>
        <v xml:space="preserve">8881540     </v>
      </c>
      <c r="O9443">
        <v>231025</v>
      </c>
    </row>
    <row r="9444" spans="1:15" x14ac:dyDescent="0.25">
      <c r="A9444" t="s">
        <v>16</v>
      </c>
      <c r="B9444" t="s">
        <v>3221</v>
      </c>
      <c r="C9444">
        <v>17307</v>
      </c>
      <c r="D9444" t="s">
        <v>287</v>
      </c>
      <c r="E9444" t="s">
        <v>288</v>
      </c>
      <c r="F9444">
        <v>990</v>
      </c>
      <c r="G9444">
        <v>231211</v>
      </c>
      <c r="H9444">
        <v>4400</v>
      </c>
      <c r="I9444" t="s">
        <v>348</v>
      </c>
      <c r="J9444">
        <v>990</v>
      </c>
      <c r="K9444">
        <v>0</v>
      </c>
      <c r="L9444">
        <v>59504</v>
      </c>
      <c r="M9444" t="s">
        <v>71</v>
      </c>
      <c r="N9444" t="str">
        <f>"8896269     "</f>
        <v xml:space="preserve">8896269     </v>
      </c>
      <c r="O9444">
        <v>231212</v>
      </c>
    </row>
    <row r="9445" spans="1:15" x14ac:dyDescent="0.25">
      <c r="A9445" t="s">
        <v>16</v>
      </c>
      <c r="B9445" t="s">
        <v>3221</v>
      </c>
      <c r="C9445">
        <v>182</v>
      </c>
      <c r="D9445" t="s">
        <v>287</v>
      </c>
      <c r="E9445" t="s">
        <v>288</v>
      </c>
      <c r="F9445">
        <v>1100.04</v>
      </c>
      <c r="G9445">
        <v>230110</v>
      </c>
      <c r="H9445">
        <v>4390</v>
      </c>
      <c r="I9445" t="s">
        <v>98</v>
      </c>
      <c r="J9445">
        <v>1100.04</v>
      </c>
      <c r="K9445">
        <v>0</v>
      </c>
      <c r="L9445">
        <v>59501</v>
      </c>
      <c r="M9445" t="s">
        <v>69</v>
      </c>
      <c r="N9445" t="str">
        <f>"115422952   "</f>
        <v xml:space="preserve">115422952   </v>
      </c>
      <c r="O9445">
        <v>230116</v>
      </c>
    </row>
    <row r="9446" spans="1:15" x14ac:dyDescent="0.25">
      <c r="A9446" t="s">
        <v>16</v>
      </c>
      <c r="B9446" t="s">
        <v>3221</v>
      </c>
      <c r="C9446">
        <v>182</v>
      </c>
      <c r="D9446" t="s">
        <v>287</v>
      </c>
      <c r="E9446" t="s">
        <v>288</v>
      </c>
      <c r="F9446">
        <v>1033.1400000000001</v>
      </c>
      <c r="G9446">
        <v>230110</v>
      </c>
      <c r="H9446">
        <v>4390</v>
      </c>
      <c r="I9446" t="s">
        <v>98</v>
      </c>
      <c r="J9446">
        <v>1033.1400000000001</v>
      </c>
      <c r="K9446">
        <v>0</v>
      </c>
      <c r="L9446">
        <v>59502</v>
      </c>
      <c r="M9446" t="s">
        <v>70</v>
      </c>
      <c r="N9446" t="str">
        <f>"115422952   "</f>
        <v xml:space="preserve">115422952   </v>
      </c>
      <c r="O9446">
        <v>230116</v>
      </c>
    </row>
    <row r="9447" spans="1:15" x14ac:dyDescent="0.25">
      <c r="A9447" t="s">
        <v>16</v>
      </c>
      <c r="B9447" t="s">
        <v>3221</v>
      </c>
      <c r="C9447">
        <v>182</v>
      </c>
      <c r="D9447" t="s">
        <v>287</v>
      </c>
      <c r="E9447" t="s">
        <v>288</v>
      </c>
      <c r="F9447">
        <v>660.54</v>
      </c>
      <c r="G9447">
        <v>230110</v>
      </c>
      <c r="H9447">
        <v>4390</v>
      </c>
      <c r="I9447" t="s">
        <v>98</v>
      </c>
      <c r="J9447">
        <v>660.54</v>
      </c>
      <c r="K9447">
        <v>0</v>
      </c>
      <c r="L9447">
        <v>59802</v>
      </c>
      <c r="M9447" t="s">
        <v>73</v>
      </c>
      <c r="N9447" t="str">
        <f>"115422952   "</f>
        <v xml:space="preserve">115422952   </v>
      </c>
      <c r="O9447">
        <v>230116</v>
      </c>
    </row>
    <row r="9448" spans="1:15" x14ac:dyDescent="0.25">
      <c r="A9448" t="s">
        <v>16</v>
      </c>
      <c r="B9448" t="s">
        <v>3221</v>
      </c>
      <c r="C9448">
        <v>195</v>
      </c>
      <c r="D9448" t="s">
        <v>287</v>
      </c>
      <c r="E9448" t="s">
        <v>288</v>
      </c>
      <c r="F9448">
        <v>159</v>
      </c>
      <c r="G9448">
        <v>230113</v>
      </c>
      <c r="H9448">
        <v>4390</v>
      </c>
      <c r="I9448" t="s">
        <v>98</v>
      </c>
      <c r="J9448">
        <v>197.16</v>
      </c>
      <c r="K9448">
        <v>38.159999999999997</v>
      </c>
      <c r="L9448">
        <v>59812</v>
      </c>
      <c r="M9448" t="s">
        <v>74</v>
      </c>
      <c r="N9448" t="str">
        <f>"8812324     "</f>
        <v xml:space="preserve">8812324     </v>
      </c>
      <c r="O9448">
        <v>230116</v>
      </c>
    </row>
    <row r="9449" spans="1:15" x14ac:dyDescent="0.25">
      <c r="A9449" t="s">
        <v>16</v>
      </c>
      <c r="B9449" t="s">
        <v>3221</v>
      </c>
      <c r="C9449">
        <v>196</v>
      </c>
      <c r="D9449" t="s">
        <v>287</v>
      </c>
      <c r="E9449" t="s">
        <v>288</v>
      </c>
      <c r="F9449">
        <v>159</v>
      </c>
      <c r="G9449">
        <v>230113</v>
      </c>
      <c r="H9449">
        <v>4390</v>
      </c>
      <c r="I9449" t="s">
        <v>98</v>
      </c>
      <c r="J9449">
        <v>197.16</v>
      </c>
      <c r="K9449">
        <v>38.159999999999997</v>
      </c>
      <c r="L9449">
        <v>59501</v>
      </c>
      <c r="M9449" t="s">
        <v>69</v>
      </c>
      <c r="N9449" t="str">
        <f>"8812337     "</f>
        <v xml:space="preserve">8812337     </v>
      </c>
      <c r="O9449">
        <v>230116</v>
      </c>
    </row>
    <row r="9450" spans="1:15" x14ac:dyDescent="0.25">
      <c r="A9450" t="s">
        <v>16</v>
      </c>
      <c r="B9450" t="s">
        <v>3221</v>
      </c>
      <c r="C9450">
        <v>199</v>
      </c>
      <c r="D9450" t="s">
        <v>287</v>
      </c>
      <c r="E9450" t="s">
        <v>288</v>
      </c>
      <c r="F9450">
        <v>216.93</v>
      </c>
      <c r="G9450">
        <v>230110</v>
      </c>
      <c r="H9450">
        <v>4390</v>
      </c>
      <c r="I9450" t="s">
        <v>98</v>
      </c>
      <c r="J9450">
        <v>216.93</v>
      </c>
      <c r="K9450">
        <v>0</v>
      </c>
      <c r="L9450">
        <v>59505</v>
      </c>
      <c r="M9450" t="s">
        <v>72</v>
      </c>
      <c r="N9450" t="str">
        <f>"115435254   "</f>
        <v xml:space="preserve">115435254   </v>
      </c>
      <c r="O9450">
        <v>230116</v>
      </c>
    </row>
    <row r="9451" spans="1:15" x14ac:dyDescent="0.25">
      <c r="A9451" t="s">
        <v>16</v>
      </c>
      <c r="B9451" t="s">
        <v>3221</v>
      </c>
      <c r="C9451">
        <v>199</v>
      </c>
      <c r="D9451" t="s">
        <v>287</v>
      </c>
      <c r="E9451" t="s">
        <v>288</v>
      </c>
      <c r="F9451">
        <v>240.96</v>
      </c>
      <c r="G9451">
        <v>230110</v>
      </c>
      <c r="H9451">
        <v>4390</v>
      </c>
      <c r="I9451" t="s">
        <v>98</v>
      </c>
      <c r="J9451">
        <v>240.96</v>
      </c>
      <c r="K9451">
        <v>0</v>
      </c>
      <c r="L9451">
        <v>59812</v>
      </c>
      <c r="M9451" t="s">
        <v>74</v>
      </c>
      <c r="N9451" t="str">
        <f>"115435254   "</f>
        <v xml:space="preserve">115435254   </v>
      </c>
      <c r="O9451">
        <v>230116</v>
      </c>
    </row>
    <row r="9452" spans="1:15" x14ac:dyDescent="0.25">
      <c r="A9452" t="s">
        <v>16</v>
      </c>
      <c r="B9452" t="s">
        <v>3221</v>
      </c>
      <c r="C9452">
        <v>201</v>
      </c>
      <c r="D9452" t="s">
        <v>287</v>
      </c>
      <c r="E9452" t="s">
        <v>288</v>
      </c>
      <c r="F9452">
        <v>333.39</v>
      </c>
      <c r="G9452">
        <v>230110</v>
      </c>
      <c r="H9452">
        <v>4390</v>
      </c>
      <c r="I9452" t="s">
        <v>98</v>
      </c>
      <c r="J9452">
        <v>333.39</v>
      </c>
      <c r="K9452">
        <v>0</v>
      </c>
      <c r="L9452">
        <v>59504</v>
      </c>
      <c r="M9452" t="s">
        <v>71</v>
      </c>
      <c r="N9452" t="str">
        <f>"115435321   "</f>
        <v xml:space="preserve">115435321   </v>
      </c>
      <c r="O9452">
        <v>230116</v>
      </c>
    </row>
    <row r="9453" spans="1:15" x14ac:dyDescent="0.25">
      <c r="A9453" t="s">
        <v>16</v>
      </c>
      <c r="B9453" t="s">
        <v>3221</v>
      </c>
      <c r="C9453">
        <v>390</v>
      </c>
      <c r="D9453" t="s">
        <v>287</v>
      </c>
      <c r="E9453" t="s">
        <v>288</v>
      </c>
      <c r="F9453">
        <v>96.07</v>
      </c>
      <c r="G9453">
        <v>230111</v>
      </c>
      <c r="H9453">
        <v>4390</v>
      </c>
      <c r="I9453" t="s">
        <v>98</v>
      </c>
      <c r="J9453">
        <v>96.07</v>
      </c>
      <c r="K9453">
        <v>0</v>
      </c>
      <c r="L9453">
        <v>59501</v>
      </c>
      <c r="M9453" t="s">
        <v>69</v>
      </c>
      <c r="N9453" t="str">
        <f>"8810399     "</f>
        <v xml:space="preserve">8810399     </v>
      </c>
      <c r="O9453">
        <v>230119</v>
      </c>
    </row>
    <row r="9454" spans="1:15" x14ac:dyDescent="0.25">
      <c r="A9454" t="s">
        <v>16</v>
      </c>
      <c r="B9454" t="s">
        <v>3221</v>
      </c>
      <c r="C9454">
        <v>2537</v>
      </c>
      <c r="D9454" t="s">
        <v>287</v>
      </c>
      <c r="E9454" t="s">
        <v>288</v>
      </c>
      <c r="F9454">
        <v>447.76</v>
      </c>
      <c r="G9454">
        <v>230228</v>
      </c>
      <c r="H9454">
        <v>4390</v>
      </c>
      <c r="I9454" t="s">
        <v>98</v>
      </c>
      <c r="J9454">
        <v>447.76</v>
      </c>
      <c r="K9454">
        <v>0</v>
      </c>
      <c r="L9454">
        <v>69501</v>
      </c>
      <c r="M9454" t="s">
        <v>185</v>
      </c>
      <c r="N9454" t="str">
        <f>"8825692     "</f>
        <v xml:space="preserve">8825692     </v>
      </c>
      <c r="O9454">
        <v>230302</v>
      </c>
    </row>
    <row r="9455" spans="1:15" x14ac:dyDescent="0.25">
      <c r="A9455" t="s">
        <v>16</v>
      </c>
      <c r="B9455" t="s">
        <v>3221</v>
      </c>
      <c r="C9455">
        <v>3112</v>
      </c>
      <c r="D9455" t="s">
        <v>287</v>
      </c>
      <c r="E9455" t="s">
        <v>288</v>
      </c>
      <c r="F9455">
        <v>144.9</v>
      </c>
      <c r="G9455">
        <v>230308</v>
      </c>
      <c r="H9455">
        <v>4390</v>
      </c>
      <c r="I9455" t="s">
        <v>98</v>
      </c>
      <c r="J9455">
        <v>144.9</v>
      </c>
      <c r="K9455">
        <v>0</v>
      </c>
      <c r="L9455">
        <v>59812</v>
      </c>
      <c r="M9455" t="s">
        <v>74</v>
      </c>
      <c r="N9455" t="str">
        <f>"8827252     "</f>
        <v xml:space="preserve">8827252     </v>
      </c>
      <c r="O9455">
        <v>230309</v>
      </c>
    </row>
    <row r="9456" spans="1:15" x14ac:dyDescent="0.25">
      <c r="A9456" t="s">
        <v>16</v>
      </c>
      <c r="B9456" t="s">
        <v>3221</v>
      </c>
      <c r="C9456">
        <v>3802</v>
      </c>
      <c r="D9456" t="s">
        <v>287</v>
      </c>
      <c r="E9456" t="s">
        <v>288</v>
      </c>
      <c r="F9456">
        <v>990</v>
      </c>
      <c r="G9456">
        <v>230321</v>
      </c>
      <c r="H9456">
        <v>4390</v>
      </c>
      <c r="I9456" t="s">
        <v>98</v>
      </c>
      <c r="J9456">
        <v>990</v>
      </c>
      <c r="K9456">
        <v>0</v>
      </c>
      <c r="L9456">
        <v>17951</v>
      </c>
      <c r="M9456" t="s">
        <v>87</v>
      </c>
      <c r="N9456" t="str">
        <f>"8830886     "</f>
        <v xml:space="preserve">8830886     </v>
      </c>
      <c r="O9456">
        <v>230322</v>
      </c>
    </row>
    <row r="9457" spans="1:15" x14ac:dyDescent="0.25">
      <c r="A9457" t="s">
        <v>16</v>
      </c>
      <c r="B9457" t="s">
        <v>3221</v>
      </c>
      <c r="C9457">
        <v>3894</v>
      </c>
      <c r="D9457" t="s">
        <v>287</v>
      </c>
      <c r="E9457" t="s">
        <v>288</v>
      </c>
      <c r="F9457">
        <v>159</v>
      </c>
      <c r="G9457">
        <v>230323</v>
      </c>
      <c r="H9457">
        <v>4390</v>
      </c>
      <c r="I9457" t="s">
        <v>98</v>
      </c>
      <c r="J9457">
        <v>197.16</v>
      </c>
      <c r="K9457">
        <v>38.159999999999997</v>
      </c>
      <c r="L9457">
        <v>17951</v>
      </c>
      <c r="M9457" t="s">
        <v>87</v>
      </c>
      <c r="N9457" t="str">
        <f>"8831610     "</f>
        <v xml:space="preserve">8831610     </v>
      </c>
      <c r="O9457">
        <v>230324</v>
      </c>
    </row>
    <row r="9458" spans="1:15" x14ac:dyDescent="0.25">
      <c r="A9458" t="s">
        <v>16</v>
      </c>
      <c r="B9458" t="s">
        <v>3221</v>
      </c>
      <c r="C9458">
        <v>4639</v>
      </c>
      <c r="D9458" t="s">
        <v>287</v>
      </c>
      <c r="E9458" t="s">
        <v>288</v>
      </c>
      <c r="F9458">
        <v>768.36</v>
      </c>
      <c r="G9458">
        <v>230403</v>
      </c>
      <c r="H9458">
        <v>4390</v>
      </c>
      <c r="I9458" t="s">
        <v>98</v>
      </c>
      <c r="J9458">
        <v>768.36</v>
      </c>
      <c r="K9458">
        <v>0</v>
      </c>
      <c r="L9458">
        <v>69501</v>
      </c>
      <c r="M9458" t="s">
        <v>185</v>
      </c>
      <c r="N9458" t="str">
        <f>"115441443   "</f>
        <v xml:space="preserve">115441443   </v>
      </c>
      <c r="O9458">
        <v>230411</v>
      </c>
    </row>
    <row r="9459" spans="1:15" x14ac:dyDescent="0.25">
      <c r="A9459" t="s">
        <v>16</v>
      </c>
      <c r="B9459" t="s">
        <v>3221</v>
      </c>
      <c r="C9459">
        <v>5137</v>
      </c>
      <c r="D9459" t="s">
        <v>287</v>
      </c>
      <c r="E9459" t="s">
        <v>288</v>
      </c>
      <c r="F9459">
        <v>216.93</v>
      </c>
      <c r="G9459">
        <v>230403</v>
      </c>
      <c r="H9459">
        <v>4390</v>
      </c>
      <c r="I9459" t="s">
        <v>98</v>
      </c>
      <c r="J9459">
        <v>216.93</v>
      </c>
      <c r="K9459">
        <v>0</v>
      </c>
      <c r="L9459">
        <v>59505</v>
      </c>
      <c r="M9459" t="s">
        <v>72</v>
      </c>
      <c r="N9459" t="str">
        <f>"115445528   "</f>
        <v xml:space="preserve">115445528   </v>
      </c>
      <c r="O9459">
        <v>230418</v>
      </c>
    </row>
    <row r="9460" spans="1:15" x14ac:dyDescent="0.25">
      <c r="A9460" t="s">
        <v>16</v>
      </c>
      <c r="B9460" t="s">
        <v>3221</v>
      </c>
      <c r="C9460">
        <v>5137</v>
      </c>
      <c r="D9460" t="s">
        <v>287</v>
      </c>
      <c r="E9460" t="s">
        <v>288</v>
      </c>
      <c r="F9460">
        <v>240.96</v>
      </c>
      <c r="G9460">
        <v>230403</v>
      </c>
      <c r="H9460">
        <v>4390</v>
      </c>
      <c r="I9460" t="s">
        <v>98</v>
      </c>
      <c r="J9460">
        <v>240.96</v>
      </c>
      <c r="K9460">
        <v>0</v>
      </c>
      <c r="L9460">
        <v>59812</v>
      </c>
      <c r="M9460" t="s">
        <v>74</v>
      </c>
      <c r="N9460" t="str">
        <f>"115445528   "</f>
        <v xml:space="preserve">115445528   </v>
      </c>
      <c r="O9460">
        <v>230418</v>
      </c>
    </row>
    <row r="9461" spans="1:15" x14ac:dyDescent="0.25">
      <c r="A9461" t="s">
        <v>16</v>
      </c>
      <c r="B9461" t="s">
        <v>3221</v>
      </c>
      <c r="C9461">
        <v>9633</v>
      </c>
      <c r="D9461" t="s">
        <v>287</v>
      </c>
      <c r="E9461" t="s">
        <v>288</v>
      </c>
      <c r="F9461">
        <v>216.93</v>
      </c>
      <c r="G9461">
        <v>230703</v>
      </c>
      <c r="H9461">
        <v>4390</v>
      </c>
      <c r="I9461" t="s">
        <v>98</v>
      </c>
      <c r="J9461">
        <v>216.93</v>
      </c>
      <c r="K9461">
        <v>0</v>
      </c>
      <c r="L9461">
        <v>59505</v>
      </c>
      <c r="M9461" t="s">
        <v>72</v>
      </c>
      <c r="N9461" t="str">
        <f>"115450410   "</f>
        <v xml:space="preserve">115450410   </v>
      </c>
      <c r="O9461">
        <v>230718</v>
      </c>
    </row>
    <row r="9462" spans="1:15" x14ac:dyDescent="0.25">
      <c r="A9462" t="s">
        <v>16</v>
      </c>
      <c r="B9462" t="s">
        <v>3221</v>
      </c>
      <c r="C9462">
        <v>9633</v>
      </c>
      <c r="D9462" t="s">
        <v>287</v>
      </c>
      <c r="E9462" t="s">
        <v>288</v>
      </c>
      <c r="F9462">
        <v>240.96</v>
      </c>
      <c r="G9462">
        <v>230703</v>
      </c>
      <c r="H9462">
        <v>4390</v>
      </c>
      <c r="I9462" t="s">
        <v>98</v>
      </c>
      <c r="J9462">
        <v>240.96</v>
      </c>
      <c r="K9462">
        <v>0</v>
      </c>
      <c r="L9462">
        <v>59812</v>
      </c>
      <c r="M9462" t="s">
        <v>74</v>
      </c>
      <c r="N9462" t="str">
        <f>"115450410   "</f>
        <v xml:space="preserve">115450410   </v>
      </c>
      <c r="O9462">
        <v>230718</v>
      </c>
    </row>
    <row r="9463" spans="1:15" x14ac:dyDescent="0.25">
      <c r="A9463" t="s">
        <v>16</v>
      </c>
      <c r="B9463" t="s">
        <v>3221</v>
      </c>
      <c r="C9463">
        <v>9657</v>
      </c>
      <c r="D9463" t="s">
        <v>287</v>
      </c>
      <c r="E9463" t="s">
        <v>288</v>
      </c>
      <c r="F9463">
        <v>333.39</v>
      </c>
      <c r="G9463">
        <v>230703</v>
      </c>
      <c r="H9463">
        <v>4390</v>
      </c>
      <c r="I9463" t="s">
        <v>98</v>
      </c>
      <c r="J9463">
        <v>333.39</v>
      </c>
      <c r="K9463">
        <v>0</v>
      </c>
      <c r="L9463">
        <v>59504</v>
      </c>
      <c r="M9463" t="s">
        <v>71</v>
      </c>
      <c r="N9463" t="str">
        <f>"115450531   "</f>
        <v xml:space="preserve">115450531   </v>
      </c>
      <c r="O9463">
        <v>230718</v>
      </c>
    </row>
    <row r="9464" spans="1:15" x14ac:dyDescent="0.25">
      <c r="A9464" t="s">
        <v>16</v>
      </c>
      <c r="B9464" t="s">
        <v>3221</v>
      </c>
      <c r="C9464">
        <v>12882</v>
      </c>
      <c r="D9464" t="s">
        <v>287</v>
      </c>
      <c r="E9464" t="s">
        <v>288</v>
      </c>
      <c r="F9464">
        <v>107.91</v>
      </c>
      <c r="G9464">
        <v>230927</v>
      </c>
      <c r="H9464">
        <v>4390</v>
      </c>
      <c r="I9464" t="s">
        <v>98</v>
      </c>
      <c r="J9464">
        <v>107.91</v>
      </c>
      <c r="K9464">
        <v>0</v>
      </c>
      <c r="L9464">
        <v>17951</v>
      </c>
      <c r="M9464" t="s">
        <v>87</v>
      </c>
      <c r="N9464" t="str">
        <f>"8876001     "</f>
        <v xml:space="preserve">8876001     </v>
      </c>
      <c r="O9464">
        <v>230929</v>
      </c>
    </row>
    <row r="9465" spans="1:15" x14ac:dyDescent="0.25">
      <c r="A9465" t="s">
        <v>16</v>
      </c>
      <c r="B9465" t="s">
        <v>3221</v>
      </c>
      <c r="C9465">
        <v>12883</v>
      </c>
      <c r="D9465" t="s">
        <v>287</v>
      </c>
      <c r="E9465" t="s">
        <v>288</v>
      </c>
      <c r="F9465">
        <v>324.60000000000002</v>
      </c>
      <c r="G9465">
        <v>230927</v>
      </c>
      <c r="H9465">
        <v>4390</v>
      </c>
      <c r="I9465" t="s">
        <v>98</v>
      </c>
      <c r="J9465">
        <v>324.60000000000002</v>
      </c>
      <c r="K9465">
        <v>0</v>
      </c>
      <c r="L9465">
        <v>17951</v>
      </c>
      <c r="M9465" t="s">
        <v>87</v>
      </c>
      <c r="N9465" t="str">
        <f>"8876000     "</f>
        <v xml:space="preserve">8876000     </v>
      </c>
      <c r="O9465">
        <v>230929</v>
      </c>
    </row>
    <row r="9466" spans="1:15" x14ac:dyDescent="0.25">
      <c r="A9466" t="s">
        <v>16</v>
      </c>
      <c r="B9466" t="s">
        <v>3221</v>
      </c>
      <c r="C9466">
        <v>13798</v>
      </c>
      <c r="D9466" t="s">
        <v>287</v>
      </c>
      <c r="E9466" t="s">
        <v>288</v>
      </c>
      <c r="F9466">
        <v>333.39</v>
      </c>
      <c r="G9466">
        <v>231002</v>
      </c>
      <c r="H9466">
        <v>4390</v>
      </c>
      <c r="I9466" t="s">
        <v>98</v>
      </c>
      <c r="J9466">
        <v>333.39</v>
      </c>
      <c r="K9466">
        <v>0</v>
      </c>
      <c r="L9466">
        <v>59504</v>
      </c>
      <c r="M9466" t="s">
        <v>71</v>
      </c>
      <c r="N9466" t="str">
        <f>"115465237   "</f>
        <v xml:space="preserve">115465237   </v>
      </c>
      <c r="O9466">
        <v>231013</v>
      </c>
    </row>
    <row r="9467" spans="1:15" x14ac:dyDescent="0.25">
      <c r="A9467" t="s">
        <v>16</v>
      </c>
      <c r="B9467" t="s">
        <v>3221</v>
      </c>
      <c r="C9467">
        <v>13812</v>
      </c>
      <c r="D9467" t="s">
        <v>287</v>
      </c>
      <c r="E9467" t="s">
        <v>288</v>
      </c>
      <c r="F9467">
        <v>240.96</v>
      </c>
      <c r="G9467">
        <v>231002</v>
      </c>
      <c r="H9467">
        <v>4390</v>
      </c>
      <c r="I9467" t="s">
        <v>98</v>
      </c>
      <c r="J9467">
        <v>240.96</v>
      </c>
      <c r="K9467">
        <v>0</v>
      </c>
      <c r="L9467">
        <v>59505</v>
      </c>
      <c r="M9467" t="s">
        <v>72</v>
      </c>
      <c r="N9467" t="str">
        <f>"115465200   "</f>
        <v xml:space="preserve">115465200   </v>
      </c>
      <c r="O9467">
        <v>231013</v>
      </c>
    </row>
    <row r="9468" spans="1:15" x14ac:dyDescent="0.25">
      <c r="A9468" t="s">
        <v>16</v>
      </c>
      <c r="B9468" t="s">
        <v>3221</v>
      </c>
      <c r="C9468">
        <v>13812</v>
      </c>
      <c r="D9468" t="s">
        <v>287</v>
      </c>
      <c r="E9468" t="s">
        <v>288</v>
      </c>
      <c r="F9468">
        <v>216.93</v>
      </c>
      <c r="G9468">
        <v>231002</v>
      </c>
      <c r="H9468">
        <v>4390</v>
      </c>
      <c r="I9468" t="s">
        <v>98</v>
      </c>
      <c r="J9468">
        <v>216.93</v>
      </c>
      <c r="K9468">
        <v>0</v>
      </c>
      <c r="L9468">
        <v>59812</v>
      </c>
      <c r="M9468" t="s">
        <v>74</v>
      </c>
      <c r="N9468" t="str">
        <f>"115465200   "</f>
        <v xml:space="preserve">115465200   </v>
      </c>
      <c r="O9468">
        <v>231013</v>
      </c>
    </row>
    <row r="9469" spans="1:15" x14ac:dyDescent="0.25">
      <c r="A9469" t="s">
        <v>16</v>
      </c>
      <c r="B9469" t="s">
        <v>3221</v>
      </c>
      <c r="C9469">
        <v>14945</v>
      </c>
      <c r="D9469" t="s">
        <v>287</v>
      </c>
      <c r="E9469" t="s">
        <v>288</v>
      </c>
      <c r="F9469">
        <v>400.4</v>
      </c>
      <c r="G9469">
        <v>231101</v>
      </c>
      <c r="H9469">
        <v>4390</v>
      </c>
      <c r="I9469" t="s">
        <v>98</v>
      </c>
      <c r="J9469">
        <v>400.4</v>
      </c>
      <c r="K9469">
        <v>0</v>
      </c>
      <c r="L9469">
        <v>17951</v>
      </c>
      <c r="M9469" t="s">
        <v>87</v>
      </c>
      <c r="N9469" t="str">
        <f>"8885890     "</f>
        <v xml:space="preserve">8885890     </v>
      </c>
      <c r="O9469">
        <v>231107</v>
      </c>
    </row>
    <row r="9470" spans="1:15" x14ac:dyDescent="0.25">
      <c r="A9470" t="s">
        <v>16</v>
      </c>
      <c r="B9470" t="s">
        <v>3221</v>
      </c>
      <c r="C9470">
        <v>17029</v>
      </c>
      <c r="D9470" t="s">
        <v>287</v>
      </c>
      <c r="E9470" t="s">
        <v>288</v>
      </c>
      <c r="F9470">
        <v>188.86</v>
      </c>
      <c r="G9470">
        <v>231201</v>
      </c>
      <c r="H9470">
        <v>4390</v>
      </c>
      <c r="I9470" t="s">
        <v>98</v>
      </c>
      <c r="J9470">
        <v>188.86</v>
      </c>
      <c r="K9470">
        <v>0</v>
      </c>
      <c r="L9470">
        <v>59502</v>
      </c>
      <c r="M9470" t="s">
        <v>70</v>
      </c>
      <c r="N9470" t="str">
        <f>"8894332     "</f>
        <v xml:space="preserve">8894332     </v>
      </c>
      <c r="O9470">
        <v>231212</v>
      </c>
    </row>
    <row r="9471" spans="1:15" x14ac:dyDescent="0.25">
      <c r="A9471" t="s">
        <v>16</v>
      </c>
      <c r="B9471" t="s">
        <v>3221</v>
      </c>
      <c r="C9471">
        <v>17029</v>
      </c>
      <c r="D9471" t="s">
        <v>287</v>
      </c>
      <c r="E9471" t="s">
        <v>288</v>
      </c>
      <c r="F9471">
        <v>120.74</v>
      </c>
      <c r="G9471">
        <v>231201</v>
      </c>
      <c r="H9471">
        <v>4390</v>
      </c>
      <c r="I9471" t="s">
        <v>98</v>
      </c>
      <c r="J9471">
        <v>120.74</v>
      </c>
      <c r="K9471">
        <v>0</v>
      </c>
      <c r="L9471">
        <v>59802</v>
      </c>
      <c r="M9471" t="s">
        <v>73</v>
      </c>
      <c r="N9471" t="str">
        <f>"8894332     "</f>
        <v xml:space="preserve">8894332     </v>
      </c>
      <c r="O9471">
        <v>231212</v>
      </c>
    </row>
    <row r="9472" spans="1:15" x14ac:dyDescent="0.25">
      <c r="A9472" t="s">
        <v>16</v>
      </c>
      <c r="B9472" t="s">
        <v>3221</v>
      </c>
      <c r="C9472">
        <v>18804</v>
      </c>
      <c r="D9472" t="s">
        <v>287</v>
      </c>
      <c r="E9472" t="s">
        <v>288</v>
      </c>
      <c r="F9472">
        <v>1335.18</v>
      </c>
      <c r="G9472">
        <v>231228</v>
      </c>
      <c r="H9472">
        <v>4390</v>
      </c>
      <c r="I9472" t="s">
        <v>98</v>
      </c>
      <c r="J9472">
        <v>1335.18</v>
      </c>
      <c r="K9472">
        <v>0</v>
      </c>
      <c r="L9472">
        <v>59502</v>
      </c>
      <c r="M9472" t="s">
        <v>70</v>
      </c>
      <c r="N9472" t="str">
        <f>"8901117     "</f>
        <v xml:space="preserve">8901117     </v>
      </c>
      <c r="O9472">
        <v>240108</v>
      </c>
    </row>
    <row r="9473" spans="1:15" x14ac:dyDescent="0.25">
      <c r="A9473" t="s">
        <v>16</v>
      </c>
      <c r="B9473" t="s">
        <v>3221</v>
      </c>
      <c r="C9473">
        <v>2916</v>
      </c>
      <c r="D9473" t="s">
        <v>1496</v>
      </c>
      <c r="E9473" t="s">
        <v>1497</v>
      </c>
      <c r="F9473">
        <v>87.1</v>
      </c>
      <c r="G9473">
        <v>230223</v>
      </c>
      <c r="H9473">
        <v>4600</v>
      </c>
      <c r="I9473" t="s">
        <v>105</v>
      </c>
      <c r="J9473">
        <v>108</v>
      </c>
      <c r="K9473">
        <v>20.9</v>
      </c>
      <c r="L9473">
        <v>67522</v>
      </c>
      <c r="M9473" t="s">
        <v>397</v>
      </c>
      <c r="N9473" t="str">
        <f>"17619       "</f>
        <v xml:space="preserve">17619       </v>
      </c>
      <c r="O9473">
        <v>230308</v>
      </c>
    </row>
    <row r="9474" spans="1:15" x14ac:dyDescent="0.25">
      <c r="A9474" t="s">
        <v>16</v>
      </c>
      <c r="B9474" t="s">
        <v>3221</v>
      </c>
      <c r="C9474">
        <v>8109</v>
      </c>
      <c r="D9474" t="s">
        <v>1496</v>
      </c>
      <c r="E9474" t="s">
        <v>1497</v>
      </c>
      <c r="F9474">
        <v>400</v>
      </c>
      <c r="G9474">
        <v>230601</v>
      </c>
      <c r="H9474">
        <v>4600</v>
      </c>
      <c r="I9474" t="s">
        <v>105</v>
      </c>
      <c r="J9474">
        <v>496</v>
      </c>
      <c r="K9474">
        <v>96</v>
      </c>
      <c r="L9474">
        <v>67554</v>
      </c>
      <c r="M9474" t="s">
        <v>60</v>
      </c>
      <c r="N9474" t="str">
        <f>"17677       "</f>
        <v xml:space="preserve">17677       </v>
      </c>
      <c r="O9474">
        <v>230607</v>
      </c>
    </row>
    <row r="9475" spans="1:15" x14ac:dyDescent="0.25">
      <c r="A9475" t="s">
        <v>16</v>
      </c>
      <c r="B9475" t="s">
        <v>3221</v>
      </c>
      <c r="C9475">
        <v>17788</v>
      </c>
      <c r="D9475" t="s">
        <v>1496</v>
      </c>
      <c r="E9475" t="s">
        <v>1497</v>
      </c>
      <c r="F9475">
        <v>8.8699999999999992</v>
      </c>
      <c r="G9475">
        <v>231213</v>
      </c>
      <c r="H9475">
        <v>4600</v>
      </c>
      <c r="I9475" t="s">
        <v>105</v>
      </c>
      <c r="J9475">
        <v>11</v>
      </c>
      <c r="K9475">
        <v>2.13</v>
      </c>
      <c r="L9475">
        <v>67554</v>
      </c>
      <c r="M9475" t="s">
        <v>60</v>
      </c>
      <c r="N9475" t="str">
        <f>"17792       "</f>
        <v xml:space="preserve">17792       </v>
      </c>
      <c r="O9475">
        <v>231227</v>
      </c>
    </row>
    <row r="9476" spans="1:15" x14ac:dyDescent="0.25">
      <c r="A9476" t="s">
        <v>16</v>
      </c>
      <c r="B9476" t="s">
        <v>3221</v>
      </c>
      <c r="C9476">
        <v>17788</v>
      </c>
      <c r="D9476" t="s">
        <v>1496</v>
      </c>
      <c r="E9476" t="s">
        <v>1497</v>
      </c>
      <c r="F9476">
        <v>77.42</v>
      </c>
      <c r="G9476">
        <v>231213</v>
      </c>
      <c r="H9476">
        <v>4600</v>
      </c>
      <c r="I9476" t="s">
        <v>105</v>
      </c>
      <c r="J9476">
        <v>96</v>
      </c>
      <c r="K9476">
        <v>18.579999999999998</v>
      </c>
      <c r="L9476">
        <v>67554</v>
      </c>
      <c r="M9476" t="s">
        <v>60</v>
      </c>
      <c r="N9476" t="str">
        <f>"17792       "</f>
        <v xml:space="preserve">17792       </v>
      </c>
      <c r="O9476">
        <v>231227</v>
      </c>
    </row>
    <row r="9477" spans="1:15" x14ac:dyDescent="0.25">
      <c r="A9477" t="s">
        <v>16</v>
      </c>
      <c r="B9477" t="s">
        <v>3221</v>
      </c>
      <c r="C9477">
        <v>8460</v>
      </c>
      <c r="D9477" t="s">
        <v>3653</v>
      </c>
      <c r="E9477" t="s">
        <v>2184</v>
      </c>
      <c r="F9477">
        <v>1384.2</v>
      </c>
      <c r="G9477">
        <v>230607</v>
      </c>
      <c r="H9477">
        <v>4470</v>
      </c>
      <c r="I9477" t="s">
        <v>83</v>
      </c>
      <c r="J9477">
        <v>1716.41</v>
      </c>
      <c r="K9477">
        <v>332.21</v>
      </c>
      <c r="L9477">
        <v>17737</v>
      </c>
      <c r="M9477" t="s">
        <v>279</v>
      </c>
      <c r="N9477" t="str">
        <f>"627         "</f>
        <v xml:space="preserve">627         </v>
      </c>
      <c r="O9477">
        <v>230609</v>
      </c>
    </row>
    <row r="9478" spans="1:15" x14ac:dyDescent="0.25">
      <c r="A9478" t="s">
        <v>16</v>
      </c>
      <c r="B9478" t="s">
        <v>3221</v>
      </c>
      <c r="C9478">
        <v>16046</v>
      </c>
      <c r="D9478" t="s">
        <v>3653</v>
      </c>
      <c r="E9478" t="s">
        <v>2184</v>
      </c>
      <c r="F9478">
        <v>1972.6</v>
      </c>
      <c r="G9478">
        <v>231117</v>
      </c>
      <c r="H9478">
        <v>4470</v>
      </c>
      <c r="I9478" t="s">
        <v>83</v>
      </c>
      <c r="J9478">
        <v>2446.02</v>
      </c>
      <c r="K9478">
        <v>473.42</v>
      </c>
      <c r="L9478">
        <v>17737</v>
      </c>
      <c r="M9478" t="s">
        <v>279</v>
      </c>
      <c r="N9478" t="str">
        <f>"628         "</f>
        <v xml:space="preserve">628         </v>
      </c>
      <c r="O9478">
        <v>231122</v>
      </c>
    </row>
    <row r="9479" spans="1:15" x14ac:dyDescent="0.25">
      <c r="A9479" t="s">
        <v>16</v>
      </c>
      <c r="B9479" t="s">
        <v>3221</v>
      </c>
      <c r="C9479">
        <v>13164</v>
      </c>
      <c r="D9479" t="s">
        <v>2640</v>
      </c>
      <c r="E9479" t="s">
        <v>2641</v>
      </c>
      <c r="F9479">
        <v>75</v>
      </c>
      <c r="G9479">
        <v>230926</v>
      </c>
      <c r="H9479">
        <v>4600</v>
      </c>
      <c r="I9479" t="s">
        <v>105</v>
      </c>
      <c r="J9479">
        <v>75</v>
      </c>
      <c r="K9479">
        <v>0</v>
      </c>
      <c r="L9479">
        <v>56565</v>
      </c>
      <c r="M9479" t="s">
        <v>758</v>
      </c>
      <c r="N9479" t="str">
        <f>"290923      "</f>
        <v xml:space="preserve">290923      </v>
      </c>
      <c r="O9479">
        <v>231004</v>
      </c>
    </row>
    <row r="9480" spans="1:15" x14ac:dyDescent="0.25">
      <c r="A9480" t="s">
        <v>16</v>
      </c>
      <c r="B9480" t="s">
        <v>3221</v>
      </c>
      <c r="C9480">
        <v>656</v>
      </c>
      <c r="D9480" t="s">
        <v>671</v>
      </c>
      <c r="E9480" t="s">
        <v>672</v>
      </c>
      <c r="F9480">
        <v>175</v>
      </c>
      <c r="G9480">
        <v>230123</v>
      </c>
      <c r="H9480">
        <v>4400</v>
      </c>
      <c r="I9480" t="s">
        <v>348</v>
      </c>
      <c r="J9480">
        <v>217</v>
      </c>
      <c r="K9480">
        <v>42</v>
      </c>
      <c r="L9480">
        <v>56558</v>
      </c>
      <c r="M9480" t="s">
        <v>217</v>
      </c>
      <c r="N9480" t="str">
        <f>"205340163   "</f>
        <v xml:space="preserve">205340163   </v>
      </c>
      <c r="O9480">
        <v>230126</v>
      </c>
    </row>
    <row r="9481" spans="1:15" x14ac:dyDescent="0.25">
      <c r="A9481" t="s">
        <v>16</v>
      </c>
      <c r="B9481" t="s">
        <v>3221</v>
      </c>
      <c r="C9481">
        <v>657</v>
      </c>
      <c r="D9481" t="s">
        <v>671</v>
      </c>
      <c r="E9481" t="s">
        <v>672</v>
      </c>
      <c r="F9481">
        <v>87.5</v>
      </c>
      <c r="G9481">
        <v>230123</v>
      </c>
      <c r="H9481">
        <v>4400</v>
      </c>
      <c r="I9481" t="s">
        <v>348</v>
      </c>
      <c r="J9481">
        <v>108.5</v>
      </c>
      <c r="K9481">
        <v>21</v>
      </c>
      <c r="L9481">
        <v>56558</v>
      </c>
      <c r="M9481" t="s">
        <v>217</v>
      </c>
      <c r="N9481" t="str">
        <f>"205340164   "</f>
        <v xml:space="preserve">205340164   </v>
      </c>
      <c r="O9481">
        <v>230126</v>
      </c>
    </row>
    <row r="9482" spans="1:15" x14ac:dyDescent="0.25">
      <c r="A9482" t="s">
        <v>16</v>
      </c>
      <c r="B9482" t="s">
        <v>3221</v>
      </c>
      <c r="C9482">
        <v>1132</v>
      </c>
      <c r="D9482" t="s">
        <v>671</v>
      </c>
      <c r="E9482" t="s">
        <v>672</v>
      </c>
      <c r="F9482">
        <v>719.54</v>
      </c>
      <c r="G9482">
        <v>230131</v>
      </c>
      <c r="H9482">
        <v>4400</v>
      </c>
      <c r="I9482" t="s">
        <v>348</v>
      </c>
      <c r="J9482">
        <v>892.23</v>
      </c>
      <c r="K9482">
        <v>172.69</v>
      </c>
      <c r="L9482">
        <v>56558</v>
      </c>
      <c r="M9482" t="s">
        <v>217</v>
      </c>
      <c r="N9482" t="str">
        <f>"205342942   "</f>
        <v xml:space="preserve">205342942   </v>
      </c>
      <c r="O9482">
        <v>230206</v>
      </c>
    </row>
    <row r="9483" spans="1:15" x14ac:dyDescent="0.25">
      <c r="A9483" t="s">
        <v>16</v>
      </c>
      <c r="B9483" t="s">
        <v>3221</v>
      </c>
      <c r="C9483">
        <v>3864</v>
      </c>
      <c r="D9483" t="s">
        <v>671</v>
      </c>
      <c r="E9483" t="s">
        <v>672</v>
      </c>
      <c r="F9483">
        <v>239.31</v>
      </c>
      <c r="G9483">
        <v>230316</v>
      </c>
      <c r="H9483">
        <v>4400</v>
      </c>
      <c r="I9483" t="s">
        <v>348</v>
      </c>
      <c r="J9483">
        <v>296.74</v>
      </c>
      <c r="K9483">
        <v>57.43</v>
      </c>
      <c r="L9483">
        <v>56558</v>
      </c>
      <c r="M9483" t="s">
        <v>217</v>
      </c>
      <c r="N9483" t="str">
        <f>"205356234   "</f>
        <v xml:space="preserve">205356234   </v>
      </c>
      <c r="O9483">
        <v>230323</v>
      </c>
    </row>
    <row r="9484" spans="1:15" x14ac:dyDescent="0.25">
      <c r="A9484" t="s">
        <v>16</v>
      </c>
      <c r="B9484" t="s">
        <v>3221</v>
      </c>
      <c r="C9484">
        <v>4043</v>
      </c>
      <c r="D9484" t="s">
        <v>671</v>
      </c>
      <c r="E9484" t="s">
        <v>672</v>
      </c>
      <c r="F9484">
        <v>925.94</v>
      </c>
      <c r="G9484">
        <v>230328</v>
      </c>
      <c r="H9484">
        <v>4400</v>
      </c>
      <c r="I9484" t="s">
        <v>348</v>
      </c>
      <c r="J9484">
        <v>1148.17</v>
      </c>
      <c r="K9484">
        <v>222.23</v>
      </c>
      <c r="L9484">
        <v>56558</v>
      </c>
      <c r="M9484" t="s">
        <v>217</v>
      </c>
      <c r="N9484" t="str">
        <f>"205360018   "</f>
        <v xml:space="preserve">205360018   </v>
      </c>
      <c r="O9484">
        <v>230329</v>
      </c>
    </row>
    <row r="9485" spans="1:15" x14ac:dyDescent="0.25">
      <c r="A9485" t="s">
        <v>16</v>
      </c>
      <c r="B9485" t="s">
        <v>3221</v>
      </c>
      <c r="C9485">
        <v>5107</v>
      </c>
      <c r="D9485" t="s">
        <v>671</v>
      </c>
      <c r="E9485" t="s">
        <v>672</v>
      </c>
      <c r="F9485">
        <v>525</v>
      </c>
      <c r="G9485">
        <v>230413</v>
      </c>
      <c r="H9485">
        <v>4400</v>
      </c>
      <c r="I9485" t="s">
        <v>348</v>
      </c>
      <c r="J9485">
        <v>651</v>
      </c>
      <c r="K9485">
        <v>126</v>
      </c>
      <c r="L9485">
        <v>56558</v>
      </c>
      <c r="M9485" t="s">
        <v>217</v>
      </c>
      <c r="N9485" t="str">
        <f>"205364074   "</f>
        <v xml:space="preserve">205364074   </v>
      </c>
      <c r="O9485">
        <v>230418</v>
      </c>
    </row>
    <row r="9486" spans="1:15" x14ac:dyDescent="0.25">
      <c r="A9486" t="s">
        <v>16</v>
      </c>
      <c r="B9486" t="s">
        <v>3221</v>
      </c>
      <c r="C9486">
        <v>6119</v>
      </c>
      <c r="D9486" t="s">
        <v>671</v>
      </c>
      <c r="E9486" t="s">
        <v>672</v>
      </c>
      <c r="F9486">
        <v>1328.48</v>
      </c>
      <c r="G9486">
        <v>230428</v>
      </c>
      <c r="H9486">
        <v>4400</v>
      </c>
      <c r="I9486" t="s">
        <v>348</v>
      </c>
      <c r="J9486">
        <v>1647.32</v>
      </c>
      <c r="K9486">
        <v>318.83999999999997</v>
      </c>
      <c r="L9486">
        <v>46554</v>
      </c>
      <c r="M9486" t="s">
        <v>117</v>
      </c>
      <c r="N9486" t="str">
        <f>"205368778   "</f>
        <v xml:space="preserve">205368778   </v>
      </c>
      <c r="O9486">
        <v>230508</v>
      </c>
    </row>
    <row r="9487" spans="1:15" x14ac:dyDescent="0.25">
      <c r="A9487" t="s">
        <v>16</v>
      </c>
      <c r="B9487" t="s">
        <v>3221</v>
      </c>
      <c r="C9487">
        <v>9438</v>
      </c>
      <c r="D9487" t="s">
        <v>671</v>
      </c>
      <c r="E9487" t="s">
        <v>672</v>
      </c>
      <c r="F9487">
        <v>1541.71</v>
      </c>
      <c r="G9487">
        <v>230705</v>
      </c>
      <c r="H9487">
        <v>4400</v>
      </c>
      <c r="I9487" t="s">
        <v>348</v>
      </c>
      <c r="J9487">
        <v>1911.72</v>
      </c>
      <c r="K9487">
        <v>370.01</v>
      </c>
      <c r="L9487">
        <v>56558</v>
      </c>
      <c r="M9487" t="s">
        <v>217</v>
      </c>
      <c r="N9487" t="str">
        <f>"205388808   "</f>
        <v xml:space="preserve">205388808   </v>
      </c>
      <c r="O9487">
        <v>230711</v>
      </c>
    </row>
    <row r="9488" spans="1:15" x14ac:dyDescent="0.25">
      <c r="A9488" t="s">
        <v>16</v>
      </c>
      <c r="B9488" t="s">
        <v>3221</v>
      </c>
      <c r="C9488">
        <v>15940</v>
      </c>
      <c r="D9488" t="s">
        <v>671</v>
      </c>
      <c r="E9488" t="s">
        <v>672</v>
      </c>
      <c r="F9488">
        <v>2571.19</v>
      </c>
      <c r="G9488">
        <v>231114</v>
      </c>
      <c r="H9488">
        <v>4400</v>
      </c>
      <c r="I9488" t="s">
        <v>348</v>
      </c>
      <c r="J9488">
        <v>3188.28</v>
      </c>
      <c r="K9488">
        <v>617.09</v>
      </c>
      <c r="L9488">
        <v>46554</v>
      </c>
      <c r="M9488" t="s">
        <v>117</v>
      </c>
      <c r="N9488" t="str">
        <f>"205427665   "</f>
        <v xml:space="preserve">205427665   </v>
      </c>
      <c r="O9488">
        <v>231122</v>
      </c>
    </row>
    <row r="9489" spans="1:15" x14ac:dyDescent="0.25">
      <c r="A9489" t="s">
        <v>16</v>
      </c>
      <c r="B9489" t="s">
        <v>3221</v>
      </c>
      <c r="C9489">
        <v>16013</v>
      </c>
      <c r="D9489" t="s">
        <v>671</v>
      </c>
      <c r="E9489" t="s">
        <v>672</v>
      </c>
      <c r="F9489">
        <v>395.81</v>
      </c>
      <c r="G9489">
        <v>231117</v>
      </c>
      <c r="H9489">
        <v>4400</v>
      </c>
      <c r="I9489" t="s">
        <v>348</v>
      </c>
      <c r="J9489">
        <v>490.8</v>
      </c>
      <c r="K9489">
        <v>94.99</v>
      </c>
      <c r="L9489">
        <v>66756</v>
      </c>
      <c r="M9489" t="s">
        <v>209</v>
      </c>
      <c r="N9489" t="str">
        <f>"205429016   "</f>
        <v xml:space="preserve">205429016   </v>
      </c>
      <c r="O9489">
        <v>231122</v>
      </c>
    </row>
    <row r="9490" spans="1:15" x14ac:dyDescent="0.25">
      <c r="A9490" t="s">
        <v>16</v>
      </c>
      <c r="B9490" t="s">
        <v>3221</v>
      </c>
      <c r="C9490">
        <v>16575</v>
      </c>
      <c r="D9490" t="s">
        <v>671</v>
      </c>
      <c r="E9490" t="s">
        <v>672</v>
      </c>
      <c r="F9490">
        <v>398.57</v>
      </c>
      <c r="G9490">
        <v>231122</v>
      </c>
      <c r="H9490">
        <v>4400</v>
      </c>
      <c r="I9490" t="s">
        <v>348</v>
      </c>
      <c r="J9490">
        <v>494.23</v>
      </c>
      <c r="K9490">
        <v>95.66</v>
      </c>
      <c r="L9490">
        <v>46554</v>
      </c>
      <c r="M9490" t="s">
        <v>117</v>
      </c>
      <c r="N9490" t="str">
        <f>"205430358   "</f>
        <v xml:space="preserve">205430358   </v>
      </c>
      <c r="O9490">
        <v>231204</v>
      </c>
    </row>
    <row r="9491" spans="1:15" x14ac:dyDescent="0.25">
      <c r="A9491" t="s">
        <v>16</v>
      </c>
      <c r="B9491" t="s">
        <v>3221</v>
      </c>
      <c r="C9491">
        <v>17119</v>
      </c>
      <c r="D9491" t="s">
        <v>671</v>
      </c>
      <c r="E9491" t="s">
        <v>672</v>
      </c>
      <c r="F9491">
        <v>790</v>
      </c>
      <c r="G9491">
        <v>231130</v>
      </c>
      <c r="H9491">
        <v>4400</v>
      </c>
      <c r="I9491" t="s">
        <v>348</v>
      </c>
      <c r="J9491">
        <v>979.6</v>
      </c>
      <c r="K9491">
        <v>189.6</v>
      </c>
      <c r="L9491">
        <v>69501</v>
      </c>
      <c r="M9491" t="s">
        <v>185</v>
      </c>
      <c r="N9491" t="str">
        <f>"205433406   "</f>
        <v xml:space="preserve">205433406   </v>
      </c>
      <c r="O9491">
        <v>231212</v>
      </c>
    </row>
    <row r="9492" spans="1:15" x14ac:dyDescent="0.25">
      <c r="A9492" t="s">
        <v>16</v>
      </c>
      <c r="B9492" t="s">
        <v>3221</v>
      </c>
      <c r="C9492">
        <v>4801</v>
      </c>
      <c r="D9492" t="s">
        <v>671</v>
      </c>
      <c r="E9492" t="s">
        <v>672</v>
      </c>
      <c r="F9492">
        <v>260</v>
      </c>
      <c r="G9492">
        <v>230411</v>
      </c>
      <c r="H9492">
        <v>4840</v>
      </c>
      <c r="I9492" t="s">
        <v>19</v>
      </c>
      <c r="J9492">
        <v>322.39999999999998</v>
      </c>
      <c r="K9492">
        <v>62.4</v>
      </c>
      <c r="L9492">
        <v>56558</v>
      </c>
      <c r="M9492" t="s">
        <v>217</v>
      </c>
      <c r="N9492" t="str">
        <f>"205363555   "</f>
        <v xml:space="preserve">205363555   </v>
      </c>
      <c r="O9492">
        <v>230412</v>
      </c>
    </row>
    <row r="9493" spans="1:15" x14ac:dyDescent="0.25">
      <c r="A9493" t="s">
        <v>16</v>
      </c>
      <c r="B9493" t="s">
        <v>3221</v>
      </c>
      <c r="C9493">
        <v>9850</v>
      </c>
      <c r="D9493" t="s">
        <v>899</v>
      </c>
      <c r="E9493" t="s">
        <v>900</v>
      </c>
      <c r="F9493">
        <v>313.60000000000002</v>
      </c>
      <c r="G9493">
        <v>230714</v>
      </c>
      <c r="H9493">
        <v>4580</v>
      </c>
      <c r="I9493" t="s">
        <v>35</v>
      </c>
      <c r="J9493">
        <v>388.86</v>
      </c>
      <c r="K9493">
        <v>75.260000000000005</v>
      </c>
      <c r="L9493">
        <v>17737</v>
      </c>
      <c r="M9493" t="s">
        <v>279</v>
      </c>
      <c r="N9493" t="str">
        <f>"1868        "</f>
        <v xml:space="preserve">1868        </v>
      </c>
      <c r="O9493">
        <v>230731</v>
      </c>
    </row>
    <row r="9494" spans="1:15" x14ac:dyDescent="0.25">
      <c r="A9494" t="s">
        <v>16</v>
      </c>
      <c r="B9494" t="s">
        <v>3221</v>
      </c>
      <c r="C9494">
        <v>2810</v>
      </c>
      <c r="D9494" t="s">
        <v>899</v>
      </c>
      <c r="E9494" t="s">
        <v>900</v>
      </c>
      <c r="F9494">
        <v>1692.46</v>
      </c>
      <c r="G9494">
        <v>230224</v>
      </c>
      <c r="H9494">
        <v>4400</v>
      </c>
      <c r="I9494" t="s">
        <v>348</v>
      </c>
      <c r="J9494">
        <v>2098.65</v>
      </c>
      <c r="K9494">
        <v>406.19</v>
      </c>
      <c r="L9494">
        <v>17737</v>
      </c>
      <c r="M9494" t="s">
        <v>279</v>
      </c>
      <c r="N9494" t="str">
        <f>"1107        "</f>
        <v xml:space="preserve">1107        </v>
      </c>
      <c r="O9494">
        <v>230307</v>
      </c>
    </row>
    <row r="9495" spans="1:15" x14ac:dyDescent="0.25">
      <c r="A9495" t="s">
        <v>16</v>
      </c>
      <c r="B9495" t="s">
        <v>3221</v>
      </c>
      <c r="C9495">
        <v>3952</v>
      </c>
      <c r="D9495" t="s">
        <v>899</v>
      </c>
      <c r="E9495" t="s">
        <v>900</v>
      </c>
      <c r="F9495">
        <v>127.31</v>
      </c>
      <c r="G9495">
        <v>230327</v>
      </c>
      <c r="H9495">
        <v>4400</v>
      </c>
      <c r="I9495" t="s">
        <v>348</v>
      </c>
      <c r="J9495">
        <v>157.87</v>
      </c>
      <c r="K9495">
        <v>30.56</v>
      </c>
      <c r="L9495">
        <v>17711</v>
      </c>
      <c r="M9495" t="s">
        <v>65</v>
      </c>
      <c r="N9495" t="str">
        <f>"1205        "</f>
        <v xml:space="preserve">1205        </v>
      </c>
      <c r="O9495">
        <v>230328</v>
      </c>
    </row>
    <row r="9496" spans="1:15" x14ac:dyDescent="0.25">
      <c r="A9496" t="s">
        <v>16</v>
      </c>
      <c r="B9496" t="s">
        <v>3221</v>
      </c>
      <c r="C9496">
        <v>9014</v>
      </c>
      <c r="D9496" t="s">
        <v>899</v>
      </c>
      <c r="E9496" t="s">
        <v>900</v>
      </c>
      <c r="F9496">
        <v>1190.25</v>
      </c>
      <c r="G9496">
        <v>230620</v>
      </c>
      <c r="H9496">
        <v>4400</v>
      </c>
      <c r="I9496" t="s">
        <v>348</v>
      </c>
      <c r="J9496">
        <v>1475.91</v>
      </c>
      <c r="K9496">
        <v>285.66000000000003</v>
      </c>
      <c r="L9496">
        <v>17737</v>
      </c>
      <c r="M9496" t="s">
        <v>279</v>
      </c>
      <c r="N9496" t="str">
        <f>"1685        "</f>
        <v xml:space="preserve">1685        </v>
      </c>
      <c r="O9496">
        <v>230621</v>
      </c>
    </row>
    <row r="9497" spans="1:15" x14ac:dyDescent="0.25">
      <c r="A9497" t="s">
        <v>16</v>
      </c>
      <c r="B9497" t="s">
        <v>3221</v>
      </c>
      <c r="C9497">
        <v>14702</v>
      </c>
      <c r="D9497" t="s">
        <v>899</v>
      </c>
      <c r="E9497" t="s">
        <v>900</v>
      </c>
      <c r="F9497">
        <v>236.9</v>
      </c>
      <c r="G9497">
        <v>231022</v>
      </c>
      <c r="H9497">
        <v>4400</v>
      </c>
      <c r="I9497" t="s">
        <v>348</v>
      </c>
      <c r="J9497">
        <v>293.75</v>
      </c>
      <c r="K9497">
        <v>56.85</v>
      </c>
      <c r="L9497">
        <v>17737</v>
      </c>
      <c r="M9497" t="s">
        <v>279</v>
      </c>
      <c r="N9497" t="str">
        <f>"2337        "</f>
        <v xml:space="preserve">2337        </v>
      </c>
      <c r="O9497">
        <v>231101</v>
      </c>
    </row>
    <row r="9498" spans="1:15" x14ac:dyDescent="0.25">
      <c r="A9498" t="s">
        <v>16</v>
      </c>
      <c r="B9498" t="s">
        <v>3221</v>
      </c>
      <c r="C9498">
        <v>16712</v>
      </c>
      <c r="D9498" t="s">
        <v>899</v>
      </c>
      <c r="E9498" t="s">
        <v>900</v>
      </c>
      <c r="F9498">
        <v>35.479999999999997</v>
      </c>
      <c r="G9498">
        <v>231126</v>
      </c>
      <c r="H9498">
        <v>4400</v>
      </c>
      <c r="I9498" t="s">
        <v>348</v>
      </c>
      <c r="J9498">
        <v>44</v>
      </c>
      <c r="K9498">
        <v>8.52</v>
      </c>
      <c r="L9498">
        <v>17737</v>
      </c>
      <c r="M9498" t="s">
        <v>279</v>
      </c>
      <c r="N9498" t="str">
        <f>"2495        "</f>
        <v xml:space="preserve">2495        </v>
      </c>
      <c r="O9498">
        <v>231208</v>
      </c>
    </row>
    <row r="9499" spans="1:15" x14ac:dyDescent="0.25">
      <c r="A9499" t="s">
        <v>16</v>
      </c>
      <c r="B9499" t="s">
        <v>3221</v>
      </c>
      <c r="C9499">
        <v>18270</v>
      </c>
      <c r="D9499" t="s">
        <v>899</v>
      </c>
      <c r="E9499" t="s">
        <v>900</v>
      </c>
      <c r="F9499">
        <v>573.53</v>
      </c>
      <c r="G9499">
        <v>231221</v>
      </c>
      <c r="H9499">
        <v>4400</v>
      </c>
      <c r="I9499" t="s">
        <v>348</v>
      </c>
      <c r="J9499">
        <v>711.18</v>
      </c>
      <c r="K9499">
        <v>137.65</v>
      </c>
      <c r="L9499">
        <v>17737</v>
      </c>
      <c r="M9499" t="s">
        <v>279</v>
      </c>
      <c r="N9499" t="str">
        <f>"2636        "</f>
        <v xml:space="preserve">2636        </v>
      </c>
      <c r="O9499">
        <v>240102</v>
      </c>
    </row>
    <row r="9500" spans="1:15" x14ac:dyDescent="0.25">
      <c r="A9500" t="s">
        <v>16</v>
      </c>
      <c r="B9500" t="s">
        <v>3221</v>
      </c>
      <c r="C9500">
        <v>1128</v>
      </c>
      <c r="D9500" t="s">
        <v>899</v>
      </c>
      <c r="E9500" t="s">
        <v>900</v>
      </c>
      <c r="F9500">
        <v>579.29</v>
      </c>
      <c r="G9500">
        <v>230129</v>
      </c>
      <c r="H9500">
        <v>4600</v>
      </c>
      <c r="I9500" t="s">
        <v>105</v>
      </c>
      <c r="J9500">
        <v>718.32</v>
      </c>
      <c r="K9500">
        <v>139.03</v>
      </c>
      <c r="L9500">
        <v>17737</v>
      </c>
      <c r="M9500" t="s">
        <v>279</v>
      </c>
      <c r="N9500" t="str">
        <f>"1000        "</f>
        <v xml:space="preserve">1000        </v>
      </c>
      <c r="O9500">
        <v>230206</v>
      </c>
    </row>
    <row r="9501" spans="1:15" x14ac:dyDescent="0.25">
      <c r="A9501" t="s">
        <v>16</v>
      </c>
      <c r="B9501" t="s">
        <v>3221</v>
      </c>
      <c r="C9501">
        <v>2454</v>
      </c>
      <c r="D9501" t="s">
        <v>899</v>
      </c>
      <c r="E9501" t="s">
        <v>900</v>
      </c>
      <c r="F9501">
        <v>-1612.9</v>
      </c>
      <c r="G9501">
        <v>230216</v>
      </c>
      <c r="H9501">
        <v>4600</v>
      </c>
      <c r="I9501" t="s">
        <v>105</v>
      </c>
      <c r="J9501">
        <v>-2000</v>
      </c>
      <c r="K9501">
        <v>-387.1</v>
      </c>
      <c r="L9501">
        <v>17711</v>
      </c>
      <c r="M9501" t="s">
        <v>65</v>
      </c>
      <c r="N9501" t="str">
        <f>"1064        "</f>
        <v xml:space="preserve">1064        </v>
      </c>
      <c r="O9501">
        <v>230228</v>
      </c>
    </row>
    <row r="9502" spans="1:15" x14ac:dyDescent="0.25">
      <c r="A9502" t="s">
        <v>16</v>
      </c>
      <c r="B9502" t="s">
        <v>3221</v>
      </c>
      <c r="C9502">
        <v>2454</v>
      </c>
      <c r="D9502" t="s">
        <v>899</v>
      </c>
      <c r="E9502" t="s">
        <v>900</v>
      </c>
      <c r="F9502">
        <v>2065.4</v>
      </c>
      <c r="G9502">
        <v>230216</v>
      </c>
      <c r="H9502">
        <v>4600</v>
      </c>
      <c r="I9502" t="s">
        <v>105</v>
      </c>
      <c r="J9502">
        <v>2561.1</v>
      </c>
      <c r="K9502">
        <v>495.7</v>
      </c>
      <c r="L9502">
        <v>17737</v>
      </c>
      <c r="M9502" t="s">
        <v>279</v>
      </c>
      <c r="N9502" t="str">
        <f>"1064        "</f>
        <v xml:space="preserve">1064        </v>
      </c>
      <c r="O9502">
        <v>230228</v>
      </c>
    </row>
    <row r="9503" spans="1:15" x14ac:dyDescent="0.25">
      <c r="A9503" t="s">
        <v>16</v>
      </c>
      <c r="B9503" t="s">
        <v>3221</v>
      </c>
      <c r="C9503">
        <v>3641</v>
      </c>
      <c r="D9503" t="s">
        <v>899</v>
      </c>
      <c r="E9503" t="s">
        <v>900</v>
      </c>
      <c r="F9503">
        <v>1962.86</v>
      </c>
      <c r="G9503">
        <v>230316</v>
      </c>
      <c r="H9503">
        <v>4600</v>
      </c>
      <c r="I9503" t="s">
        <v>105</v>
      </c>
      <c r="J9503">
        <v>2433.9499999999998</v>
      </c>
      <c r="K9503">
        <v>471.09</v>
      </c>
      <c r="L9503">
        <v>17711</v>
      </c>
      <c r="M9503" t="s">
        <v>65</v>
      </c>
      <c r="N9503" t="str">
        <f>"1167        "</f>
        <v xml:space="preserve">1167        </v>
      </c>
      <c r="O9503">
        <v>230320</v>
      </c>
    </row>
    <row r="9504" spans="1:15" x14ac:dyDescent="0.25">
      <c r="A9504" t="s">
        <v>16</v>
      </c>
      <c r="B9504" t="s">
        <v>3221</v>
      </c>
      <c r="C9504">
        <v>5092</v>
      </c>
      <c r="D9504" t="s">
        <v>899</v>
      </c>
      <c r="E9504" t="s">
        <v>900</v>
      </c>
      <c r="F9504">
        <v>108.76</v>
      </c>
      <c r="G9504">
        <v>230410</v>
      </c>
      <c r="H9504">
        <v>4600</v>
      </c>
      <c r="I9504" t="s">
        <v>105</v>
      </c>
      <c r="J9504">
        <v>134.86000000000001</v>
      </c>
      <c r="K9504">
        <v>26.1</v>
      </c>
      <c r="L9504">
        <v>17737</v>
      </c>
      <c r="M9504" t="s">
        <v>279</v>
      </c>
      <c r="N9504" t="str">
        <f>"1288        "</f>
        <v xml:space="preserve">1288        </v>
      </c>
      <c r="O9504">
        <v>230418</v>
      </c>
    </row>
    <row r="9505" spans="1:15" x14ac:dyDescent="0.25">
      <c r="A9505" t="s">
        <v>16</v>
      </c>
      <c r="B9505" t="s">
        <v>3221</v>
      </c>
      <c r="C9505">
        <v>5694</v>
      </c>
      <c r="D9505" t="s">
        <v>899</v>
      </c>
      <c r="E9505" t="s">
        <v>900</v>
      </c>
      <c r="F9505">
        <v>297.58</v>
      </c>
      <c r="G9505">
        <v>230423</v>
      </c>
      <c r="H9505">
        <v>4600</v>
      </c>
      <c r="I9505" t="s">
        <v>105</v>
      </c>
      <c r="J9505">
        <v>369</v>
      </c>
      <c r="K9505">
        <v>71.42</v>
      </c>
      <c r="L9505">
        <v>17711</v>
      </c>
      <c r="M9505" t="s">
        <v>65</v>
      </c>
      <c r="N9505" t="str">
        <f>"1362        "</f>
        <v xml:space="preserve">1362        </v>
      </c>
      <c r="O9505">
        <v>230502</v>
      </c>
    </row>
    <row r="9506" spans="1:15" x14ac:dyDescent="0.25">
      <c r="A9506" t="s">
        <v>16</v>
      </c>
      <c r="B9506" t="s">
        <v>3221</v>
      </c>
      <c r="C9506">
        <v>6343</v>
      </c>
      <c r="D9506" t="s">
        <v>899</v>
      </c>
      <c r="E9506" t="s">
        <v>900</v>
      </c>
      <c r="F9506">
        <v>116.13</v>
      </c>
      <c r="G9506">
        <v>230501</v>
      </c>
      <c r="H9506">
        <v>4600</v>
      </c>
      <c r="I9506" t="s">
        <v>105</v>
      </c>
      <c r="J9506">
        <v>144</v>
      </c>
      <c r="K9506">
        <v>27.87</v>
      </c>
      <c r="L9506">
        <v>17737</v>
      </c>
      <c r="M9506" t="s">
        <v>279</v>
      </c>
      <c r="N9506" t="str">
        <f>"1403        "</f>
        <v xml:space="preserve">1403        </v>
      </c>
      <c r="O9506">
        <v>230510</v>
      </c>
    </row>
    <row r="9507" spans="1:15" x14ac:dyDescent="0.25">
      <c r="A9507" t="s">
        <v>16</v>
      </c>
      <c r="B9507" t="s">
        <v>3221</v>
      </c>
      <c r="C9507">
        <v>8448</v>
      </c>
      <c r="D9507" t="s">
        <v>899</v>
      </c>
      <c r="E9507" t="s">
        <v>900</v>
      </c>
      <c r="F9507">
        <v>29.84</v>
      </c>
      <c r="G9507">
        <v>230528</v>
      </c>
      <c r="H9507">
        <v>4600</v>
      </c>
      <c r="I9507" t="s">
        <v>105</v>
      </c>
      <c r="J9507">
        <v>37</v>
      </c>
      <c r="K9507">
        <v>7.16</v>
      </c>
      <c r="L9507">
        <v>17737</v>
      </c>
      <c r="M9507" t="s">
        <v>279</v>
      </c>
      <c r="N9507" t="str">
        <f>"1603        "</f>
        <v xml:space="preserve">1603        </v>
      </c>
      <c r="O9507">
        <v>230608</v>
      </c>
    </row>
    <row r="9508" spans="1:15" x14ac:dyDescent="0.25">
      <c r="A9508" t="s">
        <v>16</v>
      </c>
      <c r="B9508" t="s">
        <v>3221</v>
      </c>
      <c r="C9508">
        <v>9385</v>
      </c>
      <c r="D9508" t="s">
        <v>899</v>
      </c>
      <c r="E9508" t="s">
        <v>900</v>
      </c>
      <c r="F9508">
        <v>79.37</v>
      </c>
      <c r="G9508">
        <v>230701</v>
      </c>
      <c r="H9508">
        <v>4600</v>
      </c>
      <c r="I9508" t="s">
        <v>105</v>
      </c>
      <c r="J9508">
        <v>98.42</v>
      </c>
      <c r="K9508">
        <v>19.05</v>
      </c>
      <c r="L9508">
        <v>17737</v>
      </c>
      <c r="M9508" t="s">
        <v>279</v>
      </c>
      <c r="N9508" t="str">
        <f>"1803        "</f>
        <v xml:space="preserve">1803        </v>
      </c>
      <c r="O9508">
        <v>230710</v>
      </c>
    </row>
    <row r="9509" spans="1:15" x14ac:dyDescent="0.25">
      <c r="A9509" t="s">
        <v>16</v>
      </c>
      <c r="B9509" t="s">
        <v>3221</v>
      </c>
      <c r="C9509">
        <v>10158</v>
      </c>
      <c r="D9509" t="s">
        <v>899</v>
      </c>
      <c r="E9509" t="s">
        <v>900</v>
      </c>
      <c r="F9509">
        <v>80.650000000000006</v>
      </c>
      <c r="G9509">
        <v>230803</v>
      </c>
      <c r="H9509">
        <v>4600</v>
      </c>
      <c r="I9509" t="s">
        <v>105</v>
      </c>
      <c r="J9509">
        <v>100</v>
      </c>
      <c r="K9509">
        <v>19.350000000000001</v>
      </c>
      <c r="L9509">
        <v>17737</v>
      </c>
      <c r="M9509" t="s">
        <v>279</v>
      </c>
      <c r="N9509" t="str">
        <f>"1902        "</f>
        <v xml:space="preserve">1902        </v>
      </c>
      <c r="O9509">
        <v>230809</v>
      </c>
    </row>
    <row r="9510" spans="1:15" x14ac:dyDescent="0.25">
      <c r="A9510" t="s">
        <v>16</v>
      </c>
      <c r="B9510" t="s">
        <v>3221</v>
      </c>
      <c r="C9510">
        <v>10896</v>
      </c>
      <c r="D9510" t="s">
        <v>899</v>
      </c>
      <c r="E9510" t="s">
        <v>900</v>
      </c>
      <c r="F9510">
        <v>366</v>
      </c>
      <c r="G9510">
        <v>230323</v>
      </c>
      <c r="H9510">
        <v>4600</v>
      </c>
      <c r="I9510" t="s">
        <v>105</v>
      </c>
      <c r="J9510">
        <v>453.84</v>
      </c>
      <c r="K9510">
        <v>87.84</v>
      </c>
      <c r="L9510">
        <v>17711</v>
      </c>
      <c r="M9510" t="s">
        <v>65</v>
      </c>
      <c r="N9510" t="str">
        <f>"1225        "</f>
        <v xml:space="preserve">1225        </v>
      </c>
      <c r="O9510">
        <v>230825</v>
      </c>
    </row>
    <row r="9511" spans="1:15" x14ac:dyDescent="0.25">
      <c r="A9511" t="s">
        <v>16</v>
      </c>
      <c r="B9511" t="s">
        <v>3221</v>
      </c>
      <c r="C9511">
        <v>10897</v>
      </c>
      <c r="D9511" t="s">
        <v>899</v>
      </c>
      <c r="E9511" t="s">
        <v>900</v>
      </c>
      <c r="F9511">
        <v>396.74</v>
      </c>
      <c r="G9511">
        <v>230415</v>
      </c>
      <c r="H9511">
        <v>4600</v>
      </c>
      <c r="I9511" t="s">
        <v>105</v>
      </c>
      <c r="J9511">
        <v>491.96</v>
      </c>
      <c r="K9511">
        <v>95.22</v>
      </c>
      <c r="L9511">
        <v>17711</v>
      </c>
      <c r="M9511" t="s">
        <v>65</v>
      </c>
      <c r="N9511" t="str">
        <f>"1329        "</f>
        <v xml:space="preserve">1329        </v>
      </c>
      <c r="O9511">
        <v>230825</v>
      </c>
    </row>
    <row r="9512" spans="1:15" x14ac:dyDescent="0.25">
      <c r="A9512" t="s">
        <v>16</v>
      </c>
      <c r="B9512" t="s">
        <v>3221</v>
      </c>
      <c r="C9512">
        <v>10898</v>
      </c>
      <c r="D9512" t="s">
        <v>899</v>
      </c>
      <c r="E9512" t="s">
        <v>900</v>
      </c>
      <c r="F9512">
        <v>463.69</v>
      </c>
      <c r="G9512">
        <v>230508</v>
      </c>
      <c r="H9512">
        <v>4600</v>
      </c>
      <c r="I9512" t="s">
        <v>105</v>
      </c>
      <c r="J9512">
        <v>574.98</v>
      </c>
      <c r="K9512">
        <v>111.29</v>
      </c>
      <c r="L9512">
        <v>17737</v>
      </c>
      <c r="M9512" t="s">
        <v>279</v>
      </c>
      <c r="N9512" t="str">
        <f>"1456        "</f>
        <v xml:space="preserve">1456        </v>
      </c>
      <c r="O9512">
        <v>230825</v>
      </c>
    </row>
    <row r="9513" spans="1:15" x14ac:dyDescent="0.25">
      <c r="A9513" t="s">
        <v>16</v>
      </c>
      <c r="B9513" t="s">
        <v>3221</v>
      </c>
      <c r="C9513">
        <v>13123</v>
      </c>
      <c r="D9513" t="s">
        <v>899</v>
      </c>
      <c r="E9513" t="s">
        <v>900</v>
      </c>
      <c r="F9513">
        <v>49.35</v>
      </c>
      <c r="G9513">
        <v>230922</v>
      </c>
      <c r="H9513">
        <v>4600</v>
      </c>
      <c r="I9513" t="s">
        <v>105</v>
      </c>
      <c r="J9513">
        <v>61.2</v>
      </c>
      <c r="K9513">
        <v>11.85</v>
      </c>
      <c r="L9513">
        <v>17711</v>
      </c>
      <c r="M9513" t="s">
        <v>65</v>
      </c>
      <c r="N9513" t="str">
        <f>"2192        "</f>
        <v xml:space="preserve">2192        </v>
      </c>
      <c r="O9513">
        <v>231004</v>
      </c>
    </row>
    <row r="9514" spans="1:15" x14ac:dyDescent="0.25">
      <c r="A9514" t="s">
        <v>16</v>
      </c>
      <c r="B9514" t="s">
        <v>3221</v>
      </c>
      <c r="C9514">
        <v>14691</v>
      </c>
      <c r="D9514" t="s">
        <v>899</v>
      </c>
      <c r="E9514" t="s">
        <v>900</v>
      </c>
      <c r="F9514">
        <v>25.81</v>
      </c>
      <c r="G9514">
        <v>230820</v>
      </c>
      <c r="H9514">
        <v>4600</v>
      </c>
      <c r="I9514" t="s">
        <v>105</v>
      </c>
      <c r="J9514">
        <v>32</v>
      </c>
      <c r="K9514">
        <v>6.19</v>
      </c>
      <c r="L9514">
        <v>17737</v>
      </c>
      <c r="M9514" t="s">
        <v>279</v>
      </c>
      <c r="N9514" t="str">
        <f>"2014        "</f>
        <v xml:space="preserve">2014        </v>
      </c>
      <c r="O9514">
        <v>231101</v>
      </c>
    </row>
    <row r="9515" spans="1:15" x14ac:dyDescent="0.25">
      <c r="A9515" t="s">
        <v>16</v>
      </c>
      <c r="B9515" t="s">
        <v>3221</v>
      </c>
      <c r="C9515">
        <v>2454</v>
      </c>
      <c r="D9515" t="s">
        <v>899</v>
      </c>
      <c r="E9515" t="s">
        <v>900</v>
      </c>
      <c r="F9515">
        <v>84.68</v>
      </c>
      <c r="G9515">
        <v>230216</v>
      </c>
      <c r="H9515">
        <v>4560</v>
      </c>
      <c r="I9515" t="s">
        <v>345</v>
      </c>
      <c r="J9515">
        <v>105</v>
      </c>
      <c r="K9515">
        <v>20.32</v>
      </c>
      <c r="L9515">
        <v>17737</v>
      </c>
      <c r="M9515" t="s">
        <v>279</v>
      </c>
      <c r="N9515" t="str">
        <f>"1064        "</f>
        <v xml:space="preserve">1064        </v>
      </c>
      <c r="O9515">
        <v>230228</v>
      </c>
    </row>
    <row r="9516" spans="1:15" x14ac:dyDescent="0.25">
      <c r="A9516" t="s">
        <v>16</v>
      </c>
      <c r="B9516" t="s">
        <v>3221</v>
      </c>
      <c r="C9516">
        <v>10896</v>
      </c>
      <c r="D9516" t="s">
        <v>899</v>
      </c>
      <c r="E9516" t="s">
        <v>900</v>
      </c>
      <c r="F9516">
        <v>83.87</v>
      </c>
      <c r="G9516">
        <v>230323</v>
      </c>
      <c r="H9516">
        <v>4560</v>
      </c>
      <c r="I9516" t="s">
        <v>345</v>
      </c>
      <c r="J9516">
        <v>104</v>
      </c>
      <c r="K9516">
        <v>20.13</v>
      </c>
      <c r="L9516">
        <v>17711</v>
      </c>
      <c r="M9516" t="s">
        <v>65</v>
      </c>
      <c r="N9516" t="str">
        <f>"1225        "</f>
        <v xml:space="preserve">1225        </v>
      </c>
      <c r="O9516">
        <v>230825</v>
      </c>
    </row>
    <row r="9517" spans="1:15" x14ac:dyDescent="0.25">
      <c r="A9517" t="s">
        <v>16</v>
      </c>
      <c r="B9517" t="s">
        <v>3221</v>
      </c>
      <c r="C9517">
        <v>2454</v>
      </c>
      <c r="D9517" t="s">
        <v>899</v>
      </c>
      <c r="E9517" t="s">
        <v>900</v>
      </c>
      <c r="F9517">
        <v>4.03</v>
      </c>
      <c r="G9517">
        <v>230216</v>
      </c>
      <c r="H9517">
        <v>4347</v>
      </c>
      <c r="I9517" t="s">
        <v>193</v>
      </c>
      <c r="J9517">
        <v>5</v>
      </c>
      <c r="K9517">
        <v>0.97</v>
      </c>
      <c r="L9517">
        <v>17737</v>
      </c>
      <c r="M9517" t="s">
        <v>279</v>
      </c>
      <c r="N9517" t="str">
        <f>"1064        "</f>
        <v xml:space="preserve">1064        </v>
      </c>
      <c r="O9517">
        <v>230228</v>
      </c>
    </row>
    <row r="9518" spans="1:15" x14ac:dyDescent="0.25">
      <c r="A9518" t="s">
        <v>16</v>
      </c>
      <c r="B9518" t="s">
        <v>3221</v>
      </c>
      <c r="C9518">
        <v>11422</v>
      </c>
      <c r="D9518" t="s">
        <v>1512</v>
      </c>
      <c r="E9518" t="s">
        <v>1513</v>
      </c>
      <c r="F9518">
        <v>440</v>
      </c>
      <c r="G9518">
        <v>230831</v>
      </c>
      <c r="H9518">
        <v>4580</v>
      </c>
      <c r="I9518" t="s">
        <v>35</v>
      </c>
      <c r="J9518">
        <v>545.6</v>
      </c>
      <c r="K9518">
        <v>105.6</v>
      </c>
      <c r="L9518">
        <v>46557</v>
      </c>
      <c r="M9518" t="s">
        <v>221</v>
      </c>
      <c r="N9518" t="str">
        <f>"1629598     "</f>
        <v xml:space="preserve">1629598     </v>
      </c>
      <c r="O9518">
        <v>230905</v>
      </c>
    </row>
    <row r="9519" spans="1:15" x14ac:dyDescent="0.25">
      <c r="A9519" t="s">
        <v>16</v>
      </c>
      <c r="B9519" t="s">
        <v>3221</v>
      </c>
      <c r="C9519">
        <v>12932</v>
      </c>
      <c r="D9519" t="s">
        <v>1512</v>
      </c>
      <c r="E9519" t="s">
        <v>1513</v>
      </c>
      <c r="F9519">
        <v>86.19</v>
      </c>
      <c r="G9519">
        <v>230925</v>
      </c>
      <c r="H9519">
        <v>4580</v>
      </c>
      <c r="I9519" t="s">
        <v>35</v>
      </c>
      <c r="J9519">
        <v>106.87</v>
      </c>
      <c r="K9519">
        <v>20.68</v>
      </c>
      <c r="L9519">
        <v>46554</v>
      </c>
      <c r="M9519" t="s">
        <v>117</v>
      </c>
      <c r="N9519" t="str">
        <f>"1630593     "</f>
        <v xml:space="preserve">1630593     </v>
      </c>
      <c r="O9519">
        <v>231002</v>
      </c>
    </row>
    <row r="9520" spans="1:15" x14ac:dyDescent="0.25">
      <c r="A9520" t="s">
        <v>16</v>
      </c>
      <c r="B9520" t="s">
        <v>3221</v>
      </c>
      <c r="C9520">
        <v>14886</v>
      </c>
      <c r="D9520" t="s">
        <v>1512</v>
      </c>
      <c r="E9520" t="s">
        <v>1513</v>
      </c>
      <c r="F9520">
        <v>-29.03</v>
      </c>
      <c r="G9520">
        <v>231027</v>
      </c>
      <c r="H9520">
        <v>4580</v>
      </c>
      <c r="I9520" t="s">
        <v>35</v>
      </c>
      <c r="J9520">
        <v>-36</v>
      </c>
      <c r="K9520">
        <v>-6.97</v>
      </c>
      <c r="L9520">
        <v>46557</v>
      </c>
      <c r="M9520" t="s">
        <v>221</v>
      </c>
      <c r="N9520" t="str">
        <f>"1632301     "</f>
        <v xml:space="preserve">1632301     </v>
      </c>
      <c r="O9520">
        <v>231107</v>
      </c>
    </row>
    <row r="9521" spans="1:15" x14ac:dyDescent="0.25">
      <c r="A9521" t="s">
        <v>16</v>
      </c>
      <c r="B9521" t="s">
        <v>3221</v>
      </c>
      <c r="C9521">
        <v>17290</v>
      </c>
      <c r="D9521" t="s">
        <v>1512</v>
      </c>
      <c r="E9521" t="s">
        <v>1513</v>
      </c>
      <c r="F9521">
        <v>220</v>
      </c>
      <c r="G9521">
        <v>231208</v>
      </c>
      <c r="H9521">
        <v>4580</v>
      </c>
      <c r="I9521" t="s">
        <v>35</v>
      </c>
      <c r="J9521">
        <v>272.8</v>
      </c>
      <c r="K9521">
        <v>52.8</v>
      </c>
      <c r="L9521">
        <v>46557</v>
      </c>
      <c r="M9521" t="s">
        <v>221</v>
      </c>
      <c r="N9521" t="str">
        <f>"1634354     "</f>
        <v xml:space="preserve">1634354     </v>
      </c>
      <c r="O9521">
        <v>231212</v>
      </c>
    </row>
    <row r="9522" spans="1:15" x14ac:dyDescent="0.25">
      <c r="A9522" t="s">
        <v>16</v>
      </c>
      <c r="B9522" t="s">
        <v>3221</v>
      </c>
      <c r="C9522">
        <v>8860</v>
      </c>
      <c r="D9522" t="s">
        <v>1512</v>
      </c>
      <c r="E9522" t="s">
        <v>1513</v>
      </c>
      <c r="F9522">
        <v>1149.5899999999999</v>
      </c>
      <c r="G9522">
        <v>230613</v>
      </c>
      <c r="H9522">
        <v>4400</v>
      </c>
      <c r="I9522" t="s">
        <v>348</v>
      </c>
      <c r="J9522">
        <v>1425.49</v>
      </c>
      <c r="K9522">
        <v>275.89999999999998</v>
      </c>
      <c r="L9522">
        <v>49501</v>
      </c>
      <c r="M9522" t="s">
        <v>177</v>
      </c>
      <c r="N9522" t="str">
        <f>"1625623     "</f>
        <v xml:space="preserve">1625623     </v>
      </c>
      <c r="O9522">
        <v>230619</v>
      </c>
    </row>
    <row r="9523" spans="1:15" x14ac:dyDescent="0.25">
      <c r="A9523" t="s">
        <v>16</v>
      </c>
      <c r="B9523" t="s">
        <v>3221</v>
      </c>
      <c r="C9523">
        <v>3105</v>
      </c>
      <c r="D9523" t="s">
        <v>1512</v>
      </c>
      <c r="E9523" t="s">
        <v>1513</v>
      </c>
      <c r="F9523">
        <v>24.12</v>
      </c>
      <c r="G9523">
        <v>230307</v>
      </c>
      <c r="H9523">
        <v>4600</v>
      </c>
      <c r="I9523" t="s">
        <v>105</v>
      </c>
      <c r="J9523">
        <v>29.91</v>
      </c>
      <c r="K9523">
        <v>5.79</v>
      </c>
      <c r="L9523">
        <v>46557</v>
      </c>
      <c r="M9523" t="s">
        <v>221</v>
      </c>
      <c r="N9523" t="str">
        <f>"1620474     "</f>
        <v xml:space="preserve">1620474     </v>
      </c>
      <c r="O9523">
        <v>230309</v>
      </c>
    </row>
    <row r="9524" spans="1:15" x14ac:dyDescent="0.25">
      <c r="A9524" t="s">
        <v>16</v>
      </c>
      <c r="B9524" t="s">
        <v>3221</v>
      </c>
      <c r="C9524">
        <v>13872</v>
      </c>
      <c r="D9524" t="s">
        <v>1512</v>
      </c>
      <c r="E9524" t="s">
        <v>1513</v>
      </c>
      <c r="F9524">
        <v>56.45</v>
      </c>
      <c r="G9524">
        <v>231006</v>
      </c>
      <c r="H9524">
        <v>4600</v>
      </c>
      <c r="I9524" t="s">
        <v>105</v>
      </c>
      <c r="J9524">
        <v>70</v>
      </c>
      <c r="K9524">
        <v>13.55</v>
      </c>
      <c r="L9524">
        <v>46557</v>
      </c>
      <c r="M9524" t="s">
        <v>221</v>
      </c>
      <c r="N9524" t="str">
        <f>"1631290     "</f>
        <v xml:space="preserve">1631290     </v>
      </c>
      <c r="O9524">
        <v>231016</v>
      </c>
    </row>
    <row r="9525" spans="1:15" x14ac:dyDescent="0.25">
      <c r="A9525" t="s">
        <v>16</v>
      </c>
      <c r="B9525" t="s">
        <v>3221</v>
      </c>
      <c r="C9525">
        <v>14887</v>
      </c>
      <c r="D9525" t="s">
        <v>1512</v>
      </c>
      <c r="E9525" t="s">
        <v>1513</v>
      </c>
      <c r="F9525">
        <v>42.9</v>
      </c>
      <c r="G9525">
        <v>231031</v>
      </c>
      <c r="H9525">
        <v>4600</v>
      </c>
      <c r="I9525" t="s">
        <v>105</v>
      </c>
      <c r="J9525">
        <v>53.19</v>
      </c>
      <c r="K9525">
        <v>10.29</v>
      </c>
      <c r="L9525">
        <v>47522</v>
      </c>
      <c r="M9525" t="s">
        <v>410</v>
      </c>
      <c r="N9525" t="str">
        <f>"1632542     "</f>
        <v xml:space="preserve">1632542     </v>
      </c>
      <c r="O9525">
        <v>231107</v>
      </c>
    </row>
    <row r="9526" spans="1:15" x14ac:dyDescent="0.25">
      <c r="A9526" t="s">
        <v>16</v>
      </c>
      <c r="B9526" t="s">
        <v>3221</v>
      </c>
      <c r="C9526">
        <v>14327</v>
      </c>
      <c r="D9526" t="s">
        <v>2761</v>
      </c>
      <c r="E9526" t="s">
        <v>2762</v>
      </c>
      <c r="F9526">
        <v>75</v>
      </c>
      <c r="G9526">
        <v>231013</v>
      </c>
      <c r="H9526">
        <v>4400</v>
      </c>
      <c r="I9526" t="s">
        <v>348</v>
      </c>
      <c r="J9526">
        <v>93</v>
      </c>
      <c r="K9526">
        <v>18</v>
      </c>
      <c r="L9526">
        <v>17521</v>
      </c>
      <c r="M9526" t="s">
        <v>133</v>
      </c>
      <c r="N9526" t="str">
        <f>"12484       "</f>
        <v xml:space="preserve">12484       </v>
      </c>
      <c r="O9526">
        <v>231027</v>
      </c>
    </row>
    <row r="9527" spans="1:15" x14ac:dyDescent="0.25">
      <c r="A9527" t="s">
        <v>16</v>
      </c>
      <c r="B9527" t="s">
        <v>3221</v>
      </c>
      <c r="C9527">
        <v>15643</v>
      </c>
      <c r="D9527" t="s">
        <v>2761</v>
      </c>
      <c r="E9527" t="s">
        <v>2762</v>
      </c>
      <c r="F9527">
        <v>75</v>
      </c>
      <c r="G9527">
        <v>231029</v>
      </c>
      <c r="H9527">
        <v>4600</v>
      </c>
      <c r="I9527" t="s">
        <v>105</v>
      </c>
      <c r="J9527">
        <v>93</v>
      </c>
      <c r="K9527">
        <v>18</v>
      </c>
      <c r="L9527">
        <v>17521</v>
      </c>
      <c r="M9527" t="s">
        <v>133</v>
      </c>
      <c r="N9527" t="str">
        <f>"12495       "</f>
        <v xml:space="preserve">12495       </v>
      </c>
      <c r="O9527">
        <v>231116</v>
      </c>
    </row>
    <row r="9528" spans="1:15" x14ac:dyDescent="0.25">
      <c r="A9528" t="s">
        <v>16</v>
      </c>
      <c r="B9528" t="s">
        <v>3221</v>
      </c>
      <c r="C9528">
        <v>11531</v>
      </c>
      <c r="D9528" t="s">
        <v>224</v>
      </c>
      <c r="E9528" t="s">
        <v>225</v>
      </c>
      <c r="F9528">
        <v>1280</v>
      </c>
      <c r="G9528">
        <v>230905</v>
      </c>
      <c r="H9528">
        <v>4346</v>
      </c>
      <c r="I9528" t="s">
        <v>197</v>
      </c>
      <c r="J9528">
        <v>1587.2</v>
      </c>
      <c r="K9528">
        <v>307.2</v>
      </c>
      <c r="L9528">
        <v>66756</v>
      </c>
      <c r="M9528" t="s">
        <v>209</v>
      </c>
      <c r="N9528" t="str">
        <f>"7861        "</f>
        <v xml:space="preserve">7861        </v>
      </c>
      <c r="O9528">
        <v>230907</v>
      </c>
    </row>
    <row r="9529" spans="1:15" x14ac:dyDescent="0.25">
      <c r="A9529" t="s">
        <v>16</v>
      </c>
      <c r="B9529" t="s">
        <v>3221</v>
      </c>
      <c r="C9529">
        <v>151</v>
      </c>
      <c r="D9529" t="s">
        <v>224</v>
      </c>
      <c r="E9529" t="s">
        <v>225</v>
      </c>
      <c r="F9529">
        <v>1280</v>
      </c>
      <c r="G9529">
        <v>230109</v>
      </c>
      <c r="H9529">
        <v>4600</v>
      </c>
      <c r="I9529" t="s">
        <v>105</v>
      </c>
      <c r="J9529">
        <v>1587.2</v>
      </c>
      <c r="K9529">
        <v>307.2</v>
      </c>
      <c r="L9529">
        <v>66756</v>
      </c>
      <c r="M9529" t="s">
        <v>209</v>
      </c>
      <c r="N9529" t="str">
        <f>"7520        "</f>
        <v xml:space="preserve">7520        </v>
      </c>
      <c r="O9529">
        <v>230113</v>
      </c>
    </row>
    <row r="9530" spans="1:15" x14ac:dyDescent="0.25">
      <c r="A9530" t="s">
        <v>16</v>
      </c>
      <c r="B9530" t="s">
        <v>3221</v>
      </c>
      <c r="C9530">
        <v>1151</v>
      </c>
      <c r="D9530" t="s">
        <v>919</v>
      </c>
      <c r="E9530" t="s">
        <v>920</v>
      </c>
      <c r="F9530">
        <v>23.39</v>
      </c>
      <c r="G9530">
        <v>230130</v>
      </c>
      <c r="H9530">
        <v>4600</v>
      </c>
      <c r="I9530" t="s">
        <v>105</v>
      </c>
      <c r="J9530">
        <v>29</v>
      </c>
      <c r="K9530">
        <v>5.61</v>
      </c>
      <c r="L9530">
        <v>54451</v>
      </c>
      <c r="M9530" t="s">
        <v>158</v>
      </c>
      <c r="N9530" t="str">
        <f>"138388      "</f>
        <v xml:space="preserve">138388      </v>
      </c>
      <c r="O9530">
        <v>230206</v>
      </c>
    </row>
    <row r="9531" spans="1:15" x14ac:dyDescent="0.25">
      <c r="A9531" t="s">
        <v>16</v>
      </c>
      <c r="B9531" t="s">
        <v>3221</v>
      </c>
      <c r="C9531">
        <v>1447</v>
      </c>
      <c r="D9531" t="s">
        <v>919</v>
      </c>
      <c r="E9531" t="s">
        <v>920</v>
      </c>
      <c r="F9531">
        <v>48.39</v>
      </c>
      <c r="G9531">
        <v>230130</v>
      </c>
      <c r="H9531">
        <v>4600</v>
      </c>
      <c r="I9531" t="s">
        <v>105</v>
      </c>
      <c r="J9531">
        <v>60</v>
      </c>
      <c r="K9531">
        <v>11.61</v>
      </c>
      <c r="L9531">
        <v>56573</v>
      </c>
      <c r="M9531" t="s">
        <v>521</v>
      </c>
      <c r="N9531" t="str">
        <f>"138389      "</f>
        <v xml:space="preserve">138389      </v>
      </c>
      <c r="O9531">
        <v>230209</v>
      </c>
    </row>
    <row r="9532" spans="1:15" x14ac:dyDescent="0.25">
      <c r="A9532" t="s">
        <v>16</v>
      </c>
      <c r="B9532" t="s">
        <v>3221</v>
      </c>
      <c r="C9532">
        <v>2056</v>
      </c>
      <c r="D9532" t="s">
        <v>919</v>
      </c>
      <c r="E9532" t="s">
        <v>920</v>
      </c>
      <c r="F9532">
        <v>68.56</v>
      </c>
      <c r="G9532">
        <v>230202</v>
      </c>
      <c r="H9532">
        <v>4600</v>
      </c>
      <c r="I9532" t="s">
        <v>105</v>
      </c>
      <c r="J9532">
        <v>85.01</v>
      </c>
      <c r="K9532">
        <v>16.45</v>
      </c>
      <c r="L9532">
        <v>56565</v>
      </c>
      <c r="M9532" t="s">
        <v>758</v>
      </c>
      <c r="N9532" t="str">
        <f>"138398      "</f>
        <v xml:space="preserve">138398      </v>
      </c>
      <c r="O9532">
        <v>230220</v>
      </c>
    </row>
    <row r="9533" spans="1:15" x14ac:dyDescent="0.25">
      <c r="A9533" t="s">
        <v>16</v>
      </c>
      <c r="B9533" t="s">
        <v>3221</v>
      </c>
      <c r="C9533">
        <v>2056</v>
      </c>
      <c r="D9533" t="s">
        <v>919</v>
      </c>
      <c r="E9533" t="s">
        <v>920</v>
      </c>
      <c r="F9533">
        <v>12.1</v>
      </c>
      <c r="G9533">
        <v>230202</v>
      </c>
      <c r="H9533">
        <v>4600</v>
      </c>
      <c r="I9533" t="s">
        <v>105</v>
      </c>
      <c r="J9533">
        <v>15</v>
      </c>
      <c r="K9533">
        <v>2.9</v>
      </c>
      <c r="L9533">
        <v>56573</v>
      </c>
      <c r="M9533" t="s">
        <v>521</v>
      </c>
      <c r="N9533" t="str">
        <f>"138398      "</f>
        <v xml:space="preserve">138398      </v>
      </c>
      <c r="O9533">
        <v>230220</v>
      </c>
    </row>
    <row r="9534" spans="1:15" x14ac:dyDescent="0.25">
      <c r="A9534" t="s">
        <v>16</v>
      </c>
      <c r="B9534" t="s">
        <v>3221</v>
      </c>
      <c r="C9534">
        <v>2714</v>
      </c>
      <c r="D9534" t="s">
        <v>919</v>
      </c>
      <c r="E9534" t="s">
        <v>920</v>
      </c>
      <c r="F9534">
        <v>93.99</v>
      </c>
      <c r="G9534">
        <v>230224</v>
      </c>
      <c r="H9534">
        <v>4600</v>
      </c>
      <c r="I9534" t="s">
        <v>105</v>
      </c>
      <c r="J9534">
        <v>116.55</v>
      </c>
      <c r="K9534">
        <v>22.56</v>
      </c>
      <c r="L9534">
        <v>59501</v>
      </c>
      <c r="M9534" t="s">
        <v>69</v>
      </c>
      <c r="N9534" t="str">
        <f>"138429      "</f>
        <v xml:space="preserve">138429      </v>
      </c>
      <c r="O9534">
        <v>230307</v>
      </c>
    </row>
    <row r="9535" spans="1:15" x14ac:dyDescent="0.25">
      <c r="A9535" t="s">
        <v>16</v>
      </c>
      <c r="B9535" t="s">
        <v>3221</v>
      </c>
      <c r="C9535">
        <v>5332</v>
      </c>
      <c r="D9535" t="s">
        <v>919</v>
      </c>
      <c r="E9535" t="s">
        <v>920</v>
      </c>
      <c r="F9535">
        <v>46.78</v>
      </c>
      <c r="G9535">
        <v>230414</v>
      </c>
      <c r="H9535">
        <v>4600</v>
      </c>
      <c r="I9535" t="s">
        <v>105</v>
      </c>
      <c r="J9535">
        <v>58.01</v>
      </c>
      <c r="K9535">
        <v>11.23</v>
      </c>
      <c r="L9535">
        <v>54451</v>
      </c>
      <c r="M9535" t="s">
        <v>158</v>
      </c>
      <c r="N9535" t="str">
        <f>"138510      "</f>
        <v xml:space="preserve">138510      </v>
      </c>
      <c r="O9535">
        <v>230421</v>
      </c>
    </row>
    <row r="9536" spans="1:15" x14ac:dyDescent="0.25">
      <c r="A9536" t="s">
        <v>16</v>
      </c>
      <c r="B9536" t="s">
        <v>3221</v>
      </c>
      <c r="C9536">
        <v>6064</v>
      </c>
      <c r="D9536" t="s">
        <v>919</v>
      </c>
      <c r="E9536" t="s">
        <v>920</v>
      </c>
      <c r="F9536">
        <v>18</v>
      </c>
      <c r="G9536">
        <v>230428</v>
      </c>
      <c r="H9536">
        <v>4600</v>
      </c>
      <c r="I9536" t="s">
        <v>105</v>
      </c>
      <c r="J9536">
        <v>22.32</v>
      </c>
      <c r="K9536">
        <v>4.32</v>
      </c>
      <c r="L9536">
        <v>56573</v>
      </c>
      <c r="M9536" t="s">
        <v>521</v>
      </c>
      <c r="N9536" t="str">
        <f>"138535      "</f>
        <v xml:space="preserve">138535      </v>
      </c>
      <c r="O9536">
        <v>230508</v>
      </c>
    </row>
    <row r="9537" spans="1:15" x14ac:dyDescent="0.25">
      <c r="A9537" t="s">
        <v>16</v>
      </c>
      <c r="B9537" t="s">
        <v>3221</v>
      </c>
      <c r="C9537">
        <v>6232</v>
      </c>
      <c r="D9537" t="s">
        <v>919</v>
      </c>
      <c r="E9537" t="s">
        <v>920</v>
      </c>
      <c r="F9537">
        <v>17.73</v>
      </c>
      <c r="G9537">
        <v>230504</v>
      </c>
      <c r="H9537">
        <v>4600</v>
      </c>
      <c r="I9537" t="s">
        <v>105</v>
      </c>
      <c r="J9537">
        <v>21.99</v>
      </c>
      <c r="K9537">
        <v>4.26</v>
      </c>
      <c r="L9537">
        <v>59501</v>
      </c>
      <c r="M9537" t="s">
        <v>69</v>
      </c>
      <c r="N9537" t="str">
        <f>"138548      "</f>
        <v xml:space="preserve">138548      </v>
      </c>
      <c r="O9537">
        <v>230509</v>
      </c>
    </row>
    <row r="9538" spans="1:15" x14ac:dyDescent="0.25">
      <c r="A9538" t="s">
        <v>16</v>
      </c>
      <c r="B9538" t="s">
        <v>3221</v>
      </c>
      <c r="C9538">
        <v>4297</v>
      </c>
      <c r="D9538" t="s">
        <v>919</v>
      </c>
      <c r="E9538" t="s">
        <v>920</v>
      </c>
      <c r="F9538">
        <v>24.2</v>
      </c>
      <c r="G9538">
        <v>230329</v>
      </c>
      <c r="H9538">
        <v>4500</v>
      </c>
      <c r="I9538" t="s">
        <v>212</v>
      </c>
      <c r="J9538">
        <v>30.01</v>
      </c>
      <c r="K9538">
        <v>5.81</v>
      </c>
      <c r="L9538">
        <v>56565</v>
      </c>
      <c r="M9538" t="s">
        <v>758</v>
      </c>
      <c r="N9538" t="str">
        <f>"138476      "</f>
        <v xml:space="preserve">138476      </v>
      </c>
      <c r="O9538">
        <v>230404</v>
      </c>
    </row>
    <row r="9539" spans="1:15" x14ac:dyDescent="0.25">
      <c r="A9539" t="s">
        <v>16</v>
      </c>
      <c r="B9539" t="s">
        <v>3221</v>
      </c>
      <c r="C9539">
        <v>4297</v>
      </c>
      <c r="D9539" t="s">
        <v>919</v>
      </c>
      <c r="E9539" t="s">
        <v>920</v>
      </c>
      <c r="F9539">
        <v>35.340000000000003</v>
      </c>
      <c r="G9539">
        <v>230329</v>
      </c>
      <c r="H9539">
        <v>4500</v>
      </c>
      <c r="I9539" t="s">
        <v>212</v>
      </c>
      <c r="J9539">
        <v>43.82</v>
      </c>
      <c r="K9539">
        <v>8.48</v>
      </c>
      <c r="L9539">
        <v>56573</v>
      </c>
      <c r="M9539" t="s">
        <v>521</v>
      </c>
      <c r="N9539" t="str">
        <f>"138476      "</f>
        <v xml:space="preserve">138476      </v>
      </c>
      <c r="O9539">
        <v>230404</v>
      </c>
    </row>
    <row r="9540" spans="1:15" x14ac:dyDescent="0.25">
      <c r="A9540" t="s">
        <v>16</v>
      </c>
      <c r="B9540" t="s">
        <v>3221</v>
      </c>
      <c r="C9540">
        <v>6197</v>
      </c>
      <c r="D9540" t="s">
        <v>806</v>
      </c>
      <c r="E9540" t="s">
        <v>807</v>
      </c>
      <c r="F9540">
        <v>1005.35</v>
      </c>
      <c r="G9540">
        <v>230502</v>
      </c>
      <c r="H9540">
        <v>4571</v>
      </c>
      <c r="I9540" t="s">
        <v>181</v>
      </c>
      <c r="J9540">
        <v>1246.6300000000001</v>
      </c>
      <c r="K9540">
        <v>241.28</v>
      </c>
      <c r="L9540">
        <v>17739</v>
      </c>
      <c r="M9540" t="s">
        <v>374</v>
      </c>
      <c r="N9540" t="str">
        <f>"791         "</f>
        <v xml:space="preserve">791         </v>
      </c>
      <c r="O9540">
        <v>230508</v>
      </c>
    </row>
    <row r="9541" spans="1:15" x14ac:dyDescent="0.25">
      <c r="A9541" t="s">
        <v>16</v>
      </c>
      <c r="B9541" t="s">
        <v>3221</v>
      </c>
      <c r="C9541">
        <v>6197</v>
      </c>
      <c r="D9541" t="s">
        <v>806</v>
      </c>
      <c r="E9541" t="s">
        <v>807</v>
      </c>
      <c r="F9541">
        <v>3016.05</v>
      </c>
      <c r="G9541">
        <v>230502</v>
      </c>
      <c r="H9541">
        <v>4571</v>
      </c>
      <c r="I9541" t="s">
        <v>181</v>
      </c>
      <c r="J9541">
        <v>3739.9</v>
      </c>
      <c r="K9541">
        <v>723.85</v>
      </c>
      <c r="L9541">
        <v>17912</v>
      </c>
      <c r="M9541" t="s">
        <v>419</v>
      </c>
      <c r="N9541" t="str">
        <f>"791         "</f>
        <v xml:space="preserve">791         </v>
      </c>
      <c r="O9541">
        <v>230508</v>
      </c>
    </row>
    <row r="9542" spans="1:15" x14ac:dyDescent="0.25">
      <c r="A9542" t="s">
        <v>16</v>
      </c>
      <c r="B9542" t="s">
        <v>3221</v>
      </c>
      <c r="C9542">
        <v>6197</v>
      </c>
      <c r="D9542" t="s">
        <v>806</v>
      </c>
      <c r="E9542" t="s">
        <v>807</v>
      </c>
      <c r="F9542">
        <v>6032.1</v>
      </c>
      <c r="G9542">
        <v>230502</v>
      </c>
      <c r="H9542">
        <v>4571</v>
      </c>
      <c r="I9542" t="s">
        <v>181</v>
      </c>
      <c r="J9542">
        <v>7479.81</v>
      </c>
      <c r="K9542">
        <v>1447.71</v>
      </c>
      <c r="L9542">
        <v>17952</v>
      </c>
      <c r="M9542" t="s">
        <v>88</v>
      </c>
      <c r="N9542" t="str">
        <f>"791         "</f>
        <v xml:space="preserve">791         </v>
      </c>
      <c r="O9542">
        <v>230508</v>
      </c>
    </row>
    <row r="9543" spans="1:15" x14ac:dyDescent="0.25">
      <c r="A9543" t="s">
        <v>16</v>
      </c>
      <c r="B9543" t="s">
        <v>3221</v>
      </c>
      <c r="C9543">
        <v>7621</v>
      </c>
      <c r="D9543" t="s">
        <v>806</v>
      </c>
      <c r="E9543" t="s">
        <v>807</v>
      </c>
      <c r="F9543">
        <v>783.93</v>
      </c>
      <c r="G9543">
        <v>230531</v>
      </c>
      <c r="H9543">
        <v>4571</v>
      </c>
      <c r="I9543" t="s">
        <v>181</v>
      </c>
      <c r="J9543">
        <v>972.07</v>
      </c>
      <c r="K9543">
        <v>188.14</v>
      </c>
      <c r="L9543">
        <v>17739</v>
      </c>
      <c r="M9543" t="s">
        <v>374</v>
      </c>
      <c r="N9543" t="str">
        <f>"796         "</f>
        <v xml:space="preserve">796         </v>
      </c>
      <c r="O9543">
        <v>230601</v>
      </c>
    </row>
    <row r="9544" spans="1:15" x14ac:dyDescent="0.25">
      <c r="A9544" t="s">
        <v>16</v>
      </c>
      <c r="B9544" t="s">
        <v>3221</v>
      </c>
      <c r="C9544">
        <v>7621</v>
      </c>
      <c r="D9544" t="s">
        <v>806</v>
      </c>
      <c r="E9544" t="s">
        <v>807</v>
      </c>
      <c r="F9544">
        <v>2351.79</v>
      </c>
      <c r="G9544">
        <v>230531</v>
      </c>
      <c r="H9544">
        <v>4571</v>
      </c>
      <c r="I9544" t="s">
        <v>181</v>
      </c>
      <c r="J9544">
        <v>2916.22</v>
      </c>
      <c r="K9544">
        <v>564.42999999999995</v>
      </c>
      <c r="L9544">
        <v>17912</v>
      </c>
      <c r="M9544" t="s">
        <v>419</v>
      </c>
      <c r="N9544" t="str">
        <f>"796         "</f>
        <v xml:space="preserve">796         </v>
      </c>
      <c r="O9544">
        <v>230601</v>
      </c>
    </row>
    <row r="9545" spans="1:15" x14ac:dyDescent="0.25">
      <c r="A9545" t="s">
        <v>16</v>
      </c>
      <c r="B9545" t="s">
        <v>3221</v>
      </c>
      <c r="C9545">
        <v>7621</v>
      </c>
      <c r="D9545" t="s">
        <v>806</v>
      </c>
      <c r="E9545" t="s">
        <v>807</v>
      </c>
      <c r="F9545">
        <v>4703.57</v>
      </c>
      <c r="G9545">
        <v>230531</v>
      </c>
      <c r="H9545">
        <v>4571</v>
      </c>
      <c r="I9545" t="s">
        <v>181</v>
      </c>
      <c r="J9545">
        <v>5832.43</v>
      </c>
      <c r="K9545">
        <v>1128.8599999999999</v>
      </c>
      <c r="L9545">
        <v>17952</v>
      </c>
      <c r="M9545" t="s">
        <v>88</v>
      </c>
      <c r="N9545" t="str">
        <f>"796         "</f>
        <v xml:space="preserve">796         </v>
      </c>
      <c r="O9545">
        <v>230601</v>
      </c>
    </row>
    <row r="9546" spans="1:15" x14ac:dyDescent="0.25">
      <c r="A9546" t="s">
        <v>16</v>
      </c>
      <c r="B9546" t="s">
        <v>3221</v>
      </c>
      <c r="C9546">
        <v>9313</v>
      </c>
      <c r="D9546" t="s">
        <v>806</v>
      </c>
      <c r="E9546" t="s">
        <v>807</v>
      </c>
      <c r="F9546">
        <v>577.02</v>
      </c>
      <c r="G9546">
        <v>230703</v>
      </c>
      <c r="H9546">
        <v>4571</v>
      </c>
      <c r="I9546" t="s">
        <v>181</v>
      </c>
      <c r="J9546">
        <v>715.5</v>
      </c>
      <c r="K9546">
        <v>138.47999999999999</v>
      </c>
      <c r="L9546">
        <v>17739</v>
      </c>
      <c r="M9546" t="s">
        <v>374</v>
      </c>
      <c r="N9546" t="str">
        <f>"797         "</f>
        <v xml:space="preserve">797         </v>
      </c>
      <c r="O9546">
        <v>230705</v>
      </c>
    </row>
    <row r="9547" spans="1:15" x14ac:dyDescent="0.25">
      <c r="A9547" t="s">
        <v>16</v>
      </c>
      <c r="B9547" t="s">
        <v>3221</v>
      </c>
      <c r="C9547">
        <v>9313</v>
      </c>
      <c r="D9547" t="s">
        <v>806</v>
      </c>
      <c r="E9547" t="s">
        <v>807</v>
      </c>
      <c r="F9547">
        <v>1731.06</v>
      </c>
      <c r="G9547">
        <v>230703</v>
      </c>
      <c r="H9547">
        <v>4571</v>
      </c>
      <c r="I9547" t="s">
        <v>181</v>
      </c>
      <c r="J9547">
        <v>2146.5100000000002</v>
      </c>
      <c r="K9547">
        <v>415.45</v>
      </c>
      <c r="L9547">
        <v>17912</v>
      </c>
      <c r="M9547" t="s">
        <v>419</v>
      </c>
      <c r="N9547" t="str">
        <f>"797         "</f>
        <v xml:space="preserve">797         </v>
      </c>
      <c r="O9547">
        <v>230705</v>
      </c>
    </row>
    <row r="9548" spans="1:15" x14ac:dyDescent="0.25">
      <c r="A9548" t="s">
        <v>16</v>
      </c>
      <c r="B9548" t="s">
        <v>3221</v>
      </c>
      <c r="C9548">
        <v>9313</v>
      </c>
      <c r="D9548" t="s">
        <v>806</v>
      </c>
      <c r="E9548" t="s">
        <v>807</v>
      </c>
      <c r="F9548">
        <v>3462.13</v>
      </c>
      <c r="G9548">
        <v>230703</v>
      </c>
      <c r="H9548">
        <v>4571</v>
      </c>
      <c r="I9548" t="s">
        <v>181</v>
      </c>
      <c r="J9548">
        <v>4293.04</v>
      </c>
      <c r="K9548">
        <v>830.91</v>
      </c>
      <c r="L9548">
        <v>17952</v>
      </c>
      <c r="M9548" t="s">
        <v>88</v>
      </c>
      <c r="N9548" t="str">
        <f>"797         "</f>
        <v xml:space="preserve">797         </v>
      </c>
      <c r="O9548">
        <v>230705</v>
      </c>
    </row>
    <row r="9549" spans="1:15" x14ac:dyDescent="0.25">
      <c r="A9549" t="s">
        <v>16</v>
      </c>
      <c r="B9549" t="s">
        <v>3221</v>
      </c>
      <c r="C9549">
        <v>10087</v>
      </c>
      <c r="D9549" t="s">
        <v>806</v>
      </c>
      <c r="E9549" t="s">
        <v>807</v>
      </c>
      <c r="F9549">
        <v>488.54</v>
      </c>
      <c r="G9549">
        <v>230801</v>
      </c>
      <c r="H9549">
        <v>4571</v>
      </c>
      <c r="I9549" t="s">
        <v>181</v>
      </c>
      <c r="J9549">
        <v>605.79</v>
      </c>
      <c r="K9549">
        <v>117.25</v>
      </c>
      <c r="L9549">
        <v>17739</v>
      </c>
      <c r="M9549" t="s">
        <v>374</v>
      </c>
      <c r="N9549" t="str">
        <f>"799         "</f>
        <v xml:space="preserve">799         </v>
      </c>
      <c r="O9549">
        <v>230808</v>
      </c>
    </row>
    <row r="9550" spans="1:15" x14ac:dyDescent="0.25">
      <c r="A9550" t="s">
        <v>16</v>
      </c>
      <c r="B9550" t="s">
        <v>3221</v>
      </c>
      <c r="C9550">
        <v>10087</v>
      </c>
      <c r="D9550" t="s">
        <v>806</v>
      </c>
      <c r="E9550" t="s">
        <v>807</v>
      </c>
      <c r="F9550">
        <v>1465.64</v>
      </c>
      <c r="G9550">
        <v>230801</v>
      </c>
      <c r="H9550">
        <v>4571</v>
      </c>
      <c r="I9550" t="s">
        <v>181</v>
      </c>
      <c r="J9550">
        <v>1817.39</v>
      </c>
      <c r="K9550">
        <v>351.75</v>
      </c>
      <c r="L9550">
        <v>17912</v>
      </c>
      <c r="M9550" t="s">
        <v>419</v>
      </c>
      <c r="N9550" t="str">
        <f>"799         "</f>
        <v xml:space="preserve">799         </v>
      </c>
      <c r="O9550">
        <v>230808</v>
      </c>
    </row>
    <row r="9551" spans="1:15" x14ac:dyDescent="0.25">
      <c r="A9551" t="s">
        <v>16</v>
      </c>
      <c r="B9551" t="s">
        <v>3221</v>
      </c>
      <c r="C9551">
        <v>10087</v>
      </c>
      <c r="D9551" t="s">
        <v>806</v>
      </c>
      <c r="E9551" t="s">
        <v>807</v>
      </c>
      <c r="F9551">
        <v>2931.27</v>
      </c>
      <c r="G9551">
        <v>230801</v>
      </c>
      <c r="H9551">
        <v>4571</v>
      </c>
      <c r="I9551" t="s">
        <v>181</v>
      </c>
      <c r="J9551">
        <v>3634.78</v>
      </c>
      <c r="K9551">
        <v>703.51</v>
      </c>
      <c r="L9551">
        <v>17952</v>
      </c>
      <c r="M9551" t="s">
        <v>88</v>
      </c>
      <c r="N9551" t="str">
        <f>"799         "</f>
        <v xml:space="preserve">799         </v>
      </c>
      <c r="O9551">
        <v>230808</v>
      </c>
    </row>
    <row r="9552" spans="1:15" x14ac:dyDescent="0.25">
      <c r="A9552" t="s">
        <v>16</v>
      </c>
      <c r="B9552" t="s">
        <v>3221</v>
      </c>
      <c r="C9552">
        <v>11287</v>
      </c>
      <c r="D9552" t="s">
        <v>806</v>
      </c>
      <c r="E9552" t="s">
        <v>807</v>
      </c>
      <c r="F9552">
        <v>514.52</v>
      </c>
      <c r="G9552">
        <v>230831</v>
      </c>
      <c r="H9552">
        <v>4571</v>
      </c>
      <c r="I9552" t="s">
        <v>181</v>
      </c>
      <c r="J9552">
        <v>638.01</v>
      </c>
      <c r="K9552">
        <v>123.49</v>
      </c>
      <c r="L9552">
        <v>17739</v>
      </c>
      <c r="M9552" t="s">
        <v>374</v>
      </c>
      <c r="N9552" t="str">
        <f>"801         "</f>
        <v xml:space="preserve">801         </v>
      </c>
      <c r="O9552">
        <v>230904</v>
      </c>
    </row>
    <row r="9553" spans="1:15" x14ac:dyDescent="0.25">
      <c r="A9553" t="s">
        <v>16</v>
      </c>
      <c r="B9553" t="s">
        <v>3221</v>
      </c>
      <c r="C9553">
        <v>11287</v>
      </c>
      <c r="D9553" t="s">
        <v>806</v>
      </c>
      <c r="E9553" t="s">
        <v>807</v>
      </c>
      <c r="F9553">
        <v>1543.58</v>
      </c>
      <c r="G9553">
        <v>230831</v>
      </c>
      <c r="H9553">
        <v>4571</v>
      </c>
      <c r="I9553" t="s">
        <v>181</v>
      </c>
      <c r="J9553">
        <v>1914.04</v>
      </c>
      <c r="K9553">
        <v>370.46</v>
      </c>
      <c r="L9553">
        <v>17912</v>
      </c>
      <c r="M9553" t="s">
        <v>419</v>
      </c>
      <c r="N9553" t="str">
        <f>"801         "</f>
        <v xml:space="preserve">801         </v>
      </c>
      <c r="O9553">
        <v>230904</v>
      </c>
    </row>
    <row r="9554" spans="1:15" x14ac:dyDescent="0.25">
      <c r="A9554" t="s">
        <v>16</v>
      </c>
      <c r="B9554" t="s">
        <v>3221</v>
      </c>
      <c r="C9554">
        <v>11287</v>
      </c>
      <c r="D9554" t="s">
        <v>806</v>
      </c>
      <c r="E9554" t="s">
        <v>807</v>
      </c>
      <c r="F9554">
        <v>3087.15</v>
      </c>
      <c r="G9554">
        <v>230831</v>
      </c>
      <c r="H9554">
        <v>4571</v>
      </c>
      <c r="I9554" t="s">
        <v>181</v>
      </c>
      <c r="J9554">
        <v>3828.07</v>
      </c>
      <c r="K9554">
        <v>740.92</v>
      </c>
      <c r="L9554">
        <v>17952</v>
      </c>
      <c r="M9554" t="s">
        <v>88</v>
      </c>
      <c r="N9554" t="str">
        <f>"801         "</f>
        <v xml:space="preserve">801         </v>
      </c>
      <c r="O9554">
        <v>230904</v>
      </c>
    </row>
    <row r="9555" spans="1:15" x14ac:dyDescent="0.25">
      <c r="A9555" t="s">
        <v>16</v>
      </c>
      <c r="B9555" t="s">
        <v>3221</v>
      </c>
      <c r="C9555">
        <v>13199</v>
      </c>
      <c r="D9555" t="s">
        <v>806</v>
      </c>
      <c r="E9555" t="s">
        <v>807</v>
      </c>
      <c r="F9555">
        <v>685.7</v>
      </c>
      <c r="G9555">
        <v>231002</v>
      </c>
      <c r="H9555">
        <v>4571</v>
      </c>
      <c r="I9555" t="s">
        <v>181</v>
      </c>
      <c r="J9555">
        <v>850.27</v>
      </c>
      <c r="K9555">
        <v>164.57</v>
      </c>
      <c r="L9555">
        <v>17739</v>
      </c>
      <c r="M9555" t="s">
        <v>374</v>
      </c>
      <c r="N9555" t="str">
        <f>"810         "</f>
        <v xml:space="preserve">810         </v>
      </c>
      <c r="O9555">
        <v>231005</v>
      </c>
    </row>
    <row r="9556" spans="1:15" x14ac:dyDescent="0.25">
      <c r="A9556" t="s">
        <v>16</v>
      </c>
      <c r="B9556" t="s">
        <v>3221</v>
      </c>
      <c r="C9556">
        <v>13199</v>
      </c>
      <c r="D9556" t="s">
        <v>806</v>
      </c>
      <c r="E9556" t="s">
        <v>807</v>
      </c>
      <c r="F9556">
        <v>2057.1</v>
      </c>
      <c r="G9556">
        <v>231002</v>
      </c>
      <c r="H9556">
        <v>4571</v>
      </c>
      <c r="I9556" t="s">
        <v>181</v>
      </c>
      <c r="J9556">
        <v>2550.8000000000002</v>
      </c>
      <c r="K9556">
        <v>493.7</v>
      </c>
      <c r="L9556">
        <v>17912</v>
      </c>
      <c r="M9556" t="s">
        <v>419</v>
      </c>
      <c r="N9556" t="str">
        <f>"810         "</f>
        <v xml:space="preserve">810         </v>
      </c>
      <c r="O9556">
        <v>231005</v>
      </c>
    </row>
    <row r="9557" spans="1:15" x14ac:dyDescent="0.25">
      <c r="A9557" t="s">
        <v>16</v>
      </c>
      <c r="B9557" t="s">
        <v>3221</v>
      </c>
      <c r="C9557">
        <v>13199</v>
      </c>
      <c r="D9557" t="s">
        <v>806</v>
      </c>
      <c r="E9557" t="s">
        <v>807</v>
      </c>
      <c r="F9557">
        <v>4114.1899999999996</v>
      </c>
      <c r="G9557">
        <v>231002</v>
      </c>
      <c r="H9557">
        <v>4571</v>
      </c>
      <c r="I9557" t="s">
        <v>181</v>
      </c>
      <c r="J9557">
        <v>5101.59</v>
      </c>
      <c r="K9557">
        <v>987.4</v>
      </c>
      <c r="L9557">
        <v>17952</v>
      </c>
      <c r="M9557" t="s">
        <v>88</v>
      </c>
      <c r="N9557" t="str">
        <f>"810         "</f>
        <v xml:space="preserve">810         </v>
      </c>
      <c r="O9557">
        <v>231005</v>
      </c>
    </row>
    <row r="9558" spans="1:15" x14ac:dyDescent="0.25">
      <c r="A9558" t="s">
        <v>16</v>
      </c>
      <c r="B9558" t="s">
        <v>3221</v>
      </c>
      <c r="C9558">
        <v>14933</v>
      </c>
      <c r="D9558" t="s">
        <v>806</v>
      </c>
      <c r="E9558" t="s">
        <v>807</v>
      </c>
      <c r="F9558">
        <v>1170.9000000000001</v>
      </c>
      <c r="G9558">
        <v>231031</v>
      </c>
      <c r="H9558">
        <v>4571</v>
      </c>
      <c r="I9558" t="s">
        <v>181</v>
      </c>
      <c r="J9558">
        <v>1451.92</v>
      </c>
      <c r="K9558">
        <v>281.02</v>
      </c>
      <c r="L9558">
        <v>17739</v>
      </c>
      <c r="M9558" t="s">
        <v>374</v>
      </c>
      <c r="N9558" t="str">
        <f>"812         "</f>
        <v xml:space="preserve">812         </v>
      </c>
      <c r="O9558">
        <v>231107</v>
      </c>
    </row>
    <row r="9559" spans="1:15" x14ac:dyDescent="0.25">
      <c r="A9559" t="s">
        <v>16</v>
      </c>
      <c r="B9559" t="s">
        <v>3221</v>
      </c>
      <c r="C9559">
        <v>14933</v>
      </c>
      <c r="D9559" t="s">
        <v>806</v>
      </c>
      <c r="E9559" t="s">
        <v>807</v>
      </c>
      <c r="F9559">
        <v>3512.72</v>
      </c>
      <c r="G9559">
        <v>231031</v>
      </c>
      <c r="H9559">
        <v>4571</v>
      </c>
      <c r="I9559" t="s">
        <v>181</v>
      </c>
      <c r="J9559">
        <v>4355.7700000000004</v>
      </c>
      <c r="K9559">
        <v>843.05</v>
      </c>
      <c r="L9559">
        <v>17912</v>
      </c>
      <c r="M9559" t="s">
        <v>419</v>
      </c>
      <c r="N9559" t="str">
        <f>"812         "</f>
        <v xml:space="preserve">812         </v>
      </c>
      <c r="O9559">
        <v>231107</v>
      </c>
    </row>
    <row r="9560" spans="1:15" x14ac:dyDescent="0.25">
      <c r="A9560" t="s">
        <v>16</v>
      </c>
      <c r="B9560" t="s">
        <v>3221</v>
      </c>
      <c r="C9560">
        <v>14933</v>
      </c>
      <c r="D9560" t="s">
        <v>806</v>
      </c>
      <c r="E9560" t="s">
        <v>807</v>
      </c>
      <c r="F9560">
        <v>7025.43</v>
      </c>
      <c r="G9560">
        <v>231031</v>
      </c>
      <c r="H9560">
        <v>4571</v>
      </c>
      <c r="I9560" t="s">
        <v>181</v>
      </c>
      <c r="J9560">
        <v>8711.5300000000007</v>
      </c>
      <c r="K9560">
        <v>1686.1</v>
      </c>
      <c r="L9560">
        <v>17952</v>
      </c>
      <c r="M9560" t="s">
        <v>88</v>
      </c>
      <c r="N9560" t="str">
        <f>"812         "</f>
        <v xml:space="preserve">812         </v>
      </c>
      <c r="O9560">
        <v>231107</v>
      </c>
    </row>
    <row r="9561" spans="1:15" x14ac:dyDescent="0.25">
      <c r="A9561" t="s">
        <v>16</v>
      </c>
      <c r="B9561" t="s">
        <v>3221</v>
      </c>
      <c r="C9561">
        <v>16649</v>
      </c>
      <c r="D9561" t="s">
        <v>806</v>
      </c>
      <c r="E9561" t="s">
        <v>807</v>
      </c>
      <c r="F9561">
        <v>1446.55</v>
      </c>
      <c r="G9561">
        <v>231201</v>
      </c>
      <c r="H9561">
        <v>4571</v>
      </c>
      <c r="I9561" t="s">
        <v>181</v>
      </c>
      <c r="J9561">
        <v>1793.72</v>
      </c>
      <c r="K9561">
        <v>347.17</v>
      </c>
      <c r="L9561">
        <v>17739</v>
      </c>
      <c r="M9561" t="s">
        <v>374</v>
      </c>
      <c r="N9561" t="str">
        <f>"814         "</f>
        <v xml:space="preserve">814         </v>
      </c>
      <c r="O9561">
        <v>231205</v>
      </c>
    </row>
    <row r="9562" spans="1:15" x14ac:dyDescent="0.25">
      <c r="A9562" t="s">
        <v>16</v>
      </c>
      <c r="B9562" t="s">
        <v>3221</v>
      </c>
      <c r="C9562">
        <v>16649</v>
      </c>
      <c r="D9562" t="s">
        <v>806</v>
      </c>
      <c r="E9562" t="s">
        <v>807</v>
      </c>
      <c r="F9562">
        <v>4339.6499999999996</v>
      </c>
      <c r="G9562">
        <v>231201</v>
      </c>
      <c r="H9562">
        <v>4571</v>
      </c>
      <c r="I9562" t="s">
        <v>181</v>
      </c>
      <c r="J9562">
        <v>5381.17</v>
      </c>
      <c r="K9562">
        <v>1041.52</v>
      </c>
      <c r="L9562">
        <v>17912</v>
      </c>
      <c r="M9562" t="s">
        <v>419</v>
      </c>
      <c r="N9562" t="str">
        <f>"814         "</f>
        <v xml:space="preserve">814         </v>
      </c>
      <c r="O9562">
        <v>231205</v>
      </c>
    </row>
    <row r="9563" spans="1:15" x14ac:dyDescent="0.25">
      <c r="A9563" t="s">
        <v>16</v>
      </c>
      <c r="B9563" t="s">
        <v>3221</v>
      </c>
      <c r="C9563">
        <v>16649</v>
      </c>
      <c r="D9563" t="s">
        <v>806</v>
      </c>
      <c r="E9563" t="s">
        <v>807</v>
      </c>
      <c r="F9563">
        <v>8679.2999999999993</v>
      </c>
      <c r="G9563">
        <v>231201</v>
      </c>
      <c r="H9563">
        <v>4571</v>
      </c>
      <c r="I9563" t="s">
        <v>181</v>
      </c>
      <c r="J9563">
        <v>10762.33</v>
      </c>
      <c r="K9563">
        <v>2083.0300000000002</v>
      </c>
      <c r="L9563">
        <v>17952</v>
      </c>
      <c r="M9563" t="s">
        <v>88</v>
      </c>
      <c r="N9563" t="str">
        <f>"814         "</f>
        <v xml:space="preserve">814         </v>
      </c>
      <c r="O9563">
        <v>231205</v>
      </c>
    </row>
    <row r="9564" spans="1:15" x14ac:dyDescent="0.25">
      <c r="A9564" t="s">
        <v>16</v>
      </c>
      <c r="B9564" t="s">
        <v>3221</v>
      </c>
      <c r="C9564">
        <v>18602</v>
      </c>
      <c r="D9564" t="s">
        <v>806</v>
      </c>
      <c r="E9564" t="s">
        <v>807</v>
      </c>
      <c r="F9564">
        <v>1736.14</v>
      </c>
      <c r="G9564">
        <v>240102</v>
      </c>
      <c r="H9564">
        <v>4571</v>
      </c>
      <c r="I9564" t="s">
        <v>181</v>
      </c>
      <c r="J9564">
        <v>2152.81</v>
      </c>
      <c r="K9564">
        <v>416.67</v>
      </c>
      <c r="L9564">
        <v>17739</v>
      </c>
      <c r="M9564" t="s">
        <v>374</v>
      </c>
      <c r="N9564" t="str">
        <f>"823         "</f>
        <v xml:space="preserve">823         </v>
      </c>
      <c r="O9564">
        <v>240104</v>
      </c>
    </row>
    <row r="9565" spans="1:15" x14ac:dyDescent="0.25">
      <c r="A9565" t="s">
        <v>16</v>
      </c>
      <c r="B9565" t="s">
        <v>3221</v>
      </c>
      <c r="C9565">
        <v>18602</v>
      </c>
      <c r="D9565" t="s">
        <v>806</v>
      </c>
      <c r="E9565" t="s">
        <v>807</v>
      </c>
      <c r="F9565">
        <v>5208.41</v>
      </c>
      <c r="G9565">
        <v>240102</v>
      </c>
      <c r="H9565">
        <v>4571</v>
      </c>
      <c r="I9565" t="s">
        <v>181</v>
      </c>
      <c r="J9565">
        <v>6458.43</v>
      </c>
      <c r="K9565">
        <v>1250.02</v>
      </c>
      <c r="L9565">
        <v>17912</v>
      </c>
      <c r="M9565" t="s">
        <v>419</v>
      </c>
      <c r="N9565" t="str">
        <f>"823         "</f>
        <v xml:space="preserve">823         </v>
      </c>
      <c r="O9565">
        <v>240104</v>
      </c>
    </row>
    <row r="9566" spans="1:15" x14ac:dyDescent="0.25">
      <c r="A9566" t="s">
        <v>16</v>
      </c>
      <c r="B9566" t="s">
        <v>3221</v>
      </c>
      <c r="C9566">
        <v>18602</v>
      </c>
      <c r="D9566" t="s">
        <v>806</v>
      </c>
      <c r="E9566" t="s">
        <v>807</v>
      </c>
      <c r="F9566">
        <v>10416.82</v>
      </c>
      <c r="G9566">
        <v>240102</v>
      </c>
      <c r="H9566">
        <v>4571</v>
      </c>
      <c r="I9566" t="s">
        <v>181</v>
      </c>
      <c r="J9566">
        <v>12916.86</v>
      </c>
      <c r="K9566">
        <v>2500.04</v>
      </c>
      <c r="L9566">
        <v>17952</v>
      </c>
      <c r="M9566" t="s">
        <v>88</v>
      </c>
      <c r="N9566" t="str">
        <f>"823         "</f>
        <v xml:space="preserve">823         </v>
      </c>
      <c r="O9566">
        <v>240104</v>
      </c>
    </row>
    <row r="9567" spans="1:15" x14ac:dyDescent="0.25">
      <c r="A9567" t="s">
        <v>16</v>
      </c>
      <c r="B9567" t="s">
        <v>3221</v>
      </c>
      <c r="C9567">
        <v>940</v>
      </c>
      <c r="D9567" t="s">
        <v>806</v>
      </c>
      <c r="E9567" t="s">
        <v>807</v>
      </c>
      <c r="F9567">
        <v>1208.04</v>
      </c>
      <c r="G9567">
        <v>230131</v>
      </c>
      <c r="H9567">
        <v>4572</v>
      </c>
      <c r="I9567" t="s">
        <v>122</v>
      </c>
      <c r="J9567">
        <v>1497.97</v>
      </c>
      <c r="K9567">
        <v>289.93</v>
      </c>
      <c r="L9567">
        <v>17739</v>
      </c>
      <c r="M9567" t="s">
        <v>374</v>
      </c>
      <c r="N9567" t="str">
        <f>"750         "</f>
        <v xml:space="preserve">750         </v>
      </c>
      <c r="O9567">
        <v>230201</v>
      </c>
    </row>
    <row r="9568" spans="1:15" x14ac:dyDescent="0.25">
      <c r="A9568" t="s">
        <v>16</v>
      </c>
      <c r="B9568" t="s">
        <v>3221</v>
      </c>
      <c r="C9568">
        <v>940</v>
      </c>
      <c r="D9568" t="s">
        <v>806</v>
      </c>
      <c r="E9568" t="s">
        <v>807</v>
      </c>
      <c r="F9568">
        <v>3624.12</v>
      </c>
      <c r="G9568">
        <v>230131</v>
      </c>
      <c r="H9568">
        <v>4572</v>
      </c>
      <c r="I9568" t="s">
        <v>122</v>
      </c>
      <c r="J9568">
        <v>4493.91</v>
      </c>
      <c r="K9568">
        <v>869.79</v>
      </c>
      <c r="L9568">
        <v>17912</v>
      </c>
      <c r="M9568" t="s">
        <v>419</v>
      </c>
      <c r="N9568" t="str">
        <f>"750         "</f>
        <v xml:space="preserve">750         </v>
      </c>
      <c r="O9568">
        <v>230201</v>
      </c>
    </row>
    <row r="9569" spans="1:15" x14ac:dyDescent="0.25">
      <c r="A9569" t="s">
        <v>16</v>
      </c>
      <c r="B9569" t="s">
        <v>3221</v>
      </c>
      <c r="C9569">
        <v>940</v>
      </c>
      <c r="D9569" t="s">
        <v>806</v>
      </c>
      <c r="E9569" t="s">
        <v>807</v>
      </c>
      <c r="F9569">
        <v>7248.25</v>
      </c>
      <c r="G9569">
        <v>230131</v>
      </c>
      <c r="H9569">
        <v>4572</v>
      </c>
      <c r="I9569" t="s">
        <v>122</v>
      </c>
      <c r="J9569">
        <v>8987.83</v>
      </c>
      <c r="K9569">
        <v>1739.58</v>
      </c>
      <c r="L9569">
        <v>17952</v>
      </c>
      <c r="M9569" t="s">
        <v>88</v>
      </c>
      <c r="N9569" t="str">
        <f>"750         "</f>
        <v xml:space="preserve">750         </v>
      </c>
      <c r="O9569">
        <v>230201</v>
      </c>
    </row>
    <row r="9570" spans="1:15" x14ac:dyDescent="0.25">
      <c r="A9570" t="s">
        <v>16</v>
      </c>
      <c r="B9570" t="s">
        <v>3221</v>
      </c>
      <c r="C9570">
        <v>2559</v>
      </c>
      <c r="D9570" t="s">
        <v>806</v>
      </c>
      <c r="E9570" t="s">
        <v>807</v>
      </c>
      <c r="F9570">
        <v>1134.3499999999999</v>
      </c>
      <c r="G9570">
        <v>230301</v>
      </c>
      <c r="H9570">
        <v>4572</v>
      </c>
      <c r="I9570" t="s">
        <v>122</v>
      </c>
      <c r="J9570">
        <v>1406.59</v>
      </c>
      <c r="K9570">
        <v>272.24</v>
      </c>
      <c r="L9570">
        <v>17739</v>
      </c>
      <c r="M9570" t="s">
        <v>374</v>
      </c>
      <c r="N9570" t="str">
        <f>"757         "</f>
        <v xml:space="preserve">757         </v>
      </c>
      <c r="O9570">
        <v>230302</v>
      </c>
    </row>
    <row r="9571" spans="1:15" x14ac:dyDescent="0.25">
      <c r="A9571" t="s">
        <v>16</v>
      </c>
      <c r="B9571" t="s">
        <v>3221</v>
      </c>
      <c r="C9571">
        <v>2559</v>
      </c>
      <c r="D9571" t="s">
        <v>806</v>
      </c>
      <c r="E9571" t="s">
        <v>807</v>
      </c>
      <c r="F9571">
        <v>3403.03</v>
      </c>
      <c r="G9571">
        <v>230301</v>
      </c>
      <c r="H9571">
        <v>4572</v>
      </c>
      <c r="I9571" t="s">
        <v>122</v>
      </c>
      <c r="J9571">
        <v>4219.76</v>
      </c>
      <c r="K9571">
        <v>816.73</v>
      </c>
      <c r="L9571">
        <v>17912</v>
      </c>
      <c r="M9571" t="s">
        <v>419</v>
      </c>
      <c r="N9571" t="str">
        <f>"757         "</f>
        <v xml:space="preserve">757         </v>
      </c>
      <c r="O9571">
        <v>230302</v>
      </c>
    </row>
    <row r="9572" spans="1:15" x14ac:dyDescent="0.25">
      <c r="A9572" t="s">
        <v>16</v>
      </c>
      <c r="B9572" t="s">
        <v>3221</v>
      </c>
      <c r="C9572">
        <v>2559</v>
      </c>
      <c r="D9572" t="s">
        <v>806</v>
      </c>
      <c r="E9572" t="s">
        <v>807</v>
      </c>
      <c r="F9572">
        <v>6806.07</v>
      </c>
      <c r="G9572">
        <v>230301</v>
      </c>
      <c r="H9572">
        <v>4572</v>
      </c>
      <c r="I9572" t="s">
        <v>122</v>
      </c>
      <c r="J9572">
        <v>8439.5300000000007</v>
      </c>
      <c r="K9572">
        <v>1633.46</v>
      </c>
      <c r="L9572">
        <v>17952</v>
      </c>
      <c r="M9572" t="s">
        <v>88</v>
      </c>
      <c r="N9572" t="str">
        <f>"757         "</f>
        <v xml:space="preserve">757         </v>
      </c>
      <c r="O9572">
        <v>230302</v>
      </c>
    </row>
    <row r="9573" spans="1:15" x14ac:dyDescent="0.25">
      <c r="A9573" t="s">
        <v>16</v>
      </c>
      <c r="B9573" t="s">
        <v>3221</v>
      </c>
      <c r="C9573">
        <v>4322</v>
      </c>
      <c r="D9573" t="s">
        <v>806</v>
      </c>
      <c r="E9573" t="s">
        <v>807</v>
      </c>
      <c r="F9573">
        <v>1625.74</v>
      </c>
      <c r="G9573">
        <v>230403</v>
      </c>
      <c r="H9573">
        <v>4572</v>
      </c>
      <c r="I9573" t="s">
        <v>122</v>
      </c>
      <c r="J9573">
        <v>2015.92</v>
      </c>
      <c r="K9573">
        <v>390.18</v>
      </c>
      <c r="L9573">
        <v>17739</v>
      </c>
      <c r="M9573" t="s">
        <v>374</v>
      </c>
      <c r="N9573" t="str">
        <f>"762         "</f>
        <v xml:space="preserve">762         </v>
      </c>
      <c r="O9573">
        <v>230404</v>
      </c>
    </row>
    <row r="9574" spans="1:15" x14ac:dyDescent="0.25">
      <c r="A9574" t="s">
        <v>16</v>
      </c>
      <c r="B9574" t="s">
        <v>3221</v>
      </c>
      <c r="C9574">
        <v>4322</v>
      </c>
      <c r="D9574" t="s">
        <v>806</v>
      </c>
      <c r="E9574" t="s">
        <v>807</v>
      </c>
      <c r="F9574">
        <v>4877.2299999999996</v>
      </c>
      <c r="G9574">
        <v>230403</v>
      </c>
      <c r="H9574">
        <v>4572</v>
      </c>
      <c r="I9574" t="s">
        <v>122</v>
      </c>
      <c r="J9574">
        <v>6047.76</v>
      </c>
      <c r="K9574">
        <v>1170.53</v>
      </c>
      <c r="L9574">
        <v>17912</v>
      </c>
      <c r="M9574" t="s">
        <v>419</v>
      </c>
      <c r="N9574" t="str">
        <f>"762         "</f>
        <v xml:space="preserve">762         </v>
      </c>
      <c r="O9574">
        <v>230404</v>
      </c>
    </row>
    <row r="9575" spans="1:15" x14ac:dyDescent="0.25">
      <c r="A9575" t="s">
        <v>16</v>
      </c>
      <c r="B9575" t="s">
        <v>3221</v>
      </c>
      <c r="C9575">
        <v>4322</v>
      </c>
      <c r="D9575" t="s">
        <v>806</v>
      </c>
      <c r="E9575" t="s">
        <v>807</v>
      </c>
      <c r="F9575">
        <v>9754.4599999999991</v>
      </c>
      <c r="G9575">
        <v>230403</v>
      </c>
      <c r="H9575">
        <v>4572</v>
      </c>
      <c r="I9575" t="s">
        <v>122</v>
      </c>
      <c r="J9575">
        <v>12095.53</v>
      </c>
      <c r="K9575">
        <v>2341.0700000000002</v>
      </c>
      <c r="L9575">
        <v>17952</v>
      </c>
      <c r="M9575" t="s">
        <v>88</v>
      </c>
      <c r="N9575" t="str">
        <f>"762         "</f>
        <v xml:space="preserve">762         </v>
      </c>
      <c r="O9575">
        <v>230404</v>
      </c>
    </row>
    <row r="9576" spans="1:15" x14ac:dyDescent="0.25">
      <c r="A9576" t="s">
        <v>16</v>
      </c>
      <c r="B9576" t="s">
        <v>3221</v>
      </c>
      <c r="C9576">
        <v>4662</v>
      </c>
      <c r="D9576" t="s">
        <v>3654</v>
      </c>
      <c r="E9576" t="s">
        <v>700</v>
      </c>
      <c r="F9576">
        <v>67.19</v>
      </c>
      <c r="G9576">
        <v>230331</v>
      </c>
      <c r="H9576">
        <v>4346</v>
      </c>
      <c r="I9576" t="s">
        <v>197</v>
      </c>
      <c r="J9576">
        <v>83.32</v>
      </c>
      <c r="K9576">
        <v>16.13</v>
      </c>
      <c r="L9576">
        <v>69704</v>
      </c>
      <c r="M9576" t="s">
        <v>325</v>
      </c>
      <c r="N9576" t="str">
        <f>"2122027413  "</f>
        <v xml:space="preserve">2122027413  </v>
      </c>
      <c r="O9576">
        <v>230411</v>
      </c>
    </row>
    <row r="9577" spans="1:15" x14ac:dyDescent="0.25">
      <c r="A9577" t="s">
        <v>16</v>
      </c>
      <c r="B9577" t="s">
        <v>3221</v>
      </c>
      <c r="C9577">
        <v>4664</v>
      </c>
      <c r="D9577" t="s">
        <v>3654</v>
      </c>
      <c r="E9577" t="s">
        <v>700</v>
      </c>
      <c r="F9577">
        <v>73.97</v>
      </c>
      <c r="G9577">
        <v>230331</v>
      </c>
      <c r="H9577">
        <v>4346</v>
      </c>
      <c r="I9577" t="s">
        <v>197</v>
      </c>
      <c r="J9577">
        <v>91.72</v>
      </c>
      <c r="K9577">
        <v>17.75</v>
      </c>
      <c r="L9577">
        <v>69704</v>
      </c>
      <c r="M9577" t="s">
        <v>325</v>
      </c>
      <c r="N9577" t="str">
        <f>"2122027416  "</f>
        <v xml:space="preserve">2122027416  </v>
      </c>
      <c r="O9577">
        <v>230411</v>
      </c>
    </row>
    <row r="9578" spans="1:15" x14ac:dyDescent="0.25">
      <c r="A9578" t="s">
        <v>16</v>
      </c>
      <c r="B9578" t="s">
        <v>3221</v>
      </c>
      <c r="C9578">
        <v>4673</v>
      </c>
      <c r="D9578" t="s">
        <v>3654</v>
      </c>
      <c r="E9578" t="s">
        <v>700</v>
      </c>
      <c r="F9578">
        <v>26.47</v>
      </c>
      <c r="G9578">
        <v>230331</v>
      </c>
      <c r="H9578">
        <v>4346</v>
      </c>
      <c r="I9578" t="s">
        <v>197</v>
      </c>
      <c r="J9578">
        <v>32.82</v>
      </c>
      <c r="K9578">
        <v>6.35</v>
      </c>
      <c r="L9578">
        <v>66756</v>
      </c>
      <c r="M9578" t="s">
        <v>209</v>
      </c>
      <c r="N9578" t="str">
        <f>"2122027414  "</f>
        <v xml:space="preserve">2122027414  </v>
      </c>
      <c r="O9578">
        <v>230411</v>
      </c>
    </row>
    <row r="9579" spans="1:15" x14ac:dyDescent="0.25">
      <c r="A9579" t="s">
        <v>16</v>
      </c>
      <c r="B9579" t="s">
        <v>3221</v>
      </c>
      <c r="C9579">
        <v>4686</v>
      </c>
      <c r="D9579" t="s">
        <v>3654</v>
      </c>
      <c r="E9579" t="s">
        <v>700</v>
      </c>
      <c r="F9579">
        <v>124.95</v>
      </c>
      <c r="G9579">
        <v>230331</v>
      </c>
      <c r="H9579">
        <v>4346</v>
      </c>
      <c r="I9579" t="s">
        <v>197</v>
      </c>
      <c r="J9579">
        <v>154.94</v>
      </c>
      <c r="K9579">
        <v>29.99</v>
      </c>
      <c r="L9579">
        <v>69702</v>
      </c>
      <c r="M9579" t="s">
        <v>489</v>
      </c>
      <c r="N9579" t="str">
        <f>"2122027415  "</f>
        <v xml:space="preserve">2122027415  </v>
      </c>
      <c r="O9579">
        <v>230411</v>
      </c>
    </row>
    <row r="9580" spans="1:15" x14ac:dyDescent="0.25">
      <c r="A9580" t="s">
        <v>16</v>
      </c>
      <c r="B9580" t="s">
        <v>3221</v>
      </c>
      <c r="C9580">
        <v>7290</v>
      </c>
      <c r="D9580" t="s">
        <v>3654</v>
      </c>
      <c r="E9580" t="s">
        <v>700</v>
      </c>
      <c r="F9580">
        <v>20.69</v>
      </c>
      <c r="G9580">
        <v>230525</v>
      </c>
      <c r="H9580">
        <v>4346</v>
      </c>
      <c r="I9580" t="s">
        <v>197</v>
      </c>
      <c r="J9580">
        <v>25.66</v>
      </c>
      <c r="K9580">
        <v>4.97</v>
      </c>
      <c r="L9580">
        <v>69703</v>
      </c>
      <c r="M9580" t="s">
        <v>1036</v>
      </c>
      <c r="N9580" t="str">
        <f>"2123002988  "</f>
        <v xml:space="preserve">2123002988  </v>
      </c>
      <c r="O9580">
        <v>230526</v>
      </c>
    </row>
    <row r="9581" spans="1:15" x14ac:dyDescent="0.25">
      <c r="A9581" t="s">
        <v>16</v>
      </c>
      <c r="B9581" t="s">
        <v>3221</v>
      </c>
      <c r="C9581">
        <v>7290</v>
      </c>
      <c r="D9581" t="s">
        <v>3654</v>
      </c>
      <c r="E9581" t="s">
        <v>700</v>
      </c>
      <c r="F9581">
        <v>20.69</v>
      </c>
      <c r="G9581">
        <v>230525</v>
      </c>
      <c r="H9581">
        <v>4346</v>
      </c>
      <c r="I9581" t="s">
        <v>197</v>
      </c>
      <c r="J9581">
        <v>25.65</v>
      </c>
      <c r="K9581">
        <v>4.96</v>
      </c>
      <c r="L9581">
        <v>69704</v>
      </c>
      <c r="M9581" t="s">
        <v>325</v>
      </c>
      <c r="N9581" t="str">
        <f>"2123002988  "</f>
        <v xml:space="preserve">2123002988  </v>
      </c>
      <c r="O9581">
        <v>230526</v>
      </c>
    </row>
    <row r="9582" spans="1:15" x14ac:dyDescent="0.25">
      <c r="A9582" t="s">
        <v>16</v>
      </c>
      <c r="B9582" t="s">
        <v>3221</v>
      </c>
      <c r="C9582">
        <v>7298</v>
      </c>
      <c r="D9582" t="s">
        <v>3654</v>
      </c>
      <c r="E9582" t="s">
        <v>700</v>
      </c>
      <c r="F9582">
        <v>30.39</v>
      </c>
      <c r="G9582">
        <v>230525</v>
      </c>
      <c r="H9582">
        <v>4346</v>
      </c>
      <c r="I9582" t="s">
        <v>197</v>
      </c>
      <c r="J9582">
        <v>37.68</v>
      </c>
      <c r="K9582">
        <v>7.29</v>
      </c>
      <c r="L9582">
        <v>66756</v>
      </c>
      <c r="M9582" t="s">
        <v>209</v>
      </c>
      <c r="N9582" t="str">
        <f>"2123002989  "</f>
        <v xml:space="preserve">2123002989  </v>
      </c>
      <c r="O9582">
        <v>230526</v>
      </c>
    </row>
    <row r="9583" spans="1:15" x14ac:dyDescent="0.25">
      <c r="A9583" t="s">
        <v>16</v>
      </c>
      <c r="B9583" t="s">
        <v>3221</v>
      </c>
      <c r="C9583">
        <v>7300</v>
      </c>
      <c r="D9583" t="s">
        <v>3654</v>
      </c>
      <c r="E9583" t="s">
        <v>700</v>
      </c>
      <c r="F9583">
        <v>77.349999999999994</v>
      </c>
      <c r="G9583">
        <v>230525</v>
      </c>
      <c r="H9583">
        <v>4346</v>
      </c>
      <c r="I9583" t="s">
        <v>197</v>
      </c>
      <c r="J9583">
        <v>95.91</v>
      </c>
      <c r="K9583">
        <v>18.559999999999999</v>
      </c>
      <c r="L9583">
        <v>66722</v>
      </c>
      <c r="M9583" t="s">
        <v>518</v>
      </c>
      <c r="N9583" t="str">
        <f>"2123002992  "</f>
        <v xml:space="preserve">2123002992  </v>
      </c>
      <c r="O9583">
        <v>230526</v>
      </c>
    </row>
    <row r="9584" spans="1:15" x14ac:dyDescent="0.25">
      <c r="A9584" t="s">
        <v>16</v>
      </c>
      <c r="B9584" t="s">
        <v>3221</v>
      </c>
      <c r="C9584">
        <v>7300</v>
      </c>
      <c r="D9584" t="s">
        <v>3654</v>
      </c>
      <c r="E9584" t="s">
        <v>700</v>
      </c>
      <c r="F9584">
        <v>58.01</v>
      </c>
      <c r="G9584">
        <v>230525</v>
      </c>
      <c r="H9584">
        <v>4346</v>
      </c>
      <c r="I9584" t="s">
        <v>197</v>
      </c>
      <c r="J9584">
        <v>71.930000000000007</v>
      </c>
      <c r="K9584">
        <v>13.92</v>
      </c>
      <c r="L9584">
        <v>67522</v>
      </c>
      <c r="M9584" t="s">
        <v>397</v>
      </c>
      <c r="N9584" t="str">
        <f>"2123002992  "</f>
        <v xml:space="preserve">2123002992  </v>
      </c>
      <c r="O9584">
        <v>230526</v>
      </c>
    </row>
    <row r="9585" spans="1:15" x14ac:dyDescent="0.25">
      <c r="A9585" t="s">
        <v>16</v>
      </c>
      <c r="B9585" t="s">
        <v>3221</v>
      </c>
      <c r="C9585">
        <v>7300</v>
      </c>
      <c r="D9585" t="s">
        <v>3654</v>
      </c>
      <c r="E9585" t="s">
        <v>700</v>
      </c>
      <c r="F9585">
        <v>58.01</v>
      </c>
      <c r="G9585">
        <v>230525</v>
      </c>
      <c r="H9585">
        <v>4346</v>
      </c>
      <c r="I9585" t="s">
        <v>197</v>
      </c>
      <c r="J9585">
        <v>71.930000000000007</v>
      </c>
      <c r="K9585">
        <v>13.92</v>
      </c>
      <c r="L9585">
        <v>69702</v>
      </c>
      <c r="M9585" t="s">
        <v>489</v>
      </c>
      <c r="N9585" t="str">
        <f>"2123002992  "</f>
        <v xml:space="preserve">2123002992  </v>
      </c>
      <c r="O9585">
        <v>230526</v>
      </c>
    </row>
    <row r="9586" spans="1:15" x14ac:dyDescent="0.25">
      <c r="A9586" t="s">
        <v>16</v>
      </c>
      <c r="B9586" t="s">
        <v>3221</v>
      </c>
      <c r="C9586">
        <v>7302</v>
      </c>
      <c r="D9586" t="s">
        <v>3654</v>
      </c>
      <c r="E9586" t="s">
        <v>700</v>
      </c>
      <c r="F9586">
        <v>29.97</v>
      </c>
      <c r="G9586">
        <v>230525</v>
      </c>
      <c r="H9586">
        <v>4346</v>
      </c>
      <c r="I9586" t="s">
        <v>197</v>
      </c>
      <c r="J9586">
        <v>37.159999999999997</v>
      </c>
      <c r="K9586">
        <v>7.19</v>
      </c>
      <c r="L9586">
        <v>61122</v>
      </c>
      <c r="M9586" t="s">
        <v>402</v>
      </c>
      <c r="N9586" t="str">
        <f>"2123002991  "</f>
        <v xml:space="preserve">2123002991  </v>
      </c>
      <c r="O9586">
        <v>230526</v>
      </c>
    </row>
    <row r="9587" spans="1:15" x14ac:dyDescent="0.25">
      <c r="A9587" t="s">
        <v>16</v>
      </c>
      <c r="B9587" t="s">
        <v>3221</v>
      </c>
      <c r="C9587">
        <v>7302</v>
      </c>
      <c r="D9587" t="s">
        <v>3654</v>
      </c>
      <c r="E9587" t="s">
        <v>700</v>
      </c>
      <c r="F9587">
        <v>7.49</v>
      </c>
      <c r="G9587">
        <v>230525</v>
      </c>
      <c r="H9587">
        <v>4346</v>
      </c>
      <c r="I9587" t="s">
        <v>197</v>
      </c>
      <c r="J9587">
        <v>9.2899999999999991</v>
      </c>
      <c r="K9587">
        <v>1.8</v>
      </c>
      <c r="L9587">
        <v>61122</v>
      </c>
      <c r="M9587" t="s">
        <v>402</v>
      </c>
      <c r="N9587" t="str">
        <f>"2123002991  "</f>
        <v xml:space="preserve">2123002991  </v>
      </c>
      <c r="O9587">
        <v>230526</v>
      </c>
    </row>
    <row r="9588" spans="1:15" x14ac:dyDescent="0.25">
      <c r="A9588" t="s">
        <v>16</v>
      </c>
      <c r="B9588" t="s">
        <v>3221</v>
      </c>
      <c r="C9588">
        <v>7302</v>
      </c>
      <c r="D9588" t="s">
        <v>3654</v>
      </c>
      <c r="E9588" t="s">
        <v>700</v>
      </c>
      <c r="F9588">
        <v>16.059999999999999</v>
      </c>
      <c r="G9588">
        <v>230525</v>
      </c>
      <c r="H9588">
        <v>4346</v>
      </c>
      <c r="I9588" t="s">
        <v>197</v>
      </c>
      <c r="J9588">
        <v>19.91</v>
      </c>
      <c r="K9588">
        <v>3.85</v>
      </c>
      <c r="L9588">
        <v>65222</v>
      </c>
      <c r="M9588" t="s">
        <v>487</v>
      </c>
      <c r="N9588" t="str">
        <f>"2123002991  "</f>
        <v xml:space="preserve">2123002991  </v>
      </c>
      <c r="O9588">
        <v>230526</v>
      </c>
    </row>
    <row r="9589" spans="1:15" x14ac:dyDescent="0.25">
      <c r="A9589" t="s">
        <v>16</v>
      </c>
      <c r="B9589" t="s">
        <v>3221</v>
      </c>
      <c r="C9589">
        <v>17849</v>
      </c>
      <c r="D9589" t="s">
        <v>3654</v>
      </c>
      <c r="E9589" t="s">
        <v>700</v>
      </c>
      <c r="F9589">
        <v>66.62</v>
      </c>
      <c r="G9589">
        <v>231128</v>
      </c>
      <c r="H9589">
        <v>4346</v>
      </c>
      <c r="I9589" t="s">
        <v>197</v>
      </c>
      <c r="J9589">
        <v>82.61</v>
      </c>
      <c r="K9589">
        <v>15.99</v>
      </c>
      <c r="L9589">
        <v>69703</v>
      </c>
      <c r="M9589" t="s">
        <v>1036</v>
      </c>
      <c r="N9589" t="str">
        <f>"2123019894  "</f>
        <v xml:space="preserve">2123019894  </v>
      </c>
      <c r="O9589">
        <v>231227</v>
      </c>
    </row>
    <row r="9590" spans="1:15" x14ac:dyDescent="0.25">
      <c r="A9590" t="s">
        <v>16</v>
      </c>
      <c r="B9590" t="s">
        <v>3221</v>
      </c>
      <c r="C9590">
        <v>17853</v>
      </c>
      <c r="D9590" t="s">
        <v>3654</v>
      </c>
      <c r="E9590" t="s">
        <v>700</v>
      </c>
      <c r="F9590">
        <v>95.44</v>
      </c>
      <c r="G9590">
        <v>231128</v>
      </c>
      <c r="H9590">
        <v>4346</v>
      </c>
      <c r="I9590" t="s">
        <v>197</v>
      </c>
      <c r="J9590">
        <v>118.35</v>
      </c>
      <c r="K9590">
        <v>22.91</v>
      </c>
      <c r="L9590">
        <v>69701</v>
      </c>
      <c r="M9590" t="s">
        <v>488</v>
      </c>
      <c r="N9590" t="str">
        <f>"2123019896  "</f>
        <v xml:space="preserve">2123019896  </v>
      </c>
      <c r="O9590">
        <v>231227</v>
      </c>
    </row>
    <row r="9591" spans="1:15" x14ac:dyDescent="0.25">
      <c r="A9591" t="s">
        <v>16</v>
      </c>
      <c r="B9591" t="s">
        <v>3221</v>
      </c>
      <c r="C9591">
        <v>17855</v>
      </c>
      <c r="D9591" t="s">
        <v>3654</v>
      </c>
      <c r="E9591" t="s">
        <v>700</v>
      </c>
      <c r="F9591">
        <v>48.43</v>
      </c>
      <c r="G9591">
        <v>231128</v>
      </c>
      <c r="H9591">
        <v>4346</v>
      </c>
      <c r="I9591" t="s">
        <v>197</v>
      </c>
      <c r="J9591">
        <v>60.05</v>
      </c>
      <c r="K9591">
        <v>11.62</v>
      </c>
      <c r="L9591">
        <v>66756</v>
      </c>
      <c r="M9591" t="s">
        <v>209</v>
      </c>
      <c r="N9591" t="str">
        <f>"2123019895  "</f>
        <v xml:space="preserve">2123019895  </v>
      </c>
      <c r="O9591">
        <v>231227</v>
      </c>
    </row>
    <row r="9592" spans="1:15" x14ac:dyDescent="0.25">
      <c r="A9592" t="s">
        <v>16</v>
      </c>
      <c r="B9592" t="s">
        <v>3221</v>
      </c>
      <c r="C9592">
        <v>17858</v>
      </c>
      <c r="D9592" t="s">
        <v>3654</v>
      </c>
      <c r="E9592" t="s">
        <v>700</v>
      </c>
      <c r="F9592">
        <v>350.72</v>
      </c>
      <c r="G9592">
        <v>231128</v>
      </c>
      <c r="H9592">
        <v>4346</v>
      </c>
      <c r="I9592" t="s">
        <v>197</v>
      </c>
      <c r="J9592">
        <v>434.89</v>
      </c>
      <c r="K9592">
        <v>84.17</v>
      </c>
      <c r="L9592">
        <v>69702</v>
      </c>
      <c r="M9592" t="s">
        <v>489</v>
      </c>
      <c r="N9592" t="str">
        <f>"2123019898  "</f>
        <v xml:space="preserve">2123019898  </v>
      </c>
      <c r="O9592">
        <v>231227</v>
      </c>
    </row>
    <row r="9593" spans="1:15" x14ac:dyDescent="0.25">
      <c r="A9593" t="s">
        <v>16</v>
      </c>
      <c r="B9593" t="s">
        <v>3221</v>
      </c>
      <c r="C9593">
        <v>17867</v>
      </c>
      <c r="D9593" t="s">
        <v>3654</v>
      </c>
      <c r="E9593" t="s">
        <v>700</v>
      </c>
      <c r="F9593">
        <v>76.900000000000006</v>
      </c>
      <c r="G9593">
        <v>231128</v>
      </c>
      <c r="H9593">
        <v>4346</v>
      </c>
      <c r="I9593" t="s">
        <v>197</v>
      </c>
      <c r="J9593">
        <v>95.36</v>
      </c>
      <c r="K9593">
        <v>18.46</v>
      </c>
      <c r="L9593">
        <v>69704</v>
      </c>
      <c r="M9593" t="s">
        <v>325</v>
      </c>
      <c r="N9593" t="str">
        <f>"2123019897  "</f>
        <v xml:space="preserve">2123019897  </v>
      </c>
      <c r="O9593">
        <v>231227</v>
      </c>
    </row>
    <row r="9594" spans="1:15" x14ac:dyDescent="0.25">
      <c r="A9594" t="s">
        <v>16</v>
      </c>
      <c r="B9594" t="s">
        <v>3221</v>
      </c>
      <c r="C9594">
        <v>4354</v>
      </c>
      <c r="D9594" t="s">
        <v>3654</v>
      </c>
      <c r="E9594" t="s">
        <v>700</v>
      </c>
      <c r="F9594">
        <v>155.77000000000001</v>
      </c>
      <c r="G9594">
        <v>230331</v>
      </c>
      <c r="H9594">
        <v>4362</v>
      </c>
      <c r="I9594" t="s">
        <v>79</v>
      </c>
      <c r="J9594">
        <v>193.16</v>
      </c>
      <c r="K9594">
        <v>37.39</v>
      </c>
      <c r="L9594">
        <v>69701</v>
      </c>
      <c r="M9594" t="s">
        <v>488</v>
      </c>
      <c r="N9594" t="str">
        <f>"2122027417  "</f>
        <v xml:space="preserve">2122027417  </v>
      </c>
      <c r="O9594">
        <v>230404</v>
      </c>
    </row>
    <row r="9595" spans="1:15" x14ac:dyDescent="0.25">
      <c r="A9595" t="s">
        <v>16</v>
      </c>
      <c r="B9595" t="s">
        <v>3221</v>
      </c>
      <c r="C9595">
        <v>4354</v>
      </c>
      <c r="D9595" t="s">
        <v>3654</v>
      </c>
      <c r="E9595" t="s">
        <v>700</v>
      </c>
      <c r="F9595">
        <v>155.77000000000001</v>
      </c>
      <c r="G9595">
        <v>230331</v>
      </c>
      <c r="H9595">
        <v>4362</v>
      </c>
      <c r="I9595" t="s">
        <v>79</v>
      </c>
      <c r="J9595">
        <v>193.16</v>
      </c>
      <c r="K9595">
        <v>37.39</v>
      </c>
      <c r="L9595">
        <v>69702</v>
      </c>
      <c r="M9595" t="s">
        <v>489</v>
      </c>
      <c r="N9595" t="str">
        <f>"2122027417  "</f>
        <v xml:space="preserve">2122027417  </v>
      </c>
      <c r="O9595">
        <v>230404</v>
      </c>
    </row>
    <row r="9596" spans="1:15" x14ac:dyDescent="0.25">
      <c r="A9596" t="s">
        <v>16</v>
      </c>
      <c r="B9596" t="s">
        <v>3221</v>
      </c>
      <c r="C9596">
        <v>7301</v>
      </c>
      <c r="D9596" t="s">
        <v>3654</v>
      </c>
      <c r="E9596" t="s">
        <v>700</v>
      </c>
      <c r="F9596">
        <v>59.53</v>
      </c>
      <c r="G9596">
        <v>230525</v>
      </c>
      <c r="H9596">
        <v>4362</v>
      </c>
      <c r="I9596" t="s">
        <v>79</v>
      </c>
      <c r="J9596">
        <v>73.819999999999993</v>
      </c>
      <c r="K9596">
        <v>14.29</v>
      </c>
      <c r="L9596">
        <v>69701</v>
      </c>
      <c r="M9596" t="s">
        <v>488</v>
      </c>
      <c r="N9596" t="str">
        <f>"2123002990  "</f>
        <v xml:space="preserve">2123002990  </v>
      </c>
      <c r="O9596">
        <v>230526</v>
      </c>
    </row>
    <row r="9597" spans="1:15" x14ac:dyDescent="0.25">
      <c r="A9597" t="s">
        <v>16</v>
      </c>
      <c r="B9597" t="s">
        <v>3221</v>
      </c>
      <c r="C9597">
        <v>7301</v>
      </c>
      <c r="D9597" t="s">
        <v>3654</v>
      </c>
      <c r="E9597" t="s">
        <v>700</v>
      </c>
      <c r="F9597">
        <v>59.54</v>
      </c>
      <c r="G9597">
        <v>230525</v>
      </c>
      <c r="H9597">
        <v>4362</v>
      </c>
      <c r="I9597" t="s">
        <v>79</v>
      </c>
      <c r="J9597">
        <v>73.83</v>
      </c>
      <c r="K9597">
        <v>14.29</v>
      </c>
      <c r="L9597">
        <v>69702</v>
      </c>
      <c r="M9597" t="s">
        <v>489</v>
      </c>
      <c r="N9597" t="str">
        <f>"2123002990  "</f>
        <v xml:space="preserve">2123002990  </v>
      </c>
      <c r="O9597">
        <v>230526</v>
      </c>
    </row>
    <row r="9598" spans="1:15" x14ac:dyDescent="0.25">
      <c r="A9598" t="s">
        <v>16</v>
      </c>
      <c r="B9598" t="s">
        <v>3221</v>
      </c>
      <c r="C9598">
        <v>11427</v>
      </c>
      <c r="D9598" t="s">
        <v>3654</v>
      </c>
      <c r="E9598" t="s">
        <v>700</v>
      </c>
      <c r="F9598">
        <v>85.68</v>
      </c>
      <c r="G9598">
        <v>230830</v>
      </c>
      <c r="H9598">
        <v>4362</v>
      </c>
      <c r="I9598" t="s">
        <v>79</v>
      </c>
      <c r="J9598">
        <v>106.24</v>
      </c>
      <c r="K9598">
        <v>20.56</v>
      </c>
      <c r="L9598">
        <v>69702</v>
      </c>
      <c r="M9598" t="s">
        <v>489</v>
      </c>
      <c r="N9598" t="str">
        <f>"2123011604  "</f>
        <v xml:space="preserve">2123011604  </v>
      </c>
      <c r="O9598">
        <v>230905</v>
      </c>
    </row>
    <row r="9599" spans="1:15" x14ac:dyDescent="0.25">
      <c r="A9599" t="s">
        <v>16</v>
      </c>
      <c r="B9599" t="s">
        <v>3221</v>
      </c>
      <c r="C9599">
        <v>11429</v>
      </c>
      <c r="D9599" t="s">
        <v>3654</v>
      </c>
      <c r="E9599" t="s">
        <v>700</v>
      </c>
      <c r="F9599">
        <v>64.34</v>
      </c>
      <c r="G9599">
        <v>230830</v>
      </c>
      <c r="H9599">
        <v>4362</v>
      </c>
      <c r="I9599" t="s">
        <v>79</v>
      </c>
      <c r="J9599">
        <v>79.78</v>
      </c>
      <c r="K9599">
        <v>15.44</v>
      </c>
      <c r="L9599">
        <v>69704</v>
      </c>
      <c r="M9599" t="s">
        <v>325</v>
      </c>
      <c r="N9599" t="str">
        <f>"2123011602  "</f>
        <v xml:space="preserve">2123011602  </v>
      </c>
      <c r="O9599">
        <v>230905</v>
      </c>
    </row>
    <row r="9600" spans="1:15" x14ac:dyDescent="0.25">
      <c r="A9600" t="s">
        <v>16</v>
      </c>
      <c r="B9600" t="s">
        <v>3221</v>
      </c>
      <c r="C9600">
        <v>11434</v>
      </c>
      <c r="D9600" t="s">
        <v>3654</v>
      </c>
      <c r="E9600" t="s">
        <v>700</v>
      </c>
      <c r="F9600">
        <v>133.94</v>
      </c>
      <c r="G9600">
        <v>230830</v>
      </c>
      <c r="H9600">
        <v>4362</v>
      </c>
      <c r="I9600" t="s">
        <v>79</v>
      </c>
      <c r="J9600">
        <v>166.09</v>
      </c>
      <c r="K9600">
        <v>32.15</v>
      </c>
      <c r="L9600">
        <v>69702</v>
      </c>
      <c r="M9600" t="s">
        <v>489</v>
      </c>
      <c r="N9600" t="str">
        <f>"2123011606  "</f>
        <v xml:space="preserve">2123011606  </v>
      </c>
      <c r="O9600">
        <v>230905</v>
      </c>
    </row>
    <row r="9601" spans="1:15" x14ac:dyDescent="0.25">
      <c r="A9601" t="s">
        <v>16</v>
      </c>
      <c r="B9601" t="s">
        <v>3221</v>
      </c>
      <c r="C9601">
        <v>10524</v>
      </c>
      <c r="D9601" t="s">
        <v>3654</v>
      </c>
      <c r="E9601" t="s">
        <v>700</v>
      </c>
      <c r="F9601">
        <v>44.55</v>
      </c>
      <c r="G9601">
        <v>230731</v>
      </c>
      <c r="H9601">
        <v>4580</v>
      </c>
      <c r="I9601" t="s">
        <v>35</v>
      </c>
      <c r="J9601">
        <v>55.24</v>
      </c>
      <c r="K9601">
        <v>10.69</v>
      </c>
      <c r="L9601">
        <v>17530</v>
      </c>
      <c r="M9601" t="s">
        <v>454</v>
      </c>
      <c r="N9601" t="str">
        <f>"2123009403  "</f>
        <v xml:space="preserve">2123009403  </v>
      </c>
      <c r="O9601">
        <v>230817</v>
      </c>
    </row>
    <row r="9602" spans="1:15" x14ac:dyDescent="0.25">
      <c r="A9602" t="s">
        <v>16</v>
      </c>
      <c r="B9602" t="s">
        <v>3221</v>
      </c>
      <c r="C9602">
        <v>10525</v>
      </c>
      <c r="D9602" t="s">
        <v>3654</v>
      </c>
      <c r="E9602" t="s">
        <v>700</v>
      </c>
      <c r="F9602">
        <v>6.71</v>
      </c>
      <c r="G9602">
        <v>230731</v>
      </c>
      <c r="H9602">
        <v>4580</v>
      </c>
      <c r="I9602" t="s">
        <v>35</v>
      </c>
      <c r="J9602">
        <v>8.32</v>
      </c>
      <c r="K9602">
        <v>1.61</v>
      </c>
      <c r="L9602">
        <v>17522</v>
      </c>
      <c r="M9602" t="s">
        <v>451</v>
      </c>
      <c r="N9602" t="str">
        <f>"2123008681  "</f>
        <v xml:space="preserve">2123008681  </v>
      </c>
      <c r="O9602">
        <v>230817</v>
      </c>
    </row>
    <row r="9603" spans="1:15" x14ac:dyDescent="0.25">
      <c r="A9603" t="s">
        <v>16</v>
      </c>
      <c r="B9603" t="s">
        <v>3221</v>
      </c>
      <c r="C9603">
        <v>11997</v>
      </c>
      <c r="D9603" t="s">
        <v>3654</v>
      </c>
      <c r="E9603" t="s">
        <v>700</v>
      </c>
      <c r="F9603">
        <v>12.76</v>
      </c>
      <c r="G9603">
        <v>230830</v>
      </c>
      <c r="H9603">
        <v>4580</v>
      </c>
      <c r="I9603" t="s">
        <v>35</v>
      </c>
      <c r="J9603">
        <v>15.82</v>
      </c>
      <c r="K9603">
        <v>3.06</v>
      </c>
      <c r="L9603">
        <v>17521</v>
      </c>
      <c r="M9603" t="s">
        <v>133</v>
      </c>
      <c r="N9603" t="str">
        <f>"2123011959  "</f>
        <v xml:space="preserve">2123011959  </v>
      </c>
      <c r="O9603">
        <v>230912</v>
      </c>
    </row>
    <row r="9604" spans="1:15" x14ac:dyDescent="0.25">
      <c r="A9604" t="s">
        <v>16</v>
      </c>
      <c r="B9604" t="s">
        <v>3221</v>
      </c>
      <c r="C9604">
        <v>11998</v>
      </c>
      <c r="D9604" t="s">
        <v>3654</v>
      </c>
      <c r="E9604" t="s">
        <v>700</v>
      </c>
      <c r="F9604">
        <v>27.25</v>
      </c>
      <c r="G9604">
        <v>230830</v>
      </c>
      <c r="H9604">
        <v>4580</v>
      </c>
      <c r="I9604" t="s">
        <v>35</v>
      </c>
      <c r="J9604">
        <v>33.79</v>
      </c>
      <c r="K9604">
        <v>6.54</v>
      </c>
      <c r="L9604">
        <v>17523</v>
      </c>
      <c r="M9604" t="s">
        <v>134</v>
      </c>
      <c r="N9604" t="str">
        <f>"2123011997  "</f>
        <v xml:space="preserve">2123011997  </v>
      </c>
      <c r="O9604">
        <v>230912</v>
      </c>
    </row>
    <row r="9605" spans="1:15" x14ac:dyDescent="0.25">
      <c r="A9605" t="s">
        <v>16</v>
      </c>
      <c r="B9605" t="s">
        <v>3221</v>
      </c>
      <c r="C9605">
        <v>11999</v>
      </c>
      <c r="D9605" t="s">
        <v>3654</v>
      </c>
      <c r="E9605" t="s">
        <v>700</v>
      </c>
      <c r="F9605">
        <v>52.77</v>
      </c>
      <c r="G9605">
        <v>230830</v>
      </c>
      <c r="H9605">
        <v>4580</v>
      </c>
      <c r="I9605" t="s">
        <v>35</v>
      </c>
      <c r="J9605">
        <v>65.430000000000007</v>
      </c>
      <c r="K9605">
        <v>12.66</v>
      </c>
      <c r="L9605">
        <v>17526</v>
      </c>
      <c r="M9605" t="s">
        <v>437</v>
      </c>
      <c r="N9605" t="str">
        <f>"2123011998  "</f>
        <v xml:space="preserve">2123011998  </v>
      </c>
      <c r="O9605">
        <v>230912</v>
      </c>
    </row>
    <row r="9606" spans="1:15" x14ac:dyDescent="0.25">
      <c r="A9606" t="s">
        <v>16</v>
      </c>
      <c r="B9606" t="s">
        <v>3221</v>
      </c>
      <c r="C9606">
        <v>12001</v>
      </c>
      <c r="D9606" t="s">
        <v>3654</v>
      </c>
      <c r="E9606" t="s">
        <v>700</v>
      </c>
      <c r="F9606">
        <v>70.12</v>
      </c>
      <c r="G9606">
        <v>230830</v>
      </c>
      <c r="H9606">
        <v>4580</v>
      </c>
      <c r="I9606" t="s">
        <v>35</v>
      </c>
      <c r="J9606">
        <v>86.95</v>
      </c>
      <c r="K9606">
        <v>16.829999999999998</v>
      </c>
      <c r="L9606">
        <v>17533</v>
      </c>
      <c r="M9606" t="s">
        <v>990</v>
      </c>
      <c r="N9606" t="str">
        <f>"2123011995  "</f>
        <v xml:space="preserve">2123011995  </v>
      </c>
      <c r="O9606">
        <v>230912</v>
      </c>
    </row>
    <row r="9607" spans="1:15" x14ac:dyDescent="0.25">
      <c r="A9607" t="s">
        <v>16</v>
      </c>
      <c r="B9607" t="s">
        <v>3221</v>
      </c>
      <c r="C9607">
        <v>12002</v>
      </c>
      <c r="D9607" t="s">
        <v>3654</v>
      </c>
      <c r="E9607" t="s">
        <v>700</v>
      </c>
      <c r="F9607">
        <v>7.84</v>
      </c>
      <c r="G9607">
        <v>230830</v>
      </c>
      <c r="H9607">
        <v>4580</v>
      </c>
      <c r="I9607" t="s">
        <v>35</v>
      </c>
      <c r="J9607">
        <v>9.7200000000000006</v>
      </c>
      <c r="K9607">
        <v>1.88</v>
      </c>
      <c r="L9607">
        <v>17524</v>
      </c>
      <c r="M9607" t="s">
        <v>452</v>
      </c>
      <c r="N9607" t="str">
        <f>"2123011996  "</f>
        <v xml:space="preserve">2123011996  </v>
      </c>
      <c r="O9607">
        <v>230912</v>
      </c>
    </row>
    <row r="9608" spans="1:15" x14ac:dyDescent="0.25">
      <c r="A9608" t="s">
        <v>16</v>
      </c>
      <c r="B9608" t="s">
        <v>3221</v>
      </c>
      <c r="C9608">
        <v>12003</v>
      </c>
      <c r="D9608" t="s">
        <v>3654</v>
      </c>
      <c r="E9608" t="s">
        <v>700</v>
      </c>
      <c r="F9608">
        <v>8.84</v>
      </c>
      <c r="G9608">
        <v>230830</v>
      </c>
      <c r="H9608">
        <v>4580</v>
      </c>
      <c r="I9608" t="s">
        <v>35</v>
      </c>
      <c r="J9608">
        <v>10.96</v>
      </c>
      <c r="K9608">
        <v>2.12</v>
      </c>
      <c r="L9608">
        <v>17527</v>
      </c>
      <c r="M9608" t="s">
        <v>422</v>
      </c>
      <c r="N9608" t="str">
        <f>"2123011999  "</f>
        <v xml:space="preserve">2123011999  </v>
      </c>
      <c r="O9608">
        <v>230912</v>
      </c>
    </row>
    <row r="9609" spans="1:15" x14ac:dyDescent="0.25">
      <c r="A9609" t="s">
        <v>16</v>
      </c>
      <c r="B9609" t="s">
        <v>3221</v>
      </c>
      <c r="C9609">
        <v>13874</v>
      </c>
      <c r="D9609" t="s">
        <v>3654</v>
      </c>
      <c r="E9609" t="s">
        <v>700</v>
      </c>
      <c r="F9609">
        <v>31.46</v>
      </c>
      <c r="G9609">
        <v>230929</v>
      </c>
      <c r="H9609">
        <v>4580</v>
      </c>
      <c r="I9609" t="s">
        <v>35</v>
      </c>
      <c r="J9609">
        <v>39.01</v>
      </c>
      <c r="K9609">
        <v>7.55</v>
      </c>
      <c r="L9609">
        <v>17971</v>
      </c>
      <c r="M9609" t="s">
        <v>138</v>
      </c>
      <c r="N9609" t="str">
        <f>"2123014430  "</f>
        <v xml:space="preserve">2123014430  </v>
      </c>
      <c r="O9609">
        <v>231016</v>
      </c>
    </row>
    <row r="9610" spans="1:15" x14ac:dyDescent="0.25">
      <c r="A9610" t="s">
        <v>16</v>
      </c>
      <c r="B9610" t="s">
        <v>3221</v>
      </c>
      <c r="C9610">
        <v>13876</v>
      </c>
      <c r="D9610" t="s">
        <v>3654</v>
      </c>
      <c r="E9610" t="s">
        <v>700</v>
      </c>
      <c r="F9610">
        <v>4.8</v>
      </c>
      <c r="G9610">
        <v>230929</v>
      </c>
      <c r="H9610">
        <v>4580</v>
      </c>
      <c r="I9610" t="s">
        <v>35</v>
      </c>
      <c r="J9610">
        <v>5.95</v>
      </c>
      <c r="K9610">
        <v>1.1499999999999999</v>
      </c>
      <c r="L9610">
        <v>17534</v>
      </c>
      <c r="M9610" t="s">
        <v>440</v>
      </c>
      <c r="N9610" t="str">
        <f>"2123014462  "</f>
        <v xml:space="preserve">2123014462  </v>
      </c>
      <c r="O9610">
        <v>231016</v>
      </c>
    </row>
    <row r="9611" spans="1:15" x14ac:dyDescent="0.25">
      <c r="A9611" t="s">
        <v>16</v>
      </c>
      <c r="B9611" t="s">
        <v>3221</v>
      </c>
      <c r="C9611">
        <v>13876</v>
      </c>
      <c r="D9611" t="s">
        <v>3654</v>
      </c>
      <c r="E9611" t="s">
        <v>700</v>
      </c>
      <c r="F9611">
        <v>4.8</v>
      </c>
      <c r="G9611">
        <v>230929</v>
      </c>
      <c r="H9611">
        <v>4580</v>
      </c>
      <c r="I9611" t="s">
        <v>35</v>
      </c>
      <c r="J9611">
        <v>5.95</v>
      </c>
      <c r="K9611">
        <v>1.1499999999999999</v>
      </c>
      <c r="L9611">
        <v>17535</v>
      </c>
      <c r="M9611" t="s">
        <v>357</v>
      </c>
      <c r="N9611" t="str">
        <f>"2123014462  "</f>
        <v xml:space="preserve">2123014462  </v>
      </c>
      <c r="O9611">
        <v>231016</v>
      </c>
    </row>
    <row r="9612" spans="1:15" x14ac:dyDescent="0.25">
      <c r="A9612" t="s">
        <v>16</v>
      </c>
      <c r="B9612" t="s">
        <v>3221</v>
      </c>
      <c r="C9612">
        <v>13876</v>
      </c>
      <c r="D9612" t="s">
        <v>3654</v>
      </c>
      <c r="E9612" t="s">
        <v>700</v>
      </c>
      <c r="F9612">
        <v>4.8099999999999996</v>
      </c>
      <c r="G9612">
        <v>230929</v>
      </c>
      <c r="H9612">
        <v>4580</v>
      </c>
      <c r="I9612" t="s">
        <v>35</v>
      </c>
      <c r="J9612">
        <v>5.96</v>
      </c>
      <c r="K9612">
        <v>1.1499999999999999</v>
      </c>
      <c r="L9612">
        <v>17536</v>
      </c>
      <c r="M9612" t="s">
        <v>734</v>
      </c>
      <c r="N9612" t="str">
        <f>"2123014462  "</f>
        <v xml:space="preserve">2123014462  </v>
      </c>
      <c r="O9612">
        <v>231016</v>
      </c>
    </row>
    <row r="9613" spans="1:15" x14ac:dyDescent="0.25">
      <c r="A9613" t="s">
        <v>16</v>
      </c>
      <c r="B9613" t="s">
        <v>3221</v>
      </c>
      <c r="C9613">
        <v>13877</v>
      </c>
      <c r="D9613" t="s">
        <v>3654</v>
      </c>
      <c r="E9613" t="s">
        <v>700</v>
      </c>
      <c r="F9613">
        <v>10.17</v>
      </c>
      <c r="G9613">
        <v>230929</v>
      </c>
      <c r="H9613">
        <v>4580</v>
      </c>
      <c r="I9613" t="s">
        <v>35</v>
      </c>
      <c r="J9613">
        <v>12.61</v>
      </c>
      <c r="K9613">
        <v>2.44</v>
      </c>
      <c r="L9613">
        <v>17538</v>
      </c>
      <c r="M9613" t="s">
        <v>24</v>
      </c>
      <c r="N9613" t="str">
        <f>"2123014461  "</f>
        <v xml:space="preserve">2123014461  </v>
      </c>
      <c r="O9613">
        <v>231016</v>
      </c>
    </row>
    <row r="9614" spans="1:15" x14ac:dyDescent="0.25">
      <c r="A9614" t="s">
        <v>16</v>
      </c>
      <c r="B9614" t="s">
        <v>3221</v>
      </c>
      <c r="C9614">
        <v>13879</v>
      </c>
      <c r="D9614" t="s">
        <v>3654</v>
      </c>
      <c r="E9614" t="s">
        <v>700</v>
      </c>
      <c r="F9614">
        <v>6.91</v>
      </c>
      <c r="G9614">
        <v>230929</v>
      </c>
      <c r="H9614">
        <v>4580</v>
      </c>
      <c r="I9614" t="s">
        <v>35</v>
      </c>
      <c r="J9614">
        <v>8.57</v>
      </c>
      <c r="K9614">
        <v>1.66</v>
      </c>
      <c r="L9614">
        <v>17525</v>
      </c>
      <c r="M9614" t="s">
        <v>135</v>
      </c>
      <c r="N9614" t="str">
        <f>"2123014459  "</f>
        <v xml:space="preserve">2123014459  </v>
      </c>
      <c r="O9614">
        <v>231016</v>
      </c>
    </row>
    <row r="9615" spans="1:15" x14ac:dyDescent="0.25">
      <c r="A9615" t="s">
        <v>16</v>
      </c>
      <c r="B9615" t="s">
        <v>3221</v>
      </c>
      <c r="C9615">
        <v>13879</v>
      </c>
      <c r="D9615" t="s">
        <v>3654</v>
      </c>
      <c r="E9615" t="s">
        <v>700</v>
      </c>
      <c r="F9615">
        <v>6.91</v>
      </c>
      <c r="G9615">
        <v>230929</v>
      </c>
      <c r="H9615">
        <v>4580</v>
      </c>
      <c r="I9615" t="s">
        <v>35</v>
      </c>
      <c r="J9615">
        <v>8.57</v>
      </c>
      <c r="K9615">
        <v>1.66</v>
      </c>
      <c r="L9615">
        <v>17529</v>
      </c>
      <c r="M9615" t="s">
        <v>453</v>
      </c>
      <c r="N9615" t="str">
        <f>"2123014459  "</f>
        <v xml:space="preserve">2123014459  </v>
      </c>
      <c r="O9615">
        <v>231016</v>
      </c>
    </row>
    <row r="9616" spans="1:15" x14ac:dyDescent="0.25">
      <c r="A9616" t="s">
        <v>16</v>
      </c>
      <c r="B9616" t="s">
        <v>3221</v>
      </c>
      <c r="C9616">
        <v>13882</v>
      </c>
      <c r="D9616" t="s">
        <v>3654</v>
      </c>
      <c r="E9616" t="s">
        <v>700</v>
      </c>
      <c r="F9616">
        <v>43.29</v>
      </c>
      <c r="G9616">
        <v>230929</v>
      </c>
      <c r="H9616">
        <v>4580</v>
      </c>
      <c r="I9616" t="s">
        <v>35</v>
      </c>
      <c r="J9616">
        <v>53.68</v>
      </c>
      <c r="K9616">
        <v>10.39</v>
      </c>
      <c r="L9616">
        <v>17972</v>
      </c>
      <c r="M9616" t="s">
        <v>248</v>
      </c>
      <c r="N9616" t="str">
        <f>"2123014431  "</f>
        <v xml:space="preserve">2123014431  </v>
      </c>
      <c r="O9616">
        <v>231016</v>
      </c>
    </row>
    <row r="9617" spans="1:15" x14ac:dyDescent="0.25">
      <c r="A9617" t="s">
        <v>16</v>
      </c>
      <c r="B9617" t="s">
        <v>3221</v>
      </c>
      <c r="C9617">
        <v>13883</v>
      </c>
      <c r="D9617" t="s">
        <v>3654</v>
      </c>
      <c r="E9617" t="s">
        <v>700</v>
      </c>
      <c r="F9617">
        <v>25.31</v>
      </c>
      <c r="G9617">
        <v>230929</v>
      </c>
      <c r="H9617">
        <v>4580</v>
      </c>
      <c r="I9617" t="s">
        <v>35</v>
      </c>
      <c r="J9617">
        <v>31.38</v>
      </c>
      <c r="K9617">
        <v>6.07</v>
      </c>
      <c r="L9617">
        <v>17974</v>
      </c>
      <c r="M9617" t="s">
        <v>460</v>
      </c>
      <c r="N9617" t="str">
        <f>"2123013932  "</f>
        <v xml:space="preserve">2123013932  </v>
      </c>
      <c r="O9617">
        <v>231016</v>
      </c>
    </row>
    <row r="9618" spans="1:15" x14ac:dyDescent="0.25">
      <c r="A9618" t="s">
        <v>16</v>
      </c>
      <c r="B9618" t="s">
        <v>3221</v>
      </c>
      <c r="C9618">
        <v>15202</v>
      </c>
      <c r="D9618" t="s">
        <v>3654</v>
      </c>
      <c r="E9618" t="s">
        <v>700</v>
      </c>
      <c r="F9618">
        <v>8.7100000000000009</v>
      </c>
      <c r="G9618">
        <v>231031</v>
      </c>
      <c r="H9618">
        <v>4580</v>
      </c>
      <c r="I9618" t="s">
        <v>35</v>
      </c>
      <c r="J9618">
        <v>10.8</v>
      </c>
      <c r="K9618">
        <v>2.09</v>
      </c>
      <c r="L9618">
        <v>17530</v>
      </c>
      <c r="M9618" t="s">
        <v>454</v>
      </c>
      <c r="N9618" t="str">
        <f>"2123017497  "</f>
        <v xml:space="preserve">2123017497  </v>
      </c>
      <c r="O9618">
        <v>231109</v>
      </c>
    </row>
    <row r="9619" spans="1:15" x14ac:dyDescent="0.25">
      <c r="A9619" t="s">
        <v>16</v>
      </c>
      <c r="B9619" t="s">
        <v>3221</v>
      </c>
      <c r="C9619">
        <v>15222</v>
      </c>
      <c r="D9619" t="s">
        <v>3654</v>
      </c>
      <c r="E9619" t="s">
        <v>700</v>
      </c>
      <c r="F9619">
        <v>8.2899999999999991</v>
      </c>
      <c r="G9619">
        <v>231031</v>
      </c>
      <c r="H9619">
        <v>4580</v>
      </c>
      <c r="I9619" t="s">
        <v>35</v>
      </c>
      <c r="J9619">
        <v>10.28</v>
      </c>
      <c r="K9619">
        <v>1.99</v>
      </c>
      <c r="L9619">
        <v>17522</v>
      </c>
      <c r="M9619" t="s">
        <v>451</v>
      </c>
      <c r="N9619" t="str">
        <f>"2123016761  "</f>
        <v xml:space="preserve">2123016761  </v>
      </c>
      <c r="O9619">
        <v>231109</v>
      </c>
    </row>
    <row r="9620" spans="1:15" x14ac:dyDescent="0.25">
      <c r="A9620" t="s">
        <v>16</v>
      </c>
      <c r="B9620" t="s">
        <v>3221</v>
      </c>
      <c r="C9620">
        <v>17857</v>
      </c>
      <c r="D9620" t="s">
        <v>3654</v>
      </c>
      <c r="E9620" t="s">
        <v>700</v>
      </c>
      <c r="F9620">
        <v>35.89</v>
      </c>
      <c r="G9620">
        <v>231128</v>
      </c>
      <c r="H9620">
        <v>4580</v>
      </c>
      <c r="I9620" t="s">
        <v>35</v>
      </c>
      <c r="J9620">
        <v>44.5</v>
      </c>
      <c r="K9620">
        <v>8.61</v>
      </c>
      <c r="L9620">
        <v>17523</v>
      </c>
      <c r="M9620" t="s">
        <v>134</v>
      </c>
      <c r="N9620" t="str">
        <f>"2123020303  "</f>
        <v xml:space="preserve">2123020303  </v>
      </c>
      <c r="O9620">
        <v>231227</v>
      </c>
    </row>
    <row r="9621" spans="1:15" x14ac:dyDescent="0.25">
      <c r="A9621" t="s">
        <v>16</v>
      </c>
      <c r="B9621" t="s">
        <v>3221</v>
      </c>
      <c r="C9621">
        <v>17865</v>
      </c>
      <c r="D9621" t="s">
        <v>3654</v>
      </c>
      <c r="E9621" t="s">
        <v>700</v>
      </c>
      <c r="F9621">
        <v>84.42</v>
      </c>
      <c r="G9621">
        <v>231128</v>
      </c>
      <c r="H9621">
        <v>4580</v>
      </c>
      <c r="I9621" t="s">
        <v>35</v>
      </c>
      <c r="J9621">
        <v>104.68</v>
      </c>
      <c r="K9621">
        <v>20.260000000000002</v>
      </c>
      <c r="L9621">
        <v>17526</v>
      </c>
      <c r="M9621" t="s">
        <v>437</v>
      </c>
      <c r="N9621" t="str">
        <f>"2123020304  "</f>
        <v xml:space="preserve">2123020304  </v>
      </c>
      <c r="O9621">
        <v>231227</v>
      </c>
    </row>
    <row r="9622" spans="1:15" x14ac:dyDescent="0.25">
      <c r="A9622" t="s">
        <v>16</v>
      </c>
      <c r="B9622" t="s">
        <v>3221</v>
      </c>
      <c r="C9622">
        <v>17866</v>
      </c>
      <c r="D9622" t="s">
        <v>3654</v>
      </c>
      <c r="E9622" t="s">
        <v>700</v>
      </c>
      <c r="F9622">
        <v>21.35</v>
      </c>
      <c r="G9622">
        <v>231128</v>
      </c>
      <c r="H9622">
        <v>4580</v>
      </c>
      <c r="I9622" t="s">
        <v>35</v>
      </c>
      <c r="J9622">
        <v>26.47</v>
      </c>
      <c r="K9622">
        <v>5.12</v>
      </c>
      <c r="L9622">
        <v>17524</v>
      </c>
      <c r="M9622" t="s">
        <v>452</v>
      </c>
      <c r="N9622" t="str">
        <f>"2123020302  "</f>
        <v xml:space="preserve">2123020302  </v>
      </c>
      <c r="O9622">
        <v>231227</v>
      </c>
    </row>
    <row r="9623" spans="1:15" x14ac:dyDescent="0.25">
      <c r="A9623" t="s">
        <v>16</v>
      </c>
      <c r="B9623" t="s">
        <v>3221</v>
      </c>
      <c r="C9623">
        <v>17869</v>
      </c>
      <c r="D9623" t="s">
        <v>3654</v>
      </c>
      <c r="E9623" t="s">
        <v>700</v>
      </c>
      <c r="F9623">
        <v>22.12</v>
      </c>
      <c r="G9623">
        <v>231128</v>
      </c>
      <c r="H9623">
        <v>4580</v>
      </c>
      <c r="I9623" t="s">
        <v>35</v>
      </c>
      <c r="J9623">
        <v>27.43</v>
      </c>
      <c r="K9623">
        <v>5.31</v>
      </c>
      <c r="L9623">
        <v>17521</v>
      </c>
      <c r="M9623" t="s">
        <v>133</v>
      </c>
      <c r="N9623" t="str">
        <f>"2123020263  "</f>
        <v xml:space="preserve">2123020263  </v>
      </c>
      <c r="O9623">
        <v>231227</v>
      </c>
    </row>
    <row r="9624" spans="1:15" x14ac:dyDescent="0.25">
      <c r="A9624" t="s">
        <v>16</v>
      </c>
      <c r="B9624" t="s">
        <v>3221</v>
      </c>
      <c r="C9624">
        <v>17871</v>
      </c>
      <c r="D9624" t="s">
        <v>3654</v>
      </c>
      <c r="E9624" t="s">
        <v>700</v>
      </c>
      <c r="F9624">
        <v>162.30000000000001</v>
      </c>
      <c r="G9624">
        <v>231128</v>
      </c>
      <c r="H9624">
        <v>4580</v>
      </c>
      <c r="I9624" t="s">
        <v>35</v>
      </c>
      <c r="J9624">
        <v>201.25</v>
      </c>
      <c r="K9624">
        <v>38.950000000000003</v>
      </c>
      <c r="L9624">
        <v>17533</v>
      </c>
      <c r="M9624" t="s">
        <v>990</v>
      </c>
      <c r="N9624" t="str">
        <f>"2123020301  "</f>
        <v xml:space="preserve">2123020301  </v>
      </c>
      <c r="O9624">
        <v>231227</v>
      </c>
    </row>
    <row r="9625" spans="1:15" x14ac:dyDescent="0.25">
      <c r="A9625" t="s">
        <v>16</v>
      </c>
      <c r="B9625" t="s">
        <v>3221</v>
      </c>
      <c r="C9625">
        <v>17877</v>
      </c>
      <c r="D9625" t="s">
        <v>3654</v>
      </c>
      <c r="E9625" t="s">
        <v>700</v>
      </c>
      <c r="F9625">
        <v>20.27</v>
      </c>
      <c r="G9625">
        <v>231128</v>
      </c>
      <c r="H9625">
        <v>4580</v>
      </c>
      <c r="I9625" t="s">
        <v>35</v>
      </c>
      <c r="J9625">
        <v>25.13</v>
      </c>
      <c r="K9625">
        <v>4.8600000000000003</v>
      </c>
      <c r="L9625">
        <v>17527</v>
      </c>
      <c r="M9625" t="s">
        <v>422</v>
      </c>
      <c r="N9625" t="str">
        <f>"2123020305  "</f>
        <v xml:space="preserve">2123020305  </v>
      </c>
      <c r="O9625">
        <v>231227</v>
      </c>
    </row>
    <row r="9626" spans="1:15" x14ac:dyDescent="0.25">
      <c r="A9626" t="s">
        <v>16</v>
      </c>
      <c r="B9626" t="s">
        <v>3221</v>
      </c>
      <c r="C9626">
        <v>18650</v>
      </c>
      <c r="D9626" t="s">
        <v>3654</v>
      </c>
      <c r="E9626" t="s">
        <v>700</v>
      </c>
      <c r="F9626">
        <v>28.05</v>
      </c>
      <c r="G9626">
        <v>231228</v>
      </c>
      <c r="H9626">
        <v>4580</v>
      </c>
      <c r="I9626" t="s">
        <v>35</v>
      </c>
      <c r="J9626">
        <v>34.78</v>
      </c>
      <c r="K9626">
        <v>6.73</v>
      </c>
      <c r="L9626">
        <v>17974</v>
      </c>
      <c r="M9626" t="s">
        <v>460</v>
      </c>
      <c r="N9626" t="str">
        <f>"2123022433  "</f>
        <v xml:space="preserve">2123022433  </v>
      </c>
      <c r="O9626">
        <v>240104</v>
      </c>
    </row>
    <row r="9627" spans="1:15" x14ac:dyDescent="0.25">
      <c r="A9627" t="s">
        <v>16</v>
      </c>
      <c r="B9627" t="s">
        <v>3221</v>
      </c>
      <c r="C9627">
        <v>18654</v>
      </c>
      <c r="D9627" t="s">
        <v>3654</v>
      </c>
      <c r="E9627" t="s">
        <v>700</v>
      </c>
      <c r="F9627">
        <v>24.51</v>
      </c>
      <c r="G9627">
        <v>231228</v>
      </c>
      <c r="H9627">
        <v>4580</v>
      </c>
      <c r="I9627" t="s">
        <v>35</v>
      </c>
      <c r="J9627">
        <v>30.39</v>
      </c>
      <c r="K9627">
        <v>5.88</v>
      </c>
      <c r="L9627">
        <v>17971</v>
      </c>
      <c r="M9627" t="s">
        <v>138</v>
      </c>
      <c r="N9627" t="str">
        <f>"2123022938  "</f>
        <v xml:space="preserve">2123022938  </v>
      </c>
      <c r="O9627">
        <v>240104</v>
      </c>
    </row>
    <row r="9628" spans="1:15" x14ac:dyDescent="0.25">
      <c r="A9628" t="s">
        <v>16</v>
      </c>
      <c r="B9628" t="s">
        <v>3221</v>
      </c>
      <c r="C9628">
        <v>19192</v>
      </c>
      <c r="D9628" t="s">
        <v>3654</v>
      </c>
      <c r="E9628" t="s">
        <v>700</v>
      </c>
      <c r="F9628">
        <v>14.29</v>
      </c>
      <c r="G9628">
        <v>231228</v>
      </c>
      <c r="H9628">
        <v>4580</v>
      </c>
      <c r="I9628" t="s">
        <v>35</v>
      </c>
      <c r="J9628">
        <v>17.72</v>
      </c>
      <c r="K9628">
        <v>3.43</v>
      </c>
      <c r="L9628">
        <v>17529</v>
      </c>
      <c r="M9628" t="s">
        <v>453</v>
      </c>
      <c r="N9628" t="str">
        <f>"2123022970  "</f>
        <v xml:space="preserve">2123022970  </v>
      </c>
      <c r="O9628">
        <v>240112</v>
      </c>
    </row>
    <row r="9629" spans="1:15" x14ac:dyDescent="0.25">
      <c r="A9629" t="s">
        <v>16</v>
      </c>
      <c r="B9629" t="s">
        <v>3221</v>
      </c>
      <c r="C9629">
        <v>19249</v>
      </c>
      <c r="D9629" t="s">
        <v>3654</v>
      </c>
      <c r="E9629" t="s">
        <v>700</v>
      </c>
      <c r="F9629">
        <v>43.22</v>
      </c>
      <c r="G9629">
        <v>231228</v>
      </c>
      <c r="H9629">
        <v>4580</v>
      </c>
      <c r="I9629" t="s">
        <v>35</v>
      </c>
      <c r="J9629">
        <v>53.59</v>
      </c>
      <c r="K9629">
        <v>10.37</v>
      </c>
      <c r="L9629">
        <v>17972</v>
      </c>
      <c r="M9629" t="s">
        <v>248</v>
      </c>
      <c r="N9629" t="str">
        <f>"2123022940  "</f>
        <v xml:space="preserve">2123022940  </v>
      </c>
      <c r="O9629">
        <v>240115</v>
      </c>
    </row>
    <row r="9630" spans="1:15" x14ac:dyDescent="0.25">
      <c r="A9630" t="s">
        <v>16</v>
      </c>
      <c r="B9630" t="s">
        <v>3221</v>
      </c>
      <c r="C9630">
        <v>19250</v>
      </c>
      <c r="D9630" t="s">
        <v>3654</v>
      </c>
      <c r="E9630" t="s">
        <v>700</v>
      </c>
      <c r="F9630">
        <v>16.940000000000001</v>
      </c>
      <c r="G9630">
        <v>231228</v>
      </c>
      <c r="H9630">
        <v>4580</v>
      </c>
      <c r="I9630" t="s">
        <v>35</v>
      </c>
      <c r="J9630">
        <v>21.01</v>
      </c>
      <c r="K9630">
        <v>4.07</v>
      </c>
      <c r="L9630">
        <v>17971</v>
      </c>
      <c r="M9630" t="s">
        <v>138</v>
      </c>
      <c r="N9630" t="str">
        <f>"2123022939  "</f>
        <v xml:space="preserve">2123022939  </v>
      </c>
      <c r="O9630">
        <v>240115</v>
      </c>
    </row>
    <row r="9631" spans="1:15" x14ac:dyDescent="0.25">
      <c r="A9631" t="s">
        <v>16</v>
      </c>
      <c r="B9631" t="s">
        <v>3221</v>
      </c>
      <c r="C9631">
        <v>19251</v>
      </c>
      <c r="D9631" t="s">
        <v>3654</v>
      </c>
      <c r="E9631" t="s">
        <v>700</v>
      </c>
      <c r="F9631">
        <v>29.7</v>
      </c>
      <c r="G9631">
        <v>231228</v>
      </c>
      <c r="H9631">
        <v>4580</v>
      </c>
      <c r="I9631" t="s">
        <v>35</v>
      </c>
      <c r="J9631">
        <v>36.83</v>
      </c>
      <c r="K9631">
        <v>7.13</v>
      </c>
      <c r="L9631">
        <v>17972</v>
      </c>
      <c r="M9631" t="s">
        <v>248</v>
      </c>
      <c r="N9631" t="str">
        <f>"2123022973  "</f>
        <v xml:space="preserve">2123022973  </v>
      </c>
      <c r="O9631">
        <v>240115</v>
      </c>
    </row>
    <row r="9632" spans="1:15" x14ac:dyDescent="0.25">
      <c r="A9632" t="s">
        <v>16</v>
      </c>
      <c r="B9632" t="s">
        <v>3221</v>
      </c>
      <c r="C9632">
        <v>19252</v>
      </c>
      <c r="D9632" t="s">
        <v>3654</v>
      </c>
      <c r="E9632" t="s">
        <v>700</v>
      </c>
      <c r="F9632">
        <v>8.7200000000000006</v>
      </c>
      <c r="G9632">
        <v>231228</v>
      </c>
      <c r="H9632">
        <v>4580</v>
      </c>
      <c r="I9632" t="s">
        <v>35</v>
      </c>
      <c r="J9632">
        <v>10.81</v>
      </c>
      <c r="K9632">
        <v>2.09</v>
      </c>
      <c r="L9632">
        <v>17525</v>
      </c>
      <c r="M9632" t="s">
        <v>135</v>
      </c>
      <c r="N9632" t="str">
        <f>"2123022971  "</f>
        <v xml:space="preserve">2123022971  </v>
      </c>
      <c r="O9632">
        <v>240115</v>
      </c>
    </row>
    <row r="9633" spans="1:15" x14ac:dyDescent="0.25">
      <c r="A9633" t="s">
        <v>16</v>
      </c>
      <c r="B9633" t="s">
        <v>3221</v>
      </c>
      <c r="C9633">
        <v>712</v>
      </c>
      <c r="D9633" t="s">
        <v>3654</v>
      </c>
      <c r="E9633" t="s">
        <v>700</v>
      </c>
      <c r="F9633">
        <v>323.89999999999998</v>
      </c>
      <c r="G9633">
        <v>230119</v>
      </c>
      <c r="H9633">
        <v>4400</v>
      </c>
      <c r="I9633" t="s">
        <v>348</v>
      </c>
      <c r="J9633">
        <v>401.64</v>
      </c>
      <c r="K9633">
        <v>77.739999999999995</v>
      </c>
      <c r="L9633">
        <v>44222</v>
      </c>
      <c r="M9633" t="s">
        <v>232</v>
      </c>
      <c r="N9633" t="str">
        <f>"222212573   "</f>
        <v xml:space="preserve">222212573   </v>
      </c>
      <c r="O9633">
        <v>230127</v>
      </c>
    </row>
    <row r="9634" spans="1:15" x14ac:dyDescent="0.25">
      <c r="A9634" t="s">
        <v>16</v>
      </c>
      <c r="B9634" t="s">
        <v>3221</v>
      </c>
      <c r="C9634">
        <v>1016</v>
      </c>
      <c r="D9634" t="s">
        <v>3654</v>
      </c>
      <c r="E9634" t="s">
        <v>700</v>
      </c>
      <c r="F9634">
        <v>130.13999999999999</v>
      </c>
      <c r="G9634">
        <v>230131</v>
      </c>
      <c r="H9634">
        <v>4400</v>
      </c>
      <c r="I9634" t="s">
        <v>348</v>
      </c>
      <c r="J9634">
        <v>161.37</v>
      </c>
      <c r="K9634">
        <v>31.23</v>
      </c>
      <c r="L9634">
        <v>13401</v>
      </c>
      <c r="M9634" t="s">
        <v>80</v>
      </c>
      <c r="N9634" t="str">
        <f>"2122025037  "</f>
        <v xml:space="preserve">2122025037  </v>
      </c>
      <c r="O9634">
        <v>230202</v>
      </c>
    </row>
    <row r="9635" spans="1:15" x14ac:dyDescent="0.25">
      <c r="A9635" t="s">
        <v>16</v>
      </c>
      <c r="B9635" t="s">
        <v>3221</v>
      </c>
      <c r="C9635">
        <v>9666</v>
      </c>
      <c r="D9635" t="s">
        <v>3654</v>
      </c>
      <c r="E9635" t="s">
        <v>700</v>
      </c>
      <c r="F9635">
        <v>230</v>
      </c>
      <c r="G9635">
        <v>230703</v>
      </c>
      <c r="H9635">
        <v>4400</v>
      </c>
      <c r="I9635" t="s">
        <v>348</v>
      </c>
      <c r="J9635">
        <v>285.2</v>
      </c>
      <c r="K9635">
        <v>55.2</v>
      </c>
      <c r="L9635">
        <v>56562</v>
      </c>
      <c r="M9635" t="s">
        <v>126</v>
      </c>
      <c r="N9635" t="str">
        <f>"222303163   "</f>
        <v xml:space="preserve">222303163   </v>
      </c>
      <c r="O9635">
        <v>230718</v>
      </c>
    </row>
    <row r="9636" spans="1:15" x14ac:dyDescent="0.25">
      <c r="A9636" t="s">
        <v>16</v>
      </c>
      <c r="B9636" t="s">
        <v>3221</v>
      </c>
      <c r="C9636">
        <v>10346</v>
      </c>
      <c r="D9636" t="s">
        <v>3654</v>
      </c>
      <c r="E9636" t="s">
        <v>700</v>
      </c>
      <c r="F9636">
        <v>47.66</v>
      </c>
      <c r="G9636">
        <v>230731</v>
      </c>
      <c r="H9636">
        <v>4400</v>
      </c>
      <c r="I9636" t="s">
        <v>348</v>
      </c>
      <c r="J9636">
        <v>59.1</v>
      </c>
      <c r="K9636">
        <v>11.44</v>
      </c>
      <c r="L9636">
        <v>13401</v>
      </c>
      <c r="M9636" t="s">
        <v>80</v>
      </c>
      <c r="N9636" t="str">
        <f>"2123009688  "</f>
        <v xml:space="preserve">2123009688  </v>
      </c>
      <c r="O9636">
        <v>230814</v>
      </c>
    </row>
    <row r="9637" spans="1:15" x14ac:dyDescent="0.25">
      <c r="A9637" t="s">
        <v>16</v>
      </c>
      <c r="B9637" t="s">
        <v>3221</v>
      </c>
      <c r="C9637">
        <v>1903</v>
      </c>
      <c r="D9637" t="s">
        <v>3654</v>
      </c>
      <c r="E9637" t="s">
        <v>700</v>
      </c>
      <c r="F9637">
        <v>58.1</v>
      </c>
      <c r="G9637">
        <v>230131</v>
      </c>
      <c r="H9637">
        <v>4840</v>
      </c>
      <c r="I9637" t="s">
        <v>19</v>
      </c>
      <c r="J9637">
        <v>72.040000000000006</v>
      </c>
      <c r="K9637">
        <v>13.94</v>
      </c>
      <c r="L9637">
        <v>17530</v>
      </c>
      <c r="M9637" t="s">
        <v>454</v>
      </c>
      <c r="N9637" t="str">
        <f>"2122024751  "</f>
        <v xml:space="preserve">2122024751  </v>
      </c>
      <c r="O9637">
        <v>230215</v>
      </c>
    </row>
    <row r="9638" spans="1:15" x14ac:dyDescent="0.25">
      <c r="A9638" t="s">
        <v>16</v>
      </c>
      <c r="B9638" t="s">
        <v>3221</v>
      </c>
      <c r="C9638">
        <v>1905</v>
      </c>
      <c r="D9638" t="s">
        <v>3654</v>
      </c>
      <c r="E9638" t="s">
        <v>700</v>
      </c>
      <c r="F9638">
        <v>5.67</v>
      </c>
      <c r="G9638">
        <v>230131</v>
      </c>
      <c r="H9638">
        <v>4840</v>
      </c>
      <c r="I9638" t="s">
        <v>19</v>
      </c>
      <c r="J9638">
        <v>7.03</v>
      </c>
      <c r="K9638">
        <v>1.36</v>
      </c>
      <c r="L9638">
        <v>17522</v>
      </c>
      <c r="M9638" t="s">
        <v>451</v>
      </c>
      <c r="N9638" t="str">
        <f>"2122024044  "</f>
        <v xml:space="preserve">2122024044  </v>
      </c>
      <c r="O9638">
        <v>230215</v>
      </c>
    </row>
    <row r="9639" spans="1:15" x14ac:dyDescent="0.25">
      <c r="A9639" t="s">
        <v>16</v>
      </c>
      <c r="B9639" t="s">
        <v>3221</v>
      </c>
      <c r="C9639">
        <v>4423</v>
      </c>
      <c r="D9639" t="s">
        <v>3654</v>
      </c>
      <c r="E9639" t="s">
        <v>700</v>
      </c>
      <c r="F9639">
        <v>36.94</v>
      </c>
      <c r="G9639">
        <v>230331</v>
      </c>
      <c r="H9639">
        <v>4840</v>
      </c>
      <c r="I9639" t="s">
        <v>19</v>
      </c>
      <c r="J9639">
        <v>45.81</v>
      </c>
      <c r="K9639">
        <v>8.8699999999999992</v>
      </c>
      <c r="L9639">
        <v>17538</v>
      </c>
      <c r="M9639" t="s">
        <v>24</v>
      </c>
      <c r="N9639" t="str">
        <f>"2122029377  "</f>
        <v xml:space="preserve">2122029377  </v>
      </c>
      <c r="O9639">
        <v>230405</v>
      </c>
    </row>
    <row r="9640" spans="1:15" x14ac:dyDescent="0.25">
      <c r="A9640" t="s">
        <v>16</v>
      </c>
      <c r="B9640" t="s">
        <v>3221</v>
      </c>
      <c r="C9640">
        <v>4425</v>
      </c>
      <c r="D9640" t="s">
        <v>3654</v>
      </c>
      <c r="E9640" t="s">
        <v>700</v>
      </c>
      <c r="F9640">
        <v>75.790000000000006</v>
      </c>
      <c r="G9640">
        <v>230331</v>
      </c>
      <c r="H9640">
        <v>4840</v>
      </c>
      <c r="I9640" t="s">
        <v>19</v>
      </c>
      <c r="J9640">
        <v>93.98</v>
      </c>
      <c r="K9640">
        <v>18.190000000000001</v>
      </c>
      <c r="L9640">
        <v>17531</v>
      </c>
      <c r="M9640" t="s">
        <v>136</v>
      </c>
      <c r="N9640" t="str">
        <f>"2122027734  "</f>
        <v xml:space="preserve">2122027734  </v>
      </c>
      <c r="O9640">
        <v>230405</v>
      </c>
    </row>
    <row r="9641" spans="1:15" x14ac:dyDescent="0.25">
      <c r="A9641" t="s">
        <v>16</v>
      </c>
      <c r="B9641" t="s">
        <v>3221</v>
      </c>
      <c r="C9641">
        <v>4425</v>
      </c>
      <c r="D9641" t="s">
        <v>3654</v>
      </c>
      <c r="E9641" t="s">
        <v>700</v>
      </c>
      <c r="F9641">
        <v>75.78</v>
      </c>
      <c r="G9641">
        <v>230331</v>
      </c>
      <c r="H9641">
        <v>4840</v>
      </c>
      <c r="I9641" t="s">
        <v>19</v>
      </c>
      <c r="J9641">
        <v>93.97</v>
      </c>
      <c r="K9641">
        <v>18.190000000000001</v>
      </c>
      <c r="L9641">
        <v>17533</v>
      </c>
      <c r="M9641" t="s">
        <v>990</v>
      </c>
      <c r="N9641" t="str">
        <f>"2122027734  "</f>
        <v xml:space="preserve">2122027734  </v>
      </c>
      <c r="O9641">
        <v>230405</v>
      </c>
    </row>
    <row r="9642" spans="1:15" x14ac:dyDescent="0.25">
      <c r="A9642" t="s">
        <v>16</v>
      </c>
      <c r="B9642" t="s">
        <v>3221</v>
      </c>
      <c r="C9642">
        <v>4426</v>
      </c>
      <c r="D9642" t="s">
        <v>3654</v>
      </c>
      <c r="E9642" t="s">
        <v>700</v>
      </c>
      <c r="F9642">
        <v>32.380000000000003</v>
      </c>
      <c r="G9642">
        <v>230331</v>
      </c>
      <c r="H9642">
        <v>4840</v>
      </c>
      <c r="I9642" t="s">
        <v>19</v>
      </c>
      <c r="J9642">
        <v>40.15</v>
      </c>
      <c r="K9642">
        <v>7.77</v>
      </c>
      <c r="L9642">
        <v>17521</v>
      </c>
      <c r="M9642" t="s">
        <v>133</v>
      </c>
      <c r="N9642" t="str">
        <f>"2122027703  "</f>
        <v xml:space="preserve">2122027703  </v>
      </c>
      <c r="O9642">
        <v>230405</v>
      </c>
    </row>
    <row r="9643" spans="1:15" x14ac:dyDescent="0.25">
      <c r="A9643" t="s">
        <v>16</v>
      </c>
      <c r="B9643" t="s">
        <v>3221</v>
      </c>
      <c r="C9643">
        <v>4428</v>
      </c>
      <c r="D9643" t="s">
        <v>3654</v>
      </c>
      <c r="E9643" t="s">
        <v>700</v>
      </c>
      <c r="F9643">
        <v>12.77</v>
      </c>
      <c r="G9643">
        <v>230331</v>
      </c>
      <c r="H9643">
        <v>4840</v>
      </c>
      <c r="I9643" t="s">
        <v>19</v>
      </c>
      <c r="J9643">
        <v>15.84</v>
      </c>
      <c r="K9643">
        <v>3.07</v>
      </c>
      <c r="L9643">
        <v>17534</v>
      </c>
      <c r="M9643" t="s">
        <v>440</v>
      </c>
      <c r="N9643" t="str">
        <f>"2122029378  "</f>
        <v xml:space="preserve">2122029378  </v>
      </c>
      <c r="O9643">
        <v>230405</v>
      </c>
    </row>
    <row r="9644" spans="1:15" x14ac:dyDescent="0.25">
      <c r="A9644" t="s">
        <v>16</v>
      </c>
      <c r="B9644" t="s">
        <v>3221</v>
      </c>
      <c r="C9644">
        <v>4428</v>
      </c>
      <c r="D9644" t="s">
        <v>3654</v>
      </c>
      <c r="E9644" t="s">
        <v>700</v>
      </c>
      <c r="F9644">
        <v>12.77</v>
      </c>
      <c r="G9644">
        <v>230331</v>
      </c>
      <c r="H9644">
        <v>4840</v>
      </c>
      <c r="I9644" t="s">
        <v>19</v>
      </c>
      <c r="J9644">
        <v>15.84</v>
      </c>
      <c r="K9644">
        <v>3.07</v>
      </c>
      <c r="L9644">
        <v>17535</v>
      </c>
      <c r="M9644" t="s">
        <v>357</v>
      </c>
      <c r="N9644" t="str">
        <f>"2122029378  "</f>
        <v xml:space="preserve">2122029378  </v>
      </c>
      <c r="O9644">
        <v>230405</v>
      </c>
    </row>
    <row r="9645" spans="1:15" x14ac:dyDescent="0.25">
      <c r="A9645" t="s">
        <v>16</v>
      </c>
      <c r="B9645" t="s">
        <v>3221</v>
      </c>
      <c r="C9645">
        <v>4428</v>
      </c>
      <c r="D9645" t="s">
        <v>3654</v>
      </c>
      <c r="E9645" t="s">
        <v>700</v>
      </c>
      <c r="F9645">
        <v>12.78</v>
      </c>
      <c r="G9645">
        <v>230331</v>
      </c>
      <c r="H9645">
        <v>4840</v>
      </c>
      <c r="I9645" t="s">
        <v>19</v>
      </c>
      <c r="J9645">
        <v>15.85</v>
      </c>
      <c r="K9645">
        <v>3.07</v>
      </c>
      <c r="L9645">
        <v>17536</v>
      </c>
      <c r="M9645" t="s">
        <v>734</v>
      </c>
      <c r="N9645" t="str">
        <f>"2122029378  "</f>
        <v xml:space="preserve">2122029378  </v>
      </c>
      <c r="O9645">
        <v>230405</v>
      </c>
    </row>
    <row r="9646" spans="1:15" x14ac:dyDescent="0.25">
      <c r="A9646" t="s">
        <v>16</v>
      </c>
      <c r="B9646" t="s">
        <v>3221</v>
      </c>
      <c r="C9646">
        <v>4429</v>
      </c>
      <c r="D9646" t="s">
        <v>3654</v>
      </c>
      <c r="E9646" t="s">
        <v>700</v>
      </c>
      <c r="F9646">
        <v>4.12</v>
      </c>
      <c r="G9646">
        <v>230331</v>
      </c>
      <c r="H9646">
        <v>4840</v>
      </c>
      <c r="I9646" t="s">
        <v>19</v>
      </c>
      <c r="J9646">
        <v>5.1100000000000003</v>
      </c>
      <c r="K9646">
        <v>0.99</v>
      </c>
      <c r="L9646">
        <v>13561</v>
      </c>
      <c r="M9646" t="s">
        <v>246</v>
      </c>
      <c r="N9646" t="str">
        <f>"2122029352  "</f>
        <v xml:space="preserve">2122029352  </v>
      </c>
      <c r="O9646">
        <v>230405</v>
      </c>
    </row>
    <row r="9647" spans="1:15" x14ac:dyDescent="0.25">
      <c r="A9647" t="s">
        <v>16</v>
      </c>
      <c r="B9647" t="s">
        <v>3221</v>
      </c>
      <c r="C9647">
        <v>4429</v>
      </c>
      <c r="D9647" t="s">
        <v>3654</v>
      </c>
      <c r="E9647" t="s">
        <v>700</v>
      </c>
      <c r="F9647">
        <v>33.229999999999997</v>
      </c>
      <c r="G9647">
        <v>230331</v>
      </c>
      <c r="H9647">
        <v>4840</v>
      </c>
      <c r="I9647" t="s">
        <v>19</v>
      </c>
      <c r="J9647">
        <v>41.2</v>
      </c>
      <c r="K9647">
        <v>7.97</v>
      </c>
      <c r="L9647">
        <v>17971</v>
      </c>
      <c r="M9647" t="s">
        <v>138</v>
      </c>
      <c r="N9647" t="str">
        <f>"2122029352  "</f>
        <v xml:space="preserve">2122029352  </v>
      </c>
      <c r="O9647">
        <v>230405</v>
      </c>
    </row>
    <row r="9648" spans="1:15" x14ac:dyDescent="0.25">
      <c r="A9648" t="s">
        <v>16</v>
      </c>
      <c r="B9648" t="s">
        <v>3221</v>
      </c>
      <c r="C9648">
        <v>4430</v>
      </c>
      <c r="D9648" t="s">
        <v>3654</v>
      </c>
      <c r="E9648" t="s">
        <v>700</v>
      </c>
      <c r="F9648">
        <v>37.39</v>
      </c>
      <c r="G9648">
        <v>230331</v>
      </c>
      <c r="H9648">
        <v>4840</v>
      </c>
      <c r="I9648" t="s">
        <v>19</v>
      </c>
      <c r="J9648">
        <v>46.36</v>
      </c>
      <c r="K9648">
        <v>8.9700000000000006</v>
      </c>
      <c r="L9648">
        <v>17972</v>
      </c>
      <c r="M9648" t="s">
        <v>248</v>
      </c>
      <c r="N9648" t="str">
        <f>"2122029353  "</f>
        <v xml:space="preserve">2122029353  </v>
      </c>
      <c r="O9648">
        <v>230405</v>
      </c>
    </row>
    <row r="9649" spans="1:15" x14ac:dyDescent="0.25">
      <c r="A9649" t="s">
        <v>16</v>
      </c>
      <c r="B9649" t="s">
        <v>3221</v>
      </c>
      <c r="C9649">
        <v>4431</v>
      </c>
      <c r="D9649" t="s">
        <v>3654</v>
      </c>
      <c r="E9649" t="s">
        <v>700</v>
      </c>
      <c r="F9649">
        <v>21.58</v>
      </c>
      <c r="G9649">
        <v>230331</v>
      </c>
      <c r="H9649">
        <v>4840</v>
      </c>
      <c r="I9649" t="s">
        <v>19</v>
      </c>
      <c r="J9649">
        <v>26.76</v>
      </c>
      <c r="K9649">
        <v>5.18</v>
      </c>
      <c r="L9649">
        <v>17971</v>
      </c>
      <c r="M9649" t="s">
        <v>138</v>
      </c>
      <c r="N9649" t="str">
        <f>"2122029351  "</f>
        <v xml:space="preserve">2122029351  </v>
      </c>
      <c r="O9649">
        <v>230405</v>
      </c>
    </row>
    <row r="9650" spans="1:15" x14ac:dyDescent="0.25">
      <c r="A9650" t="s">
        <v>16</v>
      </c>
      <c r="B9650" t="s">
        <v>3221</v>
      </c>
      <c r="C9650">
        <v>4432</v>
      </c>
      <c r="D9650" t="s">
        <v>3654</v>
      </c>
      <c r="E9650" t="s">
        <v>700</v>
      </c>
      <c r="F9650">
        <v>34.369999999999997</v>
      </c>
      <c r="G9650">
        <v>230331</v>
      </c>
      <c r="H9650">
        <v>4840</v>
      </c>
      <c r="I9650" t="s">
        <v>19</v>
      </c>
      <c r="J9650">
        <v>42.62</v>
      </c>
      <c r="K9650">
        <v>8.25</v>
      </c>
      <c r="L9650">
        <v>17524</v>
      </c>
      <c r="M9650" t="s">
        <v>452</v>
      </c>
      <c r="N9650" t="str">
        <f>"2122027735  "</f>
        <v xml:space="preserve">2122027735  </v>
      </c>
      <c r="O9650">
        <v>230405</v>
      </c>
    </row>
    <row r="9651" spans="1:15" x14ac:dyDescent="0.25">
      <c r="A9651" t="s">
        <v>16</v>
      </c>
      <c r="B9651" t="s">
        <v>3221</v>
      </c>
      <c r="C9651">
        <v>4434</v>
      </c>
      <c r="D9651" t="s">
        <v>3654</v>
      </c>
      <c r="E9651" t="s">
        <v>700</v>
      </c>
      <c r="F9651">
        <v>32.799999999999997</v>
      </c>
      <c r="G9651">
        <v>230331</v>
      </c>
      <c r="H9651">
        <v>4840</v>
      </c>
      <c r="I9651" t="s">
        <v>19</v>
      </c>
      <c r="J9651">
        <v>40.67</v>
      </c>
      <c r="K9651">
        <v>7.87</v>
      </c>
      <c r="L9651">
        <v>17523</v>
      </c>
      <c r="M9651" t="s">
        <v>134</v>
      </c>
      <c r="N9651" t="str">
        <f>"2122027736  "</f>
        <v xml:space="preserve">2122027736  </v>
      </c>
      <c r="O9651">
        <v>230405</v>
      </c>
    </row>
    <row r="9652" spans="1:15" x14ac:dyDescent="0.25">
      <c r="A9652" t="s">
        <v>16</v>
      </c>
      <c r="B9652" t="s">
        <v>3221</v>
      </c>
      <c r="C9652">
        <v>4436</v>
      </c>
      <c r="D9652" t="s">
        <v>3654</v>
      </c>
      <c r="E9652" t="s">
        <v>700</v>
      </c>
      <c r="F9652">
        <v>6.52</v>
      </c>
      <c r="G9652">
        <v>230331</v>
      </c>
      <c r="H9652">
        <v>4840</v>
      </c>
      <c r="I9652" t="s">
        <v>19</v>
      </c>
      <c r="J9652">
        <v>8.08</v>
      </c>
      <c r="K9652">
        <v>1.56</v>
      </c>
      <c r="L9652">
        <v>17525</v>
      </c>
      <c r="M9652" t="s">
        <v>135</v>
      </c>
      <c r="N9652" t="str">
        <f>"2122029375  "</f>
        <v xml:space="preserve">2122029375  </v>
      </c>
      <c r="O9652">
        <v>230405</v>
      </c>
    </row>
    <row r="9653" spans="1:15" x14ac:dyDescent="0.25">
      <c r="A9653" t="s">
        <v>16</v>
      </c>
      <c r="B9653" t="s">
        <v>3221</v>
      </c>
      <c r="C9653">
        <v>4436</v>
      </c>
      <c r="D9653" t="s">
        <v>3654</v>
      </c>
      <c r="E9653" t="s">
        <v>700</v>
      </c>
      <c r="F9653">
        <v>6.52</v>
      </c>
      <c r="G9653">
        <v>230331</v>
      </c>
      <c r="H9653">
        <v>4840</v>
      </c>
      <c r="I9653" t="s">
        <v>19</v>
      </c>
      <c r="J9653">
        <v>8.09</v>
      </c>
      <c r="K9653">
        <v>1.57</v>
      </c>
      <c r="L9653">
        <v>17529</v>
      </c>
      <c r="M9653" t="s">
        <v>453</v>
      </c>
      <c r="N9653" t="str">
        <f>"2122029375  "</f>
        <v xml:space="preserve">2122029375  </v>
      </c>
      <c r="O9653">
        <v>230405</v>
      </c>
    </row>
    <row r="9654" spans="1:15" x14ac:dyDescent="0.25">
      <c r="A9654" t="s">
        <v>16</v>
      </c>
      <c r="B9654" t="s">
        <v>3221</v>
      </c>
      <c r="C9654">
        <v>4438</v>
      </c>
      <c r="D9654" t="s">
        <v>3654</v>
      </c>
      <c r="E9654" t="s">
        <v>700</v>
      </c>
      <c r="F9654">
        <v>19.100000000000001</v>
      </c>
      <c r="G9654">
        <v>230331</v>
      </c>
      <c r="H9654">
        <v>4840</v>
      </c>
      <c r="I9654" t="s">
        <v>19</v>
      </c>
      <c r="J9654">
        <v>23.68</v>
      </c>
      <c r="K9654">
        <v>4.58</v>
      </c>
      <c r="L9654">
        <v>17527</v>
      </c>
      <c r="M9654" t="s">
        <v>422</v>
      </c>
      <c r="N9654" t="str">
        <f>"2122027738  "</f>
        <v xml:space="preserve">2122027738  </v>
      </c>
      <c r="O9654">
        <v>230405</v>
      </c>
    </row>
    <row r="9655" spans="1:15" x14ac:dyDescent="0.25">
      <c r="A9655" t="s">
        <v>16</v>
      </c>
      <c r="B9655" t="s">
        <v>3221</v>
      </c>
      <c r="C9655">
        <v>4439</v>
      </c>
      <c r="D9655" t="s">
        <v>3654</v>
      </c>
      <c r="E9655" t="s">
        <v>700</v>
      </c>
      <c r="F9655">
        <v>11.86</v>
      </c>
      <c r="G9655">
        <v>230331</v>
      </c>
      <c r="H9655">
        <v>4840</v>
      </c>
      <c r="I9655" t="s">
        <v>19</v>
      </c>
      <c r="J9655">
        <v>14.71</v>
      </c>
      <c r="K9655">
        <v>2.85</v>
      </c>
      <c r="L9655">
        <v>11301</v>
      </c>
      <c r="M9655" t="s">
        <v>29</v>
      </c>
      <c r="N9655" t="str">
        <f>"2122028924  "</f>
        <v xml:space="preserve">2122028924  </v>
      </c>
      <c r="O9655">
        <v>230405</v>
      </c>
    </row>
    <row r="9656" spans="1:15" x14ac:dyDescent="0.25">
      <c r="A9656" t="s">
        <v>16</v>
      </c>
      <c r="B9656" t="s">
        <v>3221</v>
      </c>
      <c r="C9656">
        <v>4439</v>
      </c>
      <c r="D9656" t="s">
        <v>3654</v>
      </c>
      <c r="E9656" t="s">
        <v>700</v>
      </c>
      <c r="F9656">
        <v>11.85</v>
      </c>
      <c r="G9656">
        <v>230331</v>
      </c>
      <c r="H9656">
        <v>4840</v>
      </c>
      <c r="I9656" t="s">
        <v>19</v>
      </c>
      <c r="J9656">
        <v>14.69</v>
      </c>
      <c r="K9656">
        <v>2.84</v>
      </c>
      <c r="L9656">
        <v>16930</v>
      </c>
      <c r="M9656" t="s">
        <v>450</v>
      </c>
      <c r="N9656" t="str">
        <f>"2122028924  "</f>
        <v xml:space="preserve">2122028924  </v>
      </c>
      <c r="O9656">
        <v>230405</v>
      </c>
    </row>
    <row r="9657" spans="1:15" x14ac:dyDescent="0.25">
      <c r="A9657" t="s">
        <v>16</v>
      </c>
      <c r="B9657" t="s">
        <v>3221</v>
      </c>
      <c r="C9657">
        <v>4439</v>
      </c>
      <c r="D9657" t="s">
        <v>3654</v>
      </c>
      <c r="E9657" t="s">
        <v>700</v>
      </c>
      <c r="F9657">
        <v>11.85</v>
      </c>
      <c r="G9657">
        <v>230331</v>
      </c>
      <c r="H9657">
        <v>4840</v>
      </c>
      <c r="I9657" t="s">
        <v>19</v>
      </c>
      <c r="J9657">
        <v>14.69</v>
      </c>
      <c r="K9657">
        <v>2.84</v>
      </c>
      <c r="L9657">
        <v>17974</v>
      </c>
      <c r="M9657" t="s">
        <v>460</v>
      </c>
      <c r="N9657" t="str">
        <f>"2122028924  "</f>
        <v xml:space="preserve">2122028924  </v>
      </c>
      <c r="O9657">
        <v>230405</v>
      </c>
    </row>
    <row r="9658" spans="1:15" x14ac:dyDescent="0.25">
      <c r="A9658" t="s">
        <v>16</v>
      </c>
      <c r="B9658" t="s">
        <v>3221</v>
      </c>
      <c r="C9658">
        <v>4440</v>
      </c>
      <c r="D9658" t="s">
        <v>3654</v>
      </c>
      <c r="E9658" t="s">
        <v>700</v>
      </c>
      <c r="F9658">
        <v>32.83</v>
      </c>
      <c r="G9658">
        <v>230331</v>
      </c>
      <c r="H9658">
        <v>4840</v>
      </c>
      <c r="I9658" t="s">
        <v>19</v>
      </c>
      <c r="J9658">
        <v>40.71</v>
      </c>
      <c r="K9658">
        <v>7.88</v>
      </c>
      <c r="L9658">
        <v>17526</v>
      </c>
      <c r="M9658" t="s">
        <v>437</v>
      </c>
      <c r="N9658" t="str">
        <f>"2122027737  "</f>
        <v xml:space="preserve">2122027737  </v>
      </c>
      <c r="O9658">
        <v>230405</v>
      </c>
    </row>
    <row r="9659" spans="1:15" x14ac:dyDescent="0.25">
      <c r="A9659" t="s">
        <v>16</v>
      </c>
      <c r="B9659" t="s">
        <v>3221</v>
      </c>
      <c r="C9659">
        <v>4514</v>
      </c>
      <c r="D9659" t="s">
        <v>3654</v>
      </c>
      <c r="E9659" t="s">
        <v>700</v>
      </c>
      <c r="F9659">
        <v>7.87</v>
      </c>
      <c r="G9659">
        <v>230331</v>
      </c>
      <c r="H9659">
        <v>4840</v>
      </c>
      <c r="I9659" t="s">
        <v>19</v>
      </c>
      <c r="J9659">
        <v>9.76</v>
      </c>
      <c r="K9659">
        <v>1.89</v>
      </c>
      <c r="L9659">
        <v>13801</v>
      </c>
      <c r="M9659" t="s">
        <v>162</v>
      </c>
      <c r="N9659" t="str">
        <f>"2122029784  "</f>
        <v xml:space="preserve">2122029784  </v>
      </c>
      <c r="O9659">
        <v>230406</v>
      </c>
    </row>
    <row r="9660" spans="1:15" x14ac:dyDescent="0.25">
      <c r="A9660" t="s">
        <v>16</v>
      </c>
      <c r="B9660" t="s">
        <v>3221</v>
      </c>
      <c r="C9660">
        <v>4520</v>
      </c>
      <c r="D9660" t="s">
        <v>3654</v>
      </c>
      <c r="E9660" t="s">
        <v>700</v>
      </c>
      <c r="F9660">
        <v>114.71</v>
      </c>
      <c r="G9660">
        <v>230331</v>
      </c>
      <c r="H9660">
        <v>4840</v>
      </c>
      <c r="I9660" t="s">
        <v>19</v>
      </c>
      <c r="J9660">
        <v>142.24</v>
      </c>
      <c r="K9660">
        <v>27.53</v>
      </c>
      <c r="L9660">
        <v>13801</v>
      </c>
      <c r="M9660" t="s">
        <v>162</v>
      </c>
      <c r="N9660" t="str">
        <f>"2122027888  "</f>
        <v xml:space="preserve">2122027888  </v>
      </c>
      <c r="O9660">
        <v>230406</v>
      </c>
    </row>
    <row r="9661" spans="1:15" x14ac:dyDescent="0.25">
      <c r="A9661" t="s">
        <v>16</v>
      </c>
      <c r="B9661" t="s">
        <v>3221</v>
      </c>
      <c r="C9661">
        <v>4725</v>
      </c>
      <c r="D9661" t="s">
        <v>3654</v>
      </c>
      <c r="E9661" t="s">
        <v>700</v>
      </c>
      <c r="F9661">
        <v>15.41</v>
      </c>
      <c r="G9661">
        <v>230331</v>
      </c>
      <c r="H9661">
        <v>4840</v>
      </c>
      <c r="I9661" t="s">
        <v>19</v>
      </c>
      <c r="J9661">
        <v>19.11</v>
      </c>
      <c r="K9661">
        <v>3.7</v>
      </c>
      <c r="L9661">
        <v>16121</v>
      </c>
      <c r="M9661" t="s">
        <v>21</v>
      </c>
      <c r="N9661" t="str">
        <f>"2122029354  "</f>
        <v xml:space="preserve">2122029354  </v>
      </c>
      <c r="O9661">
        <v>230412</v>
      </c>
    </row>
    <row r="9662" spans="1:15" x14ac:dyDescent="0.25">
      <c r="A9662" t="s">
        <v>16</v>
      </c>
      <c r="B9662" t="s">
        <v>3221</v>
      </c>
      <c r="C9662">
        <v>4725</v>
      </c>
      <c r="D9662" t="s">
        <v>3654</v>
      </c>
      <c r="E9662" t="s">
        <v>700</v>
      </c>
      <c r="F9662">
        <v>3.56</v>
      </c>
      <c r="G9662">
        <v>230331</v>
      </c>
      <c r="H9662">
        <v>4840</v>
      </c>
      <c r="I9662" t="s">
        <v>19</v>
      </c>
      <c r="J9662">
        <v>4.41</v>
      </c>
      <c r="K9662">
        <v>0.85</v>
      </c>
      <c r="L9662">
        <v>16322</v>
      </c>
      <c r="M9662" t="s">
        <v>22</v>
      </c>
      <c r="N9662" t="str">
        <f>"2122029354  "</f>
        <v xml:space="preserve">2122029354  </v>
      </c>
      <c r="O9662">
        <v>230412</v>
      </c>
    </row>
    <row r="9663" spans="1:15" x14ac:dyDescent="0.25">
      <c r="A9663" t="s">
        <v>16</v>
      </c>
      <c r="B9663" t="s">
        <v>3221</v>
      </c>
      <c r="C9663">
        <v>4725</v>
      </c>
      <c r="D9663" t="s">
        <v>3654</v>
      </c>
      <c r="E9663" t="s">
        <v>700</v>
      </c>
      <c r="F9663">
        <v>4.74</v>
      </c>
      <c r="G9663">
        <v>230331</v>
      </c>
      <c r="H9663">
        <v>4840</v>
      </c>
      <c r="I9663" t="s">
        <v>19</v>
      </c>
      <c r="J9663">
        <v>5.88</v>
      </c>
      <c r="K9663">
        <v>1.1399999999999999</v>
      </c>
      <c r="L9663">
        <v>16820</v>
      </c>
      <c r="M9663" t="s">
        <v>23</v>
      </c>
      <c r="N9663" t="str">
        <f>"2122029354  "</f>
        <v xml:space="preserve">2122029354  </v>
      </c>
      <c r="O9663">
        <v>230412</v>
      </c>
    </row>
    <row r="9664" spans="1:15" x14ac:dyDescent="0.25">
      <c r="A9664" t="s">
        <v>16</v>
      </c>
      <c r="B9664" t="s">
        <v>3221</v>
      </c>
      <c r="C9664">
        <v>4725</v>
      </c>
      <c r="D9664" t="s">
        <v>3654</v>
      </c>
      <c r="E9664" t="s">
        <v>700</v>
      </c>
      <c r="F9664">
        <v>23.7</v>
      </c>
      <c r="G9664">
        <v>230331</v>
      </c>
      <c r="H9664">
        <v>4840</v>
      </c>
      <c r="I9664" t="s">
        <v>19</v>
      </c>
      <c r="J9664">
        <v>29.39</v>
      </c>
      <c r="K9664">
        <v>5.69</v>
      </c>
      <c r="L9664">
        <v>17538</v>
      </c>
      <c r="M9664" t="s">
        <v>24</v>
      </c>
      <c r="N9664" t="str">
        <f>"2122029354  "</f>
        <v xml:space="preserve">2122029354  </v>
      </c>
      <c r="O9664">
        <v>230412</v>
      </c>
    </row>
    <row r="9665" spans="1:15" x14ac:dyDescent="0.25">
      <c r="A9665" t="s">
        <v>16</v>
      </c>
      <c r="B9665" t="s">
        <v>3221</v>
      </c>
      <c r="C9665">
        <v>5856</v>
      </c>
      <c r="D9665" t="s">
        <v>3654</v>
      </c>
      <c r="E9665" t="s">
        <v>700</v>
      </c>
      <c r="F9665">
        <v>98.04</v>
      </c>
      <c r="G9665">
        <v>230427</v>
      </c>
      <c r="H9665">
        <v>4840</v>
      </c>
      <c r="I9665" t="s">
        <v>19</v>
      </c>
      <c r="J9665">
        <v>121.57</v>
      </c>
      <c r="K9665">
        <v>23.53</v>
      </c>
      <c r="L9665">
        <v>13401</v>
      </c>
      <c r="M9665" t="s">
        <v>80</v>
      </c>
      <c r="N9665" t="str">
        <f>"2123001262  "</f>
        <v xml:space="preserve">2123001262  </v>
      </c>
      <c r="O9665">
        <v>230503</v>
      </c>
    </row>
    <row r="9666" spans="1:15" x14ac:dyDescent="0.25">
      <c r="A9666" t="s">
        <v>16</v>
      </c>
      <c r="B9666" t="s">
        <v>3221</v>
      </c>
      <c r="C9666">
        <v>6321</v>
      </c>
      <c r="D9666" t="s">
        <v>3654</v>
      </c>
      <c r="E9666" t="s">
        <v>700</v>
      </c>
      <c r="F9666">
        <v>47.49</v>
      </c>
      <c r="G9666">
        <v>230427</v>
      </c>
      <c r="H9666">
        <v>4840</v>
      </c>
      <c r="I9666" t="s">
        <v>19</v>
      </c>
      <c r="J9666">
        <v>58.89</v>
      </c>
      <c r="K9666">
        <v>11.4</v>
      </c>
      <c r="L9666">
        <v>17530</v>
      </c>
      <c r="M9666" t="s">
        <v>454</v>
      </c>
      <c r="N9666" t="str">
        <f>"2123001029  "</f>
        <v xml:space="preserve">2123001029  </v>
      </c>
      <c r="O9666">
        <v>230510</v>
      </c>
    </row>
    <row r="9667" spans="1:15" x14ac:dyDescent="0.25">
      <c r="A9667" t="s">
        <v>16</v>
      </c>
      <c r="B9667" t="s">
        <v>3221</v>
      </c>
      <c r="C9667">
        <v>7504</v>
      </c>
      <c r="D9667" t="s">
        <v>3654</v>
      </c>
      <c r="E9667" t="s">
        <v>700</v>
      </c>
      <c r="F9667">
        <v>69.709999999999994</v>
      </c>
      <c r="G9667">
        <v>230525</v>
      </c>
      <c r="H9667">
        <v>4840</v>
      </c>
      <c r="I9667" t="s">
        <v>19</v>
      </c>
      <c r="J9667">
        <v>86.44</v>
      </c>
      <c r="K9667">
        <v>16.73</v>
      </c>
      <c r="L9667">
        <v>13801</v>
      </c>
      <c r="M9667" t="s">
        <v>162</v>
      </c>
      <c r="N9667" t="str">
        <f>"2123003425  "</f>
        <v xml:space="preserve">2123003425  </v>
      </c>
      <c r="O9667">
        <v>230531</v>
      </c>
    </row>
    <row r="9668" spans="1:15" x14ac:dyDescent="0.25">
      <c r="A9668" t="s">
        <v>16</v>
      </c>
      <c r="B9668" t="s">
        <v>3221</v>
      </c>
      <c r="C9668">
        <v>7807</v>
      </c>
      <c r="D9668" t="s">
        <v>3654</v>
      </c>
      <c r="E9668" t="s">
        <v>700</v>
      </c>
      <c r="F9668">
        <v>114.46</v>
      </c>
      <c r="G9668">
        <v>230525</v>
      </c>
      <c r="H9668">
        <v>4840</v>
      </c>
      <c r="I9668" t="s">
        <v>19</v>
      </c>
      <c r="J9668">
        <v>141.93</v>
      </c>
      <c r="K9668">
        <v>27.47</v>
      </c>
      <c r="L9668">
        <v>17533</v>
      </c>
      <c r="M9668" t="s">
        <v>990</v>
      </c>
      <c r="N9668" t="str">
        <f>"2123003287  "</f>
        <v xml:space="preserve">2123003287  </v>
      </c>
      <c r="O9668">
        <v>230602</v>
      </c>
    </row>
    <row r="9669" spans="1:15" x14ac:dyDescent="0.25">
      <c r="A9669" t="s">
        <v>16</v>
      </c>
      <c r="B9669" t="s">
        <v>3221</v>
      </c>
      <c r="C9669">
        <v>7808</v>
      </c>
      <c r="D9669" t="s">
        <v>3654</v>
      </c>
      <c r="E9669" t="s">
        <v>700</v>
      </c>
      <c r="F9669">
        <v>14.65</v>
      </c>
      <c r="G9669">
        <v>230525</v>
      </c>
      <c r="H9669">
        <v>4840</v>
      </c>
      <c r="I9669" t="s">
        <v>19</v>
      </c>
      <c r="J9669">
        <v>18.170000000000002</v>
      </c>
      <c r="K9669">
        <v>3.52</v>
      </c>
      <c r="L9669">
        <v>17526</v>
      </c>
      <c r="M9669" t="s">
        <v>437</v>
      </c>
      <c r="N9669" t="str">
        <f>"2123003290  "</f>
        <v xml:space="preserve">2123003290  </v>
      </c>
      <c r="O9669">
        <v>230602</v>
      </c>
    </row>
    <row r="9670" spans="1:15" x14ac:dyDescent="0.25">
      <c r="A9670" t="s">
        <v>16</v>
      </c>
      <c r="B9670" t="s">
        <v>3221</v>
      </c>
      <c r="C9670">
        <v>7809</v>
      </c>
      <c r="D9670" t="s">
        <v>3654</v>
      </c>
      <c r="E9670" t="s">
        <v>700</v>
      </c>
      <c r="F9670">
        <v>18.89</v>
      </c>
      <c r="G9670">
        <v>230525</v>
      </c>
      <c r="H9670">
        <v>4840</v>
      </c>
      <c r="I9670" t="s">
        <v>19</v>
      </c>
      <c r="J9670">
        <v>23.42</v>
      </c>
      <c r="K9670">
        <v>4.53</v>
      </c>
      <c r="L9670">
        <v>17523</v>
      </c>
      <c r="M9670" t="s">
        <v>134</v>
      </c>
      <c r="N9670" t="str">
        <f>"2123003289  "</f>
        <v xml:space="preserve">2123003289  </v>
      </c>
      <c r="O9670">
        <v>230602</v>
      </c>
    </row>
    <row r="9671" spans="1:15" x14ac:dyDescent="0.25">
      <c r="A9671" t="s">
        <v>16</v>
      </c>
      <c r="B9671" t="s">
        <v>3221</v>
      </c>
      <c r="C9671">
        <v>7811</v>
      </c>
      <c r="D9671" t="s">
        <v>3654</v>
      </c>
      <c r="E9671" t="s">
        <v>700</v>
      </c>
      <c r="F9671">
        <v>7.67</v>
      </c>
      <c r="G9671">
        <v>230525</v>
      </c>
      <c r="H9671">
        <v>4840</v>
      </c>
      <c r="I9671" t="s">
        <v>19</v>
      </c>
      <c r="J9671">
        <v>9.51</v>
      </c>
      <c r="K9671">
        <v>1.84</v>
      </c>
      <c r="L9671">
        <v>17524</v>
      </c>
      <c r="M9671" t="s">
        <v>452</v>
      </c>
      <c r="N9671" t="str">
        <f>"2123003288  "</f>
        <v xml:space="preserve">2123003288  </v>
      </c>
      <c r="O9671">
        <v>230602</v>
      </c>
    </row>
    <row r="9672" spans="1:15" x14ac:dyDescent="0.25">
      <c r="A9672" t="s">
        <v>16</v>
      </c>
      <c r="B9672" t="s">
        <v>3221</v>
      </c>
      <c r="C9672">
        <v>7812</v>
      </c>
      <c r="D9672" t="s">
        <v>3654</v>
      </c>
      <c r="E9672" t="s">
        <v>700</v>
      </c>
      <c r="F9672">
        <v>13.52</v>
      </c>
      <c r="G9672">
        <v>230525</v>
      </c>
      <c r="H9672">
        <v>4840</v>
      </c>
      <c r="I9672" t="s">
        <v>19</v>
      </c>
      <c r="J9672">
        <v>16.760000000000002</v>
      </c>
      <c r="K9672">
        <v>3.24</v>
      </c>
      <c r="L9672">
        <v>17527</v>
      </c>
      <c r="M9672" t="s">
        <v>422</v>
      </c>
      <c r="N9672" t="str">
        <f>"2123003291  "</f>
        <v xml:space="preserve">2123003291  </v>
      </c>
      <c r="O9672">
        <v>230602</v>
      </c>
    </row>
    <row r="9673" spans="1:15" x14ac:dyDescent="0.25">
      <c r="A9673" t="s">
        <v>16</v>
      </c>
      <c r="B9673" t="s">
        <v>3221</v>
      </c>
      <c r="C9673">
        <v>7814</v>
      </c>
      <c r="D9673" t="s">
        <v>3654</v>
      </c>
      <c r="E9673" t="s">
        <v>700</v>
      </c>
      <c r="F9673">
        <v>23.24</v>
      </c>
      <c r="G9673">
        <v>230525</v>
      </c>
      <c r="H9673">
        <v>4840</v>
      </c>
      <c r="I9673" t="s">
        <v>19</v>
      </c>
      <c r="J9673">
        <v>28.82</v>
      </c>
      <c r="K9673">
        <v>5.58</v>
      </c>
      <c r="L9673">
        <v>17521</v>
      </c>
      <c r="M9673" t="s">
        <v>133</v>
      </c>
      <c r="N9673" t="str">
        <f>"2123003258  "</f>
        <v xml:space="preserve">2123003258  </v>
      </c>
      <c r="O9673">
        <v>230602</v>
      </c>
    </row>
    <row r="9674" spans="1:15" x14ac:dyDescent="0.25">
      <c r="A9674" t="s">
        <v>16</v>
      </c>
      <c r="B9674" t="s">
        <v>3221</v>
      </c>
      <c r="C9674">
        <v>9611</v>
      </c>
      <c r="D9674" t="s">
        <v>3654</v>
      </c>
      <c r="E9674" t="s">
        <v>700</v>
      </c>
      <c r="F9674">
        <v>6.68</v>
      </c>
      <c r="G9674">
        <v>230629</v>
      </c>
      <c r="H9674">
        <v>4840</v>
      </c>
      <c r="I9674" t="s">
        <v>19</v>
      </c>
      <c r="J9674">
        <v>8.2799999999999994</v>
      </c>
      <c r="K9674">
        <v>1.6</v>
      </c>
      <c r="L9674">
        <v>13801</v>
      </c>
      <c r="M9674" t="s">
        <v>162</v>
      </c>
      <c r="N9674" t="str">
        <f>"2123006424  "</f>
        <v xml:space="preserve">2123006424  </v>
      </c>
      <c r="O9674">
        <v>230717</v>
      </c>
    </row>
    <row r="9675" spans="1:15" x14ac:dyDescent="0.25">
      <c r="A9675" t="s">
        <v>16</v>
      </c>
      <c r="B9675" t="s">
        <v>3221</v>
      </c>
      <c r="C9675">
        <v>11364</v>
      </c>
      <c r="D9675" t="s">
        <v>3654</v>
      </c>
      <c r="E9675" t="s">
        <v>700</v>
      </c>
      <c r="F9675">
        <v>34.11</v>
      </c>
      <c r="G9675">
        <v>230830</v>
      </c>
      <c r="H9675">
        <v>4840</v>
      </c>
      <c r="I9675" t="s">
        <v>19</v>
      </c>
      <c r="J9675">
        <v>42.3</v>
      </c>
      <c r="K9675">
        <v>8.19</v>
      </c>
      <c r="L9675">
        <v>13801</v>
      </c>
      <c r="M9675" t="s">
        <v>162</v>
      </c>
      <c r="N9675" t="str">
        <f>"2123012197  "</f>
        <v xml:space="preserve">2123012197  </v>
      </c>
      <c r="O9675">
        <v>230904</v>
      </c>
    </row>
    <row r="9676" spans="1:15" x14ac:dyDescent="0.25">
      <c r="A9676" t="s">
        <v>16</v>
      </c>
      <c r="B9676" t="s">
        <v>3221</v>
      </c>
      <c r="C9676">
        <v>13881</v>
      </c>
      <c r="D9676" t="s">
        <v>3654</v>
      </c>
      <c r="E9676" t="s">
        <v>700</v>
      </c>
      <c r="F9676">
        <v>10.91</v>
      </c>
      <c r="G9676">
        <v>230929</v>
      </c>
      <c r="H9676">
        <v>4840</v>
      </c>
      <c r="I9676" t="s">
        <v>19</v>
      </c>
      <c r="J9676">
        <v>13.53</v>
      </c>
      <c r="K9676">
        <v>2.62</v>
      </c>
      <c r="L9676">
        <v>16121</v>
      </c>
      <c r="M9676" t="s">
        <v>21</v>
      </c>
      <c r="N9676" t="str">
        <f>"2123014432  "</f>
        <v xml:space="preserve">2123014432  </v>
      </c>
      <c r="O9676">
        <v>231016</v>
      </c>
    </row>
    <row r="9677" spans="1:15" x14ac:dyDescent="0.25">
      <c r="A9677" t="s">
        <v>16</v>
      </c>
      <c r="B9677" t="s">
        <v>3221</v>
      </c>
      <c r="C9677">
        <v>13881</v>
      </c>
      <c r="D9677" t="s">
        <v>3654</v>
      </c>
      <c r="E9677" t="s">
        <v>700</v>
      </c>
      <c r="F9677">
        <v>2.52</v>
      </c>
      <c r="G9677">
        <v>230929</v>
      </c>
      <c r="H9677">
        <v>4840</v>
      </c>
      <c r="I9677" t="s">
        <v>19</v>
      </c>
      <c r="J9677">
        <v>3.13</v>
      </c>
      <c r="K9677">
        <v>0.61</v>
      </c>
      <c r="L9677">
        <v>16322</v>
      </c>
      <c r="M9677" t="s">
        <v>22</v>
      </c>
      <c r="N9677" t="str">
        <f>"2123014432  "</f>
        <v xml:space="preserve">2123014432  </v>
      </c>
      <c r="O9677">
        <v>231016</v>
      </c>
    </row>
    <row r="9678" spans="1:15" x14ac:dyDescent="0.25">
      <c r="A9678" t="s">
        <v>16</v>
      </c>
      <c r="B9678" t="s">
        <v>3221</v>
      </c>
      <c r="C9678">
        <v>13881</v>
      </c>
      <c r="D9678" t="s">
        <v>3654</v>
      </c>
      <c r="E9678" t="s">
        <v>700</v>
      </c>
      <c r="F9678">
        <v>3.36</v>
      </c>
      <c r="G9678">
        <v>230929</v>
      </c>
      <c r="H9678">
        <v>4840</v>
      </c>
      <c r="I9678" t="s">
        <v>19</v>
      </c>
      <c r="J9678">
        <v>4.17</v>
      </c>
      <c r="K9678">
        <v>0.81</v>
      </c>
      <c r="L9678">
        <v>16820</v>
      </c>
      <c r="M9678" t="s">
        <v>23</v>
      </c>
      <c r="N9678" t="str">
        <f>"2123014432  "</f>
        <v xml:space="preserve">2123014432  </v>
      </c>
      <c r="O9678">
        <v>231016</v>
      </c>
    </row>
    <row r="9679" spans="1:15" x14ac:dyDescent="0.25">
      <c r="A9679" t="s">
        <v>16</v>
      </c>
      <c r="B9679" t="s">
        <v>3221</v>
      </c>
      <c r="C9679">
        <v>13881</v>
      </c>
      <c r="D9679" t="s">
        <v>3654</v>
      </c>
      <c r="E9679" t="s">
        <v>700</v>
      </c>
      <c r="F9679">
        <v>16.8</v>
      </c>
      <c r="G9679">
        <v>230929</v>
      </c>
      <c r="H9679">
        <v>4840</v>
      </c>
      <c r="I9679" t="s">
        <v>19</v>
      </c>
      <c r="J9679">
        <v>20.83</v>
      </c>
      <c r="K9679">
        <v>4.03</v>
      </c>
      <c r="L9679">
        <v>17530</v>
      </c>
      <c r="M9679" t="s">
        <v>454</v>
      </c>
      <c r="N9679" t="str">
        <f>"2123014432  "</f>
        <v xml:space="preserve">2123014432  </v>
      </c>
      <c r="O9679">
        <v>231016</v>
      </c>
    </row>
    <row r="9680" spans="1:15" x14ac:dyDescent="0.25">
      <c r="A9680" t="s">
        <v>16</v>
      </c>
      <c r="B9680" t="s">
        <v>3221</v>
      </c>
      <c r="C9680">
        <v>18153</v>
      </c>
      <c r="D9680" t="s">
        <v>3654</v>
      </c>
      <c r="E9680" t="s">
        <v>700</v>
      </c>
      <c r="F9680">
        <v>76.930000000000007</v>
      </c>
      <c r="G9680">
        <v>231128</v>
      </c>
      <c r="H9680">
        <v>4840</v>
      </c>
      <c r="I9680" t="s">
        <v>19</v>
      </c>
      <c r="J9680">
        <v>95.39</v>
      </c>
      <c r="K9680">
        <v>18.46</v>
      </c>
      <c r="L9680">
        <v>13801</v>
      </c>
      <c r="M9680" t="s">
        <v>162</v>
      </c>
      <c r="N9680" t="str">
        <f>"2123020509  "</f>
        <v xml:space="preserve">2123020509  </v>
      </c>
      <c r="O9680">
        <v>240102</v>
      </c>
    </row>
    <row r="9681" spans="1:15" x14ac:dyDescent="0.25">
      <c r="A9681" t="s">
        <v>16</v>
      </c>
      <c r="B9681" t="s">
        <v>3221</v>
      </c>
      <c r="C9681">
        <v>18640</v>
      </c>
      <c r="D9681" t="s">
        <v>3654</v>
      </c>
      <c r="E9681" t="s">
        <v>700</v>
      </c>
      <c r="F9681">
        <v>13.01</v>
      </c>
      <c r="G9681">
        <v>231229</v>
      </c>
      <c r="H9681">
        <v>4840</v>
      </c>
      <c r="I9681" t="s">
        <v>19</v>
      </c>
      <c r="J9681">
        <v>16.13</v>
      </c>
      <c r="K9681">
        <v>3.12</v>
      </c>
      <c r="L9681">
        <v>13801</v>
      </c>
      <c r="M9681" t="s">
        <v>162</v>
      </c>
      <c r="N9681" t="str">
        <f>"2123023510  "</f>
        <v xml:space="preserve">2123023510  </v>
      </c>
      <c r="O9681">
        <v>240104</v>
      </c>
    </row>
    <row r="9682" spans="1:15" x14ac:dyDescent="0.25">
      <c r="A9682" t="s">
        <v>16</v>
      </c>
      <c r="B9682" t="s">
        <v>3221</v>
      </c>
      <c r="C9682">
        <v>18791</v>
      </c>
      <c r="D9682" t="s">
        <v>3654</v>
      </c>
      <c r="E9682" t="s">
        <v>700</v>
      </c>
      <c r="F9682">
        <v>30.6</v>
      </c>
      <c r="G9682">
        <v>231228</v>
      </c>
      <c r="H9682">
        <v>4840</v>
      </c>
      <c r="I9682" t="s">
        <v>19</v>
      </c>
      <c r="J9682">
        <v>37.94</v>
      </c>
      <c r="K9682">
        <v>7.34</v>
      </c>
      <c r="L9682">
        <v>16121</v>
      </c>
      <c r="M9682" t="s">
        <v>21</v>
      </c>
      <c r="N9682" t="str">
        <f>"2123022941  "</f>
        <v xml:space="preserve">2123022941  </v>
      </c>
      <c r="O9682">
        <v>240105</v>
      </c>
    </row>
    <row r="9683" spans="1:15" x14ac:dyDescent="0.25">
      <c r="A9683" t="s">
        <v>16</v>
      </c>
      <c r="B9683" t="s">
        <v>3221</v>
      </c>
      <c r="C9683">
        <v>18791</v>
      </c>
      <c r="D9683" t="s">
        <v>3654</v>
      </c>
      <c r="E9683" t="s">
        <v>700</v>
      </c>
      <c r="F9683">
        <v>7.06</v>
      </c>
      <c r="G9683">
        <v>231228</v>
      </c>
      <c r="H9683">
        <v>4840</v>
      </c>
      <c r="I9683" t="s">
        <v>19</v>
      </c>
      <c r="J9683">
        <v>8.75</v>
      </c>
      <c r="K9683">
        <v>1.69</v>
      </c>
      <c r="L9683">
        <v>16322</v>
      </c>
      <c r="M9683" t="s">
        <v>22</v>
      </c>
      <c r="N9683" t="str">
        <f>"2123022941  "</f>
        <v xml:space="preserve">2123022941  </v>
      </c>
      <c r="O9683">
        <v>240105</v>
      </c>
    </row>
    <row r="9684" spans="1:15" x14ac:dyDescent="0.25">
      <c r="A9684" t="s">
        <v>16</v>
      </c>
      <c r="B9684" t="s">
        <v>3221</v>
      </c>
      <c r="C9684">
        <v>18791</v>
      </c>
      <c r="D9684" t="s">
        <v>3654</v>
      </c>
      <c r="E9684" t="s">
        <v>700</v>
      </c>
      <c r="F9684">
        <v>9.42</v>
      </c>
      <c r="G9684">
        <v>231228</v>
      </c>
      <c r="H9684">
        <v>4840</v>
      </c>
      <c r="I9684" t="s">
        <v>19</v>
      </c>
      <c r="J9684">
        <v>11.68</v>
      </c>
      <c r="K9684">
        <v>2.2599999999999998</v>
      </c>
      <c r="L9684">
        <v>16820</v>
      </c>
      <c r="M9684" t="s">
        <v>23</v>
      </c>
      <c r="N9684" t="str">
        <f>"2123022941  "</f>
        <v xml:space="preserve">2123022941  </v>
      </c>
      <c r="O9684">
        <v>240105</v>
      </c>
    </row>
    <row r="9685" spans="1:15" x14ac:dyDescent="0.25">
      <c r="A9685" t="s">
        <v>16</v>
      </c>
      <c r="B9685" t="s">
        <v>3221</v>
      </c>
      <c r="C9685">
        <v>18791</v>
      </c>
      <c r="D9685" t="s">
        <v>3654</v>
      </c>
      <c r="E9685" t="s">
        <v>700</v>
      </c>
      <c r="F9685">
        <v>47.08</v>
      </c>
      <c r="G9685">
        <v>231228</v>
      </c>
      <c r="H9685">
        <v>4840</v>
      </c>
      <c r="I9685" t="s">
        <v>19</v>
      </c>
      <c r="J9685">
        <v>58.38</v>
      </c>
      <c r="K9685">
        <v>11.3</v>
      </c>
      <c r="L9685">
        <v>17530</v>
      </c>
      <c r="M9685" t="s">
        <v>454</v>
      </c>
      <c r="N9685" t="str">
        <f>"2123022941  "</f>
        <v xml:space="preserve">2123022941  </v>
      </c>
      <c r="O9685">
        <v>240105</v>
      </c>
    </row>
    <row r="9686" spans="1:15" x14ac:dyDescent="0.25">
      <c r="A9686" t="s">
        <v>16</v>
      </c>
      <c r="B9686" t="s">
        <v>3221</v>
      </c>
      <c r="C9686">
        <v>4515</v>
      </c>
      <c r="D9686" t="s">
        <v>3654</v>
      </c>
      <c r="E9686" t="s">
        <v>700</v>
      </c>
      <c r="F9686">
        <v>8.19</v>
      </c>
      <c r="G9686">
        <v>230331</v>
      </c>
      <c r="H9686">
        <v>4470</v>
      </c>
      <c r="I9686" t="s">
        <v>83</v>
      </c>
      <c r="J9686">
        <v>10.16</v>
      </c>
      <c r="K9686">
        <v>1.97</v>
      </c>
      <c r="L9686">
        <v>13601</v>
      </c>
      <c r="M9686" t="s">
        <v>147</v>
      </c>
      <c r="N9686" t="str">
        <f>"2122029379  "</f>
        <v xml:space="preserve">2122029379  </v>
      </c>
      <c r="O9686">
        <v>230406</v>
      </c>
    </row>
    <row r="9687" spans="1:15" x14ac:dyDescent="0.25">
      <c r="A9687" t="s">
        <v>16</v>
      </c>
      <c r="B9687" t="s">
        <v>3221</v>
      </c>
      <c r="C9687">
        <v>8409</v>
      </c>
      <c r="D9687" t="s">
        <v>3654</v>
      </c>
      <c r="E9687" t="s">
        <v>700</v>
      </c>
      <c r="F9687">
        <v>636.97</v>
      </c>
      <c r="G9687">
        <v>230525</v>
      </c>
      <c r="H9687">
        <v>4470</v>
      </c>
      <c r="I9687" t="s">
        <v>83</v>
      </c>
      <c r="J9687">
        <v>789.84</v>
      </c>
      <c r="K9687">
        <v>152.87</v>
      </c>
      <c r="L9687">
        <v>13601</v>
      </c>
      <c r="M9687" t="s">
        <v>147</v>
      </c>
      <c r="N9687" t="str">
        <f>"2123003088  "</f>
        <v xml:space="preserve">2123003088  </v>
      </c>
      <c r="O9687">
        <v>230608</v>
      </c>
    </row>
    <row r="9688" spans="1:15" x14ac:dyDescent="0.25">
      <c r="A9688" t="s">
        <v>16</v>
      </c>
      <c r="B9688" t="s">
        <v>3221</v>
      </c>
      <c r="C9688">
        <v>11360</v>
      </c>
      <c r="D9688" t="s">
        <v>3654</v>
      </c>
      <c r="E9688" t="s">
        <v>700</v>
      </c>
      <c r="F9688">
        <v>53.35</v>
      </c>
      <c r="G9688">
        <v>230830</v>
      </c>
      <c r="H9688">
        <v>4470</v>
      </c>
      <c r="I9688" t="s">
        <v>83</v>
      </c>
      <c r="J9688">
        <v>66.150000000000006</v>
      </c>
      <c r="K9688">
        <v>12.8</v>
      </c>
      <c r="L9688">
        <v>13601</v>
      </c>
      <c r="M9688" t="s">
        <v>147</v>
      </c>
      <c r="N9688" t="str">
        <f>"2123011745  "</f>
        <v xml:space="preserve">2123011745  </v>
      </c>
      <c r="O9688">
        <v>230904</v>
      </c>
    </row>
    <row r="9689" spans="1:15" x14ac:dyDescent="0.25">
      <c r="A9689" t="s">
        <v>16</v>
      </c>
      <c r="B9689" t="s">
        <v>3221</v>
      </c>
      <c r="C9689">
        <v>1244</v>
      </c>
      <c r="D9689" t="s">
        <v>3654</v>
      </c>
      <c r="E9689" t="s">
        <v>700</v>
      </c>
      <c r="F9689">
        <v>142</v>
      </c>
      <c r="G9689">
        <v>230203</v>
      </c>
      <c r="H9689">
        <v>4500</v>
      </c>
      <c r="I9689" t="s">
        <v>212</v>
      </c>
      <c r="J9689">
        <v>176.08</v>
      </c>
      <c r="K9689">
        <v>34.08</v>
      </c>
      <c r="L9689">
        <v>69702</v>
      </c>
      <c r="M9689" t="s">
        <v>489</v>
      </c>
      <c r="N9689" t="str">
        <f>"122031867   "</f>
        <v xml:space="preserve">122031867   </v>
      </c>
      <c r="O9689">
        <v>230206</v>
      </c>
    </row>
    <row r="9690" spans="1:15" x14ac:dyDescent="0.25">
      <c r="A9690" t="s">
        <v>16</v>
      </c>
      <c r="B9690" t="s">
        <v>3221</v>
      </c>
      <c r="C9690">
        <v>4355</v>
      </c>
      <c r="D9690" t="s">
        <v>3654</v>
      </c>
      <c r="E9690" t="s">
        <v>700</v>
      </c>
      <c r="F9690">
        <v>7.65</v>
      </c>
      <c r="G9690">
        <v>230331</v>
      </c>
      <c r="H9690">
        <v>4500</v>
      </c>
      <c r="I9690" t="s">
        <v>212</v>
      </c>
      <c r="J9690">
        <v>9.49</v>
      </c>
      <c r="K9690">
        <v>1.84</v>
      </c>
      <c r="L9690">
        <v>14622</v>
      </c>
      <c r="M9690" t="s">
        <v>1005</v>
      </c>
      <c r="N9690" t="str">
        <f>"2122030107  "</f>
        <v xml:space="preserve">2122030107  </v>
      </c>
      <c r="O9690">
        <v>230404</v>
      </c>
    </row>
    <row r="9691" spans="1:15" x14ac:dyDescent="0.25">
      <c r="A9691" t="s">
        <v>16</v>
      </c>
      <c r="B9691" t="s">
        <v>3221</v>
      </c>
      <c r="C9691">
        <v>4517</v>
      </c>
      <c r="D9691" t="s">
        <v>3654</v>
      </c>
      <c r="E9691" t="s">
        <v>700</v>
      </c>
      <c r="F9691">
        <v>48.79</v>
      </c>
      <c r="G9691">
        <v>230331</v>
      </c>
      <c r="H9691">
        <v>4500</v>
      </c>
      <c r="I9691" t="s">
        <v>212</v>
      </c>
      <c r="J9691">
        <v>60.5</v>
      </c>
      <c r="K9691">
        <v>11.71</v>
      </c>
      <c r="L9691">
        <v>14990</v>
      </c>
      <c r="M9691" t="s">
        <v>1725</v>
      </c>
      <c r="N9691" t="str">
        <f>"2122027859  "</f>
        <v xml:space="preserve">2122027859  </v>
      </c>
      <c r="O9691">
        <v>230406</v>
      </c>
    </row>
    <row r="9692" spans="1:15" x14ac:dyDescent="0.25">
      <c r="A9692" t="s">
        <v>16</v>
      </c>
      <c r="B9692" t="s">
        <v>3221</v>
      </c>
      <c r="C9692">
        <v>7434</v>
      </c>
      <c r="D9692" t="s">
        <v>3654</v>
      </c>
      <c r="E9692" t="s">
        <v>700</v>
      </c>
      <c r="F9692">
        <v>37.869999999999997</v>
      </c>
      <c r="G9692">
        <v>230525</v>
      </c>
      <c r="H9692">
        <v>4500</v>
      </c>
      <c r="I9692" t="s">
        <v>212</v>
      </c>
      <c r="J9692">
        <v>46.96</v>
      </c>
      <c r="K9692">
        <v>9.09</v>
      </c>
      <c r="L9692">
        <v>14990</v>
      </c>
      <c r="M9692" t="s">
        <v>1725</v>
      </c>
      <c r="N9692" t="str">
        <f>"2123003400  "</f>
        <v xml:space="preserve">2123003400  </v>
      </c>
      <c r="O9692">
        <v>230530</v>
      </c>
    </row>
    <row r="9693" spans="1:15" x14ac:dyDescent="0.25">
      <c r="A9693" t="s">
        <v>16</v>
      </c>
      <c r="B9693" t="s">
        <v>3221</v>
      </c>
      <c r="C9693">
        <v>13359</v>
      </c>
      <c r="D9693" t="s">
        <v>3654</v>
      </c>
      <c r="E9693" t="s">
        <v>700</v>
      </c>
      <c r="F9693">
        <v>132</v>
      </c>
      <c r="G9693">
        <v>231006</v>
      </c>
      <c r="H9693">
        <v>4500</v>
      </c>
      <c r="I9693" t="s">
        <v>212</v>
      </c>
      <c r="J9693">
        <v>163.68</v>
      </c>
      <c r="K9693">
        <v>31.68</v>
      </c>
      <c r="L9693">
        <v>59702</v>
      </c>
      <c r="M9693" t="s">
        <v>328</v>
      </c>
      <c r="N9693" t="str">
        <f>"123018142   "</f>
        <v xml:space="preserve">123018142   </v>
      </c>
      <c r="O9693">
        <v>231009</v>
      </c>
    </row>
    <row r="9694" spans="1:15" x14ac:dyDescent="0.25">
      <c r="A9694" t="s">
        <v>16</v>
      </c>
      <c r="B9694" t="s">
        <v>3221</v>
      </c>
      <c r="C9694">
        <v>18861</v>
      </c>
      <c r="D9694" t="s">
        <v>3654</v>
      </c>
      <c r="E9694" t="s">
        <v>700</v>
      </c>
      <c r="F9694">
        <v>11.33</v>
      </c>
      <c r="G9694">
        <v>231229</v>
      </c>
      <c r="H9694">
        <v>4500</v>
      </c>
      <c r="I9694" t="s">
        <v>212</v>
      </c>
      <c r="J9694">
        <v>14.05</v>
      </c>
      <c r="K9694">
        <v>2.72</v>
      </c>
      <c r="L9694">
        <v>13802</v>
      </c>
      <c r="M9694" t="s">
        <v>200</v>
      </c>
      <c r="N9694" t="str">
        <f>"2123024064  "</f>
        <v xml:space="preserve">2123024064  </v>
      </c>
      <c r="O9694">
        <v>240108</v>
      </c>
    </row>
    <row r="9695" spans="1:15" x14ac:dyDescent="0.25">
      <c r="A9695" t="s">
        <v>16</v>
      </c>
      <c r="B9695" t="s">
        <v>3221</v>
      </c>
      <c r="C9695">
        <v>1013</v>
      </c>
      <c r="D9695" t="s">
        <v>3654</v>
      </c>
      <c r="E9695" t="s">
        <v>700</v>
      </c>
      <c r="F9695">
        <v>5.21</v>
      </c>
      <c r="G9695">
        <v>230131</v>
      </c>
      <c r="H9695">
        <v>4347</v>
      </c>
      <c r="I9695" t="s">
        <v>193</v>
      </c>
      <c r="J9695">
        <v>6.46</v>
      </c>
      <c r="K9695">
        <v>1.25</v>
      </c>
      <c r="L9695">
        <v>17805</v>
      </c>
      <c r="M9695" t="s">
        <v>102</v>
      </c>
      <c r="N9695" t="str">
        <f>"2122025042  "</f>
        <v xml:space="preserve">2122025042  </v>
      </c>
      <c r="O9695">
        <v>230202</v>
      </c>
    </row>
    <row r="9696" spans="1:15" x14ac:dyDescent="0.25">
      <c r="A9696" t="s">
        <v>16</v>
      </c>
      <c r="B9696" t="s">
        <v>3221</v>
      </c>
      <c r="C9696">
        <v>1015</v>
      </c>
      <c r="D9696" t="s">
        <v>3654</v>
      </c>
      <c r="E9696" t="s">
        <v>700</v>
      </c>
      <c r="F9696">
        <v>6.43</v>
      </c>
      <c r="G9696">
        <v>230131</v>
      </c>
      <c r="H9696">
        <v>4347</v>
      </c>
      <c r="I9696" t="s">
        <v>193</v>
      </c>
      <c r="J9696">
        <v>7.97</v>
      </c>
      <c r="K9696">
        <v>1.54</v>
      </c>
      <c r="L9696">
        <v>16431</v>
      </c>
      <c r="M9696" t="s">
        <v>231</v>
      </c>
      <c r="N9696" t="str">
        <f>"2122025043  "</f>
        <v xml:space="preserve">2122025043  </v>
      </c>
      <c r="O9696">
        <v>230202</v>
      </c>
    </row>
    <row r="9697" spans="1:15" x14ac:dyDescent="0.25">
      <c r="A9697" t="s">
        <v>16</v>
      </c>
      <c r="B9697" t="s">
        <v>3221</v>
      </c>
      <c r="C9697">
        <v>1017</v>
      </c>
      <c r="D9697" t="s">
        <v>3654</v>
      </c>
      <c r="E9697" t="s">
        <v>700</v>
      </c>
      <c r="F9697">
        <v>8.3699999999999992</v>
      </c>
      <c r="G9697">
        <v>230131</v>
      </c>
      <c r="H9697">
        <v>4347</v>
      </c>
      <c r="I9697" t="s">
        <v>193</v>
      </c>
      <c r="J9697">
        <v>10.38</v>
      </c>
      <c r="K9697">
        <v>2.0099999999999998</v>
      </c>
      <c r="L9697">
        <v>17807</v>
      </c>
      <c r="M9697" t="s">
        <v>318</v>
      </c>
      <c r="N9697" t="str">
        <f>"2122025051  "</f>
        <v xml:space="preserve">2122025051  </v>
      </c>
      <c r="O9697">
        <v>230202</v>
      </c>
    </row>
    <row r="9698" spans="1:15" x14ac:dyDescent="0.25">
      <c r="A9698" t="s">
        <v>16</v>
      </c>
      <c r="B9698" t="s">
        <v>3221</v>
      </c>
      <c r="C9698">
        <v>1018</v>
      </c>
      <c r="D9698" t="s">
        <v>3654</v>
      </c>
      <c r="E9698" t="s">
        <v>700</v>
      </c>
      <c r="F9698">
        <v>10.79</v>
      </c>
      <c r="G9698">
        <v>230131</v>
      </c>
      <c r="H9698">
        <v>4347</v>
      </c>
      <c r="I9698" t="s">
        <v>193</v>
      </c>
      <c r="J9698">
        <v>13.38</v>
      </c>
      <c r="K9698">
        <v>2.59</v>
      </c>
      <c r="L9698">
        <v>17802</v>
      </c>
      <c r="M9698" t="s">
        <v>174</v>
      </c>
      <c r="N9698" t="str">
        <f>"2122025041  "</f>
        <v xml:space="preserve">2122025041  </v>
      </c>
      <c r="O9698">
        <v>230202</v>
      </c>
    </row>
    <row r="9699" spans="1:15" x14ac:dyDescent="0.25">
      <c r="A9699" t="s">
        <v>16</v>
      </c>
      <c r="B9699" t="s">
        <v>3221</v>
      </c>
      <c r="C9699">
        <v>1019</v>
      </c>
      <c r="D9699" t="s">
        <v>3654</v>
      </c>
      <c r="E9699" t="s">
        <v>700</v>
      </c>
      <c r="F9699">
        <v>11.47</v>
      </c>
      <c r="G9699">
        <v>230131</v>
      </c>
      <c r="H9699">
        <v>4347</v>
      </c>
      <c r="I9699" t="s">
        <v>193</v>
      </c>
      <c r="J9699">
        <v>14.22</v>
      </c>
      <c r="K9699">
        <v>2.75</v>
      </c>
      <c r="L9699">
        <v>17802</v>
      </c>
      <c r="M9699" t="s">
        <v>174</v>
      </c>
      <c r="N9699" t="str">
        <f>"2122025044  "</f>
        <v xml:space="preserve">2122025044  </v>
      </c>
      <c r="O9699">
        <v>230202</v>
      </c>
    </row>
    <row r="9700" spans="1:15" x14ac:dyDescent="0.25">
      <c r="A9700" t="s">
        <v>16</v>
      </c>
      <c r="B9700" t="s">
        <v>3221</v>
      </c>
      <c r="C9700">
        <v>1020</v>
      </c>
      <c r="D9700" t="s">
        <v>3654</v>
      </c>
      <c r="E9700" t="s">
        <v>700</v>
      </c>
      <c r="F9700">
        <v>5.0199999999999996</v>
      </c>
      <c r="G9700">
        <v>230131</v>
      </c>
      <c r="H9700">
        <v>4347</v>
      </c>
      <c r="I9700" t="s">
        <v>193</v>
      </c>
      <c r="J9700">
        <v>6.22</v>
      </c>
      <c r="K9700">
        <v>1.2</v>
      </c>
      <c r="L9700">
        <v>17808</v>
      </c>
      <c r="M9700" t="s">
        <v>322</v>
      </c>
      <c r="N9700" t="str">
        <f>"2122025040  "</f>
        <v xml:space="preserve">2122025040  </v>
      </c>
      <c r="O9700">
        <v>230202</v>
      </c>
    </row>
    <row r="9701" spans="1:15" x14ac:dyDescent="0.25">
      <c r="A9701" t="s">
        <v>16</v>
      </c>
      <c r="B9701" t="s">
        <v>3221</v>
      </c>
      <c r="C9701">
        <v>1022</v>
      </c>
      <c r="D9701" t="s">
        <v>3654</v>
      </c>
      <c r="E9701" t="s">
        <v>700</v>
      </c>
      <c r="F9701">
        <v>17.23</v>
      </c>
      <c r="G9701">
        <v>230131</v>
      </c>
      <c r="H9701">
        <v>4347</v>
      </c>
      <c r="I9701" t="s">
        <v>193</v>
      </c>
      <c r="J9701">
        <v>21.37</v>
      </c>
      <c r="K9701">
        <v>4.1399999999999997</v>
      </c>
      <c r="L9701">
        <v>16321</v>
      </c>
      <c r="M9701" t="s">
        <v>423</v>
      </c>
      <c r="N9701" t="str">
        <f>"2122025039  "</f>
        <v xml:space="preserve">2122025039  </v>
      </c>
      <c r="O9701">
        <v>230202</v>
      </c>
    </row>
    <row r="9702" spans="1:15" x14ac:dyDescent="0.25">
      <c r="A9702" t="s">
        <v>16</v>
      </c>
      <c r="B9702" t="s">
        <v>3221</v>
      </c>
      <c r="C9702">
        <v>1023</v>
      </c>
      <c r="D9702" t="s">
        <v>3654</v>
      </c>
      <c r="E9702" t="s">
        <v>700</v>
      </c>
      <c r="F9702">
        <v>56.61</v>
      </c>
      <c r="G9702">
        <v>230131</v>
      </c>
      <c r="H9702">
        <v>4347</v>
      </c>
      <c r="I9702" t="s">
        <v>193</v>
      </c>
      <c r="J9702">
        <v>70.2</v>
      </c>
      <c r="K9702">
        <v>13.59</v>
      </c>
      <c r="L9702">
        <v>16431</v>
      </c>
      <c r="M9702" t="s">
        <v>231</v>
      </c>
      <c r="N9702" t="str">
        <f>"2122025045  "</f>
        <v xml:space="preserve">2122025045  </v>
      </c>
      <c r="O9702">
        <v>230202</v>
      </c>
    </row>
    <row r="9703" spans="1:15" x14ac:dyDescent="0.25">
      <c r="A9703" t="s">
        <v>16</v>
      </c>
      <c r="B9703" t="s">
        <v>3221</v>
      </c>
      <c r="C9703">
        <v>1733</v>
      </c>
      <c r="D9703" t="s">
        <v>3654</v>
      </c>
      <c r="E9703" t="s">
        <v>700</v>
      </c>
      <c r="F9703">
        <v>14.02</v>
      </c>
      <c r="G9703">
        <v>230131</v>
      </c>
      <c r="H9703">
        <v>4347</v>
      </c>
      <c r="I9703" t="s">
        <v>193</v>
      </c>
      <c r="J9703">
        <v>17.38</v>
      </c>
      <c r="K9703">
        <v>3.36</v>
      </c>
      <c r="L9703">
        <v>56524</v>
      </c>
      <c r="M9703" t="s">
        <v>150</v>
      </c>
      <c r="N9703" t="str">
        <f>"2122025035  "</f>
        <v xml:space="preserve">2122025035  </v>
      </c>
      <c r="O9703">
        <v>230213</v>
      </c>
    </row>
    <row r="9704" spans="1:15" x14ac:dyDescent="0.25">
      <c r="A9704" t="s">
        <v>16</v>
      </c>
      <c r="B9704" t="s">
        <v>3221</v>
      </c>
      <c r="C9704">
        <v>2329</v>
      </c>
      <c r="D9704" t="s">
        <v>3654</v>
      </c>
      <c r="E9704" t="s">
        <v>700</v>
      </c>
      <c r="F9704">
        <v>12.39</v>
      </c>
      <c r="G9704">
        <v>230131</v>
      </c>
      <c r="H9704">
        <v>4347</v>
      </c>
      <c r="I9704" t="s">
        <v>193</v>
      </c>
      <c r="J9704">
        <v>15.36</v>
      </c>
      <c r="K9704">
        <v>2.97</v>
      </c>
      <c r="L9704">
        <v>14121</v>
      </c>
      <c r="M9704" t="s">
        <v>880</v>
      </c>
      <c r="N9704" t="str">
        <f t="shared" ref="N9704:N9709" si="167">"2122024241  "</f>
        <v xml:space="preserve">2122024241  </v>
      </c>
      <c r="O9704">
        <v>230224</v>
      </c>
    </row>
    <row r="9705" spans="1:15" x14ac:dyDescent="0.25">
      <c r="A9705" t="s">
        <v>16</v>
      </c>
      <c r="B9705" t="s">
        <v>3221</v>
      </c>
      <c r="C9705">
        <v>2329</v>
      </c>
      <c r="D9705" t="s">
        <v>3654</v>
      </c>
      <c r="E9705" t="s">
        <v>700</v>
      </c>
      <c r="F9705">
        <v>4.95</v>
      </c>
      <c r="G9705">
        <v>230131</v>
      </c>
      <c r="H9705">
        <v>4347</v>
      </c>
      <c r="I9705" t="s">
        <v>193</v>
      </c>
      <c r="J9705">
        <v>6.14</v>
      </c>
      <c r="K9705">
        <v>1.19</v>
      </c>
      <c r="L9705">
        <v>14422</v>
      </c>
      <c r="M9705" t="s">
        <v>228</v>
      </c>
      <c r="N9705" t="str">
        <f t="shared" si="167"/>
        <v xml:space="preserve">2122024241  </v>
      </c>
      <c r="O9705">
        <v>230224</v>
      </c>
    </row>
    <row r="9706" spans="1:15" x14ac:dyDescent="0.25">
      <c r="A9706" t="s">
        <v>16</v>
      </c>
      <c r="B9706" t="s">
        <v>3221</v>
      </c>
      <c r="C9706">
        <v>2329</v>
      </c>
      <c r="D9706" t="s">
        <v>3654</v>
      </c>
      <c r="E9706" t="s">
        <v>700</v>
      </c>
      <c r="F9706">
        <v>5.27</v>
      </c>
      <c r="G9706">
        <v>230131</v>
      </c>
      <c r="H9706">
        <v>4347</v>
      </c>
      <c r="I9706" t="s">
        <v>193</v>
      </c>
      <c r="J9706">
        <v>6.53</v>
      </c>
      <c r="K9706">
        <v>1.26</v>
      </c>
      <c r="L9706">
        <v>14541</v>
      </c>
      <c r="M9706" t="s">
        <v>626</v>
      </c>
      <c r="N9706" t="str">
        <f t="shared" si="167"/>
        <v xml:space="preserve">2122024241  </v>
      </c>
      <c r="O9706">
        <v>230224</v>
      </c>
    </row>
    <row r="9707" spans="1:15" x14ac:dyDescent="0.25">
      <c r="A9707" t="s">
        <v>16</v>
      </c>
      <c r="B9707" t="s">
        <v>3221</v>
      </c>
      <c r="C9707">
        <v>2329</v>
      </c>
      <c r="D9707" t="s">
        <v>3654</v>
      </c>
      <c r="E9707" t="s">
        <v>700</v>
      </c>
      <c r="F9707">
        <v>4.6500000000000004</v>
      </c>
      <c r="G9707">
        <v>230131</v>
      </c>
      <c r="H9707">
        <v>4347</v>
      </c>
      <c r="I9707" t="s">
        <v>193</v>
      </c>
      <c r="J9707">
        <v>5.76</v>
      </c>
      <c r="K9707">
        <v>1.1100000000000001</v>
      </c>
      <c r="L9707">
        <v>14640</v>
      </c>
      <c r="M9707" t="s">
        <v>229</v>
      </c>
      <c r="N9707" t="str">
        <f t="shared" si="167"/>
        <v xml:space="preserve">2122024241  </v>
      </c>
      <c r="O9707">
        <v>230224</v>
      </c>
    </row>
    <row r="9708" spans="1:15" x14ac:dyDescent="0.25">
      <c r="A9708" t="s">
        <v>16</v>
      </c>
      <c r="B9708" t="s">
        <v>3221</v>
      </c>
      <c r="C9708">
        <v>2329</v>
      </c>
      <c r="D9708" t="s">
        <v>3654</v>
      </c>
      <c r="E9708" t="s">
        <v>700</v>
      </c>
      <c r="F9708">
        <v>3.71</v>
      </c>
      <c r="G9708">
        <v>230131</v>
      </c>
      <c r="H9708">
        <v>4347</v>
      </c>
      <c r="I9708" t="s">
        <v>193</v>
      </c>
      <c r="J9708">
        <v>4.5999999999999996</v>
      </c>
      <c r="K9708">
        <v>0.89</v>
      </c>
      <c r="L9708">
        <v>14861</v>
      </c>
      <c r="M9708" t="s">
        <v>785</v>
      </c>
      <c r="N9708" t="str">
        <f t="shared" si="167"/>
        <v xml:space="preserve">2122024241  </v>
      </c>
      <c r="O9708">
        <v>230224</v>
      </c>
    </row>
    <row r="9709" spans="1:15" x14ac:dyDescent="0.25">
      <c r="A9709" t="s">
        <v>16</v>
      </c>
      <c r="B9709" t="s">
        <v>3221</v>
      </c>
      <c r="C9709">
        <v>2329</v>
      </c>
      <c r="D9709" t="s">
        <v>3654</v>
      </c>
      <c r="E9709" t="s">
        <v>700</v>
      </c>
      <c r="F9709">
        <v>3.44</v>
      </c>
      <c r="G9709">
        <v>230131</v>
      </c>
      <c r="H9709">
        <v>4347</v>
      </c>
      <c r="I9709" t="s">
        <v>193</v>
      </c>
      <c r="J9709">
        <v>4.2699999999999996</v>
      </c>
      <c r="K9709">
        <v>0.83</v>
      </c>
      <c r="L9709">
        <v>14972</v>
      </c>
      <c r="M9709" t="s">
        <v>898</v>
      </c>
      <c r="N9709" t="str">
        <f t="shared" si="167"/>
        <v xml:space="preserve">2122024241  </v>
      </c>
      <c r="O9709">
        <v>230224</v>
      </c>
    </row>
    <row r="9710" spans="1:15" x14ac:dyDescent="0.25">
      <c r="A9710" t="s">
        <v>16</v>
      </c>
      <c r="B9710" t="s">
        <v>3221</v>
      </c>
      <c r="C9710">
        <v>2330</v>
      </c>
      <c r="D9710" t="s">
        <v>3654</v>
      </c>
      <c r="E9710" t="s">
        <v>700</v>
      </c>
      <c r="F9710">
        <v>39.5</v>
      </c>
      <c r="G9710">
        <v>230131</v>
      </c>
      <c r="H9710">
        <v>4347</v>
      </c>
      <c r="I9710" t="s">
        <v>193</v>
      </c>
      <c r="J9710">
        <v>48.98</v>
      </c>
      <c r="K9710">
        <v>9.48</v>
      </c>
      <c r="L9710">
        <v>14121</v>
      </c>
      <c r="M9710" t="s">
        <v>880</v>
      </c>
      <c r="N9710" t="str">
        <f t="shared" ref="N9710:N9715" si="168">"2122024240  "</f>
        <v xml:space="preserve">2122024240  </v>
      </c>
      <c r="O9710">
        <v>230224</v>
      </c>
    </row>
    <row r="9711" spans="1:15" x14ac:dyDescent="0.25">
      <c r="A9711" t="s">
        <v>16</v>
      </c>
      <c r="B9711" t="s">
        <v>3221</v>
      </c>
      <c r="C9711">
        <v>2330</v>
      </c>
      <c r="D9711" t="s">
        <v>3654</v>
      </c>
      <c r="E9711" t="s">
        <v>700</v>
      </c>
      <c r="F9711">
        <v>15.8</v>
      </c>
      <c r="G9711">
        <v>230131</v>
      </c>
      <c r="H9711">
        <v>4347</v>
      </c>
      <c r="I9711" t="s">
        <v>193</v>
      </c>
      <c r="J9711">
        <v>19.59</v>
      </c>
      <c r="K9711">
        <v>3.79</v>
      </c>
      <c r="L9711">
        <v>14422</v>
      </c>
      <c r="M9711" t="s">
        <v>228</v>
      </c>
      <c r="N9711" t="str">
        <f t="shared" si="168"/>
        <v xml:space="preserve">2122024240  </v>
      </c>
      <c r="O9711">
        <v>230224</v>
      </c>
    </row>
    <row r="9712" spans="1:15" x14ac:dyDescent="0.25">
      <c r="A9712" t="s">
        <v>16</v>
      </c>
      <c r="B9712" t="s">
        <v>3221</v>
      </c>
      <c r="C9712">
        <v>2330</v>
      </c>
      <c r="D9712" t="s">
        <v>3654</v>
      </c>
      <c r="E9712" t="s">
        <v>700</v>
      </c>
      <c r="F9712">
        <v>16.79</v>
      </c>
      <c r="G9712">
        <v>230131</v>
      </c>
      <c r="H9712">
        <v>4347</v>
      </c>
      <c r="I9712" t="s">
        <v>193</v>
      </c>
      <c r="J9712">
        <v>20.82</v>
      </c>
      <c r="K9712">
        <v>4.03</v>
      </c>
      <c r="L9712">
        <v>14541</v>
      </c>
      <c r="M9712" t="s">
        <v>626</v>
      </c>
      <c r="N9712" t="str">
        <f t="shared" si="168"/>
        <v xml:space="preserve">2122024240  </v>
      </c>
      <c r="O9712">
        <v>230224</v>
      </c>
    </row>
    <row r="9713" spans="1:15" x14ac:dyDescent="0.25">
      <c r="A9713" t="s">
        <v>16</v>
      </c>
      <c r="B9713" t="s">
        <v>3221</v>
      </c>
      <c r="C9713">
        <v>2330</v>
      </c>
      <c r="D9713" t="s">
        <v>3654</v>
      </c>
      <c r="E9713" t="s">
        <v>700</v>
      </c>
      <c r="F9713">
        <v>14.81</v>
      </c>
      <c r="G9713">
        <v>230131</v>
      </c>
      <c r="H9713">
        <v>4347</v>
      </c>
      <c r="I9713" t="s">
        <v>193</v>
      </c>
      <c r="J9713">
        <v>18.37</v>
      </c>
      <c r="K9713">
        <v>3.56</v>
      </c>
      <c r="L9713">
        <v>14640</v>
      </c>
      <c r="M9713" t="s">
        <v>229</v>
      </c>
      <c r="N9713" t="str">
        <f t="shared" si="168"/>
        <v xml:space="preserve">2122024240  </v>
      </c>
      <c r="O9713">
        <v>230224</v>
      </c>
    </row>
    <row r="9714" spans="1:15" x14ac:dyDescent="0.25">
      <c r="A9714" t="s">
        <v>16</v>
      </c>
      <c r="B9714" t="s">
        <v>3221</v>
      </c>
      <c r="C9714">
        <v>2330</v>
      </c>
      <c r="D9714" t="s">
        <v>3654</v>
      </c>
      <c r="E9714" t="s">
        <v>700</v>
      </c>
      <c r="F9714">
        <v>11.85</v>
      </c>
      <c r="G9714">
        <v>230131</v>
      </c>
      <c r="H9714">
        <v>4347</v>
      </c>
      <c r="I9714" t="s">
        <v>193</v>
      </c>
      <c r="J9714">
        <v>14.69</v>
      </c>
      <c r="K9714">
        <v>2.84</v>
      </c>
      <c r="L9714">
        <v>14861</v>
      </c>
      <c r="M9714" t="s">
        <v>785</v>
      </c>
      <c r="N9714" t="str">
        <f t="shared" si="168"/>
        <v xml:space="preserve">2122024240  </v>
      </c>
      <c r="O9714">
        <v>230224</v>
      </c>
    </row>
    <row r="9715" spans="1:15" x14ac:dyDescent="0.25">
      <c r="A9715" t="s">
        <v>16</v>
      </c>
      <c r="B9715" t="s">
        <v>3221</v>
      </c>
      <c r="C9715">
        <v>2330</v>
      </c>
      <c r="D9715" t="s">
        <v>3654</v>
      </c>
      <c r="E9715" t="s">
        <v>700</v>
      </c>
      <c r="F9715">
        <v>10.97</v>
      </c>
      <c r="G9715">
        <v>230131</v>
      </c>
      <c r="H9715">
        <v>4347</v>
      </c>
      <c r="I9715" t="s">
        <v>193</v>
      </c>
      <c r="J9715">
        <v>13.6</v>
      </c>
      <c r="K9715">
        <v>2.63</v>
      </c>
      <c r="L9715">
        <v>14972</v>
      </c>
      <c r="M9715" t="s">
        <v>898</v>
      </c>
      <c r="N9715" t="str">
        <f t="shared" si="168"/>
        <v xml:space="preserve">2122024240  </v>
      </c>
      <c r="O9715">
        <v>230224</v>
      </c>
    </row>
    <row r="9716" spans="1:15" x14ac:dyDescent="0.25">
      <c r="A9716" t="s">
        <v>16</v>
      </c>
      <c r="B9716" t="s">
        <v>3221</v>
      </c>
      <c r="C9716">
        <v>4343</v>
      </c>
      <c r="D9716" t="s">
        <v>3654</v>
      </c>
      <c r="E9716" t="s">
        <v>700</v>
      </c>
      <c r="F9716">
        <v>12.73</v>
      </c>
      <c r="G9716">
        <v>230330</v>
      </c>
      <c r="H9716">
        <v>4347</v>
      </c>
      <c r="I9716" t="s">
        <v>193</v>
      </c>
      <c r="J9716">
        <v>15.79</v>
      </c>
      <c r="K9716">
        <v>3.06</v>
      </c>
      <c r="L9716">
        <v>56564</v>
      </c>
      <c r="M9716" t="s">
        <v>327</v>
      </c>
      <c r="N9716" t="str">
        <f>"2122026600  "</f>
        <v xml:space="preserve">2122026600  </v>
      </c>
      <c r="O9716">
        <v>230404</v>
      </c>
    </row>
    <row r="9717" spans="1:15" x14ac:dyDescent="0.25">
      <c r="A9717" t="s">
        <v>16</v>
      </c>
      <c r="B9717" t="s">
        <v>3221</v>
      </c>
      <c r="C9717">
        <v>4347</v>
      </c>
      <c r="D9717" t="s">
        <v>3654</v>
      </c>
      <c r="E9717" t="s">
        <v>700</v>
      </c>
      <c r="F9717">
        <v>63.47</v>
      </c>
      <c r="G9717">
        <v>230331</v>
      </c>
      <c r="H9717">
        <v>4347</v>
      </c>
      <c r="I9717" t="s">
        <v>193</v>
      </c>
      <c r="J9717">
        <v>78.7</v>
      </c>
      <c r="K9717">
        <v>15.23</v>
      </c>
      <c r="L9717">
        <v>59702</v>
      </c>
      <c r="M9717" t="s">
        <v>328</v>
      </c>
      <c r="N9717" t="str">
        <f>"2122029530  "</f>
        <v xml:space="preserve">2122029530  </v>
      </c>
      <c r="O9717">
        <v>230404</v>
      </c>
    </row>
    <row r="9718" spans="1:15" x14ac:dyDescent="0.25">
      <c r="A9718" t="s">
        <v>16</v>
      </c>
      <c r="B9718" t="s">
        <v>3221</v>
      </c>
      <c r="C9718">
        <v>4349</v>
      </c>
      <c r="D9718" t="s">
        <v>3654</v>
      </c>
      <c r="E9718" t="s">
        <v>700</v>
      </c>
      <c r="F9718">
        <v>28.76</v>
      </c>
      <c r="G9718">
        <v>230331</v>
      </c>
      <c r="H9718">
        <v>4347</v>
      </c>
      <c r="I9718" t="s">
        <v>193</v>
      </c>
      <c r="J9718">
        <v>35.659999999999997</v>
      </c>
      <c r="K9718">
        <v>6.9</v>
      </c>
      <c r="L9718">
        <v>17971</v>
      </c>
      <c r="M9718" t="s">
        <v>138</v>
      </c>
      <c r="N9718" t="str">
        <f>"2122027516  "</f>
        <v xml:space="preserve">2122027516  </v>
      </c>
      <c r="O9718">
        <v>230404</v>
      </c>
    </row>
    <row r="9719" spans="1:15" x14ac:dyDescent="0.25">
      <c r="A9719" t="s">
        <v>16</v>
      </c>
      <c r="B9719" t="s">
        <v>3221</v>
      </c>
      <c r="C9719">
        <v>4424</v>
      </c>
      <c r="D9719" t="s">
        <v>3654</v>
      </c>
      <c r="E9719" t="s">
        <v>700</v>
      </c>
      <c r="F9719">
        <v>82.4</v>
      </c>
      <c r="G9719">
        <v>230331</v>
      </c>
      <c r="H9719">
        <v>4347</v>
      </c>
      <c r="I9719" t="s">
        <v>193</v>
      </c>
      <c r="J9719">
        <v>102.18</v>
      </c>
      <c r="K9719">
        <v>19.78</v>
      </c>
      <c r="L9719">
        <v>11501</v>
      </c>
      <c r="M9719" t="s">
        <v>339</v>
      </c>
      <c r="N9719" t="str">
        <f>"2122027585  "</f>
        <v xml:space="preserve">2122027585  </v>
      </c>
      <c r="O9719">
        <v>230405</v>
      </c>
    </row>
    <row r="9720" spans="1:15" x14ac:dyDescent="0.25">
      <c r="A9720" t="s">
        <v>16</v>
      </c>
      <c r="B9720" t="s">
        <v>3221</v>
      </c>
      <c r="C9720">
        <v>4427</v>
      </c>
      <c r="D9720" t="s">
        <v>3654</v>
      </c>
      <c r="E9720" t="s">
        <v>700</v>
      </c>
      <c r="F9720">
        <v>15.29</v>
      </c>
      <c r="G9720">
        <v>230331</v>
      </c>
      <c r="H9720">
        <v>4347</v>
      </c>
      <c r="I9720" t="s">
        <v>193</v>
      </c>
      <c r="J9720">
        <v>18.96</v>
      </c>
      <c r="K9720">
        <v>3.67</v>
      </c>
      <c r="L9720">
        <v>11001</v>
      </c>
      <c r="M9720" t="s">
        <v>326</v>
      </c>
      <c r="N9720" t="str">
        <f>"2122029532  "</f>
        <v xml:space="preserve">2122029532  </v>
      </c>
      <c r="O9720">
        <v>230405</v>
      </c>
    </row>
    <row r="9721" spans="1:15" x14ac:dyDescent="0.25">
      <c r="A9721" t="s">
        <v>16</v>
      </c>
      <c r="B9721" t="s">
        <v>3221</v>
      </c>
      <c r="C9721">
        <v>4427</v>
      </c>
      <c r="D9721" t="s">
        <v>3654</v>
      </c>
      <c r="E9721" t="s">
        <v>700</v>
      </c>
      <c r="F9721">
        <v>45.89</v>
      </c>
      <c r="G9721">
        <v>230331</v>
      </c>
      <c r="H9721">
        <v>4347</v>
      </c>
      <c r="I9721" t="s">
        <v>193</v>
      </c>
      <c r="J9721">
        <v>56.9</v>
      </c>
      <c r="K9721">
        <v>11.01</v>
      </c>
      <c r="L9721">
        <v>11101</v>
      </c>
      <c r="M9721" t="s">
        <v>110</v>
      </c>
      <c r="N9721" t="str">
        <f>"2122029532  "</f>
        <v xml:space="preserve">2122029532  </v>
      </c>
      <c r="O9721">
        <v>230405</v>
      </c>
    </row>
    <row r="9722" spans="1:15" x14ac:dyDescent="0.25">
      <c r="A9722" t="s">
        <v>16</v>
      </c>
      <c r="B9722" t="s">
        <v>3221</v>
      </c>
      <c r="C9722">
        <v>4427</v>
      </c>
      <c r="D9722" t="s">
        <v>3654</v>
      </c>
      <c r="E9722" t="s">
        <v>700</v>
      </c>
      <c r="F9722">
        <v>15.29</v>
      </c>
      <c r="G9722">
        <v>230331</v>
      </c>
      <c r="H9722">
        <v>4347</v>
      </c>
      <c r="I9722" t="s">
        <v>193</v>
      </c>
      <c r="J9722">
        <v>18.96</v>
      </c>
      <c r="K9722">
        <v>3.67</v>
      </c>
      <c r="L9722">
        <v>18971</v>
      </c>
      <c r="M9722" t="s">
        <v>63</v>
      </c>
      <c r="N9722" t="str">
        <f>"2122029532  "</f>
        <v xml:space="preserve">2122029532  </v>
      </c>
      <c r="O9722">
        <v>230405</v>
      </c>
    </row>
    <row r="9723" spans="1:15" x14ac:dyDescent="0.25">
      <c r="A9723" t="s">
        <v>16</v>
      </c>
      <c r="B9723" t="s">
        <v>3221</v>
      </c>
      <c r="C9723">
        <v>4435</v>
      </c>
      <c r="D9723" t="s">
        <v>3654</v>
      </c>
      <c r="E9723" t="s">
        <v>700</v>
      </c>
      <c r="F9723">
        <v>63.66</v>
      </c>
      <c r="G9723">
        <v>230331</v>
      </c>
      <c r="H9723">
        <v>4347</v>
      </c>
      <c r="I9723" t="s">
        <v>193</v>
      </c>
      <c r="J9723">
        <v>78.94</v>
      </c>
      <c r="K9723">
        <v>15.28</v>
      </c>
      <c r="L9723">
        <v>13501</v>
      </c>
      <c r="M9723" t="s">
        <v>20</v>
      </c>
      <c r="N9723" t="str">
        <f>"2122029376  "</f>
        <v xml:space="preserve">2122029376  </v>
      </c>
      <c r="O9723">
        <v>230405</v>
      </c>
    </row>
    <row r="9724" spans="1:15" x14ac:dyDescent="0.25">
      <c r="A9724" t="s">
        <v>16</v>
      </c>
      <c r="B9724" t="s">
        <v>3221</v>
      </c>
      <c r="C9724">
        <v>4516</v>
      </c>
      <c r="D9724" t="s">
        <v>3654</v>
      </c>
      <c r="E9724" t="s">
        <v>700</v>
      </c>
      <c r="F9724">
        <v>104.7</v>
      </c>
      <c r="G9724">
        <v>230331</v>
      </c>
      <c r="H9724">
        <v>4347</v>
      </c>
      <c r="I9724" t="s">
        <v>193</v>
      </c>
      <c r="J9724">
        <v>129.83000000000001</v>
      </c>
      <c r="K9724">
        <v>25.13</v>
      </c>
      <c r="L9724">
        <v>49701</v>
      </c>
      <c r="M9724" t="s">
        <v>166</v>
      </c>
      <c r="N9724" t="str">
        <f>"2122027570  "</f>
        <v xml:space="preserve">2122027570  </v>
      </c>
      <c r="O9724">
        <v>230406</v>
      </c>
    </row>
    <row r="9725" spans="1:15" x14ac:dyDescent="0.25">
      <c r="A9725" t="s">
        <v>16</v>
      </c>
      <c r="B9725" t="s">
        <v>3221</v>
      </c>
      <c r="C9725">
        <v>4518</v>
      </c>
      <c r="D9725" t="s">
        <v>3654</v>
      </c>
      <c r="E9725" t="s">
        <v>700</v>
      </c>
      <c r="F9725">
        <v>100.57</v>
      </c>
      <c r="G9725">
        <v>230331</v>
      </c>
      <c r="H9725">
        <v>4347</v>
      </c>
      <c r="I9725" t="s">
        <v>193</v>
      </c>
      <c r="J9725">
        <v>124.71</v>
      </c>
      <c r="K9725">
        <v>24.14</v>
      </c>
      <c r="L9725">
        <v>46555</v>
      </c>
      <c r="M9725" t="s">
        <v>597</v>
      </c>
      <c r="N9725" t="str">
        <f>"2122027665  "</f>
        <v xml:space="preserve">2122027665  </v>
      </c>
      <c r="O9725">
        <v>230406</v>
      </c>
    </row>
    <row r="9726" spans="1:15" x14ac:dyDescent="0.25">
      <c r="A9726" t="s">
        <v>16</v>
      </c>
      <c r="B9726" t="s">
        <v>3221</v>
      </c>
      <c r="C9726">
        <v>4521</v>
      </c>
      <c r="D9726" t="s">
        <v>3654</v>
      </c>
      <c r="E9726" t="s">
        <v>700</v>
      </c>
      <c r="F9726">
        <v>11.99</v>
      </c>
      <c r="G9726">
        <v>230331</v>
      </c>
      <c r="H9726">
        <v>4347</v>
      </c>
      <c r="I9726" t="s">
        <v>193</v>
      </c>
      <c r="J9726">
        <v>14.87</v>
      </c>
      <c r="K9726">
        <v>2.88</v>
      </c>
      <c r="L9726">
        <v>46554</v>
      </c>
      <c r="M9726" t="s">
        <v>117</v>
      </c>
      <c r="N9726" t="str">
        <f>"2122027607  "</f>
        <v xml:space="preserve">2122027607  </v>
      </c>
      <c r="O9726">
        <v>230406</v>
      </c>
    </row>
    <row r="9727" spans="1:15" x14ac:dyDescent="0.25">
      <c r="A9727" t="s">
        <v>16</v>
      </c>
      <c r="B9727" t="s">
        <v>3221</v>
      </c>
      <c r="C9727">
        <v>4522</v>
      </c>
      <c r="D9727" t="s">
        <v>3654</v>
      </c>
      <c r="E9727" t="s">
        <v>700</v>
      </c>
      <c r="F9727">
        <v>37.03</v>
      </c>
      <c r="G9727">
        <v>230331</v>
      </c>
      <c r="H9727">
        <v>4347</v>
      </c>
      <c r="I9727" t="s">
        <v>193</v>
      </c>
      <c r="J9727">
        <v>45.92</v>
      </c>
      <c r="K9727">
        <v>8.89</v>
      </c>
      <c r="L9727">
        <v>47522</v>
      </c>
      <c r="M9727" t="s">
        <v>410</v>
      </c>
      <c r="N9727" t="str">
        <f>"2122029552  "</f>
        <v xml:space="preserve">2122029552  </v>
      </c>
      <c r="O9727">
        <v>230406</v>
      </c>
    </row>
    <row r="9728" spans="1:15" x14ac:dyDescent="0.25">
      <c r="A9728" t="s">
        <v>16</v>
      </c>
      <c r="B9728" t="s">
        <v>3221</v>
      </c>
      <c r="C9728">
        <v>4575</v>
      </c>
      <c r="D9728" t="s">
        <v>3654</v>
      </c>
      <c r="E9728" t="s">
        <v>700</v>
      </c>
      <c r="F9728">
        <v>31.71</v>
      </c>
      <c r="G9728">
        <v>230331</v>
      </c>
      <c r="H9728">
        <v>4347</v>
      </c>
      <c r="I9728" t="s">
        <v>193</v>
      </c>
      <c r="J9728">
        <v>39.32</v>
      </c>
      <c r="K9728">
        <v>7.61</v>
      </c>
      <c r="L9728">
        <v>17131</v>
      </c>
      <c r="M9728" t="s">
        <v>64</v>
      </c>
      <c r="N9728" t="str">
        <f>"2122027519  "</f>
        <v xml:space="preserve">2122027519  </v>
      </c>
      <c r="O9728">
        <v>230406</v>
      </c>
    </row>
    <row r="9729" spans="1:15" x14ac:dyDescent="0.25">
      <c r="A9729" t="s">
        <v>16</v>
      </c>
      <c r="B9729" t="s">
        <v>3221</v>
      </c>
      <c r="C9729">
        <v>4575</v>
      </c>
      <c r="D9729" t="s">
        <v>3654</v>
      </c>
      <c r="E9729" t="s">
        <v>700</v>
      </c>
      <c r="F9729">
        <v>40.32</v>
      </c>
      <c r="G9729">
        <v>230331</v>
      </c>
      <c r="H9729">
        <v>4347</v>
      </c>
      <c r="I9729" t="s">
        <v>193</v>
      </c>
      <c r="J9729">
        <v>50</v>
      </c>
      <c r="K9729">
        <v>9.68</v>
      </c>
      <c r="L9729">
        <v>17711</v>
      </c>
      <c r="M9729" t="s">
        <v>65</v>
      </c>
      <c r="N9729" t="str">
        <f>"2122027519  "</f>
        <v xml:space="preserve">2122027519  </v>
      </c>
      <c r="O9729">
        <v>230406</v>
      </c>
    </row>
    <row r="9730" spans="1:15" x14ac:dyDescent="0.25">
      <c r="A9730" t="s">
        <v>16</v>
      </c>
      <c r="B9730" t="s">
        <v>3221</v>
      </c>
      <c r="C9730">
        <v>4653</v>
      </c>
      <c r="D9730" t="s">
        <v>3654</v>
      </c>
      <c r="E9730" t="s">
        <v>700</v>
      </c>
      <c r="F9730">
        <v>19.670000000000002</v>
      </c>
      <c r="G9730">
        <v>230331</v>
      </c>
      <c r="H9730">
        <v>4347</v>
      </c>
      <c r="I9730" t="s">
        <v>193</v>
      </c>
      <c r="J9730">
        <v>24.39</v>
      </c>
      <c r="K9730">
        <v>4.72</v>
      </c>
      <c r="L9730">
        <v>43222</v>
      </c>
      <c r="M9730" t="s">
        <v>507</v>
      </c>
      <c r="N9730" t="str">
        <f>"2122028157  "</f>
        <v xml:space="preserve">2122028157  </v>
      </c>
      <c r="O9730">
        <v>230411</v>
      </c>
    </row>
    <row r="9731" spans="1:15" x14ac:dyDescent="0.25">
      <c r="A9731" t="s">
        <v>16</v>
      </c>
      <c r="B9731" t="s">
        <v>3221</v>
      </c>
      <c r="C9731">
        <v>4668</v>
      </c>
      <c r="D9731" t="s">
        <v>3654</v>
      </c>
      <c r="E9731" t="s">
        <v>700</v>
      </c>
      <c r="F9731">
        <v>128.76</v>
      </c>
      <c r="G9731">
        <v>230331</v>
      </c>
      <c r="H9731">
        <v>4347</v>
      </c>
      <c r="I9731" t="s">
        <v>193</v>
      </c>
      <c r="J9731">
        <v>159.66</v>
      </c>
      <c r="K9731">
        <v>30.9</v>
      </c>
      <c r="L9731">
        <v>44424</v>
      </c>
      <c r="M9731" t="s">
        <v>776</v>
      </c>
      <c r="N9731" t="str">
        <f>"2122027662  "</f>
        <v xml:space="preserve">2122027662  </v>
      </c>
      <c r="O9731">
        <v>230411</v>
      </c>
    </row>
    <row r="9732" spans="1:15" x14ac:dyDescent="0.25">
      <c r="A9732" t="s">
        <v>16</v>
      </c>
      <c r="B9732" t="s">
        <v>3221</v>
      </c>
      <c r="C9732">
        <v>4672</v>
      </c>
      <c r="D9732" t="s">
        <v>3654</v>
      </c>
      <c r="E9732" t="s">
        <v>700</v>
      </c>
      <c r="F9732">
        <v>26.75</v>
      </c>
      <c r="G9732">
        <v>230331</v>
      </c>
      <c r="H9732">
        <v>4347</v>
      </c>
      <c r="I9732" t="s">
        <v>193</v>
      </c>
      <c r="J9732">
        <v>33.17</v>
      </c>
      <c r="K9732">
        <v>6.42</v>
      </c>
      <c r="L9732">
        <v>44424</v>
      </c>
      <c r="M9732" t="s">
        <v>776</v>
      </c>
      <c r="N9732" t="str">
        <f>"2122027664  "</f>
        <v xml:space="preserve">2122027664  </v>
      </c>
      <c r="O9732">
        <v>230411</v>
      </c>
    </row>
    <row r="9733" spans="1:15" x14ac:dyDescent="0.25">
      <c r="A9733" t="s">
        <v>16</v>
      </c>
      <c r="B9733" t="s">
        <v>3221</v>
      </c>
      <c r="C9733">
        <v>4728</v>
      </c>
      <c r="D9733" t="s">
        <v>3654</v>
      </c>
      <c r="E9733" t="s">
        <v>700</v>
      </c>
      <c r="F9733">
        <v>65.209999999999994</v>
      </c>
      <c r="G9733">
        <v>230331</v>
      </c>
      <c r="H9733">
        <v>4347</v>
      </c>
      <c r="I9733" t="s">
        <v>193</v>
      </c>
      <c r="J9733">
        <v>80.86</v>
      </c>
      <c r="K9733">
        <v>15.65</v>
      </c>
      <c r="L9733">
        <v>17808</v>
      </c>
      <c r="M9733" t="s">
        <v>322</v>
      </c>
      <c r="N9733" t="str">
        <f>"2122027517  "</f>
        <v xml:space="preserve">2122027517  </v>
      </c>
      <c r="O9733">
        <v>230412</v>
      </c>
    </row>
    <row r="9734" spans="1:15" x14ac:dyDescent="0.25">
      <c r="A9734" t="s">
        <v>16</v>
      </c>
      <c r="B9734" t="s">
        <v>3221</v>
      </c>
      <c r="C9734">
        <v>4740</v>
      </c>
      <c r="D9734" t="s">
        <v>3654</v>
      </c>
      <c r="E9734" t="s">
        <v>700</v>
      </c>
      <c r="F9734">
        <v>12.13</v>
      </c>
      <c r="G9734">
        <v>230331</v>
      </c>
      <c r="H9734">
        <v>4347</v>
      </c>
      <c r="I9734" t="s">
        <v>193</v>
      </c>
      <c r="J9734">
        <v>15.04</v>
      </c>
      <c r="K9734">
        <v>2.91</v>
      </c>
      <c r="L9734">
        <v>17806</v>
      </c>
      <c r="M9734" t="s">
        <v>265</v>
      </c>
      <c r="N9734" t="str">
        <f>"2122029574  "</f>
        <v xml:space="preserve">2122029574  </v>
      </c>
      <c r="O9734">
        <v>230412</v>
      </c>
    </row>
    <row r="9735" spans="1:15" x14ac:dyDescent="0.25">
      <c r="A9735" t="s">
        <v>16</v>
      </c>
      <c r="B9735" t="s">
        <v>3221</v>
      </c>
      <c r="C9735">
        <v>4885</v>
      </c>
      <c r="D9735" t="s">
        <v>3654</v>
      </c>
      <c r="E9735" t="s">
        <v>700</v>
      </c>
      <c r="F9735">
        <v>74.02</v>
      </c>
      <c r="G9735">
        <v>230331</v>
      </c>
      <c r="H9735">
        <v>4347</v>
      </c>
      <c r="I9735" t="s">
        <v>193</v>
      </c>
      <c r="J9735">
        <v>91.78</v>
      </c>
      <c r="K9735">
        <v>17.760000000000002</v>
      </c>
      <c r="L9735">
        <v>44222</v>
      </c>
      <c r="M9735" t="s">
        <v>232</v>
      </c>
      <c r="N9735" t="str">
        <f>"2122027660  "</f>
        <v xml:space="preserve">2122027660  </v>
      </c>
      <c r="O9735">
        <v>230414</v>
      </c>
    </row>
    <row r="9736" spans="1:15" x14ac:dyDescent="0.25">
      <c r="A9736" t="s">
        <v>16</v>
      </c>
      <c r="B9736" t="s">
        <v>3221</v>
      </c>
      <c r="C9736">
        <v>4887</v>
      </c>
      <c r="D9736" t="s">
        <v>3654</v>
      </c>
      <c r="E9736" t="s">
        <v>700</v>
      </c>
      <c r="F9736">
        <v>112.07</v>
      </c>
      <c r="G9736">
        <v>230331</v>
      </c>
      <c r="H9736">
        <v>4347</v>
      </c>
      <c r="I9736" t="s">
        <v>193</v>
      </c>
      <c r="J9736">
        <v>138.97</v>
      </c>
      <c r="K9736">
        <v>26.9</v>
      </c>
      <c r="L9736">
        <v>41126</v>
      </c>
      <c r="M9736" t="s">
        <v>761</v>
      </c>
      <c r="N9736" t="str">
        <f>"2122027661  "</f>
        <v xml:space="preserve">2122027661  </v>
      </c>
      <c r="O9736">
        <v>230414</v>
      </c>
    </row>
    <row r="9737" spans="1:15" x14ac:dyDescent="0.25">
      <c r="A9737" t="s">
        <v>16</v>
      </c>
      <c r="B9737" t="s">
        <v>3221</v>
      </c>
      <c r="C9737">
        <v>4889</v>
      </c>
      <c r="D9737" t="s">
        <v>3654</v>
      </c>
      <c r="E9737" t="s">
        <v>700</v>
      </c>
      <c r="F9737">
        <v>100.15</v>
      </c>
      <c r="G9737">
        <v>230331</v>
      </c>
      <c r="H9737">
        <v>4347</v>
      </c>
      <c r="I9737" t="s">
        <v>193</v>
      </c>
      <c r="J9737">
        <v>124.19</v>
      </c>
      <c r="K9737">
        <v>24.04</v>
      </c>
      <c r="L9737">
        <v>48601</v>
      </c>
      <c r="M9737" t="s">
        <v>1047</v>
      </c>
      <c r="N9737" t="str">
        <f>"2122027604  "</f>
        <v xml:space="preserve">2122027604  </v>
      </c>
      <c r="O9737">
        <v>230414</v>
      </c>
    </row>
    <row r="9738" spans="1:15" x14ac:dyDescent="0.25">
      <c r="A9738" t="s">
        <v>16</v>
      </c>
      <c r="B9738" t="s">
        <v>3221</v>
      </c>
      <c r="C9738">
        <v>4891</v>
      </c>
      <c r="D9738" t="s">
        <v>3654</v>
      </c>
      <c r="E9738" t="s">
        <v>700</v>
      </c>
      <c r="F9738">
        <v>5.73</v>
      </c>
      <c r="G9738">
        <v>230331</v>
      </c>
      <c r="H9738">
        <v>4347</v>
      </c>
      <c r="I9738" t="s">
        <v>193</v>
      </c>
      <c r="J9738">
        <v>7.11</v>
      </c>
      <c r="K9738">
        <v>1.38</v>
      </c>
      <c r="L9738">
        <v>41126</v>
      </c>
      <c r="M9738" t="s">
        <v>761</v>
      </c>
      <c r="N9738" t="str">
        <f t="shared" ref="N9738:N9743" si="169">"2122027663  "</f>
        <v xml:space="preserve">2122027663  </v>
      </c>
      <c r="O9738">
        <v>230414</v>
      </c>
    </row>
    <row r="9739" spans="1:15" x14ac:dyDescent="0.25">
      <c r="A9739" t="s">
        <v>16</v>
      </c>
      <c r="B9739" t="s">
        <v>3221</v>
      </c>
      <c r="C9739">
        <v>4891</v>
      </c>
      <c r="D9739" t="s">
        <v>3654</v>
      </c>
      <c r="E9739" t="s">
        <v>700</v>
      </c>
      <c r="F9739">
        <v>4.42</v>
      </c>
      <c r="G9739">
        <v>230331</v>
      </c>
      <c r="H9739">
        <v>4347</v>
      </c>
      <c r="I9739" t="s">
        <v>193</v>
      </c>
      <c r="J9739">
        <v>5.48</v>
      </c>
      <c r="K9739">
        <v>1.06</v>
      </c>
      <c r="L9739">
        <v>43222</v>
      </c>
      <c r="M9739" t="s">
        <v>507</v>
      </c>
      <c r="N9739" t="str">
        <f t="shared" si="169"/>
        <v xml:space="preserve">2122027663  </v>
      </c>
      <c r="O9739">
        <v>230414</v>
      </c>
    </row>
    <row r="9740" spans="1:15" x14ac:dyDescent="0.25">
      <c r="A9740" t="s">
        <v>16</v>
      </c>
      <c r="B9740" t="s">
        <v>3221</v>
      </c>
      <c r="C9740">
        <v>4891</v>
      </c>
      <c r="D9740" t="s">
        <v>3654</v>
      </c>
      <c r="E9740" t="s">
        <v>700</v>
      </c>
      <c r="F9740">
        <v>5.3</v>
      </c>
      <c r="G9740">
        <v>230331</v>
      </c>
      <c r="H9740">
        <v>4347</v>
      </c>
      <c r="I9740" t="s">
        <v>193</v>
      </c>
      <c r="J9740">
        <v>6.57</v>
      </c>
      <c r="K9740">
        <v>1.27</v>
      </c>
      <c r="L9740">
        <v>44222</v>
      </c>
      <c r="M9740" t="s">
        <v>232</v>
      </c>
      <c r="N9740" t="str">
        <f t="shared" si="169"/>
        <v xml:space="preserve">2122027663  </v>
      </c>
      <c r="O9740">
        <v>230414</v>
      </c>
    </row>
    <row r="9741" spans="1:15" x14ac:dyDescent="0.25">
      <c r="A9741" t="s">
        <v>16</v>
      </c>
      <c r="B9741" t="s">
        <v>3221</v>
      </c>
      <c r="C9741">
        <v>4891</v>
      </c>
      <c r="D9741" t="s">
        <v>3654</v>
      </c>
      <c r="E9741" t="s">
        <v>700</v>
      </c>
      <c r="F9741">
        <v>5.73</v>
      </c>
      <c r="G9741">
        <v>230331</v>
      </c>
      <c r="H9741">
        <v>4347</v>
      </c>
      <c r="I9741" t="s">
        <v>193</v>
      </c>
      <c r="J9741">
        <v>7.1</v>
      </c>
      <c r="K9741">
        <v>1.37</v>
      </c>
      <c r="L9741">
        <v>44424</v>
      </c>
      <c r="M9741" t="s">
        <v>776</v>
      </c>
      <c r="N9741" t="str">
        <f t="shared" si="169"/>
        <v xml:space="preserve">2122027663  </v>
      </c>
      <c r="O9741">
        <v>230414</v>
      </c>
    </row>
    <row r="9742" spans="1:15" x14ac:dyDescent="0.25">
      <c r="A9742" t="s">
        <v>16</v>
      </c>
      <c r="B9742" t="s">
        <v>3221</v>
      </c>
      <c r="C9742">
        <v>4891</v>
      </c>
      <c r="D9742" t="s">
        <v>3654</v>
      </c>
      <c r="E9742" t="s">
        <v>700</v>
      </c>
      <c r="F9742">
        <v>3.09</v>
      </c>
      <c r="G9742">
        <v>230331</v>
      </c>
      <c r="H9742">
        <v>4347</v>
      </c>
      <c r="I9742" t="s">
        <v>193</v>
      </c>
      <c r="J9742">
        <v>3.83</v>
      </c>
      <c r="K9742">
        <v>0.74</v>
      </c>
      <c r="L9742">
        <v>46222</v>
      </c>
      <c r="M9742" t="s">
        <v>293</v>
      </c>
      <c r="N9742" t="str">
        <f t="shared" si="169"/>
        <v xml:space="preserve">2122027663  </v>
      </c>
      <c r="O9742">
        <v>230414</v>
      </c>
    </row>
    <row r="9743" spans="1:15" x14ac:dyDescent="0.25">
      <c r="A9743" t="s">
        <v>16</v>
      </c>
      <c r="B9743" t="s">
        <v>3221</v>
      </c>
      <c r="C9743">
        <v>4891</v>
      </c>
      <c r="D9743" t="s">
        <v>3654</v>
      </c>
      <c r="E9743" t="s">
        <v>700</v>
      </c>
      <c r="F9743">
        <v>19.850000000000001</v>
      </c>
      <c r="G9743">
        <v>230331</v>
      </c>
      <c r="H9743">
        <v>4347</v>
      </c>
      <c r="I9743" t="s">
        <v>193</v>
      </c>
      <c r="J9743">
        <v>24.61</v>
      </c>
      <c r="K9743">
        <v>4.76</v>
      </c>
      <c r="L9743">
        <v>46559</v>
      </c>
      <c r="M9743" t="s">
        <v>1104</v>
      </c>
      <c r="N9743" t="str">
        <f t="shared" si="169"/>
        <v xml:space="preserve">2122027663  </v>
      </c>
      <c r="O9743">
        <v>230414</v>
      </c>
    </row>
    <row r="9744" spans="1:15" x14ac:dyDescent="0.25">
      <c r="A9744" t="s">
        <v>16</v>
      </c>
      <c r="B9744" t="s">
        <v>3221</v>
      </c>
      <c r="C9744">
        <v>4896</v>
      </c>
      <c r="D9744" t="s">
        <v>3654</v>
      </c>
      <c r="E9744" t="s">
        <v>700</v>
      </c>
      <c r="F9744">
        <v>91.04</v>
      </c>
      <c r="G9744">
        <v>230331</v>
      </c>
      <c r="H9744">
        <v>4347</v>
      </c>
      <c r="I9744" t="s">
        <v>193</v>
      </c>
      <c r="J9744">
        <v>112.89</v>
      </c>
      <c r="K9744">
        <v>21.85</v>
      </c>
      <c r="L9744">
        <v>44222</v>
      </c>
      <c r="M9744" t="s">
        <v>232</v>
      </c>
      <c r="N9744" t="str">
        <f>"2122027666  "</f>
        <v xml:space="preserve">2122027666  </v>
      </c>
      <c r="O9744">
        <v>230414</v>
      </c>
    </row>
    <row r="9745" spans="1:15" x14ac:dyDescent="0.25">
      <c r="A9745" t="s">
        <v>16</v>
      </c>
      <c r="B9745" t="s">
        <v>3221</v>
      </c>
      <c r="C9745">
        <v>4924</v>
      </c>
      <c r="D9745" t="s">
        <v>3654</v>
      </c>
      <c r="E9745" t="s">
        <v>700</v>
      </c>
      <c r="F9745">
        <v>16.21</v>
      </c>
      <c r="G9745">
        <v>230331</v>
      </c>
      <c r="H9745">
        <v>4347</v>
      </c>
      <c r="I9745" t="s">
        <v>193</v>
      </c>
      <c r="J9745">
        <v>20.100000000000001</v>
      </c>
      <c r="K9745">
        <v>3.89</v>
      </c>
      <c r="L9745">
        <v>11101</v>
      </c>
      <c r="M9745" t="s">
        <v>110</v>
      </c>
      <c r="N9745" t="str">
        <f>"2122027518  "</f>
        <v xml:space="preserve">2122027518  </v>
      </c>
      <c r="O9745">
        <v>230414</v>
      </c>
    </row>
    <row r="9746" spans="1:15" x14ac:dyDescent="0.25">
      <c r="A9746" t="s">
        <v>16</v>
      </c>
      <c r="B9746" t="s">
        <v>3221</v>
      </c>
      <c r="C9746">
        <v>4960</v>
      </c>
      <c r="D9746" t="s">
        <v>3654</v>
      </c>
      <c r="E9746" t="s">
        <v>700</v>
      </c>
      <c r="F9746">
        <v>11.77</v>
      </c>
      <c r="G9746">
        <v>230331</v>
      </c>
      <c r="H9746">
        <v>4347</v>
      </c>
      <c r="I9746" t="s">
        <v>193</v>
      </c>
      <c r="J9746">
        <v>14.59</v>
      </c>
      <c r="K9746">
        <v>2.82</v>
      </c>
      <c r="L9746">
        <v>56558</v>
      </c>
      <c r="M9746" t="s">
        <v>217</v>
      </c>
      <c r="N9746" t="str">
        <f>"2122027671  "</f>
        <v xml:space="preserve">2122027671  </v>
      </c>
      <c r="O9746">
        <v>230414</v>
      </c>
    </row>
    <row r="9747" spans="1:15" x14ac:dyDescent="0.25">
      <c r="A9747" t="s">
        <v>16</v>
      </c>
      <c r="B9747" t="s">
        <v>3221</v>
      </c>
      <c r="C9747">
        <v>5127</v>
      </c>
      <c r="D9747" t="s">
        <v>3654</v>
      </c>
      <c r="E9747" t="s">
        <v>700</v>
      </c>
      <c r="F9747">
        <v>71.06</v>
      </c>
      <c r="G9747">
        <v>230331</v>
      </c>
      <c r="H9747">
        <v>4347</v>
      </c>
      <c r="I9747" t="s">
        <v>193</v>
      </c>
      <c r="J9747">
        <v>88.11</v>
      </c>
      <c r="K9747">
        <v>17.05</v>
      </c>
      <c r="L9747">
        <v>59702</v>
      </c>
      <c r="M9747" t="s">
        <v>328</v>
      </c>
      <c r="N9747" t="str">
        <f>"2122029535  "</f>
        <v xml:space="preserve">2122029535  </v>
      </c>
      <c r="O9747">
        <v>230418</v>
      </c>
    </row>
    <row r="9748" spans="1:15" x14ac:dyDescent="0.25">
      <c r="A9748" t="s">
        <v>16</v>
      </c>
      <c r="B9748" t="s">
        <v>3221</v>
      </c>
      <c r="C9748">
        <v>5128</v>
      </c>
      <c r="D9748" t="s">
        <v>3654</v>
      </c>
      <c r="E9748" t="s">
        <v>700</v>
      </c>
      <c r="F9748">
        <v>28.06</v>
      </c>
      <c r="G9748">
        <v>230331</v>
      </c>
      <c r="H9748">
        <v>4347</v>
      </c>
      <c r="I9748" t="s">
        <v>193</v>
      </c>
      <c r="J9748">
        <v>34.79</v>
      </c>
      <c r="K9748">
        <v>6.73</v>
      </c>
      <c r="L9748">
        <v>56524</v>
      </c>
      <c r="M9748" t="s">
        <v>150</v>
      </c>
      <c r="N9748" t="str">
        <f>"2122027813  "</f>
        <v xml:space="preserve">2122027813  </v>
      </c>
      <c r="O9748">
        <v>230418</v>
      </c>
    </row>
    <row r="9749" spans="1:15" x14ac:dyDescent="0.25">
      <c r="A9749" t="s">
        <v>16</v>
      </c>
      <c r="B9749" t="s">
        <v>3221</v>
      </c>
      <c r="C9749">
        <v>5129</v>
      </c>
      <c r="D9749" t="s">
        <v>3654</v>
      </c>
      <c r="E9749" t="s">
        <v>700</v>
      </c>
      <c r="F9749">
        <v>48.6</v>
      </c>
      <c r="G9749">
        <v>230331</v>
      </c>
      <c r="H9749">
        <v>4347</v>
      </c>
      <c r="I9749" t="s">
        <v>193</v>
      </c>
      <c r="J9749">
        <v>60.26</v>
      </c>
      <c r="K9749">
        <v>11.66</v>
      </c>
      <c r="L9749">
        <v>56524</v>
      </c>
      <c r="M9749" t="s">
        <v>150</v>
      </c>
      <c r="N9749" t="str">
        <f>"2122027670  "</f>
        <v xml:space="preserve">2122027670  </v>
      </c>
      <c r="O9749">
        <v>230418</v>
      </c>
    </row>
    <row r="9750" spans="1:15" x14ac:dyDescent="0.25">
      <c r="A9750" t="s">
        <v>16</v>
      </c>
      <c r="B9750" t="s">
        <v>3221</v>
      </c>
      <c r="C9750">
        <v>5130</v>
      </c>
      <c r="D9750" t="s">
        <v>3654</v>
      </c>
      <c r="E9750" t="s">
        <v>700</v>
      </c>
      <c r="F9750">
        <v>42.04</v>
      </c>
      <c r="G9750">
        <v>230331</v>
      </c>
      <c r="H9750">
        <v>4347</v>
      </c>
      <c r="I9750" t="s">
        <v>193</v>
      </c>
      <c r="J9750">
        <v>52.13</v>
      </c>
      <c r="K9750">
        <v>10.09</v>
      </c>
      <c r="L9750">
        <v>56559</v>
      </c>
      <c r="M9750" t="s">
        <v>129</v>
      </c>
      <c r="N9750" t="str">
        <f>"2122027668  "</f>
        <v xml:space="preserve">2122027668  </v>
      </c>
      <c r="O9750">
        <v>230418</v>
      </c>
    </row>
    <row r="9751" spans="1:15" x14ac:dyDescent="0.25">
      <c r="A9751" t="s">
        <v>16</v>
      </c>
      <c r="B9751" t="s">
        <v>3221</v>
      </c>
      <c r="C9751">
        <v>5131</v>
      </c>
      <c r="D9751" t="s">
        <v>3654</v>
      </c>
      <c r="E9751" t="s">
        <v>700</v>
      </c>
      <c r="F9751">
        <v>9.2200000000000006</v>
      </c>
      <c r="G9751">
        <v>230331</v>
      </c>
      <c r="H9751">
        <v>4347</v>
      </c>
      <c r="I9751" t="s">
        <v>193</v>
      </c>
      <c r="J9751">
        <v>11.43</v>
      </c>
      <c r="K9751">
        <v>2.21</v>
      </c>
      <c r="L9751">
        <v>11908</v>
      </c>
      <c r="M9751" t="s">
        <v>598</v>
      </c>
      <c r="N9751" t="str">
        <f>"2122029527  "</f>
        <v xml:space="preserve">2122029527  </v>
      </c>
      <c r="O9751">
        <v>230418</v>
      </c>
    </row>
    <row r="9752" spans="1:15" x14ac:dyDescent="0.25">
      <c r="A9752" t="s">
        <v>16</v>
      </c>
      <c r="B9752" t="s">
        <v>3221</v>
      </c>
      <c r="C9752">
        <v>5131</v>
      </c>
      <c r="D9752" t="s">
        <v>3654</v>
      </c>
      <c r="E9752" t="s">
        <v>700</v>
      </c>
      <c r="F9752">
        <v>9.23</v>
      </c>
      <c r="G9752">
        <v>230331</v>
      </c>
      <c r="H9752">
        <v>4347</v>
      </c>
      <c r="I9752" t="s">
        <v>193</v>
      </c>
      <c r="J9752">
        <v>11.44</v>
      </c>
      <c r="K9752">
        <v>2.21</v>
      </c>
      <c r="L9752">
        <v>56526</v>
      </c>
      <c r="M9752" t="s">
        <v>1217</v>
      </c>
      <c r="N9752" t="str">
        <f>"2122029527  "</f>
        <v xml:space="preserve">2122029527  </v>
      </c>
      <c r="O9752">
        <v>230418</v>
      </c>
    </row>
    <row r="9753" spans="1:15" x14ac:dyDescent="0.25">
      <c r="A9753" t="s">
        <v>16</v>
      </c>
      <c r="B9753" t="s">
        <v>3221</v>
      </c>
      <c r="C9753">
        <v>5132</v>
      </c>
      <c r="D9753" t="s">
        <v>3654</v>
      </c>
      <c r="E9753" t="s">
        <v>700</v>
      </c>
      <c r="F9753">
        <v>8.3699999999999992</v>
      </c>
      <c r="G9753">
        <v>230331</v>
      </c>
      <c r="H9753">
        <v>4347</v>
      </c>
      <c r="I9753" t="s">
        <v>193</v>
      </c>
      <c r="J9753">
        <v>10.38</v>
      </c>
      <c r="K9753">
        <v>2.0099999999999998</v>
      </c>
      <c r="L9753">
        <v>56562</v>
      </c>
      <c r="M9753" t="s">
        <v>126</v>
      </c>
      <c r="N9753" t="str">
        <f>"2122029534  "</f>
        <v xml:space="preserve">2122029534  </v>
      </c>
      <c r="O9753">
        <v>230418</v>
      </c>
    </row>
    <row r="9754" spans="1:15" x14ac:dyDescent="0.25">
      <c r="A9754" t="s">
        <v>16</v>
      </c>
      <c r="B9754" t="s">
        <v>3221</v>
      </c>
      <c r="C9754">
        <v>5133</v>
      </c>
      <c r="D9754" t="s">
        <v>3654</v>
      </c>
      <c r="E9754" t="s">
        <v>700</v>
      </c>
      <c r="F9754">
        <v>14.66</v>
      </c>
      <c r="G9754">
        <v>230331</v>
      </c>
      <c r="H9754">
        <v>4347</v>
      </c>
      <c r="I9754" t="s">
        <v>193</v>
      </c>
      <c r="J9754">
        <v>18.18</v>
      </c>
      <c r="K9754">
        <v>3.52</v>
      </c>
      <c r="L9754">
        <v>56558</v>
      </c>
      <c r="M9754" t="s">
        <v>217</v>
      </c>
      <c r="N9754" t="str">
        <f>"2122027669  "</f>
        <v xml:space="preserve">2122027669  </v>
      </c>
      <c r="O9754">
        <v>230418</v>
      </c>
    </row>
    <row r="9755" spans="1:15" x14ac:dyDescent="0.25">
      <c r="A9755" t="s">
        <v>16</v>
      </c>
      <c r="B9755" t="s">
        <v>3221</v>
      </c>
      <c r="C9755">
        <v>5134</v>
      </c>
      <c r="D9755" t="s">
        <v>3654</v>
      </c>
      <c r="E9755" t="s">
        <v>700</v>
      </c>
      <c r="F9755">
        <v>6.69</v>
      </c>
      <c r="G9755">
        <v>230331</v>
      </c>
      <c r="H9755">
        <v>4347</v>
      </c>
      <c r="I9755" t="s">
        <v>193</v>
      </c>
      <c r="J9755">
        <v>8.2899999999999991</v>
      </c>
      <c r="K9755">
        <v>1.6</v>
      </c>
      <c r="L9755">
        <v>53222</v>
      </c>
      <c r="M9755" t="s">
        <v>445</v>
      </c>
      <c r="N9755" t="str">
        <f>"2122029536  "</f>
        <v xml:space="preserve">2122029536  </v>
      </c>
      <c r="O9755">
        <v>230418</v>
      </c>
    </row>
    <row r="9756" spans="1:15" x14ac:dyDescent="0.25">
      <c r="A9756" t="s">
        <v>16</v>
      </c>
      <c r="B9756" t="s">
        <v>3221</v>
      </c>
      <c r="C9756">
        <v>5134</v>
      </c>
      <c r="D9756" t="s">
        <v>3654</v>
      </c>
      <c r="E9756" t="s">
        <v>700</v>
      </c>
      <c r="F9756">
        <v>37.869999999999997</v>
      </c>
      <c r="G9756">
        <v>230331</v>
      </c>
      <c r="H9756">
        <v>4347</v>
      </c>
      <c r="I9756" t="s">
        <v>193</v>
      </c>
      <c r="J9756">
        <v>46.96</v>
      </c>
      <c r="K9756">
        <v>9.09</v>
      </c>
      <c r="L9756">
        <v>53222</v>
      </c>
      <c r="M9756" t="s">
        <v>445</v>
      </c>
      <c r="N9756" t="str">
        <f>"2122029536  "</f>
        <v xml:space="preserve">2122029536  </v>
      </c>
      <c r="O9756">
        <v>230418</v>
      </c>
    </row>
    <row r="9757" spans="1:15" x14ac:dyDescent="0.25">
      <c r="A9757" t="s">
        <v>16</v>
      </c>
      <c r="B9757" t="s">
        <v>3221</v>
      </c>
      <c r="C9757">
        <v>5135</v>
      </c>
      <c r="D9757" t="s">
        <v>3654</v>
      </c>
      <c r="E9757" t="s">
        <v>700</v>
      </c>
      <c r="F9757">
        <v>50.86</v>
      </c>
      <c r="G9757">
        <v>230331</v>
      </c>
      <c r="H9757">
        <v>4347</v>
      </c>
      <c r="I9757" t="s">
        <v>193</v>
      </c>
      <c r="J9757">
        <v>63.07</v>
      </c>
      <c r="K9757">
        <v>12.21</v>
      </c>
      <c r="L9757">
        <v>56566</v>
      </c>
      <c r="M9757" t="s">
        <v>652</v>
      </c>
      <c r="N9757" t="str">
        <f>"2122029533  "</f>
        <v xml:space="preserve">2122029533  </v>
      </c>
      <c r="O9757">
        <v>230418</v>
      </c>
    </row>
    <row r="9758" spans="1:15" x14ac:dyDescent="0.25">
      <c r="A9758" t="s">
        <v>16</v>
      </c>
      <c r="B9758" t="s">
        <v>3221</v>
      </c>
      <c r="C9758">
        <v>5136</v>
      </c>
      <c r="D9758" t="s">
        <v>3654</v>
      </c>
      <c r="E9758" t="s">
        <v>700</v>
      </c>
      <c r="F9758">
        <v>52.35</v>
      </c>
      <c r="G9758">
        <v>230331</v>
      </c>
      <c r="H9758">
        <v>4347</v>
      </c>
      <c r="I9758" t="s">
        <v>193</v>
      </c>
      <c r="J9758">
        <v>64.91</v>
      </c>
      <c r="K9758">
        <v>12.56</v>
      </c>
      <c r="L9758">
        <v>59701</v>
      </c>
      <c r="M9758" t="s">
        <v>297</v>
      </c>
      <c r="N9758" t="str">
        <f>"2122027862  "</f>
        <v xml:space="preserve">2122027862  </v>
      </c>
      <c r="O9758">
        <v>230418</v>
      </c>
    </row>
    <row r="9759" spans="1:15" x14ac:dyDescent="0.25">
      <c r="A9759" t="s">
        <v>16</v>
      </c>
      <c r="B9759" t="s">
        <v>3221</v>
      </c>
      <c r="C9759">
        <v>5138</v>
      </c>
      <c r="D9759" t="s">
        <v>3654</v>
      </c>
      <c r="E9759" t="s">
        <v>700</v>
      </c>
      <c r="F9759">
        <v>64.47</v>
      </c>
      <c r="G9759">
        <v>230331</v>
      </c>
      <c r="H9759">
        <v>4347</v>
      </c>
      <c r="I9759" t="s">
        <v>193</v>
      </c>
      <c r="J9759">
        <v>79.94</v>
      </c>
      <c r="K9759">
        <v>15.47</v>
      </c>
      <c r="L9759">
        <v>54422</v>
      </c>
      <c r="M9759" t="s">
        <v>234</v>
      </c>
      <c r="N9759" t="str">
        <f>"2122029531  "</f>
        <v xml:space="preserve">2122029531  </v>
      </c>
      <c r="O9759">
        <v>230418</v>
      </c>
    </row>
    <row r="9760" spans="1:15" x14ac:dyDescent="0.25">
      <c r="A9760" t="s">
        <v>16</v>
      </c>
      <c r="B9760" t="s">
        <v>3221</v>
      </c>
      <c r="C9760">
        <v>5138</v>
      </c>
      <c r="D9760" t="s">
        <v>3654</v>
      </c>
      <c r="E9760" t="s">
        <v>700</v>
      </c>
      <c r="F9760">
        <v>64.48</v>
      </c>
      <c r="G9760">
        <v>230331</v>
      </c>
      <c r="H9760">
        <v>4347</v>
      </c>
      <c r="I9760" t="s">
        <v>193</v>
      </c>
      <c r="J9760">
        <v>79.95</v>
      </c>
      <c r="K9760">
        <v>15.47</v>
      </c>
      <c r="L9760">
        <v>56563</v>
      </c>
      <c r="M9760" t="s">
        <v>953</v>
      </c>
      <c r="N9760" t="str">
        <f>"2122029531  "</f>
        <v xml:space="preserve">2122029531  </v>
      </c>
      <c r="O9760">
        <v>230418</v>
      </c>
    </row>
    <row r="9761" spans="1:15" x14ac:dyDescent="0.25">
      <c r="A9761" t="s">
        <v>16</v>
      </c>
      <c r="B9761" t="s">
        <v>3221</v>
      </c>
      <c r="C9761">
        <v>5139</v>
      </c>
      <c r="D9761" t="s">
        <v>3654</v>
      </c>
      <c r="E9761" t="s">
        <v>700</v>
      </c>
      <c r="F9761">
        <v>30.98</v>
      </c>
      <c r="G9761">
        <v>230331</v>
      </c>
      <c r="H9761">
        <v>4347</v>
      </c>
      <c r="I9761" t="s">
        <v>193</v>
      </c>
      <c r="J9761">
        <v>38.42</v>
      </c>
      <c r="K9761">
        <v>7.44</v>
      </c>
      <c r="L9761">
        <v>56560</v>
      </c>
      <c r="M9761" t="s">
        <v>654</v>
      </c>
      <c r="N9761" t="str">
        <f>"2122027863  "</f>
        <v xml:space="preserve">2122027863  </v>
      </c>
      <c r="O9761">
        <v>230418</v>
      </c>
    </row>
    <row r="9762" spans="1:15" x14ac:dyDescent="0.25">
      <c r="A9762" t="s">
        <v>16</v>
      </c>
      <c r="B9762" t="s">
        <v>3221</v>
      </c>
      <c r="C9762">
        <v>5140</v>
      </c>
      <c r="D9762" t="s">
        <v>3654</v>
      </c>
      <c r="E9762" t="s">
        <v>700</v>
      </c>
      <c r="F9762">
        <v>49.38</v>
      </c>
      <c r="G9762">
        <v>230331</v>
      </c>
      <c r="H9762">
        <v>4347</v>
      </c>
      <c r="I9762" t="s">
        <v>193</v>
      </c>
      <c r="J9762">
        <v>61.23</v>
      </c>
      <c r="K9762">
        <v>11.85</v>
      </c>
      <c r="L9762">
        <v>54222</v>
      </c>
      <c r="M9762" t="s">
        <v>308</v>
      </c>
      <c r="N9762" t="str">
        <f>"2122027814  "</f>
        <v xml:space="preserve">2122027814  </v>
      </c>
      <c r="O9762">
        <v>230418</v>
      </c>
    </row>
    <row r="9763" spans="1:15" x14ac:dyDescent="0.25">
      <c r="A9763" t="s">
        <v>16</v>
      </c>
      <c r="B9763" t="s">
        <v>3221</v>
      </c>
      <c r="C9763">
        <v>5839</v>
      </c>
      <c r="D9763" t="s">
        <v>3654</v>
      </c>
      <c r="E9763" t="s">
        <v>700</v>
      </c>
      <c r="F9763">
        <v>5.88</v>
      </c>
      <c r="G9763">
        <v>230427</v>
      </c>
      <c r="H9763">
        <v>4347</v>
      </c>
      <c r="I9763" t="s">
        <v>193</v>
      </c>
      <c r="J9763">
        <v>7.29</v>
      </c>
      <c r="K9763">
        <v>1.41</v>
      </c>
      <c r="L9763">
        <v>17803</v>
      </c>
      <c r="M9763" t="s">
        <v>389</v>
      </c>
      <c r="N9763" t="str">
        <f>"2123001270  "</f>
        <v xml:space="preserve">2123001270  </v>
      </c>
      <c r="O9763">
        <v>230503</v>
      </c>
    </row>
    <row r="9764" spans="1:15" x14ac:dyDescent="0.25">
      <c r="A9764" t="s">
        <v>16</v>
      </c>
      <c r="B9764" t="s">
        <v>3221</v>
      </c>
      <c r="C9764">
        <v>5841</v>
      </c>
      <c r="D9764" t="s">
        <v>3654</v>
      </c>
      <c r="E9764" t="s">
        <v>700</v>
      </c>
      <c r="F9764">
        <v>11.12</v>
      </c>
      <c r="G9764">
        <v>230427</v>
      </c>
      <c r="H9764">
        <v>4347</v>
      </c>
      <c r="I9764" t="s">
        <v>193</v>
      </c>
      <c r="J9764">
        <v>13.79</v>
      </c>
      <c r="K9764">
        <v>2.67</v>
      </c>
      <c r="L9764">
        <v>17805</v>
      </c>
      <c r="M9764" t="s">
        <v>102</v>
      </c>
      <c r="N9764" t="str">
        <f>"2123001267  "</f>
        <v xml:space="preserve">2123001267  </v>
      </c>
      <c r="O9764">
        <v>230503</v>
      </c>
    </row>
    <row r="9765" spans="1:15" x14ac:dyDescent="0.25">
      <c r="A9765" t="s">
        <v>16</v>
      </c>
      <c r="B9765" t="s">
        <v>3221</v>
      </c>
      <c r="C9765">
        <v>5844</v>
      </c>
      <c r="D9765" t="s">
        <v>3654</v>
      </c>
      <c r="E9765" t="s">
        <v>700</v>
      </c>
      <c r="F9765">
        <v>10.87</v>
      </c>
      <c r="G9765">
        <v>230427</v>
      </c>
      <c r="H9765">
        <v>4347</v>
      </c>
      <c r="I9765" t="s">
        <v>193</v>
      </c>
      <c r="J9765">
        <v>13.48</v>
      </c>
      <c r="K9765">
        <v>2.61</v>
      </c>
      <c r="L9765">
        <v>17802</v>
      </c>
      <c r="M9765" t="s">
        <v>174</v>
      </c>
      <c r="N9765" t="str">
        <f>"2123001269  "</f>
        <v xml:space="preserve">2123001269  </v>
      </c>
      <c r="O9765">
        <v>230503</v>
      </c>
    </row>
    <row r="9766" spans="1:15" x14ac:dyDescent="0.25">
      <c r="A9766" t="s">
        <v>16</v>
      </c>
      <c r="B9766" t="s">
        <v>3221</v>
      </c>
      <c r="C9766">
        <v>5850</v>
      </c>
      <c r="D9766" t="s">
        <v>3654</v>
      </c>
      <c r="E9766" t="s">
        <v>700</v>
      </c>
      <c r="F9766">
        <v>25.94</v>
      </c>
      <c r="G9766">
        <v>230427</v>
      </c>
      <c r="H9766">
        <v>4347</v>
      </c>
      <c r="I9766" t="s">
        <v>193</v>
      </c>
      <c r="J9766">
        <v>32.17</v>
      </c>
      <c r="K9766">
        <v>6.23</v>
      </c>
      <c r="L9766">
        <v>16321</v>
      </c>
      <c r="M9766" t="s">
        <v>423</v>
      </c>
      <c r="N9766" t="str">
        <f>"2123001264  "</f>
        <v xml:space="preserve">2123001264  </v>
      </c>
      <c r="O9766">
        <v>230503</v>
      </c>
    </row>
    <row r="9767" spans="1:15" x14ac:dyDescent="0.25">
      <c r="A9767" t="s">
        <v>16</v>
      </c>
      <c r="B9767" t="s">
        <v>3221</v>
      </c>
      <c r="C9767">
        <v>5852</v>
      </c>
      <c r="D9767" t="s">
        <v>3654</v>
      </c>
      <c r="E9767" t="s">
        <v>700</v>
      </c>
      <c r="F9767">
        <v>6.64</v>
      </c>
      <c r="G9767">
        <v>230427</v>
      </c>
      <c r="H9767">
        <v>4347</v>
      </c>
      <c r="I9767" t="s">
        <v>193</v>
      </c>
      <c r="J9767">
        <v>8.23</v>
      </c>
      <c r="K9767">
        <v>1.59</v>
      </c>
      <c r="L9767">
        <v>17807</v>
      </c>
      <c r="M9767" t="s">
        <v>318</v>
      </c>
      <c r="N9767" t="str">
        <f>"2123001266  "</f>
        <v xml:space="preserve">2123001266  </v>
      </c>
      <c r="O9767">
        <v>230503</v>
      </c>
    </row>
    <row r="9768" spans="1:15" x14ac:dyDescent="0.25">
      <c r="A9768" t="s">
        <v>16</v>
      </c>
      <c r="B9768" t="s">
        <v>3221</v>
      </c>
      <c r="C9768">
        <v>5855</v>
      </c>
      <c r="D9768" t="s">
        <v>3654</v>
      </c>
      <c r="E9768" t="s">
        <v>700</v>
      </c>
      <c r="F9768">
        <v>10.35</v>
      </c>
      <c r="G9768">
        <v>230427</v>
      </c>
      <c r="H9768">
        <v>4347</v>
      </c>
      <c r="I9768" t="s">
        <v>193</v>
      </c>
      <c r="J9768">
        <v>12.83</v>
      </c>
      <c r="K9768">
        <v>2.48</v>
      </c>
      <c r="L9768">
        <v>16431</v>
      </c>
      <c r="M9768" t="s">
        <v>231</v>
      </c>
      <c r="N9768" t="str">
        <f>"2123001268  "</f>
        <v xml:space="preserve">2123001268  </v>
      </c>
      <c r="O9768">
        <v>230503</v>
      </c>
    </row>
    <row r="9769" spans="1:15" x14ac:dyDescent="0.25">
      <c r="A9769" t="s">
        <v>16</v>
      </c>
      <c r="B9769" t="s">
        <v>3221</v>
      </c>
      <c r="C9769">
        <v>5859</v>
      </c>
      <c r="D9769" t="s">
        <v>3654</v>
      </c>
      <c r="E9769" t="s">
        <v>700</v>
      </c>
      <c r="F9769">
        <v>6.85</v>
      </c>
      <c r="G9769">
        <v>230427</v>
      </c>
      <c r="H9769">
        <v>4347</v>
      </c>
      <c r="I9769" t="s">
        <v>193</v>
      </c>
      <c r="J9769">
        <v>8.5</v>
      </c>
      <c r="K9769">
        <v>1.65</v>
      </c>
      <c r="L9769">
        <v>14121</v>
      </c>
      <c r="M9769" t="s">
        <v>880</v>
      </c>
      <c r="N9769" t="str">
        <f t="shared" ref="N9769:N9776" si="170">"2123000584  "</f>
        <v xml:space="preserve">2123000584  </v>
      </c>
      <c r="O9769">
        <v>230503</v>
      </c>
    </row>
    <row r="9770" spans="1:15" x14ac:dyDescent="0.25">
      <c r="A9770" t="s">
        <v>16</v>
      </c>
      <c r="B9770" t="s">
        <v>3221</v>
      </c>
      <c r="C9770">
        <v>5859</v>
      </c>
      <c r="D9770" t="s">
        <v>3654</v>
      </c>
      <c r="E9770" t="s">
        <v>700</v>
      </c>
      <c r="F9770">
        <v>4.05</v>
      </c>
      <c r="G9770">
        <v>230427</v>
      </c>
      <c r="H9770">
        <v>4347</v>
      </c>
      <c r="I9770" t="s">
        <v>193</v>
      </c>
      <c r="J9770">
        <v>5.0199999999999996</v>
      </c>
      <c r="K9770">
        <v>0.97</v>
      </c>
      <c r="L9770">
        <v>14321</v>
      </c>
      <c r="M9770" t="s">
        <v>717</v>
      </c>
      <c r="N9770" t="str">
        <f t="shared" si="170"/>
        <v xml:space="preserve">2123000584  </v>
      </c>
      <c r="O9770">
        <v>230503</v>
      </c>
    </row>
    <row r="9771" spans="1:15" x14ac:dyDescent="0.25">
      <c r="A9771" t="s">
        <v>16</v>
      </c>
      <c r="B9771" t="s">
        <v>3221</v>
      </c>
      <c r="C9771">
        <v>5859</v>
      </c>
      <c r="D9771" t="s">
        <v>3654</v>
      </c>
      <c r="E9771" t="s">
        <v>700</v>
      </c>
      <c r="F9771">
        <v>2.81</v>
      </c>
      <c r="G9771">
        <v>230427</v>
      </c>
      <c r="H9771">
        <v>4347</v>
      </c>
      <c r="I9771" t="s">
        <v>193</v>
      </c>
      <c r="J9771">
        <v>3.48</v>
      </c>
      <c r="K9771">
        <v>0.67</v>
      </c>
      <c r="L9771">
        <v>14422</v>
      </c>
      <c r="M9771" t="s">
        <v>228</v>
      </c>
      <c r="N9771" t="str">
        <f t="shared" si="170"/>
        <v xml:space="preserve">2123000584  </v>
      </c>
      <c r="O9771">
        <v>230503</v>
      </c>
    </row>
    <row r="9772" spans="1:15" x14ac:dyDescent="0.25">
      <c r="A9772" t="s">
        <v>16</v>
      </c>
      <c r="B9772" t="s">
        <v>3221</v>
      </c>
      <c r="C9772">
        <v>5859</v>
      </c>
      <c r="D9772" t="s">
        <v>3654</v>
      </c>
      <c r="E9772" t="s">
        <v>700</v>
      </c>
      <c r="F9772">
        <v>2.81</v>
      </c>
      <c r="G9772">
        <v>230427</v>
      </c>
      <c r="H9772">
        <v>4347</v>
      </c>
      <c r="I9772" t="s">
        <v>193</v>
      </c>
      <c r="J9772">
        <v>3.48</v>
      </c>
      <c r="K9772">
        <v>0.67</v>
      </c>
      <c r="L9772">
        <v>14541</v>
      </c>
      <c r="M9772" t="s">
        <v>626</v>
      </c>
      <c r="N9772" t="str">
        <f t="shared" si="170"/>
        <v xml:space="preserve">2123000584  </v>
      </c>
      <c r="O9772">
        <v>230503</v>
      </c>
    </row>
    <row r="9773" spans="1:15" x14ac:dyDescent="0.25">
      <c r="A9773" t="s">
        <v>16</v>
      </c>
      <c r="B9773" t="s">
        <v>3221</v>
      </c>
      <c r="C9773">
        <v>5859</v>
      </c>
      <c r="D9773" t="s">
        <v>3654</v>
      </c>
      <c r="E9773" t="s">
        <v>700</v>
      </c>
      <c r="F9773">
        <v>9.9700000000000006</v>
      </c>
      <c r="G9773">
        <v>230427</v>
      </c>
      <c r="H9773">
        <v>4347</v>
      </c>
      <c r="I9773" t="s">
        <v>193</v>
      </c>
      <c r="J9773">
        <v>12.36</v>
      </c>
      <c r="K9773">
        <v>2.39</v>
      </c>
      <c r="L9773">
        <v>14622</v>
      </c>
      <c r="M9773" t="s">
        <v>1005</v>
      </c>
      <c r="N9773" t="str">
        <f t="shared" si="170"/>
        <v xml:space="preserve">2123000584  </v>
      </c>
      <c r="O9773">
        <v>230503</v>
      </c>
    </row>
    <row r="9774" spans="1:15" x14ac:dyDescent="0.25">
      <c r="A9774" t="s">
        <v>16</v>
      </c>
      <c r="B9774" t="s">
        <v>3221</v>
      </c>
      <c r="C9774">
        <v>5859</v>
      </c>
      <c r="D9774" t="s">
        <v>3654</v>
      </c>
      <c r="E9774" t="s">
        <v>700</v>
      </c>
      <c r="F9774">
        <v>2.4900000000000002</v>
      </c>
      <c r="G9774">
        <v>230427</v>
      </c>
      <c r="H9774">
        <v>4347</v>
      </c>
      <c r="I9774" t="s">
        <v>193</v>
      </c>
      <c r="J9774">
        <v>3.09</v>
      </c>
      <c r="K9774">
        <v>0.6</v>
      </c>
      <c r="L9774">
        <v>14640</v>
      </c>
      <c r="M9774" t="s">
        <v>229</v>
      </c>
      <c r="N9774" t="str">
        <f t="shared" si="170"/>
        <v xml:space="preserve">2123000584  </v>
      </c>
      <c r="O9774">
        <v>230503</v>
      </c>
    </row>
    <row r="9775" spans="1:15" x14ac:dyDescent="0.25">
      <c r="A9775" t="s">
        <v>16</v>
      </c>
      <c r="B9775" t="s">
        <v>3221</v>
      </c>
      <c r="C9775">
        <v>5859</v>
      </c>
      <c r="D9775" t="s">
        <v>3654</v>
      </c>
      <c r="E9775" t="s">
        <v>700</v>
      </c>
      <c r="F9775">
        <v>2.1800000000000002</v>
      </c>
      <c r="G9775">
        <v>230427</v>
      </c>
      <c r="H9775">
        <v>4347</v>
      </c>
      <c r="I9775" t="s">
        <v>193</v>
      </c>
      <c r="J9775">
        <v>2.7</v>
      </c>
      <c r="K9775">
        <v>0.52</v>
      </c>
      <c r="L9775">
        <v>14861</v>
      </c>
      <c r="M9775" t="s">
        <v>785</v>
      </c>
      <c r="N9775" t="str">
        <f t="shared" si="170"/>
        <v xml:space="preserve">2123000584  </v>
      </c>
      <c r="O9775">
        <v>230503</v>
      </c>
    </row>
    <row r="9776" spans="1:15" x14ac:dyDescent="0.25">
      <c r="A9776" t="s">
        <v>16</v>
      </c>
      <c r="B9776" t="s">
        <v>3221</v>
      </c>
      <c r="C9776">
        <v>5859</v>
      </c>
      <c r="D9776" t="s">
        <v>3654</v>
      </c>
      <c r="E9776" t="s">
        <v>700</v>
      </c>
      <c r="F9776">
        <v>3.47</v>
      </c>
      <c r="G9776">
        <v>230427</v>
      </c>
      <c r="H9776">
        <v>4347</v>
      </c>
      <c r="I9776" t="s">
        <v>193</v>
      </c>
      <c r="J9776">
        <v>4.3</v>
      </c>
      <c r="K9776">
        <v>0.83</v>
      </c>
      <c r="L9776">
        <v>14972</v>
      </c>
      <c r="M9776" t="s">
        <v>898</v>
      </c>
      <c r="N9776" t="str">
        <f t="shared" si="170"/>
        <v xml:space="preserve">2123000584  </v>
      </c>
      <c r="O9776">
        <v>230503</v>
      </c>
    </row>
    <row r="9777" spans="1:15" x14ac:dyDescent="0.25">
      <c r="A9777" t="s">
        <v>16</v>
      </c>
      <c r="B9777" t="s">
        <v>3221</v>
      </c>
      <c r="C9777">
        <v>5860</v>
      </c>
      <c r="D9777" t="s">
        <v>3654</v>
      </c>
      <c r="E9777" t="s">
        <v>700</v>
      </c>
      <c r="F9777">
        <v>32.299999999999997</v>
      </c>
      <c r="G9777">
        <v>230427</v>
      </c>
      <c r="H9777">
        <v>4347</v>
      </c>
      <c r="I9777" t="s">
        <v>193</v>
      </c>
      <c r="J9777">
        <v>40.049999999999997</v>
      </c>
      <c r="K9777">
        <v>7.75</v>
      </c>
      <c r="L9777">
        <v>16431</v>
      </c>
      <c r="M9777" t="s">
        <v>231</v>
      </c>
      <c r="N9777" t="str">
        <f>"2123001271  "</f>
        <v xml:space="preserve">2123001271  </v>
      </c>
      <c r="O9777">
        <v>230503</v>
      </c>
    </row>
    <row r="9778" spans="1:15" x14ac:dyDescent="0.25">
      <c r="A9778" t="s">
        <v>16</v>
      </c>
      <c r="B9778" t="s">
        <v>3221</v>
      </c>
      <c r="C9778">
        <v>5862</v>
      </c>
      <c r="D9778" t="s">
        <v>3654</v>
      </c>
      <c r="E9778" t="s">
        <v>700</v>
      </c>
      <c r="F9778">
        <v>23.19</v>
      </c>
      <c r="G9778">
        <v>230427</v>
      </c>
      <c r="H9778">
        <v>4347</v>
      </c>
      <c r="I9778" t="s">
        <v>193</v>
      </c>
      <c r="J9778">
        <v>28.75</v>
      </c>
      <c r="K9778">
        <v>5.56</v>
      </c>
      <c r="L9778">
        <v>14121</v>
      </c>
      <c r="M9778" t="s">
        <v>880</v>
      </c>
      <c r="N9778" t="str">
        <f t="shared" ref="N9778:N9785" si="171">"2123000583  "</f>
        <v xml:space="preserve">2123000583  </v>
      </c>
      <c r="O9778">
        <v>230503</v>
      </c>
    </row>
    <row r="9779" spans="1:15" x14ac:dyDescent="0.25">
      <c r="A9779" t="s">
        <v>16</v>
      </c>
      <c r="B9779" t="s">
        <v>3221</v>
      </c>
      <c r="C9779">
        <v>5862</v>
      </c>
      <c r="D9779" t="s">
        <v>3654</v>
      </c>
      <c r="E9779" t="s">
        <v>700</v>
      </c>
      <c r="F9779">
        <v>13.7</v>
      </c>
      <c r="G9779">
        <v>230427</v>
      </c>
      <c r="H9779">
        <v>4347</v>
      </c>
      <c r="I9779" t="s">
        <v>193</v>
      </c>
      <c r="J9779">
        <v>16.989999999999998</v>
      </c>
      <c r="K9779">
        <v>3.29</v>
      </c>
      <c r="L9779">
        <v>14321</v>
      </c>
      <c r="M9779" t="s">
        <v>717</v>
      </c>
      <c r="N9779" t="str">
        <f t="shared" si="171"/>
        <v xml:space="preserve">2123000583  </v>
      </c>
      <c r="O9779">
        <v>230503</v>
      </c>
    </row>
    <row r="9780" spans="1:15" x14ac:dyDescent="0.25">
      <c r="A9780" t="s">
        <v>16</v>
      </c>
      <c r="B9780" t="s">
        <v>3221</v>
      </c>
      <c r="C9780">
        <v>5862</v>
      </c>
      <c r="D9780" t="s">
        <v>3654</v>
      </c>
      <c r="E9780" t="s">
        <v>700</v>
      </c>
      <c r="F9780">
        <v>9.48</v>
      </c>
      <c r="G9780">
        <v>230427</v>
      </c>
      <c r="H9780">
        <v>4347</v>
      </c>
      <c r="I9780" t="s">
        <v>193</v>
      </c>
      <c r="J9780">
        <v>11.76</v>
      </c>
      <c r="K9780">
        <v>2.2799999999999998</v>
      </c>
      <c r="L9780">
        <v>14422</v>
      </c>
      <c r="M9780" t="s">
        <v>228</v>
      </c>
      <c r="N9780" t="str">
        <f t="shared" si="171"/>
        <v xml:space="preserve">2123000583  </v>
      </c>
      <c r="O9780">
        <v>230503</v>
      </c>
    </row>
    <row r="9781" spans="1:15" x14ac:dyDescent="0.25">
      <c r="A9781" t="s">
        <v>16</v>
      </c>
      <c r="B9781" t="s">
        <v>3221</v>
      </c>
      <c r="C9781">
        <v>5862</v>
      </c>
      <c r="D9781" t="s">
        <v>3654</v>
      </c>
      <c r="E9781" t="s">
        <v>700</v>
      </c>
      <c r="F9781">
        <v>9.48</v>
      </c>
      <c r="G9781">
        <v>230427</v>
      </c>
      <c r="H9781">
        <v>4347</v>
      </c>
      <c r="I9781" t="s">
        <v>193</v>
      </c>
      <c r="J9781">
        <v>11.76</v>
      </c>
      <c r="K9781">
        <v>2.2799999999999998</v>
      </c>
      <c r="L9781">
        <v>14541</v>
      </c>
      <c r="M9781" t="s">
        <v>626</v>
      </c>
      <c r="N9781" t="str">
        <f t="shared" si="171"/>
        <v xml:space="preserve">2123000583  </v>
      </c>
      <c r="O9781">
        <v>230503</v>
      </c>
    </row>
    <row r="9782" spans="1:15" x14ac:dyDescent="0.25">
      <c r="A9782" t="s">
        <v>16</v>
      </c>
      <c r="B9782" t="s">
        <v>3221</v>
      </c>
      <c r="C9782">
        <v>5862</v>
      </c>
      <c r="D9782" t="s">
        <v>3654</v>
      </c>
      <c r="E9782" t="s">
        <v>700</v>
      </c>
      <c r="F9782">
        <v>33.729999999999997</v>
      </c>
      <c r="G9782">
        <v>230427</v>
      </c>
      <c r="H9782">
        <v>4347</v>
      </c>
      <c r="I9782" t="s">
        <v>193</v>
      </c>
      <c r="J9782">
        <v>41.82</v>
      </c>
      <c r="K9782">
        <v>8.09</v>
      </c>
      <c r="L9782">
        <v>14622</v>
      </c>
      <c r="M9782" t="s">
        <v>1005</v>
      </c>
      <c r="N9782" t="str">
        <f t="shared" si="171"/>
        <v xml:space="preserve">2123000583  </v>
      </c>
      <c r="O9782">
        <v>230503</v>
      </c>
    </row>
    <row r="9783" spans="1:15" x14ac:dyDescent="0.25">
      <c r="A9783" t="s">
        <v>16</v>
      </c>
      <c r="B9783" t="s">
        <v>3221</v>
      </c>
      <c r="C9783">
        <v>5862</v>
      </c>
      <c r="D9783" t="s">
        <v>3654</v>
      </c>
      <c r="E9783" t="s">
        <v>700</v>
      </c>
      <c r="F9783">
        <v>8.44</v>
      </c>
      <c r="G9783">
        <v>230427</v>
      </c>
      <c r="H9783">
        <v>4347</v>
      </c>
      <c r="I9783" t="s">
        <v>193</v>
      </c>
      <c r="J9783">
        <v>10.46</v>
      </c>
      <c r="K9783">
        <v>2.02</v>
      </c>
      <c r="L9783">
        <v>14640</v>
      </c>
      <c r="M9783" t="s">
        <v>229</v>
      </c>
      <c r="N9783" t="str">
        <f t="shared" si="171"/>
        <v xml:space="preserve">2123000583  </v>
      </c>
      <c r="O9783">
        <v>230503</v>
      </c>
    </row>
    <row r="9784" spans="1:15" x14ac:dyDescent="0.25">
      <c r="A9784" t="s">
        <v>16</v>
      </c>
      <c r="B9784" t="s">
        <v>3221</v>
      </c>
      <c r="C9784">
        <v>5862</v>
      </c>
      <c r="D9784" t="s">
        <v>3654</v>
      </c>
      <c r="E9784" t="s">
        <v>700</v>
      </c>
      <c r="F9784">
        <v>7.38</v>
      </c>
      <c r="G9784">
        <v>230427</v>
      </c>
      <c r="H9784">
        <v>4347</v>
      </c>
      <c r="I9784" t="s">
        <v>193</v>
      </c>
      <c r="J9784">
        <v>9.15</v>
      </c>
      <c r="K9784">
        <v>1.77</v>
      </c>
      <c r="L9784">
        <v>14861</v>
      </c>
      <c r="M9784" t="s">
        <v>785</v>
      </c>
      <c r="N9784" t="str">
        <f t="shared" si="171"/>
        <v xml:space="preserve">2123000583  </v>
      </c>
      <c r="O9784">
        <v>230503</v>
      </c>
    </row>
    <row r="9785" spans="1:15" x14ac:dyDescent="0.25">
      <c r="A9785" t="s">
        <v>16</v>
      </c>
      <c r="B9785" t="s">
        <v>3221</v>
      </c>
      <c r="C9785">
        <v>5862</v>
      </c>
      <c r="D9785" t="s">
        <v>3654</v>
      </c>
      <c r="E9785" t="s">
        <v>700</v>
      </c>
      <c r="F9785">
        <v>11.72</v>
      </c>
      <c r="G9785">
        <v>230427</v>
      </c>
      <c r="H9785">
        <v>4347</v>
      </c>
      <c r="I9785" t="s">
        <v>193</v>
      </c>
      <c r="J9785">
        <v>14.53</v>
      </c>
      <c r="K9785">
        <v>2.81</v>
      </c>
      <c r="L9785">
        <v>14972</v>
      </c>
      <c r="M9785" t="s">
        <v>898</v>
      </c>
      <c r="N9785" t="str">
        <f t="shared" si="171"/>
        <v xml:space="preserve">2123000583  </v>
      </c>
      <c r="O9785">
        <v>230503</v>
      </c>
    </row>
    <row r="9786" spans="1:15" x14ac:dyDescent="0.25">
      <c r="A9786" t="s">
        <v>16</v>
      </c>
      <c r="B9786" t="s">
        <v>3221</v>
      </c>
      <c r="C9786">
        <v>5954</v>
      </c>
      <c r="D9786" t="s">
        <v>3654</v>
      </c>
      <c r="E9786" t="s">
        <v>700</v>
      </c>
      <c r="F9786">
        <v>6.98</v>
      </c>
      <c r="G9786">
        <v>230427</v>
      </c>
      <c r="H9786">
        <v>4347</v>
      </c>
      <c r="I9786" t="s">
        <v>193</v>
      </c>
      <c r="J9786">
        <v>8.66</v>
      </c>
      <c r="K9786">
        <v>1.68</v>
      </c>
      <c r="L9786">
        <v>17131</v>
      </c>
      <c r="M9786" t="s">
        <v>64</v>
      </c>
      <c r="N9786" t="str">
        <f>"2123001265  "</f>
        <v xml:space="preserve">2123001265  </v>
      </c>
      <c r="O9786">
        <v>230504</v>
      </c>
    </row>
    <row r="9787" spans="1:15" x14ac:dyDescent="0.25">
      <c r="A9787" t="s">
        <v>16</v>
      </c>
      <c r="B9787" t="s">
        <v>3221</v>
      </c>
      <c r="C9787">
        <v>5954</v>
      </c>
      <c r="D9787" t="s">
        <v>3654</v>
      </c>
      <c r="E9787" t="s">
        <v>700</v>
      </c>
      <c r="F9787">
        <v>6.98</v>
      </c>
      <c r="G9787">
        <v>230427</v>
      </c>
      <c r="H9787">
        <v>4347</v>
      </c>
      <c r="I9787" t="s">
        <v>193</v>
      </c>
      <c r="J9787">
        <v>8.66</v>
      </c>
      <c r="K9787">
        <v>1.68</v>
      </c>
      <c r="L9787">
        <v>17711</v>
      </c>
      <c r="M9787" t="s">
        <v>65</v>
      </c>
      <c r="N9787" t="str">
        <f>"2123001265  "</f>
        <v xml:space="preserve">2123001265  </v>
      </c>
      <c r="O9787">
        <v>230504</v>
      </c>
    </row>
    <row r="9788" spans="1:15" x14ac:dyDescent="0.25">
      <c r="A9788" t="s">
        <v>16</v>
      </c>
      <c r="B9788" t="s">
        <v>3221</v>
      </c>
      <c r="C9788">
        <v>7283</v>
      </c>
      <c r="D9788" t="s">
        <v>3654</v>
      </c>
      <c r="E9788" t="s">
        <v>700</v>
      </c>
      <c r="F9788">
        <v>46.75</v>
      </c>
      <c r="G9788">
        <v>230525</v>
      </c>
      <c r="H9788">
        <v>4347</v>
      </c>
      <c r="I9788" t="s">
        <v>193</v>
      </c>
      <c r="J9788">
        <v>57.97</v>
      </c>
      <c r="K9788">
        <v>11.22</v>
      </c>
      <c r="L9788">
        <v>17808</v>
      </c>
      <c r="M9788" t="s">
        <v>322</v>
      </c>
      <c r="N9788" t="str">
        <f>"2123003082  "</f>
        <v xml:space="preserve">2123003082  </v>
      </c>
      <c r="O9788">
        <v>230526</v>
      </c>
    </row>
    <row r="9789" spans="1:15" x14ac:dyDescent="0.25">
      <c r="A9789" t="s">
        <v>16</v>
      </c>
      <c r="B9789" t="s">
        <v>3221</v>
      </c>
      <c r="C9789">
        <v>7284</v>
      </c>
      <c r="D9789" t="s">
        <v>3654</v>
      </c>
      <c r="E9789" t="s">
        <v>700</v>
      </c>
      <c r="F9789">
        <v>10.63</v>
      </c>
      <c r="G9789">
        <v>230525</v>
      </c>
      <c r="H9789">
        <v>4347</v>
      </c>
      <c r="I9789" t="s">
        <v>193</v>
      </c>
      <c r="J9789">
        <v>13.18</v>
      </c>
      <c r="K9789">
        <v>2.5499999999999998</v>
      </c>
      <c r="L9789">
        <v>59702</v>
      </c>
      <c r="M9789" t="s">
        <v>328</v>
      </c>
      <c r="N9789" t="str">
        <f>"2123002544  "</f>
        <v xml:space="preserve">2123002544  </v>
      </c>
      <c r="O9789">
        <v>230526</v>
      </c>
    </row>
    <row r="9790" spans="1:15" x14ac:dyDescent="0.25">
      <c r="A9790" t="s">
        <v>16</v>
      </c>
      <c r="B9790" t="s">
        <v>3221</v>
      </c>
      <c r="C9790">
        <v>7286</v>
      </c>
      <c r="D9790" t="s">
        <v>3654</v>
      </c>
      <c r="E9790" t="s">
        <v>700</v>
      </c>
      <c r="F9790">
        <v>14.08</v>
      </c>
      <c r="G9790">
        <v>230525</v>
      </c>
      <c r="H9790">
        <v>4347</v>
      </c>
      <c r="I9790" t="s">
        <v>193</v>
      </c>
      <c r="J9790">
        <v>17.46</v>
      </c>
      <c r="K9790">
        <v>3.38</v>
      </c>
      <c r="L9790">
        <v>17971</v>
      </c>
      <c r="M9790" t="s">
        <v>138</v>
      </c>
      <c r="N9790" t="str">
        <f>"2123003081  "</f>
        <v xml:space="preserve">2123003081  </v>
      </c>
      <c r="O9790">
        <v>230526</v>
      </c>
    </row>
    <row r="9791" spans="1:15" x14ac:dyDescent="0.25">
      <c r="A9791" t="s">
        <v>16</v>
      </c>
      <c r="B9791" t="s">
        <v>3221</v>
      </c>
      <c r="C9791">
        <v>7339</v>
      </c>
      <c r="D9791" t="s">
        <v>3654</v>
      </c>
      <c r="E9791" t="s">
        <v>700</v>
      </c>
      <c r="F9791">
        <v>58.06</v>
      </c>
      <c r="G9791">
        <v>230525</v>
      </c>
      <c r="H9791">
        <v>4347</v>
      </c>
      <c r="I9791" t="s">
        <v>193</v>
      </c>
      <c r="J9791">
        <v>71.989999999999995</v>
      </c>
      <c r="K9791">
        <v>13.93</v>
      </c>
      <c r="L9791">
        <v>11501</v>
      </c>
      <c r="M9791" t="s">
        <v>339</v>
      </c>
      <c r="N9791" t="str">
        <f>"2123003150  "</f>
        <v xml:space="preserve">2123003150  </v>
      </c>
      <c r="O9791">
        <v>230529</v>
      </c>
    </row>
    <row r="9792" spans="1:15" x14ac:dyDescent="0.25">
      <c r="A9792" t="s">
        <v>16</v>
      </c>
      <c r="B9792" t="s">
        <v>3221</v>
      </c>
      <c r="C9792">
        <v>7526</v>
      </c>
      <c r="D9792" t="s">
        <v>3654</v>
      </c>
      <c r="E9792" t="s">
        <v>700</v>
      </c>
      <c r="F9792">
        <v>19.27</v>
      </c>
      <c r="G9792">
        <v>230525</v>
      </c>
      <c r="H9792">
        <v>4347</v>
      </c>
      <c r="I9792" t="s">
        <v>193</v>
      </c>
      <c r="J9792">
        <v>23.89</v>
      </c>
      <c r="K9792">
        <v>4.62</v>
      </c>
      <c r="L9792">
        <v>17131</v>
      </c>
      <c r="M9792" t="s">
        <v>64</v>
      </c>
      <c r="N9792" t="str">
        <f>"2123003084  "</f>
        <v xml:space="preserve">2123003084  </v>
      </c>
      <c r="O9792">
        <v>230531</v>
      </c>
    </row>
    <row r="9793" spans="1:15" x14ac:dyDescent="0.25">
      <c r="A9793" t="s">
        <v>16</v>
      </c>
      <c r="B9793" t="s">
        <v>3221</v>
      </c>
      <c r="C9793">
        <v>7526</v>
      </c>
      <c r="D9793" t="s">
        <v>3654</v>
      </c>
      <c r="E9793" t="s">
        <v>700</v>
      </c>
      <c r="F9793">
        <v>19.27</v>
      </c>
      <c r="G9793">
        <v>230525</v>
      </c>
      <c r="H9793">
        <v>4347</v>
      </c>
      <c r="I9793" t="s">
        <v>193</v>
      </c>
      <c r="J9793">
        <v>23.89</v>
      </c>
      <c r="K9793">
        <v>4.62</v>
      </c>
      <c r="L9793">
        <v>17711</v>
      </c>
      <c r="M9793" t="s">
        <v>65</v>
      </c>
      <c r="N9793" t="str">
        <f>"2123003084  "</f>
        <v xml:space="preserve">2123003084  </v>
      </c>
      <c r="O9793">
        <v>230531</v>
      </c>
    </row>
    <row r="9794" spans="1:15" x14ac:dyDescent="0.25">
      <c r="A9794" t="s">
        <v>16</v>
      </c>
      <c r="B9794" t="s">
        <v>3221</v>
      </c>
      <c r="C9794">
        <v>7668</v>
      </c>
      <c r="D9794" t="s">
        <v>3654</v>
      </c>
      <c r="E9794" t="s">
        <v>700</v>
      </c>
      <c r="F9794">
        <v>48.25</v>
      </c>
      <c r="G9794">
        <v>230525</v>
      </c>
      <c r="H9794">
        <v>4347</v>
      </c>
      <c r="I9794" t="s">
        <v>193</v>
      </c>
      <c r="J9794">
        <v>59.83</v>
      </c>
      <c r="K9794">
        <v>11.58</v>
      </c>
      <c r="L9794">
        <v>46555</v>
      </c>
      <c r="M9794" t="s">
        <v>597</v>
      </c>
      <c r="N9794" t="str">
        <f>"2123003225  "</f>
        <v xml:space="preserve">2123003225  </v>
      </c>
      <c r="O9794">
        <v>230601</v>
      </c>
    </row>
    <row r="9795" spans="1:15" x14ac:dyDescent="0.25">
      <c r="A9795" t="s">
        <v>16</v>
      </c>
      <c r="B9795" t="s">
        <v>3221</v>
      </c>
      <c r="C9795">
        <v>7669</v>
      </c>
      <c r="D9795" t="s">
        <v>3654</v>
      </c>
      <c r="E9795" t="s">
        <v>700</v>
      </c>
      <c r="F9795">
        <v>15.26</v>
      </c>
      <c r="G9795">
        <v>230525</v>
      </c>
      <c r="H9795">
        <v>4347</v>
      </c>
      <c r="I9795" t="s">
        <v>193</v>
      </c>
      <c r="J9795">
        <v>18.920000000000002</v>
      </c>
      <c r="K9795">
        <v>3.66</v>
      </c>
      <c r="L9795">
        <v>46559</v>
      </c>
      <c r="M9795" t="s">
        <v>1104</v>
      </c>
      <c r="N9795" t="str">
        <f>"2123003223  "</f>
        <v xml:space="preserve">2123003223  </v>
      </c>
      <c r="O9795">
        <v>230601</v>
      </c>
    </row>
    <row r="9796" spans="1:15" x14ac:dyDescent="0.25">
      <c r="A9796" t="s">
        <v>16</v>
      </c>
      <c r="B9796" t="s">
        <v>3221</v>
      </c>
      <c r="C9796">
        <v>7735</v>
      </c>
      <c r="D9796" t="s">
        <v>3654</v>
      </c>
      <c r="E9796" t="s">
        <v>700</v>
      </c>
      <c r="F9796">
        <v>54.38</v>
      </c>
      <c r="G9796">
        <v>230525</v>
      </c>
      <c r="H9796">
        <v>4347</v>
      </c>
      <c r="I9796" t="s">
        <v>193</v>
      </c>
      <c r="J9796">
        <v>67.430000000000007</v>
      </c>
      <c r="K9796">
        <v>13.05</v>
      </c>
      <c r="L9796">
        <v>49701</v>
      </c>
      <c r="M9796" t="s">
        <v>166</v>
      </c>
      <c r="N9796" t="str">
        <f>"2123003135  "</f>
        <v xml:space="preserve">2123003135  </v>
      </c>
      <c r="O9796">
        <v>230602</v>
      </c>
    </row>
    <row r="9797" spans="1:15" x14ac:dyDescent="0.25">
      <c r="A9797" t="s">
        <v>16</v>
      </c>
      <c r="B9797" t="s">
        <v>3221</v>
      </c>
      <c r="C9797">
        <v>7912</v>
      </c>
      <c r="D9797" t="s">
        <v>3654</v>
      </c>
      <c r="E9797" t="s">
        <v>700</v>
      </c>
      <c r="F9797">
        <v>10.039999999999999</v>
      </c>
      <c r="G9797">
        <v>230525</v>
      </c>
      <c r="H9797">
        <v>4347</v>
      </c>
      <c r="I9797" t="s">
        <v>193</v>
      </c>
      <c r="J9797">
        <v>12.45</v>
      </c>
      <c r="K9797">
        <v>2.41</v>
      </c>
      <c r="L9797">
        <v>44424</v>
      </c>
      <c r="M9797" t="s">
        <v>776</v>
      </c>
      <c r="N9797" t="str">
        <f>"2123003224  "</f>
        <v xml:space="preserve">2123003224  </v>
      </c>
      <c r="O9797">
        <v>230605</v>
      </c>
    </row>
    <row r="9798" spans="1:15" x14ac:dyDescent="0.25">
      <c r="A9798" t="s">
        <v>16</v>
      </c>
      <c r="B9798" t="s">
        <v>3221</v>
      </c>
      <c r="C9798">
        <v>7913</v>
      </c>
      <c r="D9798" t="s">
        <v>3654</v>
      </c>
      <c r="E9798" t="s">
        <v>700</v>
      </c>
      <c r="F9798">
        <v>109.25</v>
      </c>
      <c r="G9798">
        <v>230525</v>
      </c>
      <c r="H9798">
        <v>4347</v>
      </c>
      <c r="I9798" t="s">
        <v>193</v>
      </c>
      <c r="J9798">
        <v>135.47</v>
      </c>
      <c r="K9798">
        <v>26.22</v>
      </c>
      <c r="L9798">
        <v>43222</v>
      </c>
      <c r="M9798" t="s">
        <v>507</v>
      </c>
      <c r="N9798" t="str">
        <f>"2123003691  "</f>
        <v xml:space="preserve">2123003691  </v>
      </c>
      <c r="O9798">
        <v>230605</v>
      </c>
    </row>
    <row r="9799" spans="1:15" x14ac:dyDescent="0.25">
      <c r="A9799" t="s">
        <v>16</v>
      </c>
      <c r="B9799" t="s">
        <v>3221</v>
      </c>
      <c r="C9799">
        <v>7914</v>
      </c>
      <c r="D9799" t="s">
        <v>3654</v>
      </c>
      <c r="E9799" t="s">
        <v>700</v>
      </c>
      <c r="F9799">
        <v>100.27</v>
      </c>
      <c r="G9799">
        <v>230525</v>
      </c>
      <c r="H9799">
        <v>4347</v>
      </c>
      <c r="I9799" t="s">
        <v>193</v>
      </c>
      <c r="J9799">
        <v>124.33</v>
      </c>
      <c r="K9799">
        <v>24.06</v>
      </c>
      <c r="L9799">
        <v>44424</v>
      </c>
      <c r="M9799" t="s">
        <v>776</v>
      </c>
      <c r="N9799" t="str">
        <f>"2123003222  "</f>
        <v xml:space="preserve">2123003222  </v>
      </c>
      <c r="O9799">
        <v>230605</v>
      </c>
    </row>
    <row r="9800" spans="1:15" x14ac:dyDescent="0.25">
      <c r="A9800" t="s">
        <v>16</v>
      </c>
      <c r="B9800" t="s">
        <v>3221</v>
      </c>
      <c r="C9800">
        <v>8132</v>
      </c>
      <c r="D9800" t="s">
        <v>3654</v>
      </c>
      <c r="E9800" t="s">
        <v>700</v>
      </c>
      <c r="F9800">
        <v>24.95</v>
      </c>
      <c r="G9800">
        <v>230525</v>
      </c>
      <c r="H9800">
        <v>4347</v>
      </c>
      <c r="I9800" t="s">
        <v>193</v>
      </c>
      <c r="J9800">
        <v>30.94</v>
      </c>
      <c r="K9800">
        <v>5.99</v>
      </c>
      <c r="L9800">
        <v>56522</v>
      </c>
      <c r="M9800" t="s">
        <v>43</v>
      </c>
      <c r="N9800" t="str">
        <f>"2123003361  "</f>
        <v xml:space="preserve">2123003361  </v>
      </c>
      <c r="O9800">
        <v>230607</v>
      </c>
    </row>
    <row r="9801" spans="1:15" x14ac:dyDescent="0.25">
      <c r="A9801" t="s">
        <v>16</v>
      </c>
      <c r="B9801" t="s">
        <v>3221</v>
      </c>
      <c r="C9801">
        <v>8133</v>
      </c>
      <c r="D9801" t="s">
        <v>3654</v>
      </c>
      <c r="E9801" t="s">
        <v>700</v>
      </c>
      <c r="F9801">
        <v>20.36</v>
      </c>
      <c r="G9801">
        <v>230525</v>
      </c>
      <c r="H9801">
        <v>4347</v>
      </c>
      <c r="I9801" t="s">
        <v>193</v>
      </c>
      <c r="J9801">
        <v>25.25</v>
      </c>
      <c r="K9801">
        <v>4.8899999999999997</v>
      </c>
      <c r="L9801">
        <v>59701</v>
      </c>
      <c r="M9801" t="s">
        <v>297</v>
      </c>
      <c r="N9801" t="str">
        <f>"2123003403  "</f>
        <v xml:space="preserve">2123003403  </v>
      </c>
      <c r="O9801">
        <v>230607</v>
      </c>
    </row>
    <row r="9802" spans="1:15" x14ac:dyDescent="0.25">
      <c r="A9802" t="s">
        <v>16</v>
      </c>
      <c r="B9802" t="s">
        <v>3221</v>
      </c>
      <c r="C9802">
        <v>8134</v>
      </c>
      <c r="D9802" t="s">
        <v>3654</v>
      </c>
      <c r="E9802" t="s">
        <v>700</v>
      </c>
      <c r="F9802">
        <v>40.19</v>
      </c>
      <c r="G9802">
        <v>230525</v>
      </c>
      <c r="H9802">
        <v>4347</v>
      </c>
      <c r="I9802" t="s">
        <v>193</v>
      </c>
      <c r="J9802">
        <v>49.84</v>
      </c>
      <c r="K9802">
        <v>9.65</v>
      </c>
      <c r="L9802">
        <v>44222</v>
      </c>
      <c r="M9802" t="s">
        <v>232</v>
      </c>
      <c r="N9802" t="str">
        <f>"2123003220  "</f>
        <v xml:space="preserve">2123003220  </v>
      </c>
      <c r="O9802">
        <v>230607</v>
      </c>
    </row>
    <row r="9803" spans="1:15" x14ac:dyDescent="0.25">
      <c r="A9803" t="s">
        <v>16</v>
      </c>
      <c r="B9803" t="s">
        <v>3221</v>
      </c>
      <c r="C9803">
        <v>8136</v>
      </c>
      <c r="D9803" t="s">
        <v>3654</v>
      </c>
      <c r="E9803" t="s">
        <v>700</v>
      </c>
      <c r="F9803">
        <v>5.05</v>
      </c>
      <c r="G9803">
        <v>230525</v>
      </c>
      <c r="H9803">
        <v>4347</v>
      </c>
      <c r="I9803" t="s">
        <v>193</v>
      </c>
      <c r="J9803">
        <v>6.26</v>
      </c>
      <c r="K9803">
        <v>1.21</v>
      </c>
      <c r="L9803">
        <v>56558</v>
      </c>
      <c r="M9803" t="s">
        <v>217</v>
      </c>
      <c r="N9803" t="str">
        <f>"2123003229  "</f>
        <v xml:space="preserve">2123003229  </v>
      </c>
      <c r="O9803">
        <v>230607</v>
      </c>
    </row>
    <row r="9804" spans="1:15" x14ac:dyDescent="0.25">
      <c r="A9804" t="s">
        <v>16</v>
      </c>
      <c r="B9804" t="s">
        <v>3221</v>
      </c>
      <c r="C9804">
        <v>8137</v>
      </c>
      <c r="D9804" t="s">
        <v>3654</v>
      </c>
      <c r="E9804" t="s">
        <v>700</v>
      </c>
      <c r="F9804">
        <v>76.05</v>
      </c>
      <c r="G9804">
        <v>230525</v>
      </c>
      <c r="H9804">
        <v>4347</v>
      </c>
      <c r="I9804" t="s">
        <v>193</v>
      </c>
      <c r="J9804">
        <v>94.3</v>
      </c>
      <c r="K9804">
        <v>18.25</v>
      </c>
      <c r="L9804">
        <v>44222</v>
      </c>
      <c r="M9804" t="s">
        <v>232</v>
      </c>
      <c r="N9804" t="str">
        <f>"2123003226  "</f>
        <v xml:space="preserve">2123003226  </v>
      </c>
      <c r="O9804">
        <v>230607</v>
      </c>
    </row>
    <row r="9805" spans="1:15" x14ac:dyDescent="0.25">
      <c r="A9805" t="s">
        <v>16</v>
      </c>
      <c r="B9805" t="s">
        <v>3221</v>
      </c>
      <c r="C9805">
        <v>8138</v>
      </c>
      <c r="D9805" t="s">
        <v>3654</v>
      </c>
      <c r="E9805" t="s">
        <v>700</v>
      </c>
      <c r="F9805">
        <v>5.12</v>
      </c>
      <c r="G9805">
        <v>230525</v>
      </c>
      <c r="H9805">
        <v>4347</v>
      </c>
      <c r="I9805" t="s">
        <v>193</v>
      </c>
      <c r="J9805">
        <v>6.35</v>
      </c>
      <c r="K9805">
        <v>1.23</v>
      </c>
      <c r="L9805">
        <v>56558</v>
      </c>
      <c r="M9805" t="s">
        <v>217</v>
      </c>
      <c r="N9805" t="str">
        <f>"2123003231  "</f>
        <v xml:space="preserve">2123003231  </v>
      </c>
      <c r="O9805">
        <v>230607</v>
      </c>
    </row>
    <row r="9806" spans="1:15" x14ac:dyDescent="0.25">
      <c r="A9806" t="s">
        <v>16</v>
      </c>
      <c r="B9806" t="s">
        <v>3221</v>
      </c>
      <c r="C9806">
        <v>8139</v>
      </c>
      <c r="D9806" t="s">
        <v>3654</v>
      </c>
      <c r="E9806" t="s">
        <v>700</v>
      </c>
      <c r="F9806">
        <v>18.2</v>
      </c>
      <c r="G9806">
        <v>230525</v>
      </c>
      <c r="H9806">
        <v>4347</v>
      </c>
      <c r="I9806" t="s">
        <v>193</v>
      </c>
      <c r="J9806">
        <v>22.57</v>
      </c>
      <c r="K9806">
        <v>4.37</v>
      </c>
      <c r="L9806">
        <v>41126</v>
      </c>
      <c r="M9806" t="s">
        <v>761</v>
      </c>
      <c r="N9806" t="str">
        <f>"2123003221  "</f>
        <v xml:space="preserve">2123003221  </v>
      </c>
      <c r="O9806">
        <v>230607</v>
      </c>
    </row>
    <row r="9807" spans="1:15" x14ac:dyDescent="0.25">
      <c r="A9807" t="s">
        <v>16</v>
      </c>
      <c r="B9807" t="s">
        <v>3221</v>
      </c>
      <c r="C9807">
        <v>8140</v>
      </c>
      <c r="D9807" t="s">
        <v>3654</v>
      </c>
      <c r="E9807" t="s">
        <v>700</v>
      </c>
      <c r="F9807">
        <v>22.24</v>
      </c>
      <c r="G9807">
        <v>230525</v>
      </c>
      <c r="H9807">
        <v>4347</v>
      </c>
      <c r="I9807" t="s">
        <v>193</v>
      </c>
      <c r="J9807">
        <v>27.58</v>
      </c>
      <c r="K9807">
        <v>5.34</v>
      </c>
      <c r="L9807">
        <v>56524</v>
      </c>
      <c r="M9807" t="s">
        <v>150</v>
      </c>
      <c r="N9807" t="str">
        <f>"2123003230  "</f>
        <v xml:space="preserve">2123003230  </v>
      </c>
      <c r="O9807">
        <v>230607</v>
      </c>
    </row>
    <row r="9808" spans="1:15" x14ac:dyDescent="0.25">
      <c r="A9808" t="s">
        <v>16</v>
      </c>
      <c r="B9808" t="s">
        <v>3221</v>
      </c>
      <c r="C9808">
        <v>8141</v>
      </c>
      <c r="D9808" t="s">
        <v>3654</v>
      </c>
      <c r="E9808" t="s">
        <v>700</v>
      </c>
      <c r="F9808">
        <v>23.76</v>
      </c>
      <c r="G9808">
        <v>230525</v>
      </c>
      <c r="H9808">
        <v>4347</v>
      </c>
      <c r="I9808" t="s">
        <v>193</v>
      </c>
      <c r="J9808">
        <v>29.46</v>
      </c>
      <c r="K9808">
        <v>5.7</v>
      </c>
      <c r="L9808">
        <v>56560</v>
      </c>
      <c r="M9808" t="s">
        <v>654</v>
      </c>
      <c r="N9808" t="str">
        <f>"2123003404  "</f>
        <v xml:space="preserve">2123003404  </v>
      </c>
      <c r="O9808">
        <v>230607</v>
      </c>
    </row>
    <row r="9809" spans="1:15" x14ac:dyDescent="0.25">
      <c r="A9809" t="s">
        <v>16</v>
      </c>
      <c r="B9809" t="s">
        <v>3221</v>
      </c>
      <c r="C9809">
        <v>8142</v>
      </c>
      <c r="D9809" t="s">
        <v>3654</v>
      </c>
      <c r="E9809" t="s">
        <v>700</v>
      </c>
      <c r="F9809">
        <v>28.15</v>
      </c>
      <c r="G9809">
        <v>230525</v>
      </c>
      <c r="H9809">
        <v>4347</v>
      </c>
      <c r="I9809" t="s">
        <v>193</v>
      </c>
      <c r="J9809">
        <v>34.909999999999997</v>
      </c>
      <c r="K9809">
        <v>6.76</v>
      </c>
      <c r="L9809">
        <v>54222</v>
      </c>
      <c r="M9809" t="s">
        <v>308</v>
      </c>
      <c r="N9809" t="str">
        <f>"2123003362  "</f>
        <v xml:space="preserve">2123003362  </v>
      </c>
      <c r="O9809">
        <v>230607</v>
      </c>
    </row>
    <row r="9810" spans="1:15" x14ac:dyDescent="0.25">
      <c r="A9810" t="s">
        <v>16</v>
      </c>
      <c r="B9810" t="s">
        <v>3221</v>
      </c>
      <c r="C9810">
        <v>8143</v>
      </c>
      <c r="D9810" t="s">
        <v>3654</v>
      </c>
      <c r="E9810" t="s">
        <v>700</v>
      </c>
      <c r="F9810">
        <v>24.9</v>
      </c>
      <c r="G9810">
        <v>230525</v>
      </c>
      <c r="H9810">
        <v>4347</v>
      </c>
      <c r="I9810" t="s">
        <v>193</v>
      </c>
      <c r="J9810">
        <v>30.88</v>
      </c>
      <c r="K9810">
        <v>5.98</v>
      </c>
      <c r="L9810">
        <v>56559</v>
      </c>
      <c r="M9810" t="s">
        <v>129</v>
      </c>
      <c r="N9810" t="str">
        <f>"2123003228  "</f>
        <v xml:space="preserve">2123003228  </v>
      </c>
      <c r="O9810">
        <v>230607</v>
      </c>
    </row>
    <row r="9811" spans="1:15" x14ac:dyDescent="0.25">
      <c r="A9811" t="s">
        <v>16</v>
      </c>
      <c r="B9811" t="s">
        <v>3221</v>
      </c>
      <c r="C9811">
        <v>8705</v>
      </c>
      <c r="D9811" t="s">
        <v>3654</v>
      </c>
      <c r="E9811" t="s">
        <v>700</v>
      </c>
      <c r="F9811">
        <v>75.400000000000006</v>
      </c>
      <c r="G9811">
        <v>230525</v>
      </c>
      <c r="H9811">
        <v>4347</v>
      </c>
      <c r="I9811" t="s">
        <v>193</v>
      </c>
      <c r="J9811">
        <v>93.5</v>
      </c>
      <c r="K9811">
        <v>18.100000000000001</v>
      </c>
      <c r="L9811">
        <v>48601</v>
      </c>
      <c r="M9811" t="s">
        <v>1047</v>
      </c>
      <c r="N9811" t="str">
        <f>"2123003168  "</f>
        <v xml:space="preserve">2123003168  </v>
      </c>
      <c r="O9811">
        <v>230613</v>
      </c>
    </row>
    <row r="9812" spans="1:15" x14ac:dyDescent="0.25">
      <c r="A9812" t="s">
        <v>16</v>
      </c>
      <c r="B9812" t="s">
        <v>3221</v>
      </c>
      <c r="C9812">
        <v>8801</v>
      </c>
      <c r="D9812" t="s">
        <v>3654</v>
      </c>
      <c r="E9812" t="s">
        <v>700</v>
      </c>
      <c r="F9812">
        <v>7.79</v>
      </c>
      <c r="G9812">
        <v>230525</v>
      </c>
      <c r="H9812">
        <v>4347</v>
      </c>
      <c r="I9812" t="s">
        <v>193</v>
      </c>
      <c r="J9812">
        <v>9.66</v>
      </c>
      <c r="K9812">
        <v>1.87</v>
      </c>
      <c r="L9812">
        <v>11101</v>
      </c>
      <c r="M9812" t="s">
        <v>110</v>
      </c>
      <c r="N9812" t="str">
        <f>"2123003083  "</f>
        <v xml:space="preserve">2123003083  </v>
      </c>
      <c r="O9812">
        <v>230615</v>
      </c>
    </row>
    <row r="9813" spans="1:15" x14ac:dyDescent="0.25">
      <c r="A9813" t="s">
        <v>16</v>
      </c>
      <c r="B9813" t="s">
        <v>3221</v>
      </c>
      <c r="C9813">
        <v>9594</v>
      </c>
      <c r="D9813" t="s">
        <v>3654</v>
      </c>
      <c r="E9813" t="s">
        <v>700</v>
      </c>
      <c r="F9813">
        <v>31.35</v>
      </c>
      <c r="G9813">
        <v>230629</v>
      </c>
      <c r="H9813">
        <v>4347</v>
      </c>
      <c r="I9813" t="s">
        <v>193</v>
      </c>
      <c r="J9813">
        <v>38.869999999999997</v>
      </c>
      <c r="K9813">
        <v>7.52</v>
      </c>
      <c r="L9813">
        <v>53222</v>
      </c>
      <c r="M9813" t="s">
        <v>445</v>
      </c>
      <c r="N9813" t="str">
        <f>"2123005758  "</f>
        <v xml:space="preserve">2123005758  </v>
      </c>
      <c r="O9813">
        <v>230717</v>
      </c>
    </row>
    <row r="9814" spans="1:15" x14ac:dyDescent="0.25">
      <c r="A9814" t="s">
        <v>16</v>
      </c>
      <c r="B9814" t="s">
        <v>3221</v>
      </c>
      <c r="C9814">
        <v>9595</v>
      </c>
      <c r="D9814" t="s">
        <v>3654</v>
      </c>
      <c r="E9814" t="s">
        <v>700</v>
      </c>
      <c r="F9814">
        <v>9.39</v>
      </c>
      <c r="G9814">
        <v>230629</v>
      </c>
      <c r="H9814">
        <v>4347</v>
      </c>
      <c r="I9814" t="s">
        <v>193</v>
      </c>
      <c r="J9814">
        <v>11.64</v>
      </c>
      <c r="K9814">
        <v>2.25</v>
      </c>
      <c r="L9814">
        <v>56562</v>
      </c>
      <c r="M9814" t="s">
        <v>126</v>
      </c>
      <c r="N9814" t="str">
        <f>"2123005756  "</f>
        <v xml:space="preserve">2123005756  </v>
      </c>
      <c r="O9814">
        <v>230717</v>
      </c>
    </row>
    <row r="9815" spans="1:15" x14ac:dyDescent="0.25">
      <c r="A9815" t="s">
        <v>16</v>
      </c>
      <c r="B9815" t="s">
        <v>3221</v>
      </c>
      <c r="C9815">
        <v>9596</v>
      </c>
      <c r="D9815" t="s">
        <v>3654</v>
      </c>
      <c r="E9815" t="s">
        <v>700</v>
      </c>
      <c r="F9815">
        <v>30.3</v>
      </c>
      <c r="G9815">
        <v>230629</v>
      </c>
      <c r="H9815">
        <v>4347</v>
      </c>
      <c r="I9815" t="s">
        <v>193</v>
      </c>
      <c r="J9815">
        <v>37.57</v>
      </c>
      <c r="K9815">
        <v>7.27</v>
      </c>
      <c r="L9815">
        <v>17532</v>
      </c>
      <c r="M9815" t="s">
        <v>543</v>
      </c>
      <c r="N9815" t="str">
        <f>"2123005595  "</f>
        <v xml:space="preserve">2123005595  </v>
      </c>
      <c r="O9815">
        <v>230717</v>
      </c>
    </row>
    <row r="9816" spans="1:15" x14ac:dyDescent="0.25">
      <c r="A9816" t="s">
        <v>16</v>
      </c>
      <c r="B9816" t="s">
        <v>3221</v>
      </c>
      <c r="C9816">
        <v>9597</v>
      </c>
      <c r="D9816" t="s">
        <v>3654</v>
      </c>
      <c r="E9816" t="s">
        <v>700</v>
      </c>
      <c r="F9816">
        <v>68.22</v>
      </c>
      <c r="G9816">
        <v>230629</v>
      </c>
      <c r="H9816">
        <v>4347</v>
      </c>
      <c r="I9816" t="s">
        <v>193</v>
      </c>
      <c r="J9816">
        <v>84.59</v>
      </c>
      <c r="K9816">
        <v>16.37</v>
      </c>
      <c r="L9816">
        <v>59702</v>
      </c>
      <c r="M9816" t="s">
        <v>328</v>
      </c>
      <c r="N9816" t="str">
        <f>"2123005757  "</f>
        <v xml:space="preserve">2123005757  </v>
      </c>
      <c r="O9816">
        <v>230717</v>
      </c>
    </row>
    <row r="9817" spans="1:15" x14ac:dyDescent="0.25">
      <c r="A9817" t="s">
        <v>16</v>
      </c>
      <c r="B9817" t="s">
        <v>3221</v>
      </c>
      <c r="C9817">
        <v>9598</v>
      </c>
      <c r="D9817" t="s">
        <v>3654</v>
      </c>
      <c r="E9817" t="s">
        <v>700</v>
      </c>
      <c r="F9817">
        <v>54.58</v>
      </c>
      <c r="G9817">
        <v>230629</v>
      </c>
      <c r="H9817">
        <v>4347</v>
      </c>
      <c r="I9817" t="s">
        <v>193</v>
      </c>
      <c r="J9817">
        <v>67.680000000000007</v>
      </c>
      <c r="K9817">
        <v>13.1</v>
      </c>
      <c r="L9817">
        <v>47522</v>
      </c>
      <c r="M9817" t="s">
        <v>410</v>
      </c>
      <c r="N9817" t="str">
        <f>"2123005773  "</f>
        <v xml:space="preserve">2123005773  </v>
      </c>
      <c r="O9817">
        <v>230717</v>
      </c>
    </row>
    <row r="9818" spans="1:15" x14ac:dyDescent="0.25">
      <c r="A9818" t="s">
        <v>16</v>
      </c>
      <c r="B9818" t="s">
        <v>3221</v>
      </c>
      <c r="C9818">
        <v>9599</v>
      </c>
      <c r="D9818" t="s">
        <v>3654</v>
      </c>
      <c r="E9818" t="s">
        <v>700</v>
      </c>
      <c r="F9818">
        <v>17.989999999999998</v>
      </c>
      <c r="G9818">
        <v>230629</v>
      </c>
      <c r="H9818">
        <v>4347</v>
      </c>
      <c r="I9818" t="s">
        <v>193</v>
      </c>
      <c r="J9818">
        <v>22.31</v>
      </c>
      <c r="K9818">
        <v>4.32</v>
      </c>
      <c r="L9818">
        <v>13561</v>
      </c>
      <c r="M9818" t="s">
        <v>246</v>
      </c>
      <c r="N9818" t="str">
        <f>"2123005565  "</f>
        <v xml:space="preserve">2123005565  </v>
      </c>
      <c r="O9818">
        <v>230717</v>
      </c>
    </row>
    <row r="9819" spans="1:15" x14ac:dyDescent="0.25">
      <c r="A9819" t="s">
        <v>16</v>
      </c>
      <c r="B9819" t="s">
        <v>3221</v>
      </c>
      <c r="C9819">
        <v>9599</v>
      </c>
      <c r="D9819" t="s">
        <v>3654</v>
      </c>
      <c r="E9819" t="s">
        <v>700</v>
      </c>
      <c r="F9819">
        <v>35.99</v>
      </c>
      <c r="G9819">
        <v>230629</v>
      </c>
      <c r="H9819">
        <v>4347</v>
      </c>
      <c r="I9819" t="s">
        <v>193</v>
      </c>
      <c r="J9819">
        <v>44.63</v>
      </c>
      <c r="K9819">
        <v>8.64</v>
      </c>
      <c r="L9819">
        <v>17971</v>
      </c>
      <c r="M9819" t="s">
        <v>138</v>
      </c>
      <c r="N9819" t="str">
        <f>"2123005565  "</f>
        <v xml:space="preserve">2123005565  </v>
      </c>
      <c r="O9819">
        <v>230717</v>
      </c>
    </row>
    <row r="9820" spans="1:15" x14ac:dyDescent="0.25">
      <c r="A9820" t="s">
        <v>16</v>
      </c>
      <c r="B9820" t="s">
        <v>3221</v>
      </c>
      <c r="C9820">
        <v>9600</v>
      </c>
      <c r="D9820" t="s">
        <v>3654</v>
      </c>
      <c r="E9820" t="s">
        <v>700</v>
      </c>
      <c r="F9820">
        <v>14.48</v>
      </c>
      <c r="G9820">
        <v>230629</v>
      </c>
      <c r="H9820">
        <v>4347</v>
      </c>
      <c r="I9820" t="s">
        <v>193</v>
      </c>
      <c r="J9820">
        <v>17.96</v>
      </c>
      <c r="K9820">
        <v>3.48</v>
      </c>
      <c r="L9820">
        <v>17971</v>
      </c>
      <c r="M9820" t="s">
        <v>138</v>
      </c>
      <c r="N9820" t="str">
        <f>"2123005566  "</f>
        <v xml:space="preserve">2123005566  </v>
      </c>
      <c r="O9820">
        <v>230717</v>
      </c>
    </row>
    <row r="9821" spans="1:15" x14ac:dyDescent="0.25">
      <c r="A9821" t="s">
        <v>16</v>
      </c>
      <c r="B9821" t="s">
        <v>3221</v>
      </c>
      <c r="C9821">
        <v>9601</v>
      </c>
      <c r="D9821" t="s">
        <v>3654</v>
      </c>
      <c r="E9821" t="s">
        <v>700</v>
      </c>
      <c r="F9821">
        <v>31.76</v>
      </c>
      <c r="G9821">
        <v>230629</v>
      </c>
      <c r="H9821">
        <v>4347</v>
      </c>
      <c r="I9821" t="s">
        <v>193</v>
      </c>
      <c r="J9821">
        <v>39.380000000000003</v>
      </c>
      <c r="K9821">
        <v>7.62</v>
      </c>
      <c r="L9821">
        <v>54422</v>
      </c>
      <c r="M9821" t="s">
        <v>234</v>
      </c>
      <c r="N9821" t="str">
        <f>"2123005753  "</f>
        <v xml:space="preserve">2123005753  </v>
      </c>
      <c r="O9821">
        <v>230717</v>
      </c>
    </row>
    <row r="9822" spans="1:15" x14ac:dyDescent="0.25">
      <c r="A9822" t="s">
        <v>16</v>
      </c>
      <c r="B9822" t="s">
        <v>3221</v>
      </c>
      <c r="C9822">
        <v>9601</v>
      </c>
      <c r="D9822" t="s">
        <v>3654</v>
      </c>
      <c r="E9822" t="s">
        <v>700</v>
      </c>
      <c r="F9822">
        <v>31.76</v>
      </c>
      <c r="G9822">
        <v>230629</v>
      </c>
      <c r="H9822">
        <v>4347</v>
      </c>
      <c r="I9822" t="s">
        <v>193</v>
      </c>
      <c r="J9822">
        <v>39.380000000000003</v>
      </c>
      <c r="K9822">
        <v>7.62</v>
      </c>
      <c r="L9822">
        <v>56563</v>
      </c>
      <c r="M9822" t="s">
        <v>953</v>
      </c>
      <c r="N9822" t="str">
        <f>"2123005753  "</f>
        <v xml:space="preserve">2123005753  </v>
      </c>
      <c r="O9822">
        <v>230717</v>
      </c>
    </row>
    <row r="9823" spans="1:15" x14ac:dyDescent="0.25">
      <c r="A9823" t="s">
        <v>16</v>
      </c>
      <c r="B9823" t="s">
        <v>3221</v>
      </c>
      <c r="C9823">
        <v>9602</v>
      </c>
      <c r="D9823" t="s">
        <v>3654</v>
      </c>
      <c r="E9823" t="s">
        <v>700</v>
      </c>
      <c r="F9823">
        <v>17.41</v>
      </c>
      <c r="G9823">
        <v>230629</v>
      </c>
      <c r="H9823">
        <v>4347</v>
      </c>
      <c r="I9823" t="s">
        <v>193</v>
      </c>
      <c r="J9823">
        <v>21.59</v>
      </c>
      <c r="K9823">
        <v>4.18</v>
      </c>
      <c r="L9823">
        <v>13561</v>
      </c>
      <c r="M9823" t="s">
        <v>246</v>
      </c>
      <c r="N9823" t="str">
        <f>"2123005567  "</f>
        <v xml:space="preserve">2123005567  </v>
      </c>
      <c r="O9823">
        <v>230717</v>
      </c>
    </row>
    <row r="9824" spans="1:15" x14ac:dyDescent="0.25">
      <c r="A9824" t="s">
        <v>16</v>
      </c>
      <c r="B9824" t="s">
        <v>3221</v>
      </c>
      <c r="C9824">
        <v>9602</v>
      </c>
      <c r="D9824" t="s">
        <v>3654</v>
      </c>
      <c r="E9824" t="s">
        <v>700</v>
      </c>
      <c r="F9824">
        <v>34.82</v>
      </c>
      <c r="G9824">
        <v>230629</v>
      </c>
      <c r="H9824">
        <v>4347</v>
      </c>
      <c r="I9824" t="s">
        <v>193</v>
      </c>
      <c r="J9824">
        <v>43.18</v>
      </c>
      <c r="K9824">
        <v>8.36</v>
      </c>
      <c r="L9824">
        <v>17971</v>
      </c>
      <c r="M9824" t="s">
        <v>138</v>
      </c>
      <c r="N9824" t="str">
        <f>"2123005567  "</f>
        <v xml:space="preserve">2123005567  </v>
      </c>
      <c r="O9824">
        <v>230717</v>
      </c>
    </row>
    <row r="9825" spans="1:15" x14ac:dyDescent="0.25">
      <c r="A9825" t="s">
        <v>16</v>
      </c>
      <c r="B9825" t="s">
        <v>3221</v>
      </c>
      <c r="C9825">
        <v>9603</v>
      </c>
      <c r="D9825" t="s">
        <v>3654</v>
      </c>
      <c r="E9825" t="s">
        <v>700</v>
      </c>
      <c r="F9825">
        <v>11.12</v>
      </c>
      <c r="G9825">
        <v>230629</v>
      </c>
      <c r="H9825">
        <v>4347</v>
      </c>
      <c r="I9825" t="s">
        <v>193</v>
      </c>
      <c r="J9825">
        <v>13.79</v>
      </c>
      <c r="K9825">
        <v>2.67</v>
      </c>
      <c r="L9825">
        <v>11001</v>
      </c>
      <c r="M9825" t="s">
        <v>326</v>
      </c>
      <c r="N9825" t="str">
        <f>"2123005754  "</f>
        <v xml:space="preserve">2123005754  </v>
      </c>
      <c r="O9825">
        <v>230717</v>
      </c>
    </row>
    <row r="9826" spans="1:15" x14ac:dyDescent="0.25">
      <c r="A9826" t="s">
        <v>16</v>
      </c>
      <c r="B9826" t="s">
        <v>3221</v>
      </c>
      <c r="C9826">
        <v>9603</v>
      </c>
      <c r="D9826" t="s">
        <v>3654</v>
      </c>
      <c r="E9826" t="s">
        <v>700</v>
      </c>
      <c r="F9826">
        <v>33.369999999999997</v>
      </c>
      <c r="G9826">
        <v>230629</v>
      </c>
      <c r="H9826">
        <v>4347</v>
      </c>
      <c r="I9826" t="s">
        <v>193</v>
      </c>
      <c r="J9826">
        <v>41.38</v>
      </c>
      <c r="K9826">
        <v>8.01</v>
      </c>
      <c r="L9826">
        <v>11101</v>
      </c>
      <c r="M9826" t="s">
        <v>110</v>
      </c>
      <c r="N9826" t="str">
        <f>"2123005754  "</f>
        <v xml:space="preserve">2123005754  </v>
      </c>
      <c r="O9826">
        <v>230717</v>
      </c>
    </row>
    <row r="9827" spans="1:15" x14ac:dyDescent="0.25">
      <c r="A9827" t="s">
        <v>16</v>
      </c>
      <c r="B9827" t="s">
        <v>3221</v>
      </c>
      <c r="C9827">
        <v>9603</v>
      </c>
      <c r="D9827" t="s">
        <v>3654</v>
      </c>
      <c r="E9827" t="s">
        <v>700</v>
      </c>
      <c r="F9827">
        <v>11.12</v>
      </c>
      <c r="G9827">
        <v>230629</v>
      </c>
      <c r="H9827">
        <v>4347</v>
      </c>
      <c r="I9827" t="s">
        <v>193</v>
      </c>
      <c r="J9827">
        <v>13.79</v>
      </c>
      <c r="K9827">
        <v>2.67</v>
      </c>
      <c r="L9827">
        <v>18971</v>
      </c>
      <c r="M9827" t="s">
        <v>63</v>
      </c>
      <c r="N9827" t="str">
        <f>"2123005754  "</f>
        <v xml:space="preserve">2123005754  </v>
      </c>
      <c r="O9827">
        <v>230717</v>
      </c>
    </row>
    <row r="9828" spans="1:15" x14ac:dyDescent="0.25">
      <c r="A9828" t="s">
        <v>16</v>
      </c>
      <c r="B9828" t="s">
        <v>3221</v>
      </c>
      <c r="C9828">
        <v>9604</v>
      </c>
      <c r="D9828" t="s">
        <v>3654</v>
      </c>
      <c r="E9828" t="s">
        <v>700</v>
      </c>
      <c r="F9828">
        <v>12.08</v>
      </c>
      <c r="G9828">
        <v>230629</v>
      </c>
      <c r="H9828">
        <v>4347</v>
      </c>
      <c r="I9828" t="s">
        <v>193</v>
      </c>
      <c r="J9828">
        <v>14.98</v>
      </c>
      <c r="K9828">
        <v>2.9</v>
      </c>
      <c r="L9828">
        <v>11908</v>
      </c>
      <c r="M9828" t="s">
        <v>598</v>
      </c>
      <c r="N9828" t="str">
        <f>"2123005749  "</f>
        <v xml:space="preserve">2123005749  </v>
      </c>
      <c r="O9828">
        <v>230717</v>
      </c>
    </row>
    <row r="9829" spans="1:15" x14ac:dyDescent="0.25">
      <c r="A9829" t="s">
        <v>16</v>
      </c>
      <c r="B9829" t="s">
        <v>3221</v>
      </c>
      <c r="C9829">
        <v>9604</v>
      </c>
      <c r="D9829" t="s">
        <v>3654</v>
      </c>
      <c r="E9829" t="s">
        <v>700</v>
      </c>
      <c r="F9829">
        <v>12.09</v>
      </c>
      <c r="G9829">
        <v>230629</v>
      </c>
      <c r="H9829">
        <v>4347</v>
      </c>
      <c r="I9829" t="s">
        <v>193</v>
      </c>
      <c r="J9829">
        <v>14.99</v>
      </c>
      <c r="K9829">
        <v>2.9</v>
      </c>
      <c r="L9829">
        <v>56526</v>
      </c>
      <c r="M9829" t="s">
        <v>1217</v>
      </c>
      <c r="N9829" t="str">
        <f>"2123005749  "</f>
        <v xml:space="preserve">2123005749  </v>
      </c>
      <c r="O9829">
        <v>230717</v>
      </c>
    </row>
    <row r="9830" spans="1:15" x14ac:dyDescent="0.25">
      <c r="A9830" t="s">
        <v>16</v>
      </c>
      <c r="B9830" t="s">
        <v>3221</v>
      </c>
      <c r="C9830">
        <v>9605</v>
      </c>
      <c r="D9830" t="s">
        <v>3654</v>
      </c>
      <c r="E9830" t="s">
        <v>700</v>
      </c>
      <c r="F9830">
        <v>6.87</v>
      </c>
      <c r="G9830">
        <v>230629</v>
      </c>
      <c r="H9830">
        <v>4347</v>
      </c>
      <c r="I9830" t="s">
        <v>193</v>
      </c>
      <c r="J9830">
        <v>8.52</v>
      </c>
      <c r="K9830">
        <v>1.65</v>
      </c>
      <c r="L9830">
        <v>17529</v>
      </c>
      <c r="M9830" t="s">
        <v>453</v>
      </c>
      <c r="N9830" t="str">
        <f>"2123005593  "</f>
        <v xml:space="preserve">2123005593  </v>
      </c>
      <c r="O9830">
        <v>230717</v>
      </c>
    </row>
    <row r="9831" spans="1:15" x14ac:dyDescent="0.25">
      <c r="A9831" t="s">
        <v>16</v>
      </c>
      <c r="B9831" t="s">
        <v>3221</v>
      </c>
      <c r="C9831">
        <v>9606</v>
      </c>
      <c r="D9831" t="s">
        <v>3654</v>
      </c>
      <c r="E9831" t="s">
        <v>700</v>
      </c>
      <c r="F9831">
        <v>18.649999999999999</v>
      </c>
      <c r="G9831">
        <v>230629</v>
      </c>
      <c r="H9831">
        <v>4347</v>
      </c>
      <c r="I9831" t="s">
        <v>193</v>
      </c>
      <c r="J9831">
        <v>23.12</v>
      </c>
      <c r="K9831">
        <v>4.47</v>
      </c>
      <c r="L9831">
        <v>16121</v>
      </c>
      <c r="M9831" t="s">
        <v>21</v>
      </c>
      <c r="N9831" t="str">
        <f>"2123005568  "</f>
        <v xml:space="preserve">2123005568  </v>
      </c>
      <c r="O9831">
        <v>230717</v>
      </c>
    </row>
    <row r="9832" spans="1:15" x14ac:dyDescent="0.25">
      <c r="A9832" t="s">
        <v>16</v>
      </c>
      <c r="B9832" t="s">
        <v>3221</v>
      </c>
      <c r="C9832">
        <v>9606</v>
      </c>
      <c r="D9832" t="s">
        <v>3654</v>
      </c>
      <c r="E9832" t="s">
        <v>700</v>
      </c>
      <c r="F9832">
        <v>18.64</v>
      </c>
      <c r="G9832">
        <v>230629</v>
      </c>
      <c r="H9832">
        <v>4347</v>
      </c>
      <c r="I9832" t="s">
        <v>193</v>
      </c>
      <c r="J9832">
        <v>23.11</v>
      </c>
      <c r="K9832">
        <v>4.47</v>
      </c>
      <c r="L9832">
        <v>16322</v>
      </c>
      <c r="M9832" t="s">
        <v>22</v>
      </c>
      <c r="N9832" t="str">
        <f>"2123005568  "</f>
        <v xml:space="preserve">2123005568  </v>
      </c>
      <c r="O9832">
        <v>230717</v>
      </c>
    </row>
    <row r="9833" spans="1:15" x14ac:dyDescent="0.25">
      <c r="A9833" t="s">
        <v>16</v>
      </c>
      <c r="B9833" t="s">
        <v>3221</v>
      </c>
      <c r="C9833">
        <v>9606</v>
      </c>
      <c r="D9833" t="s">
        <v>3654</v>
      </c>
      <c r="E9833" t="s">
        <v>700</v>
      </c>
      <c r="F9833">
        <v>18.649999999999999</v>
      </c>
      <c r="G9833">
        <v>230629</v>
      </c>
      <c r="H9833">
        <v>4347</v>
      </c>
      <c r="I9833" t="s">
        <v>193</v>
      </c>
      <c r="J9833">
        <v>23.12</v>
      </c>
      <c r="K9833">
        <v>4.47</v>
      </c>
      <c r="L9833">
        <v>16820</v>
      </c>
      <c r="M9833" t="s">
        <v>23</v>
      </c>
      <c r="N9833" t="str">
        <f>"2123005568  "</f>
        <v xml:space="preserve">2123005568  </v>
      </c>
      <c r="O9833">
        <v>230717</v>
      </c>
    </row>
    <row r="9834" spans="1:15" x14ac:dyDescent="0.25">
      <c r="A9834" t="s">
        <v>16</v>
      </c>
      <c r="B9834" t="s">
        <v>3221</v>
      </c>
      <c r="C9834">
        <v>9607</v>
      </c>
      <c r="D9834" t="s">
        <v>3654</v>
      </c>
      <c r="E9834" t="s">
        <v>700</v>
      </c>
      <c r="F9834">
        <v>12.51</v>
      </c>
      <c r="G9834">
        <v>230629</v>
      </c>
      <c r="H9834">
        <v>4347</v>
      </c>
      <c r="I9834" t="s">
        <v>193</v>
      </c>
      <c r="J9834">
        <v>15.51</v>
      </c>
      <c r="K9834">
        <v>3</v>
      </c>
      <c r="L9834">
        <v>11301</v>
      </c>
      <c r="M9834" t="s">
        <v>29</v>
      </c>
      <c r="N9834" t="str">
        <f>"2123005147  "</f>
        <v xml:space="preserve">2123005147  </v>
      </c>
      <c r="O9834">
        <v>230717</v>
      </c>
    </row>
    <row r="9835" spans="1:15" x14ac:dyDescent="0.25">
      <c r="A9835" t="s">
        <v>16</v>
      </c>
      <c r="B9835" t="s">
        <v>3221</v>
      </c>
      <c r="C9835">
        <v>9607</v>
      </c>
      <c r="D9835" t="s">
        <v>3654</v>
      </c>
      <c r="E9835" t="s">
        <v>700</v>
      </c>
      <c r="F9835">
        <v>12.5</v>
      </c>
      <c r="G9835">
        <v>230629</v>
      </c>
      <c r="H9835">
        <v>4347</v>
      </c>
      <c r="I9835" t="s">
        <v>193</v>
      </c>
      <c r="J9835">
        <v>15.5</v>
      </c>
      <c r="K9835">
        <v>3</v>
      </c>
      <c r="L9835">
        <v>17975</v>
      </c>
      <c r="M9835" t="s">
        <v>798</v>
      </c>
      <c r="N9835" t="str">
        <f>"2123005147  "</f>
        <v xml:space="preserve">2123005147  </v>
      </c>
      <c r="O9835">
        <v>230717</v>
      </c>
    </row>
    <row r="9836" spans="1:15" x14ac:dyDescent="0.25">
      <c r="A9836" t="s">
        <v>16</v>
      </c>
      <c r="B9836" t="s">
        <v>3221</v>
      </c>
      <c r="C9836">
        <v>9608</v>
      </c>
      <c r="D9836" t="s">
        <v>3654</v>
      </c>
      <c r="E9836" t="s">
        <v>700</v>
      </c>
      <c r="F9836">
        <v>36.4</v>
      </c>
      <c r="G9836">
        <v>230629</v>
      </c>
      <c r="H9836">
        <v>4347</v>
      </c>
      <c r="I9836" t="s">
        <v>193</v>
      </c>
      <c r="J9836">
        <v>45.14</v>
      </c>
      <c r="K9836">
        <v>8.74</v>
      </c>
      <c r="L9836">
        <v>17534</v>
      </c>
      <c r="M9836" t="s">
        <v>440</v>
      </c>
      <c r="N9836" t="str">
        <f>"2123005596  "</f>
        <v xml:space="preserve">2123005596  </v>
      </c>
      <c r="O9836">
        <v>230717</v>
      </c>
    </row>
    <row r="9837" spans="1:15" x14ac:dyDescent="0.25">
      <c r="A9837" t="s">
        <v>16</v>
      </c>
      <c r="B9837" t="s">
        <v>3221</v>
      </c>
      <c r="C9837">
        <v>9609</v>
      </c>
      <c r="D9837" t="s">
        <v>3654</v>
      </c>
      <c r="E9837" t="s">
        <v>700</v>
      </c>
      <c r="F9837">
        <v>11.55</v>
      </c>
      <c r="G9837">
        <v>230629</v>
      </c>
      <c r="H9837">
        <v>4347</v>
      </c>
      <c r="I9837" t="s">
        <v>193</v>
      </c>
      <c r="J9837">
        <v>14.32</v>
      </c>
      <c r="K9837">
        <v>2.77</v>
      </c>
      <c r="L9837">
        <v>17525</v>
      </c>
      <c r="M9837" t="s">
        <v>135</v>
      </c>
      <c r="N9837" t="str">
        <f>"2123005592  "</f>
        <v xml:space="preserve">2123005592  </v>
      </c>
      <c r="O9837">
        <v>230717</v>
      </c>
    </row>
    <row r="9838" spans="1:15" x14ac:dyDescent="0.25">
      <c r="A9838" t="s">
        <v>16</v>
      </c>
      <c r="B9838" t="s">
        <v>3221</v>
      </c>
      <c r="C9838">
        <v>9610</v>
      </c>
      <c r="D9838" t="s">
        <v>3654</v>
      </c>
      <c r="E9838" t="s">
        <v>700</v>
      </c>
      <c r="F9838">
        <v>32.69</v>
      </c>
      <c r="G9838">
        <v>230629</v>
      </c>
      <c r="H9838">
        <v>4347</v>
      </c>
      <c r="I9838" t="s">
        <v>193</v>
      </c>
      <c r="J9838">
        <v>40.54</v>
      </c>
      <c r="K9838">
        <v>7.85</v>
      </c>
      <c r="L9838">
        <v>56566</v>
      </c>
      <c r="M9838" t="s">
        <v>652</v>
      </c>
      <c r="N9838" t="str">
        <f>"2123005755  "</f>
        <v xml:space="preserve">2123005755  </v>
      </c>
      <c r="O9838">
        <v>230717</v>
      </c>
    </row>
    <row r="9839" spans="1:15" x14ac:dyDescent="0.25">
      <c r="A9839" t="s">
        <v>16</v>
      </c>
      <c r="B9839" t="s">
        <v>3221</v>
      </c>
      <c r="C9839">
        <v>9612</v>
      </c>
      <c r="D9839" t="s">
        <v>3654</v>
      </c>
      <c r="E9839" t="s">
        <v>700</v>
      </c>
      <c r="F9839">
        <v>77.459999999999994</v>
      </c>
      <c r="G9839">
        <v>230629</v>
      </c>
      <c r="H9839">
        <v>4347</v>
      </c>
      <c r="I9839" t="s">
        <v>193</v>
      </c>
      <c r="J9839">
        <v>96.05</v>
      </c>
      <c r="K9839">
        <v>18.59</v>
      </c>
      <c r="L9839">
        <v>59701</v>
      </c>
      <c r="M9839" t="s">
        <v>297</v>
      </c>
      <c r="N9839" t="str">
        <f>"2123005752  "</f>
        <v xml:space="preserve">2123005752  </v>
      </c>
      <c r="O9839">
        <v>230717</v>
      </c>
    </row>
    <row r="9840" spans="1:15" x14ac:dyDescent="0.25">
      <c r="A9840" t="s">
        <v>16</v>
      </c>
      <c r="B9840" t="s">
        <v>3221</v>
      </c>
      <c r="C9840">
        <v>9613</v>
      </c>
      <c r="D9840" t="s">
        <v>3654</v>
      </c>
      <c r="E9840" t="s">
        <v>700</v>
      </c>
      <c r="F9840">
        <v>6.23</v>
      </c>
      <c r="G9840">
        <v>230629</v>
      </c>
      <c r="H9840">
        <v>4347</v>
      </c>
      <c r="I9840" t="s">
        <v>193</v>
      </c>
      <c r="J9840">
        <v>7.73</v>
      </c>
      <c r="K9840">
        <v>1.5</v>
      </c>
      <c r="L9840">
        <v>13601</v>
      </c>
      <c r="M9840" t="s">
        <v>147</v>
      </c>
      <c r="N9840" t="str">
        <f>"2123005597  "</f>
        <v xml:space="preserve">2123005597  </v>
      </c>
      <c r="O9840">
        <v>230717</v>
      </c>
    </row>
    <row r="9841" spans="1:15" x14ac:dyDescent="0.25">
      <c r="A9841" t="s">
        <v>16</v>
      </c>
      <c r="B9841" t="s">
        <v>3221</v>
      </c>
      <c r="C9841">
        <v>9614</v>
      </c>
      <c r="D9841" t="s">
        <v>3654</v>
      </c>
      <c r="E9841" t="s">
        <v>700</v>
      </c>
      <c r="F9841">
        <v>7.62</v>
      </c>
      <c r="G9841">
        <v>230629</v>
      </c>
      <c r="H9841">
        <v>4347</v>
      </c>
      <c r="I9841" t="s">
        <v>193</v>
      </c>
      <c r="J9841">
        <v>9.4499999999999993</v>
      </c>
      <c r="K9841">
        <v>1.83</v>
      </c>
      <c r="L9841">
        <v>17806</v>
      </c>
      <c r="M9841" t="s">
        <v>265</v>
      </c>
      <c r="N9841" t="str">
        <f>"2123005797  "</f>
        <v xml:space="preserve">2123005797  </v>
      </c>
      <c r="O9841">
        <v>230717</v>
      </c>
    </row>
    <row r="9842" spans="1:15" x14ac:dyDescent="0.25">
      <c r="A9842" t="s">
        <v>16</v>
      </c>
      <c r="B9842" t="s">
        <v>3221</v>
      </c>
      <c r="C9842">
        <v>9615</v>
      </c>
      <c r="D9842" t="s">
        <v>3654</v>
      </c>
      <c r="E9842" t="s">
        <v>700</v>
      </c>
      <c r="F9842">
        <v>52.09</v>
      </c>
      <c r="G9842">
        <v>230629</v>
      </c>
      <c r="H9842">
        <v>4347</v>
      </c>
      <c r="I9842" t="s">
        <v>193</v>
      </c>
      <c r="J9842">
        <v>64.59</v>
      </c>
      <c r="K9842">
        <v>12.5</v>
      </c>
      <c r="L9842">
        <v>13501</v>
      </c>
      <c r="M9842" t="s">
        <v>20</v>
      </c>
      <c r="N9842" t="str">
        <f>"2123005594  "</f>
        <v xml:space="preserve">2123005594  </v>
      </c>
      <c r="O9842">
        <v>230717</v>
      </c>
    </row>
    <row r="9843" spans="1:15" x14ac:dyDescent="0.25">
      <c r="A9843" t="s">
        <v>16</v>
      </c>
      <c r="B9843" t="s">
        <v>3221</v>
      </c>
      <c r="C9843">
        <v>9943</v>
      </c>
      <c r="D9843" t="s">
        <v>3654</v>
      </c>
      <c r="E9843" t="s">
        <v>700</v>
      </c>
      <c r="F9843">
        <v>28.98</v>
      </c>
      <c r="G9843">
        <v>230731</v>
      </c>
      <c r="H9843">
        <v>4347</v>
      </c>
      <c r="I9843" t="s">
        <v>193</v>
      </c>
      <c r="J9843">
        <v>35.94</v>
      </c>
      <c r="K9843">
        <v>6.96</v>
      </c>
      <c r="L9843">
        <v>14972</v>
      </c>
      <c r="M9843" t="s">
        <v>898</v>
      </c>
      <c r="N9843" t="str">
        <f>"2123008889  "</f>
        <v xml:space="preserve">2123008889  </v>
      </c>
      <c r="O9843">
        <v>230802</v>
      </c>
    </row>
    <row r="9844" spans="1:15" x14ac:dyDescent="0.25">
      <c r="A9844" t="s">
        <v>16</v>
      </c>
      <c r="B9844" t="s">
        <v>3221</v>
      </c>
      <c r="C9844">
        <v>10090</v>
      </c>
      <c r="D9844" t="s">
        <v>3654</v>
      </c>
      <c r="E9844" t="s">
        <v>700</v>
      </c>
      <c r="F9844">
        <v>190.33</v>
      </c>
      <c r="G9844">
        <v>230731</v>
      </c>
      <c r="H9844">
        <v>4347</v>
      </c>
      <c r="I9844" t="s">
        <v>193</v>
      </c>
      <c r="J9844">
        <v>236.01</v>
      </c>
      <c r="K9844">
        <v>45.68</v>
      </c>
      <c r="L9844">
        <v>14972</v>
      </c>
      <c r="M9844" t="s">
        <v>898</v>
      </c>
      <c r="N9844" t="str">
        <f>"2123008888  "</f>
        <v xml:space="preserve">2123008888  </v>
      </c>
      <c r="O9844">
        <v>230808</v>
      </c>
    </row>
    <row r="9845" spans="1:15" x14ac:dyDescent="0.25">
      <c r="A9845" t="s">
        <v>16</v>
      </c>
      <c r="B9845" t="s">
        <v>3221</v>
      </c>
      <c r="C9845">
        <v>10130</v>
      </c>
      <c r="D9845" t="s">
        <v>3654</v>
      </c>
      <c r="E9845" t="s">
        <v>700</v>
      </c>
      <c r="F9845">
        <v>6.39</v>
      </c>
      <c r="G9845">
        <v>230731</v>
      </c>
      <c r="H9845">
        <v>4347</v>
      </c>
      <c r="I9845" t="s">
        <v>193</v>
      </c>
      <c r="J9845">
        <v>7.92</v>
      </c>
      <c r="K9845">
        <v>1.53</v>
      </c>
      <c r="L9845">
        <v>17802</v>
      </c>
      <c r="M9845" t="s">
        <v>174</v>
      </c>
      <c r="N9845" t="str">
        <f>"2123009692  "</f>
        <v xml:space="preserve">2123009692  </v>
      </c>
      <c r="O9845">
        <v>230808</v>
      </c>
    </row>
    <row r="9846" spans="1:15" x14ac:dyDescent="0.25">
      <c r="A9846" t="s">
        <v>16</v>
      </c>
      <c r="B9846" t="s">
        <v>3221</v>
      </c>
      <c r="C9846">
        <v>10131</v>
      </c>
      <c r="D9846" t="s">
        <v>3654</v>
      </c>
      <c r="E9846" t="s">
        <v>700</v>
      </c>
      <c r="F9846">
        <v>5.65</v>
      </c>
      <c r="G9846">
        <v>230731</v>
      </c>
      <c r="H9846">
        <v>4347</v>
      </c>
      <c r="I9846" t="s">
        <v>193</v>
      </c>
      <c r="J9846">
        <v>7.01</v>
      </c>
      <c r="K9846">
        <v>1.36</v>
      </c>
      <c r="L9846">
        <v>16321</v>
      </c>
      <c r="M9846" t="s">
        <v>423</v>
      </c>
      <c r="N9846" t="str">
        <f>"2123009690  "</f>
        <v xml:space="preserve">2123009690  </v>
      </c>
      <c r="O9846">
        <v>230808</v>
      </c>
    </row>
    <row r="9847" spans="1:15" x14ac:dyDescent="0.25">
      <c r="A9847" t="s">
        <v>16</v>
      </c>
      <c r="B9847" t="s">
        <v>3221</v>
      </c>
      <c r="C9847">
        <v>10133</v>
      </c>
      <c r="D9847" t="s">
        <v>3654</v>
      </c>
      <c r="E9847" t="s">
        <v>700</v>
      </c>
      <c r="F9847">
        <v>5.39</v>
      </c>
      <c r="G9847">
        <v>230731</v>
      </c>
      <c r="H9847">
        <v>4347</v>
      </c>
      <c r="I9847" t="s">
        <v>193</v>
      </c>
      <c r="J9847">
        <v>6.68</v>
      </c>
      <c r="K9847">
        <v>1.29</v>
      </c>
      <c r="L9847">
        <v>17803</v>
      </c>
      <c r="M9847" t="s">
        <v>389</v>
      </c>
      <c r="N9847" t="str">
        <f>"2123009693  "</f>
        <v xml:space="preserve">2123009693  </v>
      </c>
      <c r="O9847">
        <v>230808</v>
      </c>
    </row>
    <row r="9848" spans="1:15" x14ac:dyDescent="0.25">
      <c r="A9848" t="s">
        <v>16</v>
      </c>
      <c r="B9848" t="s">
        <v>3221</v>
      </c>
      <c r="C9848">
        <v>10134</v>
      </c>
      <c r="D9848" t="s">
        <v>3654</v>
      </c>
      <c r="E9848" t="s">
        <v>700</v>
      </c>
      <c r="F9848">
        <v>12.12</v>
      </c>
      <c r="G9848">
        <v>230731</v>
      </c>
      <c r="H9848">
        <v>4347</v>
      </c>
      <c r="I9848" t="s">
        <v>193</v>
      </c>
      <c r="J9848">
        <v>15.03</v>
      </c>
      <c r="K9848">
        <v>2.91</v>
      </c>
      <c r="L9848">
        <v>16431</v>
      </c>
      <c r="M9848" t="s">
        <v>231</v>
      </c>
      <c r="N9848" t="str">
        <f>"2123009694  "</f>
        <v xml:space="preserve">2123009694  </v>
      </c>
      <c r="O9848">
        <v>230808</v>
      </c>
    </row>
    <row r="9849" spans="1:15" x14ac:dyDescent="0.25">
      <c r="A9849" t="s">
        <v>16</v>
      </c>
      <c r="B9849" t="s">
        <v>3221</v>
      </c>
      <c r="C9849">
        <v>10163</v>
      </c>
      <c r="D9849" t="s">
        <v>3654</v>
      </c>
      <c r="E9849" t="s">
        <v>700</v>
      </c>
      <c r="F9849">
        <v>2.63</v>
      </c>
      <c r="G9849">
        <v>230731</v>
      </c>
      <c r="H9849">
        <v>4347</v>
      </c>
      <c r="I9849" t="s">
        <v>193</v>
      </c>
      <c r="J9849">
        <v>3.26</v>
      </c>
      <c r="K9849">
        <v>0.63</v>
      </c>
      <c r="L9849">
        <v>17131</v>
      </c>
      <c r="M9849" t="s">
        <v>64</v>
      </c>
      <c r="N9849" t="str">
        <f>"2123009691  "</f>
        <v xml:space="preserve">2123009691  </v>
      </c>
      <c r="O9849">
        <v>230809</v>
      </c>
    </row>
    <row r="9850" spans="1:15" x14ac:dyDescent="0.25">
      <c r="A9850" t="s">
        <v>16</v>
      </c>
      <c r="B9850" t="s">
        <v>3221</v>
      </c>
      <c r="C9850">
        <v>10163</v>
      </c>
      <c r="D9850" t="s">
        <v>3654</v>
      </c>
      <c r="E9850" t="s">
        <v>700</v>
      </c>
      <c r="F9850">
        <v>2.63</v>
      </c>
      <c r="G9850">
        <v>230731</v>
      </c>
      <c r="H9850">
        <v>4347</v>
      </c>
      <c r="I9850" t="s">
        <v>193</v>
      </c>
      <c r="J9850">
        <v>3.26</v>
      </c>
      <c r="K9850">
        <v>0.63</v>
      </c>
      <c r="L9850">
        <v>17711</v>
      </c>
      <c r="M9850" t="s">
        <v>65</v>
      </c>
      <c r="N9850" t="str">
        <f>"2123009691  "</f>
        <v xml:space="preserve">2123009691  </v>
      </c>
      <c r="O9850">
        <v>230809</v>
      </c>
    </row>
    <row r="9851" spans="1:15" x14ac:dyDescent="0.25">
      <c r="A9851" t="s">
        <v>16</v>
      </c>
      <c r="B9851" t="s">
        <v>3221</v>
      </c>
      <c r="C9851">
        <v>10658</v>
      </c>
      <c r="D9851" t="s">
        <v>3654</v>
      </c>
      <c r="E9851" t="s">
        <v>700</v>
      </c>
      <c r="F9851">
        <v>6.64</v>
      </c>
      <c r="G9851">
        <v>230731</v>
      </c>
      <c r="H9851">
        <v>4347</v>
      </c>
      <c r="I9851" t="s">
        <v>193</v>
      </c>
      <c r="J9851">
        <v>8.23</v>
      </c>
      <c r="K9851">
        <v>1.59</v>
      </c>
      <c r="L9851">
        <v>56524</v>
      </c>
      <c r="M9851" t="s">
        <v>150</v>
      </c>
      <c r="N9851" t="str">
        <f>"2123009685  "</f>
        <v xml:space="preserve">2123009685  </v>
      </c>
      <c r="O9851">
        <v>230821</v>
      </c>
    </row>
    <row r="9852" spans="1:15" x14ac:dyDescent="0.25">
      <c r="A9852" t="s">
        <v>16</v>
      </c>
      <c r="B9852" t="s">
        <v>3221</v>
      </c>
      <c r="C9852">
        <v>11258</v>
      </c>
      <c r="D9852" t="s">
        <v>3654</v>
      </c>
      <c r="E9852" t="s">
        <v>700</v>
      </c>
      <c r="F9852">
        <v>23.91</v>
      </c>
      <c r="G9852">
        <v>230830</v>
      </c>
      <c r="H9852">
        <v>4347</v>
      </c>
      <c r="I9852" t="s">
        <v>193</v>
      </c>
      <c r="J9852">
        <v>29.65</v>
      </c>
      <c r="K9852">
        <v>5.74</v>
      </c>
      <c r="L9852">
        <v>14321</v>
      </c>
      <c r="M9852" t="s">
        <v>717</v>
      </c>
      <c r="N9852" t="str">
        <f>"2123012164  "</f>
        <v xml:space="preserve">2123012164  </v>
      </c>
      <c r="O9852">
        <v>230904</v>
      </c>
    </row>
    <row r="9853" spans="1:15" x14ac:dyDescent="0.25">
      <c r="A9853" t="s">
        <v>16</v>
      </c>
      <c r="B9853" t="s">
        <v>3221</v>
      </c>
      <c r="C9853">
        <v>11259</v>
      </c>
      <c r="D9853" t="s">
        <v>3654</v>
      </c>
      <c r="E9853" t="s">
        <v>700</v>
      </c>
      <c r="F9853">
        <v>56.17</v>
      </c>
      <c r="G9853">
        <v>230830</v>
      </c>
      <c r="H9853">
        <v>4347</v>
      </c>
      <c r="I9853" t="s">
        <v>193</v>
      </c>
      <c r="J9853">
        <v>69.650000000000006</v>
      </c>
      <c r="K9853">
        <v>13.48</v>
      </c>
      <c r="L9853">
        <v>11501</v>
      </c>
      <c r="M9853" t="s">
        <v>339</v>
      </c>
      <c r="N9853" t="str">
        <f>"2123011814  "</f>
        <v xml:space="preserve">2123011814  </v>
      </c>
      <c r="O9853">
        <v>230904</v>
      </c>
    </row>
    <row r="9854" spans="1:15" x14ac:dyDescent="0.25">
      <c r="A9854" t="s">
        <v>16</v>
      </c>
      <c r="B9854" t="s">
        <v>3221</v>
      </c>
      <c r="C9854">
        <v>11260</v>
      </c>
      <c r="D9854" t="s">
        <v>3654</v>
      </c>
      <c r="E9854" t="s">
        <v>700</v>
      </c>
      <c r="F9854">
        <v>36.049999999999997</v>
      </c>
      <c r="G9854">
        <v>230830</v>
      </c>
      <c r="H9854">
        <v>4347</v>
      </c>
      <c r="I9854" t="s">
        <v>193</v>
      </c>
      <c r="J9854">
        <v>44.7</v>
      </c>
      <c r="K9854">
        <v>8.65</v>
      </c>
      <c r="L9854">
        <v>17971</v>
      </c>
      <c r="M9854" t="s">
        <v>138</v>
      </c>
      <c r="N9854" t="str">
        <f>"2123011738  "</f>
        <v xml:space="preserve">2123011738  </v>
      </c>
      <c r="O9854">
        <v>230904</v>
      </c>
    </row>
    <row r="9855" spans="1:15" x14ac:dyDescent="0.25">
      <c r="A9855" t="s">
        <v>16</v>
      </c>
      <c r="B9855" t="s">
        <v>3221</v>
      </c>
      <c r="C9855">
        <v>11261</v>
      </c>
      <c r="D9855" t="s">
        <v>3654</v>
      </c>
      <c r="E9855" t="s">
        <v>700</v>
      </c>
      <c r="F9855">
        <v>61.23</v>
      </c>
      <c r="G9855">
        <v>230830</v>
      </c>
      <c r="H9855">
        <v>4347</v>
      </c>
      <c r="I9855" t="s">
        <v>193</v>
      </c>
      <c r="J9855">
        <v>75.930000000000007</v>
      </c>
      <c r="K9855">
        <v>14.7</v>
      </c>
      <c r="L9855">
        <v>17972</v>
      </c>
      <c r="M9855" t="s">
        <v>248</v>
      </c>
      <c r="N9855" t="str">
        <f>"2123011739  "</f>
        <v xml:space="preserve">2123011739  </v>
      </c>
      <c r="O9855">
        <v>230904</v>
      </c>
    </row>
    <row r="9856" spans="1:15" x14ac:dyDescent="0.25">
      <c r="A9856" t="s">
        <v>16</v>
      </c>
      <c r="B9856" t="s">
        <v>3221</v>
      </c>
      <c r="C9856">
        <v>11355</v>
      </c>
      <c r="D9856" t="s">
        <v>3654</v>
      </c>
      <c r="E9856" t="s">
        <v>700</v>
      </c>
      <c r="F9856">
        <v>17.91</v>
      </c>
      <c r="G9856">
        <v>230830</v>
      </c>
      <c r="H9856">
        <v>4347</v>
      </c>
      <c r="I9856" t="s">
        <v>193</v>
      </c>
      <c r="J9856">
        <v>22.21</v>
      </c>
      <c r="K9856">
        <v>4.3</v>
      </c>
      <c r="L9856">
        <v>44222</v>
      </c>
      <c r="M9856" t="s">
        <v>232</v>
      </c>
      <c r="N9856" t="str">
        <f>"2123011899  "</f>
        <v xml:space="preserve">2123011899  </v>
      </c>
      <c r="O9856">
        <v>230904</v>
      </c>
    </row>
    <row r="9857" spans="1:15" x14ac:dyDescent="0.25">
      <c r="A9857" t="s">
        <v>16</v>
      </c>
      <c r="B9857" t="s">
        <v>3221</v>
      </c>
      <c r="C9857">
        <v>11356</v>
      </c>
      <c r="D9857" t="s">
        <v>3654</v>
      </c>
      <c r="E9857" t="s">
        <v>700</v>
      </c>
      <c r="F9857">
        <v>44.92</v>
      </c>
      <c r="G9857">
        <v>230830</v>
      </c>
      <c r="H9857">
        <v>4347</v>
      </c>
      <c r="I9857" t="s">
        <v>193</v>
      </c>
      <c r="J9857">
        <v>55.7</v>
      </c>
      <c r="K9857">
        <v>10.78</v>
      </c>
      <c r="L9857">
        <v>44222</v>
      </c>
      <c r="M9857" t="s">
        <v>232</v>
      </c>
      <c r="N9857" t="str">
        <f>"2123011905  "</f>
        <v xml:space="preserve">2123011905  </v>
      </c>
      <c r="O9857">
        <v>230904</v>
      </c>
    </row>
    <row r="9858" spans="1:15" x14ac:dyDescent="0.25">
      <c r="A9858" t="s">
        <v>16</v>
      </c>
      <c r="B9858" t="s">
        <v>3221</v>
      </c>
      <c r="C9858">
        <v>11358</v>
      </c>
      <c r="D9858" t="s">
        <v>3654</v>
      </c>
      <c r="E9858" t="s">
        <v>700</v>
      </c>
      <c r="F9858">
        <v>25.06</v>
      </c>
      <c r="G9858">
        <v>230830</v>
      </c>
      <c r="H9858">
        <v>4347</v>
      </c>
      <c r="I9858" t="s">
        <v>193</v>
      </c>
      <c r="J9858">
        <v>31.08</v>
      </c>
      <c r="K9858">
        <v>6.02</v>
      </c>
      <c r="L9858">
        <v>17131</v>
      </c>
      <c r="M9858" t="s">
        <v>64</v>
      </c>
      <c r="N9858" t="str">
        <f>"2123011741  "</f>
        <v xml:space="preserve">2123011741  </v>
      </c>
      <c r="O9858">
        <v>230904</v>
      </c>
    </row>
    <row r="9859" spans="1:15" x14ac:dyDescent="0.25">
      <c r="A9859" t="s">
        <v>16</v>
      </c>
      <c r="B9859" t="s">
        <v>3221</v>
      </c>
      <c r="C9859">
        <v>11358</v>
      </c>
      <c r="D9859" t="s">
        <v>3654</v>
      </c>
      <c r="E9859" t="s">
        <v>700</v>
      </c>
      <c r="F9859">
        <v>25.06</v>
      </c>
      <c r="G9859">
        <v>230830</v>
      </c>
      <c r="H9859">
        <v>4347</v>
      </c>
      <c r="I9859" t="s">
        <v>193</v>
      </c>
      <c r="J9859">
        <v>31.07</v>
      </c>
      <c r="K9859">
        <v>6.01</v>
      </c>
      <c r="L9859">
        <v>17711</v>
      </c>
      <c r="M9859" t="s">
        <v>65</v>
      </c>
      <c r="N9859" t="str">
        <f>"2123011741  "</f>
        <v xml:space="preserve">2123011741  </v>
      </c>
      <c r="O9859">
        <v>230904</v>
      </c>
    </row>
    <row r="9860" spans="1:15" x14ac:dyDescent="0.25">
      <c r="A9860" t="s">
        <v>16</v>
      </c>
      <c r="B9860" t="s">
        <v>3221</v>
      </c>
      <c r="C9860">
        <v>11359</v>
      </c>
      <c r="D9860" t="s">
        <v>3654</v>
      </c>
      <c r="E9860" t="s">
        <v>700</v>
      </c>
      <c r="F9860">
        <v>19.100000000000001</v>
      </c>
      <c r="G9860">
        <v>230830</v>
      </c>
      <c r="H9860">
        <v>4347</v>
      </c>
      <c r="I9860" t="s">
        <v>193</v>
      </c>
      <c r="J9860">
        <v>23.68</v>
      </c>
      <c r="K9860">
        <v>4.58</v>
      </c>
      <c r="L9860">
        <v>41126</v>
      </c>
      <c r="M9860" t="s">
        <v>761</v>
      </c>
      <c r="N9860" t="str">
        <f>"2123011900  "</f>
        <v xml:space="preserve">2123011900  </v>
      </c>
      <c r="O9860">
        <v>230904</v>
      </c>
    </row>
    <row r="9861" spans="1:15" x14ac:dyDescent="0.25">
      <c r="A9861" t="s">
        <v>16</v>
      </c>
      <c r="B9861" t="s">
        <v>3221</v>
      </c>
      <c r="C9861">
        <v>11366</v>
      </c>
      <c r="D9861" t="s">
        <v>3654</v>
      </c>
      <c r="E9861" t="s">
        <v>700</v>
      </c>
      <c r="F9861">
        <v>14.03</v>
      </c>
      <c r="G9861">
        <v>230830</v>
      </c>
      <c r="H9861">
        <v>4347</v>
      </c>
      <c r="I9861" t="s">
        <v>193</v>
      </c>
      <c r="J9861">
        <v>17.399999999999999</v>
      </c>
      <c r="K9861">
        <v>3.37</v>
      </c>
      <c r="L9861">
        <v>48601</v>
      </c>
      <c r="M9861" t="s">
        <v>1047</v>
      </c>
      <c r="N9861" t="str">
        <f>"2123011840  "</f>
        <v xml:space="preserve">2123011840  </v>
      </c>
      <c r="O9861">
        <v>230904</v>
      </c>
    </row>
    <row r="9862" spans="1:15" x14ac:dyDescent="0.25">
      <c r="A9862" t="s">
        <v>16</v>
      </c>
      <c r="B9862" t="s">
        <v>3221</v>
      </c>
      <c r="C9862">
        <v>11431</v>
      </c>
      <c r="D9862" t="s">
        <v>3654</v>
      </c>
      <c r="E9862" t="s">
        <v>700</v>
      </c>
      <c r="F9862">
        <v>16.62</v>
      </c>
      <c r="G9862">
        <v>230830</v>
      </c>
      <c r="H9862">
        <v>4347</v>
      </c>
      <c r="I9862" t="s">
        <v>193</v>
      </c>
      <c r="J9862">
        <v>20.61</v>
      </c>
      <c r="K9862">
        <v>3.99</v>
      </c>
      <c r="L9862">
        <v>46555</v>
      </c>
      <c r="M9862" t="s">
        <v>597</v>
      </c>
      <c r="N9862" t="str">
        <f>"2123011904  "</f>
        <v xml:space="preserve">2123011904  </v>
      </c>
      <c r="O9862">
        <v>230905</v>
      </c>
    </row>
    <row r="9863" spans="1:15" x14ac:dyDescent="0.25">
      <c r="A9863" t="s">
        <v>16</v>
      </c>
      <c r="B9863" t="s">
        <v>3221</v>
      </c>
      <c r="C9863">
        <v>11436</v>
      </c>
      <c r="D9863" t="s">
        <v>3654</v>
      </c>
      <c r="E9863" t="s">
        <v>700</v>
      </c>
      <c r="F9863">
        <v>15.72</v>
      </c>
      <c r="G9863">
        <v>230830</v>
      </c>
      <c r="H9863">
        <v>4347</v>
      </c>
      <c r="I9863" t="s">
        <v>193</v>
      </c>
      <c r="J9863">
        <v>19.489999999999998</v>
      </c>
      <c r="K9863">
        <v>3.77</v>
      </c>
      <c r="L9863">
        <v>46559</v>
      </c>
      <c r="M9863" t="s">
        <v>1104</v>
      </c>
      <c r="N9863" t="str">
        <f>"2123011902  "</f>
        <v xml:space="preserve">2123011902  </v>
      </c>
      <c r="O9863">
        <v>230905</v>
      </c>
    </row>
    <row r="9864" spans="1:15" x14ac:dyDescent="0.25">
      <c r="A9864" t="s">
        <v>16</v>
      </c>
      <c r="B9864" t="s">
        <v>3221</v>
      </c>
      <c r="C9864">
        <v>11437</v>
      </c>
      <c r="D9864" t="s">
        <v>3654</v>
      </c>
      <c r="E9864" t="s">
        <v>700</v>
      </c>
      <c r="F9864">
        <v>9.35</v>
      </c>
      <c r="G9864">
        <v>230830</v>
      </c>
      <c r="H9864">
        <v>4347</v>
      </c>
      <c r="I9864" t="s">
        <v>193</v>
      </c>
      <c r="J9864">
        <v>11.59</v>
      </c>
      <c r="K9864">
        <v>2.2400000000000002</v>
      </c>
      <c r="L9864">
        <v>46554</v>
      </c>
      <c r="M9864" t="s">
        <v>117</v>
      </c>
      <c r="N9864" t="str">
        <f>"2123012558  "</f>
        <v xml:space="preserve">2123012558  </v>
      </c>
      <c r="O9864">
        <v>230905</v>
      </c>
    </row>
    <row r="9865" spans="1:15" x14ac:dyDescent="0.25">
      <c r="A9865" t="s">
        <v>16</v>
      </c>
      <c r="B9865" t="s">
        <v>3221</v>
      </c>
      <c r="C9865">
        <v>11442</v>
      </c>
      <c r="D9865" t="s">
        <v>3654</v>
      </c>
      <c r="E9865" t="s">
        <v>700</v>
      </c>
      <c r="F9865">
        <v>84.82</v>
      </c>
      <c r="G9865">
        <v>230830</v>
      </c>
      <c r="H9865">
        <v>4347</v>
      </c>
      <c r="I9865" t="s">
        <v>193</v>
      </c>
      <c r="J9865">
        <v>105.18</v>
      </c>
      <c r="K9865">
        <v>20.36</v>
      </c>
      <c r="L9865">
        <v>49701</v>
      </c>
      <c r="M9865" t="s">
        <v>166</v>
      </c>
      <c r="N9865" t="str">
        <f>"2123011795  "</f>
        <v xml:space="preserve">2123011795  </v>
      </c>
      <c r="O9865">
        <v>230905</v>
      </c>
    </row>
    <row r="9866" spans="1:15" x14ac:dyDescent="0.25">
      <c r="A9866" t="s">
        <v>16</v>
      </c>
      <c r="B9866" t="s">
        <v>3221</v>
      </c>
      <c r="C9866">
        <v>11594</v>
      </c>
      <c r="D9866" t="s">
        <v>3654</v>
      </c>
      <c r="E9866" t="s">
        <v>700</v>
      </c>
      <c r="F9866">
        <v>16.850000000000001</v>
      </c>
      <c r="G9866">
        <v>230830</v>
      </c>
      <c r="H9866">
        <v>4347</v>
      </c>
      <c r="I9866" t="s">
        <v>193</v>
      </c>
      <c r="J9866">
        <v>20.89</v>
      </c>
      <c r="K9866">
        <v>4.04</v>
      </c>
      <c r="L9866">
        <v>44424</v>
      </c>
      <c r="M9866" t="s">
        <v>776</v>
      </c>
      <c r="N9866" t="str">
        <f>"2123011903  "</f>
        <v xml:space="preserve">2123011903  </v>
      </c>
      <c r="O9866">
        <v>230907</v>
      </c>
    </row>
    <row r="9867" spans="1:15" x14ac:dyDescent="0.25">
      <c r="A9867" t="s">
        <v>16</v>
      </c>
      <c r="B9867" t="s">
        <v>3221</v>
      </c>
      <c r="C9867">
        <v>11596</v>
      </c>
      <c r="D9867" t="s">
        <v>3654</v>
      </c>
      <c r="E9867" t="s">
        <v>700</v>
      </c>
      <c r="F9867">
        <v>8.08</v>
      </c>
      <c r="G9867">
        <v>230830</v>
      </c>
      <c r="H9867">
        <v>4347</v>
      </c>
      <c r="I9867" t="s">
        <v>193</v>
      </c>
      <c r="J9867">
        <v>10.02</v>
      </c>
      <c r="K9867">
        <v>1.94</v>
      </c>
      <c r="L9867">
        <v>11101</v>
      </c>
      <c r="M9867" t="s">
        <v>110</v>
      </c>
      <c r="N9867" t="str">
        <f>"2123011740  "</f>
        <v xml:space="preserve">2123011740  </v>
      </c>
      <c r="O9867">
        <v>230907</v>
      </c>
    </row>
    <row r="9868" spans="1:15" x14ac:dyDescent="0.25">
      <c r="A9868" t="s">
        <v>16</v>
      </c>
      <c r="B9868" t="s">
        <v>3221</v>
      </c>
      <c r="C9868">
        <v>11597</v>
      </c>
      <c r="D9868" t="s">
        <v>3654</v>
      </c>
      <c r="E9868" t="s">
        <v>700</v>
      </c>
      <c r="F9868">
        <v>42.69</v>
      </c>
      <c r="G9868">
        <v>230830</v>
      </c>
      <c r="H9868">
        <v>4347</v>
      </c>
      <c r="I9868" t="s">
        <v>193</v>
      </c>
      <c r="J9868">
        <v>52.94</v>
      </c>
      <c r="K9868">
        <v>10.25</v>
      </c>
      <c r="L9868">
        <v>44424</v>
      </c>
      <c r="M9868" t="s">
        <v>776</v>
      </c>
      <c r="N9868" t="str">
        <f>"2123011901  "</f>
        <v xml:space="preserve">2123011901  </v>
      </c>
      <c r="O9868">
        <v>230907</v>
      </c>
    </row>
    <row r="9869" spans="1:15" x14ac:dyDescent="0.25">
      <c r="A9869" t="s">
        <v>16</v>
      </c>
      <c r="B9869" t="s">
        <v>3221</v>
      </c>
      <c r="C9869">
        <v>11598</v>
      </c>
      <c r="D9869" t="s">
        <v>3654</v>
      </c>
      <c r="E9869" t="s">
        <v>700</v>
      </c>
      <c r="F9869">
        <v>26.68</v>
      </c>
      <c r="G9869">
        <v>230830</v>
      </c>
      <c r="H9869">
        <v>4347</v>
      </c>
      <c r="I9869" t="s">
        <v>193</v>
      </c>
      <c r="J9869">
        <v>33.08</v>
      </c>
      <c r="K9869">
        <v>6.4</v>
      </c>
      <c r="L9869">
        <v>43222</v>
      </c>
      <c r="M9869" t="s">
        <v>507</v>
      </c>
      <c r="N9869" t="str">
        <f>"2123012508  "</f>
        <v xml:space="preserve">2123012508  </v>
      </c>
      <c r="O9869">
        <v>230907</v>
      </c>
    </row>
    <row r="9870" spans="1:15" x14ac:dyDescent="0.25">
      <c r="A9870" t="s">
        <v>16</v>
      </c>
      <c r="B9870" t="s">
        <v>3221</v>
      </c>
      <c r="C9870">
        <v>11915</v>
      </c>
      <c r="D9870" t="s">
        <v>3654</v>
      </c>
      <c r="E9870" t="s">
        <v>700</v>
      </c>
      <c r="F9870">
        <v>25</v>
      </c>
      <c r="G9870">
        <v>230830</v>
      </c>
      <c r="H9870">
        <v>4347</v>
      </c>
      <c r="I9870" t="s">
        <v>193</v>
      </c>
      <c r="J9870">
        <v>31</v>
      </c>
      <c r="K9870">
        <v>6</v>
      </c>
      <c r="L9870">
        <v>69704</v>
      </c>
      <c r="M9870" t="s">
        <v>325</v>
      </c>
      <c r="N9870" t="str">
        <f>"2123011605  "</f>
        <v xml:space="preserve">2123011605  </v>
      </c>
      <c r="O9870">
        <v>230911</v>
      </c>
    </row>
    <row r="9871" spans="1:15" x14ac:dyDescent="0.25">
      <c r="A9871" t="s">
        <v>16</v>
      </c>
      <c r="B9871" t="s">
        <v>3221</v>
      </c>
      <c r="C9871">
        <v>11917</v>
      </c>
      <c r="D9871" t="s">
        <v>3654</v>
      </c>
      <c r="E9871" t="s">
        <v>700</v>
      </c>
      <c r="F9871">
        <v>18.75</v>
      </c>
      <c r="G9871">
        <v>230830</v>
      </c>
      <c r="H9871">
        <v>4347</v>
      </c>
      <c r="I9871" t="s">
        <v>193</v>
      </c>
      <c r="J9871">
        <v>23.25</v>
      </c>
      <c r="K9871">
        <v>4.5</v>
      </c>
      <c r="L9871">
        <v>66756</v>
      </c>
      <c r="M9871" t="s">
        <v>209</v>
      </c>
      <c r="N9871" t="str">
        <f>"2123011603  "</f>
        <v xml:space="preserve">2123011603  </v>
      </c>
      <c r="O9871">
        <v>230911</v>
      </c>
    </row>
    <row r="9872" spans="1:15" x14ac:dyDescent="0.25">
      <c r="A9872" t="s">
        <v>16</v>
      </c>
      <c r="B9872" t="s">
        <v>3221</v>
      </c>
      <c r="C9872">
        <v>12109</v>
      </c>
      <c r="D9872" t="s">
        <v>3654</v>
      </c>
      <c r="E9872" t="s">
        <v>700</v>
      </c>
      <c r="F9872">
        <v>16.96</v>
      </c>
      <c r="G9872">
        <v>230830</v>
      </c>
      <c r="H9872">
        <v>4347</v>
      </c>
      <c r="I9872" t="s">
        <v>193</v>
      </c>
      <c r="J9872">
        <v>21.03</v>
      </c>
      <c r="K9872">
        <v>4.07</v>
      </c>
      <c r="L9872">
        <v>59701</v>
      </c>
      <c r="M9872" t="s">
        <v>297</v>
      </c>
      <c r="N9872" t="str">
        <f>"2123012167  "</f>
        <v xml:space="preserve">2123012167  </v>
      </c>
      <c r="O9872">
        <v>230914</v>
      </c>
    </row>
    <row r="9873" spans="1:15" x14ac:dyDescent="0.25">
      <c r="A9873" t="s">
        <v>16</v>
      </c>
      <c r="B9873" t="s">
        <v>3221</v>
      </c>
      <c r="C9873">
        <v>12138</v>
      </c>
      <c r="D9873" t="s">
        <v>3654</v>
      </c>
      <c r="E9873" t="s">
        <v>700</v>
      </c>
      <c r="F9873">
        <v>23.87</v>
      </c>
      <c r="G9873">
        <v>230830</v>
      </c>
      <c r="H9873">
        <v>4347</v>
      </c>
      <c r="I9873" t="s">
        <v>193</v>
      </c>
      <c r="J9873">
        <v>29.6</v>
      </c>
      <c r="K9873">
        <v>5.73</v>
      </c>
      <c r="L9873">
        <v>56559</v>
      </c>
      <c r="M9873" t="s">
        <v>129</v>
      </c>
      <c r="N9873" t="str">
        <f>"2123011907  "</f>
        <v xml:space="preserve">2123011907  </v>
      </c>
      <c r="O9873">
        <v>230914</v>
      </c>
    </row>
    <row r="9874" spans="1:15" x14ac:dyDescent="0.25">
      <c r="A9874" t="s">
        <v>16</v>
      </c>
      <c r="B9874" t="s">
        <v>3221</v>
      </c>
      <c r="C9874">
        <v>12139</v>
      </c>
      <c r="D9874" t="s">
        <v>3654</v>
      </c>
      <c r="E9874" t="s">
        <v>700</v>
      </c>
      <c r="F9874">
        <v>12.4</v>
      </c>
      <c r="G9874">
        <v>230830</v>
      </c>
      <c r="H9874">
        <v>4347</v>
      </c>
      <c r="I9874" t="s">
        <v>193</v>
      </c>
      <c r="J9874">
        <v>15.38</v>
      </c>
      <c r="K9874">
        <v>2.98</v>
      </c>
      <c r="L9874">
        <v>56558</v>
      </c>
      <c r="M9874" t="s">
        <v>217</v>
      </c>
      <c r="N9874" t="str">
        <f>"2123011908  "</f>
        <v xml:space="preserve">2123011908  </v>
      </c>
      <c r="O9874">
        <v>230914</v>
      </c>
    </row>
    <row r="9875" spans="1:15" x14ac:dyDescent="0.25">
      <c r="A9875" t="s">
        <v>16</v>
      </c>
      <c r="B9875" t="s">
        <v>3221</v>
      </c>
      <c r="C9875">
        <v>12140</v>
      </c>
      <c r="D9875" t="s">
        <v>3654</v>
      </c>
      <c r="E9875" t="s">
        <v>700</v>
      </c>
      <c r="F9875">
        <v>17.29</v>
      </c>
      <c r="G9875">
        <v>230830</v>
      </c>
      <c r="H9875">
        <v>4347</v>
      </c>
      <c r="I9875" t="s">
        <v>193</v>
      </c>
      <c r="J9875">
        <v>21.44</v>
      </c>
      <c r="K9875">
        <v>4.1500000000000004</v>
      </c>
      <c r="L9875">
        <v>56560</v>
      </c>
      <c r="M9875" t="s">
        <v>654</v>
      </c>
      <c r="N9875" t="str">
        <f>"2123012168  "</f>
        <v xml:space="preserve">2123012168  </v>
      </c>
      <c r="O9875">
        <v>230914</v>
      </c>
    </row>
    <row r="9876" spans="1:15" x14ac:dyDescent="0.25">
      <c r="A9876" t="s">
        <v>16</v>
      </c>
      <c r="B9876" t="s">
        <v>3221</v>
      </c>
      <c r="C9876">
        <v>12330</v>
      </c>
      <c r="D9876" t="s">
        <v>3654</v>
      </c>
      <c r="E9876" t="s">
        <v>700</v>
      </c>
      <c r="F9876">
        <v>19.32</v>
      </c>
      <c r="G9876">
        <v>230830</v>
      </c>
      <c r="H9876">
        <v>4347</v>
      </c>
      <c r="I9876" t="s">
        <v>193</v>
      </c>
      <c r="J9876">
        <v>23.96</v>
      </c>
      <c r="K9876">
        <v>4.6399999999999997</v>
      </c>
      <c r="L9876">
        <v>56522</v>
      </c>
      <c r="M9876" t="s">
        <v>43</v>
      </c>
      <c r="N9876" t="str">
        <f>"2123012113  "</f>
        <v xml:space="preserve">2123012113  </v>
      </c>
      <c r="O9876">
        <v>230918</v>
      </c>
    </row>
    <row r="9877" spans="1:15" x14ac:dyDescent="0.25">
      <c r="A9877" t="s">
        <v>16</v>
      </c>
      <c r="B9877" t="s">
        <v>3221</v>
      </c>
      <c r="C9877">
        <v>12331</v>
      </c>
      <c r="D9877" t="s">
        <v>3654</v>
      </c>
      <c r="E9877" t="s">
        <v>700</v>
      </c>
      <c r="F9877">
        <v>10.46</v>
      </c>
      <c r="G9877">
        <v>230830</v>
      </c>
      <c r="H9877">
        <v>4347</v>
      </c>
      <c r="I9877" t="s">
        <v>193</v>
      </c>
      <c r="J9877">
        <v>12.97</v>
      </c>
      <c r="K9877">
        <v>2.5099999999999998</v>
      </c>
      <c r="L9877">
        <v>56524</v>
      </c>
      <c r="M9877" t="s">
        <v>150</v>
      </c>
      <c r="N9877" t="str">
        <f>"2123011909  "</f>
        <v xml:space="preserve">2123011909  </v>
      </c>
      <c r="O9877">
        <v>230918</v>
      </c>
    </row>
    <row r="9878" spans="1:15" x14ac:dyDescent="0.25">
      <c r="A9878" t="s">
        <v>16</v>
      </c>
      <c r="B9878" t="s">
        <v>3221</v>
      </c>
      <c r="C9878">
        <v>12332</v>
      </c>
      <c r="D9878" t="s">
        <v>3654</v>
      </c>
      <c r="E9878" t="s">
        <v>700</v>
      </c>
      <c r="F9878">
        <v>20.399999999999999</v>
      </c>
      <c r="G9878">
        <v>230830</v>
      </c>
      <c r="H9878">
        <v>4347</v>
      </c>
      <c r="I9878" t="s">
        <v>193</v>
      </c>
      <c r="J9878">
        <v>25.3</v>
      </c>
      <c r="K9878">
        <v>4.9000000000000004</v>
      </c>
      <c r="L9878">
        <v>54222</v>
      </c>
      <c r="M9878" t="s">
        <v>308</v>
      </c>
      <c r="N9878" t="str">
        <f>"2123012114  "</f>
        <v xml:space="preserve">2123012114  </v>
      </c>
      <c r="O9878">
        <v>230918</v>
      </c>
    </row>
    <row r="9879" spans="1:15" x14ac:dyDescent="0.25">
      <c r="A9879" t="s">
        <v>16</v>
      </c>
      <c r="B9879" t="s">
        <v>3221</v>
      </c>
      <c r="C9879">
        <v>13363</v>
      </c>
      <c r="D9879" t="s">
        <v>3654</v>
      </c>
      <c r="E9879" t="s">
        <v>700</v>
      </c>
      <c r="F9879">
        <v>59.26</v>
      </c>
      <c r="G9879">
        <v>230929</v>
      </c>
      <c r="H9879">
        <v>4347</v>
      </c>
      <c r="I9879" t="s">
        <v>193</v>
      </c>
      <c r="J9879">
        <v>73.48</v>
      </c>
      <c r="K9879">
        <v>14.22</v>
      </c>
      <c r="L9879">
        <v>13501</v>
      </c>
      <c r="M9879" t="s">
        <v>20</v>
      </c>
      <c r="N9879" t="str">
        <f>"2123014460  "</f>
        <v xml:space="preserve">2123014460  </v>
      </c>
      <c r="O9879">
        <v>231009</v>
      </c>
    </row>
    <row r="9880" spans="1:15" x14ac:dyDescent="0.25">
      <c r="A9880" t="s">
        <v>16</v>
      </c>
      <c r="B9880" t="s">
        <v>3221</v>
      </c>
      <c r="C9880">
        <v>13364</v>
      </c>
      <c r="D9880" t="s">
        <v>3654</v>
      </c>
      <c r="E9880" t="s">
        <v>700</v>
      </c>
      <c r="F9880">
        <v>44.52</v>
      </c>
      <c r="G9880">
        <v>230929</v>
      </c>
      <c r="H9880">
        <v>4347</v>
      </c>
      <c r="I9880" t="s">
        <v>193</v>
      </c>
      <c r="J9880">
        <v>55.2</v>
      </c>
      <c r="K9880">
        <v>10.68</v>
      </c>
      <c r="L9880">
        <v>59702</v>
      </c>
      <c r="M9880" t="s">
        <v>328</v>
      </c>
      <c r="N9880" t="str">
        <f>"2123014764  "</f>
        <v xml:space="preserve">2123014764  </v>
      </c>
      <c r="O9880">
        <v>231009</v>
      </c>
    </row>
    <row r="9881" spans="1:15" x14ac:dyDescent="0.25">
      <c r="A9881" t="s">
        <v>16</v>
      </c>
      <c r="B9881" t="s">
        <v>3221</v>
      </c>
      <c r="C9881">
        <v>13483</v>
      </c>
      <c r="D9881" t="s">
        <v>3654</v>
      </c>
      <c r="E9881" t="s">
        <v>700</v>
      </c>
      <c r="F9881">
        <v>8.5500000000000007</v>
      </c>
      <c r="G9881">
        <v>230929</v>
      </c>
      <c r="H9881">
        <v>4347</v>
      </c>
      <c r="I9881" t="s">
        <v>193</v>
      </c>
      <c r="J9881">
        <v>10.6</v>
      </c>
      <c r="K9881">
        <v>2.0499999999999998</v>
      </c>
      <c r="L9881">
        <v>17806</v>
      </c>
      <c r="M9881" t="s">
        <v>265</v>
      </c>
      <c r="N9881" t="str">
        <f>"2123014817  "</f>
        <v xml:space="preserve">2123014817  </v>
      </c>
      <c r="O9881">
        <v>231010</v>
      </c>
    </row>
    <row r="9882" spans="1:15" x14ac:dyDescent="0.25">
      <c r="A9882" t="s">
        <v>16</v>
      </c>
      <c r="B9882" t="s">
        <v>3221</v>
      </c>
      <c r="C9882">
        <v>13564</v>
      </c>
      <c r="D9882" t="s">
        <v>3654</v>
      </c>
      <c r="E9882" t="s">
        <v>700</v>
      </c>
      <c r="F9882">
        <v>8.98</v>
      </c>
      <c r="G9882">
        <v>230929</v>
      </c>
      <c r="H9882">
        <v>4347</v>
      </c>
      <c r="I9882" t="s">
        <v>193</v>
      </c>
      <c r="J9882">
        <v>11.14</v>
      </c>
      <c r="K9882">
        <v>2.16</v>
      </c>
      <c r="L9882">
        <v>13601</v>
      </c>
      <c r="M9882" t="s">
        <v>147</v>
      </c>
      <c r="N9882" t="str">
        <f>"2123014463  "</f>
        <v xml:space="preserve">2123014463  </v>
      </c>
      <c r="O9882">
        <v>231011</v>
      </c>
    </row>
    <row r="9883" spans="1:15" x14ac:dyDescent="0.25">
      <c r="A9883" t="s">
        <v>16</v>
      </c>
      <c r="B9883" t="s">
        <v>3221</v>
      </c>
      <c r="C9883">
        <v>13656</v>
      </c>
      <c r="D9883" t="s">
        <v>3654</v>
      </c>
      <c r="E9883" t="s">
        <v>700</v>
      </c>
      <c r="F9883">
        <v>11.36</v>
      </c>
      <c r="G9883">
        <v>230929</v>
      </c>
      <c r="H9883">
        <v>4347</v>
      </c>
      <c r="I9883" t="s">
        <v>193</v>
      </c>
      <c r="J9883">
        <v>14.09</v>
      </c>
      <c r="K9883">
        <v>2.73</v>
      </c>
      <c r="L9883">
        <v>14622</v>
      </c>
      <c r="M9883" t="s">
        <v>1005</v>
      </c>
      <c r="N9883" t="str">
        <f>"2123015467  "</f>
        <v xml:space="preserve">2123015467  </v>
      </c>
      <c r="O9883">
        <v>231012</v>
      </c>
    </row>
    <row r="9884" spans="1:15" x14ac:dyDescent="0.25">
      <c r="A9884" t="s">
        <v>16</v>
      </c>
      <c r="B9884" t="s">
        <v>3221</v>
      </c>
      <c r="C9884">
        <v>13801</v>
      </c>
      <c r="D9884" t="s">
        <v>3654</v>
      </c>
      <c r="E9884" t="s">
        <v>700</v>
      </c>
      <c r="F9884">
        <v>31.93</v>
      </c>
      <c r="G9884">
        <v>230929</v>
      </c>
      <c r="H9884">
        <v>4347</v>
      </c>
      <c r="I9884" t="s">
        <v>193</v>
      </c>
      <c r="J9884">
        <v>39.590000000000003</v>
      </c>
      <c r="K9884">
        <v>7.66</v>
      </c>
      <c r="L9884">
        <v>56566</v>
      </c>
      <c r="M9884" t="s">
        <v>652</v>
      </c>
      <c r="N9884" t="str">
        <f>"2123014767  "</f>
        <v xml:space="preserve">2123014767  </v>
      </c>
      <c r="O9884">
        <v>231013</v>
      </c>
    </row>
    <row r="9885" spans="1:15" x14ac:dyDescent="0.25">
      <c r="A9885" t="s">
        <v>16</v>
      </c>
      <c r="B9885" t="s">
        <v>3221</v>
      </c>
      <c r="C9885">
        <v>13802</v>
      </c>
      <c r="D9885" t="s">
        <v>3654</v>
      </c>
      <c r="E9885" t="s">
        <v>700</v>
      </c>
      <c r="F9885">
        <v>28.25</v>
      </c>
      <c r="G9885">
        <v>230929</v>
      </c>
      <c r="H9885">
        <v>4347</v>
      </c>
      <c r="I9885" t="s">
        <v>193</v>
      </c>
      <c r="J9885">
        <v>35.03</v>
      </c>
      <c r="K9885">
        <v>6.78</v>
      </c>
      <c r="L9885">
        <v>53222</v>
      </c>
      <c r="M9885" t="s">
        <v>445</v>
      </c>
      <c r="N9885" t="str">
        <f>"2123014770  "</f>
        <v xml:space="preserve">2123014770  </v>
      </c>
      <c r="O9885">
        <v>231013</v>
      </c>
    </row>
    <row r="9886" spans="1:15" x14ac:dyDescent="0.25">
      <c r="A9886" t="s">
        <v>16</v>
      </c>
      <c r="B9886" t="s">
        <v>3221</v>
      </c>
      <c r="C9886">
        <v>13803</v>
      </c>
      <c r="D9886" t="s">
        <v>3654</v>
      </c>
      <c r="E9886" t="s">
        <v>700</v>
      </c>
      <c r="F9886">
        <v>21.53</v>
      </c>
      <c r="G9886">
        <v>230929</v>
      </c>
      <c r="H9886">
        <v>4347</v>
      </c>
      <c r="I9886" t="s">
        <v>193</v>
      </c>
      <c r="J9886">
        <v>26.7</v>
      </c>
      <c r="K9886">
        <v>5.17</v>
      </c>
      <c r="L9886">
        <v>56562</v>
      </c>
      <c r="M9886" t="s">
        <v>126</v>
      </c>
      <c r="N9886" t="str">
        <f>"2123014768  "</f>
        <v xml:space="preserve">2123014768  </v>
      </c>
      <c r="O9886">
        <v>231013</v>
      </c>
    </row>
    <row r="9887" spans="1:15" x14ac:dyDescent="0.25">
      <c r="A9887" t="s">
        <v>16</v>
      </c>
      <c r="B9887" t="s">
        <v>3221</v>
      </c>
      <c r="C9887">
        <v>13809</v>
      </c>
      <c r="D9887" t="s">
        <v>3654</v>
      </c>
      <c r="E9887" t="s">
        <v>700</v>
      </c>
      <c r="F9887">
        <v>46.1</v>
      </c>
      <c r="G9887">
        <v>230929</v>
      </c>
      <c r="H9887">
        <v>4347</v>
      </c>
      <c r="I9887" t="s">
        <v>193</v>
      </c>
      <c r="J9887">
        <v>57.16</v>
      </c>
      <c r="K9887">
        <v>11.06</v>
      </c>
      <c r="L9887">
        <v>59702</v>
      </c>
      <c r="M9887" t="s">
        <v>328</v>
      </c>
      <c r="N9887" t="str">
        <f>"2123014769  "</f>
        <v xml:space="preserve">2123014769  </v>
      </c>
      <c r="O9887">
        <v>231013</v>
      </c>
    </row>
    <row r="9888" spans="1:15" x14ac:dyDescent="0.25">
      <c r="A9888" t="s">
        <v>16</v>
      </c>
      <c r="B9888" t="s">
        <v>3221</v>
      </c>
      <c r="C9888">
        <v>13875</v>
      </c>
      <c r="D9888" t="s">
        <v>3654</v>
      </c>
      <c r="E9888" t="s">
        <v>700</v>
      </c>
      <c r="F9888">
        <v>88.5</v>
      </c>
      <c r="G9888">
        <v>230929</v>
      </c>
      <c r="H9888">
        <v>4347</v>
      </c>
      <c r="I9888" t="s">
        <v>193</v>
      </c>
      <c r="J9888">
        <v>109.74</v>
      </c>
      <c r="K9888">
        <v>21.24</v>
      </c>
      <c r="L9888">
        <v>47522</v>
      </c>
      <c r="M9888" t="s">
        <v>410</v>
      </c>
      <c r="N9888" t="str">
        <f>"2123014790  "</f>
        <v xml:space="preserve">2123014790  </v>
      </c>
      <c r="O9888">
        <v>231016</v>
      </c>
    </row>
    <row r="9889" spans="1:15" x14ac:dyDescent="0.25">
      <c r="A9889" t="s">
        <v>16</v>
      </c>
      <c r="B9889" t="s">
        <v>3221</v>
      </c>
      <c r="C9889">
        <v>13878</v>
      </c>
      <c r="D9889" t="s">
        <v>3654</v>
      </c>
      <c r="E9889" t="s">
        <v>700</v>
      </c>
      <c r="F9889">
        <v>41.06</v>
      </c>
      <c r="G9889">
        <v>230929</v>
      </c>
      <c r="H9889">
        <v>4347</v>
      </c>
      <c r="I9889" t="s">
        <v>193</v>
      </c>
      <c r="J9889">
        <v>50.92</v>
      </c>
      <c r="K9889">
        <v>9.86</v>
      </c>
      <c r="L9889">
        <v>54422</v>
      </c>
      <c r="M9889" t="s">
        <v>234</v>
      </c>
      <c r="N9889" t="str">
        <f>"2123014765  "</f>
        <v xml:space="preserve">2123014765  </v>
      </c>
      <c r="O9889">
        <v>231016</v>
      </c>
    </row>
    <row r="9890" spans="1:15" x14ac:dyDescent="0.25">
      <c r="A9890" t="s">
        <v>16</v>
      </c>
      <c r="B9890" t="s">
        <v>3221</v>
      </c>
      <c r="C9890">
        <v>13878</v>
      </c>
      <c r="D9890" t="s">
        <v>3654</v>
      </c>
      <c r="E9890" t="s">
        <v>700</v>
      </c>
      <c r="F9890">
        <v>41.06</v>
      </c>
      <c r="G9890">
        <v>230929</v>
      </c>
      <c r="H9890">
        <v>4347</v>
      </c>
      <c r="I9890" t="s">
        <v>193</v>
      </c>
      <c r="J9890">
        <v>50.91</v>
      </c>
      <c r="K9890">
        <v>9.85</v>
      </c>
      <c r="L9890">
        <v>56563</v>
      </c>
      <c r="M9890" t="s">
        <v>953</v>
      </c>
      <c r="N9890" t="str">
        <f>"2123014765  "</f>
        <v xml:space="preserve">2123014765  </v>
      </c>
      <c r="O9890">
        <v>231016</v>
      </c>
    </row>
    <row r="9891" spans="1:15" x14ac:dyDescent="0.25">
      <c r="A9891" t="s">
        <v>16</v>
      </c>
      <c r="B9891" t="s">
        <v>3221</v>
      </c>
      <c r="C9891">
        <v>13884</v>
      </c>
      <c r="D9891" t="s">
        <v>3654</v>
      </c>
      <c r="E9891" t="s">
        <v>700</v>
      </c>
      <c r="F9891">
        <v>9.24</v>
      </c>
      <c r="G9891">
        <v>230929</v>
      </c>
      <c r="H9891">
        <v>4347</v>
      </c>
      <c r="I9891" t="s">
        <v>193</v>
      </c>
      <c r="J9891">
        <v>11.46</v>
      </c>
      <c r="K9891">
        <v>2.2200000000000002</v>
      </c>
      <c r="L9891">
        <v>56526</v>
      </c>
      <c r="M9891" t="s">
        <v>1217</v>
      </c>
      <c r="N9891" t="str">
        <f>"2123014761  "</f>
        <v xml:space="preserve">2123014761  </v>
      </c>
      <c r="O9891">
        <v>231016</v>
      </c>
    </row>
    <row r="9892" spans="1:15" x14ac:dyDescent="0.25">
      <c r="A9892" t="s">
        <v>16</v>
      </c>
      <c r="B9892" t="s">
        <v>3221</v>
      </c>
      <c r="C9892">
        <v>13941</v>
      </c>
      <c r="D9892" t="s">
        <v>3654</v>
      </c>
      <c r="E9892" t="s">
        <v>700</v>
      </c>
      <c r="F9892">
        <v>8.14</v>
      </c>
      <c r="G9892">
        <v>230929</v>
      </c>
      <c r="H9892">
        <v>4347</v>
      </c>
      <c r="I9892" t="s">
        <v>193</v>
      </c>
      <c r="J9892">
        <v>10.09</v>
      </c>
      <c r="K9892">
        <v>1.95</v>
      </c>
      <c r="L9892">
        <v>11001</v>
      </c>
      <c r="M9892" t="s">
        <v>326</v>
      </c>
      <c r="N9892" t="str">
        <f>"2123014766  "</f>
        <v xml:space="preserve">2123014766  </v>
      </c>
      <c r="O9892">
        <v>231017</v>
      </c>
    </row>
    <row r="9893" spans="1:15" x14ac:dyDescent="0.25">
      <c r="A9893" t="s">
        <v>16</v>
      </c>
      <c r="B9893" t="s">
        <v>3221</v>
      </c>
      <c r="C9893">
        <v>13941</v>
      </c>
      <c r="D9893" t="s">
        <v>3654</v>
      </c>
      <c r="E9893" t="s">
        <v>700</v>
      </c>
      <c r="F9893">
        <v>24.4</v>
      </c>
      <c r="G9893">
        <v>230929</v>
      </c>
      <c r="H9893">
        <v>4347</v>
      </c>
      <c r="I9893" t="s">
        <v>193</v>
      </c>
      <c r="J9893">
        <v>30.26</v>
      </c>
      <c r="K9893">
        <v>5.86</v>
      </c>
      <c r="L9893">
        <v>11101</v>
      </c>
      <c r="M9893" t="s">
        <v>110</v>
      </c>
      <c r="N9893" t="str">
        <f>"2123014766  "</f>
        <v xml:space="preserve">2123014766  </v>
      </c>
      <c r="O9893">
        <v>231017</v>
      </c>
    </row>
    <row r="9894" spans="1:15" x14ac:dyDescent="0.25">
      <c r="A9894" t="s">
        <v>16</v>
      </c>
      <c r="B9894" t="s">
        <v>3221</v>
      </c>
      <c r="C9894">
        <v>13941</v>
      </c>
      <c r="D9894" t="s">
        <v>3654</v>
      </c>
      <c r="E9894" t="s">
        <v>700</v>
      </c>
      <c r="F9894">
        <v>8.14</v>
      </c>
      <c r="G9894">
        <v>230929</v>
      </c>
      <c r="H9894">
        <v>4347</v>
      </c>
      <c r="I9894" t="s">
        <v>193</v>
      </c>
      <c r="J9894">
        <v>10.09</v>
      </c>
      <c r="K9894">
        <v>1.95</v>
      </c>
      <c r="L9894">
        <v>18971</v>
      </c>
      <c r="M9894" t="s">
        <v>63</v>
      </c>
      <c r="N9894" t="str">
        <f>"2123014766  "</f>
        <v xml:space="preserve">2123014766  </v>
      </c>
      <c r="O9894">
        <v>231017</v>
      </c>
    </row>
    <row r="9895" spans="1:15" x14ac:dyDescent="0.25">
      <c r="A9895" t="s">
        <v>16</v>
      </c>
      <c r="B9895" t="s">
        <v>3221</v>
      </c>
      <c r="C9895">
        <v>14231</v>
      </c>
      <c r="D9895" t="s">
        <v>3654</v>
      </c>
      <c r="E9895" t="s">
        <v>700</v>
      </c>
      <c r="F9895">
        <v>6.87</v>
      </c>
      <c r="G9895">
        <v>230929</v>
      </c>
      <c r="H9895">
        <v>4347</v>
      </c>
      <c r="I9895" t="s">
        <v>193</v>
      </c>
      <c r="J9895">
        <v>8.52</v>
      </c>
      <c r="K9895">
        <v>1.65</v>
      </c>
      <c r="L9895">
        <v>13561</v>
      </c>
      <c r="M9895" t="s">
        <v>246</v>
      </c>
      <c r="N9895" t="str">
        <f>"2123014429  "</f>
        <v xml:space="preserve">2123014429  </v>
      </c>
      <c r="O9895">
        <v>231024</v>
      </c>
    </row>
    <row r="9896" spans="1:15" x14ac:dyDescent="0.25">
      <c r="A9896" t="s">
        <v>16</v>
      </c>
      <c r="B9896" t="s">
        <v>3221</v>
      </c>
      <c r="C9896">
        <v>14231</v>
      </c>
      <c r="D9896" t="s">
        <v>3654</v>
      </c>
      <c r="E9896" t="s">
        <v>700</v>
      </c>
      <c r="F9896">
        <v>13.75</v>
      </c>
      <c r="G9896">
        <v>230929</v>
      </c>
      <c r="H9896">
        <v>4347</v>
      </c>
      <c r="I9896" t="s">
        <v>193</v>
      </c>
      <c r="J9896">
        <v>17.05</v>
      </c>
      <c r="K9896">
        <v>3.3</v>
      </c>
      <c r="L9896">
        <v>17971</v>
      </c>
      <c r="M9896" t="s">
        <v>138</v>
      </c>
      <c r="N9896" t="str">
        <f>"2123014429  "</f>
        <v xml:space="preserve">2123014429  </v>
      </c>
      <c r="O9896">
        <v>231024</v>
      </c>
    </row>
    <row r="9897" spans="1:15" x14ac:dyDescent="0.25">
      <c r="A9897" t="s">
        <v>16</v>
      </c>
      <c r="B9897" t="s">
        <v>3221</v>
      </c>
      <c r="C9897">
        <v>15170</v>
      </c>
      <c r="D9897" t="s">
        <v>3654</v>
      </c>
      <c r="E9897" t="s">
        <v>700</v>
      </c>
      <c r="F9897">
        <v>119.01</v>
      </c>
      <c r="G9897">
        <v>231031</v>
      </c>
      <c r="H9897">
        <v>4347</v>
      </c>
      <c r="I9897" t="s">
        <v>193</v>
      </c>
      <c r="J9897">
        <v>147.57</v>
      </c>
      <c r="K9897">
        <v>28.56</v>
      </c>
      <c r="L9897">
        <v>13401</v>
      </c>
      <c r="M9897" t="s">
        <v>80</v>
      </c>
      <c r="N9897" t="str">
        <f>"2123017793  "</f>
        <v xml:space="preserve">2123017793  </v>
      </c>
      <c r="O9897">
        <v>231109</v>
      </c>
    </row>
    <row r="9898" spans="1:15" x14ac:dyDescent="0.25">
      <c r="A9898" t="s">
        <v>16</v>
      </c>
      <c r="B9898" t="s">
        <v>3221</v>
      </c>
      <c r="C9898">
        <v>15173</v>
      </c>
      <c r="D9898" t="s">
        <v>3654</v>
      </c>
      <c r="E9898" t="s">
        <v>700</v>
      </c>
      <c r="F9898">
        <v>12.25</v>
      </c>
      <c r="G9898">
        <v>231031</v>
      </c>
      <c r="H9898">
        <v>4347</v>
      </c>
      <c r="I9898" t="s">
        <v>193</v>
      </c>
      <c r="J9898">
        <v>15.19</v>
      </c>
      <c r="K9898">
        <v>2.94</v>
      </c>
      <c r="L9898">
        <v>16431</v>
      </c>
      <c r="M9898" t="s">
        <v>231</v>
      </c>
      <c r="N9898" t="str">
        <f>"2123017798  "</f>
        <v xml:space="preserve">2123017798  </v>
      </c>
      <c r="O9898">
        <v>231109</v>
      </c>
    </row>
    <row r="9899" spans="1:15" x14ac:dyDescent="0.25">
      <c r="A9899" t="s">
        <v>16</v>
      </c>
      <c r="B9899" t="s">
        <v>3221</v>
      </c>
      <c r="C9899">
        <v>15190</v>
      </c>
      <c r="D9899" t="s">
        <v>3654</v>
      </c>
      <c r="E9899" t="s">
        <v>700</v>
      </c>
      <c r="F9899">
        <v>187.31</v>
      </c>
      <c r="G9899">
        <v>231031</v>
      </c>
      <c r="H9899">
        <v>4347</v>
      </c>
      <c r="I9899" t="s">
        <v>193</v>
      </c>
      <c r="J9899">
        <v>232.26</v>
      </c>
      <c r="K9899">
        <v>44.95</v>
      </c>
      <c r="L9899">
        <v>14972</v>
      </c>
      <c r="M9899" t="s">
        <v>898</v>
      </c>
      <c r="N9899" t="str">
        <f>"2123016973  "</f>
        <v xml:space="preserve">2123016973  </v>
      </c>
      <c r="O9899">
        <v>231109</v>
      </c>
    </row>
    <row r="9900" spans="1:15" x14ac:dyDescent="0.25">
      <c r="A9900" t="s">
        <v>16</v>
      </c>
      <c r="B9900" t="s">
        <v>3221</v>
      </c>
      <c r="C9900">
        <v>15192</v>
      </c>
      <c r="D9900" t="s">
        <v>3654</v>
      </c>
      <c r="E9900" t="s">
        <v>700</v>
      </c>
      <c r="F9900">
        <v>13.09</v>
      </c>
      <c r="G9900">
        <v>231031</v>
      </c>
      <c r="H9900">
        <v>4347</v>
      </c>
      <c r="I9900" t="s">
        <v>193</v>
      </c>
      <c r="J9900">
        <v>16.23</v>
      </c>
      <c r="K9900">
        <v>3.14</v>
      </c>
      <c r="L9900">
        <v>17807</v>
      </c>
      <c r="M9900" t="s">
        <v>318</v>
      </c>
      <c r="N9900" t="str">
        <f>"2123017804  "</f>
        <v xml:space="preserve">2123017804  </v>
      </c>
      <c r="O9900">
        <v>231109</v>
      </c>
    </row>
    <row r="9901" spans="1:15" x14ac:dyDescent="0.25">
      <c r="A9901" t="s">
        <v>16</v>
      </c>
      <c r="B9901" t="s">
        <v>3221</v>
      </c>
      <c r="C9901">
        <v>15194</v>
      </c>
      <c r="D9901" t="s">
        <v>3654</v>
      </c>
      <c r="E9901" t="s">
        <v>700</v>
      </c>
      <c r="F9901">
        <v>6.69</v>
      </c>
      <c r="G9901">
        <v>231031</v>
      </c>
      <c r="H9901">
        <v>4347</v>
      </c>
      <c r="I9901" t="s">
        <v>193</v>
      </c>
      <c r="J9901">
        <v>8.3000000000000007</v>
      </c>
      <c r="K9901">
        <v>1.61</v>
      </c>
      <c r="L9901">
        <v>17802</v>
      </c>
      <c r="M9901" t="s">
        <v>174</v>
      </c>
      <c r="N9901" t="str">
        <f>"2123017799  "</f>
        <v xml:space="preserve">2123017799  </v>
      </c>
      <c r="O9901">
        <v>231109</v>
      </c>
    </row>
    <row r="9902" spans="1:15" x14ac:dyDescent="0.25">
      <c r="A9902" t="s">
        <v>16</v>
      </c>
      <c r="B9902" t="s">
        <v>3221</v>
      </c>
      <c r="C9902">
        <v>15201</v>
      </c>
      <c r="D9902" t="s">
        <v>3654</v>
      </c>
      <c r="E9902" t="s">
        <v>700</v>
      </c>
      <c r="F9902">
        <v>49.01</v>
      </c>
      <c r="G9902">
        <v>231031</v>
      </c>
      <c r="H9902">
        <v>4347</v>
      </c>
      <c r="I9902" t="s">
        <v>193</v>
      </c>
      <c r="J9902">
        <v>60.77</v>
      </c>
      <c r="K9902">
        <v>11.76</v>
      </c>
      <c r="L9902">
        <v>14972</v>
      </c>
      <c r="M9902" t="s">
        <v>898</v>
      </c>
      <c r="N9902" t="str">
        <f>"2123016974  "</f>
        <v xml:space="preserve">2123016974  </v>
      </c>
      <c r="O9902">
        <v>231109</v>
      </c>
    </row>
    <row r="9903" spans="1:15" x14ac:dyDescent="0.25">
      <c r="A9903" t="s">
        <v>16</v>
      </c>
      <c r="B9903" t="s">
        <v>3221</v>
      </c>
      <c r="C9903">
        <v>15203</v>
      </c>
      <c r="D9903" t="s">
        <v>3654</v>
      </c>
      <c r="E9903" t="s">
        <v>700</v>
      </c>
      <c r="F9903">
        <v>44.25</v>
      </c>
      <c r="G9903">
        <v>231031</v>
      </c>
      <c r="H9903">
        <v>4347</v>
      </c>
      <c r="I9903" t="s">
        <v>193</v>
      </c>
      <c r="J9903">
        <v>54.87</v>
      </c>
      <c r="K9903">
        <v>10.62</v>
      </c>
      <c r="L9903">
        <v>16431</v>
      </c>
      <c r="M9903" t="s">
        <v>231</v>
      </c>
      <c r="N9903" t="str">
        <f>"2123017800  "</f>
        <v xml:space="preserve">2123017800  </v>
      </c>
      <c r="O9903">
        <v>231109</v>
      </c>
    </row>
    <row r="9904" spans="1:15" x14ac:dyDescent="0.25">
      <c r="A9904" t="s">
        <v>16</v>
      </c>
      <c r="B9904" t="s">
        <v>3221</v>
      </c>
      <c r="C9904">
        <v>15204</v>
      </c>
      <c r="D9904" t="s">
        <v>3654</v>
      </c>
      <c r="E9904" t="s">
        <v>700</v>
      </c>
      <c r="F9904">
        <v>10.65</v>
      </c>
      <c r="G9904">
        <v>231031</v>
      </c>
      <c r="H9904">
        <v>4347</v>
      </c>
      <c r="I9904" t="s">
        <v>193</v>
      </c>
      <c r="J9904">
        <v>13.21</v>
      </c>
      <c r="K9904">
        <v>2.56</v>
      </c>
      <c r="L9904">
        <v>16431</v>
      </c>
      <c r="M9904" t="s">
        <v>231</v>
      </c>
      <c r="N9904" t="str">
        <f>"2123017797  "</f>
        <v xml:space="preserve">2123017797  </v>
      </c>
      <c r="O9904">
        <v>231109</v>
      </c>
    </row>
    <row r="9905" spans="1:15" x14ac:dyDescent="0.25">
      <c r="A9905" t="s">
        <v>16</v>
      </c>
      <c r="B9905" t="s">
        <v>3221</v>
      </c>
      <c r="C9905">
        <v>15214</v>
      </c>
      <c r="D9905" t="s">
        <v>3654</v>
      </c>
      <c r="E9905" t="s">
        <v>700</v>
      </c>
      <c r="F9905">
        <v>35.729999999999997</v>
      </c>
      <c r="G9905">
        <v>231031</v>
      </c>
      <c r="H9905">
        <v>4347</v>
      </c>
      <c r="I9905" t="s">
        <v>193</v>
      </c>
      <c r="J9905">
        <v>44.31</v>
      </c>
      <c r="K9905">
        <v>8.58</v>
      </c>
      <c r="L9905">
        <v>16321</v>
      </c>
      <c r="M9905" t="s">
        <v>423</v>
      </c>
      <c r="N9905" t="str">
        <f>"2123017795  "</f>
        <v xml:space="preserve">2123017795  </v>
      </c>
      <c r="O9905">
        <v>231109</v>
      </c>
    </row>
    <row r="9906" spans="1:15" x14ac:dyDescent="0.25">
      <c r="A9906" t="s">
        <v>16</v>
      </c>
      <c r="B9906" t="s">
        <v>3221</v>
      </c>
      <c r="C9906">
        <v>15217</v>
      </c>
      <c r="D9906" t="s">
        <v>3654</v>
      </c>
      <c r="E9906" t="s">
        <v>700</v>
      </c>
      <c r="F9906">
        <v>7.33</v>
      </c>
      <c r="G9906">
        <v>231031</v>
      </c>
      <c r="H9906">
        <v>4347</v>
      </c>
      <c r="I9906" t="s">
        <v>193</v>
      </c>
      <c r="J9906">
        <v>9.09</v>
      </c>
      <c r="K9906">
        <v>1.76</v>
      </c>
      <c r="L9906">
        <v>17807</v>
      </c>
      <c r="M9906" t="s">
        <v>318</v>
      </c>
      <c r="N9906" t="str">
        <f>"2123017796  "</f>
        <v xml:space="preserve">2123017796  </v>
      </c>
      <c r="O9906">
        <v>231109</v>
      </c>
    </row>
    <row r="9907" spans="1:15" x14ac:dyDescent="0.25">
      <c r="A9907" t="s">
        <v>16</v>
      </c>
      <c r="B9907" t="s">
        <v>3221</v>
      </c>
      <c r="C9907">
        <v>15224</v>
      </c>
      <c r="D9907" t="s">
        <v>3654</v>
      </c>
      <c r="E9907" t="s">
        <v>700</v>
      </c>
      <c r="F9907">
        <v>8.93</v>
      </c>
      <c r="G9907">
        <v>231031</v>
      </c>
      <c r="H9907">
        <v>4347</v>
      </c>
      <c r="I9907" t="s">
        <v>193</v>
      </c>
      <c r="J9907">
        <v>11.07</v>
      </c>
      <c r="K9907">
        <v>2.14</v>
      </c>
      <c r="L9907">
        <v>56524</v>
      </c>
      <c r="M9907" t="s">
        <v>150</v>
      </c>
      <c r="N9907" t="str">
        <f>"2123017790  "</f>
        <v xml:space="preserve">2123017790  </v>
      </c>
      <c r="O9907">
        <v>231109</v>
      </c>
    </row>
    <row r="9908" spans="1:15" x14ac:dyDescent="0.25">
      <c r="A9908" t="s">
        <v>16</v>
      </c>
      <c r="B9908" t="s">
        <v>3221</v>
      </c>
      <c r="C9908">
        <v>17841</v>
      </c>
      <c r="D9908" t="s">
        <v>3654</v>
      </c>
      <c r="E9908" t="s">
        <v>700</v>
      </c>
      <c r="F9908">
        <v>86.57</v>
      </c>
      <c r="G9908">
        <v>231128</v>
      </c>
      <c r="H9908">
        <v>4347</v>
      </c>
      <c r="I9908" t="s">
        <v>193</v>
      </c>
      <c r="J9908">
        <v>107.35</v>
      </c>
      <c r="K9908">
        <v>20.78</v>
      </c>
      <c r="L9908">
        <v>13601</v>
      </c>
      <c r="M9908" t="s">
        <v>147</v>
      </c>
      <c r="N9908" t="str">
        <f>"2123020040  "</f>
        <v xml:space="preserve">2123020040  </v>
      </c>
      <c r="O9908">
        <v>231227</v>
      </c>
    </row>
    <row r="9909" spans="1:15" x14ac:dyDescent="0.25">
      <c r="A9909" t="s">
        <v>16</v>
      </c>
      <c r="B9909" t="s">
        <v>3221</v>
      </c>
      <c r="C9909">
        <v>17842</v>
      </c>
      <c r="D9909" t="s">
        <v>3654</v>
      </c>
      <c r="E9909" t="s">
        <v>700</v>
      </c>
      <c r="F9909">
        <v>24.49</v>
      </c>
      <c r="G9909">
        <v>231128</v>
      </c>
      <c r="H9909">
        <v>4347</v>
      </c>
      <c r="I9909" t="s">
        <v>193</v>
      </c>
      <c r="J9909">
        <v>30.37</v>
      </c>
      <c r="K9909">
        <v>5.88</v>
      </c>
      <c r="L9909">
        <v>56558</v>
      </c>
      <c r="M9909" t="s">
        <v>217</v>
      </c>
      <c r="N9909" t="str">
        <f>"2123020212  "</f>
        <v xml:space="preserve">2123020212  </v>
      </c>
      <c r="O9909">
        <v>231227</v>
      </c>
    </row>
    <row r="9910" spans="1:15" x14ac:dyDescent="0.25">
      <c r="A9910" t="s">
        <v>16</v>
      </c>
      <c r="B9910" t="s">
        <v>3221</v>
      </c>
      <c r="C9910">
        <v>17844</v>
      </c>
      <c r="D9910" t="s">
        <v>3654</v>
      </c>
      <c r="E9910" t="s">
        <v>700</v>
      </c>
      <c r="F9910">
        <v>60.89</v>
      </c>
      <c r="G9910">
        <v>231128</v>
      </c>
      <c r="H9910">
        <v>4347</v>
      </c>
      <c r="I9910" t="s">
        <v>193</v>
      </c>
      <c r="J9910">
        <v>75.5</v>
      </c>
      <c r="K9910">
        <v>14.61</v>
      </c>
      <c r="L9910">
        <v>43222</v>
      </c>
      <c r="M9910" t="s">
        <v>507</v>
      </c>
      <c r="N9910" t="str">
        <f>"2123020846  "</f>
        <v xml:space="preserve">2123020846  </v>
      </c>
      <c r="O9910">
        <v>231227</v>
      </c>
    </row>
    <row r="9911" spans="1:15" x14ac:dyDescent="0.25">
      <c r="A9911" t="s">
        <v>16</v>
      </c>
      <c r="B9911" t="s">
        <v>3221</v>
      </c>
      <c r="C9911">
        <v>17846</v>
      </c>
      <c r="D9911" t="s">
        <v>3654</v>
      </c>
      <c r="E9911" t="s">
        <v>700</v>
      </c>
      <c r="F9911">
        <v>31.18</v>
      </c>
      <c r="G9911">
        <v>231128</v>
      </c>
      <c r="H9911">
        <v>4347</v>
      </c>
      <c r="I9911" t="s">
        <v>193</v>
      </c>
      <c r="J9911">
        <v>38.659999999999997</v>
      </c>
      <c r="K9911">
        <v>7.48</v>
      </c>
      <c r="L9911">
        <v>44424</v>
      </c>
      <c r="M9911" t="s">
        <v>776</v>
      </c>
      <c r="N9911" t="str">
        <f>"2123020205  "</f>
        <v xml:space="preserve">2123020205  </v>
      </c>
      <c r="O9911">
        <v>231227</v>
      </c>
    </row>
    <row r="9912" spans="1:15" x14ac:dyDescent="0.25">
      <c r="A9912" t="s">
        <v>16</v>
      </c>
      <c r="B9912" t="s">
        <v>3221</v>
      </c>
      <c r="C9912">
        <v>17847</v>
      </c>
      <c r="D9912" t="s">
        <v>3654</v>
      </c>
      <c r="E9912" t="s">
        <v>700</v>
      </c>
      <c r="F9912">
        <v>68.37</v>
      </c>
      <c r="G9912">
        <v>231128</v>
      </c>
      <c r="H9912">
        <v>4347</v>
      </c>
      <c r="I9912" t="s">
        <v>193</v>
      </c>
      <c r="J9912">
        <v>84.78</v>
      </c>
      <c r="K9912">
        <v>16.41</v>
      </c>
      <c r="L9912">
        <v>48601</v>
      </c>
      <c r="M9912" t="s">
        <v>1047</v>
      </c>
      <c r="N9912" t="str">
        <f>"2123020141  "</f>
        <v xml:space="preserve">2123020141  </v>
      </c>
      <c r="O9912">
        <v>231227</v>
      </c>
    </row>
    <row r="9913" spans="1:15" x14ac:dyDescent="0.25">
      <c r="A9913" t="s">
        <v>16</v>
      </c>
      <c r="B9913" t="s">
        <v>3221</v>
      </c>
      <c r="C9913">
        <v>17848</v>
      </c>
      <c r="D9913" t="s">
        <v>3654</v>
      </c>
      <c r="E9913" t="s">
        <v>700</v>
      </c>
      <c r="F9913">
        <v>7.25</v>
      </c>
      <c r="G9913">
        <v>231128</v>
      </c>
      <c r="H9913">
        <v>4347</v>
      </c>
      <c r="I9913" t="s">
        <v>193</v>
      </c>
      <c r="J9913">
        <v>8.99</v>
      </c>
      <c r="K9913">
        <v>1.74</v>
      </c>
      <c r="L9913">
        <v>46556</v>
      </c>
      <c r="M9913" t="s">
        <v>125</v>
      </c>
      <c r="N9913" t="str">
        <f>"2123020900  "</f>
        <v xml:space="preserve">2123020900  </v>
      </c>
      <c r="O9913">
        <v>231227</v>
      </c>
    </row>
    <row r="9914" spans="1:15" x14ac:dyDescent="0.25">
      <c r="A9914" t="s">
        <v>16</v>
      </c>
      <c r="B9914" t="s">
        <v>3221</v>
      </c>
      <c r="C9914">
        <v>17850</v>
      </c>
      <c r="D9914" t="s">
        <v>3654</v>
      </c>
      <c r="E9914" t="s">
        <v>700</v>
      </c>
      <c r="F9914">
        <v>66.260000000000005</v>
      </c>
      <c r="G9914">
        <v>231128</v>
      </c>
      <c r="H9914">
        <v>4347</v>
      </c>
      <c r="I9914" t="s">
        <v>193</v>
      </c>
      <c r="J9914">
        <v>82.16</v>
      </c>
      <c r="K9914">
        <v>15.9</v>
      </c>
      <c r="L9914">
        <v>17131</v>
      </c>
      <c r="M9914" t="s">
        <v>64</v>
      </c>
      <c r="N9914" t="str">
        <f>"2123020036  "</f>
        <v xml:space="preserve">2123020036  </v>
      </c>
      <c r="O9914">
        <v>231227</v>
      </c>
    </row>
    <row r="9915" spans="1:15" x14ac:dyDescent="0.25">
      <c r="A9915" t="s">
        <v>16</v>
      </c>
      <c r="B9915" t="s">
        <v>3221</v>
      </c>
      <c r="C9915">
        <v>17850</v>
      </c>
      <c r="D9915" t="s">
        <v>3654</v>
      </c>
      <c r="E9915" t="s">
        <v>700</v>
      </c>
      <c r="F9915">
        <v>66.260000000000005</v>
      </c>
      <c r="G9915">
        <v>231128</v>
      </c>
      <c r="H9915">
        <v>4347</v>
      </c>
      <c r="I9915" t="s">
        <v>193</v>
      </c>
      <c r="J9915">
        <v>82.16</v>
      </c>
      <c r="K9915">
        <v>15.9</v>
      </c>
      <c r="L9915">
        <v>17711</v>
      </c>
      <c r="M9915" t="s">
        <v>65</v>
      </c>
      <c r="N9915" t="str">
        <f>"2123020036  "</f>
        <v xml:space="preserve">2123020036  </v>
      </c>
      <c r="O9915">
        <v>231227</v>
      </c>
    </row>
    <row r="9916" spans="1:15" x14ac:dyDescent="0.25">
      <c r="A9916" t="s">
        <v>16</v>
      </c>
      <c r="B9916" t="s">
        <v>3221</v>
      </c>
      <c r="C9916">
        <v>17851</v>
      </c>
      <c r="D9916" t="s">
        <v>3654</v>
      </c>
      <c r="E9916" t="s">
        <v>700</v>
      </c>
      <c r="F9916">
        <v>37.94</v>
      </c>
      <c r="G9916">
        <v>231128</v>
      </c>
      <c r="H9916">
        <v>4347</v>
      </c>
      <c r="I9916" t="s">
        <v>193</v>
      </c>
      <c r="J9916">
        <v>47.05</v>
      </c>
      <c r="K9916">
        <v>9.11</v>
      </c>
      <c r="L9916">
        <v>17971</v>
      </c>
      <c r="M9916" t="s">
        <v>138</v>
      </c>
      <c r="N9916" t="str">
        <f>"2123020033  "</f>
        <v xml:space="preserve">2123020033  </v>
      </c>
      <c r="O9916">
        <v>231227</v>
      </c>
    </row>
    <row r="9917" spans="1:15" x14ac:dyDescent="0.25">
      <c r="A9917" t="s">
        <v>16</v>
      </c>
      <c r="B9917" t="s">
        <v>3221</v>
      </c>
      <c r="C9917">
        <v>17852</v>
      </c>
      <c r="D9917" t="s">
        <v>3654</v>
      </c>
      <c r="E9917" t="s">
        <v>700</v>
      </c>
      <c r="F9917">
        <v>40.82</v>
      </c>
      <c r="G9917">
        <v>231128</v>
      </c>
      <c r="H9917">
        <v>4347</v>
      </c>
      <c r="I9917" t="s">
        <v>193</v>
      </c>
      <c r="J9917">
        <v>50.62</v>
      </c>
      <c r="K9917">
        <v>9.8000000000000007</v>
      </c>
      <c r="L9917">
        <v>56524</v>
      </c>
      <c r="M9917" t="s">
        <v>150</v>
      </c>
      <c r="N9917" t="str">
        <f>"2123020211  "</f>
        <v xml:space="preserve">2123020211  </v>
      </c>
      <c r="O9917">
        <v>231227</v>
      </c>
    </row>
    <row r="9918" spans="1:15" x14ac:dyDescent="0.25">
      <c r="A9918" t="s">
        <v>16</v>
      </c>
      <c r="B9918" t="s">
        <v>3221</v>
      </c>
      <c r="C9918">
        <v>17854</v>
      </c>
      <c r="D9918" t="s">
        <v>3654</v>
      </c>
      <c r="E9918" t="s">
        <v>700</v>
      </c>
      <c r="F9918">
        <v>15.44</v>
      </c>
      <c r="G9918">
        <v>231128</v>
      </c>
      <c r="H9918">
        <v>4347</v>
      </c>
      <c r="I9918" t="s">
        <v>193</v>
      </c>
      <c r="J9918">
        <v>19.149999999999999</v>
      </c>
      <c r="K9918">
        <v>3.71</v>
      </c>
      <c r="L9918">
        <v>56558</v>
      </c>
      <c r="M9918" t="s">
        <v>217</v>
      </c>
      <c r="N9918" t="str">
        <f>"2123020210  "</f>
        <v xml:space="preserve">2123020210  </v>
      </c>
      <c r="O9918">
        <v>231227</v>
      </c>
    </row>
    <row r="9919" spans="1:15" x14ac:dyDescent="0.25">
      <c r="A9919" t="s">
        <v>16</v>
      </c>
      <c r="B9919" t="s">
        <v>3221</v>
      </c>
      <c r="C9919">
        <v>17856</v>
      </c>
      <c r="D9919" t="s">
        <v>3654</v>
      </c>
      <c r="E9919" t="s">
        <v>700</v>
      </c>
      <c r="F9919">
        <v>60.12</v>
      </c>
      <c r="G9919">
        <v>231128</v>
      </c>
      <c r="H9919">
        <v>4347</v>
      </c>
      <c r="I9919" t="s">
        <v>193</v>
      </c>
      <c r="J9919">
        <v>74.55</v>
      </c>
      <c r="K9919">
        <v>14.43</v>
      </c>
      <c r="L9919">
        <v>14321</v>
      </c>
      <c r="M9919" t="s">
        <v>717</v>
      </c>
      <c r="N9919" t="str">
        <f>"2123020469  "</f>
        <v xml:space="preserve">2123020469  </v>
      </c>
      <c r="O9919">
        <v>231227</v>
      </c>
    </row>
    <row r="9920" spans="1:15" x14ac:dyDescent="0.25">
      <c r="A9920" t="s">
        <v>16</v>
      </c>
      <c r="B9920" t="s">
        <v>3221</v>
      </c>
      <c r="C9920">
        <v>17859</v>
      </c>
      <c r="D9920" t="s">
        <v>3654</v>
      </c>
      <c r="E9920" t="s">
        <v>700</v>
      </c>
      <c r="F9920">
        <v>72.41</v>
      </c>
      <c r="G9920">
        <v>231128</v>
      </c>
      <c r="H9920">
        <v>4347</v>
      </c>
      <c r="I9920" t="s">
        <v>193</v>
      </c>
      <c r="J9920">
        <v>89.79</v>
      </c>
      <c r="K9920">
        <v>17.38</v>
      </c>
      <c r="L9920">
        <v>56559</v>
      </c>
      <c r="M9920" t="s">
        <v>129</v>
      </c>
      <c r="N9920" t="str">
        <f>"2123020209  "</f>
        <v xml:space="preserve">2123020209  </v>
      </c>
      <c r="O9920">
        <v>231227</v>
      </c>
    </row>
    <row r="9921" spans="1:15" x14ac:dyDescent="0.25">
      <c r="A9921" t="s">
        <v>16</v>
      </c>
      <c r="B9921" t="s">
        <v>3221</v>
      </c>
      <c r="C9921">
        <v>17860</v>
      </c>
      <c r="D9921" t="s">
        <v>3654</v>
      </c>
      <c r="E9921" t="s">
        <v>700</v>
      </c>
      <c r="F9921">
        <v>23.53</v>
      </c>
      <c r="G9921">
        <v>231128</v>
      </c>
      <c r="H9921">
        <v>4347</v>
      </c>
      <c r="I9921" t="s">
        <v>193</v>
      </c>
      <c r="J9921">
        <v>29.18</v>
      </c>
      <c r="K9921">
        <v>5.65</v>
      </c>
      <c r="L9921">
        <v>46555</v>
      </c>
      <c r="M9921" t="s">
        <v>597</v>
      </c>
      <c r="N9921" t="str">
        <f>"2123020206  "</f>
        <v xml:space="preserve">2123020206  </v>
      </c>
      <c r="O9921">
        <v>231227</v>
      </c>
    </row>
    <row r="9922" spans="1:15" x14ac:dyDescent="0.25">
      <c r="A9922" t="s">
        <v>16</v>
      </c>
      <c r="B9922" t="s">
        <v>3221</v>
      </c>
      <c r="C9922">
        <v>17861</v>
      </c>
      <c r="D9922" t="s">
        <v>3654</v>
      </c>
      <c r="E9922" t="s">
        <v>700</v>
      </c>
      <c r="F9922">
        <v>80.63</v>
      </c>
      <c r="G9922">
        <v>231128</v>
      </c>
      <c r="H9922">
        <v>4347</v>
      </c>
      <c r="I9922" t="s">
        <v>193</v>
      </c>
      <c r="J9922">
        <v>99.98</v>
      </c>
      <c r="K9922">
        <v>19.350000000000001</v>
      </c>
      <c r="L9922">
        <v>44222</v>
      </c>
      <c r="M9922" t="s">
        <v>232</v>
      </c>
      <c r="N9922" t="str">
        <f>"2123020201  "</f>
        <v xml:space="preserve">2123020201  </v>
      </c>
      <c r="O9922">
        <v>231227</v>
      </c>
    </row>
    <row r="9923" spans="1:15" x14ac:dyDescent="0.25">
      <c r="A9923" t="s">
        <v>16</v>
      </c>
      <c r="B9923" t="s">
        <v>3221</v>
      </c>
      <c r="C9923">
        <v>17862</v>
      </c>
      <c r="D9923" t="s">
        <v>3654</v>
      </c>
      <c r="E9923" t="s">
        <v>700</v>
      </c>
      <c r="F9923">
        <v>78.2</v>
      </c>
      <c r="G9923">
        <v>231128</v>
      </c>
      <c r="H9923">
        <v>4347</v>
      </c>
      <c r="I9923" t="s">
        <v>193</v>
      </c>
      <c r="J9923">
        <v>96.97</v>
      </c>
      <c r="K9923">
        <v>18.77</v>
      </c>
      <c r="L9923">
        <v>54222</v>
      </c>
      <c r="M9923" t="s">
        <v>308</v>
      </c>
      <c r="N9923" t="str">
        <f>"2123020419  "</f>
        <v xml:space="preserve">2123020419  </v>
      </c>
      <c r="O9923">
        <v>231227</v>
      </c>
    </row>
    <row r="9924" spans="1:15" x14ac:dyDescent="0.25">
      <c r="A9924" t="s">
        <v>16</v>
      </c>
      <c r="B9924" t="s">
        <v>3221</v>
      </c>
      <c r="C9924">
        <v>17863</v>
      </c>
      <c r="D9924" t="s">
        <v>3654</v>
      </c>
      <c r="E9924" t="s">
        <v>700</v>
      </c>
      <c r="F9924">
        <v>115.11</v>
      </c>
      <c r="G9924">
        <v>231128</v>
      </c>
      <c r="H9924">
        <v>4347</v>
      </c>
      <c r="I9924" t="s">
        <v>193</v>
      </c>
      <c r="J9924">
        <v>142.74</v>
      </c>
      <c r="K9924">
        <v>27.63</v>
      </c>
      <c r="L9924">
        <v>44222</v>
      </c>
      <c r="M9924" t="s">
        <v>232</v>
      </c>
      <c r="N9924" t="str">
        <f>"2123020207  "</f>
        <v xml:space="preserve">2123020207  </v>
      </c>
      <c r="O9924">
        <v>231227</v>
      </c>
    </row>
    <row r="9925" spans="1:15" x14ac:dyDescent="0.25">
      <c r="A9925" t="s">
        <v>16</v>
      </c>
      <c r="B9925" t="s">
        <v>3221</v>
      </c>
      <c r="C9925">
        <v>17864</v>
      </c>
      <c r="D9925" t="s">
        <v>3654</v>
      </c>
      <c r="E9925" t="s">
        <v>700</v>
      </c>
      <c r="F9925">
        <v>45.51</v>
      </c>
      <c r="G9925">
        <v>231128</v>
      </c>
      <c r="H9925">
        <v>4347</v>
      </c>
      <c r="I9925" t="s">
        <v>193</v>
      </c>
      <c r="J9925">
        <v>56.43</v>
      </c>
      <c r="K9925">
        <v>10.92</v>
      </c>
      <c r="L9925">
        <v>56560</v>
      </c>
      <c r="M9925" t="s">
        <v>654</v>
      </c>
      <c r="N9925" t="str">
        <f>"2123020472  "</f>
        <v xml:space="preserve">2123020472  </v>
      </c>
      <c r="O9925">
        <v>231227</v>
      </c>
    </row>
    <row r="9926" spans="1:15" x14ac:dyDescent="0.25">
      <c r="A9926" t="s">
        <v>16</v>
      </c>
      <c r="B9926" t="s">
        <v>3221</v>
      </c>
      <c r="C9926">
        <v>17868</v>
      </c>
      <c r="D9926" t="s">
        <v>3654</v>
      </c>
      <c r="E9926" t="s">
        <v>700</v>
      </c>
      <c r="F9926">
        <v>77.33</v>
      </c>
      <c r="G9926">
        <v>231128</v>
      </c>
      <c r="H9926">
        <v>4347</v>
      </c>
      <c r="I9926" t="s">
        <v>193</v>
      </c>
      <c r="J9926">
        <v>95.89</v>
      </c>
      <c r="K9926">
        <v>18.559999999999999</v>
      </c>
      <c r="L9926">
        <v>11501</v>
      </c>
      <c r="M9926" t="s">
        <v>339</v>
      </c>
      <c r="N9926" t="str">
        <f>"2123020114  "</f>
        <v xml:space="preserve">2123020114  </v>
      </c>
      <c r="O9926">
        <v>231227</v>
      </c>
    </row>
    <row r="9927" spans="1:15" x14ac:dyDescent="0.25">
      <c r="A9927" t="s">
        <v>16</v>
      </c>
      <c r="B9927" t="s">
        <v>3221</v>
      </c>
      <c r="C9927">
        <v>17870</v>
      </c>
      <c r="D9927" t="s">
        <v>3654</v>
      </c>
      <c r="E9927" t="s">
        <v>700</v>
      </c>
      <c r="F9927">
        <v>54.73</v>
      </c>
      <c r="G9927">
        <v>231128</v>
      </c>
      <c r="H9927">
        <v>4347</v>
      </c>
      <c r="I9927" t="s">
        <v>193</v>
      </c>
      <c r="J9927">
        <v>67.87</v>
      </c>
      <c r="K9927">
        <v>13.14</v>
      </c>
      <c r="L9927">
        <v>56522</v>
      </c>
      <c r="M9927" t="s">
        <v>43</v>
      </c>
      <c r="N9927" t="str">
        <f>"2123020418  "</f>
        <v xml:space="preserve">2123020418  </v>
      </c>
      <c r="O9927">
        <v>231227</v>
      </c>
    </row>
    <row r="9928" spans="1:15" x14ac:dyDescent="0.25">
      <c r="A9928" t="s">
        <v>16</v>
      </c>
      <c r="B9928" t="s">
        <v>3221</v>
      </c>
      <c r="C9928">
        <v>17872</v>
      </c>
      <c r="D9928" t="s">
        <v>3654</v>
      </c>
      <c r="E9928" t="s">
        <v>700</v>
      </c>
      <c r="F9928">
        <v>213.81</v>
      </c>
      <c r="G9928">
        <v>231128</v>
      </c>
      <c r="H9928">
        <v>4347</v>
      </c>
      <c r="I9928" t="s">
        <v>193</v>
      </c>
      <c r="J9928">
        <v>265.12</v>
      </c>
      <c r="K9928">
        <v>51.31</v>
      </c>
      <c r="L9928">
        <v>44424</v>
      </c>
      <c r="M9928" t="s">
        <v>776</v>
      </c>
      <c r="N9928" t="str">
        <f>"2123020203  "</f>
        <v xml:space="preserve">2123020203  </v>
      </c>
      <c r="O9928">
        <v>231227</v>
      </c>
    </row>
    <row r="9929" spans="1:15" x14ac:dyDescent="0.25">
      <c r="A9929" t="s">
        <v>16</v>
      </c>
      <c r="B9929" t="s">
        <v>3221</v>
      </c>
      <c r="C9929">
        <v>17873</v>
      </c>
      <c r="D9929" t="s">
        <v>3654</v>
      </c>
      <c r="E9929" t="s">
        <v>700</v>
      </c>
      <c r="F9929">
        <v>15.6</v>
      </c>
      <c r="G9929">
        <v>231128</v>
      </c>
      <c r="H9929">
        <v>4347</v>
      </c>
      <c r="I9929" t="s">
        <v>193</v>
      </c>
      <c r="J9929">
        <v>19.350000000000001</v>
      </c>
      <c r="K9929">
        <v>3.75</v>
      </c>
      <c r="L9929">
        <v>41126</v>
      </c>
      <c r="M9929" t="s">
        <v>761</v>
      </c>
      <c r="N9929" t="str">
        <f t="shared" ref="N9929:N9934" si="172">"2123020204  "</f>
        <v xml:space="preserve">2123020204  </v>
      </c>
      <c r="O9929">
        <v>231227</v>
      </c>
    </row>
    <row r="9930" spans="1:15" x14ac:dyDescent="0.25">
      <c r="A9930" t="s">
        <v>16</v>
      </c>
      <c r="B9930" t="s">
        <v>3221</v>
      </c>
      <c r="C9930">
        <v>17873</v>
      </c>
      <c r="D9930" t="s">
        <v>3654</v>
      </c>
      <c r="E9930" t="s">
        <v>700</v>
      </c>
      <c r="F9930">
        <v>12.03</v>
      </c>
      <c r="G9930">
        <v>231128</v>
      </c>
      <c r="H9930">
        <v>4347</v>
      </c>
      <c r="I9930" t="s">
        <v>193</v>
      </c>
      <c r="J9930">
        <v>14.92</v>
      </c>
      <c r="K9930">
        <v>2.89</v>
      </c>
      <c r="L9930">
        <v>43222</v>
      </c>
      <c r="M9930" t="s">
        <v>507</v>
      </c>
      <c r="N9930" t="str">
        <f t="shared" si="172"/>
        <v xml:space="preserve">2123020204  </v>
      </c>
      <c r="O9930">
        <v>231227</v>
      </c>
    </row>
    <row r="9931" spans="1:15" x14ac:dyDescent="0.25">
      <c r="A9931" t="s">
        <v>16</v>
      </c>
      <c r="B9931" t="s">
        <v>3221</v>
      </c>
      <c r="C9931">
        <v>17873</v>
      </c>
      <c r="D9931" t="s">
        <v>3654</v>
      </c>
      <c r="E9931" t="s">
        <v>700</v>
      </c>
      <c r="F9931">
        <v>14.44</v>
      </c>
      <c r="G9931">
        <v>231128</v>
      </c>
      <c r="H9931">
        <v>4347</v>
      </c>
      <c r="I9931" t="s">
        <v>193</v>
      </c>
      <c r="J9931">
        <v>17.899999999999999</v>
      </c>
      <c r="K9931">
        <v>3.46</v>
      </c>
      <c r="L9931">
        <v>44222</v>
      </c>
      <c r="M9931" t="s">
        <v>232</v>
      </c>
      <c r="N9931" t="str">
        <f t="shared" si="172"/>
        <v xml:space="preserve">2123020204  </v>
      </c>
      <c r="O9931">
        <v>231227</v>
      </c>
    </row>
    <row r="9932" spans="1:15" x14ac:dyDescent="0.25">
      <c r="A9932" t="s">
        <v>16</v>
      </c>
      <c r="B9932" t="s">
        <v>3221</v>
      </c>
      <c r="C9932">
        <v>17873</v>
      </c>
      <c r="D9932" t="s">
        <v>3654</v>
      </c>
      <c r="E9932" t="s">
        <v>700</v>
      </c>
      <c r="F9932">
        <v>15.6</v>
      </c>
      <c r="G9932">
        <v>231128</v>
      </c>
      <c r="H9932">
        <v>4347</v>
      </c>
      <c r="I9932" t="s">
        <v>193</v>
      </c>
      <c r="J9932">
        <v>19.34</v>
      </c>
      <c r="K9932">
        <v>3.74</v>
      </c>
      <c r="L9932">
        <v>44424</v>
      </c>
      <c r="M9932" t="s">
        <v>776</v>
      </c>
      <c r="N9932" t="str">
        <f t="shared" si="172"/>
        <v xml:space="preserve">2123020204  </v>
      </c>
      <c r="O9932">
        <v>231227</v>
      </c>
    </row>
    <row r="9933" spans="1:15" x14ac:dyDescent="0.25">
      <c r="A9933" t="s">
        <v>16</v>
      </c>
      <c r="B9933" t="s">
        <v>3221</v>
      </c>
      <c r="C9933">
        <v>17873</v>
      </c>
      <c r="D9933" t="s">
        <v>3654</v>
      </c>
      <c r="E9933" t="s">
        <v>700</v>
      </c>
      <c r="F9933">
        <v>8.43</v>
      </c>
      <c r="G9933">
        <v>231128</v>
      </c>
      <c r="H9933">
        <v>4347</v>
      </c>
      <c r="I9933" t="s">
        <v>193</v>
      </c>
      <c r="J9933">
        <v>10.45</v>
      </c>
      <c r="K9933">
        <v>2.02</v>
      </c>
      <c r="L9933">
        <v>46222</v>
      </c>
      <c r="M9933" t="s">
        <v>293</v>
      </c>
      <c r="N9933" t="str">
        <f t="shared" si="172"/>
        <v xml:space="preserve">2123020204  </v>
      </c>
      <c r="O9933">
        <v>231227</v>
      </c>
    </row>
    <row r="9934" spans="1:15" x14ac:dyDescent="0.25">
      <c r="A9934" t="s">
        <v>16</v>
      </c>
      <c r="B9934" t="s">
        <v>3221</v>
      </c>
      <c r="C9934">
        <v>17873</v>
      </c>
      <c r="D9934" t="s">
        <v>3654</v>
      </c>
      <c r="E9934" t="s">
        <v>700</v>
      </c>
      <c r="F9934">
        <v>54.07</v>
      </c>
      <c r="G9934">
        <v>231128</v>
      </c>
      <c r="H9934">
        <v>4347</v>
      </c>
      <c r="I9934" t="s">
        <v>193</v>
      </c>
      <c r="J9934">
        <v>67.05</v>
      </c>
      <c r="K9934">
        <v>12.98</v>
      </c>
      <c r="L9934">
        <v>46559</v>
      </c>
      <c r="M9934" t="s">
        <v>1104</v>
      </c>
      <c r="N9934" t="str">
        <f t="shared" si="172"/>
        <v xml:space="preserve">2123020204  </v>
      </c>
      <c r="O9934">
        <v>231227</v>
      </c>
    </row>
    <row r="9935" spans="1:15" x14ac:dyDescent="0.25">
      <c r="A9935" t="s">
        <v>16</v>
      </c>
      <c r="B9935" t="s">
        <v>3221</v>
      </c>
      <c r="C9935">
        <v>17874</v>
      </c>
      <c r="D9935" t="s">
        <v>3654</v>
      </c>
      <c r="E9935" t="s">
        <v>700</v>
      </c>
      <c r="F9935">
        <v>107.39</v>
      </c>
      <c r="G9935">
        <v>231128</v>
      </c>
      <c r="H9935">
        <v>4347</v>
      </c>
      <c r="I9935" t="s">
        <v>193</v>
      </c>
      <c r="J9935">
        <v>133.16</v>
      </c>
      <c r="K9935">
        <v>25.77</v>
      </c>
      <c r="L9935">
        <v>41126</v>
      </c>
      <c r="M9935" t="s">
        <v>761</v>
      </c>
      <c r="N9935" t="str">
        <f>"2123020202  "</f>
        <v xml:space="preserve">2123020202  </v>
      </c>
      <c r="O9935">
        <v>231227</v>
      </c>
    </row>
    <row r="9936" spans="1:15" x14ac:dyDescent="0.25">
      <c r="A9936" t="s">
        <v>16</v>
      </c>
      <c r="B9936" t="s">
        <v>3221</v>
      </c>
      <c r="C9936">
        <v>17875</v>
      </c>
      <c r="D9936" t="s">
        <v>3654</v>
      </c>
      <c r="E9936" t="s">
        <v>700</v>
      </c>
      <c r="F9936">
        <v>127.54</v>
      </c>
      <c r="G9936">
        <v>231128</v>
      </c>
      <c r="H9936">
        <v>4347</v>
      </c>
      <c r="I9936" t="s">
        <v>193</v>
      </c>
      <c r="J9936">
        <v>158.15</v>
      </c>
      <c r="K9936">
        <v>30.61</v>
      </c>
      <c r="L9936">
        <v>49701</v>
      </c>
      <c r="M9936" t="s">
        <v>166</v>
      </c>
      <c r="N9936" t="str">
        <f>"2123020088  "</f>
        <v xml:space="preserve">2123020088  </v>
      </c>
      <c r="O9936">
        <v>231227</v>
      </c>
    </row>
    <row r="9937" spans="1:15" x14ac:dyDescent="0.25">
      <c r="A9937" t="s">
        <v>16</v>
      </c>
      <c r="B9937" t="s">
        <v>3221</v>
      </c>
      <c r="C9937">
        <v>17876</v>
      </c>
      <c r="D9937" t="s">
        <v>3654</v>
      </c>
      <c r="E9937" t="s">
        <v>700</v>
      </c>
      <c r="F9937">
        <v>53.53</v>
      </c>
      <c r="G9937">
        <v>231128</v>
      </c>
      <c r="H9937">
        <v>4347</v>
      </c>
      <c r="I9937" t="s">
        <v>193</v>
      </c>
      <c r="J9937">
        <v>66.38</v>
      </c>
      <c r="K9937">
        <v>12.85</v>
      </c>
      <c r="L9937">
        <v>59701</v>
      </c>
      <c r="M9937" t="s">
        <v>297</v>
      </c>
      <c r="N9937" t="str">
        <f>"2123020471  "</f>
        <v xml:space="preserve">2123020471  </v>
      </c>
      <c r="O9937">
        <v>231227</v>
      </c>
    </row>
    <row r="9938" spans="1:15" x14ac:dyDescent="0.25">
      <c r="A9938" t="s">
        <v>16</v>
      </c>
      <c r="B9938" t="s">
        <v>3221</v>
      </c>
      <c r="C9938">
        <v>17878</v>
      </c>
      <c r="D9938" t="s">
        <v>3654</v>
      </c>
      <c r="E9938" t="s">
        <v>700</v>
      </c>
      <c r="F9938">
        <v>58.06</v>
      </c>
      <c r="G9938">
        <v>231128</v>
      </c>
      <c r="H9938">
        <v>4347</v>
      </c>
      <c r="I9938" t="s">
        <v>193</v>
      </c>
      <c r="J9938">
        <v>71.989999999999995</v>
      </c>
      <c r="K9938">
        <v>13.93</v>
      </c>
      <c r="L9938">
        <v>17808</v>
      </c>
      <c r="M9938" t="s">
        <v>322</v>
      </c>
      <c r="N9938" t="str">
        <f>"2123020034  "</f>
        <v xml:space="preserve">2123020034  </v>
      </c>
      <c r="O9938">
        <v>231227</v>
      </c>
    </row>
    <row r="9939" spans="1:15" x14ac:dyDescent="0.25">
      <c r="A9939" t="s">
        <v>16</v>
      </c>
      <c r="B9939" t="s">
        <v>3221</v>
      </c>
      <c r="C9939">
        <v>18038</v>
      </c>
      <c r="D9939" t="s">
        <v>3654</v>
      </c>
      <c r="E9939" t="s">
        <v>700</v>
      </c>
      <c r="F9939">
        <v>7.69</v>
      </c>
      <c r="G9939">
        <v>231128</v>
      </c>
      <c r="H9939">
        <v>4347</v>
      </c>
      <c r="I9939" t="s">
        <v>193</v>
      </c>
      <c r="J9939">
        <v>9.5399999999999991</v>
      </c>
      <c r="K9939">
        <v>1.85</v>
      </c>
      <c r="L9939">
        <v>11101</v>
      </c>
      <c r="M9939" t="s">
        <v>110</v>
      </c>
      <c r="N9939" t="str">
        <f>"2123020035  "</f>
        <v xml:space="preserve">2123020035  </v>
      </c>
      <c r="O9939">
        <v>231229</v>
      </c>
    </row>
    <row r="9940" spans="1:15" x14ac:dyDescent="0.25">
      <c r="A9940" t="s">
        <v>16</v>
      </c>
      <c r="B9940" t="s">
        <v>3221</v>
      </c>
      <c r="C9940">
        <v>18641</v>
      </c>
      <c r="D9940" t="s">
        <v>3654</v>
      </c>
      <c r="E9940" t="s">
        <v>700</v>
      </c>
      <c r="F9940">
        <v>128.1</v>
      </c>
      <c r="G9940">
        <v>231229</v>
      </c>
      <c r="H9940">
        <v>4347</v>
      </c>
      <c r="I9940" t="s">
        <v>193</v>
      </c>
      <c r="J9940">
        <v>158.84</v>
      </c>
      <c r="K9940">
        <v>30.74</v>
      </c>
      <c r="L9940">
        <v>47522</v>
      </c>
      <c r="M9940" t="s">
        <v>410</v>
      </c>
      <c r="N9940" t="str">
        <f>"2123023212  "</f>
        <v xml:space="preserve">2123023212  </v>
      </c>
      <c r="O9940">
        <v>240104</v>
      </c>
    </row>
    <row r="9941" spans="1:15" x14ac:dyDescent="0.25">
      <c r="A9941" t="s">
        <v>16</v>
      </c>
      <c r="B9941" t="s">
        <v>3221</v>
      </c>
      <c r="C9941">
        <v>18649</v>
      </c>
      <c r="D9941" t="s">
        <v>3654</v>
      </c>
      <c r="E9941" t="s">
        <v>700</v>
      </c>
      <c r="F9941">
        <v>11.15</v>
      </c>
      <c r="G9941">
        <v>231228</v>
      </c>
      <c r="H9941">
        <v>4347</v>
      </c>
      <c r="I9941" t="s">
        <v>193</v>
      </c>
      <c r="J9941">
        <v>13.83</v>
      </c>
      <c r="K9941">
        <v>2.68</v>
      </c>
      <c r="L9941">
        <v>11001</v>
      </c>
      <c r="M9941" t="s">
        <v>326</v>
      </c>
      <c r="N9941" t="str">
        <f>"2123023188  "</f>
        <v xml:space="preserve">2123023188  </v>
      </c>
      <c r="O9941">
        <v>240104</v>
      </c>
    </row>
    <row r="9942" spans="1:15" x14ac:dyDescent="0.25">
      <c r="A9942" t="s">
        <v>16</v>
      </c>
      <c r="B9942" t="s">
        <v>3221</v>
      </c>
      <c r="C9942">
        <v>18649</v>
      </c>
      <c r="D9942" t="s">
        <v>3654</v>
      </c>
      <c r="E9942" t="s">
        <v>700</v>
      </c>
      <c r="F9942">
        <v>33.450000000000003</v>
      </c>
      <c r="G9942">
        <v>231228</v>
      </c>
      <c r="H9942">
        <v>4347</v>
      </c>
      <c r="I9942" t="s">
        <v>193</v>
      </c>
      <c r="J9942">
        <v>41.48</v>
      </c>
      <c r="K9942">
        <v>8.0299999999999994</v>
      </c>
      <c r="L9942">
        <v>11101</v>
      </c>
      <c r="M9942" t="s">
        <v>110</v>
      </c>
      <c r="N9942" t="str">
        <f>"2123023188  "</f>
        <v xml:space="preserve">2123023188  </v>
      </c>
      <c r="O9942">
        <v>240104</v>
      </c>
    </row>
    <row r="9943" spans="1:15" x14ac:dyDescent="0.25">
      <c r="A9943" t="s">
        <v>16</v>
      </c>
      <c r="B9943" t="s">
        <v>3221</v>
      </c>
      <c r="C9943">
        <v>18649</v>
      </c>
      <c r="D9943" t="s">
        <v>3654</v>
      </c>
      <c r="E9943" t="s">
        <v>700</v>
      </c>
      <c r="F9943">
        <v>11.15</v>
      </c>
      <c r="G9943">
        <v>231228</v>
      </c>
      <c r="H9943">
        <v>4347</v>
      </c>
      <c r="I9943" t="s">
        <v>193</v>
      </c>
      <c r="J9943">
        <v>13.83</v>
      </c>
      <c r="K9943">
        <v>2.68</v>
      </c>
      <c r="L9943">
        <v>18971</v>
      </c>
      <c r="M9943" t="s">
        <v>63</v>
      </c>
      <c r="N9943" t="str">
        <f>"2123023188  "</f>
        <v xml:space="preserve">2123023188  </v>
      </c>
      <c r="O9943">
        <v>240104</v>
      </c>
    </row>
    <row r="9944" spans="1:15" x14ac:dyDescent="0.25">
      <c r="A9944" t="s">
        <v>16</v>
      </c>
      <c r="B9944" t="s">
        <v>3221</v>
      </c>
      <c r="C9944">
        <v>18652</v>
      </c>
      <c r="D9944" t="s">
        <v>3654</v>
      </c>
      <c r="E9944" t="s">
        <v>700</v>
      </c>
      <c r="F9944">
        <v>20.23</v>
      </c>
      <c r="G9944">
        <v>231228</v>
      </c>
      <c r="H9944">
        <v>4347</v>
      </c>
      <c r="I9944" t="s">
        <v>193</v>
      </c>
      <c r="J9944">
        <v>25.09</v>
      </c>
      <c r="K9944">
        <v>4.8600000000000003</v>
      </c>
      <c r="L9944">
        <v>13601</v>
      </c>
      <c r="M9944" t="s">
        <v>147</v>
      </c>
      <c r="N9944" t="str">
        <f>"2123022974  "</f>
        <v xml:space="preserve">2123022974  </v>
      </c>
      <c r="O9944">
        <v>240104</v>
      </c>
    </row>
    <row r="9945" spans="1:15" x14ac:dyDescent="0.25">
      <c r="A9945" t="s">
        <v>16</v>
      </c>
      <c r="B9945" t="s">
        <v>3221</v>
      </c>
      <c r="C9945">
        <v>18794</v>
      </c>
      <c r="D9945" t="s">
        <v>3654</v>
      </c>
      <c r="E9945" t="s">
        <v>700</v>
      </c>
      <c r="F9945">
        <v>13.08</v>
      </c>
      <c r="G9945">
        <v>231229</v>
      </c>
      <c r="H9945">
        <v>4347</v>
      </c>
      <c r="I9945" t="s">
        <v>193</v>
      </c>
      <c r="J9945">
        <v>16.22</v>
      </c>
      <c r="K9945">
        <v>3.14</v>
      </c>
      <c r="L9945">
        <v>17806</v>
      </c>
      <c r="M9945" t="s">
        <v>265</v>
      </c>
      <c r="N9945" t="str">
        <f>"2123023237  "</f>
        <v xml:space="preserve">2123023237  </v>
      </c>
      <c r="O9945">
        <v>240105</v>
      </c>
    </row>
    <row r="9946" spans="1:15" x14ac:dyDescent="0.25">
      <c r="A9946" t="s">
        <v>16</v>
      </c>
      <c r="B9946" t="s">
        <v>3221</v>
      </c>
      <c r="C9946">
        <v>18824</v>
      </c>
      <c r="D9946" t="s">
        <v>3654</v>
      </c>
      <c r="E9946" t="s">
        <v>700</v>
      </c>
      <c r="F9946">
        <v>52.69</v>
      </c>
      <c r="G9946">
        <v>231228</v>
      </c>
      <c r="H9946">
        <v>4347</v>
      </c>
      <c r="I9946" t="s">
        <v>193</v>
      </c>
      <c r="J9946">
        <v>65.34</v>
      </c>
      <c r="K9946">
        <v>12.65</v>
      </c>
      <c r="L9946">
        <v>59702</v>
      </c>
      <c r="M9946" t="s">
        <v>328</v>
      </c>
      <c r="N9946" t="str">
        <f>"2123023186  "</f>
        <v xml:space="preserve">2123023186  </v>
      </c>
      <c r="O9946">
        <v>240108</v>
      </c>
    </row>
    <row r="9947" spans="1:15" x14ac:dyDescent="0.25">
      <c r="A9947" t="s">
        <v>16</v>
      </c>
      <c r="B9947" t="s">
        <v>3221</v>
      </c>
      <c r="C9947">
        <v>18825</v>
      </c>
      <c r="D9947" t="s">
        <v>3654</v>
      </c>
      <c r="E9947" t="s">
        <v>700</v>
      </c>
      <c r="F9947">
        <v>64.02</v>
      </c>
      <c r="G9947">
        <v>231228</v>
      </c>
      <c r="H9947">
        <v>4347</v>
      </c>
      <c r="I9947" t="s">
        <v>193</v>
      </c>
      <c r="J9947">
        <v>79.38</v>
      </c>
      <c r="K9947">
        <v>15.36</v>
      </c>
      <c r="L9947">
        <v>13501</v>
      </c>
      <c r="M9947" t="s">
        <v>20</v>
      </c>
      <c r="N9947" t="str">
        <f>"2123022972  "</f>
        <v xml:space="preserve">2123022972  </v>
      </c>
      <c r="O9947">
        <v>240108</v>
      </c>
    </row>
    <row r="9948" spans="1:15" x14ac:dyDescent="0.25">
      <c r="A9948" t="s">
        <v>16</v>
      </c>
      <c r="B9948" t="s">
        <v>3221</v>
      </c>
      <c r="C9948">
        <v>19053</v>
      </c>
      <c r="D9948" t="s">
        <v>3654</v>
      </c>
      <c r="E9948" t="s">
        <v>700</v>
      </c>
      <c r="F9948">
        <v>61.94</v>
      </c>
      <c r="G9948">
        <v>231228</v>
      </c>
      <c r="H9948">
        <v>4347</v>
      </c>
      <c r="I9948" t="s">
        <v>193</v>
      </c>
      <c r="J9948">
        <v>76.81</v>
      </c>
      <c r="K9948">
        <v>14.87</v>
      </c>
      <c r="L9948">
        <v>59702</v>
      </c>
      <c r="M9948" t="s">
        <v>328</v>
      </c>
      <c r="N9948" t="str">
        <f>"2123023191  "</f>
        <v xml:space="preserve">2123023191  </v>
      </c>
      <c r="O9948">
        <v>240110</v>
      </c>
    </row>
    <row r="9949" spans="1:15" x14ac:dyDescent="0.25">
      <c r="A9949" t="s">
        <v>16</v>
      </c>
      <c r="B9949" t="s">
        <v>3221</v>
      </c>
      <c r="C9949">
        <v>19054</v>
      </c>
      <c r="D9949" t="s">
        <v>3654</v>
      </c>
      <c r="E9949" t="s">
        <v>700</v>
      </c>
      <c r="F9949">
        <v>28.83</v>
      </c>
      <c r="G9949">
        <v>231228</v>
      </c>
      <c r="H9949">
        <v>4347</v>
      </c>
      <c r="I9949" t="s">
        <v>193</v>
      </c>
      <c r="J9949">
        <v>35.75</v>
      </c>
      <c r="K9949">
        <v>6.92</v>
      </c>
      <c r="L9949">
        <v>56562</v>
      </c>
      <c r="M9949" t="s">
        <v>126</v>
      </c>
      <c r="N9949" t="str">
        <f>"2123023190  "</f>
        <v xml:space="preserve">2123023190  </v>
      </c>
      <c r="O9949">
        <v>240110</v>
      </c>
    </row>
    <row r="9950" spans="1:15" x14ac:dyDescent="0.25">
      <c r="A9950" t="s">
        <v>16</v>
      </c>
      <c r="B9950" t="s">
        <v>3221</v>
      </c>
      <c r="C9950">
        <v>19055</v>
      </c>
      <c r="D9950" t="s">
        <v>3654</v>
      </c>
      <c r="E9950" t="s">
        <v>700</v>
      </c>
      <c r="F9950">
        <v>37.630000000000003</v>
      </c>
      <c r="G9950">
        <v>231228</v>
      </c>
      <c r="H9950">
        <v>4347</v>
      </c>
      <c r="I9950" t="s">
        <v>193</v>
      </c>
      <c r="J9950">
        <v>46.66</v>
      </c>
      <c r="K9950">
        <v>9.0299999999999994</v>
      </c>
      <c r="L9950">
        <v>53222</v>
      </c>
      <c r="M9950" t="s">
        <v>445</v>
      </c>
      <c r="N9950" t="str">
        <f>"2123023192  "</f>
        <v xml:space="preserve">2123023192  </v>
      </c>
      <c r="O9950">
        <v>240110</v>
      </c>
    </row>
    <row r="9951" spans="1:15" x14ac:dyDescent="0.25">
      <c r="A9951" t="s">
        <v>16</v>
      </c>
      <c r="B9951" t="s">
        <v>3221</v>
      </c>
      <c r="C9951">
        <v>19056</v>
      </c>
      <c r="D9951" t="s">
        <v>3654</v>
      </c>
      <c r="E9951" t="s">
        <v>700</v>
      </c>
      <c r="F9951">
        <v>114.92</v>
      </c>
      <c r="G9951">
        <v>231228</v>
      </c>
      <c r="H9951">
        <v>4347</v>
      </c>
      <c r="I9951" t="s">
        <v>193</v>
      </c>
      <c r="J9951">
        <v>142.5</v>
      </c>
      <c r="K9951">
        <v>27.58</v>
      </c>
      <c r="L9951">
        <v>56566</v>
      </c>
      <c r="M9951" t="s">
        <v>652</v>
      </c>
      <c r="N9951" t="str">
        <f>"2123023189  "</f>
        <v xml:space="preserve">2123023189  </v>
      </c>
      <c r="O9951">
        <v>240110</v>
      </c>
    </row>
    <row r="9952" spans="1:15" x14ac:dyDescent="0.25">
      <c r="A9952" t="s">
        <v>16</v>
      </c>
      <c r="B9952" t="s">
        <v>3221</v>
      </c>
      <c r="C9952">
        <v>19057</v>
      </c>
      <c r="D9952" t="s">
        <v>3654</v>
      </c>
      <c r="E9952" t="s">
        <v>700</v>
      </c>
      <c r="F9952">
        <v>54.5</v>
      </c>
      <c r="G9952">
        <v>231228</v>
      </c>
      <c r="H9952">
        <v>4347</v>
      </c>
      <c r="I9952" t="s">
        <v>193</v>
      </c>
      <c r="J9952">
        <v>67.58</v>
      </c>
      <c r="K9952">
        <v>13.08</v>
      </c>
      <c r="L9952">
        <v>54422</v>
      </c>
      <c r="M9952" t="s">
        <v>234</v>
      </c>
      <c r="N9952" t="str">
        <f>"2123023187  "</f>
        <v xml:space="preserve">2123023187  </v>
      </c>
      <c r="O9952">
        <v>240110</v>
      </c>
    </row>
    <row r="9953" spans="1:15" x14ac:dyDescent="0.25">
      <c r="A9953" t="s">
        <v>16</v>
      </c>
      <c r="B9953" t="s">
        <v>3221</v>
      </c>
      <c r="C9953">
        <v>19057</v>
      </c>
      <c r="D9953" t="s">
        <v>3654</v>
      </c>
      <c r="E9953" t="s">
        <v>700</v>
      </c>
      <c r="F9953">
        <v>54.5</v>
      </c>
      <c r="G9953">
        <v>231228</v>
      </c>
      <c r="H9953">
        <v>4347</v>
      </c>
      <c r="I9953" t="s">
        <v>193</v>
      </c>
      <c r="J9953">
        <v>67.58</v>
      </c>
      <c r="K9953">
        <v>13.08</v>
      </c>
      <c r="L9953">
        <v>56563</v>
      </c>
      <c r="M9953" t="s">
        <v>953</v>
      </c>
      <c r="N9953" t="str">
        <f>"2123023187  "</f>
        <v xml:space="preserve">2123023187  </v>
      </c>
      <c r="O9953">
        <v>240110</v>
      </c>
    </row>
    <row r="9954" spans="1:15" x14ac:dyDescent="0.25">
      <c r="A9954" t="s">
        <v>16</v>
      </c>
      <c r="B9954" t="s">
        <v>3221</v>
      </c>
      <c r="C9954">
        <v>19058</v>
      </c>
      <c r="D9954" t="s">
        <v>3654</v>
      </c>
      <c r="E9954" t="s">
        <v>700</v>
      </c>
      <c r="F9954">
        <v>17.13</v>
      </c>
      <c r="G9954">
        <v>231228</v>
      </c>
      <c r="H9954">
        <v>4347</v>
      </c>
      <c r="I9954" t="s">
        <v>193</v>
      </c>
      <c r="J9954">
        <v>21.24</v>
      </c>
      <c r="K9954">
        <v>4.1100000000000003</v>
      </c>
      <c r="L9954">
        <v>56526</v>
      </c>
      <c r="M9954" t="s">
        <v>1217</v>
      </c>
      <c r="N9954" t="str">
        <f>"2123023183  "</f>
        <v xml:space="preserve">2123023183  </v>
      </c>
      <c r="O9954">
        <v>240110</v>
      </c>
    </row>
    <row r="9955" spans="1:15" x14ac:dyDescent="0.25">
      <c r="A9955" t="s">
        <v>16</v>
      </c>
      <c r="B9955" t="s">
        <v>3221</v>
      </c>
      <c r="C9955">
        <v>5305</v>
      </c>
      <c r="D9955" t="s">
        <v>1830</v>
      </c>
      <c r="E9955" t="s">
        <v>1831</v>
      </c>
      <c r="F9955">
        <v>291.74</v>
      </c>
      <c r="G9955">
        <v>230414</v>
      </c>
      <c r="H9955">
        <v>4600</v>
      </c>
      <c r="I9955" t="s">
        <v>105</v>
      </c>
      <c r="J9955">
        <v>361.76</v>
      </c>
      <c r="K9955">
        <v>70.02</v>
      </c>
      <c r="L9955">
        <v>17646</v>
      </c>
      <c r="M9955" t="s">
        <v>1616</v>
      </c>
      <c r="N9955" t="str">
        <f>"123/359     "</f>
        <v xml:space="preserve">123/359     </v>
      </c>
      <c r="O9955">
        <v>230420</v>
      </c>
    </row>
    <row r="9956" spans="1:15" x14ac:dyDescent="0.25">
      <c r="A9956" t="s">
        <v>16</v>
      </c>
      <c r="B9956" t="s">
        <v>3221</v>
      </c>
      <c r="C9956">
        <v>11073</v>
      </c>
      <c r="D9956" t="s">
        <v>1830</v>
      </c>
      <c r="E9956" t="s">
        <v>1831</v>
      </c>
      <c r="F9956">
        <v>128.44999999999999</v>
      </c>
      <c r="G9956">
        <v>230823</v>
      </c>
      <c r="H9956">
        <v>4590</v>
      </c>
      <c r="I9956" t="s">
        <v>203</v>
      </c>
      <c r="J9956">
        <v>159.28</v>
      </c>
      <c r="K9956">
        <v>30.83</v>
      </c>
      <c r="L9956">
        <v>17805</v>
      </c>
      <c r="M9956" t="s">
        <v>102</v>
      </c>
      <c r="N9956" t="str">
        <f>"123/709     "</f>
        <v xml:space="preserve">123/709     </v>
      </c>
      <c r="O9956">
        <v>230830</v>
      </c>
    </row>
    <row r="9957" spans="1:15" x14ac:dyDescent="0.25">
      <c r="A9957" t="s">
        <v>16</v>
      </c>
      <c r="B9957" t="s">
        <v>3221</v>
      </c>
      <c r="C9957">
        <v>9752</v>
      </c>
      <c r="D9957" t="s">
        <v>2319</v>
      </c>
      <c r="E9957" t="s">
        <v>2320</v>
      </c>
      <c r="F9957">
        <v>255</v>
      </c>
      <c r="G9957">
        <v>230711</v>
      </c>
      <c r="H9957">
        <v>4840</v>
      </c>
      <c r="I9957" t="s">
        <v>19</v>
      </c>
      <c r="J9957">
        <v>316.2</v>
      </c>
      <c r="K9957">
        <v>61.2</v>
      </c>
      <c r="L9957">
        <v>17538</v>
      </c>
      <c r="M9957" t="s">
        <v>24</v>
      </c>
      <c r="N9957" t="str">
        <f>"29173       "</f>
        <v xml:space="preserve">29173       </v>
      </c>
      <c r="O9957">
        <v>230724</v>
      </c>
    </row>
    <row r="9958" spans="1:15" x14ac:dyDescent="0.25">
      <c r="A9958" t="s">
        <v>16</v>
      </c>
      <c r="B9958" t="s">
        <v>3221</v>
      </c>
      <c r="C9958">
        <v>150</v>
      </c>
      <c r="D9958" t="s">
        <v>222</v>
      </c>
      <c r="E9958" t="s">
        <v>223</v>
      </c>
      <c r="F9958">
        <v>1328</v>
      </c>
      <c r="G9958">
        <v>230109</v>
      </c>
      <c r="H9958">
        <v>4343</v>
      </c>
      <c r="I9958" t="s">
        <v>91</v>
      </c>
      <c r="J9958">
        <v>1646.72</v>
      </c>
      <c r="K9958">
        <v>318.72000000000003</v>
      </c>
      <c r="L9958">
        <v>11301</v>
      </c>
      <c r="M9958" t="s">
        <v>29</v>
      </c>
      <c r="N9958" t="str">
        <f>"2048889     "</f>
        <v xml:space="preserve">2048889     </v>
      </c>
      <c r="O9958">
        <v>230113</v>
      </c>
    </row>
    <row r="9959" spans="1:15" x14ac:dyDescent="0.25">
      <c r="A9959" t="s">
        <v>16</v>
      </c>
      <c r="B9959" t="s">
        <v>3221</v>
      </c>
      <c r="C9959">
        <v>272</v>
      </c>
      <c r="D9959" t="s">
        <v>222</v>
      </c>
      <c r="E9959" t="s">
        <v>223</v>
      </c>
      <c r="F9959">
        <v>806</v>
      </c>
      <c r="G9959">
        <v>230112</v>
      </c>
      <c r="H9959">
        <v>4343</v>
      </c>
      <c r="I9959" t="s">
        <v>91</v>
      </c>
      <c r="J9959">
        <v>999.44</v>
      </c>
      <c r="K9959">
        <v>193.44</v>
      </c>
      <c r="L9959">
        <v>11301</v>
      </c>
      <c r="M9959" t="s">
        <v>29</v>
      </c>
      <c r="N9959" t="str">
        <f>"2049112     "</f>
        <v xml:space="preserve">2049112     </v>
      </c>
      <c r="O9959">
        <v>230117</v>
      </c>
    </row>
    <row r="9960" spans="1:15" x14ac:dyDescent="0.25">
      <c r="A9960" t="s">
        <v>16</v>
      </c>
      <c r="B9960" t="s">
        <v>3221</v>
      </c>
      <c r="C9960">
        <v>4152</v>
      </c>
      <c r="D9960" t="s">
        <v>222</v>
      </c>
      <c r="E9960" t="s">
        <v>223</v>
      </c>
      <c r="F9960">
        <v>806</v>
      </c>
      <c r="G9960">
        <v>230327</v>
      </c>
      <c r="H9960">
        <v>4343</v>
      </c>
      <c r="I9960" t="s">
        <v>91</v>
      </c>
      <c r="J9960">
        <v>999.44</v>
      </c>
      <c r="K9960">
        <v>193.44</v>
      </c>
      <c r="L9960">
        <v>11301</v>
      </c>
      <c r="M9960" t="s">
        <v>29</v>
      </c>
      <c r="N9960" t="str">
        <f>"2051560     "</f>
        <v xml:space="preserve">2051560     </v>
      </c>
      <c r="O9960">
        <v>230330</v>
      </c>
    </row>
    <row r="9961" spans="1:15" x14ac:dyDescent="0.25">
      <c r="A9961" t="s">
        <v>16</v>
      </c>
      <c r="B9961" t="s">
        <v>3221</v>
      </c>
      <c r="C9961">
        <v>4778</v>
      </c>
      <c r="D9961" t="s">
        <v>222</v>
      </c>
      <c r="E9961" t="s">
        <v>223</v>
      </c>
      <c r="F9961">
        <v>1328</v>
      </c>
      <c r="G9961">
        <v>230406</v>
      </c>
      <c r="H9961">
        <v>4343</v>
      </c>
      <c r="I9961" t="s">
        <v>91</v>
      </c>
      <c r="J9961">
        <v>1646.72</v>
      </c>
      <c r="K9961">
        <v>318.72000000000003</v>
      </c>
      <c r="L9961">
        <v>11301</v>
      </c>
      <c r="M9961" t="s">
        <v>29</v>
      </c>
      <c r="N9961" t="str">
        <f>"2051969     "</f>
        <v xml:space="preserve">2051969     </v>
      </c>
      <c r="O9961">
        <v>230412</v>
      </c>
    </row>
    <row r="9962" spans="1:15" x14ac:dyDescent="0.25">
      <c r="A9962" t="s">
        <v>16</v>
      </c>
      <c r="B9962" t="s">
        <v>3221</v>
      </c>
      <c r="C9962">
        <v>8573</v>
      </c>
      <c r="D9962" t="s">
        <v>222</v>
      </c>
      <c r="E9962" t="s">
        <v>223</v>
      </c>
      <c r="F9962">
        <v>602</v>
      </c>
      <c r="G9962">
        <v>230609</v>
      </c>
      <c r="H9962">
        <v>4343</v>
      </c>
      <c r="I9962" t="s">
        <v>91</v>
      </c>
      <c r="J9962">
        <v>746.48</v>
      </c>
      <c r="K9962">
        <v>144.47999999999999</v>
      </c>
      <c r="L9962">
        <v>11301</v>
      </c>
      <c r="M9962" t="s">
        <v>29</v>
      </c>
      <c r="N9962" t="str">
        <f>"2053011     "</f>
        <v xml:space="preserve">2053011     </v>
      </c>
      <c r="O9962">
        <v>230612</v>
      </c>
    </row>
    <row r="9963" spans="1:15" x14ac:dyDescent="0.25">
      <c r="A9963" t="s">
        <v>16</v>
      </c>
      <c r="B9963" t="s">
        <v>3221</v>
      </c>
      <c r="C9963">
        <v>8947</v>
      </c>
      <c r="D9963" t="s">
        <v>222</v>
      </c>
      <c r="E9963" t="s">
        <v>223</v>
      </c>
      <c r="F9963">
        <v>305</v>
      </c>
      <c r="G9963">
        <v>230615</v>
      </c>
      <c r="H9963">
        <v>4343</v>
      </c>
      <c r="I9963" t="s">
        <v>91</v>
      </c>
      <c r="J9963">
        <v>378.2</v>
      </c>
      <c r="K9963">
        <v>73.2</v>
      </c>
      <c r="L9963">
        <v>11301</v>
      </c>
      <c r="M9963" t="s">
        <v>29</v>
      </c>
      <c r="N9963" t="str">
        <f>"2053487     "</f>
        <v xml:space="preserve">2053487     </v>
      </c>
      <c r="O9963">
        <v>230620</v>
      </c>
    </row>
    <row r="9964" spans="1:15" x14ac:dyDescent="0.25">
      <c r="A9964" t="s">
        <v>16</v>
      </c>
      <c r="B9964" t="s">
        <v>3221</v>
      </c>
      <c r="C9964">
        <v>9163</v>
      </c>
      <c r="D9964" t="s">
        <v>222</v>
      </c>
      <c r="E9964" t="s">
        <v>223</v>
      </c>
      <c r="F9964">
        <v>806</v>
      </c>
      <c r="G9964">
        <v>230626</v>
      </c>
      <c r="H9964">
        <v>4343</v>
      </c>
      <c r="I9964" t="s">
        <v>91</v>
      </c>
      <c r="J9964">
        <v>999.44</v>
      </c>
      <c r="K9964">
        <v>193.44</v>
      </c>
      <c r="L9964">
        <v>11301</v>
      </c>
      <c r="M9964" t="s">
        <v>29</v>
      </c>
      <c r="N9964" t="str">
        <f>"2054764     "</f>
        <v xml:space="preserve">2054764     </v>
      </c>
      <c r="O9964">
        <v>230629</v>
      </c>
    </row>
    <row r="9965" spans="1:15" x14ac:dyDescent="0.25">
      <c r="A9965" t="s">
        <v>16</v>
      </c>
      <c r="B9965" t="s">
        <v>3221</v>
      </c>
      <c r="C9965">
        <v>9564</v>
      </c>
      <c r="D9965" t="s">
        <v>222</v>
      </c>
      <c r="E9965" t="s">
        <v>223</v>
      </c>
      <c r="F9965">
        <v>911</v>
      </c>
      <c r="G9965">
        <v>230706</v>
      </c>
      <c r="H9965">
        <v>4343</v>
      </c>
      <c r="I9965" t="s">
        <v>91</v>
      </c>
      <c r="J9965">
        <v>1129.6400000000001</v>
      </c>
      <c r="K9965">
        <v>218.64</v>
      </c>
      <c r="L9965">
        <v>11301</v>
      </c>
      <c r="M9965" t="s">
        <v>29</v>
      </c>
      <c r="N9965" t="str">
        <f>"2055083     "</f>
        <v xml:space="preserve">2055083     </v>
      </c>
      <c r="O9965">
        <v>230717</v>
      </c>
    </row>
    <row r="9966" spans="1:15" x14ac:dyDescent="0.25">
      <c r="A9966" t="s">
        <v>16</v>
      </c>
      <c r="B9966" t="s">
        <v>3221</v>
      </c>
      <c r="C9966">
        <v>9919</v>
      </c>
      <c r="D9966" t="s">
        <v>222</v>
      </c>
      <c r="E9966" t="s">
        <v>223</v>
      </c>
      <c r="F9966">
        <v>441.26</v>
      </c>
      <c r="G9966">
        <v>230731</v>
      </c>
      <c r="H9966">
        <v>4343</v>
      </c>
      <c r="I9966" t="s">
        <v>91</v>
      </c>
      <c r="J9966">
        <v>547.16</v>
      </c>
      <c r="K9966">
        <v>105.9</v>
      </c>
      <c r="L9966">
        <v>11301</v>
      </c>
      <c r="M9966" t="s">
        <v>29</v>
      </c>
      <c r="N9966" t="str">
        <f>"2055287     "</f>
        <v xml:space="preserve">2055287     </v>
      </c>
      <c r="O9966">
        <v>230802</v>
      </c>
    </row>
    <row r="9967" spans="1:15" x14ac:dyDescent="0.25">
      <c r="A9967" t="s">
        <v>16</v>
      </c>
      <c r="B9967" t="s">
        <v>3221</v>
      </c>
      <c r="C9967">
        <v>12081</v>
      </c>
      <c r="D9967" t="s">
        <v>222</v>
      </c>
      <c r="E9967" t="s">
        <v>223</v>
      </c>
      <c r="F9967">
        <v>305</v>
      </c>
      <c r="G9967">
        <v>230912</v>
      </c>
      <c r="H9967">
        <v>4343</v>
      </c>
      <c r="I9967" t="s">
        <v>91</v>
      </c>
      <c r="J9967">
        <v>378.2</v>
      </c>
      <c r="K9967">
        <v>73.2</v>
      </c>
      <c r="L9967">
        <v>11301</v>
      </c>
      <c r="M9967" t="s">
        <v>29</v>
      </c>
      <c r="N9967" t="str">
        <f>"2056224     "</f>
        <v xml:space="preserve">2056224     </v>
      </c>
      <c r="O9967">
        <v>230913</v>
      </c>
    </row>
    <row r="9968" spans="1:15" x14ac:dyDescent="0.25">
      <c r="A9968" t="s">
        <v>16</v>
      </c>
      <c r="B9968" t="s">
        <v>3221</v>
      </c>
      <c r="C9968">
        <v>12825</v>
      </c>
      <c r="D9968" t="s">
        <v>222</v>
      </c>
      <c r="E9968" t="s">
        <v>223</v>
      </c>
      <c r="F9968">
        <v>806</v>
      </c>
      <c r="G9968">
        <v>230925</v>
      </c>
      <c r="H9968">
        <v>4343</v>
      </c>
      <c r="I9968" t="s">
        <v>91</v>
      </c>
      <c r="J9968">
        <v>999.44</v>
      </c>
      <c r="K9968">
        <v>193.44</v>
      </c>
      <c r="L9968">
        <v>11301</v>
      </c>
      <c r="M9968" t="s">
        <v>29</v>
      </c>
      <c r="N9968" t="str">
        <f>"2057861     "</f>
        <v xml:space="preserve">2057861     </v>
      </c>
      <c r="O9968">
        <v>230926</v>
      </c>
    </row>
    <row r="9969" spans="1:15" x14ac:dyDescent="0.25">
      <c r="A9969" t="s">
        <v>16</v>
      </c>
      <c r="B9969" t="s">
        <v>3221</v>
      </c>
      <c r="C9969">
        <v>13513</v>
      </c>
      <c r="D9969" t="s">
        <v>222</v>
      </c>
      <c r="E9969" t="s">
        <v>223</v>
      </c>
      <c r="F9969">
        <v>1344.26</v>
      </c>
      <c r="G9969">
        <v>231006</v>
      </c>
      <c r="H9969">
        <v>4343</v>
      </c>
      <c r="I9969" t="s">
        <v>91</v>
      </c>
      <c r="J9969">
        <v>1666.88</v>
      </c>
      <c r="K9969">
        <v>322.62</v>
      </c>
      <c r="L9969">
        <v>11301</v>
      </c>
      <c r="M9969" t="s">
        <v>29</v>
      </c>
      <c r="N9969" t="str">
        <f>"2058279     "</f>
        <v xml:space="preserve">2058279     </v>
      </c>
      <c r="O9969">
        <v>231010</v>
      </c>
    </row>
    <row r="9970" spans="1:15" x14ac:dyDescent="0.25">
      <c r="A9970" t="s">
        <v>16</v>
      </c>
      <c r="B9970" t="s">
        <v>3221</v>
      </c>
      <c r="C9970">
        <v>5672</v>
      </c>
      <c r="D9970" t="s">
        <v>1884</v>
      </c>
      <c r="E9970" t="s">
        <v>1885</v>
      </c>
      <c r="F9970">
        <v>116.6</v>
      </c>
      <c r="G9970">
        <v>230426</v>
      </c>
      <c r="H9970">
        <v>4600</v>
      </c>
      <c r="I9970" t="s">
        <v>105</v>
      </c>
      <c r="J9970">
        <v>144.58000000000001</v>
      </c>
      <c r="K9970">
        <v>27.98</v>
      </c>
      <c r="L9970">
        <v>66756</v>
      </c>
      <c r="M9970" t="s">
        <v>209</v>
      </c>
      <c r="N9970" t="str">
        <f>"115088      "</f>
        <v xml:space="preserve">115088      </v>
      </c>
      <c r="O9970">
        <v>230428</v>
      </c>
    </row>
    <row r="9971" spans="1:15" x14ac:dyDescent="0.25">
      <c r="A9971" t="s">
        <v>16</v>
      </c>
      <c r="B9971" t="s">
        <v>3221</v>
      </c>
      <c r="C9971">
        <v>2502</v>
      </c>
      <c r="D9971" t="s">
        <v>1414</v>
      </c>
      <c r="E9971" t="s">
        <v>1415</v>
      </c>
      <c r="F9971">
        <v>1078.3499999999999</v>
      </c>
      <c r="G9971">
        <v>230227</v>
      </c>
      <c r="H9971">
        <v>4510</v>
      </c>
      <c r="I9971" t="s">
        <v>42</v>
      </c>
      <c r="J9971">
        <v>1186.19</v>
      </c>
      <c r="K9971">
        <v>107.84</v>
      </c>
      <c r="L9971">
        <v>11501</v>
      </c>
      <c r="M9971" t="s">
        <v>339</v>
      </c>
      <c r="N9971" t="str">
        <f>"INV10013117 "</f>
        <v xml:space="preserve">INV10013117 </v>
      </c>
      <c r="O9971">
        <v>230301</v>
      </c>
    </row>
    <row r="9972" spans="1:15" x14ac:dyDescent="0.25">
      <c r="A9972" t="s">
        <v>16</v>
      </c>
      <c r="B9972" t="s">
        <v>3221</v>
      </c>
      <c r="C9972">
        <v>5584</v>
      </c>
      <c r="D9972" t="s">
        <v>1414</v>
      </c>
      <c r="E9972" t="s">
        <v>1415</v>
      </c>
      <c r="F9972">
        <v>5596.99</v>
      </c>
      <c r="G9972">
        <v>230420</v>
      </c>
      <c r="H9972">
        <v>4470</v>
      </c>
      <c r="I9972" t="s">
        <v>83</v>
      </c>
      <c r="J9972">
        <v>6156.69</v>
      </c>
      <c r="K9972">
        <v>559.70000000000005</v>
      </c>
      <c r="L9972">
        <v>18972</v>
      </c>
      <c r="M9972" t="s">
        <v>163</v>
      </c>
      <c r="N9972" t="str">
        <f>"INV10014161 "</f>
        <v xml:space="preserve">INV10014161 </v>
      </c>
      <c r="O9972">
        <v>230427</v>
      </c>
    </row>
    <row r="9973" spans="1:15" x14ac:dyDescent="0.25">
      <c r="A9973" t="s">
        <v>16</v>
      </c>
      <c r="B9973" t="s">
        <v>3221</v>
      </c>
      <c r="C9973">
        <v>6205</v>
      </c>
      <c r="D9973" t="s">
        <v>1414</v>
      </c>
      <c r="E9973" t="s">
        <v>1415</v>
      </c>
      <c r="F9973">
        <v>875.37</v>
      </c>
      <c r="G9973">
        <v>230502</v>
      </c>
      <c r="H9973">
        <v>4470</v>
      </c>
      <c r="I9973" t="s">
        <v>83</v>
      </c>
      <c r="J9973">
        <v>875.37</v>
      </c>
      <c r="K9973">
        <v>0</v>
      </c>
      <c r="L9973">
        <v>13801</v>
      </c>
      <c r="M9973" t="s">
        <v>162</v>
      </c>
      <c r="N9973" t="str">
        <f>"INV10014351 "</f>
        <v xml:space="preserve">INV10014351 </v>
      </c>
      <c r="O9973">
        <v>230508</v>
      </c>
    </row>
    <row r="9974" spans="1:15" x14ac:dyDescent="0.25">
      <c r="A9974" t="s">
        <v>16</v>
      </c>
      <c r="B9974" t="s">
        <v>3221</v>
      </c>
      <c r="C9974">
        <v>3868</v>
      </c>
      <c r="D9974" t="s">
        <v>1628</v>
      </c>
      <c r="E9974" t="s">
        <v>1629</v>
      </c>
      <c r="F9974">
        <v>218.89</v>
      </c>
      <c r="G9974">
        <v>230323</v>
      </c>
      <c r="H9974">
        <v>4557</v>
      </c>
      <c r="I9974" t="s">
        <v>238</v>
      </c>
      <c r="J9974">
        <v>271.42</v>
      </c>
      <c r="K9974">
        <v>52.53</v>
      </c>
      <c r="L9974">
        <v>66754</v>
      </c>
      <c r="M9974" t="s">
        <v>239</v>
      </c>
      <c r="N9974" t="str">
        <f>"37563       "</f>
        <v xml:space="preserve">37563       </v>
      </c>
      <c r="O9974">
        <v>230323</v>
      </c>
    </row>
    <row r="9975" spans="1:15" x14ac:dyDescent="0.25">
      <c r="A9975" t="s">
        <v>16</v>
      </c>
      <c r="B9975" t="s">
        <v>3221</v>
      </c>
      <c r="C9975">
        <v>3868</v>
      </c>
      <c r="D9975" t="s">
        <v>1628</v>
      </c>
      <c r="E9975" t="s">
        <v>1629</v>
      </c>
      <c r="F9975">
        <v>489.83</v>
      </c>
      <c r="G9975">
        <v>230323</v>
      </c>
      <c r="H9975">
        <v>4557</v>
      </c>
      <c r="I9975" t="s">
        <v>238</v>
      </c>
      <c r="J9975">
        <v>607.39</v>
      </c>
      <c r="K9975">
        <v>117.56</v>
      </c>
      <c r="L9975">
        <v>66754</v>
      </c>
      <c r="M9975" t="s">
        <v>239</v>
      </c>
      <c r="N9975" t="str">
        <f>"37563       "</f>
        <v xml:space="preserve">37563       </v>
      </c>
      <c r="O9975">
        <v>230323</v>
      </c>
    </row>
    <row r="9976" spans="1:15" x14ac:dyDescent="0.25">
      <c r="A9976" t="s">
        <v>16</v>
      </c>
      <c r="B9976" t="s">
        <v>3221</v>
      </c>
      <c r="C9976">
        <v>4759</v>
      </c>
      <c r="D9976" t="s">
        <v>1628</v>
      </c>
      <c r="E9976" t="s">
        <v>1629</v>
      </c>
      <c r="F9976">
        <v>733.59</v>
      </c>
      <c r="G9976">
        <v>230406</v>
      </c>
      <c r="H9976">
        <v>4557</v>
      </c>
      <c r="I9976" t="s">
        <v>238</v>
      </c>
      <c r="J9976">
        <v>909.65</v>
      </c>
      <c r="K9976">
        <v>176.06</v>
      </c>
      <c r="L9976">
        <v>66754</v>
      </c>
      <c r="M9976" t="s">
        <v>239</v>
      </c>
      <c r="N9976" t="str">
        <f>"38045       "</f>
        <v xml:space="preserve">38045       </v>
      </c>
      <c r="O9976">
        <v>230412</v>
      </c>
    </row>
    <row r="9977" spans="1:15" x14ac:dyDescent="0.25">
      <c r="A9977" t="s">
        <v>16</v>
      </c>
      <c r="B9977" t="s">
        <v>3221</v>
      </c>
      <c r="C9977">
        <v>4776</v>
      </c>
      <c r="D9977" t="s">
        <v>1628</v>
      </c>
      <c r="E9977" t="s">
        <v>1629</v>
      </c>
      <c r="F9977">
        <v>102.14</v>
      </c>
      <c r="G9977">
        <v>230406</v>
      </c>
      <c r="H9977">
        <v>4557</v>
      </c>
      <c r="I9977" t="s">
        <v>238</v>
      </c>
      <c r="J9977">
        <v>126.65</v>
      </c>
      <c r="K9977">
        <v>24.51</v>
      </c>
      <c r="L9977">
        <v>66754</v>
      </c>
      <c r="M9977" t="s">
        <v>239</v>
      </c>
      <c r="N9977" t="str">
        <f>"38046       "</f>
        <v xml:space="preserve">38046       </v>
      </c>
      <c r="O9977">
        <v>230412</v>
      </c>
    </row>
    <row r="9978" spans="1:15" x14ac:dyDescent="0.25">
      <c r="A9978" t="s">
        <v>16</v>
      </c>
      <c r="B9978" t="s">
        <v>3221</v>
      </c>
      <c r="C9978">
        <v>5160</v>
      </c>
      <c r="D9978" t="s">
        <v>1628</v>
      </c>
      <c r="E9978" t="s">
        <v>1629</v>
      </c>
      <c r="F9978">
        <v>320.60000000000002</v>
      </c>
      <c r="G9978">
        <v>230414</v>
      </c>
      <c r="H9978">
        <v>4557</v>
      </c>
      <c r="I9978" t="s">
        <v>238</v>
      </c>
      <c r="J9978">
        <v>397.54</v>
      </c>
      <c r="K9978">
        <v>76.94</v>
      </c>
      <c r="L9978">
        <v>66754</v>
      </c>
      <c r="M9978" t="s">
        <v>239</v>
      </c>
      <c r="N9978" t="str">
        <f>"38259       "</f>
        <v xml:space="preserve">38259       </v>
      </c>
      <c r="O9978">
        <v>230418</v>
      </c>
    </row>
    <row r="9979" spans="1:15" x14ac:dyDescent="0.25">
      <c r="A9979" t="s">
        <v>16</v>
      </c>
      <c r="B9979" t="s">
        <v>3221</v>
      </c>
      <c r="C9979">
        <v>10990</v>
      </c>
      <c r="D9979" t="s">
        <v>2437</v>
      </c>
      <c r="E9979" t="s">
        <v>2438</v>
      </c>
      <c r="F9979">
        <v>387.1</v>
      </c>
      <c r="G9979">
        <v>230818</v>
      </c>
      <c r="H9979">
        <v>4440</v>
      </c>
      <c r="I9979" t="s">
        <v>250</v>
      </c>
      <c r="J9979">
        <v>480</v>
      </c>
      <c r="K9979">
        <v>92.9</v>
      </c>
      <c r="L9979">
        <v>13501</v>
      </c>
      <c r="M9979" t="s">
        <v>20</v>
      </c>
      <c r="N9979" t="str">
        <f>"2408        "</f>
        <v xml:space="preserve">2408        </v>
      </c>
      <c r="O9979">
        <v>230828</v>
      </c>
    </row>
    <row r="9980" spans="1:15" x14ac:dyDescent="0.25">
      <c r="A9980" t="s">
        <v>16</v>
      </c>
      <c r="B9980" t="s">
        <v>3221</v>
      </c>
      <c r="C9980">
        <v>14635</v>
      </c>
      <c r="D9980" t="s">
        <v>48</v>
      </c>
      <c r="E9980" t="s">
        <v>49</v>
      </c>
      <c r="F9980">
        <v>160</v>
      </c>
      <c r="G9980">
        <v>231018</v>
      </c>
      <c r="H9980">
        <v>4470</v>
      </c>
      <c r="I9980" t="s">
        <v>83</v>
      </c>
      <c r="J9980">
        <v>160</v>
      </c>
      <c r="K9980">
        <v>0</v>
      </c>
      <c r="L9980">
        <v>49111</v>
      </c>
      <c r="M9980" t="s">
        <v>51</v>
      </c>
      <c r="N9980" t="str">
        <f>"4431        "</f>
        <v xml:space="preserve">4431        </v>
      </c>
      <c r="O9980">
        <v>231031</v>
      </c>
    </row>
    <row r="9981" spans="1:15" x14ac:dyDescent="0.25">
      <c r="A9981" t="s">
        <v>16</v>
      </c>
      <c r="B9981" t="s">
        <v>3221</v>
      </c>
      <c r="C9981">
        <v>66</v>
      </c>
      <c r="D9981" t="s">
        <v>48</v>
      </c>
      <c r="E9981" t="s">
        <v>49</v>
      </c>
      <c r="F9981">
        <v>352</v>
      </c>
      <c r="G9981">
        <v>230101</v>
      </c>
      <c r="H9981">
        <v>4820</v>
      </c>
      <c r="I9981" t="s">
        <v>50</v>
      </c>
      <c r="J9981">
        <v>352</v>
      </c>
      <c r="K9981">
        <v>0</v>
      </c>
      <c r="L9981">
        <v>49111</v>
      </c>
      <c r="M9981" t="s">
        <v>51</v>
      </c>
      <c r="N9981" t="str">
        <f>"010123/1    "</f>
        <v xml:space="preserve">010123/1    </v>
      </c>
      <c r="O9981">
        <v>230104</v>
      </c>
    </row>
    <row r="9982" spans="1:15" x14ac:dyDescent="0.25">
      <c r="A9982" t="s">
        <v>16</v>
      </c>
      <c r="B9982" t="s">
        <v>3221</v>
      </c>
      <c r="C9982">
        <v>67</v>
      </c>
      <c r="D9982" t="s">
        <v>48</v>
      </c>
      <c r="E9982" t="s">
        <v>49</v>
      </c>
      <c r="F9982">
        <v>528</v>
      </c>
      <c r="G9982">
        <v>230101</v>
      </c>
      <c r="H9982">
        <v>4820</v>
      </c>
      <c r="I9982" t="s">
        <v>50</v>
      </c>
      <c r="J9982">
        <v>528</v>
      </c>
      <c r="K9982">
        <v>0</v>
      </c>
      <c r="L9982">
        <v>49111</v>
      </c>
      <c r="M9982" t="s">
        <v>51</v>
      </c>
      <c r="N9982" t="str">
        <f>"010123/2    "</f>
        <v xml:space="preserve">010123/2    </v>
      </c>
      <c r="O9982">
        <v>230104</v>
      </c>
    </row>
    <row r="9983" spans="1:15" x14ac:dyDescent="0.25">
      <c r="A9983" t="s">
        <v>16</v>
      </c>
      <c r="B9983" t="s">
        <v>3221</v>
      </c>
      <c r="C9983">
        <v>68</v>
      </c>
      <c r="D9983" t="s">
        <v>48</v>
      </c>
      <c r="E9983" t="s">
        <v>49</v>
      </c>
      <c r="F9983">
        <v>528</v>
      </c>
      <c r="G9983">
        <v>230101</v>
      </c>
      <c r="H9983">
        <v>4820</v>
      </c>
      <c r="I9983" t="s">
        <v>50</v>
      </c>
      <c r="J9983">
        <v>528</v>
      </c>
      <c r="K9983">
        <v>0</v>
      </c>
      <c r="L9983">
        <v>49111</v>
      </c>
      <c r="M9983" t="s">
        <v>51</v>
      </c>
      <c r="N9983" t="str">
        <f>"010123/3    "</f>
        <v xml:space="preserve">010123/3    </v>
      </c>
      <c r="O9983">
        <v>230104</v>
      </c>
    </row>
    <row r="9984" spans="1:15" x14ac:dyDescent="0.25">
      <c r="A9984" t="s">
        <v>16</v>
      </c>
      <c r="B9984" t="s">
        <v>3221</v>
      </c>
      <c r="C9984">
        <v>69</v>
      </c>
      <c r="D9984" t="s">
        <v>48</v>
      </c>
      <c r="E9984" t="s">
        <v>49</v>
      </c>
      <c r="F9984">
        <v>528</v>
      </c>
      <c r="G9984">
        <v>230101</v>
      </c>
      <c r="H9984">
        <v>4820</v>
      </c>
      <c r="I9984" t="s">
        <v>50</v>
      </c>
      <c r="J9984">
        <v>528</v>
      </c>
      <c r="K9984">
        <v>0</v>
      </c>
      <c r="L9984">
        <v>49111</v>
      </c>
      <c r="M9984" t="s">
        <v>51</v>
      </c>
      <c r="N9984" t="str">
        <f>"010123/4    "</f>
        <v xml:space="preserve">010123/4    </v>
      </c>
      <c r="O9984">
        <v>230104</v>
      </c>
    </row>
    <row r="9985" spans="1:15" x14ac:dyDescent="0.25">
      <c r="A9985" t="s">
        <v>16</v>
      </c>
      <c r="B9985" t="s">
        <v>3221</v>
      </c>
      <c r="C9985">
        <v>70</v>
      </c>
      <c r="D9985" t="s">
        <v>48</v>
      </c>
      <c r="E9985" t="s">
        <v>49</v>
      </c>
      <c r="F9985">
        <v>528</v>
      </c>
      <c r="G9985">
        <v>230101</v>
      </c>
      <c r="H9985">
        <v>4820</v>
      </c>
      <c r="I9985" t="s">
        <v>50</v>
      </c>
      <c r="J9985">
        <v>528</v>
      </c>
      <c r="K9985">
        <v>0</v>
      </c>
      <c r="L9985">
        <v>49111</v>
      </c>
      <c r="M9985" t="s">
        <v>51</v>
      </c>
      <c r="N9985" t="str">
        <f>"010123/5    "</f>
        <v xml:space="preserve">010123/5    </v>
      </c>
      <c r="O9985">
        <v>230104</v>
      </c>
    </row>
    <row r="9986" spans="1:15" x14ac:dyDescent="0.25">
      <c r="A9986" t="s">
        <v>16</v>
      </c>
      <c r="B9986" t="s">
        <v>3221</v>
      </c>
      <c r="C9986">
        <v>71</v>
      </c>
      <c r="D9986" t="s">
        <v>48</v>
      </c>
      <c r="E9986" t="s">
        <v>49</v>
      </c>
      <c r="F9986">
        <v>528</v>
      </c>
      <c r="G9986">
        <v>230101</v>
      </c>
      <c r="H9986">
        <v>4820</v>
      </c>
      <c r="I9986" t="s">
        <v>50</v>
      </c>
      <c r="J9986">
        <v>528</v>
      </c>
      <c r="K9986">
        <v>0</v>
      </c>
      <c r="L9986">
        <v>49111</v>
      </c>
      <c r="M9986" t="s">
        <v>51</v>
      </c>
      <c r="N9986" t="str">
        <f>"010123/6    "</f>
        <v xml:space="preserve">010123/6    </v>
      </c>
      <c r="O9986">
        <v>230104</v>
      </c>
    </row>
    <row r="9987" spans="1:15" x14ac:dyDescent="0.25">
      <c r="A9987" t="s">
        <v>16</v>
      </c>
      <c r="B9987" t="s">
        <v>3221</v>
      </c>
      <c r="C9987">
        <v>72</v>
      </c>
      <c r="D9987" t="s">
        <v>48</v>
      </c>
      <c r="E9987" t="s">
        <v>49</v>
      </c>
      <c r="F9987">
        <v>528</v>
      </c>
      <c r="G9987">
        <v>230101</v>
      </c>
      <c r="H9987">
        <v>4820</v>
      </c>
      <c r="I9987" t="s">
        <v>50</v>
      </c>
      <c r="J9987">
        <v>528</v>
      </c>
      <c r="K9987">
        <v>0</v>
      </c>
      <c r="L9987">
        <v>49111</v>
      </c>
      <c r="M9987" t="s">
        <v>51</v>
      </c>
      <c r="N9987" t="str">
        <f>"010123/7    "</f>
        <v xml:space="preserve">010123/7    </v>
      </c>
      <c r="O9987">
        <v>230104</v>
      </c>
    </row>
    <row r="9988" spans="1:15" x14ac:dyDescent="0.25">
      <c r="A9988" t="s">
        <v>16</v>
      </c>
      <c r="B9988" t="s">
        <v>3221</v>
      </c>
      <c r="C9988">
        <v>530</v>
      </c>
      <c r="D9988" t="s">
        <v>48</v>
      </c>
      <c r="E9988" t="s">
        <v>49</v>
      </c>
      <c r="F9988">
        <v>528</v>
      </c>
      <c r="G9988">
        <v>230201</v>
      </c>
      <c r="H9988">
        <v>4820</v>
      </c>
      <c r="I9988" t="s">
        <v>50</v>
      </c>
      <c r="J9988">
        <v>528</v>
      </c>
      <c r="K9988">
        <v>0</v>
      </c>
      <c r="L9988">
        <v>49111</v>
      </c>
      <c r="M9988" t="s">
        <v>51</v>
      </c>
      <c r="N9988" t="str">
        <f>"010223/5    "</f>
        <v xml:space="preserve">010223/5    </v>
      </c>
      <c r="O9988">
        <v>230124</v>
      </c>
    </row>
    <row r="9989" spans="1:15" x14ac:dyDescent="0.25">
      <c r="A9989" t="s">
        <v>16</v>
      </c>
      <c r="B9989" t="s">
        <v>3221</v>
      </c>
      <c r="C9989">
        <v>531</v>
      </c>
      <c r="D9989" t="s">
        <v>48</v>
      </c>
      <c r="E9989" t="s">
        <v>49</v>
      </c>
      <c r="F9989">
        <v>352</v>
      </c>
      <c r="G9989">
        <v>230201</v>
      </c>
      <c r="H9989">
        <v>4820</v>
      </c>
      <c r="I9989" t="s">
        <v>50</v>
      </c>
      <c r="J9989">
        <v>352</v>
      </c>
      <c r="K9989">
        <v>0</v>
      </c>
      <c r="L9989">
        <v>49111</v>
      </c>
      <c r="M9989" t="s">
        <v>51</v>
      </c>
      <c r="N9989" t="str">
        <f>"010223      "</f>
        <v xml:space="preserve">010223      </v>
      </c>
      <c r="O9989">
        <v>230124</v>
      </c>
    </row>
    <row r="9990" spans="1:15" x14ac:dyDescent="0.25">
      <c r="A9990" t="s">
        <v>16</v>
      </c>
      <c r="B9990" t="s">
        <v>3221</v>
      </c>
      <c r="C9990">
        <v>532</v>
      </c>
      <c r="D9990" t="s">
        <v>48</v>
      </c>
      <c r="E9990" t="s">
        <v>49</v>
      </c>
      <c r="F9990">
        <v>528</v>
      </c>
      <c r="G9990">
        <v>230201</v>
      </c>
      <c r="H9990">
        <v>4820</v>
      </c>
      <c r="I9990" t="s">
        <v>50</v>
      </c>
      <c r="J9990">
        <v>528</v>
      </c>
      <c r="K9990">
        <v>0</v>
      </c>
      <c r="L9990">
        <v>49111</v>
      </c>
      <c r="M9990" t="s">
        <v>51</v>
      </c>
      <c r="N9990" t="str">
        <f>"010223/2    "</f>
        <v xml:space="preserve">010223/2    </v>
      </c>
      <c r="O9990">
        <v>230124</v>
      </c>
    </row>
    <row r="9991" spans="1:15" x14ac:dyDescent="0.25">
      <c r="A9991" t="s">
        <v>16</v>
      </c>
      <c r="B9991" t="s">
        <v>3221</v>
      </c>
      <c r="C9991">
        <v>533</v>
      </c>
      <c r="D9991" t="s">
        <v>48</v>
      </c>
      <c r="E9991" t="s">
        <v>49</v>
      </c>
      <c r="F9991">
        <v>528</v>
      </c>
      <c r="G9991">
        <v>230201</v>
      </c>
      <c r="H9991">
        <v>4820</v>
      </c>
      <c r="I9991" t="s">
        <v>50</v>
      </c>
      <c r="J9991">
        <v>528</v>
      </c>
      <c r="K9991">
        <v>0</v>
      </c>
      <c r="L9991">
        <v>49111</v>
      </c>
      <c r="M9991" t="s">
        <v>51</v>
      </c>
      <c r="N9991" t="str">
        <f>"010223/4    "</f>
        <v xml:space="preserve">010223/4    </v>
      </c>
      <c r="O9991">
        <v>230124</v>
      </c>
    </row>
    <row r="9992" spans="1:15" x14ac:dyDescent="0.25">
      <c r="A9992" t="s">
        <v>16</v>
      </c>
      <c r="B9992" t="s">
        <v>3221</v>
      </c>
      <c r="C9992">
        <v>534</v>
      </c>
      <c r="D9992" t="s">
        <v>48</v>
      </c>
      <c r="E9992" t="s">
        <v>49</v>
      </c>
      <c r="F9992">
        <v>528</v>
      </c>
      <c r="G9992">
        <v>230201</v>
      </c>
      <c r="H9992">
        <v>4820</v>
      </c>
      <c r="I9992" t="s">
        <v>50</v>
      </c>
      <c r="J9992">
        <v>528</v>
      </c>
      <c r="K9992">
        <v>0</v>
      </c>
      <c r="L9992">
        <v>49111</v>
      </c>
      <c r="M9992" t="s">
        <v>51</v>
      </c>
      <c r="N9992" t="str">
        <f>"010223/7    "</f>
        <v xml:space="preserve">010223/7    </v>
      </c>
      <c r="O9992">
        <v>230124</v>
      </c>
    </row>
    <row r="9993" spans="1:15" x14ac:dyDescent="0.25">
      <c r="A9993" t="s">
        <v>16</v>
      </c>
      <c r="B9993" t="s">
        <v>3221</v>
      </c>
      <c r="C9993">
        <v>535</v>
      </c>
      <c r="D9993" t="s">
        <v>48</v>
      </c>
      <c r="E9993" t="s">
        <v>49</v>
      </c>
      <c r="F9993">
        <v>528</v>
      </c>
      <c r="G9993">
        <v>230201</v>
      </c>
      <c r="H9993">
        <v>4820</v>
      </c>
      <c r="I9993" t="s">
        <v>50</v>
      </c>
      <c r="J9993">
        <v>528</v>
      </c>
      <c r="K9993">
        <v>0</v>
      </c>
      <c r="L9993">
        <v>49111</v>
      </c>
      <c r="M9993" t="s">
        <v>51</v>
      </c>
      <c r="N9993" t="str">
        <f>"010223/6    "</f>
        <v xml:space="preserve">010223/6    </v>
      </c>
      <c r="O9993">
        <v>230124</v>
      </c>
    </row>
    <row r="9994" spans="1:15" x14ac:dyDescent="0.25">
      <c r="A9994" t="s">
        <v>16</v>
      </c>
      <c r="B9994" t="s">
        <v>3221</v>
      </c>
      <c r="C9994">
        <v>537</v>
      </c>
      <c r="D9994" t="s">
        <v>48</v>
      </c>
      <c r="E9994" t="s">
        <v>49</v>
      </c>
      <c r="F9994">
        <v>528</v>
      </c>
      <c r="G9994">
        <v>230201</v>
      </c>
      <c r="H9994">
        <v>4820</v>
      </c>
      <c r="I9994" t="s">
        <v>50</v>
      </c>
      <c r="J9994">
        <v>528</v>
      </c>
      <c r="K9994">
        <v>0</v>
      </c>
      <c r="L9994">
        <v>49111</v>
      </c>
      <c r="M9994" t="s">
        <v>51</v>
      </c>
      <c r="N9994" t="str">
        <f>"010223/3    "</f>
        <v xml:space="preserve">010223/3    </v>
      </c>
      <c r="O9994">
        <v>230124</v>
      </c>
    </row>
    <row r="9995" spans="1:15" x14ac:dyDescent="0.25">
      <c r="A9995" t="s">
        <v>16</v>
      </c>
      <c r="B9995" t="s">
        <v>3221</v>
      </c>
      <c r="C9995">
        <v>1242</v>
      </c>
      <c r="D9995" t="s">
        <v>48</v>
      </c>
      <c r="E9995" t="s">
        <v>49</v>
      </c>
      <c r="F9995">
        <v>554.4</v>
      </c>
      <c r="G9995">
        <v>230127</v>
      </c>
      <c r="H9995">
        <v>4820</v>
      </c>
      <c r="I9995" t="s">
        <v>50</v>
      </c>
      <c r="J9995">
        <v>554.4</v>
      </c>
      <c r="K9995">
        <v>0</v>
      </c>
      <c r="L9995">
        <v>49111</v>
      </c>
      <c r="M9995" t="s">
        <v>51</v>
      </c>
      <c r="N9995" t="str">
        <f>"010323/6    "</f>
        <v xml:space="preserve">010323/6    </v>
      </c>
      <c r="O9995">
        <v>230206</v>
      </c>
    </row>
    <row r="9996" spans="1:15" x14ac:dyDescent="0.25">
      <c r="A9996" t="s">
        <v>16</v>
      </c>
      <c r="B9996" t="s">
        <v>3221</v>
      </c>
      <c r="C9996">
        <v>1243</v>
      </c>
      <c r="D9996" t="s">
        <v>48</v>
      </c>
      <c r="E9996" t="s">
        <v>49</v>
      </c>
      <c r="F9996">
        <v>369.6</v>
      </c>
      <c r="G9996">
        <v>230127</v>
      </c>
      <c r="H9996">
        <v>4820</v>
      </c>
      <c r="I9996" t="s">
        <v>50</v>
      </c>
      <c r="J9996">
        <v>369.6</v>
      </c>
      <c r="K9996">
        <v>0</v>
      </c>
      <c r="L9996">
        <v>49111</v>
      </c>
      <c r="M9996" t="s">
        <v>51</v>
      </c>
      <c r="N9996" t="str">
        <f>"010323/1    "</f>
        <v xml:space="preserve">010323/1    </v>
      </c>
      <c r="O9996">
        <v>230206</v>
      </c>
    </row>
    <row r="9997" spans="1:15" x14ac:dyDescent="0.25">
      <c r="A9997" t="s">
        <v>16</v>
      </c>
      <c r="B9997" t="s">
        <v>3221</v>
      </c>
      <c r="C9997">
        <v>1245</v>
      </c>
      <c r="D9997" t="s">
        <v>48</v>
      </c>
      <c r="E9997" t="s">
        <v>49</v>
      </c>
      <c r="F9997">
        <v>554.4</v>
      </c>
      <c r="G9997">
        <v>230127</v>
      </c>
      <c r="H9997">
        <v>4820</v>
      </c>
      <c r="I9997" t="s">
        <v>50</v>
      </c>
      <c r="J9997">
        <v>554.4</v>
      </c>
      <c r="K9997">
        <v>0</v>
      </c>
      <c r="L9997">
        <v>49111</v>
      </c>
      <c r="M9997" t="s">
        <v>51</v>
      </c>
      <c r="N9997" t="str">
        <f>"010323/2    "</f>
        <v xml:space="preserve">010323/2    </v>
      </c>
      <c r="O9997">
        <v>230206</v>
      </c>
    </row>
    <row r="9998" spans="1:15" x14ac:dyDescent="0.25">
      <c r="A9998" t="s">
        <v>16</v>
      </c>
      <c r="B9998" t="s">
        <v>3221</v>
      </c>
      <c r="C9998">
        <v>1246</v>
      </c>
      <c r="D9998" t="s">
        <v>48</v>
      </c>
      <c r="E9998" t="s">
        <v>49</v>
      </c>
      <c r="F9998">
        <v>554.4</v>
      </c>
      <c r="G9998">
        <v>230127</v>
      </c>
      <c r="H9998">
        <v>4820</v>
      </c>
      <c r="I9998" t="s">
        <v>50</v>
      </c>
      <c r="J9998">
        <v>554.4</v>
      </c>
      <c r="K9998">
        <v>0</v>
      </c>
      <c r="L9998">
        <v>49111</v>
      </c>
      <c r="M9998" t="s">
        <v>51</v>
      </c>
      <c r="N9998" t="str">
        <f>"010323/5    "</f>
        <v xml:space="preserve">010323/5    </v>
      </c>
      <c r="O9998">
        <v>230206</v>
      </c>
    </row>
    <row r="9999" spans="1:15" x14ac:dyDescent="0.25">
      <c r="A9999" t="s">
        <v>16</v>
      </c>
      <c r="B9999" t="s">
        <v>3221</v>
      </c>
      <c r="C9999">
        <v>1312</v>
      </c>
      <c r="D9999" t="s">
        <v>48</v>
      </c>
      <c r="E9999" t="s">
        <v>49</v>
      </c>
      <c r="F9999">
        <v>554.4</v>
      </c>
      <c r="G9999">
        <v>230127</v>
      </c>
      <c r="H9999">
        <v>4820</v>
      </c>
      <c r="I9999" t="s">
        <v>50</v>
      </c>
      <c r="J9999">
        <v>554.4</v>
      </c>
      <c r="K9999">
        <v>0</v>
      </c>
      <c r="L9999">
        <v>49111</v>
      </c>
      <c r="M9999" t="s">
        <v>51</v>
      </c>
      <c r="N9999" t="str">
        <f>"010323/4    "</f>
        <v xml:space="preserve">010323/4    </v>
      </c>
      <c r="O9999">
        <v>230207</v>
      </c>
    </row>
    <row r="10000" spans="1:15" x14ac:dyDescent="0.25">
      <c r="A10000" t="s">
        <v>16</v>
      </c>
      <c r="B10000" t="s">
        <v>3221</v>
      </c>
      <c r="C10000">
        <v>1313</v>
      </c>
      <c r="D10000" t="s">
        <v>48</v>
      </c>
      <c r="E10000" t="s">
        <v>49</v>
      </c>
      <c r="F10000">
        <v>554.4</v>
      </c>
      <c r="G10000">
        <v>230127</v>
      </c>
      <c r="H10000">
        <v>4820</v>
      </c>
      <c r="I10000" t="s">
        <v>50</v>
      </c>
      <c r="J10000">
        <v>554.4</v>
      </c>
      <c r="K10000">
        <v>0</v>
      </c>
      <c r="L10000">
        <v>49111</v>
      </c>
      <c r="M10000" t="s">
        <v>51</v>
      </c>
      <c r="N10000" t="str">
        <f>"010323/7    "</f>
        <v xml:space="preserve">010323/7    </v>
      </c>
      <c r="O10000">
        <v>230207</v>
      </c>
    </row>
    <row r="10001" spans="1:15" x14ac:dyDescent="0.25">
      <c r="A10001" t="s">
        <v>16</v>
      </c>
      <c r="B10001" t="s">
        <v>3221</v>
      </c>
      <c r="C10001">
        <v>1314</v>
      </c>
      <c r="D10001" t="s">
        <v>48</v>
      </c>
      <c r="E10001" t="s">
        <v>49</v>
      </c>
      <c r="F10001">
        <v>554.4</v>
      </c>
      <c r="G10001">
        <v>230127</v>
      </c>
      <c r="H10001">
        <v>4820</v>
      </c>
      <c r="I10001" t="s">
        <v>50</v>
      </c>
      <c r="J10001">
        <v>554.4</v>
      </c>
      <c r="K10001">
        <v>0</v>
      </c>
      <c r="L10001">
        <v>49111</v>
      </c>
      <c r="M10001" t="s">
        <v>51</v>
      </c>
      <c r="N10001" t="str">
        <f>"010323/3    "</f>
        <v xml:space="preserve">010323/3    </v>
      </c>
      <c r="O10001">
        <v>230207</v>
      </c>
    </row>
    <row r="10002" spans="1:15" x14ac:dyDescent="0.25">
      <c r="A10002" t="s">
        <v>16</v>
      </c>
      <c r="B10002" t="s">
        <v>3221</v>
      </c>
      <c r="C10002">
        <v>3843</v>
      </c>
      <c r="D10002" t="s">
        <v>48</v>
      </c>
      <c r="E10002" t="s">
        <v>49</v>
      </c>
      <c r="F10002">
        <v>369.6</v>
      </c>
      <c r="G10002">
        <v>230401</v>
      </c>
      <c r="H10002">
        <v>4820</v>
      </c>
      <c r="I10002" t="s">
        <v>50</v>
      </c>
      <c r="J10002">
        <v>369.6</v>
      </c>
      <c r="K10002">
        <v>0</v>
      </c>
      <c r="L10002">
        <v>49111</v>
      </c>
      <c r="M10002" t="s">
        <v>51</v>
      </c>
      <c r="N10002" t="str">
        <f>"010423/1    "</f>
        <v xml:space="preserve">010423/1    </v>
      </c>
      <c r="O10002">
        <v>230323</v>
      </c>
    </row>
    <row r="10003" spans="1:15" x14ac:dyDescent="0.25">
      <c r="A10003" t="s">
        <v>16</v>
      </c>
      <c r="B10003" t="s">
        <v>3221</v>
      </c>
      <c r="C10003">
        <v>3844</v>
      </c>
      <c r="D10003" t="s">
        <v>48</v>
      </c>
      <c r="E10003" t="s">
        <v>49</v>
      </c>
      <c r="F10003">
        <v>554.4</v>
      </c>
      <c r="G10003">
        <v>230401</v>
      </c>
      <c r="H10003">
        <v>4820</v>
      </c>
      <c r="I10003" t="s">
        <v>50</v>
      </c>
      <c r="J10003">
        <v>554.4</v>
      </c>
      <c r="K10003">
        <v>0</v>
      </c>
      <c r="L10003">
        <v>49111</v>
      </c>
      <c r="M10003" t="s">
        <v>51</v>
      </c>
      <c r="N10003" t="str">
        <f>"010423/5    "</f>
        <v xml:space="preserve">010423/5    </v>
      </c>
      <c r="O10003">
        <v>230323</v>
      </c>
    </row>
    <row r="10004" spans="1:15" x14ac:dyDescent="0.25">
      <c r="A10004" t="s">
        <v>16</v>
      </c>
      <c r="B10004" t="s">
        <v>3221</v>
      </c>
      <c r="C10004">
        <v>3846</v>
      </c>
      <c r="D10004" t="s">
        <v>48</v>
      </c>
      <c r="E10004" t="s">
        <v>49</v>
      </c>
      <c r="F10004">
        <v>554.4</v>
      </c>
      <c r="G10004">
        <v>230401</v>
      </c>
      <c r="H10004">
        <v>4820</v>
      </c>
      <c r="I10004" t="s">
        <v>50</v>
      </c>
      <c r="J10004">
        <v>554.4</v>
      </c>
      <c r="K10004">
        <v>0</v>
      </c>
      <c r="L10004">
        <v>49111</v>
      </c>
      <c r="M10004" t="s">
        <v>51</v>
      </c>
      <c r="N10004" t="str">
        <f>"010423/6    "</f>
        <v xml:space="preserve">010423/6    </v>
      </c>
      <c r="O10004">
        <v>230323</v>
      </c>
    </row>
    <row r="10005" spans="1:15" x14ac:dyDescent="0.25">
      <c r="A10005" t="s">
        <v>16</v>
      </c>
      <c r="B10005" t="s">
        <v>3221</v>
      </c>
      <c r="C10005">
        <v>3847</v>
      </c>
      <c r="D10005" t="s">
        <v>48</v>
      </c>
      <c r="E10005" t="s">
        <v>49</v>
      </c>
      <c r="F10005">
        <v>554.4</v>
      </c>
      <c r="G10005">
        <v>230401</v>
      </c>
      <c r="H10005">
        <v>4820</v>
      </c>
      <c r="I10005" t="s">
        <v>50</v>
      </c>
      <c r="J10005">
        <v>554.4</v>
      </c>
      <c r="K10005">
        <v>0</v>
      </c>
      <c r="L10005">
        <v>49111</v>
      </c>
      <c r="M10005" t="s">
        <v>51</v>
      </c>
      <c r="N10005" t="str">
        <f>"010423/3    "</f>
        <v xml:space="preserve">010423/3    </v>
      </c>
      <c r="O10005">
        <v>230323</v>
      </c>
    </row>
    <row r="10006" spans="1:15" x14ac:dyDescent="0.25">
      <c r="A10006" t="s">
        <v>16</v>
      </c>
      <c r="B10006" t="s">
        <v>3221</v>
      </c>
      <c r="C10006">
        <v>3849</v>
      </c>
      <c r="D10006" t="s">
        <v>48</v>
      </c>
      <c r="E10006" t="s">
        <v>49</v>
      </c>
      <c r="F10006">
        <v>554.4</v>
      </c>
      <c r="G10006">
        <v>230401</v>
      </c>
      <c r="H10006">
        <v>4820</v>
      </c>
      <c r="I10006" t="s">
        <v>50</v>
      </c>
      <c r="J10006">
        <v>554.4</v>
      </c>
      <c r="K10006">
        <v>0</v>
      </c>
      <c r="L10006">
        <v>49111</v>
      </c>
      <c r="M10006" t="s">
        <v>51</v>
      </c>
      <c r="N10006" t="str">
        <f>"010423/7    "</f>
        <v xml:space="preserve">010423/7    </v>
      </c>
      <c r="O10006">
        <v>230323</v>
      </c>
    </row>
    <row r="10007" spans="1:15" x14ac:dyDescent="0.25">
      <c r="A10007" t="s">
        <v>16</v>
      </c>
      <c r="B10007" t="s">
        <v>3221</v>
      </c>
      <c r="C10007">
        <v>3850</v>
      </c>
      <c r="D10007" t="s">
        <v>48</v>
      </c>
      <c r="E10007" t="s">
        <v>49</v>
      </c>
      <c r="F10007">
        <v>554.4</v>
      </c>
      <c r="G10007">
        <v>230401</v>
      </c>
      <c r="H10007">
        <v>4820</v>
      </c>
      <c r="I10007" t="s">
        <v>50</v>
      </c>
      <c r="J10007">
        <v>554.4</v>
      </c>
      <c r="K10007">
        <v>0</v>
      </c>
      <c r="L10007">
        <v>49111</v>
      </c>
      <c r="M10007" t="s">
        <v>51</v>
      </c>
      <c r="N10007" t="str">
        <f>"010423/4    "</f>
        <v xml:space="preserve">010423/4    </v>
      </c>
      <c r="O10007">
        <v>230323</v>
      </c>
    </row>
    <row r="10008" spans="1:15" x14ac:dyDescent="0.25">
      <c r="A10008" t="s">
        <v>16</v>
      </c>
      <c r="B10008" t="s">
        <v>3221</v>
      </c>
      <c r="C10008">
        <v>3851</v>
      </c>
      <c r="D10008" t="s">
        <v>48</v>
      </c>
      <c r="E10008" t="s">
        <v>49</v>
      </c>
      <c r="F10008">
        <v>554.4</v>
      </c>
      <c r="G10008">
        <v>230401</v>
      </c>
      <c r="H10008">
        <v>4820</v>
      </c>
      <c r="I10008" t="s">
        <v>50</v>
      </c>
      <c r="J10008">
        <v>554.4</v>
      </c>
      <c r="K10008">
        <v>0</v>
      </c>
      <c r="L10008">
        <v>49111</v>
      </c>
      <c r="M10008" t="s">
        <v>51</v>
      </c>
      <c r="N10008" t="str">
        <f>"010423/2    "</f>
        <v xml:space="preserve">010423/2    </v>
      </c>
      <c r="O10008">
        <v>230323</v>
      </c>
    </row>
    <row r="10009" spans="1:15" x14ac:dyDescent="0.25">
      <c r="A10009" t="s">
        <v>16</v>
      </c>
      <c r="B10009" t="s">
        <v>3221</v>
      </c>
      <c r="C10009">
        <v>5796</v>
      </c>
      <c r="D10009" t="s">
        <v>48</v>
      </c>
      <c r="E10009" t="s">
        <v>49</v>
      </c>
      <c r="F10009">
        <v>554.4</v>
      </c>
      <c r="G10009">
        <v>230501</v>
      </c>
      <c r="H10009">
        <v>4820</v>
      </c>
      <c r="I10009" t="s">
        <v>50</v>
      </c>
      <c r="J10009">
        <v>554.4</v>
      </c>
      <c r="K10009">
        <v>0</v>
      </c>
      <c r="L10009">
        <v>49111</v>
      </c>
      <c r="M10009" t="s">
        <v>51</v>
      </c>
      <c r="N10009" t="str">
        <f>"010523/4    "</f>
        <v xml:space="preserve">010523/4    </v>
      </c>
      <c r="O10009">
        <v>230503</v>
      </c>
    </row>
    <row r="10010" spans="1:15" x14ac:dyDescent="0.25">
      <c r="A10010" t="s">
        <v>16</v>
      </c>
      <c r="B10010" t="s">
        <v>3221</v>
      </c>
      <c r="C10010">
        <v>5797</v>
      </c>
      <c r="D10010" t="s">
        <v>48</v>
      </c>
      <c r="E10010" t="s">
        <v>49</v>
      </c>
      <c r="F10010">
        <v>554.4</v>
      </c>
      <c r="G10010">
        <v>230501</v>
      </c>
      <c r="H10010">
        <v>4820</v>
      </c>
      <c r="I10010" t="s">
        <v>50</v>
      </c>
      <c r="J10010">
        <v>554.4</v>
      </c>
      <c r="K10010">
        <v>0</v>
      </c>
      <c r="L10010">
        <v>49111</v>
      </c>
      <c r="M10010" t="s">
        <v>51</v>
      </c>
      <c r="N10010" t="str">
        <f>"010523/3    "</f>
        <v xml:space="preserve">010523/3    </v>
      </c>
      <c r="O10010">
        <v>230503</v>
      </c>
    </row>
    <row r="10011" spans="1:15" x14ac:dyDescent="0.25">
      <c r="A10011" t="s">
        <v>16</v>
      </c>
      <c r="B10011" t="s">
        <v>3221</v>
      </c>
      <c r="C10011">
        <v>5798</v>
      </c>
      <c r="D10011" t="s">
        <v>48</v>
      </c>
      <c r="E10011" t="s">
        <v>49</v>
      </c>
      <c r="F10011">
        <v>554.4</v>
      </c>
      <c r="G10011">
        <v>230501</v>
      </c>
      <c r="H10011">
        <v>4820</v>
      </c>
      <c r="I10011" t="s">
        <v>50</v>
      </c>
      <c r="J10011">
        <v>554.4</v>
      </c>
      <c r="K10011">
        <v>0</v>
      </c>
      <c r="L10011">
        <v>49111</v>
      </c>
      <c r="M10011" t="s">
        <v>51</v>
      </c>
      <c r="N10011" t="str">
        <f>"010523/6    "</f>
        <v xml:space="preserve">010523/6    </v>
      </c>
      <c r="O10011">
        <v>230503</v>
      </c>
    </row>
    <row r="10012" spans="1:15" x14ac:dyDescent="0.25">
      <c r="A10012" t="s">
        <v>16</v>
      </c>
      <c r="B10012" t="s">
        <v>3221</v>
      </c>
      <c r="C10012">
        <v>5799</v>
      </c>
      <c r="D10012" t="s">
        <v>48</v>
      </c>
      <c r="E10012" t="s">
        <v>49</v>
      </c>
      <c r="F10012">
        <v>554.4</v>
      </c>
      <c r="G10012">
        <v>230501</v>
      </c>
      <c r="H10012">
        <v>4820</v>
      </c>
      <c r="I10012" t="s">
        <v>50</v>
      </c>
      <c r="J10012">
        <v>554.4</v>
      </c>
      <c r="K10012">
        <v>0</v>
      </c>
      <c r="L10012">
        <v>49111</v>
      </c>
      <c r="M10012" t="s">
        <v>51</v>
      </c>
      <c r="N10012" t="str">
        <f>"010523/2    "</f>
        <v xml:space="preserve">010523/2    </v>
      </c>
      <c r="O10012">
        <v>230503</v>
      </c>
    </row>
    <row r="10013" spans="1:15" x14ac:dyDescent="0.25">
      <c r="A10013" t="s">
        <v>16</v>
      </c>
      <c r="B10013" t="s">
        <v>3221</v>
      </c>
      <c r="C10013">
        <v>5801</v>
      </c>
      <c r="D10013" t="s">
        <v>48</v>
      </c>
      <c r="E10013" t="s">
        <v>49</v>
      </c>
      <c r="F10013">
        <v>554.4</v>
      </c>
      <c r="G10013">
        <v>230501</v>
      </c>
      <c r="H10013">
        <v>4820</v>
      </c>
      <c r="I10013" t="s">
        <v>50</v>
      </c>
      <c r="J10013">
        <v>554.4</v>
      </c>
      <c r="K10013">
        <v>0</v>
      </c>
      <c r="L10013">
        <v>49111</v>
      </c>
      <c r="M10013" t="s">
        <v>51</v>
      </c>
      <c r="N10013" t="str">
        <f>"010523/5    "</f>
        <v xml:space="preserve">010523/5    </v>
      </c>
      <c r="O10013">
        <v>230503</v>
      </c>
    </row>
    <row r="10014" spans="1:15" x14ac:dyDescent="0.25">
      <c r="A10014" t="s">
        <v>16</v>
      </c>
      <c r="B10014" t="s">
        <v>3221</v>
      </c>
      <c r="C10014">
        <v>5803</v>
      </c>
      <c r="D10014" t="s">
        <v>48</v>
      </c>
      <c r="E10014" t="s">
        <v>49</v>
      </c>
      <c r="F10014">
        <v>369.6</v>
      </c>
      <c r="G10014">
        <v>230501</v>
      </c>
      <c r="H10014">
        <v>4820</v>
      </c>
      <c r="I10014" t="s">
        <v>50</v>
      </c>
      <c r="J10014">
        <v>369.6</v>
      </c>
      <c r="K10014">
        <v>0</v>
      </c>
      <c r="L10014">
        <v>49111</v>
      </c>
      <c r="M10014" t="s">
        <v>51</v>
      </c>
      <c r="N10014" t="str">
        <f>"010523/1    "</f>
        <v xml:space="preserve">010523/1    </v>
      </c>
      <c r="O10014">
        <v>230503</v>
      </c>
    </row>
    <row r="10015" spans="1:15" x14ac:dyDescent="0.25">
      <c r="A10015" t="s">
        <v>16</v>
      </c>
      <c r="B10015" t="s">
        <v>3221</v>
      </c>
      <c r="C10015">
        <v>5804</v>
      </c>
      <c r="D10015" t="s">
        <v>48</v>
      </c>
      <c r="E10015" t="s">
        <v>49</v>
      </c>
      <c r="F10015">
        <v>554.4</v>
      </c>
      <c r="G10015">
        <v>230501</v>
      </c>
      <c r="H10015">
        <v>4820</v>
      </c>
      <c r="I10015" t="s">
        <v>50</v>
      </c>
      <c r="J10015">
        <v>554.4</v>
      </c>
      <c r="K10015">
        <v>0</v>
      </c>
      <c r="L10015">
        <v>49111</v>
      </c>
      <c r="M10015" t="s">
        <v>51</v>
      </c>
      <c r="N10015" t="str">
        <f>"010523/7    "</f>
        <v xml:space="preserve">010523/7    </v>
      </c>
      <c r="O10015">
        <v>230503</v>
      </c>
    </row>
    <row r="10016" spans="1:15" x14ac:dyDescent="0.25">
      <c r="A10016" t="s">
        <v>16</v>
      </c>
      <c r="B10016" t="s">
        <v>3221</v>
      </c>
      <c r="C10016">
        <v>7212</v>
      </c>
      <c r="D10016" t="s">
        <v>48</v>
      </c>
      <c r="E10016" t="s">
        <v>49</v>
      </c>
      <c r="F10016">
        <v>554.4</v>
      </c>
      <c r="G10016">
        <v>230512</v>
      </c>
      <c r="H10016">
        <v>4820</v>
      </c>
      <c r="I10016" t="s">
        <v>50</v>
      </c>
      <c r="J10016">
        <v>554.4</v>
      </c>
      <c r="K10016">
        <v>0</v>
      </c>
      <c r="L10016">
        <v>49803</v>
      </c>
      <c r="M10016" t="s">
        <v>1229</v>
      </c>
      <c r="N10016" t="str">
        <f>"010623/2    "</f>
        <v xml:space="preserve">010623/2    </v>
      </c>
      <c r="O10016">
        <v>230526</v>
      </c>
    </row>
    <row r="10017" spans="1:15" x14ac:dyDescent="0.25">
      <c r="A10017" t="s">
        <v>16</v>
      </c>
      <c r="B10017" t="s">
        <v>3221</v>
      </c>
      <c r="C10017">
        <v>7214</v>
      </c>
      <c r="D10017" t="s">
        <v>48</v>
      </c>
      <c r="E10017" t="s">
        <v>49</v>
      </c>
      <c r="F10017">
        <v>554.4</v>
      </c>
      <c r="G10017">
        <v>230601</v>
      </c>
      <c r="H10017">
        <v>4820</v>
      </c>
      <c r="I10017" t="s">
        <v>50</v>
      </c>
      <c r="J10017">
        <v>554.4</v>
      </c>
      <c r="K10017">
        <v>0</v>
      </c>
      <c r="L10017">
        <v>49803</v>
      </c>
      <c r="M10017" t="s">
        <v>1229</v>
      </c>
      <c r="N10017" t="str">
        <f>"010623/6    "</f>
        <v xml:space="preserve">010623/6    </v>
      </c>
      <c r="O10017">
        <v>230526</v>
      </c>
    </row>
    <row r="10018" spans="1:15" x14ac:dyDescent="0.25">
      <c r="A10018" t="s">
        <v>16</v>
      </c>
      <c r="B10018" t="s">
        <v>3221</v>
      </c>
      <c r="C10018">
        <v>7215</v>
      </c>
      <c r="D10018" t="s">
        <v>48</v>
      </c>
      <c r="E10018" t="s">
        <v>49</v>
      </c>
      <c r="F10018">
        <v>554.4</v>
      </c>
      <c r="G10018">
        <v>230601</v>
      </c>
      <c r="H10018">
        <v>4820</v>
      </c>
      <c r="I10018" t="s">
        <v>50</v>
      </c>
      <c r="J10018">
        <v>554.4</v>
      </c>
      <c r="K10018">
        <v>0</v>
      </c>
      <c r="L10018">
        <v>49803</v>
      </c>
      <c r="M10018" t="s">
        <v>1229</v>
      </c>
      <c r="N10018" t="str">
        <f>"010623/5    "</f>
        <v xml:space="preserve">010623/5    </v>
      </c>
      <c r="O10018">
        <v>230526</v>
      </c>
    </row>
    <row r="10019" spans="1:15" x14ac:dyDescent="0.25">
      <c r="A10019" t="s">
        <v>16</v>
      </c>
      <c r="B10019" t="s">
        <v>3221</v>
      </c>
      <c r="C10019">
        <v>7217</v>
      </c>
      <c r="D10019" t="s">
        <v>48</v>
      </c>
      <c r="E10019" t="s">
        <v>49</v>
      </c>
      <c r="F10019">
        <v>554.4</v>
      </c>
      <c r="G10019">
        <v>230601</v>
      </c>
      <c r="H10019">
        <v>4820</v>
      </c>
      <c r="I10019" t="s">
        <v>50</v>
      </c>
      <c r="J10019">
        <v>554.4</v>
      </c>
      <c r="K10019">
        <v>0</v>
      </c>
      <c r="L10019">
        <v>49803</v>
      </c>
      <c r="M10019" t="s">
        <v>1229</v>
      </c>
      <c r="N10019" t="str">
        <f>"010623/3    "</f>
        <v xml:space="preserve">010623/3    </v>
      </c>
      <c r="O10019">
        <v>230526</v>
      </c>
    </row>
    <row r="10020" spans="1:15" x14ac:dyDescent="0.25">
      <c r="A10020" t="s">
        <v>16</v>
      </c>
      <c r="B10020" t="s">
        <v>3221</v>
      </c>
      <c r="C10020">
        <v>7218</v>
      </c>
      <c r="D10020" t="s">
        <v>48</v>
      </c>
      <c r="E10020" t="s">
        <v>49</v>
      </c>
      <c r="F10020">
        <v>369.6</v>
      </c>
      <c r="G10020">
        <v>230601</v>
      </c>
      <c r="H10020">
        <v>4820</v>
      </c>
      <c r="I10020" t="s">
        <v>50</v>
      </c>
      <c r="J10020">
        <v>369.6</v>
      </c>
      <c r="K10020">
        <v>0</v>
      </c>
      <c r="L10020">
        <v>49111</v>
      </c>
      <c r="M10020" t="s">
        <v>51</v>
      </c>
      <c r="N10020" t="str">
        <f>"010623/1    "</f>
        <v xml:space="preserve">010623/1    </v>
      </c>
      <c r="O10020">
        <v>230526</v>
      </c>
    </row>
    <row r="10021" spans="1:15" x14ac:dyDescent="0.25">
      <c r="A10021" t="s">
        <v>16</v>
      </c>
      <c r="B10021" t="s">
        <v>3221</v>
      </c>
      <c r="C10021">
        <v>7220</v>
      </c>
      <c r="D10021" t="s">
        <v>48</v>
      </c>
      <c r="E10021" t="s">
        <v>49</v>
      </c>
      <c r="F10021">
        <v>554.4</v>
      </c>
      <c r="G10021">
        <v>230601</v>
      </c>
      <c r="H10021">
        <v>4820</v>
      </c>
      <c r="I10021" t="s">
        <v>50</v>
      </c>
      <c r="J10021">
        <v>554.4</v>
      </c>
      <c r="K10021">
        <v>0</v>
      </c>
      <c r="L10021">
        <v>49803</v>
      </c>
      <c r="M10021" t="s">
        <v>1229</v>
      </c>
      <c r="N10021" t="str">
        <f>"010623/7    "</f>
        <v xml:space="preserve">010623/7    </v>
      </c>
      <c r="O10021">
        <v>230526</v>
      </c>
    </row>
    <row r="10022" spans="1:15" x14ac:dyDescent="0.25">
      <c r="A10022" t="s">
        <v>16</v>
      </c>
      <c r="B10022" t="s">
        <v>3221</v>
      </c>
      <c r="C10022">
        <v>7221</v>
      </c>
      <c r="D10022" t="s">
        <v>48</v>
      </c>
      <c r="E10022" t="s">
        <v>49</v>
      </c>
      <c r="F10022">
        <v>554.4</v>
      </c>
      <c r="G10022">
        <v>230601</v>
      </c>
      <c r="H10022">
        <v>4820</v>
      </c>
      <c r="I10022" t="s">
        <v>50</v>
      </c>
      <c r="J10022">
        <v>554.4</v>
      </c>
      <c r="K10022">
        <v>0</v>
      </c>
      <c r="L10022">
        <v>49803</v>
      </c>
      <c r="M10022" t="s">
        <v>1229</v>
      </c>
      <c r="N10022" t="str">
        <f>"010623/4    "</f>
        <v xml:space="preserve">010623/4    </v>
      </c>
      <c r="O10022">
        <v>230526</v>
      </c>
    </row>
    <row r="10023" spans="1:15" x14ac:dyDescent="0.25">
      <c r="A10023" t="s">
        <v>16</v>
      </c>
      <c r="B10023" t="s">
        <v>3221</v>
      </c>
      <c r="C10023">
        <v>8589</v>
      </c>
      <c r="D10023" t="s">
        <v>48</v>
      </c>
      <c r="E10023" t="s">
        <v>49</v>
      </c>
      <c r="F10023">
        <v>554.4</v>
      </c>
      <c r="G10023">
        <v>230701</v>
      </c>
      <c r="H10023">
        <v>4820</v>
      </c>
      <c r="I10023" t="s">
        <v>50</v>
      </c>
      <c r="J10023">
        <v>554.4</v>
      </c>
      <c r="K10023">
        <v>0</v>
      </c>
      <c r="L10023">
        <v>49803</v>
      </c>
      <c r="M10023" t="s">
        <v>1229</v>
      </c>
      <c r="N10023" t="str">
        <f>"010723/6    "</f>
        <v xml:space="preserve">010723/6    </v>
      </c>
      <c r="O10023">
        <v>230612</v>
      </c>
    </row>
    <row r="10024" spans="1:15" x14ac:dyDescent="0.25">
      <c r="A10024" t="s">
        <v>16</v>
      </c>
      <c r="B10024" t="s">
        <v>3221</v>
      </c>
      <c r="C10024">
        <v>8590</v>
      </c>
      <c r="D10024" t="s">
        <v>48</v>
      </c>
      <c r="E10024" t="s">
        <v>49</v>
      </c>
      <c r="F10024">
        <v>554.4</v>
      </c>
      <c r="G10024">
        <v>230701</v>
      </c>
      <c r="H10024">
        <v>4820</v>
      </c>
      <c r="I10024" t="s">
        <v>50</v>
      </c>
      <c r="J10024">
        <v>554.4</v>
      </c>
      <c r="K10024">
        <v>0</v>
      </c>
      <c r="L10024">
        <v>49803</v>
      </c>
      <c r="M10024" t="s">
        <v>1229</v>
      </c>
      <c r="N10024" t="str">
        <f>"010723/4    "</f>
        <v xml:space="preserve">010723/4    </v>
      </c>
      <c r="O10024">
        <v>230612</v>
      </c>
    </row>
    <row r="10025" spans="1:15" x14ac:dyDescent="0.25">
      <c r="A10025" t="s">
        <v>16</v>
      </c>
      <c r="B10025" t="s">
        <v>3221</v>
      </c>
      <c r="C10025">
        <v>8591</v>
      </c>
      <c r="D10025" t="s">
        <v>48</v>
      </c>
      <c r="E10025" t="s">
        <v>49</v>
      </c>
      <c r="F10025">
        <v>554.4</v>
      </c>
      <c r="G10025">
        <v>230701</v>
      </c>
      <c r="H10025">
        <v>4820</v>
      </c>
      <c r="I10025" t="s">
        <v>50</v>
      </c>
      <c r="J10025">
        <v>554.4</v>
      </c>
      <c r="K10025">
        <v>0</v>
      </c>
      <c r="L10025">
        <v>49803</v>
      </c>
      <c r="M10025" t="s">
        <v>1229</v>
      </c>
      <c r="N10025" t="str">
        <f>"010723/3    "</f>
        <v xml:space="preserve">010723/3    </v>
      </c>
      <c r="O10025">
        <v>230612</v>
      </c>
    </row>
    <row r="10026" spans="1:15" x14ac:dyDescent="0.25">
      <c r="A10026" t="s">
        <v>16</v>
      </c>
      <c r="B10026" t="s">
        <v>3221</v>
      </c>
      <c r="C10026">
        <v>8592</v>
      </c>
      <c r="D10026" t="s">
        <v>48</v>
      </c>
      <c r="E10026" t="s">
        <v>49</v>
      </c>
      <c r="F10026">
        <v>554.4</v>
      </c>
      <c r="G10026">
        <v>230701</v>
      </c>
      <c r="H10026">
        <v>4820</v>
      </c>
      <c r="I10026" t="s">
        <v>50</v>
      </c>
      <c r="J10026">
        <v>554.4</v>
      </c>
      <c r="K10026">
        <v>0</v>
      </c>
      <c r="L10026">
        <v>49803</v>
      </c>
      <c r="M10026" t="s">
        <v>1229</v>
      </c>
      <c r="N10026" t="str">
        <f>"010723/5    "</f>
        <v xml:space="preserve">010723/5    </v>
      </c>
      <c r="O10026">
        <v>230612</v>
      </c>
    </row>
    <row r="10027" spans="1:15" x14ac:dyDescent="0.25">
      <c r="A10027" t="s">
        <v>16</v>
      </c>
      <c r="B10027" t="s">
        <v>3221</v>
      </c>
      <c r="C10027">
        <v>8593</v>
      </c>
      <c r="D10027" t="s">
        <v>48</v>
      </c>
      <c r="E10027" t="s">
        <v>49</v>
      </c>
      <c r="F10027">
        <v>369.6</v>
      </c>
      <c r="G10027">
        <v>230701</v>
      </c>
      <c r="H10027">
        <v>4820</v>
      </c>
      <c r="I10027" t="s">
        <v>50</v>
      </c>
      <c r="J10027">
        <v>369.6</v>
      </c>
      <c r="K10027">
        <v>0</v>
      </c>
      <c r="L10027">
        <v>49111</v>
      </c>
      <c r="M10027" t="s">
        <v>51</v>
      </c>
      <c r="N10027" t="str">
        <f>"010723/1    "</f>
        <v xml:space="preserve">010723/1    </v>
      </c>
      <c r="O10027">
        <v>230612</v>
      </c>
    </row>
    <row r="10028" spans="1:15" x14ac:dyDescent="0.25">
      <c r="A10028" t="s">
        <v>16</v>
      </c>
      <c r="B10028" t="s">
        <v>3221</v>
      </c>
      <c r="C10028">
        <v>8594</v>
      </c>
      <c r="D10028" t="s">
        <v>48</v>
      </c>
      <c r="E10028" t="s">
        <v>49</v>
      </c>
      <c r="F10028">
        <v>544.4</v>
      </c>
      <c r="G10028">
        <v>230701</v>
      </c>
      <c r="H10028">
        <v>4820</v>
      </c>
      <c r="I10028" t="s">
        <v>50</v>
      </c>
      <c r="J10028">
        <v>544.4</v>
      </c>
      <c r="K10028">
        <v>0</v>
      </c>
      <c r="L10028">
        <v>49803</v>
      </c>
      <c r="M10028" t="s">
        <v>1229</v>
      </c>
      <c r="N10028" t="str">
        <f>"010723/7    "</f>
        <v xml:space="preserve">010723/7    </v>
      </c>
      <c r="O10028">
        <v>230612</v>
      </c>
    </row>
    <row r="10029" spans="1:15" x14ac:dyDescent="0.25">
      <c r="A10029" t="s">
        <v>16</v>
      </c>
      <c r="B10029" t="s">
        <v>3221</v>
      </c>
      <c r="C10029">
        <v>8595</v>
      </c>
      <c r="D10029" t="s">
        <v>48</v>
      </c>
      <c r="E10029" t="s">
        <v>49</v>
      </c>
      <c r="F10029">
        <v>554.4</v>
      </c>
      <c r="G10029">
        <v>230701</v>
      </c>
      <c r="H10029">
        <v>4820</v>
      </c>
      <c r="I10029" t="s">
        <v>50</v>
      </c>
      <c r="J10029">
        <v>554.4</v>
      </c>
      <c r="K10029">
        <v>0</v>
      </c>
      <c r="L10029">
        <v>49803</v>
      </c>
      <c r="M10029" t="s">
        <v>1229</v>
      </c>
      <c r="N10029" t="str">
        <f>"010723/2    "</f>
        <v xml:space="preserve">010723/2    </v>
      </c>
      <c r="O10029">
        <v>230612</v>
      </c>
    </row>
    <row r="10030" spans="1:15" x14ac:dyDescent="0.25">
      <c r="A10030" t="s">
        <v>16</v>
      </c>
      <c r="B10030" t="s">
        <v>3221</v>
      </c>
      <c r="C10030">
        <v>9996</v>
      </c>
      <c r="D10030" t="s">
        <v>48</v>
      </c>
      <c r="E10030" t="s">
        <v>49</v>
      </c>
      <c r="F10030">
        <v>554.4</v>
      </c>
      <c r="G10030">
        <v>230724</v>
      </c>
      <c r="H10030">
        <v>4820</v>
      </c>
      <c r="I10030" t="s">
        <v>50</v>
      </c>
      <c r="J10030">
        <v>554.4</v>
      </c>
      <c r="K10030">
        <v>0</v>
      </c>
      <c r="L10030">
        <v>49111</v>
      </c>
      <c r="M10030" t="s">
        <v>51</v>
      </c>
      <c r="N10030" t="str">
        <f>"1317197     "</f>
        <v xml:space="preserve">1317197     </v>
      </c>
      <c r="O10030">
        <v>230807</v>
      </c>
    </row>
    <row r="10031" spans="1:15" x14ac:dyDescent="0.25">
      <c r="A10031" t="s">
        <v>16</v>
      </c>
      <c r="B10031" t="s">
        <v>3221</v>
      </c>
      <c r="C10031">
        <v>9997</v>
      </c>
      <c r="D10031" t="s">
        <v>48</v>
      </c>
      <c r="E10031" t="s">
        <v>49</v>
      </c>
      <c r="F10031">
        <v>554.4</v>
      </c>
      <c r="G10031">
        <v>230724</v>
      </c>
      <c r="H10031">
        <v>4820</v>
      </c>
      <c r="I10031" t="s">
        <v>50</v>
      </c>
      <c r="J10031">
        <v>554.4</v>
      </c>
      <c r="K10031">
        <v>0</v>
      </c>
      <c r="L10031">
        <v>49111</v>
      </c>
      <c r="M10031" t="s">
        <v>51</v>
      </c>
      <c r="N10031" t="str">
        <f>"1317137     "</f>
        <v xml:space="preserve">1317137     </v>
      </c>
      <c r="O10031">
        <v>230807</v>
      </c>
    </row>
    <row r="10032" spans="1:15" x14ac:dyDescent="0.25">
      <c r="A10032" t="s">
        <v>16</v>
      </c>
      <c r="B10032" t="s">
        <v>3221</v>
      </c>
      <c r="C10032">
        <v>9998</v>
      </c>
      <c r="D10032" t="s">
        <v>48</v>
      </c>
      <c r="E10032" t="s">
        <v>49</v>
      </c>
      <c r="F10032">
        <v>554.4</v>
      </c>
      <c r="G10032">
        <v>230724</v>
      </c>
      <c r="H10032">
        <v>4820</v>
      </c>
      <c r="I10032" t="s">
        <v>50</v>
      </c>
      <c r="J10032">
        <v>554.4</v>
      </c>
      <c r="K10032">
        <v>0</v>
      </c>
      <c r="L10032">
        <v>49111</v>
      </c>
      <c r="M10032" t="s">
        <v>51</v>
      </c>
      <c r="N10032" t="str">
        <f>"1317161     "</f>
        <v xml:space="preserve">1317161     </v>
      </c>
      <c r="O10032">
        <v>230807</v>
      </c>
    </row>
    <row r="10033" spans="1:15" x14ac:dyDescent="0.25">
      <c r="A10033" t="s">
        <v>16</v>
      </c>
      <c r="B10033" t="s">
        <v>3221</v>
      </c>
      <c r="C10033">
        <v>9999</v>
      </c>
      <c r="D10033" t="s">
        <v>48</v>
      </c>
      <c r="E10033" t="s">
        <v>49</v>
      </c>
      <c r="F10033">
        <v>554.4</v>
      </c>
      <c r="G10033">
        <v>230724</v>
      </c>
      <c r="H10033">
        <v>4820</v>
      </c>
      <c r="I10033" t="s">
        <v>50</v>
      </c>
      <c r="J10033">
        <v>554.4</v>
      </c>
      <c r="K10033">
        <v>0</v>
      </c>
      <c r="L10033">
        <v>49111</v>
      </c>
      <c r="M10033" t="s">
        <v>51</v>
      </c>
      <c r="N10033" t="str">
        <f>"1317185     "</f>
        <v xml:space="preserve">1317185     </v>
      </c>
      <c r="O10033">
        <v>230807</v>
      </c>
    </row>
    <row r="10034" spans="1:15" x14ac:dyDescent="0.25">
      <c r="A10034" t="s">
        <v>16</v>
      </c>
      <c r="B10034" t="s">
        <v>3221</v>
      </c>
      <c r="C10034">
        <v>10001</v>
      </c>
      <c r="D10034" t="s">
        <v>48</v>
      </c>
      <c r="E10034" t="s">
        <v>49</v>
      </c>
      <c r="F10034">
        <v>369.6</v>
      </c>
      <c r="G10034">
        <v>230724</v>
      </c>
      <c r="H10034">
        <v>4820</v>
      </c>
      <c r="I10034" t="s">
        <v>50</v>
      </c>
      <c r="J10034">
        <v>369.6</v>
      </c>
      <c r="K10034">
        <v>0</v>
      </c>
      <c r="L10034">
        <v>49111</v>
      </c>
      <c r="M10034" t="s">
        <v>51</v>
      </c>
      <c r="N10034" t="str">
        <f>"1317125     "</f>
        <v xml:space="preserve">1317125     </v>
      </c>
      <c r="O10034">
        <v>230807</v>
      </c>
    </row>
    <row r="10035" spans="1:15" x14ac:dyDescent="0.25">
      <c r="A10035" t="s">
        <v>16</v>
      </c>
      <c r="B10035" t="s">
        <v>3221</v>
      </c>
      <c r="C10035">
        <v>10002</v>
      </c>
      <c r="D10035" t="s">
        <v>48</v>
      </c>
      <c r="E10035" t="s">
        <v>49</v>
      </c>
      <c r="F10035">
        <v>554.4</v>
      </c>
      <c r="G10035">
        <v>230724</v>
      </c>
      <c r="H10035">
        <v>4820</v>
      </c>
      <c r="I10035" t="s">
        <v>50</v>
      </c>
      <c r="J10035">
        <v>554.4</v>
      </c>
      <c r="K10035">
        <v>0</v>
      </c>
      <c r="L10035">
        <v>49111</v>
      </c>
      <c r="M10035" t="s">
        <v>51</v>
      </c>
      <c r="N10035" t="str">
        <f>"1317149     "</f>
        <v xml:space="preserve">1317149     </v>
      </c>
      <c r="O10035">
        <v>230807</v>
      </c>
    </row>
    <row r="10036" spans="1:15" x14ac:dyDescent="0.25">
      <c r="A10036" t="s">
        <v>16</v>
      </c>
      <c r="B10036" t="s">
        <v>3221</v>
      </c>
      <c r="C10036">
        <v>10003</v>
      </c>
      <c r="D10036" t="s">
        <v>48</v>
      </c>
      <c r="E10036" t="s">
        <v>49</v>
      </c>
      <c r="F10036">
        <v>554.4</v>
      </c>
      <c r="G10036">
        <v>230724</v>
      </c>
      <c r="H10036">
        <v>4820</v>
      </c>
      <c r="I10036" t="s">
        <v>50</v>
      </c>
      <c r="J10036">
        <v>554.4</v>
      </c>
      <c r="K10036">
        <v>0</v>
      </c>
      <c r="L10036">
        <v>49111</v>
      </c>
      <c r="M10036" t="s">
        <v>51</v>
      </c>
      <c r="N10036" t="str">
        <f>"1317173     "</f>
        <v xml:space="preserve">1317173     </v>
      </c>
      <c r="O10036">
        <v>230807</v>
      </c>
    </row>
    <row r="10037" spans="1:15" x14ac:dyDescent="0.25">
      <c r="A10037" t="s">
        <v>16</v>
      </c>
      <c r="B10037" t="s">
        <v>3221</v>
      </c>
      <c r="C10037">
        <v>11007</v>
      </c>
      <c r="D10037" t="s">
        <v>48</v>
      </c>
      <c r="E10037" t="s">
        <v>49</v>
      </c>
      <c r="F10037">
        <v>554.4</v>
      </c>
      <c r="G10037">
        <v>230822</v>
      </c>
      <c r="H10037">
        <v>4820</v>
      </c>
      <c r="I10037" t="s">
        <v>50</v>
      </c>
      <c r="J10037">
        <v>554.4</v>
      </c>
      <c r="K10037">
        <v>0</v>
      </c>
      <c r="L10037">
        <v>49111</v>
      </c>
      <c r="M10037" t="s">
        <v>51</v>
      </c>
      <c r="N10037" t="str">
        <f>"1317174     "</f>
        <v xml:space="preserve">1317174     </v>
      </c>
      <c r="O10037">
        <v>230828</v>
      </c>
    </row>
    <row r="10038" spans="1:15" x14ac:dyDescent="0.25">
      <c r="A10038" t="s">
        <v>16</v>
      </c>
      <c r="B10038" t="s">
        <v>3221</v>
      </c>
      <c r="C10038">
        <v>11047</v>
      </c>
      <c r="D10038" t="s">
        <v>48</v>
      </c>
      <c r="E10038" t="s">
        <v>49</v>
      </c>
      <c r="F10038">
        <v>554.4</v>
      </c>
      <c r="G10038">
        <v>230822</v>
      </c>
      <c r="H10038">
        <v>4820</v>
      </c>
      <c r="I10038" t="s">
        <v>50</v>
      </c>
      <c r="J10038">
        <v>554.4</v>
      </c>
      <c r="K10038">
        <v>0</v>
      </c>
      <c r="L10038">
        <v>49111</v>
      </c>
      <c r="M10038" t="s">
        <v>51</v>
      </c>
      <c r="N10038" t="str">
        <f>"1317138     "</f>
        <v xml:space="preserve">1317138     </v>
      </c>
      <c r="O10038">
        <v>230829</v>
      </c>
    </row>
    <row r="10039" spans="1:15" x14ac:dyDescent="0.25">
      <c r="A10039" t="s">
        <v>16</v>
      </c>
      <c r="B10039" t="s">
        <v>3221</v>
      </c>
      <c r="C10039">
        <v>11048</v>
      </c>
      <c r="D10039" t="s">
        <v>48</v>
      </c>
      <c r="E10039" t="s">
        <v>49</v>
      </c>
      <c r="F10039">
        <v>554.4</v>
      </c>
      <c r="G10039">
        <v>230822</v>
      </c>
      <c r="H10039">
        <v>4820</v>
      </c>
      <c r="I10039" t="s">
        <v>50</v>
      </c>
      <c r="J10039">
        <v>554.4</v>
      </c>
      <c r="K10039">
        <v>0</v>
      </c>
      <c r="L10039">
        <v>49111</v>
      </c>
      <c r="M10039" t="s">
        <v>51</v>
      </c>
      <c r="N10039" t="str">
        <f>"1317162     "</f>
        <v xml:space="preserve">1317162     </v>
      </c>
      <c r="O10039">
        <v>230829</v>
      </c>
    </row>
    <row r="10040" spans="1:15" x14ac:dyDescent="0.25">
      <c r="A10040" t="s">
        <v>16</v>
      </c>
      <c r="B10040" t="s">
        <v>3221</v>
      </c>
      <c r="C10040">
        <v>11049</v>
      </c>
      <c r="D10040" t="s">
        <v>48</v>
      </c>
      <c r="E10040" t="s">
        <v>49</v>
      </c>
      <c r="F10040">
        <v>554.4</v>
      </c>
      <c r="G10040">
        <v>230822</v>
      </c>
      <c r="H10040">
        <v>4820</v>
      </c>
      <c r="I10040" t="s">
        <v>50</v>
      </c>
      <c r="J10040">
        <v>554.4</v>
      </c>
      <c r="K10040">
        <v>0</v>
      </c>
      <c r="L10040">
        <v>49111</v>
      </c>
      <c r="M10040" t="s">
        <v>51</v>
      </c>
      <c r="N10040" t="str">
        <f>"1317150     "</f>
        <v xml:space="preserve">1317150     </v>
      </c>
      <c r="O10040">
        <v>230829</v>
      </c>
    </row>
    <row r="10041" spans="1:15" x14ac:dyDescent="0.25">
      <c r="A10041" t="s">
        <v>16</v>
      </c>
      <c r="B10041" t="s">
        <v>3221</v>
      </c>
      <c r="C10041">
        <v>11050</v>
      </c>
      <c r="D10041" t="s">
        <v>48</v>
      </c>
      <c r="E10041" t="s">
        <v>49</v>
      </c>
      <c r="F10041">
        <v>369.6</v>
      </c>
      <c r="G10041">
        <v>230822</v>
      </c>
      <c r="H10041">
        <v>4820</v>
      </c>
      <c r="I10041" t="s">
        <v>50</v>
      </c>
      <c r="J10041">
        <v>369.6</v>
      </c>
      <c r="K10041">
        <v>0</v>
      </c>
      <c r="L10041">
        <v>49111</v>
      </c>
      <c r="M10041" t="s">
        <v>51</v>
      </c>
      <c r="N10041" t="str">
        <f>"1317126     "</f>
        <v xml:space="preserve">1317126     </v>
      </c>
      <c r="O10041">
        <v>230829</v>
      </c>
    </row>
    <row r="10042" spans="1:15" x14ac:dyDescent="0.25">
      <c r="A10042" t="s">
        <v>16</v>
      </c>
      <c r="B10042" t="s">
        <v>3221</v>
      </c>
      <c r="C10042">
        <v>11051</v>
      </c>
      <c r="D10042" t="s">
        <v>48</v>
      </c>
      <c r="E10042" t="s">
        <v>49</v>
      </c>
      <c r="F10042">
        <v>554.4</v>
      </c>
      <c r="G10042">
        <v>230822</v>
      </c>
      <c r="H10042">
        <v>4820</v>
      </c>
      <c r="I10042" t="s">
        <v>50</v>
      </c>
      <c r="J10042">
        <v>554.4</v>
      </c>
      <c r="K10042">
        <v>0</v>
      </c>
      <c r="L10042">
        <v>49111</v>
      </c>
      <c r="M10042" t="s">
        <v>51</v>
      </c>
      <c r="N10042" t="str">
        <f>"1317186     "</f>
        <v xml:space="preserve">1317186     </v>
      </c>
      <c r="O10042">
        <v>230829</v>
      </c>
    </row>
    <row r="10043" spans="1:15" x14ac:dyDescent="0.25">
      <c r="A10043" t="s">
        <v>16</v>
      </c>
      <c r="B10043" t="s">
        <v>3221</v>
      </c>
      <c r="C10043">
        <v>11052</v>
      </c>
      <c r="D10043" t="s">
        <v>48</v>
      </c>
      <c r="E10043" t="s">
        <v>49</v>
      </c>
      <c r="F10043">
        <v>554.4</v>
      </c>
      <c r="G10043">
        <v>230822</v>
      </c>
      <c r="H10043">
        <v>4820</v>
      </c>
      <c r="I10043" t="s">
        <v>50</v>
      </c>
      <c r="J10043">
        <v>554.4</v>
      </c>
      <c r="K10043">
        <v>0</v>
      </c>
      <c r="L10043">
        <v>49111</v>
      </c>
      <c r="M10043" t="s">
        <v>51</v>
      </c>
      <c r="N10043" t="str">
        <f>"1317198     "</f>
        <v xml:space="preserve">1317198     </v>
      </c>
      <c r="O10043">
        <v>230829</v>
      </c>
    </row>
    <row r="10044" spans="1:15" x14ac:dyDescent="0.25">
      <c r="A10044" t="s">
        <v>16</v>
      </c>
      <c r="B10044" t="s">
        <v>3221</v>
      </c>
      <c r="C10044">
        <v>12626</v>
      </c>
      <c r="D10044" t="s">
        <v>48</v>
      </c>
      <c r="E10044" t="s">
        <v>49</v>
      </c>
      <c r="F10044">
        <v>554.4</v>
      </c>
      <c r="G10044">
        <v>230920</v>
      </c>
      <c r="H10044">
        <v>4820</v>
      </c>
      <c r="I10044" t="s">
        <v>50</v>
      </c>
      <c r="J10044">
        <v>554.4</v>
      </c>
      <c r="K10044">
        <v>0</v>
      </c>
      <c r="L10044">
        <v>49111</v>
      </c>
      <c r="M10044" t="s">
        <v>51</v>
      </c>
      <c r="N10044" t="str">
        <f>"1317139     "</f>
        <v xml:space="preserve">1317139     </v>
      </c>
      <c r="O10044">
        <v>230922</v>
      </c>
    </row>
    <row r="10045" spans="1:15" x14ac:dyDescent="0.25">
      <c r="A10045" t="s">
        <v>16</v>
      </c>
      <c r="B10045" t="s">
        <v>3221</v>
      </c>
      <c r="C10045">
        <v>12628</v>
      </c>
      <c r="D10045" t="s">
        <v>48</v>
      </c>
      <c r="E10045" t="s">
        <v>49</v>
      </c>
      <c r="F10045">
        <v>554.4</v>
      </c>
      <c r="G10045">
        <v>230920</v>
      </c>
      <c r="H10045">
        <v>4820</v>
      </c>
      <c r="I10045" t="s">
        <v>50</v>
      </c>
      <c r="J10045">
        <v>554.4</v>
      </c>
      <c r="K10045">
        <v>0</v>
      </c>
      <c r="L10045">
        <v>49111</v>
      </c>
      <c r="M10045" t="s">
        <v>51</v>
      </c>
      <c r="N10045" t="str">
        <f>"1317175     "</f>
        <v xml:space="preserve">1317175     </v>
      </c>
      <c r="O10045">
        <v>230922</v>
      </c>
    </row>
    <row r="10046" spans="1:15" x14ac:dyDescent="0.25">
      <c r="A10046" t="s">
        <v>16</v>
      </c>
      <c r="B10046" t="s">
        <v>3221</v>
      </c>
      <c r="C10046">
        <v>12629</v>
      </c>
      <c r="D10046" t="s">
        <v>48</v>
      </c>
      <c r="E10046" t="s">
        <v>49</v>
      </c>
      <c r="F10046">
        <v>554.4</v>
      </c>
      <c r="G10046">
        <v>230920</v>
      </c>
      <c r="H10046">
        <v>4820</v>
      </c>
      <c r="I10046" t="s">
        <v>50</v>
      </c>
      <c r="J10046">
        <v>554.4</v>
      </c>
      <c r="K10046">
        <v>0</v>
      </c>
      <c r="L10046">
        <v>49111</v>
      </c>
      <c r="M10046" t="s">
        <v>51</v>
      </c>
      <c r="N10046" t="str">
        <f>"1317151     "</f>
        <v xml:space="preserve">1317151     </v>
      </c>
      <c r="O10046">
        <v>230922</v>
      </c>
    </row>
    <row r="10047" spans="1:15" x14ac:dyDescent="0.25">
      <c r="A10047" t="s">
        <v>16</v>
      </c>
      <c r="B10047" t="s">
        <v>3221</v>
      </c>
      <c r="C10047">
        <v>12633</v>
      </c>
      <c r="D10047" t="s">
        <v>48</v>
      </c>
      <c r="E10047" t="s">
        <v>49</v>
      </c>
      <c r="F10047">
        <v>554.4</v>
      </c>
      <c r="G10047">
        <v>230920</v>
      </c>
      <c r="H10047">
        <v>4820</v>
      </c>
      <c r="I10047" t="s">
        <v>50</v>
      </c>
      <c r="J10047">
        <v>554.4</v>
      </c>
      <c r="K10047">
        <v>0</v>
      </c>
      <c r="L10047">
        <v>49111</v>
      </c>
      <c r="M10047" t="s">
        <v>51</v>
      </c>
      <c r="N10047" t="str">
        <f>"1317199     "</f>
        <v xml:space="preserve">1317199     </v>
      </c>
      <c r="O10047">
        <v>230922</v>
      </c>
    </row>
    <row r="10048" spans="1:15" x14ac:dyDescent="0.25">
      <c r="A10048" t="s">
        <v>16</v>
      </c>
      <c r="B10048" t="s">
        <v>3221</v>
      </c>
      <c r="C10048">
        <v>12634</v>
      </c>
      <c r="D10048" t="s">
        <v>48</v>
      </c>
      <c r="E10048" t="s">
        <v>49</v>
      </c>
      <c r="F10048">
        <v>554.4</v>
      </c>
      <c r="G10048">
        <v>230920</v>
      </c>
      <c r="H10048">
        <v>4820</v>
      </c>
      <c r="I10048" t="s">
        <v>50</v>
      </c>
      <c r="J10048">
        <v>554.4</v>
      </c>
      <c r="K10048">
        <v>0</v>
      </c>
      <c r="L10048">
        <v>49111</v>
      </c>
      <c r="M10048" t="s">
        <v>51</v>
      </c>
      <c r="N10048" t="str">
        <f>"1317187     "</f>
        <v xml:space="preserve">1317187     </v>
      </c>
      <c r="O10048">
        <v>230922</v>
      </c>
    </row>
    <row r="10049" spans="1:15" x14ac:dyDescent="0.25">
      <c r="A10049" t="s">
        <v>16</v>
      </c>
      <c r="B10049" t="s">
        <v>3221</v>
      </c>
      <c r="C10049">
        <v>12636</v>
      </c>
      <c r="D10049" t="s">
        <v>48</v>
      </c>
      <c r="E10049" t="s">
        <v>49</v>
      </c>
      <c r="F10049">
        <v>554.4</v>
      </c>
      <c r="G10049">
        <v>230920</v>
      </c>
      <c r="H10049">
        <v>4820</v>
      </c>
      <c r="I10049" t="s">
        <v>50</v>
      </c>
      <c r="J10049">
        <v>554.4</v>
      </c>
      <c r="K10049">
        <v>0</v>
      </c>
      <c r="L10049">
        <v>49111</v>
      </c>
      <c r="M10049" t="s">
        <v>51</v>
      </c>
      <c r="N10049" t="str">
        <f>"1317163     "</f>
        <v xml:space="preserve">1317163     </v>
      </c>
      <c r="O10049">
        <v>230922</v>
      </c>
    </row>
    <row r="10050" spans="1:15" x14ac:dyDescent="0.25">
      <c r="A10050" t="s">
        <v>16</v>
      </c>
      <c r="B10050" t="s">
        <v>3221</v>
      </c>
      <c r="C10050">
        <v>12638</v>
      </c>
      <c r="D10050" t="s">
        <v>48</v>
      </c>
      <c r="E10050" t="s">
        <v>49</v>
      </c>
      <c r="F10050">
        <v>369.6</v>
      </c>
      <c r="G10050">
        <v>230920</v>
      </c>
      <c r="H10050">
        <v>4820</v>
      </c>
      <c r="I10050" t="s">
        <v>50</v>
      </c>
      <c r="J10050">
        <v>369.6</v>
      </c>
      <c r="K10050">
        <v>0</v>
      </c>
      <c r="L10050">
        <v>49111</v>
      </c>
      <c r="M10050" t="s">
        <v>51</v>
      </c>
      <c r="N10050" t="str">
        <f>"1317127     "</f>
        <v xml:space="preserve">1317127     </v>
      </c>
      <c r="O10050">
        <v>230922</v>
      </c>
    </row>
    <row r="10051" spans="1:15" x14ac:dyDescent="0.25">
      <c r="A10051" t="s">
        <v>16</v>
      </c>
      <c r="B10051" t="s">
        <v>3221</v>
      </c>
      <c r="C10051">
        <v>14386</v>
      </c>
      <c r="D10051" t="s">
        <v>48</v>
      </c>
      <c r="E10051" t="s">
        <v>49</v>
      </c>
      <c r="F10051">
        <v>554.4</v>
      </c>
      <c r="G10051">
        <v>231020</v>
      </c>
      <c r="H10051">
        <v>4820</v>
      </c>
      <c r="I10051" t="s">
        <v>50</v>
      </c>
      <c r="J10051">
        <v>554.4</v>
      </c>
      <c r="K10051">
        <v>0</v>
      </c>
      <c r="L10051">
        <v>49111</v>
      </c>
      <c r="M10051" t="s">
        <v>51</v>
      </c>
      <c r="N10051" t="str">
        <f>"1317200     "</f>
        <v xml:space="preserve">1317200     </v>
      </c>
      <c r="O10051">
        <v>231030</v>
      </c>
    </row>
    <row r="10052" spans="1:15" x14ac:dyDescent="0.25">
      <c r="A10052" t="s">
        <v>16</v>
      </c>
      <c r="B10052" t="s">
        <v>3221</v>
      </c>
      <c r="C10052">
        <v>14391</v>
      </c>
      <c r="D10052" t="s">
        <v>48</v>
      </c>
      <c r="E10052" t="s">
        <v>49</v>
      </c>
      <c r="F10052">
        <v>554.4</v>
      </c>
      <c r="G10052">
        <v>231020</v>
      </c>
      <c r="H10052">
        <v>4820</v>
      </c>
      <c r="I10052" t="s">
        <v>50</v>
      </c>
      <c r="J10052">
        <v>554.4</v>
      </c>
      <c r="K10052">
        <v>0</v>
      </c>
      <c r="L10052">
        <v>49111</v>
      </c>
      <c r="M10052" t="s">
        <v>51</v>
      </c>
      <c r="N10052" t="str">
        <f>"1317152     "</f>
        <v xml:space="preserve">1317152     </v>
      </c>
      <c r="O10052">
        <v>231030</v>
      </c>
    </row>
    <row r="10053" spans="1:15" x14ac:dyDescent="0.25">
      <c r="A10053" t="s">
        <v>16</v>
      </c>
      <c r="B10053" t="s">
        <v>3221</v>
      </c>
      <c r="C10053">
        <v>14393</v>
      </c>
      <c r="D10053" t="s">
        <v>48</v>
      </c>
      <c r="E10053" t="s">
        <v>49</v>
      </c>
      <c r="F10053">
        <v>369.6</v>
      </c>
      <c r="G10053">
        <v>231020</v>
      </c>
      <c r="H10053">
        <v>4820</v>
      </c>
      <c r="I10053" t="s">
        <v>50</v>
      </c>
      <c r="J10053">
        <v>369.6</v>
      </c>
      <c r="K10053">
        <v>0</v>
      </c>
      <c r="L10053">
        <v>49111</v>
      </c>
      <c r="M10053" t="s">
        <v>51</v>
      </c>
      <c r="N10053" t="str">
        <f>"1317128     "</f>
        <v xml:space="preserve">1317128     </v>
      </c>
      <c r="O10053">
        <v>231030</v>
      </c>
    </row>
    <row r="10054" spans="1:15" x14ac:dyDescent="0.25">
      <c r="A10054" t="s">
        <v>16</v>
      </c>
      <c r="B10054" t="s">
        <v>3221</v>
      </c>
      <c r="C10054">
        <v>14395</v>
      </c>
      <c r="D10054" t="s">
        <v>48</v>
      </c>
      <c r="E10054" t="s">
        <v>49</v>
      </c>
      <c r="F10054">
        <v>554.4</v>
      </c>
      <c r="G10054">
        <v>231020</v>
      </c>
      <c r="H10054">
        <v>4820</v>
      </c>
      <c r="I10054" t="s">
        <v>50</v>
      </c>
      <c r="J10054">
        <v>554.4</v>
      </c>
      <c r="K10054">
        <v>0</v>
      </c>
      <c r="L10054">
        <v>49111</v>
      </c>
      <c r="M10054" t="s">
        <v>51</v>
      </c>
      <c r="N10054" t="str">
        <f>"1317164     "</f>
        <v xml:space="preserve">1317164     </v>
      </c>
      <c r="O10054">
        <v>231030</v>
      </c>
    </row>
    <row r="10055" spans="1:15" x14ac:dyDescent="0.25">
      <c r="A10055" t="s">
        <v>16</v>
      </c>
      <c r="B10055" t="s">
        <v>3221</v>
      </c>
      <c r="C10055">
        <v>14401</v>
      </c>
      <c r="D10055" t="s">
        <v>48</v>
      </c>
      <c r="E10055" t="s">
        <v>49</v>
      </c>
      <c r="F10055">
        <v>554.4</v>
      </c>
      <c r="G10055">
        <v>231020</v>
      </c>
      <c r="H10055">
        <v>4820</v>
      </c>
      <c r="I10055" t="s">
        <v>50</v>
      </c>
      <c r="J10055">
        <v>554.4</v>
      </c>
      <c r="K10055">
        <v>0</v>
      </c>
      <c r="L10055">
        <v>49111</v>
      </c>
      <c r="M10055" t="s">
        <v>51</v>
      </c>
      <c r="N10055" t="str">
        <f>"1317176     "</f>
        <v xml:space="preserve">1317176     </v>
      </c>
      <c r="O10055">
        <v>231030</v>
      </c>
    </row>
    <row r="10056" spans="1:15" x14ac:dyDescent="0.25">
      <c r="A10056" t="s">
        <v>16</v>
      </c>
      <c r="B10056" t="s">
        <v>3221</v>
      </c>
      <c r="C10056">
        <v>14404</v>
      </c>
      <c r="D10056" t="s">
        <v>48</v>
      </c>
      <c r="E10056" t="s">
        <v>49</v>
      </c>
      <c r="F10056">
        <v>554.4</v>
      </c>
      <c r="G10056">
        <v>231020</v>
      </c>
      <c r="H10056">
        <v>4820</v>
      </c>
      <c r="I10056" t="s">
        <v>50</v>
      </c>
      <c r="J10056">
        <v>554.4</v>
      </c>
      <c r="K10056">
        <v>0</v>
      </c>
      <c r="L10056">
        <v>49111</v>
      </c>
      <c r="M10056" t="s">
        <v>51</v>
      </c>
      <c r="N10056" t="str">
        <f>"1317140     "</f>
        <v xml:space="preserve">1317140     </v>
      </c>
      <c r="O10056">
        <v>231030</v>
      </c>
    </row>
    <row r="10057" spans="1:15" x14ac:dyDescent="0.25">
      <c r="A10057" t="s">
        <v>16</v>
      </c>
      <c r="B10057" t="s">
        <v>3221</v>
      </c>
      <c r="C10057">
        <v>14408</v>
      </c>
      <c r="D10057" t="s">
        <v>48</v>
      </c>
      <c r="E10057" t="s">
        <v>49</v>
      </c>
      <c r="F10057">
        <v>554.4</v>
      </c>
      <c r="G10057">
        <v>231020</v>
      </c>
      <c r="H10057">
        <v>4820</v>
      </c>
      <c r="I10057" t="s">
        <v>50</v>
      </c>
      <c r="J10057">
        <v>554.4</v>
      </c>
      <c r="K10057">
        <v>0</v>
      </c>
      <c r="L10057">
        <v>49111</v>
      </c>
      <c r="M10057" t="s">
        <v>51</v>
      </c>
      <c r="N10057" t="str">
        <f>"1317188     "</f>
        <v xml:space="preserve">1317188     </v>
      </c>
      <c r="O10057">
        <v>231030</v>
      </c>
    </row>
    <row r="10058" spans="1:15" x14ac:dyDescent="0.25">
      <c r="A10058" t="s">
        <v>16</v>
      </c>
      <c r="B10058" t="s">
        <v>3221</v>
      </c>
      <c r="C10058">
        <v>16223</v>
      </c>
      <c r="D10058" t="s">
        <v>48</v>
      </c>
      <c r="E10058" t="s">
        <v>49</v>
      </c>
      <c r="F10058">
        <v>554.4</v>
      </c>
      <c r="G10058">
        <v>231121</v>
      </c>
      <c r="H10058">
        <v>4820</v>
      </c>
      <c r="I10058" t="s">
        <v>50</v>
      </c>
      <c r="J10058">
        <v>554.4</v>
      </c>
      <c r="K10058">
        <v>0</v>
      </c>
      <c r="L10058">
        <v>49111</v>
      </c>
      <c r="M10058" t="s">
        <v>51</v>
      </c>
      <c r="N10058" t="str">
        <f>"1341049     "</f>
        <v xml:space="preserve">1341049     </v>
      </c>
      <c r="O10058">
        <v>231127</v>
      </c>
    </row>
    <row r="10059" spans="1:15" x14ac:dyDescent="0.25">
      <c r="A10059" t="s">
        <v>16</v>
      </c>
      <c r="B10059" t="s">
        <v>3221</v>
      </c>
      <c r="C10059">
        <v>16224</v>
      </c>
      <c r="D10059" t="s">
        <v>48</v>
      </c>
      <c r="E10059" t="s">
        <v>49</v>
      </c>
      <c r="F10059">
        <v>554.4</v>
      </c>
      <c r="G10059">
        <v>231121</v>
      </c>
      <c r="H10059">
        <v>4820</v>
      </c>
      <c r="I10059" t="s">
        <v>50</v>
      </c>
      <c r="J10059">
        <v>554.4</v>
      </c>
      <c r="K10059">
        <v>0</v>
      </c>
      <c r="L10059">
        <v>49111</v>
      </c>
      <c r="M10059" t="s">
        <v>51</v>
      </c>
      <c r="N10059" t="str">
        <f>"1341053     "</f>
        <v xml:space="preserve">1341053     </v>
      </c>
      <c r="O10059">
        <v>231127</v>
      </c>
    </row>
    <row r="10060" spans="1:15" x14ac:dyDescent="0.25">
      <c r="A10060" t="s">
        <v>16</v>
      </c>
      <c r="B10060" t="s">
        <v>3221</v>
      </c>
      <c r="C10060">
        <v>16225</v>
      </c>
      <c r="D10060" t="s">
        <v>48</v>
      </c>
      <c r="E10060" t="s">
        <v>49</v>
      </c>
      <c r="F10060">
        <v>554.4</v>
      </c>
      <c r="G10060">
        <v>231121</v>
      </c>
      <c r="H10060">
        <v>4820</v>
      </c>
      <c r="I10060" t="s">
        <v>50</v>
      </c>
      <c r="J10060">
        <v>554.4</v>
      </c>
      <c r="K10060">
        <v>0</v>
      </c>
      <c r="L10060">
        <v>49111</v>
      </c>
      <c r="M10060" t="s">
        <v>51</v>
      </c>
      <c r="N10060" t="str">
        <f>"1341045     "</f>
        <v xml:space="preserve">1341045     </v>
      </c>
      <c r="O10060">
        <v>231127</v>
      </c>
    </row>
    <row r="10061" spans="1:15" x14ac:dyDescent="0.25">
      <c r="A10061" t="s">
        <v>16</v>
      </c>
      <c r="B10061" t="s">
        <v>3221</v>
      </c>
      <c r="C10061">
        <v>16226</v>
      </c>
      <c r="D10061" t="s">
        <v>48</v>
      </c>
      <c r="E10061" t="s">
        <v>49</v>
      </c>
      <c r="F10061">
        <v>369.6</v>
      </c>
      <c r="G10061">
        <v>231121</v>
      </c>
      <c r="H10061">
        <v>4820</v>
      </c>
      <c r="I10061" t="s">
        <v>50</v>
      </c>
      <c r="J10061">
        <v>369.6</v>
      </c>
      <c r="K10061">
        <v>0</v>
      </c>
      <c r="L10061">
        <v>49111</v>
      </c>
      <c r="M10061" t="s">
        <v>51</v>
      </c>
      <c r="N10061" t="str">
        <f>"1341033     "</f>
        <v xml:space="preserve">1341033     </v>
      </c>
      <c r="O10061">
        <v>231127</v>
      </c>
    </row>
    <row r="10062" spans="1:15" x14ac:dyDescent="0.25">
      <c r="A10062" t="s">
        <v>16</v>
      </c>
      <c r="B10062" t="s">
        <v>3221</v>
      </c>
      <c r="C10062">
        <v>16227</v>
      </c>
      <c r="D10062" t="s">
        <v>48</v>
      </c>
      <c r="E10062" t="s">
        <v>49</v>
      </c>
      <c r="F10062">
        <v>554.4</v>
      </c>
      <c r="G10062">
        <v>231121</v>
      </c>
      <c r="H10062">
        <v>4820</v>
      </c>
      <c r="I10062" t="s">
        <v>50</v>
      </c>
      <c r="J10062">
        <v>554.4</v>
      </c>
      <c r="K10062">
        <v>0</v>
      </c>
      <c r="L10062">
        <v>49111</v>
      </c>
      <c r="M10062" t="s">
        <v>51</v>
      </c>
      <c r="N10062" t="str">
        <f>"1341037     "</f>
        <v xml:space="preserve">1341037     </v>
      </c>
      <c r="O10062">
        <v>231127</v>
      </c>
    </row>
    <row r="10063" spans="1:15" x14ac:dyDescent="0.25">
      <c r="A10063" t="s">
        <v>16</v>
      </c>
      <c r="B10063" t="s">
        <v>3221</v>
      </c>
      <c r="C10063">
        <v>16228</v>
      </c>
      <c r="D10063" t="s">
        <v>48</v>
      </c>
      <c r="E10063" t="s">
        <v>49</v>
      </c>
      <c r="F10063">
        <v>554.4</v>
      </c>
      <c r="G10063">
        <v>231121</v>
      </c>
      <c r="H10063">
        <v>4820</v>
      </c>
      <c r="I10063" t="s">
        <v>50</v>
      </c>
      <c r="J10063">
        <v>554.4</v>
      </c>
      <c r="K10063">
        <v>0</v>
      </c>
      <c r="L10063">
        <v>49111</v>
      </c>
      <c r="M10063" t="s">
        <v>51</v>
      </c>
      <c r="N10063" t="str">
        <f>"1341041     "</f>
        <v xml:space="preserve">1341041     </v>
      </c>
      <c r="O10063">
        <v>231127</v>
      </c>
    </row>
    <row r="10064" spans="1:15" x14ac:dyDescent="0.25">
      <c r="A10064" t="s">
        <v>16</v>
      </c>
      <c r="B10064" t="s">
        <v>3221</v>
      </c>
      <c r="C10064">
        <v>16229</v>
      </c>
      <c r="D10064" t="s">
        <v>48</v>
      </c>
      <c r="E10064" t="s">
        <v>49</v>
      </c>
      <c r="F10064">
        <v>554.4</v>
      </c>
      <c r="G10064">
        <v>231121</v>
      </c>
      <c r="H10064">
        <v>4820</v>
      </c>
      <c r="I10064" t="s">
        <v>50</v>
      </c>
      <c r="J10064">
        <v>554.4</v>
      </c>
      <c r="K10064">
        <v>0</v>
      </c>
      <c r="L10064">
        <v>49111</v>
      </c>
      <c r="M10064" t="s">
        <v>51</v>
      </c>
      <c r="N10064" t="str">
        <f>"1341057     "</f>
        <v xml:space="preserve">1341057     </v>
      </c>
      <c r="O10064">
        <v>231127</v>
      </c>
    </row>
    <row r="10065" spans="1:15" x14ac:dyDescent="0.25">
      <c r="A10065" t="s">
        <v>16</v>
      </c>
      <c r="B10065" t="s">
        <v>3221</v>
      </c>
      <c r="C10065">
        <v>440</v>
      </c>
      <c r="D10065" t="s">
        <v>541</v>
      </c>
      <c r="E10065" t="s">
        <v>542</v>
      </c>
      <c r="F10065">
        <v>14</v>
      </c>
      <c r="G10065">
        <v>230116</v>
      </c>
      <c r="H10065">
        <v>4600</v>
      </c>
      <c r="I10065" t="s">
        <v>105</v>
      </c>
      <c r="J10065">
        <v>17.36</v>
      </c>
      <c r="K10065">
        <v>3.36</v>
      </c>
      <c r="L10065">
        <v>17525</v>
      </c>
      <c r="M10065" t="s">
        <v>135</v>
      </c>
      <c r="N10065" t="str">
        <f>"20220456    "</f>
        <v xml:space="preserve">20220456    </v>
      </c>
      <c r="O10065">
        <v>230123</v>
      </c>
    </row>
    <row r="10066" spans="1:15" x14ac:dyDescent="0.25">
      <c r="A10066" t="s">
        <v>16</v>
      </c>
      <c r="B10066" t="s">
        <v>3221</v>
      </c>
      <c r="C10066">
        <v>440</v>
      </c>
      <c r="D10066" t="s">
        <v>541</v>
      </c>
      <c r="E10066" t="s">
        <v>542</v>
      </c>
      <c r="F10066">
        <v>14</v>
      </c>
      <c r="G10066">
        <v>230116</v>
      </c>
      <c r="H10066">
        <v>4600</v>
      </c>
      <c r="I10066" t="s">
        <v>105</v>
      </c>
      <c r="J10066">
        <v>17.36</v>
      </c>
      <c r="K10066">
        <v>3.36</v>
      </c>
      <c r="L10066">
        <v>17532</v>
      </c>
      <c r="M10066" t="s">
        <v>543</v>
      </c>
      <c r="N10066" t="str">
        <f>"20220456    "</f>
        <v xml:space="preserve">20220456    </v>
      </c>
      <c r="O10066">
        <v>230123</v>
      </c>
    </row>
    <row r="10067" spans="1:15" x14ac:dyDescent="0.25">
      <c r="A10067" t="s">
        <v>16</v>
      </c>
      <c r="B10067" t="s">
        <v>3221</v>
      </c>
      <c r="C10067">
        <v>7356</v>
      </c>
      <c r="D10067" t="s">
        <v>541</v>
      </c>
      <c r="E10067" t="s">
        <v>542</v>
      </c>
      <c r="F10067">
        <v>1940.76</v>
      </c>
      <c r="G10067">
        <v>230523</v>
      </c>
      <c r="H10067">
        <v>4600</v>
      </c>
      <c r="I10067" t="s">
        <v>105</v>
      </c>
      <c r="J10067">
        <v>2406.54</v>
      </c>
      <c r="K10067">
        <v>465.78</v>
      </c>
      <c r="L10067">
        <v>17646</v>
      </c>
      <c r="M10067" t="s">
        <v>1616</v>
      </c>
      <c r="N10067" t="str">
        <f>"20230124    "</f>
        <v xml:space="preserve">20230124    </v>
      </c>
      <c r="O10067">
        <v>230529</v>
      </c>
    </row>
    <row r="10068" spans="1:15" x14ac:dyDescent="0.25">
      <c r="A10068" t="s">
        <v>16</v>
      </c>
      <c r="B10068" t="s">
        <v>3221</v>
      </c>
      <c r="C10068">
        <v>14692</v>
      </c>
      <c r="D10068" t="s">
        <v>2788</v>
      </c>
      <c r="E10068" t="s">
        <v>2789</v>
      </c>
      <c r="F10068">
        <v>321.77</v>
      </c>
      <c r="G10068">
        <v>231025</v>
      </c>
      <c r="H10068">
        <v>4600</v>
      </c>
      <c r="I10068" t="s">
        <v>105</v>
      </c>
      <c r="J10068">
        <v>399</v>
      </c>
      <c r="K10068">
        <v>77.23</v>
      </c>
      <c r="L10068">
        <v>56560</v>
      </c>
      <c r="M10068" t="s">
        <v>654</v>
      </c>
      <c r="N10068" t="str">
        <f>"3785        "</f>
        <v xml:space="preserve">3785        </v>
      </c>
      <c r="O10068">
        <v>231101</v>
      </c>
    </row>
    <row r="10069" spans="1:15" x14ac:dyDescent="0.25">
      <c r="A10069" t="s">
        <v>16</v>
      </c>
      <c r="B10069" t="s">
        <v>3221</v>
      </c>
      <c r="C10069">
        <v>15019</v>
      </c>
      <c r="D10069" t="s">
        <v>2836</v>
      </c>
      <c r="E10069" t="s">
        <v>2837</v>
      </c>
      <c r="F10069">
        <v>62.9</v>
      </c>
      <c r="G10069">
        <v>231024</v>
      </c>
      <c r="H10069">
        <v>4600</v>
      </c>
      <c r="I10069" t="s">
        <v>105</v>
      </c>
      <c r="J10069">
        <v>78</v>
      </c>
      <c r="K10069">
        <v>15.1</v>
      </c>
      <c r="L10069">
        <v>17950</v>
      </c>
      <c r="M10069" t="s">
        <v>86</v>
      </c>
      <c r="N10069" t="str">
        <f>"11344       "</f>
        <v xml:space="preserve">11344       </v>
      </c>
      <c r="O10069">
        <v>231108</v>
      </c>
    </row>
    <row r="10070" spans="1:15" x14ac:dyDescent="0.25">
      <c r="A10070" t="s">
        <v>16</v>
      </c>
      <c r="B10070" t="s">
        <v>3221</v>
      </c>
      <c r="C10070">
        <v>15019</v>
      </c>
      <c r="D10070" t="s">
        <v>2836</v>
      </c>
      <c r="E10070" t="s">
        <v>2837</v>
      </c>
      <c r="F10070">
        <v>69.56</v>
      </c>
      <c r="G10070">
        <v>231024</v>
      </c>
      <c r="H10070">
        <v>4560</v>
      </c>
      <c r="I10070" t="s">
        <v>345</v>
      </c>
      <c r="J10070">
        <v>86.25</v>
      </c>
      <c r="K10070">
        <v>16.690000000000001</v>
      </c>
      <c r="L10070">
        <v>17950</v>
      </c>
      <c r="M10070" t="s">
        <v>86</v>
      </c>
      <c r="N10070" t="str">
        <f>"11344       "</f>
        <v xml:space="preserve">11344       </v>
      </c>
      <c r="O10070">
        <v>231108</v>
      </c>
    </row>
    <row r="10071" spans="1:15" x14ac:dyDescent="0.25">
      <c r="A10071" t="s">
        <v>16</v>
      </c>
      <c r="B10071" t="s">
        <v>3221</v>
      </c>
      <c r="C10071">
        <v>15019</v>
      </c>
      <c r="D10071" t="s">
        <v>2836</v>
      </c>
      <c r="E10071" t="s">
        <v>2837</v>
      </c>
      <c r="F10071">
        <v>1088.71</v>
      </c>
      <c r="G10071">
        <v>231024</v>
      </c>
      <c r="H10071">
        <v>4390</v>
      </c>
      <c r="I10071" t="s">
        <v>98</v>
      </c>
      <c r="J10071">
        <v>1350</v>
      </c>
      <c r="K10071">
        <v>261.29000000000002</v>
      </c>
      <c r="L10071">
        <v>17950</v>
      </c>
      <c r="M10071" t="s">
        <v>86</v>
      </c>
      <c r="N10071" t="str">
        <f>"11344       "</f>
        <v xml:space="preserve">11344       </v>
      </c>
      <c r="O10071">
        <v>231108</v>
      </c>
    </row>
    <row r="10072" spans="1:15" x14ac:dyDescent="0.25">
      <c r="A10072" t="s">
        <v>16</v>
      </c>
      <c r="B10072" t="s">
        <v>3221</v>
      </c>
      <c r="C10072">
        <v>17021</v>
      </c>
      <c r="D10072" t="s">
        <v>3310</v>
      </c>
      <c r="E10072" t="s">
        <v>3311</v>
      </c>
      <c r="F10072">
        <v>590</v>
      </c>
      <c r="G10072">
        <v>231130</v>
      </c>
      <c r="H10072">
        <v>4441</v>
      </c>
      <c r="I10072" t="s">
        <v>109</v>
      </c>
      <c r="J10072">
        <v>731.6</v>
      </c>
      <c r="K10072">
        <v>141.6</v>
      </c>
      <c r="L10072">
        <v>18972</v>
      </c>
      <c r="M10072" t="s">
        <v>163</v>
      </c>
      <c r="N10072" t="str">
        <f>"9030047870  "</f>
        <v xml:space="preserve">9030047870  </v>
      </c>
      <c r="O10072">
        <v>231211</v>
      </c>
    </row>
    <row r="10073" spans="1:15" x14ac:dyDescent="0.25">
      <c r="A10073" t="s">
        <v>16</v>
      </c>
      <c r="B10073" t="s">
        <v>3221</v>
      </c>
      <c r="C10073">
        <v>386</v>
      </c>
      <c r="D10073" t="s">
        <v>509</v>
      </c>
      <c r="E10073" t="s">
        <v>510</v>
      </c>
      <c r="F10073">
        <v>35.799999999999997</v>
      </c>
      <c r="G10073">
        <v>230116</v>
      </c>
      <c r="H10073">
        <v>4600</v>
      </c>
      <c r="I10073" t="s">
        <v>105</v>
      </c>
      <c r="J10073">
        <v>44.39</v>
      </c>
      <c r="K10073">
        <v>8.59</v>
      </c>
      <c r="L10073">
        <v>17525</v>
      </c>
      <c r="M10073" t="s">
        <v>135</v>
      </c>
      <c r="N10073" t="str">
        <f>"418785      "</f>
        <v xml:space="preserve">418785      </v>
      </c>
      <c r="O10073">
        <v>230119</v>
      </c>
    </row>
    <row r="10074" spans="1:15" x14ac:dyDescent="0.25">
      <c r="A10074" t="s">
        <v>16</v>
      </c>
      <c r="B10074" t="s">
        <v>3221</v>
      </c>
      <c r="C10074">
        <v>651</v>
      </c>
      <c r="D10074" t="s">
        <v>509</v>
      </c>
      <c r="E10074" t="s">
        <v>510</v>
      </c>
      <c r="F10074">
        <v>51.53</v>
      </c>
      <c r="G10074">
        <v>230119</v>
      </c>
      <c r="H10074">
        <v>4600</v>
      </c>
      <c r="I10074" t="s">
        <v>105</v>
      </c>
      <c r="J10074">
        <v>63.9</v>
      </c>
      <c r="K10074">
        <v>12.37</v>
      </c>
      <c r="L10074">
        <v>17529</v>
      </c>
      <c r="M10074" t="s">
        <v>453</v>
      </c>
      <c r="N10074" t="str">
        <f>"418895      "</f>
        <v xml:space="preserve">418895      </v>
      </c>
      <c r="O10074">
        <v>230126</v>
      </c>
    </row>
    <row r="10075" spans="1:15" x14ac:dyDescent="0.25">
      <c r="A10075" t="s">
        <v>16</v>
      </c>
      <c r="B10075" t="s">
        <v>3221</v>
      </c>
      <c r="C10075">
        <v>775</v>
      </c>
      <c r="D10075" t="s">
        <v>509</v>
      </c>
      <c r="E10075" t="s">
        <v>510</v>
      </c>
      <c r="F10075">
        <v>128.94999999999999</v>
      </c>
      <c r="G10075">
        <v>230124</v>
      </c>
      <c r="H10075">
        <v>4600</v>
      </c>
      <c r="I10075" t="s">
        <v>105</v>
      </c>
      <c r="J10075">
        <v>159.9</v>
      </c>
      <c r="K10075">
        <v>30.95</v>
      </c>
      <c r="L10075">
        <v>17536</v>
      </c>
      <c r="M10075" t="s">
        <v>734</v>
      </c>
      <c r="N10075" t="str">
        <f>"418980      "</f>
        <v xml:space="preserve">418980      </v>
      </c>
      <c r="O10075">
        <v>230130</v>
      </c>
    </row>
    <row r="10076" spans="1:15" x14ac:dyDescent="0.25">
      <c r="A10076" t="s">
        <v>16</v>
      </c>
      <c r="B10076" t="s">
        <v>3221</v>
      </c>
      <c r="C10076">
        <v>2328</v>
      </c>
      <c r="D10076" t="s">
        <v>509</v>
      </c>
      <c r="E10076" t="s">
        <v>510</v>
      </c>
      <c r="F10076">
        <v>111.94</v>
      </c>
      <c r="G10076">
        <v>230216</v>
      </c>
      <c r="H10076">
        <v>4600</v>
      </c>
      <c r="I10076" t="s">
        <v>105</v>
      </c>
      <c r="J10076">
        <v>138.80000000000001</v>
      </c>
      <c r="K10076">
        <v>26.86</v>
      </c>
      <c r="L10076">
        <v>17529</v>
      </c>
      <c r="M10076" t="s">
        <v>453</v>
      </c>
      <c r="N10076" t="str">
        <f>"419389      "</f>
        <v xml:space="preserve">419389      </v>
      </c>
      <c r="O10076">
        <v>230224</v>
      </c>
    </row>
    <row r="10077" spans="1:15" x14ac:dyDescent="0.25">
      <c r="A10077" t="s">
        <v>16</v>
      </c>
      <c r="B10077" t="s">
        <v>3221</v>
      </c>
      <c r="C10077">
        <v>7013</v>
      </c>
      <c r="D10077" t="s">
        <v>2049</v>
      </c>
      <c r="E10077" t="s">
        <v>2050</v>
      </c>
      <c r="F10077">
        <v>250</v>
      </c>
      <c r="G10077">
        <v>230523</v>
      </c>
      <c r="H10077">
        <v>4441</v>
      </c>
      <c r="I10077" t="s">
        <v>109</v>
      </c>
      <c r="J10077">
        <v>310</v>
      </c>
      <c r="K10077">
        <v>60</v>
      </c>
      <c r="L10077">
        <v>17972</v>
      </c>
      <c r="M10077" t="s">
        <v>248</v>
      </c>
      <c r="N10077" t="str">
        <f>"0135        "</f>
        <v xml:space="preserve">0135        </v>
      </c>
      <c r="O10077">
        <v>230524</v>
      </c>
    </row>
    <row r="10078" spans="1:15" x14ac:dyDescent="0.25">
      <c r="A10078" t="s">
        <v>16</v>
      </c>
      <c r="B10078" t="s">
        <v>3221</v>
      </c>
      <c r="C10078">
        <v>12730</v>
      </c>
      <c r="D10078" t="s">
        <v>2049</v>
      </c>
      <c r="E10078" t="s">
        <v>2050</v>
      </c>
      <c r="F10078">
        <v>550</v>
      </c>
      <c r="G10078">
        <v>230925</v>
      </c>
      <c r="H10078">
        <v>4441</v>
      </c>
      <c r="I10078" t="s">
        <v>109</v>
      </c>
      <c r="J10078">
        <v>682</v>
      </c>
      <c r="K10078">
        <v>132</v>
      </c>
      <c r="L10078">
        <v>17538</v>
      </c>
      <c r="M10078" t="s">
        <v>24</v>
      </c>
      <c r="N10078" t="str">
        <f>"0151        "</f>
        <v xml:space="preserve">0151        </v>
      </c>
      <c r="O10078">
        <v>230925</v>
      </c>
    </row>
    <row r="10079" spans="1:15" x14ac:dyDescent="0.25">
      <c r="A10079" t="s">
        <v>16</v>
      </c>
      <c r="B10079" t="s">
        <v>3221</v>
      </c>
      <c r="C10079">
        <v>14775</v>
      </c>
      <c r="D10079" t="s">
        <v>2049</v>
      </c>
      <c r="E10079" t="s">
        <v>2050</v>
      </c>
      <c r="F10079">
        <v>362.11</v>
      </c>
      <c r="G10079">
        <v>231101</v>
      </c>
      <c r="H10079">
        <v>4440</v>
      </c>
      <c r="I10079" t="s">
        <v>250</v>
      </c>
      <c r="J10079">
        <v>449.02</v>
      </c>
      <c r="K10079">
        <v>86.91</v>
      </c>
      <c r="L10079">
        <v>17802</v>
      </c>
      <c r="M10079" t="s">
        <v>174</v>
      </c>
      <c r="N10079" t="str">
        <f>"0170        "</f>
        <v xml:space="preserve">0170        </v>
      </c>
      <c r="O10079">
        <v>231106</v>
      </c>
    </row>
    <row r="10080" spans="1:15" x14ac:dyDescent="0.25">
      <c r="A10080" t="s">
        <v>16</v>
      </c>
      <c r="B10080" t="s">
        <v>3221</v>
      </c>
      <c r="C10080">
        <v>14776</v>
      </c>
      <c r="D10080" t="s">
        <v>2049</v>
      </c>
      <c r="E10080" t="s">
        <v>2050</v>
      </c>
      <c r="F10080">
        <v>275</v>
      </c>
      <c r="G10080">
        <v>231101</v>
      </c>
      <c r="H10080">
        <v>4440</v>
      </c>
      <c r="I10080" t="s">
        <v>250</v>
      </c>
      <c r="J10080">
        <v>341</v>
      </c>
      <c r="K10080">
        <v>66</v>
      </c>
      <c r="L10080">
        <v>17803</v>
      </c>
      <c r="M10080" t="s">
        <v>389</v>
      </c>
      <c r="N10080" t="str">
        <f>"0169        "</f>
        <v xml:space="preserve">0169        </v>
      </c>
      <c r="O10080">
        <v>231106</v>
      </c>
    </row>
    <row r="10081" spans="1:15" x14ac:dyDescent="0.25">
      <c r="A10081" t="s">
        <v>16</v>
      </c>
      <c r="B10081" t="s">
        <v>3221</v>
      </c>
      <c r="C10081">
        <v>15680</v>
      </c>
      <c r="D10081" t="s">
        <v>3655</v>
      </c>
      <c r="E10081" t="s">
        <v>3304</v>
      </c>
      <c r="F10081">
        <v>77.180000000000007</v>
      </c>
      <c r="G10081">
        <v>231108</v>
      </c>
      <c r="H10081">
        <v>4410</v>
      </c>
      <c r="I10081" t="s">
        <v>517</v>
      </c>
      <c r="J10081">
        <v>95.7</v>
      </c>
      <c r="K10081">
        <v>18.52</v>
      </c>
      <c r="L10081">
        <v>17521</v>
      </c>
      <c r="M10081" t="s">
        <v>133</v>
      </c>
      <c r="N10081" t="str">
        <f>"37001580    "</f>
        <v xml:space="preserve">37001580    </v>
      </c>
      <c r="O10081">
        <v>231116</v>
      </c>
    </row>
    <row r="10082" spans="1:15" x14ac:dyDescent="0.25">
      <c r="A10082" t="s">
        <v>16</v>
      </c>
      <c r="B10082" t="s">
        <v>3221</v>
      </c>
      <c r="C10082">
        <v>1281</v>
      </c>
      <c r="D10082" t="s">
        <v>974</v>
      </c>
      <c r="E10082" t="s">
        <v>975</v>
      </c>
      <c r="F10082">
        <v>59</v>
      </c>
      <c r="G10082">
        <v>230131</v>
      </c>
      <c r="H10082">
        <v>4471</v>
      </c>
      <c r="I10082" t="s">
        <v>68</v>
      </c>
      <c r="J10082">
        <v>73.16</v>
      </c>
      <c r="K10082">
        <v>14.16</v>
      </c>
      <c r="L10082">
        <v>69501</v>
      </c>
      <c r="M10082" t="s">
        <v>185</v>
      </c>
      <c r="N10082" t="str">
        <f>"9019        "</f>
        <v xml:space="preserve">9019        </v>
      </c>
      <c r="O10082">
        <v>230207</v>
      </c>
    </row>
    <row r="10083" spans="1:15" x14ac:dyDescent="0.25">
      <c r="A10083" t="s">
        <v>16</v>
      </c>
      <c r="B10083" t="s">
        <v>3221</v>
      </c>
      <c r="C10083">
        <v>1327</v>
      </c>
      <c r="D10083" t="s">
        <v>974</v>
      </c>
      <c r="E10083" t="s">
        <v>975</v>
      </c>
      <c r="F10083">
        <v>1563</v>
      </c>
      <c r="G10083">
        <v>230131</v>
      </c>
      <c r="H10083">
        <v>4471</v>
      </c>
      <c r="I10083" t="s">
        <v>68</v>
      </c>
      <c r="J10083">
        <v>1938.12</v>
      </c>
      <c r="K10083">
        <v>375.12</v>
      </c>
      <c r="L10083">
        <v>69501</v>
      </c>
      <c r="M10083" t="s">
        <v>185</v>
      </c>
      <c r="N10083" t="str">
        <f>"8890        "</f>
        <v xml:space="preserve">8890        </v>
      </c>
      <c r="O10083">
        <v>230207</v>
      </c>
    </row>
    <row r="10084" spans="1:15" x14ac:dyDescent="0.25">
      <c r="A10084" t="s">
        <v>16</v>
      </c>
      <c r="B10084" t="s">
        <v>3221</v>
      </c>
      <c r="C10084">
        <v>1696</v>
      </c>
      <c r="D10084" t="s">
        <v>974</v>
      </c>
      <c r="E10084" t="s">
        <v>975</v>
      </c>
      <c r="F10084">
        <v>2900</v>
      </c>
      <c r="G10084">
        <v>230131</v>
      </c>
      <c r="H10084">
        <v>4471</v>
      </c>
      <c r="I10084" t="s">
        <v>68</v>
      </c>
      <c r="J10084">
        <v>3596</v>
      </c>
      <c r="K10084">
        <v>696</v>
      </c>
      <c r="L10084">
        <v>69111</v>
      </c>
      <c r="M10084" t="s">
        <v>471</v>
      </c>
      <c r="N10084" t="str">
        <f>"9031        "</f>
        <v xml:space="preserve">9031        </v>
      </c>
      <c r="O10084">
        <v>230213</v>
      </c>
    </row>
    <row r="10085" spans="1:15" x14ac:dyDescent="0.25">
      <c r="A10085" t="s">
        <v>16</v>
      </c>
      <c r="B10085" t="s">
        <v>3221</v>
      </c>
      <c r="C10085">
        <v>2539</v>
      </c>
      <c r="D10085" t="s">
        <v>974</v>
      </c>
      <c r="E10085" t="s">
        <v>975</v>
      </c>
      <c r="F10085">
        <v>1563</v>
      </c>
      <c r="G10085">
        <v>230228</v>
      </c>
      <c r="H10085">
        <v>4471</v>
      </c>
      <c r="I10085" t="s">
        <v>68</v>
      </c>
      <c r="J10085">
        <v>1938.12</v>
      </c>
      <c r="K10085">
        <v>375.12</v>
      </c>
      <c r="L10085">
        <v>69501</v>
      </c>
      <c r="M10085" t="s">
        <v>185</v>
      </c>
      <c r="N10085" t="str">
        <f>"9065        "</f>
        <v xml:space="preserve">9065        </v>
      </c>
      <c r="O10085">
        <v>230302</v>
      </c>
    </row>
    <row r="10086" spans="1:15" x14ac:dyDescent="0.25">
      <c r="A10086" t="s">
        <v>16</v>
      </c>
      <c r="B10086" t="s">
        <v>3221</v>
      </c>
      <c r="C10086">
        <v>2987</v>
      </c>
      <c r="D10086" t="s">
        <v>974</v>
      </c>
      <c r="E10086" t="s">
        <v>975</v>
      </c>
      <c r="F10086">
        <v>59</v>
      </c>
      <c r="G10086">
        <v>230228</v>
      </c>
      <c r="H10086">
        <v>4471</v>
      </c>
      <c r="I10086" t="s">
        <v>68</v>
      </c>
      <c r="J10086">
        <v>73.16</v>
      </c>
      <c r="K10086">
        <v>14.16</v>
      </c>
      <c r="L10086">
        <v>69111</v>
      </c>
      <c r="M10086" t="s">
        <v>471</v>
      </c>
      <c r="N10086" t="str">
        <f>"9183        "</f>
        <v xml:space="preserve">9183        </v>
      </c>
      <c r="O10086">
        <v>230308</v>
      </c>
    </row>
    <row r="10087" spans="1:15" x14ac:dyDescent="0.25">
      <c r="A10087" t="s">
        <v>16</v>
      </c>
      <c r="B10087" t="s">
        <v>3221</v>
      </c>
      <c r="C10087">
        <v>3024</v>
      </c>
      <c r="D10087" t="s">
        <v>974</v>
      </c>
      <c r="E10087" t="s">
        <v>975</v>
      </c>
      <c r="F10087">
        <v>2580</v>
      </c>
      <c r="G10087">
        <v>230228</v>
      </c>
      <c r="H10087">
        <v>4471</v>
      </c>
      <c r="I10087" t="s">
        <v>68</v>
      </c>
      <c r="J10087">
        <v>3199.2</v>
      </c>
      <c r="K10087">
        <v>619.20000000000005</v>
      </c>
      <c r="L10087">
        <v>69111</v>
      </c>
      <c r="M10087" t="s">
        <v>471</v>
      </c>
      <c r="N10087" t="str">
        <f>"9216        "</f>
        <v xml:space="preserve">9216        </v>
      </c>
      <c r="O10087">
        <v>230308</v>
      </c>
    </row>
    <row r="10088" spans="1:15" x14ac:dyDescent="0.25">
      <c r="A10088" t="s">
        <v>16</v>
      </c>
      <c r="B10088" t="s">
        <v>3221</v>
      </c>
      <c r="C10088">
        <v>4622</v>
      </c>
      <c r="D10088" t="s">
        <v>974</v>
      </c>
      <c r="E10088" t="s">
        <v>975</v>
      </c>
      <c r="F10088">
        <v>1563</v>
      </c>
      <c r="G10088">
        <v>230331</v>
      </c>
      <c r="H10088">
        <v>4471</v>
      </c>
      <c r="I10088" t="s">
        <v>68</v>
      </c>
      <c r="J10088">
        <v>1938.12</v>
      </c>
      <c r="K10088">
        <v>375.12</v>
      </c>
      <c r="L10088">
        <v>69501</v>
      </c>
      <c r="M10088" t="s">
        <v>185</v>
      </c>
      <c r="N10088" t="str">
        <f>"9238        "</f>
        <v xml:space="preserve">9238        </v>
      </c>
      <c r="O10088">
        <v>230411</v>
      </c>
    </row>
    <row r="10089" spans="1:15" x14ac:dyDescent="0.25">
      <c r="A10089" t="s">
        <v>16</v>
      </c>
      <c r="B10089" t="s">
        <v>3221</v>
      </c>
      <c r="C10089">
        <v>5496</v>
      </c>
      <c r="D10089" t="s">
        <v>974</v>
      </c>
      <c r="E10089" t="s">
        <v>975</v>
      </c>
      <c r="F10089">
        <v>3760</v>
      </c>
      <c r="G10089">
        <v>230331</v>
      </c>
      <c r="H10089">
        <v>4471</v>
      </c>
      <c r="I10089" t="s">
        <v>68</v>
      </c>
      <c r="J10089">
        <v>4662.3999999999996</v>
      </c>
      <c r="K10089">
        <v>902.4</v>
      </c>
      <c r="L10089">
        <v>69111</v>
      </c>
      <c r="M10089" t="s">
        <v>471</v>
      </c>
      <c r="N10089" t="str">
        <f>"9438        "</f>
        <v xml:space="preserve">9438        </v>
      </c>
      <c r="O10089">
        <v>230426</v>
      </c>
    </row>
    <row r="10090" spans="1:15" x14ac:dyDescent="0.25">
      <c r="A10090" t="s">
        <v>16</v>
      </c>
      <c r="B10090" t="s">
        <v>3221</v>
      </c>
      <c r="C10090">
        <v>6263</v>
      </c>
      <c r="D10090" t="s">
        <v>974</v>
      </c>
      <c r="E10090" t="s">
        <v>975</v>
      </c>
      <c r="F10090">
        <v>1563</v>
      </c>
      <c r="G10090">
        <v>230430</v>
      </c>
      <c r="H10090">
        <v>4471</v>
      </c>
      <c r="I10090" t="s">
        <v>68</v>
      </c>
      <c r="J10090">
        <v>1938.12</v>
      </c>
      <c r="K10090">
        <v>375.12</v>
      </c>
      <c r="L10090">
        <v>69501</v>
      </c>
      <c r="M10090" t="s">
        <v>185</v>
      </c>
      <c r="N10090" t="str">
        <f>"9447        "</f>
        <v xml:space="preserve">9447        </v>
      </c>
      <c r="O10090">
        <v>230509</v>
      </c>
    </row>
    <row r="10091" spans="1:15" x14ac:dyDescent="0.25">
      <c r="A10091" t="s">
        <v>16</v>
      </c>
      <c r="B10091" t="s">
        <v>3221</v>
      </c>
      <c r="C10091">
        <v>7003</v>
      </c>
      <c r="D10091" t="s">
        <v>974</v>
      </c>
      <c r="E10091" t="s">
        <v>975</v>
      </c>
      <c r="F10091">
        <v>89.02</v>
      </c>
      <c r="G10091">
        <v>230430</v>
      </c>
      <c r="H10091">
        <v>4471</v>
      </c>
      <c r="I10091" t="s">
        <v>68</v>
      </c>
      <c r="J10091">
        <v>110.39</v>
      </c>
      <c r="K10091">
        <v>21.37</v>
      </c>
      <c r="L10091">
        <v>69111</v>
      </c>
      <c r="M10091" t="s">
        <v>471</v>
      </c>
      <c r="N10091" t="str">
        <f>"9589        "</f>
        <v xml:space="preserve">9589        </v>
      </c>
      <c r="O10091">
        <v>230524</v>
      </c>
    </row>
    <row r="10092" spans="1:15" x14ac:dyDescent="0.25">
      <c r="A10092" t="s">
        <v>16</v>
      </c>
      <c r="B10092" t="s">
        <v>3221</v>
      </c>
      <c r="C10092">
        <v>7003</v>
      </c>
      <c r="D10092" t="s">
        <v>974</v>
      </c>
      <c r="E10092" t="s">
        <v>975</v>
      </c>
      <c r="F10092">
        <v>88.98</v>
      </c>
      <c r="G10092">
        <v>230430</v>
      </c>
      <c r="H10092">
        <v>4471</v>
      </c>
      <c r="I10092" t="s">
        <v>68</v>
      </c>
      <c r="J10092">
        <v>110.33</v>
      </c>
      <c r="K10092">
        <v>21.35</v>
      </c>
      <c r="L10092">
        <v>69501</v>
      </c>
      <c r="M10092" t="s">
        <v>185</v>
      </c>
      <c r="N10092" t="str">
        <f>"9589        "</f>
        <v xml:space="preserve">9589        </v>
      </c>
      <c r="O10092">
        <v>230524</v>
      </c>
    </row>
    <row r="10093" spans="1:15" x14ac:dyDescent="0.25">
      <c r="A10093" t="s">
        <v>16</v>
      </c>
      <c r="B10093" t="s">
        <v>3221</v>
      </c>
      <c r="C10093">
        <v>7407</v>
      </c>
      <c r="D10093" t="s">
        <v>974</v>
      </c>
      <c r="E10093" t="s">
        <v>975</v>
      </c>
      <c r="F10093">
        <v>700</v>
      </c>
      <c r="G10093">
        <v>230430</v>
      </c>
      <c r="H10093">
        <v>4471</v>
      </c>
      <c r="I10093" t="s">
        <v>68</v>
      </c>
      <c r="J10093">
        <v>868</v>
      </c>
      <c r="K10093">
        <v>168</v>
      </c>
      <c r="L10093">
        <v>69111</v>
      </c>
      <c r="M10093" t="s">
        <v>471</v>
      </c>
      <c r="N10093" t="str">
        <f>"9614        "</f>
        <v xml:space="preserve">9614        </v>
      </c>
      <c r="O10093">
        <v>230530</v>
      </c>
    </row>
    <row r="10094" spans="1:15" x14ac:dyDescent="0.25">
      <c r="A10094" t="s">
        <v>16</v>
      </c>
      <c r="B10094" t="s">
        <v>3221</v>
      </c>
      <c r="C10094">
        <v>8751</v>
      </c>
      <c r="D10094" t="s">
        <v>974</v>
      </c>
      <c r="E10094" t="s">
        <v>975</v>
      </c>
      <c r="F10094">
        <v>1563</v>
      </c>
      <c r="G10094">
        <v>230531</v>
      </c>
      <c r="H10094">
        <v>4471</v>
      </c>
      <c r="I10094" t="s">
        <v>68</v>
      </c>
      <c r="J10094">
        <v>1938.12</v>
      </c>
      <c r="K10094">
        <v>375.12</v>
      </c>
      <c r="L10094">
        <v>69501</v>
      </c>
      <c r="M10094" t="s">
        <v>185</v>
      </c>
      <c r="N10094" t="str">
        <f>"9626        "</f>
        <v xml:space="preserve">9626        </v>
      </c>
      <c r="O10094">
        <v>230613</v>
      </c>
    </row>
    <row r="10095" spans="1:15" x14ac:dyDescent="0.25">
      <c r="A10095" t="s">
        <v>16</v>
      </c>
      <c r="B10095" t="s">
        <v>3221</v>
      </c>
      <c r="C10095">
        <v>9168</v>
      </c>
      <c r="D10095" t="s">
        <v>974</v>
      </c>
      <c r="E10095" t="s">
        <v>975</v>
      </c>
      <c r="F10095">
        <v>59</v>
      </c>
      <c r="G10095">
        <v>230531</v>
      </c>
      <c r="H10095">
        <v>4471</v>
      </c>
      <c r="I10095" t="s">
        <v>68</v>
      </c>
      <c r="J10095">
        <v>73.16</v>
      </c>
      <c r="K10095">
        <v>14.16</v>
      </c>
      <c r="L10095">
        <v>67554</v>
      </c>
      <c r="M10095" t="s">
        <v>60</v>
      </c>
      <c r="N10095" t="str">
        <f>"9757        "</f>
        <v xml:space="preserve">9757        </v>
      </c>
      <c r="O10095">
        <v>230629</v>
      </c>
    </row>
    <row r="10096" spans="1:15" x14ac:dyDescent="0.25">
      <c r="A10096" t="s">
        <v>16</v>
      </c>
      <c r="B10096" t="s">
        <v>3221</v>
      </c>
      <c r="C10096">
        <v>9347</v>
      </c>
      <c r="D10096" t="s">
        <v>974</v>
      </c>
      <c r="E10096" t="s">
        <v>975</v>
      </c>
      <c r="F10096">
        <v>1563</v>
      </c>
      <c r="G10096">
        <v>230630</v>
      </c>
      <c r="H10096">
        <v>4471</v>
      </c>
      <c r="I10096" t="s">
        <v>68</v>
      </c>
      <c r="J10096">
        <v>1938.12</v>
      </c>
      <c r="K10096">
        <v>375.12</v>
      </c>
      <c r="L10096">
        <v>69501</v>
      </c>
      <c r="M10096" t="s">
        <v>185</v>
      </c>
      <c r="N10096" t="str">
        <f>"9811        "</f>
        <v xml:space="preserve">9811        </v>
      </c>
      <c r="O10096">
        <v>230706</v>
      </c>
    </row>
    <row r="10097" spans="1:15" x14ac:dyDescent="0.25">
      <c r="A10097" t="s">
        <v>16</v>
      </c>
      <c r="B10097" t="s">
        <v>3221</v>
      </c>
      <c r="C10097">
        <v>9502</v>
      </c>
      <c r="D10097" t="s">
        <v>974</v>
      </c>
      <c r="E10097" t="s">
        <v>975</v>
      </c>
      <c r="F10097">
        <v>148</v>
      </c>
      <c r="G10097">
        <v>230630</v>
      </c>
      <c r="H10097">
        <v>4471</v>
      </c>
      <c r="I10097" t="s">
        <v>68</v>
      </c>
      <c r="J10097">
        <v>183.52</v>
      </c>
      <c r="K10097">
        <v>35.520000000000003</v>
      </c>
      <c r="L10097">
        <v>69501</v>
      </c>
      <c r="M10097" t="s">
        <v>185</v>
      </c>
      <c r="N10097" t="str">
        <f>"9918        "</f>
        <v xml:space="preserve">9918        </v>
      </c>
      <c r="O10097">
        <v>230712</v>
      </c>
    </row>
    <row r="10098" spans="1:15" x14ac:dyDescent="0.25">
      <c r="A10098" t="s">
        <v>16</v>
      </c>
      <c r="B10098" t="s">
        <v>3221</v>
      </c>
      <c r="C10098">
        <v>10015</v>
      </c>
      <c r="D10098" t="s">
        <v>974</v>
      </c>
      <c r="E10098" t="s">
        <v>975</v>
      </c>
      <c r="F10098">
        <v>1633.34</v>
      </c>
      <c r="G10098">
        <v>230731</v>
      </c>
      <c r="H10098">
        <v>4471</v>
      </c>
      <c r="I10098" t="s">
        <v>68</v>
      </c>
      <c r="J10098">
        <v>2025.34</v>
      </c>
      <c r="K10098">
        <v>392</v>
      </c>
      <c r="L10098">
        <v>69501</v>
      </c>
      <c r="M10098" t="s">
        <v>185</v>
      </c>
      <c r="N10098" t="str">
        <f>"10016       "</f>
        <v xml:space="preserve">10016       </v>
      </c>
      <c r="O10098">
        <v>230807</v>
      </c>
    </row>
    <row r="10099" spans="1:15" x14ac:dyDescent="0.25">
      <c r="A10099" t="s">
        <v>16</v>
      </c>
      <c r="B10099" t="s">
        <v>3221</v>
      </c>
      <c r="C10099">
        <v>10443</v>
      </c>
      <c r="D10099" t="s">
        <v>974</v>
      </c>
      <c r="E10099" t="s">
        <v>975</v>
      </c>
      <c r="F10099">
        <v>988.56</v>
      </c>
      <c r="G10099">
        <v>230731</v>
      </c>
      <c r="H10099">
        <v>4471</v>
      </c>
      <c r="I10099" t="s">
        <v>68</v>
      </c>
      <c r="J10099">
        <v>1225.81</v>
      </c>
      <c r="K10099">
        <v>237.25</v>
      </c>
      <c r="L10099">
        <v>69111</v>
      </c>
      <c r="M10099" t="s">
        <v>471</v>
      </c>
      <c r="N10099" t="str">
        <f>"10153       "</f>
        <v xml:space="preserve">10153       </v>
      </c>
      <c r="O10099">
        <v>230816</v>
      </c>
    </row>
    <row r="10100" spans="1:15" x14ac:dyDescent="0.25">
      <c r="A10100" t="s">
        <v>16</v>
      </c>
      <c r="B10100" t="s">
        <v>3221</v>
      </c>
      <c r="C10100">
        <v>10458</v>
      </c>
      <c r="D10100" t="s">
        <v>974</v>
      </c>
      <c r="E10100" t="s">
        <v>975</v>
      </c>
      <c r="F10100">
        <v>92</v>
      </c>
      <c r="G10100">
        <v>230731</v>
      </c>
      <c r="H10100">
        <v>4471</v>
      </c>
      <c r="I10100" t="s">
        <v>68</v>
      </c>
      <c r="J10100">
        <v>114.08</v>
      </c>
      <c r="K10100">
        <v>22.08</v>
      </c>
      <c r="L10100">
        <v>69111</v>
      </c>
      <c r="M10100" t="s">
        <v>471</v>
      </c>
      <c r="N10100" t="str">
        <f>"10152       "</f>
        <v xml:space="preserve">10152       </v>
      </c>
      <c r="O10100">
        <v>230816</v>
      </c>
    </row>
    <row r="10101" spans="1:15" x14ac:dyDescent="0.25">
      <c r="A10101" t="s">
        <v>16</v>
      </c>
      <c r="B10101" t="s">
        <v>3221</v>
      </c>
      <c r="C10101">
        <v>10458</v>
      </c>
      <c r="D10101" t="s">
        <v>974</v>
      </c>
      <c r="E10101" t="s">
        <v>975</v>
      </c>
      <c r="F10101">
        <v>246</v>
      </c>
      <c r="G10101">
        <v>230731</v>
      </c>
      <c r="H10101">
        <v>4471</v>
      </c>
      <c r="I10101" t="s">
        <v>68</v>
      </c>
      <c r="J10101">
        <v>305.04000000000002</v>
      </c>
      <c r="K10101">
        <v>59.04</v>
      </c>
      <c r="L10101">
        <v>69501</v>
      </c>
      <c r="M10101" t="s">
        <v>185</v>
      </c>
      <c r="N10101" t="str">
        <f>"10152       "</f>
        <v xml:space="preserve">10152       </v>
      </c>
      <c r="O10101">
        <v>230816</v>
      </c>
    </row>
    <row r="10102" spans="1:15" x14ac:dyDescent="0.25">
      <c r="A10102" t="s">
        <v>16</v>
      </c>
      <c r="B10102" t="s">
        <v>3221</v>
      </c>
      <c r="C10102">
        <v>11547</v>
      </c>
      <c r="D10102" t="s">
        <v>974</v>
      </c>
      <c r="E10102" t="s">
        <v>975</v>
      </c>
      <c r="F10102">
        <v>1633.34</v>
      </c>
      <c r="G10102">
        <v>230831</v>
      </c>
      <c r="H10102">
        <v>4471</v>
      </c>
      <c r="I10102" t="s">
        <v>68</v>
      </c>
      <c r="J10102">
        <v>2025.34</v>
      </c>
      <c r="K10102">
        <v>392</v>
      </c>
      <c r="L10102">
        <v>69501</v>
      </c>
      <c r="M10102" t="s">
        <v>185</v>
      </c>
      <c r="N10102" t="str">
        <f>"10196       "</f>
        <v xml:space="preserve">10196       </v>
      </c>
      <c r="O10102">
        <v>230907</v>
      </c>
    </row>
    <row r="10103" spans="1:15" x14ac:dyDescent="0.25">
      <c r="A10103" t="s">
        <v>16</v>
      </c>
      <c r="B10103" t="s">
        <v>3221</v>
      </c>
      <c r="C10103">
        <v>12066</v>
      </c>
      <c r="D10103" t="s">
        <v>974</v>
      </c>
      <c r="E10103" t="s">
        <v>975</v>
      </c>
      <c r="F10103">
        <v>154</v>
      </c>
      <c r="G10103">
        <v>230831</v>
      </c>
      <c r="H10103">
        <v>4471</v>
      </c>
      <c r="I10103" t="s">
        <v>68</v>
      </c>
      <c r="J10103">
        <v>190.96</v>
      </c>
      <c r="K10103">
        <v>36.96</v>
      </c>
      <c r="L10103">
        <v>69501</v>
      </c>
      <c r="M10103" t="s">
        <v>185</v>
      </c>
      <c r="N10103" t="str">
        <f>"10320       "</f>
        <v xml:space="preserve">10320       </v>
      </c>
      <c r="O10103">
        <v>230913</v>
      </c>
    </row>
    <row r="10104" spans="1:15" x14ac:dyDescent="0.25">
      <c r="A10104" t="s">
        <v>16</v>
      </c>
      <c r="B10104" t="s">
        <v>3221</v>
      </c>
      <c r="C10104">
        <v>12180</v>
      </c>
      <c r="D10104" t="s">
        <v>974</v>
      </c>
      <c r="E10104" t="s">
        <v>975</v>
      </c>
      <c r="F10104">
        <v>3060</v>
      </c>
      <c r="G10104">
        <v>230831</v>
      </c>
      <c r="H10104">
        <v>4471</v>
      </c>
      <c r="I10104" t="s">
        <v>68</v>
      </c>
      <c r="J10104">
        <v>3794.4</v>
      </c>
      <c r="K10104">
        <v>734.4</v>
      </c>
      <c r="L10104">
        <v>69111</v>
      </c>
      <c r="M10104" t="s">
        <v>471</v>
      </c>
      <c r="N10104" t="str">
        <f>"10350       "</f>
        <v xml:space="preserve">10350       </v>
      </c>
      <c r="O10104">
        <v>230915</v>
      </c>
    </row>
    <row r="10105" spans="1:15" x14ac:dyDescent="0.25">
      <c r="A10105" t="s">
        <v>16</v>
      </c>
      <c r="B10105" t="s">
        <v>3221</v>
      </c>
      <c r="C10105">
        <v>13465</v>
      </c>
      <c r="D10105" t="s">
        <v>974</v>
      </c>
      <c r="E10105" t="s">
        <v>975</v>
      </c>
      <c r="F10105">
        <v>1633.34</v>
      </c>
      <c r="G10105">
        <v>230930</v>
      </c>
      <c r="H10105">
        <v>4471</v>
      </c>
      <c r="I10105" t="s">
        <v>68</v>
      </c>
      <c r="J10105">
        <v>2025.34</v>
      </c>
      <c r="K10105">
        <v>392</v>
      </c>
      <c r="L10105">
        <v>69501</v>
      </c>
      <c r="M10105" t="s">
        <v>185</v>
      </c>
      <c r="N10105" t="str">
        <f>"10368       "</f>
        <v xml:space="preserve">10368       </v>
      </c>
      <c r="O10105">
        <v>231010</v>
      </c>
    </row>
    <row r="10106" spans="1:15" x14ac:dyDescent="0.25">
      <c r="A10106" t="s">
        <v>16</v>
      </c>
      <c r="B10106" t="s">
        <v>3221</v>
      </c>
      <c r="C10106">
        <v>14351</v>
      </c>
      <c r="D10106" t="s">
        <v>974</v>
      </c>
      <c r="E10106" t="s">
        <v>975</v>
      </c>
      <c r="F10106">
        <v>3440</v>
      </c>
      <c r="G10106">
        <v>230930</v>
      </c>
      <c r="H10106">
        <v>4471</v>
      </c>
      <c r="I10106" t="s">
        <v>68</v>
      </c>
      <c r="J10106">
        <v>4265.6000000000004</v>
      </c>
      <c r="K10106">
        <v>825.6</v>
      </c>
      <c r="L10106">
        <v>69111</v>
      </c>
      <c r="M10106" t="s">
        <v>471</v>
      </c>
      <c r="N10106" t="str">
        <f>"10538       "</f>
        <v xml:space="preserve">10538       </v>
      </c>
      <c r="O10106">
        <v>231027</v>
      </c>
    </row>
    <row r="10107" spans="1:15" x14ac:dyDescent="0.25">
      <c r="A10107" t="s">
        <v>16</v>
      </c>
      <c r="B10107" t="s">
        <v>3221</v>
      </c>
      <c r="C10107">
        <v>15116</v>
      </c>
      <c r="D10107" t="s">
        <v>974</v>
      </c>
      <c r="E10107" t="s">
        <v>975</v>
      </c>
      <c r="F10107">
        <v>1633.34</v>
      </c>
      <c r="G10107">
        <v>231031</v>
      </c>
      <c r="H10107">
        <v>4471</v>
      </c>
      <c r="I10107" t="s">
        <v>68</v>
      </c>
      <c r="J10107">
        <v>2025.34</v>
      </c>
      <c r="K10107">
        <v>392</v>
      </c>
      <c r="L10107">
        <v>69501</v>
      </c>
      <c r="M10107" t="s">
        <v>185</v>
      </c>
      <c r="N10107" t="str">
        <f>"10577       "</f>
        <v xml:space="preserve">10577       </v>
      </c>
      <c r="O10107">
        <v>231108</v>
      </c>
    </row>
    <row r="10108" spans="1:15" x14ac:dyDescent="0.25">
      <c r="A10108" t="s">
        <v>16</v>
      </c>
      <c r="B10108" t="s">
        <v>3221</v>
      </c>
      <c r="C10108">
        <v>15811</v>
      </c>
      <c r="D10108" t="s">
        <v>974</v>
      </c>
      <c r="E10108" t="s">
        <v>975</v>
      </c>
      <c r="F10108">
        <v>2960</v>
      </c>
      <c r="G10108">
        <v>231031</v>
      </c>
      <c r="H10108">
        <v>4471</v>
      </c>
      <c r="I10108" t="s">
        <v>68</v>
      </c>
      <c r="J10108">
        <v>3670.4</v>
      </c>
      <c r="K10108">
        <v>710.4</v>
      </c>
      <c r="L10108">
        <v>69111</v>
      </c>
      <c r="M10108" t="s">
        <v>471</v>
      </c>
      <c r="N10108" t="str">
        <f>"10719       "</f>
        <v xml:space="preserve">10719       </v>
      </c>
      <c r="O10108">
        <v>231120</v>
      </c>
    </row>
    <row r="10109" spans="1:15" x14ac:dyDescent="0.25">
      <c r="A10109" t="s">
        <v>16</v>
      </c>
      <c r="B10109" t="s">
        <v>3221</v>
      </c>
      <c r="C10109">
        <v>17262</v>
      </c>
      <c r="D10109" t="s">
        <v>974</v>
      </c>
      <c r="E10109" t="s">
        <v>975</v>
      </c>
      <c r="F10109">
        <v>1633.34</v>
      </c>
      <c r="G10109">
        <v>231130</v>
      </c>
      <c r="H10109">
        <v>4471</v>
      </c>
      <c r="I10109" t="s">
        <v>68</v>
      </c>
      <c r="J10109">
        <v>2025.34</v>
      </c>
      <c r="K10109">
        <v>392</v>
      </c>
      <c r="L10109">
        <v>69501</v>
      </c>
      <c r="M10109" t="s">
        <v>185</v>
      </c>
      <c r="N10109" t="str">
        <f>"10739       "</f>
        <v xml:space="preserve">10739       </v>
      </c>
      <c r="O10109">
        <v>231212</v>
      </c>
    </row>
    <row r="10110" spans="1:15" x14ac:dyDescent="0.25">
      <c r="A10110" t="s">
        <v>16</v>
      </c>
      <c r="B10110" t="s">
        <v>3221</v>
      </c>
      <c r="C10110">
        <v>18374</v>
      </c>
      <c r="D10110" t="s">
        <v>974</v>
      </c>
      <c r="E10110" t="s">
        <v>975</v>
      </c>
      <c r="F10110">
        <v>3540</v>
      </c>
      <c r="G10110">
        <v>231130</v>
      </c>
      <c r="H10110">
        <v>4471</v>
      </c>
      <c r="I10110" t="s">
        <v>68</v>
      </c>
      <c r="J10110">
        <v>4389.6000000000004</v>
      </c>
      <c r="K10110">
        <v>849.6</v>
      </c>
      <c r="L10110">
        <v>69111</v>
      </c>
      <c r="M10110" t="s">
        <v>471</v>
      </c>
      <c r="N10110" t="str">
        <f>"10903       "</f>
        <v xml:space="preserve">10903       </v>
      </c>
      <c r="O10110">
        <v>240103</v>
      </c>
    </row>
    <row r="10111" spans="1:15" x14ac:dyDescent="0.25">
      <c r="A10111" t="s">
        <v>16</v>
      </c>
      <c r="B10111" t="s">
        <v>3221</v>
      </c>
      <c r="C10111">
        <v>18694</v>
      </c>
      <c r="D10111" t="s">
        <v>974</v>
      </c>
      <c r="E10111" t="s">
        <v>975</v>
      </c>
      <c r="F10111">
        <v>1633.34</v>
      </c>
      <c r="G10111">
        <v>231231</v>
      </c>
      <c r="H10111">
        <v>4471</v>
      </c>
      <c r="I10111" t="s">
        <v>68</v>
      </c>
      <c r="J10111">
        <v>2025.34</v>
      </c>
      <c r="K10111">
        <v>392</v>
      </c>
      <c r="L10111">
        <v>69501</v>
      </c>
      <c r="M10111" t="s">
        <v>185</v>
      </c>
      <c r="N10111" t="str">
        <f>"10927       "</f>
        <v xml:space="preserve">10927       </v>
      </c>
      <c r="O10111">
        <v>240104</v>
      </c>
    </row>
    <row r="10112" spans="1:15" x14ac:dyDescent="0.25">
      <c r="A10112" t="s">
        <v>16</v>
      </c>
      <c r="B10112" t="s">
        <v>3221</v>
      </c>
      <c r="C10112">
        <v>19280</v>
      </c>
      <c r="D10112" t="s">
        <v>974</v>
      </c>
      <c r="E10112" t="s">
        <v>975</v>
      </c>
      <c r="F10112">
        <v>62</v>
      </c>
      <c r="G10112">
        <v>231231</v>
      </c>
      <c r="H10112">
        <v>4471</v>
      </c>
      <c r="I10112" t="s">
        <v>68</v>
      </c>
      <c r="J10112">
        <v>76.88</v>
      </c>
      <c r="K10112">
        <v>14.88</v>
      </c>
      <c r="L10112">
        <v>69501</v>
      </c>
      <c r="M10112" t="s">
        <v>185</v>
      </c>
      <c r="N10112" t="str">
        <f>"11093       "</f>
        <v xml:space="preserve">11093       </v>
      </c>
      <c r="O10112">
        <v>240116</v>
      </c>
    </row>
    <row r="10113" spans="1:15" x14ac:dyDescent="0.25">
      <c r="A10113" t="s">
        <v>16</v>
      </c>
      <c r="B10113" t="s">
        <v>3221</v>
      </c>
      <c r="C10113">
        <v>19322</v>
      </c>
      <c r="D10113" t="s">
        <v>974</v>
      </c>
      <c r="E10113" t="s">
        <v>975</v>
      </c>
      <c r="F10113">
        <v>2000</v>
      </c>
      <c r="G10113">
        <v>231231</v>
      </c>
      <c r="H10113">
        <v>4471</v>
      </c>
      <c r="I10113" t="s">
        <v>68</v>
      </c>
      <c r="J10113">
        <v>2480</v>
      </c>
      <c r="K10113">
        <v>480</v>
      </c>
      <c r="L10113">
        <v>69111</v>
      </c>
      <c r="M10113" t="s">
        <v>471</v>
      </c>
      <c r="N10113" t="str">
        <f>"11120       "</f>
        <v xml:space="preserve">11120       </v>
      </c>
      <c r="O10113">
        <v>240117</v>
      </c>
    </row>
    <row r="10114" spans="1:15" x14ac:dyDescent="0.25">
      <c r="A10114" t="s">
        <v>16</v>
      </c>
      <c r="B10114" t="s">
        <v>3221</v>
      </c>
      <c r="C10114">
        <v>5886</v>
      </c>
      <c r="D10114" t="s">
        <v>3597</v>
      </c>
      <c r="E10114" t="s">
        <v>625</v>
      </c>
      <c r="F10114">
        <v>116.13</v>
      </c>
      <c r="G10114">
        <v>230422</v>
      </c>
      <c r="H10114">
        <v>4580</v>
      </c>
      <c r="I10114" t="s">
        <v>35</v>
      </c>
      <c r="J10114">
        <v>144</v>
      </c>
      <c r="K10114">
        <v>27.87</v>
      </c>
      <c r="L10114">
        <v>67522</v>
      </c>
      <c r="M10114" t="s">
        <v>397</v>
      </c>
      <c r="N10114" t="str">
        <f>"34489       "</f>
        <v xml:space="preserve">34489       </v>
      </c>
      <c r="O10114">
        <v>230503</v>
      </c>
    </row>
    <row r="10115" spans="1:15" x14ac:dyDescent="0.25">
      <c r="A10115" t="s">
        <v>16</v>
      </c>
      <c r="B10115" t="s">
        <v>3221</v>
      </c>
      <c r="C10115">
        <v>15311</v>
      </c>
      <c r="D10115" t="s">
        <v>3597</v>
      </c>
      <c r="E10115" t="s">
        <v>625</v>
      </c>
      <c r="F10115">
        <v>127.42</v>
      </c>
      <c r="G10115">
        <v>231031</v>
      </c>
      <c r="H10115">
        <v>4580</v>
      </c>
      <c r="I10115" t="s">
        <v>35</v>
      </c>
      <c r="J10115">
        <v>158</v>
      </c>
      <c r="K10115">
        <v>30.58</v>
      </c>
      <c r="L10115">
        <v>69501</v>
      </c>
      <c r="M10115" t="s">
        <v>185</v>
      </c>
      <c r="N10115" t="str">
        <f>"35439       "</f>
        <v xml:space="preserve">35439       </v>
      </c>
      <c r="O10115">
        <v>231113</v>
      </c>
    </row>
    <row r="10116" spans="1:15" x14ac:dyDescent="0.25">
      <c r="A10116" t="s">
        <v>16</v>
      </c>
      <c r="B10116" t="s">
        <v>3221</v>
      </c>
      <c r="C10116">
        <v>614</v>
      </c>
      <c r="D10116" t="s">
        <v>3597</v>
      </c>
      <c r="E10116" t="s">
        <v>625</v>
      </c>
      <c r="F10116">
        <v>152.34</v>
      </c>
      <c r="G10116">
        <v>230124</v>
      </c>
      <c r="H10116">
        <v>4600</v>
      </c>
      <c r="I10116" t="s">
        <v>105</v>
      </c>
      <c r="J10116">
        <v>188.9</v>
      </c>
      <c r="K10116">
        <v>36.56</v>
      </c>
      <c r="L10116">
        <v>67554</v>
      </c>
      <c r="M10116" t="s">
        <v>60</v>
      </c>
      <c r="N10116" t="str">
        <f>"34006       "</f>
        <v xml:space="preserve">34006       </v>
      </c>
      <c r="O10116">
        <v>230125</v>
      </c>
    </row>
    <row r="10117" spans="1:15" x14ac:dyDescent="0.25">
      <c r="A10117" t="s">
        <v>16</v>
      </c>
      <c r="B10117" t="s">
        <v>3221</v>
      </c>
      <c r="C10117">
        <v>1230</v>
      </c>
      <c r="D10117" t="s">
        <v>3597</v>
      </c>
      <c r="E10117" t="s">
        <v>625</v>
      </c>
      <c r="F10117">
        <v>132.54</v>
      </c>
      <c r="G10117">
        <v>230203</v>
      </c>
      <c r="H10117">
        <v>4600</v>
      </c>
      <c r="I10117" t="s">
        <v>105</v>
      </c>
      <c r="J10117">
        <v>164.35</v>
      </c>
      <c r="K10117">
        <v>31.81</v>
      </c>
      <c r="L10117">
        <v>67554</v>
      </c>
      <c r="M10117" t="s">
        <v>60</v>
      </c>
      <c r="N10117" t="str">
        <f>"34065       "</f>
        <v xml:space="preserve">34065       </v>
      </c>
      <c r="O10117">
        <v>230206</v>
      </c>
    </row>
    <row r="10118" spans="1:15" x14ac:dyDescent="0.25">
      <c r="A10118" t="s">
        <v>16</v>
      </c>
      <c r="B10118" t="s">
        <v>3221</v>
      </c>
      <c r="C10118">
        <v>1481</v>
      </c>
      <c r="D10118" t="s">
        <v>3597</v>
      </c>
      <c r="E10118" t="s">
        <v>625</v>
      </c>
      <c r="F10118">
        <v>189.35</v>
      </c>
      <c r="G10118">
        <v>230206</v>
      </c>
      <c r="H10118">
        <v>4600</v>
      </c>
      <c r="I10118" t="s">
        <v>105</v>
      </c>
      <c r="J10118">
        <v>234.8</v>
      </c>
      <c r="K10118">
        <v>45.45</v>
      </c>
      <c r="L10118">
        <v>67522</v>
      </c>
      <c r="M10118" t="s">
        <v>397</v>
      </c>
      <c r="N10118" t="str">
        <f>"34082       "</f>
        <v xml:space="preserve">34082       </v>
      </c>
      <c r="O10118">
        <v>230209</v>
      </c>
    </row>
    <row r="10119" spans="1:15" x14ac:dyDescent="0.25">
      <c r="A10119" t="s">
        <v>16</v>
      </c>
      <c r="B10119" t="s">
        <v>3221</v>
      </c>
      <c r="C10119">
        <v>1962</v>
      </c>
      <c r="D10119" t="s">
        <v>3597</v>
      </c>
      <c r="E10119" t="s">
        <v>625</v>
      </c>
      <c r="F10119">
        <v>231.61</v>
      </c>
      <c r="G10119">
        <v>230214</v>
      </c>
      <c r="H10119">
        <v>4600</v>
      </c>
      <c r="I10119" t="s">
        <v>105</v>
      </c>
      <c r="J10119">
        <v>287.2</v>
      </c>
      <c r="K10119">
        <v>55.59</v>
      </c>
      <c r="L10119">
        <v>67554</v>
      </c>
      <c r="M10119" t="s">
        <v>60</v>
      </c>
      <c r="N10119" t="str">
        <f>"34103       "</f>
        <v xml:space="preserve">34103       </v>
      </c>
      <c r="O10119">
        <v>230216</v>
      </c>
    </row>
    <row r="10120" spans="1:15" x14ac:dyDescent="0.25">
      <c r="A10120" t="s">
        <v>16</v>
      </c>
      <c r="B10120" t="s">
        <v>3221</v>
      </c>
      <c r="C10120">
        <v>2248</v>
      </c>
      <c r="D10120" t="s">
        <v>3597</v>
      </c>
      <c r="E10120" t="s">
        <v>625</v>
      </c>
      <c r="F10120">
        <v>57.94</v>
      </c>
      <c r="G10120">
        <v>230214</v>
      </c>
      <c r="H10120">
        <v>4600</v>
      </c>
      <c r="I10120" t="s">
        <v>105</v>
      </c>
      <c r="J10120">
        <v>71.849999999999994</v>
      </c>
      <c r="K10120">
        <v>13.91</v>
      </c>
      <c r="L10120">
        <v>67522</v>
      </c>
      <c r="M10120" t="s">
        <v>397</v>
      </c>
      <c r="N10120" t="str">
        <f>"34102       "</f>
        <v xml:space="preserve">34102       </v>
      </c>
      <c r="O10120">
        <v>230223</v>
      </c>
    </row>
    <row r="10121" spans="1:15" x14ac:dyDescent="0.25">
      <c r="A10121" t="s">
        <v>16</v>
      </c>
      <c r="B10121" t="s">
        <v>3221</v>
      </c>
      <c r="C10121">
        <v>2248</v>
      </c>
      <c r="D10121" t="s">
        <v>3597</v>
      </c>
      <c r="E10121" t="s">
        <v>625</v>
      </c>
      <c r="F10121">
        <v>57.94</v>
      </c>
      <c r="G10121">
        <v>230214</v>
      </c>
      <c r="H10121">
        <v>4600</v>
      </c>
      <c r="I10121" t="s">
        <v>105</v>
      </c>
      <c r="J10121">
        <v>71.849999999999994</v>
      </c>
      <c r="K10121">
        <v>13.91</v>
      </c>
      <c r="L10121">
        <v>67522</v>
      </c>
      <c r="M10121" t="s">
        <v>397</v>
      </c>
      <c r="N10121" t="str">
        <f>"34102       "</f>
        <v xml:space="preserve">34102       </v>
      </c>
      <c r="O10121">
        <v>230223</v>
      </c>
    </row>
    <row r="10122" spans="1:15" x14ac:dyDescent="0.25">
      <c r="A10122" t="s">
        <v>16</v>
      </c>
      <c r="B10122" t="s">
        <v>3221</v>
      </c>
      <c r="C10122">
        <v>2594</v>
      </c>
      <c r="D10122" t="s">
        <v>3597</v>
      </c>
      <c r="E10122" t="s">
        <v>625</v>
      </c>
      <c r="F10122">
        <v>19.649999999999999</v>
      </c>
      <c r="G10122">
        <v>230228</v>
      </c>
      <c r="H10122">
        <v>4600</v>
      </c>
      <c r="I10122" t="s">
        <v>105</v>
      </c>
      <c r="J10122">
        <v>24.36</v>
      </c>
      <c r="K10122">
        <v>4.71</v>
      </c>
      <c r="L10122">
        <v>67554</v>
      </c>
      <c r="M10122" t="s">
        <v>60</v>
      </c>
      <c r="N10122" t="str">
        <f>"34250       "</f>
        <v xml:space="preserve">34250       </v>
      </c>
      <c r="O10122">
        <v>230302</v>
      </c>
    </row>
    <row r="10123" spans="1:15" x14ac:dyDescent="0.25">
      <c r="A10123" t="s">
        <v>16</v>
      </c>
      <c r="B10123" t="s">
        <v>3221</v>
      </c>
      <c r="C10123">
        <v>2674</v>
      </c>
      <c r="D10123" t="s">
        <v>3597</v>
      </c>
      <c r="E10123" t="s">
        <v>625</v>
      </c>
      <c r="F10123">
        <v>78</v>
      </c>
      <c r="G10123">
        <v>230224</v>
      </c>
      <c r="H10123">
        <v>4600</v>
      </c>
      <c r="I10123" t="s">
        <v>105</v>
      </c>
      <c r="J10123">
        <v>96.72</v>
      </c>
      <c r="K10123">
        <v>18.72</v>
      </c>
      <c r="L10123">
        <v>56568</v>
      </c>
      <c r="M10123" t="s">
        <v>268</v>
      </c>
      <c r="N10123" t="str">
        <f>"3000580     "</f>
        <v xml:space="preserve">3000580     </v>
      </c>
      <c r="O10123">
        <v>230306</v>
      </c>
    </row>
    <row r="10124" spans="1:15" x14ac:dyDescent="0.25">
      <c r="A10124" t="s">
        <v>16</v>
      </c>
      <c r="B10124" t="s">
        <v>3221</v>
      </c>
      <c r="C10124">
        <v>3098</v>
      </c>
      <c r="D10124" t="s">
        <v>3597</v>
      </c>
      <c r="E10124" t="s">
        <v>625</v>
      </c>
      <c r="F10124">
        <v>35.94</v>
      </c>
      <c r="G10124">
        <v>230302</v>
      </c>
      <c r="H10124">
        <v>4600</v>
      </c>
      <c r="I10124" t="s">
        <v>105</v>
      </c>
      <c r="J10124">
        <v>44.57</v>
      </c>
      <c r="K10124">
        <v>8.6300000000000008</v>
      </c>
      <c r="L10124">
        <v>67522</v>
      </c>
      <c r="M10124" t="s">
        <v>397</v>
      </c>
      <c r="N10124" t="str">
        <f>"34261       "</f>
        <v xml:space="preserve">34261       </v>
      </c>
      <c r="O10124">
        <v>230309</v>
      </c>
    </row>
    <row r="10125" spans="1:15" x14ac:dyDescent="0.25">
      <c r="A10125" t="s">
        <v>16</v>
      </c>
      <c r="B10125" t="s">
        <v>3221</v>
      </c>
      <c r="C10125">
        <v>3760</v>
      </c>
      <c r="D10125" t="s">
        <v>3597</v>
      </c>
      <c r="E10125" t="s">
        <v>625</v>
      </c>
      <c r="F10125">
        <v>325.04000000000002</v>
      </c>
      <c r="G10125">
        <v>230318</v>
      </c>
      <c r="H10125">
        <v>4600</v>
      </c>
      <c r="I10125" t="s">
        <v>105</v>
      </c>
      <c r="J10125">
        <v>403.05</v>
      </c>
      <c r="K10125">
        <v>78.010000000000005</v>
      </c>
      <c r="L10125">
        <v>69501</v>
      </c>
      <c r="M10125" t="s">
        <v>185</v>
      </c>
      <c r="N10125" t="str">
        <f>"34300       "</f>
        <v xml:space="preserve">34300       </v>
      </c>
      <c r="O10125">
        <v>230321</v>
      </c>
    </row>
    <row r="10126" spans="1:15" x14ac:dyDescent="0.25">
      <c r="A10126" t="s">
        <v>16</v>
      </c>
      <c r="B10126" t="s">
        <v>3221</v>
      </c>
      <c r="C10126">
        <v>3889</v>
      </c>
      <c r="D10126" t="s">
        <v>3597</v>
      </c>
      <c r="E10126" t="s">
        <v>625</v>
      </c>
      <c r="F10126">
        <v>66.95</v>
      </c>
      <c r="G10126">
        <v>230321</v>
      </c>
      <c r="H10126">
        <v>4600</v>
      </c>
      <c r="I10126" t="s">
        <v>105</v>
      </c>
      <c r="J10126">
        <v>83.02</v>
      </c>
      <c r="K10126">
        <v>16.07</v>
      </c>
      <c r="L10126">
        <v>67554</v>
      </c>
      <c r="M10126" t="s">
        <v>60</v>
      </c>
      <c r="N10126" t="str">
        <f>"34346       "</f>
        <v xml:space="preserve">34346       </v>
      </c>
      <c r="O10126">
        <v>230324</v>
      </c>
    </row>
    <row r="10127" spans="1:15" x14ac:dyDescent="0.25">
      <c r="A10127" t="s">
        <v>16</v>
      </c>
      <c r="B10127" t="s">
        <v>3221</v>
      </c>
      <c r="C10127">
        <v>3968</v>
      </c>
      <c r="D10127" t="s">
        <v>3597</v>
      </c>
      <c r="E10127" t="s">
        <v>625</v>
      </c>
      <c r="F10127">
        <v>170.04</v>
      </c>
      <c r="G10127">
        <v>230324</v>
      </c>
      <c r="H10127">
        <v>4600</v>
      </c>
      <c r="I10127" t="s">
        <v>105</v>
      </c>
      <c r="J10127">
        <v>210.85</v>
      </c>
      <c r="K10127">
        <v>40.81</v>
      </c>
      <c r="L10127">
        <v>56568</v>
      </c>
      <c r="M10127" t="s">
        <v>268</v>
      </c>
      <c r="N10127" t="str">
        <f>"3000633     "</f>
        <v xml:space="preserve">3000633     </v>
      </c>
      <c r="O10127">
        <v>230328</v>
      </c>
    </row>
    <row r="10128" spans="1:15" x14ac:dyDescent="0.25">
      <c r="A10128" t="s">
        <v>16</v>
      </c>
      <c r="B10128" t="s">
        <v>3221</v>
      </c>
      <c r="C10128">
        <v>4611</v>
      </c>
      <c r="D10128" t="s">
        <v>3597</v>
      </c>
      <c r="E10128" t="s">
        <v>625</v>
      </c>
      <c r="F10128">
        <v>331.76</v>
      </c>
      <c r="G10128">
        <v>230331</v>
      </c>
      <c r="H10128">
        <v>4600</v>
      </c>
      <c r="I10128" t="s">
        <v>105</v>
      </c>
      <c r="J10128">
        <v>411.38</v>
      </c>
      <c r="K10128">
        <v>79.62</v>
      </c>
      <c r="L10128">
        <v>56568</v>
      </c>
      <c r="M10128" t="s">
        <v>268</v>
      </c>
      <c r="N10128" t="str">
        <f>"3000656     "</f>
        <v xml:space="preserve">3000656     </v>
      </c>
      <c r="O10128">
        <v>230411</v>
      </c>
    </row>
    <row r="10129" spans="1:15" x14ac:dyDescent="0.25">
      <c r="A10129" t="s">
        <v>16</v>
      </c>
      <c r="B10129" t="s">
        <v>3221</v>
      </c>
      <c r="C10129">
        <v>5620</v>
      </c>
      <c r="D10129" t="s">
        <v>3597</v>
      </c>
      <c r="E10129" t="s">
        <v>625</v>
      </c>
      <c r="F10129">
        <v>187.62</v>
      </c>
      <c r="G10129">
        <v>230423</v>
      </c>
      <c r="H10129">
        <v>4600</v>
      </c>
      <c r="I10129" t="s">
        <v>105</v>
      </c>
      <c r="J10129">
        <v>232.65</v>
      </c>
      <c r="K10129">
        <v>45.03</v>
      </c>
      <c r="L10129">
        <v>67522</v>
      </c>
      <c r="M10129" t="s">
        <v>397</v>
      </c>
      <c r="N10129" t="str">
        <f>"34533       "</f>
        <v xml:space="preserve">34533       </v>
      </c>
      <c r="O10129">
        <v>230428</v>
      </c>
    </row>
    <row r="10130" spans="1:15" x14ac:dyDescent="0.25">
      <c r="A10130" t="s">
        <v>16</v>
      </c>
      <c r="B10130" t="s">
        <v>3221</v>
      </c>
      <c r="C10130">
        <v>5886</v>
      </c>
      <c r="D10130" t="s">
        <v>3597</v>
      </c>
      <c r="E10130" t="s">
        <v>625</v>
      </c>
      <c r="F10130">
        <v>19.21</v>
      </c>
      <c r="G10130">
        <v>230422</v>
      </c>
      <c r="H10130">
        <v>4600</v>
      </c>
      <c r="I10130" t="s">
        <v>105</v>
      </c>
      <c r="J10130">
        <v>23.82</v>
      </c>
      <c r="K10130">
        <v>4.6100000000000003</v>
      </c>
      <c r="L10130">
        <v>69501</v>
      </c>
      <c r="M10130" t="s">
        <v>185</v>
      </c>
      <c r="N10130" t="str">
        <f>"34489       "</f>
        <v xml:space="preserve">34489       </v>
      </c>
      <c r="O10130">
        <v>230503</v>
      </c>
    </row>
    <row r="10131" spans="1:15" x14ac:dyDescent="0.25">
      <c r="A10131" t="s">
        <v>16</v>
      </c>
      <c r="B10131" t="s">
        <v>3221</v>
      </c>
      <c r="C10131">
        <v>5887</v>
      </c>
      <c r="D10131" t="s">
        <v>3597</v>
      </c>
      <c r="E10131" t="s">
        <v>625</v>
      </c>
      <c r="F10131">
        <v>107.27</v>
      </c>
      <c r="G10131">
        <v>230423</v>
      </c>
      <c r="H10131">
        <v>4600</v>
      </c>
      <c r="I10131" t="s">
        <v>105</v>
      </c>
      <c r="J10131">
        <v>133.02000000000001</v>
      </c>
      <c r="K10131">
        <v>25.75</v>
      </c>
      <c r="L10131">
        <v>67522</v>
      </c>
      <c r="M10131" t="s">
        <v>397</v>
      </c>
      <c r="N10131" t="str">
        <f>"34529       "</f>
        <v xml:space="preserve">34529       </v>
      </c>
      <c r="O10131">
        <v>230503</v>
      </c>
    </row>
    <row r="10132" spans="1:15" x14ac:dyDescent="0.25">
      <c r="A10132" t="s">
        <v>16</v>
      </c>
      <c r="B10132" t="s">
        <v>3221</v>
      </c>
      <c r="C10132">
        <v>5896</v>
      </c>
      <c r="D10132" t="s">
        <v>3597</v>
      </c>
      <c r="E10132" t="s">
        <v>625</v>
      </c>
      <c r="F10132">
        <v>5.32</v>
      </c>
      <c r="G10132">
        <v>230429</v>
      </c>
      <c r="H10132">
        <v>4600</v>
      </c>
      <c r="I10132" t="s">
        <v>105</v>
      </c>
      <c r="J10132">
        <v>6.6</v>
      </c>
      <c r="K10132">
        <v>1.28</v>
      </c>
      <c r="L10132">
        <v>67522</v>
      </c>
      <c r="M10132" t="s">
        <v>397</v>
      </c>
      <c r="N10132" t="str">
        <f>"34638       "</f>
        <v xml:space="preserve">34638       </v>
      </c>
      <c r="O10132">
        <v>230503</v>
      </c>
    </row>
    <row r="10133" spans="1:15" x14ac:dyDescent="0.25">
      <c r="A10133" t="s">
        <v>16</v>
      </c>
      <c r="B10133" t="s">
        <v>3221</v>
      </c>
      <c r="C10133">
        <v>6911</v>
      </c>
      <c r="D10133" t="s">
        <v>3597</v>
      </c>
      <c r="E10133" t="s">
        <v>625</v>
      </c>
      <c r="F10133">
        <v>37.61</v>
      </c>
      <c r="G10133">
        <v>230520</v>
      </c>
      <c r="H10133">
        <v>4600</v>
      </c>
      <c r="I10133" t="s">
        <v>105</v>
      </c>
      <c r="J10133">
        <v>46.64</v>
      </c>
      <c r="K10133">
        <v>9.0299999999999994</v>
      </c>
      <c r="L10133">
        <v>67554</v>
      </c>
      <c r="M10133" t="s">
        <v>60</v>
      </c>
      <c r="N10133" t="str">
        <f>"34762       "</f>
        <v xml:space="preserve">34762       </v>
      </c>
      <c r="O10133">
        <v>230523</v>
      </c>
    </row>
    <row r="10134" spans="1:15" x14ac:dyDescent="0.25">
      <c r="A10134" t="s">
        <v>16</v>
      </c>
      <c r="B10134" t="s">
        <v>3221</v>
      </c>
      <c r="C10134">
        <v>8061</v>
      </c>
      <c r="D10134" t="s">
        <v>3597</v>
      </c>
      <c r="E10134" t="s">
        <v>625</v>
      </c>
      <c r="F10134">
        <v>12.35</v>
      </c>
      <c r="G10134">
        <v>230601</v>
      </c>
      <c r="H10134">
        <v>4600</v>
      </c>
      <c r="I10134" t="s">
        <v>105</v>
      </c>
      <c r="J10134">
        <v>15.31</v>
      </c>
      <c r="K10134">
        <v>2.96</v>
      </c>
      <c r="L10134">
        <v>67522</v>
      </c>
      <c r="M10134" t="s">
        <v>397</v>
      </c>
      <c r="N10134" t="str">
        <f>"34898       "</f>
        <v xml:space="preserve">34898       </v>
      </c>
      <c r="O10134">
        <v>230607</v>
      </c>
    </row>
    <row r="10135" spans="1:15" x14ac:dyDescent="0.25">
      <c r="A10135" t="s">
        <v>16</v>
      </c>
      <c r="B10135" t="s">
        <v>3221</v>
      </c>
      <c r="C10135">
        <v>8574</v>
      </c>
      <c r="D10135" t="s">
        <v>3597</v>
      </c>
      <c r="E10135" t="s">
        <v>625</v>
      </c>
      <c r="F10135">
        <v>338.35</v>
      </c>
      <c r="G10135">
        <v>230609</v>
      </c>
      <c r="H10135">
        <v>4600</v>
      </c>
      <c r="I10135" t="s">
        <v>105</v>
      </c>
      <c r="J10135">
        <v>419.55</v>
      </c>
      <c r="K10135">
        <v>81.2</v>
      </c>
      <c r="L10135">
        <v>56568</v>
      </c>
      <c r="M10135" t="s">
        <v>268</v>
      </c>
      <c r="N10135" t="str">
        <f>"3000802     "</f>
        <v xml:space="preserve">3000802     </v>
      </c>
      <c r="O10135">
        <v>230612</v>
      </c>
    </row>
    <row r="10136" spans="1:15" x14ac:dyDescent="0.25">
      <c r="A10136" t="s">
        <v>16</v>
      </c>
      <c r="B10136" t="s">
        <v>3221</v>
      </c>
      <c r="C10136">
        <v>13993</v>
      </c>
      <c r="D10136" t="s">
        <v>3597</v>
      </c>
      <c r="E10136" t="s">
        <v>625</v>
      </c>
      <c r="F10136">
        <v>16.03</v>
      </c>
      <c r="G10136">
        <v>231012</v>
      </c>
      <c r="H10136">
        <v>4600</v>
      </c>
      <c r="I10136" t="s">
        <v>105</v>
      </c>
      <c r="J10136">
        <v>19.88</v>
      </c>
      <c r="K10136">
        <v>3.85</v>
      </c>
      <c r="L10136">
        <v>69501</v>
      </c>
      <c r="M10136" t="s">
        <v>185</v>
      </c>
      <c r="N10136" t="str">
        <f>"35383       "</f>
        <v xml:space="preserve">35383       </v>
      </c>
      <c r="O10136">
        <v>231017</v>
      </c>
    </row>
    <row r="10137" spans="1:15" x14ac:dyDescent="0.25">
      <c r="A10137" t="s">
        <v>16</v>
      </c>
      <c r="B10137" t="s">
        <v>3221</v>
      </c>
      <c r="C10137">
        <v>16004</v>
      </c>
      <c r="D10137" t="s">
        <v>3597</v>
      </c>
      <c r="E10137" t="s">
        <v>625</v>
      </c>
      <c r="F10137">
        <v>387.76</v>
      </c>
      <c r="G10137">
        <v>231116</v>
      </c>
      <c r="H10137">
        <v>4600</v>
      </c>
      <c r="I10137" t="s">
        <v>105</v>
      </c>
      <c r="J10137">
        <v>480.82</v>
      </c>
      <c r="K10137">
        <v>93.06</v>
      </c>
      <c r="L10137">
        <v>66754</v>
      </c>
      <c r="M10137" t="s">
        <v>239</v>
      </c>
      <c r="N10137" t="str">
        <f>"35530       "</f>
        <v xml:space="preserve">35530       </v>
      </c>
      <c r="O10137">
        <v>231122</v>
      </c>
    </row>
    <row r="10138" spans="1:15" x14ac:dyDescent="0.25">
      <c r="A10138" t="s">
        <v>16</v>
      </c>
      <c r="B10138" t="s">
        <v>3221</v>
      </c>
      <c r="C10138">
        <v>18066</v>
      </c>
      <c r="D10138" t="s">
        <v>3597</v>
      </c>
      <c r="E10138" t="s">
        <v>625</v>
      </c>
      <c r="F10138">
        <v>281.20999999999998</v>
      </c>
      <c r="G10138">
        <v>231219</v>
      </c>
      <c r="H10138">
        <v>4600</v>
      </c>
      <c r="I10138" t="s">
        <v>105</v>
      </c>
      <c r="J10138">
        <v>348.7</v>
      </c>
      <c r="K10138">
        <v>67.489999999999995</v>
      </c>
      <c r="L10138">
        <v>67522</v>
      </c>
      <c r="M10138" t="s">
        <v>397</v>
      </c>
      <c r="N10138" t="str">
        <f>"35646       "</f>
        <v xml:space="preserve">35646       </v>
      </c>
      <c r="O10138">
        <v>240102</v>
      </c>
    </row>
    <row r="10139" spans="1:15" x14ac:dyDescent="0.25">
      <c r="A10139" t="s">
        <v>16</v>
      </c>
      <c r="B10139" t="s">
        <v>3221</v>
      </c>
      <c r="C10139">
        <v>18089</v>
      </c>
      <c r="D10139" t="s">
        <v>3597</v>
      </c>
      <c r="E10139" t="s">
        <v>625</v>
      </c>
      <c r="F10139">
        <v>238.35</v>
      </c>
      <c r="G10139">
        <v>231219</v>
      </c>
      <c r="H10139">
        <v>4600</v>
      </c>
      <c r="I10139" t="s">
        <v>105</v>
      </c>
      <c r="J10139">
        <v>295.56</v>
      </c>
      <c r="K10139">
        <v>57.21</v>
      </c>
      <c r="L10139">
        <v>67522</v>
      </c>
      <c r="M10139" t="s">
        <v>397</v>
      </c>
      <c r="N10139" t="str">
        <f>"35633       "</f>
        <v xml:space="preserve">35633       </v>
      </c>
      <c r="O10139">
        <v>240102</v>
      </c>
    </row>
    <row r="10140" spans="1:15" x14ac:dyDescent="0.25">
      <c r="A10140" t="s">
        <v>16</v>
      </c>
      <c r="B10140" t="s">
        <v>3221</v>
      </c>
      <c r="C10140">
        <v>18089</v>
      </c>
      <c r="D10140" t="s">
        <v>3597</v>
      </c>
      <c r="E10140" t="s">
        <v>625</v>
      </c>
      <c r="F10140">
        <v>238.35</v>
      </c>
      <c r="G10140">
        <v>231219</v>
      </c>
      <c r="H10140">
        <v>4600</v>
      </c>
      <c r="I10140" t="s">
        <v>105</v>
      </c>
      <c r="J10140">
        <v>295.56</v>
      </c>
      <c r="K10140">
        <v>57.21</v>
      </c>
      <c r="L10140">
        <v>67522</v>
      </c>
      <c r="M10140" t="s">
        <v>397</v>
      </c>
      <c r="N10140" t="str">
        <f>"35633       "</f>
        <v xml:space="preserve">35633       </v>
      </c>
      <c r="O10140">
        <v>240102</v>
      </c>
    </row>
    <row r="10141" spans="1:15" x14ac:dyDescent="0.25">
      <c r="A10141" t="s">
        <v>16</v>
      </c>
      <c r="B10141" t="s">
        <v>3221</v>
      </c>
      <c r="C10141">
        <v>18089</v>
      </c>
      <c r="D10141" t="s">
        <v>3597</v>
      </c>
      <c r="E10141" t="s">
        <v>625</v>
      </c>
      <c r="F10141">
        <v>18.940000000000001</v>
      </c>
      <c r="G10141">
        <v>231219</v>
      </c>
      <c r="H10141">
        <v>4600</v>
      </c>
      <c r="I10141" t="s">
        <v>105</v>
      </c>
      <c r="J10141">
        <v>23.48</v>
      </c>
      <c r="K10141">
        <v>4.54</v>
      </c>
      <c r="L10141">
        <v>69501</v>
      </c>
      <c r="M10141" t="s">
        <v>185</v>
      </c>
      <c r="N10141" t="str">
        <f>"35633       "</f>
        <v xml:space="preserve">35633       </v>
      </c>
      <c r="O10141">
        <v>240102</v>
      </c>
    </row>
    <row r="10142" spans="1:15" x14ac:dyDescent="0.25">
      <c r="A10142" t="s">
        <v>16</v>
      </c>
      <c r="B10142" t="s">
        <v>3221</v>
      </c>
      <c r="C10142">
        <v>18254</v>
      </c>
      <c r="D10142" t="s">
        <v>3597</v>
      </c>
      <c r="E10142" t="s">
        <v>625</v>
      </c>
      <c r="F10142">
        <v>86.21</v>
      </c>
      <c r="G10142">
        <v>231221</v>
      </c>
      <c r="H10142">
        <v>4555</v>
      </c>
      <c r="I10142" t="s">
        <v>481</v>
      </c>
      <c r="J10142">
        <v>106.9</v>
      </c>
      <c r="K10142">
        <v>20.69</v>
      </c>
      <c r="L10142">
        <v>67554</v>
      </c>
      <c r="M10142" t="s">
        <v>60</v>
      </c>
      <c r="N10142" t="str">
        <f>"35739       "</f>
        <v xml:space="preserve">35739       </v>
      </c>
      <c r="O10142">
        <v>240102</v>
      </c>
    </row>
    <row r="10143" spans="1:15" x14ac:dyDescent="0.25">
      <c r="A10143" t="s">
        <v>16</v>
      </c>
      <c r="B10143" t="s">
        <v>3221</v>
      </c>
      <c r="C10143">
        <v>578</v>
      </c>
      <c r="D10143" t="s">
        <v>3597</v>
      </c>
      <c r="E10143" t="s">
        <v>625</v>
      </c>
      <c r="F10143">
        <v>1354.84</v>
      </c>
      <c r="G10143">
        <v>230123</v>
      </c>
      <c r="H10143">
        <v>4560</v>
      </c>
      <c r="I10143" t="s">
        <v>345</v>
      </c>
      <c r="J10143">
        <v>1680</v>
      </c>
      <c r="K10143">
        <v>325.16000000000003</v>
      </c>
      <c r="L10143">
        <v>67522</v>
      </c>
      <c r="M10143" t="s">
        <v>397</v>
      </c>
      <c r="N10143" t="str">
        <f>"33976       "</f>
        <v xml:space="preserve">33976       </v>
      </c>
      <c r="O10143">
        <v>230124</v>
      </c>
    </row>
    <row r="10144" spans="1:15" x14ac:dyDescent="0.25">
      <c r="A10144" t="s">
        <v>16</v>
      </c>
      <c r="B10144" t="s">
        <v>3221</v>
      </c>
      <c r="C10144">
        <v>5886</v>
      </c>
      <c r="D10144" t="s">
        <v>3597</v>
      </c>
      <c r="E10144" t="s">
        <v>625</v>
      </c>
      <c r="F10144">
        <v>41.88</v>
      </c>
      <c r="G10144">
        <v>230422</v>
      </c>
      <c r="H10144">
        <v>4560</v>
      </c>
      <c r="I10144" t="s">
        <v>345</v>
      </c>
      <c r="J10144">
        <v>51.93</v>
      </c>
      <c r="K10144">
        <v>10.050000000000001</v>
      </c>
      <c r="L10144">
        <v>67522</v>
      </c>
      <c r="M10144" t="s">
        <v>397</v>
      </c>
      <c r="N10144" t="str">
        <f>"34489       "</f>
        <v xml:space="preserve">34489       </v>
      </c>
      <c r="O10144">
        <v>230503</v>
      </c>
    </row>
    <row r="10145" spans="1:15" x14ac:dyDescent="0.25">
      <c r="A10145" t="s">
        <v>16</v>
      </c>
      <c r="B10145" t="s">
        <v>3221</v>
      </c>
      <c r="C10145">
        <v>5887</v>
      </c>
      <c r="D10145" t="s">
        <v>3597</v>
      </c>
      <c r="E10145" t="s">
        <v>625</v>
      </c>
      <c r="F10145">
        <v>45.1</v>
      </c>
      <c r="G10145">
        <v>230423</v>
      </c>
      <c r="H10145">
        <v>4560</v>
      </c>
      <c r="I10145" t="s">
        <v>345</v>
      </c>
      <c r="J10145">
        <v>55.93</v>
      </c>
      <c r="K10145">
        <v>10.83</v>
      </c>
      <c r="L10145">
        <v>67522</v>
      </c>
      <c r="M10145" t="s">
        <v>397</v>
      </c>
      <c r="N10145" t="str">
        <f>"34529       "</f>
        <v xml:space="preserve">34529       </v>
      </c>
      <c r="O10145">
        <v>230503</v>
      </c>
    </row>
    <row r="10146" spans="1:15" x14ac:dyDescent="0.25">
      <c r="A10146" t="s">
        <v>16</v>
      </c>
      <c r="B10146" t="s">
        <v>3221</v>
      </c>
      <c r="C10146">
        <v>13993</v>
      </c>
      <c r="D10146" t="s">
        <v>3597</v>
      </c>
      <c r="E10146" t="s">
        <v>625</v>
      </c>
      <c r="F10146">
        <v>16.18</v>
      </c>
      <c r="G10146">
        <v>231012</v>
      </c>
      <c r="H10146">
        <v>4560</v>
      </c>
      <c r="I10146" t="s">
        <v>345</v>
      </c>
      <c r="J10146">
        <v>20.059999999999999</v>
      </c>
      <c r="K10146">
        <v>3.88</v>
      </c>
      <c r="L10146">
        <v>69501</v>
      </c>
      <c r="M10146" t="s">
        <v>185</v>
      </c>
      <c r="N10146" t="str">
        <f>"35383       "</f>
        <v xml:space="preserve">35383       </v>
      </c>
      <c r="O10146">
        <v>231017</v>
      </c>
    </row>
    <row r="10147" spans="1:15" x14ac:dyDescent="0.25">
      <c r="A10147" t="s">
        <v>16</v>
      </c>
      <c r="B10147" t="s">
        <v>3221</v>
      </c>
      <c r="C10147">
        <v>5896</v>
      </c>
      <c r="D10147" t="s">
        <v>3597</v>
      </c>
      <c r="E10147" t="s">
        <v>625</v>
      </c>
      <c r="F10147">
        <v>9.15</v>
      </c>
      <c r="G10147">
        <v>230429</v>
      </c>
      <c r="H10147">
        <v>4590</v>
      </c>
      <c r="I10147" t="s">
        <v>203</v>
      </c>
      <c r="J10147">
        <v>11.35</v>
      </c>
      <c r="K10147">
        <v>2.2000000000000002</v>
      </c>
      <c r="L10147">
        <v>69501</v>
      </c>
      <c r="M10147" t="s">
        <v>185</v>
      </c>
      <c r="N10147" t="str">
        <f>"34638       "</f>
        <v xml:space="preserve">34638       </v>
      </c>
      <c r="O10147">
        <v>230503</v>
      </c>
    </row>
    <row r="10148" spans="1:15" x14ac:dyDescent="0.25">
      <c r="A10148" t="s">
        <v>16</v>
      </c>
      <c r="B10148" t="s">
        <v>3221</v>
      </c>
      <c r="C10148">
        <v>16004</v>
      </c>
      <c r="D10148" t="s">
        <v>3597</v>
      </c>
      <c r="E10148" t="s">
        <v>625</v>
      </c>
      <c r="F10148">
        <v>39.54</v>
      </c>
      <c r="G10148">
        <v>231116</v>
      </c>
      <c r="H10148">
        <v>4590</v>
      </c>
      <c r="I10148" t="s">
        <v>203</v>
      </c>
      <c r="J10148">
        <v>49.03</v>
      </c>
      <c r="K10148">
        <v>9.49</v>
      </c>
      <c r="L10148">
        <v>69501</v>
      </c>
      <c r="M10148" t="s">
        <v>185</v>
      </c>
      <c r="N10148" t="str">
        <f>"35530       "</f>
        <v xml:space="preserve">35530       </v>
      </c>
      <c r="O10148">
        <v>231122</v>
      </c>
    </row>
    <row r="10149" spans="1:15" x14ac:dyDescent="0.25">
      <c r="A10149" t="s">
        <v>16</v>
      </c>
      <c r="B10149" t="s">
        <v>3221</v>
      </c>
      <c r="C10149">
        <v>2594</v>
      </c>
      <c r="D10149" t="s">
        <v>3597</v>
      </c>
      <c r="E10149" t="s">
        <v>625</v>
      </c>
      <c r="F10149">
        <v>37.520000000000003</v>
      </c>
      <c r="G10149">
        <v>230228</v>
      </c>
      <c r="H10149">
        <v>4550</v>
      </c>
      <c r="I10149" t="s">
        <v>312</v>
      </c>
      <c r="J10149">
        <v>46.53</v>
      </c>
      <c r="K10149">
        <v>9.01</v>
      </c>
      <c r="L10149">
        <v>67554</v>
      </c>
      <c r="M10149" t="s">
        <v>60</v>
      </c>
      <c r="N10149" t="str">
        <f>"34250       "</f>
        <v xml:space="preserve">34250       </v>
      </c>
      <c r="O10149">
        <v>230302</v>
      </c>
    </row>
    <row r="10150" spans="1:15" x14ac:dyDescent="0.25">
      <c r="A10150" t="s">
        <v>16</v>
      </c>
      <c r="B10150" t="s">
        <v>3221</v>
      </c>
      <c r="C10150">
        <v>15311</v>
      </c>
      <c r="D10150" t="s">
        <v>3597</v>
      </c>
      <c r="E10150" t="s">
        <v>625</v>
      </c>
      <c r="F10150">
        <v>48.23</v>
      </c>
      <c r="G10150">
        <v>231031</v>
      </c>
      <c r="H10150">
        <v>4550</v>
      </c>
      <c r="I10150" t="s">
        <v>312</v>
      </c>
      <c r="J10150">
        <v>59.8</v>
      </c>
      <c r="K10150">
        <v>11.57</v>
      </c>
      <c r="L10150">
        <v>69501</v>
      </c>
      <c r="M10150" t="s">
        <v>185</v>
      </c>
      <c r="N10150" t="str">
        <f>"35439       "</f>
        <v xml:space="preserve">35439       </v>
      </c>
      <c r="O10150">
        <v>231113</v>
      </c>
    </row>
    <row r="10151" spans="1:15" x14ac:dyDescent="0.25">
      <c r="A10151" t="s">
        <v>16</v>
      </c>
      <c r="B10151" t="s">
        <v>3221</v>
      </c>
      <c r="C10151">
        <v>13993</v>
      </c>
      <c r="D10151" t="s">
        <v>3597</v>
      </c>
      <c r="E10151" t="s">
        <v>625</v>
      </c>
      <c r="F10151">
        <v>35.94</v>
      </c>
      <c r="G10151">
        <v>231012</v>
      </c>
      <c r="H10151">
        <v>4530</v>
      </c>
      <c r="I10151" t="s">
        <v>342</v>
      </c>
      <c r="J10151">
        <v>44.57</v>
      </c>
      <c r="K10151">
        <v>8.6300000000000008</v>
      </c>
      <c r="L10151">
        <v>69501</v>
      </c>
      <c r="M10151" t="s">
        <v>185</v>
      </c>
      <c r="N10151" t="str">
        <f>"35383       "</f>
        <v xml:space="preserve">35383       </v>
      </c>
      <c r="O10151">
        <v>231017</v>
      </c>
    </row>
    <row r="10152" spans="1:15" x14ac:dyDescent="0.25">
      <c r="A10152" t="s">
        <v>16</v>
      </c>
      <c r="B10152" t="s">
        <v>3221</v>
      </c>
      <c r="C10152">
        <v>1230</v>
      </c>
      <c r="D10152" t="s">
        <v>3599</v>
      </c>
      <c r="E10152" t="s">
        <v>625</v>
      </c>
      <c r="F10152">
        <v>241.13</v>
      </c>
      <c r="G10152">
        <v>230203</v>
      </c>
      <c r="H10152">
        <v>4580</v>
      </c>
      <c r="I10152" t="s">
        <v>35</v>
      </c>
      <c r="J10152">
        <v>299</v>
      </c>
      <c r="K10152">
        <v>57.87</v>
      </c>
      <c r="L10152">
        <v>66754</v>
      </c>
      <c r="M10152" t="s">
        <v>239</v>
      </c>
      <c r="N10152" t="str">
        <f>"34065       "</f>
        <v xml:space="preserve">34065       </v>
      </c>
      <c r="O10152">
        <v>230206</v>
      </c>
    </row>
    <row r="10153" spans="1:15" x14ac:dyDescent="0.25">
      <c r="A10153" t="s">
        <v>16</v>
      </c>
      <c r="B10153" t="s">
        <v>3221</v>
      </c>
      <c r="C10153">
        <v>2141</v>
      </c>
      <c r="D10153" t="s">
        <v>3599</v>
      </c>
      <c r="E10153" t="s">
        <v>625</v>
      </c>
      <c r="F10153">
        <v>133.99</v>
      </c>
      <c r="G10153">
        <v>230215</v>
      </c>
      <c r="H10153">
        <v>4580</v>
      </c>
      <c r="I10153" t="s">
        <v>35</v>
      </c>
      <c r="J10153">
        <v>166.15</v>
      </c>
      <c r="K10153">
        <v>32.159999999999997</v>
      </c>
      <c r="L10153">
        <v>67522</v>
      </c>
      <c r="M10153" t="s">
        <v>397</v>
      </c>
      <c r="N10153" t="str">
        <f>"34173       "</f>
        <v xml:space="preserve">34173       </v>
      </c>
      <c r="O10153">
        <v>230221</v>
      </c>
    </row>
    <row r="10154" spans="1:15" x14ac:dyDescent="0.25">
      <c r="A10154" t="s">
        <v>16</v>
      </c>
      <c r="B10154" t="s">
        <v>3221</v>
      </c>
      <c r="C10154">
        <v>13993</v>
      </c>
      <c r="D10154" t="s">
        <v>3599</v>
      </c>
      <c r="E10154" t="s">
        <v>625</v>
      </c>
      <c r="F10154">
        <v>120.97</v>
      </c>
      <c r="G10154">
        <v>231012</v>
      </c>
      <c r="H10154">
        <v>4580</v>
      </c>
      <c r="I10154" t="s">
        <v>35</v>
      </c>
      <c r="J10154">
        <v>150</v>
      </c>
      <c r="K10154">
        <v>29.03</v>
      </c>
      <c r="L10154">
        <v>69501</v>
      </c>
      <c r="M10154" t="s">
        <v>185</v>
      </c>
      <c r="N10154" t="str">
        <f>"35383       "</f>
        <v xml:space="preserve">35383       </v>
      </c>
      <c r="O10154">
        <v>231017</v>
      </c>
    </row>
    <row r="10155" spans="1:15" x14ac:dyDescent="0.25">
      <c r="A10155" t="s">
        <v>16</v>
      </c>
      <c r="B10155" t="s">
        <v>3221</v>
      </c>
      <c r="C10155">
        <v>1344</v>
      </c>
      <c r="D10155" t="s">
        <v>3599</v>
      </c>
      <c r="E10155" t="s">
        <v>625</v>
      </c>
      <c r="F10155">
        <v>124.41</v>
      </c>
      <c r="G10155">
        <v>230131</v>
      </c>
      <c r="H10155">
        <v>4600</v>
      </c>
      <c r="I10155" t="s">
        <v>105</v>
      </c>
      <c r="J10155">
        <v>154.27000000000001</v>
      </c>
      <c r="K10155">
        <v>29.86</v>
      </c>
      <c r="L10155">
        <v>56568</v>
      </c>
      <c r="M10155" t="s">
        <v>268</v>
      </c>
      <c r="N10155" t="str">
        <f>"3000507     "</f>
        <v xml:space="preserve">3000507     </v>
      </c>
      <c r="O10155">
        <v>230208</v>
      </c>
    </row>
    <row r="10156" spans="1:15" x14ac:dyDescent="0.25">
      <c r="A10156" t="s">
        <v>16</v>
      </c>
      <c r="B10156" t="s">
        <v>3221</v>
      </c>
      <c r="C10156">
        <v>2141</v>
      </c>
      <c r="D10156" t="s">
        <v>3599</v>
      </c>
      <c r="E10156" t="s">
        <v>625</v>
      </c>
      <c r="F10156">
        <v>41.73</v>
      </c>
      <c r="G10156">
        <v>230215</v>
      </c>
      <c r="H10156">
        <v>4600</v>
      </c>
      <c r="I10156" t="s">
        <v>105</v>
      </c>
      <c r="J10156">
        <v>51.75</v>
      </c>
      <c r="K10156">
        <v>10.02</v>
      </c>
      <c r="L10156">
        <v>67522</v>
      </c>
      <c r="M10156" t="s">
        <v>397</v>
      </c>
      <c r="N10156" t="str">
        <f>"34173       "</f>
        <v xml:space="preserve">34173       </v>
      </c>
      <c r="O10156">
        <v>230221</v>
      </c>
    </row>
    <row r="10157" spans="1:15" x14ac:dyDescent="0.25">
      <c r="A10157" t="s">
        <v>16</v>
      </c>
      <c r="B10157" t="s">
        <v>3221</v>
      </c>
      <c r="C10157">
        <v>2591</v>
      </c>
      <c r="D10157" t="s">
        <v>3599</v>
      </c>
      <c r="E10157" t="s">
        <v>625</v>
      </c>
      <c r="F10157">
        <v>85.16</v>
      </c>
      <c r="G10157">
        <v>230228</v>
      </c>
      <c r="H10157">
        <v>4600</v>
      </c>
      <c r="I10157" t="s">
        <v>105</v>
      </c>
      <c r="J10157">
        <v>105.6</v>
      </c>
      <c r="K10157">
        <v>20.440000000000001</v>
      </c>
      <c r="L10157">
        <v>69501</v>
      </c>
      <c r="M10157" t="s">
        <v>185</v>
      </c>
      <c r="N10157" t="str">
        <f>"34247       "</f>
        <v xml:space="preserve">34247       </v>
      </c>
      <c r="O10157">
        <v>230302</v>
      </c>
    </row>
    <row r="10158" spans="1:15" x14ac:dyDescent="0.25">
      <c r="A10158" t="s">
        <v>16</v>
      </c>
      <c r="B10158" t="s">
        <v>3221</v>
      </c>
      <c r="C10158">
        <v>3098</v>
      </c>
      <c r="D10158" t="s">
        <v>3599</v>
      </c>
      <c r="E10158" t="s">
        <v>625</v>
      </c>
      <c r="F10158">
        <v>249.38</v>
      </c>
      <c r="G10158">
        <v>230302</v>
      </c>
      <c r="H10158">
        <v>4600</v>
      </c>
      <c r="I10158" t="s">
        <v>105</v>
      </c>
      <c r="J10158">
        <v>309.23</v>
      </c>
      <c r="K10158">
        <v>59.85</v>
      </c>
      <c r="L10158">
        <v>67554</v>
      </c>
      <c r="M10158" t="s">
        <v>60</v>
      </c>
      <c r="N10158" t="str">
        <f>"34261       "</f>
        <v xml:space="preserve">34261       </v>
      </c>
      <c r="O10158">
        <v>230309</v>
      </c>
    </row>
    <row r="10159" spans="1:15" x14ac:dyDescent="0.25">
      <c r="A10159" t="s">
        <v>16</v>
      </c>
      <c r="B10159" t="s">
        <v>3221</v>
      </c>
      <c r="C10159">
        <v>3554</v>
      </c>
      <c r="D10159" t="s">
        <v>3599</v>
      </c>
      <c r="E10159" t="s">
        <v>625</v>
      </c>
      <c r="F10159">
        <v>520.20000000000005</v>
      </c>
      <c r="G10159">
        <v>230315</v>
      </c>
      <c r="H10159">
        <v>4600</v>
      </c>
      <c r="I10159" t="s">
        <v>105</v>
      </c>
      <c r="J10159">
        <v>645.04999999999995</v>
      </c>
      <c r="K10159">
        <v>124.85</v>
      </c>
      <c r="L10159">
        <v>56568</v>
      </c>
      <c r="M10159" t="s">
        <v>268</v>
      </c>
      <c r="N10159" t="str">
        <f>"3000611     "</f>
        <v xml:space="preserve">3000611     </v>
      </c>
      <c r="O10159">
        <v>230316</v>
      </c>
    </row>
    <row r="10160" spans="1:15" x14ac:dyDescent="0.25">
      <c r="A10160" t="s">
        <v>16</v>
      </c>
      <c r="B10160" t="s">
        <v>3221</v>
      </c>
      <c r="C10160">
        <v>3736</v>
      </c>
      <c r="D10160" t="s">
        <v>3599</v>
      </c>
      <c r="E10160" t="s">
        <v>625</v>
      </c>
      <c r="F10160">
        <v>244.56</v>
      </c>
      <c r="G10160">
        <v>230320</v>
      </c>
      <c r="H10160">
        <v>4600</v>
      </c>
      <c r="I10160" t="s">
        <v>105</v>
      </c>
      <c r="J10160">
        <v>303.25</v>
      </c>
      <c r="K10160">
        <v>58.69</v>
      </c>
      <c r="L10160">
        <v>67554</v>
      </c>
      <c r="M10160" t="s">
        <v>60</v>
      </c>
      <c r="N10160" t="str">
        <f>"34313       "</f>
        <v xml:space="preserve">34313       </v>
      </c>
      <c r="O10160">
        <v>230321</v>
      </c>
    </row>
    <row r="10161" spans="1:15" x14ac:dyDescent="0.25">
      <c r="A10161" t="s">
        <v>16</v>
      </c>
      <c r="B10161" t="s">
        <v>3221</v>
      </c>
      <c r="C10161">
        <v>3889</v>
      </c>
      <c r="D10161" t="s">
        <v>3599</v>
      </c>
      <c r="E10161" t="s">
        <v>625</v>
      </c>
      <c r="F10161">
        <v>35.630000000000003</v>
      </c>
      <c r="G10161">
        <v>230321</v>
      </c>
      <c r="H10161">
        <v>4600</v>
      </c>
      <c r="I10161" t="s">
        <v>105</v>
      </c>
      <c r="J10161">
        <v>44.18</v>
      </c>
      <c r="K10161">
        <v>8.5500000000000007</v>
      </c>
      <c r="L10161">
        <v>67522</v>
      </c>
      <c r="M10161" t="s">
        <v>397</v>
      </c>
      <c r="N10161" t="str">
        <f>"34346       "</f>
        <v xml:space="preserve">34346       </v>
      </c>
      <c r="O10161">
        <v>230324</v>
      </c>
    </row>
    <row r="10162" spans="1:15" x14ac:dyDescent="0.25">
      <c r="A10162" t="s">
        <v>16</v>
      </c>
      <c r="B10162" t="s">
        <v>3221</v>
      </c>
      <c r="C10162">
        <v>4145</v>
      </c>
      <c r="D10162" t="s">
        <v>3599</v>
      </c>
      <c r="E10162" t="s">
        <v>625</v>
      </c>
      <c r="F10162">
        <v>21.77</v>
      </c>
      <c r="G10162">
        <v>230324</v>
      </c>
      <c r="H10162">
        <v>4600</v>
      </c>
      <c r="I10162" t="s">
        <v>105</v>
      </c>
      <c r="J10162">
        <v>27</v>
      </c>
      <c r="K10162">
        <v>5.23</v>
      </c>
      <c r="L10162">
        <v>66722</v>
      </c>
      <c r="M10162" t="s">
        <v>518</v>
      </c>
      <c r="N10162" t="str">
        <f>"34359       "</f>
        <v xml:space="preserve">34359       </v>
      </c>
      <c r="O10162">
        <v>230330</v>
      </c>
    </row>
    <row r="10163" spans="1:15" x14ac:dyDescent="0.25">
      <c r="A10163" t="s">
        <v>16</v>
      </c>
      <c r="B10163" t="s">
        <v>3221</v>
      </c>
      <c r="C10163">
        <v>4145</v>
      </c>
      <c r="D10163" t="s">
        <v>3599</v>
      </c>
      <c r="E10163" t="s">
        <v>625</v>
      </c>
      <c r="F10163">
        <v>246.31</v>
      </c>
      <c r="G10163">
        <v>230324</v>
      </c>
      <c r="H10163">
        <v>4600</v>
      </c>
      <c r="I10163" t="s">
        <v>105</v>
      </c>
      <c r="J10163">
        <v>305.43</v>
      </c>
      <c r="K10163">
        <v>59.12</v>
      </c>
      <c r="L10163">
        <v>67522</v>
      </c>
      <c r="M10163" t="s">
        <v>397</v>
      </c>
      <c r="N10163" t="str">
        <f>"34359       "</f>
        <v xml:space="preserve">34359       </v>
      </c>
      <c r="O10163">
        <v>230330</v>
      </c>
    </row>
    <row r="10164" spans="1:15" x14ac:dyDescent="0.25">
      <c r="A10164" t="s">
        <v>16</v>
      </c>
      <c r="B10164" t="s">
        <v>3221</v>
      </c>
      <c r="C10164">
        <v>4145</v>
      </c>
      <c r="D10164" t="s">
        <v>3599</v>
      </c>
      <c r="E10164" t="s">
        <v>625</v>
      </c>
      <c r="F10164">
        <v>57.31</v>
      </c>
      <c r="G10164">
        <v>230324</v>
      </c>
      <c r="H10164">
        <v>4600</v>
      </c>
      <c r="I10164" t="s">
        <v>105</v>
      </c>
      <c r="J10164">
        <v>71.069999999999993</v>
      </c>
      <c r="K10164">
        <v>13.76</v>
      </c>
      <c r="L10164">
        <v>67554</v>
      </c>
      <c r="M10164" t="s">
        <v>60</v>
      </c>
      <c r="N10164" t="str">
        <f>"34359       "</f>
        <v xml:space="preserve">34359       </v>
      </c>
      <c r="O10164">
        <v>230330</v>
      </c>
    </row>
    <row r="10165" spans="1:15" x14ac:dyDescent="0.25">
      <c r="A10165" t="s">
        <v>16</v>
      </c>
      <c r="B10165" t="s">
        <v>3221</v>
      </c>
      <c r="C10165">
        <v>5460</v>
      </c>
      <c r="D10165" t="s">
        <v>3599</v>
      </c>
      <c r="E10165" t="s">
        <v>625</v>
      </c>
      <c r="F10165">
        <v>186.15</v>
      </c>
      <c r="G10165">
        <v>230421</v>
      </c>
      <c r="H10165">
        <v>4600</v>
      </c>
      <c r="I10165" t="s">
        <v>105</v>
      </c>
      <c r="J10165">
        <v>230.82</v>
      </c>
      <c r="K10165">
        <v>44.67</v>
      </c>
      <c r="L10165">
        <v>56568</v>
      </c>
      <c r="M10165" t="s">
        <v>268</v>
      </c>
      <c r="N10165" t="str">
        <f>"3000694     "</f>
        <v xml:space="preserve">3000694     </v>
      </c>
      <c r="O10165">
        <v>230425</v>
      </c>
    </row>
    <row r="10166" spans="1:15" x14ac:dyDescent="0.25">
      <c r="A10166" t="s">
        <v>16</v>
      </c>
      <c r="B10166" t="s">
        <v>3221</v>
      </c>
      <c r="C10166">
        <v>5886</v>
      </c>
      <c r="D10166" t="s">
        <v>3599</v>
      </c>
      <c r="E10166" t="s">
        <v>625</v>
      </c>
      <c r="F10166">
        <v>173.44</v>
      </c>
      <c r="G10166">
        <v>230422</v>
      </c>
      <c r="H10166">
        <v>4600</v>
      </c>
      <c r="I10166" t="s">
        <v>105</v>
      </c>
      <c r="J10166">
        <v>215.06</v>
      </c>
      <c r="K10166">
        <v>41.62</v>
      </c>
      <c r="L10166">
        <v>67522</v>
      </c>
      <c r="M10166" t="s">
        <v>397</v>
      </c>
      <c r="N10166" t="str">
        <f>"34489       "</f>
        <v xml:space="preserve">34489       </v>
      </c>
      <c r="O10166">
        <v>230503</v>
      </c>
    </row>
    <row r="10167" spans="1:15" x14ac:dyDescent="0.25">
      <c r="A10167" t="s">
        <v>16</v>
      </c>
      <c r="B10167" t="s">
        <v>3221</v>
      </c>
      <c r="C10167">
        <v>5886</v>
      </c>
      <c r="D10167" t="s">
        <v>3599</v>
      </c>
      <c r="E10167" t="s">
        <v>625</v>
      </c>
      <c r="F10167">
        <v>278.25</v>
      </c>
      <c r="G10167">
        <v>230422</v>
      </c>
      <c r="H10167">
        <v>4600</v>
      </c>
      <c r="I10167" t="s">
        <v>105</v>
      </c>
      <c r="J10167">
        <v>345.03</v>
      </c>
      <c r="K10167">
        <v>66.78</v>
      </c>
      <c r="L10167">
        <v>67554</v>
      </c>
      <c r="M10167" t="s">
        <v>60</v>
      </c>
      <c r="N10167" t="str">
        <f>"34489       "</f>
        <v xml:space="preserve">34489       </v>
      </c>
      <c r="O10167">
        <v>230503</v>
      </c>
    </row>
    <row r="10168" spans="1:15" x14ac:dyDescent="0.25">
      <c r="A10168" t="s">
        <v>16</v>
      </c>
      <c r="B10168" t="s">
        <v>3221</v>
      </c>
      <c r="C10168">
        <v>5887</v>
      </c>
      <c r="D10168" t="s">
        <v>3599</v>
      </c>
      <c r="E10168" t="s">
        <v>625</v>
      </c>
      <c r="F10168">
        <v>52.98</v>
      </c>
      <c r="G10168">
        <v>230423</v>
      </c>
      <c r="H10168">
        <v>4600</v>
      </c>
      <c r="I10168" t="s">
        <v>105</v>
      </c>
      <c r="J10168">
        <v>65.7</v>
      </c>
      <c r="K10168">
        <v>12.72</v>
      </c>
      <c r="L10168">
        <v>66722</v>
      </c>
      <c r="M10168" t="s">
        <v>518</v>
      </c>
      <c r="N10168" t="str">
        <f>"34529       "</f>
        <v xml:space="preserve">34529       </v>
      </c>
      <c r="O10168">
        <v>230503</v>
      </c>
    </row>
    <row r="10169" spans="1:15" x14ac:dyDescent="0.25">
      <c r="A10169" t="s">
        <v>16</v>
      </c>
      <c r="B10169" t="s">
        <v>3221</v>
      </c>
      <c r="C10169">
        <v>5896</v>
      </c>
      <c r="D10169" t="s">
        <v>3599</v>
      </c>
      <c r="E10169" t="s">
        <v>625</v>
      </c>
      <c r="F10169">
        <v>189.44</v>
      </c>
      <c r="G10169">
        <v>230429</v>
      </c>
      <c r="H10169">
        <v>4600</v>
      </c>
      <c r="I10169" t="s">
        <v>105</v>
      </c>
      <c r="J10169">
        <v>234.9</v>
      </c>
      <c r="K10169">
        <v>45.46</v>
      </c>
      <c r="L10169">
        <v>67554</v>
      </c>
      <c r="M10169" t="s">
        <v>60</v>
      </c>
      <c r="N10169" t="str">
        <f>"34638       "</f>
        <v xml:space="preserve">34638       </v>
      </c>
      <c r="O10169">
        <v>230503</v>
      </c>
    </row>
    <row r="10170" spans="1:15" x14ac:dyDescent="0.25">
      <c r="A10170" t="s">
        <v>16</v>
      </c>
      <c r="B10170" t="s">
        <v>3221</v>
      </c>
      <c r="C10170">
        <v>12630</v>
      </c>
      <c r="D10170" t="s">
        <v>3599</v>
      </c>
      <c r="E10170" t="s">
        <v>625</v>
      </c>
      <c r="F10170">
        <v>463.91</v>
      </c>
      <c r="G10170">
        <v>230921</v>
      </c>
      <c r="H10170">
        <v>4600</v>
      </c>
      <c r="I10170" t="s">
        <v>105</v>
      </c>
      <c r="J10170">
        <v>575.25</v>
      </c>
      <c r="K10170">
        <v>111.34</v>
      </c>
      <c r="L10170">
        <v>66756</v>
      </c>
      <c r="M10170" t="s">
        <v>209</v>
      </c>
      <c r="N10170" t="str">
        <f>"35259       "</f>
        <v xml:space="preserve">35259       </v>
      </c>
      <c r="O10170">
        <v>230922</v>
      </c>
    </row>
    <row r="10171" spans="1:15" x14ac:dyDescent="0.25">
      <c r="A10171" t="s">
        <v>16</v>
      </c>
      <c r="B10171" t="s">
        <v>3221</v>
      </c>
      <c r="C10171">
        <v>13167</v>
      </c>
      <c r="D10171" t="s">
        <v>3599</v>
      </c>
      <c r="E10171" t="s">
        <v>625</v>
      </c>
      <c r="F10171">
        <v>157.26</v>
      </c>
      <c r="G10171">
        <v>230921</v>
      </c>
      <c r="H10171">
        <v>4600</v>
      </c>
      <c r="I10171" t="s">
        <v>105</v>
      </c>
      <c r="J10171">
        <v>195</v>
      </c>
      <c r="K10171">
        <v>37.74</v>
      </c>
      <c r="L10171">
        <v>66754</v>
      </c>
      <c r="M10171" t="s">
        <v>239</v>
      </c>
      <c r="N10171" t="str">
        <f>"35249       "</f>
        <v xml:space="preserve">35249       </v>
      </c>
      <c r="O10171">
        <v>231004</v>
      </c>
    </row>
    <row r="10172" spans="1:15" x14ac:dyDescent="0.25">
      <c r="A10172" t="s">
        <v>16</v>
      </c>
      <c r="B10172" t="s">
        <v>3221</v>
      </c>
      <c r="C10172">
        <v>13167</v>
      </c>
      <c r="D10172" t="s">
        <v>3599</v>
      </c>
      <c r="E10172" t="s">
        <v>625</v>
      </c>
      <c r="F10172">
        <v>277.91000000000003</v>
      </c>
      <c r="G10172">
        <v>230921</v>
      </c>
      <c r="H10172">
        <v>4600</v>
      </c>
      <c r="I10172" t="s">
        <v>105</v>
      </c>
      <c r="J10172">
        <v>344.61</v>
      </c>
      <c r="K10172">
        <v>66.7</v>
      </c>
      <c r="L10172">
        <v>67522</v>
      </c>
      <c r="M10172" t="s">
        <v>397</v>
      </c>
      <c r="N10172" t="str">
        <f>"35249       "</f>
        <v xml:space="preserve">35249       </v>
      </c>
      <c r="O10172">
        <v>231004</v>
      </c>
    </row>
    <row r="10173" spans="1:15" x14ac:dyDescent="0.25">
      <c r="A10173" t="s">
        <v>16</v>
      </c>
      <c r="B10173" t="s">
        <v>3221</v>
      </c>
      <c r="C10173">
        <v>13167</v>
      </c>
      <c r="D10173" t="s">
        <v>3599</v>
      </c>
      <c r="E10173" t="s">
        <v>625</v>
      </c>
      <c r="F10173">
        <v>285.37</v>
      </c>
      <c r="G10173">
        <v>230921</v>
      </c>
      <c r="H10173">
        <v>4600</v>
      </c>
      <c r="I10173" t="s">
        <v>105</v>
      </c>
      <c r="J10173">
        <v>353.86</v>
      </c>
      <c r="K10173">
        <v>68.489999999999995</v>
      </c>
      <c r="L10173">
        <v>67554</v>
      </c>
      <c r="M10173" t="s">
        <v>60</v>
      </c>
      <c r="N10173" t="str">
        <f>"35249       "</f>
        <v xml:space="preserve">35249       </v>
      </c>
      <c r="O10173">
        <v>231004</v>
      </c>
    </row>
    <row r="10174" spans="1:15" x14ac:dyDescent="0.25">
      <c r="A10174" t="s">
        <v>16</v>
      </c>
      <c r="B10174" t="s">
        <v>3221</v>
      </c>
      <c r="C10174">
        <v>13167</v>
      </c>
      <c r="D10174" t="s">
        <v>3599</v>
      </c>
      <c r="E10174" t="s">
        <v>625</v>
      </c>
      <c r="F10174">
        <v>30.23</v>
      </c>
      <c r="G10174">
        <v>230921</v>
      </c>
      <c r="H10174">
        <v>4600</v>
      </c>
      <c r="I10174" t="s">
        <v>105</v>
      </c>
      <c r="J10174">
        <v>37.479999999999997</v>
      </c>
      <c r="K10174">
        <v>7.25</v>
      </c>
      <c r="L10174">
        <v>69501</v>
      </c>
      <c r="M10174" t="s">
        <v>185</v>
      </c>
      <c r="N10174" t="str">
        <f>"35249       "</f>
        <v xml:space="preserve">35249       </v>
      </c>
      <c r="O10174">
        <v>231004</v>
      </c>
    </row>
    <row r="10175" spans="1:15" x14ac:dyDescent="0.25">
      <c r="A10175" t="s">
        <v>16</v>
      </c>
      <c r="B10175" t="s">
        <v>3221</v>
      </c>
      <c r="C10175">
        <v>15311</v>
      </c>
      <c r="D10175" t="s">
        <v>3599</v>
      </c>
      <c r="E10175" t="s">
        <v>625</v>
      </c>
      <c r="F10175">
        <v>24.19</v>
      </c>
      <c r="G10175">
        <v>231031</v>
      </c>
      <c r="H10175">
        <v>4600</v>
      </c>
      <c r="I10175" t="s">
        <v>105</v>
      </c>
      <c r="J10175">
        <v>30</v>
      </c>
      <c r="K10175">
        <v>5.81</v>
      </c>
      <c r="L10175">
        <v>66754</v>
      </c>
      <c r="M10175" t="s">
        <v>239</v>
      </c>
      <c r="N10175" t="str">
        <f>"35439       "</f>
        <v xml:space="preserve">35439       </v>
      </c>
      <c r="O10175">
        <v>231113</v>
      </c>
    </row>
    <row r="10176" spans="1:15" x14ac:dyDescent="0.25">
      <c r="A10176" t="s">
        <v>16</v>
      </c>
      <c r="B10176" t="s">
        <v>3221</v>
      </c>
      <c r="C10176">
        <v>15311</v>
      </c>
      <c r="D10176" t="s">
        <v>3599</v>
      </c>
      <c r="E10176" t="s">
        <v>625</v>
      </c>
      <c r="F10176">
        <v>5.44</v>
      </c>
      <c r="G10176">
        <v>231031</v>
      </c>
      <c r="H10176">
        <v>4600</v>
      </c>
      <c r="I10176" t="s">
        <v>105</v>
      </c>
      <c r="J10176">
        <v>6.75</v>
      </c>
      <c r="K10176">
        <v>1.31</v>
      </c>
      <c r="L10176">
        <v>66756</v>
      </c>
      <c r="M10176" t="s">
        <v>209</v>
      </c>
      <c r="N10176" t="str">
        <f>"35439       "</f>
        <v xml:space="preserve">35439       </v>
      </c>
      <c r="O10176">
        <v>231113</v>
      </c>
    </row>
    <row r="10177" spans="1:15" x14ac:dyDescent="0.25">
      <c r="A10177" t="s">
        <v>16</v>
      </c>
      <c r="B10177" t="s">
        <v>3221</v>
      </c>
      <c r="C10177">
        <v>6911</v>
      </c>
      <c r="D10177" t="s">
        <v>3599</v>
      </c>
      <c r="E10177" t="s">
        <v>625</v>
      </c>
      <c r="F10177">
        <v>111.94</v>
      </c>
      <c r="G10177">
        <v>230520</v>
      </c>
      <c r="H10177">
        <v>4555</v>
      </c>
      <c r="I10177" t="s">
        <v>481</v>
      </c>
      <c r="J10177">
        <v>138.81</v>
      </c>
      <c r="K10177">
        <v>26.87</v>
      </c>
      <c r="L10177">
        <v>67554</v>
      </c>
      <c r="M10177" t="s">
        <v>60</v>
      </c>
      <c r="N10177" t="str">
        <f>"34762       "</f>
        <v xml:space="preserve">34762       </v>
      </c>
      <c r="O10177">
        <v>230523</v>
      </c>
    </row>
    <row r="10178" spans="1:15" x14ac:dyDescent="0.25">
      <c r="A10178" t="s">
        <v>16</v>
      </c>
      <c r="B10178" t="s">
        <v>3221</v>
      </c>
      <c r="C10178">
        <v>16004</v>
      </c>
      <c r="D10178" t="s">
        <v>3599</v>
      </c>
      <c r="E10178" t="s">
        <v>625</v>
      </c>
      <c r="F10178">
        <v>40.32</v>
      </c>
      <c r="G10178">
        <v>231116</v>
      </c>
      <c r="H10178">
        <v>4555</v>
      </c>
      <c r="I10178" t="s">
        <v>481</v>
      </c>
      <c r="J10178">
        <v>50</v>
      </c>
      <c r="K10178">
        <v>9.68</v>
      </c>
      <c r="L10178">
        <v>67554</v>
      </c>
      <c r="M10178" t="s">
        <v>60</v>
      </c>
      <c r="N10178" t="str">
        <f>"35530       "</f>
        <v xml:space="preserve">35530       </v>
      </c>
      <c r="O10178">
        <v>231122</v>
      </c>
    </row>
    <row r="10179" spans="1:15" x14ac:dyDescent="0.25">
      <c r="A10179" t="s">
        <v>16</v>
      </c>
      <c r="B10179" t="s">
        <v>3221</v>
      </c>
      <c r="C10179">
        <v>18262</v>
      </c>
      <c r="D10179" t="s">
        <v>3599</v>
      </c>
      <c r="E10179" t="s">
        <v>625</v>
      </c>
      <c r="F10179">
        <v>72.58</v>
      </c>
      <c r="G10179">
        <v>231221</v>
      </c>
      <c r="H10179">
        <v>4555</v>
      </c>
      <c r="I10179" t="s">
        <v>481</v>
      </c>
      <c r="J10179">
        <v>90</v>
      </c>
      <c r="K10179">
        <v>17.420000000000002</v>
      </c>
      <c r="L10179">
        <v>67554</v>
      </c>
      <c r="M10179" t="s">
        <v>60</v>
      </c>
      <c r="N10179" t="str">
        <f>"35755       "</f>
        <v xml:space="preserve">35755       </v>
      </c>
      <c r="O10179">
        <v>240102</v>
      </c>
    </row>
    <row r="10180" spans="1:15" x14ac:dyDescent="0.25">
      <c r="A10180" t="s">
        <v>16</v>
      </c>
      <c r="B10180" t="s">
        <v>3221</v>
      </c>
      <c r="C10180">
        <v>2594</v>
      </c>
      <c r="D10180" t="s">
        <v>3599</v>
      </c>
      <c r="E10180" t="s">
        <v>625</v>
      </c>
      <c r="F10180">
        <v>77.19</v>
      </c>
      <c r="G10180">
        <v>230228</v>
      </c>
      <c r="H10180">
        <v>4560</v>
      </c>
      <c r="I10180" t="s">
        <v>345</v>
      </c>
      <c r="J10180">
        <v>95.71</v>
      </c>
      <c r="K10180">
        <v>18.52</v>
      </c>
      <c r="L10180">
        <v>67554</v>
      </c>
      <c r="M10180" t="s">
        <v>60</v>
      </c>
      <c r="N10180" t="str">
        <f>"34250       "</f>
        <v xml:space="preserve">34250       </v>
      </c>
      <c r="O10180">
        <v>230302</v>
      </c>
    </row>
    <row r="10181" spans="1:15" x14ac:dyDescent="0.25">
      <c r="A10181" t="s">
        <v>16</v>
      </c>
      <c r="B10181" t="s">
        <v>3221</v>
      </c>
      <c r="C10181">
        <v>5886</v>
      </c>
      <c r="D10181" t="s">
        <v>3599</v>
      </c>
      <c r="E10181" t="s">
        <v>625</v>
      </c>
      <c r="F10181">
        <v>25.69</v>
      </c>
      <c r="G10181">
        <v>230422</v>
      </c>
      <c r="H10181">
        <v>4560</v>
      </c>
      <c r="I10181" t="s">
        <v>345</v>
      </c>
      <c r="J10181">
        <v>31.86</v>
      </c>
      <c r="K10181">
        <v>6.17</v>
      </c>
      <c r="L10181">
        <v>67554</v>
      </c>
      <c r="M10181" t="s">
        <v>60</v>
      </c>
      <c r="N10181" t="str">
        <f>"34489       "</f>
        <v xml:space="preserve">34489       </v>
      </c>
      <c r="O10181">
        <v>230503</v>
      </c>
    </row>
    <row r="10182" spans="1:15" x14ac:dyDescent="0.25">
      <c r="A10182" t="s">
        <v>16</v>
      </c>
      <c r="B10182" t="s">
        <v>3221</v>
      </c>
      <c r="C10182">
        <v>8061</v>
      </c>
      <c r="D10182" t="s">
        <v>3599</v>
      </c>
      <c r="E10182" t="s">
        <v>625</v>
      </c>
      <c r="F10182">
        <v>69.47</v>
      </c>
      <c r="G10182">
        <v>230601</v>
      </c>
      <c r="H10182">
        <v>4560</v>
      </c>
      <c r="I10182" t="s">
        <v>345</v>
      </c>
      <c r="J10182">
        <v>86.14</v>
      </c>
      <c r="K10182">
        <v>16.670000000000002</v>
      </c>
      <c r="L10182">
        <v>67522</v>
      </c>
      <c r="M10182" t="s">
        <v>397</v>
      </c>
      <c r="N10182" t="str">
        <f>"34898       "</f>
        <v xml:space="preserve">34898       </v>
      </c>
      <c r="O10182">
        <v>230607</v>
      </c>
    </row>
    <row r="10183" spans="1:15" x14ac:dyDescent="0.25">
      <c r="A10183" t="s">
        <v>16</v>
      </c>
      <c r="B10183" t="s">
        <v>3221</v>
      </c>
      <c r="C10183">
        <v>1960</v>
      </c>
      <c r="D10183" t="s">
        <v>3599</v>
      </c>
      <c r="E10183" t="s">
        <v>625</v>
      </c>
      <c r="F10183">
        <v>71.09</v>
      </c>
      <c r="G10183">
        <v>230214</v>
      </c>
      <c r="H10183">
        <v>4590</v>
      </c>
      <c r="I10183" t="s">
        <v>203</v>
      </c>
      <c r="J10183">
        <v>88.15</v>
      </c>
      <c r="K10183">
        <v>17.059999999999999</v>
      </c>
      <c r="L10183">
        <v>66756</v>
      </c>
      <c r="M10183" t="s">
        <v>209</v>
      </c>
      <c r="N10183" t="str">
        <f>"34155       "</f>
        <v xml:space="preserve">34155       </v>
      </c>
      <c r="O10183">
        <v>230216</v>
      </c>
    </row>
    <row r="10184" spans="1:15" x14ac:dyDescent="0.25">
      <c r="A10184" t="s">
        <v>16</v>
      </c>
      <c r="B10184" t="s">
        <v>3221</v>
      </c>
      <c r="C10184">
        <v>6909</v>
      </c>
      <c r="D10184" t="s">
        <v>3599</v>
      </c>
      <c r="E10184" t="s">
        <v>625</v>
      </c>
      <c r="F10184">
        <v>43.87</v>
      </c>
      <c r="G10184">
        <v>230520</v>
      </c>
      <c r="H10184">
        <v>4590</v>
      </c>
      <c r="I10184" t="s">
        <v>203</v>
      </c>
      <c r="J10184">
        <v>54.4</v>
      </c>
      <c r="K10184">
        <v>10.53</v>
      </c>
      <c r="L10184">
        <v>66756</v>
      </c>
      <c r="M10184" t="s">
        <v>209</v>
      </c>
      <c r="N10184" t="str">
        <f>"34806       "</f>
        <v xml:space="preserve">34806       </v>
      </c>
      <c r="O10184">
        <v>230523</v>
      </c>
    </row>
    <row r="10185" spans="1:15" x14ac:dyDescent="0.25">
      <c r="A10185" t="s">
        <v>16</v>
      </c>
      <c r="B10185" t="s">
        <v>3221</v>
      </c>
      <c r="C10185">
        <v>13993</v>
      </c>
      <c r="D10185" t="s">
        <v>3599</v>
      </c>
      <c r="E10185" t="s">
        <v>625</v>
      </c>
      <c r="F10185">
        <v>11.24</v>
      </c>
      <c r="G10185">
        <v>231012</v>
      </c>
      <c r="H10185">
        <v>4590</v>
      </c>
      <c r="I10185" t="s">
        <v>203</v>
      </c>
      <c r="J10185">
        <v>13.94</v>
      </c>
      <c r="K10185">
        <v>2.7</v>
      </c>
      <c r="L10185">
        <v>69501</v>
      </c>
      <c r="M10185" t="s">
        <v>185</v>
      </c>
      <c r="N10185" t="str">
        <f>"35383       "</f>
        <v xml:space="preserve">35383       </v>
      </c>
      <c r="O10185">
        <v>231017</v>
      </c>
    </row>
    <row r="10186" spans="1:15" x14ac:dyDescent="0.25">
      <c r="A10186" t="s">
        <v>16</v>
      </c>
      <c r="B10186" t="s">
        <v>3221</v>
      </c>
      <c r="C10186">
        <v>19364</v>
      </c>
      <c r="D10186" t="s">
        <v>3599</v>
      </c>
      <c r="E10186" t="s">
        <v>625</v>
      </c>
      <c r="F10186">
        <v>72.02</v>
      </c>
      <c r="G10186">
        <v>240117</v>
      </c>
      <c r="H10186">
        <v>4590</v>
      </c>
      <c r="I10186" t="s">
        <v>203</v>
      </c>
      <c r="J10186">
        <v>89.3</v>
      </c>
      <c r="K10186">
        <v>17.28</v>
      </c>
      <c r="L10186">
        <v>66756</v>
      </c>
      <c r="M10186" t="s">
        <v>209</v>
      </c>
      <c r="N10186" t="str">
        <f>"35904       "</f>
        <v xml:space="preserve">35904       </v>
      </c>
      <c r="O10186">
        <v>240118</v>
      </c>
    </row>
    <row r="10187" spans="1:15" x14ac:dyDescent="0.25">
      <c r="A10187" t="s">
        <v>16</v>
      </c>
      <c r="B10187" t="s">
        <v>3221</v>
      </c>
      <c r="C10187">
        <v>13993</v>
      </c>
      <c r="D10187" t="s">
        <v>3599</v>
      </c>
      <c r="E10187" t="s">
        <v>625</v>
      </c>
      <c r="F10187">
        <v>10.73</v>
      </c>
      <c r="G10187">
        <v>231012</v>
      </c>
      <c r="H10187">
        <v>4550</v>
      </c>
      <c r="I10187" t="s">
        <v>312</v>
      </c>
      <c r="J10187">
        <v>13.3</v>
      </c>
      <c r="K10187">
        <v>2.57</v>
      </c>
      <c r="L10187">
        <v>69501</v>
      </c>
      <c r="M10187" t="s">
        <v>185</v>
      </c>
      <c r="N10187" t="str">
        <f>"35383       "</f>
        <v xml:space="preserve">35383       </v>
      </c>
      <c r="O10187">
        <v>231017</v>
      </c>
    </row>
    <row r="10188" spans="1:15" x14ac:dyDescent="0.25">
      <c r="A10188" t="s">
        <v>16</v>
      </c>
      <c r="B10188" t="s">
        <v>3221</v>
      </c>
      <c r="C10188">
        <v>15311</v>
      </c>
      <c r="D10188" t="s">
        <v>3599</v>
      </c>
      <c r="E10188" t="s">
        <v>625</v>
      </c>
      <c r="F10188">
        <v>5.6</v>
      </c>
      <c r="G10188">
        <v>231031</v>
      </c>
      <c r="H10188">
        <v>4572</v>
      </c>
      <c r="I10188" t="s">
        <v>122</v>
      </c>
      <c r="J10188">
        <v>6.95</v>
      </c>
      <c r="K10188">
        <v>1.35</v>
      </c>
      <c r="L10188">
        <v>69501</v>
      </c>
      <c r="M10188" t="s">
        <v>185</v>
      </c>
      <c r="N10188" t="str">
        <f>"35439       "</f>
        <v xml:space="preserve">35439       </v>
      </c>
      <c r="O10188">
        <v>231113</v>
      </c>
    </row>
    <row r="10189" spans="1:15" x14ac:dyDescent="0.25">
      <c r="A10189" t="s">
        <v>16</v>
      </c>
      <c r="B10189" t="s">
        <v>3221</v>
      </c>
      <c r="C10189">
        <v>6572</v>
      </c>
      <c r="D10189" t="s">
        <v>3462</v>
      </c>
      <c r="E10189" t="s">
        <v>3463</v>
      </c>
      <c r="F10189">
        <v>1192.5</v>
      </c>
      <c r="G10189">
        <v>230509</v>
      </c>
      <c r="H10189">
        <v>4820</v>
      </c>
      <c r="I10189" t="s">
        <v>50</v>
      </c>
      <c r="J10189">
        <v>1192.5</v>
      </c>
      <c r="K10189">
        <v>0</v>
      </c>
      <c r="L10189">
        <v>13841</v>
      </c>
      <c r="M10189" t="s">
        <v>47</v>
      </c>
      <c r="N10189" t="str">
        <f>"090523      "</f>
        <v xml:space="preserve">090523      </v>
      </c>
      <c r="O10189">
        <v>230515</v>
      </c>
    </row>
    <row r="10190" spans="1:15" x14ac:dyDescent="0.25">
      <c r="A10190" t="s">
        <v>16</v>
      </c>
      <c r="B10190" t="s">
        <v>3221</v>
      </c>
      <c r="C10190">
        <v>18042</v>
      </c>
      <c r="D10190" t="s">
        <v>3462</v>
      </c>
      <c r="E10190" t="s">
        <v>3463</v>
      </c>
      <c r="F10190">
        <v>1080</v>
      </c>
      <c r="G10190">
        <v>231218</v>
      </c>
      <c r="H10190">
        <v>4820</v>
      </c>
      <c r="I10190" t="s">
        <v>50</v>
      </c>
      <c r="J10190">
        <v>1080</v>
      </c>
      <c r="K10190">
        <v>0</v>
      </c>
      <c r="L10190">
        <v>13841</v>
      </c>
      <c r="M10190" t="s">
        <v>47</v>
      </c>
      <c r="N10190" t="str">
        <f>"211223      "</f>
        <v xml:space="preserve">211223      </v>
      </c>
      <c r="O10190">
        <v>231229</v>
      </c>
    </row>
    <row r="10191" spans="1:15" x14ac:dyDescent="0.25">
      <c r="A10191" t="s">
        <v>16</v>
      </c>
      <c r="B10191" t="s">
        <v>3221</v>
      </c>
      <c r="C10191">
        <v>7131</v>
      </c>
      <c r="D10191" t="s">
        <v>2068</v>
      </c>
      <c r="E10191" t="s">
        <v>2069</v>
      </c>
      <c r="F10191">
        <v>2211.3000000000002</v>
      </c>
      <c r="G10191">
        <v>230523</v>
      </c>
      <c r="H10191">
        <v>4346</v>
      </c>
      <c r="I10191" t="s">
        <v>197</v>
      </c>
      <c r="J10191">
        <v>2742.01</v>
      </c>
      <c r="K10191">
        <v>530.71</v>
      </c>
      <c r="L10191">
        <v>10003</v>
      </c>
      <c r="M10191" t="s">
        <v>2070</v>
      </c>
      <c r="N10191" t="str">
        <f>"6500002684  "</f>
        <v xml:space="preserve">6500002684  </v>
      </c>
      <c r="O10191">
        <v>230525</v>
      </c>
    </row>
    <row r="10192" spans="1:15" x14ac:dyDescent="0.25">
      <c r="A10192" t="s">
        <v>16</v>
      </c>
      <c r="B10192" t="s">
        <v>3221</v>
      </c>
      <c r="C10192">
        <v>7223</v>
      </c>
      <c r="D10192" t="s">
        <v>2068</v>
      </c>
      <c r="E10192" t="s">
        <v>2069</v>
      </c>
      <c r="F10192">
        <v>2217.59</v>
      </c>
      <c r="G10192">
        <v>230523</v>
      </c>
      <c r="H10192">
        <v>4346</v>
      </c>
      <c r="I10192" t="s">
        <v>197</v>
      </c>
      <c r="J10192">
        <v>2749.81</v>
      </c>
      <c r="K10192">
        <v>532.22</v>
      </c>
      <c r="L10192">
        <v>10003</v>
      </c>
      <c r="M10192" t="s">
        <v>2070</v>
      </c>
      <c r="N10192" t="str">
        <f>"0070045405  "</f>
        <v xml:space="preserve">0070045405  </v>
      </c>
      <c r="O10192">
        <v>230526</v>
      </c>
    </row>
    <row r="10193" spans="1:15" x14ac:dyDescent="0.25">
      <c r="A10193" t="s">
        <v>16</v>
      </c>
      <c r="B10193" t="s">
        <v>3221</v>
      </c>
      <c r="C10193">
        <v>7223</v>
      </c>
      <c r="D10193" t="s">
        <v>2068</v>
      </c>
      <c r="E10193" t="s">
        <v>2069</v>
      </c>
      <c r="F10193">
        <v>4435.16</v>
      </c>
      <c r="G10193">
        <v>230523</v>
      </c>
      <c r="H10193">
        <v>4346</v>
      </c>
      <c r="I10193" t="s">
        <v>197</v>
      </c>
      <c r="J10193">
        <v>5499.6</v>
      </c>
      <c r="K10193">
        <v>1064.44</v>
      </c>
      <c r="L10193">
        <v>10003</v>
      </c>
      <c r="M10193" t="s">
        <v>2070</v>
      </c>
      <c r="N10193" t="str">
        <f>"0070045405  "</f>
        <v xml:space="preserve">0070045405  </v>
      </c>
      <c r="O10193">
        <v>230526</v>
      </c>
    </row>
    <row r="10194" spans="1:15" x14ac:dyDescent="0.25">
      <c r="A10194" t="s">
        <v>16</v>
      </c>
      <c r="B10194" t="s">
        <v>3221</v>
      </c>
      <c r="C10194">
        <v>18039</v>
      </c>
      <c r="D10194" t="s">
        <v>2068</v>
      </c>
      <c r="E10194" t="s">
        <v>2069</v>
      </c>
      <c r="F10194">
        <v>7128</v>
      </c>
      <c r="G10194">
        <v>231218</v>
      </c>
      <c r="H10194">
        <v>4346</v>
      </c>
      <c r="I10194" t="s">
        <v>197</v>
      </c>
      <c r="J10194">
        <v>8838.7199999999993</v>
      </c>
      <c r="K10194">
        <v>1710.72</v>
      </c>
      <c r="L10194">
        <v>10003</v>
      </c>
      <c r="M10194" t="s">
        <v>2070</v>
      </c>
      <c r="N10194" t="str">
        <f>"6500002876  "</f>
        <v xml:space="preserve">6500002876  </v>
      </c>
      <c r="O10194">
        <v>231229</v>
      </c>
    </row>
    <row r="10195" spans="1:15" x14ac:dyDescent="0.25">
      <c r="A10195" t="s">
        <v>16</v>
      </c>
      <c r="B10195" t="s">
        <v>3221</v>
      </c>
      <c r="C10195">
        <v>18104</v>
      </c>
      <c r="D10195" t="s">
        <v>2068</v>
      </c>
      <c r="E10195" t="s">
        <v>2069</v>
      </c>
      <c r="F10195">
        <v>2600</v>
      </c>
      <c r="G10195">
        <v>231218</v>
      </c>
      <c r="H10195">
        <v>4346</v>
      </c>
      <c r="I10195" t="s">
        <v>197</v>
      </c>
      <c r="J10195">
        <v>3224</v>
      </c>
      <c r="K10195">
        <v>624</v>
      </c>
      <c r="L10195">
        <v>10003</v>
      </c>
      <c r="M10195" t="s">
        <v>2070</v>
      </c>
      <c r="N10195" t="str">
        <f>"6500002877  "</f>
        <v xml:space="preserve">6500002877  </v>
      </c>
      <c r="O10195">
        <v>240102</v>
      </c>
    </row>
    <row r="10196" spans="1:15" x14ac:dyDescent="0.25">
      <c r="A10196" t="s">
        <v>16</v>
      </c>
      <c r="B10196" t="s">
        <v>3221</v>
      </c>
      <c r="C10196">
        <v>16353</v>
      </c>
      <c r="D10196" t="s">
        <v>2959</v>
      </c>
      <c r="E10196" t="s">
        <v>2960</v>
      </c>
      <c r="F10196">
        <v>2480</v>
      </c>
      <c r="G10196">
        <v>231123</v>
      </c>
      <c r="H10196">
        <v>4441</v>
      </c>
      <c r="I10196" t="s">
        <v>109</v>
      </c>
      <c r="J10196">
        <v>3075.2</v>
      </c>
      <c r="K10196">
        <v>595.20000000000005</v>
      </c>
      <c r="L10196">
        <v>10003</v>
      </c>
      <c r="M10196" t="s">
        <v>2070</v>
      </c>
      <c r="N10196" t="str">
        <f>"2800181839  "</f>
        <v xml:space="preserve">2800181839  </v>
      </c>
      <c r="O10196">
        <v>231128</v>
      </c>
    </row>
    <row r="10197" spans="1:15" x14ac:dyDescent="0.25">
      <c r="A10197" t="s">
        <v>16</v>
      </c>
      <c r="B10197" t="s">
        <v>3221</v>
      </c>
      <c r="C10197">
        <v>15883</v>
      </c>
      <c r="D10197" t="s">
        <v>2914</v>
      </c>
      <c r="E10197" t="s">
        <v>2915</v>
      </c>
      <c r="F10197">
        <v>377.2</v>
      </c>
      <c r="G10197">
        <v>231106</v>
      </c>
      <c r="H10197">
        <v>4500</v>
      </c>
      <c r="I10197" t="s">
        <v>212</v>
      </c>
      <c r="J10197">
        <v>467.73</v>
      </c>
      <c r="K10197">
        <v>90.53</v>
      </c>
      <c r="L10197">
        <v>11301</v>
      </c>
      <c r="M10197" t="s">
        <v>29</v>
      </c>
      <c r="N10197" t="str">
        <f>"122124      "</f>
        <v xml:space="preserve">122124      </v>
      </c>
      <c r="O10197">
        <v>231121</v>
      </c>
    </row>
    <row r="10198" spans="1:15" x14ac:dyDescent="0.25">
      <c r="A10198" t="s">
        <v>16</v>
      </c>
      <c r="B10198" t="s">
        <v>3221</v>
      </c>
      <c r="C10198">
        <v>15883</v>
      </c>
      <c r="D10198" t="s">
        <v>2914</v>
      </c>
      <c r="E10198" t="s">
        <v>2915</v>
      </c>
      <c r="F10198">
        <v>377.2</v>
      </c>
      <c r="G10198">
        <v>231106</v>
      </c>
      <c r="H10198">
        <v>4500</v>
      </c>
      <c r="I10198" t="s">
        <v>212</v>
      </c>
      <c r="J10198">
        <v>467.73</v>
      </c>
      <c r="K10198">
        <v>90.53</v>
      </c>
      <c r="L10198">
        <v>17530</v>
      </c>
      <c r="M10198" t="s">
        <v>454</v>
      </c>
      <c r="N10198" t="str">
        <f>"122124      "</f>
        <v xml:space="preserve">122124      </v>
      </c>
      <c r="O10198">
        <v>231121</v>
      </c>
    </row>
    <row r="10199" spans="1:15" x14ac:dyDescent="0.25">
      <c r="A10199" t="s">
        <v>16</v>
      </c>
      <c r="B10199" t="s">
        <v>3221</v>
      </c>
      <c r="C10199">
        <v>7489</v>
      </c>
      <c r="D10199" t="s">
        <v>2097</v>
      </c>
      <c r="E10199" t="s">
        <v>2098</v>
      </c>
      <c r="F10199">
        <v>102</v>
      </c>
      <c r="G10199">
        <v>230525</v>
      </c>
      <c r="H10199">
        <v>4600</v>
      </c>
      <c r="I10199" t="s">
        <v>105</v>
      </c>
      <c r="J10199">
        <v>102</v>
      </c>
      <c r="K10199">
        <v>0</v>
      </c>
      <c r="L10199">
        <v>13801</v>
      </c>
      <c r="M10199" t="s">
        <v>162</v>
      </c>
      <c r="N10199" t="str">
        <f>"842         "</f>
        <v xml:space="preserve">842         </v>
      </c>
      <c r="O10199">
        <v>230531</v>
      </c>
    </row>
    <row r="10200" spans="1:15" x14ac:dyDescent="0.25">
      <c r="A10200" t="s">
        <v>16</v>
      </c>
      <c r="B10200" t="s">
        <v>3221</v>
      </c>
      <c r="C10200">
        <v>18734</v>
      </c>
      <c r="D10200" t="s">
        <v>870</v>
      </c>
      <c r="E10200" t="s">
        <v>871</v>
      </c>
      <c r="F10200">
        <v>88.71</v>
      </c>
      <c r="G10200">
        <v>231228</v>
      </c>
      <c r="H10200">
        <v>4346</v>
      </c>
      <c r="I10200" t="s">
        <v>197</v>
      </c>
      <c r="J10200">
        <v>110</v>
      </c>
      <c r="K10200">
        <v>21.29</v>
      </c>
      <c r="L10200">
        <v>16121</v>
      </c>
      <c r="M10200" t="s">
        <v>21</v>
      </c>
      <c r="N10200" t="str">
        <f>"5964        "</f>
        <v xml:space="preserve">5964        </v>
      </c>
      <c r="O10200">
        <v>240105</v>
      </c>
    </row>
    <row r="10201" spans="1:15" x14ac:dyDescent="0.25">
      <c r="A10201" t="s">
        <v>16</v>
      </c>
      <c r="B10201" t="s">
        <v>3221</v>
      </c>
      <c r="C10201">
        <v>18734</v>
      </c>
      <c r="D10201" t="s">
        <v>870</v>
      </c>
      <c r="E10201" t="s">
        <v>871</v>
      </c>
      <c r="F10201">
        <v>40.32</v>
      </c>
      <c r="G10201">
        <v>231228</v>
      </c>
      <c r="H10201">
        <v>4346</v>
      </c>
      <c r="I10201" t="s">
        <v>197</v>
      </c>
      <c r="J10201">
        <v>50</v>
      </c>
      <c r="K10201">
        <v>9.68</v>
      </c>
      <c r="L10201">
        <v>16322</v>
      </c>
      <c r="M10201" t="s">
        <v>22</v>
      </c>
      <c r="N10201" t="str">
        <f>"5964        "</f>
        <v xml:space="preserve">5964        </v>
      </c>
      <c r="O10201">
        <v>240105</v>
      </c>
    </row>
    <row r="10202" spans="1:15" x14ac:dyDescent="0.25">
      <c r="A10202" t="s">
        <v>16</v>
      </c>
      <c r="B10202" t="s">
        <v>3221</v>
      </c>
      <c r="C10202">
        <v>18734</v>
      </c>
      <c r="D10202" t="s">
        <v>870</v>
      </c>
      <c r="E10202" t="s">
        <v>871</v>
      </c>
      <c r="F10202">
        <v>40.32</v>
      </c>
      <c r="G10202">
        <v>231228</v>
      </c>
      <c r="H10202">
        <v>4346</v>
      </c>
      <c r="I10202" t="s">
        <v>197</v>
      </c>
      <c r="J10202">
        <v>50</v>
      </c>
      <c r="K10202">
        <v>9.68</v>
      </c>
      <c r="L10202">
        <v>17538</v>
      </c>
      <c r="M10202" t="s">
        <v>24</v>
      </c>
      <c r="N10202" t="str">
        <f>"5964        "</f>
        <v xml:space="preserve">5964        </v>
      </c>
      <c r="O10202">
        <v>240105</v>
      </c>
    </row>
    <row r="10203" spans="1:15" x14ac:dyDescent="0.25">
      <c r="A10203" t="s">
        <v>16</v>
      </c>
      <c r="B10203" t="s">
        <v>3221</v>
      </c>
      <c r="C10203">
        <v>18734</v>
      </c>
      <c r="D10203" t="s">
        <v>870</v>
      </c>
      <c r="E10203" t="s">
        <v>871</v>
      </c>
      <c r="F10203">
        <v>354.84</v>
      </c>
      <c r="G10203">
        <v>231228</v>
      </c>
      <c r="H10203">
        <v>4346</v>
      </c>
      <c r="I10203" t="s">
        <v>197</v>
      </c>
      <c r="J10203">
        <v>440</v>
      </c>
      <c r="K10203">
        <v>85.16</v>
      </c>
      <c r="L10203">
        <v>17538</v>
      </c>
      <c r="M10203" t="s">
        <v>24</v>
      </c>
      <c r="N10203" t="str">
        <f>"5964        "</f>
        <v xml:space="preserve">5964        </v>
      </c>
      <c r="O10203">
        <v>240105</v>
      </c>
    </row>
    <row r="10204" spans="1:15" x14ac:dyDescent="0.25">
      <c r="A10204" t="s">
        <v>16</v>
      </c>
      <c r="B10204" t="s">
        <v>3221</v>
      </c>
      <c r="C10204">
        <v>1083</v>
      </c>
      <c r="D10204" t="s">
        <v>870</v>
      </c>
      <c r="E10204" t="s">
        <v>871</v>
      </c>
      <c r="F10204">
        <v>39</v>
      </c>
      <c r="G10204">
        <v>230201</v>
      </c>
      <c r="H10204">
        <v>4600</v>
      </c>
      <c r="I10204" t="s">
        <v>105</v>
      </c>
      <c r="J10204">
        <v>39</v>
      </c>
      <c r="K10204">
        <v>0</v>
      </c>
      <c r="L10204">
        <v>17971</v>
      </c>
      <c r="M10204" t="s">
        <v>138</v>
      </c>
      <c r="N10204" t="str">
        <f>"5706        "</f>
        <v xml:space="preserve">5706        </v>
      </c>
      <c r="O10204">
        <v>230203</v>
      </c>
    </row>
    <row r="10205" spans="1:15" x14ac:dyDescent="0.25">
      <c r="A10205" t="s">
        <v>16</v>
      </c>
      <c r="B10205" t="s">
        <v>3221</v>
      </c>
      <c r="C10205">
        <v>1083</v>
      </c>
      <c r="D10205" t="s">
        <v>870</v>
      </c>
      <c r="E10205" t="s">
        <v>871</v>
      </c>
      <c r="F10205">
        <v>39</v>
      </c>
      <c r="G10205">
        <v>230201</v>
      </c>
      <c r="H10205">
        <v>4600</v>
      </c>
      <c r="I10205" t="s">
        <v>105</v>
      </c>
      <c r="J10205">
        <v>39</v>
      </c>
      <c r="K10205">
        <v>0</v>
      </c>
      <c r="L10205">
        <v>17974</v>
      </c>
      <c r="M10205" t="s">
        <v>460</v>
      </c>
      <c r="N10205" t="str">
        <f>"5706        "</f>
        <v xml:space="preserve">5706        </v>
      </c>
      <c r="O10205">
        <v>230203</v>
      </c>
    </row>
    <row r="10206" spans="1:15" x14ac:dyDescent="0.25">
      <c r="A10206" t="s">
        <v>16</v>
      </c>
      <c r="B10206" t="s">
        <v>3221</v>
      </c>
      <c r="C10206">
        <v>2567</v>
      </c>
      <c r="D10206" t="s">
        <v>870</v>
      </c>
      <c r="E10206" t="s">
        <v>871</v>
      </c>
      <c r="F10206">
        <v>251.61</v>
      </c>
      <c r="G10206">
        <v>230301</v>
      </c>
      <c r="H10206">
        <v>4600</v>
      </c>
      <c r="I10206" t="s">
        <v>105</v>
      </c>
      <c r="J10206">
        <v>312</v>
      </c>
      <c r="K10206">
        <v>60.39</v>
      </c>
      <c r="L10206">
        <v>13501</v>
      </c>
      <c r="M10206" t="s">
        <v>20</v>
      </c>
      <c r="N10206" t="str">
        <f>"5721        "</f>
        <v xml:space="preserve">5721        </v>
      </c>
      <c r="O10206">
        <v>230302</v>
      </c>
    </row>
    <row r="10207" spans="1:15" x14ac:dyDescent="0.25">
      <c r="A10207" t="s">
        <v>16</v>
      </c>
      <c r="B10207" t="s">
        <v>3221</v>
      </c>
      <c r="C10207">
        <v>4066</v>
      </c>
      <c r="D10207" t="s">
        <v>870</v>
      </c>
      <c r="E10207" t="s">
        <v>871</v>
      </c>
      <c r="F10207">
        <v>29.03</v>
      </c>
      <c r="G10207">
        <v>230327</v>
      </c>
      <c r="H10207">
        <v>4600</v>
      </c>
      <c r="I10207" t="s">
        <v>105</v>
      </c>
      <c r="J10207">
        <v>36</v>
      </c>
      <c r="K10207">
        <v>6.97</v>
      </c>
      <c r="L10207">
        <v>17538</v>
      </c>
      <c r="M10207" t="s">
        <v>24</v>
      </c>
      <c r="N10207" t="str">
        <f>"5746        "</f>
        <v xml:space="preserve">5746        </v>
      </c>
      <c r="O10207">
        <v>230330</v>
      </c>
    </row>
    <row r="10208" spans="1:15" x14ac:dyDescent="0.25">
      <c r="A10208" t="s">
        <v>16</v>
      </c>
      <c r="B10208" t="s">
        <v>3221</v>
      </c>
      <c r="C10208">
        <v>4066</v>
      </c>
      <c r="D10208" t="s">
        <v>870</v>
      </c>
      <c r="E10208" t="s">
        <v>871</v>
      </c>
      <c r="F10208">
        <v>55</v>
      </c>
      <c r="G10208">
        <v>230327</v>
      </c>
      <c r="H10208">
        <v>4600</v>
      </c>
      <c r="I10208" t="s">
        <v>105</v>
      </c>
      <c r="J10208">
        <v>55</v>
      </c>
      <c r="K10208">
        <v>0</v>
      </c>
      <c r="L10208">
        <v>17971</v>
      </c>
      <c r="M10208" t="s">
        <v>138</v>
      </c>
      <c r="N10208" t="str">
        <f>"5746        "</f>
        <v xml:space="preserve">5746        </v>
      </c>
      <c r="O10208">
        <v>230330</v>
      </c>
    </row>
    <row r="10209" spans="1:15" x14ac:dyDescent="0.25">
      <c r="A10209" t="s">
        <v>16</v>
      </c>
      <c r="B10209" t="s">
        <v>3221</v>
      </c>
      <c r="C10209">
        <v>4222</v>
      </c>
      <c r="D10209" t="s">
        <v>870</v>
      </c>
      <c r="E10209" t="s">
        <v>871</v>
      </c>
      <c r="F10209">
        <v>12.9</v>
      </c>
      <c r="G10209">
        <v>230331</v>
      </c>
      <c r="H10209">
        <v>4600</v>
      </c>
      <c r="I10209" t="s">
        <v>105</v>
      </c>
      <c r="J10209">
        <v>16</v>
      </c>
      <c r="K10209">
        <v>3.1</v>
      </c>
      <c r="L10209">
        <v>17538</v>
      </c>
      <c r="M10209" t="s">
        <v>24</v>
      </c>
      <c r="N10209" t="str">
        <f>"5758        "</f>
        <v xml:space="preserve">5758        </v>
      </c>
      <c r="O10209">
        <v>230403</v>
      </c>
    </row>
    <row r="10210" spans="1:15" x14ac:dyDescent="0.25">
      <c r="A10210" t="s">
        <v>16</v>
      </c>
      <c r="B10210" t="s">
        <v>3221</v>
      </c>
      <c r="C10210">
        <v>8765</v>
      </c>
      <c r="D10210" t="s">
        <v>870</v>
      </c>
      <c r="E10210" t="s">
        <v>871</v>
      </c>
      <c r="F10210">
        <v>36.29</v>
      </c>
      <c r="G10210">
        <v>230613</v>
      </c>
      <c r="H10210">
        <v>4600</v>
      </c>
      <c r="I10210" t="s">
        <v>105</v>
      </c>
      <c r="J10210">
        <v>45</v>
      </c>
      <c r="K10210">
        <v>8.7100000000000009</v>
      </c>
      <c r="L10210">
        <v>17538</v>
      </c>
      <c r="M10210" t="s">
        <v>24</v>
      </c>
      <c r="N10210" t="str">
        <f>"5810        "</f>
        <v xml:space="preserve">5810        </v>
      </c>
      <c r="O10210">
        <v>230614</v>
      </c>
    </row>
    <row r="10211" spans="1:15" x14ac:dyDescent="0.25">
      <c r="A10211" t="s">
        <v>16</v>
      </c>
      <c r="B10211" t="s">
        <v>3221</v>
      </c>
      <c r="C10211">
        <v>8765</v>
      </c>
      <c r="D10211" t="s">
        <v>870</v>
      </c>
      <c r="E10211" t="s">
        <v>871</v>
      </c>
      <c r="F10211">
        <v>45.97</v>
      </c>
      <c r="G10211">
        <v>230613</v>
      </c>
      <c r="H10211">
        <v>4600</v>
      </c>
      <c r="I10211" t="s">
        <v>105</v>
      </c>
      <c r="J10211">
        <v>57</v>
      </c>
      <c r="K10211">
        <v>11.03</v>
      </c>
      <c r="L10211">
        <v>17972</v>
      </c>
      <c r="M10211" t="s">
        <v>248</v>
      </c>
      <c r="N10211" t="str">
        <f>"5810        "</f>
        <v xml:space="preserve">5810        </v>
      </c>
      <c r="O10211">
        <v>230614</v>
      </c>
    </row>
    <row r="10212" spans="1:15" x14ac:dyDescent="0.25">
      <c r="A10212" t="s">
        <v>16</v>
      </c>
      <c r="B10212" t="s">
        <v>3221</v>
      </c>
      <c r="C10212">
        <v>8776</v>
      </c>
      <c r="D10212" t="s">
        <v>870</v>
      </c>
      <c r="E10212" t="s">
        <v>871</v>
      </c>
      <c r="F10212">
        <v>790.32</v>
      </c>
      <c r="G10212">
        <v>230613</v>
      </c>
      <c r="H10212">
        <v>4600</v>
      </c>
      <c r="I10212" t="s">
        <v>105</v>
      </c>
      <c r="J10212">
        <v>980</v>
      </c>
      <c r="K10212">
        <v>189.68</v>
      </c>
      <c r="L10212">
        <v>17808</v>
      </c>
      <c r="M10212" t="s">
        <v>322</v>
      </c>
      <c r="N10212" t="str">
        <f>"5812        "</f>
        <v xml:space="preserve">5812        </v>
      </c>
      <c r="O10212">
        <v>230614</v>
      </c>
    </row>
    <row r="10213" spans="1:15" x14ac:dyDescent="0.25">
      <c r="A10213" t="s">
        <v>16</v>
      </c>
      <c r="B10213" t="s">
        <v>3221</v>
      </c>
      <c r="C10213">
        <v>8776</v>
      </c>
      <c r="D10213" t="s">
        <v>870</v>
      </c>
      <c r="E10213" t="s">
        <v>871</v>
      </c>
      <c r="F10213">
        <v>60.48</v>
      </c>
      <c r="G10213">
        <v>230613</v>
      </c>
      <c r="H10213">
        <v>4600</v>
      </c>
      <c r="I10213" t="s">
        <v>105</v>
      </c>
      <c r="J10213">
        <v>75</v>
      </c>
      <c r="K10213">
        <v>14.52</v>
      </c>
      <c r="L10213">
        <v>17972</v>
      </c>
      <c r="M10213" t="s">
        <v>248</v>
      </c>
      <c r="N10213" t="str">
        <f>"5812        "</f>
        <v xml:space="preserve">5812        </v>
      </c>
      <c r="O10213">
        <v>230614</v>
      </c>
    </row>
    <row r="10214" spans="1:15" x14ac:dyDescent="0.25">
      <c r="A10214" t="s">
        <v>16</v>
      </c>
      <c r="B10214" t="s">
        <v>3221</v>
      </c>
      <c r="C10214">
        <v>8794</v>
      </c>
      <c r="D10214" t="s">
        <v>870</v>
      </c>
      <c r="E10214" t="s">
        <v>871</v>
      </c>
      <c r="F10214">
        <v>40.32</v>
      </c>
      <c r="G10214">
        <v>230613</v>
      </c>
      <c r="H10214">
        <v>4600</v>
      </c>
      <c r="I10214" t="s">
        <v>105</v>
      </c>
      <c r="J10214">
        <v>50</v>
      </c>
      <c r="K10214">
        <v>9.68</v>
      </c>
      <c r="L10214">
        <v>17975</v>
      </c>
      <c r="M10214" t="s">
        <v>798</v>
      </c>
      <c r="N10214" t="str">
        <f>"5809        "</f>
        <v xml:space="preserve">5809        </v>
      </c>
      <c r="O10214">
        <v>230615</v>
      </c>
    </row>
    <row r="10215" spans="1:15" x14ac:dyDescent="0.25">
      <c r="A10215" t="s">
        <v>16</v>
      </c>
      <c r="B10215" t="s">
        <v>3221</v>
      </c>
      <c r="C10215">
        <v>8849</v>
      </c>
      <c r="D10215" t="s">
        <v>870</v>
      </c>
      <c r="E10215" t="s">
        <v>871</v>
      </c>
      <c r="F10215">
        <v>205.65</v>
      </c>
      <c r="G10215">
        <v>230613</v>
      </c>
      <c r="H10215">
        <v>4600</v>
      </c>
      <c r="I10215" t="s">
        <v>105</v>
      </c>
      <c r="J10215">
        <v>255</v>
      </c>
      <c r="K10215">
        <v>49.35</v>
      </c>
      <c r="L10215">
        <v>13561</v>
      </c>
      <c r="M10215" t="s">
        <v>246</v>
      </c>
      <c r="N10215" t="str">
        <f>"5811        "</f>
        <v xml:space="preserve">5811        </v>
      </c>
      <c r="O10215">
        <v>230619</v>
      </c>
    </row>
    <row r="10216" spans="1:15" x14ac:dyDescent="0.25">
      <c r="A10216" t="s">
        <v>16</v>
      </c>
      <c r="B10216" t="s">
        <v>3221</v>
      </c>
      <c r="C10216">
        <v>8849</v>
      </c>
      <c r="D10216" t="s">
        <v>870</v>
      </c>
      <c r="E10216" t="s">
        <v>871</v>
      </c>
      <c r="F10216">
        <v>1334.68</v>
      </c>
      <c r="G10216">
        <v>230613</v>
      </c>
      <c r="H10216">
        <v>4600</v>
      </c>
      <c r="I10216" t="s">
        <v>105</v>
      </c>
      <c r="J10216">
        <v>1655</v>
      </c>
      <c r="K10216">
        <v>320.32</v>
      </c>
      <c r="L10216">
        <v>17971</v>
      </c>
      <c r="M10216" t="s">
        <v>138</v>
      </c>
      <c r="N10216" t="str">
        <f>"5811        "</f>
        <v xml:space="preserve">5811        </v>
      </c>
      <c r="O10216">
        <v>230619</v>
      </c>
    </row>
    <row r="10217" spans="1:15" x14ac:dyDescent="0.25">
      <c r="A10217" t="s">
        <v>16</v>
      </c>
      <c r="B10217" t="s">
        <v>3221</v>
      </c>
      <c r="C10217">
        <v>11085</v>
      </c>
      <c r="D10217" t="s">
        <v>870</v>
      </c>
      <c r="E10217" t="s">
        <v>871</v>
      </c>
      <c r="F10217">
        <v>1943.55</v>
      </c>
      <c r="G10217">
        <v>230826</v>
      </c>
      <c r="H10217">
        <v>4600</v>
      </c>
      <c r="I10217" t="s">
        <v>105</v>
      </c>
      <c r="J10217">
        <v>2410</v>
      </c>
      <c r="K10217">
        <v>466.45</v>
      </c>
      <c r="L10217">
        <v>18972</v>
      </c>
      <c r="M10217" t="s">
        <v>163</v>
      </c>
      <c r="N10217" t="str">
        <f>"5866        "</f>
        <v xml:space="preserve">5866        </v>
      </c>
      <c r="O10217">
        <v>230830</v>
      </c>
    </row>
    <row r="10218" spans="1:15" x14ac:dyDescent="0.25">
      <c r="A10218" t="s">
        <v>16</v>
      </c>
      <c r="B10218" t="s">
        <v>3221</v>
      </c>
      <c r="C10218">
        <v>11522</v>
      </c>
      <c r="D10218" t="s">
        <v>870</v>
      </c>
      <c r="E10218" t="s">
        <v>871</v>
      </c>
      <c r="F10218">
        <v>145.16</v>
      </c>
      <c r="G10218">
        <v>230904</v>
      </c>
      <c r="H10218">
        <v>4600</v>
      </c>
      <c r="I10218" t="s">
        <v>105</v>
      </c>
      <c r="J10218">
        <v>180</v>
      </c>
      <c r="K10218">
        <v>34.840000000000003</v>
      </c>
      <c r="L10218">
        <v>17538</v>
      </c>
      <c r="M10218" t="s">
        <v>24</v>
      </c>
      <c r="N10218" t="str">
        <f>"5870        "</f>
        <v xml:space="preserve">5870        </v>
      </c>
      <c r="O10218">
        <v>230907</v>
      </c>
    </row>
    <row r="10219" spans="1:15" x14ac:dyDescent="0.25">
      <c r="A10219" t="s">
        <v>16</v>
      </c>
      <c r="B10219" t="s">
        <v>3221</v>
      </c>
      <c r="C10219">
        <v>11726</v>
      </c>
      <c r="D10219" t="s">
        <v>870</v>
      </c>
      <c r="E10219" t="s">
        <v>871</v>
      </c>
      <c r="F10219">
        <v>125</v>
      </c>
      <c r="G10219">
        <v>230904</v>
      </c>
      <c r="H10219">
        <v>4600</v>
      </c>
      <c r="I10219" t="s">
        <v>105</v>
      </c>
      <c r="J10219">
        <v>155</v>
      </c>
      <c r="K10219">
        <v>30</v>
      </c>
      <c r="L10219">
        <v>17912</v>
      </c>
      <c r="M10219" t="s">
        <v>419</v>
      </c>
      <c r="N10219" t="str">
        <f>"5871        "</f>
        <v xml:space="preserve">5871        </v>
      </c>
      <c r="O10219">
        <v>230908</v>
      </c>
    </row>
    <row r="10220" spans="1:15" x14ac:dyDescent="0.25">
      <c r="A10220" t="s">
        <v>16</v>
      </c>
      <c r="B10220" t="s">
        <v>3221</v>
      </c>
      <c r="C10220">
        <v>12890</v>
      </c>
      <c r="D10220" t="s">
        <v>870</v>
      </c>
      <c r="E10220" t="s">
        <v>871</v>
      </c>
      <c r="F10220">
        <v>131.72</v>
      </c>
      <c r="G10220">
        <v>230925</v>
      </c>
      <c r="H10220">
        <v>4600</v>
      </c>
      <c r="I10220" t="s">
        <v>105</v>
      </c>
      <c r="J10220">
        <v>163.33000000000001</v>
      </c>
      <c r="K10220">
        <v>31.61</v>
      </c>
      <c r="L10220">
        <v>13561</v>
      </c>
      <c r="M10220" t="s">
        <v>246</v>
      </c>
      <c r="N10220" t="str">
        <f>"5879        "</f>
        <v xml:space="preserve">5879        </v>
      </c>
      <c r="O10220">
        <v>230929</v>
      </c>
    </row>
    <row r="10221" spans="1:15" x14ac:dyDescent="0.25">
      <c r="A10221" t="s">
        <v>16</v>
      </c>
      <c r="B10221" t="s">
        <v>3221</v>
      </c>
      <c r="C10221">
        <v>12890</v>
      </c>
      <c r="D10221" t="s">
        <v>870</v>
      </c>
      <c r="E10221" t="s">
        <v>871</v>
      </c>
      <c r="F10221">
        <v>263.44</v>
      </c>
      <c r="G10221">
        <v>230925</v>
      </c>
      <c r="H10221">
        <v>4600</v>
      </c>
      <c r="I10221" t="s">
        <v>105</v>
      </c>
      <c r="J10221">
        <v>326.67</v>
      </c>
      <c r="K10221">
        <v>63.23</v>
      </c>
      <c r="L10221">
        <v>17971</v>
      </c>
      <c r="M10221" t="s">
        <v>138</v>
      </c>
      <c r="N10221" t="str">
        <f>"5879        "</f>
        <v xml:space="preserve">5879        </v>
      </c>
      <c r="O10221">
        <v>230929</v>
      </c>
    </row>
    <row r="10222" spans="1:15" x14ac:dyDescent="0.25">
      <c r="A10222" t="s">
        <v>16</v>
      </c>
      <c r="B10222" t="s">
        <v>3221</v>
      </c>
      <c r="C10222">
        <v>15378</v>
      </c>
      <c r="D10222" t="s">
        <v>870</v>
      </c>
      <c r="E10222" t="s">
        <v>871</v>
      </c>
      <c r="F10222">
        <v>31.45</v>
      </c>
      <c r="G10222">
        <v>231106</v>
      </c>
      <c r="H10222">
        <v>4600</v>
      </c>
      <c r="I10222" t="s">
        <v>105</v>
      </c>
      <c r="J10222">
        <v>39</v>
      </c>
      <c r="K10222">
        <v>7.55</v>
      </c>
      <c r="L10222">
        <v>13561</v>
      </c>
      <c r="M10222" t="s">
        <v>246</v>
      </c>
      <c r="N10222" t="str">
        <f>"5923        "</f>
        <v xml:space="preserve">5923        </v>
      </c>
      <c r="O10222">
        <v>231113</v>
      </c>
    </row>
    <row r="10223" spans="1:15" x14ac:dyDescent="0.25">
      <c r="A10223" t="s">
        <v>16</v>
      </c>
      <c r="B10223" t="s">
        <v>3221</v>
      </c>
      <c r="C10223">
        <v>15380</v>
      </c>
      <c r="D10223" t="s">
        <v>870</v>
      </c>
      <c r="E10223" t="s">
        <v>871</v>
      </c>
      <c r="F10223">
        <v>35</v>
      </c>
      <c r="G10223">
        <v>231106</v>
      </c>
      <c r="H10223">
        <v>4600</v>
      </c>
      <c r="I10223" t="s">
        <v>105</v>
      </c>
      <c r="J10223">
        <v>35</v>
      </c>
      <c r="K10223">
        <v>0</v>
      </c>
      <c r="L10223">
        <v>17805</v>
      </c>
      <c r="M10223" t="s">
        <v>102</v>
      </c>
      <c r="N10223" t="str">
        <f>"5921        "</f>
        <v xml:space="preserve">5921        </v>
      </c>
      <c r="O10223">
        <v>231113</v>
      </c>
    </row>
    <row r="10224" spans="1:15" x14ac:dyDescent="0.25">
      <c r="A10224" t="s">
        <v>16</v>
      </c>
      <c r="B10224" t="s">
        <v>3221</v>
      </c>
      <c r="C10224">
        <v>15381</v>
      </c>
      <c r="D10224" t="s">
        <v>870</v>
      </c>
      <c r="E10224" t="s">
        <v>871</v>
      </c>
      <c r="F10224">
        <v>44</v>
      </c>
      <c r="G10224">
        <v>231106</v>
      </c>
      <c r="H10224">
        <v>4600</v>
      </c>
      <c r="I10224" t="s">
        <v>105</v>
      </c>
      <c r="J10224">
        <v>44</v>
      </c>
      <c r="K10224">
        <v>0</v>
      </c>
      <c r="L10224">
        <v>17971</v>
      </c>
      <c r="M10224" t="s">
        <v>138</v>
      </c>
      <c r="N10224" t="str">
        <f>"5922        "</f>
        <v xml:space="preserve">5922        </v>
      </c>
      <c r="O10224">
        <v>231113</v>
      </c>
    </row>
    <row r="10225" spans="1:15" x14ac:dyDescent="0.25">
      <c r="A10225" t="s">
        <v>16</v>
      </c>
      <c r="B10225" t="s">
        <v>3221</v>
      </c>
      <c r="C10225">
        <v>15882</v>
      </c>
      <c r="D10225" t="s">
        <v>870</v>
      </c>
      <c r="E10225" t="s">
        <v>871</v>
      </c>
      <c r="F10225">
        <v>31.45</v>
      </c>
      <c r="G10225">
        <v>231106</v>
      </c>
      <c r="H10225">
        <v>4600</v>
      </c>
      <c r="I10225" t="s">
        <v>105</v>
      </c>
      <c r="J10225">
        <v>39</v>
      </c>
      <c r="K10225">
        <v>7.55</v>
      </c>
      <c r="L10225">
        <v>17524</v>
      </c>
      <c r="M10225" t="s">
        <v>452</v>
      </c>
      <c r="N10225" t="str">
        <f>"5919        "</f>
        <v xml:space="preserve">5919        </v>
      </c>
      <c r="O10225">
        <v>231121</v>
      </c>
    </row>
    <row r="10226" spans="1:15" x14ac:dyDescent="0.25">
      <c r="A10226" t="s">
        <v>16</v>
      </c>
      <c r="B10226" t="s">
        <v>3221</v>
      </c>
      <c r="C10226">
        <v>15882</v>
      </c>
      <c r="D10226" t="s">
        <v>870</v>
      </c>
      <c r="E10226" t="s">
        <v>871</v>
      </c>
      <c r="F10226">
        <v>31.45</v>
      </c>
      <c r="G10226">
        <v>231106</v>
      </c>
      <c r="H10226">
        <v>4600</v>
      </c>
      <c r="I10226" t="s">
        <v>105</v>
      </c>
      <c r="J10226">
        <v>39</v>
      </c>
      <c r="K10226">
        <v>7.55</v>
      </c>
      <c r="L10226">
        <v>17538</v>
      </c>
      <c r="M10226" t="s">
        <v>24</v>
      </c>
      <c r="N10226" t="str">
        <f>"5919        "</f>
        <v xml:space="preserve">5919        </v>
      </c>
      <c r="O10226">
        <v>231121</v>
      </c>
    </row>
    <row r="10227" spans="1:15" x14ac:dyDescent="0.25">
      <c r="A10227" t="s">
        <v>16</v>
      </c>
      <c r="B10227" t="s">
        <v>3221</v>
      </c>
      <c r="C10227">
        <v>15882</v>
      </c>
      <c r="D10227" t="s">
        <v>870</v>
      </c>
      <c r="E10227" t="s">
        <v>871</v>
      </c>
      <c r="F10227">
        <v>120.97</v>
      </c>
      <c r="G10227">
        <v>231106</v>
      </c>
      <c r="H10227">
        <v>4600</v>
      </c>
      <c r="I10227" t="s">
        <v>105</v>
      </c>
      <c r="J10227">
        <v>150</v>
      </c>
      <c r="K10227">
        <v>29.03</v>
      </c>
      <c r="L10227">
        <v>17538</v>
      </c>
      <c r="M10227" t="s">
        <v>24</v>
      </c>
      <c r="N10227" t="str">
        <f>"5919        "</f>
        <v xml:space="preserve">5919        </v>
      </c>
      <c r="O10227">
        <v>231121</v>
      </c>
    </row>
    <row r="10228" spans="1:15" x14ac:dyDescent="0.25">
      <c r="A10228" t="s">
        <v>16</v>
      </c>
      <c r="B10228" t="s">
        <v>3221</v>
      </c>
      <c r="C10228">
        <v>15882</v>
      </c>
      <c r="D10228" t="s">
        <v>870</v>
      </c>
      <c r="E10228" t="s">
        <v>871</v>
      </c>
      <c r="F10228">
        <v>37.9</v>
      </c>
      <c r="G10228">
        <v>231106</v>
      </c>
      <c r="H10228">
        <v>4600</v>
      </c>
      <c r="I10228" t="s">
        <v>105</v>
      </c>
      <c r="J10228">
        <v>47</v>
      </c>
      <c r="K10228">
        <v>9.1</v>
      </c>
      <c r="L10228">
        <v>17950</v>
      </c>
      <c r="M10228" t="s">
        <v>86</v>
      </c>
      <c r="N10228" t="str">
        <f>"5919        "</f>
        <v xml:space="preserve">5919        </v>
      </c>
      <c r="O10228">
        <v>231121</v>
      </c>
    </row>
    <row r="10229" spans="1:15" x14ac:dyDescent="0.25">
      <c r="A10229" t="s">
        <v>16</v>
      </c>
      <c r="B10229" t="s">
        <v>3221</v>
      </c>
      <c r="C10229">
        <v>15882</v>
      </c>
      <c r="D10229" t="s">
        <v>870</v>
      </c>
      <c r="E10229" t="s">
        <v>871</v>
      </c>
      <c r="F10229">
        <v>40.32</v>
      </c>
      <c r="G10229">
        <v>231106</v>
      </c>
      <c r="H10229">
        <v>4600</v>
      </c>
      <c r="I10229" t="s">
        <v>105</v>
      </c>
      <c r="J10229">
        <v>50</v>
      </c>
      <c r="K10229">
        <v>9.68</v>
      </c>
      <c r="L10229">
        <v>17972</v>
      </c>
      <c r="M10229" t="s">
        <v>248</v>
      </c>
      <c r="N10229" t="str">
        <f>"5919        "</f>
        <v xml:space="preserve">5919        </v>
      </c>
      <c r="O10229">
        <v>231121</v>
      </c>
    </row>
    <row r="10230" spans="1:15" x14ac:dyDescent="0.25">
      <c r="A10230" t="s">
        <v>16</v>
      </c>
      <c r="B10230" t="s">
        <v>3221</v>
      </c>
      <c r="C10230">
        <v>15906</v>
      </c>
      <c r="D10230" t="s">
        <v>870</v>
      </c>
      <c r="E10230" t="s">
        <v>871</v>
      </c>
      <c r="F10230">
        <v>32.26</v>
      </c>
      <c r="G10230">
        <v>231106</v>
      </c>
      <c r="H10230">
        <v>4600</v>
      </c>
      <c r="I10230" t="s">
        <v>105</v>
      </c>
      <c r="J10230">
        <v>40</v>
      </c>
      <c r="K10230">
        <v>7.74</v>
      </c>
      <c r="L10230">
        <v>17971</v>
      </c>
      <c r="M10230" t="s">
        <v>138</v>
      </c>
      <c r="N10230" t="str">
        <f>"5920        "</f>
        <v xml:space="preserve">5920        </v>
      </c>
      <c r="O10230">
        <v>231122</v>
      </c>
    </row>
    <row r="10231" spans="1:15" x14ac:dyDescent="0.25">
      <c r="A10231" t="s">
        <v>16</v>
      </c>
      <c r="B10231" t="s">
        <v>3221</v>
      </c>
      <c r="C10231">
        <v>15906</v>
      </c>
      <c r="D10231" t="s">
        <v>870</v>
      </c>
      <c r="E10231" t="s">
        <v>871</v>
      </c>
      <c r="F10231">
        <v>73.39</v>
      </c>
      <c r="G10231">
        <v>231106</v>
      </c>
      <c r="H10231">
        <v>4600</v>
      </c>
      <c r="I10231" t="s">
        <v>105</v>
      </c>
      <c r="J10231">
        <v>91</v>
      </c>
      <c r="K10231">
        <v>17.61</v>
      </c>
      <c r="L10231">
        <v>17971</v>
      </c>
      <c r="M10231" t="s">
        <v>138</v>
      </c>
      <c r="N10231" t="str">
        <f>"5920        "</f>
        <v xml:space="preserve">5920        </v>
      </c>
      <c r="O10231">
        <v>231122</v>
      </c>
    </row>
    <row r="10232" spans="1:15" x14ac:dyDescent="0.25">
      <c r="A10232" t="s">
        <v>16</v>
      </c>
      <c r="B10232" t="s">
        <v>3221</v>
      </c>
      <c r="C10232">
        <v>18473</v>
      </c>
      <c r="D10232" t="s">
        <v>870</v>
      </c>
      <c r="E10232" t="s">
        <v>871</v>
      </c>
      <c r="F10232">
        <v>96.77</v>
      </c>
      <c r="G10232">
        <v>231228</v>
      </c>
      <c r="H10232">
        <v>4600</v>
      </c>
      <c r="I10232" t="s">
        <v>105</v>
      </c>
      <c r="J10232">
        <v>120</v>
      </c>
      <c r="K10232">
        <v>23.23</v>
      </c>
      <c r="L10232">
        <v>17972</v>
      </c>
      <c r="M10232" t="s">
        <v>248</v>
      </c>
      <c r="N10232" t="str">
        <f>"5965        "</f>
        <v xml:space="preserve">5965        </v>
      </c>
      <c r="O10232">
        <v>240103</v>
      </c>
    </row>
    <row r="10233" spans="1:15" x14ac:dyDescent="0.25">
      <c r="A10233" t="s">
        <v>16</v>
      </c>
      <c r="B10233" t="s">
        <v>3221</v>
      </c>
      <c r="C10233">
        <v>18477</v>
      </c>
      <c r="D10233" t="s">
        <v>870</v>
      </c>
      <c r="E10233" t="s">
        <v>871</v>
      </c>
      <c r="F10233">
        <v>32.26</v>
      </c>
      <c r="G10233">
        <v>231228</v>
      </c>
      <c r="H10233">
        <v>4600</v>
      </c>
      <c r="I10233" t="s">
        <v>105</v>
      </c>
      <c r="J10233">
        <v>40</v>
      </c>
      <c r="K10233">
        <v>7.74</v>
      </c>
      <c r="L10233">
        <v>17971</v>
      </c>
      <c r="M10233" t="s">
        <v>138</v>
      </c>
      <c r="N10233" t="str">
        <f>"5968        "</f>
        <v xml:space="preserve">5968        </v>
      </c>
      <c r="O10233">
        <v>240103</v>
      </c>
    </row>
    <row r="10234" spans="1:15" x14ac:dyDescent="0.25">
      <c r="A10234" t="s">
        <v>16</v>
      </c>
      <c r="B10234" t="s">
        <v>3221</v>
      </c>
      <c r="C10234">
        <v>18703</v>
      </c>
      <c r="D10234" t="s">
        <v>870</v>
      </c>
      <c r="E10234" t="s">
        <v>871</v>
      </c>
      <c r="F10234">
        <v>40.32</v>
      </c>
      <c r="G10234">
        <v>231228</v>
      </c>
      <c r="H10234">
        <v>4600</v>
      </c>
      <c r="I10234" t="s">
        <v>105</v>
      </c>
      <c r="J10234">
        <v>50</v>
      </c>
      <c r="K10234">
        <v>9.68</v>
      </c>
      <c r="L10234">
        <v>13501</v>
      </c>
      <c r="M10234" t="s">
        <v>20</v>
      </c>
      <c r="N10234" t="str">
        <f>"5969        "</f>
        <v xml:space="preserve">5969        </v>
      </c>
      <c r="O10234">
        <v>240105</v>
      </c>
    </row>
    <row r="10235" spans="1:15" x14ac:dyDescent="0.25">
      <c r="A10235" t="s">
        <v>16</v>
      </c>
      <c r="B10235" t="s">
        <v>3221</v>
      </c>
      <c r="C10235">
        <v>18878</v>
      </c>
      <c r="D10235" t="s">
        <v>870</v>
      </c>
      <c r="E10235" t="s">
        <v>871</v>
      </c>
      <c r="F10235">
        <v>42.74</v>
      </c>
      <c r="G10235">
        <v>231228</v>
      </c>
      <c r="H10235">
        <v>4600</v>
      </c>
      <c r="I10235" t="s">
        <v>105</v>
      </c>
      <c r="J10235">
        <v>53</v>
      </c>
      <c r="K10235">
        <v>10.26</v>
      </c>
      <c r="L10235">
        <v>17538</v>
      </c>
      <c r="M10235" t="s">
        <v>24</v>
      </c>
      <c r="N10235" t="str">
        <f>"5967        "</f>
        <v xml:space="preserve">5967        </v>
      </c>
      <c r="O10235">
        <v>240108</v>
      </c>
    </row>
    <row r="10236" spans="1:15" x14ac:dyDescent="0.25">
      <c r="A10236" t="s">
        <v>16</v>
      </c>
      <c r="B10236" t="s">
        <v>3221</v>
      </c>
      <c r="C10236">
        <v>16400</v>
      </c>
      <c r="D10236" t="s">
        <v>1388</v>
      </c>
      <c r="E10236" t="s">
        <v>1389</v>
      </c>
      <c r="F10236">
        <v>225</v>
      </c>
      <c r="G10236">
        <v>231122</v>
      </c>
      <c r="H10236">
        <v>4420</v>
      </c>
      <c r="I10236" t="s">
        <v>132</v>
      </c>
      <c r="J10236">
        <v>279</v>
      </c>
      <c r="K10236">
        <v>54</v>
      </c>
      <c r="L10236">
        <v>17803</v>
      </c>
      <c r="M10236" t="s">
        <v>389</v>
      </c>
      <c r="N10236" t="str">
        <f>"1473        "</f>
        <v xml:space="preserve">1473        </v>
      </c>
      <c r="O10236">
        <v>231129</v>
      </c>
    </row>
    <row r="10237" spans="1:15" x14ac:dyDescent="0.25">
      <c r="A10237" t="s">
        <v>16</v>
      </c>
      <c r="B10237" t="s">
        <v>3221</v>
      </c>
      <c r="C10237">
        <v>2419</v>
      </c>
      <c r="D10237" t="s">
        <v>1388</v>
      </c>
      <c r="E10237" t="s">
        <v>1389</v>
      </c>
      <c r="F10237">
        <v>422.67</v>
      </c>
      <c r="G10237">
        <v>230224</v>
      </c>
      <c r="H10237">
        <v>4380</v>
      </c>
      <c r="I10237" t="s">
        <v>113</v>
      </c>
      <c r="J10237">
        <v>524.11</v>
      </c>
      <c r="K10237">
        <v>101.44</v>
      </c>
      <c r="L10237">
        <v>17952</v>
      </c>
      <c r="M10237" t="s">
        <v>88</v>
      </c>
      <c r="N10237" t="str">
        <f>"1321        "</f>
        <v xml:space="preserve">1321        </v>
      </c>
      <c r="O10237">
        <v>230227</v>
      </c>
    </row>
    <row r="10238" spans="1:15" x14ac:dyDescent="0.25">
      <c r="A10238" t="s">
        <v>16</v>
      </c>
      <c r="B10238" t="s">
        <v>3221</v>
      </c>
      <c r="C10238">
        <v>8519</v>
      </c>
      <c r="D10238" t="s">
        <v>1388</v>
      </c>
      <c r="E10238" t="s">
        <v>1389</v>
      </c>
      <c r="F10238">
        <v>392</v>
      </c>
      <c r="G10238">
        <v>230524</v>
      </c>
      <c r="H10238">
        <v>4390</v>
      </c>
      <c r="I10238" t="s">
        <v>98</v>
      </c>
      <c r="J10238">
        <v>486.08</v>
      </c>
      <c r="K10238">
        <v>94.08</v>
      </c>
      <c r="L10238">
        <v>17737</v>
      </c>
      <c r="M10238" t="s">
        <v>279</v>
      </c>
      <c r="N10238" t="str">
        <f>"1355        "</f>
        <v xml:space="preserve">1355        </v>
      </c>
      <c r="O10238">
        <v>230612</v>
      </c>
    </row>
    <row r="10239" spans="1:15" x14ac:dyDescent="0.25">
      <c r="A10239" t="s">
        <v>16</v>
      </c>
      <c r="B10239" t="s">
        <v>3221</v>
      </c>
      <c r="C10239">
        <v>8519</v>
      </c>
      <c r="D10239" t="s">
        <v>1388</v>
      </c>
      <c r="E10239" t="s">
        <v>1389</v>
      </c>
      <c r="F10239">
        <v>941.1</v>
      </c>
      <c r="G10239">
        <v>230524</v>
      </c>
      <c r="H10239">
        <v>4590</v>
      </c>
      <c r="I10239" t="s">
        <v>203</v>
      </c>
      <c r="J10239">
        <v>1166.96</v>
      </c>
      <c r="K10239">
        <v>225.86</v>
      </c>
      <c r="L10239">
        <v>17737</v>
      </c>
      <c r="M10239" t="s">
        <v>279</v>
      </c>
      <c r="N10239" t="str">
        <f>"1355        "</f>
        <v xml:space="preserve">1355        </v>
      </c>
      <c r="O10239">
        <v>230612</v>
      </c>
    </row>
    <row r="10240" spans="1:15" x14ac:dyDescent="0.25">
      <c r="A10240" t="s">
        <v>16</v>
      </c>
      <c r="B10240" t="s">
        <v>3221</v>
      </c>
      <c r="C10240">
        <v>8519</v>
      </c>
      <c r="D10240" t="s">
        <v>1388</v>
      </c>
      <c r="E10240" t="s">
        <v>1389</v>
      </c>
      <c r="F10240">
        <v>1455.22</v>
      </c>
      <c r="G10240">
        <v>230524</v>
      </c>
      <c r="H10240">
        <v>4590</v>
      </c>
      <c r="I10240" t="s">
        <v>203</v>
      </c>
      <c r="J10240">
        <v>1804.47</v>
      </c>
      <c r="K10240">
        <v>349.25</v>
      </c>
      <c r="L10240">
        <v>17952</v>
      </c>
      <c r="M10240" t="s">
        <v>88</v>
      </c>
      <c r="N10240" t="str">
        <f>"1355        "</f>
        <v xml:space="preserve">1355        </v>
      </c>
      <c r="O10240">
        <v>230612</v>
      </c>
    </row>
    <row r="10241" spans="1:15" x14ac:dyDescent="0.25">
      <c r="A10241" t="s">
        <v>16</v>
      </c>
      <c r="B10241" t="s">
        <v>3221</v>
      </c>
      <c r="C10241">
        <v>7828</v>
      </c>
      <c r="D10241" t="s">
        <v>2130</v>
      </c>
      <c r="E10241" t="s">
        <v>2131</v>
      </c>
      <c r="F10241">
        <v>375.65</v>
      </c>
      <c r="G10241">
        <v>230601</v>
      </c>
      <c r="H10241">
        <v>4420</v>
      </c>
      <c r="I10241" t="s">
        <v>132</v>
      </c>
      <c r="J10241">
        <v>465.81</v>
      </c>
      <c r="K10241">
        <v>90.16</v>
      </c>
      <c r="L10241">
        <v>66754</v>
      </c>
      <c r="M10241" t="s">
        <v>239</v>
      </c>
      <c r="N10241" t="str">
        <f>"40181065    "</f>
        <v xml:space="preserve">40181065    </v>
      </c>
      <c r="O10241">
        <v>230605</v>
      </c>
    </row>
    <row r="10242" spans="1:15" x14ac:dyDescent="0.25">
      <c r="A10242" t="s">
        <v>16</v>
      </c>
      <c r="B10242" t="s">
        <v>3221</v>
      </c>
      <c r="C10242">
        <v>9057</v>
      </c>
      <c r="D10242" t="s">
        <v>2244</v>
      </c>
      <c r="E10242" t="s">
        <v>2245</v>
      </c>
      <c r="F10242">
        <v>1147.5</v>
      </c>
      <c r="G10242">
        <v>230619</v>
      </c>
      <c r="H10242">
        <v>4420</v>
      </c>
      <c r="I10242" t="s">
        <v>132</v>
      </c>
      <c r="J10242">
        <v>1422.9</v>
      </c>
      <c r="K10242">
        <v>275.39999999999998</v>
      </c>
      <c r="L10242">
        <v>56564</v>
      </c>
      <c r="M10242" t="s">
        <v>327</v>
      </c>
      <c r="N10242" t="str">
        <f>"56          "</f>
        <v xml:space="preserve">56          </v>
      </c>
      <c r="O10242">
        <v>230622</v>
      </c>
    </row>
    <row r="10243" spans="1:15" x14ac:dyDescent="0.25">
      <c r="A10243" t="s">
        <v>16</v>
      </c>
      <c r="B10243" t="s">
        <v>3221</v>
      </c>
      <c r="C10243">
        <v>19281</v>
      </c>
      <c r="D10243" t="s">
        <v>3176</v>
      </c>
      <c r="E10243" t="s">
        <v>3177</v>
      </c>
      <c r="F10243">
        <v>23.1</v>
      </c>
      <c r="G10243">
        <v>240115</v>
      </c>
      <c r="H10243">
        <v>4380</v>
      </c>
      <c r="I10243" t="s">
        <v>113</v>
      </c>
      <c r="J10243">
        <v>28.64</v>
      </c>
      <c r="K10243">
        <v>5.54</v>
      </c>
      <c r="L10243">
        <v>13540</v>
      </c>
      <c r="M10243" t="s">
        <v>85</v>
      </c>
      <c r="N10243" t="str">
        <f>"1684        "</f>
        <v xml:space="preserve">1684        </v>
      </c>
      <c r="O10243">
        <v>240116</v>
      </c>
    </row>
    <row r="10244" spans="1:15" x14ac:dyDescent="0.25">
      <c r="A10244" t="s">
        <v>16</v>
      </c>
      <c r="B10244" t="s">
        <v>3221</v>
      </c>
      <c r="C10244">
        <v>19281</v>
      </c>
      <c r="D10244" t="s">
        <v>3176</v>
      </c>
      <c r="E10244" t="s">
        <v>3177</v>
      </c>
      <c r="F10244">
        <v>220</v>
      </c>
      <c r="G10244">
        <v>240115</v>
      </c>
      <c r="H10244">
        <v>4380</v>
      </c>
      <c r="I10244" t="s">
        <v>113</v>
      </c>
      <c r="J10244">
        <v>272.8</v>
      </c>
      <c r="K10244">
        <v>52.8</v>
      </c>
      <c r="L10244">
        <v>17523</v>
      </c>
      <c r="M10244" t="s">
        <v>134</v>
      </c>
      <c r="N10244" t="str">
        <f>"1684        "</f>
        <v xml:space="preserve">1684        </v>
      </c>
      <c r="O10244">
        <v>240116</v>
      </c>
    </row>
    <row r="10245" spans="1:15" x14ac:dyDescent="0.25">
      <c r="A10245" t="s">
        <v>16</v>
      </c>
      <c r="B10245" t="s">
        <v>3221</v>
      </c>
      <c r="C10245">
        <v>19281</v>
      </c>
      <c r="D10245" t="s">
        <v>3176</v>
      </c>
      <c r="E10245" t="s">
        <v>3177</v>
      </c>
      <c r="F10245">
        <v>55</v>
      </c>
      <c r="G10245">
        <v>240115</v>
      </c>
      <c r="H10245">
        <v>4380</v>
      </c>
      <c r="I10245" t="s">
        <v>113</v>
      </c>
      <c r="J10245">
        <v>68.2</v>
      </c>
      <c r="K10245">
        <v>13.2</v>
      </c>
      <c r="L10245">
        <v>17527</v>
      </c>
      <c r="M10245" t="s">
        <v>422</v>
      </c>
      <c r="N10245" t="str">
        <f>"1684        "</f>
        <v xml:space="preserve">1684        </v>
      </c>
      <c r="O10245">
        <v>240116</v>
      </c>
    </row>
    <row r="10246" spans="1:15" x14ac:dyDescent="0.25">
      <c r="A10246" t="s">
        <v>16</v>
      </c>
      <c r="B10246" t="s">
        <v>3221</v>
      </c>
      <c r="C10246">
        <v>19281</v>
      </c>
      <c r="D10246" t="s">
        <v>3176</v>
      </c>
      <c r="E10246" t="s">
        <v>3177</v>
      </c>
      <c r="F10246">
        <v>186.9</v>
      </c>
      <c r="G10246">
        <v>240115</v>
      </c>
      <c r="H10246">
        <v>4380</v>
      </c>
      <c r="I10246" t="s">
        <v>113</v>
      </c>
      <c r="J10246">
        <v>231.76</v>
      </c>
      <c r="K10246">
        <v>44.86</v>
      </c>
      <c r="L10246">
        <v>17950</v>
      </c>
      <c r="M10246" t="s">
        <v>86</v>
      </c>
      <c r="N10246" t="str">
        <f>"1684        "</f>
        <v xml:space="preserve">1684        </v>
      </c>
      <c r="O10246">
        <v>240116</v>
      </c>
    </row>
    <row r="10247" spans="1:15" x14ac:dyDescent="0.25">
      <c r="A10247" t="s">
        <v>16</v>
      </c>
      <c r="B10247" t="s">
        <v>3221</v>
      </c>
      <c r="C10247">
        <v>18167</v>
      </c>
      <c r="D10247" t="s">
        <v>3129</v>
      </c>
      <c r="E10247" t="s">
        <v>3130</v>
      </c>
      <c r="F10247">
        <v>710</v>
      </c>
      <c r="G10247">
        <v>231218</v>
      </c>
      <c r="H10247">
        <v>4364</v>
      </c>
      <c r="I10247" t="s">
        <v>296</v>
      </c>
      <c r="J10247">
        <v>880.4</v>
      </c>
      <c r="K10247">
        <v>170.4</v>
      </c>
      <c r="L10247">
        <v>17737</v>
      </c>
      <c r="M10247" t="s">
        <v>279</v>
      </c>
      <c r="N10247" t="str">
        <f>"29272       "</f>
        <v xml:space="preserve">29272       </v>
      </c>
      <c r="O10247">
        <v>240102</v>
      </c>
    </row>
    <row r="10248" spans="1:15" x14ac:dyDescent="0.25">
      <c r="A10248" t="s">
        <v>16</v>
      </c>
      <c r="B10248" t="s">
        <v>3221</v>
      </c>
      <c r="C10248">
        <v>5194</v>
      </c>
      <c r="D10248" t="s">
        <v>1805</v>
      </c>
      <c r="E10248" t="s">
        <v>1806</v>
      </c>
      <c r="F10248">
        <v>25</v>
      </c>
      <c r="G10248">
        <v>230417</v>
      </c>
      <c r="H10248">
        <v>4420</v>
      </c>
      <c r="I10248" t="s">
        <v>132</v>
      </c>
      <c r="J10248">
        <v>31</v>
      </c>
      <c r="K10248">
        <v>6</v>
      </c>
      <c r="L10248">
        <v>13802</v>
      </c>
      <c r="M10248" t="s">
        <v>200</v>
      </c>
      <c r="N10248" t="str">
        <f>"58/170423   "</f>
        <v xml:space="preserve">58/170423   </v>
      </c>
      <c r="O10248">
        <v>230419</v>
      </c>
    </row>
    <row r="10249" spans="1:15" x14ac:dyDescent="0.25">
      <c r="A10249" t="s">
        <v>16</v>
      </c>
      <c r="B10249" t="s">
        <v>3221</v>
      </c>
      <c r="C10249">
        <v>6769</v>
      </c>
      <c r="D10249" t="s">
        <v>1805</v>
      </c>
      <c r="E10249" t="s">
        <v>1806</v>
      </c>
      <c r="F10249">
        <v>25</v>
      </c>
      <c r="G10249">
        <v>230515</v>
      </c>
      <c r="H10249">
        <v>4420</v>
      </c>
      <c r="I10249" t="s">
        <v>132</v>
      </c>
      <c r="J10249">
        <v>31</v>
      </c>
      <c r="K10249">
        <v>6</v>
      </c>
      <c r="L10249">
        <v>13801</v>
      </c>
      <c r="M10249" t="s">
        <v>162</v>
      </c>
      <c r="N10249" t="str">
        <f>"77          "</f>
        <v xml:space="preserve">77          </v>
      </c>
      <c r="O10249">
        <v>230522</v>
      </c>
    </row>
    <row r="10250" spans="1:15" x14ac:dyDescent="0.25">
      <c r="A10250" t="s">
        <v>16</v>
      </c>
      <c r="B10250" t="s">
        <v>3221</v>
      </c>
      <c r="C10250">
        <v>13804</v>
      </c>
      <c r="D10250" t="s">
        <v>1805</v>
      </c>
      <c r="E10250" t="s">
        <v>1806</v>
      </c>
      <c r="F10250">
        <v>190</v>
      </c>
      <c r="G10250">
        <v>231012</v>
      </c>
      <c r="H10250">
        <v>4420</v>
      </c>
      <c r="I10250" t="s">
        <v>132</v>
      </c>
      <c r="J10250">
        <v>235.6</v>
      </c>
      <c r="K10250">
        <v>45.6</v>
      </c>
      <c r="L10250">
        <v>13801</v>
      </c>
      <c r="M10250" t="s">
        <v>162</v>
      </c>
      <c r="N10250" t="str">
        <f>"180         "</f>
        <v xml:space="preserve">180         </v>
      </c>
      <c r="O10250">
        <v>231013</v>
      </c>
    </row>
    <row r="10251" spans="1:15" x14ac:dyDescent="0.25">
      <c r="A10251" t="s">
        <v>16</v>
      </c>
      <c r="B10251" t="s">
        <v>3221</v>
      </c>
      <c r="C10251">
        <v>9151</v>
      </c>
      <c r="D10251" t="s">
        <v>2261</v>
      </c>
      <c r="E10251" t="s">
        <v>2262</v>
      </c>
      <c r="F10251">
        <v>230</v>
      </c>
      <c r="G10251">
        <v>230623</v>
      </c>
      <c r="H10251">
        <v>4420</v>
      </c>
      <c r="I10251" t="s">
        <v>132</v>
      </c>
      <c r="J10251">
        <v>285.2</v>
      </c>
      <c r="K10251">
        <v>55.2</v>
      </c>
      <c r="L10251">
        <v>67554</v>
      </c>
      <c r="M10251" t="s">
        <v>60</v>
      </c>
      <c r="N10251" t="str">
        <f>"100132      "</f>
        <v xml:space="preserve">100132      </v>
      </c>
      <c r="O10251">
        <v>230628</v>
      </c>
    </row>
    <row r="10252" spans="1:15" x14ac:dyDescent="0.25">
      <c r="A10252" t="s">
        <v>16</v>
      </c>
      <c r="B10252" t="s">
        <v>3221</v>
      </c>
      <c r="C10252">
        <v>8111</v>
      </c>
      <c r="D10252" t="s">
        <v>2154</v>
      </c>
      <c r="E10252" t="s">
        <v>2155</v>
      </c>
      <c r="F10252">
        <v>41.03</v>
      </c>
      <c r="G10252">
        <v>230531</v>
      </c>
      <c r="H10252">
        <v>4380</v>
      </c>
      <c r="I10252" t="s">
        <v>113</v>
      </c>
      <c r="J10252">
        <v>50.88</v>
      </c>
      <c r="K10252">
        <v>9.85</v>
      </c>
      <c r="L10252">
        <v>59112</v>
      </c>
      <c r="M10252" t="s">
        <v>182</v>
      </c>
      <c r="N10252" t="str">
        <f>"295051      "</f>
        <v xml:space="preserve">295051      </v>
      </c>
      <c r="O10252">
        <v>230607</v>
      </c>
    </row>
    <row r="10253" spans="1:15" x14ac:dyDescent="0.25">
      <c r="A10253" t="s">
        <v>16</v>
      </c>
      <c r="B10253" t="s">
        <v>3221</v>
      </c>
      <c r="C10253">
        <v>8111</v>
      </c>
      <c r="D10253" t="s">
        <v>2154</v>
      </c>
      <c r="E10253" t="s">
        <v>2155</v>
      </c>
      <c r="F10253">
        <v>110.94</v>
      </c>
      <c r="G10253">
        <v>230531</v>
      </c>
      <c r="H10253">
        <v>4380</v>
      </c>
      <c r="I10253" t="s">
        <v>113</v>
      </c>
      <c r="J10253">
        <v>137.56</v>
      </c>
      <c r="K10253">
        <v>26.62</v>
      </c>
      <c r="L10253">
        <v>59504</v>
      </c>
      <c r="M10253" t="s">
        <v>71</v>
      </c>
      <c r="N10253" t="str">
        <f>"295051      "</f>
        <v xml:space="preserve">295051      </v>
      </c>
      <c r="O10253">
        <v>230607</v>
      </c>
    </row>
    <row r="10254" spans="1:15" x14ac:dyDescent="0.25">
      <c r="A10254" t="s">
        <v>16</v>
      </c>
      <c r="B10254" t="s">
        <v>3221</v>
      </c>
      <c r="C10254">
        <v>9254</v>
      </c>
      <c r="D10254" t="s">
        <v>2154</v>
      </c>
      <c r="E10254" t="s">
        <v>2155</v>
      </c>
      <c r="F10254">
        <v>265.52999999999997</v>
      </c>
      <c r="G10254">
        <v>230629</v>
      </c>
      <c r="H10254">
        <v>4380</v>
      </c>
      <c r="I10254" t="s">
        <v>113</v>
      </c>
      <c r="J10254">
        <v>329.26</v>
      </c>
      <c r="K10254">
        <v>63.73</v>
      </c>
      <c r="L10254">
        <v>59501</v>
      </c>
      <c r="M10254" t="s">
        <v>69</v>
      </c>
      <c r="N10254" t="str">
        <f>"295167      "</f>
        <v xml:space="preserve">295167      </v>
      </c>
      <c r="O10254">
        <v>230703</v>
      </c>
    </row>
    <row r="10255" spans="1:15" x14ac:dyDescent="0.25">
      <c r="A10255" t="s">
        <v>16</v>
      </c>
      <c r="B10255" t="s">
        <v>3221</v>
      </c>
      <c r="C10255">
        <v>17644</v>
      </c>
      <c r="D10255" t="s">
        <v>2154</v>
      </c>
      <c r="E10255" t="s">
        <v>2155</v>
      </c>
      <c r="F10255">
        <v>147.49</v>
      </c>
      <c r="G10255">
        <v>231130</v>
      </c>
      <c r="H10255">
        <v>4380</v>
      </c>
      <c r="I10255" t="s">
        <v>113</v>
      </c>
      <c r="J10255">
        <v>182.89</v>
      </c>
      <c r="K10255">
        <v>35.4</v>
      </c>
      <c r="L10255">
        <v>59504</v>
      </c>
      <c r="M10255" t="s">
        <v>71</v>
      </c>
      <c r="N10255" t="str">
        <f>"303739      "</f>
        <v xml:space="preserve">303739      </v>
      </c>
      <c r="O10255">
        <v>231218</v>
      </c>
    </row>
    <row r="10256" spans="1:15" x14ac:dyDescent="0.25">
      <c r="A10256" t="s">
        <v>16</v>
      </c>
      <c r="B10256" t="s">
        <v>3221</v>
      </c>
      <c r="C10256">
        <v>18433</v>
      </c>
      <c r="D10256" t="s">
        <v>3141</v>
      </c>
      <c r="E10256" t="s">
        <v>3142</v>
      </c>
      <c r="F10256">
        <v>882</v>
      </c>
      <c r="G10256">
        <v>231219</v>
      </c>
      <c r="H10256">
        <v>4600</v>
      </c>
      <c r="I10256" t="s">
        <v>105</v>
      </c>
      <c r="J10256">
        <v>1093.68</v>
      </c>
      <c r="K10256">
        <v>211.68</v>
      </c>
      <c r="L10256">
        <v>17711</v>
      </c>
      <c r="M10256" t="s">
        <v>65</v>
      </c>
      <c r="N10256" t="str">
        <f>"6023120021  "</f>
        <v xml:space="preserve">6023120021  </v>
      </c>
      <c r="O10256">
        <v>240103</v>
      </c>
    </row>
    <row r="10257" spans="1:15" x14ac:dyDescent="0.25">
      <c r="A10257" t="s">
        <v>16</v>
      </c>
      <c r="B10257" t="s">
        <v>3221</v>
      </c>
      <c r="C10257">
        <v>18433</v>
      </c>
      <c r="D10257" t="s">
        <v>3141</v>
      </c>
      <c r="E10257" t="s">
        <v>3142</v>
      </c>
      <c r="F10257">
        <v>378</v>
      </c>
      <c r="G10257">
        <v>231219</v>
      </c>
      <c r="H10257">
        <v>4600</v>
      </c>
      <c r="I10257" t="s">
        <v>105</v>
      </c>
      <c r="J10257">
        <v>468.72</v>
      </c>
      <c r="K10257">
        <v>90.72</v>
      </c>
      <c r="L10257">
        <v>17739</v>
      </c>
      <c r="M10257" t="s">
        <v>374</v>
      </c>
      <c r="N10257" t="str">
        <f>"6023120021  "</f>
        <v xml:space="preserve">6023120021  </v>
      </c>
      <c r="O10257">
        <v>240103</v>
      </c>
    </row>
    <row r="10258" spans="1:15" x14ac:dyDescent="0.25">
      <c r="A10258" t="s">
        <v>16</v>
      </c>
      <c r="B10258" t="s">
        <v>3221</v>
      </c>
      <c r="C10258">
        <v>19359</v>
      </c>
      <c r="D10258" t="s">
        <v>3656</v>
      </c>
      <c r="E10258" t="s">
        <v>3184</v>
      </c>
      <c r="F10258">
        <v>528</v>
      </c>
      <c r="G10258">
        <v>240115</v>
      </c>
      <c r="H10258">
        <v>4420</v>
      </c>
      <c r="I10258" t="s">
        <v>132</v>
      </c>
      <c r="J10258">
        <v>654.72</v>
      </c>
      <c r="K10258">
        <v>126.72</v>
      </c>
      <c r="L10258">
        <v>56564</v>
      </c>
      <c r="M10258" t="s">
        <v>327</v>
      </c>
      <c r="N10258" t="str">
        <f>"3334        "</f>
        <v xml:space="preserve">3334        </v>
      </c>
      <c r="O10258">
        <v>240118</v>
      </c>
    </row>
    <row r="10259" spans="1:15" x14ac:dyDescent="0.25">
      <c r="A10259" t="s">
        <v>16</v>
      </c>
      <c r="B10259" t="s">
        <v>3221</v>
      </c>
      <c r="C10259">
        <v>1856</v>
      </c>
      <c r="D10259" t="s">
        <v>1221</v>
      </c>
      <c r="E10259" t="s">
        <v>1222</v>
      </c>
      <c r="F10259">
        <v>210</v>
      </c>
      <c r="G10259">
        <v>230213</v>
      </c>
      <c r="H10259">
        <v>4420</v>
      </c>
      <c r="I10259" t="s">
        <v>132</v>
      </c>
      <c r="J10259">
        <v>260.39999999999998</v>
      </c>
      <c r="K10259">
        <v>50.4</v>
      </c>
      <c r="L10259">
        <v>67554</v>
      </c>
      <c r="M10259" t="s">
        <v>60</v>
      </c>
      <c r="N10259" t="str">
        <f>"805         "</f>
        <v xml:space="preserve">805         </v>
      </c>
      <c r="O10259">
        <v>230215</v>
      </c>
    </row>
    <row r="10260" spans="1:15" x14ac:dyDescent="0.25">
      <c r="A10260" t="s">
        <v>16</v>
      </c>
      <c r="B10260" t="s">
        <v>3221</v>
      </c>
      <c r="C10260">
        <v>9716</v>
      </c>
      <c r="D10260" t="s">
        <v>1221</v>
      </c>
      <c r="E10260" t="s">
        <v>1222</v>
      </c>
      <c r="F10260">
        <v>225</v>
      </c>
      <c r="G10260">
        <v>230717</v>
      </c>
      <c r="H10260">
        <v>4420</v>
      </c>
      <c r="I10260" t="s">
        <v>132</v>
      </c>
      <c r="J10260">
        <v>279</v>
      </c>
      <c r="K10260">
        <v>54</v>
      </c>
      <c r="L10260">
        <v>67554</v>
      </c>
      <c r="M10260" t="s">
        <v>60</v>
      </c>
      <c r="N10260" t="str">
        <f>"852         "</f>
        <v xml:space="preserve">852         </v>
      </c>
      <c r="O10260">
        <v>230720</v>
      </c>
    </row>
    <row r="10261" spans="1:15" x14ac:dyDescent="0.25">
      <c r="A10261" t="s">
        <v>16</v>
      </c>
      <c r="B10261" t="s">
        <v>3221</v>
      </c>
      <c r="C10261">
        <v>3928</v>
      </c>
      <c r="D10261" t="s">
        <v>1636</v>
      </c>
      <c r="E10261" t="s">
        <v>1637</v>
      </c>
      <c r="F10261">
        <v>118.99</v>
      </c>
      <c r="G10261">
        <v>230323</v>
      </c>
      <c r="H10261">
        <v>4426</v>
      </c>
      <c r="I10261" t="s">
        <v>1172</v>
      </c>
      <c r="J10261">
        <v>147.55000000000001</v>
      </c>
      <c r="K10261">
        <v>28.56</v>
      </c>
      <c r="L10261">
        <v>17803</v>
      </c>
      <c r="M10261" t="s">
        <v>389</v>
      </c>
      <c r="N10261" t="str">
        <f>"19514       "</f>
        <v xml:space="preserve">19514       </v>
      </c>
      <c r="O10261">
        <v>230327</v>
      </c>
    </row>
    <row r="10262" spans="1:15" x14ac:dyDescent="0.25">
      <c r="A10262" t="s">
        <v>16</v>
      </c>
      <c r="B10262" t="s">
        <v>3221</v>
      </c>
      <c r="C10262">
        <v>5741</v>
      </c>
      <c r="D10262" t="s">
        <v>1636</v>
      </c>
      <c r="E10262" t="s">
        <v>1637</v>
      </c>
      <c r="F10262">
        <v>118.99</v>
      </c>
      <c r="G10262">
        <v>230428</v>
      </c>
      <c r="H10262">
        <v>4420</v>
      </c>
      <c r="I10262" t="s">
        <v>132</v>
      </c>
      <c r="J10262">
        <v>147.55000000000001</v>
      </c>
      <c r="K10262">
        <v>28.56</v>
      </c>
      <c r="L10262">
        <v>17804</v>
      </c>
      <c r="M10262" t="s">
        <v>549</v>
      </c>
      <c r="N10262" t="str">
        <f>"19651       "</f>
        <v xml:space="preserve">19651       </v>
      </c>
      <c r="O10262">
        <v>230502</v>
      </c>
    </row>
    <row r="10263" spans="1:15" x14ac:dyDescent="0.25">
      <c r="A10263" t="s">
        <v>16</v>
      </c>
      <c r="B10263" t="s">
        <v>3221</v>
      </c>
      <c r="C10263">
        <v>18515</v>
      </c>
      <c r="D10263" t="s">
        <v>1636</v>
      </c>
      <c r="E10263" t="s">
        <v>1637</v>
      </c>
      <c r="F10263">
        <v>490</v>
      </c>
      <c r="G10263">
        <v>231229</v>
      </c>
      <c r="H10263">
        <v>4420</v>
      </c>
      <c r="I10263" t="s">
        <v>132</v>
      </c>
      <c r="J10263">
        <v>607.6</v>
      </c>
      <c r="K10263">
        <v>117.6</v>
      </c>
      <c r="L10263">
        <v>46554</v>
      </c>
      <c r="M10263" t="s">
        <v>117</v>
      </c>
      <c r="N10263" t="str">
        <f>"200466      "</f>
        <v xml:space="preserve">200466      </v>
      </c>
      <c r="O10263">
        <v>240103</v>
      </c>
    </row>
    <row r="10264" spans="1:15" x14ac:dyDescent="0.25">
      <c r="A10264" t="s">
        <v>16</v>
      </c>
      <c r="B10264" t="s">
        <v>3221</v>
      </c>
      <c r="C10264">
        <v>17005</v>
      </c>
      <c r="D10264" t="s">
        <v>1636</v>
      </c>
      <c r="E10264" t="s">
        <v>1637</v>
      </c>
      <c r="F10264">
        <v>130</v>
      </c>
      <c r="G10264">
        <v>231130</v>
      </c>
      <c r="H10264">
        <v>4470</v>
      </c>
      <c r="I10264" t="s">
        <v>83</v>
      </c>
      <c r="J10264">
        <v>161.19999999999999</v>
      </c>
      <c r="K10264">
        <v>31.2</v>
      </c>
      <c r="L10264">
        <v>17803</v>
      </c>
      <c r="M10264" t="s">
        <v>389</v>
      </c>
      <c r="N10264" t="str">
        <f>"200097      "</f>
        <v xml:space="preserve">200097      </v>
      </c>
      <c r="O10264">
        <v>231211</v>
      </c>
    </row>
    <row r="10265" spans="1:15" x14ac:dyDescent="0.25">
      <c r="A10265" t="s">
        <v>16</v>
      </c>
      <c r="B10265" t="s">
        <v>3221</v>
      </c>
      <c r="C10265">
        <v>11089</v>
      </c>
      <c r="D10265" t="s">
        <v>424</v>
      </c>
      <c r="E10265" t="s">
        <v>425</v>
      </c>
      <c r="F10265">
        <v>76.25</v>
      </c>
      <c r="G10265">
        <v>230828</v>
      </c>
      <c r="H10265">
        <v>4420</v>
      </c>
      <c r="I10265" t="s">
        <v>132</v>
      </c>
      <c r="J10265">
        <v>94.55</v>
      </c>
      <c r="K10265">
        <v>18.3</v>
      </c>
      <c r="L10265">
        <v>17951</v>
      </c>
      <c r="M10265" t="s">
        <v>87</v>
      </c>
      <c r="N10265" t="str">
        <f>"9269        "</f>
        <v xml:space="preserve">9269        </v>
      </c>
      <c r="O10265">
        <v>230830</v>
      </c>
    </row>
    <row r="10266" spans="1:15" x14ac:dyDescent="0.25">
      <c r="A10266" t="s">
        <v>16</v>
      </c>
      <c r="B10266" t="s">
        <v>3221</v>
      </c>
      <c r="C10266">
        <v>2357</v>
      </c>
      <c r="D10266" t="s">
        <v>424</v>
      </c>
      <c r="E10266" t="s">
        <v>425</v>
      </c>
      <c r="F10266">
        <v>434.81</v>
      </c>
      <c r="G10266">
        <v>230222</v>
      </c>
      <c r="H10266">
        <v>4380</v>
      </c>
      <c r="I10266" t="s">
        <v>113</v>
      </c>
      <c r="J10266">
        <v>539.16999999999996</v>
      </c>
      <c r="K10266">
        <v>104.36</v>
      </c>
      <c r="L10266">
        <v>17952</v>
      </c>
      <c r="M10266" t="s">
        <v>88</v>
      </c>
      <c r="N10266" t="str">
        <f>"8913        "</f>
        <v xml:space="preserve">8913        </v>
      </c>
      <c r="O10266">
        <v>230224</v>
      </c>
    </row>
    <row r="10267" spans="1:15" x14ac:dyDescent="0.25">
      <c r="A10267" t="s">
        <v>16</v>
      </c>
      <c r="B10267" t="s">
        <v>3221</v>
      </c>
      <c r="C10267">
        <v>11089</v>
      </c>
      <c r="D10267" t="s">
        <v>424</v>
      </c>
      <c r="E10267" t="s">
        <v>425</v>
      </c>
      <c r="F10267">
        <v>354.68</v>
      </c>
      <c r="G10267">
        <v>230828</v>
      </c>
      <c r="H10267">
        <v>4380</v>
      </c>
      <c r="I10267" t="s">
        <v>113</v>
      </c>
      <c r="J10267">
        <v>439.8</v>
      </c>
      <c r="K10267">
        <v>85.12</v>
      </c>
      <c r="L10267">
        <v>17951</v>
      </c>
      <c r="M10267" t="s">
        <v>87</v>
      </c>
      <c r="N10267" t="str">
        <f>"9269        "</f>
        <v xml:space="preserve">9269        </v>
      </c>
      <c r="O10267">
        <v>230830</v>
      </c>
    </row>
    <row r="10268" spans="1:15" x14ac:dyDescent="0.25">
      <c r="A10268" t="s">
        <v>16</v>
      </c>
      <c r="B10268" t="s">
        <v>3221</v>
      </c>
      <c r="C10268">
        <v>11100</v>
      </c>
      <c r="D10268" t="s">
        <v>424</v>
      </c>
      <c r="E10268" t="s">
        <v>425</v>
      </c>
      <c r="F10268">
        <v>363.49</v>
      </c>
      <c r="G10268">
        <v>230828</v>
      </c>
      <c r="H10268">
        <v>4380</v>
      </c>
      <c r="I10268" t="s">
        <v>113</v>
      </c>
      <c r="J10268">
        <v>450.73</v>
      </c>
      <c r="K10268">
        <v>87.24</v>
      </c>
      <c r="L10268">
        <v>17952</v>
      </c>
      <c r="M10268" t="s">
        <v>88</v>
      </c>
      <c r="N10268" t="str">
        <f>"9262        "</f>
        <v xml:space="preserve">9262        </v>
      </c>
      <c r="O10268">
        <v>230830</v>
      </c>
    </row>
    <row r="10269" spans="1:15" x14ac:dyDescent="0.25">
      <c r="A10269" t="s">
        <v>16</v>
      </c>
      <c r="B10269" t="s">
        <v>3221</v>
      </c>
      <c r="C10269">
        <v>12063</v>
      </c>
      <c r="D10269" t="s">
        <v>424</v>
      </c>
      <c r="E10269" t="s">
        <v>425</v>
      </c>
      <c r="F10269">
        <v>95</v>
      </c>
      <c r="G10269">
        <v>230911</v>
      </c>
      <c r="H10269">
        <v>4380</v>
      </c>
      <c r="I10269" t="s">
        <v>113</v>
      </c>
      <c r="J10269">
        <v>117.8</v>
      </c>
      <c r="K10269">
        <v>22.8</v>
      </c>
      <c r="L10269">
        <v>17951</v>
      </c>
      <c r="M10269" t="s">
        <v>87</v>
      </c>
      <c r="N10269" t="str">
        <f>"9301        "</f>
        <v xml:space="preserve">9301        </v>
      </c>
      <c r="O10269">
        <v>230913</v>
      </c>
    </row>
    <row r="10270" spans="1:15" x14ac:dyDescent="0.25">
      <c r="A10270" t="s">
        <v>16</v>
      </c>
      <c r="B10270" t="s">
        <v>3221</v>
      </c>
      <c r="C10270">
        <v>14371</v>
      </c>
      <c r="D10270" t="s">
        <v>424</v>
      </c>
      <c r="E10270" t="s">
        <v>425</v>
      </c>
      <c r="F10270">
        <v>95</v>
      </c>
      <c r="G10270">
        <v>231019</v>
      </c>
      <c r="H10270">
        <v>4380</v>
      </c>
      <c r="I10270" t="s">
        <v>113</v>
      </c>
      <c r="J10270">
        <v>117.8</v>
      </c>
      <c r="K10270">
        <v>22.8</v>
      </c>
      <c r="L10270">
        <v>17951</v>
      </c>
      <c r="M10270" t="s">
        <v>87</v>
      </c>
      <c r="N10270" t="str">
        <f>"9397        "</f>
        <v xml:space="preserve">9397        </v>
      </c>
      <c r="O10270">
        <v>231030</v>
      </c>
    </row>
    <row r="10271" spans="1:15" x14ac:dyDescent="0.25">
      <c r="A10271" t="s">
        <v>16</v>
      </c>
      <c r="B10271" t="s">
        <v>3221</v>
      </c>
      <c r="C10271">
        <v>16380</v>
      </c>
      <c r="D10271" t="s">
        <v>424</v>
      </c>
      <c r="E10271" t="s">
        <v>425</v>
      </c>
      <c r="F10271">
        <v>95</v>
      </c>
      <c r="G10271">
        <v>231127</v>
      </c>
      <c r="H10271">
        <v>4380</v>
      </c>
      <c r="I10271" t="s">
        <v>113</v>
      </c>
      <c r="J10271">
        <v>117.8</v>
      </c>
      <c r="K10271">
        <v>22.8</v>
      </c>
      <c r="L10271">
        <v>17951</v>
      </c>
      <c r="M10271" t="s">
        <v>87</v>
      </c>
      <c r="N10271" t="str">
        <f>"9489        "</f>
        <v xml:space="preserve">9489        </v>
      </c>
      <c r="O10271">
        <v>231128</v>
      </c>
    </row>
    <row r="10272" spans="1:15" x14ac:dyDescent="0.25">
      <c r="A10272" t="s">
        <v>16</v>
      </c>
      <c r="B10272" t="s">
        <v>3221</v>
      </c>
      <c r="C10272">
        <v>292</v>
      </c>
      <c r="D10272" t="s">
        <v>424</v>
      </c>
      <c r="E10272" t="s">
        <v>425</v>
      </c>
      <c r="F10272">
        <v>134</v>
      </c>
      <c r="G10272">
        <v>230117</v>
      </c>
      <c r="H10272">
        <v>4390</v>
      </c>
      <c r="I10272" t="s">
        <v>98</v>
      </c>
      <c r="J10272">
        <v>166.16</v>
      </c>
      <c r="K10272">
        <v>32.159999999999997</v>
      </c>
      <c r="L10272">
        <v>17951</v>
      </c>
      <c r="M10272" t="s">
        <v>87</v>
      </c>
      <c r="N10272" t="str">
        <f>"8857        "</f>
        <v xml:space="preserve">8857        </v>
      </c>
      <c r="O10272">
        <v>230118</v>
      </c>
    </row>
    <row r="10273" spans="1:15" x14ac:dyDescent="0.25">
      <c r="A10273" t="s">
        <v>16</v>
      </c>
      <c r="B10273" t="s">
        <v>3221</v>
      </c>
      <c r="C10273">
        <v>10675</v>
      </c>
      <c r="D10273" t="s">
        <v>424</v>
      </c>
      <c r="E10273" t="s">
        <v>425</v>
      </c>
      <c r="F10273">
        <v>721</v>
      </c>
      <c r="G10273">
        <v>230818</v>
      </c>
      <c r="H10273">
        <v>4390</v>
      </c>
      <c r="I10273" t="s">
        <v>98</v>
      </c>
      <c r="J10273">
        <v>894.04</v>
      </c>
      <c r="K10273">
        <v>173.04</v>
      </c>
      <c r="L10273">
        <v>17952</v>
      </c>
      <c r="M10273" t="s">
        <v>88</v>
      </c>
      <c r="N10273" t="str">
        <f>"9244        "</f>
        <v xml:space="preserve">9244        </v>
      </c>
      <c r="O10273">
        <v>230821</v>
      </c>
    </row>
    <row r="10274" spans="1:15" x14ac:dyDescent="0.25">
      <c r="A10274" t="s">
        <v>16</v>
      </c>
      <c r="B10274" t="s">
        <v>3221</v>
      </c>
      <c r="C10274">
        <v>14005</v>
      </c>
      <c r="D10274" t="s">
        <v>2726</v>
      </c>
      <c r="E10274" t="s">
        <v>2727</v>
      </c>
      <c r="F10274">
        <v>460</v>
      </c>
      <c r="G10274">
        <v>231011</v>
      </c>
      <c r="H10274">
        <v>4420</v>
      </c>
      <c r="I10274" t="s">
        <v>132</v>
      </c>
      <c r="J10274">
        <v>570.4</v>
      </c>
      <c r="K10274">
        <v>110.4</v>
      </c>
      <c r="L10274">
        <v>54422</v>
      </c>
      <c r="M10274" t="s">
        <v>234</v>
      </c>
      <c r="N10274" t="str">
        <f>"135         "</f>
        <v xml:space="preserve">135         </v>
      </c>
      <c r="O10274">
        <v>231017</v>
      </c>
    </row>
    <row r="10275" spans="1:15" x14ac:dyDescent="0.25">
      <c r="A10275" t="s">
        <v>16</v>
      </c>
      <c r="B10275" t="s">
        <v>3221</v>
      </c>
      <c r="C10275">
        <v>14181</v>
      </c>
      <c r="D10275" t="s">
        <v>2726</v>
      </c>
      <c r="E10275" t="s">
        <v>2727</v>
      </c>
      <c r="F10275">
        <v>967.74</v>
      </c>
      <c r="G10275">
        <v>231006</v>
      </c>
      <c r="H10275">
        <v>4364</v>
      </c>
      <c r="I10275" t="s">
        <v>296</v>
      </c>
      <c r="J10275">
        <v>1200</v>
      </c>
      <c r="K10275">
        <v>232.26</v>
      </c>
      <c r="L10275">
        <v>13601</v>
      </c>
      <c r="M10275" t="s">
        <v>147</v>
      </c>
      <c r="N10275" t="str">
        <f>"127         "</f>
        <v xml:space="preserve">127         </v>
      </c>
      <c r="O10275">
        <v>231023</v>
      </c>
    </row>
    <row r="10276" spans="1:15" x14ac:dyDescent="0.25">
      <c r="A10276" t="s">
        <v>16</v>
      </c>
      <c r="B10276" t="s">
        <v>3221</v>
      </c>
      <c r="C10276">
        <v>18057</v>
      </c>
      <c r="D10276" t="s">
        <v>2180</v>
      </c>
      <c r="E10276" t="s">
        <v>2181</v>
      </c>
      <c r="F10276">
        <v>63.64</v>
      </c>
      <c r="G10276">
        <v>231219</v>
      </c>
      <c r="H10276">
        <v>4410</v>
      </c>
      <c r="I10276" t="s">
        <v>517</v>
      </c>
      <c r="J10276">
        <v>70</v>
      </c>
      <c r="K10276">
        <v>6.36</v>
      </c>
      <c r="L10276">
        <v>17912</v>
      </c>
      <c r="M10276" t="s">
        <v>419</v>
      </c>
      <c r="N10276" t="str">
        <f>"39          "</f>
        <v xml:space="preserve">39          </v>
      </c>
      <c r="O10276">
        <v>240102</v>
      </c>
    </row>
    <row r="10277" spans="1:15" x14ac:dyDescent="0.25">
      <c r="A10277" t="s">
        <v>16</v>
      </c>
      <c r="B10277" t="s">
        <v>3221</v>
      </c>
      <c r="C10277">
        <v>8433</v>
      </c>
      <c r="D10277" t="s">
        <v>2180</v>
      </c>
      <c r="E10277" t="s">
        <v>2181</v>
      </c>
      <c r="F10277">
        <v>104.84</v>
      </c>
      <c r="G10277">
        <v>230602</v>
      </c>
      <c r="H10277">
        <v>4470</v>
      </c>
      <c r="I10277" t="s">
        <v>83</v>
      </c>
      <c r="J10277">
        <v>130</v>
      </c>
      <c r="K10277">
        <v>25.16</v>
      </c>
      <c r="L10277">
        <v>16431</v>
      </c>
      <c r="M10277" t="s">
        <v>231</v>
      </c>
      <c r="N10277" t="str">
        <f>"3/020623    "</f>
        <v xml:space="preserve">3/020623    </v>
      </c>
      <c r="O10277">
        <v>230608</v>
      </c>
    </row>
    <row r="10278" spans="1:15" x14ac:dyDescent="0.25">
      <c r="A10278" t="s">
        <v>16</v>
      </c>
      <c r="B10278" t="s">
        <v>3221</v>
      </c>
      <c r="C10278">
        <v>8433</v>
      </c>
      <c r="D10278" t="s">
        <v>2180</v>
      </c>
      <c r="E10278" t="s">
        <v>2181</v>
      </c>
      <c r="F10278">
        <v>18.18</v>
      </c>
      <c r="G10278">
        <v>230602</v>
      </c>
      <c r="H10278">
        <v>4860</v>
      </c>
      <c r="I10278" t="s">
        <v>28</v>
      </c>
      <c r="J10278">
        <v>20</v>
      </c>
      <c r="K10278">
        <v>1.82</v>
      </c>
      <c r="L10278">
        <v>16431</v>
      </c>
      <c r="M10278" t="s">
        <v>231</v>
      </c>
      <c r="N10278" t="str">
        <f>"3/020623    "</f>
        <v xml:space="preserve">3/020623    </v>
      </c>
      <c r="O10278">
        <v>230608</v>
      </c>
    </row>
    <row r="10279" spans="1:15" x14ac:dyDescent="0.25">
      <c r="A10279" t="s">
        <v>16</v>
      </c>
      <c r="B10279" t="s">
        <v>3221</v>
      </c>
      <c r="C10279">
        <v>14109</v>
      </c>
      <c r="D10279" t="s">
        <v>2736</v>
      </c>
      <c r="E10279" t="s">
        <v>2737</v>
      </c>
      <c r="F10279">
        <v>906.92</v>
      </c>
      <c r="G10279">
        <v>231011</v>
      </c>
      <c r="H10279">
        <v>4346</v>
      </c>
      <c r="I10279" t="s">
        <v>197</v>
      </c>
      <c r="J10279">
        <v>906.92</v>
      </c>
      <c r="K10279">
        <v>0</v>
      </c>
      <c r="L10279">
        <v>13601</v>
      </c>
      <c r="M10279" t="s">
        <v>147</v>
      </c>
      <c r="N10279" t="str">
        <f>"2726        "</f>
        <v xml:space="preserve">2726        </v>
      </c>
      <c r="O10279">
        <v>231018</v>
      </c>
    </row>
    <row r="10280" spans="1:15" x14ac:dyDescent="0.25">
      <c r="A10280" t="s">
        <v>16</v>
      </c>
      <c r="B10280" t="s">
        <v>3221</v>
      </c>
      <c r="C10280">
        <v>14195</v>
      </c>
      <c r="D10280" t="s">
        <v>2751</v>
      </c>
      <c r="E10280" t="s">
        <v>2752</v>
      </c>
      <c r="F10280">
        <v>224.36</v>
      </c>
      <c r="G10280">
        <v>231005</v>
      </c>
      <c r="H10280">
        <v>4346</v>
      </c>
      <c r="I10280" t="s">
        <v>197</v>
      </c>
      <c r="J10280">
        <v>278.20999999999998</v>
      </c>
      <c r="K10280">
        <v>53.85</v>
      </c>
      <c r="L10280">
        <v>16431</v>
      </c>
      <c r="M10280" t="s">
        <v>231</v>
      </c>
      <c r="N10280" t="str">
        <f>"17205       "</f>
        <v xml:space="preserve">17205       </v>
      </c>
      <c r="O10280">
        <v>231023</v>
      </c>
    </row>
    <row r="10281" spans="1:15" x14ac:dyDescent="0.25">
      <c r="A10281" t="s">
        <v>16</v>
      </c>
      <c r="B10281" t="s">
        <v>3221</v>
      </c>
      <c r="C10281">
        <v>14233</v>
      </c>
      <c r="D10281" t="s">
        <v>2751</v>
      </c>
      <c r="E10281" t="s">
        <v>2752</v>
      </c>
      <c r="F10281">
        <v>176.79</v>
      </c>
      <c r="G10281">
        <v>231016</v>
      </c>
      <c r="H10281">
        <v>4346</v>
      </c>
      <c r="I10281" t="s">
        <v>197</v>
      </c>
      <c r="J10281">
        <v>219.22</v>
      </c>
      <c r="K10281">
        <v>42.43</v>
      </c>
      <c r="L10281">
        <v>59815</v>
      </c>
      <c r="M10281" t="s">
        <v>1182</v>
      </c>
      <c r="N10281" t="str">
        <f>"17230       "</f>
        <v xml:space="preserve">17230       </v>
      </c>
      <c r="O10281">
        <v>231024</v>
      </c>
    </row>
    <row r="10282" spans="1:15" x14ac:dyDescent="0.25">
      <c r="A10282" t="s">
        <v>16</v>
      </c>
      <c r="B10282" t="s">
        <v>3221</v>
      </c>
      <c r="C10282">
        <v>17803</v>
      </c>
      <c r="D10282" t="s">
        <v>3729</v>
      </c>
      <c r="E10282" t="s">
        <v>3582</v>
      </c>
      <c r="F10282">
        <v>4.47</v>
      </c>
      <c r="G10282">
        <v>231213</v>
      </c>
      <c r="H10282">
        <v>4510</v>
      </c>
      <c r="I10282" t="s">
        <v>42</v>
      </c>
      <c r="J10282">
        <v>4.92</v>
      </c>
      <c r="K10282">
        <v>0.45</v>
      </c>
      <c r="L10282">
        <v>41126</v>
      </c>
      <c r="M10282" t="s">
        <v>761</v>
      </c>
      <c r="N10282" t="str">
        <f>"215230      "</f>
        <v xml:space="preserve">215230      </v>
      </c>
      <c r="O10282">
        <v>231227</v>
      </c>
    </row>
    <row r="10283" spans="1:15" x14ac:dyDescent="0.25">
      <c r="A10283" t="s">
        <v>16</v>
      </c>
      <c r="B10283" t="s">
        <v>3221</v>
      </c>
      <c r="C10283">
        <v>5830</v>
      </c>
      <c r="D10283" t="s">
        <v>1908</v>
      </c>
      <c r="E10283" t="s">
        <v>1909</v>
      </c>
      <c r="F10283">
        <v>768</v>
      </c>
      <c r="G10283">
        <v>230502</v>
      </c>
      <c r="H10283">
        <v>4820</v>
      </c>
      <c r="I10283" t="s">
        <v>50</v>
      </c>
      <c r="J10283">
        <v>844.8</v>
      </c>
      <c r="K10283">
        <v>76.8</v>
      </c>
      <c r="L10283">
        <v>13841</v>
      </c>
      <c r="M10283" t="s">
        <v>47</v>
      </c>
      <c r="N10283" t="str">
        <f>"2182        "</f>
        <v xml:space="preserve">2182        </v>
      </c>
      <c r="O10283">
        <v>230503</v>
      </c>
    </row>
    <row r="10284" spans="1:15" x14ac:dyDescent="0.25">
      <c r="A10284" t="s">
        <v>16</v>
      </c>
      <c r="B10284" t="s">
        <v>3221</v>
      </c>
      <c r="C10284">
        <v>17550</v>
      </c>
      <c r="D10284" t="s">
        <v>1908</v>
      </c>
      <c r="E10284" t="s">
        <v>1909</v>
      </c>
      <c r="F10284">
        <v>3960</v>
      </c>
      <c r="G10284">
        <v>231213</v>
      </c>
      <c r="H10284">
        <v>4820</v>
      </c>
      <c r="I10284" t="s">
        <v>50</v>
      </c>
      <c r="J10284">
        <v>4356</v>
      </c>
      <c r="K10284">
        <v>396</v>
      </c>
      <c r="L10284">
        <v>13841</v>
      </c>
      <c r="M10284" t="s">
        <v>47</v>
      </c>
      <c r="N10284" t="str">
        <f>"2200        "</f>
        <v xml:space="preserve">2200        </v>
      </c>
      <c r="O10284">
        <v>231215</v>
      </c>
    </row>
    <row r="10285" spans="1:15" x14ac:dyDescent="0.25">
      <c r="A10285" t="s">
        <v>16</v>
      </c>
      <c r="B10285" t="s">
        <v>3221</v>
      </c>
      <c r="C10285">
        <v>4498</v>
      </c>
      <c r="D10285" t="s">
        <v>3657</v>
      </c>
      <c r="E10285" t="s">
        <v>3244</v>
      </c>
      <c r="F10285">
        <v>2067.1999999999998</v>
      </c>
      <c r="G10285">
        <v>230401</v>
      </c>
      <c r="H10285">
        <v>4510</v>
      </c>
      <c r="I10285" t="s">
        <v>42</v>
      </c>
      <c r="J10285">
        <v>2067.1999999999998</v>
      </c>
      <c r="K10285">
        <v>0</v>
      </c>
      <c r="L10285">
        <v>11601</v>
      </c>
      <c r="M10285" t="s">
        <v>535</v>
      </c>
      <c r="N10285" t="str">
        <f>"202009823   "</f>
        <v xml:space="preserve">202009823   </v>
      </c>
      <c r="O10285">
        <v>230406</v>
      </c>
    </row>
    <row r="10286" spans="1:15" x14ac:dyDescent="0.25">
      <c r="A10286" t="s">
        <v>16</v>
      </c>
      <c r="B10286" t="s">
        <v>3221</v>
      </c>
      <c r="C10286">
        <v>5628</v>
      </c>
      <c r="D10286" t="s">
        <v>3657</v>
      </c>
      <c r="E10286" t="s">
        <v>3244</v>
      </c>
      <c r="F10286">
        <v>52</v>
      </c>
      <c r="G10286">
        <v>230426</v>
      </c>
      <c r="H10286">
        <v>4510</v>
      </c>
      <c r="I10286" t="s">
        <v>42</v>
      </c>
      <c r="J10286">
        <v>52</v>
      </c>
      <c r="K10286">
        <v>0</v>
      </c>
      <c r="L10286">
        <v>11601</v>
      </c>
      <c r="M10286" t="s">
        <v>535</v>
      </c>
      <c r="N10286" t="str">
        <f>"202010338   "</f>
        <v xml:space="preserve">202010338   </v>
      </c>
      <c r="O10286">
        <v>230428</v>
      </c>
    </row>
    <row r="10287" spans="1:15" x14ac:dyDescent="0.25">
      <c r="A10287" t="s">
        <v>16</v>
      </c>
      <c r="B10287" t="s">
        <v>3221</v>
      </c>
      <c r="C10287">
        <v>5632</v>
      </c>
      <c r="D10287" t="s">
        <v>3657</v>
      </c>
      <c r="E10287" t="s">
        <v>3244</v>
      </c>
      <c r="F10287">
        <v>52</v>
      </c>
      <c r="G10287">
        <v>230426</v>
      </c>
      <c r="H10287">
        <v>4510</v>
      </c>
      <c r="I10287" t="s">
        <v>42</v>
      </c>
      <c r="J10287">
        <v>52</v>
      </c>
      <c r="K10287">
        <v>0</v>
      </c>
      <c r="L10287">
        <v>13601</v>
      </c>
      <c r="M10287" t="s">
        <v>147</v>
      </c>
      <c r="N10287" t="str">
        <f>"202010395   "</f>
        <v xml:space="preserve">202010395   </v>
      </c>
      <c r="O10287">
        <v>230428</v>
      </c>
    </row>
    <row r="10288" spans="1:15" x14ac:dyDescent="0.25">
      <c r="A10288" t="s">
        <v>16</v>
      </c>
      <c r="B10288" t="s">
        <v>3221</v>
      </c>
      <c r="C10288">
        <v>6546</v>
      </c>
      <c r="D10288" t="s">
        <v>3657</v>
      </c>
      <c r="E10288" t="s">
        <v>3244</v>
      </c>
      <c r="F10288">
        <v>52</v>
      </c>
      <c r="G10288">
        <v>230509</v>
      </c>
      <c r="H10288">
        <v>4510</v>
      </c>
      <c r="I10288" t="s">
        <v>42</v>
      </c>
      <c r="J10288">
        <v>52</v>
      </c>
      <c r="K10288">
        <v>0</v>
      </c>
      <c r="L10288">
        <v>11601</v>
      </c>
      <c r="M10288" t="s">
        <v>535</v>
      </c>
      <c r="N10288" t="str">
        <f>"202011065   "</f>
        <v xml:space="preserve">202011065   </v>
      </c>
      <c r="O10288">
        <v>230512</v>
      </c>
    </row>
    <row r="10289" spans="1:15" x14ac:dyDescent="0.25">
      <c r="A10289" t="s">
        <v>16</v>
      </c>
      <c r="B10289" t="s">
        <v>3221</v>
      </c>
      <c r="C10289">
        <v>6546</v>
      </c>
      <c r="D10289" t="s">
        <v>3657</v>
      </c>
      <c r="E10289" t="s">
        <v>3244</v>
      </c>
      <c r="F10289">
        <v>52</v>
      </c>
      <c r="G10289">
        <v>230509</v>
      </c>
      <c r="H10289">
        <v>4510</v>
      </c>
      <c r="I10289" t="s">
        <v>42</v>
      </c>
      <c r="J10289">
        <v>52</v>
      </c>
      <c r="K10289">
        <v>0</v>
      </c>
      <c r="L10289">
        <v>59702</v>
      </c>
      <c r="M10289" t="s">
        <v>328</v>
      </c>
      <c r="N10289" t="str">
        <f>"202011065   "</f>
        <v xml:space="preserve">202011065   </v>
      </c>
      <c r="O10289">
        <v>230512</v>
      </c>
    </row>
    <row r="10290" spans="1:15" x14ac:dyDescent="0.25">
      <c r="A10290" t="s">
        <v>16</v>
      </c>
      <c r="B10290" t="s">
        <v>3221</v>
      </c>
      <c r="C10290">
        <v>6546</v>
      </c>
      <c r="D10290" t="s">
        <v>3657</v>
      </c>
      <c r="E10290" t="s">
        <v>3244</v>
      </c>
      <c r="F10290">
        <v>26</v>
      </c>
      <c r="G10290">
        <v>230509</v>
      </c>
      <c r="H10290">
        <v>4510</v>
      </c>
      <c r="I10290" t="s">
        <v>42</v>
      </c>
      <c r="J10290">
        <v>26</v>
      </c>
      <c r="K10290">
        <v>0</v>
      </c>
      <c r="L10290">
        <v>69701</v>
      </c>
      <c r="M10290" t="s">
        <v>488</v>
      </c>
      <c r="N10290" t="str">
        <f>"202011065   "</f>
        <v xml:space="preserve">202011065   </v>
      </c>
      <c r="O10290">
        <v>230512</v>
      </c>
    </row>
    <row r="10291" spans="1:15" x14ac:dyDescent="0.25">
      <c r="A10291" t="s">
        <v>16</v>
      </c>
      <c r="B10291" t="s">
        <v>3221</v>
      </c>
      <c r="C10291">
        <v>6546</v>
      </c>
      <c r="D10291" t="s">
        <v>3657</v>
      </c>
      <c r="E10291" t="s">
        <v>3244</v>
      </c>
      <c r="F10291">
        <v>26</v>
      </c>
      <c r="G10291">
        <v>230509</v>
      </c>
      <c r="H10291">
        <v>4510</v>
      </c>
      <c r="I10291" t="s">
        <v>42</v>
      </c>
      <c r="J10291">
        <v>26</v>
      </c>
      <c r="K10291">
        <v>0</v>
      </c>
      <c r="L10291">
        <v>69703</v>
      </c>
      <c r="M10291" t="s">
        <v>1036</v>
      </c>
      <c r="N10291" t="str">
        <f>"202011065   "</f>
        <v xml:space="preserve">202011065   </v>
      </c>
      <c r="O10291">
        <v>230512</v>
      </c>
    </row>
    <row r="10292" spans="1:15" x14ac:dyDescent="0.25">
      <c r="A10292" t="s">
        <v>16</v>
      </c>
      <c r="B10292" t="s">
        <v>3221</v>
      </c>
      <c r="C10292">
        <v>6346</v>
      </c>
      <c r="D10292" t="s">
        <v>1956</v>
      </c>
      <c r="E10292" t="s">
        <v>1957</v>
      </c>
      <c r="F10292">
        <v>300</v>
      </c>
      <c r="G10292">
        <v>230504</v>
      </c>
      <c r="H10292">
        <v>4346</v>
      </c>
      <c r="I10292" t="s">
        <v>197</v>
      </c>
      <c r="J10292">
        <v>372</v>
      </c>
      <c r="K10292">
        <v>72</v>
      </c>
      <c r="L10292">
        <v>11501</v>
      </c>
      <c r="M10292" t="s">
        <v>339</v>
      </c>
      <c r="N10292" t="str">
        <f>"91201305    "</f>
        <v xml:space="preserve">91201305    </v>
      </c>
      <c r="O10292">
        <v>230510</v>
      </c>
    </row>
    <row r="10293" spans="1:15" x14ac:dyDescent="0.25">
      <c r="A10293" t="s">
        <v>16</v>
      </c>
      <c r="B10293" t="s">
        <v>3221</v>
      </c>
      <c r="C10293">
        <v>1050</v>
      </c>
      <c r="D10293" t="s">
        <v>852</v>
      </c>
      <c r="E10293" t="s">
        <v>853</v>
      </c>
      <c r="F10293">
        <v>1575</v>
      </c>
      <c r="G10293">
        <v>230131</v>
      </c>
      <c r="H10293">
        <v>4820</v>
      </c>
      <c r="I10293" t="s">
        <v>50</v>
      </c>
      <c r="J10293">
        <v>1732.5</v>
      </c>
      <c r="K10293">
        <v>157.5</v>
      </c>
      <c r="L10293">
        <v>13841</v>
      </c>
      <c r="M10293" t="s">
        <v>47</v>
      </c>
      <c r="N10293" t="str">
        <f>"118         "</f>
        <v xml:space="preserve">118         </v>
      </c>
      <c r="O10293">
        <v>230202</v>
      </c>
    </row>
    <row r="10294" spans="1:15" x14ac:dyDescent="0.25">
      <c r="A10294" t="s">
        <v>16</v>
      </c>
      <c r="B10294" t="s">
        <v>3221</v>
      </c>
      <c r="C10294">
        <v>2489</v>
      </c>
      <c r="D10294" t="s">
        <v>852</v>
      </c>
      <c r="E10294" t="s">
        <v>853</v>
      </c>
      <c r="F10294">
        <v>1750</v>
      </c>
      <c r="G10294">
        <v>230227</v>
      </c>
      <c r="H10294">
        <v>4820</v>
      </c>
      <c r="I10294" t="s">
        <v>50</v>
      </c>
      <c r="J10294">
        <v>1925</v>
      </c>
      <c r="K10294">
        <v>175</v>
      </c>
      <c r="L10294">
        <v>13841</v>
      </c>
      <c r="M10294" t="s">
        <v>47</v>
      </c>
      <c r="N10294" t="str">
        <f>"120         "</f>
        <v xml:space="preserve">120         </v>
      </c>
      <c r="O10294">
        <v>230228</v>
      </c>
    </row>
    <row r="10295" spans="1:15" x14ac:dyDescent="0.25">
      <c r="A10295" t="s">
        <v>16</v>
      </c>
      <c r="B10295" t="s">
        <v>3221</v>
      </c>
      <c r="C10295">
        <v>4461</v>
      </c>
      <c r="D10295" t="s">
        <v>852</v>
      </c>
      <c r="E10295" t="s">
        <v>853</v>
      </c>
      <c r="F10295">
        <v>1900</v>
      </c>
      <c r="G10295">
        <v>230402</v>
      </c>
      <c r="H10295">
        <v>4820</v>
      </c>
      <c r="I10295" t="s">
        <v>50</v>
      </c>
      <c r="J10295">
        <v>2090</v>
      </c>
      <c r="K10295">
        <v>190</v>
      </c>
      <c r="L10295">
        <v>13841</v>
      </c>
      <c r="M10295" t="s">
        <v>47</v>
      </c>
      <c r="N10295" t="str">
        <f>"121         "</f>
        <v xml:space="preserve">121         </v>
      </c>
      <c r="O10295">
        <v>230406</v>
      </c>
    </row>
    <row r="10296" spans="1:15" x14ac:dyDescent="0.25">
      <c r="A10296" t="s">
        <v>16</v>
      </c>
      <c r="B10296" t="s">
        <v>3221</v>
      </c>
      <c r="C10296">
        <v>4864</v>
      </c>
      <c r="D10296" t="s">
        <v>852</v>
      </c>
      <c r="E10296" t="s">
        <v>853</v>
      </c>
      <c r="F10296">
        <v>550</v>
      </c>
      <c r="G10296">
        <v>230406</v>
      </c>
      <c r="H10296">
        <v>4820</v>
      </c>
      <c r="I10296" t="s">
        <v>50</v>
      </c>
      <c r="J10296">
        <v>605</v>
      </c>
      <c r="K10296">
        <v>55</v>
      </c>
      <c r="L10296">
        <v>13841</v>
      </c>
      <c r="M10296" t="s">
        <v>47</v>
      </c>
      <c r="N10296" t="str">
        <f>"123         "</f>
        <v xml:space="preserve">123         </v>
      </c>
      <c r="O10296">
        <v>230413</v>
      </c>
    </row>
    <row r="10297" spans="1:15" x14ac:dyDescent="0.25">
      <c r="A10297" t="s">
        <v>16</v>
      </c>
      <c r="B10297" t="s">
        <v>3221</v>
      </c>
      <c r="C10297">
        <v>13521</v>
      </c>
      <c r="D10297" t="s">
        <v>852</v>
      </c>
      <c r="E10297" t="s">
        <v>853</v>
      </c>
      <c r="F10297">
        <v>1600</v>
      </c>
      <c r="G10297">
        <v>230930</v>
      </c>
      <c r="H10297">
        <v>4820</v>
      </c>
      <c r="I10297" t="s">
        <v>50</v>
      </c>
      <c r="J10297">
        <v>1760</v>
      </c>
      <c r="K10297">
        <v>160</v>
      </c>
      <c r="L10297">
        <v>13841</v>
      </c>
      <c r="M10297" t="s">
        <v>47</v>
      </c>
      <c r="N10297" t="str">
        <f>"125         "</f>
        <v xml:space="preserve">125         </v>
      </c>
      <c r="O10297">
        <v>231011</v>
      </c>
    </row>
    <row r="10298" spans="1:15" x14ac:dyDescent="0.25">
      <c r="A10298" t="s">
        <v>16</v>
      </c>
      <c r="B10298" t="s">
        <v>3221</v>
      </c>
      <c r="C10298">
        <v>14874</v>
      </c>
      <c r="D10298" t="s">
        <v>852</v>
      </c>
      <c r="E10298" t="s">
        <v>853</v>
      </c>
      <c r="F10298">
        <v>1350</v>
      </c>
      <c r="G10298">
        <v>231031</v>
      </c>
      <c r="H10298">
        <v>4820</v>
      </c>
      <c r="I10298" t="s">
        <v>50</v>
      </c>
      <c r="J10298">
        <v>1485</v>
      </c>
      <c r="K10298">
        <v>135</v>
      </c>
      <c r="L10298">
        <v>13841</v>
      </c>
      <c r="M10298" t="s">
        <v>47</v>
      </c>
      <c r="N10298" t="str">
        <f>"126         "</f>
        <v xml:space="preserve">126         </v>
      </c>
      <c r="O10298">
        <v>231107</v>
      </c>
    </row>
    <row r="10299" spans="1:15" x14ac:dyDescent="0.25">
      <c r="A10299" t="s">
        <v>16</v>
      </c>
      <c r="B10299" t="s">
        <v>3221</v>
      </c>
      <c r="C10299">
        <v>16790</v>
      </c>
      <c r="D10299" t="s">
        <v>852</v>
      </c>
      <c r="E10299" t="s">
        <v>853</v>
      </c>
      <c r="F10299">
        <v>1850</v>
      </c>
      <c r="G10299">
        <v>231130</v>
      </c>
      <c r="H10299">
        <v>4820</v>
      </c>
      <c r="I10299" t="s">
        <v>50</v>
      </c>
      <c r="J10299">
        <v>2035</v>
      </c>
      <c r="K10299">
        <v>185</v>
      </c>
      <c r="L10299">
        <v>13841</v>
      </c>
      <c r="M10299" t="s">
        <v>47</v>
      </c>
      <c r="N10299" t="str">
        <f>"127         "</f>
        <v xml:space="preserve">127         </v>
      </c>
      <c r="O10299">
        <v>231211</v>
      </c>
    </row>
    <row r="10300" spans="1:15" x14ac:dyDescent="0.25">
      <c r="A10300" t="s">
        <v>16</v>
      </c>
      <c r="B10300" t="s">
        <v>3221</v>
      </c>
      <c r="C10300">
        <v>8530</v>
      </c>
      <c r="D10300" t="s">
        <v>1092</v>
      </c>
      <c r="E10300" t="s">
        <v>1093</v>
      </c>
      <c r="F10300">
        <v>28.6</v>
      </c>
      <c r="G10300">
        <v>230607</v>
      </c>
      <c r="H10300">
        <v>4412</v>
      </c>
      <c r="I10300" t="s">
        <v>149</v>
      </c>
      <c r="J10300">
        <v>28.6</v>
      </c>
      <c r="K10300">
        <v>0</v>
      </c>
      <c r="L10300">
        <v>17913</v>
      </c>
      <c r="M10300" t="s">
        <v>431</v>
      </c>
      <c r="N10300" t="str">
        <f t="shared" ref="N10300:N10309" si="173">"7747209     "</f>
        <v xml:space="preserve">7747209     </v>
      </c>
      <c r="O10300">
        <v>230612</v>
      </c>
    </row>
    <row r="10301" spans="1:15" x14ac:dyDescent="0.25">
      <c r="A10301" t="s">
        <v>16</v>
      </c>
      <c r="B10301" t="s">
        <v>3221</v>
      </c>
      <c r="C10301">
        <v>8530</v>
      </c>
      <c r="D10301" t="s">
        <v>1092</v>
      </c>
      <c r="E10301" t="s">
        <v>1093</v>
      </c>
      <c r="F10301">
        <v>308.55</v>
      </c>
      <c r="G10301">
        <v>230607</v>
      </c>
      <c r="H10301">
        <v>4412</v>
      </c>
      <c r="I10301" t="s">
        <v>149</v>
      </c>
      <c r="J10301">
        <v>339.4</v>
      </c>
      <c r="K10301">
        <v>30.85</v>
      </c>
      <c r="L10301">
        <v>17913</v>
      </c>
      <c r="M10301" t="s">
        <v>431</v>
      </c>
      <c r="N10301" t="str">
        <f t="shared" si="173"/>
        <v xml:space="preserve">7747209     </v>
      </c>
      <c r="O10301">
        <v>230612</v>
      </c>
    </row>
    <row r="10302" spans="1:15" x14ac:dyDescent="0.25">
      <c r="A10302" t="s">
        <v>16</v>
      </c>
      <c r="B10302" t="s">
        <v>3221</v>
      </c>
      <c r="C10302">
        <v>8530</v>
      </c>
      <c r="D10302" t="s">
        <v>1092</v>
      </c>
      <c r="E10302" t="s">
        <v>1093</v>
      </c>
      <c r="F10302">
        <v>14.3</v>
      </c>
      <c r="G10302">
        <v>230607</v>
      </c>
      <c r="H10302">
        <v>4412</v>
      </c>
      <c r="I10302" t="s">
        <v>149</v>
      </c>
      <c r="J10302">
        <v>14.3</v>
      </c>
      <c r="K10302">
        <v>0</v>
      </c>
      <c r="L10302">
        <v>54451</v>
      </c>
      <c r="M10302" t="s">
        <v>158</v>
      </c>
      <c r="N10302" t="str">
        <f t="shared" si="173"/>
        <v xml:space="preserve">7747209     </v>
      </c>
      <c r="O10302">
        <v>230612</v>
      </c>
    </row>
    <row r="10303" spans="1:15" x14ac:dyDescent="0.25">
      <c r="A10303" t="s">
        <v>16</v>
      </c>
      <c r="B10303" t="s">
        <v>3221</v>
      </c>
      <c r="C10303">
        <v>8530</v>
      </c>
      <c r="D10303" t="s">
        <v>1092</v>
      </c>
      <c r="E10303" t="s">
        <v>1093</v>
      </c>
      <c r="F10303">
        <v>76.09</v>
      </c>
      <c r="G10303">
        <v>230607</v>
      </c>
      <c r="H10303">
        <v>4412</v>
      </c>
      <c r="I10303" t="s">
        <v>149</v>
      </c>
      <c r="J10303">
        <v>83.7</v>
      </c>
      <c r="K10303">
        <v>7.61</v>
      </c>
      <c r="L10303">
        <v>54451</v>
      </c>
      <c r="M10303" t="s">
        <v>158</v>
      </c>
      <c r="N10303" t="str">
        <f t="shared" si="173"/>
        <v xml:space="preserve">7747209     </v>
      </c>
      <c r="O10303">
        <v>230612</v>
      </c>
    </row>
    <row r="10304" spans="1:15" x14ac:dyDescent="0.25">
      <c r="A10304" t="s">
        <v>16</v>
      </c>
      <c r="B10304" t="s">
        <v>3221</v>
      </c>
      <c r="C10304">
        <v>8530</v>
      </c>
      <c r="D10304" t="s">
        <v>1092</v>
      </c>
      <c r="E10304" t="s">
        <v>1093</v>
      </c>
      <c r="F10304">
        <v>14.3</v>
      </c>
      <c r="G10304">
        <v>230607</v>
      </c>
      <c r="H10304">
        <v>4412</v>
      </c>
      <c r="I10304" t="s">
        <v>149</v>
      </c>
      <c r="J10304">
        <v>14.3</v>
      </c>
      <c r="K10304">
        <v>0</v>
      </c>
      <c r="L10304">
        <v>59113</v>
      </c>
      <c r="M10304" t="s">
        <v>235</v>
      </c>
      <c r="N10304" t="str">
        <f t="shared" si="173"/>
        <v xml:space="preserve">7747209     </v>
      </c>
      <c r="O10304">
        <v>230612</v>
      </c>
    </row>
    <row r="10305" spans="1:16" x14ac:dyDescent="0.25">
      <c r="A10305" t="s">
        <v>16</v>
      </c>
      <c r="B10305" t="s">
        <v>3221</v>
      </c>
      <c r="C10305">
        <v>8530</v>
      </c>
      <c r="D10305" t="s">
        <v>1092</v>
      </c>
      <c r="E10305" t="s">
        <v>1093</v>
      </c>
      <c r="F10305">
        <v>76.09</v>
      </c>
      <c r="G10305">
        <v>230607</v>
      </c>
      <c r="H10305">
        <v>4412</v>
      </c>
      <c r="I10305" t="s">
        <v>149</v>
      </c>
      <c r="J10305">
        <v>83.7</v>
      </c>
      <c r="K10305">
        <v>7.61</v>
      </c>
      <c r="L10305">
        <v>59113</v>
      </c>
      <c r="M10305" t="s">
        <v>235</v>
      </c>
      <c r="N10305" t="str">
        <f t="shared" si="173"/>
        <v xml:space="preserve">7747209     </v>
      </c>
      <c r="O10305">
        <v>230612</v>
      </c>
    </row>
    <row r="10306" spans="1:16" x14ac:dyDescent="0.25">
      <c r="A10306" t="s">
        <v>16</v>
      </c>
      <c r="B10306" t="s">
        <v>3221</v>
      </c>
      <c r="C10306">
        <v>8530</v>
      </c>
      <c r="D10306" t="s">
        <v>1092</v>
      </c>
      <c r="E10306" t="s">
        <v>1093</v>
      </c>
      <c r="F10306">
        <v>14.3</v>
      </c>
      <c r="G10306">
        <v>230607</v>
      </c>
      <c r="H10306">
        <v>4412</v>
      </c>
      <c r="I10306" t="s">
        <v>149</v>
      </c>
      <c r="J10306">
        <v>14.3</v>
      </c>
      <c r="K10306">
        <v>0</v>
      </c>
      <c r="L10306">
        <v>59114</v>
      </c>
      <c r="M10306" t="s">
        <v>556</v>
      </c>
      <c r="N10306" t="str">
        <f t="shared" si="173"/>
        <v xml:space="preserve">7747209     </v>
      </c>
      <c r="O10306">
        <v>230612</v>
      </c>
    </row>
    <row r="10307" spans="1:16" x14ac:dyDescent="0.25">
      <c r="A10307" t="s">
        <v>16</v>
      </c>
      <c r="B10307" t="s">
        <v>3221</v>
      </c>
      <c r="C10307">
        <v>8530</v>
      </c>
      <c r="D10307" t="s">
        <v>1092</v>
      </c>
      <c r="E10307" t="s">
        <v>1093</v>
      </c>
      <c r="F10307">
        <v>76.09</v>
      </c>
      <c r="G10307">
        <v>230607</v>
      </c>
      <c r="H10307">
        <v>4412</v>
      </c>
      <c r="I10307" t="s">
        <v>149</v>
      </c>
      <c r="J10307">
        <v>83.7</v>
      </c>
      <c r="K10307">
        <v>7.61</v>
      </c>
      <c r="L10307">
        <v>59114</v>
      </c>
      <c r="M10307" t="s">
        <v>556</v>
      </c>
      <c r="N10307" t="str">
        <f t="shared" si="173"/>
        <v xml:space="preserve">7747209     </v>
      </c>
      <c r="O10307">
        <v>230612</v>
      </c>
    </row>
    <row r="10308" spans="1:16" x14ac:dyDescent="0.25">
      <c r="A10308" t="s">
        <v>16</v>
      </c>
      <c r="B10308" t="s">
        <v>3221</v>
      </c>
      <c r="C10308">
        <v>8530</v>
      </c>
      <c r="D10308" t="s">
        <v>1092</v>
      </c>
      <c r="E10308" t="s">
        <v>1093</v>
      </c>
      <c r="F10308">
        <v>14.3</v>
      </c>
      <c r="G10308">
        <v>230607</v>
      </c>
      <c r="H10308">
        <v>4412</v>
      </c>
      <c r="I10308" t="s">
        <v>149</v>
      </c>
      <c r="J10308">
        <v>14.3</v>
      </c>
      <c r="K10308">
        <v>0</v>
      </c>
      <c r="L10308">
        <v>59702</v>
      </c>
      <c r="M10308" t="s">
        <v>328</v>
      </c>
      <c r="N10308" t="str">
        <f t="shared" si="173"/>
        <v xml:space="preserve">7747209     </v>
      </c>
      <c r="O10308">
        <v>230612</v>
      </c>
    </row>
    <row r="10309" spans="1:16" x14ac:dyDescent="0.25">
      <c r="A10309" t="s">
        <v>16</v>
      </c>
      <c r="B10309" t="s">
        <v>3221</v>
      </c>
      <c r="C10309">
        <v>8530</v>
      </c>
      <c r="D10309" t="s">
        <v>1092</v>
      </c>
      <c r="E10309" t="s">
        <v>1093</v>
      </c>
      <c r="F10309">
        <v>76.09</v>
      </c>
      <c r="G10309">
        <v>230607</v>
      </c>
      <c r="H10309">
        <v>4412</v>
      </c>
      <c r="I10309" t="s">
        <v>149</v>
      </c>
      <c r="J10309">
        <v>83.7</v>
      </c>
      <c r="K10309">
        <v>7.61</v>
      </c>
      <c r="L10309">
        <v>59702</v>
      </c>
      <c r="M10309" t="s">
        <v>328</v>
      </c>
      <c r="N10309" t="str">
        <f t="shared" si="173"/>
        <v xml:space="preserve">7747209     </v>
      </c>
      <c r="O10309">
        <v>230612</v>
      </c>
    </row>
    <row r="10310" spans="1:16" x14ac:dyDescent="0.25">
      <c r="A10310" t="s">
        <v>16</v>
      </c>
      <c r="B10310" t="s">
        <v>3221</v>
      </c>
      <c r="C10310">
        <v>11877</v>
      </c>
      <c r="D10310" t="s">
        <v>3658</v>
      </c>
      <c r="E10310" t="s">
        <v>3518</v>
      </c>
      <c r="F10310">
        <v>1075</v>
      </c>
      <c r="G10310">
        <v>230830</v>
      </c>
      <c r="H10310">
        <v>4440</v>
      </c>
      <c r="I10310" t="s">
        <v>250</v>
      </c>
      <c r="J10310">
        <v>1075</v>
      </c>
      <c r="K10310">
        <v>0</v>
      </c>
      <c r="L10310">
        <v>18123</v>
      </c>
      <c r="M10310" t="s">
        <v>3385</v>
      </c>
      <c r="N10310" t="str">
        <f>"171625      "</f>
        <v xml:space="preserve">171625      </v>
      </c>
      <c r="O10310">
        <v>230911</v>
      </c>
    </row>
    <row r="10311" spans="1:16" x14ac:dyDescent="0.25">
      <c r="A10311" t="s">
        <v>16</v>
      </c>
      <c r="B10311" t="s">
        <v>3221</v>
      </c>
      <c r="C10311">
        <v>16977</v>
      </c>
      <c r="D10311" t="s">
        <v>3658</v>
      </c>
      <c r="E10311" t="s">
        <v>3518</v>
      </c>
      <c r="F10311">
        <v>1075</v>
      </c>
      <c r="G10311">
        <v>231201</v>
      </c>
      <c r="H10311">
        <v>4440</v>
      </c>
      <c r="I10311" t="s">
        <v>250</v>
      </c>
      <c r="J10311">
        <v>1075</v>
      </c>
      <c r="K10311">
        <v>0</v>
      </c>
      <c r="L10311">
        <v>18121</v>
      </c>
      <c r="M10311" t="s">
        <v>3478</v>
      </c>
      <c r="N10311" t="str">
        <f>"172500      "</f>
        <v xml:space="preserve">172500      </v>
      </c>
      <c r="O10311">
        <v>231211</v>
      </c>
    </row>
    <row r="10312" spans="1:16" x14ac:dyDescent="0.25">
      <c r="A10312" t="s">
        <v>16</v>
      </c>
      <c r="B10312" t="s">
        <v>3221</v>
      </c>
      <c r="C10312">
        <v>14184</v>
      </c>
      <c r="D10312" t="s">
        <v>2750</v>
      </c>
      <c r="E10312" t="s">
        <v>3735</v>
      </c>
      <c r="F10312">
        <v>363.8</v>
      </c>
      <c r="G10312">
        <v>231011</v>
      </c>
      <c r="H10312">
        <v>4580</v>
      </c>
      <c r="I10312" t="s">
        <v>35</v>
      </c>
      <c r="J10312">
        <v>363.8</v>
      </c>
      <c r="K10312">
        <v>0</v>
      </c>
      <c r="L10312">
        <v>17534</v>
      </c>
      <c r="M10312" t="s">
        <v>440</v>
      </c>
      <c r="N10312" t="str">
        <f>"002901      "</f>
        <v xml:space="preserve">002901      </v>
      </c>
      <c r="O10312">
        <v>231023</v>
      </c>
      <c r="P10312" t="s">
        <v>937</v>
      </c>
    </row>
    <row r="10313" spans="1:16" x14ac:dyDescent="0.25">
      <c r="A10313" t="s">
        <v>16</v>
      </c>
      <c r="B10313" t="s">
        <v>3221</v>
      </c>
      <c r="C10313">
        <v>14184</v>
      </c>
      <c r="D10313" t="s">
        <v>2750</v>
      </c>
      <c r="E10313" t="s">
        <v>3735</v>
      </c>
      <c r="F10313">
        <v>249.5</v>
      </c>
      <c r="G10313">
        <v>231011</v>
      </c>
      <c r="H10313">
        <v>4600</v>
      </c>
      <c r="I10313" t="s">
        <v>105</v>
      </c>
      <c r="J10313">
        <v>249.5</v>
      </c>
      <c r="K10313">
        <v>0</v>
      </c>
      <c r="L10313">
        <v>17534</v>
      </c>
      <c r="M10313" t="s">
        <v>440</v>
      </c>
      <c r="N10313" t="str">
        <f>"002901      "</f>
        <v xml:space="preserve">002901      </v>
      </c>
      <c r="O10313">
        <v>231023</v>
      </c>
      <c r="P10313" t="s">
        <v>937</v>
      </c>
    </row>
    <row r="10314" spans="1:16" x14ac:dyDescent="0.25">
      <c r="A10314" t="s">
        <v>16</v>
      </c>
      <c r="B10314" t="s">
        <v>3221</v>
      </c>
      <c r="C10314">
        <v>14184</v>
      </c>
      <c r="D10314" t="s">
        <v>2750</v>
      </c>
      <c r="E10314" t="s">
        <v>3735</v>
      </c>
      <c r="F10314">
        <v>381</v>
      </c>
      <c r="G10314">
        <v>231011</v>
      </c>
      <c r="H10314">
        <v>4364</v>
      </c>
      <c r="I10314" t="s">
        <v>296</v>
      </c>
      <c r="J10314">
        <v>381</v>
      </c>
      <c r="K10314">
        <v>0</v>
      </c>
      <c r="L10314">
        <v>17534</v>
      </c>
      <c r="M10314" t="s">
        <v>440</v>
      </c>
      <c r="N10314" t="str">
        <f>"002901      "</f>
        <v xml:space="preserve">002901      </v>
      </c>
      <c r="O10314">
        <v>231023</v>
      </c>
      <c r="P10314" t="s">
        <v>937</v>
      </c>
    </row>
    <row r="10315" spans="1:16" x14ac:dyDescent="0.25">
      <c r="A10315" t="s">
        <v>16</v>
      </c>
      <c r="B10315" t="s">
        <v>3221</v>
      </c>
      <c r="C10315">
        <v>1661</v>
      </c>
      <c r="D10315" t="s">
        <v>1122</v>
      </c>
      <c r="E10315" t="s">
        <v>1123</v>
      </c>
      <c r="F10315">
        <v>158.87</v>
      </c>
      <c r="G10315">
        <v>230202</v>
      </c>
      <c r="H10315">
        <v>4343</v>
      </c>
      <c r="I10315" t="s">
        <v>91</v>
      </c>
      <c r="J10315">
        <v>174.76</v>
      </c>
      <c r="K10315">
        <v>15.89</v>
      </c>
      <c r="L10315">
        <v>14321</v>
      </c>
      <c r="M10315" t="s">
        <v>717</v>
      </c>
      <c r="N10315" t="str">
        <f>"6506749     "</f>
        <v xml:space="preserve">6506749     </v>
      </c>
      <c r="O10315">
        <v>230213</v>
      </c>
    </row>
    <row r="10316" spans="1:16" x14ac:dyDescent="0.25">
      <c r="A10316" t="s">
        <v>16</v>
      </c>
      <c r="B10316" t="s">
        <v>3221</v>
      </c>
      <c r="C10316">
        <v>1661</v>
      </c>
      <c r="D10316" t="s">
        <v>1122</v>
      </c>
      <c r="E10316" t="s">
        <v>1123</v>
      </c>
      <c r="F10316">
        <v>79.44</v>
      </c>
      <c r="G10316">
        <v>230202</v>
      </c>
      <c r="H10316">
        <v>4343</v>
      </c>
      <c r="I10316" t="s">
        <v>91</v>
      </c>
      <c r="J10316">
        <v>87.38</v>
      </c>
      <c r="K10316">
        <v>7.94</v>
      </c>
      <c r="L10316">
        <v>16321</v>
      </c>
      <c r="M10316" t="s">
        <v>423</v>
      </c>
      <c r="N10316" t="str">
        <f>"6506749     "</f>
        <v xml:space="preserve">6506749     </v>
      </c>
      <c r="O10316">
        <v>230213</v>
      </c>
    </row>
    <row r="10317" spans="1:16" x14ac:dyDescent="0.25">
      <c r="A10317" t="s">
        <v>16</v>
      </c>
      <c r="B10317" t="s">
        <v>3221</v>
      </c>
      <c r="C10317">
        <v>1661</v>
      </c>
      <c r="D10317" t="s">
        <v>1122</v>
      </c>
      <c r="E10317" t="s">
        <v>1123</v>
      </c>
      <c r="F10317">
        <v>79.44</v>
      </c>
      <c r="G10317">
        <v>230202</v>
      </c>
      <c r="H10317">
        <v>4343</v>
      </c>
      <c r="I10317" t="s">
        <v>91</v>
      </c>
      <c r="J10317">
        <v>87.38</v>
      </c>
      <c r="K10317">
        <v>7.94</v>
      </c>
      <c r="L10317">
        <v>16322</v>
      </c>
      <c r="M10317" t="s">
        <v>22</v>
      </c>
      <c r="N10317" t="str">
        <f>"6506749     "</f>
        <v xml:space="preserve">6506749     </v>
      </c>
      <c r="O10317">
        <v>230213</v>
      </c>
    </row>
    <row r="10318" spans="1:16" x14ac:dyDescent="0.25">
      <c r="A10318" t="s">
        <v>16</v>
      </c>
      <c r="B10318" t="s">
        <v>3221</v>
      </c>
      <c r="C10318">
        <v>1661</v>
      </c>
      <c r="D10318" t="s">
        <v>1122</v>
      </c>
      <c r="E10318" t="s">
        <v>1123</v>
      </c>
      <c r="F10318">
        <v>158.87</v>
      </c>
      <c r="G10318">
        <v>230202</v>
      </c>
      <c r="H10318">
        <v>4343</v>
      </c>
      <c r="I10318" t="s">
        <v>91</v>
      </c>
      <c r="J10318">
        <v>174.76</v>
      </c>
      <c r="K10318">
        <v>15.89</v>
      </c>
      <c r="L10318">
        <v>43222</v>
      </c>
      <c r="M10318" t="s">
        <v>507</v>
      </c>
      <c r="N10318" t="str">
        <f>"6506749     "</f>
        <v xml:space="preserve">6506749     </v>
      </c>
      <c r="O10318">
        <v>230213</v>
      </c>
    </row>
    <row r="10319" spans="1:16" x14ac:dyDescent="0.25">
      <c r="A10319" t="s">
        <v>16</v>
      </c>
      <c r="B10319" t="s">
        <v>3221</v>
      </c>
      <c r="C10319">
        <v>1661</v>
      </c>
      <c r="D10319" t="s">
        <v>1122</v>
      </c>
      <c r="E10319" t="s">
        <v>1123</v>
      </c>
      <c r="F10319">
        <v>158.86000000000001</v>
      </c>
      <c r="G10319">
        <v>230202</v>
      </c>
      <c r="H10319">
        <v>4343</v>
      </c>
      <c r="I10319" t="s">
        <v>91</v>
      </c>
      <c r="J10319">
        <v>174.75</v>
      </c>
      <c r="K10319">
        <v>15.89</v>
      </c>
      <c r="L10319">
        <v>53222</v>
      </c>
      <c r="M10319" t="s">
        <v>445</v>
      </c>
      <c r="N10319" t="str">
        <f>"6506749     "</f>
        <v xml:space="preserve">6506749     </v>
      </c>
      <c r="O10319">
        <v>230213</v>
      </c>
    </row>
    <row r="10320" spans="1:16" x14ac:dyDescent="0.25">
      <c r="A10320" t="s">
        <v>16</v>
      </c>
      <c r="B10320" t="s">
        <v>3221</v>
      </c>
      <c r="C10320">
        <v>55</v>
      </c>
      <c r="D10320" t="s">
        <v>40</v>
      </c>
      <c r="E10320" t="s">
        <v>41</v>
      </c>
      <c r="F10320">
        <v>44.55</v>
      </c>
      <c r="G10320">
        <v>221215</v>
      </c>
      <c r="H10320">
        <v>4510</v>
      </c>
      <c r="I10320" t="s">
        <v>42</v>
      </c>
      <c r="J10320">
        <v>49</v>
      </c>
      <c r="K10320">
        <v>4.45</v>
      </c>
      <c r="L10320">
        <v>56522</v>
      </c>
      <c r="M10320" t="s">
        <v>43</v>
      </c>
      <c r="N10320" t="str">
        <f>"127373      "</f>
        <v xml:space="preserve">127373      </v>
      </c>
      <c r="O10320">
        <v>230104</v>
      </c>
    </row>
    <row r="10321" spans="1:15" x14ac:dyDescent="0.25">
      <c r="A10321" t="s">
        <v>16</v>
      </c>
      <c r="B10321" t="s">
        <v>3221</v>
      </c>
      <c r="C10321">
        <v>6716</v>
      </c>
      <c r="D10321" t="s">
        <v>1018</v>
      </c>
      <c r="E10321" t="s">
        <v>1019</v>
      </c>
      <c r="F10321">
        <v>9.19</v>
      </c>
      <c r="G10321">
        <v>230508</v>
      </c>
      <c r="H10321">
        <v>4600</v>
      </c>
      <c r="I10321" t="s">
        <v>105</v>
      </c>
      <c r="J10321">
        <v>11.4</v>
      </c>
      <c r="K10321">
        <v>2.21</v>
      </c>
      <c r="L10321">
        <v>17131</v>
      </c>
      <c r="M10321" t="s">
        <v>64</v>
      </c>
      <c r="N10321" t="str">
        <f>"72822       "</f>
        <v xml:space="preserve">72822       </v>
      </c>
      <c r="O10321">
        <v>230517</v>
      </c>
    </row>
    <row r="10322" spans="1:15" x14ac:dyDescent="0.25">
      <c r="A10322" t="s">
        <v>16</v>
      </c>
      <c r="B10322" t="s">
        <v>3221</v>
      </c>
      <c r="C10322">
        <v>6716</v>
      </c>
      <c r="D10322" t="s">
        <v>1018</v>
      </c>
      <c r="E10322" t="s">
        <v>1019</v>
      </c>
      <c r="F10322">
        <v>9.19</v>
      </c>
      <c r="G10322">
        <v>230508</v>
      </c>
      <c r="H10322">
        <v>4600</v>
      </c>
      <c r="I10322" t="s">
        <v>105</v>
      </c>
      <c r="J10322">
        <v>11.4</v>
      </c>
      <c r="K10322">
        <v>2.21</v>
      </c>
      <c r="L10322">
        <v>17711</v>
      </c>
      <c r="M10322" t="s">
        <v>65</v>
      </c>
      <c r="N10322" t="str">
        <f>"72822       "</f>
        <v xml:space="preserve">72822       </v>
      </c>
      <c r="O10322">
        <v>230517</v>
      </c>
    </row>
    <row r="10323" spans="1:15" x14ac:dyDescent="0.25">
      <c r="A10323" t="s">
        <v>16</v>
      </c>
      <c r="B10323" t="s">
        <v>3221</v>
      </c>
      <c r="C10323">
        <v>1351</v>
      </c>
      <c r="D10323" t="s">
        <v>1018</v>
      </c>
      <c r="E10323" t="s">
        <v>1019</v>
      </c>
      <c r="F10323">
        <v>152</v>
      </c>
      <c r="G10323">
        <v>230131</v>
      </c>
      <c r="H10323">
        <v>4350</v>
      </c>
      <c r="I10323" t="s">
        <v>546</v>
      </c>
      <c r="J10323">
        <v>188.48</v>
      </c>
      <c r="K10323">
        <v>36.479999999999997</v>
      </c>
      <c r="L10323">
        <v>54451</v>
      </c>
      <c r="M10323" t="s">
        <v>158</v>
      </c>
      <c r="N10323" t="str">
        <f>"71348       "</f>
        <v xml:space="preserve">71348       </v>
      </c>
      <c r="O10323">
        <v>230208</v>
      </c>
    </row>
    <row r="10324" spans="1:15" x14ac:dyDescent="0.25">
      <c r="A10324" t="s">
        <v>16</v>
      </c>
      <c r="B10324" t="s">
        <v>3221</v>
      </c>
      <c r="C10324">
        <v>1832</v>
      </c>
      <c r="D10324" t="s">
        <v>1018</v>
      </c>
      <c r="E10324" t="s">
        <v>1019</v>
      </c>
      <c r="F10324">
        <v>165.75</v>
      </c>
      <c r="G10324">
        <v>230206</v>
      </c>
      <c r="H10324">
        <v>4350</v>
      </c>
      <c r="I10324" t="s">
        <v>546</v>
      </c>
      <c r="J10324">
        <v>205.53</v>
      </c>
      <c r="K10324">
        <v>39.78</v>
      </c>
      <c r="L10324">
        <v>17131</v>
      </c>
      <c r="M10324" t="s">
        <v>64</v>
      </c>
      <c r="N10324" t="str">
        <f>"71420       "</f>
        <v xml:space="preserve">71420       </v>
      </c>
      <c r="O10324">
        <v>230214</v>
      </c>
    </row>
    <row r="10325" spans="1:15" x14ac:dyDescent="0.25">
      <c r="A10325" t="s">
        <v>16</v>
      </c>
      <c r="B10325" t="s">
        <v>3221</v>
      </c>
      <c r="C10325">
        <v>1832</v>
      </c>
      <c r="D10325" t="s">
        <v>1018</v>
      </c>
      <c r="E10325" t="s">
        <v>1019</v>
      </c>
      <c r="F10325">
        <v>165.75</v>
      </c>
      <c r="G10325">
        <v>230206</v>
      </c>
      <c r="H10325">
        <v>4350</v>
      </c>
      <c r="I10325" t="s">
        <v>546</v>
      </c>
      <c r="J10325">
        <v>205.53</v>
      </c>
      <c r="K10325">
        <v>39.78</v>
      </c>
      <c r="L10325">
        <v>17711</v>
      </c>
      <c r="M10325" t="s">
        <v>65</v>
      </c>
      <c r="N10325" t="str">
        <f>"71420       "</f>
        <v xml:space="preserve">71420       </v>
      </c>
      <c r="O10325">
        <v>230214</v>
      </c>
    </row>
    <row r="10326" spans="1:15" x14ac:dyDescent="0.25">
      <c r="A10326" t="s">
        <v>16</v>
      </c>
      <c r="B10326" t="s">
        <v>3221</v>
      </c>
      <c r="C10326">
        <v>2787</v>
      </c>
      <c r="D10326" t="s">
        <v>1018</v>
      </c>
      <c r="E10326" t="s">
        <v>1019</v>
      </c>
      <c r="F10326">
        <v>84.07</v>
      </c>
      <c r="G10326">
        <v>230212</v>
      </c>
      <c r="H10326">
        <v>4350</v>
      </c>
      <c r="I10326" t="s">
        <v>546</v>
      </c>
      <c r="J10326">
        <v>104.25</v>
      </c>
      <c r="K10326">
        <v>20.18</v>
      </c>
      <c r="L10326">
        <v>11301</v>
      </c>
      <c r="M10326" t="s">
        <v>29</v>
      </c>
      <c r="N10326" t="str">
        <f>"71471       "</f>
        <v xml:space="preserve">71471       </v>
      </c>
      <c r="O10326">
        <v>230307</v>
      </c>
    </row>
    <row r="10327" spans="1:15" x14ac:dyDescent="0.25">
      <c r="A10327" t="s">
        <v>16</v>
      </c>
      <c r="B10327" t="s">
        <v>3221</v>
      </c>
      <c r="C10327">
        <v>3316</v>
      </c>
      <c r="D10327" t="s">
        <v>1018</v>
      </c>
      <c r="E10327" t="s">
        <v>1019</v>
      </c>
      <c r="F10327">
        <v>331.5</v>
      </c>
      <c r="G10327">
        <v>230219</v>
      </c>
      <c r="H10327">
        <v>4350</v>
      </c>
      <c r="I10327" t="s">
        <v>546</v>
      </c>
      <c r="J10327">
        <v>411.06</v>
      </c>
      <c r="K10327">
        <v>79.56</v>
      </c>
      <c r="L10327">
        <v>59702</v>
      </c>
      <c r="M10327" t="s">
        <v>328</v>
      </c>
      <c r="N10327" t="str">
        <f>"71585       "</f>
        <v xml:space="preserve">71585       </v>
      </c>
      <c r="O10327">
        <v>230314</v>
      </c>
    </row>
    <row r="10328" spans="1:15" x14ac:dyDescent="0.25">
      <c r="A10328" t="s">
        <v>16</v>
      </c>
      <c r="B10328" t="s">
        <v>3221</v>
      </c>
      <c r="C10328">
        <v>3657</v>
      </c>
      <c r="D10328" t="s">
        <v>1018</v>
      </c>
      <c r="E10328" t="s">
        <v>1019</v>
      </c>
      <c r="F10328">
        <v>152</v>
      </c>
      <c r="G10328">
        <v>230228</v>
      </c>
      <c r="H10328">
        <v>4350</v>
      </c>
      <c r="I10328" t="s">
        <v>546</v>
      </c>
      <c r="J10328">
        <v>188.48</v>
      </c>
      <c r="K10328">
        <v>36.479999999999997</v>
      </c>
      <c r="L10328">
        <v>54451</v>
      </c>
      <c r="M10328" t="s">
        <v>158</v>
      </c>
      <c r="N10328" t="str">
        <f>"71749       "</f>
        <v xml:space="preserve">71749       </v>
      </c>
      <c r="O10328">
        <v>230320</v>
      </c>
    </row>
    <row r="10329" spans="1:15" x14ac:dyDescent="0.25">
      <c r="A10329" t="s">
        <v>16</v>
      </c>
      <c r="B10329" t="s">
        <v>3221</v>
      </c>
      <c r="C10329">
        <v>4147</v>
      </c>
      <c r="D10329" t="s">
        <v>1018</v>
      </c>
      <c r="E10329" t="s">
        <v>1019</v>
      </c>
      <c r="F10329">
        <v>13.78</v>
      </c>
      <c r="G10329">
        <v>230313</v>
      </c>
      <c r="H10329">
        <v>4350</v>
      </c>
      <c r="I10329" t="s">
        <v>546</v>
      </c>
      <c r="J10329">
        <v>17.09</v>
      </c>
      <c r="K10329">
        <v>3.31</v>
      </c>
      <c r="L10329">
        <v>11301</v>
      </c>
      <c r="M10329" t="s">
        <v>29</v>
      </c>
      <c r="N10329" t="str">
        <f>"71922       "</f>
        <v xml:space="preserve">71922       </v>
      </c>
      <c r="O10329">
        <v>230330</v>
      </c>
    </row>
    <row r="10330" spans="1:15" x14ac:dyDescent="0.25">
      <c r="A10330" t="s">
        <v>16</v>
      </c>
      <c r="B10330" t="s">
        <v>3221</v>
      </c>
      <c r="C10330">
        <v>5104</v>
      </c>
      <c r="D10330" t="s">
        <v>1018</v>
      </c>
      <c r="E10330" t="s">
        <v>1019</v>
      </c>
      <c r="F10330">
        <v>190</v>
      </c>
      <c r="G10330">
        <v>230331</v>
      </c>
      <c r="H10330">
        <v>4350</v>
      </c>
      <c r="I10330" t="s">
        <v>546</v>
      </c>
      <c r="J10330">
        <v>235.6</v>
      </c>
      <c r="K10330">
        <v>45.6</v>
      </c>
      <c r="L10330">
        <v>54451</v>
      </c>
      <c r="M10330" t="s">
        <v>158</v>
      </c>
      <c r="N10330" t="str">
        <f>"72264       "</f>
        <v xml:space="preserve">72264       </v>
      </c>
      <c r="O10330">
        <v>230418</v>
      </c>
    </row>
    <row r="10331" spans="1:15" x14ac:dyDescent="0.25">
      <c r="A10331" t="s">
        <v>16</v>
      </c>
      <c r="B10331" t="s">
        <v>3221</v>
      </c>
      <c r="C10331">
        <v>5401</v>
      </c>
      <c r="D10331" t="s">
        <v>1018</v>
      </c>
      <c r="E10331" t="s">
        <v>1019</v>
      </c>
      <c r="F10331">
        <v>5.72</v>
      </c>
      <c r="G10331">
        <v>230411</v>
      </c>
      <c r="H10331">
        <v>4350</v>
      </c>
      <c r="I10331" t="s">
        <v>546</v>
      </c>
      <c r="J10331">
        <v>7.09</v>
      </c>
      <c r="K10331">
        <v>1.37</v>
      </c>
      <c r="L10331">
        <v>11401</v>
      </c>
      <c r="M10331" t="s">
        <v>84</v>
      </c>
      <c r="N10331" t="str">
        <f>"72364       "</f>
        <v xml:space="preserve">72364       </v>
      </c>
      <c r="O10331">
        <v>230424</v>
      </c>
    </row>
    <row r="10332" spans="1:15" x14ac:dyDescent="0.25">
      <c r="A10332" t="s">
        <v>16</v>
      </c>
      <c r="B10332" t="s">
        <v>3221</v>
      </c>
      <c r="C10332">
        <v>6312</v>
      </c>
      <c r="D10332" t="s">
        <v>1018</v>
      </c>
      <c r="E10332" t="s">
        <v>1019</v>
      </c>
      <c r="F10332">
        <v>200.75</v>
      </c>
      <c r="G10332">
        <v>230430</v>
      </c>
      <c r="H10332">
        <v>4350</v>
      </c>
      <c r="I10332" t="s">
        <v>546</v>
      </c>
      <c r="J10332">
        <v>248.93</v>
      </c>
      <c r="K10332">
        <v>48.18</v>
      </c>
      <c r="L10332">
        <v>54451</v>
      </c>
      <c r="M10332" t="s">
        <v>158</v>
      </c>
      <c r="N10332" t="str">
        <f>"72705       "</f>
        <v xml:space="preserve">72705       </v>
      </c>
      <c r="O10332">
        <v>230510</v>
      </c>
    </row>
    <row r="10333" spans="1:15" x14ac:dyDescent="0.25">
      <c r="A10333" t="s">
        <v>16</v>
      </c>
      <c r="B10333" t="s">
        <v>3221</v>
      </c>
      <c r="C10333">
        <v>7742</v>
      </c>
      <c r="D10333" t="s">
        <v>1018</v>
      </c>
      <c r="E10333" t="s">
        <v>1019</v>
      </c>
      <c r="F10333">
        <v>689.8</v>
      </c>
      <c r="G10333">
        <v>230531</v>
      </c>
      <c r="H10333">
        <v>4350</v>
      </c>
      <c r="I10333" t="s">
        <v>546</v>
      </c>
      <c r="J10333">
        <v>855.35</v>
      </c>
      <c r="K10333">
        <v>165.55</v>
      </c>
      <c r="L10333">
        <v>54451</v>
      </c>
      <c r="M10333" t="s">
        <v>158</v>
      </c>
      <c r="N10333" t="str">
        <f>"73250       "</f>
        <v xml:space="preserve">73250       </v>
      </c>
      <c r="O10333">
        <v>230602</v>
      </c>
    </row>
    <row r="10334" spans="1:15" x14ac:dyDescent="0.25">
      <c r="A10334" t="s">
        <v>16</v>
      </c>
      <c r="B10334" t="s">
        <v>3221</v>
      </c>
      <c r="C10334">
        <v>8762</v>
      </c>
      <c r="D10334" t="s">
        <v>1018</v>
      </c>
      <c r="E10334" t="s">
        <v>1019</v>
      </c>
      <c r="F10334">
        <v>13.78</v>
      </c>
      <c r="G10334">
        <v>230609</v>
      </c>
      <c r="H10334">
        <v>4350</v>
      </c>
      <c r="I10334" t="s">
        <v>546</v>
      </c>
      <c r="J10334">
        <v>17.09</v>
      </c>
      <c r="K10334">
        <v>3.31</v>
      </c>
      <c r="L10334">
        <v>11301</v>
      </c>
      <c r="M10334" t="s">
        <v>29</v>
      </c>
      <c r="N10334" t="str">
        <f>"73394       "</f>
        <v xml:space="preserve">73394       </v>
      </c>
      <c r="O10334">
        <v>230614</v>
      </c>
    </row>
    <row r="10335" spans="1:15" x14ac:dyDescent="0.25">
      <c r="A10335" t="s">
        <v>16</v>
      </c>
      <c r="B10335" t="s">
        <v>3221</v>
      </c>
      <c r="C10335">
        <v>9789</v>
      </c>
      <c r="D10335" t="s">
        <v>1018</v>
      </c>
      <c r="E10335" t="s">
        <v>1019</v>
      </c>
      <c r="F10335">
        <v>114</v>
      </c>
      <c r="G10335">
        <v>230630</v>
      </c>
      <c r="H10335">
        <v>4350</v>
      </c>
      <c r="I10335" t="s">
        <v>546</v>
      </c>
      <c r="J10335">
        <v>141.36000000000001</v>
      </c>
      <c r="K10335">
        <v>27.36</v>
      </c>
      <c r="L10335">
        <v>54451</v>
      </c>
      <c r="M10335" t="s">
        <v>158</v>
      </c>
      <c r="N10335" t="str">
        <f>"73629       "</f>
        <v xml:space="preserve">73629       </v>
      </c>
      <c r="O10335">
        <v>230725</v>
      </c>
    </row>
    <row r="10336" spans="1:15" x14ac:dyDescent="0.25">
      <c r="A10336" t="s">
        <v>16</v>
      </c>
      <c r="B10336" t="s">
        <v>3221</v>
      </c>
      <c r="C10336">
        <v>12335</v>
      </c>
      <c r="D10336" t="s">
        <v>1018</v>
      </c>
      <c r="E10336" t="s">
        <v>1019</v>
      </c>
      <c r="F10336">
        <v>190</v>
      </c>
      <c r="G10336">
        <v>230831</v>
      </c>
      <c r="H10336">
        <v>4350</v>
      </c>
      <c r="I10336" t="s">
        <v>546</v>
      </c>
      <c r="J10336">
        <v>235.6</v>
      </c>
      <c r="K10336">
        <v>45.6</v>
      </c>
      <c r="L10336">
        <v>54451</v>
      </c>
      <c r="M10336" t="s">
        <v>158</v>
      </c>
      <c r="N10336" t="str">
        <f>"74359       "</f>
        <v xml:space="preserve">74359       </v>
      </c>
      <c r="O10336">
        <v>230918</v>
      </c>
    </row>
    <row r="10337" spans="1:15" x14ac:dyDescent="0.25">
      <c r="A10337" t="s">
        <v>16</v>
      </c>
      <c r="B10337" t="s">
        <v>3221</v>
      </c>
      <c r="C10337">
        <v>12335</v>
      </c>
      <c r="D10337" t="s">
        <v>1018</v>
      </c>
      <c r="E10337" t="s">
        <v>1019</v>
      </c>
      <c r="F10337">
        <v>331.5</v>
      </c>
      <c r="G10337">
        <v>230831</v>
      </c>
      <c r="H10337">
        <v>4350</v>
      </c>
      <c r="I10337" t="s">
        <v>546</v>
      </c>
      <c r="J10337">
        <v>411.06</v>
      </c>
      <c r="K10337">
        <v>79.56</v>
      </c>
      <c r="L10337">
        <v>59702</v>
      </c>
      <c r="M10337" t="s">
        <v>328</v>
      </c>
      <c r="N10337" t="str">
        <f>"74359       "</f>
        <v xml:space="preserve">74359       </v>
      </c>
      <c r="O10337">
        <v>230918</v>
      </c>
    </row>
    <row r="10338" spans="1:15" x14ac:dyDescent="0.25">
      <c r="A10338" t="s">
        <v>16</v>
      </c>
      <c r="B10338" t="s">
        <v>3221</v>
      </c>
      <c r="C10338">
        <v>13213</v>
      </c>
      <c r="D10338" t="s">
        <v>1018</v>
      </c>
      <c r="E10338" t="s">
        <v>1019</v>
      </c>
      <c r="F10338">
        <v>152</v>
      </c>
      <c r="G10338">
        <v>230929</v>
      </c>
      <c r="H10338">
        <v>4350</v>
      </c>
      <c r="I10338" t="s">
        <v>546</v>
      </c>
      <c r="J10338">
        <v>188.48</v>
      </c>
      <c r="K10338">
        <v>36.479999999999997</v>
      </c>
      <c r="L10338">
        <v>54451</v>
      </c>
      <c r="M10338" t="s">
        <v>158</v>
      </c>
      <c r="N10338" t="str">
        <f>"74710       "</f>
        <v xml:space="preserve">74710       </v>
      </c>
      <c r="O10338">
        <v>231005</v>
      </c>
    </row>
    <row r="10339" spans="1:15" x14ac:dyDescent="0.25">
      <c r="A10339" t="s">
        <v>16</v>
      </c>
      <c r="B10339" t="s">
        <v>3221</v>
      </c>
      <c r="C10339">
        <v>13537</v>
      </c>
      <c r="D10339" t="s">
        <v>1018</v>
      </c>
      <c r="E10339" t="s">
        <v>1019</v>
      </c>
      <c r="F10339">
        <v>130.71</v>
      </c>
      <c r="G10339">
        <v>230925</v>
      </c>
      <c r="H10339">
        <v>4350</v>
      </c>
      <c r="I10339" t="s">
        <v>546</v>
      </c>
      <c r="J10339">
        <v>162.08000000000001</v>
      </c>
      <c r="K10339">
        <v>31.37</v>
      </c>
      <c r="L10339">
        <v>11301</v>
      </c>
      <c r="M10339" t="s">
        <v>29</v>
      </c>
      <c r="N10339" t="str">
        <f>"74574       "</f>
        <v xml:space="preserve">74574       </v>
      </c>
      <c r="O10339">
        <v>231011</v>
      </c>
    </row>
    <row r="10340" spans="1:15" x14ac:dyDescent="0.25">
      <c r="A10340" t="s">
        <v>16</v>
      </c>
      <c r="B10340" t="s">
        <v>3221</v>
      </c>
      <c r="C10340">
        <v>14339</v>
      </c>
      <c r="D10340" t="s">
        <v>1018</v>
      </c>
      <c r="E10340" t="s">
        <v>1019</v>
      </c>
      <c r="F10340">
        <v>5.92</v>
      </c>
      <c r="G10340">
        <v>231016</v>
      </c>
      <c r="H10340">
        <v>4350</v>
      </c>
      <c r="I10340" t="s">
        <v>546</v>
      </c>
      <c r="J10340">
        <v>7.34</v>
      </c>
      <c r="K10340">
        <v>1.42</v>
      </c>
      <c r="L10340">
        <v>58601</v>
      </c>
      <c r="M10340" t="s">
        <v>251</v>
      </c>
      <c r="N10340" t="str">
        <f>"74845       "</f>
        <v xml:space="preserve">74845       </v>
      </c>
      <c r="O10340">
        <v>231027</v>
      </c>
    </row>
    <row r="10341" spans="1:15" x14ac:dyDescent="0.25">
      <c r="A10341" t="s">
        <v>16</v>
      </c>
      <c r="B10341" t="s">
        <v>3221</v>
      </c>
      <c r="C10341">
        <v>14816</v>
      </c>
      <c r="D10341" t="s">
        <v>1018</v>
      </c>
      <c r="E10341" t="s">
        <v>1019</v>
      </c>
      <c r="F10341">
        <v>82.87</v>
      </c>
      <c r="G10341">
        <v>231023</v>
      </c>
      <c r="H10341">
        <v>4350</v>
      </c>
      <c r="I10341" t="s">
        <v>546</v>
      </c>
      <c r="J10341">
        <v>102.76</v>
      </c>
      <c r="K10341">
        <v>19.89</v>
      </c>
      <c r="L10341">
        <v>66722</v>
      </c>
      <c r="M10341" t="s">
        <v>518</v>
      </c>
      <c r="N10341" t="str">
        <f>"74930       "</f>
        <v xml:space="preserve">74930       </v>
      </c>
      <c r="O10341">
        <v>231106</v>
      </c>
    </row>
    <row r="10342" spans="1:15" x14ac:dyDescent="0.25">
      <c r="A10342" t="s">
        <v>16</v>
      </c>
      <c r="B10342" t="s">
        <v>3221</v>
      </c>
      <c r="C10342">
        <v>14816</v>
      </c>
      <c r="D10342" t="s">
        <v>1018</v>
      </c>
      <c r="E10342" t="s">
        <v>1019</v>
      </c>
      <c r="F10342">
        <v>82.87</v>
      </c>
      <c r="G10342">
        <v>231023</v>
      </c>
      <c r="H10342">
        <v>4350</v>
      </c>
      <c r="I10342" t="s">
        <v>546</v>
      </c>
      <c r="J10342">
        <v>102.76</v>
      </c>
      <c r="K10342">
        <v>19.89</v>
      </c>
      <c r="L10342">
        <v>66756</v>
      </c>
      <c r="M10342" t="s">
        <v>209</v>
      </c>
      <c r="N10342" t="str">
        <f>"74930       "</f>
        <v xml:space="preserve">74930       </v>
      </c>
      <c r="O10342">
        <v>231106</v>
      </c>
    </row>
    <row r="10343" spans="1:15" x14ac:dyDescent="0.25">
      <c r="A10343" t="s">
        <v>16</v>
      </c>
      <c r="B10343" t="s">
        <v>3221</v>
      </c>
      <c r="C10343">
        <v>14816</v>
      </c>
      <c r="D10343" t="s">
        <v>1018</v>
      </c>
      <c r="E10343" t="s">
        <v>1019</v>
      </c>
      <c r="F10343">
        <v>82.88</v>
      </c>
      <c r="G10343">
        <v>231023</v>
      </c>
      <c r="H10343">
        <v>4350</v>
      </c>
      <c r="I10343" t="s">
        <v>546</v>
      </c>
      <c r="J10343">
        <v>102.77</v>
      </c>
      <c r="K10343">
        <v>19.89</v>
      </c>
      <c r="L10343">
        <v>67522</v>
      </c>
      <c r="M10343" t="s">
        <v>397</v>
      </c>
      <c r="N10343" t="str">
        <f>"74930       "</f>
        <v xml:space="preserve">74930       </v>
      </c>
      <c r="O10343">
        <v>231106</v>
      </c>
    </row>
    <row r="10344" spans="1:15" x14ac:dyDescent="0.25">
      <c r="A10344" t="s">
        <v>16</v>
      </c>
      <c r="B10344" t="s">
        <v>3221</v>
      </c>
      <c r="C10344">
        <v>14816</v>
      </c>
      <c r="D10344" t="s">
        <v>1018</v>
      </c>
      <c r="E10344" t="s">
        <v>1019</v>
      </c>
      <c r="F10344">
        <v>82.88</v>
      </c>
      <c r="G10344">
        <v>231023</v>
      </c>
      <c r="H10344">
        <v>4350</v>
      </c>
      <c r="I10344" t="s">
        <v>546</v>
      </c>
      <c r="J10344">
        <v>102.77</v>
      </c>
      <c r="K10344">
        <v>19.89</v>
      </c>
      <c r="L10344">
        <v>67522</v>
      </c>
      <c r="M10344" t="s">
        <v>397</v>
      </c>
      <c r="N10344" t="str">
        <f>"74930       "</f>
        <v xml:space="preserve">74930       </v>
      </c>
      <c r="O10344">
        <v>231106</v>
      </c>
    </row>
    <row r="10345" spans="1:15" x14ac:dyDescent="0.25">
      <c r="A10345" t="s">
        <v>16</v>
      </c>
      <c r="B10345" t="s">
        <v>3221</v>
      </c>
      <c r="C10345">
        <v>15034</v>
      </c>
      <c r="D10345" t="s">
        <v>1018</v>
      </c>
      <c r="E10345" t="s">
        <v>1019</v>
      </c>
      <c r="F10345">
        <v>152</v>
      </c>
      <c r="G10345">
        <v>231031</v>
      </c>
      <c r="H10345">
        <v>4350</v>
      </c>
      <c r="I10345" t="s">
        <v>546</v>
      </c>
      <c r="J10345">
        <v>188.48</v>
      </c>
      <c r="K10345">
        <v>36.479999999999997</v>
      </c>
      <c r="L10345">
        <v>54451</v>
      </c>
      <c r="M10345" t="s">
        <v>158</v>
      </c>
      <c r="N10345" t="str">
        <f>"75081       "</f>
        <v xml:space="preserve">75081       </v>
      </c>
      <c r="O10345">
        <v>231108</v>
      </c>
    </row>
    <row r="10346" spans="1:15" x14ac:dyDescent="0.25">
      <c r="A10346" t="s">
        <v>16</v>
      </c>
      <c r="B10346" t="s">
        <v>3221</v>
      </c>
      <c r="C10346">
        <v>15616</v>
      </c>
      <c r="D10346" t="s">
        <v>1018</v>
      </c>
      <c r="E10346" t="s">
        <v>1019</v>
      </c>
      <c r="F10346">
        <v>16.61</v>
      </c>
      <c r="G10346">
        <v>231106</v>
      </c>
      <c r="H10346">
        <v>4350</v>
      </c>
      <c r="I10346" t="s">
        <v>546</v>
      </c>
      <c r="J10346">
        <v>20.6</v>
      </c>
      <c r="K10346">
        <v>3.99</v>
      </c>
      <c r="L10346">
        <v>11301</v>
      </c>
      <c r="M10346" t="s">
        <v>29</v>
      </c>
      <c r="N10346" t="str">
        <f>"75179       "</f>
        <v xml:space="preserve">75179       </v>
      </c>
      <c r="O10346">
        <v>231114</v>
      </c>
    </row>
    <row r="10347" spans="1:15" x14ac:dyDescent="0.25">
      <c r="A10347" t="s">
        <v>16</v>
      </c>
      <c r="B10347" t="s">
        <v>3221</v>
      </c>
      <c r="C10347">
        <v>17263</v>
      </c>
      <c r="D10347" t="s">
        <v>1018</v>
      </c>
      <c r="E10347" t="s">
        <v>1019</v>
      </c>
      <c r="F10347">
        <v>190</v>
      </c>
      <c r="G10347">
        <v>231130</v>
      </c>
      <c r="H10347">
        <v>4350</v>
      </c>
      <c r="I10347" t="s">
        <v>546</v>
      </c>
      <c r="J10347">
        <v>235.6</v>
      </c>
      <c r="K10347">
        <v>45.6</v>
      </c>
      <c r="L10347">
        <v>54451</v>
      </c>
      <c r="M10347" t="s">
        <v>158</v>
      </c>
      <c r="N10347" t="str">
        <f>"75517       "</f>
        <v xml:space="preserve">75517       </v>
      </c>
      <c r="O10347">
        <v>231212</v>
      </c>
    </row>
    <row r="10348" spans="1:15" x14ac:dyDescent="0.25">
      <c r="A10348" t="s">
        <v>16</v>
      </c>
      <c r="B10348" t="s">
        <v>3221</v>
      </c>
      <c r="C10348">
        <v>17263</v>
      </c>
      <c r="D10348" t="s">
        <v>1018</v>
      </c>
      <c r="E10348" t="s">
        <v>1019</v>
      </c>
      <c r="F10348">
        <v>354.45</v>
      </c>
      <c r="G10348">
        <v>231130</v>
      </c>
      <c r="H10348">
        <v>4350</v>
      </c>
      <c r="I10348" t="s">
        <v>546</v>
      </c>
      <c r="J10348">
        <v>439.52</v>
      </c>
      <c r="K10348">
        <v>85.07</v>
      </c>
      <c r="L10348">
        <v>59702</v>
      </c>
      <c r="M10348" t="s">
        <v>328</v>
      </c>
      <c r="N10348" t="str">
        <f>"75517       "</f>
        <v xml:space="preserve">75517       </v>
      </c>
      <c r="O10348">
        <v>231212</v>
      </c>
    </row>
    <row r="10349" spans="1:15" x14ac:dyDescent="0.25">
      <c r="A10349" t="s">
        <v>16</v>
      </c>
      <c r="B10349" t="s">
        <v>3221</v>
      </c>
      <c r="C10349">
        <v>17611</v>
      </c>
      <c r="D10349" t="s">
        <v>1018</v>
      </c>
      <c r="E10349" t="s">
        <v>1019</v>
      </c>
      <c r="F10349">
        <v>354.45</v>
      </c>
      <c r="G10349">
        <v>231211</v>
      </c>
      <c r="H10349">
        <v>4350</v>
      </c>
      <c r="I10349" t="s">
        <v>546</v>
      </c>
      <c r="J10349">
        <v>439.52</v>
      </c>
      <c r="K10349">
        <v>85.07</v>
      </c>
      <c r="L10349">
        <v>59702</v>
      </c>
      <c r="M10349" t="s">
        <v>328</v>
      </c>
      <c r="N10349" t="str">
        <f>"75610       "</f>
        <v xml:space="preserve">75610       </v>
      </c>
      <c r="O10349">
        <v>231215</v>
      </c>
    </row>
    <row r="10350" spans="1:15" x14ac:dyDescent="0.25">
      <c r="A10350" t="s">
        <v>16</v>
      </c>
      <c r="B10350" t="s">
        <v>3221</v>
      </c>
      <c r="C10350">
        <v>17832</v>
      </c>
      <c r="D10350" t="s">
        <v>1018</v>
      </c>
      <c r="E10350" t="s">
        <v>1019</v>
      </c>
      <c r="F10350">
        <v>898.7</v>
      </c>
      <c r="G10350">
        <v>231213</v>
      </c>
      <c r="H10350">
        <v>4350</v>
      </c>
      <c r="I10350" t="s">
        <v>546</v>
      </c>
      <c r="J10350">
        <v>1114.3900000000001</v>
      </c>
      <c r="K10350">
        <v>215.69</v>
      </c>
      <c r="L10350">
        <v>11301</v>
      </c>
      <c r="M10350" t="s">
        <v>29</v>
      </c>
      <c r="N10350" t="str">
        <f>"75628       "</f>
        <v xml:space="preserve">75628       </v>
      </c>
      <c r="O10350">
        <v>231227</v>
      </c>
    </row>
    <row r="10351" spans="1:15" x14ac:dyDescent="0.25">
      <c r="A10351" t="s">
        <v>16</v>
      </c>
      <c r="B10351" t="s">
        <v>3221</v>
      </c>
      <c r="C10351">
        <v>18727</v>
      </c>
      <c r="D10351" t="s">
        <v>1018</v>
      </c>
      <c r="E10351" t="s">
        <v>1019</v>
      </c>
      <c r="F10351">
        <v>133</v>
      </c>
      <c r="G10351">
        <v>231228</v>
      </c>
      <c r="H10351">
        <v>4350</v>
      </c>
      <c r="I10351" t="s">
        <v>546</v>
      </c>
      <c r="J10351">
        <v>164.92</v>
      </c>
      <c r="K10351">
        <v>31.92</v>
      </c>
      <c r="L10351">
        <v>54451</v>
      </c>
      <c r="M10351" t="s">
        <v>158</v>
      </c>
      <c r="N10351" t="str">
        <f>"75972       "</f>
        <v xml:space="preserve">75972       </v>
      </c>
      <c r="O10351">
        <v>240105</v>
      </c>
    </row>
    <row r="10352" spans="1:15" x14ac:dyDescent="0.25">
      <c r="A10352" t="s">
        <v>16</v>
      </c>
      <c r="B10352" t="s">
        <v>3221</v>
      </c>
      <c r="C10352">
        <v>15616</v>
      </c>
      <c r="D10352" t="s">
        <v>1018</v>
      </c>
      <c r="E10352" t="s">
        <v>1019</v>
      </c>
      <c r="F10352">
        <v>2.0499999999999998</v>
      </c>
      <c r="G10352">
        <v>231106</v>
      </c>
      <c r="H10352">
        <v>4364</v>
      </c>
      <c r="I10352" t="s">
        <v>296</v>
      </c>
      <c r="J10352">
        <v>2.54</v>
      </c>
      <c r="K10352">
        <v>0.49</v>
      </c>
      <c r="L10352">
        <v>11301</v>
      </c>
      <c r="M10352" t="s">
        <v>29</v>
      </c>
      <c r="N10352" t="str">
        <f>"75179       "</f>
        <v xml:space="preserve">75179       </v>
      </c>
      <c r="O10352">
        <v>231114</v>
      </c>
    </row>
    <row r="10353" spans="1:15" x14ac:dyDescent="0.25">
      <c r="A10353" t="s">
        <v>16</v>
      </c>
      <c r="B10353" t="s">
        <v>3221</v>
      </c>
      <c r="C10353">
        <v>1075</v>
      </c>
      <c r="D10353" t="s">
        <v>859</v>
      </c>
      <c r="E10353" t="s">
        <v>860</v>
      </c>
      <c r="F10353">
        <v>91</v>
      </c>
      <c r="G10353">
        <v>230123</v>
      </c>
      <c r="H10353">
        <v>4380</v>
      </c>
      <c r="I10353" t="s">
        <v>113</v>
      </c>
      <c r="J10353">
        <v>112.84</v>
      </c>
      <c r="K10353">
        <v>21.84</v>
      </c>
      <c r="L10353">
        <v>49501</v>
      </c>
      <c r="M10353" t="s">
        <v>177</v>
      </c>
      <c r="N10353" t="str">
        <f>"CD22618597  "</f>
        <v xml:space="preserve">CD22618597  </v>
      </c>
      <c r="O10353">
        <v>230203</v>
      </c>
    </row>
    <row r="10354" spans="1:15" x14ac:dyDescent="0.25">
      <c r="A10354" t="s">
        <v>16</v>
      </c>
      <c r="B10354" t="s">
        <v>3221</v>
      </c>
      <c r="C10354">
        <v>2353</v>
      </c>
      <c r="D10354" t="s">
        <v>859</v>
      </c>
      <c r="E10354" t="s">
        <v>860</v>
      </c>
      <c r="F10354">
        <v>91</v>
      </c>
      <c r="G10354">
        <v>230222</v>
      </c>
      <c r="H10354">
        <v>4380</v>
      </c>
      <c r="I10354" t="s">
        <v>113</v>
      </c>
      <c r="J10354">
        <v>112.84</v>
      </c>
      <c r="K10354">
        <v>21.84</v>
      </c>
      <c r="L10354">
        <v>49501</v>
      </c>
      <c r="M10354" t="s">
        <v>177</v>
      </c>
      <c r="N10354" t="str">
        <f>"CD22622655  "</f>
        <v xml:space="preserve">CD22622655  </v>
      </c>
      <c r="O10354">
        <v>230224</v>
      </c>
    </row>
    <row r="10355" spans="1:15" x14ac:dyDescent="0.25">
      <c r="A10355" t="s">
        <v>16</v>
      </c>
      <c r="B10355" t="s">
        <v>3221</v>
      </c>
      <c r="C10355">
        <v>3832</v>
      </c>
      <c r="D10355" t="s">
        <v>859</v>
      </c>
      <c r="E10355" t="s">
        <v>860</v>
      </c>
      <c r="F10355">
        <v>91</v>
      </c>
      <c r="G10355">
        <v>230320</v>
      </c>
      <c r="H10355">
        <v>4380</v>
      </c>
      <c r="I10355" t="s">
        <v>113</v>
      </c>
      <c r="J10355">
        <v>112.84</v>
      </c>
      <c r="K10355">
        <v>21.84</v>
      </c>
      <c r="L10355">
        <v>49501</v>
      </c>
      <c r="M10355" t="s">
        <v>177</v>
      </c>
      <c r="N10355" t="str">
        <f>"CD22625983  "</f>
        <v xml:space="preserve">CD22625983  </v>
      </c>
      <c r="O10355">
        <v>230323</v>
      </c>
    </row>
    <row r="10356" spans="1:15" x14ac:dyDescent="0.25">
      <c r="A10356" t="s">
        <v>16</v>
      </c>
      <c r="B10356" t="s">
        <v>3221</v>
      </c>
      <c r="C10356">
        <v>8302</v>
      </c>
      <c r="D10356" t="s">
        <v>859</v>
      </c>
      <c r="E10356" t="s">
        <v>860</v>
      </c>
      <c r="F10356">
        <v>91</v>
      </c>
      <c r="G10356">
        <v>230601</v>
      </c>
      <c r="H10356">
        <v>4380</v>
      </c>
      <c r="I10356" t="s">
        <v>113</v>
      </c>
      <c r="J10356">
        <v>112.84</v>
      </c>
      <c r="K10356">
        <v>21.84</v>
      </c>
      <c r="L10356">
        <v>49501</v>
      </c>
      <c r="M10356" t="s">
        <v>177</v>
      </c>
      <c r="N10356" t="str">
        <f>"CD22636586  "</f>
        <v xml:space="preserve">CD22636586  </v>
      </c>
      <c r="O10356">
        <v>230608</v>
      </c>
    </row>
    <row r="10357" spans="1:15" x14ac:dyDescent="0.25">
      <c r="A10357" t="s">
        <v>16</v>
      </c>
      <c r="B10357" t="s">
        <v>3221</v>
      </c>
      <c r="C10357">
        <v>12280</v>
      </c>
      <c r="D10357" t="s">
        <v>859</v>
      </c>
      <c r="E10357" t="s">
        <v>860</v>
      </c>
      <c r="F10357">
        <v>91</v>
      </c>
      <c r="G10357">
        <v>230911</v>
      </c>
      <c r="H10357">
        <v>4380</v>
      </c>
      <c r="I10357" t="s">
        <v>113</v>
      </c>
      <c r="J10357">
        <v>112.84</v>
      </c>
      <c r="K10357">
        <v>21.84</v>
      </c>
      <c r="L10357">
        <v>49501</v>
      </c>
      <c r="M10357" t="s">
        <v>177</v>
      </c>
      <c r="N10357" t="str">
        <f>"CD22650603  "</f>
        <v xml:space="preserve">CD22650603  </v>
      </c>
      <c r="O10357">
        <v>230918</v>
      </c>
    </row>
    <row r="10358" spans="1:15" x14ac:dyDescent="0.25">
      <c r="A10358" t="s">
        <v>16</v>
      </c>
      <c r="B10358" t="s">
        <v>3221</v>
      </c>
      <c r="C10358">
        <v>13314</v>
      </c>
      <c r="D10358" t="s">
        <v>859</v>
      </c>
      <c r="E10358" t="s">
        <v>860</v>
      </c>
      <c r="F10358">
        <v>91</v>
      </c>
      <c r="G10358">
        <v>231004</v>
      </c>
      <c r="H10358">
        <v>4380</v>
      </c>
      <c r="I10358" t="s">
        <v>113</v>
      </c>
      <c r="J10358">
        <v>112.84</v>
      </c>
      <c r="K10358">
        <v>21.84</v>
      </c>
      <c r="L10358">
        <v>49501</v>
      </c>
      <c r="M10358" t="s">
        <v>177</v>
      </c>
      <c r="N10358" t="str">
        <f>"CD22654363  "</f>
        <v xml:space="preserve">CD22654363  </v>
      </c>
      <c r="O10358">
        <v>231009</v>
      </c>
    </row>
    <row r="10359" spans="1:15" x14ac:dyDescent="0.25">
      <c r="A10359" t="s">
        <v>16</v>
      </c>
      <c r="B10359" t="s">
        <v>3221</v>
      </c>
      <c r="C10359">
        <v>17423</v>
      </c>
      <c r="D10359" t="s">
        <v>859</v>
      </c>
      <c r="E10359" t="s">
        <v>860</v>
      </c>
      <c r="F10359">
        <v>91</v>
      </c>
      <c r="G10359">
        <v>231204</v>
      </c>
      <c r="H10359">
        <v>4380</v>
      </c>
      <c r="I10359" t="s">
        <v>113</v>
      </c>
      <c r="J10359">
        <v>112.84</v>
      </c>
      <c r="K10359">
        <v>21.84</v>
      </c>
      <c r="L10359">
        <v>49501</v>
      </c>
      <c r="M10359" t="s">
        <v>177</v>
      </c>
      <c r="N10359" t="str">
        <f>"CD22663528  "</f>
        <v xml:space="preserve">CD22663528  </v>
      </c>
      <c r="O10359">
        <v>231214</v>
      </c>
    </row>
    <row r="10360" spans="1:15" x14ac:dyDescent="0.25">
      <c r="A10360" t="s">
        <v>16</v>
      </c>
      <c r="B10360" t="s">
        <v>3221</v>
      </c>
      <c r="C10360">
        <v>14908</v>
      </c>
      <c r="D10360" t="s">
        <v>2815</v>
      </c>
      <c r="E10360" t="s">
        <v>2816</v>
      </c>
      <c r="F10360">
        <v>90.64</v>
      </c>
      <c r="G10360">
        <v>231103</v>
      </c>
      <c r="H10360">
        <v>4600</v>
      </c>
      <c r="I10360" t="s">
        <v>105</v>
      </c>
      <c r="J10360">
        <v>112.39</v>
      </c>
      <c r="K10360">
        <v>21.75</v>
      </c>
      <c r="L10360">
        <v>48601</v>
      </c>
      <c r="M10360" t="s">
        <v>1047</v>
      </c>
      <c r="N10360" t="str">
        <f>"251         "</f>
        <v xml:space="preserve">251         </v>
      </c>
      <c r="O10360">
        <v>231107</v>
      </c>
    </row>
    <row r="10361" spans="1:15" x14ac:dyDescent="0.25">
      <c r="A10361" t="s">
        <v>16</v>
      </c>
      <c r="B10361" t="s">
        <v>3221</v>
      </c>
      <c r="C10361">
        <v>1671</v>
      </c>
      <c r="D10361" t="s">
        <v>1133</v>
      </c>
      <c r="E10361" t="s">
        <v>1134</v>
      </c>
      <c r="F10361">
        <v>7.73</v>
      </c>
      <c r="G10361">
        <v>230203</v>
      </c>
      <c r="H10361">
        <v>4580</v>
      </c>
      <c r="I10361" t="s">
        <v>35</v>
      </c>
      <c r="J10361">
        <v>9.59</v>
      </c>
      <c r="K10361">
        <v>1.86</v>
      </c>
      <c r="L10361">
        <v>17537</v>
      </c>
      <c r="M10361" t="s">
        <v>455</v>
      </c>
      <c r="N10361" t="str">
        <f>"3486        "</f>
        <v xml:space="preserve">3486        </v>
      </c>
      <c r="O10361">
        <v>230213</v>
      </c>
    </row>
    <row r="10362" spans="1:15" x14ac:dyDescent="0.25">
      <c r="A10362" t="s">
        <v>16</v>
      </c>
      <c r="B10362" t="s">
        <v>3221</v>
      </c>
      <c r="C10362">
        <v>1671</v>
      </c>
      <c r="D10362" t="s">
        <v>1133</v>
      </c>
      <c r="E10362" t="s">
        <v>1134</v>
      </c>
      <c r="F10362">
        <v>34.93</v>
      </c>
      <c r="G10362">
        <v>230203</v>
      </c>
      <c r="H10362">
        <v>4580</v>
      </c>
      <c r="I10362" t="s">
        <v>35</v>
      </c>
      <c r="J10362">
        <v>43.31</v>
      </c>
      <c r="K10362">
        <v>8.3800000000000008</v>
      </c>
      <c r="L10362">
        <v>17537</v>
      </c>
      <c r="M10362" t="s">
        <v>455</v>
      </c>
      <c r="N10362" t="str">
        <f>"3486        "</f>
        <v xml:space="preserve">3486        </v>
      </c>
      <c r="O10362">
        <v>230213</v>
      </c>
    </row>
    <row r="10363" spans="1:15" x14ac:dyDescent="0.25">
      <c r="A10363" t="s">
        <v>16</v>
      </c>
      <c r="B10363" t="s">
        <v>3221</v>
      </c>
      <c r="C10363">
        <v>15140</v>
      </c>
      <c r="D10363" t="s">
        <v>3323</v>
      </c>
      <c r="E10363" t="s">
        <v>3324</v>
      </c>
      <c r="F10363">
        <v>200</v>
      </c>
      <c r="G10363">
        <v>231107</v>
      </c>
      <c r="H10363">
        <v>4440</v>
      </c>
      <c r="I10363" t="s">
        <v>250</v>
      </c>
      <c r="J10363">
        <v>200</v>
      </c>
      <c r="K10363">
        <v>0</v>
      </c>
      <c r="L10363">
        <v>13802</v>
      </c>
      <c r="M10363" t="s">
        <v>200</v>
      </c>
      <c r="N10363" t="str">
        <f>"1858        "</f>
        <v xml:space="preserve">1858        </v>
      </c>
      <c r="O10363">
        <v>231109</v>
      </c>
    </row>
    <row r="10364" spans="1:15" x14ac:dyDescent="0.25">
      <c r="A10364" t="s">
        <v>16</v>
      </c>
      <c r="B10364" t="s">
        <v>3221</v>
      </c>
      <c r="C10364">
        <v>7847</v>
      </c>
      <c r="D10364" t="s">
        <v>2133</v>
      </c>
      <c r="E10364" t="s">
        <v>2134</v>
      </c>
      <c r="F10364">
        <v>990</v>
      </c>
      <c r="G10364">
        <v>230504</v>
      </c>
      <c r="H10364">
        <v>4580</v>
      </c>
      <c r="I10364" t="s">
        <v>35</v>
      </c>
      <c r="J10364">
        <v>1227.5999999999999</v>
      </c>
      <c r="K10364">
        <v>237.6</v>
      </c>
      <c r="L10364">
        <v>54252</v>
      </c>
      <c r="M10364" t="s">
        <v>534</v>
      </c>
      <c r="N10364" t="str">
        <f>"90104967    "</f>
        <v xml:space="preserve">90104967    </v>
      </c>
      <c r="O10364">
        <v>230605</v>
      </c>
    </row>
    <row r="10365" spans="1:15" x14ac:dyDescent="0.25">
      <c r="A10365" t="s">
        <v>16</v>
      </c>
      <c r="B10365" t="s">
        <v>3221</v>
      </c>
      <c r="C10365">
        <v>7848</v>
      </c>
      <c r="D10365" t="s">
        <v>2133</v>
      </c>
      <c r="E10365" t="s">
        <v>2134</v>
      </c>
      <c r="F10365">
        <v>-1230</v>
      </c>
      <c r="G10365">
        <v>230412</v>
      </c>
      <c r="H10365">
        <v>4580</v>
      </c>
      <c r="I10365" t="s">
        <v>35</v>
      </c>
      <c r="J10365">
        <v>-1525.2</v>
      </c>
      <c r="K10365">
        <v>-295.2</v>
      </c>
      <c r="L10365">
        <v>54222</v>
      </c>
      <c r="M10365" t="s">
        <v>308</v>
      </c>
      <c r="N10365" t="str">
        <f>"90089567    "</f>
        <v xml:space="preserve">90089567    </v>
      </c>
      <c r="O10365">
        <v>230605</v>
      </c>
    </row>
    <row r="10366" spans="1:15" x14ac:dyDescent="0.25">
      <c r="A10366" t="s">
        <v>16</v>
      </c>
      <c r="B10366" t="s">
        <v>3221</v>
      </c>
      <c r="C10366">
        <v>2204</v>
      </c>
      <c r="D10366" t="s">
        <v>1325</v>
      </c>
      <c r="E10366" t="s">
        <v>1326</v>
      </c>
      <c r="F10366">
        <v>305.19</v>
      </c>
      <c r="G10366">
        <v>230220</v>
      </c>
      <c r="H10366">
        <v>4600</v>
      </c>
      <c r="I10366" t="s">
        <v>105</v>
      </c>
      <c r="J10366">
        <v>378.43</v>
      </c>
      <c r="K10366">
        <v>73.239999999999995</v>
      </c>
      <c r="L10366">
        <v>56573</v>
      </c>
      <c r="M10366" t="s">
        <v>521</v>
      </c>
      <c r="N10366" t="str">
        <f>"41369       "</f>
        <v xml:space="preserve">41369       </v>
      </c>
      <c r="O10366">
        <v>230222</v>
      </c>
    </row>
    <row r="10367" spans="1:15" x14ac:dyDescent="0.25">
      <c r="A10367" t="s">
        <v>16</v>
      </c>
      <c r="B10367" t="s">
        <v>3221</v>
      </c>
      <c r="C10367">
        <v>14314</v>
      </c>
      <c r="D10367" t="s">
        <v>1325</v>
      </c>
      <c r="E10367" t="s">
        <v>1326</v>
      </c>
      <c r="F10367">
        <v>23.79</v>
      </c>
      <c r="G10367">
        <v>231016</v>
      </c>
      <c r="H10367">
        <v>4600</v>
      </c>
      <c r="I10367" t="s">
        <v>105</v>
      </c>
      <c r="J10367">
        <v>29.5</v>
      </c>
      <c r="K10367">
        <v>5.71</v>
      </c>
      <c r="L10367">
        <v>56573</v>
      </c>
      <c r="M10367" t="s">
        <v>521</v>
      </c>
      <c r="N10367" t="str">
        <f>"42163       "</f>
        <v xml:space="preserve">42163       </v>
      </c>
      <c r="O10367">
        <v>231026</v>
      </c>
    </row>
    <row r="10368" spans="1:15" x14ac:dyDescent="0.25">
      <c r="A10368" t="s">
        <v>16</v>
      </c>
      <c r="B10368" t="s">
        <v>3221</v>
      </c>
      <c r="C10368">
        <v>2038</v>
      </c>
      <c r="D10368" t="s">
        <v>1264</v>
      </c>
      <c r="E10368" t="s">
        <v>1265</v>
      </c>
      <c r="F10368">
        <v>14.52</v>
      </c>
      <c r="G10368">
        <v>230215</v>
      </c>
      <c r="H10368">
        <v>4412</v>
      </c>
      <c r="I10368" t="s">
        <v>149</v>
      </c>
      <c r="J10368">
        <v>18</v>
      </c>
      <c r="K10368">
        <v>3.48</v>
      </c>
      <c r="L10368">
        <v>48601</v>
      </c>
      <c r="M10368" t="s">
        <v>1047</v>
      </c>
      <c r="N10368" t="str">
        <f>"3002977938  "</f>
        <v xml:space="preserve">3002977938  </v>
      </c>
      <c r="O10368">
        <v>230217</v>
      </c>
    </row>
    <row r="10369" spans="1:15" x14ac:dyDescent="0.25">
      <c r="A10369" t="s">
        <v>16</v>
      </c>
      <c r="B10369" t="s">
        <v>3221</v>
      </c>
      <c r="C10369">
        <v>2038</v>
      </c>
      <c r="D10369" t="s">
        <v>1264</v>
      </c>
      <c r="E10369" t="s">
        <v>1265</v>
      </c>
      <c r="F10369">
        <v>24</v>
      </c>
      <c r="G10369">
        <v>230215</v>
      </c>
      <c r="H10369">
        <v>4412</v>
      </c>
      <c r="I10369" t="s">
        <v>149</v>
      </c>
      <c r="J10369">
        <v>24</v>
      </c>
      <c r="K10369">
        <v>0</v>
      </c>
      <c r="L10369">
        <v>48601</v>
      </c>
      <c r="M10369" t="s">
        <v>1047</v>
      </c>
      <c r="N10369" t="str">
        <f>"3002977938  "</f>
        <v xml:space="preserve">3002977938  </v>
      </c>
      <c r="O10369">
        <v>230217</v>
      </c>
    </row>
    <row r="10370" spans="1:15" x14ac:dyDescent="0.25">
      <c r="A10370" t="s">
        <v>16</v>
      </c>
      <c r="B10370" t="s">
        <v>3221</v>
      </c>
      <c r="C10370">
        <v>2038</v>
      </c>
      <c r="D10370" t="s">
        <v>1264</v>
      </c>
      <c r="E10370" t="s">
        <v>1265</v>
      </c>
      <c r="F10370">
        <v>205.45</v>
      </c>
      <c r="G10370">
        <v>230215</v>
      </c>
      <c r="H10370">
        <v>4412</v>
      </c>
      <c r="I10370" t="s">
        <v>149</v>
      </c>
      <c r="J10370">
        <v>226</v>
      </c>
      <c r="K10370">
        <v>20.55</v>
      </c>
      <c r="L10370">
        <v>48601</v>
      </c>
      <c r="M10370" t="s">
        <v>1047</v>
      </c>
      <c r="N10370" t="str">
        <f>"3002977938  "</f>
        <v xml:space="preserve">3002977938  </v>
      </c>
      <c r="O10370">
        <v>230217</v>
      </c>
    </row>
    <row r="10371" spans="1:15" x14ac:dyDescent="0.25">
      <c r="A10371" t="s">
        <v>16</v>
      </c>
      <c r="B10371" t="s">
        <v>3221</v>
      </c>
      <c r="C10371">
        <v>2350</v>
      </c>
      <c r="D10371" t="s">
        <v>1264</v>
      </c>
      <c r="E10371" t="s">
        <v>1265</v>
      </c>
      <c r="F10371">
        <v>6</v>
      </c>
      <c r="G10371">
        <v>230215</v>
      </c>
      <c r="H10371">
        <v>4412</v>
      </c>
      <c r="I10371" t="s">
        <v>149</v>
      </c>
      <c r="J10371">
        <v>6</v>
      </c>
      <c r="K10371">
        <v>0</v>
      </c>
      <c r="L10371">
        <v>58601</v>
      </c>
      <c r="M10371" t="s">
        <v>251</v>
      </c>
      <c r="N10371" t="str">
        <f>"3002977937  "</f>
        <v xml:space="preserve">3002977937  </v>
      </c>
      <c r="O10371">
        <v>230224</v>
      </c>
    </row>
    <row r="10372" spans="1:15" x14ac:dyDescent="0.25">
      <c r="A10372" t="s">
        <v>16</v>
      </c>
      <c r="B10372" t="s">
        <v>3221</v>
      </c>
      <c r="C10372">
        <v>2350</v>
      </c>
      <c r="D10372" t="s">
        <v>1264</v>
      </c>
      <c r="E10372" t="s">
        <v>1265</v>
      </c>
      <c r="F10372">
        <v>4.84</v>
      </c>
      <c r="G10372">
        <v>230215</v>
      </c>
      <c r="H10372">
        <v>4412</v>
      </c>
      <c r="I10372" t="s">
        <v>149</v>
      </c>
      <c r="J10372">
        <v>6</v>
      </c>
      <c r="K10372">
        <v>1.1599999999999999</v>
      </c>
      <c r="L10372">
        <v>58601</v>
      </c>
      <c r="M10372" t="s">
        <v>251</v>
      </c>
      <c r="N10372" t="str">
        <f>"3002977937  "</f>
        <v xml:space="preserve">3002977937  </v>
      </c>
      <c r="O10372">
        <v>230224</v>
      </c>
    </row>
    <row r="10373" spans="1:15" x14ac:dyDescent="0.25">
      <c r="A10373" t="s">
        <v>16</v>
      </c>
      <c r="B10373" t="s">
        <v>3221</v>
      </c>
      <c r="C10373">
        <v>2350</v>
      </c>
      <c r="D10373" t="s">
        <v>1264</v>
      </c>
      <c r="E10373" t="s">
        <v>1265</v>
      </c>
      <c r="F10373">
        <v>117.27</v>
      </c>
      <c r="G10373">
        <v>230215</v>
      </c>
      <c r="H10373">
        <v>4412</v>
      </c>
      <c r="I10373" t="s">
        <v>149</v>
      </c>
      <c r="J10373">
        <v>129</v>
      </c>
      <c r="K10373">
        <v>11.73</v>
      </c>
      <c r="L10373">
        <v>58601</v>
      </c>
      <c r="M10373" t="s">
        <v>251</v>
      </c>
      <c r="N10373" t="str">
        <f>"3002977937  "</f>
        <v xml:space="preserve">3002977937  </v>
      </c>
      <c r="O10373">
        <v>230224</v>
      </c>
    </row>
    <row r="10374" spans="1:15" x14ac:dyDescent="0.25">
      <c r="A10374" t="s">
        <v>16</v>
      </c>
      <c r="B10374" t="s">
        <v>3221</v>
      </c>
      <c r="C10374">
        <v>5016</v>
      </c>
      <c r="D10374" t="s">
        <v>1264</v>
      </c>
      <c r="E10374" t="s">
        <v>1265</v>
      </c>
      <c r="F10374">
        <v>2.42</v>
      </c>
      <c r="G10374">
        <v>230405</v>
      </c>
      <c r="H10374">
        <v>4410</v>
      </c>
      <c r="I10374" t="s">
        <v>517</v>
      </c>
      <c r="J10374">
        <v>3</v>
      </c>
      <c r="K10374">
        <v>0.57999999999999996</v>
      </c>
      <c r="L10374">
        <v>47522</v>
      </c>
      <c r="M10374" t="s">
        <v>410</v>
      </c>
      <c r="N10374" t="str">
        <f t="shared" ref="N10374:N10379" si="174">"3003103779  "</f>
        <v xml:space="preserve">3003103779  </v>
      </c>
      <c r="O10374">
        <v>230417</v>
      </c>
    </row>
    <row r="10375" spans="1:15" x14ac:dyDescent="0.25">
      <c r="A10375" t="s">
        <v>16</v>
      </c>
      <c r="B10375" t="s">
        <v>3221</v>
      </c>
      <c r="C10375">
        <v>5016</v>
      </c>
      <c r="D10375" t="s">
        <v>1264</v>
      </c>
      <c r="E10375" t="s">
        <v>1265</v>
      </c>
      <c r="F10375">
        <v>6</v>
      </c>
      <c r="G10375">
        <v>230405</v>
      </c>
      <c r="H10375">
        <v>4410</v>
      </c>
      <c r="I10375" t="s">
        <v>517</v>
      </c>
      <c r="J10375">
        <v>6</v>
      </c>
      <c r="K10375">
        <v>0</v>
      </c>
      <c r="L10375">
        <v>47522</v>
      </c>
      <c r="M10375" t="s">
        <v>410</v>
      </c>
      <c r="N10375" t="str">
        <f t="shared" si="174"/>
        <v xml:space="preserve">3003103779  </v>
      </c>
      <c r="O10375">
        <v>230417</v>
      </c>
    </row>
    <row r="10376" spans="1:15" x14ac:dyDescent="0.25">
      <c r="A10376" t="s">
        <v>16</v>
      </c>
      <c r="B10376" t="s">
        <v>3221</v>
      </c>
      <c r="C10376">
        <v>5016</v>
      </c>
      <c r="D10376" t="s">
        <v>1264</v>
      </c>
      <c r="E10376" t="s">
        <v>1265</v>
      </c>
      <c r="F10376">
        <v>52.22</v>
      </c>
      <c r="G10376">
        <v>230405</v>
      </c>
      <c r="H10376">
        <v>4410</v>
      </c>
      <c r="I10376" t="s">
        <v>517</v>
      </c>
      <c r="J10376">
        <v>57.44</v>
      </c>
      <c r="K10376">
        <v>5.22</v>
      </c>
      <c r="L10376">
        <v>47522</v>
      </c>
      <c r="M10376" t="s">
        <v>410</v>
      </c>
      <c r="N10376" t="str">
        <f t="shared" si="174"/>
        <v xml:space="preserve">3003103779  </v>
      </c>
      <c r="O10376">
        <v>230417</v>
      </c>
    </row>
    <row r="10377" spans="1:15" x14ac:dyDescent="0.25">
      <c r="A10377" t="s">
        <v>16</v>
      </c>
      <c r="B10377" t="s">
        <v>3221</v>
      </c>
      <c r="C10377">
        <v>5016</v>
      </c>
      <c r="D10377" t="s">
        <v>1264</v>
      </c>
      <c r="E10377" t="s">
        <v>1265</v>
      </c>
      <c r="F10377">
        <v>2.42</v>
      </c>
      <c r="G10377">
        <v>230405</v>
      </c>
      <c r="H10377">
        <v>4410</v>
      </c>
      <c r="I10377" t="s">
        <v>517</v>
      </c>
      <c r="J10377">
        <v>3</v>
      </c>
      <c r="K10377">
        <v>0.57999999999999996</v>
      </c>
      <c r="L10377">
        <v>49702</v>
      </c>
      <c r="M10377" t="s">
        <v>584</v>
      </c>
      <c r="N10377" t="str">
        <f t="shared" si="174"/>
        <v xml:space="preserve">3003103779  </v>
      </c>
      <c r="O10377">
        <v>230417</v>
      </c>
    </row>
    <row r="10378" spans="1:15" x14ac:dyDescent="0.25">
      <c r="A10378" t="s">
        <v>16</v>
      </c>
      <c r="B10378" t="s">
        <v>3221</v>
      </c>
      <c r="C10378">
        <v>5016</v>
      </c>
      <c r="D10378" t="s">
        <v>1264</v>
      </c>
      <c r="E10378" t="s">
        <v>1265</v>
      </c>
      <c r="F10378">
        <v>6</v>
      </c>
      <c r="G10378">
        <v>230405</v>
      </c>
      <c r="H10378">
        <v>4410</v>
      </c>
      <c r="I10378" t="s">
        <v>517</v>
      </c>
      <c r="J10378">
        <v>6</v>
      </c>
      <c r="K10378">
        <v>0</v>
      </c>
      <c r="L10378">
        <v>49702</v>
      </c>
      <c r="M10378" t="s">
        <v>584</v>
      </c>
      <c r="N10378" t="str">
        <f t="shared" si="174"/>
        <v xml:space="preserve">3003103779  </v>
      </c>
      <c r="O10378">
        <v>230417</v>
      </c>
    </row>
    <row r="10379" spans="1:15" x14ac:dyDescent="0.25">
      <c r="A10379" t="s">
        <v>16</v>
      </c>
      <c r="B10379" t="s">
        <v>3221</v>
      </c>
      <c r="C10379">
        <v>5016</v>
      </c>
      <c r="D10379" t="s">
        <v>1264</v>
      </c>
      <c r="E10379" t="s">
        <v>1265</v>
      </c>
      <c r="F10379">
        <v>52.22</v>
      </c>
      <c r="G10379">
        <v>230405</v>
      </c>
      <c r="H10379">
        <v>4410</v>
      </c>
      <c r="I10379" t="s">
        <v>517</v>
      </c>
      <c r="J10379">
        <v>57.44</v>
      </c>
      <c r="K10379">
        <v>5.22</v>
      </c>
      <c r="L10379">
        <v>49702</v>
      </c>
      <c r="M10379" t="s">
        <v>584</v>
      </c>
      <c r="N10379" t="str">
        <f t="shared" si="174"/>
        <v xml:space="preserve">3003103779  </v>
      </c>
      <c r="O10379">
        <v>230417</v>
      </c>
    </row>
    <row r="10380" spans="1:15" x14ac:dyDescent="0.25">
      <c r="A10380" t="s">
        <v>16</v>
      </c>
      <c r="B10380" t="s">
        <v>3221</v>
      </c>
      <c r="C10380">
        <v>16677</v>
      </c>
      <c r="D10380" t="s">
        <v>1264</v>
      </c>
      <c r="E10380" t="s">
        <v>1265</v>
      </c>
      <c r="F10380">
        <v>6</v>
      </c>
      <c r="G10380">
        <v>231123</v>
      </c>
      <c r="H10380">
        <v>4410</v>
      </c>
      <c r="I10380" t="s">
        <v>517</v>
      </c>
      <c r="J10380">
        <v>6</v>
      </c>
      <c r="K10380">
        <v>0</v>
      </c>
      <c r="L10380">
        <v>47522</v>
      </c>
      <c r="M10380" t="s">
        <v>410</v>
      </c>
      <c r="N10380" t="str">
        <f>"3003588294  "</f>
        <v xml:space="preserve">3003588294  </v>
      </c>
      <c r="O10380">
        <v>231207</v>
      </c>
    </row>
    <row r="10381" spans="1:15" x14ac:dyDescent="0.25">
      <c r="A10381" t="s">
        <v>16</v>
      </c>
      <c r="B10381" t="s">
        <v>3221</v>
      </c>
      <c r="C10381">
        <v>16677</v>
      </c>
      <c r="D10381" t="s">
        <v>1264</v>
      </c>
      <c r="E10381" t="s">
        <v>1265</v>
      </c>
      <c r="F10381">
        <v>12.1</v>
      </c>
      <c r="G10381">
        <v>231123</v>
      </c>
      <c r="H10381">
        <v>4410</v>
      </c>
      <c r="I10381" t="s">
        <v>517</v>
      </c>
      <c r="J10381">
        <v>15</v>
      </c>
      <c r="K10381">
        <v>2.9</v>
      </c>
      <c r="L10381">
        <v>47522</v>
      </c>
      <c r="M10381" t="s">
        <v>410</v>
      </c>
      <c r="N10381" t="str">
        <f>"3003588294  "</f>
        <v xml:space="preserve">3003588294  </v>
      </c>
      <c r="O10381">
        <v>231207</v>
      </c>
    </row>
    <row r="10382" spans="1:15" x14ac:dyDescent="0.25">
      <c r="A10382" t="s">
        <v>16</v>
      </c>
      <c r="B10382" t="s">
        <v>3221</v>
      </c>
      <c r="C10382">
        <v>16677</v>
      </c>
      <c r="D10382" t="s">
        <v>1264</v>
      </c>
      <c r="E10382" t="s">
        <v>1265</v>
      </c>
      <c r="F10382">
        <v>91.44</v>
      </c>
      <c r="G10382">
        <v>231123</v>
      </c>
      <c r="H10382">
        <v>4410</v>
      </c>
      <c r="I10382" t="s">
        <v>517</v>
      </c>
      <c r="J10382">
        <v>100.58</v>
      </c>
      <c r="K10382">
        <v>9.14</v>
      </c>
      <c r="L10382">
        <v>47522</v>
      </c>
      <c r="M10382" t="s">
        <v>410</v>
      </c>
      <c r="N10382" t="str">
        <f>"3003588294  "</f>
        <v xml:space="preserve">3003588294  </v>
      </c>
      <c r="O10382">
        <v>231207</v>
      </c>
    </row>
    <row r="10383" spans="1:15" x14ac:dyDescent="0.25">
      <c r="A10383" t="s">
        <v>16</v>
      </c>
      <c r="B10383" t="s">
        <v>3221</v>
      </c>
      <c r="C10383">
        <v>1986</v>
      </c>
      <c r="D10383" t="s">
        <v>1245</v>
      </c>
      <c r="E10383" t="s">
        <v>1246</v>
      </c>
      <c r="F10383">
        <v>217.36</v>
      </c>
      <c r="G10383">
        <v>230207</v>
      </c>
      <c r="H10383">
        <v>4580</v>
      </c>
      <c r="I10383" t="s">
        <v>35</v>
      </c>
      <c r="J10383">
        <v>269.52999999999997</v>
      </c>
      <c r="K10383">
        <v>52.17</v>
      </c>
      <c r="L10383">
        <v>17526</v>
      </c>
      <c r="M10383" t="s">
        <v>437</v>
      </c>
      <c r="N10383" t="str">
        <f>"9630029400  "</f>
        <v xml:space="preserve">9630029400  </v>
      </c>
      <c r="O10383">
        <v>230216</v>
      </c>
    </row>
    <row r="10384" spans="1:15" x14ac:dyDescent="0.25">
      <c r="A10384" t="s">
        <v>16</v>
      </c>
      <c r="B10384" t="s">
        <v>3221</v>
      </c>
      <c r="C10384">
        <v>6596</v>
      </c>
      <c r="D10384" t="s">
        <v>1995</v>
      </c>
      <c r="E10384" t="s">
        <v>1996</v>
      </c>
      <c r="F10384">
        <v>452.21</v>
      </c>
      <c r="G10384">
        <v>230510</v>
      </c>
      <c r="H10384">
        <v>4346</v>
      </c>
      <c r="I10384" t="s">
        <v>197</v>
      </c>
      <c r="J10384">
        <v>560.74</v>
      </c>
      <c r="K10384">
        <v>108.53</v>
      </c>
      <c r="L10384">
        <v>17951</v>
      </c>
      <c r="M10384" t="s">
        <v>87</v>
      </c>
      <c r="N10384" t="str">
        <f>"3595        "</f>
        <v xml:space="preserve">3595        </v>
      </c>
      <c r="O10384">
        <v>230516</v>
      </c>
    </row>
    <row r="10385" spans="1:15" x14ac:dyDescent="0.25">
      <c r="A10385" t="s">
        <v>16</v>
      </c>
      <c r="B10385" t="s">
        <v>3221</v>
      </c>
      <c r="C10385">
        <v>14662</v>
      </c>
      <c r="D10385" t="s">
        <v>1995</v>
      </c>
      <c r="E10385" t="s">
        <v>1996</v>
      </c>
      <c r="F10385">
        <v>1591.34</v>
      </c>
      <c r="G10385">
        <v>231024</v>
      </c>
      <c r="H10385">
        <v>4400</v>
      </c>
      <c r="I10385" t="s">
        <v>348</v>
      </c>
      <c r="J10385">
        <v>1973.26</v>
      </c>
      <c r="K10385">
        <v>381.92</v>
      </c>
      <c r="L10385">
        <v>17951</v>
      </c>
      <c r="M10385" t="s">
        <v>87</v>
      </c>
      <c r="N10385" t="str">
        <f>"3658        "</f>
        <v xml:space="preserve">3658        </v>
      </c>
      <c r="O10385">
        <v>231031</v>
      </c>
    </row>
    <row r="10386" spans="1:15" x14ac:dyDescent="0.25">
      <c r="A10386" t="s">
        <v>16</v>
      </c>
      <c r="B10386" t="s">
        <v>3221</v>
      </c>
      <c r="C10386">
        <v>14662</v>
      </c>
      <c r="D10386" t="s">
        <v>1995</v>
      </c>
      <c r="E10386" t="s">
        <v>1996</v>
      </c>
      <c r="F10386">
        <v>1566.01</v>
      </c>
      <c r="G10386">
        <v>231024</v>
      </c>
      <c r="H10386">
        <v>4400</v>
      </c>
      <c r="I10386" t="s">
        <v>348</v>
      </c>
      <c r="J10386">
        <v>1941.85</v>
      </c>
      <c r="K10386">
        <v>375.84</v>
      </c>
      <c r="L10386">
        <v>17952</v>
      </c>
      <c r="M10386" t="s">
        <v>88</v>
      </c>
      <c r="N10386" t="str">
        <f>"3658        "</f>
        <v xml:space="preserve">3658        </v>
      </c>
      <c r="O10386">
        <v>231031</v>
      </c>
    </row>
    <row r="10387" spans="1:15" x14ac:dyDescent="0.25">
      <c r="A10387" t="s">
        <v>16</v>
      </c>
      <c r="B10387" t="s">
        <v>3221</v>
      </c>
      <c r="C10387">
        <v>14662</v>
      </c>
      <c r="D10387" t="s">
        <v>1995</v>
      </c>
      <c r="E10387" t="s">
        <v>1996</v>
      </c>
      <c r="F10387">
        <v>199.22</v>
      </c>
      <c r="G10387">
        <v>231024</v>
      </c>
      <c r="H10387">
        <v>4420</v>
      </c>
      <c r="I10387" t="s">
        <v>132</v>
      </c>
      <c r="J10387">
        <v>247.03</v>
      </c>
      <c r="K10387">
        <v>47.81</v>
      </c>
      <c r="L10387">
        <v>13540</v>
      </c>
      <c r="M10387" t="s">
        <v>85</v>
      </c>
      <c r="N10387" t="str">
        <f>"3658        "</f>
        <v xml:space="preserve">3658        </v>
      </c>
      <c r="O10387">
        <v>231031</v>
      </c>
    </row>
    <row r="10388" spans="1:15" x14ac:dyDescent="0.25">
      <c r="A10388" t="s">
        <v>16</v>
      </c>
      <c r="B10388" t="s">
        <v>3221</v>
      </c>
      <c r="C10388">
        <v>14662</v>
      </c>
      <c r="D10388" t="s">
        <v>1995</v>
      </c>
      <c r="E10388" t="s">
        <v>1996</v>
      </c>
      <c r="F10388">
        <v>103.06</v>
      </c>
      <c r="G10388">
        <v>231024</v>
      </c>
      <c r="H10388">
        <v>4420</v>
      </c>
      <c r="I10388" t="s">
        <v>132</v>
      </c>
      <c r="J10388">
        <v>127.79</v>
      </c>
      <c r="K10388">
        <v>24.73</v>
      </c>
      <c r="L10388">
        <v>17951</v>
      </c>
      <c r="M10388" t="s">
        <v>87</v>
      </c>
      <c r="N10388" t="str">
        <f>"3658        "</f>
        <v xml:space="preserve">3658        </v>
      </c>
      <c r="O10388">
        <v>231031</v>
      </c>
    </row>
    <row r="10389" spans="1:15" x14ac:dyDescent="0.25">
      <c r="A10389" t="s">
        <v>16</v>
      </c>
      <c r="B10389" t="s">
        <v>3221</v>
      </c>
      <c r="C10389">
        <v>14662</v>
      </c>
      <c r="D10389" t="s">
        <v>1995</v>
      </c>
      <c r="E10389" t="s">
        <v>1996</v>
      </c>
      <c r="F10389">
        <v>45.86</v>
      </c>
      <c r="G10389">
        <v>231024</v>
      </c>
      <c r="H10389">
        <v>4420</v>
      </c>
      <c r="I10389" t="s">
        <v>132</v>
      </c>
      <c r="J10389">
        <v>56.87</v>
      </c>
      <c r="K10389">
        <v>11.01</v>
      </c>
      <c r="L10389">
        <v>17952</v>
      </c>
      <c r="M10389" t="s">
        <v>88</v>
      </c>
      <c r="N10389" t="str">
        <f>"3658        "</f>
        <v xml:space="preserve">3658        </v>
      </c>
      <c r="O10389">
        <v>231031</v>
      </c>
    </row>
    <row r="10390" spans="1:15" x14ac:dyDescent="0.25">
      <c r="A10390" t="s">
        <v>16</v>
      </c>
      <c r="B10390" t="s">
        <v>3221</v>
      </c>
      <c r="C10390">
        <v>13950</v>
      </c>
      <c r="D10390" t="s">
        <v>2717</v>
      </c>
      <c r="E10390" t="s">
        <v>2718</v>
      </c>
      <c r="F10390">
        <v>1680.5</v>
      </c>
      <c r="G10390">
        <v>231005</v>
      </c>
      <c r="H10390">
        <v>4580</v>
      </c>
      <c r="I10390" t="s">
        <v>35</v>
      </c>
      <c r="J10390">
        <v>2083.8200000000002</v>
      </c>
      <c r="K10390">
        <v>403.32</v>
      </c>
      <c r="L10390">
        <v>67554</v>
      </c>
      <c r="M10390" t="s">
        <v>60</v>
      </c>
      <c r="N10390" t="str">
        <f>"15004       "</f>
        <v xml:space="preserve">15004       </v>
      </c>
      <c r="O10390">
        <v>231017</v>
      </c>
    </row>
    <row r="10391" spans="1:15" x14ac:dyDescent="0.25">
      <c r="A10391" t="s">
        <v>16</v>
      </c>
      <c r="B10391" t="s">
        <v>3221</v>
      </c>
      <c r="C10391">
        <v>12414</v>
      </c>
      <c r="D10391" t="s">
        <v>2576</v>
      </c>
      <c r="E10391" t="s">
        <v>2577</v>
      </c>
      <c r="F10391">
        <v>730</v>
      </c>
      <c r="G10391">
        <v>230908</v>
      </c>
      <c r="H10391">
        <v>4400</v>
      </c>
      <c r="I10391" t="s">
        <v>348</v>
      </c>
      <c r="J10391">
        <v>905.2</v>
      </c>
      <c r="K10391">
        <v>175.2</v>
      </c>
      <c r="L10391">
        <v>14432</v>
      </c>
      <c r="M10391" t="s">
        <v>862</v>
      </c>
      <c r="N10391" t="str">
        <f>"411         "</f>
        <v xml:space="preserve">411         </v>
      </c>
      <c r="O10391">
        <v>230919</v>
      </c>
    </row>
    <row r="10392" spans="1:15" x14ac:dyDescent="0.25">
      <c r="A10392" t="s">
        <v>16</v>
      </c>
      <c r="B10392" t="s">
        <v>3221</v>
      </c>
      <c r="C10392">
        <v>16435</v>
      </c>
      <c r="D10392" t="s">
        <v>2973</v>
      </c>
      <c r="E10392" t="s">
        <v>2974</v>
      </c>
      <c r="F10392">
        <v>116.13</v>
      </c>
      <c r="G10392">
        <v>231127</v>
      </c>
      <c r="H10392">
        <v>4600</v>
      </c>
      <c r="I10392" t="s">
        <v>105</v>
      </c>
      <c r="J10392">
        <v>144</v>
      </c>
      <c r="K10392">
        <v>27.87</v>
      </c>
      <c r="L10392">
        <v>17802</v>
      </c>
      <c r="M10392" t="s">
        <v>174</v>
      </c>
      <c r="N10392" t="str">
        <f>"15          "</f>
        <v xml:space="preserve">15          </v>
      </c>
      <c r="O10392">
        <v>231129</v>
      </c>
    </row>
    <row r="10393" spans="1:15" x14ac:dyDescent="0.25">
      <c r="A10393" t="s">
        <v>16</v>
      </c>
      <c r="B10393" t="s">
        <v>3221</v>
      </c>
      <c r="C10393">
        <v>3124</v>
      </c>
      <c r="D10393" t="s">
        <v>1514</v>
      </c>
      <c r="E10393" t="s">
        <v>1515</v>
      </c>
      <c r="F10393">
        <v>1412.74</v>
      </c>
      <c r="G10393">
        <v>230308</v>
      </c>
      <c r="H10393">
        <v>4573</v>
      </c>
      <c r="I10393" t="s">
        <v>46</v>
      </c>
      <c r="J10393">
        <v>1751.8</v>
      </c>
      <c r="K10393">
        <v>339.06</v>
      </c>
      <c r="L10393">
        <v>17952</v>
      </c>
      <c r="M10393" t="s">
        <v>88</v>
      </c>
      <c r="N10393" t="str">
        <f>"41767       "</f>
        <v xml:space="preserve">41767       </v>
      </c>
      <c r="O10393">
        <v>230309</v>
      </c>
    </row>
    <row r="10394" spans="1:15" x14ac:dyDescent="0.25">
      <c r="A10394" t="s">
        <v>16</v>
      </c>
      <c r="B10394" t="s">
        <v>3221</v>
      </c>
      <c r="C10394">
        <v>8185</v>
      </c>
      <c r="D10394" t="s">
        <v>1514</v>
      </c>
      <c r="E10394" t="s">
        <v>1515</v>
      </c>
      <c r="F10394">
        <v>142.82</v>
      </c>
      <c r="G10394">
        <v>230606</v>
      </c>
      <c r="H10394">
        <v>4573</v>
      </c>
      <c r="I10394" t="s">
        <v>46</v>
      </c>
      <c r="J10394">
        <v>177.1</v>
      </c>
      <c r="K10394">
        <v>34.28</v>
      </c>
      <c r="L10394">
        <v>17739</v>
      </c>
      <c r="M10394" t="s">
        <v>374</v>
      </c>
      <c r="N10394" t="str">
        <f>"42861       "</f>
        <v xml:space="preserve">42861       </v>
      </c>
      <c r="O10394">
        <v>230607</v>
      </c>
    </row>
    <row r="10395" spans="1:15" x14ac:dyDescent="0.25">
      <c r="A10395" t="s">
        <v>16</v>
      </c>
      <c r="B10395" t="s">
        <v>3221</v>
      </c>
      <c r="C10395">
        <v>8185</v>
      </c>
      <c r="D10395" t="s">
        <v>1514</v>
      </c>
      <c r="E10395" t="s">
        <v>1515</v>
      </c>
      <c r="F10395">
        <v>428.46</v>
      </c>
      <c r="G10395">
        <v>230606</v>
      </c>
      <c r="H10395">
        <v>4573</v>
      </c>
      <c r="I10395" t="s">
        <v>46</v>
      </c>
      <c r="J10395">
        <v>531.29</v>
      </c>
      <c r="K10395">
        <v>102.83</v>
      </c>
      <c r="L10395">
        <v>17912</v>
      </c>
      <c r="M10395" t="s">
        <v>419</v>
      </c>
      <c r="N10395" t="str">
        <f>"42861       "</f>
        <v xml:space="preserve">42861       </v>
      </c>
      <c r="O10395">
        <v>230607</v>
      </c>
    </row>
    <row r="10396" spans="1:15" x14ac:dyDescent="0.25">
      <c r="A10396" t="s">
        <v>16</v>
      </c>
      <c r="B10396" t="s">
        <v>3221</v>
      </c>
      <c r="C10396">
        <v>8185</v>
      </c>
      <c r="D10396" t="s">
        <v>1514</v>
      </c>
      <c r="E10396" t="s">
        <v>1515</v>
      </c>
      <c r="F10396">
        <v>856.93</v>
      </c>
      <c r="G10396">
        <v>230606</v>
      </c>
      <c r="H10396">
        <v>4573</v>
      </c>
      <c r="I10396" t="s">
        <v>46</v>
      </c>
      <c r="J10396">
        <v>1062.5899999999999</v>
      </c>
      <c r="K10396">
        <v>205.66</v>
      </c>
      <c r="L10396">
        <v>17952</v>
      </c>
      <c r="M10396" t="s">
        <v>88</v>
      </c>
      <c r="N10396" t="str">
        <f>"42861       "</f>
        <v xml:space="preserve">42861       </v>
      </c>
      <c r="O10396">
        <v>230607</v>
      </c>
    </row>
    <row r="10397" spans="1:15" x14ac:dyDescent="0.25">
      <c r="A10397" t="s">
        <v>16</v>
      </c>
      <c r="B10397" t="s">
        <v>3221</v>
      </c>
      <c r="C10397">
        <v>11733</v>
      </c>
      <c r="D10397" t="s">
        <v>1514</v>
      </c>
      <c r="E10397" t="s">
        <v>1515</v>
      </c>
      <c r="F10397">
        <v>377.33</v>
      </c>
      <c r="G10397">
        <v>230905</v>
      </c>
      <c r="H10397">
        <v>4573</v>
      </c>
      <c r="I10397" t="s">
        <v>46</v>
      </c>
      <c r="J10397">
        <v>467.89</v>
      </c>
      <c r="K10397">
        <v>90.56</v>
      </c>
      <c r="L10397">
        <v>17739</v>
      </c>
      <c r="M10397" t="s">
        <v>374</v>
      </c>
      <c r="N10397" t="str">
        <f>"44083       "</f>
        <v xml:space="preserve">44083       </v>
      </c>
      <c r="O10397">
        <v>230908</v>
      </c>
    </row>
    <row r="10398" spans="1:15" x14ac:dyDescent="0.25">
      <c r="A10398" t="s">
        <v>16</v>
      </c>
      <c r="B10398" t="s">
        <v>3221</v>
      </c>
      <c r="C10398">
        <v>11733</v>
      </c>
      <c r="D10398" t="s">
        <v>1514</v>
      </c>
      <c r="E10398" t="s">
        <v>1515</v>
      </c>
      <c r="F10398">
        <v>1131.98</v>
      </c>
      <c r="G10398">
        <v>230905</v>
      </c>
      <c r="H10398">
        <v>4573</v>
      </c>
      <c r="I10398" t="s">
        <v>46</v>
      </c>
      <c r="J10398">
        <v>1403.66</v>
      </c>
      <c r="K10398">
        <v>271.68</v>
      </c>
      <c r="L10398">
        <v>17912</v>
      </c>
      <c r="M10398" t="s">
        <v>419</v>
      </c>
      <c r="N10398" t="str">
        <f>"44083       "</f>
        <v xml:space="preserve">44083       </v>
      </c>
      <c r="O10398">
        <v>230908</v>
      </c>
    </row>
    <row r="10399" spans="1:15" x14ac:dyDescent="0.25">
      <c r="A10399" t="s">
        <v>16</v>
      </c>
      <c r="B10399" t="s">
        <v>3221</v>
      </c>
      <c r="C10399">
        <v>11733</v>
      </c>
      <c r="D10399" t="s">
        <v>1514</v>
      </c>
      <c r="E10399" t="s">
        <v>1515</v>
      </c>
      <c r="F10399">
        <v>2263.96</v>
      </c>
      <c r="G10399">
        <v>230905</v>
      </c>
      <c r="H10399">
        <v>4573</v>
      </c>
      <c r="I10399" t="s">
        <v>46</v>
      </c>
      <c r="J10399">
        <v>2807.31</v>
      </c>
      <c r="K10399">
        <v>543.35</v>
      </c>
      <c r="L10399">
        <v>17952</v>
      </c>
      <c r="M10399" t="s">
        <v>88</v>
      </c>
      <c r="N10399" t="str">
        <f>"44083       "</f>
        <v xml:space="preserve">44083       </v>
      </c>
      <c r="O10399">
        <v>230908</v>
      </c>
    </row>
    <row r="10400" spans="1:15" x14ac:dyDescent="0.25">
      <c r="A10400" t="s">
        <v>16</v>
      </c>
      <c r="B10400" t="s">
        <v>3221</v>
      </c>
      <c r="C10400">
        <v>17101</v>
      </c>
      <c r="D10400" t="s">
        <v>1514</v>
      </c>
      <c r="E10400" t="s">
        <v>1515</v>
      </c>
      <c r="F10400">
        <v>1857.12</v>
      </c>
      <c r="G10400">
        <v>231204</v>
      </c>
      <c r="H10400">
        <v>4573</v>
      </c>
      <c r="I10400" t="s">
        <v>46</v>
      </c>
      <c r="J10400">
        <v>2302.83</v>
      </c>
      <c r="K10400">
        <v>445.71</v>
      </c>
      <c r="L10400">
        <v>17952</v>
      </c>
      <c r="M10400" t="s">
        <v>88</v>
      </c>
      <c r="N10400" t="str">
        <f>"45237       "</f>
        <v xml:space="preserve">45237       </v>
      </c>
      <c r="O10400">
        <v>231212</v>
      </c>
    </row>
    <row r="10401" spans="1:15" x14ac:dyDescent="0.25">
      <c r="A10401" t="s">
        <v>16</v>
      </c>
      <c r="B10401" t="s">
        <v>3221</v>
      </c>
      <c r="C10401">
        <v>7512</v>
      </c>
      <c r="D10401" t="s">
        <v>369</v>
      </c>
      <c r="E10401" t="s">
        <v>370</v>
      </c>
      <c r="F10401">
        <v>266</v>
      </c>
      <c r="G10401">
        <v>230526</v>
      </c>
      <c r="H10401">
        <v>4534</v>
      </c>
      <c r="I10401" t="s">
        <v>273</v>
      </c>
      <c r="J10401">
        <v>329.84</v>
      </c>
      <c r="K10401">
        <v>63.84</v>
      </c>
      <c r="L10401">
        <v>17737</v>
      </c>
      <c r="M10401" t="s">
        <v>279</v>
      </c>
      <c r="N10401" t="str">
        <f>"74625       "</f>
        <v xml:space="preserve">74625       </v>
      </c>
      <c r="O10401">
        <v>230531</v>
      </c>
    </row>
    <row r="10402" spans="1:15" x14ac:dyDescent="0.25">
      <c r="A10402" t="s">
        <v>16</v>
      </c>
      <c r="B10402" t="s">
        <v>3221</v>
      </c>
      <c r="C10402">
        <v>1479</v>
      </c>
      <c r="D10402" t="s">
        <v>369</v>
      </c>
      <c r="E10402" t="s">
        <v>370</v>
      </c>
      <c r="F10402">
        <v>246</v>
      </c>
      <c r="G10402">
        <v>230203</v>
      </c>
      <c r="H10402">
        <v>4600</v>
      </c>
      <c r="I10402" t="s">
        <v>105</v>
      </c>
      <c r="J10402">
        <v>305.04000000000002</v>
      </c>
      <c r="K10402">
        <v>59.04</v>
      </c>
      <c r="L10402">
        <v>17737</v>
      </c>
      <c r="M10402" t="s">
        <v>279</v>
      </c>
      <c r="N10402" t="str">
        <f>"73254       "</f>
        <v xml:space="preserve">73254       </v>
      </c>
      <c r="O10402">
        <v>230209</v>
      </c>
    </row>
    <row r="10403" spans="1:15" x14ac:dyDescent="0.25">
      <c r="A10403" t="s">
        <v>16</v>
      </c>
      <c r="B10403" t="s">
        <v>3221</v>
      </c>
      <c r="C10403">
        <v>7729</v>
      </c>
      <c r="D10403" t="s">
        <v>369</v>
      </c>
      <c r="E10403" t="s">
        <v>370</v>
      </c>
      <c r="F10403">
        <v>1640</v>
      </c>
      <c r="G10403">
        <v>230531</v>
      </c>
      <c r="H10403">
        <v>4600</v>
      </c>
      <c r="I10403" t="s">
        <v>105</v>
      </c>
      <c r="J10403">
        <v>2033.6</v>
      </c>
      <c r="K10403">
        <v>393.6</v>
      </c>
      <c r="L10403">
        <v>67554</v>
      </c>
      <c r="M10403" t="s">
        <v>60</v>
      </c>
      <c r="N10403" t="str">
        <f>"74690       "</f>
        <v xml:space="preserve">74690       </v>
      </c>
      <c r="O10403">
        <v>230602</v>
      </c>
    </row>
    <row r="10404" spans="1:15" x14ac:dyDescent="0.25">
      <c r="A10404" t="s">
        <v>16</v>
      </c>
      <c r="B10404" t="s">
        <v>3221</v>
      </c>
      <c r="C10404">
        <v>10686</v>
      </c>
      <c r="D10404" t="s">
        <v>369</v>
      </c>
      <c r="E10404" t="s">
        <v>370</v>
      </c>
      <c r="F10404">
        <v>636</v>
      </c>
      <c r="G10404">
        <v>230815</v>
      </c>
      <c r="H10404">
        <v>4600</v>
      </c>
      <c r="I10404" t="s">
        <v>105</v>
      </c>
      <c r="J10404">
        <v>788.64</v>
      </c>
      <c r="K10404">
        <v>152.63999999999999</v>
      </c>
      <c r="L10404">
        <v>67554</v>
      </c>
      <c r="M10404" t="s">
        <v>60</v>
      </c>
      <c r="N10404" t="str">
        <f>"75604       "</f>
        <v xml:space="preserve">75604       </v>
      </c>
      <c r="O10404">
        <v>230822</v>
      </c>
    </row>
    <row r="10405" spans="1:15" x14ac:dyDescent="0.25">
      <c r="A10405" t="s">
        <v>16</v>
      </c>
      <c r="B10405" t="s">
        <v>3221</v>
      </c>
      <c r="C10405">
        <v>11186</v>
      </c>
      <c r="D10405" t="s">
        <v>369</v>
      </c>
      <c r="E10405" t="s">
        <v>370</v>
      </c>
      <c r="F10405">
        <v>319</v>
      </c>
      <c r="G10405">
        <v>230828</v>
      </c>
      <c r="H10405">
        <v>4600</v>
      </c>
      <c r="I10405" t="s">
        <v>105</v>
      </c>
      <c r="J10405">
        <v>395.56</v>
      </c>
      <c r="K10405">
        <v>76.56</v>
      </c>
      <c r="L10405">
        <v>17737</v>
      </c>
      <c r="M10405" t="s">
        <v>279</v>
      </c>
      <c r="N10405" t="str">
        <f>"75759       "</f>
        <v xml:space="preserve">75759       </v>
      </c>
      <c r="O10405">
        <v>230831</v>
      </c>
    </row>
    <row r="10406" spans="1:15" x14ac:dyDescent="0.25">
      <c r="A10406" t="s">
        <v>16</v>
      </c>
      <c r="B10406" t="s">
        <v>3221</v>
      </c>
      <c r="C10406">
        <v>245</v>
      </c>
      <c r="D10406" t="s">
        <v>369</v>
      </c>
      <c r="E10406" t="s">
        <v>370</v>
      </c>
      <c r="F10406">
        <v>464.7</v>
      </c>
      <c r="G10406">
        <v>230110</v>
      </c>
      <c r="H10406">
        <v>4554</v>
      </c>
      <c r="I10406" t="s">
        <v>371</v>
      </c>
      <c r="J10406">
        <v>529.76</v>
      </c>
      <c r="K10406">
        <v>65.06</v>
      </c>
      <c r="L10406">
        <v>17737</v>
      </c>
      <c r="M10406" t="s">
        <v>279</v>
      </c>
      <c r="N10406" t="str">
        <f>"73007       "</f>
        <v xml:space="preserve">73007       </v>
      </c>
      <c r="O10406">
        <v>230116</v>
      </c>
    </row>
    <row r="10407" spans="1:15" x14ac:dyDescent="0.25">
      <c r="A10407" t="s">
        <v>16</v>
      </c>
      <c r="B10407" t="s">
        <v>3221</v>
      </c>
      <c r="C10407">
        <v>3964</v>
      </c>
      <c r="D10407" t="s">
        <v>369</v>
      </c>
      <c r="E10407" t="s">
        <v>370</v>
      </c>
      <c r="F10407">
        <v>1009.7</v>
      </c>
      <c r="G10407">
        <v>230323</v>
      </c>
      <c r="H10407">
        <v>4554</v>
      </c>
      <c r="I10407" t="s">
        <v>371</v>
      </c>
      <c r="J10407">
        <v>1151.06</v>
      </c>
      <c r="K10407">
        <v>141.36000000000001</v>
      </c>
      <c r="L10407">
        <v>17737</v>
      </c>
      <c r="M10407" t="s">
        <v>279</v>
      </c>
      <c r="N10407" t="str">
        <f>"73696       "</f>
        <v xml:space="preserve">73696       </v>
      </c>
      <c r="O10407">
        <v>230328</v>
      </c>
    </row>
    <row r="10408" spans="1:15" x14ac:dyDescent="0.25">
      <c r="A10408" t="s">
        <v>16</v>
      </c>
      <c r="B10408" t="s">
        <v>3221</v>
      </c>
      <c r="C10408">
        <v>7512</v>
      </c>
      <c r="D10408" t="s">
        <v>369</v>
      </c>
      <c r="E10408" t="s">
        <v>370</v>
      </c>
      <c r="F10408">
        <v>127</v>
      </c>
      <c r="G10408">
        <v>230526</v>
      </c>
      <c r="H10408">
        <v>4554</v>
      </c>
      <c r="I10408" t="s">
        <v>371</v>
      </c>
      <c r="J10408">
        <v>144.78</v>
      </c>
      <c r="K10408">
        <v>17.78</v>
      </c>
      <c r="L10408">
        <v>17737</v>
      </c>
      <c r="M10408" t="s">
        <v>279</v>
      </c>
      <c r="N10408" t="str">
        <f>"74625       "</f>
        <v xml:space="preserve">74625       </v>
      </c>
      <c r="O10408">
        <v>230531</v>
      </c>
    </row>
    <row r="10409" spans="1:15" x14ac:dyDescent="0.25">
      <c r="A10409" t="s">
        <v>16</v>
      </c>
      <c r="B10409" t="s">
        <v>3221</v>
      </c>
      <c r="C10409">
        <v>7931</v>
      </c>
      <c r="D10409" t="s">
        <v>369</v>
      </c>
      <c r="E10409" t="s">
        <v>370</v>
      </c>
      <c r="F10409">
        <v>1300</v>
      </c>
      <c r="G10409">
        <v>230529</v>
      </c>
      <c r="H10409">
        <v>4554</v>
      </c>
      <c r="I10409" t="s">
        <v>371</v>
      </c>
      <c r="J10409">
        <v>1482</v>
      </c>
      <c r="K10409">
        <v>182</v>
      </c>
      <c r="L10409">
        <v>17737</v>
      </c>
      <c r="M10409" t="s">
        <v>279</v>
      </c>
      <c r="N10409" t="str">
        <f>"74646       "</f>
        <v xml:space="preserve">74646       </v>
      </c>
      <c r="O10409">
        <v>230606</v>
      </c>
    </row>
    <row r="10410" spans="1:15" x14ac:dyDescent="0.25">
      <c r="A10410" t="s">
        <v>16</v>
      </c>
      <c r="B10410" t="s">
        <v>3221</v>
      </c>
      <c r="C10410">
        <v>10390</v>
      </c>
      <c r="D10410" t="s">
        <v>369</v>
      </c>
      <c r="E10410" t="s">
        <v>370</v>
      </c>
      <c r="F10410">
        <v>446.68</v>
      </c>
      <c r="G10410">
        <v>230728</v>
      </c>
      <c r="H10410">
        <v>4554</v>
      </c>
      <c r="I10410" t="s">
        <v>371</v>
      </c>
      <c r="J10410">
        <v>509.22</v>
      </c>
      <c r="K10410">
        <v>62.54</v>
      </c>
      <c r="L10410">
        <v>17737</v>
      </c>
      <c r="M10410" t="s">
        <v>279</v>
      </c>
      <c r="N10410" t="str">
        <f>"75363       "</f>
        <v xml:space="preserve">75363       </v>
      </c>
      <c r="O10410">
        <v>230815</v>
      </c>
    </row>
    <row r="10411" spans="1:15" x14ac:dyDescent="0.25">
      <c r="A10411" t="s">
        <v>16</v>
      </c>
      <c r="B10411" t="s">
        <v>3221</v>
      </c>
      <c r="C10411">
        <v>13129</v>
      </c>
      <c r="D10411" t="s">
        <v>369</v>
      </c>
      <c r="E10411" t="s">
        <v>370</v>
      </c>
      <c r="F10411">
        <v>143.49</v>
      </c>
      <c r="G10411">
        <v>230926</v>
      </c>
      <c r="H10411">
        <v>4554</v>
      </c>
      <c r="I10411" t="s">
        <v>371</v>
      </c>
      <c r="J10411">
        <v>163.58000000000001</v>
      </c>
      <c r="K10411">
        <v>20.09</v>
      </c>
      <c r="L10411">
        <v>17737</v>
      </c>
      <c r="M10411" t="s">
        <v>279</v>
      </c>
      <c r="N10411" t="str">
        <f>"76092       "</f>
        <v xml:space="preserve">76092       </v>
      </c>
      <c r="O10411">
        <v>231004</v>
      </c>
    </row>
    <row r="10412" spans="1:15" x14ac:dyDescent="0.25">
      <c r="A10412" t="s">
        <v>16</v>
      </c>
      <c r="B10412" t="s">
        <v>3221</v>
      </c>
      <c r="C10412">
        <v>14710</v>
      </c>
      <c r="D10412" t="s">
        <v>369</v>
      </c>
      <c r="E10412" t="s">
        <v>370</v>
      </c>
      <c r="F10412">
        <v>1400</v>
      </c>
      <c r="G10412">
        <v>231024</v>
      </c>
      <c r="H10412">
        <v>4554</v>
      </c>
      <c r="I10412" t="s">
        <v>371</v>
      </c>
      <c r="J10412">
        <v>1596</v>
      </c>
      <c r="K10412">
        <v>196</v>
      </c>
      <c r="L10412">
        <v>17737</v>
      </c>
      <c r="M10412" t="s">
        <v>279</v>
      </c>
      <c r="N10412" t="str">
        <f>"76348       "</f>
        <v xml:space="preserve">76348       </v>
      </c>
      <c r="O10412">
        <v>231101</v>
      </c>
    </row>
    <row r="10413" spans="1:15" x14ac:dyDescent="0.25">
      <c r="A10413" t="s">
        <v>16</v>
      </c>
      <c r="B10413" t="s">
        <v>3221</v>
      </c>
      <c r="C10413">
        <v>759</v>
      </c>
      <c r="D10413" t="s">
        <v>3340</v>
      </c>
      <c r="E10413" t="s">
        <v>3341</v>
      </c>
      <c r="F10413">
        <v>31.73</v>
      </c>
      <c r="G10413">
        <v>230126</v>
      </c>
      <c r="H10413">
        <v>4510</v>
      </c>
      <c r="I10413" t="s">
        <v>42</v>
      </c>
      <c r="J10413">
        <v>34.9</v>
      </c>
      <c r="K10413">
        <v>3.17</v>
      </c>
      <c r="L10413">
        <v>13801</v>
      </c>
      <c r="M10413" t="s">
        <v>162</v>
      </c>
      <c r="N10413" t="str">
        <f>"128915      "</f>
        <v xml:space="preserve">128915      </v>
      </c>
      <c r="O10413">
        <v>230130</v>
      </c>
    </row>
    <row r="10414" spans="1:15" x14ac:dyDescent="0.25">
      <c r="A10414" t="s">
        <v>16</v>
      </c>
      <c r="B10414" t="s">
        <v>3221</v>
      </c>
      <c r="C10414">
        <v>4197</v>
      </c>
      <c r="D10414" t="s">
        <v>3340</v>
      </c>
      <c r="E10414" t="s">
        <v>3341</v>
      </c>
      <c r="F10414">
        <v>31.73</v>
      </c>
      <c r="G10414">
        <v>230329</v>
      </c>
      <c r="H10414">
        <v>4510</v>
      </c>
      <c r="I10414" t="s">
        <v>42</v>
      </c>
      <c r="J10414">
        <v>34.9</v>
      </c>
      <c r="K10414">
        <v>3.17</v>
      </c>
      <c r="L10414">
        <v>13801</v>
      </c>
      <c r="M10414" t="s">
        <v>162</v>
      </c>
      <c r="N10414" t="str">
        <f>"130666      "</f>
        <v xml:space="preserve">130666      </v>
      </c>
      <c r="O10414">
        <v>230331</v>
      </c>
    </row>
    <row r="10415" spans="1:15" x14ac:dyDescent="0.25">
      <c r="A10415" t="s">
        <v>16</v>
      </c>
      <c r="B10415" t="s">
        <v>3221</v>
      </c>
      <c r="C10415">
        <v>10885</v>
      </c>
      <c r="D10415" t="s">
        <v>3340</v>
      </c>
      <c r="E10415" t="s">
        <v>3341</v>
      </c>
      <c r="F10415">
        <v>31.73</v>
      </c>
      <c r="G10415">
        <v>230816</v>
      </c>
      <c r="H10415">
        <v>4510</v>
      </c>
      <c r="I10415" t="s">
        <v>42</v>
      </c>
      <c r="J10415">
        <v>34.9</v>
      </c>
      <c r="K10415">
        <v>3.17</v>
      </c>
      <c r="L10415">
        <v>13801</v>
      </c>
      <c r="M10415" t="s">
        <v>162</v>
      </c>
      <c r="N10415" t="str">
        <f>"132758      "</f>
        <v xml:space="preserve">132758      </v>
      </c>
      <c r="O10415">
        <v>230824</v>
      </c>
    </row>
    <row r="10416" spans="1:15" x14ac:dyDescent="0.25">
      <c r="A10416" t="s">
        <v>16</v>
      </c>
      <c r="B10416" t="s">
        <v>3221</v>
      </c>
      <c r="C10416">
        <v>13808</v>
      </c>
      <c r="D10416" t="s">
        <v>3340</v>
      </c>
      <c r="E10416" t="s">
        <v>3341</v>
      </c>
      <c r="F10416">
        <v>31.73</v>
      </c>
      <c r="G10416">
        <v>231011</v>
      </c>
      <c r="H10416">
        <v>4510</v>
      </c>
      <c r="I10416" t="s">
        <v>42</v>
      </c>
      <c r="J10416">
        <v>34.9</v>
      </c>
      <c r="K10416">
        <v>3.17</v>
      </c>
      <c r="L10416">
        <v>13802</v>
      </c>
      <c r="M10416" t="s">
        <v>200</v>
      </c>
      <c r="N10416" t="str">
        <f>"134291      "</f>
        <v xml:space="preserve">134291      </v>
      </c>
      <c r="O10416">
        <v>231013</v>
      </c>
    </row>
    <row r="10417" spans="1:15" x14ac:dyDescent="0.25">
      <c r="A10417" t="s">
        <v>16</v>
      </c>
      <c r="B10417" t="s">
        <v>3221</v>
      </c>
      <c r="C10417">
        <v>11972</v>
      </c>
      <c r="D10417" t="s">
        <v>3340</v>
      </c>
      <c r="E10417" t="s">
        <v>3341</v>
      </c>
      <c r="F10417">
        <v>740</v>
      </c>
      <c r="G10417">
        <v>230907</v>
      </c>
      <c r="H10417">
        <v>4350</v>
      </c>
      <c r="I10417" t="s">
        <v>546</v>
      </c>
      <c r="J10417">
        <v>917.6</v>
      </c>
      <c r="K10417">
        <v>177.6</v>
      </c>
      <c r="L10417">
        <v>17538</v>
      </c>
      <c r="M10417" t="s">
        <v>24</v>
      </c>
      <c r="N10417" t="str">
        <f>"4121        "</f>
        <v xml:space="preserve">4121        </v>
      </c>
      <c r="O10417">
        <v>230912</v>
      </c>
    </row>
    <row r="10418" spans="1:15" x14ac:dyDescent="0.25">
      <c r="A10418" t="s">
        <v>16</v>
      </c>
      <c r="B10418" t="s">
        <v>3221</v>
      </c>
      <c r="C10418">
        <v>840</v>
      </c>
      <c r="D10418" t="s">
        <v>766</v>
      </c>
      <c r="E10418" t="s">
        <v>767</v>
      </c>
      <c r="F10418">
        <v>1556.19</v>
      </c>
      <c r="G10418">
        <v>230123</v>
      </c>
      <c r="H10418">
        <v>4600</v>
      </c>
      <c r="I10418" t="s">
        <v>105</v>
      </c>
      <c r="J10418">
        <v>1929.68</v>
      </c>
      <c r="K10418">
        <v>373.49</v>
      </c>
      <c r="L10418">
        <v>17812</v>
      </c>
      <c r="M10418" t="s">
        <v>594</v>
      </c>
      <c r="N10418" t="str">
        <f>"7497562     "</f>
        <v xml:space="preserve">7497562     </v>
      </c>
      <c r="O10418">
        <v>230131</v>
      </c>
    </row>
    <row r="10419" spans="1:15" x14ac:dyDescent="0.25">
      <c r="A10419" t="s">
        <v>16</v>
      </c>
      <c r="B10419" t="s">
        <v>3221</v>
      </c>
      <c r="C10419">
        <v>13814</v>
      </c>
      <c r="D10419" t="s">
        <v>334</v>
      </c>
      <c r="E10419" t="s">
        <v>335</v>
      </c>
      <c r="F10419">
        <v>176.38</v>
      </c>
      <c r="G10419">
        <v>231005</v>
      </c>
      <c r="H10419">
        <v>4400</v>
      </c>
      <c r="I10419" t="s">
        <v>348</v>
      </c>
      <c r="J10419">
        <v>218.71</v>
      </c>
      <c r="K10419">
        <v>42.33</v>
      </c>
      <c r="L10419">
        <v>14951</v>
      </c>
      <c r="M10419" t="s">
        <v>57</v>
      </c>
      <c r="N10419" t="str">
        <f>"26315263    "</f>
        <v xml:space="preserve">26315263    </v>
      </c>
      <c r="O10419">
        <v>231013</v>
      </c>
    </row>
    <row r="10420" spans="1:15" x14ac:dyDescent="0.25">
      <c r="A10420" t="s">
        <v>16</v>
      </c>
      <c r="B10420" t="s">
        <v>3221</v>
      </c>
      <c r="C10420">
        <v>3718</v>
      </c>
      <c r="D10420" t="s">
        <v>334</v>
      </c>
      <c r="E10420" t="s">
        <v>335</v>
      </c>
      <c r="F10420">
        <v>350</v>
      </c>
      <c r="G10420">
        <v>230320</v>
      </c>
      <c r="H10420">
        <v>4600</v>
      </c>
      <c r="I10420" t="s">
        <v>105</v>
      </c>
      <c r="J10420">
        <v>434</v>
      </c>
      <c r="K10420">
        <v>84</v>
      </c>
      <c r="L10420">
        <v>11401</v>
      </c>
      <c r="M10420" t="s">
        <v>84</v>
      </c>
      <c r="N10420" t="str">
        <f>"26262735    "</f>
        <v xml:space="preserve">26262735    </v>
      </c>
      <c r="O10420">
        <v>230321</v>
      </c>
    </row>
    <row r="10421" spans="1:15" x14ac:dyDescent="0.25">
      <c r="A10421" t="s">
        <v>16</v>
      </c>
      <c r="B10421" t="s">
        <v>3221</v>
      </c>
      <c r="C10421">
        <v>3718</v>
      </c>
      <c r="D10421" t="s">
        <v>334</v>
      </c>
      <c r="E10421" t="s">
        <v>335</v>
      </c>
      <c r="F10421">
        <v>700</v>
      </c>
      <c r="G10421">
        <v>230320</v>
      </c>
      <c r="H10421">
        <v>4600</v>
      </c>
      <c r="I10421" t="s">
        <v>105</v>
      </c>
      <c r="J10421">
        <v>868</v>
      </c>
      <c r="K10421">
        <v>168</v>
      </c>
      <c r="L10421">
        <v>14952</v>
      </c>
      <c r="M10421" t="s">
        <v>99</v>
      </c>
      <c r="N10421" t="str">
        <f>"26262735    "</f>
        <v xml:space="preserve">26262735    </v>
      </c>
      <c r="O10421">
        <v>230321</v>
      </c>
    </row>
    <row r="10422" spans="1:15" x14ac:dyDescent="0.25">
      <c r="A10422" t="s">
        <v>16</v>
      </c>
      <c r="B10422" t="s">
        <v>3221</v>
      </c>
      <c r="C10422">
        <v>5967</v>
      </c>
      <c r="D10422" t="s">
        <v>334</v>
      </c>
      <c r="E10422" t="s">
        <v>335</v>
      </c>
      <c r="F10422">
        <v>50</v>
      </c>
      <c r="G10422">
        <v>230428</v>
      </c>
      <c r="H10422">
        <v>4600</v>
      </c>
      <c r="I10422" t="s">
        <v>105</v>
      </c>
      <c r="J10422">
        <v>62</v>
      </c>
      <c r="K10422">
        <v>12</v>
      </c>
      <c r="L10422">
        <v>11401</v>
      </c>
      <c r="M10422" t="s">
        <v>84</v>
      </c>
      <c r="N10422" t="str">
        <f>"26273512    "</f>
        <v xml:space="preserve">26273512    </v>
      </c>
      <c r="O10422">
        <v>230504</v>
      </c>
    </row>
    <row r="10423" spans="1:15" x14ac:dyDescent="0.25">
      <c r="A10423" t="s">
        <v>16</v>
      </c>
      <c r="B10423" t="s">
        <v>3221</v>
      </c>
      <c r="C10423">
        <v>5967</v>
      </c>
      <c r="D10423" t="s">
        <v>334</v>
      </c>
      <c r="E10423" t="s">
        <v>335</v>
      </c>
      <c r="F10423">
        <v>100</v>
      </c>
      <c r="G10423">
        <v>230428</v>
      </c>
      <c r="H10423">
        <v>4600</v>
      </c>
      <c r="I10423" t="s">
        <v>105</v>
      </c>
      <c r="J10423">
        <v>124</v>
      </c>
      <c r="K10423">
        <v>24</v>
      </c>
      <c r="L10423">
        <v>14952</v>
      </c>
      <c r="M10423" t="s">
        <v>99</v>
      </c>
      <c r="N10423" t="str">
        <f>"26273512    "</f>
        <v xml:space="preserve">26273512    </v>
      </c>
      <c r="O10423">
        <v>230504</v>
      </c>
    </row>
    <row r="10424" spans="1:15" x14ac:dyDescent="0.25">
      <c r="A10424" t="s">
        <v>16</v>
      </c>
      <c r="B10424" t="s">
        <v>3221</v>
      </c>
      <c r="C10424">
        <v>17185</v>
      </c>
      <c r="D10424" t="s">
        <v>334</v>
      </c>
      <c r="E10424" t="s">
        <v>335</v>
      </c>
      <c r="F10424">
        <v>300</v>
      </c>
      <c r="G10424">
        <v>231201</v>
      </c>
      <c r="H10424">
        <v>4600</v>
      </c>
      <c r="I10424" t="s">
        <v>105</v>
      </c>
      <c r="J10424">
        <v>372</v>
      </c>
      <c r="K10424">
        <v>72</v>
      </c>
      <c r="L10424">
        <v>14952</v>
      </c>
      <c r="M10424" t="s">
        <v>99</v>
      </c>
      <c r="N10424" t="str">
        <f>"26328909    "</f>
        <v xml:space="preserve">26328909    </v>
      </c>
      <c r="O10424">
        <v>231212</v>
      </c>
    </row>
    <row r="10425" spans="1:15" x14ac:dyDescent="0.25">
      <c r="A10425" t="s">
        <v>16</v>
      </c>
      <c r="B10425" t="s">
        <v>3221</v>
      </c>
      <c r="C10425">
        <v>818</v>
      </c>
      <c r="D10425" t="s">
        <v>334</v>
      </c>
      <c r="E10425" t="s">
        <v>335</v>
      </c>
      <c r="F10425">
        <v>100.5</v>
      </c>
      <c r="G10425">
        <v>230125</v>
      </c>
      <c r="H10425">
        <v>4470</v>
      </c>
      <c r="I10425" t="s">
        <v>83</v>
      </c>
      <c r="J10425">
        <v>124.62</v>
      </c>
      <c r="K10425">
        <v>24.12</v>
      </c>
      <c r="L10425">
        <v>14951</v>
      </c>
      <c r="M10425" t="s">
        <v>57</v>
      </c>
      <c r="N10425" t="str">
        <f>"26245005    "</f>
        <v xml:space="preserve">26245005    </v>
      </c>
      <c r="O10425">
        <v>230131</v>
      </c>
    </row>
    <row r="10426" spans="1:15" x14ac:dyDescent="0.25">
      <c r="A10426" t="s">
        <v>16</v>
      </c>
      <c r="B10426" t="s">
        <v>3221</v>
      </c>
      <c r="C10426">
        <v>214</v>
      </c>
      <c r="D10426" t="s">
        <v>334</v>
      </c>
      <c r="E10426" t="s">
        <v>335</v>
      </c>
      <c r="F10426">
        <v>170.15</v>
      </c>
      <c r="G10426">
        <v>230101</v>
      </c>
      <c r="H10426">
        <v>4380</v>
      </c>
      <c r="I10426" t="s">
        <v>113</v>
      </c>
      <c r="J10426">
        <v>210.98</v>
      </c>
      <c r="K10426">
        <v>40.83</v>
      </c>
      <c r="L10426">
        <v>11401</v>
      </c>
      <c r="M10426" t="s">
        <v>84</v>
      </c>
      <c r="N10426" t="str">
        <f>"26238146    "</f>
        <v xml:space="preserve">26238146    </v>
      </c>
      <c r="O10426">
        <v>230116</v>
      </c>
    </row>
    <row r="10427" spans="1:15" x14ac:dyDescent="0.25">
      <c r="A10427" t="s">
        <v>16</v>
      </c>
      <c r="B10427" t="s">
        <v>3221</v>
      </c>
      <c r="C10427">
        <v>214</v>
      </c>
      <c r="D10427" t="s">
        <v>334</v>
      </c>
      <c r="E10427" t="s">
        <v>335</v>
      </c>
      <c r="F10427">
        <v>340.3</v>
      </c>
      <c r="G10427">
        <v>230101</v>
      </c>
      <c r="H10427">
        <v>4380</v>
      </c>
      <c r="I10427" t="s">
        <v>113</v>
      </c>
      <c r="J10427">
        <v>421.97</v>
      </c>
      <c r="K10427">
        <v>81.67</v>
      </c>
      <c r="L10427">
        <v>14952</v>
      </c>
      <c r="M10427" t="s">
        <v>99</v>
      </c>
      <c r="N10427" t="str">
        <f>"26238146    "</f>
        <v xml:space="preserve">26238146    </v>
      </c>
      <c r="O10427">
        <v>230116</v>
      </c>
    </row>
    <row r="10428" spans="1:15" x14ac:dyDescent="0.25">
      <c r="A10428" t="s">
        <v>16</v>
      </c>
      <c r="B10428" t="s">
        <v>3221</v>
      </c>
      <c r="C10428">
        <v>1452</v>
      </c>
      <c r="D10428" t="s">
        <v>334</v>
      </c>
      <c r="E10428" t="s">
        <v>335</v>
      </c>
      <c r="F10428">
        <v>170.15</v>
      </c>
      <c r="G10428">
        <v>230201</v>
      </c>
      <c r="H10428">
        <v>4380</v>
      </c>
      <c r="I10428" t="s">
        <v>113</v>
      </c>
      <c r="J10428">
        <v>210.98</v>
      </c>
      <c r="K10428">
        <v>40.83</v>
      </c>
      <c r="L10428">
        <v>11401</v>
      </c>
      <c r="M10428" t="s">
        <v>84</v>
      </c>
      <c r="N10428" t="str">
        <f>"26247695    "</f>
        <v xml:space="preserve">26247695    </v>
      </c>
      <c r="O10428">
        <v>230209</v>
      </c>
    </row>
    <row r="10429" spans="1:15" x14ac:dyDescent="0.25">
      <c r="A10429" t="s">
        <v>16</v>
      </c>
      <c r="B10429" t="s">
        <v>3221</v>
      </c>
      <c r="C10429">
        <v>1452</v>
      </c>
      <c r="D10429" t="s">
        <v>334</v>
      </c>
      <c r="E10429" t="s">
        <v>335</v>
      </c>
      <c r="F10429">
        <v>340.3</v>
      </c>
      <c r="G10429">
        <v>230201</v>
      </c>
      <c r="H10429">
        <v>4380</v>
      </c>
      <c r="I10429" t="s">
        <v>113</v>
      </c>
      <c r="J10429">
        <v>421.97</v>
      </c>
      <c r="K10429">
        <v>81.67</v>
      </c>
      <c r="L10429">
        <v>14952</v>
      </c>
      <c r="M10429" t="s">
        <v>99</v>
      </c>
      <c r="N10429" t="str">
        <f>"26247695    "</f>
        <v xml:space="preserve">26247695    </v>
      </c>
      <c r="O10429">
        <v>230209</v>
      </c>
    </row>
    <row r="10430" spans="1:15" x14ac:dyDescent="0.25">
      <c r="A10430" t="s">
        <v>16</v>
      </c>
      <c r="B10430" t="s">
        <v>3221</v>
      </c>
      <c r="C10430">
        <v>2583</v>
      </c>
      <c r="D10430" t="s">
        <v>334</v>
      </c>
      <c r="E10430" t="s">
        <v>335</v>
      </c>
      <c r="F10430">
        <v>83.8</v>
      </c>
      <c r="G10430">
        <v>230224</v>
      </c>
      <c r="H10430">
        <v>4380</v>
      </c>
      <c r="I10430" t="s">
        <v>113</v>
      </c>
      <c r="J10430">
        <v>103.91</v>
      </c>
      <c r="K10430">
        <v>20.11</v>
      </c>
      <c r="L10430">
        <v>14952</v>
      </c>
      <c r="M10430" t="s">
        <v>99</v>
      </c>
      <c r="N10430" t="str">
        <f>"26255003    "</f>
        <v xml:space="preserve">26255003    </v>
      </c>
      <c r="O10430">
        <v>230302</v>
      </c>
    </row>
    <row r="10431" spans="1:15" x14ac:dyDescent="0.25">
      <c r="A10431" t="s">
        <v>16</v>
      </c>
      <c r="B10431" t="s">
        <v>3221</v>
      </c>
      <c r="C10431">
        <v>2589</v>
      </c>
      <c r="D10431" t="s">
        <v>334</v>
      </c>
      <c r="E10431" t="s">
        <v>335</v>
      </c>
      <c r="F10431">
        <v>54</v>
      </c>
      <c r="G10431">
        <v>230227</v>
      </c>
      <c r="H10431">
        <v>4380</v>
      </c>
      <c r="I10431" t="s">
        <v>113</v>
      </c>
      <c r="J10431">
        <v>66.959999999999994</v>
      </c>
      <c r="K10431">
        <v>12.96</v>
      </c>
      <c r="L10431">
        <v>14952</v>
      </c>
      <c r="M10431" t="s">
        <v>99</v>
      </c>
      <c r="N10431" t="str">
        <f>"26255498    "</f>
        <v xml:space="preserve">26255498    </v>
      </c>
      <c r="O10431">
        <v>230302</v>
      </c>
    </row>
    <row r="10432" spans="1:15" x14ac:dyDescent="0.25">
      <c r="A10432" t="s">
        <v>16</v>
      </c>
      <c r="B10432" t="s">
        <v>3221</v>
      </c>
      <c r="C10432">
        <v>2621</v>
      </c>
      <c r="D10432" t="s">
        <v>334</v>
      </c>
      <c r="E10432" t="s">
        <v>335</v>
      </c>
      <c r="F10432">
        <v>340.3</v>
      </c>
      <c r="G10432">
        <v>230301</v>
      </c>
      <c r="H10432">
        <v>4380</v>
      </c>
      <c r="I10432" t="s">
        <v>113</v>
      </c>
      <c r="J10432">
        <v>421.97</v>
      </c>
      <c r="K10432">
        <v>81.67</v>
      </c>
      <c r="L10432">
        <v>14952</v>
      </c>
      <c r="M10432" t="s">
        <v>99</v>
      </c>
      <c r="N10432" t="str">
        <f>"26257346    "</f>
        <v xml:space="preserve">26257346    </v>
      </c>
      <c r="O10432">
        <v>230303</v>
      </c>
    </row>
    <row r="10433" spans="1:15" x14ac:dyDescent="0.25">
      <c r="A10433" t="s">
        <v>16</v>
      </c>
      <c r="B10433" t="s">
        <v>3221</v>
      </c>
      <c r="C10433">
        <v>4745</v>
      </c>
      <c r="D10433" t="s">
        <v>334</v>
      </c>
      <c r="E10433" t="s">
        <v>335</v>
      </c>
      <c r="F10433">
        <v>175.01</v>
      </c>
      <c r="G10433">
        <v>230401</v>
      </c>
      <c r="H10433">
        <v>4380</v>
      </c>
      <c r="I10433" t="s">
        <v>113</v>
      </c>
      <c r="J10433">
        <v>217.01</v>
      </c>
      <c r="K10433">
        <v>42</v>
      </c>
      <c r="L10433">
        <v>11401</v>
      </c>
      <c r="M10433" t="s">
        <v>84</v>
      </c>
      <c r="N10433" t="str">
        <f>"26266909    "</f>
        <v xml:space="preserve">26266909    </v>
      </c>
      <c r="O10433">
        <v>230412</v>
      </c>
    </row>
    <row r="10434" spans="1:15" x14ac:dyDescent="0.25">
      <c r="A10434" t="s">
        <v>16</v>
      </c>
      <c r="B10434" t="s">
        <v>3221</v>
      </c>
      <c r="C10434">
        <v>4745</v>
      </c>
      <c r="D10434" t="s">
        <v>334</v>
      </c>
      <c r="E10434" t="s">
        <v>335</v>
      </c>
      <c r="F10434">
        <v>350.02</v>
      </c>
      <c r="G10434">
        <v>230401</v>
      </c>
      <c r="H10434">
        <v>4380</v>
      </c>
      <c r="I10434" t="s">
        <v>113</v>
      </c>
      <c r="J10434">
        <v>434.03</v>
      </c>
      <c r="K10434">
        <v>84.01</v>
      </c>
      <c r="L10434">
        <v>14952</v>
      </c>
      <c r="M10434" t="s">
        <v>99</v>
      </c>
      <c r="N10434" t="str">
        <f>"26266909    "</f>
        <v xml:space="preserve">26266909    </v>
      </c>
      <c r="O10434">
        <v>230412</v>
      </c>
    </row>
    <row r="10435" spans="1:15" x14ac:dyDescent="0.25">
      <c r="A10435" t="s">
        <v>16</v>
      </c>
      <c r="B10435" t="s">
        <v>3221</v>
      </c>
      <c r="C10435">
        <v>6057</v>
      </c>
      <c r="D10435" t="s">
        <v>334</v>
      </c>
      <c r="E10435" t="s">
        <v>335</v>
      </c>
      <c r="F10435">
        <v>42</v>
      </c>
      <c r="G10435">
        <v>230430</v>
      </c>
      <c r="H10435">
        <v>4380</v>
      </c>
      <c r="I10435" t="s">
        <v>113</v>
      </c>
      <c r="J10435">
        <v>52.08</v>
      </c>
      <c r="K10435">
        <v>10.08</v>
      </c>
      <c r="L10435">
        <v>11401</v>
      </c>
      <c r="M10435" t="s">
        <v>84</v>
      </c>
      <c r="N10435" t="str">
        <f>"26274532    "</f>
        <v xml:space="preserve">26274532    </v>
      </c>
      <c r="O10435">
        <v>230508</v>
      </c>
    </row>
    <row r="10436" spans="1:15" x14ac:dyDescent="0.25">
      <c r="A10436" t="s">
        <v>16</v>
      </c>
      <c r="B10436" t="s">
        <v>3221</v>
      </c>
      <c r="C10436">
        <v>6057</v>
      </c>
      <c r="D10436" t="s">
        <v>334</v>
      </c>
      <c r="E10436" t="s">
        <v>335</v>
      </c>
      <c r="F10436">
        <v>84</v>
      </c>
      <c r="G10436">
        <v>230430</v>
      </c>
      <c r="H10436">
        <v>4380</v>
      </c>
      <c r="I10436" t="s">
        <v>113</v>
      </c>
      <c r="J10436">
        <v>104.16</v>
      </c>
      <c r="K10436">
        <v>20.16</v>
      </c>
      <c r="L10436">
        <v>14952</v>
      </c>
      <c r="M10436" t="s">
        <v>99</v>
      </c>
      <c r="N10436" t="str">
        <f>"26274532    "</f>
        <v xml:space="preserve">26274532    </v>
      </c>
      <c r="O10436">
        <v>230508</v>
      </c>
    </row>
    <row r="10437" spans="1:15" x14ac:dyDescent="0.25">
      <c r="A10437" t="s">
        <v>16</v>
      </c>
      <c r="B10437" t="s">
        <v>3221</v>
      </c>
      <c r="C10437">
        <v>6123</v>
      </c>
      <c r="D10437" t="s">
        <v>334</v>
      </c>
      <c r="E10437" t="s">
        <v>335</v>
      </c>
      <c r="F10437">
        <v>175.01</v>
      </c>
      <c r="G10437">
        <v>230501</v>
      </c>
      <c r="H10437">
        <v>4380</v>
      </c>
      <c r="I10437" t="s">
        <v>113</v>
      </c>
      <c r="J10437">
        <v>217.01</v>
      </c>
      <c r="K10437">
        <v>42</v>
      </c>
      <c r="L10437">
        <v>11401</v>
      </c>
      <c r="M10437" t="s">
        <v>84</v>
      </c>
      <c r="N10437" t="str">
        <f>"26274531    "</f>
        <v xml:space="preserve">26274531    </v>
      </c>
      <c r="O10437">
        <v>230508</v>
      </c>
    </row>
    <row r="10438" spans="1:15" x14ac:dyDescent="0.25">
      <c r="A10438" t="s">
        <v>16</v>
      </c>
      <c r="B10438" t="s">
        <v>3221</v>
      </c>
      <c r="C10438">
        <v>6123</v>
      </c>
      <c r="D10438" t="s">
        <v>334</v>
      </c>
      <c r="E10438" t="s">
        <v>335</v>
      </c>
      <c r="F10438">
        <v>350.02</v>
      </c>
      <c r="G10438">
        <v>230501</v>
      </c>
      <c r="H10438">
        <v>4380</v>
      </c>
      <c r="I10438" t="s">
        <v>113</v>
      </c>
      <c r="J10438">
        <v>434.03</v>
      </c>
      <c r="K10438">
        <v>84.01</v>
      </c>
      <c r="L10438">
        <v>14952</v>
      </c>
      <c r="M10438" t="s">
        <v>99</v>
      </c>
      <c r="N10438" t="str">
        <f>"26274531    "</f>
        <v xml:space="preserve">26274531    </v>
      </c>
      <c r="O10438">
        <v>230508</v>
      </c>
    </row>
    <row r="10439" spans="1:15" x14ac:dyDescent="0.25">
      <c r="A10439" t="s">
        <v>16</v>
      </c>
      <c r="B10439" t="s">
        <v>3221</v>
      </c>
      <c r="C10439">
        <v>8541</v>
      </c>
      <c r="D10439" t="s">
        <v>334</v>
      </c>
      <c r="E10439" t="s">
        <v>335</v>
      </c>
      <c r="F10439">
        <v>175</v>
      </c>
      <c r="G10439">
        <v>230601</v>
      </c>
      <c r="H10439">
        <v>4380</v>
      </c>
      <c r="I10439" t="s">
        <v>113</v>
      </c>
      <c r="J10439">
        <v>217</v>
      </c>
      <c r="K10439">
        <v>42</v>
      </c>
      <c r="L10439">
        <v>11401</v>
      </c>
      <c r="M10439" t="s">
        <v>84</v>
      </c>
      <c r="N10439" t="str">
        <f>"26282727    "</f>
        <v xml:space="preserve">26282727    </v>
      </c>
      <c r="O10439">
        <v>230612</v>
      </c>
    </row>
    <row r="10440" spans="1:15" x14ac:dyDescent="0.25">
      <c r="A10440" t="s">
        <v>16</v>
      </c>
      <c r="B10440" t="s">
        <v>3221</v>
      </c>
      <c r="C10440">
        <v>8541</v>
      </c>
      <c r="D10440" t="s">
        <v>334</v>
      </c>
      <c r="E10440" t="s">
        <v>335</v>
      </c>
      <c r="F10440">
        <v>350.03</v>
      </c>
      <c r="G10440">
        <v>230601</v>
      </c>
      <c r="H10440">
        <v>4380</v>
      </c>
      <c r="I10440" t="s">
        <v>113</v>
      </c>
      <c r="J10440">
        <v>434.04</v>
      </c>
      <c r="K10440">
        <v>84.01</v>
      </c>
      <c r="L10440">
        <v>14952</v>
      </c>
      <c r="M10440" t="s">
        <v>99</v>
      </c>
      <c r="N10440" t="str">
        <f>"26282727    "</f>
        <v xml:space="preserve">26282727    </v>
      </c>
      <c r="O10440">
        <v>230612</v>
      </c>
    </row>
    <row r="10441" spans="1:15" x14ac:dyDescent="0.25">
      <c r="A10441" t="s">
        <v>16</v>
      </c>
      <c r="B10441" t="s">
        <v>3221</v>
      </c>
      <c r="C10441">
        <v>9270</v>
      </c>
      <c r="D10441" t="s">
        <v>334</v>
      </c>
      <c r="E10441" t="s">
        <v>335</v>
      </c>
      <c r="F10441">
        <v>143.33000000000001</v>
      </c>
      <c r="G10441">
        <v>230629</v>
      </c>
      <c r="H10441">
        <v>4380</v>
      </c>
      <c r="I10441" t="s">
        <v>113</v>
      </c>
      <c r="J10441">
        <v>177.73</v>
      </c>
      <c r="K10441">
        <v>34.4</v>
      </c>
      <c r="L10441">
        <v>11401</v>
      </c>
      <c r="M10441" t="s">
        <v>84</v>
      </c>
      <c r="N10441" t="str">
        <f>"26289071    "</f>
        <v xml:space="preserve">26289071    </v>
      </c>
      <c r="O10441">
        <v>230703</v>
      </c>
    </row>
    <row r="10442" spans="1:15" x14ac:dyDescent="0.25">
      <c r="A10442" t="s">
        <v>16</v>
      </c>
      <c r="B10442" t="s">
        <v>3221</v>
      </c>
      <c r="C10442">
        <v>9270</v>
      </c>
      <c r="D10442" t="s">
        <v>334</v>
      </c>
      <c r="E10442" t="s">
        <v>335</v>
      </c>
      <c r="F10442">
        <v>286.67</v>
      </c>
      <c r="G10442">
        <v>230629</v>
      </c>
      <c r="H10442">
        <v>4380</v>
      </c>
      <c r="I10442" t="s">
        <v>113</v>
      </c>
      <c r="J10442">
        <v>355.47</v>
      </c>
      <c r="K10442">
        <v>68.8</v>
      </c>
      <c r="L10442">
        <v>14952</v>
      </c>
      <c r="M10442" t="s">
        <v>99</v>
      </c>
      <c r="N10442" t="str">
        <f>"26289071    "</f>
        <v xml:space="preserve">26289071    </v>
      </c>
      <c r="O10442">
        <v>230703</v>
      </c>
    </row>
    <row r="10443" spans="1:15" x14ac:dyDescent="0.25">
      <c r="A10443" t="s">
        <v>16</v>
      </c>
      <c r="B10443" t="s">
        <v>3221</v>
      </c>
      <c r="C10443">
        <v>9396</v>
      </c>
      <c r="D10443" t="s">
        <v>334</v>
      </c>
      <c r="E10443" t="s">
        <v>335</v>
      </c>
      <c r="F10443">
        <v>175.01</v>
      </c>
      <c r="G10443">
        <v>230703</v>
      </c>
      <c r="H10443">
        <v>4380</v>
      </c>
      <c r="I10443" t="s">
        <v>113</v>
      </c>
      <c r="J10443">
        <v>217.01</v>
      </c>
      <c r="K10443">
        <v>42</v>
      </c>
      <c r="L10443">
        <v>11401</v>
      </c>
      <c r="M10443" t="s">
        <v>84</v>
      </c>
      <c r="N10443" t="str">
        <f>"26290942    "</f>
        <v xml:space="preserve">26290942    </v>
      </c>
      <c r="O10443">
        <v>230710</v>
      </c>
    </row>
    <row r="10444" spans="1:15" x14ac:dyDescent="0.25">
      <c r="A10444" t="s">
        <v>16</v>
      </c>
      <c r="B10444" t="s">
        <v>3221</v>
      </c>
      <c r="C10444">
        <v>9396</v>
      </c>
      <c r="D10444" t="s">
        <v>334</v>
      </c>
      <c r="E10444" t="s">
        <v>335</v>
      </c>
      <c r="F10444">
        <v>350.02</v>
      </c>
      <c r="G10444">
        <v>230703</v>
      </c>
      <c r="H10444">
        <v>4380</v>
      </c>
      <c r="I10444" t="s">
        <v>113</v>
      </c>
      <c r="J10444">
        <v>434.03</v>
      </c>
      <c r="K10444">
        <v>84.01</v>
      </c>
      <c r="L10444">
        <v>14952</v>
      </c>
      <c r="M10444" t="s">
        <v>99</v>
      </c>
      <c r="N10444" t="str">
        <f>"26290942    "</f>
        <v xml:space="preserve">26290942    </v>
      </c>
      <c r="O10444">
        <v>230710</v>
      </c>
    </row>
    <row r="10445" spans="1:15" x14ac:dyDescent="0.25">
      <c r="A10445" t="s">
        <v>16</v>
      </c>
      <c r="B10445" t="s">
        <v>3221</v>
      </c>
      <c r="C10445">
        <v>9940</v>
      </c>
      <c r="D10445" t="s">
        <v>334</v>
      </c>
      <c r="E10445" t="s">
        <v>335</v>
      </c>
      <c r="F10445">
        <v>175.01</v>
      </c>
      <c r="G10445">
        <v>230801</v>
      </c>
      <c r="H10445">
        <v>4380</v>
      </c>
      <c r="I10445" t="s">
        <v>113</v>
      </c>
      <c r="J10445">
        <v>217.01</v>
      </c>
      <c r="K10445">
        <v>42</v>
      </c>
      <c r="L10445">
        <v>11401</v>
      </c>
      <c r="M10445" t="s">
        <v>84</v>
      </c>
      <c r="N10445" t="str">
        <f>"26298773    "</f>
        <v xml:space="preserve">26298773    </v>
      </c>
      <c r="O10445">
        <v>230802</v>
      </c>
    </row>
    <row r="10446" spans="1:15" x14ac:dyDescent="0.25">
      <c r="A10446" t="s">
        <v>16</v>
      </c>
      <c r="B10446" t="s">
        <v>3221</v>
      </c>
      <c r="C10446">
        <v>9940</v>
      </c>
      <c r="D10446" t="s">
        <v>334</v>
      </c>
      <c r="E10446" t="s">
        <v>335</v>
      </c>
      <c r="F10446">
        <v>350.02</v>
      </c>
      <c r="G10446">
        <v>230801</v>
      </c>
      <c r="H10446">
        <v>4380</v>
      </c>
      <c r="I10446" t="s">
        <v>113</v>
      </c>
      <c r="J10446">
        <v>434.03</v>
      </c>
      <c r="K10446">
        <v>84.01</v>
      </c>
      <c r="L10446">
        <v>14952</v>
      </c>
      <c r="M10446" t="s">
        <v>99</v>
      </c>
      <c r="N10446" t="str">
        <f>"26298773    "</f>
        <v xml:space="preserve">26298773    </v>
      </c>
      <c r="O10446">
        <v>230802</v>
      </c>
    </row>
    <row r="10447" spans="1:15" x14ac:dyDescent="0.25">
      <c r="A10447" t="s">
        <v>16</v>
      </c>
      <c r="B10447" t="s">
        <v>3221</v>
      </c>
      <c r="C10447">
        <v>11403</v>
      </c>
      <c r="D10447" t="s">
        <v>334</v>
      </c>
      <c r="E10447" t="s">
        <v>335</v>
      </c>
      <c r="F10447">
        <v>-101.77</v>
      </c>
      <c r="G10447">
        <v>230829</v>
      </c>
      <c r="H10447">
        <v>4380</v>
      </c>
      <c r="I10447" t="s">
        <v>113</v>
      </c>
      <c r="J10447">
        <v>-126.2</v>
      </c>
      <c r="K10447">
        <v>-24.43</v>
      </c>
      <c r="L10447">
        <v>11401</v>
      </c>
      <c r="M10447" t="s">
        <v>84</v>
      </c>
      <c r="N10447" t="str">
        <f>"26304635    "</f>
        <v xml:space="preserve">26304635    </v>
      </c>
      <c r="O10447">
        <v>230905</v>
      </c>
    </row>
    <row r="10448" spans="1:15" x14ac:dyDescent="0.25">
      <c r="A10448" t="s">
        <v>16</v>
      </c>
      <c r="B10448" t="s">
        <v>3221</v>
      </c>
      <c r="C10448">
        <v>11403</v>
      </c>
      <c r="D10448" t="s">
        <v>334</v>
      </c>
      <c r="E10448" t="s">
        <v>335</v>
      </c>
      <c r="F10448">
        <v>-203.56</v>
      </c>
      <c r="G10448">
        <v>230829</v>
      </c>
      <c r="H10448">
        <v>4380</v>
      </c>
      <c r="I10448" t="s">
        <v>113</v>
      </c>
      <c r="J10448">
        <v>-252.41</v>
      </c>
      <c r="K10448">
        <v>-48.85</v>
      </c>
      <c r="L10448">
        <v>14952</v>
      </c>
      <c r="M10448" t="s">
        <v>99</v>
      </c>
      <c r="N10448" t="str">
        <f>"26304635    "</f>
        <v xml:space="preserve">26304635    </v>
      </c>
      <c r="O10448">
        <v>230905</v>
      </c>
    </row>
    <row r="10449" spans="1:15" x14ac:dyDescent="0.25">
      <c r="A10449" t="s">
        <v>16</v>
      </c>
      <c r="B10449" t="s">
        <v>3221</v>
      </c>
      <c r="C10449">
        <v>11669</v>
      </c>
      <c r="D10449" t="s">
        <v>334</v>
      </c>
      <c r="E10449" t="s">
        <v>335</v>
      </c>
      <c r="F10449">
        <v>175.01</v>
      </c>
      <c r="G10449">
        <v>230901</v>
      </c>
      <c r="H10449">
        <v>4380</v>
      </c>
      <c r="I10449" t="s">
        <v>113</v>
      </c>
      <c r="J10449">
        <v>217.01</v>
      </c>
      <c r="K10449">
        <v>42</v>
      </c>
      <c r="L10449">
        <v>11401</v>
      </c>
      <c r="M10449" t="s">
        <v>84</v>
      </c>
      <c r="N10449" t="str">
        <f>"26306347    "</f>
        <v xml:space="preserve">26306347    </v>
      </c>
      <c r="O10449">
        <v>230908</v>
      </c>
    </row>
    <row r="10450" spans="1:15" x14ac:dyDescent="0.25">
      <c r="A10450" t="s">
        <v>16</v>
      </c>
      <c r="B10450" t="s">
        <v>3221</v>
      </c>
      <c r="C10450">
        <v>11669</v>
      </c>
      <c r="D10450" t="s">
        <v>334</v>
      </c>
      <c r="E10450" t="s">
        <v>335</v>
      </c>
      <c r="F10450">
        <v>350.02</v>
      </c>
      <c r="G10450">
        <v>230901</v>
      </c>
      <c r="H10450">
        <v>4380</v>
      </c>
      <c r="I10450" t="s">
        <v>113</v>
      </c>
      <c r="J10450">
        <v>434.03</v>
      </c>
      <c r="K10450">
        <v>84.01</v>
      </c>
      <c r="L10450">
        <v>14952</v>
      </c>
      <c r="M10450" t="s">
        <v>99</v>
      </c>
      <c r="N10450" t="str">
        <f>"26306347    "</f>
        <v xml:space="preserve">26306347    </v>
      </c>
      <c r="O10450">
        <v>230908</v>
      </c>
    </row>
    <row r="10451" spans="1:15" x14ac:dyDescent="0.25">
      <c r="A10451" t="s">
        <v>16</v>
      </c>
      <c r="B10451" t="s">
        <v>3221</v>
      </c>
      <c r="C10451">
        <v>13787</v>
      </c>
      <c r="D10451" t="s">
        <v>334</v>
      </c>
      <c r="E10451" t="s">
        <v>335</v>
      </c>
      <c r="F10451">
        <v>175.01</v>
      </c>
      <c r="G10451">
        <v>231001</v>
      </c>
      <c r="H10451">
        <v>4380</v>
      </c>
      <c r="I10451" t="s">
        <v>113</v>
      </c>
      <c r="J10451">
        <v>217.01</v>
      </c>
      <c r="K10451">
        <v>42</v>
      </c>
      <c r="L10451">
        <v>11401</v>
      </c>
      <c r="M10451" t="s">
        <v>84</v>
      </c>
      <c r="N10451" t="str">
        <f>"26312972    "</f>
        <v xml:space="preserve">26312972    </v>
      </c>
      <c r="O10451">
        <v>231013</v>
      </c>
    </row>
    <row r="10452" spans="1:15" x14ac:dyDescent="0.25">
      <c r="A10452" t="s">
        <v>16</v>
      </c>
      <c r="B10452" t="s">
        <v>3221</v>
      </c>
      <c r="C10452">
        <v>13787</v>
      </c>
      <c r="D10452" t="s">
        <v>334</v>
      </c>
      <c r="E10452" t="s">
        <v>335</v>
      </c>
      <c r="F10452">
        <v>350.02</v>
      </c>
      <c r="G10452">
        <v>231001</v>
      </c>
      <c r="H10452">
        <v>4380</v>
      </c>
      <c r="I10452" t="s">
        <v>113</v>
      </c>
      <c r="J10452">
        <v>434.03</v>
      </c>
      <c r="K10452">
        <v>84.01</v>
      </c>
      <c r="L10452">
        <v>14952</v>
      </c>
      <c r="M10452" t="s">
        <v>99</v>
      </c>
      <c r="N10452" t="str">
        <f>"26312972    "</f>
        <v xml:space="preserve">26312972    </v>
      </c>
      <c r="O10452">
        <v>231013</v>
      </c>
    </row>
    <row r="10453" spans="1:15" x14ac:dyDescent="0.25">
      <c r="A10453" t="s">
        <v>16</v>
      </c>
      <c r="B10453" t="s">
        <v>3221</v>
      </c>
      <c r="C10453">
        <v>15326</v>
      </c>
      <c r="D10453" t="s">
        <v>334</v>
      </c>
      <c r="E10453" t="s">
        <v>335</v>
      </c>
      <c r="F10453">
        <v>175.01</v>
      </c>
      <c r="G10453">
        <v>231101</v>
      </c>
      <c r="H10453">
        <v>4380</v>
      </c>
      <c r="I10453" t="s">
        <v>113</v>
      </c>
      <c r="J10453">
        <v>217.01</v>
      </c>
      <c r="K10453">
        <v>42</v>
      </c>
      <c r="L10453">
        <v>11401</v>
      </c>
      <c r="M10453" t="s">
        <v>84</v>
      </c>
      <c r="N10453" t="str">
        <f>"26320535    "</f>
        <v xml:space="preserve">26320535    </v>
      </c>
      <c r="O10453">
        <v>231113</v>
      </c>
    </row>
    <row r="10454" spans="1:15" x14ac:dyDescent="0.25">
      <c r="A10454" t="s">
        <v>16</v>
      </c>
      <c r="B10454" t="s">
        <v>3221</v>
      </c>
      <c r="C10454">
        <v>15326</v>
      </c>
      <c r="D10454" t="s">
        <v>334</v>
      </c>
      <c r="E10454" t="s">
        <v>335</v>
      </c>
      <c r="F10454">
        <v>350.02</v>
      </c>
      <c r="G10454">
        <v>231101</v>
      </c>
      <c r="H10454">
        <v>4380</v>
      </c>
      <c r="I10454" t="s">
        <v>113</v>
      </c>
      <c r="J10454">
        <v>434.03</v>
      </c>
      <c r="K10454">
        <v>84.01</v>
      </c>
      <c r="L10454">
        <v>14952</v>
      </c>
      <c r="M10454" t="s">
        <v>99</v>
      </c>
      <c r="N10454" t="str">
        <f>"26320535    "</f>
        <v xml:space="preserve">26320535    </v>
      </c>
      <c r="O10454">
        <v>231113</v>
      </c>
    </row>
    <row r="10455" spans="1:15" x14ac:dyDescent="0.25">
      <c r="A10455" t="s">
        <v>16</v>
      </c>
      <c r="B10455" t="s">
        <v>3221</v>
      </c>
      <c r="C10455">
        <v>17188</v>
      </c>
      <c r="D10455" t="s">
        <v>334</v>
      </c>
      <c r="E10455" t="s">
        <v>335</v>
      </c>
      <c r="F10455">
        <v>175.01</v>
      </c>
      <c r="G10455">
        <v>231201</v>
      </c>
      <c r="H10455">
        <v>4380</v>
      </c>
      <c r="I10455" t="s">
        <v>113</v>
      </c>
      <c r="J10455">
        <v>217.01</v>
      </c>
      <c r="K10455">
        <v>42</v>
      </c>
      <c r="L10455">
        <v>11401</v>
      </c>
      <c r="M10455" t="s">
        <v>84</v>
      </c>
      <c r="N10455" t="str">
        <f>"26328908    "</f>
        <v xml:space="preserve">26328908    </v>
      </c>
      <c r="O10455">
        <v>231212</v>
      </c>
    </row>
    <row r="10456" spans="1:15" x14ac:dyDescent="0.25">
      <c r="A10456" t="s">
        <v>16</v>
      </c>
      <c r="B10456" t="s">
        <v>3221</v>
      </c>
      <c r="C10456">
        <v>17188</v>
      </c>
      <c r="D10456" t="s">
        <v>334</v>
      </c>
      <c r="E10456" t="s">
        <v>335</v>
      </c>
      <c r="F10456">
        <v>350.02</v>
      </c>
      <c r="G10456">
        <v>231201</v>
      </c>
      <c r="H10456">
        <v>4380</v>
      </c>
      <c r="I10456" t="s">
        <v>113</v>
      </c>
      <c r="J10456">
        <v>434.03</v>
      </c>
      <c r="K10456">
        <v>84.01</v>
      </c>
      <c r="L10456">
        <v>14952</v>
      </c>
      <c r="M10456" t="s">
        <v>99</v>
      </c>
      <c r="N10456" t="str">
        <f>"26328908    "</f>
        <v xml:space="preserve">26328908    </v>
      </c>
      <c r="O10456">
        <v>231212</v>
      </c>
    </row>
    <row r="10457" spans="1:15" x14ac:dyDescent="0.25">
      <c r="A10457" t="s">
        <v>16</v>
      </c>
      <c r="B10457" t="s">
        <v>3221</v>
      </c>
      <c r="C10457">
        <v>17194</v>
      </c>
      <c r="D10457" t="s">
        <v>334</v>
      </c>
      <c r="E10457" t="s">
        <v>335</v>
      </c>
      <c r="F10457">
        <v>65.790000000000006</v>
      </c>
      <c r="G10457">
        <v>231204</v>
      </c>
      <c r="H10457">
        <v>4380</v>
      </c>
      <c r="I10457" t="s">
        <v>113</v>
      </c>
      <c r="J10457">
        <v>81.58</v>
      </c>
      <c r="K10457">
        <v>15.79</v>
      </c>
      <c r="L10457">
        <v>11401</v>
      </c>
      <c r="M10457" t="s">
        <v>84</v>
      </c>
      <c r="N10457" t="str">
        <f>"26331029    "</f>
        <v xml:space="preserve">26331029    </v>
      </c>
      <c r="O10457">
        <v>231212</v>
      </c>
    </row>
    <row r="10458" spans="1:15" x14ac:dyDescent="0.25">
      <c r="A10458" t="s">
        <v>16</v>
      </c>
      <c r="B10458" t="s">
        <v>3221</v>
      </c>
      <c r="C10458">
        <v>17194</v>
      </c>
      <c r="D10458" t="s">
        <v>334</v>
      </c>
      <c r="E10458" t="s">
        <v>335</v>
      </c>
      <c r="F10458">
        <v>131.6</v>
      </c>
      <c r="G10458">
        <v>231204</v>
      </c>
      <c r="H10458">
        <v>4380</v>
      </c>
      <c r="I10458" t="s">
        <v>113</v>
      </c>
      <c r="J10458">
        <v>163.18</v>
      </c>
      <c r="K10458">
        <v>31.58</v>
      </c>
      <c r="L10458">
        <v>14952</v>
      </c>
      <c r="M10458" t="s">
        <v>99</v>
      </c>
      <c r="N10458" t="str">
        <f>"26331029    "</f>
        <v xml:space="preserve">26331029    </v>
      </c>
      <c r="O10458">
        <v>231212</v>
      </c>
    </row>
    <row r="10459" spans="1:15" x14ac:dyDescent="0.25">
      <c r="A10459" t="s">
        <v>16</v>
      </c>
      <c r="B10459" t="s">
        <v>3221</v>
      </c>
      <c r="C10459">
        <v>853</v>
      </c>
      <c r="D10459" t="s">
        <v>334</v>
      </c>
      <c r="E10459" t="s">
        <v>335</v>
      </c>
      <c r="F10459">
        <v>96.96</v>
      </c>
      <c r="G10459">
        <v>230126</v>
      </c>
      <c r="H10459">
        <v>4390</v>
      </c>
      <c r="I10459" t="s">
        <v>98</v>
      </c>
      <c r="J10459">
        <v>120.23</v>
      </c>
      <c r="K10459">
        <v>23.27</v>
      </c>
      <c r="L10459">
        <v>11401</v>
      </c>
      <c r="M10459" t="s">
        <v>84</v>
      </c>
      <c r="N10459" t="str">
        <f>"26245088    "</f>
        <v xml:space="preserve">26245088    </v>
      </c>
      <c r="O10459">
        <v>230131</v>
      </c>
    </row>
    <row r="10460" spans="1:15" x14ac:dyDescent="0.25">
      <c r="A10460" t="s">
        <v>16</v>
      </c>
      <c r="B10460" t="s">
        <v>3221</v>
      </c>
      <c r="C10460">
        <v>853</v>
      </c>
      <c r="D10460" t="s">
        <v>334</v>
      </c>
      <c r="E10460" t="s">
        <v>335</v>
      </c>
      <c r="F10460">
        <v>193.92</v>
      </c>
      <c r="G10460">
        <v>230126</v>
      </c>
      <c r="H10460">
        <v>4390</v>
      </c>
      <c r="I10460" t="s">
        <v>98</v>
      </c>
      <c r="J10460">
        <v>240.46</v>
      </c>
      <c r="K10460">
        <v>46.54</v>
      </c>
      <c r="L10460">
        <v>14952</v>
      </c>
      <c r="M10460" t="s">
        <v>99</v>
      </c>
      <c r="N10460" t="str">
        <f>"26245088    "</f>
        <v xml:space="preserve">26245088    </v>
      </c>
      <c r="O10460">
        <v>230131</v>
      </c>
    </row>
    <row r="10461" spans="1:15" x14ac:dyDescent="0.25">
      <c r="A10461" t="s">
        <v>16</v>
      </c>
      <c r="B10461" t="s">
        <v>3221</v>
      </c>
      <c r="C10461">
        <v>2282</v>
      </c>
      <c r="D10461" t="s">
        <v>334</v>
      </c>
      <c r="E10461" t="s">
        <v>335</v>
      </c>
      <c r="F10461">
        <v>20.79</v>
      </c>
      <c r="G10461">
        <v>230206</v>
      </c>
      <c r="H10461">
        <v>4390</v>
      </c>
      <c r="I10461" t="s">
        <v>98</v>
      </c>
      <c r="J10461">
        <v>25.78</v>
      </c>
      <c r="K10461">
        <v>4.99</v>
      </c>
      <c r="L10461">
        <v>11401</v>
      </c>
      <c r="M10461" t="s">
        <v>84</v>
      </c>
      <c r="N10461" t="str">
        <f>"26250459    "</f>
        <v xml:space="preserve">26250459    </v>
      </c>
      <c r="O10461">
        <v>230223</v>
      </c>
    </row>
    <row r="10462" spans="1:15" x14ac:dyDescent="0.25">
      <c r="A10462" t="s">
        <v>16</v>
      </c>
      <c r="B10462" t="s">
        <v>3221</v>
      </c>
      <c r="C10462">
        <v>2282</v>
      </c>
      <c r="D10462" t="s">
        <v>334</v>
      </c>
      <c r="E10462" t="s">
        <v>335</v>
      </c>
      <c r="F10462">
        <v>42.21</v>
      </c>
      <c r="G10462">
        <v>230206</v>
      </c>
      <c r="H10462">
        <v>4390</v>
      </c>
      <c r="I10462" t="s">
        <v>98</v>
      </c>
      <c r="J10462">
        <v>52.34</v>
      </c>
      <c r="K10462">
        <v>10.130000000000001</v>
      </c>
      <c r="L10462">
        <v>14952</v>
      </c>
      <c r="M10462" t="s">
        <v>99</v>
      </c>
      <c r="N10462" t="str">
        <f>"26250459    "</f>
        <v xml:space="preserve">26250459    </v>
      </c>
      <c r="O10462">
        <v>230223</v>
      </c>
    </row>
    <row r="10463" spans="1:15" x14ac:dyDescent="0.25">
      <c r="A10463" t="s">
        <v>16</v>
      </c>
      <c r="B10463" t="s">
        <v>3221</v>
      </c>
      <c r="C10463">
        <v>2583</v>
      </c>
      <c r="D10463" t="s">
        <v>334</v>
      </c>
      <c r="E10463" t="s">
        <v>335</v>
      </c>
      <c r="F10463">
        <v>41.9</v>
      </c>
      <c r="G10463">
        <v>230224</v>
      </c>
      <c r="H10463">
        <v>4390</v>
      </c>
      <c r="I10463" t="s">
        <v>98</v>
      </c>
      <c r="J10463">
        <v>51.96</v>
      </c>
      <c r="K10463">
        <v>10.06</v>
      </c>
      <c r="L10463">
        <v>11401</v>
      </c>
      <c r="M10463" t="s">
        <v>84</v>
      </c>
      <c r="N10463" t="str">
        <f>"26255003    "</f>
        <v xml:space="preserve">26255003    </v>
      </c>
      <c r="O10463">
        <v>230302</v>
      </c>
    </row>
    <row r="10464" spans="1:15" x14ac:dyDescent="0.25">
      <c r="A10464" t="s">
        <v>16</v>
      </c>
      <c r="B10464" t="s">
        <v>3221</v>
      </c>
      <c r="C10464">
        <v>2589</v>
      </c>
      <c r="D10464" t="s">
        <v>334</v>
      </c>
      <c r="E10464" t="s">
        <v>335</v>
      </c>
      <c r="F10464">
        <v>27</v>
      </c>
      <c r="G10464">
        <v>230227</v>
      </c>
      <c r="H10464">
        <v>4390</v>
      </c>
      <c r="I10464" t="s">
        <v>98</v>
      </c>
      <c r="J10464">
        <v>33.479999999999997</v>
      </c>
      <c r="K10464">
        <v>6.48</v>
      </c>
      <c r="L10464">
        <v>11401</v>
      </c>
      <c r="M10464" t="s">
        <v>84</v>
      </c>
      <c r="N10464" t="str">
        <f>"26255498    "</f>
        <v xml:space="preserve">26255498    </v>
      </c>
      <c r="O10464">
        <v>230302</v>
      </c>
    </row>
    <row r="10465" spans="1:15" x14ac:dyDescent="0.25">
      <c r="A10465" t="s">
        <v>16</v>
      </c>
      <c r="B10465" t="s">
        <v>3221</v>
      </c>
      <c r="C10465">
        <v>2621</v>
      </c>
      <c r="D10465" t="s">
        <v>334</v>
      </c>
      <c r="E10465" t="s">
        <v>335</v>
      </c>
      <c r="F10465">
        <v>170.15</v>
      </c>
      <c r="G10465">
        <v>230301</v>
      </c>
      <c r="H10465">
        <v>4390</v>
      </c>
      <c r="I10465" t="s">
        <v>98</v>
      </c>
      <c r="J10465">
        <v>210.98</v>
      </c>
      <c r="K10465">
        <v>40.83</v>
      </c>
      <c r="L10465">
        <v>11401</v>
      </c>
      <c r="M10465" t="s">
        <v>84</v>
      </c>
      <c r="N10465" t="str">
        <f>"26257346    "</f>
        <v xml:space="preserve">26257346    </v>
      </c>
      <c r="O10465">
        <v>230303</v>
      </c>
    </row>
    <row r="10466" spans="1:15" x14ac:dyDescent="0.25">
      <c r="A10466" t="s">
        <v>16</v>
      </c>
      <c r="B10466" t="s">
        <v>3221</v>
      </c>
      <c r="C10466">
        <v>4096</v>
      </c>
      <c r="D10466" t="s">
        <v>334</v>
      </c>
      <c r="E10466" t="s">
        <v>335</v>
      </c>
      <c r="F10466">
        <v>333.56</v>
      </c>
      <c r="G10466">
        <v>230327</v>
      </c>
      <c r="H10466">
        <v>4390</v>
      </c>
      <c r="I10466" t="s">
        <v>98</v>
      </c>
      <c r="J10466">
        <v>413.61</v>
      </c>
      <c r="K10466">
        <v>80.05</v>
      </c>
      <c r="L10466">
        <v>14952</v>
      </c>
      <c r="M10466" t="s">
        <v>99</v>
      </c>
      <c r="N10466" t="str">
        <f>"26264073    "</f>
        <v xml:space="preserve">26264073    </v>
      </c>
      <c r="O10466">
        <v>230330</v>
      </c>
    </row>
    <row r="10467" spans="1:15" x14ac:dyDescent="0.25">
      <c r="A10467" t="s">
        <v>16</v>
      </c>
      <c r="B10467" t="s">
        <v>3221</v>
      </c>
      <c r="C10467">
        <v>4731</v>
      </c>
      <c r="D10467" t="s">
        <v>334</v>
      </c>
      <c r="E10467" t="s">
        <v>335</v>
      </c>
      <c r="F10467">
        <v>120.02</v>
      </c>
      <c r="G10467">
        <v>230401</v>
      </c>
      <c r="H10467">
        <v>4390</v>
      </c>
      <c r="I10467" t="s">
        <v>98</v>
      </c>
      <c r="J10467">
        <v>148.83000000000001</v>
      </c>
      <c r="K10467">
        <v>28.81</v>
      </c>
      <c r="L10467">
        <v>11401</v>
      </c>
      <c r="M10467" t="s">
        <v>84</v>
      </c>
      <c r="N10467" t="str">
        <f>"26266910    "</f>
        <v xml:space="preserve">26266910    </v>
      </c>
      <c r="O10467">
        <v>230412</v>
      </c>
    </row>
    <row r="10468" spans="1:15" x14ac:dyDescent="0.25">
      <c r="A10468" t="s">
        <v>16</v>
      </c>
      <c r="B10468" t="s">
        <v>3221</v>
      </c>
      <c r="C10468">
        <v>4731</v>
      </c>
      <c r="D10468" t="s">
        <v>334</v>
      </c>
      <c r="E10468" t="s">
        <v>335</v>
      </c>
      <c r="F10468">
        <v>239.98</v>
      </c>
      <c r="G10468">
        <v>230401</v>
      </c>
      <c r="H10468">
        <v>4390</v>
      </c>
      <c r="I10468" t="s">
        <v>98</v>
      </c>
      <c r="J10468">
        <v>297.57</v>
      </c>
      <c r="K10468">
        <v>57.59</v>
      </c>
      <c r="L10468">
        <v>14952</v>
      </c>
      <c r="M10468" t="s">
        <v>99</v>
      </c>
      <c r="N10468" t="str">
        <f>"26266910    "</f>
        <v xml:space="preserve">26266910    </v>
      </c>
      <c r="O10468">
        <v>230412</v>
      </c>
    </row>
    <row r="10469" spans="1:15" x14ac:dyDescent="0.25">
      <c r="A10469" t="s">
        <v>16</v>
      </c>
      <c r="B10469" t="s">
        <v>3221</v>
      </c>
      <c r="C10469">
        <v>10359</v>
      </c>
      <c r="D10469" t="s">
        <v>334</v>
      </c>
      <c r="E10469" t="s">
        <v>335</v>
      </c>
      <c r="F10469">
        <v>114</v>
      </c>
      <c r="G10469">
        <v>230810</v>
      </c>
      <c r="H10469">
        <v>4390</v>
      </c>
      <c r="I10469" t="s">
        <v>98</v>
      </c>
      <c r="J10469">
        <v>141.36000000000001</v>
      </c>
      <c r="K10469">
        <v>27.36</v>
      </c>
      <c r="L10469">
        <v>14951</v>
      </c>
      <c r="M10469" t="s">
        <v>57</v>
      </c>
      <c r="N10469" t="str">
        <f>"26301928    "</f>
        <v xml:space="preserve">26301928    </v>
      </c>
      <c r="O10469">
        <v>230814</v>
      </c>
    </row>
    <row r="10470" spans="1:15" x14ac:dyDescent="0.25">
      <c r="A10470" t="s">
        <v>16</v>
      </c>
      <c r="B10470" t="s">
        <v>3221</v>
      </c>
      <c r="C10470">
        <v>11205</v>
      </c>
      <c r="D10470" t="s">
        <v>334</v>
      </c>
      <c r="E10470" t="s">
        <v>335</v>
      </c>
      <c r="F10470">
        <v>100.52</v>
      </c>
      <c r="G10470">
        <v>230818</v>
      </c>
      <c r="H10470">
        <v>4390</v>
      </c>
      <c r="I10470" t="s">
        <v>98</v>
      </c>
      <c r="J10470">
        <v>124.64</v>
      </c>
      <c r="K10470">
        <v>24.12</v>
      </c>
      <c r="L10470">
        <v>14952</v>
      </c>
      <c r="M10470" t="s">
        <v>99</v>
      </c>
      <c r="N10470" t="str">
        <f>"26302919    "</f>
        <v xml:space="preserve">26302919    </v>
      </c>
      <c r="O10470">
        <v>230831</v>
      </c>
    </row>
    <row r="10471" spans="1:15" x14ac:dyDescent="0.25">
      <c r="A10471" t="s">
        <v>16</v>
      </c>
      <c r="B10471" t="s">
        <v>3221</v>
      </c>
      <c r="C10471">
        <v>14676</v>
      </c>
      <c r="D10471" t="s">
        <v>334</v>
      </c>
      <c r="E10471" t="s">
        <v>335</v>
      </c>
      <c r="F10471">
        <v>94.07</v>
      </c>
      <c r="G10471">
        <v>231030</v>
      </c>
      <c r="H10471">
        <v>4390</v>
      </c>
      <c r="I10471" t="s">
        <v>98</v>
      </c>
      <c r="J10471">
        <v>116.65</v>
      </c>
      <c r="K10471">
        <v>22.58</v>
      </c>
      <c r="L10471">
        <v>14951</v>
      </c>
      <c r="M10471" t="s">
        <v>57</v>
      </c>
      <c r="N10471" t="str">
        <f>"26318845    "</f>
        <v xml:space="preserve">26318845    </v>
      </c>
      <c r="O10471">
        <v>231031</v>
      </c>
    </row>
    <row r="10472" spans="1:15" x14ac:dyDescent="0.25">
      <c r="A10472" t="s">
        <v>16</v>
      </c>
      <c r="B10472" t="s">
        <v>3221</v>
      </c>
      <c r="C10472">
        <v>17180</v>
      </c>
      <c r="D10472" t="s">
        <v>334</v>
      </c>
      <c r="E10472" t="s">
        <v>335</v>
      </c>
      <c r="F10472">
        <v>25.66</v>
      </c>
      <c r="G10472">
        <v>231129</v>
      </c>
      <c r="H10472">
        <v>4390</v>
      </c>
      <c r="I10472" t="s">
        <v>98</v>
      </c>
      <c r="J10472">
        <v>31.82</v>
      </c>
      <c r="K10472">
        <v>6.16</v>
      </c>
      <c r="L10472">
        <v>11401</v>
      </c>
      <c r="M10472" t="s">
        <v>84</v>
      </c>
      <c r="N10472" t="str">
        <f>"26326870    "</f>
        <v xml:space="preserve">26326870    </v>
      </c>
      <c r="O10472">
        <v>231212</v>
      </c>
    </row>
    <row r="10473" spans="1:15" x14ac:dyDescent="0.25">
      <c r="A10473" t="s">
        <v>16</v>
      </c>
      <c r="B10473" t="s">
        <v>3221</v>
      </c>
      <c r="C10473">
        <v>17180</v>
      </c>
      <c r="D10473" t="s">
        <v>334</v>
      </c>
      <c r="E10473" t="s">
        <v>335</v>
      </c>
      <c r="F10473">
        <v>51.34</v>
      </c>
      <c r="G10473">
        <v>231129</v>
      </c>
      <c r="H10473">
        <v>4390</v>
      </c>
      <c r="I10473" t="s">
        <v>98</v>
      </c>
      <c r="J10473">
        <v>63.66</v>
      </c>
      <c r="K10473">
        <v>12.32</v>
      </c>
      <c r="L10473">
        <v>14952</v>
      </c>
      <c r="M10473" t="s">
        <v>99</v>
      </c>
      <c r="N10473" t="str">
        <f>"26326870    "</f>
        <v xml:space="preserve">26326870    </v>
      </c>
      <c r="O10473">
        <v>231212</v>
      </c>
    </row>
    <row r="10474" spans="1:15" x14ac:dyDescent="0.25">
      <c r="A10474" t="s">
        <v>16</v>
      </c>
      <c r="B10474" t="s">
        <v>3221</v>
      </c>
      <c r="C10474">
        <v>17281</v>
      </c>
      <c r="D10474" t="s">
        <v>334</v>
      </c>
      <c r="E10474" t="s">
        <v>335</v>
      </c>
      <c r="F10474">
        <v>22</v>
      </c>
      <c r="G10474">
        <v>231208</v>
      </c>
      <c r="H10474">
        <v>4390</v>
      </c>
      <c r="I10474" t="s">
        <v>98</v>
      </c>
      <c r="J10474">
        <v>27.28</v>
      </c>
      <c r="K10474">
        <v>5.28</v>
      </c>
      <c r="L10474">
        <v>11401</v>
      </c>
      <c r="M10474" t="s">
        <v>84</v>
      </c>
      <c r="N10474" t="str">
        <f>"26331730    "</f>
        <v xml:space="preserve">26331730    </v>
      </c>
      <c r="O10474">
        <v>231212</v>
      </c>
    </row>
    <row r="10475" spans="1:15" x14ac:dyDescent="0.25">
      <c r="A10475" t="s">
        <v>16</v>
      </c>
      <c r="B10475" t="s">
        <v>3221</v>
      </c>
      <c r="C10475">
        <v>17281</v>
      </c>
      <c r="D10475" t="s">
        <v>334</v>
      </c>
      <c r="E10475" t="s">
        <v>335</v>
      </c>
      <c r="F10475">
        <v>44</v>
      </c>
      <c r="G10475">
        <v>231208</v>
      </c>
      <c r="H10475">
        <v>4390</v>
      </c>
      <c r="I10475" t="s">
        <v>98</v>
      </c>
      <c r="J10475">
        <v>54.56</v>
      </c>
      <c r="K10475">
        <v>10.56</v>
      </c>
      <c r="L10475">
        <v>14952</v>
      </c>
      <c r="M10475" t="s">
        <v>99</v>
      </c>
      <c r="N10475" t="str">
        <f>"26331730    "</f>
        <v xml:space="preserve">26331730    </v>
      </c>
      <c r="O10475">
        <v>231212</v>
      </c>
    </row>
    <row r="10476" spans="1:15" x14ac:dyDescent="0.25">
      <c r="A10476" t="s">
        <v>16</v>
      </c>
      <c r="B10476" t="s">
        <v>3221</v>
      </c>
      <c r="C10476">
        <v>17808</v>
      </c>
      <c r="D10476" t="s">
        <v>334</v>
      </c>
      <c r="E10476" t="s">
        <v>335</v>
      </c>
      <c r="F10476">
        <v>123.65</v>
      </c>
      <c r="G10476">
        <v>231212</v>
      </c>
      <c r="H10476">
        <v>4390</v>
      </c>
      <c r="I10476" t="s">
        <v>98</v>
      </c>
      <c r="J10476">
        <v>153.32</v>
      </c>
      <c r="K10476">
        <v>29.67</v>
      </c>
      <c r="L10476">
        <v>11401</v>
      </c>
      <c r="M10476" t="s">
        <v>84</v>
      </c>
      <c r="N10476" t="str">
        <f>"26332342    "</f>
        <v xml:space="preserve">26332342    </v>
      </c>
      <c r="O10476">
        <v>231227</v>
      </c>
    </row>
    <row r="10477" spans="1:15" x14ac:dyDescent="0.25">
      <c r="A10477" t="s">
        <v>16</v>
      </c>
      <c r="B10477" t="s">
        <v>3221</v>
      </c>
      <c r="C10477">
        <v>17808</v>
      </c>
      <c r="D10477" t="s">
        <v>334</v>
      </c>
      <c r="E10477" t="s">
        <v>335</v>
      </c>
      <c r="F10477">
        <v>247.29</v>
      </c>
      <c r="G10477">
        <v>231212</v>
      </c>
      <c r="H10477">
        <v>4390</v>
      </c>
      <c r="I10477" t="s">
        <v>98</v>
      </c>
      <c r="J10477">
        <v>306.64</v>
      </c>
      <c r="K10477">
        <v>59.35</v>
      </c>
      <c r="L10477">
        <v>14952</v>
      </c>
      <c r="M10477" t="s">
        <v>99</v>
      </c>
      <c r="N10477" t="str">
        <f>"26332342    "</f>
        <v xml:space="preserve">26332342    </v>
      </c>
      <c r="O10477">
        <v>231227</v>
      </c>
    </row>
    <row r="10478" spans="1:15" x14ac:dyDescent="0.25">
      <c r="A10478" t="s">
        <v>16</v>
      </c>
      <c r="B10478" t="s">
        <v>3221</v>
      </c>
      <c r="C10478">
        <v>18168</v>
      </c>
      <c r="D10478" t="s">
        <v>334</v>
      </c>
      <c r="E10478" t="s">
        <v>335</v>
      </c>
      <c r="F10478">
        <v>77.319999999999993</v>
      </c>
      <c r="G10478">
        <v>231218</v>
      </c>
      <c r="H10478">
        <v>4390</v>
      </c>
      <c r="I10478" t="s">
        <v>98</v>
      </c>
      <c r="J10478">
        <v>95.88</v>
      </c>
      <c r="K10478">
        <v>18.559999999999999</v>
      </c>
      <c r="L10478">
        <v>11401</v>
      </c>
      <c r="M10478" t="s">
        <v>84</v>
      </c>
      <c r="N10478" t="str">
        <f>"26333178    "</f>
        <v xml:space="preserve">26333178    </v>
      </c>
      <c r="O10478">
        <v>240102</v>
      </c>
    </row>
    <row r="10479" spans="1:15" x14ac:dyDescent="0.25">
      <c r="A10479" t="s">
        <v>16</v>
      </c>
      <c r="B10479" t="s">
        <v>3221</v>
      </c>
      <c r="C10479">
        <v>18168</v>
      </c>
      <c r="D10479" t="s">
        <v>334</v>
      </c>
      <c r="E10479" t="s">
        <v>335</v>
      </c>
      <c r="F10479">
        <v>154.65</v>
      </c>
      <c r="G10479">
        <v>231218</v>
      </c>
      <c r="H10479">
        <v>4390</v>
      </c>
      <c r="I10479" t="s">
        <v>98</v>
      </c>
      <c r="J10479">
        <v>191.77</v>
      </c>
      <c r="K10479">
        <v>37.119999999999997</v>
      </c>
      <c r="L10479">
        <v>14952</v>
      </c>
      <c r="M10479" t="s">
        <v>99</v>
      </c>
      <c r="N10479" t="str">
        <f>"26333178    "</f>
        <v xml:space="preserve">26333178    </v>
      </c>
      <c r="O10479">
        <v>240102</v>
      </c>
    </row>
    <row r="10480" spans="1:15" x14ac:dyDescent="0.25">
      <c r="A10480" t="s">
        <v>16</v>
      </c>
      <c r="B10480" t="s">
        <v>3221</v>
      </c>
      <c r="C10480">
        <v>18470</v>
      </c>
      <c r="D10480" t="s">
        <v>334</v>
      </c>
      <c r="E10480" t="s">
        <v>335</v>
      </c>
      <c r="F10480">
        <v>25.66</v>
      </c>
      <c r="G10480">
        <v>231227</v>
      </c>
      <c r="H10480">
        <v>4390</v>
      </c>
      <c r="I10480" t="s">
        <v>98</v>
      </c>
      <c r="J10480">
        <v>31.82</v>
      </c>
      <c r="K10480">
        <v>6.16</v>
      </c>
      <c r="L10480">
        <v>11401</v>
      </c>
      <c r="M10480" t="s">
        <v>84</v>
      </c>
      <c r="N10480" t="str">
        <f>"26335225    "</f>
        <v xml:space="preserve">26335225    </v>
      </c>
      <c r="O10480">
        <v>240103</v>
      </c>
    </row>
    <row r="10481" spans="1:15" x14ac:dyDescent="0.25">
      <c r="A10481" t="s">
        <v>16</v>
      </c>
      <c r="B10481" t="s">
        <v>3221</v>
      </c>
      <c r="C10481">
        <v>18470</v>
      </c>
      <c r="D10481" t="s">
        <v>334</v>
      </c>
      <c r="E10481" t="s">
        <v>335</v>
      </c>
      <c r="F10481">
        <v>51.34</v>
      </c>
      <c r="G10481">
        <v>231227</v>
      </c>
      <c r="H10481">
        <v>4390</v>
      </c>
      <c r="I10481" t="s">
        <v>98</v>
      </c>
      <c r="J10481">
        <v>63.66</v>
      </c>
      <c r="K10481">
        <v>12.32</v>
      </c>
      <c r="L10481">
        <v>14952</v>
      </c>
      <c r="M10481" t="s">
        <v>99</v>
      </c>
      <c r="N10481" t="str">
        <f>"26335225    "</f>
        <v xml:space="preserve">26335225    </v>
      </c>
      <c r="O10481">
        <v>240103</v>
      </c>
    </row>
    <row r="10482" spans="1:15" x14ac:dyDescent="0.25">
      <c r="A10482" t="s">
        <v>16</v>
      </c>
      <c r="B10482" t="s">
        <v>3221</v>
      </c>
      <c r="C10482">
        <v>19029</v>
      </c>
      <c r="D10482" t="s">
        <v>334</v>
      </c>
      <c r="E10482" t="s">
        <v>335</v>
      </c>
      <c r="F10482">
        <v>60.93</v>
      </c>
      <c r="G10482">
        <v>231228</v>
      </c>
      <c r="H10482">
        <v>4390</v>
      </c>
      <c r="I10482" t="s">
        <v>98</v>
      </c>
      <c r="J10482">
        <v>75.55</v>
      </c>
      <c r="K10482">
        <v>14.62</v>
      </c>
      <c r="L10482">
        <v>14951</v>
      </c>
      <c r="M10482" t="s">
        <v>57</v>
      </c>
      <c r="N10482" t="str">
        <f>"26335723    "</f>
        <v xml:space="preserve">26335723    </v>
      </c>
      <c r="O10482">
        <v>240110</v>
      </c>
    </row>
    <row r="10483" spans="1:15" x14ac:dyDescent="0.25">
      <c r="A10483" t="s">
        <v>16</v>
      </c>
      <c r="B10483" t="s">
        <v>3221</v>
      </c>
      <c r="C10483">
        <v>19070</v>
      </c>
      <c r="D10483" t="s">
        <v>334</v>
      </c>
      <c r="E10483" t="s">
        <v>335</v>
      </c>
      <c r="F10483">
        <v>22</v>
      </c>
      <c r="G10483">
        <v>240108</v>
      </c>
      <c r="H10483">
        <v>4390</v>
      </c>
      <c r="I10483" t="s">
        <v>98</v>
      </c>
      <c r="J10483">
        <v>27.28</v>
      </c>
      <c r="K10483">
        <v>5.28</v>
      </c>
      <c r="L10483">
        <v>11401</v>
      </c>
      <c r="M10483" t="s">
        <v>84</v>
      </c>
      <c r="N10483" t="str">
        <f>"26340165    "</f>
        <v xml:space="preserve">26340165    </v>
      </c>
      <c r="O10483">
        <v>240110</v>
      </c>
    </row>
    <row r="10484" spans="1:15" x14ac:dyDescent="0.25">
      <c r="A10484" t="s">
        <v>16</v>
      </c>
      <c r="B10484" t="s">
        <v>3221</v>
      </c>
      <c r="C10484">
        <v>19070</v>
      </c>
      <c r="D10484" t="s">
        <v>334</v>
      </c>
      <c r="E10484" t="s">
        <v>335</v>
      </c>
      <c r="F10484">
        <v>44</v>
      </c>
      <c r="G10484">
        <v>240108</v>
      </c>
      <c r="H10484">
        <v>4390</v>
      </c>
      <c r="I10484" t="s">
        <v>98</v>
      </c>
      <c r="J10484">
        <v>54.56</v>
      </c>
      <c r="K10484">
        <v>10.56</v>
      </c>
      <c r="L10484">
        <v>14952</v>
      </c>
      <c r="M10484" t="s">
        <v>99</v>
      </c>
      <c r="N10484" t="str">
        <f>"26340165    "</f>
        <v xml:space="preserve">26340165    </v>
      </c>
      <c r="O10484">
        <v>240110</v>
      </c>
    </row>
    <row r="10485" spans="1:15" x14ac:dyDescent="0.25">
      <c r="A10485" t="s">
        <v>16</v>
      </c>
      <c r="B10485" t="s">
        <v>3221</v>
      </c>
      <c r="C10485">
        <v>13796</v>
      </c>
      <c r="D10485" t="s">
        <v>334</v>
      </c>
      <c r="E10485" t="s">
        <v>335</v>
      </c>
      <c r="F10485">
        <v>55</v>
      </c>
      <c r="G10485">
        <v>230930</v>
      </c>
      <c r="H10485">
        <v>4550</v>
      </c>
      <c r="I10485" t="s">
        <v>312</v>
      </c>
      <c r="J10485">
        <v>68.2</v>
      </c>
      <c r="K10485">
        <v>13.2</v>
      </c>
      <c r="L10485">
        <v>11401</v>
      </c>
      <c r="M10485" t="s">
        <v>84</v>
      </c>
      <c r="N10485" t="str">
        <f>"26312971    "</f>
        <v xml:space="preserve">26312971    </v>
      </c>
      <c r="O10485">
        <v>231013</v>
      </c>
    </row>
    <row r="10486" spans="1:15" x14ac:dyDescent="0.25">
      <c r="A10486" t="s">
        <v>16</v>
      </c>
      <c r="B10486" t="s">
        <v>3221</v>
      </c>
      <c r="C10486">
        <v>13796</v>
      </c>
      <c r="D10486" t="s">
        <v>334</v>
      </c>
      <c r="E10486" t="s">
        <v>335</v>
      </c>
      <c r="F10486">
        <v>110</v>
      </c>
      <c r="G10486">
        <v>230930</v>
      </c>
      <c r="H10486">
        <v>4550</v>
      </c>
      <c r="I10486" t="s">
        <v>312</v>
      </c>
      <c r="J10486">
        <v>136.4</v>
      </c>
      <c r="K10486">
        <v>26.4</v>
      </c>
      <c r="L10486">
        <v>14952</v>
      </c>
      <c r="M10486" t="s">
        <v>99</v>
      </c>
      <c r="N10486" t="str">
        <f>"26312971    "</f>
        <v xml:space="preserve">26312971    </v>
      </c>
      <c r="O10486">
        <v>231013</v>
      </c>
    </row>
    <row r="10487" spans="1:15" x14ac:dyDescent="0.25">
      <c r="A10487" t="s">
        <v>16</v>
      </c>
      <c r="B10487" t="s">
        <v>3221</v>
      </c>
      <c r="C10487">
        <v>121</v>
      </c>
      <c r="D10487" t="s">
        <v>172</v>
      </c>
      <c r="E10487" t="s">
        <v>173</v>
      </c>
      <c r="F10487">
        <v>646.72</v>
      </c>
      <c r="G10487">
        <v>230101</v>
      </c>
      <c r="H10487">
        <v>4380</v>
      </c>
      <c r="I10487" t="s">
        <v>113</v>
      </c>
      <c r="J10487">
        <v>801.93</v>
      </c>
      <c r="K10487">
        <v>155.21</v>
      </c>
      <c r="L10487">
        <v>11401</v>
      </c>
      <c r="M10487" t="s">
        <v>84</v>
      </c>
      <c r="N10487" t="str">
        <f>"23150153    "</f>
        <v xml:space="preserve">23150153    </v>
      </c>
      <c r="O10487">
        <v>230112</v>
      </c>
    </row>
    <row r="10488" spans="1:15" x14ac:dyDescent="0.25">
      <c r="A10488" t="s">
        <v>16</v>
      </c>
      <c r="B10488" t="s">
        <v>3221</v>
      </c>
      <c r="C10488">
        <v>121</v>
      </c>
      <c r="D10488" t="s">
        <v>172</v>
      </c>
      <c r="E10488" t="s">
        <v>173</v>
      </c>
      <c r="F10488">
        <v>1293.44</v>
      </c>
      <c r="G10488">
        <v>230101</v>
      </c>
      <c r="H10488">
        <v>4380</v>
      </c>
      <c r="I10488" t="s">
        <v>113</v>
      </c>
      <c r="J10488">
        <v>1603.86</v>
      </c>
      <c r="K10488">
        <v>310.42</v>
      </c>
      <c r="L10488">
        <v>14952</v>
      </c>
      <c r="M10488" t="s">
        <v>99</v>
      </c>
      <c r="N10488" t="str">
        <f>"23150153    "</f>
        <v xml:space="preserve">23150153    </v>
      </c>
      <c r="O10488">
        <v>230112</v>
      </c>
    </row>
    <row r="10489" spans="1:15" x14ac:dyDescent="0.25">
      <c r="A10489" t="s">
        <v>16</v>
      </c>
      <c r="B10489" t="s">
        <v>3221</v>
      </c>
      <c r="C10489">
        <v>215</v>
      </c>
      <c r="D10489" t="s">
        <v>172</v>
      </c>
      <c r="E10489" t="s">
        <v>173</v>
      </c>
      <c r="F10489">
        <v>285.94</v>
      </c>
      <c r="G10489">
        <v>230101</v>
      </c>
      <c r="H10489">
        <v>4380</v>
      </c>
      <c r="I10489" t="s">
        <v>113</v>
      </c>
      <c r="J10489">
        <v>354.57</v>
      </c>
      <c r="K10489">
        <v>68.63</v>
      </c>
      <c r="L10489">
        <v>11402</v>
      </c>
      <c r="M10489" t="s">
        <v>56</v>
      </c>
      <c r="N10489" t="str">
        <f>"23150154    "</f>
        <v xml:space="preserve">23150154    </v>
      </c>
      <c r="O10489">
        <v>230116</v>
      </c>
    </row>
    <row r="10490" spans="1:15" x14ac:dyDescent="0.25">
      <c r="A10490" t="s">
        <v>16</v>
      </c>
      <c r="B10490" t="s">
        <v>3221</v>
      </c>
      <c r="C10490">
        <v>215</v>
      </c>
      <c r="D10490" t="s">
        <v>172</v>
      </c>
      <c r="E10490" t="s">
        <v>173</v>
      </c>
      <c r="F10490">
        <v>1010.01</v>
      </c>
      <c r="G10490">
        <v>230101</v>
      </c>
      <c r="H10490">
        <v>4380</v>
      </c>
      <c r="I10490" t="s">
        <v>113</v>
      </c>
      <c r="J10490">
        <v>1252.4100000000001</v>
      </c>
      <c r="K10490">
        <v>242.4</v>
      </c>
      <c r="L10490">
        <v>14951</v>
      </c>
      <c r="M10490" t="s">
        <v>57</v>
      </c>
      <c r="N10490" t="str">
        <f>"23150154    "</f>
        <v xml:space="preserve">23150154    </v>
      </c>
      <c r="O10490">
        <v>230116</v>
      </c>
    </row>
    <row r="10491" spans="1:15" x14ac:dyDescent="0.25">
      <c r="A10491" t="s">
        <v>16</v>
      </c>
      <c r="B10491" t="s">
        <v>3221</v>
      </c>
      <c r="C10491">
        <v>215</v>
      </c>
      <c r="D10491" t="s">
        <v>172</v>
      </c>
      <c r="E10491" t="s">
        <v>173</v>
      </c>
      <c r="F10491">
        <v>3475.5</v>
      </c>
      <c r="G10491">
        <v>230101</v>
      </c>
      <c r="H10491">
        <v>4380</v>
      </c>
      <c r="I10491" t="s">
        <v>113</v>
      </c>
      <c r="J10491">
        <v>4309.62</v>
      </c>
      <c r="K10491">
        <v>834.12</v>
      </c>
      <c r="L10491">
        <v>14951</v>
      </c>
      <c r="M10491" t="s">
        <v>57</v>
      </c>
      <c r="N10491" t="str">
        <f>"23150154    "</f>
        <v xml:space="preserve">23150154    </v>
      </c>
      <c r="O10491">
        <v>230116</v>
      </c>
    </row>
    <row r="10492" spans="1:15" x14ac:dyDescent="0.25">
      <c r="A10492" t="s">
        <v>16</v>
      </c>
      <c r="B10492" t="s">
        <v>3221</v>
      </c>
      <c r="C10492">
        <v>1442</v>
      </c>
      <c r="D10492" t="s">
        <v>172</v>
      </c>
      <c r="E10492" t="s">
        <v>173</v>
      </c>
      <c r="F10492">
        <v>4771.45</v>
      </c>
      <c r="G10492">
        <v>230201</v>
      </c>
      <c r="H10492">
        <v>4380</v>
      </c>
      <c r="I10492" t="s">
        <v>113</v>
      </c>
      <c r="J10492">
        <v>5916.6</v>
      </c>
      <c r="K10492">
        <v>1145.1500000000001</v>
      </c>
      <c r="L10492">
        <v>14951</v>
      </c>
      <c r="M10492" t="s">
        <v>57</v>
      </c>
      <c r="N10492" t="str">
        <f>"23157162    "</f>
        <v xml:space="preserve">23157162    </v>
      </c>
      <c r="O10492">
        <v>230208</v>
      </c>
    </row>
    <row r="10493" spans="1:15" x14ac:dyDescent="0.25">
      <c r="A10493" t="s">
        <v>16</v>
      </c>
      <c r="B10493" t="s">
        <v>3221</v>
      </c>
      <c r="C10493">
        <v>1562</v>
      </c>
      <c r="D10493" t="s">
        <v>172</v>
      </c>
      <c r="E10493" t="s">
        <v>173</v>
      </c>
      <c r="F10493">
        <v>646.72</v>
      </c>
      <c r="G10493">
        <v>230201</v>
      </c>
      <c r="H10493">
        <v>4380</v>
      </c>
      <c r="I10493" t="s">
        <v>113</v>
      </c>
      <c r="J10493">
        <v>801.93</v>
      </c>
      <c r="K10493">
        <v>155.21</v>
      </c>
      <c r="L10493">
        <v>11401</v>
      </c>
      <c r="M10493" t="s">
        <v>84</v>
      </c>
      <c r="N10493" t="str">
        <f>"23157163    "</f>
        <v xml:space="preserve">23157163    </v>
      </c>
      <c r="O10493">
        <v>230209</v>
      </c>
    </row>
    <row r="10494" spans="1:15" x14ac:dyDescent="0.25">
      <c r="A10494" t="s">
        <v>16</v>
      </c>
      <c r="B10494" t="s">
        <v>3221</v>
      </c>
      <c r="C10494">
        <v>1562</v>
      </c>
      <c r="D10494" t="s">
        <v>172</v>
      </c>
      <c r="E10494" t="s">
        <v>173</v>
      </c>
      <c r="F10494">
        <v>1293.44</v>
      </c>
      <c r="G10494">
        <v>230201</v>
      </c>
      <c r="H10494">
        <v>4380</v>
      </c>
      <c r="I10494" t="s">
        <v>113</v>
      </c>
      <c r="J10494">
        <v>1603.86</v>
      </c>
      <c r="K10494">
        <v>310.42</v>
      </c>
      <c r="L10494">
        <v>14952</v>
      </c>
      <c r="M10494" t="s">
        <v>99</v>
      </c>
      <c r="N10494" t="str">
        <f>"23157163    "</f>
        <v xml:space="preserve">23157163    </v>
      </c>
      <c r="O10494">
        <v>230209</v>
      </c>
    </row>
    <row r="10495" spans="1:15" x14ac:dyDescent="0.25">
      <c r="A10495" t="s">
        <v>16</v>
      </c>
      <c r="B10495" t="s">
        <v>3221</v>
      </c>
      <c r="C10495">
        <v>2598</v>
      </c>
      <c r="D10495" t="s">
        <v>172</v>
      </c>
      <c r="E10495" t="s">
        <v>173</v>
      </c>
      <c r="F10495">
        <v>4771.45</v>
      </c>
      <c r="G10495">
        <v>230301</v>
      </c>
      <c r="H10495">
        <v>4380</v>
      </c>
      <c r="I10495" t="s">
        <v>113</v>
      </c>
      <c r="J10495">
        <v>5916.6</v>
      </c>
      <c r="K10495">
        <v>1145.1500000000001</v>
      </c>
      <c r="L10495">
        <v>14951</v>
      </c>
      <c r="M10495" t="s">
        <v>57</v>
      </c>
      <c r="N10495" t="str">
        <f>"23163853    "</f>
        <v xml:space="preserve">23163853    </v>
      </c>
      <c r="O10495">
        <v>230302</v>
      </c>
    </row>
    <row r="10496" spans="1:15" x14ac:dyDescent="0.25">
      <c r="A10496" t="s">
        <v>16</v>
      </c>
      <c r="B10496" t="s">
        <v>3221</v>
      </c>
      <c r="C10496">
        <v>2620</v>
      </c>
      <c r="D10496" t="s">
        <v>172</v>
      </c>
      <c r="E10496" t="s">
        <v>173</v>
      </c>
      <c r="F10496">
        <v>646.72</v>
      </c>
      <c r="G10496">
        <v>230301</v>
      </c>
      <c r="H10496">
        <v>4380</v>
      </c>
      <c r="I10496" t="s">
        <v>113</v>
      </c>
      <c r="J10496">
        <v>801.93</v>
      </c>
      <c r="K10496">
        <v>155.21</v>
      </c>
      <c r="L10496">
        <v>11401</v>
      </c>
      <c r="M10496" t="s">
        <v>84</v>
      </c>
      <c r="N10496" t="str">
        <f>"23163854    "</f>
        <v xml:space="preserve">23163854    </v>
      </c>
      <c r="O10496">
        <v>230303</v>
      </c>
    </row>
    <row r="10497" spans="1:15" x14ac:dyDescent="0.25">
      <c r="A10497" t="s">
        <v>16</v>
      </c>
      <c r="B10497" t="s">
        <v>3221</v>
      </c>
      <c r="C10497">
        <v>2620</v>
      </c>
      <c r="D10497" t="s">
        <v>172</v>
      </c>
      <c r="E10497" t="s">
        <v>173</v>
      </c>
      <c r="F10497">
        <v>1293.44</v>
      </c>
      <c r="G10497">
        <v>230301</v>
      </c>
      <c r="H10497">
        <v>4380</v>
      </c>
      <c r="I10497" t="s">
        <v>113</v>
      </c>
      <c r="J10497">
        <v>1603.86</v>
      </c>
      <c r="K10497">
        <v>310.42</v>
      </c>
      <c r="L10497">
        <v>14952</v>
      </c>
      <c r="M10497" t="s">
        <v>99</v>
      </c>
      <c r="N10497" t="str">
        <f>"23163854    "</f>
        <v xml:space="preserve">23163854    </v>
      </c>
      <c r="O10497">
        <v>230303</v>
      </c>
    </row>
    <row r="10498" spans="1:15" x14ac:dyDescent="0.25">
      <c r="A10498" t="s">
        <v>16</v>
      </c>
      <c r="B10498" t="s">
        <v>3221</v>
      </c>
      <c r="C10498">
        <v>4743</v>
      </c>
      <c r="D10498" t="s">
        <v>172</v>
      </c>
      <c r="E10498" t="s">
        <v>173</v>
      </c>
      <c r="F10498">
        <v>285.64999999999998</v>
      </c>
      <c r="G10498">
        <v>230401</v>
      </c>
      <c r="H10498">
        <v>4380</v>
      </c>
      <c r="I10498" t="s">
        <v>113</v>
      </c>
      <c r="J10498">
        <v>354.2</v>
      </c>
      <c r="K10498">
        <v>68.55</v>
      </c>
      <c r="L10498">
        <v>11401</v>
      </c>
      <c r="M10498" t="s">
        <v>84</v>
      </c>
      <c r="N10498" t="str">
        <f>"23170726    "</f>
        <v xml:space="preserve">23170726    </v>
      </c>
      <c r="O10498">
        <v>230412</v>
      </c>
    </row>
    <row r="10499" spans="1:15" x14ac:dyDescent="0.25">
      <c r="A10499" t="s">
        <v>16</v>
      </c>
      <c r="B10499" t="s">
        <v>3221</v>
      </c>
      <c r="C10499">
        <v>4743</v>
      </c>
      <c r="D10499" t="s">
        <v>172</v>
      </c>
      <c r="E10499" t="s">
        <v>173</v>
      </c>
      <c r="F10499">
        <v>3140.06</v>
      </c>
      <c r="G10499">
        <v>230401</v>
      </c>
      <c r="H10499">
        <v>4380</v>
      </c>
      <c r="I10499" t="s">
        <v>113</v>
      </c>
      <c r="J10499">
        <v>3893.68</v>
      </c>
      <c r="K10499">
        <v>753.62</v>
      </c>
      <c r="L10499">
        <v>14951</v>
      </c>
      <c r="M10499" t="s">
        <v>57</v>
      </c>
      <c r="N10499" t="str">
        <f>"23170726    "</f>
        <v xml:space="preserve">23170726    </v>
      </c>
      <c r="O10499">
        <v>230412</v>
      </c>
    </row>
    <row r="10500" spans="1:15" x14ac:dyDescent="0.25">
      <c r="A10500" t="s">
        <v>16</v>
      </c>
      <c r="B10500" t="s">
        <v>3221</v>
      </c>
      <c r="C10500">
        <v>4743</v>
      </c>
      <c r="D10500" t="s">
        <v>172</v>
      </c>
      <c r="E10500" t="s">
        <v>173</v>
      </c>
      <c r="F10500">
        <v>1345.74</v>
      </c>
      <c r="G10500">
        <v>230401</v>
      </c>
      <c r="H10500">
        <v>4380</v>
      </c>
      <c r="I10500" t="s">
        <v>113</v>
      </c>
      <c r="J10500">
        <v>1668.72</v>
      </c>
      <c r="K10500">
        <v>322.98</v>
      </c>
      <c r="L10500">
        <v>14990</v>
      </c>
      <c r="M10500" t="s">
        <v>1725</v>
      </c>
      <c r="N10500" t="str">
        <f>"23170726    "</f>
        <v xml:space="preserve">23170726    </v>
      </c>
      <c r="O10500">
        <v>230412</v>
      </c>
    </row>
    <row r="10501" spans="1:15" x14ac:dyDescent="0.25">
      <c r="A10501" t="s">
        <v>16</v>
      </c>
      <c r="B10501" t="s">
        <v>3221</v>
      </c>
      <c r="C10501">
        <v>4744</v>
      </c>
      <c r="D10501" t="s">
        <v>172</v>
      </c>
      <c r="E10501" t="s">
        <v>173</v>
      </c>
      <c r="F10501">
        <v>646.72</v>
      </c>
      <c r="G10501">
        <v>230401</v>
      </c>
      <c r="H10501">
        <v>4380</v>
      </c>
      <c r="I10501" t="s">
        <v>113</v>
      </c>
      <c r="J10501">
        <v>801.93</v>
      </c>
      <c r="K10501">
        <v>155.21</v>
      </c>
      <c r="L10501">
        <v>11401</v>
      </c>
      <c r="M10501" t="s">
        <v>84</v>
      </c>
      <c r="N10501" t="str">
        <f>"23170727    "</f>
        <v xml:space="preserve">23170727    </v>
      </c>
      <c r="O10501">
        <v>230412</v>
      </c>
    </row>
    <row r="10502" spans="1:15" x14ac:dyDescent="0.25">
      <c r="A10502" t="s">
        <v>16</v>
      </c>
      <c r="B10502" t="s">
        <v>3221</v>
      </c>
      <c r="C10502">
        <v>4744</v>
      </c>
      <c r="D10502" t="s">
        <v>172</v>
      </c>
      <c r="E10502" t="s">
        <v>173</v>
      </c>
      <c r="F10502">
        <v>1293.44</v>
      </c>
      <c r="G10502">
        <v>230401</v>
      </c>
      <c r="H10502">
        <v>4380</v>
      </c>
      <c r="I10502" t="s">
        <v>113</v>
      </c>
      <c r="J10502">
        <v>1603.86</v>
      </c>
      <c r="K10502">
        <v>310.42</v>
      </c>
      <c r="L10502">
        <v>14952</v>
      </c>
      <c r="M10502" t="s">
        <v>99</v>
      </c>
      <c r="N10502" t="str">
        <f>"23170727    "</f>
        <v xml:space="preserve">23170727    </v>
      </c>
      <c r="O10502">
        <v>230412</v>
      </c>
    </row>
    <row r="10503" spans="1:15" x14ac:dyDescent="0.25">
      <c r="A10503" t="s">
        <v>16</v>
      </c>
      <c r="B10503" t="s">
        <v>3221</v>
      </c>
      <c r="C10503">
        <v>5973</v>
      </c>
      <c r="D10503" t="s">
        <v>172</v>
      </c>
      <c r="E10503" t="s">
        <v>173</v>
      </c>
      <c r="F10503">
        <v>646.72</v>
      </c>
      <c r="G10503">
        <v>230501</v>
      </c>
      <c r="H10503">
        <v>4380</v>
      </c>
      <c r="I10503" t="s">
        <v>113</v>
      </c>
      <c r="J10503">
        <v>801.93</v>
      </c>
      <c r="K10503">
        <v>155.21</v>
      </c>
      <c r="L10503">
        <v>11401</v>
      </c>
      <c r="M10503" t="s">
        <v>84</v>
      </c>
      <c r="N10503" t="str">
        <f>"23176595    "</f>
        <v xml:space="preserve">23176595    </v>
      </c>
      <c r="O10503">
        <v>230504</v>
      </c>
    </row>
    <row r="10504" spans="1:15" x14ac:dyDescent="0.25">
      <c r="A10504" t="s">
        <v>16</v>
      </c>
      <c r="B10504" t="s">
        <v>3221</v>
      </c>
      <c r="C10504">
        <v>5973</v>
      </c>
      <c r="D10504" t="s">
        <v>172</v>
      </c>
      <c r="E10504" t="s">
        <v>173</v>
      </c>
      <c r="F10504">
        <v>1293.44</v>
      </c>
      <c r="G10504">
        <v>230501</v>
      </c>
      <c r="H10504">
        <v>4380</v>
      </c>
      <c r="I10504" t="s">
        <v>113</v>
      </c>
      <c r="J10504">
        <v>1603.86</v>
      </c>
      <c r="K10504">
        <v>310.42</v>
      </c>
      <c r="L10504">
        <v>14952</v>
      </c>
      <c r="M10504" t="s">
        <v>99</v>
      </c>
      <c r="N10504" t="str">
        <f>"23176595    "</f>
        <v xml:space="preserve">23176595    </v>
      </c>
      <c r="O10504">
        <v>230504</v>
      </c>
    </row>
    <row r="10505" spans="1:15" x14ac:dyDescent="0.25">
      <c r="A10505" t="s">
        <v>16</v>
      </c>
      <c r="B10505" t="s">
        <v>3221</v>
      </c>
      <c r="C10505">
        <v>5974</v>
      </c>
      <c r="D10505" t="s">
        <v>172</v>
      </c>
      <c r="E10505" t="s">
        <v>173</v>
      </c>
      <c r="F10505">
        <v>285.64999999999998</v>
      </c>
      <c r="G10505">
        <v>230501</v>
      </c>
      <c r="H10505">
        <v>4380</v>
      </c>
      <c r="I10505" t="s">
        <v>113</v>
      </c>
      <c r="J10505">
        <v>354.2</v>
      </c>
      <c r="K10505">
        <v>68.55</v>
      </c>
      <c r="L10505">
        <v>11402</v>
      </c>
      <c r="M10505" t="s">
        <v>56</v>
      </c>
      <c r="N10505" t="str">
        <f>"23176596    "</f>
        <v xml:space="preserve">23176596    </v>
      </c>
      <c r="O10505">
        <v>230504</v>
      </c>
    </row>
    <row r="10506" spans="1:15" x14ac:dyDescent="0.25">
      <c r="A10506" t="s">
        <v>16</v>
      </c>
      <c r="B10506" t="s">
        <v>3221</v>
      </c>
      <c r="C10506">
        <v>5974</v>
      </c>
      <c r="D10506" t="s">
        <v>172</v>
      </c>
      <c r="E10506" t="s">
        <v>173</v>
      </c>
      <c r="F10506">
        <v>3140.06</v>
      </c>
      <c r="G10506">
        <v>230501</v>
      </c>
      <c r="H10506">
        <v>4380</v>
      </c>
      <c r="I10506" t="s">
        <v>113</v>
      </c>
      <c r="J10506">
        <v>3893.68</v>
      </c>
      <c r="K10506">
        <v>753.62</v>
      </c>
      <c r="L10506">
        <v>14951</v>
      </c>
      <c r="M10506" t="s">
        <v>57</v>
      </c>
      <c r="N10506" t="str">
        <f>"23176596    "</f>
        <v xml:space="preserve">23176596    </v>
      </c>
      <c r="O10506">
        <v>230504</v>
      </c>
    </row>
    <row r="10507" spans="1:15" x14ac:dyDescent="0.25">
      <c r="A10507" t="s">
        <v>16</v>
      </c>
      <c r="B10507" t="s">
        <v>3221</v>
      </c>
      <c r="C10507">
        <v>5974</v>
      </c>
      <c r="D10507" t="s">
        <v>172</v>
      </c>
      <c r="E10507" t="s">
        <v>173</v>
      </c>
      <c r="F10507">
        <v>1345.74</v>
      </c>
      <c r="G10507">
        <v>230501</v>
      </c>
      <c r="H10507">
        <v>4380</v>
      </c>
      <c r="I10507" t="s">
        <v>113</v>
      </c>
      <c r="J10507">
        <v>1668.72</v>
      </c>
      <c r="K10507">
        <v>322.98</v>
      </c>
      <c r="L10507">
        <v>14990</v>
      </c>
      <c r="M10507" t="s">
        <v>1725</v>
      </c>
      <c r="N10507" t="str">
        <f>"23176596    "</f>
        <v xml:space="preserve">23176596    </v>
      </c>
      <c r="O10507">
        <v>230504</v>
      </c>
    </row>
    <row r="10508" spans="1:15" x14ac:dyDescent="0.25">
      <c r="A10508" t="s">
        <v>16</v>
      </c>
      <c r="B10508" t="s">
        <v>3221</v>
      </c>
      <c r="C10508">
        <v>8536</v>
      </c>
      <c r="D10508" t="s">
        <v>172</v>
      </c>
      <c r="E10508" t="s">
        <v>173</v>
      </c>
      <c r="F10508">
        <v>4771.45</v>
      </c>
      <c r="G10508">
        <v>230601</v>
      </c>
      <c r="H10508">
        <v>4380</v>
      </c>
      <c r="I10508" t="s">
        <v>113</v>
      </c>
      <c r="J10508">
        <v>5916.6</v>
      </c>
      <c r="K10508">
        <v>1145.1500000000001</v>
      </c>
      <c r="L10508">
        <v>14951</v>
      </c>
      <c r="M10508" t="s">
        <v>57</v>
      </c>
      <c r="N10508" t="str">
        <f>"23183929    "</f>
        <v xml:space="preserve">23183929    </v>
      </c>
      <c r="O10508">
        <v>230612</v>
      </c>
    </row>
    <row r="10509" spans="1:15" x14ac:dyDescent="0.25">
      <c r="A10509" t="s">
        <v>16</v>
      </c>
      <c r="B10509" t="s">
        <v>3221</v>
      </c>
      <c r="C10509">
        <v>8537</v>
      </c>
      <c r="D10509" t="s">
        <v>172</v>
      </c>
      <c r="E10509" t="s">
        <v>173</v>
      </c>
      <c r="F10509">
        <v>646.72</v>
      </c>
      <c r="G10509">
        <v>230601</v>
      </c>
      <c r="H10509">
        <v>4380</v>
      </c>
      <c r="I10509" t="s">
        <v>113</v>
      </c>
      <c r="J10509">
        <v>801.93</v>
      </c>
      <c r="K10509">
        <v>155.21</v>
      </c>
      <c r="L10509">
        <v>11401</v>
      </c>
      <c r="M10509" t="s">
        <v>84</v>
      </c>
      <c r="N10509" t="str">
        <f>"23183930    "</f>
        <v xml:space="preserve">23183930    </v>
      </c>
      <c r="O10509">
        <v>230612</v>
      </c>
    </row>
    <row r="10510" spans="1:15" x14ac:dyDescent="0.25">
      <c r="A10510" t="s">
        <v>16</v>
      </c>
      <c r="B10510" t="s">
        <v>3221</v>
      </c>
      <c r="C10510">
        <v>8537</v>
      </c>
      <c r="D10510" t="s">
        <v>172</v>
      </c>
      <c r="E10510" t="s">
        <v>173</v>
      </c>
      <c r="F10510">
        <v>1293.44</v>
      </c>
      <c r="G10510">
        <v>230601</v>
      </c>
      <c r="H10510">
        <v>4380</v>
      </c>
      <c r="I10510" t="s">
        <v>113</v>
      </c>
      <c r="J10510">
        <v>1603.86</v>
      </c>
      <c r="K10510">
        <v>310.42</v>
      </c>
      <c r="L10510">
        <v>14952</v>
      </c>
      <c r="M10510" t="s">
        <v>99</v>
      </c>
      <c r="N10510" t="str">
        <f>"23183930    "</f>
        <v xml:space="preserve">23183930    </v>
      </c>
      <c r="O10510">
        <v>230612</v>
      </c>
    </row>
    <row r="10511" spans="1:15" x14ac:dyDescent="0.25">
      <c r="A10511" t="s">
        <v>16</v>
      </c>
      <c r="B10511" t="s">
        <v>3221</v>
      </c>
      <c r="C10511">
        <v>9389</v>
      </c>
      <c r="D10511" t="s">
        <v>172</v>
      </c>
      <c r="E10511" t="s">
        <v>173</v>
      </c>
      <c r="F10511">
        <v>646.72</v>
      </c>
      <c r="G10511">
        <v>230703</v>
      </c>
      <c r="H10511">
        <v>4380</v>
      </c>
      <c r="I10511" t="s">
        <v>113</v>
      </c>
      <c r="J10511">
        <v>801.93</v>
      </c>
      <c r="K10511">
        <v>155.21</v>
      </c>
      <c r="L10511">
        <v>11401</v>
      </c>
      <c r="M10511" t="s">
        <v>84</v>
      </c>
      <c r="N10511" t="str">
        <f>"23190388    "</f>
        <v xml:space="preserve">23190388    </v>
      </c>
      <c r="O10511">
        <v>230710</v>
      </c>
    </row>
    <row r="10512" spans="1:15" x14ac:dyDescent="0.25">
      <c r="A10512" t="s">
        <v>16</v>
      </c>
      <c r="B10512" t="s">
        <v>3221</v>
      </c>
      <c r="C10512">
        <v>9389</v>
      </c>
      <c r="D10512" t="s">
        <v>172</v>
      </c>
      <c r="E10512" t="s">
        <v>173</v>
      </c>
      <c r="F10512">
        <v>1293.44</v>
      </c>
      <c r="G10512">
        <v>230703</v>
      </c>
      <c r="H10512">
        <v>4380</v>
      </c>
      <c r="I10512" t="s">
        <v>113</v>
      </c>
      <c r="J10512">
        <v>1603.86</v>
      </c>
      <c r="K10512">
        <v>310.42</v>
      </c>
      <c r="L10512">
        <v>14952</v>
      </c>
      <c r="M10512" t="s">
        <v>99</v>
      </c>
      <c r="N10512" t="str">
        <f>"23190388    "</f>
        <v xml:space="preserve">23190388    </v>
      </c>
      <c r="O10512">
        <v>230710</v>
      </c>
    </row>
    <row r="10513" spans="1:15" x14ac:dyDescent="0.25">
      <c r="A10513" t="s">
        <v>16</v>
      </c>
      <c r="B10513" t="s">
        <v>3221</v>
      </c>
      <c r="C10513">
        <v>9397</v>
      </c>
      <c r="D10513" t="s">
        <v>172</v>
      </c>
      <c r="E10513" t="s">
        <v>173</v>
      </c>
      <c r="F10513">
        <v>285.94</v>
      </c>
      <c r="G10513">
        <v>230703</v>
      </c>
      <c r="H10513">
        <v>4380</v>
      </c>
      <c r="I10513" t="s">
        <v>113</v>
      </c>
      <c r="J10513">
        <v>354.57</v>
      </c>
      <c r="K10513">
        <v>68.63</v>
      </c>
      <c r="L10513">
        <v>11402</v>
      </c>
      <c r="M10513" t="s">
        <v>56</v>
      </c>
      <c r="N10513" t="str">
        <f>"23190389    "</f>
        <v xml:space="preserve">23190389    </v>
      </c>
      <c r="O10513">
        <v>230710</v>
      </c>
    </row>
    <row r="10514" spans="1:15" x14ac:dyDescent="0.25">
      <c r="A10514" t="s">
        <v>16</v>
      </c>
      <c r="B10514" t="s">
        <v>3221</v>
      </c>
      <c r="C10514">
        <v>9397</v>
      </c>
      <c r="D10514" t="s">
        <v>172</v>
      </c>
      <c r="E10514" t="s">
        <v>173</v>
      </c>
      <c r="F10514">
        <v>536.79999999999995</v>
      </c>
      <c r="G10514">
        <v>230703</v>
      </c>
      <c r="H10514">
        <v>4380</v>
      </c>
      <c r="I10514" t="s">
        <v>113</v>
      </c>
      <c r="J10514">
        <v>665.63</v>
      </c>
      <c r="K10514">
        <v>128.83000000000001</v>
      </c>
      <c r="L10514">
        <v>14951</v>
      </c>
      <c r="M10514" t="s">
        <v>57</v>
      </c>
      <c r="N10514" t="str">
        <f>"23190389    "</f>
        <v xml:space="preserve">23190389    </v>
      </c>
      <c r="O10514">
        <v>230710</v>
      </c>
    </row>
    <row r="10515" spans="1:15" x14ac:dyDescent="0.25">
      <c r="A10515" t="s">
        <v>16</v>
      </c>
      <c r="B10515" t="s">
        <v>3221</v>
      </c>
      <c r="C10515">
        <v>9397</v>
      </c>
      <c r="D10515" t="s">
        <v>172</v>
      </c>
      <c r="E10515" t="s">
        <v>173</v>
      </c>
      <c r="F10515">
        <v>3718.65</v>
      </c>
      <c r="G10515">
        <v>230703</v>
      </c>
      <c r="H10515">
        <v>4380</v>
      </c>
      <c r="I10515" t="s">
        <v>113</v>
      </c>
      <c r="J10515">
        <v>4611.13</v>
      </c>
      <c r="K10515">
        <v>892.48</v>
      </c>
      <c r="L10515">
        <v>14951</v>
      </c>
      <c r="M10515" t="s">
        <v>57</v>
      </c>
      <c r="N10515" t="str">
        <f>"23190389    "</f>
        <v xml:space="preserve">23190389    </v>
      </c>
      <c r="O10515">
        <v>230710</v>
      </c>
    </row>
    <row r="10516" spans="1:15" x14ac:dyDescent="0.25">
      <c r="A10516" t="s">
        <v>16</v>
      </c>
      <c r="B10516" t="s">
        <v>3221</v>
      </c>
      <c r="C10516">
        <v>9397</v>
      </c>
      <c r="D10516" t="s">
        <v>172</v>
      </c>
      <c r="E10516" t="s">
        <v>173</v>
      </c>
      <c r="F10516">
        <v>230.06</v>
      </c>
      <c r="G10516">
        <v>230703</v>
      </c>
      <c r="H10516">
        <v>4380</v>
      </c>
      <c r="I10516" t="s">
        <v>113</v>
      </c>
      <c r="J10516">
        <v>285.27</v>
      </c>
      <c r="K10516">
        <v>55.21</v>
      </c>
      <c r="L10516">
        <v>14990</v>
      </c>
      <c r="M10516" t="s">
        <v>1725</v>
      </c>
      <c r="N10516" t="str">
        <f>"23190389    "</f>
        <v xml:space="preserve">23190389    </v>
      </c>
      <c r="O10516">
        <v>230710</v>
      </c>
    </row>
    <row r="10517" spans="1:15" x14ac:dyDescent="0.25">
      <c r="A10517" t="s">
        <v>16</v>
      </c>
      <c r="B10517" t="s">
        <v>3221</v>
      </c>
      <c r="C10517">
        <v>9939</v>
      </c>
      <c r="D10517" t="s">
        <v>172</v>
      </c>
      <c r="E10517" t="s">
        <v>173</v>
      </c>
      <c r="F10517">
        <v>646.72</v>
      </c>
      <c r="G10517">
        <v>230801</v>
      </c>
      <c r="H10517">
        <v>4380</v>
      </c>
      <c r="I10517" t="s">
        <v>113</v>
      </c>
      <c r="J10517">
        <v>801.93</v>
      </c>
      <c r="K10517">
        <v>155.21</v>
      </c>
      <c r="L10517">
        <v>11401</v>
      </c>
      <c r="M10517" t="s">
        <v>84</v>
      </c>
      <c r="N10517" t="str">
        <f>"23196516    "</f>
        <v xml:space="preserve">23196516    </v>
      </c>
      <c r="O10517">
        <v>230802</v>
      </c>
    </row>
    <row r="10518" spans="1:15" x14ac:dyDescent="0.25">
      <c r="A10518" t="s">
        <v>16</v>
      </c>
      <c r="B10518" t="s">
        <v>3221</v>
      </c>
      <c r="C10518">
        <v>9939</v>
      </c>
      <c r="D10518" t="s">
        <v>172</v>
      </c>
      <c r="E10518" t="s">
        <v>173</v>
      </c>
      <c r="F10518">
        <v>1293.44</v>
      </c>
      <c r="G10518">
        <v>230801</v>
      </c>
      <c r="H10518">
        <v>4380</v>
      </c>
      <c r="I10518" t="s">
        <v>113</v>
      </c>
      <c r="J10518">
        <v>1603.86</v>
      </c>
      <c r="K10518">
        <v>310.42</v>
      </c>
      <c r="L10518">
        <v>14952</v>
      </c>
      <c r="M10518" t="s">
        <v>99</v>
      </c>
      <c r="N10518" t="str">
        <f>"23196516    "</f>
        <v xml:space="preserve">23196516    </v>
      </c>
      <c r="O10518">
        <v>230802</v>
      </c>
    </row>
    <row r="10519" spans="1:15" x14ac:dyDescent="0.25">
      <c r="A10519" t="s">
        <v>16</v>
      </c>
      <c r="B10519" t="s">
        <v>3221</v>
      </c>
      <c r="C10519">
        <v>10267</v>
      </c>
      <c r="D10519" t="s">
        <v>172</v>
      </c>
      <c r="E10519" t="s">
        <v>173</v>
      </c>
      <c r="F10519">
        <v>285.94</v>
      </c>
      <c r="G10519">
        <v>230801</v>
      </c>
      <c r="H10519">
        <v>4380</v>
      </c>
      <c r="I10519" t="s">
        <v>113</v>
      </c>
      <c r="J10519">
        <v>354.57</v>
      </c>
      <c r="K10519">
        <v>68.63</v>
      </c>
      <c r="L10519">
        <v>11402</v>
      </c>
      <c r="M10519" t="s">
        <v>56</v>
      </c>
      <c r="N10519" t="str">
        <f>"23196515    "</f>
        <v xml:space="preserve">23196515    </v>
      </c>
      <c r="O10519">
        <v>230814</v>
      </c>
    </row>
    <row r="10520" spans="1:15" x14ac:dyDescent="0.25">
      <c r="A10520" t="s">
        <v>16</v>
      </c>
      <c r="B10520" t="s">
        <v>3221</v>
      </c>
      <c r="C10520">
        <v>10267</v>
      </c>
      <c r="D10520" t="s">
        <v>172</v>
      </c>
      <c r="E10520" t="s">
        <v>173</v>
      </c>
      <c r="F10520">
        <v>536.79999999999995</v>
      </c>
      <c r="G10520">
        <v>230801</v>
      </c>
      <c r="H10520">
        <v>4380</v>
      </c>
      <c r="I10520" t="s">
        <v>113</v>
      </c>
      <c r="J10520">
        <v>665.63</v>
      </c>
      <c r="K10520">
        <v>128.83000000000001</v>
      </c>
      <c r="L10520">
        <v>14951</v>
      </c>
      <c r="M10520" t="s">
        <v>57</v>
      </c>
      <c r="N10520" t="str">
        <f>"23196515    "</f>
        <v xml:space="preserve">23196515    </v>
      </c>
      <c r="O10520">
        <v>230814</v>
      </c>
    </row>
    <row r="10521" spans="1:15" x14ac:dyDescent="0.25">
      <c r="A10521" t="s">
        <v>16</v>
      </c>
      <c r="B10521" t="s">
        <v>3221</v>
      </c>
      <c r="C10521">
        <v>10267</v>
      </c>
      <c r="D10521" t="s">
        <v>172</v>
      </c>
      <c r="E10521" t="s">
        <v>173</v>
      </c>
      <c r="F10521">
        <v>3802.28</v>
      </c>
      <c r="G10521">
        <v>230801</v>
      </c>
      <c r="H10521">
        <v>4380</v>
      </c>
      <c r="I10521" t="s">
        <v>113</v>
      </c>
      <c r="J10521">
        <v>4714.83</v>
      </c>
      <c r="K10521">
        <v>912.55</v>
      </c>
      <c r="L10521">
        <v>14951</v>
      </c>
      <c r="M10521" t="s">
        <v>57</v>
      </c>
      <c r="N10521" t="str">
        <f>"23196515    "</f>
        <v xml:space="preserve">23196515    </v>
      </c>
      <c r="O10521">
        <v>230814</v>
      </c>
    </row>
    <row r="10522" spans="1:15" x14ac:dyDescent="0.25">
      <c r="A10522" t="s">
        <v>16</v>
      </c>
      <c r="B10522" t="s">
        <v>3221</v>
      </c>
      <c r="C10522">
        <v>10267</v>
      </c>
      <c r="D10522" t="s">
        <v>172</v>
      </c>
      <c r="E10522" t="s">
        <v>173</v>
      </c>
      <c r="F10522">
        <v>230.06</v>
      </c>
      <c r="G10522">
        <v>230801</v>
      </c>
      <c r="H10522">
        <v>4380</v>
      </c>
      <c r="I10522" t="s">
        <v>113</v>
      </c>
      <c r="J10522">
        <v>285.27</v>
      </c>
      <c r="K10522">
        <v>55.21</v>
      </c>
      <c r="L10522">
        <v>14990</v>
      </c>
      <c r="M10522" t="s">
        <v>1725</v>
      </c>
      <c r="N10522" t="str">
        <f>"23196515    "</f>
        <v xml:space="preserve">23196515    </v>
      </c>
      <c r="O10522">
        <v>230814</v>
      </c>
    </row>
    <row r="10523" spans="1:15" x14ac:dyDescent="0.25">
      <c r="A10523" t="s">
        <v>16</v>
      </c>
      <c r="B10523" t="s">
        <v>3221</v>
      </c>
      <c r="C10523">
        <v>11618</v>
      </c>
      <c r="D10523" t="s">
        <v>172</v>
      </c>
      <c r="E10523" t="s">
        <v>173</v>
      </c>
      <c r="F10523">
        <v>646.72</v>
      </c>
      <c r="G10523">
        <v>230901</v>
      </c>
      <c r="H10523">
        <v>4380</v>
      </c>
      <c r="I10523" t="s">
        <v>113</v>
      </c>
      <c r="J10523">
        <v>801.93</v>
      </c>
      <c r="K10523">
        <v>155.21</v>
      </c>
      <c r="L10523">
        <v>11401</v>
      </c>
      <c r="M10523" t="s">
        <v>84</v>
      </c>
      <c r="N10523" t="str">
        <f>"23202860    "</f>
        <v xml:space="preserve">23202860    </v>
      </c>
      <c r="O10523">
        <v>230907</v>
      </c>
    </row>
    <row r="10524" spans="1:15" x14ac:dyDescent="0.25">
      <c r="A10524" t="s">
        <v>16</v>
      </c>
      <c r="B10524" t="s">
        <v>3221</v>
      </c>
      <c r="C10524">
        <v>11618</v>
      </c>
      <c r="D10524" t="s">
        <v>172</v>
      </c>
      <c r="E10524" t="s">
        <v>173</v>
      </c>
      <c r="F10524">
        <v>1293.44</v>
      </c>
      <c r="G10524">
        <v>230901</v>
      </c>
      <c r="H10524">
        <v>4380</v>
      </c>
      <c r="I10524" t="s">
        <v>113</v>
      </c>
      <c r="J10524">
        <v>1603.86</v>
      </c>
      <c r="K10524">
        <v>310.42</v>
      </c>
      <c r="L10524">
        <v>14952</v>
      </c>
      <c r="M10524" t="s">
        <v>99</v>
      </c>
      <c r="N10524" t="str">
        <f>"23202860    "</f>
        <v xml:space="preserve">23202860    </v>
      </c>
      <c r="O10524">
        <v>230907</v>
      </c>
    </row>
    <row r="10525" spans="1:15" x14ac:dyDescent="0.25">
      <c r="A10525" t="s">
        <v>16</v>
      </c>
      <c r="B10525" t="s">
        <v>3221</v>
      </c>
      <c r="C10525">
        <v>11966</v>
      </c>
      <c r="D10525" t="s">
        <v>172</v>
      </c>
      <c r="E10525" t="s">
        <v>173</v>
      </c>
      <c r="F10525">
        <v>285.94</v>
      </c>
      <c r="G10525">
        <v>230901</v>
      </c>
      <c r="H10525">
        <v>4380</v>
      </c>
      <c r="I10525" t="s">
        <v>113</v>
      </c>
      <c r="J10525">
        <v>354.57</v>
      </c>
      <c r="K10525">
        <v>68.63</v>
      </c>
      <c r="L10525">
        <v>11402</v>
      </c>
      <c r="M10525" t="s">
        <v>56</v>
      </c>
      <c r="N10525" t="str">
        <f>"23202859    "</f>
        <v xml:space="preserve">23202859    </v>
      </c>
      <c r="O10525">
        <v>230912</v>
      </c>
    </row>
    <row r="10526" spans="1:15" x14ac:dyDescent="0.25">
      <c r="A10526" t="s">
        <v>16</v>
      </c>
      <c r="B10526" t="s">
        <v>3221</v>
      </c>
      <c r="C10526">
        <v>11966</v>
      </c>
      <c r="D10526" t="s">
        <v>172</v>
      </c>
      <c r="E10526" t="s">
        <v>173</v>
      </c>
      <c r="F10526">
        <v>534.38</v>
      </c>
      <c r="G10526">
        <v>230901</v>
      </c>
      <c r="H10526">
        <v>4380</v>
      </c>
      <c r="I10526" t="s">
        <v>113</v>
      </c>
      <c r="J10526">
        <v>662.63</v>
      </c>
      <c r="K10526">
        <v>128.25</v>
      </c>
      <c r="L10526">
        <v>14951</v>
      </c>
      <c r="M10526" t="s">
        <v>57</v>
      </c>
      <c r="N10526" t="str">
        <f>"23202859    "</f>
        <v xml:space="preserve">23202859    </v>
      </c>
      <c r="O10526">
        <v>230912</v>
      </c>
    </row>
    <row r="10527" spans="1:15" x14ac:dyDescent="0.25">
      <c r="A10527" t="s">
        <v>16</v>
      </c>
      <c r="B10527" t="s">
        <v>3221</v>
      </c>
      <c r="C10527">
        <v>11966</v>
      </c>
      <c r="D10527" t="s">
        <v>172</v>
      </c>
      <c r="E10527" t="s">
        <v>173</v>
      </c>
      <c r="F10527">
        <v>3804.7</v>
      </c>
      <c r="G10527">
        <v>230901</v>
      </c>
      <c r="H10527">
        <v>4380</v>
      </c>
      <c r="I10527" t="s">
        <v>113</v>
      </c>
      <c r="J10527">
        <v>4717.83</v>
      </c>
      <c r="K10527">
        <v>913.13</v>
      </c>
      <c r="L10527">
        <v>14951</v>
      </c>
      <c r="M10527" t="s">
        <v>57</v>
      </c>
      <c r="N10527" t="str">
        <f>"23202859    "</f>
        <v xml:space="preserve">23202859    </v>
      </c>
      <c r="O10527">
        <v>230912</v>
      </c>
    </row>
    <row r="10528" spans="1:15" x14ac:dyDescent="0.25">
      <c r="A10528" t="s">
        <v>16</v>
      </c>
      <c r="B10528" t="s">
        <v>3221</v>
      </c>
      <c r="C10528">
        <v>11966</v>
      </c>
      <c r="D10528" t="s">
        <v>172</v>
      </c>
      <c r="E10528" t="s">
        <v>173</v>
      </c>
      <c r="F10528">
        <v>230.06</v>
      </c>
      <c r="G10528">
        <v>230901</v>
      </c>
      <c r="H10528">
        <v>4380</v>
      </c>
      <c r="I10528" t="s">
        <v>113</v>
      </c>
      <c r="J10528">
        <v>285.27</v>
      </c>
      <c r="K10528">
        <v>55.21</v>
      </c>
      <c r="L10528">
        <v>14990</v>
      </c>
      <c r="M10528" t="s">
        <v>1725</v>
      </c>
      <c r="N10528" t="str">
        <f>"23202859    "</f>
        <v xml:space="preserve">23202859    </v>
      </c>
      <c r="O10528">
        <v>230912</v>
      </c>
    </row>
    <row r="10529" spans="1:15" x14ac:dyDescent="0.25">
      <c r="A10529" t="s">
        <v>16</v>
      </c>
      <c r="B10529" t="s">
        <v>3221</v>
      </c>
      <c r="C10529">
        <v>13788</v>
      </c>
      <c r="D10529" t="s">
        <v>172</v>
      </c>
      <c r="E10529" t="s">
        <v>173</v>
      </c>
      <c r="F10529">
        <v>285.94</v>
      </c>
      <c r="G10529">
        <v>231001</v>
      </c>
      <c r="H10529">
        <v>4380</v>
      </c>
      <c r="I10529" t="s">
        <v>113</v>
      </c>
      <c r="J10529">
        <v>354.57</v>
      </c>
      <c r="K10529">
        <v>68.63</v>
      </c>
      <c r="L10529">
        <v>11402</v>
      </c>
      <c r="M10529" t="s">
        <v>56</v>
      </c>
      <c r="N10529" t="str">
        <f>"23208766    "</f>
        <v xml:space="preserve">23208766    </v>
      </c>
      <c r="O10529">
        <v>231013</v>
      </c>
    </row>
    <row r="10530" spans="1:15" x14ac:dyDescent="0.25">
      <c r="A10530" t="s">
        <v>16</v>
      </c>
      <c r="B10530" t="s">
        <v>3221</v>
      </c>
      <c r="C10530">
        <v>13788</v>
      </c>
      <c r="D10530" t="s">
        <v>172</v>
      </c>
      <c r="E10530" t="s">
        <v>173</v>
      </c>
      <c r="F10530">
        <v>534.38</v>
      </c>
      <c r="G10530">
        <v>231001</v>
      </c>
      <c r="H10530">
        <v>4380</v>
      </c>
      <c r="I10530" t="s">
        <v>113</v>
      </c>
      <c r="J10530">
        <v>662.63</v>
      </c>
      <c r="K10530">
        <v>128.25</v>
      </c>
      <c r="L10530">
        <v>14951</v>
      </c>
      <c r="M10530" t="s">
        <v>57</v>
      </c>
      <c r="N10530" t="str">
        <f>"23208766    "</f>
        <v xml:space="preserve">23208766    </v>
      </c>
      <c r="O10530">
        <v>231013</v>
      </c>
    </row>
    <row r="10531" spans="1:15" x14ac:dyDescent="0.25">
      <c r="A10531" t="s">
        <v>16</v>
      </c>
      <c r="B10531" t="s">
        <v>3221</v>
      </c>
      <c r="C10531">
        <v>13788</v>
      </c>
      <c r="D10531" t="s">
        <v>172</v>
      </c>
      <c r="E10531" t="s">
        <v>173</v>
      </c>
      <c r="F10531">
        <v>3804.7</v>
      </c>
      <c r="G10531">
        <v>231001</v>
      </c>
      <c r="H10531">
        <v>4380</v>
      </c>
      <c r="I10531" t="s">
        <v>113</v>
      </c>
      <c r="J10531">
        <v>4717.83</v>
      </c>
      <c r="K10531">
        <v>913.13</v>
      </c>
      <c r="L10531">
        <v>14951</v>
      </c>
      <c r="M10531" t="s">
        <v>57</v>
      </c>
      <c r="N10531" t="str">
        <f>"23208766    "</f>
        <v xml:space="preserve">23208766    </v>
      </c>
      <c r="O10531">
        <v>231013</v>
      </c>
    </row>
    <row r="10532" spans="1:15" x14ac:dyDescent="0.25">
      <c r="A10532" t="s">
        <v>16</v>
      </c>
      <c r="B10532" t="s">
        <v>3221</v>
      </c>
      <c r="C10532">
        <v>13788</v>
      </c>
      <c r="D10532" t="s">
        <v>172</v>
      </c>
      <c r="E10532" t="s">
        <v>173</v>
      </c>
      <c r="F10532">
        <v>230.06</v>
      </c>
      <c r="G10532">
        <v>231001</v>
      </c>
      <c r="H10532">
        <v>4380</v>
      </c>
      <c r="I10532" t="s">
        <v>113</v>
      </c>
      <c r="J10532">
        <v>285.27</v>
      </c>
      <c r="K10532">
        <v>55.21</v>
      </c>
      <c r="L10532">
        <v>14990</v>
      </c>
      <c r="M10532" t="s">
        <v>1725</v>
      </c>
      <c r="N10532" t="str">
        <f>"23208766    "</f>
        <v xml:space="preserve">23208766    </v>
      </c>
      <c r="O10532">
        <v>231013</v>
      </c>
    </row>
    <row r="10533" spans="1:15" x14ac:dyDescent="0.25">
      <c r="A10533" t="s">
        <v>16</v>
      </c>
      <c r="B10533" t="s">
        <v>3221</v>
      </c>
      <c r="C10533">
        <v>13795</v>
      </c>
      <c r="D10533" t="s">
        <v>172</v>
      </c>
      <c r="E10533" t="s">
        <v>173</v>
      </c>
      <c r="F10533">
        <v>646.72</v>
      </c>
      <c r="G10533">
        <v>231001</v>
      </c>
      <c r="H10533">
        <v>4380</v>
      </c>
      <c r="I10533" t="s">
        <v>113</v>
      </c>
      <c r="J10533">
        <v>801.93</v>
      </c>
      <c r="K10533">
        <v>155.21</v>
      </c>
      <c r="L10533">
        <v>11401</v>
      </c>
      <c r="M10533" t="s">
        <v>84</v>
      </c>
      <c r="N10533" t="str">
        <f>"23208767    "</f>
        <v xml:space="preserve">23208767    </v>
      </c>
      <c r="O10533">
        <v>231013</v>
      </c>
    </row>
    <row r="10534" spans="1:15" x14ac:dyDescent="0.25">
      <c r="A10534" t="s">
        <v>16</v>
      </c>
      <c r="B10534" t="s">
        <v>3221</v>
      </c>
      <c r="C10534">
        <v>13795</v>
      </c>
      <c r="D10534" t="s">
        <v>172</v>
      </c>
      <c r="E10534" t="s">
        <v>173</v>
      </c>
      <c r="F10534">
        <v>1293.44</v>
      </c>
      <c r="G10534">
        <v>231001</v>
      </c>
      <c r="H10534">
        <v>4380</v>
      </c>
      <c r="I10534" t="s">
        <v>113</v>
      </c>
      <c r="J10534">
        <v>1603.86</v>
      </c>
      <c r="K10534">
        <v>310.42</v>
      </c>
      <c r="L10534">
        <v>14952</v>
      </c>
      <c r="M10534" t="s">
        <v>99</v>
      </c>
      <c r="N10534" t="str">
        <f>"23208767    "</f>
        <v xml:space="preserve">23208767    </v>
      </c>
      <c r="O10534">
        <v>231013</v>
      </c>
    </row>
    <row r="10535" spans="1:15" x14ac:dyDescent="0.25">
      <c r="A10535" t="s">
        <v>16</v>
      </c>
      <c r="B10535" t="s">
        <v>3221</v>
      </c>
      <c r="C10535">
        <v>15323</v>
      </c>
      <c r="D10535" t="s">
        <v>172</v>
      </c>
      <c r="E10535" t="s">
        <v>173</v>
      </c>
      <c r="F10535">
        <v>646.72</v>
      </c>
      <c r="G10535">
        <v>231101</v>
      </c>
      <c r="H10535">
        <v>4380</v>
      </c>
      <c r="I10535" t="s">
        <v>113</v>
      </c>
      <c r="J10535">
        <v>801.93</v>
      </c>
      <c r="K10535">
        <v>155.21</v>
      </c>
      <c r="L10535">
        <v>11401</v>
      </c>
      <c r="M10535" t="s">
        <v>84</v>
      </c>
      <c r="N10535" t="str">
        <f>"23214999    "</f>
        <v xml:space="preserve">23214999    </v>
      </c>
      <c r="O10535">
        <v>231113</v>
      </c>
    </row>
    <row r="10536" spans="1:15" x14ac:dyDescent="0.25">
      <c r="A10536" t="s">
        <v>16</v>
      </c>
      <c r="B10536" t="s">
        <v>3221</v>
      </c>
      <c r="C10536">
        <v>15323</v>
      </c>
      <c r="D10536" t="s">
        <v>172</v>
      </c>
      <c r="E10536" t="s">
        <v>173</v>
      </c>
      <c r="F10536">
        <v>1293.44</v>
      </c>
      <c r="G10536">
        <v>231101</v>
      </c>
      <c r="H10536">
        <v>4380</v>
      </c>
      <c r="I10536" t="s">
        <v>113</v>
      </c>
      <c r="J10536">
        <v>1603.86</v>
      </c>
      <c r="K10536">
        <v>310.42</v>
      </c>
      <c r="L10536">
        <v>14952</v>
      </c>
      <c r="M10536" t="s">
        <v>99</v>
      </c>
      <c r="N10536" t="str">
        <f>"23214999    "</f>
        <v xml:space="preserve">23214999    </v>
      </c>
      <c r="O10536">
        <v>231113</v>
      </c>
    </row>
    <row r="10537" spans="1:15" x14ac:dyDescent="0.25">
      <c r="A10537" t="s">
        <v>16</v>
      </c>
      <c r="B10537" t="s">
        <v>3221</v>
      </c>
      <c r="C10537">
        <v>15338</v>
      </c>
      <c r="D10537" t="s">
        <v>172</v>
      </c>
      <c r="E10537" t="s">
        <v>173</v>
      </c>
      <c r="F10537">
        <v>285.94</v>
      </c>
      <c r="G10537">
        <v>231101</v>
      </c>
      <c r="H10537">
        <v>4380</v>
      </c>
      <c r="I10537" t="s">
        <v>113</v>
      </c>
      <c r="J10537">
        <v>354.57</v>
      </c>
      <c r="K10537">
        <v>68.63</v>
      </c>
      <c r="L10537">
        <v>11402</v>
      </c>
      <c r="M10537" t="s">
        <v>56</v>
      </c>
      <c r="N10537" t="str">
        <f>"23214998    "</f>
        <v xml:space="preserve">23214998    </v>
      </c>
      <c r="O10537">
        <v>231113</v>
      </c>
    </row>
    <row r="10538" spans="1:15" x14ac:dyDescent="0.25">
      <c r="A10538" t="s">
        <v>16</v>
      </c>
      <c r="B10538" t="s">
        <v>3221</v>
      </c>
      <c r="C10538">
        <v>15338</v>
      </c>
      <c r="D10538" t="s">
        <v>172</v>
      </c>
      <c r="E10538" t="s">
        <v>173</v>
      </c>
      <c r="F10538">
        <v>534.38</v>
      </c>
      <c r="G10538">
        <v>231101</v>
      </c>
      <c r="H10538">
        <v>4380</v>
      </c>
      <c r="I10538" t="s">
        <v>113</v>
      </c>
      <c r="J10538">
        <v>662.63</v>
      </c>
      <c r="K10538">
        <v>128.25</v>
      </c>
      <c r="L10538">
        <v>14951</v>
      </c>
      <c r="M10538" t="s">
        <v>57</v>
      </c>
      <c r="N10538" t="str">
        <f>"23214998    "</f>
        <v xml:space="preserve">23214998    </v>
      </c>
      <c r="O10538">
        <v>231113</v>
      </c>
    </row>
    <row r="10539" spans="1:15" x14ac:dyDescent="0.25">
      <c r="A10539" t="s">
        <v>16</v>
      </c>
      <c r="B10539" t="s">
        <v>3221</v>
      </c>
      <c r="C10539">
        <v>15338</v>
      </c>
      <c r="D10539" t="s">
        <v>172</v>
      </c>
      <c r="E10539" t="s">
        <v>173</v>
      </c>
      <c r="F10539">
        <v>3804.7</v>
      </c>
      <c r="G10539">
        <v>231101</v>
      </c>
      <c r="H10539">
        <v>4380</v>
      </c>
      <c r="I10539" t="s">
        <v>113</v>
      </c>
      <c r="J10539">
        <v>4717.83</v>
      </c>
      <c r="K10539">
        <v>913.13</v>
      </c>
      <c r="L10539">
        <v>14951</v>
      </c>
      <c r="M10539" t="s">
        <v>57</v>
      </c>
      <c r="N10539" t="str">
        <f>"23214998    "</f>
        <v xml:space="preserve">23214998    </v>
      </c>
      <c r="O10539">
        <v>231113</v>
      </c>
    </row>
    <row r="10540" spans="1:15" x14ac:dyDescent="0.25">
      <c r="A10540" t="s">
        <v>16</v>
      </c>
      <c r="B10540" t="s">
        <v>3221</v>
      </c>
      <c r="C10540">
        <v>15338</v>
      </c>
      <c r="D10540" t="s">
        <v>172</v>
      </c>
      <c r="E10540" t="s">
        <v>173</v>
      </c>
      <c r="F10540">
        <v>230.06</v>
      </c>
      <c r="G10540">
        <v>231101</v>
      </c>
      <c r="H10540">
        <v>4380</v>
      </c>
      <c r="I10540" t="s">
        <v>113</v>
      </c>
      <c r="J10540">
        <v>285.27</v>
      </c>
      <c r="K10540">
        <v>55.21</v>
      </c>
      <c r="L10540">
        <v>14990</v>
      </c>
      <c r="M10540" t="s">
        <v>1725</v>
      </c>
      <c r="N10540" t="str">
        <f>"23214998    "</f>
        <v xml:space="preserve">23214998    </v>
      </c>
      <c r="O10540">
        <v>231113</v>
      </c>
    </row>
    <row r="10541" spans="1:15" x14ac:dyDescent="0.25">
      <c r="A10541" t="s">
        <v>16</v>
      </c>
      <c r="B10541" t="s">
        <v>3221</v>
      </c>
      <c r="C10541">
        <v>17183</v>
      </c>
      <c r="D10541" t="s">
        <v>172</v>
      </c>
      <c r="E10541" t="s">
        <v>173</v>
      </c>
      <c r="F10541">
        <v>646.72</v>
      </c>
      <c r="G10541">
        <v>231201</v>
      </c>
      <c r="H10541">
        <v>4380</v>
      </c>
      <c r="I10541" t="s">
        <v>113</v>
      </c>
      <c r="J10541">
        <v>801.93</v>
      </c>
      <c r="K10541">
        <v>155.21</v>
      </c>
      <c r="L10541">
        <v>11401</v>
      </c>
      <c r="M10541" t="s">
        <v>84</v>
      </c>
      <c r="N10541" t="str">
        <f>"23221024    "</f>
        <v xml:space="preserve">23221024    </v>
      </c>
      <c r="O10541">
        <v>231212</v>
      </c>
    </row>
    <row r="10542" spans="1:15" x14ac:dyDescent="0.25">
      <c r="A10542" t="s">
        <v>16</v>
      </c>
      <c r="B10542" t="s">
        <v>3221</v>
      </c>
      <c r="C10542">
        <v>17183</v>
      </c>
      <c r="D10542" t="s">
        <v>172</v>
      </c>
      <c r="E10542" t="s">
        <v>173</v>
      </c>
      <c r="F10542">
        <v>1293.44</v>
      </c>
      <c r="G10542">
        <v>231201</v>
      </c>
      <c r="H10542">
        <v>4380</v>
      </c>
      <c r="I10542" t="s">
        <v>113</v>
      </c>
      <c r="J10542">
        <v>1603.86</v>
      </c>
      <c r="K10542">
        <v>310.42</v>
      </c>
      <c r="L10542">
        <v>14952</v>
      </c>
      <c r="M10542" t="s">
        <v>99</v>
      </c>
      <c r="N10542" t="str">
        <f>"23221024    "</f>
        <v xml:space="preserve">23221024    </v>
      </c>
      <c r="O10542">
        <v>231212</v>
      </c>
    </row>
    <row r="10543" spans="1:15" x14ac:dyDescent="0.25">
      <c r="A10543" t="s">
        <v>16</v>
      </c>
      <c r="B10543" t="s">
        <v>3221</v>
      </c>
      <c r="C10543">
        <v>17186</v>
      </c>
      <c r="D10543" t="s">
        <v>172</v>
      </c>
      <c r="E10543" t="s">
        <v>173</v>
      </c>
      <c r="F10543">
        <v>285.94</v>
      </c>
      <c r="G10543">
        <v>231201</v>
      </c>
      <c r="H10543">
        <v>4380</v>
      </c>
      <c r="I10543" t="s">
        <v>113</v>
      </c>
      <c r="J10543">
        <v>354.57</v>
      </c>
      <c r="K10543">
        <v>68.63</v>
      </c>
      <c r="L10543">
        <v>11402</v>
      </c>
      <c r="M10543" t="s">
        <v>56</v>
      </c>
      <c r="N10543" t="str">
        <f>"23221023    "</f>
        <v xml:space="preserve">23221023    </v>
      </c>
      <c r="O10543">
        <v>231212</v>
      </c>
    </row>
    <row r="10544" spans="1:15" x14ac:dyDescent="0.25">
      <c r="A10544" t="s">
        <v>16</v>
      </c>
      <c r="B10544" t="s">
        <v>3221</v>
      </c>
      <c r="C10544">
        <v>17186</v>
      </c>
      <c r="D10544" t="s">
        <v>172</v>
      </c>
      <c r="E10544" t="s">
        <v>173</v>
      </c>
      <c r="F10544">
        <v>534.38</v>
      </c>
      <c r="G10544">
        <v>231201</v>
      </c>
      <c r="H10544">
        <v>4380</v>
      </c>
      <c r="I10544" t="s">
        <v>113</v>
      </c>
      <c r="J10544">
        <v>662.63</v>
      </c>
      <c r="K10544">
        <v>128.25</v>
      </c>
      <c r="L10544">
        <v>14951</v>
      </c>
      <c r="M10544" t="s">
        <v>57</v>
      </c>
      <c r="N10544" t="str">
        <f>"23221023    "</f>
        <v xml:space="preserve">23221023    </v>
      </c>
      <c r="O10544">
        <v>231212</v>
      </c>
    </row>
    <row r="10545" spans="1:15" x14ac:dyDescent="0.25">
      <c r="A10545" t="s">
        <v>16</v>
      </c>
      <c r="B10545" t="s">
        <v>3221</v>
      </c>
      <c r="C10545">
        <v>17186</v>
      </c>
      <c r="D10545" t="s">
        <v>172</v>
      </c>
      <c r="E10545" t="s">
        <v>173</v>
      </c>
      <c r="F10545">
        <v>3804.7</v>
      </c>
      <c r="G10545">
        <v>231201</v>
      </c>
      <c r="H10545">
        <v>4380</v>
      </c>
      <c r="I10545" t="s">
        <v>113</v>
      </c>
      <c r="J10545">
        <v>4717.83</v>
      </c>
      <c r="K10545">
        <v>913.13</v>
      </c>
      <c r="L10545">
        <v>14951</v>
      </c>
      <c r="M10545" t="s">
        <v>57</v>
      </c>
      <c r="N10545" t="str">
        <f>"23221023    "</f>
        <v xml:space="preserve">23221023    </v>
      </c>
      <c r="O10545">
        <v>231212</v>
      </c>
    </row>
    <row r="10546" spans="1:15" x14ac:dyDescent="0.25">
      <c r="A10546" t="s">
        <v>16</v>
      </c>
      <c r="B10546" t="s">
        <v>3221</v>
      </c>
      <c r="C10546">
        <v>17186</v>
      </c>
      <c r="D10546" t="s">
        <v>172</v>
      </c>
      <c r="E10546" t="s">
        <v>173</v>
      </c>
      <c r="F10546">
        <v>230.06</v>
      </c>
      <c r="G10546">
        <v>231201</v>
      </c>
      <c r="H10546">
        <v>4380</v>
      </c>
      <c r="I10546" t="s">
        <v>113</v>
      </c>
      <c r="J10546">
        <v>285.27</v>
      </c>
      <c r="K10546">
        <v>55.21</v>
      </c>
      <c r="L10546">
        <v>14990</v>
      </c>
      <c r="M10546" t="s">
        <v>1725</v>
      </c>
      <c r="N10546" t="str">
        <f>"23221023    "</f>
        <v xml:space="preserve">23221023    </v>
      </c>
      <c r="O10546">
        <v>231212</v>
      </c>
    </row>
    <row r="10547" spans="1:15" x14ac:dyDescent="0.25">
      <c r="A10547" t="s">
        <v>16</v>
      </c>
      <c r="B10547" t="s">
        <v>3221</v>
      </c>
      <c r="C10547">
        <v>854</v>
      </c>
      <c r="D10547" t="s">
        <v>172</v>
      </c>
      <c r="E10547" t="s">
        <v>173</v>
      </c>
      <c r="F10547">
        <v>97.9</v>
      </c>
      <c r="G10547">
        <v>230125</v>
      </c>
      <c r="H10547">
        <v>4550</v>
      </c>
      <c r="I10547" t="s">
        <v>312</v>
      </c>
      <c r="J10547">
        <v>121.4</v>
      </c>
      <c r="K10547">
        <v>23.5</v>
      </c>
      <c r="L10547">
        <v>11401</v>
      </c>
      <c r="M10547" t="s">
        <v>84</v>
      </c>
      <c r="N10547" t="str">
        <f>"23154789    "</f>
        <v xml:space="preserve">23154789    </v>
      </c>
      <c r="O10547">
        <v>230131</v>
      </c>
    </row>
    <row r="10548" spans="1:15" x14ac:dyDescent="0.25">
      <c r="A10548" t="s">
        <v>16</v>
      </c>
      <c r="B10548" t="s">
        <v>3221</v>
      </c>
      <c r="C10548">
        <v>854</v>
      </c>
      <c r="D10548" t="s">
        <v>172</v>
      </c>
      <c r="E10548" t="s">
        <v>173</v>
      </c>
      <c r="F10548">
        <v>195.8</v>
      </c>
      <c r="G10548">
        <v>230125</v>
      </c>
      <c r="H10548">
        <v>4550</v>
      </c>
      <c r="I10548" t="s">
        <v>312</v>
      </c>
      <c r="J10548">
        <v>242.79</v>
      </c>
      <c r="K10548">
        <v>46.99</v>
      </c>
      <c r="L10548">
        <v>14952</v>
      </c>
      <c r="M10548" t="s">
        <v>99</v>
      </c>
      <c r="N10548" t="str">
        <f>"23154789    "</f>
        <v xml:space="preserve">23154789    </v>
      </c>
      <c r="O10548">
        <v>230131</v>
      </c>
    </row>
    <row r="10549" spans="1:15" x14ac:dyDescent="0.25">
      <c r="A10549" t="s">
        <v>16</v>
      </c>
      <c r="B10549" t="s">
        <v>3221</v>
      </c>
      <c r="C10549">
        <v>2254</v>
      </c>
      <c r="D10549" t="s">
        <v>172</v>
      </c>
      <c r="E10549" t="s">
        <v>173</v>
      </c>
      <c r="F10549">
        <v>170.22</v>
      </c>
      <c r="G10549">
        <v>230213</v>
      </c>
      <c r="H10549">
        <v>4550</v>
      </c>
      <c r="I10549" t="s">
        <v>312</v>
      </c>
      <c r="J10549">
        <v>211.07</v>
      </c>
      <c r="K10549">
        <v>40.85</v>
      </c>
      <c r="L10549">
        <v>14951</v>
      </c>
      <c r="M10549" t="s">
        <v>57</v>
      </c>
      <c r="N10549" t="str">
        <f>"23160757    "</f>
        <v xml:space="preserve">23160757    </v>
      </c>
      <c r="O10549">
        <v>230223</v>
      </c>
    </row>
    <row r="10550" spans="1:15" x14ac:dyDescent="0.25">
      <c r="A10550" t="s">
        <v>16</v>
      </c>
      <c r="B10550" t="s">
        <v>3221</v>
      </c>
      <c r="C10550">
        <v>2582</v>
      </c>
      <c r="D10550" t="s">
        <v>172</v>
      </c>
      <c r="E10550" t="s">
        <v>173</v>
      </c>
      <c r="F10550">
        <v>195.18</v>
      </c>
      <c r="G10550">
        <v>230223</v>
      </c>
      <c r="H10550">
        <v>4550</v>
      </c>
      <c r="I10550" t="s">
        <v>312</v>
      </c>
      <c r="J10550">
        <v>242.02</v>
      </c>
      <c r="K10550">
        <v>46.84</v>
      </c>
      <c r="L10550">
        <v>14951</v>
      </c>
      <c r="M10550" t="s">
        <v>57</v>
      </c>
      <c r="N10550" t="str">
        <f>"23161566    "</f>
        <v xml:space="preserve">23161566    </v>
      </c>
      <c r="O10550">
        <v>230302</v>
      </c>
    </row>
    <row r="10551" spans="1:15" x14ac:dyDescent="0.25">
      <c r="A10551" t="s">
        <v>16</v>
      </c>
      <c r="B10551" t="s">
        <v>3221</v>
      </c>
      <c r="C10551">
        <v>2793</v>
      </c>
      <c r="D10551" t="s">
        <v>172</v>
      </c>
      <c r="E10551" t="s">
        <v>173</v>
      </c>
      <c r="F10551">
        <v>72.260000000000005</v>
      </c>
      <c r="G10551">
        <v>230302</v>
      </c>
      <c r="H10551">
        <v>4550</v>
      </c>
      <c r="I10551" t="s">
        <v>312</v>
      </c>
      <c r="J10551">
        <v>89.6</v>
      </c>
      <c r="K10551">
        <v>17.34</v>
      </c>
      <c r="L10551">
        <v>14952</v>
      </c>
      <c r="M10551" t="s">
        <v>99</v>
      </c>
      <c r="N10551" t="str">
        <f>"23166511    "</f>
        <v xml:space="preserve">23166511    </v>
      </c>
      <c r="O10551">
        <v>230307</v>
      </c>
    </row>
    <row r="10552" spans="1:15" x14ac:dyDescent="0.25">
      <c r="A10552" t="s">
        <v>16</v>
      </c>
      <c r="B10552" t="s">
        <v>3221</v>
      </c>
      <c r="C10552">
        <v>5616</v>
      </c>
      <c r="D10552" t="s">
        <v>172</v>
      </c>
      <c r="E10552" t="s">
        <v>173</v>
      </c>
      <c r="F10552">
        <v>124.28</v>
      </c>
      <c r="G10552">
        <v>230425</v>
      </c>
      <c r="H10552">
        <v>4550</v>
      </c>
      <c r="I10552" t="s">
        <v>312</v>
      </c>
      <c r="J10552">
        <v>154.11000000000001</v>
      </c>
      <c r="K10552">
        <v>29.83</v>
      </c>
      <c r="L10552">
        <v>14951</v>
      </c>
      <c r="M10552" t="s">
        <v>57</v>
      </c>
      <c r="N10552" t="str">
        <f>"23174670    "</f>
        <v xml:space="preserve">23174670    </v>
      </c>
      <c r="O10552">
        <v>230428</v>
      </c>
    </row>
    <row r="10553" spans="1:15" x14ac:dyDescent="0.25">
      <c r="A10553" t="s">
        <v>16</v>
      </c>
      <c r="B10553" t="s">
        <v>3221</v>
      </c>
      <c r="C10553">
        <v>5648</v>
      </c>
      <c r="D10553" t="s">
        <v>172</v>
      </c>
      <c r="E10553" t="s">
        <v>173</v>
      </c>
      <c r="F10553">
        <v>55.94</v>
      </c>
      <c r="G10553">
        <v>230425</v>
      </c>
      <c r="H10553">
        <v>4550</v>
      </c>
      <c r="I10553" t="s">
        <v>312</v>
      </c>
      <c r="J10553">
        <v>69.36</v>
      </c>
      <c r="K10553">
        <v>13.42</v>
      </c>
      <c r="L10553">
        <v>11401</v>
      </c>
      <c r="M10553" t="s">
        <v>84</v>
      </c>
      <c r="N10553" t="str">
        <f>"23174669    "</f>
        <v xml:space="preserve">23174669    </v>
      </c>
      <c r="O10553">
        <v>230428</v>
      </c>
    </row>
    <row r="10554" spans="1:15" x14ac:dyDescent="0.25">
      <c r="A10554" t="s">
        <v>16</v>
      </c>
      <c r="B10554" t="s">
        <v>3221</v>
      </c>
      <c r="C10554">
        <v>5648</v>
      </c>
      <c r="D10554" t="s">
        <v>172</v>
      </c>
      <c r="E10554" t="s">
        <v>173</v>
      </c>
      <c r="F10554">
        <v>111.89</v>
      </c>
      <c r="G10554">
        <v>230425</v>
      </c>
      <c r="H10554">
        <v>4550</v>
      </c>
      <c r="I10554" t="s">
        <v>312</v>
      </c>
      <c r="J10554">
        <v>138.74</v>
      </c>
      <c r="K10554">
        <v>26.85</v>
      </c>
      <c r="L10554">
        <v>14952</v>
      </c>
      <c r="M10554" t="s">
        <v>99</v>
      </c>
      <c r="N10554" t="str">
        <f>"23174669    "</f>
        <v xml:space="preserve">23174669    </v>
      </c>
      <c r="O10554">
        <v>230428</v>
      </c>
    </row>
    <row r="10555" spans="1:15" x14ac:dyDescent="0.25">
      <c r="A10555" t="s">
        <v>16</v>
      </c>
      <c r="B10555" t="s">
        <v>3221</v>
      </c>
      <c r="C10555">
        <v>8820</v>
      </c>
      <c r="D10555" t="s">
        <v>172</v>
      </c>
      <c r="E10555" t="s">
        <v>173</v>
      </c>
      <c r="F10555">
        <v>227.87</v>
      </c>
      <c r="G10555">
        <v>230613</v>
      </c>
      <c r="H10555">
        <v>4550</v>
      </c>
      <c r="I10555" t="s">
        <v>312</v>
      </c>
      <c r="J10555">
        <v>282.56</v>
      </c>
      <c r="K10555">
        <v>54.69</v>
      </c>
      <c r="L10555">
        <v>14951</v>
      </c>
      <c r="M10555" t="s">
        <v>57</v>
      </c>
      <c r="N10555" t="str">
        <f>"23187072    "</f>
        <v xml:space="preserve">23187072    </v>
      </c>
      <c r="O10555">
        <v>230616</v>
      </c>
    </row>
    <row r="10556" spans="1:15" x14ac:dyDescent="0.25">
      <c r="A10556" t="s">
        <v>16</v>
      </c>
      <c r="B10556" t="s">
        <v>3221</v>
      </c>
      <c r="C10556">
        <v>8931</v>
      </c>
      <c r="D10556" t="s">
        <v>172</v>
      </c>
      <c r="E10556" t="s">
        <v>173</v>
      </c>
      <c r="F10556">
        <v>23.82</v>
      </c>
      <c r="G10556">
        <v>230609</v>
      </c>
      <c r="H10556">
        <v>4550</v>
      </c>
      <c r="I10556" t="s">
        <v>312</v>
      </c>
      <c r="J10556">
        <v>29.54</v>
      </c>
      <c r="K10556">
        <v>5.72</v>
      </c>
      <c r="L10556">
        <v>11401</v>
      </c>
      <c r="M10556" t="s">
        <v>84</v>
      </c>
      <c r="N10556" t="str">
        <f>"23186959    "</f>
        <v xml:space="preserve">23186959    </v>
      </c>
      <c r="O10556">
        <v>230620</v>
      </c>
    </row>
    <row r="10557" spans="1:15" x14ac:dyDescent="0.25">
      <c r="A10557" t="s">
        <v>16</v>
      </c>
      <c r="B10557" t="s">
        <v>3221</v>
      </c>
      <c r="C10557">
        <v>8931</v>
      </c>
      <c r="D10557" t="s">
        <v>172</v>
      </c>
      <c r="E10557" t="s">
        <v>173</v>
      </c>
      <c r="F10557">
        <v>47.66</v>
      </c>
      <c r="G10557">
        <v>230609</v>
      </c>
      <c r="H10557">
        <v>4550</v>
      </c>
      <c r="I10557" t="s">
        <v>312</v>
      </c>
      <c r="J10557">
        <v>59.1</v>
      </c>
      <c r="K10557">
        <v>11.44</v>
      </c>
      <c r="L10557">
        <v>14952</v>
      </c>
      <c r="M10557" t="s">
        <v>99</v>
      </c>
      <c r="N10557" t="str">
        <f>"23186959    "</f>
        <v xml:space="preserve">23186959    </v>
      </c>
      <c r="O10557">
        <v>230620</v>
      </c>
    </row>
    <row r="10558" spans="1:15" x14ac:dyDescent="0.25">
      <c r="A10558" t="s">
        <v>16</v>
      </c>
      <c r="B10558" t="s">
        <v>3221</v>
      </c>
      <c r="C10558">
        <v>11668</v>
      </c>
      <c r="D10558" t="s">
        <v>172</v>
      </c>
      <c r="E10558" t="s">
        <v>173</v>
      </c>
      <c r="F10558">
        <v>54.96</v>
      </c>
      <c r="G10558">
        <v>230901</v>
      </c>
      <c r="H10558">
        <v>4550</v>
      </c>
      <c r="I10558" t="s">
        <v>312</v>
      </c>
      <c r="J10558">
        <v>68.150000000000006</v>
      </c>
      <c r="K10558">
        <v>13.19</v>
      </c>
      <c r="L10558">
        <v>11401</v>
      </c>
      <c r="M10558" t="s">
        <v>84</v>
      </c>
      <c r="N10558" t="str">
        <f>"23202861    "</f>
        <v xml:space="preserve">23202861    </v>
      </c>
      <c r="O10558">
        <v>230908</v>
      </c>
    </row>
    <row r="10559" spans="1:15" x14ac:dyDescent="0.25">
      <c r="A10559" t="s">
        <v>16</v>
      </c>
      <c r="B10559" t="s">
        <v>3221</v>
      </c>
      <c r="C10559">
        <v>11668</v>
      </c>
      <c r="D10559" t="s">
        <v>172</v>
      </c>
      <c r="E10559" t="s">
        <v>173</v>
      </c>
      <c r="F10559">
        <v>109.92</v>
      </c>
      <c r="G10559">
        <v>230901</v>
      </c>
      <c r="H10559">
        <v>4550</v>
      </c>
      <c r="I10559" t="s">
        <v>312</v>
      </c>
      <c r="J10559">
        <v>136.30000000000001</v>
      </c>
      <c r="K10559">
        <v>26.38</v>
      </c>
      <c r="L10559">
        <v>14952</v>
      </c>
      <c r="M10559" t="s">
        <v>99</v>
      </c>
      <c r="N10559" t="str">
        <f>"23202861    "</f>
        <v xml:space="preserve">23202861    </v>
      </c>
      <c r="O10559">
        <v>230908</v>
      </c>
    </row>
    <row r="10560" spans="1:15" x14ac:dyDescent="0.25">
      <c r="A10560" t="s">
        <v>16</v>
      </c>
      <c r="B10560" t="s">
        <v>3221</v>
      </c>
      <c r="C10560">
        <v>12460</v>
      </c>
      <c r="D10560" t="s">
        <v>172</v>
      </c>
      <c r="E10560" t="s">
        <v>173</v>
      </c>
      <c r="F10560">
        <v>180.55</v>
      </c>
      <c r="G10560">
        <v>230914</v>
      </c>
      <c r="H10560">
        <v>4550</v>
      </c>
      <c r="I10560" t="s">
        <v>312</v>
      </c>
      <c r="J10560">
        <v>223.88</v>
      </c>
      <c r="K10560">
        <v>43.33</v>
      </c>
      <c r="L10560">
        <v>14951</v>
      </c>
      <c r="M10560" t="s">
        <v>57</v>
      </c>
      <c r="N10560" t="str">
        <f>"23206255    "</f>
        <v xml:space="preserve">23206255    </v>
      </c>
      <c r="O10560">
        <v>230920</v>
      </c>
    </row>
    <row r="10561" spans="1:15" x14ac:dyDescent="0.25">
      <c r="A10561" t="s">
        <v>16</v>
      </c>
      <c r="B10561" t="s">
        <v>3221</v>
      </c>
      <c r="C10561">
        <v>13994</v>
      </c>
      <c r="D10561" t="s">
        <v>172</v>
      </c>
      <c r="E10561" t="s">
        <v>173</v>
      </c>
      <c r="F10561">
        <v>18.190000000000001</v>
      </c>
      <c r="G10561">
        <v>231012</v>
      </c>
      <c r="H10561">
        <v>4550</v>
      </c>
      <c r="I10561" t="s">
        <v>312</v>
      </c>
      <c r="J10561">
        <v>22.56</v>
      </c>
      <c r="K10561">
        <v>4.37</v>
      </c>
      <c r="L10561">
        <v>11401</v>
      </c>
      <c r="M10561" t="s">
        <v>84</v>
      </c>
      <c r="N10561" t="str">
        <f>"23212089    "</f>
        <v xml:space="preserve">23212089    </v>
      </c>
      <c r="O10561">
        <v>231017</v>
      </c>
    </row>
    <row r="10562" spans="1:15" x14ac:dyDescent="0.25">
      <c r="A10562" t="s">
        <v>16</v>
      </c>
      <c r="B10562" t="s">
        <v>3221</v>
      </c>
      <c r="C10562">
        <v>13994</v>
      </c>
      <c r="D10562" t="s">
        <v>172</v>
      </c>
      <c r="E10562" t="s">
        <v>173</v>
      </c>
      <c r="F10562">
        <v>36.4</v>
      </c>
      <c r="G10562">
        <v>231012</v>
      </c>
      <c r="H10562">
        <v>4550</v>
      </c>
      <c r="I10562" t="s">
        <v>312</v>
      </c>
      <c r="J10562">
        <v>45.13</v>
      </c>
      <c r="K10562">
        <v>8.73</v>
      </c>
      <c r="L10562">
        <v>14952</v>
      </c>
      <c r="M10562" t="s">
        <v>99</v>
      </c>
      <c r="N10562" t="str">
        <f>"23212089    "</f>
        <v xml:space="preserve">23212089    </v>
      </c>
      <c r="O10562">
        <v>231017</v>
      </c>
    </row>
    <row r="10563" spans="1:15" x14ac:dyDescent="0.25">
      <c r="A10563" t="s">
        <v>16</v>
      </c>
      <c r="B10563" t="s">
        <v>3221</v>
      </c>
      <c r="C10563">
        <v>15855</v>
      </c>
      <c r="D10563" t="s">
        <v>172</v>
      </c>
      <c r="E10563" t="s">
        <v>173</v>
      </c>
      <c r="F10563">
        <v>61.89</v>
      </c>
      <c r="G10563">
        <v>231109</v>
      </c>
      <c r="H10563">
        <v>4550</v>
      </c>
      <c r="I10563" t="s">
        <v>312</v>
      </c>
      <c r="J10563">
        <v>76.739999999999995</v>
      </c>
      <c r="K10563">
        <v>14.85</v>
      </c>
      <c r="L10563">
        <v>14951</v>
      </c>
      <c r="M10563" t="s">
        <v>57</v>
      </c>
      <c r="N10563" t="str">
        <f>"23217737    "</f>
        <v xml:space="preserve">23217737    </v>
      </c>
      <c r="O10563">
        <v>231120</v>
      </c>
    </row>
    <row r="10564" spans="1:15" x14ac:dyDescent="0.25">
      <c r="A10564" t="s">
        <v>16</v>
      </c>
      <c r="B10564" t="s">
        <v>3221</v>
      </c>
      <c r="C10564">
        <v>16298</v>
      </c>
      <c r="D10564" t="s">
        <v>172</v>
      </c>
      <c r="E10564" t="s">
        <v>173</v>
      </c>
      <c r="F10564">
        <v>40.35</v>
      </c>
      <c r="G10564">
        <v>231123</v>
      </c>
      <c r="H10564">
        <v>4550</v>
      </c>
      <c r="I10564" t="s">
        <v>312</v>
      </c>
      <c r="J10564">
        <v>50.04</v>
      </c>
      <c r="K10564">
        <v>9.69</v>
      </c>
      <c r="L10564">
        <v>11401</v>
      </c>
      <c r="M10564" t="s">
        <v>84</v>
      </c>
      <c r="N10564" t="str">
        <f>"23218756    "</f>
        <v xml:space="preserve">23218756    </v>
      </c>
      <c r="O10564">
        <v>231127</v>
      </c>
    </row>
    <row r="10565" spans="1:15" x14ac:dyDescent="0.25">
      <c r="A10565" t="s">
        <v>16</v>
      </c>
      <c r="B10565" t="s">
        <v>3221</v>
      </c>
      <c r="C10565">
        <v>16298</v>
      </c>
      <c r="D10565" t="s">
        <v>172</v>
      </c>
      <c r="E10565" t="s">
        <v>173</v>
      </c>
      <c r="F10565">
        <v>80.72</v>
      </c>
      <c r="G10565">
        <v>231123</v>
      </c>
      <c r="H10565">
        <v>4550</v>
      </c>
      <c r="I10565" t="s">
        <v>312</v>
      </c>
      <c r="J10565">
        <v>100.09</v>
      </c>
      <c r="K10565">
        <v>19.37</v>
      </c>
      <c r="L10565">
        <v>14952</v>
      </c>
      <c r="M10565" t="s">
        <v>99</v>
      </c>
      <c r="N10565" t="str">
        <f>"23218756    "</f>
        <v xml:space="preserve">23218756    </v>
      </c>
      <c r="O10565">
        <v>231127</v>
      </c>
    </row>
    <row r="10566" spans="1:15" x14ac:dyDescent="0.25">
      <c r="A10566" t="s">
        <v>16</v>
      </c>
      <c r="B10566" t="s">
        <v>3221</v>
      </c>
      <c r="C10566">
        <v>17819</v>
      </c>
      <c r="D10566" t="s">
        <v>172</v>
      </c>
      <c r="E10566" t="s">
        <v>173</v>
      </c>
      <c r="F10566">
        <v>23.82</v>
      </c>
      <c r="G10566">
        <v>231213</v>
      </c>
      <c r="H10566">
        <v>4550</v>
      </c>
      <c r="I10566" t="s">
        <v>312</v>
      </c>
      <c r="J10566">
        <v>29.54</v>
      </c>
      <c r="K10566">
        <v>5.72</v>
      </c>
      <c r="L10566">
        <v>11401</v>
      </c>
      <c r="M10566" t="s">
        <v>84</v>
      </c>
      <c r="N10566" t="str">
        <f>"23223946    "</f>
        <v xml:space="preserve">23223946    </v>
      </c>
      <c r="O10566">
        <v>231227</v>
      </c>
    </row>
    <row r="10567" spans="1:15" x14ac:dyDescent="0.25">
      <c r="A10567" t="s">
        <v>16</v>
      </c>
      <c r="B10567" t="s">
        <v>3221</v>
      </c>
      <c r="C10567">
        <v>17819</v>
      </c>
      <c r="D10567" t="s">
        <v>172</v>
      </c>
      <c r="E10567" t="s">
        <v>173</v>
      </c>
      <c r="F10567">
        <v>47.66</v>
      </c>
      <c r="G10567">
        <v>231213</v>
      </c>
      <c r="H10567">
        <v>4550</v>
      </c>
      <c r="I10567" t="s">
        <v>312</v>
      </c>
      <c r="J10567">
        <v>59.1</v>
      </c>
      <c r="K10567">
        <v>11.44</v>
      </c>
      <c r="L10567">
        <v>14952</v>
      </c>
      <c r="M10567" t="s">
        <v>99</v>
      </c>
      <c r="N10567" t="str">
        <f>"23223946    "</f>
        <v xml:space="preserve">23223946    </v>
      </c>
      <c r="O10567">
        <v>231227</v>
      </c>
    </row>
    <row r="10568" spans="1:15" x14ac:dyDescent="0.25">
      <c r="A10568" t="s">
        <v>16</v>
      </c>
      <c r="B10568" t="s">
        <v>3221</v>
      </c>
      <c r="C10568">
        <v>1211</v>
      </c>
      <c r="D10568" t="s">
        <v>954</v>
      </c>
      <c r="E10568" t="s">
        <v>955</v>
      </c>
      <c r="F10568">
        <v>6.82</v>
      </c>
      <c r="G10568">
        <v>230203</v>
      </c>
      <c r="H10568">
        <v>4860</v>
      </c>
      <c r="I10568" t="s">
        <v>28</v>
      </c>
      <c r="J10568">
        <v>8.4600000000000009</v>
      </c>
      <c r="K10568">
        <v>1.64</v>
      </c>
      <c r="L10568">
        <v>56559</v>
      </c>
      <c r="M10568" t="s">
        <v>129</v>
      </c>
      <c r="N10568" t="str">
        <f>"570182477   "</f>
        <v xml:space="preserve">570182477   </v>
      </c>
      <c r="O10568">
        <v>230206</v>
      </c>
    </row>
    <row r="10569" spans="1:15" x14ac:dyDescent="0.25">
      <c r="A10569" t="s">
        <v>16</v>
      </c>
      <c r="B10569" t="s">
        <v>3221</v>
      </c>
      <c r="C10569">
        <v>2894</v>
      </c>
      <c r="D10569" t="s">
        <v>954</v>
      </c>
      <c r="E10569" t="s">
        <v>955</v>
      </c>
      <c r="F10569">
        <v>6.82</v>
      </c>
      <c r="G10569">
        <v>230303</v>
      </c>
      <c r="H10569">
        <v>4860</v>
      </c>
      <c r="I10569" t="s">
        <v>28</v>
      </c>
      <c r="J10569">
        <v>8.4600000000000009</v>
      </c>
      <c r="K10569">
        <v>1.64</v>
      </c>
      <c r="L10569">
        <v>56559</v>
      </c>
      <c r="M10569" t="s">
        <v>129</v>
      </c>
      <c r="N10569" t="str">
        <f>"570189560   "</f>
        <v xml:space="preserve">570189560   </v>
      </c>
      <c r="O10569">
        <v>230308</v>
      </c>
    </row>
    <row r="10570" spans="1:15" x14ac:dyDescent="0.25">
      <c r="A10570" t="s">
        <v>16</v>
      </c>
      <c r="B10570" t="s">
        <v>3221</v>
      </c>
      <c r="C10570">
        <v>3569</v>
      </c>
      <c r="D10570" t="s">
        <v>954</v>
      </c>
      <c r="E10570" t="s">
        <v>955</v>
      </c>
      <c r="F10570">
        <v>40.92</v>
      </c>
      <c r="G10570">
        <v>230314</v>
      </c>
      <c r="H10570">
        <v>4860</v>
      </c>
      <c r="I10570" t="s">
        <v>28</v>
      </c>
      <c r="J10570">
        <v>50.74</v>
      </c>
      <c r="K10570">
        <v>9.82</v>
      </c>
      <c r="L10570">
        <v>59501</v>
      </c>
      <c r="M10570" t="s">
        <v>69</v>
      </c>
      <c r="N10570" t="str">
        <f>"570194169   "</f>
        <v xml:space="preserve">570194169   </v>
      </c>
      <c r="O10570">
        <v>230317</v>
      </c>
    </row>
    <row r="10571" spans="1:15" x14ac:dyDescent="0.25">
      <c r="A10571" t="s">
        <v>16</v>
      </c>
      <c r="B10571" t="s">
        <v>3221</v>
      </c>
      <c r="C10571">
        <v>4908</v>
      </c>
      <c r="D10571" t="s">
        <v>954</v>
      </c>
      <c r="E10571" t="s">
        <v>955</v>
      </c>
      <c r="F10571">
        <v>6.82</v>
      </c>
      <c r="G10571">
        <v>230405</v>
      </c>
      <c r="H10571">
        <v>4860</v>
      </c>
      <c r="I10571" t="s">
        <v>28</v>
      </c>
      <c r="J10571">
        <v>8.4600000000000009</v>
      </c>
      <c r="K10571">
        <v>1.64</v>
      </c>
      <c r="L10571">
        <v>59501</v>
      </c>
      <c r="M10571" t="s">
        <v>69</v>
      </c>
      <c r="N10571" t="str">
        <f>"570198147   "</f>
        <v xml:space="preserve">570198147   </v>
      </c>
      <c r="O10571">
        <v>230414</v>
      </c>
    </row>
    <row r="10572" spans="1:15" x14ac:dyDescent="0.25">
      <c r="A10572" t="s">
        <v>16</v>
      </c>
      <c r="B10572" t="s">
        <v>3221</v>
      </c>
      <c r="C10572">
        <v>6282</v>
      </c>
      <c r="D10572" t="s">
        <v>954</v>
      </c>
      <c r="E10572" t="s">
        <v>955</v>
      </c>
      <c r="F10572">
        <v>6.82</v>
      </c>
      <c r="G10572">
        <v>230504</v>
      </c>
      <c r="H10572">
        <v>4860</v>
      </c>
      <c r="I10572" t="s">
        <v>28</v>
      </c>
      <c r="J10572">
        <v>8.4600000000000009</v>
      </c>
      <c r="K10572">
        <v>1.64</v>
      </c>
      <c r="L10572">
        <v>56559</v>
      </c>
      <c r="M10572" t="s">
        <v>129</v>
      </c>
      <c r="N10572" t="str">
        <f>"570205728   "</f>
        <v xml:space="preserve">570205728   </v>
      </c>
      <c r="O10572">
        <v>230509</v>
      </c>
    </row>
    <row r="10573" spans="1:15" x14ac:dyDescent="0.25">
      <c r="A10573" t="s">
        <v>16</v>
      </c>
      <c r="B10573" t="s">
        <v>3221</v>
      </c>
      <c r="C10573">
        <v>8090</v>
      </c>
      <c r="D10573" t="s">
        <v>954</v>
      </c>
      <c r="E10573" t="s">
        <v>955</v>
      </c>
      <c r="F10573">
        <v>8.43</v>
      </c>
      <c r="G10573">
        <v>230605</v>
      </c>
      <c r="H10573">
        <v>4860</v>
      </c>
      <c r="I10573" t="s">
        <v>28</v>
      </c>
      <c r="J10573">
        <v>10.45</v>
      </c>
      <c r="K10573">
        <v>2.02</v>
      </c>
      <c r="L10573">
        <v>59501</v>
      </c>
      <c r="M10573" t="s">
        <v>69</v>
      </c>
      <c r="N10573" t="str">
        <f>"570214173   "</f>
        <v xml:space="preserve">570214173   </v>
      </c>
      <c r="O10573">
        <v>230607</v>
      </c>
    </row>
    <row r="10574" spans="1:15" x14ac:dyDescent="0.25">
      <c r="A10574" t="s">
        <v>16</v>
      </c>
      <c r="B10574" t="s">
        <v>3221</v>
      </c>
      <c r="C10574">
        <v>9433</v>
      </c>
      <c r="D10574" t="s">
        <v>954</v>
      </c>
      <c r="E10574" t="s">
        <v>955</v>
      </c>
      <c r="F10574">
        <v>8.43</v>
      </c>
      <c r="G10574">
        <v>230705</v>
      </c>
      <c r="H10574">
        <v>4860</v>
      </c>
      <c r="I10574" t="s">
        <v>28</v>
      </c>
      <c r="J10574">
        <v>10.45</v>
      </c>
      <c r="K10574">
        <v>2.02</v>
      </c>
      <c r="L10574">
        <v>59501</v>
      </c>
      <c r="M10574" t="s">
        <v>69</v>
      </c>
      <c r="N10574" t="str">
        <f>"570222578   "</f>
        <v xml:space="preserve">570222578   </v>
      </c>
      <c r="O10574">
        <v>230711</v>
      </c>
    </row>
    <row r="10575" spans="1:15" x14ac:dyDescent="0.25">
      <c r="A10575" t="s">
        <v>16</v>
      </c>
      <c r="B10575" t="s">
        <v>3221</v>
      </c>
      <c r="C10575">
        <v>10142</v>
      </c>
      <c r="D10575" t="s">
        <v>954</v>
      </c>
      <c r="E10575" t="s">
        <v>955</v>
      </c>
      <c r="F10575">
        <v>8.43</v>
      </c>
      <c r="G10575">
        <v>230803</v>
      </c>
      <c r="H10575">
        <v>4860</v>
      </c>
      <c r="I10575" t="s">
        <v>28</v>
      </c>
      <c r="J10575">
        <v>10.45</v>
      </c>
      <c r="K10575">
        <v>2.02</v>
      </c>
      <c r="L10575">
        <v>56559</v>
      </c>
      <c r="M10575" t="s">
        <v>129</v>
      </c>
      <c r="N10575" t="str">
        <f>"570231525   "</f>
        <v xml:space="preserve">570231525   </v>
      </c>
      <c r="O10575">
        <v>230808</v>
      </c>
    </row>
    <row r="10576" spans="1:15" x14ac:dyDescent="0.25">
      <c r="A10576" t="s">
        <v>16</v>
      </c>
      <c r="B10576" t="s">
        <v>3221</v>
      </c>
      <c r="C10576">
        <v>11526</v>
      </c>
      <c r="D10576" t="s">
        <v>954</v>
      </c>
      <c r="E10576" t="s">
        <v>955</v>
      </c>
      <c r="F10576">
        <v>8.43</v>
      </c>
      <c r="G10576">
        <v>230905</v>
      </c>
      <c r="H10576">
        <v>4860</v>
      </c>
      <c r="I10576" t="s">
        <v>28</v>
      </c>
      <c r="J10576">
        <v>10.45</v>
      </c>
      <c r="K10576">
        <v>2.02</v>
      </c>
      <c r="L10576">
        <v>56559</v>
      </c>
      <c r="M10576" t="s">
        <v>129</v>
      </c>
      <c r="N10576" t="str">
        <f>"570240091   "</f>
        <v xml:space="preserve">570240091   </v>
      </c>
      <c r="O10576">
        <v>230907</v>
      </c>
    </row>
    <row r="10577" spans="1:15" x14ac:dyDescent="0.25">
      <c r="A10577" t="s">
        <v>16</v>
      </c>
      <c r="B10577" t="s">
        <v>3221</v>
      </c>
      <c r="C10577">
        <v>12290</v>
      </c>
      <c r="D10577" t="s">
        <v>954</v>
      </c>
      <c r="E10577" t="s">
        <v>955</v>
      </c>
      <c r="F10577">
        <v>50.58</v>
      </c>
      <c r="G10577">
        <v>230911</v>
      </c>
      <c r="H10577">
        <v>4860</v>
      </c>
      <c r="I10577" t="s">
        <v>28</v>
      </c>
      <c r="J10577">
        <v>62.72</v>
      </c>
      <c r="K10577">
        <v>12.14</v>
      </c>
      <c r="L10577">
        <v>56559</v>
      </c>
      <c r="M10577" t="s">
        <v>129</v>
      </c>
      <c r="N10577" t="str">
        <f>"570244831   "</f>
        <v xml:space="preserve">570244831   </v>
      </c>
      <c r="O10577">
        <v>230918</v>
      </c>
    </row>
    <row r="10578" spans="1:15" x14ac:dyDescent="0.25">
      <c r="A10578" t="s">
        <v>16</v>
      </c>
      <c r="B10578" t="s">
        <v>3221</v>
      </c>
      <c r="C10578">
        <v>14075</v>
      </c>
      <c r="D10578" t="s">
        <v>954</v>
      </c>
      <c r="E10578" t="s">
        <v>955</v>
      </c>
      <c r="F10578">
        <v>8.43</v>
      </c>
      <c r="G10578">
        <v>231004</v>
      </c>
      <c r="H10578">
        <v>4860</v>
      </c>
      <c r="I10578" t="s">
        <v>28</v>
      </c>
      <c r="J10578">
        <v>10.45</v>
      </c>
      <c r="K10578">
        <v>2.02</v>
      </c>
      <c r="L10578">
        <v>56559</v>
      </c>
      <c r="M10578" t="s">
        <v>129</v>
      </c>
      <c r="N10578" t="str">
        <f>"570249471   "</f>
        <v xml:space="preserve">570249471   </v>
      </c>
      <c r="O10578">
        <v>231018</v>
      </c>
    </row>
    <row r="10579" spans="1:15" x14ac:dyDescent="0.25">
      <c r="A10579" t="s">
        <v>16</v>
      </c>
      <c r="B10579" t="s">
        <v>3221</v>
      </c>
      <c r="C10579">
        <v>15073</v>
      </c>
      <c r="D10579" t="s">
        <v>954</v>
      </c>
      <c r="E10579" t="s">
        <v>955</v>
      </c>
      <c r="F10579">
        <v>8.43</v>
      </c>
      <c r="G10579">
        <v>231103</v>
      </c>
      <c r="H10579">
        <v>4860</v>
      </c>
      <c r="I10579" t="s">
        <v>28</v>
      </c>
      <c r="J10579">
        <v>10.45</v>
      </c>
      <c r="K10579">
        <v>2.02</v>
      </c>
      <c r="L10579">
        <v>56559</v>
      </c>
      <c r="M10579" t="s">
        <v>129</v>
      </c>
      <c r="N10579" t="str">
        <f>"570258598   "</f>
        <v xml:space="preserve">570258598   </v>
      </c>
      <c r="O10579">
        <v>231108</v>
      </c>
    </row>
    <row r="10580" spans="1:15" x14ac:dyDescent="0.25">
      <c r="A10580" t="s">
        <v>16</v>
      </c>
      <c r="B10580" t="s">
        <v>3221</v>
      </c>
      <c r="C10580">
        <v>16921</v>
      </c>
      <c r="D10580" t="s">
        <v>954</v>
      </c>
      <c r="E10580" t="s">
        <v>955</v>
      </c>
      <c r="F10580">
        <v>8.43</v>
      </c>
      <c r="G10580">
        <v>231205</v>
      </c>
      <c r="H10580">
        <v>4860</v>
      </c>
      <c r="I10580" t="s">
        <v>28</v>
      </c>
      <c r="J10580">
        <v>10.45</v>
      </c>
      <c r="K10580">
        <v>2.02</v>
      </c>
      <c r="L10580">
        <v>56559</v>
      </c>
      <c r="M10580" t="s">
        <v>129</v>
      </c>
      <c r="N10580" t="str">
        <f>"570267259   "</f>
        <v xml:space="preserve">570267259   </v>
      </c>
      <c r="O10580">
        <v>231211</v>
      </c>
    </row>
    <row r="10581" spans="1:15" x14ac:dyDescent="0.25">
      <c r="A10581" t="s">
        <v>16</v>
      </c>
      <c r="B10581" t="s">
        <v>3221</v>
      </c>
      <c r="C10581">
        <v>15786</v>
      </c>
      <c r="D10581" t="s">
        <v>954</v>
      </c>
      <c r="E10581" t="s">
        <v>955</v>
      </c>
      <c r="F10581">
        <v>769.25</v>
      </c>
      <c r="G10581">
        <v>231110</v>
      </c>
      <c r="H10581">
        <v>4380</v>
      </c>
      <c r="I10581" t="s">
        <v>113</v>
      </c>
      <c r="J10581">
        <v>953.87</v>
      </c>
      <c r="K10581">
        <v>184.62</v>
      </c>
      <c r="L10581">
        <v>56559</v>
      </c>
      <c r="M10581" t="s">
        <v>129</v>
      </c>
      <c r="N10581" t="str">
        <f>"570263446   "</f>
        <v xml:space="preserve">570263446   </v>
      </c>
      <c r="O10581">
        <v>231117</v>
      </c>
    </row>
    <row r="10582" spans="1:15" x14ac:dyDescent="0.25">
      <c r="A10582" t="s">
        <v>16</v>
      </c>
      <c r="B10582" t="s">
        <v>3221</v>
      </c>
      <c r="C10582">
        <v>19049</v>
      </c>
      <c r="D10582" t="s">
        <v>2983</v>
      </c>
      <c r="E10582" t="s">
        <v>2984</v>
      </c>
      <c r="F10582">
        <v>41.1</v>
      </c>
      <c r="G10582">
        <v>240104</v>
      </c>
      <c r="H10582">
        <v>4600</v>
      </c>
      <c r="I10582" t="s">
        <v>105</v>
      </c>
      <c r="J10582">
        <v>50.96</v>
      </c>
      <c r="K10582">
        <v>9.86</v>
      </c>
      <c r="L10582">
        <v>14951</v>
      </c>
      <c r="M10582" t="s">
        <v>57</v>
      </c>
      <c r="N10582" t="str">
        <f>"713539546   "</f>
        <v xml:space="preserve">713539546   </v>
      </c>
      <c r="O10582">
        <v>240110</v>
      </c>
    </row>
    <row r="10583" spans="1:15" x14ac:dyDescent="0.25">
      <c r="A10583" t="s">
        <v>16</v>
      </c>
      <c r="B10583" t="s">
        <v>3221</v>
      </c>
      <c r="C10583">
        <v>16487</v>
      </c>
      <c r="D10583" t="s">
        <v>2983</v>
      </c>
      <c r="E10583" t="s">
        <v>2984</v>
      </c>
      <c r="F10583">
        <v>43</v>
      </c>
      <c r="G10583">
        <v>231124</v>
      </c>
      <c r="H10583">
        <v>4380</v>
      </c>
      <c r="I10583" t="s">
        <v>113</v>
      </c>
      <c r="J10583">
        <v>53.32</v>
      </c>
      <c r="K10583">
        <v>10.32</v>
      </c>
      <c r="L10583">
        <v>56559</v>
      </c>
      <c r="M10583" t="s">
        <v>129</v>
      </c>
      <c r="N10583" t="str">
        <f>"713466109   "</f>
        <v xml:space="preserve">713466109   </v>
      </c>
      <c r="O10583">
        <v>231201</v>
      </c>
    </row>
    <row r="10584" spans="1:15" x14ac:dyDescent="0.25">
      <c r="A10584" t="s">
        <v>16</v>
      </c>
      <c r="B10584" t="s">
        <v>3221</v>
      </c>
      <c r="C10584">
        <v>11290</v>
      </c>
      <c r="D10584" t="s">
        <v>2475</v>
      </c>
      <c r="E10584" t="s">
        <v>2476</v>
      </c>
      <c r="F10584">
        <v>662.31</v>
      </c>
      <c r="G10584">
        <v>230823</v>
      </c>
      <c r="H10584">
        <v>4390</v>
      </c>
      <c r="I10584" t="s">
        <v>98</v>
      </c>
      <c r="J10584">
        <v>821.27</v>
      </c>
      <c r="K10584">
        <v>158.96</v>
      </c>
      <c r="L10584">
        <v>59501</v>
      </c>
      <c r="M10584" t="s">
        <v>69</v>
      </c>
      <c r="N10584" t="str">
        <f>"1692        "</f>
        <v xml:space="preserve">1692        </v>
      </c>
      <c r="O10584">
        <v>230904</v>
      </c>
    </row>
    <row r="10585" spans="1:15" x14ac:dyDescent="0.25">
      <c r="A10585" t="s">
        <v>16</v>
      </c>
      <c r="B10585" t="s">
        <v>3221</v>
      </c>
      <c r="C10585">
        <v>9895</v>
      </c>
      <c r="D10585" t="s">
        <v>2335</v>
      </c>
      <c r="E10585" t="s">
        <v>2336</v>
      </c>
      <c r="F10585">
        <v>791.07</v>
      </c>
      <c r="G10585">
        <v>230726</v>
      </c>
      <c r="H10585">
        <v>4600</v>
      </c>
      <c r="I10585" t="s">
        <v>105</v>
      </c>
      <c r="J10585">
        <v>980.93</v>
      </c>
      <c r="K10585">
        <v>189.86</v>
      </c>
      <c r="L10585">
        <v>17538</v>
      </c>
      <c r="M10585" t="s">
        <v>24</v>
      </c>
      <c r="N10585" t="str">
        <f>"302         "</f>
        <v xml:space="preserve">302         </v>
      </c>
      <c r="O10585">
        <v>230731</v>
      </c>
    </row>
    <row r="10586" spans="1:15" x14ac:dyDescent="0.25">
      <c r="A10586" t="s">
        <v>16</v>
      </c>
      <c r="B10586" t="s">
        <v>3221</v>
      </c>
      <c r="C10586">
        <v>10797</v>
      </c>
      <c r="D10586" t="s">
        <v>2335</v>
      </c>
      <c r="E10586" t="s">
        <v>2336</v>
      </c>
      <c r="F10586">
        <v>70</v>
      </c>
      <c r="G10586">
        <v>230814</v>
      </c>
      <c r="H10586">
        <v>4600</v>
      </c>
      <c r="I10586" t="s">
        <v>105</v>
      </c>
      <c r="J10586">
        <v>86.8</v>
      </c>
      <c r="K10586">
        <v>16.8</v>
      </c>
      <c r="L10586">
        <v>17538</v>
      </c>
      <c r="M10586" t="s">
        <v>24</v>
      </c>
      <c r="N10586" t="str">
        <f>"304         "</f>
        <v xml:space="preserve">304         </v>
      </c>
      <c r="O10586">
        <v>230823</v>
      </c>
    </row>
    <row r="10587" spans="1:15" x14ac:dyDescent="0.25">
      <c r="A10587" t="s">
        <v>16</v>
      </c>
      <c r="B10587" t="s">
        <v>3221</v>
      </c>
      <c r="C10587">
        <v>8321</v>
      </c>
      <c r="D10587" t="s">
        <v>2168</v>
      </c>
      <c r="E10587" t="s">
        <v>2169</v>
      </c>
      <c r="F10587">
        <v>159.80000000000001</v>
      </c>
      <c r="G10587">
        <v>230526</v>
      </c>
      <c r="H10587">
        <v>4400</v>
      </c>
      <c r="I10587" t="s">
        <v>348</v>
      </c>
      <c r="J10587">
        <v>198.15</v>
      </c>
      <c r="K10587">
        <v>38.35</v>
      </c>
      <c r="L10587">
        <v>17521</v>
      </c>
      <c r="M10587" t="s">
        <v>133</v>
      </c>
      <c r="N10587" t="str">
        <f>"1001004682  "</f>
        <v xml:space="preserve">1001004682  </v>
      </c>
      <c r="O10587">
        <v>230608</v>
      </c>
    </row>
    <row r="10588" spans="1:15" x14ac:dyDescent="0.25">
      <c r="A10588" t="s">
        <v>16</v>
      </c>
      <c r="B10588" t="s">
        <v>3221</v>
      </c>
      <c r="C10588">
        <v>10456</v>
      </c>
      <c r="D10588" t="s">
        <v>2381</v>
      </c>
      <c r="E10588" t="s">
        <v>2382</v>
      </c>
      <c r="F10588">
        <v>79</v>
      </c>
      <c r="G10588">
        <v>230807</v>
      </c>
      <c r="H10588">
        <v>4347</v>
      </c>
      <c r="I10588" t="s">
        <v>193</v>
      </c>
      <c r="J10588">
        <v>97.96</v>
      </c>
      <c r="K10588">
        <v>18.96</v>
      </c>
      <c r="L10588">
        <v>59504</v>
      </c>
      <c r="M10588" t="s">
        <v>71</v>
      </c>
      <c r="N10588" t="str">
        <f>"1230800054  "</f>
        <v xml:space="preserve">1230800054  </v>
      </c>
      <c r="O10588">
        <v>230816</v>
      </c>
    </row>
    <row r="10589" spans="1:15" x14ac:dyDescent="0.25">
      <c r="A10589" t="s">
        <v>16</v>
      </c>
      <c r="B10589" t="s">
        <v>3221</v>
      </c>
      <c r="C10589">
        <v>10024</v>
      </c>
      <c r="D10589" t="s">
        <v>3503</v>
      </c>
      <c r="E10589" t="s">
        <v>3504</v>
      </c>
      <c r="F10589">
        <v>100</v>
      </c>
      <c r="G10589">
        <v>230807</v>
      </c>
      <c r="H10589">
        <v>4820</v>
      </c>
      <c r="I10589" t="s">
        <v>50</v>
      </c>
      <c r="J10589">
        <v>100</v>
      </c>
      <c r="K10589">
        <v>0</v>
      </c>
      <c r="L10589">
        <v>17972</v>
      </c>
      <c r="M10589" t="s">
        <v>248</v>
      </c>
      <c r="N10589" t="str">
        <f>"070823      "</f>
        <v xml:space="preserve">070823      </v>
      </c>
      <c r="O10589">
        <v>230807</v>
      </c>
    </row>
    <row r="10590" spans="1:15" x14ac:dyDescent="0.25">
      <c r="A10590" t="s">
        <v>16</v>
      </c>
      <c r="B10590" t="s">
        <v>3221</v>
      </c>
      <c r="C10590">
        <v>14953</v>
      </c>
      <c r="D10590" t="s">
        <v>2820</v>
      </c>
      <c r="E10590" t="s">
        <v>2821</v>
      </c>
      <c r="F10590">
        <v>334.84</v>
      </c>
      <c r="G10590">
        <v>231101</v>
      </c>
      <c r="H10590">
        <v>4500</v>
      </c>
      <c r="I10590" t="s">
        <v>212</v>
      </c>
      <c r="J10590">
        <v>415.2</v>
      </c>
      <c r="K10590">
        <v>80.36</v>
      </c>
      <c r="L10590">
        <v>13801</v>
      </c>
      <c r="M10590" t="s">
        <v>162</v>
      </c>
      <c r="N10590" t="str">
        <f>"30232752    "</f>
        <v xml:space="preserve">30232752    </v>
      </c>
      <c r="O10590">
        <v>231107</v>
      </c>
    </row>
    <row r="10591" spans="1:15" x14ac:dyDescent="0.25">
      <c r="A10591" t="s">
        <v>16</v>
      </c>
      <c r="B10591" t="s">
        <v>3221</v>
      </c>
      <c r="C10591">
        <v>11866</v>
      </c>
      <c r="D10591" t="s">
        <v>1067</v>
      </c>
      <c r="E10591" t="s">
        <v>1068</v>
      </c>
      <c r="F10591">
        <v>95.45</v>
      </c>
      <c r="G10591">
        <v>230907</v>
      </c>
      <c r="H10591">
        <v>4510</v>
      </c>
      <c r="I10591" t="s">
        <v>42</v>
      </c>
      <c r="J10591">
        <v>105</v>
      </c>
      <c r="K10591">
        <v>9.5500000000000007</v>
      </c>
      <c r="L10591">
        <v>13801</v>
      </c>
      <c r="M10591" t="s">
        <v>162</v>
      </c>
      <c r="N10591" t="str">
        <f>"801750      "</f>
        <v xml:space="preserve">801750      </v>
      </c>
      <c r="O10591">
        <v>230911</v>
      </c>
    </row>
    <row r="10592" spans="1:15" x14ac:dyDescent="0.25">
      <c r="A10592" t="s">
        <v>16</v>
      </c>
      <c r="B10592" t="s">
        <v>3221</v>
      </c>
      <c r="C10592">
        <v>14771</v>
      </c>
      <c r="D10592" t="s">
        <v>1067</v>
      </c>
      <c r="E10592" t="s">
        <v>1068</v>
      </c>
      <c r="F10592">
        <v>23.86</v>
      </c>
      <c r="G10592">
        <v>231024</v>
      </c>
      <c r="H10592">
        <v>4510</v>
      </c>
      <c r="I10592" t="s">
        <v>42</v>
      </c>
      <c r="J10592">
        <v>26.25</v>
      </c>
      <c r="K10592">
        <v>2.39</v>
      </c>
      <c r="L10592">
        <v>13801</v>
      </c>
      <c r="M10592" t="s">
        <v>162</v>
      </c>
      <c r="N10592" t="str">
        <f>"801855      "</f>
        <v xml:space="preserve">801855      </v>
      </c>
      <c r="O10592">
        <v>231106</v>
      </c>
    </row>
    <row r="10593" spans="1:15" x14ac:dyDescent="0.25">
      <c r="A10593" t="s">
        <v>16</v>
      </c>
      <c r="B10593" t="s">
        <v>3221</v>
      </c>
      <c r="C10593">
        <v>1510</v>
      </c>
      <c r="D10593" t="s">
        <v>1067</v>
      </c>
      <c r="E10593" t="s">
        <v>1068</v>
      </c>
      <c r="F10593">
        <v>1209</v>
      </c>
      <c r="G10593">
        <v>230131</v>
      </c>
      <c r="H10593">
        <v>4940</v>
      </c>
      <c r="I10593" t="s">
        <v>514</v>
      </c>
      <c r="J10593">
        <v>1499.16</v>
      </c>
      <c r="K10593">
        <v>290.16000000000003</v>
      </c>
      <c r="L10593">
        <v>66722</v>
      </c>
      <c r="M10593" t="s">
        <v>518</v>
      </c>
      <c r="N10593" t="str">
        <f>"3231059     "</f>
        <v xml:space="preserve">3231059     </v>
      </c>
      <c r="O10593">
        <v>230209</v>
      </c>
    </row>
    <row r="10594" spans="1:15" x14ac:dyDescent="0.25">
      <c r="A10594" t="s">
        <v>16</v>
      </c>
      <c r="B10594" t="s">
        <v>3221</v>
      </c>
      <c r="C10594">
        <v>5891</v>
      </c>
      <c r="D10594" t="s">
        <v>1067</v>
      </c>
      <c r="E10594" t="s">
        <v>1068</v>
      </c>
      <c r="F10594">
        <v>13.64</v>
      </c>
      <c r="G10594">
        <v>230425</v>
      </c>
      <c r="H10594">
        <v>4440</v>
      </c>
      <c r="I10594" t="s">
        <v>250</v>
      </c>
      <c r="J10594">
        <v>15</v>
      </c>
      <c r="K10594">
        <v>1.36</v>
      </c>
      <c r="L10594">
        <v>65422</v>
      </c>
      <c r="M10594" t="s">
        <v>602</v>
      </c>
      <c r="N10594" t="str">
        <f>"3231281     "</f>
        <v xml:space="preserve">3231281     </v>
      </c>
      <c r="O10594">
        <v>230503</v>
      </c>
    </row>
    <row r="10595" spans="1:15" x14ac:dyDescent="0.25">
      <c r="A10595" t="s">
        <v>16</v>
      </c>
      <c r="B10595" t="s">
        <v>3221</v>
      </c>
      <c r="C10595">
        <v>5891</v>
      </c>
      <c r="D10595" t="s">
        <v>1067</v>
      </c>
      <c r="E10595" t="s">
        <v>1068</v>
      </c>
      <c r="F10595">
        <v>13.64</v>
      </c>
      <c r="G10595">
        <v>230425</v>
      </c>
      <c r="H10595">
        <v>4440</v>
      </c>
      <c r="I10595" t="s">
        <v>250</v>
      </c>
      <c r="J10595">
        <v>15</v>
      </c>
      <c r="K10595">
        <v>1.36</v>
      </c>
      <c r="L10595">
        <v>66722</v>
      </c>
      <c r="M10595" t="s">
        <v>518</v>
      </c>
      <c r="N10595" t="str">
        <f>"3231281     "</f>
        <v xml:space="preserve">3231281     </v>
      </c>
      <c r="O10595">
        <v>230503</v>
      </c>
    </row>
    <row r="10596" spans="1:15" x14ac:dyDescent="0.25">
      <c r="A10596" t="s">
        <v>16</v>
      </c>
      <c r="B10596" t="s">
        <v>3221</v>
      </c>
      <c r="C10596">
        <v>11893</v>
      </c>
      <c r="D10596" t="s">
        <v>2520</v>
      </c>
      <c r="E10596" t="s">
        <v>2521</v>
      </c>
      <c r="F10596">
        <v>28500</v>
      </c>
      <c r="G10596">
        <v>230905</v>
      </c>
      <c r="H10596">
        <v>1198</v>
      </c>
      <c r="I10596" t="s">
        <v>1128</v>
      </c>
      <c r="J10596">
        <v>35340</v>
      </c>
      <c r="K10596">
        <v>6840</v>
      </c>
      <c r="L10596">
        <v>97511</v>
      </c>
      <c r="M10596" t="s">
        <v>2522</v>
      </c>
      <c r="N10596" t="str">
        <f>"146786      "</f>
        <v xml:space="preserve">146786      </v>
      </c>
      <c r="O10596">
        <v>230911</v>
      </c>
    </row>
    <row r="10597" spans="1:15" x14ac:dyDescent="0.25">
      <c r="A10597" t="s">
        <v>16</v>
      </c>
      <c r="B10597" t="s">
        <v>3221</v>
      </c>
      <c r="C10597">
        <v>7663</v>
      </c>
      <c r="D10597" t="s">
        <v>2112</v>
      </c>
      <c r="E10597" t="s">
        <v>2113</v>
      </c>
      <c r="F10597">
        <v>2542.8000000000002</v>
      </c>
      <c r="G10597">
        <v>230522</v>
      </c>
      <c r="H10597">
        <v>4400</v>
      </c>
      <c r="I10597" t="s">
        <v>348</v>
      </c>
      <c r="J10597">
        <v>3153.07</v>
      </c>
      <c r="K10597">
        <v>610.27</v>
      </c>
      <c r="L10597">
        <v>17521</v>
      </c>
      <c r="M10597" t="s">
        <v>133</v>
      </c>
      <c r="N10597" t="str">
        <f>"319993      "</f>
        <v xml:space="preserve">319993      </v>
      </c>
      <c r="O10597">
        <v>230601</v>
      </c>
    </row>
    <row r="10598" spans="1:15" x14ac:dyDescent="0.25">
      <c r="A10598" t="s">
        <v>16</v>
      </c>
      <c r="B10598" t="s">
        <v>3221</v>
      </c>
      <c r="C10598">
        <v>8505</v>
      </c>
      <c r="D10598" t="s">
        <v>2112</v>
      </c>
      <c r="E10598" t="s">
        <v>2113</v>
      </c>
      <c r="F10598">
        <v>502.55</v>
      </c>
      <c r="G10598">
        <v>230605</v>
      </c>
      <c r="H10598">
        <v>4400</v>
      </c>
      <c r="I10598" t="s">
        <v>348</v>
      </c>
      <c r="J10598">
        <v>623.16</v>
      </c>
      <c r="K10598">
        <v>120.61</v>
      </c>
      <c r="L10598">
        <v>56558</v>
      </c>
      <c r="M10598" t="s">
        <v>217</v>
      </c>
      <c r="N10598" t="str">
        <f>"320037      "</f>
        <v xml:space="preserve">320037      </v>
      </c>
      <c r="O10598">
        <v>230609</v>
      </c>
    </row>
    <row r="10599" spans="1:15" x14ac:dyDescent="0.25">
      <c r="A10599" t="s">
        <v>16</v>
      </c>
      <c r="B10599" t="s">
        <v>3221</v>
      </c>
      <c r="C10599">
        <v>13637</v>
      </c>
      <c r="D10599" t="s">
        <v>2112</v>
      </c>
      <c r="E10599" t="s">
        <v>2113</v>
      </c>
      <c r="F10599">
        <v>633.65</v>
      </c>
      <c r="G10599">
        <v>230930</v>
      </c>
      <c r="H10599">
        <v>4400</v>
      </c>
      <c r="I10599" t="s">
        <v>348</v>
      </c>
      <c r="J10599">
        <v>785.73</v>
      </c>
      <c r="K10599">
        <v>152.08000000000001</v>
      </c>
      <c r="L10599">
        <v>56558</v>
      </c>
      <c r="M10599" t="s">
        <v>217</v>
      </c>
      <c r="N10599" t="str">
        <f>"320328      "</f>
        <v xml:space="preserve">320328      </v>
      </c>
      <c r="O10599">
        <v>231012</v>
      </c>
    </row>
    <row r="10600" spans="1:15" x14ac:dyDescent="0.25">
      <c r="A10600" t="s">
        <v>16</v>
      </c>
      <c r="B10600" t="s">
        <v>3221</v>
      </c>
      <c r="C10600">
        <v>13641</v>
      </c>
      <c r="D10600" t="s">
        <v>2112</v>
      </c>
      <c r="E10600" t="s">
        <v>2113</v>
      </c>
      <c r="F10600">
        <v>651.35</v>
      </c>
      <c r="G10600">
        <v>230930</v>
      </c>
      <c r="H10600">
        <v>4400</v>
      </c>
      <c r="I10600" t="s">
        <v>348</v>
      </c>
      <c r="J10600">
        <v>807.67</v>
      </c>
      <c r="K10600">
        <v>156.32</v>
      </c>
      <c r="L10600">
        <v>56558</v>
      </c>
      <c r="M10600" t="s">
        <v>217</v>
      </c>
      <c r="N10600" t="str">
        <f>"320332      "</f>
        <v xml:space="preserve">320332      </v>
      </c>
      <c r="O10600">
        <v>231012</v>
      </c>
    </row>
    <row r="10601" spans="1:15" x14ac:dyDescent="0.25">
      <c r="A10601" t="s">
        <v>16</v>
      </c>
      <c r="B10601" t="s">
        <v>3221</v>
      </c>
      <c r="C10601">
        <v>7745</v>
      </c>
      <c r="D10601" t="s">
        <v>2125</v>
      </c>
      <c r="E10601" t="s">
        <v>2126</v>
      </c>
      <c r="F10601">
        <v>338.71</v>
      </c>
      <c r="G10601">
        <v>230531</v>
      </c>
      <c r="H10601">
        <v>4600</v>
      </c>
      <c r="I10601" t="s">
        <v>105</v>
      </c>
      <c r="J10601">
        <v>420</v>
      </c>
      <c r="K10601">
        <v>81.290000000000006</v>
      </c>
      <c r="L10601">
        <v>14972</v>
      </c>
      <c r="M10601" t="s">
        <v>898</v>
      </c>
      <c r="N10601" t="str">
        <f>"12925       "</f>
        <v xml:space="preserve">12925       </v>
      </c>
      <c r="O10601">
        <v>230602</v>
      </c>
    </row>
    <row r="10602" spans="1:15" x14ac:dyDescent="0.25">
      <c r="A10602" t="s">
        <v>16</v>
      </c>
      <c r="B10602" t="s">
        <v>3221</v>
      </c>
      <c r="C10602">
        <v>14966</v>
      </c>
      <c r="D10602" t="s">
        <v>2826</v>
      </c>
      <c r="E10602" t="s">
        <v>2827</v>
      </c>
      <c r="F10602">
        <v>150</v>
      </c>
      <c r="G10602">
        <v>231101</v>
      </c>
      <c r="H10602">
        <v>4840</v>
      </c>
      <c r="I10602" t="s">
        <v>19</v>
      </c>
      <c r="J10602">
        <v>186</v>
      </c>
      <c r="K10602">
        <v>36</v>
      </c>
      <c r="L10602">
        <v>17952</v>
      </c>
      <c r="M10602" t="s">
        <v>88</v>
      </c>
      <c r="N10602" t="str">
        <f>"776         "</f>
        <v xml:space="preserve">776         </v>
      </c>
      <c r="O10602">
        <v>231107</v>
      </c>
    </row>
    <row r="10603" spans="1:15" x14ac:dyDescent="0.25">
      <c r="A10603" t="s">
        <v>16</v>
      </c>
      <c r="B10603" t="s">
        <v>3221</v>
      </c>
      <c r="C10603">
        <v>14966</v>
      </c>
      <c r="D10603" t="s">
        <v>2826</v>
      </c>
      <c r="E10603" t="s">
        <v>2827</v>
      </c>
      <c r="F10603">
        <v>520</v>
      </c>
      <c r="G10603">
        <v>231101</v>
      </c>
      <c r="H10603">
        <v>4420</v>
      </c>
      <c r="I10603" t="s">
        <v>132</v>
      </c>
      <c r="J10603">
        <v>644.79999999999995</v>
      </c>
      <c r="K10603">
        <v>124.8</v>
      </c>
      <c r="L10603">
        <v>17952</v>
      </c>
      <c r="M10603" t="s">
        <v>88</v>
      </c>
      <c r="N10603" t="str">
        <f>"776         "</f>
        <v xml:space="preserve">776         </v>
      </c>
      <c r="O10603">
        <v>231107</v>
      </c>
    </row>
    <row r="10604" spans="1:15" x14ac:dyDescent="0.25">
      <c r="A10604" t="s">
        <v>16</v>
      </c>
      <c r="B10604" t="s">
        <v>3221</v>
      </c>
      <c r="C10604">
        <v>14966</v>
      </c>
      <c r="D10604" t="s">
        <v>2826</v>
      </c>
      <c r="E10604" t="s">
        <v>2827</v>
      </c>
      <c r="F10604">
        <v>26</v>
      </c>
      <c r="G10604">
        <v>231101</v>
      </c>
      <c r="H10604">
        <v>4560</v>
      </c>
      <c r="I10604" t="s">
        <v>345</v>
      </c>
      <c r="J10604">
        <v>32.24</v>
      </c>
      <c r="K10604">
        <v>6.24</v>
      </c>
      <c r="L10604">
        <v>17952</v>
      </c>
      <c r="M10604" t="s">
        <v>88</v>
      </c>
      <c r="N10604" t="str">
        <f>"776         "</f>
        <v xml:space="preserve">776         </v>
      </c>
      <c r="O10604">
        <v>231107</v>
      </c>
    </row>
    <row r="10605" spans="1:15" x14ac:dyDescent="0.25">
      <c r="A10605" t="s">
        <v>16</v>
      </c>
      <c r="B10605" t="s">
        <v>3221</v>
      </c>
      <c r="C10605">
        <v>4243</v>
      </c>
      <c r="D10605" t="s">
        <v>210</v>
      </c>
      <c r="E10605" t="s">
        <v>211</v>
      </c>
      <c r="F10605">
        <v>194.23</v>
      </c>
      <c r="G10605">
        <v>230324</v>
      </c>
      <c r="H10605">
        <v>4600</v>
      </c>
      <c r="I10605" t="s">
        <v>105</v>
      </c>
      <c r="J10605">
        <v>240.85</v>
      </c>
      <c r="K10605">
        <v>46.62</v>
      </c>
      <c r="L10605">
        <v>17646</v>
      </c>
      <c r="M10605" t="s">
        <v>1616</v>
      </c>
      <c r="N10605" t="str">
        <f>"40057       "</f>
        <v xml:space="preserve">40057       </v>
      </c>
      <c r="O10605">
        <v>230403</v>
      </c>
    </row>
    <row r="10606" spans="1:15" x14ac:dyDescent="0.25">
      <c r="A10606" t="s">
        <v>16</v>
      </c>
      <c r="B10606" t="s">
        <v>3221</v>
      </c>
      <c r="C10606">
        <v>6486</v>
      </c>
      <c r="D10606" t="s">
        <v>210</v>
      </c>
      <c r="E10606" t="s">
        <v>211</v>
      </c>
      <c r="F10606">
        <v>77.099999999999994</v>
      </c>
      <c r="G10606">
        <v>230505</v>
      </c>
      <c r="H10606">
        <v>4600</v>
      </c>
      <c r="I10606" t="s">
        <v>105</v>
      </c>
      <c r="J10606">
        <v>95.6</v>
      </c>
      <c r="K10606">
        <v>18.5</v>
      </c>
      <c r="L10606">
        <v>17532</v>
      </c>
      <c r="M10606" t="s">
        <v>543</v>
      </c>
      <c r="N10606" t="str">
        <f>"41029       "</f>
        <v xml:space="preserve">41029       </v>
      </c>
      <c r="O10606">
        <v>230512</v>
      </c>
    </row>
    <row r="10607" spans="1:15" x14ac:dyDescent="0.25">
      <c r="A10607" t="s">
        <v>16</v>
      </c>
      <c r="B10607" t="s">
        <v>3221</v>
      </c>
      <c r="C10607">
        <v>10486</v>
      </c>
      <c r="D10607" t="s">
        <v>210</v>
      </c>
      <c r="E10607" t="s">
        <v>211</v>
      </c>
      <c r="F10607">
        <v>57.35</v>
      </c>
      <c r="G10607">
        <v>230803</v>
      </c>
      <c r="H10607">
        <v>4600</v>
      </c>
      <c r="I10607" t="s">
        <v>105</v>
      </c>
      <c r="J10607">
        <v>57.35</v>
      </c>
      <c r="K10607">
        <v>0</v>
      </c>
      <c r="L10607">
        <v>17972</v>
      </c>
      <c r="M10607" t="s">
        <v>248</v>
      </c>
      <c r="N10607" t="str">
        <f>"42268       "</f>
        <v xml:space="preserve">42268       </v>
      </c>
      <c r="O10607">
        <v>230817</v>
      </c>
    </row>
    <row r="10608" spans="1:15" x14ac:dyDescent="0.25">
      <c r="A10608" t="s">
        <v>16</v>
      </c>
      <c r="B10608" t="s">
        <v>3221</v>
      </c>
      <c r="C10608">
        <v>11038</v>
      </c>
      <c r="D10608" t="s">
        <v>210</v>
      </c>
      <c r="E10608" t="s">
        <v>211</v>
      </c>
      <c r="F10608">
        <v>149.47999999999999</v>
      </c>
      <c r="G10608">
        <v>230822</v>
      </c>
      <c r="H10608">
        <v>4600</v>
      </c>
      <c r="I10608" t="s">
        <v>105</v>
      </c>
      <c r="J10608">
        <v>185.35</v>
      </c>
      <c r="K10608">
        <v>35.869999999999997</v>
      </c>
      <c r="L10608">
        <v>17646</v>
      </c>
      <c r="M10608" t="s">
        <v>1616</v>
      </c>
      <c r="N10608" t="str">
        <f>"42652       "</f>
        <v xml:space="preserve">42652       </v>
      </c>
      <c r="O10608">
        <v>230828</v>
      </c>
    </row>
    <row r="10609" spans="1:15" x14ac:dyDescent="0.25">
      <c r="A10609" t="s">
        <v>16</v>
      </c>
      <c r="B10609" t="s">
        <v>3221</v>
      </c>
      <c r="C10609">
        <v>12099</v>
      </c>
      <c r="D10609" t="s">
        <v>210</v>
      </c>
      <c r="E10609" t="s">
        <v>211</v>
      </c>
      <c r="F10609">
        <v>114.62</v>
      </c>
      <c r="G10609">
        <v>230905</v>
      </c>
      <c r="H10609">
        <v>4600</v>
      </c>
      <c r="I10609" t="s">
        <v>105</v>
      </c>
      <c r="J10609">
        <v>142.13</v>
      </c>
      <c r="K10609">
        <v>27.51</v>
      </c>
      <c r="L10609">
        <v>17532</v>
      </c>
      <c r="M10609" t="s">
        <v>543</v>
      </c>
      <c r="N10609" t="str">
        <f>"43029       "</f>
        <v xml:space="preserve">43029       </v>
      </c>
      <c r="O10609">
        <v>230914</v>
      </c>
    </row>
    <row r="10610" spans="1:15" x14ac:dyDescent="0.25">
      <c r="A10610" t="s">
        <v>16</v>
      </c>
      <c r="B10610" t="s">
        <v>3221</v>
      </c>
      <c r="C10610">
        <v>17758</v>
      </c>
      <c r="D10610" t="s">
        <v>210</v>
      </c>
      <c r="E10610" t="s">
        <v>211</v>
      </c>
      <c r="F10610">
        <v>127.32</v>
      </c>
      <c r="G10610">
        <v>231211</v>
      </c>
      <c r="H10610">
        <v>4600</v>
      </c>
      <c r="I10610" t="s">
        <v>105</v>
      </c>
      <c r="J10610">
        <v>157.88</v>
      </c>
      <c r="K10610">
        <v>30.56</v>
      </c>
      <c r="L10610">
        <v>17646</v>
      </c>
      <c r="M10610" t="s">
        <v>1616</v>
      </c>
      <c r="N10610" t="str">
        <f>"339         "</f>
        <v xml:space="preserve">339         </v>
      </c>
      <c r="O10610">
        <v>231222</v>
      </c>
    </row>
    <row r="10611" spans="1:15" x14ac:dyDescent="0.25">
      <c r="A10611" t="s">
        <v>16</v>
      </c>
      <c r="B10611" t="s">
        <v>3221</v>
      </c>
      <c r="C10611">
        <v>143</v>
      </c>
      <c r="D10611" t="s">
        <v>210</v>
      </c>
      <c r="E10611" t="s">
        <v>211</v>
      </c>
      <c r="F10611">
        <v>110.56</v>
      </c>
      <c r="G10611">
        <v>230107</v>
      </c>
      <c r="H10611">
        <v>4500</v>
      </c>
      <c r="I10611" t="s">
        <v>212</v>
      </c>
      <c r="J10611">
        <v>137.1</v>
      </c>
      <c r="K10611">
        <v>26.54</v>
      </c>
      <c r="L10611">
        <v>13802</v>
      </c>
      <c r="M10611" t="s">
        <v>200</v>
      </c>
      <c r="N10611" t="str">
        <f>"37584       "</f>
        <v xml:space="preserve">37584       </v>
      </c>
      <c r="O10611">
        <v>230112</v>
      </c>
    </row>
    <row r="10612" spans="1:15" x14ac:dyDescent="0.25">
      <c r="A10612" t="s">
        <v>16</v>
      </c>
      <c r="B10612" t="s">
        <v>3221</v>
      </c>
      <c r="C10612">
        <v>1468</v>
      </c>
      <c r="D10612" t="s">
        <v>1052</v>
      </c>
      <c r="E10612" t="s">
        <v>1053</v>
      </c>
      <c r="F10612">
        <v>3627.39</v>
      </c>
      <c r="G10612">
        <v>230127</v>
      </c>
      <c r="H10612">
        <v>4554</v>
      </c>
      <c r="I10612" t="s">
        <v>371</v>
      </c>
      <c r="J10612">
        <v>4135.2299999999996</v>
      </c>
      <c r="K10612">
        <v>507.84</v>
      </c>
      <c r="L10612">
        <v>17737</v>
      </c>
      <c r="M10612" t="s">
        <v>279</v>
      </c>
      <c r="N10612" t="str">
        <f>"130002693   "</f>
        <v xml:space="preserve">130002693   </v>
      </c>
      <c r="O10612">
        <v>230209</v>
      </c>
    </row>
    <row r="10613" spans="1:15" x14ac:dyDescent="0.25">
      <c r="A10613" t="s">
        <v>16</v>
      </c>
      <c r="B10613" t="s">
        <v>3221</v>
      </c>
      <c r="C10613">
        <v>6320</v>
      </c>
      <c r="D10613" t="s">
        <v>1052</v>
      </c>
      <c r="E10613" t="s">
        <v>1053</v>
      </c>
      <c r="F10613">
        <v>5602.2</v>
      </c>
      <c r="G10613">
        <v>230428</v>
      </c>
      <c r="H10613">
        <v>4554</v>
      </c>
      <c r="I10613" t="s">
        <v>371</v>
      </c>
      <c r="J10613">
        <v>6386.51</v>
      </c>
      <c r="K10613">
        <v>784.31</v>
      </c>
      <c r="L10613">
        <v>17737</v>
      </c>
      <c r="M10613" t="s">
        <v>279</v>
      </c>
      <c r="N10613" t="str">
        <f>"130015483   "</f>
        <v xml:space="preserve">130015483   </v>
      </c>
      <c r="O10613">
        <v>230510</v>
      </c>
    </row>
    <row r="10614" spans="1:15" x14ac:dyDescent="0.25">
      <c r="A10614" t="s">
        <v>16</v>
      </c>
      <c r="B10614" t="s">
        <v>3221</v>
      </c>
      <c r="C10614">
        <v>919</v>
      </c>
      <c r="D10614" t="s">
        <v>792</v>
      </c>
      <c r="E10614" t="s">
        <v>793</v>
      </c>
      <c r="F10614">
        <v>212.5</v>
      </c>
      <c r="G10614">
        <v>230124</v>
      </c>
      <c r="H10614">
        <v>4580</v>
      </c>
      <c r="I10614" t="s">
        <v>35</v>
      </c>
      <c r="J10614">
        <v>263.5</v>
      </c>
      <c r="K10614">
        <v>51</v>
      </c>
      <c r="L10614">
        <v>17521</v>
      </c>
      <c r="M10614" t="s">
        <v>133</v>
      </c>
      <c r="N10614" t="str">
        <f>"20 / 1989373"</f>
        <v>20 / 1989373</v>
      </c>
      <c r="O10614">
        <v>230201</v>
      </c>
    </row>
    <row r="10615" spans="1:15" x14ac:dyDescent="0.25">
      <c r="A10615" t="s">
        <v>16</v>
      </c>
      <c r="B10615" t="s">
        <v>3221</v>
      </c>
      <c r="C10615">
        <v>15011</v>
      </c>
      <c r="D10615" t="s">
        <v>3302</v>
      </c>
      <c r="E10615" t="s">
        <v>3303</v>
      </c>
      <c r="F10615">
        <v>9.1999999999999993</v>
      </c>
      <c r="G10615">
        <v>231018</v>
      </c>
      <c r="H10615">
        <v>4410</v>
      </c>
      <c r="I10615" t="s">
        <v>517</v>
      </c>
      <c r="J10615">
        <v>9.1999999999999993</v>
      </c>
      <c r="K10615">
        <v>0</v>
      </c>
      <c r="L10615">
        <v>17538</v>
      </c>
      <c r="M10615" t="s">
        <v>24</v>
      </c>
      <c r="N10615" t="str">
        <f>"9220045840  "</f>
        <v xml:space="preserve">9220045840  </v>
      </c>
      <c r="O10615">
        <v>231108</v>
      </c>
    </row>
    <row r="10616" spans="1:15" x14ac:dyDescent="0.25">
      <c r="A10616" t="s">
        <v>16</v>
      </c>
      <c r="B10616" t="s">
        <v>3221</v>
      </c>
      <c r="C10616">
        <v>15011</v>
      </c>
      <c r="D10616" t="s">
        <v>3302</v>
      </c>
      <c r="E10616" t="s">
        <v>3303</v>
      </c>
      <c r="F10616">
        <v>100.86</v>
      </c>
      <c r="G10616">
        <v>231018</v>
      </c>
      <c r="H10616">
        <v>4420</v>
      </c>
      <c r="I10616" t="s">
        <v>132</v>
      </c>
      <c r="J10616">
        <v>100.86</v>
      </c>
      <c r="K10616">
        <v>0</v>
      </c>
      <c r="L10616">
        <v>17538</v>
      </c>
      <c r="M10616" t="s">
        <v>24</v>
      </c>
      <c r="N10616" t="str">
        <f>"9220045840  "</f>
        <v xml:space="preserve">9220045840  </v>
      </c>
      <c r="O10616">
        <v>231108</v>
      </c>
    </row>
    <row r="10617" spans="1:15" x14ac:dyDescent="0.25">
      <c r="A10617" t="s">
        <v>16</v>
      </c>
      <c r="B10617" t="s">
        <v>3221</v>
      </c>
      <c r="C10617">
        <v>15011</v>
      </c>
      <c r="D10617" t="s">
        <v>3302</v>
      </c>
      <c r="E10617" t="s">
        <v>3303</v>
      </c>
      <c r="F10617">
        <v>413.55</v>
      </c>
      <c r="G10617">
        <v>231018</v>
      </c>
      <c r="H10617">
        <v>4420</v>
      </c>
      <c r="I10617" t="s">
        <v>132</v>
      </c>
      <c r="J10617">
        <v>454.9</v>
      </c>
      <c r="K10617">
        <v>41.35</v>
      </c>
      <c r="L10617">
        <v>17538</v>
      </c>
      <c r="M10617" t="s">
        <v>24</v>
      </c>
      <c r="N10617" t="str">
        <f>"9220045840  "</f>
        <v xml:space="preserve">9220045840  </v>
      </c>
      <c r="O10617">
        <v>231108</v>
      </c>
    </row>
    <row r="10618" spans="1:15" x14ac:dyDescent="0.25">
      <c r="A10618" t="s">
        <v>16</v>
      </c>
      <c r="B10618" t="s">
        <v>3221</v>
      </c>
      <c r="C10618">
        <v>15013</v>
      </c>
      <c r="D10618" t="s">
        <v>3302</v>
      </c>
      <c r="E10618" t="s">
        <v>3303</v>
      </c>
      <c r="F10618">
        <v>96</v>
      </c>
      <c r="G10618">
        <v>231018</v>
      </c>
      <c r="H10618">
        <v>4420</v>
      </c>
      <c r="I10618" t="s">
        <v>132</v>
      </c>
      <c r="J10618">
        <v>96</v>
      </c>
      <c r="K10618">
        <v>0</v>
      </c>
      <c r="L10618">
        <v>17538</v>
      </c>
      <c r="M10618" t="s">
        <v>24</v>
      </c>
      <c r="N10618" t="str">
        <f>"9220045841  "</f>
        <v xml:space="preserve">9220045841  </v>
      </c>
      <c r="O10618">
        <v>231108</v>
      </c>
    </row>
    <row r="10619" spans="1:15" x14ac:dyDescent="0.25">
      <c r="A10619" t="s">
        <v>16</v>
      </c>
      <c r="B10619" t="s">
        <v>3221</v>
      </c>
      <c r="C10619">
        <v>15011</v>
      </c>
      <c r="D10619" t="s">
        <v>3302</v>
      </c>
      <c r="E10619" t="s">
        <v>3303</v>
      </c>
      <c r="F10619">
        <v>27</v>
      </c>
      <c r="G10619">
        <v>231018</v>
      </c>
      <c r="H10619">
        <v>4470</v>
      </c>
      <c r="I10619" t="s">
        <v>83</v>
      </c>
      <c r="J10619">
        <v>33.479999999999997</v>
      </c>
      <c r="K10619">
        <v>6.48</v>
      </c>
      <c r="L10619">
        <v>17538</v>
      </c>
      <c r="M10619" t="s">
        <v>24</v>
      </c>
      <c r="N10619" t="str">
        <f>"9220045840  "</f>
        <v xml:space="preserve">9220045840  </v>
      </c>
      <c r="O10619">
        <v>231108</v>
      </c>
    </row>
    <row r="10620" spans="1:15" x14ac:dyDescent="0.25">
      <c r="A10620" t="s">
        <v>16</v>
      </c>
      <c r="B10620" t="s">
        <v>3221</v>
      </c>
      <c r="C10620">
        <v>15429</v>
      </c>
      <c r="D10620" t="s">
        <v>2870</v>
      </c>
      <c r="E10620" t="s">
        <v>2871</v>
      </c>
      <c r="F10620">
        <v>6.45</v>
      </c>
      <c r="G10620">
        <v>231109</v>
      </c>
      <c r="H10620">
        <v>4412</v>
      </c>
      <c r="I10620" t="s">
        <v>149</v>
      </c>
      <c r="J10620">
        <v>8</v>
      </c>
      <c r="K10620">
        <v>1.55</v>
      </c>
      <c r="L10620">
        <v>10003</v>
      </c>
      <c r="M10620" t="s">
        <v>2070</v>
      </c>
      <c r="N10620" t="str">
        <f>"85662       "</f>
        <v xml:space="preserve">85662       </v>
      </c>
      <c r="O10620">
        <v>231113</v>
      </c>
    </row>
    <row r="10621" spans="1:15" x14ac:dyDescent="0.25">
      <c r="A10621" t="s">
        <v>16</v>
      </c>
      <c r="B10621" t="s">
        <v>3221</v>
      </c>
      <c r="C10621">
        <v>15429</v>
      </c>
      <c r="D10621" t="s">
        <v>2870</v>
      </c>
      <c r="E10621" t="s">
        <v>2871</v>
      </c>
      <c r="F10621">
        <v>34</v>
      </c>
      <c r="G10621">
        <v>231109</v>
      </c>
      <c r="H10621">
        <v>4412</v>
      </c>
      <c r="I10621" t="s">
        <v>149</v>
      </c>
      <c r="J10621">
        <v>34</v>
      </c>
      <c r="K10621">
        <v>0</v>
      </c>
      <c r="L10621">
        <v>10003</v>
      </c>
      <c r="M10621" t="s">
        <v>2070</v>
      </c>
      <c r="N10621" t="str">
        <f>"85662       "</f>
        <v xml:space="preserve">85662       </v>
      </c>
      <c r="O10621">
        <v>231113</v>
      </c>
    </row>
    <row r="10622" spans="1:15" x14ac:dyDescent="0.25">
      <c r="A10622" t="s">
        <v>16</v>
      </c>
      <c r="B10622" t="s">
        <v>3221</v>
      </c>
      <c r="C10622">
        <v>15429</v>
      </c>
      <c r="D10622" t="s">
        <v>2870</v>
      </c>
      <c r="E10622" t="s">
        <v>2871</v>
      </c>
      <c r="F10622">
        <v>236.36</v>
      </c>
      <c r="G10622">
        <v>231109</v>
      </c>
      <c r="H10622">
        <v>4412</v>
      </c>
      <c r="I10622" t="s">
        <v>149</v>
      </c>
      <c r="J10622">
        <v>260</v>
      </c>
      <c r="K10622">
        <v>23.64</v>
      </c>
      <c r="L10622">
        <v>10003</v>
      </c>
      <c r="M10622" t="s">
        <v>2070</v>
      </c>
      <c r="N10622" t="str">
        <f>"85662       "</f>
        <v xml:space="preserve">85662       </v>
      </c>
      <c r="O10622">
        <v>231113</v>
      </c>
    </row>
    <row r="10623" spans="1:15" x14ac:dyDescent="0.25">
      <c r="A10623" t="s">
        <v>16</v>
      </c>
      <c r="B10623" t="s">
        <v>3221</v>
      </c>
      <c r="C10623">
        <v>15430</v>
      </c>
      <c r="D10623" t="s">
        <v>2870</v>
      </c>
      <c r="E10623" t="s">
        <v>2871</v>
      </c>
      <c r="F10623">
        <v>6.45</v>
      </c>
      <c r="G10623">
        <v>231109</v>
      </c>
      <c r="H10623">
        <v>4412</v>
      </c>
      <c r="I10623" t="s">
        <v>149</v>
      </c>
      <c r="J10623">
        <v>8</v>
      </c>
      <c r="K10623">
        <v>1.55</v>
      </c>
      <c r="L10623">
        <v>10003</v>
      </c>
      <c r="M10623" t="s">
        <v>2070</v>
      </c>
      <c r="N10623" t="str">
        <f>"85665       "</f>
        <v xml:space="preserve">85665       </v>
      </c>
      <c r="O10623">
        <v>231113</v>
      </c>
    </row>
    <row r="10624" spans="1:15" x14ac:dyDescent="0.25">
      <c r="A10624" t="s">
        <v>16</v>
      </c>
      <c r="B10624" t="s">
        <v>3221</v>
      </c>
      <c r="C10624">
        <v>15430</v>
      </c>
      <c r="D10624" t="s">
        <v>2870</v>
      </c>
      <c r="E10624" t="s">
        <v>2871</v>
      </c>
      <c r="F10624">
        <v>34</v>
      </c>
      <c r="G10624">
        <v>231109</v>
      </c>
      <c r="H10624">
        <v>4412</v>
      </c>
      <c r="I10624" t="s">
        <v>149</v>
      </c>
      <c r="J10624">
        <v>34</v>
      </c>
      <c r="K10624">
        <v>0</v>
      </c>
      <c r="L10624">
        <v>10003</v>
      </c>
      <c r="M10624" t="s">
        <v>2070</v>
      </c>
      <c r="N10624" t="str">
        <f>"85665       "</f>
        <v xml:space="preserve">85665       </v>
      </c>
      <c r="O10624">
        <v>231113</v>
      </c>
    </row>
    <row r="10625" spans="1:15" x14ac:dyDescent="0.25">
      <c r="A10625" t="s">
        <v>16</v>
      </c>
      <c r="B10625" t="s">
        <v>3221</v>
      </c>
      <c r="C10625">
        <v>15430</v>
      </c>
      <c r="D10625" t="s">
        <v>2870</v>
      </c>
      <c r="E10625" t="s">
        <v>2871</v>
      </c>
      <c r="F10625">
        <v>236.36</v>
      </c>
      <c r="G10625">
        <v>231109</v>
      </c>
      <c r="H10625">
        <v>4412</v>
      </c>
      <c r="I10625" t="s">
        <v>149</v>
      </c>
      <c r="J10625">
        <v>260</v>
      </c>
      <c r="K10625">
        <v>23.64</v>
      </c>
      <c r="L10625">
        <v>10003</v>
      </c>
      <c r="M10625" t="s">
        <v>2070</v>
      </c>
      <c r="N10625" t="str">
        <f>"85665       "</f>
        <v xml:space="preserve">85665       </v>
      </c>
      <c r="O10625">
        <v>231113</v>
      </c>
    </row>
    <row r="10626" spans="1:15" x14ac:dyDescent="0.25">
      <c r="A10626" t="s">
        <v>16</v>
      </c>
      <c r="B10626" t="s">
        <v>3221</v>
      </c>
      <c r="C10626">
        <v>15441</v>
      </c>
      <c r="D10626" t="s">
        <v>2870</v>
      </c>
      <c r="E10626" t="s">
        <v>2871</v>
      </c>
      <c r="F10626">
        <v>6.45</v>
      </c>
      <c r="G10626">
        <v>231109</v>
      </c>
      <c r="H10626">
        <v>4412</v>
      </c>
      <c r="I10626" t="s">
        <v>149</v>
      </c>
      <c r="J10626">
        <v>8</v>
      </c>
      <c r="K10626">
        <v>1.55</v>
      </c>
      <c r="L10626">
        <v>10003</v>
      </c>
      <c r="M10626" t="s">
        <v>2070</v>
      </c>
      <c r="N10626" t="str">
        <f>"85663       "</f>
        <v xml:space="preserve">85663       </v>
      </c>
      <c r="O10626">
        <v>231113</v>
      </c>
    </row>
    <row r="10627" spans="1:15" x14ac:dyDescent="0.25">
      <c r="A10627" t="s">
        <v>16</v>
      </c>
      <c r="B10627" t="s">
        <v>3221</v>
      </c>
      <c r="C10627">
        <v>15441</v>
      </c>
      <c r="D10627" t="s">
        <v>2870</v>
      </c>
      <c r="E10627" t="s">
        <v>2871</v>
      </c>
      <c r="F10627">
        <v>34</v>
      </c>
      <c r="G10627">
        <v>231109</v>
      </c>
      <c r="H10627">
        <v>4412</v>
      </c>
      <c r="I10627" t="s">
        <v>149</v>
      </c>
      <c r="J10627">
        <v>34</v>
      </c>
      <c r="K10627">
        <v>0</v>
      </c>
      <c r="L10627">
        <v>10003</v>
      </c>
      <c r="M10627" t="s">
        <v>2070</v>
      </c>
      <c r="N10627" t="str">
        <f>"85663       "</f>
        <v xml:space="preserve">85663       </v>
      </c>
      <c r="O10627">
        <v>231113</v>
      </c>
    </row>
    <row r="10628" spans="1:15" x14ac:dyDescent="0.25">
      <c r="A10628" t="s">
        <v>16</v>
      </c>
      <c r="B10628" t="s">
        <v>3221</v>
      </c>
      <c r="C10628">
        <v>15441</v>
      </c>
      <c r="D10628" t="s">
        <v>2870</v>
      </c>
      <c r="E10628" t="s">
        <v>2871</v>
      </c>
      <c r="F10628">
        <v>236.36</v>
      </c>
      <c r="G10628">
        <v>231109</v>
      </c>
      <c r="H10628">
        <v>4412</v>
      </c>
      <c r="I10628" t="s">
        <v>149</v>
      </c>
      <c r="J10628">
        <v>260</v>
      </c>
      <c r="K10628">
        <v>23.64</v>
      </c>
      <c r="L10628">
        <v>10003</v>
      </c>
      <c r="M10628" t="s">
        <v>2070</v>
      </c>
      <c r="N10628" t="str">
        <f>"85663       "</f>
        <v xml:space="preserve">85663       </v>
      </c>
      <c r="O10628">
        <v>231113</v>
      </c>
    </row>
    <row r="10629" spans="1:15" x14ac:dyDescent="0.25">
      <c r="A10629" t="s">
        <v>16</v>
      </c>
      <c r="B10629" t="s">
        <v>3221</v>
      </c>
      <c r="C10629">
        <v>15456</v>
      </c>
      <c r="D10629" t="s">
        <v>2870</v>
      </c>
      <c r="E10629" t="s">
        <v>2871</v>
      </c>
      <c r="F10629">
        <v>6.45</v>
      </c>
      <c r="G10629">
        <v>231109</v>
      </c>
      <c r="H10629">
        <v>4412</v>
      </c>
      <c r="I10629" t="s">
        <v>149</v>
      </c>
      <c r="J10629">
        <v>8</v>
      </c>
      <c r="K10629">
        <v>1.55</v>
      </c>
      <c r="L10629">
        <v>10003</v>
      </c>
      <c r="M10629" t="s">
        <v>2070</v>
      </c>
      <c r="N10629" t="str">
        <f>"85661       "</f>
        <v xml:space="preserve">85661       </v>
      </c>
      <c r="O10629">
        <v>231113</v>
      </c>
    </row>
    <row r="10630" spans="1:15" x14ac:dyDescent="0.25">
      <c r="A10630" t="s">
        <v>16</v>
      </c>
      <c r="B10630" t="s">
        <v>3221</v>
      </c>
      <c r="C10630">
        <v>15456</v>
      </c>
      <c r="D10630" t="s">
        <v>2870</v>
      </c>
      <c r="E10630" t="s">
        <v>2871</v>
      </c>
      <c r="F10630">
        <v>34</v>
      </c>
      <c r="G10630">
        <v>231109</v>
      </c>
      <c r="H10630">
        <v>4412</v>
      </c>
      <c r="I10630" t="s">
        <v>149</v>
      </c>
      <c r="J10630">
        <v>34</v>
      </c>
      <c r="K10630">
        <v>0</v>
      </c>
      <c r="L10630">
        <v>10003</v>
      </c>
      <c r="M10630" t="s">
        <v>2070</v>
      </c>
      <c r="N10630" t="str">
        <f>"85661       "</f>
        <v xml:space="preserve">85661       </v>
      </c>
      <c r="O10630">
        <v>231113</v>
      </c>
    </row>
    <row r="10631" spans="1:15" x14ac:dyDescent="0.25">
      <c r="A10631" t="s">
        <v>16</v>
      </c>
      <c r="B10631" t="s">
        <v>3221</v>
      </c>
      <c r="C10631">
        <v>15456</v>
      </c>
      <c r="D10631" t="s">
        <v>2870</v>
      </c>
      <c r="E10631" t="s">
        <v>2871</v>
      </c>
      <c r="F10631">
        <v>236.36</v>
      </c>
      <c r="G10631">
        <v>231109</v>
      </c>
      <c r="H10631">
        <v>4412</v>
      </c>
      <c r="I10631" t="s">
        <v>149</v>
      </c>
      <c r="J10631">
        <v>260</v>
      </c>
      <c r="K10631">
        <v>23.64</v>
      </c>
      <c r="L10631">
        <v>10003</v>
      </c>
      <c r="M10631" t="s">
        <v>2070</v>
      </c>
      <c r="N10631" t="str">
        <f>"85661       "</f>
        <v xml:space="preserve">85661       </v>
      </c>
      <c r="O10631">
        <v>231113</v>
      </c>
    </row>
    <row r="10632" spans="1:15" x14ac:dyDescent="0.25">
      <c r="A10632" t="s">
        <v>16</v>
      </c>
      <c r="B10632" t="s">
        <v>3221</v>
      </c>
      <c r="C10632">
        <v>15430</v>
      </c>
      <c r="D10632" t="s">
        <v>2870</v>
      </c>
      <c r="E10632" t="s">
        <v>2871</v>
      </c>
      <c r="F10632">
        <v>50</v>
      </c>
      <c r="G10632">
        <v>231109</v>
      </c>
      <c r="H10632">
        <v>4425</v>
      </c>
      <c r="I10632" t="s">
        <v>1345</v>
      </c>
      <c r="J10632">
        <v>62</v>
      </c>
      <c r="K10632">
        <v>12</v>
      </c>
      <c r="L10632">
        <v>10003</v>
      </c>
      <c r="M10632" t="s">
        <v>2070</v>
      </c>
      <c r="N10632" t="str">
        <f>"85665       "</f>
        <v xml:space="preserve">85665       </v>
      </c>
      <c r="O10632">
        <v>231113</v>
      </c>
    </row>
    <row r="10633" spans="1:15" x14ac:dyDescent="0.25">
      <c r="A10633" t="s">
        <v>16</v>
      </c>
      <c r="B10633" t="s">
        <v>3221</v>
      </c>
      <c r="C10633">
        <v>5349</v>
      </c>
      <c r="D10633" t="s">
        <v>3431</v>
      </c>
      <c r="E10633" t="s">
        <v>3432</v>
      </c>
      <c r="F10633">
        <v>241.94</v>
      </c>
      <c r="G10633">
        <v>230406</v>
      </c>
      <c r="H10633">
        <v>4820</v>
      </c>
      <c r="I10633" t="s">
        <v>50</v>
      </c>
      <c r="J10633">
        <v>300</v>
      </c>
      <c r="K10633">
        <v>58.06</v>
      </c>
      <c r="L10633">
        <v>18420</v>
      </c>
      <c r="M10633" t="s">
        <v>1489</v>
      </c>
      <c r="N10633" t="str">
        <f>"6001428024  "</f>
        <v xml:space="preserve">6001428024  </v>
      </c>
      <c r="O10633">
        <v>230421</v>
      </c>
    </row>
    <row r="10634" spans="1:15" x14ac:dyDescent="0.25">
      <c r="A10634" t="s">
        <v>16</v>
      </c>
      <c r="B10634" t="s">
        <v>3221</v>
      </c>
      <c r="C10634">
        <v>8693</v>
      </c>
      <c r="D10634" t="s">
        <v>3431</v>
      </c>
      <c r="E10634" t="s">
        <v>3432</v>
      </c>
      <c r="F10634">
        <v>403.23</v>
      </c>
      <c r="G10634">
        <v>230608</v>
      </c>
      <c r="H10634">
        <v>4820</v>
      </c>
      <c r="I10634" t="s">
        <v>50</v>
      </c>
      <c r="J10634">
        <v>500</v>
      </c>
      <c r="K10634">
        <v>96.77</v>
      </c>
      <c r="L10634">
        <v>18420</v>
      </c>
      <c r="M10634" t="s">
        <v>1489</v>
      </c>
      <c r="N10634" t="str">
        <f>"6001456191  "</f>
        <v xml:space="preserve">6001456191  </v>
      </c>
      <c r="O10634">
        <v>230613</v>
      </c>
    </row>
    <row r="10635" spans="1:15" x14ac:dyDescent="0.25">
      <c r="A10635" t="s">
        <v>16</v>
      </c>
      <c r="B10635" t="s">
        <v>3221</v>
      </c>
      <c r="C10635">
        <v>17129</v>
      </c>
      <c r="D10635" t="s">
        <v>3042</v>
      </c>
      <c r="E10635" t="s">
        <v>3043</v>
      </c>
      <c r="F10635">
        <v>18.91</v>
      </c>
      <c r="G10635">
        <v>231205</v>
      </c>
      <c r="H10635">
        <v>4440</v>
      </c>
      <c r="I10635" t="s">
        <v>250</v>
      </c>
      <c r="J10635">
        <v>20.8</v>
      </c>
      <c r="K10635">
        <v>1.89</v>
      </c>
      <c r="L10635">
        <v>14541</v>
      </c>
      <c r="M10635" t="s">
        <v>626</v>
      </c>
      <c r="N10635" t="str">
        <f>"20194782    "</f>
        <v xml:space="preserve">20194782    </v>
      </c>
      <c r="O10635">
        <v>231212</v>
      </c>
    </row>
    <row r="10636" spans="1:15" x14ac:dyDescent="0.25">
      <c r="A10636" t="s">
        <v>16</v>
      </c>
      <c r="B10636" t="s">
        <v>3221</v>
      </c>
      <c r="C10636">
        <v>17129</v>
      </c>
      <c r="D10636" t="s">
        <v>3042</v>
      </c>
      <c r="E10636" t="s">
        <v>3043</v>
      </c>
      <c r="F10636">
        <v>151.27000000000001</v>
      </c>
      <c r="G10636">
        <v>231205</v>
      </c>
      <c r="H10636">
        <v>4440</v>
      </c>
      <c r="I10636" t="s">
        <v>250</v>
      </c>
      <c r="J10636">
        <v>166.4</v>
      </c>
      <c r="K10636">
        <v>15.13</v>
      </c>
      <c r="L10636">
        <v>14622</v>
      </c>
      <c r="M10636" t="s">
        <v>1005</v>
      </c>
      <c r="N10636" t="str">
        <f>"20194782    "</f>
        <v xml:space="preserve">20194782    </v>
      </c>
      <c r="O10636">
        <v>231212</v>
      </c>
    </row>
    <row r="10637" spans="1:15" x14ac:dyDescent="0.25">
      <c r="A10637" t="s">
        <v>16</v>
      </c>
      <c r="B10637" t="s">
        <v>3221</v>
      </c>
      <c r="C10637">
        <v>17129</v>
      </c>
      <c r="D10637" t="s">
        <v>3042</v>
      </c>
      <c r="E10637" t="s">
        <v>3043</v>
      </c>
      <c r="F10637">
        <v>18.91</v>
      </c>
      <c r="G10637">
        <v>231205</v>
      </c>
      <c r="H10637">
        <v>4440</v>
      </c>
      <c r="I10637" t="s">
        <v>250</v>
      </c>
      <c r="J10637">
        <v>20.8</v>
      </c>
      <c r="K10637">
        <v>1.89</v>
      </c>
      <c r="L10637">
        <v>14640</v>
      </c>
      <c r="M10637" t="s">
        <v>229</v>
      </c>
      <c r="N10637" t="str">
        <f>"20194782    "</f>
        <v xml:space="preserve">20194782    </v>
      </c>
      <c r="O10637">
        <v>231212</v>
      </c>
    </row>
    <row r="10638" spans="1:15" x14ac:dyDescent="0.25">
      <c r="A10638" t="s">
        <v>16</v>
      </c>
      <c r="B10638" t="s">
        <v>3221</v>
      </c>
      <c r="C10638">
        <v>4209</v>
      </c>
      <c r="D10638" t="s">
        <v>1672</v>
      </c>
      <c r="E10638" t="s">
        <v>1673</v>
      </c>
      <c r="F10638">
        <v>64.52</v>
      </c>
      <c r="G10638">
        <v>230330</v>
      </c>
      <c r="H10638">
        <v>4600</v>
      </c>
      <c r="I10638" t="s">
        <v>105</v>
      </c>
      <c r="J10638">
        <v>80</v>
      </c>
      <c r="K10638">
        <v>15.48</v>
      </c>
      <c r="L10638">
        <v>59505</v>
      </c>
      <c r="M10638" t="s">
        <v>72</v>
      </c>
      <c r="N10638" t="str">
        <f>"674         "</f>
        <v xml:space="preserve">674         </v>
      </c>
      <c r="O10638">
        <v>230331</v>
      </c>
    </row>
    <row r="10639" spans="1:15" x14ac:dyDescent="0.25">
      <c r="A10639" t="s">
        <v>16</v>
      </c>
      <c r="B10639" t="s">
        <v>3221</v>
      </c>
      <c r="C10639">
        <v>6547</v>
      </c>
      <c r="D10639" t="s">
        <v>1672</v>
      </c>
      <c r="E10639" t="s">
        <v>1673</v>
      </c>
      <c r="F10639">
        <v>677.46</v>
      </c>
      <c r="G10639">
        <v>230511</v>
      </c>
      <c r="H10639">
        <v>4390</v>
      </c>
      <c r="I10639" t="s">
        <v>98</v>
      </c>
      <c r="J10639">
        <v>840.05</v>
      </c>
      <c r="K10639">
        <v>162.59</v>
      </c>
      <c r="L10639">
        <v>59502</v>
      </c>
      <c r="M10639" t="s">
        <v>70</v>
      </c>
      <c r="N10639" t="str">
        <f>"697         "</f>
        <v xml:space="preserve">697         </v>
      </c>
      <c r="O10639">
        <v>230512</v>
      </c>
    </row>
    <row r="10640" spans="1:15" x14ac:dyDescent="0.25">
      <c r="A10640" t="s">
        <v>16</v>
      </c>
      <c r="B10640" t="s">
        <v>3221</v>
      </c>
      <c r="C10640">
        <v>1804</v>
      </c>
      <c r="D10640" t="s">
        <v>1195</v>
      </c>
      <c r="E10640" t="s">
        <v>1196</v>
      </c>
      <c r="F10640">
        <v>791.45</v>
      </c>
      <c r="G10640">
        <v>230207</v>
      </c>
      <c r="H10640">
        <v>4600</v>
      </c>
      <c r="I10640" t="s">
        <v>105</v>
      </c>
      <c r="J10640">
        <v>981.4</v>
      </c>
      <c r="K10640">
        <v>189.95</v>
      </c>
      <c r="L10640">
        <v>17649</v>
      </c>
      <c r="M10640" t="s">
        <v>1197</v>
      </c>
      <c r="N10640" t="str">
        <f>"24548       "</f>
        <v xml:space="preserve">24548       </v>
      </c>
      <c r="O10640">
        <v>230214</v>
      </c>
    </row>
    <row r="10641" spans="1:15" x14ac:dyDescent="0.25">
      <c r="A10641" t="s">
        <v>16</v>
      </c>
      <c r="B10641" t="s">
        <v>3221</v>
      </c>
      <c r="C10641">
        <v>12425</v>
      </c>
      <c r="D10641" t="s">
        <v>1195</v>
      </c>
      <c r="E10641" t="s">
        <v>1196</v>
      </c>
      <c r="F10641">
        <v>126.61</v>
      </c>
      <c r="G10641">
        <v>230908</v>
      </c>
      <c r="H10641">
        <v>4600</v>
      </c>
      <c r="I10641" t="s">
        <v>105</v>
      </c>
      <c r="J10641">
        <v>157</v>
      </c>
      <c r="K10641">
        <v>30.39</v>
      </c>
      <c r="L10641">
        <v>17536</v>
      </c>
      <c r="M10641" t="s">
        <v>734</v>
      </c>
      <c r="N10641" t="str">
        <f>"24680       "</f>
        <v xml:space="preserve">24680       </v>
      </c>
      <c r="O10641">
        <v>230919</v>
      </c>
    </row>
    <row r="10642" spans="1:15" x14ac:dyDescent="0.25">
      <c r="A10642" t="s">
        <v>16</v>
      </c>
      <c r="B10642" t="s">
        <v>3221</v>
      </c>
      <c r="C10642">
        <v>15766</v>
      </c>
      <c r="D10642" t="s">
        <v>2910</v>
      </c>
      <c r="E10642" t="s">
        <v>2911</v>
      </c>
      <c r="F10642">
        <v>636.20000000000005</v>
      </c>
      <c r="G10642">
        <v>231110</v>
      </c>
      <c r="H10642">
        <v>4390</v>
      </c>
      <c r="I10642" t="s">
        <v>98</v>
      </c>
      <c r="J10642">
        <v>788.89</v>
      </c>
      <c r="K10642">
        <v>152.69</v>
      </c>
      <c r="L10642">
        <v>49501</v>
      </c>
      <c r="M10642" t="s">
        <v>177</v>
      </c>
      <c r="N10642" t="str">
        <f>"3554        "</f>
        <v xml:space="preserve">3554        </v>
      </c>
      <c r="O10642">
        <v>231116</v>
      </c>
    </row>
    <row r="10643" spans="1:15" x14ac:dyDescent="0.25">
      <c r="A10643" t="s">
        <v>16</v>
      </c>
      <c r="B10643" t="s">
        <v>3221</v>
      </c>
      <c r="C10643">
        <v>6070</v>
      </c>
      <c r="D10643" t="s">
        <v>1931</v>
      </c>
      <c r="E10643" t="s">
        <v>1932</v>
      </c>
      <c r="F10643">
        <v>305.27999999999997</v>
      </c>
      <c r="G10643">
        <v>230504</v>
      </c>
      <c r="H10643">
        <v>4580</v>
      </c>
      <c r="I10643" t="s">
        <v>35</v>
      </c>
      <c r="J10643">
        <v>378.55</v>
      </c>
      <c r="K10643">
        <v>73.27</v>
      </c>
      <c r="L10643">
        <v>17535</v>
      </c>
      <c r="M10643" t="s">
        <v>357</v>
      </c>
      <c r="N10643" t="str">
        <f>"12134       "</f>
        <v xml:space="preserve">12134       </v>
      </c>
      <c r="O10643">
        <v>230508</v>
      </c>
    </row>
    <row r="10644" spans="1:15" x14ac:dyDescent="0.25">
      <c r="A10644" t="s">
        <v>16</v>
      </c>
      <c r="B10644" t="s">
        <v>3221</v>
      </c>
      <c r="C10644">
        <v>7660</v>
      </c>
      <c r="D10644" t="s">
        <v>1931</v>
      </c>
      <c r="E10644" t="s">
        <v>1932</v>
      </c>
      <c r="F10644">
        <v>21.69</v>
      </c>
      <c r="G10644">
        <v>230529</v>
      </c>
      <c r="H10644">
        <v>4580</v>
      </c>
      <c r="I10644" t="s">
        <v>35</v>
      </c>
      <c r="J10644">
        <v>26.9</v>
      </c>
      <c r="K10644">
        <v>5.21</v>
      </c>
      <c r="L10644">
        <v>17535</v>
      </c>
      <c r="M10644" t="s">
        <v>357</v>
      </c>
      <c r="N10644" t="str">
        <f>"12159       "</f>
        <v xml:space="preserve">12159       </v>
      </c>
      <c r="O10644">
        <v>230601</v>
      </c>
    </row>
    <row r="10645" spans="1:15" x14ac:dyDescent="0.25">
      <c r="A10645" t="s">
        <v>16</v>
      </c>
      <c r="B10645" t="s">
        <v>3221</v>
      </c>
      <c r="C10645">
        <v>13036</v>
      </c>
      <c r="D10645" t="s">
        <v>1931</v>
      </c>
      <c r="E10645" t="s">
        <v>1932</v>
      </c>
      <c r="F10645">
        <v>312.38</v>
      </c>
      <c r="G10645">
        <v>230926</v>
      </c>
      <c r="H10645">
        <v>4580</v>
      </c>
      <c r="I10645" t="s">
        <v>35</v>
      </c>
      <c r="J10645">
        <v>387.35</v>
      </c>
      <c r="K10645">
        <v>74.97</v>
      </c>
      <c r="L10645">
        <v>17535</v>
      </c>
      <c r="M10645" t="s">
        <v>357</v>
      </c>
      <c r="N10645" t="str">
        <f>"12285       "</f>
        <v xml:space="preserve">12285       </v>
      </c>
      <c r="O10645">
        <v>231002</v>
      </c>
    </row>
    <row r="10646" spans="1:15" x14ac:dyDescent="0.25">
      <c r="A10646" t="s">
        <v>16</v>
      </c>
      <c r="B10646" t="s">
        <v>3221</v>
      </c>
      <c r="C10646">
        <v>11963</v>
      </c>
      <c r="D10646" t="s">
        <v>1931</v>
      </c>
      <c r="E10646" t="s">
        <v>1932</v>
      </c>
      <c r="F10646">
        <v>102.26</v>
      </c>
      <c r="G10646">
        <v>230908</v>
      </c>
      <c r="H10646">
        <v>4600</v>
      </c>
      <c r="I10646" t="s">
        <v>105</v>
      </c>
      <c r="J10646">
        <v>126.8</v>
      </c>
      <c r="K10646">
        <v>24.54</v>
      </c>
      <c r="L10646">
        <v>17649</v>
      </c>
      <c r="M10646" t="s">
        <v>1197</v>
      </c>
      <c r="N10646" t="str">
        <f>"12267       "</f>
        <v xml:space="preserve">12267       </v>
      </c>
      <c r="O10646">
        <v>230912</v>
      </c>
    </row>
    <row r="10647" spans="1:15" x14ac:dyDescent="0.25">
      <c r="A10647" t="s">
        <v>16</v>
      </c>
      <c r="B10647" t="s">
        <v>3221</v>
      </c>
      <c r="C10647">
        <v>13036</v>
      </c>
      <c r="D10647" t="s">
        <v>1931</v>
      </c>
      <c r="E10647" t="s">
        <v>1932</v>
      </c>
      <c r="F10647">
        <v>645.16</v>
      </c>
      <c r="G10647">
        <v>230926</v>
      </c>
      <c r="H10647">
        <v>4600</v>
      </c>
      <c r="I10647" t="s">
        <v>105</v>
      </c>
      <c r="J10647">
        <v>800</v>
      </c>
      <c r="K10647">
        <v>154.84</v>
      </c>
      <c r="L10647">
        <v>17649</v>
      </c>
      <c r="M10647" t="s">
        <v>1197</v>
      </c>
      <c r="N10647" t="str">
        <f>"12285       "</f>
        <v xml:space="preserve">12285       </v>
      </c>
      <c r="O10647">
        <v>231002</v>
      </c>
    </row>
    <row r="10648" spans="1:15" x14ac:dyDescent="0.25">
      <c r="A10648" t="s">
        <v>16</v>
      </c>
      <c r="B10648" t="s">
        <v>3221</v>
      </c>
      <c r="C10648">
        <v>9804</v>
      </c>
      <c r="D10648" t="s">
        <v>2322</v>
      </c>
      <c r="E10648" t="s">
        <v>2323</v>
      </c>
      <c r="F10648">
        <v>245.97</v>
      </c>
      <c r="G10648">
        <v>230719</v>
      </c>
      <c r="H10648">
        <v>4590</v>
      </c>
      <c r="I10648" t="s">
        <v>203</v>
      </c>
      <c r="J10648">
        <v>305</v>
      </c>
      <c r="K10648">
        <v>59.03</v>
      </c>
      <c r="L10648">
        <v>69111</v>
      </c>
      <c r="M10648" t="s">
        <v>471</v>
      </c>
      <c r="N10648" t="str">
        <f>"200919640   "</f>
        <v xml:space="preserve">200919640   </v>
      </c>
      <c r="O10648">
        <v>230725</v>
      </c>
    </row>
    <row r="10649" spans="1:15" x14ac:dyDescent="0.25">
      <c r="A10649" t="s">
        <v>16</v>
      </c>
      <c r="B10649" t="s">
        <v>3221</v>
      </c>
      <c r="C10649">
        <v>15847</v>
      </c>
      <c r="D10649" t="s">
        <v>2912</v>
      </c>
      <c r="E10649" t="s">
        <v>2913</v>
      </c>
      <c r="F10649">
        <v>1219.3</v>
      </c>
      <c r="G10649">
        <v>231103</v>
      </c>
      <c r="H10649">
        <v>4410</v>
      </c>
      <c r="I10649" t="s">
        <v>517</v>
      </c>
      <c r="J10649">
        <v>1390</v>
      </c>
      <c r="K10649">
        <v>170.7</v>
      </c>
      <c r="L10649">
        <v>11605</v>
      </c>
      <c r="M10649" t="s">
        <v>106</v>
      </c>
      <c r="N10649" t="str">
        <f>"10186       "</f>
        <v xml:space="preserve">10186       </v>
      </c>
      <c r="O10649">
        <v>231120</v>
      </c>
    </row>
    <row r="10650" spans="1:15" x14ac:dyDescent="0.25">
      <c r="A10650" t="s">
        <v>16</v>
      </c>
      <c r="B10650" t="s">
        <v>3221</v>
      </c>
      <c r="C10650">
        <v>19133</v>
      </c>
      <c r="D10650" t="s">
        <v>3659</v>
      </c>
      <c r="E10650" t="s">
        <v>3167</v>
      </c>
      <c r="F10650">
        <v>1500</v>
      </c>
      <c r="G10650">
        <v>231211</v>
      </c>
      <c r="H10650">
        <v>4343</v>
      </c>
      <c r="I10650" t="s">
        <v>91</v>
      </c>
      <c r="J10650">
        <v>1860</v>
      </c>
      <c r="K10650">
        <v>360</v>
      </c>
      <c r="L10650">
        <v>11601</v>
      </c>
      <c r="M10650" t="s">
        <v>535</v>
      </c>
      <c r="N10650" t="str">
        <f>"10318       "</f>
        <v xml:space="preserve">10318       </v>
      </c>
      <c r="O10650">
        <v>240111</v>
      </c>
    </row>
    <row r="10651" spans="1:15" x14ac:dyDescent="0.25">
      <c r="A10651" t="s">
        <v>16</v>
      </c>
      <c r="B10651" t="s">
        <v>3221</v>
      </c>
      <c r="C10651">
        <v>5180</v>
      </c>
      <c r="D10651" t="s">
        <v>3263</v>
      </c>
      <c r="E10651" t="s">
        <v>3264</v>
      </c>
      <c r="F10651">
        <v>73.37</v>
      </c>
      <c r="G10651">
        <v>230331</v>
      </c>
      <c r="H10651">
        <v>4410</v>
      </c>
      <c r="I10651" t="s">
        <v>517</v>
      </c>
      <c r="J10651">
        <v>83.64</v>
      </c>
      <c r="K10651">
        <v>10.27</v>
      </c>
      <c r="L10651">
        <v>47522</v>
      </c>
      <c r="M10651" t="s">
        <v>410</v>
      </c>
      <c r="N10651" t="str">
        <f>"ML2018022404"</f>
        <v>ML2018022404</v>
      </c>
      <c r="O10651">
        <v>230418</v>
      </c>
    </row>
    <row r="10652" spans="1:15" x14ac:dyDescent="0.25">
      <c r="A10652" t="s">
        <v>16</v>
      </c>
      <c r="B10652" t="s">
        <v>3221</v>
      </c>
      <c r="C10652">
        <v>3198</v>
      </c>
      <c r="D10652" t="s">
        <v>1526</v>
      </c>
      <c r="E10652" t="s">
        <v>1527</v>
      </c>
      <c r="F10652">
        <v>46.37</v>
      </c>
      <c r="G10652">
        <v>230303</v>
      </c>
      <c r="H10652">
        <v>4520</v>
      </c>
      <c r="I10652" t="s">
        <v>254</v>
      </c>
      <c r="J10652">
        <v>52.86</v>
      </c>
      <c r="K10652">
        <v>6.49</v>
      </c>
      <c r="L10652">
        <v>14640</v>
      </c>
      <c r="M10652" t="s">
        <v>229</v>
      </c>
      <c r="N10652" t="str">
        <f>"15334153    "</f>
        <v xml:space="preserve">15334153    </v>
      </c>
      <c r="O10652">
        <v>230310</v>
      </c>
    </row>
    <row r="10653" spans="1:15" x14ac:dyDescent="0.25">
      <c r="A10653" t="s">
        <v>16</v>
      </c>
      <c r="B10653" t="s">
        <v>3221</v>
      </c>
      <c r="C10653">
        <v>3198</v>
      </c>
      <c r="D10653" t="s">
        <v>1526</v>
      </c>
      <c r="E10653" t="s">
        <v>1527</v>
      </c>
      <c r="F10653">
        <v>280.38</v>
      </c>
      <c r="G10653">
        <v>230303</v>
      </c>
      <c r="H10653">
        <v>4520</v>
      </c>
      <c r="I10653" t="s">
        <v>254</v>
      </c>
      <c r="J10653">
        <v>347.67</v>
      </c>
      <c r="K10653">
        <v>67.290000000000006</v>
      </c>
      <c r="L10653">
        <v>14640</v>
      </c>
      <c r="M10653" t="s">
        <v>229</v>
      </c>
      <c r="N10653" t="str">
        <f>"15334153    "</f>
        <v xml:space="preserve">15334153    </v>
      </c>
      <c r="O10653">
        <v>230310</v>
      </c>
    </row>
    <row r="10654" spans="1:15" x14ac:dyDescent="0.25">
      <c r="A10654" t="s">
        <v>16</v>
      </c>
      <c r="B10654" t="s">
        <v>3221</v>
      </c>
      <c r="C10654">
        <v>3552</v>
      </c>
      <c r="D10654" t="s">
        <v>1526</v>
      </c>
      <c r="E10654" t="s">
        <v>1527</v>
      </c>
      <c r="F10654">
        <v>507.03</v>
      </c>
      <c r="G10654">
        <v>230306</v>
      </c>
      <c r="H10654">
        <v>4520</v>
      </c>
      <c r="I10654" t="s">
        <v>254</v>
      </c>
      <c r="J10654">
        <v>578.01</v>
      </c>
      <c r="K10654">
        <v>70.98</v>
      </c>
      <c r="L10654">
        <v>54451</v>
      </c>
      <c r="M10654" t="s">
        <v>158</v>
      </c>
      <c r="N10654" t="str">
        <f>"15334226    "</f>
        <v xml:space="preserve">15334226    </v>
      </c>
      <c r="O10654">
        <v>230316</v>
      </c>
    </row>
    <row r="10655" spans="1:15" x14ac:dyDescent="0.25">
      <c r="A10655" t="s">
        <v>16</v>
      </c>
      <c r="B10655" t="s">
        <v>3221</v>
      </c>
      <c r="C10655">
        <v>10864</v>
      </c>
      <c r="D10655" t="s">
        <v>1526</v>
      </c>
      <c r="E10655" t="s">
        <v>1527</v>
      </c>
      <c r="F10655">
        <v>392.92</v>
      </c>
      <c r="G10655">
        <v>230822</v>
      </c>
      <c r="H10655">
        <v>4520</v>
      </c>
      <c r="I10655" t="s">
        <v>254</v>
      </c>
      <c r="J10655">
        <v>447.93</v>
      </c>
      <c r="K10655">
        <v>55.01</v>
      </c>
      <c r="L10655">
        <v>14640</v>
      </c>
      <c r="M10655" t="s">
        <v>229</v>
      </c>
      <c r="N10655" t="str">
        <f>"15345374    "</f>
        <v xml:space="preserve">15345374    </v>
      </c>
      <c r="O10655">
        <v>230824</v>
      </c>
    </row>
    <row r="10656" spans="1:15" x14ac:dyDescent="0.25">
      <c r="A10656" t="s">
        <v>16</v>
      </c>
      <c r="B10656" t="s">
        <v>3221</v>
      </c>
      <c r="C10656">
        <v>3552</v>
      </c>
      <c r="D10656" t="s">
        <v>1526</v>
      </c>
      <c r="E10656" t="s">
        <v>1527</v>
      </c>
      <c r="F10656">
        <v>22.71</v>
      </c>
      <c r="G10656">
        <v>230306</v>
      </c>
      <c r="H10656">
        <v>4600</v>
      </c>
      <c r="I10656" t="s">
        <v>105</v>
      </c>
      <c r="J10656">
        <v>28.16</v>
      </c>
      <c r="K10656">
        <v>5.45</v>
      </c>
      <c r="L10656">
        <v>54451</v>
      </c>
      <c r="M10656" t="s">
        <v>158</v>
      </c>
      <c r="N10656" t="str">
        <f>"15334226    "</f>
        <v xml:space="preserve">15334226    </v>
      </c>
      <c r="O10656">
        <v>230316</v>
      </c>
    </row>
    <row r="10657" spans="1:15" x14ac:dyDescent="0.25">
      <c r="A10657" t="s">
        <v>16</v>
      </c>
      <c r="B10657" t="s">
        <v>3221</v>
      </c>
      <c r="C10657">
        <v>11421</v>
      </c>
      <c r="D10657" t="s">
        <v>2486</v>
      </c>
      <c r="E10657" t="s">
        <v>2487</v>
      </c>
      <c r="F10657">
        <v>92</v>
      </c>
      <c r="G10657">
        <v>230904</v>
      </c>
      <c r="H10657">
        <v>4580</v>
      </c>
      <c r="I10657" t="s">
        <v>35</v>
      </c>
      <c r="J10657">
        <v>114.08</v>
      </c>
      <c r="K10657">
        <v>22.08</v>
      </c>
      <c r="L10657">
        <v>16322</v>
      </c>
      <c r="M10657" t="s">
        <v>22</v>
      </c>
      <c r="N10657" t="str">
        <f>"2197130     "</f>
        <v xml:space="preserve">2197130     </v>
      </c>
      <c r="O10657">
        <v>230905</v>
      </c>
    </row>
    <row r="10658" spans="1:15" x14ac:dyDescent="0.25">
      <c r="A10658" t="s">
        <v>16</v>
      </c>
      <c r="B10658" t="s">
        <v>3221</v>
      </c>
      <c r="C10658">
        <v>18700</v>
      </c>
      <c r="D10658" t="s">
        <v>2486</v>
      </c>
      <c r="E10658" t="s">
        <v>2487</v>
      </c>
      <c r="F10658">
        <v>524</v>
      </c>
      <c r="G10658">
        <v>231219</v>
      </c>
      <c r="H10658">
        <v>4580</v>
      </c>
      <c r="I10658" t="s">
        <v>35</v>
      </c>
      <c r="J10658">
        <v>649.76</v>
      </c>
      <c r="K10658">
        <v>125.76</v>
      </c>
      <c r="L10658">
        <v>13281</v>
      </c>
      <c r="M10658" t="s">
        <v>1296</v>
      </c>
      <c r="N10658" t="str">
        <f>"73571       "</f>
        <v xml:space="preserve">73571       </v>
      </c>
      <c r="O10658">
        <v>240105</v>
      </c>
    </row>
    <row r="10659" spans="1:15" x14ac:dyDescent="0.25">
      <c r="A10659" t="s">
        <v>16</v>
      </c>
      <c r="B10659" t="s">
        <v>3221</v>
      </c>
      <c r="C10659">
        <v>14792</v>
      </c>
      <c r="D10659" t="s">
        <v>1694</v>
      </c>
      <c r="E10659" t="s">
        <v>1695</v>
      </c>
      <c r="F10659">
        <v>1404.72</v>
      </c>
      <c r="G10659">
        <v>231019</v>
      </c>
      <c r="H10659">
        <v>4580</v>
      </c>
      <c r="I10659" t="s">
        <v>35</v>
      </c>
      <c r="J10659">
        <v>1741.85</v>
      </c>
      <c r="K10659">
        <v>337.13</v>
      </c>
      <c r="L10659">
        <v>49501</v>
      </c>
      <c r="M10659" t="s">
        <v>177</v>
      </c>
      <c r="N10659" t="str">
        <f>"338822      "</f>
        <v xml:space="preserve">338822      </v>
      </c>
      <c r="O10659">
        <v>231106</v>
      </c>
    </row>
    <row r="10660" spans="1:15" x14ac:dyDescent="0.25">
      <c r="A10660" t="s">
        <v>16</v>
      </c>
      <c r="B10660" t="s">
        <v>3221</v>
      </c>
      <c r="C10660">
        <v>12930</v>
      </c>
      <c r="D10660" t="s">
        <v>1694</v>
      </c>
      <c r="E10660" t="s">
        <v>1695</v>
      </c>
      <c r="F10660">
        <v>1631.62</v>
      </c>
      <c r="G10660">
        <v>230922</v>
      </c>
      <c r="H10660">
        <v>4600</v>
      </c>
      <c r="I10660" t="s">
        <v>105</v>
      </c>
      <c r="J10660">
        <v>2023.21</v>
      </c>
      <c r="K10660">
        <v>391.59</v>
      </c>
      <c r="L10660">
        <v>49501</v>
      </c>
      <c r="M10660" t="s">
        <v>177</v>
      </c>
      <c r="N10660" t="str">
        <f>"337475      "</f>
        <v xml:space="preserve">337475      </v>
      </c>
      <c r="O10660">
        <v>231002</v>
      </c>
    </row>
    <row r="10661" spans="1:15" x14ac:dyDescent="0.25">
      <c r="A10661" t="s">
        <v>16</v>
      </c>
      <c r="B10661" t="s">
        <v>3221</v>
      </c>
      <c r="C10661">
        <v>4359</v>
      </c>
      <c r="D10661" t="s">
        <v>1694</v>
      </c>
      <c r="E10661" t="s">
        <v>1695</v>
      </c>
      <c r="F10661">
        <v>418.23</v>
      </c>
      <c r="G10661">
        <v>230321</v>
      </c>
      <c r="H10661">
        <v>4590</v>
      </c>
      <c r="I10661" t="s">
        <v>203</v>
      </c>
      <c r="J10661">
        <v>518.61</v>
      </c>
      <c r="K10661">
        <v>100.38</v>
      </c>
      <c r="L10661">
        <v>49501</v>
      </c>
      <c r="M10661" t="s">
        <v>177</v>
      </c>
      <c r="N10661" t="str">
        <f>"330424      "</f>
        <v xml:space="preserve">330424      </v>
      </c>
      <c r="O10661">
        <v>230405</v>
      </c>
    </row>
    <row r="10662" spans="1:15" x14ac:dyDescent="0.25">
      <c r="A10662" t="s">
        <v>16</v>
      </c>
      <c r="B10662" t="s">
        <v>3221</v>
      </c>
      <c r="C10662">
        <v>8249</v>
      </c>
      <c r="D10662" t="s">
        <v>1694</v>
      </c>
      <c r="E10662" t="s">
        <v>1695</v>
      </c>
      <c r="F10662">
        <v>170.44</v>
      </c>
      <c r="G10662">
        <v>230529</v>
      </c>
      <c r="H10662">
        <v>4550</v>
      </c>
      <c r="I10662" t="s">
        <v>312</v>
      </c>
      <c r="J10662">
        <v>211.34</v>
      </c>
      <c r="K10662">
        <v>40.9</v>
      </c>
      <c r="L10662">
        <v>49501</v>
      </c>
      <c r="M10662" t="s">
        <v>177</v>
      </c>
      <c r="N10662" t="str">
        <f>"332967      "</f>
        <v xml:space="preserve">332967      </v>
      </c>
      <c r="O10662">
        <v>230608</v>
      </c>
    </row>
    <row r="10663" spans="1:15" x14ac:dyDescent="0.25">
      <c r="A10663" t="s">
        <v>16</v>
      </c>
      <c r="B10663" t="s">
        <v>3221</v>
      </c>
      <c r="C10663">
        <v>9113</v>
      </c>
      <c r="D10663" t="s">
        <v>2252</v>
      </c>
      <c r="E10663" t="s">
        <v>2253</v>
      </c>
      <c r="F10663">
        <v>519.16999999999996</v>
      </c>
      <c r="G10663">
        <v>230616</v>
      </c>
      <c r="H10663">
        <v>4343</v>
      </c>
      <c r="I10663" t="s">
        <v>91</v>
      </c>
      <c r="J10663">
        <v>643.77</v>
      </c>
      <c r="K10663">
        <v>124.6</v>
      </c>
      <c r="L10663">
        <v>18972</v>
      </c>
      <c r="M10663" t="s">
        <v>163</v>
      </c>
      <c r="N10663" t="str">
        <f>"7010        "</f>
        <v xml:space="preserve">7010        </v>
      </c>
      <c r="O10663">
        <v>230628</v>
      </c>
    </row>
    <row r="10664" spans="1:15" x14ac:dyDescent="0.25">
      <c r="A10664" t="s">
        <v>16</v>
      </c>
      <c r="B10664" t="s">
        <v>3221</v>
      </c>
      <c r="C10664">
        <v>4699</v>
      </c>
      <c r="D10664" t="s">
        <v>1025</v>
      </c>
      <c r="E10664" t="s">
        <v>1026</v>
      </c>
      <c r="F10664">
        <v>23.81</v>
      </c>
      <c r="G10664">
        <v>230405</v>
      </c>
      <c r="H10664">
        <v>4520</v>
      </c>
      <c r="I10664" t="s">
        <v>254</v>
      </c>
      <c r="J10664">
        <v>27.14</v>
      </c>
      <c r="K10664">
        <v>3.33</v>
      </c>
      <c r="L10664">
        <v>17912</v>
      </c>
      <c r="M10664" t="s">
        <v>419</v>
      </c>
      <c r="N10664" t="str">
        <f>"4256        "</f>
        <v xml:space="preserve">4256        </v>
      </c>
      <c r="O10664">
        <v>230412</v>
      </c>
    </row>
    <row r="10665" spans="1:15" x14ac:dyDescent="0.25">
      <c r="A10665" t="s">
        <v>16</v>
      </c>
      <c r="B10665" t="s">
        <v>3221</v>
      </c>
      <c r="C10665">
        <v>8196</v>
      </c>
      <c r="D10665" t="s">
        <v>1025</v>
      </c>
      <c r="E10665" t="s">
        <v>1026</v>
      </c>
      <c r="F10665">
        <v>11.82</v>
      </c>
      <c r="G10665">
        <v>230531</v>
      </c>
      <c r="H10665">
        <v>4520</v>
      </c>
      <c r="I10665" t="s">
        <v>254</v>
      </c>
      <c r="J10665">
        <v>13.47</v>
      </c>
      <c r="K10665">
        <v>1.65</v>
      </c>
      <c r="L10665">
        <v>17912</v>
      </c>
      <c r="M10665" t="s">
        <v>419</v>
      </c>
      <c r="N10665" t="str">
        <f>"4441        "</f>
        <v xml:space="preserve">4441        </v>
      </c>
      <c r="O10665">
        <v>230608</v>
      </c>
    </row>
    <row r="10666" spans="1:15" x14ac:dyDescent="0.25">
      <c r="A10666" t="s">
        <v>16</v>
      </c>
      <c r="B10666" t="s">
        <v>3221</v>
      </c>
      <c r="C10666">
        <v>13263</v>
      </c>
      <c r="D10666" t="s">
        <v>1025</v>
      </c>
      <c r="E10666" t="s">
        <v>1026</v>
      </c>
      <c r="F10666">
        <v>8.74</v>
      </c>
      <c r="G10666">
        <v>231002</v>
      </c>
      <c r="H10666">
        <v>4520</v>
      </c>
      <c r="I10666" t="s">
        <v>254</v>
      </c>
      <c r="J10666">
        <v>9.9600000000000009</v>
      </c>
      <c r="K10666">
        <v>1.22</v>
      </c>
      <c r="L10666">
        <v>17912</v>
      </c>
      <c r="M10666" t="s">
        <v>419</v>
      </c>
      <c r="N10666" t="str">
        <f>"4880        "</f>
        <v xml:space="preserve">4880        </v>
      </c>
      <c r="O10666">
        <v>231009</v>
      </c>
    </row>
    <row r="10667" spans="1:15" x14ac:dyDescent="0.25">
      <c r="A10667" t="s">
        <v>16</v>
      </c>
      <c r="B10667" t="s">
        <v>3221</v>
      </c>
      <c r="C10667">
        <v>16593</v>
      </c>
      <c r="D10667" t="s">
        <v>1025</v>
      </c>
      <c r="E10667" t="s">
        <v>1026</v>
      </c>
      <c r="F10667">
        <v>6.14</v>
      </c>
      <c r="G10667">
        <v>231201</v>
      </c>
      <c r="H10667">
        <v>4520</v>
      </c>
      <c r="I10667" t="s">
        <v>254</v>
      </c>
      <c r="J10667">
        <v>7</v>
      </c>
      <c r="K10667">
        <v>0.86</v>
      </c>
      <c r="L10667">
        <v>17912</v>
      </c>
      <c r="M10667" t="s">
        <v>419</v>
      </c>
      <c r="N10667" t="str">
        <f>"5050        "</f>
        <v xml:space="preserve">5050        </v>
      </c>
      <c r="O10667">
        <v>231204</v>
      </c>
    </row>
    <row r="10668" spans="1:15" x14ac:dyDescent="0.25">
      <c r="A10668" t="s">
        <v>16</v>
      </c>
      <c r="B10668" t="s">
        <v>3221</v>
      </c>
      <c r="C10668">
        <v>16593</v>
      </c>
      <c r="D10668" t="s">
        <v>1025</v>
      </c>
      <c r="E10668" t="s">
        <v>1026</v>
      </c>
      <c r="F10668">
        <v>20.37</v>
      </c>
      <c r="G10668">
        <v>231201</v>
      </c>
      <c r="H10668">
        <v>4520</v>
      </c>
      <c r="I10668" t="s">
        <v>254</v>
      </c>
      <c r="J10668">
        <v>23.22</v>
      </c>
      <c r="K10668">
        <v>2.85</v>
      </c>
      <c r="L10668">
        <v>17912</v>
      </c>
      <c r="M10668" t="s">
        <v>419</v>
      </c>
      <c r="N10668" t="str">
        <f>"5050        "</f>
        <v xml:space="preserve">5050        </v>
      </c>
      <c r="O10668">
        <v>231204</v>
      </c>
    </row>
    <row r="10669" spans="1:15" x14ac:dyDescent="0.25">
      <c r="A10669" t="s">
        <v>16</v>
      </c>
      <c r="B10669" t="s">
        <v>3221</v>
      </c>
      <c r="C10669">
        <v>13306</v>
      </c>
      <c r="D10669" t="s">
        <v>1025</v>
      </c>
      <c r="E10669" t="s">
        <v>1026</v>
      </c>
      <c r="F10669">
        <v>48.31</v>
      </c>
      <c r="G10669">
        <v>231002</v>
      </c>
      <c r="H10669">
        <v>4532</v>
      </c>
      <c r="I10669" t="s">
        <v>116</v>
      </c>
      <c r="J10669">
        <v>59.9</v>
      </c>
      <c r="K10669">
        <v>11.59</v>
      </c>
      <c r="L10669">
        <v>17809</v>
      </c>
      <c r="M10669" t="s">
        <v>376</v>
      </c>
      <c r="N10669" t="str">
        <f>"4879        "</f>
        <v xml:space="preserve">4879        </v>
      </c>
      <c r="O10669">
        <v>231009</v>
      </c>
    </row>
    <row r="10670" spans="1:15" x14ac:dyDescent="0.25">
      <c r="A10670" t="s">
        <v>16</v>
      </c>
      <c r="B10670" t="s">
        <v>3221</v>
      </c>
      <c r="C10670">
        <v>4720</v>
      </c>
      <c r="D10670" t="s">
        <v>1025</v>
      </c>
      <c r="E10670" t="s">
        <v>1026</v>
      </c>
      <c r="F10670">
        <v>112.1</v>
      </c>
      <c r="G10670">
        <v>230405</v>
      </c>
      <c r="H10670">
        <v>4580</v>
      </c>
      <c r="I10670" t="s">
        <v>35</v>
      </c>
      <c r="J10670">
        <v>139</v>
      </c>
      <c r="K10670">
        <v>26.9</v>
      </c>
      <c r="L10670">
        <v>17807</v>
      </c>
      <c r="M10670" t="s">
        <v>318</v>
      </c>
      <c r="N10670" t="str">
        <f>"4254        "</f>
        <v xml:space="preserve">4254        </v>
      </c>
      <c r="O10670">
        <v>230412</v>
      </c>
    </row>
    <row r="10671" spans="1:15" x14ac:dyDescent="0.25">
      <c r="A10671" t="s">
        <v>16</v>
      </c>
      <c r="B10671" t="s">
        <v>3221</v>
      </c>
      <c r="C10671">
        <v>4720</v>
      </c>
      <c r="D10671" t="s">
        <v>1025</v>
      </c>
      <c r="E10671" t="s">
        <v>1026</v>
      </c>
      <c r="F10671">
        <v>2.97</v>
      </c>
      <c r="G10671">
        <v>230405</v>
      </c>
      <c r="H10671">
        <v>4580</v>
      </c>
      <c r="I10671" t="s">
        <v>35</v>
      </c>
      <c r="J10671">
        <v>3.68</v>
      </c>
      <c r="K10671">
        <v>0.71</v>
      </c>
      <c r="L10671">
        <v>17809</v>
      </c>
      <c r="M10671" t="s">
        <v>376</v>
      </c>
      <c r="N10671" t="str">
        <f>"4254        "</f>
        <v xml:space="preserve">4254        </v>
      </c>
      <c r="O10671">
        <v>230412</v>
      </c>
    </row>
    <row r="10672" spans="1:15" x14ac:dyDescent="0.25">
      <c r="A10672" t="s">
        <v>16</v>
      </c>
      <c r="B10672" t="s">
        <v>3221</v>
      </c>
      <c r="C10672">
        <v>4720</v>
      </c>
      <c r="D10672" t="s">
        <v>1025</v>
      </c>
      <c r="E10672" t="s">
        <v>1026</v>
      </c>
      <c r="F10672">
        <v>4.0199999999999996</v>
      </c>
      <c r="G10672">
        <v>230405</v>
      </c>
      <c r="H10672">
        <v>4580</v>
      </c>
      <c r="I10672" t="s">
        <v>35</v>
      </c>
      <c r="J10672">
        <v>4.99</v>
      </c>
      <c r="K10672">
        <v>0.97</v>
      </c>
      <c r="L10672">
        <v>17951</v>
      </c>
      <c r="M10672" t="s">
        <v>87</v>
      </c>
      <c r="N10672" t="str">
        <f>"4254        "</f>
        <v xml:space="preserve">4254        </v>
      </c>
      <c r="O10672">
        <v>230412</v>
      </c>
    </row>
    <row r="10673" spans="1:15" x14ac:dyDescent="0.25">
      <c r="A10673" t="s">
        <v>16</v>
      </c>
      <c r="B10673" t="s">
        <v>3221</v>
      </c>
      <c r="C10673">
        <v>10007</v>
      </c>
      <c r="D10673" t="s">
        <v>1025</v>
      </c>
      <c r="E10673" t="s">
        <v>1026</v>
      </c>
      <c r="F10673">
        <v>90.93</v>
      </c>
      <c r="G10673">
        <v>230803</v>
      </c>
      <c r="H10673">
        <v>4580</v>
      </c>
      <c r="I10673" t="s">
        <v>35</v>
      </c>
      <c r="J10673">
        <v>112.75</v>
      </c>
      <c r="K10673">
        <v>21.82</v>
      </c>
      <c r="L10673">
        <v>17711</v>
      </c>
      <c r="M10673" t="s">
        <v>65</v>
      </c>
      <c r="N10673" t="str">
        <f>"4673        "</f>
        <v xml:space="preserve">4673        </v>
      </c>
      <c r="O10673">
        <v>230807</v>
      </c>
    </row>
    <row r="10674" spans="1:15" x14ac:dyDescent="0.25">
      <c r="A10674" t="s">
        <v>16</v>
      </c>
      <c r="B10674" t="s">
        <v>3221</v>
      </c>
      <c r="C10674">
        <v>16953</v>
      </c>
      <c r="D10674" t="s">
        <v>1025</v>
      </c>
      <c r="E10674" t="s">
        <v>1026</v>
      </c>
      <c r="F10674">
        <v>14.47</v>
      </c>
      <c r="G10674">
        <v>231201</v>
      </c>
      <c r="H10674">
        <v>4580</v>
      </c>
      <c r="I10674" t="s">
        <v>35</v>
      </c>
      <c r="J10674">
        <v>17.940000000000001</v>
      </c>
      <c r="K10674">
        <v>3.47</v>
      </c>
      <c r="L10674">
        <v>17951</v>
      </c>
      <c r="M10674" t="s">
        <v>87</v>
      </c>
      <c r="N10674" t="str">
        <f>"5049        "</f>
        <v xml:space="preserve">5049        </v>
      </c>
      <c r="O10674">
        <v>231211</v>
      </c>
    </row>
    <row r="10675" spans="1:15" x14ac:dyDescent="0.25">
      <c r="A10675" t="s">
        <v>16</v>
      </c>
      <c r="B10675" t="s">
        <v>3221</v>
      </c>
      <c r="C10675">
        <v>16953</v>
      </c>
      <c r="D10675" t="s">
        <v>1025</v>
      </c>
      <c r="E10675" t="s">
        <v>1026</v>
      </c>
      <c r="F10675">
        <v>43.17</v>
      </c>
      <c r="G10675">
        <v>231201</v>
      </c>
      <c r="H10675">
        <v>4580</v>
      </c>
      <c r="I10675" t="s">
        <v>35</v>
      </c>
      <c r="J10675">
        <v>53.53</v>
      </c>
      <c r="K10675">
        <v>10.36</v>
      </c>
      <c r="L10675">
        <v>17951</v>
      </c>
      <c r="M10675" t="s">
        <v>87</v>
      </c>
      <c r="N10675" t="str">
        <f>"5049        "</f>
        <v xml:space="preserve">5049        </v>
      </c>
      <c r="O10675">
        <v>231211</v>
      </c>
    </row>
    <row r="10676" spans="1:15" x14ac:dyDescent="0.25">
      <c r="A10676" t="s">
        <v>16</v>
      </c>
      <c r="B10676" t="s">
        <v>3221</v>
      </c>
      <c r="C10676">
        <v>1368</v>
      </c>
      <c r="D10676" t="s">
        <v>1025</v>
      </c>
      <c r="E10676" t="s">
        <v>1026</v>
      </c>
      <c r="F10676">
        <v>120.73</v>
      </c>
      <c r="G10676">
        <v>230205</v>
      </c>
      <c r="H10676">
        <v>4600</v>
      </c>
      <c r="I10676" t="s">
        <v>105</v>
      </c>
      <c r="J10676">
        <v>149.69999999999999</v>
      </c>
      <c r="K10676">
        <v>28.97</v>
      </c>
      <c r="L10676">
        <v>17807</v>
      </c>
      <c r="M10676" t="s">
        <v>318</v>
      </c>
      <c r="N10676" t="str">
        <f>"4149        "</f>
        <v xml:space="preserve">4149        </v>
      </c>
      <c r="O10676">
        <v>230208</v>
      </c>
    </row>
    <row r="10677" spans="1:15" x14ac:dyDescent="0.25">
      <c r="A10677" t="s">
        <v>16</v>
      </c>
      <c r="B10677" t="s">
        <v>3221</v>
      </c>
      <c r="C10677">
        <v>1368</v>
      </c>
      <c r="D10677" t="s">
        <v>1025</v>
      </c>
      <c r="E10677" t="s">
        <v>1026</v>
      </c>
      <c r="F10677">
        <v>16.05</v>
      </c>
      <c r="G10677">
        <v>230205</v>
      </c>
      <c r="H10677">
        <v>4600</v>
      </c>
      <c r="I10677" t="s">
        <v>105</v>
      </c>
      <c r="J10677">
        <v>19.899999999999999</v>
      </c>
      <c r="K10677">
        <v>3.85</v>
      </c>
      <c r="L10677">
        <v>17809</v>
      </c>
      <c r="M10677" t="s">
        <v>376</v>
      </c>
      <c r="N10677" t="str">
        <f>"4149        "</f>
        <v xml:space="preserve">4149        </v>
      </c>
      <c r="O10677">
        <v>230208</v>
      </c>
    </row>
    <row r="10678" spans="1:15" x14ac:dyDescent="0.25">
      <c r="A10678" t="s">
        <v>16</v>
      </c>
      <c r="B10678" t="s">
        <v>3221</v>
      </c>
      <c r="C10678">
        <v>4699</v>
      </c>
      <c r="D10678" t="s">
        <v>1025</v>
      </c>
      <c r="E10678" t="s">
        <v>1026</v>
      </c>
      <c r="F10678">
        <v>13.89</v>
      </c>
      <c r="G10678">
        <v>230405</v>
      </c>
      <c r="H10678">
        <v>4600</v>
      </c>
      <c r="I10678" t="s">
        <v>105</v>
      </c>
      <c r="J10678">
        <v>17.22</v>
      </c>
      <c r="K10678">
        <v>3.33</v>
      </c>
      <c r="L10678">
        <v>17912</v>
      </c>
      <c r="M10678" t="s">
        <v>419</v>
      </c>
      <c r="N10678" t="str">
        <f>"4256        "</f>
        <v xml:space="preserve">4256        </v>
      </c>
      <c r="O10678">
        <v>230412</v>
      </c>
    </row>
    <row r="10679" spans="1:15" x14ac:dyDescent="0.25">
      <c r="A10679" t="s">
        <v>16</v>
      </c>
      <c r="B10679" t="s">
        <v>3221</v>
      </c>
      <c r="C10679">
        <v>4720</v>
      </c>
      <c r="D10679" t="s">
        <v>1025</v>
      </c>
      <c r="E10679" t="s">
        <v>1026</v>
      </c>
      <c r="F10679">
        <v>-77.150000000000006</v>
      </c>
      <c r="G10679">
        <v>230405</v>
      </c>
      <c r="H10679">
        <v>4600</v>
      </c>
      <c r="I10679" t="s">
        <v>105</v>
      </c>
      <c r="J10679">
        <v>-95.66</v>
      </c>
      <c r="K10679">
        <v>-18.510000000000002</v>
      </c>
      <c r="L10679">
        <v>17806</v>
      </c>
      <c r="M10679" t="s">
        <v>265</v>
      </c>
      <c r="N10679" t="str">
        <f>"4254        "</f>
        <v xml:space="preserve">4254        </v>
      </c>
      <c r="O10679">
        <v>230412</v>
      </c>
    </row>
    <row r="10680" spans="1:15" x14ac:dyDescent="0.25">
      <c r="A10680" t="s">
        <v>16</v>
      </c>
      <c r="B10680" t="s">
        <v>3221</v>
      </c>
      <c r="C10680">
        <v>4720</v>
      </c>
      <c r="D10680" t="s">
        <v>1025</v>
      </c>
      <c r="E10680" t="s">
        <v>1026</v>
      </c>
      <c r="F10680">
        <v>114.14</v>
      </c>
      <c r="G10680">
        <v>230405</v>
      </c>
      <c r="H10680">
        <v>4600</v>
      </c>
      <c r="I10680" t="s">
        <v>105</v>
      </c>
      <c r="J10680">
        <v>141.53</v>
      </c>
      <c r="K10680">
        <v>27.39</v>
      </c>
      <c r="L10680">
        <v>17806</v>
      </c>
      <c r="M10680" t="s">
        <v>265</v>
      </c>
      <c r="N10680" t="str">
        <f>"4254        "</f>
        <v xml:space="preserve">4254        </v>
      </c>
      <c r="O10680">
        <v>230412</v>
      </c>
    </row>
    <row r="10681" spans="1:15" x14ac:dyDescent="0.25">
      <c r="A10681" t="s">
        <v>16</v>
      </c>
      <c r="B10681" t="s">
        <v>3221</v>
      </c>
      <c r="C10681">
        <v>4720</v>
      </c>
      <c r="D10681" t="s">
        <v>1025</v>
      </c>
      <c r="E10681" t="s">
        <v>1026</v>
      </c>
      <c r="F10681">
        <v>34.39</v>
      </c>
      <c r="G10681">
        <v>230405</v>
      </c>
      <c r="H10681">
        <v>4600</v>
      </c>
      <c r="I10681" t="s">
        <v>105</v>
      </c>
      <c r="J10681">
        <v>42.64</v>
      </c>
      <c r="K10681">
        <v>8.25</v>
      </c>
      <c r="L10681">
        <v>17807</v>
      </c>
      <c r="M10681" t="s">
        <v>318</v>
      </c>
      <c r="N10681" t="str">
        <f>"4254        "</f>
        <v xml:space="preserve">4254        </v>
      </c>
      <c r="O10681">
        <v>230412</v>
      </c>
    </row>
    <row r="10682" spans="1:15" x14ac:dyDescent="0.25">
      <c r="A10682" t="s">
        <v>16</v>
      </c>
      <c r="B10682" t="s">
        <v>3221</v>
      </c>
      <c r="C10682">
        <v>4720</v>
      </c>
      <c r="D10682" t="s">
        <v>1025</v>
      </c>
      <c r="E10682" t="s">
        <v>1026</v>
      </c>
      <c r="F10682">
        <v>25.32</v>
      </c>
      <c r="G10682">
        <v>230405</v>
      </c>
      <c r="H10682">
        <v>4600</v>
      </c>
      <c r="I10682" t="s">
        <v>105</v>
      </c>
      <c r="J10682">
        <v>31.4</v>
      </c>
      <c r="K10682">
        <v>6.08</v>
      </c>
      <c r="L10682">
        <v>17951</v>
      </c>
      <c r="M10682" t="s">
        <v>87</v>
      </c>
      <c r="N10682" t="str">
        <f>"4254        "</f>
        <v xml:space="preserve">4254        </v>
      </c>
      <c r="O10682">
        <v>230412</v>
      </c>
    </row>
    <row r="10683" spans="1:15" x14ac:dyDescent="0.25">
      <c r="A10683" t="s">
        <v>16</v>
      </c>
      <c r="B10683" t="s">
        <v>3221</v>
      </c>
      <c r="C10683">
        <v>5760</v>
      </c>
      <c r="D10683" t="s">
        <v>1025</v>
      </c>
      <c r="E10683" t="s">
        <v>1026</v>
      </c>
      <c r="F10683">
        <v>34.56</v>
      </c>
      <c r="G10683">
        <v>230428</v>
      </c>
      <c r="H10683">
        <v>4600</v>
      </c>
      <c r="I10683" t="s">
        <v>105</v>
      </c>
      <c r="J10683">
        <v>42.85</v>
      </c>
      <c r="K10683">
        <v>8.2899999999999991</v>
      </c>
      <c r="L10683">
        <v>17951</v>
      </c>
      <c r="M10683" t="s">
        <v>87</v>
      </c>
      <c r="N10683" t="str">
        <f>"4357        "</f>
        <v xml:space="preserve">4357        </v>
      </c>
      <c r="O10683">
        <v>230502</v>
      </c>
    </row>
    <row r="10684" spans="1:15" x14ac:dyDescent="0.25">
      <c r="A10684" t="s">
        <v>16</v>
      </c>
      <c r="B10684" t="s">
        <v>3221</v>
      </c>
      <c r="C10684">
        <v>7699</v>
      </c>
      <c r="D10684" t="s">
        <v>1025</v>
      </c>
      <c r="E10684" t="s">
        <v>1026</v>
      </c>
      <c r="F10684">
        <v>274.20999999999998</v>
      </c>
      <c r="G10684">
        <v>230531</v>
      </c>
      <c r="H10684">
        <v>4600</v>
      </c>
      <c r="I10684" t="s">
        <v>105</v>
      </c>
      <c r="J10684">
        <v>340.02</v>
      </c>
      <c r="K10684">
        <v>65.81</v>
      </c>
      <c r="L10684">
        <v>17809</v>
      </c>
      <c r="M10684" t="s">
        <v>376</v>
      </c>
      <c r="N10684" t="str">
        <f>"4440        "</f>
        <v xml:space="preserve">4440        </v>
      </c>
      <c r="O10684">
        <v>230601</v>
      </c>
    </row>
    <row r="10685" spans="1:15" x14ac:dyDescent="0.25">
      <c r="A10685" t="s">
        <v>16</v>
      </c>
      <c r="B10685" t="s">
        <v>3221</v>
      </c>
      <c r="C10685">
        <v>8196</v>
      </c>
      <c r="D10685" t="s">
        <v>1025</v>
      </c>
      <c r="E10685" t="s">
        <v>1026</v>
      </c>
      <c r="F10685">
        <v>67.959999999999994</v>
      </c>
      <c r="G10685">
        <v>230531</v>
      </c>
      <c r="H10685">
        <v>4600</v>
      </c>
      <c r="I10685" t="s">
        <v>105</v>
      </c>
      <c r="J10685">
        <v>84.27</v>
      </c>
      <c r="K10685">
        <v>16.309999999999999</v>
      </c>
      <c r="L10685">
        <v>17912</v>
      </c>
      <c r="M10685" t="s">
        <v>419</v>
      </c>
      <c r="N10685" t="str">
        <f>"4441        "</f>
        <v xml:space="preserve">4441        </v>
      </c>
      <c r="O10685">
        <v>230608</v>
      </c>
    </row>
    <row r="10686" spans="1:15" x14ac:dyDescent="0.25">
      <c r="A10686" t="s">
        <v>16</v>
      </c>
      <c r="B10686" t="s">
        <v>3221</v>
      </c>
      <c r="C10686">
        <v>8196</v>
      </c>
      <c r="D10686" t="s">
        <v>1025</v>
      </c>
      <c r="E10686" t="s">
        <v>1026</v>
      </c>
      <c r="F10686">
        <v>87.19</v>
      </c>
      <c r="G10686">
        <v>230531</v>
      </c>
      <c r="H10686">
        <v>4600</v>
      </c>
      <c r="I10686" t="s">
        <v>105</v>
      </c>
      <c r="J10686">
        <v>108.12</v>
      </c>
      <c r="K10686">
        <v>20.93</v>
      </c>
      <c r="L10686">
        <v>17971</v>
      </c>
      <c r="M10686" t="s">
        <v>138</v>
      </c>
      <c r="N10686" t="str">
        <f>"4441        "</f>
        <v xml:space="preserve">4441        </v>
      </c>
      <c r="O10686">
        <v>230608</v>
      </c>
    </row>
    <row r="10687" spans="1:15" x14ac:dyDescent="0.25">
      <c r="A10687" t="s">
        <v>16</v>
      </c>
      <c r="B10687" t="s">
        <v>3221</v>
      </c>
      <c r="C10687">
        <v>9312</v>
      </c>
      <c r="D10687" t="s">
        <v>1025</v>
      </c>
      <c r="E10687" t="s">
        <v>1026</v>
      </c>
      <c r="F10687">
        <v>42.33</v>
      </c>
      <c r="G10687">
        <v>230703</v>
      </c>
      <c r="H10687">
        <v>4600</v>
      </c>
      <c r="I10687" t="s">
        <v>105</v>
      </c>
      <c r="J10687">
        <v>52.49</v>
      </c>
      <c r="K10687">
        <v>10.16</v>
      </c>
      <c r="L10687">
        <v>17809</v>
      </c>
      <c r="M10687" t="s">
        <v>376</v>
      </c>
      <c r="N10687" t="str">
        <f>"4549        "</f>
        <v xml:space="preserve">4549        </v>
      </c>
      <c r="O10687">
        <v>230705</v>
      </c>
    </row>
    <row r="10688" spans="1:15" x14ac:dyDescent="0.25">
      <c r="A10688" t="s">
        <v>16</v>
      </c>
      <c r="B10688" t="s">
        <v>3221</v>
      </c>
      <c r="C10688">
        <v>9312</v>
      </c>
      <c r="D10688" t="s">
        <v>1025</v>
      </c>
      <c r="E10688" t="s">
        <v>1026</v>
      </c>
      <c r="F10688">
        <v>3.22</v>
      </c>
      <c r="G10688">
        <v>230703</v>
      </c>
      <c r="H10688">
        <v>4600</v>
      </c>
      <c r="I10688" t="s">
        <v>105</v>
      </c>
      <c r="J10688">
        <v>3.99</v>
      </c>
      <c r="K10688">
        <v>0.77</v>
      </c>
      <c r="L10688">
        <v>17951</v>
      </c>
      <c r="M10688" t="s">
        <v>87</v>
      </c>
      <c r="N10688" t="str">
        <f>"4549        "</f>
        <v xml:space="preserve">4549        </v>
      </c>
      <c r="O10688">
        <v>230705</v>
      </c>
    </row>
    <row r="10689" spans="1:15" x14ac:dyDescent="0.25">
      <c r="A10689" t="s">
        <v>16</v>
      </c>
      <c r="B10689" t="s">
        <v>3221</v>
      </c>
      <c r="C10689">
        <v>9286</v>
      </c>
      <c r="D10689" t="s">
        <v>1025</v>
      </c>
      <c r="E10689" t="s">
        <v>1026</v>
      </c>
      <c r="F10689">
        <v>49.03</v>
      </c>
      <c r="G10689">
        <v>230703</v>
      </c>
      <c r="H10689">
        <v>4600</v>
      </c>
      <c r="I10689" t="s">
        <v>105</v>
      </c>
      <c r="J10689">
        <v>60.8</v>
      </c>
      <c r="K10689">
        <v>11.77</v>
      </c>
      <c r="L10689">
        <v>17711</v>
      </c>
      <c r="M10689" t="s">
        <v>65</v>
      </c>
      <c r="N10689" t="str">
        <f>"4550        "</f>
        <v xml:space="preserve">4550        </v>
      </c>
      <c r="O10689">
        <v>230704</v>
      </c>
    </row>
    <row r="10690" spans="1:15" x14ac:dyDescent="0.25">
      <c r="A10690" t="s">
        <v>16</v>
      </c>
      <c r="B10690" t="s">
        <v>3221</v>
      </c>
      <c r="C10690">
        <v>9286</v>
      </c>
      <c r="D10690" t="s">
        <v>1025</v>
      </c>
      <c r="E10690" t="s">
        <v>1026</v>
      </c>
      <c r="F10690">
        <v>8.0299999999999994</v>
      </c>
      <c r="G10690">
        <v>230703</v>
      </c>
      <c r="H10690">
        <v>4600</v>
      </c>
      <c r="I10690" t="s">
        <v>105</v>
      </c>
      <c r="J10690">
        <v>9.9600000000000009</v>
      </c>
      <c r="K10690">
        <v>1.93</v>
      </c>
      <c r="L10690">
        <v>17971</v>
      </c>
      <c r="M10690" t="s">
        <v>138</v>
      </c>
      <c r="N10690" t="str">
        <f>"4550        "</f>
        <v xml:space="preserve">4550        </v>
      </c>
      <c r="O10690">
        <v>230704</v>
      </c>
    </row>
    <row r="10691" spans="1:15" x14ac:dyDescent="0.25">
      <c r="A10691" t="s">
        <v>16</v>
      </c>
      <c r="B10691" t="s">
        <v>3221</v>
      </c>
      <c r="C10691">
        <v>10007</v>
      </c>
      <c r="D10691" t="s">
        <v>1025</v>
      </c>
      <c r="E10691" t="s">
        <v>1026</v>
      </c>
      <c r="F10691">
        <v>94.91</v>
      </c>
      <c r="G10691">
        <v>230803</v>
      </c>
      <c r="H10691">
        <v>4600</v>
      </c>
      <c r="I10691" t="s">
        <v>105</v>
      </c>
      <c r="J10691">
        <v>117.69</v>
      </c>
      <c r="K10691">
        <v>22.78</v>
      </c>
      <c r="L10691">
        <v>17912</v>
      </c>
      <c r="M10691" t="s">
        <v>419</v>
      </c>
      <c r="N10691" t="str">
        <f>"4673        "</f>
        <v xml:space="preserve">4673        </v>
      </c>
      <c r="O10691">
        <v>230807</v>
      </c>
    </row>
    <row r="10692" spans="1:15" x14ac:dyDescent="0.25">
      <c r="A10692" t="s">
        <v>16</v>
      </c>
      <c r="B10692" t="s">
        <v>3221</v>
      </c>
      <c r="C10692">
        <v>11407</v>
      </c>
      <c r="D10692" t="s">
        <v>1025</v>
      </c>
      <c r="E10692" t="s">
        <v>1026</v>
      </c>
      <c r="F10692">
        <v>62.71</v>
      </c>
      <c r="G10692">
        <v>230903</v>
      </c>
      <c r="H10692">
        <v>4600</v>
      </c>
      <c r="I10692" t="s">
        <v>105</v>
      </c>
      <c r="J10692">
        <v>77.760000000000005</v>
      </c>
      <c r="K10692">
        <v>15.05</v>
      </c>
      <c r="L10692">
        <v>17809</v>
      </c>
      <c r="M10692" t="s">
        <v>376</v>
      </c>
      <c r="N10692" t="str">
        <f>"4774        "</f>
        <v xml:space="preserve">4774        </v>
      </c>
      <c r="O10692">
        <v>230905</v>
      </c>
    </row>
    <row r="10693" spans="1:15" x14ac:dyDescent="0.25">
      <c r="A10693" t="s">
        <v>16</v>
      </c>
      <c r="B10693" t="s">
        <v>3221</v>
      </c>
      <c r="C10693">
        <v>11407</v>
      </c>
      <c r="D10693" t="s">
        <v>1025</v>
      </c>
      <c r="E10693" t="s">
        <v>1026</v>
      </c>
      <c r="F10693">
        <v>13.48</v>
      </c>
      <c r="G10693">
        <v>230903</v>
      </c>
      <c r="H10693">
        <v>4600</v>
      </c>
      <c r="I10693" t="s">
        <v>105</v>
      </c>
      <c r="J10693">
        <v>16.71</v>
      </c>
      <c r="K10693">
        <v>3.23</v>
      </c>
      <c r="L10693">
        <v>17951</v>
      </c>
      <c r="M10693" t="s">
        <v>87</v>
      </c>
      <c r="N10693" t="str">
        <f>"4774        "</f>
        <v xml:space="preserve">4774        </v>
      </c>
      <c r="O10693">
        <v>230905</v>
      </c>
    </row>
    <row r="10694" spans="1:15" x14ac:dyDescent="0.25">
      <c r="A10694" t="s">
        <v>16</v>
      </c>
      <c r="B10694" t="s">
        <v>3221</v>
      </c>
      <c r="C10694">
        <v>11466</v>
      </c>
      <c r="D10694" t="s">
        <v>1025</v>
      </c>
      <c r="E10694" t="s">
        <v>1026</v>
      </c>
      <c r="F10694">
        <v>19.54</v>
      </c>
      <c r="G10694">
        <v>230903</v>
      </c>
      <c r="H10694">
        <v>4600</v>
      </c>
      <c r="I10694" t="s">
        <v>105</v>
      </c>
      <c r="J10694">
        <v>24.23</v>
      </c>
      <c r="K10694">
        <v>4.6900000000000004</v>
      </c>
      <c r="L10694">
        <v>17131</v>
      </c>
      <c r="M10694" t="s">
        <v>64</v>
      </c>
      <c r="N10694" t="str">
        <f>"4775        "</f>
        <v xml:space="preserve">4775        </v>
      </c>
      <c r="O10694">
        <v>230906</v>
      </c>
    </row>
    <row r="10695" spans="1:15" x14ac:dyDescent="0.25">
      <c r="A10695" t="s">
        <v>16</v>
      </c>
      <c r="B10695" t="s">
        <v>3221</v>
      </c>
      <c r="C10695">
        <v>11466</v>
      </c>
      <c r="D10695" t="s">
        <v>1025</v>
      </c>
      <c r="E10695" t="s">
        <v>1026</v>
      </c>
      <c r="F10695">
        <v>36.22</v>
      </c>
      <c r="G10695">
        <v>230903</v>
      </c>
      <c r="H10695">
        <v>4600</v>
      </c>
      <c r="I10695" t="s">
        <v>105</v>
      </c>
      <c r="J10695">
        <v>44.91</v>
      </c>
      <c r="K10695">
        <v>8.69</v>
      </c>
      <c r="L10695">
        <v>17912</v>
      </c>
      <c r="M10695" t="s">
        <v>419</v>
      </c>
      <c r="N10695" t="str">
        <f>"4775        "</f>
        <v xml:space="preserve">4775        </v>
      </c>
      <c r="O10695">
        <v>230906</v>
      </c>
    </row>
    <row r="10696" spans="1:15" x14ac:dyDescent="0.25">
      <c r="A10696" t="s">
        <v>16</v>
      </c>
      <c r="B10696" t="s">
        <v>3221</v>
      </c>
      <c r="C10696">
        <v>11466</v>
      </c>
      <c r="D10696" t="s">
        <v>1025</v>
      </c>
      <c r="E10696" t="s">
        <v>1026</v>
      </c>
      <c r="F10696">
        <v>118.79</v>
      </c>
      <c r="G10696">
        <v>230903</v>
      </c>
      <c r="H10696">
        <v>4600</v>
      </c>
      <c r="I10696" t="s">
        <v>105</v>
      </c>
      <c r="J10696">
        <v>147.30000000000001</v>
      </c>
      <c r="K10696">
        <v>28.51</v>
      </c>
      <c r="L10696">
        <v>17912</v>
      </c>
      <c r="M10696" t="s">
        <v>419</v>
      </c>
      <c r="N10696" t="str">
        <f>"4775        "</f>
        <v xml:space="preserve">4775        </v>
      </c>
      <c r="O10696">
        <v>230906</v>
      </c>
    </row>
    <row r="10697" spans="1:15" x14ac:dyDescent="0.25">
      <c r="A10697" t="s">
        <v>16</v>
      </c>
      <c r="B10697" t="s">
        <v>3221</v>
      </c>
      <c r="C10697">
        <v>11821</v>
      </c>
      <c r="D10697" t="s">
        <v>1025</v>
      </c>
      <c r="E10697" t="s">
        <v>1026</v>
      </c>
      <c r="F10697">
        <v>28.62</v>
      </c>
      <c r="G10697">
        <v>230903</v>
      </c>
      <c r="H10697">
        <v>4600</v>
      </c>
      <c r="I10697" t="s">
        <v>105</v>
      </c>
      <c r="J10697">
        <v>35.49</v>
      </c>
      <c r="K10697">
        <v>6.87</v>
      </c>
      <c r="L10697">
        <v>13802</v>
      </c>
      <c r="M10697" t="s">
        <v>200</v>
      </c>
      <c r="N10697" t="str">
        <f>"4789        "</f>
        <v xml:space="preserve">4789        </v>
      </c>
      <c r="O10697">
        <v>230911</v>
      </c>
    </row>
    <row r="10698" spans="1:15" x14ac:dyDescent="0.25">
      <c r="A10698" t="s">
        <v>16</v>
      </c>
      <c r="B10698" t="s">
        <v>3221</v>
      </c>
      <c r="C10698">
        <v>13263</v>
      </c>
      <c r="D10698" t="s">
        <v>1025</v>
      </c>
      <c r="E10698" t="s">
        <v>1026</v>
      </c>
      <c r="F10698">
        <v>8.0399999999999991</v>
      </c>
      <c r="G10698">
        <v>231002</v>
      </c>
      <c r="H10698">
        <v>4600</v>
      </c>
      <c r="I10698" t="s">
        <v>105</v>
      </c>
      <c r="J10698">
        <v>9.9700000000000006</v>
      </c>
      <c r="K10698">
        <v>1.93</v>
      </c>
      <c r="L10698">
        <v>17912</v>
      </c>
      <c r="M10698" t="s">
        <v>419</v>
      </c>
      <c r="N10698" t="str">
        <f>"4880        "</f>
        <v xml:space="preserve">4880        </v>
      </c>
      <c r="O10698">
        <v>231009</v>
      </c>
    </row>
    <row r="10699" spans="1:15" x14ac:dyDescent="0.25">
      <c r="A10699" t="s">
        <v>16</v>
      </c>
      <c r="B10699" t="s">
        <v>3221</v>
      </c>
      <c r="C10699">
        <v>13263</v>
      </c>
      <c r="D10699" t="s">
        <v>1025</v>
      </c>
      <c r="E10699" t="s">
        <v>1026</v>
      </c>
      <c r="F10699">
        <v>11.55</v>
      </c>
      <c r="G10699">
        <v>231002</v>
      </c>
      <c r="H10699">
        <v>4600</v>
      </c>
      <c r="I10699" t="s">
        <v>105</v>
      </c>
      <c r="J10699">
        <v>14.32</v>
      </c>
      <c r="K10699">
        <v>2.77</v>
      </c>
      <c r="L10699">
        <v>17912</v>
      </c>
      <c r="M10699" t="s">
        <v>419</v>
      </c>
      <c r="N10699" t="str">
        <f>"4880        "</f>
        <v xml:space="preserve">4880        </v>
      </c>
      <c r="O10699">
        <v>231009</v>
      </c>
    </row>
    <row r="10700" spans="1:15" x14ac:dyDescent="0.25">
      <c r="A10700" t="s">
        <v>16</v>
      </c>
      <c r="B10700" t="s">
        <v>3221</v>
      </c>
      <c r="C10700">
        <v>13263</v>
      </c>
      <c r="D10700" t="s">
        <v>1025</v>
      </c>
      <c r="E10700" t="s">
        <v>1026</v>
      </c>
      <c r="F10700">
        <v>3.23</v>
      </c>
      <c r="G10700">
        <v>231002</v>
      </c>
      <c r="H10700">
        <v>4600</v>
      </c>
      <c r="I10700" t="s">
        <v>105</v>
      </c>
      <c r="J10700">
        <v>4</v>
      </c>
      <c r="K10700">
        <v>0.77</v>
      </c>
      <c r="L10700">
        <v>17951</v>
      </c>
      <c r="M10700" t="s">
        <v>87</v>
      </c>
      <c r="N10700" t="str">
        <f>"4880        "</f>
        <v xml:space="preserve">4880        </v>
      </c>
      <c r="O10700">
        <v>231009</v>
      </c>
    </row>
    <row r="10701" spans="1:15" x14ac:dyDescent="0.25">
      <c r="A10701" t="s">
        <v>16</v>
      </c>
      <c r="B10701" t="s">
        <v>3221</v>
      </c>
      <c r="C10701">
        <v>13263</v>
      </c>
      <c r="D10701" t="s">
        <v>1025</v>
      </c>
      <c r="E10701" t="s">
        <v>1026</v>
      </c>
      <c r="F10701">
        <v>24.35</v>
      </c>
      <c r="G10701">
        <v>231002</v>
      </c>
      <c r="H10701">
        <v>4600</v>
      </c>
      <c r="I10701" t="s">
        <v>105</v>
      </c>
      <c r="J10701">
        <v>30.2</v>
      </c>
      <c r="K10701">
        <v>5.85</v>
      </c>
      <c r="L10701">
        <v>17951</v>
      </c>
      <c r="M10701" t="s">
        <v>87</v>
      </c>
      <c r="N10701" t="str">
        <f>"4880        "</f>
        <v xml:space="preserve">4880        </v>
      </c>
      <c r="O10701">
        <v>231009</v>
      </c>
    </row>
    <row r="10702" spans="1:15" x14ac:dyDescent="0.25">
      <c r="A10702" t="s">
        <v>16</v>
      </c>
      <c r="B10702" t="s">
        <v>3221</v>
      </c>
      <c r="C10702">
        <v>13306</v>
      </c>
      <c r="D10702" t="s">
        <v>1025</v>
      </c>
      <c r="E10702" t="s">
        <v>1026</v>
      </c>
      <c r="F10702">
        <v>77.28</v>
      </c>
      <c r="G10702">
        <v>231002</v>
      </c>
      <c r="H10702">
        <v>4600</v>
      </c>
      <c r="I10702" t="s">
        <v>105</v>
      </c>
      <c r="J10702">
        <v>95.83</v>
      </c>
      <c r="K10702">
        <v>18.55</v>
      </c>
      <c r="L10702">
        <v>17806</v>
      </c>
      <c r="M10702" t="s">
        <v>265</v>
      </c>
      <c r="N10702" t="str">
        <f>"4879        "</f>
        <v xml:space="preserve">4879        </v>
      </c>
      <c r="O10702">
        <v>231009</v>
      </c>
    </row>
    <row r="10703" spans="1:15" x14ac:dyDescent="0.25">
      <c r="A10703" t="s">
        <v>16</v>
      </c>
      <c r="B10703" t="s">
        <v>3221</v>
      </c>
      <c r="C10703">
        <v>13306</v>
      </c>
      <c r="D10703" t="s">
        <v>1025</v>
      </c>
      <c r="E10703" t="s">
        <v>1026</v>
      </c>
      <c r="F10703">
        <v>36.06</v>
      </c>
      <c r="G10703">
        <v>231002</v>
      </c>
      <c r="H10703">
        <v>4600</v>
      </c>
      <c r="I10703" t="s">
        <v>105</v>
      </c>
      <c r="J10703">
        <v>44.72</v>
      </c>
      <c r="K10703">
        <v>8.66</v>
      </c>
      <c r="L10703">
        <v>17807</v>
      </c>
      <c r="M10703" t="s">
        <v>318</v>
      </c>
      <c r="N10703" t="str">
        <f>"4879        "</f>
        <v xml:space="preserve">4879        </v>
      </c>
      <c r="O10703">
        <v>231009</v>
      </c>
    </row>
    <row r="10704" spans="1:15" x14ac:dyDescent="0.25">
      <c r="A10704" t="s">
        <v>16</v>
      </c>
      <c r="B10704" t="s">
        <v>3221</v>
      </c>
      <c r="C10704">
        <v>13306</v>
      </c>
      <c r="D10704" t="s">
        <v>1025</v>
      </c>
      <c r="E10704" t="s">
        <v>1026</v>
      </c>
      <c r="F10704">
        <v>15.66</v>
      </c>
      <c r="G10704">
        <v>231002</v>
      </c>
      <c r="H10704">
        <v>4600</v>
      </c>
      <c r="I10704" t="s">
        <v>105</v>
      </c>
      <c r="J10704">
        <v>19.420000000000002</v>
      </c>
      <c r="K10704">
        <v>3.76</v>
      </c>
      <c r="L10704">
        <v>17951</v>
      </c>
      <c r="M10704" t="s">
        <v>87</v>
      </c>
      <c r="N10704" t="str">
        <f>"4879        "</f>
        <v xml:space="preserve">4879        </v>
      </c>
      <c r="O10704">
        <v>231009</v>
      </c>
    </row>
    <row r="10705" spans="1:15" x14ac:dyDescent="0.25">
      <c r="A10705" t="s">
        <v>16</v>
      </c>
      <c r="B10705" t="s">
        <v>3221</v>
      </c>
      <c r="C10705">
        <v>14154</v>
      </c>
      <c r="D10705" t="s">
        <v>1025</v>
      </c>
      <c r="E10705" t="s">
        <v>1026</v>
      </c>
      <c r="F10705">
        <v>79.739999999999995</v>
      </c>
      <c r="G10705">
        <v>231002</v>
      </c>
      <c r="H10705">
        <v>4600</v>
      </c>
      <c r="I10705" t="s">
        <v>105</v>
      </c>
      <c r="J10705">
        <v>98.88</v>
      </c>
      <c r="K10705">
        <v>19.14</v>
      </c>
      <c r="L10705">
        <v>13801</v>
      </c>
      <c r="M10705" t="s">
        <v>162</v>
      </c>
      <c r="N10705" t="str">
        <f>"4899        "</f>
        <v xml:space="preserve">4899        </v>
      </c>
      <c r="O10705">
        <v>231019</v>
      </c>
    </row>
    <row r="10706" spans="1:15" x14ac:dyDescent="0.25">
      <c r="A10706" t="s">
        <v>16</v>
      </c>
      <c r="B10706" t="s">
        <v>3221</v>
      </c>
      <c r="C10706">
        <v>16593</v>
      </c>
      <c r="D10706" t="s">
        <v>1025</v>
      </c>
      <c r="E10706" t="s">
        <v>1026</v>
      </c>
      <c r="F10706">
        <v>10.85</v>
      </c>
      <c r="G10706">
        <v>231201</v>
      </c>
      <c r="H10706">
        <v>4600</v>
      </c>
      <c r="I10706" t="s">
        <v>105</v>
      </c>
      <c r="J10706">
        <v>13.46</v>
      </c>
      <c r="K10706">
        <v>2.61</v>
      </c>
      <c r="L10706">
        <v>17912</v>
      </c>
      <c r="M10706" t="s">
        <v>419</v>
      </c>
      <c r="N10706" t="str">
        <f>"5050        "</f>
        <v xml:space="preserve">5050        </v>
      </c>
      <c r="O10706">
        <v>231204</v>
      </c>
    </row>
    <row r="10707" spans="1:15" x14ac:dyDescent="0.25">
      <c r="A10707" t="s">
        <v>16</v>
      </c>
      <c r="B10707" t="s">
        <v>3221</v>
      </c>
      <c r="C10707">
        <v>16593</v>
      </c>
      <c r="D10707" t="s">
        <v>1025</v>
      </c>
      <c r="E10707" t="s">
        <v>1026</v>
      </c>
      <c r="F10707">
        <v>16.100000000000001</v>
      </c>
      <c r="G10707">
        <v>231201</v>
      </c>
      <c r="H10707">
        <v>4600</v>
      </c>
      <c r="I10707" t="s">
        <v>105</v>
      </c>
      <c r="J10707">
        <v>19.96</v>
      </c>
      <c r="K10707">
        <v>3.86</v>
      </c>
      <c r="L10707">
        <v>17912</v>
      </c>
      <c r="M10707" t="s">
        <v>419</v>
      </c>
      <c r="N10707" t="str">
        <f>"5050        "</f>
        <v xml:space="preserve">5050        </v>
      </c>
      <c r="O10707">
        <v>231204</v>
      </c>
    </row>
    <row r="10708" spans="1:15" x14ac:dyDescent="0.25">
      <c r="A10708" t="s">
        <v>16</v>
      </c>
      <c r="B10708" t="s">
        <v>3221</v>
      </c>
      <c r="C10708">
        <v>16593</v>
      </c>
      <c r="D10708" t="s">
        <v>1025</v>
      </c>
      <c r="E10708" t="s">
        <v>1026</v>
      </c>
      <c r="F10708">
        <v>33.61</v>
      </c>
      <c r="G10708">
        <v>231201</v>
      </c>
      <c r="H10708">
        <v>4600</v>
      </c>
      <c r="I10708" t="s">
        <v>105</v>
      </c>
      <c r="J10708">
        <v>41.68</v>
      </c>
      <c r="K10708">
        <v>8.07</v>
      </c>
      <c r="L10708">
        <v>17912</v>
      </c>
      <c r="M10708" t="s">
        <v>419</v>
      </c>
      <c r="N10708" t="str">
        <f>"5050        "</f>
        <v xml:space="preserve">5050        </v>
      </c>
      <c r="O10708">
        <v>231204</v>
      </c>
    </row>
    <row r="10709" spans="1:15" x14ac:dyDescent="0.25">
      <c r="A10709" t="s">
        <v>16</v>
      </c>
      <c r="B10709" t="s">
        <v>3221</v>
      </c>
      <c r="C10709">
        <v>16593</v>
      </c>
      <c r="D10709" t="s">
        <v>1025</v>
      </c>
      <c r="E10709" t="s">
        <v>1026</v>
      </c>
      <c r="F10709">
        <v>34.04</v>
      </c>
      <c r="G10709">
        <v>231201</v>
      </c>
      <c r="H10709">
        <v>4600</v>
      </c>
      <c r="I10709" t="s">
        <v>105</v>
      </c>
      <c r="J10709">
        <v>42.21</v>
      </c>
      <c r="K10709">
        <v>8.17</v>
      </c>
      <c r="L10709">
        <v>17912</v>
      </c>
      <c r="M10709" t="s">
        <v>419</v>
      </c>
      <c r="N10709" t="str">
        <f>"5050        "</f>
        <v xml:space="preserve">5050        </v>
      </c>
      <c r="O10709">
        <v>231204</v>
      </c>
    </row>
    <row r="10710" spans="1:15" x14ac:dyDescent="0.25">
      <c r="A10710" t="s">
        <v>16</v>
      </c>
      <c r="B10710" t="s">
        <v>3221</v>
      </c>
      <c r="C10710">
        <v>16593</v>
      </c>
      <c r="D10710" t="s">
        <v>1025</v>
      </c>
      <c r="E10710" t="s">
        <v>1026</v>
      </c>
      <c r="F10710">
        <v>112.07</v>
      </c>
      <c r="G10710">
        <v>231201</v>
      </c>
      <c r="H10710">
        <v>4600</v>
      </c>
      <c r="I10710" t="s">
        <v>105</v>
      </c>
      <c r="J10710">
        <v>138.97</v>
      </c>
      <c r="K10710">
        <v>26.9</v>
      </c>
      <c r="L10710">
        <v>17912</v>
      </c>
      <c r="M10710" t="s">
        <v>419</v>
      </c>
      <c r="N10710" t="str">
        <f>"5050        "</f>
        <v xml:space="preserve">5050        </v>
      </c>
      <c r="O10710">
        <v>231204</v>
      </c>
    </row>
    <row r="10711" spans="1:15" x14ac:dyDescent="0.25">
      <c r="A10711" t="s">
        <v>16</v>
      </c>
      <c r="B10711" t="s">
        <v>3221</v>
      </c>
      <c r="C10711">
        <v>16953</v>
      </c>
      <c r="D10711" t="s">
        <v>1025</v>
      </c>
      <c r="E10711" t="s">
        <v>1026</v>
      </c>
      <c r="F10711">
        <v>32.17</v>
      </c>
      <c r="G10711">
        <v>231201</v>
      </c>
      <c r="H10711">
        <v>4600</v>
      </c>
      <c r="I10711" t="s">
        <v>105</v>
      </c>
      <c r="J10711">
        <v>39.89</v>
      </c>
      <c r="K10711">
        <v>7.72</v>
      </c>
      <c r="L10711">
        <v>17803</v>
      </c>
      <c r="M10711" t="s">
        <v>389</v>
      </c>
      <c r="N10711" t="str">
        <f t="shared" ref="N10711:N10720" si="175">"5049        "</f>
        <v xml:space="preserve">5049        </v>
      </c>
      <c r="O10711">
        <v>231211</v>
      </c>
    </row>
    <row r="10712" spans="1:15" x14ac:dyDescent="0.25">
      <c r="A10712" t="s">
        <v>16</v>
      </c>
      <c r="B10712" t="s">
        <v>3221</v>
      </c>
      <c r="C10712">
        <v>16953</v>
      </c>
      <c r="D10712" t="s">
        <v>1025</v>
      </c>
      <c r="E10712" t="s">
        <v>1026</v>
      </c>
      <c r="F10712">
        <v>53.97</v>
      </c>
      <c r="G10712">
        <v>231201</v>
      </c>
      <c r="H10712">
        <v>4600</v>
      </c>
      <c r="I10712" t="s">
        <v>105</v>
      </c>
      <c r="J10712">
        <v>66.92</v>
      </c>
      <c r="K10712">
        <v>12.95</v>
      </c>
      <c r="L10712">
        <v>17803</v>
      </c>
      <c r="M10712" t="s">
        <v>389</v>
      </c>
      <c r="N10712" t="str">
        <f t="shared" si="175"/>
        <v xml:space="preserve">5049        </v>
      </c>
      <c r="O10712">
        <v>231211</v>
      </c>
    </row>
    <row r="10713" spans="1:15" x14ac:dyDescent="0.25">
      <c r="A10713" t="s">
        <v>16</v>
      </c>
      <c r="B10713" t="s">
        <v>3221</v>
      </c>
      <c r="C10713">
        <v>16953</v>
      </c>
      <c r="D10713" t="s">
        <v>1025</v>
      </c>
      <c r="E10713" t="s">
        <v>1026</v>
      </c>
      <c r="F10713">
        <v>12.88</v>
      </c>
      <c r="G10713">
        <v>231201</v>
      </c>
      <c r="H10713">
        <v>4600</v>
      </c>
      <c r="I10713" t="s">
        <v>105</v>
      </c>
      <c r="J10713">
        <v>15.97</v>
      </c>
      <c r="K10713">
        <v>3.09</v>
      </c>
      <c r="L10713">
        <v>17807</v>
      </c>
      <c r="M10713" t="s">
        <v>318</v>
      </c>
      <c r="N10713" t="str">
        <f t="shared" si="175"/>
        <v xml:space="preserve">5049        </v>
      </c>
      <c r="O10713">
        <v>231211</v>
      </c>
    </row>
    <row r="10714" spans="1:15" x14ac:dyDescent="0.25">
      <c r="A10714" t="s">
        <v>16</v>
      </c>
      <c r="B10714" t="s">
        <v>3221</v>
      </c>
      <c r="C10714">
        <v>16953</v>
      </c>
      <c r="D10714" t="s">
        <v>1025</v>
      </c>
      <c r="E10714" t="s">
        <v>1026</v>
      </c>
      <c r="F10714">
        <v>26.14</v>
      </c>
      <c r="G10714">
        <v>231201</v>
      </c>
      <c r="H10714">
        <v>4600</v>
      </c>
      <c r="I10714" t="s">
        <v>105</v>
      </c>
      <c r="J10714">
        <v>32.409999999999997</v>
      </c>
      <c r="K10714">
        <v>6.27</v>
      </c>
      <c r="L10714">
        <v>17807</v>
      </c>
      <c r="M10714" t="s">
        <v>318</v>
      </c>
      <c r="N10714" t="str">
        <f t="shared" si="175"/>
        <v xml:space="preserve">5049        </v>
      </c>
      <c r="O10714">
        <v>231211</v>
      </c>
    </row>
    <row r="10715" spans="1:15" x14ac:dyDescent="0.25">
      <c r="A10715" t="s">
        <v>16</v>
      </c>
      <c r="B10715" t="s">
        <v>3221</v>
      </c>
      <c r="C10715">
        <v>16953</v>
      </c>
      <c r="D10715" t="s">
        <v>1025</v>
      </c>
      <c r="E10715" t="s">
        <v>1026</v>
      </c>
      <c r="F10715">
        <v>6.44</v>
      </c>
      <c r="G10715">
        <v>231201</v>
      </c>
      <c r="H10715">
        <v>4600</v>
      </c>
      <c r="I10715" t="s">
        <v>105</v>
      </c>
      <c r="J10715">
        <v>7.98</v>
      </c>
      <c r="K10715">
        <v>1.54</v>
      </c>
      <c r="L10715">
        <v>17809</v>
      </c>
      <c r="M10715" t="s">
        <v>376</v>
      </c>
      <c r="N10715" t="str">
        <f t="shared" si="175"/>
        <v xml:space="preserve">5049        </v>
      </c>
      <c r="O10715">
        <v>231211</v>
      </c>
    </row>
    <row r="10716" spans="1:15" x14ac:dyDescent="0.25">
      <c r="A10716" t="s">
        <v>16</v>
      </c>
      <c r="B10716" t="s">
        <v>3221</v>
      </c>
      <c r="C10716">
        <v>16953</v>
      </c>
      <c r="D10716" t="s">
        <v>1025</v>
      </c>
      <c r="E10716" t="s">
        <v>1026</v>
      </c>
      <c r="F10716">
        <v>52.37</v>
      </c>
      <c r="G10716">
        <v>231201</v>
      </c>
      <c r="H10716">
        <v>4600</v>
      </c>
      <c r="I10716" t="s">
        <v>105</v>
      </c>
      <c r="J10716">
        <v>64.94</v>
      </c>
      <c r="K10716">
        <v>12.57</v>
      </c>
      <c r="L10716">
        <v>17809</v>
      </c>
      <c r="M10716" t="s">
        <v>376</v>
      </c>
      <c r="N10716" t="str">
        <f t="shared" si="175"/>
        <v xml:space="preserve">5049        </v>
      </c>
      <c r="O10716">
        <v>231211</v>
      </c>
    </row>
    <row r="10717" spans="1:15" x14ac:dyDescent="0.25">
      <c r="A10717" t="s">
        <v>16</v>
      </c>
      <c r="B10717" t="s">
        <v>3221</v>
      </c>
      <c r="C10717">
        <v>16953</v>
      </c>
      <c r="D10717" t="s">
        <v>1025</v>
      </c>
      <c r="E10717" t="s">
        <v>1026</v>
      </c>
      <c r="F10717">
        <v>12.86</v>
      </c>
      <c r="G10717">
        <v>231201</v>
      </c>
      <c r="H10717">
        <v>4600</v>
      </c>
      <c r="I10717" t="s">
        <v>105</v>
      </c>
      <c r="J10717">
        <v>15.95</v>
      </c>
      <c r="K10717">
        <v>3.09</v>
      </c>
      <c r="L10717">
        <v>17913</v>
      </c>
      <c r="M10717" t="s">
        <v>431</v>
      </c>
      <c r="N10717" t="str">
        <f t="shared" si="175"/>
        <v xml:space="preserve">5049        </v>
      </c>
      <c r="O10717">
        <v>231211</v>
      </c>
    </row>
    <row r="10718" spans="1:15" x14ac:dyDescent="0.25">
      <c r="A10718" t="s">
        <v>16</v>
      </c>
      <c r="B10718" t="s">
        <v>3221</v>
      </c>
      <c r="C10718">
        <v>16953</v>
      </c>
      <c r="D10718" t="s">
        <v>1025</v>
      </c>
      <c r="E10718" t="s">
        <v>1026</v>
      </c>
      <c r="F10718">
        <v>28.9</v>
      </c>
      <c r="G10718">
        <v>231201</v>
      </c>
      <c r="H10718">
        <v>4600</v>
      </c>
      <c r="I10718" t="s">
        <v>105</v>
      </c>
      <c r="J10718">
        <v>35.840000000000003</v>
      </c>
      <c r="K10718">
        <v>6.94</v>
      </c>
      <c r="L10718">
        <v>17913</v>
      </c>
      <c r="M10718" t="s">
        <v>431</v>
      </c>
      <c r="N10718" t="str">
        <f t="shared" si="175"/>
        <v xml:space="preserve">5049        </v>
      </c>
      <c r="O10718">
        <v>231211</v>
      </c>
    </row>
    <row r="10719" spans="1:15" x14ac:dyDescent="0.25">
      <c r="A10719" t="s">
        <v>16</v>
      </c>
      <c r="B10719" t="s">
        <v>3221</v>
      </c>
      <c r="C10719">
        <v>16953</v>
      </c>
      <c r="D10719" t="s">
        <v>1025</v>
      </c>
      <c r="E10719" t="s">
        <v>1026</v>
      </c>
      <c r="F10719">
        <v>1.9</v>
      </c>
      <c r="G10719">
        <v>231201</v>
      </c>
      <c r="H10719">
        <v>4600</v>
      </c>
      <c r="I10719" t="s">
        <v>105</v>
      </c>
      <c r="J10719">
        <v>2.36</v>
      </c>
      <c r="K10719">
        <v>0.46</v>
      </c>
      <c r="L10719">
        <v>17951</v>
      </c>
      <c r="M10719" t="s">
        <v>87</v>
      </c>
      <c r="N10719" t="str">
        <f t="shared" si="175"/>
        <v xml:space="preserve">5049        </v>
      </c>
      <c r="O10719">
        <v>231211</v>
      </c>
    </row>
    <row r="10720" spans="1:15" x14ac:dyDescent="0.25">
      <c r="A10720" t="s">
        <v>16</v>
      </c>
      <c r="B10720" t="s">
        <v>3221</v>
      </c>
      <c r="C10720">
        <v>16953</v>
      </c>
      <c r="D10720" t="s">
        <v>1025</v>
      </c>
      <c r="E10720" t="s">
        <v>1026</v>
      </c>
      <c r="F10720">
        <v>14.5</v>
      </c>
      <c r="G10720">
        <v>231201</v>
      </c>
      <c r="H10720">
        <v>4600</v>
      </c>
      <c r="I10720" t="s">
        <v>105</v>
      </c>
      <c r="J10720">
        <v>17.98</v>
      </c>
      <c r="K10720">
        <v>3.48</v>
      </c>
      <c r="L10720">
        <v>17951</v>
      </c>
      <c r="M10720" t="s">
        <v>87</v>
      </c>
      <c r="N10720" t="str">
        <f t="shared" si="175"/>
        <v xml:space="preserve">5049        </v>
      </c>
      <c r="O10720">
        <v>231211</v>
      </c>
    </row>
    <row r="10721" spans="1:15" x14ac:dyDescent="0.25">
      <c r="A10721" t="s">
        <v>16</v>
      </c>
      <c r="B10721" t="s">
        <v>3221</v>
      </c>
      <c r="C10721">
        <v>9312</v>
      </c>
      <c r="D10721" t="s">
        <v>1025</v>
      </c>
      <c r="E10721" t="s">
        <v>1026</v>
      </c>
      <c r="F10721">
        <v>54.52</v>
      </c>
      <c r="G10721">
        <v>230703</v>
      </c>
      <c r="H10721">
        <v>4560</v>
      </c>
      <c r="I10721" t="s">
        <v>345</v>
      </c>
      <c r="J10721">
        <v>67.599999999999994</v>
      </c>
      <c r="K10721">
        <v>13.08</v>
      </c>
      <c r="L10721">
        <v>17951</v>
      </c>
      <c r="M10721" t="s">
        <v>87</v>
      </c>
      <c r="N10721" t="str">
        <f>"4549        "</f>
        <v xml:space="preserve">4549        </v>
      </c>
      <c r="O10721">
        <v>230705</v>
      </c>
    </row>
    <row r="10722" spans="1:15" x14ac:dyDescent="0.25">
      <c r="A10722" t="s">
        <v>16</v>
      </c>
      <c r="B10722" t="s">
        <v>3221</v>
      </c>
      <c r="C10722">
        <v>11407</v>
      </c>
      <c r="D10722" t="s">
        <v>1025</v>
      </c>
      <c r="E10722" t="s">
        <v>1026</v>
      </c>
      <c r="F10722">
        <v>27.26</v>
      </c>
      <c r="G10722">
        <v>230903</v>
      </c>
      <c r="H10722">
        <v>4560</v>
      </c>
      <c r="I10722" t="s">
        <v>345</v>
      </c>
      <c r="J10722">
        <v>33.799999999999997</v>
      </c>
      <c r="K10722">
        <v>6.54</v>
      </c>
      <c r="L10722">
        <v>17951</v>
      </c>
      <c r="M10722" t="s">
        <v>87</v>
      </c>
      <c r="N10722" t="str">
        <f>"4774        "</f>
        <v xml:space="preserve">4774        </v>
      </c>
      <c r="O10722">
        <v>230905</v>
      </c>
    </row>
    <row r="10723" spans="1:15" x14ac:dyDescent="0.25">
      <c r="A10723" t="s">
        <v>16</v>
      </c>
      <c r="B10723" t="s">
        <v>3221</v>
      </c>
      <c r="C10723">
        <v>16953</v>
      </c>
      <c r="D10723" t="s">
        <v>1025</v>
      </c>
      <c r="E10723" t="s">
        <v>1026</v>
      </c>
      <c r="F10723">
        <v>51.29</v>
      </c>
      <c r="G10723">
        <v>231201</v>
      </c>
      <c r="H10723">
        <v>4560</v>
      </c>
      <c r="I10723" t="s">
        <v>345</v>
      </c>
      <c r="J10723">
        <v>63.6</v>
      </c>
      <c r="K10723">
        <v>12.31</v>
      </c>
      <c r="L10723">
        <v>17951</v>
      </c>
      <c r="M10723" t="s">
        <v>87</v>
      </c>
      <c r="N10723" t="str">
        <f>"5049        "</f>
        <v xml:space="preserve">5049        </v>
      </c>
      <c r="O10723">
        <v>231211</v>
      </c>
    </row>
    <row r="10724" spans="1:15" x14ac:dyDescent="0.25">
      <c r="A10724" t="s">
        <v>16</v>
      </c>
      <c r="B10724" t="s">
        <v>3221</v>
      </c>
      <c r="C10724">
        <v>1368</v>
      </c>
      <c r="D10724" t="s">
        <v>1025</v>
      </c>
      <c r="E10724" t="s">
        <v>1026</v>
      </c>
      <c r="F10724">
        <v>36.520000000000003</v>
      </c>
      <c r="G10724">
        <v>230205</v>
      </c>
      <c r="H10724">
        <v>4590</v>
      </c>
      <c r="I10724" t="s">
        <v>203</v>
      </c>
      <c r="J10724">
        <v>45.28</v>
      </c>
      <c r="K10724">
        <v>8.76</v>
      </c>
      <c r="L10724">
        <v>17951</v>
      </c>
      <c r="M10724" t="s">
        <v>87</v>
      </c>
      <c r="N10724" t="str">
        <f>"4149        "</f>
        <v xml:space="preserve">4149        </v>
      </c>
      <c r="O10724">
        <v>230208</v>
      </c>
    </row>
    <row r="10725" spans="1:15" x14ac:dyDescent="0.25">
      <c r="A10725" t="s">
        <v>16</v>
      </c>
      <c r="B10725" t="s">
        <v>3221</v>
      </c>
      <c r="C10725">
        <v>4720</v>
      </c>
      <c r="D10725" t="s">
        <v>1025</v>
      </c>
      <c r="E10725" t="s">
        <v>1026</v>
      </c>
      <c r="F10725">
        <v>128.71</v>
      </c>
      <c r="G10725">
        <v>230405</v>
      </c>
      <c r="H10725">
        <v>4590</v>
      </c>
      <c r="I10725" t="s">
        <v>203</v>
      </c>
      <c r="J10725">
        <v>159.6</v>
      </c>
      <c r="K10725">
        <v>30.89</v>
      </c>
      <c r="L10725">
        <v>17806</v>
      </c>
      <c r="M10725" t="s">
        <v>265</v>
      </c>
      <c r="N10725" t="str">
        <f>"4254        "</f>
        <v xml:space="preserve">4254        </v>
      </c>
      <c r="O10725">
        <v>230412</v>
      </c>
    </row>
    <row r="10726" spans="1:15" x14ac:dyDescent="0.25">
      <c r="A10726" t="s">
        <v>16</v>
      </c>
      <c r="B10726" t="s">
        <v>3221</v>
      </c>
      <c r="C10726">
        <v>8196</v>
      </c>
      <c r="D10726" t="s">
        <v>1025</v>
      </c>
      <c r="E10726" t="s">
        <v>1026</v>
      </c>
      <c r="F10726">
        <v>96.61</v>
      </c>
      <c r="G10726">
        <v>230531</v>
      </c>
      <c r="H10726">
        <v>4590</v>
      </c>
      <c r="I10726" t="s">
        <v>203</v>
      </c>
      <c r="J10726">
        <v>119.8</v>
      </c>
      <c r="K10726">
        <v>23.19</v>
      </c>
      <c r="L10726">
        <v>17711</v>
      </c>
      <c r="M10726" t="s">
        <v>65</v>
      </c>
      <c r="N10726" t="str">
        <f>"4441        "</f>
        <v xml:space="preserve">4441        </v>
      </c>
      <c r="O10726">
        <v>230608</v>
      </c>
    </row>
    <row r="10727" spans="1:15" x14ac:dyDescent="0.25">
      <c r="A10727" t="s">
        <v>16</v>
      </c>
      <c r="B10727" t="s">
        <v>3221</v>
      </c>
      <c r="C10727">
        <v>16953</v>
      </c>
      <c r="D10727" t="s">
        <v>1025</v>
      </c>
      <c r="E10727" t="s">
        <v>1026</v>
      </c>
      <c r="F10727">
        <v>20.92</v>
      </c>
      <c r="G10727">
        <v>231201</v>
      </c>
      <c r="H10727">
        <v>4590</v>
      </c>
      <c r="I10727" t="s">
        <v>203</v>
      </c>
      <c r="J10727">
        <v>25.94</v>
      </c>
      <c r="K10727">
        <v>5.0199999999999996</v>
      </c>
      <c r="L10727">
        <v>17803</v>
      </c>
      <c r="M10727" t="s">
        <v>389</v>
      </c>
      <c r="N10727" t="str">
        <f>"5049        "</f>
        <v xml:space="preserve">5049        </v>
      </c>
      <c r="O10727">
        <v>231211</v>
      </c>
    </row>
    <row r="10728" spans="1:15" x14ac:dyDescent="0.25">
      <c r="A10728" t="s">
        <v>16</v>
      </c>
      <c r="B10728" t="s">
        <v>3221</v>
      </c>
      <c r="C10728">
        <v>4720</v>
      </c>
      <c r="D10728" t="s">
        <v>1025</v>
      </c>
      <c r="E10728" t="s">
        <v>1026</v>
      </c>
      <c r="F10728">
        <v>17.059999999999999</v>
      </c>
      <c r="G10728">
        <v>230405</v>
      </c>
      <c r="H10728">
        <v>4550</v>
      </c>
      <c r="I10728" t="s">
        <v>312</v>
      </c>
      <c r="J10728">
        <v>21.16</v>
      </c>
      <c r="K10728">
        <v>4.0999999999999996</v>
      </c>
      <c r="L10728">
        <v>17951</v>
      </c>
      <c r="M10728" t="s">
        <v>87</v>
      </c>
      <c r="N10728" t="str">
        <f>"4254        "</f>
        <v xml:space="preserve">4254        </v>
      </c>
      <c r="O10728">
        <v>230412</v>
      </c>
    </row>
    <row r="10729" spans="1:15" x14ac:dyDescent="0.25">
      <c r="A10729" t="s">
        <v>16</v>
      </c>
      <c r="B10729" t="s">
        <v>3221</v>
      </c>
      <c r="C10729">
        <v>9286</v>
      </c>
      <c r="D10729" t="s">
        <v>1025</v>
      </c>
      <c r="E10729" t="s">
        <v>1026</v>
      </c>
      <c r="F10729">
        <v>143.11000000000001</v>
      </c>
      <c r="G10729">
        <v>230703</v>
      </c>
      <c r="H10729">
        <v>4550</v>
      </c>
      <c r="I10729" t="s">
        <v>312</v>
      </c>
      <c r="J10729">
        <v>177.46</v>
      </c>
      <c r="K10729">
        <v>34.35</v>
      </c>
      <c r="L10729">
        <v>17912</v>
      </c>
      <c r="M10729" t="s">
        <v>419</v>
      </c>
      <c r="N10729" t="str">
        <f>"4550        "</f>
        <v xml:space="preserve">4550        </v>
      </c>
      <c r="O10729">
        <v>230704</v>
      </c>
    </row>
    <row r="10730" spans="1:15" x14ac:dyDescent="0.25">
      <c r="A10730" t="s">
        <v>16</v>
      </c>
      <c r="B10730" t="s">
        <v>3221</v>
      </c>
      <c r="C10730">
        <v>16593</v>
      </c>
      <c r="D10730" t="s">
        <v>1025</v>
      </c>
      <c r="E10730" t="s">
        <v>1026</v>
      </c>
      <c r="F10730">
        <v>19.329999999999998</v>
      </c>
      <c r="G10730">
        <v>231201</v>
      </c>
      <c r="H10730">
        <v>4550</v>
      </c>
      <c r="I10730" t="s">
        <v>312</v>
      </c>
      <c r="J10730">
        <v>23.97</v>
      </c>
      <c r="K10730">
        <v>4.6399999999999997</v>
      </c>
      <c r="L10730">
        <v>17912</v>
      </c>
      <c r="M10730" t="s">
        <v>419</v>
      </c>
      <c r="N10730" t="str">
        <f>"5050        "</f>
        <v xml:space="preserve">5050        </v>
      </c>
      <c r="O10730">
        <v>231204</v>
      </c>
    </row>
    <row r="10731" spans="1:15" x14ac:dyDescent="0.25">
      <c r="A10731" t="s">
        <v>16</v>
      </c>
      <c r="B10731" t="s">
        <v>3221</v>
      </c>
      <c r="C10731">
        <v>13306</v>
      </c>
      <c r="D10731" t="s">
        <v>1025</v>
      </c>
      <c r="E10731" t="s">
        <v>1026</v>
      </c>
      <c r="F10731">
        <v>50.66</v>
      </c>
      <c r="G10731">
        <v>231002</v>
      </c>
      <c r="H10731">
        <v>4572</v>
      </c>
      <c r="I10731" t="s">
        <v>122</v>
      </c>
      <c r="J10731">
        <v>62.82</v>
      </c>
      <c r="K10731">
        <v>12.16</v>
      </c>
      <c r="L10731">
        <v>17807</v>
      </c>
      <c r="M10731" t="s">
        <v>318</v>
      </c>
      <c r="N10731" t="str">
        <f>"4879        "</f>
        <v xml:space="preserve">4879        </v>
      </c>
      <c r="O10731">
        <v>231009</v>
      </c>
    </row>
    <row r="10732" spans="1:15" x14ac:dyDescent="0.25">
      <c r="A10732" t="s">
        <v>16</v>
      </c>
      <c r="B10732" t="s">
        <v>3221</v>
      </c>
      <c r="C10732">
        <v>11656</v>
      </c>
      <c r="D10732" t="s">
        <v>1025</v>
      </c>
      <c r="E10732" t="s">
        <v>1026</v>
      </c>
      <c r="F10732">
        <v>97.98</v>
      </c>
      <c r="G10732">
        <v>230903</v>
      </c>
      <c r="H10732">
        <v>4500</v>
      </c>
      <c r="I10732" t="s">
        <v>212</v>
      </c>
      <c r="J10732">
        <v>121.5</v>
      </c>
      <c r="K10732">
        <v>23.52</v>
      </c>
      <c r="L10732">
        <v>13802</v>
      </c>
      <c r="M10732" t="s">
        <v>200</v>
      </c>
      <c r="N10732" t="str">
        <f>"4792        "</f>
        <v xml:space="preserve">4792        </v>
      </c>
      <c r="O10732">
        <v>230908</v>
      </c>
    </row>
    <row r="10733" spans="1:15" x14ac:dyDescent="0.25">
      <c r="A10733" t="s">
        <v>16</v>
      </c>
      <c r="B10733" t="s">
        <v>3221</v>
      </c>
      <c r="C10733">
        <v>1273</v>
      </c>
      <c r="D10733" t="s">
        <v>970</v>
      </c>
      <c r="E10733" t="s">
        <v>971</v>
      </c>
      <c r="F10733">
        <v>13849.9</v>
      </c>
      <c r="G10733">
        <v>230203</v>
      </c>
      <c r="H10733">
        <v>4571</v>
      </c>
      <c r="I10733" t="s">
        <v>181</v>
      </c>
      <c r="J10733">
        <v>17173.88</v>
      </c>
      <c r="K10733">
        <v>3323.98</v>
      </c>
      <c r="L10733">
        <v>17951</v>
      </c>
      <c r="M10733" t="s">
        <v>87</v>
      </c>
      <c r="N10733" t="str">
        <f>"20155875    "</f>
        <v xml:space="preserve">20155875    </v>
      </c>
      <c r="O10733">
        <v>230207</v>
      </c>
    </row>
    <row r="10734" spans="1:15" x14ac:dyDescent="0.25">
      <c r="A10734" t="s">
        <v>16</v>
      </c>
      <c r="B10734" t="s">
        <v>3221</v>
      </c>
      <c r="C10734">
        <v>1276</v>
      </c>
      <c r="D10734" t="s">
        <v>970</v>
      </c>
      <c r="E10734" t="s">
        <v>971</v>
      </c>
      <c r="F10734">
        <v>8067.17</v>
      </c>
      <c r="G10734">
        <v>230203</v>
      </c>
      <c r="H10734">
        <v>4571</v>
      </c>
      <c r="I10734" t="s">
        <v>181</v>
      </c>
      <c r="J10734">
        <v>10003.290000000001</v>
      </c>
      <c r="K10734">
        <v>1936.12</v>
      </c>
      <c r="L10734">
        <v>17951</v>
      </c>
      <c r="M10734" t="s">
        <v>87</v>
      </c>
      <c r="N10734" t="str">
        <f>"20155876    "</f>
        <v xml:space="preserve">20155876    </v>
      </c>
      <c r="O10734">
        <v>230207</v>
      </c>
    </row>
    <row r="10735" spans="1:15" x14ac:dyDescent="0.25">
      <c r="A10735" t="s">
        <v>16</v>
      </c>
      <c r="B10735" t="s">
        <v>3221</v>
      </c>
      <c r="C10735">
        <v>1278</v>
      </c>
      <c r="D10735" t="s">
        <v>970</v>
      </c>
      <c r="E10735" t="s">
        <v>971</v>
      </c>
      <c r="F10735">
        <v>1804.85</v>
      </c>
      <c r="G10735">
        <v>230203</v>
      </c>
      <c r="H10735">
        <v>4571</v>
      </c>
      <c r="I10735" t="s">
        <v>181</v>
      </c>
      <c r="J10735">
        <v>2238.0100000000002</v>
      </c>
      <c r="K10735">
        <v>433.16</v>
      </c>
      <c r="L10735">
        <v>13540</v>
      </c>
      <c r="M10735" t="s">
        <v>85</v>
      </c>
      <c r="N10735" t="str">
        <f>"20155680    "</f>
        <v xml:space="preserve">20155680    </v>
      </c>
      <c r="O10735">
        <v>230207</v>
      </c>
    </row>
    <row r="10736" spans="1:15" x14ac:dyDescent="0.25">
      <c r="A10736" t="s">
        <v>16</v>
      </c>
      <c r="B10736" t="s">
        <v>3221</v>
      </c>
      <c r="C10736">
        <v>1278</v>
      </c>
      <c r="D10736" t="s">
        <v>970</v>
      </c>
      <c r="E10736" t="s">
        <v>971</v>
      </c>
      <c r="F10736">
        <v>14602.82</v>
      </c>
      <c r="G10736">
        <v>230203</v>
      </c>
      <c r="H10736">
        <v>4571</v>
      </c>
      <c r="I10736" t="s">
        <v>181</v>
      </c>
      <c r="J10736">
        <v>18107.5</v>
      </c>
      <c r="K10736">
        <v>3504.68</v>
      </c>
      <c r="L10736">
        <v>17950</v>
      </c>
      <c r="M10736" t="s">
        <v>86</v>
      </c>
      <c r="N10736" t="str">
        <f>"20155680    "</f>
        <v xml:space="preserve">20155680    </v>
      </c>
      <c r="O10736">
        <v>230207</v>
      </c>
    </row>
    <row r="10737" spans="1:15" x14ac:dyDescent="0.25">
      <c r="A10737" t="s">
        <v>16</v>
      </c>
      <c r="B10737" t="s">
        <v>3221</v>
      </c>
      <c r="C10737">
        <v>1667</v>
      </c>
      <c r="D10737" t="s">
        <v>970</v>
      </c>
      <c r="E10737" t="s">
        <v>971</v>
      </c>
      <c r="F10737">
        <v>910.7</v>
      </c>
      <c r="G10737">
        <v>230203</v>
      </c>
      <c r="H10737">
        <v>4571</v>
      </c>
      <c r="I10737" t="s">
        <v>181</v>
      </c>
      <c r="J10737">
        <v>1129.27</v>
      </c>
      <c r="K10737">
        <v>218.57</v>
      </c>
      <c r="L10737">
        <v>13540</v>
      </c>
      <c r="M10737" t="s">
        <v>85</v>
      </c>
      <c r="N10737" t="str">
        <f>"20155727    "</f>
        <v xml:space="preserve">20155727    </v>
      </c>
      <c r="O10737">
        <v>230213</v>
      </c>
    </row>
    <row r="10738" spans="1:15" x14ac:dyDescent="0.25">
      <c r="A10738" t="s">
        <v>16</v>
      </c>
      <c r="B10738" t="s">
        <v>3221</v>
      </c>
      <c r="C10738">
        <v>1667</v>
      </c>
      <c r="D10738" t="s">
        <v>970</v>
      </c>
      <c r="E10738" t="s">
        <v>971</v>
      </c>
      <c r="F10738">
        <v>1821.4</v>
      </c>
      <c r="G10738">
        <v>230203</v>
      </c>
      <c r="H10738">
        <v>4571</v>
      </c>
      <c r="I10738" t="s">
        <v>181</v>
      </c>
      <c r="J10738">
        <v>2258.54</v>
      </c>
      <c r="K10738">
        <v>437.14</v>
      </c>
      <c r="L10738">
        <v>17950</v>
      </c>
      <c r="M10738" t="s">
        <v>86</v>
      </c>
      <c r="N10738" t="str">
        <f>"20155727    "</f>
        <v xml:space="preserve">20155727    </v>
      </c>
      <c r="O10738">
        <v>230213</v>
      </c>
    </row>
    <row r="10739" spans="1:15" x14ac:dyDescent="0.25">
      <c r="A10739" t="s">
        <v>16</v>
      </c>
      <c r="B10739" t="s">
        <v>3221</v>
      </c>
      <c r="C10739">
        <v>2880</v>
      </c>
      <c r="D10739" t="s">
        <v>970</v>
      </c>
      <c r="E10739" t="s">
        <v>971</v>
      </c>
      <c r="F10739">
        <v>1760.99</v>
      </c>
      <c r="G10739">
        <v>230303</v>
      </c>
      <c r="H10739">
        <v>4571</v>
      </c>
      <c r="I10739" t="s">
        <v>181</v>
      </c>
      <c r="J10739">
        <v>2183.63</v>
      </c>
      <c r="K10739">
        <v>422.64</v>
      </c>
      <c r="L10739">
        <v>13540</v>
      </c>
      <c r="M10739" t="s">
        <v>85</v>
      </c>
      <c r="N10739" t="str">
        <f>"20157165    "</f>
        <v xml:space="preserve">20157165    </v>
      </c>
      <c r="O10739">
        <v>230308</v>
      </c>
    </row>
    <row r="10740" spans="1:15" x14ac:dyDescent="0.25">
      <c r="A10740" t="s">
        <v>16</v>
      </c>
      <c r="B10740" t="s">
        <v>3221</v>
      </c>
      <c r="C10740">
        <v>2880</v>
      </c>
      <c r="D10740" t="s">
        <v>970</v>
      </c>
      <c r="E10740" t="s">
        <v>971</v>
      </c>
      <c r="F10740">
        <v>14248.02</v>
      </c>
      <c r="G10740">
        <v>230303</v>
      </c>
      <c r="H10740">
        <v>4571</v>
      </c>
      <c r="I10740" t="s">
        <v>181</v>
      </c>
      <c r="J10740">
        <v>17667.54</v>
      </c>
      <c r="K10740">
        <v>3419.52</v>
      </c>
      <c r="L10740">
        <v>17950</v>
      </c>
      <c r="M10740" t="s">
        <v>86</v>
      </c>
      <c r="N10740" t="str">
        <f>"20157165    "</f>
        <v xml:space="preserve">20157165    </v>
      </c>
      <c r="O10740">
        <v>230308</v>
      </c>
    </row>
    <row r="10741" spans="1:15" x14ac:dyDescent="0.25">
      <c r="A10741" t="s">
        <v>16</v>
      </c>
      <c r="B10741" t="s">
        <v>3221</v>
      </c>
      <c r="C10741">
        <v>3103</v>
      </c>
      <c r="D10741" t="s">
        <v>970</v>
      </c>
      <c r="E10741" t="s">
        <v>971</v>
      </c>
      <c r="F10741">
        <v>7503.79</v>
      </c>
      <c r="G10741">
        <v>230306</v>
      </c>
      <c r="H10741">
        <v>4571</v>
      </c>
      <c r="I10741" t="s">
        <v>181</v>
      </c>
      <c r="J10741">
        <v>9304.7000000000007</v>
      </c>
      <c r="K10741">
        <v>1800.91</v>
      </c>
      <c r="L10741">
        <v>17951</v>
      </c>
      <c r="M10741" t="s">
        <v>87</v>
      </c>
      <c r="N10741" t="str">
        <f>"20157365    "</f>
        <v xml:space="preserve">20157365    </v>
      </c>
      <c r="O10741">
        <v>230309</v>
      </c>
    </row>
    <row r="10742" spans="1:15" x14ac:dyDescent="0.25">
      <c r="A10742" t="s">
        <v>16</v>
      </c>
      <c r="B10742" t="s">
        <v>3221</v>
      </c>
      <c r="C10742">
        <v>3104</v>
      </c>
      <c r="D10742" t="s">
        <v>970</v>
      </c>
      <c r="E10742" t="s">
        <v>971</v>
      </c>
      <c r="F10742">
        <v>12810.55</v>
      </c>
      <c r="G10742">
        <v>230306</v>
      </c>
      <c r="H10742">
        <v>4571</v>
      </c>
      <c r="I10742" t="s">
        <v>181</v>
      </c>
      <c r="J10742">
        <v>15885.08</v>
      </c>
      <c r="K10742">
        <v>3074.53</v>
      </c>
      <c r="L10742">
        <v>17951</v>
      </c>
      <c r="M10742" t="s">
        <v>87</v>
      </c>
      <c r="N10742" t="str">
        <f>"20157364    "</f>
        <v xml:space="preserve">20157364    </v>
      </c>
      <c r="O10742">
        <v>230309</v>
      </c>
    </row>
    <row r="10743" spans="1:15" x14ac:dyDescent="0.25">
      <c r="A10743" t="s">
        <v>16</v>
      </c>
      <c r="B10743" t="s">
        <v>3221</v>
      </c>
      <c r="C10743">
        <v>3458</v>
      </c>
      <c r="D10743" t="s">
        <v>970</v>
      </c>
      <c r="E10743" t="s">
        <v>971</v>
      </c>
      <c r="F10743">
        <v>861.73</v>
      </c>
      <c r="G10743">
        <v>230303</v>
      </c>
      <c r="H10743">
        <v>4571</v>
      </c>
      <c r="I10743" t="s">
        <v>181</v>
      </c>
      <c r="J10743">
        <v>1068.55</v>
      </c>
      <c r="K10743">
        <v>206.82</v>
      </c>
      <c r="L10743">
        <v>13540</v>
      </c>
      <c r="M10743" t="s">
        <v>85</v>
      </c>
      <c r="N10743" t="str">
        <f>"20157212    "</f>
        <v xml:space="preserve">20157212    </v>
      </c>
      <c r="O10743">
        <v>230316</v>
      </c>
    </row>
    <row r="10744" spans="1:15" x14ac:dyDescent="0.25">
      <c r="A10744" t="s">
        <v>16</v>
      </c>
      <c r="B10744" t="s">
        <v>3221</v>
      </c>
      <c r="C10744">
        <v>3458</v>
      </c>
      <c r="D10744" t="s">
        <v>970</v>
      </c>
      <c r="E10744" t="s">
        <v>971</v>
      </c>
      <c r="F10744">
        <v>1723.48</v>
      </c>
      <c r="G10744">
        <v>230303</v>
      </c>
      <c r="H10744">
        <v>4571</v>
      </c>
      <c r="I10744" t="s">
        <v>181</v>
      </c>
      <c r="J10744">
        <v>2137.11</v>
      </c>
      <c r="K10744">
        <v>413.63</v>
      </c>
      <c r="L10744">
        <v>17950</v>
      </c>
      <c r="M10744" t="s">
        <v>86</v>
      </c>
      <c r="N10744" t="str">
        <f>"20157212    "</f>
        <v xml:space="preserve">20157212    </v>
      </c>
      <c r="O10744">
        <v>230316</v>
      </c>
    </row>
    <row r="10745" spans="1:15" x14ac:dyDescent="0.25">
      <c r="A10745" t="s">
        <v>16</v>
      </c>
      <c r="B10745" t="s">
        <v>3221</v>
      </c>
      <c r="C10745">
        <v>4693</v>
      </c>
      <c r="D10745" t="s">
        <v>970</v>
      </c>
      <c r="E10745" t="s">
        <v>971</v>
      </c>
      <c r="F10745">
        <v>1886.35</v>
      </c>
      <c r="G10745">
        <v>230405</v>
      </c>
      <c r="H10745">
        <v>4571</v>
      </c>
      <c r="I10745" t="s">
        <v>181</v>
      </c>
      <c r="J10745">
        <v>2339.08</v>
      </c>
      <c r="K10745">
        <v>452.73</v>
      </c>
      <c r="L10745">
        <v>13540</v>
      </c>
      <c r="M10745" t="s">
        <v>85</v>
      </c>
      <c r="N10745" t="str">
        <f>"20158503    "</f>
        <v xml:space="preserve">20158503    </v>
      </c>
      <c r="O10745">
        <v>230411</v>
      </c>
    </row>
    <row r="10746" spans="1:15" x14ac:dyDescent="0.25">
      <c r="A10746" t="s">
        <v>16</v>
      </c>
      <c r="B10746" t="s">
        <v>3221</v>
      </c>
      <c r="C10746">
        <v>4693</v>
      </c>
      <c r="D10746" t="s">
        <v>970</v>
      </c>
      <c r="E10746" t="s">
        <v>971</v>
      </c>
      <c r="F10746">
        <v>15262.35</v>
      </c>
      <c r="G10746">
        <v>230405</v>
      </c>
      <c r="H10746">
        <v>4571</v>
      </c>
      <c r="I10746" t="s">
        <v>181</v>
      </c>
      <c r="J10746">
        <v>18925.310000000001</v>
      </c>
      <c r="K10746">
        <v>3662.96</v>
      </c>
      <c r="L10746">
        <v>17950</v>
      </c>
      <c r="M10746" t="s">
        <v>86</v>
      </c>
      <c r="N10746" t="str">
        <f>"20158503    "</f>
        <v xml:space="preserve">20158503    </v>
      </c>
      <c r="O10746">
        <v>230411</v>
      </c>
    </row>
    <row r="10747" spans="1:15" x14ac:dyDescent="0.25">
      <c r="A10747" t="s">
        <v>16</v>
      </c>
      <c r="B10747" t="s">
        <v>3221</v>
      </c>
      <c r="C10747">
        <v>4695</v>
      </c>
      <c r="D10747" t="s">
        <v>970</v>
      </c>
      <c r="E10747" t="s">
        <v>971</v>
      </c>
      <c r="F10747">
        <v>13877.22</v>
      </c>
      <c r="G10747">
        <v>230405</v>
      </c>
      <c r="H10747">
        <v>4571</v>
      </c>
      <c r="I10747" t="s">
        <v>181</v>
      </c>
      <c r="J10747">
        <v>17207.75</v>
      </c>
      <c r="K10747">
        <v>3330.53</v>
      </c>
      <c r="L10747">
        <v>17951</v>
      </c>
      <c r="M10747" t="s">
        <v>87</v>
      </c>
      <c r="N10747" t="str">
        <f>"20158701    "</f>
        <v xml:space="preserve">20158701    </v>
      </c>
      <c r="O10747">
        <v>230411</v>
      </c>
    </row>
    <row r="10748" spans="1:15" x14ac:dyDescent="0.25">
      <c r="A10748" t="s">
        <v>16</v>
      </c>
      <c r="B10748" t="s">
        <v>3221</v>
      </c>
      <c r="C10748">
        <v>4696</v>
      </c>
      <c r="D10748" t="s">
        <v>970</v>
      </c>
      <c r="E10748" t="s">
        <v>971</v>
      </c>
      <c r="F10748">
        <v>934.53</v>
      </c>
      <c r="G10748">
        <v>230405</v>
      </c>
      <c r="H10748">
        <v>4571</v>
      </c>
      <c r="I10748" t="s">
        <v>181</v>
      </c>
      <c r="J10748">
        <v>1158.82</v>
      </c>
      <c r="K10748">
        <v>224.29</v>
      </c>
      <c r="L10748">
        <v>13540</v>
      </c>
      <c r="M10748" t="s">
        <v>85</v>
      </c>
      <c r="N10748" t="str">
        <f>"20158550    "</f>
        <v xml:space="preserve">20158550    </v>
      </c>
      <c r="O10748">
        <v>230411</v>
      </c>
    </row>
    <row r="10749" spans="1:15" x14ac:dyDescent="0.25">
      <c r="A10749" t="s">
        <v>16</v>
      </c>
      <c r="B10749" t="s">
        <v>3221</v>
      </c>
      <c r="C10749">
        <v>4696</v>
      </c>
      <c r="D10749" t="s">
        <v>970</v>
      </c>
      <c r="E10749" t="s">
        <v>971</v>
      </c>
      <c r="F10749">
        <v>1869.06</v>
      </c>
      <c r="G10749">
        <v>230405</v>
      </c>
      <c r="H10749">
        <v>4571</v>
      </c>
      <c r="I10749" t="s">
        <v>181</v>
      </c>
      <c r="J10749">
        <v>2317.63</v>
      </c>
      <c r="K10749">
        <v>448.57</v>
      </c>
      <c r="L10749">
        <v>17950</v>
      </c>
      <c r="M10749" t="s">
        <v>86</v>
      </c>
      <c r="N10749" t="str">
        <f>"20158550    "</f>
        <v xml:space="preserve">20158550    </v>
      </c>
      <c r="O10749">
        <v>230411</v>
      </c>
    </row>
    <row r="10750" spans="1:15" x14ac:dyDescent="0.25">
      <c r="A10750" t="s">
        <v>16</v>
      </c>
      <c r="B10750" t="s">
        <v>3221</v>
      </c>
      <c r="C10750">
        <v>4697</v>
      </c>
      <c r="D10750" t="s">
        <v>970</v>
      </c>
      <c r="E10750" t="s">
        <v>971</v>
      </c>
      <c r="F10750">
        <v>7886.14</v>
      </c>
      <c r="G10750">
        <v>230405</v>
      </c>
      <c r="H10750">
        <v>4571</v>
      </c>
      <c r="I10750" t="s">
        <v>181</v>
      </c>
      <c r="J10750">
        <v>9778.81</v>
      </c>
      <c r="K10750">
        <v>1892.67</v>
      </c>
      <c r="L10750">
        <v>17951</v>
      </c>
      <c r="M10750" t="s">
        <v>87</v>
      </c>
      <c r="N10750" t="str">
        <f>"20158702    "</f>
        <v xml:space="preserve">20158702    </v>
      </c>
      <c r="O10750">
        <v>230411</v>
      </c>
    </row>
    <row r="10751" spans="1:15" x14ac:dyDescent="0.25">
      <c r="A10751" t="s">
        <v>16</v>
      </c>
      <c r="B10751" t="s">
        <v>3221</v>
      </c>
      <c r="C10751">
        <v>6067</v>
      </c>
      <c r="D10751" t="s">
        <v>970</v>
      </c>
      <c r="E10751" t="s">
        <v>971</v>
      </c>
      <c r="F10751">
        <v>4587.3500000000004</v>
      </c>
      <c r="G10751">
        <v>230504</v>
      </c>
      <c r="H10751">
        <v>4571</v>
      </c>
      <c r="I10751" t="s">
        <v>181</v>
      </c>
      <c r="J10751">
        <v>5688.32</v>
      </c>
      <c r="K10751">
        <v>1100.97</v>
      </c>
      <c r="L10751">
        <v>17951</v>
      </c>
      <c r="M10751" t="s">
        <v>87</v>
      </c>
      <c r="N10751" t="str">
        <f>"20160038    "</f>
        <v xml:space="preserve">20160038    </v>
      </c>
      <c r="O10751">
        <v>230508</v>
      </c>
    </row>
    <row r="10752" spans="1:15" x14ac:dyDescent="0.25">
      <c r="A10752" t="s">
        <v>16</v>
      </c>
      <c r="B10752" t="s">
        <v>3221</v>
      </c>
      <c r="C10752">
        <v>6131</v>
      </c>
      <c r="D10752" t="s">
        <v>970</v>
      </c>
      <c r="E10752" t="s">
        <v>971</v>
      </c>
      <c r="F10752">
        <v>912.48</v>
      </c>
      <c r="G10752">
        <v>230504</v>
      </c>
      <c r="H10752">
        <v>4571</v>
      </c>
      <c r="I10752" t="s">
        <v>181</v>
      </c>
      <c r="J10752">
        <v>1131.48</v>
      </c>
      <c r="K10752">
        <v>219</v>
      </c>
      <c r="L10752">
        <v>13540</v>
      </c>
      <c r="M10752" t="s">
        <v>85</v>
      </c>
      <c r="N10752" t="str">
        <f>"20159840    "</f>
        <v xml:space="preserve">20159840    </v>
      </c>
      <c r="O10752">
        <v>230508</v>
      </c>
    </row>
    <row r="10753" spans="1:15" x14ac:dyDescent="0.25">
      <c r="A10753" t="s">
        <v>16</v>
      </c>
      <c r="B10753" t="s">
        <v>3221</v>
      </c>
      <c r="C10753">
        <v>6131</v>
      </c>
      <c r="D10753" t="s">
        <v>970</v>
      </c>
      <c r="E10753" t="s">
        <v>971</v>
      </c>
      <c r="F10753">
        <v>7382.85</v>
      </c>
      <c r="G10753">
        <v>230504</v>
      </c>
      <c r="H10753">
        <v>4571</v>
      </c>
      <c r="I10753" t="s">
        <v>181</v>
      </c>
      <c r="J10753">
        <v>9154.74</v>
      </c>
      <c r="K10753">
        <v>1771.89</v>
      </c>
      <c r="L10753">
        <v>17950</v>
      </c>
      <c r="M10753" t="s">
        <v>86</v>
      </c>
      <c r="N10753" t="str">
        <f>"20159840    "</f>
        <v xml:space="preserve">20159840    </v>
      </c>
      <c r="O10753">
        <v>230508</v>
      </c>
    </row>
    <row r="10754" spans="1:15" x14ac:dyDescent="0.25">
      <c r="A10754" t="s">
        <v>16</v>
      </c>
      <c r="B10754" t="s">
        <v>3221</v>
      </c>
      <c r="C10754">
        <v>6132</v>
      </c>
      <c r="D10754" t="s">
        <v>970</v>
      </c>
      <c r="E10754" t="s">
        <v>971</v>
      </c>
      <c r="F10754">
        <v>7750.01</v>
      </c>
      <c r="G10754">
        <v>230504</v>
      </c>
      <c r="H10754">
        <v>4571</v>
      </c>
      <c r="I10754" t="s">
        <v>181</v>
      </c>
      <c r="J10754">
        <v>9610.01</v>
      </c>
      <c r="K10754">
        <v>1860</v>
      </c>
      <c r="L10754">
        <v>17951</v>
      </c>
      <c r="M10754" t="s">
        <v>87</v>
      </c>
      <c r="N10754" t="str">
        <f>"20160037    "</f>
        <v xml:space="preserve">20160037    </v>
      </c>
      <c r="O10754">
        <v>230508</v>
      </c>
    </row>
    <row r="10755" spans="1:15" x14ac:dyDescent="0.25">
      <c r="A10755" t="s">
        <v>16</v>
      </c>
      <c r="B10755" t="s">
        <v>3221</v>
      </c>
      <c r="C10755">
        <v>6345</v>
      </c>
      <c r="D10755" t="s">
        <v>970</v>
      </c>
      <c r="E10755" t="s">
        <v>971</v>
      </c>
      <c r="F10755">
        <v>526.91999999999996</v>
      </c>
      <c r="G10755">
        <v>230504</v>
      </c>
      <c r="H10755">
        <v>4571</v>
      </c>
      <c r="I10755" t="s">
        <v>181</v>
      </c>
      <c r="J10755">
        <v>653.38</v>
      </c>
      <c r="K10755">
        <v>126.46</v>
      </c>
      <c r="L10755">
        <v>13540</v>
      </c>
      <c r="M10755" t="s">
        <v>85</v>
      </c>
      <c r="N10755" t="str">
        <f>"20159887    "</f>
        <v xml:space="preserve">20159887    </v>
      </c>
      <c r="O10755">
        <v>230510</v>
      </c>
    </row>
    <row r="10756" spans="1:15" x14ac:dyDescent="0.25">
      <c r="A10756" t="s">
        <v>16</v>
      </c>
      <c r="B10756" t="s">
        <v>3221</v>
      </c>
      <c r="C10756">
        <v>6345</v>
      </c>
      <c r="D10756" t="s">
        <v>970</v>
      </c>
      <c r="E10756" t="s">
        <v>971</v>
      </c>
      <c r="F10756">
        <v>1053.82</v>
      </c>
      <c r="G10756">
        <v>230504</v>
      </c>
      <c r="H10756">
        <v>4571</v>
      </c>
      <c r="I10756" t="s">
        <v>181</v>
      </c>
      <c r="J10756">
        <v>1306.74</v>
      </c>
      <c r="K10756">
        <v>252.92</v>
      </c>
      <c r="L10756">
        <v>17950</v>
      </c>
      <c r="M10756" t="s">
        <v>86</v>
      </c>
      <c r="N10756" t="str">
        <f>"20159887    "</f>
        <v xml:space="preserve">20159887    </v>
      </c>
      <c r="O10756">
        <v>230510</v>
      </c>
    </row>
    <row r="10757" spans="1:15" x14ac:dyDescent="0.25">
      <c r="A10757" t="s">
        <v>16</v>
      </c>
      <c r="B10757" t="s">
        <v>3221</v>
      </c>
      <c r="C10757">
        <v>8347</v>
      </c>
      <c r="D10757" t="s">
        <v>970</v>
      </c>
      <c r="E10757" t="s">
        <v>971</v>
      </c>
      <c r="F10757">
        <v>2976.5</v>
      </c>
      <c r="G10757">
        <v>230606</v>
      </c>
      <c r="H10757">
        <v>4571</v>
      </c>
      <c r="I10757" t="s">
        <v>181</v>
      </c>
      <c r="J10757">
        <v>3690.86</v>
      </c>
      <c r="K10757">
        <v>714.36</v>
      </c>
      <c r="L10757">
        <v>17951</v>
      </c>
      <c r="M10757" t="s">
        <v>87</v>
      </c>
      <c r="N10757" t="str">
        <f>"20161379    "</f>
        <v xml:space="preserve">20161379    </v>
      </c>
      <c r="O10757">
        <v>230608</v>
      </c>
    </row>
    <row r="10758" spans="1:15" x14ac:dyDescent="0.25">
      <c r="A10758" t="s">
        <v>16</v>
      </c>
      <c r="B10758" t="s">
        <v>3221</v>
      </c>
      <c r="C10758">
        <v>8348</v>
      </c>
      <c r="D10758" t="s">
        <v>970</v>
      </c>
      <c r="E10758" t="s">
        <v>971</v>
      </c>
      <c r="F10758">
        <v>540.07000000000005</v>
      </c>
      <c r="G10758">
        <v>230606</v>
      </c>
      <c r="H10758">
        <v>4571</v>
      </c>
      <c r="I10758" t="s">
        <v>181</v>
      </c>
      <c r="J10758">
        <v>669.69</v>
      </c>
      <c r="K10758">
        <v>129.62</v>
      </c>
      <c r="L10758">
        <v>13540</v>
      </c>
      <c r="M10758" t="s">
        <v>85</v>
      </c>
      <c r="N10758" t="str">
        <f>"20161049    "</f>
        <v xml:space="preserve">20161049    </v>
      </c>
      <c r="O10758">
        <v>230608</v>
      </c>
    </row>
    <row r="10759" spans="1:15" x14ac:dyDescent="0.25">
      <c r="A10759" t="s">
        <v>16</v>
      </c>
      <c r="B10759" t="s">
        <v>3221</v>
      </c>
      <c r="C10759">
        <v>8348</v>
      </c>
      <c r="D10759" t="s">
        <v>970</v>
      </c>
      <c r="E10759" t="s">
        <v>971</v>
      </c>
      <c r="F10759">
        <v>4369.68</v>
      </c>
      <c r="G10759">
        <v>230606</v>
      </c>
      <c r="H10759">
        <v>4571</v>
      </c>
      <c r="I10759" t="s">
        <v>181</v>
      </c>
      <c r="J10759">
        <v>5418.4</v>
      </c>
      <c r="K10759">
        <v>1048.72</v>
      </c>
      <c r="L10759">
        <v>17950</v>
      </c>
      <c r="M10759" t="s">
        <v>86</v>
      </c>
      <c r="N10759" t="str">
        <f>"20161049    "</f>
        <v xml:space="preserve">20161049    </v>
      </c>
      <c r="O10759">
        <v>230608</v>
      </c>
    </row>
    <row r="10760" spans="1:15" x14ac:dyDescent="0.25">
      <c r="A10760" t="s">
        <v>16</v>
      </c>
      <c r="B10760" t="s">
        <v>3221</v>
      </c>
      <c r="C10760">
        <v>8351</v>
      </c>
      <c r="D10760" t="s">
        <v>970</v>
      </c>
      <c r="E10760" t="s">
        <v>971</v>
      </c>
      <c r="F10760">
        <v>5503.97</v>
      </c>
      <c r="G10760">
        <v>230606</v>
      </c>
      <c r="H10760">
        <v>4571</v>
      </c>
      <c r="I10760" t="s">
        <v>181</v>
      </c>
      <c r="J10760">
        <v>6824.92</v>
      </c>
      <c r="K10760">
        <v>1320.95</v>
      </c>
      <c r="L10760">
        <v>17951</v>
      </c>
      <c r="M10760" t="s">
        <v>87</v>
      </c>
      <c r="N10760" t="str">
        <f>"20161378    "</f>
        <v xml:space="preserve">20161378    </v>
      </c>
      <c r="O10760">
        <v>230608</v>
      </c>
    </row>
    <row r="10761" spans="1:15" x14ac:dyDescent="0.25">
      <c r="A10761" t="s">
        <v>16</v>
      </c>
      <c r="B10761" t="s">
        <v>3221</v>
      </c>
      <c r="C10761">
        <v>8415</v>
      </c>
      <c r="D10761" t="s">
        <v>970</v>
      </c>
      <c r="E10761" t="s">
        <v>971</v>
      </c>
      <c r="F10761">
        <v>356.02</v>
      </c>
      <c r="G10761">
        <v>230606</v>
      </c>
      <c r="H10761">
        <v>4571</v>
      </c>
      <c r="I10761" t="s">
        <v>181</v>
      </c>
      <c r="J10761">
        <v>441.47</v>
      </c>
      <c r="K10761">
        <v>85.45</v>
      </c>
      <c r="L10761">
        <v>13540</v>
      </c>
      <c r="M10761" t="s">
        <v>85</v>
      </c>
      <c r="N10761" t="str">
        <f>"20161096    "</f>
        <v xml:space="preserve">20161096    </v>
      </c>
      <c r="O10761">
        <v>230608</v>
      </c>
    </row>
    <row r="10762" spans="1:15" x14ac:dyDescent="0.25">
      <c r="A10762" t="s">
        <v>16</v>
      </c>
      <c r="B10762" t="s">
        <v>3221</v>
      </c>
      <c r="C10762">
        <v>8415</v>
      </c>
      <c r="D10762" t="s">
        <v>970</v>
      </c>
      <c r="E10762" t="s">
        <v>971</v>
      </c>
      <c r="F10762">
        <v>712.03</v>
      </c>
      <c r="G10762">
        <v>230606</v>
      </c>
      <c r="H10762">
        <v>4571</v>
      </c>
      <c r="I10762" t="s">
        <v>181</v>
      </c>
      <c r="J10762">
        <v>882.92</v>
      </c>
      <c r="K10762">
        <v>170.89</v>
      </c>
      <c r="L10762">
        <v>17950</v>
      </c>
      <c r="M10762" t="s">
        <v>86</v>
      </c>
      <c r="N10762" t="str">
        <f>"20161096    "</f>
        <v xml:space="preserve">20161096    </v>
      </c>
      <c r="O10762">
        <v>230608</v>
      </c>
    </row>
    <row r="10763" spans="1:15" x14ac:dyDescent="0.25">
      <c r="A10763" t="s">
        <v>16</v>
      </c>
      <c r="B10763" t="s">
        <v>3221</v>
      </c>
      <c r="C10763">
        <v>9435</v>
      </c>
      <c r="D10763" t="s">
        <v>970</v>
      </c>
      <c r="E10763" t="s">
        <v>971</v>
      </c>
      <c r="F10763">
        <v>323.23</v>
      </c>
      <c r="G10763">
        <v>230705</v>
      </c>
      <c r="H10763">
        <v>4571</v>
      </c>
      <c r="I10763" t="s">
        <v>181</v>
      </c>
      <c r="J10763">
        <v>400.81</v>
      </c>
      <c r="K10763">
        <v>77.58</v>
      </c>
      <c r="L10763">
        <v>13540</v>
      </c>
      <c r="M10763" t="s">
        <v>85</v>
      </c>
      <c r="N10763" t="str">
        <f>"20162384    "</f>
        <v xml:space="preserve">20162384    </v>
      </c>
      <c r="O10763">
        <v>230711</v>
      </c>
    </row>
    <row r="10764" spans="1:15" x14ac:dyDescent="0.25">
      <c r="A10764" t="s">
        <v>16</v>
      </c>
      <c r="B10764" t="s">
        <v>3221</v>
      </c>
      <c r="C10764">
        <v>9764</v>
      </c>
      <c r="D10764" t="s">
        <v>970</v>
      </c>
      <c r="E10764" t="s">
        <v>971</v>
      </c>
      <c r="F10764">
        <v>1900.69</v>
      </c>
      <c r="G10764">
        <v>230707</v>
      </c>
      <c r="H10764">
        <v>4571</v>
      </c>
      <c r="I10764" t="s">
        <v>181</v>
      </c>
      <c r="J10764">
        <v>2356.85</v>
      </c>
      <c r="K10764">
        <v>456.16</v>
      </c>
      <c r="L10764">
        <v>17951</v>
      </c>
      <c r="M10764" t="s">
        <v>87</v>
      </c>
      <c r="N10764" t="str">
        <f>"20162716    "</f>
        <v xml:space="preserve">20162716    </v>
      </c>
      <c r="O10764">
        <v>230725</v>
      </c>
    </row>
    <row r="10765" spans="1:15" x14ac:dyDescent="0.25">
      <c r="A10765" t="s">
        <v>16</v>
      </c>
      <c r="B10765" t="s">
        <v>3221</v>
      </c>
      <c r="C10765">
        <v>9766</v>
      </c>
      <c r="D10765" t="s">
        <v>970</v>
      </c>
      <c r="E10765" t="s">
        <v>971</v>
      </c>
      <c r="F10765">
        <v>3205.71</v>
      </c>
      <c r="G10765">
        <v>230707</v>
      </c>
      <c r="H10765">
        <v>4571</v>
      </c>
      <c r="I10765" t="s">
        <v>181</v>
      </c>
      <c r="J10765">
        <v>3975.08</v>
      </c>
      <c r="K10765">
        <v>769.37</v>
      </c>
      <c r="L10765">
        <v>17951</v>
      </c>
      <c r="M10765" t="s">
        <v>87</v>
      </c>
      <c r="N10765" t="str">
        <f>"20162715    "</f>
        <v xml:space="preserve">20162715    </v>
      </c>
      <c r="O10765">
        <v>230725</v>
      </c>
    </row>
    <row r="10766" spans="1:15" x14ac:dyDescent="0.25">
      <c r="A10766" t="s">
        <v>16</v>
      </c>
      <c r="B10766" t="s">
        <v>3221</v>
      </c>
      <c r="C10766">
        <v>9893</v>
      </c>
      <c r="D10766" t="s">
        <v>970</v>
      </c>
      <c r="E10766" t="s">
        <v>971</v>
      </c>
      <c r="F10766">
        <v>254.92</v>
      </c>
      <c r="G10766">
        <v>230705</v>
      </c>
      <c r="H10766">
        <v>4571</v>
      </c>
      <c r="I10766" t="s">
        <v>181</v>
      </c>
      <c r="J10766">
        <v>316.10000000000002</v>
      </c>
      <c r="K10766">
        <v>61.18</v>
      </c>
      <c r="L10766">
        <v>13540</v>
      </c>
      <c r="M10766" t="s">
        <v>85</v>
      </c>
      <c r="N10766" t="str">
        <f>"20162431    "</f>
        <v xml:space="preserve">20162431    </v>
      </c>
      <c r="O10766">
        <v>230731</v>
      </c>
    </row>
    <row r="10767" spans="1:15" x14ac:dyDescent="0.25">
      <c r="A10767" t="s">
        <v>16</v>
      </c>
      <c r="B10767" t="s">
        <v>3221</v>
      </c>
      <c r="C10767">
        <v>9893</v>
      </c>
      <c r="D10767" t="s">
        <v>970</v>
      </c>
      <c r="E10767" t="s">
        <v>971</v>
      </c>
      <c r="F10767">
        <v>509.84</v>
      </c>
      <c r="G10767">
        <v>230705</v>
      </c>
      <c r="H10767">
        <v>4571</v>
      </c>
      <c r="I10767" t="s">
        <v>181</v>
      </c>
      <c r="J10767">
        <v>632.20000000000005</v>
      </c>
      <c r="K10767">
        <v>122.36</v>
      </c>
      <c r="L10767">
        <v>17950</v>
      </c>
      <c r="M10767" t="s">
        <v>86</v>
      </c>
      <c r="N10767" t="str">
        <f>"20162431    "</f>
        <v xml:space="preserve">20162431    </v>
      </c>
      <c r="O10767">
        <v>230731</v>
      </c>
    </row>
    <row r="10768" spans="1:15" x14ac:dyDescent="0.25">
      <c r="A10768" t="s">
        <v>16</v>
      </c>
      <c r="B10768" t="s">
        <v>3221</v>
      </c>
      <c r="C10768">
        <v>10088</v>
      </c>
      <c r="D10768" t="s">
        <v>970</v>
      </c>
      <c r="E10768" t="s">
        <v>971</v>
      </c>
      <c r="F10768">
        <v>1641.04</v>
      </c>
      <c r="G10768">
        <v>230803</v>
      </c>
      <c r="H10768">
        <v>4571</v>
      </c>
      <c r="I10768" t="s">
        <v>181</v>
      </c>
      <c r="J10768">
        <v>2034.89</v>
      </c>
      <c r="K10768">
        <v>393.85</v>
      </c>
      <c r="L10768">
        <v>17951</v>
      </c>
      <c r="M10768" t="s">
        <v>87</v>
      </c>
      <c r="N10768" t="str">
        <f>"20164053    "</f>
        <v xml:space="preserve">20164053    </v>
      </c>
      <c r="O10768">
        <v>230808</v>
      </c>
    </row>
    <row r="10769" spans="1:15" x14ac:dyDescent="0.25">
      <c r="A10769" t="s">
        <v>16</v>
      </c>
      <c r="B10769" t="s">
        <v>3221</v>
      </c>
      <c r="C10769">
        <v>10089</v>
      </c>
      <c r="D10769" t="s">
        <v>970</v>
      </c>
      <c r="E10769" t="s">
        <v>971</v>
      </c>
      <c r="F10769">
        <v>2494.6999999999998</v>
      </c>
      <c r="G10769">
        <v>230803</v>
      </c>
      <c r="H10769">
        <v>4571</v>
      </c>
      <c r="I10769" t="s">
        <v>181</v>
      </c>
      <c r="J10769">
        <v>3093.43</v>
      </c>
      <c r="K10769">
        <v>598.73</v>
      </c>
      <c r="L10769">
        <v>17951</v>
      </c>
      <c r="M10769" t="s">
        <v>87</v>
      </c>
      <c r="N10769" t="str">
        <f>"20164052    "</f>
        <v xml:space="preserve">20164052    </v>
      </c>
      <c r="O10769">
        <v>230808</v>
      </c>
    </row>
    <row r="10770" spans="1:15" x14ac:dyDescent="0.25">
      <c r="A10770" t="s">
        <v>16</v>
      </c>
      <c r="B10770" t="s">
        <v>3221</v>
      </c>
      <c r="C10770">
        <v>10171</v>
      </c>
      <c r="D10770" t="s">
        <v>970</v>
      </c>
      <c r="E10770" t="s">
        <v>971</v>
      </c>
      <c r="F10770">
        <v>209.69</v>
      </c>
      <c r="G10770">
        <v>230803</v>
      </c>
      <c r="H10770">
        <v>4571</v>
      </c>
      <c r="I10770" t="s">
        <v>181</v>
      </c>
      <c r="J10770">
        <v>260.02</v>
      </c>
      <c r="K10770">
        <v>50.33</v>
      </c>
      <c r="L10770">
        <v>13540</v>
      </c>
      <c r="M10770" t="s">
        <v>85</v>
      </c>
      <c r="N10770" t="str">
        <f>"20163766    "</f>
        <v xml:space="preserve">20163766    </v>
      </c>
      <c r="O10770">
        <v>230809</v>
      </c>
    </row>
    <row r="10771" spans="1:15" x14ac:dyDescent="0.25">
      <c r="A10771" t="s">
        <v>16</v>
      </c>
      <c r="B10771" t="s">
        <v>3221</v>
      </c>
      <c r="C10771">
        <v>10171</v>
      </c>
      <c r="D10771" t="s">
        <v>970</v>
      </c>
      <c r="E10771" t="s">
        <v>971</v>
      </c>
      <c r="F10771">
        <v>419.39</v>
      </c>
      <c r="G10771">
        <v>230803</v>
      </c>
      <c r="H10771">
        <v>4571</v>
      </c>
      <c r="I10771" t="s">
        <v>181</v>
      </c>
      <c r="J10771">
        <v>520.04</v>
      </c>
      <c r="K10771">
        <v>100.65</v>
      </c>
      <c r="L10771">
        <v>17950</v>
      </c>
      <c r="M10771" t="s">
        <v>86</v>
      </c>
      <c r="N10771" t="str">
        <f>"20163766    "</f>
        <v xml:space="preserve">20163766    </v>
      </c>
      <c r="O10771">
        <v>230809</v>
      </c>
    </row>
    <row r="10772" spans="1:15" x14ac:dyDescent="0.25">
      <c r="A10772" t="s">
        <v>16</v>
      </c>
      <c r="B10772" t="s">
        <v>3221</v>
      </c>
      <c r="C10772">
        <v>10181</v>
      </c>
      <c r="D10772" t="s">
        <v>970</v>
      </c>
      <c r="E10772" t="s">
        <v>971</v>
      </c>
      <c r="F10772">
        <v>257.33</v>
      </c>
      <c r="G10772">
        <v>230803</v>
      </c>
      <c r="H10772">
        <v>4571</v>
      </c>
      <c r="I10772" t="s">
        <v>181</v>
      </c>
      <c r="J10772">
        <v>319.08999999999997</v>
      </c>
      <c r="K10772">
        <v>61.76</v>
      </c>
      <c r="L10772">
        <v>13540</v>
      </c>
      <c r="M10772" t="s">
        <v>85</v>
      </c>
      <c r="N10772" t="str">
        <f>"20163719    "</f>
        <v xml:space="preserve">20163719    </v>
      </c>
      <c r="O10772">
        <v>230809</v>
      </c>
    </row>
    <row r="10773" spans="1:15" x14ac:dyDescent="0.25">
      <c r="A10773" t="s">
        <v>16</v>
      </c>
      <c r="B10773" t="s">
        <v>3221</v>
      </c>
      <c r="C10773">
        <v>10181</v>
      </c>
      <c r="D10773" t="s">
        <v>970</v>
      </c>
      <c r="E10773" t="s">
        <v>971</v>
      </c>
      <c r="F10773">
        <v>2082.02</v>
      </c>
      <c r="G10773">
        <v>230803</v>
      </c>
      <c r="H10773">
        <v>4571</v>
      </c>
      <c r="I10773" t="s">
        <v>181</v>
      </c>
      <c r="J10773">
        <v>2581.6999999999998</v>
      </c>
      <c r="K10773">
        <v>499.68</v>
      </c>
      <c r="L10773">
        <v>17950</v>
      </c>
      <c r="M10773" t="s">
        <v>86</v>
      </c>
      <c r="N10773" t="str">
        <f>"20163719    "</f>
        <v xml:space="preserve">20163719    </v>
      </c>
      <c r="O10773">
        <v>230809</v>
      </c>
    </row>
    <row r="10774" spans="1:15" x14ac:dyDescent="0.25">
      <c r="A10774" t="s">
        <v>16</v>
      </c>
      <c r="B10774" t="s">
        <v>3221</v>
      </c>
      <c r="C10774">
        <v>11793</v>
      </c>
      <c r="D10774" t="s">
        <v>970</v>
      </c>
      <c r="E10774" t="s">
        <v>971</v>
      </c>
      <c r="F10774">
        <v>257.73</v>
      </c>
      <c r="G10774">
        <v>230905</v>
      </c>
      <c r="H10774">
        <v>4571</v>
      </c>
      <c r="I10774" t="s">
        <v>181</v>
      </c>
      <c r="J10774">
        <v>319.58999999999997</v>
      </c>
      <c r="K10774">
        <v>61.86</v>
      </c>
      <c r="L10774">
        <v>13540</v>
      </c>
      <c r="M10774" t="s">
        <v>85</v>
      </c>
      <c r="N10774" t="str">
        <f>"20165049    "</f>
        <v xml:space="preserve">20165049    </v>
      </c>
      <c r="O10774">
        <v>230911</v>
      </c>
    </row>
    <row r="10775" spans="1:15" x14ac:dyDescent="0.25">
      <c r="A10775" t="s">
        <v>16</v>
      </c>
      <c r="B10775" t="s">
        <v>3221</v>
      </c>
      <c r="C10775">
        <v>11793</v>
      </c>
      <c r="D10775" t="s">
        <v>970</v>
      </c>
      <c r="E10775" t="s">
        <v>971</v>
      </c>
      <c r="F10775">
        <v>2085.29</v>
      </c>
      <c r="G10775">
        <v>230905</v>
      </c>
      <c r="H10775">
        <v>4571</v>
      </c>
      <c r="I10775" t="s">
        <v>181</v>
      </c>
      <c r="J10775">
        <v>2585.7600000000002</v>
      </c>
      <c r="K10775">
        <v>500.47</v>
      </c>
      <c r="L10775">
        <v>17950</v>
      </c>
      <c r="M10775" t="s">
        <v>86</v>
      </c>
      <c r="N10775" t="str">
        <f>"20165049    "</f>
        <v xml:space="preserve">20165049    </v>
      </c>
      <c r="O10775">
        <v>230911</v>
      </c>
    </row>
    <row r="10776" spans="1:15" x14ac:dyDescent="0.25">
      <c r="A10776" t="s">
        <v>16</v>
      </c>
      <c r="B10776" t="s">
        <v>3221</v>
      </c>
      <c r="C10776">
        <v>11852</v>
      </c>
      <c r="D10776" t="s">
        <v>970</v>
      </c>
      <c r="E10776" t="s">
        <v>971</v>
      </c>
      <c r="F10776">
        <v>213.09</v>
      </c>
      <c r="G10776">
        <v>230905</v>
      </c>
      <c r="H10776">
        <v>4571</v>
      </c>
      <c r="I10776" t="s">
        <v>181</v>
      </c>
      <c r="J10776">
        <v>264.23</v>
      </c>
      <c r="K10776">
        <v>51.14</v>
      </c>
      <c r="L10776">
        <v>13540</v>
      </c>
      <c r="M10776" t="s">
        <v>85</v>
      </c>
      <c r="N10776" t="str">
        <f>"20165096    "</f>
        <v xml:space="preserve">20165096    </v>
      </c>
      <c r="O10776">
        <v>230911</v>
      </c>
    </row>
    <row r="10777" spans="1:15" x14ac:dyDescent="0.25">
      <c r="A10777" t="s">
        <v>16</v>
      </c>
      <c r="B10777" t="s">
        <v>3221</v>
      </c>
      <c r="C10777">
        <v>11852</v>
      </c>
      <c r="D10777" t="s">
        <v>970</v>
      </c>
      <c r="E10777" t="s">
        <v>971</v>
      </c>
      <c r="F10777">
        <v>426.21</v>
      </c>
      <c r="G10777">
        <v>230905</v>
      </c>
      <c r="H10777">
        <v>4571</v>
      </c>
      <c r="I10777" t="s">
        <v>181</v>
      </c>
      <c r="J10777">
        <v>528.5</v>
      </c>
      <c r="K10777">
        <v>102.29</v>
      </c>
      <c r="L10777">
        <v>17950</v>
      </c>
      <c r="M10777" t="s">
        <v>86</v>
      </c>
      <c r="N10777" t="str">
        <f>"20165096    "</f>
        <v xml:space="preserve">20165096    </v>
      </c>
      <c r="O10777">
        <v>230911</v>
      </c>
    </row>
    <row r="10778" spans="1:15" x14ac:dyDescent="0.25">
      <c r="A10778" t="s">
        <v>16</v>
      </c>
      <c r="B10778" t="s">
        <v>3221</v>
      </c>
      <c r="C10778">
        <v>13329</v>
      </c>
      <c r="D10778" t="s">
        <v>970</v>
      </c>
      <c r="E10778" t="s">
        <v>971</v>
      </c>
      <c r="F10778">
        <v>353.8</v>
      </c>
      <c r="G10778">
        <v>231005</v>
      </c>
      <c r="H10778">
        <v>4571</v>
      </c>
      <c r="I10778" t="s">
        <v>181</v>
      </c>
      <c r="J10778">
        <v>438.71</v>
      </c>
      <c r="K10778">
        <v>84.91</v>
      </c>
      <c r="L10778">
        <v>13540</v>
      </c>
      <c r="M10778" t="s">
        <v>85</v>
      </c>
      <c r="N10778" t="str">
        <f>"20166398    "</f>
        <v xml:space="preserve">20166398    </v>
      </c>
      <c r="O10778">
        <v>231009</v>
      </c>
    </row>
    <row r="10779" spans="1:15" x14ac:dyDescent="0.25">
      <c r="A10779" t="s">
        <v>16</v>
      </c>
      <c r="B10779" t="s">
        <v>3221</v>
      </c>
      <c r="C10779">
        <v>13329</v>
      </c>
      <c r="D10779" t="s">
        <v>970</v>
      </c>
      <c r="E10779" t="s">
        <v>971</v>
      </c>
      <c r="F10779">
        <v>2862.55</v>
      </c>
      <c r="G10779">
        <v>231005</v>
      </c>
      <c r="H10779">
        <v>4571</v>
      </c>
      <c r="I10779" t="s">
        <v>181</v>
      </c>
      <c r="J10779">
        <v>3549.56</v>
      </c>
      <c r="K10779">
        <v>687.01</v>
      </c>
      <c r="L10779">
        <v>17950</v>
      </c>
      <c r="M10779" t="s">
        <v>86</v>
      </c>
      <c r="N10779" t="str">
        <f>"20166398    "</f>
        <v xml:space="preserve">20166398    </v>
      </c>
      <c r="O10779">
        <v>231009</v>
      </c>
    </row>
    <row r="10780" spans="1:15" x14ac:dyDescent="0.25">
      <c r="A10780" t="s">
        <v>16</v>
      </c>
      <c r="B10780" t="s">
        <v>3221</v>
      </c>
      <c r="C10780">
        <v>13438</v>
      </c>
      <c r="D10780" t="s">
        <v>970</v>
      </c>
      <c r="E10780" t="s">
        <v>971</v>
      </c>
      <c r="F10780">
        <v>3825.88</v>
      </c>
      <c r="G10780">
        <v>231006</v>
      </c>
      <c r="H10780">
        <v>4571</v>
      </c>
      <c r="I10780" t="s">
        <v>181</v>
      </c>
      <c r="J10780">
        <v>4744.09</v>
      </c>
      <c r="K10780">
        <v>918.21</v>
      </c>
      <c r="L10780">
        <v>17951</v>
      </c>
      <c r="M10780" t="s">
        <v>87</v>
      </c>
      <c r="N10780" t="str">
        <f>"20166734    "</f>
        <v xml:space="preserve">20166734    </v>
      </c>
      <c r="O10780">
        <v>231010</v>
      </c>
    </row>
    <row r="10781" spans="1:15" x14ac:dyDescent="0.25">
      <c r="A10781" t="s">
        <v>16</v>
      </c>
      <c r="B10781" t="s">
        <v>3221</v>
      </c>
      <c r="C10781">
        <v>13439</v>
      </c>
      <c r="D10781" t="s">
        <v>970</v>
      </c>
      <c r="E10781" t="s">
        <v>971</v>
      </c>
      <c r="F10781">
        <v>2073.79</v>
      </c>
      <c r="G10781">
        <v>231006</v>
      </c>
      <c r="H10781">
        <v>4571</v>
      </c>
      <c r="I10781" t="s">
        <v>181</v>
      </c>
      <c r="J10781">
        <v>2571.5</v>
      </c>
      <c r="K10781">
        <v>497.71</v>
      </c>
      <c r="L10781">
        <v>17951</v>
      </c>
      <c r="M10781" t="s">
        <v>87</v>
      </c>
      <c r="N10781" t="str">
        <f>"20166735    "</f>
        <v xml:space="preserve">20166735    </v>
      </c>
      <c r="O10781">
        <v>231010</v>
      </c>
    </row>
    <row r="10782" spans="1:15" x14ac:dyDescent="0.25">
      <c r="A10782" t="s">
        <v>16</v>
      </c>
      <c r="B10782" t="s">
        <v>3221</v>
      </c>
      <c r="C10782">
        <v>13669</v>
      </c>
      <c r="D10782" t="s">
        <v>970</v>
      </c>
      <c r="E10782" t="s">
        <v>971</v>
      </c>
      <c r="F10782">
        <v>231.15</v>
      </c>
      <c r="G10782">
        <v>231005</v>
      </c>
      <c r="H10782">
        <v>4571</v>
      </c>
      <c r="I10782" t="s">
        <v>181</v>
      </c>
      <c r="J10782">
        <v>286.63</v>
      </c>
      <c r="K10782">
        <v>55.48</v>
      </c>
      <c r="L10782">
        <v>13540</v>
      </c>
      <c r="M10782" t="s">
        <v>85</v>
      </c>
      <c r="N10782" t="str">
        <f>"20166445    "</f>
        <v xml:space="preserve">20166445    </v>
      </c>
      <c r="O10782">
        <v>231012</v>
      </c>
    </row>
    <row r="10783" spans="1:15" x14ac:dyDescent="0.25">
      <c r="A10783" t="s">
        <v>16</v>
      </c>
      <c r="B10783" t="s">
        <v>3221</v>
      </c>
      <c r="C10783">
        <v>13669</v>
      </c>
      <c r="D10783" t="s">
        <v>970</v>
      </c>
      <c r="E10783" t="s">
        <v>971</v>
      </c>
      <c r="F10783">
        <v>462.31</v>
      </c>
      <c r="G10783">
        <v>231005</v>
      </c>
      <c r="H10783">
        <v>4571</v>
      </c>
      <c r="I10783" t="s">
        <v>181</v>
      </c>
      <c r="J10783">
        <v>573.26</v>
      </c>
      <c r="K10783">
        <v>110.95</v>
      </c>
      <c r="L10783">
        <v>17950</v>
      </c>
      <c r="M10783" t="s">
        <v>86</v>
      </c>
      <c r="N10783" t="str">
        <f>"20166445    "</f>
        <v xml:space="preserve">20166445    </v>
      </c>
      <c r="O10783">
        <v>231012</v>
      </c>
    </row>
    <row r="10784" spans="1:15" x14ac:dyDescent="0.25">
      <c r="A10784" t="s">
        <v>16</v>
      </c>
      <c r="B10784" t="s">
        <v>3221</v>
      </c>
      <c r="C10784">
        <v>15038</v>
      </c>
      <c r="D10784" t="s">
        <v>970</v>
      </c>
      <c r="E10784" t="s">
        <v>971</v>
      </c>
      <c r="F10784">
        <v>1015.48</v>
      </c>
      <c r="G10784">
        <v>231103</v>
      </c>
      <c r="H10784">
        <v>4571</v>
      </c>
      <c r="I10784" t="s">
        <v>181</v>
      </c>
      <c r="J10784">
        <v>1259.2</v>
      </c>
      <c r="K10784">
        <v>243.72</v>
      </c>
      <c r="L10784">
        <v>13540</v>
      </c>
      <c r="M10784" t="s">
        <v>85</v>
      </c>
      <c r="N10784" t="str">
        <f>"20167748    "</f>
        <v xml:space="preserve">20167748    </v>
      </c>
      <c r="O10784">
        <v>231108</v>
      </c>
    </row>
    <row r="10785" spans="1:15" x14ac:dyDescent="0.25">
      <c r="A10785" t="s">
        <v>16</v>
      </c>
      <c r="B10785" t="s">
        <v>3221</v>
      </c>
      <c r="C10785">
        <v>15038</v>
      </c>
      <c r="D10785" t="s">
        <v>970</v>
      </c>
      <c r="E10785" t="s">
        <v>971</v>
      </c>
      <c r="F10785">
        <v>6923.78</v>
      </c>
      <c r="G10785">
        <v>231103</v>
      </c>
      <c r="H10785">
        <v>4571</v>
      </c>
      <c r="I10785" t="s">
        <v>181</v>
      </c>
      <c r="J10785">
        <v>8585.49</v>
      </c>
      <c r="K10785">
        <v>1661.71</v>
      </c>
      <c r="L10785">
        <v>17950</v>
      </c>
      <c r="M10785" t="s">
        <v>86</v>
      </c>
      <c r="N10785" t="str">
        <f>"20167748    "</f>
        <v xml:space="preserve">20167748    </v>
      </c>
      <c r="O10785">
        <v>231108</v>
      </c>
    </row>
    <row r="10786" spans="1:15" x14ac:dyDescent="0.25">
      <c r="A10786" t="s">
        <v>16</v>
      </c>
      <c r="B10786" t="s">
        <v>3221</v>
      </c>
      <c r="C10786">
        <v>15038</v>
      </c>
      <c r="D10786" t="s">
        <v>970</v>
      </c>
      <c r="E10786" t="s">
        <v>971</v>
      </c>
      <c r="F10786">
        <v>1292.44</v>
      </c>
      <c r="G10786">
        <v>231103</v>
      </c>
      <c r="H10786">
        <v>4571</v>
      </c>
      <c r="I10786" t="s">
        <v>181</v>
      </c>
      <c r="J10786">
        <v>1602.62</v>
      </c>
      <c r="K10786">
        <v>310.18</v>
      </c>
      <c r="L10786">
        <v>17956</v>
      </c>
      <c r="M10786" t="s">
        <v>53</v>
      </c>
      <c r="N10786" t="str">
        <f>"20167748    "</f>
        <v xml:space="preserve">20167748    </v>
      </c>
      <c r="O10786">
        <v>231108</v>
      </c>
    </row>
    <row r="10787" spans="1:15" x14ac:dyDescent="0.25">
      <c r="A10787" t="s">
        <v>16</v>
      </c>
      <c r="B10787" t="s">
        <v>3221</v>
      </c>
      <c r="C10787">
        <v>15040</v>
      </c>
      <c r="D10787" t="s">
        <v>970</v>
      </c>
      <c r="E10787" t="s">
        <v>971</v>
      </c>
      <c r="F10787">
        <v>462.33</v>
      </c>
      <c r="G10787">
        <v>231103</v>
      </c>
      <c r="H10787">
        <v>4571</v>
      </c>
      <c r="I10787" t="s">
        <v>181</v>
      </c>
      <c r="J10787">
        <v>573.29</v>
      </c>
      <c r="K10787">
        <v>110.96</v>
      </c>
      <c r="L10787">
        <v>13540</v>
      </c>
      <c r="M10787" t="s">
        <v>85</v>
      </c>
      <c r="N10787" t="str">
        <f>"20167795    "</f>
        <v xml:space="preserve">20167795    </v>
      </c>
      <c r="O10787">
        <v>231108</v>
      </c>
    </row>
    <row r="10788" spans="1:15" x14ac:dyDescent="0.25">
      <c r="A10788" t="s">
        <v>16</v>
      </c>
      <c r="B10788" t="s">
        <v>3221</v>
      </c>
      <c r="C10788">
        <v>15040</v>
      </c>
      <c r="D10788" t="s">
        <v>970</v>
      </c>
      <c r="E10788" t="s">
        <v>971</v>
      </c>
      <c r="F10788">
        <v>924.65</v>
      </c>
      <c r="G10788">
        <v>231103</v>
      </c>
      <c r="H10788">
        <v>4571</v>
      </c>
      <c r="I10788" t="s">
        <v>181</v>
      </c>
      <c r="J10788">
        <v>1146.56</v>
      </c>
      <c r="K10788">
        <v>221.91</v>
      </c>
      <c r="L10788">
        <v>17950</v>
      </c>
      <c r="M10788" t="s">
        <v>86</v>
      </c>
      <c r="N10788" t="str">
        <f>"20167795    "</f>
        <v xml:space="preserve">20167795    </v>
      </c>
      <c r="O10788">
        <v>231108</v>
      </c>
    </row>
    <row r="10789" spans="1:15" x14ac:dyDescent="0.25">
      <c r="A10789" t="s">
        <v>16</v>
      </c>
      <c r="B10789" t="s">
        <v>3221</v>
      </c>
      <c r="C10789">
        <v>15131</v>
      </c>
      <c r="D10789" t="s">
        <v>970</v>
      </c>
      <c r="E10789" t="s">
        <v>971</v>
      </c>
      <c r="F10789">
        <v>9012.52</v>
      </c>
      <c r="G10789">
        <v>231106</v>
      </c>
      <c r="H10789">
        <v>4571</v>
      </c>
      <c r="I10789" t="s">
        <v>181</v>
      </c>
      <c r="J10789">
        <v>11175.52</v>
      </c>
      <c r="K10789">
        <v>2163</v>
      </c>
      <c r="L10789">
        <v>17951</v>
      </c>
      <c r="M10789" t="s">
        <v>87</v>
      </c>
      <c r="N10789" t="str">
        <f>"20168077    "</f>
        <v xml:space="preserve">20168077    </v>
      </c>
      <c r="O10789">
        <v>231109</v>
      </c>
    </row>
    <row r="10790" spans="1:15" x14ac:dyDescent="0.25">
      <c r="A10790" t="s">
        <v>16</v>
      </c>
      <c r="B10790" t="s">
        <v>3221</v>
      </c>
      <c r="C10790">
        <v>15132</v>
      </c>
      <c r="D10790" t="s">
        <v>970</v>
      </c>
      <c r="E10790" t="s">
        <v>971</v>
      </c>
      <c r="F10790">
        <v>5592.35</v>
      </c>
      <c r="G10790">
        <v>231106</v>
      </c>
      <c r="H10790">
        <v>4571</v>
      </c>
      <c r="I10790" t="s">
        <v>181</v>
      </c>
      <c r="J10790">
        <v>6934.51</v>
      </c>
      <c r="K10790">
        <v>1342.16</v>
      </c>
      <c r="L10790">
        <v>17951</v>
      </c>
      <c r="M10790" t="s">
        <v>87</v>
      </c>
      <c r="N10790" t="str">
        <f>"20168078    "</f>
        <v xml:space="preserve">20168078    </v>
      </c>
      <c r="O10790">
        <v>231109</v>
      </c>
    </row>
    <row r="10791" spans="1:15" x14ac:dyDescent="0.25">
      <c r="A10791" t="s">
        <v>16</v>
      </c>
      <c r="B10791" t="s">
        <v>3221</v>
      </c>
      <c r="C10791">
        <v>17152</v>
      </c>
      <c r="D10791" t="s">
        <v>970</v>
      </c>
      <c r="E10791" t="s">
        <v>971</v>
      </c>
      <c r="F10791">
        <v>7661.41</v>
      </c>
      <c r="G10791">
        <v>231207</v>
      </c>
      <c r="H10791">
        <v>4571</v>
      </c>
      <c r="I10791" t="s">
        <v>181</v>
      </c>
      <c r="J10791">
        <v>9500.15</v>
      </c>
      <c r="K10791">
        <v>1838.74</v>
      </c>
      <c r="L10791">
        <v>17951</v>
      </c>
      <c r="M10791" t="s">
        <v>87</v>
      </c>
      <c r="N10791" t="str">
        <f>"20169165    "</f>
        <v xml:space="preserve">20169165    </v>
      </c>
      <c r="O10791">
        <v>231212</v>
      </c>
    </row>
    <row r="10792" spans="1:15" x14ac:dyDescent="0.25">
      <c r="A10792" t="s">
        <v>16</v>
      </c>
      <c r="B10792" t="s">
        <v>3221</v>
      </c>
      <c r="C10792">
        <v>17166</v>
      </c>
      <c r="D10792" t="s">
        <v>970</v>
      </c>
      <c r="E10792" t="s">
        <v>971</v>
      </c>
      <c r="F10792">
        <v>12919.01</v>
      </c>
      <c r="G10792">
        <v>231207</v>
      </c>
      <c r="H10792">
        <v>4571</v>
      </c>
      <c r="I10792" t="s">
        <v>181</v>
      </c>
      <c r="J10792">
        <v>16019.57</v>
      </c>
      <c r="K10792">
        <v>3100.56</v>
      </c>
      <c r="L10792">
        <v>17951</v>
      </c>
      <c r="M10792" t="s">
        <v>87</v>
      </c>
      <c r="N10792" t="str">
        <f>"20169164    "</f>
        <v xml:space="preserve">20169164    </v>
      </c>
      <c r="O10792">
        <v>231212</v>
      </c>
    </row>
    <row r="10793" spans="1:15" x14ac:dyDescent="0.25">
      <c r="A10793" t="s">
        <v>16</v>
      </c>
      <c r="B10793" t="s">
        <v>3221</v>
      </c>
      <c r="C10793">
        <v>17258</v>
      </c>
      <c r="D10793" t="s">
        <v>970</v>
      </c>
      <c r="E10793" t="s">
        <v>971</v>
      </c>
      <c r="F10793">
        <v>690.51</v>
      </c>
      <c r="G10793">
        <v>231208</v>
      </c>
      <c r="H10793">
        <v>4571</v>
      </c>
      <c r="I10793" t="s">
        <v>181</v>
      </c>
      <c r="J10793">
        <v>856.23</v>
      </c>
      <c r="K10793">
        <v>165.72</v>
      </c>
      <c r="L10793">
        <v>13540</v>
      </c>
      <c r="M10793" t="s">
        <v>85</v>
      </c>
      <c r="N10793" t="str">
        <f>"20169394    "</f>
        <v xml:space="preserve">20169394    </v>
      </c>
      <c r="O10793">
        <v>231212</v>
      </c>
    </row>
    <row r="10794" spans="1:15" x14ac:dyDescent="0.25">
      <c r="A10794" t="s">
        <v>16</v>
      </c>
      <c r="B10794" t="s">
        <v>3221</v>
      </c>
      <c r="C10794">
        <v>17258</v>
      </c>
      <c r="D10794" t="s">
        <v>970</v>
      </c>
      <c r="E10794" t="s">
        <v>971</v>
      </c>
      <c r="F10794">
        <v>1381</v>
      </c>
      <c r="G10794">
        <v>231208</v>
      </c>
      <c r="H10794">
        <v>4571</v>
      </c>
      <c r="I10794" t="s">
        <v>181</v>
      </c>
      <c r="J10794">
        <v>1712.44</v>
      </c>
      <c r="K10794">
        <v>331.44</v>
      </c>
      <c r="L10794">
        <v>17950</v>
      </c>
      <c r="M10794" t="s">
        <v>86</v>
      </c>
      <c r="N10794" t="str">
        <f>"20169394    "</f>
        <v xml:space="preserve">20169394    </v>
      </c>
      <c r="O10794">
        <v>231212</v>
      </c>
    </row>
    <row r="10795" spans="1:15" x14ac:dyDescent="0.25">
      <c r="A10795" t="s">
        <v>16</v>
      </c>
      <c r="B10795" t="s">
        <v>3221</v>
      </c>
      <c r="C10795">
        <v>17282</v>
      </c>
      <c r="D10795" t="s">
        <v>970</v>
      </c>
      <c r="E10795" t="s">
        <v>971</v>
      </c>
      <c r="F10795">
        <v>1657.51</v>
      </c>
      <c r="G10795">
        <v>231208</v>
      </c>
      <c r="H10795">
        <v>4571</v>
      </c>
      <c r="I10795" t="s">
        <v>181</v>
      </c>
      <c r="J10795">
        <v>2055.31</v>
      </c>
      <c r="K10795">
        <v>397.8</v>
      </c>
      <c r="L10795">
        <v>13540</v>
      </c>
      <c r="M10795" t="s">
        <v>85</v>
      </c>
      <c r="N10795" t="str">
        <f>"20169348    "</f>
        <v xml:space="preserve">20169348    </v>
      </c>
      <c r="O10795">
        <v>231212</v>
      </c>
    </row>
    <row r="10796" spans="1:15" x14ac:dyDescent="0.25">
      <c r="A10796" t="s">
        <v>16</v>
      </c>
      <c r="B10796" t="s">
        <v>3221</v>
      </c>
      <c r="C10796">
        <v>17282</v>
      </c>
      <c r="D10796" t="s">
        <v>970</v>
      </c>
      <c r="E10796" t="s">
        <v>971</v>
      </c>
      <c r="F10796">
        <v>13410.76</v>
      </c>
      <c r="G10796">
        <v>231208</v>
      </c>
      <c r="H10796">
        <v>4571</v>
      </c>
      <c r="I10796" t="s">
        <v>181</v>
      </c>
      <c r="J10796">
        <v>16629.34</v>
      </c>
      <c r="K10796">
        <v>3218.58</v>
      </c>
      <c r="L10796">
        <v>17950</v>
      </c>
      <c r="M10796" t="s">
        <v>86</v>
      </c>
      <c r="N10796" t="str">
        <f>"20169348    "</f>
        <v xml:space="preserve">20169348    </v>
      </c>
      <c r="O10796">
        <v>231212</v>
      </c>
    </row>
    <row r="10797" spans="1:15" x14ac:dyDescent="0.25">
      <c r="A10797" t="s">
        <v>16</v>
      </c>
      <c r="B10797" t="s">
        <v>3221</v>
      </c>
      <c r="C10797">
        <v>18679</v>
      </c>
      <c r="D10797" t="s">
        <v>970</v>
      </c>
      <c r="E10797" t="s">
        <v>971</v>
      </c>
      <c r="F10797">
        <v>9559.1</v>
      </c>
      <c r="G10797">
        <v>240103</v>
      </c>
      <c r="H10797">
        <v>4571</v>
      </c>
      <c r="I10797" t="s">
        <v>181</v>
      </c>
      <c r="J10797">
        <v>11853.28</v>
      </c>
      <c r="K10797">
        <v>2294.1799999999998</v>
      </c>
      <c r="L10797">
        <v>17951</v>
      </c>
      <c r="M10797" t="s">
        <v>87</v>
      </c>
      <c r="N10797" t="str">
        <f>"20170782    "</f>
        <v xml:space="preserve">20170782    </v>
      </c>
      <c r="O10797">
        <v>240104</v>
      </c>
    </row>
    <row r="10798" spans="1:15" x14ac:dyDescent="0.25">
      <c r="A10798" t="s">
        <v>16</v>
      </c>
      <c r="B10798" t="s">
        <v>3221</v>
      </c>
      <c r="C10798">
        <v>18680</v>
      </c>
      <c r="D10798" t="s">
        <v>970</v>
      </c>
      <c r="E10798" t="s">
        <v>971</v>
      </c>
      <c r="F10798">
        <v>15270.05</v>
      </c>
      <c r="G10798">
        <v>240103</v>
      </c>
      <c r="H10798">
        <v>4571</v>
      </c>
      <c r="I10798" t="s">
        <v>181</v>
      </c>
      <c r="J10798">
        <v>18934.86</v>
      </c>
      <c r="K10798">
        <v>3664.81</v>
      </c>
      <c r="L10798">
        <v>17951</v>
      </c>
      <c r="M10798" t="s">
        <v>87</v>
      </c>
      <c r="N10798" t="str">
        <f>"20170781    "</f>
        <v xml:space="preserve">20170781    </v>
      </c>
      <c r="O10798">
        <v>240104</v>
      </c>
    </row>
    <row r="10799" spans="1:15" x14ac:dyDescent="0.25">
      <c r="A10799" t="s">
        <v>16</v>
      </c>
      <c r="B10799" t="s">
        <v>3221</v>
      </c>
      <c r="C10799">
        <v>18747</v>
      </c>
      <c r="D10799" t="s">
        <v>970</v>
      </c>
      <c r="E10799" t="s">
        <v>971</v>
      </c>
      <c r="F10799">
        <v>848.04</v>
      </c>
      <c r="G10799">
        <v>240103</v>
      </c>
      <c r="H10799">
        <v>4571</v>
      </c>
      <c r="I10799" t="s">
        <v>181</v>
      </c>
      <c r="J10799">
        <v>1051.57</v>
      </c>
      <c r="K10799">
        <v>203.53</v>
      </c>
      <c r="L10799">
        <v>13540</v>
      </c>
      <c r="M10799" t="s">
        <v>85</v>
      </c>
      <c r="N10799" t="str">
        <f>"20170480    "</f>
        <v xml:space="preserve">20170480    </v>
      </c>
      <c r="O10799">
        <v>240105</v>
      </c>
    </row>
    <row r="10800" spans="1:15" x14ac:dyDescent="0.25">
      <c r="A10800" t="s">
        <v>16</v>
      </c>
      <c r="B10800" t="s">
        <v>3221</v>
      </c>
      <c r="C10800">
        <v>18747</v>
      </c>
      <c r="D10800" t="s">
        <v>970</v>
      </c>
      <c r="E10800" t="s">
        <v>971</v>
      </c>
      <c r="F10800">
        <v>1696.07</v>
      </c>
      <c r="G10800">
        <v>240103</v>
      </c>
      <c r="H10800">
        <v>4571</v>
      </c>
      <c r="I10800" t="s">
        <v>181</v>
      </c>
      <c r="J10800">
        <v>2103.13</v>
      </c>
      <c r="K10800">
        <v>407.06</v>
      </c>
      <c r="L10800">
        <v>17950</v>
      </c>
      <c r="M10800" t="s">
        <v>86</v>
      </c>
      <c r="N10800" t="str">
        <f>"20170480    "</f>
        <v xml:space="preserve">20170480    </v>
      </c>
      <c r="O10800">
        <v>240105</v>
      </c>
    </row>
    <row r="10801" spans="1:15" x14ac:dyDescent="0.25">
      <c r="A10801" t="s">
        <v>16</v>
      </c>
      <c r="B10801" t="s">
        <v>3221</v>
      </c>
      <c r="C10801">
        <v>18884</v>
      </c>
      <c r="D10801" t="s">
        <v>970</v>
      </c>
      <c r="E10801" t="s">
        <v>971</v>
      </c>
      <c r="F10801">
        <v>1886.02</v>
      </c>
      <c r="G10801">
        <v>240103</v>
      </c>
      <c r="H10801">
        <v>4571</v>
      </c>
      <c r="I10801" t="s">
        <v>181</v>
      </c>
      <c r="J10801">
        <v>2338.66</v>
      </c>
      <c r="K10801">
        <v>452.64</v>
      </c>
      <c r="L10801">
        <v>13540</v>
      </c>
      <c r="M10801" t="s">
        <v>85</v>
      </c>
      <c r="N10801" t="str">
        <f>"20170433    "</f>
        <v xml:space="preserve">20170433    </v>
      </c>
      <c r="O10801">
        <v>240108</v>
      </c>
    </row>
    <row r="10802" spans="1:15" x14ac:dyDescent="0.25">
      <c r="A10802" t="s">
        <v>16</v>
      </c>
      <c r="B10802" t="s">
        <v>3221</v>
      </c>
      <c r="C10802">
        <v>18884</v>
      </c>
      <c r="D10802" t="s">
        <v>970</v>
      </c>
      <c r="E10802" t="s">
        <v>971</v>
      </c>
      <c r="F10802">
        <v>15259.59</v>
      </c>
      <c r="G10802">
        <v>240103</v>
      </c>
      <c r="H10802">
        <v>4571</v>
      </c>
      <c r="I10802" t="s">
        <v>181</v>
      </c>
      <c r="J10802">
        <v>18921.89</v>
      </c>
      <c r="K10802">
        <v>3662.3</v>
      </c>
      <c r="L10802">
        <v>17950</v>
      </c>
      <c r="M10802" t="s">
        <v>86</v>
      </c>
      <c r="N10802" t="str">
        <f>"20170433    "</f>
        <v xml:space="preserve">20170433    </v>
      </c>
      <c r="O10802">
        <v>240108</v>
      </c>
    </row>
    <row r="10803" spans="1:15" x14ac:dyDescent="0.25">
      <c r="A10803" t="s">
        <v>16</v>
      </c>
      <c r="B10803" t="s">
        <v>3221</v>
      </c>
      <c r="C10803">
        <v>9435</v>
      </c>
      <c r="D10803" t="s">
        <v>970</v>
      </c>
      <c r="E10803" t="s">
        <v>971</v>
      </c>
      <c r="F10803">
        <v>2615.27</v>
      </c>
      <c r="G10803">
        <v>230705</v>
      </c>
      <c r="H10803">
        <v>4572</v>
      </c>
      <c r="I10803" t="s">
        <v>122</v>
      </c>
      <c r="J10803">
        <v>3242.93</v>
      </c>
      <c r="K10803">
        <v>627.66</v>
      </c>
      <c r="L10803">
        <v>17950</v>
      </c>
      <c r="M10803" t="s">
        <v>86</v>
      </c>
      <c r="N10803" t="str">
        <f>"20162384    "</f>
        <v xml:space="preserve">20162384    </v>
      </c>
      <c r="O10803">
        <v>230711</v>
      </c>
    </row>
    <row r="10804" spans="1:15" x14ac:dyDescent="0.25">
      <c r="A10804" t="s">
        <v>16</v>
      </c>
      <c r="B10804" t="s">
        <v>3221</v>
      </c>
      <c r="C10804">
        <v>11982</v>
      </c>
      <c r="D10804" t="s">
        <v>970</v>
      </c>
      <c r="E10804" t="s">
        <v>971</v>
      </c>
      <c r="F10804">
        <v>1637.46</v>
      </c>
      <c r="G10804">
        <v>230906</v>
      </c>
      <c r="H10804">
        <v>4572</v>
      </c>
      <c r="I10804" t="s">
        <v>122</v>
      </c>
      <c r="J10804">
        <v>2030.45</v>
      </c>
      <c r="K10804">
        <v>392.99</v>
      </c>
      <c r="L10804">
        <v>17951</v>
      </c>
      <c r="M10804" t="s">
        <v>87</v>
      </c>
      <c r="N10804" t="str">
        <f>"20165397    "</f>
        <v xml:space="preserve">20165397    </v>
      </c>
      <c r="O10804">
        <v>230912</v>
      </c>
    </row>
    <row r="10805" spans="1:15" x14ac:dyDescent="0.25">
      <c r="A10805" t="s">
        <v>16</v>
      </c>
      <c r="B10805" t="s">
        <v>3221</v>
      </c>
      <c r="C10805">
        <v>11986</v>
      </c>
      <c r="D10805" t="s">
        <v>970</v>
      </c>
      <c r="E10805" t="s">
        <v>971</v>
      </c>
      <c r="F10805">
        <v>2705.72</v>
      </c>
      <c r="G10805">
        <v>230906</v>
      </c>
      <c r="H10805">
        <v>4572</v>
      </c>
      <c r="I10805" t="s">
        <v>122</v>
      </c>
      <c r="J10805">
        <v>3355.09</v>
      </c>
      <c r="K10805">
        <v>649.37</v>
      </c>
      <c r="L10805">
        <v>17951</v>
      </c>
      <c r="M10805" t="s">
        <v>87</v>
      </c>
      <c r="N10805" t="str">
        <f>"20165396    "</f>
        <v xml:space="preserve">20165396    </v>
      </c>
      <c r="O10805">
        <v>230912</v>
      </c>
    </row>
    <row r="10806" spans="1:15" x14ac:dyDescent="0.25">
      <c r="A10806" t="s">
        <v>16</v>
      </c>
      <c r="B10806" t="s">
        <v>3221</v>
      </c>
      <c r="C10806">
        <v>6145</v>
      </c>
      <c r="D10806" t="s">
        <v>983</v>
      </c>
      <c r="E10806" t="s">
        <v>984</v>
      </c>
      <c r="F10806">
        <v>2440.36</v>
      </c>
      <c r="G10806">
        <v>230505</v>
      </c>
      <c r="H10806">
        <v>4571</v>
      </c>
      <c r="I10806" t="s">
        <v>181</v>
      </c>
      <c r="J10806">
        <v>3026.05</v>
      </c>
      <c r="K10806">
        <v>585.69000000000005</v>
      </c>
      <c r="L10806">
        <v>17951</v>
      </c>
      <c r="M10806" t="s">
        <v>87</v>
      </c>
      <c r="N10806" t="str">
        <f>"1021220703  "</f>
        <v xml:space="preserve">1021220703  </v>
      </c>
      <c r="O10806">
        <v>230508</v>
      </c>
    </row>
    <row r="10807" spans="1:15" x14ac:dyDescent="0.25">
      <c r="A10807" t="s">
        <v>16</v>
      </c>
      <c r="B10807" t="s">
        <v>3221</v>
      </c>
      <c r="C10807">
        <v>13351</v>
      </c>
      <c r="D10807" t="s">
        <v>983</v>
      </c>
      <c r="E10807" t="s">
        <v>984</v>
      </c>
      <c r="F10807">
        <v>42.04</v>
      </c>
      <c r="G10807">
        <v>231009</v>
      </c>
      <c r="H10807">
        <v>4571</v>
      </c>
      <c r="I10807" t="s">
        <v>181</v>
      </c>
      <c r="J10807">
        <v>52.13</v>
      </c>
      <c r="K10807">
        <v>10.09</v>
      </c>
      <c r="L10807">
        <v>17956</v>
      </c>
      <c r="M10807" t="s">
        <v>53</v>
      </c>
      <c r="N10807" t="str">
        <f>"1021387235  "</f>
        <v xml:space="preserve">1021387235  </v>
      </c>
      <c r="O10807">
        <v>231009</v>
      </c>
    </row>
    <row r="10808" spans="1:15" x14ac:dyDescent="0.25">
      <c r="A10808" t="s">
        <v>16</v>
      </c>
      <c r="B10808" t="s">
        <v>3221</v>
      </c>
      <c r="C10808">
        <v>1286</v>
      </c>
      <c r="D10808" t="s">
        <v>983</v>
      </c>
      <c r="E10808" t="s">
        <v>984</v>
      </c>
      <c r="F10808">
        <v>554.55999999999995</v>
      </c>
      <c r="G10808">
        <v>230207</v>
      </c>
      <c r="H10808">
        <v>4572</v>
      </c>
      <c r="I10808" t="s">
        <v>122</v>
      </c>
      <c r="J10808">
        <v>687.66</v>
      </c>
      <c r="K10808">
        <v>133.1</v>
      </c>
      <c r="L10808">
        <v>13540</v>
      </c>
      <c r="M10808" t="s">
        <v>85</v>
      </c>
      <c r="N10808" t="str">
        <f>"1021122146  "</f>
        <v xml:space="preserve">1021122146  </v>
      </c>
      <c r="O10808">
        <v>230207</v>
      </c>
    </row>
    <row r="10809" spans="1:15" x14ac:dyDescent="0.25">
      <c r="A10809" t="s">
        <v>16</v>
      </c>
      <c r="B10809" t="s">
        <v>3221</v>
      </c>
      <c r="C10809">
        <v>1286</v>
      </c>
      <c r="D10809" t="s">
        <v>983</v>
      </c>
      <c r="E10809" t="s">
        <v>984</v>
      </c>
      <c r="F10809">
        <v>4486.93</v>
      </c>
      <c r="G10809">
        <v>230207</v>
      </c>
      <c r="H10809">
        <v>4572</v>
      </c>
      <c r="I10809" t="s">
        <v>122</v>
      </c>
      <c r="J10809">
        <v>5563.79</v>
      </c>
      <c r="K10809">
        <v>1076.8599999999999</v>
      </c>
      <c r="L10809">
        <v>17950</v>
      </c>
      <c r="M10809" t="s">
        <v>86</v>
      </c>
      <c r="N10809" t="str">
        <f>"1021122146  "</f>
        <v xml:space="preserve">1021122146  </v>
      </c>
      <c r="O10809">
        <v>230207</v>
      </c>
    </row>
    <row r="10810" spans="1:15" x14ac:dyDescent="0.25">
      <c r="A10810" t="s">
        <v>16</v>
      </c>
      <c r="B10810" t="s">
        <v>3221</v>
      </c>
      <c r="C10810">
        <v>1288</v>
      </c>
      <c r="D10810" t="s">
        <v>983</v>
      </c>
      <c r="E10810" t="s">
        <v>984</v>
      </c>
      <c r="F10810">
        <v>1974.89</v>
      </c>
      <c r="G10810">
        <v>230207</v>
      </c>
      <c r="H10810">
        <v>4572</v>
      </c>
      <c r="I10810" t="s">
        <v>122</v>
      </c>
      <c r="J10810">
        <v>2448.86</v>
      </c>
      <c r="K10810">
        <v>473.97</v>
      </c>
      <c r="L10810">
        <v>17956</v>
      </c>
      <c r="M10810" t="s">
        <v>53</v>
      </c>
      <c r="N10810" t="str">
        <f>"1021121706  "</f>
        <v xml:space="preserve">1021121706  </v>
      </c>
      <c r="O10810">
        <v>230207</v>
      </c>
    </row>
    <row r="10811" spans="1:15" x14ac:dyDescent="0.25">
      <c r="A10811" t="s">
        <v>16</v>
      </c>
      <c r="B10811" t="s">
        <v>3221</v>
      </c>
      <c r="C10811">
        <v>1369</v>
      </c>
      <c r="D10811" t="s">
        <v>983</v>
      </c>
      <c r="E10811" t="s">
        <v>984</v>
      </c>
      <c r="F10811">
        <v>206.32</v>
      </c>
      <c r="G10811">
        <v>230207</v>
      </c>
      <c r="H10811">
        <v>4572</v>
      </c>
      <c r="I10811" t="s">
        <v>122</v>
      </c>
      <c r="J10811">
        <v>255.84</v>
      </c>
      <c r="K10811">
        <v>49.52</v>
      </c>
      <c r="L10811">
        <v>17956</v>
      </c>
      <c r="M10811" t="s">
        <v>53</v>
      </c>
      <c r="N10811" t="str">
        <f>"1021125667  "</f>
        <v xml:space="preserve">1021125667  </v>
      </c>
      <c r="O10811">
        <v>230208</v>
      </c>
    </row>
    <row r="10812" spans="1:15" x14ac:dyDescent="0.25">
      <c r="A10812" t="s">
        <v>16</v>
      </c>
      <c r="B10812" t="s">
        <v>3221</v>
      </c>
      <c r="C10812">
        <v>1370</v>
      </c>
      <c r="D10812" t="s">
        <v>983</v>
      </c>
      <c r="E10812" t="s">
        <v>984</v>
      </c>
      <c r="F10812">
        <v>38.47</v>
      </c>
      <c r="G10812">
        <v>230207</v>
      </c>
      <c r="H10812">
        <v>4572</v>
      </c>
      <c r="I10812" t="s">
        <v>122</v>
      </c>
      <c r="J10812">
        <v>47.7</v>
      </c>
      <c r="K10812">
        <v>9.23</v>
      </c>
      <c r="L10812">
        <v>17981</v>
      </c>
      <c r="M10812" t="s">
        <v>218</v>
      </c>
      <c r="N10812" t="str">
        <f>"1021127860  "</f>
        <v xml:space="preserve">1021127860  </v>
      </c>
      <c r="O10812">
        <v>230208</v>
      </c>
    </row>
    <row r="10813" spans="1:15" x14ac:dyDescent="0.25">
      <c r="A10813" t="s">
        <v>16</v>
      </c>
      <c r="B10813" t="s">
        <v>3221</v>
      </c>
      <c r="C10813">
        <v>1371</v>
      </c>
      <c r="D10813" t="s">
        <v>983</v>
      </c>
      <c r="E10813" t="s">
        <v>984</v>
      </c>
      <c r="F10813">
        <v>37.270000000000003</v>
      </c>
      <c r="G10813">
        <v>230207</v>
      </c>
      <c r="H10813">
        <v>4572</v>
      </c>
      <c r="I10813" t="s">
        <v>122</v>
      </c>
      <c r="J10813">
        <v>46.21</v>
      </c>
      <c r="K10813">
        <v>8.94</v>
      </c>
      <c r="L10813">
        <v>17956</v>
      </c>
      <c r="M10813" t="s">
        <v>53</v>
      </c>
      <c r="N10813" t="str">
        <f>"1021129282  "</f>
        <v xml:space="preserve">1021129282  </v>
      </c>
      <c r="O10813">
        <v>230208</v>
      </c>
    </row>
    <row r="10814" spans="1:15" x14ac:dyDescent="0.25">
      <c r="A10814" t="s">
        <v>16</v>
      </c>
      <c r="B10814" t="s">
        <v>3221</v>
      </c>
      <c r="C10814">
        <v>1372</v>
      </c>
      <c r="D10814" t="s">
        <v>983</v>
      </c>
      <c r="E10814" t="s">
        <v>984</v>
      </c>
      <c r="F10814">
        <v>133.43</v>
      </c>
      <c r="G10814">
        <v>230207</v>
      </c>
      <c r="H10814">
        <v>4572</v>
      </c>
      <c r="I10814" t="s">
        <v>122</v>
      </c>
      <c r="J10814">
        <v>165.45</v>
      </c>
      <c r="K10814">
        <v>32.020000000000003</v>
      </c>
      <c r="L10814">
        <v>17956</v>
      </c>
      <c r="M10814" t="s">
        <v>53</v>
      </c>
      <c r="N10814" t="str">
        <f>"1021125668  "</f>
        <v xml:space="preserve">1021125668  </v>
      </c>
      <c r="O10814">
        <v>230208</v>
      </c>
    </row>
    <row r="10815" spans="1:15" x14ac:dyDescent="0.25">
      <c r="A10815" t="s">
        <v>16</v>
      </c>
      <c r="B10815" t="s">
        <v>3221</v>
      </c>
      <c r="C10815">
        <v>1373</v>
      </c>
      <c r="D10815" t="s">
        <v>983</v>
      </c>
      <c r="E10815" t="s">
        <v>984</v>
      </c>
      <c r="F10815">
        <v>405.04</v>
      </c>
      <c r="G10815">
        <v>230207</v>
      </c>
      <c r="H10815">
        <v>4572</v>
      </c>
      <c r="I10815" t="s">
        <v>122</v>
      </c>
      <c r="J10815">
        <v>502.25</v>
      </c>
      <c r="K10815">
        <v>97.21</v>
      </c>
      <c r="L10815">
        <v>17950</v>
      </c>
      <c r="M10815" t="s">
        <v>86</v>
      </c>
      <c r="N10815" t="str">
        <f>"1021123538  "</f>
        <v xml:space="preserve">1021123538  </v>
      </c>
      <c r="O10815">
        <v>230208</v>
      </c>
    </row>
    <row r="10816" spans="1:15" x14ac:dyDescent="0.25">
      <c r="A10816" t="s">
        <v>16</v>
      </c>
      <c r="B10816" t="s">
        <v>3221</v>
      </c>
      <c r="C10816">
        <v>1374</v>
      </c>
      <c r="D10816" t="s">
        <v>983</v>
      </c>
      <c r="E10816" t="s">
        <v>984</v>
      </c>
      <c r="F10816">
        <v>40.35</v>
      </c>
      <c r="G10816">
        <v>230207</v>
      </c>
      <c r="H10816">
        <v>4572</v>
      </c>
      <c r="I10816" t="s">
        <v>122</v>
      </c>
      <c r="J10816">
        <v>50.03</v>
      </c>
      <c r="K10816">
        <v>9.68</v>
      </c>
      <c r="L10816">
        <v>17956</v>
      </c>
      <c r="M10816" t="s">
        <v>53</v>
      </c>
      <c r="N10816" t="str">
        <f>"1021129281  "</f>
        <v xml:space="preserve">1021129281  </v>
      </c>
      <c r="O10816">
        <v>230208</v>
      </c>
    </row>
    <row r="10817" spans="1:15" x14ac:dyDescent="0.25">
      <c r="A10817" t="s">
        <v>16</v>
      </c>
      <c r="B10817" t="s">
        <v>3221</v>
      </c>
      <c r="C10817">
        <v>1408</v>
      </c>
      <c r="D10817" t="s">
        <v>983</v>
      </c>
      <c r="E10817" t="s">
        <v>984</v>
      </c>
      <c r="F10817">
        <v>3263.75</v>
      </c>
      <c r="G10817">
        <v>230207</v>
      </c>
      <c r="H10817">
        <v>4572</v>
      </c>
      <c r="I10817" t="s">
        <v>122</v>
      </c>
      <c r="J10817">
        <v>4047.05</v>
      </c>
      <c r="K10817">
        <v>783.3</v>
      </c>
      <c r="L10817">
        <v>17951</v>
      </c>
      <c r="M10817" t="s">
        <v>87</v>
      </c>
      <c r="N10817" t="str">
        <f>"1021122170  "</f>
        <v xml:space="preserve">1021122170  </v>
      </c>
      <c r="O10817">
        <v>230208</v>
      </c>
    </row>
    <row r="10818" spans="1:15" x14ac:dyDescent="0.25">
      <c r="A10818" t="s">
        <v>16</v>
      </c>
      <c r="B10818" t="s">
        <v>3221</v>
      </c>
      <c r="C10818">
        <v>1689</v>
      </c>
      <c r="D10818" t="s">
        <v>983</v>
      </c>
      <c r="E10818" t="s">
        <v>984</v>
      </c>
      <c r="F10818">
        <v>42.36</v>
      </c>
      <c r="G10818">
        <v>230207</v>
      </c>
      <c r="H10818">
        <v>4572</v>
      </c>
      <c r="I10818" t="s">
        <v>122</v>
      </c>
      <c r="J10818">
        <v>42.36</v>
      </c>
      <c r="K10818">
        <v>0</v>
      </c>
      <c r="L10818">
        <v>11001</v>
      </c>
      <c r="M10818" t="s">
        <v>326</v>
      </c>
      <c r="N10818" t="str">
        <f>"1021124418  "</f>
        <v xml:space="preserve">1021124418  </v>
      </c>
      <c r="O10818">
        <v>230213</v>
      </c>
    </row>
    <row r="10819" spans="1:15" x14ac:dyDescent="0.25">
      <c r="A10819" t="s">
        <v>16</v>
      </c>
      <c r="B10819" t="s">
        <v>3221</v>
      </c>
      <c r="C10819">
        <v>2848</v>
      </c>
      <c r="D10819" t="s">
        <v>983</v>
      </c>
      <c r="E10819" t="s">
        <v>984</v>
      </c>
      <c r="F10819">
        <v>1636.06</v>
      </c>
      <c r="G10819">
        <v>230307</v>
      </c>
      <c r="H10819">
        <v>4572</v>
      </c>
      <c r="I10819" t="s">
        <v>122</v>
      </c>
      <c r="J10819">
        <v>2028.71</v>
      </c>
      <c r="K10819">
        <v>392.65</v>
      </c>
      <c r="L10819">
        <v>17956</v>
      </c>
      <c r="M10819" t="s">
        <v>53</v>
      </c>
      <c r="N10819" t="str">
        <f>"1021187103  "</f>
        <v xml:space="preserve">1021187103  </v>
      </c>
      <c r="O10819">
        <v>230308</v>
      </c>
    </row>
    <row r="10820" spans="1:15" x14ac:dyDescent="0.25">
      <c r="A10820" t="s">
        <v>16</v>
      </c>
      <c r="B10820" t="s">
        <v>3221</v>
      </c>
      <c r="C10820">
        <v>2905</v>
      </c>
      <c r="D10820" t="s">
        <v>983</v>
      </c>
      <c r="E10820" t="s">
        <v>984</v>
      </c>
      <c r="F10820">
        <v>3175.98</v>
      </c>
      <c r="G10820">
        <v>230306</v>
      </c>
      <c r="H10820">
        <v>4572</v>
      </c>
      <c r="I10820" t="s">
        <v>122</v>
      </c>
      <c r="J10820">
        <v>3938.22</v>
      </c>
      <c r="K10820">
        <v>762.24</v>
      </c>
      <c r="L10820">
        <v>17951</v>
      </c>
      <c r="M10820" t="s">
        <v>87</v>
      </c>
      <c r="N10820" t="str">
        <f>"1021154755  "</f>
        <v xml:space="preserve">1021154755  </v>
      </c>
      <c r="O10820">
        <v>230308</v>
      </c>
    </row>
    <row r="10821" spans="1:15" x14ac:dyDescent="0.25">
      <c r="A10821" t="s">
        <v>16</v>
      </c>
      <c r="B10821" t="s">
        <v>3221</v>
      </c>
      <c r="C10821">
        <v>2940</v>
      </c>
      <c r="D10821" t="s">
        <v>983</v>
      </c>
      <c r="E10821" t="s">
        <v>984</v>
      </c>
      <c r="F10821">
        <v>534.19000000000005</v>
      </c>
      <c r="G10821">
        <v>230306</v>
      </c>
      <c r="H10821">
        <v>4572</v>
      </c>
      <c r="I10821" t="s">
        <v>122</v>
      </c>
      <c r="J10821">
        <v>662.4</v>
      </c>
      <c r="K10821">
        <v>128.21</v>
      </c>
      <c r="L10821">
        <v>13540</v>
      </c>
      <c r="M10821" t="s">
        <v>85</v>
      </c>
      <c r="N10821" t="str">
        <f>"1021154849  "</f>
        <v xml:space="preserve">1021154849  </v>
      </c>
      <c r="O10821">
        <v>230308</v>
      </c>
    </row>
    <row r="10822" spans="1:15" x14ac:dyDescent="0.25">
      <c r="A10822" t="s">
        <v>16</v>
      </c>
      <c r="B10822" t="s">
        <v>3221</v>
      </c>
      <c r="C10822">
        <v>2940</v>
      </c>
      <c r="D10822" t="s">
        <v>983</v>
      </c>
      <c r="E10822" t="s">
        <v>984</v>
      </c>
      <c r="F10822">
        <v>4322.1000000000004</v>
      </c>
      <c r="G10822">
        <v>230306</v>
      </c>
      <c r="H10822">
        <v>4572</v>
      </c>
      <c r="I10822" t="s">
        <v>122</v>
      </c>
      <c r="J10822">
        <v>5359.4</v>
      </c>
      <c r="K10822">
        <v>1037.3</v>
      </c>
      <c r="L10822">
        <v>17950</v>
      </c>
      <c r="M10822" t="s">
        <v>86</v>
      </c>
      <c r="N10822" t="str">
        <f>"1021154849  "</f>
        <v xml:space="preserve">1021154849  </v>
      </c>
      <c r="O10822">
        <v>230308</v>
      </c>
    </row>
    <row r="10823" spans="1:15" x14ac:dyDescent="0.25">
      <c r="A10823" t="s">
        <v>16</v>
      </c>
      <c r="B10823" t="s">
        <v>3221</v>
      </c>
      <c r="C10823">
        <v>2991</v>
      </c>
      <c r="D10823" t="s">
        <v>983</v>
      </c>
      <c r="E10823" t="s">
        <v>984</v>
      </c>
      <c r="F10823">
        <v>165.55</v>
      </c>
      <c r="G10823">
        <v>230307</v>
      </c>
      <c r="H10823">
        <v>4572</v>
      </c>
      <c r="I10823" t="s">
        <v>122</v>
      </c>
      <c r="J10823">
        <v>205.28</v>
      </c>
      <c r="K10823">
        <v>39.729999999999997</v>
      </c>
      <c r="L10823">
        <v>17956</v>
      </c>
      <c r="M10823" t="s">
        <v>53</v>
      </c>
      <c r="N10823" t="str">
        <f>"1021161020  "</f>
        <v xml:space="preserve">1021161020  </v>
      </c>
      <c r="O10823">
        <v>230308</v>
      </c>
    </row>
    <row r="10824" spans="1:15" x14ac:dyDescent="0.25">
      <c r="A10824" t="s">
        <v>16</v>
      </c>
      <c r="B10824" t="s">
        <v>3221</v>
      </c>
      <c r="C10824">
        <v>2994</v>
      </c>
      <c r="D10824" t="s">
        <v>983</v>
      </c>
      <c r="E10824" t="s">
        <v>984</v>
      </c>
      <c r="F10824">
        <v>35.380000000000003</v>
      </c>
      <c r="G10824">
        <v>230307</v>
      </c>
      <c r="H10824">
        <v>4572</v>
      </c>
      <c r="I10824" t="s">
        <v>122</v>
      </c>
      <c r="J10824">
        <v>43.87</v>
      </c>
      <c r="K10824">
        <v>8.49</v>
      </c>
      <c r="L10824">
        <v>17981</v>
      </c>
      <c r="M10824" t="s">
        <v>218</v>
      </c>
      <c r="N10824" t="str">
        <f>"1021158677  "</f>
        <v xml:space="preserve">1021158677  </v>
      </c>
      <c r="O10824">
        <v>230308</v>
      </c>
    </row>
    <row r="10825" spans="1:15" x14ac:dyDescent="0.25">
      <c r="A10825" t="s">
        <v>16</v>
      </c>
      <c r="B10825" t="s">
        <v>3221</v>
      </c>
      <c r="C10825">
        <v>2998</v>
      </c>
      <c r="D10825" t="s">
        <v>983</v>
      </c>
      <c r="E10825" t="s">
        <v>984</v>
      </c>
      <c r="F10825">
        <v>392.68</v>
      </c>
      <c r="G10825">
        <v>230307</v>
      </c>
      <c r="H10825">
        <v>4572</v>
      </c>
      <c r="I10825" t="s">
        <v>122</v>
      </c>
      <c r="J10825">
        <v>486.92</v>
      </c>
      <c r="K10825">
        <v>94.24</v>
      </c>
      <c r="L10825">
        <v>17950</v>
      </c>
      <c r="M10825" t="s">
        <v>86</v>
      </c>
      <c r="N10825" t="str">
        <f>"1021160523  "</f>
        <v xml:space="preserve">1021160523  </v>
      </c>
      <c r="O10825">
        <v>230308</v>
      </c>
    </row>
    <row r="10826" spans="1:15" x14ac:dyDescent="0.25">
      <c r="A10826" t="s">
        <v>16</v>
      </c>
      <c r="B10826" t="s">
        <v>3221</v>
      </c>
      <c r="C10826">
        <v>3000</v>
      </c>
      <c r="D10826" t="s">
        <v>983</v>
      </c>
      <c r="E10826" t="s">
        <v>984</v>
      </c>
      <c r="F10826">
        <v>44.78</v>
      </c>
      <c r="G10826">
        <v>230307</v>
      </c>
      <c r="H10826">
        <v>4572</v>
      </c>
      <c r="I10826" t="s">
        <v>122</v>
      </c>
      <c r="J10826">
        <v>55.53</v>
      </c>
      <c r="K10826">
        <v>10.75</v>
      </c>
      <c r="L10826">
        <v>17956</v>
      </c>
      <c r="M10826" t="s">
        <v>53</v>
      </c>
      <c r="N10826" t="str">
        <f>"1021157115  "</f>
        <v xml:space="preserve">1021157115  </v>
      </c>
      <c r="O10826">
        <v>230308</v>
      </c>
    </row>
    <row r="10827" spans="1:15" x14ac:dyDescent="0.25">
      <c r="A10827" t="s">
        <v>16</v>
      </c>
      <c r="B10827" t="s">
        <v>3221</v>
      </c>
      <c r="C10827">
        <v>3007</v>
      </c>
      <c r="D10827" t="s">
        <v>983</v>
      </c>
      <c r="E10827" t="s">
        <v>984</v>
      </c>
      <c r="F10827">
        <v>36.58</v>
      </c>
      <c r="G10827">
        <v>230307</v>
      </c>
      <c r="H10827">
        <v>4572</v>
      </c>
      <c r="I10827" t="s">
        <v>122</v>
      </c>
      <c r="J10827">
        <v>45.36</v>
      </c>
      <c r="K10827">
        <v>8.7799999999999994</v>
      </c>
      <c r="L10827">
        <v>17956</v>
      </c>
      <c r="M10827" t="s">
        <v>53</v>
      </c>
      <c r="N10827" t="str">
        <f>"1021157116  "</f>
        <v xml:space="preserve">1021157116  </v>
      </c>
      <c r="O10827">
        <v>230308</v>
      </c>
    </row>
    <row r="10828" spans="1:15" x14ac:dyDescent="0.25">
      <c r="A10828" t="s">
        <v>16</v>
      </c>
      <c r="B10828" t="s">
        <v>3221</v>
      </c>
      <c r="C10828">
        <v>3008</v>
      </c>
      <c r="D10828" t="s">
        <v>983</v>
      </c>
      <c r="E10828" t="s">
        <v>984</v>
      </c>
      <c r="F10828">
        <v>199.92</v>
      </c>
      <c r="G10828">
        <v>230307</v>
      </c>
      <c r="H10828">
        <v>4572</v>
      </c>
      <c r="I10828" t="s">
        <v>122</v>
      </c>
      <c r="J10828">
        <v>247.9</v>
      </c>
      <c r="K10828">
        <v>47.98</v>
      </c>
      <c r="L10828">
        <v>17956</v>
      </c>
      <c r="M10828" t="s">
        <v>53</v>
      </c>
      <c r="N10828" t="str">
        <f>"1021161019  "</f>
        <v xml:space="preserve">1021161019  </v>
      </c>
      <c r="O10828">
        <v>230308</v>
      </c>
    </row>
    <row r="10829" spans="1:15" x14ac:dyDescent="0.25">
      <c r="A10829" t="s">
        <v>16</v>
      </c>
      <c r="B10829" t="s">
        <v>3221</v>
      </c>
      <c r="C10829">
        <v>3228</v>
      </c>
      <c r="D10829" t="s">
        <v>983</v>
      </c>
      <c r="E10829" t="s">
        <v>984</v>
      </c>
      <c r="F10829">
        <v>35.89</v>
      </c>
      <c r="G10829">
        <v>230307</v>
      </c>
      <c r="H10829">
        <v>4572</v>
      </c>
      <c r="I10829" t="s">
        <v>122</v>
      </c>
      <c r="J10829">
        <v>35.89</v>
      </c>
      <c r="K10829">
        <v>0</v>
      </c>
      <c r="L10829">
        <v>11001</v>
      </c>
      <c r="M10829" t="s">
        <v>326</v>
      </c>
      <c r="N10829" t="str">
        <f>"1021162464  "</f>
        <v xml:space="preserve">1021162464  </v>
      </c>
      <c r="O10829">
        <v>230310</v>
      </c>
    </row>
    <row r="10830" spans="1:15" x14ac:dyDescent="0.25">
      <c r="A10830" t="s">
        <v>16</v>
      </c>
      <c r="B10830" t="s">
        <v>3221</v>
      </c>
      <c r="C10830">
        <v>4485</v>
      </c>
      <c r="D10830" t="s">
        <v>983</v>
      </c>
      <c r="E10830" t="s">
        <v>984</v>
      </c>
      <c r="F10830">
        <v>1468.39</v>
      </c>
      <c r="G10830">
        <v>230405</v>
      </c>
      <c r="H10830">
        <v>4572</v>
      </c>
      <c r="I10830" t="s">
        <v>122</v>
      </c>
      <c r="J10830">
        <v>1820.8</v>
      </c>
      <c r="K10830">
        <v>352.41</v>
      </c>
      <c r="L10830">
        <v>17956</v>
      </c>
      <c r="M10830" t="s">
        <v>53</v>
      </c>
      <c r="N10830" t="str">
        <f>"1021187697  "</f>
        <v xml:space="preserve">1021187697  </v>
      </c>
      <c r="O10830">
        <v>230406</v>
      </c>
    </row>
    <row r="10831" spans="1:15" x14ac:dyDescent="0.25">
      <c r="A10831" t="s">
        <v>16</v>
      </c>
      <c r="B10831" t="s">
        <v>3221</v>
      </c>
      <c r="C10831">
        <v>4490</v>
      </c>
      <c r="D10831" t="s">
        <v>983</v>
      </c>
      <c r="E10831" t="s">
        <v>984</v>
      </c>
      <c r="F10831">
        <v>3226.14</v>
      </c>
      <c r="G10831">
        <v>230405</v>
      </c>
      <c r="H10831">
        <v>4572</v>
      </c>
      <c r="I10831" t="s">
        <v>122</v>
      </c>
      <c r="J10831">
        <v>4000.41</v>
      </c>
      <c r="K10831">
        <v>774.27</v>
      </c>
      <c r="L10831">
        <v>17951</v>
      </c>
      <c r="M10831" t="s">
        <v>87</v>
      </c>
      <c r="N10831" t="str">
        <f>"1021187716  "</f>
        <v xml:space="preserve">1021187716  </v>
      </c>
      <c r="O10831">
        <v>230406</v>
      </c>
    </row>
    <row r="10832" spans="1:15" x14ac:dyDescent="0.25">
      <c r="A10832" t="s">
        <v>16</v>
      </c>
      <c r="B10832" t="s">
        <v>3221</v>
      </c>
      <c r="C10832">
        <v>4666</v>
      </c>
      <c r="D10832" t="s">
        <v>983</v>
      </c>
      <c r="E10832" t="s">
        <v>984</v>
      </c>
      <c r="F10832">
        <v>577.9</v>
      </c>
      <c r="G10832">
        <v>230405</v>
      </c>
      <c r="H10832">
        <v>4572</v>
      </c>
      <c r="I10832" t="s">
        <v>122</v>
      </c>
      <c r="J10832">
        <v>716.59</v>
      </c>
      <c r="K10832">
        <v>138.69</v>
      </c>
      <c r="L10832">
        <v>13540</v>
      </c>
      <c r="M10832" t="s">
        <v>85</v>
      </c>
      <c r="N10832" t="str">
        <f>"1021187556  "</f>
        <v xml:space="preserve">1021187556  </v>
      </c>
      <c r="O10832">
        <v>230411</v>
      </c>
    </row>
    <row r="10833" spans="1:15" x14ac:dyDescent="0.25">
      <c r="A10833" t="s">
        <v>16</v>
      </c>
      <c r="B10833" t="s">
        <v>3221</v>
      </c>
      <c r="C10833">
        <v>4666</v>
      </c>
      <c r="D10833" t="s">
        <v>983</v>
      </c>
      <c r="E10833" t="s">
        <v>984</v>
      </c>
      <c r="F10833">
        <v>4675.6899999999996</v>
      </c>
      <c r="G10833">
        <v>230405</v>
      </c>
      <c r="H10833">
        <v>4572</v>
      </c>
      <c r="I10833" t="s">
        <v>122</v>
      </c>
      <c r="J10833">
        <v>5797.86</v>
      </c>
      <c r="K10833">
        <v>1122.17</v>
      </c>
      <c r="L10833">
        <v>17950</v>
      </c>
      <c r="M10833" t="s">
        <v>86</v>
      </c>
      <c r="N10833" t="str">
        <f>"1021187556  "</f>
        <v xml:space="preserve">1021187556  </v>
      </c>
      <c r="O10833">
        <v>230411</v>
      </c>
    </row>
    <row r="10834" spans="1:15" x14ac:dyDescent="0.25">
      <c r="A10834" t="s">
        <v>16</v>
      </c>
      <c r="B10834" t="s">
        <v>3221</v>
      </c>
      <c r="C10834">
        <v>4807</v>
      </c>
      <c r="D10834" t="s">
        <v>983</v>
      </c>
      <c r="E10834" t="s">
        <v>984</v>
      </c>
      <c r="F10834">
        <v>206.15</v>
      </c>
      <c r="G10834">
        <v>230411</v>
      </c>
      <c r="H10834">
        <v>4572</v>
      </c>
      <c r="I10834" t="s">
        <v>122</v>
      </c>
      <c r="J10834">
        <v>255.63</v>
      </c>
      <c r="K10834">
        <v>49.48</v>
      </c>
      <c r="L10834">
        <v>17956</v>
      </c>
      <c r="M10834" t="s">
        <v>53</v>
      </c>
      <c r="N10834" t="str">
        <f>"1021197049  "</f>
        <v xml:space="preserve">1021197049  </v>
      </c>
      <c r="O10834">
        <v>230412</v>
      </c>
    </row>
    <row r="10835" spans="1:15" x14ac:dyDescent="0.25">
      <c r="A10835" t="s">
        <v>16</v>
      </c>
      <c r="B10835" t="s">
        <v>3221</v>
      </c>
      <c r="C10835">
        <v>4811</v>
      </c>
      <c r="D10835" t="s">
        <v>983</v>
      </c>
      <c r="E10835" t="s">
        <v>984</v>
      </c>
      <c r="F10835">
        <v>410.83</v>
      </c>
      <c r="G10835">
        <v>230411</v>
      </c>
      <c r="H10835">
        <v>4572</v>
      </c>
      <c r="I10835" t="s">
        <v>122</v>
      </c>
      <c r="J10835">
        <v>509.43</v>
      </c>
      <c r="K10835">
        <v>98.6</v>
      </c>
      <c r="L10835">
        <v>17950</v>
      </c>
      <c r="M10835" t="s">
        <v>86</v>
      </c>
      <c r="N10835" t="str">
        <f>"1021194873  "</f>
        <v xml:space="preserve">1021194873  </v>
      </c>
      <c r="O10835">
        <v>230412</v>
      </c>
    </row>
    <row r="10836" spans="1:15" x14ac:dyDescent="0.25">
      <c r="A10836" t="s">
        <v>16</v>
      </c>
      <c r="B10836" t="s">
        <v>3221</v>
      </c>
      <c r="C10836">
        <v>4919</v>
      </c>
      <c r="D10836" t="s">
        <v>983</v>
      </c>
      <c r="E10836" t="s">
        <v>984</v>
      </c>
      <c r="F10836">
        <v>33.89</v>
      </c>
      <c r="G10836">
        <v>230411</v>
      </c>
      <c r="H10836">
        <v>4572</v>
      </c>
      <c r="I10836" t="s">
        <v>122</v>
      </c>
      <c r="J10836">
        <v>42.02</v>
      </c>
      <c r="K10836">
        <v>8.1300000000000008</v>
      </c>
      <c r="L10836">
        <v>17981</v>
      </c>
      <c r="M10836" t="s">
        <v>218</v>
      </c>
      <c r="N10836" t="str">
        <f>"1021197340  "</f>
        <v xml:space="preserve">1021197340  </v>
      </c>
      <c r="O10836">
        <v>230414</v>
      </c>
    </row>
    <row r="10837" spans="1:15" x14ac:dyDescent="0.25">
      <c r="A10837" t="s">
        <v>16</v>
      </c>
      <c r="B10837" t="s">
        <v>3221</v>
      </c>
      <c r="C10837">
        <v>4920</v>
      </c>
      <c r="D10837" t="s">
        <v>983</v>
      </c>
      <c r="E10837" t="s">
        <v>984</v>
      </c>
      <c r="F10837">
        <v>42.25</v>
      </c>
      <c r="G10837">
        <v>230411</v>
      </c>
      <c r="H10837">
        <v>4572</v>
      </c>
      <c r="I10837" t="s">
        <v>122</v>
      </c>
      <c r="J10837">
        <v>52.39</v>
      </c>
      <c r="K10837">
        <v>10.14</v>
      </c>
      <c r="L10837">
        <v>17956</v>
      </c>
      <c r="M10837" t="s">
        <v>53</v>
      </c>
      <c r="N10837" t="str">
        <f>"1021192775  "</f>
        <v xml:space="preserve">1021192775  </v>
      </c>
      <c r="O10837">
        <v>230414</v>
      </c>
    </row>
    <row r="10838" spans="1:15" x14ac:dyDescent="0.25">
      <c r="A10838" t="s">
        <v>16</v>
      </c>
      <c r="B10838" t="s">
        <v>3221</v>
      </c>
      <c r="C10838">
        <v>4921</v>
      </c>
      <c r="D10838" t="s">
        <v>983</v>
      </c>
      <c r="E10838" t="s">
        <v>984</v>
      </c>
      <c r="F10838">
        <v>53</v>
      </c>
      <c r="G10838">
        <v>230411</v>
      </c>
      <c r="H10838">
        <v>4572</v>
      </c>
      <c r="I10838" t="s">
        <v>122</v>
      </c>
      <c r="J10838">
        <v>65.72</v>
      </c>
      <c r="K10838">
        <v>12.72</v>
      </c>
      <c r="L10838">
        <v>17956</v>
      </c>
      <c r="M10838" t="s">
        <v>53</v>
      </c>
      <c r="N10838" t="str">
        <f>"1021192774  "</f>
        <v xml:space="preserve">1021192774  </v>
      </c>
      <c r="O10838">
        <v>230414</v>
      </c>
    </row>
    <row r="10839" spans="1:15" x14ac:dyDescent="0.25">
      <c r="A10839" t="s">
        <v>16</v>
      </c>
      <c r="B10839" t="s">
        <v>3221</v>
      </c>
      <c r="C10839">
        <v>4922</v>
      </c>
      <c r="D10839" t="s">
        <v>983</v>
      </c>
      <c r="E10839" t="s">
        <v>984</v>
      </c>
      <c r="F10839">
        <v>166.65</v>
      </c>
      <c r="G10839">
        <v>230411</v>
      </c>
      <c r="H10839">
        <v>4572</v>
      </c>
      <c r="I10839" t="s">
        <v>122</v>
      </c>
      <c r="J10839">
        <v>206.65</v>
      </c>
      <c r="K10839">
        <v>40</v>
      </c>
      <c r="L10839">
        <v>17956</v>
      </c>
      <c r="M10839" t="s">
        <v>53</v>
      </c>
      <c r="N10839" t="str">
        <f>"1021197050  "</f>
        <v xml:space="preserve">1021197050  </v>
      </c>
      <c r="O10839">
        <v>230414</v>
      </c>
    </row>
    <row r="10840" spans="1:15" x14ac:dyDescent="0.25">
      <c r="A10840" t="s">
        <v>16</v>
      </c>
      <c r="B10840" t="s">
        <v>3221</v>
      </c>
      <c r="C10840">
        <v>5017</v>
      </c>
      <c r="D10840" t="s">
        <v>983</v>
      </c>
      <c r="E10840" t="s">
        <v>984</v>
      </c>
      <c r="F10840">
        <v>40.97</v>
      </c>
      <c r="G10840">
        <v>230411</v>
      </c>
      <c r="H10840">
        <v>4572</v>
      </c>
      <c r="I10840" t="s">
        <v>122</v>
      </c>
      <c r="J10840">
        <v>40.97</v>
      </c>
      <c r="K10840">
        <v>0</v>
      </c>
      <c r="L10840">
        <v>11001</v>
      </c>
      <c r="M10840" t="s">
        <v>326</v>
      </c>
      <c r="N10840" t="str">
        <f>"1021189151  "</f>
        <v xml:space="preserve">1021189151  </v>
      </c>
      <c r="O10840">
        <v>230417</v>
      </c>
    </row>
    <row r="10841" spans="1:15" x14ac:dyDescent="0.25">
      <c r="A10841" t="s">
        <v>16</v>
      </c>
      <c r="B10841" t="s">
        <v>3221</v>
      </c>
      <c r="C10841">
        <v>6142</v>
      </c>
      <c r="D10841" t="s">
        <v>983</v>
      </c>
      <c r="E10841" t="s">
        <v>984</v>
      </c>
      <c r="F10841">
        <v>1554.9</v>
      </c>
      <c r="G10841">
        <v>230505</v>
      </c>
      <c r="H10841">
        <v>4572</v>
      </c>
      <c r="I10841" t="s">
        <v>122</v>
      </c>
      <c r="J10841">
        <v>1928.08</v>
      </c>
      <c r="K10841">
        <v>373.18</v>
      </c>
      <c r="L10841">
        <v>17956</v>
      </c>
      <c r="M10841" t="s">
        <v>53</v>
      </c>
      <c r="N10841" t="str">
        <f>"1021220600  "</f>
        <v xml:space="preserve">1021220600  </v>
      </c>
      <c r="O10841">
        <v>230508</v>
      </c>
    </row>
    <row r="10842" spans="1:15" x14ac:dyDescent="0.25">
      <c r="A10842" t="s">
        <v>16</v>
      </c>
      <c r="B10842" t="s">
        <v>3221</v>
      </c>
      <c r="C10842">
        <v>6146</v>
      </c>
      <c r="D10842" t="s">
        <v>983</v>
      </c>
      <c r="E10842" t="s">
        <v>984</v>
      </c>
      <c r="F10842">
        <v>389.18</v>
      </c>
      <c r="G10842">
        <v>230505</v>
      </c>
      <c r="H10842">
        <v>4572</v>
      </c>
      <c r="I10842" t="s">
        <v>122</v>
      </c>
      <c r="J10842">
        <v>482.58</v>
      </c>
      <c r="K10842">
        <v>93.4</v>
      </c>
      <c r="L10842">
        <v>13540</v>
      </c>
      <c r="M10842" t="s">
        <v>85</v>
      </c>
      <c r="N10842" t="str">
        <f>"1021220517  "</f>
        <v xml:space="preserve">1021220517  </v>
      </c>
      <c r="O10842">
        <v>230508</v>
      </c>
    </row>
    <row r="10843" spans="1:15" x14ac:dyDescent="0.25">
      <c r="A10843" t="s">
        <v>16</v>
      </c>
      <c r="B10843" t="s">
        <v>3221</v>
      </c>
      <c r="C10843">
        <v>6146</v>
      </c>
      <c r="D10843" t="s">
        <v>983</v>
      </c>
      <c r="E10843" t="s">
        <v>984</v>
      </c>
      <c r="F10843">
        <v>3148.83</v>
      </c>
      <c r="G10843">
        <v>230505</v>
      </c>
      <c r="H10843">
        <v>4572</v>
      </c>
      <c r="I10843" t="s">
        <v>122</v>
      </c>
      <c r="J10843">
        <v>3904.55</v>
      </c>
      <c r="K10843">
        <v>755.72</v>
      </c>
      <c r="L10843">
        <v>17950</v>
      </c>
      <c r="M10843" t="s">
        <v>86</v>
      </c>
      <c r="N10843" t="str">
        <f>"1021220517  "</f>
        <v xml:space="preserve">1021220517  </v>
      </c>
      <c r="O10843">
        <v>230508</v>
      </c>
    </row>
    <row r="10844" spans="1:15" x14ac:dyDescent="0.25">
      <c r="A10844" t="s">
        <v>16</v>
      </c>
      <c r="B10844" t="s">
        <v>3221</v>
      </c>
      <c r="C10844">
        <v>6160</v>
      </c>
      <c r="D10844" t="s">
        <v>983</v>
      </c>
      <c r="E10844" t="s">
        <v>984</v>
      </c>
      <c r="F10844">
        <v>171.86</v>
      </c>
      <c r="G10844">
        <v>230508</v>
      </c>
      <c r="H10844">
        <v>4572</v>
      </c>
      <c r="I10844" t="s">
        <v>122</v>
      </c>
      <c r="J10844">
        <v>213.11</v>
      </c>
      <c r="K10844">
        <v>41.25</v>
      </c>
      <c r="L10844">
        <v>17956</v>
      </c>
      <c r="M10844" t="s">
        <v>53</v>
      </c>
      <c r="N10844" t="str">
        <f>"1021227759  "</f>
        <v xml:space="preserve">1021227759  </v>
      </c>
      <c r="O10844">
        <v>230508</v>
      </c>
    </row>
    <row r="10845" spans="1:15" x14ac:dyDescent="0.25">
      <c r="A10845" t="s">
        <v>16</v>
      </c>
      <c r="B10845" t="s">
        <v>3221</v>
      </c>
      <c r="C10845">
        <v>6162</v>
      </c>
      <c r="D10845" t="s">
        <v>983</v>
      </c>
      <c r="E10845" t="s">
        <v>984</v>
      </c>
      <c r="F10845">
        <v>297.56</v>
      </c>
      <c r="G10845">
        <v>230508</v>
      </c>
      <c r="H10845">
        <v>4572</v>
      </c>
      <c r="I10845" t="s">
        <v>122</v>
      </c>
      <c r="J10845">
        <v>368.97</v>
      </c>
      <c r="K10845">
        <v>71.41</v>
      </c>
      <c r="L10845">
        <v>17950</v>
      </c>
      <c r="M10845" t="s">
        <v>86</v>
      </c>
      <c r="N10845" t="str">
        <f>"1021230257  "</f>
        <v xml:space="preserve">1021230257  </v>
      </c>
      <c r="O10845">
        <v>230508</v>
      </c>
    </row>
    <row r="10846" spans="1:15" x14ac:dyDescent="0.25">
      <c r="A10846" t="s">
        <v>16</v>
      </c>
      <c r="B10846" t="s">
        <v>3221</v>
      </c>
      <c r="C10846">
        <v>6200</v>
      </c>
      <c r="D10846" t="s">
        <v>983</v>
      </c>
      <c r="E10846" t="s">
        <v>984</v>
      </c>
      <c r="F10846">
        <v>35.69</v>
      </c>
      <c r="G10846">
        <v>230508</v>
      </c>
      <c r="H10846">
        <v>4572</v>
      </c>
      <c r="I10846" t="s">
        <v>122</v>
      </c>
      <c r="J10846">
        <v>44.26</v>
      </c>
      <c r="K10846">
        <v>8.57</v>
      </c>
      <c r="L10846">
        <v>17956</v>
      </c>
      <c r="M10846" t="s">
        <v>53</v>
      </c>
      <c r="N10846" t="str">
        <f>"1021224854  "</f>
        <v xml:space="preserve">1021224854  </v>
      </c>
      <c r="O10846">
        <v>230508</v>
      </c>
    </row>
    <row r="10847" spans="1:15" x14ac:dyDescent="0.25">
      <c r="A10847" t="s">
        <v>16</v>
      </c>
      <c r="B10847" t="s">
        <v>3221</v>
      </c>
      <c r="C10847">
        <v>6201</v>
      </c>
      <c r="D10847" t="s">
        <v>983</v>
      </c>
      <c r="E10847" t="s">
        <v>984</v>
      </c>
      <c r="F10847">
        <v>33.42</v>
      </c>
      <c r="G10847">
        <v>230508</v>
      </c>
      <c r="H10847">
        <v>4572</v>
      </c>
      <c r="I10847" t="s">
        <v>122</v>
      </c>
      <c r="J10847">
        <v>41.44</v>
      </c>
      <c r="K10847">
        <v>8.02</v>
      </c>
      <c r="L10847">
        <v>17956</v>
      </c>
      <c r="M10847" t="s">
        <v>53</v>
      </c>
      <c r="N10847" t="str">
        <f>"1021224855  "</f>
        <v xml:space="preserve">1021224855  </v>
      </c>
      <c r="O10847">
        <v>230508</v>
      </c>
    </row>
    <row r="10848" spans="1:15" x14ac:dyDescent="0.25">
      <c r="A10848" t="s">
        <v>16</v>
      </c>
      <c r="B10848" t="s">
        <v>3221</v>
      </c>
      <c r="C10848">
        <v>6202</v>
      </c>
      <c r="D10848" t="s">
        <v>983</v>
      </c>
      <c r="E10848" t="s">
        <v>984</v>
      </c>
      <c r="F10848">
        <v>29.05</v>
      </c>
      <c r="G10848">
        <v>230508</v>
      </c>
      <c r="H10848">
        <v>4572</v>
      </c>
      <c r="I10848" t="s">
        <v>122</v>
      </c>
      <c r="J10848">
        <v>36.020000000000003</v>
      </c>
      <c r="K10848">
        <v>6.97</v>
      </c>
      <c r="L10848">
        <v>17984</v>
      </c>
      <c r="M10848" t="s">
        <v>950</v>
      </c>
      <c r="N10848" t="str">
        <f>"1021222339  "</f>
        <v xml:space="preserve">1021222339  </v>
      </c>
      <c r="O10848">
        <v>230508</v>
      </c>
    </row>
    <row r="10849" spans="1:15" x14ac:dyDescent="0.25">
      <c r="A10849" t="s">
        <v>16</v>
      </c>
      <c r="B10849" t="s">
        <v>3221</v>
      </c>
      <c r="C10849">
        <v>6203</v>
      </c>
      <c r="D10849" t="s">
        <v>983</v>
      </c>
      <c r="E10849" t="s">
        <v>984</v>
      </c>
      <c r="F10849">
        <v>138.44999999999999</v>
      </c>
      <c r="G10849">
        <v>230508</v>
      </c>
      <c r="H10849">
        <v>4572</v>
      </c>
      <c r="I10849" t="s">
        <v>122</v>
      </c>
      <c r="J10849">
        <v>171.68</v>
      </c>
      <c r="K10849">
        <v>33.229999999999997</v>
      </c>
      <c r="L10849">
        <v>17956</v>
      </c>
      <c r="M10849" t="s">
        <v>53</v>
      </c>
      <c r="N10849" t="str">
        <f>"1021227760  "</f>
        <v xml:space="preserve">1021227760  </v>
      </c>
      <c r="O10849">
        <v>230508</v>
      </c>
    </row>
    <row r="10850" spans="1:15" x14ac:dyDescent="0.25">
      <c r="A10850" t="s">
        <v>16</v>
      </c>
      <c r="B10850" t="s">
        <v>3221</v>
      </c>
      <c r="C10850">
        <v>6608</v>
      </c>
      <c r="D10850" t="s">
        <v>983</v>
      </c>
      <c r="E10850" t="s">
        <v>984</v>
      </c>
      <c r="F10850">
        <v>40.86</v>
      </c>
      <c r="G10850">
        <v>230508</v>
      </c>
      <c r="H10850">
        <v>4572</v>
      </c>
      <c r="I10850" t="s">
        <v>122</v>
      </c>
      <c r="J10850">
        <v>40.86</v>
      </c>
      <c r="K10850">
        <v>0</v>
      </c>
      <c r="L10850">
        <v>11001</v>
      </c>
      <c r="M10850" t="s">
        <v>326</v>
      </c>
      <c r="N10850" t="str">
        <f>"1021225951  "</f>
        <v xml:space="preserve">1021225951  </v>
      </c>
      <c r="O10850">
        <v>230516</v>
      </c>
    </row>
    <row r="10851" spans="1:15" x14ac:dyDescent="0.25">
      <c r="A10851" t="s">
        <v>16</v>
      </c>
      <c r="B10851" t="s">
        <v>3221</v>
      </c>
      <c r="C10851">
        <v>7903</v>
      </c>
      <c r="D10851" t="s">
        <v>983</v>
      </c>
      <c r="E10851" t="s">
        <v>984</v>
      </c>
      <c r="F10851">
        <v>1424.88</v>
      </c>
      <c r="G10851">
        <v>230605</v>
      </c>
      <c r="H10851">
        <v>4572</v>
      </c>
      <c r="I10851" t="s">
        <v>122</v>
      </c>
      <c r="J10851">
        <v>1766.85</v>
      </c>
      <c r="K10851">
        <v>341.97</v>
      </c>
      <c r="L10851">
        <v>17956</v>
      </c>
      <c r="M10851" t="s">
        <v>53</v>
      </c>
      <c r="N10851" t="str">
        <f>"1021252997  "</f>
        <v xml:space="preserve">1021252997  </v>
      </c>
      <c r="O10851">
        <v>230605</v>
      </c>
    </row>
    <row r="10852" spans="1:15" x14ac:dyDescent="0.25">
      <c r="A10852" t="s">
        <v>16</v>
      </c>
      <c r="B10852" t="s">
        <v>3221</v>
      </c>
      <c r="C10852">
        <v>7904</v>
      </c>
      <c r="D10852" t="s">
        <v>983</v>
      </c>
      <c r="E10852" t="s">
        <v>984</v>
      </c>
      <c r="F10852">
        <v>380.32</v>
      </c>
      <c r="G10852">
        <v>230605</v>
      </c>
      <c r="H10852">
        <v>4572</v>
      </c>
      <c r="I10852" t="s">
        <v>122</v>
      </c>
      <c r="J10852">
        <v>471.6</v>
      </c>
      <c r="K10852">
        <v>91.28</v>
      </c>
      <c r="L10852">
        <v>13540</v>
      </c>
      <c r="M10852" t="s">
        <v>85</v>
      </c>
      <c r="N10852" t="str">
        <f>"1021253401  "</f>
        <v xml:space="preserve">1021253401  </v>
      </c>
      <c r="O10852">
        <v>230605</v>
      </c>
    </row>
    <row r="10853" spans="1:15" x14ac:dyDescent="0.25">
      <c r="A10853" t="s">
        <v>16</v>
      </c>
      <c r="B10853" t="s">
        <v>3221</v>
      </c>
      <c r="C10853">
        <v>7904</v>
      </c>
      <c r="D10853" t="s">
        <v>983</v>
      </c>
      <c r="E10853" t="s">
        <v>984</v>
      </c>
      <c r="F10853">
        <v>3077.17</v>
      </c>
      <c r="G10853">
        <v>230605</v>
      </c>
      <c r="H10853">
        <v>4572</v>
      </c>
      <c r="I10853" t="s">
        <v>122</v>
      </c>
      <c r="J10853">
        <v>3815.69</v>
      </c>
      <c r="K10853">
        <v>738.52</v>
      </c>
      <c r="L10853">
        <v>17950</v>
      </c>
      <c r="M10853" t="s">
        <v>86</v>
      </c>
      <c r="N10853" t="str">
        <f>"1021253401  "</f>
        <v xml:space="preserve">1021253401  </v>
      </c>
      <c r="O10853">
        <v>230605</v>
      </c>
    </row>
    <row r="10854" spans="1:15" x14ac:dyDescent="0.25">
      <c r="A10854" t="s">
        <v>16</v>
      </c>
      <c r="B10854" t="s">
        <v>3221</v>
      </c>
      <c r="C10854">
        <v>7905</v>
      </c>
      <c r="D10854" t="s">
        <v>983</v>
      </c>
      <c r="E10854" t="s">
        <v>984</v>
      </c>
      <c r="F10854">
        <v>2398.9499999999998</v>
      </c>
      <c r="G10854">
        <v>230605</v>
      </c>
      <c r="H10854">
        <v>4572</v>
      </c>
      <c r="I10854" t="s">
        <v>122</v>
      </c>
      <c r="J10854">
        <v>2974.7</v>
      </c>
      <c r="K10854">
        <v>575.75</v>
      </c>
      <c r="L10854">
        <v>17951</v>
      </c>
      <c r="M10854" t="s">
        <v>87</v>
      </c>
      <c r="N10854" t="str">
        <f>"1021253150  "</f>
        <v xml:space="preserve">1021253150  </v>
      </c>
      <c r="O10854">
        <v>230605</v>
      </c>
    </row>
    <row r="10855" spans="1:15" x14ac:dyDescent="0.25">
      <c r="A10855" t="s">
        <v>16</v>
      </c>
      <c r="B10855" t="s">
        <v>3221</v>
      </c>
      <c r="C10855">
        <v>8101</v>
      </c>
      <c r="D10855" t="s">
        <v>983</v>
      </c>
      <c r="E10855" t="s">
        <v>984</v>
      </c>
      <c r="F10855">
        <v>144.81</v>
      </c>
      <c r="G10855">
        <v>230606</v>
      </c>
      <c r="H10855">
        <v>4572</v>
      </c>
      <c r="I10855" t="s">
        <v>122</v>
      </c>
      <c r="J10855">
        <v>179.56</v>
      </c>
      <c r="K10855">
        <v>34.75</v>
      </c>
      <c r="L10855">
        <v>17956</v>
      </c>
      <c r="M10855" t="s">
        <v>53</v>
      </c>
      <c r="N10855" t="str">
        <f>"1021259341  "</f>
        <v xml:space="preserve">1021259341  </v>
      </c>
      <c r="O10855">
        <v>230607</v>
      </c>
    </row>
    <row r="10856" spans="1:15" x14ac:dyDescent="0.25">
      <c r="A10856" t="s">
        <v>16</v>
      </c>
      <c r="B10856" t="s">
        <v>3221</v>
      </c>
      <c r="C10856">
        <v>8102</v>
      </c>
      <c r="D10856" t="s">
        <v>983</v>
      </c>
      <c r="E10856" t="s">
        <v>984</v>
      </c>
      <c r="F10856">
        <v>182.28</v>
      </c>
      <c r="G10856">
        <v>230606</v>
      </c>
      <c r="H10856">
        <v>4572</v>
      </c>
      <c r="I10856" t="s">
        <v>122</v>
      </c>
      <c r="J10856">
        <v>226.03</v>
      </c>
      <c r="K10856">
        <v>43.75</v>
      </c>
      <c r="L10856">
        <v>17956</v>
      </c>
      <c r="M10856" t="s">
        <v>53</v>
      </c>
      <c r="N10856" t="str">
        <f>"1021259340  "</f>
        <v xml:space="preserve">1021259340  </v>
      </c>
      <c r="O10856">
        <v>230607</v>
      </c>
    </row>
    <row r="10857" spans="1:15" x14ac:dyDescent="0.25">
      <c r="A10857" t="s">
        <v>16</v>
      </c>
      <c r="B10857" t="s">
        <v>3221</v>
      </c>
      <c r="C10857">
        <v>8106</v>
      </c>
      <c r="D10857" t="s">
        <v>983</v>
      </c>
      <c r="E10857" t="s">
        <v>984</v>
      </c>
      <c r="F10857">
        <v>29.18</v>
      </c>
      <c r="G10857">
        <v>230606</v>
      </c>
      <c r="H10857">
        <v>4572</v>
      </c>
      <c r="I10857" t="s">
        <v>122</v>
      </c>
      <c r="J10857">
        <v>36.18</v>
      </c>
      <c r="K10857">
        <v>7</v>
      </c>
      <c r="L10857">
        <v>17981</v>
      </c>
      <c r="M10857" t="s">
        <v>218</v>
      </c>
      <c r="N10857" t="str">
        <f>"1021258154  "</f>
        <v xml:space="preserve">1021258154  </v>
      </c>
      <c r="O10857">
        <v>230607</v>
      </c>
    </row>
    <row r="10858" spans="1:15" x14ac:dyDescent="0.25">
      <c r="A10858" t="s">
        <v>16</v>
      </c>
      <c r="B10858" t="s">
        <v>3221</v>
      </c>
      <c r="C10858">
        <v>8114</v>
      </c>
      <c r="D10858" t="s">
        <v>983</v>
      </c>
      <c r="E10858" t="s">
        <v>984</v>
      </c>
      <c r="F10858">
        <v>34.200000000000003</v>
      </c>
      <c r="G10858">
        <v>230606</v>
      </c>
      <c r="H10858">
        <v>4572</v>
      </c>
      <c r="I10858" t="s">
        <v>122</v>
      </c>
      <c r="J10858">
        <v>42.41</v>
      </c>
      <c r="K10858">
        <v>8.2100000000000009</v>
      </c>
      <c r="L10858">
        <v>17956</v>
      </c>
      <c r="M10858" t="s">
        <v>53</v>
      </c>
      <c r="N10858" t="str">
        <f>"1021256507  "</f>
        <v xml:space="preserve">1021256507  </v>
      </c>
      <c r="O10858">
        <v>230607</v>
      </c>
    </row>
    <row r="10859" spans="1:15" x14ac:dyDescent="0.25">
      <c r="A10859" t="s">
        <v>16</v>
      </c>
      <c r="B10859" t="s">
        <v>3221</v>
      </c>
      <c r="C10859">
        <v>8117</v>
      </c>
      <c r="D10859" t="s">
        <v>983</v>
      </c>
      <c r="E10859" t="s">
        <v>984</v>
      </c>
      <c r="F10859">
        <v>198.54</v>
      </c>
      <c r="G10859">
        <v>230606</v>
      </c>
      <c r="H10859">
        <v>4572</v>
      </c>
      <c r="I10859" t="s">
        <v>122</v>
      </c>
      <c r="J10859">
        <v>246.19</v>
      </c>
      <c r="K10859">
        <v>47.65</v>
      </c>
      <c r="L10859">
        <v>17950</v>
      </c>
      <c r="M10859" t="s">
        <v>86</v>
      </c>
      <c r="N10859" t="str">
        <f>"1021260097  "</f>
        <v xml:space="preserve">1021260097  </v>
      </c>
      <c r="O10859">
        <v>230607</v>
      </c>
    </row>
    <row r="10860" spans="1:15" x14ac:dyDescent="0.25">
      <c r="A10860" t="s">
        <v>16</v>
      </c>
      <c r="B10860" t="s">
        <v>3221</v>
      </c>
      <c r="C10860">
        <v>8119</v>
      </c>
      <c r="D10860" t="s">
        <v>983</v>
      </c>
      <c r="E10860" t="s">
        <v>984</v>
      </c>
      <c r="F10860">
        <v>40.22</v>
      </c>
      <c r="G10860">
        <v>230606</v>
      </c>
      <c r="H10860">
        <v>4572</v>
      </c>
      <c r="I10860" t="s">
        <v>122</v>
      </c>
      <c r="J10860">
        <v>49.87</v>
      </c>
      <c r="K10860">
        <v>9.65</v>
      </c>
      <c r="L10860">
        <v>17956</v>
      </c>
      <c r="M10860" t="s">
        <v>53</v>
      </c>
      <c r="N10860" t="str">
        <f>"1021256506  "</f>
        <v xml:space="preserve">1021256506  </v>
      </c>
      <c r="O10860">
        <v>230607</v>
      </c>
    </row>
    <row r="10861" spans="1:15" x14ac:dyDescent="0.25">
      <c r="A10861" t="s">
        <v>16</v>
      </c>
      <c r="B10861" t="s">
        <v>3221</v>
      </c>
      <c r="C10861">
        <v>8659</v>
      </c>
      <c r="D10861" t="s">
        <v>983</v>
      </c>
      <c r="E10861" t="s">
        <v>984</v>
      </c>
      <c r="F10861">
        <v>63.26</v>
      </c>
      <c r="G10861">
        <v>230606</v>
      </c>
      <c r="H10861">
        <v>4572</v>
      </c>
      <c r="I10861" t="s">
        <v>122</v>
      </c>
      <c r="J10861">
        <v>63.26</v>
      </c>
      <c r="K10861">
        <v>0</v>
      </c>
      <c r="L10861">
        <v>11001</v>
      </c>
      <c r="M10861" t="s">
        <v>326</v>
      </c>
      <c r="N10861" t="str">
        <f>"1021255947  "</f>
        <v xml:space="preserve">1021255947  </v>
      </c>
      <c r="O10861">
        <v>230613</v>
      </c>
    </row>
    <row r="10862" spans="1:15" x14ac:dyDescent="0.25">
      <c r="A10862" t="s">
        <v>16</v>
      </c>
      <c r="B10862" t="s">
        <v>3221</v>
      </c>
      <c r="C10862">
        <v>9294</v>
      </c>
      <c r="D10862" t="s">
        <v>983</v>
      </c>
      <c r="E10862" t="s">
        <v>984</v>
      </c>
      <c r="F10862">
        <v>1998.63</v>
      </c>
      <c r="G10862">
        <v>230705</v>
      </c>
      <c r="H10862">
        <v>4572</v>
      </c>
      <c r="I10862" t="s">
        <v>122</v>
      </c>
      <c r="J10862">
        <v>2478.3000000000002</v>
      </c>
      <c r="K10862">
        <v>479.67</v>
      </c>
      <c r="L10862">
        <v>17951</v>
      </c>
      <c r="M10862" t="s">
        <v>87</v>
      </c>
      <c r="N10862" t="str">
        <f>"1021286224  "</f>
        <v xml:space="preserve">1021286224  </v>
      </c>
      <c r="O10862">
        <v>230705</v>
      </c>
    </row>
    <row r="10863" spans="1:15" x14ac:dyDescent="0.25">
      <c r="A10863" t="s">
        <v>16</v>
      </c>
      <c r="B10863" t="s">
        <v>3221</v>
      </c>
      <c r="C10863">
        <v>9315</v>
      </c>
      <c r="D10863" t="s">
        <v>983</v>
      </c>
      <c r="E10863" t="s">
        <v>984</v>
      </c>
      <c r="F10863">
        <v>1043.78</v>
      </c>
      <c r="G10863">
        <v>230705</v>
      </c>
      <c r="H10863">
        <v>4572</v>
      </c>
      <c r="I10863" t="s">
        <v>122</v>
      </c>
      <c r="J10863">
        <v>1294.29</v>
      </c>
      <c r="K10863">
        <v>250.51</v>
      </c>
      <c r="L10863">
        <v>17956</v>
      </c>
      <c r="M10863" t="s">
        <v>53</v>
      </c>
      <c r="N10863" t="str">
        <f>"1021286166  "</f>
        <v xml:space="preserve">1021286166  </v>
      </c>
      <c r="O10863">
        <v>230705</v>
      </c>
    </row>
    <row r="10864" spans="1:15" x14ac:dyDescent="0.25">
      <c r="A10864" t="s">
        <v>16</v>
      </c>
      <c r="B10864" t="s">
        <v>3221</v>
      </c>
      <c r="C10864">
        <v>9328</v>
      </c>
      <c r="D10864" t="s">
        <v>983</v>
      </c>
      <c r="E10864" t="s">
        <v>984</v>
      </c>
      <c r="F10864">
        <v>232.19</v>
      </c>
      <c r="G10864">
        <v>230705</v>
      </c>
      <c r="H10864">
        <v>4572</v>
      </c>
      <c r="I10864" t="s">
        <v>122</v>
      </c>
      <c r="J10864">
        <v>287.92</v>
      </c>
      <c r="K10864">
        <v>55.73</v>
      </c>
      <c r="L10864">
        <v>13540</v>
      </c>
      <c r="M10864" t="s">
        <v>85</v>
      </c>
      <c r="N10864" t="str">
        <f>"1021286075  "</f>
        <v xml:space="preserve">1021286075  </v>
      </c>
      <c r="O10864">
        <v>230706</v>
      </c>
    </row>
    <row r="10865" spans="1:15" x14ac:dyDescent="0.25">
      <c r="A10865" t="s">
        <v>16</v>
      </c>
      <c r="B10865" t="s">
        <v>3221</v>
      </c>
      <c r="C10865">
        <v>9328</v>
      </c>
      <c r="D10865" t="s">
        <v>983</v>
      </c>
      <c r="E10865" t="s">
        <v>984</v>
      </c>
      <c r="F10865">
        <v>1878.64</v>
      </c>
      <c r="G10865">
        <v>230705</v>
      </c>
      <c r="H10865">
        <v>4572</v>
      </c>
      <c r="I10865" t="s">
        <v>122</v>
      </c>
      <c r="J10865">
        <v>2329.5100000000002</v>
      </c>
      <c r="K10865">
        <v>450.87</v>
      </c>
      <c r="L10865">
        <v>17950</v>
      </c>
      <c r="M10865" t="s">
        <v>86</v>
      </c>
      <c r="N10865" t="str">
        <f>"1021286075  "</f>
        <v xml:space="preserve">1021286075  </v>
      </c>
      <c r="O10865">
        <v>230706</v>
      </c>
    </row>
    <row r="10866" spans="1:15" x14ac:dyDescent="0.25">
      <c r="A10866" t="s">
        <v>16</v>
      </c>
      <c r="B10866" t="s">
        <v>3221</v>
      </c>
      <c r="C10866">
        <v>9453</v>
      </c>
      <c r="D10866" t="s">
        <v>983</v>
      </c>
      <c r="E10866" t="s">
        <v>984</v>
      </c>
      <c r="F10866">
        <v>134.52000000000001</v>
      </c>
      <c r="G10866">
        <v>230707</v>
      </c>
      <c r="H10866">
        <v>4572</v>
      </c>
      <c r="I10866" t="s">
        <v>122</v>
      </c>
      <c r="J10866">
        <v>166.8</v>
      </c>
      <c r="K10866">
        <v>32.28</v>
      </c>
      <c r="L10866">
        <v>17956</v>
      </c>
      <c r="M10866" t="s">
        <v>53</v>
      </c>
      <c r="N10866" t="str">
        <f>"1021288474  "</f>
        <v xml:space="preserve">1021288474  </v>
      </c>
      <c r="O10866">
        <v>230711</v>
      </c>
    </row>
    <row r="10867" spans="1:15" x14ac:dyDescent="0.25">
      <c r="A10867" t="s">
        <v>16</v>
      </c>
      <c r="B10867" t="s">
        <v>3221</v>
      </c>
      <c r="C10867">
        <v>9457</v>
      </c>
      <c r="D10867" t="s">
        <v>983</v>
      </c>
      <c r="E10867" t="s">
        <v>984</v>
      </c>
      <c r="F10867">
        <v>3.3</v>
      </c>
      <c r="G10867">
        <v>230707</v>
      </c>
      <c r="H10867">
        <v>4572</v>
      </c>
      <c r="I10867" t="s">
        <v>122</v>
      </c>
      <c r="J10867">
        <v>4.09</v>
      </c>
      <c r="K10867">
        <v>0.79</v>
      </c>
      <c r="L10867">
        <v>13540</v>
      </c>
      <c r="M10867" t="s">
        <v>85</v>
      </c>
      <c r="N10867" t="str">
        <f>"1021292045  "</f>
        <v xml:space="preserve">1021292045  </v>
      </c>
      <c r="O10867">
        <v>230711</v>
      </c>
    </row>
    <row r="10868" spans="1:15" x14ac:dyDescent="0.25">
      <c r="A10868" t="s">
        <v>16</v>
      </c>
      <c r="B10868" t="s">
        <v>3221</v>
      </c>
      <c r="C10868">
        <v>9457</v>
      </c>
      <c r="D10868" t="s">
        <v>983</v>
      </c>
      <c r="E10868" t="s">
        <v>984</v>
      </c>
      <c r="F10868">
        <v>26.65</v>
      </c>
      <c r="G10868">
        <v>230707</v>
      </c>
      <c r="H10868">
        <v>4572</v>
      </c>
      <c r="I10868" t="s">
        <v>122</v>
      </c>
      <c r="J10868">
        <v>33.049999999999997</v>
      </c>
      <c r="K10868">
        <v>6.4</v>
      </c>
      <c r="L10868">
        <v>17950</v>
      </c>
      <c r="M10868" t="s">
        <v>86</v>
      </c>
      <c r="N10868" t="str">
        <f>"1021292045  "</f>
        <v xml:space="preserve">1021292045  </v>
      </c>
      <c r="O10868">
        <v>230711</v>
      </c>
    </row>
    <row r="10869" spans="1:15" x14ac:dyDescent="0.25">
      <c r="A10869" t="s">
        <v>16</v>
      </c>
      <c r="B10869" t="s">
        <v>3221</v>
      </c>
      <c r="C10869">
        <v>9458</v>
      </c>
      <c r="D10869" t="s">
        <v>983</v>
      </c>
      <c r="E10869" t="s">
        <v>984</v>
      </c>
      <c r="F10869">
        <v>143.55000000000001</v>
      </c>
      <c r="G10869">
        <v>230707</v>
      </c>
      <c r="H10869">
        <v>4572</v>
      </c>
      <c r="I10869" t="s">
        <v>122</v>
      </c>
      <c r="J10869">
        <v>178</v>
      </c>
      <c r="K10869">
        <v>34.450000000000003</v>
      </c>
      <c r="L10869">
        <v>17956</v>
      </c>
      <c r="M10869" t="s">
        <v>53</v>
      </c>
      <c r="N10869" t="str">
        <f>"1021288332  "</f>
        <v xml:space="preserve">1021288332  </v>
      </c>
      <c r="O10869">
        <v>230711</v>
      </c>
    </row>
    <row r="10870" spans="1:15" x14ac:dyDescent="0.25">
      <c r="A10870" t="s">
        <v>16</v>
      </c>
      <c r="B10870" t="s">
        <v>3221</v>
      </c>
      <c r="C10870">
        <v>9462</v>
      </c>
      <c r="D10870" t="s">
        <v>983</v>
      </c>
      <c r="E10870" t="s">
        <v>984</v>
      </c>
      <c r="F10870">
        <v>27.76</v>
      </c>
      <c r="G10870">
        <v>230707</v>
      </c>
      <c r="H10870">
        <v>4572</v>
      </c>
      <c r="I10870" t="s">
        <v>122</v>
      </c>
      <c r="J10870">
        <v>34.42</v>
      </c>
      <c r="K10870">
        <v>6.66</v>
      </c>
      <c r="L10870">
        <v>17950</v>
      </c>
      <c r="M10870" t="s">
        <v>86</v>
      </c>
      <c r="N10870" t="str">
        <f>"1021290723  "</f>
        <v xml:space="preserve">1021290723  </v>
      </c>
      <c r="O10870">
        <v>230711</v>
      </c>
    </row>
    <row r="10871" spans="1:15" x14ac:dyDescent="0.25">
      <c r="A10871" t="s">
        <v>16</v>
      </c>
      <c r="B10871" t="s">
        <v>3221</v>
      </c>
      <c r="C10871">
        <v>9463</v>
      </c>
      <c r="D10871" t="s">
        <v>983</v>
      </c>
      <c r="E10871" t="s">
        <v>984</v>
      </c>
      <c r="F10871">
        <v>26.81</v>
      </c>
      <c r="G10871">
        <v>230707</v>
      </c>
      <c r="H10871">
        <v>4572</v>
      </c>
      <c r="I10871" t="s">
        <v>122</v>
      </c>
      <c r="J10871">
        <v>33.24</v>
      </c>
      <c r="K10871">
        <v>6.43</v>
      </c>
      <c r="L10871">
        <v>17956</v>
      </c>
      <c r="M10871" t="s">
        <v>53</v>
      </c>
      <c r="N10871" t="str">
        <f>"1021290722  "</f>
        <v xml:space="preserve">1021290722  </v>
      </c>
      <c r="O10871">
        <v>230711</v>
      </c>
    </row>
    <row r="10872" spans="1:15" x14ac:dyDescent="0.25">
      <c r="A10872" t="s">
        <v>16</v>
      </c>
      <c r="B10872" t="s">
        <v>3221</v>
      </c>
      <c r="C10872">
        <v>9470</v>
      </c>
      <c r="D10872" t="s">
        <v>983</v>
      </c>
      <c r="E10872" t="s">
        <v>984</v>
      </c>
      <c r="F10872">
        <v>76.94</v>
      </c>
      <c r="G10872">
        <v>230707</v>
      </c>
      <c r="H10872">
        <v>4572</v>
      </c>
      <c r="I10872" t="s">
        <v>122</v>
      </c>
      <c r="J10872">
        <v>95.41</v>
      </c>
      <c r="K10872">
        <v>18.47</v>
      </c>
      <c r="L10872">
        <v>17956</v>
      </c>
      <c r="M10872" t="s">
        <v>53</v>
      </c>
      <c r="N10872" t="str">
        <f>"1021288333  "</f>
        <v xml:space="preserve">1021288333  </v>
      </c>
      <c r="O10872">
        <v>230711</v>
      </c>
    </row>
    <row r="10873" spans="1:15" x14ac:dyDescent="0.25">
      <c r="A10873" t="s">
        <v>16</v>
      </c>
      <c r="B10873" t="s">
        <v>3221</v>
      </c>
      <c r="C10873">
        <v>9737</v>
      </c>
      <c r="D10873" t="s">
        <v>983</v>
      </c>
      <c r="E10873" t="s">
        <v>984</v>
      </c>
      <c r="F10873">
        <v>65.319999999999993</v>
      </c>
      <c r="G10873">
        <v>230707</v>
      </c>
      <c r="H10873">
        <v>4572</v>
      </c>
      <c r="I10873" t="s">
        <v>122</v>
      </c>
      <c r="J10873">
        <v>65.319999999999993</v>
      </c>
      <c r="K10873">
        <v>0</v>
      </c>
      <c r="L10873">
        <v>11001</v>
      </c>
      <c r="M10873" t="s">
        <v>326</v>
      </c>
      <c r="N10873" t="str">
        <f>"1021294987  "</f>
        <v xml:space="preserve">1021294987  </v>
      </c>
      <c r="O10873">
        <v>230724</v>
      </c>
    </row>
    <row r="10874" spans="1:15" x14ac:dyDescent="0.25">
      <c r="A10874" t="s">
        <v>16</v>
      </c>
      <c r="B10874" t="s">
        <v>3221</v>
      </c>
      <c r="C10874">
        <v>10068</v>
      </c>
      <c r="D10874" t="s">
        <v>983</v>
      </c>
      <c r="E10874" t="s">
        <v>984</v>
      </c>
      <c r="F10874">
        <v>1032.43</v>
      </c>
      <c r="G10874">
        <v>230807</v>
      </c>
      <c r="H10874">
        <v>4572</v>
      </c>
      <c r="I10874" t="s">
        <v>122</v>
      </c>
      <c r="J10874">
        <v>1280.21</v>
      </c>
      <c r="K10874">
        <v>247.78</v>
      </c>
      <c r="L10874">
        <v>17950</v>
      </c>
      <c r="M10874" t="s">
        <v>86</v>
      </c>
      <c r="N10874" t="str">
        <f>"1021319064  "</f>
        <v xml:space="preserve">1021319064  </v>
      </c>
      <c r="O10874">
        <v>230808</v>
      </c>
    </row>
    <row r="10875" spans="1:15" x14ac:dyDescent="0.25">
      <c r="A10875" t="s">
        <v>16</v>
      </c>
      <c r="B10875" t="s">
        <v>3221</v>
      </c>
      <c r="C10875">
        <v>10074</v>
      </c>
      <c r="D10875" t="s">
        <v>983</v>
      </c>
      <c r="E10875" t="s">
        <v>984</v>
      </c>
      <c r="F10875">
        <v>1904.7</v>
      </c>
      <c r="G10875">
        <v>230807</v>
      </c>
      <c r="H10875">
        <v>4572</v>
      </c>
      <c r="I10875" t="s">
        <v>122</v>
      </c>
      <c r="J10875">
        <v>2361.83</v>
      </c>
      <c r="K10875">
        <v>457.13</v>
      </c>
      <c r="L10875">
        <v>17951</v>
      </c>
      <c r="M10875" t="s">
        <v>87</v>
      </c>
      <c r="N10875" t="str">
        <f>"1021318967  "</f>
        <v xml:space="preserve">1021318967  </v>
      </c>
      <c r="O10875">
        <v>230808</v>
      </c>
    </row>
    <row r="10876" spans="1:15" x14ac:dyDescent="0.25">
      <c r="A10876" t="s">
        <v>16</v>
      </c>
      <c r="B10876" t="s">
        <v>3221</v>
      </c>
      <c r="C10876">
        <v>10174</v>
      </c>
      <c r="D10876" t="s">
        <v>983</v>
      </c>
      <c r="E10876" t="s">
        <v>984</v>
      </c>
      <c r="F10876">
        <v>196.94</v>
      </c>
      <c r="G10876">
        <v>230807</v>
      </c>
      <c r="H10876">
        <v>4572</v>
      </c>
      <c r="I10876" t="s">
        <v>122</v>
      </c>
      <c r="J10876">
        <v>244.2</v>
      </c>
      <c r="K10876">
        <v>47.26</v>
      </c>
      <c r="L10876">
        <v>13540</v>
      </c>
      <c r="M10876" t="s">
        <v>85</v>
      </c>
      <c r="N10876" t="str">
        <f>"1021319131  "</f>
        <v xml:space="preserve">1021319131  </v>
      </c>
      <c r="O10876">
        <v>230809</v>
      </c>
    </row>
    <row r="10877" spans="1:15" x14ac:dyDescent="0.25">
      <c r="A10877" t="s">
        <v>16</v>
      </c>
      <c r="B10877" t="s">
        <v>3221</v>
      </c>
      <c r="C10877">
        <v>10174</v>
      </c>
      <c r="D10877" t="s">
        <v>983</v>
      </c>
      <c r="E10877" t="s">
        <v>984</v>
      </c>
      <c r="F10877">
        <v>1593.41</v>
      </c>
      <c r="G10877">
        <v>230807</v>
      </c>
      <c r="H10877">
        <v>4572</v>
      </c>
      <c r="I10877" t="s">
        <v>122</v>
      </c>
      <c r="J10877">
        <v>1975.83</v>
      </c>
      <c r="K10877">
        <v>382.42</v>
      </c>
      <c r="L10877">
        <v>17950</v>
      </c>
      <c r="M10877" t="s">
        <v>86</v>
      </c>
      <c r="N10877" t="str">
        <f>"1021319131  "</f>
        <v xml:space="preserve">1021319131  </v>
      </c>
      <c r="O10877">
        <v>230809</v>
      </c>
    </row>
    <row r="10878" spans="1:15" x14ac:dyDescent="0.25">
      <c r="A10878" t="s">
        <v>16</v>
      </c>
      <c r="B10878" t="s">
        <v>3221</v>
      </c>
      <c r="C10878">
        <v>10177</v>
      </c>
      <c r="D10878" t="s">
        <v>983</v>
      </c>
      <c r="E10878" t="s">
        <v>984</v>
      </c>
      <c r="F10878">
        <v>74.989999999999995</v>
      </c>
      <c r="G10878">
        <v>230808</v>
      </c>
      <c r="H10878">
        <v>4572</v>
      </c>
      <c r="I10878" t="s">
        <v>122</v>
      </c>
      <c r="J10878">
        <v>92.99</v>
      </c>
      <c r="K10878">
        <v>18</v>
      </c>
      <c r="L10878">
        <v>17956</v>
      </c>
      <c r="M10878" t="s">
        <v>53</v>
      </c>
      <c r="N10878" t="str">
        <f>"1021327709  "</f>
        <v xml:space="preserve">1021327709  </v>
      </c>
      <c r="O10878">
        <v>230809</v>
      </c>
    </row>
    <row r="10879" spans="1:15" x14ac:dyDescent="0.25">
      <c r="A10879" t="s">
        <v>16</v>
      </c>
      <c r="B10879" t="s">
        <v>3221</v>
      </c>
      <c r="C10879">
        <v>10192</v>
      </c>
      <c r="D10879" t="s">
        <v>983</v>
      </c>
      <c r="E10879" t="s">
        <v>984</v>
      </c>
      <c r="F10879">
        <v>137.32</v>
      </c>
      <c r="G10879">
        <v>230808</v>
      </c>
      <c r="H10879">
        <v>4572</v>
      </c>
      <c r="I10879" t="s">
        <v>122</v>
      </c>
      <c r="J10879">
        <v>170.28</v>
      </c>
      <c r="K10879">
        <v>32.96</v>
      </c>
      <c r="L10879">
        <v>17956</v>
      </c>
      <c r="M10879" t="s">
        <v>53</v>
      </c>
      <c r="N10879" t="str">
        <f>"1021327708  "</f>
        <v xml:space="preserve">1021327708  </v>
      </c>
      <c r="O10879">
        <v>230809</v>
      </c>
    </row>
    <row r="10880" spans="1:15" x14ac:dyDescent="0.25">
      <c r="A10880" t="s">
        <v>16</v>
      </c>
      <c r="B10880" t="s">
        <v>3221</v>
      </c>
      <c r="C10880">
        <v>10193</v>
      </c>
      <c r="D10880" t="s">
        <v>983</v>
      </c>
      <c r="E10880" t="s">
        <v>984</v>
      </c>
      <c r="F10880">
        <v>30.67</v>
      </c>
      <c r="G10880">
        <v>230808</v>
      </c>
      <c r="H10880">
        <v>4572</v>
      </c>
      <c r="I10880" t="s">
        <v>122</v>
      </c>
      <c r="J10880">
        <v>38.03</v>
      </c>
      <c r="K10880">
        <v>7.36</v>
      </c>
      <c r="L10880">
        <v>17956</v>
      </c>
      <c r="M10880" t="s">
        <v>53</v>
      </c>
      <c r="N10880" t="str">
        <f>"1021324128  "</f>
        <v xml:space="preserve">1021324128  </v>
      </c>
      <c r="O10880">
        <v>230809</v>
      </c>
    </row>
    <row r="10881" spans="1:15" x14ac:dyDescent="0.25">
      <c r="A10881" t="s">
        <v>16</v>
      </c>
      <c r="B10881" t="s">
        <v>3221</v>
      </c>
      <c r="C10881">
        <v>10194</v>
      </c>
      <c r="D10881" t="s">
        <v>983</v>
      </c>
      <c r="E10881" t="s">
        <v>984</v>
      </c>
      <c r="F10881">
        <v>37.21</v>
      </c>
      <c r="G10881">
        <v>230808</v>
      </c>
      <c r="H10881">
        <v>4572</v>
      </c>
      <c r="I10881" t="s">
        <v>122</v>
      </c>
      <c r="J10881">
        <v>46.14</v>
      </c>
      <c r="K10881">
        <v>8.93</v>
      </c>
      <c r="L10881">
        <v>17956</v>
      </c>
      <c r="M10881" t="s">
        <v>53</v>
      </c>
      <c r="N10881" t="str">
        <f>"1021324127  "</f>
        <v xml:space="preserve">1021324127  </v>
      </c>
      <c r="O10881">
        <v>230809</v>
      </c>
    </row>
    <row r="10882" spans="1:15" x14ac:dyDescent="0.25">
      <c r="A10882" t="s">
        <v>16</v>
      </c>
      <c r="B10882" t="s">
        <v>3221</v>
      </c>
      <c r="C10882">
        <v>10196</v>
      </c>
      <c r="D10882" t="s">
        <v>983</v>
      </c>
      <c r="E10882" t="s">
        <v>984</v>
      </c>
      <c r="F10882">
        <v>91.68</v>
      </c>
      <c r="G10882">
        <v>230808</v>
      </c>
      <c r="H10882">
        <v>4572</v>
      </c>
      <c r="I10882" t="s">
        <v>122</v>
      </c>
      <c r="J10882">
        <v>113.68</v>
      </c>
      <c r="K10882">
        <v>22</v>
      </c>
      <c r="L10882">
        <v>17956</v>
      </c>
      <c r="M10882" t="s">
        <v>53</v>
      </c>
      <c r="N10882" t="str">
        <f>"1021320978  "</f>
        <v xml:space="preserve">1021320978  </v>
      </c>
      <c r="O10882">
        <v>230809</v>
      </c>
    </row>
    <row r="10883" spans="1:15" x14ac:dyDescent="0.25">
      <c r="A10883" t="s">
        <v>16</v>
      </c>
      <c r="B10883" t="s">
        <v>3221</v>
      </c>
      <c r="C10883">
        <v>10197</v>
      </c>
      <c r="D10883" t="s">
        <v>983</v>
      </c>
      <c r="E10883" t="s">
        <v>984</v>
      </c>
      <c r="F10883">
        <v>24.24</v>
      </c>
      <c r="G10883">
        <v>230808</v>
      </c>
      <c r="H10883">
        <v>4572</v>
      </c>
      <c r="I10883" t="s">
        <v>122</v>
      </c>
      <c r="J10883">
        <v>30.06</v>
      </c>
      <c r="K10883">
        <v>5.82</v>
      </c>
      <c r="L10883">
        <v>17981</v>
      </c>
      <c r="M10883" t="s">
        <v>218</v>
      </c>
      <c r="N10883" t="str">
        <f>"1021327014  "</f>
        <v xml:space="preserve">1021327014  </v>
      </c>
      <c r="O10883">
        <v>230809</v>
      </c>
    </row>
    <row r="10884" spans="1:15" x14ac:dyDescent="0.25">
      <c r="A10884" t="s">
        <v>16</v>
      </c>
      <c r="B10884" t="s">
        <v>3221</v>
      </c>
      <c r="C10884">
        <v>10302</v>
      </c>
      <c r="D10884" t="s">
        <v>983</v>
      </c>
      <c r="E10884" t="s">
        <v>984</v>
      </c>
      <c r="F10884">
        <v>55.91</v>
      </c>
      <c r="G10884">
        <v>230808</v>
      </c>
      <c r="H10884">
        <v>4572</v>
      </c>
      <c r="I10884" t="s">
        <v>122</v>
      </c>
      <c r="J10884">
        <v>55.91</v>
      </c>
      <c r="K10884">
        <v>0</v>
      </c>
      <c r="L10884">
        <v>11001</v>
      </c>
      <c r="M10884" t="s">
        <v>326</v>
      </c>
      <c r="N10884" t="str">
        <f>"1021319449  "</f>
        <v xml:space="preserve">1021319449  </v>
      </c>
      <c r="O10884">
        <v>230814</v>
      </c>
    </row>
    <row r="10885" spans="1:15" x14ac:dyDescent="0.25">
      <c r="A10885" t="s">
        <v>16</v>
      </c>
      <c r="B10885" t="s">
        <v>3221</v>
      </c>
      <c r="C10885">
        <v>11535</v>
      </c>
      <c r="D10885" t="s">
        <v>983</v>
      </c>
      <c r="E10885" t="s">
        <v>984</v>
      </c>
      <c r="F10885">
        <v>2478.98</v>
      </c>
      <c r="G10885">
        <v>230906</v>
      </c>
      <c r="H10885">
        <v>4572</v>
      </c>
      <c r="I10885" t="s">
        <v>122</v>
      </c>
      <c r="J10885">
        <v>3073.94</v>
      </c>
      <c r="K10885">
        <v>594.96</v>
      </c>
      <c r="L10885">
        <v>17951</v>
      </c>
      <c r="M10885" t="s">
        <v>87</v>
      </c>
      <c r="N10885" t="str">
        <f>"1021351492  "</f>
        <v xml:space="preserve">1021351492  </v>
      </c>
      <c r="O10885">
        <v>230907</v>
      </c>
    </row>
    <row r="10886" spans="1:15" x14ac:dyDescent="0.25">
      <c r="A10886" t="s">
        <v>16</v>
      </c>
      <c r="B10886" t="s">
        <v>3221</v>
      </c>
      <c r="C10886">
        <v>11577</v>
      </c>
      <c r="D10886" t="s">
        <v>983</v>
      </c>
      <c r="E10886" t="s">
        <v>984</v>
      </c>
      <c r="F10886">
        <v>1218.5899999999999</v>
      </c>
      <c r="G10886">
        <v>230906</v>
      </c>
      <c r="H10886">
        <v>4572</v>
      </c>
      <c r="I10886" t="s">
        <v>122</v>
      </c>
      <c r="J10886">
        <v>1511.05</v>
      </c>
      <c r="K10886">
        <v>292.45999999999998</v>
      </c>
      <c r="L10886">
        <v>17956</v>
      </c>
      <c r="M10886" t="s">
        <v>53</v>
      </c>
      <c r="N10886" t="str">
        <f>"1021351370  "</f>
        <v xml:space="preserve">1021351370  </v>
      </c>
      <c r="O10886">
        <v>230907</v>
      </c>
    </row>
    <row r="10887" spans="1:15" x14ac:dyDescent="0.25">
      <c r="A10887" t="s">
        <v>16</v>
      </c>
      <c r="B10887" t="s">
        <v>3221</v>
      </c>
      <c r="C10887">
        <v>11855</v>
      </c>
      <c r="D10887" t="s">
        <v>983</v>
      </c>
      <c r="E10887" t="s">
        <v>984</v>
      </c>
      <c r="F10887">
        <v>335.52</v>
      </c>
      <c r="G10887">
        <v>230906</v>
      </c>
      <c r="H10887">
        <v>4572</v>
      </c>
      <c r="I10887" t="s">
        <v>122</v>
      </c>
      <c r="J10887">
        <v>416.05</v>
      </c>
      <c r="K10887">
        <v>80.53</v>
      </c>
      <c r="L10887">
        <v>13540</v>
      </c>
      <c r="M10887" t="s">
        <v>85</v>
      </c>
      <c r="N10887" t="str">
        <f>"1021351290  "</f>
        <v xml:space="preserve">1021351290  </v>
      </c>
      <c r="O10887">
        <v>230911</v>
      </c>
    </row>
    <row r="10888" spans="1:15" x14ac:dyDescent="0.25">
      <c r="A10888" t="s">
        <v>16</v>
      </c>
      <c r="B10888" t="s">
        <v>3221</v>
      </c>
      <c r="C10888">
        <v>11855</v>
      </c>
      <c r="D10888" t="s">
        <v>983</v>
      </c>
      <c r="E10888" t="s">
        <v>984</v>
      </c>
      <c r="F10888">
        <v>2714.69</v>
      </c>
      <c r="G10888">
        <v>230906</v>
      </c>
      <c r="H10888">
        <v>4572</v>
      </c>
      <c r="I10888" t="s">
        <v>122</v>
      </c>
      <c r="J10888">
        <v>3366.22</v>
      </c>
      <c r="K10888">
        <v>651.53</v>
      </c>
      <c r="L10888">
        <v>17950</v>
      </c>
      <c r="M10888" t="s">
        <v>86</v>
      </c>
      <c r="N10888" t="str">
        <f>"1021351290  "</f>
        <v xml:space="preserve">1021351290  </v>
      </c>
      <c r="O10888">
        <v>230911</v>
      </c>
    </row>
    <row r="10889" spans="1:15" x14ac:dyDescent="0.25">
      <c r="A10889" t="s">
        <v>16</v>
      </c>
      <c r="B10889" t="s">
        <v>3221</v>
      </c>
      <c r="C10889">
        <v>12030</v>
      </c>
      <c r="D10889" t="s">
        <v>983</v>
      </c>
      <c r="E10889" t="s">
        <v>984</v>
      </c>
      <c r="F10889">
        <v>101.12</v>
      </c>
      <c r="G10889">
        <v>230907</v>
      </c>
      <c r="H10889">
        <v>4572</v>
      </c>
      <c r="I10889" t="s">
        <v>122</v>
      </c>
      <c r="J10889">
        <v>125.39</v>
      </c>
      <c r="K10889">
        <v>24.27</v>
      </c>
      <c r="L10889">
        <v>17950</v>
      </c>
      <c r="M10889" t="s">
        <v>86</v>
      </c>
      <c r="N10889" t="str">
        <f>"1021356357  "</f>
        <v xml:space="preserve">1021356357  </v>
      </c>
      <c r="O10889">
        <v>230912</v>
      </c>
    </row>
    <row r="10890" spans="1:15" x14ac:dyDescent="0.25">
      <c r="A10890" t="s">
        <v>16</v>
      </c>
      <c r="B10890" t="s">
        <v>3221</v>
      </c>
      <c r="C10890">
        <v>12047</v>
      </c>
      <c r="D10890" t="s">
        <v>983</v>
      </c>
      <c r="E10890" t="s">
        <v>984</v>
      </c>
      <c r="F10890">
        <v>56.42</v>
      </c>
      <c r="G10890">
        <v>230907</v>
      </c>
      <c r="H10890">
        <v>4572</v>
      </c>
      <c r="I10890" t="s">
        <v>122</v>
      </c>
      <c r="J10890">
        <v>69.959999999999994</v>
      </c>
      <c r="K10890">
        <v>13.54</v>
      </c>
      <c r="L10890">
        <v>17956</v>
      </c>
      <c r="M10890" t="s">
        <v>53</v>
      </c>
      <c r="N10890" t="str">
        <f>"1021360502  "</f>
        <v xml:space="preserve">1021360502  </v>
      </c>
      <c r="O10890">
        <v>230913</v>
      </c>
    </row>
    <row r="10891" spans="1:15" x14ac:dyDescent="0.25">
      <c r="A10891" t="s">
        <v>16</v>
      </c>
      <c r="B10891" t="s">
        <v>3221</v>
      </c>
      <c r="C10891">
        <v>12048</v>
      </c>
      <c r="D10891" t="s">
        <v>983</v>
      </c>
      <c r="E10891" t="s">
        <v>984</v>
      </c>
      <c r="F10891">
        <v>40.21</v>
      </c>
      <c r="G10891">
        <v>230907</v>
      </c>
      <c r="H10891">
        <v>4572</v>
      </c>
      <c r="I10891" t="s">
        <v>122</v>
      </c>
      <c r="J10891">
        <v>49.86</v>
      </c>
      <c r="K10891">
        <v>9.65</v>
      </c>
      <c r="L10891">
        <v>17981</v>
      </c>
      <c r="M10891" t="s">
        <v>218</v>
      </c>
      <c r="N10891" t="str">
        <f>"1021355927  "</f>
        <v xml:space="preserve">1021355927  </v>
      </c>
      <c r="O10891">
        <v>230913</v>
      </c>
    </row>
    <row r="10892" spans="1:15" x14ac:dyDescent="0.25">
      <c r="A10892" t="s">
        <v>16</v>
      </c>
      <c r="B10892" t="s">
        <v>3221</v>
      </c>
      <c r="C10892">
        <v>12049</v>
      </c>
      <c r="D10892" t="s">
        <v>983</v>
      </c>
      <c r="E10892" t="s">
        <v>984</v>
      </c>
      <c r="F10892">
        <v>42.08</v>
      </c>
      <c r="G10892">
        <v>230907</v>
      </c>
      <c r="H10892">
        <v>4572</v>
      </c>
      <c r="I10892" t="s">
        <v>122</v>
      </c>
      <c r="J10892">
        <v>52.18</v>
      </c>
      <c r="K10892">
        <v>10.1</v>
      </c>
      <c r="L10892">
        <v>17956</v>
      </c>
      <c r="M10892" t="s">
        <v>53</v>
      </c>
      <c r="N10892" t="str">
        <f>"1021360503  "</f>
        <v xml:space="preserve">1021360503  </v>
      </c>
      <c r="O10892">
        <v>230913</v>
      </c>
    </row>
    <row r="10893" spans="1:15" x14ac:dyDescent="0.25">
      <c r="A10893" t="s">
        <v>16</v>
      </c>
      <c r="B10893" t="s">
        <v>3221</v>
      </c>
      <c r="C10893">
        <v>12050</v>
      </c>
      <c r="D10893" t="s">
        <v>983</v>
      </c>
      <c r="E10893" t="s">
        <v>984</v>
      </c>
      <c r="F10893">
        <v>172.09</v>
      </c>
      <c r="G10893">
        <v>230907</v>
      </c>
      <c r="H10893">
        <v>4572</v>
      </c>
      <c r="I10893" t="s">
        <v>122</v>
      </c>
      <c r="J10893">
        <v>213.39</v>
      </c>
      <c r="K10893">
        <v>41.3</v>
      </c>
      <c r="L10893">
        <v>17956</v>
      </c>
      <c r="M10893" t="s">
        <v>53</v>
      </c>
      <c r="N10893" t="str">
        <f>"1021357744  "</f>
        <v xml:space="preserve">1021357744  </v>
      </c>
      <c r="O10893">
        <v>230913</v>
      </c>
    </row>
    <row r="10894" spans="1:15" x14ac:dyDescent="0.25">
      <c r="A10894" t="s">
        <v>16</v>
      </c>
      <c r="B10894" t="s">
        <v>3221</v>
      </c>
      <c r="C10894">
        <v>12051</v>
      </c>
      <c r="D10894" t="s">
        <v>983</v>
      </c>
      <c r="E10894" t="s">
        <v>984</v>
      </c>
      <c r="F10894">
        <v>130.57</v>
      </c>
      <c r="G10894">
        <v>230907</v>
      </c>
      <c r="H10894">
        <v>4572</v>
      </c>
      <c r="I10894" t="s">
        <v>122</v>
      </c>
      <c r="J10894">
        <v>161.91</v>
      </c>
      <c r="K10894">
        <v>31.34</v>
      </c>
      <c r="L10894">
        <v>17956</v>
      </c>
      <c r="M10894" t="s">
        <v>53</v>
      </c>
      <c r="N10894" t="str">
        <f>"1021357745  "</f>
        <v xml:space="preserve">1021357745  </v>
      </c>
      <c r="O10894">
        <v>230913</v>
      </c>
    </row>
    <row r="10895" spans="1:15" x14ac:dyDescent="0.25">
      <c r="A10895" t="s">
        <v>16</v>
      </c>
      <c r="B10895" t="s">
        <v>3221</v>
      </c>
      <c r="C10895">
        <v>12113</v>
      </c>
      <c r="D10895" t="s">
        <v>983</v>
      </c>
      <c r="E10895" t="s">
        <v>984</v>
      </c>
      <c r="F10895">
        <v>58.45</v>
      </c>
      <c r="G10895">
        <v>230907</v>
      </c>
      <c r="H10895">
        <v>4572</v>
      </c>
      <c r="I10895" t="s">
        <v>122</v>
      </c>
      <c r="J10895">
        <v>58.45</v>
      </c>
      <c r="K10895">
        <v>0</v>
      </c>
      <c r="L10895">
        <v>11001</v>
      </c>
      <c r="M10895" t="s">
        <v>326</v>
      </c>
      <c r="N10895" t="str">
        <f>"1021361703  "</f>
        <v xml:space="preserve">1021361703  </v>
      </c>
      <c r="O10895">
        <v>230914</v>
      </c>
    </row>
    <row r="10896" spans="1:15" x14ac:dyDescent="0.25">
      <c r="A10896" t="s">
        <v>16</v>
      </c>
      <c r="B10896" t="s">
        <v>3221</v>
      </c>
      <c r="C10896">
        <v>13352</v>
      </c>
      <c r="D10896" t="s">
        <v>983</v>
      </c>
      <c r="E10896" t="s">
        <v>984</v>
      </c>
      <c r="F10896">
        <v>178.2</v>
      </c>
      <c r="G10896">
        <v>231009</v>
      </c>
      <c r="H10896">
        <v>4572</v>
      </c>
      <c r="I10896" t="s">
        <v>122</v>
      </c>
      <c r="J10896">
        <v>220.97</v>
      </c>
      <c r="K10896">
        <v>42.77</v>
      </c>
      <c r="L10896">
        <v>17956</v>
      </c>
      <c r="M10896" t="s">
        <v>53</v>
      </c>
      <c r="N10896" t="str">
        <f>"1021386923  "</f>
        <v xml:space="preserve">1021386923  </v>
      </c>
      <c r="O10896">
        <v>231009</v>
      </c>
    </row>
    <row r="10897" spans="1:15" x14ac:dyDescent="0.25">
      <c r="A10897" t="s">
        <v>16</v>
      </c>
      <c r="B10897" t="s">
        <v>3221</v>
      </c>
      <c r="C10897">
        <v>13353</v>
      </c>
      <c r="D10897" t="s">
        <v>983</v>
      </c>
      <c r="E10897" t="s">
        <v>984</v>
      </c>
      <c r="F10897">
        <v>34.270000000000003</v>
      </c>
      <c r="G10897">
        <v>231009</v>
      </c>
      <c r="H10897">
        <v>4572</v>
      </c>
      <c r="I10897" t="s">
        <v>122</v>
      </c>
      <c r="J10897">
        <v>42.49</v>
      </c>
      <c r="K10897">
        <v>8.2200000000000006</v>
      </c>
      <c r="L10897">
        <v>17981</v>
      </c>
      <c r="M10897" t="s">
        <v>218</v>
      </c>
      <c r="N10897" t="str">
        <f>"1021387061  "</f>
        <v xml:space="preserve">1021387061  </v>
      </c>
      <c r="O10897">
        <v>231009</v>
      </c>
    </row>
    <row r="10898" spans="1:15" x14ac:dyDescent="0.25">
      <c r="A10898" t="s">
        <v>16</v>
      </c>
      <c r="B10898" t="s">
        <v>3221</v>
      </c>
      <c r="C10898">
        <v>13354</v>
      </c>
      <c r="D10898" t="s">
        <v>983</v>
      </c>
      <c r="E10898" t="s">
        <v>984</v>
      </c>
      <c r="F10898">
        <v>133.09</v>
      </c>
      <c r="G10898">
        <v>231009</v>
      </c>
      <c r="H10898">
        <v>4572</v>
      </c>
      <c r="I10898" t="s">
        <v>122</v>
      </c>
      <c r="J10898">
        <v>165.03</v>
      </c>
      <c r="K10898">
        <v>31.94</v>
      </c>
      <c r="L10898">
        <v>17956</v>
      </c>
      <c r="M10898" t="s">
        <v>53</v>
      </c>
      <c r="N10898" t="str">
        <f>"1021386924  "</f>
        <v xml:space="preserve">1021386924  </v>
      </c>
      <c r="O10898">
        <v>231009</v>
      </c>
    </row>
    <row r="10899" spans="1:15" x14ac:dyDescent="0.25">
      <c r="A10899" t="s">
        <v>16</v>
      </c>
      <c r="B10899" t="s">
        <v>3221</v>
      </c>
      <c r="C10899">
        <v>13356</v>
      </c>
      <c r="D10899" t="s">
        <v>983</v>
      </c>
      <c r="E10899" t="s">
        <v>984</v>
      </c>
      <c r="F10899">
        <v>155.88999999999999</v>
      </c>
      <c r="G10899">
        <v>231009</v>
      </c>
      <c r="H10899">
        <v>4572</v>
      </c>
      <c r="I10899" t="s">
        <v>122</v>
      </c>
      <c r="J10899">
        <v>193.3</v>
      </c>
      <c r="K10899">
        <v>37.409999999999997</v>
      </c>
      <c r="L10899">
        <v>17950</v>
      </c>
      <c r="M10899" t="s">
        <v>86</v>
      </c>
      <c r="N10899" t="str">
        <f>"1021386635  "</f>
        <v xml:space="preserve">1021386635  </v>
      </c>
      <c r="O10899">
        <v>231009</v>
      </c>
    </row>
    <row r="10900" spans="1:15" x14ac:dyDescent="0.25">
      <c r="A10900" t="s">
        <v>16</v>
      </c>
      <c r="B10900" t="s">
        <v>3221</v>
      </c>
      <c r="C10900">
        <v>13360</v>
      </c>
      <c r="D10900" t="s">
        <v>983</v>
      </c>
      <c r="E10900" t="s">
        <v>984</v>
      </c>
      <c r="F10900">
        <v>54.42</v>
      </c>
      <c r="G10900">
        <v>231009</v>
      </c>
      <c r="H10900">
        <v>4572</v>
      </c>
      <c r="I10900" t="s">
        <v>122</v>
      </c>
      <c r="J10900">
        <v>67.48</v>
      </c>
      <c r="K10900">
        <v>13.06</v>
      </c>
      <c r="L10900">
        <v>17956</v>
      </c>
      <c r="M10900" t="s">
        <v>53</v>
      </c>
      <c r="N10900" t="str">
        <f>"1021387234  "</f>
        <v xml:space="preserve">1021387234  </v>
      </c>
      <c r="O10900">
        <v>231009</v>
      </c>
    </row>
    <row r="10901" spans="1:15" x14ac:dyDescent="0.25">
      <c r="A10901" t="s">
        <v>16</v>
      </c>
      <c r="B10901" t="s">
        <v>3221</v>
      </c>
      <c r="C10901">
        <v>13635</v>
      </c>
      <c r="D10901" t="s">
        <v>983</v>
      </c>
      <c r="E10901" t="s">
        <v>984</v>
      </c>
      <c r="F10901">
        <v>55.59</v>
      </c>
      <c r="G10901">
        <v>231009</v>
      </c>
      <c r="H10901">
        <v>4572</v>
      </c>
      <c r="I10901" t="s">
        <v>122</v>
      </c>
      <c r="J10901">
        <v>55.59</v>
      </c>
      <c r="K10901">
        <v>0</v>
      </c>
      <c r="L10901">
        <v>11001</v>
      </c>
      <c r="M10901" t="s">
        <v>326</v>
      </c>
      <c r="N10901" t="str">
        <f>"1021386866  "</f>
        <v xml:space="preserve">1021386866  </v>
      </c>
      <c r="O10901">
        <v>231012</v>
      </c>
    </row>
    <row r="10902" spans="1:15" x14ac:dyDescent="0.25">
      <c r="A10902" t="s">
        <v>16</v>
      </c>
      <c r="B10902" t="s">
        <v>3221</v>
      </c>
      <c r="C10902">
        <v>13687</v>
      </c>
      <c r="D10902" t="s">
        <v>983</v>
      </c>
      <c r="E10902" t="s">
        <v>984</v>
      </c>
      <c r="F10902">
        <v>350.05</v>
      </c>
      <c r="G10902">
        <v>231004</v>
      </c>
      <c r="H10902">
        <v>4572</v>
      </c>
      <c r="I10902" t="s">
        <v>122</v>
      </c>
      <c r="J10902">
        <v>434.06</v>
      </c>
      <c r="K10902">
        <v>84.01</v>
      </c>
      <c r="L10902">
        <v>13540</v>
      </c>
      <c r="M10902" t="s">
        <v>85</v>
      </c>
      <c r="N10902" t="str">
        <f>"1021384617  "</f>
        <v xml:space="preserve">1021384617  </v>
      </c>
      <c r="O10902">
        <v>231012</v>
      </c>
    </row>
    <row r="10903" spans="1:15" x14ac:dyDescent="0.25">
      <c r="A10903" t="s">
        <v>16</v>
      </c>
      <c r="B10903" t="s">
        <v>3221</v>
      </c>
      <c r="C10903">
        <v>13687</v>
      </c>
      <c r="D10903" t="s">
        <v>983</v>
      </c>
      <c r="E10903" t="s">
        <v>984</v>
      </c>
      <c r="F10903">
        <v>2832.21</v>
      </c>
      <c r="G10903">
        <v>231004</v>
      </c>
      <c r="H10903">
        <v>4572</v>
      </c>
      <c r="I10903" t="s">
        <v>122</v>
      </c>
      <c r="J10903">
        <v>3511.94</v>
      </c>
      <c r="K10903">
        <v>679.73</v>
      </c>
      <c r="L10903">
        <v>17950</v>
      </c>
      <c r="M10903" t="s">
        <v>86</v>
      </c>
      <c r="N10903" t="str">
        <f>"1021384617  "</f>
        <v xml:space="preserve">1021384617  </v>
      </c>
      <c r="O10903">
        <v>231012</v>
      </c>
    </row>
    <row r="10904" spans="1:15" x14ac:dyDescent="0.25">
      <c r="A10904" t="s">
        <v>16</v>
      </c>
      <c r="B10904" t="s">
        <v>3221</v>
      </c>
      <c r="C10904">
        <v>13693</v>
      </c>
      <c r="D10904" t="s">
        <v>983</v>
      </c>
      <c r="E10904" t="s">
        <v>984</v>
      </c>
      <c r="F10904">
        <v>1288.6199999999999</v>
      </c>
      <c r="G10904">
        <v>231004</v>
      </c>
      <c r="H10904">
        <v>4572</v>
      </c>
      <c r="I10904" t="s">
        <v>122</v>
      </c>
      <c r="J10904">
        <v>1597.89</v>
      </c>
      <c r="K10904">
        <v>309.27</v>
      </c>
      <c r="L10904">
        <v>17956</v>
      </c>
      <c r="M10904" t="s">
        <v>53</v>
      </c>
      <c r="N10904" t="str">
        <f>"1021384701  "</f>
        <v xml:space="preserve">1021384701  </v>
      </c>
      <c r="O10904">
        <v>231012</v>
      </c>
    </row>
    <row r="10905" spans="1:15" x14ac:dyDescent="0.25">
      <c r="A10905" t="s">
        <v>16</v>
      </c>
      <c r="B10905" t="s">
        <v>3221</v>
      </c>
      <c r="C10905">
        <v>13694</v>
      </c>
      <c r="D10905" t="s">
        <v>983</v>
      </c>
      <c r="E10905" t="s">
        <v>984</v>
      </c>
      <c r="F10905">
        <v>2640.76</v>
      </c>
      <c r="G10905">
        <v>231004</v>
      </c>
      <c r="H10905">
        <v>4572</v>
      </c>
      <c r="I10905" t="s">
        <v>122</v>
      </c>
      <c r="J10905">
        <v>3274.54</v>
      </c>
      <c r="K10905">
        <v>633.78</v>
      </c>
      <c r="L10905">
        <v>17951</v>
      </c>
      <c r="M10905" t="s">
        <v>87</v>
      </c>
      <c r="N10905" t="str">
        <f>"1021384822  "</f>
        <v xml:space="preserve">1021384822  </v>
      </c>
      <c r="O10905">
        <v>231012</v>
      </c>
    </row>
    <row r="10906" spans="1:15" x14ac:dyDescent="0.25">
      <c r="A10906" t="s">
        <v>16</v>
      </c>
      <c r="B10906" t="s">
        <v>3221</v>
      </c>
      <c r="C10906">
        <v>15087</v>
      </c>
      <c r="D10906" t="s">
        <v>983</v>
      </c>
      <c r="E10906" t="s">
        <v>984</v>
      </c>
      <c r="F10906">
        <v>2701.29</v>
      </c>
      <c r="G10906">
        <v>231106</v>
      </c>
      <c r="H10906">
        <v>4572</v>
      </c>
      <c r="I10906" t="s">
        <v>122</v>
      </c>
      <c r="J10906">
        <v>3349.6</v>
      </c>
      <c r="K10906">
        <v>648.30999999999995</v>
      </c>
      <c r="L10906">
        <v>17951</v>
      </c>
      <c r="M10906" t="s">
        <v>87</v>
      </c>
      <c r="N10906" t="str">
        <f>"1021418359  "</f>
        <v xml:space="preserve">1021418359  </v>
      </c>
      <c r="O10906">
        <v>231108</v>
      </c>
    </row>
    <row r="10907" spans="1:15" x14ac:dyDescent="0.25">
      <c r="A10907" t="s">
        <v>16</v>
      </c>
      <c r="B10907" t="s">
        <v>3221</v>
      </c>
      <c r="C10907">
        <v>15088</v>
      </c>
      <c r="D10907" t="s">
        <v>983</v>
      </c>
      <c r="E10907" t="s">
        <v>984</v>
      </c>
      <c r="F10907">
        <v>389.05</v>
      </c>
      <c r="G10907">
        <v>231106</v>
      </c>
      <c r="H10907">
        <v>4572</v>
      </c>
      <c r="I10907" t="s">
        <v>122</v>
      </c>
      <c r="J10907">
        <v>482.42</v>
      </c>
      <c r="K10907">
        <v>93.37</v>
      </c>
      <c r="L10907">
        <v>13540</v>
      </c>
      <c r="M10907" t="s">
        <v>85</v>
      </c>
      <c r="N10907" t="str">
        <f>"1021418300  "</f>
        <v xml:space="preserve">1021418300  </v>
      </c>
      <c r="O10907">
        <v>231108</v>
      </c>
    </row>
    <row r="10908" spans="1:15" x14ac:dyDescent="0.25">
      <c r="A10908" t="s">
        <v>16</v>
      </c>
      <c r="B10908" t="s">
        <v>3221</v>
      </c>
      <c r="C10908">
        <v>15088</v>
      </c>
      <c r="D10908" t="s">
        <v>983</v>
      </c>
      <c r="E10908" t="s">
        <v>984</v>
      </c>
      <c r="F10908">
        <v>3147.74</v>
      </c>
      <c r="G10908">
        <v>231106</v>
      </c>
      <c r="H10908">
        <v>4572</v>
      </c>
      <c r="I10908" t="s">
        <v>122</v>
      </c>
      <c r="J10908">
        <v>3903.2</v>
      </c>
      <c r="K10908">
        <v>755.46</v>
      </c>
      <c r="L10908">
        <v>17950</v>
      </c>
      <c r="M10908" t="s">
        <v>86</v>
      </c>
      <c r="N10908" t="str">
        <f>"1021418300  "</f>
        <v xml:space="preserve">1021418300  </v>
      </c>
      <c r="O10908">
        <v>231108</v>
      </c>
    </row>
    <row r="10909" spans="1:15" x14ac:dyDescent="0.25">
      <c r="A10909" t="s">
        <v>16</v>
      </c>
      <c r="B10909" t="s">
        <v>3221</v>
      </c>
      <c r="C10909">
        <v>15101</v>
      </c>
      <c r="D10909" t="s">
        <v>983</v>
      </c>
      <c r="E10909" t="s">
        <v>984</v>
      </c>
      <c r="F10909">
        <v>1651.14</v>
      </c>
      <c r="G10909">
        <v>231106</v>
      </c>
      <c r="H10909">
        <v>4572</v>
      </c>
      <c r="I10909" t="s">
        <v>122</v>
      </c>
      <c r="J10909">
        <v>2047.41</v>
      </c>
      <c r="K10909">
        <v>396.27</v>
      </c>
      <c r="L10909">
        <v>17956</v>
      </c>
      <c r="M10909" t="s">
        <v>53</v>
      </c>
      <c r="N10909" t="str">
        <f>"1021418368  "</f>
        <v xml:space="preserve">1021418368  </v>
      </c>
      <c r="O10909">
        <v>231108</v>
      </c>
    </row>
    <row r="10910" spans="1:15" x14ac:dyDescent="0.25">
      <c r="A10910" t="s">
        <v>16</v>
      </c>
      <c r="B10910" t="s">
        <v>3221</v>
      </c>
      <c r="C10910">
        <v>15144</v>
      </c>
      <c r="D10910" t="s">
        <v>983</v>
      </c>
      <c r="E10910" t="s">
        <v>984</v>
      </c>
      <c r="F10910">
        <v>30.72</v>
      </c>
      <c r="G10910">
        <v>231107</v>
      </c>
      <c r="H10910">
        <v>4572</v>
      </c>
      <c r="I10910" t="s">
        <v>122</v>
      </c>
      <c r="J10910">
        <v>38.090000000000003</v>
      </c>
      <c r="K10910">
        <v>7.37</v>
      </c>
      <c r="L10910">
        <v>17981</v>
      </c>
      <c r="M10910" t="s">
        <v>218</v>
      </c>
      <c r="N10910" t="str">
        <f>"1021422100  "</f>
        <v xml:space="preserve">1021422100  </v>
      </c>
      <c r="O10910">
        <v>231109</v>
      </c>
    </row>
    <row r="10911" spans="1:15" x14ac:dyDescent="0.25">
      <c r="A10911" t="s">
        <v>16</v>
      </c>
      <c r="B10911" t="s">
        <v>3221</v>
      </c>
      <c r="C10911">
        <v>15145</v>
      </c>
      <c r="D10911" t="s">
        <v>983</v>
      </c>
      <c r="E10911" t="s">
        <v>984</v>
      </c>
      <c r="F10911">
        <v>155.91</v>
      </c>
      <c r="G10911">
        <v>231107</v>
      </c>
      <c r="H10911">
        <v>4572</v>
      </c>
      <c r="I10911" t="s">
        <v>122</v>
      </c>
      <c r="J10911">
        <v>193.33</v>
      </c>
      <c r="K10911">
        <v>37.42</v>
      </c>
      <c r="L10911">
        <v>17956</v>
      </c>
      <c r="M10911" t="s">
        <v>53</v>
      </c>
      <c r="N10911" t="str">
        <f>"1021422851  "</f>
        <v xml:space="preserve">1021422851  </v>
      </c>
      <c r="O10911">
        <v>231109</v>
      </c>
    </row>
    <row r="10912" spans="1:15" x14ac:dyDescent="0.25">
      <c r="A10912" t="s">
        <v>16</v>
      </c>
      <c r="B10912" t="s">
        <v>3221</v>
      </c>
      <c r="C10912">
        <v>15146</v>
      </c>
      <c r="D10912" t="s">
        <v>983</v>
      </c>
      <c r="E10912" t="s">
        <v>984</v>
      </c>
      <c r="F10912">
        <v>39.880000000000003</v>
      </c>
      <c r="G10912">
        <v>231107</v>
      </c>
      <c r="H10912">
        <v>4572</v>
      </c>
      <c r="I10912" t="s">
        <v>122</v>
      </c>
      <c r="J10912">
        <v>49.45</v>
      </c>
      <c r="K10912">
        <v>9.57</v>
      </c>
      <c r="L10912">
        <v>17956</v>
      </c>
      <c r="M10912" t="s">
        <v>53</v>
      </c>
      <c r="N10912" t="str">
        <f>"1021423069  "</f>
        <v xml:space="preserve">1021423069  </v>
      </c>
      <c r="O10912">
        <v>231109</v>
      </c>
    </row>
    <row r="10913" spans="1:15" x14ac:dyDescent="0.25">
      <c r="A10913" t="s">
        <v>16</v>
      </c>
      <c r="B10913" t="s">
        <v>3221</v>
      </c>
      <c r="C10913">
        <v>15148</v>
      </c>
      <c r="D10913" t="s">
        <v>983</v>
      </c>
      <c r="E10913" t="s">
        <v>984</v>
      </c>
      <c r="F10913">
        <v>384.33</v>
      </c>
      <c r="G10913">
        <v>231107</v>
      </c>
      <c r="H10913">
        <v>4572</v>
      </c>
      <c r="I10913" t="s">
        <v>122</v>
      </c>
      <c r="J10913">
        <v>476.57</v>
      </c>
      <c r="K10913">
        <v>92.24</v>
      </c>
      <c r="L10913">
        <v>17950</v>
      </c>
      <c r="M10913" t="s">
        <v>86</v>
      </c>
      <c r="N10913" t="str">
        <f>"1021421042  "</f>
        <v xml:space="preserve">1021421042  </v>
      </c>
      <c r="O10913">
        <v>231109</v>
      </c>
    </row>
    <row r="10914" spans="1:15" x14ac:dyDescent="0.25">
      <c r="A10914" t="s">
        <v>16</v>
      </c>
      <c r="B10914" t="s">
        <v>3221</v>
      </c>
      <c r="C10914">
        <v>15155</v>
      </c>
      <c r="D10914" t="s">
        <v>983</v>
      </c>
      <c r="E10914" t="s">
        <v>984</v>
      </c>
      <c r="F10914">
        <v>57.75</v>
      </c>
      <c r="G10914">
        <v>231107</v>
      </c>
      <c r="H10914">
        <v>4572</v>
      </c>
      <c r="I10914" t="s">
        <v>122</v>
      </c>
      <c r="J10914">
        <v>71.61</v>
      </c>
      <c r="K10914">
        <v>13.86</v>
      </c>
      <c r="L10914">
        <v>17956</v>
      </c>
      <c r="M10914" t="s">
        <v>53</v>
      </c>
      <c r="N10914" t="str">
        <f>"1021423068  "</f>
        <v xml:space="preserve">1021423068  </v>
      </c>
      <c r="O10914">
        <v>231109</v>
      </c>
    </row>
    <row r="10915" spans="1:15" x14ac:dyDescent="0.25">
      <c r="A10915" t="s">
        <v>16</v>
      </c>
      <c r="B10915" t="s">
        <v>3221</v>
      </c>
      <c r="C10915">
        <v>15162</v>
      </c>
      <c r="D10915" t="s">
        <v>983</v>
      </c>
      <c r="E10915" t="s">
        <v>984</v>
      </c>
      <c r="F10915">
        <v>175.83</v>
      </c>
      <c r="G10915">
        <v>231107</v>
      </c>
      <c r="H10915">
        <v>4572</v>
      </c>
      <c r="I10915" t="s">
        <v>122</v>
      </c>
      <c r="J10915">
        <v>218.03</v>
      </c>
      <c r="K10915">
        <v>42.2</v>
      </c>
      <c r="L10915">
        <v>17956</v>
      </c>
      <c r="M10915" t="s">
        <v>53</v>
      </c>
      <c r="N10915" t="str">
        <f>"1021422850  "</f>
        <v xml:space="preserve">1021422850  </v>
      </c>
      <c r="O10915">
        <v>231109</v>
      </c>
    </row>
    <row r="10916" spans="1:15" x14ac:dyDescent="0.25">
      <c r="A10916" t="s">
        <v>16</v>
      </c>
      <c r="B10916" t="s">
        <v>3221</v>
      </c>
      <c r="C10916">
        <v>15395</v>
      </c>
      <c r="D10916" t="s">
        <v>983</v>
      </c>
      <c r="E10916" t="s">
        <v>984</v>
      </c>
      <c r="F10916">
        <v>58.5</v>
      </c>
      <c r="G10916">
        <v>231107</v>
      </c>
      <c r="H10916">
        <v>4572</v>
      </c>
      <c r="I10916" t="s">
        <v>122</v>
      </c>
      <c r="J10916">
        <v>58.5</v>
      </c>
      <c r="K10916">
        <v>0</v>
      </c>
      <c r="L10916">
        <v>11001</v>
      </c>
      <c r="M10916" t="s">
        <v>326</v>
      </c>
      <c r="N10916" t="str">
        <f>"1021419721  "</f>
        <v xml:space="preserve">1021419721  </v>
      </c>
      <c r="O10916">
        <v>231113</v>
      </c>
    </row>
    <row r="10917" spans="1:15" x14ac:dyDescent="0.25">
      <c r="A10917" t="s">
        <v>16</v>
      </c>
      <c r="B10917" t="s">
        <v>3221</v>
      </c>
      <c r="C10917">
        <v>16861</v>
      </c>
      <c r="D10917" t="s">
        <v>983</v>
      </c>
      <c r="E10917" t="s">
        <v>984</v>
      </c>
      <c r="F10917">
        <v>45.87</v>
      </c>
      <c r="G10917">
        <v>231208</v>
      </c>
      <c r="H10917">
        <v>4572</v>
      </c>
      <c r="I10917" t="s">
        <v>122</v>
      </c>
      <c r="J10917">
        <v>56.88</v>
      </c>
      <c r="K10917">
        <v>11.01</v>
      </c>
      <c r="L10917">
        <v>17956</v>
      </c>
      <c r="M10917" t="s">
        <v>53</v>
      </c>
      <c r="N10917" t="str">
        <f>"1021456111  "</f>
        <v xml:space="preserve">1021456111  </v>
      </c>
      <c r="O10917">
        <v>231211</v>
      </c>
    </row>
    <row r="10918" spans="1:15" x14ac:dyDescent="0.25">
      <c r="A10918" t="s">
        <v>16</v>
      </c>
      <c r="B10918" t="s">
        <v>3221</v>
      </c>
      <c r="C10918">
        <v>16878</v>
      </c>
      <c r="D10918" t="s">
        <v>983</v>
      </c>
      <c r="E10918" t="s">
        <v>984</v>
      </c>
      <c r="F10918">
        <v>170.59</v>
      </c>
      <c r="G10918">
        <v>231208</v>
      </c>
      <c r="H10918">
        <v>4572</v>
      </c>
      <c r="I10918" t="s">
        <v>122</v>
      </c>
      <c r="J10918">
        <v>211.53</v>
      </c>
      <c r="K10918">
        <v>40.94</v>
      </c>
      <c r="L10918">
        <v>17956</v>
      </c>
      <c r="M10918" t="s">
        <v>53</v>
      </c>
      <c r="N10918" t="str">
        <f>"1021455775  "</f>
        <v xml:space="preserve">1021455775  </v>
      </c>
      <c r="O10918">
        <v>231211</v>
      </c>
    </row>
    <row r="10919" spans="1:15" x14ac:dyDescent="0.25">
      <c r="A10919" t="s">
        <v>16</v>
      </c>
      <c r="B10919" t="s">
        <v>3221</v>
      </c>
      <c r="C10919">
        <v>16879</v>
      </c>
      <c r="D10919" t="s">
        <v>983</v>
      </c>
      <c r="E10919" t="s">
        <v>984</v>
      </c>
      <c r="F10919">
        <v>395.1</v>
      </c>
      <c r="G10919">
        <v>231208</v>
      </c>
      <c r="H10919">
        <v>4572</v>
      </c>
      <c r="I10919" t="s">
        <v>122</v>
      </c>
      <c r="J10919">
        <v>489.92</v>
      </c>
      <c r="K10919">
        <v>94.82</v>
      </c>
      <c r="L10919">
        <v>17950</v>
      </c>
      <c r="M10919" t="s">
        <v>86</v>
      </c>
      <c r="N10919" t="str">
        <f>"1021455448  "</f>
        <v xml:space="preserve">1021455448  </v>
      </c>
      <c r="O10919">
        <v>231211</v>
      </c>
    </row>
    <row r="10920" spans="1:15" x14ac:dyDescent="0.25">
      <c r="A10920" t="s">
        <v>16</v>
      </c>
      <c r="B10920" t="s">
        <v>3221</v>
      </c>
      <c r="C10920">
        <v>16884</v>
      </c>
      <c r="D10920" t="s">
        <v>983</v>
      </c>
      <c r="E10920" t="s">
        <v>984</v>
      </c>
      <c r="F10920">
        <v>214.47</v>
      </c>
      <c r="G10920">
        <v>231208</v>
      </c>
      <c r="H10920">
        <v>4572</v>
      </c>
      <c r="I10920" t="s">
        <v>122</v>
      </c>
      <c r="J10920">
        <v>265.94</v>
      </c>
      <c r="K10920">
        <v>51.47</v>
      </c>
      <c r="L10920">
        <v>17956</v>
      </c>
      <c r="M10920" t="s">
        <v>53</v>
      </c>
      <c r="N10920" t="str">
        <f>"1021455774  "</f>
        <v xml:space="preserve">1021455774  </v>
      </c>
      <c r="O10920">
        <v>231211</v>
      </c>
    </row>
    <row r="10921" spans="1:15" x14ac:dyDescent="0.25">
      <c r="A10921" t="s">
        <v>16</v>
      </c>
      <c r="B10921" t="s">
        <v>3221</v>
      </c>
      <c r="C10921">
        <v>16922</v>
      </c>
      <c r="D10921" t="s">
        <v>983</v>
      </c>
      <c r="E10921" t="s">
        <v>984</v>
      </c>
      <c r="F10921">
        <v>570.05999999999995</v>
      </c>
      <c r="G10921">
        <v>231207</v>
      </c>
      <c r="H10921">
        <v>4572</v>
      </c>
      <c r="I10921" t="s">
        <v>122</v>
      </c>
      <c r="J10921">
        <v>706.87</v>
      </c>
      <c r="K10921">
        <v>136.81</v>
      </c>
      <c r="L10921">
        <v>13540</v>
      </c>
      <c r="M10921" t="s">
        <v>85</v>
      </c>
      <c r="N10921" t="str">
        <f>"1021451160  "</f>
        <v xml:space="preserve">1021451160  </v>
      </c>
      <c r="O10921">
        <v>231211</v>
      </c>
    </row>
    <row r="10922" spans="1:15" x14ac:dyDescent="0.25">
      <c r="A10922" t="s">
        <v>16</v>
      </c>
      <c r="B10922" t="s">
        <v>3221</v>
      </c>
      <c r="C10922">
        <v>16922</v>
      </c>
      <c r="D10922" t="s">
        <v>983</v>
      </c>
      <c r="E10922" t="s">
        <v>984</v>
      </c>
      <c r="F10922">
        <v>4612.2700000000004</v>
      </c>
      <c r="G10922">
        <v>231207</v>
      </c>
      <c r="H10922">
        <v>4572</v>
      </c>
      <c r="I10922" t="s">
        <v>122</v>
      </c>
      <c r="J10922">
        <v>5719.22</v>
      </c>
      <c r="K10922">
        <v>1106.95</v>
      </c>
      <c r="L10922">
        <v>17950</v>
      </c>
      <c r="M10922" t="s">
        <v>86</v>
      </c>
      <c r="N10922" t="str">
        <f>"1021451160  "</f>
        <v xml:space="preserve">1021451160  </v>
      </c>
      <c r="O10922">
        <v>231211</v>
      </c>
    </row>
    <row r="10923" spans="1:15" x14ac:dyDescent="0.25">
      <c r="A10923" t="s">
        <v>16</v>
      </c>
      <c r="B10923" t="s">
        <v>3221</v>
      </c>
      <c r="C10923">
        <v>16924</v>
      </c>
      <c r="D10923" t="s">
        <v>983</v>
      </c>
      <c r="E10923" t="s">
        <v>984</v>
      </c>
      <c r="F10923">
        <v>64.959999999999994</v>
      </c>
      <c r="G10923">
        <v>231208</v>
      </c>
      <c r="H10923">
        <v>4572</v>
      </c>
      <c r="I10923" t="s">
        <v>122</v>
      </c>
      <c r="J10923">
        <v>80.55</v>
      </c>
      <c r="K10923">
        <v>15.59</v>
      </c>
      <c r="L10923">
        <v>17956</v>
      </c>
      <c r="M10923" t="s">
        <v>53</v>
      </c>
      <c r="N10923" t="str">
        <f>"1021456110  "</f>
        <v xml:space="preserve">1021456110  </v>
      </c>
      <c r="O10923">
        <v>231211</v>
      </c>
    </row>
    <row r="10924" spans="1:15" x14ac:dyDescent="0.25">
      <c r="A10924" t="s">
        <v>16</v>
      </c>
      <c r="B10924" t="s">
        <v>3221</v>
      </c>
      <c r="C10924">
        <v>16947</v>
      </c>
      <c r="D10924" t="s">
        <v>983</v>
      </c>
      <c r="E10924" t="s">
        <v>984</v>
      </c>
      <c r="F10924">
        <v>1957.19</v>
      </c>
      <c r="G10924">
        <v>231207</v>
      </c>
      <c r="H10924">
        <v>4572</v>
      </c>
      <c r="I10924" t="s">
        <v>122</v>
      </c>
      <c r="J10924">
        <v>2426.92</v>
      </c>
      <c r="K10924">
        <v>469.73</v>
      </c>
      <c r="L10924">
        <v>17956</v>
      </c>
      <c r="M10924" t="s">
        <v>53</v>
      </c>
      <c r="N10924" t="str">
        <f>"1021451161  "</f>
        <v xml:space="preserve">1021451161  </v>
      </c>
      <c r="O10924">
        <v>231211</v>
      </c>
    </row>
    <row r="10925" spans="1:15" x14ac:dyDescent="0.25">
      <c r="A10925" t="s">
        <v>16</v>
      </c>
      <c r="B10925" t="s">
        <v>3221</v>
      </c>
      <c r="C10925">
        <v>17051</v>
      </c>
      <c r="D10925" t="s">
        <v>983</v>
      </c>
      <c r="E10925" t="s">
        <v>984</v>
      </c>
      <c r="F10925">
        <v>38.93</v>
      </c>
      <c r="G10925">
        <v>231208</v>
      </c>
      <c r="H10925">
        <v>4572</v>
      </c>
      <c r="I10925" t="s">
        <v>122</v>
      </c>
      <c r="J10925">
        <v>48.27</v>
      </c>
      <c r="K10925">
        <v>9.34</v>
      </c>
      <c r="L10925">
        <v>17981</v>
      </c>
      <c r="M10925" t="s">
        <v>218</v>
      </c>
      <c r="N10925" t="str">
        <f>"1021455923  "</f>
        <v xml:space="preserve">1021455923  </v>
      </c>
      <c r="O10925">
        <v>231212</v>
      </c>
    </row>
    <row r="10926" spans="1:15" x14ac:dyDescent="0.25">
      <c r="A10926" t="s">
        <v>16</v>
      </c>
      <c r="B10926" t="s">
        <v>3221</v>
      </c>
      <c r="C10926">
        <v>17169</v>
      </c>
      <c r="D10926" t="s">
        <v>983</v>
      </c>
      <c r="E10926" t="s">
        <v>984</v>
      </c>
      <c r="F10926">
        <v>3725.75</v>
      </c>
      <c r="G10926">
        <v>231207</v>
      </c>
      <c r="H10926">
        <v>4572</v>
      </c>
      <c r="I10926" t="s">
        <v>122</v>
      </c>
      <c r="J10926">
        <v>4619.93</v>
      </c>
      <c r="K10926">
        <v>894.18</v>
      </c>
      <c r="L10926">
        <v>17951</v>
      </c>
      <c r="M10926" t="s">
        <v>87</v>
      </c>
      <c r="N10926" t="str">
        <f>"1021451159  "</f>
        <v xml:space="preserve">1021451159  </v>
      </c>
      <c r="O10926">
        <v>231212</v>
      </c>
    </row>
    <row r="10927" spans="1:15" x14ac:dyDescent="0.25">
      <c r="A10927" t="s">
        <v>16</v>
      </c>
      <c r="B10927" t="s">
        <v>3221</v>
      </c>
      <c r="C10927">
        <v>17288</v>
      </c>
      <c r="D10927" t="s">
        <v>983</v>
      </c>
      <c r="E10927" t="s">
        <v>984</v>
      </c>
      <c r="F10927">
        <v>48.84</v>
      </c>
      <c r="G10927">
        <v>231208</v>
      </c>
      <c r="H10927">
        <v>4572</v>
      </c>
      <c r="I10927" t="s">
        <v>122</v>
      </c>
      <c r="J10927">
        <v>48.84</v>
      </c>
      <c r="K10927">
        <v>0</v>
      </c>
      <c r="L10927">
        <v>11001</v>
      </c>
      <c r="M10927" t="s">
        <v>326</v>
      </c>
      <c r="N10927" t="str">
        <f>"1021455681  "</f>
        <v xml:space="preserve">1021455681  </v>
      </c>
      <c r="O10927">
        <v>231212</v>
      </c>
    </row>
    <row r="10928" spans="1:15" x14ac:dyDescent="0.25">
      <c r="A10928" t="s">
        <v>16</v>
      </c>
      <c r="B10928" t="s">
        <v>3221</v>
      </c>
      <c r="C10928">
        <v>18764</v>
      </c>
      <c r="D10928" t="s">
        <v>983</v>
      </c>
      <c r="E10928" t="s">
        <v>984</v>
      </c>
      <c r="F10928">
        <v>3287.57</v>
      </c>
      <c r="G10928">
        <v>240104</v>
      </c>
      <c r="H10928">
        <v>4572</v>
      </c>
      <c r="I10928" t="s">
        <v>122</v>
      </c>
      <c r="J10928">
        <v>4076.59</v>
      </c>
      <c r="K10928">
        <v>789.02</v>
      </c>
      <c r="L10928">
        <v>17951</v>
      </c>
      <c r="M10928" t="s">
        <v>87</v>
      </c>
      <c r="N10928" t="str">
        <f>"1021484558  "</f>
        <v xml:space="preserve">1021484558  </v>
      </c>
      <c r="O10928">
        <v>240105</v>
      </c>
    </row>
    <row r="10929" spans="1:15" x14ac:dyDescent="0.25">
      <c r="A10929" t="s">
        <v>16</v>
      </c>
      <c r="B10929" t="s">
        <v>3221</v>
      </c>
      <c r="C10929">
        <v>18881</v>
      </c>
      <c r="D10929" t="s">
        <v>983</v>
      </c>
      <c r="E10929" t="s">
        <v>984</v>
      </c>
      <c r="F10929">
        <v>203</v>
      </c>
      <c r="G10929">
        <v>240108</v>
      </c>
      <c r="H10929">
        <v>4572</v>
      </c>
      <c r="I10929" t="s">
        <v>122</v>
      </c>
      <c r="J10929">
        <v>251.72</v>
      </c>
      <c r="K10929">
        <v>48.72</v>
      </c>
      <c r="L10929">
        <v>17956</v>
      </c>
      <c r="M10929" t="s">
        <v>53</v>
      </c>
      <c r="N10929" t="str">
        <f>"1021487465  "</f>
        <v xml:space="preserve">1021487465  </v>
      </c>
      <c r="O10929">
        <v>240108</v>
      </c>
    </row>
    <row r="10930" spans="1:15" x14ac:dyDescent="0.25">
      <c r="A10930" t="s">
        <v>16</v>
      </c>
      <c r="B10930" t="s">
        <v>3221</v>
      </c>
      <c r="C10930">
        <v>18885</v>
      </c>
      <c r="D10930" t="s">
        <v>983</v>
      </c>
      <c r="E10930" t="s">
        <v>984</v>
      </c>
      <c r="F10930">
        <v>55.99</v>
      </c>
      <c r="G10930">
        <v>240108</v>
      </c>
      <c r="H10930">
        <v>4572</v>
      </c>
      <c r="I10930" t="s">
        <v>122</v>
      </c>
      <c r="J10930">
        <v>69.430000000000007</v>
      </c>
      <c r="K10930">
        <v>13.44</v>
      </c>
      <c r="L10930">
        <v>17956</v>
      </c>
      <c r="M10930" t="s">
        <v>53</v>
      </c>
      <c r="N10930" t="str">
        <f>"1021487829  "</f>
        <v xml:space="preserve">1021487829  </v>
      </c>
      <c r="O10930">
        <v>240108</v>
      </c>
    </row>
    <row r="10931" spans="1:15" x14ac:dyDescent="0.25">
      <c r="A10931" t="s">
        <v>16</v>
      </c>
      <c r="B10931" t="s">
        <v>3221</v>
      </c>
      <c r="C10931">
        <v>18887</v>
      </c>
      <c r="D10931" t="s">
        <v>983</v>
      </c>
      <c r="E10931" t="s">
        <v>984</v>
      </c>
      <c r="F10931">
        <v>517.13</v>
      </c>
      <c r="G10931">
        <v>240104</v>
      </c>
      <c r="H10931">
        <v>4572</v>
      </c>
      <c r="I10931" t="s">
        <v>122</v>
      </c>
      <c r="J10931">
        <v>641.24</v>
      </c>
      <c r="K10931">
        <v>124.11</v>
      </c>
      <c r="L10931">
        <v>13540</v>
      </c>
      <c r="M10931" t="s">
        <v>85</v>
      </c>
      <c r="N10931" t="str">
        <f>"1021484559  "</f>
        <v xml:space="preserve">1021484559  </v>
      </c>
      <c r="O10931">
        <v>240108</v>
      </c>
    </row>
    <row r="10932" spans="1:15" x14ac:dyDescent="0.25">
      <c r="A10932" t="s">
        <v>16</v>
      </c>
      <c r="B10932" t="s">
        <v>3221</v>
      </c>
      <c r="C10932">
        <v>18887</v>
      </c>
      <c r="D10932" t="s">
        <v>983</v>
      </c>
      <c r="E10932" t="s">
        <v>984</v>
      </c>
      <c r="F10932">
        <v>4184.08</v>
      </c>
      <c r="G10932">
        <v>240104</v>
      </c>
      <c r="H10932">
        <v>4572</v>
      </c>
      <c r="I10932" t="s">
        <v>122</v>
      </c>
      <c r="J10932">
        <v>5188.26</v>
      </c>
      <c r="K10932">
        <v>1004.18</v>
      </c>
      <c r="L10932">
        <v>17950</v>
      </c>
      <c r="M10932" t="s">
        <v>86</v>
      </c>
      <c r="N10932" t="str">
        <f>"1021484559  "</f>
        <v xml:space="preserve">1021484559  </v>
      </c>
      <c r="O10932">
        <v>240108</v>
      </c>
    </row>
    <row r="10933" spans="1:15" x14ac:dyDescent="0.25">
      <c r="A10933" t="s">
        <v>16</v>
      </c>
      <c r="B10933" t="s">
        <v>3221</v>
      </c>
      <c r="C10933">
        <v>18888</v>
      </c>
      <c r="D10933" t="s">
        <v>983</v>
      </c>
      <c r="E10933" t="s">
        <v>984</v>
      </c>
      <c r="F10933">
        <v>333.1</v>
      </c>
      <c r="G10933">
        <v>240108</v>
      </c>
      <c r="H10933">
        <v>4572</v>
      </c>
      <c r="I10933" t="s">
        <v>122</v>
      </c>
      <c r="J10933">
        <v>413.04</v>
      </c>
      <c r="K10933">
        <v>79.94</v>
      </c>
      <c r="L10933">
        <v>17950</v>
      </c>
      <c r="M10933" t="s">
        <v>86</v>
      </c>
      <c r="N10933" t="str">
        <f>"1021487139  "</f>
        <v xml:space="preserve">1021487139  </v>
      </c>
      <c r="O10933">
        <v>240108</v>
      </c>
    </row>
    <row r="10934" spans="1:15" x14ac:dyDescent="0.25">
      <c r="A10934" t="s">
        <v>16</v>
      </c>
      <c r="B10934" t="s">
        <v>3221</v>
      </c>
      <c r="C10934">
        <v>18891</v>
      </c>
      <c r="D10934" t="s">
        <v>983</v>
      </c>
      <c r="E10934" t="s">
        <v>984</v>
      </c>
      <c r="F10934">
        <v>2142.37</v>
      </c>
      <c r="G10934">
        <v>240104</v>
      </c>
      <c r="H10934">
        <v>4572</v>
      </c>
      <c r="I10934" t="s">
        <v>122</v>
      </c>
      <c r="J10934">
        <v>2656.54</v>
      </c>
      <c r="K10934">
        <v>514.16999999999996</v>
      </c>
      <c r="L10934">
        <v>17956</v>
      </c>
      <c r="M10934" t="s">
        <v>53</v>
      </c>
      <c r="N10934" t="str">
        <f>"1021484560  "</f>
        <v xml:space="preserve">1021484560  </v>
      </c>
      <c r="O10934">
        <v>240108</v>
      </c>
    </row>
    <row r="10935" spans="1:15" x14ac:dyDescent="0.25">
      <c r="A10935" t="s">
        <v>16</v>
      </c>
      <c r="B10935" t="s">
        <v>3221</v>
      </c>
      <c r="C10935">
        <v>18892</v>
      </c>
      <c r="D10935" t="s">
        <v>983</v>
      </c>
      <c r="E10935" t="s">
        <v>984</v>
      </c>
      <c r="F10935">
        <v>39.74</v>
      </c>
      <c r="G10935">
        <v>240108</v>
      </c>
      <c r="H10935">
        <v>4572</v>
      </c>
      <c r="I10935" t="s">
        <v>122</v>
      </c>
      <c r="J10935">
        <v>49.28</v>
      </c>
      <c r="K10935">
        <v>9.5399999999999991</v>
      </c>
      <c r="L10935">
        <v>17956</v>
      </c>
      <c r="M10935" t="s">
        <v>53</v>
      </c>
      <c r="N10935" t="str">
        <f>"1021487830  "</f>
        <v xml:space="preserve">1021487830  </v>
      </c>
      <c r="O10935">
        <v>240108</v>
      </c>
    </row>
    <row r="10936" spans="1:15" x14ac:dyDescent="0.25">
      <c r="A10936" t="s">
        <v>16</v>
      </c>
      <c r="B10936" t="s">
        <v>3221</v>
      </c>
      <c r="C10936">
        <v>18895</v>
      </c>
      <c r="D10936" t="s">
        <v>983</v>
      </c>
      <c r="E10936" t="s">
        <v>984</v>
      </c>
      <c r="F10936">
        <v>173.71</v>
      </c>
      <c r="G10936">
        <v>240108</v>
      </c>
      <c r="H10936">
        <v>4572</v>
      </c>
      <c r="I10936" t="s">
        <v>122</v>
      </c>
      <c r="J10936">
        <v>215.4</v>
      </c>
      <c r="K10936">
        <v>41.69</v>
      </c>
      <c r="L10936">
        <v>17956</v>
      </c>
      <c r="M10936" t="s">
        <v>53</v>
      </c>
      <c r="N10936" t="str">
        <f>"1021487466  "</f>
        <v xml:space="preserve">1021487466  </v>
      </c>
      <c r="O10936">
        <v>240108</v>
      </c>
    </row>
    <row r="10937" spans="1:15" x14ac:dyDescent="0.25">
      <c r="A10937" t="s">
        <v>16</v>
      </c>
      <c r="B10937" t="s">
        <v>3221</v>
      </c>
      <c r="C10937">
        <v>18903</v>
      </c>
      <c r="D10937" t="s">
        <v>983</v>
      </c>
      <c r="E10937" t="s">
        <v>984</v>
      </c>
      <c r="F10937">
        <v>40.24</v>
      </c>
      <c r="G10937">
        <v>240108</v>
      </c>
      <c r="H10937">
        <v>4572</v>
      </c>
      <c r="I10937" t="s">
        <v>122</v>
      </c>
      <c r="J10937">
        <v>49.9</v>
      </c>
      <c r="K10937">
        <v>9.66</v>
      </c>
      <c r="L10937">
        <v>17981</v>
      </c>
      <c r="M10937" t="s">
        <v>218</v>
      </c>
      <c r="N10937" t="str">
        <f>"1021487598  "</f>
        <v xml:space="preserve">1021487598  </v>
      </c>
      <c r="O10937">
        <v>240108</v>
      </c>
    </row>
    <row r="10938" spans="1:15" x14ac:dyDescent="0.25">
      <c r="A10938" t="s">
        <v>16</v>
      </c>
      <c r="B10938" t="s">
        <v>3221</v>
      </c>
      <c r="C10938">
        <v>19086</v>
      </c>
      <c r="D10938" t="s">
        <v>983</v>
      </c>
      <c r="E10938" t="s">
        <v>984</v>
      </c>
      <c r="F10938">
        <v>40.049999999999997</v>
      </c>
      <c r="G10938">
        <v>240108</v>
      </c>
      <c r="H10938">
        <v>4572</v>
      </c>
      <c r="I10938" t="s">
        <v>122</v>
      </c>
      <c r="J10938">
        <v>40.049999999999997</v>
      </c>
      <c r="K10938">
        <v>0</v>
      </c>
      <c r="L10938">
        <v>11001</v>
      </c>
      <c r="M10938" t="s">
        <v>326</v>
      </c>
      <c r="N10938" t="str">
        <f>"1021487360  "</f>
        <v xml:space="preserve">1021487360  </v>
      </c>
      <c r="O10938">
        <v>240110</v>
      </c>
    </row>
    <row r="10939" spans="1:15" x14ac:dyDescent="0.25">
      <c r="A10939" t="s">
        <v>16</v>
      </c>
      <c r="B10939" t="s">
        <v>3221</v>
      </c>
      <c r="C10939">
        <v>18190</v>
      </c>
      <c r="D10939" t="s">
        <v>2828</v>
      </c>
      <c r="E10939" t="s">
        <v>2829</v>
      </c>
      <c r="F10939">
        <v>872</v>
      </c>
      <c r="G10939">
        <v>231220</v>
      </c>
      <c r="H10939">
        <v>4600</v>
      </c>
      <c r="I10939" t="s">
        <v>105</v>
      </c>
      <c r="J10939">
        <v>1081.28</v>
      </c>
      <c r="K10939">
        <v>209.28</v>
      </c>
      <c r="L10939">
        <v>56564</v>
      </c>
      <c r="M10939" t="s">
        <v>327</v>
      </c>
      <c r="N10939" t="str">
        <f>"14043137    "</f>
        <v xml:space="preserve">14043137    </v>
      </c>
      <c r="O10939">
        <v>240102</v>
      </c>
    </row>
    <row r="10940" spans="1:15" x14ac:dyDescent="0.25">
      <c r="A10940" t="s">
        <v>16</v>
      </c>
      <c r="B10940" t="s">
        <v>3221</v>
      </c>
      <c r="C10940">
        <v>14971</v>
      </c>
      <c r="D10940" t="s">
        <v>2828</v>
      </c>
      <c r="E10940" t="s">
        <v>2829</v>
      </c>
      <c r="F10940">
        <v>723.4</v>
      </c>
      <c r="G10940">
        <v>231101</v>
      </c>
      <c r="H10940">
        <v>4590</v>
      </c>
      <c r="I10940" t="s">
        <v>203</v>
      </c>
      <c r="J10940">
        <v>897.02</v>
      </c>
      <c r="K10940">
        <v>173.62</v>
      </c>
      <c r="L10940">
        <v>56564</v>
      </c>
      <c r="M10940" t="s">
        <v>327</v>
      </c>
      <c r="N10940" t="str">
        <f>"14042733    "</f>
        <v xml:space="preserve">14042733    </v>
      </c>
      <c r="O10940">
        <v>231107</v>
      </c>
    </row>
    <row r="10941" spans="1:15" x14ac:dyDescent="0.25">
      <c r="A10941" t="s">
        <v>16</v>
      </c>
      <c r="B10941" t="s">
        <v>3221</v>
      </c>
      <c r="C10941">
        <v>5717</v>
      </c>
      <c r="D10941" t="s">
        <v>1892</v>
      </c>
      <c r="E10941" t="s">
        <v>1893</v>
      </c>
      <c r="F10941">
        <v>49.32</v>
      </c>
      <c r="G10941">
        <v>230428</v>
      </c>
      <c r="H10941">
        <v>4400</v>
      </c>
      <c r="I10941" t="s">
        <v>348</v>
      </c>
      <c r="J10941">
        <v>61.16</v>
      </c>
      <c r="K10941">
        <v>11.84</v>
      </c>
      <c r="L10941">
        <v>13501</v>
      </c>
      <c r="M10941" t="s">
        <v>20</v>
      </c>
      <c r="N10941" t="str">
        <f>"666833      "</f>
        <v xml:space="preserve">666833      </v>
      </c>
      <c r="O10941">
        <v>230502</v>
      </c>
    </row>
    <row r="10942" spans="1:15" x14ac:dyDescent="0.25">
      <c r="A10942" t="s">
        <v>16</v>
      </c>
      <c r="B10942" t="s">
        <v>3221</v>
      </c>
      <c r="C10942">
        <v>5717</v>
      </c>
      <c r="D10942" t="s">
        <v>1892</v>
      </c>
      <c r="E10942" t="s">
        <v>1893</v>
      </c>
      <c r="F10942">
        <v>399.06</v>
      </c>
      <c r="G10942">
        <v>230428</v>
      </c>
      <c r="H10942">
        <v>4400</v>
      </c>
      <c r="I10942" t="s">
        <v>348</v>
      </c>
      <c r="J10942">
        <v>494.84</v>
      </c>
      <c r="K10942">
        <v>95.78</v>
      </c>
      <c r="L10942">
        <v>17538</v>
      </c>
      <c r="M10942" t="s">
        <v>24</v>
      </c>
      <c r="N10942" t="str">
        <f>"666833      "</f>
        <v xml:space="preserve">666833      </v>
      </c>
      <c r="O10942">
        <v>230502</v>
      </c>
    </row>
    <row r="10943" spans="1:15" x14ac:dyDescent="0.25">
      <c r="A10943" t="s">
        <v>16</v>
      </c>
      <c r="B10943" t="s">
        <v>3221</v>
      </c>
      <c r="C10943">
        <v>11168</v>
      </c>
      <c r="D10943" t="s">
        <v>1892</v>
      </c>
      <c r="E10943" t="s">
        <v>1893</v>
      </c>
      <c r="F10943">
        <v>16.11</v>
      </c>
      <c r="G10943">
        <v>230828</v>
      </c>
      <c r="H10943">
        <v>4600</v>
      </c>
      <c r="I10943" t="s">
        <v>105</v>
      </c>
      <c r="J10943">
        <v>19.98</v>
      </c>
      <c r="K10943">
        <v>3.87</v>
      </c>
      <c r="L10943">
        <v>56568</v>
      </c>
      <c r="M10943" t="s">
        <v>268</v>
      </c>
      <c r="N10943" t="str">
        <f>"207994      "</f>
        <v xml:space="preserve">207994      </v>
      </c>
      <c r="O10943">
        <v>230830</v>
      </c>
    </row>
    <row r="10944" spans="1:15" x14ac:dyDescent="0.25">
      <c r="A10944" t="s">
        <v>16</v>
      </c>
      <c r="B10944" t="s">
        <v>3221</v>
      </c>
      <c r="C10944">
        <v>14114</v>
      </c>
      <c r="D10944" t="s">
        <v>1892</v>
      </c>
      <c r="E10944" t="s">
        <v>1893</v>
      </c>
      <c r="F10944">
        <v>29.57</v>
      </c>
      <c r="G10944">
        <v>231012</v>
      </c>
      <c r="H10944">
        <v>4600</v>
      </c>
      <c r="I10944" t="s">
        <v>105</v>
      </c>
      <c r="J10944">
        <v>36.67</v>
      </c>
      <c r="K10944">
        <v>7.1</v>
      </c>
      <c r="L10944">
        <v>56568</v>
      </c>
      <c r="M10944" t="s">
        <v>268</v>
      </c>
      <c r="N10944" t="str">
        <f>"208059      "</f>
        <v xml:space="preserve">208059      </v>
      </c>
      <c r="O10944">
        <v>231018</v>
      </c>
    </row>
    <row r="10945" spans="1:15" x14ac:dyDescent="0.25">
      <c r="A10945" t="s">
        <v>16</v>
      </c>
      <c r="B10945" t="s">
        <v>3221</v>
      </c>
      <c r="C10945">
        <v>14119</v>
      </c>
      <c r="D10945" t="s">
        <v>1892</v>
      </c>
      <c r="E10945" t="s">
        <v>1893</v>
      </c>
      <c r="F10945">
        <v>30.23</v>
      </c>
      <c r="G10945">
        <v>231012</v>
      </c>
      <c r="H10945">
        <v>4600</v>
      </c>
      <c r="I10945" t="s">
        <v>105</v>
      </c>
      <c r="J10945">
        <v>37.49</v>
      </c>
      <c r="K10945">
        <v>7.26</v>
      </c>
      <c r="L10945">
        <v>56568</v>
      </c>
      <c r="M10945" t="s">
        <v>268</v>
      </c>
      <c r="N10945" t="str">
        <f>"208057      "</f>
        <v xml:space="preserve">208057      </v>
      </c>
      <c r="O10945">
        <v>231019</v>
      </c>
    </row>
    <row r="10946" spans="1:15" x14ac:dyDescent="0.25">
      <c r="A10946" t="s">
        <v>16</v>
      </c>
      <c r="B10946" t="s">
        <v>3221</v>
      </c>
      <c r="C10946">
        <v>14514</v>
      </c>
      <c r="D10946" t="s">
        <v>1892</v>
      </c>
      <c r="E10946" t="s">
        <v>1893</v>
      </c>
      <c r="F10946">
        <v>28.23</v>
      </c>
      <c r="G10946">
        <v>231026</v>
      </c>
      <c r="H10946">
        <v>4600</v>
      </c>
      <c r="I10946" t="s">
        <v>105</v>
      </c>
      <c r="J10946">
        <v>35</v>
      </c>
      <c r="K10946">
        <v>6.77</v>
      </c>
      <c r="L10946">
        <v>56568</v>
      </c>
      <c r="M10946" t="s">
        <v>268</v>
      </c>
      <c r="N10946" t="str">
        <f>"667808      "</f>
        <v xml:space="preserve">667808      </v>
      </c>
      <c r="O10946">
        <v>231030</v>
      </c>
    </row>
    <row r="10947" spans="1:15" x14ac:dyDescent="0.25">
      <c r="A10947" t="s">
        <v>16</v>
      </c>
      <c r="B10947" t="s">
        <v>3221</v>
      </c>
      <c r="C10947">
        <v>8095</v>
      </c>
      <c r="D10947" t="s">
        <v>1892</v>
      </c>
      <c r="E10947" t="s">
        <v>1893</v>
      </c>
      <c r="F10947">
        <v>1141.1300000000001</v>
      </c>
      <c r="G10947">
        <v>230605</v>
      </c>
      <c r="H10947">
        <v>4470</v>
      </c>
      <c r="I10947" t="s">
        <v>83</v>
      </c>
      <c r="J10947">
        <v>1415</v>
      </c>
      <c r="K10947">
        <v>273.87</v>
      </c>
      <c r="L10947">
        <v>56559</v>
      </c>
      <c r="M10947" t="s">
        <v>129</v>
      </c>
      <c r="N10947" t="str">
        <f>"667008      "</f>
        <v xml:space="preserve">667008      </v>
      </c>
      <c r="O10947">
        <v>230607</v>
      </c>
    </row>
    <row r="10948" spans="1:15" x14ac:dyDescent="0.25">
      <c r="A10948" t="s">
        <v>16</v>
      </c>
      <c r="B10948" t="s">
        <v>3221</v>
      </c>
      <c r="C10948">
        <v>11690</v>
      </c>
      <c r="D10948" t="s">
        <v>2509</v>
      </c>
      <c r="E10948" t="s">
        <v>2510</v>
      </c>
      <c r="F10948">
        <v>881.48</v>
      </c>
      <c r="G10948">
        <v>230906</v>
      </c>
      <c r="H10948">
        <v>4600</v>
      </c>
      <c r="I10948" t="s">
        <v>105</v>
      </c>
      <c r="J10948">
        <v>1093.03</v>
      </c>
      <c r="K10948">
        <v>211.55</v>
      </c>
      <c r="L10948">
        <v>17524</v>
      </c>
      <c r="M10948" t="s">
        <v>452</v>
      </c>
      <c r="N10948" t="str">
        <f>"30232487    "</f>
        <v xml:space="preserve">30232487    </v>
      </c>
      <c r="O10948">
        <v>230908</v>
      </c>
    </row>
    <row r="10949" spans="1:15" x14ac:dyDescent="0.25">
      <c r="A10949" t="s">
        <v>16</v>
      </c>
      <c r="B10949" t="s">
        <v>3221</v>
      </c>
      <c r="C10949">
        <v>10587</v>
      </c>
      <c r="D10949" t="s">
        <v>3660</v>
      </c>
      <c r="E10949" t="s">
        <v>3513</v>
      </c>
      <c r="F10949">
        <v>195</v>
      </c>
      <c r="G10949">
        <v>230815</v>
      </c>
      <c r="H10949">
        <v>4441</v>
      </c>
      <c r="I10949" t="s">
        <v>109</v>
      </c>
      <c r="J10949">
        <v>195</v>
      </c>
      <c r="K10949">
        <v>0</v>
      </c>
      <c r="L10949">
        <v>13401</v>
      </c>
      <c r="M10949" t="s">
        <v>80</v>
      </c>
      <c r="N10949" t="str">
        <f>"1440        "</f>
        <v xml:space="preserve">1440        </v>
      </c>
      <c r="O10949">
        <v>230818</v>
      </c>
    </row>
    <row r="10950" spans="1:15" x14ac:dyDescent="0.25">
      <c r="A10950" t="s">
        <v>16</v>
      </c>
      <c r="B10950" t="s">
        <v>3221</v>
      </c>
      <c r="C10950">
        <v>10991</v>
      </c>
      <c r="D10950" t="s">
        <v>3660</v>
      </c>
      <c r="E10950" t="s">
        <v>3513</v>
      </c>
      <c r="F10950">
        <v>60</v>
      </c>
      <c r="G10950">
        <v>230822</v>
      </c>
      <c r="H10950">
        <v>4440</v>
      </c>
      <c r="I10950" t="s">
        <v>250</v>
      </c>
      <c r="J10950">
        <v>60</v>
      </c>
      <c r="K10950">
        <v>0</v>
      </c>
      <c r="L10950">
        <v>13501</v>
      </c>
      <c r="M10950" t="s">
        <v>20</v>
      </c>
      <c r="N10950" t="str">
        <f>"1577        "</f>
        <v xml:space="preserve">1577        </v>
      </c>
      <c r="O10950">
        <v>230828</v>
      </c>
    </row>
    <row r="10951" spans="1:15" x14ac:dyDescent="0.25">
      <c r="A10951" t="s">
        <v>16</v>
      </c>
      <c r="B10951" t="s">
        <v>3221</v>
      </c>
      <c r="C10951">
        <v>13446</v>
      </c>
      <c r="D10951" t="s">
        <v>3204</v>
      </c>
      <c r="E10951" t="s">
        <v>3205</v>
      </c>
      <c r="F10951">
        <v>96.77</v>
      </c>
      <c r="G10951">
        <v>231005</v>
      </c>
      <c r="H10951">
        <v>4470</v>
      </c>
      <c r="I10951" t="s">
        <v>83</v>
      </c>
      <c r="J10951">
        <v>120</v>
      </c>
      <c r="K10951">
        <v>23.23</v>
      </c>
      <c r="L10951">
        <v>56559</v>
      </c>
      <c r="M10951" t="s">
        <v>129</v>
      </c>
      <c r="N10951" t="str">
        <f>"23525674    "</f>
        <v xml:space="preserve">23525674    </v>
      </c>
      <c r="O10951">
        <v>231010</v>
      </c>
    </row>
    <row r="10952" spans="1:15" x14ac:dyDescent="0.25">
      <c r="A10952" t="s">
        <v>16</v>
      </c>
      <c r="B10952" t="s">
        <v>3221</v>
      </c>
      <c r="C10952">
        <v>13968</v>
      </c>
      <c r="D10952" t="s">
        <v>3204</v>
      </c>
      <c r="E10952" t="s">
        <v>3205</v>
      </c>
      <c r="F10952">
        <v>18</v>
      </c>
      <c r="G10952">
        <v>231101</v>
      </c>
      <c r="H10952">
        <v>4470</v>
      </c>
      <c r="I10952" t="s">
        <v>83</v>
      </c>
      <c r="J10952">
        <v>18</v>
      </c>
      <c r="K10952">
        <v>0</v>
      </c>
      <c r="L10952">
        <v>47522</v>
      </c>
      <c r="M10952" t="s">
        <v>410</v>
      </c>
      <c r="N10952" t="str">
        <f>"4800158482  "</f>
        <v xml:space="preserve">4800158482  </v>
      </c>
      <c r="O10952">
        <v>231017</v>
      </c>
    </row>
    <row r="10953" spans="1:15" x14ac:dyDescent="0.25">
      <c r="A10953" t="s">
        <v>16</v>
      </c>
      <c r="B10953" t="s">
        <v>3221</v>
      </c>
      <c r="C10953">
        <v>14470</v>
      </c>
      <c r="D10953" t="s">
        <v>3204</v>
      </c>
      <c r="E10953" t="s">
        <v>3205</v>
      </c>
      <c r="F10953">
        <v>96.77</v>
      </c>
      <c r="G10953">
        <v>231017</v>
      </c>
      <c r="H10953">
        <v>4470</v>
      </c>
      <c r="I10953" t="s">
        <v>83</v>
      </c>
      <c r="J10953">
        <v>120</v>
      </c>
      <c r="K10953">
        <v>23.23</v>
      </c>
      <c r="L10953">
        <v>56559</v>
      </c>
      <c r="M10953" t="s">
        <v>129</v>
      </c>
      <c r="N10953" t="str">
        <f>"23527326    "</f>
        <v xml:space="preserve">23527326    </v>
      </c>
      <c r="O10953">
        <v>231030</v>
      </c>
    </row>
    <row r="10954" spans="1:15" x14ac:dyDescent="0.25">
      <c r="A10954" t="s">
        <v>16</v>
      </c>
      <c r="B10954" t="s">
        <v>3221</v>
      </c>
      <c r="C10954">
        <v>14488</v>
      </c>
      <c r="D10954" t="s">
        <v>3204</v>
      </c>
      <c r="E10954" t="s">
        <v>3205</v>
      </c>
      <c r="F10954">
        <v>120</v>
      </c>
      <c r="G10954">
        <v>231017</v>
      </c>
      <c r="H10954">
        <v>4470</v>
      </c>
      <c r="I10954" t="s">
        <v>83</v>
      </c>
      <c r="J10954">
        <v>120</v>
      </c>
      <c r="K10954">
        <v>0</v>
      </c>
      <c r="L10954">
        <v>56559</v>
      </c>
      <c r="M10954" t="s">
        <v>129</v>
      </c>
      <c r="N10954" t="str">
        <f>"23527325    "</f>
        <v xml:space="preserve">23527325    </v>
      </c>
      <c r="O10954">
        <v>231030</v>
      </c>
    </row>
    <row r="10955" spans="1:15" x14ac:dyDescent="0.25">
      <c r="A10955" t="s">
        <v>16</v>
      </c>
      <c r="B10955" t="s">
        <v>3221</v>
      </c>
      <c r="C10955">
        <v>17436</v>
      </c>
      <c r="D10955" t="s">
        <v>3204</v>
      </c>
      <c r="E10955" t="s">
        <v>3205</v>
      </c>
      <c r="F10955">
        <v>24.27</v>
      </c>
      <c r="G10955">
        <v>231130</v>
      </c>
      <c r="H10955">
        <v>4470</v>
      </c>
      <c r="I10955" t="s">
        <v>83</v>
      </c>
      <c r="J10955">
        <v>24.27</v>
      </c>
      <c r="K10955">
        <v>0</v>
      </c>
      <c r="L10955">
        <v>56559</v>
      </c>
      <c r="M10955" t="s">
        <v>129</v>
      </c>
      <c r="N10955" t="str">
        <f>"23147166    "</f>
        <v xml:space="preserve">23147166    </v>
      </c>
      <c r="O10955">
        <v>231214</v>
      </c>
    </row>
    <row r="10956" spans="1:15" x14ac:dyDescent="0.25">
      <c r="A10956" t="s">
        <v>16</v>
      </c>
      <c r="B10956" t="s">
        <v>3221</v>
      </c>
      <c r="C10956">
        <v>7299</v>
      </c>
      <c r="D10956" t="s">
        <v>3204</v>
      </c>
      <c r="E10956" t="s">
        <v>3205</v>
      </c>
      <c r="F10956">
        <v>1167</v>
      </c>
      <c r="G10956">
        <v>230509</v>
      </c>
      <c r="H10956">
        <v>4440</v>
      </c>
      <c r="I10956" t="s">
        <v>250</v>
      </c>
      <c r="J10956">
        <v>1167</v>
      </c>
      <c r="K10956">
        <v>0</v>
      </c>
      <c r="L10956">
        <v>47522</v>
      </c>
      <c r="M10956" t="s">
        <v>410</v>
      </c>
      <c r="N10956" t="str">
        <f>"23221368    "</f>
        <v xml:space="preserve">23221368    </v>
      </c>
      <c r="O10956">
        <v>230526</v>
      </c>
    </row>
    <row r="10957" spans="1:15" x14ac:dyDescent="0.25">
      <c r="A10957" t="s">
        <v>16</v>
      </c>
      <c r="B10957" t="s">
        <v>3221</v>
      </c>
      <c r="C10957">
        <v>13301</v>
      </c>
      <c r="D10957" t="s">
        <v>3204</v>
      </c>
      <c r="E10957" t="s">
        <v>3205</v>
      </c>
      <c r="F10957">
        <v>120</v>
      </c>
      <c r="G10957">
        <v>230920</v>
      </c>
      <c r="H10957">
        <v>4347</v>
      </c>
      <c r="I10957" t="s">
        <v>193</v>
      </c>
      <c r="J10957">
        <v>120</v>
      </c>
      <c r="K10957">
        <v>0</v>
      </c>
      <c r="L10957">
        <v>17802</v>
      </c>
      <c r="M10957" t="s">
        <v>174</v>
      </c>
      <c r="N10957" t="str">
        <f>"23524104    "</f>
        <v xml:space="preserve">23524104    </v>
      </c>
      <c r="O10957">
        <v>231009</v>
      </c>
    </row>
    <row r="10958" spans="1:15" x14ac:dyDescent="0.25">
      <c r="A10958" t="s">
        <v>16</v>
      </c>
      <c r="B10958" t="s">
        <v>3221</v>
      </c>
      <c r="C10958">
        <v>131</v>
      </c>
      <c r="D10958" t="s">
        <v>3204</v>
      </c>
      <c r="E10958" t="s">
        <v>3205</v>
      </c>
      <c r="F10958">
        <v>535.82000000000005</v>
      </c>
      <c r="G10958">
        <v>230101</v>
      </c>
      <c r="H10958">
        <v>4900</v>
      </c>
      <c r="I10958" t="s">
        <v>3206</v>
      </c>
      <c r="J10958">
        <v>535.82000000000005</v>
      </c>
      <c r="K10958">
        <v>0</v>
      </c>
      <c r="L10958">
        <v>59702</v>
      </c>
      <c r="M10958" t="s">
        <v>328</v>
      </c>
      <c r="N10958" t="str">
        <f>"146605749   "</f>
        <v xml:space="preserve">146605749   </v>
      </c>
      <c r="O10958">
        <v>230112</v>
      </c>
    </row>
    <row r="10959" spans="1:15" x14ac:dyDescent="0.25">
      <c r="A10959" t="s">
        <v>16</v>
      </c>
      <c r="B10959" t="s">
        <v>3221</v>
      </c>
      <c r="C10959">
        <v>154</v>
      </c>
      <c r="D10959" t="s">
        <v>3204</v>
      </c>
      <c r="E10959" t="s">
        <v>3205</v>
      </c>
      <c r="F10959">
        <v>164.25</v>
      </c>
      <c r="G10959">
        <v>230101</v>
      </c>
      <c r="H10959">
        <v>4900</v>
      </c>
      <c r="I10959" t="s">
        <v>3206</v>
      </c>
      <c r="J10959">
        <v>164.25</v>
      </c>
      <c r="K10959">
        <v>0</v>
      </c>
      <c r="L10959">
        <v>56564</v>
      </c>
      <c r="M10959" t="s">
        <v>327</v>
      </c>
      <c r="N10959" t="str">
        <f>"146858624   "</f>
        <v xml:space="preserve">146858624   </v>
      </c>
      <c r="O10959">
        <v>230113</v>
      </c>
    </row>
    <row r="10960" spans="1:15" x14ac:dyDescent="0.25">
      <c r="A10960" t="s">
        <v>16</v>
      </c>
      <c r="B10960" t="s">
        <v>3221</v>
      </c>
      <c r="C10960">
        <v>158</v>
      </c>
      <c r="D10960" t="s">
        <v>3204</v>
      </c>
      <c r="E10960" t="s">
        <v>3205</v>
      </c>
      <c r="F10960">
        <v>421.94</v>
      </c>
      <c r="G10960">
        <v>230102</v>
      </c>
      <c r="H10960">
        <v>4900</v>
      </c>
      <c r="I10960" t="s">
        <v>3206</v>
      </c>
      <c r="J10960">
        <v>421.94</v>
      </c>
      <c r="K10960">
        <v>0</v>
      </c>
      <c r="L10960">
        <v>17808</v>
      </c>
      <c r="M10960" t="s">
        <v>322</v>
      </c>
      <c r="N10960" t="str">
        <f>"147147587   "</f>
        <v xml:space="preserve">147147587   </v>
      </c>
      <c r="O10960">
        <v>230113</v>
      </c>
    </row>
    <row r="10961" spans="1:15" x14ac:dyDescent="0.25">
      <c r="A10961" t="s">
        <v>16</v>
      </c>
      <c r="B10961" t="s">
        <v>3221</v>
      </c>
      <c r="C10961">
        <v>159</v>
      </c>
      <c r="D10961" t="s">
        <v>3204</v>
      </c>
      <c r="E10961" t="s">
        <v>3205</v>
      </c>
      <c r="F10961">
        <v>206.22</v>
      </c>
      <c r="G10961">
        <v>230102</v>
      </c>
      <c r="H10961">
        <v>4900</v>
      </c>
      <c r="I10961" t="s">
        <v>3206</v>
      </c>
      <c r="J10961">
        <v>206.22</v>
      </c>
      <c r="K10961">
        <v>0</v>
      </c>
      <c r="L10961">
        <v>17802</v>
      </c>
      <c r="M10961" t="s">
        <v>174</v>
      </c>
      <c r="N10961" t="str">
        <f>"147143157   "</f>
        <v xml:space="preserve">147143157   </v>
      </c>
      <c r="O10961">
        <v>230113</v>
      </c>
    </row>
    <row r="10962" spans="1:15" x14ac:dyDescent="0.25">
      <c r="A10962" t="s">
        <v>16</v>
      </c>
      <c r="B10962" t="s">
        <v>3221</v>
      </c>
      <c r="C10962">
        <v>160</v>
      </c>
      <c r="D10962" t="s">
        <v>3204</v>
      </c>
      <c r="E10962" t="s">
        <v>3205</v>
      </c>
      <c r="F10962">
        <v>511.42</v>
      </c>
      <c r="G10962">
        <v>230102</v>
      </c>
      <c r="H10962">
        <v>4900</v>
      </c>
      <c r="I10962" t="s">
        <v>3206</v>
      </c>
      <c r="J10962">
        <v>511.42</v>
      </c>
      <c r="K10962">
        <v>0</v>
      </c>
      <c r="L10962">
        <v>17131</v>
      </c>
      <c r="M10962" t="s">
        <v>64</v>
      </c>
      <c r="N10962" t="str">
        <f>"147147060   "</f>
        <v xml:space="preserve">147147060   </v>
      </c>
      <c r="O10962">
        <v>230113</v>
      </c>
    </row>
    <row r="10963" spans="1:15" x14ac:dyDescent="0.25">
      <c r="A10963" t="s">
        <v>16</v>
      </c>
      <c r="B10963" t="s">
        <v>3221</v>
      </c>
      <c r="C10963">
        <v>160</v>
      </c>
      <c r="D10963" t="s">
        <v>3204</v>
      </c>
      <c r="E10963" t="s">
        <v>3205</v>
      </c>
      <c r="F10963">
        <v>511.42</v>
      </c>
      <c r="G10963">
        <v>230102</v>
      </c>
      <c r="H10963">
        <v>4900</v>
      </c>
      <c r="I10963" t="s">
        <v>3206</v>
      </c>
      <c r="J10963">
        <v>511.42</v>
      </c>
      <c r="K10963">
        <v>0</v>
      </c>
      <c r="L10963">
        <v>17711</v>
      </c>
      <c r="M10963" t="s">
        <v>65</v>
      </c>
      <c r="N10963" t="str">
        <f>"147147060   "</f>
        <v xml:space="preserve">147147060   </v>
      </c>
      <c r="O10963">
        <v>230113</v>
      </c>
    </row>
    <row r="10964" spans="1:15" x14ac:dyDescent="0.25">
      <c r="A10964" t="s">
        <v>16</v>
      </c>
      <c r="B10964" t="s">
        <v>3221</v>
      </c>
      <c r="C10964">
        <v>161</v>
      </c>
      <c r="D10964" t="s">
        <v>3204</v>
      </c>
      <c r="E10964" t="s">
        <v>3205</v>
      </c>
      <c r="F10964">
        <v>78.84</v>
      </c>
      <c r="G10964">
        <v>230102</v>
      </c>
      <c r="H10964">
        <v>4900</v>
      </c>
      <c r="I10964" t="s">
        <v>3206</v>
      </c>
      <c r="J10964">
        <v>78.84</v>
      </c>
      <c r="K10964">
        <v>0</v>
      </c>
      <c r="L10964">
        <v>17527</v>
      </c>
      <c r="M10964" t="s">
        <v>422</v>
      </c>
      <c r="N10964" t="str">
        <f>"147148478   "</f>
        <v xml:space="preserve">147148478   </v>
      </c>
      <c r="O10964">
        <v>230113</v>
      </c>
    </row>
    <row r="10965" spans="1:15" x14ac:dyDescent="0.25">
      <c r="A10965" t="s">
        <v>16</v>
      </c>
      <c r="B10965" t="s">
        <v>3221</v>
      </c>
      <c r="C10965">
        <v>162</v>
      </c>
      <c r="D10965" t="s">
        <v>3204</v>
      </c>
      <c r="E10965" t="s">
        <v>3205</v>
      </c>
      <c r="F10965">
        <v>597.33000000000004</v>
      </c>
      <c r="G10965">
        <v>230102</v>
      </c>
      <c r="H10965">
        <v>4900</v>
      </c>
      <c r="I10965" t="s">
        <v>3206</v>
      </c>
      <c r="J10965">
        <v>597.33000000000004</v>
      </c>
      <c r="K10965">
        <v>0</v>
      </c>
      <c r="L10965">
        <v>17131</v>
      </c>
      <c r="M10965" t="s">
        <v>64</v>
      </c>
      <c r="N10965" t="str">
        <f>"147148377   "</f>
        <v xml:space="preserve">147148377   </v>
      </c>
      <c r="O10965">
        <v>230113</v>
      </c>
    </row>
    <row r="10966" spans="1:15" x14ac:dyDescent="0.25">
      <c r="A10966" t="s">
        <v>16</v>
      </c>
      <c r="B10966" t="s">
        <v>3221</v>
      </c>
      <c r="C10966">
        <v>162</v>
      </c>
      <c r="D10966" t="s">
        <v>3204</v>
      </c>
      <c r="E10966" t="s">
        <v>3205</v>
      </c>
      <c r="F10966">
        <v>597.32000000000005</v>
      </c>
      <c r="G10966">
        <v>230102</v>
      </c>
      <c r="H10966">
        <v>4900</v>
      </c>
      <c r="I10966" t="s">
        <v>3206</v>
      </c>
      <c r="J10966">
        <v>597.32000000000005</v>
      </c>
      <c r="K10966">
        <v>0</v>
      </c>
      <c r="L10966">
        <v>17711</v>
      </c>
      <c r="M10966" t="s">
        <v>65</v>
      </c>
      <c r="N10966" t="str">
        <f>"147148377   "</f>
        <v xml:space="preserve">147148377   </v>
      </c>
      <c r="O10966">
        <v>230113</v>
      </c>
    </row>
    <row r="10967" spans="1:15" x14ac:dyDescent="0.25">
      <c r="A10967" t="s">
        <v>16</v>
      </c>
      <c r="B10967" t="s">
        <v>3221</v>
      </c>
      <c r="C10967">
        <v>225</v>
      </c>
      <c r="D10967" t="s">
        <v>3204</v>
      </c>
      <c r="E10967" t="s">
        <v>3205</v>
      </c>
      <c r="F10967">
        <v>660.65</v>
      </c>
      <c r="G10967">
        <v>230102</v>
      </c>
      <c r="H10967">
        <v>4900</v>
      </c>
      <c r="I10967" t="s">
        <v>3206</v>
      </c>
      <c r="J10967">
        <v>660.65</v>
      </c>
      <c r="K10967">
        <v>0</v>
      </c>
      <c r="L10967">
        <v>69501</v>
      </c>
      <c r="M10967" t="s">
        <v>185</v>
      </c>
      <c r="N10967" t="str">
        <f>"147146834   "</f>
        <v xml:space="preserve">147146834   </v>
      </c>
      <c r="O10967">
        <v>230116</v>
      </c>
    </row>
    <row r="10968" spans="1:15" x14ac:dyDescent="0.25">
      <c r="A10968" t="s">
        <v>16</v>
      </c>
      <c r="B10968" t="s">
        <v>3221</v>
      </c>
      <c r="C10968">
        <v>288</v>
      </c>
      <c r="D10968" t="s">
        <v>3204</v>
      </c>
      <c r="E10968" t="s">
        <v>3205</v>
      </c>
      <c r="F10968">
        <v>1334.8</v>
      </c>
      <c r="G10968">
        <v>230110</v>
      </c>
      <c r="H10968">
        <v>4900</v>
      </c>
      <c r="I10968" t="s">
        <v>3206</v>
      </c>
      <c r="J10968">
        <v>1334.8</v>
      </c>
      <c r="K10968">
        <v>0</v>
      </c>
      <c r="L10968">
        <v>46556</v>
      </c>
      <c r="M10968" t="s">
        <v>125</v>
      </c>
      <c r="N10968" t="str">
        <f>"147314420   "</f>
        <v xml:space="preserve">147314420   </v>
      </c>
      <c r="O10968">
        <v>230117</v>
      </c>
    </row>
    <row r="10969" spans="1:15" x14ac:dyDescent="0.25">
      <c r="A10969" t="s">
        <v>16</v>
      </c>
      <c r="B10969" t="s">
        <v>3221</v>
      </c>
      <c r="C10969">
        <v>1628</v>
      </c>
      <c r="D10969" t="s">
        <v>3204</v>
      </c>
      <c r="E10969" t="s">
        <v>3205</v>
      </c>
      <c r="F10969">
        <v>250.39</v>
      </c>
      <c r="G10969">
        <v>230205</v>
      </c>
      <c r="H10969">
        <v>4900</v>
      </c>
      <c r="I10969" t="s">
        <v>3206</v>
      </c>
      <c r="J10969">
        <v>250.39</v>
      </c>
      <c r="K10969">
        <v>0</v>
      </c>
      <c r="L10969">
        <v>59702</v>
      </c>
      <c r="M10969" t="s">
        <v>328</v>
      </c>
      <c r="N10969" t="str">
        <f>"147887523   "</f>
        <v xml:space="preserve">147887523   </v>
      </c>
      <c r="O10969">
        <v>230210</v>
      </c>
    </row>
    <row r="10970" spans="1:15" x14ac:dyDescent="0.25">
      <c r="A10970" t="s">
        <v>16</v>
      </c>
      <c r="B10970" t="s">
        <v>3221</v>
      </c>
      <c r="C10970">
        <v>2976</v>
      </c>
      <c r="D10970" t="s">
        <v>3204</v>
      </c>
      <c r="E10970" t="s">
        <v>3205</v>
      </c>
      <c r="F10970">
        <v>243.45</v>
      </c>
      <c r="G10970">
        <v>230217</v>
      </c>
      <c r="H10970">
        <v>4900</v>
      </c>
      <c r="I10970" t="s">
        <v>3206</v>
      </c>
      <c r="J10970">
        <v>243.45</v>
      </c>
      <c r="K10970">
        <v>0</v>
      </c>
      <c r="L10970">
        <v>49701</v>
      </c>
      <c r="M10970" t="s">
        <v>166</v>
      </c>
      <c r="N10970" t="str">
        <f>"148138477   "</f>
        <v xml:space="preserve">148138477   </v>
      </c>
      <c r="O10970">
        <v>230308</v>
      </c>
    </row>
    <row r="10971" spans="1:15" x14ac:dyDescent="0.25">
      <c r="A10971" t="s">
        <v>16</v>
      </c>
      <c r="B10971" t="s">
        <v>3221</v>
      </c>
      <c r="C10971">
        <v>3751</v>
      </c>
      <c r="D10971" t="s">
        <v>3204</v>
      </c>
      <c r="E10971" t="s">
        <v>3205</v>
      </c>
      <c r="F10971">
        <v>485.86</v>
      </c>
      <c r="G10971">
        <v>230311</v>
      </c>
      <c r="H10971">
        <v>4900</v>
      </c>
      <c r="I10971" t="s">
        <v>3206</v>
      </c>
      <c r="J10971">
        <v>485.86</v>
      </c>
      <c r="K10971">
        <v>0</v>
      </c>
      <c r="L10971">
        <v>49501</v>
      </c>
      <c r="M10971" t="s">
        <v>177</v>
      </c>
      <c r="N10971" t="str">
        <f>"148614732   "</f>
        <v xml:space="preserve">148614732   </v>
      </c>
      <c r="O10971">
        <v>230321</v>
      </c>
    </row>
    <row r="10972" spans="1:15" x14ac:dyDescent="0.25">
      <c r="A10972" t="s">
        <v>16</v>
      </c>
      <c r="B10972" t="s">
        <v>3221</v>
      </c>
      <c r="C10972">
        <v>3752</v>
      </c>
      <c r="D10972" t="s">
        <v>3204</v>
      </c>
      <c r="E10972" t="s">
        <v>3205</v>
      </c>
      <c r="F10972">
        <v>883.89</v>
      </c>
      <c r="G10972">
        <v>230315</v>
      </c>
      <c r="H10972">
        <v>4900</v>
      </c>
      <c r="I10972" t="s">
        <v>3206</v>
      </c>
      <c r="J10972">
        <v>883.89</v>
      </c>
      <c r="K10972">
        <v>0</v>
      </c>
      <c r="L10972">
        <v>46554</v>
      </c>
      <c r="M10972" t="s">
        <v>117</v>
      </c>
      <c r="N10972" t="str">
        <f>"148698260   "</f>
        <v xml:space="preserve">148698260   </v>
      </c>
      <c r="O10972">
        <v>230321</v>
      </c>
    </row>
    <row r="10973" spans="1:15" x14ac:dyDescent="0.25">
      <c r="A10973" t="s">
        <v>16</v>
      </c>
      <c r="B10973" t="s">
        <v>3221</v>
      </c>
      <c r="C10973">
        <v>4641</v>
      </c>
      <c r="D10973" t="s">
        <v>3204</v>
      </c>
      <c r="E10973" t="s">
        <v>3205</v>
      </c>
      <c r="F10973">
        <v>90.86</v>
      </c>
      <c r="G10973">
        <v>230324</v>
      </c>
      <c r="H10973">
        <v>4900</v>
      </c>
      <c r="I10973" t="s">
        <v>3206</v>
      </c>
      <c r="J10973">
        <v>90.86</v>
      </c>
      <c r="K10973">
        <v>0</v>
      </c>
      <c r="L10973">
        <v>11001</v>
      </c>
      <c r="M10973" t="s">
        <v>326</v>
      </c>
      <c r="N10973" t="str">
        <f>"148883680   "</f>
        <v xml:space="preserve">148883680   </v>
      </c>
      <c r="O10973">
        <v>230411</v>
      </c>
    </row>
    <row r="10974" spans="1:15" x14ac:dyDescent="0.25">
      <c r="A10974" t="s">
        <v>16</v>
      </c>
      <c r="B10974" t="s">
        <v>3221</v>
      </c>
      <c r="C10974">
        <v>4675</v>
      </c>
      <c r="D10974" t="s">
        <v>3204</v>
      </c>
      <c r="E10974" t="s">
        <v>3205</v>
      </c>
      <c r="F10974">
        <v>205.2</v>
      </c>
      <c r="G10974">
        <v>230328</v>
      </c>
      <c r="H10974">
        <v>4900</v>
      </c>
      <c r="I10974" t="s">
        <v>3206</v>
      </c>
      <c r="J10974">
        <v>205.2</v>
      </c>
      <c r="K10974">
        <v>0</v>
      </c>
      <c r="L10974">
        <v>56559</v>
      </c>
      <c r="M10974" t="s">
        <v>129</v>
      </c>
      <c r="N10974" t="str">
        <f>"148961590   "</f>
        <v xml:space="preserve">148961590   </v>
      </c>
      <c r="O10974">
        <v>230411</v>
      </c>
    </row>
    <row r="10975" spans="1:15" x14ac:dyDescent="0.25">
      <c r="A10975" t="s">
        <v>16</v>
      </c>
      <c r="B10975" t="s">
        <v>3221</v>
      </c>
      <c r="C10975">
        <v>5360</v>
      </c>
      <c r="D10975" t="s">
        <v>3204</v>
      </c>
      <c r="E10975" t="s">
        <v>3205</v>
      </c>
      <c r="F10975">
        <v>100.49</v>
      </c>
      <c r="G10975">
        <v>230419</v>
      </c>
      <c r="H10975">
        <v>4900</v>
      </c>
      <c r="I10975" t="s">
        <v>3206</v>
      </c>
      <c r="J10975">
        <v>100.49</v>
      </c>
      <c r="K10975">
        <v>0</v>
      </c>
      <c r="L10975">
        <v>18972</v>
      </c>
      <c r="M10975" t="s">
        <v>163</v>
      </c>
      <c r="N10975" t="str">
        <f>"149465839   "</f>
        <v xml:space="preserve">149465839   </v>
      </c>
      <c r="O10975">
        <v>230421</v>
      </c>
    </row>
    <row r="10976" spans="1:15" x14ac:dyDescent="0.25">
      <c r="A10976" t="s">
        <v>16</v>
      </c>
      <c r="B10976" t="s">
        <v>3221</v>
      </c>
      <c r="C10976">
        <v>5479</v>
      </c>
      <c r="D10976" t="s">
        <v>3204</v>
      </c>
      <c r="E10976" t="s">
        <v>3205</v>
      </c>
      <c r="F10976">
        <v>555.1</v>
      </c>
      <c r="G10976">
        <v>230423</v>
      </c>
      <c r="H10976">
        <v>4900</v>
      </c>
      <c r="I10976" t="s">
        <v>3206</v>
      </c>
      <c r="J10976">
        <v>555.1</v>
      </c>
      <c r="K10976">
        <v>0</v>
      </c>
      <c r="L10976">
        <v>17538</v>
      </c>
      <c r="M10976" t="s">
        <v>24</v>
      </c>
      <c r="N10976" t="str">
        <f>"149564416   "</f>
        <v xml:space="preserve">149564416   </v>
      </c>
      <c r="O10976">
        <v>230425</v>
      </c>
    </row>
    <row r="10977" spans="1:15" x14ac:dyDescent="0.25">
      <c r="A10977" t="s">
        <v>16</v>
      </c>
      <c r="B10977" t="s">
        <v>3221</v>
      </c>
      <c r="C10977">
        <v>5864</v>
      </c>
      <c r="D10977" t="s">
        <v>3204</v>
      </c>
      <c r="E10977" t="s">
        <v>3205</v>
      </c>
      <c r="F10977">
        <v>678.58</v>
      </c>
      <c r="G10977">
        <v>230417</v>
      </c>
      <c r="H10977">
        <v>4900</v>
      </c>
      <c r="I10977" t="s">
        <v>3206</v>
      </c>
      <c r="J10977">
        <v>678.58</v>
      </c>
      <c r="K10977">
        <v>0</v>
      </c>
      <c r="L10977">
        <v>56562</v>
      </c>
      <c r="M10977" t="s">
        <v>126</v>
      </c>
      <c r="N10977" t="str">
        <f>"149428796   "</f>
        <v xml:space="preserve">149428796   </v>
      </c>
      <c r="O10977">
        <v>230503</v>
      </c>
    </row>
    <row r="10978" spans="1:15" x14ac:dyDescent="0.25">
      <c r="A10978" t="s">
        <v>16</v>
      </c>
      <c r="B10978" t="s">
        <v>3221</v>
      </c>
      <c r="C10978">
        <v>7292</v>
      </c>
      <c r="D10978" t="s">
        <v>3204</v>
      </c>
      <c r="E10978" t="s">
        <v>3205</v>
      </c>
      <c r="F10978">
        <v>284.38</v>
      </c>
      <c r="G10978">
        <v>230521</v>
      </c>
      <c r="H10978">
        <v>4900</v>
      </c>
      <c r="I10978" t="s">
        <v>3206</v>
      </c>
      <c r="J10978">
        <v>284.38</v>
      </c>
      <c r="K10978">
        <v>0</v>
      </c>
      <c r="L10978">
        <v>17802</v>
      </c>
      <c r="M10978" t="s">
        <v>174</v>
      </c>
      <c r="N10978" t="str">
        <f>"150278015   "</f>
        <v xml:space="preserve">150278015   </v>
      </c>
      <c r="O10978">
        <v>230526</v>
      </c>
    </row>
    <row r="10979" spans="1:15" x14ac:dyDescent="0.25">
      <c r="A10979" t="s">
        <v>16</v>
      </c>
      <c r="B10979" t="s">
        <v>3221</v>
      </c>
      <c r="C10979">
        <v>8183</v>
      </c>
      <c r="D10979" t="s">
        <v>3204</v>
      </c>
      <c r="E10979" t="s">
        <v>3205</v>
      </c>
      <c r="F10979">
        <v>584.82000000000005</v>
      </c>
      <c r="G10979">
        <v>230518</v>
      </c>
      <c r="H10979">
        <v>4900</v>
      </c>
      <c r="I10979" t="s">
        <v>3206</v>
      </c>
      <c r="J10979">
        <v>584.82000000000005</v>
      </c>
      <c r="K10979">
        <v>0</v>
      </c>
      <c r="L10979">
        <v>59702</v>
      </c>
      <c r="M10979" t="s">
        <v>328</v>
      </c>
      <c r="N10979" t="str">
        <f>"150205840   "</f>
        <v xml:space="preserve">150205840   </v>
      </c>
      <c r="O10979">
        <v>230607</v>
      </c>
    </row>
    <row r="10980" spans="1:15" x14ac:dyDescent="0.25">
      <c r="A10980" t="s">
        <v>16</v>
      </c>
      <c r="B10980" t="s">
        <v>3221</v>
      </c>
      <c r="C10980">
        <v>8469</v>
      </c>
      <c r="D10980" t="s">
        <v>3204</v>
      </c>
      <c r="E10980" t="s">
        <v>3205</v>
      </c>
      <c r="F10980">
        <v>178.66</v>
      </c>
      <c r="G10980">
        <v>230531</v>
      </c>
      <c r="H10980">
        <v>4900</v>
      </c>
      <c r="I10980" t="s">
        <v>3206</v>
      </c>
      <c r="J10980">
        <v>178.66</v>
      </c>
      <c r="K10980">
        <v>0</v>
      </c>
      <c r="L10980">
        <v>17131</v>
      </c>
      <c r="M10980" t="s">
        <v>64</v>
      </c>
      <c r="N10980" t="str">
        <f>"150521726   "</f>
        <v xml:space="preserve">150521726   </v>
      </c>
      <c r="O10980">
        <v>230609</v>
      </c>
    </row>
    <row r="10981" spans="1:15" x14ac:dyDescent="0.25">
      <c r="A10981" t="s">
        <v>16</v>
      </c>
      <c r="B10981" t="s">
        <v>3221</v>
      </c>
      <c r="C10981">
        <v>8469</v>
      </c>
      <c r="D10981" t="s">
        <v>3204</v>
      </c>
      <c r="E10981" t="s">
        <v>3205</v>
      </c>
      <c r="F10981">
        <v>178.67</v>
      </c>
      <c r="G10981">
        <v>230531</v>
      </c>
      <c r="H10981">
        <v>4900</v>
      </c>
      <c r="I10981" t="s">
        <v>3206</v>
      </c>
      <c r="J10981">
        <v>178.67</v>
      </c>
      <c r="K10981">
        <v>0</v>
      </c>
      <c r="L10981">
        <v>17711</v>
      </c>
      <c r="M10981" t="s">
        <v>65</v>
      </c>
      <c r="N10981" t="str">
        <f>"150521726   "</f>
        <v xml:space="preserve">150521726   </v>
      </c>
      <c r="O10981">
        <v>230609</v>
      </c>
    </row>
    <row r="10982" spans="1:15" x14ac:dyDescent="0.25">
      <c r="A10982" t="s">
        <v>16</v>
      </c>
      <c r="B10982" t="s">
        <v>3221</v>
      </c>
      <c r="C10982">
        <v>8469</v>
      </c>
      <c r="D10982" t="s">
        <v>3204</v>
      </c>
      <c r="E10982" t="s">
        <v>3205</v>
      </c>
      <c r="F10982">
        <v>-191.52</v>
      </c>
      <c r="G10982">
        <v>230531</v>
      </c>
      <c r="H10982">
        <v>4900</v>
      </c>
      <c r="I10982" t="s">
        <v>3206</v>
      </c>
      <c r="J10982">
        <v>-191.52</v>
      </c>
      <c r="K10982">
        <v>0</v>
      </c>
      <c r="L10982">
        <v>49701</v>
      </c>
      <c r="M10982" t="s">
        <v>166</v>
      </c>
      <c r="N10982" t="str">
        <f>"150521726   "</f>
        <v xml:space="preserve">150521726   </v>
      </c>
      <c r="O10982">
        <v>230609</v>
      </c>
    </row>
    <row r="10983" spans="1:15" x14ac:dyDescent="0.25">
      <c r="A10983" t="s">
        <v>16</v>
      </c>
      <c r="B10983" t="s">
        <v>3221</v>
      </c>
      <c r="C10983">
        <v>8809</v>
      </c>
      <c r="D10983" t="s">
        <v>3204</v>
      </c>
      <c r="E10983" t="s">
        <v>3205</v>
      </c>
      <c r="F10983">
        <v>377.89</v>
      </c>
      <c r="G10983">
        <v>230603</v>
      </c>
      <c r="H10983">
        <v>4900</v>
      </c>
      <c r="I10983" t="s">
        <v>3206</v>
      </c>
      <c r="J10983">
        <v>377.89</v>
      </c>
      <c r="K10983">
        <v>0</v>
      </c>
      <c r="L10983">
        <v>49701</v>
      </c>
      <c r="M10983" t="s">
        <v>166</v>
      </c>
      <c r="N10983" t="str">
        <f>"150597172   "</f>
        <v xml:space="preserve">150597172   </v>
      </c>
      <c r="O10983">
        <v>230615</v>
      </c>
    </row>
    <row r="10984" spans="1:15" x14ac:dyDescent="0.25">
      <c r="A10984" t="s">
        <v>16</v>
      </c>
      <c r="B10984" t="s">
        <v>3221</v>
      </c>
      <c r="C10984">
        <v>9189</v>
      </c>
      <c r="D10984" t="s">
        <v>3204</v>
      </c>
      <c r="E10984" t="s">
        <v>3205</v>
      </c>
      <c r="F10984">
        <v>60.95</v>
      </c>
      <c r="G10984">
        <v>230619</v>
      </c>
      <c r="H10984">
        <v>4900</v>
      </c>
      <c r="I10984" t="s">
        <v>3206</v>
      </c>
      <c r="J10984">
        <v>60.95</v>
      </c>
      <c r="K10984">
        <v>0</v>
      </c>
      <c r="L10984">
        <v>59702</v>
      </c>
      <c r="M10984" t="s">
        <v>328</v>
      </c>
      <c r="N10984" t="str">
        <f>"150977817   "</f>
        <v xml:space="preserve">150977817   </v>
      </c>
      <c r="O10984">
        <v>230629</v>
      </c>
    </row>
    <row r="10985" spans="1:15" x14ac:dyDescent="0.25">
      <c r="A10985" t="s">
        <v>16</v>
      </c>
      <c r="B10985" t="s">
        <v>3221</v>
      </c>
      <c r="C10985">
        <v>9509</v>
      </c>
      <c r="D10985" t="s">
        <v>3204</v>
      </c>
      <c r="E10985" t="s">
        <v>3205</v>
      </c>
      <c r="F10985">
        <v>310.49</v>
      </c>
      <c r="G10985">
        <v>230611</v>
      </c>
      <c r="H10985">
        <v>4900</v>
      </c>
      <c r="I10985" t="s">
        <v>3206</v>
      </c>
      <c r="J10985">
        <v>310.49</v>
      </c>
      <c r="K10985">
        <v>0</v>
      </c>
      <c r="L10985">
        <v>59501</v>
      </c>
      <c r="M10985" t="s">
        <v>69</v>
      </c>
      <c r="N10985" t="str">
        <f>"150789997   "</f>
        <v xml:space="preserve">150789997   </v>
      </c>
      <c r="O10985">
        <v>230713</v>
      </c>
    </row>
    <row r="10986" spans="1:15" x14ac:dyDescent="0.25">
      <c r="A10986" t="s">
        <v>16</v>
      </c>
      <c r="B10986" t="s">
        <v>3221</v>
      </c>
      <c r="C10986">
        <v>9509</v>
      </c>
      <c r="D10986" t="s">
        <v>3204</v>
      </c>
      <c r="E10986" t="s">
        <v>3205</v>
      </c>
      <c r="F10986">
        <v>-377.02</v>
      </c>
      <c r="G10986">
        <v>230611</v>
      </c>
      <c r="H10986">
        <v>4900</v>
      </c>
      <c r="I10986" t="s">
        <v>3206</v>
      </c>
      <c r="J10986">
        <v>-377.02</v>
      </c>
      <c r="K10986">
        <v>0</v>
      </c>
      <c r="L10986">
        <v>67522</v>
      </c>
      <c r="M10986" t="s">
        <v>397</v>
      </c>
      <c r="N10986" t="str">
        <f>"150789997   "</f>
        <v xml:space="preserve">150789997   </v>
      </c>
      <c r="O10986">
        <v>230713</v>
      </c>
    </row>
    <row r="10987" spans="1:15" x14ac:dyDescent="0.25">
      <c r="A10987" t="s">
        <v>16</v>
      </c>
      <c r="B10987" t="s">
        <v>3221</v>
      </c>
      <c r="C10987">
        <v>9625</v>
      </c>
      <c r="D10987" t="s">
        <v>3204</v>
      </c>
      <c r="E10987" t="s">
        <v>3205</v>
      </c>
      <c r="F10987">
        <v>55.11</v>
      </c>
      <c r="G10987">
        <v>230629</v>
      </c>
      <c r="H10987">
        <v>4900</v>
      </c>
      <c r="I10987" t="s">
        <v>3206</v>
      </c>
      <c r="J10987">
        <v>55.11</v>
      </c>
      <c r="K10987">
        <v>0</v>
      </c>
      <c r="L10987">
        <v>13501</v>
      </c>
      <c r="M10987" t="s">
        <v>20</v>
      </c>
      <c r="N10987" t="str">
        <f>"151195431   "</f>
        <v xml:space="preserve">151195431   </v>
      </c>
      <c r="O10987">
        <v>230717</v>
      </c>
    </row>
    <row r="10988" spans="1:15" x14ac:dyDescent="0.25">
      <c r="A10988" t="s">
        <v>16</v>
      </c>
      <c r="B10988" t="s">
        <v>3221</v>
      </c>
      <c r="C10988">
        <v>9625</v>
      </c>
      <c r="D10988" t="s">
        <v>3204</v>
      </c>
      <c r="E10988" t="s">
        <v>3205</v>
      </c>
      <c r="F10988">
        <v>73.11</v>
      </c>
      <c r="G10988">
        <v>230629</v>
      </c>
      <c r="H10988">
        <v>4900</v>
      </c>
      <c r="I10988" t="s">
        <v>3206</v>
      </c>
      <c r="J10988">
        <v>73.11</v>
      </c>
      <c r="K10988">
        <v>0</v>
      </c>
      <c r="L10988">
        <v>16121</v>
      </c>
      <c r="M10988" t="s">
        <v>21</v>
      </c>
      <c r="N10988" t="str">
        <f>"151195431   "</f>
        <v xml:space="preserve">151195431   </v>
      </c>
      <c r="O10988">
        <v>230717</v>
      </c>
    </row>
    <row r="10989" spans="1:15" x14ac:dyDescent="0.25">
      <c r="A10989" t="s">
        <v>16</v>
      </c>
      <c r="B10989" t="s">
        <v>3221</v>
      </c>
      <c r="C10989">
        <v>9625</v>
      </c>
      <c r="D10989" t="s">
        <v>3204</v>
      </c>
      <c r="E10989" t="s">
        <v>3205</v>
      </c>
      <c r="F10989">
        <v>73.11</v>
      </c>
      <c r="G10989">
        <v>230629</v>
      </c>
      <c r="H10989">
        <v>4900</v>
      </c>
      <c r="I10989" t="s">
        <v>3206</v>
      </c>
      <c r="J10989">
        <v>73.11</v>
      </c>
      <c r="K10989">
        <v>0</v>
      </c>
      <c r="L10989">
        <v>16322</v>
      </c>
      <c r="M10989" t="s">
        <v>22</v>
      </c>
      <c r="N10989" t="str">
        <f>"151195431   "</f>
        <v xml:space="preserve">151195431   </v>
      </c>
      <c r="O10989">
        <v>230717</v>
      </c>
    </row>
    <row r="10990" spans="1:15" x14ac:dyDescent="0.25">
      <c r="A10990" t="s">
        <v>16</v>
      </c>
      <c r="B10990" t="s">
        <v>3221</v>
      </c>
      <c r="C10990">
        <v>9625</v>
      </c>
      <c r="D10990" t="s">
        <v>3204</v>
      </c>
      <c r="E10990" t="s">
        <v>3205</v>
      </c>
      <c r="F10990">
        <v>73.11</v>
      </c>
      <c r="G10990">
        <v>230629</v>
      </c>
      <c r="H10990">
        <v>4900</v>
      </c>
      <c r="I10990" t="s">
        <v>3206</v>
      </c>
      <c r="J10990">
        <v>73.11</v>
      </c>
      <c r="K10990">
        <v>0</v>
      </c>
      <c r="L10990">
        <v>16820</v>
      </c>
      <c r="M10990" t="s">
        <v>23</v>
      </c>
      <c r="N10990" t="str">
        <f>"151195431   "</f>
        <v xml:space="preserve">151195431   </v>
      </c>
      <c r="O10990">
        <v>230717</v>
      </c>
    </row>
    <row r="10991" spans="1:15" x14ac:dyDescent="0.25">
      <c r="A10991" t="s">
        <v>16</v>
      </c>
      <c r="B10991" t="s">
        <v>3221</v>
      </c>
      <c r="C10991">
        <v>9625</v>
      </c>
      <c r="D10991" t="s">
        <v>3204</v>
      </c>
      <c r="E10991" t="s">
        <v>3205</v>
      </c>
      <c r="F10991">
        <v>212.26</v>
      </c>
      <c r="G10991">
        <v>230629</v>
      </c>
      <c r="H10991">
        <v>4900</v>
      </c>
      <c r="I10991" t="s">
        <v>3206</v>
      </c>
      <c r="J10991">
        <v>212.26</v>
      </c>
      <c r="K10991">
        <v>0</v>
      </c>
      <c r="L10991">
        <v>17538</v>
      </c>
      <c r="M10991" t="s">
        <v>24</v>
      </c>
      <c r="N10991" t="str">
        <f>"151195431   "</f>
        <v xml:space="preserve">151195431   </v>
      </c>
      <c r="O10991">
        <v>230717</v>
      </c>
    </row>
    <row r="10992" spans="1:15" x14ac:dyDescent="0.25">
      <c r="A10992" t="s">
        <v>16</v>
      </c>
      <c r="B10992" t="s">
        <v>3221</v>
      </c>
      <c r="C10992">
        <v>9721</v>
      </c>
      <c r="D10992" t="s">
        <v>3204</v>
      </c>
      <c r="E10992" t="s">
        <v>3205</v>
      </c>
      <c r="F10992">
        <v>428.22</v>
      </c>
      <c r="G10992">
        <v>230703</v>
      </c>
      <c r="H10992">
        <v>4900</v>
      </c>
      <c r="I10992" t="s">
        <v>3206</v>
      </c>
      <c r="J10992">
        <v>428.22</v>
      </c>
      <c r="K10992">
        <v>0</v>
      </c>
      <c r="L10992">
        <v>69501</v>
      </c>
      <c r="M10992" t="s">
        <v>185</v>
      </c>
      <c r="N10992" t="str">
        <f>"151532738   "</f>
        <v xml:space="preserve">151532738   </v>
      </c>
      <c r="O10992">
        <v>230720</v>
      </c>
    </row>
    <row r="10993" spans="1:15" x14ac:dyDescent="0.25">
      <c r="A10993" t="s">
        <v>16</v>
      </c>
      <c r="B10993" t="s">
        <v>3221</v>
      </c>
      <c r="C10993">
        <v>10370</v>
      </c>
      <c r="D10993" t="s">
        <v>3204</v>
      </c>
      <c r="E10993" t="s">
        <v>3205</v>
      </c>
      <c r="F10993">
        <v>70.3</v>
      </c>
      <c r="G10993">
        <v>230802</v>
      </c>
      <c r="H10993">
        <v>4900</v>
      </c>
      <c r="I10993" t="s">
        <v>3206</v>
      </c>
      <c r="J10993">
        <v>70.3</v>
      </c>
      <c r="K10993">
        <v>0</v>
      </c>
      <c r="L10993">
        <v>17802</v>
      </c>
      <c r="M10993" t="s">
        <v>174</v>
      </c>
      <c r="N10993" t="str">
        <f>"152034415   "</f>
        <v xml:space="preserve">152034415   </v>
      </c>
      <c r="O10993">
        <v>230814</v>
      </c>
    </row>
    <row r="10994" spans="1:15" x14ac:dyDescent="0.25">
      <c r="A10994" t="s">
        <v>16</v>
      </c>
      <c r="B10994" t="s">
        <v>3221</v>
      </c>
      <c r="C10994">
        <v>10574</v>
      </c>
      <c r="D10994" t="s">
        <v>3204</v>
      </c>
      <c r="E10994" t="s">
        <v>3205</v>
      </c>
      <c r="F10994">
        <v>262.14999999999998</v>
      </c>
      <c r="G10994">
        <v>230810</v>
      </c>
      <c r="H10994">
        <v>4900</v>
      </c>
      <c r="I10994" t="s">
        <v>3206</v>
      </c>
      <c r="J10994">
        <v>262.14999999999998</v>
      </c>
      <c r="K10994">
        <v>0</v>
      </c>
      <c r="L10994">
        <v>67522</v>
      </c>
      <c r="M10994" t="s">
        <v>397</v>
      </c>
      <c r="N10994" t="str">
        <f>"152225601   "</f>
        <v xml:space="preserve">152225601   </v>
      </c>
      <c r="O10994">
        <v>230818</v>
      </c>
    </row>
    <row r="10995" spans="1:15" x14ac:dyDescent="0.25">
      <c r="A10995" t="s">
        <v>16</v>
      </c>
      <c r="B10995" t="s">
        <v>3221</v>
      </c>
      <c r="C10995">
        <v>10575</v>
      </c>
      <c r="D10995" t="s">
        <v>3204</v>
      </c>
      <c r="E10995" t="s">
        <v>3205</v>
      </c>
      <c r="F10995">
        <v>167.55</v>
      </c>
      <c r="G10995">
        <v>230810</v>
      </c>
      <c r="H10995">
        <v>4900</v>
      </c>
      <c r="I10995" t="s">
        <v>3206</v>
      </c>
      <c r="J10995">
        <v>167.55</v>
      </c>
      <c r="K10995">
        <v>0</v>
      </c>
      <c r="L10995">
        <v>66756</v>
      </c>
      <c r="M10995" t="s">
        <v>209</v>
      </c>
      <c r="N10995" t="str">
        <f>"152225576   "</f>
        <v xml:space="preserve">152225576   </v>
      </c>
      <c r="O10995">
        <v>230818</v>
      </c>
    </row>
    <row r="10996" spans="1:15" x14ac:dyDescent="0.25">
      <c r="A10996" t="s">
        <v>16</v>
      </c>
      <c r="B10996" t="s">
        <v>3221</v>
      </c>
      <c r="C10996">
        <v>10576</v>
      </c>
      <c r="D10996" t="s">
        <v>3204</v>
      </c>
      <c r="E10996" t="s">
        <v>3205</v>
      </c>
      <c r="F10996">
        <v>358.82</v>
      </c>
      <c r="G10996">
        <v>230810</v>
      </c>
      <c r="H10996">
        <v>4900</v>
      </c>
      <c r="I10996" t="s">
        <v>3206</v>
      </c>
      <c r="J10996">
        <v>358.82</v>
      </c>
      <c r="K10996">
        <v>0</v>
      </c>
      <c r="L10996">
        <v>67522</v>
      </c>
      <c r="M10996" t="s">
        <v>397</v>
      </c>
      <c r="N10996" t="str">
        <f>"152225593   "</f>
        <v xml:space="preserve">152225593   </v>
      </c>
      <c r="O10996">
        <v>230818</v>
      </c>
    </row>
    <row r="10997" spans="1:15" x14ac:dyDescent="0.25">
      <c r="A10997" t="s">
        <v>16</v>
      </c>
      <c r="B10997" t="s">
        <v>3221</v>
      </c>
      <c r="C10997">
        <v>10577</v>
      </c>
      <c r="D10997" t="s">
        <v>3204</v>
      </c>
      <c r="E10997" t="s">
        <v>3205</v>
      </c>
      <c r="F10997">
        <v>368.67</v>
      </c>
      <c r="G10997">
        <v>230810</v>
      </c>
      <c r="H10997">
        <v>4900</v>
      </c>
      <c r="I10997" t="s">
        <v>3206</v>
      </c>
      <c r="J10997">
        <v>368.67</v>
      </c>
      <c r="K10997">
        <v>0</v>
      </c>
      <c r="L10997">
        <v>69111</v>
      </c>
      <c r="M10997" t="s">
        <v>471</v>
      </c>
      <c r="N10997" t="str">
        <f>"152225586   "</f>
        <v xml:space="preserve">152225586   </v>
      </c>
      <c r="O10997">
        <v>230818</v>
      </c>
    </row>
    <row r="10998" spans="1:15" x14ac:dyDescent="0.25">
      <c r="A10998" t="s">
        <v>16</v>
      </c>
      <c r="B10998" t="s">
        <v>3221</v>
      </c>
      <c r="C10998">
        <v>10753</v>
      </c>
      <c r="D10998" t="s">
        <v>3204</v>
      </c>
      <c r="E10998" t="s">
        <v>3205</v>
      </c>
      <c r="F10998">
        <v>391.06</v>
      </c>
      <c r="G10998">
        <v>230818</v>
      </c>
      <c r="H10998">
        <v>4900</v>
      </c>
      <c r="I10998" t="s">
        <v>3206</v>
      </c>
      <c r="J10998">
        <v>391.06</v>
      </c>
      <c r="K10998">
        <v>0</v>
      </c>
      <c r="L10998">
        <v>67522</v>
      </c>
      <c r="M10998" t="s">
        <v>397</v>
      </c>
      <c r="N10998" t="str">
        <f>"152418522   "</f>
        <v xml:space="preserve">152418522   </v>
      </c>
      <c r="O10998">
        <v>230822</v>
      </c>
    </row>
    <row r="10999" spans="1:15" x14ac:dyDescent="0.25">
      <c r="A10999" t="s">
        <v>16</v>
      </c>
      <c r="B10999" t="s">
        <v>3221</v>
      </c>
      <c r="C10999">
        <v>10756</v>
      </c>
      <c r="D10999" t="s">
        <v>3204</v>
      </c>
      <c r="E10999" t="s">
        <v>3205</v>
      </c>
      <c r="F10999">
        <v>60.54</v>
      </c>
      <c r="G10999">
        <v>230809</v>
      </c>
      <c r="H10999">
        <v>4900</v>
      </c>
      <c r="I10999" t="s">
        <v>3206</v>
      </c>
      <c r="J10999">
        <v>60.54</v>
      </c>
      <c r="K10999">
        <v>0</v>
      </c>
      <c r="L10999">
        <v>49701</v>
      </c>
      <c r="M10999" t="s">
        <v>166</v>
      </c>
      <c r="N10999" t="str">
        <f>"152206327   "</f>
        <v xml:space="preserve">152206327   </v>
      </c>
      <c r="O10999">
        <v>230822</v>
      </c>
    </row>
    <row r="11000" spans="1:15" x14ac:dyDescent="0.25">
      <c r="A11000" t="s">
        <v>16</v>
      </c>
      <c r="B11000" t="s">
        <v>3221</v>
      </c>
      <c r="C11000">
        <v>10759</v>
      </c>
      <c r="D11000" t="s">
        <v>3204</v>
      </c>
      <c r="E11000" t="s">
        <v>3205</v>
      </c>
      <c r="F11000">
        <v>275.26</v>
      </c>
      <c r="G11000">
        <v>230809</v>
      </c>
      <c r="H11000">
        <v>4900</v>
      </c>
      <c r="I11000" t="s">
        <v>3206</v>
      </c>
      <c r="J11000">
        <v>275.26</v>
      </c>
      <c r="K11000">
        <v>0</v>
      </c>
      <c r="L11000">
        <v>49701</v>
      </c>
      <c r="M11000" t="s">
        <v>166</v>
      </c>
      <c r="N11000" t="str">
        <f>"152206501   "</f>
        <v xml:space="preserve">152206501   </v>
      </c>
      <c r="O11000">
        <v>230822</v>
      </c>
    </row>
    <row r="11001" spans="1:15" x14ac:dyDescent="0.25">
      <c r="A11001" t="s">
        <v>16</v>
      </c>
      <c r="B11001" t="s">
        <v>3221</v>
      </c>
      <c r="C11001">
        <v>10980</v>
      </c>
      <c r="D11001" t="s">
        <v>3204</v>
      </c>
      <c r="E11001" t="s">
        <v>3205</v>
      </c>
      <c r="F11001">
        <v>21.36</v>
      </c>
      <c r="G11001">
        <v>230808</v>
      </c>
      <c r="H11001">
        <v>4900</v>
      </c>
      <c r="I11001" t="s">
        <v>3206</v>
      </c>
      <c r="J11001">
        <v>21.36</v>
      </c>
      <c r="K11001">
        <v>0</v>
      </c>
      <c r="L11001">
        <v>46556</v>
      </c>
      <c r="M11001" t="s">
        <v>125</v>
      </c>
      <c r="N11001" t="str">
        <f>"152418507   "</f>
        <v xml:space="preserve">152418507   </v>
      </c>
      <c r="O11001">
        <v>230825</v>
      </c>
    </row>
    <row r="11002" spans="1:15" x14ac:dyDescent="0.25">
      <c r="A11002" t="s">
        <v>16</v>
      </c>
      <c r="B11002" t="s">
        <v>3221</v>
      </c>
      <c r="C11002">
        <v>10998</v>
      </c>
      <c r="D11002" t="s">
        <v>3204</v>
      </c>
      <c r="E11002" t="s">
        <v>3205</v>
      </c>
      <c r="F11002">
        <v>557.69000000000005</v>
      </c>
      <c r="G11002">
        <v>230808</v>
      </c>
      <c r="H11002">
        <v>4900</v>
      </c>
      <c r="I11002" t="s">
        <v>3206</v>
      </c>
      <c r="J11002">
        <v>557.69000000000005</v>
      </c>
      <c r="K11002">
        <v>0</v>
      </c>
      <c r="L11002">
        <v>46556</v>
      </c>
      <c r="M11002" t="s">
        <v>125</v>
      </c>
      <c r="N11002" t="str">
        <f>"152418519   "</f>
        <v xml:space="preserve">152418519   </v>
      </c>
      <c r="O11002">
        <v>230828</v>
      </c>
    </row>
    <row r="11003" spans="1:15" x14ac:dyDescent="0.25">
      <c r="A11003" t="s">
        <v>16</v>
      </c>
      <c r="B11003" t="s">
        <v>3221</v>
      </c>
      <c r="C11003">
        <v>11107</v>
      </c>
      <c r="D11003" t="s">
        <v>3204</v>
      </c>
      <c r="E11003" t="s">
        <v>3205</v>
      </c>
      <c r="F11003">
        <v>101.72</v>
      </c>
      <c r="G11003">
        <v>230808</v>
      </c>
      <c r="H11003">
        <v>4900</v>
      </c>
      <c r="I11003" t="s">
        <v>3206</v>
      </c>
      <c r="J11003">
        <v>101.72</v>
      </c>
      <c r="K11003">
        <v>0</v>
      </c>
      <c r="L11003">
        <v>49701</v>
      </c>
      <c r="M11003" t="s">
        <v>166</v>
      </c>
      <c r="N11003" t="str">
        <f>"152418515   "</f>
        <v xml:space="preserve">152418515   </v>
      </c>
      <c r="O11003">
        <v>230830</v>
      </c>
    </row>
    <row r="11004" spans="1:15" x14ac:dyDescent="0.25">
      <c r="A11004" t="s">
        <v>16</v>
      </c>
      <c r="B11004" t="s">
        <v>3221</v>
      </c>
      <c r="C11004">
        <v>11108</v>
      </c>
      <c r="D11004" t="s">
        <v>3204</v>
      </c>
      <c r="E11004" t="s">
        <v>3205</v>
      </c>
      <c r="F11004">
        <v>417.24</v>
      </c>
      <c r="G11004">
        <v>230808</v>
      </c>
      <c r="H11004">
        <v>4900</v>
      </c>
      <c r="I11004" t="s">
        <v>3206</v>
      </c>
      <c r="J11004">
        <v>417.24</v>
      </c>
      <c r="K11004">
        <v>0</v>
      </c>
      <c r="L11004">
        <v>49701</v>
      </c>
      <c r="M11004" t="s">
        <v>166</v>
      </c>
      <c r="N11004" t="str">
        <f>"152418685   "</f>
        <v xml:space="preserve">152418685   </v>
      </c>
      <c r="O11004">
        <v>230830</v>
      </c>
    </row>
    <row r="11005" spans="1:15" x14ac:dyDescent="0.25">
      <c r="A11005" t="s">
        <v>16</v>
      </c>
      <c r="B11005" t="s">
        <v>3221</v>
      </c>
      <c r="C11005">
        <v>11648</v>
      </c>
      <c r="D11005" t="s">
        <v>3204</v>
      </c>
      <c r="E11005" t="s">
        <v>3205</v>
      </c>
      <c r="F11005">
        <v>59.73</v>
      </c>
      <c r="G11005">
        <v>230831</v>
      </c>
      <c r="H11005">
        <v>4900</v>
      </c>
      <c r="I11005" t="s">
        <v>3206</v>
      </c>
      <c r="J11005">
        <v>59.73</v>
      </c>
      <c r="K11005">
        <v>0</v>
      </c>
      <c r="L11005">
        <v>17808</v>
      </c>
      <c r="M11005" t="s">
        <v>322</v>
      </c>
      <c r="N11005" t="str">
        <f>"152735762   "</f>
        <v xml:space="preserve">152735762   </v>
      </c>
      <c r="O11005">
        <v>230907</v>
      </c>
    </row>
    <row r="11006" spans="1:15" x14ac:dyDescent="0.25">
      <c r="A11006" t="s">
        <v>16</v>
      </c>
      <c r="B11006" t="s">
        <v>3221</v>
      </c>
      <c r="C11006">
        <v>11649</v>
      </c>
      <c r="D11006" t="s">
        <v>3204</v>
      </c>
      <c r="E11006" t="s">
        <v>3205</v>
      </c>
      <c r="F11006">
        <v>107.6</v>
      </c>
      <c r="G11006">
        <v>230901</v>
      </c>
      <c r="H11006">
        <v>4900</v>
      </c>
      <c r="I11006" t="s">
        <v>3206</v>
      </c>
      <c r="J11006">
        <v>107.6</v>
      </c>
      <c r="K11006">
        <v>0</v>
      </c>
      <c r="L11006">
        <v>17809</v>
      </c>
      <c r="M11006" t="s">
        <v>376</v>
      </c>
      <c r="N11006" t="str">
        <f>"152761566   "</f>
        <v xml:space="preserve">152761566   </v>
      </c>
      <c r="O11006">
        <v>230907</v>
      </c>
    </row>
    <row r="11007" spans="1:15" x14ac:dyDescent="0.25">
      <c r="A11007" t="s">
        <v>16</v>
      </c>
      <c r="B11007" t="s">
        <v>3221</v>
      </c>
      <c r="C11007">
        <v>11650</v>
      </c>
      <c r="D11007" t="s">
        <v>3204</v>
      </c>
      <c r="E11007" t="s">
        <v>3205</v>
      </c>
      <c r="F11007">
        <v>308.74</v>
      </c>
      <c r="G11007">
        <v>230902</v>
      </c>
      <c r="H11007">
        <v>4900</v>
      </c>
      <c r="I11007" t="s">
        <v>3206</v>
      </c>
      <c r="J11007">
        <v>308.74</v>
      </c>
      <c r="K11007">
        <v>0</v>
      </c>
      <c r="L11007">
        <v>17808</v>
      </c>
      <c r="M11007" t="s">
        <v>322</v>
      </c>
      <c r="N11007" t="str">
        <f>"152792302   "</f>
        <v xml:space="preserve">152792302   </v>
      </c>
      <c r="O11007">
        <v>230907</v>
      </c>
    </row>
    <row r="11008" spans="1:15" x14ac:dyDescent="0.25">
      <c r="A11008" t="s">
        <v>16</v>
      </c>
      <c r="B11008" t="s">
        <v>3221</v>
      </c>
      <c r="C11008">
        <v>12511</v>
      </c>
      <c r="D11008" t="s">
        <v>3204</v>
      </c>
      <c r="E11008" t="s">
        <v>3205</v>
      </c>
      <c r="F11008">
        <v>39.28</v>
      </c>
      <c r="G11008">
        <v>230910</v>
      </c>
      <c r="H11008">
        <v>4900</v>
      </c>
      <c r="I11008" t="s">
        <v>3206</v>
      </c>
      <c r="J11008">
        <v>39.28</v>
      </c>
      <c r="K11008">
        <v>0</v>
      </c>
      <c r="L11008">
        <v>11001</v>
      </c>
      <c r="M11008" t="s">
        <v>326</v>
      </c>
      <c r="N11008" t="str">
        <f>"152966849   "</f>
        <v xml:space="preserve">152966849   </v>
      </c>
      <c r="O11008">
        <v>230920</v>
      </c>
    </row>
    <row r="11009" spans="1:15" x14ac:dyDescent="0.25">
      <c r="A11009" t="s">
        <v>16</v>
      </c>
      <c r="B11009" t="s">
        <v>3221</v>
      </c>
      <c r="C11009">
        <v>13111</v>
      </c>
      <c r="D11009" t="s">
        <v>3204</v>
      </c>
      <c r="E11009" t="s">
        <v>3205</v>
      </c>
      <c r="F11009">
        <v>248.06</v>
      </c>
      <c r="G11009">
        <v>230916</v>
      </c>
      <c r="H11009">
        <v>4900</v>
      </c>
      <c r="I11009" t="s">
        <v>3206</v>
      </c>
      <c r="J11009">
        <v>248.06</v>
      </c>
      <c r="K11009">
        <v>0</v>
      </c>
      <c r="L11009">
        <v>17808</v>
      </c>
      <c r="M11009" t="s">
        <v>322</v>
      </c>
      <c r="N11009" t="str">
        <f>"153117826   "</f>
        <v xml:space="preserve">153117826   </v>
      </c>
      <c r="O11009">
        <v>231003</v>
      </c>
    </row>
    <row r="11010" spans="1:15" x14ac:dyDescent="0.25">
      <c r="A11010" t="s">
        <v>16</v>
      </c>
      <c r="B11010" t="s">
        <v>3221</v>
      </c>
      <c r="C11010">
        <v>13111</v>
      </c>
      <c r="D11010" t="s">
        <v>3204</v>
      </c>
      <c r="E11010" t="s">
        <v>3205</v>
      </c>
      <c r="F11010">
        <v>-102.93</v>
      </c>
      <c r="G11010">
        <v>230916</v>
      </c>
      <c r="H11010">
        <v>4900</v>
      </c>
      <c r="I11010" t="s">
        <v>3206</v>
      </c>
      <c r="J11010">
        <v>-102.93</v>
      </c>
      <c r="K11010">
        <v>0</v>
      </c>
      <c r="L11010">
        <v>56562</v>
      </c>
      <c r="M11010" t="s">
        <v>126</v>
      </c>
      <c r="N11010" t="str">
        <f>"153117826   "</f>
        <v xml:space="preserve">153117826   </v>
      </c>
      <c r="O11010">
        <v>231003</v>
      </c>
    </row>
    <row r="11011" spans="1:15" x14ac:dyDescent="0.25">
      <c r="A11011" t="s">
        <v>16</v>
      </c>
      <c r="B11011" t="s">
        <v>3221</v>
      </c>
      <c r="C11011">
        <v>14667</v>
      </c>
      <c r="D11011" t="s">
        <v>3204</v>
      </c>
      <c r="E11011" t="s">
        <v>3205</v>
      </c>
      <c r="F11011">
        <v>21.61</v>
      </c>
      <c r="G11011">
        <v>231020</v>
      </c>
      <c r="H11011">
        <v>4900</v>
      </c>
      <c r="I11011" t="s">
        <v>3206</v>
      </c>
      <c r="J11011">
        <v>21.61</v>
      </c>
      <c r="K11011">
        <v>0</v>
      </c>
      <c r="L11011">
        <v>56559</v>
      </c>
      <c r="M11011" t="s">
        <v>129</v>
      </c>
      <c r="N11011" t="str">
        <f>"153907135   "</f>
        <v xml:space="preserve">153907135   </v>
      </c>
      <c r="O11011">
        <v>231031</v>
      </c>
    </row>
    <row r="11012" spans="1:15" x14ac:dyDescent="0.25">
      <c r="A11012" t="s">
        <v>16</v>
      </c>
      <c r="B11012" t="s">
        <v>3221</v>
      </c>
      <c r="C11012">
        <v>14668</v>
      </c>
      <c r="D11012" t="s">
        <v>3204</v>
      </c>
      <c r="E11012" t="s">
        <v>3205</v>
      </c>
      <c r="F11012">
        <v>64.540000000000006</v>
      </c>
      <c r="G11012">
        <v>231026</v>
      </c>
      <c r="H11012">
        <v>4900</v>
      </c>
      <c r="I11012" t="s">
        <v>3206</v>
      </c>
      <c r="J11012">
        <v>64.540000000000006</v>
      </c>
      <c r="K11012">
        <v>0</v>
      </c>
      <c r="L11012">
        <v>17538</v>
      </c>
      <c r="M11012" t="s">
        <v>24</v>
      </c>
      <c r="N11012" t="str">
        <f>"154053857   "</f>
        <v xml:space="preserve">154053857   </v>
      </c>
      <c r="O11012">
        <v>231031</v>
      </c>
    </row>
    <row r="11013" spans="1:15" x14ac:dyDescent="0.25">
      <c r="A11013" t="s">
        <v>16</v>
      </c>
      <c r="B11013" t="s">
        <v>3221</v>
      </c>
      <c r="C11013">
        <v>14752</v>
      </c>
      <c r="D11013" t="s">
        <v>3204</v>
      </c>
      <c r="E11013" t="s">
        <v>3205</v>
      </c>
      <c r="F11013">
        <v>124.69</v>
      </c>
      <c r="G11013">
        <v>231019</v>
      </c>
      <c r="H11013">
        <v>4900</v>
      </c>
      <c r="I11013" t="s">
        <v>3206</v>
      </c>
      <c r="J11013">
        <v>124.69</v>
      </c>
      <c r="K11013">
        <v>0</v>
      </c>
      <c r="L11013">
        <v>69702</v>
      </c>
      <c r="M11013" t="s">
        <v>489</v>
      </c>
      <c r="N11013" t="str">
        <f>"153889275   "</f>
        <v xml:space="preserve">153889275   </v>
      </c>
      <c r="O11013">
        <v>231103</v>
      </c>
    </row>
    <row r="11014" spans="1:15" x14ac:dyDescent="0.25">
      <c r="A11014" t="s">
        <v>16</v>
      </c>
      <c r="B11014" t="s">
        <v>3221</v>
      </c>
      <c r="C11014">
        <v>16764</v>
      </c>
      <c r="D11014" t="s">
        <v>3204</v>
      </c>
      <c r="E11014" t="s">
        <v>3205</v>
      </c>
      <c r="F11014">
        <v>64.540000000000006</v>
      </c>
      <c r="G11014">
        <v>231127</v>
      </c>
      <c r="H11014">
        <v>4900</v>
      </c>
      <c r="I11014" t="s">
        <v>3206</v>
      </c>
      <c r="J11014">
        <v>64.540000000000006</v>
      </c>
      <c r="K11014">
        <v>0</v>
      </c>
      <c r="L11014">
        <v>47522</v>
      </c>
      <c r="M11014" t="s">
        <v>410</v>
      </c>
      <c r="N11014" t="str">
        <f>"154772822   "</f>
        <v xml:space="preserve">154772822   </v>
      </c>
      <c r="O11014">
        <v>231208</v>
      </c>
    </row>
    <row r="11015" spans="1:15" x14ac:dyDescent="0.25">
      <c r="A11015" t="s">
        <v>16</v>
      </c>
      <c r="B11015" t="s">
        <v>3221</v>
      </c>
      <c r="C11015">
        <v>18675</v>
      </c>
      <c r="D11015" t="s">
        <v>3204</v>
      </c>
      <c r="E11015" t="s">
        <v>3205</v>
      </c>
      <c r="F11015">
        <v>164.7</v>
      </c>
      <c r="G11015">
        <v>231219</v>
      </c>
      <c r="H11015">
        <v>4900</v>
      </c>
      <c r="I11015" t="s">
        <v>3206</v>
      </c>
      <c r="J11015">
        <v>164.7</v>
      </c>
      <c r="K11015">
        <v>0</v>
      </c>
      <c r="L11015">
        <v>56564</v>
      </c>
      <c r="M11015" t="s">
        <v>327</v>
      </c>
      <c r="N11015" t="str">
        <f>"155248242   "</f>
        <v xml:space="preserve">155248242   </v>
      </c>
      <c r="O11015">
        <v>240104</v>
      </c>
    </row>
    <row r="11016" spans="1:15" x14ac:dyDescent="0.25">
      <c r="A11016" t="s">
        <v>16</v>
      </c>
      <c r="B11016" t="s">
        <v>3221</v>
      </c>
      <c r="C11016">
        <v>10846</v>
      </c>
      <c r="D11016" t="s">
        <v>2423</v>
      </c>
      <c r="E11016" t="s">
        <v>2424</v>
      </c>
      <c r="F11016">
        <v>314.52</v>
      </c>
      <c r="G11016">
        <v>230823</v>
      </c>
      <c r="H11016">
        <v>4440</v>
      </c>
      <c r="I11016" t="s">
        <v>250</v>
      </c>
      <c r="J11016">
        <v>390</v>
      </c>
      <c r="K11016">
        <v>75.48</v>
      </c>
      <c r="L11016">
        <v>17711</v>
      </c>
      <c r="M11016" t="s">
        <v>65</v>
      </c>
      <c r="N11016" t="str">
        <f>"105020      "</f>
        <v xml:space="preserve">105020      </v>
      </c>
      <c r="O11016">
        <v>230824</v>
      </c>
    </row>
    <row r="11017" spans="1:15" x14ac:dyDescent="0.25">
      <c r="A11017" t="s">
        <v>16</v>
      </c>
      <c r="B11017" t="s">
        <v>3221</v>
      </c>
      <c r="C11017">
        <v>16377</v>
      </c>
      <c r="D11017" t="s">
        <v>2423</v>
      </c>
      <c r="E11017" t="s">
        <v>2424</v>
      </c>
      <c r="F11017">
        <v>27.27</v>
      </c>
      <c r="G11017">
        <v>231122</v>
      </c>
      <c r="H11017">
        <v>4440</v>
      </c>
      <c r="I11017" t="s">
        <v>250</v>
      </c>
      <c r="J11017">
        <v>30</v>
      </c>
      <c r="K11017">
        <v>2.73</v>
      </c>
      <c r="L11017">
        <v>17711</v>
      </c>
      <c r="M11017" t="s">
        <v>65</v>
      </c>
      <c r="N11017" t="str">
        <f>"105116      "</f>
        <v xml:space="preserve">105116      </v>
      </c>
      <c r="O11017">
        <v>231128</v>
      </c>
    </row>
    <row r="11018" spans="1:15" x14ac:dyDescent="0.25">
      <c r="A11018" t="s">
        <v>16</v>
      </c>
      <c r="B11018" t="s">
        <v>3221</v>
      </c>
      <c r="C11018">
        <v>5068</v>
      </c>
      <c r="D11018" t="s">
        <v>1786</v>
      </c>
      <c r="E11018" t="s">
        <v>1787</v>
      </c>
      <c r="F11018">
        <v>834</v>
      </c>
      <c r="G11018">
        <v>230331</v>
      </c>
      <c r="H11018">
        <v>4580</v>
      </c>
      <c r="I11018" t="s">
        <v>35</v>
      </c>
      <c r="J11018">
        <v>1034.1600000000001</v>
      </c>
      <c r="K11018">
        <v>200.16</v>
      </c>
      <c r="L11018">
        <v>59501</v>
      </c>
      <c r="M11018" t="s">
        <v>69</v>
      </c>
      <c r="N11018" t="str">
        <f>"INV1053205  "</f>
        <v xml:space="preserve">INV1053205  </v>
      </c>
      <c r="O11018">
        <v>230418</v>
      </c>
    </row>
    <row r="11019" spans="1:15" x14ac:dyDescent="0.25">
      <c r="A11019" t="s">
        <v>16</v>
      </c>
      <c r="B11019" t="s">
        <v>3221</v>
      </c>
      <c r="C11019">
        <v>9568</v>
      </c>
      <c r="D11019" t="s">
        <v>1786</v>
      </c>
      <c r="E11019" t="s">
        <v>1787</v>
      </c>
      <c r="F11019">
        <v>5180</v>
      </c>
      <c r="G11019">
        <v>230621</v>
      </c>
      <c r="H11019">
        <v>4580</v>
      </c>
      <c r="I11019" t="s">
        <v>35</v>
      </c>
      <c r="J11019">
        <v>6423.2</v>
      </c>
      <c r="K11019">
        <v>1243.2</v>
      </c>
      <c r="L11019">
        <v>49501</v>
      </c>
      <c r="M11019" t="s">
        <v>177</v>
      </c>
      <c r="N11019" t="str">
        <f>"INV1054259  "</f>
        <v xml:space="preserve">INV1054259  </v>
      </c>
      <c r="O11019">
        <v>230717</v>
      </c>
    </row>
    <row r="11020" spans="1:15" x14ac:dyDescent="0.25">
      <c r="A11020" t="s">
        <v>16</v>
      </c>
      <c r="B11020" t="s">
        <v>3221</v>
      </c>
      <c r="C11020">
        <v>9568</v>
      </c>
      <c r="D11020" t="s">
        <v>1786</v>
      </c>
      <c r="E11020" t="s">
        <v>1787</v>
      </c>
      <c r="F11020">
        <v>2590</v>
      </c>
      <c r="G11020">
        <v>230621</v>
      </c>
      <c r="H11020">
        <v>4580</v>
      </c>
      <c r="I11020" t="s">
        <v>35</v>
      </c>
      <c r="J11020">
        <v>3211.6</v>
      </c>
      <c r="K11020">
        <v>621.6</v>
      </c>
      <c r="L11020">
        <v>49503</v>
      </c>
      <c r="M11020" t="s">
        <v>178</v>
      </c>
      <c r="N11020" t="str">
        <f>"INV1054259  "</f>
        <v xml:space="preserve">INV1054259  </v>
      </c>
      <c r="O11020">
        <v>230717</v>
      </c>
    </row>
    <row r="11021" spans="1:15" x14ac:dyDescent="0.25">
      <c r="A11021" t="s">
        <v>16</v>
      </c>
      <c r="B11021" t="s">
        <v>3221</v>
      </c>
      <c r="C11021">
        <v>5068</v>
      </c>
      <c r="D11021" t="s">
        <v>1786</v>
      </c>
      <c r="E11021" t="s">
        <v>1787</v>
      </c>
      <c r="F11021">
        <v>8273.2800000000007</v>
      </c>
      <c r="G11021">
        <v>230331</v>
      </c>
      <c r="H11021">
        <v>1196</v>
      </c>
      <c r="I11021" t="s">
        <v>392</v>
      </c>
      <c r="J11021">
        <v>8273.2800000000007</v>
      </c>
      <c r="K11021">
        <v>0</v>
      </c>
      <c r="L11021">
        <v>95501</v>
      </c>
      <c r="M11021" t="s">
        <v>623</v>
      </c>
      <c r="N11021" t="str">
        <f>"INV1053205  "</f>
        <v xml:space="preserve">INV1053205  </v>
      </c>
      <c r="O11021">
        <v>230418</v>
      </c>
    </row>
    <row r="11022" spans="1:15" x14ac:dyDescent="0.25">
      <c r="A11022" t="s">
        <v>16</v>
      </c>
      <c r="B11022" t="s">
        <v>3221</v>
      </c>
      <c r="C11022">
        <v>5060</v>
      </c>
      <c r="D11022" t="s">
        <v>1786</v>
      </c>
      <c r="E11022" t="s">
        <v>1787</v>
      </c>
      <c r="F11022">
        <v>10008</v>
      </c>
      <c r="G11022">
        <v>230331</v>
      </c>
      <c r="H11022">
        <v>4600</v>
      </c>
      <c r="I11022" t="s">
        <v>105</v>
      </c>
      <c r="J11022">
        <v>12409.92</v>
      </c>
      <c r="K11022">
        <v>2401.92</v>
      </c>
      <c r="L11022">
        <v>17951</v>
      </c>
      <c r="M11022" t="s">
        <v>87</v>
      </c>
      <c r="N11022" t="str">
        <f>"INV1053204  "</f>
        <v xml:space="preserve">INV1053204  </v>
      </c>
      <c r="O11022">
        <v>230418</v>
      </c>
    </row>
    <row r="11023" spans="1:15" x14ac:dyDescent="0.25">
      <c r="A11023" t="s">
        <v>16</v>
      </c>
      <c r="B11023" t="s">
        <v>3221</v>
      </c>
      <c r="C11023">
        <v>1074</v>
      </c>
      <c r="D11023" t="s">
        <v>3661</v>
      </c>
      <c r="E11023" t="s">
        <v>858</v>
      </c>
      <c r="F11023">
        <v>33.03</v>
      </c>
      <c r="G11023">
        <v>230130</v>
      </c>
      <c r="H11023">
        <v>4470</v>
      </c>
      <c r="I11023" t="s">
        <v>83</v>
      </c>
      <c r="J11023">
        <v>36.33</v>
      </c>
      <c r="K11023">
        <v>3.3</v>
      </c>
      <c r="L11023">
        <v>43222</v>
      </c>
      <c r="M11023" t="s">
        <v>507</v>
      </c>
      <c r="N11023" t="str">
        <f t="shared" ref="N11023:N11029" si="176">"27434       "</f>
        <v xml:space="preserve">27434       </v>
      </c>
      <c r="O11023">
        <v>230203</v>
      </c>
    </row>
    <row r="11024" spans="1:15" x14ac:dyDescent="0.25">
      <c r="A11024" t="s">
        <v>16</v>
      </c>
      <c r="B11024" t="s">
        <v>3221</v>
      </c>
      <c r="C11024">
        <v>1074</v>
      </c>
      <c r="D11024" t="s">
        <v>3661</v>
      </c>
      <c r="E11024" t="s">
        <v>858</v>
      </c>
      <c r="F11024">
        <v>21.21</v>
      </c>
      <c r="G11024">
        <v>230130</v>
      </c>
      <c r="H11024">
        <v>4470</v>
      </c>
      <c r="I11024" t="s">
        <v>83</v>
      </c>
      <c r="J11024">
        <v>23.33</v>
      </c>
      <c r="K11024">
        <v>2.12</v>
      </c>
      <c r="L11024">
        <v>44422</v>
      </c>
      <c r="M11024" t="s">
        <v>482</v>
      </c>
      <c r="N11024" t="str">
        <f t="shared" si="176"/>
        <v xml:space="preserve">27434       </v>
      </c>
      <c r="O11024">
        <v>230203</v>
      </c>
    </row>
    <row r="11025" spans="1:15" x14ac:dyDescent="0.25">
      <c r="A11025" t="s">
        <v>16</v>
      </c>
      <c r="B11025" t="s">
        <v>3221</v>
      </c>
      <c r="C11025">
        <v>1074</v>
      </c>
      <c r="D11025" t="s">
        <v>3661</v>
      </c>
      <c r="E11025" t="s">
        <v>858</v>
      </c>
      <c r="F11025">
        <v>33.03</v>
      </c>
      <c r="G11025">
        <v>230130</v>
      </c>
      <c r="H11025">
        <v>4470</v>
      </c>
      <c r="I11025" t="s">
        <v>83</v>
      </c>
      <c r="J11025">
        <v>36.33</v>
      </c>
      <c r="K11025">
        <v>3.3</v>
      </c>
      <c r="L11025">
        <v>44423</v>
      </c>
      <c r="M11025" t="s">
        <v>502</v>
      </c>
      <c r="N11025" t="str">
        <f t="shared" si="176"/>
        <v xml:space="preserve">27434       </v>
      </c>
      <c r="O11025">
        <v>230203</v>
      </c>
    </row>
    <row r="11026" spans="1:15" x14ac:dyDescent="0.25">
      <c r="A11026" t="s">
        <v>16</v>
      </c>
      <c r="B11026" t="s">
        <v>3221</v>
      </c>
      <c r="C11026">
        <v>1074</v>
      </c>
      <c r="D11026" t="s">
        <v>3661</v>
      </c>
      <c r="E11026" t="s">
        <v>858</v>
      </c>
      <c r="F11026">
        <v>81.819999999999993</v>
      </c>
      <c r="G11026">
        <v>230130</v>
      </c>
      <c r="H11026">
        <v>4470</v>
      </c>
      <c r="I11026" t="s">
        <v>83</v>
      </c>
      <c r="J11026">
        <v>90</v>
      </c>
      <c r="K11026">
        <v>8.18</v>
      </c>
      <c r="L11026">
        <v>46222</v>
      </c>
      <c r="M11026" t="s">
        <v>293</v>
      </c>
      <c r="N11026" t="str">
        <f t="shared" si="176"/>
        <v xml:space="preserve">27434       </v>
      </c>
      <c r="O11026">
        <v>230203</v>
      </c>
    </row>
    <row r="11027" spans="1:15" x14ac:dyDescent="0.25">
      <c r="A11027" t="s">
        <v>16</v>
      </c>
      <c r="B11027" t="s">
        <v>3221</v>
      </c>
      <c r="C11027">
        <v>1074</v>
      </c>
      <c r="D11027" t="s">
        <v>3661</v>
      </c>
      <c r="E11027" t="s">
        <v>858</v>
      </c>
      <c r="F11027">
        <v>11.82</v>
      </c>
      <c r="G11027">
        <v>230130</v>
      </c>
      <c r="H11027">
        <v>4470</v>
      </c>
      <c r="I11027" t="s">
        <v>83</v>
      </c>
      <c r="J11027">
        <v>13</v>
      </c>
      <c r="K11027">
        <v>1.18</v>
      </c>
      <c r="L11027">
        <v>46554</v>
      </c>
      <c r="M11027" t="s">
        <v>117</v>
      </c>
      <c r="N11027" t="str">
        <f t="shared" si="176"/>
        <v xml:space="preserve">27434       </v>
      </c>
      <c r="O11027">
        <v>230203</v>
      </c>
    </row>
    <row r="11028" spans="1:15" x14ac:dyDescent="0.25">
      <c r="A11028" t="s">
        <v>16</v>
      </c>
      <c r="B11028" t="s">
        <v>3221</v>
      </c>
      <c r="C11028">
        <v>1074</v>
      </c>
      <c r="D11028" t="s">
        <v>3661</v>
      </c>
      <c r="E11028" t="s">
        <v>858</v>
      </c>
      <c r="F11028">
        <v>11.82</v>
      </c>
      <c r="G11028">
        <v>230130</v>
      </c>
      <c r="H11028">
        <v>4470</v>
      </c>
      <c r="I11028" t="s">
        <v>83</v>
      </c>
      <c r="J11028">
        <v>13</v>
      </c>
      <c r="K11028">
        <v>1.18</v>
      </c>
      <c r="L11028">
        <v>46556</v>
      </c>
      <c r="M11028" t="s">
        <v>125</v>
      </c>
      <c r="N11028" t="str">
        <f t="shared" si="176"/>
        <v xml:space="preserve">27434       </v>
      </c>
      <c r="O11028">
        <v>230203</v>
      </c>
    </row>
    <row r="11029" spans="1:15" x14ac:dyDescent="0.25">
      <c r="A11029" t="s">
        <v>16</v>
      </c>
      <c r="B11029" t="s">
        <v>3221</v>
      </c>
      <c r="C11029">
        <v>1074</v>
      </c>
      <c r="D11029" t="s">
        <v>3661</v>
      </c>
      <c r="E11029" t="s">
        <v>858</v>
      </c>
      <c r="F11029">
        <v>11.83</v>
      </c>
      <c r="G11029">
        <v>230130</v>
      </c>
      <c r="H11029">
        <v>4470</v>
      </c>
      <c r="I11029" t="s">
        <v>83</v>
      </c>
      <c r="J11029">
        <v>13.01</v>
      </c>
      <c r="K11029">
        <v>1.18</v>
      </c>
      <c r="L11029">
        <v>46557</v>
      </c>
      <c r="M11029" t="s">
        <v>221</v>
      </c>
      <c r="N11029" t="str">
        <f t="shared" si="176"/>
        <v xml:space="preserve">27434       </v>
      </c>
      <c r="O11029">
        <v>230203</v>
      </c>
    </row>
    <row r="11030" spans="1:15" x14ac:dyDescent="0.25">
      <c r="A11030" t="s">
        <v>16</v>
      </c>
      <c r="B11030" t="s">
        <v>3221</v>
      </c>
      <c r="C11030">
        <v>1144</v>
      </c>
      <c r="D11030" t="s">
        <v>3661</v>
      </c>
      <c r="E11030" t="s">
        <v>858</v>
      </c>
      <c r="F11030">
        <v>427.27</v>
      </c>
      <c r="G11030">
        <v>230130</v>
      </c>
      <c r="H11030">
        <v>4470</v>
      </c>
      <c r="I11030" t="s">
        <v>83</v>
      </c>
      <c r="J11030">
        <v>470</v>
      </c>
      <c r="K11030">
        <v>42.73</v>
      </c>
      <c r="L11030">
        <v>49807</v>
      </c>
      <c r="M11030" t="s">
        <v>914</v>
      </c>
      <c r="N11030" t="str">
        <f>"27433       "</f>
        <v xml:space="preserve">27433       </v>
      </c>
      <c r="O11030">
        <v>230206</v>
      </c>
    </row>
    <row r="11031" spans="1:15" x14ac:dyDescent="0.25">
      <c r="A11031" t="s">
        <v>16</v>
      </c>
      <c r="B11031" t="s">
        <v>3221</v>
      </c>
      <c r="C11031">
        <v>3226</v>
      </c>
      <c r="D11031" t="s">
        <v>3661</v>
      </c>
      <c r="E11031" t="s">
        <v>858</v>
      </c>
      <c r="F11031">
        <v>277.27</v>
      </c>
      <c r="G11031">
        <v>230306</v>
      </c>
      <c r="H11031">
        <v>4470</v>
      </c>
      <c r="I11031" t="s">
        <v>83</v>
      </c>
      <c r="J11031">
        <v>305</v>
      </c>
      <c r="K11031">
        <v>27.73</v>
      </c>
      <c r="L11031">
        <v>49807</v>
      </c>
      <c r="M11031" t="s">
        <v>914</v>
      </c>
      <c r="N11031" t="str">
        <f>"27584       "</f>
        <v xml:space="preserve">27584       </v>
      </c>
      <c r="O11031">
        <v>230310</v>
      </c>
    </row>
    <row r="11032" spans="1:15" x14ac:dyDescent="0.25">
      <c r="A11032" t="s">
        <v>16</v>
      </c>
      <c r="B11032" t="s">
        <v>3221</v>
      </c>
      <c r="C11032">
        <v>3227</v>
      </c>
      <c r="D11032" t="s">
        <v>3661</v>
      </c>
      <c r="E11032" t="s">
        <v>858</v>
      </c>
      <c r="F11032">
        <v>27.27</v>
      </c>
      <c r="G11032">
        <v>230306</v>
      </c>
      <c r="H11032">
        <v>4470</v>
      </c>
      <c r="I11032" t="s">
        <v>83</v>
      </c>
      <c r="J11032">
        <v>30</v>
      </c>
      <c r="K11032">
        <v>2.73</v>
      </c>
      <c r="L11032">
        <v>43222</v>
      </c>
      <c r="M11032" t="s">
        <v>507</v>
      </c>
      <c r="N11032" t="str">
        <f>"27583       "</f>
        <v xml:space="preserve">27583       </v>
      </c>
      <c r="O11032">
        <v>230310</v>
      </c>
    </row>
    <row r="11033" spans="1:15" x14ac:dyDescent="0.25">
      <c r="A11033" t="s">
        <v>16</v>
      </c>
      <c r="B11033" t="s">
        <v>3221</v>
      </c>
      <c r="C11033">
        <v>3227</v>
      </c>
      <c r="D11033" t="s">
        <v>3661</v>
      </c>
      <c r="E11033" t="s">
        <v>858</v>
      </c>
      <c r="F11033">
        <v>27.27</v>
      </c>
      <c r="G11033">
        <v>230306</v>
      </c>
      <c r="H11033">
        <v>4470</v>
      </c>
      <c r="I11033" t="s">
        <v>83</v>
      </c>
      <c r="J11033">
        <v>30</v>
      </c>
      <c r="K11033">
        <v>2.73</v>
      </c>
      <c r="L11033">
        <v>44422</v>
      </c>
      <c r="M11033" t="s">
        <v>482</v>
      </c>
      <c r="N11033" t="str">
        <f>"27583       "</f>
        <v xml:space="preserve">27583       </v>
      </c>
      <c r="O11033">
        <v>230310</v>
      </c>
    </row>
    <row r="11034" spans="1:15" x14ac:dyDescent="0.25">
      <c r="A11034" t="s">
        <v>16</v>
      </c>
      <c r="B11034" t="s">
        <v>3221</v>
      </c>
      <c r="C11034">
        <v>3227</v>
      </c>
      <c r="D11034" t="s">
        <v>3661</v>
      </c>
      <c r="E11034" t="s">
        <v>858</v>
      </c>
      <c r="F11034">
        <v>27.27</v>
      </c>
      <c r="G11034">
        <v>230306</v>
      </c>
      <c r="H11034">
        <v>4470</v>
      </c>
      <c r="I11034" t="s">
        <v>83</v>
      </c>
      <c r="J11034">
        <v>30</v>
      </c>
      <c r="K11034">
        <v>2.73</v>
      </c>
      <c r="L11034">
        <v>44423</v>
      </c>
      <c r="M11034" t="s">
        <v>502</v>
      </c>
      <c r="N11034" t="str">
        <f>"27583       "</f>
        <v xml:space="preserve">27583       </v>
      </c>
      <c r="O11034">
        <v>230310</v>
      </c>
    </row>
    <row r="11035" spans="1:15" x14ac:dyDescent="0.25">
      <c r="A11035" t="s">
        <v>16</v>
      </c>
      <c r="B11035" t="s">
        <v>3221</v>
      </c>
      <c r="C11035">
        <v>3227</v>
      </c>
      <c r="D11035" t="s">
        <v>3661</v>
      </c>
      <c r="E11035" t="s">
        <v>858</v>
      </c>
      <c r="F11035">
        <v>27.27</v>
      </c>
      <c r="G11035">
        <v>230306</v>
      </c>
      <c r="H11035">
        <v>4470</v>
      </c>
      <c r="I11035" t="s">
        <v>83</v>
      </c>
      <c r="J11035">
        <v>30</v>
      </c>
      <c r="K11035">
        <v>2.73</v>
      </c>
      <c r="L11035">
        <v>46222</v>
      </c>
      <c r="M11035" t="s">
        <v>293</v>
      </c>
      <c r="N11035" t="str">
        <f>"27583       "</f>
        <v xml:space="preserve">27583       </v>
      </c>
      <c r="O11035">
        <v>230310</v>
      </c>
    </row>
    <row r="11036" spans="1:15" x14ac:dyDescent="0.25">
      <c r="A11036" t="s">
        <v>16</v>
      </c>
      <c r="B11036" t="s">
        <v>3221</v>
      </c>
      <c r="C11036">
        <v>3227</v>
      </c>
      <c r="D11036" t="s">
        <v>3661</v>
      </c>
      <c r="E11036" t="s">
        <v>858</v>
      </c>
      <c r="F11036">
        <v>59.09</v>
      </c>
      <c r="G11036">
        <v>230306</v>
      </c>
      <c r="H11036">
        <v>4470</v>
      </c>
      <c r="I11036" t="s">
        <v>83</v>
      </c>
      <c r="J11036">
        <v>65</v>
      </c>
      <c r="K11036">
        <v>5.91</v>
      </c>
      <c r="L11036">
        <v>46555</v>
      </c>
      <c r="M11036" t="s">
        <v>597</v>
      </c>
      <c r="N11036" t="str">
        <f>"27583       "</f>
        <v xml:space="preserve">27583       </v>
      </c>
      <c r="O11036">
        <v>230310</v>
      </c>
    </row>
    <row r="11037" spans="1:15" x14ac:dyDescent="0.25">
      <c r="A11037" t="s">
        <v>16</v>
      </c>
      <c r="B11037" t="s">
        <v>3221</v>
      </c>
      <c r="C11037">
        <v>4871</v>
      </c>
      <c r="D11037" t="s">
        <v>3661</v>
      </c>
      <c r="E11037" t="s">
        <v>858</v>
      </c>
      <c r="F11037">
        <v>290.91000000000003</v>
      </c>
      <c r="G11037">
        <v>230406</v>
      </c>
      <c r="H11037">
        <v>4470</v>
      </c>
      <c r="I11037" t="s">
        <v>83</v>
      </c>
      <c r="J11037">
        <v>320</v>
      </c>
      <c r="K11037">
        <v>29.09</v>
      </c>
      <c r="L11037">
        <v>49807</v>
      </c>
      <c r="M11037" t="s">
        <v>914</v>
      </c>
      <c r="N11037" t="str">
        <f>"27729       "</f>
        <v xml:space="preserve">27729       </v>
      </c>
      <c r="O11037">
        <v>230413</v>
      </c>
    </row>
    <row r="11038" spans="1:15" x14ac:dyDescent="0.25">
      <c r="A11038" t="s">
        <v>16</v>
      </c>
      <c r="B11038" t="s">
        <v>3221</v>
      </c>
      <c r="C11038">
        <v>6734</v>
      </c>
      <c r="D11038" t="s">
        <v>3661</v>
      </c>
      <c r="E11038" t="s">
        <v>858</v>
      </c>
      <c r="F11038">
        <v>200</v>
      </c>
      <c r="G11038">
        <v>230515</v>
      </c>
      <c r="H11038">
        <v>4470</v>
      </c>
      <c r="I11038" t="s">
        <v>83</v>
      </c>
      <c r="J11038">
        <v>220</v>
      </c>
      <c r="K11038">
        <v>20</v>
      </c>
      <c r="L11038">
        <v>49807</v>
      </c>
      <c r="M11038" t="s">
        <v>914</v>
      </c>
      <c r="N11038" t="str">
        <f>"27880       "</f>
        <v xml:space="preserve">27880       </v>
      </c>
      <c r="O11038">
        <v>230522</v>
      </c>
    </row>
    <row r="11039" spans="1:15" x14ac:dyDescent="0.25">
      <c r="A11039" t="s">
        <v>16</v>
      </c>
      <c r="B11039" t="s">
        <v>3221</v>
      </c>
      <c r="C11039">
        <v>8284</v>
      </c>
      <c r="D11039" t="s">
        <v>3661</v>
      </c>
      <c r="E11039" t="s">
        <v>858</v>
      </c>
      <c r="F11039">
        <v>131.82</v>
      </c>
      <c r="G11039">
        <v>230605</v>
      </c>
      <c r="H11039">
        <v>4470</v>
      </c>
      <c r="I11039" t="s">
        <v>83</v>
      </c>
      <c r="J11039">
        <v>145</v>
      </c>
      <c r="K11039">
        <v>13.18</v>
      </c>
      <c r="L11039">
        <v>49807</v>
      </c>
      <c r="M11039" t="s">
        <v>914</v>
      </c>
      <c r="N11039" t="str">
        <f>"28006       "</f>
        <v xml:space="preserve">28006       </v>
      </c>
      <c r="O11039">
        <v>230608</v>
      </c>
    </row>
    <row r="11040" spans="1:15" x14ac:dyDescent="0.25">
      <c r="A11040" t="s">
        <v>16</v>
      </c>
      <c r="B11040" t="s">
        <v>3221</v>
      </c>
      <c r="C11040">
        <v>11503</v>
      </c>
      <c r="D11040" t="s">
        <v>3661</v>
      </c>
      <c r="E11040" t="s">
        <v>858</v>
      </c>
      <c r="F11040">
        <v>5</v>
      </c>
      <c r="G11040">
        <v>230901</v>
      </c>
      <c r="H11040">
        <v>4470</v>
      </c>
      <c r="I11040" t="s">
        <v>83</v>
      </c>
      <c r="J11040">
        <v>5</v>
      </c>
      <c r="K11040">
        <v>0</v>
      </c>
      <c r="L11040">
        <v>49807</v>
      </c>
      <c r="M11040" t="s">
        <v>914</v>
      </c>
      <c r="N11040" t="str">
        <f>"269         "</f>
        <v xml:space="preserve">269         </v>
      </c>
      <c r="O11040">
        <v>230907</v>
      </c>
    </row>
    <row r="11041" spans="1:15" x14ac:dyDescent="0.25">
      <c r="A11041" t="s">
        <v>16</v>
      </c>
      <c r="B11041" t="s">
        <v>3221</v>
      </c>
      <c r="C11041">
        <v>11503</v>
      </c>
      <c r="D11041" t="s">
        <v>3661</v>
      </c>
      <c r="E11041" t="s">
        <v>858</v>
      </c>
      <c r="F11041">
        <v>309.08999999999997</v>
      </c>
      <c r="G11041">
        <v>230901</v>
      </c>
      <c r="H11041">
        <v>4470</v>
      </c>
      <c r="I11041" t="s">
        <v>83</v>
      </c>
      <c r="J11041">
        <v>340</v>
      </c>
      <c r="K11041">
        <v>30.91</v>
      </c>
      <c r="L11041">
        <v>49807</v>
      </c>
      <c r="M11041" t="s">
        <v>914</v>
      </c>
      <c r="N11041" t="str">
        <f>"269         "</f>
        <v xml:space="preserve">269         </v>
      </c>
      <c r="O11041">
        <v>230907</v>
      </c>
    </row>
    <row r="11042" spans="1:15" x14ac:dyDescent="0.25">
      <c r="A11042" t="s">
        <v>16</v>
      </c>
      <c r="B11042" t="s">
        <v>3221</v>
      </c>
      <c r="C11042">
        <v>13273</v>
      </c>
      <c r="D11042" t="s">
        <v>3661</v>
      </c>
      <c r="E11042" t="s">
        <v>858</v>
      </c>
      <c r="F11042">
        <v>418.18</v>
      </c>
      <c r="G11042">
        <v>230929</v>
      </c>
      <c r="H11042">
        <v>4470</v>
      </c>
      <c r="I11042" t="s">
        <v>83</v>
      </c>
      <c r="J11042">
        <v>460</v>
      </c>
      <c r="K11042">
        <v>41.82</v>
      </c>
      <c r="L11042">
        <v>49807</v>
      </c>
      <c r="M11042" t="s">
        <v>914</v>
      </c>
      <c r="N11042" t="str">
        <f>"386         "</f>
        <v xml:space="preserve">386         </v>
      </c>
      <c r="O11042">
        <v>231009</v>
      </c>
    </row>
    <row r="11043" spans="1:15" x14ac:dyDescent="0.25">
      <c r="A11043" t="s">
        <v>16</v>
      </c>
      <c r="B11043" t="s">
        <v>3221</v>
      </c>
      <c r="C11043">
        <v>14967</v>
      </c>
      <c r="D11043" t="s">
        <v>3661</v>
      </c>
      <c r="E11043" t="s">
        <v>858</v>
      </c>
      <c r="F11043">
        <v>454.55</v>
      </c>
      <c r="G11043">
        <v>231101</v>
      </c>
      <c r="H11043">
        <v>4470</v>
      </c>
      <c r="I11043" t="s">
        <v>83</v>
      </c>
      <c r="J11043">
        <v>500</v>
      </c>
      <c r="K11043">
        <v>45.45</v>
      </c>
      <c r="L11043">
        <v>49807</v>
      </c>
      <c r="M11043" t="s">
        <v>914</v>
      </c>
      <c r="N11043" t="str">
        <f>"515         "</f>
        <v xml:space="preserve">515         </v>
      </c>
      <c r="O11043">
        <v>231107</v>
      </c>
    </row>
    <row r="11044" spans="1:15" x14ac:dyDescent="0.25">
      <c r="A11044" t="s">
        <v>16</v>
      </c>
      <c r="B11044" t="s">
        <v>3221</v>
      </c>
      <c r="C11044">
        <v>16623</v>
      </c>
      <c r="D11044" t="s">
        <v>3661</v>
      </c>
      <c r="E11044" t="s">
        <v>858</v>
      </c>
      <c r="F11044">
        <v>45.45</v>
      </c>
      <c r="G11044">
        <v>231130</v>
      </c>
      <c r="H11044">
        <v>4470</v>
      </c>
      <c r="I11044" t="s">
        <v>83</v>
      </c>
      <c r="J11044">
        <v>50</v>
      </c>
      <c r="K11044">
        <v>4.55</v>
      </c>
      <c r="L11044">
        <v>46222</v>
      </c>
      <c r="M11044" t="s">
        <v>293</v>
      </c>
      <c r="N11044" t="str">
        <f>"633         "</f>
        <v xml:space="preserve">633         </v>
      </c>
      <c r="O11044">
        <v>231204</v>
      </c>
    </row>
    <row r="11045" spans="1:15" x14ac:dyDescent="0.25">
      <c r="A11045" t="s">
        <v>16</v>
      </c>
      <c r="B11045" t="s">
        <v>3221</v>
      </c>
      <c r="C11045">
        <v>16900</v>
      </c>
      <c r="D11045" t="s">
        <v>3661</v>
      </c>
      <c r="E11045" t="s">
        <v>858</v>
      </c>
      <c r="F11045">
        <v>495.45</v>
      </c>
      <c r="G11045">
        <v>231201</v>
      </c>
      <c r="H11045">
        <v>4470</v>
      </c>
      <c r="I11045" t="s">
        <v>83</v>
      </c>
      <c r="J11045">
        <v>545</v>
      </c>
      <c r="K11045">
        <v>49.55</v>
      </c>
      <c r="L11045">
        <v>49807</v>
      </c>
      <c r="M11045" t="s">
        <v>914</v>
      </c>
      <c r="N11045" t="str">
        <f>"636         "</f>
        <v xml:space="preserve">636         </v>
      </c>
      <c r="O11045">
        <v>231211</v>
      </c>
    </row>
    <row r="11046" spans="1:15" x14ac:dyDescent="0.25">
      <c r="A11046" t="s">
        <v>16</v>
      </c>
      <c r="B11046" t="s">
        <v>3221</v>
      </c>
      <c r="C11046">
        <v>18196</v>
      </c>
      <c r="D11046" t="s">
        <v>3661</v>
      </c>
      <c r="E11046" t="s">
        <v>858</v>
      </c>
      <c r="F11046">
        <v>313.64</v>
      </c>
      <c r="G11046">
        <v>231220</v>
      </c>
      <c r="H11046">
        <v>4470</v>
      </c>
      <c r="I11046" t="s">
        <v>83</v>
      </c>
      <c r="J11046">
        <v>345</v>
      </c>
      <c r="K11046">
        <v>31.36</v>
      </c>
      <c r="L11046">
        <v>49807</v>
      </c>
      <c r="M11046" t="s">
        <v>914</v>
      </c>
      <c r="N11046" t="str">
        <f>"725         "</f>
        <v xml:space="preserve">725         </v>
      </c>
      <c r="O11046">
        <v>240102</v>
      </c>
    </row>
    <row r="11047" spans="1:15" x14ac:dyDescent="0.25">
      <c r="A11047" t="s">
        <v>16</v>
      </c>
      <c r="B11047" t="s">
        <v>3221</v>
      </c>
      <c r="C11047">
        <v>18199</v>
      </c>
      <c r="D11047" t="s">
        <v>3661</v>
      </c>
      <c r="E11047" t="s">
        <v>858</v>
      </c>
      <c r="F11047">
        <v>31.82</v>
      </c>
      <c r="G11047">
        <v>231220</v>
      </c>
      <c r="H11047">
        <v>4470</v>
      </c>
      <c r="I11047" t="s">
        <v>83</v>
      </c>
      <c r="J11047">
        <v>35</v>
      </c>
      <c r="K11047">
        <v>3.18</v>
      </c>
      <c r="L11047">
        <v>46222</v>
      </c>
      <c r="M11047" t="s">
        <v>293</v>
      </c>
      <c r="N11047" t="str">
        <f>"724         "</f>
        <v xml:space="preserve">724         </v>
      </c>
      <c r="O11047">
        <v>240102</v>
      </c>
    </row>
    <row r="11048" spans="1:15" x14ac:dyDescent="0.25">
      <c r="A11048" t="s">
        <v>16</v>
      </c>
      <c r="B11048" t="s">
        <v>3221</v>
      </c>
      <c r="C11048">
        <v>1254</v>
      </c>
      <c r="D11048" t="s">
        <v>566</v>
      </c>
      <c r="E11048" t="s">
        <v>567</v>
      </c>
      <c r="F11048">
        <v>63.4</v>
      </c>
      <c r="G11048">
        <v>230130</v>
      </c>
      <c r="H11048">
        <v>4534</v>
      </c>
      <c r="I11048" t="s">
        <v>273</v>
      </c>
      <c r="J11048">
        <v>78.62</v>
      </c>
      <c r="K11048">
        <v>15.22</v>
      </c>
      <c r="L11048">
        <v>17131</v>
      </c>
      <c r="M11048" t="s">
        <v>64</v>
      </c>
      <c r="N11048" t="str">
        <f>"2332        "</f>
        <v xml:space="preserve">2332        </v>
      </c>
      <c r="O11048">
        <v>230207</v>
      </c>
    </row>
    <row r="11049" spans="1:15" x14ac:dyDescent="0.25">
      <c r="A11049" t="s">
        <v>16</v>
      </c>
      <c r="B11049" t="s">
        <v>3221</v>
      </c>
      <c r="C11049">
        <v>468</v>
      </c>
      <c r="D11049" t="s">
        <v>566</v>
      </c>
      <c r="E11049" t="s">
        <v>567</v>
      </c>
      <c r="F11049">
        <v>235.83</v>
      </c>
      <c r="G11049">
        <v>230120</v>
      </c>
      <c r="H11049">
        <v>4600</v>
      </c>
      <c r="I11049" t="s">
        <v>105</v>
      </c>
      <c r="J11049">
        <v>292.43</v>
      </c>
      <c r="K11049">
        <v>56.6</v>
      </c>
      <c r="L11049">
        <v>17131</v>
      </c>
      <c r="M11049" t="s">
        <v>64</v>
      </c>
      <c r="N11049" t="str">
        <f>"2322        "</f>
        <v xml:space="preserve">2322        </v>
      </c>
      <c r="O11049">
        <v>230123</v>
      </c>
    </row>
    <row r="11050" spans="1:15" x14ac:dyDescent="0.25">
      <c r="A11050" t="s">
        <v>16</v>
      </c>
      <c r="B11050" t="s">
        <v>3221</v>
      </c>
      <c r="C11050">
        <v>15358</v>
      </c>
      <c r="D11050" t="s">
        <v>566</v>
      </c>
      <c r="E11050" t="s">
        <v>567</v>
      </c>
      <c r="F11050">
        <v>320.08</v>
      </c>
      <c r="G11050">
        <v>231103</v>
      </c>
      <c r="H11050">
        <v>4600</v>
      </c>
      <c r="I11050" t="s">
        <v>105</v>
      </c>
      <c r="J11050">
        <v>396.9</v>
      </c>
      <c r="K11050">
        <v>76.819999999999993</v>
      </c>
      <c r="L11050">
        <v>17131</v>
      </c>
      <c r="M11050" t="s">
        <v>64</v>
      </c>
      <c r="N11050" t="str">
        <f>"23276       "</f>
        <v xml:space="preserve">23276       </v>
      </c>
      <c r="O11050">
        <v>231113</v>
      </c>
    </row>
    <row r="11051" spans="1:15" x14ac:dyDescent="0.25">
      <c r="A11051" t="s">
        <v>16</v>
      </c>
      <c r="B11051" t="s">
        <v>3221</v>
      </c>
      <c r="C11051">
        <v>16522</v>
      </c>
      <c r="D11051" t="s">
        <v>566</v>
      </c>
      <c r="E11051" t="s">
        <v>567</v>
      </c>
      <c r="F11051">
        <v>53.32</v>
      </c>
      <c r="G11051">
        <v>231128</v>
      </c>
      <c r="H11051">
        <v>4600</v>
      </c>
      <c r="I11051" t="s">
        <v>105</v>
      </c>
      <c r="J11051">
        <v>66.12</v>
      </c>
      <c r="K11051">
        <v>12.8</v>
      </c>
      <c r="L11051">
        <v>17131</v>
      </c>
      <c r="M11051" t="s">
        <v>64</v>
      </c>
      <c r="N11051" t="str">
        <f>"23320       "</f>
        <v xml:space="preserve">23320       </v>
      </c>
      <c r="O11051">
        <v>231201</v>
      </c>
    </row>
    <row r="11052" spans="1:15" x14ac:dyDescent="0.25">
      <c r="A11052" t="s">
        <v>16</v>
      </c>
      <c r="B11052" t="s">
        <v>3221</v>
      </c>
      <c r="C11052">
        <v>12936</v>
      </c>
      <c r="D11052" t="s">
        <v>566</v>
      </c>
      <c r="E11052" t="s">
        <v>567</v>
      </c>
      <c r="F11052">
        <v>196.07</v>
      </c>
      <c r="G11052">
        <v>230914</v>
      </c>
      <c r="H11052">
        <v>4555</v>
      </c>
      <c r="I11052" t="s">
        <v>481</v>
      </c>
      <c r="J11052">
        <v>243.13</v>
      </c>
      <c r="K11052">
        <v>47.06</v>
      </c>
      <c r="L11052">
        <v>44423</v>
      </c>
      <c r="M11052" t="s">
        <v>502</v>
      </c>
      <c r="N11052" t="str">
        <f>"23225       "</f>
        <v xml:space="preserve">23225       </v>
      </c>
      <c r="O11052">
        <v>231002</v>
      </c>
    </row>
    <row r="11053" spans="1:15" x14ac:dyDescent="0.25">
      <c r="A11053" t="s">
        <v>16</v>
      </c>
      <c r="B11053" t="s">
        <v>3221</v>
      </c>
      <c r="C11053">
        <v>269</v>
      </c>
      <c r="D11053" t="s">
        <v>215</v>
      </c>
      <c r="E11053" t="s">
        <v>216</v>
      </c>
      <c r="F11053">
        <v>856</v>
      </c>
      <c r="G11053">
        <v>221228</v>
      </c>
      <c r="H11053">
        <v>4574</v>
      </c>
      <c r="I11053" t="s">
        <v>396</v>
      </c>
      <c r="J11053">
        <v>1061.44</v>
      </c>
      <c r="K11053">
        <v>205.44</v>
      </c>
      <c r="L11053">
        <v>56528</v>
      </c>
      <c r="M11053" t="s">
        <v>153</v>
      </c>
      <c r="N11053" t="str">
        <f>"6902261273  "</f>
        <v xml:space="preserve">6902261273  </v>
      </c>
      <c r="O11053">
        <v>230117</v>
      </c>
    </row>
    <row r="11054" spans="1:15" x14ac:dyDescent="0.25">
      <c r="A11054" t="s">
        <v>16</v>
      </c>
      <c r="B11054" t="s">
        <v>3221</v>
      </c>
      <c r="C11054">
        <v>569</v>
      </c>
      <c r="D11054" t="s">
        <v>215</v>
      </c>
      <c r="E11054" t="s">
        <v>216</v>
      </c>
      <c r="F11054">
        <v>1126.56</v>
      </c>
      <c r="G11054">
        <v>230123</v>
      </c>
      <c r="H11054">
        <v>4574</v>
      </c>
      <c r="I11054" t="s">
        <v>396</v>
      </c>
      <c r="J11054">
        <v>1396.94</v>
      </c>
      <c r="K11054">
        <v>270.38</v>
      </c>
      <c r="L11054">
        <v>51151</v>
      </c>
      <c r="M11054" t="s">
        <v>620</v>
      </c>
      <c r="N11054" t="str">
        <f>"6902295860  "</f>
        <v xml:space="preserve">6902295860  </v>
      </c>
      <c r="O11054">
        <v>230124</v>
      </c>
    </row>
    <row r="11055" spans="1:15" x14ac:dyDescent="0.25">
      <c r="A11055" t="s">
        <v>16</v>
      </c>
      <c r="B11055" t="s">
        <v>3221</v>
      </c>
      <c r="C11055">
        <v>870</v>
      </c>
      <c r="D11055" t="s">
        <v>215</v>
      </c>
      <c r="E11055" t="s">
        <v>216</v>
      </c>
      <c r="F11055">
        <v>284</v>
      </c>
      <c r="G11055">
        <v>230110</v>
      </c>
      <c r="H11055">
        <v>4574</v>
      </c>
      <c r="I11055" t="s">
        <v>396</v>
      </c>
      <c r="J11055">
        <v>352.16</v>
      </c>
      <c r="K11055">
        <v>68.16</v>
      </c>
      <c r="L11055">
        <v>44424</v>
      </c>
      <c r="M11055" t="s">
        <v>776</v>
      </c>
      <c r="N11055" t="str">
        <f>"6902287958  "</f>
        <v xml:space="preserve">6902287958  </v>
      </c>
      <c r="O11055">
        <v>230131</v>
      </c>
    </row>
    <row r="11056" spans="1:15" x14ac:dyDescent="0.25">
      <c r="A11056" t="s">
        <v>16</v>
      </c>
      <c r="B11056" t="s">
        <v>3221</v>
      </c>
      <c r="C11056">
        <v>870</v>
      </c>
      <c r="D11056" t="s">
        <v>215</v>
      </c>
      <c r="E11056" t="s">
        <v>216</v>
      </c>
      <c r="F11056">
        <v>1229.6300000000001</v>
      </c>
      <c r="G11056">
        <v>230110</v>
      </c>
      <c r="H11056">
        <v>4574</v>
      </c>
      <c r="I11056" t="s">
        <v>396</v>
      </c>
      <c r="J11056">
        <v>1524.74</v>
      </c>
      <c r="K11056">
        <v>295.11</v>
      </c>
      <c r="L11056">
        <v>46554</v>
      </c>
      <c r="M11056" t="s">
        <v>117</v>
      </c>
      <c r="N11056" t="str">
        <f>"6902287958  "</f>
        <v xml:space="preserve">6902287958  </v>
      </c>
      <c r="O11056">
        <v>230131</v>
      </c>
    </row>
    <row r="11057" spans="1:15" x14ac:dyDescent="0.25">
      <c r="A11057" t="s">
        <v>16</v>
      </c>
      <c r="B11057" t="s">
        <v>3221</v>
      </c>
      <c r="C11057">
        <v>1061</v>
      </c>
      <c r="D11057" t="s">
        <v>215</v>
      </c>
      <c r="E11057" t="s">
        <v>216</v>
      </c>
      <c r="F11057">
        <v>1636.66</v>
      </c>
      <c r="G11057">
        <v>230131</v>
      </c>
      <c r="H11057">
        <v>4574</v>
      </c>
      <c r="I11057" t="s">
        <v>396</v>
      </c>
      <c r="J11057">
        <v>2029.46</v>
      </c>
      <c r="K11057">
        <v>392.8</v>
      </c>
      <c r="L11057">
        <v>17803</v>
      </c>
      <c r="M11057" t="s">
        <v>389</v>
      </c>
      <c r="N11057" t="str">
        <f>"6902302312  "</f>
        <v xml:space="preserve">6902302312  </v>
      </c>
      <c r="O11057">
        <v>230202</v>
      </c>
    </row>
    <row r="11058" spans="1:15" x14ac:dyDescent="0.25">
      <c r="A11058" t="s">
        <v>16</v>
      </c>
      <c r="B11058" t="s">
        <v>3221</v>
      </c>
      <c r="C11058">
        <v>1199</v>
      </c>
      <c r="D11058" t="s">
        <v>215</v>
      </c>
      <c r="E11058" t="s">
        <v>216</v>
      </c>
      <c r="F11058">
        <v>337.76</v>
      </c>
      <c r="G11058">
        <v>230131</v>
      </c>
      <c r="H11058">
        <v>4574</v>
      </c>
      <c r="I11058" t="s">
        <v>396</v>
      </c>
      <c r="J11058">
        <v>418.82</v>
      </c>
      <c r="K11058">
        <v>81.06</v>
      </c>
      <c r="L11058">
        <v>17536</v>
      </c>
      <c r="M11058" t="s">
        <v>734</v>
      </c>
      <c r="N11058" t="str">
        <f>"6902301782  "</f>
        <v xml:space="preserve">6902301782  </v>
      </c>
      <c r="O11058">
        <v>230206</v>
      </c>
    </row>
    <row r="11059" spans="1:15" x14ac:dyDescent="0.25">
      <c r="A11059" t="s">
        <v>16</v>
      </c>
      <c r="B11059" t="s">
        <v>3221</v>
      </c>
      <c r="C11059">
        <v>1201</v>
      </c>
      <c r="D11059" t="s">
        <v>215</v>
      </c>
      <c r="E11059" t="s">
        <v>216</v>
      </c>
      <c r="F11059">
        <v>-31.87</v>
      </c>
      <c r="G11059">
        <v>230131</v>
      </c>
      <c r="H11059">
        <v>4574</v>
      </c>
      <c r="I11059" t="s">
        <v>396</v>
      </c>
      <c r="J11059">
        <v>-39.520000000000003</v>
      </c>
      <c r="K11059">
        <v>-7.65</v>
      </c>
      <c r="L11059">
        <v>17536</v>
      </c>
      <c r="M11059" t="s">
        <v>734</v>
      </c>
      <c r="N11059" t="str">
        <f>"6902301791  "</f>
        <v xml:space="preserve">6902301791  </v>
      </c>
      <c r="O11059">
        <v>230206</v>
      </c>
    </row>
    <row r="11060" spans="1:15" x14ac:dyDescent="0.25">
      <c r="A11060" t="s">
        <v>16</v>
      </c>
      <c r="B11060" t="s">
        <v>3221</v>
      </c>
      <c r="C11060">
        <v>1209</v>
      </c>
      <c r="D11060" t="s">
        <v>215</v>
      </c>
      <c r="E11060" t="s">
        <v>216</v>
      </c>
      <c r="F11060">
        <v>150</v>
      </c>
      <c r="G11060">
        <v>230201</v>
      </c>
      <c r="H11060">
        <v>4574</v>
      </c>
      <c r="I11060" t="s">
        <v>396</v>
      </c>
      <c r="J11060">
        <v>186</v>
      </c>
      <c r="K11060">
        <v>36</v>
      </c>
      <c r="L11060">
        <v>56558</v>
      </c>
      <c r="M11060" t="s">
        <v>217</v>
      </c>
      <c r="N11060" t="str">
        <f>"6902301310  "</f>
        <v xml:space="preserve">6902301310  </v>
      </c>
      <c r="O11060">
        <v>230206</v>
      </c>
    </row>
    <row r="11061" spans="1:15" x14ac:dyDescent="0.25">
      <c r="A11061" t="s">
        <v>16</v>
      </c>
      <c r="B11061" t="s">
        <v>3221</v>
      </c>
      <c r="C11061">
        <v>1485</v>
      </c>
      <c r="D11061" t="s">
        <v>215</v>
      </c>
      <c r="E11061" t="s">
        <v>216</v>
      </c>
      <c r="F11061">
        <v>61.69</v>
      </c>
      <c r="G11061">
        <v>230131</v>
      </c>
      <c r="H11061">
        <v>4574</v>
      </c>
      <c r="I11061" t="s">
        <v>396</v>
      </c>
      <c r="J11061">
        <v>76.5</v>
      </c>
      <c r="K11061">
        <v>14.81</v>
      </c>
      <c r="L11061">
        <v>47522</v>
      </c>
      <c r="M11061" t="s">
        <v>410</v>
      </c>
      <c r="N11061" t="str">
        <f>"6902317748  "</f>
        <v xml:space="preserve">6902317748  </v>
      </c>
      <c r="O11061">
        <v>230209</v>
      </c>
    </row>
    <row r="11062" spans="1:15" x14ac:dyDescent="0.25">
      <c r="A11062" t="s">
        <v>16</v>
      </c>
      <c r="B11062" t="s">
        <v>3221</v>
      </c>
      <c r="C11062">
        <v>1748</v>
      </c>
      <c r="D11062" t="s">
        <v>215</v>
      </c>
      <c r="E11062" t="s">
        <v>216</v>
      </c>
      <c r="F11062">
        <v>878.65</v>
      </c>
      <c r="G11062">
        <v>230207</v>
      </c>
      <c r="H11062">
        <v>4574</v>
      </c>
      <c r="I11062" t="s">
        <v>396</v>
      </c>
      <c r="J11062">
        <v>1089.53</v>
      </c>
      <c r="K11062">
        <v>210.88</v>
      </c>
      <c r="L11062">
        <v>17534</v>
      </c>
      <c r="M11062" t="s">
        <v>440</v>
      </c>
      <c r="N11062" t="str">
        <f>"6902331305  "</f>
        <v xml:space="preserve">6902331305  </v>
      </c>
      <c r="O11062">
        <v>230213</v>
      </c>
    </row>
    <row r="11063" spans="1:15" x14ac:dyDescent="0.25">
      <c r="A11063" t="s">
        <v>16</v>
      </c>
      <c r="B11063" t="s">
        <v>3221</v>
      </c>
      <c r="C11063">
        <v>1757</v>
      </c>
      <c r="D11063" t="s">
        <v>215</v>
      </c>
      <c r="E11063" t="s">
        <v>216</v>
      </c>
      <c r="F11063">
        <v>688.68</v>
      </c>
      <c r="G11063">
        <v>230203</v>
      </c>
      <c r="H11063">
        <v>4574</v>
      </c>
      <c r="I11063" t="s">
        <v>396</v>
      </c>
      <c r="J11063">
        <v>853.96</v>
      </c>
      <c r="K11063">
        <v>165.28</v>
      </c>
      <c r="L11063">
        <v>17804</v>
      </c>
      <c r="M11063" t="s">
        <v>549</v>
      </c>
      <c r="N11063" t="str">
        <f>"6902329063  "</f>
        <v xml:space="preserve">6902329063  </v>
      </c>
      <c r="O11063">
        <v>230213</v>
      </c>
    </row>
    <row r="11064" spans="1:15" x14ac:dyDescent="0.25">
      <c r="A11064" t="s">
        <v>16</v>
      </c>
      <c r="B11064" t="s">
        <v>3221</v>
      </c>
      <c r="C11064">
        <v>2063</v>
      </c>
      <c r="D11064" t="s">
        <v>215</v>
      </c>
      <c r="E11064" t="s">
        <v>216</v>
      </c>
      <c r="F11064">
        <v>370.2</v>
      </c>
      <c r="G11064">
        <v>230131</v>
      </c>
      <c r="H11064">
        <v>4574</v>
      </c>
      <c r="I11064" t="s">
        <v>396</v>
      </c>
      <c r="J11064">
        <v>459.05</v>
      </c>
      <c r="K11064">
        <v>88.85</v>
      </c>
      <c r="L11064">
        <v>17522</v>
      </c>
      <c r="M11064" t="s">
        <v>451</v>
      </c>
      <c r="N11064" t="str">
        <f>"6902302336  "</f>
        <v xml:space="preserve">6902302336  </v>
      </c>
      <c r="O11064">
        <v>230220</v>
      </c>
    </row>
    <row r="11065" spans="1:15" x14ac:dyDescent="0.25">
      <c r="A11065" t="s">
        <v>16</v>
      </c>
      <c r="B11065" t="s">
        <v>3221</v>
      </c>
      <c r="C11065">
        <v>3028</v>
      </c>
      <c r="D11065" t="s">
        <v>215</v>
      </c>
      <c r="E11065" t="s">
        <v>216</v>
      </c>
      <c r="F11065">
        <v>150</v>
      </c>
      <c r="G11065">
        <v>230301</v>
      </c>
      <c r="H11065">
        <v>4574</v>
      </c>
      <c r="I11065" t="s">
        <v>396</v>
      </c>
      <c r="J11065">
        <v>186</v>
      </c>
      <c r="K11065">
        <v>36</v>
      </c>
      <c r="L11065">
        <v>56558</v>
      </c>
      <c r="M11065" t="s">
        <v>217</v>
      </c>
      <c r="N11065" t="str">
        <f>"6902343685  "</f>
        <v xml:space="preserve">6902343685  </v>
      </c>
      <c r="O11065">
        <v>230308</v>
      </c>
    </row>
    <row r="11066" spans="1:15" x14ac:dyDescent="0.25">
      <c r="A11066" t="s">
        <v>16</v>
      </c>
      <c r="B11066" t="s">
        <v>3221</v>
      </c>
      <c r="C11066">
        <v>3321</v>
      </c>
      <c r="D11066" t="s">
        <v>215</v>
      </c>
      <c r="E11066" t="s">
        <v>216</v>
      </c>
      <c r="F11066">
        <v>292.89</v>
      </c>
      <c r="G11066">
        <v>230310</v>
      </c>
      <c r="H11066">
        <v>4574</v>
      </c>
      <c r="I11066" t="s">
        <v>396</v>
      </c>
      <c r="J11066">
        <v>363.18</v>
      </c>
      <c r="K11066">
        <v>70.290000000000006</v>
      </c>
      <c r="L11066">
        <v>17534</v>
      </c>
      <c r="M11066" t="s">
        <v>440</v>
      </c>
      <c r="N11066" t="str">
        <f>"6902364616  "</f>
        <v xml:space="preserve">6902364616  </v>
      </c>
      <c r="O11066">
        <v>230314</v>
      </c>
    </row>
    <row r="11067" spans="1:15" x14ac:dyDescent="0.25">
      <c r="A11067" t="s">
        <v>16</v>
      </c>
      <c r="B11067" t="s">
        <v>3221</v>
      </c>
      <c r="C11067">
        <v>3321</v>
      </c>
      <c r="D11067" t="s">
        <v>215</v>
      </c>
      <c r="E11067" t="s">
        <v>216</v>
      </c>
      <c r="F11067">
        <v>292.89</v>
      </c>
      <c r="G11067">
        <v>230310</v>
      </c>
      <c r="H11067">
        <v>4574</v>
      </c>
      <c r="I11067" t="s">
        <v>396</v>
      </c>
      <c r="J11067">
        <v>363.18</v>
      </c>
      <c r="K11067">
        <v>70.290000000000006</v>
      </c>
      <c r="L11067">
        <v>17535</v>
      </c>
      <c r="M11067" t="s">
        <v>357</v>
      </c>
      <c r="N11067" t="str">
        <f>"6902364616  "</f>
        <v xml:space="preserve">6902364616  </v>
      </c>
      <c r="O11067">
        <v>230314</v>
      </c>
    </row>
    <row r="11068" spans="1:15" x14ac:dyDescent="0.25">
      <c r="A11068" t="s">
        <v>16</v>
      </c>
      <c r="B11068" t="s">
        <v>3221</v>
      </c>
      <c r="C11068">
        <v>3321</v>
      </c>
      <c r="D11068" t="s">
        <v>215</v>
      </c>
      <c r="E11068" t="s">
        <v>216</v>
      </c>
      <c r="F11068">
        <v>292.88</v>
      </c>
      <c r="G11068">
        <v>230310</v>
      </c>
      <c r="H11068">
        <v>4574</v>
      </c>
      <c r="I11068" t="s">
        <v>396</v>
      </c>
      <c r="J11068">
        <v>363.17</v>
      </c>
      <c r="K11068">
        <v>70.290000000000006</v>
      </c>
      <c r="L11068">
        <v>17536</v>
      </c>
      <c r="M11068" t="s">
        <v>734</v>
      </c>
      <c r="N11068" t="str">
        <f>"6902364616  "</f>
        <v xml:space="preserve">6902364616  </v>
      </c>
      <c r="O11068">
        <v>230314</v>
      </c>
    </row>
    <row r="11069" spans="1:15" x14ac:dyDescent="0.25">
      <c r="A11069" t="s">
        <v>16</v>
      </c>
      <c r="B11069" t="s">
        <v>3221</v>
      </c>
      <c r="C11069">
        <v>3509</v>
      </c>
      <c r="D11069" t="s">
        <v>215</v>
      </c>
      <c r="E11069" t="s">
        <v>216</v>
      </c>
      <c r="F11069">
        <v>-31.87</v>
      </c>
      <c r="G11069">
        <v>230314</v>
      </c>
      <c r="H11069">
        <v>4574</v>
      </c>
      <c r="I11069" t="s">
        <v>396</v>
      </c>
      <c r="J11069">
        <v>-39.520000000000003</v>
      </c>
      <c r="K11069">
        <v>-7.65</v>
      </c>
      <c r="L11069">
        <v>17536</v>
      </c>
      <c r="M11069" t="s">
        <v>734</v>
      </c>
      <c r="N11069" t="str">
        <f>"6902365587  "</f>
        <v xml:space="preserve">6902365587  </v>
      </c>
      <c r="O11069">
        <v>230316</v>
      </c>
    </row>
    <row r="11070" spans="1:15" x14ac:dyDescent="0.25">
      <c r="A11070" t="s">
        <v>16</v>
      </c>
      <c r="B11070" t="s">
        <v>3221</v>
      </c>
      <c r="C11070">
        <v>3551</v>
      </c>
      <c r="D11070" t="s">
        <v>215</v>
      </c>
      <c r="E11070" t="s">
        <v>216</v>
      </c>
      <c r="F11070">
        <v>269.43</v>
      </c>
      <c r="G11070">
        <v>230306</v>
      </c>
      <c r="H11070">
        <v>4574</v>
      </c>
      <c r="I11070" t="s">
        <v>396</v>
      </c>
      <c r="J11070">
        <v>334.09</v>
      </c>
      <c r="K11070">
        <v>64.66</v>
      </c>
      <c r="L11070">
        <v>56528</v>
      </c>
      <c r="M11070" t="s">
        <v>153</v>
      </c>
      <c r="N11070" t="str">
        <f>"6902361612  "</f>
        <v xml:space="preserve">6902361612  </v>
      </c>
      <c r="O11070">
        <v>230316</v>
      </c>
    </row>
    <row r="11071" spans="1:15" x14ac:dyDescent="0.25">
      <c r="A11071" t="s">
        <v>16</v>
      </c>
      <c r="B11071" t="s">
        <v>3221</v>
      </c>
      <c r="C11071">
        <v>3644</v>
      </c>
      <c r="D11071" t="s">
        <v>215</v>
      </c>
      <c r="E11071" t="s">
        <v>216</v>
      </c>
      <c r="F11071">
        <v>1408.75</v>
      </c>
      <c r="G11071">
        <v>230314</v>
      </c>
      <c r="H11071">
        <v>4574</v>
      </c>
      <c r="I11071" t="s">
        <v>396</v>
      </c>
      <c r="J11071">
        <v>1746.85</v>
      </c>
      <c r="K11071">
        <v>338.1</v>
      </c>
      <c r="L11071">
        <v>17803</v>
      </c>
      <c r="M11071" t="s">
        <v>389</v>
      </c>
      <c r="N11071" t="str">
        <f>"6902366264  "</f>
        <v xml:space="preserve">6902366264  </v>
      </c>
      <c r="O11071">
        <v>230320</v>
      </c>
    </row>
    <row r="11072" spans="1:15" x14ac:dyDescent="0.25">
      <c r="A11072" t="s">
        <v>16</v>
      </c>
      <c r="B11072" t="s">
        <v>3221</v>
      </c>
      <c r="C11072">
        <v>3645</v>
      </c>
      <c r="D11072" t="s">
        <v>215</v>
      </c>
      <c r="E11072" t="s">
        <v>216</v>
      </c>
      <c r="F11072">
        <v>239.58</v>
      </c>
      <c r="G11072">
        <v>230314</v>
      </c>
      <c r="H11072">
        <v>4574</v>
      </c>
      <c r="I11072" t="s">
        <v>396</v>
      </c>
      <c r="J11072">
        <v>297.08</v>
      </c>
      <c r="K11072">
        <v>57.5</v>
      </c>
      <c r="L11072">
        <v>17536</v>
      </c>
      <c r="M11072" t="s">
        <v>734</v>
      </c>
      <c r="N11072" t="str">
        <f>"6902365586  "</f>
        <v xml:space="preserve">6902365586  </v>
      </c>
      <c r="O11072">
        <v>230320</v>
      </c>
    </row>
    <row r="11073" spans="1:15" x14ac:dyDescent="0.25">
      <c r="A11073" t="s">
        <v>16</v>
      </c>
      <c r="B11073" t="s">
        <v>3221</v>
      </c>
      <c r="C11073">
        <v>3811</v>
      </c>
      <c r="D11073" t="s">
        <v>215</v>
      </c>
      <c r="E11073" t="s">
        <v>216</v>
      </c>
      <c r="F11073">
        <v>1009.3</v>
      </c>
      <c r="G11073">
        <v>230307</v>
      </c>
      <c r="H11073">
        <v>4574</v>
      </c>
      <c r="I11073" t="s">
        <v>396</v>
      </c>
      <c r="J11073">
        <v>1251.53</v>
      </c>
      <c r="K11073">
        <v>242.23</v>
      </c>
      <c r="L11073">
        <v>49501</v>
      </c>
      <c r="M11073" t="s">
        <v>177</v>
      </c>
      <c r="N11073" t="str">
        <f>"6902362414  "</f>
        <v xml:space="preserve">6902362414  </v>
      </c>
      <c r="O11073">
        <v>230323</v>
      </c>
    </row>
    <row r="11074" spans="1:15" x14ac:dyDescent="0.25">
      <c r="A11074" t="s">
        <v>16</v>
      </c>
      <c r="B11074" t="s">
        <v>3221</v>
      </c>
      <c r="C11074">
        <v>4010</v>
      </c>
      <c r="D11074" t="s">
        <v>215</v>
      </c>
      <c r="E11074" t="s">
        <v>216</v>
      </c>
      <c r="F11074">
        <v>2713.94</v>
      </c>
      <c r="G11074">
        <v>230323</v>
      </c>
      <c r="H11074">
        <v>4574</v>
      </c>
      <c r="I11074" t="s">
        <v>396</v>
      </c>
      <c r="J11074">
        <v>3365.28</v>
      </c>
      <c r="K11074">
        <v>651.34</v>
      </c>
      <c r="L11074">
        <v>56558</v>
      </c>
      <c r="M11074" t="s">
        <v>217</v>
      </c>
      <c r="N11074" t="str">
        <f>"6902371438  "</f>
        <v xml:space="preserve">6902371438  </v>
      </c>
      <c r="O11074">
        <v>230329</v>
      </c>
    </row>
    <row r="11075" spans="1:15" x14ac:dyDescent="0.25">
      <c r="A11075" t="s">
        <v>16</v>
      </c>
      <c r="B11075" t="s">
        <v>3221</v>
      </c>
      <c r="C11075">
        <v>4032</v>
      </c>
      <c r="D11075" t="s">
        <v>215</v>
      </c>
      <c r="E11075" t="s">
        <v>216</v>
      </c>
      <c r="F11075">
        <v>878.65</v>
      </c>
      <c r="G11075">
        <v>230328</v>
      </c>
      <c r="H11075">
        <v>4574</v>
      </c>
      <c r="I11075" t="s">
        <v>396</v>
      </c>
      <c r="J11075">
        <v>1089.53</v>
      </c>
      <c r="K11075">
        <v>210.88</v>
      </c>
      <c r="L11075">
        <v>17534</v>
      </c>
      <c r="M11075" t="s">
        <v>440</v>
      </c>
      <c r="N11075" t="str">
        <f>"6902374212  "</f>
        <v xml:space="preserve">6902374212  </v>
      </c>
      <c r="O11075">
        <v>230329</v>
      </c>
    </row>
    <row r="11076" spans="1:15" x14ac:dyDescent="0.25">
      <c r="A11076" t="s">
        <v>16</v>
      </c>
      <c r="B11076" t="s">
        <v>3221</v>
      </c>
      <c r="C11076">
        <v>4329</v>
      </c>
      <c r="D11076" t="s">
        <v>215</v>
      </c>
      <c r="E11076" t="s">
        <v>216</v>
      </c>
      <c r="F11076">
        <v>224.7</v>
      </c>
      <c r="G11076">
        <v>230327</v>
      </c>
      <c r="H11076">
        <v>4574</v>
      </c>
      <c r="I11076" t="s">
        <v>396</v>
      </c>
      <c r="J11076">
        <v>278.63</v>
      </c>
      <c r="K11076">
        <v>53.93</v>
      </c>
      <c r="L11076">
        <v>56564</v>
      </c>
      <c r="M11076" t="s">
        <v>327</v>
      </c>
      <c r="N11076" t="str">
        <f>"6902373770  "</f>
        <v xml:space="preserve">6902373770  </v>
      </c>
      <c r="O11076">
        <v>230404</v>
      </c>
    </row>
    <row r="11077" spans="1:15" x14ac:dyDescent="0.25">
      <c r="A11077" t="s">
        <v>16</v>
      </c>
      <c r="B11077" t="s">
        <v>3221</v>
      </c>
      <c r="C11077">
        <v>4388</v>
      </c>
      <c r="D11077" t="s">
        <v>215</v>
      </c>
      <c r="E11077" t="s">
        <v>216</v>
      </c>
      <c r="F11077">
        <v>150</v>
      </c>
      <c r="G11077">
        <v>230401</v>
      </c>
      <c r="H11077">
        <v>4574</v>
      </c>
      <c r="I11077" t="s">
        <v>396</v>
      </c>
      <c r="J11077">
        <v>186</v>
      </c>
      <c r="K11077">
        <v>36</v>
      </c>
      <c r="L11077">
        <v>56558</v>
      </c>
      <c r="M11077" t="s">
        <v>217</v>
      </c>
      <c r="N11077" t="str">
        <f>"6902376053  "</f>
        <v xml:space="preserve">6902376053  </v>
      </c>
      <c r="O11077">
        <v>230405</v>
      </c>
    </row>
    <row r="11078" spans="1:15" x14ac:dyDescent="0.25">
      <c r="A11078" t="s">
        <v>16</v>
      </c>
      <c r="B11078" t="s">
        <v>3221</v>
      </c>
      <c r="C11078">
        <v>4455</v>
      </c>
      <c r="D11078" t="s">
        <v>215</v>
      </c>
      <c r="E11078" t="s">
        <v>216</v>
      </c>
      <c r="F11078">
        <v>85.8</v>
      </c>
      <c r="G11078">
        <v>230323</v>
      </c>
      <c r="H11078">
        <v>4574</v>
      </c>
      <c r="I11078" t="s">
        <v>396</v>
      </c>
      <c r="J11078">
        <v>106.39</v>
      </c>
      <c r="K11078">
        <v>20.59</v>
      </c>
      <c r="L11078">
        <v>46554</v>
      </c>
      <c r="M11078" t="s">
        <v>117</v>
      </c>
      <c r="N11078" t="str">
        <f>"6902371722  "</f>
        <v xml:space="preserve">6902371722  </v>
      </c>
      <c r="O11078">
        <v>230406</v>
      </c>
    </row>
    <row r="11079" spans="1:15" x14ac:dyDescent="0.25">
      <c r="A11079" t="s">
        <v>16</v>
      </c>
      <c r="B11079" t="s">
        <v>3221</v>
      </c>
      <c r="C11079">
        <v>4459</v>
      </c>
      <c r="D11079" t="s">
        <v>215</v>
      </c>
      <c r="E11079" t="s">
        <v>216</v>
      </c>
      <c r="F11079">
        <v>2989.7</v>
      </c>
      <c r="G11079">
        <v>230324</v>
      </c>
      <c r="H11079">
        <v>4574</v>
      </c>
      <c r="I11079" t="s">
        <v>396</v>
      </c>
      <c r="J11079">
        <v>3707.23</v>
      </c>
      <c r="K11079">
        <v>717.53</v>
      </c>
      <c r="L11079">
        <v>46554</v>
      </c>
      <c r="M11079" t="s">
        <v>117</v>
      </c>
      <c r="N11079" t="str">
        <f>"6902372148  "</f>
        <v xml:space="preserve">6902372148  </v>
      </c>
      <c r="O11079">
        <v>230406</v>
      </c>
    </row>
    <row r="11080" spans="1:15" x14ac:dyDescent="0.25">
      <c r="A11080" t="s">
        <v>16</v>
      </c>
      <c r="B11080" t="s">
        <v>3221</v>
      </c>
      <c r="C11080">
        <v>4969</v>
      </c>
      <c r="D11080" t="s">
        <v>215</v>
      </c>
      <c r="E11080" t="s">
        <v>216</v>
      </c>
      <c r="F11080">
        <v>535.01</v>
      </c>
      <c r="G11080">
        <v>230404</v>
      </c>
      <c r="H11080">
        <v>4574</v>
      </c>
      <c r="I11080" t="s">
        <v>396</v>
      </c>
      <c r="J11080">
        <v>663.41</v>
      </c>
      <c r="K11080">
        <v>128.4</v>
      </c>
      <c r="L11080">
        <v>17522</v>
      </c>
      <c r="M11080" t="s">
        <v>451</v>
      </c>
      <c r="N11080" t="str">
        <f>"6902397814  "</f>
        <v xml:space="preserve">6902397814  </v>
      </c>
      <c r="O11080">
        <v>230414</v>
      </c>
    </row>
    <row r="11081" spans="1:15" x14ac:dyDescent="0.25">
      <c r="A11081" t="s">
        <v>16</v>
      </c>
      <c r="B11081" t="s">
        <v>3221</v>
      </c>
      <c r="C11081">
        <v>5477</v>
      </c>
      <c r="D11081" t="s">
        <v>215</v>
      </c>
      <c r="E11081" t="s">
        <v>216</v>
      </c>
      <c r="F11081">
        <v>878.65</v>
      </c>
      <c r="G11081">
        <v>230418</v>
      </c>
      <c r="H11081">
        <v>4574</v>
      </c>
      <c r="I11081" t="s">
        <v>396</v>
      </c>
      <c r="J11081">
        <v>1089.53</v>
      </c>
      <c r="K11081">
        <v>210.88</v>
      </c>
      <c r="L11081">
        <v>17534</v>
      </c>
      <c r="M11081" t="s">
        <v>440</v>
      </c>
      <c r="N11081" t="str">
        <f>"6902405681  "</f>
        <v xml:space="preserve">6902405681  </v>
      </c>
      <c r="O11081">
        <v>230425</v>
      </c>
    </row>
    <row r="11082" spans="1:15" x14ac:dyDescent="0.25">
      <c r="A11082" t="s">
        <v>16</v>
      </c>
      <c r="B11082" t="s">
        <v>3221</v>
      </c>
      <c r="C11082">
        <v>5773</v>
      </c>
      <c r="D11082" t="s">
        <v>215</v>
      </c>
      <c r="E11082" t="s">
        <v>216</v>
      </c>
      <c r="F11082">
        <v>2431.37</v>
      </c>
      <c r="G11082">
        <v>230424</v>
      </c>
      <c r="H11082">
        <v>4574</v>
      </c>
      <c r="I11082" t="s">
        <v>396</v>
      </c>
      <c r="J11082">
        <v>3014.9</v>
      </c>
      <c r="K11082">
        <v>583.53</v>
      </c>
      <c r="L11082">
        <v>56558</v>
      </c>
      <c r="M11082" t="s">
        <v>217</v>
      </c>
      <c r="N11082" t="str">
        <f>"6902409240  "</f>
        <v xml:space="preserve">6902409240  </v>
      </c>
      <c r="O11082">
        <v>230502</v>
      </c>
    </row>
    <row r="11083" spans="1:15" x14ac:dyDescent="0.25">
      <c r="A11083" t="s">
        <v>16</v>
      </c>
      <c r="B11083" t="s">
        <v>3221</v>
      </c>
      <c r="C11083">
        <v>5816</v>
      </c>
      <c r="D11083" t="s">
        <v>215</v>
      </c>
      <c r="E11083" t="s">
        <v>216</v>
      </c>
      <c r="F11083">
        <v>150</v>
      </c>
      <c r="G11083">
        <v>230501</v>
      </c>
      <c r="H11083">
        <v>4574</v>
      </c>
      <c r="I11083" t="s">
        <v>396</v>
      </c>
      <c r="J11083">
        <v>186</v>
      </c>
      <c r="K11083">
        <v>36</v>
      </c>
      <c r="L11083">
        <v>56558</v>
      </c>
      <c r="M11083" t="s">
        <v>217</v>
      </c>
      <c r="N11083" t="str">
        <f>"6902414515  "</f>
        <v xml:space="preserve">6902414515  </v>
      </c>
      <c r="O11083">
        <v>230503</v>
      </c>
    </row>
    <row r="11084" spans="1:15" x14ac:dyDescent="0.25">
      <c r="A11084" t="s">
        <v>16</v>
      </c>
      <c r="B11084" t="s">
        <v>3221</v>
      </c>
      <c r="C11084">
        <v>5961</v>
      </c>
      <c r="D11084" t="s">
        <v>215</v>
      </c>
      <c r="E11084" t="s">
        <v>216</v>
      </c>
      <c r="F11084">
        <v>207.12</v>
      </c>
      <c r="G11084">
        <v>230428</v>
      </c>
      <c r="H11084">
        <v>4574</v>
      </c>
      <c r="I11084" t="s">
        <v>396</v>
      </c>
      <c r="J11084">
        <v>256.83</v>
      </c>
      <c r="K11084">
        <v>49.71</v>
      </c>
      <c r="L11084">
        <v>17536</v>
      </c>
      <c r="M11084" t="s">
        <v>734</v>
      </c>
      <c r="N11084" t="str">
        <f>"6902413705  "</f>
        <v xml:space="preserve">6902413705  </v>
      </c>
      <c r="O11084">
        <v>230504</v>
      </c>
    </row>
    <row r="11085" spans="1:15" x14ac:dyDescent="0.25">
      <c r="A11085" t="s">
        <v>16</v>
      </c>
      <c r="B11085" t="s">
        <v>3221</v>
      </c>
      <c r="C11085">
        <v>6150</v>
      </c>
      <c r="D11085" t="s">
        <v>215</v>
      </c>
      <c r="E11085" t="s">
        <v>216</v>
      </c>
      <c r="F11085">
        <v>13.5</v>
      </c>
      <c r="G11085">
        <v>230430</v>
      </c>
      <c r="H11085">
        <v>4574</v>
      </c>
      <c r="I11085" t="s">
        <v>396</v>
      </c>
      <c r="J11085">
        <v>16.739999999999998</v>
      </c>
      <c r="K11085">
        <v>3.24</v>
      </c>
      <c r="L11085">
        <v>17536</v>
      </c>
      <c r="M11085" t="s">
        <v>734</v>
      </c>
      <c r="N11085" t="str">
        <f>"6902426146  "</f>
        <v xml:space="preserve">6902426146  </v>
      </c>
      <c r="O11085">
        <v>230508</v>
      </c>
    </row>
    <row r="11086" spans="1:15" x14ac:dyDescent="0.25">
      <c r="A11086" t="s">
        <v>16</v>
      </c>
      <c r="B11086" t="s">
        <v>3221</v>
      </c>
      <c r="C11086">
        <v>7171</v>
      </c>
      <c r="D11086" t="s">
        <v>215</v>
      </c>
      <c r="E11086" t="s">
        <v>216</v>
      </c>
      <c r="F11086">
        <v>582.95000000000005</v>
      </c>
      <c r="G11086">
        <v>230522</v>
      </c>
      <c r="H11086">
        <v>4574</v>
      </c>
      <c r="I11086" t="s">
        <v>396</v>
      </c>
      <c r="J11086">
        <v>722.86</v>
      </c>
      <c r="K11086">
        <v>139.91</v>
      </c>
      <c r="L11086">
        <v>56558</v>
      </c>
      <c r="M11086" t="s">
        <v>217</v>
      </c>
      <c r="N11086" t="str">
        <f>"6902449380  "</f>
        <v xml:space="preserve">6902449380  </v>
      </c>
      <c r="O11086">
        <v>230525</v>
      </c>
    </row>
    <row r="11087" spans="1:15" x14ac:dyDescent="0.25">
      <c r="A11087" t="s">
        <v>16</v>
      </c>
      <c r="B11087" t="s">
        <v>3221</v>
      </c>
      <c r="C11087">
        <v>7261</v>
      </c>
      <c r="D11087" t="s">
        <v>215</v>
      </c>
      <c r="E11087" t="s">
        <v>216</v>
      </c>
      <c r="F11087">
        <v>1202.79</v>
      </c>
      <c r="G11087">
        <v>230525</v>
      </c>
      <c r="H11087">
        <v>4574</v>
      </c>
      <c r="I11087" t="s">
        <v>396</v>
      </c>
      <c r="J11087">
        <v>1491.46</v>
      </c>
      <c r="K11087">
        <v>288.67</v>
      </c>
      <c r="L11087">
        <v>56558</v>
      </c>
      <c r="M11087" t="s">
        <v>217</v>
      </c>
      <c r="N11087" t="str">
        <f>"6902452877  "</f>
        <v xml:space="preserve">6902452877  </v>
      </c>
      <c r="O11087">
        <v>230526</v>
      </c>
    </row>
    <row r="11088" spans="1:15" x14ac:dyDescent="0.25">
      <c r="A11088" t="s">
        <v>16</v>
      </c>
      <c r="B11088" t="s">
        <v>3221</v>
      </c>
      <c r="C11088">
        <v>7426</v>
      </c>
      <c r="D11088" t="s">
        <v>215</v>
      </c>
      <c r="E11088" t="s">
        <v>216</v>
      </c>
      <c r="F11088">
        <v>912.87</v>
      </c>
      <c r="G11088">
        <v>230526</v>
      </c>
      <c r="H11088">
        <v>4574</v>
      </c>
      <c r="I11088" t="s">
        <v>396</v>
      </c>
      <c r="J11088">
        <v>1131.96</v>
      </c>
      <c r="K11088">
        <v>219.09</v>
      </c>
      <c r="L11088">
        <v>17535</v>
      </c>
      <c r="M11088" t="s">
        <v>357</v>
      </c>
      <c r="N11088" t="str">
        <f>"6902453910  "</f>
        <v xml:space="preserve">6902453910  </v>
      </c>
      <c r="O11088">
        <v>230530</v>
      </c>
    </row>
    <row r="11089" spans="1:15" x14ac:dyDescent="0.25">
      <c r="A11089" t="s">
        <v>16</v>
      </c>
      <c r="B11089" t="s">
        <v>3221</v>
      </c>
      <c r="C11089">
        <v>8709</v>
      </c>
      <c r="D11089" t="s">
        <v>215</v>
      </c>
      <c r="E11089" t="s">
        <v>216</v>
      </c>
      <c r="F11089">
        <v>923.92</v>
      </c>
      <c r="G11089">
        <v>230602</v>
      </c>
      <c r="H11089">
        <v>4574</v>
      </c>
      <c r="I11089" t="s">
        <v>396</v>
      </c>
      <c r="J11089">
        <v>1145.6600000000001</v>
      </c>
      <c r="K11089">
        <v>221.74</v>
      </c>
      <c r="L11089">
        <v>46554</v>
      </c>
      <c r="M11089" t="s">
        <v>117</v>
      </c>
      <c r="N11089" t="str">
        <f>"6902486358  "</f>
        <v xml:space="preserve">6902486358  </v>
      </c>
      <c r="O11089">
        <v>230613</v>
      </c>
    </row>
    <row r="11090" spans="1:15" x14ac:dyDescent="0.25">
      <c r="A11090" t="s">
        <v>16</v>
      </c>
      <c r="B11090" t="s">
        <v>3221</v>
      </c>
      <c r="C11090">
        <v>9468</v>
      </c>
      <c r="D11090" t="s">
        <v>215</v>
      </c>
      <c r="E11090" t="s">
        <v>216</v>
      </c>
      <c r="F11090">
        <v>13.5</v>
      </c>
      <c r="G11090">
        <v>230630</v>
      </c>
      <c r="H11090">
        <v>4574</v>
      </c>
      <c r="I11090" t="s">
        <v>396</v>
      </c>
      <c r="J11090">
        <v>16.739999999999998</v>
      </c>
      <c r="K11090">
        <v>3.24</v>
      </c>
      <c r="L11090">
        <v>17535</v>
      </c>
      <c r="M11090" t="s">
        <v>357</v>
      </c>
      <c r="N11090" t="str">
        <f>"6902526573  "</f>
        <v xml:space="preserve">6902526573  </v>
      </c>
      <c r="O11090">
        <v>230711</v>
      </c>
    </row>
    <row r="11091" spans="1:15" x14ac:dyDescent="0.25">
      <c r="A11091" t="s">
        <v>16</v>
      </c>
      <c r="B11091" t="s">
        <v>3221</v>
      </c>
      <c r="C11091">
        <v>10070</v>
      </c>
      <c r="D11091" t="s">
        <v>215</v>
      </c>
      <c r="E11091" t="s">
        <v>216</v>
      </c>
      <c r="F11091">
        <v>13.95</v>
      </c>
      <c r="G11091">
        <v>230731</v>
      </c>
      <c r="H11091">
        <v>4574</v>
      </c>
      <c r="I11091" t="s">
        <v>396</v>
      </c>
      <c r="J11091">
        <v>17.3</v>
      </c>
      <c r="K11091">
        <v>3.35</v>
      </c>
      <c r="L11091">
        <v>17536</v>
      </c>
      <c r="M11091" t="s">
        <v>734</v>
      </c>
      <c r="N11091" t="str">
        <f>"6902563922  "</f>
        <v xml:space="preserve">6902563922  </v>
      </c>
      <c r="O11091">
        <v>230808</v>
      </c>
    </row>
    <row r="11092" spans="1:15" x14ac:dyDescent="0.25">
      <c r="A11092" t="s">
        <v>16</v>
      </c>
      <c r="B11092" t="s">
        <v>3221</v>
      </c>
      <c r="C11092">
        <v>10718</v>
      </c>
      <c r="D11092" t="s">
        <v>215</v>
      </c>
      <c r="E11092" t="s">
        <v>216</v>
      </c>
      <c r="F11092">
        <v>2598.81</v>
      </c>
      <c r="G11092">
        <v>230817</v>
      </c>
      <c r="H11092">
        <v>4574</v>
      </c>
      <c r="I11092" t="s">
        <v>396</v>
      </c>
      <c r="J11092">
        <v>3222.52</v>
      </c>
      <c r="K11092">
        <v>623.71</v>
      </c>
      <c r="L11092">
        <v>56558</v>
      </c>
      <c r="M11092" t="s">
        <v>217</v>
      </c>
      <c r="N11092" t="str">
        <f>"6902583501  "</f>
        <v xml:space="preserve">6902583501  </v>
      </c>
      <c r="O11092">
        <v>230822</v>
      </c>
    </row>
    <row r="11093" spans="1:15" x14ac:dyDescent="0.25">
      <c r="A11093" t="s">
        <v>16</v>
      </c>
      <c r="B11093" t="s">
        <v>3221</v>
      </c>
      <c r="C11093">
        <v>11039</v>
      </c>
      <c r="D11093" t="s">
        <v>215</v>
      </c>
      <c r="E11093" t="s">
        <v>216</v>
      </c>
      <c r="F11093">
        <v>176.38</v>
      </c>
      <c r="G11093">
        <v>230818</v>
      </c>
      <c r="H11093">
        <v>4574</v>
      </c>
      <c r="I11093" t="s">
        <v>396</v>
      </c>
      <c r="J11093">
        <v>218.71</v>
      </c>
      <c r="K11093">
        <v>42.33</v>
      </c>
      <c r="L11093">
        <v>17536</v>
      </c>
      <c r="M11093" t="s">
        <v>734</v>
      </c>
      <c r="N11093" t="str">
        <f>"6902584435  "</f>
        <v xml:space="preserve">6902584435  </v>
      </c>
      <c r="O11093">
        <v>230828</v>
      </c>
    </row>
    <row r="11094" spans="1:15" x14ac:dyDescent="0.25">
      <c r="A11094" t="s">
        <v>16</v>
      </c>
      <c r="B11094" t="s">
        <v>3221</v>
      </c>
      <c r="C11094">
        <v>11102</v>
      </c>
      <c r="D11094" t="s">
        <v>215</v>
      </c>
      <c r="E11094" t="s">
        <v>216</v>
      </c>
      <c r="F11094">
        <v>145.63</v>
      </c>
      <c r="G11094">
        <v>230822</v>
      </c>
      <c r="H11094">
        <v>4574</v>
      </c>
      <c r="I11094" t="s">
        <v>396</v>
      </c>
      <c r="J11094">
        <v>180.58</v>
      </c>
      <c r="K11094">
        <v>34.950000000000003</v>
      </c>
      <c r="L11094">
        <v>17536</v>
      </c>
      <c r="M11094" t="s">
        <v>734</v>
      </c>
      <c r="N11094" t="str">
        <f>"6902586636  "</f>
        <v xml:space="preserve">6902586636  </v>
      </c>
      <c r="O11094">
        <v>230830</v>
      </c>
    </row>
    <row r="11095" spans="1:15" x14ac:dyDescent="0.25">
      <c r="A11095" t="s">
        <v>16</v>
      </c>
      <c r="B11095" t="s">
        <v>3221</v>
      </c>
      <c r="C11095">
        <v>11565</v>
      </c>
      <c r="D11095" t="s">
        <v>215</v>
      </c>
      <c r="E11095" t="s">
        <v>216</v>
      </c>
      <c r="F11095">
        <v>1197.9000000000001</v>
      </c>
      <c r="G11095">
        <v>230901</v>
      </c>
      <c r="H11095">
        <v>4574</v>
      </c>
      <c r="I11095" t="s">
        <v>396</v>
      </c>
      <c r="J11095">
        <v>1485.39</v>
      </c>
      <c r="K11095">
        <v>287.49</v>
      </c>
      <c r="L11095">
        <v>17803</v>
      </c>
      <c r="M11095" t="s">
        <v>389</v>
      </c>
      <c r="N11095" t="str">
        <f>"6902593320  "</f>
        <v xml:space="preserve">6902593320  </v>
      </c>
      <c r="O11095">
        <v>230907</v>
      </c>
    </row>
    <row r="11096" spans="1:15" x14ac:dyDescent="0.25">
      <c r="A11096" t="s">
        <v>16</v>
      </c>
      <c r="B11096" t="s">
        <v>3221</v>
      </c>
      <c r="C11096">
        <v>11566</v>
      </c>
      <c r="D11096" t="s">
        <v>215</v>
      </c>
      <c r="E11096" t="s">
        <v>216</v>
      </c>
      <c r="F11096">
        <v>150</v>
      </c>
      <c r="G11096">
        <v>230901</v>
      </c>
      <c r="H11096">
        <v>4574</v>
      </c>
      <c r="I11096" t="s">
        <v>396</v>
      </c>
      <c r="J11096">
        <v>186</v>
      </c>
      <c r="K11096">
        <v>36</v>
      </c>
      <c r="L11096">
        <v>56558</v>
      </c>
      <c r="M11096" t="s">
        <v>217</v>
      </c>
      <c r="N11096" t="str">
        <f>"6902593136  "</f>
        <v xml:space="preserve">6902593136  </v>
      </c>
      <c r="O11096">
        <v>230907</v>
      </c>
    </row>
    <row r="11097" spans="1:15" x14ac:dyDescent="0.25">
      <c r="A11097" t="s">
        <v>16</v>
      </c>
      <c r="B11097" t="s">
        <v>3221</v>
      </c>
      <c r="C11097">
        <v>11692</v>
      </c>
      <c r="D11097" t="s">
        <v>215</v>
      </c>
      <c r="E11097" t="s">
        <v>216</v>
      </c>
      <c r="F11097">
        <v>14.4</v>
      </c>
      <c r="G11097">
        <v>230831</v>
      </c>
      <c r="H11097">
        <v>4574</v>
      </c>
      <c r="I11097" t="s">
        <v>396</v>
      </c>
      <c r="J11097">
        <v>17.86</v>
      </c>
      <c r="K11097">
        <v>3.46</v>
      </c>
      <c r="L11097">
        <v>17536</v>
      </c>
      <c r="M11097" t="s">
        <v>734</v>
      </c>
      <c r="N11097" t="str">
        <f>"6902610544  "</f>
        <v xml:space="preserve">6902610544  </v>
      </c>
      <c r="O11097">
        <v>230908</v>
      </c>
    </row>
    <row r="11098" spans="1:15" x14ac:dyDescent="0.25">
      <c r="A11098" t="s">
        <v>16</v>
      </c>
      <c r="B11098" t="s">
        <v>3221</v>
      </c>
      <c r="C11098">
        <v>12452</v>
      </c>
      <c r="D11098" t="s">
        <v>215</v>
      </c>
      <c r="E11098" t="s">
        <v>216</v>
      </c>
      <c r="F11098">
        <v>912.87</v>
      </c>
      <c r="G11098">
        <v>230912</v>
      </c>
      <c r="H11098">
        <v>4574</v>
      </c>
      <c r="I11098" t="s">
        <v>396</v>
      </c>
      <c r="J11098">
        <v>1131.96</v>
      </c>
      <c r="K11098">
        <v>219.09</v>
      </c>
      <c r="L11098">
        <v>17534</v>
      </c>
      <c r="M11098" t="s">
        <v>440</v>
      </c>
      <c r="N11098" t="str">
        <f>"6902619066  "</f>
        <v xml:space="preserve">6902619066  </v>
      </c>
      <c r="O11098">
        <v>230920</v>
      </c>
    </row>
    <row r="11099" spans="1:15" x14ac:dyDescent="0.25">
      <c r="A11099" t="s">
        <v>16</v>
      </c>
      <c r="B11099" t="s">
        <v>3221</v>
      </c>
      <c r="C11099">
        <v>12457</v>
      </c>
      <c r="D11099" t="s">
        <v>215</v>
      </c>
      <c r="E11099" t="s">
        <v>216</v>
      </c>
      <c r="F11099">
        <v>219.48</v>
      </c>
      <c r="G11099">
        <v>230915</v>
      </c>
      <c r="H11099">
        <v>4574</v>
      </c>
      <c r="I11099" t="s">
        <v>396</v>
      </c>
      <c r="J11099">
        <v>272.16000000000003</v>
      </c>
      <c r="K11099">
        <v>52.68</v>
      </c>
      <c r="L11099">
        <v>17536</v>
      </c>
      <c r="M11099" t="s">
        <v>734</v>
      </c>
      <c r="N11099" t="str">
        <f>"6902621543  "</f>
        <v xml:space="preserve">6902621543  </v>
      </c>
      <c r="O11099">
        <v>230920</v>
      </c>
    </row>
    <row r="11100" spans="1:15" x14ac:dyDescent="0.25">
      <c r="A11100" t="s">
        <v>16</v>
      </c>
      <c r="B11100" t="s">
        <v>3221</v>
      </c>
      <c r="C11100">
        <v>12474</v>
      </c>
      <c r="D11100" t="s">
        <v>215</v>
      </c>
      <c r="E11100" t="s">
        <v>216</v>
      </c>
      <c r="F11100">
        <v>-14.4</v>
      </c>
      <c r="G11100">
        <v>230919</v>
      </c>
      <c r="H11100">
        <v>4574</v>
      </c>
      <c r="I11100" t="s">
        <v>396</v>
      </c>
      <c r="J11100">
        <v>-17.86</v>
      </c>
      <c r="K11100">
        <v>-3.46</v>
      </c>
      <c r="L11100">
        <v>17536</v>
      </c>
      <c r="M11100" t="s">
        <v>734</v>
      </c>
      <c r="N11100" t="str">
        <f>"6902623511  "</f>
        <v xml:space="preserve">6902623511  </v>
      </c>
      <c r="O11100">
        <v>230920</v>
      </c>
    </row>
    <row r="11101" spans="1:15" x14ac:dyDescent="0.25">
      <c r="A11101" t="s">
        <v>16</v>
      </c>
      <c r="B11101" t="s">
        <v>3221</v>
      </c>
      <c r="C11101">
        <v>12697</v>
      </c>
      <c r="D11101" t="s">
        <v>215</v>
      </c>
      <c r="E11101" t="s">
        <v>216</v>
      </c>
      <c r="F11101">
        <v>341.5</v>
      </c>
      <c r="G11101">
        <v>230919</v>
      </c>
      <c r="H11101">
        <v>4574</v>
      </c>
      <c r="I11101" t="s">
        <v>396</v>
      </c>
      <c r="J11101">
        <v>423.46</v>
      </c>
      <c r="K11101">
        <v>81.96</v>
      </c>
      <c r="L11101">
        <v>17522</v>
      </c>
      <c r="M11101" t="s">
        <v>451</v>
      </c>
      <c r="N11101" t="str">
        <f>"6902623957  "</f>
        <v xml:space="preserve">6902623957  </v>
      </c>
      <c r="O11101">
        <v>230925</v>
      </c>
    </row>
    <row r="11102" spans="1:15" x14ac:dyDescent="0.25">
      <c r="A11102" t="s">
        <v>16</v>
      </c>
      <c r="B11102" t="s">
        <v>3221</v>
      </c>
      <c r="C11102">
        <v>12885</v>
      </c>
      <c r="D11102" t="s">
        <v>215</v>
      </c>
      <c r="E11102" t="s">
        <v>216</v>
      </c>
      <c r="F11102">
        <v>-13.95</v>
      </c>
      <c r="G11102">
        <v>230925</v>
      </c>
      <c r="H11102">
        <v>4574</v>
      </c>
      <c r="I11102" t="s">
        <v>396</v>
      </c>
      <c r="J11102">
        <v>-17.3</v>
      </c>
      <c r="K11102">
        <v>-3.35</v>
      </c>
      <c r="L11102">
        <v>17536</v>
      </c>
      <c r="M11102" t="s">
        <v>734</v>
      </c>
      <c r="N11102" t="str">
        <f>"6902626611  "</f>
        <v xml:space="preserve">6902626611  </v>
      </c>
      <c r="O11102">
        <v>230929</v>
      </c>
    </row>
    <row r="11103" spans="1:15" x14ac:dyDescent="0.25">
      <c r="A11103" t="s">
        <v>16</v>
      </c>
      <c r="B11103" t="s">
        <v>3221</v>
      </c>
      <c r="C11103">
        <v>12889</v>
      </c>
      <c r="D11103" t="s">
        <v>215</v>
      </c>
      <c r="E11103" t="s">
        <v>216</v>
      </c>
      <c r="F11103">
        <v>-13.5</v>
      </c>
      <c r="G11103">
        <v>230925</v>
      </c>
      <c r="H11103">
        <v>4574</v>
      </c>
      <c r="I11103" t="s">
        <v>396</v>
      </c>
      <c r="J11103">
        <v>-16.739999999999998</v>
      </c>
      <c r="K11103">
        <v>-3.24</v>
      </c>
      <c r="L11103">
        <v>17536</v>
      </c>
      <c r="M11103" t="s">
        <v>734</v>
      </c>
      <c r="N11103" t="str">
        <f>"6902626610  "</f>
        <v xml:space="preserve">6902626610  </v>
      </c>
      <c r="O11103">
        <v>230929</v>
      </c>
    </row>
    <row r="11104" spans="1:15" x14ac:dyDescent="0.25">
      <c r="A11104" t="s">
        <v>16</v>
      </c>
      <c r="B11104" t="s">
        <v>3221</v>
      </c>
      <c r="C11104">
        <v>13613</v>
      </c>
      <c r="D11104" t="s">
        <v>215</v>
      </c>
      <c r="E11104" t="s">
        <v>216</v>
      </c>
      <c r="F11104">
        <v>150</v>
      </c>
      <c r="G11104">
        <v>231001</v>
      </c>
      <c r="H11104">
        <v>4574</v>
      </c>
      <c r="I11104" t="s">
        <v>396</v>
      </c>
      <c r="J11104">
        <v>186</v>
      </c>
      <c r="K11104">
        <v>36</v>
      </c>
      <c r="L11104">
        <v>56558</v>
      </c>
      <c r="M11104" t="s">
        <v>217</v>
      </c>
      <c r="N11104" t="str">
        <f>"6902630874  "</f>
        <v xml:space="preserve">6902630874  </v>
      </c>
      <c r="O11104">
        <v>231011</v>
      </c>
    </row>
    <row r="11105" spans="1:15" x14ac:dyDescent="0.25">
      <c r="A11105" t="s">
        <v>16</v>
      </c>
      <c r="B11105" t="s">
        <v>3221</v>
      </c>
      <c r="C11105">
        <v>15048</v>
      </c>
      <c r="D11105" t="s">
        <v>215</v>
      </c>
      <c r="E11105" t="s">
        <v>216</v>
      </c>
      <c r="F11105">
        <v>1349.83</v>
      </c>
      <c r="G11105">
        <v>231020</v>
      </c>
      <c r="H11105">
        <v>4574</v>
      </c>
      <c r="I11105" t="s">
        <v>396</v>
      </c>
      <c r="J11105">
        <v>1673.79</v>
      </c>
      <c r="K11105">
        <v>323.95999999999998</v>
      </c>
      <c r="L11105">
        <v>56558</v>
      </c>
      <c r="M11105" t="s">
        <v>217</v>
      </c>
      <c r="N11105" t="str">
        <f>"6902669483  "</f>
        <v xml:space="preserve">6902669483  </v>
      </c>
      <c r="O11105">
        <v>231108</v>
      </c>
    </row>
    <row r="11106" spans="1:15" x14ac:dyDescent="0.25">
      <c r="A11106" t="s">
        <v>16</v>
      </c>
      <c r="B11106" t="s">
        <v>3221</v>
      </c>
      <c r="C11106">
        <v>15066</v>
      </c>
      <c r="D11106" t="s">
        <v>215</v>
      </c>
      <c r="E11106" t="s">
        <v>216</v>
      </c>
      <c r="F11106">
        <v>879.46</v>
      </c>
      <c r="G11106">
        <v>231027</v>
      </c>
      <c r="H11106">
        <v>4574</v>
      </c>
      <c r="I11106" t="s">
        <v>396</v>
      </c>
      <c r="J11106">
        <v>1090.53</v>
      </c>
      <c r="K11106">
        <v>211.07</v>
      </c>
      <c r="L11106">
        <v>17534</v>
      </c>
      <c r="M11106" t="s">
        <v>440</v>
      </c>
      <c r="N11106" t="str">
        <f>"6902673968  "</f>
        <v xml:space="preserve">6902673968  </v>
      </c>
      <c r="O11106">
        <v>231108</v>
      </c>
    </row>
    <row r="11107" spans="1:15" x14ac:dyDescent="0.25">
      <c r="A11107" t="s">
        <v>16</v>
      </c>
      <c r="B11107" t="s">
        <v>3221</v>
      </c>
      <c r="C11107">
        <v>15283</v>
      </c>
      <c r="D11107" t="s">
        <v>215</v>
      </c>
      <c r="E11107" t="s">
        <v>216</v>
      </c>
      <c r="F11107">
        <v>406.91</v>
      </c>
      <c r="G11107">
        <v>231103</v>
      </c>
      <c r="H11107">
        <v>4574</v>
      </c>
      <c r="I11107" t="s">
        <v>396</v>
      </c>
      <c r="J11107">
        <v>504.57</v>
      </c>
      <c r="K11107">
        <v>97.66</v>
      </c>
      <c r="L11107">
        <v>17522</v>
      </c>
      <c r="M11107" t="s">
        <v>451</v>
      </c>
      <c r="N11107" t="str">
        <f>"6902695995  "</f>
        <v xml:space="preserve">6902695995  </v>
      </c>
      <c r="O11107">
        <v>231109</v>
      </c>
    </row>
    <row r="11108" spans="1:15" x14ac:dyDescent="0.25">
      <c r="A11108" t="s">
        <v>16</v>
      </c>
      <c r="B11108" t="s">
        <v>3221</v>
      </c>
      <c r="C11108">
        <v>15404</v>
      </c>
      <c r="D11108" t="s">
        <v>215</v>
      </c>
      <c r="E11108" t="s">
        <v>216</v>
      </c>
      <c r="F11108">
        <v>150</v>
      </c>
      <c r="G11108">
        <v>231101</v>
      </c>
      <c r="H11108">
        <v>4574</v>
      </c>
      <c r="I11108" t="s">
        <v>396</v>
      </c>
      <c r="J11108">
        <v>186</v>
      </c>
      <c r="K11108">
        <v>36</v>
      </c>
      <c r="L11108">
        <v>51151</v>
      </c>
      <c r="M11108" t="s">
        <v>620</v>
      </c>
      <c r="N11108" t="str">
        <f>"6902676334  "</f>
        <v xml:space="preserve">6902676334  </v>
      </c>
      <c r="O11108">
        <v>231113</v>
      </c>
    </row>
    <row r="11109" spans="1:15" x14ac:dyDescent="0.25">
      <c r="A11109" t="s">
        <v>16</v>
      </c>
      <c r="B11109" t="s">
        <v>3221</v>
      </c>
      <c r="C11109">
        <v>15782</v>
      </c>
      <c r="D11109" t="s">
        <v>215</v>
      </c>
      <c r="E11109" t="s">
        <v>216</v>
      </c>
      <c r="F11109">
        <v>140</v>
      </c>
      <c r="G11109">
        <v>231031</v>
      </c>
      <c r="H11109">
        <v>4574</v>
      </c>
      <c r="I11109" t="s">
        <v>396</v>
      </c>
      <c r="J11109">
        <v>173.6</v>
      </c>
      <c r="K11109">
        <v>33.6</v>
      </c>
      <c r="L11109">
        <v>56558</v>
      </c>
      <c r="M11109" t="s">
        <v>217</v>
      </c>
      <c r="N11109" t="str">
        <f>"6902688037  "</f>
        <v xml:space="preserve">6902688037  </v>
      </c>
      <c r="O11109">
        <v>231117</v>
      </c>
    </row>
    <row r="11110" spans="1:15" x14ac:dyDescent="0.25">
      <c r="A11110" t="s">
        <v>16</v>
      </c>
      <c r="B11110" t="s">
        <v>3221</v>
      </c>
      <c r="C11110">
        <v>15885</v>
      </c>
      <c r="D11110" t="s">
        <v>215</v>
      </c>
      <c r="E11110" t="s">
        <v>216</v>
      </c>
      <c r="F11110">
        <v>-140</v>
      </c>
      <c r="G11110">
        <v>231117</v>
      </c>
      <c r="H11110">
        <v>4574</v>
      </c>
      <c r="I11110" t="s">
        <v>396</v>
      </c>
      <c r="J11110">
        <v>-173.6</v>
      </c>
      <c r="K11110">
        <v>-33.6</v>
      </c>
      <c r="L11110">
        <v>56558</v>
      </c>
      <c r="M11110" t="s">
        <v>217</v>
      </c>
      <c r="N11110" t="str">
        <f>"6902703379  "</f>
        <v xml:space="preserve">6902703379  </v>
      </c>
      <c r="O11110">
        <v>231121</v>
      </c>
    </row>
    <row r="11111" spans="1:15" x14ac:dyDescent="0.25">
      <c r="A11111" t="s">
        <v>16</v>
      </c>
      <c r="B11111" t="s">
        <v>3221</v>
      </c>
      <c r="C11111">
        <v>15950</v>
      </c>
      <c r="D11111" t="s">
        <v>215</v>
      </c>
      <c r="E11111" t="s">
        <v>216</v>
      </c>
      <c r="F11111">
        <v>1349.46</v>
      </c>
      <c r="G11111">
        <v>231107</v>
      </c>
      <c r="H11111">
        <v>4574</v>
      </c>
      <c r="I11111" t="s">
        <v>396</v>
      </c>
      <c r="J11111">
        <v>1673.33</v>
      </c>
      <c r="K11111">
        <v>323.87</v>
      </c>
      <c r="L11111">
        <v>46554</v>
      </c>
      <c r="M11111" t="s">
        <v>117</v>
      </c>
      <c r="N11111" t="str">
        <f>"6902697035  "</f>
        <v xml:space="preserve">6902697035  </v>
      </c>
      <c r="O11111">
        <v>231122</v>
      </c>
    </row>
    <row r="11112" spans="1:15" x14ac:dyDescent="0.25">
      <c r="A11112" t="s">
        <v>16</v>
      </c>
      <c r="B11112" t="s">
        <v>3221</v>
      </c>
      <c r="C11112">
        <v>16027</v>
      </c>
      <c r="D11112" t="s">
        <v>215</v>
      </c>
      <c r="E11112" t="s">
        <v>216</v>
      </c>
      <c r="F11112">
        <v>36.28</v>
      </c>
      <c r="G11112">
        <v>231116</v>
      </c>
      <c r="H11112">
        <v>4574</v>
      </c>
      <c r="I11112" t="s">
        <v>396</v>
      </c>
      <c r="J11112">
        <v>44.99</v>
      </c>
      <c r="K11112">
        <v>8.7100000000000009</v>
      </c>
      <c r="L11112">
        <v>56564</v>
      </c>
      <c r="M11112" t="s">
        <v>327</v>
      </c>
      <c r="N11112" t="str">
        <f>"6902702409  "</f>
        <v xml:space="preserve">6902702409  </v>
      </c>
      <c r="O11112">
        <v>231122</v>
      </c>
    </row>
    <row r="11113" spans="1:15" x14ac:dyDescent="0.25">
      <c r="A11113" t="s">
        <v>16</v>
      </c>
      <c r="B11113" t="s">
        <v>3221</v>
      </c>
      <c r="C11113">
        <v>16772</v>
      </c>
      <c r="D11113" t="s">
        <v>215</v>
      </c>
      <c r="E11113" t="s">
        <v>216</v>
      </c>
      <c r="F11113">
        <v>181.68</v>
      </c>
      <c r="G11113">
        <v>231128</v>
      </c>
      <c r="H11113">
        <v>4574</v>
      </c>
      <c r="I11113" t="s">
        <v>396</v>
      </c>
      <c r="J11113">
        <v>225.28</v>
      </c>
      <c r="K11113">
        <v>43.6</v>
      </c>
      <c r="L11113">
        <v>17536</v>
      </c>
      <c r="M11113" t="s">
        <v>734</v>
      </c>
      <c r="N11113" t="str">
        <f>"6902709560  "</f>
        <v xml:space="preserve">6902709560  </v>
      </c>
      <c r="O11113">
        <v>231208</v>
      </c>
    </row>
    <row r="11114" spans="1:15" x14ac:dyDescent="0.25">
      <c r="A11114" t="s">
        <v>16</v>
      </c>
      <c r="B11114" t="s">
        <v>3221</v>
      </c>
      <c r="C11114">
        <v>17055</v>
      </c>
      <c r="D11114" t="s">
        <v>215</v>
      </c>
      <c r="E11114" t="s">
        <v>216</v>
      </c>
      <c r="F11114">
        <v>150</v>
      </c>
      <c r="G11114">
        <v>231201</v>
      </c>
      <c r="H11114">
        <v>4574</v>
      </c>
      <c r="I11114" t="s">
        <v>396</v>
      </c>
      <c r="J11114">
        <v>186</v>
      </c>
      <c r="K11114">
        <v>36</v>
      </c>
      <c r="L11114">
        <v>56558</v>
      </c>
      <c r="M11114" t="s">
        <v>217</v>
      </c>
      <c r="N11114" t="str">
        <f>"6902711671  "</f>
        <v xml:space="preserve">6902711671  </v>
      </c>
      <c r="O11114">
        <v>231212</v>
      </c>
    </row>
    <row r="11115" spans="1:15" x14ac:dyDescent="0.25">
      <c r="A11115" t="s">
        <v>16</v>
      </c>
      <c r="B11115" t="s">
        <v>3221</v>
      </c>
      <c r="C11115">
        <v>17059</v>
      </c>
      <c r="D11115" t="s">
        <v>215</v>
      </c>
      <c r="E11115" t="s">
        <v>216</v>
      </c>
      <c r="F11115">
        <v>889.36</v>
      </c>
      <c r="G11115">
        <v>231201</v>
      </c>
      <c r="H11115">
        <v>4574</v>
      </c>
      <c r="I11115" t="s">
        <v>396</v>
      </c>
      <c r="J11115">
        <v>1102.81</v>
      </c>
      <c r="K11115">
        <v>213.45</v>
      </c>
      <c r="L11115">
        <v>17534</v>
      </c>
      <c r="M11115" t="s">
        <v>440</v>
      </c>
      <c r="N11115" t="str">
        <f>"6902711406  "</f>
        <v xml:space="preserve">6902711406  </v>
      </c>
      <c r="O11115">
        <v>231212</v>
      </c>
    </row>
    <row r="11116" spans="1:15" x14ac:dyDescent="0.25">
      <c r="A11116" t="s">
        <v>16</v>
      </c>
      <c r="B11116" t="s">
        <v>3221</v>
      </c>
      <c r="C11116">
        <v>11908</v>
      </c>
      <c r="D11116" t="s">
        <v>215</v>
      </c>
      <c r="E11116" t="s">
        <v>216</v>
      </c>
      <c r="F11116">
        <v>130.24</v>
      </c>
      <c r="G11116">
        <v>230904</v>
      </c>
      <c r="H11116">
        <v>4580</v>
      </c>
      <c r="I11116" t="s">
        <v>35</v>
      </c>
      <c r="J11116">
        <v>161.5</v>
      </c>
      <c r="K11116">
        <v>31.26</v>
      </c>
      <c r="L11116">
        <v>56559</v>
      </c>
      <c r="M11116" t="s">
        <v>129</v>
      </c>
      <c r="N11116" t="str">
        <f>"6902613850  "</f>
        <v xml:space="preserve">6902613850  </v>
      </c>
      <c r="O11116">
        <v>230911</v>
      </c>
    </row>
    <row r="11117" spans="1:15" x14ac:dyDescent="0.25">
      <c r="A11117" t="s">
        <v>16</v>
      </c>
      <c r="B11117" t="s">
        <v>3221</v>
      </c>
      <c r="C11117">
        <v>12466</v>
      </c>
      <c r="D11117" t="s">
        <v>215</v>
      </c>
      <c r="E11117" t="s">
        <v>216</v>
      </c>
      <c r="F11117">
        <v>131.65</v>
      </c>
      <c r="G11117">
        <v>230915</v>
      </c>
      <c r="H11117">
        <v>4580</v>
      </c>
      <c r="I11117" t="s">
        <v>35</v>
      </c>
      <c r="J11117">
        <v>163.25</v>
      </c>
      <c r="K11117">
        <v>31.6</v>
      </c>
      <c r="L11117">
        <v>56559</v>
      </c>
      <c r="M11117" t="s">
        <v>129</v>
      </c>
      <c r="N11117" t="str">
        <f>"6902620924  "</f>
        <v xml:space="preserve">6902620924  </v>
      </c>
      <c r="O11117">
        <v>230920</v>
      </c>
    </row>
    <row r="11118" spans="1:15" x14ac:dyDescent="0.25">
      <c r="A11118" t="s">
        <v>16</v>
      </c>
      <c r="B11118" t="s">
        <v>3221</v>
      </c>
      <c r="C11118">
        <v>15695</v>
      </c>
      <c r="D11118" t="s">
        <v>215</v>
      </c>
      <c r="E11118" t="s">
        <v>216</v>
      </c>
      <c r="F11118">
        <v>182.02</v>
      </c>
      <c r="G11118">
        <v>231107</v>
      </c>
      <c r="H11118">
        <v>4580</v>
      </c>
      <c r="I11118" t="s">
        <v>35</v>
      </c>
      <c r="J11118">
        <v>225.7</v>
      </c>
      <c r="K11118">
        <v>43.68</v>
      </c>
      <c r="L11118">
        <v>17521</v>
      </c>
      <c r="M11118" t="s">
        <v>133</v>
      </c>
      <c r="N11118" t="str">
        <f>"6902697437  "</f>
        <v xml:space="preserve">6902697437  </v>
      </c>
      <c r="O11118">
        <v>231116</v>
      </c>
    </row>
    <row r="11119" spans="1:15" x14ac:dyDescent="0.25">
      <c r="A11119" t="s">
        <v>16</v>
      </c>
      <c r="B11119" t="s">
        <v>3221</v>
      </c>
      <c r="C11119">
        <v>17350</v>
      </c>
      <c r="D11119" t="s">
        <v>215</v>
      </c>
      <c r="E11119" t="s">
        <v>216</v>
      </c>
      <c r="F11119">
        <v>53.28</v>
      </c>
      <c r="G11119">
        <v>231130</v>
      </c>
      <c r="H11119">
        <v>4580</v>
      </c>
      <c r="I11119" t="s">
        <v>35</v>
      </c>
      <c r="J11119">
        <v>66.069999999999993</v>
      </c>
      <c r="K11119">
        <v>12.79</v>
      </c>
      <c r="L11119">
        <v>17521</v>
      </c>
      <c r="M11119" t="s">
        <v>133</v>
      </c>
      <c r="N11119" t="str">
        <f>"6902715021  "</f>
        <v xml:space="preserve">6902715021  </v>
      </c>
      <c r="O11119">
        <v>231213</v>
      </c>
    </row>
    <row r="11120" spans="1:15" x14ac:dyDescent="0.25">
      <c r="A11120" t="s">
        <v>16</v>
      </c>
      <c r="B11120" t="s">
        <v>3221</v>
      </c>
      <c r="C11120">
        <v>3989</v>
      </c>
      <c r="D11120" t="s">
        <v>215</v>
      </c>
      <c r="E11120" t="s">
        <v>216</v>
      </c>
      <c r="F11120">
        <v>1743.24</v>
      </c>
      <c r="G11120">
        <v>230327</v>
      </c>
      <c r="H11120">
        <v>4400</v>
      </c>
      <c r="I11120" t="s">
        <v>348</v>
      </c>
      <c r="J11120">
        <v>2161.62</v>
      </c>
      <c r="K11120">
        <v>418.38</v>
      </c>
      <c r="L11120">
        <v>56558</v>
      </c>
      <c r="M11120" t="s">
        <v>217</v>
      </c>
      <c r="N11120" t="str">
        <f>"6902373588  "</f>
        <v xml:space="preserve">6902373588  </v>
      </c>
      <c r="O11120">
        <v>230328</v>
      </c>
    </row>
    <row r="11121" spans="1:15" x14ac:dyDescent="0.25">
      <c r="A11121" t="s">
        <v>16</v>
      </c>
      <c r="B11121" t="s">
        <v>3221</v>
      </c>
      <c r="C11121">
        <v>5911</v>
      </c>
      <c r="D11121" t="s">
        <v>215</v>
      </c>
      <c r="E11121" t="s">
        <v>216</v>
      </c>
      <c r="F11121">
        <v>932</v>
      </c>
      <c r="G11121">
        <v>230502</v>
      </c>
      <c r="H11121">
        <v>4400</v>
      </c>
      <c r="I11121" t="s">
        <v>348</v>
      </c>
      <c r="J11121">
        <v>1155.68</v>
      </c>
      <c r="K11121">
        <v>223.68</v>
      </c>
      <c r="L11121">
        <v>66756</v>
      </c>
      <c r="M11121" t="s">
        <v>209</v>
      </c>
      <c r="N11121" t="str">
        <f>"6902416368  "</f>
        <v xml:space="preserve">6902416368  </v>
      </c>
      <c r="O11121">
        <v>230503</v>
      </c>
    </row>
    <row r="11122" spans="1:15" x14ac:dyDescent="0.25">
      <c r="A11122" t="s">
        <v>16</v>
      </c>
      <c r="B11122" t="s">
        <v>3221</v>
      </c>
      <c r="C11122">
        <v>13000</v>
      </c>
      <c r="D11122" t="s">
        <v>215</v>
      </c>
      <c r="E11122" t="s">
        <v>216</v>
      </c>
      <c r="F11122">
        <v>4146.3500000000004</v>
      </c>
      <c r="G11122">
        <v>230915</v>
      </c>
      <c r="H11122">
        <v>4400</v>
      </c>
      <c r="I11122" t="s">
        <v>348</v>
      </c>
      <c r="J11122">
        <v>5141.47</v>
      </c>
      <c r="K11122">
        <v>995.12</v>
      </c>
      <c r="L11122">
        <v>56558</v>
      </c>
      <c r="M11122" t="s">
        <v>217</v>
      </c>
      <c r="N11122" t="str">
        <f>"6902620923  "</f>
        <v xml:space="preserve">6902620923  </v>
      </c>
      <c r="O11122">
        <v>231002</v>
      </c>
    </row>
    <row r="11123" spans="1:15" x14ac:dyDescent="0.25">
      <c r="A11123" t="s">
        <v>16</v>
      </c>
      <c r="B11123" t="s">
        <v>3221</v>
      </c>
      <c r="C11123">
        <v>13614</v>
      </c>
      <c r="D11123" t="s">
        <v>215</v>
      </c>
      <c r="E11123" t="s">
        <v>216</v>
      </c>
      <c r="F11123">
        <v>3187.8</v>
      </c>
      <c r="G11123">
        <v>231002</v>
      </c>
      <c r="H11123">
        <v>4400</v>
      </c>
      <c r="I11123" t="s">
        <v>348</v>
      </c>
      <c r="J11123">
        <v>3952.87</v>
      </c>
      <c r="K11123">
        <v>765.07</v>
      </c>
      <c r="L11123">
        <v>56558</v>
      </c>
      <c r="M11123" t="s">
        <v>217</v>
      </c>
      <c r="N11123" t="str">
        <f>"6902632676  "</f>
        <v xml:space="preserve">6902632676  </v>
      </c>
      <c r="O11123">
        <v>231011</v>
      </c>
    </row>
    <row r="11124" spans="1:15" x14ac:dyDescent="0.25">
      <c r="A11124" t="s">
        <v>16</v>
      </c>
      <c r="B11124" t="s">
        <v>3221</v>
      </c>
      <c r="C11124">
        <v>145</v>
      </c>
      <c r="D11124" t="s">
        <v>215</v>
      </c>
      <c r="E11124" t="s">
        <v>216</v>
      </c>
      <c r="F11124">
        <v>450</v>
      </c>
      <c r="G11124">
        <v>230101</v>
      </c>
      <c r="H11124">
        <v>4840</v>
      </c>
      <c r="I11124" t="s">
        <v>19</v>
      </c>
      <c r="J11124">
        <v>558</v>
      </c>
      <c r="K11124">
        <v>108</v>
      </c>
      <c r="L11124">
        <v>56558</v>
      </c>
      <c r="M11124" t="s">
        <v>217</v>
      </c>
      <c r="N11124" t="str">
        <f>"6902263168  "</f>
        <v xml:space="preserve">6902263168  </v>
      </c>
      <c r="O11124">
        <v>230112</v>
      </c>
    </row>
    <row r="11125" spans="1:15" x14ac:dyDescent="0.25">
      <c r="A11125" t="s">
        <v>16</v>
      </c>
      <c r="B11125" t="s">
        <v>3221</v>
      </c>
      <c r="C11125">
        <v>1126</v>
      </c>
      <c r="D11125" t="s">
        <v>215</v>
      </c>
      <c r="E11125" t="s">
        <v>216</v>
      </c>
      <c r="F11125">
        <v>978.21</v>
      </c>
      <c r="G11125">
        <v>230120</v>
      </c>
      <c r="H11125">
        <v>4840</v>
      </c>
      <c r="I11125" t="s">
        <v>19</v>
      </c>
      <c r="J11125">
        <v>1212.98</v>
      </c>
      <c r="K11125">
        <v>234.77</v>
      </c>
      <c r="L11125">
        <v>56559</v>
      </c>
      <c r="M11125" t="s">
        <v>129</v>
      </c>
      <c r="N11125" t="str">
        <f>"6902294889  "</f>
        <v xml:space="preserve">6902294889  </v>
      </c>
      <c r="O11125">
        <v>230206</v>
      </c>
    </row>
    <row r="11126" spans="1:15" x14ac:dyDescent="0.25">
      <c r="A11126" t="s">
        <v>16</v>
      </c>
      <c r="B11126" t="s">
        <v>3221</v>
      </c>
      <c r="C11126">
        <v>1204</v>
      </c>
      <c r="D11126" t="s">
        <v>215</v>
      </c>
      <c r="E11126" t="s">
        <v>216</v>
      </c>
      <c r="F11126">
        <v>34.520000000000003</v>
      </c>
      <c r="G11126">
        <v>230131</v>
      </c>
      <c r="H11126">
        <v>4840</v>
      </c>
      <c r="I11126" t="s">
        <v>19</v>
      </c>
      <c r="J11126">
        <v>42.8</v>
      </c>
      <c r="K11126">
        <v>8.2799999999999994</v>
      </c>
      <c r="L11126">
        <v>17522</v>
      </c>
      <c r="M11126" t="s">
        <v>451</v>
      </c>
      <c r="N11126" t="str">
        <f>"6902302337  "</f>
        <v xml:space="preserve">6902302337  </v>
      </c>
      <c r="O11126">
        <v>230206</v>
      </c>
    </row>
    <row r="11127" spans="1:15" x14ac:dyDescent="0.25">
      <c r="A11127" t="s">
        <v>16</v>
      </c>
      <c r="B11127" t="s">
        <v>3221</v>
      </c>
      <c r="C11127">
        <v>1746</v>
      </c>
      <c r="D11127" t="s">
        <v>215</v>
      </c>
      <c r="E11127" t="s">
        <v>216</v>
      </c>
      <c r="F11127">
        <v>224.7</v>
      </c>
      <c r="G11127">
        <v>230206</v>
      </c>
      <c r="H11127">
        <v>4840</v>
      </c>
      <c r="I11127" t="s">
        <v>19</v>
      </c>
      <c r="J11127">
        <v>278.63</v>
      </c>
      <c r="K11127">
        <v>53.93</v>
      </c>
      <c r="L11127">
        <v>17526</v>
      </c>
      <c r="M11127" t="s">
        <v>437</v>
      </c>
      <c r="N11127" t="str">
        <f>"6902330503  "</f>
        <v xml:space="preserve">6902330503  </v>
      </c>
      <c r="O11127">
        <v>230213</v>
      </c>
    </row>
    <row r="11128" spans="1:15" x14ac:dyDescent="0.25">
      <c r="A11128" t="s">
        <v>16</v>
      </c>
      <c r="B11128" t="s">
        <v>3221</v>
      </c>
      <c r="C11128">
        <v>2634</v>
      </c>
      <c r="D11128" t="s">
        <v>215</v>
      </c>
      <c r="E11128" t="s">
        <v>216</v>
      </c>
      <c r="F11128">
        <v>299.60000000000002</v>
      </c>
      <c r="G11128">
        <v>230130</v>
      </c>
      <c r="H11128">
        <v>4840</v>
      </c>
      <c r="I11128" t="s">
        <v>19</v>
      </c>
      <c r="J11128">
        <v>371.5</v>
      </c>
      <c r="K11128">
        <v>71.900000000000006</v>
      </c>
      <c r="L11128">
        <v>56565</v>
      </c>
      <c r="M11128" t="s">
        <v>758</v>
      </c>
      <c r="N11128" t="str">
        <f>"6902299920  "</f>
        <v xml:space="preserve">6902299920  </v>
      </c>
      <c r="O11128">
        <v>230306</v>
      </c>
    </row>
    <row r="11129" spans="1:15" x14ac:dyDescent="0.25">
      <c r="A11129" t="s">
        <v>16</v>
      </c>
      <c r="B11129" t="s">
        <v>3221</v>
      </c>
      <c r="C11129">
        <v>3010</v>
      </c>
      <c r="D11129" t="s">
        <v>215</v>
      </c>
      <c r="E11129" t="s">
        <v>216</v>
      </c>
      <c r="F11129">
        <v>12.6</v>
      </c>
      <c r="G11129">
        <v>230228</v>
      </c>
      <c r="H11129">
        <v>4840</v>
      </c>
      <c r="I11129" t="s">
        <v>19</v>
      </c>
      <c r="J11129">
        <v>15.62</v>
      </c>
      <c r="K11129">
        <v>3.02</v>
      </c>
      <c r="L11129">
        <v>17534</v>
      </c>
      <c r="M11129" t="s">
        <v>440</v>
      </c>
      <c r="N11129" t="str">
        <f>"6902351460  "</f>
        <v xml:space="preserve">6902351460  </v>
      </c>
      <c r="O11129">
        <v>230308</v>
      </c>
    </row>
    <row r="11130" spans="1:15" x14ac:dyDescent="0.25">
      <c r="A11130" t="s">
        <v>16</v>
      </c>
      <c r="B11130" t="s">
        <v>3221</v>
      </c>
      <c r="C11130">
        <v>6102</v>
      </c>
      <c r="D11130" t="s">
        <v>215</v>
      </c>
      <c r="E11130" t="s">
        <v>216</v>
      </c>
      <c r="F11130">
        <v>224.7</v>
      </c>
      <c r="G11130">
        <v>230424</v>
      </c>
      <c r="H11130">
        <v>4840</v>
      </c>
      <c r="I11130" t="s">
        <v>19</v>
      </c>
      <c r="J11130">
        <v>278.63</v>
      </c>
      <c r="K11130">
        <v>53.93</v>
      </c>
      <c r="L11130">
        <v>17521</v>
      </c>
      <c r="M11130" t="s">
        <v>133</v>
      </c>
      <c r="N11130" t="str">
        <f>"6902409715  "</f>
        <v xml:space="preserve">6902409715  </v>
      </c>
      <c r="O11130">
        <v>230508</v>
      </c>
    </row>
    <row r="11131" spans="1:15" x14ac:dyDescent="0.25">
      <c r="A11131" t="s">
        <v>16</v>
      </c>
      <c r="B11131" t="s">
        <v>3221</v>
      </c>
      <c r="C11131">
        <v>8359</v>
      </c>
      <c r="D11131" t="s">
        <v>215</v>
      </c>
      <c r="E11131" t="s">
        <v>216</v>
      </c>
      <c r="F11131">
        <v>13.95</v>
      </c>
      <c r="G11131">
        <v>230531</v>
      </c>
      <c r="H11131">
        <v>4840</v>
      </c>
      <c r="I11131" t="s">
        <v>19</v>
      </c>
      <c r="J11131">
        <v>17.3</v>
      </c>
      <c r="K11131">
        <v>3.35</v>
      </c>
      <c r="L11131">
        <v>17535</v>
      </c>
      <c r="M11131" t="s">
        <v>357</v>
      </c>
      <c r="N11131" t="str">
        <f>"6902472046  "</f>
        <v xml:space="preserve">6902472046  </v>
      </c>
      <c r="O11131">
        <v>230608</v>
      </c>
    </row>
    <row r="11132" spans="1:15" x14ac:dyDescent="0.25">
      <c r="A11132" t="s">
        <v>16</v>
      </c>
      <c r="B11132" t="s">
        <v>3221</v>
      </c>
      <c r="C11132">
        <v>9426</v>
      </c>
      <c r="D11132" t="s">
        <v>215</v>
      </c>
      <c r="E11132" t="s">
        <v>216</v>
      </c>
      <c r="F11132">
        <v>2645.01</v>
      </c>
      <c r="G11132">
        <v>230628</v>
      </c>
      <c r="H11132">
        <v>4840</v>
      </c>
      <c r="I11132" t="s">
        <v>19</v>
      </c>
      <c r="J11132">
        <v>3279.81</v>
      </c>
      <c r="K11132">
        <v>634.79999999999995</v>
      </c>
      <c r="L11132">
        <v>56558</v>
      </c>
      <c r="M11132" t="s">
        <v>217</v>
      </c>
      <c r="N11132" t="str">
        <f>"6902507554  "</f>
        <v xml:space="preserve">6902507554  </v>
      </c>
      <c r="O11132">
        <v>230710</v>
      </c>
    </row>
    <row r="11133" spans="1:15" x14ac:dyDescent="0.25">
      <c r="A11133" t="s">
        <v>16</v>
      </c>
      <c r="B11133" t="s">
        <v>3221</v>
      </c>
      <c r="C11133">
        <v>9426</v>
      </c>
      <c r="D11133" t="s">
        <v>215</v>
      </c>
      <c r="E11133" t="s">
        <v>216</v>
      </c>
      <c r="F11133">
        <v>264.39</v>
      </c>
      <c r="G11133">
        <v>230628</v>
      </c>
      <c r="H11133">
        <v>4840</v>
      </c>
      <c r="I11133" t="s">
        <v>19</v>
      </c>
      <c r="J11133">
        <v>327.84</v>
      </c>
      <c r="K11133">
        <v>63.45</v>
      </c>
      <c r="L11133">
        <v>56559</v>
      </c>
      <c r="M11133" t="s">
        <v>129</v>
      </c>
      <c r="N11133" t="str">
        <f>"6902507554  "</f>
        <v xml:space="preserve">6902507554  </v>
      </c>
      <c r="O11133">
        <v>230710</v>
      </c>
    </row>
    <row r="11134" spans="1:15" x14ac:dyDescent="0.25">
      <c r="A11134" t="s">
        <v>16</v>
      </c>
      <c r="B11134" t="s">
        <v>3221</v>
      </c>
      <c r="C11134">
        <v>9426</v>
      </c>
      <c r="D11134" t="s">
        <v>215</v>
      </c>
      <c r="E11134" t="s">
        <v>216</v>
      </c>
      <c r="F11134">
        <v>37.770000000000003</v>
      </c>
      <c r="G11134">
        <v>230628</v>
      </c>
      <c r="H11134">
        <v>4840</v>
      </c>
      <c r="I11134" t="s">
        <v>19</v>
      </c>
      <c r="J11134">
        <v>46.83</v>
      </c>
      <c r="K11134">
        <v>9.06</v>
      </c>
      <c r="L11134">
        <v>56562</v>
      </c>
      <c r="M11134" t="s">
        <v>126</v>
      </c>
      <c r="N11134" t="str">
        <f>"6902507554  "</f>
        <v xml:space="preserve">6902507554  </v>
      </c>
      <c r="O11134">
        <v>230710</v>
      </c>
    </row>
    <row r="11135" spans="1:15" x14ac:dyDescent="0.25">
      <c r="A11135" t="s">
        <v>16</v>
      </c>
      <c r="B11135" t="s">
        <v>3221</v>
      </c>
      <c r="C11135">
        <v>9426</v>
      </c>
      <c r="D11135" t="s">
        <v>215</v>
      </c>
      <c r="E11135" t="s">
        <v>216</v>
      </c>
      <c r="F11135">
        <v>113.31</v>
      </c>
      <c r="G11135">
        <v>230628</v>
      </c>
      <c r="H11135">
        <v>4840</v>
      </c>
      <c r="I11135" t="s">
        <v>19</v>
      </c>
      <c r="J11135">
        <v>140.5</v>
      </c>
      <c r="K11135">
        <v>27.19</v>
      </c>
      <c r="L11135">
        <v>59501</v>
      </c>
      <c r="M11135" t="s">
        <v>69</v>
      </c>
      <c r="N11135" t="str">
        <f>"6902507554  "</f>
        <v xml:space="preserve">6902507554  </v>
      </c>
      <c r="O11135">
        <v>230710</v>
      </c>
    </row>
    <row r="11136" spans="1:15" x14ac:dyDescent="0.25">
      <c r="A11136" t="s">
        <v>16</v>
      </c>
      <c r="B11136" t="s">
        <v>3221</v>
      </c>
      <c r="C11136">
        <v>10879</v>
      </c>
      <c r="D11136" t="s">
        <v>215</v>
      </c>
      <c r="E11136" t="s">
        <v>216</v>
      </c>
      <c r="F11136">
        <v>347.31</v>
      </c>
      <c r="G11136">
        <v>230822</v>
      </c>
      <c r="H11136">
        <v>4840</v>
      </c>
      <c r="I11136" t="s">
        <v>19</v>
      </c>
      <c r="J11136">
        <v>430.67</v>
      </c>
      <c r="K11136">
        <v>83.36</v>
      </c>
      <c r="L11136">
        <v>17522</v>
      </c>
      <c r="M11136" t="s">
        <v>451</v>
      </c>
      <c r="N11136" t="str">
        <f>"6902586221  "</f>
        <v xml:space="preserve">6902586221  </v>
      </c>
      <c r="O11136">
        <v>230824</v>
      </c>
    </row>
    <row r="11137" spans="1:15" x14ac:dyDescent="0.25">
      <c r="A11137" t="s">
        <v>16</v>
      </c>
      <c r="B11137" t="s">
        <v>3221</v>
      </c>
      <c r="C11137">
        <v>11409</v>
      </c>
      <c r="D11137" t="s">
        <v>215</v>
      </c>
      <c r="E11137" t="s">
        <v>216</v>
      </c>
      <c r="F11137">
        <v>71.25</v>
      </c>
      <c r="G11137">
        <v>230828</v>
      </c>
      <c r="H11137">
        <v>4840</v>
      </c>
      <c r="I11137" t="s">
        <v>19</v>
      </c>
      <c r="J11137">
        <v>88.35</v>
      </c>
      <c r="K11137">
        <v>17.100000000000001</v>
      </c>
      <c r="L11137">
        <v>17534</v>
      </c>
      <c r="M11137" t="s">
        <v>440</v>
      </c>
      <c r="N11137" t="str">
        <f>"6902589696  "</f>
        <v xml:space="preserve">6902589696  </v>
      </c>
      <c r="O11137">
        <v>230905</v>
      </c>
    </row>
    <row r="11138" spans="1:15" x14ac:dyDescent="0.25">
      <c r="A11138" t="s">
        <v>16</v>
      </c>
      <c r="B11138" t="s">
        <v>3221</v>
      </c>
      <c r="C11138">
        <v>11409</v>
      </c>
      <c r="D11138" t="s">
        <v>215</v>
      </c>
      <c r="E11138" t="s">
        <v>216</v>
      </c>
      <c r="F11138">
        <v>71.239999999999995</v>
      </c>
      <c r="G11138">
        <v>230828</v>
      </c>
      <c r="H11138">
        <v>4840</v>
      </c>
      <c r="I11138" t="s">
        <v>19</v>
      </c>
      <c r="J11138">
        <v>88.34</v>
      </c>
      <c r="K11138">
        <v>17.100000000000001</v>
      </c>
      <c r="L11138">
        <v>17535</v>
      </c>
      <c r="M11138" t="s">
        <v>357</v>
      </c>
      <c r="N11138" t="str">
        <f>"6902589696  "</f>
        <v xml:space="preserve">6902589696  </v>
      </c>
      <c r="O11138">
        <v>230905</v>
      </c>
    </row>
    <row r="11139" spans="1:15" x14ac:dyDescent="0.25">
      <c r="A11139" t="s">
        <v>16</v>
      </c>
      <c r="B11139" t="s">
        <v>3221</v>
      </c>
      <c r="C11139">
        <v>11409</v>
      </c>
      <c r="D11139" t="s">
        <v>215</v>
      </c>
      <c r="E11139" t="s">
        <v>216</v>
      </c>
      <c r="F11139">
        <v>71.239999999999995</v>
      </c>
      <c r="G11139">
        <v>230828</v>
      </c>
      <c r="H11139">
        <v>4840</v>
      </c>
      <c r="I11139" t="s">
        <v>19</v>
      </c>
      <c r="J11139">
        <v>88.34</v>
      </c>
      <c r="K11139">
        <v>17.100000000000001</v>
      </c>
      <c r="L11139">
        <v>17536</v>
      </c>
      <c r="M11139" t="s">
        <v>734</v>
      </c>
      <c r="N11139" t="str">
        <f>"6902589696  "</f>
        <v xml:space="preserve">6902589696  </v>
      </c>
      <c r="O11139">
        <v>230905</v>
      </c>
    </row>
    <row r="11140" spans="1:15" x14ac:dyDescent="0.25">
      <c r="A11140" t="s">
        <v>16</v>
      </c>
      <c r="B11140" t="s">
        <v>3221</v>
      </c>
      <c r="C11140">
        <v>13234</v>
      </c>
      <c r="D11140" t="s">
        <v>215</v>
      </c>
      <c r="E11140" t="s">
        <v>216</v>
      </c>
      <c r="F11140">
        <v>131.47999999999999</v>
      </c>
      <c r="G11140">
        <v>230928</v>
      </c>
      <c r="H11140">
        <v>4840</v>
      </c>
      <c r="I11140" t="s">
        <v>19</v>
      </c>
      <c r="J11140">
        <v>163.03</v>
      </c>
      <c r="K11140">
        <v>31.55</v>
      </c>
      <c r="L11140">
        <v>17535</v>
      </c>
      <c r="M11140" t="s">
        <v>357</v>
      </c>
      <c r="N11140" t="str">
        <f>"6902629764  "</f>
        <v xml:space="preserve">6902629764  </v>
      </c>
      <c r="O11140">
        <v>231006</v>
      </c>
    </row>
    <row r="11141" spans="1:15" x14ac:dyDescent="0.25">
      <c r="A11141" t="s">
        <v>16</v>
      </c>
      <c r="B11141" t="s">
        <v>3221</v>
      </c>
      <c r="C11141">
        <v>13234</v>
      </c>
      <c r="D11141" t="s">
        <v>215</v>
      </c>
      <c r="E11141" t="s">
        <v>216</v>
      </c>
      <c r="F11141">
        <v>131.47999999999999</v>
      </c>
      <c r="G11141">
        <v>230928</v>
      </c>
      <c r="H11141">
        <v>4840</v>
      </c>
      <c r="I11141" t="s">
        <v>19</v>
      </c>
      <c r="J11141">
        <v>163.03</v>
      </c>
      <c r="K11141">
        <v>31.55</v>
      </c>
      <c r="L11141">
        <v>17536</v>
      </c>
      <c r="M11141" t="s">
        <v>734</v>
      </c>
      <c r="N11141" t="str">
        <f>"6902629764  "</f>
        <v xml:space="preserve">6902629764  </v>
      </c>
      <c r="O11141">
        <v>231006</v>
      </c>
    </row>
    <row r="11142" spans="1:15" x14ac:dyDescent="0.25">
      <c r="A11142" t="s">
        <v>16</v>
      </c>
      <c r="B11142" t="s">
        <v>3221</v>
      </c>
      <c r="C11142">
        <v>13534</v>
      </c>
      <c r="D11142" t="s">
        <v>215</v>
      </c>
      <c r="E11142" t="s">
        <v>216</v>
      </c>
      <c r="F11142">
        <v>240.45</v>
      </c>
      <c r="G11142">
        <v>230929</v>
      </c>
      <c r="H11142">
        <v>4840</v>
      </c>
      <c r="I11142" t="s">
        <v>19</v>
      </c>
      <c r="J11142">
        <v>298.16000000000003</v>
      </c>
      <c r="K11142">
        <v>57.71</v>
      </c>
      <c r="L11142">
        <v>17529</v>
      </c>
      <c r="M11142" t="s">
        <v>453</v>
      </c>
      <c r="N11142" t="str">
        <f>"6902630525  "</f>
        <v xml:space="preserve">6902630525  </v>
      </c>
      <c r="O11142">
        <v>231011</v>
      </c>
    </row>
    <row r="11143" spans="1:15" x14ac:dyDescent="0.25">
      <c r="A11143" t="s">
        <v>16</v>
      </c>
      <c r="B11143" t="s">
        <v>3221</v>
      </c>
      <c r="C11143">
        <v>3006</v>
      </c>
      <c r="D11143" t="s">
        <v>215</v>
      </c>
      <c r="E11143" t="s">
        <v>216</v>
      </c>
      <c r="F11143">
        <v>55.72</v>
      </c>
      <c r="G11143">
        <v>230228</v>
      </c>
      <c r="H11143">
        <v>4600</v>
      </c>
      <c r="I11143" t="s">
        <v>105</v>
      </c>
      <c r="J11143">
        <v>69.09</v>
      </c>
      <c r="K11143">
        <v>13.37</v>
      </c>
      <c r="L11143">
        <v>47522</v>
      </c>
      <c r="M11143" t="s">
        <v>410</v>
      </c>
      <c r="N11143" t="str">
        <f>"6902352443  "</f>
        <v xml:space="preserve">6902352443  </v>
      </c>
      <c r="O11143">
        <v>230308</v>
      </c>
    </row>
    <row r="11144" spans="1:15" x14ac:dyDescent="0.25">
      <c r="A11144" t="s">
        <v>16</v>
      </c>
      <c r="B11144" t="s">
        <v>3221</v>
      </c>
      <c r="C11144">
        <v>4647</v>
      </c>
      <c r="D11144" t="s">
        <v>215</v>
      </c>
      <c r="E11144" t="s">
        <v>216</v>
      </c>
      <c r="F11144">
        <v>97.67</v>
      </c>
      <c r="G11144">
        <v>230329</v>
      </c>
      <c r="H11144">
        <v>4600</v>
      </c>
      <c r="I11144" t="s">
        <v>105</v>
      </c>
      <c r="J11144">
        <v>121.11</v>
      </c>
      <c r="K11144">
        <v>23.44</v>
      </c>
      <c r="L11144">
        <v>67522</v>
      </c>
      <c r="M11144" t="s">
        <v>397</v>
      </c>
      <c r="N11144" t="str">
        <f>"6902374883  "</f>
        <v xml:space="preserve">6902374883  </v>
      </c>
      <c r="O11144">
        <v>230411</v>
      </c>
    </row>
    <row r="11145" spans="1:15" x14ac:dyDescent="0.25">
      <c r="A11145" t="s">
        <v>16</v>
      </c>
      <c r="B11145" t="s">
        <v>3221</v>
      </c>
      <c r="C11145">
        <v>13470</v>
      </c>
      <c r="D11145" t="s">
        <v>215</v>
      </c>
      <c r="E11145" t="s">
        <v>216</v>
      </c>
      <c r="F11145">
        <v>104.67</v>
      </c>
      <c r="G11145">
        <v>230926</v>
      </c>
      <c r="H11145">
        <v>4600</v>
      </c>
      <c r="I11145" t="s">
        <v>105</v>
      </c>
      <c r="J11145">
        <v>129.79</v>
      </c>
      <c r="K11145">
        <v>25.12</v>
      </c>
      <c r="L11145">
        <v>56565</v>
      </c>
      <c r="M11145" t="s">
        <v>758</v>
      </c>
      <c r="N11145" t="str">
        <f>"6902628207  "</f>
        <v xml:space="preserve">6902628207  </v>
      </c>
      <c r="O11145">
        <v>231010</v>
      </c>
    </row>
    <row r="11146" spans="1:15" x14ac:dyDescent="0.25">
      <c r="A11146" t="s">
        <v>16</v>
      </c>
      <c r="B11146" t="s">
        <v>3221</v>
      </c>
      <c r="C11146">
        <v>15421</v>
      </c>
      <c r="D11146" t="s">
        <v>215</v>
      </c>
      <c r="E11146" t="s">
        <v>216</v>
      </c>
      <c r="F11146">
        <v>108</v>
      </c>
      <c r="G11146">
        <v>231101</v>
      </c>
      <c r="H11146">
        <v>4600</v>
      </c>
      <c r="I11146" t="s">
        <v>105</v>
      </c>
      <c r="J11146">
        <v>133.91999999999999</v>
      </c>
      <c r="K11146">
        <v>25.92</v>
      </c>
      <c r="L11146">
        <v>67522</v>
      </c>
      <c r="M11146" t="s">
        <v>397</v>
      </c>
      <c r="N11146" t="str">
        <f>"6902677099  "</f>
        <v xml:space="preserve">6902677099  </v>
      </c>
      <c r="O11146">
        <v>231113</v>
      </c>
    </row>
    <row r="11147" spans="1:15" x14ac:dyDescent="0.25">
      <c r="A11147" t="s">
        <v>16</v>
      </c>
      <c r="B11147" t="s">
        <v>3221</v>
      </c>
      <c r="C11147">
        <v>4674</v>
      </c>
      <c r="D11147" t="s">
        <v>215</v>
      </c>
      <c r="E11147" t="s">
        <v>216</v>
      </c>
      <c r="F11147">
        <v>61.69</v>
      </c>
      <c r="G11147">
        <v>230331</v>
      </c>
      <c r="H11147">
        <v>4470</v>
      </c>
      <c r="I11147" t="s">
        <v>83</v>
      </c>
      <c r="J11147">
        <v>76.5</v>
      </c>
      <c r="K11147">
        <v>14.81</v>
      </c>
      <c r="L11147">
        <v>47522</v>
      </c>
      <c r="M11147" t="s">
        <v>410</v>
      </c>
      <c r="N11147" t="str">
        <f>"6902390329  "</f>
        <v xml:space="preserve">6902390329  </v>
      </c>
      <c r="O11147">
        <v>230411</v>
      </c>
    </row>
    <row r="11148" spans="1:15" x14ac:dyDescent="0.25">
      <c r="A11148" t="s">
        <v>16</v>
      </c>
      <c r="B11148" t="s">
        <v>3221</v>
      </c>
      <c r="C11148">
        <v>8507</v>
      </c>
      <c r="D11148" t="s">
        <v>215</v>
      </c>
      <c r="E11148" t="s">
        <v>216</v>
      </c>
      <c r="F11148">
        <v>150</v>
      </c>
      <c r="G11148">
        <v>230601</v>
      </c>
      <c r="H11148">
        <v>4470</v>
      </c>
      <c r="I11148" t="s">
        <v>83</v>
      </c>
      <c r="J11148">
        <v>186</v>
      </c>
      <c r="K11148">
        <v>36</v>
      </c>
      <c r="L11148">
        <v>56558</v>
      </c>
      <c r="M11148" t="s">
        <v>217</v>
      </c>
      <c r="N11148" t="str">
        <f>"6902457410  "</f>
        <v xml:space="preserve">6902457410  </v>
      </c>
      <c r="O11148">
        <v>230609</v>
      </c>
    </row>
    <row r="11149" spans="1:15" x14ac:dyDescent="0.25">
      <c r="A11149" t="s">
        <v>16</v>
      </c>
      <c r="B11149" t="s">
        <v>3221</v>
      </c>
      <c r="C11149">
        <v>9472</v>
      </c>
      <c r="D11149" t="s">
        <v>215</v>
      </c>
      <c r="E11149" t="s">
        <v>216</v>
      </c>
      <c r="F11149">
        <v>150</v>
      </c>
      <c r="G11149">
        <v>230701</v>
      </c>
      <c r="H11149">
        <v>4470</v>
      </c>
      <c r="I11149" t="s">
        <v>83</v>
      </c>
      <c r="J11149">
        <v>186</v>
      </c>
      <c r="K11149">
        <v>36</v>
      </c>
      <c r="L11149">
        <v>56558</v>
      </c>
      <c r="M11149" t="s">
        <v>217</v>
      </c>
      <c r="N11149" t="str">
        <f>"6902509132  "</f>
        <v xml:space="preserve">6902509132  </v>
      </c>
      <c r="O11149">
        <v>230711</v>
      </c>
    </row>
    <row r="11150" spans="1:15" x14ac:dyDescent="0.25">
      <c r="A11150" t="s">
        <v>16</v>
      </c>
      <c r="B11150" t="s">
        <v>3221</v>
      </c>
      <c r="C11150">
        <v>10296</v>
      </c>
      <c r="D11150" t="s">
        <v>215</v>
      </c>
      <c r="E11150" t="s">
        <v>216</v>
      </c>
      <c r="F11150">
        <v>150</v>
      </c>
      <c r="G11150">
        <v>230801</v>
      </c>
      <c r="H11150">
        <v>4470</v>
      </c>
      <c r="I11150" t="s">
        <v>83</v>
      </c>
      <c r="J11150">
        <v>186</v>
      </c>
      <c r="K11150">
        <v>36</v>
      </c>
      <c r="L11150">
        <v>56558</v>
      </c>
      <c r="M11150" t="s">
        <v>217</v>
      </c>
      <c r="N11150" t="str">
        <f>"6902552023  "</f>
        <v xml:space="preserve">6902552023  </v>
      </c>
      <c r="O11150">
        <v>230814</v>
      </c>
    </row>
    <row r="11151" spans="1:15" x14ac:dyDescent="0.25">
      <c r="A11151" t="s">
        <v>16</v>
      </c>
      <c r="B11151" t="s">
        <v>3221</v>
      </c>
      <c r="C11151">
        <v>15636</v>
      </c>
      <c r="D11151" t="s">
        <v>215</v>
      </c>
      <c r="E11151" t="s">
        <v>216</v>
      </c>
      <c r="F11151">
        <v>1359</v>
      </c>
      <c r="G11151">
        <v>231113</v>
      </c>
      <c r="H11151">
        <v>4470</v>
      </c>
      <c r="I11151" t="s">
        <v>83</v>
      </c>
      <c r="J11151">
        <v>1685.16</v>
      </c>
      <c r="K11151">
        <v>326.16000000000003</v>
      </c>
      <c r="L11151">
        <v>17803</v>
      </c>
      <c r="M11151" t="s">
        <v>389</v>
      </c>
      <c r="N11151" t="str">
        <f>"6902700645  "</f>
        <v xml:space="preserve">6902700645  </v>
      </c>
      <c r="O11151">
        <v>231114</v>
      </c>
    </row>
    <row r="11152" spans="1:15" x14ac:dyDescent="0.25">
      <c r="A11152" t="s">
        <v>16</v>
      </c>
      <c r="B11152" t="s">
        <v>3221</v>
      </c>
      <c r="C11152">
        <v>240</v>
      </c>
      <c r="D11152" t="s">
        <v>215</v>
      </c>
      <c r="E11152" t="s">
        <v>216</v>
      </c>
      <c r="F11152">
        <v>823.9</v>
      </c>
      <c r="G11152">
        <v>221229</v>
      </c>
      <c r="H11152">
        <v>4860</v>
      </c>
      <c r="I11152" t="s">
        <v>28</v>
      </c>
      <c r="J11152">
        <v>1021.64</v>
      </c>
      <c r="K11152">
        <v>197.74</v>
      </c>
      <c r="L11152">
        <v>17711</v>
      </c>
      <c r="M11152" t="s">
        <v>65</v>
      </c>
      <c r="N11152" t="str">
        <f>"6902262244  "</f>
        <v xml:space="preserve">6902262244  </v>
      </c>
      <c r="O11152">
        <v>230116</v>
      </c>
    </row>
    <row r="11153" spans="1:15" x14ac:dyDescent="0.25">
      <c r="A11153" t="s">
        <v>16</v>
      </c>
      <c r="B11153" t="s">
        <v>3221</v>
      </c>
      <c r="C11153">
        <v>1393</v>
      </c>
      <c r="D11153" t="s">
        <v>215</v>
      </c>
      <c r="E11153" t="s">
        <v>216</v>
      </c>
      <c r="F11153">
        <v>31</v>
      </c>
      <c r="G11153">
        <v>230131</v>
      </c>
      <c r="H11153">
        <v>4860</v>
      </c>
      <c r="I11153" t="s">
        <v>28</v>
      </c>
      <c r="J11153">
        <v>38.44</v>
      </c>
      <c r="K11153">
        <v>7.44</v>
      </c>
      <c r="L11153">
        <v>67522</v>
      </c>
      <c r="M11153" t="s">
        <v>397</v>
      </c>
      <c r="N11153" t="str">
        <f>"6902321208  "</f>
        <v xml:space="preserve">6902321208  </v>
      </c>
      <c r="O11153">
        <v>230208</v>
      </c>
    </row>
    <row r="11154" spans="1:15" x14ac:dyDescent="0.25">
      <c r="A11154" t="s">
        <v>16</v>
      </c>
      <c r="B11154" t="s">
        <v>3221</v>
      </c>
      <c r="C11154">
        <v>1486</v>
      </c>
      <c r="D11154" t="s">
        <v>215</v>
      </c>
      <c r="E11154" t="s">
        <v>216</v>
      </c>
      <c r="F11154">
        <v>1422.93</v>
      </c>
      <c r="G11154">
        <v>230131</v>
      </c>
      <c r="H11154">
        <v>4860</v>
      </c>
      <c r="I11154" t="s">
        <v>28</v>
      </c>
      <c r="J11154">
        <v>1764.43</v>
      </c>
      <c r="K11154">
        <v>341.5</v>
      </c>
      <c r="L11154">
        <v>46554</v>
      </c>
      <c r="M11154" t="s">
        <v>117</v>
      </c>
      <c r="N11154" t="str">
        <f>"6902317559  "</f>
        <v xml:space="preserve">6902317559  </v>
      </c>
      <c r="O11154">
        <v>230209</v>
      </c>
    </row>
    <row r="11155" spans="1:15" x14ac:dyDescent="0.25">
      <c r="A11155" t="s">
        <v>16</v>
      </c>
      <c r="B11155" t="s">
        <v>3221</v>
      </c>
      <c r="C11155">
        <v>2965</v>
      </c>
      <c r="D11155" t="s">
        <v>215</v>
      </c>
      <c r="E11155" t="s">
        <v>216</v>
      </c>
      <c r="F11155">
        <v>28.48</v>
      </c>
      <c r="G11155">
        <v>230228</v>
      </c>
      <c r="H11155">
        <v>4860</v>
      </c>
      <c r="I11155" t="s">
        <v>28</v>
      </c>
      <c r="J11155">
        <v>35.32</v>
      </c>
      <c r="K11155">
        <v>6.84</v>
      </c>
      <c r="L11155">
        <v>67522</v>
      </c>
      <c r="M11155" t="s">
        <v>397</v>
      </c>
      <c r="N11155" t="str">
        <f>"6902355075  "</f>
        <v xml:space="preserve">6902355075  </v>
      </c>
      <c r="O11155">
        <v>230308</v>
      </c>
    </row>
    <row r="11156" spans="1:15" x14ac:dyDescent="0.25">
      <c r="A11156" t="s">
        <v>16</v>
      </c>
      <c r="B11156" t="s">
        <v>3221</v>
      </c>
      <c r="C11156">
        <v>4570</v>
      </c>
      <c r="D11156" t="s">
        <v>215</v>
      </c>
      <c r="E11156" t="s">
        <v>216</v>
      </c>
      <c r="F11156">
        <v>13.95</v>
      </c>
      <c r="G11156">
        <v>230331</v>
      </c>
      <c r="H11156">
        <v>4860</v>
      </c>
      <c r="I11156" t="s">
        <v>28</v>
      </c>
      <c r="J11156">
        <v>17.3</v>
      </c>
      <c r="K11156">
        <v>3.35</v>
      </c>
      <c r="L11156">
        <v>17536</v>
      </c>
      <c r="M11156" t="s">
        <v>734</v>
      </c>
      <c r="N11156" t="str">
        <f>"6902387993  "</f>
        <v xml:space="preserve">6902387993  </v>
      </c>
      <c r="O11156">
        <v>230406</v>
      </c>
    </row>
    <row r="11157" spans="1:15" x14ac:dyDescent="0.25">
      <c r="A11157" t="s">
        <v>16</v>
      </c>
      <c r="B11157" t="s">
        <v>3221</v>
      </c>
      <c r="C11157">
        <v>4676</v>
      </c>
      <c r="D11157" t="s">
        <v>215</v>
      </c>
      <c r="E11157" t="s">
        <v>216</v>
      </c>
      <c r="F11157">
        <v>36.479999999999997</v>
      </c>
      <c r="G11157">
        <v>230331</v>
      </c>
      <c r="H11157">
        <v>4860</v>
      </c>
      <c r="I11157" t="s">
        <v>28</v>
      </c>
      <c r="J11157">
        <v>45.24</v>
      </c>
      <c r="K11157">
        <v>8.76</v>
      </c>
      <c r="L11157">
        <v>67522</v>
      </c>
      <c r="M11157" t="s">
        <v>397</v>
      </c>
      <c r="N11157" t="str">
        <f>"6902394748  "</f>
        <v xml:space="preserve">6902394748  </v>
      </c>
      <c r="O11157">
        <v>230411</v>
      </c>
    </row>
    <row r="11158" spans="1:15" x14ac:dyDescent="0.25">
      <c r="A11158" t="s">
        <v>16</v>
      </c>
      <c r="B11158" t="s">
        <v>3221</v>
      </c>
      <c r="C11158">
        <v>6154</v>
      </c>
      <c r="D11158" t="s">
        <v>215</v>
      </c>
      <c r="E11158" t="s">
        <v>216</v>
      </c>
      <c r="F11158">
        <v>59.7</v>
      </c>
      <c r="G11158">
        <v>230430</v>
      </c>
      <c r="H11158">
        <v>4860</v>
      </c>
      <c r="I11158" t="s">
        <v>28</v>
      </c>
      <c r="J11158">
        <v>74.03</v>
      </c>
      <c r="K11158">
        <v>14.33</v>
      </c>
      <c r="L11158">
        <v>47522</v>
      </c>
      <c r="M11158" t="s">
        <v>410</v>
      </c>
      <c r="N11158" t="str">
        <f>"6902428282  "</f>
        <v xml:space="preserve">6902428282  </v>
      </c>
      <c r="O11158">
        <v>230508</v>
      </c>
    </row>
    <row r="11159" spans="1:15" x14ac:dyDescent="0.25">
      <c r="A11159" t="s">
        <v>16</v>
      </c>
      <c r="B11159" t="s">
        <v>3221</v>
      </c>
      <c r="C11159">
        <v>6394</v>
      </c>
      <c r="D11159" t="s">
        <v>215</v>
      </c>
      <c r="E11159" t="s">
        <v>216</v>
      </c>
      <c r="F11159">
        <v>30</v>
      </c>
      <c r="G11159">
        <v>230430</v>
      </c>
      <c r="H11159">
        <v>4860</v>
      </c>
      <c r="I11159" t="s">
        <v>28</v>
      </c>
      <c r="J11159">
        <v>37.200000000000003</v>
      </c>
      <c r="K11159">
        <v>7.2</v>
      </c>
      <c r="L11159">
        <v>67522</v>
      </c>
      <c r="M11159" t="s">
        <v>397</v>
      </c>
      <c r="N11159" t="str">
        <f>"6902429910  "</f>
        <v xml:space="preserve">6902429910  </v>
      </c>
      <c r="O11159">
        <v>230510</v>
      </c>
    </row>
    <row r="11160" spans="1:15" x14ac:dyDescent="0.25">
      <c r="A11160" t="s">
        <v>16</v>
      </c>
      <c r="B11160" t="s">
        <v>3221</v>
      </c>
      <c r="C11160">
        <v>8121</v>
      </c>
      <c r="D11160" t="s">
        <v>215</v>
      </c>
      <c r="E11160" t="s">
        <v>216</v>
      </c>
      <c r="F11160">
        <v>33.17</v>
      </c>
      <c r="G11160">
        <v>230531</v>
      </c>
      <c r="H11160">
        <v>4860</v>
      </c>
      <c r="I11160" t="s">
        <v>28</v>
      </c>
      <c r="J11160">
        <v>41.13</v>
      </c>
      <c r="K11160">
        <v>7.96</v>
      </c>
      <c r="L11160">
        <v>67522</v>
      </c>
      <c r="M11160" t="s">
        <v>397</v>
      </c>
      <c r="N11160" t="str">
        <f>"6902482113  "</f>
        <v xml:space="preserve">6902482113  </v>
      </c>
      <c r="O11160">
        <v>230607</v>
      </c>
    </row>
    <row r="11161" spans="1:15" x14ac:dyDescent="0.25">
      <c r="A11161" t="s">
        <v>16</v>
      </c>
      <c r="B11161" t="s">
        <v>3221</v>
      </c>
      <c r="C11161">
        <v>8358</v>
      </c>
      <c r="D11161" t="s">
        <v>215</v>
      </c>
      <c r="E11161" t="s">
        <v>216</v>
      </c>
      <c r="F11161">
        <v>66.34</v>
      </c>
      <c r="G11161">
        <v>230531</v>
      </c>
      <c r="H11161">
        <v>4860</v>
      </c>
      <c r="I11161" t="s">
        <v>28</v>
      </c>
      <c r="J11161">
        <v>82.26</v>
      </c>
      <c r="K11161">
        <v>15.92</v>
      </c>
      <c r="L11161">
        <v>47522</v>
      </c>
      <c r="M11161" t="s">
        <v>410</v>
      </c>
      <c r="N11161" t="str">
        <f>"6902477024  "</f>
        <v xml:space="preserve">6902477024  </v>
      </c>
      <c r="O11161">
        <v>230608</v>
      </c>
    </row>
    <row r="11162" spans="1:15" x14ac:dyDescent="0.25">
      <c r="A11162" t="s">
        <v>16</v>
      </c>
      <c r="B11162" t="s">
        <v>3221</v>
      </c>
      <c r="C11162">
        <v>9454</v>
      </c>
      <c r="D11162" t="s">
        <v>215</v>
      </c>
      <c r="E11162" t="s">
        <v>216</v>
      </c>
      <c r="F11162">
        <v>32.82</v>
      </c>
      <c r="G11162">
        <v>230630</v>
      </c>
      <c r="H11162">
        <v>4860</v>
      </c>
      <c r="I11162" t="s">
        <v>28</v>
      </c>
      <c r="J11162">
        <v>40.700000000000003</v>
      </c>
      <c r="K11162">
        <v>7.88</v>
      </c>
      <c r="L11162">
        <v>67522</v>
      </c>
      <c r="M11162" t="s">
        <v>397</v>
      </c>
      <c r="N11162" t="str">
        <f>"6902524818  "</f>
        <v xml:space="preserve">6902524818  </v>
      </c>
      <c r="O11162">
        <v>230711</v>
      </c>
    </row>
    <row r="11163" spans="1:15" x14ac:dyDescent="0.25">
      <c r="A11163" t="s">
        <v>16</v>
      </c>
      <c r="B11163" t="s">
        <v>3221</v>
      </c>
      <c r="C11163">
        <v>9569</v>
      </c>
      <c r="D11163" t="s">
        <v>215</v>
      </c>
      <c r="E11163" t="s">
        <v>216</v>
      </c>
      <c r="F11163">
        <v>64.2</v>
      </c>
      <c r="G11163">
        <v>230630</v>
      </c>
      <c r="H11163">
        <v>4860</v>
      </c>
      <c r="I11163" t="s">
        <v>28</v>
      </c>
      <c r="J11163">
        <v>79.61</v>
      </c>
      <c r="K11163">
        <v>15.41</v>
      </c>
      <c r="L11163">
        <v>47522</v>
      </c>
      <c r="M11163" t="s">
        <v>410</v>
      </c>
      <c r="N11163" t="str">
        <f>"6902523500  "</f>
        <v xml:space="preserve">6902523500  </v>
      </c>
      <c r="O11163">
        <v>230717</v>
      </c>
    </row>
    <row r="11164" spans="1:15" x14ac:dyDescent="0.25">
      <c r="A11164" t="s">
        <v>16</v>
      </c>
      <c r="B11164" t="s">
        <v>3221</v>
      </c>
      <c r="C11164">
        <v>9969</v>
      </c>
      <c r="D11164" t="s">
        <v>215</v>
      </c>
      <c r="E11164" t="s">
        <v>216</v>
      </c>
      <c r="F11164">
        <v>38.75</v>
      </c>
      <c r="G11164">
        <v>230731</v>
      </c>
      <c r="H11164">
        <v>4860</v>
      </c>
      <c r="I11164" t="s">
        <v>28</v>
      </c>
      <c r="J11164">
        <v>48.05</v>
      </c>
      <c r="K11164">
        <v>9.3000000000000007</v>
      </c>
      <c r="L11164">
        <v>67522</v>
      </c>
      <c r="M11164" t="s">
        <v>397</v>
      </c>
      <c r="N11164" t="str">
        <f>"6902566998  "</f>
        <v xml:space="preserve">6902566998  </v>
      </c>
      <c r="O11164">
        <v>230803</v>
      </c>
    </row>
    <row r="11165" spans="1:15" x14ac:dyDescent="0.25">
      <c r="A11165" t="s">
        <v>16</v>
      </c>
      <c r="B11165" t="s">
        <v>3221</v>
      </c>
      <c r="C11165">
        <v>10084</v>
      </c>
      <c r="D11165" t="s">
        <v>215</v>
      </c>
      <c r="E11165" t="s">
        <v>216</v>
      </c>
      <c r="F11165">
        <v>66.34</v>
      </c>
      <c r="G11165">
        <v>230731</v>
      </c>
      <c r="H11165">
        <v>4860</v>
      </c>
      <c r="I11165" t="s">
        <v>28</v>
      </c>
      <c r="J11165">
        <v>82.26</v>
      </c>
      <c r="K11165">
        <v>15.92</v>
      </c>
      <c r="L11165">
        <v>47522</v>
      </c>
      <c r="M11165" t="s">
        <v>410</v>
      </c>
      <c r="N11165" t="str">
        <f>"6902565157  "</f>
        <v xml:space="preserve">6902565157  </v>
      </c>
      <c r="O11165">
        <v>230808</v>
      </c>
    </row>
    <row r="11166" spans="1:15" x14ac:dyDescent="0.25">
      <c r="A11166" t="s">
        <v>16</v>
      </c>
      <c r="B11166" t="s">
        <v>3221</v>
      </c>
      <c r="C11166">
        <v>10835</v>
      </c>
      <c r="D11166" t="s">
        <v>215</v>
      </c>
      <c r="E11166" t="s">
        <v>216</v>
      </c>
      <c r="F11166">
        <v>648.99</v>
      </c>
      <c r="G11166">
        <v>230809</v>
      </c>
      <c r="H11166">
        <v>4860</v>
      </c>
      <c r="I11166" t="s">
        <v>28</v>
      </c>
      <c r="J11166">
        <v>804.75</v>
      </c>
      <c r="K11166">
        <v>155.76</v>
      </c>
      <c r="L11166">
        <v>66756</v>
      </c>
      <c r="M11166" t="s">
        <v>209</v>
      </c>
      <c r="N11166" t="str">
        <f>"6902578062  "</f>
        <v xml:space="preserve">6902578062  </v>
      </c>
      <c r="O11166">
        <v>230823</v>
      </c>
    </row>
    <row r="11167" spans="1:15" x14ac:dyDescent="0.25">
      <c r="A11167" t="s">
        <v>16</v>
      </c>
      <c r="B11167" t="s">
        <v>3221</v>
      </c>
      <c r="C11167">
        <v>10835</v>
      </c>
      <c r="D11167" t="s">
        <v>215</v>
      </c>
      <c r="E11167" t="s">
        <v>216</v>
      </c>
      <c r="F11167">
        <v>112.87</v>
      </c>
      <c r="G11167">
        <v>230809</v>
      </c>
      <c r="H11167">
        <v>4860</v>
      </c>
      <c r="I11167" t="s">
        <v>28</v>
      </c>
      <c r="J11167">
        <v>139.96</v>
      </c>
      <c r="K11167">
        <v>27.09</v>
      </c>
      <c r="L11167">
        <v>67522</v>
      </c>
      <c r="M11167" t="s">
        <v>397</v>
      </c>
      <c r="N11167" t="str">
        <f>"6902578062  "</f>
        <v xml:space="preserve">6902578062  </v>
      </c>
      <c r="O11167">
        <v>230823</v>
      </c>
    </row>
    <row r="11168" spans="1:15" x14ac:dyDescent="0.25">
      <c r="A11168" t="s">
        <v>16</v>
      </c>
      <c r="B11168" t="s">
        <v>3221</v>
      </c>
      <c r="C11168">
        <v>10835</v>
      </c>
      <c r="D11168" t="s">
        <v>215</v>
      </c>
      <c r="E11168" t="s">
        <v>216</v>
      </c>
      <c r="F11168">
        <v>84.65</v>
      </c>
      <c r="G11168">
        <v>230809</v>
      </c>
      <c r="H11168">
        <v>4860</v>
      </c>
      <c r="I11168" t="s">
        <v>28</v>
      </c>
      <c r="J11168">
        <v>104.97</v>
      </c>
      <c r="K11168">
        <v>20.32</v>
      </c>
      <c r="L11168">
        <v>67554</v>
      </c>
      <c r="M11168" t="s">
        <v>60</v>
      </c>
      <c r="N11168" t="str">
        <f>"6902578062  "</f>
        <v xml:space="preserve">6902578062  </v>
      </c>
      <c r="O11168">
        <v>230823</v>
      </c>
    </row>
    <row r="11169" spans="1:15" x14ac:dyDescent="0.25">
      <c r="A11169" t="s">
        <v>16</v>
      </c>
      <c r="B11169" t="s">
        <v>3221</v>
      </c>
      <c r="C11169">
        <v>11413</v>
      </c>
      <c r="D11169" t="s">
        <v>215</v>
      </c>
      <c r="E11169" t="s">
        <v>216</v>
      </c>
      <c r="F11169">
        <v>66.34</v>
      </c>
      <c r="G11169">
        <v>230831</v>
      </c>
      <c r="H11169">
        <v>4860</v>
      </c>
      <c r="I11169" t="s">
        <v>28</v>
      </c>
      <c r="J11169">
        <v>82.26</v>
      </c>
      <c r="K11169">
        <v>15.92</v>
      </c>
      <c r="L11169">
        <v>47522</v>
      </c>
      <c r="M11169" t="s">
        <v>410</v>
      </c>
      <c r="N11169" t="str">
        <f>"6902605621  "</f>
        <v xml:space="preserve">6902605621  </v>
      </c>
      <c r="O11169">
        <v>230905</v>
      </c>
    </row>
    <row r="11170" spans="1:15" x14ac:dyDescent="0.25">
      <c r="A11170" t="s">
        <v>16</v>
      </c>
      <c r="B11170" t="s">
        <v>3221</v>
      </c>
      <c r="C11170">
        <v>11867</v>
      </c>
      <c r="D11170" t="s">
        <v>215</v>
      </c>
      <c r="E11170" t="s">
        <v>216</v>
      </c>
      <c r="F11170">
        <v>38.75</v>
      </c>
      <c r="G11170">
        <v>230831</v>
      </c>
      <c r="H11170">
        <v>4860</v>
      </c>
      <c r="I11170" t="s">
        <v>28</v>
      </c>
      <c r="J11170">
        <v>48.05</v>
      </c>
      <c r="K11170">
        <v>9.3000000000000007</v>
      </c>
      <c r="L11170">
        <v>67522</v>
      </c>
      <c r="M11170" t="s">
        <v>397</v>
      </c>
      <c r="N11170" t="str">
        <f>"6902604301  "</f>
        <v xml:space="preserve">6902604301  </v>
      </c>
      <c r="O11170">
        <v>230911</v>
      </c>
    </row>
    <row r="11171" spans="1:15" x14ac:dyDescent="0.25">
      <c r="A11171" t="s">
        <v>16</v>
      </c>
      <c r="B11171" t="s">
        <v>3221</v>
      </c>
      <c r="C11171">
        <v>12888</v>
      </c>
      <c r="D11171" t="s">
        <v>215</v>
      </c>
      <c r="E11171" t="s">
        <v>216</v>
      </c>
      <c r="F11171">
        <v>-13.95</v>
      </c>
      <c r="G11171">
        <v>230925</v>
      </c>
      <c r="H11171">
        <v>4860</v>
      </c>
      <c r="I11171" t="s">
        <v>28</v>
      </c>
      <c r="J11171">
        <v>-17.3</v>
      </c>
      <c r="K11171">
        <v>-3.35</v>
      </c>
      <c r="L11171">
        <v>17536</v>
      </c>
      <c r="M11171" t="s">
        <v>734</v>
      </c>
      <c r="N11171" t="str">
        <f>"6902626609  "</f>
        <v xml:space="preserve">6902626609  </v>
      </c>
      <c r="O11171">
        <v>230929</v>
      </c>
    </row>
    <row r="11172" spans="1:15" x14ac:dyDescent="0.25">
      <c r="A11172" t="s">
        <v>16</v>
      </c>
      <c r="B11172" t="s">
        <v>3221</v>
      </c>
      <c r="C11172">
        <v>13349</v>
      </c>
      <c r="D11172" t="s">
        <v>215</v>
      </c>
      <c r="E11172" t="s">
        <v>216</v>
      </c>
      <c r="F11172">
        <v>64.2</v>
      </c>
      <c r="G11172">
        <v>230930</v>
      </c>
      <c r="H11172">
        <v>4860</v>
      </c>
      <c r="I11172" t="s">
        <v>28</v>
      </c>
      <c r="J11172">
        <v>79.61</v>
      </c>
      <c r="K11172">
        <v>15.41</v>
      </c>
      <c r="L11172">
        <v>46554</v>
      </c>
      <c r="M11172" t="s">
        <v>117</v>
      </c>
      <c r="N11172" t="str">
        <f>"6902656063  "</f>
        <v xml:space="preserve">6902656063  </v>
      </c>
      <c r="O11172">
        <v>231009</v>
      </c>
    </row>
    <row r="11173" spans="1:15" x14ac:dyDescent="0.25">
      <c r="A11173" t="s">
        <v>16</v>
      </c>
      <c r="B11173" t="s">
        <v>3221</v>
      </c>
      <c r="C11173">
        <v>13497</v>
      </c>
      <c r="D11173" t="s">
        <v>215</v>
      </c>
      <c r="E11173" t="s">
        <v>216</v>
      </c>
      <c r="F11173">
        <v>282.49</v>
      </c>
      <c r="G11173">
        <v>230922</v>
      </c>
      <c r="H11173">
        <v>4860</v>
      </c>
      <c r="I11173" t="s">
        <v>28</v>
      </c>
      <c r="J11173">
        <v>350.29</v>
      </c>
      <c r="K11173">
        <v>67.8</v>
      </c>
      <c r="L11173">
        <v>17804</v>
      </c>
      <c r="M11173" t="s">
        <v>549</v>
      </c>
      <c r="N11173" t="str">
        <f>"6902626164  "</f>
        <v xml:space="preserve">6902626164  </v>
      </c>
      <c r="O11173">
        <v>231010</v>
      </c>
    </row>
    <row r="11174" spans="1:15" x14ac:dyDescent="0.25">
      <c r="A11174" t="s">
        <v>16</v>
      </c>
      <c r="B11174" t="s">
        <v>3221</v>
      </c>
      <c r="C11174">
        <v>13535</v>
      </c>
      <c r="D11174" t="s">
        <v>215</v>
      </c>
      <c r="E11174" t="s">
        <v>216</v>
      </c>
      <c r="F11174">
        <v>36.590000000000003</v>
      </c>
      <c r="G11174">
        <v>230930</v>
      </c>
      <c r="H11174">
        <v>4860</v>
      </c>
      <c r="I11174" t="s">
        <v>28</v>
      </c>
      <c r="J11174">
        <v>45.37</v>
      </c>
      <c r="K11174">
        <v>8.7799999999999994</v>
      </c>
      <c r="L11174">
        <v>67522</v>
      </c>
      <c r="M11174" t="s">
        <v>397</v>
      </c>
      <c r="N11174" t="str">
        <f>"6902646540  "</f>
        <v xml:space="preserve">6902646540  </v>
      </c>
      <c r="O11174">
        <v>231011</v>
      </c>
    </row>
    <row r="11175" spans="1:15" x14ac:dyDescent="0.25">
      <c r="A11175" t="s">
        <v>16</v>
      </c>
      <c r="B11175" t="s">
        <v>3221</v>
      </c>
      <c r="C11175">
        <v>14200</v>
      </c>
      <c r="D11175" t="s">
        <v>215</v>
      </c>
      <c r="E11175" t="s">
        <v>216</v>
      </c>
      <c r="F11175">
        <v>741.39</v>
      </c>
      <c r="G11175">
        <v>230925</v>
      </c>
      <c r="H11175">
        <v>4860</v>
      </c>
      <c r="I11175" t="s">
        <v>28</v>
      </c>
      <c r="J11175">
        <v>919.32</v>
      </c>
      <c r="K11175">
        <v>177.93</v>
      </c>
      <c r="L11175">
        <v>46554</v>
      </c>
      <c r="M11175" t="s">
        <v>117</v>
      </c>
      <c r="N11175" t="str">
        <f>"6902627246  "</f>
        <v xml:space="preserve">6902627246  </v>
      </c>
      <c r="O11175">
        <v>231024</v>
      </c>
    </row>
    <row r="11176" spans="1:15" x14ac:dyDescent="0.25">
      <c r="A11176" t="s">
        <v>16</v>
      </c>
      <c r="B11176" t="s">
        <v>3221</v>
      </c>
      <c r="C11176">
        <v>15400</v>
      </c>
      <c r="D11176" t="s">
        <v>215</v>
      </c>
      <c r="E11176" t="s">
        <v>216</v>
      </c>
      <c r="F11176">
        <v>69.44</v>
      </c>
      <c r="G11176">
        <v>231031</v>
      </c>
      <c r="H11176">
        <v>4860</v>
      </c>
      <c r="I11176" t="s">
        <v>28</v>
      </c>
      <c r="J11176">
        <v>86.11</v>
      </c>
      <c r="K11176">
        <v>16.670000000000002</v>
      </c>
      <c r="L11176">
        <v>47522</v>
      </c>
      <c r="M11176" t="s">
        <v>410</v>
      </c>
      <c r="N11176" t="str">
        <f>"6902688876  "</f>
        <v xml:space="preserve">6902688876  </v>
      </c>
      <c r="O11176">
        <v>231113</v>
      </c>
    </row>
    <row r="11177" spans="1:15" x14ac:dyDescent="0.25">
      <c r="A11177" t="s">
        <v>16</v>
      </c>
      <c r="B11177" t="s">
        <v>3221</v>
      </c>
      <c r="C11177">
        <v>15403</v>
      </c>
      <c r="D11177" t="s">
        <v>215</v>
      </c>
      <c r="E11177" t="s">
        <v>216</v>
      </c>
      <c r="F11177">
        <v>34.409999999999997</v>
      </c>
      <c r="G11177">
        <v>231031</v>
      </c>
      <c r="H11177">
        <v>4860</v>
      </c>
      <c r="I11177" t="s">
        <v>28</v>
      </c>
      <c r="J11177">
        <v>42.67</v>
      </c>
      <c r="K11177">
        <v>8.26</v>
      </c>
      <c r="L11177">
        <v>67522</v>
      </c>
      <c r="M11177" t="s">
        <v>397</v>
      </c>
      <c r="N11177" t="str">
        <f>"6902693411  "</f>
        <v xml:space="preserve">6902693411  </v>
      </c>
      <c r="O11177">
        <v>231113</v>
      </c>
    </row>
    <row r="11178" spans="1:15" x14ac:dyDescent="0.25">
      <c r="A11178" t="s">
        <v>16</v>
      </c>
      <c r="B11178" t="s">
        <v>3221</v>
      </c>
      <c r="C11178">
        <v>15412</v>
      </c>
      <c r="D11178" t="s">
        <v>215</v>
      </c>
      <c r="E11178" t="s">
        <v>216</v>
      </c>
      <c r="F11178">
        <v>86.03</v>
      </c>
      <c r="G11178">
        <v>231024</v>
      </c>
      <c r="H11178">
        <v>4860</v>
      </c>
      <c r="I11178" t="s">
        <v>28</v>
      </c>
      <c r="J11178">
        <v>106.68</v>
      </c>
      <c r="K11178">
        <v>20.65</v>
      </c>
      <c r="L11178">
        <v>17802</v>
      </c>
      <c r="M11178" t="s">
        <v>174</v>
      </c>
      <c r="N11178" t="str">
        <f>"6902671305  "</f>
        <v xml:space="preserve">6902671305  </v>
      </c>
      <c r="O11178">
        <v>231113</v>
      </c>
    </row>
    <row r="11179" spans="1:15" x14ac:dyDescent="0.25">
      <c r="A11179" t="s">
        <v>16</v>
      </c>
      <c r="B11179" t="s">
        <v>3221</v>
      </c>
      <c r="C11179">
        <v>15412</v>
      </c>
      <c r="D11179" t="s">
        <v>215</v>
      </c>
      <c r="E11179" t="s">
        <v>216</v>
      </c>
      <c r="F11179">
        <v>196.65</v>
      </c>
      <c r="G11179">
        <v>231024</v>
      </c>
      <c r="H11179">
        <v>4860</v>
      </c>
      <c r="I11179" t="s">
        <v>28</v>
      </c>
      <c r="J11179">
        <v>243.84</v>
      </c>
      <c r="K11179">
        <v>47.19</v>
      </c>
      <c r="L11179">
        <v>17803</v>
      </c>
      <c r="M11179" t="s">
        <v>389</v>
      </c>
      <c r="N11179" t="str">
        <f>"6902671305  "</f>
        <v xml:space="preserve">6902671305  </v>
      </c>
      <c r="O11179">
        <v>231113</v>
      </c>
    </row>
    <row r="11180" spans="1:15" x14ac:dyDescent="0.25">
      <c r="A11180" t="s">
        <v>16</v>
      </c>
      <c r="B11180" t="s">
        <v>3221</v>
      </c>
      <c r="C11180">
        <v>16847</v>
      </c>
      <c r="D11180" t="s">
        <v>215</v>
      </c>
      <c r="E11180" t="s">
        <v>216</v>
      </c>
      <c r="F11180">
        <v>67.2</v>
      </c>
      <c r="G11180">
        <v>231130</v>
      </c>
      <c r="H11180">
        <v>4860</v>
      </c>
      <c r="I11180" t="s">
        <v>28</v>
      </c>
      <c r="J11180">
        <v>83.33</v>
      </c>
      <c r="K11180">
        <v>16.13</v>
      </c>
      <c r="L11180">
        <v>47522</v>
      </c>
      <c r="M11180" t="s">
        <v>410</v>
      </c>
      <c r="N11180" t="str">
        <f>"6902721684  "</f>
        <v xml:space="preserve">6902721684  </v>
      </c>
      <c r="O11180">
        <v>231211</v>
      </c>
    </row>
    <row r="11181" spans="1:15" x14ac:dyDescent="0.25">
      <c r="A11181" t="s">
        <v>16</v>
      </c>
      <c r="B11181" t="s">
        <v>3221</v>
      </c>
      <c r="C11181">
        <v>17574</v>
      </c>
      <c r="D11181" t="s">
        <v>215</v>
      </c>
      <c r="E11181" t="s">
        <v>216</v>
      </c>
      <c r="F11181">
        <v>35.520000000000003</v>
      </c>
      <c r="G11181">
        <v>231130</v>
      </c>
      <c r="H11181">
        <v>4860</v>
      </c>
      <c r="I11181" t="s">
        <v>28</v>
      </c>
      <c r="J11181">
        <v>44.04</v>
      </c>
      <c r="K11181">
        <v>8.52</v>
      </c>
      <c r="L11181">
        <v>67522</v>
      </c>
      <c r="M11181" t="s">
        <v>397</v>
      </c>
      <c r="N11181" t="str">
        <f>"6902727463  "</f>
        <v xml:space="preserve">6902727463  </v>
      </c>
      <c r="O11181">
        <v>231215</v>
      </c>
    </row>
    <row r="11182" spans="1:15" x14ac:dyDescent="0.25">
      <c r="A11182" t="s">
        <v>16</v>
      </c>
      <c r="B11182" t="s">
        <v>3221</v>
      </c>
      <c r="C11182">
        <v>18630</v>
      </c>
      <c r="D11182" t="s">
        <v>215</v>
      </c>
      <c r="E11182" t="s">
        <v>216</v>
      </c>
      <c r="F11182">
        <v>68.819999999999993</v>
      </c>
      <c r="G11182">
        <v>231231</v>
      </c>
      <c r="H11182">
        <v>4860</v>
      </c>
      <c r="I11182" t="s">
        <v>28</v>
      </c>
      <c r="J11182">
        <v>85.34</v>
      </c>
      <c r="K11182">
        <v>16.52</v>
      </c>
      <c r="L11182">
        <v>17521</v>
      </c>
      <c r="M11182" t="s">
        <v>133</v>
      </c>
      <c r="N11182" t="str">
        <f>"6902747755  "</f>
        <v xml:space="preserve">6902747755  </v>
      </c>
      <c r="O11182">
        <v>240104</v>
      </c>
    </row>
    <row r="11183" spans="1:15" x14ac:dyDescent="0.25">
      <c r="A11183" t="s">
        <v>16</v>
      </c>
      <c r="B11183" t="s">
        <v>3221</v>
      </c>
      <c r="C11183">
        <v>18648</v>
      </c>
      <c r="D11183" t="s">
        <v>215</v>
      </c>
      <c r="E11183" t="s">
        <v>216</v>
      </c>
      <c r="F11183">
        <v>886.26</v>
      </c>
      <c r="G11183">
        <v>231229</v>
      </c>
      <c r="H11183">
        <v>4860</v>
      </c>
      <c r="I11183" t="s">
        <v>28</v>
      </c>
      <c r="J11183">
        <v>1098.96</v>
      </c>
      <c r="K11183">
        <v>212.7</v>
      </c>
      <c r="L11183">
        <v>17711</v>
      </c>
      <c r="M11183" t="s">
        <v>65</v>
      </c>
      <c r="N11183" t="str">
        <f>"6902744900  "</f>
        <v xml:space="preserve">6902744900  </v>
      </c>
      <c r="O11183">
        <v>240104</v>
      </c>
    </row>
    <row r="11184" spans="1:15" x14ac:dyDescent="0.25">
      <c r="A11184" t="s">
        <v>16</v>
      </c>
      <c r="B11184" t="s">
        <v>3221</v>
      </c>
      <c r="C11184">
        <v>18767</v>
      </c>
      <c r="D11184" t="s">
        <v>215</v>
      </c>
      <c r="E11184" t="s">
        <v>216</v>
      </c>
      <c r="F11184">
        <v>35.520000000000003</v>
      </c>
      <c r="G11184">
        <v>231231</v>
      </c>
      <c r="H11184">
        <v>4860</v>
      </c>
      <c r="I11184" t="s">
        <v>28</v>
      </c>
      <c r="J11184">
        <v>44.04</v>
      </c>
      <c r="K11184">
        <v>8.52</v>
      </c>
      <c r="L11184">
        <v>67522</v>
      </c>
      <c r="M11184" t="s">
        <v>397</v>
      </c>
      <c r="N11184" t="str">
        <f>"6902758779  "</f>
        <v xml:space="preserve">6902758779  </v>
      </c>
      <c r="O11184">
        <v>240105</v>
      </c>
    </row>
    <row r="11185" spans="1:15" x14ac:dyDescent="0.25">
      <c r="A11185" t="s">
        <v>16</v>
      </c>
      <c r="B11185" t="s">
        <v>3221</v>
      </c>
      <c r="C11185">
        <v>18982</v>
      </c>
      <c r="D11185" t="s">
        <v>215</v>
      </c>
      <c r="E11185" t="s">
        <v>216</v>
      </c>
      <c r="F11185">
        <v>69.44</v>
      </c>
      <c r="G11185">
        <v>231231</v>
      </c>
      <c r="H11185">
        <v>4860</v>
      </c>
      <c r="I11185" t="s">
        <v>28</v>
      </c>
      <c r="J11185">
        <v>86.11</v>
      </c>
      <c r="K11185">
        <v>16.670000000000002</v>
      </c>
      <c r="L11185">
        <v>47522</v>
      </c>
      <c r="M11185" t="s">
        <v>410</v>
      </c>
      <c r="N11185" t="str">
        <f>"6902760722  "</f>
        <v xml:space="preserve">6902760722  </v>
      </c>
      <c r="O11185">
        <v>240109</v>
      </c>
    </row>
    <row r="11186" spans="1:15" x14ac:dyDescent="0.25">
      <c r="A11186" t="s">
        <v>16</v>
      </c>
      <c r="B11186" t="s">
        <v>3221</v>
      </c>
      <c r="C11186">
        <v>15562</v>
      </c>
      <c r="D11186" t="s">
        <v>215</v>
      </c>
      <c r="E11186" t="s">
        <v>216</v>
      </c>
      <c r="F11186">
        <v>58.24</v>
      </c>
      <c r="G11186">
        <v>231109</v>
      </c>
      <c r="H11186">
        <v>4440</v>
      </c>
      <c r="I11186" t="s">
        <v>250</v>
      </c>
      <c r="J11186">
        <v>66.39</v>
      </c>
      <c r="K11186">
        <v>8.15</v>
      </c>
      <c r="L11186">
        <v>66722</v>
      </c>
      <c r="M11186" t="s">
        <v>518</v>
      </c>
      <c r="N11186" t="str">
        <f>"6902699056  "</f>
        <v xml:space="preserve">6902699056  </v>
      </c>
      <c r="O11186">
        <v>231114</v>
      </c>
    </row>
    <row r="11187" spans="1:15" x14ac:dyDescent="0.25">
      <c r="A11187" t="s">
        <v>16</v>
      </c>
      <c r="B11187" t="s">
        <v>3221</v>
      </c>
      <c r="C11187">
        <v>12652</v>
      </c>
      <c r="D11187" t="s">
        <v>215</v>
      </c>
      <c r="E11187" t="s">
        <v>216</v>
      </c>
      <c r="F11187">
        <v>953.26</v>
      </c>
      <c r="G11187">
        <v>230920</v>
      </c>
      <c r="H11187">
        <v>4590</v>
      </c>
      <c r="I11187" t="s">
        <v>203</v>
      </c>
      <c r="J11187">
        <v>1182.04</v>
      </c>
      <c r="K11187">
        <v>228.78</v>
      </c>
      <c r="L11187">
        <v>66756</v>
      </c>
      <c r="M11187" t="s">
        <v>209</v>
      </c>
      <c r="N11187" t="str">
        <f>"6902624739  "</f>
        <v xml:space="preserve">6902624739  </v>
      </c>
      <c r="O11187">
        <v>230922</v>
      </c>
    </row>
    <row r="11188" spans="1:15" x14ac:dyDescent="0.25">
      <c r="A11188" t="s">
        <v>16</v>
      </c>
      <c r="B11188" t="s">
        <v>3221</v>
      </c>
      <c r="C11188">
        <v>17103</v>
      </c>
      <c r="D11188" t="s">
        <v>215</v>
      </c>
      <c r="E11188" t="s">
        <v>216</v>
      </c>
      <c r="F11188">
        <v>933.71</v>
      </c>
      <c r="G11188">
        <v>231204</v>
      </c>
      <c r="H11188">
        <v>4590</v>
      </c>
      <c r="I11188" t="s">
        <v>203</v>
      </c>
      <c r="J11188">
        <v>1157.8</v>
      </c>
      <c r="K11188">
        <v>224.09</v>
      </c>
      <c r="L11188">
        <v>66756</v>
      </c>
      <c r="M11188" t="s">
        <v>209</v>
      </c>
      <c r="N11188" t="str">
        <f>"6902731748  "</f>
        <v xml:space="preserve">6902731748  </v>
      </c>
      <c r="O11188">
        <v>231212</v>
      </c>
    </row>
    <row r="11189" spans="1:15" x14ac:dyDescent="0.25">
      <c r="A11189" t="s">
        <v>16</v>
      </c>
      <c r="B11189" t="s">
        <v>3221</v>
      </c>
      <c r="C11189">
        <v>18047</v>
      </c>
      <c r="D11189" t="s">
        <v>215</v>
      </c>
      <c r="E11189" t="s">
        <v>216</v>
      </c>
      <c r="F11189">
        <v>140.4</v>
      </c>
      <c r="G11189">
        <v>231212</v>
      </c>
      <c r="H11189">
        <v>4590</v>
      </c>
      <c r="I11189" t="s">
        <v>203</v>
      </c>
      <c r="J11189">
        <v>174.1</v>
      </c>
      <c r="K11189">
        <v>33.700000000000003</v>
      </c>
      <c r="L11189">
        <v>56522</v>
      </c>
      <c r="M11189" t="s">
        <v>43</v>
      </c>
      <c r="N11189" t="str">
        <f>"6902735691  "</f>
        <v xml:space="preserve">6902735691  </v>
      </c>
      <c r="O11189">
        <v>240102</v>
      </c>
    </row>
    <row r="11190" spans="1:15" x14ac:dyDescent="0.25">
      <c r="A11190" t="s">
        <v>16</v>
      </c>
      <c r="B11190" t="s">
        <v>3221</v>
      </c>
      <c r="C11190">
        <v>4160</v>
      </c>
      <c r="D11190" t="s">
        <v>1666</v>
      </c>
      <c r="E11190" t="s">
        <v>1667</v>
      </c>
      <c r="F11190">
        <v>4830</v>
      </c>
      <c r="G11190">
        <v>230327</v>
      </c>
      <c r="H11190">
        <v>4440</v>
      </c>
      <c r="I11190" t="s">
        <v>250</v>
      </c>
      <c r="J11190">
        <v>5989.2</v>
      </c>
      <c r="K11190">
        <v>1159.2</v>
      </c>
      <c r="L11190">
        <v>18420</v>
      </c>
      <c r="M11190" t="s">
        <v>1489</v>
      </c>
      <c r="N11190" t="str">
        <f>"417/2023    "</f>
        <v xml:space="preserve">417/2023    </v>
      </c>
      <c r="O11190">
        <v>230331</v>
      </c>
    </row>
    <row r="11191" spans="1:15" x14ac:dyDescent="0.25">
      <c r="A11191" t="s">
        <v>16</v>
      </c>
      <c r="B11191" t="s">
        <v>3221</v>
      </c>
      <c r="C11191">
        <v>6264</v>
      </c>
      <c r="D11191" t="s">
        <v>848</v>
      </c>
      <c r="E11191" t="s">
        <v>849</v>
      </c>
      <c r="F11191">
        <v>138.44</v>
      </c>
      <c r="G11191">
        <v>230504</v>
      </c>
      <c r="H11191">
        <v>4580</v>
      </c>
      <c r="I11191" t="s">
        <v>35</v>
      </c>
      <c r="J11191">
        <v>171.67</v>
      </c>
      <c r="K11191">
        <v>33.229999999999997</v>
      </c>
      <c r="L11191">
        <v>56559</v>
      </c>
      <c r="M11191" t="s">
        <v>129</v>
      </c>
      <c r="N11191" t="str">
        <f>"09957577    "</f>
        <v xml:space="preserve">09957577    </v>
      </c>
      <c r="O11191">
        <v>230509</v>
      </c>
    </row>
    <row r="11192" spans="1:15" x14ac:dyDescent="0.25">
      <c r="A11192" t="s">
        <v>16</v>
      </c>
      <c r="B11192" t="s">
        <v>3221</v>
      </c>
      <c r="C11192">
        <v>9299</v>
      </c>
      <c r="D11192" t="s">
        <v>848</v>
      </c>
      <c r="E11192" t="s">
        <v>849</v>
      </c>
      <c r="F11192">
        <v>34.61</v>
      </c>
      <c r="G11192">
        <v>230628</v>
      </c>
      <c r="H11192">
        <v>4580</v>
      </c>
      <c r="I11192" t="s">
        <v>35</v>
      </c>
      <c r="J11192">
        <v>42.92</v>
      </c>
      <c r="K11192">
        <v>8.31</v>
      </c>
      <c r="L11192">
        <v>56559</v>
      </c>
      <c r="M11192" t="s">
        <v>129</v>
      </c>
      <c r="N11192" t="str">
        <f>"10075766    "</f>
        <v xml:space="preserve">10075766    </v>
      </c>
      <c r="O11192">
        <v>230705</v>
      </c>
    </row>
    <row r="11193" spans="1:15" x14ac:dyDescent="0.25">
      <c r="A11193" t="s">
        <v>16</v>
      </c>
      <c r="B11193" t="s">
        <v>3221</v>
      </c>
      <c r="C11193">
        <v>14377</v>
      </c>
      <c r="D11193" t="s">
        <v>848</v>
      </c>
      <c r="E11193" t="s">
        <v>849</v>
      </c>
      <c r="F11193">
        <v>138.44</v>
      </c>
      <c r="G11193">
        <v>231019</v>
      </c>
      <c r="H11193">
        <v>4580</v>
      </c>
      <c r="I11193" t="s">
        <v>35</v>
      </c>
      <c r="J11193">
        <v>171.67</v>
      </c>
      <c r="K11193">
        <v>33.229999999999997</v>
      </c>
      <c r="L11193">
        <v>56559</v>
      </c>
      <c r="M11193" t="s">
        <v>129</v>
      </c>
      <c r="N11193" t="str">
        <f>"70214495    "</f>
        <v xml:space="preserve">70214495    </v>
      </c>
      <c r="O11193">
        <v>231030</v>
      </c>
    </row>
    <row r="11194" spans="1:15" x14ac:dyDescent="0.25">
      <c r="A11194" t="s">
        <v>16</v>
      </c>
      <c r="B11194" t="s">
        <v>3221</v>
      </c>
      <c r="C11194">
        <v>1577</v>
      </c>
      <c r="D11194" t="s">
        <v>848</v>
      </c>
      <c r="E11194" t="s">
        <v>849</v>
      </c>
      <c r="F11194">
        <v>9.4600000000000009</v>
      </c>
      <c r="G11194">
        <v>230202</v>
      </c>
      <c r="H11194">
        <v>4840</v>
      </c>
      <c r="I11194" t="s">
        <v>19</v>
      </c>
      <c r="J11194">
        <v>11.73</v>
      </c>
      <c r="K11194">
        <v>2.27</v>
      </c>
      <c r="L11194">
        <v>13540</v>
      </c>
      <c r="M11194" t="s">
        <v>85</v>
      </c>
      <c r="N11194" t="str">
        <f>"09756918    "</f>
        <v xml:space="preserve">09756918    </v>
      </c>
      <c r="O11194">
        <v>230209</v>
      </c>
    </row>
    <row r="11195" spans="1:15" x14ac:dyDescent="0.25">
      <c r="A11195" t="s">
        <v>16</v>
      </c>
      <c r="B11195" t="s">
        <v>3221</v>
      </c>
      <c r="C11195">
        <v>1577</v>
      </c>
      <c r="D11195" t="s">
        <v>848</v>
      </c>
      <c r="E11195" t="s">
        <v>849</v>
      </c>
      <c r="F11195">
        <v>76.540000000000006</v>
      </c>
      <c r="G11195">
        <v>230202</v>
      </c>
      <c r="H11195">
        <v>4840</v>
      </c>
      <c r="I11195" t="s">
        <v>19</v>
      </c>
      <c r="J11195">
        <v>94.91</v>
      </c>
      <c r="K11195">
        <v>18.37</v>
      </c>
      <c r="L11195">
        <v>17950</v>
      </c>
      <c r="M11195" t="s">
        <v>86</v>
      </c>
      <c r="N11195" t="str">
        <f>"09756918    "</f>
        <v xml:space="preserve">09756918    </v>
      </c>
      <c r="O11195">
        <v>230209</v>
      </c>
    </row>
    <row r="11196" spans="1:15" x14ac:dyDescent="0.25">
      <c r="A11196" t="s">
        <v>16</v>
      </c>
      <c r="B11196" t="s">
        <v>3221</v>
      </c>
      <c r="C11196">
        <v>1578</v>
      </c>
      <c r="D11196" t="s">
        <v>848</v>
      </c>
      <c r="E11196" t="s">
        <v>849</v>
      </c>
      <c r="F11196">
        <v>6</v>
      </c>
      <c r="G11196">
        <v>230202</v>
      </c>
      <c r="H11196">
        <v>4840</v>
      </c>
      <c r="I11196" t="s">
        <v>19</v>
      </c>
      <c r="J11196">
        <v>7.44</v>
      </c>
      <c r="K11196">
        <v>1.44</v>
      </c>
      <c r="L11196">
        <v>17956</v>
      </c>
      <c r="M11196" t="s">
        <v>53</v>
      </c>
      <c r="N11196" t="str">
        <f>"09756923    "</f>
        <v xml:space="preserve">09756923    </v>
      </c>
      <c r="O11196">
        <v>230209</v>
      </c>
    </row>
    <row r="11197" spans="1:15" x14ac:dyDescent="0.25">
      <c r="A11197" t="s">
        <v>16</v>
      </c>
      <c r="B11197" t="s">
        <v>3221</v>
      </c>
      <c r="C11197">
        <v>1579</v>
      </c>
      <c r="D11197" t="s">
        <v>848</v>
      </c>
      <c r="E11197" t="s">
        <v>849</v>
      </c>
      <c r="F11197">
        <v>12</v>
      </c>
      <c r="G11197">
        <v>230202</v>
      </c>
      <c r="H11197">
        <v>4840</v>
      </c>
      <c r="I11197" t="s">
        <v>19</v>
      </c>
      <c r="J11197">
        <v>14.88</v>
      </c>
      <c r="K11197">
        <v>2.88</v>
      </c>
      <c r="L11197">
        <v>17956</v>
      </c>
      <c r="M11197" t="s">
        <v>53</v>
      </c>
      <c r="N11197" t="str">
        <f>"09756920    "</f>
        <v xml:space="preserve">09756920    </v>
      </c>
      <c r="O11197">
        <v>230209</v>
      </c>
    </row>
    <row r="11198" spans="1:15" x14ac:dyDescent="0.25">
      <c r="A11198" t="s">
        <v>16</v>
      </c>
      <c r="B11198" t="s">
        <v>3221</v>
      </c>
      <c r="C11198">
        <v>1580</v>
      </c>
      <c r="D11198" t="s">
        <v>848</v>
      </c>
      <c r="E11198" t="s">
        <v>849</v>
      </c>
      <c r="F11198">
        <v>10</v>
      </c>
      <c r="G11198">
        <v>230202</v>
      </c>
      <c r="H11198">
        <v>4840</v>
      </c>
      <c r="I11198" t="s">
        <v>19</v>
      </c>
      <c r="J11198">
        <v>12.4</v>
      </c>
      <c r="K11198">
        <v>2.4</v>
      </c>
      <c r="L11198">
        <v>17956</v>
      </c>
      <c r="M11198" t="s">
        <v>53</v>
      </c>
      <c r="N11198" t="str">
        <f>"09756911    "</f>
        <v xml:space="preserve">09756911    </v>
      </c>
      <c r="O11198">
        <v>230209</v>
      </c>
    </row>
    <row r="11199" spans="1:15" x14ac:dyDescent="0.25">
      <c r="A11199" t="s">
        <v>16</v>
      </c>
      <c r="B11199" t="s">
        <v>3221</v>
      </c>
      <c r="C11199">
        <v>1724</v>
      </c>
      <c r="D11199" t="s">
        <v>848</v>
      </c>
      <c r="E11199" t="s">
        <v>849</v>
      </c>
      <c r="F11199">
        <v>10</v>
      </c>
      <c r="G11199">
        <v>230202</v>
      </c>
      <c r="H11199">
        <v>4840</v>
      </c>
      <c r="I11199" t="s">
        <v>19</v>
      </c>
      <c r="J11199">
        <v>12.4</v>
      </c>
      <c r="K11199">
        <v>2.4</v>
      </c>
      <c r="L11199">
        <v>13540</v>
      </c>
      <c r="M11199" t="s">
        <v>85</v>
      </c>
      <c r="N11199" t="str">
        <f>"09756916    "</f>
        <v xml:space="preserve">09756916    </v>
      </c>
      <c r="O11199">
        <v>230213</v>
      </c>
    </row>
    <row r="11200" spans="1:15" x14ac:dyDescent="0.25">
      <c r="A11200" t="s">
        <v>16</v>
      </c>
      <c r="B11200" t="s">
        <v>3221</v>
      </c>
      <c r="C11200">
        <v>1724</v>
      </c>
      <c r="D11200" t="s">
        <v>848</v>
      </c>
      <c r="E11200" t="s">
        <v>849</v>
      </c>
      <c r="F11200">
        <v>24</v>
      </c>
      <c r="G11200">
        <v>230202</v>
      </c>
      <c r="H11200">
        <v>4840</v>
      </c>
      <c r="I11200" t="s">
        <v>19</v>
      </c>
      <c r="J11200">
        <v>29.76</v>
      </c>
      <c r="K11200">
        <v>5.76</v>
      </c>
      <c r="L11200">
        <v>17950</v>
      </c>
      <c r="M11200" t="s">
        <v>86</v>
      </c>
      <c r="N11200" t="str">
        <f>"09756916    "</f>
        <v xml:space="preserve">09756916    </v>
      </c>
      <c r="O11200">
        <v>230213</v>
      </c>
    </row>
    <row r="11201" spans="1:15" x14ac:dyDescent="0.25">
      <c r="A11201" t="s">
        <v>16</v>
      </c>
      <c r="B11201" t="s">
        <v>3221</v>
      </c>
      <c r="C11201">
        <v>3050</v>
      </c>
      <c r="D11201" t="s">
        <v>848</v>
      </c>
      <c r="E11201" t="s">
        <v>849</v>
      </c>
      <c r="F11201">
        <v>12.5</v>
      </c>
      <c r="G11201">
        <v>230302</v>
      </c>
      <c r="H11201">
        <v>4840</v>
      </c>
      <c r="I11201" t="s">
        <v>19</v>
      </c>
      <c r="J11201">
        <v>15.5</v>
      </c>
      <c r="K11201">
        <v>3</v>
      </c>
      <c r="L11201">
        <v>17956</v>
      </c>
      <c r="M11201" t="s">
        <v>53</v>
      </c>
      <c r="N11201" t="str">
        <f>"09818242    "</f>
        <v xml:space="preserve">09818242    </v>
      </c>
      <c r="O11201">
        <v>230308</v>
      </c>
    </row>
    <row r="11202" spans="1:15" x14ac:dyDescent="0.25">
      <c r="A11202" t="s">
        <v>16</v>
      </c>
      <c r="B11202" t="s">
        <v>3221</v>
      </c>
      <c r="C11202">
        <v>3051</v>
      </c>
      <c r="D11202" t="s">
        <v>848</v>
      </c>
      <c r="E11202" t="s">
        <v>849</v>
      </c>
      <c r="F11202">
        <v>10</v>
      </c>
      <c r="G11202">
        <v>230302</v>
      </c>
      <c r="H11202">
        <v>4840</v>
      </c>
      <c r="I11202" t="s">
        <v>19</v>
      </c>
      <c r="J11202">
        <v>12.4</v>
      </c>
      <c r="K11202">
        <v>2.4</v>
      </c>
      <c r="L11202">
        <v>17956</v>
      </c>
      <c r="M11202" t="s">
        <v>53</v>
      </c>
      <c r="N11202" t="str">
        <f>"09818234    "</f>
        <v xml:space="preserve">09818234    </v>
      </c>
      <c r="O11202">
        <v>230308</v>
      </c>
    </row>
    <row r="11203" spans="1:15" x14ac:dyDescent="0.25">
      <c r="A11203" t="s">
        <v>16</v>
      </c>
      <c r="B11203" t="s">
        <v>3221</v>
      </c>
      <c r="C11203">
        <v>3058</v>
      </c>
      <c r="D11203" t="s">
        <v>848</v>
      </c>
      <c r="E11203" t="s">
        <v>849</v>
      </c>
      <c r="F11203">
        <v>6</v>
      </c>
      <c r="G11203">
        <v>230302</v>
      </c>
      <c r="H11203">
        <v>4840</v>
      </c>
      <c r="I11203" t="s">
        <v>19</v>
      </c>
      <c r="J11203">
        <v>7.44</v>
      </c>
      <c r="K11203">
        <v>1.44</v>
      </c>
      <c r="L11203">
        <v>17956</v>
      </c>
      <c r="M11203" t="s">
        <v>53</v>
      </c>
      <c r="N11203" t="str">
        <f>"09818231    "</f>
        <v xml:space="preserve">09818231    </v>
      </c>
      <c r="O11203">
        <v>230308</v>
      </c>
    </row>
    <row r="11204" spans="1:15" x14ac:dyDescent="0.25">
      <c r="A11204" t="s">
        <v>16</v>
      </c>
      <c r="B11204" t="s">
        <v>3221</v>
      </c>
      <c r="C11204">
        <v>3323</v>
      </c>
      <c r="D11204" t="s">
        <v>848</v>
      </c>
      <c r="E11204" t="s">
        <v>849</v>
      </c>
      <c r="F11204">
        <v>20.239999999999998</v>
      </c>
      <c r="G11204">
        <v>230302</v>
      </c>
      <c r="H11204">
        <v>4840</v>
      </c>
      <c r="I11204" t="s">
        <v>19</v>
      </c>
      <c r="J11204">
        <v>25.1</v>
      </c>
      <c r="K11204">
        <v>4.8600000000000003</v>
      </c>
      <c r="L11204">
        <v>13540</v>
      </c>
      <c r="M11204" t="s">
        <v>85</v>
      </c>
      <c r="N11204" t="str">
        <f>"09818228    "</f>
        <v xml:space="preserve">09818228    </v>
      </c>
      <c r="O11204">
        <v>230314</v>
      </c>
    </row>
    <row r="11205" spans="1:15" x14ac:dyDescent="0.25">
      <c r="A11205" t="s">
        <v>16</v>
      </c>
      <c r="B11205" t="s">
        <v>3221</v>
      </c>
      <c r="C11205">
        <v>3323</v>
      </c>
      <c r="D11205" t="s">
        <v>848</v>
      </c>
      <c r="E11205" t="s">
        <v>849</v>
      </c>
      <c r="F11205">
        <v>76.540000000000006</v>
      </c>
      <c r="G11205">
        <v>230302</v>
      </c>
      <c r="H11205">
        <v>4840</v>
      </c>
      <c r="I11205" t="s">
        <v>19</v>
      </c>
      <c r="J11205">
        <v>94.91</v>
      </c>
      <c r="K11205">
        <v>18.37</v>
      </c>
      <c r="L11205">
        <v>17950</v>
      </c>
      <c r="M11205" t="s">
        <v>86</v>
      </c>
      <c r="N11205" t="str">
        <f>"09818228    "</f>
        <v xml:space="preserve">09818228    </v>
      </c>
      <c r="O11205">
        <v>230314</v>
      </c>
    </row>
    <row r="11206" spans="1:15" x14ac:dyDescent="0.25">
      <c r="A11206" t="s">
        <v>16</v>
      </c>
      <c r="B11206" t="s">
        <v>3221</v>
      </c>
      <c r="C11206">
        <v>3324</v>
      </c>
      <c r="D11206" t="s">
        <v>848</v>
      </c>
      <c r="E11206" t="s">
        <v>849</v>
      </c>
      <c r="F11206">
        <v>10</v>
      </c>
      <c r="G11206">
        <v>230302</v>
      </c>
      <c r="H11206">
        <v>4840</v>
      </c>
      <c r="I11206" t="s">
        <v>19</v>
      </c>
      <c r="J11206">
        <v>12.4</v>
      </c>
      <c r="K11206">
        <v>2.4</v>
      </c>
      <c r="L11206">
        <v>13540</v>
      </c>
      <c r="M11206" t="s">
        <v>85</v>
      </c>
      <c r="N11206" t="str">
        <f>"09818233    "</f>
        <v xml:space="preserve">09818233    </v>
      </c>
      <c r="O11206">
        <v>230314</v>
      </c>
    </row>
    <row r="11207" spans="1:15" x14ac:dyDescent="0.25">
      <c r="A11207" t="s">
        <v>16</v>
      </c>
      <c r="B11207" t="s">
        <v>3221</v>
      </c>
      <c r="C11207">
        <v>3324</v>
      </c>
      <c r="D11207" t="s">
        <v>848</v>
      </c>
      <c r="E11207" t="s">
        <v>849</v>
      </c>
      <c r="F11207">
        <v>24</v>
      </c>
      <c r="G11207">
        <v>230302</v>
      </c>
      <c r="H11207">
        <v>4840</v>
      </c>
      <c r="I11207" t="s">
        <v>19</v>
      </c>
      <c r="J11207">
        <v>29.76</v>
      </c>
      <c r="K11207">
        <v>5.76</v>
      </c>
      <c r="L11207">
        <v>17950</v>
      </c>
      <c r="M11207" t="s">
        <v>86</v>
      </c>
      <c r="N11207" t="str">
        <f>"09818233    "</f>
        <v xml:space="preserve">09818233    </v>
      </c>
      <c r="O11207">
        <v>230314</v>
      </c>
    </row>
    <row r="11208" spans="1:15" x14ac:dyDescent="0.25">
      <c r="A11208" t="s">
        <v>16</v>
      </c>
      <c r="B11208" t="s">
        <v>3221</v>
      </c>
      <c r="C11208">
        <v>4508</v>
      </c>
      <c r="D11208" t="s">
        <v>848</v>
      </c>
      <c r="E11208" t="s">
        <v>849</v>
      </c>
      <c r="F11208">
        <v>14</v>
      </c>
      <c r="G11208">
        <v>230330</v>
      </c>
      <c r="H11208">
        <v>4840</v>
      </c>
      <c r="I11208" t="s">
        <v>19</v>
      </c>
      <c r="J11208">
        <v>17.36</v>
      </c>
      <c r="K11208">
        <v>3.36</v>
      </c>
      <c r="L11208">
        <v>17956</v>
      </c>
      <c r="M11208" t="s">
        <v>53</v>
      </c>
      <c r="N11208" t="str">
        <f>"09875258    "</f>
        <v xml:space="preserve">09875258    </v>
      </c>
      <c r="O11208">
        <v>230406</v>
      </c>
    </row>
    <row r="11209" spans="1:15" x14ac:dyDescent="0.25">
      <c r="A11209" t="s">
        <v>16</v>
      </c>
      <c r="B11209" t="s">
        <v>3221</v>
      </c>
      <c r="C11209">
        <v>4511</v>
      </c>
      <c r="D11209" t="s">
        <v>848</v>
      </c>
      <c r="E11209" t="s">
        <v>849</v>
      </c>
      <c r="F11209">
        <v>10.029999999999999</v>
      </c>
      <c r="G11209">
        <v>230330</v>
      </c>
      <c r="H11209">
        <v>4840</v>
      </c>
      <c r="I11209" t="s">
        <v>19</v>
      </c>
      <c r="J11209">
        <v>12.44</v>
      </c>
      <c r="K11209">
        <v>2.41</v>
      </c>
      <c r="L11209">
        <v>17956</v>
      </c>
      <c r="M11209" t="s">
        <v>53</v>
      </c>
      <c r="N11209" t="str">
        <f>"09875257    "</f>
        <v xml:space="preserve">09875257    </v>
      </c>
      <c r="O11209">
        <v>230406</v>
      </c>
    </row>
    <row r="11210" spans="1:15" x14ac:dyDescent="0.25">
      <c r="A11210" t="s">
        <v>16</v>
      </c>
      <c r="B11210" t="s">
        <v>3221</v>
      </c>
      <c r="C11210">
        <v>4512</v>
      </c>
      <c r="D11210" t="s">
        <v>848</v>
      </c>
      <c r="E11210" t="s">
        <v>849</v>
      </c>
      <c r="F11210">
        <v>6</v>
      </c>
      <c r="G11210">
        <v>230330</v>
      </c>
      <c r="H11210">
        <v>4840</v>
      </c>
      <c r="I11210" t="s">
        <v>19</v>
      </c>
      <c r="J11210">
        <v>7.44</v>
      </c>
      <c r="K11210">
        <v>1.44</v>
      </c>
      <c r="L11210">
        <v>17956</v>
      </c>
      <c r="M11210" t="s">
        <v>53</v>
      </c>
      <c r="N11210" t="str">
        <f>"09875249    "</f>
        <v xml:space="preserve">09875249    </v>
      </c>
      <c r="O11210">
        <v>230406</v>
      </c>
    </row>
    <row r="11211" spans="1:15" x14ac:dyDescent="0.25">
      <c r="A11211" t="s">
        <v>16</v>
      </c>
      <c r="B11211" t="s">
        <v>3221</v>
      </c>
      <c r="C11211">
        <v>4648</v>
      </c>
      <c r="D11211" t="s">
        <v>848</v>
      </c>
      <c r="E11211" t="s">
        <v>849</v>
      </c>
      <c r="F11211">
        <v>9.4600000000000009</v>
      </c>
      <c r="G11211">
        <v>230330</v>
      </c>
      <c r="H11211">
        <v>4840</v>
      </c>
      <c r="I11211" t="s">
        <v>19</v>
      </c>
      <c r="J11211">
        <v>11.73</v>
      </c>
      <c r="K11211">
        <v>2.27</v>
      </c>
      <c r="L11211">
        <v>13540</v>
      </c>
      <c r="M11211" t="s">
        <v>85</v>
      </c>
      <c r="N11211" t="str">
        <f>"09875254    "</f>
        <v xml:space="preserve">09875254    </v>
      </c>
      <c r="O11211">
        <v>230411</v>
      </c>
    </row>
    <row r="11212" spans="1:15" x14ac:dyDescent="0.25">
      <c r="A11212" t="s">
        <v>16</v>
      </c>
      <c r="B11212" t="s">
        <v>3221</v>
      </c>
      <c r="C11212">
        <v>4648</v>
      </c>
      <c r="D11212" t="s">
        <v>848</v>
      </c>
      <c r="E11212" t="s">
        <v>849</v>
      </c>
      <c r="F11212">
        <v>76.540000000000006</v>
      </c>
      <c r="G11212">
        <v>230330</v>
      </c>
      <c r="H11212">
        <v>4840</v>
      </c>
      <c r="I11212" t="s">
        <v>19</v>
      </c>
      <c r="J11212">
        <v>94.91</v>
      </c>
      <c r="K11212">
        <v>18.37</v>
      </c>
      <c r="L11212">
        <v>17950</v>
      </c>
      <c r="M11212" t="s">
        <v>86</v>
      </c>
      <c r="N11212" t="str">
        <f>"09875254    "</f>
        <v xml:space="preserve">09875254    </v>
      </c>
      <c r="O11212">
        <v>230411</v>
      </c>
    </row>
    <row r="11213" spans="1:15" x14ac:dyDescent="0.25">
      <c r="A11213" t="s">
        <v>16</v>
      </c>
      <c r="B11213" t="s">
        <v>3221</v>
      </c>
      <c r="C11213">
        <v>4651</v>
      </c>
      <c r="D11213" t="s">
        <v>848</v>
      </c>
      <c r="E11213" t="s">
        <v>849</v>
      </c>
      <c r="F11213">
        <v>10</v>
      </c>
      <c r="G11213">
        <v>230330</v>
      </c>
      <c r="H11213">
        <v>4840</v>
      </c>
      <c r="I11213" t="s">
        <v>19</v>
      </c>
      <c r="J11213">
        <v>12.4</v>
      </c>
      <c r="K11213">
        <v>2.4</v>
      </c>
      <c r="L11213">
        <v>13540</v>
      </c>
      <c r="M11213" t="s">
        <v>85</v>
      </c>
      <c r="N11213" t="str">
        <f>"09875252    "</f>
        <v xml:space="preserve">09875252    </v>
      </c>
      <c r="O11213">
        <v>230411</v>
      </c>
    </row>
    <row r="11214" spans="1:15" x14ac:dyDescent="0.25">
      <c r="A11214" t="s">
        <v>16</v>
      </c>
      <c r="B11214" t="s">
        <v>3221</v>
      </c>
      <c r="C11214">
        <v>4651</v>
      </c>
      <c r="D11214" t="s">
        <v>848</v>
      </c>
      <c r="E11214" t="s">
        <v>849</v>
      </c>
      <c r="F11214">
        <v>26.99</v>
      </c>
      <c r="G11214">
        <v>230330</v>
      </c>
      <c r="H11214">
        <v>4840</v>
      </c>
      <c r="I11214" t="s">
        <v>19</v>
      </c>
      <c r="J11214">
        <v>33.47</v>
      </c>
      <c r="K11214">
        <v>6.48</v>
      </c>
      <c r="L11214">
        <v>13540</v>
      </c>
      <c r="M11214" t="s">
        <v>85</v>
      </c>
      <c r="N11214" t="str">
        <f>"09875252    "</f>
        <v xml:space="preserve">09875252    </v>
      </c>
      <c r="O11214">
        <v>230411</v>
      </c>
    </row>
    <row r="11215" spans="1:15" x14ac:dyDescent="0.25">
      <c r="A11215" t="s">
        <v>16</v>
      </c>
      <c r="B11215" t="s">
        <v>3221</v>
      </c>
      <c r="C11215">
        <v>5913</v>
      </c>
      <c r="D11215" t="s">
        <v>848</v>
      </c>
      <c r="E11215" t="s">
        <v>849</v>
      </c>
      <c r="F11215">
        <v>14</v>
      </c>
      <c r="G11215">
        <v>230427</v>
      </c>
      <c r="H11215">
        <v>4840</v>
      </c>
      <c r="I11215" t="s">
        <v>19</v>
      </c>
      <c r="J11215">
        <v>17.36</v>
      </c>
      <c r="K11215">
        <v>3.36</v>
      </c>
      <c r="L11215">
        <v>17956</v>
      </c>
      <c r="M11215" t="s">
        <v>53</v>
      </c>
      <c r="N11215" t="str">
        <f>"09938768    "</f>
        <v xml:space="preserve">09938768    </v>
      </c>
      <c r="O11215">
        <v>230503</v>
      </c>
    </row>
    <row r="11216" spans="1:15" x14ac:dyDescent="0.25">
      <c r="A11216" t="s">
        <v>16</v>
      </c>
      <c r="B11216" t="s">
        <v>3221</v>
      </c>
      <c r="C11216">
        <v>5914</v>
      </c>
      <c r="D11216" t="s">
        <v>848</v>
      </c>
      <c r="E11216" t="s">
        <v>849</v>
      </c>
      <c r="F11216">
        <v>10</v>
      </c>
      <c r="G11216">
        <v>230427</v>
      </c>
      <c r="H11216">
        <v>4840</v>
      </c>
      <c r="I11216" t="s">
        <v>19</v>
      </c>
      <c r="J11216">
        <v>12.4</v>
      </c>
      <c r="K11216">
        <v>2.4</v>
      </c>
      <c r="L11216">
        <v>17956</v>
      </c>
      <c r="M11216" t="s">
        <v>53</v>
      </c>
      <c r="N11216" t="str">
        <f>"09938765    "</f>
        <v xml:space="preserve">09938765    </v>
      </c>
      <c r="O11216">
        <v>230503</v>
      </c>
    </row>
    <row r="11217" spans="1:15" x14ac:dyDescent="0.25">
      <c r="A11217" t="s">
        <v>16</v>
      </c>
      <c r="B11217" t="s">
        <v>3221</v>
      </c>
      <c r="C11217">
        <v>5915</v>
      </c>
      <c r="D11217" t="s">
        <v>848</v>
      </c>
      <c r="E11217" t="s">
        <v>849</v>
      </c>
      <c r="F11217">
        <v>6</v>
      </c>
      <c r="G11217">
        <v>230427</v>
      </c>
      <c r="H11217">
        <v>4840</v>
      </c>
      <c r="I11217" t="s">
        <v>19</v>
      </c>
      <c r="J11217">
        <v>7.44</v>
      </c>
      <c r="K11217">
        <v>1.44</v>
      </c>
      <c r="L11217">
        <v>17956</v>
      </c>
      <c r="M11217" t="s">
        <v>53</v>
      </c>
      <c r="N11217" t="str">
        <f>"09938772    "</f>
        <v xml:space="preserve">09938772    </v>
      </c>
      <c r="O11217">
        <v>230503</v>
      </c>
    </row>
    <row r="11218" spans="1:15" x14ac:dyDescent="0.25">
      <c r="A11218" t="s">
        <v>16</v>
      </c>
      <c r="B11218" t="s">
        <v>3221</v>
      </c>
      <c r="C11218">
        <v>5916</v>
      </c>
      <c r="D11218" t="s">
        <v>848</v>
      </c>
      <c r="E11218" t="s">
        <v>849</v>
      </c>
      <c r="F11218">
        <v>9.4600000000000009</v>
      </c>
      <c r="G11218">
        <v>230427</v>
      </c>
      <c r="H11218">
        <v>4840</v>
      </c>
      <c r="I11218" t="s">
        <v>19</v>
      </c>
      <c r="J11218">
        <v>11.73</v>
      </c>
      <c r="K11218">
        <v>2.27</v>
      </c>
      <c r="L11218">
        <v>13540</v>
      </c>
      <c r="M11218" t="s">
        <v>85</v>
      </c>
      <c r="N11218" t="str">
        <f>"09938775    "</f>
        <v xml:space="preserve">09938775    </v>
      </c>
      <c r="O11218">
        <v>230503</v>
      </c>
    </row>
    <row r="11219" spans="1:15" x14ac:dyDescent="0.25">
      <c r="A11219" t="s">
        <v>16</v>
      </c>
      <c r="B11219" t="s">
        <v>3221</v>
      </c>
      <c r="C11219">
        <v>5916</v>
      </c>
      <c r="D11219" t="s">
        <v>848</v>
      </c>
      <c r="E11219" t="s">
        <v>849</v>
      </c>
      <c r="F11219">
        <v>76.540000000000006</v>
      </c>
      <c r="G11219">
        <v>230427</v>
      </c>
      <c r="H11219">
        <v>4840</v>
      </c>
      <c r="I11219" t="s">
        <v>19</v>
      </c>
      <c r="J11219">
        <v>94.91</v>
      </c>
      <c r="K11219">
        <v>18.37</v>
      </c>
      <c r="L11219">
        <v>17950</v>
      </c>
      <c r="M11219" t="s">
        <v>86</v>
      </c>
      <c r="N11219" t="str">
        <f>"09938775    "</f>
        <v xml:space="preserve">09938775    </v>
      </c>
      <c r="O11219">
        <v>230503</v>
      </c>
    </row>
    <row r="11220" spans="1:15" x14ac:dyDescent="0.25">
      <c r="A11220" t="s">
        <v>16</v>
      </c>
      <c r="B11220" t="s">
        <v>3221</v>
      </c>
      <c r="C11220">
        <v>5917</v>
      </c>
      <c r="D11220" t="s">
        <v>848</v>
      </c>
      <c r="E11220" t="s">
        <v>849</v>
      </c>
      <c r="F11220">
        <v>10</v>
      </c>
      <c r="G11220">
        <v>230427</v>
      </c>
      <c r="H11220">
        <v>4840</v>
      </c>
      <c r="I11220" t="s">
        <v>19</v>
      </c>
      <c r="J11220">
        <v>12.4</v>
      </c>
      <c r="K11220">
        <v>2.4</v>
      </c>
      <c r="L11220">
        <v>13540</v>
      </c>
      <c r="M11220" t="s">
        <v>85</v>
      </c>
      <c r="N11220" t="str">
        <f>"09938777    "</f>
        <v xml:space="preserve">09938777    </v>
      </c>
      <c r="O11220">
        <v>230503</v>
      </c>
    </row>
    <row r="11221" spans="1:15" x14ac:dyDescent="0.25">
      <c r="A11221" t="s">
        <v>16</v>
      </c>
      <c r="B11221" t="s">
        <v>3221</v>
      </c>
      <c r="C11221">
        <v>5917</v>
      </c>
      <c r="D11221" t="s">
        <v>848</v>
      </c>
      <c r="E11221" t="s">
        <v>849</v>
      </c>
      <c r="F11221">
        <v>24</v>
      </c>
      <c r="G11221">
        <v>230427</v>
      </c>
      <c r="H11221">
        <v>4840</v>
      </c>
      <c r="I11221" t="s">
        <v>19</v>
      </c>
      <c r="J11221">
        <v>29.76</v>
      </c>
      <c r="K11221">
        <v>5.76</v>
      </c>
      <c r="L11221">
        <v>17950</v>
      </c>
      <c r="M11221" t="s">
        <v>86</v>
      </c>
      <c r="N11221" t="str">
        <f>"09938777    "</f>
        <v xml:space="preserve">09938777    </v>
      </c>
      <c r="O11221">
        <v>230503</v>
      </c>
    </row>
    <row r="11222" spans="1:15" x14ac:dyDescent="0.25">
      <c r="A11222" t="s">
        <v>16</v>
      </c>
      <c r="B11222" t="s">
        <v>3221</v>
      </c>
      <c r="C11222">
        <v>7527</v>
      </c>
      <c r="D11222" t="s">
        <v>848</v>
      </c>
      <c r="E11222" t="s">
        <v>849</v>
      </c>
      <c r="F11222">
        <v>10</v>
      </c>
      <c r="G11222">
        <v>230525</v>
      </c>
      <c r="H11222">
        <v>4840</v>
      </c>
      <c r="I11222" t="s">
        <v>19</v>
      </c>
      <c r="J11222">
        <v>12.4</v>
      </c>
      <c r="K11222">
        <v>2.4</v>
      </c>
      <c r="L11222">
        <v>17956</v>
      </c>
      <c r="M11222" t="s">
        <v>53</v>
      </c>
      <c r="N11222" t="str">
        <f>"09997819    "</f>
        <v xml:space="preserve">09997819    </v>
      </c>
      <c r="O11222">
        <v>230531</v>
      </c>
    </row>
    <row r="11223" spans="1:15" x14ac:dyDescent="0.25">
      <c r="A11223" t="s">
        <v>16</v>
      </c>
      <c r="B11223" t="s">
        <v>3221</v>
      </c>
      <c r="C11223">
        <v>7813</v>
      </c>
      <c r="D11223" t="s">
        <v>848</v>
      </c>
      <c r="E11223" t="s">
        <v>849</v>
      </c>
      <c r="F11223">
        <v>6</v>
      </c>
      <c r="G11223">
        <v>230525</v>
      </c>
      <c r="H11223">
        <v>4840</v>
      </c>
      <c r="I11223" t="s">
        <v>19</v>
      </c>
      <c r="J11223">
        <v>7.44</v>
      </c>
      <c r="K11223">
        <v>1.44</v>
      </c>
      <c r="L11223">
        <v>17956</v>
      </c>
      <c r="M11223" t="s">
        <v>53</v>
      </c>
      <c r="N11223" t="str">
        <f>"09997824    "</f>
        <v xml:space="preserve">09997824    </v>
      </c>
      <c r="O11223">
        <v>230602</v>
      </c>
    </row>
    <row r="11224" spans="1:15" x14ac:dyDescent="0.25">
      <c r="A11224" t="s">
        <v>16</v>
      </c>
      <c r="B11224" t="s">
        <v>3221</v>
      </c>
      <c r="C11224">
        <v>7815</v>
      </c>
      <c r="D11224" t="s">
        <v>848</v>
      </c>
      <c r="E11224" t="s">
        <v>849</v>
      </c>
      <c r="F11224">
        <v>14</v>
      </c>
      <c r="G11224">
        <v>230525</v>
      </c>
      <c r="H11224">
        <v>4840</v>
      </c>
      <c r="I11224" t="s">
        <v>19</v>
      </c>
      <c r="J11224">
        <v>17.36</v>
      </c>
      <c r="K11224">
        <v>3.36</v>
      </c>
      <c r="L11224">
        <v>17956</v>
      </c>
      <c r="M11224" t="s">
        <v>53</v>
      </c>
      <c r="N11224" t="str">
        <f>"09997829    "</f>
        <v xml:space="preserve">09997829    </v>
      </c>
      <c r="O11224">
        <v>230602</v>
      </c>
    </row>
    <row r="11225" spans="1:15" x14ac:dyDescent="0.25">
      <c r="A11225" t="s">
        <v>16</v>
      </c>
      <c r="B11225" t="s">
        <v>3221</v>
      </c>
      <c r="C11225">
        <v>8408</v>
      </c>
      <c r="D11225" t="s">
        <v>848</v>
      </c>
      <c r="E11225" t="s">
        <v>849</v>
      </c>
      <c r="F11225">
        <v>13.2</v>
      </c>
      <c r="G11225">
        <v>230525</v>
      </c>
      <c r="H11225">
        <v>4840</v>
      </c>
      <c r="I11225" t="s">
        <v>19</v>
      </c>
      <c r="J11225">
        <v>16.37</v>
      </c>
      <c r="K11225">
        <v>3.17</v>
      </c>
      <c r="L11225">
        <v>13540</v>
      </c>
      <c r="M11225" t="s">
        <v>85</v>
      </c>
      <c r="N11225" t="str">
        <f>"09997823    "</f>
        <v xml:space="preserve">09997823    </v>
      </c>
      <c r="O11225">
        <v>230608</v>
      </c>
    </row>
    <row r="11226" spans="1:15" x14ac:dyDescent="0.25">
      <c r="A11226" t="s">
        <v>16</v>
      </c>
      <c r="B11226" t="s">
        <v>3221</v>
      </c>
      <c r="C11226">
        <v>8408</v>
      </c>
      <c r="D11226" t="s">
        <v>848</v>
      </c>
      <c r="E11226" t="s">
        <v>849</v>
      </c>
      <c r="F11226">
        <v>106.8</v>
      </c>
      <c r="G11226">
        <v>230525</v>
      </c>
      <c r="H11226">
        <v>4840</v>
      </c>
      <c r="I11226" t="s">
        <v>19</v>
      </c>
      <c r="J11226">
        <v>132.43</v>
      </c>
      <c r="K11226">
        <v>25.63</v>
      </c>
      <c r="L11226">
        <v>17950</v>
      </c>
      <c r="M11226" t="s">
        <v>86</v>
      </c>
      <c r="N11226" t="str">
        <f>"09997823    "</f>
        <v xml:space="preserve">09997823    </v>
      </c>
      <c r="O11226">
        <v>230608</v>
      </c>
    </row>
    <row r="11227" spans="1:15" x14ac:dyDescent="0.25">
      <c r="A11227" t="s">
        <v>16</v>
      </c>
      <c r="B11227" t="s">
        <v>3221</v>
      </c>
      <c r="C11227">
        <v>9177</v>
      </c>
      <c r="D11227" t="s">
        <v>848</v>
      </c>
      <c r="E11227" t="s">
        <v>849</v>
      </c>
      <c r="F11227">
        <v>4.5</v>
      </c>
      <c r="G11227">
        <v>230622</v>
      </c>
      <c r="H11227">
        <v>4840</v>
      </c>
      <c r="I11227" t="s">
        <v>19</v>
      </c>
      <c r="J11227">
        <v>5.58</v>
      </c>
      <c r="K11227">
        <v>1.08</v>
      </c>
      <c r="L11227">
        <v>17956</v>
      </c>
      <c r="M11227" t="s">
        <v>53</v>
      </c>
      <c r="N11227" t="str">
        <f>"10057105    "</f>
        <v xml:space="preserve">10057105    </v>
      </c>
      <c r="O11227">
        <v>230629</v>
      </c>
    </row>
    <row r="11228" spans="1:15" x14ac:dyDescent="0.25">
      <c r="A11228" t="s">
        <v>16</v>
      </c>
      <c r="B11228" t="s">
        <v>3221</v>
      </c>
      <c r="C11228">
        <v>9179</v>
      </c>
      <c r="D11228" t="s">
        <v>848</v>
      </c>
      <c r="E11228" t="s">
        <v>849</v>
      </c>
      <c r="F11228">
        <v>10.5</v>
      </c>
      <c r="G11228">
        <v>230622</v>
      </c>
      <c r="H11228">
        <v>4840</v>
      </c>
      <c r="I11228" t="s">
        <v>19</v>
      </c>
      <c r="J11228">
        <v>13.02</v>
      </c>
      <c r="K11228">
        <v>2.52</v>
      </c>
      <c r="L11228">
        <v>17956</v>
      </c>
      <c r="M11228" t="s">
        <v>53</v>
      </c>
      <c r="N11228" t="str">
        <f>"10057108    "</f>
        <v xml:space="preserve">10057108    </v>
      </c>
      <c r="O11228">
        <v>230629</v>
      </c>
    </row>
    <row r="11229" spans="1:15" x14ac:dyDescent="0.25">
      <c r="A11229" t="s">
        <v>16</v>
      </c>
      <c r="B11229" t="s">
        <v>3221</v>
      </c>
      <c r="C11229">
        <v>9180</v>
      </c>
      <c r="D11229" t="s">
        <v>848</v>
      </c>
      <c r="E11229" t="s">
        <v>849</v>
      </c>
      <c r="F11229">
        <v>7.5</v>
      </c>
      <c r="G11229">
        <v>230622</v>
      </c>
      <c r="H11229">
        <v>4840</v>
      </c>
      <c r="I11229" t="s">
        <v>19</v>
      </c>
      <c r="J11229">
        <v>9.3000000000000007</v>
      </c>
      <c r="K11229">
        <v>1.8</v>
      </c>
      <c r="L11229">
        <v>13540</v>
      </c>
      <c r="M11229" t="s">
        <v>85</v>
      </c>
      <c r="N11229" t="str">
        <f>"10057103    "</f>
        <v xml:space="preserve">10057103    </v>
      </c>
      <c r="O11229">
        <v>230629</v>
      </c>
    </row>
    <row r="11230" spans="1:15" x14ac:dyDescent="0.25">
      <c r="A11230" t="s">
        <v>16</v>
      </c>
      <c r="B11230" t="s">
        <v>3221</v>
      </c>
      <c r="C11230">
        <v>9180</v>
      </c>
      <c r="D11230" t="s">
        <v>848</v>
      </c>
      <c r="E11230" t="s">
        <v>849</v>
      </c>
      <c r="F11230">
        <v>82.5</v>
      </c>
      <c r="G11230">
        <v>230622</v>
      </c>
      <c r="H11230">
        <v>4840</v>
      </c>
      <c r="I11230" t="s">
        <v>19</v>
      </c>
      <c r="J11230">
        <v>102.3</v>
      </c>
      <c r="K11230">
        <v>19.8</v>
      </c>
      <c r="L11230">
        <v>17950</v>
      </c>
      <c r="M11230" t="s">
        <v>86</v>
      </c>
      <c r="N11230" t="str">
        <f>"10057103    "</f>
        <v xml:space="preserve">10057103    </v>
      </c>
      <c r="O11230">
        <v>230629</v>
      </c>
    </row>
    <row r="11231" spans="1:15" x14ac:dyDescent="0.25">
      <c r="A11231" t="s">
        <v>16</v>
      </c>
      <c r="B11231" t="s">
        <v>3221</v>
      </c>
      <c r="C11231">
        <v>9181</v>
      </c>
      <c r="D11231" t="s">
        <v>848</v>
      </c>
      <c r="E11231" t="s">
        <v>849</v>
      </c>
      <c r="F11231">
        <v>7.5</v>
      </c>
      <c r="G11231">
        <v>230622</v>
      </c>
      <c r="H11231">
        <v>4840</v>
      </c>
      <c r="I11231" t="s">
        <v>19</v>
      </c>
      <c r="J11231">
        <v>9.3000000000000007</v>
      </c>
      <c r="K11231">
        <v>1.8</v>
      </c>
      <c r="L11231">
        <v>17956</v>
      </c>
      <c r="M11231" t="s">
        <v>53</v>
      </c>
      <c r="N11231" t="str">
        <f>"10057109    "</f>
        <v xml:space="preserve">10057109    </v>
      </c>
      <c r="O11231">
        <v>230629</v>
      </c>
    </row>
    <row r="11232" spans="1:15" x14ac:dyDescent="0.25">
      <c r="A11232" t="s">
        <v>16</v>
      </c>
      <c r="B11232" t="s">
        <v>3221</v>
      </c>
      <c r="C11232">
        <v>10545</v>
      </c>
      <c r="D11232" t="s">
        <v>848</v>
      </c>
      <c r="E11232" t="s">
        <v>849</v>
      </c>
      <c r="F11232">
        <v>2.5</v>
      </c>
      <c r="G11232">
        <v>230817</v>
      </c>
      <c r="H11232">
        <v>4840</v>
      </c>
      <c r="I11232" t="s">
        <v>19</v>
      </c>
      <c r="J11232">
        <v>3.1</v>
      </c>
      <c r="K11232">
        <v>0.6</v>
      </c>
      <c r="L11232">
        <v>17950</v>
      </c>
      <c r="M11232" t="s">
        <v>86</v>
      </c>
      <c r="N11232" t="str">
        <f>"70078203    "</f>
        <v xml:space="preserve">70078203    </v>
      </c>
      <c r="O11232">
        <v>230818</v>
      </c>
    </row>
    <row r="11233" spans="1:15" x14ac:dyDescent="0.25">
      <c r="A11233" t="s">
        <v>16</v>
      </c>
      <c r="B11233" t="s">
        <v>3221</v>
      </c>
      <c r="C11233">
        <v>12522</v>
      </c>
      <c r="D11233" t="s">
        <v>848</v>
      </c>
      <c r="E11233" t="s">
        <v>849</v>
      </c>
      <c r="F11233">
        <v>76.48</v>
      </c>
      <c r="G11233">
        <v>230914</v>
      </c>
      <c r="H11233">
        <v>4840</v>
      </c>
      <c r="I11233" t="s">
        <v>19</v>
      </c>
      <c r="J11233">
        <v>94.84</v>
      </c>
      <c r="K11233">
        <v>18.36</v>
      </c>
      <c r="L11233">
        <v>13540</v>
      </c>
      <c r="M11233" t="s">
        <v>85</v>
      </c>
      <c r="N11233" t="str">
        <f>"70136697    "</f>
        <v xml:space="preserve">70136697    </v>
      </c>
      <c r="O11233">
        <v>230920</v>
      </c>
    </row>
    <row r="11234" spans="1:15" x14ac:dyDescent="0.25">
      <c r="A11234" t="s">
        <v>16</v>
      </c>
      <c r="B11234" t="s">
        <v>3221</v>
      </c>
      <c r="C11234">
        <v>12522</v>
      </c>
      <c r="D11234" t="s">
        <v>848</v>
      </c>
      <c r="E11234" t="s">
        <v>849</v>
      </c>
      <c r="F11234">
        <v>110</v>
      </c>
      <c r="G11234">
        <v>230914</v>
      </c>
      <c r="H11234">
        <v>4840</v>
      </c>
      <c r="I11234" t="s">
        <v>19</v>
      </c>
      <c r="J11234">
        <v>136.4</v>
      </c>
      <c r="K11234">
        <v>26.4</v>
      </c>
      <c r="L11234">
        <v>17950</v>
      </c>
      <c r="M11234" t="s">
        <v>86</v>
      </c>
      <c r="N11234" t="str">
        <f>"70136697    "</f>
        <v xml:space="preserve">70136697    </v>
      </c>
      <c r="O11234">
        <v>230920</v>
      </c>
    </row>
    <row r="11235" spans="1:15" x14ac:dyDescent="0.25">
      <c r="A11235" t="s">
        <v>16</v>
      </c>
      <c r="B11235" t="s">
        <v>3221</v>
      </c>
      <c r="C11235">
        <v>12665</v>
      </c>
      <c r="D11235" t="s">
        <v>848</v>
      </c>
      <c r="E11235" t="s">
        <v>849</v>
      </c>
      <c r="F11235">
        <v>14</v>
      </c>
      <c r="G11235">
        <v>230914</v>
      </c>
      <c r="H11235">
        <v>4840</v>
      </c>
      <c r="I11235" t="s">
        <v>19</v>
      </c>
      <c r="J11235">
        <v>17.36</v>
      </c>
      <c r="K11235">
        <v>3.36</v>
      </c>
      <c r="L11235">
        <v>17956</v>
      </c>
      <c r="M11235" t="s">
        <v>53</v>
      </c>
      <c r="N11235" t="str">
        <f>"70136685    "</f>
        <v xml:space="preserve">70136685    </v>
      </c>
      <c r="O11235">
        <v>230922</v>
      </c>
    </row>
    <row r="11236" spans="1:15" x14ac:dyDescent="0.25">
      <c r="A11236" t="s">
        <v>16</v>
      </c>
      <c r="B11236" t="s">
        <v>3221</v>
      </c>
      <c r="C11236">
        <v>12666</v>
      </c>
      <c r="D11236" t="s">
        <v>848</v>
      </c>
      <c r="E11236" t="s">
        <v>849</v>
      </c>
      <c r="F11236">
        <v>10</v>
      </c>
      <c r="G11236">
        <v>230914</v>
      </c>
      <c r="H11236">
        <v>4840</v>
      </c>
      <c r="I11236" t="s">
        <v>19</v>
      </c>
      <c r="J11236">
        <v>12.4</v>
      </c>
      <c r="K11236">
        <v>2.4</v>
      </c>
      <c r="L11236">
        <v>17956</v>
      </c>
      <c r="M11236" t="s">
        <v>53</v>
      </c>
      <c r="N11236" t="str">
        <f>"70136696    "</f>
        <v xml:space="preserve">70136696    </v>
      </c>
      <c r="O11236">
        <v>230922</v>
      </c>
    </row>
    <row r="11237" spans="1:15" x14ac:dyDescent="0.25">
      <c r="A11237" t="s">
        <v>16</v>
      </c>
      <c r="B11237" t="s">
        <v>3221</v>
      </c>
      <c r="C11237">
        <v>12667</v>
      </c>
      <c r="D11237" t="s">
        <v>848</v>
      </c>
      <c r="E11237" t="s">
        <v>849</v>
      </c>
      <c r="F11237">
        <v>6</v>
      </c>
      <c r="G11237">
        <v>230914</v>
      </c>
      <c r="H11237">
        <v>4840</v>
      </c>
      <c r="I11237" t="s">
        <v>19</v>
      </c>
      <c r="J11237">
        <v>7.44</v>
      </c>
      <c r="K11237">
        <v>1.44</v>
      </c>
      <c r="L11237">
        <v>17956</v>
      </c>
      <c r="M11237" t="s">
        <v>53</v>
      </c>
      <c r="N11237" t="str">
        <f>"70136695    "</f>
        <v xml:space="preserve">70136695    </v>
      </c>
      <c r="O11237">
        <v>230922</v>
      </c>
    </row>
    <row r="11238" spans="1:15" x14ac:dyDescent="0.25">
      <c r="A11238" t="s">
        <v>16</v>
      </c>
      <c r="B11238" t="s">
        <v>3221</v>
      </c>
      <c r="C11238">
        <v>14139</v>
      </c>
      <c r="D11238" t="s">
        <v>848</v>
      </c>
      <c r="E11238" t="s">
        <v>849</v>
      </c>
      <c r="F11238">
        <v>6</v>
      </c>
      <c r="G11238">
        <v>231012</v>
      </c>
      <c r="H11238">
        <v>4840</v>
      </c>
      <c r="I11238" t="s">
        <v>19</v>
      </c>
      <c r="J11238">
        <v>7.44</v>
      </c>
      <c r="K11238">
        <v>1.44</v>
      </c>
      <c r="L11238">
        <v>17956</v>
      </c>
      <c r="M11238" t="s">
        <v>53</v>
      </c>
      <c r="N11238" t="str">
        <f>"70195516    "</f>
        <v xml:space="preserve">70195516    </v>
      </c>
      <c r="O11238">
        <v>231019</v>
      </c>
    </row>
    <row r="11239" spans="1:15" x14ac:dyDescent="0.25">
      <c r="A11239" t="s">
        <v>16</v>
      </c>
      <c r="B11239" t="s">
        <v>3221</v>
      </c>
      <c r="C11239">
        <v>14140</v>
      </c>
      <c r="D11239" t="s">
        <v>848</v>
      </c>
      <c r="E11239" t="s">
        <v>849</v>
      </c>
      <c r="F11239">
        <v>10</v>
      </c>
      <c r="G11239">
        <v>231012</v>
      </c>
      <c r="H11239">
        <v>4840</v>
      </c>
      <c r="I11239" t="s">
        <v>19</v>
      </c>
      <c r="J11239">
        <v>12.4</v>
      </c>
      <c r="K11239">
        <v>2.4</v>
      </c>
      <c r="L11239">
        <v>17956</v>
      </c>
      <c r="M11239" t="s">
        <v>53</v>
      </c>
      <c r="N11239" t="str">
        <f>"70195510    "</f>
        <v xml:space="preserve">70195510    </v>
      </c>
      <c r="O11239">
        <v>231019</v>
      </c>
    </row>
    <row r="11240" spans="1:15" x14ac:dyDescent="0.25">
      <c r="A11240" t="s">
        <v>16</v>
      </c>
      <c r="B11240" t="s">
        <v>3221</v>
      </c>
      <c r="C11240">
        <v>14141</v>
      </c>
      <c r="D11240" t="s">
        <v>848</v>
      </c>
      <c r="E11240" t="s">
        <v>849</v>
      </c>
      <c r="F11240">
        <v>14</v>
      </c>
      <c r="G11240">
        <v>231012</v>
      </c>
      <c r="H11240">
        <v>4840</v>
      </c>
      <c r="I11240" t="s">
        <v>19</v>
      </c>
      <c r="J11240">
        <v>17.36</v>
      </c>
      <c r="K11240">
        <v>3.36</v>
      </c>
      <c r="L11240">
        <v>17956</v>
      </c>
      <c r="M11240" t="s">
        <v>53</v>
      </c>
      <c r="N11240" t="str">
        <f>"70195519    "</f>
        <v xml:space="preserve">70195519    </v>
      </c>
      <c r="O11240">
        <v>231019</v>
      </c>
    </row>
    <row r="11241" spans="1:15" x14ac:dyDescent="0.25">
      <c r="A11241" t="s">
        <v>16</v>
      </c>
      <c r="B11241" t="s">
        <v>3221</v>
      </c>
      <c r="C11241">
        <v>14540</v>
      </c>
      <c r="D11241" t="s">
        <v>848</v>
      </c>
      <c r="E11241" t="s">
        <v>849</v>
      </c>
      <c r="F11241">
        <v>13.2</v>
      </c>
      <c r="G11241">
        <v>231012</v>
      </c>
      <c r="H11241">
        <v>4840</v>
      </c>
      <c r="I11241" t="s">
        <v>19</v>
      </c>
      <c r="J11241">
        <v>16.37</v>
      </c>
      <c r="K11241">
        <v>3.17</v>
      </c>
      <c r="L11241">
        <v>13540</v>
      </c>
      <c r="M11241" t="s">
        <v>85</v>
      </c>
      <c r="N11241" t="str">
        <f>"70195520    "</f>
        <v xml:space="preserve">70195520    </v>
      </c>
      <c r="O11241">
        <v>231030</v>
      </c>
    </row>
    <row r="11242" spans="1:15" x14ac:dyDescent="0.25">
      <c r="A11242" t="s">
        <v>16</v>
      </c>
      <c r="B11242" t="s">
        <v>3221</v>
      </c>
      <c r="C11242">
        <v>14540</v>
      </c>
      <c r="D11242" t="s">
        <v>848</v>
      </c>
      <c r="E11242" t="s">
        <v>849</v>
      </c>
      <c r="F11242">
        <v>106.8</v>
      </c>
      <c r="G11242">
        <v>231012</v>
      </c>
      <c r="H11242">
        <v>4840</v>
      </c>
      <c r="I11242" t="s">
        <v>19</v>
      </c>
      <c r="J11242">
        <v>132.43</v>
      </c>
      <c r="K11242">
        <v>25.63</v>
      </c>
      <c r="L11242">
        <v>17950</v>
      </c>
      <c r="M11242" t="s">
        <v>86</v>
      </c>
      <c r="N11242" t="str">
        <f>"70195520    "</f>
        <v xml:space="preserve">70195520    </v>
      </c>
      <c r="O11242">
        <v>231030</v>
      </c>
    </row>
    <row r="11243" spans="1:15" x14ac:dyDescent="0.25">
      <c r="A11243" t="s">
        <v>16</v>
      </c>
      <c r="B11243" t="s">
        <v>3221</v>
      </c>
      <c r="C11243">
        <v>15659</v>
      </c>
      <c r="D11243" t="s">
        <v>848</v>
      </c>
      <c r="E11243" t="s">
        <v>849</v>
      </c>
      <c r="F11243">
        <v>6</v>
      </c>
      <c r="G11243">
        <v>231109</v>
      </c>
      <c r="H11243">
        <v>4840</v>
      </c>
      <c r="I11243" t="s">
        <v>19</v>
      </c>
      <c r="J11243">
        <v>7.44</v>
      </c>
      <c r="K11243">
        <v>1.44</v>
      </c>
      <c r="L11243">
        <v>17956</v>
      </c>
      <c r="M11243" t="s">
        <v>53</v>
      </c>
      <c r="N11243" t="str">
        <f>"70259304    "</f>
        <v xml:space="preserve">70259304    </v>
      </c>
      <c r="O11243">
        <v>231116</v>
      </c>
    </row>
    <row r="11244" spans="1:15" x14ac:dyDescent="0.25">
      <c r="A11244" t="s">
        <v>16</v>
      </c>
      <c r="B11244" t="s">
        <v>3221</v>
      </c>
      <c r="C11244">
        <v>15664</v>
      </c>
      <c r="D11244" t="s">
        <v>848</v>
      </c>
      <c r="E11244" t="s">
        <v>849</v>
      </c>
      <c r="F11244">
        <v>14</v>
      </c>
      <c r="G11244">
        <v>231109</v>
      </c>
      <c r="H11244">
        <v>4840</v>
      </c>
      <c r="I11244" t="s">
        <v>19</v>
      </c>
      <c r="J11244">
        <v>17.36</v>
      </c>
      <c r="K11244">
        <v>3.36</v>
      </c>
      <c r="L11244">
        <v>17956</v>
      </c>
      <c r="M11244" t="s">
        <v>53</v>
      </c>
      <c r="N11244" t="str">
        <f>"70259302    "</f>
        <v xml:space="preserve">70259302    </v>
      </c>
      <c r="O11244">
        <v>231116</v>
      </c>
    </row>
    <row r="11245" spans="1:15" x14ac:dyDescent="0.25">
      <c r="A11245" t="s">
        <v>16</v>
      </c>
      <c r="B11245" t="s">
        <v>3221</v>
      </c>
      <c r="C11245">
        <v>15668</v>
      </c>
      <c r="D11245" t="s">
        <v>848</v>
      </c>
      <c r="E11245" t="s">
        <v>849</v>
      </c>
      <c r="F11245">
        <v>13.2</v>
      </c>
      <c r="G11245">
        <v>231109</v>
      </c>
      <c r="H11245">
        <v>4840</v>
      </c>
      <c r="I11245" t="s">
        <v>19</v>
      </c>
      <c r="J11245">
        <v>16.37</v>
      </c>
      <c r="K11245">
        <v>3.17</v>
      </c>
      <c r="L11245">
        <v>13540</v>
      </c>
      <c r="M11245" t="s">
        <v>85</v>
      </c>
      <c r="N11245" t="str">
        <f>"70259306    "</f>
        <v xml:space="preserve">70259306    </v>
      </c>
      <c r="O11245">
        <v>231116</v>
      </c>
    </row>
    <row r="11246" spans="1:15" x14ac:dyDescent="0.25">
      <c r="A11246" t="s">
        <v>16</v>
      </c>
      <c r="B11246" t="s">
        <v>3221</v>
      </c>
      <c r="C11246">
        <v>15668</v>
      </c>
      <c r="D11246" t="s">
        <v>848</v>
      </c>
      <c r="E11246" t="s">
        <v>849</v>
      </c>
      <c r="F11246">
        <v>106.8</v>
      </c>
      <c r="G11246">
        <v>231109</v>
      </c>
      <c r="H11246">
        <v>4840</v>
      </c>
      <c r="I11246" t="s">
        <v>19</v>
      </c>
      <c r="J11246">
        <v>132.43</v>
      </c>
      <c r="K11246">
        <v>25.63</v>
      </c>
      <c r="L11246">
        <v>17950</v>
      </c>
      <c r="M11246" t="s">
        <v>86</v>
      </c>
      <c r="N11246" t="str">
        <f>"70259306    "</f>
        <v xml:space="preserve">70259306    </v>
      </c>
      <c r="O11246">
        <v>231116</v>
      </c>
    </row>
    <row r="11247" spans="1:15" x14ac:dyDescent="0.25">
      <c r="A11247" t="s">
        <v>16</v>
      </c>
      <c r="B11247" t="s">
        <v>3221</v>
      </c>
      <c r="C11247">
        <v>15671</v>
      </c>
      <c r="D11247" t="s">
        <v>848</v>
      </c>
      <c r="E11247" t="s">
        <v>849</v>
      </c>
      <c r="F11247">
        <v>10</v>
      </c>
      <c r="G11247">
        <v>231109</v>
      </c>
      <c r="H11247">
        <v>4840</v>
      </c>
      <c r="I11247" t="s">
        <v>19</v>
      </c>
      <c r="J11247">
        <v>12.4</v>
      </c>
      <c r="K11247">
        <v>2.4</v>
      </c>
      <c r="L11247">
        <v>17956</v>
      </c>
      <c r="M11247" t="s">
        <v>53</v>
      </c>
      <c r="N11247" t="str">
        <f>"70259298    "</f>
        <v xml:space="preserve">70259298    </v>
      </c>
      <c r="O11247">
        <v>231116</v>
      </c>
    </row>
    <row r="11248" spans="1:15" x14ac:dyDescent="0.25">
      <c r="A11248" t="s">
        <v>16</v>
      </c>
      <c r="B11248" t="s">
        <v>3221</v>
      </c>
      <c r="C11248">
        <v>17485</v>
      </c>
      <c r="D11248" t="s">
        <v>848</v>
      </c>
      <c r="E11248" t="s">
        <v>849</v>
      </c>
      <c r="F11248">
        <v>6</v>
      </c>
      <c r="G11248">
        <v>231211</v>
      </c>
      <c r="H11248">
        <v>4840</v>
      </c>
      <c r="I11248" t="s">
        <v>19</v>
      </c>
      <c r="J11248">
        <v>7.44</v>
      </c>
      <c r="K11248">
        <v>1.44</v>
      </c>
      <c r="L11248">
        <v>17956</v>
      </c>
      <c r="M11248" t="s">
        <v>53</v>
      </c>
      <c r="N11248" t="str">
        <f>"70318194    "</f>
        <v xml:space="preserve">70318194    </v>
      </c>
      <c r="O11248">
        <v>231214</v>
      </c>
    </row>
    <row r="11249" spans="1:15" x14ac:dyDescent="0.25">
      <c r="A11249" t="s">
        <v>16</v>
      </c>
      <c r="B11249" t="s">
        <v>3221</v>
      </c>
      <c r="C11249">
        <v>17494</v>
      </c>
      <c r="D11249" t="s">
        <v>848</v>
      </c>
      <c r="E11249" t="s">
        <v>849</v>
      </c>
      <c r="F11249">
        <v>10</v>
      </c>
      <c r="G11249">
        <v>231211</v>
      </c>
      <c r="H11249">
        <v>4840</v>
      </c>
      <c r="I11249" t="s">
        <v>19</v>
      </c>
      <c r="J11249">
        <v>12.4</v>
      </c>
      <c r="K11249">
        <v>2.4</v>
      </c>
      <c r="L11249">
        <v>17956</v>
      </c>
      <c r="M11249" t="s">
        <v>53</v>
      </c>
      <c r="N11249" t="str">
        <f>"70318198    "</f>
        <v xml:space="preserve">70318198    </v>
      </c>
      <c r="O11249">
        <v>231214</v>
      </c>
    </row>
    <row r="11250" spans="1:15" x14ac:dyDescent="0.25">
      <c r="A11250" t="s">
        <v>16</v>
      </c>
      <c r="B11250" t="s">
        <v>3221</v>
      </c>
      <c r="C11250">
        <v>17514</v>
      </c>
      <c r="D11250" t="s">
        <v>848</v>
      </c>
      <c r="E11250" t="s">
        <v>849</v>
      </c>
      <c r="F11250">
        <v>14</v>
      </c>
      <c r="G11250">
        <v>231211</v>
      </c>
      <c r="H11250">
        <v>4840</v>
      </c>
      <c r="I11250" t="s">
        <v>19</v>
      </c>
      <c r="J11250">
        <v>17.36</v>
      </c>
      <c r="K11250">
        <v>3.36</v>
      </c>
      <c r="L11250">
        <v>17956</v>
      </c>
      <c r="M11250" t="s">
        <v>53</v>
      </c>
      <c r="N11250" t="str">
        <f>"70318201    "</f>
        <v xml:space="preserve">70318201    </v>
      </c>
      <c r="O11250">
        <v>231214</v>
      </c>
    </row>
    <row r="11251" spans="1:15" x14ac:dyDescent="0.25">
      <c r="A11251" t="s">
        <v>16</v>
      </c>
      <c r="B11251" t="s">
        <v>3221</v>
      </c>
      <c r="C11251">
        <v>18383</v>
      </c>
      <c r="D11251" t="s">
        <v>848</v>
      </c>
      <c r="E11251" t="s">
        <v>849</v>
      </c>
      <c r="F11251">
        <v>13.2</v>
      </c>
      <c r="G11251">
        <v>231211</v>
      </c>
      <c r="H11251">
        <v>4840</v>
      </c>
      <c r="I11251" t="s">
        <v>19</v>
      </c>
      <c r="J11251">
        <v>16.37</v>
      </c>
      <c r="K11251">
        <v>3.17</v>
      </c>
      <c r="L11251">
        <v>13540</v>
      </c>
      <c r="M11251" t="s">
        <v>85</v>
      </c>
      <c r="N11251" t="str">
        <f>"70318202    "</f>
        <v xml:space="preserve">70318202    </v>
      </c>
      <c r="O11251">
        <v>240103</v>
      </c>
    </row>
    <row r="11252" spans="1:15" x14ac:dyDescent="0.25">
      <c r="A11252" t="s">
        <v>16</v>
      </c>
      <c r="B11252" t="s">
        <v>3221</v>
      </c>
      <c r="C11252">
        <v>19124</v>
      </c>
      <c r="D11252" t="s">
        <v>848</v>
      </c>
      <c r="E11252" t="s">
        <v>849</v>
      </c>
      <c r="F11252">
        <v>6</v>
      </c>
      <c r="G11252">
        <v>240105</v>
      </c>
      <c r="H11252">
        <v>4840</v>
      </c>
      <c r="I11252" t="s">
        <v>19</v>
      </c>
      <c r="J11252">
        <v>7.44</v>
      </c>
      <c r="K11252">
        <v>1.44</v>
      </c>
      <c r="L11252">
        <v>17956</v>
      </c>
      <c r="M11252" t="s">
        <v>53</v>
      </c>
      <c r="N11252" t="str">
        <f>"70400739    "</f>
        <v xml:space="preserve">70400739    </v>
      </c>
      <c r="O11252">
        <v>240111</v>
      </c>
    </row>
    <row r="11253" spans="1:15" x14ac:dyDescent="0.25">
      <c r="A11253" t="s">
        <v>16</v>
      </c>
      <c r="B11253" t="s">
        <v>3221</v>
      </c>
      <c r="C11253">
        <v>19125</v>
      </c>
      <c r="D11253" t="s">
        <v>848</v>
      </c>
      <c r="E11253" t="s">
        <v>849</v>
      </c>
      <c r="F11253">
        <v>20.45</v>
      </c>
      <c r="G11253">
        <v>240105</v>
      </c>
      <c r="H11253">
        <v>4840</v>
      </c>
      <c r="I11253" t="s">
        <v>19</v>
      </c>
      <c r="J11253">
        <v>25.36</v>
      </c>
      <c r="K11253">
        <v>4.91</v>
      </c>
      <c r="L11253">
        <v>17956</v>
      </c>
      <c r="M11253" t="s">
        <v>53</v>
      </c>
      <c r="N11253" t="str">
        <f>"70400742    "</f>
        <v xml:space="preserve">70400742    </v>
      </c>
      <c r="O11253">
        <v>240111</v>
      </c>
    </row>
    <row r="11254" spans="1:15" x14ac:dyDescent="0.25">
      <c r="A11254" t="s">
        <v>16</v>
      </c>
      <c r="B11254" t="s">
        <v>3221</v>
      </c>
      <c r="C11254">
        <v>19126</v>
      </c>
      <c r="D11254" t="s">
        <v>848</v>
      </c>
      <c r="E11254" t="s">
        <v>849</v>
      </c>
      <c r="F11254">
        <v>28.63</v>
      </c>
      <c r="G11254">
        <v>240105</v>
      </c>
      <c r="H11254">
        <v>4840</v>
      </c>
      <c r="I11254" t="s">
        <v>19</v>
      </c>
      <c r="J11254">
        <v>35.5</v>
      </c>
      <c r="K11254">
        <v>6.87</v>
      </c>
      <c r="L11254">
        <v>17956</v>
      </c>
      <c r="M11254" t="s">
        <v>53</v>
      </c>
      <c r="N11254" t="str">
        <f>"70400738    "</f>
        <v xml:space="preserve">70400738    </v>
      </c>
      <c r="O11254">
        <v>240111</v>
      </c>
    </row>
    <row r="11255" spans="1:15" x14ac:dyDescent="0.25">
      <c r="A11255" t="s">
        <v>16</v>
      </c>
      <c r="B11255" t="s">
        <v>3221</v>
      </c>
      <c r="C11255">
        <v>19185</v>
      </c>
      <c r="D11255" t="s">
        <v>848</v>
      </c>
      <c r="E11255" t="s">
        <v>849</v>
      </c>
      <c r="F11255">
        <v>13.2</v>
      </c>
      <c r="G11255">
        <v>240105</v>
      </c>
      <c r="H11255">
        <v>4840</v>
      </c>
      <c r="I11255" t="s">
        <v>19</v>
      </c>
      <c r="J11255">
        <v>16.37</v>
      </c>
      <c r="K11255">
        <v>3.17</v>
      </c>
      <c r="L11255">
        <v>13540</v>
      </c>
      <c r="M11255" t="s">
        <v>85</v>
      </c>
      <c r="N11255" t="str">
        <f>"70400747    "</f>
        <v xml:space="preserve">70400747    </v>
      </c>
      <c r="O11255">
        <v>240129</v>
      </c>
    </row>
    <row r="11256" spans="1:15" x14ac:dyDescent="0.25">
      <c r="A11256" t="s">
        <v>16</v>
      </c>
      <c r="B11256" t="s">
        <v>3221</v>
      </c>
      <c r="C11256">
        <v>19185</v>
      </c>
      <c r="D11256" t="s">
        <v>848</v>
      </c>
      <c r="E11256" t="s">
        <v>849</v>
      </c>
      <c r="F11256">
        <v>106.8</v>
      </c>
      <c r="G11256">
        <v>240105</v>
      </c>
      <c r="H11256">
        <v>4840</v>
      </c>
      <c r="I11256" t="s">
        <v>19</v>
      </c>
      <c r="J11256">
        <v>132.43</v>
      </c>
      <c r="K11256">
        <v>25.63</v>
      </c>
      <c r="L11256">
        <v>17950</v>
      </c>
      <c r="M11256" t="s">
        <v>86</v>
      </c>
      <c r="N11256" t="str">
        <f>"70400747    "</f>
        <v xml:space="preserve">70400747    </v>
      </c>
      <c r="O11256">
        <v>240129</v>
      </c>
    </row>
    <row r="11257" spans="1:15" x14ac:dyDescent="0.25">
      <c r="A11257" t="s">
        <v>16</v>
      </c>
      <c r="B11257" t="s">
        <v>3221</v>
      </c>
      <c r="C11257">
        <v>1492</v>
      </c>
      <c r="D11257" t="s">
        <v>848</v>
      </c>
      <c r="E11257" t="s">
        <v>849</v>
      </c>
      <c r="F11257">
        <v>173.05</v>
      </c>
      <c r="G11257">
        <v>230208</v>
      </c>
      <c r="H11257">
        <v>4600</v>
      </c>
      <c r="I11257" t="s">
        <v>105</v>
      </c>
      <c r="J11257">
        <v>214.58</v>
      </c>
      <c r="K11257">
        <v>41.53</v>
      </c>
      <c r="L11257">
        <v>56568</v>
      </c>
      <c r="M11257" t="s">
        <v>268</v>
      </c>
      <c r="N11257" t="str">
        <f>"09778745    "</f>
        <v xml:space="preserve">09778745    </v>
      </c>
      <c r="O11257">
        <v>230209</v>
      </c>
    </row>
    <row r="11258" spans="1:15" x14ac:dyDescent="0.25">
      <c r="A11258" t="s">
        <v>16</v>
      </c>
      <c r="B11258" t="s">
        <v>3221</v>
      </c>
      <c r="C11258">
        <v>3231</v>
      </c>
      <c r="D11258" t="s">
        <v>848</v>
      </c>
      <c r="E11258" t="s">
        <v>849</v>
      </c>
      <c r="F11258">
        <v>138.44</v>
      </c>
      <c r="G11258">
        <v>230308</v>
      </c>
      <c r="H11258">
        <v>4600</v>
      </c>
      <c r="I11258" t="s">
        <v>105</v>
      </c>
      <c r="J11258">
        <v>171.67</v>
      </c>
      <c r="K11258">
        <v>33.229999999999997</v>
      </c>
      <c r="L11258">
        <v>56568</v>
      </c>
      <c r="M11258" t="s">
        <v>268</v>
      </c>
      <c r="N11258" t="str">
        <f>"09837960    "</f>
        <v xml:space="preserve">09837960    </v>
      </c>
      <c r="O11258">
        <v>230310</v>
      </c>
    </row>
    <row r="11259" spans="1:15" x14ac:dyDescent="0.25">
      <c r="A11259" t="s">
        <v>16</v>
      </c>
      <c r="B11259" t="s">
        <v>3221</v>
      </c>
      <c r="C11259">
        <v>4694</v>
      </c>
      <c r="D11259" t="s">
        <v>848</v>
      </c>
      <c r="E11259" t="s">
        <v>849</v>
      </c>
      <c r="F11259">
        <v>138.44</v>
      </c>
      <c r="G11259">
        <v>230405</v>
      </c>
      <c r="H11259">
        <v>4600</v>
      </c>
      <c r="I11259" t="s">
        <v>105</v>
      </c>
      <c r="J11259">
        <v>171.67</v>
      </c>
      <c r="K11259">
        <v>33.229999999999997</v>
      </c>
      <c r="L11259">
        <v>56568</v>
      </c>
      <c r="M11259" t="s">
        <v>268</v>
      </c>
      <c r="N11259" t="str">
        <f>"09895148    "</f>
        <v xml:space="preserve">09895148    </v>
      </c>
      <c r="O11259">
        <v>230411</v>
      </c>
    </row>
    <row r="11260" spans="1:15" x14ac:dyDescent="0.25">
      <c r="A11260" t="s">
        <v>16</v>
      </c>
      <c r="B11260" t="s">
        <v>3221</v>
      </c>
      <c r="C11260">
        <v>7641</v>
      </c>
      <c r="D11260" t="s">
        <v>848</v>
      </c>
      <c r="E11260" t="s">
        <v>849</v>
      </c>
      <c r="F11260">
        <v>138.44</v>
      </c>
      <c r="G11260">
        <v>230531</v>
      </c>
      <c r="H11260">
        <v>4600</v>
      </c>
      <c r="I11260" t="s">
        <v>105</v>
      </c>
      <c r="J11260">
        <v>171.67</v>
      </c>
      <c r="K11260">
        <v>33.229999999999997</v>
      </c>
      <c r="L11260">
        <v>56568</v>
      </c>
      <c r="M11260" t="s">
        <v>268</v>
      </c>
      <c r="N11260" t="str">
        <f>"10016639    "</f>
        <v xml:space="preserve">10016639    </v>
      </c>
      <c r="O11260">
        <v>230601</v>
      </c>
    </row>
    <row r="11261" spans="1:15" x14ac:dyDescent="0.25">
      <c r="A11261" t="s">
        <v>16</v>
      </c>
      <c r="B11261" t="s">
        <v>3221</v>
      </c>
      <c r="C11261">
        <v>11015</v>
      </c>
      <c r="D11261" t="s">
        <v>848</v>
      </c>
      <c r="E11261" t="s">
        <v>849</v>
      </c>
      <c r="F11261">
        <v>34.61</v>
      </c>
      <c r="G11261">
        <v>230823</v>
      </c>
      <c r="H11261">
        <v>4600</v>
      </c>
      <c r="I11261" t="s">
        <v>105</v>
      </c>
      <c r="J11261">
        <v>42.92</v>
      </c>
      <c r="K11261">
        <v>8.31</v>
      </c>
      <c r="L11261">
        <v>56568</v>
      </c>
      <c r="M11261" t="s">
        <v>268</v>
      </c>
      <c r="N11261" t="str">
        <f>"70096797    "</f>
        <v xml:space="preserve">70096797    </v>
      </c>
      <c r="O11261">
        <v>230828</v>
      </c>
    </row>
    <row r="11262" spans="1:15" x14ac:dyDescent="0.25">
      <c r="A11262" t="s">
        <v>16</v>
      </c>
      <c r="B11262" t="s">
        <v>3221</v>
      </c>
      <c r="C11262">
        <v>12686</v>
      </c>
      <c r="D11262" t="s">
        <v>848</v>
      </c>
      <c r="E11262" t="s">
        <v>849</v>
      </c>
      <c r="F11262">
        <v>138.44</v>
      </c>
      <c r="G11262">
        <v>230920</v>
      </c>
      <c r="H11262">
        <v>4600</v>
      </c>
      <c r="I11262" t="s">
        <v>105</v>
      </c>
      <c r="J11262">
        <v>171.67</v>
      </c>
      <c r="K11262">
        <v>33.229999999999997</v>
      </c>
      <c r="L11262">
        <v>56568</v>
      </c>
      <c r="M11262" t="s">
        <v>268</v>
      </c>
      <c r="N11262" t="str">
        <f>"70155587    "</f>
        <v xml:space="preserve">70155587    </v>
      </c>
      <c r="O11262">
        <v>230925</v>
      </c>
    </row>
    <row r="11263" spans="1:15" x14ac:dyDescent="0.25">
      <c r="A11263" t="s">
        <v>16</v>
      </c>
      <c r="B11263" t="s">
        <v>3221</v>
      </c>
      <c r="C11263">
        <v>15733</v>
      </c>
      <c r="D11263" t="s">
        <v>848</v>
      </c>
      <c r="E11263" t="s">
        <v>849</v>
      </c>
      <c r="F11263">
        <v>138.44</v>
      </c>
      <c r="G11263">
        <v>231115</v>
      </c>
      <c r="H11263">
        <v>4600</v>
      </c>
      <c r="I11263" t="s">
        <v>105</v>
      </c>
      <c r="J11263">
        <v>171.67</v>
      </c>
      <c r="K11263">
        <v>33.229999999999997</v>
      </c>
      <c r="L11263">
        <v>56568</v>
      </c>
      <c r="M11263" t="s">
        <v>268</v>
      </c>
      <c r="N11263" t="str">
        <f>"70277692    "</f>
        <v xml:space="preserve">70277692    </v>
      </c>
      <c r="O11263">
        <v>231116</v>
      </c>
    </row>
    <row r="11264" spans="1:15" x14ac:dyDescent="0.25">
      <c r="A11264" t="s">
        <v>16</v>
      </c>
      <c r="B11264" t="s">
        <v>3221</v>
      </c>
      <c r="C11264">
        <v>17780</v>
      </c>
      <c r="D11264" t="s">
        <v>848</v>
      </c>
      <c r="E11264" t="s">
        <v>849</v>
      </c>
      <c r="F11264">
        <v>138.44</v>
      </c>
      <c r="G11264">
        <v>231213</v>
      </c>
      <c r="H11264">
        <v>4600</v>
      </c>
      <c r="I11264" t="s">
        <v>105</v>
      </c>
      <c r="J11264">
        <v>171.67</v>
      </c>
      <c r="K11264">
        <v>33.229999999999997</v>
      </c>
      <c r="L11264">
        <v>56568</v>
      </c>
      <c r="M11264" t="s">
        <v>268</v>
      </c>
      <c r="N11264" t="str">
        <f>"70336536    "</f>
        <v xml:space="preserve">70336536    </v>
      </c>
      <c r="O11264">
        <v>231227</v>
      </c>
    </row>
    <row r="11265" spans="1:15" x14ac:dyDescent="0.25">
      <c r="A11265" t="s">
        <v>16</v>
      </c>
      <c r="B11265" t="s">
        <v>3221</v>
      </c>
      <c r="C11265">
        <v>18838</v>
      </c>
      <c r="D11265" t="s">
        <v>848</v>
      </c>
      <c r="E11265" t="s">
        <v>849</v>
      </c>
      <c r="F11265">
        <v>103.83</v>
      </c>
      <c r="G11265">
        <v>240104</v>
      </c>
      <c r="H11265">
        <v>4600</v>
      </c>
      <c r="I11265" t="s">
        <v>105</v>
      </c>
      <c r="J11265">
        <v>128.75</v>
      </c>
      <c r="K11265">
        <v>24.92</v>
      </c>
      <c r="L11265">
        <v>56568</v>
      </c>
      <c r="M11265" t="s">
        <v>268</v>
      </c>
      <c r="N11265" t="str">
        <f>"70364028    "</f>
        <v xml:space="preserve">70364028    </v>
      </c>
      <c r="O11265">
        <v>240108</v>
      </c>
    </row>
    <row r="11266" spans="1:15" x14ac:dyDescent="0.25">
      <c r="A11266" t="s">
        <v>16</v>
      </c>
      <c r="B11266" t="s">
        <v>3221</v>
      </c>
      <c r="C11266">
        <v>1043</v>
      </c>
      <c r="D11266" t="s">
        <v>848</v>
      </c>
      <c r="E11266" t="s">
        <v>849</v>
      </c>
      <c r="F11266">
        <v>8.1999999999999993</v>
      </c>
      <c r="G11266">
        <v>230202</v>
      </c>
      <c r="H11266">
        <v>4860</v>
      </c>
      <c r="I11266" t="s">
        <v>28</v>
      </c>
      <c r="J11266">
        <v>10.17</v>
      </c>
      <c r="K11266">
        <v>1.97</v>
      </c>
      <c r="L11266">
        <v>13841</v>
      </c>
      <c r="M11266" t="s">
        <v>47</v>
      </c>
      <c r="N11266" t="str">
        <f>"09759191    "</f>
        <v xml:space="preserve">09759191    </v>
      </c>
      <c r="O11266">
        <v>230202</v>
      </c>
    </row>
    <row r="11267" spans="1:15" x14ac:dyDescent="0.25">
      <c r="A11267" t="s">
        <v>16</v>
      </c>
      <c r="B11267" t="s">
        <v>3221</v>
      </c>
      <c r="C11267">
        <v>1176</v>
      </c>
      <c r="D11267" t="s">
        <v>848</v>
      </c>
      <c r="E11267" t="s">
        <v>849</v>
      </c>
      <c r="F11267">
        <v>78.64</v>
      </c>
      <c r="G11267">
        <v>230202</v>
      </c>
      <c r="H11267">
        <v>4860</v>
      </c>
      <c r="I11267" t="s">
        <v>28</v>
      </c>
      <c r="J11267">
        <v>97.51</v>
      </c>
      <c r="K11267">
        <v>18.87</v>
      </c>
      <c r="L11267">
        <v>69501</v>
      </c>
      <c r="M11267" t="s">
        <v>185</v>
      </c>
      <c r="N11267" t="str">
        <f>"09759273    "</f>
        <v xml:space="preserve">09759273    </v>
      </c>
      <c r="O11267">
        <v>230206</v>
      </c>
    </row>
    <row r="11268" spans="1:15" x14ac:dyDescent="0.25">
      <c r="A11268" t="s">
        <v>16</v>
      </c>
      <c r="B11268" t="s">
        <v>3221</v>
      </c>
      <c r="C11268">
        <v>2568</v>
      </c>
      <c r="D11268" t="s">
        <v>848</v>
      </c>
      <c r="E11268" t="s">
        <v>849</v>
      </c>
      <c r="F11268">
        <v>78.64</v>
      </c>
      <c r="G11268">
        <v>230301</v>
      </c>
      <c r="H11268">
        <v>4860</v>
      </c>
      <c r="I11268" t="s">
        <v>28</v>
      </c>
      <c r="J11268">
        <v>97.51</v>
      </c>
      <c r="K11268">
        <v>18.87</v>
      </c>
      <c r="L11268">
        <v>69501</v>
      </c>
      <c r="M11268" t="s">
        <v>185</v>
      </c>
      <c r="N11268" t="str">
        <f>"09815666    "</f>
        <v xml:space="preserve">09815666    </v>
      </c>
      <c r="O11268">
        <v>230302</v>
      </c>
    </row>
    <row r="11269" spans="1:15" x14ac:dyDescent="0.25">
      <c r="A11269" t="s">
        <v>16</v>
      </c>
      <c r="B11269" t="s">
        <v>3221</v>
      </c>
      <c r="C11269">
        <v>2771</v>
      </c>
      <c r="D11269" t="s">
        <v>848</v>
      </c>
      <c r="E11269" t="s">
        <v>849</v>
      </c>
      <c r="F11269">
        <v>8.1999999999999993</v>
      </c>
      <c r="G11269">
        <v>230301</v>
      </c>
      <c r="H11269">
        <v>4860</v>
      </c>
      <c r="I11269" t="s">
        <v>28</v>
      </c>
      <c r="J11269">
        <v>10.17</v>
      </c>
      <c r="K11269">
        <v>1.97</v>
      </c>
      <c r="L11269">
        <v>13841</v>
      </c>
      <c r="M11269" t="s">
        <v>47</v>
      </c>
      <c r="N11269" t="str">
        <f>"09815587    "</f>
        <v xml:space="preserve">09815587    </v>
      </c>
      <c r="O11269">
        <v>230307</v>
      </c>
    </row>
    <row r="11270" spans="1:15" x14ac:dyDescent="0.25">
      <c r="A11270" t="s">
        <v>16</v>
      </c>
      <c r="B11270" t="s">
        <v>3221</v>
      </c>
      <c r="C11270">
        <v>4867</v>
      </c>
      <c r="D11270" t="s">
        <v>848</v>
      </c>
      <c r="E11270" t="s">
        <v>849</v>
      </c>
      <c r="F11270">
        <v>10.25</v>
      </c>
      <c r="G11270">
        <v>230406</v>
      </c>
      <c r="H11270">
        <v>4860</v>
      </c>
      <c r="I11270" t="s">
        <v>28</v>
      </c>
      <c r="J11270">
        <v>12.71</v>
      </c>
      <c r="K11270">
        <v>2.46</v>
      </c>
      <c r="L11270">
        <v>13841</v>
      </c>
      <c r="M11270" t="s">
        <v>47</v>
      </c>
      <c r="N11270" t="str">
        <f>"09916351    "</f>
        <v xml:space="preserve">09916351    </v>
      </c>
      <c r="O11270">
        <v>230413</v>
      </c>
    </row>
    <row r="11271" spans="1:15" x14ac:dyDescent="0.25">
      <c r="A11271" t="s">
        <v>16</v>
      </c>
      <c r="B11271" t="s">
        <v>3221</v>
      </c>
      <c r="C11271">
        <v>4937</v>
      </c>
      <c r="D11271" t="s">
        <v>848</v>
      </c>
      <c r="E11271" t="s">
        <v>849</v>
      </c>
      <c r="F11271">
        <v>98.3</v>
      </c>
      <c r="G11271">
        <v>230406</v>
      </c>
      <c r="H11271">
        <v>4860</v>
      </c>
      <c r="I11271" t="s">
        <v>28</v>
      </c>
      <c r="J11271">
        <v>121.89</v>
      </c>
      <c r="K11271">
        <v>23.59</v>
      </c>
      <c r="L11271">
        <v>69501</v>
      </c>
      <c r="M11271" t="s">
        <v>185</v>
      </c>
      <c r="N11271" t="str">
        <f>"09916431    "</f>
        <v xml:space="preserve">09916431    </v>
      </c>
      <c r="O11271">
        <v>230414</v>
      </c>
    </row>
    <row r="11272" spans="1:15" x14ac:dyDescent="0.25">
      <c r="A11272" t="s">
        <v>16</v>
      </c>
      <c r="B11272" t="s">
        <v>3221</v>
      </c>
      <c r="C11272">
        <v>6136</v>
      </c>
      <c r="D11272" t="s">
        <v>848</v>
      </c>
      <c r="E11272" t="s">
        <v>849</v>
      </c>
      <c r="F11272">
        <v>8.1999999999999993</v>
      </c>
      <c r="G11272">
        <v>230504</v>
      </c>
      <c r="H11272">
        <v>4860</v>
      </c>
      <c r="I11272" t="s">
        <v>28</v>
      </c>
      <c r="J11272">
        <v>10.17</v>
      </c>
      <c r="K11272">
        <v>1.97</v>
      </c>
      <c r="L11272">
        <v>13841</v>
      </c>
      <c r="M11272" t="s">
        <v>47</v>
      </c>
      <c r="N11272" t="str">
        <f>"09976197    "</f>
        <v xml:space="preserve">09976197    </v>
      </c>
      <c r="O11272">
        <v>230508</v>
      </c>
    </row>
    <row r="11273" spans="1:15" x14ac:dyDescent="0.25">
      <c r="A11273" t="s">
        <v>16</v>
      </c>
      <c r="B11273" t="s">
        <v>3221</v>
      </c>
      <c r="C11273">
        <v>6340</v>
      </c>
      <c r="D11273" t="s">
        <v>848</v>
      </c>
      <c r="E11273" t="s">
        <v>849</v>
      </c>
      <c r="F11273">
        <v>78.64</v>
      </c>
      <c r="G11273">
        <v>230504</v>
      </c>
      <c r="H11273">
        <v>4860</v>
      </c>
      <c r="I11273" t="s">
        <v>28</v>
      </c>
      <c r="J11273">
        <v>97.51</v>
      </c>
      <c r="K11273">
        <v>18.87</v>
      </c>
      <c r="L11273">
        <v>69501</v>
      </c>
      <c r="M11273" t="s">
        <v>185</v>
      </c>
      <c r="N11273" t="str">
        <f>"09976277    "</f>
        <v xml:space="preserve">09976277    </v>
      </c>
      <c r="O11273">
        <v>230510</v>
      </c>
    </row>
    <row r="11274" spans="1:15" x14ac:dyDescent="0.25">
      <c r="A11274" t="s">
        <v>16</v>
      </c>
      <c r="B11274" t="s">
        <v>3221</v>
      </c>
      <c r="C11274">
        <v>7886</v>
      </c>
      <c r="D11274" t="s">
        <v>848</v>
      </c>
      <c r="E11274" t="s">
        <v>849</v>
      </c>
      <c r="F11274">
        <v>78.64</v>
      </c>
      <c r="G11274">
        <v>230601</v>
      </c>
      <c r="H11274">
        <v>4860</v>
      </c>
      <c r="I11274" t="s">
        <v>28</v>
      </c>
      <c r="J11274">
        <v>97.51</v>
      </c>
      <c r="K11274">
        <v>18.87</v>
      </c>
      <c r="L11274">
        <v>69501</v>
      </c>
      <c r="M11274" t="s">
        <v>185</v>
      </c>
      <c r="N11274" t="str">
        <f>"10038154    "</f>
        <v xml:space="preserve">10038154    </v>
      </c>
      <c r="O11274">
        <v>230605</v>
      </c>
    </row>
    <row r="11275" spans="1:15" x14ac:dyDescent="0.25">
      <c r="A11275" t="s">
        <v>16</v>
      </c>
      <c r="B11275" t="s">
        <v>3221</v>
      </c>
      <c r="C11275">
        <v>7990</v>
      </c>
      <c r="D11275" t="s">
        <v>848</v>
      </c>
      <c r="E11275" t="s">
        <v>849</v>
      </c>
      <c r="F11275">
        <v>8.1999999999999993</v>
      </c>
      <c r="G11275">
        <v>230601</v>
      </c>
      <c r="H11275">
        <v>4860</v>
      </c>
      <c r="I11275" t="s">
        <v>28</v>
      </c>
      <c r="J11275">
        <v>10.17</v>
      </c>
      <c r="K11275">
        <v>1.97</v>
      </c>
      <c r="L11275">
        <v>13841</v>
      </c>
      <c r="M11275" t="s">
        <v>47</v>
      </c>
      <c r="N11275" t="str">
        <f>"10038074    "</f>
        <v xml:space="preserve">10038074    </v>
      </c>
      <c r="O11275">
        <v>230606</v>
      </c>
    </row>
    <row r="11276" spans="1:15" x14ac:dyDescent="0.25">
      <c r="A11276" t="s">
        <v>16</v>
      </c>
      <c r="B11276" t="s">
        <v>3221</v>
      </c>
      <c r="C11276">
        <v>9449</v>
      </c>
      <c r="D11276" t="s">
        <v>848</v>
      </c>
      <c r="E11276" t="s">
        <v>849</v>
      </c>
      <c r="F11276">
        <v>41.42</v>
      </c>
      <c r="G11276">
        <v>230706</v>
      </c>
      <c r="H11276">
        <v>4860</v>
      </c>
      <c r="I11276" t="s">
        <v>28</v>
      </c>
      <c r="J11276">
        <v>51.36</v>
      </c>
      <c r="K11276">
        <v>9.94</v>
      </c>
      <c r="L11276">
        <v>69501</v>
      </c>
      <c r="M11276" t="s">
        <v>185</v>
      </c>
      <c r="N11276" t="str">
        <f>"10098410    "</f>
        <v xml:space="preserve">10098410    </v>
      </c>
      <c r="O11276">
        <v>230711</v>
      </c>
    </row>
    <row r="11277" spans="1:15" x14ac:dyDescent="0.25">
      <c r="A11277" t="s">
        <v>16</v>
      </c>
      <c r="B11277" t="s">
        <v>3221</v>
      </c>
      <c r="C11277">
        <v>9566</v>
      </c>
      <c r="D11277" t="s">
        <v>848</v>
      </c>
      <c r="E11277" t="s">
        <v>849</v>
      </c>
      <c r="F11277">
        <v>10.25</v>
      </c>
      <c r="G11277">
        <v>230706</v>
      </c>
      <c r="H11277">
        <v>4860</v>
      </c>
      <c r="I11277" t="s">
        <v>28</v>
      </c>
      <c r="J11277">
        <v>12.71</v>
      </c>
      <c r="K11277">
        <v>2.46</v>
      </c>
      <c r="L11277">
        <v>13841</v>
      </c>
      <c r="M11277" t="s">
        <v>47</v>
      </c>
      <c r="N11277" t="str">
        <f>"10098344    "</f>
        <v xml:space="preserve">10098344    </v>
      </c>
      <c r="O11277">
        <v>230717</v>
      </c>
    </row>
    <row r="11278" spans="1:15" x14ac:dyDescent="0.25">
      <c r="A11278" t="s">
        <v>16</v>
      </c>
      <c r="B11278" t="s">
        <v>3221</v>
      </c>
      <c r="C11278">
        <v>10038</v>
      </c>
      <c r="D11278" t="s">
        <v>848</v>
      </c>
      <c r="E11278" t="s">
        <v>849</v>
      </c>
      <c r="F11278">
        <v>21.76</v>
      </c>
      <c r="G11278">
        <v>230803</v>
      </c>
      <c r="H11278">
        <v>4860</v>
      </c>
      <c r="I11278" t="s">
        <v>28</v>
      </c>
      <c r="J11278">
        <v>26.98</v>
      </c>
      <c r="K11278">
        <v>5.22</v>
      </c>
      <c r="L11278">
        <v>69501</v>
      </c>
      <c r="M11278" t="s">
        <v>185</v>
      </c>
      <c r="N11278" t="str">
        <f>"70060820    "</f>
        <v xml:space="preserve">70060820    </v>
      </c>
      <c r="O11278">
        <v>230807</v>
      </c>
    </row>
    <row r="11279" spans="1:15" x14ac:dyDescent="0.25">
      <c r="A11279" t="s">
        <v>16</v>
      </c>
      <c r="B11279" t="s">
        <v>3221</v>
      </c>
      <c r="C11279">
        <v>10040</v>
      </c>
      <c r="D11279" t="s">
        <v>848</v>
      </c>
      <c r="E11279" t="s">
        <v>849</v>
      </c>
      <c r="F11279">
        <v>8.1999999999999993</v>
      </c>
      <c r="G11279">
        <v>230803</v>
      </c>
      <c r="H11279">
        <v>4860</v>
      </c>
      <c r="I11279" t="s">
        <v>28</v>
      </c>
      <c r="J11279">
        <v>10.17</v>
      </c>
      <c r="K11279">
        <v>1.97</v>
      </c>
      <c r="L11279">
        <v>13841</v>
      </c>
      <c r="M11279" t="s">
        <v>47</v>
      </c>
      <c r="N11279" t="str">
        <f>"70060757    "</f>
        <v xml:space="preserve">70060757    </v>
      </c>
      <c r="O11279">
        <v>230807</v>
      </c>
    </row>
    <row r="11280" spans="1:15" x14ac:dyDescent="0.25">
      <c r="A11280" t="s">
        <v>16</v>
      </c>
      <c r="B11280" t="s">
        <v>3221</v>
      </c>
      <c r="C11280">
        <v>11622</v>
      </c>
      <c r="D11280" t="s">
        <v>848</v>
      </c>
      <c r="E11280" t="s">
        <v>849</v>
      </c>
      <c r="F11280">
        <v>105.41</v>
      </c>
      <c r="G11280">
        <v>230906</v>
      </c>
      <c r="H11280">
        <v>4860</v>
      </c>
      <c r="I11280" t="s">
        <v>28</v>
      </c>
      <c r="J11280">
        <v>130.71</v>
      </c>
      <c r="K11280">
        <v>25.3</v>
      </c>
      <c r="L11280">
        <v>69501</v>
      </c>
      <c r="M11280" t="s">
        <v>185</v>
      </c>
      <c r="N11280" t="str">
        <f>"70119577    "</f>
        <v xml:space="preserve">70119577    </v>
      </c>
      <c r="O11280">
        <v>230907</v>
      </c>
    </row>
    <row r="11281" spans="1:15" x14ac:dyDescent="0.25">
      <c r="A11281" t="s">
        <v>16</v>
      </c>
      <c r="B11281" t="s">
        <v>3221</v>
      </c>
      <c r="C11281">
        <v>11834</v>
      </c>
      <c r="D11281" t="s">
        <v>848</v>
      </c>
      <c r="E11281" t="s">
        <v>849</v>
      </c>
      <c r="F11281">
        <v>10.25</v>
      </c>
      <c r="G11281">
        <v>230906</v>
      </c>
      <c r="H11281">
        <v>4860</v>
      </c>
      <c r="I11281" t="s">
        <v>28</v>
      </c>
      <c r="J11281">
        <v>12.71</v>
      </c>
      <c r="K11281">
        <v>2.46</v>
      </c>
      <c r="L11281">
        <v>13841</v>
      </c>
      <c r="M11281" t="s">
        <v>47</v>
      </c>
      <c r="N11281" t="str">
        <f>"70119510    "</f>
        <v xml:space="preserve">70119510    </v>
      </c>
      <c r="O11281">
        <v>230911</v>
      </c>
    </row>
    <row r="11282" spans="1:15" x14ac:dyDescent="0.25">
      <c r="A11282" t="s">
        <v>16</v>
      </c>
      <c r="B11282" t="s">
        <v>3221</v>
      </c>
      <c r="C11282">
        <v>13328</v>
      </c>
      <c r="D11282" t="s">
        <v>848</v>
      </c>
      <c r="E11282" t="s">
        <v>849</v>
      </c>
      <c r="F11282">
        <v>88.12</v>
      </c>
      <c r="G11282">
        <v>231005</v>
      </c>
      <c r="H11282">
        <v>4860</v>
      </c>
      <c r="I11282" t="s">
        <v>28</v>
      </c>
      <c r="J11282">
        <v>109.27</v>
      </c>
      <c r="K11282">
        <v>21.15</v>
      </c>
      <c r="L11282">
        <v>69501</v>
      </c>
      <c r="M11282" t="s">
        <v>185</v>
      </c>
      <c r="N11282" t="str">
        <f>"70178472    "</f>
        <v xml:space="preserve">70178472    </v>
      </c>
      <c r="O11282">
        <v>231009</v>
      </c>
    </row>
    <row r="11283" spans="1:15" x14ac:dyDescent="0.25">
      <c r="A11283" t="s">
        <v>16</v>
      </c>
      <c r="B11283" t="s">
        <v>3221</v>
      </c>
      <c r="C11283">
        <v>13922</v>
      </c>
      <c r="D11283" t="s">
        <v>848</v>
      </c>
      <c r="E11283" t="s">
        <v>849</v>
      </c>
      <c r="F11283">
        <v>8.1999999999999993</v>
      </c>
      <c r="G11283">
        <v>231005</v>
      </c>
      <c r="H11283">
        <v>4860</v>
      </c>
      <c r="I11283" t="s">
        <v>28</v>
      </c>
      <c r="J11283">
        <v>10.17</v>
      </c>
      <c r="K11283">
        <v>1.97</v>
      </c>
      <c r="L11283">
        <v>13841</v>
      </c>
      <c r="M11283" t="s">
        <v>47</v>
      </c>
      <c r="N11283" t="str">
        <f>"70178403    "</f>
        <v xml:space="preserve">70178403    </v>
      </c>
      <c r="O11283">
        <v>231016</v>
      </c>
    </row>
    <row r="11284" spans="1:15" x14ac:dyDescent="0.25">
      <c r="A11284" t="s">
        <v>16</v>
      </c>
      <c r="B11284" t="s">
        <v>3221</v>
      </c>
      <c r="C11284">
        <v>14942</v>
      </c>
      <c r="D11284" t="s">
        <v>848</v>
      </c>
      <c r="E11284" t="s">
        <v>849</v>
      </c>
      <c r="F11284">
        <v>3.72</v>
      </c>
      <c r="G11284">
        <v>231101</v>
      </c>
      <c r="H11284">
        <v>4860</v>
      </c>
      <c r="I11284" t="s">
        <v>28</v>
      </c>
      <c r="J11284">
        <v>4.6100000000000003</v>
      </c>
      <c r="K11284">
        <v>0.89</v>
      </c>
      <c r="L11284">
        <v>13641</v>
      </c>
      <c r="M11284" t="s">
        <v>1471</v>
      </c>
      <c r="N11284" t="str">
        <f>"70240021    "</f>
        <v xml:space="preserve">70240021    </v>
      </c>
      <c r="O11284">
        <v>231107</v>
      </c>
    </row>
    <row r="11285" spans="1:15" x14ac:dyDescent="0.25">
      <c r="A11285" t="s">
        <v>16</v>
      </c>
      <c r="B11285" t="s">
        <v>3221</v>
      </c>
      <c r="C11285">
        <v>14949</v>
      </c>
      <c r="D11285" t="s">
        <v>848</v>
      </c>
      <c r="E11285" t="s">
        <v>849</v>
      </c>
      <c r="F11285">
        <v>8.1999999999999993</v>
      </c>
      <c r="G11285">
        <v>231101</v>
      </c>
      <c r="H11285">
        <v>4860</v>
      </c>
      <c r="I11285" t="s">
        <v>28</v>
      </c>
      <c r="J11285">
        <v>10.17</v>
      </c>
      <c r="K11285">
        <v>1.97</v>
      </c>
      <c r="L11285">
        <v>13841</v>
      </c>
      <c r="M11285" t="s">
        <v>47</v>
      </c>
      <c r="N11285" t="str">
        <f>"70240981    "</f>
        <v xml:space="preserve">70240981    </v>
      </c>
      <c r="O11285">
        <v>231107</v>
      </c>
    </row>
    <row r="11286" spans="1:15" x14ac:dyDescent="0.25">
      <c r="A11286" t="s">
        <v>16</v>
      </c>
      <c r="B11286" t="s">
        <v>3221</v>
      </c>
      <c r="C11286">
        <v>15118</v>
      </c>
      <c r="D11286" t="s">
        <v>848</v>
      </c>
      <c r="E11286" t="s">
        <v>849</v>
      </c>
      <c r="F11286">
        <v>88.12</v>
      </c>
      <c r="G11286">
        <v>231101</v>
      </c>
      <c r="H11286">
        <v>4860</v>
      </c>
      <c r="I11286" t="s">
        <v>28</v>
      </c>
      <c r="J11286">
        <v>109.27</v>
      </c>
      <c r="K11286">
        <v>21.15</v>
      </c>
      <c r="L11286">
        <v>69501</v>
      </c>
      <c r="M11286" t="s">
        <v>185</v>
      </c>
      <c r="N11286" t="str">
        <f>"70241048    "</f>
        <v xml:space="preserve">70241048    </v>
      </c>
      <c r="O11286">
        <v>231108</v>
      </c>
    </row>
    <row r="11287" spans="1:15" x14ac:dyDescent="0.25">
      <c r="A11287" t="s">
        <v>16</v>
      </c>
      <c r="B11287" t="s">
        <v>3221</v>
      </c>
      <c r="C11287">
        <v>17481</v>
      </c>
      <c r="D11287" t="s">
        <v>848</v>
      </c>
      <c r="E11287" t="s">
        <v>849</v>
      </c>
      <c r="F11287">
        <v>10.25</v>
      </c>
      <c r="G11287">
        <v>231208</v>
      </c>
      <c r="H11287">
        <v>4860</v>
      </c>
      <c r="I11287" t="s">
        <v>28</v>
      </c>
      <c r="J11287">
        <v>12.71</v>
      </c>
      <c r="K11287">
        <v>2.46</v>
      </c>
      <c r="L11287">
        <v>13841</v>
      </c>
      <c r="M11287" t="s">
        <v>47</v>
      </c>
      <c r="N11287" t="str">
        <f>"70315504    "</f>
        <v xml:space="preserve">70315504    </v>
      </c>
      <c r="O11287">
        <v>231214</v>
      </c>
    </row>
    <row r="11288" spans="1:15" x14ac:dyDescent="0.25">
      <c r="A11288" t="s">
        <v>16</v>
      </c>
      <c r="B11288" t="s">
        <v>3221</v>
      </c>
      <c r="C11288">
        <v>17523</v>
      </c>
      <c r="D11288" t="s">
        <v>848</v>
      </c>
      <c r="E11288" t="s">
        <v>849</v>
      </c>
      <c r="F11288">
        <v>110.15</v>
      </c>
      <c r="G11288">
        <v>231208</v>
      </c>
      <c r="H11288">
        <v>4860</v>
      </c>
      <c r="I11288" t="s">
        <v>28</v>
      </c>
      <c r="J11288">
        <v>136.59</v>
      </c>
      <c r="K11288">
        <v>26.44</v>
      </c>
      <c r="L11288">
        <v>69501</v>
      </c>
      <c r="M11288" t="s">
        <v>185</v>
      </c>
      <c r="N11288" t="str">
        <f>"70315571    "</f>
        <v xml:space="preserve">70315571    </v>
      </c>
      <c r="O11288">
        <v>231215</v>
      </c>
    </row>
    <row r="11289" spans="1:15" x14ac:dyDescent="0.25">
      <c r="A11289" t="s">
        <v>16</v>
      </c>
      <c r="B11289" t="s">
        <v>3221</v>
      </c>
      <c r="C11289">
        <v>18763</v>
      </c>
      <c r="D11289" t="s">
        <v>848</v>
      </c>
      <c r="E11289" t="s">
        <v>849</v>
      </c>
      <c r="F11289">
        <v>88.12</v>
      </c>
      <c r="G11289">
        <v>240104</v>
      </c>
      <c r="H11289">
        <v>4860</v>
      </c>
      <c r="I11289" t="s">
        <v>28</v>
      </c>
      <c r="J11289">
        <v>109.27</v>
      </c>
      <c r="K11289">
        <v>21.15</v>
      </c>
      <c r="L11289">
        <v>69501</v>
      </c>
      <c r="M11289" t="s">
        <v>185</v>
      </c>
      <c r="N11289" t="str">
        <f>"70386684    "</f>
        <v xml:space="preserve">70386684    </v>
      </c>
      <c r="O11289">
        <v>240105</v>
      </c>
    </row>
    <row r="11290" spans="1:15" x14ac:dyDescent="0.25">
      <c r="A11290" t="s">
        <v>16</v>
      </c>
      <c r="B11290" t="s">
        <v>3221</v>
      </c>
      <c r="C11290">
        <v>18896</v>
      </c>
      <c r="D11290" t="s">
        <v>848</v>
      </c>
      <c r="E11290" t="s">
        <v>849</v>
      </c>
      <c r="F11290">
        <v>8.1999999999999993</v>
      </c>
      <c r="G11290">
        <v>240104</v>
      </c>
      <c r="H11290">
        <v>4860</v>
      </c>
      <c r="I11290" t="s">
        <v>28</v>
      </c>
      <c r="J11290">
        <v>10.17</v>
      </c>
      <c r="K11290">
        <v>1.97</v>
      </c>
      <c r="L11290">
        <v>13841</v>
      </c>
      <c r="M11290" t="s">
        <v>47</v>
      </c>
      <c r="N11290" t="str">
        <f>"70386618    "</f>
        <v xml:space="preserve">70386618    </v>
      </c>
      <c r="O11290">
        <v>240108</v>
      </c>
    </row>
    <row r="11291" spans="1:15" x14ac:dyDescent="0.25">
      <c r="A11291" t="s">
        <v>16</v>
      </c>
      <c r="B11291" t="s">
        <v>3221</v>
      </c>
      <c r="C11291">
        <v>1060</v>
      </c>
      <c r="D11291" t="s">
        <v>848</v>
      </c>
      <c r="E11291" t="s">
        <v>849</v>
      </c>
      <c r="F11291">
        <v>40.18</v>
      </c>
      <c r="G11291">
        <v>230201</v>
      </c>
      <c r="H11291">
        <v>4380</v>
      </c>
      <c r="I11291" t="s">
        <v>113</v>
      </c>
      <c r="J11291">
        <v>49.82</v>
      </c>
      <c r="K11291">
        <v>9.64</v>
      </c>
      <c r="L11291">
        <v>46554</v>
      </c>
      <c r="M11291" t="s">
        <v>117</v>
      </c>
      <c r="N11291" t="str">
        <f>"09752464    "</f>
        <v xml:space="preserve">09752464    </v>
      </c>
      <c r="O11291">
        <v>230202</v>
      </c>
    </row>
    <row r="11292" spans="1:15" x14ac:dyDescent="0.25">
      <c r="A11292" t="s">
        <v>16</v>
      </c>
      <c r="B11292" t="s">
        <v>3221</v>
      </c>
      <c r="C11292">
        <v>1062</v>
      </c>
      <c r="D11292" t="s">
        <v>848</v>
      </c>
      <c r="E11292" t="s">
        <v>849</v>
      </c>
      <c r="F11292">
        <v>97.6</v>
      </c>
      <c r="G11292">
        <v>230201</v>
      </c>
      <c r="H11292">
        <v>4380</v>
      </c>
      <c r="I11292" t="s">
        <v>113</v>
      </c>
      <c r="J11292">
        <v>121.02</v>
      </c>
      <c r="K11292">
        <v>23.42</v>
      </c>
      <c r="L11292">
        <v>47522</v>
      </c>
      <c r="M11292" t="s">
        <v>410</v>
      </c>
      <c r="N11292" t="str">
        <f>"09751511    "</f>
        <v xml:space="preserve">09751511    </v>
      </c>
      <c r="O11292">
        <v>230202</v>
      </c>
    </row>
    <row r="11293" spans="1:15" x14ac:dyDescent="0.25">
      <c r="A11293" t="s">
        <v>16</v>
      </c>
      <c r="B11293" t="s">
        <v>3221</v>
      </c>
      <c r="C11293">
        <v>1063</v>
      </c>
      <c r="D11293" t="s">
        <v>848</v>
      </c>
      <c r="E11293" t="s">
        <v>849</v>
      </c>
      <c r="F11293">
        <v>55.68</v>
      </c>
      <c r="G11293">
        <v>230201</v>
      </c>
      <c r="H11293">
        <v>4380</v>
      </c>
      <c r="I11293" t="s">
        <v>113</v>
      </c>
      <c r="J11293">
        <v>69.040000000000006</v>
      </c>
      <c r="K11293">
        <v>13.36</v>
      </c>
      <c r="L11293">
        <v>47522</v>
      </c>
      <c r="M11293" t="s">
        <v>410</v>
      </c>
      <c r="N11293" t="str">
        <f>"09751510    "</f>
        <v xml:space="preserve">09751510    </v>
      </c>
      <c r="O11293">
        <v>230202</v>
      </c>
    </row>
    <row r="11294" spans="1:15" x14ac:dyDescent="0.25">
      <c r="A11294" t="s">
        <v>16</v>
      </c>
      <c r="B11294" t="s">
        <v>3221</v>
      </c>
      <c r="C11294">
        <v>1171</v>
      </c>
      <c r="D11294" t="s">
        <v>848</v>
      </c>
      <c r="E11294" t="s">
        <v>849</v>
      </c>
      <c r="F11294">
        <v>137.88</v>
      </c>
      <c r="G11294">
        <v>230202</v>
      </c>
      <c r="H11294">
        <v>4380</v>
      </c>
      <c r="I11294" t="s">
        <v>113</v>
      </c>
      <c r="J11294">
        <v>170.97</v>
      </c>
      <c r="K11294">
        <v>33.090000000000003</v>
      </c>
      <c r="L11294">
        <v>59501</v>
      </c>
      <c r="M11294" t="s">
        <v>69</v>
      </c>
      <c r="N11294" t="str">
        <f>"09758336    "</f>
        <v xml:space="preserve">09758336    </v>
      </c>
      <c r="O11294">
        <v>230206</v>
      </c>
    </row>
    <row r="11295" spans="1:15" x14ac:dyDescent="0.25">
      <c r="A11295" t="s">
        <v>16</v>
      </c>
      <c r="B11295" t="s">
        <v>3221</v>
      </c>
      <c r="C11295">
        <v>1172</v>
      </c>
      <c r="D11295" t="s">
        <v>848</v>
      </c>
      <c r="E11295" t="s">
        <v>849</v>
      </c>
      <c r="F11295">
        <v>32.24</v>
      </c>
      <c r="G11295">
        <v>230202</v>
      </c>
      <c r="H11295">
        <v>4380</v>
      </c>
      <c r="I11295" t="s">
        <v>113</v>
      </c>
      <c r="J11295">
        <v>39.979999999999997</v>
      </c>
      <c r="K11295">
        <v>7.74</v>
      </c>
      <c r="L11295">
        <v>59505</v>
      </c>
      <c r="M11295" t="s">
        <v>72</v>
      </c>
      <c r="N11295" t="str">
        <f>"09758334    "</f>
        <v xml:space="preserve">09758334    </v>
      </c>
      <c r="O11295">
        <v>230206</v>
      </c>
    </row>
    <row r="11296" spans="1:15" x14ac:dyDescent="0.25">
      <c r="A11296" t="s">
        <v>16</v>
      </c>
      <c r="B11296" t="s">
        <v>3221</v>
      </c>
      <c r="C11296">
        <v>1175</v>
      </c>
      <c r="D11296" t="s">
        <v>848</v>
      </c>
      <c r="E11296" t="s">
        <v>849</v>
      </c>
      <c r="F11296">
        <v>71.33</v>
      </c>
      <c r="G11296">
        <v>230202</v>
      </c>
      <c r="H11296">
        <v>4380</v>
      </c>
      <c r="I11296" t="s">
        <v>113</v>
      </c>
      <c r="J11296">
        <v>88.45</v>
      </c>
      <c r="K11296">
        <v>17.12</v>
      </c>
      <c r="L11296">
        <v>49501</v>
      </c>
      <c r="M11296" t="s">
        <v>177</v>
      </c>
      <c r="N11296" t="str">
        <f>"09758340    "</f>
        <v xml:space="preserve">09758340    </v>
      </c>
      <c r="O11296">
        <v>230206</v>
      </c>
    </row>
    <row r="11297" spans="1:15" x14ac:dyDescent="0.25">
      <c r="A11297" t="s">
        <v>16</v>
      </c>
      <c r="B11297" t="s">
        <v>3221</v>
      </c>
      <c r="C11297">
        <v>1175</v>
      </c>
      <c r="D11297" t="s">
        <v>848</v>
      </c>
      <c r="E11297" t="s">
        <v>849</v>
      </c>
      <c r="F11297">
        <v>19.39</v>
      </c>
      <c r="G11297">
        <v>230202</v>
      </c>
      <c r="H11297">
        <v>4380</v>
      </c>
      <c r="I11297" t="s">
        <v>113</v>
      </c>
      <c r="J11297">
        <v>24.04</v>
      </c>
      <c r="K11297">
        <v>4.6500000000000004</v>
      </c>
      <c r="L11297">
        <v>49503</v>
      </c>
      <c r="M11297" t="s">
        <v>178</v>
      </c>
      <c r="N11297" t="str">
        <f>"09758340    "</f>
        <v xml:space="preserve">09758340    </v>
      </c>
      <c r="O11297">
        <v>230206</v>
      </c>
    </row>
    <row r="11298" spans="1:15" x14ac:dyDescent="0.25">
      <c r="A11298" t="s">
        <v>16</v>
      </c>
      <c r="B11298" t="s">
        <v>3221</v>
      </c>
      <c r="C11298">
        <v>1185</v>
      </c>
      <c r="D11298" t="s">
        <v>848</v>
      </c>
      <c r="E11298" t="s">
        <v>849</v>
      </c>
      <c r="F11298">
        <v>39.26</v>
      </c>
      <c r="G11298">
        <v>230202</v>
      </c>
      <c r="H11298">
        <v>4380</v>
      </c>
      <c r="I11298" t="s">
        <v>113</v>
      </c>
      <c r="J11298">
        <v>48.68</v>
      </c>
      <c r="K11298">
        <v>9.42</v>
      </c>
      <c r="L11298">
        <v>59502</v>
      </c>
      <c r="M11298" t="s">
        <v>70</v>
      </c>
      <c r="N11298" t="str">
        <f>"09758335    "</f>
        <v xml:space="preserve">09758335    </v>
      </c>
      <c r="O11298">
        <v>230206</v>
      </c>
    </row>
    <row r="11299" spans="1:15" x14ac:dyDescent="0.25">
      <c r="A11299" t="s">
        <v>16</v>
      </c>
      <c r="B11299" t="s">
        <v>3221</v>
      </c>
      <c r="C11299">
        <v>1185</v>
      </c>
      <c r="D11299" t="s">
        <v>848</v>
      </c>
      <c r="E11299" t="s">
        <v>849</v>
      </c>
      <c r="F11299">
        <v>25.1</v>
      </c>
      <c r="G11299">
        <v>230202</v>
      </c>
      <c r="H11299">
        <v>4380</v>
      </c>
      <c r="I11299" t="s">
        <v>113</v>
      </c>
      <c r="J11299">
        <v>31.13</v>
      </c>
      <c r="K11299">
        <v>6.03</v>
      </c>
      <c r="L11299">
        <v>59802</v>
      </c>
      <c r="M11299" t="s">
        <v>73</v>
      </c>
      <c r="N11299" t="str">
        <f>"09758335    "</f>
        <v xml:space="preserve">09758335    </v>
      </c>
      <c r="O11299">
        <v>230206</v>
      </c>
    </row>
    <row r="11300" spans="1:15" x14ac:dyDescent="0.25">
      <c r="A11300" t="s">
        <v>16</v>
      </c>
      <c r="B11300" t="s">
        <v>3221</v>
      </c>
      <c r="C11300">
        <v>1186</v>
      </c>
      <c r="D11300" t="s">
        <v>848</v>
      </c>
      <c r="E11300" t="s">
        <v>849</v>
      </c>
      <c r="F11300">
        <v>3.72</v>
      </c>
      <c r="G11300">
        <v>230202</v>
      </c>
      <c r="H11300">
        <v>4380</v>
      </c>
      <c r="I11300" t="s">
        <v>113</v>
      </c>
      <c r="J11300">
        <v>4.6100000000000003</v>
      </c>
      <c r="K11300">
        <v>0.89</v>
      </c>
      <c r="L11300">
        <v>17955</v>
      </c>
      <c r="M11300" t="s">
        <v>933</v>
      </c>
      <c r="N11300" t="str">
        <f>"09758110    "</f>
        <v xml:space="preserve">09758110    </v>
      </c>
      <c r="O11300">
        <v>230206</v>
      </c>
    </row>
    <row r="11301" spans="1:15" x14ac:dyDescent="0.25">
      <c r="A11301" t="s">
        <v>16</v>
      </c>
      <c r="B11301" t="s">
        <v>3221</v>
      </c>
      <c r="C11301">
        <v>1187</v>
      </c>
      <c r="D11301" t="s">
        <v>848</v>
      </c>
      <c r="E11301" t="s">
        <v>849</v>
      </c>
      <c r="F11301">
        <v>23.72</v>
      </c>
      <c r="G11301">
        <v>230202</v>
      </c>
      <c r="H11301">
        <v>4380</v>
      </c>
      <c r="I11301" t="s">
        <v>113</v>
      </c>
      <c r="J11301">
        <v>29.41</v>
      </c>
      <c r="K11301">
        <v>5.69</v>
      </c>
      <c r="L11301">
        <v>59504</v>
      </c>
      <c r="M11301" t="s">
        <v>71</v>
      </c>
      <c r="N11301" t="str">
        <f>"09758333    "</f>
        <v xml:space="preserve">09758333    </v>
      </c>
      <c r="O11301">
        <v>230206</v>
      </c>
    </row>
    <row r="11302" spans="1:15" x14ac:dyDescent="0.25">
      <c r="A11302" t="s">
        <v>16</v>
      </c>
      <c r="B11302" t="s">
        <v>3221</v>
      </c>
      <c r="C11302">
        <v>1223</v>
      </c>
      <c r="D11302" t="s">
        <v>848</v>
      </c>
      <c r="E11302" t="s">
        <v>849</v>
      </c>
      <c r="F11302">
        <v>20.45</v>
      </c>
      <c r="G11302">
        <v>230202</v>
      </c>
      <c r="H11302">
        <v>4380</v>
      </c>
      <c r="I11302" t="s">
        <v>113</v>
      </c>
      <c r="J11302">
        <v>25.36</v>
      </c>
      <c r="K11302">
        <v>4.91</v>
      </c>
      <c r="L11302">
        <v>17951</v>
      </c>
      <c r="M11302" t="s">
        <v>87</v>
      </c>
      <c r="N11302" t="str">
        <f>"09756921    "</f>
        <v xml:space="preserve">09756921    </v>
      </c>
      <c r="O11302">
        <v>230206</v>
      </c>
    </row>
    <row r="11303" spans="1:15" x14ac:dyDescent="0.25">
      <c r="A11303" t="s">
        <v>16</v>
      </c>
      <c r="B11303" t="s">
        <v>3221</v>
      </c>
      <c r="C11303">
        <v>1225</v>
      </c>
      <c r="D11303" t="s">
        <v>848</v>
      </c>
      <c r="E11303" t="s">
        <v>849</v>
      </c>
      <c r="F11303">
        <v>20.45</v>
      </c>
      <c r="G11303">
        <v>230202</v>
      </c>
      <c r="H11303">
        <v>4380</v>
      </c>
      <c r="I11303" t="s">
        <v>113</v>
      </c>
      <c r="J11303">
        <v>25.36</v>
      </c>
      <c r="K11303">
        <v>4.91</v>
      </c>
      <c r="L11303">
        <v>17951</v>
      </c>
      <c r="M11303" t="s">
        <v>87</v>
      </c>
      <c r="N11303" t="str">
        <f>"09756922    "</f>
        <v xml:space="preserve">09756922    </v>
      </c>
      <c r="O11303">
        <v>230206</v>
      </c>
    </row>
    <row r="11304" spans="1:15" x14ac:dyDescent="0.25">
      <c r="A11304" t="s">
        <v>16</v>
      </c>
      <c r="B11304" t="s">
        <v>3221</v>
      </c>
      <c r="C11304">
        <v>1226</v>
      </c>
      <c r="D11304" t="s">
        <v>848</v>
      </c>
      <c r="E11304" t="s">
        <v>849</v>
      </c>
      <c r="F11304">
        <v>26</v>
      </c>
      <c r="G11304">
        <v>230202</v>
      </c>
      <c r="H11304">
        <v>4380</v>
      </c>
      <c r="I11304" t="s">
        <v>113</v>
      </c>
      <c r="J11304">
        <v>32.24</v>
      </c>
      <c r="K11304">
        <v>6.24</v>
      </c>
      <c r="L11304">
        <v>59504</v>
      </c>
      <c r="M11304" t="s">
        <v>71</v>
      </c>
      <c r="N11304" t="str">
        <f>"09756925    "</f>
        <v xml:space="preserve">09756925    </v>
      </c>
      <c r="O11304">
        <v>230206</v>
      </c>
    </row>
    <row r="11305" spans="1:15" x14ac:dyDescent="0.25">
      <c r="A11305" t="s">
        <v>16</v>
      </c>
      <c r="B11305" t="s">
        <v>3221</v>
      </c>
      <c r="C11305">
        <v>1227</v>
      </c>
      <c r="D11305" t="s">
        <v>848</v>
      </c>
      <c r="E11305" t="s">
        <v>849</v>
      </c>
      <c r="F11305">
        <v>489.2</v>
      </c>
      <c r="G11305">
        <v>230202</v>
      </c>
      <c r="H11305">
        <v>4380</v>
      </c>
      <c r="I11305" t="s">
        <v>113</v>
      </c>
      <c r="J11305">
        <v>606.61</v>
      </c>
      <c r="K11305">
        <v>117.41</v>
      </c>
      <c r="L11305">
        <v>59501</v>
      </c>
      <c r="M11305" t="s">
        <v>69</v>
      </c>
      <c r="N11305" t="str">
        <f>"09756912    "</f>
        <v xml:space="preserve">09756912    </v>
      </c>
      <c r="O11305">
        <v>230206</v>
      </c>
    </row>
    <row r="11306" spans="1:15" x14ac:dyDescent="0.25">
      <c r="A11306" t="s">
        <v>16</v>
      </c>
      <c r="B11306" t="s">
        <v>3221</v>
      </c>
      <c r="C11306">
        <v>1228</v>
      </c>
      <c r="D11306" t="s">
        <v>848</v>
      </c>
      <c r="E11306" t="s">
        <v>849</v>
      </c>
      <c r="F11306">
        <v>6</v>
      </c>
      <c r="G11306">
        <v>230202</v>
      </c>
      <c r="H11306">
        <v>4380</v>
      </c>
      <c r="I11306" t="s">
        <v>113</v>
      </c>
      <c r="J11306">
        <v>7.44</v>
      </c>
      <c r="K11306">
        <v>1.44</v>
      </c>
      <c r="L11306">
        <v>49501</v>
      </c>
      <c r="M11306" t="s">
        <v>177</v>
      </c>
      <c r="N11306" t="str">
        <f>"09756917    "</f>
        <v xml:space="preserve">09756917    </v>
      </c>
      <c r="O11306">
        <v>230206</v>
      </c>
    </row>
    <row r="11307" spans="1:15" x14ac:dyDescent="0.25">
      <c r="A11307" t="s">
        <v>16</v>
      </c>
      <c r="B11307" t="s">
        <v>3221</v>
      </c>
      <c r="C11307">
        <v>1229</v>
      </c>
      <c r="D11307" t="s">
        <v>848</v>
      </c>
      <c r="E11307" t="s">
        <v>849</v>
      </c>
      <c r="F11307">
        <v>8.18</v>
      </c>
      <c r="G11307">
        <v>230202</v>
      </c>
      <c r="H11307">
        <v>4380</v>
      </c>
      <c r="I11307" t="s">
        <v>113</v>
      </c>
      <c r="J11307">
        <v>10.14</v>
      </c>
      <c r="K11307">
        <v>1.96</v>
      </c>
      <c r="L11307">
        <v>17951</v>
      </c>
      <c r="M11307" t="s">
        <v>87</v>
      </c>
      <c r="N11307" t="str">
        <f>"09756915    "</f>
        <v xml:space="preserve">09756915    </v>
      </c>
      <c r="O11307">
        <v>230206</v>
      </c>
    </row>
    <row r="11308" spans="1:15" x14ac:dyDescent="0.25">
      <c r="A11308" t="s">
        <v>16</v>
      </c>
      <c r="B11308" t="s">
        <v>3221</v>
      </c>
      <c r="C11308">
        <v>1239</v>
      </c>
      <c r="D11308" t="s">
        <v>848</v>
      </c>
      <c r="E11308" t="s">
        <v>849</v>
      </c>
      <c r="F11308">
        <v>18</v>
      </c>
      <c r="G11308">
        <v>230202</v>
      </c>
      <c r="H11308">
        <v>4380</v>
      </c>
      <c r="I11308" t="s">
        <v>113</v>
      </c>
      <c r="J11308">
        <v>22.32</v>
      </c>
      <c r="K11308">
        <v>4.32</v>
      </c>
      <c r="L11308">
        <v>49501</v>
      </c>
      <c r="M11308" t="s">
        <v>177</v>
      </c>
      <c r="N11308" t="str">
        <f>"09756924    "</f>
        <v xml:space="preserve">09756924    </v>
      </c>
      <c r="O11308">
        <v>230206</v>
      </c>
    </row>
    <row r="11309" spans="1:15" x14ac:dyDescent="0.25">
      <c r="A11309" t="s">
        <v>16</v>
      </c>
      <c r="B11309" t="s">
        <v>3221</v>
      </c>
      <c r="C11309">
        <v>1240</v>
      </c>
      <c r="D11309" t="s">
        <v>848</v>
      </c>
      <c r="E11309" t="s">
        <v>849</v>
      </c>
      <c r="F11309">
        <v>179.4</v>
      </c>
      <c r="G11309">
        <v>230202</v>
      </c>
      <c r="H11309">
        <v>4380</v>
      </c>
      <c r="I11309" t="s">
        <v>113</v>
      </c>
      <c r="J11309">
        <v>222.45</v>
      </c>
      <c r="K11309">
        <v>43.05</v>
      </c>
      <c r="L11309">
        <v>59502</v>
      </c>
      <c r="M11309" t="s">
        <v>70</v>
      </c>
      <c r="N11309" t="str">
        <f>"09756914    "</f>
        <v xml:space="preserve">09756914    </v>
      </c>
      <c r="O11309">
        <v>230206</v>
      </c>
    </row>
    <row r="11310" spans="1:15" x14ac:dyDescent="0.25">
      <c r="A11310" t="s">
        <v>16</v>
      </c>
      <c r="B11310" t="s">
        <v>3221</v>
      </c>
      <c r="C11310">
        <v>1240</v>
      </c>
      <c r="D11310" t="s">
        <v>848</v>
      </c>
      <c r="E11310" t="s">
        <v>849</v>
      </c>
      <c r="F11310">
        <v>333.15</v>
      </c>
      <c r="G11310">
        <v>230202</v>
      </c>
      <c r="H11310">
        <v>4380</v>
      </c>
      <c r="I11310" t="s">
        <v>113</v>
      </c>
      <c r="J11310">
        <v>413.11</v>
      </c>
      <c r="K11310">
        <v>79.959999999999994</v>
      </c>
      <c r="L11310">
        <v>59802</v>
      </c>
      <c r="M11310" t="s">
        <v>73</v>
      </c>
      <c r="N11310" t="str">
        <f>"09756914    "</f>
        <v xml:space="preserve">09756914    </v>
      </c>
      <c r="O11310">
        <v>230206</v>
      </c>
    </row>
    <row r="11311" spans="1:15" x14ac:dyDescent="0.25">
      <c r="A11311" t="s">
        <v>16</v>
      </c>
      <c r="B11311" t="s">
        <v>3221</v>
      </c>
      <c r="C11311">
        <v>1241</v>
      </c>
      <c r="D11311" t="s">
        <v>848</v>
      </c>
      <c r="E11311" t="s">
        <v>849</v>
      </c>
      <c r="F11311">
        <v>20.45</v>
      </c>
      <c r="G11311">
        <v>230202</v>
      </c>
      <c r="H11311">
        <v>4380</v>
      </c>
      <c r="I11311" t="s">
        <v>113</v>
      </c>
      <c r="J11311">
        <v>25.36</v>
      </c>
      <c r="K11311">
        <v>4.91</v>
      </c>
      <c r="L11311">
        <v>17951</v>
      </c>
      <c r="M11311" t="s">
        <v>87</v>
      </c>
      <c r="N11311" t="str">
        <f>"09756919    "</f>
        <v xml:space="preserve">09756919    </v>
      </c>
      <c r="O11311">
        <v>230206</v>
      </c>
    </row>
    <row r="11312" spans="1:15" x14ac:dyDescent="0.25">
      <c r="A11312" t="s">
        <v>16</v>
      </c>
      <c r="B11312" t="s">
        <v>3221</v>
      </c>
      <c r="C11312">
        <v>1270</v>
      </c>
      <c r="D11312" t="s">
        <v>848</v>
      </c>
      <c r="E11312" t="s">
        <v>849</v>
      </c>
      <c r="F11312">
        <v>23.16</v>
      </c>
      <c r="G11312">
        <v>230202</v>
      </c>
      <c r="H11312">
        <v>4380</v>
      </c>
      <c r="I11312" t="s">
        <v>113</v>
      </c>
      <c r="J11312">
        <v>28.72</v>
      </c>
      <c r="K11312">
        <v>5.56</v>
      </c>
      <c r="L11312">
        <v>17952</v>
      </c>
      <c r="M11312" t="s">
        <v>88</v>
      </c>
      <c r="N11312" t="str">
        <f>"09758860    "</f>
        <v xml:space="preserve">09758860    </v>
      </c>
      <c r="O11312">
        <v>230207</v>
      </c>
    </row>
    <row r="11313" spans="1:15" x14ac:dyDescent="0.25">
      <c r="A11313" t="s">
        <v>16</v>
      </c>
      <c r="B11313" t="s">
        <v>3221</v>
      </c>
      <c r="C11313">
        <v>1310</v>
      </c>
      <c r="D11313" t="s">
        <v>848</v>
      </c>
      <c r="E11313" t="s">
        <v>849</v>
      </c>
      <c r="F11313">
        <v>156.44999999999999</v>
      </c>
      <c r="G11313">
        <v>230202</v>
      </c>
      <c r="H11313">
        <v>4380</v>
      </c>
      <c r="I11313" t="s">
        <v>113</v>
      </c>
      <c r="J11313">
        <v>194</v>
      </c>
      <c r="K11313">
        <v>37.549999999999997</v>
      </c>
      <c r="L11313">
        <v>17951</v>
      </c>
      <c r="M11313" t="s">
        <v>87</v>
      </c>
      <c r="N11313" t="str">
        <f>"09756913    "</f>
        <v xml:space="preserve">09756913    </v>
      </c>
      <c r="O11313">
        <v>230207</v>
      </c>
    </row>
    <row r="11314" spans="1:15" x14ac:dyDescent="0.25">
      <c r="A11314" t="s">
        <v>16</v>
      </c>
      <c r="B11314" t="s">
        <v>3221</v>
      </c>
      <c r="C11314">
        <v>1441</v>
      </c>
      <c r="D11314" t="s">
        <v>848</v>
      </c>
      <c r="E11314" t="s">
        <v>849</v>
      </c>
      <c r="F11314">
        <v>11.98</v>
      </c>
      <c r="G11314">
        <v>230202</v>
      </c>
      <c r="H11314">
        <v>4380</v>
      </c>
      <c r="I11314" t="s">
        <v>113</v>
      </c>
      <c r="J11314">
        <v>14.86</v>
      </c>
      <c r="K11314">
        <v>2.88</v>
      </c>
      <c r="L11314">
        <v>13540</v>
      </c>
      <c r="M11314" t="s">
        <v>85</v>
      </c>
      <c r="N11314" t="str">
        <f>"09758107    "</f>
        <v xml:space="preserve">09758107    </v>
      </c>
      <c r="O11314">
        <v>230208</v>
      </c>
    </row>
    <row r="11315" spans="1:15" x14ac:dyDescent="0.25">
      <c r="A11315" t="s">
        <v>16</v>
      </c>
      <c r="B11315" t="s">
        <v>3221</v>
      </c>
      <c r="C11315">
        <v>1441</v>
      </c>
      <c r="D11315" t="s">
        <v>848</v>
      </c>
      <c r="E11315" t="s">
        <v>849</v>
      </c>
      <c r="F11315">
        <v>96.98</v>
      </c>
      <c r="G11315">
        <v>230202</v>
      </c>
      <c r="H11315">
        <v>4380</v>
      </c>
      <c r="I11315" t="s">
        <v>113</v>
      </c>
      <c r="J11315">
        <v>120.25</v>
      </c>
      <c r="K11315">
        <v>23.27</v>
      </c>
      <c r="L11315">
        <v>17950</v>
      </c>
      <c r="M11315" t="s">
        <v>86</v>
      </c>
      <c r="N11315" t="str">
        <f>"09758107    "</f>
        <v xml:space="preserve">09758107    </v>
      </c>
      <c r="O11315">
        <v>230208</v>
      </c>
    </row>
    <row r="11316" spans="1:15" x14ac:dyDescent="0.25">
      <c r="A11316" t="s">
        <v>16</v>
      </c>
      <c r="B11316" t="s">
        <v>3221</v>
      </c>
      <c r="C11316">
        <v>1441</v>
      </c>
      <c r="D11316" t="s">
        <v>848</v>
      </c>
      <c r="E11316" t="s">
        <v>849</v>
      </c>
      <c r="F11316">
        <v>32.36</v>
      </c>
      <c r="G11316">
        <v>230202</v>
      </c>
      <c r="H11316">
        <v>4380</v>
      </c>
      <c r="I11316" t="s">
        <v>113</v>
      </c>
      <c r="J11316">
        <v>40.130000000000003</v>
      </c>
      <c r="K11316">
        <v>7.77</v>
      </c>
      <c r="L11316">
        <v>17956</v>
      </c>
      <c r="M11316" t="s">
        <v>53</v>
      </c>
      <c r="N11316" t="str">
        <f>"09758107    "</f>
        <v xml:space="preserve">09758107    </v>
      </c>
      <c r="O11316">
        <v>230208</v>
      </c>
    </row>
    <row r="11317" spans="1:15" x14ac:dyDescent="0.25">
      <c r="A11317" t="s">
        <v>16</v>
      </c>
      <c r="B11317" t="s">
        <v>3221</v>
      </c>
      <c r="C11317">
        <v>1577</v>
      </c>
      <c r="D11317" t="s">
        <v>848</v>
      </c>
      <c r="E11317" t="s">
        <v>849</v>
      </c>
      <c r="F11317">
        <v>68.510000000000005</v>
      </c>
      <c r="G11317">
        <v>230202</v>
      </c>
      <c r="H11317">
        <v>4380</v>
      </c>
      <c r="I11317" t="s">
        <v>113</v>
      </c>
      <c r="J11317">
        <v>84.95</v>
      </c>
      <c r="K11317">
        <v>16.440000000000001</v>
      </c>
      <c r="L11317">
        <v>13540</v>
      </c>
      <c r="M11317" t="s">
        <v>85</v>
      </c>
      <c r="N11317" t="str">
        <f>"09756918    "</f>
        <v xml:space="preserve">09756918    </v>
      </c>
      <c r="O11317">
        <v>230209</v>
      </c>
    </row>
    <row r="11318" spans="1:15" x14ac:dyDescent="0.25">
      <c r="A11318" t="s">
        <v>16</v>
      </c>
      <c r="B11318" t="s">
        <v>3221</v>
      </c>
      <c r="C11318">
        <v>1577</v>
      </c>
      <c r="D11318" t="s">
        <v>848</v>
      </c>
      <c r="E11318" t="s">
        <v>849</v>
      </c>
      <c r="F11318">
        <v>205.52</v>
      </c>
      <c r="G11318">
        <v>230202</v>
      </c>
      <c r="H11318">
        <v>4380</v>
      </c>
      <c r="I11318" t="s">
        <v>113</v>
      </c>
      <c r="J11318">
        <v>254.85</v>
      </c>
      <c r="K11318">
        <v>49.33</v>
      </c>
      <c r="L11318">
        <v>17950</v>
      </c>
      <c r="M11318" t="s">
        <v>86</v>
      </c>
      <c r="N11318" t="str">
        <f>"09756918    "</f>
        <v xml:space="preserve">09756918    </v>
      </c>
      <c r="O11318">
        <v>230209</v>
      </c>
    </row>
    <row r="11319" spans="1:15" x14ac:dyDescent="0.25">
      <c r="A11319" t="s">
        <v>16</v>
      </c>
      <c r="B11319" t="s">
        <v>3221</v>
      </c>
      <c r="C11319">
        <v>1578</v>
      </c>
      <c r="D11319" t="s">
        <v>848</v>
      </c>
      <c r="E11319" t="s">
        <v>849</v>
      </c>
      <c r="F11319">
        <v>77.709999999999994</v>
      </c>
      <c r="G11319">
        <v>230202</v>
      </c>
      <c r="H11319">
        <v>4380</v>
      </c>
      <c r="I11319" t="s">
        <v>113</v>
      </c>
      <c r="J11319">
        <v>96.36</v>
      </c>
      <c r="K11319">
        <v>18.649999999999999</v>
      </c>
      <c r="L11319">
        <v>17956</v>
      </c>
      <c r="M11319" t="s">
        <v>53</v>
      </c>
      <c r="N11319" t="str">
        <f>"09756923    "</f>
        <v xml:space="preserve">09756923    </v>
      </c>
      <c r="O11319">
        <v>230209</v>
      </c>
    </row>
    <row r="11320" spans="1:15" x14ac:dyDescent="0.25">
      <c r="A11320" t="s">
        <v>16</v>
      </c>
      <c r="B11320" t="s">
        <v>3221</v>
      </c>
      <c r="C11320">
        <v>1579</v>
      </c>
      <c r="D11320" t="s">
        <v>848</v>
      </c>
      <c r="E11320" t="s">
        <v>849</v>
      </c>
      <c r="F11320">
        <v>28.63</v>
      </c>
      <c r="G11320">
        <v>230202</v>
      </c>
      <c r="H11320">
        <v>4380</v>
      </c>
      <c r="I11320" t="s">
        <v>113</v>
      </c>
      <c r="J11320">
        <v>35.5</v>
      </c>
      <c r="K11320">
        <v>6.87</v>
      </c>
      <c r="L11320">
        <v>17956</v>
      </c>
      <c r="M11320" t="s">
        <v>53</v>
      </c>
      <c r="N11320" t="str">
        <f>"09756920    "</f>
        <v xml:space="preserve">09756920    </v>
      </c>
      <c r="O11320">
        <v>230209</v>
      </c>
    </row>
    <row r="11321" spans="1:15" x14ac:dyDescent="0.25">
      <c r="A11321" t="s">
        <v>16</v>
      </c>
      <c r="B11321" t="s">
        <v>3221</v>
      </c>
      <c r="C11321">
        <v>1660</v>
      </c>
      <c r="D11321" t="s">
        <v>848</v>
      </c>
      <c r="E11321" t="s">
        <v>849</v>
      </c>
      <c r="F11321">
        <v>68.44</v>
      </c>
      <c r="G11321">
        <v>230202</v>
      </c>
      <c r="H11321">
        <v>4380</v>
      </c>
      <c r="I11321" t="s">
        <v>113</v>
      </c>
      <c r="J11321">
        <v>84.86</v>
      </c>
      <c r="K11321">
        <v>16.420000000000002</v>
      </c>
      <c r="L11321">
        <v>14432</v>
      </c>
      <c r="M11321" t="s">
        <v>862</v>
      </c>
      <c r="N11321" t="str">
        <f>"09758338    "</f>
        <v xml:space="preserve">09758338    </v>
      </c>
      <c r="O11321">
        <v>230213</v>
      </c>
    </row>
    <row r="11322" spans="1:15" x14ac:dyDescent="0.25">
      <c r="A11322" t="s">
        <v>16</v>
      </c>
      <c r="B11322" t="s">
        <v>3221</v>
      </c>
      <c r="C11322">
        <v>1660</v>
      </c>
      <c r="D11322" t="s">
        <v>848</v>
      </c>
      <c r="E11322" t="s">
        <v>849</v>
      </c>
      <c r="F11322">
        <v>10.6</v>
      </c>
      <c r="G11322">
        <v>230202</v>
      </c>
      <c r="H11322">
        <v>4380</v>
      </c>
      <c r="I11322" t="s">
        <v>113</v>
      </c>
      <c r="J11322">
        <v>13.15</v>
      </c>
      <c r="K11322">
        <v>2.5499999999999998</v>
      </c>
      <c r="L11322">
        <v>14951</v>
      </c>
      <c r="M11322" t="s">
        <v>57</v>
      </c>
      <c r="N11322" t="str">
        <f>"09758338    "</f>
        <v xml:space="preserve">09758338    </v>
      </c>
      <c r="O11322">
        <v>230213</v>
      </c>
    </row>
    <row r="11323" spans="1:15" x14ac:dyDescent="0.25">
      <c r="A11323" t="s">
        <v>16</v>
      </c>
      <c r="B11323" t="s">
        <v>3221</v>
      </c>
      <c r="C11323">
        <v>1724</v>
      </c>
      <c r="D11323" t="s">
        <v>848</v>
      </c>
      <c r="E11323" t="s">
        <v>849</v>
      </c>
      <c r="F11323">
        <v>27.9</v>
      </c>
      <c r="G11323">
        <v>230202</v>
      </c>
      <c r="H11323">
        <v>4380</v>
      </c>
      <c r="I11323" t="s">
        <v>113</v>
      </c>
      <c r="J11323">
        <v>34.590000000000003</v>
      </c>
      <c r="K11323">
        <v>6.69</v>
      </c>
      <c r="L11323">
        <v>13540</v>
      </c>
      <c r="M11323" t="s">
        <v>85</v>
      </c>
      <c r="N11323" t="str">
        <f>"09756916    "</f>
        <v xml:space="preserve">09756916    </v>
      </c>
      <c r="O11323">
        <v>230213</v>
      </c>
    </row>
    <row r="11324" spans="1:15" x14ac:dyDescent="0.25">
      <c r="A11324" t="s">
        <v>16</v>
      </c>
      <c r="B11324" t="s">
        <v>3221</v>
      </c>
      <c r="C11324">
        <v>1724</v>
      </c>
      <c r="D11324" t="s">
        <v>848</v>
      </c>
      <c r="E11324" t="s">
        <v>849</v>
      </c>
      <c r="F11324">
        <v>225.69</v>
      </c>
      <c r="G11324">
        <v>230202</v>
      </c>
      <c r="H11324">
        <v>4380</v>
      </c>
      <c r="I11324" t="s">
        <v>113</v>
      </c>
      <c r="J11324">
        <v>279.85000000000002</v>
      </c>
      <c r="K11324">
        <v>54.16</v>
      </c>
      <c r="L11324">
        <v>17950</v>
      </c>
      <c r="M11324" t="s">
        <v>86</v>
      </c>
      <c r="N11324" t="str">
        <f>"09756916    "</f>
        <v xml:space="preserve">09756916    </v>
      </c>
      <c r="O11324">
        <v>230213</v>
      </c>
    </row>
    <row r="11325" spans="1:15" x14ac:dyDescent="0.25">
      <c r="A11325" t="s">
        <v>16</v>
      </c>
      <c r="B11325" t="s">
        <v>3221</v>
      </c>
      <c r="C11325">
        <v>1767</v>
      </c>
      <c r="D11325" t="s">
        <v>848</v>
      </c>
      <c r="E11325" t="s">
        <v>849</v>
      </c>
      <c r="F11325">
        <v>152.25</v>
      </c>
      <c r="G11325">
        <v>230209</v>
      </c>
      <c r="H11325">
        <v>4380</v>
      </c>
      <c r="I11325" t="s">
        <v>113</v>
      </c>
      <c r="J11325">
        <v>188.79</v>
      </c>
      <c r="K11325">
        <v>36.54</v>
      </c>
      <c r="L11325">
        <v>59505</v>
      </c>
      <c r="M11325" t="s">
        <v>72</v>
      </c>
      <c r="N11325" t="str">
        <f>"09797759    "</f>
        <v xml:space="preserve">09797759    </v>
      </c>
      <c r="O11325">
        <v>230213</v>
      </c>
    </row>
    <row r="11326" spans="1:15" x14ac:dyDescent="0.25">
      <c r="A11326" t="s">
        <v>16</v>
      </c>
      <c r="B11326" t="s">
        <v>3221</v>
      </c>
      <c r="C11326">
        <v>2196</v>
      </c>
      <c r="D11326" t="s">
        <v>848</v>
      </c>
      <c r="E11326" t="s">
        <v>849</v>
      </c>
      <c r="F11326">
        <v>41.5</v>
      </c>
      <c r="G11326">
        <v>230208</v>
      </c>
      <c r="H11326">
        <v>4380</v>
      </c>
      <c r="I11326" t="s">
        <v>113</v>
      </c>
      <c r="J11326">
        <v>51.46</v>
      </c>
      <c r="K11326">
        <v>9.9600000000000009</v>
      </c>
      <c r="L11326">
        <v>17521</v>
      </c>
      <c r="M11326" t="s">
        <v>133</v>
      </c>
      <c r="N11326" t="str">
        <f>"09792154    "</f>
        <v xml:space="preserve">09792154    </v>
      </c>
      <c r="O11326">
        <v>230222</v>
      </c>
    </row>
    <row r="11327" spans="1:15" x14ac:dyDescent="0.25">
      <c r="A11327" t="s">
        <v>16</v>
      </c>
      <c r="B11327" t="s">
        <v>3221</v>
      </c>
      <c r="C11327">
        <v>2560</v>
      </c>
      <c r="D11327" t="s">
        <v>848</v>
      </c>
      <c r="E11327" t="s">
        <v>849</v>
      </c>
      <c r="F11327">
        <v>55.68</v>
      </c>
      <c r="G11327">
        <v>230301</v>
      </c>
      <c r="H11327">
        <v>4380</v>
      </c>
      <c r="I11327" t="s">
        <v>113</v>
      </c>
      <c r="J11327">
        <v>69.040000000000006</v>
      </c>
      <c r="K11327">
        <v>13.36</v>
      </c>
      <c r="L11327">
        <v>47522</v>
      </c>
      <c r="M11327" t="s">
        <v>410</v>
      </c>
      <c r="N11327" t="str">
        <f>"09810889    "</f>
        <v xml:space="preserve">09810889    </v>
      </c>
      <c r="O11327">
        <v>230302</v>
      </c>
    </row>
    <row r="11328" spans="1:15" x14ac:dyDescent="0.25">
      <c r="A11328" t="s">
        <v>16</v>
      </c>
      <c r="B11328" t="s">
        <v>3221</v>
      </c>
      <c r="C11328">
        <v>2561</v>
      </c>
      <c r="D11328" t="s">
        <v>848</v>
      </c>
      <c r="E11328" t="s">
        <v>849</v>
      </c>
      <c r="F11328">
        <v>97.6</v>
      </c>
      <c r="G11328">
        <v>230301</v>
      </c>
      <c r="H11328">
        <v>4380</v>
      </c>
      <c r="I11328" t="s">
        <v>113</v>
      </c>
      <c r="J11328">
        <v>121.02</v>
      </c>
      <c r="K11328">
        <v>23.42</v>
      </c>
      <c r="L11328">
        <v>47522</v>
      </c>
      <c r="M11328" t="s">
        <v>410</v>
      </c>
      <c r="N11328" t="str">
        <f>"09810890    "</f>
        <v xml:space="preserve">09810890    </v>
      </c>
      <c r="O11328">
        <v>230302</v>
      </c>
    </row>
    <row r="11329" spans="1:15" x14ac:dyDescent="0.25">
      <c r="A11329" t="s">
        <v>16</v>
      </c>
      <c r="B11329" t="s">
        <v>3221</v>
      </c>
      <c r="C11329">
        <v>2587</v>
      </c>
      <c r="D11329" t="s">
        <v>848</v>
      </c>
      <c r="E11329" t="s">
        <v>849</v>
      </c>
      <c r="F11329">
        <v>21.14</v>
      </c>
      <c r="G11329">
        <v>230209</v>
      </c>
      <c r="H11329">
        <v>4380</v>
      </c>
      <c r="I11329" t="s">
        <v>113</v>
      </c>
      <c r="J11329">
        <v>26.21</v>
      </c>
      <c r="K11329">
        <v>5.07</v>
      </c>
      <c r="L11329">
        <v>11401</v>
      </c>
      <c r="M11329" t="s">
        <v>84</v>
      </c>
      <c r="N11329" t="str">
        <f>"09797760    "</f>
        <v xml:space="preserve">09797760    </v>
      </c>
      <c r="O11329">
        <v>230302</v>
      </c>
    </row>
    <row r="11330" spans="1:15" x14ac:dyDescent="0.25">
      <c r="A11330" t="s">
        <v>16</v>
      </c>
      <c r="B11330" t="s">
        <v>3221</v>
      </c>
      <c r="C11330">
        <v>2587</v>
      </c>
      <c r="D11330" t="s">
        <v>848</v>
      </c>
      <c r="E11330" t="s">
        <v>849</v>
      </c>
      <c r="F11330">
        <v>42.27</v>
      </c>
      <c r="G11330">
        <v>230209</v>
      </c>
      <c r="H11330">
        <v>4380</v>
      </c>
      <c r="I11330" t="s">
        <v>113</v>
      </c>
      <c r="J11330">
        <v>52.41</v>
      </c>
      <c r="K11330">
        <v>10.14</v>
      </c>
      <c r="L11330">
        <v>14951</v>
      </c>
      <c r="M11330" t="s">
        <v>57</v>
      </c>
      <c r="N11330" t="str">
        <f>"09797760    "</f>
        <v xml:space="preserve">09797760    </v>
      </c>
      <c r="O11330">
        <v>230302</v>
      </c>
    </row>
    <row r="11331" spans="1:15" x14ac:dyDescent="0.25">
      <c r="A11331" t="s">
        <v>16</v>
      </c>
      <c r="B11331" t="s">
        <v>3221</v>
      </c>
      <c r="C11331">
        <v>2597</v>
      </c>
      <c r="D11331" t="s">
        <v>848</v>
      </c>
      <c r="E11331" t="s">
        <v>849</v>
      </c>
      <c r="F11331">
        <v>68.44</v>
      </c>
      <c r="G11331">
        <v>230301</v>
      </c>
      <c r="H11331">
        <v>4380</v>
      </c>
      <c r="I11331" t="s">
        <v>113</v>
      </c>
      <c r="J11331">
        <v>84.87</v>
      </c>
      <c r="K11331">
        <v>16.43</v>
      </c>
      <c r="L11331">
        <v>14432</v>
      </c>
      <c r="M11331" t="s">
        <v>862</v>
      </c>
      <c r="N11331" t="str">
        <f>"09814753    "</f>
        <v xml:space="preserve">09814753    </v>
      </c>
      <c r="O11331">
        <v>230302</v>
      </c>
    </row>
    <row r="11332" spans="1:15" x14ac:dyDescent="0.25">
      <c r="A11332" t="s">
        <v>16</v>
      </c>
      <c r="B11332" t="s">
        <v>3221</v>
      </c>
      <c r="C11332">
        <v>2597</v>
      </c>
      <c r="D11332" t="s">
        <v>848</v>
      </c>
      <c r="E11332" t="s">
        <v>849</v>
      </c>
      <c r="F11332">
        <v>10.6</v>
      </c>
      <c r="G11332">
        <v>230301</v>
      </c>
      <c r="H11332">
        <v>4380</v>
      </c>
      <c r="I11332" t="s">
        <v>113</v>
      </c>
      <c r="J11332">
        <v>13.14</v>
      </c>
      <c r="K11332">
        <v>2.54</v>
      </c>
      <c r="L11332">
        <v>14951</v>
      </c>
      <c r="M11332" t="s">
        <v>57</v>
      </c>
      <c r="N11332" t="str">
        <f>"09814753    "</f>
        <v xml:space="preserve">09814753    </v>
      </c>
      <c r="O11332">
        <v>230302</v>
      </c>
    </row>
    <row r="11333" spans="1:15" x14ac:dyDescent="0.25">
      <c r="A11333" t="s">
        <v>16</v>
      </c>
      <c r="B11333" t="s">
        <v>3221</v>
      </c>
      <c r="C11333">
        <v>2766</v>
      </c>
      <c r="D11333" t="s">
        <v>848</v>
      </c>
      <c r="E11333" t="s">
        <v>849</v>
      </c>
      <c r="F11333">
        <v>137.88</v>
      </c>
      <c r="G11333">
        <v>230301</v>
      </c>
      <c r="H11333">
        <v>4380</v>
      </c>
      <c r="I11333" t="s">
        <v>113</v>
      </c>
      <c r="J11333">
        <v>170.97</v>
      </c>
      <c r="K11333">
        <v>33.090000000000003</v>
      </c>
      <c r="L11333">
        <v>59501</v>
      </c>
      <c r="M11333" t="s">
        <v>69</v>
      </c>
      <c r="N11333" t="str">
        <f>"09814751    "</f>
        <v xml:space="preserve">09814751    </v>
      </c>
      <c r="O11333">
        <v>230307</v>
      </c>
    </row>
    <row r="11334" spans="1:15" x14ac:dyDescent="0.25">
      <c r="A11334" t="s">
        <v>16</v>
      </c>
      <c r="B11334" t="s">
        <v>3221</v>
      </c>
      <c r="C11334">
        <v>2767</v>
      </c>
      <c r="D11334" t="s">
        <v>848</v>
      </c>
      <c r="E11334" t="s">
        <v>849</v>
      </c>
      <c r="F11334">
        <v>23.72</v>
      </c>
      <c r="G11334">
        <v>230301</v>
      </c>
      <c r="H11334">
        <v>4380</v>
      </c>
      <c r="I11334" t="s">
        <v>113</v>
      </c>
      <c r="J11334">
        <v>29.41</v>
      </c>
      <c r="K11334">
        <v>5.69</v>
      </c>
      <c r="L11334">
        <v>59504</v>
      </c>
      <c r="M11334" t="s">
        <v>71</v>
      </c>
      <c r="N11334" t="str">
        <f>"09814748    "</f>
        <v xml:space="preserve">09814748    </v>
      </c>
      <c r="O11334">
        <v>230307</v>
      </c>
    </row>
    <row r="11335" spans="1:15" x14ac:dyDescent="0.25">
      <c r="A11335" t="s">
        <v>16</v>
      </c>
      <c r="B11335" t="s">
        <v>3221</v>
      </c>
      <c r="C11335">
        <v>2768</v>
      </c>
      <c r="D11335" t="s">
        <v>848</v>
      </c>
      <c r="E11335" t="s">
        <v>849</v>
      </c>
      <c r="F11335">
        <v>70.56</v>
      </c>
      <c r="G11335">
        <v>230301</v>
      </c>
      <c r="H11335">
        <v>4380</v>
      </c>
      <c r="I11335" t="s">
        <v>113</v>
      </c>
      <c r="J11335">
        <v>87.49</v>
      </c>
      <c r="K11335">
        <v>16.93</v>
      </c>
      <c r="L11335">
        <v>49501</v>
      </c>
      <c r="M11335" t="s">
        <v>177</v>
      </c>
      <c r="N11335" t="str">
        <f>"09814757    "</f>
        <v xml:space="preserve">09814757    </v>
      </c>
      <c r="O11335">
        <v>230307</v>
      </c>
    </row>
    <row r="11336" spans="1:15" x14ac:dyDescent="0.25">
      <c r="A11336" t="s">
        <v>16</v>
      </c>
      <c r="B11336" t="s">
        <v>3221</v>
      </c>
      <c r="C11336">
        <v>2768</v>
      </c>
      <c r="D11336" t="s">
        <v>848</v>
      </c>
      <c r="E11336" t="s">
        <v>849</v>
      </c>
      <c r="F11336">
        <v>20.16</v>
      </c>
      <c r="G11336">
        <v>230301</v>
      </c>
      <c r="H11336">
        <v>4380</v>
      </c>
      <c r="I11336" t="s">
        <v>113</v>
      </c>
      <c r="J11336">
        <v>25</v>
      </c>
      <c r="K11336">
        <v>4.84</v>
      </c>
      <c r="L11336">
        <v>49503</v>
      </c>
      <c r="M11336" t="s">
        <v>178</v>
      </c>
      <c r="N11336" t="str">
        <f>"09814757    "</f>
        <v xml:space="preserve">09814757    </v>
      </c>
      <c r="O11336">
        <v>230307</v>
      </c>
    </row>
    <row r="11337" spans="1:15" x14ac:dyDescent="0.25">
      <c r="A11337" t="s">
        <v>16</v>
      </c>
      <c r="B11337" t="s">
        <v>3221</v>
      </c>
      <c r="C11337">
        <v>2770</v>
      </c>
      <c r="D11337" t="s">
        <v>848</v>
      </c>
      <c r="E11337" t="s">
        <v>849</v>
      </c>
      <c r="F11337">
        <v>39.26</v>
      </c>
      <c r="G11337">
        <v>230301</v>
      </c>
      <c r="H11337">
        <v>4380</v>
      </c>
      <c r="I11337" t="s">
        <v>113</v>
      </c>
      <c r="J11337">
        <v>48.68</v>
      </c>
      <c r="K11337">
        <v>9.42</v>
      </c>
      <c r="L11337">
        <v>59502</v>
      </c>
      <c r="M11337" t="s">
        <v>70</v>
      </c>
      <c r="N11337" t="str">
        <f>"09814750    "</f>
        <v xml:space="preserve">09814750    </v>
      </c>
      <c r="O11337">
        <v>230307</v>
      </c>
    </row>
    <row r="11338" spans="1:15" x14ac:dyDescent="0.25">
      <c r="A11338" t="s">
        <v>16</v>
      </c>
      <c r="B11338" t="s">
        <v>3221</v>
      </c>
      <c r="C11338">
        <v>2770</v>
      </c>
      <c r="D11338" t="s">
        <v>848</v>
      </c>
      <c r="E11338" t="s">
        <v>849</v>
      </c>
      <c r="F11338">
        <v>25.1</v>
      </c>
      <c r="G11338">
        <v>230301</v>
      </c>
      <c r="H11338">
        <v>4380</v>
      </c>
      <c r="I11338" t="s">
        <v>113</v>
      </c>
      <c r="J11338">
        <v>31.13</v>
      </c>
      <c r="K11338">
        <v>6.03</v>
      </c>
      <c r="L11338">
        <v>59802</v>
      </c>
      <c r="M11338" t="s">
        <v>73</v>
      </c>
      <c r="N11338" t="str">
        <f>"09814750    "</f>
        <v xml:space="preserve">09814750    </v>
      </c>
      <c r="O11338">
        <v>230307</v>
      </c>
    </row>
    <row r="11339" spans="1:15" x14ac:dyDescent="0.25">
      <c r="A11339" t="s">
        <v>16</v>
      </c>
      <c r="B11339" t="s">
        <v>3221</v>
      </c>
      <c r="C11339">
        <v>2773</v>
      </c>
      <c r="D11339" t="s">
        <v>848</v>
      </c>
      <c r="E11339" t="s">
        <v>849</v>
      </c>
      <c r="F11339">
        <v>32.24</v>
      </c>
      <c r="G11339">
        <v>230301</v>
      </c>
      <c r="H11339">
        <v>4380</v>
      </c>
      <c r="I11339" t="s">
        <v>113</v>
      </c>
      <c r="J11339">
        <v>39.979999999999997</v>
      </c>
      <c r="K11339">
        <v>7.74</v>
      </c>
      <c r="L11339">
        <v>59505</v>
      </c>
      <c r="M11339" t="s">
        <v>72</v>
      </c>
      <c r="N11339" t="str">
        <f>"09814749    "</f>
        <v xml:space="preserve">09814749    </v>
      </c>
      <c r="O11339">
        <v>230307</v>
      </c>
    </row>
    <row r="11340" spans="1:15" x14ac:dyDescent="0.25">
      <c r="A11340" t="s">
        <v>16</v>
      </c>
      <c r="B11340" t="s">
        <v>3221</v>
      </c>
      <c r="C11340">
        <v>2774</v>
      </c>
      <c r="D11340" t="s">
        <v>848</v>
      </c>
      <c r="E11340" t="s">
        <v>849</v>
      </c>
      <c r="F11340">
        <v>3.72</v>
      </c>
      <c r="G11340">
        <v>230301</v>
      </c>
      <c r="H11340">
        <v>4380</v>
      </c>
      <c r="I11340" t="s">
        <v>113</v>
      </c>
      <c r="J11340">
        <v>4.6100000000000003</v>
      </c>
      <c r="K11340">
        <v>0.89</v>
      </c>
      <c r="L11340">
        <v>13641</v>
      </c>
      <c r="M11340" t="s">
        <v>1471</v>
      </c>
      <c r="N11340" t="str">
        <f>"09814527    "</f>
        <v xml:space="preserve">09814527    </v>
      </c>
      <c r="O11340">
        <v>230307</v>
      </c>
    </row>
    <row r="11341" spans="1:15" x14ac:dyDescent="0.25">
      <c r="A11341" t="s">
        <v>16</v>
      </c>
      <c r="B11341" t="s">
        <v>3221</v>
      </c>
      <c r="C11341">
        <v>2818</v>
      </c>
      <c r="D11341" t="s">
        <v>848</v>
      </c>
      <c r="E11341" t="s">
        <v>849</v>
      </c>
      <c r="F11341">
        <v>40.18</v>
      </c>
      <c r="G11341">
        <v>230301</v>
      </c>
      <c r="H11341">
        <v>4380</v>
      </c>
      <c r="I11341" t="s">
        <v>113</v>
      </c>
      <c r="J11341">
        <v>49.82</v>
      </c>
      <c r="K11341">
        <v>9.64</v>
      </c>
      <c r="L11341">
        <v>46554</v>
      </c>
      <c r="M11341" t="s">
        <v>117</v>
      </c>
      <c r="N11341" t="str">
        <f>"09811825    "</f>
        <v xml:space="preserve">09811825    </v>
      </c>
      <c r="O11341">
        <v>230307</v>
      </c>
    </row>
    <row r="11342" spans="1:15" x14ac:dyDescent="0.25">
      <c r="A11342" t="s">
        <v>16</v>
      </c>
      <c r="B11342" t="s">
        <v>3221</v>
      </c>
      <c r="C11342">
        <v>2862</v>
      </c>
      <c r="D11342" t="s">
        <v>848</v>
      </c>
      <c r="E11342" t="s">
        <v>849</v>
      </c>
      <c r="F11342">
        <v>20.6</v>
      </c>
      <c r="G11342">
        <v>230301</v>
      </c>
      <c r="H11342">
        <v>4380</v>
      </c>
      <c r="I11342" t="s">
        <v>113</v>
      </c>
      <c r="J11342">
        <v>25.54</v>
      </c>
      <c r="K11342">
        <v>4.9400000000000004</v>
      </c>
      <c r="L11342">
        <v>17952</v>
      </c>
      <c r="M11342" t="s">
        <v>88</v>
      </c>
      <c r="N11342" t="str">
        <f>"09815263    "</f>
        <v xml:space="preserve">09815263    </v>
      </c>
      <c r="O11342">
        <v>230308</v>
      </c>
    </row>
    <row r="11343" spans="1:15" x14ac:dyDescent="0.25">
      <c r="A11343" t="s">
        <v>16</v>
      </c>
      <c r="B11343" t="s">
        <v>3221</v>
      </c>
      <c r="C11343">
        <v>2864</v>
      </c>
      <c r="D11343" t="s">
        <v>848</v>
      </c>
      <c r="E11343" t="s">
        <v>849</v>
      </c>
      <c r="F11343">
        <v>322</v>
      </c>
      <c r="G11343">
        <v>230301</v>
      </c>
      <c r="H11343">
        <v>4380</v>
      </c>
      <c r="I11343" t="s">
        <v>113</v>
      </c>
      <c r="J11343">
        <v>399.28</v>
      </c>
      <c r="K11343">
        <v>77.28</v>
      </c>
      <c r="L11343">
        <v>17951</v>
      </c>
      <c r="M11343" t="s">
        <v>87</v>
      </c>
      <c r="N11343" t="str">
        <f>"09814518    "</f>
        <v xml:space="preserve">09814518    </v>
      </c>
      <c r="O11343">
        <v>230308</v>
      </c>
    </row>
    <row r="11344" spans="1:15" x14ac:dyDescent="0.25">
      <c r="A11344" t="s">
        <v>16</v>
      </c>
      <c r="B11344" t="s">
        <v>3221</v>
      </c>
      <c r="C11344">
        <v>2979</v>
      </c>
      <c r="D11344" t="s">
        <v>848</v>
      </c>
      <c r="E11344" t="s">
        <v>849</v>
      </c>
      <c r="F11344">
        <v>58.72</v>
      </c>
      <c r="G11344">
        <v>230302</v>
      </c>
      <c r="H11344">
        <v>4380</v>
      </c>
      <c r="I11344" t="s">
        <v>113</v>
      </c>
      <c r="J11344">
        <v>72.81</v>
      </c>
      <c r="K11344">
        <v>14.09</v>
      </c>
      <c r="L11344">
        <v>59504</v>
      </c>
      <c r="M11344" t="s">
        <v>71</v>
      </c>
      <c r="N11344" t="str">
        <f>"09818239    "</f>
        <v xml:space="preserve">09818239    </v>
      </c>
      <c r="O11344">
        <v>230308</v>
      </c>
    </row>
    <row r="11345" spans="1:16" x14ac:dyDescent="0.25">
      <c r="A11345" t="s">
        <v>16</v>
      </c>
      <c r="B11345" t="s">
        <v>3221</v>
      </c>
      <c r="C11345">
        <v>11702</v>
      </c>
      <c r="D11345" t="s">
        <v>3517</v>
      </c>
      <c r="E11345" s="2">
        <v>27322728</v>
      </c>
      <c r="F11345">
        <v>43.54</v>
      </c>
      <c r="G11345">
        <v>230906</v>
      </c>
      <c r="H11345">
        <v>4420</v>
      </c>
      <c r="I11345" t="s">
        <v>132</v>
      </c>
      <c r="J11345">
        <v>43.54</v>
      </c>
      <c r="K11345">
        <v>0</v>
      </c>
      <c r="L11345">
        <v>17535</v>
      </c>
      <c r="M11345" t="s">
        <v>357</v>
      </c>
      <c r="N11345" t="str">
        <f>"060923      "</f>
        <v xml:space="preserve">060923      </v>
      </c>
      <c r="O11345">
        <v>230908</v>
      </c>
      <c r="P11345" t="s">
        <v>3455</v>
      </c>
    </row>
    <row r="11346" spans="1:16" x14ac:dyDescent="0.25">
      <c r="A11346" t="s">
        <v>16</v>
      </c>
      <c r="B11346" t="s">
        <v>3221</v>
      </c>
      <c r="C11346">
        <v>11702</v>
      </c>
      <c r="D11346" t="s">
        <v>3517</v>
      </c>
      <c r="E11346" s="2">
        <v>27322728</v>
      </c>
      <c r="F11346">
        <v>843.96</v>
      </c>
      <c r="G11346">
        <v>230906</v>
      </c>
      <c r="H11346">
        <v>4600</v>
      </c>
      <c r="I11346" t="s">
        <v>105</v>
      </c>
      <c r="J11346">
        <v>843.96</v>
      </c>
      <c r="K11346">
        <v>0</v>
      </c>
      <c r="L11346">
        <v>17649</v>
      </c>
      <c r="M11346" t="s">
        <v>1197</v>
      </c>
      <c r="N11346" t="str">
        <f>"060923      "</f>
        <v xml:space="preserve">060923      </v>
      </c>
      <c r="O11346">
        <v>230908</v>
      </c>
      <c r="P11346" t="s">
        <v>3455</v>
      </c>
    </row>
    <row r="11347" spans="1:16" x14ac:dyDescent="0.25">
      <c r="A11347" t="s">
        <v>16</v>
      </c>
      <c r="B11347" t="s">
        <v>3221</v>
      </c>
      <c r="C11347">
        <v>2981</v>
      </c>
      <c r="D11347" t="s">
        <v>848</v>
      </c>
      <c r="E11347" t="s">
        <v>849</v>
      </c>
      <c r="F11347">
        <v>32.72</v>
      </c>
      <c r="G11347">
        <v>230302</v>
      </c>
      <c r="H11347">
        <v>4380</v>
      </c>
      <c r="I11347" t="s">
        <v>113</v>
      </c>
      <c r="J11347">
        <v>40.57</v>
      </c>
      <c r="K11347">
        <v>7.85</v>
      </c>
      <c r="L11347">
        <v>17951</v>
      </c>
      <c r="M11347" t="s">
        <v>87</v>
      </c>
      <c r="N11347" t="str">
        <f>"09818229    "</f>
        <v xml:space="preserve">09818229    </v>
      </c>
      <c r="O11347">
        <v>230308</v>
      </c>
    </row>
    <row r="11348" spans="1:16" x14ac:dyDescent="0.25">
      <c r="A11348" t="s">
        <v>16</v>
      </c>
      <c r="B11348" t="s">
        <v>3221</v>
      </c>
      <c r="C11348">
        <v>2982</v>
      </c>
      <c r="D11348" t="s">
        <v>848</v>
      </c>
      <c r="E11348" t="s">
        <v>849</v>
      </c>
      <c r="F11348">
        <v>94</v>
      </c>
      <c r="G11348">
        <v>230302</v>
      </c>
      <c r="H11348">
        <v>4380</v>
      </c>
      <c r="I11348" t="s">
        <v>113</v>
      </c>
      <c r="J11348">
        <v>116.56</v>
      </c>
      <c r="K11348">
        <v>22.56</v>
      </c>
      <c r="L11348">
        <v>59501</v>
      </c>
      <c r="M11348" t="s">
        <v>69</v>
      </c>
      <c r="N11348" t="str">
        <f>"09818238    "</f>
        <v xml:space="preserve">09818238    </v>
      </c>
      <c r="O11348">
        <v>230308</v>
      </c>
    </row>
    <row r="11349" spans="1:16" x14ac:dyDescent="0.25">
      <c r="A11349" t="s">
        <v>16</v>
      </c>
      <c r="B11349" t="s">
        <v>3221</v>
      </c>
      <c r="C11349">
        <v>3050</v>
      </c>
      <c r="D11349" t="s">
        <v>848</v>
      </c>
      <c r="E11349" t="s">
        <v>849</v>
      </c>
      <c r="F11349">
        <v>16.36</v>
      </c>
      <c r="G11349">
        <v>230302</v>
      </c>
      <c r="H11349">
        <v>4380</v>
      </c>
      <c r="I11349" t="s">
        <v>113</v>
      </c>
      <c r="J11349">
        <v>20.29</v>
      </c>
      <c r="K11349">
        <v>3.93</v>
      </c>
      <c r="L11349">
        <v>17956</v>
      </c>
      <c r="M11349" t="s">
        <v>53</v>
      </c>
      <c r="N11349" t="str">
        <f>"09818242    "</f>
        <v xml:space="preserve">09818242    </v>
      </c>
      <c r="O11349">
        <v>230308</v>
      </c>
    </row>
    <row r="11350" spans="1:16" x14ac:dyDescent="0.25">
      <c r="A11350" t="s">
        <v>16</v>
      </c>
      <c r="B11350" t="s">
        <v>3221</v>
      </c>
      <c r="C11350">
        <v>3052</v>
      </c>
      <c r="D11350" t="s">
        <v>848</v>
      </c>
      <c r="E11350" t="s">
        <v>849</v>
      </c>
      <c r="F11350">
        <v>49.08</v>
      </c>
      <c r="G11350">
        <v>230302</v>
      </c>
      <c r="H11350">
        <v>4380</v>
      </c>
      <c r="I11350" t="s">
        <v>113</v>
      </c>
      <c r="J11350">
        <v>60.86</v>
      </c>
      <c r="K11350">
        <v>11.78</v>
      </c>
      <c r="L11350">
        <v>17951</v>
      </c>
      <c r="M11350" t="s">
        <v>87</v>
      </c>
      <c r="N11350" t="str">
        <f>"09818240    "</f>
        <v xml:space="preserve">09818240    </v>
      </c>
      <c r="O11350">
        <v>230308</v>
      </c>
    </row>
    <row r="11351" spans="1:16" x14ac:dyDescent="0.25">
      <c r="A11351" t="s">
        <v>16</v>
      </c>
      <c r="B11351" t="s">
        <v>3221</v>
      </c>
      <c r="C11351">
        <v>3053</v>
      </c>
      <c r="D11351" t="s">
        <v>848</v>
      </c>
      <c r="E11351" t="s">
        <v>849</v>
      </c>
      <c r="F11351">
        <v>32.72</v>
      </c>
      <c r="G11351">
        <v>230302</v>
      </c>
      <c r="H11351">
        <v>4380</v>
      </c>
      <c r="I11351" t="s">
        <v>113</v>
      </c>
      <c r="J11351">
        <v>40.57</v>
      </c>
      <c r="K11351">
        <v>7.85</v>
      </c>
      <c r="L11351">
        <v>17951</v>
      </c>
      <c r="M11351" t="s">
        <v>87</v>
      </c>
      <c r="N11351" t="str">
        <f>"09818230    "</f>
        <v xml:space="preserve">09818230    </v>
      </c>
      <c r="O11351">
        <v>230308</v>
      </c>
    </row>
    <row r="11352" spans="1:16" x14ac:dyDescent="0.25">
      <c r="A11352" t="s">
        <v>16</v>
      </c>
      <c r="B11352" t="s">
        <v>3221</v>
      </c>
      <c r="C11352">
        <v>3054</v>
      </c>
      <c r="D11352" t="s">
        <v>848</v>
      </c>
      <c r="E11352" t="s">
        <v>849</v>
      </c>
      <c r="F11352">
        <v>3</v>
      </c>
      <c r="G11352">
        <v>230302</v>
      </c>
      <c r="H11352">
        <v>4380</v>
      </c>
      <c r="I11352" t="s">
        <v>113</v>
      </c>
      <c r="J11352">
        <v>3.72</v>
      </c>
      <c r="K11352">
        <v>0.72</v>
      </c>
      <c r="L11352">
        <v>49501</v>
      </c>
      <c r="M11352" t="s">
        <v>177</v>
      </c>
      <c r="N11352" t="str">
        <f>"09818241    "</f>
        <v xml:space="preserve">09818241    </v>
      </c>
      <c r="O11352">
        <v>230308</v>
      </c>
    </row>
    <row r="11353" spans="1:16" x14ac:dyDescent="0.25">
      <c r="A11353" t="s">
        <v>16</v>
      </c>
      <c r="B11353" t="s">
        <v>3221</v>
      </c>
      <c r="C11353">
        <v>3055</v>
      </c>
      <c r="D11353" t="s">
        <v>848</v>
      </c>
      <c r="E11353" t="s">
        <v>849</v>
      </c>
      <c r="F11353">
        <v>180.99</v>
      </c>
      <c r="G11353">
        <v>230302</v>
      </c>
      <c r="H11353">
        <v>4380</v>
      </c>
      <c r="I11353" t="s">
        <v>113</v>
      </c>
      <c r="J11353">
        <v>224.43</v>
      </c>
      <c r="K11353">
        <v>43.44</v>
      </c>
      <c r="L11353">
        <v>17951</v>
      </c>
      <c r="M11353" t="s">
        <v>87</v>
      </c>
      <c r="N11353" t="str">
        <f>"09818236    "</f>
        <v xml:space="preserve">09818236    </v>
      </c>
      <c r="O11353">
        <v>230308</v>
      </c>
    </row>
    <row r="11354" spans="1:16" x14ac:dyDescent="0.25">
      <c r="A11354" t="s">
        <v>16</v>
      </c>
      <c r="B11354" t="s">
        <v>3221</v>
      </c>
      <c r="C11354">
        <v>3056</v>
      </c>
      <c r="D11354" t="s">
        <v>848</v>
      </c>
      <c r="E11354" t="s">
        <v>849</v>
      </c>
      <c r="F11354">
        <v>18</v>
      </c>
      <c r="G11354">
        <v>230302</v>
      </c>
      <c r="H11354">
        <v>4380</v>
      </c>
      <c r="I11354" t="s">
        <v>113</v>
      </c>
      <c r="J11354">
        <v>22.32</v>
      </c>
      <c r="K11354">
        <v>4.32</v>
      </c>
      <c r="L11354">
        <v>49501</v>
      </c>
      <c r="M11354" t="s">
        <v>177</v>
      </c>
      <c r="N11354" t="str">
        <f>"09818237    "</f>
        <v xml:space="preserve">09818237    </v>
      </c>
      <c r="O11354">
        <v>230308</v>
      </c>
    </row>
    <row r="11355" spans="1:16" x14ac:dyDescent="0.25">
      <c r="A11355" t="s">
        <v>16</v>
      </c>
      <c r="B11355" t="s">
        <v>3221</v>
      </c>
      <c r="C11355">
        <v>3057</v>
      </c>
      <c r="D11355" t="s">
        <v>848</v>
      </c>
      <c r="E11355" t="s">
        <v>849</v>
      </c>
      <c r="F11355">
        <v>69.53</v>
      </c>
      <c r="G11355">
        <v>230302</v>
      </c>
      <c r="H11355">
        <v>4380</v>
      </c>
      <c r="I11355" t="s">
        <v>113</v>
      </c>
      <c r="J11355">
        <v>86.22</v>
      </c>
      <c r="K11355">
        <v>16.690000000000001</v>
      </c>
      <c r="L11355">
        <v>17951</v>
      </c>
      <c r="M11355" t="s">
        <v>87</v>
      </c>
      <c r="N11355" t="str">
        <f>"09818232    "</f>
        <v xml:space="preserve">09818232    </v>
      </c>
      <c r="O11355">
        <v>230308</v>
      </c>
    </row>
    <row r="11356" spans="1:16" x14ac:dyDescent="0.25">
      <c r="A11356" t="s">
        <v>16</v>
      </c>
      <c r="B11356" t="s">
        <v>3221</v>
      </c>
      <c r="C11356">
        <v>3058</v>
      </c>
      <c r="D11356" t="s">
        <v>848</v>
      </c>
      <c r="E11356" t="s">
        <v>849</v>
      </c>
      <c r="F11356">
        <v>24.54</v>
      </c>
      <c r="G11356">
        <v>230302</v>
      </c>
      <c r="H11356">
        <v>4380</v>
      </c>
      <c r="I11356" t="s">
        <v>113</v>
      </c>
      <c r="J11356">
        <v>30.43</v>
      </c>
      <c r="K11356">
        <v>5.89</v>
      </c>
      <c r="L11356">
        <v>17956</v>
      </c>
      <c r="M11356" t="s">
        <v>53</v>
      </c>
      <c r="N11356" t="str">
        <f>"09818231    "</f>
        <v xml:space="preserve">09818231    </v>
      </c>
      <c r="O11356">
        <v>230308</v>
      </c>
    </row>
    <row r="11357" spans="1:16" x14ac:dyDescent="0.25">
      <c r="A11357" t="s">
        <v>16</v>
      </c>
      <c r="B11357" t="s">
        <v>3221</v>
      </c>
      <c r="C11357">
        <v>3059</v>
      </c>
      <c r="D11357" t="s">
        <v>848</v>
      </c>
      <c r="E11357" t="s">
        <v>849</v>
      </c>
      <c r="F11357">
        <v>43.4</v>
      </c>
      <c r="G11357">
        <v>230302</v>
      </c>
      <c r="H11357">
        <v>4380</v>
      </c>
      <c r="I11357" t="s">
        <v>113</v>
      </c>
      <c r="J11357">
        <v>53.82</v>
      </c>
      <c r="K11357">
        <v>10.42</v>
      </c>
      <c r="L11357">
        <v>59502</v>
      </c>
      <c r="M11357" t="s">
        <v>70</v>
      </c>
      <c r="N11357" t="str">
        <f>"09818227    "</f>
        <v xml:space="preserve">09818227    </v>
      </c>
      <c r="O11357">
        <v>230308</v>
      </c>
    </row>
    <row r="11358" spans="1:16" x14ac:dyDescent="0.25">
      <c r="A11358" t="s">
        <v>16</v>
      </c>
      <c r="B11358" t="s">
        <v>3221</v>
      </c>
      <c r="C11358">
        <v>3059</v>
      </c>
      <c r="D11358" t="s">
        <v>848</v>
      </c>
      <c r="E11358" t="s">
        <v>849</v>
      </c>
      <c r="F11358">
        <v>80.599999999999994</v>
      </c>
      <c r="G11358">
        <v>230302</v>
      </c>
      <c r="H11358">
        <v>4380</v>
      </c>
      <c r="I11358" t="s">
        <v>113</v>
      </c>
      <c r="J11358">
        <v>99.94</v>
      </c>
      <c r="K11358">
        <v>19.34</v>
      </c>
      <c r="L11358">
        <v>59802</v>
      </c>
      <c r="M11358" t="s">
        <v>73</v>
      </c>
      <c r="N11358" t="str">
        <f>"09818227    "</f>
        <v xml:space="preserve">09818227    </v>
      </c>
      <c r="O11358">
        <v>230308</v>
      </c>
    </row>
    <row r="11359" spans="1:16" x14ac:dyDescent="0.25">
      <c r="A11359" t="s">
        <v>16</v>
      </c>
      <c r="B11359" t="s">
        <v>3221</v>
      </c>
      <c r="C11359">
        <v>3146</v>
      </c>
      <c r="D11359" t="s">
        <v>848</v>
      </c>
      <c r="E11359" t="s">
        <v>849</v>
      </c>
      <c r="F11359">
        <v>142.25</v>
      </c>
      <c r="G11359">
        <v>230309</v>
      </c>
      <c r="H11359">
        <v>4380</v>
      </c>
      <c r="I11359" t="s">
        <v>113</v>
      </c>
      <c r="J11359">
        <v>176.39</v>
      </c>
      <c r="K11359">
        <v>34.14</v>
      </c>
      <c r="L11359">
        <v>59505</v>
      </c>
      <c r="M11359" t="s">
        <v>72</v>
      </c>
      <c r="N11359" t="str">
        <f>"09857026    "</f>
        <v xml:space="preserve">09857026    </v>
      </c>
      <c r="O11359">
        <v>230309</v>
      </c>
    </row>
    <row r="11360" spans="1:16" x14ac:dyDescent="0.25">
      <c r="A11360" t="s">
        <v>16</v>
      </c>
      <c r="B11360" t="s">
        <v>3221</v>
      </c>
      <c r="C11360">
        <v>3302</v>
      </c>
      <c r="D11360" t="s">
        <v>848</v>
      </c>
      <c r="E11360" t="s">
        <v>849</v>
      </c>
      <c r="F11360">
        <v>11.98</v>
      </c>
      <c r="G11360">
        <v>230301</v>
      </c>
      <c r="H11360">
        <v>4380</v>
      </c>
      <c r="I11360" t="s">
        <v>113</v>
      </c>
      <c r="J11360">
        <v>14.86</v>
      </c>
      <c r="K11360">
        <v>2.88</v>
      </c>
      <c r="L11360">
        <v>13540</v>
      </c>
      <c r="M11360" t="s">
        <v>85</v>
      </c>
      <c r="N11360" t="str">
        <f>"09814522    "</f>
        <v xml:space="preserve">09814522    </v>
      </c>
      <c r="O11360">
        <v>230314</v>
      </c>
    </row>
    <row r="11361" spans="1:15" x14ac:dyDescent="0.25">
      <c r="A11361" t="s">
        <v>16</v>
      </c>
      <c r="B11361" t="s">
        <v>3221</v>
      </c>
      <c r="C11361">
        <v>3302</v>
      </c>
      <c r="D11361" t="s">
        <v>848</v>
      </c>
      <c r="E11361" t="s">
        <v>849</v>
      </c>
      <c r="F11361">
        <v>96.98</v>
      </c>
      <c r="G11361">
        <v>230301</v>
      </c>
      <c r="H11361">
        <v>4380</v>
      </c>
      <c r="I11361" t="s">
        <v>113</v>
      </c>
      <c r="J11361">
        <v>120.25</v>
      </c>
      <c r="K11361">
        <v>23.27</v>
      </c>
      <c r="L11361">
        <v>17950</v>
      </c>
      <c r="M11361" t="s">
        <v>86</v>
      </c>
      <c r="N11361" t="str">
        <f>"09814522    "</f>
        <v xml:space="preserve">09814522    </v>
      </c>
      <c r="O11361">
        <v>230314</v>
      </c>
    </row>
    <row r="11362" spans="1:15" x14ac:dyDescent="0.25">
      <c r="A11362" t="s">
        <v>16</v>
      </c>
      <c r="B11362" t="s">
        <v>3221</v>
      </c>
      <c r="C11362">
        <v>3302</v>
      </c>
      <c r="D11362" t="s">
        <v>848</v>
      </c>
      <c r="E11362" t="s">
        <v>849</v>
      </c>
      <c r="F11362">
        <v>32.36</v>
      </c>
      <c r="G11362">
        <v>230301</v>
      </c>
      <c r="H11362">
        <v>4380</v>
      </c>
      <c r="I11362" t="s">
        <v>113</v>
      </c>
      <c r="J11362">
        <v>40.130000000000003</v>
      </c>
      <c r="K11362">
        <v>7.77</v>
      </c>
      <c r="L11362">
        <v>17956</v>
      </c>
      <c r="M11362" t="s">
        <v>53</v>
      </c>
      <c r="N11362" t="str">
        <f>"09814522    "</f>
        <v xml:space="preserve">09814522    </v>
      </c>
      <c r="O11362">
        <v>230314</v>
      </c>
    </row>
    <row r="11363" spans="1:15" x14ac:dyDescent="0.25">
      <c r="A11363" t="s">
        <v>16</v>
      </c>
      <c r="B11363" t="s">
        <v>3221</v>
      </c>
      <c r="C11363">
        <v>3319</v>
      </c>
      <c r="D11363" t="s">
        <v>848</v>
      </c>
      <c r="E11363" t="s">
        <v>849</v>
      </c>
      <c r="F11363">
        <v>33.200000000000003</v>
      </c>
      <c r="G11363">
        <v>230308</v>
      </c>
      <c r="H11363">
        <v>4380</v>
      </c>
      <c r="I11363" t="s">
        <v>113</v>
      </c>
      <c r="J11363">
        <v>41.17</v>
      </c>
      <c r="K11363">
        <v>7.97</v>
      </c>
      <c r="L11363">
        <v>17521</v>
      </c>
      <c r="M11363" t="s">
        <v>133</v>
      </c>
      <c r="N11363" t="str">
        <f>"09851467    "</f>
        <v xml:space="preserve">09851467    </v>
      </c>
      <c r="O11363">
        <v>230314</v>
      </c>
    </row>
    <row r="11364" spans="1:15" x14ac:dyDescent="0.25">
      <c r="A11364" t="s">
        <v>16</v>
      </c>
      <c r="B11364" t="s">
        <v>3221</v>
      </c>
      <c r="C11364">
        <v>3323</v>
      </c>
      <c r="D11364" t="s">
        <v>848</v>
      </c>
      <c r="E11364" t="s">
        <v>849</v>
      </c>
      <c r="F11364">
        <v>9.4600000000000009</v>
      </c>
      <c r="G11364">
        <v>230302</v>
      </c>
      <c r="H11364">
        <v>4380</v>
      </c>
      <c r="I11364" t="s">
        <v>113</v>
      </c>
      <c r="J11364">
        <v>11.73</v>
      </c>
      <c r="K11364">
        <v>2.27</v>
      </c>
      <c r="L11364">
        <v>13540</v>
      </c>
      <c r="M11364" t="s">
        <v>85</v>
      </c>
      <c r="N11364" t="str">
        <f>"09818228    "</f>
        <v xml:space="preserve">09818228    </v>
      </c>
      <c r="O11364">
        <v>230314</v>
      </c>
    </row>
    <row r="11365" spans="1:15" x14ac:dyDescent="0.25">
      <c r="A11365" t="s">
        <v>16</v>
      </c>
      <c r="B11365" t="s">
        <v>3221</v>
      </c>
      <c r="C11365">
        <v>3323</v>
      </c>
      <c r="D11365" t="s">
        <v>848</v>
      </c>
      <c r="E11365" t="s">
        <v>849</v>
      </c>
      <c r="F11365">
        <v>163.81</v>
      </c>
      <c r="G11365">
        <v>230302</v>
      </c>
      <c r="H11365">
        <v>4380</v>
      </c>
      <c r="I11365" t="s">
        <v>113</v>
      </c>
      <c r="J11365">
        <v>203.12</v>
      </c>
      <c r="K11365">
        <v>39.31</v>
      </c>
      <c r="L11365">
        <v>17950</v>
      </c>
      <c r="M11365" t="s">
        <v>86</v>
      </c>
      <c r="N11365" t="str">
        <f>"09818228    "</f>
        <v xml:space="preserve">09818228    </v>
      </c>
      <c r="O11365">
        <v>230314</v>
      </c>
    </row>
    <row r="11366" spans="1:15" x14ac:dyDescent="0.25">
      <c r="A11366" t="s">
        <v>16</v>
      </c>
      <c r="B11366" t="s">
        <v>3221</v>
      </c>
      <c r="C11366">
        <v>3324</v>
      </c>
      <c r="D11366" t="s">
        <v>848</v>
      </c>
      <c r="E11366" t="s">
        <v>849</v>
      </c>
      <c r="F11366">
        <v>21.77</v>
      </c>
      <c r="G11366">
        <v>230302</v>
      </c>
      <c r="H11366">
        <v>4380</v>
      </c>
      <c r="I11366" t="s">
        <v>113</v>
      </c>
      <c r="J11366">
        <v>26.99</v>
      </c>
      <c r="K11366">
        <v>5.22</v>
      </c>
      <c r="L11366">
        <v>13540</v>
      </c>
      <c r="M11366" t="s">
        <v>85</v>
      </c>
      <c r="N11366" t="str">
        <f>"09818233    "</f>
        <v xml:space="preserve">09818233    </v>
      </c>
      <c r="O11366">
        <v>230314</v>
      </c>
    </row>
    <row r="11367" spans="1:15" x14ac:dyDescent="0.25">
      <c r="A11367" t="s">
        <v>16</v>
      </c>
      <c r="B11367" t="s">
        <v>3221</v>
      </c>
      <c r="C11367">
        <v>3324</v>
      </c>
      <c r="D11367" t="s">
        <v>848</v>
      </c>
      <c r="E11367" t="s">
        <v>849</v>
      </c>
      <c r="F11367">
        <v>223.64</v>
      </c>
      <c r="G11367">
        <v>230302</v>
      </c>
      <c r="H11367">
        <v>4380</v>
      </c>
      <c r="I11367" t="s">
        <v>113</v>
      </c>
      <c r="J11367">
        <v>277.31</v>
      </c>
      <c r="K11367">
        <v>53.67</v>
      </c>
      <c r="L11367">
        <v>17950</v>
      </c>
      <c r="M11367" t="s">
        <v>86</v>
      </c>
      <c r="N11367" t="str">
        <f>"09818233    "</f>
        <v xml:space="preserve">09818233    </v>
      </c>
      <c r="O11367">
        <v>230314</v>
      </c>
    </row>
    <row r="11368" spans="1:15" x14ac:dyDescent="0.25">
      <c r="A11368" t="s">
        <v>16</v>
      </c>
      <c r="B11368" t="s">
        <v>3221</v>
      </c>
      <c r="C11368">
        <v>4139</v>
      </c>
      <c r="D11368" t="s">
        <v>848</v>
      </c>
      <c r="E11368" t="s">
        <v>849</v>
      </c>
      <c r="F11368">
        <v>152.36000000000001</v>
      </c>
      <c r="G11368">
        <v>230330</v>
      </c>
      <c r="H11368">
        <v>4380</v>
      </c>
      <c r="I11368" t="s">
        <v>113</v>
      </c>
      <c r="J11368">
        <v>188.93</v>
      </c>
      <c r="K11368">
        <v>36.57</v>
      </c>
      <c r="L11368">
        <v>17951</v>
      </c>
      <c r="M11368" t="s">
        <v>87</v>
      </c>
      <c r="N11368" t="str">
        <f>"09875260    "</f>
        <v xml:space="preserve">09875260    </v>
      </c>
      <c r="O11368">
        <v>230330</v>
      </c>
    </row>
    <row r="11369" spans="1:15" x14ac:dyDescent="0.25">
      <c r="A11369" t="s">
        <v>16</v>
      </c>
      <c r="B11369" t="s">
        <v>3221</v>
      </c>
      <c r="C11369">
        <v>4141</v>
      </c>
      <c r="D11369" t="s">
        <v>848</v>
      </c>
      <c r="E11369" t="s">
        <v>849</v>
      </c>
      <c r="F11369">
        <v>16.36</v>
      </c>
      <c r="G11369">
        <v>230330</v>
      </c>
      <c r="H11369">
        <v>4380</v>
      </c>
      <c r="I11369" t="s">
        <v>113</v>
      </c>
      <c r="J11369">
        <v>20.29</v>
      </c>
      <c r="K11369">
        <v>3.93</v>
      </c>
      <c r="L11369">
        <v>17951</v>
      </c>
      <c r="M11369" t="s">
        <v>87</v>
      </c>
      <c r="N11369" t="str">
        <f>"09875256    "</f>
        <v xml:space="preserve">09875256    </v>
      </c>
      <c r="O11369">
        <v>230330</v>
      </c>
    </row>
    <row r="11370" spans="1:15" x14ac:dyDescent="0.25">
      <c r="A11370" t="s">
        <v>16</v>
      </c>
      <c r="B11370" t="s">
        <v>3221</v>
      </c>
      <c r="C11370">
        <v>4142</v>
      </c>
      <c r="D11370" t="s">
        <v>848</v>
      </c>
      <c r="E11370" t="s">
        <v>849</v>
      </c>
      <c r="F11370">
        <v>28.63</v>
      </c>
      <c r="G11370">
        <v>230330</v>
      </c>
      <c r="H11370">
        <v>4380</v>
      </c>
      <c r="I11370" t="s">
        <v>113</v>
      </c>
      <c r="J11370">
        <v>35.5</v>
      </c>
      <c r="K11370">
        <v>6.87</v>
      </c>
      <c r="L11370">
        <v>17951</v>
      </c>
      <c r="M11370" t="s">
        <v>87</v>
      </c>
      <c r="N11370" t="str">
        <f>"09875261    "</f>
        <v xml:space="preserve">09875261    </v>
      </c>
      <c r="O11370">
        <v>230330</v>
      </c>
    </row>
    <row r="11371" spans="1:15" x14ac:dyDescent="0.25">
      <c r="A11371" t="s">
        <v>16</v>
      </c>
      <c r="B11371" t="s">
        <v>3221</v>
      </c>
      <c r="C11371">
        <v>4148</v>
      </c>
      <c r="D11371" t="s">
        <v>848</v>
      </c>
      <c r="E11371" t="s">
        <v>849</v>
      </c>
      <c r="F11371">
        <v>55.68</v>
      </c>
      <c r="G11371">
        <v>230329</v>
      </c>
      <c r="H11371">
        <v>4380</v>
      </c>
      <c r="I11371" t="s">
        <v>113</v>
      </c>
      <c r="J11371">
        <v>69.040000000000006</v>
      </c>
      <c r="K11371">
        <v>13.36</v>
      </c>
      <c r="L11371">
        <v>47522</v>
      </c>
      <c r="M11371" t="s">
        <v>410</v>
      </c>
      <c r="N11371" t="str">
        <f>"09870332    "</f>
        <v xml:space="preserve">09870332    </v>
      </c>
      <c r="O11371">
        <v>230330</v>
      </c>
    </row>
    <row r="11372" spans="1:15" x14ac:dyDescent="0.25">
      <c r="A11372" t="s">
        <v>16</v>
      </c>
      <c r="B11372" t="s">
        <v>3221</v>
      </c>
      <c r="C11372">
        <v>4149</v>
      </c>
      <c r="D11372" t="s">
        <v>848</v>
      </c>
      <c r="E11372" t="s">
        <v>849</v>
      </c>
      <c r="F11372">
        <v>97.6</v>
      </c>
      <c r="G11372">
        <v>230329</v>
      </c>
      <c r="H11372">
        <v>4380</v>
      </c>
      <c r="I11372" t="s">
        <v>113</v>
      </c>
      <c r="J11372">
        <v>121.02</v>
      </c>
      <c r="K11372">
        <v>23.42</v>
      </c>
      <c r="L11372">
        <v>47522</v>
      </c>
      <c r="M11372" t="s">
        <v>410</v>
      </c>
      <c r="N11372" t="str">
        <f>"09870333    "</f>
        <v xml:space="preserve">09870333    </v>
      </c>
      <c r="O11372">
        <v>230330</v>
      </c>
    </row>
    <row r="11373" spans="1:15" x14ac:dyDescent="0.25">
      <c r="A11373" t="s">
        <v>16</v>
      </c>
      <c r="B11373" t="s">
        <v>3221</v>
      </c>
      <c r="C11373">
        <v>4156</v>
      </c>
      <c r="D11373" t="s">
        <v>848</v>
      </c>
      <c r="E11373" t="s">
        <v>849</v>
      </c>
      <c r="F11373">
        <v>40.18</v>
      </c>
      <c r="G11373">
        <v>230329</v>
      </c>
      <c r="H11373">
        <v>4380</v>
      </c>
      <c r="I11373" t="s">
        <v>113</v>
      </c>
      <c r="J11373">
        <v>49.82</v>
      </c>
      <c r="K11373">
        <v>9.64</v>
      </c>
      <c r="L11373">
        <v>46554</v>
      </c>
      <c r="M11373" t="s">
        <v>117</v>
      </c>
      <c r="N11373" t="str">
        <f>"09871262    "</f>
        <v xml:space="preserve">09871262    </v>
      </c>
      <c r="O11373">
        <v>230330</v>
      </c>
    </row>
    <row r="11374" spans="1:15" x14ac:dyDescent="0.25">
      <c r="A11374" t="s">
        <v>16</v>
      </c>
      <c r="B11374" t="s">
        <v>3221</v>
      </c>
      <c r="C11374">
        <v>4341</v>
      </c>
      <c r="D11374" t="s">
        <v>848</v>
      </c>
      <c r="E11374" t="s">
        <v>849</v>
      </c>
      <c r="F11374">
        <v>94</v>
      </c>
      <c r="G11374">
        <v>230330</v>
      </c>
      <c r="H11374">
        <v>4380</v>
      </c>
      <c r="I11374" t="s">
        <v>113</v>
      </c>
      <c r="J11374">
        <v>116.56</v>
      </c>
      <c r="K11374">
        <v>22.56</v>
      </c>
      <c r="L11374">
        <v>59501</v>
      </c>
      <c r="M11374" t="s">
        <v>69</v>
      </c>
      <c r="N11374" t="str">
        <f>"09875248    "</f>
        <v xml:space="preserve">09875248    </v>
      </c>
      <c r="O11374">
        <v>230404</v>
      </c>
    </row>
    <row r="11375" spans="1:15" x14ac:dyDescent="0.25">
      <c r="A11375" t="s">
        <v>16</v>
      </c>
      <c r="B11375" t="s">
        <v>3221</v>
      </c>
      <c r="C11375">
        <v>4342</v>
      </c>
      <c r="D11375" t="s">
        <v>848</v>
      </c>
      <c r="E11375" t="s">
        <v>849</v>
      </c>
      <c r="F11375">
        <v>43.4</v>
      </c>
      <c r="G11375">
        <v>230330</v>
      </c>
      <c r="H11375">
        <v>4380</v>
      </c>
      <c r="I11375" t="s">
        <v>113</v>
      </c>
      <c r="J11375">
        <v>53.82</v>
      </c>
      <c r="K11375">
        <v>10.42</v>
      </c>
      <c r="L11375">
        <v>59502</v>
      </c>
      <c r="M11375" t="s">
        <v>70</v>
      </c>
      <c r="N11375" t="str">
        <f>"09875255    "</f>
        <v xml:space="preserve">09875255    </v>
      </c>
      <c r="O11375">
        <v>230404</v>
      </c>
    </row>
    <row r="11376" spans="1:15" x14ac:dyDescent="0.25">
      <c r="A11376" t="s">
        <v>16</v>
      </c>
      <c r="B11376" t="s">
        <v>3221</v>
      </c>
      <c r="C11376">
        <v>4342</v>
      </c>
      <c r="D11376" t="s">
        <v>848</v>
      </c>
      <c r="E11376" t="s">
        <v>849</v>
      </c>
      <c r="F11376">
        <v>80.599999999999994</v>
      </c>
      <c r="G11376">
        <v>230330</v>
      </c>
      <c r="H11376">
        <v>4380</v>
      </c>
      <c r="I11376" t="s">
        <v>113</v>
      </c>
      <c r="J11376">
        <v>99.94</v>
      </c>
      <c r="K11376">
        <v>19.34</v>
      </c>
      <c r="L11376">
        <v>59802</v>
      </c>
      <c r="M11376" t="s">
        <v>73</v>
      </c>
      <c r="N11376" t="str">
        <f>"09875255    "</f>
        <v xml:space="preserve">09875255    </v>
      </c>
      <c r="O11376">
        <v>230404</v>
      </c>
    </row>
    <row r="11377" spans="1:15" x14ac:dyDescent="0.25">
      <c r="A11377" t="s">
        <v>16</v>
      </c>
      <c r="B11377" t="s">
        <v>3221</v>
      </c>
      <c r="C11377">
        <v>4345</v>
      </c>
      <c r="D11377" t="s">
        <v>848</v>
      </c>
      <c r="E11377" t="s">
        <v>849</v>
      </c>
      <c r="F11377">
        <v>87.35</v>
      </c>
      <c r="G11377">
        <v>230330</v>
      </c>
      <c r="H11377">
        <v>4380</v>
      </c>
      <c r="I11377" t="s">
        <v>113</v>
      </c>
      <c r="J11377">
        <v>108.31</v>
      </c>
      <c r="K11377">
        <v>20.96</v>
      </c>
      <c r="L11377">
        <v>59504</v>
      </c>
      <c r="M11377" t="s">
        <v>71</v>
      </c>
      <c r="N11377" t="str">
        <f>"09875251    "</f>
        <v xml:space="preserve">09875251    </v>
      </c>
      <c r="O11377">
        <v>230404</v>
      </c>
    </row>
    <row r="11378" spans="1:15" x14ac:dyDescent="0.25">
      <c r="A11378" t="s">
        <v>16</v>
      </c>
      <c r="B11378" t="s">
        <v>3221</v>
      </c>
      <c r="C11378">
        <v>4412</v>
      </c>
      <c r="D11378" t="s">
        <v>848</v>
      </c>
      <c r="E11378" t="s">
        <v>849</v>
      </c>
      <c r="F11378">
        <v>18</v>
      </c>
      <c r="G11378">
        <v>230330</v>
      </c>
      <c r="H11378">
        <v>4380</v>
      </c>
      <c r="I11378" t="s">
        <v>113</v>
      </c>
      <c r="J11378">
        <v>22.32</v>
      </c>
      <c r="K11378">
        <v>4.32</v>
      </c>
      <c r="L11378">
        <v>49501</v>
      </c>
      <c r="M11378" t="s">
        <v>177</v>
      </c>
      <c r="N11378" t="str">
        <f>"09875250    "</f>
        <v xml:space="preserve">09875250    </v>
      </c>
      <c r="O11378">
        <v>230405</v>
      </c>
    </row>
    <row r="11379" spans="1:15" x14ac:dyDescent="0.25">
      <c r="A11379" t="s">
        <v>16</v>
      </c>
      <c r="B11379" t="s">
        <v>3221</v>
      </c>
      <c r="C11379">
        <v>4508</v>
      </c>
      <c r="D11379" t="s">
        <v>848</v>
      </c>
      <c r="E11379" t="s">
        <v>849</v>
      </c>
      <c r="F11379">
        <v>53.17</v>
      </c>
      <c r="G11379">
        <v>230330</v>
      </c>
      <c r="H11379">
        <v>4380</v>
      </c>
      <c r="I11379" t="s">
        <v>113</v>
      </c>
      <c r="J11379">
        <v>65.930000000000007</v>
      </c>
      <c r="K11379">
        <v>12.76</v>
      </c>
      <c r="L11379">
        <v>17956</v>
      </c>
      <c r="M11379" t="s">
        <v>53</v>
      </c>
      <c r="N11379" t="str">
        <f>"09875258    "</f>
        <v xml:space="preserve">09875258    </v>
      </c>
      <c r="O11379">
        <v>230406</v>
      </c>
    </row>
    <row r="11380" spans="1:15" x14ac:dyDescent="0.25">
      <c r="A11380" t="s">
        <v>16</v>
      </c>
      <c r="B11380" t="s">
        <v>3221</v>
      </c>
      <c r="C11380">
        <v>4509</v>
      </c>
      <c r="D11380" t="s">
        <v>848</v>
      </c>
      <c r="E11380" t="s">
        <v>849</v>
      </c>
      <c r="F11380">
        <v>158.16</v>
      </c>
      <c r="G11380">
        <v>230330</v>
      </c>
      <c r="H11380">
        <v>4380</v>
      </c>
      <c r="I11380" t="s">
        <v>113</v>
      </c>
      <c r="J11380">
        <v>196.12</v>
      </c>
      <c r="K11380">
        <v>37.96</v>
      </c>
      <c r="L11380">
        <v>14951</v>
      </c>
      <c r="M11380" t="s">
        <v>57</v>
      </c>
      <c r="N11380" t="str">
        <f>"09875253    "</f>
        <v xml:space="preserve">09875253    </v>
      </c>
      <c r="O11380">
        <v>230406</v>
      </c>
    </row>
    <row r="11381" spans="1:15" x14ac:dyDescent="0.25">
      <c r="A11381" t="s">
        <v>16</v>
      </c>
      <c r="B11381" t="s">
        <v>3221</v>
      </c>
      <c r="C11381">
        <v>4511</v>
      </c>
      <c r="D11381" t="s">
        <v>848</v>
      </c>
      <c r="E11381" t="s">
        <v>849</v>
      </c>
      <c r="F11381">
        <v>20.420000000000002</v>
      </c>
      <c r="G11381">
        <v>230330</v>
      </c>
      <c r="H11381">
        <v>4380</v>
      </c>
      <c r="I11381" t="s">
        <v>113</v>
      </c>
      <c r="J11381">
        <v>25.32</v>
      </c>
      <c r="K11381">
        <v>4.9000000000000004</v>
      </c>
      <c r="L11381">
        <v>17956</v>
      </c>
      <c r="M11381" t="s">
        <v>53</v>
      </c>
      <c r="N11381" t="str">
        <f>"09875257    "</f>
        <v xml:space="preserve">09875257    </v>
      </c>
      <c r="O11381">
        <v>230406</v>
      </c>
    </row>
    <row r="11382" spans="1:15" x14ac:dyDescent="0.25">
      <c r="A11382" t="s">
        <v>16</v>
      </c>
      <c r="B11382" t="s">
        <v>3221</v>
      </c>
      <c r="C11382">
        <v>4512</v>
      </c>
      <c r="D11382" t="s">
        <v>848</v>
      </c>
      <c r="E11382" t="s">
        <v>849</v>
      </c>
      <c r="F11382">
        <v>24.54</v>
      </c>
      <c r="G11382">
        <v>230330</v>
      </c>
      <c r="H11382">
        <v>4380</v>
      </c>
      <c r="I11382" t="s">
        <v>113</v>
      </c>
      <c r="J11382">
        <v>30.43</v>
      </c>
      <c r="K11382">
        <v>5.89</v>
      </c>
      <c r="L11382">
        <v>17956</v>
      </c>
      <c r="M11382" t="s">
        <v>53</v>
      </c>
      <c r="N11382" t="str">
        <f>"09875249    "</f>
        <v xml:space="preserve">09875249    </v>
      </c>
      <c r="O11382">
        <v>230406</v>
      </c>
    </row>
    <row r="11383" spans="1:15" x14ac:dyDescent="0.25">
      <c r="A11383" t="s">
        <v>16</v>
      </c>
      <c r="B11383" t="s">
        <v>3221</v>
      </c>
      <c r="C11383">
        <v>4573</v>
      </c>
      <c r="D11383" t="s">
        <v>848</v>
      </c>
      <c r="E11383" t="s">
        <v>849</v>
      </c>
      <c r="F11383">
        <v>34.799999999999997</v>
      </c>
      <c r="G11383">
        <v>230405</v>
      </c>
      <c r="H11383">
        <v>4380</v>
      </c>
      <c r="I11383" t="s">
        <v>113</v>
      </c>
      <c r="J11383">
        <v>43.15</v>
      </c>
      <c r="K11383">
        <v>8.35</v>
      </c>
      <c r="L11383">
        <v>17521</v>
      </c>
      <c r="M11383" t="s">
        <v>133</v>
      </c>
      <c r="N11383" t="str">
        <f>"09908538    "</f>
        <v xml:space="preserve">09908538    </v>
      </c>
      <c r="O11383">
        <v>230406</v>
      </c>
    </row>
    <row r="11384" spans="1:15" x14ac:dyDescent="0.25">
      <c r="A11384" t="s">
        <v>16</v>
      </c>
      <c r="B11384" t="s">
        <v>3221</v>
      </c>
      <c r="C11384">
        <v>4648</v>
      </c>
      <c r="D11384" t="s">
        <v>848</v>
      </c>
      <c r="E11384" t="s">
        <v>849</v>
      </c>
      <c r="F11384">
        <v>22.05</v>
      </c>
      <c r="G11384">
        <v>230330</v>
      </c>
      <c r="H11384">
        <v>4380</v>
      </c>
      <c r="I11384" t="s">
        <v>113</v>
      </c>
      <c r="J11384">
        <v>27.34</v>
      </c>
      <c r="K11384">
        <v>5.29</v>
      </c>
      <c r="L11384">
        <v>13540</v>
      </c>
      <c r="M11384" t="s">
        <v>85</v>
      </c>
      <c r="N11384" t="str">
        <f>"09875254    "</f>
        <v xml:space="preserve">09875254    </v>
      </c>
      <c r="O11384">
        <v>230411</v>
      </c>
    </row>
    <row r="11385" spans="1:15" x14ac:dyDescent="0.25">
      <c r="A11385" t="s">
        <v>16</v>
      </c>
      <c r="B11385" t="s">
        <v>3221</v>
      </c>
      <c r="C11385">
        <v>4648</v>
      </c>
      <c r="D11385" t="s">
        <v>848</v>
      </c>
      <c r="E11385" t="s">
        <v>849</v>
      </c>
      <c r="F11385">
        <v>178.36</v>
      </c>
      <c r="G11385">
        <v>230330</v>
      </c>
      <c r="H11385">
        <v>4380</v>
      </c>
      <c r="I11385" t="s">
        <v>113</v>
      </c>
      <c r="J11385">
        <v>221.17</v>
      </c>
      <c r="K11385">
        <v>42.81</v>
      </c>
      <c r="L11385">
        <v>17950</v>
      </c>
      <c r="M11385" t="s">
        <v>86</v>
      </c>
      <c r="N11385" t="str">
        <f>"09875254    "</f>
        <v xml:space="preserve">09875254    </v>
      </c>
      <c r="O11385">
        <v>230411</v>
      </c>
    </row>
    <row r="11386" spans="1:15" x14ac:dyDescent="0.25">
      <c r="A11386" t="s">
        <v>16</v>
      </c>
      <c r="B11386" t="s">
        <v>3221</v>
      </c>
      <c r="C11386">
        <v>4651</v>
      </c>
      <c r="D11386" t="s">
        <v>848</v>
      </c>
      <c r="E11386" t="s">
        <v>849</v>
      </c>
      <c r="F11386">
        <v>24</v>
      </c>
      <c r="G11386">
        <v>230330</v>
      </c>
      <c r="H11386">
        <v>4380</v>
      </c>
      <c r="I11386" t="s">
        <v>113</v>
      </c>
      <c r="J11386">
        <v>29.76</v>
      </c>
      <c r="K11386">
        <v>5.76</v>
      </c>
      <c r="L11386">
        <v>17950</v>
      </c>
      <c r="M11386" t="s">
        <v>86</v>
      </c>
      <c r="N11386" t="str">
        <f>"09875252    "</f>
        <v xml:space="preserve">09875252    </v>
      </c>
      <c r="O11386">
        <v>230411</v>
      </c>
    </row>
    <row r="11387" spans="1:15" x14ac:dyDescent="0.25">
      <c r="A11387" t="s">
        <v>16</v>
      </c>
      <c r="B11387" t="s">
        <v>3221</v>
      </c>
      <c r="C11387">
        <v>4651</v>
      </c>
      <c r="D11387" t="s">
        <v>848</v>
      </c>
      <c r="E11387" t="s">
        <v>849</v>
      </c>
      <c r="F11387">
        <v>218.41</v>
      </c>
      <c r="G11387">
        <v>230330</v>
      </c>
      <c r="H11387">
        <v>4380</v>
      </c>
      <c r="I11387" t="s">
        <v>113</v>
      </c>
      <c r="J11387">
        <v>270.83</v>
      </c>
      <c r="K11387">
        <v>52.42</v>
      </c>
      <c r="L11387">
        <v>17950</v>
      </c>
      <c r="M11387" t="s">
        <v>86</v>
      </c>
      <c r="N11387" t="str">
        <f>"09875252    "</f>
        <v xml:space="preserve">09875252    </v>
      </c>
      <c r="O11387">
        <v>230411</v>
      </c>
    </row>
    <row r="11388" spans="1:15" x14ac:dyDescent="0.25">
      <c r="A11388" t="s">
        <v>16</v>
      </c>
      <c r="B11388" t="s">
        <v>3221</v>
      </c>
      <c r="C11388">
        <v>4774</v>
      </c>
      <c r="D11388" t="s">
        <v>848</v>
      </c>
      <c r="E11388" t="s">
        <v>849</v>
      </c>
      <c r="F11388">
        <v>101.35</v>
      </c>
      <c r="G11388">
        <v>230406</v>
      </c>
      <c r="H11388">
        <v>4380</v>
      </c>
      <c r="I11388" t="s">
        <v>113</v>
      </c>
      <c r="J11388">
        <v>125.67</v>
      </c>
      <c r="K11388">
        <v>24.32</v>
      </c>
      <c r="L11388">
        <v>59505</v>
      </c>
      <c r="M11388" t="s">
        <v>72</v>
      </c>
      <c r="N11388" t="str">
        <f>"09914058    "</f>
        <v xml:space="preserve">09914058    </v>
      </c>
      <c r="O11388">
        <v>230412</v>
      </c>
    </row>
    <row r="11389" spans="1:15" x14ac:dyDescent="0.25">
      <c r="A11389" t="s">
        <v>16</v>
      </c>
      <c r="B11389" t="s">
        <v>3221</v>
      </c>
      <c r="C11389">
        <v>4777</v>
      </c>
      <c r="D11389" t="s">
        <v>848</v>
      </c>
      <c r="E11389" t="s">
        <v>849</v>
      </c>
      <c r="F11389">
        <v>402.5</v>
      </c>
      <c r="G11389">
        <v>230406</v>
      </c>
      <c r="H11389">
        <v>4380</v>
      </c>
      <c r="I11389" t="s">
        <v>113</v>
      </c>
      <c r="J11389">
        <v>499.1</v>
      </c>
      <c r="K11389">
        <v>96.6</v>
      </c>
      <c r="L11389">
        <v>17951</v>
      </c>
      <c r="M11389" t="s">
        <v>87</v>
      </c>
      <c r="N11389" t="str">
        <f>"09915308    "</f>
        <v xml:space="preserve">09915308    </v>
      </c>
      <c r="O11389">
        <v>230412</v>
      </c>
    </row>
    <row r="11390" spans="1:15" x14ac:dyDescent="0.25">
      <c r="A11390" t="s">
        <v>16</v>
      </c>
      <c r="B11390" t="s">
        <v>3221</v>
      </c>
      <c r="C11390">
        <v>4804</v>
      </c>
      <c r="D11390" t="s">
        <v>848</v>
      </c>
      <c r="E11390" t="s">
        <v>849</v>
      </c>
      <c r="F11390">
        <v>25.75</v>
      </c>
      <c r="G11390">
        <v>230406</v>
      </c>
      <c r="H11390">
        <v>4380</v>
      </c>
      <c r="I11390" t="s">
        <v>113</v>
      </c>
      <c r="J11390">
        <v>31.93</v>
      </c>
      <c r="K11390">
        <v>6.18</v>
      </c>
      <c r="L11390">
        <v>17951</v>
      </c>
      <c r="M11390" t="s">
        <v>87</v>
      </c>
      <c r="N11390" t="str">
        <f>"09916032    "</f>
        <v xml:space="preserve">09916032    </v>
      </c>
      <c r="O11390">
        <v>230412</v>
      </c>
    </row>
    <row r="11391" spans="1:15" x14ac:dyDescent="0.25">
      <c r="A11391" t="s">
        <v>16</v>
      </c>
      <c r="B11391" t="s">
        <v>3221</v>
      </c>
      <c r="C11391">
        <v>4866</v>
      </c>
      <c r="D11391" t="s">
        <v>848</v>
      </c>
      <c r="E11391" t="s">
        <v>849</v>
      </c>
      <c r="F11391">
        <v>4.6500000000000004</v>
      </c>
      <c r="G11391">
        <v>230406</v>
      </c>
      <c r="H11391">
        <v>4380</v>
      </c>
      <c r="I11391" t="s">
        <v>113</v>
      </c>
      <c r="J11391">
        <v>5.77</v>
      </c>
      <c r="K11391">
        <v>1.1200000000000001</v>
      </c>
      <c r="L11391">
        <v>13641</v>
      </c>
      <c r="M11391" t="s">
        <v>1471</v>
      </c>
      <c r="N11391" t="str">
        <f>"09915316    "</f>
        <v xml:space="preserve">09915316    </v>
      </c>
      <c r="O11391">
        <v>230413</v>
      </c>
    </row>
    <row r="11392" spans="1:15" x14ac:dyDescent="0.25">
      <c r="A11392" t="s">
        <v>16</v>
      </c>
      <c r="B11392" t="s">
        <v>3221</v>
      </c>
      <c r="C11392">
        <v>4935</v>
      </c>
      <c r="D11392" t="s">
        <v>848</v>
      </c>
      <c r="E11392" t="s">
        <v>849</v>
      </c>
      <c r="F11392">
        <v>85.55</v>
      </c>
      <c r="G11392">
        <v>230406</v>
      </c>
      <c r="H11392">
        <v>4380</v>
      </c>
      <c r="I11392" t="s">
        <v>113</v>
      </c>
      <c r="J11392">
        <v>106.08</v>
      </c>
      <c r="K11392">
        <v>20.53</v>
      </c>
      <c r="L11392">
        <v>14432</v>
      </c>
      <c r="M11392" t="s">
        <v>862</v>
      </c>
      <c r="N11392" t="str">
        <f>"09915537    "</f>
        <v xml:space="preserve">09915537    </v>
      </c>
      <c r="O11392">
        <v>230414</v>
      </c>
    </row>
    <row r="11393" spans="1:15" x14ac:dyDescent="0.25">
      <c r="A11393" t="s">
        <v>16</v>
      </c>
      <c r="B11393" t="s">
        <v>3221</v>
      </c>
      <c r="C11393">
        <v>4935</v>
      </c>
      <c r="D11393" t="s">
        <v>848</v>
      </c>
      <c r="E11393" t="s">
        <v>849</v>
      </c>
      <c r="F11393">
        <v>13.25</v>
      </c>
      <c r="G11393">
        <v>230406</v>
      </c>
      <c r="H11393">
        <v>4380</v>
      </c>
      <c r="I11393" t="s">
        <v>113</v>
      </c>
      <c r="J11393">
        <v>16.43</v>
      </c>
      <c r="K11393">
        <v>3.18</v>
      </c>
      <c r="L11393">
        <v>14951</v>
      </c>
      <c r="M11393" t="s">
        <v>57</v>
      </c>
      <c r="N11393" t="str">
        <f>"09915537    "</f>
        <v xml:space="preserve">09915537    </v>
      </c>
      <c r="O11393">
        <v>230414</v>
      </c>
    </row>
    <row r="11394" spans="1:15" x14ac:dyDescent="0.25">
      <c r="A11394" t="s">
        <v>16</v>
      </c>
      <c r="B11394" t="s">
        <v>3221</v>
      </c>
      <c r="C11394">
        <v>4938</v>
      </c>
      <c r="D11394" t="s">
        <v>848</v>
      </c>
      <c r="E11394" t="s">
        <v>849</v>
      </c>
      <c r="F11394">
        <v>29.65</v>
      </c>
      <c r="G11394">
        <v>230406</v>
      </c>
      <c r="H11394">
        <v>4380</v>
      </c>
      <c r="I11394" t="s">
        <v>113</v>
      </c>
      <c r="J11394">
        <v>36.770000000000003</v>
      </c>
      <c r="K11394">
        <v>7.12</v>
      </c>
      <c r="L11394">
        <v>59504</v>
      </c>
      <c r="M11394" t="s">
        <v>71</v>
      </c>
      <c r="N11394" t="str">
        <f>"09915535    "</f>
        <v xml:space="preserve">09915535    </v>
      </c>
      <c r="O11394">
        <v>230414</v>
      </c>
    </row>
    <row r="11395" spans="1:15" x14ac:dyDescent="0.25">
      <c r="A11395" t="s">
        <v>16</v>
      </c>
      <c r="B11395" t="s">
        <v>3221</v>
      </c>
      <c r="C11395">
        <v>4939</v>
      </c>
      <c r="D11395" t="s">
        <v>848</v>
      </c>
      <c r="E11395" t="s">
        <v>849</v>
      </c>
      <c r="F11395">
        <v>172.35</v>
      </c>
      <c r="G11395">
        <v>230406</v>
      </c>
      <c r="H11395">
        <v>4380</v>
      </c>
      <c r="I11395" t="s">
        <v>113</v>
      </c>
      <c r="J11395">
        <v>213.71</v>
      </c>
      <c r="K11395">
        <v>41.36</v>
      </c>
      <c r="L11395">
        <v>59501</v>
      </c>
      <c r="M11395" t="s">
        <v>69</v>
      </c>
      <c r="N11395" t="str">
        <f>"09915532    "</f>
        <v xml:space="preserve">09915532    </v>
      </c>
      <c r="O11395">
        <v>230414</v>
      </c>
    </row>
    <row r="11396" spans="1:15" x14ac:dyDescent="0.25">
      <c r="A11396" t="s">
        <v>16</v>
      </c>
      <c r="B11396" t="s">
        <v>3221</v>
      </c>
      <c r="C11396">
        <v>4940</v>
      </c>
      <c r="D11396" t="s">
        <v>848</v>
      </c>
      <c r="E11396" t="s">
        <v>849</v>
      </c>
      <c r="F11396">
        <v>49.06</v>
      </c>
      <c r="G11396">
        <v>230406</v>
      </c>
      <c r="H11396">
        <v>4380</v>
      </c>
      <c r="I11396" t="s">
        <v>113</v>
      </c>
      <c r="J11396">
        <v>60.84</v>
      </c>
      <c r="K11396">
        <v>11.78</v>
      </c>
      <c r="L11396">
        <v>59502</v>
      </c>
      <c r="M11396" t="s">
        <v>70</v>
      </c>
      <c r="N11396" t="str">
        <f>"09915534    "</f>
        <v xml:space="preserve">09915534    </v>
      </c>
      <c r="O11396">
        <v>230414</v>
      </c>
    </row>
    <row r="11397" spans="1:15" x14ac:dyDescent="0.25">
      <c r="A11397" t="s">
        <v>16</v>
      </c>
      <c r="B11397" t="s">
        <v>3221</v>
      </c>
      <c r="C11397">
        <v>4940</v>
      </c>
      <c r="D11397" t="s">
        <v>848</v>
      </c>
      <c r="E11397" t="s">
        <v>849</v>
      </c>
      <c r="F11397">
        <v>31.39</v>
      </c>
      <c r="G11397">
        <v>230406</v>
      </c>
      <c r="H11397">
        <v>4380</v>
      </c>
      <c r="I11397" t="s">
        <v>113</v>
      </c>
      <c r="J11397">
        <v>38.92</v>
      </c>
      <c r="K11397">
        <v>7.53</v>
      </c>
      <c r="L11397">
        <v>59802</v>
      </c>
      <c r="M11397" t="s">
        <v>73</v>
      </c>
      <c r="N11397" t="str">
        <f>"09915534    "</f>
        <v xml:space="preserve">09915534    </v>
      </c>
      <c r="O11397">
        <v>230414</v>
      </c>
    </row>
    <row r="11398" spans="1:15" x14ac:dyDescent="0.25">
      <c r="A11398" t="s">
        <v>16</v>
      </c>
      <c r="B11398" t="s">
        <v>3221</v>
      </c>
      <c r="C11398">
        <v>4942</v>
      </c>
      <c r="D11398" t="s">
        <v>848</v>
      </c>
      <c r="E11398" t="s">
        <v>849</v>
      </c>
      <c r="F11398">
        <v>40.299999999999997</v>
      </c>
      <c r="G11398">
        <v>230406</v>
      </c>
      <c r="H11398">
        <v>4380</v>
      </c>
      <c r="I11398" t="s">
        <v>113</v>
      </c>
      <c r="J11398">
        <v>49.97</v>
      </c>
      <c r="K11398">
        <v>9.67</v>
      </c>
      <c r="L11398">
        <v>59505</v>
      </c>
      <c r="M11398" t="s">
        <v>72</v>
      </c>
      <c r="N11398" t="str">
        <f>"09915533    "</f>
        <v xml:space="preserve">09915533    </v>
      </c>
      <c r="O11398">
        <v>230414</v>
      </c>
    </row>
    <row r="11399" spans="1:15" x14ac:dyDescent="0.25">
      <c r="A11399" t="s">
        <v>16</v>
      </c>
      <c r="B11399" t="s">
        <v>3221</v>
      </c>
      <c r="C11399">
        <v>5010</v>
      </c>
      <c r="D11399" t="s">
        <v>848</v>
      </c>
      <c r="E11399" t="s">
        <v>849</v>
      </c>
      <c r="F11399">
        <v>91.95</v>
      </c>
      <c r="G11399">
        <v>230406</v>
      </c>
      <c r="H11399">
        <v>4380</v>
      </c>
      <c r="I11399" t="s">
        <v>113</v>
      </c>
      <c r="J11399">
        <v>114.02</v>
      </c>
      <c r="K11399">
        <v>22.07</v>
      </c>
      <c r="L11399">
        <v>49501</v>
      </c>
      <c r="M11399" t="s">
        <v>177</v>
      </c>
      <c r="N11399" t="str">
        <f>"09915539    "</f>
        <v xml:space="preserve">09915539    </v>
      </c>
      <c r="O11399">
        <v>230417</v>
      </c>
    </row>
    <row r="11400" spans="1:15" x14ac:dyDescent="0.25">
      <c r="A11400" t="s">
        <v>16</v>
      </c>
      <c r="B11400" t="s">
        <v>3221</v>
      </c>
      <c r="C11400">
        <v>5010</v>
      </c>
      <c r="D11400" t="s">
        <v>848</v>
      </c>
      <c r="E11400" t="s">
        <v>849</v>
      </c>
      <c r="F11400">
        <v>25.05</v>
      </c>
      <c r="G11400">
        <v>230406</v>
      </c>
      <c r="H11400">
        <v>4380</v>
      </c>
      <c r="I11400" t="s">
        <v>113</v>
      </c>
      <c r="J11400">
        <v>31.06</v>
      </c>
      <c r="K11400">
        <v>6.01</v>
      </c>
      <c r="L11400">
        <v>49503</v>
      </c>
      <c r="M11400" t="s">
        <v>178</v>
      </c>
      <c r="N11400" t="str">
        <f>"09915539    "</f>
        <v xml:space="preserve">09915539    </v>
      </c>
      <c r="O11400">
        <v>230417</v>
      </c>
    </row>
    <row r="11401" spans="1:15" x14ac:dyDescent="0.25">
      <c r="A11401" t="s">
        <v>16</v>
      </c>
      <c r="B11401" t="s">
        <v>3221</v>
      </c>
      <c r="C11401">
        <v>5050</v>
      </c>
      <c r="D11401" t="s">
        <v>848</v>
      </c>
      <c r="E11401" t="s">
        <v>849</v>
      </c>
      <c r="F11401">
        <v>-22.94</v>
      </c>
      <c r="G11401">
        <v>230413</v>
      </c>
      <c r="H11401">
        <v>4380</v>
      </c>
      <c r="I11401" t="s">
        <v>113</v>
      </c>
      <c r="J11401">
        <v>-28.45</v>
      </c>
      <c r="K11401">
        <v>-5.51</v>
      </c>
      <c r="L11401">
        <v>13540</v>
      </c>
      <c r="M11401" t="s">
        <v>85</v>
      </c>
      <c r="N11401" t="str">
        <f>"90065632    "</f>
        <v xml:space="preserve">90065632    </v>
      </c>
      <c r="O11401">
        <v>230418</v>
      </c>
    </row>
    <row r="11402" spans="1:15" x14ac:dyDescent="0.25">
      <c r="A11402" t="s">
        <v>16</v>
      </c>
      <c r="B11402" t="s">
        <v>3221</v>
      </c>
      <c r="C11402">
        <v>5050</v>
      </c>
      <c r="D11402" t="s">
        <v>848</v>
      </c>
      <c r="E11402" t="s">
        <v>849</v>
      </c>
      <c r="F11402">
        <v>-185.65</v>
      </c>
      <c r="G11402">
        <v>230413</v>
      </c>
      <c r="H11402">
        <v>4380</v>
      </c>
      <c r="I11402" t="s">
        <v>113</v>
      </c>
      <c r="J11402">
        <v>-230.2</v>
      </c>
      <c r="K11402">
        <v>-44.55</v>
      </c>
      <c r="L11402">
        <v>17950</v>
      </c>
      <c r="M11402" t="s">
        <v>86</v>
      </c>
      <c r="N11402" t="str">
        <f>"90065632    "</f>
        <v xml:space="preserve">90065632    </v>
      </c>
      <c r="O11402">
        <v>230418</v>
      </c>
    </row>
    <row r="11403" spans="1:15" x14ac:dyDescent="0.25">
      <c r="A11403" t="s">
        <v>16</v>
      </c>
      <c r="B11403" t="s">
        <v>3221</v>
      </c>
      <c r="C11403">
        <v>5388</v>
      </c>
      <c r="D11403" t="s">
        <v>848</v>
      </c>
      <c r="E11403" t="s">
        <v>849</v>
      </c>
      <c r="F11403">
        <v>15.48</v>
      </c>
      <c r="G11403">
        <v>230406</v>
      </c>
      <c r="H11403">
        <v>4380</v>
      </c>
      <c r="I11403" t="s">
        <v>113</v>
      </c>
      <c r="J11403">
        <v>19.2</v>
      </c>
      <c r="K11403">
        <v>3.72</v>
      </c>
      <c r="L11403">
        <v>13540</v>
      </c>
      <c r="M11403" t="s">
        <v>85</v>
      </c>
      <c r="N11403" t="str">
        <f>"09915312    "</f>
        <v xml:space="preserve">09915312    </v>
      </c>
      <c r="O11403">
        <v>230424</v>
      </c>
    </row>
    <row r="11404" spans="1:15" x14ac:dyDescent="0.25">
      <c r="A11404" t="s">
        <v>16</v>
      </c>
      <c r="B11404" t="s">
        <v>3221</v>
      </c>
      <c r="C11404">
        <v>5388</v>
      </c>
      <c r="D11404" t="s">
        <v>848</v>
      </c>
      <c r="E11404" t="s">
        <v>849</v>
      </c>
      <c r="F11404">
        <v>125.31</v>
      </c>
      <c r="G11404">
        <v>230406</v>
      </c>
      <c r="H11404">
        <v>4380</v>
      </c>
      <c r="I11404" t="s">
        <v>113</v>
      </c>
      <c r="J11404">
        <v>155.38999999999999</v>
      </c>
      <c r="K11404">
        <v>30.08</v>
      </c>
      <c r="L11404">
        <v>17950</v>
      </c>
      <c r="M11404" t="s">
        <v>86</v>
      </c>
      <c r="N11404" t="str">
        <f>"09915312    "</f>
        <v xml:space="preserve">09915312    </v>
      </c>
      <c r="O11404">
        <v>230424</v>
      </c>
    </row>
    <row r="11405" spans="1:15" x14ac:dyDescent="0.25">
      <c r="A11405" t="s">
        <v>16</v>
      </c>
      <c r="B11405" t="s">
        <v>3221</v>
      </c>
      <c r="C11405">
        <v>5388</v>
      </c>
      <c r="D11405" t="s">
        <v>848</v>
      </c>
      <c r="E11405" t="s">
        <v>849</v>
      </c>
      <c r="F11405">
        <v>49.5</v>
      </c>
      <c r="G11405">
        <v>230406</v>
      </c>
      <c r="H11405">
        <v>4380</v>
      </c>
      <c r="I11405" t="s">
        <v>113</v>
      </c>
      <c r="J11405">
        <v>61.38</v>
      </c>
      <c r="K11405">
        <v>11.88</v>
      </c>
      <c r="L11405">
        <v>17956</v>
      </c>
      <c r="M11405" t="s">
        <v>53</v>
      </c>
      <c r="N11405" t="str">
        <f>"09915312    "</f>
        <v xml:space="preserve">09915312    </v>
      </c>
      <c r="O11405">
        <v>230424</v>
      </c>
    </row>
    <row r="11406" spans="1:15" x14ac:dyDescent="0.25">
      <c r="A11406" t="s">
        <v>16</v>
      </c>
      <c r="B11406" t="s">
        <v>3221</v>
      </c>
      <c r="C11406">
        <v>5670</v>
      </c>
      <c r="D11406" t="s">
        <v>848</v>
      </c>
      <c r="E11406" t="s">
        <v>849</v>
      </c>
      <c r="F11406">
        <v>97.6</v>
      </c>
      <c r="G11406">
        <v>230426</v>
      </c>
      <c r="H11406">
        <v>4380</v>
      </c>
      <c r="I11406" t="s">
        <v>113</v>
      </c>
      <c r="J11406">
        <v>121.02</v>
      </c>
      <c r="K11406">
        <v>23.42</v>
      </c>
      <c r="L11406">
        <v>47522</v>
      </c>
      <c r="M11406" t="s">
        <v>410</v>
      </c>
      <c r="N11406" t="str">
        <f>"09933891    "</f>
        <v xml:space="preserve">09933891    </v>
      </c>
      <c r="O11406">
        <v>230428</v>
      </c>
    </row>
    <row r="11407" spans="1:15" x14ac:dyDescent="0.25">
      <c r="A11407" t="s">
        <v>16</v>
      </c>
      <c r="B11407" t="s">
        <v>3221</v>
      </c>
      <c r="C11407">
        <v>5671</v>
      </c>
      <c r="D11407" t="s">
        <v>848</v>
      </c>
      <c r="E11407" t="s">
        <v>849</v>
      </c>
      <c r="F11407">
        <v>55.68</v>
      </c>
      <c r="G11407">
        <v>230426</v>
      </c>
      <c r="H11407">
        <v>4380</v>
      </c>
      <c r="I11407" t="s">
        <v>113</v>
      </c>
      <c r="J11407">
        <v>69.040000000000006</v>
      </c>
      <c r="K11407">
        <v>13.36</v>
      </c>
      <c r="L11407">
        <v>47522</v>
      </c>
      <c r="M11407" t="s">
        <v>410</v>
      </c>
      <c r="N11407" t="str">
        <f>"09933890    "</f>
        <v xml:space="preserve">09933890    </v>
      </c>
      <c r="O11407">
        <v>230428</v>
      </c>
    </row>
    <row r="11408" spans="1:15" x14ac:dyDescent="0.25">
      <c r="A11408" t="s">
        <v>16</v>
      </c>
      <c r="B11408" t="s">
        <v>3221</v>
      </c>
      <c r="C11408">
        <v>5840</v>
      </c>
      <c r="D11408" t="s">
        <v>848</v>
      </c>
      <c r="E11408" t="s">
        <v>849</v>
      </c>
      <c r="F11408">
        <v>40.9</v>
      </c>
      <c r="G11408">
        <v>230427</v>
      </c>
      <c r="H11408">
        <v>4380</v>
      </c>
      <c r="I11408" t="s">
        <v>113</v>
      </c>
      <c r="J11408">
        <v>50.72</v>
      </c>
      <c r="K11408">
        <v>9.82</v>
      </c>
      <c r="L11408">
        <v>17951</v>
      </c>
      <c r="M11408" t="s">
        <v>87</v>
      </c>
      <c r="N11408" t="str">
        <f>"09938769    "</f>
        <v xml:space="preserve">09938769    </v>
      </c>
      <c r="O11408">
        <v>230503</v>
      </c>
    </row>
    <row r="11409" spans="1:15" x14ac:dyDescent="0.25">
      <c r="A11409" t="s">
        <v>16</v>
      </c>
      <c r="B11409" t="s">
        <v>3221</v>
      </c>
      <c r="C11409">
        <v>5842</v>
      </c>
      <c r="D11409" t="s">
        <v>848</v>
      </c>
      <c r="E11409" t="s">
        <v>849</v>
      </c>
      <c r="F11409">
        <v>170.43</v>
      </c>
      <c r="G11409">
        <v>230427</v>
      </c>
      <c r="H11409">
        <v>4380</v>
      </c>
      <c r="I11409" t="s">
        <v>113</v>
      </c>
      <c r="J11409">
        <v>211.33</v>
      </c>
      <c r="K11409">
        <v>40.9</v>
      </c>
      <c r="L11409">
        <v>14951</v>
      </c>
      <c r="M11409" t="s">
        <v>57</v>
      </c>
      <c r="N11409" t="str">
        <f>"09938773    "</f>
        <v xml:space="preserve">09938773    </v>
      </c>
      <c r="O11409">
        <v>230503</v>
      </c>
    </row>
    <row r="11410" spans="1:15" x14ac:dyDescent="0.25">
      <c r="A11410" t="s">
        <v>16</v>
      </c>
      <c r="B11410" t="s">
        <v>3221</v>
      </c>
      <c r="C11410">
        <v>5843</v>
      </c>
      <c r="D11410" t="s">
        <v>848</v>
      </c>
      <c r="E11410" t="s">
        <v>849</v>
      </c>
      <c r="F11410">
        <v>156.44999999999999</v>
      </c>
      <c r="G11410">
        <v>230427</v>
      </c>
      <c r="H11410">
        <v>4380</v>
      </c>
      <c r="I11410" t="s">
        <v>113</v>
      </c>
      <c r="J11410">
        <v>194</v>
      </c>
      <c r="K11410">
        <v>37.549999999999997</v>
      </c>
      <c r="L11410">
        <v>17951</v>
      </c>
      <c r="M11410" t="s">
        <v>87</v>
      </c>
      <c r="N11410" t="str">
        <f>"09938774    "</f>
        <v xml:space="preserve">09938774    </v>
      </c>
      <c r="O11410">
        <v>230503</v>
      </c>
    </row>
    <row r="11411" spans="1:15" x14ac:dyDescent="0.25">
      <c r="A11411" t="s">
        <v>16</v>
      </c>
      <c r="B11411" t="s">
        <v>3221</v>
      </c>
      <c r="C11411">
        <v>5845</v>
      </c>
      <c r="D11411" t="s">
        <v>848</v>
      </c>
      <c r="E11411" t="s">
        <v>849</v>
      </c>
      <c r="F11411">
        <v>49.08</v>
      </c>
      <c r="G11411">
        <v>230427</v>
      </c>
      <c r="H11411">
        <v>4380</v>
      </c>
      <c r="I11411" t="s">
        <v>113</v>
      </c>
      <c r="J11411">
        <v>60.86</v>
      </c>
      <c r="K11411">
        <v>11.78</v>
      </c>
      <c r="L11411">
        <v>17951</v>
      </c>
      <c r="M11411" t="s">
        <v>87</v>
      </c>
      <c r="N11411" t="str">
        <f>"09938767    "</f>
        <v xml:space="preserve">09938767    </v>
      </c>
      <c r="O11411">
        <v>230503</v>
      </c>
    </row>
    <row r="11412" spans="1:15" x14ac:dyDescent="0.25">
      <c r="A11412" t="s">
        <v>16</v>
      </c>
      <c r="B11412" t="s">
        <v>3221</v>
      </c>
      <c r="C11412">
        <v>5849</v>
      </c>
      <c r="D11412" t="s">
        <v>848</v>
      </c>
      <c r="E11412" t="s">
        <v>849</v>
      </c>
      <c r="F11412">
        <v>32.72</v>
      </c>
      <c r="G11412">
        <v>230427</v>
      </c>
      <c r="H11412">
        <v>4380</v>
      </c>
      <c r="I11412" t="s">
        <v>113</v>
      </c>
      <c r="J11412">
        <v>40.57</v>
      </c>
      <c r="K11412">
        <v>7.85</v>
      </c>
      <c r="L11412">
        <v>17951</v>
      </c>
      <c r="M11412" t="s">
        <v>87</v>
      </c>
      <c r="N11412" t="str">
        <f>"09938771    "</f>
        <v xml:space="preserve">09938771    </v>
      </c>
      <c r="O11412">
        <v>230503</v>
      </c>
    </row>
    <row r="11413" spans="1:15" x14ac:dyDescent="0.25">
      <c r="A11413" t="s">
        <v>16</v>
      </c>
      <c r="B11413" t="s">
        <v>3221</v>
      </c>
      <c r="C11413">
        <v>5851</v>
      </c>
      <c r="D11413" t="s">
        <v>848</v>
      </c>
      <c r="E11413" t="s">
        <v>849</v>
      </c>
      <c r="F11413">
        <v>179.4</v>
      </c>
      <c r="G11413">
        <v>230427</v>
      </c>
      <c r="H11413">
        <v>4380</v>
      </c>
      <c r="I11413" t="s">
        <v>113</v>
      </c>
      <c r="J11413">
        <v>222.45</v>
      </c>
      <c r="K11413">
        <v>43.05</v>
      </c>
      <c r="L11413">
        <v>59502</v>
      </c>
      <c r="M11413" t="s">
        <v>70</v>
      </c>
      <c r="N11413" t="str">
        <f>"09938778    "</f>
        <v xml:space="preserve">09938778    </v>
      </c>
      <c r="O11413">
        <v>230503</v>
      </c>
    </row>
    <row r="11414" spans="1:15" x14ac:dyDescent="0.25">
      <c r="A11414" t="s">
        <v>16</v>
      </c>
      <c r="B11414" t="s">
        <v>3221</v>
      </c>
      <c r="C11414">
        <v>5851</v>
      </c>
      <c r="D11414" t="s">
        <v>848</v>
      </c>
      <c r="E11414" t="s">
        <v>849</v>
      </c>
      <c r="F11414">
        <v>333.15</v>
      </c>
      <c r="G11414">
        <v>230427</v>
      </c>
      <c r="H11414">
        <v>4380</v>
      </c>
      <c r="I11414" t="s">
        <v>113</v>
      </c>
      <c r="J11414">
        <v>413.11</v>
      </c>
      <c r="K11414">
        <v>79.959999999999994</v>
      </c>
      <c r="L11414">
        <v>59802</v>
      </c>
      <c r="M11414" t="s">
        <v>73</v>
      </c>
      <c r="N11414" t="str">
        <f>"09938778    "</f>
        <v xml:space="preserve">09938778    </v>
      </c>
      <c r="O11414">
        <v>230503</v>
      </c>
    </row>
    <row r="11415" spans="1:15" x14ac:dyDescent="0.25">
      <c r="A11415" t="s">
        <v>16</v>
      </c>
      <c r="B11415" t="s">
        <v>3221</v>
      </c>
      <c r="C11415">
        <v>5853</v>
      </c>
      <c r="D11415" t="s">
        <v>848</v>
      </c>
      <c r="E11415" t="s">
        <v>849</v>
      </c>
      <c r="F11415">
        <v>32.72</v>
      </c>
      <c r="G11415">
        <v>230427</v>
      </c>
      <c r="H11415">
        <v>4380</v>
      </c>
      <c r="I11415" t="s">
        <v>113</v>
      </c>
      <c r="J11415">
        <v>40.57</v>
      </c>
      <c r="K11415">
        <v>7.85</v>
      </c>
      <c r="L11415">
        <v>17951</v>
      </c>
      <c r="M11415" t="s">
        <v>87</v>
      </c>
      <c r="N11415" t="str">
        <f>"09938776    "</f>
        <v xml:space="preserve">09938776    </v>
      </c>
      <c r="O11415">
        <v>230503</v>
      </c>
    </row>
    <row r="11416" spans="1:15" x14ac:dyDescent="0.25">
      <c r="A11416" t="s">
        <v>16</v>
      </c>
      <c r="B11416" t="s">
        <v>3221</v>
      </c>
      <c r="C11416">
        <v>5854</v>
      </c>
      <c r="D11416" t="s">
        <v>848</v>
      </c>
      <c r="E11416" t="s">
        <v>849</v>
      </c>
      <c r="F11416">
        <v>46.45</v>
      </c>
      <c r="G11416">
        <v>230427</v>
      </c>
      <c r="H11416">
        <v>4380</v>
      </c>
      <c r="I11416" t="s">
        <v>113</v>
      </c>
      <c r="J11416">
        <v>57.6</v>
      </c>
      <c r="K11416">
        <v>11.15</v>
      </c>
      <c r="L11416">
        <v>59504</v>
      </c>
      <c r="M11416" t="s">
        <v>71</v>
      </c>
      <c r="N11416" t="str">
        <f>"09938770    "</f>
        <v xml:space="preserve">09938770    </v>
      </c>
      <c r="O11416">
        <v>230503</v>
      </c>
    </row>
    <row r="11417" spans="1:15" x14ac:dyDescent="0.25">
      <c r="A11417" t="s">
        <v>16</v>
      </c>
      <c r="B11417" t="s">
        <v>3221</v>
      </c>
      <c r="C11417">
        <v>5857</v>
      </c>
      <c r="D11417" t="s">
        <v>848</v>
      </c>
      <c r="E11417" t="s">
        <v>849</v>
      </c>
      <c r="F11417">
        <v>94</v>
      </c>
      <c r="G11417">
        <v>230427</v>
      </c>
      <c r="H11417">
        <v>4380</v>
      </c>
      <c r="I11417" t="s">
        <v>113</v>
      </c>
      <c r="J11417">
        <v>116.56</v>
      </c>
      <c r="K11417">
        <v>22.56</v>
      </c>
      <c r="L11417">
        <v>59501</v>
      </c>
      <c r="M11417" t="s">
        <v>69</v>
      </c>
      <c r="N11417" t="str">
        <f>"09938779    "</f>
        <v xml:space="preserve">09938779    </v>
      </c>
      <c r="O11417">
        <v>230503</v>
      </c>
    </row>
    <row r="11418" spans="1:15" x14ac:dyDescent="0.25">
      <c r="A11418" t="s">
        <v>16</v>
      </c>
      <c r="B11418" t="s">
        <v>3221</v>
      </c>
      <c r="C11418">
        <v>5858</v>
      </c>
      <c r="D11418" t="s">
        <v>848</v>
      </c>
      <c r="E11418" t="s">
        <v>849</v>
      </c>
      <c r="F11418">
        <v>18</v>
      </c>
      <c r="G11418">
        <v>230427</v>
      </c>
      <c r="H11418">
        <v>4380</v>
      </c>
      <c r="I11418" t="s">
        <v>113</v>
      </c>
      <c r="J11418">
        <v>22.32</v>
      </c>
      <c r="K11418">
        <v>4.32</v>
      </c>
      <c r="L11418">
        <v>49501</v>
      </c>
      <c r="M11418" t="s">
        <v>177</v>
      </c>
      <c r="N11418" t="str">
        <f>"09938766    "</f>
        <v xml:space="preserve">09938766    </v>
      </c>
      <c r="O11418">
        <v>230503</v>
      </c>
    </row>
    <row r="11419" spans="1:15" x14ac:dyDescent="0.25">
      <c r="A11419" t="s">
        <v>16</v>
      </c>
      <c r="B11419" t="s">
        <v>3221</v>
      </c>
      <c r="C11419">
        <v>5913</v>
      </c>
      <c r="D11419" t="s">
        <v>848</v>
      </c>
      <c r="E11419" t="s">
        <v>849</v>
      </c>
      <c r="F11419">
        <v>44.99</v>
      </c>
      <c r="G11419">
        <v>230427</v>
      </c>
      <c r="H11419">
        <v>4380</v>
      </c>
      <c r="I11419" t="s">
        <v>113</v>
      </c>
      <c r="J11419">
        <v>55.79</v>
      </c>
      <c r="K11419">
        <v>10.8</v>
      </c>
      <c r="L11419">
        <v>17956</v>
      </c>
      <c r="M11419" t="s">
        <v>53</v>
      </c>
      <c r="N11419" t="str">
        <f>"09938768    "</f>
        <v xml:space="preserve">09938768    </v>
      </c>
      <c r="O11419">
        <v>230503</v>
      </c>
    </row>
    <row r="11420" spans="1:15" x14ac:dyDescent="0.25">
      <c r="A11420" t="s">
        <v>16</v>
      </c>
      <c r="B11420" t="s">
        <v>3221</v>
      </c>
      <c r="C11420">
        <v>5914</v>
      </c>
      <c r="D11420" t="s">
        <v>848</v>
      </c>
      <c r="E11420" t="s">
        <v>849</v>
      </c>
      <c r="F11420">
        <v>28.63</v>
      </c>
      <c r="G11420">
        <v>230427</v>
      </c>
      <c r="H11420">
        <v>4380</v>
      </c>
      <c r="I11420" t="s">
        <v>113</v>
      </c>
      <c r="J11420">
        <v>35.5</v>
      </c>
      <c r="K11420">
        <v>6.87</v>
      </c>
      <c r="L11420">
        <v>17956</v>
      </c>
      <c r="M11420" t="s">
        <v>53</v>
      </c>
      <c r="N11420" t="str">
        <f>"09938765    "</f>
        <v xml:space="preserve">09938765    </v>
      </c>
      <c r="O11420">
        <v>230503</v>
      </c>
    </row>
    <row r="11421" spans="1:15" x14ac:dyDescent="0.25">
      <c r="A11421" t="s">
        <v>16</v>
      </c>
      <c r="B11421" t="s">
        <v>3221</v>
      </c>
      <c r="C11421">
        <v>5915</v>
      </c>
      <c r="D11421" t="s">
        <v>848</v>
      </c>
      <c r="E11421" t="s">
        <v>849</v>
      </c>
      <c r="F11421">
        <v>40.9</v>
      </c>
      <c r="G11421">
        <v>230427</v>
      </c>
      <c r="H11421">
        <v>4380</v>
      </c>
      <c r="I11421" t="s">
        <v>113</v>
      </c>
      <c r="J11421">
        <v>50.72</v>
      </c>
      <c r="K11421">
        <v>9.82</v>
      </c>
      <c r="L11421">
        <v>17956</v>
      </c>
      <c r="M11421" t="s">
        <v>53</v>
      </c>
      <c r="N11421" t="str">
        <f>"09938772    "</f>
        <v xml:space="preserve">09938772    </v>
      </c>
      <c r="O11421">
        <v>230503</v>
      </c>
    </row>
    <row r="11422" spans="1:15" x14ac:dyDescent="0.25">
      <c r="A11422" t="s">
        <v>16</v>
      </c>
      <c r="B11422" t="s">
        <v>3221</v>
      </c>
      <c r="C11422">
        <v>5916</v>
      </c>
      <c r="D11422" t="s">
        <v>848</v>
      </c>
      <c r="E11422" t="s">
        <v>849</v>
      </c>
      <c r="F11422">
        <v>17.989999999999998</v>
      </c>
      <c r="G11422">
        <v>230427</v>
      </c>
      <c r="H11422">
        <v>4380</v>
      </c>
      <c r="I11422" t="s">
        <v>113</v>
      </c>
      <c r="J11422">
        <v>22.31</v>
      </c>
      <c r="K11422">
        <v>4.32</v>
      </c>
      <c r="L11422">
        <v>13540</v>
      </c>
      <c r="M11422" t="s">
        <v>85</v>
      </c>
      <c r="N11422" t="str">
        <f>"09938775    "</f>
        <v xml:space="preserve">09938775    </v>
      </c>
      <c r="O11422">
        <v>230503</v>
      </c>
    </row>
    <row r="11423" spans="1:15" x14ac:dyDescent="0.25">
      <c r="A11423" t="s">
        <v>16</v>
      </c>
      <c r="B11423" t="s">
        <v>3221</v>
      </c>
      <c r="C11423">
        <v>5916</v>
      </c>
      <c r="D11423" t="s">
        <v>848</v>
      </c>
      <c r="E11423" t="s">
        <v>849</v>
      </c>
      <c r="F11423">
        <v>145.6</v>
      </c>
      <c r="G11423">
        <v>230427</v>
      </c>
      <c r="H11423">
        <v>4380</v>
      </c>
      <c r="I11423" t="s">
        <v>113</v>
      </c>
      <c r="J11423">
        <v>180.55</v>
      </c>
      <c r="K11423">
        <v>34.950000000000003</v>
      </c>
      <c r="L11423">
        <v>17950</v>
      </c>
      <c r="M11423" t="s">
        <v>86</v>
      </c>
      <c r="N11423" t="str">
        <f>"09938775    "</f>
        <v xml:space="preserve">09938775    </v>
      </c>
      <c r="O11423">
        <v>230503</v>
      </c>
    </row>
    <row r="11424" spans="1:15" x14ac:dyDescent="0.25">
      <c r="A11424" t="s">
        <v>16</v>
      </c>
      <c r="B11424" t="s">
        <v>3221</v>
      </c>
      <c r="C11424">
        <v>5917</v>
      </c>
      <c r="D11424" t="s">
        <v>848</v>
      </c>
      <c r="E11424" t="s">
        <v>849</v>
      </c>
      <c r="F11424">
        <v>40.49</v>
      </c>
      <c r="G11424">
        <v>230427</v>
      </c>
      <c r="H11424">
        <v>4380</v>
      </c>
      <c r="I11424" t="s">
        <v>113</v>
      </c>
      <c r="J11424">
        <v>50.21</v>
      </c>
      <c r="K11424">
        <v>9.7200000000000006</v>
      </c>
      <c r="L11424">
        <v>13540</v>
      </c>
      <c r="M11424" t="s">
        <v>85</v>
      </c>
      <c r="N11424" t="str">
        <f>"09938777    "</f>
        <v xml:space="preserve">09938777    </v>
      </c>
      <c r="O11424">
        <v>230503</v>
      </c>
    </row>
    <row r="11425" spans="1:15" x14ac:dyDescent="0.25">
      <c r="A11425" t="s">
        <v>16</v>
      </c>
      <c r="B11425" t="s">
        <v>3221</v>
      </c>
      <c r="C11425">
        <v>5917</v>
      </c>
      <c r="D11425" t="s">
        <v>848</v>
      </c>
      <c r="E11425" t="s">
        <v>849</v>
      </c>
      <c r="F11425">
        <v>327.60000000000002</v>
      </c>
      <c r="G11425">
        <v>230427</v>
      </c>
      <c r="H11425">
        <v>4380</v>
      </c>
      <c r="I11425" t="s">
        <v>113</v>
      </c>
      <c r="J11425">
        <v>406.23</v>
      </c>
      <c r="K11425">
        <v>78.63</v>
      </c>
      <c r="L11425">
        <v>17950</v>
      </c>
      <c r="M11425" t="s">
        <v>86</v>
      </c>
      <c r="N11425" t="str">
        <f>"09938777    "</f>
        <v xml:space="preserve">09938777    </v>
      </c>
      <c r="O11425">
        <v>230503</v>
      </c>
    </row>
    <row r="11426" spans="1:15" x14ac:dyDescent="0.25">
      <c r="A11426" t="s">
        <v>16</v>
      </c>
      <c r="B11426" t="s">
        <v>3221</v>
      </c>
      <c r="C11426">
        <v>5985</v>
      </c>
      <c r="D11426" t="s">
        <v>848</v>
      </c>
      <c r="E11426" t="s">
        <v>849</v>
      </c>
      <c r="F11426">
        <v>40.18</v>
      </c>
      <c r="G11426">
        <v>230426</v>
      </c>
      <c r="H11426">
        <v>4380</v>
      </c>
      <c r="I11426" t="s">
        <v>113</v>
      </c>
      <c r="J11426">
        <v>49.82</v>
      </c>
      <c r="K11426">
        <v>9.64</v>
      </c>
      <c r="L11426">
        <v>46554</v>
      </c>
      <c r="M11426" t="s">
        <v>117</v>
      </c>
      <c r="N11426" t="str">
        <f>"09934810    "</f>
        <v xml:space="preserve">09934810    </v>
      </c>
      <c r="O11426">
        <v>230504</v>
      </c>
    </row>
    <row r="11427" spans="1:15" x14ac:dyDescent="0.25">
      <c r="A11427" t="s">
        <v>16</v>
      </c>
      <c r="B11427" t="s">
        <v>3221</v>
      </c>
      <c r="C11427">
        <v>6044</v>
      </c>
      <c r="D11427" t="s">
        <v>848</v>
      </c>
      <c r="E11427" t="s">
        <v>849</v>
      </c>
      <c r="F11427">
        <v>20.6</v>
      </c>
      <c r="G11427">
        <v>230504</v>
      </c>
      <c r="H11427">
        <v>4380</v>
      </c>
      <c r="I11427" t="s">
        <v>113</v>
      </c>
      <c r="J11427">
        <v>25.54</v>
      </c>
      <c r="K11427">
        <v>4.9400000000000004</v>
      </c>
      <c r="L11427">
        <v>17952</v>
      </c>
      <c r="M11427" t="s">
        <v>88</v>
      </c>
      <c r="N11427" t="str">
        <f>"09975882    "</f>
        <v xml:space="preserve">09975882    </v>
      </c>
      <c r="O11427">
        <v>230505</v>
      </c>
    </row>
    <row r="11428" spans="1:15" x14ac:dyDescent="0.25">
      <c r="A11428" t="s">
        <v>16</v>
      </c>
      <c r="B11428" t="s">
        <v>3221</v>
      </c>
      <c r="C11428">
        <v>6047</v>
      </c>
      <c r="D11428" t="s">
        <v>848</v>
      </c>
      <c r="E11428" t="s">
        <v>849</v>
      </c>
      <c r="F11428">
        <v>322</v>
      </c>
      <c r="G11428">
        <v>230504</v>
      </c>
      <c r="H11428">
        <v>4380</v>
      </c>
      <c r="I11428" t="s">
        <v>113</v>
      </c>
      <c r="J11428">
        <v>399.28</v>
      </c>
      <c r="K11428">
        <v>77.28</v>
      </c>
      <c r="L11428">
        <v>17951</v>
      </c>
      <c r="M11428" t="s">
        <v>87</v>
      </c>
      <c r="N11428" t="str">
        <f>"09975167    "</f>
        <v xml:space="preserve">09975167    </v>
      </c>
      <c r="O11428">
        <v>230505</v>
      </c>
    </row>
    <row r="11429" spans="1:15" x14ac:dyDescent="0.25">
      <c r="A11429" t="s">
        <v>16</v>
      </c>
      <c r="B11429" t="s">
        <v>3221</v>
      </c>
      <c r="C11429">
        <v>6060</v>
      </c>
      <c r="D11429" t="s">
        <v>848</v>
      </c>
      <c r="E11429" t="s">
        <v>849</v>
      </c>
      <c r="F11429">
        <v>39.26</v>
      </c>
      <c r="G11429">
        <v>230504</v>
      </c>
      <c r="H11429">
        <v>4380</v>
      </c>
      <c r="I11429" t="s">
        <v>113</v>
      </c>
      <c r="J11429">
        <v>48.68</v>
      </c>
      <c r="K11429">
        <v>9.42</v>
      </c>
      <c r="L11429">
        <v>59502</v>
      </c>
      <c r="M11429" t="s">
        <v>70</v>
      </c>
      <c r="N11429" t="str">
        <f>"09975392    "</f>
        <v xml:space="preserve">09975392    </v>
      </c>
      <c r="O11429">
        <v>230508</v>
      </c>
    </row>
    <row r="11430" spans="1:15" x14ac:dyDescent="0.25">
      <c r="A11430" t="s">
        <v>16</v>
      </c>
      <c r="B11430" t="s">
        <v>3221</v>
      </c>
      <c r="C11430">
        <v>6060</v>
      </c>
      <c r="D11430" t="s">
        <v>848</v>
      </c>
      <c r="E11430" t="s">
        <v>849</v>
      </c>
      <c r="F11430">
        <v>25.1</v>
      </c>
      <c r="G11430">
        <v>230504</v>
      </c>
      <c r="H11430">
        <v>4380</v>
      </c>
      <c r="I11430" t="s">
        <v>113</v>
      </c>
      <c r="J11430">
        <v>31.13</v>
      </c>
      <c r="K11430">
        <v>6.03</v>
      </c>
      <c r="L11430">
        <v>59802</v>
      </c>
      <c r="M11430" t="s">
        <v>73</v>
      </c>
      <c r="N11430" t="str">
        <f>"09975392    "</f>
        <v xml:space="preserve">09975392    </v>
      </c>
      <c r="O11430">
        <v>230508</v>
      </c>
    </row>
    <row r="11431" spans="1:15" x14ac:dyDescent="0.25">
      <c r="A11431" t="s">
        <v>16</v>
      </c>
      <c r="B11431" t="s">
        <v>3221</v>
      </c>
      <c r="C11431">
        <v>6133</v>
      </c>
      <c r="D11431" t="s">
        <v>848</v>
      </c>
      <c r="E11431" t="s">
        <v>849</v>
      </c>
      <c r="F11431">
        <v>137.88</v>
      </c>
      <c r="G11431">
        <v>230504</v>
      </c>
      <c r="H11431">
        <v>4380</v>
      </c>
      <c r="I11431" t="s">
        <v>113</v>
      </c>
      <c r="J11431">
        <v>170.97</v>
      </c>
      <c r="K11431">
        <v>33.090000000000003</v>
      </c>
      <c r="L11431">
        <v>59501</v>
      </c>
      <c r="M11431" t="s">
        <v>69</v>
      </c>
      <c r="N11431" t="str">
        <f>"09975394    "</f>
        <v xml:space="preserve">09975394    </v>
      </c>
      <c r="O11431">
        <v>230508</v>
      </c>
    </row>
    <row r="11432" spans="1:15" x14ac:dyDescent="0.25">
      <c r="A11432" t="s">
        <v>16</v>
      </c>
      <c r="B11432" t="s">
        <v>3221</v>
      </c>
      <c r="C11432">
        <v>6135</v>
      </c>
      <c r="D11432" t="s">
        <v>848</v>
      </c>
      <c r="E11432" t="s">
        <v>849</v>
      </c>
      <c r="F11432">
        <v>23.72</v>
      </c>
      <c r="G11432">
        <v>230504</v>
      </c>
      <c r="H11432">
        <v>4380</v>
      </c>
      <c r="I11432" t="s">
        <v>113</v>
      </c>
      <c r="J11432">
        <v>29.41</v>
      </c>
      <c r="K11432">
        <v>5.69</v>
      </c>
      <c r="L11432">
        <v>59504</v>
      </c>
      <c r="M11432" t="s">
        <v>71</v>
      </c>
      <c r="N11432" t="str">
        <f>"09975393    "</f>
        <v xml:space="preserve">09975393    </v>
      </c>
      <c r="O11432">
        <v>230508</v>
      </c>
    </row>
    <row r="11433" spans="1:15" x14ac:dyDescent="0.25">
      <c r="A11433" t="s">
        <v>16</v>
      </c>
      <c r="B11433" t="s">
        <v>3221</v>
      </c>
      <c r="C11433">
        <v>6137</v>
      </c>
      <c r="D11433" t="s">
        <v>848</v>
      </c>
      <c r="E11433" t="s">
        <v>849</v>
      </c>
      <c r="F11433">
        <v>3.72</v>
      </c>
      <c r="G11433">
        <v>230504</v>
      </c>
      <c r="H11433">
        <v>4380</v>
      </c>
      <c r="I11433" t="s">
        <v>113</v>
      </c>
      <c r="J11433">
        <v>4.6100000000000003</v>
      </c>
      <c r="K11433">
        <v>0.89</v>
      </c>
      <c r="L11433">
        <v>13641</v>
      </c>
      <c r="M11433" t="s">
        <v>1471</v>
      </c>
      <c r="N11433" t="str">
        <f>"09975175    "</f>
        <v xml:space="preserve">09975175    </v>
      </c>
      <c r="O11433">
        <v>230508</v>
      </c>
    </row>
    <row r="11434" spans="1:15" x14ac:dyDescent="0.25">
      <c r="A11434" t="s">
        <v>16</v>
      </c>
      <c r="B11434" t="s">
        <v>3221</v>
      </c>
      <c r="C11434">
        <v>6138</v>
      </c>
      <c r="D11434" t="s">
        <v>848</v>
      </c>
      <c r="E11434" t="s">
        <v>849</v>
      </c>
      <c r="F11434">
        <v>32.24</v>
      </c>
      <c r="G11434">
        <v>230504</v>
      </c>
      <c r="H11434">
        <v>4380</v>
      </c>
      <c r="I11434" t="s">
        <v>113</v>
      </c>
      <c r="J11434">
        <v>39.979999999999997</v>
      </c>
      <c r="K11434">
        <v>7.74</v>
      </c>
      <c r="L11434">
        <v>59505</v>
      </c>
      <c r="M11434" t="s">
        <v>72</v>
      </c>
      <c r="N11434" t="str">
        <f>"09975395    "</f>
        <v xml:space="preserve">09975395    </v>
      </c>
      <c r="O11434">
        <v>230508</v>
      </c>
    </row>
    <row r="11435" spans="1:15" x14ac:dyDescent="0.25">
      <c r="A11435" t="s">
        <v>16</v>
      </c>
      <c r="B11435" t="s">
        <v>3221</v>
      </c>
      <c r="C11435">
        <v>6182</v>
      </c>
      <c r="D11435" t="s">
        <v>848</v>
      </c>
      <c r="E11435" t="s">
        <v>849</v>
      </c>
      <c r="F11435">
        <v>34.799999999999997</v>
      </c>
      <c r="G11435">
        <v>230504</v>
      </c>
      <c r="H11435">
        <v>4380</v>
      </c>
      <c r="I11435" t="s">
        <v>113</v>
      </c>
      <c r="J11435">
        <v>43.15</v>
      </c>
      <c r="K11435">
        <v>8.35</v>
      </c>
      <c r="L11435">
        <v>17521</v>
      </c>
      <c r="M11435" t="s">
        <v>133</v>
      </c>
      <c r="N11435" t="str">
        <f>"09971103    "</f>
        <v xml:space="preserve">09971103    </v>
      </c>
      <c r="O11435">
        <v>230508</v>
      </c>
    </row>
    <row r="11436" spans="1:15" x14ac:dyDescent="0.25">
      <c r="A11436" t="s">
        <v>16</v>
      </c>
      <c r="B11436" t="s">
        <v>3221</v>
      </c>
      <c r="C11436">
        <v>6207</v>
      </c>
      <c r="D11436" t="s">
        <v>848</v>
      </c>
      <c r="E11436" t="s">
        <v>849</v>
      </c>
      <c r="F11436">
        <v>80.900000000000006</v>
      </c>
      <c r="G11436">
        <v>230504</v>
      </c>
      <c r="H11436">
        <v>4380</v>
      </c>
      <c r="I11436" t="s">
        <v>113</v>
      </c>
      <c r="J11436">
        <v>100.32</v>
      </c>
      <c r="K11436">
        <v>19.420000000000002</v>
      </c>
      <c r="L11436">
        <v>59505</v>
      </c>
      <c r="M11436" t="s">
        <v>72</v>
      </c>
      <c r="N11436" t="str">
        <f>"09978977    "</f>
        <v xml:space="preserve">09978977    </v>
      </c>
      <c r="O11436">
        <v>230508</v>
      </c>
    </row>
    <row r="11437" spans="1:15" x14ac:dyDescent="0.25">
      <c r="A11437" t="s">
        <v>16</v>
      </c>
      <c r="B11437" t="s">
        <v>3221</v>
      </c>
      <c r="C11437">
        <v>6661</v>
      </c>
      <c r="D11437" t="s">
        <v>848</v>
      </c>
      <c r="E11437" t="s">
        <v>849</v>
      </c>
      <c r="F11437">
        <v>73.56</v>
      </c>
      <c r="G11437">
        <v>230504</v>
      </c>
      <c r="H11437">
        <v>4380</v>
      </c>
      <c r="I11437" t="s">
        <v>113</v>
      </c>
      <c r="J11437">
        <v>91.22</v>
      </c>
      <c r="K11437">
        <v>17.66</v>
      </c>
      <c r="L11437">
        <v>49501</v>
      </c>
      <c r="M11437" t="s">
        <v>177</v>
      </c>
      <c r="N11437" t="str">
        <f>"09975399    "</f>
        <v xml:space="preserve">09975399    </v>
      </c>
      <c r="O11437">
        <v>230517</v>
      </c>
    </row>
    <row r="11438" spans="1:15" x14ac:dyDescent="0.25">
      <c r="A11438" t="s">
        <v>16</v>
      </c>
      <c r="B11438" t="s">
        <v>3221</v>
      </c>
      <c r="C11438">
        <v>6661</v>
      </c>
      <c r="D11438" t="s">
        <v>848</v>
      </c>
      <c r="E11438" t="s">
        <v>849</v>
      </c>
      <c r="F11438">
        <v>20.03</v>
      </c>
      <c r="G11438">
        <v>230504</v>
      </c>
      <c r="H11438">
        <v>4380</v>
      </c>
      <c r="I11438" t="s">
        <v>113</v>
      </c>
      <c r="J11438">
        <v>24.84</v>
      </c>
      <c r="K11438">
        <v>4.8099999999999996</v>
      </c>
      <c r="L11438">
        <v>49503</v>
      </c>
      <c r="M11438" t="s">
        <v>178</v>
      </c>
      <c r="N11438" t="str">
        <f>"09975399    "</f>
        <v xml:space="preserve">09975399    </v>
      </c>
      <c r="O11438">
        <v>230517</v>
      </c>
    </row>
    <row r="11439" spans="1:15" x14ac:dyDescent="0.25">
      <c r="A11439" t="s">
        <v>16</v>
      </c>
      <c r="B11439" t="s">
        <v>3221</v>
      </c>
      <c r="C11439">
        <v>6666</v>
      </c>
      <c r="D11439" t="s">
        <v>848</v>
      </c>
      <c r="E11439" t="s">
        <v>849</v>
      </c>
      <c r="F11439">
        <v>11.82</v>
      </c>
      <c r="G11439">
        <v>230504</v>
      </c>
      <c r="H11439">
        <v>4380</v>
      </c>
      <c r="I11439" t="s">
        <v>113</v>
      </c>
      <c r="J11439">
        <v>14.66</v>
      </c>
      <c r="K11439">
        <v>2.84</v>
      </c>
      <c r="L11439">
        <v>13540</v>
      </c>
      <c r="M11439" t="s">
        <v>85</v>
      </c>
      <c r="N11439" t="str">
        <f>"09975173    "</f>
        <v xml:space="preserve">09975173    </v>
      </c>
      <c r="O11439">
        <v>230517</v>
      </c>
    </row>
    <row r="11440" spans="1:15" x14ac:dyDescent="0.25">
      <c r="A11440" t="s">
        <v>16</v>
      </c>
      <c r="B11440" t="s">
        <v>3221</v>
      </c>
      <c r="C11440">
        <v>6666</v>
      </c>
      <c r="D11440" t="s">
        <v>848</v>
      </c>
      <c r="E11440" t="s">
        <v>849</v>
      </c>
      <c r="F11440">
        <v>95.66</v>
      </c>
      <c r="G11440">
        <v>230504</v>
      </c>
      <c r="H11440">
        <v>4380</v>
      </c>
      <c r="I11440" t="s">
        <v>113</v>
      </c>
      <c r="J11440">
        <v>118.62</v>
      </c>
      <c r="K11440">
        <v>22.96</v>
      </c>
      <c r="L11440">
        <v>17950</v>
      </c>
      <c r="M11440" t="s">
        <v>86</v>
      </c>
      <c r="N11440" t="str">
        <f>"09975173    "</f>
        <v xml:space="preserve">09975173    </v>
      </c>
      <c r="O11440">
        <v>230517</v>
      </c>
    </row>
    <row r="11441" spans="1:15" x14ac:dyDescent="0.25">
      <c r="A11441" t="s">
        <v>16</v>
      </c>
      <c r="B11441" t="s">
        <v>3221</v>
      </c>
      <c r="C11441">
        <v>6666</v>
      </c>
      <c r="D11441" t="s">
        <v>848</v>
      </c>
      <c r="E11441" t="s">
        <v>849</v>
      </c>
      <c r="F11441">
        <v>39.6</v>
      </c>
      <c r="G11441">
        <v>230504</v>
      </c>
      <c r="H11441">
        <v>4380</v>
      </c>
      <c r="I11441" t="s">
        <v>113</v>
      </c>
      <c r="J11441">
        <v>49.1</v>
      </c>
      <c r="K11441">
        <v>9.5</v>
      </c>
      <c r="L11441">
        <v>17956</v>
      </c>
      <c r="M11441" t="s">
        <v>53</v>
      </c>
      <c r="N11441" t="str">
        <f>"09975173    "</f>
        <v xml:space="preserve">09975173    </v>
      </c>
      <c r="O11441">
        <v>230517</v>
      </c>
    </row>
    <row r="11442" spans="1:15" x14ac:dyDescent="0.25">
      <c r="A11442" t="s">
        <v>16</v>
      </c>
      <c r="B11442" t="s">
        <v>3221</v>
      </c>
      <c r="C11442">
        <v>6721</v>
      </c>
      <c r="D11442" t="s">
        <v>848</v>
      </c>
      <c r="E11442" t="s">
        <v>849</v>
      </c>
      <c r="F11442">
        <v>68.44</v>
      </c>
      <c r="G11442">
        <v>230504</v>
      </c>
      <c r="H11442">
        <v>4380</v>
      </c>
      <c r="I11442" t="s">
        <v>113</v>
      </c>
      <c r="J11442">
        <v>84.87</v>
      </c>
      <c r="K11442">
        <v>16.43</v>
      </c>
      <c r="L11442">
        <v>14432</v>
      </c>
      <c r="M11442" t="s">
        <v>862</v>
      </c>
      <c r="N11442" t="str">
        <f>"09975397    "</f>
        <v xml:space="preserve">09975397    </v>
      </c>
      <c r="O11442">
        <v>230522</v>
      </c>
    </row>
    <row r="11443" spans="1:15" x14ac:dyDescent="0.25">
      <c r="A11443" t="s">
        <v>16</v>
      </c>
      <c r="B11443" t="s">
        <v>3221</v>
      </c>
      <c r="C11443">
        <v>6721</v>
      </c>
      <c r="D11443" t="s">
        <v>848</v>
      </c>
      <c r="E11443" t="s">
        <v>849</v>
      </c>
      <c r="F11443">
        <v>10.6</v>
      </c>
      <c r="G11443">
        <v>230504</v>
      </c>
      <c r="H11443">
        <v>4380</v>
      </c>
      <c r="I11443" t="s">
        <v>113</v>
      </c>
      <c r="J11443">
        <v>13.14</v>
      </c>
      <c r="K11443">
        <v>2.54</v>
      </c>
      <c r="L11443">
        <v>14951</v>
      </c>
      <c r="M11443" t="s">
        <v>57</v>
      </c>
      <c r="N11443" t="str">
        <f>"09975397    "</f>
        <v xml:space="preserve">09975397    </v>
      </c>
      <c r="O11443">
        <v>230522</v>
      </c>
    </row>
    <row r="11444" spans="1:15" x14ac:dyDescent="0.25">
      <c r="A11444" t="s">
        <v>16</v>
      </c>
      <c r="B11444" t="s">
        <v>3221</v>
      </c>
      <c r="C11444">
        <v>7270</v>
      </c>
      <c r="D11444" t="s">
        <v>848</v>
      </c>
      <c r="E11444" t="s">
        <v>849</v>
      </c>
      <c r="F11444">
        <v>97.6</v>
      </c>
      <c r="G11444">
        <v>230524</v>
      </c>
      <c r="H11444">
        <v>4380</v>
      </c>
      <c r="I11444" t="s">
        <v>113</v>
      </c>
      <c r="J11444">
        <v>121.02</v>
      </c>
      <c r="K11444">
        <v>23.42</v>
      </c>
      <c r="L11444">
        <v>47522</v>
      </c>
      <c r="M11444" t="s">
        <v>410</v>
      </c>
      <c r="N11444" t="str">
        <f>"09992874    "</f>
        <v xml:space="preserve">09992874    </v>
      </c>
      <c r="O11444">
        <v>230526</v>
      </c>
    </row>
    <row r="11445" spans="1:15" x14ac:dyDescent="0.25">
      <c r="A11445" t="s">
        <v>16</v>
      </c>
      <c r="B11445" t="s">
        <v>3221</v>
      </c>
      <c r="C11445">
        <v>7272</v>
      </c>
      <c r="D11445" t="s">
        <v>848</v>
      </c>
      <c r="E11445" t="s">
        <v>849</v>
      </c>
      <c r="F11445">
        <v>55.68</v>
      </c>
      <c r="G11445">
        <v>230524</v>
      </c>
      <c r="H11445">
        <v>4380</v>
      </c>
      <c r="I11445" t="s">
        <v>113</v>
      </c>
      <c r="J11445">
        <v>69.040000000000006</v>
      </c>
      <c r="K11445">
        <v>13.36</v>
      </c>
      <c r="L11445">
        <v>47522</v>
      </c>
      <c r="M11445" t="s">
        <v>410</v>
      </c>
      <c r="N11445" t="str">
        <f>"09992872    "</f>
        <v xml:space="preserve">09992872    </v>
      </c>
      <c r="O11445">
        <v>230526</v>
      </c>
    </row>
    <row r="11446" spans="1:15" x14ac:dyDescent="0.25">
      <c r="A11446" t="s">
        <v>16</v>
      </c>
      <c r="B11446" t="s">
        <v>3221</v>
      </c>
      <c r="C11446">
        <v>7287</v>
      </c>
      <c r="D11446" t="s">
        <v>848</v>
      </c>
      <c r="E11446" t="s">
        <v>849</v>
      </c>
      <c r="F11446">
        <v>49.08</v>
      </c>
      <c r="G11446">
        <v>230525</v>
      </c>
      <c r="H11446">
        <v>4380</v>
      </c>
      <c r="I11446" t="s">
        <v>113</v>
      </c>
      <c r="J11446">
        <v>60.86</v>
      </c>
      <c r="K11446">
        <v>11.78</v>
      </c>
      <c r="L11446">
        <v>17951</v>
      </c>
      <c r="M11446" t="s">
        <v>87</v>
      </c>
      <c r="N11446" t="str">
        <f>"09997825    "</f>
        <v xml:space="preserve">09997825    </v>
      </c>
      <c r="O11446">
        <v>230526</v>
      </c>
    </row>
    <row r="11447" spans="1:15" x14ac:dyDescent="0.25">
      <c r="A11447" t="s">
        <v>16</v>
      </c>
      <c r="B11447" t="s">
        <v>3221</v>
      </c>
      <c r="C11447">
        <v>7288</v>
      </c>
      <c r="D11447" t="s">
        <v>848</v>
      </c>
      <c r="E11447" t="s">
        <v>849</v>
      </c>
      <c r="F11447">
        <v>57.26</v>
      </c>
      <c r="G11447">
        <v>230525</v>
      </c>
      <c r="H11447">
        <v>4380</v>
      </c>
      <c r="I11447" t="s">
        <v>113</v>
      </c>
      <c r="J11447">
        <v>71</v>
      </c>
      <c r="K11447">
        <v>13.74</v>
      </c>
      <c r="L11447">
        <v>17951</v>
      </c>
      <c r="M11447" t="s">
        <v>87</v>
      </c>
      <c r="N11447" t="str">
        <f>"09997822    "</f>
        <v xml:space="preserve">09997822    </v>
      </c>
      <c r="O11447">
        <v>230526</v>
      </c>
    </row>
    <row r="11448" spans="1:15" x14ac:dyDescent="0.25">
      <c r="A11448" t="s">
        <v>16</v>
      </c>
      <c r="B11448" t="s">
        <v>3221</v>
      </c>
      <c r="C11448">
        <v>7289</v>
      </c>
      <c r="D11448" t="s">
        <v>848</v>
      </c>
      <c r="E11448" t="s">
        <v>849</v>
      </c>
      <c r="F11448">
        <v>136</v>
      </c>
      <c r="G11448">
        <v>230525</v>
      </c>
      <c r="H11448">
        <v>4380</v>
      </c>
      <c r="I11448" t="s">
        <v>113</v>
      </c>
      <c r="J11448">
        <v>168.64</v>
      </c>
      <c r="K11448">
        <v>32.64</v>
      </c>
      <c r="L11448">
        <v>17951</v>
      </c>
      <c r="M11448" t="s">
        <v>87</v>
      </c>
      <c r="N11448" t="str">
        <f>"09997821    "</f>
        <v xml:space="preserve">09997821    </v>
      </c>
      <c r="O11448">
        <v>230526</v>
      </c>
    </row>
    <row r="11449" spans="1:15" x14ac:dyDescent="0.25">
      <c r="A11449" t="s">
        <v>16</v>
      </c>
      <c r="B11449" t="s">
        <v>3221</v>
      </c>
      <c r="C11449">
        <v>7291</v>
      </c>
      <c r="D11449" t="s">
        <v>848</v>
      </c>
      <c r="E11449" t="s">
        <v>849</v>
      </c>
      <c r="F11449">
        <v>16.36</v>
      </c>
      <c r="G11449">
        <v>230525</v>
      </c>
      <c r="H11449">
        <v>4380</v>
      </c>
      <c r="I11449" t="s">
        <v>113</v>
      </c>
      <c r="J11449">
        <v>20.29</v>
      </c>
      <c r="K11449">
        <v>3.93</v>
      </c>
      <c r="L11449">
        <v>17951</v>
      </c>
      <c r="M11449" t="s">
        <v>87</v>
      </c>
      <c r="N11449" t="str">
        <f>"09997818    "</f>
        <v xml:space="preserve">09997818    </v>
      </c>
      <c r="O11449">
        <v>230526</v>
      </c>
    </row>
    <row r="11450" spans="1:15" x14ac:dyDescent="0.25">
      <c r="A11450" t="s">
        <v>16</v>
      </c>
      <c r="B11450" t="s">
        <v>3221</v>
      </c>
      <c r="C11450">
        <v>7343</v>
      </c>
      <c r="D11450" t="s">
        <v>848</v>
      </c>
      <c r="E11450" t="s">
        <v>849</v>
      </c>
      <c r="F11450">
        <v>66.900000000000006</v>
      </c>
      <c r="G11450">
        <v>230525</v>
      </c>
      <c r="H11450">
        <v>4380</v>
      </c>
      <c r="I11450" t="s">
        <v>113</v>
      </c>
      <c r="J11450">
        <v>82.96</v>
      </c>
      <c r="K11450">
        <v>16.059999999999999</v>
      </c>
      <c r="L11450">
        <v>59504</v>
      </c>
      <c r="M11450" t="s">
        <v>71</v>
      </c>
      <c r="N11450" t="str">
        <f>"09997827    "</f>
        <v xml:space="preserve">09997827    </v>
      </c>
      <c r="O11450">
        <v>230529</v>
      </c>
    </row>
    <row r="11451" spans="1:15" x14ac:dyDescent="0.25">
      <c r="A11451" t="s">
        <v>16</v>
      </c>
      <c r="B11451" t="s">
        <v>3221</v>
      </c>
      <c r="C11451">
        <v>7344</v>
      </c>
      <c r="D11451" t="s">
        <v>848</v>
      </c>
      <c r="E11451" t="s">
        <v>849</v>
      </c>
      <c r="F11451">
        <v>42.7</v>
      </c>
      <c r="G11451">
        <v>230525</v>
      </c>
      <c r="H11451">
        <v>4380</v>
      </c>
      <c r="I11451" t="s">
        <v>113</v>
      </c>
      <c r="J11451">
        <v>52.95</v>
      </c>
      <c r="K11451">
        <v>10.25</v>
      </c>
      <c r="L11451">
        <v>59502</v>
      </c>
      <c r="M11451" t="s">
        <v>70</v>
      </c>
      <c r="N11451" t="str">
        <f>"09997820    "</f>
        <v xml:space="preserve">09997820    </v>
      </c>
      <c r="O11451">
        <v>230529</v>
      </c>
    </row>
    <row r="11452" spans="1:15" x14ac:dyDescent="0.25">
      <c r="A11452" t="s">
        <v>16</v>
      </c>
      <c r="B11452" t="s">
        <v>3221</v>
      </c>
      <c r="C11452">
        <v>7344</v>
      </c>
      <c r="D11452" t="s">
        <v>848</v>
      </c>
      <c r="E11452" t="s">
        <v>849</v>
      </c>
      <c r="F11452">
        <v>79.3</v>
      </c>
      <c r="G11452">
        <v>230525</v>
      </c>
      <c r="H11452">
        <v>4380</v>
      </c>
      <c r="I11452" t="s">
        <v>113</v>
      </c>
      <c r="J11452">
        <v>98.33</v>
      </c>
      <c r="K11452">
        <v>19.03</v>
      </c>
      <c r="L11452">
        <v>59802</v>
      </c>
      <c r="M11452" t="s">
        <v>73</v>
      </c>
      <c r="N11452" t="str">
        <f>"09997820    "</f>
        <v xml:space="preserve">09997820    </v>
      </c>
      <c r="O11452">
        <v>230529</v>
      </c>
    </row>
    <row r="11453" spans="1:15" x14ac:dyDescent="0.25">
      <c r="A11453" t="s">
        <v>16</v>
      </c>
      <c r="B11453" t="s">
        <v>3221</v>
      </c>
      <c r="C11453">
        <v>7345</v>
      </c>
      <c r="D11453" t="s">
        <v>848</v>
      </c>
      <c r="E11453" t="s">
        <v>849</v>
      </c>
      <c r="F11453">
        <v>84</v>
      </c>
      <c r="G11453">
        <v>230525</v>
      </c>
      <c r="H11453">
        <v>4380</v>
      </c>
      <c r="I11453" t="s">
        <v>113</v>
      </c>
      <c r="J11453">
        <v>104.16</v>
      </c>
      <c r="K11453">
        <v>20.16</v>
      </c>
      <c r="L11453">
        <v>59501</v>
      </c>
      <c r="M11453" t="s">
        <v>69</v>
      </c>
      <c r="N11453" t="str">
        <f>"09997826    "</f>
        <v xml:space="preserve">09997826    </v>
      </c>
      <c r="O11453">
        <v>230529</v>
      </c>
    </row>
    <row r="11454" spans="1:15" x14ac:dyDescent="0.25">
      <c r="A11454" t="s">
        <v>16</v>
      </c>
      <c r="B11454" t="s">
        <v>3221</v>
      </c>
      <c r="C11454">
        <v>7604</v>
      </c>
      <c r="D11454" t="s">
        <v>848</v>
      </c>
      <c r="E11454" t="s">
        <v>849</v>
      </c>
      <c r="F11454">
        <v>174.52</v>
      </c>
      <c r="G11454">
        <v>230525</v>
      </c>
      <c r="H11454">
        <v>4380</v>
      </c>
      <c r="I11454" t="s">
        <v>113</v>
      </c>
      <c r="J11454">
        <v>216.4</v>
      </c>
      <c r="K11454">
        <v>41.88</v>
      </c>
      <c r="L11454">
        <v>14951</v>
      </c>
      <c r="M11454" t="s">
        <v>57</v>
      </c>
      <c r="N11454" t="str">
        <f>"09997828    "</f>
        <v xml:space="preserve">09997828    </v>
      </c>
      <c r="O11454">
        <v>230601</v>
      </c>
    </row>
    <row r="11455" spans="1:15" x14ac:dyDescent="0.25">
      <c r="A11455" t="s">
        <v>16</v>
      </c>
      <c r="B11455" t="s">
        <v>3221</v>
      </c>
      <c r="C11455">
        <v>7666</v>
      </c>
      <c r="D11455" t="s">
        <v>848</v>
      </c>
      <c r="E11455" t="s">
        <v>849</v>
      </c>
      <c r="F11455">
        <v>40.18</v>
      </c>
      <c r="G11455">
        <v>230524</v>
      </c>
      <c r="H11455">
        <v>4380</v>
      </c>
      <c r="I11455" t="s">
        <v>113</v>
      </c>
      <c r="J11455">
        <v>49.82</v>
      </c>
      <c r="K11455">
        <v>9.64</v>
      </c>
      <c r="L11455">
        <v>46554</v>
      </c>
      <c r="M11455" t="s">
        <v>117</v>
      </c>
      <c r="N11455" t="str">
        <f>"09993796    "</f>
        <v xml:space="preserve">09993796    </v>
      </c>
      <c r="O11455">
        <v>230601</v>
      </c>
    </row>
    <row r="11456" spans="1:15" x14ac:dyDescent="0.25">
      <c r="A11456" t="s">
        <v>16</v>
      </c>
      <c r="B11456" t="s">
        <v>3221</v>
      </c>
      <c r="C11456">
        <v>7734</v>
      </c>
      <c r="D11456" t="s">
        <v>848</v>
      </c>
      <c r="E11456" t="s">
        <v>849</v>
      </c>
      <c r="F11456">
        <v>18</v>
      </c>
      <c r="G11456">
        <v>230525</v>
      </c>
      <c r="H11456">
        <v>4380</v>
      </c>
      <c r="I11456" t="s">
        <v>113</v>
      </c>
      <c r="J11456">
        <v>22.32</v>
      </c>
      <c r="K11456">
        <v>4.32</v>
      </c>
      <c r="L11456">
        <v>49501</v>
      </c>
      <c r="M11456" t="s">
        <v>177</v>
      </c>
      <c r="N11456" t="str">
        <f>"09997831    "</f>
        <v xml:space="preserve">09997831    </v>
      </c>
      <c r="O11456">
        <v>230602</v>
      </c>
    </row>
    <row r="11457" spans="1:15" x14ac:dyDescent="0.25">
      <c r="A11457" t="s">
        <v>16</v>
      </c>
      <c r="B11457" t="s">
        <v>3221</v>
      </c>
      <c r="C11457">
        <v>7797</v>
      </c>
      <c r="D11457" t="s">
        <v>848</v>
      </c>
      <c r="E11457" t="s">
        <v>849</v>
      </c>
      <c r="F11457">
        <v>322</v>
      </c>
      <c r="G11457">
        <v>230601</v>
      </c>
      <c r="H11457">
        <v>4380</v>
      </c>
      <c r="I11457" t="s">
        <v>113</v>
      </c>
      <c r="J11457">
        <v>399.28</v>
      </c>
      <c r="K11457">
        <v>77.28</v>
      </c>
      <c r="L11457">
        <v>17951</v>
      </c>
      <c r="M11457" t="s">
        <v>87</v>
      </c>
      <c r="N11457" t="str">
        <f>"10037134    "</f>
        <v xml:space="preserve">10037134    </v>
      </c>
      <c r="O11457">
        <v>230602</v>
      </c>
    </row>
    <row r="11458" spans="1:15" x14ac:dyDescent="0.25">
      <c r="A11458" t="s">
        <v>16</v>
      </c>
      <c r="B11458" t="s">
        <v>3221</v>
      </c>
      <c r="C11458">
        <v>7799</v>
      </c>
      <c r="D11458" t="s">
        <v>848</v>
      </c>
      <c r="E11458" t="s">
        <v>849</v>
      </c>
      <c r="F11458">
        <v>20.6</v>
      </c>
      <c r="G11458">
        <v>230601</v>
      </c>
      <c r="H11458">
        <v>4380</v>
      </c>
      <c r="I11458" t="s">
        <v>113</v>
      </c>
      <c r="J11458">
        <v>25.54</v>
      </c>
      <c r="K11458">
        <v>4.9400000000000004</v>
      </c>
      <c r="L11458">
        <v>17952</v>
      </c>
      <c r="M11458" t="s">
        <v>88</v>
      </c>
      <c r="N11458" t="str">
        <f>"10037762    "</f>
        <v xml:space="preserve">10037762    </v>
      </c>
      <c r="O11458">
        <v>230602</v>
      </c>
    </row>
    <row r="11459" spans="1:15" x14ac:dyDescent="0.25">
      <c r="A11459" t="s">
        <v>16</v>
      </c>
      <c r="B11459" t="s">
        <v>3221</v>
      </c>
      <c r="C11459">
        <v>7805</v>
      </c>
      <c r="D11459" t="s">
        <v>848</v>
      </c>
      <c r="E11459" t="s">
        <v>849</v>
      </c>
      <c r="F11459">
        <v>34.799999999999997</v>
      </c>
      <c r="G11459">
        <v>230531</v>
      </c>
      <c r="H11459">
        <v>4380</v>
      </c>
      <c r="I11459" t="s">
        <v>113</v>
      </c>
      <c r="J11459">
        <v>43.15</v>
      </c>
      <c r="K11459">
        <v>8.35</v>
      </c>
      <c r="L11459">
        <v>17521</v>
      </c>
      <c r="M11459" t="s">
        <v>133</v>
      </c>
      <c r="N11459" t="str">
        <f>"10030276    "</f>
        <v xml:space="preserve">10030276    </v>
      </c>
      <c r="O11459">
        <v>230602</v>
      </c>
    </row>
    <row r="11460" spans="1:15" x14ac:dyDescent="0.25">
      <c r="A11460" t="s">
        <v>16</v>
      </c>
      <c r="B11460" t="s">
        <v>3221</v>
      </c>
      <c r="C11460">
        <v>7813</v>
      </c>
      <c r="D11460" t="s">
        <v>848</v>
      </c>
      <c r="E11460" t="s">
        <v>849</v>
      </c>
      <c r="F11460">
        <v>32.72</v>
      </c>
      <c r="G11460">
        <v>230525</v>
      </c>
      <c r="H11460">
        <v>4380</v>
      </c>
      <c r="I11460" t="s">
        <v>113</v>
      </c>
      <c r="J11460">
        <v>40.57</v>
      </c>
      <c r="K11460">
        <v>7.85</v>
      </c>
      <c r="L11460">
        <v>17956</v>
      </c>
      <c r="M11460" t="s">
        <v>53</v>
      </c>
      <c r="N11460" t="str">
        <f>"09997824    "</f>
        <v xml:space="preserve">09997824    </v>
      </c>
      <c r="O11460">
        <v>230602</v>
      </c>
    </row>
    <row r="11461" spans="1:15" x14ac:dyDescent="0.25">
      <c r="A11461" t="s">
        <v>16</v>
      </c>
      <c r="B11461" t="s">
        <v>3221</v>
      </c>
      <c r="C11461">
        <v>7815</v>
      </c>
      <c r="D11461" t="s">
        <v>848</v>
      </c>
      <c r="E11461" t="s">
        <v>849</v>
      </c>
      <c r="F11461">
        <v>36.81</v>
      </c>
      <c r="G11461">
        <v>230525</v>
      </c>
      <c r="H11461">
        <v>4380</v>
      </c>
      <c r="I11461" t="s">
        <v>113</v>
      </c>
      <c r="J11461">
        <v>45.64</v>
      </c>
      <c r="K11461">
        <v>8.83</v>
      </c>
      <c r="L11461">
        <v>17956</v>
      </c>
      <c r="M11461" t="s">
        <v>53</v>
      </c>
      <c r="N11461" t="str">
        <f>"09997829    "</f>
        <v xml:space="preserve">09997829    </v>
      </c>
      <c r="O11461">
        <v>230602</v>
      </c>
    </row>
    <row r="11462" spans="1:15" x14ac:dyDescent="0.25">
      <c r="A11462" t="s">
        <v>16</v>
      </c>
      <c r="B11462" t="s">
        <v>3221</v>
      </c>
      <c r="C11462">
        <v>7879</v>
      </c>
      <c r="D11462" t="s">
        <v>848</v>
      </c>
      <c r="E11462" t="s">
        <v>849</v>
      </c>
      <c r="F11462">
        <v>32.24</v>
      </c>
      <c r="G11462">
        <v>230601</v>
      </c>
      <c r="H11462">
        <v>4380</v>
      </c>
      <c r="I11462" t="s">
        <v>113</v>
      </c>
      <c r="J11462">
        <v>39.979999999999997</v>
      </c>
      <c r="K11462">
        <v>7.74</v>
      </c>
      <c r="L11462">
        <v>59505</v>
      </c>
      <c r="M11462" t="s">
        <v>72</v>
      </c>
      <c r="N11462" t="str">
        <f>"10037358    "</f>
        <v xml:space="preserve">10037358    </v>
      </c>
      <c r="O11462">
        <v>230605</v>
      </c>
    </row>
    <row r="11463" spans="1:15" x14ac:dyDescent="0.25">
      <c r="A11463" t="s">
        <v>16</v>
      </c>
      <c r="B11463" t="s">
        <v>3221</v>
      </c>
      <c r="C11463">
        <v>7881</v>
      </c>
      <c r="D11463" t="s">
        <v>848</v>
      </c>
      <c r="E11463" t="s">
        <v>849</v>
      </c>
      <c r="F11463">
        <v>23.72</v>
      </c>
      <c r="G11463">
        <v>230601</v>
      </c>
      <c r="H11463">
        <v>4380</v>
      </c>
      <c r="I11463" t="s">
        <v>113</v>
      </c>
      <c r="J11463">
        <v>29.41</v>
      </c>
      <c r="K11463">
        <v>5.69</v>
      </c>
      <c r="L11463">
        <v>59504</v>
      </c>
      <c r="M11463" t="s">
        <v>71</v>
      </c>
      <c r="N11463" t="str">
        <f>"10037356    "</f>
        <v xml:space="preserve">10037356    </v>
      </c>
      <c r="O11463">
        <v>230605</v>
      </c>
    </row>
    <row r="11464" spans="1:15" x14ac:dyDescent="0.25">
      <c r="A11464" t="s">
        <v>16</v>
      </c>
      <c r="B11464" t="s">
        <v>3221</v>
      </c>
      <c r="C11464">
        <v>7889</v>
      </c>
      <c r="D11464" t="s">
        <v>848</v>
      </c>
      <c r="E11464" t="s">
        <v>849</v>
      </c>
      <c r="F11464">
        <v>39.26</v>
      </c>
      <c r="G11464">
        <v>230601</v>
      </c>
      <c r="H11464">
        <v>4380</v>
      </c>
      <c r="I11464" t="s">
        <v>113</v>
      </c>
      <c r="J11464">
        <v>48.68</v>
      </c>
      <c r="K11464">
        <v>9.42</v>
      </c>
      <c r="L11464">
        <v>59502</v>
      </c>
      <c r="M11464" t="s">
        <v>70</v>
      </c>
      <c r="N11464" t="str">
        <f>"10037357    "</f>
        <v xml:space="preserve">10037357    </v>
      </c>
      <c r="O11464">
        <v>230605</v>
      </c>
    </row>
    <row r="11465" spans="1:15" x14ac:dyDescent="0.25">
      <c r="A11465" t="s">
        <v>16</v>
      </c>
      <c r="B11465" t="s">
        <v>3221</v>
      </c>
      <c r="C11465">
        <v>7889</v>
      </c>
      <c r="D11465" t="s">
        <v>848</v>
      </c>
      <c r="E11465" t="s">
        <v>849</v>
      </c>
      <c r="F11465">
        <v>25.1</v>
      </c>
      <c r="G11465">
        <v>230601</v>
      </c>
      <c r="H11465">
        <v>4380</v>
      </c>
      <c r="I11465" t="s">
        <v>113</v>
      </c>
      <c r="J11465">
        <v>31.13</v>
      </c>
      <c r="K11465">
        <v>6.03</v>
      </c>
      <c r="L11465">
        <v>59802</v>
      </c>
      <c r="M11465" t="s">
        <v>73</v>
      </c>
      <c r="N11465" t="str">
        <f>"10037357    "</f>
        <v xml:space="preserve">10037357    </v>
      </c>
      <c r="O11465">
        <v>230605</v>
      </c>
    </row>
    <row r="11466" spans="1:15" x14ac:dyDescent="0.25">
      <c r="A11466" t="s">
        <v>16</v>
      </c>
      <c r="B11466" t="s">
        <v>3221</v>
      </c>
      <c r="C11466">
        <v>7890</v>
      </c>
      <c r="D11466" t="s">
        <v>848</v>
      </c>
      <c r="E11466" t="s">
        <v>849</v>
      </c>
      <c r="F11466">
        <v>68.44</v>
      </c>
      <c r="G11466">
        <v>230601</v>
      </c>
      <c r="H11466">
        <v>4380</v>
      </c>
      <c r="I11466" t="s">
        <v>113</v>
      </c>
      <c r="J11466">
        <v>84.86</v>
      </c>
      <c r="K11466">
        <v>16.420000000000002</v>
      </c>
      <c r="L11466">
        <v>14432</v>
      </c>
      <c r="M11466" t="s">
        <v>862</v>
      </c>
      <c r="N11466" t="str">
        <f>"10037360    "</f>
        <v xml:space="preserve">10037360    </v>
      </c>
      <c r="O11466">
        <v>230605</v>
      </c>
    </row>
    <row r="11467" spans="1:15" x14ac:dyDescent="0.25">
      <c r="A11467" t="s">
        <v>16</v>
      </c>
      <c r="B11467" t="s">
        <v>3221</v>
      </c>
      <c r="C11467">
        <v>7890</v>
      </c>
      <c r="D11467" t="s">
        <v>848</v>
      </c>
      <c r="E11467" t="s">
        <v>849</v>
      </c>
      <c r="F11467">
        <v>10.6</v>
      </c>
      <c r="G11467">
        <v>230601</v>
      </c>
      <c r="H11467">
        <v>4380</v>
      </c>
      <c r="I11467" t="s">
        <v>113</v>
      </c>
      <c r="J11467">
        <v>13.15</v>
      </c>
      <c r="K11467">
        <v>2.5499999999999998</v>
      </c>
      <c r="L11467">
        <v>14951</v>
      </c>
      <c r="M11467" t="s">
        <v>57</v>
      </c>
      <c r="N11467" t="str">
        <f>"10037360    "</f>
        <v xml:space="preserve">10037360    </v>
      </c>
      <c r="O11467">
        <v>230605</v>
      </c>
    </row>
    <row r="11468" spans="1:15" x14ac:dyDescent="0.25">
      <c r="A11468" t="s">
        <v>16</v>
      </c>
      <c r="B11468" t="s">
        <v>3221</v>
      </c>
      <c r="C11468">
        <v>7892</v>
      </c>
      <c r="D11468" t="s">
        <v>848</v>
      </c>
      <c r="E11468" t="s">
        <v>849</v>
      </c>
      <c r="F11468">
        <v>129.06</v>
      </c>
      <c r="G11468">
        <v>230601</v>
      </c>
      <c r="H11468">
        <v>4380</v>
      </c>
      <c r="I11468" t="s">
        <v>113</v>
      </c>
      <c r="J11468">
        <v>160.03</v>
      </c>
      <c r="K11468">
        <v>30.97</v>
      </c>
      <c r="L11468">
        <v>59501</v>
      </c>
      <c r="M11468" t="s">
        <v>69</v>
      </c>
      <c r="N11468" t="str">
        <f>"10037359    "</f>
        <v xml:space="preserve">10037359    </v>
      </c>
      <c r="O11468">
        <v>230605</v>
      </c>
    </row>
    <row r="11469" spans="1:15" x14ac:dyDescent="0.25">
      <c r="A11469" t="s">
        <v>16</v>
      </c>
      <c r="B11469" t="s">
        <v>3221</v>
      </c>
      <c r="C11469">
        <v>7917</v>
      </c>
      <c r="D11469" t="s">
        <v>848</v>
      </c>
      <c r="E11469" t="s">
        <v>849</v>
      </c>
      <c r="F11469">
        <v>93.17</v>
      </c>
      <c r="G11469">
        <v>230601</v>
      </c>
      <c r="H11469">
        <v>4380</v>
      </c>
      <c r="I11469" t="s">
        <v>113</v>
      </c>
      <c r="J11469">
        <v>115.53</v>
      </c>
      <c r="K11469">
        <v>22.36</v>
      </c>
      <c r="L11469">
        <v>59505</v>
      </c>
      <c r="M11469" t="s">
        <v>72</v>
      </c>
      <c r="N11469" t="str">
        <f>"10035887    "</f>
        <v xml:space="preserve">10035887    </v>
      </c>
      <c r="O11469">
        <v>230605</v>
      </c>
    </row>
    <row r="11470" spans="1:15" x14ac:dyDescent="0.25">
      <c r="A11470" t="s">
        <v>16</v>
      </c>
      <c r="B11470" t="s">
        <v>3221</v>
      </c>
      <c r="C11470">
        <v>7993</v>
      </c>
      <c r="D11470" t="s">
        <v>848</v>
      </c>
      <c r="E11470" t="s">
        <v>849</v>
      </c>
      <c r="F11470">
        <v>3.72</v>
      </c>
      <c r="G11470">
        <v>230601</v>
      </c>
      <c r="H11470">
        <v>4380</v>
      </c>
      <c r="I11470" t="s">
        <v>113</v>
      </c>
      <c r="J11470">
        <v>4.6100000000000003</v>
      </c>
      <c r="K11470">
        <v>0.89</v>
      </c>
      <c r="L11470">
        <v>13641</v>
      </c>
      <c r="M11470" t="s">
        <v>1471</v>
      </c>
      <c r="N11470" t="str">
        <f>"10037142    "</f>
        <v xml:space="preserve">10037142    </v>
      </c>
      <c r="O11470">
        <v>230606</v>
      </c>
    </row>
    <row r="11471" spans="1:15" x14ac:dyDescent="0.25">
      <c r="A11471" t="s">
        <v>16</v>
      </c>
      <c r="B11471" t="s">
        <v>3221</v>
      </c>
      <c r="C11471">
        <v>8307</v>
      </c>
      <c r="D11471" t="s">
        <v>848</v>
      </c>
      <c r="E11471" t="s">
        <v>849</v>
      </c>
      <c r="F11471">
        <v>10.89</v>
      </c>
      <c r="G11471">
        <v>230601</v>
      </c>
      <c r="H11471">
        <v>4380</v>
      </c>
      <c r="I11471" t="s">
        <v>113</v>
      </c>
      <c r="J11471">
        <v>13.5</v>
      </c>
      <c r="K11471">
        <v>2.61</v>
      </c>
      <c r="L11471">
        <v>13540</v>
      </c>
      <c r="M11471" t="s">
        <v>85</v>
      </c>
      <c r="N11471" t="str">
        <f>"10037137    "</f>
        <v xml:space="preserve">10037137    </v>
      </c>
      <c r="O11471">
        <v>230608</v>
      </c>
    </row>
    <row r="11472" spans="1:15" x14ac:dyDescent="0.25">
      <c r="A11472" t="s">
        <v>16</v>
      </c>
      <c r="B11472" t="s">
        <v>3221</v>
      </c>
      <c r="C11472">
        <v>8307</v>
      </c>
      <c r="D11472" t="s">
        <v>848</v>
      </c>
      <c r="E11472" t="s">
        <v>849</v>
      </c>
      <c r="F11472">
        <v>88</v>
      </c>
      <c r="G11472">
        <v>230601</v>
      </c>
      <c r="H11472">
        <v>4380</v>
      </c>
      <c r="I11472" t="s">
        <v>113</v>
      </c>
      <c r="J11472">
        <v>109.12</v>
      </c>
      <c r="K11472">
        <v>21.12</v>
      </c>
      <c r="L11472">
        <v>17950</v>
      </c>
      <c r="M11472" t="s">
        <v>86</v>
      </c>
      <c r="N11472" t="str">
        <f>"10037137    "</f>
        <v xml:space="preserve">10037137    </v>
      </c>
      <c r="O11472">
        <v>230608</v>
      </c>
    </row>
    <row r="11473" spans="1:15" x14ac:dyDescent="0.25">
      <c r="A11473" t="s">
        <v>16</v>
      </c>
      <c r="B11473" t="s">
        <v>3221</v>
      </c>
      <c r="C11473">
        <v>8307</v>
      </c>
      <c r="D11473" t="s">
        <v>848</v>
      </c>
      <c r="E11473" t="s">
        <v>849</v>
      </c>
      <c r="F11473">
        <v>39.6</v>
      </c>
      <c r="G11473">
        <v>230601</v>
      </c>
      <c r="H11473">
        <v>4380</v>
      </c>
      <c r="I11473" t="s">
        <v>113</v>
      </c>
      <c r="J11473">
        <v>49.1</v>
      </c>
      <c r="K11473">
        <v>9.5</v>
      </c>
      <c r="L11473">
        <v>17956</v>
      </c>
      <c r="M11473" t="s">
        <v>53</v>
      </c>
      <c r="N11473" t="str">
        <f>"10037137    "</f>
        <v xml:space="preserve">10037137    </v>
      </c>
      <c r="O11473">
        <v>230608</v>
      </c>
    </row>
    <row r="11474" spans="1:15" x14ac:dyDescent="0.25">
      <c r="A11474" t="s">
        <v>16</v>
      </c>
      <c r="B11474" t="s">
        <v>3221</v>
      </c>
      <c r="C11474">
        <v>8311</v>
      </c>
      <c r="D11474" t="s">
        <v>848</v>
      </c>
      <c r="E11474" t="s">
        <v>849</v>
      </c>
      <c r="F11474">
        <v>73.44</v>
      </c>
      <c r="G11474">
        <v>230601</v>
      </c>
      <c r="H11474">
        <v>4380</v>
      </c>
      <c r="I11474" t="s">
        <v>113</v>
      </c>
      <c r="J11474">
        <v>91.06</v>
      </c>
      <c r="K11474">
        <v>17.62</v>
      </c>
      <c r="L11474">
        <v>49501</v>
      </c>
      <c r="M11474" t="s">
        <v>177</v>
      </c>
      <c r="N11474" t="str">
        <f>"10037364    "</f>
        <v xml:space="preserve">10037364    </v>
      </c>
      <c r="O11474">
        <v>230608</v>
      </c>
    </row>
    <row r="11475" spans="1:15" x14ac:dyDescent="0.25">
      <c r="A11475" t="s">
        <v>16</v>
      </c>
      <c r="B11475" t="s">
        <v>3221</v>
      </c>
      <c r="C11475">
        <v>8311</v>
      </c>
      <c r="D11475" t="s">
        <v>848</v>
      </c>
      <c r="E11475" t="s">
        <v>849</v>
      </c>
      <c r="F11475">
        <v>20.16</v>
      </c>
      <c r="G11475">
        <v>230601</v>
      </c>
      <c r="H11475">
        <v>4380</v>
      </c>
      <c r="I11475" t="s">
        <v>113</v>
      </c>
      <c r="J11475">
        <v>25</v>
      </c>
      <c r="K11475">
        <v>4.84</v>
      </c>
      <c r="L11475">
        <v>49503</v>
      </c>
      <c r="M11475" t="s">
        <v>178</v>
      </c>
      <c r="N11475" t="str">
        <f>"10037364    "</f>
        <v xml:space="preserve">10037364    </v>
      </c>
      <c r="O11475">
        <v>230608</v>
      </c>
    </row>
    <row r="11476" spans="1:15" x14ac:dyDescent="0.25">
      <c r="A11476" t="s">
        <v>16</v>
      </c>
      <c r="B11476" t="s">
        <v>3221</v>
      </c>
      <c r="C11476">
        <v>8408</v>
      </c>
      <c r="D11476" t="s">
        <v>848</v>
      </c>
      <c r="E11476" t="s">
        <v>849</v>
      </c>
      <c r="F11476">
        <v>56.23</v>
      </c>
      <c r="G11476">
        <v>230525</v>
      </c>
      <c r="H11476">
        <v>4380</v>
      </c>
      <c r="I11476" t="s">
        <v>113</v>
      </c>
      <c r="J11476">
        <v>69.73</v>
      </c>
      <c r="K11476">
        <v>13.5</v>
      </c>
      <c r="L11476">
        <v>13540</v>
      </c>
      <c r="M11476" t="s">
        <v>85</v>
      </c>
      <c r="N11476" t="str">
        <f>"09997823    "</f>
        <v xml:space="preserve">09997823    </v>
      </c>
      <c r="O11476">
        <v>230608</v>
      </c>
    </row>
    <row r="11477" spans="1:15" x14ac:dyDescent="0.25">
      <c r="A11477" t="s">
        <v>16</v>
      </c>
      <c r="B11477" t="s">
        <v>3221</v>
      </c>
      <c r="C11477">
        <v>8408</v>
      </c>
      <c r="D11477" t="s">
        <v>848</v>
      </c>
      <c r="E11477" t="s">
        <v>849</v>
      </c>
      <c r="F11477">
        <v>455.02</v>
      </c>
      <c r="G11477">
        <v>230525</v>
      </c>
      <c r="H11477">
        <v>4380</v>
      </c>
      <c r="I11477" t="s">
        <v>113</v>
      </c>
      <c r="J11477">
        <v>564.22</v>
      </c>
      <c r="K11477">
        <v>109.2</v>
      </c>
      <c r="L11477">
        <v>17950</v>
      </c>
      <c r="M11477" t="s">
        <v>86</v>
      </c>
      <c r="N11477" t="str">
        <f>"09997823    "</f>
        <v xml:space="preserve">09997823    </v>
      </c>
      <c r="O11477">
        <v>230608</v>
      </c>
    </row>
    <row r="11478" spans="1:15" x14ac:dyDescent="0.25">
      <c r="A11478" t="s">
        <v>16</v>
      </c>
      <c r="B11478" t="s">
        <v>3221</v>
      </c>
      <c r="C11478">
        <v>9037</v>
      </c>
      <c r="D11478" t="s">
        <v>848</v>
      </c>
      <c r="E11478" t="s">
        <v>849</v>
      </c>
      <c r="F11478">
        <v>55.68</v>
      </c>
      <c r="G11478">
        <v>230621</v>
      </c>
      <c r="H11478">
        <v>4380</v>
      </c>
      <c r="I11478" t="s">
        <v>113</v>
      </c>
      <c r="J11478">
        <v>69.040000000000006</v>
      </c>
      <c r="K11478">
        <v>13.36</v>
      </c>
      <c r="L11478">
        <v>47522</v>
      </c>
      <c r="M11478" t="s">
        <v>410</v>
      </c>
      <c r="N11478" t="str">
        <f>"10052186    "</f>
        <v xml:space="preserve">10052186    </v>
      </c>
      <c r="O11478">
        <v>230621</v>
      </c>
    </row>
    <row r="11479" spans="1:15" x14ac:dyDescent="0.25">
      <c r="A11479" t="s">
        <v>16</v>
      </c>
      <c r="B11479" t="s">
        <v>3221</v>
      </c>
      <c r="C11479">
        <v>9038</v>
      </c>
      <c r="D11479" t="s">
        <v>848</v>
      </c>
      <c r="E11479" t="s">
        <v>849</v>
      </c>
      <c r="F11479">
        <v>97.6</v>
      </c>
      <c r="G11479">
        <v>230621</v>
      </c>
      <c r="H11479">
        <v>4380</v>
      </c>
      <c r="I11479" t="s">
        <v>113</v>
      </c>
      <c r="J11479">
        <v>121.02</v>
      </c>
      <c r="K11479">
        <v>23.42</v>
      </c>
      <c r="L11479">
        <v>47522</v>
      </c>
      <c r="M11479" t="s">
        <v>410</v>
      </c>
      <c r="N11479" t="str">
        <f>"10052187    "</f>
        <v xml:space="preserve">10052187    </v>
      </c>
      <c r="O11479">
        <v>230621</v>
      </c>
    </row>
    <row r="11480" spans="1:15" x14ac:dyDescent="0.25">
      <c r="A11480" t="s">
        <v>16</v>
      </c>
      <c r="B11480" t="s">
        <v>3221</v>
      </c>
      <c r="C11480">
        <v>9066</v>
      </c>
      <c r="D11480" t="s">
        <v>848</v>
      </c>
      <c r="E11480" t="s">
        <v>849</v>
      </c>
      <c r="F11480">
        <v>20.09</v>
      </c>
      <c r="G11480">
        <v>230621</v>
      </c>
      <c r="H11480">
        <v>4380</v>
      </c>
      <c r="I11480" t="s">
        <v>113</v>
      </c>
      <c r="J11480">
        <v>24.91</v>
      </c>
      <c r="K11480">
        <v>4.82</v>
      </c>
      <c r="L11480">
        <v>46554</v>
      </c>
      <c r="M11480" t="s">
        <v>117</v>
      </c>
      <c r="N11480" t="str">
        <f>"10053105    "</f>
        <v xml:space="preserve">10053105    </v>
      </c>
      <c r="O11480">
        <v>230622</v>
      </c>
    </row>
    <row r="11481" spans="1:15" x14ac:dyDescent="0.25">
      <c r="A11481" t="s">
        <v>16</v>
      </c>
      <c r="B11481" t="s">
        <v>3221</v>
      </c>
      <c r="C11481">
        <v>9086</v>
      </c>
      <c r="D11481" t="s">
        <v>848</v>
      </c>
      <c r="E11481" t="s">
        <v>849</v>
      </c>
      <c r="F11481">
        <v>136</v>
      </c>
      <c r="G11481">
        <v>230622</v>
      </c>
      <c r="H11481">
        <v>4380</v>
      </c>
      <c r="I11481" t="s">
        <v>113</v>
      </c>
      <c r="J11481">
        <v>168.64</v>
      </c>
      <c r="K11481">
        <v>32.64</v>
      </c>
      <c r="L11481">
        <v>17951</v>
      </c>
      <c r="M11481" t="s">
        <v>87</v>
      </c>
      <c r="N11481" t="str">
        <f>"10057101    "</f>
        <v xml:space="preserve">10057101    </v>
      </c>
      <c r="O11481">
        <v>230622</v>
      </c>
    </row>
    <row r="11482" spans="1:15" x14ac:dyDescent="0.25">
      <c r="A11482" t="s">
        <v>16</v>
      </c>
      <c r="B11482" t="s">
        <v>3221</v>
      </c>
      <c r="C11482">
        <v>9087</v>
      </c>
      <c r="D11482" t="s">
        <v>848</v>
      </c>
      <c r="E11482" t="s">
        <v>849</v>
      </c>
      <c r="F11482">
        <v>16.36</v>
      </c>
      <c r="G11482">
        <v>230622</v>
      </c>
      <c r="H11482">
        <v>4380</v>
      </c>
      <c r="I11482" t="s">
        <v>113</v>
      </c>
      <c r="J11482">
        <v>20.29</v>
      </c>
      <c r="K11482">
        <v>3.93</v>
      </c>
      <c r="L11482">
        <v>17951</v>
      </c>
      <c r="M11482" t="s">
        <v>87</v>
      </c>
      <c r="N11482" t="str">
        <f>"10057104    "</f>
        <v xml:space="preserve">10057104    </v>
      </c>
      <c r="O11482">
        <v>230622</v>
      </c>
    </row>
    <row r="11483" spans="1:15" x14ac:dyDescent="0.25">
      <c r="A11483" t="s">
        <v>16</v>
      </c>
      <c r="B11483" t="s">
        <v>3221</v>
      </c>
      <c r="C11483">
        <v>9088</v>
      </c>
      <c r="D11483" t="s">
        <v>848</v>
      </c>
      <c r="E11483" t="s">
        <v>849</v>
      </c>
      <c r="F11483">
        <v>16.36</v>
      </c>
      <c r="G11483">
        <v>230622</v>
      </c>
      <c r="H11483">
        <v>4380</v>
      </c>
      <c r="I11483" t="s">
        <v>113</v>
      </c>
      <c r="J11483">
        <v>20.29</v>
      </c>
      <c r="K11483">
        <v>3.93</v>
      </c>
      <c r="L11483">
        <v>17951</v>
      </c>
      <c r="M11483" t="s">
        <v>87</v>
      </c>
      <c r="N11483" t="str">
        <f>"10057100    "</f>
        <v xml:space="preserve">10057100    </v>
      </c>
      <c r="O11483">
        <v>230622</v>
      </c>
    </row>
    <row r="11484" spans="1:15" x14ac:dyDescent="0.25">
      <c r="A11484" t="s">
        <v>16</v>
      </c>
      <c r="B11484" t="s">
        <v>3221</v>
      </c>
      <c r="C11484">
        <v>9089</v>
      </c>
      <c r="D11484" t="s">
        <v>848</v>
      </c>
      <c r="E11484" t="s">
        <v>849</v>
      </c>
      <c r="F11484">
        <v>16.36</v>
      </c>
      <c r="G11484">
        <v>230622</v>
      </c>
      <c r="H11484">
        <v>4380</v>
      </c>
      <c r="I11484" t="s">
        <v>113</v>
      </c>
      <c r="J11484">
        <v>20.29</v>
      </c>
      <c r="K11484">
        <v>3.93</v>
      </c>
      <c r="L11484">
        <v>17951</v>
      </c>
      <c r="M11484" t="s">
        <v>87</v>
      </c>
      <c r="N11484" t="str">
        <f>"10057112    "</f>
        <v xml:space="preserve">10057112    </v>
      </c>
      <c r="O11484">
        <v>230622</v>
      </c>
    </row>
    <row r="11485" spans="1:15" x14ac:dyDescent="0.25">
      <c r="A11485" t="s">
        <v>16</v>
      </c>
      <c r="B11485" t="s">
        <v>3221</v>
      </c>
      <c r="C11485">
        <v>9177</v>
      </c>
      <c r="D11485" t="s">
        <v>848</v>
      </c>
      <c r="E11485" t="s">
        <v>849</v>
      </c>
      <c r="F11485">
        <v>16.36</v>
      </c>
      <c r="G11485">
        <v>230622</v>
      </c>
      <c r="H11485">
        <v>4380</v>
      </c>
      <c r="I11485" t="s">
        <v>113</v>
      </c>
      <c r="J11485">
        <v>20.29</v>
      </c>
      <c r="K11485">
        <v>3.93</v>
      </c>
      <c r="L11485">
        <v>17956</v>
      </c>
      <c r="M11485" t="s">
        <v>53</v>
      </c>
      <c r="N11485" t="str">
        <f>"10057105    "</f>
        <v xml:space="preserve">10057105    </v>
      </c>
      <c r="O11485">
        <v>230629</v>
      </c>
    </row>
    <row r="11486" spans="1:15" x14ac:dyDescent="0.25">
      <c r="A11486" t="s">
        <v>16</v>
      </c>
      <c r="B11486" t="s">
        <v>3221</v>
      </c>
      <c r="C11486">
        <v>9178</v>
      </c>
      <c r="D11486" t="s">
        <v>848</v>
      </c>
      <c r="E11486" t="s">
        <v>849</v>
      </c>
      <c r="F11486">
        <v>37</v>
      </c>
      <c r="G11486">
        <v>230622</v>
      </c>
      <c r="H11486">
        <v>4380</v>
      </c>
      <c r="I11486" t="s">
        <v>113</v>
      </c>
      <c r="J11486">
        <v>45.88</v>
      </c>
      <c r="K11486">
        <v>8.8800000000000008</v>
      </c>
      <c r="L11486">
        <v>59501</v>
      </c>
      <c r="M11486" t="s">
        <v>69</v>
      </c>
      <c r="N11486" t="str">
        <f>"10057102    "</f>
        <v xml:space="preserve">10057102    </v>
      </c>
      <c r="O11486">
        <v>230629</v>
      </c>
    </row>
    <row r="11487" spans="1:15" x14ac:dyDescent="0.25">
      <c r="A11487" t="s">
        <v>16</v>
      </c>
      <c r="B11487" t="s">
        <v>3221</v>
      </c>
      <c r="C11487">
        <v>9179</v>
      </c>
      <c r="D11487" t="s">
        <v>848</v>
      </c>
      <c r="E11487" t="s">
        <v>849</v>
      </c>
      <c r="F11487">
        <v>24.54</v>
      </c>
      <c r="G11487">
        <v>230622</v>
      </c>
      <c r="H11487">
        <v>4380</v>
      </c>
      <c r="I11487" t="s">
        <v>113</v>
      </c>
      <c r="J11487">
        <v>30.43</v>
      </c>
      <c r="K11487">
        <v>5.89</v>
      </c>
      <c r="L11487">
        <v>17956</v>
      </c>
      <c r="M11487" t="s">
        <v>53</v>
      </c>
      <c r="N11487" t="str">
        <f>"10057108    "</f>
        <v xml:space="preserve">10057108    </v>
      </c>
      <c r="O11487">
        <v>230629</v>
      </c>
    </row>
    <row r="11488" spans="1:15" x14ac:dyDescent="0.25">
      <c r="A11488" t="s">
        <v>16</v>
      </c>
      <c r="B11488" t="s">
        <v>3221</v>
      </c>
      <c r="C11488">
        <v>9180</v>
      </c>
      <c r="D11488" t="s">
        <v>848</v>
      </c>
      <c r="E11488" t="s">
        <v>849</v>
      </c>
      <c r="F11488">
        <v>22.49</v>
      </c>
      <c r="G11488">
        <v>230622</v>
      </c>
      <c r="H11488">
        <v>4380</v>
      </c>
      <c r="I11488" t="s">
        <v>113</v>
      </c>
      <c r="J11488">
        <v>27.89</v>
      </c>
      <c r="K11488">
        <v>5.4</v>
      </c>
      <c r="L11488">
        <v>13540</v>
      </c>
      <c r="M11488" t="s">
        <v>85</v>
      </c>
      <c r="N11488" t="str">
        <f>"10057103    "</f>
        <v xml:space="preserve">10057103    </v>
      </c>
      <c r="O11488">
        <v>230629</v>
      </c>
    </row>
    <row r="11489" spans="1:15" x14ac:dyDescent="0.25">
      <c r="A11489" t="s">
        <v>16</v>
      </c>
      <c r="B11489" t="s">
        <v>3221</v>
      </c>
      <c r="C11489">
        <v>9180</v>
      </c>
      <c r="D11489" t="s">
        <v>848</v>
      </c>
      <c r="E11489" t="s">
        <v>849</v>
      </c>
      <c r="F11489">
        <v>182.01</v>
      </c>
      <c r="G11489">
        <v>230622</v>
      </c>
      <c r="H11489">
        <v>4380</v>
      </c>
      <c r="I11489" t="s">
        <v>113</v>
      </c>
      <c r="J11489">
        <v>225.69</v>
      </c>
      <c r="K11489">
        <v>43.68</v>
      </c>
      <c r="L11489">
        <v>17950</v>
      </c>
      <c r="M11489" t="s">
        <v>86</v>
      </c>
      <c r="N11489" t="str">
        <f>"10057103    "</f>
        <v xml:space="preserve">10057103    </v>
      </c>
      <c r="O11489">
        <v>230629</v>
      </c>
    </row>
    <row r="11490" spans="1:15" x14ac:dyDescent="0.25">
      <c r="A11490" t="s">
        <v>16</v>
      </c>
      <c r="B11490" t="s">
        <v>3221</v>
      </c>
      <c r="C11490">
        <v>9181</v>
      </c>
      <c r="D11490" t="s">
        <v>848</v>
      </c>
      <c r="E11490" t="s">
        <v>849</v>
      </c>
      <c r="F11490">
        <v>28.63</v>
      </c>
      <c r="G11490">
        <v>230622</v>
      </c>
      <c r="H11490">
        <v>4380</v>
      </c>
      <c r="I11490" t="s">
        <v>113</v>
      </c>
      <c r="J11490">
        <v>35.5</v>
      </c>
      <c r="K11490">
        <v>6.87</v>
      </c>
      <c r="L11490">
        <v>17956</v>
      </c>
      <c r="M11490" t="s">
        <v>53</v>
      </c>
      <c r="N11490" t="str">
        <f>"10057109    "</f>
        <v xml:space="preserve">10057109    </v>
      </c>
      <c r="O11490">
        <v>230629</v>
      </c>
    </row>
    <row r="11491" spans="1:15" x14ac:dyDescent="0.25">
      <c r="A11491" t="s">
        <v>16</v>
      </c>
      <c r="B11491" t="s">
        <v>3221</v>
      </c>
      <c r="C11491">
        <v>9182</v>
      </c>
      <c r="D11491" t="s">
        <v>848</v>
      </c>
      <c r="E11491" t="s">
        <v>849</v>
      </c>
      <c r="F11491">
        <v>53.9</v>
      </c>
      <c r="G11491">
        <v>230622</v>
      </c>
      <c r="H11491">
        <v>4380</v>
      </c>
      <c r="I11491" t="s">
        <v>113</v>
      </c>
      <c r="J11491">
        <v>66.84</v>
      </c>
      <c r="K11491">
        <v>12.94</v>
      </c>
      <c r="L11491">
        <v>59504</v>
      </c>
      <c r="M11491" t="s">
        <v>71</v>
      </c>
      <c r="N11491" t="str">
        <f>"10057111    "</f>
        <v xml:space="preserve">10057111    </v>
      </c>
      <c r="O11491">
        <v>230629</v>
      </c>
    </row>
    <row r="11492" spans="1:15" x14ac:dyDescent="0.25">
      <c r="A11492" t="s">
        <v>16</v>
      </c>
      <c r="B11492" t="s">
        <v>3221</v>
      </c>
      <c r="C11492">
        <v>9278</v>
      </c>
      <c r="D11492" t="s">
        <v>848</v>
      </c>
      <c r="E11492" t="s">
        <v>849</v>
      </c>
      <c r="F11492">
        <v>8.6999999999999993</v>
      </c>
      <c r="G11492">
        <v>230628</v>
      </c>
      <c r="H11492">
        <v>4380</v>
      </c>
      <c r="I11492" t="s">
        <v>113</v>
      </c>
      <c r="J11492">
        <v>10.79</v>
      </c>
      <c r="K11492">
        <v>2.09</v>
      </c>
      <c r="L11492">
        <v>17521</v>
      </c>
      <c r="M11492" t="s">
        <v>133</v>
      </c>
      <c r="N11492" t="str">
        <f>"10089416    "</f>
        <v xml:space="preserve">10089416    </v>
      </c>
      <c r="O11492">
        <v>230703</v>
      </c>
    </row>
    <row r="11493" spans="1:15" x14ac:dyDescent="0.25">
      <c r="A11493" t="s">
        <v>16</v>
      </c>
      <c r="B11493" t="s">
        <v>3221</v>
      </c>
      <c r="C11493">
        <v>9442</v>
      </c>
      <c r="D11493" t="s">
        <v>848</v>
      </c>
      <c r="E11493" t="s">
        <v>849</v>
      </c>
      <c r="F11493">
        <v>402.5</v>
      </c>
      <c r="G11493">
        <v>230706</v>
      </c>
      <c r="H11493">
        <v>4380</v>
      </c>
      <c r="I11493" t="s">
        <v>113</v>
      </c>
      <c r="J11493">
        <v>499.1</v>
      </c>
      <c r="K11493">
        <v>96.6</v>
      </c>
      <c r="L11493">
        <v>17951</v>
      </c>
      <c r="M11493" t="s">
        <v>87</v>
      </c>
      <c r="N11493" t="str">
        <f>"10097357    "</f>
        <v xml:space="preserve">10097357    </v>
      </c>
      <c r="O11493">
        <v>230711</v>
      </c>
    </row>
    <row r="11494" spans="1:15" x14ac:dyDescent="0.25">
      <c r="A11494" t="s">
        <v>16</v>
      </c>
      <c r="B11494" t="s">
        <v>3221</v>
      </c>
      <c r="C11494">
        <v>9443</v>
      </c>
      <c r="D11494" t="s">
        <v>848</v>
      </c>
      <c r="E11494" t="s">
        <v>849</v>
      </c>
      <c r="F11494">
        <v>25.75</v>
      </c>
      <c r="G11494">
        <v>230706</v>
      </c>
      <c r="H11494">
        <v>4380</v>
      </c>
      <c r="I11494" t="s">
        <v>113</v>
      </c>
      <c r="J11494">
        <v>31.93</v>
      </c>
      <c r="K11494">
        <v>6.18</v>
      </c>
      <c r="L11494">
        <v>17952</v>
      </c>
      <c r="M11494" t="s">
        <v>88</v>
      </c>
      <c r="N11494" t="str">
        <f>"10098038    "</f>
        <v xml:space="preserve">10098038    </v>
      </c>
      <c r="O11494">
        <v>230711</v>
      </c>
    </row>
    <row r="11495" spans="1:15" x14ac:dyDescent="0.25">
      <c r="A11495" t="s">
        <v>16</v>
      </c>
      <c r="B11495" t="s">
        <v>3221</v>
      </c>
      <c r="C11495">
        <v>9446</v>
      </c>
      <c r="D11495" t="s">
        <v>848</v>
      </c>
      <c r="E11495" t="s">
        <v>849</v>
      </c>
      <c r="F11495">
        <v>34.619999999999997</v>
      </c>
      <c r="G11495">
        <v>230706</v>
      </c>
      <c r="H11495">
        <v>4380</v>
      </c>
      <c r="I11495" t="s">
        <v>113</v>
      </c>
      <c r="J11495">
        <v>42.93</v>
      </c>
      <c r="K11495">
        <v>8.31</v>
      </c>
      <c r="L11495">
        <v>17950</v>
      </c>
      <c r="M11495" t="s">
        <v>86</v>
      </c>
      <c r="N11495" t="str">
        <f>"10097361    "</f>
        <v xml:space="preserve">10097361    </v>
      </c>
      <c r="O11495">
        <v>230711</v>
      </c>
    </row>
    <row r="11496" spans="1:15" x14ac:dyDescent="0.25">
      <c r="A11496" t="s">
        <v>16</v>
      </c>
      <c r="B11496" t="s">
        <v>3221</v>
      </c>
      <c r="C11496">
        <v>9450</v>
      </c>
      <c r="D11496" t="s">
        <v>848</v>
      </c>
      <c r="E11496" t="s">
        <v>849</v>
      </c>
      <c r="F11496">
        <v>85.55</v>
      </c>
      <c r="G11496">
        <v>230706</v>
      </c>
      <c r="H11496">
        <v>4380</v>
      </c>
      <c r="I11496" t="s">
        <v>113</v>
      </c>
      <c r="J11496">
        <v>106.08</v>
      </c>
      <c r="K11496">
        <v>20.53</v>
      </c>
      <c r="L11496">
        <v>14432</v>
      </c>
      <c r="M11496" t="s">
        <v>862</v>
      </c>
      <c r="N11496" t="str">
        <f>"10097586    "</f>
        <v xml:space="preserve">10097586    </v>
      </c>
      <c r="O11496">
        <v>230711</v>
      </c>
    </row>
    <row r="11497" spans="1:15" x14ac:dyDescent="0.25">
      <c r="A11497" t="s">
        <v>16</v>
      </c>
      <c r="B11497" t="s">
        <v>3221</v>
      </c>
      <c r="C11497">
        <v>9450</v>
      </c>
      <c r="D11497" t="s">
        <v>848</v>
      </c>
      <c r="E11497" t="s">
        <v>849</v>
      </c>
      <c r="F11497">
        <v>13.25</v>
      </c>
      <c r="G11497">
        <v>230706</v>
      </c>
      <c r="H11497">
        <v>4380</v>
      </c>
      <c r="I11497" t="s">
        <v>113</v>
      </c>
      <c r="J11497">
        <v>16.43</v>
      </c>
      <c r="K11497">
        <v>3.18</v>
      </c>
      <c r="L11497">
        <v>14951</v>
      </c>
      <c r="M11497" t="s">
        <v>57</v>
      </c>
      <c r="N11497" t="str">
        <f>"10097586    "</f>
        <v xml:space="preserve">10097586    </v>
      </c>
      <c r="O11497">
        <v>230711</v>
      </c>
    </row>
    <row r="11498" spans="1:15" x14ac:dyDescent="0.25">
      <c r="A11498" t="s">
        <v>16</v>
      </c>
      <c r="B11498" t="s">
        <v>3221</v>
      </c>
      <c r="C11498">
        <v>9473</v>
      </c>
      <c r="D11498" t="s">
        <v>848</v>
      </c>
      <c r="E11498" t="s">
        <v>849</v>
      </c>
      <c r="F11498">
        <v>164.38</v>
      </c>
      <c r="G11498">
        <v>230622</v>
      </c>
      <c r="H11498">
        <v>4380</v>
      </c>
      <c r="I11498" t="s">
        <v>113</v>
      </c>
      <c r="J11498">
        <v>203.83</v>
      </c>
      <c r="K11498">
        <v>39.450000000000003</v>
      </c>
      <c r="L11498">
        <v>59502</v>
      </c>
      <c r="M11498" t="s">
        <v>70</v>
      </c>
      <c r="N11498" t="str">
        <f>"10057110    "</f>
        <v xml:space="preserve">10057110    </v>
      </c>
      <c r="O11498">
        <v>230711</v>
      </c>
    </row>
    <row r="11499" spans="1:15" x14ac:dyDescent="0.25">
      <c r="A11499" t="s">
        <v>16</v>
      </c>
      <c r="B11499" t="s">
        <v>3221</v>
      </c>
      <c r="C11499">
        <v>9473</v>
      </c>
      <c r="D11499" t="s">
        <v>848</v>
      </c>
      <c r="E11499" t="s">
        <v>849</v>
      </c>
      <c r="F11499">
        <v>347.65</v>
      </c>
      <c r="G11499">
        <v>230622</v>
      </c>
      <c r="H11499">
        <v>4380</v>
      </c>
      <c r="I11499" t="s">
        <v>113</v>
      </c>
      <c r="J11499">
        <v>431.09</v>
      </c>
      <c r="K11499">
        <v>83.44</v>
      </c>
      <c r="L11499">
        <v>59502</v>
      </c>
      <c r="M11499" t="s">
        <v>70</v>
      </c>
      <c r="N11499" t="str">
        <f>"10057110    "</f>
        <v xml:space="preserve">10057110    </v>
      </c>
      <c r="O11499">
        <v>230711</v>
      </c>
    </row>
    <row r="11500" spans="1:15" x14ac:dyDescent="0.25">
      <c r="A11500" t="s">
        <v>16</v>
      </c>
      <c r="B11500" t="s">
        <v>3221</v>
      </c>
      <c r="C11500">
        <v>9473</v>
      </c>
      <c r="D11500" t="s">
        <v>848</v>
      </c>
      <c r="E11500" t="s">
        <v>849</v>
      </c>
      <c r="F11500">
        <v>305.27</v>
      </c>
      <c r="G11500">
        <v>230622</v>
      </c>
      <c r="H11500">
        <v>4380</v>
      </c>
      <c r="I11500" t="s">
        <v>113</v>
      </c>
      <c r="J11500">
        <v>378.53</v>
      </c>
      <c r="K11500">
        <v>73.260000000000005</v>
      </c>
      <c r="L11500">
        <v>59802</v>
      </c>
      <c r="M11500" t="s">
        <v>73</v>
      </c>
      <c r="N11500" t="str">
        <f>"10057110    "</f>
        <v xml:space="preserve">10057110    </v>
      </c>
      <c r="O11500">
        <v>230711</v>
      </c>
    </row>
    <row r="11501" spans="1:15" x14ac:dyDescent="0.25">
      <c r="A11501" t="s">
        <v>16</v>
      </c>
      <c r="B11501" t="s">
        <v>3221</v>
      </c>
      <c r="C11501">
        <v>9474</v>
      </c>
      <c r="D11501" t="s">
        <v>848</v>
      </c>
      <c r="E11501" t="s">
        <v>849</v>
      </c>
      <c r="F11501">
        <v>145.88999999999999</v>
      </c>
      <c r="G11501">
        <v>230622</v>
      </c>
      <c r="H11501">
        <v>4380</v>
      </c>
      <c r="I11501" t="s">
        <v>113</v>
      </c>
      <c r="J11501">
        <v>180.9</v>
      </c>
      <c r="K11501">
        <v>35.01</v>
      </c>
      <c r="L11501">
        <v>14951</v>
      </c>
      <c r="M11501" t="s">
        <v>57</v>
      </c>
      <c r="N11501" t="str">
        <f>"10057107    "</f>
        <v xml:space="preserve">10057107    </v>
      </c>
      <c r="O11501">
        <v>230711</v>
      </c>
    </row>
    <row r="11502" spans="1:15" x14ac:dyDescent="0.25">
      <c r="A11502" t="s">
        <v>16</v>
      </c>
      <c r="B11502" t="s">
        <v>3221</v>
      </c>
      <c r="C11502">
        <v>9475</v>
      </c>
      <c r="D11502" t="s">
        <v>848</v>
      </c>
      <c r="E11502" t="s">
        <v>849</v>
      </c>
      <c r="F11502">
        <v>-347.65</v>
      </c>
      <c r="G11502">
        <v>230629</v>
      </c>
      <c r="H11502">
        <v>4380</v>
      </c>
      <c r="I11502" t="s">
        <v>113</v>
      </c>
      <c r="J11502">
        <v>-431.09</v>
      </c>
      <c r="K11502">
        <v>-83.44</v>
      </c>
      <c r="L11502">
        <v>59502</v>
      </c>
      <c r="M11502" t="s">
        <v>70</v>
      </c>
      <c r="N11502" t="str">
        <f>"90066871    "</f>
        <v xml:space="preserve">90066871    </v>
      </c>
      <c r="O11502">
        <v>230711</v>
      </c>
    </row>
    <row r="11503" spans="1:15" x14ac:dyDescent="0.25">
      <c r="A11503" t="s">
        <v>16</v>
      </c>
      <c r="B11503" t="s">
        <v>3221</v>
      </c>
      <c r="C11503">
        <v>9477</v>
      </c>
      <c r="D11503" t="s">
        <v>848</v>
      </c>
      <c r="E11503" t="s">
        <v>849</v>
      </c>
      <c r="F11503">
        <v>18</v>
      </c>
      <c r="G11503">
        <v>230622</v>
      </c>
      <c r="H11503">
        <v>4380</v>
      </c>
      <c r="I11503" t="s">
        <v>113</v>
      </c>
      <c r="J11503">
        <v>22.32</v>
      </c>
      <c r="K11503">
        <v>4.32</v>
      </c>
      <c r="L11503">
        <v>49501</v>
      </c>
      <c r="M11503" t="s">
        <v>177</v>
      </c>
      <c r="N11503" t="str">
        <f>"10057106    "</f>
        <v xml:space="preserve">10057106    </v>
      </c>
      <c r="O11503">
        <v>230711</v>
      </c>
    </row>
    <row r="11504" spans="1:15" x14ac:dyDescent="0.25">
      <c r="A11504" t="s">
        <v>16</v>
      </c>
      <c r="B11504" t="s">
        <v>3221</v>
      </c>
      <c r="C11504">
        <v>9565</v>
      </c>
      <c r="D11504" t="s">
        <v>848</v>
      </c>
      <c r="E11504" t="s">
        <v>849</v>
      </c>
      <c r="F11504">
        <v>4.6500000000000004</v>
      </c>
      <c r="G11504">
        <v>230706</v>
      </c>
      <c r="H11504">
        <v>4380</v>
      </c>
      <c r="I11504" t="s">
        <v>113</v>
      </c>
      <c r="J11504">
        <v>5.77</v>
      </c>
      <c r="K11504">
        <v>1.1200000000000001</v>
      </c>
      <c r="L11504">
        <v>13641</v>
      </c>
      <c r="M11504" t="s">
        <v>1471</v>
      </c>
      <c r="N11504" t="str">
        <f>"10097365    "</f>
        <v xml:space="preserve">10097365    </v>
      </c>
      <c r="O11504">
        <v>230717</v>
      </c>
    </row>
    <row r="11505" spans="1:15" x14ac:dyDescent="0.25">
      <c r="A11505" t="s">
        <v>16</v>
      </c>
      <c r="B11505" t="s">
        <v>3221</v>
      </c>
      <c r="C11505">
        <v>9616</v>
      </c>
      <c r="D11505" t="s">
        <v>848</v>
      </c>
      <c r="E11505" t="s">
        <v>849</v>
      </c>
      <c r="F11505">
        <v>59.08</v>
      </c>
      <c r="G11505">
        <v>230629</v>
      </c>
      <c r="H11505">
        <v>4380</v>
      </c>
      <c r="I11505" t="s">
        <v>113</v>
      </c>
      <c r="J11505">
        <v>73.260000000000005</v>
      </c>
      <c r="K11505">
        <v>14.18</v>
      </c>
      <c r="L11505">
        <v>59505</v>
      </c>
      <c r="M11505" t="s">
        <v>72</v>
      </c>
      <c r="N11505" t="str">
        <f>"10095014    "</f>
        <v xml:space="preserve">10095014    </v>
      </c>
      <c r="O11505">
        <v>230717</v>
      </c>
    </row>
    <row r="11506" spans="1:15" x14ac:dyDescent="0.25">
      <c r="A11506" t="s">
        <v>16</v>
      </c>
      <c r="B11506" t="s">
        <v>3221</v>
      </c>
      <c r="C11506">
        <v>9671</v>
      </c>
      <c r="D11506" t="s">
        <v>848</v>
      </c>
      <c r="E11506" t="s">
        <v>849</v>
      </c>
      <c r="F11506">
        <v>31.53</v>
      </c>
      <c r="G11506">
        <v>230706</v>
      </c>
      <c r="H11506">
        <v>4380</v>
      </c>
      <c r="I11506" t="s">
        <v>113</v>
      </c>
      <c r="J11506">
        <v>39.1</v>
      </c>
      <c r="K11506">
        <v>7.57</v>
      </c>
      <c r="L11506">
        <v>59501</v>
      </c>
      <c r="M11506" t="s">
        <v>69</v>
      </c>
      <c r="N11506" t="str">
        <f>"10097583    "</f>
        <v xml:space="preserve">10097583    </v>
      </c>
      <c r="O11506">
        <v>230719</v>
      </c>
    </row>
    <row r="11507" spans="1:15" x14ac:dyDescent="0.25">
      <c r="A11507" t="s">
        <v>16</v>
      </c>
      <c r="B11507" t="s">
        <v>3221</v>
      </c>
      <c r="C11507">
        <v>9672</v>
      </c>
      <c r="D11507" t="s">
        <v>848</v>
      </c>
      <c r="E11507" t="s">
        <v>849</v>
      </c>
      <c r="F11507">
        <v>5.93</v>
      </c>
      <c r="G11507">
        <v>230706</v>
      </c>
      <c r="H11507">
        <v>4380</v>
      </c>
      <c r="I11507" t="s">
        <v>113</v>
      </c>
      <c r="J11507">
        <v>7.35</v>
      </c>
      <c r="K11507">
        <v>1.42</v>
      </c>
      <c r="L11507">
        <v>59504</v>
      </c>
      <c r="M11507" t="s">
        <v>71</v>
      </c>
      <c r="N11507" t="str">
        <f>"10097580    "</f>
        <v xml:space="preserve">10097580    </v>
      </c>
      <c r="O11507">
        <v>230719</v>
      </c>
    </row>
    <row r="11508" spans="1:15" x14ac:dyDescent="0.25">
      <c r="A11508" t="s">
        <v>16</v>
      </c>
      <c r="B11508" t="s">
        <v>3221</v>
      </c>
      <c r="C11508">
        <v>9673</v>
      </c>
      <c r="D11508" t="s">
        <v>848</v>
      </c>
      <c r="E11508" t="s">
        <v>849</v>
      </c>
      <c r="F11508">
        <v>8.06</v>
      </c>
      <c r="G11508">
        <v>230706</v>
      </c>
      <c r="H11508">
        <v>4380</v>
      </c>
      <c r="I11508" t="s">
        <v>113</v>
      </c>
      <c r="J11508">
        <v>9.99</v>
      </c>
      <c r="K11508">
        <v>1.93</v>
      </c>
      <c r="L11508">
        <v>59505</v>
      </c>
      <c r="M11508" t="s">
        <v>72</v>
      </c>
      <c r="N11508" t="str">
        <f>"10097584    "</f>
        <v xml:space="preserve">10097584    </v>
      </c>
      <c r="O11508">
        <v>230719</v>
      </c>
    </row>
    <row r="11509" spans="1:15" x14ac:dyDescent="0.25">
      <c r="A11509" t="s">
        <v>16</v>
      </c>
      <c r="B11509" t="s">
        <v>3221</v>
      </c>
      <c r="C11509">
        <v>9674</v>
      </c>
      <c r="D11509" t="s">
        <v>848</v>
      </c>
      <c r="E11509" t="s">
        <v>849</v>
      </c>
      <c r="F11509">
        <v>9.81</v>
      </c>
      <c r="G11509">
        <v>230706</v>
      </c>
      <c r="H11509">
        <v>4380</v>
      </c>
      <c r="I11509" t="s">
        <v>113</v>
      </c>
      <c r="J11509">
        <v>12.17</v>
      </c>
      <c r="K11509">
        <v>2.36</v>
      </c>
      <c r="L11509">
        <v>59502</v>
      </c>
      <c r="M11509" t="s">
        <v>70</v>
      </c>
      <c r="N11509" t="str">
        <f>"10097581    "</f>
        <v xml:space="preserve">10097581    </v>
      </c>
      <c r="O11509">
        <v>230719</v>
      </c>
    </row>
    <row r="11510" spans="1:15" x14ac:dyDescent="0.25">
      <c r="A11510" t="s">
        <v>16</v>
      </c>
      <c r="B11510" t="s">
        <v>3221</v>
      </c>
      <c r="C11510">
        <v>9674</v>
      </c>
      <c r="D11510" t="s">
        <v>848</v>
      </c>
      <c r="E11510" t="s">
        <v>849</v>
      </c>
      <c r="F11510">
        <v>6.27</v>
      </c>
      <c r="G11510">
        <v>230706</v>
      </c>
      <c r="H11510">
        <v>4380</v>
      </c>
      <c r="I11510" t="s">
        <v>113</v>
      </c>
      <c r="J11510">
        <v>7.78</v>
      </c>
      <c r="K11510">
        <v>1.51</v>
      </c>
      <c r="L11510">
        <v>59802</v>
      </c>
      <c r="M11510" t="s">
        <v>73</v>
      </c>
      <c r="N11510" t="str">
        <f>"10097581    "</f>
        <v xml:space="preserve">10097581    </v>
      </c>
      <c r="O11510">
        <v>230719</v>
      </c>
    </row>
    <row r="11511" spans="1:15" x14ac:dyDescent="0.25">
      <c r="A11511" t="s">
        <v>16</v>
      </c>
      <c r="B11511" t="s">
        <v>3221</v>
      </c>
      <c r="C11511">
        <v>9732</v>
      </c>
      <c r="D11511" t="s">
        <v>848</v>
      </c>
      <c r="E11511" t="s">
        <v>849</v>
      </c>
      <c r="F11511">
        <v>18.399999999999999</v>
      </c>
      <c r="G11511">
        <v>230706</v>
      </c>
      <c r="H11511">
        <v>4380</v>
      </c>
      <c r="I11511" t="s">
        <v>113</v>
      </c>
      <c r="J11511">
        <v>22.81</v>
      </c>
      <c r="K11511">
        <v>4.41</v>
      </c>
      <c r="L11511">
        <v>49501</v>
      </c>
      <c r="M11511" t="s">
        <v>177</v>
      </c>
      <c r="N11511" t="str">
        <f>"10097588    "</f>
        <v xml:space="preserve">10097588    </v>
      </c>
      <c r="O11511">
        <v>230724</v>
      </c>
    </row>
    <row r="11512" spans="1:15" x14ac:dyDescent="0.25">
      <c r="A11512" t="s">
        <v>16</v>
      </c>
      <c r="B11512" t="s">
        <v>3221</v>
      </c>
      <c r="C11512">
        <v>9732</v>
      </c>
      <c r="D11512" t="s">
        <v>848</v>
      </c>
      <c r="E11512" t="s">
        <v>849</v>
      </c>
      <c r="F11512">
        <v>5.01</v>
      </c>
      <c r="G11512">
        <v>230706</v>
      </c>
      <c r="H11512">
        <v>4380</v>
      </c>
      <c r="I11512" t="s">
        <v>113</v>
      </c>
      <c r="J11512">
        <v>6.21</v>
      </c>
      <c r="K11512">
        <v>1.2</v>
      </c>
      <c r="L11512">
        <v>49503</v>
      </c>
      <c r="M11512" t="s">
        <v>178</v>
      </c>
      <c r="N11512" t="str">
        <f>"10097588    "</f>
        <v xml:space="preserve">10097588    </v>
      </c>
      <c r="O11512">
        <v>230724</v>
      </c>
    </row>
    <row r="11513" spans="1:15" x14ac:dyDescent="0.25">
      <c r="A11513" t="s">
        <v>16</v>
      </c>
      <c r="B11513" t="s">
        <v>3221</v>
      </c>
      <c r="C11513">
        <v>9822</v>
      </c>
      <c r="D11513" t="s">
        <v>848</v>
      </c>
      <c r="E11513" t="s">
        <v>849</v>
      </c>
      <c r="F11513">
        <v>97.6</v>
      </c>
      <c r="G11513">
        <v>230720</v>
      </c>
      <c r="H11513">
        <v>4380</v>
      </c>
      <c r="I11513" t="s">
        <v>113</v>
      </c>
      <c r="J11513">
        <v>121.02</v>
      </c>
      <c r="K11513">
        <v>23.42</v>
      </c>
      <c r="L11513">
        <v>47522</v>
      </c>
      <c r="M11513" t="s">
        <v>410</v>
      </c>
      <c r="N11513" t="str">
        <f>"70012088    "</f>
        <v xml:space="preserve">70012088    </v>
      </c>
      <c r="O11513">
        <v>230726</v>
      </c>
    </row>
    <row r="11514" spans="1:15" x14ac:dyDescent="0.25">
      <c r="A11514" t="s">
        <v>16</v>
      </c>
      <c r="B11514" t="s">
        <v>3221</v>
      </c>
      <c r="C11514">
        <v>9823</v>
      </c>
      <c r="D11514" t="s">
        <v>848</v>
      </c>
      <c r="E11514" t="s">
        <v>849</v>
      </c>
      <c r="F11514">
        <v>55.68</v>
      </c>
      <c r="G11514">
        <v>230720</v>
      </c>
      <c r="H11514">
        <v>4380</v>
      </c>
      <c r="I11514" t="s">
        <v>113</v>
      </c>
      <c r="J11514">
        <v>69.040000000000006</v>
      </c>
      <c r="K11514">
        <v>13.36</v>
      </c>
      <c r="L11514">
        <v>47522</v>
      </c>
      <c r="M11514" t="s">
        <v>410</v>
      </c>
      <c r="N11514" t="str">
        <f>"70012087    "</f>
        <v xml:space="preserve">70012087    </v>
      </c>
      <c r="O11514">
        <v>230726</v>
      </c>
    </row>
    <row r="11515" spans="1:15" x14ac:dyDescent="0.25">
      <c r="A11515" t="s">
        <v>16</v>
      </c>
      <c r="B11515" t="s">
        <v>3221</v>
      </c>
      <c r="C11515">
        <v>9930</v>
      </c>
      <c r="D11515" t="s">
        <v>848</v>
      </c>
      <c r="E11515" t="s">
        <v>849</v>
      </c>
      <c r="F11515">
        <v>42.7</v>
      </c>
      <c r="G11515">
        <v>230720</v>
      </c>
      <c r="H11515">
        <v>4380</v>
      </c>
      <c r="I11515" t="s">
        <v>113</v>
      </c>
      <c r="J11515">
        <v>52.95</v>
      </c>
      <c r="K11515">
        <v>10.25</v>
      </c>
      <c r="L11515">
        <v>59502</v>
      </c>
      <c r="M11515" t="s">
        <v>70</v>
      </c>
      <c r="N11515" t="str">
        <f>"70012091    "</f>
        <v xml:space="preserve">70012091    </v>
      </c>
      <c r="O11515">
        <v>230802</v>
      </c>
    </row>
    <row r="11516" spans="1:15" x14ac:dyDescent="0.25">
      <c r="A11516" t="s">
        <v>16</v>
      </c>
      <c r="B11516" t="s">
        <v>3221</v>
      </c>
      <c r="C11516">
        <v>9930</v>
      </c>
      <c r="D11516" t="s">
        <v>848</v>
      </c>
      <c r="E11516" t="s">
        <v>849</v>
      </c>
      <c r="F11516">
        <v>79.3</v>
      </c>
      <c r="G11516">
        <v>230720</v>
      </c>
      <c r="H11516">
        <v>4380</v>
      </c>
      <c r="I11516" t="s">
        <v>113</v>
      </c>
      <c r="J11516">
        <v>98.33</v>
      </c>
      <c r="K11516">
        <v>19.03</v>
      </c>
      <c r="L11516">
        <v>59802</v>
      </c>
      <c r="M11516" t="s">
        <v>73</v>
      </c>
      <c r="N11516" t="str">
        <f>"70012091    "</f>
        <v xml:space="preserve">70012091    </v>
      </c>
      <c r="O11516">
        <v>230802</v>
      </c>
    </row>
    <row r="11517" spans="1:15" x14ac:dyDescent="0.25">
      <c r="A11517" t="s">
        <v>16</v>
      </c>
      <c r="B11517" t="s">
        <v>3221</v>
      </c>
      <c r="C11517">
        <v>9945</v>
      </c>
      <c r="D11517" t="s">
        <v>848</v>
      </c>
      <c r="E11517" t="s">
        <v>849</v>
      </c>
      <c r="F11517">
        <v>100.9</v>
      </c>
      <c r="G11517">
        <v>230720</v>
      </c>
      <c r="H11517">
        <v>4380</v>
      </c>
      <c r="I11517" t="s">
        <v>113</v>
      </c>
      <c r="J11517">
        <v>125.12</v>
      </c>
      <c r="K11517">
        <v>24.22</v>
      </c>
      <c r="L11517">
        <v>14951</v>
      </c>
      <c r="M11517" t="s">
        <v>57</v>
      </c>
      <c r="N11517" t="str">
        <f>"70012089    "</f>
        <v xml:space="preserve">70012089    </v>
      </c>
      <c r="O11517">
        <v>230802</v>
      </c>
    </row>
    <row r="11518" spans="1:15" x14ac:dyDescent="0.25">
      <c r="A11518" t="s">
        <v>16</v>
      </c>
      <c r="B11518" t="s">
        <v>3221</v>
      </c>
      <c r="C11518">
        <v>10035</v>
      </c>
      <c r="D11518" t="s">
        <v>848</v>
      </c>
      <c r="E11518" t="s">
        <v>849</v>
      </c>
      <c r="F11518">
        <v>20.6</v>
      </c>
      <c r="G11518">
        <v>230803</v>
      </c>
      <c r="H11518">
        <v>4380</v>
      </c>
      <c r="I11518" t="s">
        <v>113</v>
      </c>
      <c r="J11518">
        <v>25.54</v>
      </c>
      <c r="K11518">
        <v>4.9400000000000004</v>
      </c>
      <c r="L11518">
        <v>17952</v>
      </c>
      <c r="M11518" t="s">
        <v>88</v>
      </c>
      <c r="N11518" t="str">
        <f>"70060462    "</f>
        <v xml:space="preserve">70060462    </v>
      </c>
      <c r="O11518">
        <v>230807</v>
      </c>
    </row>
    <row r="11519" spans="1:15" x14ac:dyDescent="0.25">
      <c r="A11519" t="s">
        <v>16</v>
      </c>
      <c r="B11519" t="s">
        <v>3221</v>
      </c>
      <c r="C11519">
        <v>10036</v>
      </c>
      <c r="D11519" t="s">
        <v>848</v>
      </c>
      <c r="E11519" t="s">
        <v>849</v>
      </c>
      <c r="F11519">
        <v>18</v>
      </c>
      <c r="G11519">
        <v>230720</v>
      </c>
      <c r="H11519">
        <v>4380</v>
      </c>
      <c r="I11519" t="s">
        <v>113</v>
      </c>
      <c r="J11519">
        <v>22.32</v>
      </c>
      <c r="K11519">
        <v>4.32</v>
      </c>
      <c r="L11519">
        <v>49501</v>
      </c>
      <c r="M11519" t="s">
        <v>177</v>
      </c>
      <c r="N11519" t="str">
        <f>"70012092    "</f>
        <v xml:space="preserve">70012092    </v>
      </c>
      <c r="O11519">
        <v>230807</v>
      </c>
    </row>
    <row r="11520" spans="1:15" x14ac:dyDescent="0.25">
      <c r="A11520" t="s">
        <v>16</v>
      </c>
      <c r="B11520" t="s">
        <v>3221</v>
      </c>
      <c r="C11520">
        <v>10037</v>
      </c>
      <c r="D11520" t="s">
        <v>848</v>
      </c>
      <c r="E11520" t="s">
        <v>849</v>
      </c>
      <c r="F11520">
        <v>322</v>
      </c>
      <c r="G11520">
        <v>230803</v>
      </c>
      <c r="H11520">
        <v>4380</v>
      </c>
      <c r="I11520" t="s">
        <v>113</v>
      </c>
      <c r="J11520">
        <v>399.28</v>
      </c>
      <c r="K11520">
        <v>77.28</v>
      </c>
      <c r="L11520">
        <v>17951</v>
      </c>
      <c r="M11520" t="s">
        <v>87</v>
      </c>
      <c r="N11520" t="str">
        <f>"70059780    "</f>
        <v xml:space="preserve">70059780    </v>
      </c>
      <c r="O11520">
        <v>230807</v>
      </c>
    </row>
    <row r="11521" spans="1:15" x14ac:dyDescent="0.25">
      <c r="A11521" t="s">
        <v>16</v>
      </c>
      <c r="B11521" t="s">
        <v>3221</v>
      </c>
      <c r="C11521">
        <v>10039</v>
      </c>
      <c r="D11521" t="s">
        <v>848</v>
      </c>
      <c r="E11521" t="s">
        <v>849</v>
      </c>
      <c r="F11521">
        <v>3.72</v>
      </c>
      <c r="G11521">
        <v>230803</v>
      </c>
      <c r="H11521">
        <v>4380</v>
      </c>
      <c r="I11521" t="s">
        <v>113</v>
      </c>
      <c r="J11521">
        <v>4.6100000000000003</v>
      </c>
      <c r="K11521">
        <v>0.89</v>
      </c>
      <c r="L11521">
        <v>13641</v>
      </c>
      <c r="M11521" t="s">
        <v>1471</v>
      </c>
      <c r="N11521" t="str">
        <f>"70059787    "</f>
        <v xml:space="preserve">70059787    </v>
      </c>
      <c r="O11521">
        <v>230807</v>
      </c>
    </row>
    <row r="11522" spans="1:15" x14ac:dyDescent="0.25">
      <c r="A11522" t="s">
        <v>16</v>
      </c>
      <c r="B11522" t="s">
        <v>3221</v>
      </c>
      <c r="C11522">
        <v>10041</v>
      </c>
      <c r="D11522" t="s">
        <v>848</v>
      </c>
      <c r="E11522" t="s">
        <v>849</v>
      </c>
      <c r="F11522">
        <v>68.44</v>
      </c>
      <c r="G11522">
        <v>230803</v>
      </c>
      <c r="H11522">
        <v>4380</v>
      </c>
      <c r="I11522" t="s">
        <v>113</v>
      </c>
      <c r="J11522">
        <v>84.86</v>
      </c>
      <c r="K11522">
        <v>16.420000000000002</v>
      </c>
      <c r="L11522">
        <v>14432</v>
      </c>
      <c r="M11522" t="s">
        <v>862</v>
      </c>
      <c r="N11522" t="str">
        <f>"70060002    "</f>
        <v xml:space="preserve">70060002    </v>
      </c>
      <c r="O11522">
        <v>230807</v>
      </c>
    </row>
    <row r="11523" spans="1:15" x14ac:dyDescent="0.25">
      <c r="A11523" t="s">
        <v>16</v>
      </c>
      <c r="B11523" t="s">
        <v>3221</v>
      </c>
      <c r="C11523">
        <v>10041</v>
      </c>
      <c r="D11523" t="s">
        <v>848</v>
      </c>
      <c r="E11523" t="s">
        <v>849</v>
      </c>
      <c r="F11523">
        <v>10.6</v>
      </c>
      <c r="G11523">
        <v>230803</v>
      </c>
      <c r="H11523">
        <v>4380</v>
      </c>
      <c r="I11523" t="s">
        <v>113</v>
      </c>
      <c r="J11523">
        <v>13.15</v>
      </c>
      <c r="K11523">
        <v>2.5499999999999998</v>
      </c>
      <c r="L11523">
        <v>14951</v>
      </c>
      <c r="M11523" t="s">
        <v>57</v>
      </c>
      <c r="N11523" t="str">
        <f>"70060002    "</f>
        <v xml:space="preserve">70060002    </v>
      </c>
      <c r="O11523">
        <v>230807</v>
      </c>
    </row>
    <row r="11524" spans="1:15" x14ac:dyDescent="0.25">
      <c r="A11524" t="s">
        <v>16</v>
      </c>
      <c r="B11524" t="s">
        <v>3221</v>
      </c>
      <c r="C11524">
        <v>10464</v>
      </c>
      <c r="D11524" t="s">
        <v>848</v>
      </c>
      <c r="E11524" t="s">
        <v>849</v>
      </c>
      <c r="F11524">
        <v>55.68</v>
      </c>
      <c r="G11524">
        <v>230816</v>
      </c>
      <c r="H11524">
        <v>4380</v>
      </c>
      <c r="I11524" t="s">
        <v>113</v>
      </c>
      <c r="J11524">
        <v>69.040000000000006</v>
      </c>
      <c r="K11524">
        <v>13.36</v>
      </c>
      <c r="L11524">
        <v>47522</v>
      </c>
      <c r="M11524" t="s">
        <v>410</v>
      </c>
      <c r="N11524" t="str">
        <f>"70073471    "</f>
        <v xml:space="preserve">70073471    </v>
      </c>
      <c r="O11524">
        <v>230816</v>
      </c>
    </row>
    <row r="11525" spans="1:15" x14ac:dyDescent="0.25">
      <c r="A11525" t="s">
        <v>16</v>
      </c>
      <c r="B11525" t="s">
        <v>3221</v>
      </c>
      <c r="C11525">
        <v>10465</v>
      </c>
      <c r="D11525" t="s">
        <v>848</v>
      </c>
      <c r="E11525" t="s">
        <v>849</v>
      </c>
      <c r="F11525">
        <v>97.6</v>
      </c>
      <c r="G11525">
        <v>230816</v>
      </c>
      <c r="H11525">
        <v>4380</v>
      </c>
      <c r="I11525" t="s">
        <v>113</v>
      </c>
      <c r="J11525">
        <v>121.02</v>
      </c>
      <c r="K11525">
        <v>23.42</v>
      </c>
      <c r="L11525">
        <v>47522</v>
      </c>
      <c r="M11525" t="s">
        <v>410</v>
      </c>
      <c r="N11525" t="str">
        <f>"70073472    "</f>
        <v xml:space="preserve">70073472    </v>
      </c>
      <c r="O11525">
        <v>230816</v>
      </c>
    </row>
    <row r="11526" spans="1:15" x14ac:dyDescent="0.25">
      <c r="A11526" t="s">
        <v>16</v>
      </c>
      <c r="B11526" t="s">
        <v>3221</v>
      </c>
      <c r="C11526">
        <v>10513</v>
      </c>
      <c r="D11526" t="s">
        <v>848</v>
      </c>
      <c r="E11526" t="s">
        <v>849</v>
      </c>
      <c r="F11526">
        <v>135.5</v>
      </c>
      <c r="G11526">
        <v>230817</v>
      </c>
      <c r="H11526">
        <v>4380</v>
      </c>
      <c r="I11526" t="s">
        <v>113</v>
      </c>
      <c r="J11526">
        <v>168.02</v>
      </c>
      <c r="K11526">
        <v>32.520000000000003</v>
      </c>
      <c r="L11526">
        <v>17951</v>
      </c>
      <c r="M11526" t="s">
        <v>87</v>
      </c>
      <c r="N11526" t="str">
        <f>"70078205    "</f>
        <v xml:space="preserve">70078205    </v>
      </c>
      <c r="O11526">
        <v>230817</v>
      </c>
    </row>
    <row r="11527" spans="1:15" x14ac:dyDescent="0.25">
      <c r="A11527" t="s">
        <v>16</v>
      </c>
      <c r="B11527" t="s">
        <v>3221</v>
      </c>
      <c r="C11527">
        <v>10578</v>
      </c>
      <c r="D11527" t="s">
        <v>848</v>
      </c>
      <c r="E11527" t="s">
        <v>849</v>
      </c>
      <c r="F11527">
        <v>60</v>
      </c>
      <c r="G11527">
        <v>230817</v>
      </c>
      <c r="H11527">
        <v>4380</v>
      </c>
      <c r="I11527" t="s">
        <v>113</v>
      </c>
      <c r="J11527">
        <v>74.400000000000006</v>
      </c>
      <c r="K11527">
        <v>14.4</v>
      </c>
      <c r="L11527">
        <v>14951</v>
      </c>
      <c r="M11527" t="s">
        <v>57</v>
      </c>
      <c r="N11527" t="str">
        <f>"70078206    "</f>
        <v xml:space="preserve">70078206    </v>
      </c>
      <c r="O11527">
        <v>230818</v>
      </c>
    </row>
    <row r="11528" spans="1:15" x14ac:dyDescent="0.25">
      <c r="A11528" t="s">
        <v>16</v>
      </c>
      <c r="B11528" t="s">
        <v>3221</v>
      </c>
      <c r="C11528">
        <v>10594</v>
      </c>
      <c r="D11528" t="s">
        <v>848</v>
      </c>
      <c r="E11528" t="s">
        <v>849</v>
      </c>
      <c r="F11528">
        <v>13</v>
      </c>
      <c r="G11528">
        <v>230817</v>
      </c>
      <c r="H11528">
        <v>4380</v>
      </c>
      <c r="I11528" t="s">
        <v>113</v>
      </c>
      <c r="J11528">
        <v>16.12</v>
      </c>
      <c r="K11528">
        <v>3.12</v>
      </c>
      <c r="L11528">
        <v>59504</v>
      </c>
      <c r="M11528" t="s">
        <v>71</v>
      </c>
      <c r="N11528" t="str">
        <f>"70078202    "</f>
        <v xml:space="preserve">70078202    </v>
      </c>
      <c r="O11528">
        <v>230818</v>
      </c>
    </row>
    <row r="11529" spans="1:15" x14ac:dyDescent="0.25">
      <c r="A11529" t="s">
        <v>16</v>
      </c>
      <c r="B11529" t="s">
        <v>3221</v>
      </c>
      <c r="C11529">
        <v>10595</v>
      </c>
      <c r="D11529" t="s">
        <v>848</v>
      </c>
      <c r="E11529" t="s">
        <v>849</v>
      </c>
      <c r="F11529">
        <v>37</v>
      </c>
      <c r="G11529">
        <v>230817</v>
      </c>
      <c r="H11529">
        <v>4380</v>
      </c>
      <c r="I11529" t="s">
        <v>113</v>
      </c>
      <c r="J11529">
        <v>45.88</v>
      </c>
      <c r="K11529">
        <v>8.8800000000000008</v>
      </c>
      <c r="L11529">
        <v>59501</v>
      </c>
      <c r="M11529" t="s">
        <v>69</v>
      </c>
      <c r="N11529" t="str">
        <f>"70078201    "</f>
        <v xml:space="preserve">70078201    </v>
      </c>
      <c r="O11529">
        <v>230818</v>
      </c>
    </row>
    <row r="11530" spans="1:15" x14ac:dyDescent="0.25">
      <c r="A11530" t="s">
        <v>16</v>
      </c>
      <c r="B11530" t="s">
        <v>3221</v>
      </c>
      <c r="C11530">
        <v>10596</v>
      </c>
      <c r="D11530" t="s">
        <v>848</v>
      </c>
      <c r="E11530" t="s">
        <v>849</v>
      </c>
      <c r="F11530">
        <v>42.7</v>
      </c>
      <c r="G11530">
        <v>230817</v>
      </c>
      <c r="H11530">
        <v>4380</v>
      </c>
      <c r="I11530" t="s">
        <v>113</v>
      </c>
      <c r="J11530">
        <v>52.95</v>
      </c>
      <c r="K11530">
        <v>10.25</v>
      </c>
      <c r="L11530">
        <v>59502</v>
      </c>
      <c r="M11530" t="s">
        <v>70</v>
      </c>
      <c r="N11530" t="str">
        <f>"70078200    "</f>
        <v xml:space="preserve">70078200    </v>
      </c>
      <c r="O11530">
        <v>230818</v>
      </c>
    </row>
    <row r="11531" spans="1:15" x14ac:dyDescent="0.25">
      <c r="A11531" t="s">
        <v>16</v>
      </c>
      <c r="B11531" t="s">
        <v>3221</v>
      </c>
      <c r="C11531">
        <v>10596</v>
      </c>
      <c r="D11531" t="s">
        <v>848</v>
      </c>
      <c r="E11531" t="s">
        <v>849</v>
      </c>
      <c r="F11531">
        <v>79.3</v>
      </c>
      <c r="G11531">
        <v>230817</v>
      </c>
      <c r="H11531">
        <v>4380</v>
      </c>
      <c r="I11531" t="s">
        <v>113</v>
      </c>
      <c r="J11531">
        <v>98.33</v>
      </c>
      <c r="K11531">
        <v>19.03</v>
      </c>
      <c r="L11531">
        <v>59802</v>
      </c>
      <c r="M11531" t="s">
        <v>73</v>
      </c>
      <c r="N11531" t="str">
        <f>"70078200    "</f>
        <v xml:space="preserve">70078200    </v>
      </c>
      <c r="O11531">
        <v>230818</v>
      </c>
    </row>
    <row r="11532" spans="1:15" x14ac:dyDescent="0.25">
      <c r="A11532" t="s">
        <v>16</v>
      </c>
      <c r="B11532" t="s">
        <v>3221</v>
      </c>
      <c r="C11532">
        <v>10748</v>
      </c>
      <c r="D11532" t="s">
        <v>848</v>
      </c>
      <c r="E11532" t="s">
        <v>849</v>
      </c>
      <c r="F11532">
        <v>58.9</v>
      </c>
      <c r="G11532">
        <v>230817</v>
      </c>
      <c r="H11532">
        <v>4380</v>
      </c>
      <c r="I11532" t="s">
        <v>113</v>
      </c>
      <c r="J11532">
        <v>73.040000000000006</v>
      </c>
      <c r="K11532">
        <v>14.14</v>
      </c>
      <c r="L11532">
        <v>49501</v>
      </c>
      <c r="M11532" t="s">
        <v>177</v>
      </c>
      <c r="N11532" t="str">
        <f>"70078204    "</f>
        <v xml:space="preserve">70078204    </v>
      </c>
      <c r="O11532">
        <v>230822</v>
      </c>
    </row>
    <row r="11533" spans="1:15" x14ac:dyDescent="0.25">
      <c r="A11533" t="s">
        <v>16</v>
      </c>
      <c r="B11533" t="s">
        <v>3221</v>
      </c>
      <c r="C11533">
        <v>10880</v>
      </c>
      <c r="D11533" t="s">
        <v>848</v>
      </c>
      <c r="E11533" t="s">
        <v>849</v>
      </c>
      <c r="F11533">
        <v>8.6999999999999993</v>
      </c>
      <c r="G11533">
        <v>230823</v>
      </c>
      <c r="H11533">
        <v>4380</v>
      </c>
      <c r="I11533" t="s">
        <v>113</v>
      </c>
      <c r="J11533">
        <v>10.79</v>
      </c>
      <c r="K11533">
        <v>2.09</v>
      </c>
      <c r="L11533">
        <v>17521</v>
      </c>
      <c r="M11533" t="s">
        <v>133</v>
      </c>
      <c r="N11533" t="str">
        <f>"70110539    "</f>
        <v xml:space="preserve">70110539    </v>
      </c>
      <c r="O11533">
        <v>230824</v>
      </c>
    </row>
    <row r="11534" spans="1:15" x14ac:dyDescent="0.25">
      <c r="A11534" t="s">
        <v>16</v>
      </c>
      <c r="B11534" t="s">
        <v>3221</v>
      </c>
      <c r="C11534">
        <v>11035</v>
      </c>
      <c r="D11534" t="s">
        <v>848</v>
      </c>
      <c r="E11534" t="s">
        <v>849</v>
      </c>
      <c r="F11534">
        <v>10</v>
      </c>
      <c r="G11534">
        <v>230824</v>
      </c>
      <c r="H11534">
        <v>4380</v>
      </c>
      <c r="I11534" t="s">
        <v>113</v>
      </c>
      <c r="J11534">
        <v>12.4</v>
      </c>
      <c r="K11534">
        <v>2.4</v>
      </c>
      <c r="L11534">
        <v>59505</v>
      </c>
      <c r="M11534" t="s">
        <v>72</v>
      </c>
      <c r="N11534" t="str">
        <f>"70116011    "</f>
        <v xml:space="preserve">70116011    </v>
      </c>
      <c r="O11534">
        <v>230828</v>
      </c>
    </row>
    <row r="11535" spans="1:15" x14ac:dyDescent="0.25">
      <c r="A11535" t="s">
        <v>16</v>
      </c>
      <c r="B11535" t="s">
        <v>3221</v>
      </c>
      <c r="C11535">
        <v>11550</v>
      </c>
      <c r="D11535" t="s">
        <v>848</v>
      </c>
      <c r="E11535" t="s">
        <v>849</v>
      </c>
      <c r="F11535">
        <v>25.75</v>
      </c>
      <c r="G11535">
        <v>230906</v>
      </c>
      <c r="H11535">
        <v>4380</v>
      </c>
      <c r="I11535" t="s">
        <v>113</v>
      </c>
      <c r="J11535">
        <v>31.93</v>
      </c>
      <c r="K11535">
        <v>6.18</v>
      </c>
      <c r="L11535">
        <v>17952</v>
      </c>
      <c r="M11535" t="s">
        <v>88</v>
      </c>
      <c r="N11535" t="str">
        <f>"70119214    "</f>
        <v xml:space="preserve">70119214    </v>
      </c>
      <c r="O11535">
        <v>230907</v>
      </c>
    </row>
    <row r="11536" spans="1:15" x14ac:dyDescent="0.25">
      <c r="A11536" t="s">
        <v>16</v>
      </c>
      <c r="B11536" t="s">
        <v>3221</v>
      </c>
      <c r="C11536">
        <v>11551</v>
      </c>
      <c r="D11536" t="s">
        <v>848</v>
      </c>
      <c r="E11536" t="s">
        <v>849</v>
      </c>
      <c r="F11536">
        <v>402.5</v>
      </c>
      <c r="G11536">
        <v>230906</v>
      </c>
      <c r="H11536">
        <v>4380</v>
      </c>
      <c r="I11536" t="s">
        <v>113</v>
      </c>
      <c r="J11536">
        <v>499.1</v>
      </c>
      <c r="K11536">
        <v>96.6</v>
      </c>
      <c r="L11536">
        <v>17951</v>
      </c>
      <c r="M11536" t="s">
        <v>87</v>
      </c>
      <c r="N11536" t="str">
        <f>"70118523    "</f>
        <v xml:space="preserve">70118523    </v>
      </c>
      <c r="O11536">
        <v>230907</v>
      </c>
    </row>
    <row r="11537" spans="1:15" x14ac:dyDescent="0.25">
      <c r="A11537" t="s">
        <v>16</v>
      </c>
      <c r="B11537" t="s">
        <v>3221</v>
      </c>
      <c r="C11537">
        <v>11552</v>
      </c>
      <c r="D11537" t="s">
        <v>848</v>
      </c>
      <c r="E11537" t="s">
        <v>849</v>
      </c>
      <c r="F11537">
        <v>24.18</v>
      </c>
      <c r="G11537">
        <v>230906</v>
      </c>
      <c r="H11537">
        <v>4380</v>
      </c>
      <c r="I11537" t="s">
        <v>113</v>
      </c>
      <c r="J11537">
        <v>29.98</v>
      </c>
      <c r="K11537">
        <v>5.8</v>
      </c>
      <c r="L11537">
        <v>59505</v>
      </c>
      <c r="M11537" t="s">
        <v>72</v>
      </c>
      <c r="N11537" t="str">
        <f>"70118744    "</f>
        <v xml:space="preserve">70118744    </v>
      </c>
      <c r="O11537">
        <v>230907</v>
      </c>
    </row>
    <row r="11538" spans="1:15" x14ac:dyDescent="0.25">
      <c r="A11538" t="s">
        <v>16</v>
      </c>
      <c r="B11538" t="s">
        <v>3221</v>
      </c>
      <c r="C11538">
        <v>11553</v>
      </c>
      <c r="D11538" t="s">
        <v>848</v>
      </c>
      <c r="E11538" t="s">
        <v>849</v>
      </c>
      <c r="F11538">
        <v>17.79</v>
      </c>
      <c r="G11538">
        <v>230906</v>
      </c>
      <c r="H11538">
        <v>4380</v>
      </c>
      <c r="I11538" t="s">
        <v>113</v>
      </c>
      <c r="J11538">
        <v>22.06</v>
      </c>
      <c r="K11538">
        <v>4.2699999999999996</v>
      </c>
      <c r="L11538">
        <v>59504</v>
      </c>
      <c r="M11538" t="s">
        <v>71</v>
      </c>
      <c r="N11538" t="str">
        <f>"70118743    "</f>
        <v xml:space="preserve">70118743    </v>
      </c>
      <c r="O11538">
        <v>230907</v>
      </c>
    </row>
    <row r="11539" spans="1:15" x14ac:dyDescent="0.25">
      <c r="A11539" t="s">
        <v>16</v>
      </c>
      <c r="B11539" t="s">
        <v>3221</v>
      </c>
      <c r="C11539">
        <v>11554</v>
      </c>
      <c r="D11539" t="s">
        <v>848</v>
      </c>
      <c r="E11539" t="s">
        <v>849</v>
      </c>
      <c r="F11539">
        <v>101.81</v>
      </c>
      <c r="G11539">
        <v>230906</v>
      </c>
      <c r="H11539">
        <v>4380</v>
      </c>
      <c r="I11539" t="s">
        <v>113</v>
      </c>
      <c r="J11539">
        <v>126.24</v>
      </c>
      <c r="K11539">
        <v>24.43</v>
      </c>
      <c r="L11539">
        <v>59501</v>
      </c>
      <c r="M11539" t="s">
        <v>69</v>
      </c>
      <c r="N11539" t="str">
        <f>"70118746    "</f>
        <v xml:space="preserve">70118746    </v>
      </c>
      <c r="O11539">
        <v>230907</v>
      </c>
    </row>
    <row r="11540" spans="1:15" x14ac:dyDescent="0.25">
      <c r="A11540" t="s">
        <v>16</v>
      </c>
      <c r="B11540" t="s">
        <v>3221</v>
      </c>
      <c r="C11540">
        <v>11555</v>
      </c>
      <c r="D11540" t="s">
        <v>848</v>
      </c>
      <c r="E11540" t="s">
        <v>849</v>
      </c>
      <c r="F11540">
        <v>29.44</v>
      </c>
      <c r="G11540">
        <v>230906</v>
      </c>
      <c r="H11540">
        <v>4380</v>
      </c>
      <c r="I11540" t="s">
        <v>113</v>
      </c>
      <c r="J11540">
        <v>36.5</v>
      </c>
      <c r="K11540">
        <v>7.06</v>
      </c>
      <c r="L11540">
        <v>59502</v>
      </c>
      <c r="M11540" t="s">
        <v>70</v>
      </c>
      <c r="N11540" t="str">
        <f>"70118745    "</f>
        <v xml:space="preserve">70118745    </v>
      </c>
      <c r="O11540">
        <v>230907</v>
      </c>
    </row>
    <row r="11541" spans="1:15" x14ac:dyDescent="0.25">
      <c r="A11541" t="s">
        <v>16</v>
      </c>
      <c r="B11541" t="s">
        <v>3221</v>
      </c>
      <c r="C11541">
        <v>11555</v>
      </c>
      <c r="D11541" t="s">
        <v>848</v>
      </c>
      <c r="E11541" t="s">
        <v>849</v>
      </c>
      <c r="F11541">
        <v>18.829999999999998</v>
      </c>
      <c r="G11541">
        <v>230906</v>
      </c>
      <c r="H11541">
        <v>4380</v>
      </c>
      <c r="I11541" t="s">
        <v>113</v>
      </c>
      <c r="J11541">
        <v>23.35</v>
      </c>
      <c r="K11541">
        <v>4.5199999999999996</v>
      </c>
      <c r="L11541">
        <v>59802</v>
      </c>
      <c r="M11541" t="s">
        <v>73</v>
      </c>
      <c r="N11541" t="str">
        <f>"70118745    "</f>
        <v xml:space="preserve">70118745    </v>
      </c>
      <c r="O11541">
        <v>230907</v>
      </c>
    </row>
    <row r="11542" spans="1:15" x14ac:dyDescent="0.25">
      <c r="A11542" t="s">
        <v>16</v>
      </c>
      <c r="B11542" t="s">
        <v>3221</v>
      </c>
      <c r="C11542">
        <v>11556</v>
      </c>
      <c r="D11542" t="s">
        <v>848</v>
      </c>
      <c r="E11542" t="s">
        <v>849</v>
      </c>
      <c r="F11542">
        <v>4.6500000000000004</v>
      </c>
      <c r="G11542">
        <v>230906</v>
      </c>
      <c r="H11542">
        <v>4380</v>
      </c>
      <c r="I11542" t="s">
        <v>113</v>
      </c>
      <c r="J11542">
        <v>5.77</v>
      </c>
      <c r="K11542">
        <v>1.1200000000000001</v>
      </c>
      <c r="L11542">
        <v>17955</v>
      </c>
      <c r="M11542" t="s">
        <v>933</v>
      </c>
      <c r="N11542" t="str">
        <f>"70118530    "</f>
        <v xml:space="preserve">70118530    </v>
      </c>
      <c r="O11542">
        <v>230907</v>
      </c>
    </row>
    <row r="11543" spans="1:15" x14ac:dyDescent="0.25">
      <c r="A11543" t="s">
        <v>16</v>
      </c>
      <c r="B11543" t="s">
        <v>3221</v>
      </c>
      <c r="C11543">
        <v>11859</v>
      </c>
      <c r="D11543" t="s">
        <v>848</v>
      </c>
      <c r="E11543" t="s">
        <v>849</v>
      </c>
      <c r="F11543">
        <v>85.55</v>
      </c>
      <c r="G11543">
        <v>230906</v>
      </c>
      <c r="H11543">
        <v>4380</v>
      </c>
      <c r="I11543" t="s">
        <v>113</v>
      </c>
      <c r="J11543">
        <v>106.08</v>
      </c>
      <c r="K11543">
        <v>20.53</v>
      </c>
      <c r="L11543">
        <v>14432</v>
      </c>
      <c r="M11543" t="s">
        <v>862</v>
      </c>
      <c r="N11543" t="str">
        <f>"70118748    "</f>
        <v xml:space="preserve">70118748    </v>
      </c>
      <c r="O11543">
        <v>230911</v>
      </c>
    </row>
    <row r="11544" spans="1:15" x14ac:dyDescent="0.25">
      <c r="A11544" t="s">
        <v>16</v>
      </c>
      <c r="B11544" t="s">
        <v>3221</v>
      </c>
      <c r="C11544">
        <v>11859</v>
      </c>
      <c r="D11544" t="s">
        <v>848</v>
      </c>
      <c r="E11544" t="s">
        <v>849</v>
      </c>
      <c r="F11544">
        <v>13.25</v>
      </c>
      <c r="G11544">
        <v>230906</v>
      </c>
      <c r="H11544">
        <v>4380</v>
      </c>
      <c r="I11544" t="s">
        <v>113</v>
      </c>
      <c r="J11544">
        <v>16.43</v>
      </c>
      <c r="K11544">
        <v>3.18</v>
      </c>
      <c r="L11544">
        <v>14951</v>
      </c>
      <c r="M11544" t="s">
        <v>57</v>
      </c>
      <c r="N11544" t="str">
        <f>"70118748    "</f>
        <v xml:space="preserve">70118748    </v>
      </c>
      <c r="O11544">
        <v>230911</v>
      </c>
    </row>
    <row r="11545" spans="1:15" x14ac:dyDescent="0.25">
      <c r="A11545" t="s">
        <v>16</v>
      </c>
      <c r="B11545" t="s">
        <v>3221</v>
      </c>
      <c r="C11545">
        <v>12192</v>
      </c>
      <c r="D11545" t="s">
        <v>848</v>
      </c>
      <c r="E11545" t="s">
        <v>849</v>
      </c>
      <c r="F11545">
        <v>55.68</v>
      </c>
      <c r="G11545">
        <v>230913</v>
      </c>
      <c r="H11545">
        <v>4380</v>
      </c>
      <c r="I11545" t="s">
        <v>113</v>
      </c>
      <c r="J11545">
        <v>69.040000000000006</v>
      </c>
      <c r="K11545">
        <v>13.36</v>
      </c>
      <c r="L11545">
        <v>47522</v>
      </c>
      <c r="M11545" t="s">
        <v>410</v>
      </c>
      <c r="N11545" t="str">
        <f>"70131900    "</f>
        <v xml:space="preserve">70131900    </v>
      </c>
      <c r="O11545">
        <v>230915</v>
      </c>
    </row>
    <row r="11546" spans="1:15" x14ac:dyDescent="0.25">
      <c r="A11546" t="s">
        <v>16</v>
      </c>
      <c r="B11546" t="s">
        <v>3221</v>
      </c>
      <c r="C11546">
        <v>12193</v>
      </c>
      <c r="D11546" t="s">
        <v>848</v>
      </c>
      <c r="E11546" t="s">
        <v>849</v>
      </c>
      <c r="F11546">
        <v>97.6</v>
      </c>
      <c r="G11546">
        <v>230913</v>
      </c>
      <c r="H11546">
        <v>4380</v>
      </c>
      <c r="I11546" t="s">
        <v>113</v>
      </c>
      <c r="J11546">
        <v>121.02</v>
      </c>
      <c r="K11546">
        <v>23.42</v>
      </c>
      <c r="L11546">
        <v>47522</v>
      </c>
      <c r="M11546" t="s">
        <v>410</v>
      </c>
      <c r="N11546" t="str">
        <f>"70131901    "</f>
        <v xml:space="preserve">70131901    </v>
      </c>
      <c r="O11546">
        <v>230915</v>
      </c>
    </row>
    <row r="11547" spans="1:15" x14ac:dyDescent="0.25">
      <c r="A11547" t="s">
        <v>16</v>
      </c>
      <c r="B11547" t="s">
        <v>3221</v>
      </c>
      <c r="C11547">
        <v>12194</v>
      </c>
      <c r="D11547" t="s">
        <v>848</v>
      </c>
      <c r="E11547" t="s">
        <v>849</v>
      </c>
      <c r="F11547">
        <v>313.58</v>
      </c>
      <c r="G11547">
        <v>230914</v>
      </c>
      <c r="H11547">
        <v>4380</v>
      </c>
      <c r="I11547" t="s">
        <v>113</v>
      </c>
      <c r="J11547">
        <v>388.84</v>
      </c>
      <c r="K11547">
        <v>75.260000000000005</v>
      </c>
      <c r="L11547">
        <v>14951</v>
      </c>
      <c r="M11547" t="s">
        <v>57</v>
      </c>
      <c r="N11547" t="str">
        <f>"70136690    "</f>
        <v xml:space="preserve">70136690    </v>
      </c>
      <c r="O11547">
        <v>230915</v>
      </c>
    </row>
    <row r="11548" spans="1:15" x14ac:dyDescent="0.25">
      <c r="A11548" t="s">
        <v>16</v>
      </c>
      <c r="B11548" t="s">
        <v>3221</v>
      </c>
      <c r="C11548">
        <v>12222</v>
      </c>
      <c r="D11548" t="s">
        <v>848</v>
      </c>
      <c r="E11548" t="s">
        <v>849</v>
      </c>
      <c r="F11548">
        <v>42.35</v>
      </c>
      <c r="G11548">
        <v>230914</v>
      </c>
      <c r="H11548">
        <v>4380</v>
      </c>
      <c r="I11548" t="s">
        <v>113</v>
      </c>
      <c r="J11548">
        <v>52.51</v>
      </c>
      <c r="K11548">
        <v>10.16</v>
      </c>
      <c r="L11548">
        <v>59502</v>
      </c>
      <c r="M11548" t="s">
        <v>70</v>
      </c>
      <c r="N11548" t="str">
        <f>"70136693    "</f>
        <v xml:space="preserve">70136693    </v>
      </c>
      <c r="O11548">
        <v>230915</v>
      </c>
    </row>
    <row r="11549" spans="1:15" x14ac:dyDescent="0.25">
      <c r="A11549" t="s">
        <v>16</v>
      </c>
      <c r="B11549" t="s">
        <v>3221</v>
      </c>
      <c r="C11549">
        <v>12222</v>
      </c>
      <c r="D11549" t="s">
        <v>848</v>
      </c>
      <c r="E11549" t="s">
        <v>849</v>
      </c>
      <c r="F11549">
        <v>78.650000000000006</v>
      </c>
      <c r="G11549">
        <v>230914</v>
      </c>
      <c r="H11549">
        <v>4380</v>
      </c>
      <c r="I11549" t="s">
        <v>113</v>
      </c>
      <c r="J11549">
        <v>97.53</v>
      </c>
      <c r="K11549">
        <v>18.88</v>
      </c>
      <c r="L11549">
        <v>59802</v>
      </c>
      <c r="M11549" t="s">
        <v>73</v>
      </c>
      <c r="N11549" t="str">
        <f>"70136693    "</f>
        <v xml:space="preserve">70136693    </v>
      </c>
      <c r="O11549">
        <v>230915</v>
      </c>
    </row>
    <row r="11550" spans="1:15" x14ac:dyDescent="0.25">
      <c r="A11550" t="s">
        <v>16</v>
      </c>
      <c r="B11550" t="s">
        <v>3221</v>
      </c>
      <c r="C11550">
        <v>12223</v>
      </c>
      <c r="D11550" t="s">
        <v>848</v>
      </c>
      <c r="E11550" t="s">
        <v>849</v>
      </c>
      <c r="F11550">
        <v>483.2</v>
      </c>
      <c r="G11550">
        <v>230914</v>
      </c>
      <c r="H11550">
        <v>4380</v>
      </c>
      <c r="I11550" t="s">
        <v>113</v>
      </c>
      <c r="J11550">
        <v>599.16999999999996</v>
      </c>
      <c r="K11550">
        <v>115.97</v>
      </c>
      <c r="L11550">
        <v>59501</v>
      </c>
      <c r="M11550" t="s">
        <v>69</v>
      </c>
      <c r="N11550" t="str">
        <f>"70136691    "</f>
        <v xml:space="preserve">70136691    </v>
      </c>
      <c r="O11550">
        <v>230915</v>
      </c>
    </row>
    <row r="11551" spans="1:15" x14ac:dyDescent="0.25">
      <c r="A11551" t="s">
        <v>16</v>
      </c>
      <c r="B11551" t="s">
        <v>3221</v>
      </c>
      <c r="C11551">
        <v>12224</v>
      </c>
      <c r="D11551" t="s">
        <v>848</v>
      </c>
      <c r="E11551" t="s">
        <v>849</v>
      </c>
      <c r="F11551">
        <v>26</v>
      </c>
      <c r="G11551">
        <v>230914</v>
      </c>
      <c r="H11551">
        <v>4380</v>
      </c>
      <c r="I11551" t="s">
        <v>113</v>
      </c>
      <c r="J11551">
        <v>32.24</v>
      </c>
      <c r="K11551">
        <v>6.24</v>
      </c>
      <c r="L11551">
        <v>59504</v>
      </c>
      <c r="M11551" t="s">
        <v>71</v>
      </c>
      <c r="N11551" t="str">
        <f>"70136692    "</f>
        <v xml:space="preserve">70136692    </v>
      </c>
      <c r="O11551">
        <v>230915</v>
      </c>
    </row>
    <row r="11552" spans="1:15" x14ac:dyDescent="0.25">
      <c r="A11552" t="s">
        <v>16</v>
      </c>
      <c r="B11552" t="s">
        <v>3221</v>
      </c>
      <c r="C11552">
        <v>12253</v>
      </c>
      <c r="D11552" t="s">
        <v>848</v>
      </c>
      <c r="E11552" t="s">
        <v>849</v>
      </c>
      <c r="F11552">
        <v>73.44</v>
      </c>
      <c r="G11552">
        <v>230906</v>
      </c>
      <c r="H11552">
        <v>4380</v>
      </c>
      <c r="I11552" t="s">
        <v>113</v>
      </c>
      <c r="J11552">
        <v>91.06</v>
      </c>
      <c r="K11552">
        <v>17.62</v>
      </c>
      <c r="L11552">
        <v>49501</v>
      </c>
      <c r="M11552" t="s">
        <v>177</v>
      </c>
      <c r="N11552" t="str">
        <f>"70118750    "</f>
        <v xml:space="preserve">70118750    </v>
      </c>
      <c r="O11552">
        <v>230918</v>
      </c>
    </row>
    <row r="11553" spans="1:15" x14ac:dyDescent="0.25">
      <c r="A11553" t="s">
        <v>16</v>
      </c>
      <c r="B11553" t="s">
        <v>3221</v>
      </c>
      <c r="C11553">
        <v>12253</v>
      </c>
      <c r="D11553" t="s">
        <v>848</v>
      </c>
      <c r="E11553" t="s">
        <v>849</v>
      </c>
      <c r="F11553">
        <v>20.16</v>
      </c>
      <c r="G11553">
        <v>230906</v>
      </c>
      <c r="H11553">
        <v>4380</v>
      </c>
      <c r="I11553" t="s">
        <v>113</v>
      </c>
      <c r="J11553">
        <v>25</v>
      </c>
      <c r="K11553">
        <v>4.84</v>
      </c>
      <c r="L11553">
        <v>49503</v>
      </c>
      <c r="M11553" t="s">
        <v>178</v>
      </c>
      <c r="N11553" t="str">
        <f>"70118750    "</f>
        <v xml:space="preserve">70118750    </v>
      </c>
      <c r="O11553">
        <v>230918</v>
      </c>
    </row>
    <row r="11554" spans="1:15" x14ac:dyDescent="0.25">
      <c r="A11554" t="s">
        <v>16</v>
      </c>
      <c r="B11554" t="s">
        <v>3221</v>
      </c>
      <c r="C11554">
        <v>12422</v>
      </c>
      <c r="D11554" t="s">
        <v>848</v>
      </c>
      <c r="E11554" t="s">
        <v>849</v>
      </c>
      <c r="F11554">
        <v>8.8699999999999992</v>
      </c>
      <c r="G11554">
        <v>230906</v>
      </c>
      <c r="H11554">
        <v>4380</v>
      </c>
      <c r="I11554" t="s">
        <v>113</v>
      </c>
      <c r="J11554">
        <v>11</v>
      </c>
      <c r="K11554">
        <v>2.13</v>
      </c>
      <c r="L11554">
        <v>13540</v>
      </c>
      <c r="M11554" t="s">
        <v>85</v>
      </c>
      <c r="N11554" t="str">
        <f>"70118525    "</f>
        <v xml:space="preserve">70118525    </v>
      </c>
      <c r="O11554">
        <v>230919</v>
      </c>
    </row>
    <row r="11555" spans="1:15" x14ac:dyDescent="0.25">
      <c r="A11555" t="s">
        <v>16</v>
      </c>
      <c r="B11555" t="s">
        <v>3221</v>
      </c>
      <c r="C11555">
        <v>12422</v>
      </c>
      <c r="D11555" t="s">
        <v>848</v>
      </c>
      <c r="E11555" t="s">
        <v>849</v>
      </c>
      <c r="F11555">
        <v>71.790000000000006</v>
      </c>
      <c r="G11555">
        <v>230906</v>
      </c>
      <c r="H11555">
        <v>4380</v>
      </c>
      <c r="I11555" t="s">
        <v>113</v>
      </c>
      <c r="J11555">
        <v>89.02</v>
      </c>
      <c r="K11555">
        <v>17.23</v>
      </c>
      <c r="L11555">
        <v>17950</v>
      </c>
      <c r="M11555" t="s">
        <v>86</v>
      </c>
      <c r="N11555" t="str">
        <f>"70118525    "</f>
        <v xml:space="preserve">70118525    </v>
      </c>
      <c r="O11555">
        <v>230919</v>
      </c>
    </row>
    <row r="11556" spans="1:15" x14ac:dyDescent="0.25">
      <c r="A11556" t="s">
        <v>16</v>
      </c>
      <c r="B11556" t="s">
        <v>3221</v>
      </c>
      <c r="C11556">
        <v>12422</v>
      </c>
      <c r="D11556" t="s">
        <v>848</v>
      </c>
      <c r="E11556" t="s">
        <v>849</v>
      </c>
      <c r="F11556">
        <v>26.64</v>
      </c>
      <c r="G11556">
        <v>230906</v>
      </c>
      <c r="H11556">
        <v>4380</v>
      </c>
      <c r="I11556" t="s">
        <v>113</v>
      </c>
      <c r="J11556">
        <v>33.03</v>
      </c>
      <c r="K11556">
        <v>6.39</v>
      </c>
      <c r="L11556">
        <v>17956</v>
      </c>
      <c r="M11556" t="s">
        <v>53</v>
      </c>
      <c r="N11556" t="str">
        <f>"70118525    "</f>
        <v xml:space="preserve">70118525    </v>
      </c>
      <c r="O11556">
        <v>230919</v>
      </c>
    </row>
    <row r="11557" spans="1:15" x14ac:dyDescent="0.25">
      <c r="A11557" t="s">
        <v>16</v>
      </c>
      <c r="B11557" t="s">
        <v>3221</v>
      </c>
      <c r="C11557">
        <v>12522</v>
      </c>
      <c r="D11557" t="s">
        <v>848</v>
      </c>
      <c r="E11557" t="s">
        <v>849</v>
      </c>
      <c r="F11557">
        <v>10</v>
      </c>
      <c r="G11557">
        <v>230914</v>
      </c>
      <c r="H11557">
        <v>4380</v>
      </c>
      <c r="I11557" t="s">
        <v>113</v>
      </c>
      <c r="J11557">
        <v>12.4</v>
      </c>
      <c r="K11557">
        <v>2.4</v>
      </c>
      <c r="L11557">
        <v>13540</v>
      </c>
      <c r="M11557" t="s">
        <v>85</v>
      </c>
      <c r="N11557" t="str">
        <f>"70136697    "</f>
        <v xml:space="preserve">70136697    </v>
      </c>
      <c r="O11557">
        <v>230920</v>
      </c>
    </row>
    <row r="11558" spans="1:15" x14ac:dyDescent="0.25">
      <c r="A11558" t="s">
        <v>16</v>
      </c>
      <c r="B11558" t="s">
        <v>3221</v>
      </c>
      <c r="C11558">
        <v>12522</v>
      </c>
      <c r="D11558" t="s">
        <v>848</v>
      </c>
      <c r="E11558" t="s">
        <v>849</v>
      </c>
      <c r="F11558">
        <v>618.80999999999995</v>
      </c>
      <c r="G11558">
        <v>230914</v>
      </c>
      <c r="H11558">
        <v>4380</v>
      </c>
      <c r="I11558" t="s">
        <v>113</v>
      </c>
      <c r="J11558">
        <v>767.33</v>
      </c>
      <c r="K11558">
        <v>148.52000000000001</v>
      </c>
      <c r="L11558">
        <v>17950</v>
      </c>
      <c r="M11558" t="s">
        <v>86</v>
      </c>
      <c r="N11558" t="str">
        <f>"70136697    "</f>
        <v xml:space="preserve">70136697    </v>
      </c>
      <c r="O11558">
        <v>230920</v>
      </c>
    </row>
    <row r="11559" spans="1:15" x14ac:dyDescent="0.25">
      <c r="A11559" t="s">
        <v>16</v>
      </c>
      <c r="B11559" t="s">
        <v>3221</v>
      </c>
      <c r="C11559">
        <v>12523</v>
      </c>
      <c r="D11559" t="s">
        <v>848</v>
      </c>
      <c r="E11559" t="s">
        <v>849</v>
      </c>
      <c r="F11559">
        <v>114.52</v>
      </c>
      <c r="G11559">
        <v>230914</v>
      </c>
      <c r="H11559">
        <v>4380</v>
      </c>
      <c r="I11559" t="s">
        <v>113</v>
      </c>
      <c r="J11559">
        <v>142</v>
      </c>
      <c r="K11559">
        <v>27.48</v>
      </c>
      <c r="L11559">
        <v>17951</v>
      </c>
      <c r="M11559" t="s">
        <v>87</v>
      </c>
      <c r="N11559" t="str">
        <f>"70136688    "</f>
        <v xml:space="preserve">70136688    </v>
      </c>
      <c r="O11559">
        <v>230920</v>
      </c>
    </row>
    <row r="11560" spans="1:15" x14ac:dyDescent="0.25">
      <c r="A11560" t="s">
        <v>16</v>
      </c>
      <c r="B11560" t="s">
        <v>3221</v>
      </c>
      <c r="C11560">
        <v>12525</v>
      </c>
      <c r="D11560" t="s">
        <v>848</v>
      </c>
      <c r="E11560" t="s">
        <v>849</v>
      </c>
      <c r="F11560">
        <v>69.53</v>
      </c>
      <c r="G11560">
        <v>230914</v>
      </c>
      <c r="H11560">
        <v>4380</v>
      </c>
      <c r="I11560" t="s">
        <v>113</v>
      </c>
      <c r="J11560">
        <v>86.22</v>
      </c>
      <c r="K11560">
        <v>16.690000000000001</v>
      </c>
      <c r="L11560">
        <v>17951</v>
      </c>
      <c r="M11560" t="s">
        <v>87</v>
      </c>
      <c r="N11560" t="str">
        <f>"70136694    "</f>
        <v xml:space="preserve">70136694    </v>
      </c>
      <c r="O11560">
        <v>230920</v>
      </c>
    </row>
    <row r="11561" spans="1:15" x14ac:dyDescent="0.25">
      <c r="A11561" t="s">
        <v>16</v>
      </c>
      <c r="B11561" t="s">
        <v>3221</v>
      </c>
      <c r="C11561">
        <v>12527</v>
      </c>
      <c r="D11561" t="s">
        <v>848</v>
      </c>
      <c r="E11561" t="s">
        <v>849</v>
      </c>
      <c r="F11561">
        <v>44.99</v>
      </c>
      <c r="G11561">
        <v>230914</v>
      </c>
      <c r="H11561">
        <v>4380</v>
      </c>
      <c r="I11561" t="s">
        <v>113</v>
      </c>
      <c r="J11561">
        <v>55.79</v>
      </c>
      <c r="K11561">
        <v>10.8</v>
      </c>
      <c r="L11561">
        <v>17951</v>
      </c>
      <c r="M11561" t="s">
        <v>87</v>
      </c>
      <c r="N11561" t="str">
        <f>"70136689    "</f>
        <v xml:space="preserve">70136689    </v>
      </c>
      <c r="O11561">
        <v>230920</v>
      </c>
    </row>
    <row r="11562" spans="1:15" x14ac:dyDescent="0.25">
      <c r="A11562" t="s">
        <v>16</v>
      </c>
      <c r="B11562" t="s">
        <v>3221</v>
      </c>
      <c r="C11562">
        <v>12529</v>
      </c>
      <c r="D11562" t="s">
        <v>848</v>
      </c>
      <c r="E11562" t="s">
        <v>849</v>
      </c>
      <c r="F11562">
        <v>50.72</v>
      </c>
      <c r="G11562">
        <v>230914</v>
      </c>
      <c r="H11562">
        <v>4380</v>
      </c>
      <c r="I11562" t="s">
        <v>113</v>
      </c>
      <c r="J11562">
        <v>62.89</v>
      </c>
      <c r="K11562">
        <v>12.17</v>
      </c>
      <c r="L11562">
        <v>49501</v>
      </c>
      <c r="M11562" t="s">
        <v>177</v>
      </c>
      <c r="N11562" t="str">
        <f>"70136686    "</f>
        <v xml:space="preserve">70136686    </v>
      </c>
      <c r="O11562">
        <v>230920</v>
      </c>
    </row>
    <row r="11563" spans="1:15" x14ac:dyDescent="0.25">
      <c r="A11563" t="s">
        <v>16</v>
      </c>
      <c r="B11563" t="s">
        <v>3221</v>
      </c>
      <c r="C11563">
        <v>12531</v>
      </c>
      <c r="D11563" t="s">
        <v>848</v>
      </c>
      <c r="E11563" t="s">
        <v>849</v>
      </c>
      <c r="F11563">
        <v>154.44999999999999</v>
      </c>
      <c r="G11563">
        <v>230914</v>
      </c>
      <c r="H11563">
        <v>4380</v>
      </c>
      <c r="I11563" t="s">
        <v>113</v>
      </c>
      <c r="J11563">
        <v>191.52</v>
      </c>
      <c r="K11563">
        <v>37.07</v>
      </c>
      <c r="L11563">
        <v>17951</v>
      </c>
      <c r="M11563" t="s">
        <v>87</v>
      </c>
      <c r="N11563" t="str">
        <f>"70136687    "</f>
        <v xml:space="preserve">70136687    </v>
      </c>
      <c r="O11563">
        <v>230920</v>
      </c>
    </row>
    <row r="11564" spans="1:15" x14ac:dyDescent="0.25">
      <c r="A11564" t="s">
        <v>16</v>
      </c>
      <c r="B11564" t="s">
        <v>3221</v>
      </c>
      <c r="C11564">
        <v>12576</v>
      </c>
      <c r="D11564" t="s">
        <v>848</v>
      </c>
      <c r="E11564" t="s">
        <v>849</v>
      </c>
      <c r="F11564">
        <v>40.18</v>
      </c>
      <c r="G11564">
        <v>230913</v>
      </c>
      <c r="H11564">
        <v>4380</v>
      </c>
      <c r="I11564" t="s">
        <v>113</v>
      </c>
      <c r="J11564">
        <v>49.82</v>
      </c>
      <c r="K11564">
        <v>9.64</v>
      </c>
      <c r="L11564">
        <v>46554</v>
      </c>
      <c r="M11564" t="s">
        <v>117</v>
      </c>
      <c r="N11564" t="str">
        <f>"70132791    "</f>
        <v xml:space="preserve">70132791    </v>
      </c>
      <c r="O11564">
        <v>230922</v>
      </c>
    </row>
    <row r="11565" spans="1:15" x14ac:dyDescent="0.25">
      <c r="A11565" t="s">
        <v>16</v>
      </c>
      <c r="B11565" t="s">
        <v>3221</v>
      </c>
      <c r="C11565">
        <v>12665</v>
      </c>
      <c r="D11565" t="s">
        <v>848</v>
      </c>
      <c r="E11565" t="s">
        <v>849</v>
      </c>
      <c r="F11565">
        <v>44.99</v>
      </c>
      <c r="G11565">
        <v>230914</v>
      </c>
      <c r="H11565">
        <v>4380</v>
      </c>
      <c r="I11565" t="s">
        <v>113</v>
      </c>
      <c r="J11565">
        <v>55.79</v>
      </c>
      <c r="K11565">
        <v>10.8</v>
      </c>
      <c r="L11565">
        <v>17956</v>
      </c>
      <c r="M11565" t="s">
        <v>53</v>
      </c>
      <c r="N11565" t="str">
        <f>"70136685    "</f>
        <v xml:space="preserve">70136685    </v>
      </c>
      <c r="O11565">
        <v>230922</v>
      </c>
    </row>
    <row r="11566" spans="1:15" x14ac:dyDescent="0.25">
      <c r="A11566" t="s">
        <v>16</v>
      </c>
      <c r="B11566" t="s">
        <v>3221</v>
      </c>
      <c r="C11566">
        <v>12666</v>
      </c>
      <c r="D11566" t="s">
        <v>848</v>
      </c>
      <c r="E11566" t="s">
        <v>849</v>
      </c>
      <c r="F11566">
        <v>40.9</v>
      </c>
      <c r="G11566">
        <v>230914</v>
      </c>
      <c r="H11566">
        <v>4380</v>
      </c>
      <c r="I11566" t="s">
        <v>113</v>
      </c>
      <c r="J11566">
        <v>50.72</v>
      </c>
      <c r="K11566">
        <v>9.82</v>
      </c>
      <c r="L11566">
        <v>17956</v>
      </c>
      <c r="M11566" t="s">
        <v>53</v>
      </c>
      <c r="N11566" t="str">
        <f>"70136696    "</f>
        <v xml:space="preserve">70136696    </v>
      </c>
      <c r="O11566">
        <v>230922</v>
      </c>
    </row>
    <row r="11567" spans="1:15" x14ac:dyDescent="0.25">
      <c r="A11567" t="s">
        <v>16</v>
      </c>
      <c r="B11567" t="s">
        <v>3221</v>
      </c>
      <c r="C11567">
        <v>12667</v>
      </c>
      <c r="D11567" t="s">
        <v>848</v>
      </c>
      <c r="E11567" t="s">
        <v>849</v>
      </c>
      <c r="F11567">
        <v>36.81</v>
      </c>
      <c r="G11567">
        <v>230914</v>
      </c>
      <c r="H11567">
        <v>4380</v>
      </c>
      <c r="I11567" t="s">
        <v>113</v>
      </c>
      <c r="J11567">
        <v>45.64</v>
      </c>
      <c r="K11567">
        <v>8.83</v>
      </c>
      <c r="L11567">
        <v>17956</v>
      </c>
      <c r="M11567" t="s">
        <v>53</v>
      </c>
      <c r="N11567" t="str">
        <f>"70136695    "</f>
        <v xml:space="preserve">70136695    </v>
      </c>
      <c r="O11567">
        <v>230922</v>
      </c>
    </row>
    <row r="11568" spans="1:15" x14ac:dyDescent="0.25">
      <c r="A11568" t="s">
        <v>16</v>
      </c>
      <c r="B11568" t="s">
        <v>3221</v>
      </c>
      <c r="C11568">
        <v>12670</v>
      </c>
      <c r="D11568" t="s">
        <v>848</v>
      </c>
      <c r="E11568" t="s">
        <v>849</v>
      </c>
      <c r="F11568">
        <v>129.97999999999999</v>
      </c>
      <c r="G11568">
        <v>230921</v>
      </c>
      <c r="H11568">
        <v>4380</v>
      </c>
      <c r="I11568" t="s">
        <v>113</v>
      </c>
      <c r="J11568">
        <v>161.18</v>
      </c>
      <c r="K11568">
        <v>31.2</v>
      </c>
      <c r="L11568">
        <v>59505</v>
      </c>
      <c r="M11568" t="s">
        <v>72</v>
      </c>
      <c r="N11568" t="str">
        <f>"70174966    "</f>
        <v xml:space="preserve">70174966    </v>
      </c>
      <c r="O11568">
        <v>230922</v>
      </c>
    </row>
    <row r="11569" spans="1:15" x14ac:dyDescent="0.25">
      <c r="A11569" t="s">
        <v>16</v>
      </c>
      <c r="B11569" t="s">
        <v>3221</v>
      </c>
      <c r="C11569">
        <v>13132</v>
      </c>
      <c r="D11569" t="s">
        <v>848</v>
      </c>
      <c r="E11569" t="s">
        <v>849</v>
      </c>
      <c r="F11569">
        <v>34.799999999999997</v>
      </c>
      <c r="G11569">
        <v>230920</v>
      </c>
      <c r="H11569">
        <v>4380</v>
      </c>
      <c r="I11569" t="s">
        <v>113</v>
      </c>
      <c r="J11569">
        <v>43.15</v>
      </c>
      <c r="K11569">
        <v>8.35</v>
      </c>
      <c r="L11569">
        <v>17521</v>
      </c>
      <c r="M11569" t="s">
        <v>133</v>
      </c>
      <c r="N11569" t="str">
        <f>"70169425    "</f>
        <v xml:space="preserve">70169425    </v>
      </c>
      <c r="O11569">
        <v>231004</v>
      </c>
    </row>
    <row r="11570" spans="1:15" x14ac:dyDescent="0.25">
      <c r="A11570" t="s">
        <v>16</v>
      </c>
      <c r="B11570" t="s">
        <v>3221</v>
      </c>
      <c r="C11570">
        <v>13319</v>
      </c>
      <c r="D11570" t="s">
        <v>848</v>
      </c>
      <c r="E11570" t="s">
        <v>849</v>
      </c>
      <c r="F11570">
        <v>322</v>
      </c>
      <c r="G11570">
        <v>231005</v>
      </c>
      <c r="H11570">
        <v>4380</v>
      </c>
      <c r="I11570" t="s">
        <v>113</v>
      </c>
      <c r="J11570">
        <v>399.28</v>
      </c>
      <c r="K11570">
        <v>77.28</v>
      </c>
      <c r="L11570">
        <v>17951</v>
      </c>
      <c r="M11570" t="s">
        <v>87</v>
      </c>
      <c r="N11570" t="str">
        <f>"70177428    "</f>
        <v xml:space="preserve">70177428    </v>
      </c>
      <c r="O11570">
        <v>231009</v>
      </c>
    </row>
    <row r="11571" spans="1:15" x14ac:dyDescent="0.25">
      <c r="A11571" t="s">
        <v>16</v>
      </c>
      <c r="B11571" t="s">
        <v>3221</v>
      </c>
      <c r="C11571">
        <v>13330</v>
      </c>
      <c r="D11571" t="s">
        <v>848</v>
      </c>
      <c r="E11571" t="s">
        <v>849</v>
      </c>
      <c r="F11571">
        <v>20.6</v>
      </c>
      <c r="G11571">
        <v>231005</v>
      </c>
      <c r="H11571">
        <v>4380</v>
      </c>
      <c r="I11571" t="s">
        <v>113</v>
      </c>
      <c r="J11571">
        <v>25.54</v>
      </c>
      <c r="K11571">
        <v>4.9400000000000004</v>
      </c>
      <c r="L11571">
        <v>17952</v>
      </c>
      <c r="M11571" t="s">
        <v>88</v>
      </c>
      <c r="N11571" t="str">
        <f>"70178115    "</f>
        <v xml:space="preserve">70178115    </v>
      </c>
      <c r="O11571">
        <v>231009</v>
      </c>
    </row>
    <row r="11572" spans="1:15" x14ac:dyDescent="0.25">
      <c r="A11572" t="s">
        <v>16</v>
      </c>
      <c r="B11572" t="s">
        <v>3221</v>
      </c>
      <c r="C11572">
        <v>13430</v>
      </c>
      <c r="D11572" t="s">
        <v>848</v>
      </c>
      <c r="E11572" t="s">
        <v>849</v>
      </c>
      <c r="F11572">
        <v>23.72</v>
      </c>
      <c r="G11572">
        <v>231005</v>
      </c>
      <c r="H11572">
        <v>4380</v>
      </c>
      <c r="I11572" t="s">
        <v>113</v>
      </c>
      <c r="J11572">
        <v>29.41</v>
      </c>
      <c r="K11572">
        <v>5.69</v>
      </c>
      <c r="L11572">
        <v>59504</v>
      </c>
      <c r="M11572" t="s">
        <v>71</v>
      </c>
      <c r="N11572" t="str">
        <f>"70177652    "</f>
        <v xml:space="preserve">70177652    </v>
      </c>
      <c r="O11572">
        <v>231010</v>
      </c>
    </row>
    <row r="11573" spans="1:15" x14ac:dyDescent="0.25">
      <c r="A11573" t="s">
        <v>16</v>
      </c>
      <c r="B11573" t="s">
        <v>3221</v>
      </c>
      <c r="C11573">
        <v>13432</v>
      </c>
      <c r="D11573" t="s">
        <v>848</v>
      </c>
      <c r="E11573" t="s">
        <v>849</v>
      </c>
      <c r="F11573">
        <v>39.26</v>
      </c>
      <c r="G11573">
        <v>231005</v>
      </c>
      <c r="H11573">
        <v>4380</v>
      </c>
      <c r="I11573" t="s">
        <v>113</v>
      </c>
      <c r="J11573">
        <v>48.68</v>
      </c>
      <c r="K11573">
        <v>9.42</v>
      </c>
      <c r="L11573">
        <v>59502</v>
      </c>
      <c r="M11573" t="s">
        <v>70</v>
      </c>
      <c r="N11573" t="str">
        <f>"70177653    "</f>
        <v xml:space="preserve">70177653    </v>
      </c>
      <c r="O11573">
        <v>231010</v>
      </c>
    </row>
    <row r="11574" spans="1:15" x14ac:dyDescent="0.25">
      <c r="A11574" t="s">
        <v>16</v>
      </c>
      <c r="B11574" t="s">
        <v>3221</v>
      </c>
      <c r="C11574">
        <v>13432</v>
      </c>
      <c r="D11574" t="s">
        <v>848</v>
      </c>
      <c r="E11574" t="s">
        <v>849</v>
      </c>
      <c r="F11574">
        <v>25.1</v>
      </c>
      <c r="G11574">
        <v>231005</v>
      </c>
      <c r="H11574">
        <v>4380</v>
      </c>
      <c r="I11574" t="s">
        <v>113</v>
      </c>
      <c r="J11574">
        <v>31.13</v>
      </c>
      <c r="K11574">
        <v>6.03</v>
      </c>
      <c r="L11574">
        <v>59802</v>
      </c>
      <c r="M11574" t="s">
        <v>73</v>
      </c>
      <c r="N11574" t="str">
        <f>"70177653    "</f>
        <v xml:space="preserve">70177653    </v>
      </c>
      <c r="O11574">
        <v>231010</v>
      </c>
    </row>
    <row r="11575" spans="1:15" x14ac:dyDescent="0.25">
      <c r="A11575" t="s">
        <v>16</v>
      </c>
      <c r="B11575" t="s">
        <v>3221</v>
      </c>
      <c r="C11575">
        <v>13433</v>
      </c>
      <c r="D11575" t="s">
        <v>848</v>
      </c>
      <c r="E11575" t="s">
        <v>849</v>
      </c>
      <c r="F11575">
        <v>140.56</v>
      </c>
      <c r="G11575">
        <v>231005</v>
      </c>
      <c r="H11575">
        <v>4380</v>
      </c>
      <c r="I11575" t="s">
        <v>113</v>
      </c>
      <c r="J11575">
        <v>174.29</v>
      </c>
      <c r="K11575">
        <v>33.729999999999997</v>
      </c>
      <c r="L11575">
        <v>59501</v>
      </c>
      <c r="M11575" t="s">
        <v>69</v>
      </c>
      <c r="N11575" t="str">
        <f>"70177651    "</f>
        <v xml:space="preserve">70177651    </v>
      </c>
      <c r="O11575">
        <v>231010</v>
      </c>
    </row>
    <row r="11576" spans="1:15" x14ac:dyDescent="0.25">
      <c r="A11576" t="s">
        <v>16</v>
      </c>
      <c r="B11576" t="s">
        <v>3221</v>
      </c>
      <c r="C11576">
        <v>13436</v>
      </c>
      <c r="D11576" t="s">
        <v>848</v>
      </c>
      <c r="E11576" t="s">
        <v>849</v>
      </c>
      <c r="F11576">
        <v>32.24</v>
      </c>
      <c r="G11576">
        <v>231005</v>
      </c>
      <c r="H11576">
        <v>4380</v>
      </c>
      <c r="I11576" t="s">
        <v>113</v>
      </c>
      <c r="J11576">
        <v>39.979999999999997</v>
      </c>
      <c r="K11576">
        <v>7.74</v>
      </c>
      <c r="L11576">
        <v>59505</v>
      </c>
      <c r="M11576" t="s">
        <v>72</v>
      </c>
      <c r="N11576" t="str">
        <f>"70177650    "</f>
        <v xml:space="preserve">70177650    </v>
      </c>
      <c r="O11576">
        <v>231010</v>
      </c>
    </row>
    <row r="11577" spans="1:15" x14ac:dyDescent="0.25">
      <c r="A11577" t="s">
        <v>16</v>
      </c>
      <c r="B11577" t="s">
        <v>3221</v>
      </c>
      <c r="C11577">
        <v>13531</v>
      </c>
      <c r="D11577" t="s">
        <v>848</v>
      </c>
      <c r="E11577" t="s">
        <v>849</v>
      </c>
      <c r="F11577">
        <v>3.72</v>
      </c>
      <c r="G11577">
        <v>231005</v>
      </c>
      <c r="H11577">
        <v>4380</v>
      </c>
      <c r="I11577" t="s">
        <v>113</v>
      </c>
      <c r="J11577">
        <v>4.6100000000000003</v>
      </c>
      <c r="K11577">
        <v>0.89</v>
      </c>
      <c r="L11577">
        <v>13641</v>
      </c>
      <c r="M11577" t="s">
        <v>1471</v>
      </c>
      <c r="N11577" t="str">
        <f>"70177436    "</f>
        <v xml:space="preserve">70177436    </v>
      </c>
      <c r="O11577">
        <v>231011</v>
      </c>
    </row>
    <row r="11578" spans="1:15" x14ac:dyDescent="0.25">
      <c r="A11578" t="s">
        <v>16</v>
      </c>
      <c r="B11578" t="s">
        <v>3221</v>
      </c>
      <c r="C11578">
        <v>13640</v>
      </c>
      <c r="D11578" t="s">
        <v>848</v>
      </c>
      <c r="E11578" t="s">
        <v>849</v>
      </c>
      <c r="F11578">
        <v>68.44</v>
      </c>
      <c r="G11578">
        <v>231005</v>
      </c>
      <c r="H11578">
        <v>4380</v>
      </c>
      <c r="I11578" t="s">
        <v>113</v>
      </c>
      <c r="J11578">
        <v>84.86</v>
      </c>
      <c r="K11578">
        <v>16.420000000000002</v>
      </c>
      <c r="L11578">
        <v>14432</v>
      </c>
      <c r="M11578" t="s">
        <v>862</v>
      </c>
      <c r="N11578" t="str">
        <f>"70177654    "</f>
        <v xml:space="preserve">70177654    </v>
      </c>
      <c r="O11578">
        <v>231012</v>
      </c>
    </row>
    <row r="11579" spans="1:15" x14ac:dyDescent="0.25">
      <c r="A11579" t="s">
        <v>16</v>
      </c>
      <c r="B11579" t="s">
        <v>3221</v>
      </c>
      <c r="C11579">
        <v>13640</v>
      </c>
      <c r="D11579" t="s">
        <v>848</v>
      </c>
      <c r="E11579" t="s">
        <v>849</v>
      </c>
      <c r="F11579">
        <v>10.6</v>
      </c>
      <c r="G11579">
        <v>231005</v>
      </c>
      <c r="H11579">
        <v>4380</v>
      </c>
      <c r="I11579" t="s">
        <v>113</v>
      </c>
      <c r="J11579">
        <v>13.15</v>
      </c>
      <c r="K11579">
        <v>2.5499999999999998</v>
      </c>
      <c r="L11579">
        <v>14951</v>
      </c>
      <c r="M11579" t="s">
        <v>57</v>
      </c>
      <c r="N11579" t="str">
        <f>"70177654    "</f>
        <v xml:space="preserve">70177654    </v>
      </c>
      <c r="O11579">
        <v>231012</v>
      </c>
    </row>
    <row r="11580" spans="1:15" x14ac:dyDescent="0.25">
      <c r="A11580" t="s">
        <v>16</v>
      </c>
      <c r="B11580" t="s">
        <v>3221</v>
      </c>
      <c r="C11580">
        <v>13661</v>
      </c>
      <c r="D11580" t="s">
        <v>848</v>
      </c>
      <c r="E11580" t="s">
        <v>849</v>
      </c>
      <c r="F11580">
        <v>73.44</v>
      </c>
      <c r="G11580">
        <v>231005</v>
      </c>
      <c r="H11580">
        <v>4380</v>
      </c>
      <c r="I11580" t="s">
        <v>113</v>
      </c>
      <c r="J11580">
        <v>91.06</v>
      </c>
      <c r="K11580">
        <v>17.62</v>
      </c>
      <c r="L11580">
        <v>49501</v>
      </c>
      <c r="M11580" t="s">
        <v>177</v>
      </c>
      <c r="N11580" t="str">
        <f>"70177658    "</f>
        <v xml:space="preserve">70177658    </v>
      </c>
      <c r="O11580">
        <v>231012</v>
      </c>
    </row>
    <row r="11581" spans="1:15" x14ac:dyDescent="0.25">
      <c r="A11581" t="s">
        <v>16</v>
      </c>
      <c r="B11581" t="s">
        <v>3221</v>
      </c>
      <c r="C11581">
        <v>13661</v>
      </c>
      <c r="D11581" t="s">
        <v>848</v>
      </c>
      <c r="E11581" t="s">
        <v>849</v>
      </c>
      <c r="F11581">
        <v>20.16</v>
      </c>
      <c r="G11581">
        <v>231005</v>
      </c>
      <c r="H11581">
        <v>4380</v>
      </c>
      <c r="I11581" t="s">
        <v>113</v>
      </c>
      <c r="J11581">
        <v>25</v>
      </c>
      <c r="K11581">
        <v>4.84</v>
      </c>
      <c r="L11581">
        <v>49503</v>
      </c>
      <c r="M11581" t="s">
        <v>178</v>
      </c>
      <c r="N11581" t="str">
        <f>"70177658    "</f>
        <v xml:space="preserve">70177658    </v>
      </c>
      <c r="O11581">
        <v>231012</v>
      </c>
    </row>
    <row r="11582" spans="1:15" x14ac:dyDescent="0.25">
      <c r="A11582" t="s">
        <v>16</v>
      </c>
      <c r="B11582" t="s">
        <v>3221</v>
      </c>
      <c r="C11582">
        <v>13698</v>
      </c>
      <c r="D11582" t="s">
        <v>848</v>
      </c>
      <c r="E11582" t="s">
        <v>849</v>
      </c>
      <c r="F11582">
        <v>12.09</v>
      </c>
      <c r="G11582">
        <v>231005</v>
      </c>
      <c r="H11582">
        <v>4380</v>
      </c>
      <c r="I11582" t="s">
        <v>113</v>
      </c>
      <c r="J11582">
        <v>14.99</v>
      </c>
      <c r="K11582">
        <v>2.9</v>
      </c>
      <c r="L11582">
        <v>13540</v>
      </c>
      <c r="M11582" t="s">
        <v>85</v>
      </c>
      <c r="N11582" t="str">
        <f>"70177433    "</f>
        <v xml:space="preserve">70177433    </v>
      </c>
      <c r="O11582">
        <v>231012</v>
      </c>
    </row>
    <row r="11583" spans="1:15" x14ac:dyDescent="0.25">
      <c r="A11583" t="s">
        <v>16</v>
      </c>
      <c r="B11583" t="s">
        <v>3221</v>
      </c>
      <c r="C11583">
        <v>13698</v>
      </c>
      <c r="D11583" t="s">
        <v>848</v>
      </c>
      <c r="E11583" t="s">
        <v>849</v>
      </c>
      <c r="F11583">
        <v>97.76</v>
      </c>
      <c r="G11583">
        <v>231005</v>
      </c>
      <c r="H11583">
        <v>4380</v>
      </c>
      <c r="I11583" t="s">
        <v>113</v>
      </c>
      <c r="J11583">
        <v>121.22</v>
      </c>
      <c r="K11583">
        <v>23.46</v>
      </c>
      <c r="L11583">
        <v>17950</v>
      </c>
      <c r="M11583" t="s">
        <v>86</v>
      </c>
      <c r="N11583" t="str">
        <f>"70177433    "</f>
        <v xml:space="preserve">70177433    </v>
      </c>
      <c r="O11583">
        <v>231012</v>
      </c>
    </row>
    <row r="11584" spans="1:15" x14ac:dyDescent="0.25">
      <c r="A11584" t="s">
        <v>16</v>
      </c>
      <c r="B11584" t="s">
        <v>3221</v>
      </c>
      <c r="C11584">
        <v>13698</v>
      </c>
      <c r="D11584" t="s">
        <v>848</v>
      </c>
      <c r="E11584" t="s">
        <v>849</v>
      </c>
      <c r="F11584">
        <v>35.520000000000003</v>
      </c>
      <c r="G11584">
        <v>231005</v>
      </c>
      <c r="H11584">
        <v>4380</v>
      </c>
      <c r="I11584" t="s">
        <v>113</v>
      </c>
      <c r="J11584">
        <v>44.04</v>
      </c>
      <c r="K11584">
        <v>8.52</v>
      </c>
      <c r="L11584">
        <v>17956</v>
      </c>
      <c r="M11584" t="s">
        <v>53</v>
      </c>
      <c r="N11584" t="str">
        <f>"70177433    "</f>
        <v xml:space="preserve">70177433    </v>
      </c>
      <c r="O11584">
        <v>231012</v>
      </c>
    </row>
    <row r="11585" spans="1:15" x14ac:dyDescent="0.25">
      <c r="A11585" t="s">
        <v>16</v>
      </c>
      <c r="B11585" t="s">
        <v>3221</v>
      </c>
      <c r="C11585">
        <v>13778</v>
      </c>
      <c r="D11585" t="s">
        <v>848</v>
      </c>
      <c r="E11585" t="s">
        <v>849</v>
      </c>
      <c r="F11585">
        <v>154.44999999999999</v>
      </c>
      <c r="G11585">
        <v>231012</v>
      </c>
      <c r="H11585">
        <v>4380</v>
      </c>
      <c r="I11585" t="s">
        <v>113</v>
      </c>
      <c r="J11585">
        <v>191.52</v>
      </c>
      <c r="K11585">
        <v>37.07</v>
      </c>
      <c r="L11585">
        <v>17951</v>
      </c>
      <c r="M11585" t="s">
        <v>87</v>
      </c>
      <c r="N11585" t="str">
        <f>"70195512    "</f>
        <v xml:space="preserve">70195512    </v>
      </c>
      <c r="O11585">
        <v>231013</v>
      </c>
    </row>
    <row r="11586" spans="1:15" x14ac:dyDescent="0.25">
      <c r="A11586" t="s">
        <v>16</v>
      </c>
      <c r="B11586" t="s">
        <v>3221</v>
      </c>
      <c r="C11586">
        <v>13779</v>
      </c>
      <c r="D11586" t="s">
        <v>848</v>
      </c>
      <c r="E11586" t="s">
        <v>849</v>
      </c>
      <c r="F11586">
        <v>16.36</v>
      </c>
      <c r="G11586">
        <v>231012</v>
      </c>
      <c r="H11586">
        <v>4380</v>
      </c>
      <c r="I11586" t="s">
        <v>113</v>
      </c>
      <c r="J11586">
        <v>20.29</v>
      </c>
      <c r="K11586">
        <v>3.93</v>
      </c>
      <c r="L11586">
        <v>17951</v>
      </c>
      <c r="M11586" t="s">
        <v>87</v>
      </c>
      <c r="N11586" t="str">
        <f>"70195518    "</f>
        <v xml:space="preserve">70195518    </v>
      </c>
      <c r="O11586">
        <v>231013</v>
      </c>
    </row>
    <row r="11587" spans="1:15" x14ac:dyDescent="0.25">
      <c r="A11587" t="s">
        <v>16</v>
      </c>
      <c r="B11587" t="s">
        <v>3221</v>
      </c>
      <c r="C11587">
        <v>13780</v>
      </c>
      <c r="D11587" t="s">
        <v>848</v>
      </c>
      <c r="E11587" t="s">
        <v>849</v>
      </c>
      <c r="F11587">
        <v>40.9</v>
      </c>
      <c r="G11587">
        <v>231012</v>
      </c>
      <c r="H11587">
        <v>4380</v>
      </c>
      <c r="I11587" t="s">
        <v>113</v>
      </c>
      <c r="J11587">
        <v>50.72</v>
      </c>
      <c r="K11587">
        <v>9.82</v>
      </c>
      <c r="L11587">
        <v>17951</v>
      </c>
      <c r="M11587" t="s">
        <v>87</v>
      </c>
      <c r="N11587" t="str">
        <f>"70195522    "</f>
        <v xml:space="preserve">70195522    </v>
      </c>
      <c r="O11587">
        <v>231013</v>
      </c>
    </row>
    <row r="11588" spans="1:15" x14ac:dyDescent="0.25">
      <c r="A11588" t="s">
        <v>16</v>
      </c>
      <c r="B11588" t="s">
        <v>3221</v>
      </c>
      <c r="C11588">
        <v>13781</v>
      </c>
      <c r="D11588" t="s">
        <v>848</v>
      </c>
      <c r="E11588" t="s">
        <v>849</v>
      </c>
      <c r="F11588">
        <v>24.54</v>
      </c>
      <c r="G11588">
        <v>231012</v>
      </c>
      <c r="H11588">
        <v>4380</v>
      </c>
      <c r="I11588" t="s">
        <v>113</v>
      </c>
      <c r="J11588">
        <v>30.43</v>
      </c>
      <c r="K11588">
        <v>5.89</v>
      </c>
      <c r="L11588">
        <v>17951</v>
      </c>
      <c r="M11588" t="s">
        <v>87</v>
      </c>
      <c r="N11588" t="str">
        <f>"70195514    "</f>
        <v xml:space="preserve">70195514    </v>
      </c>
      <c r="O11588">
        <v>231013</v>
      </c>
    </row>
    <row r="11589" spans="1:15" x14ac:dyDescent="0.25">
      <c r="A11589" t="s">
        <v>16</v>
      </c>
      <c r="B11589" t="s">
        <v>3221</v>
      </c>
      <c r="C11589">
        <v>13782</v>
      </c>
      <c r="D11589" t="s">
        <v>848</v>
      </c>
      <c r="E11589" t="s">
        <v>849</v>
      </c>
      <c r="F11589">
        <v>57.26</v>
      </c>
      <c r="G11589">
        <v>231012</v>
      </c>
      <c r="H11589">
        <v>4380</v>
      </c>
      <c r="I11589" t="s">
        <v>113</v>
      </c>
      <c r="J11589">
        <v>71</v>
      </c>
      <c r="K11589">
        <v>13.74</v>
      </c>
      <c r="L11589">
        <v>17951</v>
      </c>
      <c r="M11589" t="s">
        <v>87</v>
      </c>
      <c r="N11589" t="str">
        <f>"70195511    "</f>
        <v xml:space="preserve">70195511    </v>
      </c>
      <c r="O11589">
        <v>231013</v>
      </c>
    </row>
    <row r="11590" spans="1:15" x14ac:dyDescent="0.25">
      <c r="A11590" t="s">
        <v>16</v>
      </c>
      <c r="B11590" t="s">
        <v>3221</v>
      </c>
      <c r="C11590">
        <v>13982</v>
      </c>
      <c r="D11590" t="s">
        <v>848</v>
      </c>
      <c r="E11590" t="s">
        <v>849</v>
      </c>
      <c r="F11590">
        <v>55.68</v>
      </c>
      <c r="G11590">
        <v>231011</v>
      </c>
      <c r="H11590">
        <v>4380</v>
      </c>
      <c r="I11590" t="s">
        <v>113</v>
      </c>
      <c r="J11590">
        <v>69.040000000000006</v>
      </c>
      <c r="K11590">
        <v>13.36</v>
      </c>
      <c r="L11590">
        <v>47522</v>
      </c>
      <c r="M11590" t="s">
        <v>410</v>
      </c>
      <c r="N11590" t="str">
        <f>"70190730    "</f>
        <v xml:space="preserve">70190730    </v>
      </c>
      <c r="O11590">
        <v>231017</v>
      </c>
    </row>
    <row r="11591" spans="1:15" x14ac:dyDescent="0.25">
      <c r="A11591" t="s">
        <v>16</v>
      </c>
      <c r="B11591" t="s">
        <v>3221</v>
      </c>
      <c r="C11591">
        <v>13984</v>
      </c>
      <c r="D11591" t="s">
        <v>848</v>
      </c>
      <c r="E11591" t="s">
        <v>849</v>
      </c>
      <c r="F11591">
        <v>97.6</v>
      </c>
      <c r="G11591">
        <v>231011</v>
      </c>
      <c r="H11591">
        <v>4380</v>
      </c>
      <c r="I11591" t="s">
        <v>113</v>
      </c>
      <c r="J11591">
        <v>121.02</v>
      </c>
      <c r="K11591">
        <v>23.42</v>
      </c>
      <c r="L11591">
        <v>47522</v>
      </c>
      <c r="M11591" t="s">
        <v>410</v>
      </c>
      <c r="N11591" t="str">
        <f>"70190731    "</f>
        <v xml:space="preserve">70190731    </v>
      </c>
      <c r="O11591">
        <v>231017</v>
      </c>
    </row>
    <row r="11592" spans="1:15" x14ac:dyDescent="0.25">
      <c r="A11592" t="s">
        <v>16</v>
      </c>
      <c r="B11592" t="s">
        <v>3221</v>
      </c>
      <c r="C11592">
        <v>13990</v>
      </c>
      <c r="D11592" t="s">
        <v>848</v>
      </c>
      <c r="E11592" t="s">
        <v>849</v>
      </c>
      <c r="F11592">
        <v>186.79</v>
      </c>
      <c r="G11592">
        <v>231012</v>
      </c>
      <c r="H11592">
        <v>4380</v>
      </c>
      <c r="I11592" t="s">
        <v>113</v>
      </c>
      <c r="J11592">
        <v>231.62</v>
      </c>
      <c r="K11592">
        <v>44.83</v>
      </c>
      <c r="L11592">
        <v>14951</v>
      </c>
      <c r="M11592" t="s">
        <v>57</v>
      </c>
      <c r="N11592" t="str">
        <f>"70195521    "</f>
        <v xml:space="preserve">70195521    </v>
      </c>
      <c r="O11592">
        <v>231017</v>
      </c>
    </row>
    <row r="11593" spans="1:15" x14ac:dyDescent="0.25">
      <c r="A11593" t="s">
        <v>16</v>
      </c>
      <c r="B11593" t="s">
        <v>3221</v>
      </c>
      <c r="C11593">
        <v>14043</v>
      </c>
      <c r="D11593" t="s">
        <v>848</v>
      </c>
      <c r="E11593" t="s">
        <v>849</v>
      </c>
      <c r="F11593">
        <v>40.18</v>
      </c>
      <c r="G11593">
        <v>231011</v>
      </c>
      <c r="H11593">
        <v>4380</v>
      </c>
      <c r="I11593" t="s">
        <v>113</v>
      </c>
      <c r="J11593">
        <v>49.82</v>
      </c>
      <c r="K11593">
        <v>9.64</v>
      </c>
      <c r="L11593">
        <v>46554</v>
      </c>
      <c r="M11593" t="s">
        <v>117</v>
      </c>
      <c r="N11593" t="str">
        <f>"70191616    "</f>
        <v xml:space="preserve">70191616    </v>
      </c>
      <c r="O11593">
        <v>231017</v>
      </c>
    </row>
    <row r="11594" spans="1:15" x14ac:dyDescent="0.25">
      <c r="A11594" t="s">
        <v>16</v>
      </c>
      <c r="B11594" t="s">
        <v>3221</v>
      </c>
      <c r="C11594">
        <v>14139</v>
      </c>
      <c r="D11594" t="s">
        <v>848</v>
      </c>
      <c r="E11594" t="s">
        <v>849</v>
      </c>
      <c r="F11594">
        <v>32.72</v>
      </c>
      <c r="G11594">
        <v>231012</v>
      </c>
      <c r="H11594">
        <v>4380</v>
      </c>
      <c r="I11594" t="s">
        <v>113</v>
      </c>
      <c r="J11594">
        <v>40.57</v>
      </c>
      <c r="K11594">
        <v>7.85</v>
      </c>
      <c r="L11594">
        <v>17956</v>
      </c>
      <c r="M11594" t="s">
        <v>53</v>
      </c>
      <c r="N11594" t="str">
        <f>"70195516    "</f>
        <v xml:space="preserve">70195516    </v>
      </c>
      <c r="O11594">
        <v>231019</v>
      </c>
    </row>
    <row r="11595" spans="1:15" x14ac:dyDescent="0.25">
      <c r="A11595" t="s">
        <v>16</v>
      </c>
      <c r="B11595" t="s">
        <v>3221</v>
      </c>
      <c r="C11595">
        <v>14140</v>
      </c>
      <c r="D11595" t="s">
        <v>848</v>
      </c>
      <c r="E11595" t="s">
        <v>849</v>
      </c>
      <c r="F11595">
        <v>8.18</v>
      </c>
      <c r="G11595">
        <v>231012</v>
      </c>
      <c r="H11595">
        <v>4380</v>
      </c>
      <c r="I11595" t="s">
        <v>113</v>
      </c>
      <c r="J11595">
        <v>10.14</v>
      </c>
      <c r="K11595">
        <v>1.96</v>
      </c>
      <c r="L11595">
        <v>17956</v>
      </c>
      <c r="M11595" t="s">
        <v>53</v>
      </c>
      <c r="N11595" t="str">
        <f>"70195510    "</f>
        <v xml:space="preserve">70195510    </v>
      </c>
      <c r="O11595">
        <v>231019</v>
      </c>
    </row>
    <row r="11596" spans="1:15" x14ac:dyDescent="0.25">
      <c r="A11596" t="s">
        <v>16</v>
      </c>
      <c r="B11596" t="s">
        <v>3221</v>
      </c>
      <c r="C11596">
        <v>14141</v>
      </c>
      <c r="D11596" t="s">
        <v>848</v>
      </c>
      <c r="E11596" t="s">
        <v>849</v>
      </c>
      <c r="F11596">
        <v>32.72</v>
      </c>
      <c r="G11596">
        <v>231012</v>
      </c>
      <c r="H11596">
        <v>4380</v>
      </c>
      <c r="I11596" t="s">
        <v>113</v>
      </c>
      <c r="J11596">
        <v>40.57</v>
      </c>
      <c r="K11596">
        <v>7.85</v>
      </c>
      <c r="L11596">
        <v>17956</v>
      </c>
      <c r="M11596" t="s">
        <v>53</v>
      </c>
      <c r="N11596" t="str">
        <f>"70195519    "</f>
        <v xml:space="preserve">70195519    </v>
      </c>
      <c r="O11596">
        <v>231019</v>
      </c>
    </row>
    <row r="11597" spans="1:15" x14ac:dyDescent="0.25">
      <c r="A11597" t="s">
        <v>16</v>
      </c>
      <c r="B11597" t="s">
        <v>3221</v>
      </c>
      <c r="C11597">
        <v>14516</v>
      </c>
      <c r="D11597" t="s">
        <v>848</v>
      </c>
      <c r="E11597" t="s">
        <v>849</v>
      </c>
      <c r="F11597">
        <v>34.799999999999997</v>
      </c>
      <c r="G11597">
        <v>231019</v>
      </c>
      <c r="H11597">
        <v>4380</v>
      </c>
      <c r="I11597" t="s">
        <v>113</v>
      </c>
      <c r="J11597">
        <v>43.15</v>
      </c>
      <c r="K11597">
        <v>8.35</v>
      </c>
      <c r="L11597">
        <v>17521</v>
      </c>
      <c r="M11597" t="s">
        <v>133</v>
      </c>
      <c r="N11597" t="str">
        <f>"70228371    "</f>
        <v xml:space="preserve">70228371    </v>
      </c>
      <c r="O11597">
        <v>231030</v>
      </c>
    </row>
    <row r="11598" spans="1:15" x14ac:dyDescent="0.25">
      <c r="A11598" t="s">
        <v>16</v>
      </c>
      <c r="B11598" t="s">
        <v>3221</v>
      </c>
      <c r="C11598">
        <v>14533</v>
      </c>
      <c r="D11598" t="s">
        <v>848</v>
      </c>
      <c r="E11598" t="s">
        <v>849</v>
      </c>
      <c r="F11598">
        <v>87.53</v>
      </c>
      <c r="G11598">
        <v>231012</v>
      </c>
      <c r="H11598">
        <v>4380</v>
      </c>
      <c r="I11598" t="s">
        <v>113</v>
      </c>
      <c r="J11598">
        <v>108.54</v>
      </c>
      <c r="K11598">
        <v>21.01</v>
      </c>
      <c r="L11598">
        <v>49501</v>
      </c>
      <c r="M11598" t="s">
        <v>177</v>
      </c>
      <c r="N11598" t="str">
        <f>"70195517    "</f>
        <v xml:space="preserve">70195517    </v>
      </c>
      <c r="O11598">
        <v>231030</v>
      </c>
    </row>
    <row r="11599" spans="1:15" x14ac:dyDescent="0.25">
      <c r="A11599" t="s">
        <v>16</v>
      </c>
      <c r="B11599" t="s">
        <v>3221</v>
      </c>
      <c r="C11599">
        <v>14534</v>
      </c>
      <c r="D11599" t="s">
        <v>848</v>
      </c>
      <c r="E11599" t="s">
        <v>849</v>
      </c>
      <c r="F11599">
        <v>120.07</v>
      </c>
      <c r="G11599">
        <v>231012</v>
      </c>
      <c r="H11599">
        <v>4380</v>
      </c>
      <c r="I11599" t="s">
        <v>113</v>
      </c>
      <c r="J11599">
        <v>148.88999999999999</v>
      </c>
      <c r="K11599">
        <v>28.82</v>
      </c>
      <c r="L11599">
        <v>59504</v>
      </c>
      <c r="M11599" t="s">
        <v>71</v>
      </c>
      <c r="N11599" t="str">
        <f>"70195515    "</f>
        <v xml:space="preserve">70195515    </v>
      </c>
      <c r="O11599">
        <v>231030</v>
      </c>
    </row>
    <row r="11600" spans="1:15" x14ac:dyDescent="0.25">
      <c r="A11600" t="s">
        <v>16</v>
      </c>
      <c r="B11600" t="s">
        <v>3221</v>
      </c>
      <c r="C11600">
        <v>14536</v>
      </c>
      <c r="D11600" t="s">
        <v>848</v>
      </c>
      <c r="E11600" t="s">
        <v>849</v>
      </c>
      <c r="F11600">
        <v>102</v>
      </c>
      <c r="G11600">
        <v>231012</v>
      </c>
      <c r="H11600">
        <v>4380</v>
      </c>
      <c r="I11600" t="s">
        <v>113</v>
      </c>
      <c r="J11600">
        <v>126.48</v>
      </c>
      <c r="K11600">
        <v>24.48</v>
      </c>
      <c r="L11600">
        <v>59501</v>
      </c>
      <c r="M11600" t="s">
        <v>69</v>
      </c>
      <c r="N11600" t="str">
        <f>"70195513    "</f>
        <v xml:space="preserve">70195513    </v>
      </c>
      <c r="O11600">
        <v>231030</v>
      </c>
    </row>
    <row r="11601" spans="1:15" x14ac:dyDescent="0.25">
      <c r="A11601" t="s">
        <v>16</v>
      </c>
      <c r="B11601" t="s">
        <v>3221</v>
      </c>
      <c r="C11601">
        <v>14538</v>
      </c>
      <c r="D11601" t="s">
        <v>848</v>
      </c>
      <c r="E11601" t="s">
        <v>849</v>
      </c>
      <c r="F11601">
        <v>42</v>
      </c>
      <c r="G11601">
        <v>231012</v>
      </c>
      <c r="H11601">
        <v>4380</v>
      </c>
      <c r="I11601" t="s">
        <v>113</v>
      </c>
      <c r="J11601">
        <v>52.08</v>
      </c>
      <c r="K11601">
        <v>10.08</v>
      </c>
      <c r="L11601">
        <v>59502</v>
      </c>
      <c r="M11601" t="s">
        <v>70</v>
      </c>
      <c r="N11601" t="str">
        <f>"70195523    "</f>
        <v xml:space="preserve">70195523    </v>
      </c>
      <c r="O11601">
        <v>231030</v>
      </c>
    </row>
    <row r="11602" spans="1:15" x14ac:dyDescent="0.25">
      <c r="A11602" t="s">
        <v>16</v>
      </c>
      <c r="B11602" t="s">
        <v>3221</v>
      </c>
      <c r="C11602">
        <v>14538</v>
      </c>
      <c r="D11602" t="s">
        <v>848</v>
      </c>
      <c r="E11602" t="s">
        <v>849</v>
      </c>
      <c r="F11602">
        <v>78</v>
      </c>
      <c r="G11602">
        <v>231012</v>
      </c>
      <c r="H11602">
        <v>4380</v>
      </c>
      <c r="I11602" t="s">
        <v>113</v>
      </c>
      <c r="J11602">
        <v>96.72</v>
      </c>
      <c r="K11602">
        <v>18.72</v>
      </c>
      <c r="L11602">
        <v>59802</v>
      </c>
      <c r="M11602" t="s">
        <v>73</v>
      </c>
      <c r="N11602" t="str">
        <f>"70195523    "</f>
        <v xml:space="preserve">70195523    </v>
      </c>
      <c r="O11602">
        <v>231030</v>
      </c>
    </row>
    <row r="11603" spans="1:15" x14ac:dyDescent="0.25">
      <c r="A11603" t="s">
        <v>16</v>
      </c>
      <c r="B11603" t="s">
        <v>3221</v>
      </c>
      <c r="C11603">
        <v>14540</v>
      </c>
      <c r="D11603" t="s">
        <v>848</v>
      </c>
      <c r="E11603" t="s">
        <v>849</v>
      </c>
      <c r="F11603">
        <v>67.78</v>
      </c>
      <c r="G11603">
        <v>231012</v>
      </c>
      <c r="H11603">
        <v>4380</v>
      </c>
      <c r="I11603" t="s">
        <v>113</v>
      </c>
      <c r="J11603">
        <v>84.05</v>
      </c>
      <c r="K11603">
        <v>16.27</v>
      </c>
      <c r="L11603">
        <v>13540</v>
      </c>
      <c r="M11603" t="s">
        <v>85</v>
      </c>
      <c r="N11603" t="str">
        <f>"70195520    "</f>
        <v xml:space="preserve">70195520    </v>
      </c>
      <c r="O11603">
        <v>231030</v>
      </c>
    </row>
    <row r="11604" spans="1:15" x14ac:dyDescent="0.25">
      <c r="A11604" t="s">
        <v>16</v>
      </c>
      <c r="B11604" t="s">
        <v>3221</v>
      </c>
      <c r="C11604">
        <v>14540</v>
      </c>
      <c r="D11604" t="s">
        <v>848</v>
      </c>
      <c r="E11604" t="s">
        <v>849</v>
      </c>
      <c r="F11604">
        <v>545.72</v>
      </c>
      <c r="G11604">
        <v>231012</v>
      </c>
      <c r="H11604">
        <v>4380</v>
      </c>
      <c r="I11604" t="s">
        <v>113</v>
      </c>
      <c r="J11604">
        <v>676.69</v>
      </c>
      <c r="K11604">
        <v>130.97</v>
      </c>
      <c r="L11604">
        <v>17950</v>
      </c>
      <c r="M11604" t="s">
        <v>86</v>
      </c>
      <c r="N11604" t="str">
        <f>"70195520    "</f>
        <v xml:space="preserve">70195520    </v>
      </c>
      <c r="O11604">
        <v>231030</v>
      </c>
    </row>
    <row r="11605" spans="1:15" x14ac:dyDescent="0.25">
      <c r="A11605" t="s">
        <v>16</v>
      </c>
      <c r="B11605" t="s">
        <v>3221</v>
      </c>
      <c r="C11605">
        <v>14599</v>
      </c>
      <c r="D11605" t="s">
        <v>848</v>
      </c>
      <c r="E11605" t="s">
        <v>849</v>
      </c>
      <c r="F11605">
        <v>150.43</v>
      </c>
      <c r="G11605">
        <v>231019</v>
      </c>
      <c r="H11605">
        <v>4380</v>
      </c>
      <c r="I11605" t="s">
        <v>113</v>
      </c>
      <c r="J11605">
        <v>186.53</v>
      </c>
      <c r="K11605">
        <v>36.1</v>
      </c>
      <c r="L11605">
        <v>59505</v>
      </c>
      <c r="M11605" t="s">
        <v>72</v>
      </c>
      <c r="N11605" t="str">
        <f>"70233912    "</f>
        <v xml:space="preserve">70233912    </v>
      </c>
      <c r="O11605">
        <v>231030</v>
      </c>
    </row>
    <row r="11606" spans="1:15" x14ac:dyDescent="0.25">
      <c r="A11606" t="s">
        <v>16</v>
      </c>
      <c r="B11606" t="s">
        <v>3221</v>
      </c>
      <c r="C11606">
        <v>14944</v>
      </c>
      <c r="D11606" t="s">
        <v>848</v>
      </c>
      <c r="E11606" t="s">
        <v>849</v>
      </c>
      <c r="F11606">
        <v>73.44</v>
      </c>
      <c r="G11606">
        <v>231101</v>
      </c>
      <c r="H11606">
        <v>4380</v>
      </c>
      <c r="I11606" t="s">
        <v>113</v>
      </c>
      <c r="J11606">
        <v>91.06</v>
      </c>
      <c r="K11606">
        <v>17.62</v>
      </c>
      <c r="L11606">
        <v>49501</v>
      </c>
      <c r="M11606" t="s">
        <v>177</v>
      </c>
      <c r="N11606" t="str">
        <f>"70240240    "</f>
        <v xml:space="preserve">70240240    </v>
      </c>
      <c r="O11606">
        <v>231107</v>
      </c>
    </row>
    <row r="11607" spans="1:15" x14ac:dyDescent="0.25">
      <c r="A11607" t="s">
        <v>16</v>
      </c>
      <c r="B11607" t="s">
        <v>3221</v>
      </c>
      <c r="C11607">
        <v>14944</v>
      </c>
      <c r="D11607" t="s">
        <v>848</v>
      </c>
      <c r="E11607" t="s">
        <v>849</v>
      </c>
      <c r="F11607">
        <v>20.16</v>
      </c>
      <c r="G11607">
        <v>231101</v>
      </c>
      <c r="H11607">
        <v>4380</v>
      </c>
      <c r="I11607" t="s">
        <v>113</v>
      </c>
      <c r="J11607">
        <v>25</v>
      </c>
      <c r="K11607">
        <v>4.84</v>
      </c>
      <c r="L11607">
        <v>49503</v>
      </c>
      <c r="M11607" t="s">
        <v>178</v>
      </c>
      <c r="N11607" t="str">
        <f>"70240240    "</f>
        <v xml:space="preserve">70240240    </v>
      </c>
      <c r="O11607">
        <v>231107</v>
      </c>
    </row>
    <row r="11608" spans="1:15" x14ac:dyDescent="0.25">
      <c r="A11608" t="s">
        <v>16</v>
      </c>
      <c r="B11608" t="s">
        <v>3221</v>
      </c>
      <c r="C11608">
        <v>14947</v>
      </c>
      <c r="D11608" t="s">
        <v>848</v>
      </c>
      <c r="E11608" t="s">
        <v>849</v>
      </c>
      <c r="F11608">
        <v>23.72</v>
      </c>
      <c r="G11608">
        <v>231101</v>
      </c>
      <c r="H11608">
        <v>4380</v>
      </c>
      <c r="I11608" t="s">
        <v>113</v>
      </c>
      <c r="J11608">
        <v>29.41</v>
      </c>
      <c r="K11608">
        <v>5.69</v>
      </c>
      <c r="L11608">
        <v>59504</v>
      </c>
      <c r="M11608" t="s">
        <v>71</v>
      </c>
      <c r="N11608" t="str">
        <f>"70240235    "</f>
        <v xml:space="preserve">70240235    </v>
      </c>
      <c r="O11608">
        <v>231107</v>
      </c>
    </row>
    <row r="11609" spans="1:15" x14ac:dyDescent="0.25">
      <c r="A11609" t="s">
        <v>16</v>
      </c>
      <c r="B11609" t="s">
        <v>3221</v>
      </c>
      <c r="C11609">
        <v>14955</v>
      </c>
      <c r="D11609" t="s">
        <v>848</v>
      </c>
      <c r="E11609" t="s">
        <v>849</v>
      </c>
      <c r="F11609">
        <v>20.6</v>
      </c>
      <c r="G11609">
        <v>231101</v>
      </c>
      <c r="H11609">
        <v>4380</v>
      </c>
      <c r="I11609" t="s">
        <v>113</v>
      </c>
      <c r="J11609">
        <v>25.54</v>
      </c>
      <c r="K11609">
        <v>4.9400000000000004</v>
      </c>
      <c r="L11609">
        <v>17952</v>
      </c>
      <c r="M11609" t="s">
        <v>88</v>
      </c>
      <c r="N11609" t="str">
        <f>"70240693    "</f>
        <v xml:space="preserve">70240693    </v>
      </c>
      <c r="O11609">
        <v>231107</v>
      </c>
    </row>
    <row r="11610" spans="1:15" x14ac:dyDescent="0.25">
      <c r="A11610" t="s">
        <v>16</v>
      </c>
      <c r="B11610" t="s">
        <v>3221</v>
      </c>
      <c r="C11610">
        <v>14959</v>
      </c>
      <c r="D11610" t="s">
        <v>848</v>
      </c>
      <c r="E11610" t="s">
        <v>849</v>
      </c>
      <c r="F11610">
        <v>140.56</v>
      </c>
      <c r="G11610">
        <v>231101</v>
      </c>
      <c r="H11610">
        <v>4380</v>
      </c>
      <c r="I11610" t="s">
        <v>113</v>
      </c>
      <c r="J11610">
        <v>174.29</v>
      </c>
      <c r="K11610">
        <v>33.729999999999997</v>
      </c>
      <c r="L11610">
        <v>59501</v>
      </c>
      <c r="M11610" t="s">
        <v>69</v>
      </c>
      <c r="N11610" t="str">
        <f>"70240234    "</f>
        <v xml:space="preserve">70240234    </v>
      </c>
      <c r="O11610">
        <v>231107</v>
      </c>
    </row>
    <row r="11611" spans="1:15" x14ac:dyDescent="0.25">
      <c r="A11611" t="s">
        <v>16</v>
      </c>
      <c r="B11611" t="s">
        <v>3221</v>
      </c>
      <c r="C11611">
        <v>14968</v>
      </c>
      <c r="D11611" t="s">
        <v>848</v>
      </c>
      <c r="E11611" t="s">
        <v>849</v>
      </c>
      <c r="F11611">
        <v>39.26</v>
      </c>
      <c r="G11611">
        <v>231101</v>
      </c>
      <c r="H11611">
        <v>4380</v>
      </c>
      <c r="I11611" t="s">
        <v>113</v>
      </c>
      <c r="J11611">
        <v>48.68</v>
      </c>
      <c r="K11611">
        <v>9.42</v>
      </c>
      <c r="L11611">
        <v>59502</v>
      </c>
      <c r="M11611" t="s">
        <v>70</v>
      </c>
      <c r="N11611" t="str">
        <f>"70240233    "</f>
        <v xml:space="preserve">70240233    </v>
      </c>
      <c r="O11611">
        <v>231107</v>
      </c>
    </row>
    <row r="11612" spans="1:15" x14ac:dyDescent="0.25">
      <c r="A11612" t="s">
        <v>16</v>
      </c>
      <c r="B11612" t="s">
        <v>3221</v>
      </c>
      <c r="C11612">
        <v>14968</v>
      </c>
      <c r="D11612" t="s">
        <v>848</v>
      </c>
      <c r="E11612" t="s">
        <v>849</v>
      </c>
      <c r="F11612">
        <v>25.1</v>
      </c>
      <c r="G11612">
        <v>231101</v>
      </c>
      <c r="H11612">
        <v>4380</v>
      </c>
      <c r="I11612" t="s">
        <v>113</v>
      </c>
      <c r="J11612">
        <v>31.13</v>
      </c>
      <c r="K11612">
        <v>6.03</v>
      </c>
      <c r="L11612">
        <v>59802</v>
      </c>
      <c r="M11612" t="s">
        <v>73</v>
      </c>
      <c r="N11612" t="str">
        <f>"70240233    "</f>
        <v xml:space="preserve">70240233    </v>
      </c>
      <c r="O11612">
        <v>231107</v>
      </c>
    </row>
    <row r="11613" spans="1:15" x14ac:dyDescent="0.25">
      <c r="A11613" t="s">
        <v>16</v>
      </c>
      <c r="B11613" t="s">
        <v>3221</v>
      </c>
      <c r="C11613">
        <v>14970</v>
      </c>
      <c r="D11613" t="s">
        <v>848</v>
      </c>
      <c r="E11613" t="s">
        <v>849</v>
      </c>
      <c r="F11613">
        <v>68.44</v>
      </c>
      <c r="G11613">
        <v>231101</v>
      </c>
      <c r="H11613">
        <v>4380</v>
      </c>
      <c r="I11613" t="s">
        <v>113</v>
      </c>
      <c r="J11613">
        <v>84.86</v>
      </c>
      <c r="K11613">
        <v>16.420000000000002</v>
      </c>
      <c r="L11613">
        <v>14432</v>
      </c>
      <c r="M11613" t="s">
        <v>862</v>
      </c>
      <c r="N11613" t="str">
        <f>"70240237    "</f>
        <v xml:space="preserve">70240237    </v>
      </c>
      <c r="O11613">
        <v>231107</v>
      </c>
    </row>
    <row r="11614" spans="1:15" x14ac:dyDescent="0.25">
      <c r="A11614" t="s">
        <v>16</v>
      </c>
      <c r="B11614" t="s">
        <v>3221</v>
      </c>
      <c r="C11614">
        <v>14970</v>
      </c>
      <c r="D11614" t="s">
        <v>848</v>
      </c>
      <c r="E11614" t="s">
        <v>849</v>
      </c>
      <c r="F11614">
        <v>10.6</v>
      </c>
      <c r="G11614">
        <v>231101</v>
      </c>
      <c r="H11614">
        <v>4380</v>
      </c>
      <c r="I11614" t="s">
        <v>113</v>
      </c>
      <c r="J11614">
        <v>13.15</v>
      </c>
      <c r="K11614">
        <v>2.5499999999999998</v>
      </c>
      <c r="L11614">
        <v>14951</v>
      </c>
      <c r="M11614" t="s">
        <v>57</v>
      </c>
      <c r="N11614" t="str">
        <f>"70240237    "</f>
        <v xml:space="preserve">70240237    </v>
      </c>
      <c r="O11614">
        <v>231107</v>
      </c>
    </row>
    <row r="11615" spans="1:15" x14ac:dyDescent="0.25">
      <c r="A11615" t="s">
        <v>16</v>
      </c>
      <c r="B11615" t="s">
        <v>3221</v>
      </c>
      <c r="C11615">
        <v>14972</v>
      </c>
      <c r="D11615" t="s">
        <v>848</v>
      </c>
      <c r="E11615" t="s">
        <v>849</v>
      </c>
      <c r="F11615">
        <v>32.24</v>
      </c>
      <c r="G11615">
        <v>231101</v>
      </c>
      <c r="H11615">
        <v>4380</v>
      </c>
      <c r="I11615" t="s">
        <v>113</v>
      </c>
      <c r="J11615">
        <v>39.979999999999997</v>
      </c>
      <c r="K11615">
        <v>7.74</v>
      </c>
      <c r="L11615">
        <v>59505</v>
      </c>
      <c r="M11615" t="s">
        <v>72</v>
      </c>
      <c r="N11615" t="str">
        <f>"70240232    "</f>
        <v xml:space="preserve">70240232    </v>
      </c>
      <c r="O11615">
        <v>231107</v>
      </c>
    </row>
    <row r="11616" spans="1:15" x14ac:dyDescent="0.25">
      <c r="A11616" t="s">
        <v>16</v>
      </c>
      <c r="B11616" t="s">
        <v>3221</v>
      </c>
      <c r="C11616">
        <v>14974</v>
      </c>
      <c r="D11616" t="s">
        <v>848</v>
      </c>
      <c r="E11616" t="s">
        <v>849</v>
      </c>
      <c r="F11616">
        <v>322</v>
      </c>
      <c r="G11616">
        <v>231101</v>
      </c>
      <c r="H11616">
        <v>4380</v>
      </c>
      <c r="I11616" t="s">
        <v>113</v>
      </c>
      <c r="J11616">
        <v>399.28</v>
      </c>
      <c r="K11616">
        <v>77.28</v>
      </c>
      <c r="L11616">
        <v>17951</v>
      </c>
      <c r="M11616" t="s">
        <v>87</v>
      </c>
      <c r="N11616" t="str">
        <f>"70240013    "</f>
        <v xml:space="preserve">70240013    </v>
      </c>
      <c r="O11616">
        <v>231107</v>
      </c>
    </row>
    <row r="11617" spans="1:15" x14ac:dyDescent="0.25">
      <c r="A11617" t="s">
        <v>16</v>
      </c>
      <c r="B11617" t="s">
        <v>3221</v>
      </c>
      <c r="C11617">
        <v>15277</v>
      </c>
      <c r="D11617" t="s">
        <v>848</v>
      </c>
      <c r="E11617" t="s">
        <v>849</v>
      </c>
      <c r="F11617">
        <v>150.36000000000001</v>
      </c>
      <c r="G11617">
        <v>231109</v>
      </c>
      <c r="H11617">
        <v>4380</v>
      </c>
      <c r="I11617" t="s">
        <v>113</v>
      </c>
      <c r="J11617">
        <v>186.45</v>
      </c>
      <c r="K11617">
        <v>36.090000000000003</v>
      </c>
      <c r="L11617">
        <v>17951</v>
      </c>
      <c r="M11617" t="s">
        <v>87</v>
      </c>
      <c r="N11617" t="str">
        <f>"70259305    "</f>
        <v xml:space="preserve">70259305    </v>
      </c>
      <c r="O11617">
        <v>231109</v>
      </c>
    </row>
    <row r="11618" spans="1:15" x14ac:dyDescent="0.25">
      <c r="A11618" t="s">
        <v>16</v>
      </c>
      <c r="B11618" t="s">
        <v>3221</v>
      </c>
      <c r="C11618">
        <v>15278</v>
      </c>
      <c r="D11618" t="s">
        <v>848</v>
      </c>
      <c r="E11618" t="s">
        <v>849</v>
      </c>
      <c r="F11618">
        <v>20.45</v>
      </c>
      <c r="G11618">
        <v>231109</v>
      </c>
      <c r="H11618">
        <v>4380</v>
      </c>
      <c r="I11618" t="s">
        <v>113</v>
      </c>
      <c r="J11618">
        <v>25.36</v>
      </c>
      <c r="K11618">
        <v>4.91</v>
      </c>
      <c r="L11618">
        <v>17951</v>
      </c>
      <c r="M11618" t="s">
        <v>87</v>
      </c>
      <c r="N11618" t="str">
        <f>"70259309    "</f>
        <v xml:space="preserve">70259309    </v>
      </c>
      <c r="O11618">
        <v>231109</v>
      </c>
    </row>
    <row r="11619" spans="1:15" x14ac:dyDescent="0.25">
      <c r="A11619" t="s">
        <v>16</v>
      </c>
      <c r="B11619" t="s">
        <v>3221</v>
      </c>
      <c r="C11619">
        <v>15279</v>
      </c>
      <c r="D11619" t="s">
        <v>848</v>
      </c>
      <c r="E11619" t="s">
        <v>849</v>
      </c>
      <c r="F11619">
        <v>40.9</v>
      </c>
      <c r="G11619">
        <v>231109</v>
      </c>
      <c r="H11619">
        <v>4380</v>
      </c>
      <c r="I11619" t="s">
        <v>113</v>
      </c>
      <c r="J11619">
        <v>50.72</v>
      </c>
      <c r="K11619">
        <v>9.82</v>
      </c>
      <c r="L11619">
        <v>17951</v>
      </c>
      <c r="M11619" t="s">
        <v>87</v>
      </c>
      <c r="N11619" t="str">
        <f>"70259301    "</f>
        <v xml:space="preserve">70259301    </v>
      </c>
      <c r="O11619">
        <v>231109</v>
      </c>
    </row>
    <row r="11620" spans="1:15" x14ac:dyDescent="0.25">
      <c r="A11620" t="s">
        <v>16</v>
      </c>
      <c r="B11620" t="s">
        <v>3221</v>
      </c>
      <c r="C11620">
        <v>15280</v>
      </c>
      <c r="D11620" t="s">
        <v>848</v>
      </c>
      <c r="E11620" t="s">
        <v>849</v>
      </c>
      <c r="F11620">
        <v>61.35</v>
      </c>
      <c r="G11620">
        <v>231109</v>
      </c>
      <c r="H11620">
        <v>4380</v>
      </c>
      <c r="I11620" t="s">
        <v>113</v>
      </c>
      <c r="J11620">
        <v>76.069999999999993</v>
      </c>
      <c r="K11620">
        <v>14.72</v>
      </c>
      <c r="L11620">
        <v>17951</v>
      </c>
      <c r="M11620" t="s">
        <v>87</v>
      </c>
      <c r="N11620" t="str">
        <f>"70259300    "</f>
        <v xml:space="preserve">70259300    </v>
      </c>
      <c r="O11620">
        <v>231109</v>
      </c>
    </row>
    <row r="11621" spans="1:15" x14ac:dyDescent="0.25">
      <c r="A11621" t="s">
        <v>16</v>
      </c>
      <c r="B11621" t="s">
        <v>3221</v>
      </c>
      <c r="C11621">
        <v>15281</v>
      </c>
      <c r="D11621" t="s">
        <v>848</v>
      </c>
      <c r="E11621" t="s">
        <v>849</v>
      </c>
      <c r="F11621">
        <v>12.27</v>
      </c>
      <c r="G11621">
        <v>231109</v>
      </c>
      <c r="H11621">
        <v>4380</v>
      </c>
      <c r="I11621" t="s">
        <v>113</v>
      </c>
      <c r="J11621">
        <v>15.21</v>
      </c>
      <c r="K11621">
        <v>2.94</v>
      </c>
      <c r="L11621">
        <v>17951</v>
      </c>
      <c r="M11621" t="s">
        <v>87</v>
      </c>
      <c r="N11621" t="str">
        <f>"70259299    "</f>
        <v xml:space="preserve">70259299    </v>
      </c>
      <c r="O11621">
        <v>231109</v>
      </c>
    </row>
    <row r="11622" spans="1:15" x14ac:dyDescent="0.25">
      <c r="A11622" t="s">
        <v>16</v>
      </c>
      <c r="B11622" t="s">
        <v>3221</v>
      </c>
      <c r="C11622">
        <v>15537</v>
      </c>
      <c r="D11622" t="s">
        <v>848</v>
      </c>
      <c r="E11622" t="s">
        <v>849</v>
      </c>
      <c r="F11622">
        <v>55.68</v>
      </c>
      <c r="G11622">
        <v>231108</v>
      </c>
      <c r="H11622">
        <v>4380</v>
      </c>
      <c r="I11622" t="s">
        <v>113</v>
      </c>
      <c r="J11622">
        <v>69.040000000000006</v>
      </c>
      <c r="K11622">
        <v>13.36</v>
      </c>
      <c r="L11622">
        <v>47522</v>
      </c>
      <c r="M11622" t="s">
        <v>410</v>
      </c>
      <c r="N11622" t="str">
        <f>"70254578    "</f>
        <v xml:space="preserve">70254578    </v>
      </c>
      <c r="O11622">
        <v>231113</v>
      </c>
    </row>
    <row r="11623" spans="1:15" x14ac:dyDescent="0.25">
      <c r="A11623" t="s">
        <v>16</v>
      </c>
      <c r="B11623" t="s">
        <v>3221</v>
      </c>
      <c r="C11623">
        <v>15539</v>
      </c>
      <c r="D11623" t="s">
        <v>848</v>
      </c>
      <c r="E11623" t="s">
        <v>849</v>
      </c>
      <c r="F11623">
        <v>97.6</v>
      </c>
      <c r="G11623">
        <v>231108</v>
      </c>
      <c r="H11623">
        <v>4380</v>
      </c>
      <c r="I11623" t="s">
        <v>113</v>
      </c>
      <c r="J11623">
        <v>121.02</v>
      </c>
      <c r="K11623">
        <v>23.42</v>
      </c>
      <c r="L11623">
        <v>47522</v>
      </c>
      <c r="M11623" t="s">
        <v>410</v>
      </c>
      <c r="N11623" t="str">
        <f>"70254579    "</f>
        <v xml:space="preserve">70254579    </v>
      </c>
      <c r="O11623">
        <v>231113</v>
      </c>
    </row>
    <row r="11624" spans="1:15" x14ac:dyDescent="0.25">
      <c r="A11624" t="s">
        <v>16</v>
      </c>
      <c r="B11624" t="s">
        <v>3221</v>
      </c>
      <c r="C11624">
        <v>15544</v>
      </c>
      <c r="D11624" t="s">
        <v>848</v>
      </c>
      <c r="E11624" t="s">
        <v>849</v>
      </c>
      <c r="F11624">
        <v>190.88</v>
      </c>
      <c r="G11624">
        <v>231109</v>
      </c>
      <c r="H11624">
        <v>4380</v>
      </c>
      <c r="I11624" t="s">
        <v>113</v>
      </c>
      <c r="J11624">
        <v>236.69</v>
      </c>
      <c r="K11624">
        <v>45.81</v>
      </c>
      <c r="L11624">
        <v>14951</v>
      </c>
      <c r="M11624" t="s">
        <v>57</v>
      </c>
      <c r="N11624" t="str">
        <f>"70259308    "</f>
        <v xml:space="preserve">70259308    </v>
      </c>
      <c r="O11624">
        <v>231113</v>
      </c>
    </row>
    <row r="11625" spans="1:15" x14ac:dyDescent="0.25">
      <c r="A11625" t="s">
        <v>16</v>
      </c>
      <c r="B11625" t="s">
        <v>3221</v>
      </c>
      <c r="C11625">
        <v>15545</v>
      </c>
      <c r="D11625" t="s">
        <v>848</v>
      </c>
      <c r="E11625" t="s">
        <v>849</v>
      </c>
      <c r="F11625">
        <v>42</v>
      </c>
      <c r="G11625">
        <v>231109</v>
      </c>
      <c r="H11625">
        <v>4380</v>
      </c>
      <c r="I11625" t="s">
        <v>113</v>
      </c>
      <c r="J11625">
        <v>52.08</v>
      </c>
      <c r="K11625">
        <v>10.08</v>
      </c>
      <c r="L11625">
        <v>59502</v>
      </c>
      <c r="M11625" t="s">
        <v>70</v>
      </c>
      <c r="N11625" t="str">
        <f>"70259303    "</f>
        <v xml:space="preserve">70259303    </v>
      </c>
      <c r="O11625">
        <v>231113</v>
      </c>
    </row>
    <row r="11626" spans="1:15" x14ac:dyDescent="0.25">
      <c r="A11626" t="s">
        <v>16</v>
      </c>
      <c r="B11626" t="s">
        <v>3221</v>
      </c>
      <c r="C11626">
        <v>15545</v>
      </c>
      <c r="D11626" t="s">
        <v>848</v>
      </c>
      <c r="E11626" t="s">
        <v>849</v>
      </c>
      <c r="F11626">
        <v>78</v>
      </c>
      <c r="G11626">
        <v>231109</v>
      </c>
      <c r="H11626">
        <v>4380</v>
      </c>
      <c r="I11626" t="s">
        <v>113</v>
      </c>
      <c r="J11626">
        <v>96.72</v>
      </c>
      <c r="K11626">
        <v>18.72</v>
      </c>
      <c r="L11626">
        <v>59802</v>
      </c>
      <c r="M11626" t="s">
        <v>73</v>
      </c>
      <c r="N11626" t="str">
        <f>"70259303    "</f>
        <v xml:space="preserve">70259303    </v>
      </c>
      <c r="O11626">
        <v>231113</v>
      </c>
    </row>
    <row r="11627" spans="1:15" x14ac:dyDescent="0.25">
      <c r="A11627" t="s">
        <v>16</v>
      </c>
      <c r="B11627" t="s">
        <v>3221</v>
      </c>
      <c r="C11627">
        <v>15546</v>
      </c>
      <c r="D11627" t="s">
        <v>848</v>
      </c>
      <c r="E11627" t="s">
        <v>849</v>
      </c>
      <c r="F11627">
        <v>645.4</v>
      </c>
      <c r="G11627">
        <v>231109</v>
      </c>
      <c r="H11627">
        <v>4380</v>
      </c>
      <c r="I11627" t="s">
        <v>113</v>
      </c>
      <c r="J11627">
        <v>800.3</v>
      </c>
      <c r="K11627">
        <v>154.9</v>
      </c>
      <c r="L11627">
        <v>59501</v>
      </c>
      <c r="M11627" t="s">
        <v>69</v>
      </c>
      <c r="N11627" t="str">
        <f>"70259310    "</f>
        <v xml:space="preserve">70259310    </v>
      </c>
      <c r="O11627">
        <v>231113</v>
      </c>
    </row>
    <row r="11628" spans="1:15" x14ac:dyDescent="0.25">
      <c r="A11628" t="s">
        <v>16</v>
      </c>
      <c r="B11628" t="s">
        <v>3221</v>
      </c>
      <c r="C11628">
        <v>15547</v>
      </c>
      <c r="D11628" t="s">
        <v>848</v>
      </c>
      <c r="E11628" t="s">
        <v>849</v>
      </c>
      <c r="F11628">
        <v>75.08</v>
      </c>
      <c r="G11628">
        <v>231109</v>
      </c>
      <c r="H11628">
        <v>4380</v>
      </c>
      <c r="I11628" t="s">
        <v>113</v>
      </c>
      <c r="J11628">
        <v>93.1</v>
      </c>
      <c r="K11628">
        <v>18.02</v>
      </c>
      <c r="L11628">
        <v>59504</v>
      </c>
      <c r="M11628" t="s">
        <v>71</v>
      </c>
      <c r="N11628" t="str">
        <f>"70259307    "</f>
        <v xml:space="preserve">70259307    </v>
      </c>
      <c r="O11628">
        <v>231113</v>
      </c>
    </row>
    <row r="11629" spans="1:15" x14ac:dyDescent="0.25">
      <c r="A11629" t="s">
        <v>16</v>
      </c>
      <c r="B11629" t="s">
        <v>3221</v>
      </c>
      <c r="C11629">
        <v>15603</v>
      </c>
      <c r="D11629" t="s">
        <v>848</v>
      </c>
      <c r="E11629" t="s">
        <v>849</v>
      </c>
      <c r="F11629">
        <v>18</v>
      </c>
      <c r="G11629">
        <v>231109</v>
      </c>
      <c r="H11629">
        <v>4380</v>
      </c>
      <c r="I11629" t="s">
        <v>113</v>
      </c>
      <c r="J11629">
        <v>22.32</v>
      </c>
      <c r="K11629">
        <v>4.32</v>
      </c>
      <c r="L11629">
        <v>49501</v>
      </c>
      <c r="M11629" t="s">
        <v>177</v>
      </c>
      <c r="N11629" t="str">
        <f>"70259297    "</f>
        <v xml:space="preserve">70259297    </v>
      </c>
      <c r="O11629">
        <v>231114</v>
      </c>
    </row>
    <row r="11630" spans="1:15" x14ac:dyDescent="0.25">
      <c r="A11630" t="s">
        <v>16</v>
      </c>
      <c r="B11630" t="s">
        <v>3221</v>
      </c>
      <c r="C11630">
        <v>15614</v>
      </c>
      <c r="D11630" t="s">
        <v>848</v>
      </c>
      <c r="E11630" t="s">
        <v>849</v>
      </c>
      <c r="F11630">
        <v>40.18</v>
      </c>
      <c r="G11630">
        <v>231108</v>
      </c>
      <c r="H11630">
        <v>4380</v>
      </c>
      <c r="I11630" t="s">
        <v>113</v>
      </c>
      <c r="J11630">
        <v>49.82</v>
      </c>
      <c r="K11630">
        <v>9.64</v>
      </c>
      <c r="L11630">
        <v>46554</v>
      </c>
      <c r="M11630" t="s">
        <v>117</v>
      </c>
      <c r="N11630" t="str">
        <f>"70255445    "</f>
        <v xml:space="preserve">70255445    </v>
      </c>
      <c r="O11630">
        <v>231114</v>
      </c>
    </row>
    <row r="11631" spans="1:15" x14ac:dyDescent="0.25">
      <c r="A11631" t="s">
        <v>16</v>
      </c>
      <c r="B11631" t="s">
        <v>3221</v>
      </c>
      <c r="C11631">
        <v>15648</v>
      </c>
      <c r="D11631" t="s">
        <v>848</v>
      </c>
      <c r="E11631" t="s">
        <v>849</v>
      </c>
      <c r="F11631">
        <v>12.09</v>
      </c>
      <c r="G11631">
        <v>231101</v>
      </c>
      <c r="H11631">
        <v>4380</v>
      </c>
      <c r="I11631" t="s">
        <v>113</v>
      </c>
      <c r="J11631">
        <v>14.99</v>
      </c>
      <c r="K11631">
        <v>2.9</v>
      </c>
      <c r="L11631">
        <v>13540</v>
      </c>
      <c r="M11631" t="s">
        <v>85</v>
      </c>
      <c r="N11631" t="str">
        <f>"70240018    "</f>
        <v xml:space="preserve">70240018    </v>
      </c>
      <c r="O11631">
        <v>231116</v>
      </c>
    </row>
    <row r="11632" spans="1:15" x14ac:dyDescent="0.25">
      <c r="A11632" t="s">
        <v>16</v>
      </c>
      <c r="B11632" t="s">
        <v>3221</v>
      </c>
      <c r="C11632">
        <v>15648</v>
      </c>
      <c r="D11632" t="s">
        <v>848</v>
      </c>
      <c r="E11632" t="s">
        <v>849</v>
      </c>
      <c r="F11632">
        <v>97.76</v>
      </c>
      <c r="G11632">
        <v>231101</v>
      </c>
      <c r="H11632">
        <v>4380</v>
      </c>
      <c r="I11632" t="s">
        <v>113</v>
      </c>
      <c r="J11632">
        <v>121.22</v>
      </c>
      <c r="K11632">
        <v>23.46</v>
      </c>
      <c r="L11632">
        <v>17950</v>
      </c>
      <c r="M11632" t="s">
        <v>86</v>
      </c>
      <c r="N11632" t="str">
        <f>"70240018    "</f>
        <v xml:space="preserve">70240018    </v>
      </c>
      <c r="O11632">
        <v>231116</v>
      </c>
    </row>
    <row r="11633" spans="1:15" x14ac:dyDescent="0.25">
      <c r="A11633" t="s">
        <v>16</v>
      </c>
      <c r="B11633" t="s">
        <v>3221</v>
      </c>
      <c r="C11633">
        <v>15648</v>
      </c>
      <c r="D11633" t="s">
        <v>848</v>
      </c>
      <c r="E11633" t="s">
        <v>849</v>
      </c>
      <c r="F11633">
        <v>35.520000000000003</v>
      </c>
      <c r="G11633">
        <v>231101</v>
      </c>
      <c r="H11633">
        <v>4380</v>
      </c>
      <c r="I11633" t="s">
        <v>113</v>
      </c>
      <c r="J11633">
        <v>44.04</v>
      </c>
      <c r="K11633">
        <v>8.52</v>
      </c>
      <c r="L11633">
        <v>17956</v>
      </c>
      <c r="M11633" t="s">
        <v>53</v>
      </c>
      <c r="N11633" t="str">
        <f>"70240018    "</f>
        <v xml:space="preserve">70240018    </v>
      </c>
      <c r="O11633">
        <v>231116</v>
      </c>
    </row>
    <row r="11634" spans="1:15" x14ac:dyDescent="0.25">
      <c r="A11634" t="s">
        <v>16</v>
      </c>
      <c r="B11634" t="s">
        <v>3221</v>
      </c>
      <c r="C11634">
        <v>15659</v>
      </c>
      <c r="D11634" t="s">
        <v>848</v>
      </c>
      <c r="E11634" t="s">
        <v>849</v>
      </c>
      <c r="F11634">
        <v>20.45</v>
      </c>
      <c r="G11634">
        <v>231109</v>
      </c>
      <c r="H11634">
        <v>4380</v>
      </c>
      <c r="I11634" t="s">
        <v>113</v>
      </c>
      <c r="J11634">
        <v>25.36</v>
      </c>
      <c r="K11634">
        <v>4.91</v>
      </c>
      <c r="L11634">
        <v>17956</v>
      </c>
      <c r="M11634" t="s">
        <v>53</v>
      </c>
      <c r="N11634" t="str">
        <f>"70259304    "</f>
        <v xml:space="preserve">70259304    </v>
      </c>
      <c r="O11634">
        <v>231116</v>
      </c>
    </row>
    <row r="11635" spans="1:15" x14ac:dyDescent="0.25">
      <c r="A11635" t="s">
        <v>16</v>
      </c>
      <c r="B11635" t="s">
        <v>3221</v>
      </c>
      <c r="C11635">
        <v>15664</v>
      </c>
      <c r="D11635" t="s">
        <v>848</v>
      </c>
      <c r="E11635" t="s">
        <v>849</v>
      </c>
      <c r="F11635">
        <v>20.45</v>
      </c>
      <c r="G11635">
        <v>231109</v>
      </c>
      <c r="H11635">
        <v>4380</v>
      </c>
      <c r="I11635" t="s">
        <v>113</v>
      </c>
      <c r="J11635">
        <v>25.36</v>
      </c>
      <c r="K11635">
        <v>4.91</v>
      </c>
      <c r="L11635">
        <v>17956</v>
      </c>
      <c r="M11635" t="s">
        <v>53</v>
      </c>
      <c r="N11635" t="str">
        <f>"70259302    "</f>
        <v xml:space="preserve">70259302    </v>
      </c>
      <c r="O11635">
        <v>231116</v>
      </c>
    </row>
    <row r="11636" spans="1:15" x14ac:dyDescent="0.25">
      <c r="A11636" t="s">
        <v>16</v>
      </c>
      <c r="B11636" t="s">
        <v>3221</v>
      </c>
      <c r="C11636">
        <v>15668</v>
      </c>
      <c r="D11636" t="s">
        <v>848</v>
      </c>
      <c r="E11636" t="s">
        <v>849</v>
      </c>
      <c r="F11636">
        <v>56.23</v>
      </c>
      <c r="G11636">
        <v>231109</v>
      </c>
      <c r="H11636">
        <v>4380</v>
      </c>
      <c r="I11636" t="s">
        <v>113</v>
      </c>
      <c r="J11636">
        <v>69.73</v>
      </c>
      <c r="K11636">
        <v>13.5</v>
      </c>
      <c r="L11636">
        <v>13540</v>
      </c>
      <c r="M11636" t="s">
        <v>85</v>
      </c>
      <c r="N11636" t="str">
        <f>"70259306    "</f>
        <v xml:space="preserve">70259306    </v>
      </c>
      <c r="O11636">
        <v>231116</v>
      </c>
    </row>
    <row r="11637" spans="1:15" x14ac:dyDescent="0.25">
      <c r="A11637" t="s">
        <v>16</v>
      </c>
      <c r="B11637" t="s">
        <v>3221</v>
      </c>
      <c r="C11637">
        <v>15668</v>
      </c>
      <c r="D11637" t="s">
        <v>848</v>
      </c>
      <c r="E11637" t="s">
        <v>849</v>
      </c>
      <c r="F11637">
        <v>455.02</v>
      </c>
      <c r="G11637">
        <v>231109</v>
      </c>
      <c r="H11637">
        <v>4380</v>
      </c>
      <c r="I11637" t="s">
        <v>113</v>
      </c>
      <c r="J11637">
        <v>564.22</v>
      </c>
      <c r="K11637">
        <v>109.2</v>
      </c>
      <c r="L11637">
        <v>17950</v>
      </c>
      <c r="M11637" t="s">
        <v>86</v>
      </c>
      <c r="N11637" t="str">
        <f>"70259306    "</f>
        <v xml:space="preserve">70259306    </v>
      </c>
      <c r="O11637">
        <v>231116</v>
      </c>
    </row>
    <row r="11638" spans="1:15" x14ac:dyDescent="0.25">
      <c r="A11638" t="s">
        <v>16</v>
      </c>
      <c r="B11638" t="s">
        <v>3221</v>
      </c>
      <c r="C11638">
        <v>16076</v>
      </c>
      <c r="D11638" t="s">
        <v>848</v>
      </c>
      <c r="E11638" t="s">
        <v>849</v>
      </c>
      <c r="F11638">
        <v>34.799999999999997</v>
      </c>
      <c r="G11638">
        <v>231115</v>
      </c>
      <c r="H11638">
        <v>4380</v>
      </c>
      <c r="I11638" t="s">
        <v>113</v>
      </c>
      <c r="J11638">
        <v>43.15</v>
      </c>
      <c r="K11638">
        <v>8.35</v>
      </c>
      <c r="L11638">
        <v>17521</v>
      </c>
      <c r="M11638" t="s">
        <v>133</v>
      </c>
      <c r="N11638" t="str">
        <f>"70291722    "</f>
        <v xml:space="preserve">70291722    </v>
      </c>
      <c r="O11638">
        <v>231122</v>
      </c>
    </row>
    <row r="11639" spans="1:15" x14ac:dyDescent="0.25">
      <c r="A11639" t="s">
        <v>16</v>
      </c>
      <c r="B11639" t="s">
        <v>3221</v>
      </c>
      <c r="C11639">
        <v>16113</v>
      </c>
      <c r="D11639" t="s">
        <v>848</v>
      </c>
      <c r="E11639" t="s">
        <v>849</v>
      </c>
      <c r="F11639">
        <v>134.07</v>
      </c>
      <c r="G11639">
        <v>231116</v>
      </c>
      <c r="H11639">
        <v>4380</v>
      </c>
      <c r="I11639" t="s">
        <v>113</v>
      </c>
      <c r="J11639">
        <v>166.25</v>
      </c>
      <c r="K11639">
        <v>32.18</v>
      </c>
      <c r="L11639">
        <v>59505</v>
      </c>
      <c r="M11639" t="s">
        <v>72</v>
      </c>
      <c r="N11639" t="str">
        <f>"70297223    "</f>
        <v xml:space="preserve">70297223    </v>
      </c>
      <c r="O11639">
        <v>231122</v>
      </c>
    </row>
    <row r="11640" spans="1:15" x14ac:dyDescent="0.25">
      <c r="A11640" t="s">
        <v>16</v>
      </c>
      <c r="B11640" t="s">
        <v>3221</v>
      </c>
      <c r="C11640">
        <v>17157</v>
      </c>
      <c r="D11640" t="s">
        <v>848</v>
      </c>
      <c r="E11640" t="s">
        <v>849</v>
      </c>
      <c r="F11640">
        <v>40.18</v>
      </c>
      <c r="G11640">
        <v>231205</v>
      </c>
      <c r="H11640">
        <v>4380</v>
      </c>
      <c r="I11640" t="s">
        <v>113</v>
      </c>
      <c r="J11640">
        <v>49.82</v>
      </c>
      <c r="K11640">
        <v>9.64</v>
      </c>
      <c r="L11640">
        <v>46554</v>
      </c>
      <c r="M11640" t="s">
        <v>117</v>
      </c>
      <c r="N11640" t="str">
        <f>"70312151    "</f>
        <v xml:space="preserve">70312151    </v>
      </c>
      <c r="O11640">
        <v>231212</v>
      </c>
    </row>
    <row r="11641" spans="1:15" x14ac:dyDescent="0.25">
      <c r="A11641" t="s">
        <v>16</v>
      </c>
      <c r="B11641" t="s">
        <v>3221</v>
      </c>
      <c r="C11641">
        <v>17208</v>
      </c>
      <c r="D11641" t="s">
        <v>848</v>
      </c>
      <c r="E11641" t="s">
        <v>849</v>
      </c>
      <c r="F11641">
        <v>40.299999999999997</v>
      </c>
      <c r="G11641">
        <v>231208</v>
      </c>
      <c r="H11641">
        <v>4380</v>
      </c>
      <c r="I11641" t="s">
        <v>113</v>
      </c>
      <c r="J11641">
        <v>49.97</v>
      </c>
      <c r="K11641">
        <v>9.67</v>
      </c>
      <c r="L11641">
        <v>59505</v>
      </c>
      <c r="M11641" t="s">
        <v>72</v>
      </c>
      <c r="N11641" t="str">
        <f>"70314766    "</f>
        <v xml:space="preserve">70314766    </v>
      </c>
      <c r="O11641">
        <v>231212</v>
      </c>
    </row>
    <row r="11642" spans="1:15" x14ac:dyDescent="0.25">
      <c r="A11642" t="s">
        <v>16</v>
      </c>
      <c r="B11642" t="s">
        <v>3221</v>
      </c>
      <c r="C11642">
        <v>17249</v>
      </c>
      <c r="D11642" t="s">
        <v>848</v>
      </c>
      <c r="E11642" t="s">
        <v>849</v>
      </c>
      <c r="F11642">
        <v>175.7</v>
      </c>
      <c r="G11642">
        <v>231208</v>
      </c>
      <c r="H11642">
        <v>4380</v>
      </c>
      <c r="I11642" t="s">
        <v>113</v>
      </c>
      <c r="J11642">
        <v>217.87</v>
      </c>
      <c r="K11642">
        <v>42.17</v>
      </c>
      <c r="L11642">
        <v>59501</v>
      </c>
      <c r="M11642" t="s">
        <v>69</v>
      </c>
      <c r="N11642" t="str">
        <f>"70314767    "</f>
        <v xml:space="preserve">70314767    </v>
      </c>
      <c r="O11642">
        <v>231212</v>
      </c>
    </row>
    <row r="11643" spans="1:15" x14ac:dyDescent="0.25">
      <c r="A11643" t="s">
        <v>16</v>
      </c>
      <c r="B11643" t="s">
        <v>3221</v>
      </c>
      <c r="C11643">
        <v>17251</v>
      </c>
      <c r="D11643" t="s">
        <v>848</v>
      </c>
      <c r="E11643" t="s">
        <v>849</v>
      </c>
      <c r="F11643">
        <v>49.06</v>
      </c>
      <c r="G11643">
        <v>231208</v>
      </c>
      <c r="H11643">
        <v>4380</v>
      </c>
      <c r="I11643" t="s">
        <v>113</v>
      </c>
      <c r="J11643">
        <v>60.84</v>
      </c>
      <c r="K11643">
        <v>11.78</v>
      </c>
      <c r="L11643">
        <v>59502</v>
      </c>
      <c r="M11643" t="s">
        <v>70</v>
      </c>
      <c r="N11643" t="str">
        <f>"70314764    "</f>
        <v xml:space="preserve">70314764    </v>
      </c>
      <c r="O11643">
        <v>231212</v>
      </c>
    </row>
    <row r="11644" spans="1:15" x14ac:dyDescent="0.25">
      <c r="A11644" t="s">
        <v>16</v>
      </c>
      <c r="B11644" t="s">
        <v>3221</v>
      </c>
      <c r="C11644">
        <v>17251</v>
      </c>
      <c r="D11644" t="s">
        <v>848</v>
      </c>
      <c r="E11644" t="s">
        <v>849</v>
      </c>
      <c r="F11644">
        <v>31.39</v>
      </c>
      <c r="G11644">
        <v>231208</v>
      </c>
      <c r="H11644">
        <v>4380</v>
      </c>
      <c r="I11644" t="s">
        <v>113</v>
      </c>
      <c r="J11644">
        <v>38.92</v>
      </c>
      <c r="K11644">
        <v>7.53</v>
      </c>
      <c r="L11644">
        <v>59802</v>
      </c>
      <c r="M11644" t="s">
        <v>73</v>
      </c>
      <c r="N11644" t="str">
        <f>"70314764    "</f>
        <v xml:space="preserve">70314764    </v>
      </c>
      <c r="O11644">
        <v>231212</v>
      </c>
    </row>
    <row r="11645" spans="1:15" x14ac:dyDescent="0.25">
      <c r="A11645" t="s">
        <v>16</v>
      </c>
      <c r="B11645" t="s">
        <v>3221</v>
      </c>
      <c r="C11645">
        <v>17252</v>
      </c>
      <c r="D11645" t="s">
        <v>848</v>
      </c>
      <c r="E11645" t="s">
        <v>849</v>
      </c>
      <c r="F11645">
        <v>402.5</v>
      </c>
      <c r="G11645">
        <v>231208</v>
      </c>
      <c r="H11645">
        <v>4380</v>
      </c>
      <c r="I11645" t="s">
        <v>113</v>
      </c>
      <c r="J11645">
        <v>499.1</v>
      </c>
      <c r="K11645">
        <v>96.6</v>
      </c>
      <c r="L11645">
        <v>17951</v>
      </c>
      <c r="M11645" t="s">
        <v>87</v>
      </c>
      <c r="N11645" t="str">
        <f>"70314550    "</f>
        <v xml:space="preserve">70314550    </v>
      </c>
      <c r="O11645">
        <v>231212</v>
      </c>
    </row>
    <row r="11646" spans="1:15" x14ac:dyDescent="0.25">
      <c r="A11646" t="s">
        <v>16</v>
      </c>
      <c r="B11646" t="s">
        <v>3221</v>
      </c>
      <c r="C11646">
        <v>17270</v>
      </c>
      <c r="D11646" t="s">
        <v>848</v>
      </c>
      <c r="E11646" t="s">
        <v>849</v>
      </c>
      <c r="F11646">
        <v>55.68</v>
      </c>
      <c r="G11646">
        <v>231205</v>
      </c>
      <c r="H11646">
        <v>4380</v>
      </c>
      <c r="I11646" t="s">
        <v>113</v>
      </c>
      <c r="J11646">
        <v>69.040000000000006</v>
      </c>
      <c r="K11646">
        <v>13.36</v>
      </c>
      <c r="L11646">
        <v>47522</v>
      </c>
      <c r="M11646" t="s">
        <v>410</v>
      </c>
      <c r="N11646" t="str">
        <f>"70311284    "</f>
        <v xml:space="preserve">70311284    </v>
      </c>
      <c r="O11646">
        <v>231212</v>
      </c>
    </row>
    <row r="11647" spans="1:15" x14ac:dyDescent="0.25">
      <c r="A11647" t="s">
        <v>16</v>
      </c>
      <c r="B11647" t="s">
        <v>3221</v>
      </c>
      <c r="C11647">
        <v>17275</v>
      </c>
      <c r="D11647" t="s">
        <v>848</v>
      </c>
      <c r="E11647" t="s">
        <v>849</v>
      </c>
      <c r="F11647">
        <v>97.6</v>
      </c>
      <c r="G11647">
        <v>231205</v>
      </c>
      <c r="H11647">
        <v>4380</v>
      </c>
      <c r="I11647" t="s">
        <v>113</v>
      </c>
      <c r="J11647">
        <v>121.02</v>
      </c>
      <c r="K11647">
        <v>23.42</v>
      </c>
      <c r="L11647">
        <v>47522</v>
      </c>
      <c r="M11647" t="s">
        <v>410</v>
      </c>
      <c r="N11647" t="str">
        <f>"70311285    "</f>
        <v xml:space="preserve">70311285    </v>
      </c>
      <c r="O11647">
        <v>231212</v>
      </c>
    </row>
    <row r="11648" spans="1:15" x14ac:dyDescent="0.25">
      <c r="A11648" t="s">
        <v>16</v>
      </c>
      <c r="B11648" t="s">
        <v>3221</v>
      </c>
      <c r="C11648">
        <v>17289</v>
      </c>
      <c r="D11648" t="s">
        <v>848</v>
      </c>
      <c r="E11648" t="s">
        <v>849</v>
      </c>
      <c r="F11648">
        <v>85.55</v>
      </c>
      <c r="G11648">
        <v>231208</v>
      </c>
      <c r="H11648">
        <v>4380</v>
      </c>
      <c r="I11648" t="s">
        <v>113</v>
      </c>
      <c r="J11648">
        <v>106.08</v>
      </c>
      <c r="K11648">
        <v>20.53</v>
      </c>
      <c r="L11648">
        <v>14432</v>
      </c>
      <c r="M11648" t="s">
        <v>862</v>
      </c>
      <c r="N11648" t="str">
        <f>"70314768    "</f>
        <v xml:space="preserve">70314768    </v>
      </c>
      <c r="O11648">
        <v>231212</v>
      </c>
    </row>
    <row r="11649" spans="1:15" x14ac:dyDescent="0.25">
      <c r="A11649" t="s">
        <v>16</v>
      </c>
      <c r="B11649" t="s">
        <v>3221</v>
      </c>
      <c r="C11649">
        <v>17289</v>
      </c>
      <c r="D11649" t="s">
        <v>848</v>
      </c>
      <c r="E11649" t="s">
        <v>849</v>
      </c>
      <c r="F11649">
        <v>13.25</v>
      </c>
      <c r="G11649">
        <v>231208</v>
      </c>
      <c r="H11649">
        <v>4380</v>
      </c>
      <c r="I11649" t="s">
        <v>113</v>
      </c>
      <c r="J11649">
        <v>16.43</v>
      </c>
      <c r="K11649">
        <v>3.18</v>
      </c>
      <c r="L11649">
        <v>14951</v>
      </c>
      <c r="M11649" t="s">
        <v>57</v>
      </c>
      <c r="N11649" t="str">
        <f>"70314768    "</f>
        <v xml:space="preserve">70314768    </v>
      </c>
      <c r="O11649">
        <v>231212</v>
      </c>
    </row>
    <row r="11650" spans="1:15" x14ac:dyDescent="0.25">
      <c r="A11650" t="s">
        <v>16</v>
      </c>
      <c r="B11650" t="s">
        <v>3221</v>
      </c>
      <c r="C11650">
        <v>17292</v>
      </c>
      <c r="D11650" t="s">
        <v>848</v>
      </c>
      <c r="E11650" t="s">
        <v>849</v>
      </c>
      <c r="F11650">
        <v>25.75</v>
      </c>
      <c r="G11650">
        <v>231208</v>
      </c>
      <c r="H11650">
        <v>4380</v>
      </c>
      <c r="I11650" t="s">
        <v>113</v>
      </c>
      <c r="J11650">
        <v>31.93</v>
      </c>
      <c r="K11650">
        <v>6.18</v>
      </c>
      <c r="L11650">
        <v>17952</v>
      </c>
      <c r="M11650" t="s">
        <v>88</v>
      </c>
      <c r="N11650" t="str">
        <f>"70315220    "</f>
        <v xml:space="preserve">70315220    </v>
      </c>
      <c r="O11650">
        <v>231212</v>
      </c>
    </row>
    <row r="11651" spans="1:15" x14ac:dyDescent="0.25">
      <c r="A11651" t="s">
        <v>16</v>
      </c>
      <c r="B11651" t="s">
        <v>3221</v>
      </c>
      <c r="C11651">
        <v>17296</v>
      </c>
      <c r="D11651" t="s">
        <v>848</v>
      </c>
      <c r="E11651" t="s">
        <v>849</v>
      </c>
      <c r="F11651">
        <v>32.590000000000003</v>
      </c>
      <c r="G11651">
        <v>231208</v>
      </c>
      <c r="H11651">
        <v>4380</v>
      </c>
      <c r="I11651" t="s">
        <v>113</v>
      </c>
      <c r="J11651">
        <v>40.409999999999997</v>
      </c>
      <c r="K11651">
        <v>7.82</v>
      </c>
      <c r="L11651">
        <v>59504</v>
      </c>
      <c r="M11651" t="s">
        <v>71</v>
      </c>
      <c r="N11651" t="str">
        <f>"70314765    "</f>
        <v xml:space="preserve">70314765    </v>
      </c>
      <c r="O11651">
        <v>231212</v>
      </c>
    </row>
    <row r="11652" spans="1:15" x14ac:dyDescent="0.25">
      <c r="A11652" t="s">
        <v>16</v>
      </c>
      <c r="B11652" t="s">
        <v>3221</v>
      </c>
      <c r="C11652">
        <v>17342</v>
      </c>
      <c r="D11652" t="s">
        <v>848</v>
      </c>
      <c r="E11652" t="s">
        <v>849</v>
      </c>
      <c r="F11652">
        <v>190.88</v>
      </c>
      <c r="G11652">
        <v>231211</v>
      </c>
      <c r="H11652">
        <v>4380</v>
      </c>
      <c r="I11652" t="s">
        <v>113</v>
      </c>
      <c r="J11652">
        <v>236.69</v>
      </c>
      <c r="K11652">
        <v>45.81</v>
      </c>
      <c r="L11652">
        <v>14951</v>
      </c>
      <c r="M11652" t="s">
        <v>57</v>
      </c>
      <c r="N11652" t="str">
        <f>"70318196    "</f>
        <v xml:space="preserve">70318196    </v>
      </c>
      <c r="O11652">
        <v>231213</v>
      </c>
    </row>
    <row r="11653" spans="1:15" x14ac:dyDescent="0.25">
      <c r="A11653" t="s">
        <v>16</v>
      </c>
      <c r="B11653" t="s">
        <v>3221</v>
      </c>
      <c r="C11653">
        <v>17343</v>
      </c>
      <c r="D11653" t="s">
        <v>848</v>
      </c>
      <c r="E11653" t="s">
        <v>849</v>
      </c>
      <c r="F11653">
        <v>134</v>
      </c>
      <c r="G11653">
        <v>231211</v>
      </c>
      <c r="H11653">
        <v>4380</v>
      </c>
      <c r="I11653" t="s">
        <v>113</v>
      </c>
      <c r="J11653">
        <v>166.16</v>
      </c>
      <c r="K11653">
        <v>32.159999999999997</v>
      </c>
      <c r="L11653">
        <v>17951</v>
      </c>
      <c r="M11653" t="s">
        <v>87</v>
      </c>
      <c r="N11653" t="str">
        <f>"70318192    "</f>
        <v xml:space="preserve">70318192    </v>
      </c>
      <c r="O11653">
        <v>231213</v>
      </c>
    </row>
    <row r="11654" spans="1:15" x14ac:dyDescent="0.25">
      <c r="A11654" t="s">
        <v>16</v>
      </c>
      <c r="B11654" t="s">
        <v>3221</v>
      </c>
      <c r="C11654">
        <v>17344</v>
      </c>
      <c r="D11654" t="s">
        <v>848</v>
      </c>
      <c r="E11654" t="s">
        <v>849</v>
      </c>
      <c r="F11654">
        <v>28.63</v>
      </c>
      <c r="G11654">
        <v>231211</v>
      </c>
      <c r="H11654">
        <v>4380</v>
      </c>
      <c r="I11654" t="s">
        <v>113</v>
      </c>
      <c r="J11654">
        <v>35.5</v>
      </c>
      <c r="K11654">
        <v>6.87</v>
      </c>
      <c r="L11654">
        <v>17951</v>
      </c>
      <c r="M11654" t="s">
        <v>87</v>
      </c>
      <c r="N11654" t="str">
        <f>"70318190    "</f>
        <v xml:space="preserve">70318190    </v>
      </c>
      <c r="O11654">
        <v>231213</v>
      </c>
    </row>
    <row r="11655" spans="1:15" x14ac:dyDescent="0.25">
      <c r="A11655" t="s">
        <v>16</v>
      </c>
      <c r="B11655" t="s">
        <v>3221</v>
      </c>
      <c r="C11655">
        <v>17345</v>
      </c>
      <c r="D11655" t="s">
        <v>848</v>
      </c>
      <c r="E11655" t="s">
        <v>849</v>
      </c>
      <c r="F11655">
        <v>20.45</v>
      </c>
      <c r="G11655">
        <v>231211</v>
      </c>
      <c r="H11655">
        <v>4380</v>
      </c>
      <c r="I11655" t="s">
        <v>113</v>
      </c>
      <c r="J11655">
        <v>25.36</v>
      </c>
      <c r="K11655">
        <v>4.91</v>
      </c>
      <c r="L11655">
        <v>17951</v>
      </c>
      <c r="M11655" t="s">
        <v>87</v>
      </c>
      <c r="N11655" t="str">
        <f>"70318199    "</f>
        <v xml:space="preserve">70318199    </v>
      </c>
      <c r="O11655">
        <v>231213</v>
      </c>
    </row>
    <row r="11656" spans="1:15" x14ac:dyDescent="0.25">
      <c r="A11656" t="s">
        <v>16</v>
      </c>
      <c r="B11656" t="s">
        <v>3221</v>
      </c>
      <c r="C11656">
        <v>17347</v>
      </c>
      <c r="D11656" t="s">
        <v>848</v>
      </c>
      <c r="E11656" t="s">
        <v>849</v>
      </c>
      <c r="F11656">
        <v>44.99</v>
      </c>
      <c r="G11656">
        <v>231211</v>
      </c>
      <c r="H11656">
        <v>4380</v>
      </c>
      <c r="I11656" t="s">
        <v>113</v>
      </c>
      <c r="J11656">
        <v>55.79</v>
      </c>
      <c r="K11656">
        <v>10.8</v>
      </c>
      <c r="L11656">
        <v>17951</v>
      </c>
      <c r="M11656" t="s">
        <v>87</v>
      </c>
      <c r="N11656" t="str">
        <f>"70318203    "</f>
        <v xml:space="preserve">70318203    </v>
      </c>
      <c r="O11656">
        <v>231213</v>
      </c>
    </row>
    <row r="11657" spans="1:15" x14ac:dyDescent="0.25">
      <c r="A11657" t="s">
        <v>16</v>
      </c>
      <c r="B11657" t="s">
        <v>3221</v>
      </c>
      <c r="C11657">
        <v>17352</v>
      </c>
      <c r="D11657" t="s">
        <v>848</v>
      </c>
      <c r="E11657" t="s">
        <v>849</v>
      </c>
      <c r="F11657">
        <v>57.26</v>
      </c>
      <c r="G11657">
        <v>231211</v>
      </c>
      <c r="H11657">
        <v>4380</v>
      </c>
      <c r="I11657" t="s">
        <v>113</v>
      </c>
      <c r="J11657">
        <v>71</v>
      </c>
      <c r="K11657">
        <v>13.74</v>
      </c>
      <c r="L11657">
        <v>17951</v>
      </c>
      <c r="M11657" t="s">
        <v>87</v>
      </c>
      <c r="N11657" t="str">
        <f>"70318193    "</f>
        <v xml:space="preserve">70318193    </v>
      </c>
      <c r="O11657">
        <v>231213</v>
      </c>
    </row>
    <row r="11658" spans="1:15" x14ac:dyDescent="0.25">
      <c r="A11658" t="s">
        <v>16</v>
      </c>
      <c r="B11658" t="s">
        <v>3221</v>
      </c>
      <c r="C11658">
        <v>17466</v>
      </c>
      <c r="D11658" t="s">
        <v>848</v>
      </c>
      <c r="E11658" t="s">
        <v>849</v>
      </c>
      <c r="F11658">
        <v>4.6500000000000004</v>
      </c>
      <c r="G11658">
        <v>231208</v>
      </c>
      <c r="H11658">
        <v>4380</v>
      </c>
      <c r="I11658" t="s">
        <v>113</v>
      </c>
      <c r="J11658">
        <v>5.77</v>
      </c>
      <c r="K11658">
        <v>1.1200000000000001</v>
      </c>
      <c r="L11658">
        <v>13641</v>
      </c>
      <c r="M11658" t="s">
        <v>1471</v>
      </c>
      <c r="N11658" t="str">
        <f>"70314557    "</f>
        <v xml:space="preserve">70314557    </v>
      </c>
      <c r="O11658">
        <v>231214</v>
      </c>
    </row>
    <row r="11659" spans="1:15" x14ac:dyDescent="0.25">
      <c r="A11659" t="s">
        <v>16</v>
      </c>
      <c r="B11659" t="s">
        <v>3221</v>
      </c>
      <c r="C11659">
        <v>17476</v>
      </c>
      <c r="D11659" t="s">
        <v>848</v>
      </c>
      <c r="E11659" t="s">
        <v>849</v>
      </c>
      <c r="F11659">
        <v>14.73</v>
      </c>
      <c r="G11659">
        <v>231208</v>
      </c>
      <c r="H11659">
        <v>4380</v>
      </c>
      <c r="I11659" t="s">
        <v>113</v>
      </c>
      <c r="J11659">
        <v>18.260000000000002</v>
      </c>
      <c r="K11659">
        <v>3.53</v>
      </c>
      <c r="L11659">
        <v>13540</v>
      </c>
      <c r="M11659" t="s">
        <v>85</v>
      </c>
      <c r="N11659" t="str">
        <f>"70314552    "</f>
        <v xml:space="preserve">70314552    </v>
      </c>
      <c r="O11659">
        <v>231214</v>
      </c>
    </row>
    <row r="11660" spans="1:15" x14ac:dyDescent="0.25">
      <c r="A11660" t="s">
        <v>16</v>
      </c>
      <c r="B11660" t="s">
        <v>3221</v>
      </c>
      <c r="C11660">
        <v>17476</v>
      </c>
      <c r="D11660" t="s">
        <v>848</v>
      </c>
      <c r="E11660" t="s">
        <v>849</v>
      </c>
      <c r="F11660">
        <v>119.14</v>
      </c>
      <c r="G11660">
        <v>231208</v>
      </c>
      <c r="H11660">
        <v>4380</v>
      </c>
      <c r="I11660" t="s">
        <v>113</v>
      </c>
      <c r="J11660">
        <v>147.72999999999999</v>
      </c>
      <c r="K11660">
        <v>28.59</v>
      </c>
      <c r="L11660">
        <v>17950</v>
      </c>
      <c r="M11660" t="s">
        <v>86</v>
      </c>
      <c r="N11660" t="str">
        <f>"70314552    "</f>
        <v xml:space="preserve">70314552    </v>
      </c>
      <c r="O11660">
        <v>231214</v>
      </c>
    </row>
    <row r="11661" spans="1:15" x14ac:dyDescent="0.25">
      <c r="A11661" t="s">
        <v>16</v>
      </c>
      <c r="B11661" t="s">
        <v>3221</v>
      </c>
      <c r="C11661">
        <v>17476</v>
      </c>
      <c r="D11661" t="s">
        <v>848</v>
      </c>
      <c r="E11661" t="s">
        <v>849</v>
      </c>
      <c r="F11661">
        <v>44.4</v>
      </c>
      <c r="G11661">
        <v>231208</v>
      </c>
      <c r="H11661">
        <v>4380</v>
      </c>
      <c r="I11661" t="s">
        <v>113</v>
      </c>
      <c r="J11661">
        <v>55.05</v>
      </c>
      <c r="K11661">
        <v>10.65</v>
      </c>
      <c r="L11661">
        <v>17956</v>
      </c>
      <c r="M11661" t="s">
        <v>53</v>
      </c>
      <c r="N11661" t="str">
        <f>"70314552    "</f>
        <v xml:space="preserve">70314552    </v>
      </c>
      <c r="O11661">
        <v>231214</v>
      </c>
    </row>
    <row r="11662" spans="1:15" x14ac:dyDescent="0.25">
      <c r="A11662" t="s">
        <v>16</v>
      </c>
      <c r="B11662" t="s">
        <v>3221</v>
      </c>
      <c r="C11662">
        <v>17478</v>
      </c>
      <c r="D11662" t="s">
        <v>848</v>
      </c>
      <c r="E11662" t="s">
        <v>849</v>
      </c>
      <c r="F11662">
        <v>92</v>
      </c>
      <c r="G11662">
        <v>231208</v>
      </c>
      <c r="H11662">
        <v>4380</v>
      </c>
      <c r="I11662" t="s">
        <v>113</v>
      </c>
      <c r="J11662">
        <v>114.08</v>
      </c>
      <c r="K11662">
        <v>22.08</v>
      </c>
      <c r="L11662">
        <v>49501</v>
      </c>
      <c r="M11662" t="s">
        <v>177</v>
      </c>
      <c r="N11662" t="str">
        <f>"70314773    "</f>
        <v xml:space="preserve">70314773    </v>
      </c>
      <c r="O11662">
        <v>231214</v>
      </c>
    </row>
    <row r="11663" spans="1:15" x14ac:dyDescent="0.25">
      <c r="A11663" t="s">
        <v>16</v>
      </c>
      <c r="B11663" t="s">
        <v>3221</v>
      </c>
      <c r="C11663">
        <v>17478</v>
      </c>
      <c r="D11663" t="s">
        <v>848</v>
      </c>
      <c r="E11663" t="s">
        <v>849</v>
      </c>
      <c r="F11663">
        <v>25</v>
      </c>
      <c r="G11663">
        <v>231208</v>
      </c>
      <c r="H11663">
        <v>4380</v>
      </c>
      <c r="I11663" t="s">
        <v>113</v>
      </c>
      <c r="J11663">
        <v>31</v>
      </c>
      <c r="K11663">
        <v>6</v>
      </c>
      <c r="L11663">
        <v>49503</v>
      </c>
      <c r="M11663" t="s">
        <v>178</v>
      </c>
      <c r="N11663" t="str">
        <f>"70314773    "</f>
        <v xml:space="preserve">70314773    </v>
      </c>
      <c r="O11663">
        <v>231214</v>
      </c>
    </row>
    <row r="11664" spans="1:15" x14ac:dyDescent="0.25">
      <c r="A11664" t="s">
        <v>16</v>
      </c>
      <c r="B11664" t="s">
        <v>3221</v>
      </c>
      <c r="C11664">
        <v>17485</v>
      </c>
      <c r="D11664" t="s">
        <v>848</v>
      </c>
      <c r="E11664" t="s">
        <v>849</v>
      </c>
      <c r="F11664">
        <v>44.99</v>
      </c>
      <c r="G11664">
        <v>231211</v>
      </c>
      <c r="H11664">
        <v>4380</v>
      </c>
      <c r="I11664" t="s">
        <v>113</v>
      </c>
      <c r="J11664">
        <v>55.79</v>
      </c>
      <c r="K11664">
        <v>10.8</v>
      </c>
      <c r="L11664">
        <v>17956</v>
      </c>
      <c r="M11664" t="s">
        <v>53</v>
      </c>
      <c r="N11664" t="str">
        <f>"70318194    "</f>
        <v xml:space="preserve">70318194    </v>
      </c>
      <c r="O11664">
        <v>231214</v>
      </c>
    </row>
    <row r="11665" spans="1:15" x14ac:dyDescent="0.25">
      <c r="A11665" t="s">
        <v>16</v>
      </c>
      <c r="B11665" t="s">
        <v>3221</v>
      </c>
      <c r="C11665">
        <v>17494</v>
      </c>
      <c r="D11665" t="s">
        <v>848</v>
      </c>
      <c r="E11665" t="s">
        <v>849</v>
      </c>
      <c r="F11665">
        <v>28.63</v>
      </c>
      <c r="G11665">
        <v>231211</v>
      </c>
      <c r="H11665">
        <v>4380</v>
      </c>
      <c r="I11665" t="s">
        <v>113</v>
      </c>
      <c r="J11665">
        <v>35.5</v>
      </c>
      <c r="K11665">
        <v>6.87</v>
      </c>
      <c r="L11665">
        <v>17956</v>
      </c>
      <c r="M11665" t="s">
        <v>53</v>
      </c>
      <c r="N11665" t="str">
        <f>"70318198    "</f>
        <v xml:space="preserve">70318198    </v>
      </c>
      <c r="O11665">
        <v>231214</v>
      </c>
    </row>
    <row r="11666" spans="1:15" x14ac:dyDescent="0.25">
      <c r="A11666" t="s">
        <v>16</v>
      </c>
      <c r="B11666" t="s">
        <v>3221</v>
      </c>
      <c r="C11666">
        <v>17503</v>
      </c>
      <c r="D11666" t="s">
        <v>848</v>
      </c>
      <c r="E11666" t="s">
        <v>849</v>
      </c>
      <c r="F11666">
        <v>50.72</v>
      </c>
      <c r="G11666">
        <v>231211</v>
      </c>
      <c r="H11666">
        <v>4380</v>
      </c>
      <c r="I11666" t="s">
        <v>113</v>
      </c>
      <c r="J11666">
        <v>62.89</v>
      </c>
      <c r="K11666">
        <v>12.17</v>
      </c>
      <c r="L11666">
        <v>49501</v>
      </c>
      <c r="M11666" t="s">
        <v>177</v>
      </c>
      <c r="N11666" t="str">
        <f>"70318197    "</f>
        <v xml:space="preserve">70318197    </v>
      </c>
      <c r="O11666">
        <v>231214</v>
      </c>
    </row>
    <row r="11667" spans="1:15" x14ac:dyDescent="0.25">
      <c r="A11667" t="s">
        <v>16</v>
      </c>
      <c r="B11667" t="s">
        <v>3221</v>
      </c>
      <c r="C11667">
        <v>17505</v>
      </c>
      <c r="D11667" t="s">
        <v>848</v>
      </c>
      <c r="E11667" t="s">
        <v>849</v>
      </c>
      <c r="F11667">
        <v>42</v>
      </c>
      <c r="G11667">
        <v>231211</v>
      </c>
      <c r="H11667">
        <v>4380</v>
      </c>
      <c r="I11667" t="s">
        <v>113</v>
      </c>
      <c r="J11667">
        <v>52.08</v>
      </c>
      <c r="K11667">
        <v>10.08</v>
      </c>
      <c r="L11667">
        <v>59502</v>
      </c>
      <c r="M11667" t="s">
        <v>70</v>
      </c>
      <c r="N11667" t="str">
        <f>"70318191    "</f>
        <v xml:space="preserve">70318191    </v>
      </c>
      <c r="O11667">
        <v>231214</v>
      </c>
    </row>
    <row r="11668" spans="1:15" x14ac:dyDescent="0.25">
      <c r="A11668" t="s">
        <v>16</v>
      </c>
      <c r="B11668" t="s">
        <v>3221</v>
      </c>
      <c r="C11668">
        <v>17505</v>
      </c>
      <c r="D11668" t="s">
        <v>848</v>
      </c>
      <c r="E11668" t="s">
        <v>849</v>
      </c>
      <c r="F11668">
        <v>78</v>
      </c>
      <c r="G11668">
        <v>231211</v>
      </c>
      <c r="H11668">
        <v>4380</v>
      </c>
      <c r="I11668" t="s">
        <v>113</v>
      </c>
      <c r="J11668">
        <v>96.72</v>
      </c>
      <c r="K11668">
        <v>18.72</v>
      </c>
      <c r="L11668">
        <v>59802</v>
      </c>
      <c r="M11668" t="s">
        <v>73</v>
      </c>
      <c r="N11668" t="str">
        <f>"70318191    "</f>
        <v xml:space="preserve">70318191    </v>
      </c>
      <c r="O11668">
        <v>231214</v>
      </c>
    </row>
    <row r="11669" spans="1:15" x14ac:dyDescent="0.25">
      <c r="A11669" t="s">
        <v>16</v>
      </c>
      <c r="B11669" t="s">
        <v>3221</v>
      </c>
      <c r="C11669">
        <v>17508</v>
      </c>
      <c r="D11669" t="s">
        <v>848</v>
      </c>
      <c r="E11669" t="s">
        <v>849</v>
      </c>
      <c r="F11669">
        <v>107.8</v>
      </c>
      <c r="G11669">
        <v>231211</v>
      </c>
      <c r="H11669">
        <v>4380</v>
      </c>
      <c r="I11669" t="s">
        <v>113</v>
      </c>
      <c r="J11669">
        <v>133.66999999999999</v>
      </c>
      <c r="K11669">
        <v>25.87</v>
      </c>
      <c r="L11669">
        <v>59504</v>
      </c>
      <c r="M11669" t="s">
        <v>71</v>
      </c>
      <c r="N11669" t="str">
        <f>"70318195    "</f>
        <v xml:space="preserve">70318195    </v>
      </c>
      <c r="O11669">
        <v>231214</v>
      </c>
    </row>
    <row r="11670" spans="1:15" x14ac:dyDescent="0.25">
      <c r="A11670" t="s">
        <v>16</v>
      </c>
      <c r="B11670" t="s">
        <v>3221</v>
      </c>
      <c r="C11670">
        <v>17511</v>
      </c>
      <c r="D11670" t="s">
        <v>848</v>
      </c>
      <c r="E11670" t="s">
        <v>849</v>
      </c>
      <c r="F11670">
        <v>151.4</v>
      </c>
      <c r="G11670">
        <v>231211</v>
      </c>
      <c r="H11670">
        <v>4380</v>
      </c>
      <c r="I11670" t="s">
        <v>113</v>
      </c>
      <c r="J11670">
        <v>187.74</v>
      </c>
      <c r="K11670">
        <v>36.340000000000003</v>
      </c>
      <c r="L11670">
        <v>59501</v>
      </c>
      <c r="M11670" t="s">
        <v>69</v>
      </c>
      <c r="N11670" t="str">
        <f>"70318200    "</f>
        <v xml:space="preserve">70318200    </v>
      </c>
      <c r="O11670">
        <v>231214</v>
      </c>
    </row>
    <row r="11671" spans="1:15" x14ac:dyDescent="0.25">
      <c r="A11671" t="s">
        <v>16</v>
      </c>
      <c r="B11671" t="s">
        <v>3221</v>
      </c>
      <c r="C11671">
        <v>17514</v>
      </c>
      <c r="D11671" t="s">
        <v>848</v>
      </c>
      <c r="E11671" t="s">
        <v>849</v>
      </c>
      <c r="F11671">
        <v>44.99</v>
      </c>
      <c r="G11671">
        <v>231211</v>
      </c>
      <c r="H11671">
        <v>4380</v>
      </c>
      <c r="I11671" t="s">
        <v>113</v>
      </c>
      <c r="J11671">
        <v>55.79</v>
      </c>
      <c r="K11671">
        <v>10.8</v>
      </c>
      <c r="L11671">
        <v>17956</v>
      </c>
      <c r="M11671" t="s">
        <v>53</v>
      </c>
      <c r="N11671" t="str">
        <f>"70318201    "</f>
        <v xml:space="preserve">70318201    </v>
      </c>
      <c r="O11671">
        <v>231214</v>
      </c>
    </row>
    <row r="11672" spans="1:15" x14ac:dyDescent="0.25">
      <c r="A11672" t="s">
        <v>16</v>
      </c>
      <c r="B11672" t="s">
        <v>3221</v>
      </c>
      <c r="C11672">
        <v>18223</v>
      </c>
      <c r="D11672" t="s">
        <v>848</v>
      </c>
      <c r="E11672" t="s">
        <v>849</v>
      </c>
      <c r="F11672">
        <v>34.799999999999997</v>
      </c>
      <c r="G11672">
        <v>231213</v>
      </c>
      <c r="H11672">
        <v>4380</v>
      </c>
      <c r="I11672" t="s">
        <v>113</v>
      </c>
      <c r="J11672">
        <v>43.15</v>
      </c>
      <c r="K11672">
        <v>8.35</v>
      </c>
      <c r="L11672">
        <v>17521</v>
      </c>
      <c r="M11672" t="s">
        <v>133</v>
      </c>
      <c r="N11672" t="str">
        <f>"70350741    "</f>
        <v xml:space="preserve">70350741    </v>
      </c>
      <c r="O11672">
        <v>240102</v>
      </c>
    </row>
    <row r="11673" spans="1:15" x14ac:dyDescent="0.25">
      <c r="A11673" t="s">
        <v>16</v>
      </c>
      <c r="B11673" t="s">
        <v>3221</v>
      </c>
      <c r="C11673">
        <v>18383</v>
      </c>
      <c r="D11673" t="s">
        <v>848</v>
      </c>
      <c r="E11673" t="s">
        <v>849</v>
      </c>
      <c r="F11673">
        <v>49.49</v>
      </c>
      <c r="G11673">
        <v>231211</v>
      </c>
      <c r="H11673">
        <v>4380</v>
      </c>
      <c r="I11673" t="s">
        <v>113</v>
      </c>
      <c r="J11673">
        <v>61.37</v>
      </c>
      <c r="K11673">
        <v>11.88</v>
      </c>
      <c r="L11673">
        <v>13540</v>
      </c>
      <c r="M11673" t="s">
        <v>85</v>
      </c>
      <c r="N11673" t="str">
        <f>"70318202    "</f>
        <v xml:space="preserve">70318202    </v>
      </c>
      <c r="O11673">
        <v>240103</v>
      </c>
    </row>
    <row r="11674" spans="1:15" x14ac:dyDescent="0.25">
      <c r="A11674" t="s">
        <v>16</v>
      </c>
      <c r="B11674" t="s">
        <v>3221</v>
      </c>
      <c r="C11674">
        <v>18383</v>
      </c>
      <c r="D11674" t="s">
        <v>848</v>
      </c>
      <c r="E11674" t="s">
        <v>849</v>
      </c>
      <c r="F11674">
        <v>106.8</v>
      </c>
      <c r="G11674">
        <v>231211</v>
      </c>
      <c r="H11674">
        <v>4380</v>
      </c>
      <c r="I11674" t="s">
        <v>113</v>
      </c>
      <c r="J11674">
        <v>132.43</v>
      </c>
      <c r="K11674">
        <v>25.63</v>
      </c>
      <c r="L11674">
        <v>17950</v>
      </c>
      <c r="M11674" t="s">
        <v>86</v>
      </c>
      <c r="N11674" t="str">
        <f>"70318202    "</f>
        <v xml:space="preserve">70318202    </v>
      </c>
      <c r="O11674">
        <v>240103</v>
      </c>
    </row>
    <row r="11675" spans="1:15" x14ac:dyDescent="0.25">
      <c r="A11675" t="s">
        <v>16</v>
      </c>
      <c r="B11675" t="s">
        <v>3221</v>
      </c>
      <c r="C11675">
        <v>18383</v>
      </c>
      <c r="D11675" t="s">
        <v>848</v>
      </c>
      <c r="E11675" t="s">
        <v>849</v>
      </c>
      <c r="F11675">
        <v>400.41</v>
      </c>
      <c r="G11675">
        <v>231211</v>
      </c>
      <c r="H11675">
        <v>4380</v>
      </c>
      <c r="I11675" t="s">
        <v>113</v>
      </c>
      <c r="J11675">
        <v>496.51</v>
      </c>
      <c r="K11675">
        <v>96.1</v>
      </c>
      <c r="L11675">
        <v>17950</v>
      </c>
      <c r="M11675" t="s">
        <v>86</v>
      </c>
      <c r="N11675" t="str">
        <f>"70318202    "</f>
        <v xml:space="preserve">70318202    </v>
      </c>
      <c r="O11675">
        <v>240103</v>
      </c>
    </row>
    <row r="11676" spans="1:15" x14ac:dyDescent="0.25">
      <c r="A11676" t="s">
        <v>16</v>
      </c>
      <c r="B11676" t="s">
        <v>3221</v>
      </c>
      <c r="C11676">
        <v>18396</v>
      </c>
      <c r="D11676" t="s">
        <v>848</v>
      </c>
      <c r="E11676" t="s">
        <v>849</v>
      </c>
      <c r="F11676">
        <v>125.89</v>
      </c>
      <c r="G11676">
        <v>231214</v>
      </c>
      <c r="H11676">
        <v>4380</v>
      </c>
      <c r="I11676" t="s">
        <v>113</v>
      </c>
      <c r="J11676">
        <v>156.1</v>
      </c>
      <c r="K11676">
        <v>30.21</v>
      </c>
      <c r="L11676">
        <v>59505</v>
      </c>
      <c r="M11676" t="s">
        <v>72</v>
      </c>
      <c r="N11676" t="str">
        <f>"70356223    "</f>
        <v xml:space="preserve">70356223    </v>
      </c>
      <c r="O11676">
        <v>240103</v>
      </c>
    </row>
    <row r="11677" spans="1:15" x14ac:dyDescent="0.25">
      <c r="A11677" t="s">
        <v>16</v>
      </c>
      <c r="B11677" t="s">
        <v>3221</v>
      </c>
      <c r="C11677">
        <v>18752</v>
      </c>
      <c r="D11677" t="s">
        <v>848</v>
      </c>
      <c r="E11677" t="s">
        <v>849</v>
      </c>
      <c r="F11677">
        <v>68.44</v>
      </c>
      <c r="G11677">
        <v>240104</v>
      </c>
      <c r="H11677">
        <v>4380</v>
      </c>
      <c r="I11677" t="s">
        <v>113</v>
      </c>
      <c r="J11677">
        <v>84.87</v>
      </c>
      <c r="K11677">
        <v>16.43</v>
      </c>
      <c r="L11677">
        <v>14432</v>
      </c>
      <c r="M11677" t="s">
        <v>862</v>
      </c>
      <c r="N11677" t="str">
        <f>"70385898    "</f>
        <v xml:space="preserve">70385898    </v>
      </c>
      <c r="O11677">
        <v>240105</v>
      </c>
    </row>
    <row r="11678" spans="1:15" x14ac:dyDescent="0.25">
      <c r="A11678" t="s">
        <v>16</v>
      </c>
      <c r="B11678" t="s">
        <v>3221</v>
      </c>
      <c r="C11678">
        <v>18752</v>
      </c>
      <c r="D11678" t="s">
        <v>848</v>
      </c>
      <c r="E11678" t="s">
        <v>849</v>
      </c>
      <c r="F11678">
        <v>10.6</v>
      </c>
      <c r="G11678">
        <v>240104</v>
      </c>
      <c r="H11678">
        <v>4380</v>
      </c>
      <c r="I11678" t="s">
        <v>113</v>
      </c>
      <c r="J11678">
        <v>13.14</v>
      </c>
      <c r="K11678">
        <v>2.54</v>
      </c>
      <c r="L11678">
        <v>14951</v>
      </c>
      <c r="M11678" t="s">
        <v>57</v>
      </c>
      <c r="N11678" t="str">
        <f>"70385898    "</f>
        <v xml:space="preserve">70385898    </v>
      </c>
      <c r="O11678">
        <v>240105</v>
      </c>
    </row>
    <row r="11679" spans="1:15" x14ac:dyDescent="0.25">
      <c r="A11679" t="s">
        <v>16</v>
      </c>
      <c r="B11679" t="s">
        <v>3221</v>
      </c>
      <c r="C11679">
        <v>18754</v>
      </c>
      <c r="D11679" t="s">
        <v>848</v>
      </c>
      <c r="E11679" t="s">
        <v>849</v>
      </c>
      <c r="F11679">
        <v>20.6</v>
      </c>
      <c r="G11679">
        <v>240104</v>
      </c>
      <c r="H11679">
        <v>4380</v>
      </c>
      <c r="I11679" t="s">
        <v>113</v>
      </c>
      <c r="J11679">
        <v>25.54</v>
      </c>
      <c r="K11679">
        <v>4.9400000000000004</v>
      </c>
      <c r="L11679">
        <v>17952</v>
      </c>
      <c r="M11679" t="s">
        <v>88</v>
      </c>
      <c r="N11679" t="str">
        <f>"70386337    "</f>
        <v xml:space="preserve">70386337    </v>
      </c>
      <c r="O11679">
        <v>240105</v>
      </c>
    </row>
    <row r="11680" spans="1:15" x14ac:dyDescent="0.25">
      <c r="A11680" t="s">
        <v>16</v>
      </c>
      <c r="B11680" t="s">
        <v>3221</v>
      </c>
      <c r="C11680">
        <v>18795</v>
      </c>
      <c r="D11680" t="s">
        <v>848</v>
      </c>
      <c r="E11680" t="s">
        <v>849</v>
      </c>
      <c r="F11680">
        <v>24.54</v>
      </c>
      <c r="G11680">
        <v>240105</v>
      </c>
      <c r="H11680">
        <v>4380</v>
      </c>
      <c r="I11680" t="s">
        <v>113</v>
      </c>
      <c r="J11680">
        <v>30.43</v>
      </c>
      <c r="K11680">
        <v>5.89</v>
      </c>
      <c r="L11680">
        <v>17951</v>
      </c>
      <c r="M11680" t="s">
        <v>87</v>
      </c>
      <c r="N11680" t="str">
        <f>"70400736    "</f>
        <v xml:space="preserve">70400736    </v>
      </c>
      <c r="O11680">
        <v>240105</v>
      </c>
    </row>
    <row r="11681" spans="1:15" x14ac:dyDescent="0.25">
      <c r="A11681" t="s">
        <v>16</v>
      </c>
      <c r="B11681" t="s">
        <v>3221</v>
      </c>
      <c r="C11681">
        <v>18796</v>
      </c>
      <c r="D11681" t="s">
        <v>848</v>
      </c>
      <c r="E11681" t="s">
        <v>849</v>
      </c>
      <c r="F11681">
        <v>28.63</v>
      </c>
      <c r="G11681">
        <v>240105</v>
      </c>
      <c r="H11681">
        <v>4380</v>
      </c>
      <c r="I11681" t="s">
        <v>113</v>
      </c>
      <c r="J11681">
        <v>35.5</v>
      </c>
      <c r="K11681">
        <v>6.87</v>
      </c>
      <c r="L11681">
        <v>17951</v>
      </c>
      <c r="M11681" t="s">
        <v>87</v>
      </c>
      <c r="N11681" t="str">
        <f>"70400737    "</f>
        <v xml:space="preserve">70400737    </v>
      </c>
      <c r="O11681">
        <v>240105</v>
      </c>
    </row>
    <row r="11682" spans="1:15" x14ac:dyDescent="0.25">
      <c r="A11682" t="s">
        <v>16</v>
      </c>
      <c r="B11682" t="s">
        <v>3221</v>
      </c>
      <c r="C11682">
        <v>18797</v>
      </c>
      <c r="D11682" t="s">
        <v>848</v>
      </c>
      <c r="E11682" t="s">
        <v>849</v>
      </c>
      <c r="F11682">
        <v>190.88</v>
      </c>
      <c r="G11682">
        <v>240105</v>
      </c>
      <c r="H11682">
        <v>4380</v>
      </c>
      <c r="I11682" t="s">
        <v>113</v>
      </c>
      <c r="J11682">
        <v>236.69</v>
      </c>
      <c r="K11682">
        <v>45.81</v>
      </c>
      <c r="L11682">
        <v>14951</v>
      </c>
      <c r="M11682" t="s">
        <v>57</v>
      </c>
      <c r="N11682" t="str">
        <f>"70400741    "</f>
        <v xml:space="preserve">70400741    </v>
      </c>
      <c r="O11682">
        <v>240105</v>
      </c>
    </row>
    <row r="11683" spans="1:15" x14ac:dyDescent="0.25">
      <c r="A11683" t="s">
        <v>16</v>
      </c>
      <c r="B11683" t="s">
        <v>3221</v>
      </c>
      <c r="C11683">
        <v>18798</v>
      </c>
      <c r="D11683" t="s">
        <v>848</v>
      </c>
      <c r="E11683" t="s">
        <v>849</v>
      </c>
      <c r="F11683">
        <v>134</v>
      </c>
      <c r="G11683">
        <v>240105</v>
      </c>
      <c r="H11683">
        <v>4380</v>
      </c>
      <c r="I11683" t="s">
        <v>113</v>
      </c>
      <c r="J11683">
        <v>166.16</v>
      </c>
      <c r="K11683">
        <v>32.159999999999997</v>
      </c>
      <c r="L11683">
        <v>17951</v>
      </c>
      <c r="M11683" t="s">
        <v>87</v>
      </c>
      <c r="N11683" t="str">
        <f>"70400745    "</f>
        <v xml:space="preserve">70400745    </v>
      </c>
      <c r="O11683">
        <v>240105</v>
      </c>
    </row>
    <row r="11684" spans="1:15" x14ac:dyDescent="0.25">
      <c r="A11684" t="s">
        <v>16</v>
      </c>
      <c r="B11684" t="s">
        <v>3221</v>
      </c>
      <c r="C11684">
        <v>18799</v>
      </c>
      <c r="D11684" t="s">
        <v>848</v>
      </c>
      <c r="E11684" t="s">
        <v>849</v>
      </c>
      <c r="F11684">
        <v>16.36</v>
      </c>
      <c r="G11684">
        <v>240105</v>
      </c>
      <c r="H11684">
        <v>4380</v>
      </c>
      <c r="I11684" t="s">
        <v>113</v>
      </c>
      <c r="J11684">
        <v>20.29</v>
      </c>
      <c r="K11684">
        <v>3.93</v>
      </c>
      <c r="L11684">
        <v>17951</v>
      </c>
      <c r="M11684" t="s">
        <v>87</v>
      </c>
      <c r="N11684" t="str">
        <f>"70400734    "</f>
        <v xml:space="preserve">70400734    </v>
      </c>
      <c r="O11684">
        <v>240105</v>
      </c>
    </row>
    <row r="11685" spans="1:15" x14ac:dyDescent="0.25">
      <c r="A11685" t="s">
        <v>16</v>
      </c>
      <c r="B11685" t="s">
        <v>3221</v>
      </c>
      <c r="C11685">
        <v>18800</v>
      </c>
      <c r="D11685" t="s">
        <v>848</v>
      </c>
      <c r="E11685" t="s">
        <v>849</v>
      </c>
      <c r="F11685">
        <v>28.63</v>
      </c>
      <c r="G11685">
        <v>240105</v>
      </c>
      <c r="H11685">
        <v>4380</v>
      </c>
      <c r="I11685" t="s">
        <v>113</v>
      </c>
      <c r="J11685">
        <v>35.5</v>
      </c>
      <c r="K11685">
        <v>6.87</v>
      </c>
      <c r="L11685">
        <v>17951</v>
      </c>
      <c r="M11685" t="s">
        <v>87</v>
      </c>
      <c r="N11685" t="str">
        <f>"70400743    "</f>
        <v xml:space="preserve">70400743    </v>
      </c>
      <c r="O11685">
        <v>240105</v>
      </c>
    </row>
    <row r="11686" spans="1:15" x14ac:dyDescent="0.25">
      <c r="A11686" t="s">
        <v>16</v>
      </c>
      <c r="B11686" t="s">
        <v>3221</v>
      </c>
      <c r="C11686">
        <v>18898</v>
      </c>
      <c r="D11686" t="s">
        <v>848</v>
      </c>
      <c r="E11686" t="s">
        <v>849</v>
      </c>
      <c r="F11686">
        <v>3.72</v>
      </c>
      <c r="G11686">
        <v>240104</v>
      </c>
      <c r="H11686">
        <v>4380</v>
      </c>
      <c r="I11686" t="s">
        <v>113</v>
      </c>
      <c r="J11686">
        <v>4.6100000000000003</v>
      </c>
      <c r="K11686">
        <v>0.89</v>
      </c>
      <c r="L11686">
        <v>13641</v>
      </c>
      <c r="M11686" t="s">
        <v>1471</v>
      </c>
      <c r="N11686" t="str">
        <f>"70385696    "</f>
        <v xml:space="preserve">70385696    </v>
      </c>
      <c r="O11686">
        <v>240108</v>
      </c>
    </row>
    <row r="11687" spans="1:15" x14ac:dyDescent="0.25">
      <c r="A11687" t="s">
        <v>16</v>
      </c>
      <c r="B11687" t="s">
        <v>3221</v>
      </c>
      <c r="C11687">
        <v>18933</v>
      </c>
      <c r="D11687" t="s">
        <v>848</v>
      </c>
      <c r="E11687" t="s">
        <v>849</v>
      </c>
      <c r="F11687">
        <v>32.24</v>
      </c>
      <c r="G11687">
        <v>240104</v>
      </c>
      <c r="H11687">
        <v>4380</v>
      </c>
      <c r="I11687" t="s">
        <v>113</v>
      </c>
      <c r="J11687">
        <v>39.979999999999997</v>
      </c>
      <c r="K11687">
        <v>7.74</v>
      </c>
      <c r="L11687">
        <v>59505</v>
      </c>
      <c r="M11687" t="s">
        <v>72</v>
      </c>
      <c r="N11687" t="str">
        <f>"70385894    "</f>
        <v xml:space="preserve">70385894    </v>
      </c>
      <c r="O11687">
        <v>240108</v>
      </c>
    </row>
    <row r="11688" spans="1:15" x14ac:dyDescent="0.25">
      <c r="A11688" t="s">
        <v>16</v>
      </c>
      <c r="B11688" t="s">
        <v>3221</v>
      </c>
      <c r="C11688">
        <v>18935</v>
      </c>
      <c r="D11688" t="s">
        <v>848</v>
      </c>
      <c r="E11688" t="s">
        <v>849</v>
      </c>
      <c r="F11688">
        <v>39.26</v>
      </c>
      <c r="G11688">
        <v>240104</v>
      </c>
      <c r="H11688">
        <v>4380</v>
      </c>
      <c r="I11688" t="s">
        <v>113</v>
      </c>
      <c r="J11688">
        <v>48.68</v>
      </c>
      <c r="K11688">
        <v>9.42</v>
      </c>
      <c r="L11688">
        <v>59502</v>
      </c>
      <c r="M11688" t="s">
        <v>70</v>
      </c>
      <c r="N11688" t="str">
        <f>"70385895    "</f>
        <v xml:space="preserve">70385895    </v>
      </c>
      <c r="O11688">
        <v>240108</v>
      </c>
    </row>
    <row r="11689" spans="1:15" x14ac:dyDescent="0.25">
      <c r="A11689" t="s">
        <v>16</v>
      </c>
      <c r="B11689" t="s">
        <v>3221</v>
      </c>
      <c r="C11689">
        <v>18935</v>
      </c>
      <c r="D11689" t="s">
        <v>848</v>
      </c>
      <c r="E11689" t="s">
        <v>849</v>
      </c>
      <c r="F11689">
        <v>25.1</v>
      </c>
      <c r="G11689">
        <v>240104</v>
      </c>
      <c r="H11689">
        <v>4380</v>
      </c>
      <c r="I11689" t="s">
        <v>113</v>
      </c>
      <c r="J11689">
        <v>31.13</v>
      </c>
      <c r="K11689">
        <v>6.03</v>
      </c>
      <c r="L11689">
        <v>59802</v>
      </c>
      <c r="M11689" t="s">
        <v>73</v>
      </c>
      <c r="N11689" t="str">
        <f>"70385895    "</f>
        <v xml:space="preserve">70385895    </v>
      </c>
      <c r="O11689">
        <v>240108</v>
      </c>
    </row>
    <row r="11690" spans="1:15" x14ac:dyDescent="0.25">
      <c r="A11690" t="s">
        <v>16</v>
      </c>
      <c r="B11690" t="s">
        <v>3221</v>
      </c>
      <c r="C11690">
        <v>18936</v>
      </c>
      <c r="D11690" t="s">
        <v>848</v>
      </c>
      <c r="E11690" t="s">
        <v>849</v>
      </c>
      <c r="F11690">
        <v>185.15</v>
      </c>
      <c r="G11690">
        <v>240105</v>
      </c>
      <c r="H11690">
        <v>4380</v>
      </c>
      <c r="I11690" t="s">
        <v>113</v>
      </c>
      <c r="J11690">
        <v>229.59</v>
      </c>
      <c r="K11690">
        <v>44.44</v>
      </c>
      <c r="L11690">
        <v>59502</v>
      </c>
      <c r="M11690" t="s">
        <v>70</v>
      </c>
      <c r="N11690" t="str">
        <f>"70400746    "</f>
        <v xml:space="preserve">70400746    </v>
      </c>
      <c r="O11690">
        <v>240108</v>
      </c>
    </row>
    <row r="11691" spans="1:15" x14ac:dyDescent="0.25">
      <c r="A11691" t="s">
        <v>16</v>
      </c>
      <c r="B11691" t="s">
        <v>3221</v>
      </c>
      <c r="C11691">
        <v>18936</v>
      </c>
      <c r="D11691" t="s">
        <v>848</v>
      </c>
      <c r="E11691" t="s">
        <v>849</v>
      </c>
      <c r="F11691">
        <v>343.85</v>
      </c>
      <c r="G11691">
        <v>240105</v>
      </c>
      <c r="H11691">
        <v>4380</v>
      </c>
      <c r="I11691" t="s">
        <v>113</v>
      </c>
      <c r="J11691">
        <v>426.37</v>
      </c>
      <c r="K11691">
        <v>82.52</v>
      </c>
      <c r="L11691">
        <v>59802</v>
      </c>
      <c r="M11691" t="s">
        <v>73</v>
      </c>
      <c r="N11691" t="str">
        <f>"70400746    "</f>
        <v xml:space="preserve">70400746    </v>
      </c>
      <c r="O11691">
        <v>240108</v>
      </c>
    </row>
    <row r="11692" spans="1:15" x14ac:dyDescent="0.25">
      <c r="A11692" t="s">
        <v>16</v>
      </c>
      <c r="B11692" t="s">
        <v>3221</v>
      </c>
      <c r="C11692">
        <v>18937</v>
      </c>
      <c r="D11692" t="s">
        <v>848</v>
      </c>
      <c r="E11692" t="s">
        <v>849</v>
      </c>
      <c r="F11692">
        <v>91.35</v>
      </c>
      <c r="G11692">
        <v>240104</v>
      </c>
      <c r="H11692">
        <v>4380</v>
      </c>
      <c r="I11692" t="s">
        <v>113</v>
      </c>
      <c r="J11692">
        <v>113.27</v>
      </c>
      <c r="K11692">
        <v>21.92</v>
      </c>
      <c r="L11692">
        <v>59505</v>
      </c>
      <c r="M11692" t="s">
        <v>72</v>
      </c>
      <c r="N11692" t="str">
        <f>"70384507    "</f>
        <v xml:space="preserve">70384507    </v>
      </c>
      <c r="O11692">
        <v>240108</v>
      </c>
    </row>
    <row r="11693" spans="1:15" x14ac:dyDescent="0.25">
      <c r="A11693" t="s">
        <v>16</v>
      </c>
      <c r="B11693" t="s">
        <v>3221</v>
      </c>
      <c r="C11693">
        <v>18957</v>
      </c>
      <c r="D11693" t="s">
        <v>848</v>
      </c>
      <c r="E11693" t="s">
        <v>849</v>
      </c>
      <c r="F11693">
        <v>140.56</v>
      </c>
      <c r="G11693">
        <v>240104</v>
      </c>
      <c r="H11693">
        <v>4380</v>
      </c>
      <c r="I11693" t="s">
        <v>113</v>
      </c>
      <c r="J11693">
        <v>174.29</v>
      </c>
      <c r="K11693">
        <v>33.729999999999997</v>
      </c>
      <c r="L11693">
        <v>59501</v>
      </c>
      <c r="M11693" t="s">
        <v>69</v>
      </c>
      <c r="N11693" t="str">
        <f>"70385897    "</f>
        <v xml:space="preserve">70385897    </v>
      </c>
      <c r="O11693">
        <v>240109</v>
      </c>
    </row>
    <row r="11694" spans="1:15" x14ac:dyDescent="0.25">
      <c r="A11694" t="s">
        <v>16</v>
      </c>
      <c r="B11694" t="s">
        <v>3221</v>
      </c>
      <c r="C11694">
        <v>18958</v>
      </c>
      <c r="D11694" t="s">
        <v>848</v>
      </c>
      <c r="E11694" t="s">
        <v>849</v>
      </c>
      <c r="F11694">
        <v>55.68</v>
      </c>
      <c r="G11694">
        <v>240105</v>
      </c>
      <c r="H11694">
        <v>4380</v>
      </c>
      <c r="I11694" t="s">
        <v>113</v>
      </c>
      <c r="J11694">
        <v>69.040000000000006</v>
      </c>
      <c r="K11694">
        <v>13.36</v>
      </c>
      <c r="L11694">
        <v>47522</v>
      </c>
      <c r="M11694" t="s">
        <v>410</v>
      </c>
      <c r="N11694" t="str">
        <f>"70400732    "</f>
        <v xml:space="preserve">70400732    </v>
      </c>
      <c r="O11694">
        <v>240109</v>
      </c>
    </row>
    <row r="11695" spans="1:15" x14ac:dyDescent="0.25">
      <c r="A11695" t="s">
        <v>16</v>
      </c>
      <c r="B11695" t="s">
        <v>3221</v>
      </c>
      <c r="C11695">
        <v>18959</v>
      </c>
      <c r="D11695" t="s">
        <v>848</v>
      </c>
      <c r="E11695" t="s">
        <v>849</v>
      </c>
      <c r="F11695">
        <v>27.64</v>
      </c>
      <c r="G11695">
        <v>240104</v>
      </c>
      <c r="H11695">
        <v>4380</v>
      </c>
      <c r="I11695" t="s">
        <v>113</v>
      </c>
      <c r="J11695">
        <v>34.270000000000003</v>
      </c>
      <c r="K11695">
        <v>6.63</v>
      </c>
      <c r="L11695">
        <v>59504</v>
      </c>
      <c r="M11695" t="s">
        <v>71</v>
      </c>
      <c r="N11695" t="str">
        <f>"70385896    "</f>
        <v xml:space="preserve">70385896    </v>
      </c>
      <c r="O11695">
        <v>240109</v>
      </c>
    </row>
    <row r="11696" spans="1:15" x14ac:dyDescent="0.25">
      <c r="A11696" t="s">
        <v>16</v>
      </c>
      <c r="B11696" t="s">
        <v>3221</v>
      </c>
      <c r="C11696">
        <v>18967</v>
      </c>
      <c r="D11696" t="s">
        <v>848</v>
      </c>
      <c r="E11696" t="s">
        <v>849</v>
      </c>
      <c r="F11696">
        <v>102</v>
      </c>
      <c r="G11696">
        <v>240105</v>
      </c>
      <c r="H11696">
        <v>4380</v>
      </c>
      <c r="I11696" t="s">
        <v>113</v>
      </c>
      <c r="J11696">
        <v>126.48</v>
      </c>
      <c r="K11696">
        <v>24.48</v>
      </c>
      <c r="L11696">
        <v>59501</v>
      </c>
      <c r="M11696" t="s">
        <v>69</v>
      </c>
      <c r="N11696" t="str">
        <f>"70400744    "</f>
        <v xml:space="preserve">70400744    </v>
      </c>
      <c r="O11696">
        <v>240109</v>
      </c>
    </row>
    <row r="11697" spans="1:15" x14ac:dyDescent="0.25">
      <c r="A11697" t="s">
        <v>16</v>
      </c>
      <c r="B11697" t="s">
        <v>3221</v>
      </c>
      <c r="C11697">
        <v>18971</v>
      </c>
      <c r="D11697" t="s">
        <v>848</v>
      </c>
      <c r="E11697" t="s">
        <v>849</v>
      </c>
      <c r="F11697">
        <v>26</v>
      </c>
      <c r="G11697">
        <v>240105</v>
      </c>
      <c r="H11697">
        <v>4380</v>
      </c>
      <c r="I11697" t="s">
        <v>113</v>
      </c>
      <c r="J11697">
        <v>32.24</v>
      </c>
      <c r="K11697">
        <v>6.24</v>
      </c>
      <c r="L11697">
        <v>59504</v>
      </c>
      <c r="M11697" t="s">
        <v>71</v>
      </c>
      <c r="N11697" t="str">
        <f>"70400740    "</f>
        <v xml:space="preserve">70400740    </v>
      </c>
      <c r="O11697">
        <v>240109</v>
      </c>
    </row>
    <row r="11698" spans="1:15" x14ac:dyDescent="0.25">
      <c r="A11698" t="s">
        <v>16</v>
      </c>
      <c r="B11698" t="s">
        <v>3221</v>
      </c>
      <c r="C11698">
        <v>18972</v>
      </c>
      <c r="D11698" t="s">
        <v>848</v>
      </c>
      <c r="E11698" t="s">
        <v>849</v>
      </c>
      <c r="F11698">
        <v>97.6</v>
      </c>
      <c r="G11698">
        <v>240105</v>
      </c>
      <c r="H11698">
        <v>4380</v>
      </c>
      <c r="I11698" t="s">
        <v>113</v>
      </c>
      <c r="J11698">
        <v>121.02</v>
      </c>
      <c r="K11698">
        <v>23.42</v>
      </c>
      <c r="L11698">
        <v>47522</v>
      </c>
      <c r="M11698" t="s">
        <v>410</v>
      </c>
      <c r="N11698" t="str">
        <f>"70400733    "</f>
        <v xml:space="preserve">70400733    </v>
      </c>
      <c r="O11698">
        <v>240109</v>
      </c>
    </row>
    <row r="11699" spans="1:15" x14ac:dyDescent="0.25">
      <c r="A11699" t="s">
        <v>16</v>
      </c>
      <c r="B11699" t="s">
        <v>3221</v>
      </c>
      <c r="C11699">
        <v>19006</v>
      </c>
      <c r="D11699" t="s">
        <v>848</v>
      </c>
      <c r="E11699" t="s">
        <v>849</v>
      </c>
      <c r="F11699">
        <v>73.2</v>
      </c>
      <c r="G11699">
        <v>240104</v>
      </c>
      <c r="H11699">
        <v>4380</v>
      </c>
      <c r="I11699" t="s">
        <v>113</v>
      </c>
      <c r="J11699">
        <v>90.77</v>
      </c>
      <c r="K11699">
        <v>17.57</v>
      </c>
      <c r="L11699">
        <v>49501</v>
      </c>
      <c r="M11699" t="s">
        <v>177</v>
      </c>
      <c r="N11699" t="str">
        <f>"70385901    "</f>
        <v xml:space="preserve">70385901    </v>
      </c>
      <c r="O11699">
        <v>240109</v>
      </c>
    </row>
    <row r="11700" spans="1:15" x14ac:dyDescent="0.25">
      <c r="A11700" t="s">
        <v>16</v>
      </c>
      <c r="B11700" t="s">
        <v>3221</v>
      </c>
      <c r="C11700">
        <v>19006</v>
      </c>
      <c r="D11700" t="s">
        <v>848</v>
      </c>
      <c r="E11700" t="s">
        <v>849</v>
      </c>
      <c r="F11700">
        <v>20.399999999999999</v>
      </c>
      <c r="G11700">
        <v>240104</v>
      </c>
      <c r="H11700">
        <v>4380</v>
      </c>
      <c r="I11700" t="s">
        <v>113</v>
      </c>
      <c r="J11700">
        <v>25.29</v>
      </c>
      <c r="K11700">
        <v>4.8899999999999997</v>
      </c>
      <c r="L11700">
        <v>49503</v>
      </c>
      <c r="M11700" t="s">
        <v>178</v>
      </c>
      <c r="N11700" t="str">
        <f>"70385901    "</f>
        <v xml:space="preserve">70385901    </v>
      </c>
      <c r="O11700">
        <v>240109</v>
      </c>
    </row>
    <row r="11701" spans="1:15" x14ac:dyDescent="0.25">
      <c r="A11701" t="s">
        <v>16</v>
      </c>
      <c r="B11701" t="s">
        <v>3221</v>
      </c>
      <c r="C11701">
        <v>19011</v>
      </c>
      <c r="D11701" t="s">
        <v>848</v>
      </c>
      <c r="E11701" t="s">
        <v>849</v>
      </c>
      <c r="F11701">
        <v>40.18</v>
      </c>
      <c r="G11701">
        <v>240105</v>
      </c>
      <c r="H11701">
        <v>4380</v>
      </c>
      <c r="I11701" t="s">
        <v>113</v>
      </c>
      <c r="J11701">
        <v>49.82</v>
      </c>
      <c r="K11701">
        <v>9.64</v>
      </c>
      <c r="L11701">
        <v>46554</v>
      </c>
      <c r="M11701" t="s">
        <v>117</v>
      </c>
      <c r="N11701" t="str">
        <f>"70401821    "</f>
        <v xml:space="preserve">70401821    </v>
      </c>
      <c r="O11701">
        <v>240109</v>
      </c>
    </row>
    <row r="11702" spans="1:15" x14ac:dyDescent="0.25">
      <c r="A11702" t="s">
        <v>16</v>
      </c>
      <c r="B11702" t="s">
        <v>3221</v>
      </c>
      <c r="C11702">
        <v>19124</v>
      </c>
      <c r="D11702" t="s">
        <v>848</v>
      </c>
      <c r="E11702" t="s">
        <v>849</v>
      </c>
      <c r="F11702">
        <v>28.63</v>
      </c>
      <c r="G11702">
        <v>240105</v>
      </c>
      <c r="H11702">
        <v>4380</v>
      </c>
      <c r="I11702" t="s">
        <v>113</v>
      </c>
      <c r="J11702">
        <v>35.5</v>
      </c>
      <c r="K11702">
        <v>6.87</v>
      </c>
      <c r="L11702">
        <v>17956</v>
      </c>
      <c r="M11702" t="s">
        <v>53</v>
      </c>
      <c r="N11702" t="str">
        <f>"70400739    "</f>
        <v xml:space="preserve">70400739    </v>
      </c>
      <c r="O11702">
        <v>240111</v>
      </c>
    </row>
    <row r="11703" spans="1:15" x14ac:dyDescent="0.25">
      <c r="A11703" t="s">
        <v>16</v>
      </c>
      <c r="B11703" t="s">
        <v>3221</v>
      </c>
      <c r="C11703">
        <v>19125</v>
      </c>
      <c r="D11703" t="s">
        <v>848</v>
      </c>
      <c r="E11703" t="s">
        <v>849</v>
      </c>
      <c r="F11703">
        <v>10</v>
      </c>
      <c r="G11703">
        <v>240105</v>
      </c>
      <c r="H11703">
        <v>4380</v>
      </c>
      <c r="I11703" t="s">
        <v>113</v>
      </c>
      <c r="J11703">
        <v>12.4</v>
      </c>
      <c r="K11703">
        <v>2.4</v>
      </c>
      <c r="L11703">
        <v>17956</v>
      </c>
      <c r="M11703" t="s">
        <v>53</v>
      </c>
      <c r="N11703" t="str">
        <f>"70400742    "</f>
        <v xml:space="preserve">70400742    </v>
      </c>
      <c r="O11703">
        <v>240111</v>
      </c>
    </row>
    <row r="11704" spans="1:15" x14ac:dyDescent="0.25">
      <c r="A11704" t="s">
        <v>16</v>
      </c>
      <c r="B11704" t="s">
        <v>3221</v>
      </c>
      <c r="C11704">
        <v>19126</v>
      </c>
      <c r="D11704" t="s">
        <v>848</v>
      </c>
      <c r="E11704" t="s">
        <v>849</v>
      </c>
      <c r="F11704">
        <v>14</v>
      </c>
      <c r="G11704">
        <v>240105</v>
      </c>
      <c r="H11704">
        <v>4380</v>
      </c>
      <c r="I11704" t="s">
        <v>113</v>
      </c>
      <c r="J11704">
        <v>17.36</v>
      </c>
      <c r="K11704">
        <v>3.36</v>
      </c>
      <c r="L11704">
        <v>17956</v>
      </c>
      <c r="M11704" t="s">
        <v>53</v>
      </c>
      <c r="N11704" t="str">
        <f>"70400738    "</f>
        <v xml:space="preserve">70400738    </v>
      </c>
      <c r="O11704">
        <v>240111</v>
      </c>
    </row>
    <row r="11705" spans="1:15" x14ac:dyDescent="0.25">
      <c r="A11705" t="s">
        <v>16</v>
      </c>
      <c r="B11705" t="s">
        <v>3221</v>
      </c>
      <c r="C11705">
        <v>19181</v>
      </c>
      <c r="D11705" t="s">
        <v>848</v>
      </c>
      <c r="E11705" t="s">
        <v>849</v>
      </c>
      <c r="F11705">
        <v>10.57</v>
      </c>
      <c r="G11705">
        <v>240104</v>
      </c>
      <c r="H11705">
        <v>4380</v>
      </c>
      <c r="I11705" t="s">
        <v>113</v>
      </c>
      <c r="J11705">
        <v>13.11</v>
      </c>
      <c r="K11705">
        <v>2.54</v>
      </c>
      <c r="L11705">
        <v>13540</v>
      </c>
      <c r="M11705" t="s">
        <v>85</v>
      </c>
      <c r="N11705" t="str">
        <f>"70385691    "</f>
        <v xml:space="preserve">70385691    </v>
      </c>
      <c r="O11705">
        <v>240129</v>
      </c>
    </row>
    <row r="11706" spans="1:15" x14ac:dyDescent="0.25">
      <c r="A11706" t="s">
        <v>16</v>
      </c>
      <c r="B11706" t="s">
        <v>3221</v>
      </c>
      <c r="C11706">
        <v>19181</v>
      </c>
      <c r="D11706" t="s">
        <v>848</v>
      </c>
      <c r="E11706" t="s">
        <v>849</v>
      </c>
      <c r="F11706">
        <v>85.51</v>
      </c>
      <c r="G11706">
        <v>240104</v>
      </c>
      <c r="H11706">
        <v>4380</v>
      </c>
      <c r="I11706" t="s">
        <v>113</v>
      </c>
      <c r="J11706">
        <v>106.03</v>
      </c>
      <c r="K11706">
        <v>20.52</v>
      </c>
      <c r="L11706">
        <v>17950</v>
      </c>
      <c r="M11706" t="s">
        <v>86</v>
      </c>
      <c r="N11706" t="str">
        <f>"70385691    "</f>
        <v xml:space="preserve">70385691    </v>
      </c>
      <c r="O11706">
        <v>240129</v>
      </c>
    </row>
    <row r="11707" spans="1:15" x14ac:dyDescent="0.25">
      <c r="A11707" t="s">
        <v>16</v>
      </c>
      <c r="B11707" t="s">
        <v>3221</v>
      </c>
      <c r="C11707">
        <v>19181</v>
      </c>
      <c r="D11707" t="s">
        <v>848</v>
      </c>
      <c r="E11707" t="s">
        <v>849</v>
      </c>
      <c r="F11707">
        <v>35.520000000000003</v>
      </c>
      <c r="G11707">
        <v>240104</v>
      </c>
      <c r="H11707">
        <v>4380</v>
      </c>
      <c r="I11707" t="s">
        <v>113</v>
      </c>
      <c r="J11707">
        <v>44.04</v>
      </c>
      <c r="K11707">
        <v>8.52</v>
      </c>
      <c r="L11707">
        <v>17956</v>
      </c>
      <c r="M11707" t="s">
        <v>53</v>
      </c>
      <c r="N11707" t="str">
        <f>"70385691    "</f>
        <v xml:space="preserve">70385691    </v>
      </c>
      <c r="O11707">
        <v>240129</v>
      </c>
    </row>
    <row r="11708" spans="1:15" x14ac:dyDescent="0.25">
      <c r="A11708" t="s">
        <v>16</v>
      </c>
      <c r="B11708" t="s">
        <v>3221</v>
      </c>
      <c r="C11708">
        <v>19185</v>
      </c>
      <c r="D11708" t="s">
        <v>848</v>
      </c>
      <c r="E11708" t="s">
        <v>849</v>
      </c>
      <c r="F11708">
        <v>26.99</v>
      </c>
      <c r="G11708">
        <v>240105</v>
      </c>
      <c r="H11708">
        <v>4380</v>
      </c>
      <c r="I11708" t="s">
        <v>113</v>
      </c>
      <c r="J11708">
        <v>33.47</v>
      </c>
      <c r="K11708">
        <v>6.48</v>
      </c>
      <c r="L11708">
        <v>13540</v>
      </c>
      <c r="M11708" t="s">
        <v>85</v>
      </c>
      <c r="N11708" t="str">
        <f>"70400747    "</f>
        <v xml:space="preserve">70400747    </v>
      </c>
      <c r="O11708">
        <v>240129</v>
      </c>
    </row>
    <row r="11709" spans="1:15" x14ac:dyDescent="0.25">
      <c r="A11709" t="s">
        <v>16</v>
      </c>
      <c r="B11709" t="s">
        <v>3221</v>
      </c>
      <c r="C11709">
        <v>19185</v>
      </c>
      <c r="D11709" t="s">
        <v>848</v>
      </c>
      <c r="E11709" t="s">
        <v>849</v>
      </c>
      <c r="F11709">
        <v>218.41</v>
      </c>
      <c r="G11709">
        <v>240105</v>
      </c>
      <c r="H11709">
        <v>4380</v>
      </c>
      <c r="I11709" t="s">
        <v>113</v>
      </c>
      <c r="J11709">
        <v>270.83</v>
      </c>
      <c r="K11709">
        <v>52.42</v>
      </c>
      <c r="L11709">
        <v>17950</v>
      </c>
      <c r="M11709" t="s">
        <v>86</v>
      </c>
      <c r="N11709" t="str">
        <f>"70400747    "</f>
        <v xml:space="preserve">70400747    </v>
      </c>
      <c r="O11709">
        <v>240129</v>
      </c>
    </row>
    <row r="11710" spans="1:15" x14ac:dyDescent="0.25">
      <c r="A11710" t="s">
        <v>16</v>
      </c>
      <c r="B11710" t="s">
        <v>3221</v>
      </c>
      <c r="C11710">
        <v>19195</v>
      </c>
      <c r="D11710" t="s">
        <v>848</v>
      </c>
      <c r="E11710" t="s">
        <v>849</v>
      </c>
      <c r="F11710">
        <v>26.1</v>
      </c>
      <c r="G11710">
        <v>240104</v>
      </c>
      <c r="H11710">
        <v>4380</v>
      </c>
      <c r="I11710" t="s">
        <v>113</v>
      </c>
      <c r="J11710">
        <v>32.36</v>
      </c>
      <c r="K11710">
        <v>6.26</v>
      </c>
      <c r="L11710">
        <v>17521</v>
      </c>
      <c r="M11710" t="s">
        <v>133</v>
      </c>
      <c r="N11710" t="str">
        <f>"70378290    "</f>
        <v xml:space="preserve">70378290    </v>
      </c>
      <c r="O11710">
        <v>240112</v>
      </c>
    </row>
    <row r="11711" spans="1:15" x14ac:dyDescent="0.25">
      <c r="A11711" t="s">
        <v>16</v>
      </c>
      <c r="B11711" t="s">
        <v>3221</v>
      </c>
      <c r="C11711">
        <v>19261</v>
      </c>
      <c r="D11711" t="s">
        <v>848</v>
      </c>
      <c r="E11711" t="s">
        <v>849</v>
      </c>
      <c r="F11711">
        <v>42.54</v>
      </c>
      <c r="G11711">
        <v>240105</v>
      </c>
      <c r="H11711">
        <v>4380</v>
      </c>
      <c r="I11711" t="s">
        <v>113</v>
      </c>
      <c r="J11711">
        <v>52.75</v>
      </c>
      <c r="K11711">
        <v>10.210000000000001</v>
      </c>
      <c r="L11711">
        <v>49501</v>
      </c>
      <c r="M11711" t="s">
        <v>177</v>
      </c>
      <c r="N11711" t="str">
        <f>"70400735    "</f>
        <v xml:space="preserve">70400735    </v>
      </c>
      <c r="O11711">
        <v>240115</v>
      </c>
    </row>
    <row r="11712" spans="1:15" x14ac:dyDescent="0.25">
      <c r="A11712" t="s">
        <v>16</v>
      </c>
      <c r="B11712" t="s">
        <v>3221</v>
      </c>
      <c r="C11712">
        <v>1184</v>
      </c>
      <c r="D11712" t="s">
        <v>848</v>
      </c>
      <c r="E11712" t="s">
        <v>849</v>
      </c>
      <c r="F11712">
        <v>322</v>
      </c>
      <c r="G11712">
        <v>230202</v>
      </c>
      <c r="H11712">
        <v>4390</v>
      </c>
      <c r="I11712" t="s">
        <v>98</v>
      </c>
      <c r="J11712">
        <v>399.28</v>
      </c>
      <c r="K11712">
        <v>77.28</v>
      </c>
      <c r="L11712">
        <v>17951</v>
      </c>
      <c r="M11712" t="s">
        <v>87</v>
      </c>
      <c r="N11712" t="str">
        <f>"09758101    "</f>
        <v xml:space="preserve">09758101    </v>
      </c>
      <c r="O11712">
        <v>230206</v>
      </c>
    </row>
    <row r="11713" spans="1:15" x14ac:dyDescent="0.25">
      <c r="A11713" t="s">
        <v>16</v>
      </c>
      <c r="B11713" t="s">
        <v>3221</v>
      </c>
      <c r="C11713">
        <v>4140</v>
      </c>
      <c r="D11713" t="s">
        <v>848</v>
      </c>
      <c r="E11713" t="s">
        <v>849</v>
      </c>
      <c r="F11713">
        <v>32.72</v>
      </c>
      <c r="G11713">
        <v>230330</v>
      </c>
      <c r="H11713">
        <v>4390</v>
      </c>
      <c r="I11713" t="s">
        <v>98</v>
      </c>
      <c r="J11713">
        <v>40.57</v>
      </c>
      <c r="K11713">
        <v>7.85</v>
      </c>
      <c r="L11713">
        <v>17951</v>
      </c>
      <c r="M11713" t="s">
        <v>87</v>
      </c>
      <c r="N11713" t="str">
        <f>"09875259    "</f>
        <v xml:space="preserve">09875259    </v>
      </c>
      <c r="O11713">
        <v>230330</v>
      </c>
    </row>
    <row r="11714" spans="1:15" x14ac:dyDescent="0.25">
      <c r="A11714" t="s">
        <v>16</v>
      </c>
      <c r="B11714" t="s">
        <v>3221</v>
      </c>
      <c r="C11714">
        <v>18765</v>
      </c>
      <c r="D11714" t="s">
        <v>848</v>
      </c>
      <c r="E11714" t="s">
        <v>849</v>
      </c>
      <c r="F11714">
        <v>322</v>
      </c>
      <c r="G11714">
        <v>240104</v>
      </c>
      <c r="H11714">
        <v>4390</v>
      </c>
      <c r="I11714" t="s">
        <v>98</v>
      </c>
      <c r="J11714">
        <v>399.28</v>
      </c>
      <c r="K11714">
        <v>77.28</v>
      </c>
      <c r="L11714">
        <v>17952</v>
      </c>
      <c r="M11714" t="s">
        <v>88</v>
      </c>
      <c r="N11714" t="str">
        <f>"70385688    "</f>
        <v xml:space="preserve">70385688    </v>
      </c>
      <c r="O11714">
        <v>240105</v>
      </c>
    </row>
    <row r="11715" spans="1:15" x14ac:dyDescent="0.25">
      <c r="A11715" t="s">
        <v>16</v>
      </c>
      <c r="B11715" t="s">
        <v>3221</v>
      </c>
      <c r="C11715">
        <v>1698</v>
      </c>
      <c r="D11715" t="s">
        <v>848</v>
      </c>
      <c r="E11715" t="s">
        <v>849</v>
      </c>
      <c r="F11715">
        <v>169.8</v>
      </c>
      <c r="G11715">
        <v>230208</v>
      </c>
      <c r="H11715">
        <v>4550</v>
      </c>
      <c r="I11715" t="s">
        <v>312</v>
      </c>
      <c r="J11715">
        <v>210.55</v>
      </c>
      <c r="K11715">
        <v>40.75</v>
      </c>
      <c r="L11715">
        <v>46557</v>
      </c>
      <c r="M11715" t="s">
        <v>221</v>
      </c>
      <c r="N11715" t="str">
        <f>"09777642    "</f>
        <v xml:space="preserve">09777642    </v>
      </c>
      <c r="O11715">
        <v>230213</v>
      </c>
    </row>
    <row r="11716" spans="1:15" x14ac:dyDescent="0.25">
      <c r="A11716" t="s">
        <v>16</v>
      </c>
      <c r="B11716" t="s">
        <v>3221</v>
      </c>
      <c r="C11716">
        <v>2980</v>
      </c>
      <c r="D11716" t="s">
        <v>848</v>
      </c>
      <c r="E11716" t="s">
        <v>849</v>
      </c>
      <c r="F11716">
        <v>323.12</v>
      </c>
      <c r="G11716">
        <v>230302</v>
      </c>
      <c r="H11716">
        <v>4550</v>
      </c>
      <c r="I11716" t="s">
        <v>312</v>
      </c>
      <c r="J11716">
        <v>400.67</v>
      </c>
      <c r="K11716">
        <v>77.55</v>
      </c>
      <c r="L11716">
        <v>14951</v>
      </c>
      <c r="M11716" t="s">
        <v>57</v>
      </c>
      <c r="N11716" t="str">
        <f>"09818235    "</f>
        <v xml:space="preserve">09818235    </v>
      </c>
      <c r="O11716">
        <v>230308</v>
      </c>
    </row>
    <row r="11717" spans="1:15" x14ac:dyDescent="0.25">
      <c r="A11717" t="s">
        <v>16</v>
      </c>
      <c r="B11717" t="s">
        <v>3221</v>
      </c>
      <c r="C11717">
        <v>3111</v>
      </c>
      <c r="D11717" t="s">
        <v>848</v>
      </c>
      <c r="E11717" t="s">
        <v>849</v>
      </c>
      <c r="F11717">
        <v>135.84</v>
      </c>
      <c r="G11717">
        <v>230308</v>
      </c>
      <c r="H11717">
        <v>4550</v>
      </c>
      <c r="I11717" t="s">
        <v>312</v>
      </c>
      <c r="J11717">
        <v>168.44</v>
      </c>
      <c r="K11717">
        <v>32.6</v>
      </c>
      <c r="L11717">
        <v>46557</v>
      </c>
      <c r="M11717" t="s">
        <v>221</v>
      </c>
      <c r="N11717" t="str">
        <f>"09836870    "</f>
        <v xml:space="preserve">09836870    </v>
      </c>
      <c r="O11717">
        <v>230309</v>
      </c>
    </row>
    <row r="11718" spans="1:15" x14ac:dyDescent="0.25">
      <c r="A11718" t="s">
        <v>16</v>
      </c>
      <c r="B11718" t="s">
        <v>3221</v>
      </c>
      <c r="C11718">
        <v>3128</v>
      </c>
      <c r="D11718" t="s">
        <v>848</v>
      </c>
      <c r="E11718" t="s">
        <v>849</v>
      </c>
      <c r="F11718">
        <v>42.54</v>
      </c>
      <c r="G11718">
        <v>230309</v>
      </c>
      <c r="H11718">
        <v>4550</v>
      </c>
      <c r="I11718" t="s">
        <v>312</v>
      </c>
      <c r="J11718">
        <v>52.75</v>
      </c>
      <c r="K11718">
        <v>10.210000000000001</v>
      </c>
      <c r="L11718">
        <v>14952</v>
      </c>
      <c r="M11718" t="s">
        <v>99</v>
      </c>
      <c r="N11718" t="str">
        <f>"09857027    "</f>
        <v xml:space="preserve">09857027    </v>
      </c>
      <c r="O11718">
        <v>230309</v>
      </c>
    </row>
    <row r="11719" spans="1:15" x14ac:dyDescent="0.25">
      <c r="A11719" t="s">
        <v>16</v>
      </c>
      <c r="B11719" t="s">
        <v>3221</v>
      </c>
      <c r="C11719">
        <v>4756</v>
      </c>
      <c r="D11719" t="s">
        <v>848</v>
      </c>
      <c r="E11719" t="s">
        <v>849</v>
      </c>
      <c r="F11719">
        <v>135.84</v>
      </c>
      <c r="G11719">
        <v>230405</v>
      </c>
      <c r="H11719">
        <v>4550</v>
      </c>
      <c r="I11719" t="s">
        <v>312</v>
      </c>
      <c r="J11719">
        <v>168.44</v>
      </c>
      <c r="K11719">
        <v>32.6</v>
      </c>
      <c r="L11719">
        <v>46557</v>
      </c>
      <c r="M11719" t="s">
        <v>221</v>
      </c>
      <c r="N11719" t="str">
        <f>"09894077    "</f>
        <v xml:space="preserve">09894077    </v>
      </c>
      <c r="O11719">
        <v>230412</v>
      </c>
    </row>
    <row r="11720" spans="1:15" x14ac:dyDescent="0.25">
      <c r="A11720" t="s">
        <v>16</v>
      </c>
      <c r="B11720" t="s">
        <v>3221</v>
      </c>
      <c r="C11720">
        <v>4951</v>
      </c>
      <c r="D11720" t="s">
        <v>848</v>
      </c>
      <c r="E11720" t="s">
        <v>849</v>
      </c>
      <c r="F11720">
        <v>15.54</v>
      </c>
      <c r="G11720">
        <v>230406</v>
      </c>
      <c r="H11720">
        <v>4550</v>
      </c>
      <c r="I11720" t="s">
        <v>312</v>
      </c>
      <c r="J11720">
        <v>19.27</v>
      </c>
      <c r="K11720">
        <v>3.73</v>
      </c>
      <c r="L11720">
        <v>11401</v>
      </c>
      <c r="M11720" t="s">
        <v>84</v>
      </c>
      <c r="N11720" t="str">
        <f>"09914057    "</f>
        <v xml:space="preserve">09914057    </v>
      </c>
      <c r="O11720">
        <v>230414</v>
      </c>
    </row>
    <row r="11721" spans="1:15" x14ac:dyDescent="0.25">
      <c r="A11721" t="s">
        <v>16</v>
      </c>
      <c r="B11721" t="s">
        <v>3221</v>
      </c>
      <c r="C11721">
        <v>4951</v>
      </c>
      <c r="D11721" t="s">
        <v>848</v>
      </c>
      <c r="E11721" t="s">
        <v>849</v>
      </c>
      <c r="F11721">
        <v>31.09</v>
      </c>
      <c r="G11721">
        <v>230406</v>
      </c>
      <c r="H11721">
        <v>4550</v>
      </c>
      <c r="I11721" t="s">
        <v>312</v>
      </c>
      <c r="J11721">
        <v>38.549999999999997</v>
      </c>
      <c r="K11721">
        <v>7.46</v>
      </c>
      <c r="L11721">
        <v>14952</v>
      </c>
      <c r="M11721" t="s">
        <v>99</v>
      </c>
      <c r="N11721" t="str">
        <f>"09914057    "</f>
        <v xml:space="preserve">09914057    </v>
      </c>
      <c r="O11721">
        <v>230414</v>
      </c>
    </row>
    <row r="11722" spans="1:15" x14ac:dyDescent="0.25">
      <c r="A11722" t="s">
        <v>16</v>
      </c>
      <c r="B11722" t="s">
        <v>3221</v>
      </c>
      <c r="C11722">
        <v>6455</v>
      </c>
      <c r="D11722" t="s">
        <v>848</v>
      </c>
      <c r="E11722" t="s">
        <v>849</v>
      </c>
      <c r="F11722">
        <v>135.84</v>
      </c>
      <c r="G11722">
        <v>230504</v>
      </c>
      <c r="H11722">
        <v>4550</v>
      </c>
      <c r="I11722" t="s">
        <v>312</v>
      </c>
      <c r="J11722">
        <v>168.44</v>
      </c>
      <c r="K11722">
        <v>32.6</v>
      </c>
      <c r="L11722">
        <v>46557</v>
      </c>
      <c r="M11722" t="s">
        <v>221</v>
      </c>
      <c r="N11722" t="str">
        <f>"09956505    "</f>
        <v xml:space="preserve">09956505    </v>
      </c>
      <c r="O11722">
        <v>230512</v>
      </c>
    </row>
    <row r="11723" spans="1:15" x14ac:dyDescent="0.25">
      <c r="A11723" t="s">
        <v>16</v>
      </c>
      <c r="B11723" t="s">
        <v>3221</v>
      </c>
      <c r="C11723">
        <v>6745</v>
      </c>
      <c r="D11723" t="s">
        <v>848</v>
      </c>
      <c r="E11723" t="s">
        <v>849</v>
      </c>
      <c r="F11723">
        <v>16.899999999999999</v>
      </c>
      <c r="G11723">
        <v>230504</v>
      </c>
      <c r="H11723">
        <v>4550</v>
      </c>
      <c r="I11723" t="s">
        <v>312</v>
      </c>
      <c r="J11723">
        <v>20.96</v>
      </c>
      <c r="K11723">
        <v>4.0599999999999996</v>
      </c>
      <c r="L11723">
        <v>11401</v>
      </c>
      <c r="M11723" t="s">
        <v>84</v>
      </c>
      <c r="N11723" t="str">
        <f>"09978978    "</f>
        <v xml:space="preserve">09978978    </v>
      </c>
      <c r="O11723">
        <v>230522</v>
      </c>
    </row>
    <row r="11724" spans="1:15" x14ac:dyDescent="0.25">
      <c r="A11724" t="s">
        <v>16</v>
      </c>
      <c r="B11724" t="s">
        <v>3221</v>
      </c>
      <c r="C11724">
        <v>6745</v>
      </c>
      <c r="D11724" t="s">
        <v>848</v>
      </c>
      <c r="E11724" t="s">
        <v>849</v>
      </c>
      <c r="F11724">
        <v>33.81</v>
      </c>
      <c r="G11724">
        <v>230504</v>
      </c>
      <c r="H11724">
        <v>4550</v>
      </c>
      <c r="I11724" t="s">
        <v>312</v>
      </c>
      <c r="J11724">
        <v>41.93</v>
      </c>
      <c r="K11724">
        <v>8.1199999999999992</v>
      </c>
      <c r="L11724">
        <v>14952</v>
      </c>
      <c r="M11724" t="s">
        <v>99</v>
      </c>
      <c r="N11724" t="str">
        <f>"09978978    "</f>
        <v xml:space="preserve">09978978    </v>
      </c>
      <c r="O11724">
        <v>230522</v>
      </c>
    </row>
    <row r="11725" spans="1:15" x14ac:dyDescent="0.25">
      <c r="A11725" t="s">
        <v>16</v>
      </c>
      <c r="B11725" t="s">
        <v>3221</v>
      </c>
      <c r="C11725">
        <v>7285</v>
      </c>
      <c r="D11725" t="s">
        <v>848</v>
      </c>
      <c r="E11725" t="s">
        <v>849</v>
      </c>
      <c r="F11725">
        <v>16.36</v>
      </c>
      <c r="G11725">
        <v>230525</v>
      </c>
      <c r="H11725">
        <v>4550</v>
      </c>
      <c r="I11725" t="s">
        <v>312</v>
      </c>
      <c r="J11725">
        <v>20.29</v>
      </c>
      <c r="K11725">
        <v>3.93</v>
      </c>
      <c r="L11725">
        <v>17951</v>
      </c>
      <c r="M11725" t="s">
        <v>87</v>
      </c>
      <c r="N11725" t="str">
        <f>"09997830    "</f>
        <v xml:space="preserve">09997830    </v>
      </c>
      <c r="O11725">
        <v>230526</v>
      </c>
    </row>
    <row r="11726" spans="1:15" x14ac:dyDescent="0.25">
      <c r="A11726" t="s">
        <v>16</v>
      </c>
      <c r="B11726" t="s">
        <v>3221</v>
      </c>
      <c r="C11726">
        <v>7816</v>
      </c>
      <c r="D11726" t="s">
        <v>848</v>
      </c>
      <c r="E11726" t="s">
        <v>849</v>
      </c>
      <c r="F11726">
        <v>6</v>
      </c>
      <c r="G11726">
        <v>230601</v>
      </c>
      <c r="H11726">
        <v>4550</v>
      </c>
      <c r="I11726" t="s">
        <v>312</v>
      </c>
      <c r="J11726">
        <v>7.44</v>
      </c>
      <c r="K11726">
        <v>1.44</v>
      </c>
      <c r="L11726">
        <v>11401</v>
      </c>
      <c r="M11726" t="s">
        <v>84</v>
      </c>
      <c r="N11726" t="str">
        <f>"10035888    "</f>
        <v xml:space="preserve">10035888    </v>
      </c>
      <c r="O11726">
        <v>230602</v>
      </c>
    </row>
    <row r="11727" spans="1:15" x14ac:dyDescent="0.25">
      <c r="A11727" t="s">
        <v>16</v>
      </c>
      <c r="B11727" t="s">
        <v>3221</v>
      </c>
      <c r="C11727">
        <v>7816</v>
      </c>
      <c r="D11727" t="s">
        <v>848</v>
      </c>
      <c r="E11727" t="s">
        <v>849</v>
      </c>
      <c r="F11727">
        <v>12</v>
      </c>
      <c r="G11727">
        <v>230601</v>
      </c>
      <c r="H11727">
        <v>4550</v>
      </c>
      <c r="I11727" t="s">
        <v>312</v>
      </c>
      <c r="J11727">
        <v>14.88</v>
      </c>
      <c r="K11727">
        <v>2.88</v>
      </c>
      <c r="L11727">
        <v>14952</v>
      </c>
      <c r="M11727" t="s">
        <v>99</v>
      </c>
      <c r="N11727" t="str">
        <f>"10035888    "</f>
        <v xml:space="preserve">10035888    </v>
      </c>
      <c r="O11727">
        <v>230602</v>
      </c>
    </row>
    <row r="11728" spans="1:15" x14ac:dyDescent="0.25">
      <c r="A11728" t="s">
        <v>16</v>
      </c>
      <c r="B11728" t="s">
        <v>3221</v>
      </c>
      <c r="C11728">
        <v>7859</v>
      </c>
      <c r="D11728" t="s">
        <v>848</v>
      </c>
      <c r="E11728" t="s">
        <v>849</v>
      </c>
      <c r="F11728">
        <v>135.84</v>
      </c>
      <c r="G11728">
        <v>230531</v>
      </c>
      <c r="H11728">
        <v>4550</v>
      </c>
      <c r="I11728" t="s">
        <v>312</v>
      </c>
      <c r="J11728">
        <v>168.44</v>
      </c>
      <c r="K11728">
        <v>32.6</v>
      </c>
      <c r="L11728">
        <v>46557</v>
      </c>
      <c r="M11728" t="s">
        <v>221</v>
      </c>
      <c r="N11728" t="str">
        <f>"10015559    "</f>
        <v xml:space="preserve">10015559    </v>
      </c>
      <c r="O11728">
        <v>230605</v>
      </c>
    </row>
    <row r="11729" spans="1:15" x14ac:dyDescent="0.25">
      <c r="A11729" t="s">
        <v>16</v>
      </c>
      <c r="B11729" t="s">
        <v>3221</v>
      </c>
      <c r="C11729">
        <v>9249</v>
      </c>
      <c r="D11729" t="s">
        <v>848</v>
      </c>
      <c r="E11729" t="s">
        <v>849</v>
      </c>
      <c r="F11729">
        <v>135.84</v>
      </c>
      <c r="G11729">
        <v>230628</v>
      </c>
      <c r="H11729">
        <v>4550</v>
      </c>
      <c r="I11729" t="s">
        <v>312</v>
      </c>
      <c r="J11729">
        <v>168.44</v>
      </c>
      <c r="K11729">
        <v>32.6</v>
      </c>
      <c r="L11729">
        <v>46557</v>
      </c>
      <c r="M11729" t="s">
        <v>221</v>
      </c>
      <c r="N11729" t="str">
        <f>"10074711    "</f>
        <v xml:space="preserve">10074711    </v>
      </c>
      <c r="O11729">
        <v>230703</v>
      </c>
    </row>
    <row r="11730" spans="1:15" x14ac:dyDescent="0.25">
      <c r="A11730" t="s">
        <v>16</v>
      </c>
      <c r="B11730" t="s">
        <v>3221</v>
      </c>
      <c r="C11730">
        <v>9617</v>
      </c>
      <c r="D11730" t="s">
        <v>848</v>
      </c>
      <c r="E11730" t="s">
        <v>849</v>
      </c>
      <c r="F11730">
        <v>16.899999999999999</v>
      </c>
      <c r="G11730">
        <v>230629</v>
      </c>
      <c r="H11730">
        <v>4550</v>
      </c>
      <c r="I11730" t="s">
        <v>312</v>
      </c>
      <c r="J11730">
        <v>20.96</v>
      </c>
      <c r="K11730">
        <v>4.0599999999999996</v>
      </c>
      <c r="L11730">
        <v>11401</v>
      </c>
      <c r="M11730" t="s">
        <v>84</v>
      </c>
      <c r="N11730" t="str">
        <f>"10095013    "</f>
        <v xml:space="preserve">10095013    </v>
      </c>
      <c r="O11730">
        <v>230717</v>
      </c>
    </row>
    <row r="11731" spans="1:15" x14ac:dyDescent="0.25">
      <c r="A11731" t="s">
        <v>16</v>
      </c>
      <c r="B11731" t="s">
        <v>3221</v>
      </c>
      <c r="C11731">
        <v>9617</v>
      </c>
      <c r="D11731" t="s">
        <v>848</v>
      </c>
      <c r="E11731" t="s">
        <v>849</v>
      </c>
      <c r="F11731">
        <v>33.81</v>
      </c>
      <c r="G11731">
        <v>230629</v>
      </c>
      <c r="H11731">
        <v>4550</v>
      </c>
      <c r="I11731" t="s">
        <v>312</v>
      </c>
      <c r="J11731">
        <v>41.93</v>
      </c>
      <c r="K11731">
        <v>8.1199999999999992</v>
      </c>
      <c r="L11731">
        <v>14952</v>
      </c>
      <c r="M11731" t="s">
        <v>99</v>
      </c>
      <c r="N11731" t="str">
        <f>"10095013    "</f>
        <v xml:space="preserve">10095013    </v>
      </c>
      <c r="O11731">
        <v>230717</v>
      </c>
    </row>
    <row r="11732" spans="1:15" x14ac:dyDescent="0.25">
      <c r="A11732" t="s">
        <v>16</v>
      </c>
      <c r="B11732" t="s">
        <v>3221</v>
      </c>
      <c r="C11732">
        <v>9876</v>
      </c>
      <c r="D11732" t="s">
        <v>848</v>
      </c>
      <c r="E11732" t="s">
        <v>849</v>
      </c>
      <c r="F11732">
        <v>136</v>
      </c>
      <c r="G11732">
        <v>230720</v>
      </c>
      <c r="H11732">
        <v>4550</v>
      </c>
      <c r="I11732" t="s">
        <v>312</v>
      </c>
      <c r="J11732">
        <v>168.64</v>
      </c>
      <c r="K11732">
        <v>32.64</v>
      </c>
      <c r="L11732">
        <v>17951</v>
      </c>
      <c r="M11732" t="s">
        <v>87</v>
      </c>
      <c r="N11732" t="str">
        <f>"70012090    "</f>
        <v xml:space="preserve">70012090    </v>
      </c>
      <c r="O11732">
        <v>230731</v>
      </c>
    </row>
    <row r="11733" spans="1:15" x14ac:dyDescent="0.25">
      <c r="A11733" t="s">
        <v>16</v>
      </c>
      <c r="B11733" t="s">
        <v>3221</v>
      </c>
      <c r="C11733">
        <v>9909</v>
      </c>
      <c r="D11733" t="s">
        <v>848</v>
      </c>
      <c r="E11733" t="s">
        <v>849</v>
      </c>
      <c r="F11733">
        <v>135.84</v>
      </c>
      <c r="G11733">
        <v>230726</v>
      </c>
      <c r="H11733">
        <v>4550</v>
      </c>
      <c r="I11733" t="s">
        <v>312</v>
      </c>
      <c r="J11733">
        <v>168.44</v>
      </c>
      <c r="K11733">
        <v>32.6</v>
      </c>
      <c r="L11733">
        <v>46557</v>
      </c>
      <c r="M11733" t="s">
        <v>221</v>
      </c>
      <c r="N11733" t="str">
        <f>"70031861    "</f>
        <v xml:space="preserve">70031861    </v>
      </c>
      <c r="O11733">
        <v>230802</v>
      </c>
    </row>
    <row r="11734" spans="1:15" x14ac:dyDescent="0.25">
      <c r="A11734" t="s">
        <v>16</v>
      </c>
      <c r="B11734" t="s">
        <v>3221</v>
      </c>
      <c r="C11734">
        <v>9972</v>
      </c>
      <c r="D11734" t="s">
        <v>848</v>
      </c>
      <c r="E11734" t="s">
        <v>849</v>
      </c>
      <c r="F11734">
        <v>16.899999999999999</v>
      </c>
      <c r="G11734">
        <v>230727</v>
      </c>
      <c r="H11734">
        <v>4550</v>
      </c>
      <c r="I11734" t="s">
        <v>312</v>
      </c>
      <c r="J11734">
        <v>20.96</v>
      </c>
      <c r="K11734">
        <v>4.0599999999999996</v>
      </c>
      <c r="L11734">
        <v>11401</v>
      </c>
      <c r="M11734" t="s">
        <v>84</v>
      </c>
      <c r="N11734" t="str">
        <f>"70051419    "</f>
        <v xml:space="preserve">70051419    </v>
      </c>
      <c r="O11734">
        <v>230803</v>
      </c>
    </row>
    <row r="11735" spans="1:15" x14ac:dyDescent="0.25">
      <c r="A11735" t="s">
        <v>16</v>
      </c>
      <c r="B11735" t="s">
        <v>3221</v>
      </c>
      <c r="C11735">
        <v>9972</v>
      </c>
      <c r="D11735" t="s">
        <v>848</v>
      </c>
      <c r="E11735" t="s">
        <v>849</v>
      </c>
      <c r="F11735">
        <v>33.81</v>
      </c>
      <c r="G11735">
        <v>230727</v>
      </c>
      <c r="H11735">
        <v>4550</v>
      </c>
      <c r="I11735" t="s">
        <v>312</v>
      </c>
      <c r="J11735">
        <v>41.93</v>
      </c>
      <c r="K11735">
        <v>8.1199999999999992</v>
      </c>
      <c r="L11735">
        <v>14952</v>
      </c>
      <c r="M11735" t="s">
        <v>99</v>
      </c>
      <c r="N11735" t="str">
        <f>"70051419    "</f>
        <v xml:space="preserve">70051419    </v>
      </c>
      <c r="O11735">
        <v>230803</v>
      </c>
    </row>
    <row r="11736" spans="1:15" x14ac:dyDescent="0.25">
      <c r="A11736" t="s">
        <v>16</v>
      </c>
      <c r="B11736" t="s">
        <v>3221</v>
      </c>
      <c r="C11736">
        <v>10894</v>
      </c>
      <c r="D11736" t="s">
        <v>848</v>
      </c>
      <c r="E11736" t="s">
        <v>849</v>
      </c>
      <c r="F11736">
        <v>16.899999999999999</v>
      </c>
      <c r="G11736">
        <v>230824</v>
      </c>
      <c r="H11736">
        <v>4550</v>
      </c>
      <c r="I11736" t="s">
        <v>312</v>
      </c>
      <c r="J11736">
        <v>20.96</v>
      </c>
      <c r="K11736">
        <v>4.0599999999999996</v>
      </c>
      <c r="L11736">
        <v>11401</v>
      </c>
      <c r="M11736" t="s">
        <v>84</v>
      </c>
      <c r="N11736" t="str">
        <f>"70116010    "</f>
        <v xml:space="preserve">70116010    </v>
      </c>
      <c r="O11736">
        <v>230824</v>
      </c>
    </row>
    <row r="11737" spans="1:15" x14ac:dyDescent="0.25">
      <c r="A11737" t="s">
        <v>16</v>
      </c>
      <c r="B11737" t="s">
        <v>3221</v>
      </c>
      <c r="C11737">
        <v>10894</v>
      </c>
      <c r="D11737" t="s">
        <v>848</v>
      </c>
      <c r="E11737" t="s">
        <v>849</v>
      </c>
      <c r="F11737">
        <v>33.81</v>
      </c>
      <c r="G11737">
        <v>230824</v>
      </c>
      <c r="H11737">
        <v>4550</v>
      </c>
      <c r="I11737" t="s">
        <v>312</v>
      </c>
      <c r="J11737">
        <v>41.93</v>
      </c>
      <c r="K11737">
        <v>8.1199999999999992</v>
      </c>
      <c r="L11737">
        <v>14952</v>
      </c>
      <c r="M11737" t="s">
        <v>99</v>
      </c>
      <c r="N11737" t="str">
        <f>"70116010    "</f>
        <v xml:space="preserve">70116010    </v>
      </c>
      <c r="O11737">
        <v>230824</v>
      </c>
    </row>
    <row r="11738" spans="1:15" x14ac:dyDescent="0.25">
      <c r="A11738" t="s">
        <v>16</v>
      </c>
      <c r="B11738" t="s">
        <v>3221</v>
      </c>
      <c r="C11738">
        <v>10962</v>
      </c>
      <c r="D11738" t="s">
        <v>848</v>
      </c>
      <c r="E11738" t="s">
        <v>849</v>
      </c>
      <c r="F11738">
        <v>135.84</v>
      </c>
      <c r="G11738">
        <v>230823</v>
      </c>
      <c r="H11738">
        <v>4550</v>
      </c>
      <c r="I11738" t="s">
        <v>312</v>
      </c>
      <c r="J11738">
        <v>168.44</v>
      </c>
      <c r="K11738">
        <v>32.6</v>
      </c>
      <c r="L11738">
        <v>46557</v>
      </c>
      <c r="M11738" t="s">
        <v>221</v>
      </c>
      <c r="N11738" t="str">
        <f>"70095736    "</f>
        <v xml:space="preserve">70095736    </v>
      </c>
      <c r="O11738">
        <v>230825</v>
      </c>
    </row>
    <row r="11739" spans="1:15" x14ac:dyDescent="0.25">
      <c r="A11739" t="s">
        <v>16</v>
      </c>
      <c r="B11739" t="s">
        <v>3221</v>
      </c>
      <c r="C11739">
        <v>12616</v>
      </c>
      <c r="D11739" t="s">
        <v>848</v>
      </c>
      <c r="E11739" t="s">
        <v>849</v>
      </c>
      <c r="F11739">
        <v>135.84</v>
      </c>
      <c r="G11739">
        <v>230920</v>
      </c>
      <c r="H11739">
        <v>4550</v>
      </c>
      <c r="I11739" t="s">
        <v>312</v>
      </c>
      <c r="J11739">
        <v>168.44</v>
      </c>
      <c r="K11739">
        <v>32.6</v>
      </c>
      <c r="L11739">
        <v>46557</v>
      </c>
      <c r="M11739" t="s">
        <v>221</v>
      </c>
      <c r="N11739" t="str">
        <f>"70154541    "</f>
        <v xml:space="preserve">70154541    </v>
      </c>
      <c r="O11739">
        <v>230922</v>
      </c>
    </row>
    <row r="11740" spans="1:15" x14ac:dyDescent="0.25">
      <c r="A11740" t="s">
        <v>16</v>
      </c>
      <c r="B11740" t="s">
        <v>3221</v>
      </c>
      <c r="C11740">
        <v>12702</v>
      </c>
      <c r="D11740" t="s">
        <v>848</v>
      </c>
      <c r="E11740" t="s">
        <v>849</v>
      </c>
      <c r="F11740">
        <v>16.899999999999999</v>
      </c>
      <c r="G11740">
        <v>230921</v>
      </c>
      <c r="H11740">
        <v>4550</v>
      </c>
      <c r="I11740" t="s">
        <v>312</v>
      </c>
      <c r="J11740">
        <v>20.96</v>
      </c>
      <c r="K11740">
        <v>4.0599999999999996</v>
      </c>
      <c r="L11740">
        <v>11401</v>
      </c>
      <c r="M11740" t="s">
        <v>84</v>
      </c>
      <c r="N11740" t="str">
        <f>"70174968    "</f>
        <v xml:space="preserve">70174968    </v>
      </c>
      <c r="O11740">
        <v>230925</v>
      </c>
    </row>
    <row r="11741" spans="1:15" x14ac:dyDescent="0.25">
      <c r="A11741" t="s">
        <v>16</v>
      </c>
      <c r="B11741" t="s">
        <v>3221</v>
      </c>
      <c r="C11741">
        <v>12702</v>
      </c>
      <c r="D11741" t="s">
        <v>848</v>
      </c>
      <c r="E11741" t="s">
        <v>849</v>
      </c>
      <c r="F11741">
        <v>33.81</v>
      </c>
      <c r="G11741">
        <v>230921</v>
      </c>
      <c r="H11741">
        <v>4550</v>
      </c>
      <c r="I11741" t="s">
        <v>312</v>
      </c>
      <c r="J11741">
        <v>41.93</v>
      </c>
      <c r="K11741">
        <v>8.1199999999999992</v>
      </c>
      <c r="L11741">
        <v>14952</v>
      </c>
      <c r="M11741" t="s">
        <v>99</v>
      </c>
      <c r="N11741" t="str">
        <f>"70174968    "</f>
        <v xml:space="preserve">70174968    </v>
      </c>
      <c r="O11741">
        <v>230925</v>
      </c>
    </row>
    <row r="11742" spans="1:15" x14ac:dyDescent="0.25">
      <c r="A11742" t="s">
        <v>16</v>
      </c>
      <c r="B11742" t="s">
        <v>3221</v>
      </c>
      <c r="C11742">
        <v>14350</v>
      </c>
      <c r="D11742" t="s">
        <v>848</v>
      </c>
      <c r="E11742" t="s">
        <v>849</v>
      </c>
      <c r="F11742">
        <v>135.84</v>
      </c>
      <c r="G11742">
        <v>231019</v>
      </c>
      <c r="H11742">
        <v>4550</v>
      </c>
      <c r="I11742" t="s">
        <v>312</v>
      </c>
      <c r="J11742">
        <v>168.44</v>
      </c>
      <c r="K11742">
        <v>32.6</v>
      </c>
      <c r="L11742">
        <v>46557</v>
      </c>
      <c r="M11742" t="s">
        <v>221</v>
      </c>
      <c r="N11742" t="str">
        <f>"70213459    "</f>
        <v xml:space="preserve">70213459    </v>
      </c>
      <c r="O11742">
        <v>231027</v>
      </c>
    </row>
    <row r="11743" spans="1:15" x14ac:dyDescent="0.25">
      <c r="A11743" t="s">
        <v>16</v>
      </c>
      <c r="B11743" t="s">
        <v>3221</v>
      </c>
      <c r="C11743">
        <v>14598</v>
      </c>
      <c r="D11743" t="s">
        <v>848</v>
      </c>
      <c r="E11743" t="s">
        <v>849</v>
      </c>
      <c r="F11743">
        <v>54.02</v>
      </c>
      <c r="G11743">
        <v>231019</v>
      </c>
      <c r="H11743">
        <v>4550</v>
      </c>
      <c r="I11743" t="s">
        <v>312</v>
      </c>
      <c r="J11743">
        <v>66.989999999999995</v>
      </c>
      <c r="K11743">
        <v>12.97</v>
      </c>
      <c r="L11743">
        <v>11401</v>
      </c>
      <c r="M11743" t="s">
        <v>84</v>
      </c>
      <c r="N11743" t="str">
        <f>"70233913    "</f>
        <v xml:space="preserve">70233913    </v>
      </c>
      <c r="O11743">
        <v>231030</v>
      </c>
    </row>
    <row r="11744" spans="1:15" x14ac:dyDescent="0.25">
      <c r="A11744" t="s">
        <v>16</v>
      </c>
      <c r="B11744" t="s">
        <v>3221</v>
      </c>
      <c r="C11744">
        <v>14598</v>
      </c>
      <c r="D11744" t="s">
        <v>848</v>
      </c>
      <c r="E11744" t="s">
        <v>849</v>
      </c>
      <c r="F11744">
        <v>108.05</v>
      </c>
      <c r="G11744">
        <v>231019</v>
      </c>
      <c r="H11744">
        <v>4550</v>
      </c>
      <c r="I11744" t="s">
        <v>312</v>
      </c>
      <c r="J11744">
        <v>133.97999999999999</v>
      </c>
      <c r="K11744">
        <v>25.93</v>
      </c>
      <c r="L11744">
        <v>14952</v>
      </c>
      <c r="M11744" t="s">
        <v>99</v>
      </c>
      <c r="N11744" t="str">
        <f>"70233913    "</f>
        <v xml:space="preserve">70233913    </v>
      </c>
      <c r="O11744">
        <v>231030</v>
      </c>
    </row>
    <row r="11745" spans="1:15" x14ac:dyDescent="0.25">
      <c r="A11745" t="s">
        <v>16</v>
      </c>
      <c r="B11745" t="s">
        <v>3221</v>
      </c>
      <c r="C11745">
        <v>15965</v>
      </c>
      <c r="D11745" t="s">
        <v>848</v>
      </c>
      <c r="E11745" t="s">
        <v>849</v>
      </c>
      <c r="F11745">
        <v>135.84</v>
      </c>
      <c r="G11745">
        <v>231115</v>
      </c>
      <c r="H11745">
        <v>4550</v>
      </c>
      <c r="I11745" t="s">
        <v>312</v>
      </c>
      <c r="J11745">
        <v>168.44</v>
      </c>
      <c r="K11745">
        <v>32.6</v>
      </c>
      <c r="L11745">
        <v>46557</v>
      </c>
      <c r="M11745" t="s">
        <v>221</v>
      </c>
      <c r="N11745" t="str">
        <f>"70276664    "</f>
        <v xml:space="preserve">70276664    </v>
      </c>
      <c r="O11745">
        <v>231122</v>
      </c>
    </row>
    <row r="11746" spans="1:15" x14ac:dyDescent="0.25">
      <c r="A11746" t="s">
        <v>16</v>
      </c>
      <c r="B11746" t="s">
        <v>3221</v>
      </c>
      <c r="C11746">
        <v>16111</v>
      </c>
      <c r="D11746" t="s">
        <v>848</v>
      </c>
      <c r="E11746" t="s">
        <v>849</v>
      </c>
      <c r="F11746">
        <v>18.27</v>
      </c>
      <c r="G11746">
        <v>231116</v>
      </c>
      <c r="H11746">
        <v>4550</v>
      </c>
      <c r="I11746" t="s">
        <v>312</v>
      </c>
      <c r="J11746">
        <v>22.65</v>
      </c>
      <c r="K11746">
        <v>4.38</v>
      </c>
      <c r="L11746">
        <v>11401</v>
      </c>
      <c r="M11746" t="s">
        <v>84</v>
      </c>
      <c r="N11746" t="str">
        <f>"70297224    "</f>
        <v xml:space="preserve">70297224    </v>
      </c>
      <c r="O11746">
        <v>231122</v>
      </c>
    </row>
    <row r="11747" spans="1:15" x14ac:dyDescent="0.25">
      <c r="A11747" t="s">
        <v>16</v>
      </c>
      <c r="B11747" t="s">
        <v>3221</v>
      </c>
      <c r="C11747">
        <v>16111</v>
      </c>
      <c r="D11747" t="s">
        <v>848</v>
      </c>
      <c r="E11747" t="s">
        <v>849</v>
      </c>
      <c r="F11747">
        <v>36.54</v>
      </c>
      <c r="G11747">
        <v>231116</v>
      </c>
      <c r="H11747">
        <v>4550</v>
      </c>
      <c r="I11747" t="s">
        <v>312</v>
      </c>
      <c r="J11747">
        <v>45.31</v>
      </c>
      <c r="K11747">
        <v>8.77</v>
      </c>
      <c r="L11747">
        <v>14952</v>
      </c>
      <c r="M11747" t="s">
        <v>99</v>
      </c>
      <c r="N11747" t="str">
        <f>"70297224    "</f>
        <v xml:space="preserve">70297224    </v>
      </c>
      <c r="O11747">
        <v>231122</v>
      </c>
    </row>
    <row r="11748" spans="1:15" x14ac:dyDescent="0.25">
      <c r="A11748" t="s">
        <v>16</v>
      </c>
      <c r="B11748" t="s">
        <v>3221</v>
      </c>
      <c r="C11748">
        <v>17836</v>
      </c>
      <c r="D11748" t="s">
        <v>848</v>
      </c>
      <c r="E11748" t="s">
        <v>849</v>
      </c>
      <c r="F11748">
        <v>135.84</v>
      </c>
      <c r="G11748">
        <v>231213</v>
      </c>
      <c r="H11748">
        <v>4550</v>
      </c>
      <c r="I11748" t="s">
        <v>312</v>
      </c>
      <c r="J11748">
        <v>168.44</v>
      </c>
      <c r="K11748">
        <v>32.6</v>
      </c>
      <c r="L11748">
        <v>46557</v>
      </c>
      <c r="M11748" t="s">
        <v>221</v>
      </c>
      <c r="N11748" t="str">
        <f>"70335502    "</f>
        <v xml:space="preserve">70335502    </v>
      </c>
      <c r="O11748">
        <v>231227</v>
      </c>
    </row>
    <row r="11749" spans="1:15" x14ac:dyDescent="0.25">
      <c r="A11749" t="s">
        <v>16</v>
      </c>
      <c r="B11749" t="s">
        <v>3221</v>
      </c>
      <c r="C11749">
        <v>18395</v>
      </c>
      <c r="D11749" t="s">
        <v>848</v>
      </c>
      <c r="E11749" t="s">
        <v>849</v>
      </c>
      <c r="F11749">
        <v>19.63</v>
      </c>
      <c r="G11749">
        <v>231214</v>
      </c>
      <c r="H11749">
        <v>4550</v>
      </c>
      <c r="I11749" t="s">
        <v>312</v>
      </c>
      <c r="J11749">
        <v>24.34</v>
      </c>
      <c r="K11749">
        <v>4.71</v>
      </c>
      <c r="L11749">
        <v>11401</v>
      </c>
      <c r="M11749" t="s">
        <v>84</v>
      </c>
      <c r="N11749" t="str">
        <f>"70356224    "</f>
        <v xml:space="preserve">70356224    </v>
      </c>
      <c r="O11749">
        <v>240103</v>
      </c>
    </row>
    <row r="11750" spans="1:15" x14ac:dyDescent="0.25">
      <c r="A11750" t="s">
        <v>16</v>
      </c>
      <c r="B11750" t="s">
        <v>3221</v>
      </c>
      <c r="C11750">
        <v>18395</v>
      </c>
      <c r="D11750" t="s">
        <v>848</v>
      </c>
      <c r="E11750" t="s">
        <v>849</v>
      </c>
      <c r="F11750">
        <v>39.270000000000003</v>
      </c>
      <c r="G11750">
        <v>231214</v>
      </c>
      <c r="H11750">
        <v>4550</v>
      </c>
      <c r="I11750" t="s">
        <v>312</v>
      </c>
      <c r="J11750">
        <v>48.7</v>
      </c>
      <c r="K11750">
        <v>9.43</v>
      </c>
      <c r="L11750">
        <v>14952</v>
      </c>
      <c r="M11750" t="s">
        <v>99</v>
      </c>
      <c r="N11750" t="str">
        <f>"70356224    "</f>
        <v xml:space="preserve">70356224    </v>
      </c>
      <c r="O11750">
        <v>240103</v>
      </c>
    </row>
    <row r="11751" spans="1:15" x14ac:dyDescent="0.25">
      <c r="A11751" t="s">
        <v>16</v>
      </c>
      <c r="B11751" t="s">
        <v>3221</v>
      </c>
      <c r="C11751">
        <v>18914</v>
      </c>
      <c r="D11751" t="s">
        <v>848</v>
      </c>
      <c r="E11751" t="s">
        <v>849</v>
      </c>
      <c r="F11751">
        <v>18.13</v>
      </c>
      <c r="G11751">
        <v>240104</v>
      </c>
      <c r="H11751">
        <v>4550</v>
      </c>
      <c r="I11751" t="s">
        <v>312</v>
      </c>
      <c r="J11751">
        <v>22.48</v>
      </c>
      <c r="K11751">
        <v>4.3499999999999996</v>
      </c>
      <c r="L11751">
        <v>11401</v>
      </c>
      <c r="M11751" t="s">
        <v>84</v>
      </c>
      <c r="N11751" t="str">
        <f>"70384506    "</f>
        <v xml:space="preserve">70384506    </v>
      </c>
      <c r="O11751">
        <v>240108</v>
      </c>
    </row>
    <row r="11752" spans="1:15" x14ac:dyDescent="0.25">
      <c r="A11752" t="s">
        <v>16</v>
      </c>
      <c r="B11752" t="s">
        <v>3221</v>
      </c>
      <c r="C11752">
        <v>18914</v>
      </c>
      <c r="D11752" t="s">
        <v>848</v>
      </c>
      <c r="E11752" t="s">
        <v>849</v>
      </c>
      <c r="F11752">
        <v>36.270000000000003</v>
      </c>
      <c r="G11752">
        <v>240104</v>
      </c>
      <c r="H11752">
        <v>4550</v>
      </c>
      <c r="I11752" t="s">
        <v>312</v>
      </c>
      <c r="J11752">
        <v>44.98</v>
      </c>
      <c r="K11752">
        <v>8.7100000000000009</v>
      </c>
      <c r="L11752">
        <v>14952</v>
      </c>
      <c r="M11752" t="s">
        <v>99</v>
      </c>
      <c r="N11752" t="str">
        <f>"70384506    "</f>
        <v xml:space="preserve">70384506    </v>
      </c>
      <c r="O11752">
        <v>240108</v>
      </c>
    </row>
    <row r="11753" spans="1:15" x14ac:dyDescent="0.25">
      <c r="A11753" t="s">
        <v>16</v>
      </c>
      <c r="B11753" t="s">
        <v>3221</v>
      </c>
      <c r="C11753">
        <v>18973</v>
      </c>
      <c r="D11753" t="s">
        <v>848</v>
      </c>
      <c r="E11753" t="s">
        <v>849</v>
      </c>
      <c r="F11753">
        <v>101.88</v>
      </c>
      <c r="G11753">
        <v>240104</v>
      </c>
      <c r="H11753">
        <v>4550</v>
      </c>
      <c r="I11753" t="s">
        <v>312</v>
      </c>
      <c r="J11753">
        <v>126.33</v>
      </c>
      <c r="K11753">
        <v>24.45</v>
      </c>
      <c r="L11753">
        <v>46557</v>
      </c>
      <c r="M11753" t="s">
        <v>221</v>
      </c>
      <c r="N11753" t="str">
        <f>"70362992    "</f>
        <v xml:space="preserve">70362992    </v>
      </c>
      <c r="O11753">
        <v>240109</v>
      </c>
    </row>
    <row r="11754" spans="1:15" x14ac:dyDescent="0.25">
      <c r="A11754" t="s">
        <v>16</v>
      </c>
      <c r="B11754" t="s">
        <v>3221</v>
      </c>
      <c r="C11754">
        <v>1635</v>
      </c>
      <c r="D11754" t="s">
        <v>1109</v>
      </c>
      <c r="E11754" t="s">
        <v>1110</v>
      </c>
      <c r="F11754">
        <v>474.55</v>
      </c>
      <c r="G11754">
        <v>230127</v>
      </c>
      <c r="H11754">
        <v>4580</v>
      </c>
      <c r="I11754" t="s">
        <v>35</v>
      </c>
      <c r="J11754">
        <v>588.44000000000005</v>
      </c>
      <c r="K11754">
        <v>113.89</v>
      </c>
      <c r="L11754">
        <v>17522</v>
      </c>
      <c r="M11754" t="s">
        <v>451</v>
      </c>
      <c r="N11754" t="str">
        <f>"6906        "</f>
        <v xml:space="preserve">6906        </v>
      </c>
      <c r="O11754">
        <v>230210</v>
      </c>
    </row>
    <row r="11755" spans="1:15" x14ac:dyDescent="0.25">
      <c r="A11755" t="s">
        <v>16</v>
      </c>
      <c r="B11755" t="s">
        <v>3221</v>
      </c>
      <c r="C11755">
        <v>1635</v>
      </c>
      <c r="D11755" t="s">
        <v>1109</v>
      </c>
      <c r="E11755" t="s">
        <v>1110</v>
      </c>
      <c r="F11755">
        <v>97.2</v>
      </c>
      <c r="G11755">
        <v>230127</v>
      </c>
      <c r="H11755">
        <v>4600</v>
      </c>
      <c r="I11755" t="s">
        <v>105</v>
      </c>
      <c r="J11755">
        <v>120.53</v>
      </c>
      <c r="K11755">
        <v>23.33</v>
      </c>
      <c r="L11755">
        <v>17633</v>
      </c>
      <c r="M11755" t="s">
        <v>724</v>
      </c>
      <c r="N11755" t="str">
        <f>"6906        "</f>
        <v xml:space="preserve">6906        </v>
      </c>
      <c r="O11755">
        <v>230210</v>
      </c>
    </row>
    <row r="11756" spans="1:15" x14ac:dyDescent="0.25">
      <c r="A11756" t="s">
        <v>16</v>
      </c>
      <c r="B11756" t="s">
        <v>3221</v>
      </c>
      <c r="C11756">
        <v>7341</v>
      </c>
      <c r="D11756" t="s">
        <v>1109</v>
      </c>
      <c r="E11756" t="s">
        <v>1110</v>
      </c>
      <c r="F11756">
        <v>520.54999999999995</v>
      </c>
      <c r="G11756">
        <v>230524</v>
      </c>
      <c r="H11756">
        <v>4600</v>
      </c>
      <c r="I11756" t="s">
        <v>105</v>
      </c>
      <c r="J11756">
        <v>645.48</v>
      </c>
      <c r="K11756">
        <v>124.93</v>
      </c>
      <c r="L11756">
        <v>17522</v>
      </c>
      <c r="M11756" t="s">
        <v>451</v>
      </c>
      <c r="N11756" t="str">
        <f>"7128        "</f>
        <v xml:space="preserve">7128        </v>
      </c>
      <c r="O11756">
        <v>230529</v>
      </c>
    </row>
    <row r="11757" spans="1:15" x14ac:dyDescent="0.25">
      <c r="A11757" t="s">
        <v>16</v>
      </c>
      <c r="B11757" t="s">
        <v>3221</v>
      </c>
      <c r="C11757">
        <v>17648</v>
      </c>
      <c r="D11757" t="s">
        <v>3087</v>
      </c>
      <c r="E11757" t="s">
        <v>3088</v>
      </c>
      <c r="F11757">
        <v>477.27</v>
      </c>
      <c r="G11757">
        <v>231213</v>
      </c>
      <c r="H11757">
        <v>4420</v>
      </c>
      <c r="I11757" t="s">
        <v>132</v>
      </c>
      <c r="J11757">
        <v>525</v>
      </c>
      <c r="K11757">
        <v>47.73</v>
      </c>
      <c r="L11757">
        <v>67522</v>
      </c>
      <c r="M11757" t="s">
        <v>397</v>
      </c>
      <c r="N11757" t="str">
        <f>"620         "</f>
        <v xml:space="preserve">620         </v>
      </c>
      <c r="O11757">
        <v>231218</v>
      </c>
    </row>
    <row r="11758" spans="1:15" x14ac:dyDescent="0.25">
      <c r="A11758" t="s">
        <v>16</v>
      </c>
      <c r="B11758" t="s">
        <v>3221</v>
      </c>
      <c r="C11758">
        <v>14907</v>
      </c>
      <c r="D11758" t="s">
        <v>2813</v>
      </c>
      <c r="E11758" t="s">
        <v>2814</v>
      </c>
      <c r="F11758">
        <v>111.98</v>
      </c>
      <c r="G11758">
        <v>231023</v>
      </c>
      <c r="H11758">
        <v>1196</v>
      </c>
      <c r="I11758" t="s">
        <v>392</v>
      </c>
      <c r="J11758">
        <v>111.98</v>
      </c>
      <c r="K11758">
        <v>0</v>
      </c>
      <c r="L11758">
        <v>97701</v>
      </c>
      <c r="M11758" t="s">
        <v>869</v>
      </c>
      <c r="N11758" t="str">
        <f>"52346       "</f>
        <v xml:space="preserve">52346       </v>
      </c>
      <c r="O11758">
        <v>231107</v>
      </c>
    </row>
    <row r="11759" spans="1:15" x14ac:dyDescent="0.25">
      <c r="A11759" t="s">
        <v>16</v>
      </c>
      <c r="B11759" t="s">
        <v>3221</v>
      </c>
      <c r="C11759">
        <v>11008</v>
      </c>
      <c r="D11759" t="s">
        <v>3472</v>
      </c>
      <c r="E11759" t="s">
        <v>3473</v>
      </c>
      <c r="F11759">
        <v>2.02</v>
      </c>
      <c r="G11759">
        <v>230817</v>
      </c>
      <c r="H11759">
        <v>4410</v>
      </c>
      <c r="I11759" t="s">
        <v>517</v>
      </c>
      <c r="J11759">
        <v>2.5</v>
      </c>
      <c r="K11759">
        <v>0.48</v>
      </c>
      <c r="L11759">
        <v>17972</v>
      </c>
      <c r="M11759" t="s">
        <v>248</v>
      </c>
      <c r="N11759" t="str">
        <f>"100843      "</f>
        <v xml:space="preserve">100843      </v>
      </c>
      <c r="O11759">
        <v>230828</v>
      </c>
    </row>
    <row r="11760" spans="1:15" x14ac:dyDescent="0.25">
      <c r="A11760" t="s">
        <v>16</v>
      </c>
      <c r="B11760" t="s">
        <v>3221</v>
      </c>
      <c r="C11760">
        <v>11008</v>
      </c>
      <c r="D11760" t="s">
        <v>3472</v>
      </c>
      <c r="E11760" t="s">
        <v>3473</v>
      </c>
      <c r="F11760">
        <v>121.05</v>
      </c>
      <c r="G11760">
        <v>230817</v>
      </c>
      <c r="H11760">
        <v>4410</v>
      </c>
      <c r="I11760" t="s">
        <v>517</v>
      </c>
      <c r="J11760">
        <v>138</v>
      </c>
      <c r="K11760">
        <v>16.95</v>
      </c>
      <c r="L11760">
        <v>17972</v>
      </c>
      <c r="M11760" t="s">
        <v>248</v>
      </c>
      <c r="N11760" t="str">
        <f>"100843      "</f>
        <v xml:space="preserve">100843      </v>
      </c>
      <c r="O11760">
        <v>230828</v>
      </c>
    </row>
    <row r="11761" spans="1:15" x14ac:dyDescent="0.25">
      <c r="A11761" t="s">
        <v>16</v>
      </c>
      <c r="B11761" t="s">
        <v>3221</v>
      </c>
      <c r="C11761">
        <v>11008</v>
      </c>
      <c r="D11761" t="s">
        <v>3472</v>
      </c>
      <c r="E11761" t="s">
        <v>3473</v>
      </c>
      <c r="F11761">
        <v>246.49</v>
      </c>
      <c r="G11761">
        <v>230817</v>
      </c>
      <c r="H11761">
        <v>4410</v>
      </c>
      <c r="I11761" t="s">
        <v>517</v>
      </c>
      <c r="J11761">
        <v>281</v>
      </c>
      <c r="K11761">
        <v>34.51</v>
      </c>
      <c r="L11761">
        <v>69113</v>
      </c>
      <c r="M11761" t="s">
        <v>282</v>
      </c>
      <c r="N11761" t="str">
        <f>"100843      "</f>
        <v xml:space="preserve">100843      </v>
      </c>
      <c r="O11761">
        <v>230828</v>
      </c>
    </row>
    <row r="11762" spans="1:15" x14ac:dyDescent="0.25">
      <c r="A11762" t="s">
        <v>16</v>
      </c>
      <c r="B11762" t="s">
        <v>3221</v>
      </c>
      <c r="C11762">
        <v>11008</v>
      </c>
      <c r="D11762" t="s">
        <v>3472</v>
      </c>
      <c r="E11762" t="s">
        <v>3473</v>
      </c>
      <c r="F11762">
        <v>2.02</v>
      </c>
      <c r="G11762">
        <v>230817</v>
      </c>
      <c r="H11762">
        <v>4410</v>
      </c>
      <c r="I11762" t="s">
        <v>517</v>
      </c>
      <c r="J11762">
        <v>2.5</v>
      </c>
      <c r="K11762">
        <v>0.48</v>
      </c>
      <c r="L11762">
        <v>69702</v>
      </c>
      <c r="M11762" t="s">
        <v>489</v>
      </c>
      <c r="N11762" t="str">
        <f>"100843      "</f>
        <v xml:space="preserve">100843      </v>
      </c>
      <c r="O11762">
        <v>230828</v>
      </c>
    </row>
    <row r="11763" spans="1:15" x14ac:dyDescent="0.25">
      <c r="A11763" t="s">
        <v>16</v>
      </c>
      <c r="B11763" t="s">
        <v>3221</v>
      </c>
      <c r="C11763">
        <v>11008</v>
      </c>
      <c r="D11763" t="s">
        <v>3472</v>
      </c>
      <c r="E11763" t="s">
        <v>3473</v>
      </c>
      <c r="F11763">
        <v>161.4</v>
      </c>
      <c r="G11763">
        <v>230817</v>
      </c>
      <c r="H11763">
        <v>4410</v>
      </c>
      <c r="I11763" t="s">
        <v>517</v>
      </c>
      <c r="J11763">
        <v>184</v>
      </c>
      <c r="K11763">
        <v>22.6</v>
      </c>
      <c r="L11763">
        <v>69702</v>
      </c>
      <c r="M11763" t="s">
        <v>489</v>
      </c>
      <c r="N11763" t="str">
        <f>"100843      "</f>
        <v xml:space="preserve">100843      </v>
      </c>
      <c r="O11763">
        <v>230828</v>
      </c>
    </row>
    <row r="11764" spans="1:15" x14ac:dyDescent="0.25">
      <c r="A11764" t="s">
        <v>16</v>
      </c>
      <c r="B11764" t="s">
        <v>3221</v>
      </c>
      <c r="C11764">
        <v>6780</v>
      </c>
      <c r="D11764" t="s">
        <v>3472</v>
      </c>
      <c r="E11764" t="s">
        <v>3473</v>
      </c>
      <c r="F11764">
        <v>500</v>
      </c>
      <c r="G11764">
        <v>230515</v>
      </c>
      <c r="H11764">
        <v>4860</v>
      </c>
      <c r="I11764" t="s">
        <v>28</v>
      </c>
      <c r="J11764">
        <v>620</v>
      </c>
      <c r="K11764">
        <v>120</v>
      </c>
      <c r="L11764">
        <v>17711</v>
      </c>
      <c r="M11764" t="s">
        <v>65</v>
      </c>
      <c r="N11764" t="str">
        <f t="shared" ref="N11764:N11769" si="177">"100326      "</f>
        <v xml:space="preserve">100326      </v>
      </c>
      <c r="O11764">
        <v>230522</v>
      </c>
    </row>
    <row r="11765" spans="1:15" x14ac:dyDescent="0.25">
      <c r="A11765" t="s">
        <v>16</v>
      </c>
      <c r="B11765" t="s">
        <v>3221</v>
      </c>
      <c r="C11765">
        <v>6780</v>
      </c>
      <c r="D11765" t="s">
        <v>3472</v>
      </c>
      <c r="E11765" t="s">
        <v>3473</v>
      </c>
      <c r="F11765">
        <v>500</v>
      </c>
      <c r="G11765">
        <v>230515</v>
      </c>
      <c r="H11765">
        <v>4860</v>
      </c>
      <c r="I11765" t="s">
        <v>28</v>
      </c>
      <c r="J11765">
        <v>620</v>
      </c>
      <c r="K11765">
        <v>120</v>
      </c>
      <c r="L11765">
        <v>69702</v>
      </c>
      <c r="M11765" t="s">
        <v>489</v>
      </c>
      <c r="N11765" t="str">
        <f t="shared" si="177"/>
        <v xml:space="preserve">100326      </v>
      </c>
      <c r="O11765">
        <v>230522</v>
      </c>
    </row>
    <row r="11766" spans="1:15" x14ac:dyDescent="0.25">
      <c r="A11766" t="s">
        <v>16</v>
      </c>
      <c r="B11766" t="s">
        <v>3221</v>
      </c>
      <c r="C11766">
        <v>6780</v>
      </c>
      <c r="D11766" t="s">
        <v>3472</v>
      </c>
      <c r="E11766" t="s">
        <v>3473</v>
      </c>
      <c r="F11766">
        <v>60</v>
      </c>
      <c r="G11766">
        <v>230515</v>
      </c>
      <c r="H11766">
        <v>4440</v>
      </c>
      <c r="I11766" t="s">
        <v>250</v>
      </c>
      <c r="J11766">
        <v>66</v>
      </c>
      <c r="K11766">
        <v>6</v>
      </c>
      <c r="L11766">
        <v>17711</v>
      </c>
      <c r="M11766" t="s">
        <v>65</v>
      </c>
      <c r="N11766" t="str">
        <f t="shared" si="177"/>
        <v xml:space="preserve">100326      </v>
      </c>
      <c r="O11766">
        <v>230522</v>
      </c>
    </row>
    <row r="11767" spans="1:15" x14ac:dyDescent="0.25">
      <c r="A11767" t="s">
        <v>16</v>
      </c>
      <c r="B11767" t="s">
        <v>3221</v>
      </c>
      <c r="C11767">
        <v>6780</v>
      </c>
      <c r="D11767" t="s">
        <v>3472</v>
      </c>
      <c r="E11767" t="s">
        <v>3473</v>
      </c>
      <c r="F11767">
        <v>60</v>
      </c>
      <c r="G11767">
        <v>230515</v>
      </c>
      <c r="H11767">
        <v>4440</v>
      </c>
      <c r="I11767" t="s">
        <v>250</v>
      </c>
      <c r="J11767">
        <v>66</v>
      </c>
      <c r="K11767">
        <v>6</v>
      </c>
      <c r="L11767">
        <v>69702</v>
      </c>
      <c r="M11767" t="s">
        <v>489</v>
      </c>
      <c r="N11767" t="str">
        <f t="shared" si="177"/>
        <v xml:space="preserve">100326      </v>
      </c>
      <c r="O11767">
        <v>230522</v>
      </c>
    </row>
    <row r="11768" spans="1:15" x14ac:dyDescent="0.25">
      <c r="A11768" t="s">
        <v>16</v>
      </c>
      <c r="B11768" t="s">
        <v>3221</v>
      </c>
      <c r="C11768">
        <v>6780</v>
      </c>
      <c r="D11768" t="s">
        <v>3472</v>
      </c>
      <c r="E11768" t="s">
        <v>3473</v>
      </c>
      <c r="F11768">
        <v>125</v>
      </c>
      <c r="G11768">
        <v>230515</v>
      </c>
      <c r="H11768">
        <v>4572</v>
      </c>
      <c r="I11768" t="s">
        <v>122</v>
      </c>
      <c r="J11768">
        <v>155</v>
      </c>
      <c r="K11768">
        <v>30</v>
      </c>
      <c r="L11768">
        <v>17711</v>
      </c>
      <c r="M11768" t="s">
        <v>65</v>
      </c>
      <c r="N11768" t="str">
        <f t="shared" si="177"/>
        <v xml:space="preserve">100326      </v>
      </c>
      <c r="O11768">
        <v>230522</v>
      </c>
    </row>
    <row r="11769" spans="1:15" x14ac:dyDescent="0.25">
      <c r="A11769" t="s">
        <v>16</v>
      </c>
      <c r="B11769" t="s">
        <v>3221</v>
      </c>
      <c r="C11769">
        <v>6780</v>
      </c>
      <c r="D11769" t="s">
        <v>3472</v>
      </c>
      <c r="E11769" t="s">
        <v>3473</v>
      </c>
      <c r="F11769">
        <v>125</v>
      </c>
      <c r="G11769">
        <v>230515</v>
      </c>
      <c r="H11769">
        <v>4572</v>
      </c>
      <c r="I11769" t="s">
        <v>122</v>
      </c>
      <c r="J11769">
        <v>155</v>
      </c>
      <c r="K11769">
        <v>30</v>
      </c>
      <c r="L11769">
        <v>69702</v>
      </c>
      <c r="M11769" t="s">
        <v>489</v>
      </c>
      <c r="N11769" t="str">
        <f t="shared" si="177"/>
        <v xml:space="preserve">100326      </v>
      </c>
      <c r="O11769">
        <v>230522</v>
      </c>
    </row>
    <row r="11770" spans="1:15" x14ac:dyDescent="0.25">
      <c r="A11770" t="s">
        <v>16</v>
      </c>
      <c r="B11770" t="s">
        <v>3221</v>
      </c>
      <c r="C11770">
        <v>15289</v>
      </c>
      <c r="D11770" t="s">
        <v>2856</v>
      </c>
      <c r="E11770" t="s">
        <v>2857</v>
      </c>
      <c r="F11770">
        <v>763.64</v>
      </c>
      <c r="G11770">
        <v>231109</v>
      </c>
      <c r="H11770">
        <v>4600</v>
      </c>
      <c r="I11770" t="s">
        <v>105</v>
      </c>
      <c r="J11770">
        <v>840</v>
      </c>
      <c r="K11770">
        <v>76.36</v>
      </c>
      <c r="L11770">
        <v>17538</v>
      </c>
      <c r="M11770" t="s">
        <v>24</v>
      </c>
      <c r="N11770" t="str">
        <f>"72375       "</f>
        <v xml:space="preserve">72375       </v>
      </c>
      <c r="O11770">
        <v>231110</v>
      </c>
    </row>
    <row r="11771" spans="1:15" x14ac:dyDescent="0.25">
      <c r="A11771" t="s">
        <v>16</v>
      </c>
      <c r="B11771" t="s">
        <v>3221</v>
      </c>
      <c r="C11771">
        <v>15289</v>
      </c>
      <c r="D11771" t="s">
        <v>2856</v>
      </c>
      <c r="E11771" t="s">
        <v>2857</v>
      </c>
      <c r="F11771">
        <v>97.98</v>
      </c>
      <c r="G11771">
        <v>231109</v>
      </c>
      <c r="H11771">
        <v>4347</v>
      </c>
      <c r="I11771" t="s">
        <v>193</v>
      </c>
      <c r="J11771">
        <v>121.5</v>
      </c>
      <c r="K11771">
        <v>23.52</v>
      </c>
      <c r="L11771">
        <v>17538</v>
      </c>
      <c r="M11771" t="s">
        <v>24</v>
      </c>
      <c r="N11771" t="str">
        <f>"72375       "</f>
        <v xml:space="preserve">72375       </v>
      </c>
      <c r="O11771">
        <v>231110</v>
      </c>
    </row>
    <row r="11772" spans="1:15" x14ac:dyDescent="0.25">
      <c r="A11772" t="s">
        <v>16</v>
      </c>
      <c r="B11772" t="s">
        <v>3221</v>
      </c>
      <c r="C11772">
        <v>17834</v>
      </c>
      <c r="D11772" t="s">
        <v>3105</v>
      </c>
      <c r="E11772" t="s">
        <v>3106</v>
      </c>
      <c r="F11772">
        <v>2269</v>
      </c>
      <c r="G11772">
        <v>231213</v>
      </c>
      <c r="H11772">
        <v>4350</v>
      </c>
      <c r="I11772" t="s">
        <v>546</v>
      </c>
      <c r="J11772">
        <v>2813.56</v>
      </c>
      <c r="K11772">
        <v>544.55999999999995</v>
      </c>
      <c r="L11772">
        <v>11301</v>
      </c>
      <c r="M11772" t="s">
        <v>29</v>
      </c>
      <c r="N11772" t="str">
        <f>"4068        "</f>
        <v xml:space="preserve">4068        </v>
      </c>
      <c r="O11772">
        <v>231227</v>
      </c>
    </row>
    <row r="11773" spans="1:15" x14ac:dyDescent="0.25">
      <c r="A11773" t="s">
        <v>16</v>
      </c>
      <c r="B11773" t="s">
        <v>3221</v>
      </c>
      <c r="C11773">
        <v>703</v>
      </c>
      <c r="D11773" t="s">
        <v>694</v>
      </c>
      <c r="E11773" t="s">
        <v>695</v>
      </c>
      <c r="F11773">
        <v>213</v>
      </c>
      <c r="G11773">
        <v>230125</v>
      </c>
      <c r="H11773">
        <v>4390</v>
      </c>
      <c r="I11773" t="s">
        <v>98</v>
      </c>
      <c r="J11773">
        <v>213</v>
      </c>
      <c r="K11773">
        <v>0</v>
      </c>
      <c r="L11773">
        <v>59501</v>
      </c>
      <c r="M11773" t="s">
        <v>69</v>
      </c>
      <c r="N11773" t="str">
        <f>"12129       "</f>
        <v xml:space="preserve">12129       </v>
      </c>
      <c r="O11773">
        <v>230127</v>
      </c>
    </row>
    <row r="11774" spans="1:15" x14ac:dyDescent="0.25">
      <c r="A11774" t="s">
        <v>16</v>
      </c>
      <c r="B11774" t="s">
        <v>3221</v>
      </c>
      <c r="C11774">
        <v>944</v>
      </c>
      <c r="D11774" t="s">
        <v>694</v>
      </c>
      <c r="E11774" t="s">
        <v>695</v>
      </c>
      <c r="F11774">
        <v>126</v>
      </c>
      <c r="G11774">
        <v>230125</v>
      </c>
      <c r="H11774">
        <v>4390</v>
      </c>
      <c r="I11774" t="s">
        <v>98</v>
      </c>
      <c r="J11774">
        <v>126</v>
      </c>
      <c r="K11774">
        <v>0</v>
      </c>
      <c r="L11774">
        <v>59502</v>
      </c>
      <c r="M11774" t="s">
        <v>70</v>
      </c>
      <c r="N11774" t="str">
        <f>"12128       "</f>
        <v xml:space="preserve">12128       </v>
      </c>
      <c r="O11774">
        <v>230201</v>
      </c>
    </row>
    <row r="11775" spans="1:15" x14ac:dyDescent="0.25">
      <c r="A11775" t="s">
        <v>16</v>
      </c>
      <c r="B11775" t="s">
        <v>3221</v>
      </c>
      <c r="C11775">
        <v>944</v>
      </c>
      <c r="D11775" t="s">
        <v>694</v>
      </c>
      <c r="E11775" t="s">
        <v>695</v>
      </c>
      <c r="F11775">
        <v>39</v>
      </c>
      <c r="G11775">
        <v>230125</v>
      </c>
      <c r="H11775">
        <v>4390</v>
      </c>
      <c r="I11775" t="s">
        <v>98</v>
      </c>
      <c r="J11775">
        <v>39</v>
      </c>
      <c r="K11775">
        <v>0</v>
      </c>
      <c r="L11775">
        <v>59802</v>
      </c>
      <c r="M11775" t="s">
        <v>73</v>
      </c>
      <c r="N11775" t="str">
        <f>"12128       "</f>
        <v xml:space="preserve">12128       </v>
      </c>
      <c r="O11775">
        <v>230201</v>
      </c>
    </row>
    <row r="11776" spans="1:15" x14ac:dyDescent="0.25">
      <c r="A11776" t="s">
        <v>16</v>
      </c>
      <c r="B11776" t="s">
        <v>3221</v>
      </c>
      <c r="C11776">
        <v>1488</v>
      </c>
      <c r="D11776" t="s">
        <v>694</v>
      </c>
      <c r="E11776" t="s">
        <v>695</v>
      </c>
      <c r="F11776">
        <v>285.39999999999998</v>
      </c>
      <c r="G11776">
        <v>230207</v>
      </c>
      <c r="H11776">
        <v>4390</v>
      </c>
      <c r="I11776" t="s">
        <v>98</v>
      </c>
      <c r="J11776">
        <v>285.39999999999998</v>
      </c>
      <c r="K11776">
        <v>0</v>
      </c>
      <c r="L11776">
        <v>59501</v>
      </c>
      <c r="M11776" t="s">
        <v>69</v>
      </c>
      <c r="N11776" t="str">
        <f>"12153       "</f>
        <v xml:space="preserve">12153       </v>
      </c>
      <c r="O11776">
        <v>230209</v>
      </c>
    </row>
    <row r="11777" spans="1:15" x14ac:dyDescent="0.25">
      <c r="A11777" t="s">
        <v>16</v>
      </c>
      <c r="B11777" t="s">
        <v>3221</v>
      </c>
      <c r="C11777">
        <v>3499</v>
      </c>
      <c r="D11777" t="s">
        <v>694</v>
      </c>
      <c r="E11777" t="s">
        <v>695</v>
      </c>
      <c r="F11777">
        <v>285.39999999999998</v>
      </c>
      <c r="G11777">
        <v>230313</v>
      </c>
      <c r="H11777">
        <v>4390</v>
      </c>
      <c r="I11777" t="s">
        <v>98</v>
      </c>
      <c r="J11777">
        <v>285.39999999999998</v>
      </c>
      <c r="K11777">
        <v>0</v>
      </c>
      <c r="L11777">
        <v>59501</v>
      </c>
      <c r="M11777" t="s">
        <v>69</v>
      </c>
      <c r="N11777" t="str">
        <f>"12220       "</f>
        <v xml:space="preserve">12220       </v>
      </c>
      <c r="O11777">
        <v>230316</v>
      </c>
    </row>
    <row r="11778" spans="1:15" x14ac:dyDescent="0.25">
      <c r="A11778" t="s">
        <v>16</v>
      </c>
      <c r="B11778" t="s">
        <v>3221</v>
      </c>
      <c r="C11778">
        <v>3580</v>
      </c>
      <c r="D11778" t="s">
        <v>694</v>
      </c>
      <c r="E11778" t="s">
        <v>695</v>
      </c>
      <c r="F11778">
        <v>308.39999999999998</v>
      </c>
      <c r="G11778">
        <v>230316</v>
      </c>
      <c r="H11778">
        <v>4390</v>
      </c>
      <c r="I11778" t="s">
        <v>98</v>
      </c>
      <c r="J11778">
        <v>308.39999999999998</v>
      </c>
      <c r="K11778">
        <v>0</v>
      </c>
      <c r="L11778">
        <v>59501</v>
      </c>
      <c r="M11778" t="s">
        <v>69</v>
      </c>
      <c r="N11778" t="str">
        <f>"12229       "</f>
        <v xml:space="preserve">12229       </v>
      </c>
      <c r="O11778">
        <v>230317</v>
      </c>
    </row>
    <row r="11779" spans="1:15" x14ac:dyDescent="0.25">
      <c r="A11779" t="s">
        <v>16</v>
      </c>
      <c r="B11779" t="s">
        <v>3221</v>
      </c>
      <c r="C11779">
        <v>6874</v>
      </c>
      <c r="D11779" t="s">
        <v>694</v>
      </c>
      <c r="E11779" t="s">
        <v>695</v>
      </c>
      <c r="F11779">
        <v>399.1</v>
      </c>
      <c r="G11779">
        <v>230516</v>
      </c>
      <c r="H11779">
        <v>4390</v>
      </c>
      <c r="I11779" t="s">
        <v>98</v>
      </c>
      <c r="J11779">
        <v>399.1</v>
      </c>
      <c r="K11779">
        <v>0</v>
      </c>
      <c r="L11779">
        <v>59503</v>
      </c>
      <c r="M11779" t="s">
        <v>194</v>
      </c>
      <c r="N11779" t="str">
        <f>"12348       "</f>
        <v xml:space="preserve">12348       </v>
      </c>
      <c r="O11779">
        <v>230523</v>
      </c>
    </row>
    <row r="11780" spans="1:15" x14ac:dyDescent="0.25">
      <c r="A11780" t="s">
        <v>16</v>
      </c>
      <c r="B11780" t="s">
        <v>3221</v>
      </c>
      <c r="C11780">
        <v>4851</v>
      </c>
      <c r="D11780" t="s">
        <v>1760</v>
      </c>
      <c r="E11780" t="s">
        <v>1761</v>
      </c>
      <c r="F11780">
        <v>215</v>
      </c>
      <c r="G11780">
        <v>230411</v>
      </c>
      <c r="H11780">
        <v>4420</v>
      </c>
      <c r="I11780" t="s">
        <v>132</v>
      </c>
      <c r="J11780">
        <v>266.60000000000002</v>
      </c>
      <c r="K11780">
        <v>51.6</v>
      </c>
      <c r="L11780">
        <v>56564</v>
      </c>
      <c r="M11780" t="s">
        <v>327</v>
      </c>
      <c r="N11780" t="str">
        <f>"20007721    "</f>
        <v xml:space="preserve">20007721    </v>
      </c>
      <c r="O11780">
        <v>230413</v>
      </c>
    </row>
    <row r="11781" spans="1:15" x14ac:dyDescent="0.25">
      <c r="A11781" t="s">
        <v>16</v>
      </c>
      <c r="B11781" t="s">
        <v>3221</v>
      </c>
      <c r="C11781">
        <v>18707</v>
      </c>
      <c r="D11781" t="s">
        <v>3154</v>
      </c>
      <c r="E11781" t="s">
        <v>3155</v>
      </c>
      <c r="F11781">
        <v>10</v>
      </c>
      <c r="G11781">
        <v>231221</v>
      </c>
      <c r="H11781">
        <v>4440</v>
      </c>
      <c r="I11781" t="s">
        <v>250</v>
      </c>
      <c r="J11781">
        <v>12.4</v>
      </c>
      <c r="K11781">
        <v>2.4</v>
      </c>
      <c r="L11781">
        <v>11605</v>
      </c>
      <c r="M11781" t="s">
        <v>106</v>
      </c>
      <c r="N11781" t="str">
        <f>"1492        "</f>
        <v xml:space="preserve">1492        </v>
      </c>
      <c r="O11781">
        <v>240105</v>
      </c>
    </row>
    <row r="11782" spans="1:15" x14ac:dyDescent="0.25">
      <c r="A11782" t="s">
        <v>16</v>
      </c>
      <c r="B11782" t="s">
        <v>3221</v>
      </c>
      <c r="C11782">
        <v>18707</v>
      </c>
      <c r="D11782" t="s">
        <v>3154</v>
      </c>
      <c r="E11782" t="s">
        <v>3155</v>
      </c>
      <c r="F11782">
        <v>450</v>
      </c>
      <c r="G11782">
        <v>231221</v>
      </c>
      <c r="H11782">
        <v>4440</v>
      </c>
      <c r="I11782" t="s">
        <v>250</v>
      </c>
      <c r="J11782">
        <v>495</v>
      </c>
      <c r="K11782">
        <v>45</v>
      </c>
      <c r="L11782">
        <v>11605</v>
      </c>
      <c r="M11782" t="s">
        <v>106</v>
      </c>
      <c r="N11782" t="str">
        <f>"1492        "</f>
        <v xml:space="preserve">1492        </v>
      </c>
      <c r="O11782">
        <v>240105</v>
      </c>
    </row>
    <row r="11783" spans="1:15" x14ac:dyDescent="0.25">
      <c r="A11783" t="s">
        <v>16</v>
      </c>
      <c r="B11783" t="s">
        <v>3221</v>
      </c>
      <c r="C11783">
        <v>10763</v>
      </c>
      <c r="D11783" t="s">
        <v>2413</v>
      </c>
      <c r="E11783" t="s">
        <v>2414</v>
      </c>
      <c r="F11783">
        <v>24</v>
      </c>
      <c r="G11783">
        <v>230810</v>
      </c>
      <c r="H11783">
        <v>4440</v>
      </c>
      <c r="I11783" t="s">
        <v>250</v>
      </c>
      <c r="J11783">
        <v>29.76</v>
      </c>
      <c r="K11783">
        <v>5.76</v>
      </c>
      <c r="L11783">
        <v>13201</v>
      </c>
      <c r="M11783" t="s">
        <v>161</v>
      </c>
      <c r="N11783" t="str">
        <f>"3527        "</f>
        <v xml:space="preserve">3527        </v>
      </c>
      <c r="O11783">
        <v>230822</v>
      </c>
    </row>
    <row r="11784" spans="1:15" x14ac:dyDescent="0.25">
      <c r="A11784" t="s">
        <v>16</v>
      </c>
      <c r="B11784" t="s">
        <v>3221</v>
      </c>
      <c r="C11784">
        <v>10763</v>
      </c>
      <c r="D11784" t="s">
        <v>2413</v>
      </c>
      <c r="E11784" t="s">
        <v>2414</v>
      </c>
      <c r="F11784">
        <v>220</v>
      </c>
      <c r="G11784">
        <v>230810</v>
      </c>
      <c r="H11784">
        <v>4440</v>
      </c>
      <c r="I11784" t="s">
        <v>250</v>
      </c>
      <c r="J11784">
        <v>272.8</v>
      </c>
      <c r="K11784">
        <v>52.8</v>
      </c>
      <c r="L11784">
        <v>13401</v>
      </c>
      <c r="M11784" t="s">
        <v>80</v>
      </c>
      <c r="N11784" t="str">
        <f>"3527        "</f>
        <v xml:space="preserve">3527        </v>
      </c>
      <c r="O11784">
        <v>230822</v>
      </c>
    </row>
    <row r="11785" spans="1:15" x14ac:dyDescent="0.25">
      <c r="A11785" t="s">
        <v>16</v>
      </c>
      <c r="B11785" t="s">
        <v>3221</v>
      </c>
      <c r="C11785">
        <v>10763</v>
      </c>
      <c r="D11785" t="s">
        <v>2413</v>
      </c>
      <c r="E11785" t="s">
        <v>2414</v>
      </c>
      <c r="F11785">
        <v>156</v>
      </c>
      <c r="G11785">
        <v>230810</v>
      </c>
      <c r="H11785">
        <v>4440</v>
      </c>
      <c r="I11785" t="s">
        <v>250</v>
      </c>
      <c r="J11785">
        <v>193.44</v>
      </c>
      <c r="K11785">
        <v>37.44</v>
      </c>
      <c r="L11785">
        <v>13501</v>
      </c>
      <c r="M11785" t="s">
        <v>20</v>
      </c>
      <c r="N11785" t="str">
        <f>"3527        "</f>
        <v xml:space="preserve">3527        </v>
      </c>
      <c r="O11785">
        <v>230822</v>
      </c>
    </row>
    <row r="11786" spans="1:15" x14ac:dyDescent="0.25">
      <c r="A11786" t="s">
        <v>16</v>
      </c>
      <c r="B11786" t="s">
        <v>3221</v>
      </c>
      <c r="C11786">
        <v>16471</v>
      </c>
      <c r="D11786" t="s">
        <v>2979</v>
      </c>
      <c r="E11786" t="s">
        <v>2980</v>
      </c>
      <c r="F11786">
        <v>534.55999999999995</v>
      </c>
      <c r="G11786">
        <v>231122</v>
      </c>
      <c r="H11786">
        <v>4600</v>
      </c>
      <c r="I11786" t="s">
        <v>105</v>
      </c>
      <c r="J11786">
        <v>662.86</v>
      </c>
      <c r="K11786">
        <v>128.30000000000001</v>
      </c>
      <c r="L11786">
        <v>44453</v>
      </c>
      <c r="M11786" t="s">
        <v>492</v>
      </c>
      <c r="N11786" t="str">
        <f>"30239118    "</f>
        <v xml:space="preserve">30239118    </v>
      </c>
      <c r="O11786">
        <v>231201</v>
      </c>
    </row>
    <row r="11787" spans="1:15" x14ac:dyDescent="0.25">
      <c r="A11787" t="s">
        <v>16</v>
      </c>
      <c r="B11787" t="s">
        <v>3221</v>
      </c>
      <c r="C11787">
        <v>4242</v>
      </c>
      <c r="D11787" t="s">
        <v>3258</v>
      </c>
      <c r="E11787" t="s">
        <v>3259</v>
      </c>
      <c r="F11787">
        <v>120</v>
      </c>
      <c r="G11787">
        <v>230330</v>
      </c>
      <c r="H11787">
        <v>4400</v>
      </c>
      <c r="I11787" t="s">
        <v>348</v>
      </c>
      <c r="J11787">
        <v>120</v>
      </c>
      <c r="K11787">
        <v>0</v>
      </c>
      <c r="L11787">
        <v>17522</v>
      </c>
      <c r="M11787" t="s">
        <v>451</v>
      </c>
      <c r="N11787" t="str">
        <f>"70039497    "</f>
        <v xml:space="preserve">70039497    </v>
      </c>
      <c r="O11787">
        <v>230403</v>
      </c>
    </row>
    <row r="11788" spans="1:15" x14ac:dyDescent="0.25">
      <c r="A11788" t="s">
        <v>16</v>
      </c>
      <c r="B11788" t="s">
        <v>3221</v>
      </c>
      <c r="C11788">
        <v>2316</v>
      </c>
      <c r="D11788" t="s">
        <v>1354</v>
      </c>
      <c r="E11788" t="s">
        <v>1355</v>
      </c>
      <c r="F11788">
        <v>160.47999999999999</v>
      </c>
      <c r="G11788">
        <v>230206</v>
      </c>
      <c r="H11788">
        <v>4341</v>
      </c>
      <c r="I11788" t="s">
        <v>32</v>
      </c>
      <c r="J11788">
        <v>199</v>
      </c>
      <c r="K11788">
        <v>38.520000000000003</v>
      </c>
      <c r="L11788">
        <v>49501</v>
      </c>
      <c r="M11788" t="s">
        <v>177</v>
      </c>
      <c r="N11788" t="str">
        <f>"60577672    "</f>
        <v xml:space="preserve">60577672    </v>
      </c>
      <c r="O11788">
        <v>230224</v>
      </c>
    </row>
    <row r="11789" spans="1:15" x14ac:dyDescent="0.25">
      <c r="A11789" t="s">
        <v>16</v>
      </c>
      <c r="B11789" t="s">
        <v>3221</v>
      </c>
      <c r="C11789">
        <v>2316</v>
      </c>
      <c r="D11789" t="s">
        <v>1354</v>
      </c>
      <c r="E11789" t="s">
        <v>1355</v>
      </c>
      <c r="F11789">
        <v>38.520000000000003</v>
      </c>
      <c r="G11789">
        <v>230206</v>
      </c>
      <c r="H11789">
        <v>4341</v>
      </c>
      <c r="I11789" t="s">
        <v>32</v>
      </c>
      <c r="J11789">
        <v>47.76</v>
      </c>
      <c r="K11789">
        <v>9.24</v>
      </c>
      <c r="L11789">
        <v>49503</v>
      </c>
      <c r="M11789" t="s">
        <v>178</v>
      </c>
      <c r="N11789" t="str">
        <f>"60577672    "</f>
        <v xml:space="preserve">60577672    </v>
      </c>
      <c r="O11789">
        <v>230224</v>
      </c>
    </row>
    <row r="11790" spans="1:15" x14ac:dyDescent="0.25">
      <c r="A11790" t="s">
        <v>16</v>
      </c>
      <c r="B11790" t="s">
        <v>3221</v>
      </c>
      <c r="C11790">
        <v>2316</v>
      </c>
      <c r="D11790" t="s">
        <v>1354</v>
      </c>
      <c r="E11790" t="s">
        <v>1355</v>
      </c>
      <c r="F11790">
        <v>55</v>
      </c>
      <c r="G11790">
        <v>230206</v>
      </c>
      <c r="H11790">
        <v>4341</v>
      </c>
      <c r="I11790" t="s">
        <v>32</v>
      </c>
      <c r="J11790">
        <v>68.2</v>
      </c>
      <c r="K11790">
        <v>13.2</v>
      </c>
      <c r="L11790">
        <v>59501</v>
      </c>
      <c r="M11790" t="s">
        <v>69</v>
      </c>
      <c r="N11790" t="str">
        <f>"60577672    "</f>
        <v xml:space="preserve">60577672    </v>
      </c>
      <c r="O11790">
        <v>230224</v>
      </c>
    </row>
    <row r="11791" spans="1:15" x14ac:dyDescent="0.25">
      <c r="A11791" t="s">
        <v>16</v>
      </c>
      <c r="B11791" t="s">
        <v>3221</v>
      </c>
      <c r="C11791">
        <v>2316</v>
      </c>
      <c r="D11791" t="s">
        <v>1354</v>
      </c>
      <c r="E11791" t="s">
        <v>1355</v>
      </c>
      <c r="F11791">
        <v>38.43</v>
      </c>
      <c r="G11791">
        <v>230206</v>
      </c>
      <c r="H11791">
        <v>4341</v>
      </c>
      <c r="I11791" t="s">
        <v>32</v>
      </c>
      <c r="J11791">
        <v>47.65</v>
      </c>
      <c r="K11791">
        <v>9.2200000000000006</v>
      </c>
      <c r="L11791">
        <v>59502</v>
      </c>
      <c r="M11791" t="s">
        <v>70</v>
      </c>
      <c r="N11791" t="str">
        <f>"60577672    "</f>
        <v xml:space="preserve">60577672    </v>
      </c>
      <c r="O11791">
        <v>230224</v>
      </c>
    </row>
    <row r="11792" spans="1:15" x14ac:dyDescent="0.25">
      <c r="A11792" t="s">
        <v>16</v>
      </c>
      <c r="B11792" t="s">
        <v>3221</v>
      </c>
      <c r="C11792">
        <v>2316</v>
      </c>
      <c r="D11792" t="s">
        <v>1354</v>
      </c>
      <c r="E11792" t="s">
        <v>1355</v>
      </c>
      <c r="F11792">
        <v>24.57</v>
      </c>
      <c r="G11792">
        <v>230206</v>
      </c>
      <c r="H11792">
        <v>4341</v>
      </c>
      <c r="I11792" t="s">
        <v>32</v>
      </c>
      <c r="J11792">
        <v>30.47</v>
      </c>
      <c r="K11792">
        <v>5.9</v>
      </c>
      <c r="L11792">
        <v>59802</v>
      </c>
      <c r="M11792" t="s">
        <v>73</v>
      </c>
      <c r="N11792" t="str">
        <f>"60577672    "</f>
        <v xml:space="preserve">60577672    </v>
      </c>
      <c r="O11792">
        <v>230224</v>
      </c>
    </row>
    <row r="11793" spans="1:15" x14ac:dyDescent="0.25">
      <c r="A11793" t="s">
        <v>16</v>
      </c>
      <c r="B11793" t="s">
        <v>3221</v>
      </c>
      <c r="C11793">
        <v>3516</v>
      </c>
      <c r="D11793" t="s">
        <v>1354</v>
      </c>
      <c r="E11793" t="s">
        <v>1355</v>
      </c>
      <c r="F11793">
        <v>199</v>
      </c>
      <c r="G11793">
        <v>230306</v>
      </c>
      <c r="H11793">
        <v>4341</v>
      </c>
      <c r="I11793" t="s">
        <v>32</v>
      </c>
      <c r="J11793">
        <v>246.76</v>
      </c>
      <c r="K11793">
        <v>47.76</v>
      </c>
      <c r="L11793">
        <v>49501</v>
      </c>
      <c r="M11793" t="s">
        <v>177</v>
      </c>
      <c r="N11793" t="str">
        <f>"60578885    "</f>
        <v xml:space="preserve">60578885    </v>
      </c>
      <c r="O11793">
        <v>230316</v>
      </c>
    </row>
    <row r="11794" spans="1:15" x14ac:dyDescent="0.25">
      <c r="A11794" t="s">
        <v>16</v>
      </c>
      <c r="B11794" t="s">
        <v>3221</v>
      </c>
      <c r="C11794">
        <v>4997</v>
      </c>
      <c r="D11794" t="s">
        <v>1354</v>
      </c>
      <c r="E11794" t="s">
        <v>1355</v>
      </c>
      <c r="F11794">
        <v>136</v>
      </c>
      <c r="G11794">
        <v>230404</v>
      </c>
      <c r="H11794">
        <v>4341</v>
      </c>
      <c r="I11794" t="s">
        <v>32</v>
      </c>
      <c r="J11794">
        <v>168.64</v>
      </c>
      <c r="K11794">
        <v>32.64</v>
      </c>
      <c r="L11794">
        <v>49501</v>
      </c>
      <c r="M11794" t="s">
        <v>177</v>
      </c>
      <c r="N11794" t="str">
        <f>"60580135    "</f>
        <v xml:space="preserve">60580135    </v>
      </c>
      <c r="O11794">
        <v>230417</v>
      </c>
    </row>
    <row r="11795" spans="1:15" x14ac:dyDescent="0.25">
      <c r="A11795" t="s">
        <v>16</v>
      </c>
      <c r="B11795" t="s">
        <v>3221</v>
      </c>
      <c r="C11795">
        <v>4997</v>
      </c>
      <c r="D11795" t="s">
        <v>1354</v>
      </c>
      <c r="E11795" t="s">
        <v>1355</v>
      </c>
      <c r="F11795">
        <v>63</v>
      </c>
      <c r="G11795">
        <v>230404</v>
      </c>
      <c r="H11795">
        <v>4341</v>
      </c>
      <c r="I11795" t="s">
        <v>32</v>
      </c>
      <c r="J11795">
        <v>78.12</v>
      </c>
      <c r="K11795">
        <v>15.12</v>
      </c>
      <c r="L11795">
        <v>49503</v>
      </c>
      <c r="M11795" t="s">
        <v>178</v>
      </c>
      <c r="N11795" t="str">
        <f>"60580135    "</f>
        <v xml:space="preserve">60580135    </v>
      </c>
      <c r="O11795">
        <v>230417</v>
      </c>
    </row>
    <row r="11796" spans="1:15" x14ac:dyDescent="0.25">
      <c r="A11796" t="s">
        <v>16</v>
      </c>
      <c r="B11796" t="s">
        <v>3221</v>
      </c>
      <c r="C11796">
        <v>4997</v>
      </c>
      <c r="D11796" t="s">
        <v>1354</v>
      </c>
      <c r="E11796" t="s">
        <v>1355</v>
      </c>
      <c r="F11796">
        <v>55</v>
      </c>
      <c r="G11796">
        <v>230404</v>
      </c>
      <c r="H11796">
        <v>4341</v>
      </c>
      <c r="I11796" t="s">
        <v>32</v>
      </c>
      <c r="J11796">
        <v>68.2</v>
      </c>
      <c r="K11796">
        <v>13.2</v>
      </c>
      <c r="L11796">
        <v>59501</v>
      </c>
      <c r="M11796" t="s">
        <v>69</v>
      </c>
      <c r="N11796" t="str">
        <f>"60580135    "</f>
        <v xml:space="preserve">60580135    </v>
      </c>
      <c r="O11796">
        <v>230417</v>
      </c>
    </row>
    <row r="11797" spans="1:15" x14ac:dyDescent="0.25">
      <c r="A11797" t="s">
        <v>16</v>
      </c>
      <c r="B11797" t="s">
        <v>3221</v>
      </c>
      <c r="C11797">
        <v>4997</v>
      </c>
      <c r="D11797" t="s">
        <v>1354</v>
      </c>
      <c r="E11797" t="s">
        <v>1355</v>
      </c>
      <c r="F11797">
        <v>38.43</v>
      </c>
      <c r="G11797">
        <v>230404</v>
      </c>
      <c r="H11797">
        <v>4341</v>
      </c>
      <c r="I11797" t="s">
        <v>32</v>
      </c>
      <c r="J11797">
        <v>47.65</v>
      </c>
      <c r="K11797">
        <v>9.2200000000000006</v>
      </c>
      <c r="L11797">
        <v>59502</v>
      </c>
      <c r="M11797" t="s">
        <v>70</v>
      </c>
      <c r="N11797" t="str">
        <f>"60580135    "</f>
        <v xml:space="preserve">60580135    </v>
      </c>
      <c r="O11797">
        <v>230417</v>
      </c>
    </row>
    <row r="11798" spans="1:15" x14ac:dyDescent="0.25">
      <c r="A11798" t="s">
        <v>16</v>
      </c>
      <c r="B11798" t="s">
        <v>3221</v>
      </c>
      <c r="C11798">
        <v>4997</v>
      </c>
      <c r="D11798" t="s">
        <v>1354</v>
      </c>
      <c r="E11798" t="s">
        <v>1355</v>
      </c>
      <c r="F11798">
        <v>24.57</v>
      </c>
      <c r="G11798">
        <v>230404</v>
      </c>
      <c r="H11798">
        <v>4341</v>
      </c>
      <c r="I11798" t="s">
        <v>32</v>
      </c>
      <c r="J11798">
        <v>30.47</v>
      </c>
      <c r="K11798">
        <v>5.9</v>
      </c>
      <c r="L11798">
        <v>59802</v>
      </c>
      <c r="M11798" t="s">
        <v>73</v>
      </c>
      <c r="N11798" t="str">
        <f>"60580135    "</f>
        <v xml:space="preserve">60580135    </v>
      </c>
      <c r="O11798">
        <v>230417</v>
      </c>
    </row>
    <row r="11799" spans="1:15" x14ac:dyDescent="0.25">
      <c r="A11799" t="s">
        <v>16</v>
      </c>
      <c r="B11799" t="s">
        <v>3221</v>
      </c>
      <c r="C11799">
        <v>6659</v>
      </c>
      <c r="D11799" t="s">
        <v>1354</v>
      </c>
      <c r="E11799" t="s">
        <v>1355</v>
      </c>
      <c r="F11799">
        <v>136</v>
      </c>
      <c r="G11799">
        <v>230503</v>
      </c>
      <c r="H11799">
        <v>4341</v>
      </c>
      <c r="I11799" t="s">
        <v>32</v>
      </c>
      <c r="J11799">
        <v>168.64</v>
      </c>
      <c r="K11799">
        <v>32.64</v>
      </c>
      <c r="L11799">
        <v>49501</v>
      </c>
      <c r="M11799" t="s">
        <v>177</v>
      </c>
      <c r="N11799" t="str">
        <f>"60581351    "</f>
        <v xml:space="preserve">60581351    </v>
      </c>
      <c r="O11799">
        <v>230517</v>
      </c>
    </row>
    <row r="11800" spans="1:15" x14ac:dyDescent="0.25">
      <c r="A11800" t="s">
        <v>16</v>
      </c>
      <c r="B11800" t="s">
        <v>3221</v>
      </c>
      <c r="C11800">
        <v>6659</v>
      </c>
      <c r="D11800" t="s">
        <v>1354</v>
      </c>
      <c r="E11800" t="s">
        <v>1355</v>
      </c>
      <c r="F11800">
        <v>63</v>
      </c>
      <c r="G11800">
        <v>230503</v>
      </c>
      <c r="H11800">
        <v>4341</v>
      </c>
      <c r="I11800" t="s">
        <v>32</v>
      </c>
      <c r="J11800">
        <v>78.12</v>
      </c>
      <c r="K11800">
        <v>15.12</v>
      </c>
      <c r="L11800">
        <v>49503</v>
      </c>
      <c r="M11800" t="s">
        <v>178</v>
      </c>
      <c r="N11800" t="str">
        <f>"60581351    "</f>
        <v xml:space="preserve">60581351    </v>
      </c>
      <c r="O11800">
        <v>230517</v>
      </c>
    </row>
    <row r="11801" spans="1:15" x14ac:dyDescent="0.25">
      <c r="A11801" t="s">
        <v>16</v>
      </c>
      <c r="B11801" t="s">
        <v>3221</v>
      </c>
      <c r="C11801">
        <v>6659</v>
      </c>
      <c r="D11801" t="s">
        <v>1354</v>
      </c>
      <c r="E11801" t="s">
        <v>1355</v>
      </c>
      <c r="F11801">
        <v>55</v>
      </c>
      <c r="G11801">
        <v>230503</v>
      </c>
      <c r="H11801">
        <v>4341</v>
      </c>
      <c r="I11801" t="s">
        <v>32</v>
      </c>
      <c r="J11801">
        <v>68.2</v>
      </c>
      <c r="K11801">
        <v>13.2</v>
      </c>
      <c r="L11801">
        <v>59501</v>
      </c>
      <c r="M11801" t="s">
        <v>69</v>
      </c>
      <c r="N11801" t="str">
        <f>"60581351    "</f>
        <v xml:space="preserve">60581351    </v>
      </c>
      <c r="O11801">
        <v>230517</v>
      </c>
    </row>
    <row r="11802" spans="1:15" x14ac:dyDescent="0.25">
      <c r="A11802" t="s">
        <v>16</v>
      </c>
      <c r="B11802" t="s">
        <v>3221</v>
      </c>
      <c r="C11802">
        <v>6659</v>
      </c>
      <c r="D11802" t="s">
        <v>1354</v>
      </c>
      <c r="E11802" t="s">
        <v>1355</v>
      </c>
      <c r="F11802">
        <v>63</v>
      </c>
      <c r="G11802">
        <v>230503</v>
      </c>
      <c r="H11802">
        <v>4341</v>
      </c>
      <c r="I11802" t="s">
        <v>32</v>
      </c>
      <c r="J11802">
        <v>78.12</v>
      </c>
      <c r="K11802">
        <v>15.12</v>
      </c>
      <c r="L11802">
        <v>59502</v>
      </c>
      <c r="M11802" t="s">
        <v>70</v>
      </c>
      <c r="N11802" t="str">
        <f>"60581351    "</f>
        <v xml:space="preserve">60581351    </v>
      </c>
      <c r="O11802">
        <v>230517</v>
      </c>
    </row>
    <row r="11803" spans="1:15" x14ac:dyDescent="0.25">
      <c r="A11803" t="s">
        <v>16</v>
      </c>
      <c r="B11803" t="s">
        <v>3221</v>
      </c>
      <c r="C11803">
        <v>8529</v>
      </c>
      <c r="D11803" t="s">
        <v>1354</v>
      </c>
      <c r="E11803" t="s">
        <v>1355</v>
      </c>
      <c r="F11803">
        <v>136</v>
      </c>
      <c r="G11803">
        <v>230602</v>
      </c>
      <c r="H11803">
        <v>4341</v>
      </c>
      <c r="I11803" t="s">
        <v>32</v>
      </c>
      <c r="J11803">
        <v>168.64</v>
      </c>
      <c r="K11803">
        <v>32.64</v>
      </c>
      <c r="L11803">
        <v>49501</v>
      </c>
      <c r="M11803" t="s">
        <v>177</v>
      </c>
      <c r="N11803" t="str">
        <f>"60582481    "</f>
        <v xml:space="preserve">60582481    </v>
      </c>
      <c r="O11803">
        <v>230612</v>
      </c>
    </row>
    <row r="11804" spans="1:15" x14ac:dyDescent="0.25">
      <c r="A11804" t="s">
        <v>16</v>
      </c>
      <c r="B11804" t="s">
        <v>3221</v>
      </c>
      <c r="C11804">
        <v>8529</v>
      </c>
      <c r="D11804" t="s">
        <v>1354</v>
      </c>
      <c r="E11804" t="s">
        <v>1355</v>
      </c>
      <c r="F11804">
        <v>63</v>
      </c>
      <c r="G11804">
        <v>230602</v>
      </c>
      <c r="H11804">
        <v>4341</v>
      </c>
      <c r="I11804" t="s">
        <v>32</v>
      </c>
      <c r="J11804">
        <v>78.12</v>
      </c>
      <c r="K11804">
        <v>15.12</v>
      </c>
      <c r="L11804">
        <v>49503</v>
      </c>
      <c r="M11804" t="s">
        <v>178</v>
      </c>
      <c r="N11804" t="str">
        <f>"60582481    "</f>
        <v xml:space="preserve">60582481    </v>
      </c>
      <c r="O11804">
        <v>230612</v>
      </c>
    </row>
    <row r="11805" spans="1:15" x14ac:dyDescent="0.25">
      <c r="A11805" t="s">
        <v>16</v>
      </c>
      <c r="B11805" t="s">
        <v>3221</v>
      </c>
      <c r="C11805">
        <v>8529</v>
      </c>
      <c r="D11805" t="s">
        <v>1354</v>
      </c>
      <c r="E11805" t="s">
        <v>1355</v>
      </c>
      <c r="F11805">
        <v>38.43</v>
      </c>
      <c r="G11805">
        <v>230602</v>
      </c>
      <c r="H11805">
        <v>4341</v>
      </c>
      <c r="I11805" t="s">
        <v>32</v>
      </c>
      <c r="J11805">
        <v>47.65</v>
      </c>
      <c r="K11805">
        <v>9.2200000000000006</v>
      </c>
      <c r="L11805">
        <v>59501</v>
      </c>
      <c r="M11805" t="s">
        <v>69</v>
      </c>
      <c r="N11805" t="str">
        <f>"60582481    "</f>
        <v xml:space="preserve">60582481    </v>
      </c>
      <c r="O11805">
        <v>230612</v>
      </c>
    </row>
    <row r="11806" spans="1:15" x14ac:dyDescent="0.25">
      <c r="A11806" t="s">
        <v>16</v>
      </c>
      <c r="B11806" t="s">
        <v>3221</v>
      </c>
      <c r="C11806">
        <v>8529</v>
      </c>
      <c r="D11806" t="s">
        <v>1354</v>
      </c>
      <c r="E11806" t="s">
        <v>1355</v>
      </c>
      <c r="F11806">
        <v>24.57</v>
      </c>
      <c r="G11806">
        <v>230602</v>
      </c>
      <c r="H11806">
        <v>4341</v>
      </c>
      <c r="I11806" t="s">
        <v>32</v>
      </c>
      <c r="J11806">
        <v>30.47</v>
      </c>
      <c r="K11806">
        <v>5.9</v>
      </c>
      <c r="L11806">
        <v>59502</v>
      </c>
      <c r="M11806" t="s">
        <v>70</v>
      </c>
      <c r="N11806" t="str">
        <f>"60582481    "</f>
        <v xml:space="preserve">60582481    </v>
      </c>
      <c r="O11806">
        <v>230612</v>
      </c>
    </row>
    <row r="11807" spans="1:15" x14ac:dyDescent="0.25">
      <c r="A11807" t="s">
        <v>16</v>
      </c>
      <c r="B11807" t="s">
        <v>3221</v>
      </c>
      <c r="C11807">
        <v>8529</v>
      </c>
      <c r="D11807" t="s">
        <v>1354</v>
      </c>
      <c r="E11807" t="s">
        <v>1355</v>
      </c>
      <c r="F11807">
        <v>55</v>
      </c>
      <c r="G11807">
        <v>230602</v>
      </c>
      <c r="H11807">
        <v>4341</v>
      </c>
      <c r="I11807" t="s">
        <v>32</v>
      </c>
      <c r="J11807">
        <v>68.2</v>
      </c>
      <c r="K11807">
        <v>13.2</v>
      </c>
      <c r="L11807">
        <v>59802</v>
      </c>
      <c r="M11807" t="s">
        <v>73</v>
      </c>
      <c r="N11807" t="str">
        <f>"60582481    "</f>
        <v xml:space="preserve">60582481    </v>
      </c>
      <c r="O11807">
        <v>230612</v>
      </c>
    </row>
    <row r="11808" spans="1:15" x14ac:dyDescent="0.25">
      <c r="A11808" t="s">
        <v>16</v>
      </c>
      <c r="B11808" t="s">
        <v>3221</v>
      </c>
      <c r="C11808">
        <v>9753</v>
      </c>
      <c r="D11808" t="s">
        <v>1354</v>
      </c>
      <c r="E11808" t="s">
        <v>1355</v>
      </c>
      <c r="F11808">
        <v>136</v>
      </c>
      <c r="G11808">
        <v>230704</v>
      </c>
      <c r="H11808">
        <v>4341</v>
      </c>
      <c r="I11808" t="s">
        <v>32</v>
      </c>
      <c r="J11808">
        <v>168.64</v>
      </c>
      <c r="K11808">
        <v>32.64</v>
      </c>
      <c r="L11808">
        <v>49501</v>
      </c>
      <c r="M11808" t="s">
        <v>177</v>
      </c>
      <c r="N11808" t="str">
        <f>"60583852    "</f>
        <v xml:space="preserve">60583852    </v>
      </c>
      <c r="O11808">
        <v>230725</v>
      </c>
    </row>
    <row r="11809" spans="1:15" x14ac:dyDescent="0.25">
      <c r="A11809" t="s">
        <v>16</v>
      </c>
      <c r="B11809" t="s">
        <v>3221</v>
      </c>
      <c r="C11809">
        <v>9753</v>
      </c>
      <c r="D11809" t="s">
        <v>1354</v>
      </c>
      <c r="E11809" t="s">
        <v>1355</v>
      </c>
      <c r="F11809">
        <v>63</v>
      </c>
      <c r="G11809">
        <v>230704</v>
      </c>
      <c r="H11809">
        <v>4341</v>
      </c>
      <c r="I11809" t="s">
        <v>32</v>
      </c>
      <c r="J11809">
        <v>78.12</v>
      </c>
      <c r="K11809">
        <v>15.12</v>
      </c>
      <c r="L11809">
        <v>49503</v>
      </c>
      <c r="M11809" t="s">
        <v>178</v>
      </c>
      <c r="N11809" t="str">
        <f>"60583852    "</f>
        <v xml:space="preserve">60583852    </v>
      </c>
      <c r="O11809">
        <v>230725</v>
      </c>
    </row>
    <row r="11810" spans="1:15" x14ac:dyDescent="0.25">
      <c r="A11810" t="s">
        <v>16</v>
      </c>
      <c r="B11810" t="s">
        <v>3221</v>
      </c>
      <c r="C11810">
        <v>9753</v>
      </c>
      <c r="D11810" t="s">
        <v>1354</v>
      </c>
      <c r="E11810" t="s">
        <v>1355</v>
      </c>
      <c r="F11810">
        <v>118</v>
      </c>
      <c r="G11810">
        <v>230704</v>
      </c>
      <c r="H11810">
        <v>4341</v>
      </c>
      <c r="I11810" t="s">
        <v>32</v>
      </c>
      <c r="J11810">
        <v>146.32</v>
      </c>
      <c r="K11810">
        <v>28.32</v>
      </c>
      <c r="L11810">
        <v>59501</v>
      </c>
      <c r="M11810" t="s">
        <v>69</v>
      </c>
      <c r="N11810" t="str">
        <f>"60583852    "</f>
        <v xml:space="preserve">60583852    </v>
      </c>
      <c r="O11810">
        <v>230725</v>
      </c>
    </row>
    <row r="11811" spans="1:15" x14ac:dyDescent="0.25">
      <c r="A11811" t="s">
        <v>16</v>
      </c>
      <c r="B11811" t="s">
        <v>3221</v>
      </c>
      <c r="C11811">
        <v>10235</v>
      </c>
      <c r="D11811" t="s">
        <v>1354</v>
      </c>
      <c r="E11811" t="s">
        <v>1355</v>
      </c>
      <c r="F11811">
        <v>136</v>
      </c>
      <c r="G11811">
        <v>230802</v>
      </c>
      <c r="H11811">
        <v>4341</v>
      </c>
      <c r="I11811" t="s">
        <v>32</v>
      </c>
      <c r="J11811">
        <v>168.64</v>
      </c>
      <c r="K11811">
        <v>32.64</v>
      </c>
      <c r="L11811">
        <v>49501</v>
      </c>
      <c r="M11811" t="s">
        <v>177</v>
      </c>
      <c r="N11811" t="str">
        <f>"60584988    "</f>
        <v xml:space="preserve">60584988    </v>
      </c>
      <c r="O11811">
        <v>230810</v>
      </c>
    </row>
    <row r="11812" spans="1:15" x14ac:dyDescent="0.25">
      <c r="A11812" t="s">
        <v>16</v>
      </c>
      <c r="B11812" t="s">
        <v>3221</v>
      </c>
      <c r="C11812">
        <v>10235</v>
      </c>
      <c r="D11812" t="s">
        <v>1354</v>
      </c>
      <c r="E11812" t="s">
        <v>1355</v>
      </c>
      <c r="F11812">
        <v>63</v>
      </c>
      <c r="G11812">
        <v>230802</v>
      </c>
      <c r="H11812">
        <v>4341</v>
      </c>
      <c r="I11812" t="s">
        <v>32</v>
      </c>
      <c r="J11812">
        <v>78.12</v>
      </c>
      <c r="K11812">
        <v>15.12</v>
      </c>
      <c r="L11812">
        <v>49503</v>
      </c>
      <c r="M11812" t="s">
        <v>178</v>
      </c>
      <c r="N11812" t="str">
        <f>"60584988    "</f>
        <v xml:space="preserve">60584988    </v>
      </c>
      <c r="O11812">
        <v>230810</v>
      </c>
    </row>
    <row r="11813" spans="1:15" x14ac:dyDescent="0.25">
      <c r="A11813" t="s">
        <v>16</v>
      </c>
      <c r="B11813" t="s">
        <v>3221</v>
      </c>
      <c r="C11813">
        <v>10235</v>
      </c>
      <c r="D11813" t="s">
        <v>1354</v>
      </c>
      <c r="E11813" t="s">
        <v>1355</v>
      </c>
      <c r="F11813">
        <v>55</v>
      </c>
      <c r="G11813">
        <v>230802</v>
      </c>
      <c r="H11813">
        <v>4341</v>
      </c>
      <c r="I11813" t="s">
        <v>32</v>
      </c>
      <c r="J11813">
        <v>68.2</v>
      </c>
      <c r="K11813">
        <v>13.2</v>
      </c>
      <c r="L11813">
        <v>59501</v>
      </c>
      <c r="M11813" t="s">
        <v>69</v>
      </c>
      <c r="N11813" t="str">
        <f>"60584988    "</f>
        <v xml:space="preserve">60584988    </v>
      </c>
      <c r="O11813">
        <v>230810</v>
      </c>
    </row>
    <row r="11814" spans="1:15" x14ac:dyDescent="0.25">
      <c r="A11814" t="s">
        <v>16</v>
      </c>
      <c r="B11814" t="s">
        <v>3221</v>
      </c>
      <c r="C11814">
        <v>10235</v>
      </c>
      <c r="D11814" t="s">
        <v>1354</v>
      </c>
      <c r="E11814" t="s">
        <v>1355</v>
      </c>
      <c r="F11814">
        <v>38.43</v>
      </c>
      <c r="G11814">
        <v>230802</v>
      </c>
      <c r="H11814">
        <v>4341</v>
      </c>
      <c r="I11814" t="s">
        <v>32</v>
      </c>
      <c r="J11814">
        <v>47.65</v>
      </c>
      <c r="K11814">
        <v>9.2200000000000006</v>
      </c>
      <c r="L11814">
        <v>59502</v>
      </c>
      <c r="M11814" t="s">
        <v>70</v>
      </c>
      <c r="N11814" t="str">
        <f>"60584988    "</f>
        <v xml:space="preserve">60584988    </v>
      </c>
      <c r="O11814">
        <v>230810</v>
      </c>
    </row>
    <row r="11815" spans="1:15" x14ac:dyDescent="0.25">
      <c r="A11815" t="s">
        <v>16</v>
      </c>
      <c r="B11815" t="s">
        <v>3221</v>
      </c>
      <c r="C11815">
        <v>10235</v>
      </c>
      <c r="D11815" t="s">
        <v>1354</v>
      </c>
      <c r="E11815" t="s">
        <v>1355</v>
      </c>
      <c r="F11815">
        <v>24.57</v>
      </c>
      <c r="G11815">
        <v>230802</v>
      </c>
      <c r="H11815">
        <v>4341</v>
      </c>
      <c r="I11815" t="s">
        <v>32</v>
      </c>
      <c r="J11815">
        <v>30.47</v>
      </c>
      <c r="K11815">
        <v>5.9</v>
      </c>
      <c r="L11815">
        <v>59802</v>
      </c>
      <c r="M11815" t="s">
        <v>73</v>
      </c>
      <c r="N11815" t="str">
        <f>"60584988    "</f>
        <v xml:space="preserve">60584988    </v>
      </c>
      <c r="O11815">
        <v>230810</v>
      </c>
    </row>
    <row r="11816" spans="1:15" x14ac:dyDescent="0.25">
      <c r="A11816" t="s">
        <v>16</v>
      </c>
      <c r="B11816" t="s">
        <v>3221</v>
      </c>
      <c r="C11816">
        <v>11784</v>
      </c>
      <c r="D11816" t="s">
        <v>1354</v>
      </c>
      <c r="E11816" t="s">
        <v>1355</v>
      </c>
      <c r="F11816">
        <v>136</v>
      </c>
      <c r="G11816">
        <v>230904</v>
      </c>
      <c r="H11816">
        <v>4341</v>
      </c>
      <c r="I11816" t="s">
        <v>32</v>
      </c>
      <c r="J11816">
        <v>168.64</v>
      </c>
      <c r="K11816">
        <v>32.64</v>
      </c>
      <c r="L11816">
        <v>49501</v>
      </c>
      <c r="M11816" t="s">
        <v>177</v>
      </c>
      <c r="N11816" t="str">
        <f>"60586192    "</f>
        <v xml:space="preserve">60586192    </v>
      </c>
      <c r="O11816">
        <v>230911</v>
      </c>
    </row>
    <row r="11817" spans="1:15" x14ac:dyDescent="0.25">
      <c r="A11817" t="s">
        <v>16</v>
      </c>
      <c r="B11817" t="s">
        <v>3221</v>
      </c>
      <c r="C11817">
        <v>11784</v>
      </c>
      <c r="D11817" t="s">
        <v>1354</v>
      </c>
      <c r="E11817" t="s">
        <v>1355</v>
      </c>
      <c r="F11817">
        <v>63</v>
      </c>
      <c r="G11817">
        <v>230904</v>
      </c>
      <c r="H11817">
        <v>4341</v>
      </c>
      <c r="I11817" t="s">
        <v>32</v>
      </c>
      <c r="J11817">
        <v>78.12</v>
      </c>
      <c r="K11817">
        <v>15.12</v>
      </c>
      <c r="L11817">
        <v>49503</v>
      </c>
      <c r="M11817" t="s">
        <v>178</v>
      </c>
      <c r="N11817" t="str">
        <f>"60586192    "</f>
        <v xml:space="preserve">60586192    </v>
      </c>
      <c r="O11817">
        <v>230911</v>
      </c>
    </row>
    <row r="11818" spans="1:15" x14ac:dyDescent="0.25">
      <c r="A11818" t="s">
        <v>16</v>
      </c>
      <c r="B11818" t="s">
        <v>3221</v>
      </c>
      <c r="C11818">
        <v>11784</v>
      </c>
      <c r="D11818" t="s">
        <v>1354</v>
      </c>
      <c r="E11818" t="s">
        <v>1355</v>
      </c>
      <c r="F11818">
        <v>38.42</v>
      </c>
      <c r="G11818">
        <v>230904</v>
      </c>
      <c r="H11818">
        <v>4341</v>
      </c>
      <c r="I11818" t="s">
        <v>32</v>
      </c>
      <c r="J11818">
        <v>47.64</v>
      </c>
      <c r="K11818">
        <v>9.2200000000000006</v>
      </c>
      <c r="L11818">
        <v>59501</v>
      </c>
      <c r="M11818" t="s">
        <v>69</v>
      </c>
      <c r="N11818" t="str">
        <f>"60586192    "</f>
        <v xml:space="preserve">60586192    </v>
      </c>
      <c r="O11818">
        <v>230911</v>
      </c>
    </row>
    <row r="11819" spans="1:15" x14ac:dyDescent="0.25">
      <c r="A11819" t="s">
        <v>16</v>
      </c>
      <c r="B11819" t="s">
        <v>3221</v>
      </c>
      <c r="C11819">
        <v>11784</v>
      </c>
      <c r="D11819" t="s">
        <v>1354</v>
      </c>
      <c r="E11819" t="s">
        <v>1355</v>
      </c>
      <c r="F11819">
        <v>24.58</v>
      </c>
      <c r="G11819">
        <v>230904</v>
      </c>
      <c r="H11819">
        <v>4341</v>
      </c>
      <c r="I11819" t="s">
        <v>32</v>
      </c>
      <c r="J11819">
        <v>30.48</v>
      </c>
      <c r="K11819">
        <v>5.9</v>
      </c>
      <c r="L11819">
        <v>59502</v>
      </c>
      <c r="M11819" t="s">
        <v>70</v>
      </c>
      <c r="N11819" t="str">
        <f>"60586192    "</f>
        <v xml:space="preserve">60586192    </v>
      </c>
      <c r="O11819">
        <v>230911</v>
      </c>
    </row>
    <row r="11820" spans="1:15" x14ac:dyDescent="0.25">
      <c r="A11820" t="s">
        <v>16</v>
      </c>
      <c r="B11820" t="s">
        <v>3221</v>
      </c>
      <c r="C11820">
        <v>11784</v>
      </c>
      <c r="D11820" t="s">
        <v>1354</v>
      </c>
      <c r="E11820" t="s">
        <v>1355</v>
      </c>
      <c r="F11820">
        <v>55</v>
      </c>
      <c r="G11820">
        <v>230904</v>
      </c>
      <c r="H11820">
        <v>4341</v>
      </c>
      <c r="I11820" t="s">
        <v>32</v>
      </c>
      <c r="J11820">
        <v>68.2</v>
      </c>
      <c r="K11820">
        <v>13.2</v>
      </c>
      <c r="L11820">
        <v>59802</v>
      </c>
      <c r="M11820" t="s">
        <v>73</v>
      </c>
      <c r="N11820" t="str">
        <f>"60586192    "</f>
        <v xml:space="preserve">60586192    </v>
      </c>
      <c r="O11820">
        <v>230911</v>
      </c>
    </row>
    <row r="11821" spans="1:15" x14ac:dyDescent="0.25">
      <c r="A11821" t="s">
        <v>16</v>
      </c>
      <c r="B11821" t="s">
        <v>3221</v>
      </c>
      <c r="C11821">
        <v>13686</v>
      </c>
      <c r="D11821" t="s">
        <v>1354</v>
      </c>
      <c r="E11821" t="s">
        <v>1355</v>
      </c>
      <c r="F11821">
        <v>136</v>
      </c>
      <c r="G11821">
        <v>231003</v>
      </c>
      <c r="H11821">
        <v>4341</v>
      </c>
      <c r="I11821" t="s">
        <v>32</v>
      </c>
      <c r="J11821">
        <v>168.64</v>
      </c>
      <c r="K11821">
        <v>32.64</v>
      </c>
      <c r="L11821">
        <v>49501</v>
      </c>
      <c r="M11821" t="s">
        <v>177</v>
      </c>
      <c r="N11821" t="str">
        <f>"60587449    "</f>
        <v xml:space="preserve">60587449    </v>
      </c>
      <c r="O11821">
        <v>231012</v>
      </c>
    </row>
    <row r="11822" spans="1:15" x14ac:dyDescent="0.25">
      <c r="A11822" t="s">
        <v>16</v>
      </c>
      <c r="B11822" t="s">
        <v>3221</v>
      </c>
      <c r="C11822">
        <v>13686</v>
      </c>
      <c r="D11822" t="s">
        <v>1354</v>
      </c>
      <c r="E11822" t="s">
        <v>1355</v>
      </c>
      <c r="F11822">
        <v>62.98</v>
      </c>
      <c r="G11822">
        <v>231003</v>
      </c>
      <c r="H11822">
        <v>4341</v>
      </c>
      <c r="I11822" t="s">
        <v>32</v>
      </c>
      <c r="J11822">
        <v>78.099999999999994</v>
      </c>
      <c r="K11822">
        <v>15.12</v>
      </c>
      <c r="L11822">
        <v>49503</v>
      </c>
      <c r="M11822" t="s">
        <v>178</v>
      </c>
      <c r="N11822" t="str">
        <f>"60587449    "</f>
        <v xml:space="preserve">60587449    </v>
      </c>
      <c r="O11822">
        <v>231012</v>
      </c>
    </row>
    <row r="11823" spans="1:15" x14ac:dyDescent="0.25">
      <c r="A11823" t="s">
        <v>16</v>
      </c>
      <c r="B11823" t="s">
        <v>3221</v>
      </c>
      <c r="C11823">
        <v>13686</v>
      </c>
      <c r="D11823" t="s">
        <v>1354</v>
      </c>
      <c r="E11823" t="s">
        <v>1355</v>
      </c>
      <c r="F11823">
        <v>55</v>
      </c>
      <c r="G11823">
        <v>231003</v>
      </c>
      <c r="H11823">
        <v>4341</v>
      </c>
      <c r="I11823" t="s">
        <v>32</v>
      </c>
      <c r="J11823">
        <v>68.2</v>
      </c>
      <c r="K11823">
        <v>13.2</v>
      </c>
      <c r="L11823">
        <v>59501</v>
      </c>
      <c r="M11823" t="s">
        <v>69</v>
      </c>
      <c r="N11823" t="str">
        <f>"60587449    "</f>
        <v xml:space="preserve">60587449    </v>
      </c>
      <c r="O11823">
        <v>231012</v>
      </c>
    </row>
    <row r="11824" spans="1:15" x14ac:dyDescent="0.25">
      <c r="A11824" t="s">
        <v>16</v>
      </c>
      <c r="B11824" t="s">
        <v>3221</v>
      </c>
      <c r="C11824">
        <v>13686</v>
      </c>
      <c r="D11824" t="s">
        <v>1354</v>
      </c>
      <c r="E11824" t="s">
        <v>1355</v>
      </c>
      <c r="F11824">
        <v>38.44</v>
      </c>
      <c r="G11824">
        <v>231003</v>
      </c>
      <c r="H11824">
        <v>4341</v>
      </c>
      <c r="I11824" t="s">
        <v>32</v>
      </c>
      <c r="J11824">
        <v>47.66</v>
      </c>
      <c r="K11824">
        <v>9.2200000000000006</v>
      </c>
      <c r="L11824">
        <v>59502</v>
      </c>
      <c r="M11824" t="s">
        <v>70</v>
      </c>
      <c r="N11824" t="str">
        <f>"60587449    "</f>
        <v xml:space="preserve">60587449    </v>
      </c>
      <c r="O11824">
        <v>231012</v>
      </c>
    </row>
    <row r="11825" spans="1:15" x14ac:dyDescent="0.25">
      <c r="A11825" t="s">
        <v>16</v>
      </c>
      <c r="B11825" t="s">
        <v>3221</v>
      </c>
      <c r="C11825">
        <v>13686</v>
      </c>
      <c r="D11825" t="s">
        <v>1354</v>
      </c>
      <c r="E11825" t="s">
        <v>1355</v>
      </c>
      <c r="F11825">
        <v>24.58</v>
      </c>
      <c r="G11825">
        <v>231003</v>
      </c>
      <c r="H11825">
        <v>4341</v>
      </c>
      <c r="I11825" t="s">
        <v>32</v>
      </c>
      <c r="J11825">
        <v>30.48</v>
      </c>
      <c r="K11825">
        <v>5.9</v>
      </c>
      <c r="L11825">
        <v>59802</v>
      </c>
      <c r="M11825" t="s">
        <v>73</v>
      </c>
      <c r="N11825" t="str">
        <f>"60587449    "</f>
        <v xml:space="preserve">60587449    </v>
      </c>
      <c r="O11825">
        <v>231012</v>
      </c>
    </row>
    <row r="11826" spans="1:15" x14ac:dyDescent="0.25">
      <c r="A11826" t="s">
        <v>16</v>
      </c>
      <c r="B11826" t="s">
        <v>3221</v>
      </c>
      <c r="C11826">
        <v>15573</v>
      </c>
      <c r="D11826" t="s">
        <v>1354</v>
      </c>
      <c r="E11826" t="s">
        <v>1355</v>
      </c>
      <c r="F11826">
        <v>136</v>
      </c>
      <c r="G11826">
        <v>231102</v>
      </c>
      <c r="H11826">
        <v>4341</v>
      </c>
      <c r="I11826" t="s">
        <v>32</v>
      </c>
      <c r="J11826">
        <v>168.64</v>
      </c>
      <c r="K11826">
        <v>32.64</v>
      </c>
      <c r="L11826">
        <v>49501</v>
      </c>
      <c r="M11826" t="s">
        <v>177</v>
      </c>
      <c r="N11826" t="str">
        <f>"60588660    "</f>
        <v xml:space="preserve">60588660    </v>
      </c>
      <c r="O11826">
        <v>231114</v>
      </c>
    </row>
    <row r="11827" spans="1:15" x14ac:dyDescent="0.25">
      <c r="A11827" t="s">
        <v>16</v>
      </c>
      <c r="B11827" t="s">
        <v>3221</v>
      </c>
      <c r="C11827">
        <v>15573</v>
      </c>
      <c r="D11827" t="s">
        <v>1354</v>
      </c>
      <c r="E11827" t="s">
        <v>1355</v>
      </c>
      <c r="F11827">
        <v>63</v>
      </c>
      <c r="G11827">
        <v>231102</v>
      </c>
      <c r="H11827">
        <v>4341</v>
      </c>
      <c r="I11827" t="s">
        <v>32</v>
      </c>
      <c r="J11827">
        <v>78.12</v>
      </c>
      <c r="K11827">
        <v>15.12</v>
      </c>
      <c r="L11827">
        <v>49503</v>
      </c>
      <c r="M11827" t="s">
        <v>178</v>
      </c>
      <c r="N11827" t="str">
        <f>"60588660    "</f>
        <v xml:space="preserve">60588660    </v>
      </c>
      <c r="O11827">
        <v>231114</v>
      </c>
    </row>
    <row r="11828" spans="1:15" x14ac:dyDescent="0.25">
      <c r="A11828" t="s">
        <v>16</v>
      </c>
      <c r="B11828" t="s">
        <v>3221</v>
      </c>
      <c r="C11828">
        <v>15573</v>
      </c>
      <c r="D11828" t="s">
        <v>1354</v>
      </c>
      <c r="E11828" t="s">
        <v>1355</v>
      </c>
      <c r="F11828">
        <v>55</v>
      </c>
      <c r="G11828">
        <v>231102</v>
      </c>
      <c r="H11828">
        <v>4341</v>
      </c>
      <c r="I11828" t="s">
        <v>32</v>
      </c>
      <c r="J11828">
        <v>68.2</v>
      </c>
      <c r="K11828">
        <v>13.2</v>
      </c>
      <c r="L11828">
        <v>59501</v>
      </c>
      <c r="M11828" t="s">
        <v>69</v>
      </c>
      <c r="N11828" t="str">
        <f>"60588660    "</f>
        <v xml:space="preserve">60588660    </v>
      </c>
      <c r="O11828">
        <v>231114</v>
      </c>
    </row>
    <row r="11829" spans="1:15" x14ac:dyDescent="0.25">
      <c r="A11829" t="s">
        <v>16</v>
      </c>
      <c r="B11829" t="s">
        <v>3221</v>
      </c>
      <c r="C11829">
        <v>15573</v>
      </c>
      <c r="D11829" t="s">
        <v>1354</v>
      </c>
      <c r="E11829" t="s">
        <v>1355</v>
      </c>
      <c r="F11829">
        <v>38.43</v>
      </c>
      <c r="G11829">
        <v>231102</v>
      </c>
      <c r="H11829">
        <v>4341</v>
      </c>
      <c r="I11829" t="s">
        <v>32</v>
      </c>
      <c r="J11829">
        <v>47.65</v>
      </c>
      <c r="K11829">
        <v>9.2200000000000006</v>
      </c>
      <c r="L11829">
        <v>59502</v>
      </c>
      <c r="M11829" t="s">
        <v>70</v>
      </c>
      <c r="N11829" t="str">
        <f>"60588660    "</f>
        <v xml:space="preserve">60588660    </v>
      </c>
      <c r="O11829">
        <v>231114</v>
      </c>
    </row>
    <row r="11830" spans="1:15" x14ac:dyDescent="0.25">
      <c r="A11830" t="s">
        <v>16</v>
      </c>
      <c r="B11830" t="s">
        <v>3221</v>
      </c>
      <c r="C11830">
        <v>15573</v>
      </c>
      <c r="D11830" t="s">
        <v>1354</v>
      </c>
      <c r="E11830" t="s">
        <v>1355</v>
      </c>
      <c r="F11830">
        <v>24.57</v>
      </c>
      <c r="G11830">
        <v>231102</v>
      </c>
      <c r="H11830">
        <v>4341</v>
      </c>
      <c r="I11830" t="s">
        <v>32</v>
      </c>
      <c r="J11830">
        <v>30.47</v>
      </c>
      <c r="K11830">
        <v>5.9</v>
      </c>
      <c r="L11830">
        <v>59802</v>
      </c>
      <c r="M11830" t="s">
        <v>73</v>
      </c>
      <c r="N11830" t="str">
        <f>"60588660    "</f>
        <v xml:space="preserve">60588660    </v>
      </c>
      <c r="O11830">
        <v>231114</v>
      </c>
    </row>
    <row r="11831" spans="1:15" x14ac:dyDescent="0.25">
      <c r="A11831" t="s">
        <v>16</v>
      </c>
      <c r="B11831" t="s">
        <v>3221</v>
      </c>
      <c r="C11831">
        <v>17417</v>
      </c>
      <c r="D11831" t="s">
        <v>1354</v>
      </c>
      <c r="E11831" t="s">
        <v>1355</v>
      </c>
      <c r="F11831">
        <v>136</v>
      </c>
      <c r="G11831">
        <v>231204</v>
      </c>
      <c r="H11831">
        <v>4341</v>
      </c>
      <c r="I11831" t="s">
        <v>32</v>
      </c>
      <c r="J11831">
        <v>168.64</v>
      </c>
      <c r="K11831">
        <v>32.64</v>
      </c>
      <c r="L11831">
        <v>49501</v>
      </c>
      <c r="M11831" t="s">
        <v>177</v>
      </c>
      <c r="N11831" t="str">
        <f>"60589785    "</f>
        <v xml:space="preserve">60589785    </v>
      </c>
      <c r="O11831">
        <v>231214</v>
      </c>
    </row>
    <row r="11832" spans="1:15" x14ac:dyDescent="0.25">
      <c r="A11832" t="s">
        <v>16</v>
      </c>
      <c r="B11832" t="s">
        <v>3221</v>
      </c>
      <c r="C11832">
        <v>17417</v>
      </c>
      <c r="D11832" t="s">
        <v>1354</v>
      </c>
      <c r="E11832" t="s">
        <v>1355</v>
      </c>
      <c r="F11832">
        <v>62.98</v>
      </c>
      <c r="G11832">
        <v>231204</v>
      </c>
      <c r="H11832">
        <v>4341</v>
      </c>
      <c r="I11832" t="s">
        <v>32</v>
      </c>
      <c r="J11832">
        <v>78.099999999999994</v>
      </c>
      <c r="K11832">
        <v>15.12</v>
      </c>
      <c r="L11832">
        <v>49503</v>
      </c>
      <c r="M11832" t="s">
        <v>178</v>
      </c>
      <c r="N11832" t="str">
        <f>"60589785    "</f>
        <v xml:space="preserve">60589785    </v>
      </c>
      <c r="O11832">
        <v>231214</v>
      </c>
    </row>
    <row r="11833" spans="1:15" x14ac:dyDescent="0.25">
      <c r="A11833" t="s">
        <v>16</v>
      </c>
      <c r="B11833" t="s">
        <v>3221</v>
      </c>
      <c r="C11833">
        <v>17417</v>
      </c>
      <c r="D11833" t="s">
        <v>1354</v>
      </c>
      <c r="E11833" t="s">
        <v>1355</v>
      </c>
      <c r="F11833">
        <v>55</v>
      </c>
      <c r="G11833">
        <v>231204</v>
      </c>
      <c r="H11833">
        <v>4341</v>
      </c>
      <c r="I11833" t="s">
        <v>32</v>
      </c>
      <c r="J11833">
        <v>68.2</v>
      </c>
      <c r="K11833">
        <v>13.2</v>
      </c>
      <c r="L11833">
        <v>59501</v>
      </c>
      <c r="M11833" t="s">
        <v>69</v>
      </c>
      <c r="N11833" t="str">
        <f>"60589785    "</f>
        <v xml:space="preserve">60589785    </v>
      </c>
      <c r="O11833">
        <v>231214</v>
      </c>
    </row>
    <row r="11834" spans="1:15" x14ac:dyDescent="0.25">
      <c r="A11834" t="s">
        <v>16</v>
      </c>
      <c r="B11834" t="s">
        <v>3221</v>
      </c>
      <c r="C11834">
        <v>17417</v>
      </c>
      <c r="D11834" t="s">
        <v>1354</v>
      </c>
      <c r="E11834" t="s">
        <v>1355</v>
      </c>
      <c r="F11834">
        <v>38.44</v>
      </c>
      <c r="G11834">
        <v>231204</v>
      </c>
      <c r="H11834">
        <v>4341</v>
      </c>
      <c r="I11834" t="s">
        <v>32</v>
      </c>
      <c r="J11834">
        <v>47.67</v>
      </c>
      <c r="K11834">
        <v>9.23</v>
      </c>
      <c r="L11834">
        <v>59502</v>
      </c>
      <c r="M11834" t="s">
        <v>70</v>
      </c>
      <c r="N11834" t="str">
        <f>"60589785    "</f>
        <v xml:space="preserve">60589785    </v>
      </c>
      <c r="O11834">
        <v>231214</v>
      </c>
    </row>
    <row r="11835" spans="1:15" x14ac:dyDescent="0.25">
      <c r="A11835" t="s">
        <v>16</v>
      </c>
      <c r="B11835" t="s">
        <v>3221</v>
      </c>
      <c r="C11835">
        <v>17417</v>
      </c>
      <c r="D11835" t="s">
        <v>1354</v>
      </c>
      <c r="E11835" t="s">
        <v>1355</v>
      </c>
      <c r="F11835">
        <v>24.57</v>
      </c>
      <c r="G11835">
        <v>231204</v>
      </c>
      <c r="H11835">
        <v>4341</v>
      </c>
      <c r="I11835" t="s">
        <v>32</v>
      </c>
      <c r="J11835">
        <v>30.47</v>
      </c>
      <c r="K11835">
        <v>5.9</v>
      </c>
      <c r="L11835">
        <v>59802</v>
      </c>
      <c r="M11835" t="s">
        <v>73</v>
      </c>
      <c r="N11835" t="str">
        <f>"60589785    "</f>
        <v xml:space="preserve">60589785    </v>
      </c>
      <c r="O11835">
        <v>231214</v>
      </c>
    </row>
    <row r="11836" spans="1:15" x14ac:dyDescent="0.25">
      <c r="A11836" t="s">
        <v>16</v>
      </c>
      <c r="B11836" t="s">
        <v>3221</v>
      </c>
      <c r="C11836">
        <v>3516</v>
      </c>
      <c r="D11836" t="s">
        <v>1354</v>
      </c>
      <c r="E11836" t="s">
        <v>1355</v>
      </c>
      <c r="F11836">
        <v>55</v>
      </c>
      <c r="G11836">
        <v>230306</v>
      </c>
      <c r="H11836">
        <v>4362</v>
      </c>
      <c r="I11836" t="s">
        <v>79</v>
      </c>
      <c r="J11836">
        <v>68.2</v>
      </c>
      <c r="K11836">
        <v>13.2</v>
      </c>
      <c r="L11836">
        <v>59501</v>
      </c>
      <c r="M11836" t="s">
        <v>69</v>
      </c>
      <c r="N11836" t="str">
        <f>"60578885    "</f>
        <v xml:space="preserve">60578885    </v>
      </c>
      <c r="O11836">
        <v>230316</v>
      </c>
    </row>
    <row r="11837" spans="1:15" x14ac:dyDescent="0.25">
      <c r="A11837" t="s">
        <v>16</v>
      </c>
      <c r="B11837" t="s">
        <v>3221</v>
      </c>
      <c r="C11837">
        <v>3516</v>
      </c>
      <c r="D11837" t="s">
        <v>1354</v>
      </c>
      <c r="E11837" t="s">
        <v>1355</v>
      </c>
      <c r="F11837">
        <v>63</v>
      </c>
      <c r="G11837">
        <v>230306</v>
      </c>
      <c r="H11837">
        <v>4362</v>
      </c>
      <c r="I11837" t="s">
        <v>79</v>
      </c>
      <c r="J11837">
        <v>78.12</v>
      </c>
      <c r="K11837">
        <v>15.12</v>
      </c>
      <c r="L11837">
        <v>59502</v>
      </c>
      <c r="M11837" t="s">
        <v>70</v>
      </c>
      <c r="N11837" t="str">
        <f>"60578885    "</f>
        <v xml:space="preserve">60578885    </v>
      </c>
      <c r="O11837">
        <v>230316</v>
      </c>
    </row>
    <row r="11838" spans="1:15" x14ac:dyDescent="0.25">
      <c r="A11838" t="s">
        <v>16</v>
      </c>
      <c r="B11838" t="s">
        <v>3221</v>
      </c>
      <c r="C11838">
        <v>483</v>
      </c>
      <c r="D11838" t="s">
        <v>576</v>
      </c>
      <c r="E11838" t="s">
        <v>577</v>
      </c>
      <c r="F11838">
        <v>160.47999999999999</v>
      </c>
      <c r="G11838">
        <v>230112</v>
      </c>
      <c r="H11838">
        <v>4341</v>
      </c>
      <c r="I11838" t="s">
        <v>32</v>
      </c>
      <c r="J11838">
        <v>199</v>
      </c>
      <c r="K11838">
        <v>38.520000000000003</v>
      </c>
      <c r="L11838">
        <v>49501</v>
      </c>
      <c r="M11838" t="s">
        <v>177</v>
      </c>
      <c r="N11838" t="str">
        <f>"60576510    "</f>
        <v xml:space="preserve">60576510    </v>
      </c>
      <c r="O11838">
        <v>230124</v>
      </c>
    </row>
    <row r="11839" spans="1:15" x14ac:dyDescent="0.25">
      <c r="A11839" t="s">
        <v>16</v>
      </c>
      <c r="B11839" t="s">
        <v>3221</v>
      </c>
      <c r="C11839">
        <v>483</v>
      </c>
      <c r="D11839" t="s">
        <v>576</v>
      </c>
      <c r="E11839" t="s">
        <v>577</v>
      </c>
      <c r="F11839">
        <v>38.520000000000003</v>
      </c>
      <c r="G11839">
        <v>230112</v>
      </c>
      <c r="H11839">
        <v>4341</v>
      </c>
      <c r="I11839" t="s">
        <v>32</v>
      </c>
      <c r="J11839">
        <v>47.76</v>
      </c>
      <c r="K11839">
        <v>9.24</v>
      </c>
      <c r="L11839">
        <v>49503</v>
      </c>
      <c r="M11839" t="s">
        <v>178</v>
      </c>
      <c r="N11839" t="str">
        <f>"60576510    "</f>
        <v xml:space="preserve">60576510    </v>
      </c>
      <c r="O11839">
        <v>230124</v>
      </c>
    </row>
    <row r="11840" spans="1:15" x14ac:dyDescent="0.25">
      <c r="A11840" t="s">
        <v>16</v>
      </c>
      <c r="B11840" t="s">
        <v>3221</v>
      </c>
      <c r="C11840">
        <v>483</v>
      </c>
      <c r="D11840" t="s">
        <v>576</v>
      </c>
      <c r="E11840" t="s">
        <v>577</v>
      </c>
      <c r="F11840">
        <v>55</v>
      </c>
      <c r="G11840">
        <v>230112</v>
      </c>
      <c r="H11840">
        <v>4341</v>
      </c>
      <c r="I11840" t="s">
        <v>32</v>
      </c>
      <c r="J11840">
        <v>68.2</v>
      </c>
      <c r="K11840">
        <v>13.2</v>
      </c>
      <c r="L11840">
        <v>59501</v>
      </c>
      <c r="M11840" t="s">
        <v>69</v>
      </c>
      <c r="N11840" t="str">
        <f>"60576510    "</f>
        <v xml:space="preserve">60576510    </v>
      </c>
      <c r="O11840">
        <v>230124</v>
      </c>
    </row>
    <row r="11841" spans="1:15" x14ac:dyDescent="0.25">
      <c r="A11841" t="s">
        <v>16</v>
      </c>
      <c r="B11841" t="s">
        <v>3221</v>
      </c>
      <c r="C11841">
        <v>483</v>
      </c>
      <c r="D11841" t="s">
        <v>576</v>
      </c>
      <c r="E11841" t="s">
        <v>577</v>
      </c>
      <c r="F11841">
        <v>38.43</v>
      </c>
      <c r="G11841">
        <v>230112</v>
      </c>
      <c r="H11841">
        <v>4341</v>
      </c>
      <c r="I11841" t="s">
        <v>32</v>
      </c>
      <c r="J11841">
        <v>47.65</v>
      </c>
      <c r="K11841">
        <v>9.2200000000000006</v>
      </c>
      <c r="L11841">
        <v>59502</v>
      </c>
      <c r="M11841" t="s">
        <v>70</v>
      </c>
      <c r="N11841" t="str">
        <f>"60576510    "</f>
        <v xml:space="preserve">60576510    </v>
      </c>
      <c r="O11841">
        <v>230124</v>
      </c>
    </row>
    <row r="11842" spans="1:15" x14ac:dyDescent="0.25">
      <c r="A11842" t="s">
        <v>16</v>
      </c>
      <c r="B11842" t="s">
        <v>3221</v>
      </c>
      <c r="C11842">
        <v>483</v>
      </c>
      <c r="D11842" t="s">
        <v>576</v>
      </c>
      <c r="E11842" t="s">
        <v>577</v>
      </c>
      <c r="F11842">
        <v>24.57</v>
      </c>
      <c r="G11842">
        <v>230112</v>
      </c>
      <c r="H11842">
        <v>4341</v>
      </c>
      <c r="I11842" t="s">
        <v>32</v>
      </c>
      <c r="J11842">
        <v>30.47</v>
      </c>
      <c r="K11842">
        <v>5.9</v>
      </c>
      <c r="L11842">
        <v>59802</v>
      </c>
      <c r="M11842" t="s">
        <v>73</v>
      </c>
      <c r="N11842" t="str">
        <f>"60576510    "</f>
        <v xml:space="preserve">60576510    </v>
      </c>
      <c r="O11842">
        <v>230124</v>
      </c>
    </row>
    <row r="11843" spans="1:15" x14ac:dyDescent="0.25">
      <c r="A11843" t="s">
        <v>16</v>
      </c>
      <c r="B11843" t="s">
        <v>3221</v>
      </c>
      <c r="C11843">
        <v>7861</v>
      </c>
      <c r="D11843" t="s">
        <v>2137</v>
      </c>
      <c r="E11843" t="s">
        <v>2138</v>
      </c>
      <c r="F11843">
        <v>14.59</v>
      </c>
      <c r="G11843">
        <v>230531</v>
      </c>
      <c r="H11843">
        <v>4380</v>
      </c>
      <c r="I11843" t="s">
        <v>113</v>
      </c>
      <c r="J11843">
        <v>18.09</v>
      </c>
      <c r="K11843">
        <v>3.5</v>
      </c>
      <c r="L11843">
        <v>59112</v>
      </c>
      <c r="M11843" t="s">
        <v>182</v>
      </c>
      <c r="N11843" t="str">
        <f>"6231071     "</f>
        <v xml:space="preserve">6231071     </v>
      </c>
      <c r="O11843">
        <v>230605</v>
      </c>
    </row>
    <row r="11844" spans="1:15" x14ac:dyDescent="0.25">
      <c r="A11844" t="s">
        <v>16</v>
      </c>
      <c r="B11844" t="s">
        <v>3221</v>
      </c>
      <c r="C11844">
        <v>7861</v>
      </c>
      <c r="D11844" t="s">
        <v>2137</v>
      </c>
      <c r="E11844" t="s">
        <v>2138</v>
      </c>
      <c r="F11844">
        <v>39.450000000000003</v>
      </c>
      <c r="G11844">
        <v>230531</v>
      </c>
      <c r="H11844">
        <v>4380</v>
      </c>
      <c r="I11844" t="s">
        <v>113</v>
      </c>
      <c r="J11844">
        <v>48.92</v>
      </c>
      <c r="K11844">
        <v>9.4700000000000006</v>
      </c>
      <c r="L11844">
        <v>59504</v>
      </c>
      <c r="M11844" t="s">
        <v>71</v>
      </c>
      <c r="N11844" t="str">
        <f>"6231071     "</f>
        <v xml:space="preserve">6231071     </v>
      </c>
      <c r="O11844">
        <v>230605</v>
      </c>
    </row>
    <row r="11845" spans="1:15" x14ac:dyDescent="0.25">
      <c r="A11845" t="s">
        <v>16</v>
      </c>
      <c r="B11845" t="s">
        <v>3221</v>
      </c>
      <c r="C11845">
        <v>12209</v>
      </c>
      <c r="D11845" t="s">
        <v>2137</v>
      </c>
      <c r="E11845" t="s">
        <v>2138</v>
      </c>
      <c r="F11845">
        <v>31</v>
      </c>
      <c r="G11845">
        <v>230915</v>
      </c>
      <c r="H11845">
        <v>4380</v>
      </c>
      <c r="I11845" t="s">
        <v>113</v>
      </c>
      <c r="J11845">
        <v>31</v>
      </c>
      <c r="K11845">
        <v>0</v>
      </c>
      <c r="L11845">
        <v>59813</v>
      </c>
      <c r="M11845" t="s">
        <v>915</v>
      </c>
      <c r="N11845" t="str">
        <f>"2347272     "</f>
        <v xml:space="preserve">2347272     </v>
      </c>
      <c r="O11845">
        <v>230915</v>
      </c>
    </row>
    <row r="11846" spans="1:15" x14ac:dyDescent="0.25">
      <c r="A11846" t="s">
        <v>16</v>
      </c>
      <c r="B11846" t="s">
        <v>3221</v>
      </c>
      <c r="C11846">
        <v>12210</v>
      </c>
      <c r="D11846" t="s">
        <v>2137</v>
      </c>
      <c r="E11846" t="s">
        <v>2138</v>
      </c>
      <c r="F11846">
        <v>31</v>
      </c>
      <c r="G11846">
        <v>230915</v>
      </c>
      <c r="H11846">
        <v>4380</v>
      </c>
      <c r="I11846" t="s">
        <v>113</v>
      </c>
      <c r="J11846">
        <v>31</v>
      </c>
      <c r="K11846">
        <v>0</v>
      </c>
      <c r="L11846">
        <v>59813</v>
      </c>
      <c r="M11846" t="s">
        <v>915</v>
      </c>
      <c r="N11846" t="str">
        <f>"2347366     "</f>
        <v xml:space="preserve">2347366     </v>
      </c>
      <c r="O11846">
        <v>230915</v>
      </c>
    </row>
    <row r="11847" spans="1:15" x14ac:dyDescent="0.25">
      <c r="A11847" t="s">
        <v>16</v>
      </c>
      <c r="B11847" t="s">
        <v>3221</v>
      </c>
      <c r="C11847">
        <v>13386</v>
      </c>
      <c r="D11847" t="s">
        <v>2137</v>
      </c>
      <c r="E11847" t="s">
        <v>2138</v>
      </c>
      <c r="F11847">
        <v>41.87</v>
      </c>
      <c r="G11847">
        <v>230930</v>
      </c>
      <c r="H11847">
        <v>4380</v>
      </c>
      <c r="I11847" t="s">
        <v>113</v>
      </c>
      <c r="J11847">
        <v>51.92</v>
      </c>
      <c r="K11847">
        <v>10.050000000000001</v>
      </c>
      <c r="L11847">
        <v>59112</v>
      </c>
      <c r="M11847" t="s">
        <v>182</v>
      </c>
      <c r="N11847" t="str">
        <f>"5231648     "</f>
        <v xml:space="preserve">5231648     </v>
      </c>
      <c r="O11847">
        <v>231009</v>
      </c>
    </row>
    <row r="11848" spans="1:15" x14ac:dyDescent="0.25">
      <c r="A11848" t="s">
        <v>16</v>
      </c>
      <c r="B11848" t="s">
        <v>3221</v>
      </c>
      <c r="C11848">
        <v>13386</v>
      </c>
      <c r="D11848" t="s">
        <v>2137</v>
      </c>
      <c r="E11848" t="s">
        <v>2138</v>
      </c>
      <c r="F11848">
        <v>113.21</v>
      </c>
      <c r="G11848">
        <v>230930</v>
      </c>
      <c r="H11848">
        <v>4380</v>
      </c>
      <c r="I11848" t="s">
        <v>113</v>
      </c>
      <c r="J11848">
        <v>140.38</v>
      </c>
      <c r="K11848">
        <v>27.17</v>
      </c>
      <c r="L11848">
        <v>59504</v>
      </c>
      <c r="M11848" t="s">
        <v>71</v>
      </c>
      <c r="N11848" t="str">
        <f>"5231648     "</f>
        <v xml:space="preserve">5231648     </v>
      </c>
      <c r="O11848">
        <v>231009</v>
      </c>
    </row>
    <row r="11849" spans="1:15" x14ac:dyDescent="0.25">
      <c r="A11849" t="s">
        <v>16</v>
      </c>
      <c r="B11849" t="s">
        <v>3221</v>
      </c>
      <c r="C11849">
        <v>13387</v>
      </c>
      <c r="D11849" t="s">
        <v>2137</v>
      </c>
      <c r="E11849" t="s">
        <v>2138</v>
      </c>
      <c r="F11849">
        <v>17.940000000000001</v>
      </c>
      <c r="G11849">
        <v>230930</v>
      </c>
      <c r="H11849">
        <v>4380</v>
      </c>
      <c r="I11849" t="s">
        <v>113</v>
      </c>
      <c r="J11849">
        <v>22.24</v>
      </c>
      <c r="K11849">
        <v>4.3</v>
      </c>
      <c r="L11849">
        <v>59112</v>
      </c>
      <c r="M11849" t="s">
        <v>182</v>
      </c>
      <c r="N11849" t="str">
        <f>"235884      "</f>
        <v xml:space="preserve">235884      </v>
      </c>
      <c r="O11849">
        <v>231009</v>
      </c>
    </row>
    <row r="11850" spans="1:15" x14ac:dyDescent="0.25">
      <c r="A11850" t="s">
        <v>16</v>
      </c>
      <c r="B11850" t="s">
        <v>3221</v>
      </c>
      <c r="C11850">
        <v>13387</v>
      </c>
      <c r="D11850" t="s">
        <v>2137</v>
      </c>
      <c r="E11850" t="s">
        <v>2138</v>
      </c>
      <c r="F11850">
        <v>48.5</v>
      </c>
      <c r="G11850">
        <v>230930</v>
      </c>
      <c r="H11850">
        <v>4380</v>
      </c>
      <c r="I11850" t="s">
        <v>113</v>
      </c>
      <c r="J11850">
        <v>60.14</v>
      </c>
      <c r="K11850">
        <v>11.64</v>
      </c>
      <c r="L11850">
        <v>59504</v>
      </c>
      <c r="M11850" t="s">
        <v>71</v>
      </c>
      <c r="N11850" t="str">
        <f>"235884      "</f>
        <v xml:space="preserve">235884      </v>
      </c>
      <c r="O11850">
        <v>231009</v>
      </c>
    </row>
    <row r="11851" spans="1:15" x14ac:dyDescent="0.25">
      <c r="A11851" t="s">
        <v>16</v>
      </c>
      <c r="B11851" t="s">
        <v>3221</v>
      </c>
      <c r="C11851">
        <v>14072</v>
      </c>
      <c r="D11851" t="s">
        <v>2137</v>
      </c>
      <c r="E11851" t="s">
        <v>2138</v>
      </c>
      <c r="F11851">
        <v>29.9</v>
      </c>
      <c r="G11851">
        <v>230930</v>
      </c>
      <c r="H11851">
        <v>4380</v>
      </c>
      <c r="I11851" t="s">
        <v>113</v>
      </c>
      <c r="J11851">
        <v>37.08</v>
      </c>
      <c r="K11851">
        <v>7.18</v>
      </c>
      <c r="L11851">
        <v>59505</v>
      </c>
      <c r="M11851" t="s">
        <v>72</v>
      </c>
      <c r="N11851" t="str">
        <f>"5231699     "</f>
        <v xml:space="preserve">5231699     </v>
      </c>
      <c r="O11851">
        <v>231018</v>
      </c>
    </row>
    <row r="11852" spans="1:15" x14ac:dyDescent="0.25">
      <c r="A11852" t="s">
        <v>16</v>
      </c>
      <c r="B11852" t="s">
        <v>3221</v>
      </c>
      <c r="C11852">
        <v>14073</v>
      </c>
      <c r="D11852" t="s">
        <v>2137</v>
      </c>
      <c r="E11852" t="s">
        <v>2138</v>
      </c>
      <c r="F11852">
        <v>9.3000000000000007</v>
      </c>
      <c r="G11852">
        <v>230930</v>
      </c>
      <c r="H11852">
        <v>4380</v>
      </c>
      <c r="I11852" t="s">
        <v>113</v>
      </c>
      <c r="J11852">
        <v>11.53</v>
      </c>
      <c r="K11852">
        <v>2.23</v>
      </c>
      <c r="L11852">
        <v>59111</v>
      </c>
      <c r="M11852" t="s">
        <v>1010</v>
      </c>
      <c r="N11852" t="str">
        <f>"5231647     "</f>
        <v xml:space="preserve">5231647     </v>
      </c>
      <c r="O11852">
        <v>231018</v>
      </c>
    </row>
    <row r="11853" spans="1:15" x14ac:dyDescent="0.25">
      <c r="A11853" t="s">
        <v>16</v>
      </c>
      <c r="B11853" t="s">
        <v>3221</v>
      </c>
      <c r="C11853">
        <v>14073</v>
      </c>
      <c r="D11853" t="s">
        <v>2137</v>
      </c>
      <c r="E11853" t="s">
        <v>2138</v>
      </c>
      <c r="F11853">
        <v>145.65</v>
      </c>
      <c r="G11853">
        <v>230930</v>
      </c>
      <c r="H11853">
        <v>4380</v>
      </c>
      <c r="I11853" t="s">
        <v>113</v>
      </c>
      <c r="J11853">
        <v>180.61</v>
      </c>
      <c r="K11853">
        <v>34.96</v>
      </c>
      <c r="L11853">
        <v>59501</v>
      </c>
      <c r="M11853" t="s">
        <v>69</v>
      </c>
      <c r="N11853" t="str">
        <f>"5231647     "</f>
        <v xml:space="preserve">5231647     </v>
      </c>
      <c r="O11853">
        <v>231018</v>
      </c>
    </row>
    <row r="11854" spans="1:15" x14ac:dyDescent="0.25">
      <c r="A11854" t="s">
        <v>16</v>
      </c>
      <c r="B11854" t="s">
        <v>3221</v>
      </c>
      <c r="C11854">
        <v>14074</v>
      </c>
      <c r="D11854" t="s">
        <v>2137</v>
      </c>
      <c r="E11854" t="s">
        <v>2138</v>
      </c>
      <c r="F11854">
        <v>76.709999999999994</v>
      </c>
      <c r="G11854">
        <v>230930</v>
      </c>
      <c r="H11854">
        <v>4380</v>
      </c>
      <c r="I11854" t="s">
        <v>113</v>
      </c>
      <c r="J11854">
        <v>95.12</v>
      </c>
      <c r="K11854">
        <v>18.41</v>
      </c>
      <c r="L11854">
        <v>59502</v>
      </c>
      <c r="M11854" t="s">
        <v>70</v>
      </c>
      <c r="N11854" t="str">
        <f>"5231716     "</f>
        <v xml:space="preserve">5231716     </v>
      </c>
      <c r="O11854">
        <v>231018</v>
      </c>
    </row>
    <row r="11855" spans="1:15" x14ac:dyDescent="0.25">
      <c r="A11855" t="s">
        <v>16</v>
      </c>
      <c r="B11855" t="s">
        <v>3221</v>
      </c>
      <c r="C11855">
        <v>14074</v>
      </c>
      <c r="D11855" t="s">
        <v>2137</v>
      </c>
      <c r="E11855" t="s">
        <v>2138</v>
      </c>
      <c r="F11855">
        <v>49.05</v>
      </c>
      <c r="G11855">
        <v>230930</v>
      </c>
      <c r="H11855">
        <v>4380</v>
      </c>
      <c r="I11855" t="s">
        <v>113</v>
      </c>
      <c r="J11855">
        <v>60.82</v>
      </c>
      <c r="K11855">
        <v>11.77</v>
      </c>
      <c r="L11855">
        <v>59802</v>
      </c>
      <c r="M11855" t="s">
        <v>73</v>
      </c>
      <c r="N11855" t="str">
        <f>"5231716     "</f>
        <v xml:space="preserve">5231716     </v>
      </c>
      <c r="O11855">
        <v>231018</v>
      </c>
    </row>
    <row r="11856" spans="1:15" x14ac:dyDescent="0.25">
      <c r="A11856" t="s">
        <v>16</v>
      </c>
      <c r="B11856" t="s">
        <v>3221</v>
      </c>
      <c r="C11856">
        <v>14076</v>
      </c>
      <c r="D11856" t="s">
        <v>2137</v>
      </c>
      <c r="E11856" t="s">
        <v>2138</v>
      </c>
      <c r="F11856">
        <v>18.059999999999999</v>
      </c>
      <c r="G11856">
        <v>230930</v>
      </c>
      <c r="H11856">
        <v>4380</v>
      </c>
      <c r="I11856" t="s">
        <v>113</v>
      </c>
      <c r="J11856">
        <v>22.4</v>
      </c>
      <c r="K11856">
        <v>4.34</v>
      </c>
      <c r="L11856">
        <v>59505</v>
      </c>
      <c r="M11856" t="s">
        <v>72</v>
      </c>
      <c r="N11856" t="str">
        <f>"235934      "</f>
        <v xml:space="preserve">235934      </v>
      </c>
      <c r="O11856">
        <v>231018</v>
      </c>
    </row>
    <row r="11857" spans="1:15" x14ac:dyDescent="0.25">
      <c r="A11857" t="s">
        <v>16</v>
      </c>
      <c r="B11857" t="s">
        <v>3221</v>
      </c>
      <c r="C11857">
        <v>14077</v>
      </c>
      <c r="D11857" t="s">
        <v>2137</v>
      </c>
      <c r="E11857" t="s">
        <v>2138</v>
      </c>
      <c r="F11857">
        <v>14.19</v>
      </c>
      <c r="G11857">
        <v>230930</v>
      </c>
      <c r="H11857">
        <v>4380</v>
      </c>
      <c r="I11857" t="s">
        <v>113</v>
      </c>
      <c r="J11857">
        <v>17.600000000000001</v>
      </c>
      <c r="K11857">
        <v>3.41</v>
      </c>
      <c r="L11857">
        <v>59111</v>
      </c>
      <c r="M11857" t="s">
        <v>1010</v>
      </c>
      <c r="N11857" t="str">
        <f>"235883      "</f>
        <v xml:space="preserve">235883      </v>
      </c>
      <c r="O11857">
        <v>231018</v>
      </c>
    </row>
    <row r="11858" spans="1:15" x14ac:dyDescent="0.25">
      <c r="A11858" t="s">
        <v>16</v>
      </c>
      <c r="B11858" t="s">
        <v>3221</v>
      </c>
      <c r="C11858">
        <v>14077</v>
      </c>
      <c r="D11858" t="s">
        <v>2137</v>
      </c>
      <c r="E11858" t="s">
        <v>2138</v>
      </c>
      <c r="F11858">
        <v>222.35</v>
      </c>
      <c r="G11858">
        <v>230930</v>
      </c>
      <c r="H11858">
        <v>4380</v>
      </c>
      <c r="I11858" t="s">
        <v>113</v>
      </c>
      <c r="J11858">
        <v>275.72000000000003</v>
      </c>
      <c r="K11858">
        <v>53.37</v>
      </c>
      <c r="L11858">
        <v>59501</v>
      </c>
      <c r="M11858" t="s">
        <v>69</v>
      </c>
      <c r="N11858" t="str">
        <f>"235883      "</f>
        <v xml:space="preserve">235883      </v>
      </c>
      <c r="O11858">
        <v>231018</v>
      </c>
    </row>
    <row r="11859" spans="1:15" x14ac:dyDescent="0.25">
      <c r="A11859" t="s">
        <v>16</v>
      </c>
      <c r="B11859" t="s">
        <v>3221</v>
      </c>
      <c r="C11859">
        <v>14078</v>
      </c>
      <c r="D11859" t="s">
        <v>2137</v>
      </c>
      <c r="E11859" t="s">
        <v>2138</v>
      </c>
      <c r="F11859">
        <v>79.97</v>
      </c>
      <c r="G11859">
        <v>230930</v>
      </c>
      <c r="H11859">
        <v>4380</v>
      </c>
      <c r="I11859" t="s">
        <v>113</v>
      </c>
      <c r="J11859">
        <v>99.16</v>
      </c>
      <c r="K11859">
        <v>19.190000000000001</v>
      </c>
      <c r="L11859">
        <v>59502</v>
      </c>
      <c r="M11859" t="s">
        <v>70</v>
      </c>
      <c r="N11859" t="str">
        <f>"235948      "</f>
        <v xml:space="preserve">235948      </v>
      </c>
      <c r="O11859">
        <v>231018</v>
      </c>
    </row>
    <row r="11860" spans="1:15" x14ac:dyDescent="0.25">
      <c r="A11860" t="s">
        <v>16</v>
      </c>
      <c r="B11860" t="s">
        <v>3221</v>
      </c>
      <c r="C11860">
        <v>14078</v>
      </c>
      <c r="D11860" t="s">
        <v>2137</v>
      </c>
      <c r="E11860" t="s">
        <v>2138</v>
      </c>
      <c r="F11860">
        <v>51.13</v>
      </c>
      <c r="G11860">
        <v>230930</v>
      </c>
      <c r="H11860">
        <v>4380</v>
      </c>
      <c r="I11860" t="s">
        <v>113</v>
      </c>
      <c r="J11860">
        <v>63.4</v>
      </c>
      <c r="K11860">
        <v>12.27</v>
      </c>
      <c r="L11860">
        <v>59802</v>
      </c>
      <c r="M11860" t="s">
        <v>73</v>
      </c>
      <c r="N11860" t="str">
        <f>"235948      "</f>
        <v xml:space="preserve">235948      </v>
      </c>
      <c r="O11860">
        <v>231018</v>
      </c>
    </row>
    <row r="11861" spans="1:15" x14ac:dyDescent="0.25">
      <c r="A11861" t="s">
        <v>16</v>
      </c>
      <c r="B11861" t="s">
        <v>3221</v>
      </c>
      <c r="C11861">
        <v>18843</v>
      </c>
      <c r="D11861" t="s">
        <v>2137</v>
      </c>
      <c r="E11861" t="s">
        <v>2138</v>
      </c>
      <c r="F11861">
        <v>26.36</v>
      </c>
      <c r="G11861">
        <v>231231</v>
      </c>
      <c r="H11861">
        <v>4380</v>
      </c>
      <c r="I11861" t="s">
        <v>113</v>
      </c>
      <c r="J11861">
        <v>32.69</v>
      </c>
      <c r="K11861">
        <v>6.33</v>
      </c>
      <c r="L11861">
        <v>59111</v>
      </c>
      <c r="M11861" t="s">
        <v>1010</v>
      </c>
      <c r="N11861" t="str">
        <f>"238812      "</f>
        <v xml:space="preserve">238812      </v>
      </c>
      <c r="O11861">
        <v>240108</v>
      </c>
    </row>
    <row r="11862" spans="1:15" x14ac:dyDescent="0.25">
      <c r="A11862" t="s">
        <v>16</v>
      </c>
      <c r="B11862" t="s">
        <v>3221</v>
      </c>
      <c r="C11862">
        <v>18843</v>
      </c>
      <c r="D11862" t="s">
        <v>2137</v>
      </c>
      <c r="E11862" t="s">
        <v>2138</v>
      </c>
      <c r="F11862">
        <v>412.98</v>
      </c>
      <c r="G11862">
        <v>231231</v>
      </c>
      <c r="H11862">
        <v>4380</v>
      </c>
      <c r="I11862" t="s">
        <v>113</v>
      </c>
      <c r="J11862">
        <v>512.1</v>
      </c>
      <c r="K11862">
        <v>99.12</v>
      </c>
      <c r="L11862">
        <v>59501</v>
      </c>
      <c r="M11862" t="s">
        <v>69</v>
      </c>
      <c r="N11862" t="str">
        <f>"238812      "</f>
        <v xml:space="preserve">238812      </v>
      </c>
      <c r="O11862">
        <v>240108</v>
      </c>
    </row>
    <row r="11863" spans="1:15" x14ac:dyDescent="0.25">
      <c r="A11863" t="s">
        <v>16</v>
      </c>
      <c r="B11863" t="s">
        <v>3221</v>
      </c>
      <c r="C11863">
        <v>18844</v>
      </c>
      <c r="D11863" t="s">
        <v>2137</v>
      </c>
      <c r="E11863" t="s">
        <v>2138</v>
      </c>
      <c r="F11863">
        <v>72.73</v>
      </c>
      <c r="G11863">
        <v>231231</v>
      </c>
      <c r="H11863">
        <v>4380</v>
      </c>
      <c r="I11863" t="s">
        <v>113</v>
      </c>
      <c r="J11863">
        <v>90.19</v>
      </c>
      <c r="K11863">
        <v>17.46</v>
      </c>
      <c r="L11863">
        <v>59112</v>
      </c>
      <c r="M11863" t="s">
        <v>182</v>
      </c>
      <c r="N11863" t="str">
        <f>"238751      "</f>
        <v xml:space="preserve">238751      </v>
      </c>
      <c r="O11863">
        <v>240108</v>
      </c>
    </row>
    <row r="11864" spans="1:15" x14ac:dyDescent="0.25">
      <c r="A11864" t="s">
        <v>16</v>
      </c>
      <c r="B11864" t="s">
        <v>3221</v>
      </c>
      <c r="C11864">
        <v>18844</v>
      </c>
      <c r="D11864" t="s">
        <v>2137</v>
      </c>
      <c r="E11864" t="s">
        <v>2138</v>
      </c>
      <c r="F11864">
        <v>196.64</v>
      </c>
      <c r="G11864">
        <v>231231</v>
      </c>
      <c r="H11864">
        <v>4380</v>
      </c>
      <c r="I11864" t="s">
        <v>113</v>
      </c>
      <c r="J11864">
        <v>243.83</v>
      </c>
      <c r="K11864">
        <v>47.19</v>
      </c>
      <c r="L11864">
        <v>59504</v>
      </c>
      <c r="M11864" t="s">
        <v>71</v>
      </c>
      <c r="N11864" t="str">
        <f>"238751      "</f>
        <v xml:space="preserve">238751      </v>
      </c>
      <c r="O11864">
        <v>240108</v>
      </c>
    </row>
    <row r="11865" spans="1:15" x14ac:dyDescent="0.25">
      <c r="A11865" t="s">
        <v>16</v>
      </c>
      <c r="B11865" t="s">
        <v>3221</v>
      </c>
      <c r="C11865">
        <v>18845</v>
      </c>
      <c r="D11865" t="s">
        <v>2137</v>
      </c>
      <c r="E11865" t="s">
        <v>2138</v>
      </c>
      <c r="F11865">
        <v>140.1</v>
      </c>
      <c r="G11865">
        <v>231231</v>
      </c>
      <c r="H11865">
        <v>4380</v>
      </c>
      <c r="I11865" t="s">
        <v>113</v>
      </c>
      <c r="J11865">
        <v>173.73</v>
      </c>
      <c r="K11865">
        <v>33.630000000000003</v>
      </c>
      <c r="L11865">
        <v>59505</v>
      </c>
      <c r="M11865" t="s">
        <v>72</v>
      </c>
      <c r="N11865" t="str">
        <f>"5234089     "</f>
        <v xml:space="preserve">5234089     </v>
      </c>
      <c r="O11865">
        <v>240108</v>
      </c>
    </row>
    <row r="11866" spans="1:15" x14ac:dyDescent="0.25">
      <c r="A11866" t="s">
        <v>16</v>
      </c>
      <c r="B11866" t="s">
        <v>3221</v>
      </c>
      <c r="C11866">
        <v>18846</v>
      </c>
      <c r="D11866" t="s">
        <v>2137</v>
      </c>
      <c r="E11866" t="s">
        <v>2138</v>
      </c>
      <c r="F11866">
        <v>34.770000000000003</v>
      </c>
      <c r="G11866">
        <v>231231</v>
      </c>
      <c r="H11866">
        <v>4380</v>
      </c>
      <c r="I11866" t="s">
        <v>113</v>
      </c>
      <c r="J11866">
        <v>43.12</v>
      </c>
      <c r="K11866">
        <v>8.35</v>
      </c>
      <c r="L11866">
        <v>59112</v>
      </c>
      <c r="M11866" t="s">
        <v>182</v>
      </c>
      <c r="N11866" t="str">
        <f>"5234039     "</f>
        <v xml:space="preserve">5234039     </v>
      </c>
      <c r="O11866">
        <v>240108</v>
      </c>
    </row>
    <row r="11867" spans="1:15" x14ac:dyDescent="0.25">
      <c r="A11867" t="s">
        <v>16</v>
      </c>
      <c r="B11867" t="s">
        <v>3221</v>
      </c>
      <c r="C11867">
        <v>18846</v>
      </c>
      <c r="D11867" t="s">
        <v>2137</v>
      </c>
      <c r="E11867" t="s">
        <v>2138</v>
      </c>
      <c r="F11867">
        <v>94.02</v>
      </c>
      <c r="G11867">
        <v>231231</v>
      </c>
      <c r="H11867">
        <v>4380</v>
      </c>
      <c r="I11867" t="s">
        <v>113</v>
      </c>
      <c r="J11867">
        <v>116.58</v>
      </c>
      <c r="K11867">
        <v>22.56</v>
      </c>
      <c r="L11867">
        <v>59504</v>
      </c>
      <c r="M11867" t="s">
        <v>71</v>
      </c>
      <c r="N11867" t="str">
        <f>"5234039     "</f>
        <v xml:space="preserve">5234039     </v>
      </c>
      <c r="O11867">
        <v>240108</v>
      </c>
    </row>
    <row r="11868" spans="1:15" x14ac:dyDescent="0.25">
      <c r="A11868" t="s">
        <v>16</v>
      </c>
      <c r="B11868" t="s">
        <v>3221</v>
      </c>
      <c r="C11868">
        <v>18847</v>
      </c>
      <c r="D11868" t="s">
        <v>2137</v>
      </c>
      <c r="E11868" t="s">
        <v>2138</v>
      </c>
      <c r="F11868">
        <v>63.21</v>
      </c>
      <c r="G11868">
        <v>231231</v>
      </c>
      <c r="H11868">
        <v>4380</v>
      </c>
      <c r="I11868" t="s">
        <v>113</v>
      </c>
      <c r="J11868">
        <v>78.38</v>
      </c>
      <c r="K11868">
        <v>15.17</v>
      </c>
      <c r="L11868">
        <v>59505</v>
      </c>
      <c r="M11868" t="s">
        <v>72</v>
      </c>
      <c r="N11868" t="str">
        <f>"238797      "</f>
        <v xml:space="preserve">238797      </v>
      </c>
      <c r="O11868">
        <v>240108</v>
      </c>
    </row>
    <row r="11869" spans="1:15" x14ac:dyDescent="0.25">
      <c r="A11869" t="s">
        <v>16</v>
      </c>
      <c r="B11869" t="s">
        <v>3221</v>
      </c>
      <c r="C11869">
        <v>18848</v>
      </c>
      <c r="D11869" t="s">
        <v>2137</v>
      </c>
      <c r="E11869" t="s">
        <v>2138</v>
      </c>
      <c r="F11869">
        <v>57.29</v>
      </c>
      <c r="G11869">
        <v>231231</v>
      </c>
      <c r="H11869">
        <v>4380</v>
      </c>
      <c r="I11869" t="s">
        <v>113</v>
      </c>
      <c r="J11869">
        <v>71.040000000000006</v>
      </c>
      <c r="K11869">
        <v>13.75</v>
      </c>
      <c r="L11869">
        <v>59111</v>
      </c>
      <c r="M11869" t="s">
        <v>1010</v>
      </c>
      <c r="N11869" t="str">
        <f>"238750      "</f>
        <v xml:space="preserve">238750      </v>
      </c>
      <c r="O11869">
        <v>240108</v>
      </c>
    </row>
    <row r="11870" spans="1:15" x14ac:dyDescent="0.25">
      <c r="A11870" t="s">
        <v>16</v>
      </c>
      <c r="B11870" t="s">
        <v>3221</v>
      </c>
      <c r="C11870">
        <v>18848</v>
      </c>
      <c r="D11870" t="s">
        <v>2137</v>
      </c>
      <c r="E11870" t="s">
        <v>2138</v>
      </c>
      <c r="F11870">
        <v>897.52</v>
      </c>
      <c r="G11870">
        <v>231231</v>
      </c>
      <c r="H11870">
        <v>4380</v>
      </c>
      <c r="I11870" t="s">
        <v>113</v>
      </c>
      <c r="J11870">
        <v>1112.92</v>
      </c>
      <c r="K11870">
        <v>215.4</v>
      </c>
      <c r="L11870">
        <v>59501</v>
      </c>
      <c r="M11870" t="s">
        <v>69</v>
      </c>
      <c r="N11870" t="str">
        <f>"238750      "</f>
        <v xml:space="preserve">238750      </v>
      </c>
      <c r="O11870">
        <v>240108</v>
      </c>
    </row>
    <row r="11871" spans="1:15" x14ac:dyDescent="0.25">
      <c r="A11871" t="s">
        <v>16</v>
      </c>
      <c r="B11871" t="s">
        <v>3221</v>
      </c>
      <c r="C11871">
        <v>18849</v>
      </c>
      <c r="D11871" t="s">
        <v>2137</v>
      </c>
      <c r="E11871" t="s">
        <v>2138</v>
      </c>
      <c r="F11871">
        <v>25.2</v>
      </c>
      <c r="G11871">
        <v>231231</v>
      </c>
      <c r="H11871">
        <v>4380</v>
      </c>
      <c r="I11871" t="s">
        <v>113</v>
      </c>
      <c r="J11871">
        <v>31.25</v>
      </c>
      <c r="K11871">
        <v>6.05</v>
      </c>
      <c r="L11871">
        <v>59111</v>
      </c>
      <c r="M11871" t="s">
        <v>1010</v>
      </c>
      <c r="N11871" t="str">
        <f>"5234038     "</f>
        <v xml:space="preserve">5234038     </v>
      </c>
      <c r="O11871">
        <v>240108</v>
      </c>
    </row>
    <row r="11872" spans="1:15" x14ac:dyDescent="0.25">
      <c r="A11872" t="s">
        <v>16</v>
      </c>
      <c r="B11872" t="s">
        <v>3221</v>
      </c>
      <c r="C11872">
        <v>18849</v>
      </c>
      <c r="D11872" t="s">
        <v>2137</v>
      </c>
      <c r="E11872" t="s">
        <v>2138</v>
      </c>
      <c r="F11872">
        <v>394.8</v>
      </c>
      <c r="G11872">
        <v>231231</v>
      </c>
      <c r="H11872">
        <v>4380</v>
      </c>
      <c r="I11872" t="s">
        <v>113</v>
      </c>
      <c r="J11872">
        <v>489.55</v>
      </c>
      <c r="K11872">
        <v>94.75</v>
      </c>
      <c r="L11872">
        <v>59501</v>
      </c>
      <c r="M11872" t="s">
        <v>69</v>
      </c>
      <c r="N11872" t="str">
        <f>"5234038     "</f>
        <v xml:space="preserve">5234038     </v>
      </c>
      <c r="O11872">
        <v>240108</v>
      </c>
    </row>
    <row r="11873" spans="1:15" x14ac:dyDescent="0.25">
      <c r="A11873" t="s">
        <v>16</v>
      </c>
      <c r="B11873" t="s">
        <v>3221</v>
      </c>
      <c r="C11873">
        <v>18850</v>
      </c>
      <c r="D11873" t="s">
        <v>2137</v>
      </c>
      <c r="E11873" t="s">
        <v>2138</v>
      </c>
      <c r="F11873">
        <v>22.14</v>
      </c>
      <c r="G11873">
        <v>231231</v>
      </c>
      <c r="H11873">
        <v>4380</v>
      </c>
      <c r="I11873" t="s">
        <v>113</v>
      </c>
      <c r="J11873">
        <v>27.45</v>
      </c>
      <c r="K11873">
        <v>5.31</v>
      </c>
      <c r="L11873">
        <v>59111</v>
      </c>
      <c r="M11873" t="s">
        <v>1010</v>
      </c>
      <c r="N11873" t="str">
        <f>"5234105     "</f>
        <v xml:space="preserve">5234105     </v>
      </c>
      <c r="O11873">
        <v>240108</v>
      </c>
    </row>
    <row r="11874" spans="1:15" x14ac:dyDescent="0.25">
      <c r="A11874" t="s">
        <v>16</v>
      </c>
      <c r="B11874" t="s">
        <v>3221</v>
      </c>
      <c r="C11874">
        <v>18850</v>
      </c>
      <c r="D11874" t="s">
        <v>2137</v>
      </c>
      <c r="E11874" t="s">
        <v>2138</v>
      </c>
      <c r="F11874">
        <v>346.75</v>
      </c>
      <c r="G11874">
        <v>231231</v>
      </c>
      <c r="H11874">
        <v>4380</v>
      </c>
      <c r="I11874" t="s">
        <v>113</v>
      </c>
      <c r="J11874">
        <v>429.97</v>
      </c>
      <c r="K11874">
        <v>83.22</v>
      </c>
      <c r="L11874">
        <v>59501</v>
      </c>
      <c r="M11874" t="s">
        <v>69</v>
      </c>
      <c r="N11874" t="str">
        <f>"5234105     "</f>
        <v xml:space="preserve">5234105     </v>
      </c>
      <c r="O11874">
        <v>240108</v>
      </c>
    </row>
    <row r="11875" spans="1:15" x14ac:dyDescent="0.25">
      <c r="A11875" t="s">
        <v>16</v>
      </c>
      <c r="B11875" t="s">
        <v>3221</v>
      </c>
      <c r="C11875">
        <v>2371</v>
      </c>
      <c r="D11875" t="s">
        <v>1370</v>
      </c>
      <c r="E11875" t="s">
        <v>1371</v>
      </c>
      <c r="F11875">
        <v>191.58</v>
      </c>
      <c r="G11875">
        <v>230217</v>
      </c>
      <c r="H11875">
        <v>4600</v>
      </c>
      <c r="I11875" t="s">
        <v>105</v>
      </c>
      <c r="J11875">
        <v>237.56</v>
      </c>
      <c r="K11875">
        <v>45.98</v>
      </c>
      <c r="L11875">
        <v>54222</v>
      </c>
      <c r="M11875" t="s">
        <v>308</v>
      </c>
      <c r="N11875" t="str">
        <f>"7450361143  "</f>
        <v xml:space="preserve">7450361143  </v>
      </c>
      <c r="O11875">
        <v>230224</v>
      </c>
    </row>
    <row r="11876" spans="1:15" x14ac:dyDescent="0.25">
      <c r="A11876" t="s">
        <v>16</v>
      </c>
      <c r="B11876" t="s">
        <v>3221</v>
      </c>
      <c r="C11876">
        <v>2371</v>
      </c>
      <c r="D11876" t="s">
        <v>1370</v>
      </c>
      <c r="E11876" t="s">
        <v>1371</v>
      </c>
      <c r="F11876">
        <v>191.57</v>
      </c>
      <c r="G11876">
        <v>230217</v>
      </c>
      <c r="H11876">
        <v>4600</v>
      </c>
      <c r="I11876" t="s">
        <v>105</v>
      </c>
      <c r="J11876">
        <v>237.55</v>
      </c>
      <c r="K11876">
        <v>45.98</v>
      </c>
      <c r="L11876">
        <v>54251</v>
      </c>
      <c r="M11876" t="s">
        <v>309</v>
      </c>
      <c r="N11876" t="str">
        <f>"7450361143  "</f>
        <v xml:space="preserve">7450361143  </v>
      </c>
      <c r="O11876">
        <v>230224</v>
      </c>
    </row>
    <row r="11877" spans="1:15" x14ac:dyDescent="0.25">
      <c r="A11877" t="s">
        <v>16</v>
      </c>
      <c r="B11877" t="s">
        <v>3221</v>
      </c>
      <c r="C11877">
        <v>3607</v>
      </c>
      <c r="D11877" t="s">
        <v>1370</v>
      </c>
      <c r="E11877" t="s">
        <v>1371</v>
      </c>
      <c r="F11877">
        <v>102.6</v>
      </c>
      <c r="G11877">
        <v>230310</v>
      </c>
      <c r="H11877">
        <v>4600</v>
      </c>
      <c r="I11877" t="s">
        <v>105</v>
      </c>
      <c r="J11877">
        <v>127.23</v>
      </c>
      <c r="K11877">
        <v>24.63</v>
      </c>
      <c r="L11877">
        <v>54222</v>
      </c>
      <c r="M11877" t="s">
        <v>308</v>
      </c>
      <c r="N11877" t="str">
        <f>"7450367208  "</f>
        <v xml:space="preserve">7450367208  </v>
      </c>
      <c r="O11877">
        <v>230317</v>
      </c>
    </row>
    <row r="11878" spans="1:15" x14ac:dyDescent="0.25">
      <c r="A11878" t="s">
        <v>16</v>
      </c>
      <c r="B11878" t="s">
        <v>3221</v>
      </c>
      <c r="C11878">
        <v>3607</v>
      </c>
      <c r="D11878" t="s">
        <v>1370</v>
      </c>
      <c r="E11878" t="s">
        <v>1371</v>
      </c>
      <c r="F11878">
        <v>102.6</v>
      </c>
      <c r="G11878">
        <v>230310</v>
      </c>
      <c r="H11878">
        <v>4600</v>
      </c>
      <c r="I11878" t="s">
        <v>105</v>
      </c>
      <c r="J11878">
        <v>127.22</v>
      </c>
      <c r="K11878">
        <v>24.62</v>
      </c>
      <c r="L11878">
        <v>54251</v>
      </c>
      <c r="M11878" t="s">
        <v>309</v>
      </c>
      <c r="N11878" t="str">
        <f>"7450367208  "</f>
        <v xml:space="preserve">7450367208  </v>
      </c>
      <c r="O11878">
        <v>230317</v>
      </c>
    </row>
    <row r="11879" spans="1:15" x14ac:dyDescent="0.25">
      <c r="A11879" t="s">
        <v>16</v>
      </c>
      <c r="B11879" t="s">
        <v>3221</v>
      </c>
      <c r="C11879">
        <v>3608</v>
      </c>
      <c r="D11879" t="s">
        <v>1370</v>
      </c>
      <c r="E11879" t="s">
        <v>1371</v>
      </c>
      <c r="F11879">
        <v>5.58</v>
      </c>
      <c r="G11879">
        <v>230310</v>
      </c>
      <c r="H11879">
        <v>4600</v>
      </c>
      <c r="I11879" t="s">
        <v>105</v>
      </c>
      <c r="J11879">
        <v>6.92</v>
      </c>
      <c r="K11879">
        <v>1.34</v>
      </c>
      <c r="L11879">
        <v>54251</v>
      </c>
      <c r="M11879" t="s">
        <v>309</v>
      </c>
      <c r="N11879" t="str">
        <f>"7450367024  "</f>
        <v xml:space="preserve">7450367024  </v>
      </c>
      <c r="O11879">
        <v>230317</v>
      </c>
    </row>
    <row r="11880" spans="1:15" x14ac:dyDescent="0.25">
      <c r="A11880" t="s">
        <v>16</v>
      </c>
      <c r="B11880" t="s">
        <v>3221</v>
      </c>
      <c r="C11880">
        <v>3609</v>
      </c>
      <c r="D11880" t="s">
        <v>1370</v>
      </c>
      <c r="E11880" t="s">
        <v>1371</v>
      </c>
      <c r="F11880">
        <v>24.75</v>
      </c>
      <c r="G11880">
        <v>230310</v>
      </c>
      <c r="H11880">
        <v>4600</v>
      </c>
      <c r="I11880" t="s">
        <v>105</v>
      </c>
      <c r="J11880">
        <v>30.69</v>
      </c>
      <c r="K11880">
        <v>5.94</v>
      </c>
      <c r="L11880">
        <v>54251</v>
      </c>
      <c r="M11880" t="s">
        <v>309</v>
      </c>
      <c r="N11880" t="str">
        <f>"7450367045  "</f>
        <v xml:space="preserve">7450367045  </v>
      </c>
      <c r="O11880">
        <v>230317</v>
      </c>
    </row>
    <row r="11881" spans="1:15" x14ac:dyDescent="0.25">
      <c r="A11881" t="s">
        <v>16</v>
      </c>
      <c r="B11881" t="s">
        <v>3221</v>
      </c>
      <c r="C11881">
        <v>3610</v>
      </c>
      <c r="D11881" t="s">
        <v>1370</v>
      </c>
      <c r="E11881" t="s">
        <v>1371</v>
      </c>
      <c r="F11881">
        <v>55.32</v>
      </c>
      <c r="G11881">
        <v>230310</v>
      </c>
      <c r="H11881">
        <v>4600</v>
      </c>
      <c r="I11881" t="s">
        <v>105</v>
      </c>
      <c r="J11881">
        <v>68.599999999999994</v>
      </c>
      <c r="K11881">
        <v>13.28</v>
      </c>
      <c r="L11881">
        <v>54251</v>
      </c>
      <c r="M11881" t="s">
        <v>309</v>
      </c>
      <c r="N11881" t="str">
        <f>"7450367026  "</f>
        <v xml:space="preserve">7450367026  </v>
      </c>
      <c r="O11881">
        <v>230317</v>
      </c>
    </row>
    <row r="11882" spans="1:15" x14ac:dyDescent="0.25">
      <c r="A11882" t="s">
        <v>16</v>
      </c>
      <c r="B11882" t="s">
        <v>3221</v>
      </c>
      <c r="C11882">
        <v>3611</v>
      </c>
      <c r="D11882" t="s">
        <v>1370</v>
      </c>
      <c r="E11882" t="s">
        <v>1371</v>
      </c>
      <c r="F11882">
        <v>44.55</v>
      </c>
      <c r="G11882">
        <v>230310</v>
      </c>
      <c r="H11882">
        <v>4600</v>
      </c>
      <c r="I11882" t="s">
        <v>105</v>
      </c>
      <c r="J11882">
        <v>55.24</v>
      </c>
      <c r="K11882">
        <v>10.69</v>
      </c>
      <c r="L11882">
        <v>54222</v>
      </c>
      <c r="M11882" t="s">
        <v>308</v>
      </c>
      <c r="N11882" t="str">
        <f>"7450367027  "</f>
        <v xml:space="preserve">7450367027  </v>
      </c>
      <c r="O11882">
        <v>230317</v>
      </c>
    </row>
    <row r="11883" spans="1:15" x14ac:dyDescent="0.25">
      <c r="A11883" t="s">
        <v>16</v>
      </c>
      <c r="B11883" t="s">
        <v>3221</v>
      </c>
      <c r="C11883">
        <v>3611</v>
      </c>
      <c r="D11883" t="s">
        <v>1370</v>
      </c>
      <c r="E11883" t="s">
        <v>1371</v>
      </c>
      <c r="F11883">
        <v>44.55</v>
      </c>
      <c r="G11883">
        <v>230310</v>
      </c>
      <c r="H11883">
        <v>4600</v>
      </c>
      <c r="I11883" t="s">
        <v>105</v>
      </c>
      <c r="J11883">
        <v>55.24</v>
      </c>
      <c r="K11883">
        <v>10.69</v>
      </c>
      <c r="L11883">
        <v>54251</v>
      </c>
      <c r="M11883" t="s">
        <v>309</v>
      </c>
      <c r="N11883" t="str">
        <f>"7450367027  "</f>
        <v xml:space="preserve">7450367027  </v>
      </c>
      <c r="O11883">
        <v>230317</v>
      </c>
    </row>
    <row r="11884" spans="1:15" x14ac:dyDescent="0.25">
      <c r="A11884" t="s">
        <v>16</v>
      </c>
      <c r="B11884" t="s">
        <v>3221</v>
      </c>
      <c r="C11884">
        <v>3859</v>
      </c>
      <c r="D11884" t="s">
        <v>1370</v>
      </c>
      <c r="E11884" t="s">
        <v>1371</v>
      </c>
      <c r="F11884">
        <v>284.35000000000002</v>
      </c>
      <c r="G11884">
        <v>230315</v>
      </c>
      <c r="H11884">
        <v>4600</v>
      </c>
      <c r="I11884" t="s">
        <v>105</v>
      </c>
      <c r="J11884">
        <v>352.6</v>
      </c>
      <c r="K11884">
        <v>68.25</v>
      </c>
      <c r="L11884">
        <v>54222</v>
      </c>
      <c r="M11884" t="s">
        <v>308</v>
      </c>
      <c r="N11884" t="str">
        <f>"7450367792  "</f>
        <v xml:space="preserve">7450367792  </v>
      </c>
      <c r="O11884">
        <v>230323</v>
      </c>
    </row>
    <row r="11885" spans="1:15" x14ac:dyDescent="0.25">
      <c r="A11885" t="s">
        <v>16</v>
      </c>
      <c r="B11885" t="s">
        <v>3221</v>
      </c>
      <c r="C11885">
        <v>3859</v>
      </c>
      <c r="D11885" t="s">
        <v>1370</v>
      </c>
      <c r="E11885" t="s">
        <v>1371</v>
      </c>
      <c r="F11885">
        <v>284.35000000000002</v>
      </c>
      <c r="G11885">
        <v>230315</v>
      </c>
      <c r="H11885">
        <v>4600</v>
      </c>
      <c r="I11885" t="s">
        <v>105</v>
      </c>
      <c r="J11885">
        <v>352.59</v>
      </c>
      <c r="K11885">
        <v>68.239999999999995</v>
      </c>
      <c r="L11885">
        <v>54251</v>
      </c>
      <c r="M11885" t="s">
        <v>309</v>
      </c>
      <c r="N11885" t="str">
        <f>"7450367792  "</f>
        <v xml:space="preserve">7450367792  </v>
      </c>
      <c r="O11885">
        <v>230323</v>
      </c>
    </row>
    <row r="11886" spans="1:15" x14ac:dyDescent="0.25">
      <c r="A11886" t="s">
        <v>16</v>
      </c>
      <c r="B11886" t="s">
        <v>3221</v>
      </c>
      <c r="C11886">
        <v>11927</v>
      </c>
      <c r="D11886" t="s">
        <v>1370</v>
      </c>
      <c r="E11886" t="s">
        <v>1371</v>
      </c>
      <c r="F11886">
        <v>437.94</v>
      </c>
      <c r="G11886">
        <v>230901</v>
      </c>
      <c r="H11886">
        <v>4600</v>
      </c>
      <c r="I11886" t="s">
        <v>105</v>
      </c>
      <c r="J11886">
        <v>543.04</v>
      </c>
      <c r="K11886">
        <v>105.1</v>
      </c>
      <c r="L11886">
        <v>54222</v>
      </c>
      <c r="M11886" t="s">
        <v>308</v>
      </c>
      <c r="N11886" t="str">
        <f>"7450405934  "</f>
        <v xml:space="preserve">7450405934  </v>
      </c>
      <c r="O11886">
        <v>230911</v>
      </c>
    </row>
    <row r="11887" spans="1:15" x14ac:dyDescent="0.25">
      <c r="A11887" t="s">
        <v>16</v>
      </c>
      <c r="B11887" t="s">
        <v>3221</v>
      </c>
      <c r="C11887">
        <v>11927</v>
      </c>
      <c r="D11887" t="s">
        <v>1370</v>
      </c>
      <c r="E11887" t="s">
        <v>1371</v>
      </c>
      <c r="F11887">
        <v>437.94</v>
      </c>
      <c r="G11887">
        <v>230901</v>
      </c>
      <c r="H11887">
        <v>4600</v>
      </c>
      <c r="I11887" t="s">
        <v>105</v>
      </c>
      <c r="J11887">
        <v>543.04</v>
      </c>
      <c r="K11887">
        <v>105.1</v>
      </c>
      <c r="L11887">
        <v>54251</v>
      </c>
      <c r="M11887" t="s">
        <v>309</v>
      </c>
      <c r="N11887" t="str">
        <f>"7450405934  "</f>
        <v xml:space="preserve">7450405934  </v>
      </c>
      <c r="O11887">
        <v>230911</v>
      </c>
    </row>
    <row r="11888" spans="1:15" x14ac:dyDescent="0.25">
      <c r="A11888" t="s">
        <v>16</v>
      </c>
      <c r="B11888" t="s">
        <v>3221</v>
      </c>
      <c r="C11888">
        <v>15628</v>
      </c>
      <c r="D11888" t="s">
        <v>1370</v>
      </c>
      <c r="E11888" t="s">
        <v>1371</v>
      </c>
      <c r="F11888">
        <v>239.21</v>
      </c>
      <c r="G11888">
        <v>231107</v>
      </c>
      <c r="H11888">
        <v>4600</v>
      </c>
      <c r="I11888" t="s">
        <v>105</v>
      </c>
      <c r="J11888">
        <v>296.62</v>
      </c>
      <c r="K11888">
        <v>57.41</v>
      </c>
      <c r="L11888">
        <v>54251</v>
      </c>
      <c r="M11888" t="s">
        <v>309</v>
      </c>
      <c r="N11888" t="str">
        <f>"7450422146  "</f>
        <v xml:space="preserve">7450422146  </v>
      </c>
      <c r="O11888">
        <v>231114</v>
      </c>
    </row>
    <row r="11889" spans="1:15" x14ac:dyDescent="0.25">
      <c r="A11889" t="s">
        <v>16</v>
      </c>
      <c r="B11889" t="s">
        <v>3221</v>
      </c>
      <c r="C11889">
        <v>54</v>
      </c>
      <c r="D11889" t="s">
        <v>37</v>
      </c>
      <c r="E11889" t="s">
        <v>38</v>
      </c>
      <c r="F11889">
        <v>104.38</v>
      </c>
      <c r="G11889">
        <v>221222</v>
      </c>
      <c r="H11889">
        <v>4341</v>
      </c>
      <c r="I11889" t="s">
        <v>32</v>
      </c>
      <c r="J11889">
        <v>129.43</v>
      </c>
      <c r="K11889">
        <v>25.05</v>
      </c>
      <c r="L11889">
        <v>11905</v>
      </c>
      <c r="M11889" t="s">
        <v>39</v>
      </c>
      <c r="N11889" t="str">
        <f>"729496      "</f>
        <v xml:space="preserve">729496      </v>
      </c>
      <c r="O11889">
        <v>230104</v>
      </c>
    </row>
    <row r="11890" spans="1:15" x14ac:dyDescent="0.25">
      <c r="A11890" t="s">
        <v>16</v>
      </c>
      <c r="B11890" t="s">
        <v>3221</v>
      </c>
      <c r="C11890">
        <v>62</v>
      </c>
      <c r="D11890" t="s">
        <v>37</v>
      </c>
      <c r="E11890" t="s">
        <v>38</v>
      </c>
      <c r="F11890">
        <v>29.1</v>
      </c>
      <c r="G11890">
        <v>221222</v>
      </c>
      <c r="H11890">
        <v>4341</v>
      </c>
      <c r="I11890" t="s">
        <v>32</v>
      </c>
      <c r="J11890">
        <v>36.090000000000003</v>
      </c>
      <c r="K11890">
        <v>6.99</v>
      </c>
      <c r="L11890">
        <v>11905</v>
      </c>
      <c r="M11890" t="s">
        <v>39</v>
      </c>
      <c r="N11890" t="str">
        <f>"729495      "</f>
        <v xml:space="preserve">729495      </v>
      </c>
      <c r="O11890">
        <v>230104</v>
      </c>
    </row>
    <row r="11891" spans="1:15" x14ac:dyDescent="0.25">
      <c r="A11891" t="s">
        <v>16</v>
      </c>
      <c r="B11891" t="s">
        <v>3221</v>
      </c>
      <c r="C11891">
        <v>4126</v>
      </c>
      <c r="D11891" t="s">
        <v>37</v>
      </c>
      <c r="E11891" t="s">
        <v>38</v>
      </c>
      <c r="F11891">
        <v>29.1</v>
      </c>
      <c r="G11891">
        <v>230322</v>
      </c>
      <c r="H11891">
        <v>4341</v>
      </c>
      <c r="I11891" t="s">
        <v>32</v>
      </c>
      <c r="J11891">
        <v>36.090000000000003</v>
      </c>
      <c r="K11891">
        <v>6.99</v>
      </c>
      <c r="L11891">
        <v>11905</v>
      </c>
      <c r="M11891" t="s">
        <v>39</v>
      </c>
      <c r="N11891" t="str">
        <f>"749271      "</f>
        <v xml:space="preserve">749271      </v>
      </c>
      <c r="O11891">
        <v>230330</v>
      </c>
    </row>
    <row r="11892" spans="1:15" x14ac:dyDescent="0.25">
      <c r="A11892" t="s">
        <v>16</v>
      </c>
      <c r="B11892" t="s">
        <v>3221</v>
      </c>
      <c r="C11892">
        <v>9077</v>
      </c>
      <c r="D11892" t="s">
        <v>37</v>
      </c>
      <c r="E11892" t="s">
        <v>38</v>
      </c>
      <c r="F11892">
        <v>29.1</v>
      </c>
      <c r="G11892">
        <v>230621</v>
      </c>
      <c r="H11892">
        <v>4341</v>
      </c>
      <c r="I11892" t="s">
        <v>32</v>
      </c>
      <c r="J11892">
        <v>36.090000000000003</v>
      </c>
      <c r="K11892">
        <v>6.99</v>
      </c>
      <c r="L11892">
        <v>11905</v>
      </c>
      <c r="M11892" t="s">
        <v>39</v>
      </c>
      <c r="N11892" t="str">
        <f>"765420      "</f>
        <v xml:space="preserve">765420      </v>
      </c>
      <c r="O11892">
        <v>230622</v>
      </c>
    </row>
    <row r="11893" spans="1:15" x14ac:dyDescent="0.25">
      <c r="A11893" t="s">
        <v>16</v>
      </c>
      <c r="B11893" t="s">
        <v>3221</v>
      </c>
      <c r="C11893">
        <v>13517</v>
      </c>
      <c r="D11893" t="s">
        <v>37</v>
      </c>
      <c r="E11893" t="s">
        <v>38</v>
      </c>
      <c r="F11893">
        <v>32.049999999999997</v>
      </c>
      <c r="G11893">
        <v>230921</v>
      </c>
      <c r="H11893">
        <v>4341</v>
      </c>
      <c r="I11893" t="s">
        <v>32</v>
      </c>
      <c r="J11893">
        <v>39.74</v>
      </c>
      <c r="K11893">
        <v>7.69</v>
      </c>
      <c r="L11893">
        <v>11901</v>
      </c>
      <c r="M11893" t="s">
        <v>36</v>
      </c>
      <c r="N11893" t="str">
        <f>"784024      "</f>
        <v xml:space="preserve">784024      </v>
      </c>
      <c r="O11893">
        <v>231011</v>
      </c>
    </row>
    <row r="11894" spans="1:15" x14ac:dyDescent="0.25">
      <c r="A11894" t="s">
        <v>16</v>
      </c>
      <c r="B11894" t="s">
        <v>3221</v>
      </c>
      <c r="C11894">
        <v>6876</v>
      </c>
      <c r="D11894" t="s">
        <v>3662</v>
      </c>
      <c r="E11894" t="s">
        <v>3277</v>
      </c>
      <c r="F11894">
        <v>5450</v>
      </c>
      <c r="G11894">
        <v>230522</v>
      </c>
      <c r="H11894">
        <v>4440</v>
      </c>
      <c r="I11894" t="s">
        <v>250</v>
      </c>
      <c r="J11894">
        <v>5450</v>
      </c>
      <c r="K11894">
        <v>0</v>
      </c>
      <c r="L11894">
        <v>18122</v>
      </c>
      <c r="M11894" t="s">
        <v>407</v>
      </c>
      <c r="N11894" t="str">
        <f>"101/5548    "</f>
        <v xml:space="preserve">101/5548    </v>
      </c>
      <c r="O11894">
        <v>230523</v>
      </c>
    </row>
    <row r="11895" spans="1:15" x14ac:dyDescent="0.25">
      <c r="A11895" t="s">
        <v>16</v>
      </c>
      <c r="B11895" t="s">
        <v>3221</v>
      </c>
      <c r="C11895">
        <v>5285</v>
      </c>
      <c r="D11895" t="s">
        <v>3663</v>
      </c>
      <c r="E11895" t="s">
        <v>3268</v>
      </c>
      <c r="F11895">
        <v>150</v>
      </c>
      <c r="G11895">
        <v>230414</v>
      </c>
      <c r="H11895">
        <v>4470</v>
      </c>
      <c r="I11895" t="s">
        <v>83</v>
      </c>
      <c r="J11895">
        <v>150</v>
      </c>
      <c r="K11895">
        <v>0</v>
      </c>
      <c r="L11895">
        <v>67554</v>
      </c>
      <c r="M11895" t="s">
        <v>60</v>
      </c>
      <c r="N11895" t="str">
        <f>"3602043290  "</f>
        <v xml:space="preserve">3602043290  </v>
      </c>
      <c r="O11895">
        <v>230420</v>
      </c>
    </row>
    <row r="11896" spans="1:15" x14ac:dyDescent="0.25">
      <c r="A11896" t="s">
        <v>16</v>
      </c>
      <c r="B11896" t="s">
        <v>3221</v>
      </c>
      <c r="C11896">
        <v>1601</v>
      </c>
      <c r="D11896" t="s">
        <v>1096</v>
      </c>
      <c r="E11896" t="s">
        <v>1097</v>
      </c>
      <c r="F11896">
        <v>26.21</v>
      </c>
      <c r="G11896">
        <v>230206</v>
      </c>
      <c r="H11896">
        <v>4362</v>
      </c>
      <c r="I11896" t="s">
        <v>79</v>
      </c>
      <c r="J11896">
        <v>32.5</v>
      </c>
      <c r="K11896">
        <v>6.29</v>
      </c>
      <c r="L11896">
        <v>59111</v>
      </c>
      <c r="M11896" t="s">
        <v>1010</v>
      </c>
      <c r="N11896" t="str">
        <f>"43016897    "</f>
        <v xml:space="preserve">43016897    </v>
      </c>
      <c r="O11896">
        <v>230210</v>
      </c>
    </row>
    <row r="11897" spans="1:15" x14ac:dyDescent="0.25">
      <c r="A11897" t="s">
        <v>16</v>
      </c>
      <c r="B11897" t="s">
        <v>3221</v>
      </c>
      <c r="C11897">
        <v>1601</v>
      </c>
      <c r="D11897" t="s">
        <v>1096</v>
      </c>
      <c r="E11897" t="s">
        <v>1097</v>
      </c>
      <c r="F11897">
        <v>26.21</v>
      </c>
      <c r="G11897">
        <v>230206</v>
      </c>
      <c r="H11897">
        <v>4362</v>
      </c>
      <c r="I11897" t="s">
        <v>79</v>
      </c>
      <c r="J11897">
        <v>32.5</v>
      </c>
      <c r="K11897">
        <v>6.29</v>
      </c>
      <c r="L11897">
        <v>59501</v>
      </c>
      <c r="M11897" t="s">
        <v>69</v>
      </c>
      <c r="N11897" t="str">
        <f>"43016897    "</f>
        <v xml:space="preserve">43016897    </v>
      </c>
      <c r="O11897">
        <v>230210</v>
      </c>
    </row>
    <row r="11898" spans="1:15" x14ac:dyDescent="0.25">
      <c r="A11898" t="s">
        <v>16</v>
      </c>
      <c r="B11898" t="s">
        <v>3221</v>
      </c>
      <c r="C11898">
        <v>2945</v>
      </c>
      <c r="D11898" t="s">
        <v>1096</v>
      </c>
      <c r="E11898" t="s">
        <v>1097</v>
      </c>
      <c r="F11898">
        <v>26.21</v>
      </c>
      <c r="G11898">
        <v>230306</v>
      </c>
      <c r="H11898">
        <v>4362</v>
      </c>
      <c r="I11898" t="s">
        <v>79</v>
      </c>
      <c r="J11898">
        <v>32.5</v>
      </c>
      <c r="K11898">
        <v>6.29</v>
      </c>
      <c r="L11898">
        <v>59111</v>
      </c>
      <c r="M11898" t="s">
        <v>1010</v>
      </c>
      <c r="N11898" t="str">
        <f>"43056152    "</f>
        <v xml:space="preserve">43056152    </v>
      </c>
      <c r="O11898">
        <v>230308</v>
      </c>
    </row>
    <row r="11899" spans="1:15" x14ac:dyDescent="0.25">
      <c r="A11899" t="s">
        <v>16</v>
      </c>
      <c r="B11899" t="s">
        <v>3221</v>
      </c>
      <c r="C11899">
        <v>2945</v>
      </c>
      <c r="D11899" t="s">
        <v>1096</v>
      </c>
      <c r="E11899" t="s">
        <v>1097</v>
      </c>
      <c r="F11899">
        <v>26.21</v>
      </c>
      <c r="G11899">
        <v>230306</v>
      </c>
      <c r="H11899">
        <v>4362</v>
      </c>
      <c r="I11899" t="s">
        <v>79</v>
      </c>
      <c r="J11899">
        <v>32.5</v>
      </c>
      <c r="K11899">
        <v>6.29</v>
      </c>
      <c r="L11899">
        <v>59501</v>
      </c>
      <c r="M11899" t="s">
        <v>69</v>
      </c>
      <c r="N11899" t="str">
        <f>"43056152    "</f>
        <v xml:space="preserve">43056152    </v>
      </c>
      <c r="O11899">
        <v>230308</v>
      </c>
    </row>
    <row r="11900" spans="1:15" x14ac:dyDescent="0.25">
      <c r="A11900" t="s">
        <v>16</v>
      </c>
      <c r="B11900" t="s">
        <v>3221</v>
      </c>
      <c r="C11900">
        <v>5094</v>
      </c>
      <c r="D11900" t="s">
        <v>1096</v>
      </c>
      <c r="E11900" t="s">
        <v>1097</v>
      </c>
      <c r="F11900">
        <v>26.21</v>
      </c>
      <c r="G11900">
        <v>230406</v>
      </c>
      <c r="H11900">
        <v>4362</v>
      </c>
      <c r="I11900" t="s">
        <v>79</v>
      </c>
      <c r="J11900">
        <v>32.5</v>
      </c>
      <c r="K11900">
        <v>6.29</v>
      </c>
      <c r="L11900">
        <v>59111</v>
      </c>
      <c r="M11900" t="s">
        <v>1010</v>
      </c>
      <c r="N11900" t="str">
        <f>"43095690    "</f>
        <v xml:space="preserve">43095690    </v>
      </c>
      <c r="O11900">
        <v>230418</v>
      </c>
    </row>
    <row r="11901" spans="1:15" x14ac:dyDescent="0.25">
      <c r="A11901" t="s">
        <v>16</v>
      </c>
      <c r="B11901" t="s">
        <v>3221</v>
      </c>
      <c r="C11901">
        <v>5094</v>
      </c>
      <c r="D11901" t="s">
        <v>1096</v>
      </c>
      <c r="E11901" t="s">
        <v>1097</v>
      </c>
      <c r="F11901">
        <v>26.21</v>
      </c>
      <c r="G11901">
        <v>230406</v>
      </c>
      <c r="H11901">
        <v>4362</v>
      </c>
      <c r="I11901" t="s">
        <v>79</v>
      </c>
      <c r="J11901">
        <v>32.5</v>
      </c>
      <c r="K11901">
        <v>6.29</v>
      </c>
      <c r="L11901">
        <v>59501</v>
      </c>
      <c r="M11901" t="s">
        <v>69</v>
      </c>
      <c r="N11901" t="str">
        <f>"43095690    "</f>
        <v xml:space="preserve">43095690    </v>
      </c>
      <c r="O11901">
        <v>230418</v>
      </c>
    </row>
    <row r="11902" spans="1:15" x14ac:dyDescent="0.25">
      <c r="A11902" t="s">
        <v>16</v>
      </c>
      <c r="B11902" t="s">
        <v>3221</v>
      </c>
      <c r="C11902">
        <v>6368</v>
      </c>
      <c r="D11902" t="s">
        <v>1096</v>
      </c>
      <c r="E11902" t="s">
        <v>1097</v>
      </c>
      <c r="F11902">
        <v>26.21</v>
      </c>
      <c r="G11902">
        <v>230505</v>
      </c>
      <c r="H11902">
        <v>4362</v>
      </c>
      <c r="I11902" t="s">
        <v>79</v>
      </c>
      <c r="J11902">
        <v>32.5</v>
      </c>
      <c r="K11902">
        <v>6.29</v>
      </c>
      <c r="L11902">
        <v>59111</v>
      </c>
      <c r="M11902" t="s">
        <v>1010</v>
      </c>
      <c r="N11902" t="str">
        <f>"43134974    "</f>
        <v xml:space="preserve">43134974    </v>
      </c>
      <c r="O11902">
        <v>230510</v>
      </c>
    </row>
    <row r="11903" spans="1:15" x14ac:dyDescent="0.25">
      <c r="A11903" t="s">
        <v>16</v>
      </c>
      <c r="B11903" t="s">
        <v>3221</v>
      </c>
      <c r="C11903">
        <v>6368</v>
      </c>
      <c r="D11903" t="s">
        <v>1096</v>
      </c>
      <c r="E11903" t="s">
        <v>1097</v>
      </c>
      <c r="F11903">
        <v>26.21</v>
      </c>
      <c r="G11903">
        <v>230505</v>
      </c>
      <c r="H11903">
        <v>4362</v>
      </c>
      <c r="I11903" t="s">
        <v>79</v>
      </c>
      <c r="J11903">
        <v>32.5</v>
      </c>
      <c r="K11903">
        <v>6.29</v>
      </c>
      <c r="L11903">
        <v>59501</v>
      </c>
      <c r="M11903" t="s">
        <v>69</v>
      </c>
      <c r="N11903" t="str">
        <f>"43134974    "</f>
        <v xml:space="preserve">43134974    </v>
      </c>
      <c r="O11903">
        <v>230510</v>
      </c>
    </row>
    <row r="11904" spans="1:15" x14ac:dyDescent="0.25">
      <c r="A11904" t="s">
        <v>16</v>
      </c>
      <c r="B11904" t="s">
        <v>3221</v>
      </c>
      <c r="C11904">
        <v>8145</v>
      </c>
      <c r="D11904" t="s">
        <v>1096</v>
      </c>
      <c r="E11904" t="s">
        <v>1097</v>
      </c>
      <c r="F11904">
        <v>26.21</v>
      </c>
      <c r="G11904">
        <v>230606</v>
      </c>
      <c r="H11904">
        <v>4362</v>
      </c>
      <c r="I11904" t="s">
        <v>79</v>
      </c>
      <c r="J11904">
        <v>32.5</v>
      </c>
      <c r="K11904">
        <v>6.29</v>
      </c>
      <c r="L11904">
        <v>59111</v>
      </c>
      <c r="M11904" t="s">
        <v>1010</v>
      </c>
      <c r="N11904" t="str">
        <f>"43174661    "</f>
        <v xml:space="preserve">43174661    </v>
      </c>
      <c r="O11904">
        <v>230607</v>
      </c>
    </row>
    <row r="11905" spans="1:15" x14ac:dyDescent="0.25">
      <c r="A11905" t="s">
        <v>16</v>
      </c>
      <c r="B11905" t="s">
        <v>3221</v>
      </c>
      <c r="C11905">
        <v>8145</v>
      </c>
      <c r="D11905" t="s">
        <v>1096</v>
      </c>
      <c r="E11905" t="s">
        <v>1097</v>
      </c>
      <c r="F11905">
        <v>26.21</v>
      </c>
      <c r="G11905">
        <v>230606</v>
      </c>
      <c r="H11905">
        <v>4362</v>
      </c>
      <c r="I11905" t="s">
        <v>79</v>
      </c>
      <c r="J11905">
        <v>32.5</v>
      </c>
      <c r="K11905">
        <v>6.29</v>
      </c>
      <c r="L11905">
        <v>59501</v>
      </c>
      <c r="M11905" t="s">
        <v>69</v>
      </c>
      <c r="N11905" t="str">
        <f>"43174661    "</f>
        <v xml:space="preserve">43174661    </v>
      </c>
      <c r="O11905">
        <v>230607</v>
      </c>
    </row>
    <row r="11906" spans="1:15" x14ac:dyDescent="0.25">
      <c r="A11906" t="s">
        <v>16</v>
      </c>
      <c r="B11906" t="s">
        <v>3221</v>
      </c>
      <c r="C11906">
        <v>9757</v>
      </c>
      <c r="D11906" t="s">
        <v>1096</v>
      </c>
      <c r="E11906" t="s">
        <v>1097</v>
      </c>
      <c r="F11906">
        <v>52.42</v>
      </c>
      <c r="G11906">
        <v>230706</v>
      </c>
      <c r="H11906">
        <v>4362</v>
      </c>
      <c r="I11906" t="s">
        <v>79</v>
      </c>
      <c r="J11906">
        <v>65</v>
      </c>
      <c r="K11906">
        <v>12.58</v>
      </c>
      <c r="L11906">
        <v>59111</v>
      </c>
      <c r="M11906" t="s">
        <v>1010</v>
      </c>
      <c r="N11906" t="str">
        <f>"43214683    "</f>
        <v xml:space="preserve">43214683    </v>
      </c>
      <c r="O11906">
        <v>230725</v>
      </c>
    </row>
    <row r="11907" spans="1:15" x14ac:dyDescent="0.25">
      <c r="A11907" t="s">
        <v>16</v>
      </c>
      <c r="B11907" t="s">
        <v>3221</v>
      </c>
      <c r="C11907">
        <v>10451</v>
      </c>
      <c r="D11907" t="s">
        <v>1096</v>
      </c>
      <c r="E11907" t="s">
        <v>1097</v>
      </c>
      <c r="F11907">
        <v>26.21</v>
      </c>
      <c r="G11907">
        <v>230804</v>
      </c>
      <c r="H11907">
        <v>4362</v>
      </c>
      <c r="I11907" t="s">
        <v>79</v>
      </c>
      <c r="J11907">
        <v>32.5</v>
      </c>
      <c r="K11907">
        <v>6.29</v>
      </c>
      <c r="L11907">
        <v>59111</v>
      </c>
      <c r="M11907" t="s">
        <v>1010</v>
      </c>
      <c r="N11907" t="str">
        <f>"43254474    "</f>
        <v xml:space="preserve">43254474    </v>
      </c>
      <c r="O11907">
        <v>230816</v>
      </c>
    </row>
    <row r="11908" spans="1:15" x14ac:dyDescent="0.25">
      <c r="A11908" t="s">
        <v>16</v>
      </c>
      <c r="B11908" t="s">
        <v>3221</v>
      </c>
      <c r="C11908">
        <v>10451</v>
      </c>
      <c r="D11908" t="s">
        <v>1096</v>
      </c>
      <c r="E11908" t="s">
        <v>1097</v>
      </c>
      <c r="F11908">
        <v>26.21</v>
      </c>
      <c r="G11908">
        <v>230804</v>
      </c>
      <c r="H11908">
        <v>4362</v>
      </c>
      <c r="I11908" t="s">
        <v>79</v>
      </c>
      <c r="J11908">
        <v>32.5</v>
      </c>
      <c r="K11908">
        <v>6.29</v>
      </c>
      <c r="L11908">
        <v>59501</v>
      </c>
      <c r="M11908" t="s">
        <v>69</v>
      </c>
      <c r="N11908" t="str">
        <f>"43254474    "</f>
        <v xml:space="preserve">43254474    </v>
      </c>
      <c r="O11908">
        <v>230816</v>
      </c>
    </row>
    <row r="11909" spans="1:15" x14ac:dyDescent="0.25">
      <c r="A11909" t="s">
        <v>16</v>
      </c>
      <c r="B11909" t="s">
        <v>3221</v>
      </c>
      <c r="C11909">
        <v>11761</v>
      </c>
      <c r="D11909" t="s">
        <v>1096</v>
      </c>
      <c r="E11909" t="s">
        <v>1097</v>
      </c>
      <c r="F11909">
        <v>26.21</v>
      </c>
      <c r="G11909">
        <v>230906</v>
      </c>
      <c r="H11909">
        <v>4362</v>
      </c>
      <c r="I11909" t="s">
        <v>79</v>
      </c>
      <c r="J11909">
        <v>32.5</v>
      </c>
      <c r="K11909">
        <v>6.29</v>
      </c>
      <c r="L11909">
        <v>59111</v>
      </c>
      <c r="M11909" t="s">
        <v>1010</v>
      </c>
      <c r="N11909" t="str">
        <f>"43294421    "</f>
        <v xml:space="preserve">43294421    </v>
      </c>
      <c r="O11909">
        <v>230908</v>
      </c>
    </row>
    <row r="11910" spans="1:15" x14ac:dyDescent="0.25">
      <c r="A11910" t="s">
        <v>16</v>
      </c>
      <c r="B11910" t="s">
        <v>3221</v>
      </c>
      <c r="C11910">
        <v>11761</v>
      </c>
      <c r="D11910" t="s">
        <v>1096</v>
      </c>
      <c r="E11910" t="s">
        <v>1097</v>
      </c>
      <c r="F11910">
        <v>26.21</v>
      </c>
      <c r="G11910">
        <v>230906</v>
      </c>
      <c r="H11910">
        <v>4362</v>
      </c>
      <c r="I11910" t="s">
        <v>79</v>
      </c>
      <c r="J11910">
        <v>32.5</v>
      </c>
      <c r="K11910">
        <v>6.29</v>
      </c>
      <c r="L11910">
        <v>59501</v>
      </c>
      <c r="M11910" t="s">
        <v>69</v>
      </c>
      <c r="N11910" t="str">
        <f>"43294421    "</f>
        <v xml:space="preserve">43294421    </v>
      </c>
      <c r="O11910">
        <v>230908</v>
      </c>
    </row>
    <row r="11911" spans="1:15" x14ac:dyDescent="0.25">
      <c r="A11911" t="s">
        <v>16</v>
      </c>
      <c r="B11911" t="s">
        <v>3221</v>
      </c>
      <c r="C11911">
        <v>13785</v>
      </c>
      <c r="D11911" t="s">
        <v>1096</v>
      </c>
      <c r="E11911" t="s">
        <v>1097</v>
      </c>
      <c r="F11911">
        <v>26.21</v>
      </c>
      <c r="G11911">
        <v>231005</v>
      </c>
      <c r="H11911">
        <v>4362</v>
      </c>
      <c r="I11911" t="s">
        <v>79</v>
      </c>
      <c r="J11911">
        <v>32.5</v>
      </c>
      <c r="K11911">
        <v>6.29</v>
      </c>
      <c r="L11911">
        <v>59111</v>
      </c>
      <c r="M11911" t="s">
        <v>1010</v>
      </c>
      <c r="N11911" t="str">
        <f>"43335369    "</f>
        <v xml:space="preserve">43335369    </v>
      </c>
      <c r="O11911">
        <v>231013</v>
      </c>
    </row>
    <row r="11912" spans="1:15" x14ac:dyDescent="0.25">
      <c r="A11912" t="s">
        <v>16</v>
      </c>
      <c r="B11912" t="s">
        <v>3221</v>
      </c>
      <c r="C11912">
        <v>13785</v>
      </c>
      <c r="D11912" t="s">
        <v>1096</v>
      </c>
      <c r="E11912" t="s">
        <v>1097</v>
      </c>
      <c r="F11912">
        <v>26.21</v>
      </c>
      <c r="G11912">
        <v>231005</v>
      </c>
      <c r="H11912">
        <v>4362</v>
      </c>
      <c r="I11912" t="s">
        <v>79</v>
      </c>
      <c r="J11912">
        <v>32.5</v>
      </c>
      <c r="K11912">
        <v>6.29</v>
      </c>
      <c r="L11912">
        <v>59501</v>
      </c>
      <c r="M11912" t="s">
        <v>69</v>
      </c>
      <c r="N11912" t="str">
        <f>"43335369    "</f>
        <v xml:space="preserve">43335369    </v>
      </c>
      <c r="O11912">
        <v>231013</v>
      </c>
    </row>
    <row r="11913" spans="1:15" x14ac:dyDescent="0.25">
      <c r="A11913" t="s">
        <v>16</v>
      </c>
      <c r="B11913" t="s">
        <v>3221</v>
      </c>
      <c r="C11913">
        <v>15554</v>
      </c>
      <c r="D11913" t="s">
        <v>1096</v>
      </c>
      <c r="E11913" t="s">
        <v>1097</v>
      </c>
      <c r="F11913">
        <v>26.21</v>
      </c>
      <c r="G11913">
        <v>231106</v>
      </c>
      <c r="H11913">
        <v>4362</v>
      </c>
      <c r="I11913" t="s">
        <v>79</v>
      </c>
      <c r="J11913">
        <v>32.5</v>
      </c>
      <c r="K11913">
        <v>6.29</v>
      </c>
      <c r="L11913">
        <v>59111</v>
      </c>
      <c r="M11913" t="s">
        <v>1010</v>
      </c>
      <c r="N11913" t="str">
        <f>"43376630    "</f>
        <v xml:space="preserve">43376630    </v>
      </c>
      <c r="O11913">
        <v>231113</v>
      </c>
    </row>
    <row r="11914" spans="1:15" x14ac:dyDescent="0.25">
      <c r="A11914" t="s">
        <v>16</v>
      </c>
      <c r="B11914" t="s">
        <v>3221</v>
      </c>
      <c r="C11914">
        <v>15554</v>
      </c>
      <c r="D11914" t="s">
        <v>1096</v>
      </c>
      <c r="E11914" t="s">
        <v>1097</v>
      </c>
      <c r="F11914">
        <v>26.21</v>
      </c>
      <c r="G11914">
        <v>231106</v>
      </c>
      <c r="H11914">
        <v>4362</v>
      </c>
      <c r="I11914" t="s">
        <v>79</v>
      </c>
      <c r="J11914">
        <v>32.5</v>
      </c>
      <c r="K11914">
        <v>6.29</v>
      </c>
      <c r="L11914">
        <v>59501</v>
      </c>
      <c r="M11914" t="s">
        <v>69</v>
      </c>
      <c r="N11914" t="str">
        <f>"43376630    "</f>
        <v xml:space="preserve">43376630    </v>
      </c>
      <c r="O11914">
        <v>231113</v>
      </c>
    </row>
    <row r="11915" spans="1:15" x14ac:dyDescent="0.25">
      <c r="A11915" t="s">
        <v>16</v>
      </c>
      <c r="B11915" t="s">
        <v>3221</v>
      </c>
      <c r="C11915">
        <v>17376</v>
      </c>
      <c r="D11915" t="s">
        <v>1096</v>
      </c>
      <c r="E11915" t="s">
        <v>1097</v>
      </c>
      <c r="F11915">
        <v>26.21</v>
      </c>
      <c r="G11915">
        <v>231207</v>
      </c>
      <c r="H11915">
        <v>4362</v>
      </c>
      <c r="I11915" t="s">
        <v>79</v>
      </c>
      <c r="J11915">
        <v>32.5</v>
      </c>
      <c r="K11915">
        <v>6.29</v>
      </c>
      <c r="L11915">
        <v>59111</v>
      </c>
      <c r="M11915" t="s">
        <v>1010</v>
      </c>
      <c r="N11915" t="str">
        <f>"43419603    "</f>
        <v xml:space="preserve">43419603    </v>
      </c>
      <c r="O11915">
        <v>231213</v>
      </c>
    </row>
    <row r="11916" spans="1:15" x14ac:dyDescent="0.25">
      <c r="A11916" t="s">
        <v>16</v>
      </c>
      <c r="B11916" t="s">
        <v>3221</v>
      </c>
      <c r="C11916">
        <v>17376</v>
      </c>
      <c r="D11916" t="s">
        <v>1096</v>
      </c>
      <c r="E11916" t="s">
        <v>1097</v>
      </c>
      <c r="F11916">
        <v>26.21</v>
      </c>
      <c r="G11916">
        <v>231207</v>
      </c>
      <c r="H11916">
        <v>4362</v>
      </c>
      <c r="I11916" t="s">
        <v>79</v>
      </c>
      <c r="J11916">
        <v>32.5</v>
      </c>
      <c r="K11916">
        <v>6.29</v>
      </c>
      <c r="L11916">
        <v>59501</v>
      </c>
      <c r="M11916" t="s">
        <v>69</v>
      </c>
      <c r="N11916" t="str">
        <f>"43419603    "</f>
        <v xml:space="preserve">43419603    </v>
      </c>
      <c r="O11916">
        <v>231213</v>
      </c>
    </row>
    <row r="11917" spans="1:15" x14ac:dyDescent="0.25">
      <c r="A11917" t="s">
        <v>16</v>
      </c>
      <c r="B11917" t="s">
        <v>3221</v>
      </c>
      <c r="C11917">
        <v>18963</v>
      </c>
      <c r="D11917" t="s">
        <v>1096</v>
      </c>
      <c r="E11917" t="s">
        <v>1097</v>
      </c>
      <c r="F11917">
        <v>26.21</v>
      </c>
      <c r="G11917">
        <v>240105</v>
      </c>
      <c r="H11917">
        <v>4362</v>
      </c>
      <c r="I11917" t="s">
        <v>79</v>
      </c>
      <c r="J11917">
        <v>32.5</v>
      </c>
      <c r="K11917">
        <v>6.29</v>
      </c>
      <c r="L11917">
        <v>59111</v>
      </c>
      <c r="M11917" t="s">
        <v>1010</v>
      </c>
      <c r="N11917" t="str">
        <f>"43463377    "</f>
        <v xml:space="preserve">43463377    </v>
      </c>
      <c r="O11917">
        <v>240109</v>
      </c>
    </row>
    <row r="11918" spans="1:15" x14ac:dyDescent="0.25">
      <c r="A11918" t="s">
        <v>16</v>
      </c>
      <c r="B11918" t="s">
        <v>3221</v>
      </c>
      <c r="C11918">
        <v>18963</v>
      </c>
      <c r="D11918" t="s">
        <v>1096</v>
      </c>
      <c r="E11918" t="s">
        <v>1097</v>
      </c>
      <c r="F11918">
        <v>26.21</v>
      </c>
      <c r="G11918">
        <v>240105</v>
      </c>
      <c r="H11918">
        <v>4362</v>
      </c>
      <c r="I11918" t="s">
        <v>79</v>
      </c>
      <c r="J11918">
        <v>32.5</v>
      </c>
      <c r="K11918">
        <v>6.29</v>
      </c>
      <c r="L11918">
        <v>59501</v>
      </c>
      <c r="M11918" t="s">
        <v>69</v>
      </c>
      <c r="N11918" t="str">
        <f>"43463377    "</f>
        <v xml:space="preserve">43463377    </v>
      </c>
      <c r="O11918">
        <v>240109</v>
      </c>
    </row>
    <row r="11919" spans="1:15" x14ac:dyDescent="0.25">
      <c r="A11919" t="s">
        <v>16</v>
      </c>
      <c r="B11919" t="s">
        <v>3221</v>
      </c>
      <c r="C11919">
        <v>3329</v>
      </c>
      <c r="D11919" t="s">
        <v>1063</v>
      </c>
      <c r="E11919" t="s">
        <v>1064</v>
      </c>
      <c r="F11919">
        <v>350</v>
      </c>
      <c r="G11919">
        <v>230228</v>
      </c>
      <c r="H11919">
        <v>4346</v>
      </c>
      <c r="I11919" t="s">
        <v>197</v>
      </c>
      <c r="J11919">
        <v>434</v>
      </c>
      <c r="K11919">
        <v>84</v>
      </c>
      <c r="L11919">
        <v>11801</v>
      </c>
      <c r="M11919" t="s">
        <v>92</v>
      </c>
      <c r="N11919" t="str">
        <f>"93004228    "</f>
        <v xml:space="preserve">93004228    </v>
      </c>
      <c r="O11919">
        <v>230314</v>
      </c>
    </row>
    <row r="11920" spans="1:15" x14ac:dyDescent="0.25">
      <c r="A11920" t="s">
        <v>16</v>
      </c>
      <c r="B11920" t="s">
        <v>3221</v>
      </c>
      <c r="C11920">
        <v>1735</v>
      </c>
      <c r="D11920" t="s">
        <v>1063</v>
      </c>
      <c r="E11920" t="s">
        <v>1064</v>
      </c>
      <c r="F11920">
        <v>1725.5</v>
      </c>
      <c r="G11920">
        <v>230206</v>
      </c>
      <c r="H11920">
        <v>4343</v>
      </c>
      <c r="I11920" t="s">
        <v>91</v>
      </c>
      <c r="J11920">
        <v>2139.62</v>
      </c>
      <c r="K11920">
        <v>414.12</v>
      </c>
      <c r="L11920">
        <v>11801</v>
      </c>
      <c r="M11920" t="s">
        <v>92</v>
      </c>
      <c r="N11920" t="str">
        <f>"93003257    "</f>
        <v xml:space="preserve">93003257    </v>
      </c>
      <c r="O11920">
        <v>230213</v>
      </c>
    </row>
    <row r="11921" spans="1:15" x14ac:dyDescent="0.25">
      <c r="A11921" t="s">
        <v>16</v>
      </c>
      <c r="B11921" t="s">
        <v>3221</v>
      </c>
      <c r="C11921">
        <v>3330</v>
      </c>
      <c r="D11921" t="s">
        <v>1063</v>
      </c>
      <c r="E11921" t="s">
        <v>1064</v>
      </c>
      <c r="F11921">
        <v>1725.5</v>
      </c>
      <c r="G11921">
        <v>230306</v>
      </c>
      <c r="H11921">
        <v>4343</v>
      </c>
      <c r="I11921" t="s">
        <v>91</v>
      </c>
      <c r="J11921">
        <v>2139.62</v>
      </c>
      <c r="K11921">
        <v>414.12</v>
      </c>
      <c r="L11921">
        <v>11801</v>
      </c>
      <c r="M11921" t="s">
        <v>92</v>
      </c>
      <c r="N11921" t="str">
        <f>"93007553    "</f>
        <v xml:space="preserve">93007553    </v>
      </c>
      <c r="O11921">
        <v>230314</v>
      </c>
    </row>
    <row r="11922" spans="1:15" x14ac:dyDescent="0.25">
      <c r="A11922" t="s">
        <v>16</v>
      </c>
      <c r="B11922" t="s">
        <v>3221</v>
      </c>
      <c r="C11922">
        <v>6748</v>
      </c>
      <c r="D11922" t="s">
        <v>1063</v>
      </c>
      <c r="E11922" t="s">
        <v>1064</v>
      </c>
      <c r="F11922">
        <v>1725.5</v>
      </c>
      <c r="G11922">
        <v>230505</v>
      </c>
      <c r="H11922">
        <v>4343</v>
      </c>
      <c r="I11922" t="s">
        <v>91</v>
      </c>
      <c r="J11922">
        <v>2139.62</v>
      </c>
      <c r="K11922">
        <v>414.12</v>
      </c>
      <c r="L11922">
        <v>11801</v>
      </c>
      <c r="M11922" t="s">
        <v>92</v>
      </c>
      <c r="N11922" t="str">
        <f>"93015940    "</f>
        <v xml:space="preserve">93015940    </v>
      </c>
      <c r="O11922">
        <v>230522</v>
      </c>
    </row>
    <row r="11923" spans="1:15" x14ac:dyDescent="0.25">
      <c r="A11923" t="s">
        <v>16</v>
      </c>
      <c r="B11923" t="s">
        <v>3221</v>
      </c>
      <c r="C11923">
        <v>1494</v>
      </c>
      <c r="D11923" t="s">
        <v>1063</v>
      </c>
      <c r="E11923" t="s">
        <v>1064</v>
      </c>
      <c r="F11923">
        <v>14877.2</v>
      </c>
      <c r="G11923">
        <v>230206</v>
      </c>
      <c r="H11923">
        <v>4362</v>
      </c>
      <c r="I11923" t="s">
        <v>79</v>
      </c>
      <c r="J11923">
        <v>18447.73</v>
      </c>
      <c r="K11923">
        <v>3570.53</v>
      </c>
      <c r="L11923">
        <v>11801</v>
      </c>
      <c r="M11923" t="s">
        <v>92</v>
      </c>
      <c r="N11923" t="str">
        <f>"93001870    "</f>
        <v xml:space="preserve">93001870    </v>
      </c>
      <c r="O11923">
        <v>230209</v>
      </c>
    </row>
    <row r="11924" spans="1:15" x14ac:dyDescent="0.25">
      <c r="A11924" t="s">
        <v>16</v>
      </c>
      <c r="B11924" t="s">
        <v>3221</v>
      </c>
      <c r="C11924">
        <v>3115</v>
      </c>
      <c r="D11924" t="s">
        <v>1063</v>
      </c>
      <c r="E11924" t="s">
        <v>1064</v>
      </c>
      <c r="F11924">
        <v>15001.47</v>
      </c>
      <c r="G11924">
        <v>230306</v>
      </c>
      <c r="H11924">
        <v>4362</v>
      </c>
      <c r="I11924" t="s">
        <v>79</v>
      </c>
      <c r="J11924">
        <v>18601.82</v>
      </c>
      <c r="K11924">
        <v>3600.35</v>
      </c>
      <c r="L11924">
        <v>11801</v>
      </c>
      <c r="M11924" t="s">
        <v>92</v>
      </c>
      <c r="N11924" t="str">
        <f>"93006077    "</f>
        <v xml:space="preserve">93006077    </v>
      </c>
      <c r="O11924">
        <v>230309</v>
      </c>
    </row>
    <row r="11925" spans="1:15" x14ac:dyDescent="0.25">
      <c r="A11925" t="s">
        <v>16</v>
      </c>
      <c r="B11925" t="s">
        <v>3221</v>
      </c>
      <c r="C11925">
        <v>4874</v>
      </c>
      <c r="D11925" t="s">
        <v>1063</v>
      </c>
      <c r="E11925" t="s">
        <v>1064</v>
      </c>
      <c r="F11925">
        <v>1725.5</v>
      </c>
      <c r="G11925">
        <v>230406</v>
      </c>
      <c r="H11925">
        <v>4362</v>
      </c>
      <c r="I11925" t="s">
        <v>79</v>
      </c>
      <c r="J11925">
        <v>2139.62</v>
      </c>
      <c r="K11925">
        <v>414.12</v>
      </c>
      <c r="L11925">
        <v>11801</v>
      </c>
      <c r="M11925" t="s">
        <v>92</v>
      </c>
      <c r="N11925" t="str">
        <f>"93011792    "</f>
        <v xml:space="preserve">93011792    </v>
      </c>
      <c r="O11925">
        <v>230413</v>
      </c>
    </row>
    <row r="11926" spans="1:15" x14ac:dyDescent="0.25">
      <c r="A11926" t="s">
        <v>16</v>
      </c>
      <c r="B11926" t="s">
        <v>3221</v>
      </c>
      <c r="C11926">
        <v>4925</v>
      </c>
      <c r="D11926" t="s">
        <v>1063</v>
      </c>
      <c r="E11926" t="s">
        <v>1064</v>
      </c>
      <c r="F11926">
        <v>15330.04</v>
      </c>
      <c r="G11926">
        <v>230406</v>
      </c>
      <c r="H11926">
        <v>4362</v>
      </c>
      <c r="I11926" t="s">
        <v>79</v>
      </c>
      <c r="J11926">
        <v>19009.25</v>
      </c>
      <c r="K11926">
        <v>3679.21</v>
      </c>
      <c r="L11926">
        <v>11801</v>
      </c>
      <c r="M11926" t="s">
        <v>92</v>
      </c>
      <c r="N11926" t="str">
        <f>"93010317    "</f>
        <v xml:space="preserve">93010317    </v>
      </c>
      <c r="O11926">
        <v>230414</v>
      </c>
    </row>
    <row r="11927" spans="1:15" x14ac:dyDescent="0.25">
      <c r="A11927" t="s">
        <v>16</v>
      </c>
      <c r="B11927" t="s">
        <v>3221</v>
      </c>
      <c r="C11927">
        <v>6328</v>
      </c>
      <c r="D11927" t="s">
        <v>1063</v>
      </c>
      <c r="E11927" t="s">
        <v>1064</v>
      </c>
      <c r="F11927">
        <v>14840.04</v>
      </c>
      <c r="G11927">
        <v>230505</v>
      </c>
      <c r="H11927">
        <v>4362</v>
      </c>
      <c r="I11927" t="s">
        <v>79</v>
      </c>
      <c r="J11927">
        <v>18401.650000000001</v>
      </c>
      <c r="K11927">
        <v>3561.61</v>
      </c>
      <c r="L11927">
        <v>11801</v>
      </c>
      <c r="M11927" t="s">
        <v>92</v>
      </c>
      <c r="N11927" t="str">
        <f>"93014491    "</f>
        <v xml:space="preserve">93014491    </v>
      </c>
      <c r="O11927">
        <v>230510</v>
      </c>
    </row>
    <row r="11928" spans="1:15" x14ac:dyDescent="0.25">
      <c r="A11928" t="s">
        <v>16</v>
      </c>
      <c r="B11928" t="s">
        <v>3221</v>
      </c>
      <c r="C11928">
        <v>8722</v>
      </c>
      <c r="D11928" t="s">
        <v>1063</v>
      </c>
      <c r="E11928" t="s">
        <v>1064</v>
      </c>
      <c r="F11928">
        <v>14840.04</v>
      </c>
      <c r="G11928">
        <v>230606</v>
      </c>
      <c r="H11928">
        <v>4362</v>
      </c>
      <c r="I11928" t="s">
        <v>79</v>
      </c>
      <c r="J11928">
        <v>18401.650000000001</v>
      </c>
      <c r="K11928">
        <v>3561.61</v>
      </c>
      <c r="L11928">
        <v>11801</v>
      </c>
      <c r="M11928" t="s">
        <v>92</v>
      </c>
      <c r="N11928" t="str">
        <f>"93018738    "</f>
        <v xml:space="preserve">93018738    </v>
      </c>
      <c r="O11928">
        <v>230613</v>
      </c>
    </row>
    <row r="11929" spans="1:15" x14ac:dyDescent="0.25">
      <c r="A11929" t="s">
        <v>16</v>
      </c>
      <c r="B11929" t="s">
        <v>3221</v>
      </c>
      <c r="C11929">
        <v>8915</v>
      </c>
      <c r="D11929" t="s">
        <v>1063</v>
      </c>
      <c r="E11929" t="s">
        <v>1064</v>
      </c>
      <c r="F11929">
        <v>1725.5</v>
      </c>
      <c r="G11929">
        <v>230606</v>
      </c>
      <c r="H11929">
        <v>4362</v>
      </c>
      <c r="I11929" t="s">
        <v>79</v>
      </c>
      <c r="J11929">
        <v>2139.62</v>
      </c>
      <c r="K11929">
        <v>414.12</v>
      </c>
      <c r="L11929">
        <v>11801</v>
      </c>
      <c r="M11929" t="s">
        <v>92</v>
      </c>
      <c r="N11929" t="str">
        <f>"93020163    "</f>
        <v xml:space="preserve">93020163    </v>
      </c>
      <c r="O11929">
        <v>230619</v>
      </c>
    </row>
    <row r="11930" spans="1:15" x14ac:dyDescent="0.25">
      <c r="A11930" t="s">
        <v>16</v>
      </c>
      <c r="B11930" t="s">
        <v>3221</v>
      </c>
      <c r="C11930">
        <v>9791</v>
      </c>
      <c r="D11930" t="s">
        <v>1063</v>
      </c>
      <c r="E11930" t="s">
        <v>1064</v>
      </c>
      <c r="F11930">
        <v>14840.04</v>
      </c>
      <c r="G11930">
        <v>230706</v>
      </c>
      <c r="H11930">
        <v>4362</v>
      </c>
      <c r="I11930" t="s">
        <v>79</v>
      </c>
      <c r="J11930">
        <v>18401.650000000001</v>
      </c>
      <c r="K11930">
        <v>3561.61</v>
      </c>
      <c r="L11930">
        <v>11801</v>
      </c>
      <c r="M11930" t="s">
        <v>92</v>
      </c>
      <c r="N11930" t="str">
        <f>"93022941    "</f>
        <v xml:space="preserve">93022941    </v>
      </c>
      <c r="O11930">
        <v>230725</v>
      </c>
    </row>
    <row r="11931" spans="1:15" x14ac:dyDescent="0.25">
      <c r="A11931" t="s">
        <v>16</v>
      </c>
      <c r="B11931" t="s">
        <v>3221</v>
      </c>
      <c r="C11931">
        <v>9741</v>
      </c>
      <c r="D11931" t="s">
        <v>1063</v>
      </c>
      <c r="E11931" t="s">
        <v>1064</v>
      </c>
      <c r="F11931">
        <v>1725.5</v>
      </c>
      <c r="G11931">
        <v>230706</v>
      </c>
      <c r="H11931">
        <v>4362</v>
      </c>
      <c r="I11931" t="s">
        <v>79</v>
      </c>
      <c r="J11931">
        <v>2139.62</v>
      </c>
      <c r="K11931">
        <v>414.12</v>
      </c>
      <c r="L11931">
        <v>11801</v>
      </c>
      <c r="M11931" t="s">
        <v>92</v>
      </c>
      <c r="N11931" t="str">
        <f>"93024392    "</f>
        <v xml:space="preserve">93024392    </v>
      </c>
      <c r="O11931">
        <v>230724</v>
      </c>
    </row>
    <row r="11932" spans="1:15" x14ac:dyDescent="0.25">
      <c r="A11932" t="s">
        <v>16</v>
      </c>
      <c r="B11932" t="s">
        <v>3221</v>
      </c>
      <c r="C11932">
        <v>10326</v>
      </c>
      <c r="D11932" t="s">
        <v>1063</v>
      </c>
      <c r="E11932" t="s">
        <v>1064</v>
      </c>
      <c r="F11932">
        <v>1725.5</v>
      </c>
      <c r="G11932">
        <v>230804</v>
      </c>
      <c r="H11932">
        <v>4362</v>
      </c>
      <c r="I11932" t="s">
        <v>79</v>
      </c>
      <c r="J11932">
        <v>2139.62</v>
      </c>
      <c r="K11932">
        <v>414.12</v>
      </c>
      <c r="L11932">
        <v>11801</v>
      </c>
      <c r="M11932" t="s">
        <v>92</v>
      </c>
      <c r="N11932" t="str">
        <f>"93028491    "</f>
        <v xml:space="preserve">93028491    </v>
      </c>
      <c r="O11932">
        <v>230814</v>
      </c>
    </row>
    <row r="11933" spans="1:15" x14ac:dyDescent="0.25">
      <c r="A11933" t="s">
        <v>16</v>
      </c>
      <c r="B11933" t="s">
        <v>3221</v>
      </c>
      <c r="C11933">
        <v>10329</v>
      </c>
      <c r="D11933" t="s">
        <v>1063</v>
      </c>
      <c r="E11933" t="s">
        <v>1064</v>
      </c>
      <c r="F11933">
        <v>14550.04</v>
      </c>
      <c r="G11933">
        <v>230804</v>
      </c>
      <c r="H11933">
        <v>4362</v>
      </c>
      <c r="I11933" t="s">
        <v>79</v>
      </c>
      <c r="J11933">
        <v>18042.05</v>
      </c>
      <c r="K11933">
        <v>3492.01</v>
      </c>
      <c r="L11933">
        <v>11801</v>
      </c>
      <c r="M11933" t="s">
        <v>92</v>
      </c>
      <c r="N11933" t="str">
        <f>"93027087    "</f>
        <v xml:space="preserve">93027087    </v>
      </c>
      <c r="O11933">
        <v>230814</v>
      </c>
    </row>
    <row r="11934" spans="1:15" x14ac:dyDescent="0.25">
      <c r="A11934" t="s">
        <v>16</v>
      </c>
      <c r="B11934" t="s">
        <v>3221</v>
      </c>
      <c r="C11934">
        <v>11716</v>
      </c>
      <c r="D11934" t="s">
        <v>1063</v>
      </c>
      <c r="E11934" t="s">
        <v>1064</v>
      </c>
      <c r="F11934">
        <v>1725.5</v>
      </c>
      <c r="G11934">
        <v>230906</v>
      </c>
      <c r="H11934">
        <v>4362</v>
      </c>
      <c r="I11934" t="s">
        <v>79</v>
      </c>
      <c r="J11934">
        <v>2139.62</v>
      </c>
      <c r="K11934">
        <v>414.12</v>
      </c>
      <c r="L11934">
        <v>11801</v>
      </c>
      <c r="M11934" t="s">
        <v>92</v>
      </c>
      <c r="N11934" t="str">
        <f>"93032703    "</f>
        <v xml:space="preserve">93032703    </v>
      </c>
      <c r="O11934">
        <v>230908</v>
      </c>
    </row>
    <row r="11935" spans="1:15" x14ac:dyDescent="0.25">
      <c r="A11935" t="s">
        <v>16</v>
      </c>
      <c r="B11935" t="s">
        <v>3221</v>
      </c>
      <c r="C11935">
        <v>11911</v>
      </c>
      <c r="D11935" t="s">
        <v>1063</v>
      </c>
      <c r="E11935" t="s">
        <v>1064</v>
      </c>
      <c r="F11935">
        <v>14550.04</v>
      </c>
      <c r="G11935">
        <v>230906</v>
      </c>
      <c r="H11935">
        <v>4362</v>
      </c>
      <c r="I11935" t="s">
        <v>79</v>
      </c>
      <c r="J11935">
        <v>18042.05</v>
      </c>
      <c r="K11935">
        <v>3492.01</v>
      </c>
      <c r="L11935">
        <v>11801</v>
      </c>
      <c r="M11935" t="s">
        <v>92</v>
      </c>
      <c r="N11935" t="str">
        <f>"93031286    "</f>
        <v xml:space="preserve">93031286    </v>
      </c>
      <c r="O11935">
        <v>230911</v>
      </c>
    </row>
    <row r="11936" spans="1:15" x14ac:dyDescent="0.25">
      <c r="A11936" t="s">
        <v>16</v>
      </c>
      <c r="B11936" t="s">
        <v>3221</v>
      </c>
      <c r="C11936">
        <v>14054</v>
      </c>
      <c r="D11936" t="s">
        <v>1063</v>
      </c>
      <c r="E11936" t="s">
        <v>1064</v>
      </c>
      <c r="F11936">
        <v>1830.5</v>
      </c>
      <c r="G11936">
        <v>231005</v>
      </c>
      <c r="H11936">
        <v>4362</v>
      </c>
      <c r="I11936" t="s">
        <v>79</v>
      </c>
      <c r="J11936">
        <v>2269.8200000000002</v>
      </c>
      <c r="K11936">
        <v>439.32</v>
      </c>
      <c r="L11936">
        <v>11801</v>
      </c>
      <c r="M11936" t="s">
        <v>92</v>
      </c>
      <c r="N11936" t="str">
        <f>"93036909    "</f>
        <v xml:space="preserve">93036909    </v>
      </c>
      <c r="O11936">
        <v>231018</v>
      </c>
    </row>
    <row r="11937" spans="1:15" x14ac:dyDescent="0.25">
      <c r="A11937" t="s">
        <v>16</v>
      </c>
      <c r="B11937" t="s">
        <v>3221</v>
      </c>
      <c r="C11937">
        <v>14099</v>
      </c>
      <c r="D11937" t="s">
        <v>1063</v>
      </c>
      <c r="E11937" t="s">
        <v>1064</v>
      </c>
      <c r="F11937">
        <v>14550.04</v>
      </c>
      <c r="G11937">
        <v>231005</v>
      </c>
      <c r="H11937">
        <v>4362</v>
      </c>
      <c r="I11937" t="s">
        <v>79</v>
      </c>
      <c r="J11937">
        <v>18042.05</v>
      </c>
      <c r="K11937">
        <v>3492.01</v>
      </c>
      <c r="L11937">
        <v>11801</v>
      </c>
      <c r="M11937" t="s">
        <v>92</v>
      </c>
      <c r="N11937" t="str">
        <f>"93035499    "</f>
        <v xml:space="preserve">93035499    </v>
      </c>
      <c r="O11937">
        <v>231018</v>
      </c>
    </row>
    <row r="11938" spans="1:15" x14ac:dyDescent="0.25">
      <c r="A11938" t="s">
        <v>16</v>
      </c>
      <c r="B11938" t="s">
        <v>3221</v>
      </c>
      <c r="C11938">
        <v>15248</v>
      </c>
      <c r="D11938" t="s">
        <v>1063</v>
      </c>
      <c r="E11938" t="s">
        <v>1064</v>
      </c>
      <c r="F11938">
        <v>14550.04</v>
      </c>
      <c r="G11938">
        <v>231106</v>
      </c>
      <c r="H11938">
        <v>4362</v>
      </c>
      <c r="I11938" t="s">
        <v>79</v>
      </c>
      <c r="J11938">
        <v>18042.05</v>
      </c>
      <c r="K11938">
        <v>3492.01</v>
      </c>
      <c r="L11938">
        <v>11801</v>
      </c>
      <c r="M11938" t="s">
        <v>92</v>
      </c>
      <c r="N11938" t="str">
        <f>"93039709    "</f>
        <v xml:space="preserve">93039709    </v>
      </c>
      <c r="O11938">
        <v>231109</v>
      </c>
    </row>
    <row r="11939" spans="1:15" x14ac:dyDescent="0.25">
      <c r="A11939" t="s">
        <v>16</v>
      </c>
      <c r="B11939" t="s">
        <v>3221</v>
      </c>
      <c r="C11939">
        <v>15803</v>
      </c>
      <c r="D11939" t="s">
        <v>1063</v>
      </c>
      <c r="E11939" t="s">
        <v>1064</v>
      </c>
      <c r="F11939">
        <v>1851.5</v>
      </c>
      <c r="G11939">
        <v>231106</v>
      </c>
      <c r="H11939">
        <v>4362</v>
      </c>
      <c r="I11939" t="s">
        <v>79</v>
      </c>
      <c r="J11939">
        <v>2295.86</v>
      </c>
      <c r="K11939">
        <v>444.36</v>
      </c>
      <c r="L11939">
        <v>11801</v>
      </c>
      <c r="M11939" t="s">
        <v>92</v>
      </c>
      <c r="N11939" t="str">
        <f>"93041068    "</f>
        <v xml:space="preserve">93041068    </v>
      </c>
      <c r="O11939">
        <v>231120</v>
      </c>
    </row>
    <row r="11940" spans="1:15" x14ac:dyDescent="0.25">
      <c r="A11940" t="s">
        <v>16</v>
      </c>
      <c r="B11940" t="s">
        <v>3221</v>
      </c>
      <c r="C11940">
        <v>17439</v>
      </c>
      <c r="D11940" t="s">
        <v>1063</v>
      </c>
      <c r="E11940" t="s">
        <v>1064</v>
      </c>
      <c r="F11940">
        <v>1851.5</v>
      </c>
      <c r="G11940">
        <v>231207</v>
      </c>
      <c r="H11940">
        <v>4362</v>
      </c>
      <c r="I11940" t="s">
        <v>79</v>
      </c>
      <c r="J11940">
        <v>2295.86</v>
      </c>
      <c r="K11940">
        <v>444.36</v>
      </c>
      <c r="L11940">
        <v>11801</v>
      </c>
      <c r="M11940" t="s">
        <v>92</v>
      </c>
      <c r="N11940" t="str">
        <f>"93045284    "</f>
        <v xml:space="preserve">93045284    </v>
      </c>
      <c r="O11940">
        <v>231214</v>
      </c>
    </row>
    <row r="11941" spans="1:15" x14ac:dyDescent="0.25">
      <c r="A11941" t="s">
        <v>16</v>
      </c>
      <c r="B11941" t="s">
        <v>3221</v>
      </c>
      <c r="C11941">
        <v>17821</v>
      </c>
      <c r="D11941" t="s">
        <v>1063</v>
      </c>
      <c r="E11941" t="s">
        <v>1064</v>
      </c>
      <c r="F11941">
        <v>14550.04</v>
      </c>
      <c r="G11941">
        <v>231207</v>
      </c>
      <c r="H11941">
        <v>4362</v>
      </c>
      <c r="I11941" t="s">
        <v>79</v>
      </c>
      <c r="J11941">
        <v>18042.05</v>
      </c>
      <c r="K11941">
        <v>3492.01</v>
      </c>
      <c r="L11941">
        <v>11801</v>
      </c>
      <c r="M11941" t="s">
        <v>92</v>
      </c>
      <c r="N11941" t="str">
        <f>"93043932    "</f>
        <v xml:space="preserve">93043932    </v>
      </c>
      <c r="O11941">
        <v>231227</v>
      </c>
    </row>
    <row r="11942" spans="1:15" x14ac:dyDescent="0.25">
      <c r="A11942" t="s">
        <v>16</v>
      </c>
      <c r="B11942" t="s">
        <v>3221</v>
      </c>
      <c r="C11942">
        <v>18912</v>
      </c>
      <c r="D11942" t="s">
        <v>1063</v>
      </c>
      <c r="E11942" t="s">
        <v>1064</v>
      </c>
      <c r="F11942">
        <v>1851.5</v>
      </c>
      <c r="G11942">
        <v>240105</v>
      </c>
      <c r="H11942">
        <v>4362</v>
      </c>
      <c r="I11942" t="s">
        <v>79</v>
      </c>
      <c r="J11942">
        <v>2295.86</v>
      </c>
      <c r="K11942">
        <v>444.36</v>
      </c>
      <c r="L11942">
        <v>11801</v>
      </c>
      <c r="M11942" t="s">
        <v>92</v>
      </c>
      <c r="N11942" t="str">
        <f>"93049578    "</f>
        <v xml:space="preserve">93049578    </v>
      </c>
      <c r="O11942">
        <v>240108</v>
      </c>
    </row>
    <row r="11943" spans="1:15" x14ac:dyDescent="0.25">
      <c r="A11943" t="s">
        <v>16</v>
      </c>
      <c r="B11943" t="s">
        <v>3221</v>
      </c>
      <c r="C11943">
        <v>18918</v>
      </c>
      <c r="D11943" t="s">
        <v>1063</v>
      </c>
      <c r="E11943" t="s">
        <v>1064</v>
      </c>
      <c r="F11943">
        <v>14550.04</v>
      </c>
      <c r="G11943">
        <v>240105</v>
      </c>
      <c r="H11943">
        <v>4362</v>
      </c>
      <c r="I11943" t="s">
        <v>79</v>
      </c>
      <c r="J11943">
        <v>18042.05</v>
      </c>
      <c r="K11943">
        <v>3492.01</v>
      </c>
      <c r="L11943">
        <v>11801</v>
      </c>
      <c r="M11943" t="s">
        <v>92</v>
      </c>
      <c r="N11943" t="str">
        <f>"93048195    "</f>
        <v xml:space="preserve">93048195    </v>
      </c>
      <c r="O11943">
        <v>240108</v>
      </c>
    </row>
    <row r="11944" spans="1:15" x14ac:dyDescent="0.25">
      <c r="A11944" t="s">
        <v>16</v>
      </c>
      <c r="B11944" t="s">
        <v>3221</v>
      </c>
      <c r="C11944">
        <v>3616</v>
      </c>
      <c r="D11944" t="s">
        <v>1578</v>
      </c>
      <c r="E11944" t="s">
        <v>1579</v>
      </c>
      <c r="F11944">
        <v>302.8</v>
      </c>
      <c r="G11944">
        <v>230314</v>
      </c>
      <c r="H11944">
        <v>4580</v>
      </c>
      <c r="I11944" t="s">
        <v>35</v>
      </c>
      <c r="J11944">
        <v>375.47</v>
      </c>
      <c r="K11944">
        <v>72.67</v>
      </c>
      <c r="L11944">
        <v>17951</v>
      </c>
      <c r="M11944" t="s">
        <v>87</v>
      </c>
      <c r="N11944" t="str">
        <f>"145433      "</f>
        <v xml:space="preserve">145433      </v>
      </c>
      <c r="O11944">
        <v>230317</v>
      </c>
    </row>
    <row r="11945" spans="1:15" x14ac:dyDescent="0.25">
      <c r="A11945" t="s">
        <v>16</v>
      </c>
      <c r="B11945" t="s">
        <v>3221</v>
      </c>
      <c r="C11945">
        <v>11234</v>
      </c>
      <c r="D11945" t="s">
        <v>1578</v>
      </c>
      <c r="E11945" t="s">
        <v>1579</v>
      </c>
      <c r="F11945">
        <v>99.19</v>
      </c>
      <c r="G11945">
        <v>230830</v>
      </c>
      <c r="H11945">
        <v>4600</v>
      </c>
      <c r="I11945" t="s">
        <v>105</v>
      </c>
      <c r="J11945">
        <v>123</v>
      </c>
      <c r="K11945">
        <v>23.81</v>
      </c>
      <c r="L11945">
        <v>59504</v>
      </c>
      <c r="M11945" t="s">
        <v>71</v>
      </c>
      <c r="N11945" t="str">
        <f>"155487      "</f>
        <v xml:space="preserve">155487      </v>
      </c>
      <c r="O11945">
        <v>230901</v>
      </c>
    </row>
    <row r="11946" spans="1:15" x14ac:dyDescent="0.25">
      <c r="A11946" t="s">
        <v>16</v>
      </c>
      <c r="B11946" t="s">
        <v>3221</v>
      </c>
      <c r="C11946">
        <v>12849</v>
      </c>
      <c r="D11946" t="s">
        <v>1578</v>
      </c>
      <c r="E11946" t="s">
        <v>1579</v>
      </c>
      <c r="F11946">
        <v>19.350000000000001</v>
      </c>
      <c r="G11946">
        <v>230922</v>
      </c>
      <c r="H11946">
        <v>4600</v>
      </c>
      <c r="I11946" t="s">
        <v>105</v>
      </c>
      <c r="J11946">
        <v>23.99</v>
      </c>
      <c r="K11946">
        <v>4.6399999999999997</v>
      </c>
      <c r="L11946">
        <v>59504</v>
      </c>
      <c r="M11946" t="s">
        <v>71</v>
      </c>
      <c r="N11946" t="str">
        <f>"156802      "</f>
        <v xml:space="preserve">156802      </v>
      </c>
      <c r="O11946">
        <v>230928</v>
      </c>
    </row>
    <row r="11947" spans="1:15" x14ac:dyDescent="0.25">
      <c r="A11947" t="s">
        <v>16</v>
      </c>
      <c r="B11947" t="s">
        <v>3221</v>
      </c>
      <c r="C11947">
        <v>7009</v>
      </c>
      <c r="D11947" t="s">
        <v>2045</v>
      </c>
      <c r="E11947" t="s">
        <v>2046</v>
      </c>
      <c r="F11947">
        <v>178.25</v>
      </c>
      <c r="G11947">
        <v>230517</v>
      </c>
      <c r="H11947">
        <v>4412</v>
      </c>
      <c r="I11947" t="s">
        <v>149</v>
      </c>
      <c r="J11947">
        <v>203.2</v>
      </c>
      <c r="K11947">
        <v>24.95</v>
      </c>
      <c r="L11947">
        <v>18972</v>
      </c>
      <c r="M11947" t="s">
        <v>163</v>
      </c>
      <c r="N11947" t="str">
        <f>"2254        "</f>
        <v xml:space="preserve">2254        </v>
      </c>
      <c r="O11947">
        <v>230524</v>
      </c>
    </row>
    <row r="11948" spans="1:15" x14ac:dyDescent="0.25">
      <c r="A11948" t="s">
        <v>16</v>
      </c>
      <c r="B11948" t="s">
        <v>3221</v>
      </c>
      <c r="C11948">
        <v>7009</v>
      </c>
      <c r="D11948" t="s">
        <v>2045</v>
      </c>
      <c r="E11948" t="s">
        <v>2046</v>
      </c>
      <c r="F11948">
        <v>12.1</v>
      </c>
      <c r="G11948">
        <v>230517</v>
      </c>
      <c r="H11948">
        <v>4347</v>
      </c>
      <c r="I11948" t="s">
        <v>193</v>
      </c>
      <c r="J11948">
        <v>15</v>
      </c>
      <c r="K11948">
        <v>2.9</v>
      </c>
      <c r="L11948">
        <v>18972</v>
      </c>
      <c r="M11948" t="s">
        <v>163</v>
      </c>
      <c r="N11948" t="str">
        <f>"2254        "</f>
        <v xml:space="preserve">2254        </v>
      </c>
      <c r="O11948">
        <v>230524</v>
      </c>
    </row>
    <row r="11949" spans="1:15" x14ac:dyDescent="0.25">
      <c r="A11949" t="s">
        <v>16</v>
      </c>
      <c r="B11949" t="s">
        <v>3221</v>
      </c>
      <c r="C11949">
        <v>2382</v>
      </c>
      <c r="D11949" t="s">
        <v>1375</v>
      </c>
      <c r="E11949" t="s">
        <v>1376</v>
      </c>
      <c r="F11949">
        <v>521.92999999999995</v>
      </c>
      <c r="G11949">
        <v>230217</v>
      </c>
      <c r="H11949">
        <v>4412</v>
      </c>
      <c r="I11949" t="s">
        <v>149</v>
      </c>
      <c r="J11949">
        <v>595</v>
      </c>
      <c r="K11949">
        <v>73.069999999999993</v>
      </c>
      <c r="L11949">
        <v>13801</v>
      </c>
      <c r="M11949" t="s">
        <v>162</v>
      </c>
      <c r="N11949" t="str">
        <f>"23298       "</f>
        <v xml:space="preserve">23298       </v>
      </c>
      <c r="O11949">
        <v>230227</v>
      </c>
    </row>
    <row r="11950" spans="1:15" x14ac:dyDescent="0.25">
      <c r="A11950" t="s">
        <v>16</v>
      </c>
      <c r="B11950" t="s">
        <v>3221</v>
      </c>
      <c r="C11950">
        <v>8135</v>
      </c>
      <c r="D11950" t="s">
        <v>1375</v>
      </c>
      <c r="E11950" t="s">
        <v>1376</v>
      </c>
      <c r="F11950">
        <v>429.82</v>
      </c>
      <c r="G11950">
        <v>230606</v>
      </c>
      <c r="H11950">
        <v>4410</v>
      </c>
      <c r="I11950" t="s">
        <v>517</v>
      </c>
      <c r="J11950">
        <v>490</v>
      </c>
      <c r="K11950">
        <v>60.18</v>
      </c>
      <c r="L11950">
        <v>11751</v>
      </c>
      <c r="M11950" t="s">
        <v>1339</v>
      </c>
      <c r="N11950" t="str">
        <f>"24571       "</f>
        <v xml:space="preserve">24571       </v>
      </c>
      <c r="O11950">
        <v>230607</v>
      </c>
    </row>
    <row r="11951" spans="1:15" x14ac:dyDescent="0.25">
      <c r="A11951" t="s">
        <v>16</v>
      </c>
      <c r="B11951" t="s">
        <v>3221</v>
      </c>
      <c r="C11951">
        <v>2382</v>
      </c>
      <c r="D11951" t="s">
        <v>1375</v>
      </c>
      <c r="E11951" t="s">
        <v>1376</v>
      </c>
      <c r="F11951">
        <v>304.55</v>
      </c>
      <c r="G11951">
        <v>230217</v>
      </c>
      <c r="H11951">
        <v>4440</v>
      </c>
      <c r="I11951" t="s">
        <v>250</v>
      </c>
      <c r="J11951">
        <v>335</v>
      </c>
      <c r="K11951">
        <v>30.45</v>
      </c>
      <c r="L11951">
        <v>13801</v>
      </c>
      <c r="M11951" t="s">
        <v>162</v>
      </c>
      <c r="N11951" t="str">
        <f>"23298       "</f>
        <v xml:space="preserve">23298       </v>
      </c>
      <c r="O11951">
        <v>230227</v>
      </c>
    </row>
    <row r="11952" spans="1:15" x14ac:dyDescent="0.25">
      <c r="A11952" t="s">
        <v>16</v>
      </c>
      <c r="B11952" t="s">
        <v>3221</v>
      </c>
      <c r="C11952">
        <v>2382</v>
      </c>
      <c r="D11952" t="s">
        <v>1375</v>
      </c>
      <c r="E11952" t="s">
        <v>1376</v>
      </c>
      <c r="F11952">
        <v>80.650000000000006</v>
      </c>
      <c r="G11952">
        <v>230217</v>
      </c>
      <c r="H11952">
        <v>4820</v>
      </c>
      <c r="I11952" t="s">
        <v>50</v>
      </c>
      <c r="J11952">
        <v>100.01</v>
      </c>
      <c r="K11952">
        <v>19.36</v>
      </c>
      <c r="L11952">
        <v>13801</v>
      </c>
      <c r="M11952" t="s">
        <v>162</v>
      </c>
      <c r="N11952" t="str">
        <f>"23298       "</f>
        <v xml:space="preserve">23298       </v>
      </c>
      <c r="O11952">
        <v>230227</v>
      </c>
    </row>
    <row r="11953" spans="1:15" x14ac:dyDescent="0.25">
      <c r="A11953" t="s">
        <v>16</v>
      </c>
      <c r="B11953" t="s">
        <v>3221</v>
      </c>
      <c r="C11953">
        <v>4558</v>
      </c>
      <c r="D11953" t="s">
        <v>3419</v>
      </c>
      <c r="E11953" t="s">
        <v>3420</v>
      </c>
      <c r="F11953">
        <v>18.18</v>
      </c>
      <c r="G11953">
        <v>230330</v>
      </c>
      <c r="H11953">
        <v>4510</v>
      </c>
      <c r="I11953" t="s">
        <v>42</v>
      </c>
      <c r="J11953">
        <v>20</v>
      </c>
      <c r="K11953">
        <v>1.82</v>
      </c>
      <c r="L11953">
        <v>17131</v>
      </c>
      <c r="M11953" t="s">
        <v>64</v>
      </c>
      <c r="N11953" t="str">
        <f>"11170       "</f>
        <v xml:space="preserve">11170       </v>
      </c>
      <c r="O11953">
        <v>230406</v>
      </c>
    </row>
    <row r="11954" spans="1:15" x14ac:dyDescent="0.25">
      <c r="A11954" t="s">
        <v>16</v>
      </c>
      <c r="B11954" t="s">
        <v>3221</v>
      </c>
      <c r="C11954">
        <v>4558</v>
      </c>
      <c r="D11954" t="s">
        <v>3419</v>
      </c>
      <c r="E11954" t="s">
        <v>3420</v>
      </c>
      <c r="F11954">
        <v>18.18</v>
      </c>
      <c r="G11954">
        <v>230330</v>
      </c>
      <c r="H11954">
        <v>4510</v>
      </c>
      <c r="I11954" t="s">
        <v>42</v>
      </c>
      <c r="J11954">
        <v>20</v>
      </c>
      <c r="K11954">
        <v>1.82</v>
      </c>
      <c r="L11954">
        <v>17711</v>
      </c>
      <c r="M11954" t="s">
        <v>65</v>
      </c>
      <c r="N11954" t="str">
        <f>"11170       "</f>
        <v xml:space="preserve">11170       </v>
      </c>
      <c r="O11954">
        <v>230406</v>
      </c>
    </row>
    <row r="11955" spans="1:15" x14ac:dyDescent="0.25">
      <c r="A11955" t="s">
        <v>16</v>
      </c>
      <c r="B11955" t="s">
        <v>3221</v>
      </c>
      <c r="C11955">
        <v>5510</v>
      </c>
      <c r="D11955" t="s">
        <v>3730</v>
      </c>
      <c r="E11955" t="s">
        <v>1856</v>
      </c>
      <c r="F11955">
        <v>50</v>
      </c>
      <c r="G11955">
        <v>230424</v>
      </c>
      <c r="H11955">
        <v>4440</v>
      </c>
      <c r="I11955" t="s">
        <v>250</v>
      </c>
      <c r="J11955">
        <v>62</v>
      </c>
      <c r="K11955">
        <v>12</v>
      </c>
      <c r="L11955">
        <v>41126</v>
      </c>
      <c r="M11955" t="s">
        <v>761</v>
      </c>
      <c r="N11955" t="str">
        <f>"30          "</f>
        <v xml:space="preserve">30          </v>
      </c>
      <c r="O11955">
        <v>230426</v>
      </c>
    </row>
    <row r="11956" spans="1:15" x14ac:dyDescent="0.25">
      <c r="A11956" t="s">
        <v>16</v>
      </c>
      <c r="B11956" t="s">
        <v>3221</v>
      </c>
      <c r="C11956">
        <v>5510</v>
      </c>
      <c r="D11956" t="s">
        <v>3730</v>
      </c>
      <c r="E11956" t="s">
        <v>1856</v>
      </c>
      <c r="F11956">
        <v>50</v>
      </c>
      <c r="G11956">
        <v>230424</v>
      </c>
      <c r="H11956">
        <v>4440</v>
      </c>
      <c r="I11956" t="s">
        <v>250</v>
      </c>
      <c r="J11956">
        <v>62</v>
      </c>
      <c r="K11956">
        <v>12</v>
      </c>
      <c r="L11956">
        <v>41126</v>
      </c>
      <c r="M11956" t="s">
        <v>761</v>
      </c>
      <c r="N11956" t="str">
        <f>"30          "</f>
        <v xml:space="preserve">30          </v>
      </c>
      <c r="O11956">
        <v>230426</v>
      </c>
    </row>
    <row r="11957" spans="1:15" x14ac:dyDescent="0.25">
      <c r="A11957" t="s">
        <v>16</v>
      </c>
      <c r="B11957" t="s">
        <v>3221</v>
      </c>
      <c r="C11957">
        <v>3207</v>
      </c>
      <c r="D11957" t="s">
        <v>1530</v>
      </c>
      <c r="E11957" t="s">
        <v>1531</v>
      </c>
      <c r="F11957">
        <v>4930</v>
      </c>
      <c r="G11957">
        <v>230308</v>
      </c>
      <c r="H11957">
        <v>4440</v>
      </c>
      <c r="I11957" t="s">
        <v>250</v>
      </c>
      <c r="J11957">
        <v>6113.2</v>
      </c>
      <c r="K11957">
        <v>1183.2</v>
      </c>
      <c r="L11957">
        <v>18120</v>
      </c>
      <c r="M11957" t="s">
        <v>329</v>
      </c>
      <c r="N11957" t="str">
        <f>"8031        "</f>
        <v xml:space="preserve">8031        </v>
      </c>
      <c r="O11957">
        <v>230310</v>
      </c>
    </row>
    <row r="11958" spans="1:15" x14ac:dyDescent="0.25">
      <c r="A11958" t="s">
        <v>16</v>
      </c>
      <c r="B11958" t="s">
        <v>3221</v>
      </c>
      <c r="C11958">
        <v>3208</v>
      </c>
      <c r="D11958" t="s">
        <v>1530</v>
      </c>
      <c r="E11958" t="s">
        <v>1531</v>
      </c>
      <c r="F11958">
        <v>6090</v>
      </c>
      <c r="G11958">
        <v>230308</v>
      </c>
      <c r="H11958">
        <v>4440</v>
      </c>
      <c r="I11958" t="s">
        <v>250</v>
      </c>
      <c r="J11958">
        <v>7551.6</v>
      </c>
      <c r="K11958">
        <v>1461.6</v>
      </c>
      <c r="L11958">
        <v>18120</v>
      </c>
      <c r="M11958" t="s">
        <v>329</v>
      </c>
      <c r="N11958" t="str">
        <f>"8034        "</f>
        <v xml:space="preserve">8034        </v>
      </c>
      <c r="O11958">
        <v>230310</v>
      </c>
    </row>
    <row r="11959" spans="1:15" x14ac:dyDescent="0.25">
      <c r="A11959" t="s">
        <v>16</v>
      </c>
      <c r="B11959" t="s">
        <v>3221</v>
      </c>
      <c r="C11959">
        <v>3209</v>
      </c>
      <c r="D11959" t="s">
        <v>1530</v>
      </c>
      <c r="E11959" t="s">
        <v>1531</v>
      </c>
      <c r="F11959">
        <v>3587.5</v>
      </c>
      <c r="G11959">
        <v>230308</v>
      </c>
      <c r="H11959">
        <v>4440</v>
      </c>
      <c r="I11959" t="s">
        <v>250</v>
      </c>
      <c r="J11959">
        <v>4448.5</v>
      </c>
      <c r="K11959">
        <v>861</v>
      </c>
      <c r="L11959">
        <v>18122</v>
      </c>
      <c r="M11959" t="s">
        <v>407</v>
      </c>
      <c r="N11959" t="str">
        <f>"8033        "</f>
        <v xml:space="preserve">8033        </v>
      </c>
      <c r="O11959">
        <v>230310</v>
      </c>
    </row>
    <row r="11960" spans="1:15" x14ac:dyDescent="0.25">
      <c r="A11960" t="s">
        <v>16</v>
      </c>
      <c r="B11960" t="s">
        <v>3221</v>
      </c>
      <c r="C11960">
        <v>3210</v>
      </c>
      <c r="D11960" t="s">
        <v>1530</v>
      </c>
      <c r="E11960" t="s">
        <v>1531</v>
      </c>
      <c r="F11960">
        <v>4350</v>
      </c>
      <c r="G11960">
        <v>230308</v>
      </c>
      <c r="H11960">
        <v>4440</v>
      </c>
      <c r="I11960" t="s">
        <v>250</v>
      </c>
      <c r="J11960">
        <v>5394</v>
      </c>
      <c r="K11960">
        <v>1044</v>
      </c>
      <c r="L11960">
        <v>18120</v>
      </c>
      <c r="M11960" t="s">
        <v>329</v>
      </c>
      <c r="N11960" t="str">
        <f>"8038        "</f>
        <v xml:space="preserve">8038        </v>
      </c>
      <c r="O11960">
        <v>230310</v>
      </c>
    </row>
    <row r="11961" spans="1:15" x14ac:dyDescent="0.25">
      <c r="A11961" t="s">
        <v>16</v>
      </c>
      <c r="B11961" t="s">
        <v>3221</v>
      </c>
      <c r="C11961">
        <v>3211</v>
      </c>
      <c r="D11961" t="s">
        <v>1530</v>
      </c>
      <c r="E11961" t="s">
        <v>1531</v>
      </c>
      <c r="F11961">
        <v>8750</v>
      </c>
      <c r="G11961">
        <v>230308</v>
      </c>
      <c r="H11961">
        <v>4440</v>
      </c>
      <c r="I11961" t="s">
        <v>250</v>
      </c>
      <c r="J11961">
        <v>10850</v>
      </c>
      <c r="K11961">
        <v>2100</v>
      </c>
      <c r="L11961">
        <v>18120</v>
      </c>
      <c r="M11961" t="s">
        <v>329</v>
      </c>
      <c r="N11961" t="str">
        <f>"8035        "</f>
        <v xml:space="preserve">8035        </v>
      </c>
      <c r="O11961">
        <v>230310</v>
      </c>
    </row>
    <row r="11962" spans="1:15" x14ac:dyDescent="0.25">
      <c r="A11962" t="s">
        <v>16</v>
      </c>
      <c r="B11962" t="s">
        <v>3221</v>
      </c>
      <c r="C11962">
        <v>3212</v>
      </c>
      <c r="D11962" t="s">
        <v>1530</v>
      </c>
      <c r="E11962" t="s">
        <v>1531</v>
      </c>
      <c r="F11962">
        <v>5510</v>
      </c>
      <c r="G11962">
        <v>230308</v>
      </c>
      <c r="H11962">
        <v>4440</v>
      </c>
      <c r="I11962" t="s">
        <v>250</v>
      </c>
      <c r="J11962">
        <v>6832.4</v>
      </c>
      <c r="K11962">
        <v>1322.4</v>
      </c>
      <c r="L11962">
        <v>18120</v>
      </c>
      <c r="M11962" t="s">
        <v>329</v>
      </c>
      <c r="N11962" t="str">
        <f>"8037        "</f>
        <v xml:space="preserve">8037        </v>
      </c>
      <c r="O11962">
        <v>230310</v>
      </c>
    </row>
    <row r="11963" spans="1:15" x14ac:dyDescent="0.25">
      <c r="A11963" t="s">
        <v>16</v>
      </c>
      <c r="B11963" t="s">
        <v>3221</v>
      </c>
      <c r="C11963">
        <v>3213</v>
      </c>
      <c r="D11963" t="s">
        <v>1530</v>
      </c>
      <c r="E11963" t="s">
        <v>1531</v>
      </c>
      <c r="F11963">
        <v>4640</v>
      </c>
      <c r="G11963">
        <v>230308</v>
      </c>
      <c r="H11963">
        <v>4440</v>
      </c>
      <c r="I11963" t="s">
        <v>250</v>
      </c>
      <c r="J11963">
        <v>5753.6</v>
      </c>
      <c r="K11963">
        <v>1113.5999999999999</v>
      </c>
      <c r="L11963">
        <v>18120</v>
      </c>
      <c r="M11963" t="s">
        <v>329</v>
      </c>
      <c r="N11963" t="str">
        <f>"8036        "</f>
        <v xml:space="preserve">8036        </v>
      </c>
      <c r="O11963">
        <v>230310</v>
      </c>
    </row>
    <row r="11964" spans="1:15" x14ac:dyDescent="0.25">
      <c r="A11964" t="s">
        <v>16</v>
      </c>
      <c r="B11964" t="s">
        <v>3221</v>
      </c>
      <c r="C11964">
        <v>3214</v>
      </c>
      <c r="D11964" t="s">
        <v>1530</v>
      </c>
      <c r="E11964" t="s">
        <v>1531</v>
      </c>
      <c r="F11964">
        <v>5250</v>
      </c>
      <c r="G11964">
        <v>230308</v>
      </c>
      <c r="H11964">
        <v>4440</v>
      </c>
      <c r="I11964" t="s">
        <v>250</v>
      </c>
      <c r="J11964">
        <v>6510</v>
      </c>
      <c r="K11964">
        <v>1260</v>
      </c>
      <c r="L11964">
        <v>18120</v>
      </c>
      <c r="M11964" t="s">
        <v>329</v>
      </c>
      <c r="N11964" t="str">
        <f>"8032        "</f>
        <v xml:space="preserve">8032        </v>
      </c>
      <c r="O11964">
        <v>230310</v>
      </c>
    </row>
    <row r="11965" spans="1:15" x14ac:dyDescent="0.25">
      <c r="A11965" t="s">
        <v>16</v>
      </c>
      <c r="B11965" t="s">
        <v>3221</v>
      </c>
      <c r="C11965">
        <v>8604</v>
      </c>
      <c r="D11965" t="s">
        <v>1530</v>
      </c>
      <c r="E11965" t="s">
        <v>1531</v>
      </c>
      <c r="F11965">
        <v>7816.67</v>
      </c>
      <c r="G11965">
        <v>230531</v>
      </c>
      <c r="H11965">
        <v>4440</v>
      </c>
      <c r="I11965" t="s">
        <v>250</v>
      </c>
      <c r="J11965">
        <v>9692.67</v>
      </c>
      <c r="K11965">
        <v>1876</v>
      </c>
      <c r="L11965">
        <v>18120</v>
      </c>
      <c r="M11965" t="s">
        <v>329</v>
      </c>
      <c r="N11965" t="str">
        <f>"8591        "</f>
        <v xml:space="preserve">8591        </v>
      </c>
      <c r="O11965">
        <v>230612</v>
      </c>
    </row>
    <row r="11966" spans="1:15" x14ac:dyDescent="0.25">
      <c r="A11966" t="s">
        <v>16</v>
      </c>
      <c r="B11966" t="s">
        <v>3221</v>
      </c>
      <c r="C11966">
        <v>8611</v>
      </c>
      <c r="D11966" t="s">
        <v>1530</v>
      </c>
      <c r="E11966" t="s">
        <v>1531</v>
      </c>
      <c r="F11966">
        <v>4930</v>
      </c>
      <c r="G11966">
        <v>230531</v>
      </c>
      <c r="H11966">
        <v>4440</v>
      </c>
      <c r="I11966" t="s">
        <v>250</v>
      </c>
      <c r="J11966">
        <v>6113.2</v>
      </c>
      <c r="K11966">
        <v>1183.2</v>
      </c>
      <c r="L11966">
        <v>18120</v>
      </c>
      <c r="M11966" t="s">
        <v>329</v>
      </c>
      <c r="N11966" t="str">
        <f>"8592        "</f>
        <v xml:space="preserve">8592        </v>
      </c>
      <c r="O11966">
        <v>230612</v>
      </c>
    </row>
    <row r="11967" spans="1:15" x14ac:dyDescent="0.25">
      <c r="A11967" t="s">
        <v>16</v>
      </c>
      <c r="B11967" t="s">
        <v>3221</v>
      </c>
      <c r="C11967">
        <v>8675</v>
      </c>
      <c r="D11967" t="s">
        <v>1530</v>
      </c>
      <c r="E11967" t="s">
        <v>1531</v>
      </c>
      <c r="F11967">
        <v>3459.38</v>
      </c>
      <c r="G11967">
        <v>230531</v>
      </c>
      <c r="H11967">
        <v>4440</v>
      </c>
      <c r="I11967" t="s">
        <v>250</v>
      </c>
      <c r="J11967">
        <v>4289.63</v>
      </c>
      <c r="K11967">
        <v>830.25</v>
      </c>
      <c r="L11967">
        <v>18122</v>
      </c>
      <c r="M11967" t="s">
        <v>407</v>
      </c>
      <c r="N11967" t="str">
        <f>"8589        "</f>
        <v xml:space="preserve">8589        </v>
      </c>
      <c r="O11967">
        <v>230613</v>
      </c>
    </row>
    <row r="11968" spans="1:15" x14ac:dyDescent="0.25">
      <c r="A11968" t="s">
        <v>16</v>
      </c>
      <c r="B11968" t="s">
        <v>3221</v>
      </c>
      <c r="C11968">
        <v>8680</v>
      </c>
      <c r="D11968" t="s">
        <v>1530</v>
      </c>
      <c r="E11968" t="s">
        <v>1531</v>
      </c>
      <c r="F11968">
        <v>4350</v>
      </c>
      <c r="G11968">
        <v>230531</v>
      </c>
      <c r="H11968">
        <v>4440</v>
      </c>
      <c r="I11968" t="s">
        <v>250</v>
      </c>
      <c r="J11968">
        <v>5394</v>
      </c>
      <c r="K11968">
        <v>1044</v>
      </c>
      <c r="L11968">
        <v>18120</v>
      </c>
      <c r="M11968" t="s">
        <v>329</v>
      </c>
      <c r="N11968" t="str">
        <f>"8588        "</f>
        <v xml:space="preserve">8588        </v>
      </c>
      <c r="O11968">
        <v>230613</v>
      </c>
    </row>
    <row r="11969" spans="1:15" x14ac:dyDescent="0.25">
      <c r="A11969" t="s">
        <v>16</v>
      </c>
      <c r="B11969" t="s">
        <v>3221</v>
      </c>
      <c r="C11969">
        <v>8681</v>
      </c>
      <c r="D11969" t="s">
        <v>1530</v>
      </c>
      <c r="E11969" t="s">
        <v>1531</v>
      </c>
      <c r="F11969">
        <v>5510</v>
      </c>
      <c r="G11969">
        <v>230531</v>
      </c>
      <c r="H11969">
        <v>4440</v>
      </c>
      <c r="I11969" t="s">
        <v>250</v>
      </c>
      <c r="J11969">
        <v>6832.4</v>
      </c>
      <c r="K11969">
        <v>1322.4</v>
      </c>
      <c r="L11969">
        <v>18120</v>
      </c>
      <c r="M11969" t="s">
        <v>329</v>
      </c>
      <c r="N11969" t="str">
        <f>"8593        "</f>
        <v xml:space="preserve">8593        </v>
      </c>
      <c r="O11969">
        <v>230613</v>
      </c>
    </row>
    <row r="11970" spans="1:15" x14ac:dyDescent="0.25">
      <c r="A11970" t="s">
        <v>16</v>
      </c>
      <c r="B11970" t="s">
        <v>3221</v>
      </c>
      <c r="C11970">
        <v>8683</v>
      </c>
      <c r="D11970" t="s">
        <v>1530</v>
      </c>
      <c r="E11970" t="s">
        <v>1531</v>
      </c>
      <c r="F11970">
        <v>4350</v>
      </c>
      <c r="G11970">
        <v>230531</v>
      </c>
      <c r="H11970">
        <v>4440</v>
      </c>
      <c r="I11970" t="s">
        <v>250</v>
      </c>
      <c r="J11970">
        <v>5394</v>
      </c>
      <c r="K11970">
        <v>1044</v>
      </c>
      <c r="L11970">
        <v>18120</v>
      </c>
      <c r="M11970" t="s">
        <v>329</v>
      </c>
      <c r="N11970" t="str">
        <f>"8594        "</f>
        <v xml:space="preserve">8594        </v>
      </c>
      <c r="O11970">
        <v>230613</v>
      </c>
    </row>
    <row r="11971" spans="1:15" x14ac:dyDescent="0.25">
      <c r="A11971" t="s">
        <v>16</v>
      </c>
      <c r="B11971" t="s">
        <v>3221</v>
      </c>
      <c r="C11971">
        <v>8864</v>
      </c>
      <c r="D11971" t="s">
        <v>1530</v>
      </c>
      <c r="E11971" t="s">
        <v>1531</v>
      </c>
      <c r="F11971">
        <v>5400</v>
      </c>
      <c r="G11971">
        <v>230531</v>
      </c>
      <c r="H11971">
        <v>4440</v>
      </c>
      <c r="I11971" t="s">
        <v>250</v>
      </c>
      <c r="J11971">
        <v>6696</v>
      </c>
      <c r="K11971">
        <v>1296</v>
      </c>
      <c r="L11971">
        <v>18120</v>
      </c>
      <c r="M11971" t="s">
        <v>329</v>
      </c>
      <c r="N11971" t="str">
        <f>"8590        "</f>
        <v xml:space="preserve">8590        </v>
      </c>
      <c r="O11971">
        <v>230619</v>
      </c>
    </row>
    <row r="11972" spans="1:15" x14ac:dyDescent="0.25">
      <c r="A11972" t="s">
        <v>16</v>
      </c>
      <c r="B11972" t="s">
        <v>3221</v>
      </c>
      <c r="C11972">
        <v>12501</v>
      </c>
      <c r="D11972" t="s">
        <v>1530</v>
      </c>
      <c r="E11972" t="s">
        <v>1531</v>
      </c>
      <c r="F11972">
        <v>4640</v>
      </c>
      <c r="G11972">
        <v>230915</v>
      </c>
      <c r="H11972">
        <v>4440</v>
      </c>
      <c r="I11972" t="s">
        <v>250</v>
      </c>
      <c r="J11972">
        <v>5753.6</v>
      </c>
      <c r="K11972">
        <v>1113.5999999999999</v>
      </c>
      <c r="L11972">
        <v>18120</v>
      </c>
      <c r="M11972" t="s">
        <v>329</v>
      </c>
      <c r="N11972" t="str">
        <f>"8979        "</f>
        <v xml:space="preserve">8979        </v>
      </c>
      <c r="O11972">
        <v>230920</v>
      </c>
    </row>
    <row r="11973" spans="1:15" x14ac:dyDescent="0.25">
      <c r="A11973" t="s">
        <v>16</v>
      </c>
      <c r="B11973" t="s">
        <v>3221</v>
      </c>
      <c r="C11973">
        <v>12502</v>
      </c>
      <c r="D11973" t="s">
        <v>1530</v>
      </c>
      <c r="E11973" t="s">
        <v>1531</v>
      </c>
      <c r="F11973">
        <v>7700</v>
      </c>
      <c r="G11973">
        <v>230915</v>
      </c>
      <c r="H11973">
        <v>4440</v>
      </c>
      <c r="I11973" t="s">
        <v>250</v>
      </c>
      <c r="J11973">
        <v>9548</v>
      </c>
      <c r="K11973">
        <v>1848</v>
      </c>
      <c r="L11973">
        <v>18120</v>
      </c>
      <c r="M11973" t="s">
        <v>329</v>
      </c>
      <c r="N11973" t="str">
        <f>"8978        "</f>
        <v xml:space="preserve">8978        </v>
      </c>
      <c r="O11973">
        <v>230920</v>
      </c>
    </row>
    <row r="11974" spans="1:15" x14ac:dyDescent="0.25">
      <c r="A11974" t="s">
        <v>16</v>
      </c>
      <c r="B11974" t="s">
        <v>3221</v>
      </c>
      <c r="C11974">
        <v>12503</v>
      </c>
      <c r="D11974" t="s">
        <v>1530</v>
      </c>
      <c r="E11974" t="s">
        <v>1531</v>
      </c>
      <c r="F11974">
        <v>4060</v>
      </c>
      <c r="G11974">
        <v>230915</v>
      </c>
      <c r="H11974">
        <v>4440</v>
      </c>
      <c r="I11974" t="s">
        <v>250</v>
      </c>
      <c r="J11974">
        <v>5034.3999999999996</v>
      </c>
      <c r="K11974">
        <v>974.4</v>
      </c>
      <c r="L11974">
        <v>18120</v>
      </c>
      <c r="M11974" t="s">
        <v>329</v>
      </c>
      <c r="N11974" t="str">
        <f>"8983        "</f>
        <v xml:space="preserve">8983        </v>
      </c>
      <c r="O11974">
        <v>230920</v>
      </c>
    </row>
    <row r="11975" spans="1:15" x14ac:dyDescent="0.25">
      <c r="A11975" t="s">
        <v>16</v>
      </c>
      <c r="B11975" t="s">
        <v>3221</v>
      </c>
      <c r="C11975">
        <v>12504</v>
      </c>
      <c r="D11975" t="s">
        <v>1530</v>
      </c>
      <c r="E11975" t="s">
        <v>1531</v>
      </c>
      <c r="F11975">
        <v>4060</v>
      </c>
      <c r="G11975">
        <v>230915</v>
      </c>
      <c r="H11975">
        <v>4440</v>
      </c>
      <c r="I11975" t="s">
        <v>250</v>
      </c>
      <c r="J11975">
        <v>5034.3999999999996</v>
      </c>
      <c r="K11975">
        <v>974.4</v>
      </c>
      <c r="L11975">
        <v>18120</v>
      </c>
      <c r="M11975" t="s">
        <v>329</v>
      </c>
      <c r="N11975" t="str">
        <f>"8982        "</f>
        <v xml:space="preserve">8982        </v>
      </c>
      <c r="O11975">
        <v>230920</v>
      </c>
    </row>
    <row r="11976" spans="1:15" x14ac:dyDescent="0.25">
      <c r="A11976" t="s">
        <v>16</v>
      </c>
      <c r="B11976" t="s">
        <v>3221</v>
      </c>
      <c r="C11976">
        <v>12505</v>
      </c>
      <c r="D11976" t="s">
        <v>1530</v>
      </c>
      <c r="E11976" t="s">
        <v>1531</v>
      </c>
      <c r="F11976">
        <v>4350</v>
      </c>
      <c r="G11976">
        <v>230915</v>
      </c>
      <c r="H11976">
        <v>4440</v>
      </c>
      <c r="I11976" t="s">
        <v>250</v>
      </c>
      <c r="J11976">
        <v>5394</v>
      </c>
      <c r="K11976">
        <v>1044</v>
      </c>
      <c r="L11976">
        <v>18120</v>
      </c>
      <c r="M11976" t="s">
        <v>329</v>
      </c>
      <c r="N11976" t="str">
        <f>"8981        "</f>
        <v xml:space="preserve">8981        </v>
      </c>
      <c r="O11976">
        <v>230920</v>
      </c>
    </row>
    <row r="11977" spans="1:15" x14ac:dyDescent="0.25">
      <c r="A11977" t="s">
        <v>16</v>
      </c>
      <c r="B11977" t="s">
        <v>3221</v>
      </c>
      <c r="C11977">
        <v>12506</v>
      </c>
      <c r="D11977" t="s">
        <v>1530</v>
      </c>
      <c r="E11977" t="s">
        <v>1531</v>
      </c>
      <c r="F11977">
        <v>3331.25</v>
      </c>
      <c r="G11977">
        <v>230915</v>
      </c>
      <c r="H11977">
        <v>4440</v>
      </c>
      <c r="I11977" t="s">
        <v>250</v>
      </c>
      <c r="J11977">
        <v>4130.75</v>
      </c>
      <c r="K11977">
        <v>799.5</v>
      </c>
      <c r="L11977">
        <v>18122</v>
      </c>
      <c r="M11977" t="s">
        <v>407</v>
      </c>
      <c r="N11977" t="str">
        <f>"8977        "</f>
        <v xml:space="preserve">8977        </v>
      </c>
      <c r="O11977">
        <v>230920</v>
      </c>
    </row>
    <row r="11978" spans="1:15" x14ac:dyDescent="0.25">
      <c r="A11978" t="s">
        <v>16</v>
      </c>
      <c r="B11978" t="s">
        <v>3221</v>
      </c>
      <c r="C11978">
        <v>12691</v>
      </c>
      <c r="D11978" t="s">
        <v>1530</v>
      </c>
      <c r="E11978" t="s">
        <v>1531</v>
      </c>
      <c r="F11978">
        <v>5075</v>
      </c>
      <c r="G11978">
        <v>230920</v>
      </c>
      <c r="H11978">
        <v>4440</v>
      </c>
      <c r="I11978" t="s">
        <v>250</v>
      </c>
      <c r="J11978">
        <v>6293</v>
      </c>
      <c r="K11978">
        <v>1218</v>
      </c>
      <c r="L11978">
        <v>18120</v>
      </c>
      <c r="M11978" t="s">
        <v>329</v>
      </c>
      <c r="N11978" t="str">
        <f>"9031        "</f>
        <v xml:space="preserve">9031        </v>
      </c>
      <c r="O11978">
        <v>230925</v>
      </c>
    </row>
    <row r="11979" spans="1:15" x14ac:dyDescent="0.25">
      <c r="A11979" t="s">
        <v>16</v>
      </c>
      <c r="B11979" t="s">
        <v>3221</v>
      </c>
      <c r="C11979">
        <v>17942</v>
      </c>
      <c r="D11979" t="s">
        <v>1530</v>
      </c>
      <c r="E11979" t="s">
        <v>1531</v>
      </c>
      <c r="F11979">
        <v>4350</v>
      </c>
      <c r="G11979">
        <v>231218</v>
      </c>
      <c r="H11979">
        <v>4440</v>
      </c>
      <c r="I11979" t="s">
        <v>250</v>
      </c>
      <c r="J11979">
        <v>5394</v>
      </c>
      <c r="K11979">
        <v>1044</v>
      </c>
      <c r="L11979">
        <v>18120</v>
      </c>
      <c r="M11979" t="s">
        <v>329</v>
      </c>
      <c r="N11979" t="str">
        <f>"9648        "</f>
        <v xml:space="preserve">9648        </v>
      </c>
      <c r="O11979">
        <v>231228</v>
      </c>
    </row>
    <row r="11980" spans="1:15" x14ac:dyDescent="0.25">
      <c r="A11980" t="s">
        <v>16</v>
      </c>
      <c r="B11980" t="s">
        <v>3221</v>
      </c>
      <c r="C11980">
        <v>17949</v>
      </c>
      <c r="D11980" t="s">
        <v>1530</v>
      </c>
      <c r="E11980" t="s">
        <v>1531</v>
      </c>
      <c r="F11980">
        <v>4640</v>
      </c>
      <c r="G11980">
        <v>231218</v>
      </c>
      <c r="H11980">
        <v>4440</v>
      </c>
      <c r="I11980" t="s">
        <v>250</v>
      </c>
      <c r="J11980">
        <v>5753.6</v>
      </c>
      <c r="K11980">
        <v>1113.5999999999999</v>
      </c>
      <c r="L11980">
        <v>18120</v>
      </c>
      <c r="M11980" t="s">
        <v>329</v>
      </c>
      <c r="N11980" t="str">
        <f>"9647        "</f>
        <v xml:space="preserve">9647        </v>
      </c>
      <c r="O11980">
        <v>231228</v>
      </c>
    </row>
    <row r="11981" spans="1:15" x14ac:dyDescent="0.25">
      <c r="A11981" t="s">
        <v>16</v>
      </c>
      <c r="B11981" t="s">
        <v>3221</v>
      </c>
      <c r="C11981">
        <v>17952</v>
      </c>
      <c r="D11981" t="s">
        <v>1530</v>
      </c>
      <c r="E11981" t="s">
        <v>1531</v>
      </c>
      <c r="F11981">
        <v>6250</v>
      </c>
      <c r="G11981">
        <v>231218</v>
      </c>
      <c r="H11981">
        <v>4440</v>
      </c>
      <c r="I11981" t="s">
        <v>250</v>
      </c>
      <c r="J11981">
        <v>7750</v>
      </c>
      <c r="K11981">
        <v>1500</v>
      </c>
      <c r="L11981">
        <v>18120</v>
      </c>
      <c r="M11981" t="s">
        <v>329</v>
      </c>
      <c r="N11981" t="str">
        <f>"9651        "</f>
        <v xml:space="preserve">9651        </v>
      </c>
      <c r="O11981">
        <v>231228</v>
      </c>
    </row>
    <row r="11982" spans="1:15" x14ac:dyDescent="0.25">
      <c r="A11982" t="s">
        <v>16</v>
      </c>
      <c r="B11982" t="s">
        <v>3221</v>
      </c>
      <c r="C11982">
        <v>17965</v>
      </c>
      <c r="D11982" t="s">
        <v>1530</v>
      </c>
      <c r="E11982" t="s">
        <v>1531</v>
      </c>
      <c r="F11982">
        <v>7233.33</v>
      </c>
      <c r="G11982">
        <v>231218</v>
      </c>
      <c r="H11982">
        <v>4440</v>
      </c>
      <c r="I11982" t="s">
        <v>250</v>
      </c>
      <c r="J11982">
        <v>8969.33</v>
      </c>
      <c r="K11982">
        <v>1736</v>
      </c>
      <c r="L11982">
        <v>18120</v>
      </c>
      <c r="M11982" t="s">
        <v>329</v>
      </c>
      <c r="N11982" t="str">
        <f>"9646        "</f>
        <v xml:space="preserve">9646        </v>
      </c>
      <c r="O11982">
        <v>231228</v>
      </c>
    </row>
    <row r="11983" spans="1:15" x14ac:dyDescent="0.25">
      <c r="A11983" t="s">
        <v>16</v>
      </c>
      <c r="B11983" t="s">
        <v>3221</v>
      </c>
      <c r="C11983">
        <v>17971</v>
      </c>
      <c r="D11983" t="s">
        <v>1530</v>
      </c>
      <c r="E11983" t="s">
        <v>1531</v>
      </c>
      <c r="F11983">
        <v>5950</v>
      </c>
      <c r="G11983">
        <v>231218</v>
      </c>
      <c r="H11983">
        <v>4440</v>
      </c>
      <c r="I11983" t="s">
        <v>250</v>
      </c>
      <c r="J11983">
        <v>7378</v>
      </c>
      <c r="K11983">
        <v>1428</v>
      </c>
      <c r="L11983">
        <v>18120</v>
      </c>
      <c r="M11983" t="s">
        <v>329</v>
      </c>
      <c r="N11983" t="str">
        <f>"9652        "</f>
        <v xml:space="preserve">9652        </v>
      </c>
      <c r="O11983">
        <v>231228</v>
      </c>
    </row>
    <row r="11984" spans="1:15" x14ac:dyDescent="0.25">
      <c r="A11984" t="s">
        <v>16</v>
      </c>
      <c r="B11984" t="s">
        <v>3221</v>
      </c>
      <c r="C11984">
        <v>17979</v>
      </c>
      <c r="D11984" t="s">
        <v>1530</v>
      </c>
      <c r="E11984" t="s">
        <v>1531</v>
      </c>
      <c r="F11984">
        <v>8400</v>
      </c>
      <c r="G11984">
        <v>231218</v>
      </c>
      <c r="H11984">
        <v>4440</v>
      </c>
      <c r="I11984" t="s">
        <v>250</v>
      </c>
      <c r="J11984">
        <v>10416</v>
      </c>
      <c r="K11984">
        <v>2016</v>
      </c>
      <c r="L11984">
        <v>18120</v>
      </c>
      <c r="M11984" t="s">
        <v>329</v>
      </c>
      <c r="N11984" t="str">
        <f>"9653        "</f>
        <v xml:space="preserve">9653        </v>
      </c>
      <c r="O11984">
        <v>231228</v>
      </c>
    </row>
    <row r="11985" spans="1:15" x14ac:dyDescent="0.25">
      <c r="A11985" t="s">
        <v>16</v>
      </c>
      <c r="B11985" t="s">
        <v>3221</v>
      </c>
      <c r="C11985">
        <v>17981</v>
      </c>
      <c r="D11985" t="s">
        <v>1530</v>
      </c>
      <c r="E11985" t="s">
        <v>1531</v>
      </c>
      <c r="F11985">
        <v>4640</v>
      </c>
      <c r="G11985">
        <v>231218</v>
      </c>
      <c r="H11985">
        <v>4440</v>
      </c>
      <c r="I11985" t="s">
        <v>250</v>
      </c>
      <c r="J11985">
        <v>5753.6</v>
      </c>
      <c r="K11985">
        <v>1113.5999999999999</v>
      </c>
      <c r="L11985">
        <v>18120</v>
      </c>
      <c r="M11985" t="s">
        <v>329</v>
      </c>
      <c r="N11985" t="str">
        <f>"9645        "</f>
        <v xml:space="preserve">9645        </v>
      </c>
      <c r="O11985">
        <v>231228</v>
      </c>
    </row>
    <row r="11986" spans="1:15" x14ac:dyDescent="0.25">
      <c r="A11986" t="s">
        <v>16</v>
      </c>
      <c r="B11986" t="s">
        <v>3221</v>
      </c>
      <c r="C11986">
        <v>17984</v>
      </c>
      <c r="D11986" t="s">
        <v>1530</v>
      </c>
      <c r="E11986" t="s">
        <v>1531</v>
      </c>
      <c r="F11986">
        <v>7300</v>
      </c>
      <c r="G11986">
        <v>231218</v>
      </c>
      <c r="H11986">
        <v>4440</v>
      </c>
      <c r="I11986" t="s">
        <v>250</v>
      </c>
      <c r="J11986">
        <v>9052</v>
      </c>
      <c r="K11986">
        <v>1752</v>
      </c>
      <c r="L11986">
        <v>18120</v>
      </c>
      <c r="M11986" t="s">
        <v>329</v>
      </c>
      <c r="N11986" t="str">
        <f>"9650        "</f>
        <v xml:space="preserve">9650        </v>
      </c>
      <c r="O11986">
        <v>231228</v>
      </c>
    </row>
    <row r="11987" spans="1:15" x14ac:dyDescent="0.25">
      <c r="A11987" t="s">
        <v>16</v>
      </c>
      <c r="B11987" t="s">
        <v>3221</v>
      </c>
      <c r="C11987">
        <v>17988</v>
      </c>
      <c r="D11987" t="s">
        <v>1530</v>
      </c>
      <c r="E11987" t="s">
        <v>1531</v>
      </c>
      <c r="F11987">
        <v>3770</v>
      </c>
      <c r="G11987">
        <v>231218</v>
      </c>
      <c r="H11987">
        <v>4440</v>
      </c>
      <c r="I11987" t="s">
        <v>250</v>
      </c>
      <c r="J11987">
        <v>4674.8</v>
      </c>
      <c r="K11987">
        <v>904.8</v>
      </c>
      <c r="L11987">
        <v>18120</v>
      </c>
      <c r="M11987" t="s">
        <v>329</v>
      </c>
      <c r="N11987" t="str">
        <f>"9649        "</f>
        <v xml:space="preserve">9649        </v>
      </c>
      <c r="O11987">
        <v>231228</v>
      </c>
    </row>
    <row r="11988" spans="1:15" x14ac:dyDescent="0.25">
      <c r="A11988" t="s">
        <v>16</v>
      </c>
      <c r="B11988" t="s">
        <v>3221</v>
      </c>
      <c r="C11988">
        <v>16011</v>
      </c>
      <c r="D11988" t="s">
        <v>1530</v>
      </c>
      <c r="E11988" t="s">
        <v>1531</v>
      </c>
      <c r="F11988">
        <v>250</v>
      </c>
      <c r="G11988">
        <v>231116</v>
      </c>
      <c r="H11988">
        <v>4820</v>
      </c>
      <c r="I11988" t="s">
        <v>50</v>
      </c>
      <c r="J11988">
        <v>310</v>
      </c>
      <c r="K11988">
        <v>60</v>
      </c>
      <c r="L11988">
        <v>18972</v>
      </c>
      <c r="M11988" t="s">
        <v>163</v>
      </c>
      <c r="N11988" t="str">
        <f>"9402        "</f>
        <v xml:space="preserve">9402        </v>
      </c>
      <c r="O11988">
        <v>231122</v>
      </c>
    </row>
    <row r="11989" spans="1:15" x14ac:dyDescent="0.25">
      <c r="A11989" t="s">
        <v>16</v>
      </c>
      <c r="B11989" t="s">
        <v>3221</v>
      </c>
      <c r="C11989">
        <v>1813</v>
      </c>
      <c r="D11989" t="s">
        <v>1202</v>
      </c>
      <c r="E11989" t="s">
        <v>1203</v>
      </c>
      <c r="F11989">
        <v>677</v>
      </c>
      <c r="G11989">
        <v>230131</v>
      </c>
      <c r="H11989">
        <v>4600</v>
      </c>
      <c r="I11989" t="s">
        <v>105</v>
      </c>
      <c r="J11989">
        <v>839.48</v>
      </c>
      <c r="K11989">
        <v>162.47999999999999</v>
      </c>
      <c r="L11989">
        <v>17522</v>
      </c>
      <c r="M11989" t="s">
        <v>451</v>
      </c>
      <c r="N11989" t="str">
        <f>"60201       "</f>
        <v xml:space="preserve">60201       </v>
      </c>
      <c r="O11989">
        <v>230214</v>
      </c>
    </row>
    <row r="11990" spans="1:15" x14ac:dyDescent="0.25">
      <c r="A11990" t="s">
        <v>16</v>
      </c>
      <c r="B11990" t="s">
        <v>3221</v>
      </c>
      <c r="C11990">
        <v>18095</v>
      </c>
      <c r="D11990" t="s">
        <v>1160</v>
      </c>
      <c r="E11990" t="s">
        <v>1161</v>
      </c>
      <c r="F11990">
        <v>193.55</v>
      </c>
      <c r="G11990">
        <v>231219</v>
      </c>
      <c r="H11990">
        <v>4400</v>
      </c>
      <c r="I11990" t="s">
        <v>348</v>
      </c>
      <c r="J11990">
        <v>240</v>
      </c>
      <c r="K11990">
        <v>46.45</v>
      </c>
      <c r="L11990">
        <v>17951</v>
      </c>
      <c r="M11990" t="s">
        <v>87</v>
      </c>
      <c r="N11990" t="str">
        <f>"107185      "</f>
        <v xml:space="preserve">107185      </v>
      </c>
      <c r="O11990">
        <v>240102</v>
      </c>
    </row>
    <row r="11991" spans="1:15" x14ac:dyDescent="0.25">
      <c r="A11991" t="s">
        <v>16</v>
      </c>
      <c r="B11991" t="s">
        <v>3221</v>
      </c>
      <c r="C11991">
        <v>18095</v>
      </c>
      <c r="D11991" t="s">
        <v>1160</v>
      </c>
      <c r="E11991" t="s">
        <v>1161</v>
      </c>
      <c r="F11991">
        <v>100.48</v>
      </c>
      <c r="G11991">
        <v>231219</v>
      </c>
      <c r="H11991">
        <v>4420</v>
      </c>
      <c r="I11991" t="s">
        <v>132</v>
      </c>
      <c r="J11991">
        <v>124.6</v>
      </c>
      <c r="K11991">
        <v>24.12</v>
      </c>
      <c r="L11991">
        <v>17951</v>
      </c>
      <c r="M11991" t="s">
        <v>87</v>
      </c>
      <c r="N11991" t="str">
        <f>"107185      "</f>
        <v xml:space="preserve">107185      </v>
      </c>
      <c r="O11991">
        <v>240102</v>
      </c>
    </row>
    <row r="11992" spans="1:15" x14ac:dyDescent="0.25">
      <c r="A11992" t="s">
        <v>16</v>
      </c>
      <c r="B11992" t="s">
        <v>3221</v>
      </c>
      <c r="C11992">
        <v>1717</v>
      </c>
      <c r="D11992" t="s">
        <v>1160</v>
      </c>
      <c r="E11992" t="s">
        <v>1161</v>
      </c>
      <c r="F11992">
        <v>115</v>
      </c>
      <c r="G11992">
        <v>230209</v>
      </c>
      <c r="H11992">
        <v>4390</v>
      </c>
      <c r="I11992" t="s">
        <v>98</v>
      </c>
      <c r="J11992">
        <v>115</v>
      </c>
      <c r="K11992">
        <v>0</v>
      </c>
      <c r="L11992">
        <v>17951</v>
      </c>
      <c r="M11992" t="s">
        <v>87</v>
      </c>
      <c r="N11992" t="str">
        <f>"100678      "</f>
        <v xml:space="preserve">100678      </v>
      </c>
      <c r="O11992">
        <v>230213</v>
      </c>
    </row>
    <row r="11993" spans="1:15" x14ac:dyDescent="0.25">
      <c r="A11993" t="s">
        <v>16</v>
      </c>
      <c r="B11993" t="s">
        <v>3221</v>
      </c>
      <c r="C11993">
        <v>12577</v>
      </c>
      <c r="D11993" t="s">
        <v>496</v>
      </c>
      <c r="E11993" t="s">
        <v>497</v>
      </c>
      <c r="F11993">
        <v>200.58</v>
      </c>
      <c r="G11993">
        <v>230913</v>
      </c>
      <c r="H11993">
        <v>4580</v>
      </c>
      <c r="I11993" t="s">
        <v>35</v>
      </c>
      <c r="J11993">
        <v>248.72</v>
      </c>
      <c r="K11993">
        <v>48.14</v>
      </c>
      <c r="L11993">
        <v>49501</v>
      </c>
      <c r="M11993" t="s">
        <v>177</v>
      </c>
      <c r="N11993" t="str">
        <f>"9346        "</f>
        <v xml:space="preserve">9346        </v>
      </c>
      <c r="O11993">
        <v>230922</v>
      </c>
    </row>
    <row r="11994" spans="1:15" x14ac:dyDescent="0.25">
      <c r="A11994" t="s">
        <v>16</v>
      </c>
      <c r="B11994" t="s">
        <v>3221</v>
      </c>
      <c r="C11994">
        <v>18024</v>
      </c>
      <c r="D11994" t="s">
        <v>496</v>
      </c>
      <c r="E11994" t="s">
        <v>497</v>
      </c>
      <c r="F11994">
        <v>29535.5</v>
      </c>
      <c r="G11994">
        <v>231218</v>
      </c>
      <c r="H11994">
        <v>1196</v>
      </c>
      <c r="I11994" t="s">
        <v>392</v>
      </c>
      <c r="J11994">
        <v>29535.5</v>
      </c>
      <c r="K11994">
        <v>0</v>
      </c>
      <c r="L11994">
        <v>96501</v>
      </c>
      <c r="M11994" t="s">
        <v>2361</v>
      </c>
      <c r="N11994" t="str">
        <f>"9905        "</f>
        <v xml:space="preserve">9905        </v>
      </c>
      <c r="O11994">
        <v>231228</v>
      </c>
    </row>
    <row r="11995" spans="1:15" x14ac:dyDescent="0.25">
      <c r="A11995" t="s">
        <v>16</v>
      </c>
      <c r="B11995" t="s">
        <v>3221</v>
      </c>
      <c r="C11995">
        <v>18171</v>
      </c>
      <c r="D11995" t="s">
        <v>496</v>
      </c>
      <c r="E11995" t="s">
        <v>497</v>
      </c>
      <c r="F11995">
        <v>2000</v>
      </c>
      <c r="G11995">
        <v>231218</v>
      </c>
      <c r="H11995">
        <v>1196</v>
      </c>
      <c r="I11995" t="s">
        <v>392</v>
      </c>
      <c r="J11995">
        <v>2000</v>
      </c>
      <c r="K11995">
        <v>0</v>
      </c>
      <c r="L11995">
        <v>96501</v>
      </c>
      <c r="M11995" t="s">
        <v>2361</v>
      </c>
      <c r="N11995" t="str">
        <f>"9906        "</f>
        <v xml:space="preserve">9906        </v>
      </c>
      <c r="O11995">
        <v>240102</v>
      </c>
    </row>
    <row r="11996" spans="1:15" x14ac:dyDescent="0.25">
      <c r="A11996" t="s">
        <v>16</v>
      </c>
      <c r="B11996" t="s">
        <v>3221</v>
      </c>
      <c r="C11996">
        <v>2086</v>
      </c>
      <c r="D11996" t="s">
        <v>496</v>
      </c>
      <c r="E11996" t="s">
        <v>497</v>
      </c>
      <c r="F11996">
        <v>71.349999999999994</v>
      </c>
      <c r="G11996">
        <v>230216</v>
      </c>
      <c r="H11996">
        <v>4600</v>
      </c>
      <c r="I11996" t="s">
        <v>105</v>
      </c>
      <c r="J11996">
        <v>88.47</v>
      </c>
      <c r="K11996">
        <v>17.12</v>
      </c>
      <c r="L11996">
        <v>49501</v>
      </c>
      <c r="M11996" t="s">
        <v>177</v>
      </c>
      <c r="N11996" t="str">
        <f>"8344        "</f>
        <v xml:space="preserve">8344        </v>
      </c>
      <c r="O11996">
        <v>230220</v>
      </c>
    </row>
    <row r="11997" spans="1:15" x14ac:dyDescent="0.25">
      <c r="A11997" t="s">
        <v>16</v>
      </c>
      <c r="B11997" t="s">
        <v>3221</v>
      </c>
      <c r="C11997">
        <v>2782</v>
      </c>
      <c r="D11997" t="s">
        <v>496</v>
      </c>
      <c r="E11997" t="s">
        <v>497</v>
      </c>
      <c r="F11997">
        <v>51.75</v>
      </c>
      <c r="G11997">
        <v>230302</v>
      </c>
      <c r="H11997">
        <v>4600</v>
      </c>
      <c r="I11997" t="s">
        <v>105</v>
      </c>
      <c r="J11997">
        <v>64.17</v>
      </c>
      <c r="K11997">
        <v>12.42</v>
      </c>
      <c r="L11997">
        <v>49501</v>
      </c>
      <c r="M11997" t="s">
        <v>177</v>
      </c>
      <c r="N11997" t="str">
        <f>"8414        "</f>
        <v xml:space="preserve">8414        </v>
      </c>
      <c r="O11997">
        <v>230307</v>
      </c>
    </row>
    <row r="11998" spans="1:15" x14ac:dyDescent="0.25">
      <c r="A11998" t="s">
        <v>16</v>
      </c>
      <c r="B11998" t="s">
        <v>3221</v>
      </c>
      <c r="C11998">
        <v>9149</v>
      </c>
      <c r="D11998" t="s">
        <v>496</v>
      </c>
      <c r="E11998" t="s">
        <v>497</v>
      </c>
      <c r="F11998">
        <v>353.38</v>
      </c>
      <c r="G11998">
        <v>230622</v>
      </c>
      <c r="H11998">
        <v>4600</v>
      </c>
      <c r="I11998" t="s">
        <v>105</v>
      </c>
      <c r="J11998">
        <v>438.19</v>
      </c>
      <c r="K11998">
        <v>84.81</v>
      </c>
      <c r="L11998">
        <v>49501</v>
      </c>
      <c r="M11998" t="s">
        <v>177</v>
      </c>
      <c r="N11998" t="str">
        <f>"8950        "</f>
        <v xml:space="preserve">8950        </v>
      </c>
      <c r="O11998">
        <v>230628</v>
      </c>
    </row>
    <row r="11999" spans="1:15" x14ac:dyDescent="0.25">
      <c r="A11999" t="s">
        <v>16</v>
      </c>
      <c r="B11999" t="s">
        <v>3221</v>
      </c>
      <c r="C11999">
        <v>9198</v>
      </c>
      <c r="D11999" t="s">
        <v>496</v>
      </c>
      <c r="E11999" t="s">
        <v>497</v>
      </c>
      <c r="F11999">
        <v>807.07</v>
      </c>
      <c r="G11999">
        <v>230626</v>
      </c>
      <c r="H11999">
        <v>4600</v>
      </c>
      <c r="I11999" t="s">
        <v>105</v>
      </c>
      <c r="J11999">
        <v>1000.77</v>
      </c>
      <c r="K11999">
        <v>193.7</v>
      </c>
      <c r="L11999">
        <v>49501</v>
      </c>
      <c r="M11999" t="s">
        <v>177</v>
      </c>
      <c r="N11999" t="str">
        <f>"8959        "</f>
        <v xml:space="preserve">8959        </v>
      </c>
      <c r="O11999">
        <v>230629</v>
      </c>
    </row>
    <row r="12000" spans="1:15" x14ac:dyDescent="0.25">
      <c r="A12000" t="s">
        <v>16</v>
      </c>
      <c r="B12000" t="s">
        <v>3221</v>
      </c>
      <c r="C12000">
        <v>14413</v>
      </c>
      <c r="D12000" t="s">
        <v>496</v>
      </c>
      <c r="E12000" t="s">
        <v>497</v>
      </c>
      <c r="F12000">
        <v>158.16</v>
      </c>
      <c r="G12000">
        <v>231020</v>
      </c>
      <c r="H12000">
        <v>4600</v>
      </c>
      <c r="I12000" t="s">
        <v>105</v>
      </c>
      <c r="J12000">
        <v>196.12</v>
      </c>
      <c r="K12000">
        <v>37.96</v>
      </c>
      <c r="L12000">
        <v>49501</v>
      </c>
      <c r="M12000" t="s">
        <v>177</v>
      </c>
      <c r="N12000" t="str">
        <f>"9579        "</f>
        <v xml:space="preserve">9579        </v>
      </c>
      <c r="O12000">
        <v>231030</v>
      </c>
    </row>
    <row r="12001" spans="1:15" x14ac:dyDescent="0.25">
      <c r="A12001" t="s">
        <v>16</v>
      </c>
      <c r="B12001" t="s">
        <v>3221</v>
      </c>
      <c r="C12001">
        <v>17422</v>
      </c>
      <c r="D12001" t="s">
        <v>496</v>
      </c>
      <c r="E12001" t="s">
        <v>497</v>
      </c>
      <c r="F12001">
        <v>41.33</v>
      </c>
      <c r="G12001">
        <v>231201</v>
      </c>
      <c r="H12001">
        <v>4600</v>
      </c>
      <c r="I12001" t="s">
        <v>105</v>
      </c>
      <c r="J12001">
        <v>51.25</v>
      </c>
      <c r="K12001">
        <v>9.92</v>
      </c>
      <c r="L12001">
        <v>46554</v>
      </c>
      <c r="M12001" t="s">
        <v>117</v>
      </c>
      <c r="N12001" t="str">
        <f>"9799        "</f>
        <v xml:space="preserve">9799        </v>
      </c>
      <c r="O12001">
        <v>231214</v>
      </c>
    </row>
    <row r="12002" spans="1:15" x14ac:dyDescent="0.25">
      <c r="A12002" t="s">
        <v>16</v>
      </c>
      <c r="B12002" t="s">
        <v>3221</v>
      </c>
      <c r="C12002">
        <v>18335</v>
      </c>
      <c r="D12002" t="s">
        <v>496</v>
      </c>
      <c r="E12002" t="s">
        <v>497</v>
      </c>
      <c r="F12002">
        <v>55.98</v>
      </c>
      <c r="G12002">
        <v>231222</v>
      </c>
      <c r="H12002">
        <v>4600</v>
      </c>
      <c r="I12002" t="s">
        <v>105</v>
      </c>
      <c r="J12002">
        <v>69.42</v>
      </c>
      <c r="K12002">
        <v>13.44</v>
      </c>
      <c r="L12002">
        <v>46554</v>
      </c>
      <c r="M12002" t="s">
        <v>117</v>
      </c>
      <c r="N12002" t="str">
        <f>"9945        "</f>
        <v xml:space="preserve">9945        </v>
      </c>
      <c r="O12002">
        <v>240103</v>
      </c>
    </row>
    <row r="12003" spans="1:15" x14ac:dyDescent="0.25">
      <c r="A12003" t="s">
        <v>16</v>
      </c>
      <c r="B12003" t="s">
        <v>3221</v>
      </c>
      <c r="C12003">
        <v>1543</v>
      </c>
      <c r="D12003" t="s">
        <v>496</v>
      </c>
      <c r="E12003" t="s">
        <v>497</v>
      </c>
      <c r="F12003">
        <v>237.71</v>
      </c>
      <c r="G12003">
        <v>230203</v>
      </c>
      <c r="H12003">
        <v>4470</v>
      </c>
      <c r="I12003" t="s">
        <v>83</v>
      </c>
      <c r="J12003">
        <v>294.76</v>
      </c>
      <c r="K12003">
        <v>57.05</v>
      </c>
      <c r="L12003">
        <v>49501</v>
      </c>
      <c r="M12003" t="s">
        <v>177</v>
      </c>
      <c r="N12003" t="str">
        <f>"8283        "</f>
        <v xml:space="preserve">8283        </v>
      </c>
      <c r="O12003">
        <v>230209</v>
      </c>
    </row>
    <row r="12004" spans="1:15" x14ac:dyDescent="0.25">
      <c r="A12004" t="s">
        <v>16</v>
      </c>
      <c r="B12004" t="s">
        <v>3221</v>
      </c>
      <c r="C12004">
        <v>375</v>
      </c>
      <c r="D12004" t="s">
        <v>496</v>
      </c>
      <c r="E12004" t="s">
        <v>497</v>
      </c>
      <c r="F12004">
        <v>106.35</v>
      </c>
      <c r="G12004">
        <v>230117</v>
      </c>
      <c r="H12004">
        <v>4390</v>
      </c>
      <c r="I12004" t="s">
        <v>98</v>
      </c>
      <c r="J12004">
        <v>131.88</v>
      </c>
      <c r="K12004">
        <v>25.53</v>
      </c>
      <c r="L12004">
        <v>49501</v>
      </c>
      <c r="M12004" t="s">
        <v>177</v>
      </c>
      <c r="N12004" t="str">
        <f>"8245        "</f>
        <v xml:space="preserve">8245        </v>
      </c>
      <c r="O12004">
        <v>230119</v>
      </c>
    </row>
    <row r="12005" spans="1:15" x14ac:dyDescent="0.25">
      <c r="A12005" t="s">
        <v>16</v>
      </c>
      <c r="B12005" t="s">
        <v>3221</v>
      </c>
      <c r="C12005">
        <v>1072</v>
      </c>
      <c r="D12005" t="s">
        <v>496</v>
      </c>
      <c r="E12005" t="s">
        <v>497</v>
      </c>
      <c r="F12005">
        <v>1861.41</v>
      </c>
      <c r="G12005">
        <v>230116</v>
      </c>
      <c r="H12005">
        <v>4390</v>
      </c>
      <c r="I12005" t="s">
        <v>98</v>
      </c>
      <c r="J12005">
        <v>2308.15</v>
      </c>
      <c r="K12005">
        <v>446.74</v>
      </c>
      <c r="L12005">
        <v>49501</v>
      </c>
      <c r="M12005" t="s">
        <v>177</v>
      </c>
      <c r="N12005" t="str">
        <f>"8208        "</f>
        <v xml:space="preserve">8208        </v>
      </c>
      <c r="O12005">
        <v>230203</v>
      </c>
    </row>
    <row r="12006" spans="1:15" x14ac:dyDescent="0.25">
      <c r="A12006" t="s">
        <v>16</v>
      </c>
      <c r="B12006" t="s">
        <v>3221</v>
      </c>
      <c r="C12006">
        <v>4363</v>
      </c>
      <c r="D12006" t="s">
        <v>496</v>
      </c>
      <c r="E12006" t="s">
        <v>497</v>
      </c>
      <c r="F12006">
        <v>188.23</v>
      </c>
      <c r="G12006">
        <v>230323</v>
      </c>
      <c r="H12006">
        <v>4390</v>
      </c>
      <c r="I12006" t="s">
        <v>98</v>
      </c>
      <c r="J12006">
        <v>233.41</v>
      </c>
      <c r="K12006">
        <v>45.18</v>
      </c>
      <c r="L12006">
        <v>49501</v>
      </c>
      <c r="M12006" t="s">
        <v>177</v>
      </c>
      <c r="N12006" t="str">
        <f>"8524        "</f>
        <v xml:space="preserve">8524        </v>
      </c>
      <c r="O12006">
        <v>230405</v>
      </c>
    </row>
    <row r="12007" spans="1:15" x14ac:dyDescent="0.25">
      <c r="A12007" t="s">
        <v>16</v>
      </c>
      <c r="B12007" t="s">
        <v>3221</v>
      </c>
      <c r="C12007">
        <v>5404</v>
      </c>
      <c r="D12007" t="s">
        <v>496</v>
      </c>
      <c r="E12007" t="s">
        <v>497</v>
      </c>
      <c r="F12007">
        <v>255.61</v>
      </c>
      <c r="G12007">
        <v>230413</v>
      </c>
      <c r="H12007">
        <v>4390</v>
      </c>
      <c r="I12007" t="s">
        <v>98</v>
      </c>
      <c r="J12007">
        <v>316.95999999999998</v>
      </c>
      <c r="K12007">
        <v>61.35</v>
      </c>
      <c r="L12007">
        <v>49501</v>
      </c>
      <c r="M12007" t="s">
        <v>177</v>
      </c>
      <c r="N12007" t="str">
        <f>"8602        "</f>
        <v xml:space="preserve">8602        </v>
      </c>
      <c r="O12007">
        <v>230424</v>
      </c>
    </row>
    <row r="12008" spans="1:15" x14ac:dyDescent="0.25">
      <c r="A12008" t="s">
        <v>16</v>
      </c>
      <c r="B12008" t="s">
        <v>3221</v>
      </c>
      <c r="C12008">
        <v>11378</v>
      </c>
      <c r="D12008" t="s">
        <v>496</v>
      </c>
      <c r="E12008" t="s">
        <v>497</v>
      </c>
      <c r="F12008">
        <v>530.80999999999995</v>
      </c>
      <c r="G12008">
        <v>230830</v>
      </c>
      <c r="H12008">
        <v>4390</v>
      </c>
      <c r="I12008" t="s">
        <v>98</v>
      </c>
      <c r="J12008">
        <v>658.21</v>
      </c>
      <c r="K12008">
        <v>127.4</v>
      </c>
      <c r="L12008">
        <v>49501</v>
      </c>
      <c r="M12008" t="s">
        <v>177</v>
      </c>
      <c r="N12008" t="str">
        <f>"9253        "</f>
        <v xml:space="preserve">9253        </v>
      </c>
      <c r="O12008">
        <v>230905</v>
      </c>
    </row>
    <row r="12009" spans="1:15" x14ac:dyDescent="0.25">
      <c r="A12009" t="s">
        <v>16</v>
      </c>
      <c r="B12009" t="s">
        <v>3221</v>
      </c>
      <c r="C12009">
        <v>2881</v>
      </c>
      <c r="D12009" t="s">
        <v>496</v>
      </c>
      <c r="E12009" t="s">
        <v>497</v>
      </c>
      <c r="F12009">
        <v>2077.9</v>
      </c>
      <c r="G12009">
        <v>230224</v>
      </c>
      <c r="H12009">
        <v>4590</v>
      </c>
      <c r="I12009" t="s">
        <v>203</v>
      </c>
      <c r="J12009">
        <v>2576.6</v>
      </c>
      <c r="K12009">
        <v>498.7</v>
      </c>
      <c r="L12009">
        <v>49501</v>
      </c>
      <c r="M12009" t="s">
        <v>177</v>
      </c>
      <c r="N12009" t="str">
        <f>"8398        "</f>
        <v xml:space="preserve">8398        </v>
      </c>
      <c r="O12009">
        <v>230308</v>
      </c>
    </row>
    <row r="12010" spans="1:15" x14ac:dyDescent="0.25">
      <c r="A12010" t="s">
        <v>16</v>
      </c>
      <c r="B12010" t="s">
        <v>3221</v>
      </c>
      <c r="C12010">
        <v>5397</v>
      </c>
      <c r="D12010" t="s">
        <v>496</v>
      </c>
      <c r="E12010" t="s">
        <v>497</v>
      </c>
      <c r="F12010">
        <v>111.65</v>
      </c>
      <c r="G12010">
        <v>230413</v>
      </c>
      <c r="H12010">
        <v>4590</v>
      </c>
      <c r="I12010" t="s">
        <v>203</v>
      </c>
      <c r="J12010">
        <v>138.44</v>
      </c>
      <c r="K12010">
        <v>26.79</v>
      </c>
      <c r="L12010">
        <v>49501</v>
      </c>
      <c r="M12010" t="s">
        <v>177</v>
      </c>
      <c r="N12010" t="str">
        <f>"8599        "</f>
        <v xml:space="preserve">8599        </v>
      </c>
      <c r="O12010">
        <v>230424</v>
      </c>
    </row>
    <row r="12011" spans="1:15" x14ac:dyDescent="0.25">
      <c r="A12011" t="s">
        <v>16</v>
      </c>
      <c r="B12011" t="s">
        <v>3221</v>
      </c>
      <c r="C12011">
        <v>6743</v>
      </c>
      <c r="D12011" t="s">
        <v>496</v>
      </c>
      <c r="E12011" t="s">
        <v>497</v>
      </c>
      <c r="F12011">
        <v>87.88</v>
      </c>
      <c r="G12011">
        <v>230509</v>
      </c>
      <c r="H12011">
        <v>4590</v>
      </c>
      <c r="I12011" t="s">
        <v>203</v>
      </c>
      <c r="J12011">
        <v>108.97</v>
      </c>
      <c r="K12011">
        <v>21.09</v>
      </c>
      <c r="L12011">
        <v>49501</v>
      </c>
      <c r="M12011" t="s">
        <v>177</v>
      </c>
      <c r="N12011" t="str">
        <f>"8702        "</f>
        <v xml:space="preserve">8702        </v>
      </c>
      <c r="O12011">
        <v>230522</v>
      </c>
    </row>
    <row r="12012" spans="1:15" x14ac:dyDescent="0.25">
      <c r="A12012" t="s">
        <v>16</v>
      </c>
      <c r="B12012" t="s">
        <v>3221</v>
      </c>
      <c r="C12012">
        <v>8325</v>
      </c>
      <c r="D12012" t="s">
        <v>496</v>
      </c>
      <c r="E12012" t="s">
        <v>497</v>
      </c>
      <c r="F12012">
        <v>130.72</v>
      </c>
      <c r="G12012">
        <v>230602</v>
      </c>
      <c r="H12012">
        <v>4590</v>
      </c>
      <c r="I12012" t="s">
        <v>203</v>
      </c>
      <c r="J12012">
        <v>162.09</v>
      </c>
      <c r="K12012">
        <v>31.37</v>
      </c>
      <c r="L12012">
        <v>49501</v>
      </c>
      <c r="M12012" t="s">
        <v>177</v>
      </c>
      <c r="N12012" t="str">
        <f>"8823        "</f>
        <v xml:space="preserve">8823        </v>
      </c>
      <c r="O12012">
        <v>230608</v>
      </c>
    </row>
    <row r="12013" spans="1:15" x14ac:dyDescent="0.25">
      <c r="A12013" t="s">
        <v>16</v>
      </c>
      <c r="B12013" t="s">
        <v>3221</v>
      </c>
      <c r="C12013">
        <v>9106</v>
      </c>
      <c r="D12013" t="s">
        <v>496</v>
      </c>
      <c r="E12013" t="s">
        <v>497</v>
      </c>
      <c r="F12013">
        <v>156.07</v>
      </c>
      <c r="G12013">
        <v>230616</v>
      </c>
      <c r="H12013">
        <v>4590</v>
      </c>
      <c r="I12013" t="s">
        <v>203</v>
      </c>
      <c r="J12013">
        <v>193.53</v>
      </c>
      <c r="K12013">
        <v>37.46</v>
      </c>
      <c r="L12013">
        <v>49501</v>
      </c>
      <c r="M12013" t="s">
        <v>177</v>
      </c>
      <c r="N12013" t="str">
        <f>"8902        "</f>
        <v xml:space="preserve">8902        </v>
      </c>
      <c r="O12013">
        <v>230627</v>
      </c>
    </row>
    <row r="12014" spans="1:15" x14ac:dyDescent="0.25">
      <c r="A12014" t="s">
        <v>16</v>
      </c>
      <c r="B12014" t="s">
        <v>3221</v>
      </c>
      <c r="C12014">
        <v>11044</v>
      </c>
      <c r="D12014" t="s">
        <v>496</v>
      </c>
      <c r="E12014" t="s">
        <v>497</v>
      </c>
      <c r="F12014">
        <v>31.8</v>
      </c>
      <c r="G12014">
        <v>230817</v>
      </c>
      <c r="H12014">
        <v>4590</v>
      </c>
      <c r="I12014" t="s">
        <v>203</v>
      </c>
      <c r="J12014">
        <v>39.43</v>
      </c>
      <c r="K12014">
        <v>7.63</v>
      </c>
      <c r="L12014">
        <v>49501</v>
      </c>
      <c r="M12014" t="s">
        <v>177</v>
      </c>
      <c r="N12014" t="str">
        <f>"9209        "</f>
        <v xml:space="preserve">9209        </v>
      </c>
      <c r="O12014">
        <v>230829</v>
      </c>
    </row>
    <row r="12015" spans="1:15" x14ac:dyDescent="0.25">
      <c r="A12015" t="s">
        <v>16</v>
      </c>
      <c r="B12015" t="s">
        <v>3221</v>
      </c>
      <c r="C12015">
        <v>13333</v>
      </c>
      <c r="D12015" t="s">
        <v>496</v>
      </c>
      <c r="E12015" t="s">
        <v>497</v>
      </c>
      <c r="F12015">
        <v>48.5</v>
      </c>
      <c r="G12015">
        <v>231006</v>
      </c>
      <c r="H12015">
        <v>4590</v>
      </c>
      <c r="I12015" t="s">
        <v>203</v>
      </c>
      <c r="J12015">
        <v>60.14</v>
      </c>
      <c r="K12015">
        <v>11.64</v>
      </c>
      <c r="L12015">
        <v>49501</v>
      </c>
      <c r="M12015" t="s">
        <v>177</v>
      </c>
      <c r="N12015" t="str">
        <f>"9490        "</f>
        <v xml:space="preserve">9490        </v>
      </c>
      <c r="O12015">
        <v>231009</v>
      </c>
    </row>
    <row r="12016" spans="1:15" x14ac:dyDescent="0.25">
      <c r="A12016" t="s">
        <v>16</v>
      </c>
      <c r="B12016" t="s">
        <v>3221</v>
      </c>
      <c r="C12016">
        <v>15769</v>
      </c>
      <c r="D12016" t="s">
        <v>496</v>
      </c>
      <c r="E12016" t="s">
        <v>497</v>
      </c>
      <c r="F12016">
        <v>274.26</v>
      </c>
      <c r="G12016">
        <v>231110</v>
      </c>
      <c r="H12016">
        <v>4590</v>
      </c>
      <c r="I12016" t="s">
        <v>203</v>
      </c>
      <c r="J12016">
        <v>340.08</v>
      </c>
      <c r="K12016">
        <v>65.819999999999993</v>
      </c>
      <c r="L12016">
        <v>49501</v>
      </c>
      <c r="M12016" t="s">
        <v>177</v>
      </c>
      <c r="N12016" t="str">
        <f>"9705        "</f>
        <v xml:space="preserve">9705        </v>
      </c>
      <c r="O12016">
        <v>231116</v>
      </c>
    </row>
    <row r="12017" spans="1:15" x14ac:dyDescent="0.25">
      <c r="A12017" t="s">
        <v>16</v>
      </c>
      <c r="B12017" t="s">
        <v>3221</v>
      </c>
      <c r="C12017">
        <v>17422</v>
      </c>
      <c r="D12017" t="s">
        <v>496</v>
      </c>
      <c r="E12017" t="s">
        <v>497</v>
      </c>
      <c r="F12017">
        <v>98.26</v>
      </c>
      <c r="G12017">
        <v>231201</v>
      </c>
      <c r="H12017">
        <v>4590</v>
      </c>
      <c r="I12017" t="s">
        <v>203</v>
      </c>
      <c r="J12017">
        <v>121.84</v>
      </c>
      <c r="K12017">
        <v>23.58</v>
      </c>
      <c r="L12017">
        <v>49501</v>
      </c>
      <c r="M12017" t="s">
        <v>177</v>
      </c>
      <c r="N12017" t="str">
        <f>"9799        "</f>
        <v xml:space="preserve">9799        </v>
      </c>
      <c r="O12017">
        <v>231214</v>
      </c>
    </row>
    <row r="12018" spans="1:15" x14ac:dyDescent="0.25">
      <c r="A12018" t="s">
        <v>16</v>
      </c>
      <c r="B12018" t="s">
        <v>3221</v>
      </c>
      <c r="C12018">
        <v>5227</v>
      </c>
      <c r="D12018" t="s">
        <v>426</v>
      </c>
      <c r="E12018" t="s">
        <v>427</v>
      </c>
      <c r="F12018">
        <v>240</v>
      </c>
      <c r="G12018">
        <v>230417</v>
      </c>
      <c r="H12018">
        <v>4580</v>
      </c>
      <c r="I12018" t="s">
        <v>35</v>
      </c>
      <c r="J12018">
        <v>297.60000000000002</v>
      </c>
      <c r="K12018">
        <v>57.6</v>
      </c>
      <c r="L12018">
        <v>66754</v>
      </c>
      <c r="M12018" t="s">
        <v>239</v>
      </c>
      <c r="N12018" t="str">
        <f>"22822       "</f>
        <v xml:space="preserve">22822       </v>
      </c>
      <c r="O12018">
        <v>230419</v>
      </c>
    </row>
    <row r="12019" spans="1:15" x14ac:dyDescent="0.25">
      <c r="A12019" t="s">
        <v>16</v>
      </c>
      <c r="B12019" t="s">
        <v>3221</v>
      </c>
      <c r="C12019">
        <v>17116</v>
      </c>
      <c r="D12019" t="s">
        <v>426</v>
      </c>
      <c r="E12019" t="s">
        <v>427</v>
      </c>
      <c r="F12019">
        <v>2220</v>
      </c>
      <c r="G12019">
        <v>231130</v>
      </c>
      <c r="H12019">
        <v>1196</v>
      </c>
      <c r="I12019" t="s">
        <v>392</v>
      </c>
      <c r="J12019">
        <v>2752.8</v>
      </c>
      <c r="K12019">
        <v>532.79999999999995</v>
      </c>
      <c r="L12019">
        <v>97501</v>
      </c>
      <c r="M12019" t="s">
        <v>393</v>
      </c>
      <c r="N12019" t="str">
        <f>"24262       "</f>
        <v xml:space="preserve">24262       </v>
      </c>
      <c r="O12019">
        <v>231212</v>
      </c>
    </row>
    <row r="12020" spans="1:15" x14ac:dyDescent="0.25">
      <c r="A12020" t="s">
        <v>16</v>
      </c>
      <c r="B12020" t="s">
        <v>3221</v>
      </c>
      <c r="C12020">
        <v>4286</v>
      </c>
      <c r="D12020" t="s">
        <v>426</v>
      </c>
      <c r="E12020" t="s">
        <v>427</v>
      </c>
      <c r="F12020">
        <v>3595</v>
      </c>
      <c r="G12020">
        <v>230327</v>
      </c>
      <c r="H12020">
        <v>4400</v>
      </c>
      <c r="I12020" t="s">
        <v>348</v>
      </c>
      <c r="J12020">
        <v>4457.8</v>
      </c>
      <c r="K12020">
        <v>862.8</v>
      </c>
      <c r="L12020">
        <v>69501</v>
      </c>
      <c r="M12020" t="s">
        <v>185</v>
      </c>
      <c r="N12020" t="str">
        <f>"22724       "</f>
        <v xml:space="preserve">22724       </v>
      </c>
      <c r="O12020">
        <v>230404</v>
      </c>
    </row>
    <row r="12021" spans="1:15" x14ac:dyDescent="0.25">
      <c r="A12021" t="s">
        <v>16</v>
      </c>
      <c r="B12021" t="s">
        <v>3221</v>
      </c>
      <c r="C12021">
        <v>12056</v>
      </c>
      <c r="D12021" t="s">
        <v>426</v>
      </c>
      <c r="E12021" t="s">
        <v>427</v>
      </c>
      <c r="F12021">
        <v>98</v>
      </c>
      <c r="G12021">
        <v>230912</v>
      </c>
      <c r="H12021">
        <v>4400</v>
      </c>
      <c r="I12021" t="s">
        <v>348</v>
      </c>
      <c r="J12021">
        <v>121.52</v>
      </c>
      <c r="K12021">
        <v>23.52</v>
      </c>
      <c r="L12021">
        <v>67554</v>
      </c>
      <c r="M12021" t="s">
        <v>60</v>
      </c>
      <c r="N12021" t="str">
        <f>"23659       "</f>
        <v xml:space="preserve">23659       </v>
      </c>
      <c r="O12021">
        <v>230913</v>
      </c>
    </row>
    <row r="12022" spans="1:15" x14ac:dyDescent="0.25">
      <c r="A12022" t="s">
        <v>16</v>
      </c>
      <c r="B12022" t="s">
        <v>3221</v>
      </c>
      <c r="C12022">
        <v>13385</v>
      </c>
      <c r="D12022" t="s">
        <v>426</v>
      </c>
      <c r="E12022" t="s">
        <v>427</v>
      </c>
      <c r="F12022">
        <v>66</v>
      </c>
      <c r="G12022">
        <v>231004</v>
      </c>
      <c r="H12022">
        <v>4400</v>
      </c>
      <c r="I12022" t="s">
        <v>348</v>
      </c>
      <c r="J12022">
        <v>81.84</v>
      </c>
      <c r="K12022">
        <v>15.84</v>
      </c>
      <c r="L12022">
        <v>69501</v>
      </c>
      <c r="M12022" t="s">
        <v>185</v>
      </c>
      <c r="N12022" t="str">
        <f>"23850       "</f>
        <v xml:space="preserve">23850       </v>
      </c>
      <c r="O12022">
        <v>231009</v>
      </c>
    </row>
    <row r="12023" spans="1:15" x14ac:dyDescent="0.25">
      <c r="A12023" t="s">
        <v>16</v>
      </c>
      <c r="B12023" t="s">
        <v>3221</v>
      </c>
      <c r="C12023">
        <v>15288</v>
      </c>
      <c r="D12023" t="s">
        <v>426</v>
      </c>
      <c r="E12023" t="s">
        <v>427</v>
      </c>
      <c r="F12023">
        <v>196.21</v>
      </c>
      <c r="G12023">
        <v>231103</v>
      </c>
      <c r="H12023">
        <v>4400</v>
      </c>
      <c r="I12023" t="s">
        <v>348</v>
      </c>
      <c r="J12023">
        <v>243.3</v>
      </c>
      <c r="K12023">
        <v>47.09</v>
      </c>
      <c r="L12023">
        <v>66754</v>
      </c>
      <c r="M12023" t="s">
        <v>239</v>
      </c>
      <c r="N12023" t="str">
        <f>"24094       "</f>
        <v xml:space="preserve">24094       </v>
      </c>
      <c r="O12023">
        <v>231110</v>
      </c>
    </row>
    <row r="12024" spans="1:15" x14ac:dyDescent="0.25">
      <c r="A12024" t="s">
        <v>16</v>
      </c>
      <c r="B12024" t="s">
        <v>3221</v>
      </c>
      <c r="C12024">
        <v>15310</v>
      </c>
      <c r="D12024" t="s">
        <v>426</v>
      </c>
      <c r="E12024" t="s">
        <v>427</v>
      </c>
      <c r="F12024">
        <v>105.19</v>
      </c>
      <c r="G12024">
        <v>231103</v>
      </c>
      <c r="H12024">
        <v>4400</v>
      </c>
      <c r="I12024" t="s">
        <v>348</v>
      </c>
      <c r="J12024">
        <v>130.43</v>
      </c>
      <c r="K12024">
        <v>25.24</v>
      </c>
      <c r="L12024">
        <v>66754</v>
      </c>
      <c r="M12024" t="s">
        <v>239</v>
      </c>
      <c r="N12024" t="str">
        <f>"24093       "</f>
        <v xml:space="preserve">24093       </v>
      </c>
      <c r="O12024">
        <v>231113</v>
      </c>
    </row>
    <row r="12025" spans="1:15" x14ac:dyDescent="0.25">
      <c r="A12025" t="s">
        <v>16</v>
      </c>
      <c r="B12025" t="s">
        <v>3221</v>
      </c>
      <c r="C12025">
        <v>15856</v>
      </c>
      <c r="D12025" t="s">
        <v>426</v>
      </c>
      <c r="E12025" t="s">
        <v>427</v>
      </c>
      <c r="F12025">
        <v>152</v>
      </c>
      <c r="G12025">
        <v>231113</v>
      </c>
      <c r="H12025">
        <v>4400</v>
      </c>
      <c r="I12025" t="s">
        <v>348</v>
      </c>
      <c r="J12025">
        <v>188.48</v>
      </c>
      <c r="K12025">
        <v>36.479999999999997</v>
      </c>
      <c r="L12025">
        <v>69501</v>
      </c>
      <c r="M12025" t="s">
        <v>185</v>
      </c>
      <c r="N12025" t="str">
        <f>"24142       "</f>
        <v xml:space="preserve">24142       </v>
      </c>
      <c r="O12025">
        <v>231120</v>
      </c>
    </row>
    <row r="12026" spans="1:15" x14ac:dyDescent="0.25">
      <c r="A12026" t="s">
        <v>16</v>
      </c>
      <c r="B12026" t="s">
        <v>3221</v>
      </c>
      <c r="C12026">
        <v>8798</v>
      </c>
      <c r="D12026" t="s">
        <v>426</v>
      </c>
      <c r="E12026" t="s">
        <v>427</v>
      </c>
      <c r="F12026">
        <v>46.65</v>
      </c>
      <c r="G12026">
        <v>230613</v>
      </c>
      <c r="H12026">
        <v>4600</v>
      </c>
      <c r="I12026" t="s">
        <v>105</v>
      </c>
      <c r="J12026">
        <v>57.85</v>
      </c>
      <c r="K12026">
        <v>11.2</v>
      </c>
      <c r="L12026">
        <v>66754</v>
      </c>
      <c r="M12026" t="s">
        <v>239</v>
      </c>
      <c r="N12026" t="str">
        <f>"23141       "</f>
        <v xml:space="preserve">23141       </v>
      </c>
      <c r="O12026">
        <v>230615</v>
      </c>
    </row>
    <row r="12027" spans="1:15" x14ac:dyDescent="0.25">
      <c r="A12027" t="s">
        <v>16</v>
      </c>
      <c r="B12027" t="s">
        <v>3221</v>
      </c>
      <c r="C12027">
        <v>8798</v>
      </c>
      <c r="D12027" t="s">
        <v>426</v>
      </c>
      <c r="E12027" t="s">
        <v>427</v>
      </c>
      <c r="F12027">
        <v>246.95</v>
      </c>
      <c r="G12027">
        <v>230613</v>
      </c>
      <c r="H12027">
        <v>4600</v>
      </c>
      <c r="I12027" t="s">
        <v>105</v>
      </c>
      <c r="J12027">
        <v>306.22000000000003</v>
      </c>
      <c r="K12027">
        <v>59.27</v>
      </c>
      <c r="L12027">
        <v>67554</v>
      </c>
      <c r="M12027" t="s">
        <v>60</v>
      </c>
      <c r="N12027" t="str">
        <f>"23141       "</f>
        <v xml:space="preserve">23141       </v>
      </c>
      <c r="O12027">
        <v>230615</v>
      </c>
    </row>
    <row r="12028" spans="1:15" x14ac:dyDescent="0.25">
      <c r="A12028" t="s">
        <v>16</v>
      </c>
      <c r="B12028" t="s">
        <v>3221</v>
      </c>
      <c r="C12028">
        <v>3924</v>
      </c>
      <c r="D12028" t="s">
        <v>426</v>
      </c>
      <c r="E12028" t="s">
        <v>427</v>
      </c>
      <c r="F12028">
        <v>24.22</v>
      </c>
      <c r="G12028">
        <v>230323</v>
      </c>
      <c r="H12028">
        <v>4555</v>
      </c>
      <c r="I12028" t="s">
        <v>481</v>
      </c>
      <c r="J12028">
        <v>30.03</v>
      </c>
      <c r="K12028">
        <v>5.81</v>
      </c>
      <c r="L12028">
        <v>69501</v>
      </c>
      <c r="M12028" t="s">
        <v>185</v>
      </c>
      <c r="N12028" t="str">
        <f>"22690       "</f>
        <v xml:space="preserve">22690       </v>
      </c>
      <c r="O12028">
        <v>230327</v>
      </c>
    </row>
    <row r="12029" spans="1:15" x14ac:dyDescent="0.25">
      <c r="A12029" t="s">
        <v>16</v>
      </c>
      <c r="B12029" t="s">
        <v>3221</v>
      </c>
      <c r="C12029">
        <v>15371</v>
      </c>
      <c r="D12029" t="s">
        <v>426</v>
      </c>
      <c r="E12029" t="s">
        <v>427</v>
      </c>
      <c r="F12029">
        <v>80.73</v>
      </c>
      <c r="G12029">
        <v>231108</v>
      </c>
      <c r="H12029">
        <v>4555</v>
      </c>
      <c r="I12029" t="s">
        <v>481</v>
      </c>
      <c r="J12029">
        <v>100.1</v>
      </c>
      <c r="K12029">
        <v>19.37</v>
      </c>
      <c r="L12029">
        <v>69501</v>
      </c>
      <c r="M12029" t="s">
        <v>185</v>
      </c>
      <c r="N12029" t="str">
        <f>"24110       "</f>
        <v xml:space="preserve">24110       </v>
      </c>
      <c r="O12029">
        <v>231113</v>
      </c>
    </row>
    <row r="12030" spans="1:15" x14ac:dyDescent="0.25">
      <c r="A12030" t="s">
        <v>16</v>
      </c>
      <c r="B12030" t="s">
        <v>3221</v>
      </c>
      <c r="C12030">
        <v>293</v>
      </c>
      <c r="D12030" t="s">
        <v>426</v>
      </c>
      <c r="E12030" t="s">
        <v>427</v>
      </c>
      <c r="F12030">
        <v>1171.31</v>
      </c>
      <c r="G12030">
        <v>230117</v>
      </c>
      <c r="H12030">
        <v>4390</v>
      </c>
      <c r="I12030" t="s">
        <v>98</v>
      </c>
      <c r="J12030">
        <v>1171.31</v>
      </c>
      <c r="K12030">
        <v>0</v>
      </c>
      <c r="L12030">
        <v>69501</v>
      </c>
      <c r="M12030" t="s">
        <v>185</v>
      </c>
      <c r="N12030" t="str">
        <f>"22331       "</f>
        <v xml:space="preserve">22331       </v>
      </c>
      <c r="O12030">
        <v>230118</v>
      </c>
    </row>
    <row r="12031" spans="1:15" x14ac:dyDescent="0.25">
      <c r="A12031" t="s">
        <v>16</v>
      </c>
      <c r="B12031" t="s">
        <v>3221</v>
      </c>
      <c r="C12031">
        <v>8154</v>
      </c>
      <c r="D12031" t="s">
        <v>426</v>
      </c>
      <c r="E12031" t="s">
        <v>427</v>
      </c>
      <c r="F12031">
        <v>895.99</v>
      </c>
      <c r="G12031">
        <v>230601</v>
      </c>
      <c r="H12031">
        <v>4390</v>
      </c>
      <c r="I12031" t="s">
        <v>98</v>
      </c>
      <c r="J12031">
        <v>895.99</v>
      </c>
      <c r="K12031">
        <v>0</v>
      </c>
      <c r="L12031">
        <v>69501</v>
      </c>
      <c r="M12031" t="s">
        <v>185</v>
      </c>
      <c r="N12031" t="str">
        <f>"23083       "</f>
        <v xml:space="preserve">23083       </v>
      </c>
      <c r="O12031">
        <v>230607</v>
      </c>
    </row>
    <row r="12032" spans="1:15" x14ac:dyDescent="0.25">
      <c r="A12032" t="s">
        <v>16</v>
      </c>
      <c r="B12032" t="s">
        <v>3221</v>
      </c>
      <c r="C12032">
        <v>10442</v>
      </c>
      <c r="D12032" t="s">
        <v>426</v>
      </c>
      <c r="E12032" t="s">
        <v>427</v>
      </c>
      <c r="F12032">
        <v>510.42</v>
      </c>
      <c r="G12032">
        <v>230815</v>
      </c>
      <c r="H12032">
        <v>4390</v>
      </c>
      <c r="I12032" t="s">
        <v>98</v>
      </c>
      <c r="J12032">
        <v>510.42</v>
      </c>
      <c r="K12032">
        <v>0</v>
      </c>
      <c r="L12032">
        <v>69501</v>
      </c>
      <c r="M12032" t="s">
        <v>185</v>
      </c>
      <c r="N12032" t="str">
        <f>"23506       "</f>
        <v xml:space="preserve">23506       </v>
      </c>
      <c r="O12032">
        <v>230816</v>
      </c>
    </row>
    <row r="12033" spans="1:15" x14ac:dyDescent="0.25">
      <c r="A12033" t="s">
        <v>16</v>
      </c>
      <c r="B12033" t="s">
        <v>3221</v>
      </c>
      <c r="C12033">
        <v>10478</v>
      </c>
      <c r="D12033" t="s">
        <v>426</v>
      </c>
      <c r="E12033" t="s">
        <v>427</v>
      </c>
      <c r="F12033">
        <v>1343.01</v>
      </c>
      <c r="G12033">
        <v>230815</v>
      </c>
      <c r="H12033">
        <v>4390</v>
      </c>
      <c r="I12033" t="s">
        <v>98</v>
      </c>
      <c r="J12033">
        <v>1343.01</v>
      </c>
      <c r="K12033">
        <v>0</v>
      </c>
      <c r="L12033">
        <v>69501</v>
      </c>
      <c r="M12033" t="s">
        <v>185</v>
      </c>
      <c r="N12033" t="str">
        <f>"23509       "</f>
        <v xml:space="preserve">23509       </v>
      </c>
      <c r="O12033">
        <v>230817</v>
      </c>
    </row>
    <row r="12034" spans="1:15" x14ac:dyDescent="0.25">
      <c r="A12034" t="s">
        <v>16</v>
      </c>
      <c r="B12034" t="s">
        <v>3221</v>
      </c>
      <c r="C12034">
        <v>11779</v>
      </c>
      <c r="D12034" t="s">
        <v>426</v>
      </c>
      <c r="E12034" t="s">
        <v>427</v>
      </c>
      <c r="F12034">
        <v>353.27</v>
      </c>
      <c r="G12034">
        <v>230905</v>
      </c>
      <c r="H12034">
        <v>4390</v>
      </c>
      <c r="I12034" t="s">
        <v>98</v>
      </c>
      <c r="J12034">
        <v>353.27</v>
      </c>
      <c r="K12034">
        <v>0</v>
      </c>
      <c r="L12034">
        <v>69501</v>
      </c>
      <c r="M12034" t="s">
        <v>185</v>
      </c>
      <c r="N12034" t="str">
        <f>"23620       "</f>
        <v xml:space="preserve">23620       </v>
      </c>
      <c r="O12034">
        <v>230911</v>
      </c>
    </row>
    <row r="12035" spans="1:15" x14ac:dyDescent="0.25">
      <c r="A12035" t="s">
        <v>16</v>
      </c>
      <c r="B12035" t="s">
        <v>3221</v>
      </c>
      <c r="C12035">
        <v>13383</v>
      </c>
      <c r="D12035" t="s">
        <v>426</v>
      </c>
      <c r="E12035" t="s">
        <v>427</v>
      </c>
      <c r="F12035">
        <v>210.81</v>
      </c>
      <c r="G12035">
        <v>231006</v>
      </c>
      <c r="H12035">
        <v>4390</v>
      </c>
      <c r="I12035" t="s">
        <v>98</v>
      </c>
      <c r="J12035">
        <v>210.81</v>
      </c>
      <c r="K12035">
        <v>0</v>
      </c>
      <c r="L12035">
        <v>69501</v>
      </c>
      <c r="M12035" t="s">
        <v>185</v>
      </c>
      <c r="N12035" t="str">
        <f>"23857       "</f>
        <v xml:space="preserve">23857       </v>
      </c>
      <c r="O12035">
        <v>231009</v>
      </c>
    </row>
    <row r="12036" spans="1:15" x14ac:dyDescent="0.25">
      <c r="A12036" t="s">
        <v>16</v>
      </c>
      <c r="B12036" t="s">
        <v>3221</v>
      </c>
      <c r="C12036">
        <v>14277</v>
      </c>
      <c r="D12036" t="s">
        <v>426</v>
      </c>
      <c r="E12036" t="s">
        <v>427</v>
      </c>
      <c r="F12036">
        <v>310.24</v>
      </c>
      <c r="G12036">
        <v>231020</v>
      </c>
      <c r="H12036">
        <v>4390</v>
      </c>
      <c r="I12036" t="s">
        <v>98</v>
      </c>
      <c r="J12036">
        <v>310.24</v>
      </c>
      <c r="K12036">
        <v>0</v>
      </c>
      <c r="L12036">
        <v>69501</v>
      </c>
      <c r="M12036" t="s">
        <v>185</v>
      </c>
      <c r="N12036" t="str">
        <f>"23980       "</f>
        <v xml:space="preserve">23980       </v>
      </c>
      <c r="O12036">
        <v>231025</v>
      </c>
    </row>
    <row r="12037" spans="1:15" x14ac:dyDescent="0.25">
      <c r="A12037" t="s">
        <v>16</v>
      </c>
      <c r="B12037" t="s">
        <v>3221</v>
      </c>
      <c r="C12037">
        <v>15850</v>
      </c>
      <c r="D12037" t="s">
        <v>426</v>
      </c>
      <c r="E12037" t="s">
        <v>427</v>
      </c>
      <c r="F12037">
        <v>875.66</v>
      </c>
      <c r="G12037">
        <v>231113</v>
      </c>
      <c r="H12037">
        <v>4390</v>
      </c>
      <c r="I12037" t="s">
        <v>98</v>
      </c>
      <c r="J12037">
        <v>875.66</v>
      </c>
      <c r="K12037">
        <v>0</v>
      </c>
      <c r="L12037">
        <v>69501</v>
      </c>
      <c r="M12037" t="s">
        <v>185</v>
      </c>
      <c r="N12037" t="str">
        <f>"24135       "</f>
        <v xml:space="preserve">24135       </v>
      </c>
      <c r="O12037">
        <v>231120</v>
      </c>
    </row>
    <row r="12038" spans="1:15" x14ac:dyDescent="0.25">
      <c r="A12038" t="s">
        <v>16</v>
      </c>
      <c r="B12038" t="s">
        <v>3221</v>
      </c>
      <c r="C12038">
        <v>16198</v>
      </c>
      <c r="D12038" t="s">
        <v>426</v>
      </c>
      <c r="E12038" t="s">
        <v>427</v>
      </c>
      <c r="F12038">
        <v>789.62</v>
      </c>
      <c r="G12038">
        <v>231123</v>
      </c>
      <c r="H12038">
        <v>4390</v>
      </c>
      <c r="I12038" t="s">
        <v>98</v>
      </c>
      <c r="J12038">
        <v>789.62</v>
      </c>
      <c r="K12038">
        <v>0</v>
      </c>
      <c r="L12038">
        <v>69501</v>
      </c>
      <c r="M12038" t="s">
        <v>185</v>
      </c>
      <c r="N12038" t="str">
        <f>"24216       "</f>
        <v xml:space="preserve">24216       </v>
      </c>
      <c r="O12038">
        <v>231127</v>
      </c>
    </row>
    <row r="12039" spans="1:15" x14ac:dyDescent="0.25">
      <c r="A12039" t="s">
        <v>16</v>
      </c>
      <c r="B12039" t="s">
        <v>3221</v>
      </c>
      <c r="C12039">
        <v>16458</v>
      </c>
      <c r="D12039" t="s">
        <v>426</v>
      </c>
      <c r="E12039" t="s">
        <v>427</v>
      </c>
      <c r="F12039">
        <v>2078.19</v>
      </c>
      <c r="G12039">
        <v>231128</v>
      </c>
      <c r="H12039">
        <v>4390</v>
      </c>
      <c r="I12039" t="s">
        <v>98</v>
      </c>
      <c r="J12039">
        <v>2078.19</v>
      </c>
      <c r="K12039">
        <v>0</v>
      </c>
      <c r="L12039">
        <v>69501</v>
      </c>
      <c r="M12039" t="s">
        <v>185</v>
      </c>
      <c r="N12039" t="str">
        <f>"24244       "</f>
        <v xml:space="preserve">24244       </v>
      </c>
      <c r="O12039">
        <v>231129</v>
      </c>
    </row>
    <row r="12040" spans="1:15" x14ac:dyDescent="0.25">
      <c r="A12040" t="s">
        <v>16</v>
      </c>
      <c r="B12040" t="s">
        <v>3221</v>
      </c>
      <c r="C12040">
        <v>17909</v>
      </c>
      <c r="D12040" t="s">
        <v>426</v>
      </c>
      <c r="E12040" t="s">
        <v>427</v>
      </c>
      <c r="F12040">
        <v>235.54</v>
      </c>
      <c r="G12040">
        <v>231218</v>
      </c>
      <c r="H12040">
        <v>4390</v>
      </c>
      <c r="I12040" t="s">
        <v>98</v>
      </c>
      <c r="J12040">
        <v>292.07</v>
      </c>
      <c r="K12040">
        <v>56.53</v>
      </c>
      <c r="L12040">
        <v>69111</v>
      </c>
      <c r="M12040" t="s">
        <v>471</v>
      </c>
      <c r="N12040" t="str">
        <f>"24351       "</f>
        <v xml:space="preserve">24351       </v>
      </c>
      <c r="O12040">
        <v>231227</v>
      </c>
    </row>
    <row r="12041" spans="1:15" x14ac:dyDescent="0.25">
      <c r="A12041" t="s">
        <v>16</v>
      </c>
      <c r="B12041" t="s">
        <v>3221</v>
      </c>
      <c r="C12041">
        <v>17998</v>
      </c>
      <c r="D12041" t="s">
        <v>426</v>
      </c>
      <c r="E12041" t="s">
        <v>427</v>
      </c>
      <c r="F12041">
        <v>446.88</v>
      </c>
      <c r="G12041">
        <v>231220</v>
      </c>
      <c r="H12041">
        <v>4390</v>
      </c>
      <c r="I12041" t="s">
        <v>98</v>
      </c>
      <c r="J12041">
        <v>554.13</v>
      </c>
      <c r="K12041">
        <v>107.25</v>
      </c>
      <c r="L12041">
        <v>69501</v>
      </c>
      <c r="M12041" t="s">
        <v>185</v>
      </c>
      <c r="N12041" t="str">
        <f>"24376       "</f>
        <v xml:space="preserve">24376       </v>
      </c>
      <c r="O12041">
        <v>231228</v>
      </c>
    </row>
    <row r="12042" spans="1:15" x14ac:dyDescent="0.25">
      <c r="A12042" t="s">
        <v>16</v>
      </c>
      <c r="B12042" t="s">
        <v>3221</v>
      </c>
      <c r="C12042">
        <v>18010</v>
      </c>
      <c r="D12042" t="s">
        <v>426</v>
      </c>
      <c r="E12042" t="s">
        <v>427</v>
      </c>
      <c r="F12042">
        <v>310.17</v>
      </c>
      <c r="G12042">
        <v>231220</v>
      </c>
      <c r="H12042">
        <v>4390</v>
      </c>
      <c r="I12042" t="s">
        <v>98</v>
      </c>
      <c r="J12042">
        <v>384.61</v>
      </c>
      <c r="K12042">
        <v>74.44</v>
      </c>
      <c r="L12042">
        <v>69111</v>
      </c>
      <c r="M12042" t="s">
        <v>471</v>
      </c>
      <c r="N12042" t="str">
        <f>"24375       "</f>
        <v xml:space="preserve">24375       </v>
      </c>
      <c r="O12042">
        <v>231228</v>
      </c>
    </row>
    <row r="12043" spans="1:15" x14ac:dyDescent="0.25">
      <c r="A12043" t="s">
        <v>16</v>
      </c>
      <c r="B12043" t="s">
        <v>3221</v>
      </c>
      <c r="C12043">
        <v>18010</v>
      </c>
      <c r="D12043" t="s">
        <v>426</v>
      </c>
      <c r="E12043" t="s">
        <v>427</v>
      </c>
      <c r="F12043">
        <v>206.78</v>
      </c>
      <c r="G12043">
        <v>231220</v>
      </c>
      <c r="H12043">
        <v>4390</v>
      </c>
      <c r="I12043" t="s">
        <v>98</v>
      </c>
      <c r="J12043">
        <v>256.41000000000003</v>
      </c>
      <c r="K12043">
        <v>49.63</v>
      </c>
      <c r="L12043">
        <v>69501</v>
      </c>
      <c r="M12043" t="s">
        <v>185</v>
      </c>
      <c r="N12043" t="str">
        <f>"24375       "</f>
        <v xml:space="preserve">24375       </v>
      </c>
      <c r="O12043">
        <v>231228</v>
      </c>
    </row>
    <row r="12044" spans="1:15" x14ac:dyDescent="0.25">
      <c r="A12044" t="s">
        <v>16</v>
      </c>
      <c r="B12044" t="s">
        <v>3221</v>
      </c>
      <c r="C12044">
        <v>18362</v>
      </c>
      <c r="D12044" t="s">
        <v>426</v>
      </c>
      <c r="E12044" t="s">
        <v>427</v>
      </c>
      <c r="F12044">
        <v>633.29</v>
      </c>
      <c r="G12044">
        <v>231228</v>
      </c>
      <c r="H12044">
        <v>4390</v>
      </c>
      <c r="I12044" t="s">
        <v>98</v>
      </c>
      <c r="J12044">
        <v>633.29</v>
      </c>
      <c r="K12044">
        <v>0</v>
      </c>
      <c r="L12044">
        <v>69501</v>
      </c>
      <c r="M12044" t="s">
        <v>185</v>
      </c>
      <c r="N12044" t="str">
        <f>"24425       "</f>
        <v xml:space="preserve">24425       </v>
      </c>
      <c r="O12044">
        <v>240103</v>
      </c>
    </row>
    <row r="12045" spans="1:15" x14ac:dyDescent="0.25">
      <c r="A12045" t="s">
        <v>16</v>
      </c>
      <c r="B12045" t="s">
        <v>3221</v>
      </c>
      <c r="C12045">
        <v>341</v>
      </c>
      <c r="D12045" t="s">
        <v>426</v>
      </c>
      <c r="E12045" t="s">
        <v>427</v>
      </c>
      <c r="F12045">
        <v>75.349999999999994</v>
      </c>
      <c r="G12045">
        <v>230117</v>
      </c>
      <c r="H12045">
        <v>4590</v>
      </c>
      <c r="I12045" t="s">
        <v>203</v>
      </c>
      <c r="J12045">
        <v>93.43</v>
      </c>
      <c r="K12045">
        <v>18.079999999999998</v>
      </c>
      <c r="L12045">
        <v>67554</v>
      </c>
      <c r="M12045" t="s">
        <v>60</v>
      </c>
      <c r="N12045" t="str">
        <f>"22335       "</f>
        <v xml:space="preserve">22335       </v>
      </c>
      <c r="O12045">
        <v>230118</v>
      </c>
    </row>
    <row r="12046" spans="1:15" x14ac:dyDescent="0.25">
      <c r="A12046" t="s">
        <v>16</v>
      </c>
      <c r="B12046" t="s">
        <v>3221</v>
      </c>
      <c r="C12046">
        <v>341</v>
      </c>
      <c r="D12046" t="s">
        <v>426</v>
      </c>
      <c r="E12046" t="s">
        <v>427</v>
      </c>
      <c r="F12046">
        <v>149.07</v>
      </c>
      <c r="G12046">
        <v>230117</v>
      </c>
      <c r="H12046">
        <v>4590</v>
      </c>
      <c r="I12046" t="s">
        <v>203</v>
      </c>
      <c r="J12046">
        <v>184.85</v>
      </c>
      <c r="K12046">
        <v>35.78</v>
      </c>
      <c r="L12046">
        <v>69111</v>
      </c>
      <c r="M12046" t="s">
        <v>471</v>
      </c>
      <c r="N12046" t="str">
        <f>"22335       "</f>
        <v xml:space="preserve">22335       </v>
      </c>
      <c r="O12046">
        <v>230118</v>
      </c>
    </row>
    <row r="12047" spans="1:15" x14ac:dyDescent="0.25">
      <c r="A12047" t="s">
        <v>16</v>
      </c>
      <c r="B12047" t="s">
        <v>3221</v>
      </c>
      <c r="C12047">
        <v>592</v>
      </c>
      <c r="D12047" t="s">
        <v>426</v>
      </c>
      <c r="E12047" t="s">
        <v>427</v>
      </c>
      <c r="F12047">
        <v>139.1</v>
      </c>
      <c r="G12047">
        <v>230123</v>
      </c>
      <c r="H12047">
        <v>4590</v>
      </c>
      <c r="I12047" t="s">
        <v>203</v>
      </c>
      <c r="J12047">
        <v>172.48</v>
      </c>
      <c r="K12047">
        <v>33.380000000000003</v>
      </c>
      <c r="L12047">
        <v>69501</v>
      </c>
      <c r="M12047" t="s">
        <v>185</v>
      </c>
      <c r="N12047" t="str">
        <f>"22374       "</f>
        <v xml:space="preserve">22374       </v>
      </c>
      <c r="O12047">
        <v>230125</v>
      </c>
    </row>
    <row r="12048" spans="1:15" x14ac:dyDescent="0.25">
      <c r="A12048" t="s">
        <v>16</v>
      </c>
      <c r="B12048" t="s">
        <v>3221</v>
      </c>
      <c r="C12048">
        <v>1680</v>
      </c>
      <c r="D12048" t="s">
        <v>426</v>
      </c>
      <c r="E12048" t="s">
        <v>427</v>
      </c>
      <c r="F12048">
        <v>261.56</v>
      </c>
      <c r="G12048">
        <v>230209</v>
      </c>
      <c r="H12048">
        <v>4590</v>
      </c>
      <c r="I12048" t="s">
        <v>203</v>
      </c>
      <c r="J12048">
        <v>324.33999999999997</v>
      </c>
      <c r="K12048">
        <v>62.78</v>
      </c>
      <c r="L12048">
        <v>69501</v>
      </c>
      <c r="M12048" t="s">
        <v>185</v>
      </c>
      <c r="N12048" t="str">
        <f>"22456       "</f>
        <v xml:space="preserve">22456       </v>
      </c>
      <c r="O12048">
        <v>230213</v>
      </c>
    </row>
    <row r="12049" spans="1:15" x14ac:dyDescent="0.25">
      <c r="A12049" t="s">
        <v>16</v>
      </c>
      <c r="B12049" t="s">
        <v>3221</v>
      </c>
      <c r="C12049">
        <v>3078</v>
      </c>
      <c r="D12049" t="s">
        <v>426</v>
      </c>
      <c r="E12049" t="s">
        <v>427</v>
      </c>
      <c r="F12049">
        <v>15.11</v>
      </c>
      <c r="G12049">
        <v>230305</v>
      </c>
      <c r="H12049">
        <v>4590</v>
      </c>
      <c r="I12049" t="s">
        <v>203</v>
      </c>
      <c r="J12049">
        <v>18.739999999999998</v>
      </c>
      <c r="K12049">
        <v>3.63</v>
      </c>
      <c r="L12049">
        <v>66756</v>
      </c>
      <c r="M12049" t="s">
        <v>209</v>
      </c>
      <c r="N12049" t="str">
        <f>"22589       "</f>
        <v xml:space="preserve">22589       </v>
      </c>
      <c r="O12049">
        <v>230309</v>
      </c>
    </row>
    <row r="12050" spans="1:15" x14ac:dyDescent="0.25">
      <c r="A12050" t="s">
        <v>16</v>
      </c>
      <c r="B12050" t="s">
        <v>3221</v>
      </c>
      <c r="C12050">
        <v>3078</v>
      </c>
      <c r="D12050" t="s">
        <v>426</v>
      </c>
      <c r="E12050" t="s">
        <v>427</v>
      </c>
      <c r="F12050">
        <v>149.88</v>
      </c>
      <c r="G12050">
        <v>230305</v>
      </c>
      <c r="H12050">
        <v>4590</v>
      </c>
      <c r="I12050" t="s">
        <v>203</v>
      </c>
      <c r="J12050">
        <v>185.85</v>
      </c>
      <c r="K12050">
        <v>35.97</v>
      </c>
      <c r="L12050">
        <v>69501</v>
      </c>
      <c r="M12050" t="s">
        <v>185</v>
      </c>
      <c r="N12050" t="str">
        <f>"22589       "</f>
        <v xml:space="preserve">22589       </v>
      </c>
      <c r="O12050">
        <v>230309</v>
      </c>
    </row>
    <row r="12051" spans="1:15" x14ac:dyDescent="0.25">
      <c r="A12051" t="s">
        <v>16</v>
      </c>
      <c r="B12051" t="s">
        <v>3221</v>
      </c>
      <c r="C12051">
        <v>3924</v>
      </c>
      <c r="D12051" t="s">
        <v>426</v>
      </c>
      <c r="E12051" t="s">
        <v>427</v>
      </c>
      <c r="F12051">
        <v>64.59</v>
      </c>
      <c r="G12051">
        <v>230323</v>
      </c>
      <c r="H12051">
        <v>4590</v>
      </c>
      <c r="I12051" t="s">
        <v>203</v>
      </c>
      <c r="J12051">
        <v>80.09</v>
      </c>
      <c r="K12051">
        <v>15.5</v>
      </c>
      <c r="L12051">
        <v>66754</v>
      </c>
      <c r="M12051" t="s">
        <v>239</v>
      </c>
      <c r="N12051" t="str">
        <f>"22690       "</f>
        <v xml:space="preserve">22690       </v>
      </c>
      <c r="O12051">
        <v>230327</v>
      </c>
    </row>
    <row r="12052" spans="1:15" x14ac:dyDescent="0.25">
      <c r="A12052" t="s">
        <v>16</v>
      </c>
      <c r="B12052" t="s">
        <v>3221</v>
      </c>
      <c r="C12052">
        <v>3924</v>
      </c>
      <c r="D12052" t="s">
        <v>426</v>
      </c>
      <c r="E12052" t="s">
        <v>427</v>
      </c>
      <c r="F12052">
        <v>15.09</v>
      </c>
      <c r="G12052">
        <v>230323</v>
      </c>
      <c r="H12052">
        <v>4590</v>
      </c>
      <c r="I12052" t="s">
        <v>203</v>
      </c>
      <c r="J12052">
        <v>18.71</v>
      </c>
      <c r="K12052">
        <v>3.62</v>
      </c>
      <c r="L12052">
        <v>67554</v>
      </c>
      <c r="M12052" t="s">
        <v>60</v>
      </c>
      <c r="N12052" t="str">
        <f>"22690       "</f>
        <v xml:space="preserve">22690       </v>
      </c>
      <c r="O12052">
        <v>230327</v>
      </c>
    </row>
    <row r="12053" spans="1:15" x14ac:dyDescent="0.25">
      <c r="A12053" t="s">
        <v>16</v>
      </c>
      <c r="B12053" t="s">
        <v>3221</v>
      </c>
      <c r="C12053">
        <v>5494</v>
      </c>
      <c r="D12053" t="s">
        <v>426</v>
      </c>
      <c r="E12053" t="s">
        <v>427</v>
      </c>
      <c r="F12053">
        <v>66.31</v>
      </c>
      <c r="G12053">
        <v>230424</v>
      </c>
      <c r="H12053">
        <v>4590</v>
      </c>
      <c r="I12053" t="s">
        <v>203</v>
      </c>
      <c r="J12053">
        <v>82.22</v>
      </c>
      <c r="K12053">
        <v>15.91</v>
      </c>
      <c r="L12053">
        <v>69501</v>
      </c>
      <c r="M12053" t="s">
        <v>185</v>
      </c>
      <c r="N12053" t="str">
        <f>"22872       "</f>
        <v xml:space="preserve">22872       </v>
      </c>
      <c r="O12053">
        <v>230426</v>
      </c>
    </row>
    <row r="12054" spans="1:15" x14ac:dyDescent="0.25">
      <c r="A12054" t="s">
        <v>16</v>
      </c>
      <c r="B12054" t="s">
        <v>3221</v>
      </c>
      <c r="C12054">
        <v>7436</v>
      </c>
      <c r="D12054" t="s">
        <v>426</v>
      </c>
      <c r="E12054" t="s">
        <v>427</v>
      </c>
      <c r="F12054">
        <v>191.23</v>
      </c>
      <c r="G12054">
        <v>230529</v>
      </c>
      <c r="H12054">
        <v>4590</v>
      </c>
      <c r="I12054" t="s">
        <v>203</v>
      </c>
      <c r="J12054">
        <v>237.13</v>
      </c>
      <c r="K12054">
        <v>45.9</v>
      </c>
      <c r="L12054">
        <v>69501</v>
      </c>
      <c r="M12054" t="s">
        <v>185</v>
      </c>
      <c r="N12054" t="str">
        <f>"23054       "</f>
        <v xml:space="preserve">23054       </v>
      </c>
      <c r="O12054">
        <v>230530</v>
      </c>
    </row>
    <row r="12055" spans="1:15" x14ac:dyDescent="0.25">
      <c r="A12055" t="s">
        <v>16</v>
      </c>
      <c r="B12055" t="s">
        <v>3221</v>
      </c>
      <c r="C12055">
        <v>11609</v>
      </c>
      <c r="D12055" t="s">
        <v>426</v>
      </c>
      <c r="E12055" t="s">
        <v>427</v>
      </c>
      <c r="F12055">
        <v>163.98</v>
      </c>
      <c r="G12055">
        <v>230901</v>
      </c>
      <c r="H12055">
        <v>4590</v>
      </c>
      <c r="I12055" t="s">
        <v>203</v>
      </c>
      <c r="J12055">
        <v>203.34</v>
      </c>
      <c r="K12055">
        <v>39.36</v>
      </c>
      <c r="L12055">
        <v>69501</v>
      </c>
      <c r="M12055" t="s">
        <v>185</v>
      </c>
      <c r="N12055" t="str">
        <f>"23609       "</f>
        <v xml:space="preserve">23609       </v>
      </c>
      <c r="O12055">
        <v>230907</v>
      </c>
    </row>
    <row r="12056" spans="1:15" x14ac:dyDescent="0.25">
      <c r="A12056" t="s">
        <v>16</v>
      </c>
      <c r="B12056" t="s">
        <v>3221</v>
      </c>
      <c r="C12056">
        <v>12848</v>
      </c>
      <c r="D12056" t="s">
        <v>426</v>
      </c>
      <c r="E12056" t="s">
        <v>427</v>
      </c>
      <c r="F12056">
        <v>172.4</v>
      </c>
      <c r="G12056">
        <v>230925</v>
      </c>
      <c r="H12056">
        <v>4590</v>
      </c>
      <c r="I12056" t="s">
        <v>203</v>
      </c>
      <c r="J12056">
        <v>213.77</v>
      </c>
      <c r="K12056">
        <v>41.37</v>
      </c>
      <c r="L12056">
        <v>69111</v>
      </c>
      <c r="M12056" t="s">
        <v>471</v>
      </c>
      <c r="N12056" t="str">
        <f>"23784       "</f>
        <v xml:space="preserve">23784       </v>
      </c>
      <c r="O12056">
        <v>230928</v>
      </c>
    </row>
    <row r="12057" spans="1:15" x14ac:dyDescent="0.25">
      <c r="A12057" t="s">
        <v>16</v>
      </c>
      <c r="B12057" t="s">
        <v>3221</v>
      </c>
      <c r="C12057">
        <v>12848</v>
      </c>
      <c r="D12057" t="s">
        <v>426</v>
      </c>
      <c r="E12057" t="s">
        <v>427</v>
      </c>
      <c r="F12057">
        <v>278.22000000000003</v>
      </c>
      <c r="G12057">
        <v>230925</v>
      </c>
      <c r="H12057">
        <v>4590</v>
      </c>
      <c r="I12057" t="s">
        <v>203</v>
      </c>
      <c r="J12057">
        <v>344.99</v>
      </c>
      <c r="K12057">
        <v>66.77</v>
      </c>
      <c r="L12057">
        <v>69501</v>
      </c>
      <c r="M12057" t="s">
        <v>185</v>
      </c>
      <c r="N12057" t="str">
        <f>"23784       "</f>
        <v xml:space="preserve">23784       </v>
      </c>
      <c r="O12057">
        <v>230928</v>
      </c>
    </row>
    <row r="12058" spans="1:15" x14ac:dyDescent="0.25">
      <c r="A12058" t="s">
        <v>16</v>
      </c>
      <c r="B12058" t="s">
        <v>3221</v>
      </c>
      <c r="C12058">
        <v>13381</v>
      </c>
      <c r="D12058" t="s">
        <v>426</v>
      </c>
      <c r="E12058" t="s">
        <v>427</v>
      </c>
      <c r="F12058">
        <v>358.79</v>
      </c>
      <c r="G12058">
        <v>231006</v>
      </c>
      <c r="H12058">
        <v>4590</v>
      </c>
      <c r="I12058" t="s">
        <v>203</v>
      </c>
      <c r="J12058">
        <v>444.9</v>
      </c>
      <c r="K12058">
        <v>86.11</v>
      </c>
      <c r="L12058">
        <v>69111</v>
      </c>
      <c r="M12058" t="s">
        <v>471</v>
      </c>
      <c r="N12058" t="str">
        <f>"23862       "</f>
        <v xml:space="preserve">23862       </v>
      </c>
      <c r="O12058">
        <v>231009</v>
      </c>
    </row>
    <row r="12059" spans="1:15" x14ac:dyDescent="0.25">
      <c r="A12059" t="s">
        <v>16</v>
      </c>
      <c r="B12059" t="s">
        <v>3221</v>
      </c>
      <c r="C12059">
        <v>13381</v>
      </c>
      <c r="D12059" t="s">
        <v>426</v>
      </c>
      <c r="E12059" t="s">
        <v>427</v>
      </c>
      <c r="F12059">
        <v>331.01</v>
      </c>
      <c r="G12059">
        <v>231006</v>
      </c>
      <c r="H12059">
        <v>4590</v>
      </c>
      <c r="I12059" t="s">
        <v>203</v>
      </c>
      <c r="J12059">
        <v>410.45</v>
      </c>
      <c r="K12059">
        <v>79.44</v>
      </c>
      <c r="L12059">
        <v>69501</v>
      </c>
      <c r="M12059" t="s">
        <v>185</v>
      </c>
      <c r="N12059" t="str">
        <f>"23862       "</f>
        <v xml:space="preserve">23862       </v>
      </c>
      <c r="O12059">
        <v>231009</v>
      </c>
    </row>
    <row r="12060" spans="1:15" x14ac:dyDescent="0.25">
      <c r="A12060" t="s">
        <v>16</v>
      </c>
      <c r="B12060" t="s">
        <v>3221</v>
      </c>
      <c r="C12060">
        <v>13995</v>
      </c>
      <c r="D12060" t="s">
        <v>426</v>
      </c>
      <c r="E12060" t="s">
        <v>427</v>
      </c>
      <c r="F12060">
        <v>119.43</v>
      </c>
      <c r="G12060">
        <v>231011</v>
      </c>
      <c r="H12060">
        <v>4590</v>
      </c>
      <c r="I12060" t="s">
        <v>203</v>
      </c>
      <c r="J12060">
        <v>148.09</v>
      </c>
      <c r="K12060">
        <v>28.66</v>
      </c>
      <c r="L12060">
        <v>66756</v>
      </c>
      <c r="M12060" t="s">
        <v>209</v>
      </c>
      <c r="N12060" t="str">
        <f>"23896       "</f>
        <v xml:space="preserve">23896       </v>
      </c>
      <c r="O12060">
        <v>231017</v>
      </c>
    </row>
    <row r="12061" spans="1:15" x14ac:dyDescent="0.25">
      <c r="A12061" t="s">
        <v>16</v>
      </c>
      <c r="B12061" t="s">
        <v>3221</v>
      </c>
      <c r="C12061">
        <v>13995</v>
      </c>
      <c r="D12061" t="s">
        <v>426</v>
      </c>
      <c r="E12061" t="s">
        <v>427</v>
      </c>
      <c r="F12061">
        <v>129.69</v>
      </c>
      <c r="G12061">
        <v>231011</v>
      </c>
      <c r="H12061">
        <v>4590</v>
      </c>
      <c r="I12061" t="s">
        <v>203</v>
      </c>
      <c r="J12061">
        <v>160.82</v>
      </c>
      <c r="K12061">
        <v>31.13</v>
      </c>
      <c r="L12061">
        <v>69501</v>
      </c>
      <c r="M12061" t="s">
        <v>185</v>
      </c>
      <c r="N12061" t="str">
        <f>"23896       "</f>
        <v xml:space="preserve">23896       </v>
      </c>
      <c r="O12061">
        <v>231017</v>
      </c>
    </row>
    <row r="12062" spans="1:15" x14ac:dyDescent="0.25">
      <c r="A12062" t="s">
        <v>16</v>
      </c>
      <c r="B12062" t="s">
        <v>3221</v>
      </c>
      <c r="C12062">
        <v>14278</v>
      </c>
      <c r="D12062" t="s">
        <v>426</v>
      </c>
      <c r="E12062" t="s">
        <v>427</v>
      </c>
      <c r="F12062">
        <v>162.18</v>
      </c>
      <c r="G12062">
        <v>231020</v>
      </c>
      <c r="H12062">
        <v>4590</v>
      </c>
      <c r="I12062" t="s">
        <v>203</v>
      </c>
      <c r="J12062">
        <v>201.1</v>
      </c>
      <c r="K12062">
        <v>38.92</v>
      </c>
      <c r="L12062">
        <v>66756</v>
      </c>
      <c r="M12062" t="s">
        <v>209</v>
      </c>
      <c r="N12062" t="str">
        <f>"23981       "</f>
        <v xml:space="preserve">23981       </v>
      </c>
      <c r="O12062">
        <v>231025</v>
      </c>
    </row>
    <row r="12063" spans="1:15" x14ac:dyDescent="0.25">
      <c r="A12063" t="s">
        <v>16</v>
      </c>
      <c r="B12063" t="s">
        <v>3221</v>
      </c>
      <c r="C12063">
        <v>14486</v>
      </c>
      <c r="D12063" t="s">
        <v>426</v>
      </c>
      <c r="E12063" t="s">
        <v>427</v>
      </c>
      <c r="F12063">
        <v>126.33</v>
      </c>
      <c r="G12063">
        <v>231027</v>
      </c>
      <c r="H12063">
        <v>4590</v>
      </c>
      <c r="I12063" t="s">
        <v>203</v>
      </c>
      <c r="J12063">
        <v>156.65</v>
      </c>
      <c r="K12063">
        <v>30.32</v>
      </c>
      <c r="L12063">
        <v>69501</v>
      </c>
      <c r="M12063" t="s">
        <v>185</v>
      </c>
      <c r="N12063" t="str">
        <f>"24022       "</f>
        <v xml:space="preserve">24022       </v>
      </c>
      <c r="O12063">
        <v>231030</v>
      </c>
    </row>
    <row r="12064" spans="1:15" x14ac:dyDescent="0.25">
      <c r="A12064" t="s">
        <v>16</v>
      </c>
      <c r="B12064" t="s">
        <v>3221</v>
      </c>
      <c r="C12064">
        <v>15371</v>
      </c>
      <c r="D12064" t="s">
        <v>426</v>
      </c>
      <c r="E12064" t="s">
        <v>427</v>
      </c>
      <c r="F12064">
        <v>115.47</v>
      </c>
      <c r="G12064">
        <v>231108</v>
      </c>
      <c r="H12064">
        <v>4590</v>
      </c>
      <c r="I12064" t="s">
        <v>203</v>
      </c>
      <c r="J12064">
        <v>143.18</v>
      </c>
      <c r="K12064">
        <v>27.71</v>
      </c>
      <c r="L12064">
        <v>69501</v>
      </c>
      <c r="M12064" t="s">
        <v>185</v>
      </c>
      <c r="N12064" t="str">
        <f>"24110       "</f>
        <v xml:space="preserve">24110       </v>
      </c>
      <c r="O12064">
        <v>231113</v>
      </c>
    </row>
    <row r="12065" spans="1:15" x14ac:dyDescent="0.25">
      <c r="A12065" t="s">
        <v>16</v>
      </c>
      <c r="B12065" t="s">
        <v>3221</v>
      </c>
      <c r="C12065">
        <v>15996</v>
      </c>
      <c r="D12065" t="s">
        <v>426</v>
      </c>
      <c r="E12065" t="s">
        <v>427</v>
      </c>
      <c r="F12065">
        <v>87.48</v>
      </c>
      <c r="G12065">
        <v>231120</v>
      </c>
      <c r="H12065">
        <v>4590</v>
      </c>
      <c r="I12065" t="s">
        <v>203</v>
      </c>
      <c r="J12065">
        <v>108.47</v>
      </c>
      <c r="K12065">
        <v>20.99</v>
      </c>
      <c r="L12065">
        <v>69111</v>
      </c>
      <c r="M12065" t="s">
        <v>471</v>
      </c>
      <c r="N12065" t="str">
        <f>"24187       "</f>
        <v xml:space="preserve">24187       </v>
      </c>
      <c r="O12065">
        <v>231122</v>
      </c>
    </row>
    <row r="12066" spans="1:15" x14ac:dyDescent="0.25">
      <c r="A12066" t="s">
        <v>16</v>
      </c>
      <c r="B12066" t="s">
        <v>3221</v>
      </c>
      <c r="C12066">
        <v>15996</v>
      </c>
      <c r="D12066" t="s">
        <v>426</v>
      </c>
      <c r="E12066" t="s">
        <v>427</v>
      </c>
      <c r="F12066">
        <v>90.3</v>
      </c>
      <c r="G12066">
        <v>231120</v>
      </c>
      <c r="H12066">
        <v>4590</v>
      </c>
      <c r="I12066" t="s">
        <v>203</v>
      </c>
      <c r="J12066">
        <v>111.97</v>
      </c>
      <c r="K12066">
        <v>21.67</v>
      </c>
      <c r="L12066">
        <v>69501</v>
      </c>
      <c r="M12066" t="s">
        <v>185</v>
      </c>
      <c r="N12066" t="str">
        <f>"24187       "</f>
        <v xml:space="preserve">24187       </v>
      </c>
      <c r="O12066">
        <v>231122</v>
      </c>
    </row>
    <row r="12067" spans="1:15" x14ac:dyDescent="0.25">
      <c r="A12067" t="s">
        <v>16</v>
      </c>
      <c r="B12067" t="s">
        <v>3221</v>
      </c>
      <c r="C12067">
        <v>17996</v>
      </c>
      <c r="D12067" t="s">
        <v>426</v>
      </c>
      <c r="E12067" t="s">
        <v>427</v>
      </c>
      <c r="F12067">
        <v>41.22</v>
      </c>
      <c r="G12067">
        <v>231220</v>
      </c>
      <c r="H12067">
        <v>4590</v>
      </c>
      <c r="I12067" t="s">
        <v>203</v>
      </c>
      <c r="J12067">
        <v>51.11</v>
      </c>
      <c r="K12067">
        <v>9.89</v>
      </c>
      <c r="L12067">
        <v>69501</v>
      </c>
      <c r="M12067" t="s">
        <v>185</v>
      </c>
      <c r="N12067" t="str">
        <f>"24374       "</f>
        <v xml:space="preserve">24374       </v>
      </c>
      <c r="O12067">
        <v>231228</v>
      </c>
    </row>
    <row r="12068" spans="1:15" x14ac:dyDescent="0.25">
      <c r="A12068" t="s">
        <v>16</v>
      </c>
      <c r="B12068" t="s">
        <v>3221</v>
      </c>
      <c r="C12068">
        <v>1680</v>
      </c>
      <c r="D12068" t="s">
        <v>426</v>
      </c>
      <c r="E12068" t="s">
        <v>427</v>
      </c>
      <c r="F12068">
        <v>69.98</v>
      </c>
      <c r="G12068">
        <v>230209</v>
      </c>
      <c r="H12068">
        <v>4550</v>
      </c>
      <c r="I12068" t="s">
        <v>312</v>
      </c>
      <c r="J12068">
        <v>86.77</v>
      </c>
      <c r="K12068">
        <v>16.79</v>
      </c>
      <c r="L12068">
        <v>69501</v>
      </c>
      <c r="M12068" t="s">
        <v>185</v>
      </c>
      <c r="N12068" t="str">
        <f>"22456       "</f>
        <v xml:space="preserve">22456       </v>
      </c>
      <c r="O12068">
        <v>230213</v>
      </c>
    </row>
    <row r="12069" spans="1:15" x14ac:dyDescent="0.25">
      <c r="A12069" t="s">
        <v>16</v>
      </c>
      <c r="B12069" t="s">
        <v>3221</v>
      </c>
      <c r="C12069">
        <v>19114</v>
      </c>
      <c r="D12069" t="s">
        <v>3165</v>
      </c>
      <c r="E12069" t="s">
        <v>3166</v>
      </c>
      <c r="F12069">
        <v>1633.8</v>
      </c>
      <c r="G12069">
        <v>231231</v>
      </c>
      <c r="H12069">
        <v>1196</v>
      </c>
      <c r="I12069" t="s">
        <v>392</v>
      </c>
      <c r="J12069">
        <v>2025.91</v>
      </c>
      <c r="K12069">
        <v>392.11</v>
      </c>
      <c r="L12069">
        <v>95501</v>
      </c>
      <c r="M12069" t="s">
        <v>623</v>
      </c>
      <c r="N12069" t="str">
        <f>"2002        "</f>
        <v xml:space="preserve">2002        </v>
      </c>
      <c r="O12069">
        <v>240110</v>
      </c>
    </row>
    <row r="12070" spans="1:15" x14ac:dyDescent="0.25">
      <c r="A12070" t="s">
        <v>16</v>
      </c>
      <c r="B12070" t="s">
        <v>3221</v>
      </c>
      <c r="C12070">
        <v>17601</v>
      </c>
      <c r="D12070" t="s">
        <v>3077</v>
      </c>
      <c r="E12070" t="s">
        <v>3078</v>
      </c>
      <c r="F12070">
        <v>52.06</v>
      </c>
      <c r="G12070">
        <v>231211</v>
      </c>
      <c r="H12070">
        <v>4580</v>
      </c>
      <c r="I12070" t="s">
        <v>35</v>
      </c>
      <c r="J12070">
        <v>64.56</v>
      </c>
      <c r="K12070">
        <v>12.5</v>
      </c>
      <c r="L12070">
        <v>17804</v>
      </c>
      <c r="M12070" t="s">
        <v>549</v>
      </c>
      <c r="N12070" t="str">
        <f>"67401       "</f>
        <v xml:space="preserve">67401       </v>
      </c>
      <c r="O12070">
        <v>231215</v>
      </c>
    </row>
    <row r="12071" spans="1:15" x14ac:dyDescent="0.25">
      <c r="A12071" t="s">
        <v>16</v>
      </c>
      <c r="B12071" t="s">
        <v>3221</v>
      </c>
      <c r="C12071">
        <v>17603</v>
      </c>
      <c r="D12071" t="s">
        <v>3077</v>
      </c>
      <c r="E12071" t="s">
        <v>3078</v>
      </c>
      <c r="F12071">
        <v>1095</v>
      </c>
      <c r="G12071">
        <v>231211</v>
      </c>
      <c r="H12071">
        <v>4390</v>
      </c>
      <c r="I12071" t="s">
        <v>98</v>
      </c>
      <c r="J12071">
        <v>1095</v>
      </c>
      <c r="K12071">
        <v>0</v>
      </c>
      <c r="L12071">
        <v>17535</v>
      </c>
      <c r="M12071" t="s">
        <v>357</v>
      </c>
      <c r="N12071" t="str">
        <f>"67428       "</f>
        <v xml:space="preserve">67428       </v>
      </c>
      <c r="O12071">
        <v>231215</v>
      </c>
    </row>
    <row r="12072" spans="1:15" x14ac:dyDescent="0.25">
      <c r="A12072" t="s">
        <v>16</v>
      </c>
      <c r="B12072" t="s">
        <v>3221</v>
      </c>
      <c r="C12072">
        <v>598</v>
      </c>
      <c r="D12072" t="s">
        <v>631</v>
      </c>
      <c r="E12072" t="s">
        <v>632</v>
      </c>
      <c r="F12072">
        <v>175.33</v>
      </c>
      <c r="G12072">
        <v>230123</v>
      </c>
      <c r="H12072">
        <v>4400</v>
      </c>
      <c r="I12072" t="s">
        <v>348</v>
      </c>
      <c r="J12072">
        <v>217.41</v>
      </c>
      <c r="K12072">
        <v>42.08</v>
      </c>
      <c r="L12072">
        <v>59504</v>
      </c>
      <c r="M12072" t="s">
        <v>71</v>
      </c>
      <c r="N12072" t="str">
        <f>"32701       "</f>
        <v xml:space="preserve">32701       </v>
      </c>
      <c r="O12072">
        <v>230125</v>
      </c>
    </row>
    <row r="12073" spans="1:15" x14ac:dyDescent="0.25">
      <c r="A12073" t="s">
        <v>16</v>
      </c>
      <c r="B12073" t="s">
        <v>3221</v>
      </c>
      <c r="C12073">
        <v>600</v>
      </c>
      <c r="D12073" t="s">
        <v>631</v>
      </c>
      <c r="E12073" t="s">
        <v>632</v>
      </c>
      <c r="F12073">
        <v>302.43</v>
      </c>
      <c r="G12073">
        <v>230123</v>
      </c>
      <c r="H12073">
        <v>4400</v>
      </c>
      <c r="I12073" t="s">
        <v>348</v>
      </c>
      <c r="J12073">
        <v>375.01</v>
      </c>
      <c r="K12073">
        <v>72.58</v>
      </c>
      <c r="L12073">
        <v>59504</v>
      </c>
      <c r="M12073" t="s">
        <v>71</v>
      </c>
      <c r="N12073" t="str">
        <f>"32704       "</f>
        <v xml:space="preserve">32704       </v>
      </c>
      <c r="O12073">
        <v>230125</v>
      </c>
    </row>
    <row r="12074" spans="1:15" x14ac:dyDescent="0.25">
      <c r="A12074" t="s">
        <v>16</v>
      </c>
      <c r="B12074" t="s">
        <v>3221</v>
      </c>
      <c r="C12074">
        <v>1164</v>
      </c>
      <c r="D12074" t="s">
        <v>631</v>
      </c>
      <c r="E12074" t="s">
        <v>632</v>
      </c>
      <c r="F12074">
        <v>132.21</v>
      </c>
      <c r="G12074">
        <v>230201</v>
      </c>
      <c r="H12074">
        <v>4600</v>
      </c>
      <c r="I12074" t="s">
        <v>105</v>
      </c>
      <c r="J12074">
        <v>163.94</v>
      </c>
      <c r="K12074">
        <v>31.73</v>
      </c>
      <c r="L12074">
        <v>59501</v>
      </c>
      <c r="M12074" t="s">
        <v>69</v>
      </c>
      <c r="N12074" t="str">
        <f>"32730       "</f>
        <v xml:space="preserve">32730       </v>
      </c>
      <c r="O12074">
        <v>230206</v>
      </c>
    </row>
    <row r="12075" spans="1:15" x14ac:dyDescent="0.25">
      <c r="A12075" t="s">
        <v>16</v>
      </c>
      <c r="B12075" t="s">
        <v>3221</v>
      </c>
      <c r="C12075">
        <v>1864</v>
      </c>
      <c r="D12075" t="s">
        <v>631</v>
      </c>
      <c r="E12075" t="s">
        <v>632</v>
      </c>
      <c r="F12075">
        <v>94.45</v>
      </c>
      <c r="G12075">
        <v>230214</v>
      </c>
      <c r="H12075">
        <v>4600</v>
      </c>
      <c r="I12075" t="s">
        <v>105</v>
      </c>
      <c r="J12075">
        <v>117.12</v>
      </c>
      <c r="K12075">
        <v>22.67</v>
      </c>
      <c r="L12075">
        <v>59501</v>
      </c>
      <c r="M12075" t="s">
        <v>69</v>
      </c>
      <c r="N12075" t="str">
        <f>"32778       "</f>
        <v xml:space="preserve">32778       </v>
      </c>
      <c r="O12075">
        <v>230215</v>
      </c>
    </row>
    <row r="12076" spans="1:15" x14ac:dyDescent="0.25">
      <c r="A12076" t="s">
        <v>16</v>
      </c>
      <c r="B12076" t="s">
        <v>3221</v>
      </c>
      <c r="C12076">
        <v>1865</v>
      </c>
      <c r="D12076" t="s">
        <v>631</v>
      </c>
      <c r="E12076" t="s">
        <v>632</v>
      </c>
      <c r="F12076">
        <v>73.05</v>
      </c>
      <c r="G12076">
        <v>230214</v>
      </c>
      <c r="H12076">
        <v>4600</v>
      </c>
      <c r="I12076" t="s">
        <v>105</v>
      </c>
      <c r="J12076">
        <v>90.58</v>
      </c>
      <c r="K12076">
        <v>17.53</v>
      </c>
      <c r="L12076">
        <v>59502</v>
      </c>
      <c r="M12076" t="s">
        <v>70</v>
      </c>
      <c r="N12076" t="str">
        <f>"32777       "</f>
        <v xml:space="preserve">32777       </v>
      </c>
      <c r="O12076">
        <v>230215</v>
      </c>
    </row>
    <row r="12077" spans="1:15" x14ac:dyDescent="0.25">
      <c r="A12077" t="s">
        <v>16</v>
      </c>
      <c r="B12077" t="s">
        <v>3221</v>
      </c>
      <c r="C12077">
        <v>3517</v>
      </c>
      <c r="D12077" t="s">
        <v>631</v>
      </c>
      <c r="E12077" t="s">
        <v>632</v>
      </c>
      <c r="F12077">
        <v>87.35</v>
      </c>
      <c r="G12077">
        <v>230309</v>
      </c>
      <c r="H12077">
        <v>4600</v>
      </c>
      <c r="I12077" t="s">
        <v>105</v>
      </c>
      <c r="J12077">
        <v>108.32</v>
      </c>
      <c r="K12077">
        <v>20.97</v>
      </c>
      <c r="L12077">
        <v>59501</v>
      </c>
      <c r="M12077" t="s">
        <v>69</v>
      </c>
      <c r="N12077" t="str">
        <f>"32849       "</f>
        <v xml:space="preserve">32849       </v>
      </c>
      <c r="O12077">
        <v>230316</v>
      </c>
    </row>
    <row r="12078" spans="1:15" x14ac:dyDescent="0.25">
      <c r="A12078" t="s">
        <v>16</v>
      </c>
      <c r="B12078" t="s">
        <v>3221</v>
      </c>
      <c r="C12078">
        <v>3614</v>
      </c>
      <c r="D12078" t="s">
        <v>631</v>
      </c>
      <c r="E12078" t="s">
        <v>632</v>
      </c>
      <c r="F12078">
        <v>61.98</v>
      </c>
      <c r="G12078">
        <v>230316</v>
      </c>
      <c r="H12078">
        <v>4600</v>
      </c>
      <c r="I12078" t="s">
        <v>105</v>
      </c>
      <c r="J12078">
        <v>76.86</v>
      </c>
      <c r="K12078">
        <v>14.88</v>
      </c>
      <c r="L12078">
        <v>11401</v>
      </c>
      <c r="M12078" t="s">
        <v>84</v>
      </c>
      <c r="N12078" t="str">
        <f>"32879       "</f>
        <v xml:space="preserve">32879       </v>
      </c>
      <c r="O12078">
        <v>230317</v>
      </c>
    </row>
    <row r="12079" spans="1:15" x14ac:dyDescent="0.25">
      <c r="A12079" t="s">
        <v>16</v>
      </c>
      <c r="B12079" t="s">
        <v>3221</v>
      </c>
      <c r="C12079">
        <v>4210</v>
      </c>
      <c r="D12079" t="s">
        <v>631</v>
      </c>
      <c r="E12079" t="s">
        <v>632</v>
      </c>
      <c r="F12079">
        <v>60.73</v>
      </c>
      <c r="G12079">
        <v>230330</v>
      </c>
      <c r="H12079">
        <v>4600</v>
      </c>
      <c r="I12079" t="s">
        <v>105</v>
      </c>
      <c r="J12079">
        <v>75.31</v>
      </c>
      <c r="K12079">
        <v>14.58</v>
      </c>
      <c r="L12079">
        <v>59501</v>
      </c>
      <c r="M12079" t="s">
        <v>69</v>
      </c>
      <c r="N12079" t="str">
        <f>"32927       "</f>
        <v xml:space="preserve">32927       </v>
      </c>
      <c r="O12079">
        <v>230331</v>
      </c>
    </row>
    <row r="12080" spans="1:15" x14ac:dyDescent="0.25">
      <c r="A12080" t="s">
        <v>16</v>
      </c>
      <c r="B12080" t="s">
        <v>3221</v>
      </c>
      <c r="C12080">
        <v>6243</v>
      </c>
      <c r="D12080" t="s">
        <v>631</v>
      </c>
      <c r="E12080" t="s">
        <v>632</v>
      </c>
      <c r="F12080">
        <v>668.81</v>
      </c>
      <c r="G12080">
        <v>230508</v>
      </c>
      <c r="H12080">
        <v>4600</v>
      </c>
      <c r="I12080" t="s">
        <v>105</v>
      </c>
      <c r="J12080">
        <v>829.33</v>
      </c>
      <c r="K12080">
        <v>160.52000000000001</v>
      </c>
      <c r="L12080">
        <v>59501</v>
      </c>
      <c r="M12080" t="s">
        <v>69</v>
      </c>
      <c r="N12080" t="str">
        <f>"33041       "</f>
        <v xml:space="preserve">33041       </v>
      </c>
      <c r="O12080">
        <v>230509</v>
      </c>
    </row>
    <row r="12081" spans="1:15" x14ac:dyDescent="0.25">
      <c r="A12081" t="s">
        <v>16</v>
      </c>
      <c r="B12081" t="s">
        <v>3221</v>
      </c>
      <c r="C12081">
        <v>8491</v>
      </c>
      <c r="D12081" t="s">
        <v>631</v>
      </c>
      <c r="E12081" t="s">
        <v>632</v>
      </c>
      <c r="F12081">
        <v>116.96</v>
      </c>
      <c r="G12081">
        <v>230608</v>
      </c>
      <c r="H12081">
        <v>4600</v>
      </c>
      <c r="I12081" t="s">
        <v>105</v>
      </c>
      <c r="J12081">
        <v>145.03</v>
      </c>
      <c r="K12081">
        <v>28.07</v>
      </c>
      <c r="L12081">
        <v>59502</v>
      </c>
      <c r="M12081" t="s">
        <v>70</v>
      </c>
      <c r="N12081" t="str">
        <f>"33153       "</f>
        <v xml:space="preserve">33153       </v>
      </c>
      <c r="O12081">
        <v>230609</v>
      </c>
    </row>
    <row r="12082" spans="1:15" x14ac:dyDescent="0.25">
      <c r="A12082" t="s">
        <v>16</v>
      </c>
      <c r="B12082" t="s">
        <v>3221</v>
      </c>
      <c r="C12082">
        <v>10139</v>
      </c>
      <c r="D12082" t="s">
        <v>631</v>
      </c>
      <c r="E12082" t="s">
        <v>632</v>
      </c>
      <c r="F12082">
        <v>178.19</v>
      </c>
      <c r="G12082">
        <v>230804</v>
      </c>
      <c r="H12082">
        <v>4600</v>
      </c>
      <c r="I12082" t="s">
        <v>105</v>
      </c>
      <c r="J12082">
        <v>220.95</v>
      </c>
      <c r="K12082">
        <v>42.76</v>
      </c>
      <c r="L12082">
        <v>59501</v>
      </c>
      <c r="M12082" t="s">
        <v>69</v>
      </c>
      <c r="N12082" t="str">
        <f>"33300       "</f>
        <v xml:space="preserve">33300       </v>
      </c>
      <c r="O12082">
        <v>230808</v>
      </c>
    </row>
    <row r="12083" spans="1:15" x14ac:dyDescent="0.25">
      <c r="A12083" t="s">
        <v>16</v>
      </c>
      <c r="B12083" t="s">
        <v>3221</v>
      </c>
      <c r="C12083">
        <v>11291</v>
      </c>
      <c r="D12083" t="s">
        <v>631</v>
      </c>
      <c r="E12083" t="s">
        <v>632</v>
      </c>
      <c r="F12083">
        <v>136.80000000000001</v>
      </c>
      <c r="G12083">
        <v>230823</v>
      </c>
      <c r="H12083">
        <v>4600</v>
      </c>
      <c r="I12083" t="s">
        <v>105</v>
      </c>
      <c r="J12083">
        <v>169.63</v>
      </c>
      <c r="K12083">
        <v>32.83</v>
      </c>
      <c r="L12083">
        <v>59501</v>
      </c>
      <c r="M12083" t="s">
        <v>69</v>
      </c>
      <c r="N12083" t="str">
        <f>"33365       "</f>
        <v xml:space="preserve">33365       </v>
      </c>
      <c r="O12083">
        <v>230904</v>
      </c>
    </row>
    <row r="12084" spans="1:15" x14ac:dyDescent="0.25">
      <c r="A12084" t="s">
        <v>16</v>
      </c>
      <c r="B12084" t="s">
        <v>3221</v>
      </c>
      <c r="C12084">
        <v>12214</v>
      </c>
      <c r="D12084" t="s">
        <v>631</v>
      </c>
      <c r="E12084" t="s">
        <v>632</v>
      </c>
      <c r="F12084">
        <v>416.44</v>
      </c>
      <c r="G12084">
        <v>230914</v>
      </c>
      <c r="H12084">
        <v>4600</v>
      </c>
      <c r="I12084" t="s">
        <v>105</v>
      </c>
      <c r="J12084">
        <v>516.38</v>
      </c>
      <c r="K12084">
        <v>99.94</v>
      </c>
      <c r="L12084">
        <v>59502</v>
      </c>
      <c r="M12084" t="s">
        <v>70</v>
      </c>
      <c r="N12084" t="str">
        <f>"33449       "</f>
        <v xml:space="preserve">33449       </v>
      </c>
      <c r="O12084">
        <v>230915</v>
      </c>
    </row>
    <row r="12085" spans="1:15" x14ac:dyDescent="0.25">
      <c r="A12085" t="s">
        <v>16</v>
      </c>
      <c r="B12085" t="s">
        <v>3221</v>
      </c>
      <c r="C12085">
        <v>13034</v>
      </c>
      <c r="D12085" t="s">
        <v>631</v>
      </c>
      <c r="E12085" t="s">
        <v>632</v>
      </c>
      <c r="F12085">
        <v>74.69</v>
      </c>
      <c r="G12085">
        <v>230928</v>
      </c>
      <c r="H12085">
        <v>4600</v>
      </c>
      <c r="I12085" t="s">
        <v>105</v>
      </c>
      <c r="J12085">
        <v>92.62</v>
      </c>
      <c r="K12085">
        <v>17.93</v>
      </c>
      <c r="L12085">
        <v>59501</v>
      </c>
      <c r="M12085" t="s">
        <v>69</v>
      </c>
      <c r="N12085" t="str">
        <f>"33510       "</f>
        <v xml:space="preserve">33510       </v>
      </c>
      <c r="O12085">
        <v>231002</v>
      </c>
    </row>
    <row r="12086" spans="1:15" x14ac:dyDescent="0.25">
      <c r="A12086" t="s">
        <v>16</v>
      </c>
      <c r="B12086" t="s">
        <v>3221</v>
      </c>
      <c r="C12086">
        <v>14218</v>
      </c>
      <c r="D12086" t="s">
        <v>631</v>
      </c>
      <c r="E12086" t="s">
        <v>632</v>
      </c>
      <c r="F12086">
        <v>100.6</v>
      </c>
      <c r="G12086">
        <v>231012</v>
      </c>
      <c r="H12086">
        <v>4600</v>
      </c>
      <c r="I12086" t="s">
        <v>105</v>
      </c>
      <c r="J12086">
        <v>124.75</v>
      </c>
      <c r="K12086">
        <v>24.15</v>
      </c>
      <c r="L12086">
        <v>59501</v>
      </c>
      <c r="M12086" t="s">
        <v>69</v>
      </c>
      <c r="N12086" t="str">
        <f>"33561       "</f>
        <v xml:space="preserve">33561       </v>
      </c>
      <c r="O12086">
        <v>231024</v>
      </c>
    </row>
    <row r="12087" spans="1:15" x14ac:dyDescent="0.25">
      <c r="A12087" t="s">
        <v>16</v>
      </c>
      <c r="B12087" t="s">
        <v>3221</v>
      </c>
      <c r="C12087">
        <v>15104</v>
      </c>
      <c r="D12087" t="s">
        <v>631</v>
      </c>
      <c r="E12087" t="s">
        <v>632</v>
      </c>
      <c r="F12087">
        <v>62.4</v>
      </c>
      <c r="G12087">
        <v>231102</v>
      </c>
      <c r="H12087">
        <v>4600</v>
      </c>
      <c r="I12087" t="s">
        <v>105</v>
      </c>
      <c r="J12087">
        <v>77.37</v>
      </c>
      <c r="K12087">
        <v>14.97</v>
      </c>
      <c r="L12087">
        <v>59505</v>
      </c>
      <c r="M12087" t="s">
        <v>72</v>
      </c>
      <c r="N12087" t="str">
        <f>"33641       "</f>
        <v xml:space="preserve">33641       </v>
      </c>
      <c r="O12087">
        <v>231108</v>
      </c>
    </row>
    <row r="12088" spans="1:15" x14ac:dyDescent="0.25">
      <c r="A12088" t="s">
        <v>16</v>
      </c>
      <c r="B12088" t="s">
        <v>3221</v>
      </c>
      <c r="C12088">
        <v>17923</v>
      </c>
      <c r="D12088" t="s">
        <v>631</v>
      </c>
      <c r="E12088" t="s">
        <v>632</v>
      </c>
      <c r="F12088">
        <v>228.48</v>
      </c>
      <c r="G12088">
        <v>231214</v>
      </c>
      <c r="H12088">
        <v>4600</v>
      </c>
      <c r="I12088" t="s">
        <v>105</v>
      </c>
      <c r="J12088">
        <v>283.31</v>
      </c>
      <c r="K12088">
        <v>54.83</v>
      </c>
      <c r="L12088">
        <v>59501</v>
      </c>
      <c r="M12088" t="s">
        <v>69</v>
      </c>
      <c r="N12088" t="str">
        <f>"33764       "</f>
        <v xml:space="preserve">33764       </v>
      </c>
      <c r="O12088">
        <v>231227</v>
      </c>
    </row>
    <row r="12089" spans="1:15" x14ac:dyDescent="0.25">
      <c r="A12089" t="s">
        <v>16</v>
      </c>
      <c r="B12089" t="s">
        <v>3221</v>
      </c>
      <c r="C12089">
        <v>15962</v>
      </c>
      <c r="D12089" t="s">
        <v>631</v>
      </c>
      <c r="E12089" t="s">
        <v>632</v>
      </c>
      <c r="F12089">
        <v>240.06</v>
      </c>
      <c r="G12089">
        <v>231115</v>
      </c>
      <c r="H12089">
        <v>4390</v>
      </c>
      <c r="I12089" t="s">
        <v>98</v>
      </c>
      <c r="J12089">
        <v>240.06</v>
      </c>
      <c r="K12089">
        <v>0</v>
      </c>
      <c r="L12089">
        <v>56571</v>
      </c>
      <c r="M12089" t="s">
        <v>204</v>
      </c>
      <c r="N12089" t="str">
        <f>"33683       "</f>
        <v xml:space="preserve">33683       </v>
      </c>
      <c r="O12089">
        <v>231122</v>
      </c>
    </row>
    <row r="12090" spans="1:15" x14ac:dyDescent="0.25">
      <c r="A12090" t="s">
        <v>16</v>
      </c>
      <c r="B12090" t="s">
        <v>3221</v>
      </c>
      <c r="C12090">
        <v>8481</v>
      </c>
      <c r="D12090" t="s">
        <v>631</v>
      </c>
      <c r="E12090" t="s">
        <v>632</v>
      </c>
      <c r="F12090">
        <v>65.680000000000007</v>
      </c>
      <c r="G12090">
        <v>230608</v>
      </c>
      <c r="H12090">
        <v>4590</v>
      </c>
      <c r="I12090" t="s">
        <v>203</v>
      </c>
      <c r="J12090">
        <v>81.44</v>
      </c>
      <c r="K12090">
        <v>15.76</v>
      </c>
      <c r="L12090">
        <v>59504</v>
      </c>
      <c r="M12090" t="s">
        <v>71</v>
      </c>
      <c r="N12090" t="str">
        <f>"33151       "</f>
        <v xml:space="preserve">33151       </v>
      </c>
      <c r="O12090">
        <v>230609</v>
      </c>
    </row>
    <row r="12091" spans="1:15" x14ac:dyDescent="0.25">
      <c r="A12091" t="s">
        <v>16</v>
      </c>
      <c r="B12091" t="s">
        <v>3221</v>
      </c>
      <c r="C12091">
        <v>10699</v>
      </c>
      <c r="D12091" t="s">
        <v>631</v>
      </c>
      <c r="E12091" t="s">
        <v>632</v>
      </c>
      <c r="F12091">
        <v>662.92</v>
      </c>
      <c r="G12091">
        <v>230821</v>
      </c>
      <c r="H12091">
        <v>4590</v>
      </c>
      <c r="I12091" t="s">
        <v>203</v>
      </c>
      <c r="J12091">
        <v>822.02</v>
      </c>
      <c r="K12091">
        <v>159.1</v>
      </c>
      <c r="L12091">
        <v>59504</v>
      </c>
      <c r="M12091" t="s">
        <v>71</v>
      </c>
      <c r="N12091" t="str">
        <f>"33346       "</f>
        <v xml:space="preserve">33346       </v>
      </c>
      <c r="O12091">
        <v>230822</v>
      </c>
    </row>
    <row r="12092" spans="1:15" x14ac:dyDescent="0.25">
      <c r="A12092" t="s">
        <v>16</v>
      </c>
      <c r="B12092" t="s">
        <v>3221</v>
      </c>
      <c r="C12092">
        <v>10939</v>
      </c>
      <c r="D12092" t="s">
        <v>631</v>
      </c>
      <c r="E12092" t="s">
        <v>632</v>
      </c>
      <c r="F12092">
        <v>15.18</v>
      </c>
      <c r="G12092">
        <v>230823</v>
      </c>
      <c r="H12092">
        <v>4590</v>
      </c>
      <c r="I12092" t="s">
        <v>203</v>
      </c>
      <c r="J12092">
        <v>18.82</v>
      </c>
      <c r="K12092">
        <v>3.64</v>
      </c>
      <c r="L12092">
        <v>59504</v>
      </c>
      <c r="M12092" t="s">
        <v>71</v>
      </c>
      <c r="N12092" t="str">
        <f>"33366       "</f>
        <v xml:space="preserve">33366       </v>
      </c>
      <c r="O12092">
        <v>230825</v>
      </c>
    </row>
    <row r="12093" spans="1:15" x14ac:dyDescent="0.25">
      <c r="A12093" t="s">
        <v>16</v>
      </c>
      <c r="B12093" t="s">
        <v>3221</v>
      </c>
      <c r="C12093">
        <v>11680</v>
      </c>
      <c r="D12093" t="s">
        <v>631</v>
      </c>
      <c r="E12093" t="s">
        <v>632</v>
      </c>
      <c r="F12093">
        <v>10.91</v>
      </c>
      <c r="G12093">
        <v>230904</v>
      </c>
      <c r="H12093">
        <v>4590</v>
      </c>
      <c r="I12093" t="s">
        <v>203</v>
      </c>
      <c r="J12093">
        <v>13.53</v>
      </c>
      <c r="K12093">
        <v>2.62</v>
      </c>
      <c r="L12093">
        <v>59504</v>
      </c>
      <c r="M12093" t="s">
        <v>71</v>
      </c>
      <c r="N12093" t="str">
        <f>"33423       "</f>
        <v xml:space="preserve">33423       </v>
      </c>
      <c r="O12093">
        <v>230908</v>
      </c>
    </row>
    <row r="12094" spans="1:15" x14ac:dyDescent="0.25">
      <c r="A12094" t="s">
        <v>16</v>
      </c>
      <c r="B12094" t="s">
        <v>3221</v>
      </c>
      <c r="C12094">
        <v>13825</v>
      </c>
      <c r="D12094" t="s">
        <v>631</v>
      </c>
      <c r="E12094" t="s">
        <v>632</v>
      </c>
      <c r="F12094">
        <v>24.96</v>
      </c>
      <c r="G12094">
        <v>231012</v>
      </c>
      <c r="H12094">
        <v>4590</v>
      </c>
      <c r="I12094" t="s">
        <v>203</v>
      </c>
      <c r="J12094">
        <v>30.95</v>
      </c>
      <c r="K12094">
        <v>5.99</v>
      </c>
      <c r="L12094">
        <v>59504</v>
      </c>
      <c r="M12094" t="s">
        <v>71</v>
      </c>
      <c r="N12094" t="str">
        <f>"33562       "</f>
        <v xml:space="preserve">33562       </v>
      </c>
      <c r="O12094">
        <v>231013</v>
      </c>
    </row>
    <row r="12095" spans="1:15" x14ac:dyDescent="0.25">
      <c r="A12095" t="s">
        <v>16</v>
      </c>
      <c r="B12095" t="s">
        <v>3221</v>
      </c>
      <c r="C12095">
        <v>14638</v>
      </c>
      <c r="D12095" t="s">
        <v>631</v>
      </c>
      <c r="E12095" t="s">
        <v>632</v>
      </c>
      <c r="F12095">
        <v>84.19</v>
      </c>
      <c r="G12095">
        <v>231024</v>
      </c>
      <c r="H12095">
        <v>4590</v>
      </c>
      <c r="I12095" t="s">
        <v>203</v>
      </c>
      <c r="J12095">
        <v>104.39</v>
      </c>
      <c r="K12095">
        <v>20.2</v>
      </c>
      <c r="L12095">
        <v>59504</v>
      </c>
      <c r="M12095" t="s">
        <v>71</v>
      </c>
      <c r="N12095" t="str">
        <f>"33611       "</f>
        <v xml:space="preserve">33611       </v>
      </c>
      <c r="O12095">
        <v>231031</v>
      </c>
    </row>
    <row r="12096" spans="1:15" x14ac:dyDescent="0.25">
      <c r="A12096" t="s">
        <v>16</v>
      </c>
      <c r="B12096" t="s">
        <v>3221</v>
      </c>
      <c r="C12096">
        <v>16451</v>
      </c>
      <c r="D12096" t="s">
        <v>631</v>
      </c>
      <c r="E12096" t="s">
        <v>632</v>
      </c>
      <c r="F12096">
        <v>354.29</v>
      </c>
      <c r="G12096">
        <v>231116</v>
      </c>
      <c r="H12096">
        <v>4590</v>
      </c>
      <c r="I12096" t="s">
        <v>203</v>
      </c>
      <c r="J12096">
        <v>439.32</v>
      </c>
      <c r="K12096">
        <v>85.03</v>
      </c>
      <c r="L12096">
        <v>59504</v>
      </c>
      <c r="M12096" t="s">
        <v>71</v>
      </c>
      <c r="N12096" t="str">
        <f>"33688       "</f>
        <v xml:space="preserve">33688       </v>
      </c>
      <c r="O12096">
        <v>231129</v>
      </c>
    </row>
    <row r="12097" spans="1:15" x14ac:dyDescent="0.25">
      <c r="A12097" t="s">
        <v>16</v>
      </c>
      <c r="B12097" t="s">
        <v>3221</v>
      </c>
      <c r="C12097">
        <v>17911</v>
      </c>
      <c r="D12097" t="s">
        <v>631</v>
      </c>
      <c r="E12097" t="s">
        <v>632</v>
      </c>
      <c r="F12097">
        <v>19.53</v>
      </c>
      <c r="G12097">
        <v>231214</v>
      </c>
      <c r="H12097">
        <v>4590</v>
      </c>
      <c r="I12097" t="s">
        <v>203</v>
      </c>
      <c r="J12097">
        <v>24.22</v>
      </c>
      <c r="K12097">
        <v>4.6900000000000004</v>
      </c>
      <c r="L12097">
        <v>59504</v>
      </c>
      <c r="M12097" t="s">
        <v>71</v>
      </c>
      <c r="N12097" t="str">
        <f>"33765       "</f>
        <v xml:space="preserve">33765       </v>
      </c>
      <c r="O12097">
        <v>231227</v>
      </c>
    </row>
    <row r="12098" spans="1:15" x14ac:dyDescent="0.25">
      <c r="A12098" t="s">
        <v>16</v>
      </c>
      <c r="B12098" t="s">
        <v>3221</v>
      </c>
      <c r="C12098">
        <v>5928</v>
      </c>
      <c r="D12098" t="s">
        <v>301</v>
      </c>
      <c r="E12098" t="s">
        <v>302</v>
      </c>
      <c r="F12098">
        <v>980</v>
      </c>
      <c r="G12098">
        <v>230503</v>
      </c>
      <c r="H12098">
        <v>4580</v>
      </c>
      <c r="I12098" t="s">
        <v>35</v>
      </c>
      <c r="J12098">
        <v>1215.2</v>
      </c>
      <c r="K12098">
        <v>235.2</v>
      </c>
      <c r="L12098">
        <v>17951</v>
      </c>
      <c r="M12098" t="s">
        <v>87</v>
      </c>
      <c r="N12098" t="str">
        <f>"10046561    "</f>
        <v xml:space="preserve">10046561    </v>
      </c>
      <c r="O12098">
        <v>230504</v>
      </c>
    </row>
    <row r="12099" spans="1:15" x14ac:dyDescent="0.25">
      <c r="A12099" t="s">
        <v>16</v>
      </c>
      <c r="B12099" t="s">
        <v>3221</v>
      </c>
      <c r="C12099">
        <v>6081</v>
      </c>
      <c r="D12099" t="s">
        <v>301</v>
      </c>
      <c r="E12099" t="s">
        <v>302</v>
      </c>
      <c r="F12099">
        <v>980</v>
      </c>
      <c r="G12099">
        <v>230426</v>
      </c>
      <c r="H12099">
        <v>4580</v>
      </c>
      <c r="I12099" t="s">
        <v>35</v>
      </c>
      <c r="J12099">
        <v>1215.2</v>
      </c>
      <c r="K12099">
        <v>235.2</v>
      </c>
      <c r="L12099">
        <v>17951</v>
      </c>
      <c r="M12099" t="s">
        <v>87</v>
      </c>
      <c r="N12099" t="str">
        <f>"10045847    "</f>
        <v xml:space="preserve">10045847    </v>
      </c>
      <c r="O12099">
        <v>230508</v>
      </c>
    </row>
    <row r="12100" spans="1:15" x14ac:dyDescent="0.25">
      <c r="A12100" t="s">
        <v>16</v>
      </c>
      <c r="B12100" t="s">
        <v>3221</v>
      </c>
      <c r="C12100">
        <v>7340</v>
      </c>
      <c r="D12100" t="s">
        <v>301</v>
      </c>
      <c r="E12100" t="s">
        <v>302</v>
      </c>
      <c r="F12100">
        <v>1700</v>
      </c>
      <c r="G12100">
        <v>230526</v>
      </c>
      <c r="H12100">
        <v>4580</v>
      </c>
      <c r="I12100" t="s">
        <v>35</v>
      </c>
      <c r="J12100">
        <v>2108</v>
      </c>
      <c r="K12100">
        <v>408</v>
      </c>
      <c r="L12100">
        <v>17809</v>
      </c>
      <c r="M12100" t="s">
        <v>376</v>
      </c>
      <c r="N12100" t="str">
        <f>"10049576    "</f>
        <v xml:space="preserve">10049576    </v>
      </c>
      <c r="O12100">
        <v>230529</v>
      </c>
    </row>
    <row r="12101" spans="1:15" x14ac:dyDescent="0.25">
      <c r="A12101" t="s">
        <v>16</v>
      </c>
      <c r="B12101" t="s">
        <v>3221</v>
      </c>
      <c r="C12101">
        <v>8389</v>
      </c>
      <c r="D12101" t="s">
        <v>301</v>
      </c>
      <c r="E12101" t="s">
        <v>302</v>
      </c>
      <c r="F12101">
        <v>350</v>
      </c>
      <c r="G12101">
        <v>230607</v>
      </c>
      <c r="H12101">
        <v>4580</v>
      </c>
      <c r="I12101" t="s">
        <v>35</v>
      </c>
      <c r="J12101">
        <v>434</v>
      </c>
      <c r="K12101">
        <v>84</v>
      </c>
      <c r="L12101">
        <v>17809</v>
      </c>
      <c r="M12101" t="s">
        <v>376</v>
      </c>
      <c r="N12101" t="str">
        <f>"10051282    "</f>
        <v xml:space="preserve">10051282    </v>
      </c>
      <c r="O12101">
        <v>230608</v>
      </c>
    </row>
    <row r="12102" spans="1:15" x14ac:dyDescent="0.25">
      <c r="A12102" t="s">
        <v>16</v>
      </c>
      <c r="B12102" t="s">
        <v>3221</v>
      </c>
      <c r="C12102">
        <v>17266</v>
      </c>
      <c r="D12102" t="s">
        <v>301</v>
      </c>
      <c r="E12102" t="s">
        <v>302</v>
      </c>
      <c r="F12102">
        <v>10756.95</v>
      </c>
      <c r="G12102">
        <v>231204</v>
      </c>
      <c r="H12102">
        <v>1198</v>
      </c>
      <c r="I12102" t="s">
        <v>1128</v>
      </c>
      <c r="J12102">
        <v>13338.62</v>
      </c>
      <c r="K12102">
        <v>2581.67</v>
      </c>
      <c r="L12102">
        <v>97627</v>
      </c>
      <c r="M12102" t="s">
        <v>2332</v>
      </c>
      <c r="N12102" t="str">
        <f>"10072186    "</f>
        <v xml:space="preserve">10072186    </v>
      </c>
      <c r="O12102">
        <v>231212</v>
      </c>
    </row>
    <row r="12103" spans="1:15" x14ac:dyDescent="0.25">
      <c r="A12103" t="s">
        <v>16</v>
      </c>
      <c r="B12103" t="s">
        <v>3221</v>
      </c>
      <c r="C12103">
        <v>4587</v>
      </c>
      <c r="D12103" t="s">
        <v>301</v>
      </c>
      <c r="E12103" t="s">
        <v>302</v>
      </c>
      <c r="F12103">
        <v>12.15</v>
      </c>
      <c r="G12103">
        <v>230327</v>
      </c>
      <c r="H12103">
        <v>4400</v>
      </c>
      <c r="I12103" t="s">
        <v>348</v>
      </c>
      <c r="J12103">
        <v>15.06</v>
      </c>
      <c r="K12103">
        <v>2.91</v>
      </c>
      <c r="L12103">
        <v>17809</v>
      </c>
      <c r="M12103" t="s">
        <v>376</v>
      </c>
      <c r="N12103" t="str">
        <f>"10042582    "</f>
        <v xml:space="preserve">10042582    </v>
      </c>
      <c r="O12103">
        <v>230406</v>
      </c>
    </row>
    <row r="12104" spans="1:15" x14ac:dyDescent="0.25">
      <c r="A12104" t="s">
        <v>16</v>
      </c>
      <c r="B12104" t="s">
        <v>3221</v>
      </c>
      <c r="C12104">
        <v>5928</v>
      </c>
      <c r="D12104" t="s">
        <v>301</v>
      </c>
      <c r="E12104" t="s">
        <v>302</v>
      </c>
      <c r="F12104">
        <v>35</v>
      </c>
      <c r="G12104">
        <v>230503</v>
      </c>
      <c r="H12104">
        <v>4420</v>
      </c>
      <c r="I12104" t="s">
        <v>132</v>
      </c>
      <c r="J12104">
        <v>43.4</v>
      </c>
      <c r="K12104">
        <v>8.4</v>
      </c>
      <c r="L12104">
        <v>17951</v>
      </c>
      <c r="M12104" t="s">
        <v>87</v>
      </c>
      <c r="N12104" t="str">
        <f>"10046561    "</f>
        <v xml:space="preserve">10046561    </v>
      </c>
      <c r="O12104">
        <v>230504</v>
      </c>
    </row>
    <row r="12105" spans="1:15" x14ac:dyDescent="0.25">
      <c r="A12105" t="s">
        <v>16</v>
      </c>
      <c r="B12105" t="s">
        <v>3221</v>
      </c>
      <c r="C12105">
        <v>665</v>
      </c>
      <c r="D12105" t="s">
        <v>301</v>
      </c>
      <c r="E12105" t="s">
        <v>302</v>
      </c>
      <c r="F12105">
        <v>236.56</v>
      </c>
      <c r="G12105">
        <v>230124</v>
      </c>
      <c r="H12105">
        <v>4600</v>
      </c>
      <c r="I12105" t="s">
        <v>105</v>
      </c>
      <c r="J12105">
        <v>293.33</v>
      </c>
      <c r="K12105">
        <v>56.77</v>
      </c>
      <c r="L12105">
        <v>17809</v>
      </c>
      <c r="M12105" t="s">
        <v>376</v>
      </c>
      <c r="N12105" t="str">
        <f>"10035526    "</f>
        <v xml:space="preserve">10035526    </v>
      </c>
      <c r="O12105">
        <v>230126</v>
      </c>
    </row>
    <row r="12106" spans="1:15" x14ac:dyDescent="0.25">
      <c r="A12106" t="s">
        <v>16</v>
      </c>
      <c r="B12106" t="s">
        <v>3221</v>
      </c>
      <c r="C12106">
        <v>948</v>
      </c>
      <c r="D12106" t="s">
        <v>301</v>
      </c>
      <c r="E12106" t="s">
        <v>302</v>
      </c>
      <c r="F12106">
        <v>16.38</v>
      </c>
      <c r="G12106">
        <v>230131</v>
      </c>
      <c r="H12106">
        <v>4600</v>
      </c>
      <c r="I12106" t="s">
        <v>105</v>
      </c>
      <c r="J12106">
        <v>20.309999999999999</v>
      </c>
      <c r="K12106">
        <v>3.93</v>
      </c>
      <c r="L12106">
        <v>17802</v>
      </c>
      <c r="M12106" t="s">
        <v>174</v>
      </c>
      <c r="N12106" t="str">
        <f>"10036337    "</f>
        <v xml:space="preserve">10036337    </v>
      </c>
      <c r="O12106">
        <v>230201</v>
      </c>
    </row>
    <row r="12107" spans="1:15" x14ac:dyDescent="0.25">
      <c r="A12107" t="s">
        <v>16</v>
      </c>
      <c r="B12107" t="s">
        <v>3221</v>
      </c>
      <c r="C12107">
        <v>951</v>
      </c>
      <c r="D12107" t="s">
        <v>301</v>
      </c>
      <c r="E12107" t="s">
        <v>302</v>
      </c>
      <c r="F12107">
        <v>651.70000000000005</v>
      </c>
      <c r="G12107">
        <v>230131</v>
      </c>
      <c r="H12107">
        <v>4600</v>
      </c>
      <c r="I12107" t="s">
        <v>105</v>
      </c>
      <c r="J12107">
        <v>808.11</v>
      </c>
      <c r="K12107">
        <v>156.41</v>
      </c>
      <c r="L12107">
        <v>17809</v>
      </c>
      <c r="M12107" t="s">
        <v>376</v>
      </c>
      <c r="N12107" t="str">
        <f>"10036406    "</f>
        <v xml:space="preserve">10036406    </v>
      </c>
      <c r="O12107">
        <v>230201</v>
      </c>
    </row>
    <row r="12108" spans="1:15" x14ac:dyDescent="0.25">
      <c r="A12108" t="s">
        <v>16</v>
      </c>
      <c r="B12108" t="s">
        <v>3221</v>
      </c>
      <c r="C12108">
        <v>1130</v>
      </c>
      <c r="D12108" t="s">
        <v>301</v>
      </c>
      <c r="E12108" t="s">
        <v>302</v>
      </c>
      <c r="F12108">
        <v>265.05</v>
      </c>
      <c r="G12108">
        <v>230131</v>
      </c>
      <c r="H12108">
        <v>4600</v>
      </c>
      <c r="I12108" t="s">
        <v>105</v>
      </c>
      <c r="J12108">
        <v>328.66</v>
      </c>
      <c r="K12108">
        <v>63.61</v>
      </c>
      <c r="L12108">
        <v>17809</v>
      </c>
      <c r="M12108" t="s">
        <v>376</v>
      </c>
      <c r="N12108" t="str">
        <f>"10036338    "</f>
        <v xml:space="preserve">10036338    </v>
      </c>
      <c r="O12108">
        <v>230206</v>
      </c>
    </row>
    <row r="12109" spans="1:15" x14ac:dyDescent="0.25">
      <c r="A12109" t="s">
        <v>16</v>
      </c>
      <c r="B12109" t="s">
        <v>3221</v>
      </c>
      <c r="C12109">
        <v>2152</v>
      </c>
      <c r="D12109" t="s">
        <v>301</v>
      </c>
      <c r="E12109" t="s">
        <v>302</v>
      </c>
      <c r="F12109">
        <v>430.75</v>
      </c>
      <c r="G12109">
        <v>230217</v>
      </c>
      <c r="H12109">
        <v>4600</v>
      </c>
      <c r="I12109" t="s">
        <v>105</v>
      </c>
      <c r="J12109">
        <v>534.13</v>
      </c>
      <c r="K12109">
        <v>103.38</v>
      </c>
      <c r="L12109">
        <v>17809</v>
      </c>
      <c r="M12109" t="s">
        <v>376</v>
      </c>
      <c r="N12109" t="str">
        <f>"10038483    "</f>
        <v xml:space="preserve">10038483    </v>
      </c>
      <c r="O12109">
        <v>230221</v>
      </c>
    </row>
    <row r="12110" spans="1:15" x14ac:dyDescent="0.25">
      <c r="A12110" t="s">
        <v>16</v>
      </c>
      <c r="B12110" t="s">
        <v>3221</v>
      </c>
      <c r="C12110">
        <v>2162</v>
      </c>
      <c r="D12110" t="s">
        <v>301</v>
      </c>
      <c r="E12110" t="s">
        <v>302</v>
      </c>
      <c r="F12110">
        <v>208.48</v>
      </c>
      <c r="G12110">
        <v>230203</v>
      </c>
      <c r="H12110">
        <v>4600</v>
      </c>
      <c r="I12110" t="s">
        <v>105</v>
      </c>
      <c r="J12110">
        <v>258.52</v>
      </c>
      <c r="K12110">
        <v>50.04</v>
      </c>
      <c r="L12110">
        <v>17809</v>
      </c>
      <c r="M12110" t="s">
        <v>376</v>
      </c>
      <c r="N12110" t="str">
        <f>"10036750    "</f>
        <v xml:space="preserve">10036750    </v>
      </c>
      <c r="O12110">
        <v>230221</v>
      </c>
    </row>
    <row r="12111" spans="1:15" x14ac:dyDescent="0.25">
      <c r="A12111" t="s">
        <v>16</v>
      </c>
      <c r="B12111" t="s">
        <v>3221</v>
      </c>
      <c r="C12111">
        <v>2163</v>
      </c>
      <c r="D12111" t="s">
        <v>301</v>
      </c>
      <c r="E12111" t="s">
        <v>302</v>
      </c>
      <c r="F12111">
        <v>51.35</v>
      </c>
      <c r="G12111">
        <v>230203</v>
      </c>
      <c r="H12111">
        <v>4600</v>
      </c>
      <c r="I12111" t="s">
        <v>105</v>
      </c>
      <c r="J12111">
        <v>63.67</v>
      </c>
      <c r="K12111">
        <v>12.32</v>
      </c>
      <c r="L12111">
        <v>17809</v>
      </c>
      <c r="M12111" t="s">
        <v>376</v>
      </c>
      <c r="N12111" t="str">
        <f>"10036751    "</f>
        <v xml:space="preserve">10036751    </v>
      </c>
      <c r="O12111">
        <v>230221</v>
      </c>
    </row>
    <row r="12112" spans="1:15" x14ac:dyDescent="0.25">
      <c r="A12112" t="s">
        <v>16</v>
      </c>
      <c r="B12112" t="s">
        <v>3221</v>
      </c>
      <c r="C12112">
        <v>2164</v>
      </c>
      <c r="D12112" t="s">
        <v>301</v>
      </c>
      <c r="E12112" t="s">
        <v>302</v>
      </c>
      <c r="F12112">
        <v>125.05</v>
      </c>
      <c r="G12112">
        <v>230203</v>
      </c>
      <c r="H12112">
        <v>4600</v>
      </c>
      <c r="I12112" t="s">
        <v>105</v>
      </c>
      <c r="J12112">
        <v>155.06</v>
      </c>
      <c r="K12112">
        <v>30.01</v>
      </c>
      <c r="L12112">
        <v>17809</v>
      </c>
      <c r="M12112" t="s">
        <v>376</v>
      </c>
      <c r="N12112" t="str">
        <f>"10036757    "</f>
        <v xml:space="preserve">10036757    </v>
      </c>
      <c r="O12112">
        <v>230221</v>
      </c>
    </row>
    <row r="12113" spans="1:15" x14ac:dyDescent="0.25">
      <c r="A12113" t="s">
        <v>16</v>
      </c>
      <c r="B12113" t="s">
        <v>3221</v>
      </c>
      <c r="C12113">
        <v>2181</v>
      </c>
      <c r="D12113" t="s">
        <v>301</v>
      </c>
      <c r="E12113" t="s">
        <v>302</v>
      </c>
      <c r="F12113">
        <v>1190.1500000000001</v>
      </c>
      <c r="G12113">
        <v>230213</v>
      </c>
      <c r="H12113">
        <v>4600</v>
      </c>
      <c r="I12113" t="s">
        <v>105</v>
      </c>
      <c r="J12113">
        <v>1475.79</v>
      </c>
      <c r="K12113">
        <v>285.64</v>
      </c>
      <c r="L12113">
        <v>17809</v>
      </c>
      <c r="M12113" t="s">
        <v>376</v>
      </c>
      <c r="N12113" t="str">
        <f>"10037920    "</f>
        <v xml:space="preserve">10037920    </v>
      </c>
      <c r="O12113">
        <v>230222</v>
      </c>
    </row>
    <row r="12114" spans="1:15" x14ac:dyDescent="0.25">
      <c r="A12114" t="s">
        <v>16</v>
      </c>
      <c r="B12114" t="s">
        <v>3221</v>
      </c>
      <c r="C12114">
        <v>2191</v>
      </c>
      <c r="D12114" t="s">
        <v>301</v>
      </c>
      <c r="E12114" t="s">
        <v>302</v>
      </c>
      <c r="F12114">
        <v>196.69</v>
      </c>
      <c r="G12114">
        <v>230214</v>
      </c>
      <c r="H12114">
        <v>4600</v>
      </c>
      <c r="I12114" t="s">
        <v>105</v>
      </c>
      <c r="J12114">
        <v>243.9</v>
      </c>
      <c r="K12114">
        <v>47.21</v>
      </c>
      <c r="L12114">
        <v>17809</v>
      </c>
      <c r="M12114" t="s">
        <v>376</v>
      </c>
      <c r="N12114" t="str">
        <f>"10038063    "</f>
        <v xml:space="preserve">10038063    </v>
      </c>
      <c r="O12114">
        <v>230222</v>
      </c>
    </row>
    <row r="12115" spans="1:15" x14ac:dyDescent="0.25">
      <c r="A12115" t="s">
        <v>16</v>
      </c>
      <c r="B12115" t="s">
        <v>3221</v>
      </c>
      <c r="C12115">
        <v>2657</v>
      </c>
      <c r="D12115" t="s">
        <v>301</v>
      </c>
      <c r="E12115" t="s">
        <v>302</v>
      </c>
      <c r="F12115">
        <v>108.56</v>
      </c>
      <c r="G12115">
        <v>230223</v>
      </c>
      <c r="H12115">
        <v>4600</v>
      </c>
      <c r="I12115" t="s">
        <v>105</v>
      </c>
      <c r="J12115">
        <v>134.62</v>
      </c>
      <c r="K12115">
        <v>26.06</v>
      </c>
      <c r="L12115">
        <v>17809</v>
      </c>
      <c r="M12115" t="s">
        <v>376</v>
      </c>
      <c r="N12115" t="str">
        <f>"10039093    "</f>
        <v xml:space="preserve">10039093    </v>
      </c>
      <c r="O12115">
        <v>230306</v>
      </c>
    </row>
    <row r="12116" spans="1:15" x14ac:dyDescent="0.25">
      <c r="A12116" t="s">
        <v>16</v>
      </c>
      <c r="B12116" t="s">
        <v>3221</v>
      </c>
      <c r="C12116">
        <v>2669</v>
      </c>
      <c r="D12116" t="s">
        <v>301</v>
      </c>
      <c r="E12116" t="s">
        <v>302</v>
      </c>
      <c r="F12116">
        <v>32.79</v>
      </c>
      <c r="G12116">
        <v>230224</v>
      </c>
      <c r="H12116">
        <v>4600</v>
      </c>
      <c r="I12116" t="s">
        <v>105</v>
      </c>
      <c r="J12116">
        <v>40.659999999999997</v>
      </c>
      <c r="K12116">
        <v>7.87</v>
      </c>
      <c r="L12116">
        <v>17809</v>
      </c>
      <c r="M12116" t="s">
        <v>376</v>
      </c>
      <c r="N12116" t="str">
        <f>"10039257    "</f>
        <v xml:space="preserve">10039257    </v>
      </c>
      <c r="O12116">
        <v>230306</v>
      </c>
    </row>
    <row r="12117" spans="1:15" x14ac:dyDescent="0.25">
      <c r="A12117" t="s">
        <v>16</v>
      </c>
      <c r="B12117" t="s">
        <v>3221</v>
      </c>
      <c r="C12117">
        <v>2669</v>
      </c>
      <c r="D12117" t="s">
        <v>301</v>
      </c>
      <c r="E12117" t="s">
        <v>302</v>
      </c>
      <c r="F12117">
        <v>298.86</v>
      </c>
      <c r="G12117">
        <v>230224</v>
      </c>
      <c r="H12117">
        <v>4600</v>
      </c>
      <c r="I12117" t="s">
        <v>105</v>
      </c>
      <c r="J12117">
        <v>370.59</v>
      </c>
      <c r="K12117">
        <v>71.73</v>
      </c>
      <c r="L12117">
        <v>17951</v>
      </c>
      <c r="M12117" t="s">
        <v>87</v>
      </c>
      <c r="N12117" t="str">
        <f>"10039257    "</f>
        <v xml:space="preserve">10039257    </v>
      </c>
      <c r="O12117">
        <v>230306</v>
      </c>
    </row>
    <row r="12118" spans="1:15" x14ac:dyDescent="0.25">
      <c r="A12118" t="s">
        <v>16</v>
      </c>
      <c r="B12118" t="s">
        <v>3221</v>
      </c>
      <c r="C12118">
        <v>3311</v>
      </c>
      <c r="D12118" t="s">
        <v>301</v>
      </c>
      <c r="E12118" t="s">
        <v>302</v>
      </c>
      <c r="F12118">
        <v>780.13</v>
      </c>
      <c r="G12118">
        <v>230309</v>
      </c>
      <c r="H12118">
        <v>4600</v>
      </c>
      <c r="I12118" t="s">
        <v>105</v>
      </c>
      <c r="J12118">
        <v>967.36</v>
      </c>
      <c r="K12118">
        <v>187.23</v>
      </c>
      <c r="L12118">
        <v>17809</v>
      </c>
      <c r="M12118" t="s">
        <v>376</v>
      </c>
      <c r="N12118" t="str">
        <f>"10040623    "</f>
        <v xml:space="preserve">10040623    </v>
      </c>
      <c r="O12118">
        <v>230314</v>
      </c>
    </row>
    <row r="12119" spans="1:15" x14ac:dyDescent="0.25">
      <c r="A12119" t="s">
        <v>16</v>
      </c>
      <c r="B12119" t="s">
        <v>3221</v>
      </c>
      <c r="C12119">
        <v>3312</v>
      </c>
      <c r="D12119" t="s">
        <v>301</v>
      </c>
      <c r="E12119" t="s">
        <v>302</v>
      </c>
      <c r="F12119">
        <v>53.86</v>
      </c>
      <c r="G12119">
        <v>230309</v>
      </c>
      <c r="H12119">
        <v>4600</v>
      </c>
      <c r="I12119" t="s">
        <v>105</v>
      </c>
      <c r="J12119">
        <v>66.790000000000006</v>
      </c>
      <c r="K12119">
        <v>12.93</v>
      </c>
      <c r="L12119">
        <v>17809</v>
      </c>
      <c r="M12119" t="s">
        <v>376</v>
      </c>
      <c r="N12119" t="str">
        <f>"10040690    "</f>
        <v xml:space="preserve">10040690    </v>
      </c>
      <c r="O12119">
        <v>230314</v>
      </c>
    </row>
    <row r="12120" spans="1:15" x14ac:dyDescent="0.25">
      <c r="A12120" t="s">
        <v>16</v>
      </c>
      <c r="B12120" t="s">
        <v>3221</v>
      </c>
      <c r="C12120">
        <v>3484</v>
      </c>
      <c r="D12120" t="s">
        <v>301</v>
      </c>
      <c r="E12120" t="s">
        <v>302</v>
      </c>
      <c r="F12120">
        <v>378.23</v>
      </c>
      <c r="G12120">
        <v>230314</v>
      </c>
      <c r="H12120">
        <v>4600</v>
      </c>
      <c r="I12120" t="s">
        <v>105</v>
      </c>
      <c r="J12120">
        <v>469</v>
      </c>
      <c r="K12120">
        <v>90.77</v>
      </c>
      <c r="L12120">
        <v>17809</v>
      </c>
      <c r="M12120" t="s">
        <v>376</v>
      </c>
      <c r="N12120" t="str">
        <f>"10041225    "</f>
        <v xml:space="preserve">10041225    </v>
      </c>
      <c r="O12120">
        <v>230316</v>
      </c>
    </row>
    <row r="12121" spans="1:15" x14ac:dyDescent="0.25">
      <c r="A12121" t="s">
        <v>16</v>
      </c>
      <c r="B12121" t="s">
        <v>3221</v>
      </c>
      <c r="C12121">
        <v>3488</v>
      </c>
      <c r="D12121" t="s">
        <v>301</v>
      </c>
      <c r="E12121" t="s">
        <v>302</v>
      </c>
      <c r="F12121">
        <v>457.7</v>
      </c>
      <c r="G12121">
        <v>230314</v>
      </c>
      <c r="H12121">
        <v>4600</v>
      </c>
      <c r="I12121" t="s">
        <v>105</v>
      </c>
      <c r="J12121">
        <v>567.54999999999995</v>
      </c>
      <c r="K12121">
        <v>109.85</v>
      </c>
      <c r="L12121">
        <v>17809</v>
      </c>
      <c r="M12121" t="s">
        <v>376</v>
      </c>
      <c r="N12121" t="str">
        <f>"10041162    "</f>
        <v xml:space="preserve">10041162    </v>
      </c>
      <c r="O12121">
        <v>230316</v>
      </c>
    </row>
    <row r="12122" spans="1:15" x14ac:dyDescent="0.25">
      <c r="A12122" t="s">
        <v>16</v>
      </c>
      <c r="B12122" t="s">
        <v>3221</v>
      </c>
      <c r="C12122">
        <v>4100</v>
      </c>
      <c r="D12122" t="s">
        <v>301</v>
      </c>
      <c r="E12122" t="s">
        <v>302</v>
      </c>
      <c r="F12122">
        <v>455.59</v>
      </c>
      <c r="G12122">
        <v>230329</v>
      </c>
      <c r="H12122">
        <v>4600</v>
      </c>
      <c r="I12122" t="s">
        <v>105</v>
      </c>
      <c r="J12122">
        <v>564.92999999999995</v>
      </c>
      <c r="K12122">
        <v>109.34</v>
      </c>
      <c r="L12122">
        <v>17809</v>
      </c>
      <c r="M12122" t="s">
        <v>376</v>
      </c>
      <c r="N12122" t="str">
        <f>"10042867    "</f>
        <v xml:space="preserve">10042867    </v>
      </c>
      <c r="O12122">
        <v>230330</v>
      </c>
    </row>
    <row r="12123" spans="1:15" x14ac:dyDescent="0.25">
      <c r="A12123" t="s">
        <v>16</v>
      </c>
      <c r="B12123" t="s">
        <v>3221</v>
      </c>
      <c r="C12123">
        <v>5928</v>
      </c>
      <c r="D12123" t="s">
        <v>301</v>
      </c>
      <c r="E12123" t="s">
        <v>302</v>
      </c>
      <c r="F12123">
        <v>468.11</v>
      </c>
      <c r="G12123">
        <v>230503</v>
      </c>
      <c r="H12123">
        <v>4600</v>
      </c>
      <c r="I12123" t="s">
        <v>105</v>
      </c>
      <c r="J12123">
        <v>580.46</v>
      </c>
      <c r="K12123">
        <v>112.35</v>
      </c>
      <c r="L12123">
        <v>17951</v>
      </c>
      <c r="M12123" t="s">
        <v>87</v>
      </c>
      <c r="N12123" t="str">
        <f>"10046561    "</f>
        <v xml:space="preserve">10046561    </v>
      </c>
      <c r="O12123">
        <v>230504</v>
      </c>
    </row>
    <row r="12124" spans="1:15" x14ac:dyDescent="0.25">
      <c r="A12124" t="s">
        <v>16</v>
      </c>
      <c r="B12124" t="s">
        <v>3221</v>
      </c>
      <c r="C12124">
        <v>6098</v>
      </c>
      <c r="D12124" t="s">
        <v>301</v>
      </c>
      <c r="E12124" t="s">
        <v>302</v>
      </c>
      <c r="F12124">
        <v>132</v>
      </c>
      <c r="G12124">
        <v>230414</v>
      </c>
      <c r="H12124">
        <v>4600</v>
      </c>
      <c r="I12124" t="s">
        <v>105</v>
      </c>
      <c r="J12124">
        <v>163.68</v>
      </c>
      <c r="K12124">
        <v>31.68</v>
      </c>
      <c r="L12124">
        <v>17809</v>
      </c>
      <c r="M12124" t="s">
        <v>376</v>
      </c>
      <c r="N12124" t="str">
        <f>"10044487    "</f>
        <v xml:space="preserve">10044487    </v>
      </c>
      <c r="O12124">
        <v>230508</v>
      </c>
    </row>
    <row r="12125" spans="1:15" x14ac:dyDescent="0.25">
      <c r="A12125" t="s">
        <v>16</v>
      </c>
      <c r="B12125" t="s">
        <v>3221</v>
      </c>
      <c r="C12125">
        <v>6206</v>
      </c>
      <c r="D12125" t="s">
        <v>301</v>
      </c>
      <c r="E12125" t="s">
        <v>302</v>
      </c>
      <c r="F12125">
        <v>242.27</v>
      </c>
      <c r="G12125">
        <v>230503</v>
      </c>
      <c r="H12125">
        <v>4600</v>
      </c>
      <c r="I12125" t="s">
        <v>105</v>
      </c>
      <c r="J12125">
        <v>300.42</v>
      </c>
      <c r="K12125">
        <v>58.15</v>
      </c>
      <c r="L12125">
        <v>17809</v>
      </c>
      <c r="M12125" t="s">
        <v>376</v>
      </c>
      <c r="N12125" t="str">
        <f>"10046605    "</f>
        <v xml:space="preserve">10046605    </v>
      </c>
      <c r="O12125">
        <v>230508</v>
      </c>
    </row>
    <row r="12126" spans="1:15" x14ac:dyDescent="0.25">
      <c r="A12126" t="s">
        <v>16</v>
      </c>
      <c r="B12126" t="s">
        <v>3221</v>
      </c>
      <c r="C12126">
        <v>6290</v>
      </c>
      <c r="D12126" t="s">
        <v>301</v>
      </c>
      <c r="E12126" t="s">
        <v>302</v>
      </c>
      <c r="F12126">
        <v>313.74</v>
      </c>
      <c r="G12126">
        <v>230505</v>
      </c>
      <c r="H12126">
        <v>4600</v>
      </c>
      <c r="I12126" t="s">
        <v>105</v>
      </c>
      <c r="J12126">
        <v>389.04</v>
      </c>
      <c r="K12126">
        <v>75.3</v>
      </c>
      <c r="L12126">
        <v>17809</v>
      </c>
      <c r="M12126" t="s">
        <v>376</v>
      </c>
      <c r="N12126" t="str">
        <f>"10047026    "</f>
        <v xml:space="preserve">10047026    </v>
      </c>
      <c r="O12126">
        <v>230509</v>
      </c>
    </row>
    <row r="12127" spans="1:15" x14ac:dyDescent="0.25">
      <c r="A12127" t="s">
        <v>16</v>
      </c>
      <c r="B12127" t="s">
        <v>3221</v>
      </c>
      <c r="C12127">
        <v>7007</v>
      </c>
      <c r="D12127" t="s">
        <v>301</v>
      </c>
      <c r="E12127" t="s">
        <v>302</v>
      </c>
      <c r="F12127">
        <v>6580.09</v>
      </c>
      <c r="G12127">
        <v>230505</v>
      </c>
      <c r="H12127">
        <v>4600</v>
      </c>
      <c r="I12127" t="s">
        <v>105</v>
      </c>
      <c r="J12127">
        <v>8159.31</v>
      </c>
      <c r="K12127">
        <v>1579.22</v>
      </c>
      <c r="L12127">
        <v>17819</v>
      </c>
      <c r="M12127" t="s">
        <v>2044</v>
      </c>
      <c r="N12127" t="str">
        <f>"10046898    "</f>
        <v xml:space="preserve">10046898    </v>
      </c>
      <c r="O12127">
        <v>230524</v>
      </c>
    </row>
    <row r="12128" spans="1:15" x14ac:dyDescent="0.25">
      <c r="A12128" t="s">
        <v>16</v>
      </c>
      <c r="B12128" t="s">
        <v>3221</v>
      </c>
      <c r="C12128">
        <v>7011</v>
      </c>
      <c r="D12128" t="s">
        <v>301</v>
      </c>
      <c r="E12128" t="s">
        <v>302</v>
      </c>
      <c r="F12128">
        <v>468.11</v>
      </c>
      <c r="G12128">
        <v>230427</v>
      </c>
      <c r="H12128">
        <v>4600</v>
      </c>
      <c r="I12128" t="s">
        <v>105</v>
      </c>
      <c r="J12128">
        <v>580.46</v>
      </c>
      <c r="K12128">
        <v>112.35</v>
      </c>
      <c r="L12128">
        <v>17809</v>
      </c>
      <c r="M12128" t="s">
        <v>376</v>
      </c>
      <c r="N12128" t="str">
        <f>"10046053    "</f>
        <v xml:space="preserve">10046053    </v>
      </c>
      <c r="O12128">
        <v>230524</v>
      </c>
    </row>
    <row r="12129" spans="1:15" x14ac:dyDescent="0.25">
      <c r="A12129" t="s">
        <v>16</v>
      </c>
      <c r="B12129" t="s">
        <v>3221</v>
      </c>
      <c r="C12129">
        <v>7159</v>
      </c>
      <c r="D12129" t="s">
        <v>301</v>
      </c>
      <c r="E12129" t="s">
        <v>302</v>
      </c>
      <c r="F12129">
        <v>219.65</v>
      </c>
      <c r="G12129">
        <v>230512</v>
      </c>
      <c r="H12129">
        <v>4600</v>
      </c>
      <c r="I12129" t="s">
        <v>105</v>
      </c>
      <c r="J12129">
        <v>272.37</v>
      </c>
      <c r="K12129">
        <v>52.72</v>
      </c>
      <c r="L12129">
        <v>17809</v>
      </c>
      <c r="M12129" t="s">
        <v>376</v>
      </c>
      <c r="N12129" t="str">
        <f>"10047929    "</f>
        <v xml:space="preserve">10047929    </v>
      </c>
      <c r="O12129">
        <v>230525</v>
      </c>
    </row>
    <row r="12130" spans="1:15" x14ac:dyDescent="0.25">
      <c r="A12130" t="s">
        <v>16</v>
      </c>
      <c r="B12130" t="s">
        <v>3221</v>
      </c>
      <c r="C12130">
        <v>7172</v>
      </c>
      <c r="D12130" t="s">
        <v>301</v>
      </c>
      <c r="E12130" t="s">
        <v>302</v>
      </c>
      <c r="F12130">
        <v>602.01</v>
      </c>
      <c r="G12130">
        <v>230516</v>
      </c>
      <c r="H12130">
        <v>4600</v>
      </c>
      <c r="I12130" t="s">
        <v>105</v>
      </c>
      <c r="J12130">
        <v>746.49</v>
      </c>
      <c r="K12130">
        <v>144.47999999999999</v>
      </c>
      <c r="L12130">
        <v>17809</v>
      </c>
      <c r="M12130" t="s">
        <v>376</v>
      </c>
      <c r="N12130" t="str">
        <f>"10048438    "</f>
        <v xml:space="preserve">10048438    </v>
      </c>
      <c r="O12130">
        <v>230525</v>
      </c>
    </row>
    <row r="12131" spans="1:15" x14ac:dyDescent="0.25">
      <c r="A12131" t="s">
        <v>16</v>
      </c>
      <c r="B12131" t="s">
        <v>3221</v>
      </c>
      <c r="C12131">
        <v>7265</v>
      </c>
      <c r="D12131" t="s">
        <v>301</v>
      </c>
      <c r="E12131" t="s">
        <v>302</v>
      </c>
      <c r="F12131">
        <v>483.27</v>
      </c>
      <c r="G12131">
        <v>230523</v>
      </c>
      <c r="H12131">
        <v>4600</v>
      </c>
      <c r="I12131" t="s">
        <v>105</v>
      </c>
      <c r="J12131">
        <v>599.25</v>
      </c>
      <c r="K12131">
        <v>115.98</v>
      </c>
      <c r="L12131">
        <v>17809</v>
      </c>
      <c r="M12131" t="s">
        <v>376</v>
      </c>
      <c r="N12131" t="str">
        <f>"10049160    "</f>
        <v xml:space="preserve">10049160    </v>
      </c>
      <c r="O12131">
        <v>230526</v>
      </c>
    </row>
    <row r="12132" spans="1:15" x14ac:dyDescent="0.25">
      <c r="A12132" t="s">
        <v>16</v>
      </c>
      <c r="B12132" t="s">
        <v>3221</v>
      </c>
      <c r="C12132">
        <v>7528</v>
      </c>
      <c r="D12132" t="s">
        <v>301</v>
      </c>
      <c r="E12132" t="s">
        <v>302</v>
      </c>
      <c r="F12132">
        <v>70.58</v>
      </c>
      <c r="G12132">
        <v>230529</v>
      </c>
      <c r="H12132">
        <v>4600</v>
      </c>
      <c r="I12132" t="s">
        <v>105</v>
      </c>
      <c r="J12132">
        <v>87.52</v>
      </c>
      <c r="K12132">
        <v>16.940000000000001</v>
      </c>
      <c r="L12132">
        <v>17809</v>
      </c>
      <c r="M12132" t="s">
        <v>376</v>
      </c>
      <c r="N12132" t="str">
        <f>"10049847    "</f>
        <v xml:space="preserve">10049847    </v>
      </c>
      <c r="O12132">
        <v>230531</v>
      </c>
    </row>
    <row r="12133" spans="1:15" x14ac:dyDescent="0.25">
      <c r="A12133" t="s">
        <v>16</v>
      </c>
      <c r="B12133" t="s">
        <v>3221</v>
      </c>
      <c r="C12133">
        <v>8058</v>
      </c>
      <c r="D12133" t="s">
        <v>301</v>
      </c>
      <c r="E12133" t="s">
        <v>302</v>
      </c>
      <c r="F12133">
        <v>16.18</v>
      </c>
      <c r="G12133">
        <v>230531</v>
      </c>
      <c r="H12133">
        <v>4600</v>
      </c>
      <c r="I12133" t="s">
        <v>105</v>
      </c>
      <c r="J12133">
        <v>20.059999999999999</v>
      </c>
      <c r="K12133">
        <v>3.88</v>
      </c>
      <c r="L12133">
        <v>17809</v>
      </c>
      <c r="M12133" t="s">
        <v>376</v>
      </c>
      <c r="N12133" t="str">
        <f>"6002914     "</f>
        <v xml:space="preserve">6002914     </v>
      </c>
      <c r="O12133">
        <v>230607</v>
      </c>
    </row>
    <row r="12134" spans="1:15" x14ac:dyDescent="0.25">
      <c r="A12134" t="s">
        <v>16</v>
      </c>
      <c r="B12134" t="s">
        <v>3221</v>
      </c>
      <c r="C12134">
        <v>10353</v>
      </c>
      <c r="D12134" t="s">
        <v>301</v>
      </c>
      <c r="E12134" t="s">
        <v>302</v>
      </c>
      <c r="F12134">
        <v>1006</v>
      </c>
      <c r="G12134">
        <v>230801</v>
      </c>
      <c r="H12134">
        <v>4600</v>
      </c>
      <c r="I12134" t="s">
        <v>105</v>
      </c>
      <c r="J12134">
        <v>1247.44</v>
      </c>
      <c r="K12134">
        <v>241.44</v>
      </c>
      <c r="L12134">
        <v>17809</v>
      </c>
      <c r="M12134" t="s">
        <v>376</v>
      </c>
      <c r="N12134" t="str">
        <f>"10057365    "</f>
        <v xml:space="preserve">10057365    </v>
      </c>
      <c r="O12134">
        <v>230814</v>
      </c>
    </row>
    <row r="12135" spans="1:15" x14ac:dyDescent="0.25">
      <c r="A12135" t="s">
        <v>16</v>
      </c>
      <c r="B12135" t="s">
        <v>3221</v>
      </c>
      <c r="C12135">
        <v>10606</v>
      </c>
      <c r="D12135" t="s">
        <v>301</v>
      </c>
      <c r="E12135" t="s">
        <v>302</v>
      </c>
      <c r="F12135">
        <v>66.88</v>
      </c>
      <c r="G12135">
        <v>230815</v>
      </c>
      <c r="H12135">
        <v>4600</v>
      </c>
      <c r="I12135" t="s">
        <v>105</v>
      </c>
      <c r="J12135">
        <v>82.93</v>
      </c>
      <c r="K12135">
        <v>16.05</v>
      </c>
      <c r="L12135">
        <v>17809</v>
      </c>
      <c r="M12135" t="s">
        <v>376</v>
      </c>
      <c r="N12135" t="str">
        <f>"10058876    "</f>
        <v xml:space="preserve">10058876    </v>
      </c>
      <c r="O12135">
        <v>230818</v>
      </c>
    </row>
    <row r="12136" spans="1:15" x14ac:dyDescent="0.25">
      <c r="A12136" t="s">
        <v>16</v>
      </c>
      <c r="B12136" t="s">
        <v>3221</v>
      </c>
      <c r="C12136">
        <v>10728</v>
      </c>
      <c r="D12136" t="s">
        <v>301</v>
      </c>
      <c r="E12136" t="s">
        <v>302</v>
      </c>
      <c r="F12136">
        <v>208.06</v>
      </c>
      <c r="G12136">
        <v>230814</v>
      </c>
      <c r="H12136">
        <v>4600</v>
      </c>
      <c r="I12136" t="s">
        <v>105</v>
      </c>
      <c r="J12136">
        <v>257.99</v>
      </c>
      <c r="K12136">
        <v>49.93</v>
      </c>
      <c r="L12136">
        <v>17809</v>
      </c>
      <c r="M12136" t="s">
        <v>376</v>
      </c>
      <c r="N12136" t="str">
        <f>"10058819    "</f>
        <v xml:space="preserve">10058819    </v>
      </c>
      <c r="O12136">
        <v>230822</v>
      </c>
    </row>
    <row r="12137" spans="1:15" x14ac:dyDescent="0.25">
      <c r="A12137" t="s">
        <v>16</v>
      </c>
      <c r="B12137" t="s">
        <v>3221</v>
      </c>
      <c r="C12137">
        <v>10755</v>
      </c>
      <c r="D12137" t="s">
        <v>301</v>
      </c>
      <c r="E12137" t="s">
        <v>302</v>
      </c>
      <c r="F12137">
        <v>131.66999999999999</v>
      </c>
      <c r="G12137">
        <v>230821</v>
      </c>
      <c r="H12137">
        <v>4600</v>
      </c>
      <c r="I12137" t="s">
        <v>105</v>
      </c>
      <c r="J12137">
        <v>163.27000000000001</v>
      </c>
      <c r="K12137">
        <v>31.6</v>
      </c>
      <c r="L12137">
        <v>17809</v>
      </c>
      <c r="M12137" t="s">
        <v>376</v>
      </c>
      <c r="N12137" t="str">
        <f>"10059694    "</f>
        <v xml:space="preserve">10059694    </v>
      </c>
      <c r="O12137">
        <v>230822</v>
      </c>
    </row>
    <row r="12138" spans="1:15" x14ac:dyDescent="0.25">
      <c r="A12138" t="s">
        <v>16</v>
      </c>
      <c r="B12138" t="s">
        <v>3221</v>
      </c>
      <c r="C12138">
        <v>11595</v>
      </c>
      <c r="D12138" t="s">
        <v>301</v>
      </c>
      <c r="E12138" t="s">
        <v>302</v>
      </c>
      <c r="F12138">
        <v>198.6</v>
      </c>
      <c r="G12138">
        <v>230830</v>
      </c>
      <c r="H12138">
        <v>4600</v>
      </c>
      <c r="I12138" t="s">
        <v>105</v>
      </c>
      <c r="J12138">
        <v>246.26</v>
      </c>
      <c r="K12138">
        <v>47.66</v>
      </c>
      <c r="L12138">
        <v>17809</v>
      </c>
      <c r="M12138" t="s">
        <v>376</v>
      </c>
      <c r="N12138" t="str">
        <f>"10060720    "</f>
        <v xml:space="preserve">10060720    </v>
      </c>
      <c r="O12138">
        <v>230907</v>
      </c>
    </row>
    <row r="12139" spans="1:15" x14ac:dyDescent="0.25">
      <c r="A12139" t="s">
        <v>16</v>
      </c>
      <c r="B12139" t="s">
        <v>3221</v>
      </c>
      <c r="C12139">
        <v>11642</v>
      </c>
      <c r="D12139" t="s">
        <v>301</v>
      </c>
      <c r="E12139" t="s">
        <v>302</v>
      </c>
      <c r="F12139">
        <v>442.19</v>
      </c>
      <c r="G12139">
        <v>230905</v>
      </c>
      <c r="H12139">
        <v>4600</v>
      </c>
      <c r="I12139" t="s">
        <v>105</v>
      </c>
      <c r="J12139">
        <v>548.30999999999995</v>
      </c>
      <c r="K12139">
        <v>106.12</v>
      </c>
      <c r="L12139">
        <v>17809</v>
      </c>
      <c r="M12139" t="s">
        <v>376</v>
      </c>
      <c r="N12139" t="str">
        <f>"10061414    "</f>
        <v xml:space="preserve">10061414    </v>
      </c>
      <c r="O12139">
        <v>230907</v>
      </c>
    </row>
    <row r="12140" spans="1:15" x14ac:dyDescent="0.25">
      <c r="A12140" t="s">
        <v>16</v>
      </c>
      <c r="B12140" t="s">
        <v>3221</v>
      </c>
      <c r="C12140">
        <v>12668</v>
      </c>
      <c r="D12140" t="s">
        <v>301</v>
      </c>
      <c r="E12140" t="s">
        <v>302</v>
      </c>
      <c r="F12140">
        <v>537.09</v>
      </c>
      <c r="G12140">
        <v>230920</v>
      </c>
      <c r="H12140">
        <v>4600</v>
      </c>
      <c r="I12140" t="s">
        <v>105</v>
      </c>
      <c r="J12140">
        <v>665.99</v>
      </c>
      <c r="K12140">
        <v>128.9</v>
      </c>
      <c r="L12140">
        <v>17819</v>
      </c>
      <c r="M12140" t="s">
        <v>2044</v>
      </c>
      <c r="N12140" t="str">
        <f>"10063263    "</f>
        <v xml:space="preserve">10063263    </v>
      </c>
      <c r="O12140">
        <v>230922</v>
      </c>
    </row>
    <row r="12141" spans="1:15" x14ac:dyDescent="0.25">
      <c r="A12141" t="s">
        <v>16</v>
      </c>
      <c r="B12141" t="s">
        <v>3221</v>
      </c>
      <c r="C12141">
        <v>12860</v>
      </c>
      <c r="D12141" t="s">
        <v>301</v>
      </c>
      <c r="E12141" t="s">
        <v>302</v>
      </c>
      <c r="F12141">
        <v>190.8</v>
      </c>
      <c r="G12141">
        <v>230921</v>
      </c>
      <c r="H12141">
        <v>4600</v>
      </c>
      <c r="I12141" t="s">
        <v>105</v>
      </c>
      <c r="J12141">
        <v>236.59</v>
      </c>
      <c r="K12141">
        <v>45.79</v>
      </c>
      <c r="L12141">
        <v>17819</v>
      </c>
      <c r="M12141" t="s">
        <v>2044</v>
      </c>
      <c r="N12141" t="str">
        <f>"10063403    "</f>
        <v xml:space="preserve">10063403    </v>
      </c>
      <c r="O12141">
        <v>230928</v>
      </c>
    </row>
    <row r="12142" spans="1:15" x14ac:dyDescent="0.25">
      <c r="A12142" t="s">
        <v>16</v>
      </c>
      <c r="B12142" t="s">
        <v>3221</v>
      </c>
      <c r="C12142">
        <v>12862</v>
      </c>
      <c r="D12142" t="s">
        <v>301</v>
      </c>
      <c r="E12142" t="s">
        <v>302</v>
      </c>
      <c r="F12142">
        <v>69.430000000000007</v>
      </c>
      <c r="G12142">
        <v>230925</v>
      </c>
      <c r="H12142">
        <v>4600</v>
      </c>
      <c r="I12142" t="s">
        <v>105</v>
      </c>
      <c r="J12142">
        <v>86.09</v>
      </c>
      <c r="K12142">
        <v>16.66</v>
      </c>
      <c r="L12142">
        <v>17809</v>
      </c>
      <c r="M12142" t="s">
        <v>376</v>
      </c>
      <c r="N12142" t="str">
        <f>"10063823    "</f>
        <v xml:space="preserve">10063823    </v>
      </c>
      <c r="O12142">
        <v>230928</v>
      </c>
    </row>
    <row r="12143" spans="1:15" x14ac:dyDescent="0.25">
      <c r="A12143" t="s">
        <v>16</v>
      </c>
      <c r="B12143" t="s">
        <v>3221</v>
      </c>
      <c r="C12143">
        <v>13100</v>
      </c>
      <c r="D12143" t="s">
        <v>301</v>
      </c>
      <c r="E12143" t="s">
        <v>302</v>
      </c>
      <c r="F12143">
        <v>334.11</v>
      </c>
      <c r="G12143">
        <v>230927</v>
      </c>
      <c r="H12143">
        <v>4600</v>
      </c>
      <c r="I12143" t="s">
        <v>105</v>
      </c>
      <c r="J12143">
        <v>414.3</v>
      </c>
      <c r="K12143">
        <v>80.19</v>
      </c>
      <c r="L12143">
        <v>17809</v>
      </c>
      <c r="M12143" t="s">
        <v>376</v>
      </c>
      <c r="N12143" t="str">
        <f>"10064126    "</f>
        <v xml:space="preserve">10064126    </v>
      </c>
      <c r="O12143">
        <v>231003</v>
      </c>
    </row>
    <row r="12144" spans="1:15" x14ac:dyDescent="0.25">
      <c r="A12144" t="s">
        <v>16</v>
      </c>
      <c r="B12144" t="s">
        <v>3221</v>
      </c>
      <c r="C12144">
        <v>14542</v>
      </c>
      <c r="D12144" t="s">
        <v>301</v>
      </c>
      <c r="E12144" t="s">
        <v>302</v>
      </c>
      <c r="F12144">
        <v>337.74</v>
      </c>
      <c r="G12144">
        <v>231012</v>
      </c>
      <c r="H12144">
        <v>4600</v>
      </c>
      <c r="I12144" t="s">
        <v>105</v>
      </c>
      <c r="J12144">
        <v>418.8</v>
      </c>
      <c r="K12144">
        <v>81.06</v>
      </c>
      <c r="L12144">
        <v>17809</v>
      </c>
      <c r="M12144" t="s">
        <v>376</v>
      </c>
      <c r="N12144" t="str">
        <f>"10065975    "</f>
        <v xml:space="preserve">10065975    </v>
      </c>
      <c r="O12144">
        <v>231030</v>
      </c>
    </row>
    <row r="12145" spans="1:15" x14ac:dyDescent="0.25">
      <c r="A12145" t="s">
        <v>16</v>
      </c>
      <c r="B12145" t="s">
        <v>3221</v>
      </c>
      <c r="C12145">
        <v>14651</v>
      </c>
      <c r="D12145" t="s">
        <v>301</v>
      </c>
      <c r="E12145" t="s">
        <v>302</v>
      </c>
      <c r="F12145">
        <v>486.47</v>
      </c>
      <c r="G12145">
        <v>231024</v>
      </c>
      <c r="H12145">
        <v>4600</v>
      </c>
      <c r="I12145" t="s">
        <v>105</v>
      </c>
      <c r="J12145">
        <v>603.22</v>
      </c>
      <c r="K12145">
        <v>116.75</v>
      </c>
      <c r="L12145">
        <v>17809</v>
      </c>
      <c r="M12145" t="s">
        <v>376</v>
      </c>
      <c r="N12145" t="str">
        <f>"10067286    "</f>
        <v xml:space="preserve">10067286    </v>
      </c>
      <c r="O12145">
        <v>231031</v>
      </c>
    </row>
    <row r="12146" spans="1:15" x14ac:dyDescent="0.25">
      <c r="A12146" t="s">
        <v>16</v>
      </c>
      <c r="B12146" t="s">
        <v>3221</v>
      </c>
      <c r="C12146">
        <v>15529</v>
      </c>
      <c r="D12146" t="s">
        <v>301</v>
      </c>
      <c r="E12146" t="s">
        <v>302</v>
      </c>
      <c r="F12146">
        <v>99.85</v>
      </c>
      <c r="G12146">
        <v>231106</v>
      </c>
      <c r="H12146">
        <v>4600</v>
      </c>
      <c r="I12146" t="s">
        <v>105</v>
      </c>
      <c r="J12146">
        <v>123.81</v>
      </c>
      <c r="K12146">
        <v>23.96</v>
      </c>
      <c r="L12146">
        <v>17809</v>
      </c>
      <c r="M12146" t="s">
        <v>376</v>
      </c>
      <c r="N12146" t="str">
        <f>"10068979    "</f>
        <v xml:space="preserve">10068979    </v>
      </c>
      <c r="O12146">
        <v>231113</v>
      </c>
    </row>
    <row r="12147" spans="1:15" x14ac:dyDescent="0.25">
      <c r="A12147" t="s">
        <v>16</v>
      </c>
      <c r="B12147" t="s">
        <v>3221</v>
      </c>
      <c r="C12147">
        <v>15543</v>
      </c>
      <c r="D12147" t="s">
        <v>301</v>
      </c>
      <c r="E12147" t="s">
        <v>302</v>
      </c>
      <c r="F12147">
        <v>99.14</v>
      </c>
      <c r="G12147">
        <v>231108</v>
      </c>
      <c r="H12147">
        <v>4600</v>
      </c>
      <c r="I12147" t="s">
        <v>105</v>
      </c>
      <c r="J12147">
        <v>122.93</v>
      </c>
      <c r="K12147">
        <v>23.79</v>
      </c>
      <c r="L12147">
        <v>17809</v>
      </c>
      <c r="M12147" t="s">
        <v>376</v>
      </c>
      <c r="N12147" t="str">
        <f>"10069329    "</f>
        <v xml:space="preserve">10069329    </v>
      </c>
      <c r="O12147">
        <v>231113</v>
      </c>
    </row>
    <row r="12148" spans="1:15" x14ac:dyDescent="0.25">
      <c r="A12148" t="s">
        <v>16</v>
      </c>
      <c r="B12148" t="s">
        <v>3221</v>
      </c>
      <c r="C12148">
        <v>15749</v>
      </c>
      <c r="D12148" t="s">
        <v>301</v>
      </c>
      <c r="E12148" t="s">
        <v>302</v>
      </c>
      <c r="F12148">
        <v>73.319999999999993</v>
      </c>
      <c r="G12148">
        <v>231114</v>
      </c>
      <c r="H12148">
        <v>4600</v>
      </c>
      <c r="I12148" t="s">
        <v>105</v>
      </c>
      <c r="J12148">
        <v>90.92</v>
      </c>
      <c r="K12148">
        <v>17.600000000000001</v>
      </c>
      <c r="L12148">
        <v>17809</v>
      </c>
      <c r="M12148" t="s">
        <v>376</v>
      </c>
      <c r="N12148" t="str">
        <f>"10069998    "</f>
        <v xml:space="preserve">10069998    </v>
      </c>
      <c r="O12148">
        <v>231116</v>
      </c>
    </row>
    <row r="12149" spans="1:15" x14ac:dyDescent="0.25">
      <c r="A12149" t="s">
        <v>16</v>
      </c>
      <c r="B12149" t="s">
        <v>3221</v>
      </c>
      <c r="C12149">
        <v>16115</v>
      </c>
      <c r="D12149" t="s">
        <v>301</v>
      </c>
      <c r="E12149" t="s">
        <v>302</v>
      </c>
      <c r="F12149">
        <v>63.61</v>
      </c>
      <c r="G12149">
        <v>231117</v>
      </c>
      <c r="H12149">
        <v>4600</v>
      </c>
      <c r="I12149" t="s">
        <v>105</v>
      </c>
      <c r="J12149">
        <v>78.88</v>
      </c>
      <c r="K12149">
        <v>15.27</v>
      </c>
      <c r="L12149">
        <v>17809</v>
      </c>
      <c r="M12149" t="s">
        <v>376</v>
      </c>
      <c r="N12149" t="str">
        <f>"10070291    "</f>
        <v xml:space="preserve">10070291    </v>
      </c>
      <c r="O12149">
        <v>231122</v>
      </c>
    </row>
    <row r="12150" spans="1:15" x14ac:dyDescent="0.25">
      <c r="A12150" t="s">
        <v>16</v>
      </c>
      <c r="B12150" t="s">
        <v>3221</v>
      </c>
      <c r="C12150">
        <v>17340</v>
      </c>
      <c r="D12150" t="s">
        <v>301</v>
      </c>
      <c r="E12150" t="s">
        <v>302</v>
      </c>
      <c r="F12150">
        <v>88.4</v>
      </c>
      <c r="G12150">
        <v>231208</v>
      </c>
      <c r="H12150">
        <v>4600</v>
      </c>
      <c r="I12150" t="s">
        <v>105</v>
      </c>
      <c r="J12150">
        <v>109.61</v>
      </c>
      <c r="K12150">
        <v>21.21</v>
      </c>
      <c r="L12150">
        <v>17809</v>
      </c>
      <c r="M12150" t="s">
        <v>376</v>
      </c>
      <c r="N12150" t="str">
        <f>"10072646    "</f>
        <v xml:space="preserve">10072646    </v>
      </c>
      <c r="O12150">
        <v>231213</v>
      </c>
    </row>
    <row r="12151" spans="1:15" x14ac:dyDescent="0.25">
      <c r="A12151" t="s">
        <v>16</v>
      </c>
      <c r="B12151" t="s">
        <v>3221</v>
      </c>
      <c r="C12151">
        <v>190</v>
      </c>
      <c r="D12151" t="s">
        <v>301</v>
      </c>
      <c r="E12151" t="s">
        <v>302</v>
      </c>
      <c r="F12151">
        <v>474.23</v>
      </c>
      <c r="G12151">
        <v>230111</v>
      </c>
      <c r="H12151">
        <v>4590</v>
      </c>
      <c r="I12151" t="s">
        <v>203</v>
      </c>
      <c r="J12151">
        <v>588.04</v>
      </c>
      <c r="K12151">
        <v>113.81</v>
      </c>
      <c r="L12151">
        <v>17951</v>
      </c>
      <c r="M12151" t="s">
        <v>87</v>
      </c>
      <c r="N12151" t="str">
        <f>"10033961    "</f>
        <v xml:space="preserve">10033961    </v>
      </c>
      <c r="O12151">
        <v>230116</v>
      </c>
    </row>
    <row r="12152" spans="1:15" x14ac:dyDescent="0.25">
      <c r="A12152" t="s">
        <v>16</v>
      </c>
      <c r="B12152" t="s">
        <v>3221</v>
      </c>
      <c r="C12152">
        <v>249</v>
      </c>
      <c r="D12152" t="s">
        <v>301</v>
      </c>
      <c r="E12152" t="s">
        <v>302</v>
      </c>
      <c r="F12152">
        <v>2233.73</v>
      </c>
      <c r="G12152">
        <v>230111</v>
      </c>
      <c r="H12152">
        <v>4590</v>
      </c>
      <c r="I12152" t="s">
        <v>203</v>
      </c>
      <c r="J12152">
        <v>2769.83</v>
      </c>
      <c r="K12152">
        <v>536.1</v>
      </c>
      <c r="L12152">
        <v>17809</v>
      </c>
      <c r="M12152" t="s">
        <v>376</v>
      </c>
      <c r="N12152" t="str">
        <f>"10034024    "</f>
        <v xml:space="preserve">10034024    </v>
      </c>
      <c r="O12152">
        <v>230116</v>
      </c>
    </row>
    <row r="12153" spans="1:15" x14ac:dyDescent="0.25">
      <c r="A12153" t="s">
        <v>16</v>
      </c>
      <c r="B12153" t="s">
        <v>3221</v>
      </c>
      <c r="C12153">
        <v>2246</v>
      </c>
      <c r="D12153" t="s">
        <v>301</v>
      </c>
      <c r="E12153" t="s">
        <v>302</v>
      </c>
      <c r="F12153">
        <v>293.54000000000002</v>
      </c>
      <c r="G12153">
        <v>230207</v>
      </c>
      <c r="H12153">
        <v>4590</v>
      </c>
      <c r="I12153" t="s">
        <v>203</v>
      </c>
      <c r="J12153">
        <v>363.99</v>
      </c>
      <c r="K12153">
        <v>70.45</v>
      </c>
      <c r="L12153">
        <v>17951</v>
      </c>
      <c r="M12153" t="s">
        <v>87</v>
      </c>
      <c r="N12153" t="str">
        <f>"10037253    "</f>
        <v xml:space="preserve">10037253    </v>
      </c>
      <c r="O12153">
        <v>230223</v>
      </c>
    </row>
    <row r="12154" spans="1:15" x14ac:dyDescent="0.25">
      <c r="A12154" t="s">
        <v>16</v>
      </c>
      <c r="B12154" t="s">
        <v>3221</v>
      </c>
      <c r="C12154">
        <v>3807</v>
      </c>
      <c r="D12154" t="s">
        <v>301</v>
      </c>
      <c r="E12154" t="s">
        <v>302</v>
      </c>
      <c r="F12154">
        <v>373.19</v>
      </c>
      <c r="G12154">
        <v>230322</v>
      </c>
      <c r="H12154">
        <v>4590</v>
      </c>
      <c r="I12154" t="s">
        <v>203</v>
      </c>
      <c r="J12154">
        <v>462.76</v>
      </c>
      <c r="K12154">
        <v>89.57</v>
      </c>
      <c r="L12154">
        <v>17951</v>
      </c>
      <c r="M12154" t="s">
        <v>87</v>
      </c>
      <c r="N12154" t="str">
        <f>"10042126    "</f>
        <v xml:space="preserve">10042126    </v>
      </c>
      <c r="O12154">
        <v>230322</v>
      </c>
    </row>
    <row r="12155" spans="1:15" x14ac:dyDescent="0.25">
      <c r="A12155" t="s">
        <v>16</v>
      </c>
      <c r="B12155" t="s">
        <v>3221</v>
      </c>
      <c r="C12155">
        <v>5290</v>
      </c>
      <c r="D12155" t="s">
        <v>301</v>
      </c>
      <c r="E12155" t="s">
        <v>302</v>
      </c>
      <c r="F12155">
        <v>1213.27</v>
      </c>
      <c r="G12155">
        <v>230414</v>
      </c>
      <c r="H12155">
        <v>4590</v>
      </c>
      <c r="I12155" t="s">
        <v>203</v>
      </c>
      <c r="J12155">
        <v>1504.46</v>
      </c>
      <c r="K12155">
        <v>291.19</v>
      </c>
      <c r="L12155">
        <v>66756</v>
      </c>
      <c r="M12155" t="s">
        <v>209</v>
      </c>
      <c r="N12155" t="str">
        <f>"10044444    "</f>
        <v xml:space="preserve">10044444    </v>
      </c>
      <c r="O12155">
        <v>230420</v>
      </c>
    </row>
    <row r="12156" spans="1:15" x14ac:dyDescent="0.25">
      <c r="A12156" t="s">
        <v>16</v>
      </c>
      <c r="B12156" t="s">
        <v>3221</v>
      </c>
      <c r="C12156">
        <v>16774</v>
      </c>
      <c r="D12156" t="s">
        <v>301</v>
      </c>
      <c r="E12156" t="s">
        <v>302</v>
      </c>
      <c r="F12156">
        <v>2500.67</v>
      </c>
      <c r="G12156">
        <v>231129</v>
      </c>
      <c r="H12156">
        <v>4590</v>
      </c>
      <c r="I12156" t="s">
        <v>203</v>
      </c>
      <c r="J12156">
        <v>3100.83</v>
      </c>
      <c r="K12156">
        <v>600.16</v>
      </c>
      <c r="L12156">
        <v>66756</v>
      </c>
      <c r="M12156" t="s">
        <v>209</v>
      </c>
      <c r="N12156" t="str">
        <f>"10071672    "</f>
        <v xml:space="preserve">10071672    </v>
      </c>
      <c r="O12156">
        <v>231208</v>
      </c>
    </row>
    <row r="12157" spans="1:15" x14ac:dyDescent="0.25">
      <c r="A12157" t="s">
        <v>16</v>
      </c>
      <c r="B12157" t="s">
        <v>3221</v>
      </c>
      <c r="C12157">
        <v>16895</v>
      </c>
      <c r="D12157" t="s">
        <v>301</v>
      </c>
      <c r="E12157" t="s">
        <v>302</v>
      </c>
      <c r="F12157">
        <v>113.57</v>
      </c>
      <c r="G12157">
        <v>231201</v>
      </c>
      <c r="H12157">
        <v>4590</v>
      </c>
      <c r="I12157" t="s">
        <v>203</v>
      </c>
      <c r="J12157">
        <v>140.83000000000001</v>
      </c>
      <c r="K12157">
        <v>27.26</v>
      </c>
      <c r="L12157">
        <v>66756</v>
      </c>
      <c r="M12157" t="s">
        <v>209</v>
      </c>
      <c r="N12157" t="str">
        <f>"10072061    "</f>
        <v xml:space="preserve">10072061    </v>
      </c>
      <c r="O12157">
        <v>231211</v>
      </c>
    </row>
    <row r="12158" spans="1:15" x14ac:dyDescent="0.25">
      <c r="A12158" t="s">
        <v>16</v>
      </c>
      <c r="B12158" t="s">
        <v>3221</v>
      </c>
      <c r="C12158">
        <v>17297</v>
      </c>
      <c r="D12158" t="s">
        <v>3053</v>
      </c>
      <c r="E12158" t="s">
        <v>3054</v>
      </c>
      <c r="F12158">
        <v>3142.4</v>
      </c>
      <c r="G12158">
        <v>231211</v>
      </c>
      <c r="H12158">
        <v>4441</v>
      </c>
      <c r="I12158" t="s">
        <v>109</v>
      </c>
      <c r="J12158">
        <v>3896.58</v>
      </c>
      <c r="K12158">
        <v>754.18</v>
      </c>
      <c r="L12158">
        <v>11602</v>
      </c>
      <c r="M12158" t="s">
        <v>714</v>
      </c>
      <c r="N12158" t="str">
        <f>"20442       "</f>
        <v xml:space="preserve">20442       </v>
      </c>
      <c r="O12158">
        <v>231212</v>
      </c>
    </row>
    <row r="12159" spans="1:15" x14ac:dyDescent="0.25">
      <c r="A12159" t="s">
        <v>16</v>
      </c>
      <c r="B12159" t="s">
        <v>3221</v>
      </c>
      <c r="C12159">
        <v>325</v>
      </c>
      <c r="D12159" t="s">
        <v>320</v>
      </c>
      <c r="E12159" t="s">
        <v>321</v>
      </c>
      <c r="F12159">
        <v>555</v>
      </c>
      <c r="G12159">
        <v>230111</v>
      </c>
      <c r="H12159">
        <v>4580</v>
      </c>
      <c r="I12159" t="s">
        <v>35</v>
      </c>
      <c r="J12159">
        <v>688.2</v>
      </c>
      <c r="K12159">
        <v>133.19999999999999</v>
      </c>
      <c r="L12159">
        <v>17538</v>
      </c>
      <c r="M12159" t="s">
        <v>24</v>
      </c>
      <c r="N12159" t="str">
        <f>"2421746266  "</f>
        <v xml:space="preserve">2421746266  </v>
      </c>
      <c r="O12159">
        <v>230118</v>
      </c>
    </row>
    <row r="12160" spans="1:15" x14ac:dyDescent="0.25">
      <c r="A12160" t="s">
        <v>16</v>
      </c>
      <c r="B12160" t="s">
        <v>3221</v>
      </c>
      <c r="C12160">
        <v>325</v>
      </c>
      <c r="D12160" t="s">
        <v>320</v>
      </c>
      <c r="E12160" t="s">
        <v>321</v>
      </c>
      <c r="F12160">
        <v>555</v>
      </c>
      <c r="G12160">
        <v>230111</v>
      </c>
      <c r="H12160">
        <v>4580</v>
      </c>
      <c r="I12160" t="s">
        <v>35</v>
      </c>
      <c r="J12160">
        <v>688.2</v>
      </c>
      <c r="K12160">
        <v>133.19999999999999</v>
      </c>
      <c r="L12160">
        <v>17862</v>
      </c>
      <c r="M12160" t="s">
        <v>319</v>
      </c>
      <c r="N12160" t="str">
        <f>"2421746266  "</f>
        <v xml:space="preserve">2421746266  </v>
      </c>
      <c r="O12160">
        <v>230118</v>
      </c>
    </row>
    <row r="12161" spans="1:15" x14ac:dyDescent="0.25">
      <c r="A12161" t="s">
        <v>16</v>
      </c>
      <c r="B12161" t="s">
        <v>3221</v>
      </c>
      <c r="C12161">
        <v>328</v>
      </c>
      <c r="D12161" t="s">
        <v>320</v>
      </c>
      <c r="E12161" t="s">
        <v>321</v>
      </c>
      <c r="F12161">
        <v>171</v>
      </c>
      <c r="G12161">
        <v>230110</v>
      </c>
      <c r="H12161">
        <v>4580</v>
      </c>
      <c r="I12161" t="s">
        <v>35</v>
      </c>
      <c r="J12161">
        <v>212.04</v>
      </c>
      <c r="K12161">
        <v>41.04</v>
      </c>
      <c r="L12161">
        <v>17538</v>
      </c>
      <c r="M12161" t="s">
        <v>24</v>
      </c>
      <c r="N12161" t="str">
        <f>"2421745567  "</f>
        <v xml:space="preserve">2421745567  </v>
      </c>
      <c r="O12161">
        <v>230118</v>
      </c>
    </row>
    <row r="12162" spans="1:15" x14ac:dyDescent="0.25">
      <c r="A12162" t="s">
        <v>16</v>
      </c>
      <c r="B12162" t="s">
        <v>3221</v>
      </c>
      <c r="C12162">
        <v>328</v>
      </c>
      <c r="D12162" t="s">
        <v>320</v>
      </c>
      <c r="E12162" t="s">
        <v>321</v>
      </c>
      <c r="F12162">
        <v>171</v>
      </c>
      <c r="G12162">
        <v>230110</v>
      </c>
      <c r="H12162">
        <v>4580</v>
      </c>
      <c r="I12162" t="s">
        <v>35</v>
      </c>
      <c r="J12162">
        <v>212.04</v>
      </c>
      <c r="K12162">
        <v>41.04</v>
      </c>
      <c r="L12162">
        <v>17862</v>
      </c>
      <c r="M12162" t="s">
        <v>319</v>
      </c>
      <c r="N12162" t="str">
        <f>"2421745567  "</f>
        <v xml:space="preserve">2421745567  </v>
      </c>
      <c r="O12162">
        <v>230118</v>
      </c>
    </row>
    <row r="12163" spans="1:15" x14ac:dyDescent="0.25">
      <c r="A12163" t="s">
        <v>16</v>
      </c>
      <c r="B12163" t="s">
        <v>3221</v>
      </c>
      <c r="C12163">
        <v>3062</v>
      </c>
      <c r="D12163" t="s">
        <v>320</v>
      </c>
      <c r="E12163" t="s">
        <v>321</v>
      </c>
      <c r="F12163">
        <v>19.5</v>
      </c>
      <c r="G12163">
        <v>230302</v>
      </c>
      <c r="H12163">
        <v>4580</v>
      </c>
      <c r="I12163" t="s">
        <v>35</v>
      </c>
      <c r="J12163">
        <v>24.18</v>
      </c>
      <c r="K12163">
        <v>4.68</v>
      </c>
      <c r="L12163">
        <v>17808</v>
      </c>
      <c r="M12163" t="s">
        <v>322</v>
      </c>
      <c r="N12163" t="str">
        <f>"2421772426  "</f>
        <v xml:space="preserve">2421772426  </v>
      </c>
      <c r="O12163">
        <v>230308</v>
      </c>
    </row>
    <row r="12164" spans="1:15" x14ac:dyDescent="0.25">
      <c r="A12164" t="s">
        <v>16</v>
      </c>
      <c r="B12164" t="s">
        <v>3221</v>
      </c>
      <c r="C12164">
        <v>3344</v>
      </c>
      <c r="D12164" t="s">
        <v>320</v>
      </c>
      <c r="E12164" t="s">
        <v>321</v>
      </c>
      <c r="F12164">
        <v>297</v>
      </c>
      <c r="G12164">
        <v>230309</v>
      </c>
      <c r="H12164">
        <v>4580</v>
      </c>
      <c r="I12164" t="s">
        <v>35</v>
      </c>
      <c r="J12164">
        <v>368.28</v>
      </c>
      <c r="K12164">
        <v>71.28</v>
      </c>
      <c r="L12164">
        <v>61122</v>
      </c>
      <c r="M12164" t="s">
        <v>402</v>
      </c>
      <c r="N12164" t="str">
        <f>"2421775313  "</f>
        <v xml:space="preserve">2421775313  </v>
      </c>
      <c r="O12164">
        <v>230315</v>
      </c>
    </row>
    <row r="12165" spans="1:15" x14ac:dyDescent="0.25">
      <c r="A12165" t="s">
        <v>16</v>
      </c>
      <c r="B12165" t="s">
        <v>3221</v>
      </c>
      <c r="C12165">
        <v>3344</v>
      </c>
      <c r="D12165" t="s">
        <v>320</v>
      </c>
      <c r="E12165" t="s">
        <v>321</v>
      </c>
      <c r="F12165">
        <v>297</v>
      </c>
      <c r="G12165">
        <v>230309</v>
      </c>
      <c r="H12165">
        <v>4580</v>
      </c>
      <c r="I12165" t="s">
        <v>35</v>
      </c>
      <c r="J12165">
        <v>368.28</v>
      </c>
      <c r="K12165">
        <v>71.28</v>
      </c>
      <c r="L12165">
        <v>65222</v>
      </c>
      <c r="M12165" t="s">
        <v>487</v>
      </c>
      <c r="N12165" t="str">
        <f>"2421775313  "</f>
        <v xml:space="preserve">2421775313  </v>
      </c>
      <c r="O12165">
        <v>230315</v>
      </c>
    </row>
    <row r="12166" spans="1:15" x14ac:dyDescent="0.25">
      <c r="A12166" t="s">
        <v>16</v>
      </c>
      <c r="B12166" t="s">
        <v>3221</v>
      </c>
      <c r="C12166">
        <v>3753</v>
      </c>
      <c r="D12166" t="s">
        <v>320</v>
      </c>
      <c r="E12166" t="s">
        <v>321</v>
      </c>
      <c r="F12166">
        <v>1514</v>
      </c>
      <c r="G12166">
        <v>230320</v>
      </c>
      <c r="H12166">
        <v>4580</v>
      </c>
      <c r="I12166" t="s">
        <v>35</v>
      </c>
      <c r="J12166">
        <v>1877.36</v>
      </c>
      <c r="K12166">
        <v>363.36</v>
      </c>
      <c r="L12166">
        <v>17951</v>
      </c>
      <c r="M12166" t="s">
        <v>87</v>
      </c>
      <c r="N12166" t="str">
        <f>"2421779573  "</f>
        <v xml:space="preserve">2421779573  </v>
      </c>
      <c r="O12166">
        <v>230321</v>
      </c>
    </row>
    <row r="12167" spans="1:15" x14ac:dyDescent="0.25">
      <c r="A12167" t="s">
        <v>16</v>
      </c>
      <c r="B12167" t="s">
        <v>3221</v>
      </c>
      <c r="C12167">
        <v>5919</v>
      </c>
      <c r="D12167" t="s">
        <v>320</v>
      </c>
      <c r="E12167" t="s">
        <v>321</v>
      </c>
      <c r="F12167">
        <v>956</v>
      </c>
      <c r="G12167">
        <v>230430</v>
      </c>
      <c r="H12167">
        <v>4580</v>
      </c>
      <c r="I12167" t="s">
        <v>35</v>
      </c>
      <c r="J12167">
        <v>1185.44</v>
      </c>
      <c r="K12167">
        <v>229.44</v>
      </c>
      <c r="L12167">
        <v>61122</v>
      </c>
      <c r="M12167" t="s">
        <v>402</v>
      </c>
      <c r="N12167" t="str">
        <f>"2421798936  "</f>
        <v xml:space="preserve">2421798936  </v>
      </c>
      <c r="O12167">
        <v>230503</v>
      </c>
    </row>
    <row r="12168" spans="1:15" x14ac:dyDescent="0.25">
      <c r="A12168" t="s">
        <v>16</v>
      </c>
      <c r="B12168" t="s">
        <v>3221</v>
      </c>
      <c r="C12168">
        <v>10101</v>
      </c>
      <c r="D12168" t="s">
        <v>320</v>
      </c>
      <c r="E12168" t="s">
        <v>321</v>
      </c>
      <c r="F12168">
        <v>202</v>
      </c>
      <c r="G12168">
        <v>230731</v>
      </c>
      <c r="H12168">
        <v>4580</v>
      </c>
      <c r="I12168" t="s">
        <v>35</v>
      </c>
      <c r="J12168">
        <v>250.48</v>
      </c>
      <c r="K12168">
        <v>48.48</v>
      </c>
      <c r="L12168">
        <v>17951</v>
      </c>
      <c r="M12168" t="s">
        <v>87</v>
      </c>
      <c r="N12168" t="str">
        <f>"2421835085  "</f>
        <v xml:space="preserve">2421835085  </v>
      </c>
      <c r="O12168">
        <v>230808</v>
      </c>
    </row>
    <row r="12169" spans="1:15" x14ac:dyDescent="0.25">
      <c r="A12169" t="s">
        <v>16</v>
      </c>
      <c r="B12169" t="s">
        <v>3221</v>
      </c>
      <c r="C12169">
        <v>14666</v>
      </c>
      <c r="D12169" t="s">
        <v>320</v>
      </c>
      <c r="E12169" t="s">
        <v>321</v>
      </c>
      <c r="F12169">
        <v>239.01</v>
      </c>
      <c r="G12169">
        <v>231027</v>
      </c>
      <c r="H12169">
        <v>4580</v>
      </c>
      <c r="I12169" t="s">
        <v>35</v>
      </c>
      <c r="J12169">
        <v>296.37</v>
      </c>
      <c r="K12169">
        <v>57.36</v>
      </c>
      <c r="L12169">
        <v>17913</v>
      </c>
      <c r="M12169" t="s">
        <v>431</v>
      </c>
      <c r="N12169" t="str">
        <f>"2421876381  "</f>
        <v xml:space="preserve">2421876381  </v>
      </c>
      <c r="O12169">
        <v>231031</v>
      </c>
    </row>
    <row r="12170" spans="1:15" x14ac:dyDescent="0.25">
      <c r="A12170" t="s">
        <v>16</v>
      </c>
      <c r="B12170" t="s">
        <v>3221</v>
      </c>
      <c r="C12170">
        <v>16151</v>
      </c>
      <c r="D12170" t="s">
        <v>320</v>
      </c>
      <c r="E12170" t="s">
        <v>321</v>
      </c>
      <c r="F12170">
        <v>600</v>
      </c>
      <c r="G12170">
        <v>231120</v>
      </c>
      <c r="H12170">
        <v>4580</v>
      </c>
      <c r="I12170" t="s">
        <v>35</v>
      </c>
      <c r="J12170">
        <v>744</v>
      </c>
      <c r="K12170">
        <v>144</v>
      </c>
      <c r="L12170">
        <v>17802</v>
      </c>
      <c r="M12170" t="s">
        <v>174</v>
      </c>
      <c r="N12170" t="str">
        <f>"2421888313  "</f>
        <v xml:space="preserve">2421888313  </v>
      </c>
      <c r="O12170">
        <v>231123</v>
      </c>
    </row>
    <row r="12171" spans="1:15" x14ac:dyDescent="0.25">
      <c r="A12171" t="s">
        <v>16</v>
      </c>
      <c r="B12171" t="s">
        <v>3221</v>
      </c>
      <c r="C12171">
        <v>17614</v>
      </c>
      <c r="D12171" t="s">
        <v>320</v>
      </c>
      <c r="E12171" t="s">
        <v>321</v>
      </c>
      <c r="F12171">
        <v>286</v>
      </c>
      <c r="G12171">
        <v>231115</v>
      </c>
      <c r="H12171">
        <v>4580</v>
      </c>
      <c r="I12171" t="s">
        <v>35</v>
      </c>
      <c r="J12171">
        <v>354.64</v>
      </c>
      <c r="K12171">
        <v>68.64</v>
      </c>
      <c r="L12171">
        <v>59501</v>
      </c>
      <c r="M12171" t="s">
        <v>69</v>
      </c>
      <c r="N12171" t="str">
        <f>"2421886333  "</f>
        <v xml:space="preserve">2421886333  </v>
      </c>
      <c r="O12171">
        <v>231215</v>
      </c>
    </row>
    <row r="12172" spans="1:15" x14ac:dyDescent="0.25">
      <c r="A12172" t="s">
        <v>16</v>
      </c>
      <c r="B12172" t="s">
        <v>3221</v>
      </c>
      <c r="C12172">
        <v>17615</v>
      </c>
      <c r="D12172" t="s">
        <v>320</v>
      </c>
      <c r="E12172" t="s">
        <v>321</v>
      </c>
      <c r="F12172">
        <v>286</v>
      </c>
      <c r="G12172">
        <v>231115</v>
      </c>
      <c r="H12172">
        <v>4580</v>
      </c>
      <c r="I12172" t="s">
        <v>35</v>
      </c>
      <c r="J12172">
        <v>354.64</v>
      </c>
      <c r="K12172">
        <v>68.64</v>
      </c>
      <c r="L12172">
        <v>59505</v>
      </c>
      <c r="M12172" t="s">
        <v>72</v>
      </c>
      <c r="N12172" t="str">
        <f>"2421886336  "</f>
        <v xml:space="preserve">2421886336  </v>
      </c>
      <c r="O12172">
        <v>231215</v>
      </c>
    </row>
    <row r="12173" spans="1:15" x14ac:dyDescent="0.25">
      <c r="A12173" t="s">
        <v>16</v>
      </c>
      <c r="B12173" t="s">
        <v>3221</v>
      </c>
      <c r="C12173">
        <v>17616</v>
      </c>
      <c r="D12173" t="s">
        <v>320</v>
      </c>
      <c r="E12173" t="s">
        <v>321</v>
      </c>
      <c r="F12173">
        <v>286</v>
      </c>
      <c r="G12173">
        <v>231115</v>
      </c>
      <c r="H12173">
        <v>4580</v>
      </c>
      <c r="I12173" t="s">
        <v>35</v>
      </c>
      <c r="J12173">
        <v>354.64</v>
      </c>
      <c r="K12173">
        <v>68.64</v>
      </c>
      <c r="L12173">
        <v>59501</v>
      </c>
      <c r="M12173" t="s">
        <v>69</v>
      </c>
      <c r="N12173" t="str">
        <f>"2421886334  "</f>
        <v xml:space="preserve">2421886334  </v>
      </c>
      <c r="O12173">
        <v>231215</v>
      </c>
    </row>
    <row r="12174" spans="1:15" x14ac:dyDescent="0.25">
      <c r="A12174" t="s">
        <v>16</v>
      </c>
      <c r="B12174" t="s">
        <v>3221</v>
      </c>
      <c r="C12174">
        <v>17617</v>
      </c>
      <c r="D12174" t="s">
        <v>320</v>
      </c>
      <c r="E12174" t="s">
        <v>321</v>
      </c>
      <c r="F12174">
        <v>286</v>
      </c>
      <c r="G12174">
        <v>231115</v>
      </c>
      <c r="H12174">
        <v>4580</v>
      </c>
      <c r="I12174" t="s">
        <v>35</v>
      </c>
      <c r="J12174">
        <v>354.64</v>
      </c>
      <c r="K12174">
        <v>68.64</v>
      </c>
      <c r="L12174">
        <v>59501</v>
      </c>
      <c r="M12174" t="s">
        <v>69</v>
      </c>
      <c r="N12174" t="str">
        <f>"2421886335  "</f>
        <v xml:space="preserve">2421886335  </v>
      </c>
      <c r="O12174">
        <v>231215</v>
      </c>
    </row>
    <row r="12175" spans="1:15" x14ac:dyDescent="0.25">
      <c r="A12175" t="s">
        <v>16</v>
      </c>
      <c r="B12175" t="s">
        <v>3221</v>
      </c>
      <c r="C12175">
        <v>17618</v>
      </c>
      <c r="D12175" t="s">
        <v>320</v>
      </c>
      <c r="E12175" t="s">
        <v>321</v>
      </c>
      <c r="F12175">
        <v>286</v>
      </c>
      <c r="G12175">
        <v>231115</v>
      </c>
      <c r="H12175">
        <v>4580</v>
      </c>
      <c r="I12175" t="s">
        <v>35</v>
      </c>
      <c r="J12175">
        <v>354.64</v>
      </c>
      <c r="K12175">
        <v>68.64</v>
      </c>
      <c r="L12175">
        <v>59501</v>
      </c>
      <c r="M12175" t="s">
        <v>69</v>
      </c>
      <c r="N12175" t="str">
        <f>"2421886332  "</f>
        <v xml:space="preserve">2421886332  </v>
      </c>
      <c r="O12175">
        <v>231215</v>
      </c>
    </row>
    <row r="12176" spans="1:15" x14ac:dyDescent="0.25">
      <c r="A12176" t="s">
        <v>16</v>
      </c>
      <c r="B12176" t="s">
        <v>3221</v>
      </c>
      <c r="C12176">
        <v>17639</v>
      </c>
      <c r="D12176" t="s">
        <v>320</v>
      </c>
      <c r="E12176" t="s">
        <v>321</v>
      </c>
      <c r="F12176">
        <v>389</v>
      </c>
      <c r="G12176">
        <v>231211</v>
      </c>
      <c r="H12176">
        <v>4580</v>
      </c>
      <c r="I12176" t="s">
        <v>35</v>
      </c>
      <c r="J12176">
        <v>482.36</v>
      </c>
      <c r="K12176">
        <v>93.36</v>
      </c>
      <c r="L12176">
        <v>59501</v>
      </c>
      <c r="M12176" t="s">
        <v>69</v>
      </c>
      <c r="N12176" t="str">
        <f>"2421898813  "</f>
        <v xml:space="preserve">2421898813  </v>
      </c>
      <c r="O12176">
        <v>231218</v>
      </c>
    </row>
    <row r="12177" spans="1:15" x14ac:dyDescent="0.25">
      <c r="A12177" t="s">
        <v>16</v>
      </c>
      <c r="B12177" t="s">
        <v>3221</v>
      </c>
      <c r="C12177">
        <v>5865</v>
      </c>
      <c r="D12177" t="s">
        <v>320</v>
      </c>
      <c r="E12177" t="s">
        <v>321</v>
      </c>
      <c r="F12177">
        <v>299</v>
      </c>
      <c r="G12177">
        <v>230425</v>
      </c>
      <c r="H12177">
        <v>4600</v>
      </c>
      <c r="I12177" t="s">
        <v>105</v>
      </c>
      <c r="J12177">
        <v>370.76</v>
      </c>
      <c r="K12177">
        <v>71.760000000000005</v>
      </c>
      <c r="L12177">
        <v>17808</v>
      </c>
      <c r="M12177" t="s">
        <v>322</v>
      </c>
      <c r="N12177" t="str">
        <f>"2421795173  "</f>
        <v xml:space="preserve">2421795173  </v>
      </c>
      <c r="O12177">
        <v>230503</v>
      </c>
    </row>
    <row r="12178" spans="1:15" x14ac:dyDescent="0.25">
      <c r="A12178" t="s">
        <v>16</v>
      </c>
      <c r="B12178" t="s">
        <v>3221</v>
      </c>
      <c r="C12178">
        <v>17620</v>
      </c>
      <c r="D12178" t="s">
        <v>320</v>
      </c>
      <c r="E12178" t="s">
        <v>321</v>
      </c>
      <c r="F12178">
        <v>411</v>
      </c>
      <c r="G12178">
        <v>231208</v>
      </c>
      <c r="H12178">
        <v>4600</v>
      </c>
      <c r="I12178" t="s">
        <v>105</v>
      </c>
      <c r="J12178">
        <v>509.64</v>
      </c>
      <c r="K12178">
        <v>98.64</v>
      </c>
      <c r="L12178">
        <v>17525</v>
      </c>
      <c r="M12178" t="s">
        <v>135</v>
      </c>
      <c r="N12178" t="str">
        <f>"2421898421  "</f>
        <v xml:space="preserve">2421898421  </v>
      </c>
      <c r="O12178">
        <v>231215</v>
      </c>
    </row>
    <row r="12179" spans="1:15" x14ac:dyDescent="0.25">
      <c r="A12179" t="s">
        <v>16</v>
      </c>
      <c r="B12179" t="s">
        <v>3221</v>
      </c>
      <c r="C12179">
        <v>207</v>
      </c>
      <c r="D12179" t="s">
        <v>320</v>
      </c>
      <c r="E12179" t="s">
        <v>321</v>
      </c>
      <c r="F12179">
        <v>946</v>
      </c>
      <c r="G12179">
        <v>230105</v>
      </c>
      <c r="H12179">
        <v>4500</v>
      </c>
      <c r="I12179" t="s">
        <v>212</v>
      </c>
      <c r="J12179">
        <v>1173.04</v>
      </c>
      <c r="K12179">
        <v>227.04</v>
      </c>
      <c r="L12179">
        <v>17808</v>
      </c>
      <c r="M12179" t="s">
        <v>322</v>
      </c>
      <c r="N12179" t="str">
        <f>"2421744318  "</f>
        <v xml:space="preserve">2421744318  </v>
      </c>
      <c r="O12179">
        <v>230116</v>
      </c>
    </row>
    <row r="12180" spans="1:15" x14ac:dyDescent="0.25">
      <c r="A12180" t="s">
        <v>16</v>
      </c>
      <c r="B12180" t="s">
        <v>3221</v>
      </c>
      <c r="C12180">
        <v>907</v>
      </c>
      <c r="D12180" t="s">
        <v>320</v>
      </c>
      <c r="E12180" t="s">
        <v>321</v>
      </c>
      <c r="F12180">
        <v>180</v>
      </c>
      <c r="G12180">
        <v>230130</v>
      </c>
      <c r="H12180">
        <v>4500</v>
      </c>
      <c r="I12180" t="s">
        <v>212</v>
      </c>
      <c r="J12180">
        <v>223.2</v>
      </c>
      <c r="K12180">
        <v>43.2</v>
      </c>
      <c r="L12180">
        <v>61122</v>
      </c>
      <c r="M12180" t="s">
        <v>402</v>
      </c>
      <c r="N12180" t="str">
        <f>"2421754978  "</f>
        <v xml:space="preserve">2421754978  </v>
      </c>
      <c r="O12180">
        <v>230201</v>
      </c>
    </row>
    <row r="12181" spans="1:15" x14ac:dyDescent="0.25">
      <c r="A12181" t="s">
        <v>16</v>
      </c>
      <c r="B12181" t="s">
        <v>3221</v>
      </c>
      <c r="C12181">
        <v>907</v>
      </c>
      <c r="D12181" t="s">
        <v>320</v>
      </c>
      <c r="E12181" t="s">
        <v>321</v>
      </c>
      <c r="F12181">
        <v>180</v>
      </c>
      <c r="G12181">
        <v>230130</v>
      </c>
      <c r="H12181">
        <v>4500</v>
      </c>
      <c r="I12181" t="s">
        <v>212</v>
      </c>
      <c r="J12181">
        <v>223.2</v>
      </c>
      <c r="K12181">
        <v>43.2</v>
      </c>
      <c r="L12181">
        <v>65222</v>
      </c>
      <c r="M12181" t="s">
        <v>487</v>
      </c>
      <c r="N12181" t="str">
        <f>"2421754978  "</f>
        <v xml:space="preserve">2421754978  </v>
      </c>
      <c r="O12181">
        <v>230201</v>
      </c>
    </row>
    <row r="12182" spans="1:15" x14ac:dyDescent="0.25">
      <c r="A12182" t="s">
        <v>16</v>
      </c>
      <c r="B12182" t="s">
        <v>3221</v>
      </c>
      <c r="C12182">
        <v>12519</v>
      </c>
      <c r="D12182" t="s">
        <v>320</v>
      </c>
      <c r="E12182" t="s">
        <v>321</v>
      </c>
      <c r="F12182">
        <v>130.08000000000001</v>
      </c>
      <c r="G12182">
        <v>230913</v>
      </c>
      <c r="H12182">
        <v>4500</v>
      </c>
      <c r="I12182" t="s">
        <v>212</v>
      </c>
      <c r="J12182">
        <v>161.30000000000001</v>
      </c>
      <c r="K12182">
        <v>31.22</v>
      </c>
      <c r="L12182">
        <v>17971</v>
      </c>
      <c r="M12182" t="s">
        <v>138</v>
      </c>
      <c r="N12182" t="str">
        <f>"2421855160  "</f>
        <v xml:space="preserve">2421855160  </v>
      </c>
      <c r="O12182">
        <v>230920</v>
      </c>
    </row>
    <row r="12183" spans="1:15" x14ac:dyDescent="0.25">
      <c r="A12183" t="s">
        <v>16</v>
      </c>
      <c r="B12183" t="s">
        <v>3221</v>
      </c>
      <c r="C12183">
        <v>12796</v>
      </c>
      <c r="D12183" t="s">
        <v>320</v>
      </c>
      <c r="E12183" t="s">
        <v>321</v>
      </c>
      <c r="F12183">
        <v>36.06</v>
      </c>
      <c r="G12183">
        <v>230920</v>
      </c>
      <c r="H12183">
        <v>4500</v>
      </c>
      <c r="I12183" t="s">
        <v>212</v>
      </c>
      <c r="J12183">
        <v>44.71</v>
      </c>
      <c r="K12183">
        <v>8.65</v>
      </c>
      <c r="L12183">
        <v>11751</v>
      </c>
      <c r="M12183" t="s">
        <v>1339</v>
      </c>
      <c r="N12183" t="str">
        <f>"2421858076  "</f>
        <v xml:space="preserve">2421858076  </v>
      </c>
      <c r="O12183">
        <v>230926</v>
      </c>
    </row>
    <row r="12184" spans="1:15" x14ac:dyDescent="0.25">
      <c r="A12184" t="s">
        <v>16</v>
      </c>
      <c r="B12184" t="s">
        <v>3221</v>
      </c>
      <c r="C12184">
        <v>12796</v>
      </c>
      <c r="D12184" t="s">
        <v>320</v>
      </c>
      <c r="E12184" t="s">
        <v>321</v>
      </c>
      <c r="F12184">
        <v>28.35</v>
      </c>
      <c r="G12184">
        <v>230920</v>
      </c>
      <c r="H12184">
        <v>4500</v>
      </c>
      <c r="I12184" t="s">
        <v>212</v>
      </c>
      <c r="J12184">
        <v>35.15</v>
      </c>
      <c r="K12184">
        <v>6.8</v>
      </c>
      <c r="L12184">
        <v>69702</v>
      </c>
      <c r="M12184" t="s">
        <v>489</v>
      </c>
      <c r="N12184" t="str">
        <f>"2421858076  "</f>
        <v xml:space="preserve">2421858076  </v>
      </c>
      <c r="O12184">
        <v>230926</v>
      </c>
    </row>
    <row r="12185" spans="1:15" x14ac:dyDescent="0.25">
      <c r="A12185" t="s">
        <v>16</v>
      </c>
      <c r="B12185" t="s">
        <v>3221</v>
      </c>
      <c r="C12185">
        <v>12796</v>
      </c>
      <c r="D12185" t="s">
        <v>320</v>
      </c>
      <c r="E12185" t="s">
        <v>321</v>
      </c>
      <c r="F12185">
        <v>109.56</v>
      </c>
      <c r="G12185">
        <v>230920</v>
      </c>
      <c r="H12185">
        <v>4500</v>
      </c>
      <c r="I12185" t="s">
        <v>212</v>
      </c>
      <c r="J12185">
        <v>135.85</v>
      </c>
      <c r="K12185">
        <v>26.29</v>
      </c>
      <c r="L12185">
        <v>69704</v>
      </c>
      <c r="M12185" t="s">
        <v>325</v>
      </c>
      <c r="N12185" t="str">
        <f>"2421858076  "</f>
        <v xml:space="preserve">2421858076  </v>
      </c>
      <c r="O12185">
        <v>230926</v>
      </c>
    </row>
    <row r="12186" spans="1:15" x14ac:dyDescent="0.25">
      <c r="A12186" t="s">
        <v>16</v>
      </c>
      <c r="B12186" t="s">
        <v>3221</v>
      </c>
      <c r="C12186">
        <v>13983</v>
      </c>
      <c r="D12186" t="s">
        <v>320</v>
      </c>
      <c r="E12186" t="s">
        <v>321</v>
      </c>
      <c r="F12186">
        <v>53.25</v>
      </c>
      <c r="G12186">
        <v>231011</v>
      </c>
      <c r="H12186">
        <v>4500</v>
      </c>
      <c r="I12186" t="s">
        <v>212</v>
      </c>
      <c r="J12186">
        <v>66.03</v>
      </c>
      <c r="K12186">
        <v>12.78</v>
      </c>
      <c r="L12186">
        <v>17808</v>
      </c>
      <c r="M12186" t="s">
        <v>322</v>
      </c>
      <c r="N12186" t="str">
        <f>"2421869225  "</f>
        <v xml:space="preserve">2421869225  </v>
      </c>
      <c r="O12186">
        <v>231017</v>
      </c>
    </row>
    <row r="12187" spans="1:15" x14ac:dyDescent="0.25">
      <c r="A12187" t="s">
        <v>16</v>
      </c>
      <c r="B12187" t="s">
        <v>3221</v>
      </c>
      <c r="C12187">
        <v>1742</v>
      </c>
      <c r="D12187" t="s">
        <v>1175</v>
      </c>
      <c r="E12187" t="s">
        <v>1176</v>
      </c>
      <c r="F12187">
        <v>209.68</v>
      </c>
      <c r="G12187">
        <v>230203</v>
      </c>
      <c r="H12187">
        <v>4440</v>
      </c>
      <c r="I12187" t="s">
        <v>250</v>
      </c>
      <c r="J12187">
        <v>260</v>
      </c>
      <c r="K12187">
        <v>50.32</v>
      </c>
      <c r="L12187">
        <v>13401</v>
      </c>
      <c r="M12187" t="s">
        <v>80</v>
      </c>
      <c r="N12187" t="str">
        <f>"17191       "</f>
        <v xml:space="preserve">17191       </v>
      </c>
      <c r="O12187">
        <v>230213</v>
      </c>
    </row>
    <row r="12188" spans="1:15" x14ac:dyDescent="0.25">
      <c r="A12188" t="s">
        <v>16</v>
      </c>
      <c r="B12188" t="s">
        <v>3221</v>
      </c>
      <c r="C12188">
        <v>15818</v>
      </c>
      <c r="D12188" t="s">
        <v>1175</v>
      </c>
      <c r="E12188" t="s">
        <v>1176</v>
      </c>
      <c r="F12188">
        <v>346.77</v>
      </c>
      <c r="G12188">
        <v>231115</v>
      </c>
      <c r="H12188">
        <v>4440</v>
      </c>
      <c r="I12188" t="s">
        <v>250</v>
      </c>
      <c r="J12188">
        <v>430</v>
      </c>
      <c r="K12188">
        <v>83.23</v>
      </c>
      <c r="L12188">
        <v>13401</v>
      </c>
      <c r="M12188" t="s">
        <v>80</v>
      </c>
      <c r="N12188" t="str">
        <f>"21114       "</f>
        <v xml:space="preserve">21114       </v>
      </c>
      <c r="O12188">
        <v>231120</v>
      </c>
    </row>
    <row r="12189" spans="1:15" x14ac:dyDescent="0.25">
      <c r="A12189" t="s">
        <v>16</v>
      </c>
      <c r="B12189" t="s">
        <v>3221</v>
      </c>
      <c r="C12189">
        <v>1736</v>
      </c>
      <c r="D12189" t="s">
        <v>1170</v>
      </c>
      <c r="E12189" t="s">
        <v>1171</v>
      </c>
      <c r="F12189">
        <v>115</v>
      </c>
      <c r="G12189">
        <v>230131</v>
      </c>
      <c r="H12189">
        <v>4426</v>
      </c>
      <c r="I12189" t="s">
        <v>1172</v>
      </c>
      <c r="J12189">
        <v>115</v>
      </c>
      <c r="K12189">
        <v>0</v>
      </c>
      <c r="L12189">
        <v>13553</v>
      </c>
      <c r="M12189" t="s">
        <v>1173</v>
      </c>
      <c r="N12189" t="str">
        <f>"LA 20230043 "</f>
        <v xml:space="preserve">LA 20230043 </v>
      </c>
      <c r="O12189">
        <v>230213</v>
      </c>
    </row>
    <row r="12190" spans="1:15" x14ac:dyDescent="0.25">
      <c r="A12190" t="s">
        <v>16</v>
      </c>
      <c r="B12190" t="s">
        <v>3221</v>
      </c>
      <c r="C12190">
        <v>2941</v>
      </c>
      <c r="D12190" t="s">
        <v>1170</v>
      </c>
      <c r="E12190" t="s">
        <v>1171</v>
      </c>
      <c r="F12190">
        <v>115</v>
      </c>
      <c r="G12190">
        <v>230228</v>
      </c>
      <c r="H12190">
        <v>4426</v>
      </c>
      <c r="I12190" t="s">
        <v>1172</v>
      </c>
      <c r="J12190">
        <v>115</v>
      </c>
      <c r="K12190">
        <v>0</v>
      </c>
      <c r="L12190">
        <v>13553</v>
      </c>
      <c r="M12190" t="s">
        <v>1173</v>
      </c>
      <c r="N12190" t="str">
        <f>"LA 20230071 "</f>
        <v xml:space="preserve">LA 20230071 </v>
      </c>
      <c r="O12190">
        <v>230308</v>
      </c>
    </row>
    <row r="12191" spans="1:15" x14ac:dyDescent="0.25">
      <c r="A12191" t="s">
        <v>16</v>
      </c>
      <c r="B12191" t="s">
        <v>3221</v>
      </c>
      <c r="C12191">
        <v>4813</v>
      </c>
      <c r="D12191" t="s">
        <v>1170</v>
      </c>
      <c r="E12191" t="s">
        <v>1171</v>
      </c>
      <c r="F12191">
        <v>115</v>
      </c>
      <c r="G12191">
        <v>230331</v>
      </c>
      <c r="H12191">
        <v>4426</v>
      </c>
      <c r="I12191" t="s">
        <v>1172</v>
      </c>
      <c r="J12191">
        <v>115</v>
      </c>
      <c r="K12191">
        <v>0</v>
      </c>
      <c r="L12191">
        <v>13553</v>
      </c>
      <c r="M12191" t="s">
        <v>1173</v>
      </c>
      <c r="N12191" t="str">
        <f>"LA 20230111 "</f>
        <v xml:space="preserve">LA 20230111 </v>
      </c>
      <c r="O12191">
        <v>230412</v>
      </c>
    </row>
    <row r="12192" spans="1:15" x14ac:dyDescent="0.25">
      <c r="A12192" t="s">
        <v>16</v>
      </c>
      <c r="B12192" t="s">
        <v>3221</v>
      </c>
      <c r="C12192">
        <v>6329</v>
      </c>
      <c r="D12192" t="s">
        <v>1170</v>
      </c>
      <c r="E12192" t="s">
        <v>1171</v>
      </c>
      <c r="F12192">
        <v>23</v>
      </c>
      <c r="G12192">
        <v>230430</v>
      </c>
      <c r="H12192">
        <v>4426</v>
      </c>
      <c r="I12192" t="s">
        <v>1172</v>
      </c>
      <c r="J12192">
        <v>23</v>
      </c>
      <c r="K12192">
        <v>0</v>
      </c>
      <c r="L12192">
        <v>13553</v>
      </c>
      <c r="M12192" t="s">
        <v>1173</v>
      </c>
      <c r="N12192" t="str">
        <f>"LA 20230156 "</f>
        <v xml:space="preserve">LA 20230156 </v>
      </c>
      <c r="O12192">
        <v>230510</v>
      </c>
    </row>
    <row r="12193" spans="1:15" x14ac:dyDescent="0.25">
      <c r="A12193" t="s">
        <v>16</v>
      </c>
      <c r="B12193" t="s">
        <v>3221</v>
      </c>
      <c r="C12193">
        <v>8490</v>
      </c>
      <c r="D12193" t="s">
        <v>1170</v>
      </c>
      <c r="E12193" t="s">
        <v>1171</v>
      </c>
      <c r="F12193">
        <v>62.73</v>
      </c>
      <c r="G12193">
        <v>230531</v>
      </c>
      <c r="H12193">
        <v>4426</v>
      </c>
      <c r="I12193" t="s">
        <v>1172</v>
      </c>
      <c r="J12193">
        <v>69</v>
      </c>
      <c r="K12193">
        <v>6.27</v>
      </c>
      <c r="L12193">
        <v>13553</v>
      </c>
      <c r="M12193" t="s">
        <v>1173</v>
      </c>
      <c r="N12193" t="str">
        <f>"LA 20230195 "</f>
        <v xml:space="preserve">LA 20230195 </v>
      </c>
      <c r="O12193">
        <v>230609</v>
      </c>
    </row>
    <row r="12194" spans="1:15" x14ac:dyDescent="0.25">
      <c r="A12194" t="s">
        <v>16</v>
      </c>
      <c r="B12194" t="s">
        <v>3221</v>
      </c>
      <c r="C12194">
        <v>2054</v>
      </c>
      <c r="D12194" t="s">
        <v>1170</v>
      </c>
      <c r="E12194" t="s">
        <v>1171</v>
      </c>
      <c r="F12194">
        <v>14.76</v>
      </c>
      <c r="G12194">
        <v>221231</v>
      </c>
      <c r="H12194">
        <v>4420</v>
      </c>
      <c r="I12194" t="s">
        <v>132</v>
      </c>
      <c r="J12194">
        <v>16.239999999999998</v>
      </c>
      <c r="K12194">
        <v>1.48</v>
      </c>
      <c r="L12194">
        <v>16121</v>
      </c>
      <c r="M12194" t="s">
        <v>21</v>
      </c>
      <c r="N12194" t="str">
        <f>"LA 20220483 "</f>
        <v xml:space="preserve">LA 20220483 </v>
      </c>
      <c r="O12194">
        <v>230220</v>
      </c>
    </row>
    <row r="12195" spans="1:15" x14ac:dyDescent="0.25">
      <c r="A12195" t="s">
        <v>16</v>
      </c>
      <c r="B12195" t="s">
        <v>3221</v>
      </c>
      <c r="C12195">
        <v>5601</v>
      </c>
      <c r="D12195" t="s">
        <v>1170</v>
      </c>
      <c r="E12195" t="s">
        <v>1171</v>
      </c>
      <c r="F12195">
        <v>86.93</v>
      </c>
      <c r="G12195">
        <v>230421</v>
      </c>
      <c r="H12195">
        <v>4420</v>
      </c>
      <c r="I12195" t="s">
        <v>132</v>
      </c>
      <c r="J12195">
        <v>95.62</v>
      </c>
      <c r="K12195">
        <v>8.69</v>
      </c>
      <c r="L12195">
        <v>16121</v>
      </c>
      <c r="M12195" t="s">
        <v>21</v>
      </c>
      <c r="N12195" t="str">
        <f>"LA 20230127 "</f>
        <v xml:space="preserve">LA 20230127 </v>
      </c>
      <c r="O12195">
        <v>230428</v>
      </c>
    </row>
    <row r="12196" spans="1:15" x14ac:dyDescent="0.25">
      <c r="A12196" t="s">
        <v>16</v>
      </c>
      <c r="B12196" t="s">
        <v>3221</v>
      </c>
      <c r="C12196">
        <v>6896</v>
      </c>
      <c r="D12196" t="s">
        <v>1170</v>
      </c>
      <c r="E12196" t="s">
        <v>1171</v>
      </c>
      <c r="F12196">
        <v>40.98</v>
      </c>
      <c r="G12196">
        <v>230430</v>
      </c>
      <c r="H12196">
        <v>4420</v>
      </c>
      <c r="I12196" t="s">
        <v>132</v>
      </c>
      <c r="J12196">
        <v>40.98</v>
      </c>
      <c r="K12196">
        <v>0</v>
      </c>
      <c r="L12196">
        <v>16121</v>
      </c>
      <c r="M12196" t="s">
        <v>21</v>
      </c>
      <c r="N12196" t="str">
        <f>"LA 20230167 "</f>
        <v xml:space="preserve">LA 20230167 </v>
      </c>
      <c r="O12196">
        <v>230523</v>
      </c>
    </row>
    <row r="12197" spans="1:15" x14ac:dyDescent="0.25">
      <c r="A12197" t="s">
        <v>16</v>
      </c>
      <c r="B12197" t="s">
        <v>3221</v>
      </c>
      <c r="C12197">
        <v>7252</v>
      </c>
      <c r="D12197" t="s">
        <v>1170</v>
      </c>
      <c r="E12197" t="s">
        <v>1171</v>
      </c>
      <c r="F12197">
        <v>6.83</v>
      </c>
      <c r="G12197">
        <v>230524</v>
      </c>
      <c r="H12197">
        <v>4420</v>
      </c>
      <c r="I12197" t="s">
        <v>132</v>
      </c>
      <c r="J12197">
        <v>6.83</v>
      </c>
      <c r="K12197">
        <v>0</v>
      </c>
      <c r="L12197">
        <v>16121</v>
      </c>
      <c r="M12197" t="s">
        <v>21</v>
      </c>
      <c r="N12197" t="str">
        <f>"LA 20230170 "</f>
        <v xml:space="preserve">LA 20230170 </v>
      </c>
      <c r="O12197">
        <v>230526</v>
      </c>
    </row>
    <row r="12198" spans="1:15" x14ac:dyDescent="0.25">
      <c r="A12198" t="s">
        <v>16</v>
      </c>
      <c r="B12198" t="s">
        <v>3221</v>
      </c>
      <c r="C12198">
        <v>7252</v>
      </c>
      <c r="D12198" t="s">
        <v>1170</v>
      </c>
      <c r="E12198" t="s">
        <v>1171</v>
      </c>
      <c r="F12198">
        <v>32.729999999999997</v>
      </c>
      <c r="G12198">
        <v>230524</v>
      </c>
      <c r="H12198">
        <v>4420</v>
      </c>
      <c r="I12198" t="s">
        <v>132</v>
      </c>
      <c r="J12198">
        <v>36</v>
      </c>
      <c r="K12198">
        <v>3.27</v>
      </c>
      <c r="L12198">
        <v>16121</v>
      </c>
      <c r="M12198" t="s">
        <v>21</v>
      </c>
      <c r="N12198" t="str">
        <f>"LA 20230170 "</f>
        <v xml:space="preserve">LA 20230170 </v>
      </c>
      <c r="O12198">
        <v>230526</v>
      </c>
    </row>
    <row r="12199" spans="1:15" x14ac:dyDescent="0.25">
      <c r="A12199" t="s">
        <v>16</v>
      </c>
      <c r="B12199" t="s">
        <v>3221</v>
      </c>
      <c r="C12199">
        <v>8703</v>
      </c>
      <c r="D12199" t="s">
        <v>1170</v>
      </c>
      <c r="E12199" t="s">
        <v>1171</v>
      </c>
      <c r="F12199">
        <v>6.83</v>
      </c>
      <c r="G12199">
        <v>230612</v>
      </c>
      <c r="H12199">
        <v>4420</v>
      </c>
      <c r="I12199" t="s">
        <v>132</v>
      </c>
      <c r="J12199">
        <v>6.83</v>
      </c>
      <c r="K12199">
        <v>0</v>
      </c>
      <c r="L12199">
        <v>16121</v>
      </c>
      <c r="M12199" t="s">
        <v>21</v>
      </c>
      <c r="N12199" t="str">
        <f>"LA 20230197 "</f>
        <v xml:space="preserve">LA 20230197 </v>
      </c>
      <c r="O12199">
        <v>230613</v>
      </c>
    </row>
    <row r="12200" spans="1:15" x14ac:dyDescent="0.25">
      <c r="A12200" t="s">
        <v>16</v>
      </c>
      <c r="B12200" t="s">
        <v>3221</v>
      </c>
      <c r="C12200">
        <v>12136</v>
      </c>
      <c r="D12200" t="s">
        <v>1170</v>
      </c>
      <c r="E12200" t="s">
        <v>1171</v>
      </c>
      <c r="F12200">
        <v>189.09</v>
      </c>
      <c r="G12200">
        <v>230908</v>
      </c>
      <c r="H12200">
        <v>4420</v>
      </c>
      <c r="I12200" t="s">
        <v>132</v>
      </c>
      <c r="J12200">
        <v>208</v>
      </c>
      <c r="K12200">
        <v>18.91</v>
      </c>
      <c r="L12200">
        <v>16820</v>
      </c>
      <c r="M12200" t="s">
        <v>23</v>
      </c>
      <c r="N12200" t="str">
        <f>"LA 20230267 "</f>
        <v xml:space="preserve">LA 20230267 </v>
      </c>
      <c r="O12200">
        <v>230914</v>
      </c>
    </row>
    <row r="12201" spans="1:15" x14ac:dyDescent="0.25">
      <c r="A12201" t="s">
        <v>16</v>
      </c>
      <c r="B12201" t="s">
        <v>3221</v>
      </c>
      <c r="C12201">
        <v>14207</v>
      </c>
      <c r="D12201" t="s">
        <v>1170</v>
      </c>
      <c r="E12201" t="s">
        <v>1171</v>
      </c>
      <c r="F12201">
        <v>130.91</v>
      </c>
      <c r="G12201">
        <v>230930</v>
      </c>
      <c r="H12201">
        <v>4420</v>
      </c>
      <c r="I12201" t="s">
        <v>132</v>
      </c>
      <c r="J12201">
        <v>144</v>
      </c>
      <c r="K12201">
        <v>13.09</v>
      </c>
      <c r="L12201">
        <v>16820</v>
      </c>
      <c r="M12201" t="s">
        <v>23</v>
      </c>
      <c r="N12201" t="str">
        <f>"LA 20230289 "</f>
        <v xml:space="preserve">LA 20230289 </v>
      </c>
      <c r="O12201">
        <v>231024</v>
      </c>
    </row>
    <row r="12202" spans="1:15" x14ac:dyDescent="0.25">
      <c r="A12202" t="s">
        <v>16</v>
      </c>
      <c r="B12202" t="s">
        <v>3221</v>
      </c>
      <c r="C12202">
        <v>14687</v>
      </c>
      <c r="D12202" t="s">
        <v>1170</v>
      </c>
      <c r="E12202" t="s">
        <v>1171</v>
      </c>
      <c r="F12202">
        <v>50.91</v>
      </c>
      <c r="G12202">
        <v>231025</v>
      </c>
      <c r="H12202">
        <v>4420</v>
      </c>
      <c r="I12202" t="s">
        <v>132</v>
      </c>
      <c r="J12202">
        <v>56</v>
      </c>
      <c r="K12202">
        <v>5.09</v>
      </c>
      <c r="L12202">
        <v>16820</v>
      </c>
      <c r="M12202" t="s">
        <v>23</v>
      </c>
      <c r="N12202" t="str">
        <f>"LA 20230298 "</f>
        <v xml:space="preserve">LA 20230298 </v>
      </c>
      <c r="O12202">
        <v>231031</v>
      </c>
    </row>
    <row r="12203" spans="1:15" x14ac:dyDescent="0.25">
      <c r="A12203" t="s">
        <v>16</v>
      </c>
      <c r="B12203" t="s">
        <v>3221</v>
      </c>
      <c r="C12203">
        <v>17328</v>
      </c>
      <c r="D12203" t="s">
        <v>1170</v>
      </c>
      <c r="E12203" t="s">
        <v>1171</v>
      </c>
      <c r="F12203">
        <v>72.73</v>
      </c>
      <c r="G12203">
        <v>231031</v>
      </c>
      <c r="H12203">
        <v>4420</v>
      </c>
      <c r="I12203" t="s">
        <v>132</v>
      </c>
      <c r="J12203">
        <v>80</v>
      </c>
      <c r="K12203">
        <v>7.27</v>
      </c>
      <c r="L12203">
        <v>16820</v>
      </c>
      <c r="M12203" t="s">
        <v>23</v>
      </c>
      <c r="N12203" t="str">
        <f>"LA 20230317 "</f>
        <v xml:space="preserve">LA 20230317 </v>
      </c>
      <c r="O12203">
        <v>231213</v>
      </c>
    </row>
    <row r="12204" spans="1:15" x14ac:dyDescent="0.25">
      <c r="A12204" t="s">
        <v>16</v>
      </c>
      <c r="B12204" t="s">
        <v>3221</v>
      </c>
      <c r="C12204">
        <v>17772</v>
      </c>
      <c r="D12204" t="s">
        <v>1170</v>
      </c>
      <c r="E12204" t="s">
        <v>1171</v>
      </c>
      <c r="F12204">
        <v>119.09</v>
      </c>
      <c r="G12204">
        <v>231212</v>
      </c>
      <c r="H12204">
        <v>4420</v>
      </c>
      <c r="I12204" t="s">
        <v>132</v>
      </c>
      <c r="J12204">
        <v>131</v>
      </c>
      <c r="K12204">
        <v>11.91</v>
      </c>
      <c r="L12204">
        <v>16820</v>
      </c>
      <c r="M12204" t="s">
        <v>23</v>
      </c>
      <c r="N12204" t="str">
        <f>"LA 20230339 "</f>
        <v xml:space="preserve">LA 20230339 </v>
      </c>
      <c r="O12204">
        <v>231227</v>
      </c>
    </row>
    <row r="12205" spans="1:15" x14ac:dyDescent="0.25">
      <c r="A12205" t="s">
        <v>16</v>
      </c>
      <c r="B12205" t="s">
        <v>3221</v>
      </c>
      <c r="C12205">
        <v>6693</v>
      </c>
      <c r="D12205" t="s">
        <v>3464</v>
      </c>
      <c r="E12205" t="s">
        <v>3465</v>
      </c>
      <c r="F12205">
        <v>415</v>
      </c>
      <c r="G12205">
        <v>230430</v>
      </c>
      <c r="H12205">
        <v>4441</v>
      </c>
      <c r="I12205" t="s">
        <v>109</v>
      </c>
      <c r="J12205">
        <v>514.6</v>
      </c>
      <c r="K12205">
        <v>99.6</v>
      </c>
      <c r="L12205">
        <v>47522</v>
      </c>
      <c r="M12205" t="s">
        <v>410</v>
      </c>
      <c r="N12205" t="str">
        <f>"7400003198  "</f>
        <v xml:space="preserve">7400003198  </v>
      </c>
      <c r="O12205">
        <v>230517</v>
      </c>
    </row>
    <row r="12206" spans="1:15" x14ac:dyDescent="0.25">
      <c r="A12206" t="s">
        <v>16</v>
      </c>
      <c r="B12206" t="s">
        <v>3221</v>
      </c>
      <c r="C12206">
        <v>16455</v>
      </c>
      <c r="D12206" t="s">
        <v>3464</v>
      </c>
      <c r="E12206" t="s">
        <v>3465</v>
      </c>
      <c r="F12206">
        <v>80</v>
      </c>
      <c r="G12206">
        <v>231128</v>
      </c>
      <c r="H12206">
        <v>4441</v>
      </c>
      <c r="I12206" t="s">
        <v>109</v>
      </c>
      <c r="J12206">
        <v>99.2</v>
      </c>
      <c r="K12206">
        <v>19.2</v>
      </c>
      <c r="L12206">
        <v>61122</v>
      </c>
      <c r="M12206" t="s">
        <v>402</v>
      </c>
      <c r="N12206" t="str">
        <f>"7400004556  "</f>
        <v xml:space="preserve">7400004556  </v>
      </c>
      <c r="O12206">
        <v>231129</v>
      </c>
    </row>
    <row r="12207" spans="1:15" x14ac:dyDescent="0.25">
      <c r="A12207" t="s">
        <v>16</v>
      </c>
      <c r="B12207" t="s">
        <v>3221</v>
      </c>
      <c r="C12207">
        <v>13813</v>
      </c>
      <c r="D12207" t="s">
        <v>3464</v>
      </c>
      <c r="E12207" t="s">
        <v>3465</v>
      </c>
      <c r="F12207">
        <v>4750</v>
      </c>
      <c r="G12207">
        <v>230930</v>
      </c>
      <c r="H12207">
        <v>4440</v>
      </c>
      <c r="I12207" t="s">
        <v>250</v>
      </c>
      <c r="J12207">
        <v>5890</v>
      </c>
      <c r="K12207">
        <v>1140</v>
      </c>
      <c r="L12207">
        <v>18122</v>
      </c>
      <c r="M12207" t="s">
        <v>407</v>
      </c>
      <c r="N12207" t="str">
        <f>"7400004101  "</f>
        <v xml:space="preserve">7400004101  </v>
      </c>
      <c r="O12207">
        <v>231013</v>
      </c>
    </row>
    <row r="12208" spans="1:15" x14ac:dyDescent="0.25">
      <c r="A12208" t="s">
        <v>16</v>
      </c>
      <c r="B12208" t="s">
        <v>3221</v>
      </c>
      <c r="C12208">
        <v>14721</v>
      </c>
      <c r="D12208" t="s">
        <v>3464</v>
      </c>
      <c r="E12208" t="s">
        <v>3465</v>
      </c>
      <c r="F12208">
        <v>887.09</v>
      </c>
      <c r="G12208">
        <v>231031</v>
      </c>
      <c r="H12208">
        <v>4440</v>
      </c>
      <c r="I12208" t="s">
        <v>250</v>
      </c>
      <c r="J12208">
        <v>1099.99</v>
      </c>
      <c r="K12208">
        <v>212.9</v>
      </c>
      <c r="L12208">
        <v>66756</v>
      </c>
      <c r="M12208" t="s">
        <v>209</v>
      </c>
      <c r="N12208" t="str">
        <f>"7400004366  "</f>
        <v xml:space="preserve">7400004366  </v>
      </c>
      <c r="O12208">
        <v>231101</v>
      </c>
    </row>
    <row r="12209" spans="1:15" x14ac:dyDescent="0.25">
      <c r="A12209" t="s">
        <v>16</v>
      </c>
      <c r="B12209" t="s">
        <v>3221</v>
      </c>
      <c r="C12209">
        <v>16799</v>
      </c>
      <c r="D12209" t="s">
        <v>3464</v>
      </c>
      <c r="E12209" t="s">
        <v>3465</v>
      </c>
      <c r="F12209">
        <v>5470</v>
      </c>
      <c r="G12209">
        <v>231129</v>
      </c>
      <c r="H12209">
        <v>4440</v>
      </c>
      <c r="I12209" t="s">
        <v>250</v>
      </c>
      <c r="J12209">
        <v>6782.8</v>
      </c>
      <c r="K12209">
        <v>1312.8</v>
      </c>
      <c r="L12209">
        <v>18122</v>
      </c>
      <c r="M12209" t="s">
        <v>407</v>
      </c>
      <c r="N12209" t="str">
        <f>"7400004576  "</f>
        <v xml:space="preserve">7400004576  </v>
      </c>
      <c r="O12209">
        <v>231211</v>
      </c>
    </row>
    <row r="12210" spans="1:15" x14ac:dyDescent="0.25">
      <c r="A12210" t="s">
        <v>16</v>
      </c>
      <c r="B12210" t="s">
        <v>3221</v>
      </c>
      <c r="C12210">
        <v>16800</v>
      </c>
      <c r="D12210" t="s">
        <v>3464</v>
      </c>
      <c r="E12210" t="s">
        <v>3465</v>
      </c>
      <c r="F12210">
        <v>7605</v>
      </c>
      <c r="G12210">
        <v>231129</v>
      </c>
      <c r="H12210">
        <v>4440</v>
      </c>
      <c r="I12210" t="s">
        <v>250</v>
      </c>
      <c r="J12210">
        <v>9430.2000000000007</v>
      </c>
      <c r="K12210">
        <v>1825.2</v>
      </c>
      <c r="L12210">
        <v>18122</v>
      </c>
      <c r="M12210" t="s">
        <v>407</v>
      </c>
      <c r="N12210" t="str">
        <f>"7400004573  "</f>
        <v xml:space="preserve">7400004573  </v>
      </c>
      <c r="O12210">
        <v>231211</v>
      </c>
    </row>
    <row r="12211" spans="1:15" x14ac:dyDescent="0.25">
      <c r="A12211" t="s">
        <v>16</v>
      </c>
      <c r="B12211" t="s">
        <v>3221</v>
      </c>
      <c r="C12211">
        <v>6429</v>
      </c>
      <c r="D12211" t="s">
        <v>3456</v>
      </c>
      <c r="E12211" t="s">
        <v>3457</v>
      </c>
      <c r="F12211">
        <v>266.13</v>
      </c>
      <c r="G12211">
        <v>230430</v>
      </c>
      <c r="H12211">
        <v>4470</v>
      </c>
      <c r="I12211" t="s">
        <v>83</v>
      </c>
      <c r="J12211">
        <v>330</v>
      </c>
      <c r="K12211">
        <v>63.87</v>
      </c>
      <c r="L12211">
        <v>13501</v>
      </c>
      <c r="M12211" t="s">
        <v>20</v>
      </c>
      <c r="N12211" t="str">
        <f>"287         "</f>
        <v xml:space="preserve">287         </v>
      </c>
      <c r="O12211">
        <v>230511</v>
      </c>
    </row>
    <row r="12212" spans="1:15" x14ac:dyDescent="0.25">
      <c r="A12212" t="s">
        <v>16</v>
      </c>
      <c r="B12212" t="s">
        <v>3221</v>
      </c>
      <c r="C12212">
        <v>9390</v>
      </c>
      <c r="D12212" t="s">
        <v>3456</v>
      </c>
      <c r="E12212" t="s">
        <v>3457</v>
      </c>
      <c r="F12212">
        <v>387.1</v>
      </c>
      <c r="G12212">
        <v>230630</v>
      </c>
      <c r="H12212">
        <v>4820</v>
      </c>
      <c r="I12212" t="s">
        <v>50</v>
      </c>
      <c r="J12212">
        <v>480</v>
      </c>
      <c r="K12212">
        <v>92.9</v>
      </c>
      <c r="L12212">
        <v>18994</v>
      </c>
      <c r="M12212" t="s">
        <v>1940</v>
      </c>
      <c r="N12212" t="str">
        <f>"299         "</f>
        <v xml:space="preserve">299         </v>
      </c>
      <c r="O12212">
        <v>230710</v>
      </c>
    </row>
    <row r="12213" spans="1:15" x14ac:dyDescent="0.25">
      <c r="A12213" t="s">
        <v>16</v>
      </c>
      <c r="B12213" t="s">
        <v>3221</v>
      </c>
      <c r="C12213">
        <v>16746</v>
      </c>
      <c r="D12213" t="s">
        <v>1776</v>
      </c>
      <c r="E12213" t="s">
        <v>1777</v>
      </c>
      <c r="F12213">
        <v>8.2200000000000006</v>
      </c>
      <c r="G12213">
        <v>231130</v>
      </c>
      <c r="H12213">
        <v>4520</v>
      </c>
      <c r="I12213" t="s">
        <v>254</v>
      </c>
      <c r="J12213">
        <v>9.3699999999999992</v>
      </c>
      <c r="K12213">
        <v>1.1499999999999999</v>
      </c>
      <c r="L12213">
        <v>43222</v>
      </c>
      <c r="M12213" t="s">
        <v>507</v>
      </c>
      <c r="N12213" t="str">
        <f>"3918        "</f>
        <v xml:space="preserve">3918        </v>
      </c>
      <c r="O12213">
        <v>231208</v>
      </c>
    </row>
    <row r="12214" spans="1:15" x14ac:dyDescent="0.25">
      <c r="A12214" t="s">
        <v>16</v>
      </c>
      <c r="B12214" t="s">
        <v>3221</v>
      </c>
      <c r="C12214">
        <v>4992</v>
      </c>
      <c r="D12214" t="s">
        <v>1776</v>
      </c>
      <c r="E12214" t="s">
        <v>1777</v>
      </c>
      <c r="F12214">
        <v>26.94</v>
      </c>
      <c r="G12214">
        <v>230331</v>
      </c>
      <c r="H12214">
        <v>4600</v>
      </c>
      <c r="I12214" t="s">
        <v>105</v>
      </c>
      <c r="J12214">
        <v>33.409999999999997</v>
      </c>
      <c r="K12214">
        <v>6.47</v>
      </c>
      <c r="L12214">
        <v>49501</v>
      </c>
      <c r="M12214" t="s">
        <v>177</v>
      </c>
      <c r="N12214" t="str">
        <f>"2948        "</f>
        <v xml:space="preserve">2948        </v>
      </c>
      <c r="O12214">
        <v>230417</v>
      </c>
    </row>
    <row r="12215" spans="1:15" x14ac:dyDescent="0.25">
      <c r="A12215" t="s">
        <v>16</v>
      </c>
      <c r="B12215" t="s">
        <v>3221</v>
      </c>
      <c r="C12215">
        <v>6122</v>
      </c>
      <c r="D12215" t="s">
        <v>1776</v>
      </c>
      <c r="E12215" t="s">
        <v>1777</v>
      </c>
      <c r="F12215">
        <v>35.6</v>
      </c>
      <c r="G12215">
        <v>230430</v>
      </c>
      <c r="H12215">
        <v>4600</v>
      </c>
      <c r="I12215" t="s">
        <v>105</v>
      </c>
      <c r="J12215">
        <v>44.14</v>
      </c>
      <c r="K12215">
        <v>8.5399999999999991</v>
      </c>
      <c r="L12215">
        <v>44453</v>
      </c>
      <c r="M12215" t="s">
        <v>492</v>
      </c>
      <c r="N12215" t="str">
        <f>"3069        "</f>
        <v xml:space="preserve">3069        </v>
      </c>
      <c r="O12215">
        <v>230508</v>
      </c>
    </row>
    <row r="12216" spans="1:15" x14ac:dyDescent="0.25">
      <c r="A12216" t="s">
        <v>16</v>
      </c>
      <c r="B12216" t="s">
        <v>3221</v>
      </c>
      <c r="C12216">
        <v>6122</v>
      </c>
      <c r="D12216" t="s">
        <v>1776</v>
      </c>
      <c r="E12216" t="s">
        <v>1777</v>
      </c>
      <c r="F12216">
        <v>14.91</v>
      </c>
      <c r="G12216">
        <v>230430</v>
      </c>
      <c r="H12216">
        <v>4600</v>
      </c>
      <c r="I12216" t="s">
        <v>105</v>
      </c>
      <c r="J12216">
        <v>18.489999999999998</v>
      </c>
      <c r="K12216">
        <v>3.58</v>
      </c>
      <c r="L12216">
        <v>49501</v>
      </c>
      <c r="M12216" t="s">
        <v>177</v>
      </c>
      <c r="N12216" t="str">
        <f>"3069        "</f>
        <v xml:space="preserve">3069        </v>
      </c>
      <c r="O12216">
        <v>230508</v>
      </c>
    </row>
    <row r="12217" spans="1:15" x14ac:dyDescent="0.25">
      <c r="A12217" t="s">
        <v>16</v>
      </c>
      <c r="B12217" t="s">
        <v>3221</v>
      </c>
      <c r="C12217">
        <v>7968</v>
      </c>
      <c r="D12217" t="s">
        <v>1776</v>
      </c>
      <c r="E12217" t="s">
        <v>1777</v>
      </c>
      <c r="F12217">
        <v>12.26</v>
      </c>
      <c r="G12217">
        <v>230531</v>
      </c>
      <c r="H12217">
        <v>4600</v>
      </c>
      <c r="I12217" t="s">
        <v>105</v>
      </c>
      <c r="J12217">
        <v>15.2</v>
      </c>
      <c r="K12217">
        <v>2.94</v>
      </c>
      <c r="L12217">
        <v>44453</v>
      </c>
      <c r="M12217" t="s">
        <v>492</v>
      </c>
      <c r="N12217" t="str">
        <f>"3187        "</f>
        <v xml:space="preserve">3187        </v>
      </c>
      <c r="O12217">
        <v>230606</v>
      </c>
    </row>
    <row r="12218" spans="1:15" x14ac:dyDescent="0.25">
      <c r="A12218" t="s">
        <v>16</v>
      </c>
      <c r="B12218" t="s">
        <v>3221</v>
      </c>
      <c r="C12218">
        <v>11509</v>
      </c>
      <c r="D12218" t="s">
        <v>1776</v>
      </c>
      <c r="E12218" t="s">
        <v>1777</v>
      </c>
      <c r="F12218">
        <v>42.18</v>
      </c>
      <c r="G12218">
        <v>230831</v>
      </c>
      <c r="H12218">
        <v>4600</v>
      </c>
      <c r="I12218" t="s">
        <v>105</v>
      </c>
      <c r="J12218">
        <v>52.3</v>
      </c>
      <c r="K12218">
        <v>10.119999999999999</v>
      </c>
      <c r="L12218">
        <v>44453</v>
      </c>
      <c r="M12218" t="s">
        <v>492</v>
      </c>
      <c r="N12218" t="str">
        <f>"3552        "</f>
        <v xml:space="preserve">3552        </v>
      </c>
      <c r="O12218">
        <v>230907</v>
      </c>
    </row>
    <row r="12219" spans="1:15" x14ac:dyDescent="0.25">
      <c r="A12219" t="s">
        <v>16</v>
      </c>
      <c r="B12219" t="s">
        <v>3221</v>
      </c>
      <c r="C12219">
        <v>11509</v>
      </c>
      <c r="D12219" t="s">
        <v>1776</v>
      </c>
      <c r="E12219" t="s">
        <v>1777</v>
      </c>
      <c r="F12219">
        <v>64.650000000000006</v>
      </c>
      <c r="G12219">
        <v>230831</v>
      </c>
      <c r="H12219">
        <v>4600</v>
      </c>
      <c r="I12219" t="s">
        <v>105</v>
      </c>
      <c r="J12219">
        <v>80.16</v>
      </c>
      <c r="K12219">
        <v>15.51</v>
      </c>
      <c r="L12219">
        <v>48601</v>
      </c>
      <c r="M12219" t="s">
        <v>1047</v>
      </c>
      <c r="N12219" t="str">
        <f>"3552        "</f>
        <v xml:space="preserve">3552        </v>
      </c>
      <c r="O12219">
        <v>230907</v>
      </c>
    </row>
    <row r="12220" spans="1:15" x14ac:dyDescent="0.25">
      <c r="A12220" t="s">
        <v>16</v>
      </c>
      <c r="B12220" t="s">
        <v>3221</v>
      </c>
      <c r="C12220">
        <v>16746</v>
      </c>
      <c r="D12220" t="s">
        <v>1776</v>
      </c>
      <c r="E12220" t="s">
        <v>1777</v>
      </c>
      <c r="F12220">
        <v>16.04</v>
      </c>
      <c r="G12220">
        <v>231130</v>
      </c>
      <c r="H12220">
        <v>4600</v>
      </c>
      <c r="I12220" t="s">
        <v>105</v>
      </c>
      <c r="J12220">
        <v>19.89</v>
      </c>
      <c r="K12220">
        <v>3.85</v>
      </c>
      <c r="L12220">
        <v>43222</v>
      </c>
      <c r="M12220" t="s">
        <v>507</v>
      </c>
      <c r="N12220" t="str">
        <f>"3918        "</f>
        <v xml:space="preserve">3918        </v>
      </c>
      <c r="O12220">
        <v>231208</v>
      </c>
    </row>
    <row r="12221" spans="1:15" x14ac:dyDescent="0.25">
      <c r="A12221" t="s">
        <v>16</v>
      </c>
      <c r="B12221" t="s">
        <v>3221</v>
      </c>
      <c r="C12221">
        <v>16746</v>
      </c>
      <c r="D12221" t="s">
        <v>1776</v>
      </c>
      <c r="E12221" t="s">
        <v>1777</v>
      </c>
      <c r="F12221">
        <v>48.94</v>
      </c>
      <c r="G12221">
        <v>231130</v>
      </c>
      <c r="H12221">
        <v>4600</v>
      </c>
      <c r="I12221" t="s">
        <v>105</v>
      </c>
      <c r="J12221">
        <v>60.68</v>
      </c>
      <c r="K12221">
        <v>11.74</v>
      </c>
      <c r="L12221">
        <v>44453</v>
      </c>
      <c r="M12221" t="s">
        <v>492</v>
      </c>
      <c r="N12221" t="str">
        <f>"3918        "</f>
        <v xml:space="preserve">3918        </v>
      </c>
      <c r="O12221">
        <v>231208</v>
      </c>
    </row>
    <row r="12222" spans="1:15" x14ac:dyDescent="0.25">
      <c r="A12222" t="s">
        <v>16</v>
      </c>
      <c r="B12222" t="s">
        <v>3221</v>
      </c>
      <c r="C12222">
        <v>19120</v>
      </c>
      <c r="D12222" t="s">
        <v>1776</v>
      </c>
      <c r="E12222" t="s">
        <v>1777</v>
      </c>
      <c r="F12222">
        <v>38.44</v>
      </c>
      <c r="G12222">
        <v>231231</v>
      </c>
      <c r="H12222">
        <v>4600</v>
      </c>
      <c r="I12222" t="s">
        <v>105</v>
      </c>
      <c r="J12222">
        <v>47.66</v>
      </c>
      <c r="K12222">
        <v>9.2200000000000006</v>
      </c>
      <c r="L12222">
        <v>49501</v>
      </c>
      <c r="M12222" t="s">
        <v>177</v>
      </c>
      <c r="N12222" t="str">
        <f>"4080        "</f>
        <v xml:space="preserve">4080        </v>
      </c>
      <c r="O12222">
        <v>240110</v>
      </c>
    </row>
    <row r="12223" spans="1:15" x14ac:dyDescent="0.25">
      <c r="A12223" t="s">
        <v>16</v>
      </c>
      <c r="B12223" t="s">
        <v>3221</v>
      </c>
      <c r="C12223">
        <v>4992</v>
      </c>
      <c r="D12223" t="s">
        <v>1776</v>
      </c>
      <c r="E12223" t="s">
        <v>1777</v>
      </c>
      <c r="F12223">
        <v>6.44</v>
      </c>
      <c r="G12223">
        <v>230331</v>
      </c>
      <c r="H12223">
        <v>4550</v>
      </c>
      <c r="I12223" t="s">
        <v>312</v>
      </c>
      <c r="J12223">
        <v>7.99</v>
      </c>
      <c r="K12223">
        <v>1.55</v>
      </c>
      <c r="L12223">
        <v>49501</v>
      </c>
      <c r="M12223" t="s">
        <v>177</v>
      </c>
      <c r="N12223" t="str">
        <f>"2948        "</f>
        <v xml:space="preserve">2948        </v>
      </c>
      <c r="O12223">
        <v>230417</v>
      </c>
    </row>
    <row r="12224" spans="1:15" x14ac:dyDescent="0.25">
      <c r="A12224" t="s">
        <v>16</v>
      </c>
      <c r="B12224" t="s">
        <v>3221</v>
      </c>
      <c r="C12224">
        <v>4992</v>
      </c>
      <c r="D12224" t="s">
        <v>1776</v>
      </c>
      <c r="E12224" t="s">
        <v>1777</v>
      </c>
      <c r="F12224">
        <v>11.9</v>
      </c>
      <c r="G12224">
        <v>230331</v>
      </c>
      <c r="H12224">
        <v>4500</v>
      </c>
      <c r="I12224" t="s">
        <v>212</v>
      </c>
      <c r="J12224">
        <v>14.76</v>
      </c>
      <c r="K12224">
        <v>2.86</v>
      </c>
      <c r="L12224">
        <v>43222</v>
      </c>
      <c r="M12224" t="s">
        <v>507</v>
      </c>
      <c r="N12224" t="str">
        <f>"2948        "</f>
        <v xml:space="preserve">2948        </v>
      </c>
      <c r="O12224">
        <v>230417</v>
      </c>
    </row>
    <row r="12225" spans="1:15" x14ac:dyDescent="0.25">
      <c r="A12225" t="s">
        <v>16</v>
      </c>
      <c r="B12225" t="s">
        <v>3221</v>
      </c>
      <c r="C12225">
        <v>4992</v>
      </c>
      <c r="D12225" t="s">
        <v>1776</v>
      </c>
      <c r="E12225" t="s">
        <v>1777</v>
      </c>
      <c r="F12225">
        <v>21.97</v>
      </c>
      <c r="G12225">
        <v>230331</v>
      </c>
      <c r="H12225">
        <v>4500</v>
      </c>
      <c r="I12225" t="s">
        <v>212</v>
      </c>
      <c r="J12225">
        <v>27.24</v>
      </c>
      <c r="K12225">
        <v>5.27</v>
      </c>
      <c r="L12225">
        <v>48601</v>
      </c>
      <c r="M12225" t="s">
        <v>1047</v>
      </c>
      <c r="N12225" t="str">
        <f>"2948        "</f>
        <v xml:space="preserve">2948        </v>
      </c>
      <c r="O12225">
        <v>230417</v>
      </c>
    </row>
    <row r="12226" spans="1:15" x14ac:dyDescent="0.25">
      <c r="A12226" t="s">
        <v>16</v>
      </c>
      <c r="B12226" t="s">
        <v>3221</v>
      </c>
      <c r="C12226">
        <v>13279</v>
      </c>
      <c r="D12226" t="s">
        <v>1776</v>
      </c>
      <c r="E12226" t="s">
        <v>1777</v>
      </c>
      <c r="F12226">
        <v>35.6</v>
      </c>
      <c r="G12226">
        <v>230930</v>
      </c>
      <c r="H12226">
        <v>4500</v>
      </c>
      <c r="I12226" t="s">
        <v>212</v>
      </c>
      <c r="J12226">
        <v>44.15</v>
      </c>
      <c r="K12226">
        <v>8.5500000000000007</v>
      </c>
      <c r="L12226">
        <v>43222</v>
      </c>
      <c r="M12226" t="s">
        <v>507</v>
      </c>
      <c r="N12226" t="str">
        <f>"3677        "</f>
        <v xml:space="preserve">3677        </v>
      </c>
      <c r="O12226">
        <v>231009</v>
      </c>
    </row>
    <row r="12227" spans="1:15" x14ac:dyDescent="0.25">
      <c r="A12227" t="s">
        <v>16</v>
      </c>
      <c r="B12227" t="s">
        <v>3221</v>
      </c>
      <c r="C12227">
        <v>11509</v>
      </c>
      <c r="D12227" t="s">
        <v>1776</v>
      </c>
      <c r="E12227" t="s">
        <v>1777</v>
      </c>
      <c r="F12227">
        <v>36.18</v>
      </c>
      <c r="G12227">
        <v>230831</v>
      </c>
      <c r="H12227">
        <v>4530</v>
      </c>
      <c r="I12227" t="s">
        <v>342</v>
      </c>
      <c r="J12227">
        <v>44.86</v>
      </c>
      <c r="K12227">
        <v>8.68</v>
      </c>
      <c r="L12227">
        <v>48601</v>
      </c>
      <c r="M12227" t="s">
        <v>1047</v>
      </c>
      <c r="N12227" t="str">
        <f>"3552        "</f>
        <v xml:space="preserve">3552        </v>
      </c>
      <c r="O12227">
        <v>230907</v>
      </c>
    </row>
    <row r="12228" spans="1:15" x14ac:dyDescent="0.25">
      <c r="A12228" t="s">
        <v>16</v>
      </c>
      <c r="B12228" t="s">
        <v>3221</v>
      </c>
      <c r="C12228">
        <v>16746</v>
      </c>
      <c r="D12228" t="s">
        <v>1776</v>
      </c>
      <c r="E12228" t="s">
        <v>1777</v>
      </c>
      <c r="F12228">
        <v>28.96</v>
      </c>
      <c r="G12228">
        <v>231130</v>
      </c>
      <c r="H12228">
        <v>4530</v>
      </c>
      <c r="I12228" t="s">
        <v>342</v>
      </c>
      <c r="J12228">
        <v>35.909999999999997</v>
      </c>
      <c r="K12228">
        <v>6.95</v>
      </c>
      <c r="L12228">
        <v>44453</v>
      </c>
      <c r="M12228" t="s">
        <v>492</v>
      </c>
      <c r="N12228" t="str">
        <f>"3918        "</f>
        <v xml:space="preserve">3918        </v>
      </c>
      <c r="O12228">
        <v>231208</v>
      </c>
    </row>
    <row r="12229" spans="1:15" x14ac:dyDescent="0.25">
      <c r="A12229" t="s">
        <v>16</v>
      </c>
      <c r="B12229" t="s">
        <v>3221</v>
      </c>
      <c r="C12229">
        <v>14171</v>
      </c>
      <c r="D12229" t="s">
        <v>2746</v>
      </c>
      <c r="E12229" t="s">
        <v>2747</v>
      </c>
      <c r="F12229">
        <v>368.55</v>
      </c>
      <c r="G12229">
        <v>231013</v>
      </c>
      <c r="H12229">
        <v>4590</v>
      </c>
      <c r="I12229" t="s">
        <v>203</v>
      </c>
      <c r="J12229">
        <v>457</v>
      </c>
      <c r="K12229">
        <v>88.45</v>
      </c>
      <c r="L12229">
        <v>56564</v>
      </c>
      <c r="M12229" t="s">
        <v>327</v>
      </c>
      <c r="N12229" t="str">
        <f>"100835      "</f>
        <v xml:space="preserve">100835      </v>
      </c>
      <c r="O12229">
        <v>231023</v>
      </c>
    </row>
    <row r="12230" spans="1:15" x14ac:dyDescent="0.25">
      <c r="A12230" t="s">
        <v>16</v>
      </c>
      <c r="B12230" t="s">
        <v>3221</v>
      </c>
      <c r="C12230">
        <v>5893</v>
      </c>
      <c r="D12230" t="s">
        <v>1664</v>
      </c>
      <c r="E12230" t="s">
        <v>1665</v>
      </c>
      <c r="F12230">
        <v>150</v>
      </c>
      <c r="G12230">
        <v>230430</v>
      </c>
      <c r="H12230">
        <v>4412</v>
      </c>
      <c r="I12230" t="s">
        <v>149</v>
      </c>
      <c r="J12230">
        <v>150</v>
      </c>
      <c r="K12230">
        <v>0</v>
      </c>
      <c r="L12230">
        <v>11901</v>
      </c>
      <c r="M12230" t="s">
        <v>36</v>
      </c>
      <c r="N12230" t="str">
        <f>"1754        "</f>
        <v xml:space="preserve">1754        </v>
      </c>
      <c r="O12230">
        <v>230503</v>
      </c>
    </row>
    <row r="12231" spans="1:15" x14ac:dyDescent="0.25">
      <c r="A12231" t="s">
        <v>16</v>
      </c>
      <c r="B12231" t="s">
        <v>3221</v>
      </c>
      <c r="C12231">
        <v>5893</v>
      </c>
      <c r="D12231" t="s">
        <v>1664</v>
      </c>
      <c r="E12231" t="s">
        <v>1665</v>
      </c>
      <c r="F12231">
        <v>186.36</v>
      </c>
      <c r="G12231">
        <v>230430</v>
      </c>
      <c r="H12231">
        <v>4412</v>
      </c>
      <c r="I12231" t="s">
        <v>149</v>
      </c>
      <c r="J12231">
        <v>205</v>
      </c>
      <c r="K12231">
        <v>18.64</v>
      </c>
      <c r="L12231">
        <v>11901</v>
      </c>
      <c r="M12231" t="s">
        <v>36</v>
      </c>
      <c r="N12231" t="str">
        <f>"1754        "</f>
        <v xml:space="preserve">1754        </v>
      </c>
      <c r="O12231">
        <v>230503</v>
      </c>
    </row>
    <row r="12232" spans="1:15" x14ac:dyDescent="0.25">
      <c r="A12232" t="s">
        <v>16</v>
      </c>
      <c r="B12232" t="s">
        <v>3221</v>
      </c>
      <c r="C12232">
        <v>13998</v>
      </c>
      <c r="D12232" t="s">
        <v>1664</v>
      </c>
      <c r="E12232" t="s">
        <v>1665</v>
      </c>
      <c r="F12232">
        <v>131.82</v>
      </c>
      <c r="G12232">
        <v>231012</v>
      </c>
      <c r="H12232">
        <v>4412</v>
      </c>
      <c r="I12232" t="s">
        <v>149</v>
      </c>
      <c r="J12232">
        <v>145</v>
      </c>
      <c r="K12232">
        <v>13.18</v>
      </c>
      <c r="L12232">
        <v>14121</v>
      </c>
      <c r="M12232" t="s">
        <v>880</v>
      </c>
      <c r="N12232" t="str">
        <f>"1973        "</f>
        <v xml:space="preserve">1973        </v>
      </c>
      <c r="O12232">
        <v>231017</v>
      </c>
    </row>
    <row r="12233" spans="1:15" x14ac:dyDescent="0.25">
      <c r="A12233" t="s">
        <v>16</v>
      </c>
      <c r="B12233" t="s">
        <v>3221</v>
      </c>
      <c r="C12233">
        <v>4159</v>
      </c>
      <c r="D12233" t="s">
        <v>1664</v>
      </c>
      <c r="E12233" t="s">
        <v>1665</v>
      </c>
      <c r="F12233">
        <v>15</v>
      </c>
      <c r="G12233">
        <v>230320</v>
      </c>
      <c r="H12233">
        <v>4410</v>
      </c>
      <c r="I12233" t="s">
        <v>517</v>
      </c>
      <c r="J12233">
        <v>15</v>
      </c>
      <c r="K12233">
        <v>0</v>
      </c>
      <c r="L12233">
        <v>18122</v>
      </c>
      <c r="M12233" t="s">
        <v>407</v>
      </c>
      <c r="N12233" t="str">
        <f>"1721        "</f>
        <v xml:space="preserve">1721        </v>
      </c>
      <c r="O12233">
        <v>230331</v>
      </c>
    </row>
    <row r="12234" spans="1:15" x14ac:dyDescent="0.25">
      <c r="A12234" t="s">
        <v>16</v>
      </c>
      <c r="B12234" t="s">
        <v>3221</v>
      </c>
      <c r="C12234">
        <v>4159</v>
      </c>
      <c r="D12234" t="s">
        <v>1664</v>
      </c>
      <c r="E12234" t="s">
        <v>1665</v>
      </c>
      <c r="F12234">
        <v>90.35</v>
      </c>
      <c r="G12234">
        <v>230320</v>
      </c>
      <c r="H12234">
        <v>4410</v>
      </c>
      <c r="I12234" t="s">
        <v>517</v>
      </c>
      <c r="J12234">
        <v>103</v>
      </c>
      <c r="K12234">
        <v>12.65</v>
      </c>
      <c r="L12234">
        <v>18122</v>
      </c>
      <c r="M12234" t="s">
        <v>407</v>
      </c>
      <c r="N12234" t="str">
        <f>"1721        "</f>
        <v xml:space="preserve">1721        </v>
      </c>
      <c r="O12234">
        <v>230331</v>
      </c>
    </row>
    <row r="12235" spans="1:15" x14ac:dyDescent="0.25">
      <c r="A12235" t="s">
        <v>16</v>
      </c>
      <c r="B12235" t="s">
        <v>3221</v>
      </c>
      <c r="C12235">
        <v>4159</v>
      </c>
      <c r="D12235" t="s">
        <v>1664</v>
      </c>
      <c r="E12235" t="s">
        <v>1665</v>
      </c>
      <c r="F12235">
        <v>107.27</v>
      </c>
      <c r="G12235">
        <v>230320</v>
      </c>
      <c r="H12235">
        <v>4410</v>
      </c>
      <c r="I12235" t="s">
        <v>517</v>
      </c>
      <c r="J12235">
        <v>118</v>
      </c>
      <c r="K12235">
        <v>10.73</v>
      </c>
      <c r="L12235">
        <v>18122</v>
      </c>
      <c r="M12235" t="s">
        <v>407</v>
      </c>
      <c r="N12235" t="str">
        <f>"1721        "</f>
        <v xml:space="preserve">1721        </v>
      </c>
      <c r="O12235">
        <v>230331</v>
      </c>
    </row>
    <row r="12236" spans="1:15" x14ac:dyDescent="0.25">
      <c r="A12236" t="s">
        <v>16</v>
      </c>
      <c r="B12236" t="s">
        <v>3221</v>
      </c>
      <c r="C12236">
        <v>8942</v>
      </c>
      <c r="D12236" t="s">
        <v>1664</v>
      </c>
      <c r="E12236" t="s">
        <v>1665</v>
      </c>
      <c r="F12236">
        <v>15</v>
      </c>
      <c r="G12236">
        <v>230617</v>
      </c>
      <c r="H12236">
        <v>4410</v>
      </c>
      <c r="I12236" t="s">
        <v>517</v>
      </c>
      <c r="J12236">
        <v>15</v>
      </c>
      <c r="K12236">
        <v>0</v>
      </c>
      <c r="L12236">
        <v>18122</v>
      </c>
      <c r="M12236" t="s">
        <v>407</v>
      </c>
      <c r="N12236" t="str">
        <f>"1817        "</f>
        <v xml:space="preserve">1817        </v>
      </c>
      <c r="O12236">
        <v>230620</v>
      </c>
    </row>
    <row r="12237" spans="1:15" x14ac:dyDescent="0.25">
      <c r="A12237" t="s">
        <v>16</v>
      </c>
      <c r="B12237" t="s">
        <v>3221</v>
      </c>
      <c r="C12237">
        <v>8942</v>
      </c>
      <c r="D12237" t="s">
        <v>1664</v>
      </c>
      <c r="E12237" t="s">
        <v>1665</v>
      </c>
      <c r="F12237">
        <v>168.18</v>
      </c>
      <c r="G12237">
        <v>230617</v>
      </c>
      <c r="H12237">
        <v>4410</v>
      </c>
      <c r="I12237" t="s">
        <v>517</v>
      </c>
      <c r="J12237">
        <v>185</v>
      </c>
      <c r="K12237">
        <v>16.82</v>
      </c>
      <c r="L12237">
        <v>18122</v>
      </c>
      <c r="M12237" t="s">
        <v>407</v>
      </c>
      <c r="N12237" t="str">
        <f>"1817        "</f>
        <v xml:space="preserve">1817        </v>
      </c>
      <c r="O12237">
        <v>230620</v>
      </c>
    </row>
    <row r="12238" spans="1:15" x14ac:dyDescent="0.25">
      <c r="A12238" t="s">
        <v>16</v>
      </c>
      <c r="B12238" t="s">
        <v>3221</v>
      </c>
      <c r="C12238">
        <v>13707</v>
      </c>
      <c r="D12238" t="s">
        <v>1664</v>
      </c>
      <c r="E12238" t="s">
        <v>1665</v>
      </c>
      <c r="F12238">
        <v>20</v>
      </c>
      <c r="G12238">
        <v>231007</v>
      </c>
      <c r="H12238">
        <v>4410</v>
      </c>
      <c r="I12238" t="s">
        <v>517</v>
      </c>
      <c r="J12238">
        <v>20</v>
      </c>
      <c r="K12238">
        <v>0</v>
      </c>
      <c r="L12238">
        <v>18122</v>
      </c>
      <c r="M12238" t="s">
        <v>407</v>
      </c>
      <c r="N12238" t="str">
        <f>"1950        "</f>
        <v xml:space="preserve">1950        </v>
      </c>
      <c r="O12238">
        <v>231012</v>
      </c>
    </row>
    <row r="12239" spans="1:15" x14ac:dyDescent="0.25">
      <c r="A12239" t="s">
        <v>16</v>
      </c>
      <c r="B12239" t="s">
        <v>3221</v>
      </c>
      <c r="C12239">
        <v>13707</v>
      </c>
      <c r="D12239" t="s">
        <v>1664</v>
      </c>
      <c r="E12239" t="s">
        <v>1665</v>
      </c>
      <c r="F12239">
        <v>87.72</v>
      </c>
      <c r="G12239">
        <v>231007</v>
      </c>
      <c r="H12239">
        <v>4410</v>
      </c>
      <c r="I12239" t="s">
        <v>517</v>
      </c>
      <c r="J12239">
        <v>100</v>
      </c>
      <c r="K12239">
        <v>12.28</v>
      </c>
      <c r="L12239">
        <v>18122</v>
      </c>
      <c r="M12239" t="s">
        <v>407</v>
      </c>
      <c r="N12239" t="str">
        <f>"1950        "</f>
        <v xml:space="preserve">1950        </v>
      </c>
      <c r="O12239">
        <v>231012</v>
      </c>
    </row>
    <row r="12240" spans="1:15" x14ac:dyDescent="0.25">
      <c r="A12240" t="s">
        <v>16</v>
      </c>
      <c r="B12240" t="s">
        <v>3221</v>
      </c>
      <c r="C12240">
        <v>13707</v>
      </c>
      <c r="D12240" t="s">
        <v>1664</v>
      </c>
      <c r="E12240" t="s">
        <v>1665</v>
      </c>
      <c r="F12240">
        <v>149.09</v>
      </c>
      <c r="G12240">
        <v>231007</v>
      </c>
      <c r="H12240">
        <v>4410</v>
      </c>
      <c r="I12240" t="s">
        <v>517</v>
      </c>
      <c r="J12240">
        <v>164</v>
      </c>
      <c r="K12240">
        <v>14.91</v>
      </c>
      <c r="L12240">
        <v>18122</v>
      </c>
      <c r="M12240" t="s">
        <v>407</v>
      </c>
      <c r="N12240" t="str">
        <f>"1950        "</f>
        <v xml:space="preserve">1950        </v>
      </c>
      <c r="O12240">
        <v>231012</v>
      </c>
    </row>
    <row r="12241" spans="1:15" x14ac:dyDescent="0.25">
      <c r="A12241" t="s">
        <v>16</v>
      </c>
      <c r="B12241" t="s">
        <v>3221</v>
      </c>
      <c r="C12241">
        <v>16118</v>
      </c>
      <c r="D12241" t="s">
        <v>1664</v>
      </c>
      <c r="E12241" t="s">
        <v>1665</v>
      </c>
      <c r="F12241">
        <v>20</v>
      </c>
      <c r="G12241">
        <v>231113</v>
      </c>
      <c r="H12241">
        <v>4410</v>
      </c>
      <c r="I12241" t="s">
        <v>517</v>
      </c>
      <c r="J12241">
        <v>20</v>
      </c>
      <c r="K12241">
        <v>0</v>
      </c>
      <c r="L12241">
        <v>18122</v>
      </c>
      <c r="M12241" t="s">
        <v>407</v>
      </c>
      <c r="N12241" t="str">
        <f>"2000        "</f>
        <v xml:space="preserve">2000        </v>
      </c>
      <c r="O12241">
        <v>231123</v>
      </c>
    </row>
    <row r="12242" spans="1:15" x14ac:dyDescent="0.25">
      <c r="A12242" t="s">
        <v>16</v>
      </c>
      <c r="B12242" t="s">
        <v>3221</v>
      </c>
      <c r="C12242">
        <v>16118</v>
      </c>
      <c r="D12242" t="s">
        <v>1664</v>
      </c>
      <c r="E12242" t="s">
        <v>1665</v>
      </c>
      <c r="F12242">
        <v>105.26</v>
      </c>
      <c r="G12242">
        <v>231113</v>
      </c>
      <c r="H12242">
        <v>4410</v>
      </c>
      <c r="I12242" t="s">
        <v>517</v>
      </c>
      <c r="J12242">
        <v>120</v>
      </c>
      <c r="K12242">
        <v>14.74</v>
      </c>
      <c r="L12242">
        <v>18122</v>
      </c>
      <c r="M12242" t="s">
        <v>407</v>
      </c>
      <c r="N12242" t="str">
        <f>"2000        "</f>
        <v xml:space="preserve">2000        </v>
      </c>
      <c r="O12242">
        <v>231123</v>
      </c>
    </row>
    <row r="12243" spans="1:15" x14ac:dyDescent="0.25">
      <c r="A12243" t="s">
        <v>16</v>
      </c>
      <c r="B12243" t="s">
        <v>3221</v>
      </c>
      <c r="C12243">
        <v>16118</v>
      </c>
      <c r="D12243" t="s">
        <v>1664</v>
      </c>
      <c r="E12243" t="s">
        <v>1665</v>
      </c>
      <c r="F12243">
        <v>130.91</v>
      </c>
      <c r="G12243">
        <v>231113</v>
      </c>
      <c r="H12243">
        <v>4410</v>
      </c>
      <c r="I12243" t="s">
        <v>517</v>
      </c>
      <c r="J12243">
        <v>144</v>
      </c>
      <c r="K12243">
        <v>13.09</v>
      </c>
      <c r="L12243">
        <v>18122</v>
      </c>
      <c r="M12243" t="s">
        <v>407</v>
      </c>
      <c r="N12243" t="str">
        <f>"2000        "</f>
        <v xml:space="preserve">2000        </v>
      </c>
      <c r="O12243">
        <v>231123</v>
      </c>
    </row>
    <row r="12244" spans="1:15" x14ac:dyDescent="0.25">
      <c r="A12244" t="s">
        <v>16</v>
      </c>
      <c r="B12244" t="s">
        <v>3221</v>
      </c>
      <c r="C12244">
        <v>12406</v>
      </c>
      <c r="D12244" t="s">
        <v>2572</v>
      </c>
      <c r="E12244" t="s">
        <v>2573</v>
      </c>
      <c r="F12244">
        <v>550</v>
      </c>
      <c r="G12244">
        <v>230918</v>
      </c>
      <c r="H12244">
        <v>4840</v>
      </c>
      <c r="I12244" t="s">
        <v>19</v>
      </c>
      <c r="J12244">
        <v>682</v>
      </c>
      <c r="K12244">
        <v>132</v>
      </c>
      <c r="L12244">
        <v>17809</v>
      </c>
      <c r="M12244" t="s">
        <v>376</v>
      </c>
      <c r="N12244" t="str">
        <f>"1001001611  "</f>
        <v xml:space="preserve">1001001611  </v>
      </c>
      <c r="O12244">
        <v>230919</v>
      </c>
    </row>
    <row r="12245" spans="1:15" x14ac:dyDescent="0.25">
      <c r="A12245" t="s">
        <v>16</v>
      </c>
      <c r="B12245" t="s">
        <v>3221</v>
      </c>
      <c r="C12245">
        <v>16056</v>
      </c>
      <c r="D12245" t="s">
        <v>1925</v>
      </c>
      <c r="E12245" t="s">
        <v>1926</v>
      </c>
      <c r="F12245">
        <v>110</v>
      </c>
      <c r="G12245">
        <v>231118</v>
      </c>
      <c r="H12245">
        <v>4840</v>
      </c>
      <c r="I12245" t="s">
        <v>19</v>
      </c>
      <c r="J12245">
        <v>136.4</v>
      </c>
      <c r="K12245">
        <v>26.4</v>
      </c>
      <c r="L12245">
        <v>17950</v>
      </c>
      <c r="M12245" t="s">
        <v>86</v>
      </c>
      <c r="N12245" t="str">
        <f>"1357        "</f>
        <v xml:space="preserve">1357        </v>
      </c>
      <c r="O12245">
        <v>231122</v>
      </c>
    </row>
    <row r="12246" spans="1:15" x14ac:dyDescent="0.25">
      <c r="A12246" t="s">
        <v>16</v>
      </c>
      <c r="B12246" t="s">
        <v>3221</v>
      </c>
      <c r="C12246">
        <v>16056</v>
      </c>
      <c r="D12246" t="s">
        <v>1925</v>
      </c>
      <c r="E12246" t="s">
        <v>1926</v>
      </c>
      <c r="F12246">
        <v>120</v>
      </c>
      <c r="G12246">
        <v>231118</v>
      </c>
      <c r="H12246">
        <v>4840</v>
      </c>
      <c r="I12246" t="s">
        <v>19</v>
      </c>
      <c r="J12246">
        <v>148.80000000000001</v>
      </c>
      <c r="K12246">
        <v>28.8</v>
      </c>
      <c r="L12246">
        <v>17952</v>
      </c>
      <c r="M12246" t="s">
        <v>88</v>
      </c>
      <c r="N12246" t="str">
        <f>"1357        "</f>
        <v xml:space="preserve">1357        </v>
      </c>
      <c r="O12246">
        <v>231122</v>
      </c>
    </row>
    <row r="12247" spans="1:15" x14ac:dyDescent="0.25">
      <c r="A12247" t="s">
        <v>16</v>
      </c>
      <c r="B12247" t="s">
        <v>3221</v>
      </c>
      <c r="C12247">
        <v>17033</v>
      </c>
      <c r="D12247" t="s">
        <v>1925</v>
      </c>
      <c r="E12247" t="s">
        <v>1926</v>
      </c>
      <c r="F12247">
        <v>150</v>
      </c>
      <c r="G12247">
        <v>231209</v>
      </c>
      <c r="H12247">
        <v>4840</v>
      </c>
      <c r="I12247" t="s">
        <v>19</v>
      </c>
      <c r="J12247">
        <v>186</v>
      </c>
      <c r="K12247">
        <v>36</v>
      </c>
      <c r="L12247">
        <v>17952</v>
      </c>
      <c r="M12247" t="s">
        <v>88</v>
      </c>
      <c r="N12247" t="str">
        <f>"1374        "</f>
        <v xml:space="preserve">1374        </v>
      </c>
      <c r="O12247">
        <v>231212</v>
      </c>
    </row>
    <row r="12248" spans="1:15" x14ac:dyDescent="0.25">
      <c r="A12248" t="s">
        <v>16</v>
      </c>
      <c r="B12248" t="s">
        <v>3221</v>
      </c>
      <c r="C12248">
        <v>6049</v>
      </c>
      <c r="D12248" t="s">
        <v>1925</v>
      </c>
      <c r="E12248" t="s">
        <v>1926</v>
      </c>
      <c r="F12248">
        <v>120</v>
      </c>
      <c r="G12248">
        <v>230430</v>
      </c>
      <c r="H12248">
        <v>4860</v>
      </c>
      <c r="I12248" t="s">
        <v>28</v>
      </c>
      <c r="J12248">
        <v>148.80000000000001</v>
      </c>
      <c r="K12248">
        <v>28.8</v>
      </c>
      <c r="L12248">
        <v>17952</v>
      </c>
      <c r="M12248" t="s">
        <v>88</v>
      </c>
      <c r="N12248" t="str">
        <f>"1259        "</f>
        <v xml:space="preserve">1259        </v>
      </c>
      <c r="O12248">
        <v>230508</v>
      </c>
    </row>
    <row r="12249" spans="1:15" x14ac:dyDescent="0.25">
      <c r="A12249" t="s">
        <v>16</v>
      </c>
      <c r="B12249" t="s">
        <v>3221</v>
      </c>
      <c r="C12249">
        <v>1824</v>
      </c>
      <c r="D12249" t="s">
        <v>1214</v>
      </c>
      <c r="E12249" t="s">
        <v>1215</v>
      </c>
      <c r="F12249">
        <v>950</v>
      </c>
      <c r="G12249">
        <v>230213</v>
      </c>
      <c r="H12249">
        <v>4350</v>
      </c>
      <c r="I12249" t="s">
        <v>546</v>
      </c>
      <c r="J12249">
        <v>1178</v>
      </c>
      <c r="K12249">
        <v>228</v>
      </c>
      <c r="L12249">
        <v>17972</v>
      </c>
      <c r="M12249" t="s">
        <v>248</v>
      </c>
      <c r="N12249" t="str">
        <f>"3066        "</f>
        <v xml:space="preserve">3066        </v>
      </c>
      <c r="O12249">
        <v>230214</v>
      </c>
    </row>
    <row r="12250" spans="1:15" x14ac:dyDescent="0.25">
      <c r="A12250" t="s">
        <v>16</v>
      </c>
      <c r="B12250" t="s">
        <v>3221</v>
      </c>
      <c r="C12250">
        <v>11675</v>
      </c>
      <c r="D12250" t="s">
        <v>1214</v>
      </c>
      <c r="E12250" t="s">
        <v>1215</v>
      </c>
      <c r="F12250">
        <v>950</v>
      </c>
      <c r="G12250">
        <v>230904</v>
      </c>
      <c r="H12250">
        <v>4350</v>
      </c>
      <c r="I12250" t="s">
        <v>546</v>
      </c>
      <c r="J12250">
        <v>1178</v>
      </c>
      <c r="K12250">
        <v>228</v>
      </c>
      <c r="L12250">
        <v>17538</v>
      </c>
      <c r="M12250" t="s">
        <v>24</v>
      </c>
      <c r="N12250" t="str">
        <f>"3405        "</f>
        <v xml:space="preserve">3405        </v>
      </c>
      <c r="O12250">
        <v>230908</v>
      </c>
    </row>
    <row r="12251" spans="1:15" x14ac:dyDescent="0.25">
      <c r="A12251" t="s">
        <v>16</v>
      </c>
      <c r="B12251" t="s">
        <v>3221</v>
      </c>
      <c r="C12251">
        <v>3775</v>
      </c>
      <c r="D12251" t="s">
        <v>3403</v>
      </c>
      <c r="E12251" t="s">
        <v>3404</v>
      </c>
      <c r="F12251">
        <v>33</v>
      </c>
      <c r="G12251">
        <v>230321</v>
      </c>
      <c r="H12251">
        <v>4510</v>
      </c>
      <c r="I12251" t="s">
        <v>42</v>
      </c>
      <c r="J12251">
        <v>33</v>
      </c>
      <c r="K12251">
        <v>0</v>
      </c>
      <c r="L12251">
        <v>17131</v>
      </c>
      <c r="M12251" t="s">
        <v>64</v>
      </c>
      <c r="N12251" t="str">
        <f>"210323      "</f>
        <v xml:space="preserve">210323      </v>
      </c>
      <c r="O12251">
        <v>230322</v>
      </c>
    </row>
    <row r="12252" spans="1:15" x14ac:dyDescent="0.25">
      <c r="A12252" t="s">
        <v>16</v>
      </c>
      <c r="B12252" t="s">
        <v>3221</v>
      </c>
      <c r="C12252">
        <v>5064</v>
      </c>
      <c r="D12252" t="s">
        <v>1788</v>
      </c>
      <c r="E12252" t="s">
        <v>1789</v>
      </c>
      <c r="F12252">
        <v>549.46</v>
      </c>
      <c r="G12252">
        <v>230331</v>
      </c>
      <c r="H12252">
        <v>4400</v>
      </c>
      <c r="I12252" t="s">
        <v>348</v>
      </c>
      <c r="J12252">
        <v>681.33</v>
      </c>
      <c r="K12252">
        <v>131.87</v>
      </c>
      <c r="L12252">
        <v>17522</v>
      </c>
      <c r="M12252" t="s">
        <v>451</v>
      </c>
      <c r="N12252" t="str">
        <f>"2232710     "</f>
        <v xml:space="preserve">2232710     </v>
      </c>
      <c r="O12252">
        <v>230418</v>
      </c>
    </row>
    <row r="12253" spans="1:15" x14ac:dyDescent="0.25">
      <c r="A12253" t="s">
        <v>16</v>
      </c>
      <c r="B12253" t="s">
        <v>3221</v>
      </c>
      <c r="C12253">
        <v>11993</v>
      </c>
      <c r="D12253" t="s">
        <v>2533</v>
      </c>
      <c r="E12253" t="s">
        <v>2534</v>
      </c>
      <c r="F12253">
        <v>2850</v>
      </c>
      <c r="G12253">
        <v>230824</v>
      </c>
      <c r="H12253">
        <v>4343</v>
      </c>
      <c r="I12253" t="s">
        <v>91</v>
      </c>
      <c r="J12253">
        <v>3534</v>
      </c>
      <c r="K12253">
        <v>684</v>
      </c>
      <c r="L12253">
        <v>11801</v>
      </c>
      <c r="M12253" t="s">
        <v>92</v>
      </c>
      <c r="N12253" t="str">
        <f>"1029034     "</f>
        <v xml:space="preserve">1029034     </v>
      </c>
      <c r="O12253">
        <v>230912</v>
      </c>
    </row>
    <row r="12254" spans="1:15" x14ac:dyDescent="0.25">
      <c r="A12254" t="s">
        <v>16</v>
      </c>
      <c r="B12254" t="s">
        <v>3221</v>
      </c>
      <c r="C12254">
        <v>2158</v>
      </c>
      <c r="D12254" t="s">
        <v>3664</v>
      </c>
      <c r="E12254" t="s">
        <v>1312</v>
      </c>
      <c r="F12254">
        <v>60.28</v>
      </c>
      <c r="G12254">
        <v>230206</v>
      </c>
      <c r="H12254">
        <v>4580</v>
      </c>
      <c r="I12254" t="s">
        <v>35</v>
      </c>
      <c r="J12254">
        <v>74.75</v>
      </c>
      <c r="K12254">
        <v>14.47</v>
      </c>
      <c r="L12254">
        <v>17951</v>
      </c>
      <c r="M12254" t="s">
        <v>87</v>
      </c>
      <c r="N12254" t="str">
        <f>"1571        "</f>
        <v xml:space="preserve">1571        </v>
      </c>
      <c r="O12254">
        <v>230221</v>
      </c>
    </row>
    <row r="12255" spans="1:15" x14ac:dyDescent="0.25">
      <c r="A12255" t="s">
        <v>16</v>
      </c>
      <c r="B12255" t="s">
        <v>3221</v>
      </c>
      <c r="C12255">
        <v>2155</v>
      </c>
      <c r="D12255" t="s">
        <v>3664</v>
      </c>
      <c r="E12255" t="s">
        <v>1312</v>
      </c>
      <c r="F12255">
        <v>773.74</v>
      </c>
      <c r="G12255">
        <v>230206</v>
      </c>
      <c r="H12255">
        <v>4600</v>
      </c>
      <c r="I12255" t="s">
        <v>105</v>
      </c>
      <c r="J12255">
        <v>959.44</v>
      </c>
      <c r="K12255">
        <v>185.7</v>
      </c>
      <c r="L12255">
        <v>17809</v>
      </c>
      <c r="M12255" t="s">
        <v>376</v>
      </c>
      <c r="N12255" t="str">
        <f>"1570        "</f>
        <v xml:space="preserve">1570        </v>
      </c>
      <c r="O12255">
        <v>230221</v>
      </c>
    </row>
    <row r="12256" spans="1:15" x14ac:dyDescent="0.25">
      <c r="A12256" t="s">
        <v>16</v>
      </c>
      <c r="B12256" t="s">
        <v>3221</v>
      </c>
      <c r="C12256">
        <v>2158</v>
      </c>
      <c r="D12256" t="s">
        <v>3664</v>
      </c>
      <c r="E12256" t="s">
        <v>1312</v>
      </c>
      <c r="F12256">
        <v>57.97</v>
      </c>
      <c r="G12256">
        <v>230206</v>
      </c>
      <c r="H12256">
        <v>4600</v>
      </c>
      <c r="I12256" t="s">
        <v>105</v>
      </c>
      <c r="J12256">
        <v>71.88</v>
      </c>
      <c r="K12256">
        <v>13.91</v>
      </c>
      <c r="L12256">
        <v>17809</v>
      </c>
      <c r="M12256" t="s">
        <v>376</v>
      </c>
      <c r="N12256" t="str">
        <f>"1571        "</f>
        <v xml:space="preserve">1571        </v>
      </c>
      <c r="O12256">
        <v>230221</v>
      </c>
    </row>
    <row r="12257" spans="1:15" x14ac:dyDescent="0.25">
      <c r="A12257" t="s">
        <v>16</v>
      </c>
      <c r="B12257" t="s">
        <v>3221</v>
      </c>
      <c r="C12257">
        <v>6074</v>
      </c>
      <c r="D12257" t="s">
        <v>3664</v>
      </c>
      <c r="E12257" t="s">
        <v>1312</v>
      </c>
      <c r="F12257">
        <v>1318.35</v>
      </c>
      <c r="G12257">
        <v>230502</v>
      </c>
      <c r="H12257">
        <v>4600</v>
      </c>
      <c r="I12257" t="s">
        <v>105</v>
      </c>
      <c r="J12257">
        <v>1634.76</v>
      </c>
      <c r="K12257">
        <v>316.41000000000003</v>
      </c>
      <c r="L12257">
        <v>17809</v>
      </c>
      <c r="M12257" t="s">
        <v>376</v>
      </c>
      <c r="N12257" t="str">
        <f>"1598        "</f>
        <v xml:space="preserve">1598        </v>
      </c>
      <c r="O12257">
        <v>230508</v>
      </c>
    </row>
    <row r="12258" spans="1:15" x14ac:dyDescent="0.25">
      <c r="A12258" t="s">
        <v>16</v>
      </c>
      <c r="B12258" t="s">
        <v>3221</v>
      </c>
      <c r="C12258">
        <v>6196</v>
      </c>
      <c r="D12258" t="s">
        <v>3664</v>
      </c>
      <c r="E12258" t="s">
        <v>1312</v>
      </c>
      <c r="F12258">
        <v>10.27</v>
      </c>
      <c r="G12258">
        <v>230502</v>
      </c>
      <c r="H12258">
        <v>4600</v>
      </c>
      <c r="I12258" t="s">
        <v>105</v>
      </c>
      <c r="J12258">
        <v>12.74</v>
      </c>
      <c r="K12258">
        <v>2.4700000000000002</v>
      </c>
      <c r="L12258">
        <v>17711</v>
      </c>
      <c r="M12258" t="s">
        <v>65</v>
      </c>
      <c r="N12258" t="str">
        <f>"1601        "</f>
        <v xml:space="preserve">1601        </v>
      </c>
      <c r="O12258">
        <v>230508</v>
      </c>
    </row>
    <row r="12259" spans="1:15" x14ac:dyDescent="0.25">
      <c r="A12259" t="s">
        <v>16</v>
      </c>
      <c r="B12259" t="s">
        <v>3221</v>
      </c>
      <c r="C12259">
        <v>6210</v>
      </c>
      <c r="D12259" t="s">
        <v>3664</v>
      </c>
      <c r="E12259" t="s">
        <v>1312</v>
      </c>
      <c r="F12259">
        <v>276.41000000000003</v>
      </c>
      <c r="G12259">
        <v>230502</v>
      </c>
      <c r="H12259">
        <v>4600</v>
      </c>
      <c r="I12259" t="s">
        <v>105</v>
      </c>
      <c r="J12259">
        <v>342.75</v>
      </c>
      <c r="K12259">
        <v>66.34</v>
      </c>
      <c r="L12259">
        <v>17802</v>
      </c>
      <c r="M12259" t="s">
        <v>174</v>
      </c>
      <c r="N12259" t="str">
        <f>"1599        "</f>
        <v xml:space="preserve">1599        </v>
      </c>
      <c r="O12259">
        <v>230508</v>
      </c>
    </row>
    <row r="12260" spans="1:15" x14ac:dyDescent="0.25">
      <c r="A12260" t="s">
        <v>16</v>
      </c>
      <c r="B12260" t="s">
        <v>3221</v>
      </c>
      <c r="C12260">
        <v>8695</v>
      </c>
      <c r="D12260" t="s">
        <v>3664</v>
      </c>
      <c r="E12260" t="s">
        <v>1312</v>
      </c>
      <c r="F12260">
        <v>15.96</v>
      </c>
      <c r="G12260">
        <v>230612</v>
      </c>
      <c r="H12260">
        <v>4600</v>
      </c>
      <c r="I12260" t="s">
        <v>105</v>
      </c>
      <c r="J12260">
        <v>19.79</v>
      </c>
      <c r="K12260">
        <v>3.83</v>
      </c>
      <c r="L12260">
        <v>17951</v>
      </c>
      <c r="M12260" t="s">
        <v>87</v>
      </c>
      <c r="N12260" t="str">
        <f>"1625        "</f>
        <v xml:space="preserve">1625        </v>
      </c>
      <c r="O12260">
        <v>230613</v>
      </c>
    </row>
    <row r="12261" spans="1:15" x14ac:dyDescent="0.25">
      <c r="A12261" t="s">
        <v>16</v>
      </c>
      <c r="B12261" t="s">
        <v>3221</v>
      </c>
      <c r="C12261">
        <v>8704</v>
      </c>
      <c r="D12261" t="s">
        <v>3664</v>
      </c>
      <c r="E12261" t="s">
        <v>1312</v>
      </c>
      <c r="F12261">
        <v>26.13</v>
      </c>
      <c r="G12261">
        <v>230612</v>
      </c>
      <c r="H12261">
        <v>4600</v>
      </c>
      <c r="I12261" t="s">
        <v>105</v>
      </c>
      <c r="J12261">
        <v>32.4</v>
      </c>
      <c r="K12261">
        <v>6.27</v>
      </c>
      <c r="L12261">
        <v>17819</v>
      </c>
      <c r="M12261" t="s">
        <v>2044</v>
      </c>
      <c r="N12261" t="str">
        <f>"1623        "</f>
        <v xml:space="preserve">1623        </v>
      </c>
      <c r="O12261">
        <v>230613</v>
      </c>
    </row>
    <row r="12262" spans="1:15" x14ac:dyDescent="0.25">
      <c r="A12262" t="s">
        <v>16</v>
      </c>
      <c r="B12262" t="s">
        <v>3221</v>
      </c>
      <c r="C12262">
        <v>8706</v>
      </c>
      <c r="D12262" t="s">
        <v>3664</v>
      </c>
      <c r="E12262" t="s">
        <v>1312</v>
      </c>
      <c r="F12262">
        <v>300.58</v>
      </c>
      <c r="G12262">
        <v>230612</v>
      </c>
      <c r="H12262">
        <v>4600</v>
      </c>
      <c r="I12262" t="s">
        <v>105</v>
      </c>
      <c r="J12262">
        <v>372.72</v>
      </c>
      <c r="K12262">
        <v>72.14</v>
      </c>
      <c r="L12262">
        <v>17809</v>
      </c>
      <c r="M12262" t="s">
        <v>376</v>
      </c>
      <c r="N12262" t="str">
        <f>"1622        "</f>
        <v xml:space="preserve">1622        </v>
      </c>
      <c r="O12262">
        <v>230613</v>
      </c>
    </row>
    <row r="12263" spans="1:15" x14ac:dyDescent="0.25">
      <c r="A12263" t="s">
        <v>16</v>
      </c>
      <c r="B12263" t="s">
        <v>3221</v>
      </c>
      <c r="C12263">
        <v>8708</v>
      </c>
      <c r="D12263" t="s">
        <v>3664</v>
      </c>
      <c r="E12263" t="s">
        <v>1312</v>
      </c>
      <c r="F12263">
        <v>70.569999999999993</v>
      </c>
      <c r="G12263">
        <v>230612</v>
      </c>
      <c r="H12263">
        <v>4600</v>
      </c>
      <c r="I12263" t="s">
        <v>105</v>
      </c>
      <c r="J12263">
        <v>87.51</v>
      </c>
      <c r="K12263">
        <v>16.940000000000001</v>
      </c>
      <c r="L12263">
        <v>17819</v>
      </c>
      <c r="M12263" t="s">
        <v>2044</v>
      </c>
      <c r="N12263" t="str">
        <f>"1624        "</f>
        <v xml:space="preserve">1624        </v>
      </c>
      <c r="O12263">
        <v>230613</v>
      </c>
    </row>
    <row r="12264" spans="1:15" x14ac:dyDescent="0.25">
      <c r="A12264" t="s">
        <v>16</v>
      </c>
      <c r="B12264" t="s">
        <v>3221</v>
      </c>
      <c r="C12264">
        <v>16588</v>
      </c>
      <c r="D12264" t="s">
        <v>3664</v>
      </c>
      <c r="E12264" t="s">
        <v>1312</v>
      </c>
      <c r="F12264">
        <v>168.91</v>
      </c>
      <c r="G12264">
        <v>231130</v>
      </c>
      <c r="H12264">
        <v>4600</v>
      </c>
      <c r="I12264" t="s">
        <v>105</v>
      </c>
      <c r="J12264">
        <v>209.45</v>
      </c>
      <c r="K12264">
        <v>40.54</v>
      </c>
      <c r="L12264">
        <v>17809</v>
      </c>
      <c r="M12264" t="s">
        <v>376</v>
      </c>
      <c r="N12264" t="str">
        <f>"1663        "</f>
        <v xml:space="preserve">1663        </v>
      </c>
      <c r="O12264">
        <v>231204</v>
      </c>
    </row>
    <row r="12265" spans="1:15" x14ac:dyDescent="0.25">
      <c r="A12265" t="s">
        <v>16</v>
      </c>
      <c r="B12265" t="s">
        <v>3221</v>
      </c>
      <c r="C12265">
        <v>16588</v>
      </c>
      <c r="D12265" t="s">
        <v>3664</v>
      </c>
      <c r="E12265" t="s">
        <v>1312</v>
      </c>
      <c r="F12265">
        <v>11.58</v>
      </c>
      <c r="G12265">
        <v>231130</v>
      </c>
      <c r="H12265">
        <v>4600</v>
      </c>
      <c r="I12265" t="s">
        <v>105</v>
      </c>
      <c r="J12265">
        <v>14.36</v>
      </c>
      <c r="K12265">
        <v>2.78</v>
      </c>
      <c r="L12265">
        <v>17951</v>
      </c>
      <c r="M12265" t="s">
        <v>87</v>
      </c>
      <c r="N12265" t="str">
        <f>"1663        "</f>
        <v xml:space="preserve">1663        </v>
      </c>
      <c r="O12265">
        <v>231204</v>
      </c>
    </row>
    <row r="12266" spans="1:15" x14ac:dyDescent="0.25">
      <c r="A12266" t="s">
        <v>16</v>
      </c>
      <c r="B12266" t="s">
        <v>3221</v>
      </c>
      <c r="C12266">
        <v>16588</v>
      </c>
      <c r="D12266" t="s">
        <v>3664</v>
      </c>
      <c r="E12266" t="s">
        <v>1312</v>
      </c>
      <c r="F12266">
        <v>36.479999999999997</v>
      </c>
      <c r="G12266">
        <v>231130</v>
      </c>
      <c r="H12266">
        <v>4600</v>
      </c>
      <c r="I12266" t="s">
        <v>105</v>
      </c>
      <c r="J12266">
        <v>45.23</v>
      </c>
      <c r="K12266">
        <v>8.75</v>
      </c>
      <c r="L12266">
        <v>17951</v>
      </c>
      <c r="M12266" t="s">
        <v>87</v>
      </c>
      <c r="N12266" t="str">
        <f>"1663        "</f>
        <v xml:space="preserve">1663        </v>
      </c>
      <c r="O12266">
        <v>231204</v>
      </c>
    </row>
    <row r="12267" spans="1:15" x14ac:dyDescent="0.25">
      <c r="A12267" t="s">
        <v>16</v>
      </c>
      <c r="B12267" t="s">
        <v>3221</v>
      </c>
      <c r="C12267">
        <v>17400</v>
      </c>
      <c r="D12267" t="s">
        <v>3664</v>
      </c>
      <c r="E12267" t="s">
        <v>1312</v>
      </c>
      <c r="F12267">
        <v>3214.44</v>
      </c>
      <c r="G12267">
        <v>231130</v>
      </c>
      <c r="H12267">
        <v>4600</v>
      </c>
      <c r="I12267" t="s">
        <v>105</v>
      </c>
      <c r="J12267">
        <v>3985.9</v>
      </c>
      <c r="K12267">
        <v>771.46</v>
      </c>
      <c r="L12267">
        <v>17809</v>
      </c>
      <c r="M12267" t="s">
        <v>376</v>
      </c>
      <c r="N12267" t="str">
        <f>"1664        "</f>
        <v xml:space="preserve">1664        </v>
      </c>
      <c r="O12267">
        <v>231214</v>
      </c>
    </row>
    <row r="12268" spans="1:15" x14ac:dyDescent="0.25">
      <c r="A12268" t="s">
        <v>16</v>
      </c>
      <c r="B12268" t="s">
        <v>3221</v>
      </c>
      <c r="C12268">
        <v>19238</v>
      </c>
      <c r="D12268" t="s">
        <v>3664</v>
      </c>
      <c r="E12268" t="s">
        <v>1312</v>
      </c>
      <c r="F12268">
        <v>342.47</v>
      </c>
      <c r="G12268">
        <v>240112</v>
      </c>
      <c r="H12268">
        <v>4600</v>
      </c>
      <c r="I12268" t="s">
        <v>105</v>
      </c>
      <c r="J12268">
        <v>424.66</v>
      </c>
      <c r="K12268">
        <v>82.19</v>
      </c>
      <c r="L12268">
        <v>17809</v>
      </c>
      <c r="M12268" t="s">
        <v>376</v>
      </c>
      <c r="N12268" t="str">
        <f>"1698        "</f>
        <v xml:space="preserve">1698        </v>
      </c>
      <c r="O12268">
        <v>240115</v>
      </c>
    </row>
    <row r="12269" spans="1:15" x14ac:dyDescent="0.25">
      <c r="A12269" t="s">
        <v>16</v>
      </c>
      <c r="B12269" t="s">
        <v>3221</v>
      </c>
      <c r="C12269">
        <v>2158</v>
      </c>
      <c r="D12269" t="s">
        <v>3664</v>
      </c>
      <c r="E12269" t="s">
        <v>1312</v>
      </c>
      <c r="F12269">
        <v>149.78</v>
      </c>
      <c r="G12269">
        <v>230206</v>
      </c>
      <c r="H12269">
        <v>4590</v>
      </c>
      <c r="I12269" t="s">
        <v>203</v>
      </c>
      <c r="J12269">
        <v>185.73</v>
      </c>
      <c r="K12269">
        <v>35.950000000000003</v>
      </c>
      <c r="L12269">
        <v>17951</v>
      </c>
      <c r="M12269" t="s">
        <v>87</v>
      </c>
      <c r="N12269" t="str">
        <f>"1571        "</f>
        <v xml:space="preserve">1571        </v>
      </c>
      <c r="O12269">
        <v>230221</v>
      </c>
    </row>
    <row r="12270" spans="1:15" x14ac:dyDescent="0.25">
      <c r="A12270" t="s">
        <v>16</v>
      </c>
      <c r="B12270" t="s">
        <v>3221</v>
      </c>
      <c r="C12270">
        <v>2158</v>
      </c>
      <c r="D12270" t="s">
        <v>3664</v>
      </c>
      <c r="E12270" t="s">
        <v>1312</v>
      </c>
      <c r="F12270">
        <v>161.85</v>
      </c>
      <c r="G12270">
        <v>230206</v>
      </c>
      <c r="H12270">
        <v>4590</v>
      </c>
      <c r="I12270" t="s">
        <v>203</v>
      </c>
      <c r="J12270">
        <v>200.7</v>
      </c>
      <c r="K12270">
        <v>38.85</v>
      </c>
      <c r="L12270">
        <v>17951</v>
      </c>
      <c r="M12270" t="s">
        <v>87</v>
      </c>
      <c r="N12270" t="str">
        <f>"1571        "</f>
        <v xml:space="preserve">1571        </v>
      </c>
      <c r="O12270">
        <v>230221</v>
      </c>
    </row>
    <row r="12271" spans="1:15" x14ac:dyDescent="0.25">
      <c r="A12271" t="s">
        <v>16</v>
      </c>
      <c r="B12271" t="s">
        <v>3221</v>
      </c>
      <c r="C12271">
        <v>5869</v>
      </c>
      <c r="D12271" t="s">
        <v>3664</v>
      </c>
      <c r="E12271" t="s">
        <v>1312</v>
      </c>
      <c r="F12271">
        <v>307.44</v>
      </c>
      <c r="G12271">
        <v>230502</v>
      </c>
      <c r="H12271">
        <v>4590</v>
      </c>
      <c r="I12271" t="s">
        <v>203</v>
      </c>
      <c r="J12271">
        <v>381.22</v>
      </c>
      <c r="K12271">
        <v>73.78</v>
      </c>
      <c r="L12271">
        <v>17951</v>
      </c>
      <c r="M12271" t="s">
        <v>87</v>
      </c>
      <c r="N12271" t="str">
        <f>"1600        "</f>
        <v xml:space="preserve">1600        </v>
      </c>
      <c r="O12271">
        <v>230503</v>
      </c>
    </row>
    <row r="12272" spans="1:15" x14ac:dyDescent="0.25">
      <c r="A12272" t="s">
        <v>16</v>
      </c>
      <c r="B12272" t="s">
        <v>3221</v>
      </c>
      <c r="C12272">
        <v>17400</v>
      </c>
      <c r="D12272" t="s">
        <v>3664</v>
      </c>
      <c r="E12272" t="s">
        <v>1312</v>
      </c>
      <c r="F12272">
        <v>240.36</v>
      </c>
      <c r="G12272">
        <v>231130</v>
      </c>
      <c r="H12272">
        <v>4590</v>
      </c>
      <c r="I12272" t="s">
        <v>203</v>
      </c>
      <c r="J12272">
        <v>298.05</v>
      </c>
      <c r="K12272">
        <v>57.69</v>
      </c>
      <c r="L12272">
        <v>17951</v>
      </c>
      <c r="M12272" t="s">
        <v>87</v>
      </c>
      <c r="N12272" t="str">
        <f>"1664        "</f>
        <v xml:space="preserve">1664        </v>
      </c>
      <c r="O12272">
        <v>231214</v>
      </c>
    </row>
    <row r="12273" spans="1:15" x14ac:dyDescent="0.25">
      <c r="A12273" t="s">
        <v>16</v>
      </c>
      <c r="B12273" t="s">
        <v>3221</v>
      </c>
      <c r="C12273">
        <v>6579</v>
      </c>
      <c r="D12273" t="s">
        <v>1987</v>
      </c>
      <c r="E12273" t="s">
        <v>1988</v>
      </c>
      <c r="F12273">
        <v>2100</v>
      </c>
      <c r="G12273">
        <v>230509</v>
      </c>
      <c r="H12273">
        <v>4346</v>
      </c>
      <c r="I12273" t="s">
        <v>197</v>
      </c>
      <c r="J12273">
        <v>2310</v>
      </c>
      <c r="K12273">
        <v>210</v>
      </c>
      <c r="L12273">
        <v>11905</v>
      </c>
      <c r="M12273" t="s">
        <v>39</v>
      </c>
      <c r="N12273" t="str">
        <f>"111         "</f>
        <v xml:space="preserve">111         </v>
      </c>
      <c r="O12273">
        <v>230515</v>
      </c>
    </row>
    <row r="12274" spans="1:15" x14ac:dyDescent="0.25">
      <c r="A12274" t="s">
        <v>16</v>
      </c>
      <c r="B12274" t="s">
        <v>3221</v>
      </c>
      <c r="C12274">
        <v>18101</v>
      </c>
      <c r="D12274" t="s">
        <v>3605</v>
      </c>
      <c r="E12274" t="s">
        <v>3126</v>
      </c>
      <c r="F12274">
        <v>2455.81</v>
      </c>
      <c r="G12274">
        <v>231219</v>
      </c>
      <c r="H12274">
        <v>4600</v>
      </c>
      <c r="I12274" t="s">
        <v>105</v>
      </c>
      <c r="J12274">
        <v>3045.2</v>
      </c>
      <c r="K12274">
        <v>589.39</v>
      </c>
      <c r="L12274">
        <v>11301</v>
      </c>
      <c r="M12274" t="s">
        <v>29</v>
      </c>
      <c r="N12274" t="str">
        <f>"1868        "</f>
        <v xml:space="preserve">1868        </v>
      </c>
      <c r="O12274">
        <v>240102</v>
      </c>
    </row>
    <row r="12275" spans="1:15" x14ac:dyDescent="0.25">
      <c r="A12275" t="s">
        <v>16</v>
      </c>
      <c r="B12275" t="s">
        <v>3221</v>
      </c>
      <c r="C12275">
        <v>5163</v>
      </c>
      <c r="D12275" t="s">
        <v>1801</v>
      </c>
      <c r="E12275" t="s">
        <v>1802</v>
      </c>
      <c r="F12275">
        <v>4801.79</v>
      </c>
      <c r="G12275">
        <v>230413</v>
      </c>
      <c r="H12275">
        <v>4557</v>
      </c>
      <c r="I12275" t="s">
        <v>238</v>
      </c>
      <c r="J12275">
        <v>5954.22</v>
      </c>
      <c r="K12275">
        <v>1152.43</v>
      </c>
      <c r="L12275">
        <v>66754</v>
      </c>
      <c r="M12275" t="s">
        <v>239</v>
      </c>
      <c r="N12275" t="str">
        <f>"26577       "</f>
        <v xml:space="preserve">26577       </v>
      </c>
      <c r="O12275">
        <v>230418</v>
      </c>
    </row>
    <row r="12276" spans="1:15" x14ac:dyDescent="0.25">
      <c r="A12276" t="s">
        <v>16</v>
      </c>
      <c r="B12276" t="s">
        <v>3221</v>
      </c>
      <c r="C12276">
        <v>10312</v>
      </c>
      <c r="D12276" t="s">
        <v>2366</v>
      </c>
      <c r="E12276" t="s">
        <v>2367</v>
      </c>
      <c r="F12276">
        <v>1400</v>
      </c>
      <c r="G12276">
        <v>230809</v>
      </c>
      <c r="H12276">
        <v>4346</v>
      </c>
      <c r="I12276" t="s">
        <v>197</v>
      </c>
      <c r="J12276">
        <v>1736</v>
      </c>
      <c r="K12276">
        <v>336</v>
      </c>
      <c r="L12276">
        <v>11905</v>
      </c>
      <c r="M12276" t="s">
        <v>39</v>
      </c>
      <c r="N12276" t="str">
        <f>"83          "</f>
        <v xml:space="preserve">83          </v>
      </c>
      <c r="O12276">
        <v>230814</v>
      </c>
    </row>
    <row r="12277" spans="1:15" x14ac:dyDescent="0.25">
      <c r="A12277" t="s">
        <v>16</v>
      </c>
      <c r="B12277" t="s">
        <v>3221</v>
      </c>
      <c r="C12277">
        <v>11222</v>
      </c>
      <c r="D12277" t="s">
        <v>2366</v>
      </c>
      <c r="E12277" t="s">
        <v>2367</v>
      </c>
      <c r="F12277">
        <v>1000</v>
      </c>
      <c r="G12277">
        <v>230828</v>
      </c>
      <c r="H12277">
        <v>4346</v>
      </c>
      <c r="I12277" t="s">
        <v>197</v>
      </c>
      <c r="J12277">
        <v>1240</v>
      </c>
      <c r="K12277">
        <v>240</v>
      </c>
      <c r="L12277">
        <v>11905</v>
      </c>
      <c r="M12277" t="s">
        <v>39</v>
      </c>
      <c r="N12277" t="str">
        <f>"88          "</f>
        <v xml:space="preserve">88          </v>
      </c>
      <c r="O12277">
        <v>230901</v>
      </c>
    </row>
    <row r="12278" spans="1:15" x14ac:dyDescent="0.25">
      <c r="A12278" t="s">
        <v>16</v>
      </c>
      <c r="B12278" t="s">
        <v>3221</v>
      </c>
      <c r="C12278">
        <v>8806</v>
      </c>
      <c r="D12278" t="s">
        <v>2207</v>
      </c>
      <c r="E12278" t="s">
        <v>2208</v>
      </c>
      <c r="F12278">
        <v>540.12</v>
      </c>
      <c r="G12278">
        <v>230609</v>
      </c>
      <c r="H12278">
        <v>4410</v>
      </c>
      <c r="I12278" t="s">
        <v>517</v>
      </c>
      <c r="J12278">
        <v>594.13</v>
      </c>
      <c r="K12278">
        <v>54.01</v>
      </c>
      <c r="L12278">
        <v>49702</v>
      </c>
      <c r="M12278" t="s">
        <v>584</v>
      </c>
      <c r="N12278" t="str">
        <f>"02606306    "</f>
        <v xml:space="preserve">02606306    </v>
      </c>
      <c r="O12278">
        <v>230615</v>
      </c>
    </row>
    <row r="12279" spans="1:15" x14ac:dyDescent="0.25">
      <c r="A12279" t="s">
        <v>16</v>
      </c>
      <c r="B12279" t="s">
        <v>3221</v>
      </c>
      <c r="C12279">
        <v>10536</v>
      </c>
      <c r="D12279" t="s">
        <v>2392</v>
      </c>
      <c r="E12279" t="s">
        <v>2393</v>
      </c>
      <c r="F12279">
        <v>35715</v>
      </c>
      <c r="G12279">
        <v>230810</v>
      </c>
      <c r="H12279">
        <v>1198</v>
      </c>
      <c r="I12279" t="s">
        <v>1128</v>
      </c>
      <c r="J12279">
        <v>44286.6</v>
      </c>
      <c r="K12279">
        <v>8571.6</v>
      </c>
      <c r="L12279">
        <v>95511</v>
      </c>
      <c r="M12279" t="s">
        <v>1129</v>
      </c>
      <c r="N12279" t="str">
        <f>"10008       "</f>
        <v xml:space="preserve">10008       </v>
      </c>
      <c r="O12279">
        <v>230818</v>
      </c>
    </row>
    <row r="12280" spans="1:15" x14ac:dyDescent="0.25">
      <c r="A12280" t="s">
        <v>16</v>
      </c>
      <c r="B12280" t="s">
        <v>3221</v>
      </c>
      <c r="C12280">
        <v>13685</v>
      </c>
      <c r="D12280" t="s">
        <v>2392</v>
      </c>
      <c r="E12280" t="s">
        <v>2393</v>
      </c>
      <c r="F12280">
        <v>28572</v>
      </c>
      <c r="G12280">
        <v>231003</v>
      </c>
      <c r="H12280">
        <v>1198</v>
      </c>
      <c r="I12280" t="s">
        <v>1128</v>
      </c>
      <c r="J12280">
        <v>35429.279999999999</v>
      </c>
      <c r="K12280">
        <v>6857.28</v>
      </c>
      <c r="L12280">
        <v>95511</v>
      </c>
      <c r="M12280" t="s">
        <v>1129</v>
      </c>
      <c r="N12280" t="str">
        <f>"100082      "</f>
        <v xml:space="preserve">100082      </v>
      </c>
      <c r="O12280">
        <v>231012</v>
      </c>
    </row>
    <row r="12281" spans="1:15" x14ac:dyDescent="0.25">
      <c r="A12281" t="s">
        <v>16</v>
      </c>
      <c r="B12281" t="s">
        <v>3221</v>
      </c>
      <c r="C12281">
        <v>14709</v>
      </c>
      <c r="D12281" t="s">
        <v>2392</v>
      </c>
      <c r="E12281" t="s">
        <v>2393</v>
      </c>
      <c r="F12281">
        <v>71430</v>
      </c>
      <c r="G12281">
        <v>231024</v>
      </c>
      <c r="H12281">
        <v>1198</v>
      </c>
      <c r="I12281" t="s">
        <v>1128</v>
      </c>
      <c r="J12281">
        <v>88573.2</v>
      </c>
      <c r="K12281">
        <v>17143.2</v>
      </c>
      <c r="L12281">
        <v>95511</v>
      </c>
      <c r="M12281" t="s">
        <v>1129</v>
      </c>
      <c r="N12281" t="str">
        <f>"100086      "</f>
        <v xml:space="preserve">100086      </v>
      </c>
      <c r="O12281">
        <v>231101</v>
      </c>
    </row>
    <row r="12282" spans="1:15" x14ac:dyDescent="0.25">
      <c r="A12282" t="s">
        <v>16</v>
      </c>
      <c r="B12282" t="s">
        <v>3221</v>
      </c>
      <c r="C12282">
        <v>15552</v>
      </c>
      <c r="D12282" t="s">
        <v>2392</v>
      </c>
      <c r="E12282" t="s">
        <v>2393</v>
      </c>
      <c r="F12282">
        <v>7143</v>
      </c>
      <c r="G12282">
        <v>231109</v>
      </c>
      <c r="H12282">
        <v>1198</v>
      </c>
      <c r="I12282" t="s">
        <v>1128</v>
      </c>
      <c r="J12282">
        <v>8857.32</v>
      </c>
      <c r="K12282">
        <v>1714.32</v>
      </c>
      <c r="L12282">
        <v>95511</v>
      </c>
      <c r="M12282" t="s">
        <v>1129</v>
      </c>
      <c r="N12282" t="str">
        <f>"100089      "</f>
        <v xml:space="preserve">100089      </v>
      </c>
      <c r="O12282">
        <v>231113</v>
      </c>
    </row>
    <row r="12283" spans="1:15" x14ac:dyDescent="0.25">
      <c r="A12283" t="s">
        <v>16</v>
      </c>
      <c r="B12283" t="s">
        <v>3221</v>
      </c>
      <c r="C12283">
        <v>16123</v>
      </c>
      <c r="D12283" t="s">
        <v>2392</v>
      </c>
      <c r="E12283" t="s">
        <v>2393</v>
      </c>
      <c r="F12283">
        <v>260.7</v>
      </c>
      <c r="G12283">
        <v>231117</v>
      </c>
      <c r="H12283">
        <v>1196</v>
      </c>
      <c r="I12283" t="s">
        <v>392</v>
      </c>
      <c r="J12283">
        <v>260.7</v>
      </c>
      <c r="K12283">
        <v>0</v>
      </c>
      <c r="L12283">
        <v>95501</v>
      </c>
      <c r="M12283" t="s">
        <v>623</v>
      </c>
      <c r="N12283" t="str">
        <f>"100143      "</f>
        <v xml:space="preserve">100143      </v>
      </c>
      <c r="O12283">
        <v>231123</v>
      </c>
    </row>
    <row r="12284" spans="1:15" x14ac:dyDescent="0.25">
      <c r="A12284" t="s">
        <v>16</v>
      </c>
      <c r="B12284" t="s">
        <v>3221</v>
      </c>
      <c r="C12284">
        <v>2511</v>
      </c>
      <c r="D12284" t="s">
        <v>1418</v>
      </c>
      <c r="E12284" t="s">
        <v>1419</v>
      </c>
      <c r="F12284">
        <v>14.5</v>
      </c>
      <c r="G12284">
        <v>230209</v>
      </c>
      <c r="H12284">
        <v>4420</v>
      </c>
      <c r="I12284" t="s">
        <v>132</v>
      </c>
      <c r="J12284">
        <v>17.98</v>
      </c>
      <c r="K12284">
        <v>3.48</v>
      </c>
      <c r="L12284">
        <v>17529</v>
      </c>
      <c r="M12284" t="s">
        <v>453</v>
      </c>
      <c r="N12284" t="str">
        <f>"75498       "</f>
        <v xml:space="preserve">75498       </v>
      </c>
      <c r="O12284">
        <v>230301</v>
      </c>
    </row>
    <row r="12285" spans="1:15" x14ac:dyDescent="0.25">
      <c r="A12285" t="s">
        <v>16</v>
      </c>
      <c r="B12285" t="s">
        <v>3221</v>
      </c>
      <c r="C12285">
        <v>2511</v>
      </c>
      <c r="D12285" t="s">
        <v>1418</v>
      </c>
      <c r="E12285" t="s">
        <v>1419</v>
      </c>
      <c r="F12285">
        <v>350.1</v>
      </c>
      <c r="G12285">
        <v>230209</v>
      </c>
      <c r="H12285">
        <v>4600</v>
      </c>
      <c r="I12285" t="s">
        <v>105</v>
      </c>
      <c r="J12285">
        <v>434.13</v>
      </c>
      <c r="K12285">
        <v>84.03</v>
      </c>
      <c r="L12285">
        <v>17529</v>
      </c>
      <c r="M12285" t="s">
        <v>453</v>
      </c>
      <c r="N12285" t="str">
        <f>"75498       "</f>
        <v xml:space="preserve">75498       </v>
      </c>
      <c r="O12285">
        <v>230301</v>
      </c>
    </row>
    <row r="12286" spans="1:15" x14ac:dyDescent="0.25">
      <c r="A12286" t="s">
        <v>16</v>
      </c>
      <c r="B12286" t="s">
        <v>3221</v>
      </c>
      <c r="C12286">
        <v>3504</v>
      </c>
      <c r="D12286" t="s">
        <v>1418</v>
      </c>
      <c r="E12286" t="s">
        <v>1419</v>
      </c>
      <c r="F12286">
        <v>151.65</v>
      </c>
      <c r="G12286">
        <v>230310</v>
      </c>
      <c r="H12286">
        <v>4600</v>
      </c>
      <c r="I12286" t="s">
        <v>105</v>
      </c>
      <c r="J12286">
        <v>188.05</v>
      </c>
      <c r="K12286">
        <v>36.4</v>
      </c>
      <c r="L12286">
        <v>47522</v>
      </c>
      <c r="M12286" t="s">
        <v>410</v>
      </c>
      <c r="N12286" t="str">
        <f>"75713       "</f>
        <v xml:space="preserve">75713       </v>
      </c>
      <c r="O12286">
        <v>230316</v>
      </c>
    </row>
    <row r="12287" spans="1:15" x14ac:dyDescent="0.25">
      <c r="A12287" t="s">
        <v>16</v>
      </c>
      <c r="B12287" t="s">
        <v>3221</v>
      </c>
      <c r="C12287">
        <v>3647</v>
      </c>
      <c r="D12287" t="s">
        <v>1418</v>
      </c>
      <c r="E12287" t="s">
        <v>1419</v>
      </c>
      <c r="F12287">
        <v>86.25</v>
      </c>
      <c r="G12287">
        <v>230314</v>
      </c>
      <c r="H12287">
        <v>4600</v>
      </c>
      <c r="I12287" t="s">
        <v>105</v>
      </c>
      <c r="J12287">
        <v>106.95</v>
      </c>
      <c r="K12287">
        <v>20.7</v>
      </c>
      <c r="L12287">
        <v>47522</v>
      </c>
      <c r="M12287" t="s">
        <v>410</v>
      </c>
      <c r="N12287" t="str">
        <f>"75754       "</f>
        <v xml:space="preserve">75754       </v>
      </c>
      <c r="O12287">
        <v>230320</v>
      </c>
    </row>
    <row r="12288" spans="1:15" x14ac:dyDescent="0.25">
      <c r="A12288" t="s">
        <v>16</v>
      </c>
      <c r="B12288" t="s">
        <v>3221</v>
      </c>
      <c r="C12288">
        <v>4237</v>
      </c>
      <c r="D12288" t="s">
        <v>1418</v>
      </c>
      <c r="E12288" t="s">
        <v>1419</v>
      </c>
      <c r="F12288">
        <v>1046.9000000000001</v>
      </c>
      <c r="G12288">
        <v>230330</v>
      </c>
      <c r="H12288">
        <v>4600</v>
      </c>
      <c r="I12288" t="s">
        <v>105</v>
      </c>
      <c r="J12288">
        <v>1298.1600000000001</v>
      </c>
      <c r="K12288">
        <v>251.26</v>
      </c>
      <c r="L12288">
        <v>17529</v>
      </c>
      <c r="M12288" t="s">
        <v>453</v>
      </c>
      <c r="N12288" t="str">
        <f>"75923       "</f>
        <v xml:space="preserve">75923       </v>
      </c>
      <c r="O12288">
        <v>230403</v>
      </c>
    </row>
    <row r="12289" spans="1:15" x14ac:dyDescent="0.25">
      <c r="A12289" t="s">
        <v>16</v>
      </c>
      <c r="B12289" t="s">
        <v>3221</v>
      </c>
      <c r="C12289">
        <v>7626</v>
      </c>
      <c r="D12289" t="s">
        <v>1418</v>
      </c>
      <c r="E12289" t="s">
        <v>1419</v>
      </c>
      <c r="F12289">
        <v>98.4</v>
      </c>
      <c r="G12289">
        <v>230525</v>
      </c>
      <c r="H12289">
        <v>4600</v>
      </c>
      <c r="I12289" t="s">
        <v>105</v>
      </c>
      <c r="J12289">
        <v>122.02</v>
      </c>
      <c r="K12289">
        <v>23.62</v>
      </c>
      <c r="L12289">
        <v>47522</v>
      </c>
      <c r="M12289" t="s">
        <v>410</v>
      </c>
      <c r="N12289" t="str">
        <f>"76318       "</f>
        <v xml:space="preserve">76318       </v>
      </c>
      <c r="O12289">
        <v>230601</v>
      </c>
    </row>
    <row r="12290" spans="1:15" x14ac:dyDescent="0.25">
      <c r="A12290" t="s">
        <v>16</v>
      </c>
      <c r="B12290" t="s">
        <v>3221</v>
      </c>
      <c r="C12290">
        <v>13086</v>
      </c>
      <c r="D12290" t="s">
        <v>1418</v>
      </c>
      <c r="E12290" t="s">
        <v>1419</v>
      </c>
      <c r="F12290">
        <v>555</v>
      </c>
      <c r="G12290">
        <v>230929</v>
      </c>
      <c r="H12290">
        <v>4600</v>
      </c>
      <c r="I12290" t="s">
        <v>105</v>
      </c>
      <c r="J12290">
        <v>688.2</v>
      </c>
      <c r="K12290">
        <v>133.19999999999999</v>
      </c>
      <c r="L12290">
        <v>17529</v>
      </c>
      <c r="M12290" t="s">
        <v>453</v>
      </c>
      <c r="N12290" t="str">
        <f>"76923       "</f>
        <v xml:space="preserve">76923       </v>
      </c>
      <c r="O12290">
        <v>231003</v>
      </c>
    </row>
    <row r="12291" spans="1:15" x14ac:dyDescent="0.25">
      <c r="A12291" t="s">
        <v>16</v>
      </c>
      <c r="B12291" t="s">
        <v>3221</v>
      </c>
      <c r="C12291">
        <v>14430</v>
      </c>
      <c r="D12291" t="s">
        <v>1418</v>
      </c>
      <c r="E12291" t="s">
        <v>1419</v>
      </c>
      <c r="F12291">
        <v>498</v>
      </c>
      <c r="G12291">
        <v>231023</v>
      </c>
      <c r="H12291">
        <v>4600</v>
      </c>
      <c r="I12291" t="s">
        <v>105</v>
      </c>
      <c r="J12291">
        <v>617.52</v>
      </c>
      <c r="K12291">
        <v>119.52</v>
      </c>
      <c r="L12291">
        <v>17529</v>
      </c>
      <c r="M12291" t="s">
        <v>453</v>
      </c>
      <c r="N12291" t="str">
        <f>"77077       "</f>
        <v xml:space="preserve">77077       </v>
      </c>
      <c r="O12291">
        <v>231030</v>
      </c>
    </row>
    <row r="12292" spans="1:15" x14ac:dyDescent="0.25">
      <c r="A12292" t="s">
        <v>16</v>
      </c>
      <c r="B12292" t="s">
        <v>3221</v>
      </c>
      <c r="C12292">
        <v>2511</v>
      </c>
      <c r="D12292" t="s">
        <v>1418</v>
      </c>
      <c r="E12292" t="s">
        <v>1419</v>
      </c>
      <c r="F12292">
        <v>7.9</v>
      </c>
      <c r="G12292">
        <v>230209</v>
      </c>
      <c r="H12292">
        <v>4347</v>
      </c>
      <c r="I12292" t="s">
        <v>193</v>
      </c>
      <c r="J12292">
        <v>9.8000000000000007</v>
      </c>
      <c r="K12292">
        <v>1.9</v>
      </c>
      <c r="L12292">
        <v>17529</v>
      </c>
      <c r="M12292" t="s">
        <v>453</v>
      </c>
      <c r="N12292" t="str">
        <f>"75498       "</f>
        <v xml:space="preserve">75498       </v>
      </c>
      <c r="O12292">
        <v>230301</v>
      </c>
    </row>
    <row r="12293" spans="1:15" x14ac:dyDescent="0.25">
      <c r="A12293" t="s">
        <v>16</v>
      </c>
      <c r="B12293" t="s">
        <v>3221</v>
      </c>
      <c r="C12293">
        <v>8410</v>
      </c>
      <c r="D12293" t="s">
        <v>2176</v>
      </c>
      <c r="E12293" t="s">
        <v>2177</v>
      </c>
      <c r="F12293">
        <v>251.53</v>
      </c>
      <c r="G12293">
        <v>230526</v>
      </c>
      <c r="H12293">
        <v>4600</v>
      </c>
      <c r="I12293" t="s">
        <v>105</v>
      </c>
      <c r="J12293">
        <v>311.89999999999998</v>
      </c>
      <c r="K12293">
        <v>60.37</v>
      </c>
      <c r="L12293">
        <v>17807</v>
      </c>
      <c r="M12293" t="s">
        <v>318</v>
      </c>
      <c r="N12293" t="str">
        <f>"437686      "</f>
        <v xml:space="preserve">437686      </v>
      </c>
      <c r="O12293">
        <v>230608</v>
      </c>
    </row>
    <row r="12294" spans="1:15" x14ac:dyDescent="0.25">
      <c r="A12294" t="s">
        <v>16</v>
      </c>
      <c r="B12294" t="s">
        <v>3221</v>
      </c>
      <c r="C12294">
        <v>12371</v>
      </c>
      <c r="D12294" t="s">
        <v>2176</v>
      </c>
      <c r="E12294" t="s">
        <v>2177</v>
      </c>
      <c r="F12294">
        <v>308.02</v>
      </c>
      <c r="G12294">
        <v>230907</v>
      </c>
      <c r="H12294">
        <v>4440</v>
      </c>
      <c r="I12294" t="s">
        <v>250</v>
      </c>
      <c r="J12294">
        <v>381.95</v>
      </c>
      <c r="K12294">
        <v>73.930000000000007</v>
      </c>
      <c r="L12294">
        <v>17817</v>
      </c>
      <c r="M12294" t="s">
        <v>2571</v>
      </c>
      <c r="N12294" t="str">
        <f>"440257      "</f>
        <v xml:space="preserve">440257      </v>
      </c>
      <c r="O12294">
        <v>230918</v>
      </c>
    </row>
    <row r="12295" spans="1:15" x14ac:dyDescent="0.25">
      <c r="A12295" t="s">
        <v>16</v>
      </c>
      <c r="B12295" t="s">
        <v>3221</v>
      </c>
      <c r="C12295">
        <v>8327</v>
      </c>
      <c r="D12295" t="s">
        <v>2170</v>
      </c>
      <c r="E12295" t="s">
        <v>2171</v>
      </c>
      <c r="F12295">
        <v>350</v>
      </c>
      <c r="G12295">
        <v>230603</v>
      </c>
      <c r="H12295">
        <v>4440</v>
      </c>
      <c r="I12295" t="s">
        <v>250</v>
      </c>
      <c r="J12295">
        <v>434</v>
      </c>
      <c r="K12295">
        <v>84</v>
      </c>
      <c r="L12295">
        <v>16930</v>
      </c>
      <c r="M12295" t="s">
        <v>450</v>
      </c>
      <c r="N12295" t="str">
        <f>"32-2023     "</f>
        <v xml:space="preserve">32-2023     </v>
      </c>
      <c r="O12295">
        <v>230608</v>
      </c>
    </row>
    <row r="12296" spans="1:15" x14ac:dyDescent="0.25">
      <c r="A12296" t="s">
        <v>16</v>
      </c>
      <c r="B12296" t="s">
        <v>3221</v>
      </c>
      <c r="C12296">
        <v>8383</v>
      </c>
      <c r="D12296" t="s">
        <v>3665</v>
      </c>
      <c r="E12296" t="s">
        <v>1757</v>
      </c>
      <c r="F12296">
        <v>1758</v>
      </c>
      <c r="G12296">
        <v>230607</v>
      </c>
      <c r="H12296">
        <v>4400</v>
      </c>
      <c r="I12296" t="s">
        <v>348</v>
      </c>
      <c r="J12296">
        <v>1758</v>
      </c>
      <c r="K12296">
        <v>0</v>
      </c>
      <c r="L12296">
        <v>18120</v>
      </c>
      <c r="M12296" t="s">
        <v>329</v>
      </c>
      <c r="N12296" t="str">
        <f>"111013      "</f>
        <v xml:space="preserve">111013      </v>
      </c>
      <c r="O12296">
        <v>230608</v>
      </c>
    </row>
    <row r="12297" spans="1:15" x14ac:dyDescent="0.25">
      <c r="A12297" t="s">
        <v>16</v>
      </c>
      <c r="B12297" t="s">
        <v>3221</v>
      </c>
      <c r="C12297">
        <v>4835</v>
      </c>
      <c r="D12297" t="s">
        <v>3665</v>
      </c>
      <c r="E12297" t="s">
        <v>1757</v>
      </c>
      <c r="F12297">
        <v>1200</v>
      </c>
      <c r="G12297">
        <v>230331</v>
      </c>
      <c r="H12297">
        <v>4440</v>
      </c>
      <c r="I12297" t="s">
        <v>250</v>
      </c>
      <c r="J12297">
        <v>1200</v>
      </c>
      <c r="K12297">
        <v>0</v>
      </c>
      <c r="L12297">
        <v>18120</v>
      </c>
      <c r="M12297" t="s">
        <v>329</v>
      </c>
      <c r="N12297" t="str">
        <f>"110653      "</f>
        <v xml:space="preserve">110653      </v>
      </c>
      <c r="O12297">
        <v>230413</v>
      </c>
    </row>
    <row r="12298" spans="1:15" x14ac:dyDescent="0.25">
      <c r="A12298" t="s">
        <v>16</v>
      </c>
      <c r="B12298" t="s">
        <v>3221</v>
      </c>
      <c r="C12298">
        <v>5020</v>
      </c>
      <c r="D12298" t="s">
        <v>3665</v>
      </c>
      <c r="E12298" t="s">
        <v>1757</v>
      </c>
      <c r="F12298">
        <v>1758</v>
      </c>
      <c r="G12298">
        <v>230331</v>
      </c>
      <c r="H12298">
        <v>4440</v>
      </c>
      <c r="I12298" t="s">
        <v>250</v>
      </c>
      <c r="J12298">
        <v>1758</v>
      </c>
      <c r="K12298">
        <v>0</v>
      </c>
      <c r="L12298">
        <v>18120</v>
      </c>
      <c r="M12298" t="s">
        <v>329</v>
      </c>
      <c r="N12298" t="str">
        <f>"110640      "</f>
        <v xml:space="preserve">110640      </v>
      </c>
      <c r="O12298">
        <v>230417</v>
      </c>
    </row>
    <row r="12299" spans="1:15" x14ac:dyDescent="0.25">
      <c r="A12299" t="s">
        <v>16</v>
      </c>
      <c r="B12299" t="s">
        <v>3221</v>
      </c>
      <c r="C12299">
        <v>8896</v>
      </c>
      <c r="D12299" t="s">
        <v>3665</v>
      </c>
      <c r="E12299" t="s">
        <v>1757</v>
      </c>
      <c r="F12299">
        <v>1200</v>
      </c>
      <c r="G12299">
        <v>230615</v>
      </c>
      <c r="H12299">
        <v>4440</v>
      </c>
      <c r="I12299" t="s">
        <v>250</v>
      </c>
      <c r="J12299">
        <v>1200</v>
      </c>
      <c r="K12299">
        <v>0</v>
      </c>
      <c r="L12299">
        <v>18120</v>
      </c>
      <c r="M12299" t="s">
        <v>329</v>
      </c>
      <c r="N12299" t="str">
        <f>"111077      "</f>
        <v xml:space="preserve">111077      </v>
      </c>
      <c r="O12299">
        <v>230619</v>
      </c>
    </row>
    <row r="12300" spans="1:15" x14ac:dyDescent="0.25">
      <c r="A12300" t="s">
        <v>16</v>
      </c>
      <c r="B12300" t="s">
        <v>3221</v>
      </c>
      <c r="C12300">
        <v>11879</v>
      </c>
      <c r="D12300" t="s">
        <v>3665</v>
      </c>
      <c r="E12300" t="s">
        <v>1757</v>
      </c>
      <c r="F12300">
        <v>1758</v>
      </c>
      <c r="G12300">
        <v>230905</v>
      </c>
      <c r="H12300">
        <v>4440</v>
      </c>
      <c r="I12300" t="s">
        <v>250</v>
      </c>
      <c r="J12300">
        <v>1758</v>
      </c>
      <c r="K12300">
        <v>0</v>
      </c>
      <c r="L12300">
        <v>18120</v>
      </c>
      <c r="M12300" t="s">
        <v>329</v>
      </c>
      <c r="N12300" t="str">
        <f>"111273      "</f>
        <v xml:space="preserve">111273      </v>
      </c>
      <c r="O12300">
        <v>230911</v>
      </c>
    </row>
    <row r="12301" spans="1:15" x14ac:dyDescent="0.25">
      <c r="A12301" t="s">
        <v>16</v>
      </c>
      <c r="B12301" t="s">
        <v>3221</v>
      </c>
      <c r="C12301">
        <v>15393</v>
      </c>
      <c r="D12301" t="s">
        <v>3665</v>
      </c>
      <c r="E12301" t="s">
        <v>1757</v>
      </c>
      <c r="F12301">
        <v>1172</v>
      </c>
      <c r="G12301">
        <v>231106</v>
      </c>
      <c r="H12301">
        <v>4440</v>
      </c>
      <c r="I12301" t="s">
        <v>250</v>
      </c>
      <c r="J12301">
        <v>1172</v>
      </c>
      <c r="K12301">
        <v>0</v>
      </c>
      <c r="L12301">
        <v>18120</v>
      </c>
      <c r="M12301" t="s">
        <v>329</v>
      </c>
      <c r="N12301" t="str">
        <f>"111557      "</f>
        <v xml:space="preserve">111557      </v>
      </c>
      <c r="O12301">
        <v>231113</v>
      </c>
    </row>
    <row r="12302" spans="1:15" x14ac:dyDescent="0.25">
      <c r="A12302" t="s">
        <v>16</v>
      </c>
      <c r="B12302" t="s">
        <v>3221</v>
      </c>
      <c r="C12302">
        <v>17173</v>
      </c>
      <c r="D12302" t="s">
        <v>3665</v>
      </c>
      <c r="E12302" t="s">
        <v>1757</v>
      </c>
      <c r="F12302">
        <v>500</v>
      </c>
      <c r="G12302">
        <v>231207</v>
      </c>
      <c r="H12302">
        <v>4440</v>
      </c>
      <c r="I12302" t="s">
        <v>250</v>
      </c>
      <c r="J12302">
        <v>500</v>
      </c>
      <c r="K12302">
        <v>0</v>
      </c>
      <c r="L12302">
        <v>18122</v>
      </c>
      <c r="M12302" t="s">
        <v>407</v>
      </c>
      <c r="N12302" t="str">
        <f>"111784      "</f>
        <v xml:space="preserve">111784      </v>
      </c>
      <c r="O12302">
        <v>231212</v>
      </c>
    </row>
    <row r="12303" spans="1:15" x14ac:dyDescent="0.25">
      <c r="A12303" t="s">
        <v>16</v>
      </c>
      <c r="B12303" t="s">
        <v>3221</v>
      </c>
      <c r="C12303">
        <v>17175</v>
      </c>
      <c r="D12303" t="s">
        <v>3665</v>
      </c>
      <c r="E12303" t="s">
        <v>1757</v>
      </c>
      <c r="F12303">
        <v>500</v>
      </c>
      <c r="G12303">
        <v>231207</v>
      </c>
      <c r="H12303">
        <v>4440</v>
      </c>
      <c r="I12303" t="s">
        <v>250</v>
      </c>
      <c r="J12303">
        <v>500</v>
      </c>
      <c r="K12303">
        <v>0</v>
      </c>
      <c r="L12303">
        <v>18120</v>
      </c>
      <c r="M12303" t="s">
        <v>329</v>
      </c>
      <c r="N12303" t="str">
        <f>"111785      "</f>
        <v xml:space="preserve">111785      </v>
      </c>
      <c r="O12303">
        <v>231212</v>
      </c>
    </row>
    <row r="12304" spans="1:15" x14ac:dyDescent="0.25">
      <c r="A12304" t="s">
        <v>16</v>
      </c>
      <c r="B12304" t="s">
        <v>3221</v>
      </c>
      <c r="C12304">
        <v>996</v>
      </c>
      <c r="D12304" t="s">
        <v>794</v>
      </c>
      <c r="E12304" t="s">
        <v>795</v>
      </c>
      <c r="F12304">
        <v>553.75</v>
      </c>
      <c r="G12304">
        <v>230112</v>
      </c>
      <c r="H12304">
        <v>4600</v>
      </c>
      <c r="I12304" t="s">
        <v>105</v>
      </c>
      <c r="J12304">
        <v>686.65</v>
      </c>
      <c r="K12304">
        <v>132.9</v>
      </c>
      <c r="L12304">
        <v>17538</v>
      </c>
      <c r="M12304" t="s">
        <v>24</v>
      </c>
      <c r="N12304" t="str">
        <f>"202300047   "</f>
        <v xml:space="preserve">202300047   </v>
      </c>
      <c r="O12304">
        <v>230202</v>
      </c>
    </row>
    <row r="12305" spans="1:15" x14ac:dyDescent="0.25">
      <c r="A12305" t="s">
        <v>16</v>
      </c>
      <c r="B12305" t="s">
        <v>3221</v>
      </c>
      <c r="C12305">
        <v>1003</v>
      </c>
      <c r="D12305" t="s">
        <v>794</v>
      </c>
      <c r="E12305" t="s">
        <v>795</v>
      </c>
      <c r="F12305">
        <v>41.45</v>
      </c>
      <c r="G12305">
        <v>230124</v>
      </c>
      <c r="H12305">
        <v>4600</v>
      </c>
      <c r="I12305" t="s">
        <v>105</v>
      </c>
      <c r="J12305">
        <v>51.4</v>
      </c>
      <c r="K12305">
        <v>9.9499999999999993</v>
      </c>
      <c r="L12305">
        <v>17531</v>
      </c>
      <c r="M12305" t="s">
        <v>136</v>
      </c>
      <c r="N12305" t="str">
        <f>"202300133   "</f>
        <v xml:space="preserve">202300133   </v>
      </c>
      <c r="O12305">
        <v>230202</v>
      </c>
    </row>
    <row r="12306" spans="1:15" x14ac:dyDescent="0.25">
      <c r="A12306" t="s">
        <v>16</v>
      </c>
      <c r="B12306" t="s">
        <v>3221</v>
      </c>
      <c r="C12306">
        <v>3876</v>
      </c>
      <c r="D12306" t="s">
        <v>794</v>
      </c>
      <c r="E12306" t="s">
        <v>795</v>
      </c>
      <c r="F12306">
        <v>19.8</v>
      </c>
      <c r="G12306">
        <v>230316</v>
      </c>
      <c r="H12306">
        <v>4600</v>
      </c>
      <c r="I12306" t="s">
        <v>105</v>
      </c>
      <c r="J12306">
        <v>24.55</v>
      </c>
      <c r="K12306">
        <v>4.75</v>
      </c>
      <c r="L12306">
        <v>17538</v>
      </c>
      <c r="M12306" t="s">
        <v>24</v>
      </c>
      <c r="N12306" t="str">
        <f>"202300589   "</f>
        <v xml:space="preserve">202300589   </v>
      </c>
      <c r="O12306">
        <v>230324</v>
      </c>
    </row>
    <row r="12307" spans="1:15" x14ac:dyDescent="0.25">
      <c r="A12307" t="s">
        <v>16</v>
      </c>
      <c r="B12307" t="s">
        <v>3221</v>
      </c>
      <c r="C12307">
        <v>4589</v>
      </c>
      <c r="D12307" t="s">
        <v>794</v>
      </c>
      <c r="E12307" t="s">
        <v>795</v>
      </c>
      <c r="F12307">
        <v>87.84</v>
      </c>
      <c r="G12307">
        <v>230328</v>
      </c>
      <c r="H12307">
        <v>4600</v>
      </c>
      <c r="I12307" t="s">
        <v>105</v>
      </c>
      <c r="J12307">
        <v>108.92</v>
      </c>
      <c r="K12307">
        <v>21.08</v>
      </c>
      <c r="L12307">
        <v>13501</v>
      </c>
      <c r="M12307" t="s">
        <v>20</v>
      </c>
      <c r="N12307" t="str">
        <f>"202300692   "</f>
        <v xml:space="preserve">202300692   </v>
      </c>
      <c r="O12307">
        <v>230411</v>
      </c>
    </row>
    <row r="12308" spans="1:15" x14ac:dyDescent="0.25">
      <c r="A12308" t="s">
        <v>16</v>
      </c>
      <c r="B12308" t="s">
        <v>3221</v>
      </c>
      <c r="C12308">
        <v>4589</v>
      </c>
      <c r="D12308" t="s">
        <v>794</v>
      </c>
      <c r="E12308" t="s">
        <v>795</v>
      </c>
      <c r="F12308">
        <v>710.66</v>
      </c>
      <c r="G12308">
        <v>230328</v>
      </c>
      <c r="H12308">
        <v>4600</v>
      </c>
      <c r="I12308" t="s">
        <v>105</v>
      </c>
      <c r="J12308">
        <v>881.22</v>
      </c>
      <c r="K12308">
        <v>170.56</v>
      </c>
      <c r="L12308">
        <v>17538</v>
      </c>
      <c r="M12308" t="s">
        <v>24</v>
      </c>
      <c r="N12308" t="str">
        <f>"202300692   "</f>
        <v xml:space="preserve">202300692   </v>
      </c>
      <c r="O12308">
        <v>230411</v>
      </c>
    </row>
    <row r="12309" spans="1:15" x14ac:dyDescent="0.25">
      <c r="A12309" t="s">
        <v>16</v>
      </c>
      <c r="B12309" t="s">
        <v>3221</v>
      </c>
      <c r="C12309">
        <v>5468</v>
      </c>
      <c r="D12309" t="s">
        <v>794</v>
      </c>
      <c r="E12309" t="s">
        <v>795</v>
      </c>
      <c r="F12309">
        <v>190.3</v>
      </c>
      <c r="G12309">
        <v>230404</v>
      </c>
      <c r="H12309">
        <v>4600</v>
      </c>
      <c r="I12309" t="s">
        <v>105</v>
      </c>
      <c r="J12309">
        <v>235.97</v>
      </c>
      <c r="K12309">
        <v>45.67</v>
      </c>
      <c r="L12309">
        <v>17538</v>
      </c>
      <c r="M12309" t="s">
        <v>24</v>
      </c>
      <c r="N12309" t="str">
        <f>"202300757   "</f>
        <v xml:space="preserve">202300757   </v>
      </c>
      <c r="O12309">
        <v>230425</v>
      </c>
    </row>
    <row r="12310" spans="1:15" x14ac:dyDescent="0.25">
      <c r="A12310" t="s">
        <v>16</v>
      </c>
      <c r="B12310" t="s">
        <v>3221</v>
      </c>
      <c r="C12310">
        <v>5467</v>
      </c>
      <c r="D12310" t="s">
        <v>794</v>
      </c>
      <c r="E12310" t="s">
        <v>795</v>
      </c>
      <c r="F12310">
        <v>220</v>
      </c>
      <c r="G12310">
        <v>230404</v>
      </c>
      <c r="H12310">
        <v>4460</v>
      </c>
      <c r="I12310" t="s">
        <v>524</v>
      </c>
      <c r="J12310">
        <v>272.8</v>
      </c>
      <c r="K12310">
        <v>52.8</v>
      </c>
      <c r="L12310">
        <v>17538</v>
      </c>
      <c r="M12310" t="s">
        <v>24</v>
      </c>
      <c r="N12310" t="str">
        <f>"202300758   "</f>
        <v xml:space="preserve">202300758   </v>
      </c>
      <c r="O12310">
        <v>230425</v>
      </c>
    </row>
    <row r="12311" spans="1:15" x14ac:dyDescent="0.25">
      <c r="A12311" t="s">
        <v>16</v>
      </c>
      <c r="B12311" t="s">
        <v>3221</v>
      </c>
      <c r="C12311">
        <v>922</v>
      </c>
      <c r="D12311" t="s">
        <v>794</v>
      </c>
      <c r="E12311" t="s">
        <v>795</v>
      </c>
      <c r="F12311">
        <v>208.94</v>
      </c>
      <c r="G12311">
        <v>230112</v>
      </c>
      <c r="H12311">
        <v>4500</v>
      </c>
      <c r="I12311" t="s">
        <v>212</v>
      </c>
      <c r="J12311">
        <v>259.08999999999997</v>
      </c>
      <c r="K12311">
        <v>50.15</v>
      </c>
      <c r="L12311">
        <v>13502</v>
      </c>
      <c r="M12311" t="s">
        <v>243</v>
      </c>
      <c r="N12311" t="str">
        <f>"202300046   "</f>
        <v xml:space="preserve">202300046   </v>
      </c>
      <c r="O12311">
        <v>230201</v>
      </c>
    </row>
    <row r="12312" spans="1:15" x14ac:dyDescent="0.25">
      <c r="A12312" t="s">
        <v>16</v>
      </c>
      <c r="B12312" t="s">
        <v>3221</v>
      </c>
      <c r="C12312">
        <v>922</v>
      </c>
      <c r="D12312" t="s">
        <v>794</v>
      </c>
      <c r="E12312" t="s">
        <v>795</v>
      </c>
      <c r="F12312">
        <v>1690.51</v>
      </c>
      <c r="G12312">
        <v>230112</v>
      </c>
      <c r="H12312">
        <v>4500</v>
      </c>
      <c r="I12312" t="s">
        <v>212</v>
      </c>
      <c r="J12312">
        <v>2096.23</v>
      </c>
      <c r="K12312">
        <v>405.72</v>
      </c>
      <c r="L12312">
        <v>17538</v>
      </c>
      <c r="M12312" t="s">
        <v>24</v>
      </c>
      <c r="N12312" t="str">
        <f>"202300046   "</f>
        <v xml:space="preserve">202300046   </v>
      </c>
      <c r="O12312">
        <v>230201</v>
      </c>
    </row>
    <row r="12313" spans="1:15" x14ac:dyDescent="0.25">
      <c r="A12313" t="s">
        <v>16</v>
      </c>
      <c r="B12313" t="s">
        <v>3221</v>
      </c>
      <c r="C12313">
        <v>1536</v>
      </c>
      <c r="D12313" t="s">
        <v>794</v>
      </c>
      <c r="E12313" t="s">
        <v>795</v>
      </c>
      <c r="F12313">
        <v>256.5</v>
      </c>
      <c r="G12313">
        <v>230201</v>
      </c>
      <c r="H12313">
        <v>4500</v>
      </c>
      <c r="I12313" t="s">
        <v>212</v>
      </c>
      <c r="J12313">
        <v>318.06</v>
      </c>
      <c r="K12313">
        <v>61.56</v>
      </c>
      <c r="L12313">
        <v>13802</v>
      </c>
      <c r="M12313" t="s">
        <v>200</v>
      </c>
      <c r="N12313" t="str">
        <f>"202300199   "</f>
        <v xml:space="preserve">202300199   </v>
      </c>
      <c r="O12313">
        <v>230209</v>
      </c>
    </row>
    <row r="12314" spans="1:15" x14ac:dyDescent="0.25">
      <c r="A12314" t="s">
        <v>16</v>
      </c>
      <c r="B12314" t="s">
        <v>3221</v>
      </c>
      <c r="C12314">
        <v>4390</v>
      </c>
      <c r="D12314" t="s">
        <v>794</v>
      </c>
      <c r="E12314" t="s">
        <v>795</v>
      </c>
      <c r="F12314">
        <v>18.04</v>
      </c>
      <c r="G12314">
        <v>230316</v>
      </c>
      <c r="H12314">
        <v>4500</v>
      </c>
      <c r="I12314" t="s">
        <v>212</v>
      </c>
      <c r="J12314">
        <v>22.37</v>
      </c>
      <c r="K12314">
        <v>4.33</v>
      </c>
      <c r="L12314">
        <v>13502</v>
      </c>
      <c r="M12314" t="s">
        <v>243</v>
      </c>
      <c r="N12314" t="str">
        <f>"202300588   "</f>
        <v xml:space="preserve">202300588   </v>
      </c>
      <c r="O12314">
        <v>230405</v>
      </c>
    </row>
    <row r="12315" spans="1:15" x14ac:dyDescent="0.25">
      <c r="A12315" t="s">
        <v>16</v>
      </c>
      <c r="B12315" t="s">
        <v>3221</v>
      </c>
      <c r="C12315">
        <v>4390</v>
      </c>
      <c r="D12315" t="s">
        <v>794</v>
      </c>
      <c r="E12315" t="s">
        <v>795</v>
      </c>
      <c r="F12315">
        <v>145.96</v>
      </c>
      <c r="G12315">
        <v>230316</v>
      </c>
      <c r="H12315">
        <v>4500</v>
      </c>
      <c r="I12315" t="s">
        <v>212</v>
      </c>
      <c r="J12315">
        <v>180.99</v>
      </c>
      <c r="K12315">
        <v>35.03</v>
      </c>
      <c r="L12315">
        <v>17538</v>
      </c>
      <c r="M12315" t="s">
        <v>24</v>
      </c>
      <c r="N12315" t="str">
        <f>"202300588   "</f>
        <v xml:space="preserve">202300588   </v>
      </c>
      <c r="O12315">
        <v>230405</v>
      </c>
    </row>
    <row r="12316" spans="1:15" x14ac:dyDescent="0.25">
      <c r="A12316" t="s">
        <v>16</v>
      </c>
      <c r="B12316" t="s">
        <v>3221</v>
      </c>
      <c r="C12316">
        <v>8107</v>
      </c>
      <c r="D12316" t="s">
        <v>794</v>
      </c>
      <c r="E12316" t="s">
        <v>795</v>
      </c>
      <c r="F12316">
        <v>344.5</v>
      </c>
      <c r="G12316">
        <v>230531</v>
      </c>
      <c r="H12316">
        <v>4500</v>
      </c>
      <c r="I12316" t="s">
        <v>212</v>
      </c>
      <c r="J12316">
        <v>427.18</v>
      </c>
      <c r="K12316">
        <v>82.68</v>
      </c>
      <c r="L12316">
        <v>13801</v>
      </c>
      <c r="M12316" t="s">
        <v>162</v>
      </c>
      <c r="N12316" t="str">
        <f>"202301229   "</f>
        <v xml:space="preserve">202301229   </v>
      </c>
      <c r="O12316">
        <v>230607</v>
      </c>
    </row>
    <row r="12317" spans="1:15" x14ac:dyDescent="0.25">
      <c r="A12317" t="s">
        <v>16</v>
      </c>
      <c r="B12317" t="s">
        <v>3221</v>
      </c>
      <c r="C12317">
        <v>8575</v>
      </c>
      <c r="D12317" t="s">
        <v>794</v>
      </c>
      <c r="E12317" t="s">
        <v>795</v>
      </c>
      <c r="F12317">
        <v>40.1</v>
      </c>
      <c r="G12317">
        <v>230609</v>
      </c>
      <c r="H12317">
        <v>4500</v>
      </c>
      <c r="I12317" t="s">
        <v>212</v>
      </c>
      <c r="J12317">
        <v>49.72</v>
      </c>
      <c r="K12317">
        <v>9.6199999999999992</v>
      </c>
      <c r="L12317">
        <v>13801</v>
      </c>
      <c r="M12317" t="s">
        <v>162</v>
      </c>
      <c r="N12317" t="str">
        <f>"202301314   "</f>
        <v xml:space="preserve">202301314   </v>
      </c>
      <c r="O12317">
        <v>230612</v>
      </c>
    </row>
    <row r="12318" spans="1:15" x14ac:dyDescent="0.25">
      <c r="A12318" t="s">
        <v>16</v>
      </c>
      <c r="B12318" t="s">
        <v>3221</v>
      </c>
      <c r="C12318">
        <v>11110</v>
      </c>
      <c r="D12318" t="s">
        <v>794</v>
      </c>
      <c r="E12318" t="s">
        <v>795</v>
      </c>
      <c r="F12318">
        <v>398.95</v>
      </c>
      <c r="G12318">
        <v>230823</v>
      </c>
      <c r="H12318">
        <v>4500</v>
      </c>
      <c r="I12318" t="s">
        <v>212</v>
      </c>
      <c r="J12318">
        <v>494.7</v>
      </c>
      <c r="K12318">
        <v>95.75</v>
      </c>
      <c r="L12318">
        <v>13802</v>
      </c>
      <c r="M12318" t="s">
        <v>200</v>
      </c>
      <c r="N12318" t="str">
        <f>"202301653   "</f>
        <v xml:space="preserve">202301653   </v>
      </c>
      <c r="O12318">
        <v>230830</v>
      </c>
    </row>
    <row r="12319" spans="1:15" x14ac:dyDescent="0.25">
      <c r="A12319" t="s">
        <v>16</v>
      </c>
      <c r="B12319" t="s">
        <v>3221</v>
      </c>
      <c r="C12319">
        <v>11111</v>
      </c>
      <c r="D12319" t="s">
        <v>794</v>
      </c>
      <c r="E12319" t="s">
        <v>795</v>
      </c>
      <c r="F12319">
        <v>888.48</v>
      </c>
      <c r="G12319">
        <v>230823</v>
      </c>
      <c r="H12319">
        <v>4500</v>
      </c>
      <c r="I12319" t="s">
        <v>212</v>
      </c>
      <c r="J12319">
        <v>1101.72</v>
      </c>
      <c r="K12319">
        <v>213.24</v>
      </c>
      <c r="L12319">
        <v>13802</v>
      </c>
      <c r="M12319" t="s">
        <v>200</v>
      </c>
      <c r="N12319" t="str">
        <f>"202301674   "</f>
        <v xml:space="preserve">202301674   </v>
      </c>
      <c r="O12319">
        <v>230830</v>
      </c>
    </row>
    <row r="12320" spans="1:15" x14ac:dyDescent="0.25">
      <c r="A12320" t="s">
        <v>16</v>
      </c>
      <c r="B12320" t="s">
        <v>3221</v>
      </c>
      <c r="C12320">
        <v>15352</v>
      </c>
      <c r="D12320" t="s">
        <v>794</v>
      </c>
      <c r="E12320" t="s">
        <v>795</v>
      </c>
      <c r="F12320">
        <v>123.9</v>
      </c>
      <c r="G12320">
        <v>231101</v>
      </c>
      <c r="H12320">
        <v>4500</v>
      </c>
      <c r="I12320" t="s">
        <v>212</v>
      </c>
      <c r="J12320">
        <v>153.63</v>
      </c>
      <c r="K12320">
        <v>29.73</v>
      </c>
      <c r="L12320">
        <v>17538</v>
      </c>
      <c r="M12320" t="s">
        <v>24</v>
      </c>
      <c r="N12320" t="str">
        <f>"202302336   "</f>
        <v xml:space="preserve">202302336   </v>
      </c>
      <c r="O12320">
        <v>231113</v>
      </c>
    </row>
    <row r="12321" spans="1:15" x14ac:dyDescent="0.25">
      <c r="A12321" t="s">
        <v>16</v>
      </c>
      <c r="B12321" t="s">
        <v>3221</v>
      </c>
      <c r="C12321">
        <v>17562</v>
      </c>
      <c r="D12321" t="s">
        <v>794</v>
      </c>
      <c r="E12321" t="s">
        <v>795</v>
      </c>
      <c r="F12321">
        <v>16.5</v>
      </c>
      <c r="G12321">
        <v>231207</v>
      </c>
      <c r="H12321">
        <v>4500</v>
      </c>
      <c r="I12321" t="s">
        <v>212</v>
      </c>
      <c r="J12321">
        <v>20.46</v>
      </c>
      <c r="K12321">
        <v>3.96</v>
      </c>
      <c r="L12321">
        <v>17538</v>
      </c>
      <c r="M12321" t="s">
        <v>24</v>
      </c>
      <c r="N12321" t="str">
        <f>"202302704   "</f>
        <v xml:space="preserve">202302704   </v>
      </c>
      <c r="O12321">
        <v>231215</v>
      </c>
    </row>
    <row r="12322" spans="1:15" x14ac:dyDescent="0.25">
      <c r="A12322" t="s">
        <v>16</v>
      </c>
      <c r="B12322" t="s">
        <v>3221</v>
      </c>
      <c r="C12322">
        <v>17770</v>
      </c>
      <c r="D12322" t="s">
        <v>794</v>
      </c>
      <c r="E12322" t="s">
        <v>795</v>
      </c>
      <c r="F12322">
        <v>142.6</v>
      </c>
      <c r="G12322">
        <v>231128</v>
      </c>
      <c r="H12322">
        <v>4500</v>
      </c>
      <c r="I12322" t="s">
        <v>212</v>
      </c>
      <c r="J12322">
        <v>176.83</v>
      </c>
      <c r="K12322">
        <v>34.229999999999997</v>
      </c>
      <c r="L12322">
        <v>13502</v>
      </c>
      <c r="M12322" t="s">
        <v>243</v>
      </c>
      <c r="N12322" t="str">
        <f>"202302598   "</f>
        <v xml:space="preserve">202302598   </v>
      </c>
      <c r="O12322">
        <v>231227</v>
      </c>
    </row>
    <row r="12323" spans="1:15" x14ac:dyDescent="0.25">
      <c r="A12323" t="s">
        <v>16</v>
      </c>
      <c r="B12323" t="s">
        <v>3221</v>
      </c>
      <c r="C12323">
        <v>17770</v>
      </c>
      <c r="D12323" t="s">
        <v>794</v>
      </c>
      <c r="E12323" t="s">
        <v>795</v>
      </c>
      <c r="F12323">
        <v>1011.16</v>
      </c>
      <c r="G12323">
        <v>231128</v>
      </c>
      <c r="H12323">
        <v>4500</v>
      </c>
      <c r="I12323" t="s">
        <v>212</v>
      </c>
      <c r="J12323">
        <v>1253.8399999999999</v>
      </c>
      <c r="K12323">
        <v>242.68</v>
      </c>
      <c r="L12323">
        <v>17538</v>
      </c>
      <c r="M12323" t="s">
        <v>24</v>
      </c>
      <c r="N12323" t="str">
        <f>"202302598   "</f>
        <v xml:space="preserve">202302598   </v>
      </c>
      <c r="O12323">
        <v>231227</v>
      </c>
    </row>
    <row r="12324" spans="1:15" x14ac:dyDescent="0.25">
      <c r="A12324" t="s">
        <v>16</v>
      </c>
      <c r="B12324" t="s">
        <v>3221</v>
      </c>
      <c r="C12324">
        <v>17770</v>
      </c>
      <c r="D12324" t="s">
        <v>794</v>
      </c>
      <c r="E12324" t="s">
        <v>795</v>
      </c>
      <c r="F12324">
        <v>142.6</v>
      </c>
      <c r="G12324">
        <v>231128</v>
      </c>
      <c r="H12324">
        <v>4500</v>
      </c>
      <c r="I12324" t="s">
        <v>212</v>
      </c>
      <c r="J12324">
        <v>176.83</v>
      </c>
      <c r="K12324">
        <v>34.229999999999997</v>
      </c>
      <c r="L12324">
        <v>17862</v>
      </c>
      <c r="M12324" t="s">
        <v>319</v>
      </c>
      <c r="N12324" t="str">
        <f>"202302598   "</f>
        <v xml:space="preserve">202302598   </v>
      </c>
      <c r="O12324">
        <v>231227</v>
      </c>
    </row>
    <row r="12325" spans="1:15" x14ac:dyDescent="0.25">
      <c r="A12325" t="s">
        <v>16</v>
      </c>
      <c r="B12325" t="s">
        <v>3221</v>
      </c>
      <c r="C12325">
        <v>4852</v>
      </c>
      <c r="D12325" t="s">
        <v>1634</v>
      </c>
      <c r="E12325" t="s">
        <v>1635</v>
      </c>
      <c r="F12325">
        <v>233.87</v>
      </c>
      <c r="G12325">
        <v>230411</v>
      </c>
      <c r="H12325">
        <v>4580</v>
      </c>
      <c r="I12325" t="s">
        <v>35</v>
      </c>
      <c r="J12325">
        <v>290</v>
      </c>
      <c r="K12325">
        <v>56.13</v>
      </c>
      <c r="L12325">
        <v>17525</v>
      </c>
      <c r="M12325" t="s">
        <v>135</v>
      </c>
      <c r="N12325" t="str">
        <f>"906         "</f>
        <v xml:space="preserve">906         </v>
      </c>
      <c r="O12325">
        <v>230413</v>
      </c>
    </row>
    <row r="12326" spans="1:15" x14ac:dyDescent="0.25">
      <c r="A12326" t="s">
        <v>16</v>
      </c>
      <c r="B12326" t="s">
        <v>3221</v>
      </c>
      <c r="C12326">
        <v>13069</v>
      </c>
      <c r="D12326" t="s">
        <v>1634</v>
      </c>
      <c r="E12326" t="s">
        <v>1635</v>
      </c>
      <c r="F12326">
        <v>175.81</v>
      </c>
      <c r="G12326">
        <v>230921</v>
      </c>
      <c r="H12326">
        <v>4580</v>
      </c>
      <c r="I12326" t="s">
        <v>35</v>
      </c>
      <c r="J12326">
        <v>218</v>
      </c>
      <c r="K12326">
        <v>42.19</v>
      </c>
      <c r="L12326">
        <v>17525</v>
      </c>
      <c r="M12326" t="s">
        <v>135</v>
      </c>
      <c r="N12326" t="str">
        <f>"1250        "</f>
        <v xml:space="preserve">1250        </v>
      </c>
      <c r="O12326">
        <v>231003</v>
      </c>
    </row>
    <row r="12327" spans="1:15" x14ac:dyDescent="0.25">
      <c r="A12327" t="s">
        <v>16</v>
      </c>
      <c r="B12327" t="s">
        <v>3221</v>
      </c>
      <c r="C12327">
        <v>3887</v>
      </c>
      <c r="D12327" t="s">
        <v>1634</v>
      </c>
      <c r="E12327" t="s">
        <v>1635</v>
      </c>
      <c r="F12327">
        <v>44.52</v>
      </c>
      <c r="G12327">
        <v>230321</v>
      </c>
      <c r="H12327">
        <v>4600</v>
      </c>
      <c r="I12327" t="s">
        <v>105</v>
      </c>
      <c r="J12327">
        <v>55.2</v>
      </c>
      <c r="K12327">
        <v>10.68</v>
      </c>
      <c r="L12327">
        <v>17525</v>
      </c>
      <c r="M12327" t="s">
        <v>135</v>
      </c>
      <c r="N12327" t="str">
        <f>"870         "</f>
        <v xml:space="preserve">870         </v>
      </c>
      <c r="O12327">
        <v>230324</v>
      </c>
    </row>
    <row r="12328" spans="1:15" x14ac:dyDescent="0.25">
      <c r="A12328" t="s">
        <v>16</v>
      </c>
      <c r="B12328" t="s">
        <v>3221</v>
      </c>
      <c r="C12328">
        <v>3887</v>
      </c>
      <c r="D12328" t="s">
        <v>1634</v>
      </c>
      <c r="E12328" t="s">
        <v>1635</v>
      </c>
      <c r="F12328">
        <v>35.479999999999997</v>
      </c>
      <c r="G12328">
        <v>230321</v>
      </c>
      <c r="H12328">
        <v>4600</v>
      </c>
      <c r="I12328" t="s">
        <v>105</v>
      </c>
      <c r="J12328">
        <v>44</v>
      </c>
      <c r="K12328">
        <v>8.52</v>
      </c>
      <c r="L12328">
        <v>17529</v>
      </c>
      <c r="M12328" t="s">
        <v>453</v>
      </c>
      <c r="N12328" t="str">
        <f>"870         "</f>
        <v xml:space="preserve">870         </v>
      </c>
      <c r="O12328">
        <v>230324</v>
      </c>
    </row>
    <row r="12329" spans="1:15" x14ac:dyDescent="0.25">
      <c r="A12329" t="s">
        <v>16</v>
      </c>
      <c r="B12329" t="s">
        <v>3221</v>
      </c>
      <c r="C12329">
        <v>4852</v>
      </c>
      <c r="D12329" t="s">
        <v>1634</v>
      </c>
      <c r="E12329" t="s">
        <v>1635</v>
      </c>
      <c r="F12329">
        <v>233.87</v>
      </c>
      <c r="G12329">
        <v>230411</v>
      </c>
      <c r="H12329">
        <v>4600</v>
      </c>
      <c r="I12329" t="s">
        <v>105</v>
      </c>
      <c r="J12329">
        <v>290</v>
      </c>
      <c r="K12329">
        <v>56.13</v>
      </c>
      <c r="L12329">
        <v>17636</v>
      </c>
      <c r="M12329" t="s">
        <v>352</v>
      </c>
      <c r="N12329" t="str">
        <f>"906         "</f>
        <v xml:space="preserve">906         </v>
      </c>
      <c r="O12329">
        <v>230413</v>
      </c>
    </row>
    <row r="12330" spans="1:15" x14ac:dyDescent="0.25">
      <c r="A12330" t="s">
        <v>16</v>
      </c>
      <c r="B12330" t="s">
        <v>3221</v>
      </c>
      <c r="C12330">
        <v>1010</v>
      </c>
      <c r="D12330" t="s">
        <v>834</v>
      </c>
      <c r="E12330" t="s">
        <v>835</v>
      </c>
      <c r="F12330">
        <v>2761.97</v>
      </c>
      <c r="G12330">
        <v>230131</v>
      </c>
      <c r="H12330">
        <v>4580</v>
      </c>
      <c r="I12330" t="s">
        <v>35</v>
      </c>
      <c r="J12330">
        <v>3424.84</v>
      </c>
      <c r="K12330">
        <v>662.87</v>
      </c>
      <c r="L12330">
        <v>17521</v>
      </c>
      <c r="M12330" t="s">
        <v>133</v>
      </c>
      <c r="N12330" t="str">
        <f>"4428        "</f>
        <v xml:space="preserve">4428        </v>
      </c>
      <c r="O12330">
        <v>230202</v>
      </c>
    </row>
    <row r="12331" spans="1:15" x14ac:dyDescent="0.25">
      <c r="A12331" t="s">
        <v>16</v>
      </c>
      <c r="B12331" t="s">
        <v>3221</v>
      </c>
      <c r="C12331">
        <v>4027</v>
      </c>
      <c r="D12331" t="s">
        <v>834</v>
      </c>
      <c r="E12331" t="s">
        <v>835</v>
      </c>
      <c r="F12331">
        <v>314.94</v>
      </c>
      <c r="G12331">
        <v>230317</v>
      </c>
      <c r="H12331">
        <v>4580</v>
      </c>
      <c r="I12331" t="s">
        <v>35</v>
      </c>
      <c r="J12331">
        <v>390.52</v>
      </c>
      <c r="K12331">
        <v>75.58</v>
      </c>
      <c r="L12331">
        <v>17521</v>
      </c>
      <c r="M12331" t="s">
        <v>133</v>
      </c>
      <c r="N12331" t="str">
        <f>"4386        "</f>
        <v xml:space="preserve">4386        </v>
      </c>
      <c r="O12331">
        <v>230329</v>
      </c>
    </row>
    <row r="12332" spans="1:15" x14ac:dyDescent="0.25">
      <c r="A12332" t="s">
        <v>16</v>
      </c>
      <c r="B12332" t="s">
        <v>3221</v>
      </c>
      <c r="C12332">
        <v>10551</v>
      </c>
      <c r="D12332" t="s">
        <v>834</v>
      </c>
      <c r="E12332" t="s">
        <v>835</v>
      </c>
      <c r="F12332">
        <v>1047.1300000000001</v>
      </c>
      <c r="G12332">
        <v>230815</v>
      </c>
      <c r="H12332">
        <v>4580</v>
      </c>
      <c r="I12332" t="s">
        <v>35</v>
      </c>
      <c r="J12332">
        <v>1298.44</v>
      </c>
      <c r="K12332">
        <v>251.31</v>
      </c>
      <c r="L12332">
        <v>17521</v>
      </c>
      <c r="M12332" t="s">
        <v>133</v>
      </c>
      <c r="N12332" t="str">
        <f>"4673        "</f>
        <v xml:space="preserve">4673        </v>
      </c>
      <c r="O12332">
        <v>230818</v>
      </c>
    </row>
    <row r="12333" spans="1:15" x14ac:dyDescent="0.25">
      <c r="A12333" t="s">
        <v>16</v>
      </c>
      <c r="B12333" t="s">
        <v>3221</v>
      </c>
      <c r="C12333">
        <v>4414</v>
      </c>
      <c r="D12333" t="s">
        <v>1714</v>
      </c>
      <c r="E12333" t="s">
        <v>1715</v>
      </c>
      <c r="F12333">
        <v>48.15</v>
      </c>
      <c r="G12333">
        <v>230331</v>
      </c>
      <c r="H12333">
        <v>4580</v>
      </c>
      <c r="I12333" t="s">
        <v>35</v>
      </c>
      <c r="J12333">
        <v>59.7</v>
      </c>
      <c r="K12333">
        <v>11.55</v>
      </c>
      <c r="L12333">
        <v>13401</v>
      </c>
      <c r="M12333" t="s">
        <v>80</v>
      </c>
      <c r="N12333" t="str">
        <f>"154737      "</f>
        <v xml:space="preserve">154737      </v>
      </c>
      <c r="O12333">
        <v>230405</v>
      </c>
    </row>
    <row r="12334" spans="1:15" x14ac:dyDescent="0.25">
      <c r="A12334" t="s">
        <v>16</v>
      </c>
      <c r="B12334" t="s">
        <v>3221</v>
      </c>
      <c r="C12334">
        <v>4414</v>
      </c>
      <c r="D12334" t="s">
        <v>1714</v>
      </c>
      <c r="E12334" t="s">
        <v>1715</v>
      </c>
      <c r="F12334">
        <v>37.26</v>
      </c>
      <c r="G12334">
        <v>230331</v>
      </c>
      <c r="H12334">
        <v>4600</v>
      </c>
      <c r="I12334" t="s">
        <v>105</v>
      </c>
      <c r="J12334">
        <v>46.2</v>
      </c>
      <c r="K12334">
        <v>8.94</v>
      </c>
      <c r="L12334">
        <v>13401</v>
      </c>
      <c r="M12334" t="s">
        <v>80</v>
      </c>
      <c r="N12334" t="str">
        <f>"154737      "</f>
        <v xml:space="preserve">154737      </v>
      </c>
      <c r="O12334">
        <v>230405</v>
      </c>
    </row>
    <row r="12335" spans="1:15" x14ac:dyDescent="0.25">
      <c r="A12335" t="s">
        <v>16</v>
      </c>
      <c r="B12335" t="s">
        <v>3221</v>
      </c>
      <c r="C12335">
        <v>5188</v>
      </c>
      <c r="D12335" t="s">
        <v>1714</v>
      </c>
      <c r="E12335" t="s">
        <v>1715</v>
      </c>
      <c r="F12335">
        <v>96.77</v>
      </c>
      <c r="G12335">
        <v>230331</v>
      </c>
      <c r="H12335">
        <v>4600</v>
      </c>
      <c r="I12335" t="s">
        <v>105</v>
      </c>
      <c r="J12335">
        <v>120</v>
      </c>
      <c r="K12335">
        <v>23.23</v>
      </c>
      <c r="L12335">
        <v>46554</v>
      </c>
      <c r="M12335" t="s">
        <v>117</v>
      </c>
      <c r="N12335" t="str">
        <f>"154749      "</f>
        <v xml:space="preserve">154749      </v>
      </c>
      <c r="O12335">
        <v>230419</v>
      </c>
    </row>
    <row r="12336" spans="1:15" x14ac:dyDescent="0.25">
      <c r="A12336" t="s">
        <v>16</v>
      </c>
      <c r="B12336" t="s">
        <v>3221</v>
      </c>
      <c r="C12336">
        <v>4691</v>
      </c>
      <c r="D12336" t="s">
        <v>1742</v>
      </c>
      <c r="E12336" t="s">
        <v>1743</v>
      </c>
      <c r="F12336">
        <v>30.31</v>
      </c>
      <c r="G12336">
        <v>230404</v>
      </c>
      <c r="H12336">
        <v>4550</v>
      </c>
      <c r="I12336" t="s">
        <v>312</v>
      </c>
      <c r="J12336">
        <v>37.58</v>
      </c>
      <c r="K12336">
        <v>7.27</v>
      </c>
      <c r="L12336">
        <v>13540</v>
      </c>
      <c r="M12336" t="s">
        <v>85</v>
      </c>
      <c r="N12336" t="str">
        <f>"805         "</f>
        <v xml:space="preserve">805         </v>
      </c>
      <c r="O12336">
        <v>230411</v>
      </c>
    </row>
    <row r="12337" spans="1:15" x14ac:dyDescent="0.25">
      <c r="A12337" t="s">
        <v>16</v>
      </c>
      <c r="B12337" t="s">
        <v>3221</v>
      </c>
      <c r="C12337">
        <v>4691</v>
      </c>
      <c r="D12337" t="s">
        <v>1742</v>
      </c>
      <c r="E12337" t="s">
        <v>1743</v>
      </c>
      <c r="F12337">
        <v>206.62</v>
      </c>
      <c r="G12337">
        <v>230404</v>
      </c>
      <c r="H12337">
        <v>4550</v>
      </c>
      <c r="I12337" t="s">
        <v>312</v>
      </c>
      <c r="J12337">
        <v>256.20999999999998</v>
      </c>
      <c r="K12337">
        <v>49.59</v>
      </c>
      <c r="L12337">
        <v>17950</v>
      </c>
      <c r="M12337" t="s">
        <v>86</v>
      </c>
      <c r="N12337" t="str">
        <f>"805         "</f>
        <v xml:space="preserve">805         </v>
      </c>
      <c r="O12337">
        <v>230411</v>
      </c>
    </row>
    <row r="12338" spans="1:15" x14ac:dyDescent="0.25">
      <c r="A12338" t="s">
        <v>16</v>
      </c>
      <c r="B12338" t="s">
        <v>3221</v>
      </c>
      <c r="C12338">
        <v>4691</v>
      </c>
      <c r="D12338" t="s">
        <v>1742</v>
      </c>
      <c r="E12338" t="s">
        <v>1743</v>
      </c>
      <c r="F12338">
        <v>147.5</v>
      </c>
      <c r="G12338">
        <v>230404</v>
      </c>
      <c r="H12338">
        <v>4550</v>
      </c>
      <c r="I12338" t="s">
        <v>312</v>
      </c>
      <c r="J12338">
        <v>182.9</v>
      </c>
      <c r="K12338">
        <v>35.4</v>
      </c>
      <c r="L12338">
        <v>17951</v>
      </c>
      <c r="M12338" t="s">
        <v>87</v>
      </c>
      <c r="N12338" t="str">
        <f>"805         "</f>
        <v xml:space="preserve">805         </v>
      </c>
      <c r="O12338">
        <v>230411</v>
      </c>
    </row>
    <row r="12339" spans="1:15" x14ac:dyDescent="0.25">
      <c r="A12339" t="s">
        <v>16</v>
      </c>
      <c r="B12339" t="s">
        <v>3221</v>
      </c>
      <c r="C12339">
        <v>4691</v>
      </c>
      <c r="D12339" t="s">
        <v>1742</v>
      </c>
      <c r="E12339" t="s">
        <v>1743</v>
      </c>
      <c r="F12339">
        <v>38.57</v>
      </c>
      <c r="G12339">
        <v>230404</v>
      </c>
      <c r="H12339">
        <v>4550</v>
      </c>
      <c r="I12339" t="s">
        <v>312</v>
      </c>
      <c r="J12339">
        <v>47.83</v>
      </c>
      <c r="K12339">
        <v>9.26</v>
      </c>
      <c r="L12339">
        <v>17956</v>
      </c>
      <c r="M12339" t="s">
        <v>53</v>
      </c>
      <c r="N12339" t="str">
        <f>"805         "</f>
        <v xml:space="preserve">805         </v>
      </c>
      <c r="O12339">
        <v>230411</v>
      </c>
    </row>
    <row r="12340" spans="1:15" x14ac:dyDescent="0.25">
      <c r="A12340" t="s">
        <v>16</v>
      </c>
      <c r="B12340" t="s">
        <v>3221</v>
      </c>
      <c r="C12340">
        <v>6551</v>
      </c>
      <c r="D12340" t="s">
        <v>3458</v>
      </c>
      <c r="E12340" t="s">
        <v>3459</v>
      </c>
      <c r="F12340">
        <v>300</v>
      </c>
      <c r="G12340">
        <v>230430</v>
      </c>
      <c r="H12340">
        <v>4820</v>
      </c>
      <c r="I12340" t="s">
        <v>50</v>
      </c>
      <c r="J12340">
        <v>300</v>
      </c>
      <c r="K12340">
        <v>0</v>
      </c>
      <c r="L12340">
        <v>13841</v>
      </c>
      <c r="M12340" t="s">
        <v>47</v>
      </c>
      <c r="N12340" t="str">
        <f>"106         "</f>
        <v xml:space="preserve">106         </v>
      </c>
      <c r="O12340">
        <v>230515</v>
      </c>
    </row>
    <row r="12341" spans="1:15" x14ac:dyDescent="0.25">
      <c r="A12341" t="s">
        <v>16</v>
      </c>
      <c r="B12341" t="s">
        <v>3221</v>
      </c>
      <c r="C12341">
        <v>19277</v>
      </c>
      <c r="D12341" t="s">
        <v>3458</v>
      </c>
      <c r="E12341" t="s">
        <v>3459</v>
      </c>
      <c r="F12341">
        <v>350</v>
      </c>
      <c r="G12341">
        <v>231231</v>
      </c>
      <c r="H12341">
        <v>4820</v>
      </c>
      <c r="I12341" t="s">
        <v>50</v>
      </c>
      <c r="J12341">
        <v>350</v>
      </c>
      <c r="K12341">
        <v>0</v>
      </c>
      <c r="L12341">
        <v>13841</v>
      </c>
      <c r="M12341" t="s">
        <v>47</v>
      </c>
      <c r="N12341" t="str">
        <f>"133         "</f>
        <v xml:space="preserve">133         </v>
      </c>
      <c r="O12341">
        <v>240116</v>
      </c>
    </row>
    <row r="12342" spans="1:15" x14ac:dyDescent="0.25">
      <c r="A12342" t="s">
        <v>16</v>
      </c>
      <c r="B12342" t="s">
        <v>3221</v>
      </c>
      <c r="C12342">
        <v>8241</v>
      </c>
      <c r="D12342" t="s">
        <v>2162</v>
      </c>
      <c r="E12342" t="s">
        <v>2163</v>
      </c>
      <c r="F12342">
        <v>749.6</v>
      </c>
      <c r="G12342">
        <v>230529</v>
      </c>
      <c r="H12342">
        <v>4557</v>
      </c>
      <c r="I12342" t="s">
        <v>238</v>
      </c>
      <c r="J12342">
        <v>929.51</v>
      </c>
      <c r="K12342">
        <v>179.91</v>
      </c>
      <c r="L12342">
        <v>66754</v>
      </c>
      <c r="M12342" t="s">
        <v>239</v>
      </c>
      <c r="N12342" t="str">
        <f>"101331      "</f>
        <v xml:space="preserve">101331      </v>
      </c>
      <c r="O12342">
        <v>230608</v>
      </c>
    </row>
    <row r="12343" spans="1:15" x14ac:dyDescent="0.25">
      <c r="A12343" t="s">
        <v>16</v>
      </c>
      <c r="B12343" t="s">
        <v>3221</v>
      </c>
      <c r="C12343">
        <v>1068</v>
      </c>
      <c r="D12343" t="s">
        <v>854</v>
      </c>
      <c r="E12343" t="s">
        <v>855</v>
      </c>
      <c r="F12343">
        <v>354</v>
      </c>
      <c r="G12343">
        <v>230126</v>
      </c>
      <c r="H12343">
        <v>4600</v>
      </c>
      <c r="I12343" t="s">
        <v>105</v>
      </c>
      <c r="J12343">
        <v>354</v>
      </c>
      <c r="K12343">
        <v>0</v>
      </c>
      <c r="L12343">
        <v>49702</v>
      </c>
      <c r="M12343" t="s">
        <v>584</v>
      </c>
      <c r="N12343" t="str">
        <f>"10183       "</f>
        <v xml:space="preserve">10183       </v>
      </c>
      <c r="O12343">
        <v>230203</v>
      </c>
    </row>
    <row r="12344" spans="1:15" x14ac:dyDescent="0.25">
      <c r="A12344" t="s">
        <v>16</v>
      </c>
      <c r="B12344" t="s">
        <v>3221</v>
      </c>
      <c r="C12344">
        <v>5011</v>
      </c>
      <c r="D12344" t="s">
        <v>854</v>
      </c>
      <c r="E12344" t="s">
        <v>855</v>
      </c>
      <c r="F12344">
        <v>154</v>
      </c>
      <c r="G12344">
        <v>230406</v>
      </c>
      <c r="H12344">
        <v>4600</v>
      </c>
      <c r="I12344" t="s">
        <v>105</v>
      </c>
      <c r="J12344">
        <v>154</v>
      </c>
      <c r="K12344">
        <v>0</v>
      </c>
      <c r="L12344">
        <v>49702</v>
      </c>
      <c r="M12344" t="s">
        <v>584</v>
      </c>
      <c r="N12344" t="str">
        <f>"10197       "</f>
        <v xml:space="preserve">10197       </v>
      </c>
      <c r="O12344">
        <v>230417</v>
      </c>
    </row>
    <row r="12345" spans="1:15" x14ac:dyDescent="0.25">
      <c r="A12345" t="s">
        <v>16</v>
      </c>
      <c r="B12345" t="s">
        <v>3221</v>
      </c>
      <c r="C12345">
        <v>7728</v>
      </c>
      <c r="D12345" t="s">
        <v>854</v>
      </c>
      <c r="E12345" t="s">
        <v>855</v>
      </c>
      <c r="F12345">
        <v>104</v>
      </c>
      <c r="G12345">
        <v>230531</v>
      </c>
      <c r="H12345">
        <v>4600</v>
      </c>
      <c r="I12345" t="s">
        <v>105</v>
      </c>
      <c r="J12345">
        <v>104</v>
      </c>
      <c r="K12345">
        <v>0</v>
      </c>
      <c r="L12345">
        <v>49702</v>
      </c>
      <c r="M12345" t="s">
        <v>584</v>
      </c>
      <c r="N12345" t="str">
        <f>"10223       "</f>
        <v xml:space="preserve">10223       </v>
      </c>
      <c r="O12345">
        <v>230602</v>
      </c>
    </row>
    <row r="12346" spans="1:15" x14ac:dyDescent="0.25">
      <c r="A12346" t="s">
        <v>16</v>
      </c>
      <c r="B12346" t="s">
        <v>3221</v>
      </c>
      <c r="C12346">
        <v>11835</v>
      </c>
      <c r="D12346" t="s">
        <v>854</v>
      </c>
      <c r="E12346" t="s">
        <v>855</v>
      </c>
      <c r="F12346">
        <v>104</v>
      </c>
      <c r="G12346">
        <v>230906</v>
      </c>
      <c r="H12346">
        <v>4600</v>
      </c>
      <c r="I12346" t="s">
        <v>105</v>
      </c>
      <c r="J12346">
        <v>104</v>
      </c>
      <c r="K12346">
        <v>0</v>
      </c>
      <c r="L12346">
        <v>49702</v>
      </c>
      <c r="M12346" t="s">
        <v>584</v>
      </c>
      <c r="N12346" t="str">
        <f>"10260       "</f>
        <v xml:space="preserve">10260       </v>
      </c>
      <c r="O12346">
        <v>230911</v>
      </c>
    </row>
    <row r="12347" spans="1:15" x14ac:dyDescent="0.25">
      <c r="A12347" t="s">
        <v>16</v>
      </c>
      <c r="B12347" t="s">
        <v>3221</v>
      </c>
      <c r="C12347">
        <v>14645</v>
      </c>
      <c r="D12347" t="s">
        <v>854</v>
      </c>
      <c r="E12347" t="s">
        <v>855</v>
      </c>
      <c r="F12347">
        <v>650</v>
      </c>
      <c r="G12347">
        <v>231027</v>
      </c>
      <c r="H12347">
        <v>4600</v>
      </c>
      <c r="I12347" t="s">
        <v>105</v>
      </c>
      <c r="J12347">
        <v>650</v>
      </c>
      <c r="K12347">
        <v>0</v>
      </c>
      <c r="L12347">
        <v>49702</v>
      </c>
      <c r="M12347" t="s">
        <v>584</v>
      </c>
      <c r="N12347" t="str">
        <f>"10289       "</f>
        <v xml:space="preserve">10289       </v>
      </c>
      <c r="O12347">
        <v>231031</v>
      </c>
    </row>
    <row r="12348" spans="1:15" x14ac:dyDescent="0.25">
      <c r="A12348" t="s">
        <v>16</v>
      </c>
      <c r="B12348" t="s">
        <v>3221</v>
      </c>
      <c r="C12348">
        <v>18225</v>
      </c>
      <c r="D12348" t="s">
        <v>854</v>
      </c>
      <c r="E12348" t="s">
        <v>855</v>
      </c>
      <c r="F12348">
        <v>304</v>
      </c>
      <c r="G12348">
        <v>231220</v>
      </c>
      <c r="H12348">
        <v>4600</v>
      </c>
      <c r="I12348" t="s">
        <v>105</v>
      </c>
      <c r="J12348">
        <v>304</v>
      </c>
      <c r="K12348">
        <v>0</v>
      </c>
      <c r="L12348">
        <v>49702</v>
      </c>
      <c r="M12348" t="s">
        <v>584</v>
      </c>
      <c r="N12348" t="str">
        <f>"10306       "</f>
        <v xml:space="preserve">10306       </v>
      </c>
      <c r="O12348">
        <v>240102</v>
      </c>
    </row>
    <row r="12349" spans="1:15" x14ac:dyDescent="0.25">
      <c r="A12349" t="s">
        <v>16</v>
      </c>
      <c r="B12349" t="s">
        <v>3221</v>
      </c>
      <c r="C12349">
        <v>6463</v>
      </c>
      <c r="D12349" t="s">
        <v>854</v>
      </c>
      <c r="E12349" t="s">
        <v>855</v>
      </c>
      <c r="F12349">
        <v>31.45</v>
      </c>
      <c r="G12349">
        <v>230509</v>
      </c>
      <c r="H12349">
        <v>4590</v>
      </c>
      <c r="I12349" t="s">
        <v>203</v>
      </c>
      <c r="J12349">
        <v>39</v>
      </c>
      <c r="K12349">
        <v>7.55</v>
      </c>
      <c r="L12349">
        <v>49501</v>
      </c>
      <c r="M12349" t="s">
        <v>177</v>
      </c>
      <c r="N12349" t="str">
        <f>"10209       "</f>
        <v xml:space="preserve">10209       </v>
      </c>
      <c r="O12349">
        <v>230512</v>
      </c>
    </row>
    <row r="12350" spans="1:15" x14ac:dyDescent="0.25">
      <c r="A12350" t="s">
        <v>16</v>
      </c>
      <c r="B12350" t="s">
        <v>3221</v>
      </c>
      <c r="C12350">
        <v>7423</v>
      </c>
      <c r="D12350" t="s">
        <v>2091</v>
      </c>
      <c r="E12350" t="s">
        <v>2092</v>
      </c>
      <c r="F12350">
        <v>891</v>
      </c>
      <c r="G12350">
        <v>230524</v>
      </c>
      <c r="H12350">
        <v>4600</v>
      </c>
      <c r="I12350" t="s">
        <v>105</v>
      </c>
      <c r="J12350">
        <v>1104.8399999999999</v>
      </c>
      <c r="K12350">
        <v>213.84</v>
      </c>
      <c r="L12350">
        <v>17523</v>
      </c>
      <c r="M12350" t="s">
        <v>134</v>
      </c>
      <c r="N12350" t="str">
        <f>"708573      "</f>
        <v xml:space="preserve">708573      </v>
      </c>
      <c r="O12350">
        <v>230530</v>
      </c>
    </row>
    <row r="12351" spans="1:15" x14ac:dyDescent="0.25">
      <c r="A12351" t="s">
        <v>16</v>
      </c>
      <c r="B12351" t="s">
        <v>3221</v>
      </c>
      <c r="C12351">
        <v>835</v>
      </c>
      <c r="D12351" t="s">
        <v>762</v>
      </c>
      <c r="E12351" t="s">
        <v>763</v>
      </c>
      <c r="F12351">
        <v>2251.25</v>
      </c>
      <c r="G12351">
        <v>230112</v>
      </c>
      <c r="H12351">
        <v>4580</v>
      </c>
      <c r="I12351" t="s">
        <v>35</v>
      </c>
      <c r="J12351">
        <v>2791.55</v>
      </c>
      <c r="K12351">
        <v>540.29999999999995</v>
      </c>
      <c r="L12351">
        <v>18971</v>
      </c>
      <c r="M12351" t="s">
        <v>63</v>
      </c>
      <c r="N12351" t="str">
        <f>"1000196384  "</f>
        <v xml:space="preserve">1000196384  </v>
      </c>
      <c r="O12351">
        <v>230131</v>
      </c>
    </row>
    <row r="12352" spans="1:15" x14ac:dyDescent="0.25">
      <c r="A12352" t="s">
        <v>16</v>
      </c>
      <c r="B12352" t="s">
        <v>3221</v>
      </c>
      <c r="C12352">
        <v>3947</v>
      </c>
      <c r="D12352" t="s">
        <v>762</v>
      </c>
      <c r="E12352" t="s">
        <v>763</v>
      </c>
      <c r="F12352">
        <v>1903.46</v>
      </c>
      <c r="G12352">
        <v>230322</v>
      </c>
      <c r="H12352">
        <v>4580</v>
      </c>
      <c r="I12352" t="s">
        <v>35</v>
      </c>
      <c r="J12352">
        <v>2360.29</v>
      </c>
      <c r="K12352">
        <v>456.83</v>
      </c>
      <c r="L12352">
        <v>18972</v>
      </c>
      <c r="M12352" t="s">
        <v>163</v>
      </c>
      <c r="N12352" t="str">
        <f>"1000202285  "</f>
        <v xml:space="preserve">1000202285  </v>
      </c>
      <c r="O12352">
        <v>230327</v>
      </c>
    </row>
    <row r="12353" spans="1:16" x14ac:dyDescent="0.25">
      <c r="A12353" t="s">
        <v>16</v>
      </c>
      <c r="B12353" t="s">
        <v>3221</v>
      </c>
      <c r="C12353">
        <v>10882</v>
      </c>
      <c r="D12353" t="s">
        <v>762</v>
      </c>
      <c r="E12353" t="s">
        <v>763</v>
      </c>
      <c r="F12353">
        <v>1017.74</v>
      </c>
      <c r="G12353">
        <v>230818</v>
      </c>
      <c r="H12353">
        <v>4580</v>
      </c>
      <c r="I12353" t="s">
        <v>35</v>
      </c>
      <c r="J12353">
        <v>1262</v>
      </c>
      <c r="K12353">
        <v>244.26</v>
      </c>
      <c r="L12353">
        <v>14861</v>
      </c>
      <c r="M12353" t="s">
        <v>785</v>
      </c>
      <c r="N12353" t="str">
        <f>"1000217825  "</f>
        <v xml:space="preserve">1000217825  </v>
      </c>
      <c r="O12353">
        <v>230824</v>
      </c>
    </row>
    <row r="12354" spans="1:16" x14ac:dyDescent="0.25">
      <c r="A12354" t="s">
        <v>16</v>
      </c>
      <c r="B12354" t="s">
        <v>3221</v>
      </c>
      <c r="C12354">
        <v>14405</v>
      </c>
      <c r="D12354" t="s">
        <v>762</v>
      </c>
      <c r="E12354" t="s">
        <v>763</v>
      </c>
      <c r="F12354">
        <v>2037.9</v>
      </c>
      <c r="G12354">
        <v>231006</v>
      </c>
      <c r="H12354">
        <v>4580</v>
      </c>
      <c r="I12354" t="s">
        <v>35</v>
      </c>
      <c r="J12354">
        <v>2527</v>
      </c>
      <c r="K12354">
        <v>489.1</v>
      </c>
      <c r="L12354">
        <v>47522</v>
      </c>
      <c r="M12354" t="s">
        <v>410</v>
      </c>
      <c r="N12354" t="str">
        <f>"1000222656  "</f>
        <v xml:space="preserve">1000222656  </v>
      </c>
      <c r="O12354">
        <v>231030</v>
      </c>
    </row>
    <row r="12355" spans="1:16" x14ac:dyDescent="0.25">
      <c r="A12355" t="s">
        <v>16</v>
      </c>
      <c r="B12355" t="s">
        <v>3221</v>
      </c>
      <c r="C12355">
        <v>17050</v>
      </c>
      <c r="D12355" t="s">
        <v>762</v>
      </c>
      <c r="E12355" t="s">
        <v>763</v>
      </c>
      <c r="F12355">
        <v>4540.5200000000004</v>
      </c>
      <c r="G12355">
        <v>231130</v>
      </c>
      <c r="H12355">
        <v>4580</v>
      </c>
      <c r="I12355" t="s">
        <v>35</v>
      </c>
      <c r="J12355">
        <v>5630.25</v>
      </c>
      <c r="K12355">
        <v>1089.73</v>
      </c>
      <c r="L12355">
        <v>14951</v>
      </c>
      <c r="M12355" t="s">
        <v>57</v>
      </c>
      <c r="N12355" t="str">
        <f>"1000227342  "</f>
        <v xml:space="preserve">1000227342  </v>
      </c>
      <c r="O12355">
        <v>231212</v>
      </c>
    </row>
    <row r="12356" spans="1:16" x14ac:dyDescent="0.25">
      <c r="A12356" t="s">
        <v>16</v>
      </c>
      <c r="B12356" t="s">
        <v>3221</v>
      </c>
      <c r="C12356">
        <v>18671</v>
      </c>
      <c r="D12356" t="s">
        <v>762</v>
      </c>
      <c r="E12356" t="s">
        <v>763</v>
      </c>
      <c r="F12356">
        <v>590</v>
      </c>
      <c r="G12356">
        <v>231222</v>
      </c>
      <c r="H12356">
        <v>4580</v>
      </c>
      <c r="I12356" t="s">
        <v>35</v>
      </c>
      <c r="J12356">
        <v>731.6</v>
      </c>
      <c r="K12356">
        <v>141.6</v>
      </c>
      <c r="L12356">
        <v>43222</v>
      </c>
      <c r="M12356" t="s">
        <v>507</v>
      </c>
      <c r="N12356" t="str">
        <f>"1000229770  "</f>
        <v xml:space="preserve">1000229770  </v>
      </c>
      <c r="O12356">
        <v>240104</v>
      </c>
    </row>
    <row r="12357" spans="1:16" x14ac:dyDescent="0.25">
      <c r="A12357" t="s">
        <v>16</v>
      </c>
      <c r="B12357" t="s">
        <v>3221</v>
      </c>
      <c r="C12357">
        <v>769</v>
      </c>
      <c r="D12357" t="s">
        <v>728</v>
      </c>
      <c r="E12357" t="s">
        <v>729</v>
      </c>
      <c r="F12357">
        <v>806.45</v>
      </c>
      <c r="G12357">
        <v>230123</v>
      </c>
      <c r="H12357">
        <v>4600</v>
      </c>
      <c r="I12357" t="s">
        <v>105</v>
      </c>
      <c r="J12357">
        <v>1000</v>
      </c>
      <c r="K12357">
        <v>193.55</v>
      </c>
      <c r="L12357">
        <v>17522</v>
      </c>
      <c r="M12357" t="s">
        <v>451</v>
      </c>
      <c r="N12357" t="str">
        <f>"469626      "</f>
        <v xml:space="preserve">469626      </v>
      </c>
      <c r="O12357">
        <v>230130</v>
      </c>
    </row>
    <row r="12358" spans="1:16" x14ac:dyDescent="0.25">
      <c r="A12358" t="s">
        <v>16</v>
      </c>
      <c r="B12358" t="s">
        <v>3221</v>
      </c>
      <c r="C12358">
        <v>769</v>
      </c>
      <c r="D12358" t="s">
        <v>728</v>
      </c>
      <c r="E12358" t="s">
        <v>729</v>
      </c>
      <c r="F12358">
        <v>1703.1</v>
      </c>
      <c r="G12358">
        <v>230123</v>
      </c>
      <c r="H12358">
        <v>4600</v>
      </c>
      <c r="I12358" t="s">
        <v>105</v>
      </c>
      <c r="J12358">
        <v>2111.85</v>
      </c>
      <c r="K12358">
        <v>408.75</v>
      </c>
      <c r="L12358">
        <v>17633</v>
      </c>
      <c r="M12358" t="s">
        <v>724</v>
      </c>
      <c r="N12358" t="str">
        <f>"469626      "</f>
        <v xml:space="preserve">469626      </v>
      </c>
      <c r="O12358">
        <v>230130</v>
      </c>
    </row>
    <row r="12359" spans="1:16" x14ac:dyDescent="0.25">
      <c r="A12359" t="s">
        <v>16</v>
      </c>
      <c r="B12359" t="s">
        <v>3221</v>
      </c>
      <c r="C12359">
        <v>13418</v>
      </c>
      <c r="D12359" t="s">
        <v>728</v>
      </c>
      <c r="E12359" t="s">
        <v>729</v>
      </c>
      <c r="F12359">
        <v>887.1</v>
      </c>
      <c r="G12359">
        <v>231004</v>
      </c>
      <c r="H12359">
        <v>4600</v>
      </c>
      <c r="I12359" t="s">
        <v>105</v>
      </c>
      <c r="J12359">
        <v>1100</v>
      </c>
      <c r="K12359">
        <v>212.9</v>
      </c>
      <c r="L12359">
        <v>17522</v>
      </c>
      <c r="M12359" t="s">
        <v>451</v>
      </c>
      <c r="N12359" t="str">
        <f>"472062      "</f>
        <v xml:space="preserve">472062      </v>
      </c>
      <c r="O12359">
        <v>231010</v>
      </c>
    </row>
    <row r="12360" spans="1:16" x14ac:dyDescent="0.25">
      <c r="A12360" t="s">
        <v>16</v>
      </c>
      <c r="B12360" t="s">
        <v>3221</v>
      </c>
      <c r="C12360">
        <v>13418</v>
      </c>
      <c r="D12360" t="s">
        <v>728</v>
      </c>
      <c r="E12360" t="s">
        <v>729</v>
      </c>
      <c r="F12360">
        <v>1821.4</v>
      </c>
      <c r="G12360">
        <v>231004</v>
      </c>
      <c r="H12360">
        <v>4600</v>
      </c>
      <c r="I12360" t="s">
        <v>105</v>
      </c>
      <c r="J12360">
        <v>2258.54</v>
      </c>
      <c r="K12360">
        <v>437.14</v>
      </c>
      <c r="L12360">
        <v>17633</v>
      </c>
      <c r="M12360" t="s">
        <v>724</v>
      </c>
      <c r="N12360" t="str">
        <f>"472062      "</f>
        <v xml:space="preserve">472062      </v>
      </c>
      <c r="O12360">
        <v>231010</v>
      </c>
    </row>
    <row r="12361" spans="1:16" x14ac:dyDescent="0.25">
      <c r="A12361" t="s">
        <v>16</v>
      </c>
      <c r="B12361" t="s">
        <v>3221</v>
      </c>
      <c r="C12361">
        <v>18128</v>
      </c>
      <c r="D12361" t="s">
        <v>3127</v>
      </c>
      <c r="E12361" t="s">
        <v>3128</v>
      </c>
      <c r="F12361">
        <v>5669.9</v>
      </c>
      <c r="G12361">
        <v>231218</v>
      </c>
      <c r="H12361">
        <v>4600</v>
      </c>
      <c r="I12361" t="s">
        <v>105</v>
      </c>
      <c r="J12361">
        <v>7030.68</v>
      </c>
      <c r="K12361">
        <v>1360.78</v>
      </c>
      <c r="L12361">
        <v>11301</v>
      </c>
      <c r="M12361" t="s">
        <v>29</v>
      </c>
      <c r="N12361" t="str">
        <f>"29029       "</f>
        <v xml:space="preserve">29029       </v>
      </c>
      <c r="O12361">
        <v>240102</v>
      </c>
    </row>
    <row r="12362" spans="1:16" x14ac:dyDescent="0.25">
      <c r="A12362" t="s">
        <v>16</v>
      </c>
      <c r="B12362" t="s">
        <v>3221</v>
      </c>
      <c r="C12362">
        <v>18172</v>
      </c>
      <c r="D12362" t="s">
        <v>3127</v>
      </c>
      <c r="E12362" t="s">
        <v>3128</v>
      </c>
      <c r="F12362">
        <v>2016.6</v>
      </c>
      <c r="G12362">
        <v>231218</v>
      </c>
      <c r="H12362">
        <v>4600</v>
      </c>
      <c r="I12362" t="s">
        <v>105</v>
      </c>
      <c r="J12362">
        <v>2500.58</v>
      </c>
      <c r="K12362">
        <v>483.98</v>
      </c>
      <c r="L12362">
        <v>11301</v>
      </c>
      <c r="M12362" t="s">
        <v>29</v>
      </c>
      <c r="N12362" t="str">
        <f>"29031       "</f>
        <v xml:space="preserve">29031       </v>
      </c>
      <c r="O12362">
        <v>240102</v>
      </c>
    </row>
    <row r="12363" spans="1:16" x14ac:dyDescent="0.25">
      <c r="A12363" t="s">
        <v>16</v>
      </c>
      <c r="B12363" t="s">
        <v>3221</v>
      </c>
      <c r="C12363">
        <v>13230</v>
      </c>
      <c r="D12363" t="s">
        <v>2646</v>
      </c>
      <c r="F12363">
        <v>721.95</v>
      </c>
      <c r="G12363">
        <v>230906</v>
      </c>
      <c r="H12363">
        <v>4341</v>
      </c>
      <c r="I12363" t="s">
        <v>32</v>
      </c>
      <c r="J12363">
        <v>721.95</v>
      </c>
      <c r="K12363">
        <v>0</v>
      </c>
      <c r="L12363">
        <v>56575</v>
      </c>
      <c r="M12363" t="s">
        <v>95</v>
      </c>
      <c r="N12363" t="str">
        <f>"MAT-67844   "</f>
        <v xml:space="preserve">MAT-67844   </v>
      </c>
      <c r="O12363">
        <v>231006</v>
      </c>
      <c r="P12363" t="s">
        <v>2647</v>
      </c>
    </row>
    <row r="12364" spans="1:16" x14ac:dyDescent="0.25">
      <c r="A12364" t="s">
        <v>16</v>
      </c>
      <c r="B12364" t="s">
        <v>3221</v>
      </c>
      <c r="C12364">
        <v>13230</v>
      </c>
      <c r="D12364" t="s">
        <v>2646</v>
      </c>
      <c r="F12364">
        <v>2464</v>
      </c>
      <c r="G12364">
        <v>230906</v>
      </c>
      <c r="H12364">
        <v>4341</v>
      </c>
      <c r="I12364" t="s">
        <v>32</v>
      </c>
      <c r="J12364">
        <v>2464</v>
      </c>
      <c r="K12364">
        <v>0</v>
      </c>
      <c r="L12364">
        <v>56575</v>
      </c>
      <c r="M12364" t="s">
        <v>95</v>
      </c>
      <c r="N12364" t="str">
        <f>"MAT-67844   "</f>
        <v xml:space="preserve">MAT-67844   </v>
      </c>
      <c r="O12364">
        <v>231006</v>
      </c>
      <c r="P12364" t="s">
        <v>2647</v>
      </c>
    </row>
    <row r="12365" spans="1:16" x14ac:dyDescent="0.25">
      <c r="A12365" t="s">
        <v>16</v>
      </c>
      <c r="B12365" t="s">
        <v>3221</v>
      </c>
      <c r="C12365">
        <v>10664</v>
      </c>
      <c r="D12365" t="s">
        <v>2373</v>
      </c>
      <c r="E12365" t="s">
        <v>2374</v>
      </c>
      <c r="F12365">
        <v>1131</v>
      </c>
      <c r="G12365">
        <v>230811</v>
      </c>
      <c r="H12365">
        <v>4412</v>
      </c>
      <c r="I12365" t="s">
        <v>149</v>
      </c>
      <c r="J12365">
        <v>1131</v>
      </c>
      <c r="K12365">
        <v>0</v>
      </c>
      <c r="L12365">
        <v>49702</v>
      </c>
      <c r="M12365" t="s">
        <v>584</v>
      </c>
      <c r="N12365" t="str">
        <f>"4648        "</f>
        <v xml:space="preserve">4648        </v>
      </c>
      <c r="O12365">
        <v>230821</v>
      </c>
    </row>
    <row r="12366" spans="1:16" x14ac:dyDescent="0.25">
      <c r="A12366" t="s">
        <v>16</v>
      </c>
      <c r="B12366" t="s">
        <v>3221</v>
      </c>
      <c r="C12366">
        <v>10376</v>
      </c>
      <c r="D12366" t="s">
        <v>2373</v>
      </c>
      <c r="E12366" t="s">
        <v>2374</v>
      </c>
      <c r="F12366">
        <v>798.39</v>
      </c>
      <c r="G12366">
        <v>230811</v>
      </c>
      <c r="H12366">
        <v>4420</v>
      </c>
      <c r="I12366" t="s">
        <v>132</v>
      </c>
      <c r="J12366">
        <v>990</v>
      </c>
      <c r="K12366">
        <v>191.61</v>
      </c>
      <c r="L12366">
        <v>11605</v>
      </c>
      <c r="M12366" t="s">
        <v>106</v>
      </c>
      <c r="N12366" t="str">
        <f>"4643        "</f>
        <v xml:space="preserve">4643        </v>
      </c>
      <c r="O12366">
        <v>230815</v>
      </c>
    </row>
    <row r="12367" spans="1:16" x14ac:dyDescent="0.25">
      <c r="A12367" t="s">
        <v>16</v>
      </c>
      <c r="B12367" t="s">
        <v>3221</v>
      </c>
      <c r="C12367">
        <v>10376</v>
      </c>
      <c r="D12367" t="s">
        <v>2373</v>
      </c>
      <c r="E12367" t="s">
        <v>2374</v>
      </c>
      <c r="F12367">
        <v>4000</v>
      </c>
      <c r="G12367">
        <v>230811</v>
      </c>
      <c r="H12367">
        <v>4420</v>
      </c>
      <c r="I12367" t="s">
        <v>132</v>
      </c>
      <c r="J12367">
        <v>4000</v>
      </c>
      <c r="K12367">
        <v>0</v>
      </c>
      <c r="L12367">
        <v>11605</v>
      </c>
      <c r="M12367" t="s">
        <v>106</v>
      </c>
      <c r="N12367" t="str">
        <f>"4643        "</f>
        <v xml:space="preserve">4643        </v>
      </c>
      <c r="O12367">
        <v>230815</v>
      </c>
    </row>
    <row r="12368" spans="1:16" x14ac:dyDescent="0.25">
      <c r="A12368" t="s">
        <v>16</v>
      </c>
      <c r="B12368" t="s">
        <v>3221</v>
      </c>
      <c r="C12368">
        <v>15868</v>
      </c>
      <c r="D12368" t="s">
        <v>2373</v>
      </c>
      <c r="E12368" t="s">
        <v>2374</v>
      </c>
      <c r="F12368">
        <v>4227.2700000000004</v>
      </c>
      <c r="G12368">
        <v>231117</v>
      </c>
      <c r="H12368">
        <v>4420</v>
      </c>
      <c r="I12368" t="s">
        <v>132</v>
      </c>
      <c r="J12368">
        <v>4650</v>
      </c>
      <c r="K12368">
        <v>422.73</v>
      </c>
      <c r="L12368">
        <v>49702</v>
      </c>
      <c r="M12368" t="s">
        <v>584</v>
      </c>
      <c r="N12368" t="str">
        <f>"14002       "</f>
        <v xml:space="preserve">14002       </v>
      </c>
      <c r="O12368">
        <v>231120</v>
      </c>
    </row>
    <row r="12369" spans="1:15" x14ac:dyDescent="0.25">
      <c r="A12369" t="s">
        <v>16</v>
      </c>
      <c r="B12369" t="s">
        <v>3221</v>
      </c>
      <c r="C12369">
        <v>15908</v>
      </c>
      <c r="D12369" t="s">
        <v>2373</v>
      </c>
      <c r="E12369" t="s">
        <v>2374</v>
      </c>
      <c r="F12369">
        <v>727.27</v>
      </c>
      <c r="G12369">
        <v>231114</v>
      </c>
      <c r="H12369">
        <v>4420</v>
      </c>
      <c r="I12369" t="s">
        <v>132</v>
      </c>
      <c r="J12369">
        <v>800</v>
      </c>
      <c r="K12369">
        <v>72.73</v>
      </c>
      <c r="L12369">
        <v>43222</v>
      </c>
      <c r="M12369" t="s">
        <v>507</v>
      </c>
      <c r="N12369" t="str">
        <f>"13955       "</f>
        <v xml:space="preserve">13955       </v>
      </c>
      <c r="O12369">
        <v>231122</v>
      </c>
    </row>
    <row r="12370" spans="1:15" x14ac:dyDescent="0.25">
      <c r="A12370" t="s">
        <v>16</v>
      </c>
      <c r="B12370" t="s">
        <v>3221</v>
      </c>
      <c r="C12370">
        <v>17658</v>
      </c>
      <c r="D12370" t="s">
        <v>2373</v>
      </c>
      <c r="E12370" t="s">
        <v>2374</v>
      </c>
      <c r="F12370">
        <v>245.45</v>
      </c>
      <c r="G12370">
        <v>231214</v>
      </c>
      <c r="H12370">
        <v>4420</v>
      </c>
      <c r="I12370" t="s">
        <v>132</v>
      </c>
      <c r="J12370">
        <v>270</v>
      </c>
      <c r="K12370">
        <v>24.55</v>
      </c>
      <c r="L12370">
        <v>49702</v>
      </c>
      <c r="M12370" t="s">
        <v>584</v>
      </c>
      <c r="N12370" t="str">
        <f>"14290       "</f>
        <v xml:space="preserve">14290       </v>
      </c>
      <c r="O12370">
        <v>231218</v>
      </c>
    </row>
    <row r="12371" spans="1:15" x14ac:dyDescent="0.25">
      <c r="A12371" t="s">
        <v>16</v>
      </c>
      <c r="B12371" t="s">
        <v>3221</v>
      </c>
      <c r="C12371">
        <v>17660</v>
      </c>
      <c r="D12371" t="s">
        <v>2373</v>
      </c>
      <c r="E12371" t="s">
        <v>2374</v>
      </c>
      <c r="F12371">
        <v>381.82</v>
      </c>
      <c r="G12371">
        <v>231214</v>
      </c>
      <c r="H12371">
        <v>4420</v>
      </c>
      <c r="I12371" t="s">
        <v>132</v>
      </c>
      <c r="J12371">
        <v>420</v>
      </c>
      <c r="K12371">
        <v>38.18</v>
      </c>
      <c r="L12371">
        <v>41126</v>
      </c>
      <c r="M12371" t="s">
        <v>761</v>
      </c>
      <c r="N12371" t="str">
        <f>"14295       "</f>
        <v xml:space="preserve">14295       </v>
      </c>
      <c r="O12371">
        <v>231219</v>
      </c>
    </row>
    <row r="12372" spans="1:15" x14ac:dyDescent="0.25">
      <c r="A12372" t="s">
        <v>16</v>
      </c>
      <c r="B12372" t="s">
        <v>3221</v>
      </c>
      <c r="C12372">
        <v>111</v>
      </c>
      <c r="D12372" t="s">
        <v>130</v>
      </c>
      <c r="E12372" t="s">
        <v>131</v>
      </c>
      <c r="F12372">
        <v>46.61</v>
      </c>
      <c r="G12372">
        <v>221229</v>
      </c>
      <c r="H12372">
        <v>4412</v>
      </c>
      <c r="I12372" t="s">
        <v>149</v>
      </c>
      <c r="J12372">
        <v>57.8</v>
      </c>
      <c r="K12372">
        <v>11.19</v>
      </c>
      <c r="L12372">
        <v>56524</v>
      </c>
      <c r="M12372" t="s">
        <v>150</v>
      </c>
      <c r="N12372" t="str">
        <f>"10102041    "</f>
        <v xml:space="preserve">10102041    </v>
      </c>
      <c r="O12372">
        <v>230111</v>
      </c>
    </row>
    <row r="12373" spans="1:15" x14ac:dyDescent="0.25">
      <c r="A12373" t="s">
        <v>16</v>
      </c>
      <c r="B12373" t="s">
        <v>3221</v>
      </c>
      <c r="C12373">
        <v>111</v>
      </c>
      <c r="D12373" t="s">
        <v>130</v>
      </c>
      <c r="E12373" t="s">
        <v>131</v>
      </c>
      <c r="F12373">
        <v>520.20000000000005</v>
      </c>
      <c r="G12373">
        <v>221229</v>
      </c>
      <c r="H12373">
        <v>4412</v>
      </c>
      <c r="I12373" t="s">
        <v>149</v>
      </c>
      <c r="J12373">
        <v>520.20000000000005</v>
      </c>
      <c r="K12373">
        <v>0</v>
      </c>
      <c r="L12373">
        <v>56524</v>
      </c>
      <c r="M12373" t="s">
        <v>150</v>
      </c>
      <c r="N12373" t="str">
        <f>"10102041    "</f>
        <v xml:space="preserve">10102041    </v>
      </c>
      <c r="O12373">
        <v>230111</v>
      </c>
    </row>
    <row r="12374" spans="1:15" x14ac:dyDescent="0.25">
      <c r="A12374" t="s">
        <v>16</v>
      </c>
      <c r="B12374" t="s">
        <v>3221</v>
      </c>
      <c r="C12374">
        <v>1890</v>
      </c>
      <c r="D12374" t="s">
        <v>130</v>
      </c>
      <c r="E12374" t="s">
        <v>131</v>
      </c>
      <c r="F12374">
        <v>17.34</v>
      </c>
      <c r="G12374">
        <v>230213</v>
      </c>
      <c r="H12374">
        <v>4412</v>
      </c>
      <c r="I12374" t="s">
        <v>149</v>
      </c>
      <c r="J12374">
        <v>21.5</v>
      </c>
      <c r="K12374">
        <v>4.16</v>
      </c>
      <c r="L12374">
        <v>17534</v>
      </c>
      <c r="M12374" t="s">
        <v>440</v>
      </c>
      <c r="N12374" t="str">
        <f>"10109467    "</f>
        <v xml:space="preserve">10109467    </v>
      </c>
      <c r="O12374">
        <v>230215</v>
      </c>
    </row>
    <row r="12375" spans="1:15" x14ac:dyDescent="0.25">
      <c r="A12375" t="s">
        <v>16</v>
      </c>
      <c r="B12375" t="s">
        <v>3221</v>
      </c>
      <c r="C12375">
        <v>1890</v>
      </c>
      <c r="D12375" t="s">
        <v>130</v>
      </c>
      <c r="E12375" t="s">
        <v>131</v>
      </c>
      <c r="F12375">
        <v>193.5</v>
      </c>
      <c r="G12375">
        <v>230213</v>
      </c>
      <c r="H12375">
        <v>4412</v>
      </c>
      <c r="I12375" t="s">
        <v>149</v>
      </c>
      <c r="J12375">
        <v>193.5</v>
      </c>
      <c r="K12375">
        <v>0</v>
      </c>
      <c r="L12375">
        <v>17534</v>
      </c>
      <c r="M12375" t="s">
        <v>440</v>
      </c>
      <c r="N12375" t="str">
        <f>"10109467    "</f>
        <v xml:space="preserve">10109467    </v>
      </c>
      <c r="O12375">
        <v>230215</v>
      </c>
    </row>
    <row r="12376" spans="1:15" x14ac:dyDescent="0.25">
      <c r="A12376" t="s">
        <v>16</v>
      </c>
      <c r="B12376" t="s">
        <v>3221</v>
      </c>
      <c r="C12376">
        <v>1890</v>
      </c>
      <c r="D12376" t="s">
        <v>130</v>
      </c>
      <c r="E12376" t="s">
        <v>131</v>
      </c>
      <c r="F12376">
        <v>17.34</v>
      </c>
      <c r="G12376">
        <v>230213</v>
      </c>
      <c r="H12376">
        <v>4412</v>
      </c>
      <c r="I12376" t="s">
        <v>149</v>
      </c>
      <c r="J12376">
        <v>21.5</v>
      </c>
      <c r="K12376">
        <v>4.16</v>
      </c>
      <c r="L12376">
        <v>17535</v>
      </c>
      <c r="M12376" t="s">
        <v>357</v>
      </c>
      <c r="N12376" t="str">
        <f>"10109467    "</f>
        <v xml:space="preserve">10109467    </v>
      </c>
      <c r="O12376">
        <v>230215</v>
      </c>
    </row>
    <row r="12377" spans="1:15" x14ac:dyDescent="0.25">
      <c r="A12377" t="s">
        <v>16</v>
      </c>
      <c r="B12377" t="s">
        <v>3221</v>
      </c>
      <c r="C12377">
        <v>1890</v>
      </c>
      <c r="D12377" t="s">
        <v>130</v>
      </c>
      <c r="E12377" t="s">
        <v>131</v>
      </c>
      <c r="F12377">
        <v>193.5</v>
      </c>
      <c r="G12377">
        <v>230213</v>
      </c>
      <c r="H12377">
        <v>4412</v>
      </c>
      <c r="I12377" t="s">
        <v>149</v>
      </c>
      <c r="J12377">
        <v>193.5</v>
      </c>
      <c r="K12377">
        <v>0</v>
      </c>
      <c r="L12377">
        <v>17535</v>
      </c>
      <c r="M12377" t="s">
        <v>357</v>
      </c>
      <c r="N12377" t="str">
        <f>"10109467    "</f>
        <v xml:space="preserve">10109467    </v>
      </c>
      <c r="O12377">
        <v>230215</v>
      </c>
    </row>
    <row r="12378" spans="1:15" x14ac:dyDescent="0.25">
      <c r="A12378" t="s">
        <v>16</v>
      </c>
      <c r="B12378" t="s">
        <v>3221</v>
      </c>
      <c r="C12378">
        <v>105</v>
      </c>
      <c r="D12378" t="s">
        <v>130</v>
      </c>
      <c r="E12378" t="s">
        <v>131</v>
      </c>
      <c r="F12378">
        <v>563</v>
      </c>
      <c r="G12378">
        <v>230110</v>
      </c>
      <c r="H12378">
        <v>4420</v>
      </c>
      <c r="I12378" t="s">
        <v>132</v>
      </c>
      <c r="J12378">
        <v>563</v>
      </c>
      <c r="K12378">
        <v>0</v>
      </c>
      <c r="L12378">
        <v>17521</v>
      </c>
      <c r="M12378" t="s">
        <v>133</v>
      </c>
      <c r="N12378" t="str">
        <f t="shared" ref="N12378:N12384" si="178">"10102859    "</f>
        <v xml:space="preserve">10102859    </v>
      </c>
      <c r="O12378">
        <v>230111</v>
      </c>
    </row>
    <row r="12379" spans="1:15" x14ac:dyDescent="0.25">
      <c r="A12379" t="s">
        <v>16</v>
      </c>
      <c r="B12379" t="s">
        <v>3221</v>
      </c>
      <c r="C12379">
        <v>105</v>
      </c>
      <c r="D12379" t="s">
        <v>130</v>
      </c>
      <c r="E12379" t="s">
        <v>131</v>
      </c>
      <c r="F12379">
        <v>844.5</v>
      </c>
      <c r="G12379">
        <v>230110</v>
      </c>
      <c r="H12379">
        <v>4420</v>
      </c>
      <c r="I12379" t="s">
        <v>132</v>
      </c>
      <c r="J12379">
        <v>844.5</v>
      </c>
      <c r="K12379">
        <v>0</v>
      </c>
      <c r="L12379">
        <v>17523</v>
      </c>
      <c r="M12379" t="s">
        <v>134</v>
      </c>
      <c r="N12379" t="str">
        <f t="shared" si="178"/>
        <v xml:space="preserve">10102859    </v>
      </c>
      <c r="O12379">
        <v>230111</v>
      </c>
    </row>
    <row r="12380" spans="1:15" x14ac:dyDescent="0.25">
      <c r="A12380" t="s">
        <v>16</v>
      </c>
      <c r="B12380" t="s">
        <v>3221</v>
      </c>
      <c r="C12380">
        <v>105</v>
      </c>
      <c r="D12380" t="s">
        <v>130</v>
      </c>
      <c r="E12380" t="s">
        <v>131</v>
      </c>
      <c r="F12380">
        <v>281.5</v>
      </c>
      <c r="G12380">
        <v>230110</v>
      </c>
      <c r="H12380">
        <v>4420</v>
      </c>
      <c r="I12380" t="s">
        <v>132</v>
      </c>
      <c r="J12380">
        <v>281.5</v>
      </c>
      <c r="K12380">
        <v>0</v>
      </c>
      <c r="L12380">
        <v>17525</v>
      </c>
      <c r="M12380" t="s">
        <v>135</v>
      </c>
      <c r="N12380" t="str">
        <f t="shared" si="178"/>
        <v xml:space="preserve">10102859    </v>
      </c>
      <c r="O12380">
        <v>230111</v>
      </c>
    </row>
    <row r="12381" spans="1:15" x14ac:dyDescent="0.25">
      <c r="A12381" t="s">
        <v>16</v>
      </c>
      <c r="B12381" t="s">
        <v>3221</v>
      </c>
      <c r="C12381">
        <v>105</v>
      </c>
      <c r="D12381" t="s">
        <v>130</v>
      </c>
      <c r="E12381" t="s">
        <v>131</v>
      </c>
      <c r="F12381">
        <v>281.5</v>
      </c>
      <c r="G12381">
        <v>230110</v>
      </c>
      <c r="H12381">
        <v>4420</v>
      </c>
      <c r="I12381" t="s">
        <v>132</v>
      </c>
      <c r="J12381">
        <v>281.5</v>
      </c>
      <c r="K12381">
        <v>0</v>
      </c>
      <c r="L12381">
        <v>17531</v>
      </c>
      <c r="M12381" t="s">
        <v>136</v>
      </c>
      <c r="N12381" t="str">
        <f t="shared" si="178"/>
        <v xml:space="preserve">10102859    </v>
      </c>
      <c r="O12381">
        <v>230111</v>
      </c>
    </row>
    <row r="12382" spans="1:15" x14ac:dyDescent="0.25">
      <c r="A12382" t="s">
        <v>16</v>
      </c>
      <c r="B12382" t="s">
        <v>3221</v>
      </c>
      <c r="C12382">
        <v>105</v>
      </c>
      <c r="D12382" t="s">
        <v>130</v>
      </c>
      <c r="E12382" t="s">
        <v>131</v>
      </c>
      <c r="F12382">
        <v>231.21</v>
      </c>
      <c r="G12382">
        <v>230110</v>
      </c>
      <c r="H12382">
        <v>4420</v>
      </c>
      <c r="I12382" t="s">
        <v>132</v>
      </c>
      <c r="J12382">
        <v>286.7</v>
      </c>
      <c r="K12382">
        <v>55.49</v>
      </c>
      <c r="L12382">
        <v>17918</v>
      </c>
      <c r="M12382" t="s">
        <v>137</v>
      </c>
      <c r="N12382" t="str">
        <f t="shared" si="178"/>
        <v xml:space="preserve">10102859    </v>
      </c>
      <c r="O12382">
        <v>230111</v>
      </c>
    </row>
    <row r="12383" spans="1:15" x14ac:dyDescent="0.25">
      <c r="A12383" t="s">
        <v>16</v>
      </c>
      <c r="B12383" t="s">
        <v>3221</v>
      </c>
      <c r="C12383">
        <v>105</v>
      </c>
      <c r="D12383" t="s">
        <v>130</v>
      </c>
      <c r="E12383" t="s">
        <v>131</v>
      </c>
      <c r="F12383">
        <v>328.3</v>
      </c>
      <c r="G12383">
        <v>230110</v>
      </c>
      <c r="H12383">
        <v>4420</v>
      </c>
      <c r="I12383" t="s">
        <v>132</v>
      </c>
      <c r="J12383">
        <v>328.3</v>
      </c>
      <c r="K12383">
        <v>0</v>
      </c>
      <c r="L12383">
        <v>17918</v>
      </c>
      <c r="M12383" t="s">
        <v>137</v>
      </c>
      <c r="N12383" t="str">
        <f t="shared" si="178"/>
        <v xml:space="preserve">10102859    </v>
      </c>
      <c r="O12383">
        <v>230111</v>
      </c>
    </row>
    <row r="12384" spans="1:15" x14ac:dyDescent="0.25">
      <c r="A12384" t="s">
        <v>16</v>
      </c>
      <c r="B12384" t="s">
        <v>3221</v>
      </c>
      <c r="C12384">
        <v>105</v>
      </c>
      <c r="D12384" t="s">
        <v>130</v>
      </c>
      <c r="E12384" t="s">
        <v>131</v>
      </c>
      <c r="F12384">
        <v>281.5</v>
      </c>
      <c r="G12384">
        <v>230110</v>
      </c>
      <c r="H12384">
        <v>4420</v>
      </c>
      <c r="I12384" t="s">
        <v>132</v>
      </c>
      <c r="J12384">
        <v>281.5</v>
      </c>
      <c r="K12384">
        <v>0</v>
      </c>
      <c r="L12384">
        <v>17971</v>
      </c>
      <c r="M12384" t="s">
        <v>138</v>
      </c>
      <c r="N12384" t="str">
        <f t="shared" si="178"/>
        <v xml:space="preserve">10102859    </v>
      </c>
      <c r="O12384">
        <v>230111</v>
      </c>
    </row>
    <row r="12385" spans="1:15" x14ac:dyDescent="0.25">
      <c r="A12385" t="s">
        <v>16</v>
      </c>
      <c r="B12385" t="s">
        <v>3221</v>
      </c>
      <c r="C12385">
        <v>2124</v>
      </c>
      <c r="D12385" t="s">
        <v>130</v>
      </c>
      <c r="E12385" t="s">
        <v>131</v>
      </c>
      <c r="F12385">
        <v>1200</v>
      </c>
      <c r="G12385">
        <v>230217</v>
      </c>
      <c r="H12385">
        <v>4420</v>
      </c>
      <c r="I12385" t="s">
        <v>132</v>
      </c>
      <c r="J12385">
        <v>1200</v>
      </c>
      <c r="K12385">
        <v>0</v>
      </c>
      <c r="L12385">
        <v>13401</v>
      </c>
      <c r="M12385" t="s">
        <v>80</v>
      </c>
      <c r="N12385" t="str">
        <f>"10110545    "</f>
        <v xml:space="preserve">10110545    </v>
      </c>
      <c r="O12385">
        <v>230221</v>
      </c>
    </row>
    <row r="12386" spans="1:15" x14ac:dyDescent="0.25">
      <c r="A12386" t="s">
        <v>16</v>
      </c>
      <c r="B12386" t="s">
        <v>3221</v>
      </c>
      <c r="C12386">
        <v>2830</v>
      </c>
      <c r="D12386" t="s">
        <v>130</v>
      </c>
      <c r="E12386" t="s">
        <v>131</v>
      </c>
      <c r="F12386">
        <v>3775.56</v>
      </c>
      <c r="G12386">
        <v>230302</v>
      </c>
      <c r="H12386">
        <v>4420</v>
      </c>
      <c r="I12386" t="s">
        <v>132</v>
      </c>
      <c r="J12386">
        <v>3775.56</v>
      </c>
      <c r="K12386">
        <v>0</v>
      </c>
      <c r="L12386">
        <v>13401</v>
      </c>
      <c r="M12386" t="s">
        <v>80</v>
      </c>
      <c r="N12386" t="str">
        <f>"10112993    "</f>
        <v xml:space="preserve">10112993    </v>
      </c>
      <c r="O12386">
        <v>230308</v>
      </c>
    </row>
    <row r="12387" spans="1:15" x14ac:dyDescent="0.25">
      <c r="A12387" t="s">
        <v>16</v>
      </c>
      <c r="B12387" t="s">
        <v>3221</v>
      </c>
      <c r="C12387">
        <v>10870</v>
      </c>
      <c r="D12387" t="s">
        <v>2429</v>
      </c>
      <c r="E12387" t="s">
        <v>2430</v>
      </c>
      <c r="F12387">
        <v>500</v>
      </c>
      <c r="G12387">
        <v>230822</v>
      </c>
      <c r="H12387">
        <v>4441</v>
      </c>
      <c r="I12387" t="s">
        <v>109</v>
      </c>
      <c r="J12387">
        <v>620</v>
      </c>
      <c r="K12387">
        <v>120</v>
      </c>
      <c r="L12387">
        <v>11801</v>
      </c>
      <c r="M12387" t="s">
        <v>92</v>
      </c>
      <c r="N12387" t="str">
        <f>"1738        "</f>
        <v xml:space="preserve">1738        </v>
      </c>
      <c r="O12387">
        <v>230824</v>
      </c>
    </row>
    <row r="12388" spans="1:15" x14ac:dyDescent="0.25">
      <c r="A12388" t="s">
        <v>16</v>
      </c>
      <c r="B12388" t="s">
        <v>3221</v>
      </c>
      <c r="C12388">
        <v>1725</v>
      </c>
      <c r="D12388" t="s">
        <v>1165</v>
      </c>
      <c r="E12388" t="s">
        <v>1166</v>
      </c>
      <c r="F12388">
        <v>65.239999999999995</v>
      </c>
      <c r="G12388">
        <v>230201</v>
      </c>
      <c r="H12388">
        <v>4520</v>
      </c>
      <c r="I12388" t="s">
        <v>254</v>
      </c>
      <c r="J12388">
        <v>74.37</v>
      </c>
      <c r="K12388">
        <v>9.1300000000000008</v>
      </c>
      <c r="L12388">
        <v>14640</v>
      </c>
      <c r="M12388" t="s">
        <v>229</v>
      </c>
      <c r="N12388" t="str">
        <f>"2303009990  "</f>
        <v xml:space="preserve">2303009990  </v>
      </c>
      <c r="O12388">
        <v>230213</v>
      </c>
    </row>
    <row r="12389" spans="1:15" x14ac:dyDescent="0.25">
      <c r="A12389" t="s">
        <v>16</v>
      </c>
      <c r="B12389" t="s">
        <v>3221</v>
      </c>
      <c r="C12389">
        <v>1725</v>
      </c>
      <c r="D12389" t="s">
        <v>1165</v>
      </c>
      <c r="E12389" t="s">
        <v>1166</v>
      </c>
      <c r="F12389">
        <v>66.849999999999994</v>
      </c>
      <c r="G12389">
        <v>230201</v>
      </c>
      <c r="H12389">
        <v>4520</v>
      </c>
      <c r="I12389" t="s">
        <v>254</v>
      </c>
      <c r="J12389">
        <v>82.9</v>
      </c>
      <c r="K12389">
        <v>16.05</v>
      </c>
      <c r="L12389">
        <v>14640</v>
      </c>
      <c r="M12389" t="s">
        <v>229</v>
      </c>
      <c r="N12389" t="str">
        <f>"2303009990  "</f>
        <v xml:space="preserve">2303009990  </v>
      </c>
      <c r="O12389">
        <v>230213</v>
      </c>
    </row>
    <row r="12390" spans="1:15" x14ac:dyDescent="0.25">
      <c r="A12390" t="s">
        <v>16</v>
      </c>
      <c r="B12390" t="s">
        <v>3221</v>
      </c>
      <c r="C12390">
        <v>3655</v>
      </c>
      <c r="D12390" t="s">
        <v>1165</v>
      </c>
      <c r="E12390" t="s">
        <v>1166</v>
      </c>
      <c r="F12390">
        <v>415.43</v>
      </c>
      <c r="G12390">
        <v>230310</v>
      </c>
      <c r="H12390">
        <v>4520</v>
      </c>
      <c r="I12390" t="s">
        <v>254</v>
      </c>
      <c r="J12390">
        <v>473.59</v>
      </c>
      <c r="K12390">
        <v>58.16</v>
      </c>
      <c r="L12390">
        <v>56563</v>
      </c>
      <c r="M12390" t="s">
        <v>953</v>
      </c>
      <c r="N12390" t="str">
        <f>"2303012479  "</f>
        <v xml:space="preserve">2303012479  </v>
      </c>
      <c r="O12390">
        <v>230320</v>
      </c>
    </row>
    <row r="12391" spans="1:15" x14ac:dyDescent="0.25">
      <c r="A12391" t="s">
        <v>16</v>
      </c>
      <c r="B12391" t="s">
        <v>3221</v>
      </c>
      <c r="C12391">
        <v>10620</v>
      </c>
      <c r="D12391" t="s">
        <v>1165</v>
      </c>
      <c r="E12391" t="s">
        <v>1166</v>
      </c>
      <c r="F12391">
        <v>179.79</v>
      </c>
      <c r="G12391">
        <v>230811</v>
      </c>
      <c r="H12391">
        <v>4520</v>
      </c>
      <c r="I12391" t="s">
        <v>254</v>
      </c>
      <c r="J12391">
        <v>222.94</v>
      </c>
      <c r="K12391">
        <v>43.15</v>
      </c>
      <c r="L12391">
        <v>14640</v>
      </c>
      <c r="M12391" t="s">
        <v>229</v>
      </c>
      <c r="N12391" t="str">
        <f>"2303022156  "</f>
        <v xml:space="preserve">2303022156  </v>
      </c>
      <c r="O12391">
        <v>230821</v>
      </c>
    </row>
    <row r="12392" spans="1:15" x14ac:dyDescent="0.25">
      <c r="A12392" t="s">
        <v>16</v>
      </c>
      <c r="B12392" t="s">
        <v>3221</v>
      </c>
      <c r="C12392">
        <v>11468</v>
      </c>
      <c r="D12392" t="s">
        <v>1165</v>
      </c>
      <c r="E12392" t="s">
        <v>1166</v>
      </c>
      <c r="F12392">
        <v>16.420000000000002</v>
      </c>
      <c r="G12392">
        <v>230830</v>
      </c>
      <c r="H12392">
        <v>4520</v>
      </c>
      <c r="I12392" t="s">
        <v>254</v>
      </c>
      <c r="J12392">
        <v>20.36</v>
      </c>
      <c r="K12392">
        <v>3.94</v>
      </c>
      <c r="L12392">
        <v>14640</v>
      </c>
      <c r="M12392" t="s">
        <v>229</v>
      </c>
      <c r="N12392" t="str">
        <f>"2303023349  "</f>
        <v xml:space="preserve">2303023349  </v>
      </c>
      <c r="O12392">
        <v>230906</v>
      </c>
    </row>
    <row r="12393" spans="1:15" x14ac:dyDescent="0.25">
      <c r="A12393" t="s">
        <v>16</v>
      </c>
      <c r="B12393" t="s">
        <v>3221</v>
      </c>
      <c r="C12393">
        <v>12320</v>
      </c>
      <c r="D12393" t="s">
        <v>1165</v>
      </c>
      <c r="E12393" t="s">
        <v>1166</v>
      </c>
      <c r="F12393">
        <v>425.75</v>
      </c>
      <c r="G12393">
        <v>230913</v>
      </c>
      <c r="H12393">
        <v>4520</v>
      </c>
      <c r="I12393" t="s">
        <v>254</v>
      </c>
      <c r="J12393">
        <v>527.92999999999995</v>
      </c>
      <c r="K12393">
        <v>102.18</v>
      </c>
      <c r="L12393">
        <v>56563</v>
      </c>
      <c r="M12393" t="s">
        <v>953</v>
      </c>
      <c r="N12393" t="str">
        <f>"2403000910  "</f>
        <v xml:space="preserve">2403000910  </v>
      </c>
      <c r="O12393">
        <v>230918</v>
      </c>
    </row>
    <row r="12394" spans="1:15" x14ac:dyDescent="0.25">
      <c r="A12394" t="s">
        <v>16</v>
      </c>
      <c r="B12394" t="s">
        <v>3221</v>
      </c>
      <c r="C12394">
        <v>12320</v>
      </c>
      <c r="D12394" t="s">
        <v>1165</v>
      </c>
      <c r="E12394" t="s">
        <v>1166</v>
      </c>
      <c r="F12394">
        <v>655.43</v>
      </c>
      <c r="G12394">
        <v>230913</v>
      </c>
      <c r="H12394">
        <v>4520</v>
      </c>
      <c r="I12394" t="s">
        <v>254</v>
      </c>
      <c r="J12394">
        <v>747.19</v>
      </c>
      <c r="K12394">
        <v>91.76</v>
      </c>
      <c r="L12394">
        <v>56563</v>
      </c>
      <c r="M12394" t="s">
        <v>953</v>
      </c>
      <c r="N12394" t="str">
        <f>"2403000910  "</f>
        <v xml:space="preserve">2403000910  </v>
      </c>
      <c r="O12394">
        <v>230918</v>
      </c>
    </row>
    <row r="12395" spans="1:15" x14ac:dyDescent="0.25">
      <c r="A12395" t="s">
        <v>16</v>
      </c>
      <c r="B12395" t="s">
        <v>3221</v>
      </c>
      <c r="C12395">
        <v>15549</v>
      </c>
      <c r="D12395" t="s">
        <v>1165</v>
      </c>
      <c r="E12395" t="s">
        <v>1166</v>
      </c>
      <c r="F12395">
        <v>149.54</v>
      </c>
      <c r="G12395">
        <v>231101</v>
      </c>
      <c r="H12395">
        <v>4520</v>
      </c>
      <c r="I12395" t="s">
        <v>254</v>
      </c>
      <c r="J12395">
        <v>170.47</v>
      </c>
      <c r="K12395">
        <v>20.93</v>
      </c>
      <c r="L12395">
        <v>14642</v>
      </c>
      <c r="M12395" t="s">
        <v>863</v>
      </c>
      <c r="N12395" t="str">
        <f>"2403004223  "</f>
        <v xml:space="preserve">2403004223  </v>
      </c>
      <c r="O12395">
        <v>231113</v>
      </c>
    </row>
    <row r="12396" spans="1:15" x14ac:dyDescent="0.25">
      <c r="A12396" t="s">
        <v>16</v>
      </c>
      <c r="B12396" t="s">
        <v>3221</v>
      </c>
      <c r="C12396">
        <v>15549</v>
      </c>
      <c r="D12396" t="s">
        <v>1165</v>
      </c>
      <c r="E12396" t="s">
        <v>1166</v>
      </c>
      <c r="F12396">
        <v>179.4</v>
      </c>
      <c r="G12396">
        <v>231101</v>
      </c>
      <c r="H12396">
        <v>4520</v>
      </c>
      <c r="I12396" t="s">
        <v>254</v>
      </c>
      <c r="J12396">
        <v>222.45</v>
      </c>
      <c r="K12396">
        <v>43.05</v>
      </c>
      <c r="L12396">
        <v>14642</v>
      </c>
      <c r="M12396" t="s">
        <v>863</v>
      </c>
      <c r="N12396" t="str">
        <f>"2403004223  "</f>
        <v xml:space="preserve">2403004223  </v>
      </c>
      <c r="O12396">
        <v>231113</v>
      </c>
    </row>
    <row r="12397" spans="1:15" x14ac:dyDescent="0.25">
      <c r="A12397" t="s">
        <v>16</v>
      </c>
      <c r="B12397" t="s">
        <v>3221</v>
      </c>
      <c r="C12397">
        <v>15787</v>
      </c>
      <c r="D12397" t="s">
        <v>1165</v>
      </c>
      <c r="E12397" t="s">
        <v>1166</v>
      </c>
      <c r="F12397">
        <v>63.52</v>
      </c>
      <c r="G12397">
        <v>231110</v>
      </c>
      <c r="H12397">
        <v>4520</v>
      </c>
      <c r="I12397" t="s">
        <v>254</v>
      </c>
      <c r="J12397">
        <v>72.41</v>
      </c>
      <c r="K12397">
        <v>8.89</v>
      </c>
      <c r="L12397">
        <v>54451</v>
      </c>
      <c r="M12397" t="s">
        <v>158</v>
      </c>
      <c r="N12397" t="str">
        <f>"2403004954  "</f>
        <v xml:space="preserve">2403004954  </v>
      </c>
      <c r="O12397">
        <v>231117</v>
      </c>
    </row>
    <row r="12398" spans="1:15" x14ac:dyDescent="0.25">
      <c r="A12398" t="s">
        <v>16</v>
      </c>
      <c r="B12398" t="s">
        <v>3221</v>
      </c>
      <c r="C12398">
        <v>15788</v>
      </c>
      <c r="D12398" t="s">
        <v>1165</v>
      </c>
      <c r="E12398" t="s">
        <v>1166</v>
      </c>
      <c r="F12398">
        <v>-14.72</v>
      </c>
      <c r="G12398">
        <v>231113</v>
      </c>
      <c r="H12398">
        <v>4520</v>
      </c>
      <c r="I12398" t="s">
        <v>254</v>
      </c>
      <c r="J12398">
        <v>-16.78</v>
      </c>
      <c r="K12398">
        <v>-2.06</v>
      </c>
      <c r="L12398">
        <v>54451</v>
      </c>
      <c r="M12398" t="s">
        <v>158</v>
      </c>
      <c r="N12398" t="str">
        <f>"2403005019  "</f>
        <v xml:space="preserve">2403005019  </v>
      </c>
      <c r="O12398">
        <v>231117</v>
      </c>
    </row>
    <row r="12399" spans="1:15" x14ac:dyDescent="0.25">
      <c r="A12399" t="s">
        <v>16</v>
      </c>
      <c r="B12399" t="s">
        <v>3221</v>
      </c>
      <c r="C12399">
        <v>17113</v>
      </c>
      <c r="D12399" t="s">
        <v>1165</v>
      </c>
      <c r="E12399" t="s">
        <v>1166</v>
      </c>
      <c r="F12399">
        <v>119.55</v>
      </c>
      <c r="G12399">
        <v>231205</v>
      </c>
      <c r="H12399">
        <v>4520</v>
      </c>
      <c r="I12399" t="s">
        <v>254</v>
      </c>
      <c r="J12399">
        <v>148.24</v>
      </c>
      <c r="K12399">
        <v>28.69</v>
      </c>
      <c r="L12399">
        <v>54422</v>
      </c>
      <c r="M12399" t="s">
        <v>234</v>
      </c>
      <c r="N12399" t="str">
        <f>"2403006772  "</f>
        <v xml:space="preserve">2403006772  </v>
      </c>
      <c r="O12399">
        <v>231212</v>
      </c>
    </row>
    <row r="12400" spans="1:15" x14ac:dyDescent="0.25">
      <c r="A12400" t="s">
        <v>16</v>
      </c>
      <c r="B12400" t="s">
        <v>3221</v>
      </c>
      <c r="C12400">
        <v>17113</v>
      </c>
      <c r="D12400" t="s">
        <v>1165</v>
      </c>
      <c r="E12400" t="s">
        <v>1166</v>
      </c>
      <c r="F12400">
        <v>270.56</v>
      </c>
      <c r="G12400">
        <v>231205</v>
      </c>
      <c r="H12400">
        <v>4520</v>
      </c>
      <c r="I12400" t="s">
        <v>254</v>
      </c>
      <c r="J12400">
        <v>308.44</v>
      </c>
      <c r="K12400">
        <v>37.880000000000003</v>
      </c>
      <c r="L12400">
        <v>54422</v>
      </c>
      <c r="M12400" t="s">
        <v>234</v>
      </c>
      <c r="N12400" t="str">
        <f>"2403006772  "</f>
        <v xml:space="preserve">2403006772  </v>
      </c>
      <c r="O12400">
        <v>231212</v>
      </c>
    </row>
    <row r="12401" spans="1:15" x14ac:dyDescent="0.25">
      <c r="A12401" t="s">
        <v>16</v>
      </c>
      <c r="B12401" t="s">
        <v>3221</v>
      </c>
      <c r="C12401">
        <v>17165</v>
      </c>
      <c r="D12401" t="s">
        <v>1165</v>
      </c>
      <c r="E12401" t="s">
        <v>1166</v>
      </c>
      <c r="F12401">
        <v>42.8</v>
      </c>
      <c r="G12401">
        <v>231207</v>
      </c>
      <c r="H12401">
        <v>4520</v>
      </c>
      <c r="I12401" t="s">
        <v>254</v>
      </c>
      <c r="J12401">
        <v>48.79</v>
      </c>
      <c r="K12401">
        <v>5.99</v>
      </c>
      <c r="L12401">
        <v>54451</v>
      </c>
      <c r="M12401" t="s">
        <v>158</v>
      </c>
      <c r="N12401" t="str">
        <f>"2403006926  "</f>
        <v xml:space="preserve">2403006926  </v>
      </c>
      <c r="O12401">
        <v>231212</v>
      </c>
    </row>
    <row r="12402" spans="1:15" x14ac:dyDescent="0.25">
      <c r="A12402" t="s">
        <v>16</v>
      </c>
      <c r="B12402" t="s">
        <v>3221</v>
      </c>
      <c r="C12402">
        <v>3655</v>
      </c>
      <c r="D12402" t="s">
        <v>1165</v>
      </c>
      <c r="E12402" t="s">
        <v>1166</v>
      </c>
      <c r="F12402">
        <v>399.29</v>
      </c>
      <c r="G12402">
        <v>230310</v>
      </c>
      <c r="H12402">
        <v>4600</v>
      </c>
      <c r="I12402" t="s">
        <v>105</v>
      </c>
      <c r="J12402">
        <v>495.12</v>
      </c>
      <c r="K12402">
        <v>95.83</v>
      </c>
      <c r="L12402">
        <v>56563</v>
      </c>
      <c r="M12402" t="s">
        <v>953</v>
      </c>
      <c r="N12402" t="str">
        <f>"2303012479  "</f>
        <v xml:space="preserve">2303012479  </v>
      </c>
      <c r="O12402">
        <v>230320</v>
      </c>
    </row>
    <row r="12403" spans="1:15" x14ac:dyDescent="0.25">
      <c r="A12403" t="s">
        <v>16</v>
      </c>
      <c r="B12403" t="s">
        <v>3221</v>
      </c>
      <c r="C12403">
        <v>17957</v>
      </c>
      <c r="D12403" t="s">
        <v>1165</v>
      </c>
      <c r="E12403" t="s">
        <v>1166</v>
      </c>
      <c r="F12403">
        <v>35.07</v>
      </c>
      <c r="G12403">
        <v>231215</v>
      </c>
      <c r="H12403">
        <v>4600</v>
      </c>
      <c r="I12403" t="s">
        <v>105</v>
      </c>
      <c r="J12403">
        <v>43.49</v>
      </c>
      <c r="K12403">
        <v>8.42</v>
      </c>
      <c r="L12403">
        <v>54451</v>
      </c>
      <c r="M12403" t="s">
        <v>158</v>
      </c>
      <c r="N12403" t="str">
        <f>"2403007711  "</f>
        <v xml:space="preserve">2403007711  </v>
      </c>
      <c r="O12403">
        <v>231228</v>
      </c>
    </row>
    <row r="12404" spans="1:15" x14ac:dyDescent="0.25">
      <c r="A12404" t="s">
        <v>16</v>
      </c>
      <c r="B12404" t="s">
        <v>3221</v>
      </c>
      <c r="C12404">
        <v>1367</v>
      </c>
      <c r="D12404" t="s">
        <v>1023</v>
      </c>
      <c r="E12404" t="s">
        <v>1024</v>
      </c>
      <c r="F12404">
        <v>421.5</v>
      </c>
      <c r="G12404">
        <v>230206</v>
      </c>
      <c r="H12404">
        <v>4520</v>
      </c>
      <c r="I12404" t="s">
        <v>254</v>
      </c>
      <c r="J12404">
        <v>480.51</v>
      </c>
      <c r="K12404">
        <v>59.01</v>
      </c>
      <c r="L12404">
        <v>49112</v>
      </c>
      <c r="M12404" t="s">
        <v>233</v>
      </c>
      <c r="N12404" t="str">
        <f>"1406        "</f>
        <v xml:space="preserve">1406        </v>
      </c>
      <c r="O12404">
        <v>230208</v>
      </c>
    </row>
    <row r="12405" spans="1:15" x14ac:dyDescent="0.25">
      <c r="A12405" t="s">
        <v>16</v>
      </c>
      <c r="B12405" t="s">
        <v>3221</v>
      </c>
      <c r="C12405">
        <v>3464</v>
      </c>
      <c r="D12405" t="s">
        <v>1023</v>
      </c>
      <c r="E12405" t="s">
        <v>1024</v>
      </c>
      <c r="F12405">
        <v>453.8</v>
      </c>
      <c r="G12405">
        <v>230304</v>
      </c>
      <c r="H12405">
        <v>4520</v>
      </c>
      <c r="I12405" t="s">
        <v>254</v>
      </c>
      <c r="J12405">
        <v>517.33000000000004</v>
      </c>
      <c r="K12405">
        <v>63.53</v>
      </c>
      <c r="L12405">
        <v>49112</v>
      </c>
      <c r="M12405" t="s">
        <v>233</v>
      </c>
      <c r="N12405" t="str">
        <f>"1439        "</f>
        <v xml:space="preserve">1439        </v>
      </c>
      <c r="O12405">
        <v>230316</v>
      </c>
    </row>
    <row r="12406" spans="1:15" x14ac:dyDescent="0.25">
      <c r="A12406" t="s">
        <v>16</v>
      </c>
      <c r="B12406" t="s">
        <v>3221</v>
      </c>
      <c r="C12406">
        <v>4993</v>
      </c>
      <c r="D12406" t="s">
        <v>1023</v>
      </c>
      <c r="E12406" t="s">
        <v>1024</v>
      </c>
      <c r="F12406">
        <v>481.09</v>
      </c>
      <c r="G12406">
        <v>230404</v>
      </c>
      <c r="H12406">
        <v>4520</v>
      </c>
      <c r="I12406" t="s">
        <v>254</v>
      </c>
      <c r="J12406">
        <v>548.44000000000005</v>
      </c>
      <c r="K12406">
        <v>67.349999999999994</v>
      </c>
      <c r="L12406">
        <v>49112</v>
      </c>
      <c r="M12406" t="s">
        <v>233</v>
      </c>
      <c r="N12406" t="str">
        <f>"1457        "</f>
        <v xml:space="preserve">1457        </v>
      </c>
      <c r="O12406">
        <v>230417</v>
      </c>
    </row>
    <row r="12407" spans="1:15" x14ac:dyDescent="0.25">
      <c r="A12407" t="s">
        <v>16</v>
      </c>
      <c r="B12407" t="s">
        <v>3221</v>
      </c>
      <c r="C12407">
        <v>6120</v>
      </c>
      <c r="D12407" t="s">
        <v>1023</v>
      </c>
      <c r="E12407" t="s">
        <v>1024</v>
      </c>
      <c r="F12407">
        <v>342.11</v>
      </c>
      <c r="G12407">
        <v>230430</v>
      </c>
      <c r="H12407">
        <v>4520</v>
      </c>
      <c r="I12407" t="s">
        <v>254</v>
      </c>
      <c r="J12407">
        <v>390.01</v>
      </c>
      <c r="K12407">
        <v>47.9</v>
      </c>
      <c r="L12407">
        <v>49112</v>
      </c>
      <c r="M12407" t="s">
        <v>233</v>
      </c>
      <c r="N12407" t="str">
        <f>"1482        "</f>
        <v xml:space="preserve">1482        </v>
      </c>
      <c r="O12407">
        <v>230508</v>
      </c>
    </row>
    <row r="12408" spans="1:15" x14ac:dyDescent="0.25">
      <c r="A12408" t="s">
        <v>16</v>
      </c>
      <c r="B12408" t="s">
        <v>3221</v>
      </c>
      <c r="C12408">
        <v>8329</v>
      </c>
      <c r="D12408" t="s">
        <v>1023</v>
      </c>
      <c r="E12408" t="s">
        <v>1024</v>
      </c>
      <c r="F12408">
        <v>169.44</v>
      </c>
      <c r="G12408">
        <v>230604</v>
      </c>
      <c r="H12408">
        <v>4520</v>
      </c>
      <c r="I12408" t="s">
        <v>254</v>
      </c>
      <c r="J12408">
        <v>193.16</v>
      </c>
      <c r="K12408">
        <v>23.72</v>
      </c>
      <c r="L12408">
        <v>49112</v>
      </c>
      <c r="M12408" t="s">
        <v>233</v>
      </c>
      <c r="N12408" t="str">
        <f>"1511        "</f>
        <v xml:space="preserve">1511        </v>
      </c>
      <c r="O12408">
        <v>230608</v>
      </c>
    </row>
    <row r="12409" spans="1:15" x14ac:dyDescent="0.25">
      <c r="A12409" t="s">
        <v>16</v>
      </c>
      <c r="B12409" t="s">
        <v>3221</v>
      </c>
      <c r="C12409">
        <v>12245</v>
      </c>
      <c r="D12409" t="s">
        <v>1023</v>
      </c>
      <c r="E12409" t="s">
        <v>1024</v>
      </c>
      <c r="F12409">
        <v>447.52</v>
      </c>
      <c r="G12409">
        <v>230905</v>
      </c>
      <c r="H12409">
        <v>4520</v>
      </c>
      <c r="I12409" t="s">
        <v>254</v>
      </c>
      <c r="J12409">
        <v>510.17</v>
      </c>
      <c r="K12409">
        <v>62.65</v>
      </c>
      <c r="L12409">
        <v>49112</v>
      </c>
      <c r="M12409" t="s">
        <v>233</v>
      </c>
      <c r="N12409" t="str">
        <f>"1562        "</f>
        <v xml:space="preserve">1562        </v>
      </c>
      <c r="O12409">
        <v>230918</v>
      </c>
    </row>
    <row r="12410" spans="1:15" x14ac:dyDescent="0.25">
      <c r="A12410" t="s">
        <v>16</v>
      </c>
      <c r="B12410" t="s">
        <v>3221</v>
      </c>
      <c r="C12410">
        <v>13648</v>
      </c>
      <c r="D12410" t="s">
        <v>1023</v>
      </c>
      <c r="E12410" t="s">
        <v>1024</v>
      </c>
      <c r="F12410">
        <v>478.54</v>
      </c>
      <c r="G12410">
        <v>231005</v>
      </c>
      <c r="H12410">
        <v>4520</v>
      </c>
      <c r="I12410" t="s">
        <v>254</v>
      </c>
      <c r="J12410">
        <v>545.53</v>
      </c>
      <c r="K12410">
        <v>66.989999999999995</v>
      </c>
      <c r="L12410">
        <v>49112</v>
      </c>
      <c r="M12410" t="s">
        <v>233</v>
      </c>
      <c r="N12410" t="str">
        <f>"1590        "</f>
        <v xml:space="preserve">1590        </v>
      </c>
      <c r="O12410">
        <v>231012</v>
      </c>
    </row>
    <row r="12411" spans="1:15" x14ac:dyDescent="0.25">
      <c r="A12411" t="s">
        <v>16</v>
      </c>
      <c r="B12411" t="s">
        <v>3221</v>
      </c>
      <c r="C12411">
        <v>15077</v>
      </c>
      <c r="D12411" t="s">
        <v>1023</v>
      </c>
      <c r="E12411" t="s">
        <v>1024</v>
      </c>
      <c r="F12411">
        <v>372.85</v>
      </c>
      <c r="G12411">
        <v>231105</v>
      </c>
      <c r="H12411">
        <v>4520</v>
      </c>
      <c r="I12411" t="s">
        <v>254</v>
      </c>
      <c r="J12411">
        <v>425.05</v>
      </c>
      <c r="K12411">
        <v>52.2</v>
      </c>
      <c r="L12411">
        <v>49112</v>
      </c>
      <c r="M12411" t="s">
        <v>233</v>
      </c>
      <c r="N12411" t="str">
        <f>"1599        "</f>
        <v xml:space="preserve">1599        </v>
      </c>
      <c r="O12411">
        <v>231108</v>
      </c>
    </row>
    <row r="12412" spans="1:15" x14ac:dyDescent="0.25">
      <c r="A12412" t="s">
        <v>16</v>
      </c>
      <c r="B12412" t="s">
        <v>3221</v>
      </c>
      <c r="C12412">
        <v>16855</v>
      </c>
      <c r="D12412" t="s">
        <v>1023</v>
      </c>
      <c r="E12412" t="s">
        <v>1024</v>
      </c>
      <c r="F12412">
        <v>600.83000000000004</v>
      </c>
      <c r="G12412">
        <v>231201</v>
      </c>
      <c r="H12412">
        <v>4520</v>
      </c>
      <c r="I12412" t="s">
        <v>254</v>
      </c>
      <c r="J12412">
        <v>684.95</v>
      </c>
      <c r="K12412">
        <v>84.12</v>
      </c>
      <c r="L12412">
        <v>49112</v>
      </c>
      <c r="M12412" t="s">
        <v>233</v>
      </c>
      <c r="N12412" t="str">
        <f>"1620        "</f>
        <v xml:space="preserve">1620        </v>
      </c>
      <c r="O12412">
        <v>231211</v>
      </c>
    </row>
    <row r="12413" spans="1:15" x14ac:dyDescent="0.25">
      <c r="A12413" t="s">
        <v>16</v>
      </c>
      <c r="B12413" t="s">
        <v>3221</v>
      </c>
      <c r="C12413">
        <v>18913</v>
      </c>
      <c r="D12413" t="s">
        <v>1023</v>
      </c>
      <c r="E12413" t="s">
        <v>1024</v>
      </c>
      <c r="F12413">
        <v>298.43</v>
      </c>
      <c r="G12413">
        <v>240102</v>
      </c>
      <c r="H12413">
        <v>4520</v>
      </c>
      <c r="I12413" t="s">
        <v>254</v>
      </c>
      <c r="J12413">
        <v>340.21</v>
      </c>
      <c r="K12413">
        <v>41.78</v>
      </c>
      <c r="L12413">
        <v>49112</v>
      </c>
      <c r="M12413" t="s">
        <v>233</v>
      </c>
      <c r="N12413" t="str">
        <f>"642/31122023"</f>
        <v>642/31122023</v>
      </c>
      <c r="O12413">
        <v>240111</v>
      </c>
    </row>
    <row r="12414" spans="1:15" x14ac:dyDescent="0.25">
      <c r="A12414" t="s">
        <v>16</v>
      </c>
      <c r="B12414" t="s">
        <v>3221</v>
      </c>
      <c r="C12414">
        <v>10249</v>
      </c>
      <c r="D12414" t="s">
        <v>1039</v>
      </c>
      <c r="E12414" t="s">
        <v>1040</v>
      </c>
      <c r="F12414">
        <v>119</v>
      </c>
      <c r="G12414">
        <v>230807</v>
      </c>
      <c r="H12414">
        <v>4346</v>
      </c>
      <c r="I12414" t="s">
        <v>197</v>
      </c>
      <c r="J12414">
        <v>147.56</v>
      </c>
      <c r="K12414">
        <v>28.56</v>
      </c>
      <c r="L12414">
        <v>11601</v>
      </c>
      <c r="M12414" t="s">
        <v>535</v>
      </c>
      <c r="N12414" t="str">
        <f>"87335       "</f>
        <v xml:space="preserve">87335       </v>
      </c>
      <c r="O12414">
        <v>230810</v>
      </c>
    </row>
    <row r="12415" spans="1:15" x14ac:dyDescent="0.25">
      <c r="A12415" t="s">
        <v>16</v>
      </c>
      <c r="B12415" t="s">
        <v>3221</v>
      </c>
      <c r="C12415">
        <v>1434</v>
      </c>
      <c r="D12415" t="s">
        <v>1039</v>
      </c>
      <c r="E12415" t="s">
        <v>1040</v>
      </c>
      <c r="F12415">
        <v>2640</v>
      </c>
      <c r="G12415">
        <v>230131</v>
      </c>
      <c r="H12415">
        <v>4343</v>
      </c>
      <c r="I12415" t="s">
        <v>91</v>
      </c>
      <c r="J12415">
        <v>3273.6</v>
      </c>
      <c r="K12415">
        <v>633.6</v>
      </c>
      <c r="L12415">
        <v>11601</v>
      </c>
      <c r="M12415" t="s">
        <v>535</v>
      </c>
      <c r="N12415" t="str">
        <f>"82357       "</f>
        <v xml:space="preserve">82357       </v>
      </c>
      <c r="O12415">
        <v>230208</v>
      </c>
    </row>
    <row r="12416" spans="1:15" x14ac:dyDescent="0.25">
      <c r="A12416" t="s">
        <v>16</v>
      </c>
      <c r="B12416" t="s">
        <v>3221</v>
      </c>
      <c r="C12416">
        <v>1645</v>
      </c>
      <c r="D12416" t="s">
        <v>1039</v>
      </c>
      <c r="E12416" t="s">
        <v>1040</v>
      </c>
      <c r="F12416">
        <v>129.4</v>
      </c>
      <c r="G12416">
        <v>230131</v>
      </c>
      <c r="H12416">
        <v>4343</v>
      </c>
      <c r="I12416" t="s">
        <v>91</v>
      </c>
      <c r="J12416">
        <v>160.46</v>
      </c>
      <c r="K12416">
        <v>31.06</v>
      </c>
      <c r="L12416">
        <v>17971</v>
      </c>
      <c r="M12416" t="s">
        <v>138</v>
      </c>
      <c r="N12416" t="str">
        <f>"82616       "</f>
        <v xml:space="preserve">82616       </v>
      </c>
      <c r="O12416">
        <v>230213</v>
      </c>
    </row>
    <row r="12417" spans="1:15" x14ac:dyDescent="0.25">
      <c r="A12417" t="s">
        <v>16</v>
      </c>
      <c r="B12417" t="s">
        <v>3221</v>
      </c>
      <c r="C12417">
        <v>1645</v>
      </c>
      <c r="D12417" t="s">
        <v>1039</v>
      </c>
      <c r="E12417" t="s">
        <v>1040</v>
      </c>
      <c r="F12417">
        <v>155.27000000000001</v>
      </c>
      <c r="G12417">
        <v>230131</v>
      </c>
      <c r="H12417">
        <v>4343</v>
      </c>
      <c r="I12417" t="s">
        <v>91</v>
      </c>
      <c r="J12417">
        <v>192.54</v>
      </c>
      <c r="K12417">
        <v>37.270000000000003</v>
      </c>
      <c r="L12417">
        <v>69701</v>
      </c>
      <c r="M12417" t="s">
        <v>488</v>
      </c>
      <c r="N12417" t="str">
        <f>"82616       "</f>
        <v xml:space="preserve">82616       </v>
      </c>
      <c r="O12417">
        <v>230213</v>
      </c>
    </row>
    <row r="12418" spans="1:15" x14ac:dyDescent="0.25">
      <c r="A12418" t="s">
        <v>16</v>
      </c>
      <c r="B12418" t="s">
        <v>3221</v>
      </c>
      <c r="C12418">
        <v>1645</v>
      </c>
      <c r="D12418" t="s">
        <v>1039</v>
      </c>
      <c r="E12418" t="s">
        <v>1040</v>
      </c>
      <c r="F12418">
        <v>38.82</v>
      </c>
      <c r="G12418">
        <v>230131</v>
      </c>
      <c r="H12418">
        <v>4343</v>
      </c>
      <c r="I12418" t="s">
        <v>91</v>
      </c>
      <c r="J12418">
        <v>48.14</v>
      </c>
      <c r="K12418">
        <v>9.32</v>
      </c>
      <c r="L12418">
        <v>69703</v>
      </c>
      <c r="M12418" t="s">
        <v>1036</v>
      </c>
      <c r="N12418" t="str">
        <f>"82616       "</f>
        <v xml:space="preserve">82616       </v>
      </c>
      <c r="O12418">
        <v>230213</v>
      </c>
    </row>
    <row r="12419" spans="1:15" x14ac:dyDescent="0.25">
      <c r="A12419" t="s">
        <v>16</v>
      </c>
      <c r="B12419" t="s">
        <v>3221</v>
      </c>
      <c r="C12419">
        <v>3075</v>
      </c>
      <c r="D12419" t="s">
        <v>1039</v>
      </c>
      <c r="E12419" t="s">
        <v>1040</v>
      </c>
      <c r="F12419">
        <v>137.80000000000001</v>
      </c>
      <c r="G12419">
        <v>230228</v>
      </c>
      <c r="H12419">
        <v>4343</v>
      </c>
      <c r="I12419" t="s">
        <v>91</v>
      </c>
      <c r="J12419">
        <v>170.87</v>
      </c>
      <c r="K12419">
        <v>33.07</v>
      </c>
      <c r="L12419">
        <v>17971</v>
      </c>
      <c r="M12419" t="s">
        <v>138</v>
      </c>
      <c r="N12419" t="str">
        <f>"83244       "</f>
        <v xml:space="preserve">83244       </v>
      </c>
      <c r="O12419">
        <v>230309</v>
      </c>
    </row>
    <row r="12420" spans="1:15" x14ac:dyDescent="0.25">
      <c r="A12420" t="s">
        <v>16</v>
      </c>
      <c r="B12420" t="s">
        <v>3221</v>
      </c>
      <c r="C12420">
        <v>3075</v>
      </c>
      <c r="D12420" t="s">
        <v>1039</v>
      </c>
      <c r="E12420" t="s">
        <v>1040</v>
      </c>
      <c r="F12420">
        <v>206.7</v>
      </c>
      <c r="G12420">
        <v>230228</v>
      </c>
      <c r="H12420">
        <v>4343</v>
      </c>
      <c r="I12420" t="s">
        <v>91</v>
      </c>
      <c r="J12420">
        <v>256.31</v>
      </c>
      <c r="K12420">
        <v>49.61</v>
      </c>
      <c r="L12420">
        <v>69701</v>
      </c>
      <c r="M12420" t="s">
        <v>488</v>
      </c>
      <c r="N12420" t="str">
        <f>"83244       "</f>
        <v xml:space="preserve">83244       </v>
      </c>
      <c r="O12420">
        <v>230309</v>
      </c>
    </row>
    <row r="12421" spans="1:15" x14ac:dyDescent="0.25">
      <c r="A12421" t="s">
        <v>16</v>
      </c>
      <c r="B12421" t="s">
        <v>3221</v>
      </c>
      <c r="C12421">
        <v>4738</v>
      </c>
      <c r="D12421" t="s">
        <v>1039</v>
      </c>
      <c r="E12421" t="s">
        <v>1040</v>
      </c>
      <c r="F12421">
        <v>135.26</v>
      </c>
      <c r="G12421">
        <v>230331</v>
      </c>
      <c r="H12421">
        <v>4343</v>
      </c>
      <c r="I12421" t="s">
        <v>91</v>
      </c>
      <c r="J12421">
        <v>167.72</v>
      </c>
      <c r="K12421">
        <v>32.46</v>
      </c>
      <c r="L12421">
        <v>17971</v>
      </c>
      <c r="M12421" t="s">
        <v>138</v>
      </c>
      <c r="N12421" t="str">
        <f>"84098       "</f>
        <v xml:space="preserve">84098       </v>
      </c>
      <c r="O12421">
        <v>230412</v>
      </c>
    </row>
    <row r="12422" spans="1:15" x14ac:dyDescent="0.25">
      <c r="A12422" t="s">
        <v>16</v>
      </c>
      <c r="B12422" t="s">
        <v>3221</v>
      </c>
      <c r="C12422">
        <v>4738</v>
      </c>
      <c r="D12422" t="s">
        <v>1039</v>
      </c>
      <c r="E12422" t="s">
        <v>1040</v>
      </c>
      <c r="F12422">
        <v>162.31</v>
      </c>
      <c r="G12422">
        <v>230331</v>
      </c>
      <c r="H12422">
        <v>4343</v>
      </c>
      <c r="I12422" t="s">
        <v>91</v>
      </c>
      <c r="J12422">
        <v>201.26</v>
      </c>
      <c r="K12422">
        <v>38.950000000000003</v>
      </c>
      <c r="L12422">
        <v>69701</v>
      </c>
      <c r="M12422" t="s">
        <v>488</v>
      </c>
      <c r="N12422" t="str">
        <f>"84098       "</f>
        <v xml:space="preserve">84098       </v>
      </c>
      <c r="O12422">
        <v>230412</v>
      </c>
    </row>
    <row r="12423" spans="1:15" x14ac:dyDescent="0.25">
      <c r="A12423" t="s">
        <v>16</v>
      </c>
      <c r="B12423" t="s">
        <v>3221</v>
      </c>
      <c r="C12423">
        <v>4738</v>
      </c>
      <c r="D12423" t="s">
        <v>1039</v>
      </c>
      <c r="E12423" t="s">
        <v>1040</v>
      </c>
      <c r="F12423">
        <v>40.57</v>
      </c>
      <c r="G12423">
        <v>230331</v>
      </c>
      <c r="H12423">
        <v>4343</v>
      </c>
      <c r="I12423" t="s">
        <v>91</v>
      </c>
      <c r="J12423">
        <v>50.31</v>
      </c>
      <c r="K12423">
        <v>9.74</v>
      </c>
      <c r="L12423">
        <v>69703</v>
      </c>
      <c r="M12423" t="s">
        <v>1036</v>
      </c>
      <c r="N12423" t="str">
        <f>"84098       "</f>
        <v xml:space="preserve">84098       </v>
      </c>
      <c r="O12423">
        <v>230412</v>
      </c>
    </row>
    <row r="12424" spans="1:15" x14ac:dyDescent="0.25">
      <c r="A12424" t="s">
        <v>16</v>
      </c>
      <c r="B12424" t="s">
        <v>3221</v>
      </c>
      <c r="C12424">
        <v>6386</v>
      </c>
      <c r="D12424" t="s">
        <v>1039</v>
      </c>
      <c r="E12424" t="s">
        <v>1040</v>
      </c>
      <c r="F12424">
        <v>130.59</v>
      </c>
      <c r="G12424">
        <v>230430</v>
      </c>
      <c r="H12424">
        <v>4343</v>
      </c>
      <c r="I12424" t="s">
        <v>91</v>
      </c>
      <c r="J12424">
        <v>161.93</v>
      </c>
      <c r="K12424">
        <v>31.34</v>
      </c>
      <c r="L12424">
        <v>17971</v>
      </c>
      <c r="M12424" t="s">
        <v>138</v>
      </c>
      <c r="N12424" t="str">
        <f>"84760       "</f>
        <v xml:space="preserve">84760       </v>
      </c>
      <c r="O12424">
        <v>230510</v>
      </c>
    </row>
    <row r="12425" spans="1:15" x14ac:dyDescent="0.25">
      <c r="A12425" t="s">
        <v>16</v>
      </c>
      <c r="B12425" t="s">
        <v>3221</v>
      </c>
      <c r="C12425">
        <v>6386</v>
      </c>
      <c r="D12425" t="s">
        <v>1039</v>
      </c>
      <c r="E12425" t="s">
        <v>1040</v>
      </c>
      <c r="F12425">
        <v>156.71</v>
      </c>
      <c r="G12425">
        <v>230430</v>
      </c>
      <c r="H12425">
        <v>4343</v>
      </c>
      <c r="I12425" t="s">
        <v>91</v>
      </c>
      <c r="J12425">
        <v>194.32</v>
      </c>
      <c r="K12425">
        <v>37.61</v>
      </c>
      <c r="L12425">
        <v>69701</v>
      </c>
      <c r="M12425" t="s">
        <v>488</v>
      </c>
      <c r="N12425" t="str">
        <f>"84760       "</f>
        <v xml:space="preserve">84760       </v>
      </c>
      <c r="O12425">
        <v>230510</v>
      </c>
    </row>
    <row r="12426" spans="1:15" x14ac:dyDescent="0.25">
      <c r="A12426" t="s">
        <v>16</v>
      </c>
      <c r="B12426" t="s">
        <v>3221</v>
      </c>
      <c r="C12426">
        <v>6386</v>
      </c>
      <c r="D12426" t="s">
        <v>1039</v>
      </c>
      <c r="E12426" t="s">
        <v>1040</v>
      </c>
      <c r="F12426">
        <v>39.18</v>
      </c>
      <c r="G12426">
        <v>230430</v>
      </c>
      <c r="H12426">
        <v>4343</v>
      </c>
      <c r="I12426" t="s">
        <v>91</v>
      </c>
      <c r="J12426">
        <v>48.58</v>
      </c>
      <c r="K12426">
        <v>9.4</v>
      </c>
      <c r="L12426">
        <v>69703</v>
      </c>
      <c r="M12426" t="s">
        <v>1036</v>
      </c>
      <c r="N12426" t="str">
        <f>"84760       "</f>
        <v xml:space="preserve">84760       </v>
      </c>
      <c r="O12426">
        <v>230510</v>
      </c>
    </row>
    <row r="12427" spans="1:15" x14ac:dyDescent="0.25">
      <c r="A12427" t="s">
        <v>16</v>
      </c>
      <c r="B12427" t="s">
        <v>3221</v>
      </c>
      <c r="C12427">
        <v>8167</v>
      </c>
      <c r="D12427" t="s">
        <v>1039</v>
      </c>
      <c r="E12427" t="s">
        <v>1040</v>
      </c>
      <c r="F12427">
        <v>163.88</v>
      </c>
      <c r="G12427">
        <v>230531</v>
      </c>
      <c r="H12427">
        <v>4343</v>
      </c>
      <c r="I12427" t="s">
        <v>91</v>
      </c>
      <c r="J12427">
        <v>203.21</v>
      </c>
      <c r="K12427">
        <v>39.33</v>
      </c>
      <c r="L12427">
        <v>17972</v>
      </c>
      <c r="M12427" t="s">
        <v>248</v>
      </c>
      <c r="N12427" t="str">
        <f>"85371       "</f>
        <v xml:space="preserve">85371       </v>
      </c>
      <c r="O12427">
        <v>230607</v>
      </c>
    </row>
    <row r="12428" spans="1:15" x14ac:dyDescent="0.25">
      <c r="A12428" t="s">
        <v>16</v>
      </c>
      <c r="B12428" t="s">
        <v>3221</v>
      </c>
      <c r="C12428">
        <v>8167</v>
      </c>
      <c r="D12428" t="s">
        <v>1039</v>
      </c>
      <c r="E12428" t="s">
        <v>1040</v>
      </c>
      <c r="F12428">
        <v>196.65</v>
      </c>
      <c r="G12428">
        <v>230531</v>
      </c>
      <c r="H12428">
        <v>4343</v>
      </c>
      <c r="I12428" t="s">
        <v>91</v>
      </c>
      <c r="J12428">
        <v>243.85</v>
      </c>
      <c r="K12428">
        <v>47.2</v>
      </c>
      <c r="L12428">
        <v>69701</v>
      </c>
      <c r="M12428" t="s">
        <v>488</v>
      </c>
      <c r="N12428" t="str">
        <f>"85371       "</f>
        <v xml:space="preserve">85371       </v>
      </c>
      <c r="O12428">
        <v>230607</v>
      </c>
    </row>
    <row r="12429" spans="1:15" x14ac:dyDescent="0.25">
      <c r="A12429" t="s">
        <v>16</v>
      </c>
      <c r="B12429" t="s">
        <v>3221</v>
      </c>
      <c r="C12429">
        <v>8167</v>
      </c>
      <c r="D12429" t="s">
        <v>1039</v>
      </c>
      <c r="E12429" t="s">
        <v>1040</v>
      </c>
      <c r="F12429">
        <v>49.16</v>
      </c>
      <c r="G12429">
        <v>230531</v>
      </c>
      <c r="H12429">
        <v>4343</v>
      </c>
      <c r="I12429" t="s">
        <v>91</v>
      </c>
      <c r="J12429">
        <v>60.96</v>
      </c>
      <c r="K12429">
        <v>11.8</v>
      </c>
      <c r="L12429">
        <v>69703</v>
      </c>
      <c r="M12429" t="s">
        <v>1036</v>
      </c>
      <c r="N12429" t="str">
        <f>"85371       "</f>
        <v xml:space="preserve">85371       </v>
      </c>
      <c r="O12429">
        <v>230607</v>
      </c>
    </row>
    <row r="12430" spans="1:15" x14ac:dyDescent="0.25">
      <c r="A12430" t="s">
        <v>16</v>
      </c>
      <c r="B12430" t="s">
        <v>3221</v>
      </c>
      <c r="C12430">
        <v>9381</v>
      </c>
      <c r="D12430" t="s">
        <v>1039</v>
      </c>
      <c r="E12430" t="s">
        <v>1040</v>
      </c>
      <c r="F12430">
        <v>170.87</v>
      </c>
      <c r="G12430">
        <v>230630</v>
      </c>
      <c r="H12430">
        <v>4343</v>
      </c>
      <c r="I12430" t="s">
        <v>91</v>
      </c>
      <c r="J12430">
        <v>211.88</v>
      </c>
      <c r="K12430">
        <v>41.01</v>
      </c>
      <c r="L12430">
        <v>17971</v>
      </c>
      <c r="M12430" t="s">
        <v>138</v>
      </c>
      <c r="N12430" t="str">
        <f>"86459       "</f>
        <v xml:space="preserve">86459       </v>
      </c>
      <c r="O12430">
        <v>230710</v>
      </c>
    </row>
    <row r="12431" spans="1:15" x14ac:dyDescent="0.25">
      <c r="A12431" t="s">
        <v>16</v>
      </c>
      <c r="B12431" t="s">
        <v>3221</v>
      </c>
      <c r="C12431">
        <v>9381</v>
      </c>
      <c r="D12431" t="s">
        <v>1039</v>
      </c>
      <c r="E12431" t="s">
        <v>1040</v>
      </c>
      <c r="F12431">
        <v>205.05</v>
      </c>
      <c r="G12431">
        <v>230630</v>
      </c>
      <c r="H12431">
        <v>4343</v>
      </c>
      <c r="I12431" t="s">
        <v>91</v>
      </c>
      <c r="J12431">
        <v>254.26</v>
      </c>
      <c r="K12431">
        <v>49.21</v>
      </c>
      <c r="L12431">
        <v>69701</v>
      </c>
      <c r="M12431" t="s">
        <v>488</v>
      </c>
      <c r="N12431" t="str">
        <f>"86459       "</f>
        <v xml:space="preserve">86459       </v>
      </c>
      <c r="O12431">
        <v>230710</v>
      </c>
    </row>
    <row r="12432" spans="1:15" x14ac:dyDescent="0.25">
      <c r="A12432" t="s">
        <v>16</v>
      </c>
      <c r="B12432" t="s">
        <v>3221</v>
      </c>
      <c r="C12432">
        <v>9381</v>
      </c>
      <c r="D12432" t="s">
        <v>1039</v>
      </c>
      <c r="E12432" t="s">
        <v>1040</v>
      </c>
      <c r="F12432">
        <v>51.27</v>
      </c>
      <c r="G12432">
        <v>230630</v>
      </c>
      <c r="H12432">
        <v>4343</v>
      </c>
      <c r="I12432" t="s">
        <v>91</v>
      </c>
      <c r="J12432">
        <v>63.57</v>
      </c>
      <c r="K12432">
        <v>12.3</v>
      </c>
      <c r="L12432">
        <v>69703</v>
      </c>
      <c r="M12432" t="s">
        <v>1036</v>
      </c>
      <c r="N12432" t="str">
        <f>"86459       "</f>
        <v xml:space="preserve">86459       </v>
      </c>
      <c r="O12432">
        <v>230710</v>
      </c>
    </row>
    <row r="12433" spans="1:15" x14ac:dyDescent="0.25">
      <c r="A12433" t="s">
        <v>16</v>
      </c>
      <c r="B12433" t="s">
        <v>3221</v>
      </c>
      <c r="C12433">
        <v>10260</v>
      </c>
      <c r="D12433" t="s">
        <v>1039</v>
      </c>
      <c r="E12433" t="s">
        <v>1040</v>
      </c>
      <c r="F12433">
        <v>174.06</v>
      </c>
      <c r="G12433">
        <v>230731</v>
      </c>
      <c r="H12433">
        <v>4343</v>
      </c>
      <c r="I12433" t="s">
        <v>91</v>
      </c>
      <c r="J12433">
        <v>215.83</v>
      </c>
      <c r="K12433">
        <v>41.77</v>
      </c>
      <c r="L12433">
        <v>17971</v>
      </c>
      <c r="M12433" t="s">
        <v>138</v>
      </c>
      <c r="N12433" t="str">
        <f>"87050       "</f>
        <v xml:space="preserve">87050       </v>
      </c>
      <c r="O12433">
        <v>230814</v>
      </c>
    </row>
    <row r="12434" spans="1:15" x14ac:dyDescent="0.25">
      <c r="A12434" t="s">
        <v>16</v>
      </c>
      <c r="B12434" t="s">
        <v>3221</v>
      </c>
      <c r="C12434">
        <v>10260</v>
      </c>
      <c r="D12434" t="s">
        <v>1039</v>
      </c>
      <c r="E12434" t="s">
        <v>1040</v>
      </c>
      <c r="F12434">
        <v>182.76</v>
      </c>
      <c r="G12434">
        <v>230731</v>
      </c>
      <c r="H12434">
        <v>4343</v>
      </c>
      <c r="I12434" t="s">
        <v>91</v>
      </c>
      <c r="J12434">
        <v>226.62</v>
      </c>
      <c r="K12434">
        <v>43.86</v>
      </c>
      <c r="L12434">
        <v>69701</v>
      </c>
      <c r="M12434" t="s">
        <v>488</v>
      </c>
      <c r="N12434" t="str">
        <f>"87050       "</f>
        <v xml:space="preserve">87050       </v>
      </c>
      <c r="O12434">
        <v>230814</v>
      </c>
    </row>
    <row r="12435" spans="1:15" x14ac:dyDescent="0.25">
      <c r="A12435" t="s">
        <v>16</v>
      </c>
      <c r="B12435" t="s">
        <v>3221</v>
      </c>
      <c r="C12435">
        <v>10260</v>
      </c>
      <c r="D12435" t="s">
        <v>1039</v>
      </c>
      <c r="E12435" t="s">
        <v>1040</v>
      </c>
      <c r="F12435">
        <v>78.319999999999993</v>
      </c>
      <c r="G12435">
        <v>230731</v>
      </c>
      <c r="H12435">
        <v>4343</v>
      </c>
      <c r="I12435" t="s">
        <v>91</v>
      </c>
      <c r="J12435">
        <v>97.12</v>
      </c>
      <c r="K12435">
        <v>18.8</v>
      </c>
      <c r="L12435">
        <v>69703</v>
      </c>
      <c r="M12435" t="s">
        <v>1036</v>
      </c>
      <c r="N12435" t="str">
        <f>"87050       "</f>
        <v xml:space="preserve">87050       </v>
      </c>
      <c r="O12435">
        <v>230814</v>
      </c>
    </row>
    <row r="12436" spans="1:15" x14ac:dyDescent="0.25">
      <c r="A12436" t="s">
        <v>16</v>
      </c>
      <c r="B12436" t="s">
        <v>3221</v>
      </c>
      <c r="C12436">
        <v>12378</v>
      </c>
      <c r="D12436" t="s">
        <v>1039</v>
      </c>
      <c r="E12436" t="s">
        <v>1040</v>
      </c>
      <c r="F12436">
        <v>152.85</v>
      </c>
      <c r="G12436">
        <v>230831</v>
      </c>
      <c r="H12436">
        <v>4343</v>
      </c>
      <c r="I12436" t="s">
        <v>91</v>
      </c>
      <c r="J12436">
        <v>189.54</v>
      </c>
      <c r="K12436">
        <v>36.69</v>
      </c>
      <c r="L12436">
        <v>17971</v>
      </c>
      <c r="M12436" t="s">
        <v>138</v>
      </c>
      <c r="N12436" t="str">
        <f>"87642       "</f>
        <v xml:space="preserve">87642       </v>
      </c>
      <c r="O12436">
        <v>230919</v>
      </c>
    </row>
    <row r="12437" spans="1:15" x14ac:dyDescent="0.25">
      <c r="A12437" t="s">
        <v>16</v>
      </c>
      <c r="B12437" t="s">
        <v>3221</v>
      </c>
      <c r="C12437">
        <v>12378</v>
      </c>
      <c r="D12437" t="s">
        <v>1039</v>
      </c>
      <c r="E12437" t="s">
        <v>1040</v>
      </c>
      <c r="F12437">
        <v>183.42</v>
      </c>
      <c r="G12437">
        <v>230831</v>
      </c>
      <c r="H12437">
        <v>4343</v>
      </c>
      <c r="I12437" t="s">
        <v>91</v>
      </c>
      <c r="J12437">
        <v>227.44</v>
      </c>
      <c r="K12437">
        <v>44.02</v>
      </c>
      <c r="L12437">
        <v>69701</v>
      </c>
      <c r="M12437" t="s">
        <v>488</v>
      </c>
      <c r="N12437" t="str">
        <f>"87642       "</f>
        <v xml:space="preserve">87642       </v>
      </c>
      <c r="O12437">
        <v>230919</v>
      </c>
    </row>
    <row r="12438" spans="1:15" x14ac:dyDescent="0.25">
      <c r="A12438" t="s">
        <v>16</v>
      </c>
      <c r="B12438" t="s">
        <v>3221</v>
      </c>
      <c r="C12438">
        <v>12378</v>
      </c>
      <c r="D12438" t="s">
        <v>1039</v>
      </c>
      <c r="E12438" t="s">
        <v>1040</v>
      </c>
      <c r="F12438">
        <v>45.85</v>
      </c>
      <c r="G12438">
        <v>230831</v>
      </c>
      <c r="H12438">
        <v>4343</v>
      </c>
      <c r="I12438" t="s">
        <v>91</v>
      </c>
      <c r="J12438">
        <v>56.86</v>
      </c>
      <c r="K12438">
        <v>11.01</v>
      </c>
      <c r="L12438">
        <v>69703</v>
      </c>
      <c r="M12438" t="s">
        <v>1036</v>
      </c>
      <c r="N12438" t="str">
        <f>"87642       "</f>
        <v xml:space="preserve">87642       </v>
      </c>
      <c r="O12438">
        <v>230919</v>
      </c>
    </row>
    <row r="12439" spans="1:15" x14ac:dyDescent="0.25">
      <c r="A12439" t="s">
        <v>16</v>
      </c>
      <c r="B12439" t="s">
        <v>3221</v>
      </c>
      <c r="C12439">
        <v>14082</v>
      </c>
      <c r="D12439" t="s">
        <v>1039</v>
      </c>
      <c r="E12439" t="s">
        <v>1040</v>
      </c>
      <c r="F12439">
        <v>173.84</v>
      </c>
      <c r="G12439">
        <v>230930</v>
      </c>
      <c r="H12439">
        <v>4343</v>
      </c>
      <c r="I12439" t="s">
        <v>91</v>
      </c>
      <c r="J12439">
        <v>215.56</v>
      </c>
      <c r="K12439">
        <v>41.72</v>
      </c>
      <c r="L12439">
        <v>17971</v>
      </c>
      <c r="M12439" t="s">
        <v>138</v>
      </c>
      <c r="N12439" t="str">
        <f>"88462       "</f>
        <v xml:space="preserve">88462       </v>
      </c>
      <c r="O12439">
        <v>231018</v>
      </c>
    </row>
    <row r="12440" spans="1:15" x14ac:dyDescent="0.25">
      <c r="A12440" t="s">
        <v>16</v>
      </c>
      <c r="B12440" t="s">
        <v>3221</v>
      </c>
      <c r="C12440">
        <v>14082</v>
      </c>
      <c r="D12440" t="s">
        <v>1039</v>
      </c>
      <c r="E12440" t="s">
        <v>1040</v>
      </c>
      <c r="F12440">
        <v>208.6</v>
      </c>
      <c r="G12440">
        <v>230930</v>
      </c>
      <c r="H12440">
        <v>4343</v>
      </c>
      <c r="I12440" t="s">
        <v>91</v>
      </c>
      <c r="J12440">
        <v>258.67</v>
      </c>
      <c r="K12440">
        <v>50.07</v>
      </c>
      <c r="L12440">
        <v>69701</v>
      </c>
      <c r="M12440" t="s">
        <v>488</v>
      </c>
      <c r="N12440" t="str">
        <f>"88462       "</f>
        <v xml:space="preserve">88462       </v>
      </c>
      <c r="O12440">
        <v>231018</v>
      </c>
    </row>
    <row r="12441" spans="1:15" x14ac:dyDescent="0.25">
      <c r="A12441" t="s">
        <v>16</v>
      </c>
      <c r="B12441" t="s">
        <v>3221</v>
      </c>
      <c r="C12441">
        <v>14082</v>
      </c>
      <c r="D12441" t="s">
        <v>1039</v>
      </c>
      <c r="E12441" t="s">
        <v>1040</v>
      </c>
      <c r="F12441">
        <v>52.15</v>
      </c>
      <c r="G12441">
        <v>230930</v>
      </c>
      <c r="H12441">
        <v>4343</v>
      </c>
      <c r="I12441" t="s">
        <v>91</v>
      </c>
      <c r="J12441">
        <v>64.67</v>
      </c>
      <c r="K12441">
        <v>12.52</v>
      </c>
      <c r="L12441">
        <v>69703</v>
      </c>
      <c r="M12441" t="s">
        <v>1036</v>
      </c>
      <c r="N12441" t="str">
        <f>"88462       "</f>
        <v xml:space="preserve">88462       </v>
      </c>
      <c r="O12441">
        <v>231018</v>
      </c>
    </row>
    <row r="12442" spans="1:15" x14ac:dyDescent="0.25">
      <c r="A12442" t="s">
        <v>16</v>
      </c>
      <c r="B12442" t="s">
        <v>3221</v>
      </c>
      <c r="C12442">
        <v>15832</v>
      </c>
      <c r="D12442" t="s">
        <v>1039</v>
      </c>
      <c r="E12442" t="s">
        <v>1040</v>
      </c>
      <c r="F12442">
        <v>234.47</v>
      </c>
      <c r="G12442">
        <v>231031</v>
      </c>
      <c r="H12442">
        <v>4343</v>
      </c>
      <c r="I12442" t="s">
        <v>91</v>
      </c>
      <c r="J12442">
        <v>290.74</v>
      </c>
      <c r="K12442">
        <v>56.27</v>
      </c>
      <c r="L12442">
        <v>17971</v>
      </c>
      <c r="M12442" t="s">
        <v>138</v>
      </c>
      <c r="N12442" t="str">
        <f>"89033       "</f>
        <v xml:space="preserve">89033       </v>
      </c>
      <c r="O12442">
        <v>231120</v>
      </c>
    </row>
    <row r="12443" spans="1:15" x14ac:dyDescent="0.25">
      <c r="A12443" t="s">
        <v>16</v>
      </c>
      <c r="B12443" t="s">
        <v>3221</v>
      </c>
      <c r="C12443">
        <v>15832</v>
      </c>
      <c r="D12443" t="s">
        <v>1039</v>
      </c>
      <c r="E12443" t="s">
        <v>1040</v>
      </c>
      <c r="F12443">
        <v>351.71</v>
      </c>
      <c r="G12443">
        <v>231031</v>
      </c>
      <c r="H12443">
        <v>4343</v>
      </c>
      <c r="I12443" t="s">
        <v>91</v>
      </c>
      <c r="J12443">
        <v>436.12</v>
      </c>
      <c r="K12443">
        <v>84.41</v>
      </c>
      <c r="L12443">
        <v>69701</v>
      </c>
      <c r="M12443" t="s">
        <v>488</v>
      </c>
      <c r="N12443" t="str">
        <f>"89033       "</f>
        <v xml:space="preserve">89033       </v>
      </c>
      <c r="O12443">
        <v>231120</v>
      </c>
    </row>
    <row r="12444" spans="1:15" x14ac:dyDescent="0.25">
      <c r="A12444" t="s">
        <v>16</v>
      </c>
      <c r="B12444" t="s">
        <v>3221</v>
      </c>
      <c r="C12444">
        <v>15833</v>
      </c>
      <c r="D12444" t="s">
        <v>1039</v>
      </c>
      <c r="E12444" t="s">
        <v>1040</v>
      </c>
      <c r="F12444">
        <v>-50.24</v>
      </c>
      <c r="G12444">
        <v>231116</v>
      </c>
      <c r="H12444">
        <v>4343</v>
      </c>
      <c r="I12444" t="s">
        <v>91</v>
      </c>
      <c r="J12444">
        <v>-62.3</v>
      </c>
      <c r="K12444">
        <v>-12.06</v>
      </c>
      <c r="L12444">
        <v>17971</v>
      </c>
      <c r="M12444" t="s">
        <v>138</v>
      </c>
      <c r="N12444" t="str">
        <f>"89377       "</f>
        <v xml:space="preserve">89377       </v>
      </c>
      <c r="O12444">
        <v>231120</v>
      </c>
    </row>
    <row r="12445" spans="1:15" x14ac:dyDescent="0.25">
      <c r="A12445" t="s">
        <v>16</v>
      </c>
      <c r="B12445" t="s">
        <v>3221</v>
      </c>
      <c r="C12445">
        <v>15833</v>
      </c>
      <c r="D12445" t="s">
        <v>1039</v>
      </c>
      <c r="E12445" t="s">
        <v>1040</v>
      </c>
      <c r="F12445">
        <v>-75.37</v>
      </c>
      <c r="G12445">
        <v>231116</v>
      </c>
      <c r="H12445">
        <v>4343</v>
      </c>
      <c r="I12445" t="s">
        <v>91</v>
      </c>
      <c r="J12445">
        <v>-93.46</v>
      </c>
      <c r="K12445">
        <v>-18.09</v>
      </c>
      <c r="L12445">
        <v>69701</v>
      </c>
      <c r="M12445" t="s">
        <v>488</v>
      </c>
      <c r="N12445" t="str">
        <f>"89377       "</f>
        <v xml:space="preserve">89377       </v>
      </c>
      <c r="O12445">
        <v>231120</v>
      </c>
    </row>
    <row r="12446" spans="1:15" x14ac:dyDescent="0.25">
      <c r="A12446" t="s">
        <v>16</v>
      </c>
      <c r="B12446" t="s">
        <v>3221</v>
      </c>
      <c r="C12446">
        <v>17256</v>
      </c>
      <c r="D12446" t="s">
        <v>1039</v>
      </c>
      <c r="E12446" t="s">
        <v>1040</v>
      </c>
      <c r="F12446">
        <v>139.12</v>
      </c>
      <c r="G12446">
        <v>231130</v>
      </c>
      <c r="H12446">
        <v>4343</v>
      </c>
      <c r="I12446" t="s">
        <v>91</v>
      </c>
      <c r="J12446">
        <v>172.51</v>
      </c>
      <c r="K12446">
        <v>33.39</v>
      </c>
      <c r="L12446">
        <v>17971</v>
      </c>
      <c r="M12446" t="s">
        <v>138</v>
      </c>
      <c r="N12446" t="str">
        <f>"89634       "</f>
        <v xml:space="preserve">89634       </v>
      </c>
      <c r="O12446">
        <v>231212</v>
      </c>
    </row>
    <row r="12447" spans="1:15" x14ac:dyDescent="0.25">
      <c r="A12447" t="s">
        <v>16</v>
      </c>
      <c r="B12447" t="s">
        <v>3221</v>
      </c>
      <c r="C12447">
        <v>17256</v>
      </c>
      <c r="D12447" t="s">
        <v>1039</v>
      </c>
      <c r="E12447" t="s">
        <v>1040</v>
      </c>
      <c r="F12447">
        <v>227.24</v>
      </c>
      <c r="G12447">
        <v>231130</v>
      </c>
      <c r="H12447">
        <v>4343</v>
      </c>
      <c r="I12447" t="s">
        <v>91</v>
      </c>
      <c r="J12447">
        <v>281.77999999999997</v>
      </c>
      <c r="K12447">
        <v>54.54</v>
      </c>
      <c r="L12447">
        <v>69701</v>
      </c>
      <c r="M12447" t="s">
        <v>488</v>
      </c>
      <c r="N12447" t="str">
        <f>"89634       "</f>
        <v xml:space="preserve">89634       </v>
      </c>
      <c r="O12447">
        <v>231212</v>
      </c>
    </row>
    <row r="12448" spans="1:15" x14ac:dyDescent="0.25">
      <c r="A12448" t="s">
        <v>16</v>
      </c>
      <c r="B12448" t="s">
        <v>3221</v>
      </c>
      <c r="C12448">
        <v>17256</v>
      </c>
      <c r="D12448" t="s">
        <v>1039</v>
      </c>
      <c r="E12448" t="s">
        <v>1040</v>
      </c>
      <c r="F12448">
        <v>97.39</v>
      </c>
      <c r="G12448">
        <v>231130</v>
      </c>
      <c r="H12448">
        <v>4343</v>
      </c>
      <c r="I12448" t="s">
        <v>91</v>
      </c>
      <c r="J12448">
        <v>120.76</v>
      </c>
      <c r="K12448">
        <v>23.37</v>
      </c>
      <c r="L12448">
        <v>69703</v>
      </c>
      <c r="M12448" t="s">
        <v>1036</v>
      </c>
      <c r="N12448" t="str">
        <f>"89634       "</f>
        <v xml:space="preserve">89634       </v>
      </c>
      <c r="O12448">
        <v>231212</v>
      </c>
    </row>
    <row r="12449" spans="1:16" x14ac:dyDescent="0.25">
      <c r="A12449" t="s">
        <v>16</v>
      </c>
      <c r="B12449" t="s">
        <v>3221</v>
      </c>
      <c r="C12449">
        <v>17402</v>
      </c>
      <c r="D12449" t="s">
        <v>1039</v>
      </c>
      <c r="E12449" t="s">
        <v>1040</v>
      </c>
      <c r="F12449">
        <v>137.80000000000001</v>
      </c>
      <c r="G12449">
        <v>231130</v>
      </c>
      <c r="H12449">
        <v>4343</v>
      </c>
      <c r="I12449" t="s">
        <v>91</v>
      </c>
      <c r="J12449">
        <v>170.87</v>
      </c>
      <c r="K12449">
        <v>33.07</v>
      </c>
      <c r="L12449">
        <v>49701</v>
      </c>
      <c r="M12449" t="s">
        <v>166</v>
      </c>
      <c r="N12449" t="str">
        <f>"89635       "</f>
        <v xml:space="preserve">89635       </v>
      </c>
      <c r="O12449">
        <v>231214</v>
      </c>
    </row>
    <row r="12450" spans="1:16" x14ac:dyDescent="0.25">
      <c r="A12450" t="s">
        <v>16</v>
      </c>
      <c r="B12450" t="s">
        <v>3221</v>
      </c>
      <c r="C12450">
        <v>19039</v>
      </c>
      <c r="D12450" t="s">
        <v>1039</v>
      </c>
      <c r="E12450" t="s">
        <v>1040</v>
      </c>
      <c r="F12450">
        <v>155.29</v>
      </c>
      <c r="G12450">
        <v>231231</v>
      </c>
      <c r="H12450">
        <v>4343</v>
      </c>
      <c r="I12450" t="s">
        <v>91</v>
      </c>
      <c r="J12450">
        <v>192.56</v>
      </c>
      <c r="K12450">
        <v>37.270000000000003</v>
      </c>
      <c r="L12450">
        <v>49701</v>
      </c>
      <c r="M12450" t="s">
        <v>166</v>
      </c>
      <c r="N12450" t="str">
        <f>"90829       "</f>
        <v xml:space="preserve">90829       </v>
      </c>
      <c r="O12450">
        <v>240110</v>
      </c>
    </row>
    <row r="12451" spans="1:16" x14ac:dyDescent="0.25">
      <c r="A12451" t="s">
        <v>16</v>
      </c>
      <c r="B12451" t="s">
        <v>3221</v>
      </c>
      <c r="C12451">
        <v>19129</v>
      </c>
      <c r="D12451" t="s">
        <v>1039</v>
      </c>
      <c r="E12451" t="s">
        <v>1040</v>
      </c>
      <c r="F12451">
        <v>136.41999999999999</v>
      </c>
      <c r="G12451">
        <v>231231</v>
      </c>
      <c r="H12451">
        <v>4343</v>
      </c>
      <c r="I12451" t="s">
        <v>91</v>
      </c>
      <c r="J12451">
        <v>169.16</v>
      </c>
      <c r="K12451">
        <v>32.74</v>
      </c>
      <c r="L12451">
        <v>17971</v>
      </c>
      <c r="M12451" t="s">
        <v>138</v>
      </c>
      <c r="N12451" t="str">
        <f>"90828       "</f>
        <v xml:space="preserve">90828       </v>
      </c>
      <c r="O12451">
        <v>240111</v>
      </c>
    </row>
    <row r="12452" spans="1:16" x14ac:dyDescent="0.25">
      <c r="A12452" t="s">
        <v>16</v>
      </c>
      <c r="B12452" t="s">
        <v>3221</v>
      </c>
      <c r="C12452">
        <v>19129</v>
      </c>
      <c r="D12452" t="s">
        <v>1039</v>
      </c>
      <c r="E12452" t="s">
        <v>1040</v>
      </c>
      <c r="F12452">
        <v>270.57</v>
      </c>
      <c r="G12452">
        <v>231231</v>
      </c>
      <c r="H12452">
        <v>4343</v>
      </c>
      <c r="I12452" t="s">
        <v>91</v>
      </c>
      <c r="J12452">
        <v>335.51</v>
      </c>
      <c r="K12452">
        <v>64.94</v>
      </c>
      <c r="L12452">
        <v>69701</v>
      </c>
      <c r="M12452" t="s">
        <v>488</v>
      </c>
      <c r="N12452" t="str">
        <f>"90828       "</f>
        <v xml:space="preserve">90828       </v>
      </c>
      <c r="O12452">
        <v>240111</v>
      </c>
    </row>
    <row r="12453" spans="1:16" x14ac:dyDescent="0.25">
      <c r="A12453" t="s">
        <v>16</v>
      </c>
      <c r="B12453" t="s">
        <v>3221</v>
      </c>
      <c r="C12453">
        <v>19129</v>
      </c>
      <c r="D12453" t="s">
        <v>1039</v>
      </c>
      <c r="E12453" t="s">
        <v>1040</v>
      </c>
      <c r="F12453">
        <v>47.75</v>
      </c>
      <c r="G12453">
        <v>231231</v>
      </c>
      <c r="H12453">
        <v>4343</v>
      </c>
      <c r="I12453" t="s">
        <v>91</v>
      </c>
      <c r="J12453">
        <v>59.21</v>
      </c>
      <c r="K12453">
        <v>11.46</v>
      </c>
      <c r="L12453">
        <v>69703</v>
      </c>
      <c r="M12453" t="s">
        <v>1036</v>
      </c>
      <c r="N12453" t="str">
        <f>"90828       "</f>
        <v xml:space="preserve">90828       </v>
      </c>
      <c r="O12453">
        <v>240111</v>
      </c>
    </row>
    <row r="12454" spans="1:16" x14ac:dyDescent="0.25">
      <c r="A12454" t="s">
        <v>16</v>
      </c>
      <c r="B12454" t="s">
        <v>3221</v>
      </c>
      <c r="C12454">
        <v>7721</v>
      </c>
      <c r="D12454" t="s">
        <v>1039</v>
      </c>
      <c r="E12454" t="s">
        <v>1040</v>
      </c>
      <c r="F12454">
        <v>275</v>
      </c>
      <c r="G12454">
        <v>230526</v>
      </c>
      <c r="H12454">
        <v>4580</v>
      </c>
      <c r="I12454" t="s">
        <v>35</v>
      </c>
      <c r="J12454">
        <v>341</v>
      </c>
      <c r="K12454">
        <v>66</v>
      </c>
      <c r="L12454">
        <v>11601</v>
      </c>
      <c r="M12454" t="s">
        <v>535</v>
      </c>
      <c r="N12454" t="str">
        <f>"85090       "</f>
        <v xml:space="preserve">85090       </v>
      </c>
      <c r="O12454">
        <v>230602</v>
      </c>
    </row>
    <row r="12455" spans="1:16" x14ac:dyDescent="0.25">
      <c r="A12455" t="s">
        <v>16</v>
      </c>
      <c r="B12455" t="s">
        <v>3221</v>
      </c>
      <c r="C12455">
        <v>7721</v>
      </c>
      <c r="D12455" t="s">
        <v>1039</v>
      </c>
      <c r="E12455" t="s">
        <v>1040</v>
      </c>
      <c r="F12455">
        <v>610</v>
      </c>
      <c r="G12455">
        <v>230526</v>
      </c>
      <c r="H12455">
        <v>4580</v>
      </c>
      <c r="I12455" t="s">
        <v>35</v>
      </c>
      <c r="J12455">
        <v>756.4</v>
      </c>
      <c r="K12455">
        <v>146.4</v>
      </c>
      <c r="L12455">
        <v>49701</v>
      </c>
      <c r="M12455" t="s">
        <v>166</v>
      </c>
      <c r="N12455" t="str">
        <f>"85090       "</f>
        <v xml:space="preserve">85090       </v>
      </c>
      <c r="O12455">
        <v>230602</v>
      </c>
    </row>
    <row r="12456" spans="1:16" x14ac:dyDescent="0.25">
      <c r="A12456" t="s">
        <v>16</v>
      </c>
      <c r="B12456" t="s">
        <v>3221</v>
      </c>
      <c r="C12456">
        <v>14888</v>
      </c>
      <c r="D12456" t="s">
        <v>3553</v>
      </c>
      <c r="F12456">
        <v>280</v>
      </c>
      <c r="G12456">
        <v>231107</v>
      </c>
      <c r="H12456">
        <v>4420</v>
      </c>
      <c r="I12456" t="s">
        <v>132</v>
      </c>
      <c r="J12456">
        <v>280</v>
      </c>
      <c r="K12456">
        <v>0</v>
      </c>
      <c r="L12456">
        <v>11902</v>
      </c>
      <c r="M12456" t="s">
        <v>1443</v>
      </c>
      <c r="N12456" t="str">
        <f>"071123      "</f>
        <v xml:space="preserve">071123      </v>
      </c>
      <c r="O12456">
        <v>231107</v>
      </c>
      <c r="P12456" t="s">
        <v>3370</v>
      </c>
    </row>
    <row r="12457" spans="1:16" x14ac:dyDescent="0.25">
      <c r="A12457" t="s">
        <v>16</v>
      </c>
      <c r="B12457" t="s">
        <v>3221</v>
      </c>
      <c r="C12457">
        <v>15907</v>
      </c>
      <c r="D12457" t="s">
        <v>3553</v>
      </c>
      <c r="F12457">
        <v>98</v>
      </c>
      <c r="G12457">
        <v>231116</v>
      </c>
      <c r="H12457">
        <v>4420</v>
      </c>
      <c r="I12457" t="s">
        <v>132</v>
      </c>
      <c r="J12457">
        <v>98</v>
      </c>
      <c r="K12457">
        <v>0</v>
      </c>
      <c r="L12457">
        <v>11902</v>
      </c>
      <c r="M12457" t="s">
        <v>1443</v>
      </c>
      <c r="N12457" t="str">
        <f>"112333      "</f>
        <v xml:space="preserve">112333      </v>
      </c>
      <c r="O12457">
        <v>231122</v>
      </c>
      <c r="P12457" t="s">
        <v>3370</v>
      </c>
    </row>
    <row r="12458" spans="1:16" x14ac:dyDescent="0.25">
      <c r="A12458" t="s">
        <v>16</v>
      </c>
      <c r="B12458" t="s">
        <v>3221</v>
      </c>
      <c r="C12458">
        <v>17602</v>
      </c>
      <c r="D12458" t="s">
        <v>3079</v>
      </c>
      <c r="E12458" t="s">
        <v>3080</v>
      </c>
      <c r="F12458">
        <v>240</v>
      </c>
      <c r="G12458">
        <v>231211</v>
      </c>
      <c r="H12458">
        <v>4580</v>
      </c>
      <c r="I12458" t="s">
        <v>35</v>
      </c>
      <c r="J12458">
        <v>297.60000000000002</v>
      </c>
      <c r="K12458">
        <v>57.6</v>
      </c>
      <c r="L12458">
        <v>17711</v>
      </c>
      <c r="M12458" t="s">
        <v>65</v>
      </c>
      <c r="N12458" t="str">
        <f>"641         "</f>
        <v xml:space="preserve">641         </v>
      </c>
      <c r="O12458">
        <v>231215</v>
      </c>
    </row>
    <row r="12459" spans="1:16" x14ac:dyDescent="0.25">
      <c r="A12459" t="s">
        <v>16</v>
      </c>
      <c r="B12459" t="s">
        <v>3221</v>
      </c>
      <c r="C12459">
        <v>17602</v>
      </c>
      <c r="D12459" t="s">
        <v>3079</v>
      </c>
      <c r="E12459" t="s">
        <v>3080</v>
      </c>
      <c r="F12459">
        <v>110</v>
      </c>
      <c r="G12459">
        <v>231211</v>
      </c>
      <c r="H12459">
        <v>4364</v>
      </c>
      <c r="I12459" t="s">
        <v>296</v>
      </c>
      <c r="J12459">
        <v>136.4</v>
      </c>
      <c r="K12459">
        <v>26.4</v>
      </c>
      <c r="L12459">
        <v>17711</v>
      </c>
      <c r="M12459" t="s">
        <v>65</v>
      </c>
      <c r="N12459" t="str">
        <f>"641         "</f>
        <v xml:space="preserve">641         </v>
      </c>
      <c r="O12459">
        <v>231215</v>
      </c>
    </row>
    <row r="12460" spans="1:16" x14ac:dyDescent="0.25">
      <c r="A12460" t="s">
        <v>16</v>
      </c>
      <c r="B12460" t="s">
        <v>3221</v>
      </c>
      <c r="C12460">
        <v>1258</v>
      </c>
      <c r="D12460" t="s">
        <v>964</v>
      </c>
      <c r="E12460" t="s">
        <v>965</v>
      </c>
      <c r="F12460">
        <v>2313.06</v>
      </c>
      <c r="G12460">
        <v>230201</v>
      </c>
      <c r="H12460">
        <v>4341</v>
      </c>
      <c r="I12460" t="s">
        <v>32</v>
      </c>
      <c r="J12460">
        <v>2868.19</v>
      </c>
      <c r="K12460">
        <v>555.13</v>
      </c>
      <c r="L12460">
        <v>11801</v>
      </c>
      <c r="M12460" t="s">
        <v>92</v>
      </c>
      <c r="N12460" t="str">
        <f>"2376        "</f>
        <v xml:space="preserve">2376        </v>
      </c>
      <c r="O12460">
        <v>230207</v>
      </c>
    </row>
    <row r="12461" spans="1:16" x14ac:dyDescent="0.25">
      <c r="A12461" t="s">
        <v>16</v>
      </c>
      <c r="B12461" t="s">
        <v>3221</v>
      </c>
      <c r="C12461">
        <v>3334</v>
      </c>
      <c r="D12461" t="s">
        <v>964</v>
      </c>
      <c r="E12461" t="s">
        <v>965</v>
      </c>
      <c r="F12461">
        <v>220.29</v>
      </c>
      <c r="G12461">
        <v>230228</v>
      </c>
      <c r="H12461">
        <v>4341</v>
      </c>
      <c r="I12461" t="s">
        <v>32</v>
      </c>
      <c r="J12461">
        <v>273.16000000000003</v>
      </c>
      <c r="K12461">
        <v>52.87</v>
      </c>
      <c r="L12461">
        <v>11905</v>
      </c>
      <c r="M12461" t="s">
        <v>39</v>
      </c>
      <c r="N12461" t="str">
        <f>"2466        "</f>
        <v xml:space="preserve">2466        </v>
      </c>
      <c r="O12461">
        <v>230314</v>
      </c>
    </row>
    <row r="12462" spans="1:16" x14ac:dyDescent="0.25">
      <c r="A12462" t="s">
        <v>16</v>
      </c>
      <c r="B12462" t="s">
        <v>3221</v>
      </c>
      <c r="C12462">
        <v>6746</v>
      </c>
      <c r="D12462" t="s">
        <v>964</v>
      </c>
      <c r="E12462" t="s">
        <v>965</v>
      </c>
      <c r="F12462">
        <v>2313.06</v>
      </c>
      <c r="G12462">
        <v>230501</v>
      </c>
      <c r="H12462">
        <v>4341</v>
      </c>
      <c r="I12462" t="s">
        <v>32</v>
      </c>
      <c r="J12462">
        <v>2868.19</v>
      </c>
      <c r="K12462">
        <v>555.13</v>
      </c>
      <c r="L12462">
        <v>11801</v>
      </c>
      <c r="M12462" t="s">
        <v>92</v>
      </c>
      <c r="N12462" t="str">
        <f>"2888        "</f>
        <v xml:space="preserve">2888        </v>
      </c>
      <c r="O12462">
        <v>230522</v>
      </c>
    </row>
    <row r="12463" spans="1:16" x14ac:dyDescent="0.25">
      <c r="A12463" t="s">
        <v>16</v>
      </c>
      <c r="B12463" t="s">
        <v>3221</v>
      </c>
      <c r="C12463">
        <v>9985</v>
      </c>
      <c r="D12463" t="s">
        <v>964</v>
      </c>
      <c r="E12463" t="s">
        <v>965</v>
      </c>
      <c r="F12463">
        <v>2376</v>
      </c>
      <c r="G12463">
        <v>230801</v>
      </c>
      <c r="H12463">
        <v>4341</v>
      </c>
      <c r="I12463" t="s">
        <v>32</v>
      </c>
      <c r="J12463">
        <v>2946.24</v>
      </c>
      <c r="K12463">
        <v>570.24</v>
      </c>
      <c r="L12463">
        <v>11801</v>
      </c>
      <c r="M12463" t="s">
        <v>92</v>
      </c>
      <c r="N12463" t="str">
        <f>"3425        "</f>
        <v xml:space="preserve">3425        </v>
      </c>
      <c r="O12463">
        <v>230803</v>
      </c>
    </row>
    <row r="12464" spans="1:16" x14ac:dyDescent="0.25">
      <c r="A12464" t="s">
        <v>16</v>
      </c>
      <c r="B12464" t="s">
        <v>3221</v>
      </c>
      <c r="C12464">
        <v>12036</v>
      </c>
      <c r="D12464" t="s">
        <v>964</v>
      </c>
      <c r="E12464" t="s">
        <v>965</v>
      </c>
      <c r="F12464">
        <v>380</v>
      </c>
      <c r="G12464">
        <v>230904</v>
      </c>
      <c r="H12464">
        <v>4341</v>
      </c>
      <c r="I12464" t="s">
        <v>32</v>
      </c>
      <c r="J12464">
        <v>471.2</v>
      </c>
      <c r="K12464">
        <v>91.2</v>
      </c>
      <c r="L12464">
        <v>11801</v>
      </c>
      <c r="M12464" t="s">
        <v>92</v>
      </c>
      <c r="N12464" t="str">
        <f>"3629        "</f>
        <v xml:space="preserve">3629        </v>
      </c>
      <c r="O12464">
        <v>230913</v>
      </c>
    </row>
    <row r="12465" spans="1:15" x14ac:dyDescent="0.25">
      <c r="A12465" t="s">
        <v>16</v>
      </c>
      <c r="B12465" t="s">
        <v>3221</v>
      </c>
      <c r="C12465">
        <v>15100</v>
      </c>
      <c r="D12465" t="s">
        <v>964</v>
      </c>
      <c r="E12465" t="s">
        <v>965</v>
      </c>
      <c r="F12465">
        <v>1604.98</v>
      </c>
      <c r="G12465">
        <v>231101</v>
      </c>
      <c r="H12465">
        <v>4341</v>
      </c>
      <c r="I12465" t="s">
        <v>32</v>
      </c>
      <c r="J12465">
        <v>1990.18</v>
      </c>
      <c r="K12465">
        <v>385.2</v>
      </c>
      <c r="L12465">
        <v>11801</v>
      </c>
      <c r="M12465" t="s">
        <v>92</v>
      </c>
      <c r="N12465" t="str">
        <f>"3948        "</f>
        <v xml:space="preserve">3948        </v>
      </c>
      <c r="O12465">
        <v>231108</v>
      </c>
    </row>
    <row r="12466" spans="1:15" x14ac:dyDescent="0.25">
      <c r="A12466" t="s">
        <v>16</v>
      </c>
      <c r="B12466" t="s">
        <v>3221</v>
      </c>
      <c r="C12466">
        <v>19160</v>
      </c>
      <c r="D12466" t="s">
        <v>964</v>
      </c>
      <c r="E12466" t="s">
        <v>965</v>
      </c>
      <c r="F12466">
        <v>420</v>
      </c>
      <c r="G12466">
        <v>231228</v>
      </c>
      <c r="H12466">
        <v>4341</v>
      </c>
      <c r="I12466" t="s">
        <v>32</v>
      </c>
      <c r="J12466">
        <v>520.79999999999995</v>
      </c>
      <c r="K12466">
        <v>100.8</v>
      </c>
      <c r="L12466">
        <v>11801</v>
      </c>
      <c r="M12466" t="s">
        <v>92</v>
      </c>
      <c r="N12466" t="str">
        <f>"4240        "</f>
        <v xml:space="preserve">4240        </v>
      </c>
      <c r="O12466">
        <v>240111</v>
      </c>
    </row>
    <row r="12467" spans="1:15" x14ac:dyDescent="0.25">
      <c r="A12467" t="s">
        <v>16</v>
      </c>
      <c r="B12467" t="s">
        <v>3221</v>
      </c>
      <c r="C12467">
        <v>18280</v>
      </c>
      <c r="D12467" t="s">
        <v>964</v>
      </c>
      <c r="E12467" t="s">
        <v>965</v>
      </c>
      <c r="F12467">
        <v>2062</v>
      </c>
      <c r="G12467">
        <v>231221</v>
      </c>
      <c r="H12467">
        <v>4362</v>
      </c>
      <c r="I12467" t="s">
        <v>79</v>
      </c>
      <c r="J12467">
        <v>2556.88</v>
      </c>
      <c r="K12467">
        <v>494.88</v>
      </c>
      <c r="L12467">
        <v>11301</v>
      </c>
      <c r="M12467" t="s">
        <v>29</v>
      </c>
      <c r="N12467" t="str">
        <f>"4207        "</f>
        <v xml:space="preserve">4207        </v>
      </c>
      <c r="O12467">
        <v>240102</v>
      </c>
    </row>
    <row r="12468" spans="1:15" x14ac:dyDescent="0.25">
      <c r="A12468" t="s">
        <v>16</v>
      </c>
      <c r="B12468" t="s">
        <v>3221</v>
      </c>
      <c r="C12468">
        <v>762</v>
      </c>
      <c r="D12468" t="s">
        <v>715</v>
      </c>
      <c r="E12468" t="s">
        <v>716</v>
      </c>
      <c r="F12468">
        <v>866.6</v>
      </c>
      <c r="G12468">
        <v>230120</v>
      </c>
      <c r="H12468">
        <v>4534</v>
      </c>
      <c r="I12468" t="s">
        <v>273</v>
      </c>
      <c r="J12468">
        <v>1074.58</v>
      </c>
      <c r="K12468">
        <v>207.98</v>
      </c>
      <c r="L12468">
        <v>14321</v>
      </c>
      <c r="M12468" t="s">
        <v>717</v>
      </c>
      <c r="N12468" t="str">
        <f>"6072130     "</f>
        <v xml:space="preserve">6072130     </v>
      </c>
      <c r="O12468">
        <v>230130</v>
      </c>
    </row>
    <row r="12469" spans="1:15" x14ac:dyDescent="0.25">
      <c r="A12469" t="s">
        <v>16</v>
      </c>
      <c r="B12469" t="s">
        <v>3221</v>
      </c>
      <c r="C12469">
        <v>2029</v>
      </c>
      <c r="D12469" t="s">
        <v>715</v>
      </c>
      <c r="E12469" t="s">
        <v>716</v>
      </c>
      <c r="F12469">
        <v>243.51</v>
      </c>
      <c r="G12469">
        <v>230213</v>
      </c>
      <c r="H12469">
        <v>4534</v>
      </c>
      <c r="I12469" t="s">
        <v>273</v>
      </c>
      <c r="J12469">
        <v>301.95</v>
      </c>
      <c r="K12469">
        <v>58.44</v>
      </c>
      <c r="L12469">
        <v>43222</v>
      </c>
      <c r="M12469" t="s">
        <v>507</v>
      </c>
      <c r="N12469" t="str">
        <f>"6077774     "</f>
        <v xml:space="preserve">6077774     </v>
      </c>
      <c r="O12469">
        <v>230217</v>
      </c>
    </row>
    <row r="12470" spans="1:15" x14ac:dyDescent="0.25">
      <c r="A12470" t="s">
        <v>16</v>
      </c>
      <c r="B12470" t="s">
        <v>3221</v>
      </c>
      <c r="C12470">
        <v>11789</v>
      </c>
      <c r="D12470" t="s">
        <v>715</v>
      </c>
      <c r="E12470" t="s">
        <v>716</v>
      </c>
      <c r="F12470">
        <v>521.29999999999995</v>
      </c>
      <c r="G12470">
        <v>230904</v>
      </c>
      <c r="H12470">
        <v>4534</v>
      </c>
      <c r="I12470" t="s">
        <v>273</v>
      </c>
      <c r="J12470">
        <v>646.41</v>
      </c>
      <c r="K12470">
        <v>125.11</v>
      </c>
      <c r="L12470">
        <v>43222</v>
      </c>
      <c r="M12470" t="s">
        <v>507</v>
      </c>
      <c r="N12470" t="str">
        <f>"6124919     "</f>
        <v xml:space="preserve">6124919     </v>
      </c>
      <c r="O12470">
        <v>230911</v>
      </c>
    </row>
    <row r="12471" spans="1:15" x14ac:dyDescent="0.25">
      <c r="A12471" t="s">
        <v>16</v>
      </c>
      <c r="B12471" t="s">
        <v>3221</v>
      </c>
      <c r="C12471">
        <v>13792</v>
      </c>
      <c r="D12471" t="s">
        <v>715</v>
      </c>
      <c r="E12471" t="s">
        <v>716</v>
      </c>
      <c r="F12471">
        <v>279.58</v>
      </c>
      <c r="G12471">
        <v>231006</v>
      </c>
      <c r="H12471">
        <v>4534</v>
      </c>
      <c r="I12471" t="s">
        <v>273</v>
      </c>
      <c r="J12471">
        <v>346.68</v>
      </c>
      <c r="K12471">
        <v>67.099999999999994</v>
      </c>
      <c r="L12471">
        <v>14321</v>
      </c>
      <c r="M12471" t="s">
        <v>717</v>
      </c>
      <c r="N12471" t="str">
        <f>"CD400001238 "</f>
        <v xml:space="preserve">CD400001238 </v>
      </c>
      <c r="O12471">
        <v>231013</v>
      </c>
    </row>
    <row r="12472" spans="1:15" x14ac:dyDescent="0.25">
      <c r="A12472" t="s">
        <v>16</v>
      </c>
      <c r="B12472" t="s">
        <v>3221</v>
      </c>
      <c r="C12472">
        <v>1463</v>
      </c>
      <c r="D12472" t="s">
        <v>715</v>
      </c>
      <c r="E12472" t="s">
        <v>716</v>
      </c>
      <c r="F12472">
        <v>578.55999999999995</v>
      </c>
      <c r="G12472">
        <v>230118</v>
      </c>
      <c r="H12472">
        <v>4600</v>
      </c>
      <c r="I12472" t="s">
        <v>105</v>
      </c>
      <c r="J12472">
        <v>717.41</v>
      </c>
      <c r="K12472">
        <v>138.85</v>
      </c>
      <c r="L12472">
        <v>16321</v>
      </c>
      <c r="M12472" t="s">
        <v>423</v>
      </c>
      <c r="N12472" t="str">
        <f>"6071485     "</f>
        <v xml:space="preserve">6071485     </v>
      </c>
      <c r="O12472">
        <v>230209</v>
      </c>
    </row>
    <row r="12473" spans="1:15" x14ac:dyDescent="0.25">
      <c r="A12473" t="s">
        <v>16</v>
      </c>
      <c r="B12473" t="s">
        <v>3221</v>
      </c>
      <c r="C12473">
        <v>1465</v>
      </c>
      <c r="D12473" t="s">
        <v>715</v>
      </c>
      <c r="E12473" t="s">
        <v>716</v>
      </c>
      <c r="F12473">
        <v>25.48</v>
      </c>
      <c r="G12473">
        <v>230126</v>
      </c>
      <c r="H12473">
        <v>4600</v>
      </c>
      <c r="I12473" t="s">
        <v>105</v>
      </c>
      <c r="J12473">
        <v>31.6</v>
      </c>
      <c r="K12473">
        <v>6.12</v>
      </c>
      <c r="L12473">
        <v>16321</v>
      </c>
      <c r="M12473" t="s">
        <v>423</v>
      </c>
      <c r="N12473" t="str">
        <f>"6073644     "</f>
        <v xml:space="preserve">6073644     </v>
      </c>
      <c r="O12473">
        <v>230209</v>
      </c>
    </row>
    <row r="12474" spans="1:15" x14ac:dyDescent="0.25">
      <c r="A12474" t="s">
        <v>16</v>
      </c>
      <c r="B12474" t="s">
        <v>3221</v>
      </c>
      <c r="C12474">
        <v>15291</v>
      </c>
      <c r="D12474" t="s">
        <v>715</v>
      </c>
      <c r="E12474" t="s">
        <v>716</v>
      </c>
      <c r="F12474">
        <v>320.72000000000003</v>
      </c>
      <c r="G12474">
        <v>231030</v>
      </c>
      <c r="H12474">
        <v>4600</v>
      </c>
      <c r="I12474" t="s">
        <v>105</v>
      </c>
      <c r="J12474">
        <v>397.69</v>
      </c>
      <c r="K12474">
        <v>76.97</v>
      </c>
      <c r="L12474">
        <v>16321</v>
      </c>
      <c r="M12474" t="s">
        <v>423</v>
      </c>
      <c r="N12474" t="str">
        <f>"CD400005921 "</f>
        <v xml:space="preserve">CD400005921 </v>
      </c>
      <c r="O12474">
        <v>231110</v>
      </c>
    </row>
    <row r="12475" spans="1:15" x14ac:dyDescent="0.25">
      <c r="A12475" t="s">
        <v>16</v>
      </c>
      <c r="B12475" t="s">
        <v>3221</v>
      </c>
      <c r="C12475">
        <v>15391</v>
      </c>
      <c r="D12475" t="s">
        <v>715</v>
      </c>
      <c r="E12475" t="s">
        <v>716</v>
      </c>
      <c r="F12475">
        <v>9.32</v>
      </c>
      <c r="G12475">
        <v>231106</v>
      </c>
      <c r="H12475">
        <v>4600</v>
      </c>
      <c r="I12475" t="s">
        <v>105</v>
      </c>
      <c r="J12475">
        <v>11.56</v>
      </c>
      <c r="K12475">
        <v>2.2400000000000002</v>
      </c>
      <c r="L12475">
        <v>16321</v>
      </c>
      <c r="M12475" t="s">
        <v>423</v>
      </c>
      <c r="N12475" t="str">
        <f>"CD400007642 "</f>
        <v xml:space="preserve">CD400007642 </v>
      </c>
      <c r="O12475">
        <v>231113</v>
      </c>
    </row>
    <row r="12476" spans="1:15" x14ac:dyDescent="0.25">
      <c r="A12476" t="s">
        <v>16</v>
      </c>
      <c r="B12476" t="s">
        <v>3221</v>
      </c>
      <c r="C12476">
        <v>16391</v>
      </c>
      <c r="D12476" t="s">
        <v>715</v>
      </c>
      <c r="E12476" t="s">
        <v>716</v>
      </c>
      <c r="F12476">
        <v>9.32</v>
      </c>
      <c r="G12476">
        <v>231108</v>
      </c>
      <c r="H12476">
        <v>4600</v>
      </c>
      <c r="I12476" t="s">
        <v>105</v>
      </c>
      <c r="J12476">
        <v>11.56</v>
      </c>
      <c r="K12476">
        <v>2.2400000000000002</v>
      </c>
      <c r="L12476">
        <v>16321</v>
      </c>
      <c r="M12476" t="s">
        <v>423</v>
      </c>
      <c r="N12476" t="str">
        <f>"CD400008300 "</f>
        <v xml:space="preserve">CD400008300 </v>
      </c>
      <c r="O12476">
        <v>231129</v>
      </c>
    </row>
    <row r="12477" spans="1:15" x14ac:dyDescent="0.25">
      <c r="A12477" t="s">
        <v>16</v>
      </c>
      <c r="B12477" t="s">
        <v>3221</v>
      </c>
      <c r="C12477">
        <v>11861</v>
      </c>
      <c r="D12477" t="s">
        <v>715</v>
      </c>
      <c r="E12477" t="s">
        <v>716</v>
      </c>
      <c r="F12477">
        <v>124</v>
      </c>
      <c r="G12477">
        <v>230907</v>
      </c>
      <c r="H12477">
        <v>4530</v>
      </c>
      <c r="I12477" t="s">
        <v>342</v>
      </c>
      <c r="J12477">
        <v>153.76</v>
      </c>
      <c r="K12477">
        <v>29.76</v>
      </c>
      <c r="L12477">
        <v>43222</v>
      </c>
      <c r="M12477" t="s">
        <v>507</v>
      </c>
      <c r="N12477" t="str">
        <f>"6126043     "</f>
        <v xml:space="preserve">6126043     </v>
      </c>
      <c r="O12477">
        <v>230911</v>
      </c>
    </row>
    <row r="12478" spans="1:15" x14ac:dyDescent="0.25">
      <c r="A12478" t="s">
        <v>16</v>
      </c>
      <c r="B12478" t="s">
        <v>3221</v>
      </c>
      <c r="C12478">
        <v>16268</v>
      </c>
      <c r="D12478" t="s">
        <v>2409</v>
      </c>
      <c r="E12478" t="s">
        <v>2410</v>
      </c>
      <c r="F12478">
        <v>141.13</v>
      </c>
      <c r="G12478">
        <v>231123</v>
      </c>
      <c r="H12478">
        <v>4580</v>
      </c>
      <c r="I12478" t="s">
        <v>35</v>
      </c>
      <c r="J12478">
        <v>175</v>
      </c>
      <c r="K12478">
        <v>33.869999999999997</v>
      </c>
      <c r="L12478">
        <v>56559</v>
      </c>
      <c r="M12478" t="s">
        <v>129</v>
      </c>
      <c r="N12478" t="str">
        <f>"5000264     "</f>
        <v xml:space="preserve">5000264     </v>
      </c>
      <c r="O12478">
        <v>231127</v>
      </c>
    </row>
    <row r="12479" spans="1:15" x14ac:dyDescent="0.25">
      <c r="A12479" t="s">
        <v>16</v>
      </c>
      <c r="B12479" t="s">
        <v>3221</v>
      </c>
      <c r="C12479">
        <v>10687</v>
      </c>
      <c r="D12479" t="s">
        <v>2409</v>
      </c>
      <c r="E12479" t="s">
        <v>2410</v>
      </c>
      <c r="F12479">
        <v>38.950000000000003</v>
      </c>
      <c r="G12479">
        <v>230817</v>
      </c>
      <c r="H12479">
        <v>4600</v>
      </c>
      <c r="I12479" t="s">
        <v>105</v>
      </c>
      <c r="J12479">
        <v>48.3</v>
      </c>
      <c r="K12479">
        <v>9.35</v>
      </c>
      <c r="L12479">
        <v>56568</v>
      </c>
      <c r="M12479" t="s">
        <v>268</v>
      </c>
      <c r="N12479" t="str">
        <f>"5000036     "</f>
        <v xml:space="preserve">5000036     </v>
      </c>
      <c r="O12479">
        <v>230822</v>
      </c>
    </row>
    <row r="12480" spans="1:15" x14ac:dyDescent="0.25">
      <c r="A12480" t="s">
        <v>16</v>
      </c>
      <c r="B12480" t="s">
        <v>3221</v>
      </c>
      <c r="C12480">
        <v>11178</v>
      </c>
      <c r="D12480" t="s">
        <v>2409</v>
      </c>
      <c r="E12480" t="s">
        <v>2410</v>
      </c>
      <c r="F12480">
        <v>48.01</v>
      </c>
      <c r="G12480">
        <v>230829</v>
      </c>
      <c r="H12480">
        <v>4600</v>
      </c>
      <c r="I12480" t="s">
        <v>105</v>
      </c>
      <c r="J12480">
        <v>59.53</v>
      </c>
      <c r="K12480">
        <v>11.52</v>
      </c>
      <c r="L12480">
        <v>56568</v>
      </c>
      <c r="M12480" t="s">
        <v>268</v>
      </c>
      <c r="N12480" t="str">
        <f>"5000059     "</f>
        <v xml:space="preserve">5000059     </v>
      </c>
      <c r="O12480">
        <v>230830</v>
      </c>
    </row>
    <row r="12481" spans="1:15" x14ac:dyDescent="0.25">
      <c r="A12481" t="s">
        <v>16</v>
      </c>
      <c r="B12481" t="s">
        <v>3221</v>
      </c>
      <c r="C12481">
        <v>13024</v>
      </c>
      <c r="D12481" t="s">
        <v>2409</v>
      </c>
      <c r="E12481" t="s">
        <v>2410</v>
      </c>
      <c r="F12481">
        <v>344.94</v>
      </c>
      <c r="G12481">
        <v>230927</v>
      </c>
      <c r="H12481">
        <v>4600</v>
      </c>
      <c r="I12481" t="s">
        <v>105</v>
      </c>
      <c r="J12481">
        <v>427.73</v>
      </c>
      <c r="K12481">
        <v>82.79</v>
      </c>
      <c r="L12481">
        <v>56568</v>
      </c>
      <c r="M12481" t="s">
        <v>268</v>
      </c>
      <c r="N12481" t="str">
        <f>"5000095     "</f>
        <v xml:space="preserve">5000095     </v>
      </c>
      <c r="O12481">
        <v>231002</v>
      </c>
    </row>
    <row r="12482" spans="1:15" x14ac:dyDescent="0.25">
      <c r="A12482" t="s">
        <v>16</v>
      </c>
      <c r="B12482" t="s">
        <v>3221</v>
      </c>
      <c r="C12482">
        <v>14336</v>
      </c>
      <c r="D12482" t="s">
        <v>2409</v>
      </c>
      <c r="E12482" t="s">
        <v>2410</v>
      </c>
      <c r="F12482">
        <v>105.9</v>
      </c>
      <c r="G12482">
        <v>231018</v>
      </c>
      <c r="H12482">
        <v>4600</v>
      </c>
      <c r="I12482" t="s">
        <v>105</v>
      </c>
      <c r="J12482">
        <v>131.32</v>
      </c>
      <c r="K12482">
        <v>25.42</v>
      </c>
      <c r="L12482">
        <v>56568</v>
      </c>
      <c r="M12482" t="s">
        <v>268</v>
      </c>
      <c r="N12482" t="str">
        <f>"5000158     "</f>
        <v xml:space="preserve">5000158     </v>
      </c>
      <c r="O12482">
        <v>231027</v>
      </c>
    </row>
    <row r="12483" spans="1:15" x14ac:dyDescent="0.25">
      <c r="A12483" t="s">
        <v>16</v>
      </c>
      <c r="B12483" t="s">
        <v>3221</v>
      </c>
      <c r="C12483">
        <v>14719</v>
      </c>
      <c r="D12483" t="s">
        <v>2409</v>
      </c>
      <c r="E12483" t="s">
        <v>2410</v>
      </c>
      <c r="F12483">
        <v>27.62</v>
      </c>
      <c r="G12483">
        <v>231030</v>
      </c>
      <c r="H12483">
        <v>4600</v>
      </c>
      <c r="I12483" t="s">
        <v>105</v>
      </c>
      <c r="J12483">
        <v>34.25</v>
      </c>
      <c r="K12483">
        <v>6.63</v>
      </c>
      <c r="L12483">
        <v>56568</v>
      </c>
      <c r="M12483" t="s">
        <v>268</v>
      </c>
      <c r="N12483" t="str">
        <f>"5000190     "</f>
        <v xml:space="preserve">5000190     </v>
      </c>
      <c r="O12483">
        <v>231101</v>
      </c>
    </row>
    <row r="12484" spans="1:15" x14ac:dyDescent="0.25">
      <c r="A12484" t="s">
        <v>16</v>
      </c>
      <c r="B12484" t="s">
        <v>3221</v>
      </c>
      <c r="C12484">
        <v>15008</v>
      </c>
      <c r="D12484" t="s">
        <v>2409</v>
      </c>
      <c r="E12484" t="s">
        <v>2410</v>
      </c>
      <c r="F12484">
        <v>55.81</v>
      </c>
      <c r="G12484">
        <v>231103</v>
      </c>
      <c r="H12484">
        <v>4600</v>
      </c>
      <c r="I12484" t="s">
        <v>105</v>
      </c>
      <c r="J12484">
        <v>69.209999999999994</v>
      </c>
      <c r="K12484">
        <v>13.4</v>
      </c>
      <c r="L12484">
        <v>56568</v>
      </c>
      <c r="M12484" t="s">
        <v>268</v>
      </c>
      <c r="N12484" t="str">
        <f>"5000218     "</f>
        <v xml:space="preserve">5000218     </v>
      </c>
      <c r="O12484">
        <v>231108</v>
      </c>
    </row>
    <row r="12485" spans="1:15" x14ac:dyDescent="0.25">
      <c r="A12485" t="s">
        <v>16</v>
      </c>
      <c r="B12485" t="s">
        <v>3221</v>
      </c>
      <c r="C12485">
        <v>16268</v>
      </c>
      <c r="D12485" t="s">
        <v>2409</v>
      </c>
      <c r="E12485" t="s">
        <v>2410</v>
      </c>
      <c r="F12485">
        <v>33</v>
      </c>
      <c r="G12485">
        <v>231123</v>
      </c>
      <c r="H12485">
        <v>4600</v>
      </c>
      <c r="I12485" t="s">
        <v>105</v>
      </c>
      <c r="J12485">
        <v>40.92</v>
      </c>
      <c r="K12485">
        <v>7.92</v>
      </c>
      <c r="L12485">
        <v>56568</v>
      </c>
      <c r="M12485" t="s">
        <v>268</v>
      </c>
      <c r="N12485" t="str">
        <f>"5000264     "</f>
        <v xml:space="preserve">5000264     </v>
      </c>
      <c r="O12485">
        <v>231127</v>
      </c>
    </row>
    <row r="12486" spans="1:15" x14ac:dyDescent="0.25">
      <c r="A12486" t="s">
        <v>16</v>
      </c>
      <c r="B12486" t="s">
        <v>3221</v>
      </c>
      <c r="C12486">
        <v>18851</v>
      </c>
      <c r="D12486" t="s">
        <v>2409</v>
      </c>
      <c r="E12486" t="s">
        <v>2410</v>
      </c>
      <c r="F12486">
        <v>50.44</v>
      </c>
      <c r="G12486">
        <v>231229</v>
      </c>
      <c r="H12486">
        <v>4600</v>
      </c>
      <c r="I12486" t="s">
        <v>105</v>
      </c>
      <c r="J12486">
        <v>62.54</v>
      </c>
      <c r="K12486">
        <v>12.1</v>
      </c>
      <c r="L12486">
        <v>56568</v>
      </c>
      <c r="M12486" t="s">
        <v>268</v>
      </c>
      <c r="N12486" t="str">
        <f>"5000351     "</f>
        <v xml:space="preserve">5000351     </v>
      </c>
      <c r="O12486">
        <v>240108</v>
      </c>
    </row>
    <row r="12487" spans="1:15" x14ac:dyDescent="0.25">
      <c r="A12487" t="s">
        <v>16</v>
      </c>
      <c r="B12487" t="s">
        <v>3221</v>
      </c>
      <c r="C12487">
        <v>9162</v>
      </c>
      <c r="D12487" t="s">
        <v>2269</v>
      </c>
      <c r="E12487" t="s">
        <v>2270</v>
      </c>
      <c r="F12487">
        <v>49.56</v>
      </c>
      <c r="G12487">
        <v>230626</v>
      </c>
      <c r="H12487">
        <v>4410</v>
      </c>
      <c r="I12487" t="s">
        <v>517</v>
      </c>
      <c r="J12487">
        <v>56.5</v>
      </c>
      <c r="K12487">
        <v>6.94</v>
      </c>
      <c r="L12487">
        <v>13281</v>
      </c>
      <c r="M12487" t="s">
        <v>1296</v>
      </c>
      <c r="N12487" t="str">
        <f>"661         "</f>
        <v xml:space="preserve">661         </v>
      </c>
      <c r="O12487">
        <v>230629</v>
      </c>
    </row>
    <row r="12488" spans="1:15" x14ac:dyDescent="0.25">
      <c r="A12488" t="s">
        <v>16</v>
      </c>
      <c r="B12488" t="s">
        <v>3221</v>
      </c>
      <c r="C12488">
        <v>14104</v>
      </c>
      <c r="D12488" t="s">
        <v>2269</v>
      </c>
      <c r="E12488" t="s">
        <v>2270</v>
      </c>
      <c r="F12488">
        <v>107.26</v>
      </c>
      <c r="G12488">
        <v>231002</v>
      </c>
      <c r="H12488">
        <v>4410</v>
      </c>
      <c r="I12488" t="s">
        <v>517</v>
      </c>
      <c r="J12488">
        <v>133</v>
      </c>
      <c r="K12488">
        <v>25.74</v>
      </c>
      <c r="L12488">
        <v>13601</v>
      </c>
      <c r="M12488" t="s">
        <v>147</v>
      </c>
      <c r="N12488" t="str">
        <f>"705         "</f>
        <v xml:space="preserve">705         </v>
      </c>
      <c r="O12488">
        <v>231018</v>
      </c>
    </row>
    <row r="12489" spans="1:15" x14ac:dyDescent="0.25">
      <c r="A12489" t="s">
        <v>16</v>
      </c>
      <c r="B12489" t="s">
        <v>3221</v>
      </c>
      <c r="C12489">
        <v>14104</v>
      </c>
      <c r="D12489" t="s">
        <v>2269</v>
      </c>
      <c r="E12489" t="s">
        <v>2270</v>
      </c>
      <c r="F12489">
        <v>932.98</v>
      </c>
      <c r="G12489">
        <v>231002</v>
      </c>
      <c r="H12489">
        <v>4410</v>
      </c>
      <c r="I12489" t="s">
        <v>517</v>
      </c>
      <c r="J12489">
        <v>1063.5999999999999</v>
      </c>
      <c r="K12489">
        <v>130.62</v>
      </c>
      <c r="L12489">
        <v>13601</v>
      </c>
      <c r="M12489" t="s">
        <v>147</v>
      </c>
      <c r="N12489" t="str">
        <f>"705         "</f>
        <v xml:space="preserve">705         </v>
      </c>
      <c r="O12489">
        <v>231018</v>
      </c>
    </row>
    <row r="12490" spans="1:15" x14ac:dyDescent="0.25">
      <c r="A12490" t="s">
        <v>16</v>
      </c>
      <c r="B12490" t="s">
        <v>3221</v>
      </c>
      <c r="C12490">
        <v>15884</v>
      </c>
      <c r="D12490" t="s">
        <v>2916</v>
      </c>
      <c r="E12490" t="s">
        <v>2917</v>
      </c>
      <c r="F12490">
        <v>414.29</v>
      </c>
      <c r="G12490">
        <v>231107</v>
      </c>
      <c r="H12490">
        <v>4362</v>
      </c>
      <c r="I12490" t="s">
        <v>79</v>
      </c>
      <c r="J12490">
        <v>513.72</v>
      </c>
      <c r="K12490">
        <v>99.43</v>
      </c>
      <c r="L12490">
        <v>11301</v>
      </c>
      <c r="M12490" t="s">
        <v>29</v>
      </c>
      <c r="N12490" t="str">
        <f>"-S115-429714"</f>
        <v>-S115-429714</v>
      </c>
      <c r="O12490">
        <v>231121</v>
      </c>
    </row>
    <row r="12491" spans="1:15" x14ac:dyDescent="0.25">
      <c r="A12491" t="s">
        <v>16</v>
      </c>
      <c r="B12491" t="s">
        <v>3221</v>
      </c>
      <c r="C12491">
        <v>3740</v>
      </c>
      <c r="D12491" t="s">
        <v>1600</v>
      </c>
      <c r="E12491" t="s">
        <v>1601</v>
      </c>
      <c r="F12491">
        <v>1559</v>
      </c>
      <c r="G12491">
        <v>230309</v>
      </c>
      <c r="H12491">
        <v>4343</v>
      </c>
      <c r="I12491" t="s">
        <v>91</v>
      </c>
      <c r="J12491">
        <v>1933.16</v>
      </c>
      <c r="K12491">
        <v>374.16</v>
      </c>
      <c r="L12491">
        <v>11201</v>
      </c>
      <c r="M12491" t="s">
        <v>305</v>
      </c>
      <c r="N12491" t="str">
        <f>"4273        "</f>
        <v xml:space="preserve">4273        </v>
      </c>
      <c r="O12491">
        <v>230321</v>
      </c>
    </row>
    <row r="12492" spans="1:15" x14ac:dyDescent="0.25">
      <c r="A12492" t="s">
        <v>16</v>
      </c>
      <c r="B12492" t="s">
        <v>3221</v>
      </c>
      <c r="C12492">
        <v>4305</v>
      </c>
      <c r="D12492" t="s">
        <v>1687</v>
      </c>
      <c r="E12492" t="s">
        <v>1688</v>
      </c>
      <c r="F12492">
        <v>307.10000000000002</v>
      </c>
      <c r="G12492">
        <v>230330</v>
      </c>
      <c r="H12492">
        <v>4530</v>
      </c>
      <c r="I12492" t="s">
        <v>342</v>
      </c>
      <c r="J12492">
        <v>380.8</v>
      </c>
      <c r="K12492">
        <v>73.7</v>
      </c>
      <c r="L12492">
        <v>17131</v>
      </c>
      <c r="M12492" t="s">
        <v>64</v>
      </c>
      <c r="N12492" t="str">
        <f>"123/452     "</f>
        <v xml:space="preserve">123/452     </v>
      </c>
      <c r="O12492">
        <v>230404</v>
      </c>
    </row>
    <row r="12493" spans="1:15" x14ac:dyDescent="0.25">
      <c r="A12493" t="s">
        <v>16</v>
      </c>
      <c r="B12493" t="s">
        <v>3221</v>
      </c>
      <c r="C12493">
        <v>1255</v>
      </c>
      <c r="D12493" t="s">
        <v>962</v>
      </c>
      <c r="E12493" t="s">
        <v>963</v>
      </c>
      <c r="F12493">
        <v>51.31</v>
      </c>
      <c r="G12493">
        <v>230131</v>
      </c>
      <c r="H12493">
        <v>4520</v>
      </c>
      <c r="I12493" t="s">
        <v>254</v>
      </c>
      <c r="J12493">
        <v>58.49</v>
      </c>
      <c r="K12493">
        <v>7.18</v>
      </c>
      <c r="L12493">
        <v>13661</v>
      </c>
      <c r="M12493" t="s">
        <v>247</v>
      </c>
      <c r="N12493" t="str">
        <f>"2360089723  "</f>
        <v xml:space="preserve">2360089723  </v>
      </c>
      <c r="O12493">
        <v>230207</v>
      </c>
    </row>
    <row r="12494" spans="1:15" x14ac:dyDescent="0.25">
      <c r="A12494" t="s">
        <v>16</v>
      </c>
      <c r="B12494" t="s">
        <v>3221</v>
      </c>
      <c r="C12494">
        <v>2751</v>
      </c>
      <c r="D12494" t="s">
        <v>962</v>
      </c>
      <c r="E12494" t="s">
        <v>963</v>
      </c>
      <c r="F12494">
        <v>28.81</v>
      </c>
      <c r="G12494">
        <v>230228</v>
      </c>
      <c r="H12494">
        <v>4520</v>
      </c>
      <c r="I12494" t="s">
        <v>254</v>
      </c>
      <c r="J12494">
        <v>32.840000000000003</v>
      </c>
      <c r="K12494">
        <v>4.03</v>
      </c>
      <c r="L12494">
        <v>13661</v>
      </c>
      <c r="M12494" t="s">
        <v>247</v>
      </c>
      <c r="N12494" t="str">
        <f>"2360180161  "</f>
        <v xml:space="preserve">2360180161  </v>
      </c>
      <c r="O12494">
        <v>230307</v>
      </c>
    </row>
    <row r="12495" spans="1:15" x14ac:dyDescent="0.25">
      <c r="A12495" t="s">
        <v>16</v>
      </c>
      <c r="B12495" t="s">
        <v>3221</v>
      </c>
      <c r="C12495">
        <v>6028</v>
      </c>
      <c r="D12495" t="s">
        <v>962</v>
      </c>
      <c r="E12495" t="s">
        <v>963</v>
      </c>
      <c r="F12495">
        <v>46.31</v>
      </c>
      <c r="G12495">
        <v>230430</v>
      </c>
      <c r="H12495">
        <v>4520</v>
      </c>
      <c r="I12495" t="s">
        <v>254</v>
      </c>
      <c r="J12495">
        <v>52.79</v>
      </c>
      <c r="K12495">
        <v>6.48</v>
      </c>
      <c r="L12495">
        <v>13601</v>
      </c>
      <c r="M12495" t="s">
        <v>147</v>
      </c>
      <c r="N12495" t="str">
        <f>"2360373844  "</f>
        <v xml:space="preserve">2360373844  </v>
      </c>
      <c r="O12495">
        <v>230505</v>
      </c>
    </row>
    <row r="12496" spans="1:15" x14ac:dyDescent="0.25">
      <c r="A12496" t="s">
        <v>16</v>
      </c>
      <c r="B12496" t="s">
        <v>3221</v>
      </c>
      <c r="C12496">
        <v>7959</v>
      </c>
      <c r="D12496" t="s">
        <v>962</v>
      </c>
      <c r="E12496" t="s">
        <v>963</v>
      </c>
      <c r="F12496">
        <v>36.770000000000003</v>
      </c>
      <c r="G12496">
        <v>230531</v>
      </c>
      <c r="H12496">
        <v>4520</v>
      </c>
      <c r="I12496" t="s">
        <v>254</v>
      </c>
      <c r="J12496">
        <v>41.92</v>
      </c>
      <c r="K12496">
        <v>5.15</v>
      </c>
      <c r="L12496">
        <v>13601</v>
      </c>
      <c r="M12496" t="s">
        <v>147</v>
      </c>
      <c r="N12496" t="str">
        <f>"2360476699  "</f>
        <v xml:space="preserve">2360476699  </v>
      </c>
      <c r="O12496">
        <v>230606</v>
      </c>
    </row>
    <row r="12497" spans="1:15" x14ac:dyDescent="0.25">
      <c r="A12497" t="s">
        <v>16</v>
      </c>
      <c r="B12497" t="s">
        <v>3221</v>
      </c>
      <c r="C12497">
        <v>7959</v>
      </c>
      <c r="D12497" t="s">
        <v>962</v>
      </c>
      <c r="E12497" t="s">
        <v>963</v>
      </c>
      <c r="F12497">
        <v>48.66</v>
      </c>
      <c r="G12497">
        <v>230531</v>
      </c>
      <c r="H12497">
        <v>4520</v>
      </c>
      <c r="I12497" t="s">
        <v>254</v>
      </c>
      <c r="J12497">
        <v>55.47</v>
      </c>
      <c r="K12497">
        <v>6.81</v>
      </c>
      <c r="L12497">
        <v>13801</v>
      </c>
      <c r="M12497" t="s">
        <v>162</v>
      </c>
      <c r="N12497" t="str">
        <f>"2360476699  "</f>
        <v xml:space="preserve">2360476699  </v>
      </c>
      <c r="O12497">
        <v>230606</v>
      </c>
    </row>
    <row r="12498" spans="1:15" x14ac:dyDescent="0.25">
      <c r="A12498" t="s">
        <v>16</v>
      </c>
      <c r="B12498" t="s">
        <v>3221</v>
      </c>
      <c r="C12498">
        <v>9320</v>
      </c>
      <c r="D12498" t="s">
        <v>962</v>
      </c>
      <c r="E12498" t="s">
        <v>963</v>
      </c>
      <c r="F12498">
        <v>2.62</v>
      </c>
      <c r="G12498">
        <v>230630</v>
      </c>
      <c r="H12498">
        <v>4520</v>
      </c>
      <c r="I12498" t="s">
        <v>254</v>
      </c>
      <c r="J12498">
        <v>3.25</v>
      </c>
      <c r="K12498">
        <v>0.63</v>
      </c>
      <c r="L12498">
        <v>13281</v>
      </c>
      <c r="M12498" t="s">
        <v>1296</v>
      </c>
      <c r="N12498" t="str">
        <f>"2360575750  "</f>
        <v xml:space="preserve">2360575750  </v>
      </c>
      <c r="O12498">
        <v>230706</v>
      </c>
    </row>
    <row r="12499" spans="1:15" x14ac:dyDescent="0.25">
      <c r="A12499" t="s">
        <v>16</v>
      </c>
      <c r="B12499" t="s">
        <v>3221</v>
      </c>
      <c r="C12499">
        <v>9320</v>
      </c>
      <c r="D12499" t="s">
        <v>962</v>
      </c>
      <c r="E12499" t="s">
        <v>963</v>
      </c>
      <c r="F12499">
        <v>48.39</v>
      </c>
      <c r="G12499">
        <v>230630</v>
      </c>
      <c r="H12499">
        <v>4520</v>
      </c>
      <c r="I12499" t="s">
        <v>254</v>
      </c>
      <c r="J12499">
        <v>55.16</v>
      </c>
      <c r="K12499">
        <v>6.77</v>
      </c>
      <c r="L12499">
        <v>13281</v>
      </c>
      <c r="M12499" t="s">
        <v>1296</v>
      </c>
      <c r="N12499" t="str">
        <f>"2360575750  "</f>
        <v xml:space="preserve">2360575750  </v>
      </c>
      <c r="O12499">
        <v>230706</v>
      </c>
    </row>
    <row r="12500" spans="1:15" x14ac:dyDescent="0.25">
      <c r="A12500" t="s">
        <v>16</v>
      </c>
      <c r="B12500" t="s">
        <v>3221</v>
      </c>
      <c r="C12500">
        <v>11661</v>
      </c>
      <c r="D12500" t="s">
        <v>962</v>
      </c>
      <c r="E12500" t="s">
        <v>963</v>
      </c>
      <c r="F12500">
        <v>14.35</v>
      </c>
      <c r="G12500">
        <v>230831</v>
      </c>
      <c r="H12500">
        <v>4520</v>
      </c>
      <c r="I12500" t="s">
        <v>254</v>
      </c>
      <c r="J12500">
        <v>16.36</v>
      </c>
      <c r="K12500">
        <v>2.0099999999999998</v>
      </c>
      <c r="L12500">
        <v>13661</v>
      </c>
      <c r="M12500" t="s">
        <v>247</v>
      </c>
      <c r="N12500" t="str">
        <f>"2360771927  "</f>
        <v xml:space="preserve">2360771927  </v>
      </c>
      <c r="O12500">
        <v>230908</v>
      </c>
    </row>
    <row r="12501" spans="1:15" x14ac:dyDescent="0.25">
      <c r="A12501" t="s">
        <v>16</v>
      </c>
      <c r="B12501" t="s">
        <v>3221</v>
      </c>
      <c r="C12501">
        <v>11661</v>
      </c>
      <c r="D12501" t="s">
        <v>962</v>
      </c>
      <c r="E12501" t="s">
        <v>963</v>
      </c>
      <c r="F12501">
        <v>39.22</v>
      </c>
      <c r="G12501">
        <v>230831</v>
      </c>
      <c r="H12501">
        <v>4520</v>
      </c>
      <c r="I12501" t="s">
        <v>254</v>
      </c>
      <c r="J12501">
        <v>44.71</v>
      </c>
      <c r="K12501">
        <v>5.49</v>
      </c>
      <c r="L12501">
        <v>13801</v>
      </c>
      <c r="M12501" t="s">
        <v>162</v>
      </c>
      <c r="N12501" t="str">
        <f>"2360771927  "</f>
        <v xml:space="preserve">2360771927  </v>
      </c>
      <c r="O12501">
        <v>230908</v>
      </c>
    </row>
    <row r="12502" spans="1:15" x14ac:dyDescent="0.25">
      <c r="A12502" t="s">
        <v>16</v>
      </c>
      <c r="B12502" t="s">
        <v>3221</v>
      </c>
      <c r="C12502">
        <v>11661</v>
      </c>
      <c r="D12502" t="s">
        <v>962</v>
      </c>
      <c r="E12502" t="s">
        <v>963</v>
      </c>
      <c r="F12502">
        <v>14.35</v>
      </c>
      <c r="G12502">
        <v>230831</v>
      </c>
      <c r="H12502">
        <v>4520</v>
      </c>
      <c r="I12502" t="s">
        <v>254</v>
      </c>
      <c r="J12502">
        <v>16.36</v>
      </c>
      <c r="K12502">
        <v>2.0099999999999998</v>
      </c>
      <c r="L12502">
        <v>13861</v>
      </c>
      <c r="M12502" t="s">
        <v>1143</v>
      </c>
      <c r="N12502" t="str">
        <f>"2360771927  "</f>
        <v xml:space="preserve">2360771927  </v>
      </c>
      <c r="O12502">
        <v>230908</v>
      </c>
    </row>
    <row r="12503" spans="1:15" x14ac:dyDescent="0.25">
      <c r="A12503" t="s">
        <v>16</v>
      </c>
      <c r="B12503" t="s">
        <v>3221</v>
      </c>
      <c r="C12503">
        <v>13524</v>
      </c>
      <c r="D12503" t="s">
        <v>962</v>
      </c>
      <c r="E12503" t="s">
        <v>963</v>
      </c>
      <c r="F12503">
        <v>126.25</v>
      </c>
      <c r="G12503">
        <v>230930</v>
      </c>
      <c r="H12503">
        <v>4520</v>
      </c>
      <c r="I12503" t="s">
        <v>254</v>
      </c>
      <c r="J12503">
        <v>143.93</v>
      </c>
      <c r="K12503">
        <v>17.68</v>
      </c>
      <c r="L12503">
        <v>13601</v>
      </c>
      <c r="M12503" t="s">
        <v>147</v>
      </c>
      <c r="N12503" t="str">
        <f>"2360873493  "</f>
        <v xml:space="preserve">2360873493  </v>
      </c>
      <c r="O12503">
        <v>231011</v>
      </c>
    </row>
    <row r="12504" spans="1:15" x14ac:dyDescent="0.25">
      <c r="A12504" t="s">
        <v>16</v>
      </c>
      <c r="B12504" t="s">
        <v>3221</v>
      </c>
      <c r="C12504">
        <v>13524</v>
      </c>
      <c r="D12504" t="s">
        <v>962</v>
      </c>
      <c r="E12504" t="s">
        <v>963</v>
      </c>
      <c r="F12504">
        <v>18.53</v>
      </c>
      <c r="G12504">
        <v>230930</v>
      </c>
      <c r="H12504">
        <v>4520</v>
      </c>
      <c r="I12504" t="s">
        <v>254</v>
      </c>
      <c r="J12504">
        <v>21.12</v>
      </c>
      <c r="K12504">
        <v>2.59</v>
      </c>
      <c r="L12504">
        <v>13601</v>
      </c>
      <c r="M12504" t="s">
        <v>147</v>
      </c>
      <c r="N12504" t="str">
        <f>"2360873493  "</f>
        <v xml:space="preserve">2360873493  </v>
      </c>
      <c r="O12504">
        <v>231011</v>
      </c>
    </row>
    <row r="12505" spans="1:15" x14ac:dyDescent="0.25">
      <c r="A12505" t="s">
        <v>16</v>
      </c>
      <c r="B12505" t="s">
        <v>3221</v>
      </c>
      <c r="C12505">
        <v>14924</v>
      </c>
      <c r="D12505" t="s">
        <v>962</v>
      </c>
      <c r="E12505" t="s">
        <v>963</v>
      </c>
      <c r="F12505">
        <v>38.11</v>
      </c>
      <c r="G12505">
        <v>231031</v>
      </c>
      <c r="H12505">
        <v>4520</v>
      </c>
      <c r="I12505" t="s">
        <v>254</v>
      </c>
      <c r="J12505">
        <v>43.45</v>
      </c>
      <c r="K12505">
        <v>5.34</v>
      </c>
      <c r="L12505">
        <v>13601</v>
      </c>
      <c r="M12505" t="s">
        <v>147</v>
      </c>
      <c r="N12505" t="str">
        <f>"2360973707  "</f>
        <v xml:space="preserve">2360973707  </v>
      </c>
      <c r="O12505">
        <v>231107</v>
      </c>
    </row>
    <row r="12506" spans="1:15" x14ac:dyDescent="0.25">
      <c r="A12506" t="s">
        <v>16</v>
      </c>
      <c r="B12506" t="s">
        <v>3221</v>
      </c>
      <c r="C12506">
        <v>16784</v>
      </c>
      <c r="D12506" t="s">
        <v>962</v>
      </c>
      <c r="E12506" t="s">
        <v>963</v>
      </c>
      <c r="F12506">
        <v>12.18</v>
      </c>
      <c r="G12506">
        <v>231130</v>
      </c>
      <c r="H12506">
        <v>4520</v>
      </c>
      <c r="I12506" t="s">
        <v>254</v>
      </c>
      <c r="J12506">
        <v>13.89</v>
      </c>
      <c r="K12506">
        <v>1.71</v>
      </c>
      <c r="L12506">
        <v>17804</v>
      </c>
      <c r="M12506" t="s">
        <v>549</v>
      </c>
      <c r="N12506" t="str">
        <f>"2361077447  "</f>
        <v xml:space="preserve">2361077447  </v>
      </c>
      <c r="O12506">
        <v>231208</v>
      </c>
    </row>
    <row r="12507" spans="1:15" x14ac:dyDescent="0.25">
      <c r="A12507" t="s">
        <v>16</v>
      </c>
      <c r="B12507" t="s">
        <v>3221</v>
      </c>
      <c r="C12507">
        <v>18736</v>
      </c>
      <c r="D12507" t="s">
        <v>962</v>
      </c>
      <c r="E12507" t="s">
        <v>963</v>
      </c>
      <c r="F12507">
        <v>36.35</v>
      </c>
      <c r="G12507">
        <v>231231</v>
      </c>
      <c r="H12507">
        <v>4520</v>
      </c>
      <c r="I12507" t="s">
        <v>254</v>
      </c>
      <c r="J12507">
        <v>41.44</v>
      </c>
      <c r="K12507">
        <v>5.09</v>
      </c>
      <c r="L12507">
        <v>16321</v>
      </c>
      <c r="M12507" t="s">
        <v>423</v>
      </c>
      <c r="N12507" t="str">
        <f>"2361172293  "</f>
        <v xml:space="preserve">2361172293  </v>
      </c>
      <c r="O12507">
        <v>240105</v>
      </c>
    </row>
    <row r="12508" spans="1:15" x14ac:dyDescent="0.25">
      <c r="A12508" t="s">
        <v>16</v>
      </c>
      <c r="B12508" t="s">
        <v>3221</v>
      </c>
      <c r="C12508">
        <v>1255</v>
      </c>
      <c r="D12508" t="s">
        <v>962</v>
      </c>
      <c r="E12508" t="s">
        <v>963</v>
      </c>
      <c r="F12508">
        <v>8.86</v>
      </c>
      <c r="G12508">
        <v>230131</v>
      </c>
      <c r="H12508">
        <v>4600</v>
      </c>
      <c r="I12508" t="s">
        <v>105</v>
      </c>
      <c r="J12508">
        <v>10.99</v>
      </c>
      <c r="K12508">
        <v>2.13</v>
      </c>
      <c r="L12508">
        <v>13661</v>
      </c>
      <c r="M12508" t="s">
        <v>247</v>
      </c>
      <c r="N12508" t="str">
        <f>"2360089723  "</f>
        <v xml:space="preserve">2360089723  </v>
      </c>
      <c r="O12508">
        <v>230207</v>
      </c>
    </row>
    <row r="12509" spans="1:15" x14ac:dyDescent="0.25">
      <c r="A12509" t="s">
        <v>16</v>
      </c>
      <c r="B12509" t="s">
        <v>3221</v>
      </c>
      <c r="C12509">
        <v>2751</v>
      </c>
      <c r="D12509" t="s">
        <v>962</v>
      </c>
      <c r="E12509" t="s">
        <v>963</v>
      </c>
      <c r="F12509">
        <v>6.15</v>
      </c>
      <c r="G12509">
        <v>230228</v>
      </c>
      <c r="H12509">
        <v>4600</v>
      </c>
      <c r="I12509" t="s">
        <v>105</v>
      </c>
      <c r="J12509">
        <v>7.63</v>
      </c>
      <c r="K12509">
        <v>1.48</v>
      </c>
      <c r="L12509">
        <v>13661</v>
      </c>
      <c r="M12509" t="s">
        <v>247</v>
      </c>
      <c r="N12509" t="str">
        <f>"2360180161  "</f>
        <v xml:space="preserve">2360180161  </v>
      </c>
      <c r="O12509">
        <v>230307</v>
      </c>
    </row>
    <row r="12510" spans="1:15" x14ac:dyDescent="0.25">
      <c r="A12510" t="s">
        <v>16</v>
      </c>
      <c r="B12510" t="s">
        <v>3221</v>
      </c>
      <c r="C12510">
        <v>6028</v>
      </c>
      <c r="D12510" t="s">
        <v>962</v>
      </c>
      <c r="E12510" t="s">
        <v>963</v>
      </c>
      <c r="F12510">
        <v>12.98</v>
      </c>
      <c r="G12510">
        <v>230430</v>
      </c>
      <c r="H12510">
        <v>4600</v>
      </c>
      <c r="I12510" t="s">
        <v>105</v>
      </c>
      <c r="J12510">
        <v>16.100000000000001</v>
      </c>
      <c r="K12510">
        <v>3.12</v>
      </c>
      <c r="L12510">
        <v>13601</v>
      </c>
      <c r="M12510" t="s">
        <v>147</v>
      </c>
      <c r="N12510" t="str">
        <f>"2360373844  "</f>
        <v xml:space="preserve">2360373844  </v>
      </c>
      <c r="O12510">
        <v>230505</v>
      </c>
    </row>
    <row r="12511" spans="1:15" x14ac:dyDescent="0.25">
      <c r="A12511" t="s">
        <v>16</v>
      </c>
      <c r="B12511" t="s">
        <v>3221</v>
      </c>
      <c r="C12511">
        <v>7959</v>
      </c>
      <c r="D12511" t="s">
        <v>962</v>
      </c>
      <c r="E12511" t="s">
        <v>963</v>
      </c>
      <c r="F12511">
        <v>4.26</v>
      </c>
      <c r="G12511">
        <v>230531</v>
      </c>
      <c r="H12511">
        <v>4600</v>
      </c>
      <c r="I12511" t="s">
        <v>105</v>
      </c>
      <c r="J12511">
        <v>5.28</v>
      </c>
      <c r="K12511">
        <v>1.02</v>
      </c>
      <c r="L12511">
        <v>13801</v>
      </c>
      <c r="M12511" t="s">
        <v>162</v>
      </c>
      <c r="N12511" t="str">
        <f>"2360476699  "</f>
        <v xml:space="preserve">2360476699  </v>
      </c>
      <c r="O12511">
        <v>230606</v>
      </c>
    </row>
    <row r="12512" spans="1:15" x14ac:dyDescent="0.25">
      <c r="A12512" t="s">
        <v>16</v>
      </c>
      <c r="B12512" t="s">
        <v>3221</v>
      </c>
      <c r="C12512">
        <v>11661</v>
      </c>
      <c r="D12512" t="s">
        <v>962</v>
      </c>
      <c r="E12512" t="s">
        <v>963</v>
      </c>
      <c r="F12512">
        <v>16.760000000000002</v>
      </c>
      <c r="G12512">
        <v>230831</v>
      </c>
      <c r="H12512">
        <v>4600</v>
      </c>
      <c r="I12512" t="s">
        <v>105</v>
      </c>
      <c r="J12512">
        <v>20.78</v>
      </c>
      <c r="K12512">
        <v>4.0199999999999996</v>
      </c>
      <c r="L12512">
        <v>13661</v>
      </c>
      <c r="M12512" t="s">
        <v>247</v>
      </c>
      <c r="N12512" t="str">
        <f>"2360771927  "</f>
        <v xml:space="preserve">2360771927  </v>
      </c>
      <c r="O12512">
        <v>230908</v>
      </c>
    </row>
    <row r="12513" spans="1:15" x14ac:dyDescent="0.25">
      <c r="A12513" t="s">
        <v>16</v>
      </c>
      <c r="B12513" t="s">
        <v>3221</v>
      </c>
      <c r="C12513">
        <v>13524</v>
      </c>
      <c r="D12513" t="s">
        <v>962</v>
      </c>
      <c r="E12513" t="s">
        <v>963</v>
      </c>
      <c r="F12513">
        <v>37.74</v>
      </c>
      <c r="G12513">
        <v>230930</v>
      </c>
      <c r="H12513">
        <v>4600</v>
      </c>
      <c r="I12513" t="s">
        <v>105</v>
      </c>
      <c r="J12513">
        <v>46.8</v>
      </c>
      <c r="K12513">
        <v>9.06</v>
      </c>
      <c r="L12513">
        <v>13601</v>
      </c>
      <c r="M12513" t="s">
        <v>147</v>
      </c>
      <c r="N12513" t="str">
        <f>"2360873493  "</f>
        <v xml:space="preserve">2360873493  </v>
      </c>
      <c r="O12513">
        <v>231011</v>
      </c>
    </row>
    <row r="12514" spans="1:15" x14ac:dyDescent="0.25">
      <c r="A12514" t="s">
        <v>16</v>
      </c>
      <c r="B12514" t="s">
        <v>3221</v>
      </c>
      <c r="C12514">
        <v>14924</v>
      </c>
      <c r="D12514" t="s">
        <v>962</v>
      </c>
      <c r="E12514" t="s">
        <v>963</v>
      </c>
      <c r="F12514">
        <v>47.84</v>
      </c>
      <c r="G12514">
        <v>231031</v>
      </c>
      <c r="H12514">
        <v>4600</v>
      </c>
      <c r="I12514" t="s">
        <v>105</v>
      </c>
      <c r="J12514">
        <v>59.32</v>
      </c>
      <c r="K12514">
        <v>11.48</v>
      </c>
      <c r="L12514">
        <v>13601</v>
      </c>
      <c r="M12514" t="s">
        <v>147</v>
      </c>
      <c r="N12514" t="str">
        <f>"2360973707  "</f>
        <v xml:space="preserve">2360973707  </v>
      </c>
      <c r="O12514">
        <v>231107</v>
      </c>
    </row>
    <row r="12515" spans="1:15" x14ac:dyDescent="0.25">
      <c r="A12515" t="s">
        <v>16</v>
      </c>
      <c r="B12515" t="s">
        <v>3221</v>
      </c>
      <c r="C12515">
        <v>18736</v>
      </c>
      <c r="D12515" t="s">
        <v>962</v>
      </c>
      <c r="E12515" t="s">
        <v>963</v>
      </c>
      <c r="F12515">
        <v>2.57</v>
      </c>
      <c r="G12515">
        <v>231231</v>
      </c>
      <c r="H12515">
        <v>4600</v>
      </c>
      <c r="I12515" t="s">
        <v>105</v>
      </c>
      <c r="J12515">
        <v>3.19</v>
      </c>
      <c r="K12515">
        <v>0.62</v>
      </c>
      <c r="L12515">
        <v>16321</v>
      </c>
      <c r="M12515" t="s">
        <v>423</v>
      </c>
      <c r="N12515" t="str">
        <f>"2361172293  "</f>
        <v xml:space="preserve">2361172293  </v>
      </c>
      <c r="O12515">
        <v>240105</v>
      </c>
    </row>
    <row r="12516" spans="1:15" x14ac:dyDescent="0.25">
      <c r="A12516" t="s">
        <v>16</v>
      </c>
      <c r="B12516" t="s">
        <v>3221</v>
      </c>
      <c r="C12516">
        <v>9320</v>
      </c>
      <c r="D12516" t="s">
        <v>962</v>
      </c>
      <c r="E12516" t="s">
        <v>963</v>
      </c>
      <c r="F12516">
        <v>4.0199999999999996</v>
      </c>
      <c r="G12516">
        <v>230630</v>
      </c>
      <c r="H12516">
        <v>4940</v>
      </c>
      <c r="I12516" t="s">
        <v>514</v>
      </c>
      <c r="J12516">
        <v>4.99</v>
      </c>
      <c r="K12516">
        <v>0.97</v>
      </c>
      <c r="L12516">
        <v>13281</v>
      </c>
      <c r="M12516" t="s">
        <v>1296</v>
      </c>
      <c r="N12516" t="str">
        <f>"2360575750  "</f>
        <v xml:space="preserve">2360575750  </v>
      </c>
      <c r="O12516">
        <v>230706</v>
      </c>
    </row>
    <row r="12517" spans="1:15" x14ac:dyDescent="0.25">
      <c r="A12517" t="s">
        <v>16</v>
      </c>
      <c r="B12517" t="s">
        <v>3221</v>
      </c>
      <c r="C12517">
        <v>9320</v>
      </c>
      <c r="D12517" t="s">
        <v>962</v>
      </c>
      <c r="E12517" t="s">
        <v>963</v>
      </c>
      <c r="F12517">
        <v>92</v>
      </c>
      <c r="G12517">
        <v>230630</v>
      </c>
      <c r="H12517">
        <v>4364</v>
      </c>
      <c r="I12517" t="s">
        <v>296</v>
      </c>
      <c r="J12517">
        <v>92</v>
      </c>
      <c r="K12517">
        <v>0</v>
      </c>
      <c r="L12517">
        <v>13802</v>
      </c>
      <c r="M12517" t="s">
        <v>200</v>
      </c>
      <c r="N12517" t="str">
        <f>"2360575750  "</f>
        <v xml:space="preserve">2360575750  </v>
      </c>
      <c r="O12517">
        <v>230706</v>
      </c>
    </row>
    <row r="12518" spans="1:15" x14ac:dyDescent="0.25">
      <c r="A12518" t="s">
        <v>16</v>
      </c>
      <c r="B12518" t="s">
        <v>3221</v>
      </c>
      <c r="C12518">
        <v>9320</v>
      </c>
      <c r="D12518" t="s">
        <v>962</v>
      </c>
      <c r="E12518" t="s">
        <v>963</v>
      </c>
      <c r="F12518">
        <v>6.69</v>
      </c>
      <c r="G12518">
        <v>230630</v>
      </c>
      <c r="H12518">
        <v>4550</v>
      </c>
      <c r="I12518" t="s">
        <v>312</v>
      </c>
      <c r="J12518">
        <v>8.3000000000000007</v>
      </c>
      <c r="K12518">
        <v>1.61</v>
      </c>
      <c r="L12518">
        <v>13661</v>
      </c>
      <c r="M12518" t="s">
        <v>247</v>
      </c>
      <c r="N12518" t="str">
        <f>"2360575750  "</f>
        <v xml:space="preserve">2360575750  </v>
      </c>
      <c r="O12518">
        <v>230706</v>
      </c>
    </row>
    <row r="12519" spans="1:15" x14ac:dyDescent="0.25">
      <c r="A12519" t="s">
        <v>16</v>
      </c>
      <c r="B12519" t="s">
        <v>3221</v>
      </c>
      <c r="C12519">
        <v>16784</v>
      </c>
      <c r="D12519" t="s">
        <v>962</v>
      </c>
      <c r="E12519" t="s">
        <v>963</v>
      </c>
      <c r="F12519">
        <v>6.66</v>
      </c>
      <c r="G12519">
        <v>231130</v>
      </c>
      <c r="H12519">
        <v>4550</v>
      </c>
      <c r="I12519" t="s">
        <v>312</v>
      </c>
      <c r="J12519">
        <v>8.26</v>
      </c>
      <c r="K12519">
        <v>1.6</v>
      </c>
      <c r="L12519">
        <v>17804</v>
      </c>
      <c r="M12519" t="s">
        <v>549</v>
      </c>
      <c r="N12519" t="str">
        <f>"2361077447  "</f>
        <v xml:space="preserve">2361077447  </v>
      </c>
      <c r="O12519">
        <v>231208</v>
      </c>
    </row>
    <row r="12520" spans="1:15" x14ac:dyDescent="0.25">
      <c r="A12520" t="s">
        <v>16</v>
      </c>
      <c r="B12520" t="s">
        <v>3221</v>
      </c>
      <c r="C12520">
        <v>16784</v>
      </c>
      <c r="D12520" t="s">
        <v>962</v>
      </c>
      <c r="E12520" t="s">
        <v>963</v>
      </c>
      <c r="F12520">
        <v>4.03</v>
      </c>
      <c r="G12520">
        <v>231130</v>
      </c>
      <c r="H12520">
        <v>4347</v>
      </c>
      <c r="I12520" t="s">
        <v>193</v>
      </c>
      <c r="J12520">
        <v>5</v>
      </c>
      <c r="K12520">
        <v>0.97</v>
      </c>
      <c r="L12520">
        <v>17804</v>
      </c>
      <c r="M12520" t="s">
        <v>549</v>
      </c>
      <c r="N12520" t="str">
        <f>"2361077447  "</f>
        <v xml:space="preserve">2361077447  </v>
      </c>
      <c r="O12520">
        <v>231208</v>
      </c>
    </row>
    <row r="12521" spans="1:15" x14ac:dyDescent="0.25">
      <c r="A12521" t="s">
        <v>16</v>
      </c>
      <c r="B12521" t="s">
        <v>3221</v>
      </c>
      <c r="C12521">
        <v>1080</v>
      </c>
      <c r="D12521" t="s">
        <v>866</v>
      </c>
      <c r="E12521" t="s">
        <v>867</v>
      </c>
      <c r="F12521">
        <v>8325</v>
      </c>
      <c r="G12521">
        <v>230127</v>
      </c>
      <c r="H12521">
        <v>1197</v>
      </c>
      <c r="I12521" t="s">
        <v>868</v>
      </c>
      <c r="J12521">
        <v>8325</v>
      </c>
      <c r="K12521">
        <v>0</v>
      </c>
      <c r="L12521">
        <v>97701</v>
      </c>
      <c r="M12521" t="s">
        <v>869</v>
      </c>
      <c r="N12521" t="str">
        <f>"6023010022  "</f>
        <v xml:space="preserve">6023010022  </v>
      </c>
      <c r="O12521">
        <v>230203</v>
      </c>
    </row>
    <row r="12522" spans="1:15" x14ac:dyDescent="0.25">
      <c r="A12522" t="s">
        <v>16</v>
      </c>
      <c r="B12522" t="s">
        <v>3221</v>
      </c>
      <c r="C12522">
        <v>2281</v>
      </c>
      <c r="D12522" t="s">
        <v>866</v>
      </c>
      <c r="E12522" t="s">
        <v>867</v>
      </c>
      <c r="F12522">
        <v>5550</v>
      </c>
      <c r="G12522">
        <v>230206</v>
      </c>
      <c r="H12522">
        <v>1197</v>
      </c>
      <c r="I12522" t="s">
        <v>868</v>
      </c>
      <c r="J12522">
        <v>5550</v>
      </c>
      <c r="K12522">
        <v>0</v>
      </c>
      <c r="L12522">
        <v>97701</v>
      </c>
      <c r="M12522" t="s">
        <v>869</v>
      </c>
      <c r="N12522" t="str">
        <f>"6023020004  "</f>
        <v xml:space="preserve">6023020004  </v>
      </c>
      <c r="O12522">
        <v>230223</v>
      </c>
    </row>
    <row r="12523" spans="1:15" x14ac:dyDescent="0.25">
      <c r="A12523" t="s">
        <v>16</v>
      </c>
      <c r="B12523" t="s">
        <v>3221</v>
      </c>
      <c r="C12523">
        <v>3929</v>
      </c>
      <c r="D12523" t="s">
        <v>1638</v>
      </c>
      <c r="E12523" t="s">
        <v>1639</v>
      </c>
      <c r="F12523">
        <v>4700</v>
      </c>
      <c r="G12523">
        <v>230324</v>
      </c>
      <c r="H12523">
        <v>4390</v>
      </c>
      <c r="I12523" t="s">
        <v>98</v>
      </c>
      <c r="J12523">
        <v>4700</v>
      </c>
      <c r="K12523">
        <v>0</v>
      </c>
      <c r="L12523">
        <v>17952</v>
      </c>
      <c r="M12523" t="s">
        <v>88</v>
      </c>
      <c r="N12523" t="str">
        <f>"10074       "</f>
        <v xml:space="preserve">10074       </v>
      </c>
      <c r="O12523">
        <v>230327</v>
      </c>
    </row>
    <row r="12524" spans="1:15" x14ac:dyDescent="0.25">
      <c r="A12524" t="s">
        <v>16</v>
      </c>
      <c r="B12524" t="s">
        <v>3221</v>
      </c>
      <c r="C12524">
        <v>10125</v>
      </c>
      <c r="D12524" t="s">
        <v>2343</v>
      </c>
      <c r="E12524" t="s">
        <v>2344</v>
      </c>
      <c r="F12524">
        <v>657</v>
      </c>
      <c r="G12524">
        <v>230728</v>
      </c>
      <c r="H12524">
        <v>4390</v>
      </c>
      <c r="I12524" t="s">
        <v>98</v>
      </c>
      <c r="J12524">
        <v>814.68</v>
      </c>
      <c r="K12524">
        <v>157.68</v>
      </c>
      <c r="L12524">
        <v>17950</v>
      </c>
      <c r="M12524" t="s">
        <v>86</v>
      </c>
      <c r="N12524" t="str">
        <f>"33677       "</f>
        <v xml:space="preserve">33677       </v>
      </c>
      <c r="O12524">
        <v>230808</v>
      </c>
    </row>
    <row r="12525" spans="1:15" x14ac:dyDescent="0.25">
      <c r="A12525" t="s">
        <v>16</v>
      </c>
      <c r="B12525" t="s">
        <v>3221</v>
      </c>
      <c r="C12525">
        <v>13621</v>
      </c>
      <c r="D12525" t="s">
        <v>2693</v>
      </c>
      <c r="E12525" t="s">
        <v>2694</v>
      </c>
      <c r="F12525">
        <v>1198</v>
      </c>
      <c r="G12525">
        <v>230930</v>
      </c>
      <c r="H12525">
        <v>4470</v>
      </c>
      <c r="I12525" t="s">
        <v>83</v>
      </c>
      <c r="J12525">
        <v>1485.52</v>
      </c>
      <c r="K12525">
        <v>287.52</v>
      </c>
      <c r="L12525">
        <v>67554</v>
      </c>
      <c r="M12525" t="s">
        <v>60</v>
      </c>
      <c r="N12525" t="str">
        <f>"302444      "</f>
        <v xml:space="preserve">302444      </v>
      </c>
      <c r="O12525">
        <v>231012</v>
      </c>
    </row>
    <row r="12526" spans="1:15" x14ac:dyDescent="0.25">
      <c r="A12526" t="s">
        <v>16</v>
      </c>
      <c r="B12526" t="s">
        <v>3221</v>
      </c>
      <c r="C12526">
        <v>3617</v>
      </c>
      <c r="D12526" t="s">
        <v>1140</v>
      </c>
      <c r="E12526" t="s">
        <v>1141</v>
      </c>
      <c r="F12526">
        <v>317</v>
      </c>
      <c r="G12526">
        <v>230314</v>
      </c>
      <c r="H12526">
        <v>4580</v>
      </c>
      <c r="I12526" t="s">
        <v>35</v>
      </c>
      <c r="J12526">
        <v>393.08</v>
      </c>
      <c r="K12526">
        <v>76.08</v>
      </c>
      <c r="L12526">
        <v>17915</v>
      </c>
      <c r="M12526" t="s">
        <v>572</v>
      </c>
      <c r="N12526" t="str">
        <f>"9491035483  "</f>
        <v xml:space="preserve">9491035483  </v>
      </c>
      <c r="O12526">
        <v>230317</v>
      </c>
    </row>
    <row r="12527" spans="1:15" x14ac:dyDescent="0.25">
      <c r="A12527" t="s">
        <v>16</v>
      </c>
      <c r="B12527" t="s">
        <v>3221</v>
      </c>
      <c r="C12527">
        <v>7947</v>
      </c>
      <c r="D12527" t="s">
        <v>1140</v>
      </c>
      <c r="E12527" t="s">
        <v>1141</v>
      </c>
      <c r="F12527">
        <v>561</v>
      </c>
      <c r="G12527">
        <v>230530</v>
      </c>
      <c r="H12527">
        <v>4580</v>
      </c>
      <c r="I12527" t="s">
        <v>35</v>
      </c>
      <c r="J12527">
        <v>695.64</v>
      </c>
      <c r="K12527">
        <v>134.63999999999999</v>
      </c>
      <c r="L12527">
        <v>14432</v>
      </c>
      <c r="M12527" t="s">
        <v>862</v>
      </c>
      <c r="N12527" t="str">
        <f>"9491060784  "</f>
        <v xml:space="preserve">9491060784  </v>
      </c>
      <c r="O12527">
        <v>230606</v>
      </c>
    </row>
    <row r="12528" spans="1:15" x14ac:dyDescent="0.25">
      <c r="A12528" t="s">
        <v>16</v>
      </c>
      <c r="B12528" t="s">
        <v>3221</v>
      </c>
      <c r="C12528">
        <v>13062</v>
      </c>
      <c r="D12528" t="s">
        <v>1140</v>
      </c>
      <c r="E12528" t="s">
        <v>1141</v>
      </c>
      <c r="F12528">
        <v>86.9</v>
      </c>
      <c r="G12528">
        <v>230925</v>
      </c>
      <c r="H12528">
        <v>4580</v>
      </c>
      <c r="I12528" t="s">
        <v>35</v>
      </c>
      <c r="J12528">
        <v>107.76</v>
      </c>
      <c r="K12528">
        <v>20.86</v>
      </c>
      <c r="L12528">
        <v>59113</v>
      </c>
      <c r="M12528" t="s">
        <v>235</v>
      </c>
      <c r="N12528" t="str">
        <f>"9491097400  "</f>
        <v xml:space="preserve">9491097400  </v>
      </c>
      <c r="O12528">
        <v>231003</v>
      </c>
    </row>
    <row r="12529" spans="1:15" x14ac:dyDescent="0.25">
      <c r="A12529" t="s">
        <v>16</v>
      </c>
      <c r="B12529" t="s">
        <v>3221</v>
      </c>
      <c r="C12529">
        <v>17064</v>
      </c>
      <c r="D12529" t="s">
        <v>1140</v>
      </c>
      <c r="E12529" t="s">
        <v>1141</v>
      </c>
      <c r="F12529">
        <v>6081.34</v>
      </c>
      <c r="G12529">
        <v>231129</v>
      </c>
      <c r="H12529">
        <v>4580</v>
      </c>
      <c r="I12529" t="s">
        <v>35</v>
      </c>
      <c r="J12529">
        <v>7540.86</v>
      </c>
      <c r="K12529">
        <v>1459.52</v>
      </c>
      <c r="L12529">
        <v>16431</v>
      </c>
      <c r="M12529" t="s">
        <v>231</v>
      </c>
      <c r="N12529" t="str">
        <f>"9491120526  "</f>
        <v xml:space="preserve">9491120526  </v>
      </c>
      <c r="O12529">
        <v>231212</v>
      </c>
    </row>
    <row r="12530" spans="1:15" x14ac:dyDescent="0.25">
      <c r="A12530" t="s">
        <v>16</v>
      </c>
      <c r="B12530" t="s">
        <v>3221</v>
      </c>
      <c r="C12530">
        <v>15821</v>
      </c>
      <c r="D12530" t="s">
        <v>1140</v>
      </c>
      <c r="E12530" t="s">
        <v>1141</v>
      </c>
      <c r="F12530">
        <v>29390.52</v>
      </c>
      <c r="G12530">
        <v>231031</v>
      </c>
      <c r="H12530">
        <v>1198</v>
      </c>
      <c r="I12530" t="s">
        <v>1128</v>
      </c>
      <c r="J12530">
        <v>36444.239999999998</v>
      </c>
      <c r="K12530">
        <v>7053.72</v>
      </c>
      <c r="L12530">
        <v>97627</v>
      </c>
      <c r="M12530" t="s">
        <v>2332</v>
      </c>
      <c r="N12530" t="str">
        <f>"9491110553  "</f>
        <v xml:space="preserve">9491110553  </v>
      </c>
      <c r="O12530">
        <v>231120</v>
      </c>
    </row>
    <row r="12531" spans="1:15" x14ac:dyDescent="0.25">
      <c r="A12531" t="s">
        <v>16</v>
      </c>
      <c r="B12531" t="s">
        <v>3221</v>
      </c>
      <c r="C12531">
        <v>1961</v>
      </c>
      <c r="D12531" t="s">
        <v>1140</v>
      </c>
      <c r="E12531" t="s">
        <v>1141</v>
      </c>
      <c r="F12531">
        <v>358.2</v>
      </c>
      <c r="G12531">
        <v>230214</v>
      </c>
      <c r="H12531">
        <v>4400</v>
      </c>
      <c r="I12531" t="s">
        <v>348</v>
      </c>
      <c r="J12531">
        <v>444.17</v>
      </c>
      <c r="K12531">
        <v>85.97</v>
      </c>
      <c r="L12531">
        <v>49501</v>
      </c>
      <c r="M12531" t="s">
        <v>177</v>
      </c>
      <c r="N12531" t="str">
        <f>"9491025686  "</f>
        <v xml:space="preserve">9491025686  </v>
      </c>
      <c r="O12531">
        <v>230216</v>
      </c>
    </row>
    <row r="12532" spans="1:15" x14ac:dyDescent="0.25">
      <c r="A12532" t="s">
        <v>16</v>
      </c>
      <c r="B12532" t="s">
        <v>3221</v>
      </c>
      <c r="C12532">
        <v>3106</v>
      </c>
      <c r="D12532" t="s">
        <v>1140</v>
      </c>
      <c r="E12532" t="s">
        <v>1141</v>
      </c>
      <c r="F12532">
        <v>531.02</v>
      </c>
      <c r="G12532">
        <v>230307</v>
      </c>
      <c r="H12532">
        <v>4400</v>
      </c>
      <c r="I12532" t="s">
        <v>348</v>
      </c>
      <c r="J12532">
        <v>658.46</v>
      </c>
      <c r="K12532">
        <v>127.44</v>
      </c>
      <c r="L12532">
        <v>17915</v>
      </c>
      <c r="M12532" t="s">
        <v>572</v>
      </c>
      <c r="N12532" t="str">
        <f>"9491032933  "</f>
        <v xml:space="preserve">9491032933  </v>
      </c>
      <c r="O12532">
        <v>230309</v>
      </c>
    </row>
    <row r="12533" spans="1:15" x14ac:dyDescent="0.25">
      <c r="A12533" t="s">
        <v>16</v>
      </c>
      <c r="B12533" t="s">
        <v>3221</v>
      </c>
      <c r="C12533">
        <v>6417</v>
      </c>
      <c r="D12533" t="s">
        <v>1140</v>
      </c>
      <c r="E12533" t="s">
        <v>1141</v>
      </c>
      <c r="F12533">
        <v>419</v>
      </c>
      <c r="G12533">
        <v>230505</v>
      </c>
      <c r="H12533">
        <v>4400</v>
      </c>
      <c r="I12533" t="s">
        <v>348</v>
      </c>
      <c r="J12533">
        <v>519.55999999999995</v>
      </c>
      <c r="K12533">
        <v>100.56</v>
      </c>
      <c r="L12533">
        <v>14912</v>
      </c>
      <c r="M12533" t="s">
        <v>230</v>
      </c>
      <c r="N12533" t="str">
        <f>"9491053042  "</f>
        <v xml:space="preserve">9491053042  </v>
      </c>
      <c r="O12533">
        <v>230511</v>
      </c>
    </row>
    <row r="12534" spans="1:15" x14ac:dyDescent="0.25">
      <c r="A12534" t="s">
        <v>16</v>
      </c>
      <c r="B12534" t="s">
        <v>3221</v>
      </c>
      <c r="C12534">
        <v>11536</v>
      </c>
      <c r="D12534" t="s">
        <v>1140</v>
      </c>
      <c r="E12534" t="s">
        <v>1141</v>
      </c>
      <c r="F12534">
        <v>563.03</v>
      </c>
      <c r="G12534">
        <v>230906</v>
      </c>
      <c r="H12534">
        <v>4400</v>
      </c>
      <c r="I12534" t="s">
        <v>348</v>
      </c>
      <c r="J12534">
        <v>698.16</v>
      </c>
      <c r="K12534">
        <v>135.13</v>
      </c>
      <c r="L12534">
        <v>17913</v>
      </c>
      <c r="M12534" t="s">
        <v>431</v>
      </c>
      <c r="N12534" t="str">
        <f>"9491091078  "</f>
        <v xml:space="preserve">9491091078  </v>
      </c>
      <c r="O12534">
        <v>230907</v>
      </c>
    </row>
    <row r="12535" spans="1:15" x14ac:dyDescent="0.25">
      <c r="A12535" t="s">
        <v>16</v>
      </c>
      <c r="B12535" t="s">
        <v>3221</v>
      </c>
      <c r="C12535">
        <v>11538</v>
      </c>
      <c r="D12535" t="s">
        <v>1140</v>
      </c>
      <c r="E12535" t="s">
        <v>1141</v>
      </c>
      <c r="F12535">
        <v>208.32</v>
      </c>
      <c r="G12535">
        <v>230906</v>
      </c>
      <c r="H12535">
        <v>4400</v>
      </c>
      <c r="I12535" t="s">
        <v>348</v>
      </c>
      <c r="J12535">
        <v>258.32</v>
      </c>
      <c r="K12535">
        <v>50</v>
      </c>
      <c r="L12535">
        <v>17913</v>
      </c>
      <c r="M12535" t="s">
        <v>431</v>
      </c>
      <c r="N12535" t="str">
        <f>"9491091076  "</f>
        <v xml:space="preserve">9491091076  </v>
      </c>
      <c r="O12535">
        <v>230907</v>
      </c>
    </row>
    <row r="12536" spans="1:15" x14ac:dyDescent="0.25">
      <c r="A12536" t="s">
        <v>16</v>
      </c>
      <c r="B12536" t="s">
        <v>3221</v>
      </c>
      <c r="C12536">
        <v>11660</v>
      </c>
      <c r="D12536" t="s">
        <v>1140</v>
      </c>
      <c r="E12536" t="s">
        <v>1141</v>
      </c>
      <c r="F12536">
        <v>724.12</v>
      </c>
      <c r="G12536">
        <v>230831</v>
      </c>
      <c r="H12536">
        <v>4400</v>
      </c>
      <c r="I12536" t="s">
        <v>348</v>
      </c>
      <c r="J12536">
        <v>897.91</v>
      </c>
      <c r="K12536">
        <v>173.79</v>
      </c>
      <c r="L12536">
        <v>69113</v>
      </c>
      <c r="M12536" t="s">
        <v>282</v>
      </c>
      <c r="N12536" t="str">
        <f>"9491088795  "</f>
        <v xml:space="preserve">9491088795  </v>
      </c>
      <c r="O12536">
        <v>230908</v>
      </c>
    </row>
    <row r="12537" spans="1:15" x14ac:dyDescent="0.25">
      <c r="A12537" t="s">
        <v>16</v>
      </c>
      <c r="B12537" t="s">
        <v>3221</v>
      </c>
      <c r="C12537">
        <v>13272</v>
      </c>
      <c r="D12537" t="s">
        <v>1140</v>
      </c>
      <c r="E12537" t="s">
        <v>1141</v>
      </c>
      <c r="F12537">
        <v>284.27999999999997</v>
      </c>
      <c r="G12537">
        <v>230928</v>
      </c>
      <c r="H12537">
        <v>4400</v>
      </c>
      <c r="I12537" t="s">
        <v>348</v>
      </c>
      <c r="J12537">
        <v>352.51</v>
      </c>
      <c r="K12537">
        <v>68.23</v>
      </c>
      <c r="L12537">
        <v>49501</v>
      </c>
      <c r="M12537" t="s">
        <v>177</v>
      </c>
      <c r="N12537" t="str">
        <f>"9491099096  "</f>
        <v xml:space="preserve">9491099096  </v>
      </c>
      <c r="O12537">
        <v>231009</v>
      </c>
    </row>
    <row r="12538" spans="1:15" x14ac:dyDescent="0.25">
      <c r="A12538" t="s">
        <v>16</v>
      </c>
      <c r="B12538" t="s">
        <v>3221</v>
      </c>
      <c r="C12538">
        <v>13773</v>
      </c>
      <c r="D12538" t="s">
        <v>1140</v>
      </c>
      <c r="E12538" t="s">
        <v>1141</v>
      </c>
      <c r="F12538">
        <v>444.2</v>
      </c>
      <c r="G12538">
        <v>231011</v>
      </c>
      <c r="H12538">
        <v>4400</v>
      </c>
      <c r="I12538" t="s">
        <v>348</v>
      </c>
      <c r="J12538">
        <v>550.80999999999995</v>
      </c>
      <c r="K12538">
        <v>106.61</v>
      </c>
      <c r="L12538">
        <v>17951</v>
      </c>
      <c r="M12538" t="s">
        <v>87</v>
      </c>
      <c r="N12538" t="str">
        <f>"9491103780  "</f>
        <v xml:space="preserve">9491103780  </v>
      </c>
      <c r="O12538">
        <v>231013</v>
      </c>
    </row>
    <row r="12539" spans="1:15" x14ac:dyDescent="0.25">
      <c r="A12539" t="s">
        <v>16</v>
      </c>
      <c r="B12539" t="s">
        <v>3221</v>
      </c>
      <c r="C12539">
        <v>14497</v>
      </c>
      <c r="D12539" t="s">
        <v>1140</v>
      </c>
      <c r="E12539" t="s">
        <v>1141</v>
      </c>
      <c r="F12539">
        <v>892.4</v>
      </c>
      <c r="G12539">
        <v>231025</v>
      </c>
      <c r="H12539">
        <v>4400</v>
      </c>
      <c r="I12539" t="s">
        <v>348</v>
      </c>
      <c r="J12539">
        <v>1106.58</v>
      </c>
      <c r="K12539">
        <v>214.18</v>
      </c>
      <c r="L12539">
        <v>17913</v>
      </c>
      <c r="M12539" t="s">
        <v>431</v>
      </c>
      <c r="N12539" t="str">
        <f>"9491108216  "</f>
        <v xml:space="preserve">9491108216  </v>
      </c>
      <c r="O12539">
        <v>231030</v>
      </c>
    </row>
    <row r="12540" spans="1:15" x14ac:dyDescent="0.25">
      <c r="A12540" t="s">
        <v>16</v>
      </c>
      <c r="B12540" t="s">
        <v>3221</v>
      </c>
      <c r="C12540">
        <v>16529</v>
      </c>
      <c r="D12540" t="s">
        <v>1140</v>
      </c>
      <c r="E12540" t="s">
        <v>1141</v>
      </c>
      <c r="F12540">
        <v>527.76</v>
      </c>
      <c r="G12540">
        <v>231129</v>
      </c>
      <c r="H12540">
        <v>4400</v>
      </c>
      <c r="I12540" t="s">
        <v>348</v>
      </c>
      <c r="J12540">
        <v>654.41999999999996</v>
      </c>
      <c r="K12540">
        <v>126.66</v>
      </c>
      <c r="L12540">
        <v>59113</v>
      </c>
      <c r="M12540" t="s">
        <v>235</v>
      </c>
      <c r="N12540" t="str">
        <f>"9491120758  "</f>
        <v xml:space="preserve">9491120758  </v>
      </c>
      <c r="O12540">
        <v>231201</v>
      </c>
    </row>
    <row r="12541" spans="1:15" x14ac:dyDescent="0.25">
      <c r="A12541" t="s">
        <v>16</v>
      </c>
      <c r="B12541" t="s">
        <v>3221</v>
      </c>
      <c r="C12541">
        <v>18194</v>
      </c>
      <c r="D12541" t="s">
        <v>1140</v>
      </c>
      <c r="E12541" t="s">
        <v>1141</v>
      </c>
      <c r="F12541">
        <v>7046.55</v>
      </c>
      <c r="G12541">
        <v>231220</v>
      </c>
      <c r="H12541">
        <v>4400</v>
      </c>
      <c r="I12541" t="s">
        <v>348</v>
      </c>
      <c r="J12541">
        <v>8737.7199999999993</v>
      </c>
      <c r="K12541">
        <v>1691.17</v>
      </c>
      <c r="L12541">
        <v>14432</v>
      </c>
      <c r="M12541" t="s">
        <v>862</v>
      </c>
      <c r="N12541" t="str">
        <f>"9491127847  "</f>
        <v xml:space="preserve">9491127847  </v>
      </c>
      <c r="O12541">
        <v>240102</v>
      </c>
    </row>
    <row r="12542" spans="1:15" x14ac:dyDescent="0.25">
      <c r="A12542" t="s">
        <v>16</v>
      </c>
      <c r="B12542" t="s">
        <v>3221</v>
      </c>
      <c r="C12542">
        <v>11536</v>
      </c>
      <c r="D12542" t="s">
        <v>1140</v>
      </c>
      <c r="E12542" t="s">
        <v>1141</v>
      </c>
      <c r="F12542">
        <v>50.56</v>
      </c>
      <c r="G12542">
        <v>230906</v>
      </c>
      <c r="H12542">
        <v>4420</v>
      </c>
      <c r="I12542" t="s">
        <v>132</v>
      </c>
      <c r="J12542">
        <v>62.7</v>
      </c>
      <c r="K12542">
        <v>12.14</v>
      </c>
      <c r="L12542">
        <v>17913</v>
      </c>
      <c r="M12542" t="s">
        <v>431</v>
      </c>
      <c r="N12542" t="str">
        <f>"9491091078  "</f>
        <v xml:space="preserve">9491091078  </v>
      </c>
      <c r="O12542">
        <v>230907</v>
      </c>
    </row>
    <row r="12543" spans="1:15" x14ac:dyDescent="0.25">
      <c r="A12543" t="s">
        <v>16</v>
      </c>
      <c r="B12543" t="s">
        <v>3221</v>
      </c>
      <c r="C12543">
        <v>11538</v>
      </c>
      <c r="D12543" t="s">
        <v>1140</v>
      </c>
      <c r="E12543" t="s">
        <v>1141</v>
      </c>
      <c r="F12543">
        <v>27.58</v>
      </c>
      <c r="G12543">
        <v>230906</v>
      </c>
      <c r="H12543">
        <v>4420</v>
      </c>
      <c r="I12543" t="s">
        <v>132</v>
      </c>
      <c r="J12543">
        <v>34.200000000000003</v>
      </c>
      <c r="K12543">
        <v>6.62</v>
      </c>
      <c r="L12543">
        <v>17913</v>
      </c>
      <c r="M12543" t="s">
        <v>431</v>
      </c>
      <c r="N12543" t="str">
        <f>"9491091076  "</f>
        <v xml:space="preserve">9491091076  </v>
      </c>
      <c r="O12543">
        <v>230907</v>
      </c>
    </row>
    <row r="12544" spans="1:15" x14ac:dyDescent="0.25">
      <c r="A12544" t="s">
        <v>16</v>
      </c>
      <c r="B12544" t="s">
        <v>3221</v>
      </c>
      <c r="C12544">
        <v>1693</v>
      </c>
      <c r="D12544" t="s">
        <v>1140</v>
      </c>
      <c r="E12544" t="s">
        <v>1141</v>
      </c>
      <c r="F12544">
        <v>70.8</v>
      </c>
      <c r="G12544">
        <v>230208</v>
      </c>
      <c r="H12544">
        <v>4600</v>
      </c>
      <c r="I12544" t="s">
        <v>105</v>
      </c>
      <c r="J12544">
        <v>87.79</v>
      </c>
      <c r="K12544">
        <v>16.989999999999998</v>
      </c>
      <c r="L12544">
        <v>49501</v>
      </c>
      <c r="M12544" t="s">
        <v>177</v>
      </c>
      <c r="N12544" t="str">
        <f>"9491023518  "</f>
        <v xml:space="preserve">9491023518  </v>
      </c>
      <c r="O12544">
        <v>230213</v>
      </c>
    </row>
    <row r="12545" spans="1:15" x14ac:dyDescent="0.25">
      <c r="A12545" t="s">
        <v>16</v>
      </c>
      <c r="B12545" t="s">
        <v>3221</v>
      </c>
      <c r="C12545">
        <v>17674</v>
      </c>
      <c r="D12545" t="s">
        <v>1140</v>
      </c>
      <c r="E12545" t="s">
        <v>1141</v>
      </c>
      <c r="F12545">
        <v>77.900000000000006</v>
      </c>
      <c r="G12545">
        <v>231205</v>
      </c>
      <c r="H12545">
        <v>4600</v>
      </c>
      <c r="I12545" t="s">
        <v>105</v>
      </c>
      <c r="J12545">
        <v>96.6</v>
      </c>
      <c r="K12545">
        <v>18.7</v>
      </c>
      <c r="L12545">
        <v>14432</v>
      </c>
      <c r="M12545" t="s">
        <v>862</v>
      </c>
      <c r="N12545" t="str">
        <f>"9491122922  "</f>
        <v xml:space="preserve">9491122922  </v>
      </c>
      <c r="O12545">
        <v>231220</v>
      </c>
    </row>
    <row r="12546" spans="1:15" x14ac:dyDescent="0.25">
      <c r="A12546" t="s">
        <v>16</v>
      </c>
      <c r="B12546" t="s">
        <v>3221</v>
      </c>
      <c r="C12546">
        <v>17674</v>
      </c>
      <c r="D12546" t="s">
        <v>1140</v>
      </c>
      <c r="E12546" t="s">
        <v>1141</v>
      </c>
      <c r="F12546">
        <v>1499.02</v>
      </c>
      <c r="G12546">
        <v>231205</v>
      </c>
      <c r="H12546">
        <v>4600</v>
      </c>
      <c r="I12546" t="s">
        <v>105</v>
      </c>
      <c r="J12546">
        <v>1858.79</v>
      </c>
      <c r="K12546">
        <v>359.77</v>
      </c>
      <c r="L12546">
        <v>14640</v>
      </c>
      <c r="M12546" t="s">
        <v>229</v>
      </c>
      <c r="N12546" t="str">
        <f>"9491122922  "</f>
        <v xml:space="preserve">9491122922  </v>
      </c>
      <c r="O12546">
        <v>231220</v>
      </c>
    </row>
    <row r="12547" spans="1:15" x14ac:dyDescent="0.25">
      <c r="A12547" t="s">
        <v>16</v>
      </c>
      <c r="B12547" t="s">
        <v>3221</v>
      </c>
      <c r="C12547">
        <v>17706</v>
      </c>
      <c r="D12547" t="s">
        <v>1140</v>
      </c>
      <c r="E12547" t="s">
        <v>1141</v>
      </c>
      <c r="F12547">
        <v>389.49</v>
      </c>
      <c r="G12547">
        <v>231208</v>
      </c>
      <c r="H12547">
        <v>4600</v>
      </c>
      <c r="I12547" t="s">
        <v>105</v>
      </c>
      <c r="J12547">
        <v>482.97</v>
      </c>
      <c r="K12547">
        <v>93.48</v>
      </c>
      <c r="L12547">
        <v>14432</v>
      </c>
      <c r="M12547" t="s">
        <v>862</v>
      </c>
      <c r="N12547" t="str">
        <f>"9491123757  "</f>
        <v xml:space="preserve">9491123757  </v>
      </c>
      <c r="O12547">
        <v>231221</v>
      </c>
    </row>
    <row r="12548" spans="1:15" x14ac:dyDescent="0.25">
      <c r="A12548" t="s">
        <v>16</v>
      </c>
      <c r="B12548" t="s">
        <v>3221</v>
      </c>
      <c r="C12548">
        <v>510</v>
      </c>
      <c r="D12548" t="s">
        <v>592</v>
      </c>
      <c r="E12548" t="s">
        <v>593</v>
      </c>
      <c r="F12548">
        <v>22.81</v>
      </c>
      <c r="G12548">
        <v>230118</v>
      </c>
      <c r="H12548">
        <v>4600</v>
      </c>
      <c r="I12548" t="s">
        <v>105</v>
      </c>
      <c r="J12548">
        <v>28.29</v>
      </c>
      <c r="K12548">
        <v>5.48</v>
      </c>
      <c r="L12548">
        <v>17812</v>
      </c>
      <c r="M12548" t="s">
        <v>594</v>
      </c>
      <c r="N12548" t="str">
        <f>"60561488    "</f>
        <v xml:space="preserve">60561488    </v>
      </c>
      <c r="O12548">
        <v>230124</v>
      </c>
    </row>
    <row r="12549" spans="1:15" x14ac:dyDescent="0.25">
      <c r="A12549" t="s">
        <v>16</v>
      </c>
      <c r="B12549" t="s">
        <v>3221</v>
      </c>
      <c r="C12549">
        <v>8096</v>
      </c>
      <c r="D12549" t="s">
        <v>3290</v>
      </c>
      <c r="E12549" t="s">
        <v>3291</v>
      </c>
      <c r="F12549">
        <v>65</v>
      </c>
      <c r="G12549">
        <v>230605</v>
      </c>
      <c r="H12549">
        <v>4441</v>
      </c>
      <c r="I12549" t="s">
        <v>109</v>
      </c>
      <c r="J12549">
        <v>80.599999999999994</v>
      </c>
      <c r="K12549">
        <v>15.6</v>
      </c>
      <c r="L12549">
        <v>53222</v>
      </c>
      <c r="M12549" t="s">
        <v>445</v>
      </c>
      <c r="N12549" t="str">
        <f>"44 41946    "</f>
        <v xml:space="preserve">44 41946    </v>
      </c>
      <c r="O12549">
        <v>230607</v>
      </c>
    </row>
    <row r="12550" spans="1:15" x14ac:dyDescent="0.25">
      <c r="A12550" t="s">
        <v>16</v>
      </c>
      <c r="B12550" t="s">
        <v>3221</v>
      </c>
      <c r="C12550">
        <v>11623</v>
      </c>
      <c r="D12550" t="s">
        <v>2504</v>
      </c>
      <c r="E12550" t="s">
        <v>2505</v>
      </c>
      <c r="F12550">
        <v>703.46</v>
      </c>
      <c r="G12550">
        <v>230907</v>
      </c>
      <c r="H12550">
        <v>4400</v>
      </c>
      <c r="I12550" t="s">
        <v>348</v>
      </c>
      <c r="J12550">
        <v>872.29</v>
      </c>
      <c r="K12550">
        <v>168.83</v>
      </c>
      <c r="L12550">
        <v>67554</v>
      </c>
      <c r="M12550" t="s">
        <v>60</v>
      </c>
      <c r="N12550" t="str">
        <f>"68154       "</f>
        <v xml:space="preserve">68154       </v>
      </c>
      <c r="O12550">
        <v>230907</v>
      </c>
    </row>
    <row r="12551" spans="1:15" x14ac:dyDescent="0.25">
      <c r="A12551" t="s">
        <v>16</v>
      </c>
      <c r="B12551" t="s">
        <v>3221</v>
      </c>
      <c r="C12551">
        <v>17140</v>
      </c>
      <c r="D12551" t="s">
        <v>2504</v>
      </c>
      <c r="E12551" t="s">
        <v>2505</v>
      </c>
      <c r="F12551">
        <v>1520.91</v>
      </c>
      <c r="G12551">
        <v>231128</v>
      </c>
      <c r="H12551">
        <v>4400</v>
      </c>
      <c r="I12551" t="s">
        <v>348</v>
      </c>
      <c r="J12551">
        <v>1885.93</v>
      </c>
      <c r="K12551">
        <v>365.02</v>
      </c>
      <c r="L12551">
        <v>67554</v>
      </c>
      <c r="M12551" t="s">
        <v>60</v>
      </c>
      <c r="N12551" t="str">
        <f>"69019       "</f>
        <v xml:space="preserve">69019       </v>
      </c>
      <c r="O12551">
        <v>231212</v>
      </c>
    </row>
    <row r="12552" spans="1:15" x14ac:dyDescent="0.25">
      <c r="A12552" t="s">
        <v>16</v>
      </c>
      <c r="B12552" t="s">
        <v>3221</v>
      </c>
      <c r="C12552">
        <v>18807</v>
      </c>
      <c r="D12552" t="s">
        <v>2504</v>
      </c>
      <c r="E12552" t="s">
        <v>2505</v>
      </c>
      <c r="F12552">
        <v>20.8</v>
      </c>
      <c r="G12552">
        <v>231229</v>
      </c>
      <c r="H12552">
        <v>4600</v>
      </c>
      <c r="I12552" t="s">
        <v>105</v>
      </c>
      <c r="J12552">
        <v>25.79</v>
      </c>
      <c r="K12552">
        <v>4.99</v>
      </c>
      <c r="L12552">
        <v>67554</v>
      </c>
      <c r="M12552" t="s">
        <v>60</v>
      </c>
      <c r="N12552" t="str">
        <f>"69424       "</f>
        <v xml:space="preserve">69424       </v>
      </c>
      <c r="O12552">
        <v>240108</v>
      </c>
    </row>
    <row r="12553" spans="1:15" x14ac:dyDescent="0.25">
      <c r="A12553" t="s">
        <v>16</v>
      </c>
      <c r="B12553" t="s">
        <v>3221</v>
      </c>
      <c r="C12553">
        <v>14862</v>
      </c>
      <c r="D12553" t="s">
        <v>2073</v>
      </c>
      <c r="E12553" t="s">
        <v>2074</v>
      </c>
      <c r="F12553">
        <v>1287</v>
      </c>
      <c r="G12553">
        <v>231031</v>
      </c>
      <c r="H12553">
        <v>4470</v>
      </c>
      <c r="I12553" t="s">
        <v>83</v>
      </c>
      <c r="J12553">
        <v>1595.88</v>
      </c>
      <c r="K12553">
        <v>308.88</v>
      </c>
      <c r="L12553">
        <v>17737</v>
      </c>
      <c r="M12553" t="s">
        <v>279</v>
      </c>
      <c r="N12553" t="str">
        <f>"8627        "</f>
        <v xml:space="preserve">8627        </v>
      </c>
      <c r="O12553">
        <v>231107</v>
      </c>
    </row>
    <row r="12554" spans="1:15" x14ac:dyDescent="0.25">
      <c r="A12554" t="s">
        <v>16</v>
      </c>
      <c r="B12554" t="s">
        <v>3221</v>
      </c>
      <c r="C12554">
        <v>17774</v>
      </c>
      <c r="D12554" t="s">
        <v>3101</v>
      </c>
      <c r="E12554" t="s">
        <v>3102</v>
      </c>
      <c r="F12554">
        <v>317.74</v>
      </c>
      <c r="G12554">
        <v>231212</v>
      </c>
      <c r="H12554">
        <v>4590</v>
      </c>
      <c r="I12554" t="s">
        <v>203</v>
      </c>
      <c r="J12554">
        <v>394</v>
      </c>
      <c r="K12554">
        <v>76.260000000000005</v>
      </c>
      <c r="L12554">
        <v>17957</v>
      </c>
      <c r="M12554" t="s">
        <v>2626</v>
      </c>
      <c r="N12554" t="str">
        <f>"4789        "</f>
        <v xml:space="preserve">4789        </v>
      </c>
      <c r="O12554">
        <v>231227</v>
      </c>
    </row>
    <row r="12555" spans="1:15" x14ac:dyDescent="0.25">
      <c r="A12555" t="s">
        <v>16</v>
      </c>
      <c r="B12555" t="s">
        <v>3221</v>
      </c>
      <c r="C12555">
        <v>13307</v>
      </c>
      <c r="D12555" t="s">
        <v>2660</v>
      </c>
      <c r="E12555" t="s">
        <v>2661</v>
      </c>
      <c r="F12555">
        <v>87.4</v>
      </c>
      <c r="G12555">
        <v>231003</v>
      </c>
      <c r="H12555">
        <v>4600</v>
      </c>
      <c r="I12555" t="s">
        <v>105</v>
      </c>
      <c r="J12555">
        <v>108.38</v>
      </c>
      <c r="K12555">
        <v>20.98</v>
      </c>
      <c r="L12555">
        <v>49501</v>
      </c>
      <c r="M12555" t="s">
        <v>177</v>
      </c>
      <c r="N12555" t="str">
        <f>"2100        "</f>
        <v xml:space="preserve">2100        </v>
      </c>
      <c r="O12555">
        <v>231009</v>
      </c>
    </row>
    <row r="12556" spans="1:15" x14ac:dyDescent="0.25">
      <c r="A12556" t="s">
        <v>16</v>
      </c>
      <c r="B12556" t="s">
        <v>3221</v>
      </c>
      <c r="C12556">
        <v>7132</v>
      </c>
      <c r="D12556" t="s">
        <v>2071</v>
      </c>
      <c r="E12556" t="s">
        <v>2072</v>
      </c>
      <c r="F12556">
        <v>648.05999999999995</v>
      </c>
      <c r="G12556">
        <v>230523</v>
      </c>
      <c r="H12556">
        <v>4400</v>
      </c>
      <c r="I12556" t="s">
        <v>348</v>
      </c>
      <c r="J12556">
        <v>803.59</v>
      </c>
      <c r="K12556">
        <v>155.53</v>
      </c>
      <c r="L12556">
        <v>17803</v>
      </c>
      <c r="M12556" t="s">
        <v>389</v>
      </c>
      <c r="N12556" t="str">
        <f>"83540       "</f>
        <v xml:space="preserve">83540       </v>
      </c>
      <c r="O12556">
        <v>230525</v>
      </c>
    </row>
    <row r="12557" spans="1:15" x14ac:dyDescent="0.25">
      <c r="A12557" t="s">
        <v>16</v>
      </c>
      <c r="B12557" t="s">
        <v>3221</v>
      </c>
      <c r="C12557">
        <v>7134</v>
      </c>
      <c r="D12557" t="s">
        <v>2071</v>
      </c>
      <c r="E12557" t="s">
        <v>2072</v>
      </c>
      <c r="F12557">
        <v>457.27</v>
      </c>
      <c r="G12557">
        <v>230523</v>
      </c>
      <c r="H12557">
        <v>4400</v>
      </c>
      <c r="I12557" t="s">
        <v>348</v>
      </c>
      <c r="J12557">
        <v>567.02</v>
      </c>
      <c r="K12557">
        <v>109.75</v>
      </c>
      <c r="L12557">
        <v>17803</v>
      </c>
      <c r="M12557" t="s">
        <v>389</v>
      </c>
      <c r="N12557" t="str">
        <f>"83538       "</f>
        <v xml:space="preserve">83538       </v>
      </c>
      <c r="O12557">
        <v>230525</v>
      </c>
    </row>
    <row r="12558" spans="1:15" x14ac:dyDescent="0.25">
      <c r="A12558" t="s">
        <v>16</v>
      </c>
      <c r="B12558" t="s">
        <v>3221</v>
      </c>
      <c r="C12558">
        <v>7135</v>
      </c>
      <c r="D12558" t="s">
        <v>2071</v>
      </c>
      <c r="E12558" t="s">
        <v>2072</v>
      </c>
      <c r="F12558">
        <v>635.08000000000004</v>
      </c>
      <c r="G12558">
        <v>230523</v>
      </c>
      <c r="H12558">
        <v>4400</v>
      </c>
      <c r="I12558" t="s">
        <v>348</v>
      </c>
      <c r="J12558">
        <v>787.5</v>
      </c>
      <c r="K12558">
        <v>152.41999999999999</v>
      </c>
      <c r="L12558">
        <v>17803</v>
      </c>
      <c r="M12558" t="s">
        <v>389</v>
      </c>
      <c r="N12558" t="str">
        <f>"83537       "</f>
        <v xml:space="preserve">83537       </v>
      </c>
      <c r="O12558">
        <v>230525</v>
      </c>
    </row>
    <row r="12559" spans="1:15" x14ac:dyDescent="0.25">
      <c r="A12559" t="s">
        <v>16</v>
      </c>
      <c r="B12559" t="s">
        <v>3221</v>
      </c>
      <c r="C12559">
        <v>7136</v>
      </c>
      <c r="D12559" t="s">
        <v>2071</v>
      </c>
      <c r="E12559" t="s">
        <v>2072</v>
      </c>
      <c r="F12559">
        <v>516.09</v>
      </c>
      <c r="G12559">
        <v>230523</v>
      </c>
      <c r="H12559">
        <v>4400</v>
      </c>
      <c r="I12559" t="s">
        <v>348</v>
      </c>
      <c r="J12559">
        <v>639.95000000000005</v>
      </c>
      <c r="K12559">
        <v>123.86</v>
      </c>
      <c r="L12559">
        <v>17803</v>
      </c>
      <c r="M12559" t="s">
        <v>389</v>
      </c>
      <c r="N12559" t="str">
        <f>"83539       "</f>
        <v xml:space="preserve">83539       </v>
      </c>
      <c r="O12559">
        <v>230525</v>
      </c>
    </row>
    <row r="12560" spans="1:15" x14ac:dyDescent="0.25">
      <c r="A12560" t="s">
        <v>16</v>
      </c>
      <c r="B12560" t="s">
        <v>3221</v>
      </c>
      <c r="C12560">
        <v>7858</v>
      </c>
      <c r="D12560" t="s">
        <v>2071</v>
      </c>
      <c r="E12560" t="s">
        <v>2072</v>
      </c>
      <c r="F12560">
        <v>279.02</v>
      </c>
      <c r="G12560">
        <v>230531</v>
      </c>
      <c r="H12560">
        <v>4400</v>
      </c>
      <c r="I12560" t="s">
        <v>348</v>
      </c>
      <c r="J12560">
        <v>345.99</v>
      </c>
      <c r="K12560">
        <v>66.97</v>
      </c>
      <c r="L12560">
        <v>17803</v>
      </c>
      <c r="M12560" t="s">
        <v>389</v>
      </c>
      <c r="N12560" t="str">
        <f>"83542       "</f>
        <v xml:space="preserve">83542       </v>
      </c>
      <c r="O12560">
        <v>230605</v>
      </c>
    </row>
    <row r="12561" spans="1:15" x14ac:dyDescent="0.25">
      <c r="A12561" t="s">
        <v>16</v>
      </c>
      <c r="B12561" t="s">
        <v>3221</v>
      </c>
      <c r="C12561">
        <v>7860</v>
      </c>
      <c r="D12561" t="s">
        <v>2071</v>
      </c>
      <c r="E12561" t="s">
        <v>2072</v>
      </c>
      <c r="F12561">
        <v>497.31</v>
      </c>
      <c r="G12561">
        <v>230531</v>
      </c>
      <c r="H12561">
        <v>4600</v>
      </c>
      <c r="I12561" t="s">
        <v>105</v>
      </c>
      <c r="J12561">
        <v>616.66999999999996</v>
      </c>
      <c r="K12561">
        <v>119.36</v>
      </c>
      <c r="L12561">
        <v>17803</v>
      </c>
      <c r="M12561" t="s">
        <v>389</v>
      </c>
      <c r="N12561" t="str">
        <f>"207334      "</f>
        <v xml:space="preserve">207334      </v>
      </c>
      <c r="O12561">
        <v>230605</v>
      </c>
    </row>
    <row r="12562" spans="1:15" x14ac:dyDescent="0.25">
      <c r="A12562" t="s">
        <v>16</v>
      </c>
      <c r="B12562" t="s">
        <v>3221</v>
      </c>
      <c r="C12562">
        <v>15286</v>
      </c>
      <c r="D12562" t="s">
        <v>1938</v>
      </c>
      <c r="E12562" t="s">
        <v>1939</v>
      </c>
      <c r="F12562">
        <v>52.34</v>
      </c>
      <c r="G12562">
        <v>231102</v>
      </c>
      <c r="H12562">
        <v>4580</v>
      </c>
      <c r="I12562" t="s">
        <v>35</v>
      </c>
      <c r="J12562">
        <v>64.900000000000006</v>
      </c>
      <c r="K12562">
        <v>12.56</v>
      </c>
      <c r="L12562">
        <v>66722</v>
      </c>
      <c r="M12562" t="s">
        <v>518</v>
      </c>
      <c r="N12562" t="str">
        <f>"315/02112023"</f>
        <v>315/02112023</v>
      </c>
      <c r="O12562">
        <v>231110</v>
      </c>
    </row>
    <row r="12563" spans="1:15" x14ac:dyDescent="0.25">
      <c r="A12563" t="s">
        <v>16</v>
      </c>
      <c r="B12563" t="s">
        <v>3221</v>
      </c>
      <c r="C12563">
        <v>6218</v>
      </c>
      <c r="D12563" t="s">
        <v>1938</v>
      </c>
      <c r="E12563" t="s">
        <v>1939</v>
      </c>
      <c r="F12563">
        <v>200.81</v>
      </c>
      <c r="G12563">
        <v>230503</v>
      </c>
      <c r="H12563">
        <v>4600</v>
      </c>
      <c r="I12563" t="s">
        <v>105</v>
      </c>
      <c r="J12563">
        <v>249</v>
      </c>
      <c r="K12563">
        <v>48.19</v>
      </c>
      <c r="L12563">
        <v>67554</v>
      </c>
      <c r="M12563" t="s">
        <v>60</v>
      </c>
      <c r="N12563" t="str">
        <f>"9708        "</f>
        <v xml:space="preserve">9708        </v>
      </c>
      <c r="O12563">
        <v>230509</v>
      </c>
    </row>
    <row r="12564" spans="1:15" x14ac:dyDescent="0.25">
      <c r="A12564" t="s">
        <v>16</v>
      </c>
      <c r="B12564" t="s">
        <v>3221</v>
      </c>
      <c r="C12564">
        <v>7717</v>
      </c>
      <c r="D12564" t="s">
        <v>3285</v>
      </c>
      <c r="E12564" t="s">
        <v>3286</v>
      </c>
      <c r="F12564">
        <v>280</v>
      </c>
      <c r="G12564">
        <v>230526</v>
      </c>
      <c r="H12564">
        <v>4440</v>
      </c>
      <c r="I12564" t="s">
        <v>250</v>
      </c>
      <c r="J12564">
        <v>280</v>
      </c>
      <c r="K12564">
        <v>0</v>
      </c>
      <c r="L12564">
        <v>48601</v>
      </c>
      <c r="M12564" t="s">
        <v>1047</v>
      </c>
      <c r="N12564" t="str">
        <f>"162 7097    "</f>
        <v xml:space="preserve">162 7097    </v>
      </c>
      <c r="O12564">
        <v>230602</v>
      </c>
    </row>
    <row r="12565" spans="1:15" x14ac:dyDescent="0.25">
      <c r="A12565" t="s">
        <v>16</v>
      </c>
      <c r="B12565" t="s">
        <v>3221</v>
      </c>
      <c r="C12565">
        <v>18111</v>
      </c>
      <c r="D12565" t="s">
        <v>3285</v>
      </c>
      <c r="E12565" t="s">
        <v>3286</v>
      </c>
      <c r="F12565">
        <v>420</v>
      </c>
      <c r="G12565">
        <v>231219</v>
      </c>
      <c r="H12565">
        <v>4440</v>
      </c>
      <c r="I12565" t="s">
        <v>250</v>
      </c>
      <c r="J12565">
        <v>420</v>
      </c>
      <c r="K12565">
        <v>0</v>
      </c>
      <c r="L12565">
        <v>14861</v>
      </c>
      <c r="M12565" t="s">
        <v>785</v>
      </c>
      <c r="N12565" t="str">
        <f>"162 7660    "</f>
        <v xml:space="preserve">162 7660    </v>
      </c>
      <c r="O12565">
        <v>240102</v>
      </c>
    </row>
    <row r="12566" spans="1:15" x14ac:dyDescent="0.25">
      <c r="A12566" t="s">
        <v>16</v>
      </c>
      <c r="B12566" t="s">
        <v>3221</v>
      </c>
      <c r="C12566">
        <v>16417</v>
      </c>
      <c r="D12566" t="s">
        <v>2965</v>
      </c>
      <c r="E12566" t="s">
        <v>2966</v>
      </c>
      <c r="F12566">
        <v>173.95</v>
      </c>
      <c r="G12566">
        <v>231121</v>
      </c>
      <c r="H12566">
        <v>4580</v>
      </c>
      <c r="I12566" t="s">
        <v>35</v>
      </c>
      <c r="J12566">
        <v>215.7</v>
      </c>
      <c r="K12566">
        <v>41.75</v>
      </c>
      <c r="L12566">
        <v>17525</v>
      </c>
      <c r="M12566" t="s">
        <v>135</v>
      </c>
      <c r="N12566" t="str">
        <f>"119029      "</f>
        <v xml:space="preserve">119029      </v>
      </c>
      <c r="O12566">
        <v>231129</v>
      </c>
    </row>
    <row r="12567" spans="1:15" x14ac:dyDescent="0.25">
      <c r="A12567" t="s">
        <v>16</v>
      </c>
      <c r="B12567" t="s">
        <v>3221</v>
      </c>
      <c r="C12567">
        <v>16417</v>
      </c>
      <c r="D12567" t="s">
        <v>2965</v>
      </c>
      <c r="E12567" t="s">
        <v>2966</v>
      </c>
      <c r="F12567">
        <v>173.95</v>
      </c>
      <c r="G12567">
        <v>231121</v>
      </c>
      <c r="H12567">
        <v>4600</v>
      </c>
      <c r="I12567" t="s">
        <v>105</v>
      </c>
      <c r="J12567">
        <v>215.7</v>
      </c>
      <c r="K12567">
        <v>41.75</v>
      </c>
      <c r="L12567">
        <v>17636</v>
      </c>
      <c r="M12567" t="s">
        <v>352</v>
      </c>
      <c r="N12567" t="str">
        <f>"119029      "</f>
        <v xml:space="preserve">119029      </v>
      </c>
      <c r="O12567">
        <v>231129</v>
      </c>
    </row>
    <row r="12568" spans="1:15" x14ac:dyDescent="0.25">
      <c r="A12568" t="s">
        <v>16</v>
      </c>
      <c r="B12568" t="s">
        <v>3221</v>
      </c>
      <c r="C12568">
        <v>11813</v>
      </c>
      <c r="D12568" t="s">
        <v>1348</v>
      </c>
      <c r="E12568" t="s">
        <v>1349</v>
      </c>
      <c r="F12568">
        <v>213.77</v>
      </c>
      <c r="G12568">
        <v>230904</v>
      </c>
      <c r="H12568">
        <v>4534</v>
      </c>
      <c r="I12568" t="s">
        <v>273</v>
      </c>
      <c r="J12568">
        <v>265.08</v>
      </c>
      <c r="K12568">
        <v>51.31</v>
      </c>
      <c r="L12568">
        <v>54222</v>
      </c>
      <c r="M12568" t="s">
        <v>308</v>
      </c>
      <c r="N12568" t="str">
        <f>"160907      "</f>
        <v xml:space="preserve">160907      </v>
      </c>
      <c r="O12568">
        <v>230911</v>
      </c>
    </row>
    <row r="12569" spans="1:15" x14ac:dyDescent="0.25">
      <c r="A12569" t="s">
        <v>16</v>
      </c>
      <c r="B12569" t="s">
        <v>3221</v>
      </c>
      <c r="C12569">
        <v>11813</v>
      </c>
      <c r="D12569" t="s">
        <v>1348</v>
      </c>
      <c r="E12569" t="s">
        <v>1349</v>
      </c>
      <c r="F12569">
        <v>213.77</v>
      </c>
      <c r="G12569">
        <v>230904</v>
      </c>
      <c r="H12569">
        <v>4534</v>
      </c>
      <c r="I12569" t="s">
        <v>273</v>
      </c>
      <c r="J12569">
        <v>265.08</v>
      </c>
      <c r="K12569">
        <v>51.31</v>
      </c>
      <c r="L12569">
        <v>54252</v>
      </c>
      <c r="M12569" t="s">
        <v>534</v>
      </c>
      <c r="N12569" t="str">
        <f>"160907      "</f>
        <v xml:space="preserve">160907      </v>
      </c>
      <c r="O12569">
        <v>230911</v>
      </c>
    </row>
    <row r="12570" spans="1:15" x14ac:dyDescent="0.25">
      <c r="A12570" t="s">
        <v>16</v>
      </c>
      <c r="B12570" t="s">
        <v>3221</v>
      </c>
      <c r="C12570">
        <v>12611</v>
      </c>
      <c r="D12570" t="s">
        <v>1348</v>
      </c>
      <c r="E12570" t="s">
        <v>1349</v>
      </c>
      <c r="F12570">
        <v>35.06</v>
      </c>
      <c r="G12570">
        <v>230918</v>
      </c>
      <c r="H12570">
        <v>4534</v>
      </c>
      <c r="I12570" t="s">
        <v>273</v>
      </c>
      <c r="J12570">
        <v>43.48</v>
      </c>
      <c r="K12570">
        <v>8.42</v>
      </c>
      <c r="L12570">
        <v>54222</v>
      </c>
      <c r="M12570" t="s">
        <v>308</v>
      </c>
      <c r="N12570" t="str">
        <f>"161318      "</f>
        <v xml:space="preserve">161318      </v>
      </c>
      <c r="O12570">
        <v>230922</v>
      </c>
    </row>
    <row r="12571" spans="1:15" x14ac:dyDescent="0.25">
      <c r="A12571" t="s">
        <v>16</v>
      </c>
      <c r="B12571" t="s">
        <v>3221</v>
      </c>
      <c r="C12571">
        <v>12611</v>
      </c>
      <c r="D12571" t="s">
        <v>1348</v>
      </c>
      <c r="E12571" t="s">
        <v>1349</v>
      </c>
      <c r="F12571">
        <v>35.06</v>
      </c>
      <c r="G12571">
        <v>230918</v>
      </c>
      <c r="H12571">
        <v>4534</v>
      </c>
      <c r="I12571" t="s">
        <v>273</v>
      </c>
      <c r="J12571">
        <v>43.47</v>
      </c>
      <c r="K12571">
        <v>8.41</v>
      </c>
      <c r="L12571">
        <v>54252</v>
      </c>
      <c r="M12571" t="s">
        <v>534</v>
      </c>
      <c r="N12571" t="str">
        <f>"161318      "</f>
        <v xml:space="preserve">161318      </v>
      </c>
      <c r="O12571">
        <v>230922</v>
      </c>
    </row>
    <row r="12572" spans="1:15" x14ac:dyDescent="0.25">
      <c r="A12572" t="s">
        <v>16</v>
      </c>
      <c r="B12572" t="s">
        <v>3221</v>
      </c>
      <c r="C12572">
        <v>13258</v>
      </c>
      <c r="D12572" t="s">
        <v>1348</v>
      </c>
      <c r="E12572" t="s">
        <v>1349</v>
      </c>
      <c r="F12572">
        <v>134.27000000000001</v>
      </c>
      <c r="G12572">
        <v>231003</v>
      </c>
      <c r="H12572">
        <v>4534</v>
      </c>
      <c r="I12572" t="s">
        <v>273</v>
      </c>
      <c r="J12572">
        <v>166.5</v>
      </c>
      <c r="K12572">
        <v>32.229999999999997</v>
      </c>
      <c r="L12572">
        <v>54252</v>
      </c>
      <c r="M12572" t="s">
        <v>534</v>
      </c>
      <c r="N12572" t="str">
        <f>"161814      "</f>
        <v xml:space="preserve">161814      </v>
      </c>
      <c r="O12572">
        <v>231006</v>
      </c>
    </row>
    <row r="12573" spans="1:15" x14ac:dyDescent="0.25">
      <c r="A12573" t="s">
        <v>16</v>
      </c>
      <c r="B12573" t="s">
        <v>3221</v>
      </c>
      <c r="C12573">
        <v>18175</v>
      </c>
      <c r="D12573" t="s">
        <v>1348</v>
      </c>
      <c r="E12573" t="s">
        <v>1349</v>
      </c>
      <c r="F12573">
        <v>467.74</v>
      </c>
      <c r="G12573">
        <v>231218</v>
      </c>
      <c r="H12573">
        <v>4580</v>
      </c>
      <c r="I12573" t="s">
        <v>35</v>
      </c>
      <c r="J12573">
        <v>580</v>
      </c>
      <c r="K12573">
        <v>112.26</v>
      </c>
      <c r="L12573">
        <v>54252</v>
      </c>
      <c r="M12573" t="s">
        <v>534</v>
      </c>
      <c r="N12573" t="str">
        <f>"164207      "</f>
        <v xml:space="preserve">164207      </v>
      </c>
      <c r="O12573">
        <v>240102</v>
      </c>
    </row>
    <row r="12574" spans="1:15" x14ac:dyDescent="0.25">
      <c r="A12574" t="s">
        <v>16</v>
      </c>
      <c r="B12574" t="s">
        <v>3221</v>
      </c>
      <c r="C12574">
        <v>2283</v>
      </c>
      <c r="D12574" t="s">
        <v>1348</v>
      </c>
      <c r="E12574" t="s">
        <v>1349</v>
      </c>
      <c r="F12574">
        <v>85.48</v>
      </c>
      <c r="G12574">
        <v>230208</v>
      </c>
      <c r="H12574">
        <v>4600</v>
      </c>
      <c r="I12574" t="s">
        <v>105</v>
      </c>
      <c r="J12574">
        <v>106</v>
      </c>
      <c r="K12574">
        <v>20.52</v>
      </c>
      <c r="L12574">
        <v>44453</v>
      </c>
      <c r="M12574" t="s">
        <v>492</v>
      </c>
      <c r="N12574" t="str">
        <f>"155381      "</f>
        <v xml:space="preserve">155381      </v>
      </c>
      <c r="O12574">
        <v>230224</v>
      </c>
    </row>
    <row r="12575" spans="1:15" x14ac:dyDescent="0.25">
      <c r="A12575" t="s">
        <v>16</v>
      </c>
      <c r="B12575" t="s">
        <v>3221</v>
      </c>
      <c r="C12575">
        <v>3620</v>
      </c>
      <c r="D12575" t="s">
        <v>1348</v>
      </c>
      <c r="E12575" t="s">
        <v>1349</v>
      </c>
      <c r="F12575">
        <v>21.77</v>
      </c>
      <c r="G12575">
        <v>230306</v>
      </c>
      <c r="H12575">
        <v>4600</v>
      </c>
      <c r="I12575" t="s">
        <v>105</v>
      </c>
      <c r="J12575">
        <v>27</v>
      </c>
      <c r="K12575">
        <v>5.23</v>
      </c>
      <c r="L12575">
        <v>44453</v>
      </c>
      <c r="M12575" t="s">
        <v>492</v>
      </c>
      <c r="N12575" t="str">
        <f>"156032      "</f>
        <v xml:space="preserve">156032      </v>
      </c>
      <c r="O12575">
        <v>230320</v>
      </c>
    </row>
    <row r="12576" spans="1:15" x14ac:dyDescent="0.25">
      <c r="A12576" t="s">
        <v>16</v>
      </c>
      <c r="B12576" t="s">
        <v>3221</v>
      </c>
      <c r="C12576">
        <v>4375</v>
      </c>
      <c r="D12576" t="s">
        <v>1348</v>
      </c>
      <c r="E12576" t="s">
        <v>1349</v>
      </c>
      <c r="F12576">
        <v>152.83000000000001</v>
      </c>
      <c r="G12576">
        <v>230331</v>
      </c>
      <c r="H12576">
        <v>4600</v>
      </c>
      <c r="I12576" t="s">
        <v>105</v>
      </c>
      <c r="J12576">
        <v>189.51</v>
      </c>
      <c r="K12576">
        <v>36.68</v>
      </c>
      <c r="L12576">
        <v>44453</v>
      </c>
      <c r="M12576" t="s">
        <v>492</v>
      </c>
      <c r="N12576" t="str">
        <f>"156743      "</f>
        <v xml:space="preserve">156743      </v>
      </c>
      <c r="O12576">
        <v>230405</v>
      </c>
    </row>
    <row r="12577" spans="1:15" x14ac:dyDescent="0.25">
      <c r="A12577" t="s">
        <v>16</v>
      </c>
      <c r="B12577" t="s">
        <v>3221</v>
      </c>
      <c r="C12577">
        <v>14355</v>
      </c>
      <c r="D12577" t="s">
        <v>1348</v>
      </c>
      <c r="E12577" t="s">
        <v>1349</v>
      </c>
      <c r="F12577">
        <v>237.41</v>
      </c>
      <c r="G12577">
        <v>231002</v>
      </c>
      <c r="H12577">
        <v>4600</v>
      </c>
      <c r="I12577" t="s">
        <v>105</v>
      </c>
      <c r="J12577">
        <v>294.39</v>
      </c>
      <c r="K12577">
        <v>56.98</v>
      </c>
      <c r="L12577">
        <v>44453</v>
      </c>
      <c r="M12577" t="s">
        <v>492</v>
      </c>
      <c r="N12577" t="str">
        <f>"161767      "</f>
        <v xml:space="preserve">161767      </v>
      </c>
      <c r="O12577">
        <v>231030</v>
      </c>
    </row>
    <row r="12578" spans="1:15" x14ac:dyDescent="0.25">
      <c r="A12578" t="s">
        <v>16</v>
      </c>
      <c r="B12578" t="s">
        <v>3221</v>
      </c>
      <c r="C12578">
        <v>2283</v>
      </c>
      <c r="D12578" t="s">
        <v>1348</v>
      </c>
      <c r="E12578" t="s">
        <v>1349</v>
      </c>
      <c r="F12578">
        <v>344.36</v>
      </c>
      <c r="G12578">
        <v>230208</v>
      </c>
      <c r="H12578">
        <v>4555</v>
      </c>
      <c r="I12578" t="s">
        <v>481</v>
      </c>
      <c r="J12578">
        <v>427.01</v>
      </c>
      <c r="K12578">
        <v>82.65</v>
      </c>
      <c r="L12578">
        <v>44453</v>
      </c>
      <c r="M12578" t="s">
        <v>492</v>
      </c>
      <c r="N12578" t="str">
        <f>"155381      "</f>
        <v xml:space="preserve">155381      </v>
      </c>
      <c r="O12578">
        <v>230224</v>
      </c>
    </row>
    <row r="12579" spans="1:15" x14ac:dyDescent="0.25">
      <c r="A12579" t="s">
        <v>16</v>
      </c>
      <c r="B12579" t="s">
        <v>3221</v>
      </c>
      <c r="C12579">
        <v>2284</v>
      </c>
      <c r="D12579" t="s">
        <v>1348</v>
      </c>
      <c r="E12579" t="s">
        <v>1349</v>
      </c>
      <c r="F12579">
        <v>48.39</v>
      </c>
      <c r="G12579">
        <v>230209</v>
      </c>
      <c r="H12579">
        <v>4555</v>
      </c>
      <c r="I12579" t="s">
        <v>481</v>
      </c>
      <c r="J12579">
        <v>60</v>
      </c>
      <c r="K12579">
        <v>11.61</v>
      </c>
      <c r="L12579">
        <v>44453</v>
      </c>
      <c r="M12579" t="s">
        <v>492</v>
      </c>
      <c r="N12579" t="str">
        <f>"155430      "</f>
        <v xml:space="preserve">155430      </v>
      </c>
      <c r="O12579">
        <v>230224</v>
      </c>
    </row>
    <row r="12580" spans="1:15" x14ac:dyDescent="0.25">
      <c r="A12580" t="s">
        <v>16</v>
      </c>
      <c r="B12580" t="s">
        <v>3221</v>
      </c>
      <c r="C12580">
        <v>2285</v>
      </c>
      <c r="D12580" t="s">
        <v>1348</v>
      </c>
      <c r="E12580" t="s">
        <v>1349</v>
      </c>
      <c r="F12580">
        <v>96.77</v>
      </c>
      <c r="G12580">
        <v>230209</v>
      </c>
      <c r="H12580">
        <v>4555</v>
      </c>
      <c r="I12580" t="s">
        <v>481</v>
      </c>
      <c r="J12580">
        <v>120</v>
      </c>
      <c r="K12580">
        <v>23.23</v>
      </c>
      <c r="L12580">
        <v>44453</v>
      </c>
      <c r="M12580" t="s">
        <v>492</v>
      </c>
      <c r="N12580" t="str">
        <f>"155437      "</f>
        <v xml:space="preserve">155437      </v>
      </c>
      <c r="O12580">
        <v>230224</v>
      </c>
    </row>
    <row r="12581" spans="1:15" x14ac:dyDescent="0.25">
      <c r="A12581" t="s">
        <v>16</v>
      </c>
      <c r="B12581" t="s">
        <v>3221</v>
      </c>
      <c r="C12581">
        <v>2286</v>
      </c>
      <c r="D12581" t="s">
        <v>1348</v>
      </c>
      <c r="E12581" t="s">
        <v>1349</v>
      </c>
      <c r="F12581">
        <v>24.19</v>
      </c>
      <c r="G12581">
        <v>230210</v>
      </c>
      <c r="H12581">
        <v>4555</v>
      </c>
      <c r="I12581" t="s">
        <v>481</v>
      </c>
      <c r="J12581">
        <v>30</v>
      </c>
      <c r="K12581">
        <v>5.81</v>
      </c>
      <c r="L12581">
        <v>44453</v>
      </c>
      <c r="M12581" t="s">
        <v>492</v>
      </c>
      <c r="N12581" t="str">
        <f>"155464      "</f>
        <v xml:space="preserve">155464      </v>
      </c>
      <c r="O12581">
        <v>230224</v>
      </c>
    </row>
    <row r="12582" spans="1:15" x14ac:dyDescent="0.25">
      <c r="A12582" t="s">
        <v>16</v>
      </c>
      <c r="B12582" t="s">
        <v>3221</v>
      </c>
      <c r="C12582">
        <v>3643</v>
      </c>
      <c r="D12582" t="s">
        <v>1348</v>
      </c>
      <c r="E12582" t="s">
        <v>1349</v>
      </c>
      <c r="F12582">
        <v>33.869999999999997</v>
      </c>
      <c r="G12582">
        <v>230315</v>
      </c>
      <c r="H12582">
        <v>4555</v>
      </c>
      <c r="I12582" t="s">
        <v>481</v>
      </c>
      <c r="J12582">
        <v>42</v>
      </c>
      <c r="K12582">
        <v>8.1300000000000008</v>
      </c>
      <c r="L12582">
        <v>44453</v>
      </c>
      <c r="M12582" t="s">
        <v>492</v>
      </c>
      <c r="N12582" t="str">
        <f>"156291      "</f>
        <v xml:space="preserve">156291      </v>
      </c>
      <c r="O12582">
        <v>230320</v>
      </c>
    </row>
    <row r="12583" spans="1:15" x14ac:dyDescent="0.25">
      <c r="A12583" t="s">
        <v>16</v>
      </c>
      <c r="B12583" t="s">
        <v>3221</v>
      </c>
      <c r="C12583">
        <v>4375</v>
      </c>
      <c r="D12583" t="s">
        <v>1348</v>
      </c>
      <c r="E12583" t="s">
        <v>1349</v>
      </c>
      <c r="F12583">
        <v>523.65</v>
      </c>
      <c r="G12583">
        <v>230331</v>
      </c>
      <c r="H12583">
        <v>4555</v>
      </c>
      <c r="I12583" t="s">
        <v>481</v>
      </c>
      <c r="J12583">
        <v>649.33000000000004</v>
      </c>
      <c r="K12583">
        <v>125.68</v>
      </c>
      <c r="L12583">
        <v>44453</v>
      </c>
      <c r="M12583" t="s">
        <v>492</v>
      </c>
      <c r="N12583" t="str">
        <f>"156743      "</f>
        <v xml:space="preserve">156743      </v>
      </c>
      <c r="O12583">
        <v>230405</v>
      </c>
    </row>
    <row r="12584" spans="1:15" x14ac:dyDescent="0.25">
      <c r="A12584" t="s">
        <v>16</v>
      </c>
      <c r="B12584" t="s">
        <v>3221</v>
      </c>
      <c r="C12584">
        <v>6588</v>
      </c>
      <c r="D12584" t="s">
        <v>1348</v>
      </c>
      <c r="E12584" t="s">
        <v>1349</v>
      </c>
      <c r="F12584">
        <v>35.479999999999997</v>
      </c>
      <c r="G12584">
        <v>230424</v>
      </c>
      <c r="H12584">
        <v>4555</v>
      </c>
      <c r="I12584" t="s">
        <v>481</v>
      </c>
      <c r="J12584">
        <v>44</v>
      </c>
      <c r="K12584">
        <v>8.52</v>
      </c>
      <c r="L12584">
        <v>44453</v>
      </c>
      <c r="M12584" t="s">
        <v>492</v>
      </c>
      <c r="N12584" t="str">
        <f>"157347      "</f>
        <v xml:space="preserve">157347      </v>
      </c>
      <c r="O12584">
        <v>230516</v>
      </c>
    </row>
    <row r="12585" spans="1:15" x14ac:dyDescent="0.25">
      <c r="A12585" t="s">
        <v>16</v>
      </c>
      <c r="B12585" t="s">
        <v>3221</v>
      </c>
      <c r="C12585">
        <v>11773</v>
      </c>
      <c r="D12585" t="s">
        <v>1348</v>
      </c>
      <c r="E12585" t="s">
        <v>1349</v>
      </c>
      <c r="F12585">
        <v>574.45000000000005</v>
      </c>
      <c r="G12585">
        <v>230830</v>
      </c>
      <c r="H12585">
        <v>4555</v>
      </c>
      <c r="I12585" t="s">
        <v>481</v>
      </c>
      <c r="J12585">
        <v>712.32</v>
      </c>
      <c r="K12585">
        <v>137.87</v>
      </c>
      <c r="L12585">
        <v>44453</v>
      </c>
      <c r="M12585" t="s">
        <v>492</v>
      </c>
      <c r="N12585" t="str">
        <f>"160767      "</f>
        <v xml:space="preserve">160767      </v>
      </c>
      <c r="O12585">
        <v>230911</v>
      </c>
    </row>
    <row r="12586" spans="1:15" x14ac:dyDescent="0.25">
      <c r="A12586" t="s">
        <v>16</v>
      </c>
      <c r="B12586" t="s">
        <v>3221</v>
      </c>
      <c r="C12586">
        <v>11870</v>
      </c>
      <c r="D12586" t="s">
        <v>1348</v>
      </c>
      <c r="E12586" t="s">
        <v>1349</v>
      </c>
      <c r="F12586">
        <v>70.959999999999994</v>
      </c>
      <c r="G12586">
        <v>230907</v>
      </c>
      <c r="H12586">
        <v>4555</v>
      </c>
      <c r="I12586" t="s">
        <v>481</v>
      </c>
      <c r="J12586">
        <v>87.99</v>
      </c>
      <c r="K12586">
        <v>17.03</v>
      </c>
      <c r="L12586">
        <v>44453</v>
      </c>
      <c r="M12586" t="s">
        <v>492</v>
      </c>
      <c r="N12586" t="str">
        <f>"161033      "</f>
        <v xml:space="preserve">161033      </v>
      </c>
      <c r="O12586">
        <v>230911</v>
      </c>
    </row>
    <row r="12587" spans="1:15" x14ac:dyDescent="0.25">
      <c r="A12587" t="s">
        <v>16</v>
      </c>
      <c r="B12587" t="s">
        <v>3221</v>
      </c>
      <c r="C12587">
        <v>14839</v>
      </c>
      <c r="D12587" t="s">
        <v>1348</v>
      </c>
      <c r="E12587" t="s">
        <v>1349</v>
      </c>
      <c r="F12587">
        <v>273.87</v>
      </c>
      <c r="G12587">
        <v>231030</v>
      </c>
      <c r="H12587">
        <v>4555</v>
      </c>
      <c r="I12587" t="s">
        <v>481</v>
      </c>
      <c r="J12587">
        <v>339.6</v>
      </c>
      <c r="K12587">
        <v>65.73</v>
      </c>
      <c r="L12587">
        <v>44453</v>
      </c>
      <c r="M12587" t="s">
        <v>492</v>
      </c>
      <c r="N12587" t="str">
        <f>"162867      "</f>
        <v xml:space="preserve">162867      </v>
      </c>
      <c r="O12587">
        <v>231107</v>
      </c>
    </row>
    <row r="12588" spans="1:15" x14ac:dyDescent="0.25">
      <c r="A12588" t="s">
        <v>16</v>
      </c>
      <c r="B12588" t="s">
        <v>3221</v>
      </c>
      <c r="C12588">
        <v>17690</v>
      </c>
      <c r="D12588" t="s">
        <v>1348</v>
      </c>
      <c r="E12588" t="s">
        <v>1349</v>
      </c>
      <c r="F12588">
        <v>155.63</v>
      </c>
      <c r="G12588">
        <v>231208</v>
      </c>
      <c r="H12588">
        <v>4555</v>
      </c>
      <c r="I12588" t="s">
        <v>481</v>
      </c>
      <c r="J12588">
        <v>192.98</v>
      </c>
      <c r="K12588">
        <v>37.35</v>
      </c>
      <c r="L12588">
        <v>44453</v>
      </c>
      <c r="M12588" t="s">
        <v>492</v>
      </c>
      <c r="N12588" t="str">
        <f>"163970      "</f>
        <v xml:space="preserve">163970      </v>
      </c>
      <c r="O12588">
        <v>231221</v>
      </c>
    </row>
    <row r="12589" spans="1:15" x14ac:dyDescent="0.25">
      <c r="A12589" t="s">
        <v>16</v>
      </c>
      <c r="B12589" t="s">
        <v>3221</v>
      </c>
      <c r="C12589">
        <v>1593</v>
      </c>
      <c r="D12589" t="s">
        <v>1094</v>
      </c>
      <c r="E12589" t="s">
        <v>1095</v>
      </c>
      <c r="F12589">
        <v>37.68</v>
      </c>
      <c r="G12589">
        <v>230123</v>
      </c>
      <c r="H12589">
        <v>4555</v>
      </c>
      <c r="I12589" t="s">
        <v>481</v>
      </c>
      <c r="J12589">
        <v>46.72</v>
      </c>
      <c r="K12589">
        <v>9.0399999999999991</v>
      </c>
      <c r="L12589">
        <v>44453</v>
      </c>
      <c r="M12589" t="s">
        <v>492</v>
      </c>
      <c r="N12589" t="str">
        <f>"960057777   "</f>
        <v xml:space="preserve">960057777   </v>
      </c>
      <c r="O12589">
        <v>230210</v>
      </c>
    </row>
    <row r="12590" spans="1:15" x14ac:dyDescent="0.25">
      <c r="A12590" t="s">
        <v>16</v>
      </c>
      <c r="B12590" t="s">
        <v>3221</v>
      </c>
      <c r="C12590">
        <v>1594</v>
      </c>
      <c r="D12590" t="s">
        <v>1094</v>
      </c>
      <c r="E12590" t="s">
        <v>1095</v>
      </c>
      <c r="F12590">
        <v>365.33</v>
      </c>
      <c r="G12590">
        <v>230123</v>
      </c>
      <c r="H12590">
        <v>4555</v>
      </c>
      <c r="I12590" t="s">
        <v>481</v>
      </c>
      <c r="J12590">
        <v>453.01</v>
      </c>
      <c r="K12590">
        <v>87.68</v>
      </c>
      <c r="L12590">
        <v>44453</v>
      </c>
      <c r="M12590" t="s">
        <v>492</v>
      </c>
      <c r="N12590" t="str">
        <f>"960057776   "</f>
        <v xml:space="preserve">960057776   </v>
      </c>
      <c r="O12590">
        <v>230210</v>
      </c>
    </row>
    <row r="12591" spans="1:15" x14ac:dyDescent="0.25">
      <c r="A12591" t="s">
        <v>16</v>
      </c>
      <c r="B12591" t="s">
        <v>3221</v>
      </c>
      <c r="C12591">
        <v>17664</v>
      </c>
      <c r="D12591" t="s">
        <v>1094</v>
      </c>
      <c r="E12591" t="s">
        <v>1095</v>
      </c>
      <c r="F12591">
        <v>521.53</v>
      </c>
      <c r="G12591">
        <v>231117</v>
      </c>
      <c r="H12591">
        <v>4555</v>
      </c>
      <c r="I12591" t="s">
        <v>481</v>
      </c>
      <c r="J12591">
        <v>646.70000000000005</v>
      </c>
      <c r="K12591">
        <v>125.17</v>
      </c>
      <c r="L12591">
        <v>44453</v>
      </c>
      <c r="M12591" t="s">
        <v>492</v>
      </c>
      <c r="N12591" t="str">
        <f>"960101146   "</f>
        <v xml:space="preserve">960101146   </v>
      </c>
      <c r="O12591">
        <v>231219</v>
      </c>
    </row>
    <row r="12592" spans="1:15" x14ac:dyDescent="0.25">
      <c r="A12592" t="s">
        <v>16</v>
      </c>
      <c r="B12592" t="s">
        <v>3221</v>
      </c>
      <c r="C12592">
        <v>12584</v>
      </c>
      <c r="D12592" t="s">
        <v>587</v>
      </c>
      <c r="E12592" t="s">
        <v>588</v>
      </c>
      <c r="F12592">
        <v>166.06</v>
      </c>
      <c r="G12592">
        <v>230915</v>
      </c>
      <c r="H12592">
        <v>4580</v>
      </c>
      <c r="I12592" t="s">
        <v>35</v>
      </c>
      <c r="J12592">
        <v>205.91</v>
      </c>
      <c r="K12592">
        <v>39.85</v>
      </c>
      <c r="L12592">
        <v>47522</v>
      </c>
      <c r="M12592" t="s">
        <v>410</v>
      </c>
      <c r="N12592" t="str">
        <f>"5237751839  "</f>
        <v xml:space="preserve">5237751839  </v>
      </c>
      <c r="O12592">
        <v>230922</v>
      </c>
    </row>
    <row r="12593" spans="1:15" x14ac:dyDescent="0.25">
      <c r="A12593" t="s">
        <v>16</v>
      </c>
      <c r="B12593" t="s">
        <v>3221</v>
      </c>
      <c r="C12593">
        <v>14885</v>
      </c>
      <c r="D12593" t="s">
        <v>587</v>
      </c>
      <c r="E12593" t="s">
        <v>588</v>
      </c>
      <c r="F12593">
        <v>20.02</v>
      </c>
      <c r="G12593">
        <v>231016</v>
      </c>
      <c r="H12593">
        <v>4580</v>
      </c>
      <c r="I12593" t="s">
        <v>35</v>
      </c>
      <c r="J12593">
        <v>24.83</v>
      </c>
      <c r="K12593">
        <v>4.8099999999999996</v>
      </c>
      <c r="L12593">
        <v>46554</v>
      </c>
      <c r="M12593" t="s">
        <v>117</v>
      </c>
      <c r="N12593" t="str">
        <f>"5237855697  "</f>
        <v xml:space="preserve">5237855697  </v>
      </c>
      <c r="O12593">
        <v>231107</v>
      </c>
    </row>
    <row r="12594" spans="1:15" x14ac:dyDescent="0.25">
      <c r="A12594" t="s">
        <v>16</v>
      </c>
      <c r="B12594" t="s">
        <v>3221</v>
      </c>
      <c r="C12594">
        <v>15956</v>
      </c>
      <c r="D12594" t="s">
        <v>587</v>
      </c>
      <c r="E12594" t="s">
        <v>588</v>
      </c>
      <c r="F12594">
        <v>56.37</v>
      </c>
      <c r="G12594">
        <v>231115</v>
      </c>
      <c r="H12594">
        <v>4580</v>
      </c>
      <c r="I12594" t="s">
        <v>35</v>
      </c>
      <c r="J12594">
        <v>69.900000000000006</v>
      </c>
      <c r="K12594">
        <v>13.53</v>
      </c>
      <c r="L12594">
        <v>47522</v>
      </c>
      <c r="M12594" t="s">
        <v>410</v>
      </c>
      <c r="N12594" t="str">
        <f>"5237946844  "</f>
        <v xml:space="preserve">5237946844  </v>
      </c>
      <c r="O12594">
        <v>231122</v>
      </c>
    </row>
    <row r="12595" spans="1:15" x14ac:dyDescent="0.25">
      <c r="A12595" t="s">
        <v>16</v>
      </c>
      <c r="B12595" t="s">
        <v>3221</v>
      </c>
      <c r="C12595">
        <v>15976</v>
      </c>
      <c r="D12595" t="s">
        <v>587</v>
      </c>
      <c r="E12595" t="s">
        <v>588</v>
      </c>
      <c r="F12595">
        <v>574.30999999999995</v>
      </c>
      <c r="G12595">
        <v>231115</v>
      </c>
      <c r="H12595">
        <v>4580</v>
      </c>
      <c r="I12595" t="s">
        <v>35</v>
      </c>
      <c r="J12595">
        <v>712.15</v>
      </c>
      <c r="K12595">
        <v>137.84</v>
      </c>
      <c r="L12595">
        <v>46556</v>
      </c>
      <c r="M12595" t="s">
        <v>125</v>
      </c>
      <c r="N12595" t="str">
        <f>"5237946846  "</f>
        <v xml:space="preserve">5237946846  </v>
      </c>
      <c r="O12595">
        <v>231122</v>
      </c>
    </row>
    <row r="12596" spans="1:15" x14ac:dyDescent="0.25">
      <c r="A12596" t="s">
        <v>16</v>
      </c>
      <c r="B12596" t="s">
        <v>3221</v>
      </c>
      <c r="C12596">
        <v>16630</v>
      </c>
      <c r="D12596" t="s">
        <v>587</v>
      </c>
      <c r="E12596" t="s">
        <v>588</v>
      </c>
      <c r="F12596">
        <v>266.45</v>
      </c>
      <c r="G12596">
        <v>231130</v>
      </c>
      <c r="H12596">
        <v>4580</v>
      </c>
      <c r="I12596" t="s">
        <v>35</v>
      </c>
      <c r="J12596">
        <v>330.4</v>
      </c>
      <c r="K12596">
        <v>63.95</v>
      </c>
      <c r="L12596">
        <v>46556</v>
      </c>
      <c r="M12596" t="s">
        <v>125</v>
      </c>
      <c r="N12596" t="str">
        <f>"5237994090  "</f>
        <v xml:space="preserve">5237994090  </v>
      </c>
      <c r="O12596">
        <v>231205</v>
      </c>
    </row>
    <row r="12597" spans="1:15" x14ac:dyDescent="0.25">
      <c r="A12597" t="s">
        <v>16</v>
      </c>
      <c r="B12597" t="s">
        <v>3221</v>
      </c>
      <c r="C12597">
        <v>17953</v>
      </c>
      <c r="D12597" t="s">
        <v>587</v>
      </c>
      <c r="E12597" t="s">
        <v>588</v>
      </c>
      <c r="F12597">
        <v>83.97</v>
      </c>
      <c r="G12597">
        <v>231215</v>
      </c>
      <c r="H12597">
        <v>4580</v>
      </c>
      <c r="I12597" t="s">
        <v>35</v>
      </c>
      <c r="J12597">
        <v>104.12</v>
      </c>
      <c r="K12597">
        <v>20.149999999999999</v>
      </c>
      <c r="L12597">
        <v>47522</v>
      </c>
      <c r="M12597" t="s">
        <v>410</v>
      </c>
      <c r="N12597" t="str">
        <f>"5238025286  "</f>
        <v xml:space="preserve">5238025286  </v>
      </c>
      <c r="O12597">
        <v>231228</v>
      </c>
    </row>
    <row r="12598" spans="1:15" x14ac:dyDescent="0.25">
      <c r="A12598" t="s">
        <v>16</v>
      </c>
      <c r="B12598" t="s">
        <v>3221</v>
      </c>
      <c r="C12598">
        <v>12584</v>
      </c>
      <c r="D12598" t="s">
        <v>587</v>
      </c>
      <c r="E12598" t="s">
        <v>588</v>
      </c>
      <c r="F12598">
        <v>721.77</v>
      </c>
      <c r="G12598">
        <v>230915</v>
      </c>
      <c r="H12598">
        <v>1198</v>
      </c>
      <c r="I12598" t="s">
        <v>1128</v>
      </c>
      <c r="J12598">
        <v>894.99</v>
      </c>
      <c r="K12598">
        <v>173.22</v>
      </c>
      <c r="L12598">
        <v>96511</v>
      </c>
      <c r="M12598" t="s">
        <v>2452</v>
      </c>
      <c r="N12598" t="str">
        <f>"5237751839  "</f>
        <v xml:space="preserve">5237751839  </v>
      </c>
      <c r="O12598">
        <v>230922</v>
      </c>
    </row>
    <row r="12599" spans="1:15" x14ac:dyDescent="0.25">
      <c r="A12599" t="s">
        <v>16</v>
      </c>
      <c r="B12599" t="s">
        <v>3221</v>
      </c>
      <c r="C12599">
        <v>10258</v>
      </c>
      <c r="D12599" t="s">
        <v>587</v>
      </c>
      <c r="E12599" t="s">
        <v>588</v>
      </c>
      <c r="F12599">
        <v>1973.86</v>
      </c>
      <c r="G12599">
        <v>230731</v>
      </c>
      <c r="H12599">
        <v>1196</v>
      </c>
      <c r="I12599" t="s">
        <v>392</v>
      </c>
      <c r="J12599">
        <v>2447.59</v>
      </c>
      <c r="K12599">
        <v>473.73</v>
      </c>
      <c r="L12599">
        <v>96501</v>
      </c>
      <c r="M12599" t="s">
        <v>2361</v>
      </c>
      <c r="N12599" t="str">
        <f>"5237601529  "</f>
        <v xml:space="preserve">5237601529  </v>
      </c>
      <c r="O12599">
        <v>230814</v>
      </c>
    </row>
    <row r="12600" spans="1:15" x14ac:dyDescent="0.25">
      <c r="A12600" t="s">
        <v>16</v>
      </c>
      <c r="B12600" t="s">
        <v>3221</v>
      </c>
      <c r="C12600">
        <v>10262</v>
      </c>
      <c r="D12600" t="s">
        <v>587</v>
      </c>
      <c r="E12600" t="s">
        <v>588</v>
      </c>
      <c r="F12600">
        <v>-81.05</v>
      </c>
      <c r="G12600">
        <v>230731</v>
      </c>
      <c r="H12600">
        <v>1196</v>
      </c>
      <c r="I12600" t="s">
        <v>392</v>
      </c>
      <c r="J12600">
        <v>-100.5</v>
      </c>
      <c r="K12600">
        <v>-19.45</v>
      </c>
      <c r="L12600">
        <v>96501</v>
      </c>
      <c r="M12600" t="s">
        <v>2361</v>
      </c>
      <c r="N12600" t="str">
        <f>"5237601528  "</f>
        <v xml:space="preserve">5237601528  </v>
      </c>
      <c r="O12600">
        <v>230814</v>
      </c>
    </row>
    <row r="12601" spans="1:15" x14ac:dyDescent="0.25">
      <c r="A12601" t="s">
        <v>16</v>
      </c>
      <c r="B12601" t="s">
        <v>3221</v>
      </c>
      <c r="C12601">
        <v>12582</v>
      </c>
      <c r="D12601" t="s">
        <v>587</v>
      </c>
      <c r="E12601" t="s">
        <v>588</v>
      </c>
      <c r="F12601">
        <v>699.86</v>
      </c>
      <c r="G12601">
        <v>230915</v>
      </c>
      <c r="H12601">
        <v>1196</v>
      </c>
      <c r="I12601" t="s">
        <v>392</v>
      </c>
      <c r="J12601">
        <v>867.83</v>
      </c>
      <c r="K12601">
        <v>167.97</v>
      </c>
      <c r="L12601">
        <v>96501</v>
      </c>
      <c r="M12601" t="s">
        <v>2361</v>
      </c>
      <c r="N12601" t="str">
        <f>"5237751842  "</f>
        <v xml:space="preserve">5237751842  </v>
      </c>
      <c r="O12601">
        <v>230922</v>
      </c>
    </row>
    <row r="12602" spans="1:15" x14ac:dyDescent="0.25">
      <c r="A12602" t="s">
        <v>16</v>
      </c>
      <c r="B12602" t="s">
        <v>3221</v>
      </c>
      <c r="C12602">
        <v>13652</v>
      </c>
      <c r="D12602" t="s">
        <v>587</v>
      </c>
      <c r="E12602" t="s">
        <v>588</v>
      </c>
      <c r="F12602">
        <v>122.96</v>
      </c>
      <c r="G12602">
        <v>231002</v>
      </c>
      <c r="H12602">
        <v>1196</v>
      </c>
      <c r="I12602" t="s">
        <v>392</v>
      </c>
      <c r="J12602">
        <v>152.47</v>
      </c>
      <c r="K12602">
        <v>29.51</v>
      </c>
      <c r="L12602">
        <v>96501</v>
      </c>
      <c r="M12602" t="s">
        <v>2361</v>
      </c>
      <c r="N12602" t="str">
        <f>"447969053   "</f>
        <v xml:space="preserve">447969053   </v>
      </c>
      <c r="O12602">
        <v>231012</v>
      </c>
    </row>
    <row r="12603" spans="1:15" x14ac:dyDescent="0.25">
      <c r="A12603" t="s">
        <v>16</v>
      </c>
      <c r="B12603" t="s">
        <v>3221</v>
      </c>
      <c r="C12603">
        <v>13654</v>
      </c>
      <c r="D12603" t="s">
        <v>587</v>
      </c>
      <c r="E12603" t="s">
        <v>588</v>
      </c>
      <c r="F12603">
        <v>145.41999999999999</v>
      </c>
      <c r="G12603">
        <v>230929</v>
      </c>
      <c r="H12603">
        <v>1196</v>
      </c>
      <c r="I12603" t="s">
        <v>392</v>
      </c>
      <c r="J12603">
        <v>180.32</v>
      </c>
      <c r="K12603">
        <v>34.9</v>
      </c>
      <c r="L12603">
        <v>96501</v>
      </c>
      <c r="M12603" t="s">
        <v>2361</v>
      </c>
      <c r="N12603" t="str">
        <f>"447892180   "</f>
        <v xml:space="preserve">447892180   </v>
      </c>
      <c r="O12603">
        <v>231012</v>
      </c>
    </row>
    <row r="12604" spans="1:15" x14ac:dyDescent="0.25">
      <c r="A12604" t="s">
        <v>16</v>
      </c>
      <c r="B12604" t="s">
        <v>3221</v>
      </c>
      <c r="C12604">
        <v>13667</v>
      </c>
      <c r="D12604" t="s">
        <v>587</v>
      </c>
      <c r="E12604" t="s">
        <v>588</v>
      </c>
      <c r="F12604">
        <v>127.94</v>
      </c>
      <c r="G12604">
        <v>230930</v>
      </c>
      <c r="H12604">
        <v>1196</v>
      </c>
      <c r="I12604" t="s">
        <v>392</v>
      </c>
      <c r="J12604">
        <v>158.63999999999999</v>
      </c>
      <c r="K12604">
        <v>30.7</v>
      </c>
      <c r="L12604">
        <v>96501</v>
      </c>
      <c r="M12604" t="s">
        <v>2361</v>
      </c>
      <c r="N12604" t="str">
        <f>"5237808905  "</f>
        <v xml:space="preserve">5237808905  </v>
      </c>
      <c r="O12604">
        <v>231012</v>
      </c>
    </row>
    <row r="12605" spans="1:15" x14ac:dyDescent="0.25">
      <c r="A12605" t="s">
        <v>16</v>
      </c>
      <c r="B12605" t="s">
        <v>3221</v>
      </c>
      <c r="C12605">
        <v>13697</v>
      </c>
      <c r="D12605" t="s">
        <v>587</v>
      </c>
      <c r="E12605" t="s">
        <v>588</v>
      </c>
      <c r="F12605">
        <v>96.97</v>
      </c>
      <c r="G12605">
        <v>231005</v>
      </c>
      <c r="H12605">
        <v>1196</v>
      </c>
      <c r="I12605" t="s">
        <v>392</v>
      </c>
      <c r="J12605">
        <v>120.24</v>
      </c>
      <c r="K12605">
        <v>23.27</v>
      </c>
      <c r="L12605">
        <v>96501</v>
      </c>
      <c r="M12605" t="s">
        <v>2361</v>
      </c>
      <c r="N12605" t="str">
        <f>"447967944   "</f>
        <v xml:space="preserve">447967944   </v>
      </c>
      <c r="O12605">
        <v>231012</v>
      </c>
    </row>
    <row r="12606" spans="1:15" x14ac:dyDescent="0.25">
      <c r="A12606" t="s">
        <v>16</v>
      </c>
      <c r="B12606" t="s">
        <v>3221</v>
      </c>
      <c r="C12606">
        <v>13714</v>
      </c>
      <c r="D12606" t="s">
        <v>587</v>
      </c>
      <c r="E12606" t="s">
        <v>588</v>
      </c>
      <c r="F12606">
        <v>52.04</v>
      </c>
      <c r="G12606">
        <v>231009</v>
      </c>
      <c r="H12606">
        <v>1196</v>
      </c>
      <c r="I12606" t="s">
        <v>392</v>
      </c>
      <c r="J12606">
        <v>64.53</v>
      </c>
      <c r="K12606">
        <v>12.49</v>
      </c>
      <c r="L12606">
        <v>96501</v>
      </c>
      <c r="M12606" t="s">
        <v>2361</v>
      </c>
      <c r="N12606" t="str">
        <f>"447975668   "</f>
        <v xml:space="preserve">447975668   </v>
      </c>
      <c r="O12606">
        <v>231012</v>
      </c>
    </row>
    <row r="12607" spans="1:15" x14ac:dyDescent="0.25">
      <c r="A12607" t="s">
        <v>16</v>
      </c>
      <c r="B12607" t="s">
        <v>3221</v>
      </c>
      <c r="C12607">
        <v>13768</v>
      </c>
      <c r="D12607" t="s">
        <v>587</v>
      </c>
      <c r="E12607" t="s">
        <v>588</v>
      </c>
      <c r="F12607">
        <v>199.45</v>
      </c>
      <c r="G12607">
        <v>231010</v>
      </c>
      <c r="H12607">
        <v>1196</v>
      </c>
      <c r="I12607" t="s">
        <v>392</v>
      </c>
      <c r="J12607">
        <v>247.32</v>
      </c>
      <c r="K12607">
        <v>47.87</v>
      </c>
      <c r="L12607">
        <v>96501</v>
      </c>
      <c r="M12607" t="s">
        <v>2361</v>
      </c>
      <c r="N12607" t="str">
        <f>"447946593   "</f>
        <v xml:space="preserve">447946593   </v>
      </c>
      <c r="O12607">
        <v>231013</v>
      </c>
    </row>
    <row r="12608" spans="1:15" x14ac:dyDescent="0.25">
      <c r="A12608" t="s">
        <v>16</v>
      </c>
      <c r="B12608" t="s">
        <v>3221</v>
      </c>
      <c r="C12608">
        <v>14000</v>
      </c>
      <c r="D12608" t="s">
        <v>587</v>
      </c>
      <c r="E12608" t="s">
        <v>588</v>
      </c>
      <c r="F12608">
        <v>40.81</v>
      </c>
      <c r="G12608">
        <v>231011</v>
      </c>
      <c r="H12608">
        <v>1196</v>
      </c>
      <c r="I12608" t="s">
        <v>392</v>
      </c>
      <c r="J12608">
        <v>50.61</v>
      </c>
      <c r="K12608">
        <v>9.8000000000000007</v>
      </c>
      <c r="L12608">
        <v>96501</v>
      </c>
      <c r="M12608" t="s">
        <v>2361</v>
      </c>
      <c r="N12608" t="str">
        <f>"448050699   "</f>
        <v xml:space="preserve">448050699   </v>
      </c>
      <c r="O12608">
        <v>231017</v>
      </c>
    </row>
    <row r="12609" spans="1:15" x14ac:dyDescent="0.25">
      <c r="A12609" t="s">
        <v>16</v>
      </c>
      <c r="B12609" t="s">
        <v>3221</v>
      </c>
      <c r="C12609">
        <v>14307</v>
      </c>
      <c r="D12609" t="s">
        <v>587</v>
      </c>
      <c r="E12609" t="s">
        <v>588</v>
      </c>
      <c r="F12609">
        <v>59.85</v>
      </c>
      <c r="G12609">
        <v>231012</v>
      </c>
      <c r="H12609">
        <v>1196</v>
      </c>
      <c r="I12609" t="s">
        <v>392</v>
      </c>
      <c r="J12609">
        <v>74.209999999999994</v>
      </c>
      <c r="K12609">
        <v>14.36</v>
      </c>
      <c r="L12609">
        <v>96501</v>
      </c>
      <c r="M12609" t="s">
        <v>2361</v>
      </c>
      <c r="N12609" t="str">
        <f>"448078829   "</f>
        <v xml:space="preserve">448078829   </v>
      </c>
      <c r="O12609">
        <v>231026</v>
      </c>
    </row>
    <row r="12610" spans="1:15" x14ac:dyDescent="0.25">
      <c r="A12610" t="s">
        <v>16</v>
      </c>
      <c r="B12610" t="s">
        <v>3221</v>
      </c>
      <c r="C12610">
        <v>14311</v>
      </c>
      <c r="D12610" t="s">
        <v>587</v>
      </c>
      <c r="E12610" t="s">
        <v>588</v>
      </c>
      <c r="F12610">
        <v>85.05</v>
      </c>
      <c r="G12610">
        <v>231012</v>
      </c>
      <c r="H12610">
        <v>1196</v>
      </c>
      <c r="I12610" t="s">
        <v>392</v>
      </c>
      <c r="J12610">
        <v>105.46</v>
      </c>
      <c r="K12610">
        <v>20.41</v>
      </c>
      <c r="L12610">
        <v>96501</v>
      </c>
      <c r="M12610" t="s">
        <v>2361</v>
      </c>
      <c r="N12610" t="str">
        <f>"448064194   "</f>
        <v xml:space="preserve">448064194   </v>
      </c>
      <c r="O12610">
        <v>231026</v>
      </c>
    </row>
    <row r="12611" spans="1:15" x14ac:dyDescent="0.25">
      <c r="A12611" t="s">
        <v>16</v>
      </c>
      <c r="B12611" t="s">
        <v>3221</v>
      </c>
      <c r="C12611">
        <v>14312</v>
      </c>
      <c r="D12611" t="s">
        <v>587</v>
      </c>
      <c r="E12611" t="s">
        <v>588</v>
      </c>
      <c r="F12611">
        <v>316.05</v>
      </c>
      <c r="G12611">
        <v>231012</v>
      </c>
      <c r="H12611">
        <v>1196</v>
      </c>
      <c r="I12611" t="s">
        <v>392</v>
      </c>
      <c r="J12611">
        <v>391.9</v>
      </c>
      <c r="K12611">
        <v>75.849999999999994</v>
      </c>
      <c r="L12611">
        <v>96501</v>
      </c>
      <c r="M12611" t="s">
        <v>2361</v>
      </c>
      <c r="N12611" t="str">
        <f>"448126017   "</f>
        <v xml:space="preserve">448126017   </v>
      </c>
      <c r="O12611">
        <v>231026</v>
      </c>
    </row>
    <row r="12612" spans="1:15" x14ac:dyDescent="0.25">
      <c r="A12612" t="s">
        <v>16</v>
      </c>
      <c r="B12612" t="s">
        <v>3221</v>
      </c>
      <c r="C12612">
        <v>14313</v>
      </c>
      <c r="D12612" t="s">
        <v>587</v>
      </c>
      <c r="E12612" t="s">
        <v>588</v>
      </c>
      <c r="F12612">
        <v>15.69</v>
      </c>
      <c r="G12612">
        <v>231012</v>
      </c>
      <c r="H12612">
        <v>1196</v>
      </c>
      <c r="I12612" t="s">
        <v>392</v>
      </c>
      <c r="J12612">
        <v>19.46</v>
      </c>
      <c r="K12612">
        <v>3.77</v>
      </c>
      <c r="L12612">
        <v>96501</v>
      </c>
      <c r="M12612" t="s">
        <v>2361</v>
      </c>
      <c r="N12612" t="str">
        <f>"448098042   "</f>
        <v xml:space="preserve">448098042   </v>
      </c>
      <c r="O12612">
        <v>231026</v>
      </c>
    </row>
    <row r="12613" spans="1:15" x14ac:dyDescent="0.25">
      <c r="A12613" t="s">
        <v>16</v>
      </c>
      <c r="B12613" t="s">
        <v>3221</v>
      </c>
      <c r="C12613">
        <v>14641</v>
      </c>
      <c r="D12613" t="s">
        <v>587</v>
      </c>
      <c r="E12613" t="s">
        <v>588</v>
      </c>
      <c r="F12613">
        <v>223.79</v>
      </c>
      <c r="G12613">
        <v>231025</v>
      </c>
      <c r="H12613">
        <v>1196</v>
      </c>
      <c r="I12613" t="s">
        <v>392</v>
      </c>
      <c r="J12613">
        <v>277.5</v>
      </c>
      <c r="K12613">
        <v>53.71</v>
      </c>
      <c r="L12613">
        <v>96501</v>
      </c>
      <c r="M12613" t="s">
        <v>2361</v>
      </c>
      <c r="N12613" t="str">
        <f>"448267671   "</f>
        <v xml:space="preserve">448267671   </v>
      </c>
      <c r="O12613">
        <v>231031</v>
      </c>
    </row>
    <row r="12614" spans="1:15" x14ac:dyDescent="0.25">
      <c r="A12614" t="s">
        <v>16</v>
      </c>
      <c r="B12614" t="s">
        <v>3221</v>
      </c>
      <c r="C12614">
        <v>14642</v>
      </c>
      <c r="D12614" t="s">
        <v>587</v>
      </c>
      <c r="E12614" t="s">
        <v>588</v>
      </c>
      <c r="F12614">
        <v>25.59</v>
      </c>
      <c r="G12614">
        <v>231025</v>
      </c>
      <c r="H12614">
        <v>1196</v>
      </c>
      <c r="I12614" t="s">
        <v>392</v>
      </c>
      <c r="J12614">
        <v>31.73</v>
      </c>
      <c r="K12614">
        <v>6.14</v>
      </c>
      <c r="L12614">
        <v>96501</v>
      </c>
      <c r="M12614" t="s">
        <v>2361</v>
      </c>
      <c r="N12614" t="str">
        <f>"448191798   "</f>
        <v xml:space="preserve">448191798   </v>
      </c>
      <c r="O12614">
        <v>231031</v>
      </c>
    </row>
    <row r="12615" spans="1:15" x14ac:dyDescent="0.25">
      <c r="A12615" t="s">
        <v>16</v>
      </c>
      <c r="B12615" t="s">
        <v>3221</v>
      </c>
      <c r="C12615">
        <v>14806</v>
      </c>
      <c r="D12615" t="s">
        <v>587</v>
      </c>
      <c r="E12615" t="s">
        <v>588</v>
      </c>
      <c r="F12615">
        <v>165.68</v>
      </c>
      <c r="G12615">
        <v>231027</v>
      </c>
      <c r="H12615">
        <v>1196</v>
      </c>
      <c r="I12615" t="s">
        <v>392</v>
      </c>
      <c r="J12615">
        <v>205.44</v>
      </c>
      <c r="K12615">
        <v>39.76</v>
      </c>
      <c r="L12615">
        <v>96501</v>
      </c>
      <c r="M12615" t="s">
        <v>2361</v>
      </c>
      <c r="N12615" t="str">
        <f>"448311039   "</f>
        <v xml:space="preserve">448311039   </v>
      </c>
      <c r="O12615">
        <v>231106</v>
      </c>
    </row>
    <row r="12616" spans="1:15" x14ac:dyDescent="0.25">
      <c r="A12616" t="s">
        <v>16</v>
      </c>
      <c r="B12616" t="s">
        <v>3221</v>
      </c>
      <c r="C12616">
        <v>14936</v>
      </c>
      <c r="D12616" t="s">
        <v>587</v>
      </c>
      <c r="E12616" t="s">
        <v>588</v>
      </c>
      <c r="F12616">
        <v>87.25</v>
      </c>
      <c r="G12616">
        <v>231031</v>
      </c>
      <c r="H12616">
        <v>1196</v>
      </c>
      <c r="I12616" t="s">
        <v>392</v>
      </c>
      <c r="J12616">
        <v>108.19</v>
      </c>
      <c r="K12616">
        <v>20.94</v>
      </c>
      <c r="L12616">
        <v>96501</v>
      </c>
      <c r="M12616" t="s">
        <v>2361</v>
      </c>
      <c r="N12616" t="str">
        <f>"448374880   "</f>
        <v xml:space="preserve">448374880   </v>
      </c>
      <c r="O12616">
        <v>231107</v>
      </c>
    </row>
    <row r="12617" spans="1:15" x14ac:dyDescent="0.25">
      <c r="A12617" t="s">
        <v>16</v>
      </c>
      <c r="B12617" t="s">
        <v>3221</v>
      </c>
      <c r="C12617">
        <v>14938</v>
      </c>
      <c r="D12617" t="s">
        <v>587</v>
      </c>
      <c r="E12617" t="s">
        <v>588</v>
      </c>
      <c r="F12617">
        <v>160.47999999999999</v>
      </c>
      <c r="G12617">
        <v>231031</v>
      </c>
      <c r="H12617">
        <v>1196</v>
      </c>
      <c r="I12617" t="s">
        <v>392</v>
      </c>
      <c r="J12617">
        <v>198.99</v>
      </c>
      <c r="K12617">
        <v>38.51</v>
      </c>
      <c r="L12617">
        <v>96501</v>
      </c>
      <c r="M12617" t="s">
        <v>2361</v>
      </c>
      <c r="N12617" t="str">
        <f>"5237906422  "</f>
        <v xml:space="preserve">5237906422  </v>
      </c>
      <c r="O12617">
        <v>231107</v>
      </c>
    </row>
    <row r="12618" spans="1:15" x14ac:dyDescent="0.25">
      <c r="A12618" t="s">
        <v>16</v>
      </c>
      <c r="B12618" t="s">
        <v>3221</v>
      </c>
      <c r="C12618">
        <v>14946</v>
      </c>
      <c r="D12618" t="s">
        <v>587</v>
      </c>
      <c r="E12618" t="s">
        <v>588</v>
      </c>
      <c r="F12618">
        <v>524.19000000000005</v>
      </c>
      <c r="G12618">
        <v>231101</v>
      </c>
      <c r="H12618">
        <v>1196</v>
      </c>
      <c r="I12618" t="s">
        <v>392</v>
      </c>
      <c r="J12618">
        <v>650</v>
      </c>
      <c r="K12618">
        <v>125.81</v>
      </c>
      <c r="L12618">
        <v>96501</v>
      </c>
      <c r="M12618" t="s">
        <v>2361</v>
      </c>
      <c r="N12618" t="str">
        <f>"448401637   "</f>
        <v xml:space="preserve">448401637   </v>
      </c>
      <c r="O12618">
        <v>231107</v>
      </c>
    </row>
    <row r="12619" spans="1:15" x14ac:dyDescent="0.25">
      <c r="A12619" t="s">
        <v>16</v>
      </c>
      <c r="B12619" t="s">
        <v>3221</v>
      </c>
      <c r="C12619">
        <v>14964</v>
      </c>
      <c r="D12619" t="s">
        <v>587</v>
      </c>
      <c r="E12619" t="s">
        <v>588</v>
      </c>
      <c r="F12619">
        <v>645.16</v>
      </c>
      <c r="G12619">
        <v>231101</v>
      </c>
      <c r="H12619">
        <v>1196</v>
      </c>
      <c r="I12619" t="s">
        <v>392</v>
      </c>
      <c r="J12619">
        <v>800</v>
      </c>
      <c r="K12619">
        <v>154.84</v>
      </c>
      <c r="L12619">
        <v>96501</v>
      </c>
      <c r="M12619" t="s">
        <v>2361</v>
      </c>
      <c r="N12619" t="str">
        <f>"448401636   "</f>
        <v xml:space="preserve">448401636   </v>
      </c>
      <c r="O12619">
        <v>231107</v>
      </c>
    </row>
    <row r="12620" spans="1:15" x14ac:dyDescent="0.25">
      <c r="A12620" t="s">
        <v>16</v>
      </c>
      <c r="B12620" t="s">
        <v>3221</v>
      </c>
      <c r="C12620">
        <v>14965</v>
      </c>
      <c r="D12620" t="s">
        <v>587</v>
      </c>
      <c r="E12620" t="s">
        <v>588</v>
      </c>
      <c r="F12620">
        <v>188.93</v>
      </c>
      <c r="G12620">
        <v>231101</v>
      </c>
      <c r="H12620">
        <v>1196</v>
      </c>
      <c r="I12620" t="s">
        <v>392</v>
      </c>
      <c r="J12620">
        <v>234.27</v>
      </c>
      <c r="K12620">
        <v>45.34</v>
      </c>
      <c r="L12620">
        <v>96501</v>
      </c>
      <c r="M12620" t="s">
        <v>2361</v>
      </c>
      <c r="N12620" t="str">
        <f>"448401638   "</f>
        <v xml:space="preserve">448401638   </v>
      </c>
      <c r="O12620">
        <v>231107</v>
      </c>
    </row>
    <row r="12621" spans="1:15" x14ac:dyDescent="0.25">
      <c r="A12621" t="s">
        <v>16</v>
      </c>
      <c r="B12621" t="s">
        <v>3221</v>
      </c>
      <c r="C12621">
        <v>14985</v>
      </c>
      <c r="D12621" t="s">
        <v>587</v>
      </c>
      <c r="E12621" t="s">
        <v>588</v>
      </c>
      <c r="F12621">
        <v>2300.59</v>
      </c>
      <c r="G12621">
        <v>231101</v>
      </c>
      <c r="H12621">
        <v>1196</v>
      </c>
      <c r="I12621" t="s">
        <v>392</v>
      </c>
      <c r="J12621">
        <v>2852.73</v>
      </c>
      <c r="K12621">
        <v>552.14</v>
      </c>
      <c r="L12621">
        <v>96501</v>
      </c>
      <c r="M12621" t="s">
        <v>2361</v>
      </c>
      <c r="N12621" t="str">
        <f>"448401635   "</f>
        <v xml:space="preserve">448401635   </v>
      </c>
      <c r="O12621">
        <v>231107</v>
      </c>
    </row>
    <row r="12622" spans="1:15" x14ac:dyDescent="0.25">
      <c r="A12622" t="s">
        <v>16</v>
      </c>
      <c r="B12622" t="s">
        <v>3221</v>
      </c>
      <c r="C12622">
        <v>14989</v>
      </c>
      <c r="D12622" t="s">
        <v>587</v>
      </c>
      <c r="E12622" t="s">
        <v>588</v>
      </c>
      <c r="F12622">
        <v>75.56</v>
      </c>
      <c r="G12622">
        <v>231102</v>
      </c>
      <c r="H12622">
        <v>1196</v>
      </c>
      <c r="I12622" t="s">
        <v>392</v>
      </c>
      <c r="J12622">
        <v>93.7</v>
      </c>
      <c r="K12622">
        <v>18.14</v>
      </c>
      <c r="L12622">
        <v>96501</v>
      </c>
      <c r="M12622" t="s">
        <v>2361</v>
      </c>
      <c r="N12622" t="str">
        <f>"448409212   "</f>
        <v xml:space="preserve">448409212   </v>
      </c>
      <c r="O12622">
        <v>231107</v>
      </c>
    </row>
    <row r="12623" spans="1:15" x14ac:dyDescent="0.25">
      <c r="A12623" t="s">
        <v>16</v>
      </c>
      <c r="B12623" t="s">
        <v>3221</v>
      </c>
      <c r="C12623">
        <v>15569</v>
      </c>
      <c r="D12623" t="s">
        <v>587</v>
      </c>
      <c r="E12623" t="s">
        <v>588</v>
      </c>
      <c r="F12623">
        <v>333.41</v>
      </c>
      <c r="G12623">
        <v>231031</v>
      </c>
      <c r="H12623">
        <v>1196</v>
      </c>
      <c r="I12623" t="s">
        <v>392</v>
      </c>
      <c r="J12623">
        <v>413.43</v>
      </c>
      <c r="K12623">
        <v>80.02</v>
      </c>
      <c r="L12623">
        <v>96501</v>
      </c>
      <c r="M12623" t="s">
        <v>2361</v>
      </c>
      <c r="N12623" t="str">
        <f>"448374879   "</f>
        <v xml:space="preserve">448374879   </v>
      </c>
      <c r="O12623">
        <v>231114</v>
      </c>
    </row>
    <row r="12624" spans="1:15" x14ac:dyDescent="0.25">
      <c r="A12624" t="s">
        <v>16</v>
      </c>
      <c r="B12624" t="s">
        <v>3221</v>
      </c>
      <c r="C12624">
        <v>15582</v>
      </c>
      <c r="D12624" t="s">
        <v>587</v>
      </c>
      <c r="E12624" t="s">
        <v>588</v>
      </c>
      <c r="F12624">
        <v>103.97</v>
      </c>
      <c r="G12624">
        <v>231107</v>
      </c>
      <c r="H12624">
        <v>1196</v>
      </c>
      <c r="I12624" t="s">
        <v>392</v>
      </c>
      <c r="J12624">
        <v>128.91999999999999</v>
      </c>
      <c r="K12624">
        <v>24.95</v>
      </c>
      <c r="L12624">
        <v>96501</v>
      </c>
      <c r="M12624" t="s">
        <v>2361</v>
      </c>
      <c r="N12624" t="str">
        <f>"448420029   "</f>
        <v xml:space="preserve">448420029   </v>
      </c>
      <c r="O12624">
        <v>231114</v>
      </c>
    </row>
    <row r="12625" spans="1:15" x14ac:dyDescent="0.25">
      <c r="A12625" t="s">
        <v>16</v>
      </c>
      <c r="B12625" t="s">
        <v>3221</v>
      </c>
      <c r="C12625">
        <v>15711</v>
      </c>
      <c r="D12625" t="s">
        <v>587</v>
      </c>
      <c r="E12625" t="s">
        <v>588</v>
      </c>
      <c r="F12625">
        <v>16.329999999999998</v>
      </c>
      <c r="G12625">
        <v>231109</v>
      </c>
      <c r="H12625">
        <v>1196</v>
      </c>
      <c r="I12625" t="s">
        <v>392</v>
      </c>
      <c r="J12625">
        <v>20.25</v>
      </c>
      <c r="K12625">
        <v>3.92</v>
      </c>
      <c r="L12625">
        <v>96501</v>
      </c>
      <c r="M12625" t="s">
        <v>2361</v>
      </c>
      <c r="N12625" t="str">
        <f>"448441894   "</f>
        <v xml:space="preserve">448441894   </v>
      </c>
      <c r="O12625">
        <v>231116</v>
      </c>
    </row>
    <row r="12626" spans="1:15" x14ac:dyDescent="0.25">
      <c r="A12626" t="s">
        <v>16</v>
      </c>
      <c r="B12626" t="s">
        <v>3221</v>
      </c>
      <c r="C12626">
        <v>15712</v>
      </c>
      <c r="D12626" t="s">
        <v>587</v>
      </c>
      <c r="E12626" t="s">
        <v>588</v>
      </c>
      <c r="F12626">
        <v>93.88</v>
      </c>
      <c r="G12626">
        <v>231109</v>
      </c>
      <c r="H12626">
        <v>1196</v>
      </c>
      <c r="I12626" t="s">
        <v>392</v>
      </c>
      <c r="J12626">
        <v>116.41</v>
      </c>
      <c r="K12626">
        <v>22.53</v>
      </c>
      <c r="L12626">
        <v>96501</v>
      </c>
      <c r="M12626" t="s">
        <v>2361</v>
      </c>
      <c r="N12626" t="str">
        <f>"448441895   "</f>
        <v xml:space="preserve">448441895   </v>
      </c>
      <c r="O12626">
        <v>231116</v>
      </c>
    </row>
    <row r="12627" spans="1:15" x14ac:dyDescent="0.25">
      <c r="A12627" t="s">
        <v>16</v>
      </c>
      <c r="B12627" t="s">
        <v>3221</v>
      </c>
      <c r="C12627">
        <v>15933</v>
      </c>
      <c r="D12627" t="s">
        <v>587</v>
      </c>
      <c r="E12627" t="s">
        <v>588</v>
      </c>
      <c r="F12627">
        <v>171.09</v>
      </c>
      <c r="G12627">
        <v>231114</v>
      </c>
      <c r="H12627">
        <v>1196</v>
      </c>
      <c r="I12627" t="s">
        <v>392</v>
      </c>
      <c r="J12627">
        <v>212.15</v>
      </c>
      <c r="K12627">
        <v>41.06</v>
      </c>
      <c r="L12627">
        <v>96501</v>
      </c>
      <c r="M12627" t="s">
        <v>2361</v>
      </c>
      <c r="N12627" t="str">
        <f>"448529749   "</f>
        <v xml:space="preserve">448529749   </v>
      </c>
      <c r="O12627">
        <v>231122</v>
      </c>
    </row>
    <row r="12628" spans="1:15" x14ac:dyDescent="0.25">
      <c r="A12628" t="s">
        <v>16</v>
      </c>
      <c r="B12628" t="s">
        <v>3221</v>
      </c>
      <c r="C12628">
        <v>15935</v>
      </c>
      <c r="D12628" t="s">
        <v>587</v>
      </c>
      <c r="E12628" t="s">
        <v>588</v>
      </c>
      <c r="F12628">
        <v>44.02</v>
      </c>
      <c r="G12628">
        <v>231114</v>
      </c>
      <c r="H12628">
        <v>1196</v>
      </c>
      <c r="I12628" t="s">
        <v>392</v>
      </c>
      <c r="J12628">
        <v>54.59</v>
      </c>
      <c r="K12628">
        <v>10.57</v>
      </c>
      <c r="L12628">
        <v>96501</v>
      </c>
      <c r="M12628" t="s">
        <v>2361</v>
      </c>
      <c r="N12628" t="str">
        <f>"448532260   "</f>
        <v xml:space="preserve">448532260   </v>
      </c>
      <c r="O12628">
        <v>231122</v>
      </c>
    </row>
    <row r="12629" spans="1:15" x14ac:dyDescent="0.25">
      <c r="A12629" t="s">
        <v>16</v>
      </c>
      <c r="B12629" t="s">
        <v>3221</v>
      </c>
      <c r="C12629">
        <v>16203</v>
      </c>
      <c r="D12629" t="s">
        <v>587</v>
      </c>
      <c r="E12629" t="s">
        <v>588</v>
      </c>
      <c r="F12629">
        <v>23.42</v>
      </c>
      <c r="G12629">
        <v>231120</v>
      </c>
      <c r="H12629">
        <v>1196</v>
      </c>
      <c r="I12629" t="s">
        <v>392</v>
      </c>
      <c r="J12629">
        <v>29.04</v>
      </c>
      <c r="K12629">
        <v>5.62</v>
      </c>
      <c r="L12629">
        <v>96501</v>
      </c>
      <c r="M12629" t="s">
        <v>2361</v>
      </c>
      <c r="N12629" t="str">
        <f>"448648324   "</f>
        <v xml:space="preserve">448648324   </v>
      </c>
      <c r="O12629">
        <v>231127</v>
      </c>
    </row>
    <row r="12630" spans="1:15" x14ac:dyDescent="0.25">
      <c r="A12630" t="s">
        <v>16</v>
      </c>
      <c r="B12630" t="s">
        <v>3221</v>
      </c>
      <c r="C12630">
        <v>16205</v>
      </c>
      <c r="D12630" t="s">
        <v>587</v>
      </c>
      <c r="E12630" t="s">
        <v>588</v>
      </c>
      <c r="F12630">
        <v>62.48</v>
      </c>
      <c r="G12630">
        <v>231120</v>
      </c>
      <c r="H12630">
        <v>1196</v>
      </c>
      <c r="I12630" t="s">
        <v>392</v>
      </c>
      <c r="J12630">
        <v>77.48</v>
      </c>
      <c r="K12630">
        <v>15</v>
      </c>
      <c r="L12630">
        <v>96501</v>
      </c>
      <c r="M12630" t="s">
        <v>2361</v>
      </c>
      <c r="N12630" t="str">
        <f>"448648325   "</f>
        <v xml:space="preserve">448648325   </v>
      </c>
      <c r="O12630">
        <v>231127</v>
      </c>
    </row>
    <row r="12631" spans="1:15" x14ac:dyDescent="0.25">
      <c r="A12631" t="s">
        <v>16</v>
      </c>
      <c r="B12631" t="s">
        <v>3221</v>
      </c>
      <c r="C12631">
        <v>16237</v>
      </c>
      <c r="D12631" t="s">
        <v>587</v>
      </c>
      <c r="E12631" t="s">
        <v>588</v>
      </c>
      <c r="F12631">
        <v>277.14</v>
      </c>
      <c r="G12631">
        <v>231121</v>
      </c>
      <c r="H12631">
        <v>1196</v>
      </c>
      <c r="I12631" t="s">
        <v>392</v>
      </c>
      <c r="J12631">
        <v>343.65</v>
      </c>
      <c r="K12631">
        <v>66.510000000000005</v>
      </c>
      <c r="L12631">
        <v>96501</v>
      </c>
      <c r="M12631" t="s">
        <v>2361</v>
      </c>
      <c r="N12631" t="str">
        <f>"448642239   "</f>
        <v xml:space="preserve">448642239   </v>
      </c>
      <c r="O12631">
        <v>231127</v>
      </c>
    </row>
    <row r="12632" spans="1:15" x14ac:dyDescent="0.25">
      <c r="A12632" t="s">
        <v>16</v>
      </c>
      <c r="B12632" t="s">
        <v>3221</v>
      </c>
      <c r="C12632">
        <v>16271</v>
      </c>
      <c r="D12632" t="s">
        <v>587</v>
      </c>
      <c r="E12632" t="s">
        <v>588</v>
      </c>
      <c r="F12632">
        <v>1915.62</v>
      </c>
      <c r="G12632">
        <v>231122</v>
      </c>
      <c r="H12632">
        <v>1196</v>
      </c>
      <c r="I12632" t="s">
        <v>392</v>
      </c>
      <c r="J12632">
        <v>2375.37</v>
      </c>
      <c r="K12632">
        <v>459.75</v>
      </c>
      <c r="L12632">
        <v>96501</v>
      </c>
      <c r="M12632" t="s">
        <v>2361</v>
      </c>
      <c r="N12632" t="str">
        <f>"448679427   "</f>
        <v xml:space="preserve">448679427   </v>
      </c>
      <c r="O12632">
        <v>231127</v>
      </c>
    </row>
    <row r="12633" spans="1:15" x14ac:dyDescent="0.25">
      <c r="A12633" t="s">
        <v>16</v>
      </c>
      <c r="B12633" t="s">
        <v>3221</v>
      </c>
      <c r="C12633">
        <v>16279</v>
      </c>
      <c r="D12633" t="s">
        <v>587</v>
      </c>
      <c r="E12633" t="s">
        <v>588</v>
      </c>
      <c r="F12633">
        <v>28.96</v>
      </c>
      <c r="G12633">
        <v>231122</v>
      </c>
      <c r="H12633">
        <v>1196</v>
      </c>
      <c r="I12633" t="s">
        <v>392</v>
      </c>
      <c r="J12633">
        <v>35.909999999999997</v>
      </c>
      <c r="K12633">
        <v>6.95</v>
      </c>
      <c r="L12633">
        <v>96501</v>
      </c>
      <c r="M12633" t="s">
        <v>2361</v>
      </c>
      <c r="N12633" t="str">
        <f>"448661643   "</f>
        <v xml:space="preserve">448661643   </v>
      </c>
      <c r="O12633">
        <v>231127</v>
      </c>
    </row>
    <row r="12634" spans="1:15" x14ac:dyDescent="0.25">
      <c r="A12634" t="s">
        <v>16</v>
      </c>
      <c r="B12634" t="s">
        <v>3221</v>
      </c>
      <c r="C12634">
        <v>16578</v>
      </c>
      <c r="D12634" t="s">
        <v>587</v>
      </c>
      <c r="E12634" t="s">
        <v>588</v>
      </c>
      <c r="F12634">
        <v>108.6</v>
      </c>
      <c r="G12634">
        <v>231123</v>
      </c>
      <c r="H12634">
        <v>1196</v>
      </c>
      <c r="I12634" t="s">
        <v>392</v>
      </c>
      <c r="J12634">
        <v>134.66</v>
      </c>
      <c r="K12634">
        <v>26.06</v>
      </c>
      <c r="L12634">
        <v>96501</v>
      </c>
      <c r="M12634" t="s">
        <v>2361</v>
      </c>
      <c r="N12634" t="str">
        <f>"448702005   "</f>
        <v xml:space="preserve">448702005   </v>
      </c>
      <c r="O12634">
        <v>231204</v>
      </c>
    </row>
    <row r="12635" spans="1:15" x14ac:dyDescent="0.25">
      <c r="A12635" t="s">
        <v>16</v>
      </c>
      <c r="B12635" t="s">
        <v>3221</v>
      </c>
      <c r="C12635">
        <v>16579</v>
      </c>
      <c r="D12635" t="s">
        <v>587</v>
      </c>
      <c r="E12635" t="s">
        <v>588</v>
      </c>
      <c r="F12635">
        <v>45.16</v>
      </c>
      <c r="G12635">
        <v>231123</v>
      </c>
      <c r="H12635">
        <v>1196</v>
      </c>
      <c r="I12635" t="s">
        <v>392</v>
      </c>
      <c r="J12635">
        <v>56</v>
      </c>
      <c r="K12635">
        <v>10.84</v>
      </c>
      <c r="L12635">
        <v>96501</v>
      </c>
      <c r="M12635" t="s">
        <v>2361</v>
      </c>
      <c r="N12635" t="str">
        <f>"448664538   "</f>
        <v xml:space="preserve">448664538   </v>
      </c>
      <c r="O12635">
        <v>231204</v>
      </c>
    </row>
    <row r="12636" spans="1:15" x14ac:dyDescent="0.25">
      <c r="A12636" t="s">
        <v>16</v>
      </c>
      <c r="B12636" t="s">
        <v>3221</v>
      </c>
      <c r="C12636">
        <v>16587</v>
      </c>
      <c r="D12636" t="s">
        <v>587</v>
      </c>
      <c r="E12636" t="s">
        <v>588</v>
      </c>
      <c r="F12636">
        <v>99.15</v>
      </c>
      <c r="G12636">
        <v>231123</v>
      </c>
      <c r="H12636">
        <v>1196</v>
      </c>
      <c r="I12636" t="s">
        <v>392</v>
      </c>
      <c r="J12636">
        <v>122.94</v>
      </c>
      <c r="K12636">
        <v>23.79</v>
      </c>
      <c r="L12636">
        <v>96501</v>
      </c>
      <c r="M12636" t="s">
        <v>2361</v>
      </c>
      <c r="N12636" t="str">
        <f>"448684584   "</f>
        <v xml:space="preserve">448684584   </v>
      </c>
      <c r="O12636">
        <v>231204</v>
      </c>
    </row>
    <row r="12637" spans="1:15" x14ac:dyDescent="0.25">
      <c r="A12637" t="s">
        <v>16</v>
      </c>
      <c r="B12637" t="s">
        <v>3221</v>
      </c>
      <c r="C12637">
        <v>16606</v>
      </c>
      <c r="D12637" t="s">
        <v>587</v>
      </c>
      <c r="E12637" t="s">
        <v>588</v>
      </c>
      <c r="F12637">
        <v>24.87</v>
      </c>
      <c r="G12637">
        <v>231128</v>
      </c>
      <c r="H12637">
        <v>1196</v>
      </c>
      <c r="I12637" t="s">
        <v>392</v>
      </c>
      <c r="J12637">
        <v>30.84</v>
      </c>
      <c r="K12637">
        <v>5.97</v>
      </c>
      <c r="L12637">
        <v>96501</v>
      </c>
      <c r="M12637" t="s">
        <v>2361</v>
      </c>
      <c r="N12637" t="str">
        <f>"448723566   "</f>
        <v xml:space="preserve">448723566   </v>
      </c>
      <c r="O12637">
        <v>231204</v>
      </c>
    </row>
    <row r="12638" spans="1:15" x14ac:dyDescent="0.25">
      <c r="A12638" t="s">
        <v>16</v>
      </c>
      <c r="B12638" t="s">
        <v>3221</v>
      </c>
      <c r="C12638">
        <v>16607</v>
      </c>
      <c r="D12638" t="s">
        <v>587</v>
      </c>
      <c r="E12638" t="s">
        <v>588</v>
      </c>
      <c r="F12638">
        <v>174.49</v>
      </c>
      <c r="G12638">
        <v>231128</v>
      </c>
      <c r="H12638">
        <v>1196</v>
      </c>
      <c r="I12638" t="s">
        <v>392</v>
      </c>
      <c r="J12638">
        <v>216.37</v>
      </c>
      <c r="K12638">
        <v>41.88</v>
      </c>
      <c r="L12638">
        <v>96501</v>
      </c>
      <c r="M12638" t="s">
        <v>2361</v>
      </c>
      <c r="N12638" t="str">
        <f>"448672532   "</f>
        <v xml:space="preserve">448672532   </v>
      </c>
      <c r="O12638">
        <v>231204</v>
      </c>
    </row>
    <row r="12639" spans="1:15" x14ac:dyDescent="0.25">
      <c r="A12639" t="s">
        <v>16</v>
      </c>
      <c r="B12639" t="s">
        <v>3221</v>
      </c>
      <c r="C12639">
        <v>16608</v>
      </c>
      <c r="D12639" t="s">
        <v>587</v>
      </c>
      <c r="E12639" t="s">
        <v>588</v>
      </c>
      <c r="F12639">
        <v>295.11</v>
      </c>
      <c r="G12639">
        <v>231128</v>
      </c>
      <c r="H12639">
        <v>1196</v>
      </c>
      <c r="I12639" t="s">
        <v>392</v>
      </c>
      <c r="J12639">
        <v>365.94</v>
      </c>
      <c r="K12639">
        <v>70.83</v>
      </c>
      <c r="L12639">
        <v>96501</v>
      </c>
      <c r="M12639" t="s">
        <v>2361</v>
      </c>
      <c r="N12639" t="str">
        <f>"448673564   "</f>
        <v xml:space="preserve">448673564   </v>
      </c>
      <c r="O12639">
        <v>231204</v>
      </c>
    </row>
    <row r="12640" spans="1:15" x14ac:dyDescent="0.25">
      <c r="A12640" t="s">
        <v>16</v>
      </c>
      <c r="B12640" t="s">
        <v>3221</v>
      </c>
      <c r="C12640">
        <v>16613</v>
      </c>
      <c r="D12640" t="s">
        <v>587</v>
      </c>
      <c r="E12640" t="s">
        <v>588</v>
      </c>
      <c r="F12640">
        <v>90.02</v>
      </c>
      <c r="G12640">
        <v>231128</v>
      </c>
      <c r="H12640">
        <v>1196</v>
      </c>
      <c r="I12640" t="s">
        <v>392</v>
      </c>
      <c r="J12640">
        <v>111.62</v>
      </c>
      <c r="K12640">
        <v>21.6</v>
      </c>
      <c r="L12640">
        <v>96501</v>
      </c>
      <c r="M12640" t="s">
        <v>2361</v>
      </c>
      <c r="N12640" t="str">
        <f>"448697166   "</f>
        <v xml:space="preserve">448697166   </v>
      </c>
      <c r="O12640">
        <v>231204</v>
      </c>
    </row>
    <row r="12641" spans="1:15" x14ac:dyDescent="0.25">
      <c r="A12641" t="s">
        <v>16</v>
      </c>
      <c r="B12641" t="s">
        <v>3221</v>
      </c>
      <c r="C12641">
        <v>16783</v>
      </c>
      <c r="D12641" t="s">
        <v>587</v>
      </c>
      <c r="E12641" t="s">
        <v>588</v>
      </c>
      <c r="F12641">
        <v>200.32</v>
      </c>
      <c r="G12641">
        <v>231130</v>
      </c>
      <c r="H12641">
        <v>1196</v>
      </c>
      <c r="I12641" t="s">
        <v>392</v>
      </c>
      <c r="J12641">
        <v>248.4</v>
      </c>
      <c r="K12641">
        <v>48.08</v>
      </c>
      <c r="L12641">
        <v>96501</v>
      </c>
      <c r="M12641" t="s">
        <v>2361</v>
      </c>
      <c r="N12641" t="str">
        <f>"448774023   "</f>
        <v xml:space="preserve">448774023   </v>
      </c>
      <c r="O12641">
        <v>231208</v>
      </c>
    </row>
    <row r="12642" spans="1:15" x14ac:dyDescent="0.25">
      <c r="A12642" t="s">
        <v>16</v>
      </c>
      <c r="B12642" t="s">
        <v>3221</v>
      </c>
      <c r="C12642">
        <v>16788</v>
      </c>
      <c r="D12642" t="s">
        <v>587</v>
      </c>
      <c r="E12642" t="s">
        <v>588</v>
      </c>
      <c r="F12642">
        <v>48.52</v>
      </c>
      <c r="G12642">
        <v>231130</v>
      </c>
      <c r="H12642">
        <v>1196</v>
      </c>
      <c r="I12642" t="s">
        <v>392</v>
      </c>
      <c r="J12642">
        <v>60.16</v>
      </c>
      <c r="K12642">
        <v>11.64</v>
      </c>
      <c r="L12642">
        <v>96501</v>
      </c>
      <c r="M12642" t="s">
        <v>2361</v>
      </c>
      <c r="N12642" t="str">
        <f>"448774022   "</f>
        <v xml:space="preserve">448774022   </v>
      </c>
      <c r="O12642">
        <v>231211</v>
      </c>
    </row>
    <row r="12643" spans="1:15" x14ac:dyDescent="0.25">
      <c r="A12643" t="s">
        <v>16</v>
      </c>
      <c r="B12643" t="s">
        <v>3221</v>
      </c>
      <c r="C12643">
        <v>16789</v>
      </c>
      <c r="D12643" t="s">
        <v>587</v>
      </c>
      <c r="E12643" t="s">
        <v>588</v>
      </c>
      <c r="F12643">
        <v>81.69</v>
      </c>
      <c r="G12643">
        <v>231130</v>
      </c>
      <c r="H12643">
        <v>1196</v>
      </c>
      <c r="I12643" t="s">
        <v>392</v>
      </c>
      <c r="J12643">
        <v>101.3</v>
      </c>
      <c r="K12643">
        <v>19.61</v>
      </c>
      <c r="L12643">
        <v>96501</v>
      </c>
      <c r="M12643" t="s">
        <v>2361</v>
      </c>
      <c r="N12643" t="str">
        <f>"448794727   "</f>
        <v xml:space="preserve">448794727   </v>
      </c>
      <c r="O12643">
        <v>231211</v>
      </c>
    </row>
    <row r="12644" spans="1:15" x14ac:dyDescent="0.25">
      <c r="A12644" t="s">
        <v>16</v>
      </c>
      <c r="B12644" t="s">
        <v>3221</v>
      </c>
      <c r="C12644">
        <v>16791</v>
      </c>
      <c r="D12644" t="s">
        <v>587</v>
      </c>
      <c r="E12644" t="s">
        <v>588</v>
      </c>
      <c r="F12644">
        <v>804.26</v>
      </c>
      <c r="G12644">
        <v>231130</v>
      </c>
      <c r="H12644">
        <v>1196</v>
      </c>
      <c r="I12644" t="s">
        <v>392</v>
      </c>
      <c r="J12644">
        <v>997.28</v>
      </c>
      <c r="K12644">
        <v>193.02</v>
      </c>
      <c r="L12644">
        <v>96501</v>
      </c>
      <c r="M12644" t="s">
        <v>2361</v>
      </c>
      <c r="N12644" t="str">
        <f>"448774021   "</f>
        <v xml:space="preserve">448774021   </v>
      </c>
      <c r="O12644">
        <v>231211</v>
      </c>
    </row>
    <row r="12645" spans="1:15" x14ac:dyDescent="0.25">
      <c r="A12645" t="s">
        <v>16</v>
      </c>
      <c r="B12645" t="s">
        <v>3221</v>
      </c>
      <c r="C12645">
        <v>17790</v>
      </c>
      <c r="D12645" t="s">
        <v>587</v>
      </c>
      <c r="E12645" t="s">
        <v>588</v>
      </c>
      <c r="F12645">
        <v>624.67999999999995</v>
      </c>
      <c r="G12645">
        <v>231211</v>
      </c>
      <c r="H12645">
        <v>1196</v>
      </c>
      <c r="I12645" t="s">
        <v>392</v>
      </c>
      <c r="J12645">
        <v>774.6</v>
      </c>
      <c r="K12645">
        <v>149.91999999999999</v>
      </c>
      <c r="L12645">
        <v>96501</v>
      </c>
      <c r="M12645" t="s">
        <v>2361</v>
      </c>
      <c r="N12645" t="str">
        <f>"448904346   "</f>
        <v xml:space="preserve">448904346   </v>
      </c>
      <c r="O12645">
        <v>231227</v>
      </c>
    </row>
    <row r="12646" spans="1:15" x14ac:dyDescent="0.25">
      <c r="A12646" t="s">
        <v>16</v>
      </c>
      <c r="B12646" t="s">
        <v>3221</v>
      </c>
      <c r="C12646">
        <v>17791</v>
      </c>
      <c r="D12646" t="s">
        <v>587</v>
      </c>
      <c r="E12646" t="s">
        <v>588</v>
      </c>
      <c r="F12646">
        <v>22.57</v>
      </c>
      <c r="G12646">
        <v>231212</v>
      </c>
      <c r="H12646">
        <v>1196</v>
      </c>
      <c r="I12646" t="s">
        <v>392</v>
      </c>
      <c r="J12646">
        <v>27.99</v>
      </c>
      <c r="K12646">
        <v>5.42</v>
      </c>
      <c r="L12646">
        <v>96501</v>
      </c>
      <c r="M12646" t="s">
        <v>2361</v>
      </c>
      <c r="N12646" t="str">
        <f>"448783897   "</f>
        <v xml:space="preserve">448783897   </v>
      </c>
      <c r="O12646">
        <v>231227</v>
      </c>
    </row>
    <row r="12647" spans="1:15" x14ac:dyDescent="0.25">
      <c r="A12647" t="s">
        <v>16</v>
      </c>
      <c r="B12647" t="s">
        <v>3221</v>
      </c>
      <c r="C12647">
        <v>17816</v>
      </c>
      <c r="D12647" t="s">
        <v>587</v>
      </c>
      <c r="E12647" t="s">
        <v>588</v>
      </c>
      <c r="F12647">
        <v>7.66</v>
      </c>
      <c r="G12647">
        <v>231212</v>
      </c>
      <c r="H12647">
        <v>1196</v>
      </c>
      <c r="I12647" t="s">
        <v>392</v>
      </c>
      <c r="J12647">
        <v>9.5</v>
      </c>
      <c r="K12647">
        <v>1.84</v>
      </c>
      <c r="L12647">
        <v>96501</v>
      </c>
      <c r="M12647" t="s">
        <v>2361</v>
      </c>
      <c r="N12647" t="str">
        <f>"448902370   "</f>
        <v xml:space="preserve">448902370   </v>
      </c>
      <c r="O12647">
        <v>231227</v>
      </c>
    </row>
    <row r="12648" spans="1:15" x14ac:dyDescent="0.25">
      <c r="A12648" t="s">
        <v>16</v>
      </c>
      <c r="B12648" t="s">
        <v>3221</v>
      </c>
      <c r="C12648">
        <v>17817</v>
      </c>
      <c r="D12648" t="s">
        <v>587</v>
      </c>
      <c r="E12648" t="s">
        <v>588</v>
      </c>
      <c r="F12648">
        <v>401.47</v>
      </c>
      <c r="G12648">
        <v>231212</v>
      </c>
      <c r="H12648">
        <v>1196</v>
      </c>
      <c r="I12648" t="s">
        <v>392</v>
      </c>
      <c r="J12648">
        <v>497.82</v>
      </c>
      <c r="K12648">
        <v>96.35</v>
      </c>
      <c r="L12648">
        <v>96501</v>
      </c>
      <c r="M12648" t="s">
        <v>2361</v>
      </c>
      <c r="N12648" t="str">
        <f>"448875582   "</f>
        <v xml:space="preserve">448875582   </v>
      </c>
      <c r="O12648">
        <v>231227</v>
      </c>
    </row>
    <row r="12649" spans="1:15" x14ac:dyDescent="0.25">
      <c r="A12649" t="s">
        <v>16</v>
      </c>
      <c r="B12649" t="s">
        <v>3221</v>
      </c>
      <c r="C12649">
        <v>17822</v>
      </c>
      <c r="D12649" t="s">
        <v>587</v>
      </c>
      <c r="E12649" t="s">
        <v>588</v>
      </c>
      <c r="F12649">
        <v>79.84</v>
      </c>
      <c r="G12649">
        <v>231211</v>
      </c>
      <c r="H12649">
        <v>1196</v>
      </c>
      <c r="I12649" t="s">
        <v>392</v>
      </c>
      <c r="J12649">
        <v>99</v>
      </c>
      <c r="K12649">
        <v>19.16</v>
      </c>
      <c r="L12649">
        <v>96501</v>
      </c>
      <c r="M12649" t="s">
        <v>2361</v>
      </c>
      <c r="N12649" t="str">
        <f>"448899586   "</f>
        <v xml:space="preserve">448899586   </v>
      </c>
      <c r="O12649">
        <v>231227</v>
      </c>
    </row>
    <row r="12650" spans="1:15" x14ac:dyDescent="0.25">
      <c r="A12650" t="s">
        <v>16</v>
      </c>
      <c r="B12650" t="s">
        <v>3221</v>
      </c>
      <c r="C12650">
        <v>18053</v>
      </c>
      <c r="D12650" t="s">
        <v>587</v>
      </c>
      <c r="E12650" t="s">
        <v>588</v>
      </c>
      <c r="F12650">
        <v>5697.21</v>
      </c>
      <c r="G12650">
        <v>231218</v>
      </c>
      <c r="H12650">
        <v>1196</v>
      </c>
      <c r="I12650" t="s">
        <v>392</v>
      </c>
      <c r="J12650">
        <v>7064.54</v>
      </c>
      <c r="K12650">
        <v>1367.33</v>
      </c>
      <c r="L12650">
        <v>96501</v>
      </c>
      <c r="M12650" t="s">
        <v>2361</v>
      </c>
      <c r="N12650" t="str">
        <f>"448974129   "</f>
        <v xml:space="preserve">448974129   </v>
      </c>
      <c r="O12650">
        <v>240102</v>
      </c>
    </row>
    <row r="12651" spans="1:15" x14ac:dyDescent="0.25">
      <c r="A12651" t="s">
        <v>16</v>
      </c>
      <c r="B12651" t="s">
        <v>3221</v>
      </c>
      <c r="C12651">
        <v>18060</v>
      </c>
      <c r="D12651" t="s">
        <v>587</v>
      </c>
      <c r="E12651" t="s">
        <v>588</v>
      </c>
      <c r="F12651">
        <v>968.48</v>
      </c>
      <c r="G12651">
        <v>231218</v>
      </c>
      <c r="H12651">
        <v>1196</v>
      </c>
      <c r="I12651" t="s">
        <v>392</v>
      </c>
      <c r="J12651">
        <v>1200.92</v>
      </c>
      <c r="K12651">
        <v>232.44</v>
      </c>
      <c r="L12651">
        <v>96501</v>
      </c>
      <c r="M12651" t="s">
        <v>2361</v>
      </c>
      <c r="N12651" t="str">
        <f>"448974131   "</f>
        <v xml:space="preserve">448974131   </v>
      </c>
      <c r="O12651">
        <v>240102</v>
      </c>
    </row>
    <row r="12652" spans="1:15" x14ac:dyDescent="0.25">
      <c r="A12652" t="s">
        <v>16</v>
      </c>
      <c r="B12652" t="s">
        <v>3221</v>
      </c>
      <c r="C12652">
        <v>18061</v>
      </c>
      <c r="D12652" t="s">
        <v>587</v>
      </c>
      <c r="E12652" t="s">
        <v>588</v>
      </c>
      <c r="F12652">
        <v>1239.1199999999999</v>
      </c>
      <c r="G12652">
        <v>231218</v>
      </c>
      <c r="H12652">
        <v>1196</v>
      </c>
      <c r="I12652" t="s">
        <v>392</v>
      </c>
      <c r="J12652">
        <v>1536.51</v>
      </c>
      <c r="K12652">
        <v>297.39</v>
      </c>
      <c r="L12652">
        <v>96501</v>
      </c>
      <c r="M12652" t="s">
        <v>2361</v>
      </c>
      <c r="N12652" t="str">
        <f>"448974128   "</f>
        <v xml:space="preserve">448974128   </v>
      </c>
      <c r="O12652">
        <v>240102</v>
      </c>
    </row>
    <row r="12653" spans="1:15" x14ac:dyDescent="0.25">
      <c r="A12653" t="s">
        <v>16</v>
      </c>
      <c r="B12653" t="s">
        <v>3221</v>
      </c>
      <c r="C12653">
        <v>18063</v>
      </c>
      <c r="D12653" t="s">
        <v>587</v>
      </c>
      <c r="E12653" t="s">
        <v>588</v>
      </c>
      <c r="F12653">
        <v>1398.23</v>
      </c>
      <c r="G12653">
        <v>231218</v>
      </c>
      <c r="H12653">
        <v>1196</v>
      </c>
      <c r="I12653" t="s">
        <v>392</v>
      </c>
      <c r="J12653">
        <v>1733.81</v>
      </c>
      <c r="K12653">
        <v>335.58</v>
      </c>
      <c r="L12653">
        <v>96501</v>
      </c>
      <c r="M12653" t="s">
        <v>2361</v>
      </c>
      <c r="N12653" t="str">
        <f>"448974130   "</f>
        <v xml:space="preserve">448974130   </v>
      </c>
      <c r="O12653">
        <v>240102</v>
      </c>
    </row>
    <row r="12654" spans="1:15" x14ac:dyDescent="0.25">
      <c r="A12654" t="s">
        <v>16</v>
      </c>
      <c r="B12654" t="s">
        <v>3221</v>
      </c>
      <c r="C12654">
        <v>18065</v>
      </c>
      <c r="D12654" t="s">
        <v>587</v>
      </c>
      <c r="E12654" t="s">
        <v>588</v>
      </c>
      <c r="F12654">
        <v>1612.9</v>
      </c>
      <c r="G12654">
        <v>231218</v>
      </c>
      <c r="H12654">
        <v>1196</v>
      </c>
      <c r="I12654" t="s">
        <v>392</v>
      </c>
      <c r="J12654">
        <v>2000</v>
      </c>
      <c r="K12654">
        <v>387.1</v>
      </c>
      <c r="L12654">
        <v>96501</v>
      </c>
      <c r="M12654" t="s">
        <v>2361</v>
      </c>
      <c r="N12654" t="str">
        <f>"448974132   "</f>
        <v xml:space="preserve">448974132   </v>
      </c>
      <c r="O12654">
        <v>240102</v>
      </c>
    </row>
    <row r="12655" spans="1:15" x14ac:dyDescent="0.25">
      <c r="A12655" t="s">
        <v>16</v>
      </c>
      <c r="B12655" t="s">
        <v>3221</v>
      </c>
      <c r="C12655">
        <v>18200</v>
      </c>
      <c r="D12655" t="s">
        <v>587</v>
      </c>
      <c r="E12655" t="s">
        <v>588</v>
      </c>
      <c r="F12655">
        <v>300.16000000000003</v>
      </c>
      <c r="G12655">
        <v>231220</v>
      </c>
      <c r="H12655">
        <v>1196</v>
      </c>
      <c r="I12655" t="s">
        <v>392</v>
      </c>
      <c r="J12655">
        <v>372.2</v>
      </c>
      <c r="K12655">
        <v>72.040000000000006</v>
      </c>
      <c r="L12655">
        <v>96501</v>
      </c>
      <c r="M12655" t="s">
        <v>2361</v>
      </c>
      <c r="N12655" t="str">
        <f>"449028116   "</f>
        <v xml:space="preserve">449028116   </v>
      </c>
      <c r="O12655">
        <v>240102</v>
      </c>
    </row>
    <row r="12656" spans="1:15" x14ac:dyDescent="0.25">
      <c r="A12656" t="s">
        <v>16</v>
      </c>
      <c r="B12656" t="s">
        <v>3221</v>
      </c>
      <c r="C12656">
        <v>18230</v>
      </c>
      <c r="D12656" t="s">
        <v>587</v>
      </c>
      <c r="E12656" t="s">
        <v>588</v>
      </c>
      <c r="F12656">
        <v>66.2</v>
      </c>
      <c r="G12656">
        <v>231220</v>
      </c>
      <c r="H12656">
        <v>1196</v>
      </c>
      <c r="I12656" t="s">
        <v>392</v>
      </c>
      <c r="J12656">
        <v>82.09</v>
      </c>
      <c r="K12656">
        <v>15.89</v>
      </c>
      <c r="L12656">
        <v>96501</v>
      </c>
      <c r="M12656" t="s">
        <v>2361</v>
      </c>
      <c r="N12656" t="str">
        <f>"449028117   "</f>
        <v xml:space="preserve">449028117   </v>
      </c>
      <c r="O12656">
        <v>240102</v>
      </c>
    </row>
    <row r="12657" spans="1:15" x14ac:dyDescent="0.25">
      <c r="A12657" t="s">
        <v>16</v>
      </c>
      <c r="B12657" t="s">
        <v>3221</v>
      </c>
      <c r="C12657">
        <v>19023</v>
      </c>
      <c r="D12657" t="s">
        <v>587</v>
      </c>
      <c r="E12657" t="s">
        <v>588</v>
      </c>
      <c r="F12657">
        <v>431.07</v>
      </c>
      <c r="G12657">
        <v>231227</v>
      </c>
      <c r="H12657">
        <v>1196</v>
      </c>
      <c r="I12657" t="s">
        <v>392</v>
      </c>
      <c r="J12657">
        <v>534.53</v>
      </c>
      <c r="K12657">
        <v>103.46</v>
      </c>
      <c r="L12657">
        <v>96501</v>
      </c>
      <c r="M12657" t="s">
        <v>2361</v>
      </c>
      <c r="N12657" t="str">
        <f>"449059255   "</f>
        <v xml:space="preserve">449059255   </v>
      </c>
      <c r="O12657">
        <v>240110</v>
      </c>
    </row>
    <row r="12658" spans="1:15" x14ac:dyDescent="0.25">
      <c r="A12658" t="s">
        <v>16</v>
      </c>
      <c r="B12658" t="s">
        <v>3221</v>
      </c>
      <c r="C12658">
        <v>19024</v>
      </c>
      <c r="D12658" t="s">
        <v>587</v>
      </c>
      <c r="E12658" t="s">
        <v>588</v>
      </c>
      <c r="F12658">
        <v>566.96</v>
      </c>
      <c r="G12658">
        <v>231227</v>
      </c>
      <c r="H12658">
        <v>1196</v>
      </c>
      <c r="I12658" t="s">
        <v>392</v>
      </c>
      <c r="J12658">
        <v>703.03</v>
      </c>
      <c r="K12658">
        <v>136.07</v>
      </c>
      <c r="L12658">
        <v>96501</v>
      </c>
      <c r="M12658" t="s">
        <v>2361</v>
      </c>
      <c r="N12658" t="str">
        <f>"449069217   "</f>
        <v xml:space="preserve">449069217   </v>
      </c>
      <c r="O12658">
        <v>240110</v>
      </c>
    </row>
    <row r="12659" spans="1:15" x14ac:dyDescent="0.25">
      <c r="A12659" t="s">
        <v>16</v>
      </c>
      <c r="B12659" t="s">
        <v>3221</v>
      </c>
      <c r="C12659">
        <v>19025</v>
      </c>
      <c r="D12659" t="s">
        <v>587</v>
      </c>
      <c r="E12659" t="s">
        <v>588</v>
      </c>
      <c r="F12659">
        <v>347.18</v>
      </c>
      <c r="G12659">
        <v>231228</v>
      </c>
      <c r="H12659">
        <v>1196</v>
      </c>
      <c r="I12659" t="s">
        <v>392</v>
      </c>
      <c r="J12659">
        <v>430.5</v>
      </c>
      <c r="K12659">
        <v>83.32</v>
      </c>
      <c r="L12659">
        <v>96501</v>
      </c>
      <c r="M12659" t="s">
        <v>2361</v>
      </c>
      <c r="N12659" t="str">
        <f>"449083808   "</f>
        <v xml:space="preserve">449083808   </v>
      </c>
      <c r="O12659">
        <v>240110</v>
      </c>
    </row>
    <row r="12660" spans="1:15" x14ac:dyDescent="0.25">
      <c r="A12660" t="s">
        <v>16</v>
      </c>
      <c r="B12660" t="s">
        <v>3221</v>
      </c>
      <c r="C12660">
        <v>19026</v>
      </c>
      <c r="D12660" t="s">
        <v>587</v>
      </c>
      <c r="E12660" t="s">
        <v>588</v>
      </c>
      <c r="F12660">
        <v>809.27</v>
      </c>
      <c r="G12660">
        <v>231228</v>
      </c>
      <c r="H12660">
        <v>1196</v>
      </c>
      <c r="I12660" t="s">
        <v>392</v>
      </c>
      <c r="J12660">
        <v>1003.49</v>
      </c>
      <c r="K12660">
        <v>194.22</v>
      </c>
      <c r="L12660">
        <v>96501</v>
      </c>
      <c r="M12660" t="s">
        <v>2361</v>
      </c>
      <c r="N12660" t="str">
        <f>"449074478   "</f>
        <v xml:space="preserve">449074478   </v>
      </c>
      <c r="O12660">
        <v>240110</v>
      </c>
    </row>
    <row r="12661" spans="1:15" x14ac:dyDescent="0.25">
      <c r="A12661" t="s">
        <v>16</v>
      </c>
      <c r="B12661" t="s">
        <v>3221</v>
      </c>
      <c r="C12661">
        <v>19027</v>
      </c>
      <c r="D12661" t="s">
        <v>587</v>
      </c>
      <c r="E12661" t="s">
        <v>588</v>
      </c>
      <c r="F12661">
        <v>790</v>
      </c>
      <c r="G12661">
        <v>231228</v>
      </c>
      <c r="H12661">
        <v>1196</v>
      </c>
      <c r="I12661" t="s">
        <v>392</v>
      </c>
      <c r="J12661">
        <v>979.6</v>
      </c>
      <c r="K12661">
        <v>189.6</v>
      </c>
      <c r="L12661">
        <v>96501</v>
      </c>
      <c r="M12661" t="s">
        <v>2361</v>
      </c>
      <c r="N12661" t="str">
        <f>"449074480   "</f>
        <v xml:space="preserve">449074480   </v>
      </c>
      <c r="O12661">
        <v>240110</v>
      </c>
    </row>
    <row r="12662" spans="1:15" x14ac:dyDescent="0.25">
      <c r="A12662" t="s">
        <v>16</v>
      </c>
      <c r="B12662" t="s">
        <v>3221</v>
      </c>
      <c r="C12662">
        <v>19028</v>
      </c>
      <c r="D12662" t="s">
        <v>587</v>
      </c>
      <c r="E12662" t="s">
        <v>588</v>
      </c>
      <c r="F12662">
        <v>849.6</v>
      </c>
      <c r="G12662">
        <v>231228</v>
      </c>
      <c r="H12662">
        <v>1196</v>
      </c>
      <c r="I12662" t="s">
        <v>392</v>
      </c>
      <c r="J12662">
        <v>1053.5</v>
      </c>
      <c r="K12662">
        <v>203.9</v>
      </c>
      <c r="L12662">
        <v>96501</v>
      </c>
      <c r="M12662" t="s">
        <v>2361</v>
      </c>
      <c r="N12662" t="str">
        <f>"449080080   "</f>
        <v xml:space="preserve">449080080   </v>
      </c>
      <c r="O12662">
        <v>240110</v>
      </c>
    </row>
    <row r="12663" spans="1:15" x14ac:dyDescent="0.25">
      <c r="A12663" t="s">
        <v>16</v>
      </c>
      <c r="B12663" t="s">
        <v>3221</v>
      </c>
      <c r="C12663">
        <v>19034</v>
      </c>
      <c r="D12663" t="s">
        <v>587</v>
      </c>
      <c r="E12663" t="s">
        <v>588</v>
      </c>
      <c r="F12663">
        <v>200.33</v>
      </c>
      <c r="G12663">
        <v>231229</v>
      </c>
      <c r="H12663">
        <v>1196</v>
      </c>
      <c r="I12663" t="s">
        <v>392</v>
      </c>
      <c r="J12663">
        <v>248.41</v>
      </c>
      <c r="K12663">
        <v>48.08</v>
      </c>
      <c r="L12663">
        <v>96501</v>
      </c>
      <c r="M12663" t="s">
        <v>2361</v>
      </c>
      <c r="N12663" t="str">
        <f>"449091716   "</f>
        <v xml:space="preserve">449091716   </v>
      </c>
      <c r="O12663">
        <v>240110</v>
      </c>
    </row>
    <row r="12664" spans="1:15" x14ac:dyDescent="0.25">
      <c r="A12664" t="s">
        <v>16</v>
      </c>
      <c r="B12664" t="s">
        <v>3221</v>
      </c>
      <c r="C12664">
        <v>19036</v>
      </c>
      <c r="D12664" t="s">
        <v>587</v>
      </c>
      <c r="E12664" t="s">
        <v>588</v>
      </c>
      <c r="F12664">
        <v>401.38</v>
      </c>
      <c r="G12664">
        <v>231229</v>
      </c>
      <c r="H12664">
        <v>1196</v>
      </c>
      <c r="I12664" t="s">
        <v>392</v>
      </c>
      <c r="J12664">
        <v>497.71</v>
      </c>
      <c r="K12664">
        <v>96.33</v>
      </c>
      <c r="L12664">
        <v>96501</v>
      </c>
      <c r="M12664" t="s">
        <v>2361</v>
      </c>
      <c r="N12664" t="str">
        <f>"449007580   "</f>
        <v xml:space="preserve">449007580   </v>
      </c>
      <c r="O12664">
        <v>240110</v>
      </c>
    </row>
    <row r="12665" spans="1:15" x14ac:dyDescent="0.25">
      <c r="A12665" t="s">
        <v>16</v>
      </c>
      <c r="B12665" t="s">
        <v>3221</v>
      </c>
      <c r="C12665">
        <v>19037</v>
      </c>
      <c r="D12665" t="s">
        <v>587</v>
      </c>
      <c r="E12665" t="s">
        <v>588</v>
      </c>
      <c r="F12665">
        <v>3353.6</v>
      </c>
      <c r="G12665">
        <v>231229</v>
      </c>
      <c r="H12665">
        <v>1196</v>
      </c>
      <c r="I12665" t="s">
        <v>392</v>
      </c>
      <c r="J12665">
        <v>4158.46</v>
      </c>
      <c r="K12665">
        <v>804.86</v>
      </c>
      <c r="L12665">
        <v>96501</v>
      </c>
      <c r="M12665" t="s">
        <v>2361</v>
      </c>
      <c r="N12665" t="str">
        <f>"449057533   "</f>
        <v xml:space="preserve">449057533   </v>
      </c>
      <c r="O12665">
        <v>240110</v>
      </c>
    </row>
    <row r="12666" spans="1:15" x14ac:dyDescent="0.25">
      <c r="A12666" t="s">
        <v>16</v>
      </c>
      <c r="B12666" t="s">
        <v>3221</v>
      </c>
      <c r="C12666">
        <v>19046</v>
      </c>
      <c r="D12666" t="s">
        <v>587</v>
      </c>
      <c r="E12666" t="s">
        <v>588</v>
      </c>
      <c r="F12666">
        <v>237.9</v>
      </c>
      <c r="G12666">
        <v>231231</v>
      </c>
      <c r="H12666">
        <v>1196</v>
      </c>
      <c r="I12666" t="s">
        <v>392</v>
      </c>
      <c r="J12666">
        <v>295</v>
      </c>
      <c r="K12666">
        <v>57.1</v>
      </c>
      <c r="L12666">
        <v>96501</v>
      </c>
      <c r="M12666" t="s">
        <v>2361</v>
      </c>
      <c r="N12666" t="str">
        <f>"5238060168  "</f>
        <v xml:space="preserve">5238060168  </v>
      </c>
      <c r="O12666">
        <v>240110</v>
      </c>
    </row>
    <row r="12667" spans="1:15" x14ac:dyDescent="0.25">
      <c r="A12667" t="s">
        <v>16</v>
      </c>
      <c r="B12667" t="s">
        <v>3221</v>
      </c>
      <c r="C12667">
        <v>1470</v>
      </c>
      <c r="D12667" t="s">
        <v>587</v>
      </c>
      <c r="E12667" t="s">
        <v>588</v>
      </c>
      <c r="F12667">
        <v>41.62</v>
      </c>
      <c r="G12667">
        <v>230131</v>
      </c>
      <c r="H12667">
        <v>4600</v>
      </c>
      <c r="I12667" t="s">
        <v>105</v>
      </c>
      <c r="J12667">
        <v>51.61</v>
      </c>
      <c r="K12667">
        <v>9.99</v>
      </c>
      <c r="L12667">
        <v>46555</v>
      </c>
      <c r="M12667" t="s">
        <v>597</v>
      </c>
      <c r="N12667" t="str">
        <f>"5237033736  "</f>
        <v xml:space="preserve">5237033736  </v>
      </c>
      <c r="O12667">
        <v>230209</v>
      </c>
    </row>
    <row r="12668" spans="1:15" x14ac:dyDescent="0.25">
      <c r="A12668" t="s">
        <v>16</v>
      </c>
      <c r="B12668" t="s">
        <v>3221</v>
      </c>
      <c r="C12668">
        <v>1644</v>
      </c>
      <c r="D12668" t="s">
        <v>587</v>
      </c>
      <c r="E12668" t="s">
        <v>588</v>
      </c>
      <c r="F12668">
        <v>37.33</v>
      </c>
      <c r="G12668">
        <v>230131</v>
      </c>
      <c r="H12668">
        <v>4600</v>
      </c>
      <c r="I12668" t="s">
        <v>105</v>
      </c>
      <c r="J12668">
        <v>46.29</v>
      </c>
      <c r="K12668">
        <v>8.9600000000000009</v>
      </c>
      <c r="L12668">
        <v>49501</v>
      </c>
      <c r="M12668" t="s">
        <v>177</v>
      </c>
      <c r="N12668" t="str">
        <f>"5237033732  "</f>
        <v xml:space="preserve">5237033732  </v>
      </c>
      <c r="O12668">
        <v>230213</v>
      </c>
    </row>
    <row r="12669" spans="1:15" x14ac:dyDescent="0.25">
      <c r="A12669" t="s">
        <v>16</v>
      </c>
      <c r="B12669" t="s">
        <v>3221</v>
      </c>
      <c r="C12669">
        <v>2004</v>
      </c>
      <c r="D12669" t="s">
        <v>587</v>
      </c>
      <c r="E12669" t="s">
        <v>588</v>
      </c>
      <c r="F12669">
        <v>11.25</v>
      </c>
      <c r="G12669">
        <v>230215</v>
      </c>
      <c r="H12669">
        <v>4600</v>
      </c>
      <c r="I12669" t="s">
        <v>105</v>
      </c>
      <c r="J12669">
        <v>13.95</v>
      </c>
      <c r="K12669">
        <v>2.7</v>
      </c>
      <c r="L12669">
        <v>46555</v>
      </c>
      <c r="M12669" t="s">
        <v>597</v>
      </c>
      <c r="N12669" t="str">
        <f>"5237069782  "</f>
        <v xml:space="preserve">5237069782  </v>
      </c>
      <c r="O12669">
        <v>230217</v>
      </c>
    </row>
    <row r="12670" spans="1:15" x14ac:dyDescent="0.25">
      <c r="A12670" t="s">
        <v>16</v>
      </c>
      <c r="B12670" t="s">
        <v>3221</v>
      </c>
      <c r="C12670">
        <v>2060</v>
      </c>
      <c r="D12670" t="s">
        <v>587</v>
      </c>
      <c r="E12670" t="s">
        <v>588</v>
      </c>
      <c r="F12670">
        <v>151.94</v>
      </c>
      <c r="G12670">
        <v>230215</v>
      </c>
      <c r="H12670">
        <v>4600</v>
      </c>
      <c r="I12670" t="s">
        <v>105</v>
      </c>
      <c r="J12670">
        <v>188.4</v>
      </c>
      <c r="K12670">
        <v>36.46</v>
      </c>
      <c r="L12670">
        <v>49501</v>
      </c>
      <c r="M12670" t="s">
        <v>177</v>
      </c>
      <c r="N12670" t="str">
        <f>"5237069778  "</f>
        <v xml:space="preserve">5237069778  </v>
      </c>
      <c r="O12670">
        <v>230220</v>
      </c>
    </row>
    <row r="12671" spans="1:15" x14ac:dyDescent="0.25">
      <c r="A12671" t="s">
        <v>16</v>
      </c>
      <c r="B12671" t="s">
        <v>3221</v>
      </c>
      <c r="C12671">
        <v>3560</v>
      </c>
      <c r="D12671" t="s">
        <v>587</v>
      </c>
      <c r="E12671" t="s">
        <v>588</v>
      </c>
      <c r="F12671">
        <v>16.39</v>
      </c>
      <c r="G12671">
        <v>230315</v>
      </c>
      <c r="H12671">
        <v>4600</v>
      </c>
      <c r="I12671" t="s">
        <v>105</v>
      </c>
      <c r="J12671">
        <v>20.32</v>
      </c>
      <c r="K12671">
        <v>3.93</v>
      </c>
      <c r="L12671">
        <v>46555</v>
      </c>
      <c r="M12671" t="s">
        <v>597</v>
      </c>
      <c r="N12671" t="str">
        <f>"5237140503  "</f>
        <v xml:space="preserve">5237140503  </v>
      </c>
      <c r="O12671">
        <v>230317</v>
      </c>
    </row>
    <row r="12672" spans="1:15" x14ac:dyDescent="0.25">
      <c r="A12672" t="s">
        <v>16</v>
      </c>
      <c r="B12672" t="s">
        <v>3221</v>
      </c>
      <c r="C12672">
        <v>3561</v>
      </c>
      <c r="D12672" t="s">
        <v>587</v>
      </c>
      <c r="E12672" t="s">
        <v>588</v>
      </c>
      <c r="F12672">
        <v>13.11</v>
      </c>
      <c r="G12672">
        <v>230315</v>
      </c>
      <c r="H12672">
        <v>4600</v>
      </c>
      <c r="I12672" t="s">
        <v>105</v>
      </c>
      <c r="J12672">
        <v>16.260000000000002</v>
      </c>
      <c r="K12672">
        <v>3.15</v>
      </c>
      <c r="L12672">
        <v>46554</v>
      </c>
      <c r="M12672" t="s">
        <v>117</v>
      </c>
      <c r="N12672" t="str">
        <f>"5237140504  "</f>
        <v xml:space="preserve">5237140504  </v>
      </c>
      <c r="O12672">
        <v>230317</v>
      </c>
    </row>
    <row r="12673" spans="1:15" x14ac:dyDescent="0.25">
      <c r="A12673" t="s">
        <v>16</v>
      </c>
      <c r="B12673" t="s">
        <v>3221</v>
      </c>
      <c r="C12673">
        <v>5261</v>
      </c>
      <c r="D12673" t="s">
        <v>587</v>
      </c>
      <c r="E12673" t="s">
        <v>588</v>
      </c>
      <c r="F12673">
        <v>15.48</v>
      </c>
      <c r="G12673">
        <v>230417</v>
      </c>
      <c r="H12673">
        <v>4600</v>
      </c>
      <c r="I12673" t="s">
        <v>105</v>
      </c>
      <c r="J12673">
        <v>19.2</v>
      </c>
      <c r="K12673">
        <v>3.72</v>
      </c>
      <c r="L12673">
        <v>46554</v>
      </c>
      <c r="M12673" t="s">
        <v>117</v>
      </c>
      <c r="N12673" t="str">
        <f>"5237224677  "</f>
        <v xml:space="preserve">5237224677  </v>
      </c>
      <c r="O12673">
        <v>230419</v>
      </c>
    </row>
    <row r="12674" spans="1:15" x14ac:dyDescent="0.25">
      <c r="A12674" t="s">
        <v>16</v>
      </c>
      <c r="B12674" t="s">
        <v>3221</v>
      </c>
      <c r="C12674">
        <v>5262</v>
      </c>
      <c r="D12674" t="s">
        <v>587</v>
      </c>
      <c r="E12674" t="s">
        <v>588</v>
      </c>
      <c r="F12674">
        <v>17.66</v>
      </c>
      <c r="G12674">
        <v>230417</v>
      </c>
      <c r="H12674">
        <v>4600</v>
      </c>
      <c r="I12674" t="s">
        <v>105</v>
      </c>
      <c r="J12674">
        <v>21.9</v>
      </c>
      <c r="K12674">
        <v>4.24</v>
      </c>
      <c r="L12674">
        <v>49501</v>
      </c>
      <c r="M12674" t="s">
        <v>177</v>
      </c>
      <c r="N12674" t="str">
        <f>"5237224671  "</f>
        <v xml:space="preserve">5237224671  </v>
      </c>
      <c r="O12674">
        <v>230419</v>
      </c>
    </row>
    <row r="12675" spans="1:15" x14ac:dyDescent="0.25">
      <c r="A12675" t="s">
        <v>16</v>
      </c>
      <c r="B12675" t="s">
        <v>3221</v>
      </c>
      <c r="C12675">
        <v>5263</v>
      </c>
      <c r="D12675" t="s">
        <v>587</v>
      </c>
      <c r="E12675" t="s">
        <v>588</v>
      </c>
      <c r="F12675">
        <v>35.53</v>
      </c>
      <c r="G12675">
        <v>230417</v>
      </c>
      <c r="H12675">
        <v>4600</v>
      </c>
      <c r="I12675" t="s">
        <v>105</v>
      </c>
      <c r="J12675">
        <v>44.06</v>
      </c>
      <c r="K12675">
        <v>8.5299999999999994</v>
      </c>
      <c r="L12675">
        <v>46555</v>
      </c>
      <c r="M12675" t="s">
        <v>597</v>
      </c>
      <c r="N12675" t="str">
        <f>"5237224676  "</f>
        <v xml:space="preserve">5237224676  </v>
      </c>
      <c r="O12675">
        <v>230419</v>
      </c>
    </row>
    <row r="12676" spans="1:15" x14ac:dyDescent="0.25">
      <c r="A12676" t="s">
        <v>16</v>
      </c>
      <c r="B12676" t="s">
        <v>3221</v>
      </c>
      <c r="C12676">
        <v>6037</v>
      </c>
      <c r="D12676" t="s">
        <v>587</v>
      </c>
      <c r="E12676" t="s">
        <v>588</v>
      </c>
      <c r="F12676">
        <v>50.3</v>
      </c>
      <c r="G12676">
        <v>230430</v>
      </c>
      <c r="H12676">
        <v>4600</v>
      </c>
      <c r="I12676" t="s">
        <v>105</v>
      </c>
      <c r="J12676">
        <v>62.37</v>
      </c>
      <c r="K12676">
        <v>12.07</v>
      </c>
      <c r="L12676">
        <v>46555</v>
      </c>
      <c r="M12676" t="s">
        <v>597</v>
      </c>
      <c r="N12676" t="str">
        <f>"5237269031  "</f>
        <v xml:space="preserve">5237269031  </v>
      </c>
      <c r="O12676">
        <v>230505</v>
      </c>
    </row>
    <row r="12677" spans="1:15" x14ac:dyDescent="0.25">
      <c r="A12677" t="s">
        <v>16</v>
      </c>
      <c r="B12677" t="s">
        <v>3221</v>
      </c>
      <c r="C12677">
        <v>6815</v>
      </c>
      <c r="D12677" t="s">
        <v>587</v>
      </c>
      <c r="E12677" t="s">
        <v>588</v>
      </c>
      <c r="F12677">
        <v>19.350000000000001</v>
      </c>
      <c r="G12677">
        <v>230515</v>
      </c>
      <c r="H12677">
        <v>4600</v>
      </c>
      <c r="I12677" t="s">
        <v>105</v>
      </c>
      <c r="J12677">
        <v>24</v>
      </c>
      <c r="K12677">
        <v>4.6500000000000004</v>
      </c>
      <c r="L12677">
        <v>46554</v>
      </c>
      <c r="M12677" t="s">
        <v>117</v>
      </c>
      <c r="N12677" t="str">
        <f>"5237317768  "</f>
        <v xml:space="preserve">5237317768  </v>
      </c>
      <c r="O12677">
        <v>230522</v>
      </c>
    </row>
    <row r="12678" spans="1:15" x14ac:dyDescent="0.25">
      <c r="A12678" t="s">
        <v>16</v>
      </c>
      <c r="B12678" t="s">
        <v>3221</v>
      </c>
      <c r="C12678">
        <v>9373</v>
      </c>
      <c r="D12678" t="s">
        <v>587</v>
      </c>
      <c r="E12678" t="s">
        <v>588</v>
      </c>
      <c r="F12678">
        <v>60.99</v>
      </c>
      <c r="G12678">
        <v>230630</v>
      </c>
      <c r="H12678">
        <v>4600</v>
      </c>
      <c r="I12678" t="s">
        <v>105</v>
      </c>
      <c r="J12678">
        <v>75.63</v>
      </c>
      <c r="K12678">
        <v>14.64</v>
      </c>
      <c r="L12678">
        <v>46556</v>
      </c>
      <c r="M12678" t="s">
        <v>125</v>
      </c>
      <c r="N12678" t="str">
        <f>"5237501114  "</f>
        <v xml:space="preserve">5237501114  </v>
      </c>
      <c r="O12678">
        <v>230710</v>
      </c>
    </row>
    <row r="12679" spans="1:15" x14ac:dyDescent="0.25">
      <c r="A12679" t="s">
        <v>16</v>
      </c>
      <c r="B12679" t="s">
        <v>3221</v>
      </c>
      <c r="C12679">
        <v>9412</v>
      </c>
      <c r="D12679" t="s">
        <v>587</v>
      </c>
      <c r="E12679" t="s">
        <v>588</v>
      </c>
      <c r="F12679">
        <v>61.19</v>
      </c>
      <c r="G12679">
        <v>230630</v>
      </c>
      <c r="H12679">
        <v>4600</v>
      </c>
      <c r="I12679" t="s">
        <v>105</v>
      </c>
      <c r="J12679">
        <v>75.87</v>
      </c>
      <c r="K12679">
        <v>14.68</v>
      </c>
      <c r="L12679">
        <v>49501</v>
      </c>
      <c r="M12679" t="s">
        <v>177</v>
      </c>
      <c r="N12679" t="str">
        <f>"5237501109  "</f>
        <v xml:space="preserve">5237501109  </v>
      </c>
      <c r="O12679">
        <v>230710</v>
      </c>
    </row>
    <row r="12680" spans="1:15" x14ac:dyDescent="0.25">
      <c r="A12680" t="s">
        <v>16</v>
      </c>
      <c r="B12680" t="s">
        <v>3221</v>
      </c>
      <c r="C12680">
        <v>9687</v>
      </c>
      <c r="D12680" t="s">
        <v>587</v>
      </c>
      <c r="E12680" t="s">
        <v>588</v>
      </c>
      <c r="F12680">
        <v>15.24</v>
      </c>
      <c r="G12680">
        <v>230717</v>
      </c>
      <c r="H12680">
        <v>4600</v>
      </c>
      <c r="I12680" t="s">
        <v>105</v>
      </c>
      <c r="J12680">
        <v>18.899999999999999</v>
      </c>
      <c r="K12680">
        <v>3.66</v>
      </c>
      <c r="L12680">
        <v>49501</v>
      </c>
      <c r="M12680" t="s">
        <v>177</v>
      </c>
      <c r="N12680" t="str">
        <f>"5237553765  "</f>
        <v xml:space="preserve">5237553765  </v>
      </c>
      <c r="O12680">
        <v>230719</v>
      </c>
    </row>
    <row r="12681" spans="1:15" x14ac:dyDescent="0.25">
      <c r="A12681" t="s">
        <v>16</v>
      </c>
      <c r="B12681" t="s">
        <v>3221</v>
      </c>
      <c r="C12681">
        <v>10258</v>
      </c>
      <c r="D12681" t="s">
        <v>587</v>
      </c>
      <c r="E12681" t="s">
        <v>588</v>
      </c>
      <c r="F12681">
        <v>59.57</v>
      </c>
      <c r="G12681">
        <v>230731</v>
      </c>
      <c r="H12681">
        <v>4600</v>
      </c>
      <c r="I12681" t="s">
        <v>105</v>
      </c>
      <c r="J12681">
        <v>73.87</v>
      </c>
      <c r="K12681">
        <v>14.3</v>
      </c>
      <c r="L12681">
        <v>49501</v>
      </c>
      <c r="M12681" t="s">
        <v>177</v>
      </c>
      <c r="N12681" t="str">
        <f>"5237601529  "</f>
        <v xml:space="preserve">5237601529  </v>
      </c>
      <c r="O12681">
        <v>230814</v>
      </c>
    </row>
    <row r="12682" spans="1:15" x14ac:dyDescent="0.25">
      <c r="A12682" t="s">
        <v>16</v>
      </c>
      <c r="B12682" t="s">
        <v>3221</v>
      </c>
      <c r="C12682">
        <v>11389</v>
      </c>
      <c r="D12682" t="s">
        <v>587</v>
      </c>
      <c r="E12682" t="s">
        <v>588</v>
      </c>
      <c r="F12682">
        <v>53.52</v>
      </c>
      <c r="G12682">
        <v>230831</v>
      </c>
      <c r="H12682">
        <v>4600</v>
      </c>
      <c r="I12682" t="s">
        <v>105</v>
      </c>
      <c r="J12682">
        <v>66.37</v>
      </c>
      <c r="K12682">
        <v>12.85</v>
      </c>
      <c r="L12682">
        <v>47522</v>
      </c>
      <c r="M12682" t="s">
        <v>410</v>
      </c>
      <c r="N12682" t="str">
        <f>"5237708162  "</f>
        <v xml:space="preserve">5237708162  </v>
      </c>
      <c r="O12682">
        <v>230905</v>
      </c>
    </row>
    <row r="12683" spans="1:15" x14ac:dyDescent="0.25">
      <c r="A12683" t="s">
        <v>16</v>
      </c>
      <c r="B12683" t="s">
        <v>3221</v>
      </c>
      <c r="C12683">
        <v>12238</v>
      </c>
      <c r="D12683" t="s">
        <v>587</v>
      </c>
      <c r="E12683" t="s">
        <v>588</v>
      </c>
      <c r="F12683">
        <v>12.92</v>
      </c>
      <c r="G12683">
        <v>230831</v>
      </c>
      <c r="H12683">
        <v>4600</v>
      </c>
      <c r="I12683" t="s">
        <v>105</v>
      </c>
      <c r="J12683">
        <v>16.02</v>
      </c>
      <c r="K12683">
        <v>3.1</v>
      </c>
      <c r="L12683">
        <v>46555</v>
      </c>
      <c r="M12683" t="s">
        <v>597</v>
      </c>
      <c r="N12683" t="str">
        <f>"5237708164  "</f>
        <v xml:space="preserve">5237708164  </v>
      </c>
      <c r="O12683">
        <v>230918</v>
      </c>
    </row>
    <row r="12684" spans="1:15" x14ac:dyDescent="0.25">
      <c r="A12684" t="s">
        <v>16</v>
      </c>
      <c r="B12684" t="s">
        <v>3221</v>
      </c>
      <c r="C12684">
        <v>12838</v>
      </c>
      <c r="D12684" t="s">
        <v>587</v>
      </c>
      <c r="E12684" t="s">
        <v>588</v>
      </c>
      <c r="F12684">
        <v>8.82</v>
      </c>
      <c r="G12684">
        <v>230915</v>
      </c>
      <c r="H12684">
        <v>4600</v>
      </c>
      <c r="I12684" t="s">
        <v>105</v>
      </c>
      <c r="J12684">
        <v>10.94</v>
      </c>
      <c r="K12684">
        <v>2.12</v>
      </c>
      <c r="L12684">
        <v>46555</v>
      </c>
      <c r="M12684" t="s">
        <v>597</v>
      </c>
      <c r="N12684" t="str">
        <f>"5237751840  "</f>
        <v xml:space="preserve">5237751840  </v>
      </c>
      <c r="O12684">
        <v>230928</v>
      </c>
    </row>
    <row r="12685" spans="1:15" x14ac:dyDescent="0.25">
      <c r="A12685" t="s">
        <v>16</v>
      </c>
      <c r="B12685" t="s">
        <v>3221</v>
      </c>
      <c r="C12685">
        <v>13936</v>
      </c>
      <c r="D12685" t="s">
        <v>587</v>
      </c>
      <c r="E12685" t="s">
        <v>588</v>
      </c>
      <c r="F12685">
        <v>6.56</v>
      </c>
      <c r="G12685">
        <v>230930</v>
      </c>
      <c r="H12685">
        <v>4600</v>
      </c>
      <c r="I12685" t="s">
        <v>105</v>
      </c>
      <c r="J12685">
        <v>8.1300000000000008</v>
      </c>
      <c r="K12685">
        <v>1.57</v>
      </c>
      <c r="L12685">
        <v>49501</v>
      </c>
      <c r="M12685" t="s">
        <v>177</v>
      </c>
      <c r="N12685" t="str">
        <f>"5237808900  "</f>
        <v xml:space="preserve">5237808900  </v>
      </c>
      <c r="O12685">
        <v>231017</v>
      </c>
    </row>
    <row r="12686" spans="1:15" x14ac:dyDescent="0.25">
      <c r="A12686" t="s">
        <v>16</v>
      </c>
      <c r="B12686" t="s">
        <v>3221</v>
      </c>
      <c r="C12686">
        <v>14199</v>
      </c>
      <c r="D12686" t="s">
        <v>587</v>
      </c>
      <c r="E12686" t="s">
        <v>588</v>
      </c>
      <c r="F12686">
        <v>383.29</v>
      </c>
      <c r="G12686">
        <v>230930</v>
      </c>
      <c r="H12686">
        <v>4600</v>
      </c>
      <c r="I12686" t="s">
        <v>105</v>
      </c>
      <c r="J12686">
        <v>475.28</v>
      </c>
      <c r="K12686">
        <v>91.99</v>
      </c>
      <c r="L12686">
        <v>46554</v>
      </c>
      <c r="M12686" t="s">
        <v>117</v>
      </c>
      <c r="N12686" t="str">
        <f>"5237808904  "</f>
        <v xml:space="preserve">5237808904  </v>
      </c>
      <c r="O12686">
        <v>231024</v>
      </c>
    </row>
    <row r="12687" spans="1:15" x14ac:dyDescent="0.25">
      <c r="A12687" t="s">
        <v>16</v>
      </c>
      <c r="B12687" t="s">
        <v>3221</v>
      </c>
      <c r="C12687">
        <v>14281</v>
      </c>
      <c r="D12687" t="s">
        <v>587</v>
      </c>
      <c r="E12687" t="s">
        <v>588</v>
      </c>
      <c r="F12687">
        <v>256.47000000000003</v>
      </c>
      <c r="G12687">
        <v>231016</v>
      </c>
      <c r="H12687">
        <v>4600</v>
      </c>
      <c r="I12687" t="s">
        <v>105</v>
      </c>
      <c r="J12687">
        <v>318.02</v>
      </c>
      <c r="K12687">
        <v>61.55</v>
      </c>
      <c r="L12687">
        <v>46556</v>
      </c>
      <c r="M12687" t="s">
        <v>125</v>
      </c>
      <c r="N12687" t="str">
        <f>"5237855698  "</f>
        <v xml:space="preserve">5237855698  </v>
      </c>
      <c r="O12687">
        <v>231025</v>
      </c>
    </row>
    <row r="12688" spans="1:15" x14ac:dyDescent="0.25">
      <c r="A12688" t="s">
        <v>16</v>
      </c>
      <c r="B12688" t="s">
        <v>3221</v>
      </c>
      <c r="C12688">
        <v>14315</v>
      </c>
      <c r="D12688" t="s">
        <v>587</v>
      </c>
      <c r="E12688" t="s">
        <v>588</v>
      </c>
      <c r="F12688">
        <v>11.79</v>
      </c>
      <c r="G12688">
        <v>231016</v>
      </c>
      <c r="H12688">
        <v>4600</v>
      </c>
      <c r="I12688" t="s">
        <v>105</v>
      </c>
      <c r="J12688">
        <v>14.62</v>
      </c>
      <c r="K12688">
        <v>2.83</v>
      </c>
      <c r="L12688">
        <v>49501</v>
      </c>
      <c r="M12688" t="s">
        <v>177</v>
      </c>
      <c r="N12688" t="str">
        <f>"5237855692  "</f>
        <v xml:space="preserve">5237855692  </v>
      </c>
      <c r="O12688">
        <v>231026</v>
      </c>
    </row>
    <row r="12689" spans="1:15" x14ac:dyDescent="0.25">
      <c r="A12689" t="s">
        <v>16</v>
      </c>
      <c r="B12689" t="s">
        <v>3221</v>
      </c>
      <c r="C12689">
        <v>15824</v>
      </c>
      <c r="D12689" t="s">
        <v>587</v>
      </c>
      <c r="E12689" t="s">
        <v>588</v>
      </c>
      <c r="F12689">
        <v>76.53</v>
      </c>
      <c r="G12689">
        <v>231031</v>
      </c>
      <c r="H12689">
        <v>4600</v>
      </c>
      <c r="I12689" t="s">
        <v>105</v>
      </c>
      <c r="J12689">
        <v>94.9</v>
      </c>
      <c r="K12689">
        <v>18.37</v>
      </c>
      <c r="L12689">
        <v>49501</v>
      </c>
      <c r="M12689" t="s">
        <v>177</v>
      </c>
      <c r="N12689" t="str">
        <f>"5237906416  "</f>
        <v xml:space="preserve">5237906416  </v>
      </c>
      <c r="O12689">
        <v>231120</v>
      </c>
    </row>
    <row r="12690" spans="1:15" x14ac:dyDescent="0.25">
      <c r="A12690" t="s">
        <v>16</v>
      </c>
      <c r="B12690" t="s">
        <v>3221</v>
      </c>
      <c r="C12690">
        <v>15956</v>
      </c>
      <c r="D12690" t="s">
        <v>587</v>
      </c>
      <c r="E12690" t="s">
        <v>588</v>
      </c>
      <c r="F12690">
        <v>89.16</v>
      </c>
      <c r="G12690">
        <v>231115</v>
      </c>
      <c r="H12690">
        <v>4600</v>
      </c>
      <c r="I12690" t="s">
        <v>105</v>
      </c>
      <c r="J12690">
        <v>110.56</v>
      </c>
      <c r="K12690">
        <v>21.4</v>
      </c>
      <c r="L12690">
        <v>47522</v>
      </c>
      <c r="M12690" t="s">
        <v>410</v>
      </c>
      <c r="N12690" t="str">
        <f>"5237946844  "</f>
        <v xml:space="preserve">5237946844  </v>
      </c>
      <c r="O12690">
        <v>231122</v>
      </c>
    </row>
    <row r="12691" spans="1:15" x14ac:dyDescent="0.25">
      <c r="A12691" t="s">
        <v>16</v>
      </c>
      <c r="B12691" t="s">
        <v>3221</v>
      </c>
      <c r="C12691">
        <v>16183</v>
      </c>
      <c r="D12691" t="s">
        <v>587</v>
      </c>
      <c r="E12691" t="s">
        <v>588</v>
      </c>
      <c r="F12691">
        <v>76.16</v>
      </c>
      <c r="G12691">
        <v>231115</v>
      </c>
      <c r="H12691">
        <v>4600</v>
      </c>
      <c r="I12691" t="s">
        <v>105</v>
      </c>
      <c r="J12691">
        <v>94.44</v>
      </c>
      <c r="K12691">
        <v>18.28</v>
      </c>
      <c r="L12691">
        <v>49501</v>
      </c>
      <c r="M12691" t="s">
        <v>177</v>
      </c>
      <c r="N12691" t="str">
        <f>"5237946842  "</f>
        <v xml:space="preserve">5237946842  </v>
      </c>
      <c r="O12691">
        <v>231127</v>
      </c>
    </row>
    <row r="12692" spans="1:15" x14ac:dyDescent="0.25">
      <c r="A12692" t="s">
        <v>16</v>
      </c>
      <c r="B12692" t="s">
        <v>3221</v>
      </c>
      <c r="C12692">
        <v>16355</v>
      </c>
      <c r="D12692" t="s">
        <v>587</v>
      </c>
      <c r="E12692" t="s">
        <v>588</v>
      </c>
      <c r="F12692">
        <v>19.34</v>
      </c>
      <c r="G12692">
        <v>231031</v>
      </c>
      <c r="H12692">
        <v>4600</v>
      </c>
      <c r="I12692" t="s">
        <v>105</v>
      </c>
      <c r="J12692">
        <v>23.98</v>
      </c>
      <c r="K12692">
        <v>4.6399999999999997</v>
      </c>
      <c r="L12692">
        <v>46555</v>
      </c>
      <c r="M12692" t="s">
        <v>597</v>
      </c>
      <c r="N12692" t="str">
        <f>"5237906420  "</f>
        <v xml:space="preserve">5237906420  </v>
      </c>
      <c r="O12692">
        <v>231128</v>
      </c>
    </row>
    <row r="12693" spans="1:15" x14ac:dyDescent="0.25">
      <c r="A12693" t="s">
        <v>16</v>
      </c>
      <c r="B12693" t="s">
        <v>3221</v>
      </c>
      <c r="C12693">
        <v>16581</v>
      </c>
      <c r="D12693" t="s">
        <v>587</v>
      </c>
      <c r="E12693" t="s">
        <v>588</v>
      </c>
      <c r="F12693">
        <v>61.21</v>
      </c>
      <c r="G12693">
        <v>231115</v>
      </c>
      <c r="H12693">
        <v>4600</v>
      </c>
      <c r="I12693" t="s">
        <v>105</v>
      </c>
      <c r="J12693">
        <v>75.900000000000006</v>
      </c>
      <c r="K12693">
        <v>14.69</v>
      </c>
      <c r="L12693">
        <v>46554</v>
      </c>
      <c r="M12693" t="s">
        <v>117</v>
      </c>
      <c r="N12693" t="str">
        <f>"5237946845  "</f>
        <v xml:space="preserve">5237946845  </v>
      </c>
      <c r="O12693">
        <v>231204</v>
      </c>
    </row>
    <row r="12694" spans="1:15" x14ac:dyDescent="0.25">
      <c r="A12694" t="s">
        <v>16</v>
      </c>
      <c r="B12694" t="s">
        <v>3221</v>
      </c>
      <c r="C12694">
        <v>16785</v>
      </c>
      <c r="D12694" t="s">
        <v>587</v>
      </c>
      <c r="E12694" t="s">
        <v>588</v>
      </c>
      <c r="F12694">
        <v>8.82</v>
      </c>
      <c r="G12694">
        <v>231130</v>
      </c>
      <c r="H12694">
        <v>4600</v>
      </c>
      <c r="I12694" t="s">
        <v>105</v>
      </c>
      <c r="J12694">
        <v>10.94</v>
      </c>
      <c r="K12694">
        <v>2.12</v>
      </c>
      <c r="L12694">
        <v>46555</v>
      </c>
      <c r="M12694" t="s">
        <v>597</v>
      </c>
      <c r="N12694" t="str">
        <f>"5237994088  "</f>
        <v xml:space="preserve">5237994088  </v>
      </c>
      <c r="O12694">
        <v>231211</v>
      </c>
    </row>
    <row r="12695" spans="1:15" x14ac:dyDescent="0.25">
      <c r="A12695" t="s">
        <v>16</v>
      </c>
      <c r="B12695" t="s">
        <v>3221</v>
      </c>
      <c r="C12695">
        <v>16803</v>
      </c>
      <c r="D12695" t="s">
        <v>587</v>
      </c>
      <c r="E12695" t="s">
        <v>588</v>
      </c>
      <c r="F12695">
        <v>8.9600000000000009</v>
      </c>
      <c r="G12695">
        <v>231130</v>
      </c>
      <c r="H12695">
        <v>4600</v>
      </c>
      <c r="I12695" t="s">
        <v>105</v>
      </c>
      <c r="J12695">
        <v>11.11</v>
      </c>
      <c r="K12695">
        <v>2.15</v>
      </c>
      <c r="L12695">
        <v>46554</v>
      </c>
      <c r="M12695" t="s">
        <v>117</v>
      </c>
      <c r="N12695" t="str">
        <f>"5237994089  "</f>
        <v xml:space="preserve">5237994089  </v>
      </c>
      <c r="O12695">
        <v>231211</v>
      </c>
    </row>
    <row r="12696" spans="1:15" x14ac:dyDescent="0.25">
      <c r="A12696" t="s">
        <v>16</v>
      </c>
      <c r="B12696" t="s">
        <v>3221</v>
      </c>
      <c r="C12696">
        <v>19117</v>
      </c>
      <c r="D12696" t="s">
        <v>587</v>
      </c>
      <c r="E12696" t="s">
        <v>588</v>
      </c>
      <c r="F12696">
        <v>13.71</v>
      </c>
      <c r="G12696">
        <v>231231</v>
      </c>
      <c r="H12696">
        <v>4600</v>
      </c>
      <c r="I12696" t="s">
        <v>105</v>
      </c>
      <c r="J12696">
        <v>17</v>
      </c>
      <c r="K12696">
        <v>3.29</v>
      </c>
      <c r="L12696">
        <v>49501</v>
      </c>
      <c r="M12696" t="s">
        <v>177</v>
      </c>
      <c r="N12696" t="str">
        <f>"5238060165  "</f>
        <v xml:space="preserve">5238060165  </v>
      </c>
      <c r="O12696">
        <v>240110</v>
      </c>
    </row>
    <row r="12697" spans="1:15" x14ac:dyDescent="0.25">
      <c r="A12697" t="s">
        <v>16</v>
      </c>
      <c r="B12697" t="s">
        <v>3221</v>
      </c>
      <c r="C12697">
        <v>11392</v>
      </c>
      <c r="D12697" t="s">
        <v>587</v>
      </c>
      <c r="E12697" t="s">
        <v>588</v>
      </c>
      <c r="F12697">
        <v>298.39</v>
      </c>
      <c r="G12697">
        <v>230831</v>
      </c>
      <c r="H12697">
        <v>4940</v>
      </c>
      <c r="I12697" t="s">
        <v>514</v>
      </c>
      <c r="J12697">
        <v>370</v>
      </c>
      <c r="K12697">
        <v>71.61</v>
      </c>
      <c r="L12697">
        <v>46556</v>
      </c>
      <c r="M12697" t="s">
        <v>125</v>
      </c>
      <c r="N12697" t="str">
        <f>"5237708100  "</f>
        <v xml:space="preserve">5237708100  </v>
      </c>
      <c r="O12697">
        <v>230905</v>
      </c>
    </row>
    <row r="12698" spans="1:15" x14ac:dyDescent="0.25">
      <c r="A12698" t="s">
        <v>16</v>
      </c>
      <c r="B12698" t="s">
        <v>3221</v>
      </c>
      <c r="C12698">
        <v>504</v>
      </c>
      <c r="D12698" t="s">
        <v>587</v>
      </c>
      <c r="E12698" t="s">
        <v>588</v>
      </c>
      <c r="F12698">
        <v>-7.06</v>
      </c>
      <c r="G12698">
        <v>230116</v>
      </c>
      <c r="H12698">
        <v>4590</v>
      </c>
      <c r="I12698" t="s">
        <v>203</v>
      </c>
      <c r="J12698">
        <v>-8.76</v>
      </c>
      <c r="K12698">
        <v>-1.7</v>
      </c>
      <c r="L12698">
        <v>46563</v>
      </c>
      <c r="M12698" t="s">
        <v>589</v>
      </c>
      <c r="N12698" t="str">
        <f>"5236991292  "</f>
        <v xml:space="preserve">5236991292  </v>
      </c>
      <c r="O12698">
        <v>230124</v>
      </c>
    </row>
    <row r="12699" spans="1:15" x14ac:dyDescent="0.25">
      <c r="A12699" t="s">
        <v>16</v>
      </c>
      <c r="B12699" t="s">
        <v>3221</v>
      </c>
      <c r="C12699">
        <v>507</v>
      </c>
      <c r="D12699" t="s">
        <v>587</v>
      </c>
      <c r="E12699" t="s">
        <v>588</v>
      </c>
      <c r="F12699">
        <v>539.80999999999995</v>
      </c>
      <c r="G12699">
        <v>230116</v>
      </c>
      <c r="H12699">
        <v>4590</v>
      </c>
      <c r="I12699" t="s">
        <v>203</v>
      </c>
      <c r="J12699">
        <v>669.36</v>
      </c>
      <c r="K12699">
        <v>129.55000000000001</v>
      </c>
      <c r="L12699">
        <v>46556</v>
      </c>
      <c r="M12699" t="s">
        <v>125</v>
      </c>
      <c r="N12699" t="str">
        <f>"5236991293  "</f>
        <v xml:space="preserve">5236991293  </v>
      </c>
      <c r="O12699">
        <v>230124</v>
      </c>
    </row>
    <row r="12700" spans="1:15" x14ac:dyDescent="0.25">
      <c r="A12700" t="s">
        <v>16</v>
      </c>
      <c r="B12700" t="s">
        <v>3221</v>
      </c>
      <c r="C12700">
        <v>507</v>
      </c>
      <c r="D12700" t="s">
        <v>587</v>
      </c>
      <c r="E12700" t="s">
        <v>588</v>
      </c>
      <c r="F12700">
        <v>84.38</v>
      </c>
      <c r="G12700">
        <v>230116</v>
      </c>
      <c r="H12700">
        <v>4590</v>
      </c>
      <c r="I12700" t="s">
        <v>203</v>
      </c>
      <c r="J12700">
        <v>104.63</v>
      </c>
      <c r="K12700">
        <v>20.25</v>
      </c>
      <c r="L12700">
        <v>46563</v>
      </c>
      <c r="M12700" t="s">
        <v>589</v>
      </c>
      <c r="N12700" t="str">
        <f>"5236991293  "</f>
        <v xml:space="preserve">5236991293  </v>
      </c>
      <c r="O12700">
        <v>230124</v>
      </c>
    </row>
    <row r="12701" spans="1:15" x14ac:dyDescent="0.25">
      <c r="A12701" t="s">
        <v>16</v>
      </c>
      <c r="B12701" t="s">
        <v>3221</v>
      </c>
      <c r="C12701">
        <v>1046</v>
      </c>
      <c r="D12701" t="s">
        <v>587</v>
      </c>
      <c r="E12701" t="s">
        <v>588</v>
      </c>
      <c r="F12701">
        <v>170.88</v>
      </c>
      <c r="G12701">
        <v>230131</v>
      </c>
      <c r="H12701">
        <v>4590</v>
      </c>
      <c r="I12701" t="s">
        <v>203</v>
      </c>
      <c r="J12701">
        <v>211.89</v>
      </c>
      <c r="K12701">
        <v>41.01</v>
      </c>
      <c r="L12701">
        <v>46556</v>
      </c>
      <c r="M12701" t="s">
        <v>125</v>
      </c>
      <c r="N12701" t="str">
        <f>"5237033694  "</f>
        <v xml:space="preserve">5237033694  </v>
      </c>
      <c r="O12701">
        <v>230202</v>
      </c>
    </row>
    <row r="12702" spans="1:15" x14ac:dyDescent="0.25">
      <c r="A12702" t="s">
        <v>16</v>
      </c>
      <c r="B12702" t="s">
        <v>3221</v>
      </c>
      <c r="C12702">
        <v>1046</v>
      </c>
      <c r="D12702" t="s">
        <v>587</v>
      </c>
      <c r="E12702" t="s">
        <v>588</v>
      </c>
      <c r="F12702">
        <v>29.79</v>
      </c>
      <c r="G12702">
        <v>230131</v>
      </c>
      <c r="H12702">
        <v>4590</v>
      </c>
      <c r="I12702" t="s">
        <v>203</v>
      </c>
      <c r="J12702">
        <v>36.94</v>
      </c>
      <c r="K12702">
        <v>7.15</v>
      </c>
      <c r="L12702">
        <v>49501</v>
      </c>
      <c r="M12702" t="s">
        <v>177</v>
      </c>
      <c r="N12702" t="str">
        <f>"5237033694  "</f>
        <v xml:space="preserve">5237033694  </v>
      </c>
      <c r="O12702">
        <v>230202</v>
      </c>
    </row>
    <row r="12703" spans="1:15" x14ac:dyDescent="0.25">
      <c r="A12703" t="s">
        <v>16</v>
      </c>
      <c r="B12703" t="s">
        <v>3221</v>
      </c>
      <c r="C12703">
        <v>1064</v>
      </c>
      <c r="D12703" t="s">
        <v>587</v>
      </c>
      <c r="E12703" t="s">
        <v>588</v>
      </c>
      <c r="F12703">
        <v>-11.58</v>
      </c>
      <c r="G12703">
        <v>230131</v>
      </c>
      <c r="H12703">
        <v>4590</v>
      </c>
      <c r="I12703" t="s">
        <v>203</v>
      </c>
      <c r="J12703">
        <v>-14.36</v>
      </c>
      <c r="K12703">
        <v>-2.78</v>
      </c>
      <c r="L12703">
        <v>49501</v>
      </c>
      <c r="M12703" t="s">
        <v>177</v>
      </c>
      <c r="N12703" t="str">
        <f>"5237033737  "</f>
        <v xml:space="preserve">5237033737  </v>
      </c>
      <c r="O12703">
        <v>230202</v>
      </c>
    </row>
    <row r="12704" spans="1:15" x14ac:dyDescent="0.25">
      <c r="A12704" t="s">
        <v>16</v>
      </c>
      <c r="B12704" t="s">
        <v>3221</v>
      </c>
      <c r="C12704">
        <v>1469</v>
      </c>
      <c r="D12704" t="s">
        <v>587</v>
      </c>
      <c r="E12704" t="s">
        <v>588</v>
      </c>
      <c r="F12704">
        <v>392.22</v>
      </c>
      <c r="G12704">
        <v>230131</v>
      </c>
      <c r="H12704">
        <v>4590</v>
      </c>
      <c r="I12704" t="s">
        <v>203</v>
      </c>
      <c r="J12704">
        <v>486.35</v>
      </c>
      <c r="K12704">
        <v>94.13</v>
      </c>
      <c r="L12704">
        <v>46556</v>
      </c>
      <c r="M12704" t="s">
        <v>125</v>
      </c>
      <c r="N12704" t="str">
        <f>"5237033738  "</f>
        <v xml:space="preserve">5237033738  </v>
      </c>
      <c r="O12704">
        <v>230209</v>
      </c>
    </row>
    <row r="12705" spans="1:15" x14ac:dyDescent="0.25">
      <c r="A12705" t="s">
        <v>16</v>
      </c>
      <c r="B12705" t="s">
        <v>3221</v>
      </c>
      <c r="C12705">
        <v>1469</v>
      </c>
      <c r="D12705" t="s">
        <v>587</v>
      </c>
      <c r="E12705" t="s">
        <v>588</v>
      </c>
      <c r="F12705">
        <v>205.03</v>
      </c>
      <c r="G12705">
        <v>230131</v>
      </c>
      <c r="H12705">
        <v>4590</v>
      </c>
      <c r="I12705" t="s">
        <v>203</v>
      </c>
      <c r="J12705">
        <v>254.24</v>
      </c>
      <c r="K12705">
        <v>49.21</v>
      </c>
      <c r="L12705">
        <v>46563</v>
      </c>
      <c r="M12705" t="s">
        <v>589</v>
      </c>
      <c r="N12705" t="str">
        <f>"5237033738  "</f>
        <v xml:space="preserve">5237033738  </v>
      </c>
      <c r="O12705">
        <v>230209</v>
      </c>
    </row>
    <row r="12706" spans="1:15" x14ac:dyDescent="0.25">
      <c r="A12706" t="s">
        <v>16</v>
      </c>
      <c r="B12706" t="s">
        <v>3221</v>
      </c>
      <c r="C12706">
        <v>1469</v>
      </c>
      <c r="D12706" t="s">
        <v>587</v>
      </c>
      <c r="E12706" t="s">
        <v>588</v>
      </c>
      <c r="F12706">
        <v>665.59</v>
      </c>
      <c r="G12706">
        <v>230131</v>
      </c>
      <c r="H12706">
        <v>4590</v>
      </c>
      <c r="I12706" t="s">
        <v>203</v>
      </c>
      <c r="J12706">
        <v>825.33</v>
      </c>
      <c r="K12706">
        <v>159.74</v>
      </c>
      <c r="L12706">
        <v>49501</v>
      </c>
      <c r="M12706" t="s">
        <v>177</v>
      </c>
      <c r="N12706" t="str">
        <f>"5237033738  "</f>
        <v xml:space="preserve">5237033738  </v>
      </c>
      <c r="O12706">
        <v>230209</v>
      </c>
    </row>
    <row r="12707" spans="1:15" x14ac:dyDescent="0.25">
      <c r="A12707" t="s">
        <v>16</v>
      </c>
      <c r="B12707" t="s">
        <v>3221</v>
      </c>
      <c r="C12707">
        <v>2005</v>
      </c>
      <c r="D12707" t="s">
        <v>587</v>
      </c>
      <c r="E12707" t="s">
        <v>588</v>
      </c>
      <c r="F12707">
        <v>114.09</v>
      </c>
      <c r="G12707">
        <v>230215</v>
      </c>
      <c r="H12707">
        <v>4590</v>
      </c>
      <c r="I12707" t="s">
        <v>203</v>
      </c>
      <c r="J12707">
        <v>141.47</v>
      </c>
      <c r="K12707">
        <v>27.38</v>
      </c>
      <c r="L12707">
        <v>46556</v>
      </c>
      <c r="M12707" t="s">
        <v>125</v>
      </c>
      <c r="N12707" t="str">
        <f>"5237069758  "</f>
        <v xml:space="preserve">5237069758  </v>
      </c>
      <c r="O12707">
        <v>230217</v>
      </c>
    </row>
    <row r="12708" spans="1:15" x14ac:dyDescent="0.25">
      <c r="A12708" t="s">
        <v>16</v>
      </c>
      <c r="B12708" t="s">
        <v>3221</v>
      </c>
      <c r="C12708">
        <v>2009</v>
      </c>
      <c r="D12708" t="s">
        <v>587</v>
      </c>
      <c r="E12708" t="s">
        <v>588</v>
      </c>
      <c r="F12708">
        <v>267.83999999999997</v>
      </c>
      <c r="G12708">
        <v>230215</v>
      </c>
      <c r="H12708">
        <v>4590</v>
      </c>
      <c r="I12708" t="s">
        <v>203</v>
      </c>
      <c r="J12708">
        <v>332.12</v>
      </c>
      <c r="K12708">
        <v>64.28</v>
      </c>
      <c r="L12708">
        <v>46557</v>
      </c>
      <c r="M12708" t="s">
        <v>221</v>
      </c>
      <c r="N12708" t="str">
        <f>"5237069781  "</f>
        <v xml:space="preserve">5237069781  </v>
      </c>
      <c r="O12708">
        <v>230217</v>
      </c>
    </row>
    <row r="12709" spans="1:15" x14ac:dyDescent="0.25">
      <c r="A12709" t="s">
        <v>16</v>
      </c>
      <c r="B12709" t="s">
        <v>3221</v>
      </c>
      <c r="C12709">
        <v>2081</v>
      </c>
      <c r="D12709" t="s">
        <v>587</v>
      </c>
      <c r="E12709" t="s">
        <v>588</v>
      </c>
      <c r="F12709">
        <v>364.87</v>
      </c>
      <c r="G12709">
        <v>230215</v>
      </c>
      <c r="H12709">
        <v>4590</v>
      </c>
      <c r="I12709" t="s">
        <v>203</v>
      </c>
      <c r="J12709">
        <v>452.44</v>
      </c>
      <c r="K12709">
        <v>87.57</v>
      </c>
      <c r="L12709">
        <v>46556</v>
      </c>
      <c r="M12709" t="s">
        <v>125</v>
      </c>
      <c r="N12709" t="str">
        <f>"5237069783  "</f>
        <v xml:space="preserve">5237069783  </v>
      </c>
      <c r="O12709">
        <v>230220</v>
      </c>
    </row>
    <row r="12710" spans="1:15" x14ac:dyDescent="0.25">
      <c r="A12710" t="s">
        <v>16</v>
      </c>
      <c r="B12710" t="s">
        <v>3221</v>
      </c>
      <c r="C12710">
        <v>2081</v>
      </c>
      <c r="D12710" t="s">
        <v>587</v>
      </c>
      <c r="E12710" t="s">
        <v>588</v>
      </c>
      <c r="F12710">
        <v>1570.84</v>
      </c>
      <c r="G12710">
        <v>230215</v>
      </c>
      <c r="H12710">
        <v>4590</v>
      </c>
      <c r="I12710" t="s">
        <v>203</v>
      </c>
      <c r="J12710">
        <v>1947.84</v>
      </c>
      <c r="K12710">
        <v>377</v>
      </c>
      <c r="L12710">
        <v>49501</v>
      </c>
      <c r="M12710" t="s">
        <v>177</v>
      </c>
      <c r="N12710" t="str">
        <f>"5237069783  "</f>
        <v xml:space="preserve">5237069783  </v>
      </c>
      <c r="O12710">
        <v>230220</v>
      </c>
    </row>
    <row r="12711" spans="1:15" x14ac:dyDescent="0.25">
      <c r="A12711" t="s">
        <v>16</v>
      </c>
      <c r="B12711" t="s">
        <v>3221</v>
      </c>
      <c r="C12711">
        <v>2753</v>
      </c>
      <c r="D12711" t="s">
        <v>587</v>
      </c>
      <c r="E12711" t="s">
        <v>588</v>
      </c>
      <c r="F12711">
        <v>-84.59</v>
      </c>
      <c r="G12711">
        <v>230228</v>
      </c>
      <c r="H12711">
        <v>4590</v>
      </c>
      <c r="I12711" t="s">
        <v>203</v>
      </c>
      <c r="J12711">
        <v>-104.89</v>
      </c>
      <c r="K12711">
        <v>-20.3</v>
      </c>
      <c r="L12711">
        <v>46556</v>
      </c>
      <c r="M12711" t="s">
        <v>125</v>
      </c>
      <c r="N12711" t="str">
        <f>"5237106253  "</f>
        <v xml:space="preserve">5237106253  </v>
      </c>
      <c r="O12711">
        <v>230307</v>
      </c>
    </row>
    <row r="12712" spans="1:15" x14ac:dyDescent="0.25">
      <c r="A12712" t="s">
        <v>16</v>
      </c>
      <c r="B12712" t="s">
        <v>3221</v>
      </c>
      <c r="C12712">
        <v>2837</v>
      </c>
      <c r="D12712" t="s">
        <v>587</v>
      </c>
      <c r="E12712" t="s">
        <v>588</v>
      </c>
      <c r="F12712">
        <v>188.65</v>
      </c>
      <c r="G12712">
        <v>230228</v>
      </c>
      <c r="H12712">
        <v>4590</v>
      </c>
      <c r="I12712" t="s">
        <v>203</v>
      </c>
      <c r="J12712">
        <v>233.92</v>
      </c>
      <c r="K12712">
        <v>45.27</v>
      </c>
      <c r="L12712">
        <v>46556</v>
      </c>
      <c r="M12712" t="s">
        <v>125</v>
      </c>
      <c r="N12712" t="str">
        <f>"5237106254  "</f>
        <v xml:space="preserve">5237106254  </v>
      </c>
      <c r="O12712">
        <v>230308</v>
      </c>
    </row>
    <row r="12713" spans="1:15" x14ac:dyDescent="0.25">
      <c r="A12713" t="s">
        <v>16</v>
      </c>
      <c r="B12713" t="s">
        <v>3221</v>
      </c>
      <c r="C12713">
        <v>2837</v>
      </c>
      <c r="D12713" t="s">
        <v>587</v>
      </c>
      <c r="E12713" t="s">
        <v>588</v>
      </c>
      <c r="F12713">
        <v>373.01</v>
      </c>
      <c r="G12713">
        <v>230228</v>
      </c>
      <c r="H12713">
        <v>4590</v>
      </c>
      <c r="I12713" t="s">
        <v>203</v>
      </c>
      <c r="J12713">
        <v>462.53</v>
      </c>
      <c r="K12713">
        <v>89.52</v>
      </c>
      <c r="L12713">
        <v>49501</v>
      </c>
      <c r="M12713" t="s">
        <v>177</v>
      </c>
      <c r="N12713" t="str">
        <f>"5237106254  "</f>
        <v xml:space="preserve">5237106254  </v>
      </c>
      <c r="O12713">
        <v>230308</v>
      </c>
    </row>
    <row r="12714" spans="1:15" x14ac:dyDescent="0.25">
      <c r="A12714" t="s">
        <v>16</v>
      </c>
      <c r="B12714" t="s">
        <v>3221</v>
      </c>
      <c r="C12714">
        <v>3592</v>
      </c>
      <c r="D12714" t="s">
        <v>587</v>
      </c>
      <c r="E12714" t="s">
        <v>588</v>
      </c>
      <c r="F12714">
        <v>309.17</v>
      </c>
      <c r="G12714">
        <v>230315</v>
      </c>
      <c r="H12714">
        <v>4590</v>
      </c>
      <c r="I12714" t="s">
        <v>203</v>
      </c>
      <c r="J12714">
        <v>383.37</v>
      </c>
      <c r="K12714">
        <v>74.2</v>
      </c>
      <c r="L12714">
        <v>46556</v>
      </c>
      <c r="M12714" t="s">
        <v>125</v>
      </c>
      <c r="N12714" t="str">
        <f>"5237140506  "</f>
        <v xml:space="preserve">5237140506  </v>
      </c>
      <c r="O12714">
        <v>230317</v>
      </c>
    </row>
    <row r="12715" spans="1:15" x14ac:dyDescent="0.25">
      <c r="A12715" t="s">
        <v>16</v>
      </c>
      <c r="B12715" t="s">
        <v>3221</v>
      </c>
      <c r="C12715">
        <v>3592</v>
      </c>
      <c r="D12715" t="s">
        <v>587</v>
      </c>
      <c r="E12715" t="s">
        <v>588</v>
      </c>
      <c r="F12715">
        <v>223.11</v>
      </c>
      <c r="G12715">
        <v>230315</v>
      </c>
      <c r="H12715">
        <v>4590</v>
      </c>
      <c r="I12715" t="s">
        <v>203</v>
      </c>
      <c r="J12715">
        <v>276.66000000000003</v>
      </c>
      <c r="K12715">
        <v>53.55</v>
      </c>
      <c r="L12715">
        <v>49501</v>
      </c>
      <c r="M12715" t="s">
        <v>177</v>
      </c>
      <c r="N12715" t="str">
        <f>"5237140506  "</f>
        <v xml:space="preserve">5237140506  </v>
      </c>
      <c r="O12715">
        <v>230317</v>
      </c>
    </row>
    <row r="12716" spans="1:15" x14ac:dyDescent="0.25">
      <c r="A12716" t="s">
        <v>16</v>
      </c>
      <c r="B12716" t="s">
        <v>3221</v>
      </c>
      <c r="C12716">
        <v>3593</v>
      </c>
      <c r="D12716" t="s">
        <v>587</v>
      </c>
      <c r="E12716" t="s">
        <v>588</v>
      </c>
      <c r="F12716">
        <v>-90.4</v>
      </c>
      <c r="G12716">
        <v>230315</v>
      </c>
      <c r="H12716">
        <v>4590</v>
      </c>
      <c r="I12716" t="s">
        <v>203</v>
      </c>
      <c r="J12716">
        <v>-112.09</v>
      </c>
      <c r="K12716">
        <v>-21.69</v>
      </c>
      <c r="L12716">
        <v>49501</v>
      </c>
      <c r="M12716" t="s">
        <v>177</v>
      </c>
      <c r="N12716" t="str">
        <f>"5237140505  "</f>
        <v xml:space="preserve">5237140505  </v>
      </c>
      <c r="O12716">
        <v>230317</v>
      </c>
    </row>
    <row r="12717" spans="1:15" x14ac:dyDescent="0.25">
      <c r="A12717" t="s">
        <v>16</v>
      </c>
      <c r="B12717" t="s">
        <v>3221</v>
      </c>
      <c r="C12717">
        <v>3682</v>
      </c>
      <c r="D12717" t="s">
        <v>587</v>
      </c>
      <c r="E12717" t="s">
        <v>588</v>
      </c>
      <c r="F12717">
        <v>39.72</v>
      </c>
      <c r="G12717">
        <v>230315</v>
      </c>
      <c r="H12717">
        <v>4590</v>
      </c>
      <c r="I12717" t="s">
        <v>203</v>
      </c>
      <c r="J12717">
        <v>49.25</v>
      </c>
      <c r="K12717">
        <v>9.5299999999999994</v>
      </c>
      <c r="L12717">
        <v>46556</v>
      </c>
      <c r="M12717" t="s">
        <v>125</v>
      </c>
      <c r="N12717" t="str">
        <f>"5237140508  "</f>
        <v xml:space="preserve">5237140508  </v>
      </c>
      <c r="O12717">
        <v>230321</v>
      </c>
    </row>
    <row r="12718" spans="1:15" x14ac:dyDescent="0.25">
      <c r="A12718" t="s">
        <v>16</v>
      </c>
      <c r="B12718" t="s">
        <v>3221</v>
      </c>
      <c r="C12718">
        <v>3818</v>
      </c>
      <c r="D12718" t="s">
        <v>587</v>
      </c>
      <c r="E12718" t="s">
        <v>588</v>
      </c>
      <c r="F12718">
        <v>327.17</v>
      </c>
      <c r="G12718">
        <v>230315</v>
      </c>
      <c r="H12718">
        <v>4590</v>
      </c>
      <c r="I12718" t="s">
        <v>203</v>
      </c>
      <c r="J12718">
        <v>405.69</v>
      </c>
      <c r="K12718">
        <v>78.52</v>
      </c>
      <c r="L12718">
        <v>49501</v>
      </c>
      <c r="M12718" t="s">
        <v>177</v>
      </c>
      <c r="N12718" t="str">
        <f>"5237140499  "</f>
        <v xml:space="preserve">5237140499  </v>
      </c>
      <c r="O12718">
        <v>230323</v>
      </c>
    </row>
    <row r="12719" spans="1:15" x14ac:dyDescent="0.25">
      <c r="A12719" t="s">
        <v>16</v>
      </c>
      <c r="B12719" t="s">
        <v>3221</v>
      </c>
      <c r="C12719">
        <v>4373</v>
      </c>
      <c r="D12719" t="s">
        <v>587</v>
      </c>
      <c r="E12719" t="s">
        <v>588</v>
      </c>
      <c r="F12719">
        <v>497.28</v>
      </c>
      <c r="G12719">
        <v>230331</v>
      </c>
      <c r="H12719">
        <v>4590</v>
      </c>
      <c r="I12719" t="s">
        <v>203</v>
      </c>
      <c r="J12719">
        <v>616.63</v>
      </c>
      <c r="K12719">
        <v>119.35</v>
      </c>
      <c r="L12719">
        <v>46556</v>
      </c>
      <c r="M12719" t="s">
        <v>125</v>
      </c>
      <c r="N12719" t="str">
        <f>"5237186249  "</f>
        <v xml:space="preserve">5237186249  </v>
      </c>
      <c r="O12719">
        <v>230405</v>
      </c>
    </row>
    <row r="12720" spans="1:15" x14ac:dyDescent="0.25">
      <c r="A12720" t="s">
        <v>16</v>
      </c>
      <c r="B12720" t="s">
        <v>3221</v>
      </c>
      <c r="C12720">
        <v>4373</v>
      </c>
      <c r="D12720" t="s">
        <v>587</v>
      </c>
      <c r="E12720" t="s">
        <v>588</v>
      </c>
      <c r="F12720">
        <v>146.47999999999999</v>
      </c>
      <c r="G12720">
        <v>230331</v>
      </c>
      <c r="H12720">
        <v>4590</v>
      </c>
      <c r="I12720" t="s">
        <v>203</v>
      </c>
      <c r="J12720">
        <v>181.63</v>
      </c>
      <c r="K12720">
        <v>35.15</v>
      </c>
      <c r="L12720">
        <v>49501</v>
      </c>
      <c r="M12720" t="s">
        <v>177</v>
      </c>
      <c r="N12720" t="str">
        <f>"5237186249  "</f>
        <v xml:space="preserve">5237186249  </v>
      </c>
      <c r="O12720">
        <v>230405</v>
      </c>
    </row>
    <row r="12721" spans="1:15" x14ac:dyDescent="0.25">
      <c r="A12721" t="s">
        <v>16</v>
      </c>
      <c r="B12721" t="s">
        <v>3221</v>
      </c>
      <c r="C12721">
        <v>4991</v>
      </c>
      <c r="D12721" t="s">
        <v>587</v>
      </c>
      <c r="E12721" t="s">
        <v>588</v>
      </c>
      <c r="F12721">
        <v>664.97</v>
      </c>
      <c r="G12721">
        <v>230331</v>
      </c>
      <c r="H12721">
        <v>4590</v>
      </c>
      <c r="I12721" t="s">
        <v>203</v>
      </c>
      <c r="J12721">
        <v>824.56</v>
      </c>
      <c r="K12721">
        <v>159.59</v>
      </c>
      <c r="L12721">
        <v>49501</v>
      </c>
      <c r="M12721" t="s">
        <v>177</v>
      </c>
      <c r="N12721" t="str">
        <f>"5237186246  "</f>
        <v xml:space="preserve">5237186246  </v>
      </c>
      <c r="O12721">
        <v>230417</v>
      </c>
    </row>
    <row r="12722" spans="1:15" x14ac:dyDescent="0.25">
      <c r="A12722" t="s">
        <v>16</v>
      </c>
      <c r="B12722" t="s">
        <v>3221</v>
      </c>
      <c r="C12722">
        <v>5451</v>
      </c>
      <c r="D12722" t="s">
        <v>587</v>
      </c>
      <c r="E12722" t="s">
        <v>588</v>
      </c>
      <c r="F12722">
        <v>266.56</v>
      </c>
      <c r="G12722">
        <v>230417</v>
      </c>
      <c r="H12722">
        <v>4590</v>
      </c>
      <c r="I12722" t="s">
        <v>203</v>
      </c>
      <c r="J12722">
        <v>330.53</v>
      </c>
      <c r="K12722">
        <v>63.97</v>
      </c>
      <c r="L12722">
        <v>46556</v>
      </c>
      <c r="M12722" t="s">
        <v>125</v>
      </c>
      <c r="N12722" t="str">
        <f>"5237224678  "</f>
        <v xml:space="preserve">5237224678  </v>
      </c>
      <c r="O12722">
        <v>230425</v>
      </c>
    </row>
    <row r="12723" spans="1:15" x14ac:dyDescent="0.25">
      <c r="A12723" t="s">
        <v>16</v>
      </c>
      <c r="B12723" t="s">
        <v>3221</v>
      </c>
      <c r="C12723">
        <v>5989</v>
      </c>
      <c r="D12723" t="s">
        <v>587</v>
      </c>
      <c r="E12723" t="s">
        <v>588</v>
      </c>
      <c r="F12723">
        <v>75.45</v>
      </c>
      <c r="G12723">
        <v>230430</v>
      </c>
      <c r="H12723">
        <v>4590</v>
      </c>
      <c r="I12723" t="s">
        <v>203</v>
      </c>
      <c r="J12723">
        <v>93.56</v>
      </c>
      <c r="K12723">
        <v>18.11</v>
      </c>
      <c r="L12723">
        <v>46556</v>
      </c>
      <c r="M12723" t="s">
        <v>125</v>
      </c>
      <c r="N12723" t="str">
        <f>"5237269032  "</f>
        <v xml:space="preserve">5237269032  </v>
      </c>
      <c r="O12723">
        <v>230504</v>
      </c>
    </row>
    <row r="12724" spans="1:15" x14ac:dyDescent="0.25">
      <c r="A12724" t="s">
        <v>16</v>
      </c>
      <c r="B12724" t="s">
        <v>3221</v>
      </c>
      <c r="C12724">
        <v>6126</v>
      </c>
      <c r="D12724" t="s">
        <v>587</v>
      </c>
      <c r="E12724" t="s">
        <v>588</v>
      </c>
      <c r="F12724">
        <v>103.23</v>
      </c>
      <c r="G12724">
        <v>230430</v>
      </c>
      <c r="H12724">
        <v>4590</v>
      </c>
      <c r="I12724" t="s">
        <v>203</v>
      </c>
      <c r="J12724">
        <v>128.01</v>
      </c>
      <c r="K12724">
        <v>24.78</v>
      </c>
      <c r="L12724">
        <v>49501</v>
      </c>
      <c r="M12724" t="s">
        <v>177</v>
      </c>
      <c r="N12724" t="str">
        <f>"5237269027  "</f>
        <v xml:space="preserve">5237269027  </v>
      </c>
      <c r="O12724">
        <v>230508</v>
      </c>
    </row>
    <row r="12725" spans="1:15" x14ac:dyDescent="0.25">
      <c r="A12725" t="s">
        <v>16</v>
      </c>
      <c r="B12725" t="s">
        <v>3221</v>
      </c>
      <c r="C12725">
        <v>6817</v>
      </c>
      <c r="D12725" t="s">
        <v>587</v>
      </c>
      <c r="E12725" t="s">
        <v>588</v>
      </c>
      <c r="F12725">
        <v>64.849999999999994</v>
      </c>
      <c r="G12725">
        <v>230515</v>
      </c>
      <c r="H12725">
        <v>4590</v>
      </c>
      <c r="I12725" t="s">
        <v>203</v>
      </c>
      <c r="J12725">
        <v>80.42</v>
      </c>
      <c r="K12725">
        <v>15.57</v>
      </c>
      <c r="L12725">
        <v>46556</v>
      </c>
      <c r="M12725" t="s">
        <v>125</v>
      </c>
      <c r="N12725" t="str">
        <f>"5237317769  "</f>
        <v xml:space="preserve">5237317769  </v>
      </c>
      <c r="O12725">
        <v>230522</v>
      </c>
    </row>
    <row r="12726" spans="1:15" x14ac:dyDescent="0.25">
      <c r="A12726" t="s">
        <v>16</v>
      </c>
      <c r="B12726" t="s">
        <v>3221</v>
      </c>
      <c r="C12726">
        <v>7211</v>
      </c>
      <c r="D12726" t="s">
        <v>587</v>
      </c>
      <c r="E12726" t="s">
        <v>588</v>
      </c>
      <c r="F12726">
        <v>53.9</v>
      </c>
      <c r="G12726">
        <v>230515</v>
      </c>
      <c r="H12726">
        <v>4590</v>
      </c>
      <c r="I12726" t="s">
        <v>203</v>
      </c>
      <c r="J12726">
        <v>66.84</v>
      </c>
      <c r="K12726">
        <v>12.94</v>
      </c>
      <c r="L12726">
        <v>49501</v>
      </c>
      <c r="M12726" t="s">
        <v>177</v>
      </c>
      <c r="N12726" t="str">
        <f>"5237317764  "</f>
        <v xml:space="preserve">5237317764  </v>
      </c>
      <c r="O12726">
        <v>230526</v>
      </c>
    </row>
    <row r="12727" spans="1:15" x14ac:dyDescent="0.25">
      <c r="A12727" t="s">
        <v>16</v>
      </c>
      <c r="B12727" t="s">
        <v>3221</v>
      </c>
      <c r="C12727">
        <v>7862</v>
      </c>
      <c r="D12727" t="s">
        <v>587</v>
      </c>
      <c r="E12727" t="s">
        <v>588</v>
      </c>
      <c r="F12727">
        <v>35.32</v>
      </c>
      <c r="G12727">
        <v>230531</v>
      </c>
      <c r="H12727">
        <v>4590</v>
      </c>
      <c r="I12727" t="s">
        <v>203</v>
      </c>
      <c r="J12727">
        <v>43.8</v>
      </c>
      <c r="K12727">
        <v>8.48</v>
      </c>
      <c r="L12727">
        <v>46556</v>
      </c>
      <c r="M12727" t="s">
        <v>125</v>
      </c>
      <c r="N12727" t="str">
        <f>"5237385628  "</f>
        <v xml:space="preserve">5237385628  </v>
      </c>
      <c r="O12727">
        <v>230605</v>
      </c>
    </row>
    <row r="12728" spans="1:15" x14ac:dyDescent="0.25">
      <c r="A12728" t="s">
        <v>16</v>
      </c>
      <c r="B12728" t="s">
        <v>3221</v>
      </c>
      <c r="C12728">
        <v>8277</v>
      </c>
      <c r="D12728" t="s">
        <v>587</v>
      </c>
      <c r="E12728" t="s">
        <v>588</v>
      </c>
      <c r="F12728">
        <v>321.68</v>
      </c>
      <c r="G12728">
        <v>230531</v>
      </c>
      <c r="H12728">
        <v>4590</v>
      </c>
      <c r="I12728" t="s">
        <v>203</v>
      </c>
      <c r="J12728">
        <v>398.88</v>
      </c>
      <c r="K12728">
        <v>77.2</v>
      </c>
      <c r="L12728">
        <v>49501</v>
      </c>
      <c r="M12728" t="s">
        <v>177</v>
      </c>
      <c r="N12728" t="str">
        <f>"5237385622  "</f>
        <v xml:space="preserve">5237385622  </v>
      </c>
      <c r="O12728">
        <v>230608</v>
      </c>
    </row>
    <row r="12729" spans="1:15" x14ac:dyDescent="0.25">
      <c r="A12729" t="s">
        <v>16</v>
      </c>
      <c r="B12729" t="s">
        <v>3221</v>
      </c>
      <c r="C12729">
        <v>9104</v>
      </c>
      <c r="D12729" t="s">
        <v>587</v>
      </c>
      <c r="E12729" t="s">
        <v>588</v>
      </c>
      <c r="F12729">
        <v>91.66</v>
      </c>
      <c r="G12729">
        <v>230615</v>
      </c>
      <c r="H12729">
        <v>4590</v>
      </c>
      <c r="I12729" t="s">
        <v>203</v>
      </c>
      <c r="J12729">
        <v>113.66</v>
      </c>
      <c r="K12729">
        <v>22</v>
      </c>
      <c r="L12729">
        <v>49501</v>
      </c>
      <c r="M12729" t="s">
        <v>177</v>
      </c>
      <c r="N12729" t="str">
        <f>"5237440391  "</f>
        <v xml:space="preserve">5237440391  </v>
      </c>
      <c r="O12729">
        <v>230627</v>
      </c>
    </row>
    <row r="12730" spans="1:15" x14ac:dyDescent="0.25">
      <c r="A12730" t="s">
        <v>16</v>
      </c>
      <c r="B12730" t="s">
        <v>3221</v>
      </c>
      <c r="C12730">
        <v>10647</v>
      </c>
      <c r="D12730" t="s">
        <v>587</v>
      </c>
      <c r="E12730" t="s">
        <v>588</v>
      </c>
      <c r="F12730">
        <v>129.85</v>
      </c>
      <c r="G12730">
        <v>230815</v>
      </c>
      <c r="H12730">
        <v>4590</v>
      </c>
      <c r="I12730" t="s">
        <v>203</v>
      </c>
      <c r="J12730">
        <v>161.01</v>
      </c>
      <c r="K12730">
        <v>31.16</v>
      </c>
      <c r="L12730">
        <v>49501</v>
      </c>
      <c r="M12730" t="s">
        <v>177</v>
      </c>
      <c r="N12730" t="str">
        <f>"5237648808  "</f>
        <v xml:space="preserve">5237648808  </v>
      </c>
      <c r="O12730">
        <v>230821</v>
      </c>
    </row>
    <row r="12731" spans="1:15" x14ac:dyDescent="0.25">
      <c r="A12731" t="s">
        <v>16</v>
      </c>
      <c r="B12731" t="s">
        <v>3221</v>
      </c>
      <c r="C12731">
        <v>11000</v>
      </c>
      <c r="D12731" t="s">
        <v>587</v>
      </c>
      <c r="E12731" t="s">
        <v>588</v>
      </c>
      <c r="F12731">
        <v>672.05</v>
      </c>
      <c r="G12731">
        <v>230815</v>
      </c>
      <c r="H12731">
        <v>4590</v>
      </c>
      <c r="I12731" t="s">
        <v>203</v>
      </c>
      <c r="J12731">
        <v>833.34</v>
      </c>
      <c r="K12731">
        <v>161.29</v>
      </c>
      <c r="L12731">
        <v>49501</v>
      </c>
      <c r="M12731" t="s">
        <v>177</v>
      </c>
      <c r="N12731" t="str">
        <f>"5237648804  "</f>
        <v xml:space="preserve">5237648804  </v>
      </c>
      <c r="O12731">
        <v>230828</v>
      </c>
    </row>
    <row r="12732" spans="1:15" x14ac:dyDescent="0.25">
      <c r="A12732" t="s">
        <v>16</v>
      </c>
      <c r="B12732" t="s">
        <v>3221</v>
      </c>
      <c r="C12732">
        <v>11381</v>
      </c>
      <c r="D12732" t="s">
        <v>587</v>
      </c>
      <c r="E12732" t="s">
        <v>588</v>
      </c>
      <c r="F12732">
        <v>261.33999999999997</v>
      </c>
      <c r="G12732">
        <v>230831</v>
      </c>
      <c r="H12732">
        <v>4590</v>
      </c>
      <c r="I12732" t="s">
        <v>203</v>
      </c>
      <c r="J12732">
        <v>324.06</v>
      </c>
      <c r="K12732">
        <v>62.72</v>
      </c>
      <c r="L12732">
        <v>49501</v>
      </c>
      <c r="M12732" t="s">
        <v>177</v>
      </c>
      <c r="N12732" t="str">
        <f>"5237708159  "</f>
        <v xml:space="preserve">5237708159  </v>
      </c>
      <c r="O12732">
        <v>230905</v>
      </c>
    </row>
    <row r="12733" spans="1:15" x14ac:dyDescent="0.25">
      <c r="A12733" t="s">
        <v>16</v>
      </c>
      <c r="B12733" t="s">
        <v>3221</v>
      </c>
      <c r="C12733">
        <v>11393</v>
      </c>
      <c r="D12733" t="s">
        <v>587</v>
      </c>
      <c r="E12733" t="s">
        <v>588</v>
      </c>
      <c r="F12733">
        <v>303.94</v>
      </c>
      <c r="G12733">
        <v>230831</v>
      </c>
      <c r="H12733">
        <v>4590</v>
      </c>
      <c r="I12733" t="s">
        <v>203</v>
      </c>
      <c r="J12733">
        <v>376.88</v>
      </c>
      <c r="K12733">
        <v>72.94</v>
      </c>
      <c r="L12733">
        <v>49501</v>
      </c>
      <c r="M12733" t="s">
        <v>177</v>
      </c>
      <c r="N12733" t="str">
        <f>"5237708165  "</f>
        <v xml:space="preserve">5237708165  </v>
      </c>
      <c r="O12733">
        <v>230905</v>
      </c>
    </row>
    <row r="12734" spans="1:15" x14ac:dyDescent="0.25">
      <c r="A12734" t="s">
        <v>16</v>
      </c>
      <c r="B12734" t="s">
        <v>3221</v>
      </c>
      <c r="C12734">
        <v>12601</v>
      </c>
      <c r="D12734" t="s">
        <v>587</v>
      </c>
      <c r="E12734" t="s">
        <v>588</v>
      </c>
      <c r="F12734">
        <v>76.88</v>
      </c>
      <c r="G12734">
        <v>230915</v>
      </c>
      <c r="H12734">
        <v>4590</v>
      </c>
      <c r="I12734" t="s">
        <v>203</v>
      </c>
      <c r="J12734">
        <v>95.33</v>
      </c>
      <c r="K12734">
        <v>18.45</v>
      </c>
      <c r="L12734">
        <v>49501</v>
      </c>
      <c r="M12734" t="s">
        <v>177</v>
      </c>
      <c r="N12734" t="str">
        <f>"5237751836  "</f>
        <v xml:space="preserve">5237751836  </v>
      </c>
      <c r="O12734">
        <v>230922</v>
      </c>
    </row>
    <row r="12735" spans="1:15" x14ac:dyDescent="0.25">
      <c r="A12735" t="s">
        <v>16</v>
      </c>
      <c r="B12735" t="s">
        <v>3221</v>
      </c>
      <c r="C12735">
        <v>12922</v>
      </c>
      <c r="D12735" t="s">
        <v>587</v>
      </c>
      <c r="E12735" t="s">
        <v>588</v>
      </c>
      <c r="F12735">
        <v>173.35</v>
      </c>
      <c r="G12735">
        <v>230915</v>
      </c>
      <c r="H12735">
        <v>4590</v>
      </c>
      <c r="I12735" t="s">
        <v>203</v>
      </c>
      <c r="J12735">
        <v>214.95</v>
      </c>
      <c r="K12735">
        <v>41.6</v>
      </c>
      <c r="L12735">
        <v>46563</v>
      </c>
      <c r="M12735" t="s">
        <v>589</v>
      </c>
      <c r="N12735" t="str">
        <f>"5237751844  "</f>
        <v xml:space="preserve">5237751844  </v>
      </c>
      <c r="O12735">
        <v>231002</v>
      </c>
    </row>
    <row r="12736" spans="1:15" x14ac:dyDescent="0.25">
      <c r="A12736" t="s">
        <v>16</v>
      </c>
      <c r="B12736" t="s">
        <v>3221</v>
      </c>
      <c r="C12736">
        <v>12923</v>
      </c>
      <c r="D12736" t="s">
        <v>587</v>
      </c>
      <c r="E12736" t="s">
        <v>588</v>
      </c>
      <c r="F12736">
        <v>862.61</v>
      </c>
      <c r="G12736">
        <v>230915</v>
      </c>
      <c r="H12736">
        <v>4590</v>
      </c>
      <c r="I12736" t="s">
        <v>203</v>
      </c>
      <c r="J12736">
        <v>1069.6400000000001</v>
      </c>
      <c r="K12736">
        <v>207.03</v>
      </c>
      <c r="L12736">
        <v>46554</v>
      </c>
      <c r="M12736" t="s">
        <v>117</v>
      </c>
      <c r="N12736" t="str">
        <f>"5237751841  "</f>
        <v xml:space="preserve">5237751841  </v>
      </c>
      <c r="O12736">
        <v>231002</v>
      </c>
    </row>
    <row r="12737" spans="1:16" x14ac:dyDescent="0.25">
      <c r="A12737" t="s">
        <v>16</v>
      </c>
      <c r="B12737" t="s">
        <v>3221</v>
      </c>
      <c r="C12737">
        <v>13935</v>
      </c>
      <c r="D12737" t="s">
        <v>587</v>
      </c>
      <c r="E12737" t="s">
        <v>588</v>
      </c>
      <c r="F12737">
        <v>66.349999999999994</v>
      </c>
      <c r="G12737">
        <v>230930</v>
      </c>
      <c r="H12737">
        <v>4590</v>
      </c>
      <c r="I12737" t="s">
        <v>203</v>
      </c>
      <c r="J12737">
        <v>82.27</v>
      </c>
      <c r="K12737">
        <v>15.92</v>
      </c>
      <c r="L12737">
        <v>46563</v>
      </c>
      <c r="M12737" t="s">
        <v>589</v>
      </c>
      <c r="N12737" t="str">
        <f>"5237808942  "</f>
        <v xml:space="preserve">5237808942  </v>
      </c>
      <c r="O12737">
        <v>231017</v>
      </c>
    </row>
    <row r="12738" spans="1:16" x14ac:dyDescent="0.25">
      <c r="A12738" t="s">
        <v>16</v>
      </c>
      <c r="B12738" t="s">
        <v>3221</v>
      </c>
      <c r="C12738">
        <v>14921</v>
      </c>
      <c r="D12738" t="s">
        <v>587</v>
      </c>
      <c r="E12738" t="s">
        <v>588</v>
      </c>
      <c r="F12738">
        <v>-65.3</v>
      </c>
      <c r="G12738">
        <v>231031</v>
      </c>
      <c r="H12738">
        <v>4590</v>
      </c>
      <c r="I12738" t="s">
        <v>203</v>
      </c>
      <c r="J12738">
        <v>-80.97</v>
      </c>
      <c r="K12738">
        <v>-15.67</v>
      </c>
      <c r="L12738">
        <v>46556</v>
      </c>
      <c r="M12738" t="s">
        <v>125</v>
      </c>
      <c r="N12738" t="str">
        <f>"5237906421  "</f>
        <v xml:space="preserve">5237906421  </v>
      </c>
      <c r="O12738">
        <v>231107</v>
      </c>
    </row>
    <row r="12739" spans="1:16" x14ac:dyDescent="0.25">
      <c r="A12739" t="s">
        <v>16</v>
      </c>
      <c r="B12739" t="s">
        <v>3221</v>
      </c>
      <c r="C12739">
        <v>398</v>
      </c>
      <c r="D12739" t="s">
        <v>3333</v>
      </c>
      <c r="E12739" t="s">
        <v>3334</v>
      </c>
      <c r="F12739">
        <v>892</v>
      </c>
      <c r="G12739">
        <v>230111</v>
      </c>
      <c r="H12739">
        <v>4410</v>
      </c>
      <c r="I12739" t="s">
        <v>517</v>
      </c>
      <c r="J12739">
        <v>892</v>
      </c>
      <c r="K12739">
        <v>0</v>
      </c>
      <c r="L12739">
        <v>11902</v>
      </c>
      <c r="M12739" t="s">
        <v>1443</v>
      </c>
      <c r="N12739" t="str">
        <f>"4_1_2023    "</f>
        <v xml:space="preserve">4_1_2023    </v>
      </c>
      <c r="O12739">
        <v>230120</v>
      </c>
      <c r="P12739" t="s">
        <v>937</v>
      </c>
    </row>
    <row r="12740" spans="1:16" x14ac:dyDescent="0.25">
      <c r="A12740" t="s">
        <v>16</v>
      </c>
      <c r="B12740" t="s">
        <v>3221</v>
      </c>
      <c r="C12740">
        <v>398</v>
      </c>
      <c r="D12740" t="s">
        <v>3333</v>
      </c>
      <c r="E12740" t="s">
        <v>3334</v>
      </c>
      <c r="F12740">
        <v>140</v>
      </c>
      <c r="G12740">
        <v>230111</v>
      </c>
      <c r="H12740">
        <v>4420</v>
      </c>
      <c r="I12740" t="s">
        <v>132</v>
      </c>
      <c r="J12740">
        <v>140</v>
      </c>
      <c r="K12740">
        <v>0</v>
      </c>
      <c r="L12740">
        <v>11902</v>
      </c>
      <c r="M12740" t="s">
        <v>1443</v>
      </c>
      <c r="N12740" t="str">
        <f>"4_1_2023    "</f>
        <v xml:space="preserve">4_1_2023    </v>
      </c>
      <c r="O12740">
        <v>230120</v>
      </c>
      <c r="P12740" t="s">
        <v>937</v>
      </c>
    </row>
    <row r="12741" spans="1:16" x14ac:dyDescent="0.25">
      <c r="A12741" t="s">
        <v>16</v>
      </c>
      <c r="B12741" t="s">
        <v>3221</v>
      </c>
      <c r="C12741">
        <v>2458</v>
      </c>
      <c r="D12741" t="s">
        <v>3333</v>
      </c>
      <c r="E12741" t="s">
        <v>3334</v>
      </c>
      <c r="F12741">
        <v>140</v>
      </c>
      <c r="G12741">
        <v>230222</v>
      </c>
      <c r="H12741">
        <v>4420</v>
      </c>
      <c r="I12741" t="s">
        <v>132</v>
      </c>
      <c r="J12741">
        <v>140</v>
      </c>
      <c r="K12741">
        <v>0</v>
      </c>
      <c r="L12741">
        <v>11902</v>
      </c>
      <c r="M12741" t="s">
        <v>1443</v>
      </c>
      <c r="N12741" t="str">
        <f>"010223      "</f>
        <v xml:space="preserve">010223      </v>
      </c>
      <c r="O12741">
        <v>230228</v>
      </c>
      <c r="P12741" t="s">
        <v>937</v>
      </c>
    </row>
    <row r="12742" spans="1:16" x14ac:dyDescent="0.25">
      <c r="A12742" t="s">
        <v>16</v>
      </c>
      <c r="B12742" t="s">
        <v>3221</v>
      </c>
      <c r="C12742">
        <v>3872</v>
      </c>
      <c r="D12742" t="s">
        <v>3333</v>
      </c>
      <c r="E12742" t="s">
        <v>3334</v>
      </c>
      <c r="F12742">
        <v>120</v>
      </c>
      <c r="G12742">
        <v>230303</v>
      </c>
      <c r="H12742">
        <v>4420</v>
      </c>
      <c r="I12742" t="s">
        <v>132</v>
      </c>
      <c r="J12742">
        <v>120</v>
      </c>
      <c r="K12742">
        <v>0</v>
      </c>
      <c r="L12742">
        <v>11902</v>
      </c>
      <c r="M12742" t="s">
        <v>1443</v>
      </c>
      <c r="N12742" t="str">
        <f>"210323      "</f>
        <v xml:space="preserve">210323      </v>
      </c>
      <c r="O12742">
        <v>230324</v>
      </c>
      <c r="P12742" t="s">
        <v>937</v>
      </c>
    </row>
    <row r="12743" spans="1:16" x14ac:dyDescent="0.25">
      <c r="A12743" t="s">
        <v>16</v>
      </c>
      <c r="B12743" t="s">
        <v>3221</v>
      </c>
      <c r="C12743">
        <v>3872</v>
      </c>
      <c r="D12743" t="s">
        <v>3333</v>
      </c>
      <c r="E12743" t="s">
        <v>3334</v>
      </c>
      <c r="F12743">
        <v>20</v>
      </c>
      <c r="G12743">
        <v>230303</v>
      </c>
      <c r="H12743">
        <v>4420</v>
      </c>
      <c r="I12743" t="s">
        <v>132</v>
      </c>
      <c r="J12743">
        <v>20</v>
      </c>
      <c r="K12743">
        <v>0</v>
      </c>
      <c r="L12743">
        <v>11902</v>
      </c>
      <c r="M12743" t="s">
        <v>1443</v>
      </c>
      <c r="N12743" t="str">
        <f>"210323      "</f>
        <v xml:space="preserve">210323      </v>
      </c>
      <c r="O12743">
        <v>230324</v>
      </c>
      <c r="P12743" t="s">
        <v>937</v>
      </c>
    </row>
    <row r="12744" spans="1:16" x14ac:dyDescent="0.25">
      <c r="A12744" t="s">
        <v>16</v>
      </c>
      <c r="B12744" t="s">
        <v>3221</v>
      </c>
      <c r="C12744">
        <v>398</v>
      </c>
      <c r="D12744" t="s">
        <v>3333</v>
      </c>
      <c r="E12744" t="s">
        <v>3334</v>
      </c>
      <c r="F12744">
        <v>380</v>
      </c>
      <c r="G12744">
        <v>230111</v>
      </c>
      <c r="H12744">
        <v>4440</v>
      </c>
      <c r="I12744" t="s">
        <v>250</v>
      </c>
      <c r="J12744">
        <v>380</v>
      </c>
      <c r="K12744">
        <v>0</v>
      </c>
      <c r="L12744">
        <v>11902</v>
      </c>
      <c r="M12744" t="s">
        <v>1443</v>
      </c>
      <c r="N12744" t="str">
        <f>"4_1_2023    "</f>
        <v xml:space="preserve">4_1_2023    </v>
      </c>
      <c r="O12744">
        <v>230120</v>
      </c>
      <c r="P12744" t="s">
        <v>937</v>
      </c>
    </row>
    <row r="12745" spans="1:16" x14ac:dyDescent="0.25">
      <c r="A12745" t="s">
        <v>16</v>
      </c>
      <c r="B12745" t="s">
        <v>3221</v>
      </c>
      <c r="C12745">
        <v>2458</v>
      </c>
      <c r="D12745" t="s">
        <v>3333</v>
      </c>
      <c r="E12745" t="s">
        <v>3334</v>
      </c>
      <c r="F12745">
        <v>380</v>
      </c>
      <c r="G12745">
        <v>230222</v>
      </c>
      <c r="H12745">
        <v>4440</v>
      </c>
      <c r="I12745" t="s">
        <v>250</v>
      </c>
      <c r="J12745">
        <v>380</v>
      </c>
      <c r="K12745">
        <v>0</v>
      </c>
      <c r="L12745">
        <v>11902</v>
      </c>
      <c r="M12745" t="s">
        <v>1443</v>
      </c>
      <c r="N12745" t="str">
        <f>"010223      "</f>
        <v xml:space="preserve">010223      </v>
      </c>
      <c r="O12745">
        <v>230228</v>
      </c>
      <c r="P12745" t="s">
        <v>937</v>
      </c>
    </row>
    <row r="12746" spans="1:16" x14ac:dyDescent="0.25">
      <c r="A12746" t="s">
        <v>16</v>
      </c>
      <c r="B12746" t="s">
        <v>3221</v>
      </c>
      <c r="C12746">
        <v>3872</v>
      </c>
      <c r="D12746" t="s">
        <v>3333</v>
      </c>
      <c r="E12746" t="s">
        <v>3334</v>
      </c>
      <c r="F12746">
        <v>260</v>
      </c>
      <c r="G12746">
        <v>230303</v>
      </c>
      <c r="H12746">
        <v>4440</v>
      </c>
      <c r="I12746" t="s">
        <v>250</v>
      </c>
      <c r="J12746">
        <v>260</v>
      </c>
      <c r="K12746">
        <v>0</v>
      </c>
      <c r="L12746">
        <v>11902</v>
      </c>
      <c r="M12746" t="s">
        <v>1443</v>
      </c>
      <c r="N12746" t="str">
        <f>"210323      "</f>
        <v xml:space="preserve">210323      </v>
      </c>
      <c r="O12746">
        <v>230324</v>
      </c>
      <c r="P12746" t="s">
        <v>937</v>
      </c>
    </row>
    <row r="12747" spans="1:16" x14ac:dyDescent="0.25">
      <c r="A12747" t="s">
        <v>16</v>
      </c>
      <c r="B12747" t="s">
        <v>3221</v>
      </c>
      <c r="C12747">
        <v>9559</v>
      </c>
      <c r="D12747" t="s">
        <v>2312</v>
      </c>
      <c r="E12747" t="s">
        <v>2313</v>
      </c>
      <c r="F12747">
        <v>1529.36</v>
      </c>
      <c r="G12747">
        <v>230710</v>
      </c>
      <c r="H12747">
        <v>4580</v>
      </c>
      <c r="I12747" t="s">
        <v>35</v>
      </c>
      <c r="J12747">
        <v>1896.41</v>
      </c>
      <c r="K12747">
        <v>367.05</v>
      </c>
      <c r="L12747">
        <v>11101</v>
      </c>
      <c r="M12747" t="s">
        <v>110</v>
      </c>
      <c r="N12747" t="str">
        <f>"232866      "</f>
        <v xml:space="preserve">232866      </v>
      </c>
      <c r="O12747">
        <v>230717</v>
      </c>
    </row>
    <row r="12748" spans="1:16" x14ac:dyDescent="0.25">
      <c r="A12748" t="s">
        <v>16</v>
      </c>
      <c r="B12748" t="s">
        <v>3221</v>
      </c>
      <c r="C12748">
        <v>10935</v>
      </c>
      <c r="D12748" t="s">
        <v>2312</v>
      </c>
      <c r="E12748" t="s">
        <v>2313</v>
      </c>
      <c r="F12748">
        <v>389.99</v>
      </c>
      <c r="G12748">
        <v>230818</v>
      </c>
      <c r="H12748">
        <v>4580</v>
      </c>
      <c r="I12748" t="s">
        <v>35</v>
      </c>
      <c r="J12748">
        <v>483.59</v>
      </c>
      <c r="K12748">
        <v>93.6</v>
      </c>
      <c r="L12748">
        <v>11801</v>
      </c>
      <c r="M12748" t="s">
        <v>92</v>
      </c>
      <c r="N12748" t="str">
        <f>"233416      "</f>
        <v xml:space="preserve">233416      </v>
      </c>
      <c r="O12748">
        <v>230825</v>
      </c>
    </row>
    <row r="12749" spans="1:16" x14ac:dyDescent="0.25">
      <c r="A12749" t="s">
        <v>16</v>
      </c>
      <c r="B12749" t="s">
        <v>3221</v>
      </c>
      <c r="C12749">
        <v>10935</v>
      </c>
      <c r="D12749" t="s">
        <v>2312</v>
      </c>
      <c r="E12749" t="s">
        <v>2313</v>
      </c>
      <c r="F12749">
        <v>831.46</v>
      </c>
      <c r="G12749">
        <v>230818</v>
      </c>
      <c r="H12749">
        <v>4580</v>
      </c>
      <c r="I12749" t="s">
        <v>35</v>
      </c>
      <c r="J12749">
        <v>1031.01</v>
      </c>
      <c r="K12749">
        <v>199.55</v>
      </c>
      <c r="L12749">
        <v>13801</v>
      </c>
      <c r="M12749" t="s">
        <v>162</v>
      </c>
      <c r="N12749" t="str">
        <f>"233416      "</f>
        <v xml:space="preserve">233416      </v>
      </c>
      <c r="O12749">
        <v>230825</v>
      </c>
    </row>
    <row r="12750" spans="1:16" x14ac:dyDescent="0.25">
      <c r="A12750" t="s">
        <v>16</v>
      </c>
      <c r="B12750" t="s">
        <v>3221</v>
      </c>
      <c r="C12750">
        <v>19161</v>
      </c>
      <c r="D12750" t="s">
        <v>2312</v>
      </c>
      <c r="E12750" t="s">
        <v>2313</v>
      </c>
      <c r="F12750">
        <v>1016.54</v>
      </c>
      <c r="G12750">
        <v>231222</v>
      </c>
      <c r="H12750">
        <v>4580</v>
      </c>
      <c r="I12750" t="s">
        <v>35</v>
      </c>
      <c r="J12750">
        <v>1260.51</v>
      </c>
      <c r="K12750">
        <v>243.97</v>
      </c>
      <c r="L12750">
        <v>11501</v>
      </c>
      <c r="M12750" t="s">
        <v>339</v>
      </c>
      <c r="N12750" t="str">
        <f>"235866      "</f>
        <v xml:space="preserve">235866      </v>
      </c>
      <c r="O12750">
        <v>240111</v>
      </c>
    </row>
    <row r="12751" spans="1:16" x14ac:dyDescent="0.25">
      <c r="A12751" t="s">
        <v>16</v>
      </c>
      <c r="B12751" t="s">
        <v>3221</v>
      </c>
      <c r="C12751">
        <v>19161</v>
      </c>
      <c r="D12751" t="s">
        <v>2312</v>
      </c>
      <c r="E12751" t="s">
        <v>2313</v>
      </c>
      <c r="F12751">
        <v>522.9</v>
      </c>
      <c r="G12751">
        <v>231222</v>
      </c>
      <c r="H12751">
        <v>4580</v>
      </c>
      <c r="I12751" t="s">
        <v>35</v>
      </c>
      <c r="J12751">
        <v>648.39</v>
      </c>
      <c r="K12751">
        <v>125.49</v>
      </c>
      <c r="L12751">
        <v>16431</v>
      </c>
      <c r="M12751" t="s">
        <v>231</v>
      </c>
      <c r="N12751" t="str">
        <f>"235866      "</f>
        <v xml:space="preserve">235866      </v>
      </c>
      <c r="O12751">
        <v>240111</v>
      </c>
    </row>
    <row r="12752" spans="1:16" x14ac:dyDescent="0.25">
      <c r="A12752" t="s">
        <v>16</v>
      </c>
      <c r="B12752" t="s">
        <v>3221</v>
      </c>
      <c r="C12752">
        <v>19161</v>
      </c>
      <c r="D12752" t="s">
        <v>2312</v>
      </c>
      <c r="E12752" t="s">
        <v>2313</v>
      </c>
      <c r="F12752">
        <v>583.66</v>
      </c>
      <c r="G12752">
        <v>231222</v>
      </c>
      <c r="H12752">
        <v>4580</v>
      </c>
      <c r="I12752" t="s">
        <v>35</v>
      </c>
      <c r="J12752">
        <v>723.74</v>
      </c>
      <c r="K12752">
        <v>140.08000000000001</v>
      </c>
      <c r="L12752">
        <v>17951</v>
      </c>
      <c r="M12752" t="s">
        <v>87</v>
      </c>
      <c r="N12752" t="str">
        <f>"235866      "</f>
        <v xml:space="preserve">235866      </v>
      </c>
      <c r="O12752">
        <v>240111</v>
      </c>
    </row>
    <row r="12753" spans="1:15" x14ac:dyDescent="0.25">
      <c r="A12753" t="s">
        <v>16</v>
      </c>
      <c r="B12753" t="s">
        <v>3221</v>
      </c>
      <c r="C12753">
        <v>16365</v>
      </c>
      <c r="D12753" t="s">
        <v>2961</v>
      </c>
      <c r="E12753" t="s">
        <v>2962</v>
      </c>
      <c r="F12753">
        <v>670</v>
      </c>
      <c r="G12753">
        <v>231126</v>
      </c>
      <c r="H12753">
        <v>4470</v>
      </c>
      <c r="I12753" t="s">
        <v>83</v>
      </c>
      <c r="J12753">
        <v>830.8</v>
      </c>
      <c r="K12753">
        <v>160.80000000000001</v>
      </c>
      <c r="L12753">
        <v>17737</v>
      </c>
      <c r="M12753" t="s">
        <v>279</v>
      </c>
      <c r="N12753" t="str">
        <f>"13178       "</f>
        <v xml:space="preserve">13178       </v>
      </c>
      <c r="O12753">
        <v>231128</v>
      </c>
    </row>
    <row r="12754" spans="1:15" x14ac:dyDescent="0.25">
      <c r="A12754" t="s">
        <v>16</v>
      </c>
      <c r="B12754" t="s">
        <v>3221</v>
      </c>
      <c r="C12754">
        <v>7224</v>
      </c>
      <c r="D12754" t="s">
        <v>2079</v>
      </c>
      <c r="E12754" t="s">
        <v>2080</v>
      </c>
      <c r="F12754">
        <v>108.87</v>
      </c>
      <c r="G12754">
        <v>230525</v>
      </c>
      <c r="H12754">
        <v>4860</v>
      </c>
      <c r="I12754" t="s">
        <v>28</v>
      </c>
      <c r="J12754">
        <v>135</v>
      </c>
      <c r="K12754">
        <v>26.13</v>
      </c>
      <c r="L12754">
        <v>17131</v>
      </c>
      <c r="M12754" t="s">
        <v>64</v>
      </c>
      <c r="N12754" t="str">
        <f>"10192       "</f>
        <v xml:space="preserve">10192       </v>
      </c>
      <c r="O12754">
        <v>230526</v>
      </c>
    </row>
    <row r="12755" spans="1:15" x14ac:dyDescent="0.25">
      <c r="A12755" t="s">
        <v>16</v>
      </c>
      <c r="B12755" t="s">
        <v>3221</v>
      </c>
      <c r="C12755">
        <v>763</v>
      </c>
      <c r="D12755" t="s">
        <v>635</v>
      </c>
      <c r="E12755" t="s">
        <v>636</v>
      </c>
      <c r="F12755">
        <v>127.83</v>
      </c>
      <c r="G12755">
        <v>230120</v>
      </c>
      <c r="H12755">
        <v>4600</v>
      </c>
      <c r="I12755" t="s">
        <v>105</v>
      </c>
      <c r="J12755">
        <v>158.51</v>
      </c>
      <c r="K12755">
        <v>30.68</v>
      </c>
      <c r="L12755">
        <v>13821</v>
      </c>
      <c r="M12755" t="s">
        <v>540</v>
      </c>
      <c r="N12755" t="str">
        <f>"02223       "</f>
        <v xml:space="preserve">02223       </v>
      </c>
      <c r="O12755">
        <v>230130</v>
      </c>
    </row>
    <row r="12756" spans="1:15" x14ac:dyDescent="0.25">
      <c r="A12756" t="s">
        <v>16</v>
      </c>
      <c r="B12756" t="s">
        <v>3221</v>
      </c>
      <c r="C12756">
        <v>2055</v>
      </c>
      <c r="D12756" t="s">
        <v>635</v>
      </c>
      <c r="E12756" t="s">
        <v>636</v>
      </c>
      <c r="F12756">
        <v>941.34</v>
      </c>
      <c r="G12756">
        <v>230131</v>
      </c>
      <c r="H12756">
        <v>4600</v>
      </c>
      <c r="I12756" t="s">
        <v>105</v>
      </c>
      <c r="J12756">
        <v>1167.26</v>
      </c>
      <c r="K12756">
        <v>225.92</v>
      </c>
      <c r="L12756">
        <v>13802</v>
      </c>
      <c r="M12756" t="s">
        <v>200</v>
      </c>
      <c r="N12756" t="str">
        <f>"02231       "</f>
        <v xml:space="preserve">02231       </v>
      </c>
      <c r="O12756">
        <v>230220</v>
      </c>
    </row>
    <row r="12757" spans="1:15" x14ac:dyDescent="0.25">
      <c r="A12757" t="s">
        <v>16</v>
      </c>
      <c r="B12757" t="s">
        <v>3221</v>
      </c>
      <c r="C12757">
        <v>6238</v>
      </c>
      <c r="D12757" t="s">
        <v>635</v>
      </c>
      <c r="E12757" t="s">
        <v>636</v>
      </c>
      <c r="F12757">
        <v>18.87</v>
      </c>
      <c r="G12757">
        <v>230505</v>
      </c>
      <c r="H12757">
        <v>4600</v>
      </c>
      <c r="I12757" t="s">
        <v>105</v>
      </c>
      <c r="J12757">
        <v>23.4</v>
      </c>
      <c r="K12757">
        <v>4.53</v>
      </c>
      <c r="L12757">
        <v>13821</v>
      </c>
      <c r="M12757" t="s">
        <v>540</v>
      </c>
      <c r="N12757" t="str">
        <f>"02278       "</f>
        <v xml:space="preserve">02278       </v>
      </c>
      <c r="O12757">
        <v>230509</v>
      </c>
    </row>
    <row r="12758" spans="1:15" x14ac:dyDescent="0.25">
      <c r="A12758" t="s">
        <v>16</v>
      </c>
      <c r="B12758" t="s">
        <v>3221</v>
      </c>
      <c r="C12758">
        <v>11284</v>
      </c>
      <c r="D12758" t="s">
        <v>635</v>
      </c>
      <c r="E12758" t="s">
        <v>636</v>
      </c>
      <c r="F12758">
        <v>65.069999999999993</v>
      </c>
      <c r="G12758">
        <v>230828</v>
      </c>
      <c r="H12758">
        <v>4600</v>
      </c>
      <c r="I12758" t="s">
        <v>105</v>
      </c>
      <c r="J12758">
        <v>80.69</v>
      </c>
      <c r="K12758">
        <v>15.62</v>
      </c>
      <c r="L12758">
        <v>13821</v>
      </c>
      <c r="M12758" t="s">
        <v>540</v>
      </c>
      <c r="N12758" t="str">
        <f>"02308       "</f>
        <v xml:space="preserve">02308       </v>
      </c>
      <c r="O12758">
        <v>230904</v>
      </c>
    </row>
    <row r="12759" spans="1:15" x14ac:dyDescent="0.25">
      <c r="A12759" t="s">
        <v>16</v>
      </c>
      <c r="B12759" t="s">
        <v>3221</v>
      </c>
      <c r="C12759">
        <v>11284</v>
      </c>
      <c r="D12759" t="s">
        <v>635</v>
      </c>
      <c r="E12759" t="s">
        <v>636</v>
      </c>
      <c r="F12759">
        <v>91.7</v>
      </c>
      <c r="G12759">
        <v>230828</v>
      </c>
      <c r="H12759">
        <v>4600</v>
      </c>
      <c r="I12759" t="s">
        <v>105</v>
      </c>
      <c r="J12759">
        <v>113.71</v>
      </c>
      <c r="K12759">
        <v>22.01</v>
      </c>
      <c r="L12759">
        <v>13821</v>
      </c>
      <c r="M12759" t="s">
        <v>540</v>
      </c>
      <c r="N12759" t="str">
        <f>"02308       "</f>
        <v xml:space="preserve">02308       </v>
      </c>
      <c r="O12759">
        <v>230904</v>
      </c>
    </row>
    <row r="12760" spans="1:15" x14ac:dyDescent="0.25">
      <c r="A12760" t="s">
        <v>16</v>
      </c>
      <c r="B12760" t="s">
        <v>3221</v>
      </c>
      <c r="C12760">
        <v>17533</v>
      </c>
      <c r="D12760" t="s">
        <v>635</v>
      </c>
      <c r="E12760" t="s">
        <v>636</v>
      </c>
      <c r="F12760">
        <v>205.57</v>
      </c>
      <c r="G12760">
        <v>231212</v>
      </c>
      <c r="H12760">
        <v>4600</v>
      </c>
      <c r="I12760" t="s">
        <v>105</v>
      </c>
      <c r="J12760">
        <v>254.91</v>
      </c>
      <c r="K12760">
        <v>49.34</v>
      </c>
      <c r="L12760">
        <v>13802</v>
      </c>
      <c r="M12760" t="s">
        <v>200</v>
      </c>
      <c r="N12760" t="str">
        <f>"2359        "</f>
        <v xml:space="preserve">2359        </v>
      </c>
      <c r="O12760">
        <v>231215</v>
      </c>
    </row>
    <row r="12761" spans="1:15" x14ac:dyDescent="0.25">
      <c r="A12761" t="s">
        <v>16</v>
      </c>
      <c r="B12761" t="s">
        <v>3221</v>
      </c>
      <c r="C12761">
        <v>17543</v>
      </c>
      <c r="D12761" t="s">
        <v>635</v>
      </c>
      <c r="E12761" t="s">
        <v>636</v>
      </c>
      <c r="F12761">
        <v>336.92</v>
      </c>
      <c r="G12761">
        <v>231212</v>
      </c>
      <c r="H12761">
        <v>4600</v>
      </c>
      <c r="I12761" t="s">
        <v>105</v>
      </c>
      <c r="J12761">
        <v>417.78</v>
      </c>
      <c r="K12761">
        <v>80.86</v>
      </c>
      <c r="L12761">
        <v>13802</v>
      </c>
      <c r="M12761" t="s">
        <v>200</v>
      </c>
      <c r="N12761" t="str">
        <f>"2358        "</f>
        <v xml:space="preserve">2358        </v>
      </c>
      <c r="O12761">
        <v>231215</v>
      </c>
    </row>
    <row r="12762" spans="1:15" x14ac:dyDescent="0.25">
      <c r="A12762" t="s">
        <v>16</v>
      </c>
      <c r="B12762" t="s">
        <v>3221</v>
      </c>
      <c r="C12762">
        <v>17545</v>
      </c>
      <c r="D12762" t="s">
        <v>635</v>
      </c>
      <c r="E12762" t="s">
        <v>636</v>
      </c>
      <c r="F12762">
        <v>434.48</v>
      </c>
      <c r="G12762">
        <v>231212</v>
      </c>
      <c r="H12762">
        <v>4600</v>
      </c>
      <c r="I12762" t="s">
        <v>105</v>
      </c>
      <c r="J12762">
        <v>538.76</v>
      </c>
      <c r="K12762">
        <v>104.28</v>
      </c>
      <c r="L12762">
        <v>13802</v>
      </c>
      <c r="M12762" t="s">
        <v>200</v>
      </c>
      <c r="N12762" t="str">
        <f>"2360        "</f>
        <v xml:space="preserve">2360        </v>
      </c>
      <c r="O12762">
        <v>231215</v>
      </c>
    </row>
    <row r="12763" spans="1:15" x14ac:dyDescent="0.25">
      <c r="A12763" t="s">
        <v>16</v>
      </c>
      <c r="B12763" t="s">
        <v>3221</v>
      </c>
      <c r="C12763">
        <v>17895</v>
      </c>
      <c r="D12763" t="s">
        <v>635</v>
      </c>
      <c r="E12763" t="s">
        <v>636</v>
      </c>
      <c r="F12763">
        <v>89.57</v>
      </c>
      <c r="G12763">
        <v>231214</v>
      </c>
      <c r="H12763">
        <v>4600</v>
      </c>
      <c r="I12763" t="s">
        <v>105</v>
      </c>
      <c r="J12763">
        <v>111.07</v>
      </c>
      <c r="K12763">
        <v>21.5</v>
      </c>
      <c r="L12763">
        <v>13821</v>
      </c>
      <c r="M12763" t="s">
        <v>540</v>
      </c>
      <c r="N12763" t="str">
        <f>"2365        "</f>
        <v xml:space="preserve">2365        </v>
      </c>
      <c r="O12763">
        <v>231227</v>
      </c>
    </row>
    <row r="12764" spans="1:15" x14ac:dyDescent="0.25">
      <c r="A12764" t="s">
        <v>16</v>
      </c>
      <c r="B12764" t="s">
        <v>3221</v>
      </c>
      <c r="C12764">
        <v>17899</v>
      </c>
      <c r="D12764" t="s">
        <v>635</v>
      </c>
      <c r="E12764" t="s">
        <v>636</v>
      </c>
      <c r="F12764">
        <v>862.37</v>
      </c>
      <c r="G12764">
        <v>231214</v>
      </c>
      <c r="H12764">
        <v>4600</v>
      </c>
      <c r="I12764" t="s">
        <v>105</v>
      </c>
      <c r="J12764">
        <v>1069.3399999999999</v>
      </c>
      <c r="K12764">
        <v>206.97</v>
      </c>
      <c r="L12764">
        <v>13802</v>
      </c>
      <c r="M12764" t="s">
        <v>200</v>
      </c>
      <c r="N12764" t="str">
        <f>"2362        "</f>
        <v xml:space="preserve">2362        </v>
      </c>
      <c r="O12764">
        <v>231227</v>
      </c>
    </row>
    <row r="12765" spans="1:15" x14ac:dyDescent="0.25">
      <c r="A12765" t="s">
        <v>16</v>
      </c>
      <c r="B12765" t="s">
        <v>3221</v>
      </c>
      <c r="C12765">
        <v>606</v>
      </c>
      <c r="D12765" t="s">
        <v>635</v>
      </c>
      <c r="E12765" t="s">
        <v>636</v>
      </c>
      <c r="F12765">
        <v>304.23</v>
      </c>
      <c r="G12765">
        <v>230120</v>
      </c>
      <c r="H12765">
        <v>4500</v>
      </c>
      <c r="I12765" t="s">
        <v>212</v>
      </c>
      <c r="J12765">
        <v>377.24</v>
      </c>
      <c r="K12765">
        <v>73.010000000000005</v>
      </c>
      <c r="L12765">
        <v>13802</v>
      </c>
      <c r="M12765" t="s">
        <v>200</v>
      </c>
      <c r="N12765" t="str">
        <f>"02224       "</f>
        <v xml:space="preserve">02224       </v>
      </c>
      <c r="O12765">
        <v>230125</v>
      </c>
    </row>
    <row r="12766" spans="1:15" x14ac:dyDescent="0.25">
      <c r="A12766" t="s">
        <v>16</v>
      </c>
      <c r="B12766" t="s">
        <v>3221</v>
      </c>
      <c r="C12766">
        <v>935</v>
      </c>
      <c r="D12766" t="s">
        <v>635</v>
      </c>
      <c r="E12766" t="s">
        <v>636</v>
      </c>
      <c r="F12766">
        <v>58.79</v>
      </c>
      <c r="G12766">
        <v>230131</v>
      </c>
      <c r="H12766">
        <v>4500</v>
      </c>
      <c r="I12766" t="s">
        <v>212</v>
      </c>
      <c r="J12766">
        <v>72.900000000000006</v>
      </c>
      <c r="K12766">
        <v>14.11</v>
      </c>
      <c r="L12766">
        <v>13821</v>
      </c>
      <c r="M12766" t="s">
        <v>540</v>
      </c>
      <c r="N12766" t="str">
        <f>"100336      "</f>
        <v xml:space="preserve">100336      </v>
      </c>
      <c r="O12766">
        <v>230201</v>
      </c>
    </row>
    <row r="12767" spans="1:15" x14ac:dyDescent="0.25">
      <c r="A12767" t="s">
        <v>16</v>
      </c>
      <c r="B12767" t="s">
        <v>3221</v>
      </c>
      <c r="C12767">
        <v>1704</v>
      </c>
      <c r="D12767" t="s">
        <v>635</v>
      </c>
      <c r="E12767" t="s">
        <v>636</v>
      </c>
      <c r="F12767">
        <v>29.95</v>
      </c>
      <c r="G12767">
        <v>230131</v>
      </c>
      <c r="H12767">
        <v>4500</v>
      </c>
      <c r="I12767" t="s">
        <v>212</v>
      </c>
      <c r="J12767">
        <v>37.14</v>
      </c>
      <c r="K12767">
        <v>7.19</v>
      </c>
      <c r="L12767">
        <v>13802</v>
      </c>
      <c r="M12767" t="s">
        <v>200</v>
      </c>
      <c r="N12767" t="str">
        <f>"02234       "</f>
        <v xml:space="preserve">02234       </v>
      </c>
      <c r="O12767">
        <v>230213</v>
      </c>
    </row>
    <row r="12768" spans="1:15" x14ac:dyDescent="0.25">
      <c r="A12768" t="s">
        <v>16</v>
      </c>
      <c r="B12768" t="s">
        <v>3221</v>
      </c>
      <c r="C12768">
        <v>6559</v>
      </c>
      <c r="D12768" t="s">
        <v>635</v>
      </c>
      <c r="E12768" t="s">
        <v>636</v>
      </c>
      <c r="F12768">
        <v>284.31</v>
      </c>
      <c r="G12768">
        <v>230505</v>
      </c>
      <c r="H12768">
        <v>4500</v>
      </c>
      <c r="I12768" t="s">
        <v>212</v>
      </c>
      <c r="J12768">
        <v>352.54</v>
      </c>
      <c r="K12768">
        <v>68.23</v>
      </c>
      <c r="L12768">
        <v>13821</v>
      </c>
      <c r="M12768" t="s">
        <v>540</v>
      </c>
      <c r="N12768" t="str">
        <f>"02277       "</f>
        <v xml:space="preserve">02277       </v>
      </c>
      <c r="O12768">
        <v>230515</v>
      </c>
    </row>
    <row r="12769" spans="1:15" x14ac:dyDescent="0.25">
      <c r="A12769" t="s">
        <v>16</v>
      </c>
      <c r="B12769" t="s">
        <v>3221</v>
      </c>
      <c r="C12769">
        <v>6560</v>
      </c>
      <c r="D12769" t="s">
        <v>635</v>
      </c>
      <c r="E12769" t="s">
        <v>636</v>
      </c>
      <c r="F12769">
        <v>345.18</v>
      </c>
      <c r="G12769">
        <v>230505</v>
      </c>
      <c r="H12769">
        <v>4500</v>
      </c>
      <c r="I12769" t="s">
        <v>212</v>
      </c>
      <c r="J12769">
        <v>428.02</v>
      </c>
      <c r="K12769">
        <v>82.84</v>
      </c>
      <c r="L12769">
        <v>13802</v>
      </c>
      <c r="M12769" t="s">
        <v>200</v>
      </c>
      <c r="N12769" t="str">
        <f>"02276       "</f>
        <v xml:space="preserve">02276       </v>
      </c>
      <c r="O12769">
        <v>230515</v>
      </c>
    </row>
    <row r="12770" spans="1:15" x14ac:dyDescent="0.25">
      <c r="A12770" t="s">
        <v>16</v>
      </c>
      <c r="B12770" t="s">
        <v>3221</v>
      </c>
      <c r="C12770">
        <v>6561</v>
      </c>
      <c r="D12770" t="s">
        <v>635</v>
      </c>
      <c r="E12770" t="s">
        <v>636</v>
      </c>
      <c r="F12770">
        <v>100.19</v>
      </c>
      <c r="G12770">
        <v>230505</v>
      </c>
      <c r="H12770">
        <v>4500</v>
      </c>
      <c r="I12770" t="s">
        <v>212</v>
      </c>
      <c r="J12770">
        <v>124.24</v>
      </c>
      <c r="K12770">
        <v>24.05</v>
      </c>
      <c r="L12770">
        <v>13802</v>
      </c>
      <c r="M12770" t="s">
        <v>200</v>
      </c>
      <c r="N12770" t="str">
        <f>"02275       "</f>
        <v xml:space="preserve">02275       </v>
      </c>
      <c r="O12770">
        <v>230515</v>
      </c>
    </row>
    <row r="12771" spans="1:15" x14ac:dyDescent="0.25">
      <c r="A12771" t="s">
        <v>16</v>
      </c>
      <c r="B12771" t="s">
        <v>3221</v>
      </c>
      <c r="C12771">
        <v>12402</v>
      </c>
      <c r="D12771" t="s">
        <v>635</v>
      </c>
      <c r="E12771" t="s">
        <v>636</v>
      </c>
      <c r="F12771">
        <v>427.37</v>
      </c>
      <c r="G12771">
        <v>230904</v>
      </c>
      <c r="H12771">
        <v>4500</v>
      </c>
      <c r="I12771" t="s">
        <v>212</v>
      </c>
      <c r="J12771">
        <v>529.94000000000005</v>
      </c>
      <c r="K12771">
        <v>102.57</v>
      </c>
      <c r="L12771">
        <v>13802</v>
      </c>
      <c r="M12771" t="s">
        <v>200</v>
      </c>
      <c r="N12771" t="str">
        <f>"02315       "</f>
        <v xml:space="preserve">02315       </v>
      </c>
      <c r="O12771">
        <v>230919</v>
      </c>
    </row>
    <row r="12772" spans="1:15" x14ac:dyDescent="0.25">
      <c r="A12772" t="s">
        <v>16</v>
      </c>
      <c r="B12772" t="s">
        <v>3221</v>
      </c>
      <c r="C12772">
        <v>13917</v>
      </c>
      <c r="D12772" t="s">
        <v>635</v>
      </c>
      <c r="E12772" t="s">
        <v>636</v>
      </c>
      <c r="F12772">
        <v>20</v>
      </c>
      <c r="G12772">
        <v>231002</v>
      </c>
      <c r="H12772">
        <v>4500</v>
      </c>
      <c r="I12772" t="s">
        <v>212</v>
      </c>
      <c r="J12772">
        <v>24.8</v>
      </c>
      <c r="K12772">
        <v>4.8</v>
      </c>
      <c r="L12772">
        <v>13801</v>
      </c>
      <c r="M12772" t="s">
        <v>162</v>
      </c>
      <c r="N12772" t="str">
        <f>"02329       "</f>
        <v xml:space="preserve">02329       </v>
      </c>
      <c r="O12772">
        <v>231016</v>
      </c>
    </row>
    <row r="12773" spans="1:15" x14ac:dyDescent="0.25">
      <c r="A12773" t="s">
        <v>16</v>
      </c>
      <c r="B12773" t="s">
        <v>3221</v>
      </c>
      <c r="C12773">
        <v>13917</v>
      </c>
      <c r="D12773" t="s">
        <v>635</v>
      </c>
      <c r="E12773" t="s">
        <v>636</v>
      </c>
      <c r="F12773">
        <v>58.26</v>
      </c>
      <c r="G12773">
        <v>231002</v>
      </c>
      <c r="H12773">
        <v>4500</v>
      </c>
      <c r="I12773" t="s">
        <v>212</v>
      </c>
      <c r="J12773">
        <v>72.239999999999995</v>
      </c>
      <c r="K12773">
        <v>13.98</v>
      </c>
      <c r="L12773">
        <v>13801</v>
      </c>
      <c r="M12773" t="s">
        <v>162</v>
      </c>
      <c r="N12773" t="str">
        <f>"02329       "</f>
        <v xml:space="preserve">02329       </v>
      </c>
      <c r="O12773">
        <v>231016</v>
      </c>
    </row>
    <row r="12774" spans="1:15" x14ac:dyDescent="0.25">
      <c r="A12774" t="s">
        <v>16</v>
      </c>
      <c r="B12774" t="s">
        <v>3221</v>
      </c>
      <c r="C12774">
        <v>13917</v>
      </c>
      <c r="D12774" t="s">
        <v>635</v>
      </c>
      <c r="E12774" t="s">
        <v>636</v>
      </c>
      <c r="F12774">
        <v>104.36</v>
      </c>
      <c r="G12774">
        <v>231002</v>
      </c>
      <c r="H12774">
        <v>4500</v>
      </c>
      <c r="I12774" t="s">
        <v>212</v>
      </c>
      <c r="J12774">
        <v>129.41</v>
      </c>
      <c r="K12774">
        <v>25.05</v>
      </c>
      <c r="L12774">
        <v>13801</v>
      </c>
      <c r="M12774" t="s">
        <v>162</v>
      </c>
      <c r="N12774" t="str">
        <f>"02329       "</f>
        <v xml:space="preserve">02329       </v>
      </c>
      <c r="O12774">
        <v>231016</v>
      </c>
    </row>
    <row r="12775" spans="1:15" x14ac:dyDescent="0.25">
      <c r="A12775" t="s">
        <v>16</v>
      </c>
      <c r="B12775" t="s">
        <v>3221</v>
      </c>
      <c r="C12775">
        <v>13917</v>
      </c>
      <c r="D12775" t="s">
        <v>635</v>
      </c>
      <c r="E12775" t="s">
        <v>636</v>
      </c>
      <c r="F12775">
        <v>120.88</v>
      </c>
      <c r="G12775">
        <v>231002</v>
      </c>
      <c r="H12775">
        <v>4500</v>
      </c>
      <c r="I12775" t="s">
        <v>212</v>
      </c>
      <c r="J12775">
        <v>149.88999999999999</v>
      </c>
      <c r="K12775">
        <v>29.01</v>
      </c>
      <c r="L12775">
        <v>13802</v>
      </c>
      <c r="M12775" t="s">
        <v>200</v>
      </c>
      <c r="N12775" t="str">
        <f>"02329       "</f>
        <v xml:space="preserve">02329       </v>
      </c>
      <c r="O12775">
        <v>231016</v>
      </c>
    </row>
    <row r="12776" spans="1:15" x14ac:dyDescent="0.25">
      <c r="A12776" t="s">
        <v>16</v>
      </c>
      <c r="B12776" t="s">
        <v>3221</v>
      </c>
      <c r="C12776">
        <v>13918</v>
      </c>
      <c r="D12776" t="s">
        <v>635</v>
      </c>
      <c r="E12776" t="s">
        <v>636</v>
      </c>
      <c r="F12776">
        <v>34.840000000000003</v>
      </c>
      <c r="G12776">
        <v>231002</v>
      </c>
      <c r="H12776">
        <v>4500</v>
      </c>
      <c r="I12776" t="s">
        <v>212</v>
      </c>
      <c r="J12776">
        <v>43.2</v>
      </c>
      <c r="K12776">
        <v>8.36</v>
      </c>
      <c r="L12776">
        <v>13821</v>
      </c>
      <c r="M12776" t="s">
        <v>540</v>
      </c>
      <c r="N12776" t="str">
        <f>"2334        "</f>
        <v xml:space="preserve">2334        </v>
      </c>
      <c r="O12776">
        <v>231016</v>
      </c>
    </row>
    <row r="12777" spans="1:15" x14ac:dyDescent="0.25">
      <c r="A12777" t="s">
        <v>16</v>
      </c>
      <c r="B12777" t="s">
        <v>3221</v>
      </c>
      <c r="C12777">
        <v>14743</v>
      </c>
      <c r="D12777" t="s">
        <v>635</v>
      </c>
      <c r="E12777" t="s">
        <v>636</v>
      </c>
      <c r="F12777">
        <v>950.85</v>
      </c>
      <c r="G12777">
        <v>231002</v>
      </c>
      <c r="H12777">
        <v>4500</v>
      </c>
      <c r="I12777" t="s">
        <v>212</v>
      </c>
      <c r="J12777">
        <v>1179.05</v>
      </c>
      <c r="K12777">
        <v>228.2</v>
      </c>
      <c r="L12777">
        <v>13802</v>
      </c>
      <c r="M12777" t="s">
        <v>200</v>
      </c>
      <c r="N12777" t="str">
        <f>"02328       "</f>
        <v xml:space="preserve">02328       </v>
      </c>
      <c r="O12777">
        <v>231102</v>
      </c>
    </row>
    <row r="12778" spans="1:15" x14ac:dyDescent="0.25">
      <c r="A12778" t="s">
        <v>16</v>
      </c>
      <c r="B12778" t="s">
        <v>3221</v>
      </c>
      <c r="C12778">
        <v>361</v>
      </c>
      <c r="D12778" t="s">
        <v>266</v>
      </c>
      <c r="E12778" t="s">
        <v>267</v>
      </c>
      <c r="F12778">
        <v>138.29</v>
      </c>
      <c r="G12778">
        <v>230116</v>
      </c>
      <c r="H12778">
        <v>4580</v>
      </c>
      <c r="I12778" t="s">
        <v>35</v>
      </c>
      <c r="J12778">
        <v>171.48</v>
      </c>
      <c r="K12778">
        <v>33.19</v>
      </c>
      <c r="L12778">
        <v>56559</v>
      </c>
      <c r="M12778" t="s">
        <v>129</v>
      </c>
      <c r="N12778" t="str">
        <f>"171153880   "</f>
        <v xml:space="preserve">171153880   </v>
      </c>
      <c r="O12778">
        <v>230119</v>
      </c>
    </row>
    <row r="12779" spans="1:15" x14ac:dyDescent="0.25">
      <c r="A12779" t="s">
        <v>16</v>
      </c>
      <c r="B12779" t="s">
        <v>3221</v>
      </c>
      <c r="C12779">
        <v>746</v>
      </c>
      <c r="D12779" t="s">
        <v>266</v>
      </c>
      <c r="E12779" t="s">
        <v>267</v>
      </c>
      <c r="F12779">
        <v>22.73</v>
      </c>
      <c r="G12779">
        <v>230126</v>
      </c>
      <c r="H12779">
        <v>4580</v>
      </c>
      <c r="I12779" t="s">
        <v>35</v>
      </c>
      <c r="J12779">
        <v>28.18</v>
      </c>
      <c r="K12779">
        <v>5.45</v>
      </c>
      <c r="L12779">
        <v>56559</v>
      </c>
      <c r="M12779" t="s">
        <v>129</v>
      </c>
      <c r="N12779" t="str">
        <f>"171155818   "</f>
        <v xml:space="preserve">171155818   </v>
      </c>
      <c r="O12779">
        <v>230130</v>
      </c>
    </row>
    <row r="12780" spans="1:15" x14ac:dyDescent="0.25">
      <c r="A12780" t="s">
        <v>16</v>
      </c>
      <c r="B12780" t="s">
        <v>3221</v>
      </c>
      <c r="C12780">
        <v>3355</v>
      </c>
      <c r="D12780" t="s">
        <v>266</v>
      </c>
      <c r="E12780" t="s">
        <v>267</v>
      </c>
      <c r="F12780">
        <v>20.58</v>
      </c>
      <c r="G12780">
        <v>230313</v>
      </c>
      <c r="H12780">
        <v>4580</v>
      </c>
      <c r="I12780" t="s">
        <v>35</v>
      </c>
      <c r="J12780">
        <v>25.52</v>
      </c>
      <c r="K12780">
        <v>4.9400000000000004</v>
      </c>
      <c r="L12780">
        <v>56559</v>
      </c>
      <c r="M12780" t="s">
        <v>129</v>
      </c>
      <c r="N12780" t="str">
        <f>"171165763   "</f>
        <v xml:space="preserve">171165763   </v>
      </c>
      <c r="O12780">
        <v>230315</v>
      </c>
    </row>
    <row r="12781" spans="1:15" x14ac:dyDescent="0.25">
      <c r="A12781" t="s">
        <v>16</v>
      </c>
      <c r="B12781" t="s">
        <v>3221</v>
      </c>
      <c r="C12781">
        <v>3358</v>
      </c>
      <c r="D12781" t="s">
        <v>266</v>
      </c>
      <c r="E12781" t="s">
        <v>267</v>
      </c>
      <c r="F12781">
        <v>114.1</v>
      </c>
      <c r="G12781">
        <v>230313</v>
      </c>
      <c r="H12781">
        <v>4580</v>
      </c>
      <c r="I12781" t="s">
        <v>35</v>
      </c>
      <c r="J12781">
        <v>141.47999999999999</v>
      </c>
      <c r="K12781">
        <v>27.38</v>
      </c>
      <c r="L12781">
        <v>56559</v>
      </c>
      <c r="M12781" t="s">
        <v>129</v>
      </c>
      <c r="N12781" t="str">
        <f>"171166241   "</f>
        <v xml:space="preserve">171166241   </v>
      </c>
      <c r="O12781">
        <v>230315</v>
      </c>
    </row>
    <row r="12782" spans="1:15" x14ac:dyDescent="0.25">
      <c r="A12782" t="s">
        <v>16</v>
      </c>
      <c r="B12782" t="s">
        <v>3221</v>
      </c>
      <c r="C12782">
        <v>5560</v>
      </c>
      <c r="D12782" t="s">
        <v>266</v>
      </c>
      <c r="E12782" t="s">
        <v>267</v>
      </c>
      <c r="F12782">
        <v>139.69999999999999</v>
      </c>
      <c r="G12782">
        <v>230424</v>
      </c>
      <c r="H12782">
        <v>4580</v>
      </c>
      <c r="I12782" t="s">
        <v>35</v>
      </c>
      <c r="J12782">
        <v>173.23</v>
      </c>
      <c r="K12782">
        <v>33.53</v>
      </c>
      <c r="L12782">
        <v>56565</v>
      </c>
      <c r="M12782" t="s">
        <v>758</v>
      </c>
      <c r="N12782" t="str">
        <f>"171175155   "</f>
        <v xml:space="preserve">171175155   </v>
      </c>
      <c r="O12782">
        <v>230426</v>
      </c>
    </row>
    <row r="12783" spans="1:15" x14ac:dyDescent="0.25">
      <c r="A12783" t="s">
        <v>16</v>
      </c>
      <c r="B12783" t="s">
        <v>3221</v>
      </c>
      <c r="C12783">
        <v>7207</v>
      </c>
      <c r="D12783" t="s">
        <v>266</v>
      </c>
      <c r="E12783" t="s">
        <v>267</v>
      </c>
      <c r="F12783">
        <v>226.66</v>
      </c>
      <c r="G12783">
        <v>230522</v>
      </c>
      <c r="H12783">
        <v>4580</v>
      </c>
      <c r="I12783" t="s">
        <v>35</v>
      </c>
      <c r="J12783">
        <v>281.06</v>
      </c>
      <c r="K12783">
        <v>54.4</v>
      </c>
      <c r="L12783">
        <v>56565</v>
      </c>
      <c r="M12783" t="s">
        <v>758</v>
      </c>
      <c r="N12783" t="str">
        <f>"171180863   "</f>
        <v xml:space="preserve">171180863   </v>
      </c>
      <c r="O12783">
        <v>230526</v>
      </c>
    </row>
    <row r="12784" spans="1:15" x14ac:dyDescent="0.25">
      <c r="A12784" t="s">
        <v>16</v>
      </c>
      <c r="B12784" t="s">
        <v>3221</v>
      </c>
      <c r="C12784">
        <v>7975</v>
      </c>
      <c r="D12784" t="s">
        <v>266</v>
      </c>
      <c r="E12784" t="s">
        <v>267</v>
      </c>
      <c r="F12784">
        <v>80.150000000000006</v>
      </c>
      <c r="G12784">
        <v>230531</v>
      </c>
      <c r="H12784">
        <v>4580</v>
      </c>
      <c r="I12784" t="s">
        <v>35</v>
      </c>
      <c r="J12784">
        <v>99.38</v>
      </c>
      <c r="K12784">
        <v>19.23</v>
      </c>
      <c r="L12784">
        <v>56559</v>
      </c>
      <c r="M12784" t="s">
        <v>129</v>
      </c>
      <c r="N12784" t="str">
        <f>"171183227   "</f>
        <v xml:space="preserve">171183227   </v>
      </c>
      <c r="O12784">
        <v>230606</v>
      </c>
    </row>
    <row r="12785" spans="1:15" x14ac:dyDescent="0.25">
      <c r="A12785" t="s">
        <v>16</v>
      </c>
      <c r="B12785" t="s">
        <v>3221</v>
      </c>
      <c r="C12785">
        <v>7976</v>
      </c>
      <c r="D12785" t="s">
        <v>266</v>
      </c>
      <c r="E12785" t="s">
        <v>267</v>
      </c>
      <c r="F12785">
        <v>45.73</v>
      </c>
      <c r="G12785">
        <v>230531</v>
      </c>
      <c r="H12785">
        <v>4580</v>
      </c>
      <c r="I12785" t="s">
        <v>35</v>
      </c>
      <c r="J12785">
        <v>56.7</v>
      </c>
      <c r="K12785">
        <v>10.97</v>
      </c>
      <c r="L12785">
        <v>56559</v>
      </c>
      <c r="M12785" t="s">
        <v>129</v>
      </c>
      <c r="N12785" t="str">
        <f>"171182646   "</f>
        <v xml:space="preserve">171182646   </v>
      </c>
      <c r="O12785">
        <v>230606</v>
      </c>
    </row>
    <row r="12786" spans="1:15" x14ac:dyDescent="0.25">
      <c r="A12786" t="s">
        <v>16</v>
      </c>
      <c r="B12786" t="s">
        <v>3221</v>
      </c>
      <c r="C12786">
        <v>7978</v>
      </c>
      <c r="D12786" t="s">
        <v>266</v>
      </c>
      <c r="E12786" t="s">
        <v>267</v>
      </c>
      <c r="F12786">
        <v>64.45</v>
      </c>
      <c r="G12786">
        <v>230531</v>
      </c>
      <c r="H12786">
        <v>4580</v>
      </c>
      <c r="I12786" t="s">
        <v>35</v>
      </c>
      <c r="J12786">
        <v>79.92</v>
      </c>
      <c r="K12786">
        <v>15.47</v>
      </c>
      <c r="L12786">
        <v>56559</v>
      </c>
      <c r="M12786" t="s">
        <v>129</v>
      </c>
      <c r="N12786" t="str">
        <f>"171182307   "</f>
        <v xml:space="preserve">171182307   </v>
      </c>
      <c r="O12786">
        <v>230606</v>
      </c>
    </row>
    <row r="12787" spans="1:15" x14ac:dyDescent="0.25">
      <c r="A12787" t="s">
        <v>16</v>
      </c>
      <c r="B12787" t="s">
        <v>3221</v>
      </c>
      <c r="C12787">
        <v>10640</v>
      </c>
      <c r="D12787" t="s">
        <v>266</v>
      </c>
      <c r="E12787" t="s">
        <v>267</v>
      </c>
      <c r="F12787">
        <v>80.150000000000006</v>
      </c>
      <c r="G12787">
        <v>230814</v>
      </c>
      <c r="H12787">
        <v>4580</v>
      </c>
      <c r="I12787" t="s">
        <v>35</v>
      </c>
      <c r="J12787">
        <v>99.38</v>
      </c>
      <c r="K12787">
        <v>19.23</v>
      </c>
      <c r="L12787">
        <v>56559</v>
      </c>
      <c r="M12787" t="s">
        <v>129</v>
      </c>
      <c r="N12787" t="str">
        <f>"171197962   "</f>
        <v xml:space="preserve">171197962   </v>
      </c>
      <c r="O12787">
        <v>230821</v>
      </c>
    </row>
    <row r="12788" spans="1:15" x14ac:dyDescent="0.25">
      <c r="A12788" t="s">
        <v>16</v>
      </c>
      <c r="B12788" t="s">
        <v>3221</v>
      </c>
      <c r="C12788">
        <v>11160</v>
      </c>
      <c r="D12788" t="s">
        <v>266</v>
      </c>
      <c r="E12788" t="s">
        <v>267</v>
      </c>
      <c r="F12788">
        <v>868.95</v>
      </c>
      <c r="G12788">
        <v>230828</v>
      </c>
      <c r="H12788">
        <v>4580</v>
      </c>
      <c r="I12788" t="s">
        <v>35</v>
      </c>
      <c r="J12788">
        <v>1077.5</v>
      </c>
      <c r="K12788">
        <v>208.55</v>
      </c>
      <c r="L12788">
        <v>56559</v>
      </c>
      <c r="M12788" t="s">
        <v>129</v>
      </c>
      <c r="N12788" t="str">
        <f>"171200841   "</f>
        <v xml:space="preserve">171200841   </v>
      </c>
      <c r="O12788">
        <v>230830</v>
      </c>
    </row>
    <row r="12789" spans="1:15" x14ac:dyDescent="0.25">
      <c r="A12789" t="s">
        <v>16</v>
      </c>
      <c r="B12789" t="s">
        <v>3221</v>
      </c>
      <c r="C12789">
        <v>14280</v>
      </c>
      <c r="D12789" t="s">
        <v>266</v>
      </c>
      <c r="E12789" t="s">
        <v>267</v>
      </c>
      <c r="F12789">
        <v>84.26</v>
      </c>
      <c r="G12789">
        <v>231016</v>
      </c>
      <c r="H12789">
        <v>4580</v>
      </c>
      <c r="I12789" t="s">
        <v>35</v>
      </c>
      <c r="J12789">
        <v>104.48</v>
      </c>
      <c r="K12789">
        <v>20.22</v>
      </c>
      <c r="L12789">
        <v>56559</v>
      </c>
      <c r="M12789" t="s">
        <v>129</v>
      </c>
      <c r="N12789" t="str">
        <f>"171210986   "</f>
        <v xml:space="preserve">171210986   </v>
      </c>
      <c r="O12789">
        <v>231025</v>
      </c>
    </row>
    <row r="12790" spans="1:15" x14ac:dyDescent="0.25">
      <c r="A12790" t="s">
        <v>16</v>
      </c>
      <c r="B12790" t="s">
        <v>3221</v>
      </c>
      <c r="C12790">
        <v>174</v>
      </c>
      <c r="D12790" t="s">
        <v>266</v>
      </c>
      <c r="E12790" t="s">
        <v>267</v>
      </c>
      <c r="F12790">
        <v>11.85</v>
      </c>
      <c r="G12790">
        <v>230112</v>
      </c>
      <c r="H12790">
        <v>4600</v>
      </c>
      <c r="I12790" t="s">
        <v>105</v>
      </c>
      <c r="J12790">
        <v>14.69</v>
      </c>
      <c r="K12790">
        <v>2.84</v>
      </c>
      <c r="L12790">
        <v>56568</v>
      </c>
      <c r="M12790" t="s">
        <v>268</v>
      </c>
      <c r="N12790" t="str">
        <f>"171153127   "</f>
        <v xml:space="preserve">171153127   </v>
      </c>
      <c r="O12790">
        <v>230116</v>
      </c>
    </row>
    <row r="12791" spans="1:15" x14ac:dyDescent="0.25">
      <c r="A12791" t="s">
        <v>16</v>
      </c>
      <c r="B12791" t="s">
        <v>3221</v>
      </c>
      <c r="C12791">
        <v>175</v>
      </c>
      <c r="D12791" t="s">
        <v>266</v>
      </c>
      <c r="E12791" t="s">
        <v>267</v>
      </c>
      <c r="F12791">
        <v>13.09</v>
      </c>
      <c r="G12791">
        <v>230112</v>
      </c>
      <c r="H12791">
        <v>4600</v>
      </c>
      <c r="I12791" t="s">
        <v>105</v>
      </c>
      <c r="J12791">
        <v>16.23</v>
      </c>
      <c r="K12791">
        <v>3.14</v>
      </c>
      <c r="L12791">
        <v>56568</v>
      </c>
      <c r="M12791" t="s">
        <v>268</v>
      </c>
      <c r="N12791" t="str">
        <f>"171152849   "</f>
        <v xml:space="preserve">171152849   </v>
      </c>
      <c r="O12791">
        <v>230116</v>
      </c>
    </row>
    <row r="12792" spans="1:15" x14ac:dyDescent="0.25">
      <c r="A12792" t="s">
        <v>16</v>
      </c>
      <c r="B12792" t="s">
        <v>3221</v>
      </c>
      <c r="C12792">
        <v>192</v>
      </c>
      <c r="D12792" t="s">
        <v>266</v>
      </c>
      <c r="E12792" t="s">
        <v>267</v>
      </c>
      <c r="F12792">
        <v>24.11</v>
      </c>
      <c r="G12792">
        <v>230112</v>
      </c>
      <c r="H12792">
        <v>4600</v>
      </c>
      <c r="I12792" t="s">
        <v>105</v>
      </c>
      <c r="J12792">
        <v>29.9</v>
      </c>
      <c r="K12792">
        <v>5.79</v>
      </c>
      <c r="L12792">
        <v>56568</v>
      </c>
      <c r="M12792" t="s">
        <v>268</v>
      </c>
      <c r="N12792" t="str">
        <f>"171152850   "</f>
        <v xml:space="preserve">171152850   </v>
      </c>
      <c r="O12792">
        <v>230116</v>
      </c>
    </row>
    <row r="12793" spans="1:15" x14ac:dyDescent="0.25">
      <c r="A12793" t="s">
        <v>16</v>
      </c>
      <c r="B12793" t="s">
        <v>3221</v>
      </c>
      <c r="C12793">
        <v>193</v>
      </c>
      <c r="D12793" t="s">
        <v>266</v>
      </c>
      <c r="E12793" t="s">
        <v>267</v>
      </c>
      <c r="F12793">
        <v>61.98</v>
      </c>
      <c r="G12793">
        <v>230112</v>
      </c>
      <c r="H12793">
        <v>4600</v>
      </c>
      <c r="I12793" t="s">
        <v>105</v>
      </c>
      <c r="J12793">
        <v>76.86</v>
      </c>
      <c r="K12793">
        <v>14.88</v>
      </c>
      <c r="L12793">
        <v>56568</v>
      </c>
      <c r="M12793" t="s">
        <v>268</v>
      </c>
      <c r="N12793" t="str">
        <f>"171152848   "</f>
        <v xml:space="preserve">171152848   </v>
      </c>
      <c r="O12793">
        <v>230116</v>
      </c>
    </row>
    <row r="12794" spans="1:15" x14ac:dyDescent="0.25">
      <c r="A12794" t="s">
        <v>16</v>
      </c>
      <c r="B12794" t="s">
        <v>3221</v>
      </c>
      <c r="C12794">
        <v>357</v>
      </c>
      <c r="D12794" t="s">
        <v>266</v>
      </c>
      <c r="E12794" t="s">
        <v>267</v>
      </c>
      <c r="F12794">
        <v>39.07</v>
      </c>
      <c r="G12794">
        <v>230116</v>
      </c>
      <c r="H12794">
        <v>4600</v>
      </c>
      <c r="I12794" t="s">
        <v>105</v>
      </c>
      <c r="J12794">
        <v>48.45</v>
      </c>
      <c r="K12794">
        <v>9.3800000000000008</v>
      </c>
      <c r="L12794">
        <v>56568</v>
      </c>
      <c r="M12794" t="s">
        <v>268</v>
      </c>
      <c r="N12794" t="str">
        <f>"171153533   "</f>
        <v xml:space="preserve">171153533   </v>
      </c>
      <c r="O12794">
        <v>230119</v>
      </c>
    </row>
    <row r="12795" spans="1:15" x14ac:dyDescent="0.25">
      <c r="A12795" t="s">
        <v>16</v>
      </c>
      <c r="B12795" t="s">
        <v>3221</v>
      </c>
      <c r="C12795">
        <v>358</v>
      </c>
      <c r="D12795" t="s">
        <v>266</v>
      </c>
      <c r="E12795" t="s">
        <v>267</v>
      </c>
      <c r="F12795">
        <v>253.92</v>
      </c>
      <c r="G12795">
        <v>230116</v>
      </c>
      <c r="H12795">
        <v>4600</v>
      </c>
      <c r="I12795" t="s">
        <v>105</v>
      </c>
      <c r="J12795">
        <v>314.86</v>
      </c>
      <c r="K12795">
        <v>60.94</v>
      </c>
      <c r="L12795">
        <v>56568</v>
      </c>
      <c r="M12795" t="s">
        <v>268</v>
      </c>
      <c r="N12795" t="str">
        <f>"171153537   "</f>
        <v xml:space="preserve">171153537   </v>
      </c>
      <c r="O12795">
        <v>230119</v>
      </c>
    </row>
    <row r="12796" spans="1:15" x14ac:dyDescent="0.25">
      <c r="A12796" t="s">
        <v>16</v>
      </c>
      <c r="B12796" t="s">
        <v>3221</v>
      </c>
      <c r="C12796">
        <v>359</v>
      </c>
      <c r="D12796" t="s">
        <v>266</v>
      </c>
      <c r="E12796" t="s">
        <v>267</v>
      </c>
      <c r="F12796">
        <v>16.95</v>
      </c>
      <c r="G12796">
        <v>230116</v>
      </c>
      <c r="H12796">
        <v>4600</v>
      </c>
      <c r="I12796" t="s">
        <v>105</v>
      </c>
      <c r="J12796">
        <v>21.02</v>
      </c>
      <c r="K12796">
        <v>4.07</v>
      </c>
      <c r="L12796">
        <v>56568</v>
      </c>
      <c r="M12796" t="s">
        <v>268</v>
      </c>
      <c r="N12796" t="str">
        <f>"171153535   "</f>
        <v xml:space="preserve">171153535   </v>
      </c>
      <c r="O12796">
        <v>230119</v>
      </c>
    </row>
    <row r="12797" spans="1:15" x14ac:dyDescent="0.25">
      <c r="A12797" t="s">
        <v>16</v>
      </c>
      <c r="B12797" t="s">
        <v>3221</v>
      </c>
      <c r="C12797">
        <v>360</v>
      </c>
      <c r="D12797" t="s">
        <v>266</v>
      </c>
      <c r="E12797" t="s">
        <v>267</v>
      </c>
      <c r="F12797">
        <v>104.26</v>
      </c>
      <c r="G12797">
        <v>230116</v>
      </c>
      <c r="H12797">
        <v>4600</v>
      </c>
      <c r="I12797" t="s">
        <v>105</v>
      </c>
      <c r="J12797">
        <v>129.28</v>
      </c>
      <c r="K12797">
        <v>25.02</v>
      </c>
      <c r="L12797">
        <v>56568</v>
      </c>
      <c r="M12797" t="s">
        <v>268</v>
      </c>
      <c r="N12797" t="str">
        <f>"171153889   "</f>
        <v xml:space="preserve">171153889   </v>
      </c>
      <c r="O12797">
        <v>230119</v>
      </c>
    </row>
    <row r="12798" spans="1:15" x14ac:dyDescent="0.25">
      <c r="A12798" t="s">
        <v>16</v>
      </c>
      <c r="B12798" t="s">
        <v>3221</v>
      </c>
      <c r="C12798">
        <v>362</v>
      </c>
      <c r="D12798" t="s">
        <v>266</v>
      </c>
      <c r="E12798" t="s">
        <v>267</v>
      </c>
      <c r="F12798">
        <v>14.39</v>
      </c>
      <c r="G12798">
        <v>230116</v>
      </c>
      <c r="H12798">
        <v>4600</v>
      </c>
      <c r="I12798" t="s">
        <v>105</v>
      </c>
      <c r="J12798">
        <v>17.84</v>
      </c>
      <c r="K12798">
        <v>3.45</v>
      </c>
      <c r="L12798">
        <v>56568</v>
      </c>
      <c r="M12798" t="s">
        <v>268</v>
      </c>
      <c r="N12798" t="str">
        <f>"171153531   "</f>
        <v xml:space="preserve">171153531   </v>
      </c>
      <c r="O12798">
        <v>230119</v>
      </c>
    </row>
    <row r="12799" spans="1:15" x14ac:dyDescent="0.25">
      <c r="A12799" t="s">
        <v>16</v>
      </c>
      <c r="B12799" t="s">
        <v>3221</v>
      </c>
      <c r="C12799">
        <v>486</v>
      </c>
      <c r="D12799" t="s">
        <v>266</v>
      </c>
      <c r="E12799" t="s">
        <v>267</v>
      </c>
      <c r="F12799">
        <v>-6.14</v>
      </c>
      <c r="G12799">
        <v>230123</v>
      </c>
      <c r="H12799">
        <v>4600</v>
      </c>
      <c r="I12799" t="s">
        <v>105</v>
      </c>
      <c r="J12799">
        <v>-7.61</v>
      </c>
      <c r="K12799">
        <v>-1.47</v>
      </c>
      <c r="L12799">
        <v>56568</v>
      </c>
      <c r="M12799" t="s">
        <v>268</v>
      </c>
      <c r="N12799" t="str">
        <f>"171155624   "</f>
        <v xml:space="preserve">171155624   </v>
      </c>
      <c r="O12799">
        <v>230124</v>
      </c>
    </row>
    <row r="12800" spans="1:15" x14ac:dyDescent="0.25">
      <c r="A12800" t="s">
        <v>16</v>
      </c>
      <c r="B12800" t="s">
        <v>3221</v>
      </c>
      <c r="C12800">
        <v>487</v>
      </c>
      <c r="D12800" t="s">
        <v>266</v>
      </c>
      <c r="E12800" t="s">
        <v>267</v>
      </c>
      <c r="F12800">
        <v>-15.2</v>
      </c>
      <c r="G12800">
        <v>230123</v>
      </c>
      <c r="H12800">
        <v>4600</v>
      </c>
      <c r="I12800" t="s">
        <v>105</v>
      </c>
      <c r="J12800">
        <v>-18.850000000000001</v>
      </c>
      <c r="K12800">
        <v>-3.65</v>
      </c>
      <c r="L12800">
        <v>56568</v>
      </c>
      <c r="M12800" t="s">
        <v>268</v>
      </c>
      <c r="N12800" t="str">
        <f>"171155116   "</f>
        <v xml:space="preserve">171155116   </v>
      </c>
      <c r="O12800">
        <v>230124</v>
      </c>
    </row>
    <row r="12801" spans="1:15" x14ac:dyDescent="0.25">
      <c r="A12801" t="s">
        <v>16</v>
      </c>
      <c r="B12801" t="s">
        <v>3221</v>
      </c>
      <c r="C12801">
        <v>488</v>
      </c>
      <c r="D12801" t="s">
        <v>266</v>
      </c>
      <c r="E12801" t="s">
        <v>267</v>
      </c>
      <c r="F12801">
        <v>-5.17</v>
      </c>
      <c r="G12801">
        <v>230123</v>
      </c>
      <c r="H12801">
        <v>4600</v>
      </c>
      <c r="I12801" t="s">
        <v>105</v>
      </c>
      <c r="J12801">
        <v>-6.41</v>
      </c>
      <c r="K12801">
        <v>-1.24</v>
      </c>
      <c r="L12801">
        <v>56568</v>
      </c>
      <c r="M12801" t="s">
        <v>268</v>
      </c>
      <c r="N12801" t="str">
        <f>"171155118   "</f>
        <v xml:space="preserve">171155118   </v>
      </c>
      <c r="O12801">
        <v>230124</v>
      </c>
    </row>
    <row r="12802" spans="1:15" x14ac:dyDescent="0.25">
      <c r="A12802" t="s">
        <v>16</v>
      </c>
      <c r="B12802" t="s">
        <v>3221</v>
      </c>
      <c r="C12802">
        <v>489</v>
      </c>
      <c r="D12802" t="s">
        <v>266</v>
      </c>
      <c r="E12802" t="s">
        <v>267</v>
      </c>
      <c r="F12802">
        <v>-11.59</v>
      </c>
      <c r="G12802">
        <v>230123</v>
      </c>
      <c r="H12802">
        <v>4600</v>
      </c>
      <c r="I12802" t="s">
        <v>105</v>
      </c>
      <c r="J12802">
        <v>-14.37</v>
      </c>
      <c r="K12802">
        <v>-2.78</v>
      </c>
      <c r="L12802">
        <v>56568</v>
      </c>
      <c r="M12802" t="s">
        <v>268</v>
      </c>
      <c r="N12802" t="str">
        <f>"171155119   "</f>
        <v xml:space="preserve">171155119   </v>
      </c>
      <c r="O12802">
        <v>230124</v>
      </c>
    </row>
    <row r="12803" spans="1:15" x14ac:dyDescent="0.25">
      <c r="A12803" t="s">
        <v>16</v>
      </c>
      <c r="B12803" t="s">
        <v>3221</v>
      </c>
      <c r="C12803">
        <v>490</v>
      </c>
      <c r="D12803" t="s">
        <v>266</v>
      </c>
      <c r="E12803" t="s">
        <v>267</v>
      </c>
      <c r="F12803">
        <v>-7.48</v>
      </c>
      <c r="G12803">
        <v>230123</v>
      </c>
      <c r="H12803">
        <v>4600</v>
      </c>
      <c r="I12803" t="s">
        <v>105</v>
      </c>
      <c r="J12803">
        <v>-9.2799999999999994</v>
      </c>
      <c r="K12803">
        <v>-1.8</v>
      </c>
      <c r="L12803">
        <v>56568</v>
      </c>
      <c r="M12803" t="s">
        <v>268</v>
      </c>
      <c r="N12803" t="str">
        <f>"171155113   "</f>
        <v xml:space="preserve">171155113   </v>
      </c>
      <c r="O12803">
        <v>230124</v>
      </c>
    </row>
    <row r="12804" spans="1:15" x14ac:dyDescent="0.25">
      <c r="A12804" t="s">
        <v>16</v>
      </c>
      <c r="B12804" t="s">
        <v>3221</v>
      </c>
      <c r="C12804">
        <v>491</v>
      </c>
      <c r="D12804" t="s">
        <v>266</v>
      </c>
      <c r="E12804" t="s">
        <v>267</v>
      </c>
      <c r="F12804">
        <v>-18.899999999999999</v>
      </c>
      <c r="G12804">
        <v>230123</v>
      </c>
      <c r="H12804">
        <v>4600</v>
      </c>
      <c r="I12804" t="s">
        <v>105</v>
      </c>
      <c r="J12804">
        <v>-23.44</v>
      </c>
      <c r="K12804">
        <v>-4.54</v>
      </c>
      <c r="L12804">
        <v>56568</v>
      </c>
      <c r="M12804" t="s">
        <v>268</v>
      </c>
      <c r="N12804" t="str">
        <f>"171155115   "</f>
        <v xml:space="preserve">171155115   </v>
      </c>
      <c r="O12804">
        <v>230124</v>
      </c>
    </row>
    <row r="12805" spans="1:15" x14ac:dyDescent="0.25">
      <c r="A12805" t="s">
        <v>16</v>
      </c>
      <c r="B12805" t="s">
        <v>3221</v>
      </c>
      <c r="C12805">
        <v>538</v>
      </c>
      <c r="D12805" t="s">
        <v>266</v>
      </c>
      <c r="E12805" t="s">
        <v>267</v>
      </c>
      <c r="F12805">
        <v>16.5</v>
      </c>
      <c r="G12805">
        <v>230123</v>
      </c>
      <c r="H12805">
        <v>4600</v>
      </c>
      <c r="I12805" t="s">
        <v>105</v>
      </c>
      <c r="J12805">
        <v>20.46</v>
      </c>
      <c r="K12805">
        <v>3.96</v>
      </c>
      <c r="L12805">
        <v>56568</v>
      </c>
      <c r="M12805" t="s">
        <v>268</v>
      </c>
      <c r="N12805" t="str">
        <f>"171155274   "</f>
        <v xml:space="preserve">171155274   </v>
      </c>
      <c r="O12805">
        <v>230124</v>
      </c>
    </row>
    <row r="12806" spans="1:15" x14ac:dyDescent="0.25">
      <c r="A12806" t="s">
        <v>16</v>
      </c>
      <c r="B12806" t="s">
        <v>3221</v>
      </c>
      <c r="C12806">
        <v>540</v>
      </c>
      <c r="D12806" t="s">
        <v>266</v>
      </c>
      <c r="E12806" t="s">
        <v>267</v>
      </c>
      <c r="F12806">
        <v>48.69</v>
      </c>
      <c r="G12806">
        <v>230123</v>
      </c>
      <c r="H12806">
        <v>4600</v>
      </c>
      <c r="I12806" t="s">
        <v>105</v>
      </c>
      <c r="J12806">
        <v>60.37</v>
      </c>
      <c r="K12806">
        <v>11.68</v>
      </c>
      <c r="L12806">
        <v>56568</v>
      </c>
      <c r="M12806" t="s">
        <v>268</v>
      </c>
      <c r="N12806" t="str">
        <f>"171155008   "</f>
        <v xml:space="preserve">171155008   </v>
      </c>
      <c r="O12806">
        <v>230124</v>
      </c>
    </row>
    <row r="12807" spans="1:15" x14ac:dyDescent="0.25">
      <c r="A12807" t="s">
        <v>16</v>
      </c>
      <c r="B12807" t="s">
        <v>3221</v>
      </c>
      <c r="C12807">
        <v>541</v>
      </c>
      <c r="D12807" t="s">
        <v>266</v>
      </c>
      <c r="E12807" t="s">
        <v>267</v>
      </c>
      <c r="F12807">
        <v>43.53</v>
      </c>
      <c r="G12807">
        <v>230123</v>
      </c>
      <c r="H12807">
        <v>4600</v>
      </c>
      <c r="I12807" t="s">
        <v>105</v>
      </c>
      <c r="J12807">
        <v>53.98</v>
      </c>
      <c r="K12807">
        <v>10.45</v>
      </c>
      <c r="L12807">
        <v>56568</v>
      </c>
      <c r="M12807" t="s">
        <v>268</v>
      </c>
      <c r="N12807" t="str">
        <f>"171155279   "</f>
        <v xml:space="preserve">171155279   </v>
      </c>
      <c r="O12807">
        <v>230124</v>
      </c>
    </row>
    <row r="12808" spans="1:15" x14ac:dyDescent="0.25">
      <c r="A12808" t="s">
        <v>16</v>
      </c>
      <c r="B12808" t="s">
        <v>3221</v>
      </c>
      <c r="C12808">
        <v>543</v>
      </c>
      <c r="D12808" t="s">
        <v>266</v>
      </c>
      <c r="E12808" t="s">
        <v>267</v>
      </c>
      <c r="F12808">
        <v>8.14</v>
      </c>
      <c r="G12808">
        <v>230123</v>
      </c>
      <c r="H12808">
        <v>4600</v>
      </c>
      <c r="I12808" t="s">
        <v>105</v>
      </c>
      <c r="J12808">
        <v>10.09</v>
      </c>
      <c r="K12808">
        <v>1.95</v>
      </c>
      <c r="L12808">
        <v>56568</v>
      </c>
      <c r="M12808" t="s">
        <v>268</v>
      </c>
      <c r="N12808" t="str">
        <f>"171155014   "</f>
        <v xml:space="preserve">171155014   </v>
      </c>
      <c r="O12808">
        <v>230124</v>
      </c>
    </row>
    <row r="12809" spans="1:15" x14ac:dyDescent="0.25">
      <c r="A12809" t="s">
        <v>16</v>
      </c>
      <c r="B12809" t="s">
        <v>3221</v>
      </c>
      <c r="C12809">
        <v>544</v>
      </c>
      <c r="D12809" t="s">
        <v>266</v>
      </c>
      <c r="E12809" t="s">
        <v>267</v>
      </c>
      <c r="F12809">
        <v>6.2</v>
      </c>
      <c r="G12809">
        <v>230123</v>
      </c>
      <c r="H12809">
        <v>4600</v>
      </c>
      <c r="I12809" t="s">
        <v>105</v>
      </c>
      <c r="J12809">
        <v>7.69</v>
      </c>
      <c r="K12809">
        <v>1.49</v>
      </c>
      <c r="L12809">
        <v>56568</v>
      </c>
      <c r="M12809" t="s">
        <v>268</v>
      </c>
      <c r="N12809" t="str">
        <f>"171155267   "</f>
        <v xml:space="preserve">171155267   </v>
      </c>
      <c r="O12809">
        <v>230124</v>
      </c>
    </row>
    <row r="12810" spans="1:15" x14ac:dyDescent="0.25">
      <c r="A12810" t="s">
        <v>16</v>
      </c>
      <c r="B12810" t="s">
        <v>3221</v>
      </c>
      <c r="C12810">
        <v>545</v>
      </c>
      <c r="D12810" t="s">
        <v>266</v>
      </c>
      <c r="E12810" t="s">
        <v>267</v>
      </c>
      <c r="F12810">
        <v>71.81</v>
      </c>
      <c r="G12810">
        <v>230123</v>
      </c>
      <c r="H12810">
        <v>4600</v>
      </c>
      <c r="I12810" t="s">
        <v>105</v>
      </c>
      <c r="J12810">
        <v>89.04</v>
      </c>
      <c r="K12810">
        <v>17.23</v>
      </c>
      <c r="L12810">
        <v>56568</v>
      </c>
      <c r="M12810" t="s">
        <v>268</v>
      </c>
      <c r="N12810" t="str">
        <f>"171155529   "</f>
        <v xml:space="preserve">171155529   </v>
      </c>
      <c r="O12810">
        <v>230124</v>
      </c>
    </row>
    <row r="12811" spans="1:15" x14ac:dyDescent="0.25">
      <c r="A12811" t="s">
        <v>16</v>
      </c>
      <c r="B12811" t="s">
        <v>3221</v>
      </c>
      <c r="C12811">
        <v>546</v>
      </c>
      <c r="D12811" t="s">
        <v>266</v>
      </c>
      <c r="E12811" t="s">
        <v>267</v>
      </c>
      <c r="F12811">
        <v>136.41</v>
      </c>
      <c r="G12811">
        <v>230123</v>
      </c>
      <c r="H12811">
        <v>4600</v>
      </c>
      <c r="I12811" t="s">
        <v>105</v>
      </c>
      <c r="J12811">
        <v>169.15</v>
      </c>
      <c r="K12811">
        <v>32.74</v>
      </c>
      <c r="L12811">
        <v>56568</v>
      </c>
      <c r="M12811" t="s">
        <v>268</v>
      </c>
      <c r="N12811" t="str">
        <f>"171155009   "</f>
        <v xml:space="preserve">171155009   </v>
      </c>
      <c r="O12811">
        <v>230124</v>
      </c>
    </row>
    <row r="12812" spans="1:15" x14ac:dyDescent="0.25">
      <c r="A12812" t="s">
        <v>16</v>
      </c>
      <c r="B12812" t="s">
        <v>3221</v>
      </c>
      <c r="C12812">
        <v>547</v>
      </c>
      <c r="D12812" t="s">
        <v>266</v>
      </c>
      <c r="E12812" t="s">
        <v>267</v>
      </c>
      <c r="F12812">
        <v>28.96</v>
      </c>
      <c r="G12812">
        <v>230123</v>
      </c>
      <c r="H12812">
        <v>4600</v>
      </c>
      <c r="I12812" t="s">
        <v>105</v>
      </c>
      <c r="J12812">
        <v>35.909999999999997</v>
      </c>
      <c r="K12812">
        <v>6.95</v>
      </c>
      <c r="L12812">
        <v>56568</v>
      </c>
      <c r="M12812" t="s">
        <v>268</v>
      </c>
      <c r="N12812" t="str">
        <f>"171155268   "</f>
        <v xml:space="preserve">171155268   </v>
      </c>
      <c r="O12812">
        <v>230124</v>
      </c>
    </row>
    <row r="12813" spans="1:15" x14ac:dyDescent="0.25">
      <c r="A12813" t="s">
        <v>16</v>
      </c>
      <c r="B12813" t="s">
        <v>3221</v>
      </c>
      <c r="C12813">
        <v>548</v>
      </c>
      <c r="D12813" t="s">
        <v>266</v>
      </c>
      <c r="E12813" t="s">
        <v>267</v>
      </c>
      <c r="F12813">
        <v>79.56</v>
      </c>
      <c r="G12813">
        <v>230123</v>
      </c>
      <c r="H12813">
        <v>4600</v>
      </c>
      <c r="I12813" t="s">
        <v>105</v>
      </c>
      <c r="J12813">
        <v>98.66</v>
      </c>
      <c r="K12813">
        <v>19.100000000000001</v>
      </c>
      <c r="L12813">
        <v>56568</v>
      </c>
      <c r="M12813" t="s">
        <v>268</v>
      </c>
      <c r="N12813" t="str">
        <f>"171154691   "</f>
        <v xml:space="preserve">171154691   </v>
      </c>
      <c r="O12813">
        <v>230124</v>
      </c>
    </row>
    <row r="12814" spans="1:15" x14ac:dyDescent="0.25">
      <c r="A12814" t="s">
        <v>16</v>
      </c>
      <c r="B12814" t="s">
        <v>3221</v>
      </c>
      <c r="C12814">
        <v>550</v>
      </c>
      <c r="D12814" t="s">
        <v>266</v>
      </c>
      <c r="E12814" t="s">
        <v>267</v>
      </c>
      <c r="F12814">
        <v>606.03</v>
      </c>
      <c r="G12814">
        <v>230123</v>
      </c>
      <c r="H12814">
        <v>4600</v>
      </c>
      <c r="I12814" t="s">
        <v>105</v>
      </c>
      <c r="J12814">
        <v>751.48</v>
      </c>
      <c r="K12814">
        <v>145.44999999999999</v>
      </c>
      <c r="L12814">
        <v>56568</v>
      </c>
      <c r="M12814" t="s">
        <v>268</v>
      </c>
      <c r="N12814" t="str">
        <f>"171155047   "</f>
        <v xml:space="preserve">171155047   </v>
      </c>
      <c r="O12814">
        <v>230124</v>
      </c>
    </row>
    <row r="12815" spans="1:15" x14ac:dyDescent="0.25">
      <c r="A12815" t="s">
        <v>16</v>
      </c>
      <c r="B12815" t="s">
        <v>3221</v>
      </c>
      <c r="C12815">
        <v>744</v>
      </c>
      <c r="D12815" t="s">
        <v>266</v>
      </c>
      <c r="E12815" t="s">
        <v>267</v>
      </c>
      <c r="F12815">
        <v>18.48</v>
      </c>
      <c r="G12815">
        <v>230126</v>
      </c>
      <c r="H12815">
        <v>4600</v>
      </c>
      <c r="I12815" t="s">
        <v>105</v>
      </c>
      <c r="J12815">
        <v>22.91</v>
      </c>
      <c r="K12815">
        <v>4.43</v>
      </c>
      <c r="L12815">
        <v>56568</v>
      </c>
      <c r="M12815" t="s">
        <v>268</v>
      </c>
      <c r="N12815" t="str">
        <f>"171156167   "</f>
        <v xml:space="preserve">171156167   </v>
      </c>
      <c r="O12815">
        <v>230130</v>
      </c>
    </row>
    <row r="12816" spans="1:15" x14ac:dyDescent="0.25">
      <c r="A12816" t="s">
        <v>16</v>
      </c>
      <c r="B12816" t="s">
        <v>3221</v>
      </c>
      <c r="C12816">
        <v>745</v>
      </c>
      <c r="D12816" t="s">
        <v>266</v>
      </c>
      <c r="E12816" t="s">
        <v>267</v>
      </c>
      <c r="F12816">
        <v>93.01</v>
      </c>
      <c r="G12816">
        <v>230126</v>
      </c>
      <c r="H12816">
        <v>4600</v>
      </c>
      <c r="I12816" t="s">
        <v>105</v>
      </c>
      <c r="J12816">
        <v>115.33</v>
      </c>
      <c r="K12816">
        <v>22.32</v>
      </c>
      <c r="L12816">
        <v>56568</v>
      </c>
      <c r="M12816" t="s">
        <v>268</v>
      </c>
      <c r="N12816" t="str">
        <f>"171155815   "</f>
        <v xml:space="preserve">171155815   </v>
      </c>
      <c r="O12816">
        <v>230130</v>
      </c>
    </row>
    <row r="12817" spans="1:15" x14ac:dyDescent="0.25">
      <c r="A12817" t="s">
        <v>16</v>
      </c>
      <c r="B12817" t="s">
        <v>3221</v>
      </c>
      <c r="C12817">
        <v>747</v>
      </c>
      <c r="D12817" t="s">
        <v>266</v>
      </c>
      <c r="E12817" t="s">
        <v>267</v>
      </c>
      <c r="F12817">
        <v>168.26</v>
      </c>
      <c r="G12817">
        <v>230126</v>
      </c>
      <c r="H12817">
        <v>4600</v>
      </c>
      <c r="I12817" t="s">
        <v>105</v>
      </c>
      <c r="J12817">
        <v>208.64</v>
      </c>
      <c r="K12817">
        <v>40.380000000000003</v>
      </c>
      <c r="L12817">
        <v>56568</v>
      </c>
      <c r="M12817" t="s">
        <v>268</v>
      </c>
      <c r="N12817" t="str">
        <f>"171156448   "</f>
        <v xml:space="preserve">171156448   </v>
      </c>
      <c r="O12817">
        <v>230130</v>
      </c>
    </row>
    <row r="12818" spans="1:15" x14ac:dyDescent="0.25">
      <c r="A12818" t="s">
        <v>16</v>
      </c>
      <c r="B12818" t="s">
        <v>3221</v>
      </c>
      <c r="C12818">
        <v>1102</v>
      </c>
      <c r="D12818" t="s">
        <v>266</v>
      </c>
      <c r="E12818" t="s">
        <v>267</v>
      </c>
      <c r="F12818">
        <v>18.05</v>
      </c>
      <c r="G12818">
        <v>230131</v>
      </c>
      <c r="H12818">
        <v>4600</v>
      </c>
      <c r="I12818" t="s">
        <v>105</v>
      </c>
      <c r="J12818">
        <v>22.38</v>
      </c>
      <c r="K12818">
        <v>4.33</v>
      </c>
      <c r="L12818">
        <v>56568</v>
      </c>
      <c r="M12818" t="s">
        <v>268</v>
      </c>
      <c r="N12818" t="str">
        <f>"171157780   "</f>
        <v xml:space="preserve">171157780   </v>
      </c>
      <c r="O12818">
        <v>230203</v>
      </c>
    </row>
    <row r="12819" spans="1:15" x14ac:dyDescent="0.25">
      <c r="A12819" t="s">
        <v>16</v>
      </c>
      <c r="B12819" t="s">
        <v>3221</v>
      </c>
      <c r="C12819">
        <v>1103</v>
      </c>
      <c r="D12819" t="s">
        <v>266</v>
      </c>
      <c r="E12819" t="s">
        <v>267</v>
      </c>
      <c r="F12819">
        <v>-12.28</v>
      </c>
      <c r="G12819">
        <v>230131</v>
      </c>
      <c r="H12819">
        <v>4600</v>
      </c>
      <c r="I12819" t="s">
        <v>105</v>
      </c>
      <c r="J12819">
        <v>-15.23</v>
      </c>
      <c r="K12819">
        <v>-2.95</v>
      </c>
      <c r="L12819">
        <v>56568</v>
      </c>
      <c r="M12819" t="s">
        <v>268</v>
      </c>
      <c r="N12819" t="str">
        <f>"171157145   "</f>
        <v xml:space="preserve">171157145   </v>
      </c>
      <c r="O12819">
        <v>230203</v>
      </c>
    </row>
    <row r="12820" spans="1:15" x14ac:dyDescent="0.25">
      <c r="A12820" t="s">
        <v>16</v>
      </c>
      <c r="B12820" t="s">
        <v>3221</v>
      </c>
      <c r="C12820">
        <v>1104</v>
      </c>
      <c r="D12820" t="s">
        <v>266</v>
      </c>
      <c r="E12820" t="s">
        <v>267</v>
      </c>
      <c r="F12820">
        <v>62.57</v>
      </c>
      <c r="G12820">
        <v>230131</v>
      </c>
      <c r="H12820">
        <v>4600</v>
      </c>
      <c r="I12820" t="s">
        <v>105</v>
      </c>
      <c r="J12820">
        <v>77.59</v>
      </c>
      <c r="K12820">
        <v>15.02</v>
      </c>
      <c r="L12820">
        <v>56568</v>
      </c>
      <c r="M12820" t="s">
        <v>268</v>
      </c>
      <c r="N12820" t="str">
        <f>"171157778   "</f>
        <v xml:space="preserve">171157778   </v>
      </c>
      <c r="O12820">
        <v>230203</v>
      </c>
    </row>
    <row r="12821" spans="1:15" x14ac:dyDescent="0.25">
      <c r="A12821" t="s">
        <v>16</v>
      </c>
      <c r="B12821" t="s">
        <v>3221</v>
      </c>
      <c r="C12821">
        <v>1105</v>
      </c>
      <c r="D12821" t="s">
        <v>266</v>
      </c>
      <c r="E12821" t="s">
        <v>267</v>
      </c>
      <c r="F12821">
        <v>172.8</v>
      </c>
      <c r="G12821">
        <v>230131</v>
      </c>
      <c r="H12821">
        <v>4600</v>
      </c>
      <c r="I12821" t="s">
        <v>105</v>
      </c>
      <c r="J12821">
        <v>214.27</v>
      </c>
      <c r="K12821">
        <v>41.47</v>
      </c>
      <c r="L12821">
        <v>56568</v>
      </c>
      <c r="M12821" t="s">
        <v>268</v>
      </c>
      <c r="N12821" t="str">
        <f>"171156889   "</f>
        <v xml:space="preserve">171156889   </v>
      </c>
      <c r="O12821">
        <v>230203</v>
      </c>
    </row>
    <row r="12822" spans="1:15" x14ac:dyDescent="0.25">
      <c r="A12822" t="s">
        <v>16</v>
      </c>
      <c r="B12822" t="s">
        <v>3221</v>
      </c>
      <c r="C12822">
        <v>1106</v>
      </c>
      <c r="D12822" t="s">
        <v>266</v>
      </c>
      <c r="E12822" t="s">
        <v>267</v>
      </c>
      <c r="F12822">
        <v>41.48</v>
      </c>
      <c r="G12822">
        <v>230131</v>
      </c>
      <c r="H12822">
        <v>4600</v>
      </c>
      <c r="I12822" t="s">
        <v>105</v>
      </c>
      <c r="J12822">
        <v>51.44</v>
      </c>
      <c r="K12822">
        <v>9.9600000000000009</v>
      </c>
      <c r="L12822">
        <v>56568</v>
      </c>
      <c r="M12822" t="s">
        <v>268</v>
      </c>
      <c r="N12822" t="str">
        <f>"171156886   "</f>
        <v xml:space="preserve">171156886   </v>
      </c>
      <c r="O12822">
        <v>230203</v>
      </c>
    </row>
    <row r="12823" spans="1:15" x14ac:dyDescent="0.25">
      <c r="A12823" t="s">
        <v>16</v>
      </c>
      <c r="B12823" t="s">
        <v>3221</v>
      </c>
      <c r="C12823">
        <v>1107</v>
      </c>
      <c r="D12823" t="s">
        <v>266</v>
      </c>
      <c r="E12823" t="s">
        <v>267</v>
      </c>
      <c r="F12823">
        <v>11.32</v>
      </c>
      <c r="G12823">
        <v>230131</v>
      </c>
      <c r="H12823">
        <v>4600</v>
      </c>
      <c r="I12823" t="s">
        <v>105</v>
      </c>
      <c r="J12823">
        <v>14.04</v>
      </c>
      <c r="K12823">
        <v>2.72</v>
      </c>
      <c r="L12823">
        <v>56568</v>
      </c>
      <c r="M12823" t="s">
        <v>268</v>
      </c>
      <c r="N12823" t="str">
        <f>"171156885   "</f>
        <v xml:space="preserve">171156885   </v>
      </c>
      <c r="O12823">
        <v>230203</v>
      </c>
    </row>
    <row r="12824" spans="1:15" x14ac:dyDescent="0.25">
      <c r="A12824" t="s">
        <v>16</v>
      </c>
      <c r="B12824" t="s">
        <v>3221</v>
      </c>
      <c r="C12824">
        <v>1110</v>
      </c>
      <c r="D12824" t="s">
        <v>266</v>
      </c>
      <c r="E12824" t="s">
        <v>267</v>
      </c>
      <c r="F12824">
        <v>84.33</v>
      </c>
      <c r="G12824">
        <v>230131</v>
      </c>
      <c r="H12824">
        <v>4600</v>
      </c>
      <c r="I12824" t="s">
        <v>105</v>
      </c>
      <c r="J12824">
        <v>104.57</v>
      </c>
      <c r="K12824">
        <v>20.239999999999998</v>
      </c>
      <c r="L12824">
        <v>56568</v>
      </c>
      <c r="M12824" t="s">
        <v>268</v>
      </c>
      <c r="N12824" t="str">
        <f>"171157235   "</f>
        <v xml:space="preserve">171157235   </v>
      </c>
      <c r="O12824">
        <v>230203</v>
      </c>
    </row>
    <row r="12825" spans="1:15" x14ac:dyDescent="0.25">
      <c r="A12825" t="s">
        <v>16</v>
      </c>
      <c r="B12825" t="s">
        <v>3221</v>
      </c>
      <c r="C12825">
        <v>1112</v>
      </c>
      <c r="D12825" t="s">
        <v>266</v>
      </c>
      <c r="E12825" t="s">
        <v>267</v>
      </c>
      <c r="F12825">
        <v>24.08</v>
      </c>
      <c r="G12825">
        <v>230131</v>
      </c>
      <c r="H12825">
        <v>4600</v>
      </c>
      <c r="I12825" t="s">
        <v>105</v>
      </c>
      <c r="J12825">
        <v>29.86</v>
      </c>
      <c r="K12825">
        <v>5.78</v>
      </c>
      <c r="L12825">
        <v>56568</v>
      </c>
      <c r="M12825" t="s">
        <v>268</v>
      </c>
      <c r="N12825" t="str">
        <f>"171157779   "</f>
        <v xml:space="preserve">171157779   </v>
      </c>
      <c r="O12825">
        <v>230203</v>
      </c>
    </row>
    <row r="12826" spans="1:15" x14ac:dyDescent="0.25">
      <c r="A12826" t="s">
        <v>16</v>
      </c>
      <c r="B12826" t="s">
        <v>3221</v>
      </c>
      <c r="C12826">
        <v>1118</v>
      </c>
      <c r="D12826" t="s">
        <v>266</v>
      </c>
      <c r="E12826" t="s">
        <v>267</v>
      </c>
      <c r="F12826">
        <v>11.58</v>
      </c>
      <c r="G12826">
        <v>230131</v>
      </c>
      <c r="H12826">
        <v>4600</v>
      </c>
      <c r="I12826" t="s">
        <v>105</v>
      </c>
      <c r="J12826">
        <v>14.36</v>
      </c>
      <c r="K12826">
        <v>2.78</v>
      </c>
      <c r="L12826">
        <v>56568</v>
      </c>
      <c r="M12826" t="s">
        <v>268</v>
      </c>
      <c r="N12826" t="str">
        <f>"171157228   "</f>
        <v xml:space="preserve">171157228   </v>
      </c>
      <c r="O12826">
        <v>230203</v>
      </c>
    </row>
    <row r="12827" spans="1:15" x14ac:dyDescent="0.25">
      <c r="A12827" t="s">
        <v>16</v>
      </c>
      <c r="B12827" t="s">
        <v>3221</v>
      </c>
      <c r="C12827">
        <v>1382</v>
      </c>
      <c r="D12827" t="s">
        <v>266</v>
      </c>
      <c r="E12827" t="s">
        <v>267</v>
      </c>
      <c r="F12827">
        <v>15.43</v>
      </c>
      <c r="G12827">
        <v>230206</v>
      </c>
      <c r="H12827">
        <v>4600</v>
      </c>
      <c r="I12827" t="s">
        <v>105</v>
      </c>
      <c r="J12827">
        <v>19.13</v>
      </c>
      <c r="K12827">
        <v>3.7</v>
      </c>
      <c r="L12827">
        <v>56568</v>
      </c>
      <c r="M12827" t="s">
        <v>268</v>
      </c>
      <c r="N12827" t="str">
        <f>"171158452   "</f>
        <v xml:space="preserve">171158452   </v>
      </c>
      <c r="O12827">
        <v>230208</v>
      </c>
    </row>
    <row r="12828" spans="1:15" x14ac:dyDescent="0.25">
      <c r="A12828" t="s">
        <v>16</v>
      </c>
      <c r="B12828" t="s">
        <v>3221</v>
      </c>
      <c r="C12828">
        <v>1383</v>
      </c>
      <c r="D12828" t="s">
        <v>266</v>
      </c>
      <c r="E12828" t="s">
        <v>267</v>
      </c>
      <c r="F12828">
        <v>105.39</v>
      </c>
      <c r="G12828">
        <v>230206</v>
      </c>
      <c r="H12828">
        <v>4600</v>
      </c>
      <c r="I12828" t="s">
        <v>105</v>
      </c>
      <c r="J12828">
        <v>130.68</v>
      </c>
      <c r="K12828">
        <v>25.29</v>
      </c>
      <c r="L12828">
        <v>56568</v>
      </c>
      <c r="M12828" t="s">
        <v>268</v>
      </c>
      <c r="N12828" t="str">
        <f>"171158096   "</f>
        <v xml:space="preserve">171158096   </v>
      </c>
      <c r="O12828">
        <v>230208</v>
      </c>
    </row>
    <row r="12829" spans="1:15" x14ac:dyDescent="0.25">
      <c r="A12829" t="s">
        <v>16</v>
      </c>
      <c r="B12829" t="s">
        <v>3221</v>
      </c>
      <c r="C12829">
        <v>1385</v>
      </c>
      <c r="D12829" t="s">
        <v>266</v>
      </c>
      <c r="E12829" t="s">
        <v>267</v>
      </c>
      <c r="F12829">
        <v>-8.06</v>
      </c>
      <c r="G12829">
        <v>230206</v>
      </c>
      <c r="H12829">
        <v>4600</v>
      </c>
      <c r="I12829" t="s">
        <v>105</v>
      </c>
      <c r="J12829">
        <v>-10</v>
      </c>
      <c r="K12829">
        <v>-1.94</v>
      </c>
      <c r="L12829">
        <v>56568</v>
      </c>
      <c r="M12829" t="s">
        <v>268</v>
      </c>
      <c r="N12829" t="str">
        <f>"171158824   "</f>
        <v xml:space="preserve">171158824   </v>
      </c>
      <c r="O12829">
        <v>230208</v>
      </c>
    </row>
    <row r="12830" spans="1:15" x14ac:dyDescent="0.25">
      <c r="A12830" t="s">
        <v>16</v>
      </c>
      <c r="B12830" t="s">
        <v>3221</v>
      </c>
      <c r="C12830">
        <v>1386</v>
      </c>
      <c r="D12830" t="s">
        <v>266</v>
      </c>
      <c r="E12830" t="s">
        <v>267</v>
      </c>
      <c r="F12830">
        <v>32.69</v>
      </c>
      <c r="G12830">
        <v>230206</v>
      </c>
      <c r="H12830">
        <v>4600</v>
      </c>
      <c r="I12830" t="s">
        <v>105</v>
      </c>
      <c r="J12830">
        <v>40.53</v>
      </c>
      <c r="K12830">
        <v>7.84</v>
      </c>
      <c r="L12830">
        <v>56568</v>
      </c>
      <c r="M12830" t="s">
        <v>268</v>
      </c>
      <c r="N12830" t="str">
        <f>"171158095   "</f>
        <v xml:space="preserve">171158095   </v>
      </c>
      <c r="O12830">
        <v>230208</v>
      </c>
    </row>
    <row r="12831" spans="1:15" x14ac:dyDescent="0.25">
      <c r="A12831" t="s">
        <v>16</v>
      </c>
      <c r="B12831" t="s">
        <v>3221</v>
      </c>
      <c r="C12831">
        <v>1389</v>
      </c>
      <c r="D12831" t="s">
        <v>266</v>
      </c>
      <c r="E12831" t="s">
        <v>267</v>
      </c>
      <c r="F12831">
        <v>188.44</v>
      </c>
      <c r="G12831">
        <v>230206</v>
      </c>
      <c r="H12831">
        <v>4600</v>
      </c>
      <c r="I12831" t="s">
        <v>105</v>
      </c>
      <c r="J12831">
        <v>233.67</v>
      </c>
      <c r="K12831">
        <v>45.23</v>
      </c>
      <c r="L12831">
        <v>56568</v>
      </c>
      <c r="M12831" t="s">
        <v>268</v>
      </c>
      <c r="N12831" t="str">
        <f>"171158093   "</f>
        <v xml:space="preserve">171158093   </v>
      </c>
      <c r="O12831">
        <v>230208</v>
      </c>
    </row>
    <row r="12832" spans="1:15" x14ac:dyDescent="0.25">
      <c r="A12832" t="s">
        <v>16</v>
      </c>
      <c r="B12832" t="s">
        <v>3221</v>
      </c>
      <c r="C12832">
        <v>1390</v>
      </c>
      <c r="D12832" t="s">
        <v>266</v>
      </c>
      <c r="E12832" t="s">
        <v>267</v>
      </c>
      <c r="F12832">
        <v>50.15</v>
      </c>
      <c r="G12832">
        <v>230206</v>
      </c>
      <c r="H12832">
        <v>4600</v>
      </c>
      <c r="I12832" t="s">
        <v>105</v>
      </c>
      <c r="J12832">
        <v>62.18</v>
      </c>
      <c r="K12832">
        <v>12.03</v>
      </c>
      <c r="L12832">
        <v>56568</v>
      </c>
      <c r="M12832" t="s">
        <v>268</v>
      </c>
      <c r="N12832" t="str">
        <f>"171158752   "</f>
        <v xml:space="preserve">171158752   </v>
      </c>
      <c r="O12832">
        <v>230208</v>
      </c>
    </row>
    <row r="12833" spans="1:15" x14ac:dyDescent="0.25">
      <c r="A12833" t="s">
        <v>16</v>
      </c>
      <c r="B12833" t="s">
        <v>3221</v>
      </c>
      <c r="C12833">
        <v>1392</v>
      </c>
      <c r="D12833" t="s">
        <v>266</v>
      </c>
      <c r="E12833" t="s">
        <v>267</v>
      </c>
      <c r="F12833">
        <v>52.05</v>
      </c>
      <c r="G12833">
        <v>230206</v>
      </c>
      <c r="H12833">
        <v>4600</v>
      </c>
      <c r="I12833" t="s">
        <v>105</v>
      </c>
      <c r="J12833">
        <v>64.540000000000006</v>
      </c>
      <c r="K12833">
        <v>12.49</v>
      </c>
      <c r="L12833">
        <v>56568</v>
      </c>
      <c r="M12833" t="s">
        <v>268</v>
      </c>
      <c r="N12833" t="str">
        <f>"171158751   "</f>
        <v xml:space="preserve">171158751   </v>
      </c>
      <c r="O12833">
        <v>230208</v>
      </c>
    </row>
    <row r="12834" spans="1:15" x14ac:dyDescent="0.25">
      <c r="A12834" t="s">
        <v>16</v>
      </c>
      <c r="B12834" t="s">
        <v>3221</v>
      </c>
      <c r="C12834">
        <v>1941</v>
      </c>
      <c r="D12834" t="s">
        <v>266</v>
      </c>
      <c r="E12834" t="s">
        <v>267</v>
      </c>
      <c r="F12834">
        <v>35.229999999999997</v>
      </c>
      <c r="G12834">
        <v>230213</v>
      </c>
      <c r="H12834">
        <v>4600</v>
      </c>
      <c r="I12834" t="s">
        <v>105</v>
      </c>
      <c r="J12834">
        <v>43.68</v>
      </c>
      <c r="K12834">
        <v>8.4499999999999993</v>
      </c>
      <c r="L12834">
        <v>56568</v>
      </c>
      <c r="M12834" t="s">
        <v>268</v>
      </c>
      <c r="N12834" t="str">
        <f>"171160086   "</f>
        <v xml:space="preserve">171160086   </v>
      </c>
      <c r="O12834">
        <v>230216</v>
      </c>
    </row>
    <row r="12835" spans="1:15" x14ac:dyDescent="0.25">
      <c r="A12835" t="s">
        <v>16</v>
      </c>
      <c r="B12835" t="s">
        <v>3221</v>
      </c>
      <c r="C12835">
        <v>1942</v>
      </c>
      <c r="D12835" t="s">
        <v>266</v>
      </c>
      <c r="E12835" t="s">
        <v>267</v>
      </c>
      <c r="F12835">
        <v>79.12</v>
      </c>
      <c r="G12835">
        <v>230213</v>
      </c>
      <c r="H12835">
        <v>4600</v>
      </c>
      <c r="I12835" t="s">
        <v>105</v>
      </c>
      <c r="J12835">
        <v>98.11</v>
      </c>
      <c r="K12835">
        <v>18.989999999999998</v>
      </c>
      <c r="L12835">
        <v>56568</v>
      </c>
      <c r="M12835" t="s">
        <v>268</v>
      </c>
      <c r="N12835" t="str">
        <f>"171159797   "</f>
        <v xml:space="preserve">171159797   </v>
      </c>
      <c r="O12835">
        <v>230216</v>
      </c>
    </row>
    <row r="12836" spans="1:15" x14ac:dyDescent="0.25">
      <c r="A12836" t="s">
        <v>16</v>
      </c>
      <c r="B12836" t="s">
        <v>3221</v>
      </c>
      <c r="C12836">
        <v>1953</v>
      </c>
      <c r="D12836" t="s">
        <v>266</v>
      </c>
      <c r="E12836" t="s">
        <v>267</v>
      </c>
      <c r="F12836">
        <v>21.23</v>
      </c>
      <c r="G12836">
        <v>230213</v>
      </c>
      <c r="H12836">
        <v>4600</v>
      </c>
      <c r="I12836" t="s">
        <v>105</v>
      </c>
      <c r="J12836">
        <v>26.33</v>
      </c>
      <c r="K12836">
        <v>5.0999999999999996</v>
      </c>
      <c r="L12836">
        <v>56568</v>
      </c>
      <c r="M12836" t="s">
        <v>268</v>
      </c>
      <c r="N12836" t="str">
        <f>"171160370   "</f>
        <v xml:space="preserve">171160370   </v>
      </c>
      <c r="O12836">
        <v>230216</v>
      </c>
    </row>
    <row r="12837" spans="1:15" x14ac:dyDescent="0.25">
      <c r="A12837" t="s">
        <v>16</v>
      </c>
      <c r="B12837" t="s">
        <v>3221</v>
      </c>
      <c r="C12837">
        <v>1954</v>
      </c>
      <c r="D12837" t="s">
        <v>266</v>
      </c>
      <c r="E12837" t="s">
        <v>267</v>
      </c>
      <c r="F12837">
        <v>32.700000000000003</v>
      </c>
      <c r="G12837">
        <v>230213</v>
      </c>
      <c r="H12837">
        <v>4600</v>
      </c>
      <c r="I12837" t="s">
        <v>105</v>
      </c>
      <c r="J12837">
        <v>40.549999999999997</v>
      </c>
      <c r="K12837">
        <v>7.85</v>
      </c>
      <c r="L12837">
        <v>56568</v>
      </c>
      <c r="M12837" t="s">
        <v>268</v>
      </c>
      <c r="N12837" t="str">
        <f>"171160369   "</f>
        <v xml:space="preserve">171160369   </v>
      </c>
      <c r="O12837">
        <v>230216</v>
      </c>
    </row>
    <row r="12838" spans="1:15" x14ac:dyDescent="0.25">
      <c r="A12838" t="s">
        <v>16</v>
      </c>
      <c r="B12838" t="s">
        <v>3221</v>
      </c>
      <c r="C12838">
        <v>1956</v>
      </c>
      <c r="D12838" t="s">
        <v>266</v>
      </c>
      <c r="E12838" t="s">
        <v>267</v>
      </c>
      <c r="F12838">
        <v>60.48</v>
      </c>
      <c r="G12838">
        <v>230213</v>
      </c>
      <c r="H12838">
        <v>4600</v>
      </c>
      <c r="I12838" t="s">
        <v>105</v>
      </c>
      <c r="J12838">
        <v>74.989999999999995</v>
      </c>
      <c r="K12838">
        <v>14.51</v>
      </c>
      <c r="L12838">
        <v>56568</v>
      </c>
      <c r="M12838" t="s">
        <v>268</v>
      </c>
      <c r="N12838" t="str">
        <f>"171160085   "</f>
        <v xml:space="preserve">171160085   </v>
      </c>
      <c r="O12838">
        <v>230216</v>
      </c>
    </row>
    <row r="12839" spans="1:15" x14ac:dyDescent="0.25">
      <c r="A12839" t="s">
        <v>16</v>
      </c>
      <c r="B12839" t="s">
        <v>3221</v>
      </c>
      <c r="C12839">
        <v>1958</v>
      </c>
      <c r="D12839" t="s">
        <v>266</v>
      </c>
      <c r="E12839" t="s">
        <v>267</v>
      </c>
      <c r="F12839">
        <v>39.97</v>
      </c>
      <c r="G12839">
        <v>230213</v>
      </c>
      <c r="H12839">
        <v>4600</v>
      </c>
      <c r="I12839" t="s">
        <v>105</v>
      </c>
      <c r="J12839">
        <v>49.56</v>
      </c>
      <c r="K12839">
        <v>9.59</v>
      </c>
      <c r="L12839">
        <v>56568</v>
      </c>
      <c r="M12839" t="s">
        <v>268</v>
      </c>
      <c r="N12839" t="str">
        <f>"171159801   "</f>
        <v xml:space="preserve">171159801   </v>
      </c>
      <c r="O12839">
        <v>230216</v>
      </c>
    </row>
    <row r="12840" spans="1:15" x14ac:dyDescent="0.25">
      <c r="A12840" t="s">
        <v>16</v>
      </c>
      <c r="B12840" t="s">
        <v>3221</v>
      </c>
      <c r="C12840">
        <v>2170</v>
      </c>
      <c r="D12840" t="s">
        <v>266</v>
      </c>
      <c r="E12840" t="s">
        <v>267</v>
      </c>
      <c r="F12840">
        <v>-64.52</v>
      </c>
      <c r="G12840">
        <v>230220</v>
      </c>
      <c r="H12840">
        <v>4600</v>
      </c>
      <c r="I12840" t="s">
        <v>105</v>
      </c>
      <c r="J12840">
        <v>-80</v>
      </c>
      <c r="K12840">
        <v>-15.48</v>
      </c>
      <c r="L12840">
        <v>56568</v>
      </c>
      <c r="M12840" t="s">
        <v>268</v>
      </c>
      <c r="N12840" t="str">
        <f>"171162029   "</f>
        <v xml:space="preserve">171162029   </v>
      </c>
      <c r="O12840">
        <v>230222</v>
      </c>
    </row>
    <row r="12841" spans="1:15" x14ac:dyDescent="0.25">
      <c r="A12841" t="s">
        <v>16</v>
      </c>
      <c r="B12841" t="s">
        <v>3221</v>
      </c>
      <c r="C12841">
        <v>2206</v>
      </c>
      <c r="D12841" t="s">
        <v>266</v>
      </c>
      <c r="E12841" t="s">
        <v>267</v>
      </c>
      <c r="F12841">
        <v>285.60000000000002</v>
      </c>
      <c r="G12841">
        <v>230220</v>
      </c>
      <c r="H12841">
        <v>4600</v>
      </c>
      <c r="I12841" t="s">
        <v>105</v>
      </c>
      <c r="J12841">
        <v>354.15</v>
      </c>
      <c r="K12841">
        <v>68.55</v>
      </c>
      <c r="L12841">
        <v>56568</v>
      </c>
      <c r="M12841" t="s">
        <v>268</v>
      </c>
      <c r="N12841" t="str">
        <f>"171160689   "</f>
        <v xml:space="preserve">171160689   </v>
      </c>
      <c r="O12841">
        <v>230222</v>
      </c>
    </row>
    <row r="12842" spans="1:15" x14ac:dyDescent="0.25">
      <c r="A12842" t="s">
        <v>16</v>
      </c>
      <c r="B12842" t="s">
        <v>3221</v>
      </c>
      <c r="C12842">
        <v>2207</v>
      </c>
      <c r="D12842" t="s">
        <v>266</v>
      </c>
      <c r="E12842" t="s">
        <v>267</v>
      </c>
      <c r="F12842">
        <v>266.38</v>
      </c>
      <c r="G12842">
        <v>230220</v>
      </c>
      <c r="H12842">
        <v>4600</v>
      </c>
      <c r="I12842" t="s">
        <v>105</v>
      </c>
      <c r="J12842">
        <v>330.31</v>
      </c>
      <c r="K12842">
        <v>63.93</v>
      </c>
      <c r="L12842">
        <v>56568</v>
      </c>
      <c r="M12842" t="s">
        <v>268</v>
      </c>
      <c r="N12842" t="str">
        <f>"171161641   "</f>
        <v xml:space="preserve">171161641   </v>
      </c>
      <c r="O12842">
        <v>230222</v>
      </c>
    </row>
    <row r="12843" spans="1:15" x14ac:dyDescent="0.25">
      <c r="A12843" t="s">
        <v>16</v>
      </c>
      <c r="B12843" t="s">
        <v>3221</v>
      </c>
      <c r="C12843">
        <v>2208</v>
      </c>
      <c r="D12843" t="s">
        <v>266</v>
      </c>
      <c r="E12843" t="s">
        <v>267</v>
      </c>
      <c r="F12843">
        <v>96.67</v>
      </c>
      <c r="G12843">
        <v>230220</v>
      </c>
      <c r="H12843">
        <v>4600</v>
      </c>
      <c r="I12843" t="s">
        <v>105</v>
      </c>
      <c r="J12843">
        <v>119.87</v>
      </c>
      <c r="K12843">
        <v>23.2</v>
      </c>
      <c r="L12843">
        <v>56568</v>
      </c>
      <c r="M12843" t="s">
        <v>268</v>
      </c>
      <c r="N12843" t="str">
        <f>"171160688   "</f>
        <v xml:space="preserve">171160688   </v>
      </c>
      <c r="O12843">
        <v>230222</v>
      </c>
    </row>
    <row r="12844" spans="1:15" x14ac:dyDescent="0.25">
      <c r="A12844" t="s">
        <v>16</v>
      </c>
      <c r="B12844" t="s">
        <v>3221</v>
      </c>
      <c r="C12844">
        <v>2209</v>
      </c>
      <c r="D12844" t="s">
        <v>266</v>
      </c>
      <c r="E12844" t="s">
        <v>267</v>
      </c>
      <c r="F12844">
        <v>71.430000000000007</v>
      </c>
      <c r="G12844">
        <v>230220</v>
      </c>
      <c r="H12844">
        <v>4600</v>
      </c>
      <c r="I12844" t="s">
        <v>105</v>
      </c>
      <c r="J12844">
        <v>88.57</v>
      </c>
      <c r="K12844">
        <v>17.14</v>
      </c>
      <c r="L12844">
        <v>56568</v>
      </c>
      <c r="M12844" t="s">
        <v>268</v>
      </c>
      <c r="N12844" t="str">
        <f>"171161644   "</f>
        <v xml:space="preserve">171161644   </v>
      </c>
      <c r="O12844">
        <v>230222</v>
      </c>
    </row>
    <row r="12845" spans="1:15" x14ac:dyDescent="0.25">
      <c r="A12845" t="s">
        <v>16</v>
      </c>
      <c r="B12845" t="s">
        <v>3221</v>
      </c>
      <c r="C12845">
        <v>2210</v>
      </c>
      <c r="D12845" t="s">
        <v>266</v>
      </c>
      <c r="E12845" t="s">
        <v>267</v>
      </c>
      <c r="F12845">
        <v>147.59</v>
      </c>
      <c r="G12845">
        <v>230220</v>
      </c>
      <c r="H12845">
        <v>4600</v>
      </c>
      <c r="I12845" t="s">
        <v>105</v>
      </c>
      <c r="J12845">
        <v>183.01</v>
      </c>
      <c r="K12845">
        <v>35.42</v>
      </c>
      <c r="L12845">
        <v>56568</v>
      </c>
      <c r="M12845" t="s">
        <v>268</v>
      </c>
      <c r="N12845" t="str">
        <f>"171161643   "</f>
        <v xml:space="preserve">171161643   </v>
      </c>
      <c r="O12845">
        <v>230222</v>
      </c>
    </row>
    <row r="12846" spans="1:15" x14ac:dyDescent="0.25">
      <c r="A12846" t="s">
        <v>16</v>
      </c>
      <c r="B12846" t="s">
        <v>3221</v>
      </c>
      <c r="C12846">
        <v>2211</v>
      </c>
      <c r="D12846" t="s">
        <v>266</v>
      </c>
      <c r="E12846" t="s">
        <v>267</v>
      </c>
      <c r="F12846">
        <v>68.319999999999993</v>
      </c>
      <c r="G12846">
        <v>230220</v>
      </c>
      <c r="H12846">
        <v>4600</v>
      </c>
      <c r="I12846" t="s">
        <v>105</v>
      </c>
      <c r="J12846">
        <v>84.72</v>
      </c>
      <c r="K12846">
        <v>16.399999999999999</v>
      </c>
      <c r="L12846">
        <v>56568</v>
      </c>
      <c r="M12846" t="s">
        <v>268</v>
      </c>
      <c r="N12846" t="str">
        <f>"171161370   "</f>
        <v xml:space="preserve">171161370   </v>
      </c>
      <c r="O12846">
        <v>230222</v>
      </c>
    </row>
    <row r="12847" spans="1:15" x14ac:dyDescent="0.25">
      <c r="A12847" t="s">
        <v>16</v>
      </c>
      <c r="B12847" t="s">
        <v>3221</v>
      </c>
      <c r="C12847">
        <v>2212</v>
      </c>
      <c r="D12847" t="s">
        <v>266</v>
      </c>
      <c r="E12847" t="s">
        <v>267</v>
      </c>
      <c r="F12847">
        <v>220.6</v>
      </c>
      <c r="G12847">
        <v>230220</v>
      </c>
      <c r="H12847">
        <v>4600</v>
      </c>
      <c r="I12847" t="s">
        <v>105</v>
      </c>
      <c r="J12847">
        <v>273.55</v>
      </c>
      <c r="K12847">
        <v>52.95</v>
      </c>
      <c r="L12847">
        <v>56573</v>
      </c>
      <c r="M12847" t="s">
        <v>521</v>
      </c>
      <c r="N12847" t="str">
        <f>"171161642   "</f>
        <v xml:space="preserve">171161642   </v>
      </c>
      <c r="O12847">
        <v>230222</v>
      </c>
    </row>
    <row r="12848" spans="1:15" x14ac:dyDescent="0.25">
      <c r="A12848" t="s">
        <v>16</v>
      </c>
      <c r="B12848" t="s">
        <v>3221</v>
      </c>
      <c r="C12848">
        <v>2213</v>
      </c>
      <c r="D12848" t="s">
        <v>266</v>
      </c>
      <c r="E12848" t="s">
        <v>267</v>
      </c>
      <c r="F12848">
        <v>78.53</v>
      </c>
      <c r="G12848">
        <v>230220</v>
      </c>
      <c r="H12848">
        <v>4600</v>
      </c>
      <c r="I12848" t="s">
        <v>105</v>
      </c>
      <c r="J12848">
        <v>97.38</v>
      </c>
      <c r="K12848">
        <v>18.850000000000001</v>
      </c>
      <c r="L12848">
        <v>56568</v>
      </c>
      <c r="M12848" t="s">
        <v>268</v>
      </c>
      <c r="N12848" t="str">
        <f>"171161640   "</f>
        <v xml:space="preserve">171161640   </v>
      </c>
      <c r="O12848">
        <v>230222</v>
      </c>
    </row>
    <row r="12849" spans="1:15" x14ac:dyDescent="0.25">
      <c r="A12849" t="s">
        <v>16</v>
      </c>
      <c r="B12849" t="s">
        <v>3221</v>
      </c>
      <c r="C12849">
        <v>2214</v>
      </c>
      <c r="D12849" t="s">
        <v>266</v>
      </c>
      <c r="E12849" t="s">
        <v>267</v>
      </c>
      <c r="F12849">
        <v>25.96</v>
      </c>
      <c r="G12849">
        <v>230220</v>
      </c>
      <c r="H12849">
        <v>4600</v>
      </c>
      <c r="I12849" t="s">
        <v>105</v>
      </c>
      <c r="J12849">
        <v>32.19</v>
      </c>
      <c r="K12849">
        <v>6.23</v>
      </c>
      <c r="L12849">
        <v>56568</v>
      </c>
      <c r="M12849" t="s">
        <v>268</v>
      </c>
      <c r="N12849" t="str">
        <f>"171161066   "</f>
        <v xml:space="preserve">171161066   </v>
      </c>
      <c r="O12849">
        <v>230222</v>
      </c>
    </row>
    <row r="12850" spans="1:15" x14ac:dyDescent="0.25">
      <c r="A12850" t="s">
        <v>16</v>
      </c>
      <c r="B12850" t="s">
        <v>3221</v>
      </c>
      <c r="C12850">
        <v>2215</v>
      </c>
      <c r="D12850" t="s">
        <v>266</v>
      </c>
      <c r="E12850" t="s">
        <v>267</v>
      </c>
      <c r="F12850">
        <v>13.42</v>
      </c>
      <c r="G12850">
        <v>230220</v>
      </c>
      <c r="H12850">
        <v>4600</v>
      </c>
      <c r="I12850" t="s">
        <v>105</v>
      </c>
      <c r="J12850">
        <v>16.64</v>
      </c>
      <c r="K12850">
        <v>3.22</v>
      </c>
      <c r="L12850">
        <v>56568</v>
      </c>
      <c r="M12850" t="s">
        <v>268</v>
      </c>
      <c r="N12850" t="str">
        <f>"171161340   "</f>
        <v xml:space="preserve">171161340   </v>
      </c>
      <c r="O12850">
        <v>230222</v>
      </c>
    </row>
    <row r="12851" spans="1:15" x14ac:dyDescent="0.25">
      <c r="A12851" t="s">
        <v>16</v>
      </c>
      <c r="B12851" t="s">
        <v>3221</v>
      </c>
      <c r="C12851">
        <v>2216</v>
      </c>
      <c r="D12851" t="s">
        <v>266</v>
      </c>
      <c r="E12851" t="s">
        <v>267</v>
      </c>
      <c r="F12851">
        <v>56.88</v>
      </c>
      <c r="G12851">
        <v>230220</v>
      </c>
      <c r="H12851">
        <v>4600</v>
      </c>
      <c r="I12851" t="s">
        <v>105</v>
      </c>
      <c r="J12851">
        <v>70.53</v>
      </c>
      <c r="K12851">
        <v>13.65</v>
      </c>
      <c r="L12851">
        <v>56568</v>
      </c>
      <c r="M12851" t="s">
        <v>268</v>
      </c>
      <c r="N12851" t="str">
        <f>"171161342   "</f>
        <v xml:space="preserve">171161342   </v>
      </c>
      <c r="O12851">
        <v>230222</v>
      </c>
    </row>
    <row r="12852" spans="1:15" x14ac:dyDescent="0.25">
      <c r="A12852" t="s">
        <v>16</v>
      </c>
      <c r="B12852" t="s">
        <v>3221</v>
      </c>
      <c r="C12852">
        <v>2217</v>
      </c>
      <c r="D12852" t="s">
        <v>266</v>
      </c>
      <c r="E12852" t="s">
        <v>267</v>
      </c>
      <c r="F12852">
        <v>276</v>
      </c>
      <c r="G12852">
        <v>230220</v>
      </c>
      <c r="H12852">
        <v>4600</v>
      </c>
      <c r="I12852" t="s">
        <v>105</v>
      </c>
      <c r="J12852">
        <v>342.24</v>
      </c>
      <c r="K12852">
        <v>66.239999999999995</v>
      </c>
      <c r="L12852">
        <v>56568</v>
      </c>
      <c r="M12852" t="s">
        <v>268</v>
      </c>
      <c r="N12852" t="str">
        <f>"171161902   "</f>
        <v xml:space="preserve">171161902   </v>
      </c>
      <c r="O12852">
        <v>230222</v>
      </c>
    </row>
    <row r="12853" spans="1:15" x14ac:dyDescent="0.25">
      <c r="A12853" t="s">
        <v>16</v>
      </c>
      <c r="B12853" t="s">
        <v>3221</v>
      </c>
      <c r="C12853">
        <v>2218</v>
      </c>
      <c r="D12853" t="s">
        <v>266</v>
      </c>
      <c r="E12853" t="s">
        <v>267</v>
      </c>
      <c r="F12853">
        <v>253.21</v>
      </c>
      <c r="G12853">
        <v>230220</v>
      </c>
      <c r="H12853">
        <v>4600</v>
      </c>
      <c r="I12853" t="s">
        <v>105</v>
      </c>
      <c r="J12853">
        <v>313.98</v>
      </c>
      <c r="K12853">
        <v>60.77</v>
      </c>
      <c r="L12853">
        <v>56568</v>
      </c>
      <c r="M12853" t="s">
        <v>268</v>
      </c>
      <c r="N12853" t="str">
        <f>"171161363   "</f>
        <v xml:space="preserve">171161363   </v>
      </c>
      <c r="O12853">
        <v>230222</v>
      </c>
    </row>
    <row r="12854" spans="1:15" x14ac:dyDescent="0.25">
      <c r="A12854" t="s">
        <v>16</v>
      </c>
      <c r="B12854" t="s">
        <v>3221</v>
      </c>
      <c r="C12854">
        <v>2639</v>
      </c>
      <c r="D12854" t="s">
        <v>266</v>
      </c>
      <c r="E12854" t="s">
        <v>267</v>
      </c>
      <c r="F12854">
        <v>105.85</v>
      </c>
      <c r="G12854">
        <v>230220</v>
      </c>
      <c r="H12854">
        <v>4600</v>
      </c>
      <c r="I12854" t="s">
        <v>105</v>
      </c>
      <c r="J12854">
        <v>131.25</v>
      </c>
      <c r="K12854">
        <v>25.4</v>
      </c>
      <c r="L12854">
        <v>56568</v>
      </c>
      <c r="M12854" t="s">
        <v>268</v>
      </c>
      <c r="N12854" t="str">
        <f>"171161341   "</f>
        <v xml:space="preserve">171161341   </v>
      </c>
      <c r="O12854">
        <v>230306</v>
      </c>
    </row>
    <row r="12855" spans="1:15" x14ac:dyDescent="0.25">
      <c r="A12855" t="s">
        <v>16</v>
      </c>
      <c r="B12855" t="s">
        <v>3221</v>
      </c>
      <c r="C12855">
        <v>2686</v>
      </c>
      <c r="D12855" t="s">
        <v>266</v>
      </c>
      <c r="E12855" t="s">
        <v>267</v>
      </c>
      <c r="F12855">
        <v>-9.44</v>
      </c>
      <c r="G12855">
        <v>230228</v>
      </c>
      <c r="H12855">
        <v>4600</v>
      </c>
      <c r="I12855" t="s">
        <v>105</v>
      </c>
      <c r="J12855">
        <v>-11.7</v>
      </c>
      <c r="K12855">
        <v>-2.2599999999999998</v>
      </c>
      <c r="L12855">
        <v>56568</v>
      </c>
      <c r="M12855" t="s">
        <v>268</v>
      </c>
      <c r="N12855" t="str">
        <f>"171163478   "</f>
        <v xml:space="preserve">171163478   </v>
      </c>
      <c r="O12855">
        <v>230307</v>
      </c>
    </row>
    <row r="12856" spans="1:15" x14ac:dyDescent="0.25">
      <c r="A12856" t="s">
        <v>16</v>
      </c>
      <c r="B12856" t="s">
        <v>3221</v>
      </c>
      <c r="C12856">
        <v>2687</v>
      </c>
      <c r="D12856" t="s">
        <v>266</v>
      </c>
      <c r="E12856" t="s">
        <v>267</v>
      </c>
      <c r="F12856">
        <v>-18.059999999999999</v>
      </c>
      <c r="G12856">
        <v>230228</v>
      </c>
      <c r="H12856">
        <v>4600</v>
      </c>
      <c r="I12856" t="s">
        <v>105</v>
      </c>
      <c r="J12856">
        <v>-22.39</v>
      </c>
      <c r="K12856">
        <v>-4.33</v>
      </c>
      <c r="L12856">
        <v>56568</v>
      </c>
      <c r="M12856" t="s">
        <v>268</v>
      </c>
      <c r="N12856" t="str">
        <f>"171163485   "</f>
        <v xml:space="preserve">171163485   </v>
      </c>
      <c r="O12856">
        <v>230307</v>
      </c>
    </row>
    <row r="12857" spans="1:15" x14ac:dyDescent="0.25">
      <c r="A12857" t="s">
        <v>16</v>
      </c>
      <c r="B12857" t="s">
        <v>3221</v>
      </c>
      <c r="C12857">
        <v>2688</v>
      </c>
      <c r="D12857" t="s">
        <v>266</v>
      </c>
      <c r="E12857" t="s">
        <v>267</v>
      </c>
      <c r="F12857">
        <v>-27.04</v>
      </c>
      <c r="G12857">
        <v>230228</v>
      </c>
      <c r="H12857">
        <v>4600</v>
      </c>
      <c r="I12857" t="s">
        <v>105</v>
      </c>
      <c r="J12857">
        <v>-33.53</v>
      </c>
      <c r="K12857">
        <v>-6.49</v>
      </c>
      <c r="L12857">
        <v>56568</v>
      </c>
      <c r="M12857" t="s">
        <v>268</v>
      </c>
      <c r="N12857" t="str">
        <f>"171163481   "</f>
        <v xml:space="preserve">171163481   </v>
      </c>
      <c r="O12857">
        <v>230307</v>
      </c>
    </row>
    <row r="12858" spans="1:15" x14ac:dyDescent="0.25">
      <c r="A12858" t="s">
        <v>16</v>
      </c>
      <c r="B12858" t="s">
        <v>3221</v>
      </c>
      <c r="C12858">
        <v>2689</v>
      </c>
      <c r="D12858" t="s">
        <v>266</v>
      </c>
      <c r="E12858" t="s">
        <v>267</v>
      </c>
      <c r="F12858">
        <v>-9.08</v>
      </c>
      <c r="G12858">
        <v>230228</v>
      </c>
      <c r="H12858">
        <v>4600</v>
      </c>
      <c r="I12858" t="s">
        <v>105</v>
      </c>
      <c r="J12858">
        <v>-11.26</v>
      </c>
      <c r="K12858">
        <v>-2.1800000000000002</v>
      </c>
      <c r="L12858">
        <v>56568</v>
      </c>
      <c r="M12858" t="s">
        <v>268</v>
      </c>
      <c r="N12858" t="str">
        <f>"171163063   "</f>
        <v xml:space="preserve">171163063   </v>
      </c>
      <c r="O12858">
        <v>230307</v>
      </c>
    </row>
    <row r="12859" spans="1:15" x14ac:dyDescent="0.25">
      <c r="A12859" t="s">
        <v>16</v>
      </c>
      <c r="B12859" t="s">
        <v>3221</v>
      </c>
      <c r="C12859">
        <v>2701</v>
      </c>
      <c r="D12859" t="s">
        <v>266</v>
      </c>
      <c r="E12859" t="s">
        <v>267</v>
      </c>
      <c r="F12859">
        <v>11.45</v>
      </c>
      <c r="G12859">
        <v>230228</v>
      </c>
      <c r="H12859">
        <v>4600</v>
      </c>
      <c r="I12859" t="s">
        <v>105</v>
      </c>
      <c r="J12859">
        <v>14.2</v>
      </c>
      <c r="K12859">
        <v>2.75</v>
      </c>
      <c r="L12859">
        <v>56568</v>
      </c>
      <c r="M12859" t="s">
        <v>268</v>
      </c>
      <c r="N12859" t="str">
        <f>"171162612   "</f>
        <v xml:space="preserve">171162612   </v>
      </c>
      <c r="O12859">
        <v>230307</v>
      </c>
    </row>
    <row r="12860" spans="1:15" x14ac:dyDescent="0.25">
      <c r="A12860" t="s">
        <v>16</v>
      </c>
      <c r="B12860" t="s">
        <v>3221</v>
      </c>
      <c r="C12860">
        <v>2702</v>
      </c>
      <c r="D12860" t="s">
        <v>266</v>
      </c>
      <c r="E12860" t="s">
        <v>267</v>
      </c>
      <c r="F12860">
        <v>80.2</v>
      </c>
      <c r="G12860">
        <v>230228</v>
      </c>
      <c r="H12860">
        <v>4600</v>
      </c>
      <c r="I12860" t="s">
        <v>105</v>
      </c>
      <c r="J12860">
        <v>99.45</v>
      </c>
      <c r="K12860">
        <v>19.25</v>
      </c>
      <c r="L12860">
        <v>56568</v>
      </c>
      <c r="M12860" t="s">
        <v>268</v>
      </c>
      <c r="N12860" t="str">
        <f>"171162891   "</f>
        <v xml:space="preserve">171162891   </v>
      </c>
      <c r="O12860">
        <v>230307</v>
      </c>
    </row>
    <row r="12861" spans="1:15" x14ac:dyDescent="0.25">
      <c r="A12861" t="s">
        <v>16</v>
      </c>
      <c r="B12861" t="s">
        <v>3221</v>
      </c>
      <c r="C12861">
        <v>2703</v>
      </c>
      <c r="D12861" t="s">
        <v>266</v>
      </c>
      <c r="E12861" t="s">
        <v>267</v>
      </c>
      <c r="F12861">
        <v>20.9</v>
      </c>
      <c r="G12861">
        <v>230228</v>
      </c>
      <c r="H12861">
        <v>4600</v>
      </c>
      <c r="I12861" t="s">
        <v>105</v>
      </c>
      <c r="J12861">
        <v>25.92</v>
      </c>
      <c r="K12861">
        <v>5.0199999999999996</v>
      </c>
      <c r="L12861">
        <v>56568</v>
      </c>
      <c r="M12861" t="s">
        <v>268</v>
      </c>
      <c r="N12861" t="str">
        <f>"171162890   "</f>
        <v xml:space="preserve">171162890   </v>
      </c>
      <c r="O12861">
        <v>230307</v>
      </c>
    </row>
    <row r="12862" spans="1:15" x14ac:dyDescent="0.25">
      <c r="A12862" t="s">
        <v>16</v>
      </c>
      <c r="B12862" t="s">
        <v>3221</v>
      </c>
      <c r="C12862">
        <v>2706</v>
      </c>
      <c r="D12862" t="s">
        <v>266</v>
      </c>
      <c r="E12862" t="s">
        <v>267</v>
      </c>
      <c r="F12862">
        <v>53.33</v>
      </c>
      <c r="G12862">
        <v>230228</v>
      </c>
      <c r="H12862">
        <v>4600</v>
      </c>
      <c r="I12862" t="s">
        <v>105</v>
      </c>
      <c r="J12862">
        <v>66.13</v>
      </c>
      <c r="K12862">
        <v>12.8</v>
      </c>
      <c r="L12862">
        <v>56568</v>
      </c>
      <c r="M12862" t="s">
        <v>268</v>
      </c>
      <c r="N12862" t="str">
        <f>"171162266   "</f>
        <v xml:space="preserve">171162266   </v>
      </c>
      <c r="O12862">
        <v>230307</v>
      </c>
    </row>
    <row r="12863" spans="1:15" x14ac:dyDescent="0.25">
      <c r="A12863" t="s">
        <v>16</v>
      </c>
      <c r="B12863" t="s">
        <v>3221</v>
      </c>
      <c r="C12863">
        <v>2708</v>
      </c>
      <c r="D12863" t="s">
        <v>266</v>
      </c>
      <c r="E12863" t="s">
        <v>267</v>
      </c>
      <c r="F12863">
        <v>81.739999999999995</v>
      </c>
      <c r="G12863">
        <v>230228</v>
      </c>
      <c r="H12863">
        <v>4600</v>
      </c>
      <c r="I12863" t="s">
        <v>105</v>
      </c>
      <c r="J12863">
        <v>101.36</v>
      </c>
      <c r="K12863">
        <v>19.62</v>
      </c>
      <c r="L12863">
        <v>56568</v>
      </c>
      <c r="M12863" t="s">
        <v>268</v>
      </c>
      <c r="N12863" t="str">
        <f>"171163408   "</f>
        <v xml:space="preserve">171163408   </v>
      </c>
      <c r="O12863">
        <v>230307</v>
      </c>
    </row>
    <row r="12864" spans="1:15" x14ac:dyDescent="0.25">
      <c r="A12864" t="s">
        <v>16</v>
      </c>
      <c r="B12864" t="s">
        <v>3221</v>
      </c>
      <c r="C12864">
        <v>2718</v>
      </c>
      <c r="D12864" t="s">
        <v>266</v>
      </c>
      <c r="E12864" t="s">
        <v>267</v>
      </c>
      <c r="F12864">
        <v>50.93</v>
      </c>
      <c r="G12864">
        <v>230228</v>
      </c>
      <c r="H12864">
        <v>4600</v>
      </c>
      <c r="I12864" t="s">
        <v>105</v>
      </c>
      <c r="J12864">
        <v>63.15</v>
      </c>
      <c r="K12864">
        <v>12.22</v>
      </c>
      <c r="L12864">
        <v>56568</v>
      </c>
      <c r="M12864" t="s">
        <v>268</v>
      </c>
      <c r="N12864" t="str">
        <f>"171162618   "</f>
        <v xml:space="preserve">171162618   </v>
      </c>
      <c r="O12864">
        <v>230307</v>
      </c>
    </row>
    <row r="12865" spans="1:15" x14ac:dyDescent="0.25">
      <c r="A12865" t="s">
        <v>16</v>
      </c>
      <c r="B12865" t="s">
        <v>3221</v>
      </c>
      <c r="C12865">
        <v>2719</v>
      </c>
      <c r="D12865" t="s">
        <v>266</v>
      </c>
      <c r="E12865" t="s">
        <v>267</v>
      </c>
      <c r="F12865">
        <v>41.07</v>
      </c>
      <c r="G12865">
        <v>230228</v>
      </c>
      <c r="H12865">
        <v>4600</v>
      </c>
      <c r="I12865" t="s">
        <v>105</v>
      </c>
      <c r="J12865">
        <v>50.93</v>
      </c>
      <c r="K12865">
        <v>9.86</v>
      </c>
      <c r="L12865">
        <v>56568</v>
      </c>
      <c r="M12865" t="s">
        <v>268</v>
      </c>
      <c r="N12865" t="str">
        <f>"171163407   "</f>
        <v xml:space="preserve">171163407   </v>
      </c>
      <c r="O12865">
        <v>230307</v>
      </c>
    </row>
    <row r="12866" spans="1:15" x14ac:dyDescent="0.25">
      <c r="A12866" t="s">
        <v>16</v>
      </c>
      <c r="B12866" t="s">
        <v>3221</v>
      </c>
      <c r="C12866">
        <v>2720</v>
      </c>
      <c r="D12866" t="s">
        <v>266</v>
      </c>
      <c r="E12866" t="s">
        <v>267</v>
      </c>
      <c r="F12866">
        <v>86.7</v>
      </c>
      <c r="G12866">
        <v>230228</v>
      </c>
      <c r="H12866">
        <v>4600</v>
      </c>
      <c r="I12866" t="s">
        <v>105</v>
      </c>
      <c r="J12866">
        <v>107.51</v>
      </c>
      <c r="K12866">
        <v>20.81</v>
      </c>
      <c r="L12866">
        <v>56568</v>
      </c>
      <c r="M12866" t="s">
        <v>268</v>
      </c>
      <c r="N12866" t="str">
        <f>"171162888   "</f>
        <v xml:space="preserve">171162888   </v>
      </c>
      <c r="O12866">
        <v>230307</v>
      </c>
    </row>
    <row r="12867" spans="1:15" x14ac:dyDescent="0.25">
      <c r="A12867" t="s">
        <v>16</v>
      </c>
      <c r="B12867" t="s">
        <v>3221</v>
      </c>
      <c r="C12867">
        <v>2721</v>
      </c>
      <c r="D12867" t="s">
        <v>266</v>
      </c>
      <c r="E12867" t="s">
        <v>267</v>
      </c>
      <c r="F12867">
        <v>38.94</v>
      </c>
      <c r="G12867">
        <v>230228</v>
      </c>
      <c r="H12867">
        <v>4600</v>
      </c>
      <c r="I12867" t="s">
        <v>105</v>
      </c>
      <c r="J12867">
        <v>48.28</v>
      </c>
      <c r="K12867">
        <v>9.34</v>
      </c>
      <c r="L12867">
        <v>56568</v>
      </c>
      <c r="M12867" t="s">
        <v>268</v>
      </c>
      <c r="N12867" t="str">
        <f>"171162617   "</f>
        <v xml:space="preserve">171162617   </v>
      </c>
      <c r="O12867">
        <v>230307</v>
      </c>
    </row>
    <row r="12868" spans="1:15" x14ac:dyDescent="0.25">
      <c r="A12868" t="s">
        <v>16</v>
      </c>
      <c r="B12868" t="s">
        <v>3221</v>
      </c>
      <c r="C12868">
        <v>2722</v>
      </c>
      <c r="D12868" t="s">
        <v>266</v>
      </c>
      <c r="E12868" t="s">
        <v>267</v>
      </c>
      <c r="F12868">
        <v>48.02</v>
      </c>
      <c r="G12868">
        <v>230228</v>
      </c>
      <c r="H12868">
        <v>4600</v>
      </c>
      <c r="I12868" t="s">
        <v>105</v>
      </c>
      <c r="J12868">
        <v>59.54</v>
      </c>
      <c r="K12868">
        <v>11.52</v>
      </c>
      <c r="L12868">
        <v>56568</v>
      </c>
      <c r="M12868" t="s">
        <v>268</v>
      </c>
      <c r="N12868" t="str">
        <f>"171162889   "</f>
        <v xml:space="preserve">171162889   </v>
      </c>
      <c r="O12868">
        <v>230307</v>
      </c>
    </row>
    <row r="12869" spans="1:15" x14ac:dyDescent="0.25">
      <c r="A12869" t="s">
        <v>16</v>
      </c>
      <c r="B12869" t="s">
        <v>3221</v>
      </c>
      <c r="C12869">
        <v>2723</v>
      </c>
      <c r="D12869" t="s">
        <v>266</v>
      </c>
      <c r="E12869" t="s">
        <v>267</v>
      </c>
      <c r="F12869">
        <v>22.22</v>
      </c>
      <c r="G12869">
        <v>230228</v>
      </c>
      <c r="H12869">
        <v>4600</v>
      </c>
      <c r="I12869" t="s">
        <v>105</v>
      </c>
      <c r="J12869">
        <v>27.55</v>
      </c>
      <c r="K12869">
        <v>5.33</v>
      </c>
      <c r="L12869">
        <v>56568</v>
      </c>
      <c r="M12869" t="s">
        <v>268</v>
      </c>
      <c r="N12869" t="str">
        <f>"171162893   "</f>
        <v xml:space="preserve">171162893   </v>
      </c>
      <c r="O12869">
        <v>230307</v>
      </c>
    </row>
    <row r="12870" spans="1:15" x14ac:dyDescent="0.25">
      <c r="A12870" t="s">
        <v>16</v>
      </c>
      <c r="B12870" t="s">
        <v>3221</v>
      </c>
      <c r="C12870">
        <v>2724</v>
      </c>
      <c r="D12870" t="s">
        <v>266</v>
      </c>
      <c r="E12870" t="s">
        <v>267</v>
      </c>
      <c r="F12870">
        <v>18.11</v>
      </c>
      <c r="G12870">
        <v>230228</v>
      </c>
      <c r="H12870">
        <v>4600</v>
      </c>
      <c r="I12870" t="s">
        <v>105</v>
      </c>
      <c r="J12870">
        <v>22.46</v>
      </c>
      <c r="K12870">
        <v>4.3499999999999996</v>
      </c>
      <c r="L12870">
        <v>56568</v>
      </c>
      <c r="M12870" t="s">
        <v>268</v>
      </c>
      <c r="N12870" t="str">
        <f>"171162619   "</f>
        <v xml:space="preserve">171162619   </v>
      </c>
      <c r="O12870">
        <v>230307</v>
      </c>
    </row>
    <row r="12871" spans="1:15" x14ac:dyDescent="0.25">
      <c r="A12871" t="s">
        <v>16</v>
      </c>
      <c r="B12871" t="s">
        <v>3221</v>
      </c>
      <c r="C12871">
        <v>3360</v>
      </c>
      <c r="D12871" t="s">
        <v>266</v>
      </c>
      <c r="E12871" t="s">
        <v>267</v>
      </c>
      <c r="F12871">
        <v>43.85</v>
      </c>
      <c r="G12871">
        <v>230313</v>
      </c>
      <c r="H12871">
        <v>4600</v>
      </c>
      <c r="I12871" t="s">
        <v>105</v>
      </c>
      <c r="J12871">
        <v>54.38</v>
      </c>
      <c r="K12871">
        <v>10.53</v>
      </c>
      <c r="L12871">
        <v>56568</v>
      </c>
      <c r="M12871" t="s">
        <v>268</v>
      </c>
      <c r="N12871" t="str">
        <f>"171166243   "</f>
        <v xml:space="preserve">171166243   </v>
      </c>
      <c r="O12871">
        <v>230315</v>
      </c>
    </row>
    <row r="12872" spans="1:15" x14ac:dyDescent="0.25">
      <c r="A12872" t="s">
        <v>16</v>
      </c>
      <c r="B12872" t="s">
        <v>3221</v>
      </c>
      <c r="C12872">
        <v>3361</v>
      </c>
      <c r="D12872" t="s">
        <v>266</v>
      </c>
      <c r="E12872" t="s">
        <v>267</v>
      </c>
      <c r="F12872">
        <v>-7.93</v>
      </c>
      <c r="G12872">
        <v>230313</v>
      </c>
      <c r="H12872">
        <v>4600</v>
      </c>
      <c r="I12872" t="s">
        <v>105</v>
      </c>
      <c r="J12872">
        <v>-9.83</v>
      </c>
      <c r="K12872">
        <v>-1.9</v>
      </c>
      <c r="L12872">
        <v>56568</v>
      </c>
      <c r="M12872" t="s">
        <v>268</v>
      </c>
      <c r="N12872" t="str">
        <f>"171166170   "</f>
        <v xml:space="preserve">171166170   </v>
      </c>
      <c r="O12872">
        <v>230315</v>
      </c>
    </row>
    <row r="12873" spans="1:15" x14ac:dyDescent="0.25">
      <c r="A12873" t="s">
        <v>16</v>
      </c>
      <c r="B12873" t="s">
        <v>3221</v>
      </c>
      <c r="C12873">
        <v>3362</v>
      </c>
      <c r="D12873" t="s">
        <v>266</v>
      </c>
      <c r="E12873" t="s">
        <v>267</v>
      </c>
      <c r="F12873">
        <v>-283.60000000000002</v>
      </c>
      <c r="G12873">
        <v>230313</v>
      </c>
      <c r="H12873">
        <v>4600</v>
      </c>
      <c r="I12873" t="s">
        <v>105</v>
      </c>
      <c r="J12873">
        <v>-351.67</v>
      </c>
      <c r="K12873">
        <v>-68.069999999999993</v>
      </c>
      <c r="L12873">
        <v>56568</v>
      </c>
      <c r="M12873" t="s">
        <v>268</v>
      </c>
      <c r="N12873" t="str">
        <f>"171166172   "</f>
        <v xml:space="preserve">171166172   </v>
      </c>
      <c r="O12873">
        <v>230315</v>
      </c>
    </row>
    <row r="12874" spans="1:15" x14ac:dyDescent="0.25">
      <c r="A12874" t="s">
        <v>16</v>
      </c>
      <c r="B12874" t="s">
        <v>3221</v>
      </c>
      <c r="C12874">
        <v>3391</v>
      </c>
      <c r="D12874" t="s">
        <v>266</v>
      </c>
      <c r="E12874" t="s">
        <v>267</v>
      </c>
      <c r="F12874">
        <v>153.22999999999999</v>
      </c>
      <c r="G12874">
        <v>230313</v>
      </c>
      <c r="H12874">
        <v>4600</v>
      </c>
      <c r="I12874" t="s">
        <v>105</v>
      </c>
      <c r="J12874">
        <v>190.01</v>
      </c>
      <c r="K12874">
        <v>36.78</v>
      </c>
      <c r="L12874">
        <v>56568</v>
      </c>
      <c r="M12874" t="s">
        <v>268</v>
      </c>
      <c r="N12874" t="str">
        <f>"171165773   "</f>
        <v xml:space="preserve">171165773   </v>
      </c>
      <c r="O12874">
        <v>230315</v>
      </c>
    </row>
    <row r="12875" spans="1:15" x14ac:dyDescent="0.25">
      <c r="A12875" t="s">
        <v>16</v>
      </c>
      <c r="B12875" t="s">
        <v>3221</v>
      </c>
      <c r="C12875">
        <v>3392</v>
      </c>
      <c r="D12875" t="s">
        <v>266</v>
      </c>
      <c r="E12875" t="s">
        <v>267</v>
      </c>
      <c r="F12875">
        <v>28.23</v>
      </c>
      <c r="G12875">
        <v>230313</v>
      </c>
      <c r="H12875">
        <v>4600</v>
      </c>
      <c r="I12875" t="s">
        <v>105</v>
      </c>
      <c r="J12875">
        <v>35.01</v>
      </c>
      <c r="K12875">
        <v>6.78</v>
      </c>
      <c r="L12875">
        <v>56568</v>
      </c>
      <c r="M12875" t="s">
        <v>268</v>
      </c>
      <c r="N12875" t="str">
        <f>"171165761   "</f>
        <v xml:space="preserve">171165761   </v>
      </c>
      <c r="O12875">
        <v>230315</v>
      </c>
    </row>
    <row r="12876" spans="1:15" x14ac:dyDescent="0.25">
      <c r="A12876" t="s">
        <v>16</v>
      </c>
      <c r="B12876" t="s">
        <v>3221</v>
      </c>
      <c r="C12876">
        <v>3393</v>
      </c>
      <c r="D12876" t="s">
        <v>266</v>
      </c>
      <c r="E12876" t="s">
        <v>267</v>
      </c>
      <c r="F12876">
        <v>125.73</v>
      </c>
      <c r="G12876">
        <v>230313</v>
      </c>
      <c r="H12876">
        <v>4600</v>
      </c>
      <c r="I12876" t="s">
        <v>105</v>
      </c>
      <c r="J12876">
        <v>155.91</v>
      </c>
      <c r="K12876">
        <v>30.18</v>
      </c>
      <c r="L12876">
        <v>56568</v>
      </c>
      <c r="M12876" t="s">
        <v>268</v>
      </c>
      <c r="N12876" t="str">
        <f>"171166019   "</f>
        <v xml:space="preserve">171166019   </v>
      </c>
      <c r="O12876">
        <v>230315</v>
      </c>
    </row>
    <row r="12877" spans="1:15" x14ac:dyDescent="0.25">
      <c r="A12877" t="s">
        <v>16</v>
      </c>
      <c r="B12877" t="s">
        <v>3221</v>
      </c>
      <c r="C12877">
        <v>3394</v>
      </c>
      <c r="D12877" t="s">
        <v>266</v>
      </c>
      <c r="E12877" t="s">
        <v>267</v>
      </c>
      <c r="F12877">
        <v>111.88</v>
      </c>
      <c r="G12877">
        <v>230313</v>
      </c>
      <c r="H12877">
        <v>4600</v>
      </c>
      <c r="I12877" t="s">
        <v>105</v>
      </c>
      <c r="J12877">
        <v>138.72999999999999</v>
      </c>
      <c r="K12877">
        <v>26.85</v>
      </c>
      <c r="L12877">
        <v>56568</v>
      </c>
      <c r="M12877" t="s">
        <v>268</v>
      </c>
      <c r="N12877" t="str">
        <f>"171166242   "</f>
        <v xml:space="preserve">171166242   </v>
      </c>
      <c r="O12877">
        <v>230315</v>
      </c>
    </row>
    <row r="12878" spans="1:15" x14ac:dyDescent="0.25">
      <c r="A12878" t="s">
        <v>16</v>
      </c>
      <c r="B12878" t="s">
        <v>3221</v>
      </c>
      <c r="C12878">
        <v>3396</v>
      </c>
      <c r="D12878" t="s">
        <v>266</v>
      </c>
      <c r="E12878" t="s">
        <v>267</v>
      </c>
      <c r="F12878">
        <v>62.41</v>
      </c>
      <c r="G12878">
        <v>230313</v>
      </c>
      <c r="H12878">
        <v>4600</v>
      </c>
      <c r="I12878" t="s">
        <v>105</v>
      </c>
      <c r="J12878">
        <v>77.39</v>
      </c>
      <c r="K12878">
        <v>14.98</v>
      </c>
      <c r="L12878">
        <v>56568</v>
      </c>
      <c r="M12878" t="s">
        <v>268</v>
      </c>
      <c r="N12878" t="str">
        <f>"171165762   "</f>
        <v xml:space="preserve">171165762   </v>
      </c>
      <c r="O12878">
        <v>230315</v>
      </c>
    </row>
    <row r="12879" spans="1:15" x14ac:dyDescent="0.25">
      <c r="A12879" t="s">
        <v>16</v>
      </c>
      <c r="B12879" t="s">
        <v>3221</v>
      </c>
      <c r="C12879">
        <v>3694</v>
      </c>
      <c r="D12879" t="s">
        <v>266</v>
      </c>
      <c r="E12879" t="s">
        <v>267</v>
      </c>
      <c r="F12879">
        <v>89.06</v>
      </c>
      <c r="G12879">
        <v>230320</v>
      </c>
      <c r="H12879">
        <v>4600</v>
      </c>
      <c r="I12879" t="s">
        <v>105</v>
      </c>
      <c r="J12879">
        <v>110.44</v>
      </c>
      <c r="K12879">
        <v>21.38</v>
      </c>
      <c r="L12879">
        <v>56568</v>
      </c>
      <c r="M12879" t="s">
        <v>268</v>
      </c>
      <c r="N12879" t="str">
        <f>"171167524   "</f>
        <v xml:space="preserve">171167524   </v>
      </c>
      <c r="O12879">
        <v>230321</v>
      </c>
    </row>
    <row r="12880" spans="1:15" x14ac:dyDescent="0.25">
      <c r="A12880" t="s">
        <v>16</v>
      </c>
      <c r="B12880" t="s">
        <v>3221</v>
      </c>
      <c r="C12880">
        <v>3695</v>
      </c>
      <c r="D12880" t="s">
        <v>266</v>
      </c>
      <c r="E12880" t="s">
        <v>267</v>
      </c>
      <c r="F12880">
        <v>173.82</v>
      </c>
      <c r="G12880">
        <v>230320</v>
      </c>
      <c r="H12880">
        <v>4600</v>
      </c>
      <c r="I12880" t="s">
        <v>105</v>
      </c>
      <c r="J12880">
        <v>215.54</v>
      </c>
      <c r="K12880">
        <v>41.72</v>
      </c>
      <c r="L12880">
        <v>56568</v>
      </c>
      <c r="M12880" t="s">
        <v>268</v>
      </c>
      <c r="N12880" t="str">
        <f>"171167228   "</f>
        <v xml:space="preserve">171167228   </v>
      </c>
      <c r="O12880">
        <v>230321</v>
      </c>
    </row>
    <row r="12881" spans="1:15" x14ac:dyDescent="0.25">
      <c r="A12881" t="s">
        <v>16</v>
      </c>
      <c r="B12881" t="s">
        <v>3221</v>
      </c>
      <c r="C12881">
        <v>3696</v>
      </c>
      <c r="D12881" t="s">
        <v>266</v>
      </c>
      <c r="E12881" t="s">
        <v>267</v>
      </c>
      <c r="F12881">
        <v>-20.57</v>
      </c>
      <c r="G12881">
        <v>230320</v>
      </c>
      <c r="H12881">
        <v>4600</v>
      </c>
      <c r="I12881" t="s">
        <v>105</v>
      </c>
      <c r="J12881">
        <v>-25.51</v>
      </c>
      <c r="K12881">
        <v>-4.9400000000000004</v>
      </c>
      <c r="L12881">
        <v>56568</v>
      </c>
      <c r="M12881" t="s">
        <v>268</v>
      </c>
      <c r="N12881" t="str">
        <f>"171167146   "</f>
        <v xml:space="preserve">171167146   </v>
      </c>
      <c r="O12881">
        <v>230321</v>
      </c>
    </row>
    <row r="12882" spans="1:15" x14ac:dyDescent="0.25">
      <c r="A12882" t="s">
        <v>16</v>
      </c>
      <c r="B12882" t="s">
        <v>3221</v>
      </c>
      <c r="C12882">
        <v>3697</v>
      </c>
      <c r="D12882" t="s">
        <v>266</v>
      </c>
      <c r="E12882" t="s">
        <v>267</v>
      </c>
      <c r="F12882">
        <v>37.270000000000003</v>
      </c>
      <c r="G12882">
        <v>230320</v>
      </c>
      <c r="H12882">
        <v>4600</v>
      </c>
      <c r="I12882" t="s">
        <v>105</v>
      </c>
      <c r="J12882">
        <v>46.21</v>
      </c>
      <c r="K12882">
        <v>8.94</v>
      </c>
      <c r="L12882">
        <v>56568</v>
      </c>
      <c r="M12882" t="s">
        <v>268</v>
      </c>
      <c r="N12882" t="str">
        <f>"171166928   "</f>
        <v xml:space="preserve">171166928   </v>
      </c>
      <c r="O12882">
        <v>230321</v>
      </c>
    </row>
    <row r="12883" spans="1:15" x14ac:dyDescent="0.25">
      <c r="A12883" t="s">
        <v>16</v>
      </c>
      <c r="B12883" t="s">
        <v>3221</v>
      </c>
      <c r="C12883">
        <v>3698</v>
      </c>
      <c r="D12883" t="s">
        <v>266</v>
      </c>
      <c r="E12883" t="s">
        <v>267</v>
      </c>
      <c r="F12883">
        <v>-27.95</v>
      </c>
      <c r="G12883">
        <v>230320</v>
      </c>
      <c r="H12883">
        <v>4600</v>
      </c>
      <c r="I12883" t="s">
        <v>105</v>
      </c>
      <c r="J12883">
        <v>-34.659999999999997</v>
      </c>
      <c r="K12883">
        <v>-6.71</v>
      </c>
      <c r="L12883">
        <v>56568</v>
      </c>
      <c r="M12883" t="s">
        <v>268</v>
      </c>
      <c r="N12883" t="str">
        <f>"171167141   "</f>
        <v xml:space="preserve">171167141   </v>
      </c>
      <c r="O12883">
        <v>230321</v>
      </c>
    </row>
    <row r="12884" spans="1:15" x14ac:dyDescent="0.25">
      <c r="A12884" t="s">
        <v>16</v>
      </c>
      <c r="B12884" t="s">
        <v>3221</v>
      </c>
      <c r="C12884">
        <v>3699</v>
      </c>
      <c r="D12884" t="s">
        <v>266</v>
      </c>
      <c r="E12884" t="s">
        <v>267</v>
      </c>
      <c r="F12884">
        <v>-145.59</v>
      </c>
      <c r="G12884">
        <v>230320</v>
      </c>
      <c r="H12884">
        <v>4600</v>
      </c>
      <c r="I12884" t="s">
        <v>105</v>
      </c>
      <c r="J12884">
        <v>-180.53</v>
      </c>
      <c r="K12884">
        <v>-34.94</v>
      </c>
      <c r="L12884">
        <v>56568</v>
      </c>
      <c r="M12884" t="s">
        <v>268</v>
      </c>
      <c r="N12884" t="str">
        <f>"171167134   "</f>
        <v xml:space="preserve">171167134   </v>
      </c>
      <c r="O12884">
        <v>230321</v>
      </c>
    </row>
    <row r="12885" spans="1:15" x14ac:dyDescent="0.25">
      <c r="A12885" t="s">
        <v>16</v>
      </c>
      <c r="B12885" t="s">
        <v>3221</v>
      </c>
      <c r="C12885">
        <v>3700</v>
      </c>
      <c r="D12885" t="s">
        <v>266</v>
      </c>
      <c r="E12885" t="s">
        <v>267</v>
      </c>
      <c r="F12885">
        <v>52.34</v>
      </c>
      <c r="G12885">
        <v>230320</v>
      </c>
      <c r="H12885">
        <v>4600</v>
      </c>
      <c r="I12885" t="s">
        <v>105</v>
      </c>
      <c r="J12885">
        <v>64.900000000000006</v>
      </c>
      <c r="K12885">
        <v>12.56</v>
      </c>
      <c r="L12885">
        <v>56568</v>
      </c>
      <c r="M12885" t="s">
        <v>268</v>
      </c>
      <c r="N12885" t="str">
        <f>"171166576   "</f>
        <v xml:space="preserve">171166576   </v>
      </c>
      <c r="O12885">
        <v>230321</v>
      </c>
    </row>
    <row r="12886" spans="1:15" x14ac:dyDescent="0.25">
      <c r="A12886" t="s">
        <v>16</v>
      </c>
      <c r="B12886" t="s">
        <v>3221</v>
      </c>
      <c r="C12886">
        <v>3717</v>
      </c>
      <c r="D12886" t="s">
        <v>266</v>
      </c>
      <c r="E12886" t="s">
        <v>267</v>
      </c>
      <c r="F12886">
        <v>143.05000000000001</v>
      </c>
      <c r="G12886">
        <v>230320</v>
      </c>
      <c r="H12886">
        <v>4600</v>
      </c>
      <c r="I12886" t="s">
        <v>105</v>
      </c>
      <c r="J12886">
        <v>177.38</v>
      </c>
      <c r="K12886">
        <v>34.33</v>
      </c>
      <c r="L12886">
        <v>56568</v>
      </c>
      <c r="M12886" t="s">
        <v>268</v>
      </c>
      <c r="N12886" t="str">
        <f>"171166577   "</f>
        <v xml:space="preserve">171166577   </v>
      </c>
      <c r="O12886">
        <v>230321</v>
      </c>
    </row>
    <row r="12887" spans="1:15" x14ac:dyDescent="0.25">
      <c r="A12887" t="s">
        <v>16</v>
      </c>
      <c r="B12887" t="s">
        <v>3221</v>
      </c>
      <c r="C12887">
        <v>3719</v>
      </c>
      <c r="D12887" t="s">
        <v>266</v>
      </c>
      <c r="E12887" t="s">
        <v>267</v>
      </c>
      <c r="F12887">
        <v>-10.29</v>
      </c>
      <c r="G12887">
        <v>230320</v>
      </c>
      <c r="H12887">
        <v>4600</v>
      </c>
      <c r="I12887" t="s">
        <v>105</v>
      </c>
      <c r="J12887">
        <v>-12.76</v>
      </c>
      <c r="K12887">
        <v>-2.4700000000000002</v>
      </c>
      <c r="L12887">
        <v>56568</v>
      </c>
      <c r="M12887" t="s">
        <v>268</v>
      </c>
      <c r="N12887" t="str">
        <f>"171167341   "</f>
        <v xml:space="preserve">171167341   </v>
      </c>
      <c r="O12887">
        <v>230321</v>
      </c>
    </row>
    <row r="12888" spans="1:15" x14ac:dyDescent="0.25">
      <c r="A12888" t="s">
        <v>16</v>
      </c>
      <c r="B12888" t="s">
        <v>3221</v>
      </c>
      <c r="C12888">
        <v>3721</v>
      </c>
      <c r="D12888" t="s">
        <v>266</v>
      </c>
      <c r="E12888" t="s">
        <v>267</v>
      </c>
      <c r="F12888">
        <v>-9.39</v>
      </c>
      <c r="G12888">
        <v>230320</v>
      </c>
      <c r="H12888">
        <v>4600</v>
      </c>
      <c r="I12888" t="s">
        <v>105</v>
      </c>
      <c r="J12888">
        <v>-11.64</v>
      </c>
      <c r="K12888">
        <v>-2.25</v>
      </c>
      <c r="L12888">
        <v>56568</v>
      </c>
      <c r="M12888" t="s">
        <v>268</v>
      </c>
      <c r="N12888" t="str">
        <f>"171167143   "</f>
        <v xml:space="preserve">171167143   </v>
      </c>
      <c r="O12888">
        <v>230321</v>
      </c>
    </row>
    <row r="12889" spans="1:15" x14ac:dyDescent="0.25">
      <c r="A12889" t="s">
        <v>16</v>
      </c>
      <c r="B12889" t="s">
        <v>3221</v>
      </c>
      <c r="C12889">
        <v>3722</v>
      </c>
      <c r="D12889" t="s">
        <v>266</v>
      </c>
      <c r="E12889" t="s">
        <v>267</v>
      </c>
      <c r="F12889">
        <v>-16.05</v>
      </c>
      <c r="G12889">
        <v>230320</v>
      </c>
      <c r="H12889">
        <v>4600</v>
      </c>
      <c r="I12889" t="s">
        <v>105</v>
      </c>
      <c r="J12889">
        <v>-19.899999999999999</v>
      </c>
      <c r="K12889">
        <v>-3.85</v>
      </c>
      <c r="L12889">
        <v>56568</v>
      </c>
      <c r="M12889" t="s">
        <v>268</v>
      </c>
      <c r="N12889" t="str">
        <f>"171167139   "</f>
        <v xml:space="preserve">171167139   </v>
      </c>
      <c r="O12889">
        <v>230321</v>
      </c>
    </row>
    <row r="12890" spans="1:15" x14ac:dyDescent="0.25">
      <c r="A12890" t="s">
        <v>16</v>
      </c>
      <c r="B12890" t="s">
        <v>3221</v>
      </c>
      <c r="C12890">
        <v>3723</v>
      </c>
      <c r="D12890" t="s">
        <v>266</v>
      </c>
      <c r="E12890" t="s">
        <v>267</v>
      </c>
      <c r="F12890">
        <v>43.43</v>
      </c>
      <c r="G12890">
        <v>230320</v>
      </c>
      <c r="H12890">
        <v>4600</v>
      </c>
      <c r="I12890" t="s">
        <v>105</v>
      </c>
      <c r="J12890">
        <v>53.85</v>
      </c>
      <c r="K12890">
        <v>10.42</v>
      </c>
      <c r="L12890">
        <v>56568</v>
      </c>
      <c r="M12890" t="s">
        <v>268</v>
      </c>
      <c r="N12890" t="str">
        <f>"171167514   "</f>
        <v xml:space="preserve">171167514   </v>
      </c>
      <c r="O12890">
        <v>230321</v>
      </c>
    </row>
    <row r="12891" spans="1:15" x14ac:dyDescent="0.25">
      <c r="A12891" t="s">
        <v>16</v>
      </c>
      <c r="B12891" t="s">
        <v>3221</v>
      </c>
      <c r="C12891">
        <v>3724</v>
      </c>
      <c r="D12891" t="s">
        <v>266</v>
      </c>
      <c r="E12891" t="s">
        <v>267</v>
      </c>
      <c r="F12891">
        <v>-5.81</v>
      </c>
      <c r="G12891">
        <v>230320</v>
      </c>
      <c r="H12891">
        <v>4600</v>
      </c>
      <c r="I12891" t="s">
        <v>105</v>
      </c>
      <c r="J12891">
        <v>-7.21</v>
      </c>
      <c r="K12891">
        <v>-1.4</v>
      </c>
      <c r="L12891">
        <v>56568</v>
      </c>
      <c r="M12891" t="s">
        <v>268</v>
      </c>
      <c r="N12891" t="str">
        <f>"171167137   "</f>
        <v xml:space="preserve">171167137   </v>
      </c>
      <c r="O12891">
        <v>230321</v>
      </c>
    </row>
    <row r="12892" spans="1:15" x14ac:dyDescent="0.25">
      <c r="A12892" t="s">
        <v>16</v>
      </c>
      <c r="B12892" t="s">
        <v>3221</v>
      </c>
      <c r="C12892">
        <v>3725</v>
      </c>
      <c r="D12892" t="s">
        <v>266</v>
      </c>
      <c r="E12892" t="s">
        <v>267</v>
      </c>
      <c r="F12892">
        <v>26.58</v>
      </c>
      <c r="G12892">
        <v>230320</v>
      </c>
      <c r="H12892">
        <v>4600</v>
      </c>
      <c r="I12892" t="s">
        <v>105</v>
      </c>
      <c r="J12892">
        <v>32.96</v>
      </c>
      <c r="K12892">
        <v>6.38</v>
      </c>
      <c r="L12892">
        <v>56568</v>
      </c>
      <c r="M12892" t="s">
        <v>268</v>
      </c>
      <c r="N12892" t="str">
        <f>"171166578   "</f>
        <v xml:space="preserve">171166578   </v>
      </c>
      <c r="O12892">
        <v>230321</v>
      </c>
    </row>
    <row r="12893" spans="1:15" x14ac:dyDescent="0.25">
      <c r="A12893" t="s">
        <v>16</v>
      </c>
      <c r="B12893" t="s">
        <v>3221</v>
      </c>
      <c r="C12893">
        <v>3726</v>
      </c>
      <c r="D12893" t="s">
        <v>266</v>
      </c>
      <c r="E12893" t="s">
        <v>267</v>
      </c>
      <c r="F12893">
        <v>54.61</v>
      </c>
      <c r="G12893">
        <v>230320</v>
      </c>
      <c r="H12893">
        <v>4600</v>
      </c>
      <c r="I12893" t="s">
        <v>105</v>
      </c>
      <c r="J12893">
        <v>67.72</v>
      </c>
      <c r="K12893">
        <v>13.11</v>
      </c>
      <c r="L12893">
        <v>56568</v>
      </c>
      <c r="M12893" t="s">
        <v>268</v>
      </c>
      <c r="N12893" t="str">
        <f>"171167240   "</f>
        <v xml:space="preserve">171167240   </v>
      </c>
      <c r="O12893">
        <v>230321</v>
      </c>
    </row>
    <row r="12894" spans="1:15" x14ac:dyDescent="0.25">
      <c r="A12894" t="s">
        <v>16</v>
      </c>
      <c r="B12894" t="s">
        <v>3221</v>
      </c>
      <c r="C12894">
        <v>3727</v>
      </c>
      <c r="D12894" t="s">
        <v>266</v>
      </c>
      <c r="E12894" t="s">
        <v>267</v>
      </c>
      <c r="F12894">
        <v>-10.29</v>
      </c>
      <c r="G12894">
        <v>230320</v>
      </c>
      <c r="H12894">
        <v>4600</v>
      </c>
      <c r="I12894" t="s">
        <v>105</v>
      </c>
      <c r="J12894">
        <v>-12.76</v>
      </c>
      <c r="K12894">
        <v>-2.4700000000000002</v>
      </c>
      <c r="L12894">
        <v>56568</v>
      </c>
      <c r="M12894" t="s">
        <v>268</v>
      </c>
      <c r="N12894" t="str">
        <f>"171167138   "</f>
        <v xml:space="preserve">171167138   </v>
      </c>
      <c r="O12894">
        <v>230321</v>
      </c>
    </row>
    <row r="12895" spans="1:15" x14ac:dyDescent="0.25">
      <c r="A12895" t="s">
        <v>16</v>
      </c>
      <c r="B12895" t="s">
        <v>3221</v>
      </c>
      <c r="C12895">
        <v>3728</v>
      </c>
      <c r="D12895" t="s">
        <v>266</v>
      </c>
      <c r="E12895" t="s">
        <v>267</v>
      </c>
      <c r="F12895">
        <v>21.29</v>
      </c>
      <c r="G12895">
        <v>230320</v>
      </c>
      <c r="H12895">
        <v>4600</v>
      </c>
      <c r="I12895" t="s">
        <v>105</v>
      </c>
      <c r="J12895">
        <v>26.4</v>
      </c>
      <c r="K12895">
        <v>5.1100000000000003</v>
      </c>
      <c r="L12895">
        <v>56568</v>
      </c>
      <c r="M12895" t="s">
        <v>268</v>
      </c>
      <c r="N12895" t="str">
        <f>"171167527   "</f>
        <v xml:space="preserve">171167527   </v>
      </c>
      <c r="O12895">
        <v>230321</v>
      </c>
    </row>
    <row r="12896" spans="1:15" x14ac:dyDescent="0.25">
      <c r="A12896" t="s">
        <v>16</v>
      </c>
      <c r="B12896" t="s">
        <v>3221</v>
      </c>
      <c r="C12896">
        <v>3729</v>
      </c>
      <c r="D12896" t="s">
        <v>266</v>
      </c>
      <c r="E12896" t="s">
        <v>267</v>
      </c>
      <c r="F12896">
        <v>-10.29</v>
      </c>
      <c r="G12896">
        <v>230320</v>
      </c>
      <c r="H12896">
        <v>4600</v>
      </c>
      <c r="I12896" t="s">
        <v>105</v>
      </c>
      <c r="J12896">
        <v>-12.76</v>
      </c>
      <c r="K12896">
        <v>-2.4700000000000002</v>
      </c>
      <c r="L12896">
        <v>56568</v>
      </c>
      <c r="M12896" t="s">
        <v>268</v>
      </c>
      <c r="N12896" t="str">
        <f>"171167136   "</f>
        <v xml:space="preserve">171167136   </v>
      </c>
      <c r="O12896">
        <v>230321</v>
      </c>
    </row>
    <row r="12897" spans="1:15" x14ac:dyDescent="0.25">
      <c r="A12897" t="s">
        <v>16</v>
      </c>
      <c r="B12897" t="s">
        <v>3221</v>
      </c>
      <c r="C12897">
        <v>3730</v>
      </c>
      <c r="D12897" t="s">
        <v>266</v>
      </c>
      <c r="E12897" t="s">
        <v>267</v>
      </c>
      <c r="F12897">
        <v>-6.59</v>
      </c>
      <c r="G12897">
        <v>230320</v>
      </c>
      <c r="H12897">
        <v>4600</v>
      </c>
      <c r="I12897" t="s">
        <v>105</v>
      </c>
      <c r="J12897">
        <v>-8.17</v>
      </c>
      <c r="K12897">
        <v>-1.58</v>
      </c>
      <c r="L12897">
        <v>56568</v>
      </c>
      <c r="M12897" t="s">
        <v>268</v>
      </c>
      <c r="N12897" t="str">
        <f>"171167133   "</f>
        <v xml:space="preserve">171167133   </v>
      </c>
      <c r="O12897">
        <v>230321</v>
      </c>
    </row>
    <row r="12898" spans="1:15" x14ac:dyDescent="0.25">
      <c r="A12898" t="s">
        <v>16</v>
      </c>
      <c r="B12898" t="s">
        <v>3221</v>
      </c>
      <c r="C12898">
        <v>3731</v>
      </c>
      <c r="D12898" t="s">
        <v>266</v>
      </c>
      <c r="E12898" t="s">
        <v>267</v>
      </c>
      <c r="F12898">
        <v>-46.02</v>
      </c>
      <c r="G12898">
        <v>230320</v>
      </c>
      <c r="H12898">
        <v>4600</v>
      </c>
      <c r="I12898" t="s">
        <v>105</v>
      </c>
      <c r="J12898">
        <v>-57.06</v>
      </c>
      <c r="K12898">
        <v>-11.04</v>
      </c>
      <c r="L12898">
        <v>56568</v>
      </c>
      <c r="M12898" t="s">
        <v>268</v>
      </c>
      <c r="N12898" t="str">
        <f>"171167132   "</f>
        <v xml:space="preserve">171167132   </v>
      </c>
      <c r="O12898">
        <v>230321</v>
      </c>
    </row>
    <row r="12899" spans="1:15" x14ac:dyDescent="0.25">
      <c r="A12899" t="s">
        <v>16</v>
      </c>
      <c r="B12899" t="s">
        <v>3221</v>
      </c>
      <c r="C12899">
        <v>3733</v>
      </c>
      <c r="D12899" t="s">
        <v>266</v>
      </c>
      <c r="E12899" t="s">
        <v>267</v>
      </c>
      <c r="F12899">
        <v>-8.7799999999999994</v>
      </c>
      <c r="G12899">
        <v>230320</v>
      </c>
      <c r="H12899">
        <v>4600</v>
      </c>
      <c r="I12899" t="s">
        <v>105</v>
      </c>
      <c r="J12899">
        <v>-10.89</v>
      </c>
      <c r="K12899">
        <v>-2.11</v>
      </c>
      <c r="L12899">
        <v>56568</v>
      </c>
      <c r="M12899" t="s">
        <v>268</v>
      </c>
      <c r="N12899" t="str">
        <f>"171167145   "</f>
        <v xml:space="preserve">171167145   </v>
      </c>
      <c r="O12899">
        <v>230321</v>
      </c>
    </row>
    <row r="12900" spans="1:15" x14ac:dyDescent="0.25">
      <c r="A12900" t="s">
        <v>16</v>
      </c>
      <c r="B12900" t="s">
        <v>3221</v>
      </c>
      <c r="C12900">
        <v>3734</v>
      </c>
      <c r="D12900" t="s">
        <v>266</v>
      </c>
      <c r="E12900" t="s">
        <v>267</v>
      </c>
      <c r="F12900">
        <v>-18.100000000000001</v>
      </c>
      <c r="G12900">
        <v>230320</v>
      </c>
      <c r="H12900">
        <v>4600</v>
      </c>
      <c r="I12900" t="s">
        <v>105</v>
      </c>
      <c r="J12900">
        <v>-22.45</v>
      </c>
      <c r="K12900">
        <v>-4.3499999999999996</v>
      </c>
      <c r="L12900">
        <v>56568</v>
      </c>
      <c r="M12900" t="s">
        <v>268</v>
      </c>
      <c r="N12900" t="str">
        <f>"171167144   "</f>
        <v xml:space="preserve">171167144   </v>
      </c>
      <c r="O12900">
        <v>230321</v>
      </c>
    </row>
    <row r="12901" spans="1:15" x14ac:dyDescent="0.25">
      <c r="A12901" t="s">
        <v>16</v>
      </c>
      <c r="B12901" t="s">
        <v>3221</v>
      </c>
      <c r="C12901">
        <v>3735</v>
      </c>
      <c r="D12901" t="s">
        <v>266</v>
      </c>
      <c r="E12901" t="s">
        <v>267</v>
      </c>
      <c r="F12901">
        <v>73.849999999999994</v>
      </c>
      <c r="G12901">
        <v>230320</v>
      </c>
      <c r="H12901">
        <v>4600</v>
      </c>
      <c r="I12901" t="s">
        <v>105</v>
      </c>
      <c r="J12901">
        <v>91.58</v>
      </c>
      <c r="K12901">
        <v>17.73</v>
      </c>
      <c r="L12901">
        <v>56568</v>
      </c>
      <c r="M12901" t="s">
        <v>268</v>
      </c>
      <c r="N12901" t="str">
        <f>"171166929   "</f>
        <v xml:space="preserve">171166929   </v>
      </c>
      <c r="O12901">
        <v>230321</v>
      </c>
    </row>
    <row r="12902" spans="1:15" x14ac:dyDescent="0.25">
      <c r="A12902" t="s">
        <v>16</v>
      </c>
      <c r="B12902" t="s">
        <v>3221</v>
      </c>
      <c r="C12902">
        <v>4053</v>
      </c>
      <c r="D12902" t="s">
        <v>266</v>
      </c>
      <c r="E12902" t="s">
        <v>267</v>
      </c>
      <c r="F12902">
        <v>62</v>
      </c>
      <c r="G12902">
        <v>230327</v>
      </c>
      <c r="H12902">
        <v>4600</v>
      </c>
      <c r="I12902" t="s">
        <v>105</v>
      </c>
      <c r="J12902">
        <v>76.88</v>
      </c>
      <c r="K12902">
        <v>14.88</v>
      </c>
      <c r="L12902">
        <v>56568</v>
      </c>
      <c r="M12902" t="s">
        <v>268</v>
      </c>
      <c r="N12902" t="str">
        <f>"171168099   "</f>
        <v xml:space="preserve">171168099   </v>
      </c>
      <c r="O12902">
        <v>230330</v>
      </c>
    </row>
    <row r="12903" spans="1:15" x14ac:dyDescent="0.25">
      <c r="A12903" t="s">
        <v>16</v>
      </c>
      <c r="B12903" t="s">
        <v>3221</v>
      </c>
      <c r="C12903">
        <v>4054</v>
      </c>
      <c r="D12903" t="s">
        <v>266</v>
      </c>
      <c r="E12903" t="s">
        <v>267</v>
      </c>
      <c r="F12903">
        <v>60.48</v>
      </c>
      <c r="G12903">
        <v>230327</v>
      </c>
      <c r="H12903">
        <v>4600</v>
      </c>
      <c r="I12903" t="s">
        <v>105</v>
      </c>
      <c r="J12903">
        <v>74.989999999999995</v>
      </c>
      <c r="K12903">
        <v>14.51</v>
      </c>
      <c r="L12903">
        <v>56568</v>
      </c>
      <c r="M12903" t="s">
        <v>268</v>
      </c>
      <c r="N12903" t="str">
        <f>"171168760   "</f>
        <v xml:space="preserve">171168760   </v>
      </c>
      <c r="O12903">
        <v>230330</v>
      </c>
    </row>
    <row r="12904" spans="1:15" x14ac:dyDescent="0.25">
      <c r="A12904" t="s">
        <v>16</v>
      </c>
      <c r="B12904" t="s">
        <v>3221</v>
      </c>
      <c r="C12904">
        <v>4055</v>
      </c>
      <c r="D12904" t="s">
        <v>266</v>
      </c>
      <c r="E12904" t="s">
        <v>267</v>
      </c>
      <c r="F12904">
        <v>-7.7</v>
      </c>
      <c r="G12904">
        <v>230327</v>
      </c>
      <c r="H12904">
        <v>4600</v>
      </c>
      <c r="I12904" t="s">
        <v>105</v>
      </c>
      <c r="J12904">
        <v>-9.5500000000000007</v>
      </c>
      <c r="K12904">
        <v>-1.85</v>
      </c>
      <c r="L12904">
        <v>56568</v>
      </c>
      <c r="M12904" t="s">
        <v>268</v>
      </c>
      <c r="N12904" t="str">
        <f>"171169234   "</f>
        <v xml:space="preserve">171169234   </v>
      </c>
      <c r="O12904">
        <v>230330</v>
      </c>
    </row>
    <row r="12905" spans="1:15" x14ac:dyDescent="0.25">
      <c r="A12905" t="s">
        <v>16</v>
      </c>
      <c r="B12905" t="s">
        <v>3221</v>
      </c>
      <c r="C12905">
        <v>4056</v>
      </c>
      <c r="D12905" t="s">
        <v>266</v>
      </c>
      <c r="E12905" t="s">
        <v>267</v>
      </c>
      <c r="F12905">
        <v>-13.52</v>
      </c>
      <c r="G12905">
        <v>230327</v>
      </c>
      <c r="H12905">
        <v>4600</v>
      </c>
      <c r="I12905" t="s">
        <v>105</v>
      </c>
      <c r="J12905">
        <v>-16.760000000000002</v>
      </c>
      <c r="K12905">
        <v>-3.24</v>
      </c>
      <c r="L12905">
        <v>56568</v>
      </c>
      <c r="M12905" t="s">
        <v>268</v>
      </c>
      <c r="N12905" t="str">
        <f>"171168893   "</f>
        <v xml:space="preserve">171168893   </v>
      </c>
      <c r="O12905">
        <v>230330</v>
      </c>
    </row>
    <row r="12906" spans="1:15" x14ac:dyDescent="0.25">
      <c r="A12906" t="s">
        <v>16</v>
      </c>
      <c r="B12906" t="s">
        <v>3221</v>
      </c>
      <c r="C12906">
        <v>4057</v>
      </c>
      <c r="D12906" t="s">
        <v>266</v>
      </c>
      <c r="E12906" t="s">
        <v>267</v>
      </c>
      <c r="F12906">
        <v>8.9499999999999993</v>
      </c>
      <c r="G12906">
        <v>230327</v>
      </c>
      <c r="H12906">
        <v>4600</v>
      </c>
      <c r="I12906" t="s">
        <v>105</v>
      </c>
      <c r="J12906">
        <v>11.1</v>
      </c>
      <c r="K12906">
        <v>2.15</v>
      </c>
      <c r="L12906">
        <v>56568</v>
      </c>
      <c r="M12906" t="s">
        <v>268</v>
      </c>
      <c r="N12906" t="str">
        <f>"171168762   "</f>
        <v xml:space="preserve">171168762   </v>
      </c>
      <c r="O12906">
        <v>230330</v>
      </c>
    </row>
    <row r="12907" spans="1:15" x14ac:dyDescent="0.25">
      <c r="A12907" t="s">
        <v>16</v>
      </c>
      <c r="B12907" t="s">
        <v>3221</v>
      </c>
      <c r="C12907">
        <v>4058</v>
      </c>
      <c r="D12907" t="s">
        <v>266</v>
      </c>
      <c r="E12907" t="s">
        <v>267</v>
      </c>
      <c r="F12907">
        <v>132.34</v>
      </c>
      <c r="G12907">
        <v>230327</v>
      </c>
      <c r="H12907">
        <v>4600</v>
      </c>
      <c r="I12907" t="s">
        <v>105</v>
      </c>
      <c r="J12907">
        <v>164.1</v>
      </c>
      <c r="K12907">
        <v>31.76</v>
      </c>
      <c r="L12907">
        <v>56568</v>
      </c>
      <c r="M12907" t="s">
        <v>268</v>
      </c>
      <c r="N12907" t="str">
        <f>"171169050   "</f>
        <v xml:space="preserve">171169050   </v>
      </c>
      <c r="O12907">
        <v>230330</v>
      </c>
    </row>
    <row r="12908" spans="1:15" x14ac:dyDescent="0.25">
      <c r="A12908" t="s">
        <v>16</v>
      </c>
      <c r="B12908" t="s">
        <v>3221</v>
      </c>
      <c r="C12908">
        <v>4059</v>
      </c>
      <c r="D12908" t="s">
        <v>266</v>
      </c>
      <c r="E12908" t="s">
        <v>267</v>
      </c>
      <c r="F12908">
        <v>96.52</v>
      </c>
      <c r="G12908">
        <v>230327</v>
      </c>
      <c r="H12908">
        <v>4600</v>
      </c>
      <c r="I12908" t="s">
        <v>105</v>
      </c>
      <c r="J12908">
        <v>119.68</v>
      </c>
      <c r="K12908">
        <v>23.16</v>
      </c>
      <c r="L12908">
        <v>56568</v>
      </c>
      <c r="M12908" t="s">
        <v>268</v>
      </c>
      <c r="N12908" t="str">
        <f>"171168110   "</f>
        <v xml:space="preserve">171168110   </v>
      </c>
      <c r="O12908">
        <v>230330</v>
      </c>
    </row>
    <row r="12909" spans="1:15" x14ac:dyDescent="0.25">
      <c r="A12909" t="s">
        <v>16</v>
      </c>
      <c r="B12909" t="s">
        <v>3221</v>
      </c>
      <c r="C12909">
        <v>4060</v>
      </c>
      <c r="D12909" t="s">
        <v>266</v>
      </c>
      <c r="E12909" t="s">
        <v>267</v>
      </c>
      <c r="F12909">
        <v>-9.27</v>
      </c>
      <c r="G12909">
        <v>230327</v>
      </c>
      <c r="H12909">
        <v>4600</v>
      </c>
      <c r="I12909" t="s">
        <v>105</v>
      </c>
      <c r="J12909">
        <v>-11.49</v>
      </c>
      <c r="K12909">
        <v>-2.2200000000000002</v>
      </c>
      <c r="L12909">
        <v>56568</v>
      </c>
      <c r="M12909" t="s">
        <v>268</v>
      </c>
      <c r="N12909" t="str">
        <f>"171169236   "</f>
        <v xml:space="preserve">171169236   </v>
      </c>
      <c r="O12909">
        <v>230330</v>
      </c>
    </row>
    <row r="12910" spans="1:15" x14ac:dyDescent="0.25">
      <c r="A12910" t="s">
        <v>16</v>
      </c>
      <c r="B12910" t="s">
        <v>3221</v>
      </c>
      <c r="C12910">
        <v>4061</v>
      </c>
      <c r="D12910" t="s">
        <v>266</v>
      </c>
      <c r="E12910" t="s">
        <v>267</v>
      </c>
      <c r="F12910">
        <v>53.44</v>
      </c>
      <c r="G12910">
        <v>230327</v>
      </c>
      <c r="H12910">
        <v>4600</v>
      </c>
      <c r="I12910" t="s">
        <v>105</v>
      </c>
      <c r="J12910">
        <v>66.27</v>
      </c>
      <c r="K12910">
        <v>12.83</v>
      </c>
      <c r="L12910">
        <v>56568</v>
      </c>
      <c r="M12910" t="s">
        <v>268</v>
      </c>
      <c r="N12910" t="str">
        <f>"171168763   "</f>
        <v xml:space="preserve">171168763   </v>
      </c>
      <c r="O12910">
        <v>230330</v>
      </c>
    </row>
    <row r="12911" spans="1:15" x14ac:dyDescent="0.25">
      <c r="A12911" t="s">
        <v>16</v>
      </c>
      <c r="B12911" t="s">
        <v>3221</v>
      </c>
      <c r="C12911">
        <v>4062</v>
      </c>
      <c r="D12911" t="s">
        <v>266</v>
      </c>
      <c r="E12911" t="s">
        <v>267</v>
      </c>
      <c r="F12911">
        <v>35.15</v>
      </c>
      <c r="G12911">
        <v>230327</v>
      </c>
      <c r="H12911">
        <v>4600</v>
      </c>
      <c r="I12911" t="s">
        <v>105</v>
      </c>
      <c r="J12911">
        <v>43.58</v>
      </c>
      <c r="K12911">
        <v>8.43</v>
      </c>
      <c r="L12911">
        <v>56568</v>
      </c>
      <c r="M12911" t="s">
        <v>268</v>
      </c>
      <c r="N12911" t="str">
        <f>"171168770   "</f>
        <v xml:space="preserve">171168770   </v>
      </c>
      <c r="O12911">
        <v>230330</v>
      </c>
    </row>
    <row r="12912" spans="1:15" x14ac:dyDescent="0.25">
      <c r="A12912" t="s">
        <v>16</v>
      </c>
      <c r="B12912" t="s">
        <v>3221</v>
      </c>
      <c r="C12912">
        <v>4063</v>
      </c>
      <c r="D12912" t="s">
        <v>266</v>
      </c>
      <c r="E12912" t="s">
        <v>267</v>
      </c>
      <c r="F12912">
        <v>59.34</v>
      </c>
      <c r="G12912">
        <v>230327</v>
      </c>
      <c r="H12912">
        <v>4600</v>
      </c>
      <c r="I12912" t="s">
        <v>105</v>
      </c>
      <c r="J12912">
        <v>73.58</v>
      </c>
      <c r="K12912">
        <v>14.24</v>
      </c>
      <c r="L12912">
        <v>56568</v>
      </c>
      <c r="M12912" t="s">
        <v>268</v>
      </c>
      <c r="N12912" t="str">
        <f>"171168098   "</f>
        <v xml:space="preserve">171168098   </v>
      </c>
      <c r="O12912">
        <v>230330</v>
      </c>
    </row>
    <row r="12913" spans="1:15" x14ac:dyDescent="0.25">
      <c r="A12913" t="s">
        <v>16</v>
      </c>
      <c r="B12913" t="s">
        <v>3221</v>
      </c>
      <c r="C12913">
        <v>4064</v>
      </c>
      <c r="D12913" t="s">
        <v>266</v>
      </c>
      <c r="E12913" t="s">
        <v>267</v>
      </c>
      <c r="F12913">
        <v>144.41999999999999</v>
      </c>
      <c r="G12913">
        <v>230327</v>
      </c>
      <c r="H12913">
        <v>4600</v>
      </c>
      <c r="I12913" t="s">
        <v>105</v>
      </c>
      <c r="J12913">
        <v>179.08</v>
      </c>
      <c r="K12913">
        <v>34.659999999999997</v>
      </c>
      <c r="L12913">
        <v>56568</v>
      </c>
      <c r="M12913" t="s">
        <v>268</v>
      </c>
      <c r="N12913" t="str">
        <f>"171168761   "</f>
        <v xml:space="preserve">171168761   </v>
      </c>
      <c r="O12913">
        <v>230330</v>
      </c>
    </row>
    <row r="12914" spans="1:15" x14ac:dyDescent="0.25">
      <c r="A12914" t="s">
        <v>16</v>
      </c>
      <c r="B12914" t="s">
        <v>3221</v>
      </c>
      <c r="C12914">
        <v>4065</v>
      </c>
      <c r="D12914" t="s">
        <v>266</v>
      </c>
      <c r="E12914" t="s">
        <v>267</v>
      </c>
      <c r="F12914">
        <v>118.47</v>
      </c>
      <c r="G12914">
        <v>230327</v>
      </c>
      <c r="H12914">
        <v>4600</v>
      </c>
      <c r="I12914" t="s">
        <v>105</v>
      </c>
      <c r="J12914">
        <v>146.9</v>
      </c>
      <c r="K12914">
        <v>28.43</v>
      </c>
      <c r="L12914">
        <v>56568</v>
      </c>
      <c r="M12914" t="s">
        <v>268</v>
      </c>
      <c r="N12914" t="str">
        <f>"171168097   "</f>
        <v xml:space="preserve">171168097   </v>
      </c>
      <c r="O12914">
        <v>230330</v>
      </c>
    </row>
    <row r="12915" spans="1:15" x14ac:dyDescent="0.25">
      <c r="A12915" t="s">
        <v>16</v>
      </c>
      <c r="B12915" t="s">
        <v>3221</v>
      </c>
      <c r="C12915">
        <v>4612</v>
      </c>
      <c r="D12915" t="s">
        <v>266</v>
      </c>
      <c r="E12915" t="s">
        <v>267</v>
      </c>
      <c r="F12915">
        <v>18.260000000000002</v>
      </c>
      <c r="G12915">
        <v>230331</v>
      </c>
      <c r="H12915">
        <v>4600</v>
      </c>
      <c r="I12915" t="s">
        <v>105</v>
      </c>
      <c r="J12915">
        <v>22.64</v>
      </c>
      <c r="K12915">
        <v>4.38</v>
      </c>
      <c r="L12915">
        <v>56568</v>
      </c>
      <c r="M12915" t="s">
        <v>268</v>
      </c>
      <c r="N12915" t="str">
        <f>"171169894   "</f>
        <v xml:space="preserve">171169894   </v>
      </c>
      <c r="O12915">
        <v>230411</v>
      </c>
    </row>
    <row r="12916" spans="1:15" x14ac:dyDescent="0.25">
      <c r="A12916" t="s">
        <v>16</v>
      </c>
      <c r="B12916" t="s">
        <v>3221</v>
      </c>
      <c r="C12916">
        <v>4613</v>
      </c>
      <c r="D12916" t="s">
        <v>266</v>
      </c>
      <c r="E12916" t="s">
        <v>267</v>
      </c>
      <c r="F12916">
        <v>-5.46</v>
      </c>
      <c r="G12916">
        <v>230331</v>
      </c>
      <c r="H12916">
        <v>4600</v>
      </c>
      <c r="I12916" t="s">
        <v>105</v>
      </c>
      <c r="J12916">
        <v>-6.77</v>
      </c>
      <c r="K12916">
        <v>-1.31</v>
      </c>
      <c r="L12916">
        <v>56568</v>
      </c>
      <c r="M12916" t="s">
        <v>268</v>
      </c>
      <c r="N12916" t="str">
        <f>"171170040   "</f>
        <v xml:space="preserve">171170040   </v>
      </c>
      <c r="O12916">
        <v>230411</v>
      </c>
    </row>
    <row r="12917" spans="1:15" x14ac:dyDescent="0.25">
      <c r="A12917" t="s">
        <v>16</v>
      </c>
      <c r="B12917" t="s">
        <v>3221</v>
      </c>
      <c r="C12917">
        <v>4614</v>
      </c>
      <c r="D12917" t="s">
        <v>266</v>
      </c>
      <c r="E12917" t="s">
        <v>267</v>
      </c>
      <c r="F12917">
        <v>-16.05</v>
      </c>
      <c r="G12917">
        <v>230331</v>
      </c>
      <c r="H12917">
        <v>4600</v>
      </c>
      <c r="I12917" t="s">
        <v>105</v>
      </c>
      <c r="J12917">
        <v>-19.899999999999999</v>
      </c>
      <c r="K12917">
        <v>-3.85</v>
      </c>
      <c r="L12917">
        <v>56568</v>
      </c>
      <c r="M12917" t="s">
        <v>268</v>
      </c>
      <c r="N12917" t="str">
        <f>"171170037   "</f>
        <v xml:space="preserve">171170037   </v>
      </c>
      <c r="O12917">
        <v>230411</v>
      </c>
    </row>
    <row r="12918" spans="1:15" x14ac:dyDescent="0.25">
      <c r="A12918" t="s">
        <v>16</v>
      </c>
      <c r="B12918" t="s">
        <v>3221</v>
      </c>
      <c r="C12918">
        <v>4615</v>
      </c>
      <c r="D12918" t="s">
        <v>266</v>
      </c>
      <c r="E12918" t="s">
        <v>267</v>
      </c>
      <c r="F12918">
        <v>55.31</v>
      </c>
      <c r="G12918">
        <v>230331</v>
      </c>
      <c r="H12918">
        <v>4600</v>
      </c>
      <c r="I12918" t="s">
        <v>105</v>
      </c>
      <c r="J12918">
        <v>68.59</v>
      </c>
      <c r="K12918">
        <v>13.28</v>
      </c>
      <c r="L12918">
        <v>56568</v>
      </c>
      <c r="M12918" t="s">
        <v>268</v>
      </c>
      <c r="N12918" t="str">
        <f>"171170563   "</f>
        <v xml:space="preserve">171170563   </v>
      </c>
      <c r="O12918">
        <v>230411</v>
      </c>
    </row>
    <row r="12919" spans="1:15" x14ac:dyDescent="0.25">
      <c r="A12919" t="s">
        <v>16</v>
      </c>
      <c r="B12919" t="s">
        <v>3221</v>
      </c>
      <c r="C12919">
        <v>4616</v>
      </c>
      <c r="D12919" t="s">
        <v>266</v>
      </c>
      <c r="E12919" t="s">
        <v>267</v>
      </c>
      <c r="F12919">
        <v>-6.95</v>
      </c>
      <c r="G12919">
        <v>230331</v>
      </c>
      <c r="H12919">
        <v>4600</v>
      </c>
      <c r="I12919" t="s">
        <v>105</v>
      </c>
      <c r="J12919">
        <v>-8.6199999999999992</v>
      </c>
      <c r="K12919">
        <v>-1.67</v>
      </c>
      <c r="L12919">
        <v>56568</v>
      </c>
      <c r="M12919" t="s">
        <v>268</v>
      </c>
      <c r="N12919" t="str">
        <f>"171170041   "</f>
        <v xml:space="preserve">171170041   </v>
      </c>
      <c r="O12919">
        <v>230411</v>
      </c>
    </row>
    <row r="12920" spans="1:15" x14ac:dyDescent="0.25">
      <c r="A12920" t="s">
        <v>16</v>
      </c>
      <c r="B12920" t="s">
        <v>3221</v>
      </c>
      <c r="C12920">
        <v>4618</v>
      </c>
      <c r="D12920" t="s">
        <v>266</v>
      </c>
      <c r="E12920" t="s">
        <v>267</v>
      </c>
      <c r="F12920">
        <v>110.72</v>
      </c>
      <c r="G12920">
        <v>230331</v>
      </c>
      <c r="H12920">
        <v>4600</v>
      </c>
      <c r="I12920" t="s">
        <v>105</v>
      </c>
      <c r="J12920">
        <v>137.29</v>
      </c>
      <c r="K12920">
        <v>26.57</v>
      </c>
      <c r="L12920">
        <v>56568</v>
      </c>
      <c r="M12920" t="s">
        <v>268</v>
      </c>
      <c r="N12920" t="str">
        <f>"171170562   "</f>
        <v xml:space="preserve">171170562   </v>
      </c>
      <c r="O12920">
        <v>230411</v>
      </c>
    </row>
    <row r="12921" spans="1:15" x14ac:dyDescent="0.25">
      <c r="A12921" t="s">
        <v>16</v>
      </c>
      <c r="B12921" t="s">
        <v>3221</v>
      </c>
      <c r="C12921">
        <v>4619</v>
      </c>
      <c r="D12921" t="s">
        <v>266</v>
      </c>
      <c r="E12921" t="s">
        <v>267</v>
      </c>
      <c r="F12921">
        <v>27.52</v>
      </c>
      <c r="G12921">
        <v>230331</v>
      </c>
      <c r="H12921">
        <v>4600</v>
      </c>
      <c r="I12921" t="s">
        <v>105</v>
      </c>
      <c r="J12921">
        <v>34.119999999999997</v>
      </c>
      <c r="K12921">
        <v>6.6</v>
      </c>
      <c r="L12921">
        <v>56568</v>
      </c>
      <c r="M12921" t="s">
        <v>268</v>
      </c>
      <c r="N12921" t="str">
        <f>"171170561   "</f>
        <v xml:space="preserve">171170561   </v>
      </c>
      <c r="O12921">
        <v>230411</v>
      </c>
    </row>
    <row r="12922" spans="1:15" x14ac:dyDescent="0.25">
      <c r="A12922" t="s">
        <v>16</v>
      </c>
      <c r="B12922" t="s">
        <v>3221</v>
      </c>
      <c r="C12922">
        <v>4620</v>
      </c>
      <c r="D12922" t="s">
        <v>266</v>
      </c>
      <c r="E12922" t="s">
        <v>267</v>
      </c>
      <c r="F12922">
        <v>-22.58</v>
      </c>
      <c r="G12922">
        <v>230331</v>
      </c>
      <c r="H12922">
        <v>4600</v>
      </c>
      <c r="I12922" t="s">
        <v>105</v>
      </c>
      <c r="J12922">
        <v>-28</v>
      </c>
      <c r="K12922">
        <v>-5.42</v>
      </c>
      <c r="L12922">
        <v>56568</v>
      </c>
      <c r="M12922" t="s">
        <v>268</v>
      </c>
      <c r="N12922" t="str">
        <f>"171170035   "</f>
        <v xml:space="preserve">171170035   </v>
      </c>
      <c r="O12922">
        <v>230411</v>
      </c>
    </row>
    <row r="12923" spans="1:15" x14ac:dyDescent="0.25">
      <c r="A12923" t="s">
        <v>16</v>
      </c>
      <c r="B12923" t="s">
        <v>3221</v>
      </c>
      <c r="C12923">
        <v>4974</v>
      </c>
      <c r="D12923" t="s">
        <v>266</v>
      </c>
      <c r="E12923" t="s">
        <v>267</v>
      </c>
      <c r="F12923">
        <v>27.57</v>
      </c>
      <c r="G12923">
        <v>230411</v>
      </c>
      <c r="H12923">
        <v>4600</v>
      </c>
      <c r="I12923" t="s">
        <v>105</v>
      </c>
      <c r="J12923">
        <v>34.19</v>
      </c>
      <c r="K12923">
        <v>6.62</v>
      </c>
      <c r="L12923">
        <v>56568</v>
      </c>
      <c r="M12923" t="s">
        <v>268</v>
      </c>
      <c r="N12923" t="str">
        <f>"171171826   "</f>
        <v xml:space="preserve">171171826   </v>
      </c>
      <c r="O12923">
        <v>230414</v>
      </c>
    </row>
    <row r="12924" spans="1:15" x14ac:dyDescent="0.25">
      <c r="A12924" t="s">
        <v>16</v>
      </c>
      <c r="B12924" t="s">
        <v>3221</v>
      </c>
      <c r="C12924">
        <v>4975</v>
      </c>
      <c r="D12924" t="s">
        <v>266</v>
      </c>
      <c r="E12924" t="s">
        <v>267</v>
      </c>
      <c r="F12924">
        <v>23.06</v>
      </c>
      <c r="G12924">
        <v>230411</v>
      </c>
      <c r="H12924">
        <v>4600</v>
      </c>
      <c r="I12924" t="s">
        <v>105</v>
      </c>
      <c r="J12924">
        <v>28.59</v>
      </c>
      <c r="K12924">
        <v>5.53</v>
      </c>
      <c r="L12924">
        <v>56568</v>
      </c>
      <c r="M12924" t="s">
        <v>268</v>
      </c>
      <c r="N12924" t="str">
        <f>"171171827   "</f>
        <v xml:space="preserve">171171827   </v>
      </c>
      <c r="O12924">
        <v>230414</v>
      </c>
    </row>
    <row r="12925" spans="1:15" x14ac:dyDescent="0.25">
      <c r="A12925" t="s">
        <v>16</v>
      </c>
      <c r="B12925" t="s">
        <v>3221</v>
      </c>
      <c r="C12925">
        <v>4976</v>
      </c>
      <c r="D12925" t="s">
        <v>266</v>
      </c>
      <c r="E12925" t="s">
        <v>267</v>
      </c>
      <c r="F12925">
        <v>-16.760000000000002</v>
      </c>
      <c r="G12925">
        <v>230411</v>
      </c>
      <c r="H12925">
        <v>4600</v>
      </c>
      <c r="I12925" t="s">
        <v>105</v>
      </c>
      <c r="J12925">
        <v>-20.78</v>
      </c>
      <c r="K12925">
        <v>-4.0199999999999996</v>
      </c>
      <c r="L12925">
        <v>56568</v>
      </c>
      <c r="M12925" t="s">
        <v>268</v>
      </c>
      <c r="N12925" t="str">
        <f>"171172532   "</f>
        <v xml:space="preserve">171172532   </v>
      </c>
      <c r="O12925">
        <v>230414</v>
      </c>
    </row>
    <row r="12926" spans="1:15" x14ac:dyDescent="0.25">
      <c r="A12926" t="s">
        <v>16</v>
      </c>
      <c r="B12926" t="s">
        <v>3221</v>
      </c>
      <c r="C12926">
        <v>4977</v>
      </c>
      <c r="D12926" t="s">
        <v>266</v>
      </c>
      <c r="E12926" t="s">
        <v>267</v>
      </c>
      <c r="F12926">
        <v>686.68</v>
      </c>
      <c r="G12926">
        <v>230411</v>
      </c>
      <c r="H12926">
        <v>4600</v>
      </c>
      <c r="I12926" t="s">
        <v>105</v>
      </c>
      <c r="J12926">
        <v>851.48</v>
      </c>
      <c r="K12926">
        <v>164.8</v>
      </c>
      <c r="L12926">
        <v>56568</v>
      </c>
      <c r="M12926" t="s">
        <v>268</v>
      </c>
      <c r="N12926" t="str">
        <f>"171172265   "</f>
        <v xml:space="preserve">171172265   </v>
      </c>
      <c r="O12926">
        <v>230414</v>
      </c>
    </row>
    <row r="12927" spans="1:15" x14ac:dyDescent="0.25">
      <c r="A12927" t="s">
        <v>16</v>
      </c>
      <c r="B12927" t="s">
        <v>3221</v>
      </c>
      <c r="C12927">
        <v>4978</v>
      </c>
      <c r="D12927" t="s">
        <v>266</v>
      </c>
      <c r="E12927" t="s">
        <v>267</v>
      </c>
      <c r="F12927">
        <v>64.510000000000005</v>
      </c>
      <c r="G12927">
        <v>230411</v>
      </c>
      <c r="H12927">
        <v>4600</v>
      </c>
      <c r="I12927" t="s">
        <v>105</v>
      </c>
      <c r="J12927">
        <v>79.989999999999995</v>
      </c>
      <c r="K12927">
        <v>15.48</v>
      </c>
      <c r="L12927">
        <v>56568</v>
      </c>
      <c r="M12927" t="s">
        <v>268</v>
      </c>
      <c r="N12927" t="str">
        <f>"171171824   "</f>
        <v xml:space="preserve">171171824   </v>
      </c>
      <c r="O12927">
        <v>230414</v>
      </c>
    </row>
    <row r="12928" spans="1:15" x14ac:dyDescent="0.25">
      <c r="A12928" t="s">
        <v>16</v>
      </c>
      <c r="B12928" t="s">
        <v>3221</v>
      </c>
      <c r="C12928">
        <v>4981</v>
      </c>
      <c r="D12928" t="s">
        <v>266</v>
      </c>
      <c r="E12928" t="s">
        <v>267</v>
      </c>
      <c r="F12928">
        <v>-32.26</v>
      </c>
      <c r="G12928">
        <v>230411</v>
      </c>
      <c r="H12928">
        <v>4600</v>
      </c>
      <c r="I12928" t="s">
        <v>105</v>
      </c>
      <c r="J12928">
        <v>-40</v>
      </c>
      <c r="K12928">
        <v>-7.74</v>
      </c>
      <c r="L12928">
        <v>56568</v>
      </c>
      <c r="M12928" t="s">
        <v>268</v>
      </c>
      <c r="N12928" t="str">
        <f>"171171742   "</f>
        <v xml:space="preserve">171171742   </v>
      </c>
      <c r="O12928">
        <v>230414</v>
      </c>
    </row>
    <row r="12929" spans="1:15" x14ac:dyDescent="0.25">
      <c r="A12929" t="s">
        <v>16</v>
      </c>
      <c r="B12929" t="s">
        <v>3221</v>
      </c>
      <c r="C12929">
        <v>4983</v>
      </c>
      <c r="D12929" t="s">
        <v>266</v>
      </c>
      <c r="E12929" t="s">
        <v>267</v>
      </c>
      <c r="F12929">
        <v>147.9</v>
      </c>
      <c r="G12929">
        <v>230411</v>
      </c>
      <c r="H12929">
        <v>4600</v>
      </c>
      <c r="I12929" t="s">
        <v>105</v>
      </c>
      <c r="J12929">
        <v>183.39</v>
      </c>
      <c r="K12929">
        <v>35.49</v>
      </c>
      <c r="L12929">
        <v>56568</v>
      </c>
      <c r="M12929" t="s">
        <v>268</v>
      </c>
      <c r="N12929" t="str">
        <f>"171171446   "</f>
        <v xml:space="preserve">171171446   </v>
      </c>
      <c r="O12929">
        <v>230414</v>
      </c>
    </row>
    <row r="12930" spans="1:15" x14ac:dyDescent="0.25">
      <c r="A12930" t="s">
        <v>16</v>
      </c>
      <c r="B12930" t="s">
        <v>3221</v>
      </c>
      <c r="C12930">
        <v>4984</v>
      </c>
      <c r="D12930" t="s">
        <v>266</v>
      </c>
      <c r="E12930" t="s">
        <v>267</v>
      </c>
      <c r="F12930">
        <v>-29.24</v>
      </c>
      <c r="G12930">
        <v>230411</v>
      </c>
      <c r="H12930">
        <v>4600</v>
      </c>
      <c r="I12930" t="s">
        <v>105</v>
      </c>
      <c r="J12930">
        <v>-36.26</v>
      </c>
      <c r="K12930">
        <v>-7.02</v>
      </c>
      <c r="L12930">
        <v>56568</v>
      </c>
      <c r="M12930" t="s">
        <v>268</v>
      </c>
      <c r="N12930" t="str">
        <f>"171172481   "</f>
        <v xml:space="preserve">171172481   </v>
      </c>
      <c r="O12930">
        <v>230414</v>
      </c>
    </row>
    <row r="12931" spans="1:15" x14ac:dyDescent="0.25">
      <c r="A12931" t="s">
        <v>16</v>
      </c>
      <c r="B12931" t="s">
        <v>3221</v>
      </c>
      <c r="C12931">
        <v>4985</v>
      </c>
      <c r="D12931" t="s">
        <v>266</v>
      </c>
      <c r="E12931" t="s">
        <v>267</v>
      </c>
      <c r="F12931">
        <v>64.14</v>
      </c>
      <c r="G12931">
        <v>230411</v>
      </c>
      <c r="H12931">
        <v>4600</v>
      </c>
      <c r="I12931" t="s">
        <v>105</v>
      </c>
      <c r="J12931">
        <v>79.53</v>
      </c>
      <c r="K12931">
        <v>15.39</v>
      </c>
      <c r="L12931">
        <v>56568</v>
      </c>
      <c r="M12931" t="s">
        <v>268</v>
      </c>
      <c r="N12931" t="str">
        <f>"171171445   "</f>
        <v xml:space="preserve">171171445   </v>
      </c>
      <c r="O12931">
        <v>230414</v>
      </c>
    </row>
    <row r="12932" spans="1:15" x14ac:dyDescent="0.25">
      <c r="A12932" t="s">
        <v>16</v>
      </c>
      <c r="B12932" t="s">
        <v>3221</v>
      </c>
      <c r="C12932">
        <v>4986</v>
      </c>
      <c r="D12932" t="s">
        <v>266</v>
      </c>
      <c r="E12932" t="s">
        <v>267</v>
      </c>
      <c r="F12932">
        <v>61.85</v>
      </c>
      <c r="G12932">
        <v>230411</v>
      </c>
      <c r="H12932">
        <v>4600</v>
      </c>
      <c r="I12932" t="s">
        <v>105</v>
      </c>
      <c r="J12932">
        <v>76.7</v>
      </c>
      <c r="K12932">
        <v>14.85</v>
      </c>
      <c r="L12932">
        <v>56568</v>
      </c>
      <c r="M12932" t="s">
        <v>268</v>
      </c>
      <c r="N12932" t="str">
        <f>"171172379   "</f>
        <v xml:space="preserve">171172379   </v>
      </c>
      <c r="O12932">
        <v>230414</v>
      </c>
    </row>
    <row r="12933" spans="1:15" x14ac:dyDescent="0.25">
      <c r="A12933" t="s">
        <v>16</v>
      </c>
      <c r="B12933" t="s">
        <v>3221</v>
      </c>
      <c r="C12933">
        <v>5251</v>
      </c>
      <c r="D12933" t="s">
        <v>266</v>
      </c>
      <c r="E12933" t="s">
        <v>267</v>
      </c>
      <c r="F12933">
        <v>168.58</v>
      </c>
      <c r="G12933">
        <v>230417</v>
      </c>
      <c r="H12933">
        <v>4600</v>
      </c>
      <c r="I12933" t="s">
        <v>105</v>
      </c>
      <c r="J12933">
        <v>209.04</v>
      </c>
      <c r="K12933">
        <v>40.46</v>
      </c>
      <c r="L12933">
        <v>56568</v>
      </c>
      <c r="M12933" t="s">
        <v>268</v>
      </c>
      <c r="N12933" t="str">
        <f>"171172782   "</f>
        <v xml:space="preserve">171172782   </v>
      </c>
      <c r="O12933">
        <v>230419</v>
      </c>
    </row>
    <row r="12934" spans="1:15" x14ac:dyDescent="0.25">
      <c r="A12934" t="s">
        <v>16</v>
      </c>
      <c r="B12934" t="s">
        <v>3221</v>
      </c>
      <c r="C12934">
        <v>5252</v>
      </c>
      <c r="D12934" t="s">
        <v>266</v>
      </c>
      <c r="E12934" t="s">
        <v>267</v>
      </c>
      <c r="F12934">
        <v>110.35</v>
      </c>
      <c r="G12934">
        <v>230417</v>
      </c>
      <c r="H12934">
        <v>4600</v>
      </c>
      <c r="I12934" t="s">
        <v>105</v>
      </c>
      <c r="J12934">
        <v>136.83000000000001</v>
      </c>
      <c r="K12934">
        <v>26.48</v>
      </c>
      <c r="L12934">
        <v>56568</v>
      </c>
      <c r="M12934" t="s">
        <v>268</v>
      </c>
      <c r="N12934" t="str">
        <f>"171172815   "</f>
        <v xml:space="preserve">171172815   </v>
      </c>
      <c r="O12934">
        <v>230419</v>
      </c>
    </row>
    <row r="12935" spans="1:15" x14ac:dyDescent="0.25">
      <c r="A12935" t="s">
        <v>16</v>
      </c>
      <c r="B12935" t="s">
        <v>3221</v>
      </c>
      <c r="C12935">
        <v>5255</v>
      </c>
      <c r="D12935" t="s">
        <v>266</v>
      </c>
      <c r="E12935" t="s">
        <v>267</v>
      </c>
      <c r="F12935">
        <v>185.58</v>
      </c>
      <c r="G12935">
        <v>230417</v>
      </c>
      <c r="H12935">
        <v>4600</v>
      </c>
      <c r="I12935" t="s">
        <v>105</v>
      </c>
      <c r="J12935">
        <v>230.12</v>
      </c>
      <c r="K12935">
        <v>44.54</v>
      </c>
      <c r="L12935">
        <v>56568</v>
      </c>
      <c r="M12935" t="s">
        <v>268</v>
      </c>
      <c r="N12935" t="str">
        <f>"171173464   "</f>
        <v xml:space="preserve">171173464   </v>
      </c>
      <c r="O12935">
        <v>230419</v>
      </c>
    </row>
    <row r="12936" spans="1:15" x14ac:dyDescent="0.25">
      <c r="A12936" t="s">
        <v>16</v>
      </c>
      <c r="B12936" t="s">
        <v>3221</v>
      </c>
      <c r="C12936">
        <v>5257</v>
      </c>
      <c r="D12936" t="s">
        <v>266</v>
      </c>
      <c r="E12936" t="s">
        <v>267</v>
      </c>
      <c r="F12936">
        <v>523.21</v>
      </c>
      <c r="G12936">
        <v>230417</v>
      </c>
      <c r="H12936">
        <v>4600</v>
      </c>
      <c r="I12936" t="s">
        <v>105</v>
      </c>
      <c r="J12936">
        <v>648.78</v>
      </c>
      <c r="K12936">
        <v>125.57</v>
      </c>
      <c r="L12936">
        <v>56568</v>
      </c>
      <c r="M12936" t="s">
        <v>268</v>
      </c>
      <c r="N12936" t="str">
        <f>"171173465   "</f>
        <v xml:space="preserve">171173465   </v>
      </c>
      <c r="O12936">
        <v>230419</v>
      </c>
    </row>
    <row r="12937" spans="1:15" x14ac:dyDescent="0.25">
      <c r="A12937" t="s">
        <v>16</v>
      </c>
      <c r="B12937" t="s">
        <v>3221</v>
      </c>
      <c r="C12937">
        <v>5258</v>
      </c>
      <c r="D12937" t="s">
        <v>266</v>
      </c>
      <c r="E12937" t="s">
        <v>267</v>
      </c>
      <c r="F12937">
        <v>56.27</v>
      </c>
      <c r="G12937">
        <v>230417</v>
      </c>
      <c r="H12937">
        <v>4600</v>
      </c>
      <c r="I12937" t="s">
        <v>105</v>
      </c>
      <c r="J12937">
        <v>69.77</v>
      </c>
      <c r="K12937">
        <v>13.5</v>
      </c>
      <c r="L12937">
        <v>56568</v>
      </c>
      <c r="M12937" t="s">
        <v>268</v>
      </c>
      <c r="N12937" t="str">
        <f>"171173466   "</f>
        <v xml:space="preserve">171173466   </v>
      </c>
      <c r="O12937">
        <v>230419</v>
      </c>
    </row>
    <row r="12938" spans="1:15" x14ac:dyDescent="0.25">
      <c r="A12938" t="s">
        <v>16</v>
      </c>
      <c r="B12938" t="s">
        <v>3221</v>
      </c>
      <c r="C12938">
        <v>5553</v>
      </c>
      <c r="D12938" t="s">
        <v>266</v>
      </c>
      <c r="E12938" t="s">
        <v>267</v>
      </c>
      <c r="F12938">
        <v>-64.52</v>
      </c>
      <c r="G12938">
        <v>230424</v>
      </c>
      <c r="H12938">
        <v>4600</v>
      </c>
      <c r="I12938" t="s">
        <v>105</v>
      </c>
      <c r="J12938">
        <v>-80</v>
      </c>
      <c r="K12938">
        <v>-15.48</v>
      </c>
      <c r="L12938">
        <v>56568</v>
      </c>
      <c r="M12938" t="s">
        <v>268</v>
      </c>
      <c r="N12938" t="str">
        <f>"171175521   "</f>
        <v xml:space="preserve">171175521   </v>
      </c>
      <c r="O12938">
        <v>230426</v>
      </c>
    </row>
    <row r="12939" spans="1:15" x14ac:dyDescent="0.25">
      <c r="A12939" t="s">
        <v>16</v>
      </c>
      <c r="B12939" t="s">
        <v>3221</v>
      </c>
      <c r="C12939">
        <v>5554</v>
      </c>
      <c r="D12939" t="s">
        <v>266</v>
      </c>
      <c r="E12939" t="s">
        <v>267</v>
      </c>
      <c r="F12939">
        <v>122.53</v>
      </c>
      <c r="G12939">
        <v>230424</v>
      </c>
      <c r="H12939">
        <v>4600</v>
      </c>
      <c r="I12939" t="s">
        <v>105</v>
      </c>
      <c r="J12939">
        <v>151.94</v>
      </c>
      <c r="K12939">
        <v>29.41</v>
      </c>
      <c r="L12939">
        <v>56568</v>
      </c>
      <c r="M12939" t="s">
        <v>268</v>
      </c>
      <c r="N12939" t="str">
        <f>"171175386   "</f>
        <v xml:space="preserve">171175386   </v>
      </c>
      <c r="O12939">
        <v>230426</v>
      </c>
    </row>
    <row r="12940" spans="1:15" x14ac:dyDescent="0.25">
      <c r="A12940" t="s">
        <v>16</v>
      </c>
      <c r="B12940" t="s">
        <v>3221</v>
      </c>
      <c r="C12940">
        <v>5555</v>
      </c>
      <c r="D12940" t="s">
        <v>266</v>
      </c>
      <c r="E12940" t="s">
        <v>267</v>
      </c>
      <c r="F12940">
        <v>-16.13</v>
      </c>
      <c r="G12940">
        <v>230424</v>
      </c>
      <c r="H12940">
        <v>4600</v>
      </c>
      <c r="I12940" t="s">
        <v>105</v>
      </c>
      <c r="J12940">
        <v>-20</v>
      </c>
      <c r="K12940">
        <v>-3.87</v>
      </c>
      <c r="L12940">
        <v>56568</v>
      </c>
      <c r="M12940" t="s">
        <v>268</v>
      </c>
      <c r="N12940" t="str">
        <f>"171175557   "</f>
        <v xml:space="preserve">171175557   </v>
      </c>
      <c r="O12940">
        <v>230426</v>
      </c>
    </row>
    <row r="12941" spans="1:15" x14ac:dyDescent="0.25">
      <c r="A12941" t="s">
        <v>16</v>
      </c>
      <c r="B12941" t="s">
        <v>3221</v>
      </c>
      <c r="C12941">
        <v>5556</v>
      </c>
      <c r="D12941" t="s">
        <v>266</v>
      </c>
      <c r="E12941" t="s">
        <v>267</v>
      </c>
      <c r="F12941">
        <v>-16.13</v>
      </c>
      <c r="G12941">
        <v>230424</v>
      </c>
      <c r="H12941">
        <v>4600</v>
      </c>
      <c r="I12941" t="s">
        <v>105</v>
      </c>
      <c r="J12941">
        <v>-20</v>
      </c>
      <c r="K12941">
        <v>-3.87</v>
      </c>
      <c r="L12941">
        <v>56568</v>
      </c>
      <c r="M12941" t="s">
        <v>268</v>
      </c>
      <c r="N12941" t="str">
        <f>"171175274   "</f>
        <v xml:space="preserve">171175274   </v>
      </c>
      <c r="O12941">
        <v>230426</v>
      </c>
    </row>
    <row r="12942" spans="1:15" x14ac:dyDescent="0.25">
      <c r="A12942" t="s">
        <v>16</v>
      </c>
      <c r="B12942" t="s">
        <v>3221</v>
      </c>
      <c r="C12942">
        <v>5557</v>
      </c>
      <c r="D12942" t="s">
        <v>266</v>
      </c>
      <c r="E12942" t="s">
        <v>267</v>
      </c>
      <c r="F12942">
        <v>-10.23</v>
      </c>
      <c r="G12942">
        <v>230424</v>
      </c>
      <c r="H12942">
        <v>4600</v>
      </c>
      <c r="I12942" t="s">
        <v>105</v>
      </c>
      <c r="J12942">
        <v>-12.68</v>
      </c>
      <c r="K12942">
        <v>-2.4500000000000002</v>
      </c>
      <c r="L12942">
        <v>56568</v>
      </c>
      <c r="M12942" t="s">
        <v>268</v>
      </c>
      <c r="N12942" t="str">
        <f>"171174687   "</f>
        <v xml:space="preserve">171174687   </v>
      </c>
      <c r="O12942">
        <v>230426</v>
      </c>
    </row>
    <row r="12943" spans="1:15" x14ac:dyDescent="0.25">
      <c r="A12943" t="s">
        <v>16</v>
      </c>
      <c r="B12943" t="s">
        <v>3221</v>
      </c>
      <c r="C12943">
        <v>5558</v>
      </c>
      <c r="D12943" t="s">
        <v>266</v>
      </c>
      <c r="E12943" t="s">
        <v>267</v>
      </c>
      <c r="F12943">
        <v>67.44</v>
      </c>
      <c r="G12943">
        <v>230424</v>
      </c>
      <c r="H12943">
        <v>4600</v>
      </c>
      <c r="I12943" t="s">
        <v>105</v>
      </c>
      <c r="J12943">
        <v>83.62</v>
      </c>
      <c r="K12943">
        <v>16.18</v>
      </c>
      <c r="L12943">
        <v>56568</v>
      </c>
      <c r="M12943" t="s">
        <v>268</v>
      </c>
      <c r="N12943" t="str">
        <f>"171174854   "</f>
        <v xml:space="preserve">171174854   </v>
      </c>
      <c r="O12943">
        <v>230426</v>
      </c>
    </row>
    <row r="12944" spans="1:15" x14ac:dyDescent="0.25">
      <c r="A12944" t="s">
        <v>16</v>
      </c>
      <c r="B12944" t="s">
        <v>3221</v>
      </c>
      <c r="C12944">
        <v>5559</v>
      </c>
      <c r="D12944" t="s">
        <v>266</v>
      </c>
      <c r="E12944" t="s">
        <v>267</v>
      </c>
      <c r="F12944">
        <v>236.91</v>
      </c>
      <c r="G12944">
        <v>230424</v>
      </c>
      <c r="H12944">
        <v>4600</v>
      </c>
      <c r="I12944" t="s">
        <v>105</v>
      </c>
      <c r="J12944">
        <v>293.77</v>
      </c>
      <c r="K12944">
        <v>56.86</v>
      </c>
      <c r="L12944">
        <v>56568</v>
      </c>
      <c r="M12944" t="s">
        <v>268</v>
      </c>
      <c r="N12944" t="str">
        <f>"171175158   "</f>
        <v xml:space="preserve">171175158   </v>
      </c>
      <c r="O12944">
        <v>230426</v>
      </c>
    </row>
    <row r="12945" spans="1:15" x14ac:dyDescent="0.25">
      <c r="A12945" t="s">
        <v>16</v>
      </c>
      <c r="B12945" t="s">
        <v>3221</v>
      </c>
      <c r="C12945">
        <v>5561</v>
      </c>
      <c r="D12945" t="s">
        <v>266</v>
      </c>
      <c r="E12945" t="s">
        <v>267</v>
      </c>
      <c r="F12945">
        <v>23.41</v>
      </c>
      <c r="G12945">
        <v>230424</v>
      </c>
      <c r="H12945">
        <v>4600</v>
      </c>
      <c r="I12945" t="s">
        <v>105</v>
      </c>
      <c r="J12945">
        <v>29.03</v>
      </c>
      <c r="K12945">
        <v>5.62</v>
      </c>
      <c r="L12945">
        <v>56568</v>
      </c>
      <c r="M12945" t="s">
        <v>268</v>
      </c>
      <c r="N12945" t="str">
        <f>"171175154   "</f>
        <v xml:space="preserve">171175154   </v>
      </c>
      <c r="O12945">
        <v>230426</v>
      </c>
    </row>
    <row r="12946" spans="1:15" x14ac:dyDescent="0.25">
      <c r="A12946" t="s">
        <v>16</v>
      </c>
      <c r="B12946" t="s">
        <v>3221</v>
      </c>
      <c r="C12946">
        <v>5562</v>
      </c>
      <c r="D12946" t="s">
        <v>266</v>
      </c>
      <c r="E12946" t="s">
        <v>267</v>
      </c>
      <c r="F12946">
        <v>161.72999999999999</v>
      </c>
      <c r="G12946">
        <v>230424</v>
      </c>
      <c r="H12946">
        <v>4600</v>
      </c>
      <c r="I12946" t="s">
        <v>105</v>
      </c>
      <c r="J12946">
        <v>200.55</v>
      </c>
      <c r="K12946">
        <v>38.82</v>
      </c>
      <c r="L12946">
        <v>56568</v>
      </c>
      <c r="M12946" t="s">
        <v>268</v>
      </c>
      <c r="N12946" t="str">
        <f>"171174550   "</f>
        <v xml:space="preserve">171174550   </v>
      </c>
      <c r="O12946">
        <v>230426</v>
      </c>
    </row>
    <row r="12947" spans="1:15" x14ac:dyDescent="0.25">
      <c r="A12947" t="s">
        <v>16</v>
      </c>
      <c r="B12947" t="s">
        <v>3221</v>
      </c>
      <c r="C12947">
        <v>5563</v>
      </c>
      <c r="D12947" t="s">
        <v>266</v>
      </c>
      <c r="E12947" t="s">
        <v>267</v>
      </c>
      <c r="F12947">
        <v>325.31</v>
      </c>
      <c r="G12947">
        <v>230424</v>
      </c>
      <c r="H12947">
        <v>4600</v>
      </c>
      <c r="I12947" t="s">
        <v>105</v>
      </c>
      <c r="J12947">
        <v>403.38</v>
      </c>
      <c r="K12947">
        <v>78.069999999999993</v>
      </c>
      <c r="L12947">
        <v>56568</v>
      </c>
      <c r="M12947" t="s">
        <v>268</v>
      </c>
      <c r="N12947" t="str">
        <f>"171174864   "</f>
        <v xml:space="preserve">171174864   </v>
      </c>
      <c r="O12947">
        <v>230426</v>
      </c>
    </row>
    <row r="12948" spans="1:15" x14ac:dyDescent="0.25">
      <c r="A12948" t="s">
        <v>16</v>
      </c>
      <c r="B12948" t="s">
        <v>3221</v>
      </c>
      <c r="C12948">
        <v>5564</v>
      </c>
      <c r="D12948" t="s">
        <v>266</v>
      </c>
      <c r="E12948" t="s">
        <v>267</v>
      </c>
      <c r="F12948">
        <v>190.6</v>
      </c>
      <c r="G12948">
        <v>230424</v>
      </c>
      <c r="H12948">
        <v>4600</v>
      </c>
      <c r="I12948" t="s">
        <v>105</v>
      </c>
      <c r="J12948">
        <v>236.34</v>
      </c>
      <c r="K12948">
        <v>45.74</v>
      </c>
      <c r="L12948">
        <v>56568</v>
      </c>
      <c r="M12948" t="s">
        <v>268</v>
      </c>
      <c r="N12948" t="str">
        <f>"171174548   "</f>
        <v xml:space="preserve">171174548   </v>
      </c>
      <c r="O12948">
        <v>230426</v>
      </c>
    </row>
    <row r="12949" spans="1:15" x14ac:dyDescent="0.25">
      <c r="A12949" t="s">
        <v>16</v>
      </c>
      <c r="B12949" t="s">
        <v>3221</v>
      </c>
      <c r="C12949">
        <v>6015</v>
      </c>
      <c r="D12949" t="s">
        <v>266</v>
      </c>
      <c r="E12949" t="s">
        <v>267</v>
      </c>
      <c r="F12949">
        <v>174.77</v>
      </c>
      <c r="G12949">
        <v>230430</v>
      </c>
      <c r="H12949">
        <v>4600</v>
      </c>
      <c r="I12949" t="s">
        <v>105</v>
      </c>
      <c r="J12949">
        <v>216.71</v>
      </c>
      <c r="K12949">
        <v>41.94</v>
      </c>
      <c r="L12949">
        <v>56568</v>
      </c>
      <c r="M12949" t="s">
        <v>268</v>
      </c>
      <c r="N12949" t="str">
        <f>"171176744   "</f>
        <v xml:space="preserve">171176744   </v>
      </c>
      <c r="O12949">
        <v>230505</v>
      </c>
    </row>
    <row r="12950" spans="1:15" x14ac:dyDescent="0.25">
      <c r="A12950" t="s">
        <v>16</v>
      </c>
      <c r="B12950" t="s">
        <v>3221</v>
      </c>
      <c r="C12950">
        <v>6016</v>
      </c>
      <c r="D12950" t="s">
        <v>266</v>
      </c>
      <c r="E12950" t="s">
        <v>267</v>
      </c>
      <c r="F12950">
        <v>-112.9</v>
      </c>
      <c r="G12950">
        <v>230430</v>
      </c>
      <c r="H12950">
        <v>4600</v>
      </c>
      <c r="I12950" t="s">
        <v>105</v>
      </c>
      <c r="J12950">
        <v>-140</v>
      </c>
      <c r="K12950">
        <v>-27.1</v>
      </c>
      <c r="L12950">
        <v>56568</v>
      </c>
      <c r="M12950" t="s">
        <v>268</v>
      </c>
      <c r="N12950" t="str">
        <f>"171177155   "</f>
        <v xml:space="preserve">171177155   </v>
      </c>
      <c r="O12950">
        <v>230505</v>
      </c>
    </row>
    <row r="12951" spans="1:15" x14ac:dyDescent="0.25">
      <c r="A12951" t="s">
        <v>16</v>
      </c>
      <c r="B12951" t="s">
        <v>3221</v>
      </c>
      <c r="C12951">
        <v>6017</v>
      </c>
      <c r="D12951" t="s">
        <v>266</v>
      </c>
      <c r="E12951" t="s">
        <v>267</v>
      </c>
      <c r="F12951">
        <v>120.57</v>
      </c>
      <c r="G12951">
        <v>230430</v>
      </c>
      <c r="H12951">
        <v>4600</v>
      </c>
      <c r="I12951" t="s">
        <v>105</v>
      </c>
      <c r="J12951">
        <v>149.51</v>
      </c>
      <c r="K12951">
        <v>28.94</v>
      </c>
      <c r="L12951">
        <v>56568</v>
      </c>
      <c r="M12951" t="s">
        <v>268</v>
      </c>
      <c r="N12951" t="str">
        <f>"171176988   "</f>
        <v xml:space="preserve">171176988   </v>
      </c>
      <c r="O12951">
        <v>230505</v>
      </c>
    </row>
    <row r="12952" spans="1:15" x14ac:dyDescent="0.25">
      <c r="A12952" t="s">
        <v>16</v>
      </c>
      <c r="B12952" t="s">
        <v>3221</v>
      </c>
      <c r="C12952">
        <v>6018</v>
      </c>
      <c r="D12952" t="s">
        <v>266</v>
      </c>
      <c r="E12952" t="s">
        <v>267</v>
      </c>
      <c r="F12952">
        <v>56.07</v>
      </c>
      <c r="G12952">
        <v>230430</v>
      </c>
      <c r="H12952">
        <v>4600</v>
      </c>
      <c r="I12952" t="s">
        <v>105</v>
      </c>
      <c r="J12952">
        <v>69.53</v>
      </c>
      <c r="K12952">
        <v>13.46</v>
      </c>
      <c r="L12952">
        <v>56568</v>
      </c>
      <c r="M12952" t="s">
        <v>268</v>
      </c>
      <c r="N12952" t="str">
        <f>"171176482   "</f>
        <v xml:space="preserve">171176482   </v>
      </c>
      <c r="O12952">
        <v>230505</v>
      </c>
    </row>
    <row r="12953" spans="1:15" x14ac:dyDescent="0.25">
      <c r="A12953" t="s">
        <v>16</v>
      </c>
      <c r="B12953" t="s">
        <v>3221</v>
      </c>
      <c r="C12953">
        <v>6019</v>
      </c>
      <c r="D12953" t="s">
        <v>266</v>
      </c>
      <c r="E12953" t="s">
        <v>267</v>
      </c>
      <c r="F12953">
        <v>57.95</v>
      </c>
      <c r="G12953">
        <v>230430</v>
      </c>
      <c r="H12953">
        <v>4600</v>
      </c>
      <c r="I12953" t="s">
        <v>105</v>
      </c>
      <c r="J12953">
        <v>71.86</v>
      </c>
      <c r="K12953">
        <v>13.91</v>
      </c>
      <c r="L12953">
        <v>56568</v>
      </c>
      <c r="M12953" t="s">
        <v>268</v>
      </c>
      <c r="N12953" t="str">
        <f>"171176752   "</f>
        <v xml:space="preserve">171176752   </v>
      </c>
      <c r="O12953">
        <v>230505</v>
      </c>
    </row>
    <row r="12954" spans="1:15" x14ac:dyDescent="0.25">
      <c r="A12954" t="s">
        <v>16</v>
      </c>
      <c r="B12954" t="s">
        <v>3221</v>
      </c>
      <c r="C12954">
        <v>6020</v>
      </c>
      <c r="D12954" t="s">
        <v>266</v>
      </c>
      <c r="E12954" t="s">
        <v>267</v>
      </c>
      <c r="F12954">
        <v>29.98</v>
      </c>
      <c r="G12954">
        <v>230430</v>
      </c>
      <c r="H12954">
        <v>4600</v>
      </c>
      <c r="I12954" t="s">
        <v>105</v>
      </c>
      <c r="J12954">
        <v>37.18</v>
      </c>
      <c r="K12954">
        <v>7.2</v>
      </c>
      <c r="L12954">
        <v>56568</v>
      </c>
      <c r="M12954" t="s">
        <v>268</v>
      </c>
      <c r="N12954" t="str">
        <f>"171176743   "</f>
        <v xml:space="preserve">171176743   </v>
      </c>
      <c r="O12954">
        <v>230505</v>
      </c>
    </row>
    <row r="12955" spans="1:15" x14ac:dyDescent="0.25">
      <c r="A12955" t="s">
        <v>16</v>
      </c>
      <c r="B12955" t="s">
        <v>3221</v>
      </c>
      <c r="C12955">
        <v>6021</v>
      </c>
      <c r="D12955" t="s">
        <v>266</v>
      </c>
      <c r="E12955" t="s">
        <v>267</v>
      </c>
      <c r="F12955">
        <v>31.58</v>
      </c>
      <c r="G12955">
        <v>230430</v>
      </c>
      <c r="H12955">
        <v>4600</v>
      </c>
      <c r="I12955" t="s">
        <v>105</v>
      </c>
      <c r="J12955">
        <v>39.159999999999997</v>
      </c>
      <c r="K12955">
        <v>7.58</v>
      </c>
      <c r="L12955">
        <v>56568</v>
      </c>
      <c r="M12955" t="s">
        <v>268</v>
      </c>
      <c r="N12955" t="str">
        <f>"171176485   "</f>
        <v xml:space="preserve">171176485   </v>
      </c>
      <c r="O12955">
        <v>230505</v>
      </c>
    </row>
    <row r="12956" spans="1:15" x14ac:dyDescent="0.25">
      <c r="A12956" t="s">
        <v>16</v>
      </c>
      <c r="B12956" t="s">
        <v>3221</v>
      </c>
      <c r="C12956">
        <v>6022</v>
      </c>
      <c r="D12956" t="s">
        <v>266</v>
      </c>
      <c r="E12956" t="s">
        <v>267</v>
      </c>
      <c r="F12956">
        <v>16.579999999999998</v>
      </c>
      <c r="G12956">
        <v>230430</v>
      </c>
      <c r="H12956">
        <v>4600</v>
      </c>
      <c r="I12956" t="s">
        <v>105</v>
      </c>
      <c r="J12956">
        <v>20.56</v>
      </c>
      <c r="K12956">
        <v>3.98</v>
      </c>
      <c r="L12956">
        <v>56568</v>
      </c>
      <c r="M12956" t="s">
        <v>268</v>
      </c>
      <c r="N12956" t="str">
        <f>"171176987   "</f>
        <v xml:space="preserve">171176987   </v>
      </c>
      <c r="O12956">
        <v>230505</v>
      </c>
    </row>
    <row r="12957" spans="1:15" x14ac:dyDescent="0.25">
      <c r="A12957" t="s">
        <v>16</v>
      </c>
      <c r="B12957" t="s">
        <v>3221</v>
      </c>
      <c r="C12957">
        <v>6023</v>
      </c>
      <c r="D12957" t="s">
        <v>266</v>
      </c>
      <c r="E12957" t="s">
        <v>267</v>
      </c>
      <c r="F12957">
        <v>149.19999999999999</v>
      </c>
      <c r="G12957">
        <v>230430</v>
      </c>
      <c r="H12957">
        <v>4600</v>
      </c>
      <c r="I12957" t="s">
        <v>105</v>
      </c>
      <c r="J12957">
        <v>185.01</v>
      </c>
      <c r="K12957">
        <v>35.81</v>
      </c>
      <c r="L12957">
        <v>56568</v>
      </c>
      <c r="M12957" t="s">
        <v>268</v>
      </c>
      <c r="N12957" t="str">
        <f>"171176484   "</f>
        <v xml:space="preserve">171176484   </v>
      </c>
      <c r="O12957">
        <v>230505</v>
      </c>
    </row>
    <row r="12958" spans="1:15" x14ac:dyDescent="0.25">
      <c r="A12958" t="s">
        <v>16</v>
      </c>
      <c r="B12958" t="s">
        <v>3221</v>
      </c>
      <c r="C12958">
        <v>6024</v>
      </c>
      <c r="D12958" t="s">
        <v>266</v>
      </c>
      <c r="E12958" t="s">
        <v>267</v>
      </c>
      <c r="F12958">
        <v>-260.35000000000002</v>
      </c>
      <c r="G12958">
        <v>230430</v>
      </c>
      <c r="H12958">
        <v>4600</v>
      </c>
      <c r="I12958" t="s">
        <v>105</v>
      </c>
      <c r="J12958">
        <v>-322.83</v>
      </c>
      <c r="K12958">
        <v>-62.48</v>
      </c>
      <c r="L12958">
        <v>56568</v>
      </c>
      <c r="M12958" t="s">
        <v>268</v>
      </c>
      <c r="N12958" t="str">
        <f>"171177153   "</f>
        <v xml:space="preserve">171177153   </v>
      </c>
      <c r="O12958">
        <v>230505</v>
      </c>
    </row>
    <row r="12959" spans="1:15" x14ac:dyDescent="0.25">
      <c r="A12959" t="s">
        <v>16</v>
      </c>
      <c r="B12959" t="s">
        <v>3221</v>
      </c>
      <c r="C12959">
        <v>6025</v>
      </c>
      <c r="D12959" t="s">
        <v>266</v>
      </c>
      <c r="E12959" t="s">
        <v>267</v>
      </c>
      <c r="F12959">
        <v>655.67</v>
      </c>
      <c r="G12959">
        <v>230430</v>
      </c>
      <c r="H12959">
        <v>4600</v>
      </c>
      <c r="I12959" t="s">
        <v>105</v>
      </c>
      <c r="J12959">
        <v>813.03</v>
      </c>
      <c r="K12959">
        <v>157.36000000000001</v>
      </c>
      <c r="L12959">
        <v>56568</v>
      </c>
      <c r="M12959" t="s">
        <v>268</v>
      </c>
      <c r="N12959" t="str">
        <f>"171176480   "</f>
        <v xml:space="preserve">171176480   </v>
      </c>
      <c r="O12959">
        <v>230505</v>
      </c>
    </row>
    <row r="12960" spans="1:15" x14ac:dyDescent="0.25">
      <c r="A12960" t="s">
        <v>16</v>
      </c>
      <c r="B12960" t="s">
        <v>3221</v>
      </c>
      <c r="C12960">
        <v>6026</v>
      </c>
      <c r="D12960" t="s">
        <v>266</v>
      </c>
      <c r="E12960" t="s">
        <v>267</v>
      </c>
      <c r="F12960">
        <v>63.4</v>
      </c>
      <c r="G12960">
        <v>230430</v>
      </c>
      <c r="H12960">
        <v>4600</v>
      </c>
      <c r="I12960" t="s">
        <v>105</v>
      </c>
      <c r="J12960">
        <v>78.62</v>
      </c>
      <c r="K12960">
        <v>15.22</v>
      </c>
      <c r="L12960">
        <v>56568</v>
      </c>
      <c r="M12960" t="s">
        <v>268</v>
      </c>
      <c r="N12960" t="str">
        <f>"171176481   "</f>
        <v xml:space="preserve">171176481   </v>
      </c>
      <c r="O12960">
        <v>230505</v>
      </c>
    </row>
    <row r="12961" spans="1:15" x14ac:dyDescent="0.25">
      <c r="A12961" t="s">
        <v>16</v>
      </c>
      <c r="B12961" t="s">
        <v>3221</v>
      </c>
      <c r="C12961">
        <v>6362</v>
      </c>
      <c r="D12961" t="s">
        <v>266</v>
      </c>
      <c r="E12961" t="s">
        <v>267</v>
      </c>
      <c r="F12961">
        <v>24.65</v>
      </c>
      <c r="G12961">
        <v>230508</v>
      </c>
      <c r="H12961">
        <v>4600</v>
      </c>
      <c r="I12961" t="s">
        <v>105</v>
      </c>
      <c r="J12961">
        <v>30.56</v>
      </c>
      <c r="K12961">
        <v>5.91</v>
      </c>
      <c r="L12961">
        <v>56568</v>
      </c>
      <c r="M12961" t="s">
        <v>268</v>
      </c>
      <c r="N12961" t="str">
        <f>"171178401   "</f>
        <v xml:space="preserve">171178401   </v>
      </c>
      <c r="O12961">
        <v>230510</v>
      </c>
    </row>
    <row r="12962" spans="1:15" x14ac:dyDescent="0.25">
      <c r="A12962" t="s">
        <v>16</v>
      </c>
      <c r="B12962" t="s">
        <v>3221</v>
      </c>
      <c r="C12962">
        <v>6779</v>
      </c>
      <c r="D12962" t="s">
        <v>266</v>
      </c>
      <c r="E12962" t="s">
        <v>267</v>
      </c>
      <c r="F12962">
        <v>62.65</v>
      </c>
      <c r="G12962">
        <v>230515</v>
      </c>
      <c r="H12962">
        <v>4600</v>
      </c>
      <c r="I12962" t="s">
        <v>105</v>
      </c>
      <c r="J12962">
        <v>77.69</v>
      </c>
      <c r="K12962">
        <v>15.04</v>
      </c>
      <c r="L12962">
        <v>56568</v>
      </c>
      <c r="M12962" t="s">
        <v>268</v>
      </c>
      <c r="N12962" t="str">
        <f>"171179539   "</f>
        <v xml:space="preserve">171179539   </v>
      </c>
      <c r="O12962">
        <v>230522</v>
      </c>
    </row>
    <row r="12963" spans="1:15" x14ac:dyDescent="0.25">
      <c r="A12963" t="s">
        <v>16</v>
      </c>
      <c r="B12963" t="s">
        <v>3221</v>
      </c>
      <c r="C12963">
        <v>6795</v>
      </c>
      <c r="D12963" t="s">
        <v>266</v>
      </c>
      <c r="E12963" t="s">
        <v>267</v>
      </c>
      <c r="F12963">
        <v>51.99</v>
      </c>
      <c r="G12963">
        <v>230515</v>
      </c>
      <c r="H12963">
        <v>4600</v>
      </c>
      <c r="I12963" t="s">
        <v>105</v>
      </c>
      <c r="J12963">
        <v>64.47</v>
      </c>
      <c r="K12963">
        <v>12.48</v>
      </c>
      <c r="L12963">
        <v>56568</v>
      </c>
      <c r="M12963" t="s">
        <v>268</v>
      </c>
      <c r="N12963" t="str">
        <f>"171179791   "</f>
        <v xml:space="preserve">171179791   </v>
      </c>
      <c r="O12963">
        <v>230522</v>
      </c>
    </row>
    <row r="12964" spans="1:15" x14ac:dyDescent="0.25">
      <c r="A12964" t="s">
        <v>16</v>
      </c>
      <c r="B12964" t="s">
        <v>3221</v>
      </c>
      <c r="C12964">
        <v>6808</v>
      </c>
      <c r="D12964" t="s">
        <v>266</v>
      </c>
      <c r="E12964" t="s">
        <v>267</v>
      </c>
      <c r="F12964">
        <v>92.57</v>
      </c>
      <c r="G12964">
        <v>230515</v>
      </c>
      <c r="H12964">
        <v>4600</v>
      </c>
      <c r="I12964" t="s">
        <v>105</v>
      </c>
      <c r="J12964">
        <v>114.79</v>
      </c>
      <c r="K12964">
        <v>22.22</v>
      </c>
      <c r="L12964">
        <v>56568</v>
      </c>
      <c r="M12964" t="s">
        <v>268</v>
      </c>
      <c r="N12964" t="str">
        <f>"171179792   "</f>
        <v xml:space="preserve">171179792   </v>
      </c>
      <c r="O12964">
        <v>230522</v>
      </c>
    </row>
    <row r="12965" spans="1:15" x14ac:dyDescent="0.25">
      <c r="A12965" t="s">
        <v>16</v>
      </c>
      <c r="B12965" t="s">
        <v>3221</v>
      </c>
      <c r="C12965">
        <v>6810</v>
      </c>
      <c r="D12965" t="s">
        <v>266</v>
      </c>
      <c r="E12965" t="s">
        <v>267</v>
      </c>
      <c r="F12965">
        <v>107.92</v>
      </c>
      <c r="G12965">
        <v>230515</v>
      </c>
      <c r="H12965">
        <v>4600</v>
      </c>
      <c r="I12965" t="s">
        <v>105</v>
      </c>
      <c r="J12965">
        <v>133.82</v>
      </c>
      <c r="K12965">
        <v>25.9</v>
      </c>
      <c r="L12965">
        <v>56568</v>
      </c>
      <c r="M12965" t="s">
        <v>268</v>
      </c>
      <c r="N12965" t="str">
        <f>"171179538   "</f>
        <v xml:space="preserve">171179538   </v>
      </c>
      <c r="O12965">
        <v>230522</v>
      </c>
    </row>
    <row r="12966" spans="1:15" x14ac:dyDescent="0.25">
      <c r="A12966" t="s">
        <v>16</v>
      </c>
      <c r="B12966" t="s">
        <v>3221</v>
      </c>
      <c r="C12966">
        <v>7091</v>
      </c>
      <c r="D12966" t="s">
        <v>266</v>
      </c>
      <c r="E12966" t="s">
        <v>267</v>
      </c>
      <c r="F12966">
        <v>185.37</v>
      </c>
      <c r="G12966">
        <v>230522</v>
      </c>
      <c r="H12966">
        <v>4600</v>
      </c>
      <c r="I12966" t="s">
        <v>105</v>
      </c>
      <c r="J12966">
        <v>229.86</v>
      </c>
      <c r="K12966">
        <v>44.49</v>
      </c>
      <c r="L12966">
        <v>56568</v>
      </c>
      <c r="M12966" t="s">
        <v>268</v>
      </c>
      <c r="N12966" t="str">
        <f>"171180859   "</f>
        <v xml:space="preserve">171180859   </v>
      </c>
      <c r="O12966">
        <v>230525</v>
      </c>
    </row>
    <row r="12967" spans="1:15" x14ac:dyDescent="0.25">
      <c r="A12967" t="s">
        <v>16</v>
      </c>
      <c r="B12967" t="s">
        <v>3221</v>
      </c>
      <c r="C12967">
        <v>7094</v>
      </c>
      <c r="D12967" t="s">
        <v>266</v>
      </c>
      <c r="E12967" t="s">
        <v>267</v>
      </c>
      <c r="F12967">
        <v>103.85</v>
      </c>
      <c r="G12967">
        <v>230522</v>
      </c>
      <c r="H12967">
        <v>4600</v>
      </c>
      <c r="I12967" t="s">
        <v>105</v>
      </c>
      <c r="J12967">
        <v>128.78</v>
      </c>
      <c r="K12967">
        <v>24.93</v>
      </c>
      <c r="L12967">
        <v>56568</v>
      </c>
      <c r="M12967" t="s">
        <v>268</v>
      </c>
      <c r="N12967" t="str">
        <f>"171180477   "</f>
        <v xml:space="preserve">171180477   </v>
      </c>
      <c r="O12967">
        <v>230525</v>
      </c>
    </row>
    <row r="12968" spans="1:15" x14ac:dyDescent="0.25">
      <c r="A12968" t="s">
        <v>16</v>
      </c>
      <c r="B12968" t="s">
        <v>3221</v>
      </c>
      <c r="C12968">
        <v>7109</v>
      </c>
      <c r="D12968" t="s">
        <v>266</v>
      </c>
      <c r="E12968" t="s">
        <v>267</v>
      </c>
      <c r="F12968">
        <v>47.35</v>
      </c>
      <c r="G12968">
        <v>230522</v>
      </c>
      <c r="H12968">
        <v>4600</v>
      </c>
      <c r="I12968" t="s">
        <v>105</v>
      </c>
      <c r="J12968">
        <v>58.72</v>
      </c>
      <c r="K12968">
        <v>11.37</v>
      </c>
      <c r="L12968">
        <v>56568</v>
      </c>
      <c r="M12968" t="s">
        <v>268</v>
      </c>
      <c r="N12968" t="str">
        <f>"171181202   "</f>
        <v xml:space="preserve">171181202   </v>
      </c>
      <c r="O12968">
        <v>230525</v>
      </c>
    </row>
    <row r="12969" spans="1:15" x14ac:dyDescent="0.25">
      <c r="A12969" t="s">
        <v>16</v>
      </c>
      <c r="B12969" t="s">
        <v>3221</v>
      </c>
      <c r="C12969">
        <v>7110</v>
      </c>
      <c r="D12969" t="s">
        <v>266</v>
      </c>
      <c r="E12969" t="s">
        <v>267</v>
      </c>
      <c r="F12969">
        <v>12.23</v>
      </c>
      <c r="G12969">
        <v>230522</v>
      </c>
      <c r="H12969">
        <v>4600</v>
      </c>
      <c r="I12969" t="s">
        <v>105</v>
      </c>
      <c r="J12969">
        <v>15.16</v>
      </c>
      <c r="K12969">
        <v>2.93</v>
      </c>
      <c r="L12969">
        <v>56568</v>
      </c>
      <c r="M12969" t="s">
        <v>268</v>
      </c>
      <c r="N12969" t="str">
        <f>"171180478   "</f>
        <v xml:space="preserve">171180478   </v>
      </c>
      <c r="O12969">
        <v>230525</v>
      </c>
    </row>
    <row r="12970" spans="1:15" x14ac:dyDescent="0.25">
      <c r="A12970" t="s">
        <v>16</v>
      </c>
      <c r="B12970" t="s">
        <v>3221</v>
      </c>
      <c r="C12970">
        <v>7112</v>
      </c>
      <c r="D12970" t="s">
        <v>266</v>
      </c>
      <c r="E12970" t="s">
        <v>267</v>
      </c>
      <c r="F12970">
        <v>107.16</v>
      </c>
      <c r="G12970">
        <v>230522</v>
      </c>
      <c r="H12970">
        <v>4600</v>
      </c>
      <c r="I12970" t="s">
        <v>105</v>
      </c>
      <c r="J12970">
        <v>132.88</v>
      </c>
      <c r="K12970">
        <v>25.72</v>
      </c>
      <c r="L12970">
        <v>56568</v>
      </c>
      <c r="M12970" t="s">
        <v>268</v>
      </c>
      <c r="N12970" t="str">
        <f>"171181201   "</f>
        <v xml:space="preserve">171181201   </v>
      </c>
      <c r="O12970">
        <v>230525</v>
      </c>
    </row>
    <row r="12971" spans="1:15" x14ac:dyDescent="0.25">
      <c r="A12971" t="s">
        <v>16</v>
      </c>
      <c r="B12971" t="s">
        <v>3221</v>
      </c>
      <c r="C12971">
        <v>7115</v>
      </c>
      <c r="D12971" t="s">
        <v>266</v>
      </c>
      <c r="E12971" t="s">
        <v>267</v>
      </c>
      <c r="F12971">
        <v>23.77</v>
      </c>
      <c r="G12971">
        <v>230522</v>
      </c>
      <c r="H12971">
        <v>4600</v>
      </c>
      <c r="I12971" t="s">
        <v>105</v>
      </c>
      <c r="J12971">
        <v>29.47</v>
      </c>
      <c r="K12971">
        <v>5.7</v>
      </c>
      <c r="L12971">
        <v>56568</v>
      </c>
      <c r="M12971" t="s">
        <v>268</v>
      </c>
      <c r="N12971" t="str">
        <f>"171180860   "</f>
        <v xml:space="preserve">171180860   </v>
      </c>
      <c r="O12971">
        <v>230525</v>
      </c>
    </row>
    <row r="12972" spans="1:15" x14ac:dyDescent="0.25">
      <c r="A12972" t="s">
        <v>16</v>
      </c>
      <c r="B12972" t="s">
        <v>3221</v>
      </c>
      <c r="C12972">
        <v>7128</v>
      </c>
      <c r="D12972" t="s">
        <v>266</v>
      </c>
      <c r="E12972" t="s">
        <v>267</v>
      </c>
      <c r="F12972">
        <v>42.89</v>
      </c>
      <c r="G12972">
        <v>230522</v>
      </c>
      <c r="H12972">
        <v>4600</v>
      </c>
      <c r="I12972" t="s">
        <v>105</v>
      </c>
      <c r="J12972">
        <v>53.18</v>
      </c>
      <c r="K12972">
        <v>10.29</v>
      </c>
      <c r="L12972">
        <v>56568</v>
      </c>
      <c r="M12972" t="s">
        <v>268</v>
      </c>
      <c r="N12972" t="str">
        <f>"171181200   "</f>
        <v xml:space="preserve">171181200   </v>
      </c>
      <c r="O12972">
        <v>230525</v>
      </c>
    </row>
    <row r="12973" spans="1:15" x14ac:dyDescent="0.25">
      <c r="A12973" t="s">
        <v>16</v>
      </c>
      <c r="B12973" t="s">
        <v>3221</v>
      </c>
      <c r="C12973">
        <v>7207</v>
      </c>
      <c r="D12973" t="s">
        <v>266</v>
      </c>
      <c r="E12973" t="s">
        <v>267</v>
      </c>
      <c r="F12973">
        <v>24.11</v>
      </c>
      <c r="G12973">
        <v>230522</v>
      </c>
      <c r="H12973">
        <v>4600</v>
      </c>
      <c r="I12973" t="s">
        <v>105</v>
      </c>
      <c r="J12973">
        <v>29.9</v>
      </c>
      <c r="K12973">
        <v>5.79</v>
      </c>
      <c r="L12973">
        <v>56565</v>
      </c>
      <c r="M12973" t="s">
        <v>758</v>
      </c>
      <c r="N12973" t="str">
        <f>"171180863   "</f>
        <v xml:space="preserve">171180863   </v>
      </c>
      <c r="O12973">
        <v>230526</v>
      </c>
    </row>
    <row r="12974" spans="1:15" x14ac:dyDescent="0.25">
      <c r="A12974" t="s">
        <v>16</v>
      </c>
      <c r="B12974" t="s">
        <v>3221</v>
      </c>
      <c r="C12974">
        <v>7207</v>
      </c>
      <c r="D12974" t="s">
        <v>266</v>
      </c>
      <c r="E12974" t="s">
        <v>267</v>
      </c>
      <c r="F12974">
        <v>114.64</v>
      </c>
      <c r="G12974">
        <v>230522</v>
      </c>
      <c r="H12974">
        <v>4600</v>
      </c>
      <c r="I12974" t="s">
        <v>105</v>
      </c>
      <c r="J12974">
        <v>142.15</v>
      </c>
      <c r="K12974">
        <v>27.51</v>
      </c>
      <c r="L12974">
        <v>56573</v>
      </c>
      <c r="M12974" t="s">
        <v>521</v>
      </c>
      <c r="N12974" t="str">
        <f>"171180863   "</f>
        <v xml:space="preserve">171180863   </v>
      </c>
      <c r="O12974">
        <v>230526</v>
      </c>
    </row>
    <row r="12975" spans="1:15" x14ac:dyDescent="0.25">
      <c r="A12975" t="s">
        <v>16</v>
      </c>
      <c r="B12975" t="s">
        <v>3221</v>
      </c>
      <c r="C12975">
        <v>7951</v>
      </c>
      <c r="D12975" t="s">
        <v>266</v>
      </c>
      <c r="E12975" t="s">
        <v>267</v>
      </c>
      <c r="F12975">
        <v>36.99</v>
      </c>
      <c r="G12975">
        <v>230531</v>
      </c>
      <c r="H12975">
        <v>4600</v>
      </c>
      <c r="I12975" t="s">
        <v>105</v>
      </c>
      <c r="J12975">
        <v>45.87</v>
      </c>
      <c r="K12975">
        <v>8.8800000000000008</v>
      </c>
      <c r="L12975">
        <v>56568</v>
      </c>
      <c r="M12975" t="s">
        <v>268</v>
      </c>
      <c r="N12975" t="str">
        <f>"171182647   "</f>
        <v xml:space="preserve">171182647   </v>
      </c>
      <c r="O12975">
        <v>230606</v>
      </c>
    </row>
    <row r="12976" spans="1:15" x14ac:dyDescent="0.25">
      <c r="A12976" t="s">
        <v>16</v>
      </c>
      <c r="B12976" t="s">
        <v>3221</v>
      </c>
      <c r="C12976">
        <v>7952</v>
      </c>
      <c r="D12976" t="s">
        <v>266</v>
      </c>
      <c r="E12976" t="s">
        <v>267</v>
      </c>
      <c r="F12976">
        <v>151.85</v>
      </c>
      <c r="G12976">
        <v>230531</v>
      </c>
      <c r="H12976">
        <v>4600</v>
      </c>
      <c r="I12976" t="s">
        <v>105</v>
      </c>
      <c r="J12976">
        <v>188.29</v>
      </c>
      <c r="K12976">
        <v>36.44</v>
      </c>
      <c r="L12976">
        <v>56568</v>
      </c>
      <c r="M12976" t="s">
        <v>268</v>
      </c>
      <c r="N12976" t="str">
        <f>"171182944   "</f>
        <v xml:space="preserve">171182944   </v>
      </c>
      <c r="O12976">
        <v>230606</v>
      </c>
    </row>
    <row r="12977" spans="1:15" x14ac:dyDescent="0.25">
      <c r="A12977" t="s">
        <v>16</v>
      </c>
      <c r="B12977" t="s">
        <v>3221</v>
      </c>
      <c r="C12977">
        <v>7953</v>
      </c>
      <c r="D12977" t="s">
        <v>266</v>
      </c>
      <c r="E12977" t="s">
        <v>267</v>
      </c>
      <c r="F12977">
        <v>115.19</v>
      </c>
      <c r="G12977">
        <v>230531</v>
      </c>
      <c r="H12977">
        <v>4600</v>
      </c>
      <c r="I12977" t="s">
        <v>105</v>
      </c>
      <c r="J12977">
        <v>142.84</v>
      </c>
      <c r="K12977">
        <v>27.65</v>
      </c>
      <c r="L12977">
        <v>56568</v>
      </c>
      <c r="M12977" t="s">
        <v>268</v>
      </c>
      <c r="N12977" t="str">
        <f>"171183520   "</f>
        <v xml:space="preserve">171183520   </v>
      </c>
      <c r="O12977">
        <v>230606</v>
      </c>
    </row>
    <row r="12978" spans="1:15" x14ac:dyDescent="0.25">
      <c r="A12978" t="s">
        <v>16</v>
      </c>
      <c r="B12978" t="s">
        <v>3221</v>
      </c>
      <c r="C12978">
        <v>7958</v>
      </c>
      <c r="D12978" t="s">
        <v>266</v>
      </c>
      <c r="E12978" t="s">
        <v>267</v>
      </c>
      <c r="F12978">
        <v>58.34</v>
      </c>
      <c r="G12978">
        <v>230531</v>
      </c>
      <c r="H12978">
        <v>4600</v>
      </c>
      <c r="I12978" t="s">
        <v>105</v>
      </c>
      <c r="J12978">
        <v>72.34</v>
      </c>
      <c r="K12978">
        <v>14</v>
      </c>
      <c r="L12978">
        <v>56568</v>
      </c>
      <c r="M12978" t="s">
        <v>268</v>
      </c>
      <c r="N12978" t="str">
        <f>"171182943   "</f>
        <v xml:space="preserve">171182943   </v>
      </c>
      <c r="O12978">
        <v>230606</v>
      </c>
    </row>
    <row r="12979" spans="1:15" x14ac:dyDescent="0.25">
      <c r="A12979" t="s">
        <v>16</v>
      </c>
      <c r="B12979" t="s">
        <v>3221</v>
      </c>
      <c r="C12979">
        <v>7960</v>
      </c>
      <c r="D12979" t="s">
        <v>266</v>
      </c>
      <c r="E12979" t="s">
        <v>267</v>
      </c>
      <c r="F12979">
        <v>5.23</v>
      </c>
      <c r="G12979">
        <v>230531</v>
      </c>
      <c r="H12979">
        <v>4600</v>
      </c>
      <c r="I12979" t="s">
        <v>105</v>
      </c>
      <c r="J12979">
        <v>6.48</v>
      </c>
      <c r="K12979">
        <v>1.25</v>
      </c>
      <c r="L12979">
        <v>56568</v>
      </c>
      <c r="M12979" t="s">
        <v>268</v>
      </c>
      <c r="N12979" t="str">
        <f>"171182945   "</f>
        <v xml:space="preserve">171182945   </v>
      </c>
      <c r="O12979">
        <v>230606</v>
      </c>
    </row>
    <row r="12980" spans="1:15" x14ac:dyDescent="0.25">
      <c r="A12980" t="s">
        <v>16</v>
      </c>
      <c r="B12980" t="s">
        <v>3221</v>
      </c>
      <c r="C12980">
        <v>7965</v>
      </c>
      <c r="D12980" t="s">
        <v>266</v>
      </c>
      <c r="E12980" t="s">
        <v>267</v>
      </c>
      <c r="F12980">
        <v>80.92</v>
      </c>
      <c r="G12980">
        <v>230531</v>
      </c>
      <c r="H12980">
        <v>4600</v>
      </c>
      <c r="I12980" t="s">
        <v>105</v>
      </c>
      <c r="J12980">
        <v>100.34</v>
      </c>
      <c r="K12980">
        <v>19.420000000000002</v>
      </c>
      <c r="L12980">
        <v>56568</v>
      </c>
      <c r="M12980" t="s">
        <v>268</v>
      </c>
      <c r="N12980" t="str">
        <f>"171181889   "</f>
        <v xml:space="preserve">171181889   </v>
      </c>
      <c r="O12980">
        <v>230606</v>
      </c>
    </row>
    <row r="12981" spans="1:15" x14ac:dyDescent="0.25">
      <c r="A12981" t="s">
        <v>16</v>
      </c>
      <c r="B12981" t="s">
        <v>3221</v>
      </c>
      <c r="C12981">
        <v>7967</v>
      </c>
      <c r="D12981" t="s">
        <v>266</v>
      </c>
      <c r="E12981" t="s">
        <v>267</v>
      </c>
      <c r="F12981">
        <v>45.9</v>
      </c>
      <c r="G12981">
        <v>230531</v>
      </c>
      <c r="H12981">
        <v>4600</v>
      </c>
      <c r="I12981" t="s">
        <v>105</v>
      </c>
      <c r="J12981">
        <v>56.91</v>
      </c>
      <c r="K12981">
        <v>11.01</v>
      </c>
      <c r="L12981">
        <v>56568</v>
      </c>
      <c r="M12981" t="s">
        <v>268</v>
      </c>
      <c r="N12981" t="str">
        <f>"171182942   "</f>
        <v xml:space="preserve">171182942   </v>
      </c>
      <c r="O12981">
        <v>230606</v>
      </c>
    </row>
    <row r="12982" spans="1:15" x14ac:dyDescent="0.25">
      <c r="A12982" t="s">
        <v>16</v>
      </c>
      <c r="B12982" t="s">
        <v>3221</v>
      </c>
      <c r="C12982">
        <v>7970</v>
      </c>
      <c r="D12982" t="s">
        <v>266</v>
      </c>
      <c r="E12982" t="s">
        <v>267</v>
      </c>
      <c r="F12982">
        <v>82.56</v>
      </c>
      <c r="G12982">
        <v>230531</v>
      </c>
      <c r="H12982">
        <v>4600</v>
      </c>
      <c r="I12982" t="s">
        <v>105</v>
      </c>
      <c r="J12982">
        <v>102.38</v>
      </c>
      <c r="K12982">
        <v>19.82</v>
      </c>
      <c r="L12982">
        <v>56568</v>
      </c>
      <c r="M12982" t="s">
        <v>268</v>
      </c>
      <c r="N12982" t="str">
        <f>"171183521   "</f>
        <v xml:space="preserve">171183521   </v>
      </c>
      <c r="O12982">
        <v>230606</v>
      </c>
    </row>
    <row r="12983" spans="1:15" x14ac:dyDescent="0.25">
      <c r="A12983" t="s">
        <v>16</v>
      </c>
      <c r="B12983" t="s">
        <v>3221</v>
      </c>
      <c r="C12983">
        <v>7971</v>
      </c>
      <c r="D12983" t="s">
        <v>266</v>
      </c>
      <c r="E12983" t="s">
        <v>267</v>
      </c>
      <c r="F12983">
        <v>7.49</v>
      </c>
      <c r="G12983">
        <v>230531</v>
      </c>
      <c r="H12983">
        <v>4600</v>
      </c>
      <c r="I12983" t="s">
        <v>105</v>
      </c>
      <c r="J12983">
        <v>9.2899999999999991</v>
      </c>
      <c r="K12983">
        <v>1.8</v>
      </c>
      <c r="L12983">
        <v>56568</v>
      </c>
      <c r="M12983" t="s">
        <v>268</v>
      </c>
      <c r="N12983" t="str">
        <f>"171182648   "</f>
        <v xml:space="preserve">171182648   </v>
      </c>
      <c r="O12983">
        <v>230606</v>
      </c>
    </row>
    <row r="12984" spans="1:15" x14ac:dyDescent="0.25">
      <c r="A12984" t="s">
        <v>16</v>
      </c>
      <c r="B12984" t="s">
        <v>3221</v>
      </c>
      <c r="C12984">
        <v>7977</v>
      </c>
      <c r="D12984" t="s">
        <v>266</v>
      </c>
      <c r="E12984" t="s">
        <v>267</v>
      </c>
      <c r="F12984">
        <v>60.55</v>
      </c>
      <c r="G12984">
        <v>230531</v>
      </c>
      <c r="H12984">
        <v>4600</v>
      </c>
      <c r="I12984" t="s">
        <v>105</v>
      </c>
      <c r="J12984">
        <v>75.08</v>
      </c>
      <c r="K12984">
        <v>14.53</v>
      </c>
      <c r="L12984">
        <v>56568</v>
      </c>
      <c r="M12984" t="s">
        <v>268</v>
      </c>
      <c r="N12984" t="str">
        <f>"171183225   "</f>
        <v xml:space="preserve">171183225   </v>
      </c>
      <c r="O12984">
        <v>230606</v>
      </c>
    </row>
    <row r="12985" spans="1:15" x14ac:dyDescent="0.25">
      <c r="A12985" t="s">
        <v>16</v>
      </c>
      <c r="B12985" t="s">
        <v>3221</v>
      </c>
      <c r="C12985">
        <v>7980</v>
      </c>
      <c r="D12985" t="s">
        <v>266</v>
      </c>
      <c r="E12985" t="s">
        <v>267</v>
      </c>
      <c r="F12985">
        <v>39.57</v>
      </c>
      <c r="G12985">
        <v>230531</v>
      </c>
      <c r="H12985">
        <v>4600</v>
      </c>
      <c r="I12985" t="s">
        <v>105</v>
      </c>
      <c r="J12985">
        <v>49.07</v>
      </c>
      <c r="K12985">
        <v>9.5</v>
      </c>
      <c r="L12985">
        <v>56573</v>
      </c>
      <c r="M12985" t="s">
        <v>521</v>
      </c>
      <c r="N12985" t="str">
        <f>"171181887   "</f>
        <v xml:space="preserve">171181887   </v>
      </c>
      <c r="O12985">
        <v>230606</v>
      </c>
    </row>
    <row r="12986" spans="1:15" x14ac:dyDescent="0.25">
      <c r="A12986" t="s">
        <v>16</v>
      </c>
      <c r="B12986" t="s">
        <v>3221</v>
      </c>
      <c r="C12986">
        <v>7982</v>
      </c>
      <c r="D12986" t="s">
        <v>266</v>
      </c>
      <c r="E12986" t="s">
        <v>267</v>
      </c>
      <c r="F12986">
        <v>7.49</v>
      </c>
      <c r="G12986">
        <v>230531</v>
      </c>
      <c r="H12986">
        <v>4600</v>
      </c>
      <c r="I12986" t="s">
        <v>105</v>
      </c>
      <c r="J12986">
        <v>9.2899999999999991</v>
      </c>
      <c r="K12986">
        <v>1.8</v>
      </c>
      <c r="L12986">
        <v>56568</v>
      </c>
      <c r="M12986" t="s">
        <v>268</v>
      </c>
      <c r="N12986" t="str">
        <f>"171182314   "</f>
        <v xml:space="preserve">171182314   </v>
      </c>
      <c r="O12986">
        <v>230606</v>
      </c>
    </row>
    <row r="12987" spans="1:15" x14ac:dyDescent="0.25">
      <c r="A12987" t="s">
        <v>16</v>
      </c>
      <c r="B12987" t="s">
        <v>3221</v>
      </c>
      <c r="C12987">
        <v>10622</v>
      </c>
      <c r="D12987" t="s">
        <v>266</v>
      </c>
      <c r="E12987" t="s">
        <v>267</v>
      </c>
      <c r="F12987">
        <v>50.84</v>
      </c>
      <c r="G12987">
        <v>230814</v>
      </c>
      <c r="H12987">
        <v>4600</v>
      </c>
      <c r="I12987" t="s">
        <v>105</v>
      </c>
      <c r="J12987">
        <v>63.04</v>
      </c>
      <c r="K12987">
        <v>12.2</v>
      </c>
      <c r="L12987">
        <v>56568</v>
      </c>
      <c r="M12987" t="s">
        <v>268</v>
      </c>
      <c r="N12987" t="str">
        <f>"171197981   "</f>
        <v xml:space="preserve">171197981   </v>
      </c>
      <c r="O12987">
        <v>230821</v>
      </c>
    </row>
    <row r="12988" spans="1:15" x14ac:dyDescent="0.25">
      <c r="A12988" t="s">
        <v>16</v>
      </c>
      <c r="B12988" t="s">
        <v>3221</v>
      </c>
      <c r="C12988">
        <v>10635</v>
      </c>
      <c r="D12988" t="s">
        <v>266</v>
      </c>
      <c r="E12988" t="s">
        <v>267</v>
      </c>
      <c r="F12988">
        <v>212.4</v>
      </c>
      <c r="G12988">
        <v>230814</v>
      </c>
      <c r="H12988">
        <v>4600</v>
      </c>
      <c r="I12988" t="s">
        <v>105</v>
      </c>
      <c r="J12988">
        <v>263.37</v>
      </c>
      <c r="K12988">
        <v>50.97</v>
      </c>
      <c r="L12988">
        <v>56568</v>
      </c>
      <c r="M12988" t="s">
        <v>268</v>
      </c>
      <c r="N12988" t="str">
        <f>"171197462   "</f>
        <v xml:space="preserve">171197462   </v>
      </c>
      <c r="O12988">
        <v>230821</v>
      </c>
    </row>
    <row r="12989" spans="1:15" x14ac:dyDescent="0.25">
      <c r="A12989" t="s">
        <v>16</v>
      </c>
      <c r="B12989" t="s">
        <v>3221</v>
      </c>
      <c r="C12989">
        <v>10636</v>
      </c>
      <c r="D12989" t="s">
        <v>266</v>
      </c>
      <c r="E12989" t="s">
        <v>267</v>
      </c>
      <c r="F12989">
        <v>-2.1800000000000002</v>
      </c>
      <c r="G12989">
        <v>230814</v>
      </c>
      <c r="H12989">
        <v>4600</v>
      </c>
      <c r="I12989" t="s">
        <v>105</v>
      </c>
      <c r="J12989">
        <v>-2.7</v>
      </c>
      <c r="K12989">
        <v>-0.52</v>
      </c>
      <c r="L12989">
        <v>56568</v>
      </c>
      <c r="M12989" t="s">
        <v>268</v>
      </c>
      <c r="N12989" t="str">
        <f>"171197622   "</f>
        <v xml:space="preserve">171197622   </v>
      </c>
      <c r="O12989">
        <v>230821</v>
      </c>
    </row>
    <row r="12990" spans="1:15" x14ac:dyDescent="0.25">
      <c r="A12990" t="s">
        <v>16</v>
      </c>
      <c r="B12990" t="s">
        <v>3221</v>
      </c>
      <c r="C12990">
        <v>10641</v>
      </c>
      <c r="D12990" t="s">
        <v>266</v>
      </c>
      <c r="E12990" t="s">
        <v>267</v>
      </c>
      <c r="F12990">
        <v>211.21</v>
      </c>
      <c r="G12990">
        <v>230814</v>
      </c>
      <c r="H12990">
        <v>4600</v>
      </c>
      <c r="I12990" t="s">
        <v>105</v>
      </c>
      <c r="J12990">
        <v>261.89999999999998</v>
      </c>
      <c r="K12990">
        <v>50.69</v>
      </c>
      <c r="L12990">
        <v>56568</v>
      </c>
      <c r="M12990" t="s">
        <v>268</v>
      </c>
      <c r="N12990" t="str">
        <f>"171197961   "</f>
        <v xml:space="preserve">171197961   </v>
      </c>
      <c r="O12990">
        <v>230821</v>
      </c>
    </row>
    <row r="12991" spans="1:15" x14ac:dyDescent="0.25">
      <c r="A12991" t="s">
        <v>16</v>
      </c>
      <c r="B12991" t="s">
        <v>3221</v>
      </c>
      <c r="C12991">
        <v>10643</v>
      </c>
      <c r="D12991" t="s">
        <v>266</v>
      </c>
      <c r="E12991" t="s">
        <v>267</v>
      </c>
      <c r="F12991">
        <v>-10.92</v>
      </c>
      <c r="G12991">
        <v>230814</v>
      </c>
      <c r="H12991">
        <v>4600</v>
      </c>
      <c r="I12991" t="s">
        <v>105</v>
      </c>
      <c r="J12991">
        <v>-13.54</v>
      </c>
      <c r="K12991">
        <v>-2.62</v>
      </c>
      <c r="L12991">
        <v>56568</v>
      </c>
      <c r="M12991" t="s">
        <v>268</v>
      </c>
      <c r="N12991" t="str">
        <f>"171197621   "</f>
        <v xml:space="preserve">171197621   </v>
      </c>
      <c r="O12991">
        <v>230821</v>
      </c>
    </row>
    <row r="12992" spans="1:15" x14ac:dyDescent="0.25">
      <c r="A12992" t="s">
        <v>16</v>
      </c>
      <c r="B12992" t="s">
        <v>3221</v>
      </c>
      <c r="C12992">
        <v>10645</v>
      </c>
      <c r="D12992" t="s">
        <v>266</v>
      </c>
      <c r="E12992" t="s">
        <v>267</v>
      </c>
      <c r="F12992">
        <v>-21.02</v>
      </c>
      <c r="G12992">
        <v>230814</v>
      </c>
      <c r="H12992">
        <v>4600</v>
      </c>
      <c r="I12992" t="s">
        <v>105</v>
      </c>
      <c r="J12992">
        <v>-26.06</v>
      </c>
      <c r="K12992">
        <v>-5.04</v>
      </c>
      <c r="L12992">
        <v>56568</v>
      </c>
      <c r="M12992" t="s">
        <v>268</v>
      </c>
      <c r="N12992" t="str">
        <f>"171197620   "</f>
        <v xml:space="preserve">171197620   </v>
      </c>
      <c r="O12992">
        <v>230821</v>
      </c>
    </row>
    <row r="12993" spans="1:15" x14ac:dyDescent="0.25">
      <c r="A12993" t="s">
        <v>16</v>
      </c>
      <c r="B12993" t="s">
        <v>3221</v>
      </c>
      <c r="C12993">
        <v>10683</v>
      </c>
      <c r="D12993" t="s">
        <v>266</v>
      </c>
      <c r="E12993" t="s">
        <v>267</v>
      </c>
      <c r="F12993">
        <v>-11.75</v>
      </c>
      <c r="G12993">
        <v>230821</v>
      </c>
      <c r="H12993">
        <v>4600</v>
      </c>
      <c r="I12993" t="s">
        <v>105</v>
      </c>
      <c r="J12993">
        <v>-14.57</v>
      </c>
      <c r="K12993">
        <v>-2.82</v>
      </c>
      <c r="L12993">
        <v>56568</v>
      </c>
      <c r="M12993" t="s">
        <v>268</v>
      </c>
      <c r="N12993" t="str">
        <f>"171199391   "</f>
        <v xml:space="preserve">171199391   </v>
      </c>
      <c r="O12993">
        <v>230822</v>
      </c>
    </row>
    <row r="12994" spans="1:15" x14ac:dyDescent="0.25">
      <c r="A12994" t="s">
        <v>16</v>
      </c>
      <c r="B12994" t="s">
        <v>3221</v>
      </c>
      <c r="C12994">
        <v>10684</v>
      </c>
      <c r="D12994" t="s">
        <v>266</v>
      </c>
      <c r="E12994" t="s">
        <v>267</v>
      </c>
      <c r="F12994">
        <v>-10.94</v>
      </c>
      <c r="G12994">
        <v>230821</v>
      </c>
      <c r="H12994">
        <v>4600</v>
      </c>
      <c r="I12994" t="s">
        <v>105</v>
      </c>
      <c r="J12994">
        <v>-13.57</v>
      </c>
      <c r="K12994">
        <v>-2.63</v>
      </c>
      <c r="L12994">
        <v>56568</v>
      </c>
      <c r="M12994" t="s">
        <v>268</v>
      </c>
      <c r="N12994" t="str">
        <f>"171199186   "</f>
        <v xml:space="preserve">171199186   </v>
      </c>
      <c r="O12994">
        <v>230822</v>
      </c>
    </row>
    <row r="12995" spans="1:15" x14ac:dyDescent="0.25">
      <c r="A12995" t="s">
        <v>16</v>
      </c>
      <c r="B12995" t="s">
        <v>3221</v>
      </c>
      <c r="C12995">
        <v>10695</v>
      </c>
      <c r="D12995" t="s">
        <v>266</v>
      </c>
      <c r="E12995" t="s">
        <v>267</v>
      </c>
      <c r="F12995">
        <v>88.91</v>
      </c>
      <c r="G12995">
        <v>230821</v>
      </c>
      <c r="H12995">
        <v>4600</v>
      </c>
      <c r="I12995" t="s">
        <v>105</v>
      </c>
      <c r="J12995">
        <v>110.25</v>
      </c>
      <c r="K12995">
        <v>21.34</v>
      </c>
      <c r="L12995">
        <v>56568</v>
      </c>
      <c r="M12995" t="s">
        <v>268</v>
      </c>
      <c r="N12995" t="str">
        <f>"171199261   "</f>
        <v xml:space="preserve">171199261   </v>
      </c>
      <c r="O12995">
        <v>230822</v>
      </c>
    </row>
    <row r="12996" spans="1:15" x14ac:dyDescent="0.25">
      <c r="A12996" t="s">
        <v>16</v>
      </c>
      <c r="B12996" t="s">
        <v>3221</v>
      </c>
      <c r="C12996">
        <v>10696</v>
      </c>
      <c r="D12996" t="s">
        <v>266</v>
      </c>
      <c r="E12996" t="s">
        <v>267</v>
      </c>
      <c r="F12996">
        <v>138.6</v>
      </c>
      <c r="G12996">
        <v>230821</v>
      </c>
      <c r="H12996">
        <v>4600</v>
      </c>
      <c r="I12996" t="s">
        <v>105</v>
      </c>
      <c r="J12996">
        <v>171.87</v>
      </c>
      <c r="K12996">
        <v>33.270000000000003</v>
      </c>
      <c r="L12996">
        <v>56568</v>
      </c>
      <c r="M12996" t="s">
        <v>268</v>
      </c>
      <c r="N12996" t="str">
        <f>"171199262   "</f>
        <v xml:space="preserve">171199262   </v>
      </c>
      <c r="O12996">
        <v>230822</v>
      </c>
    </row>
    <row r="12997" spans="1:15" x14ac:dyDescent="0.25">
      <c r="A12997" t="s">
        <v>16</v>
      </c>
      <c r="B12997" t="s">
        <v>3221</v>
      </c>
      <c r="C12997">
        <v>10697</v>
      </c>
      <c r="D12997" t="s">
        <v>266</v>
      </c>
      <c r="E12997" t="s">
        <v>267</v>
      </c>
      <c r="F12997">
        <v>767.32</v>
      </c>
      <c r="G12997">
        <v>230821</v>
      </c>
      <c r="H12997">
        <v>4600</v>
      </c>
      <c r="I12997" t="s">
        <v>105</v>
      </c>
      <c r="J12997">
        <v>951.48</v>
      </c>
      <c r="K12997">
        <v>184.16</v>
      </c>
      <c r="L12997">
        <v>56568</v>
      </c>
      <c r="M12997" t="s">
        <v>268</v>
      </c>
      <c r="N12997" t="str">
        <f>"171198335   "</f>
        <v xml:space="preserve">171198335   </v>
      </c>
      <c r="O12997">
        <v>230822</v>
      </c>
    </row>
    <row r="12998" spans="1:15" x14ac:dyDescent="0.25">
      <c r="A12998" t="s">
        <v>16</v>
      </c>
      <c r="B12998" t="s">
        <v>3221</v>
      </c>
      <c r="C12998">
        <v>10700</v>
      </c>
      <c r="D12998" t="s">
        <v>266</v>
      </c>
      <c r="E12998" t="s">
        <v>267</v>
      </c>
      <c r="F12998">
        <v>117.74</v>
      </c>
      <c r="G12998">
        <v>230821</v>
      </c>
      <c r="H12998">
        <v>4600</v>
      </c>
      <c r="I12998" t="s">
        <v>105</v>
      </c>
      <c r="J12998">
        <v>146</v>
      </c>
      <c r="K12998">
        <v>28.26</v>
      </c>
      <c r="L12998">
        <v>56568</v>
      </c>
      <c r="M12998" t="s">
        <v>268</v>
      </c>
      <c r="N12998" t="str">
        <f>"171198682   "</f>
        <v xml:space="preserve">171198682   </v>
      </c>
      <c r="O12998">
        <v>230822</v>
      </c>
    </row>
    <row r="12999" spans="1:15" x14ac:dyDescent="0.25">
      <c r="A12999" t="s">
        <v>16</v>
      </c>
      <c r="B12999" t="s">
        <v>3221</v>
      </c>
      <c r="C12999">
        <v>10702</v>
      </c>
      <c r="D12999" t="s">
        <v>266</v>
      </c>
      <c r="E12999" t="s">
        <v>267</v>
      </c>
      <c r="F12999">
        <v>28.23</v>
      </c>
      <c r="G12999">
        <v>230821</v>
      </c>
      <c r="H12999">
        <v>4600</v>
      </c>
      <c r="I12999" t="s">
        <v>105</v>
      </c>
      <c r="J12999">
        <v>35</v>
      </c>
      <c r="K12999">
        <v>6.77</v>
      </c>
      <c r="L12999">
        <v>56568</v>
      </c>
      <c r="M12999" t="s">
        <v>268</v>
      </c>
      <c r="N12999" t="str">
        <f>"171199011   "</f>
        <v xml:space="preserve">171199011   </v>
      </c>
      <c r="O12999">
        <v>230822</v>
      </c>
    </row>
    <row r="13000" spans="1:15" x14ac:dyDescent="0.25">
      <c r="A13000" t="s">
        <v>16</v>
      </c>
      <c r="B13000" t="s">
        <v>3221</v>
      </c>
      <c r="C13000">
        <v>10704</v>
      </c>
      <c r="D13000" t="s">
        <v>266</v>
      </c>
      <c r="E13000" t="s">
        <v>267</v>
      </c>
      <c r="F13000">
        <v>21.15</v>
      </c>
      <c r="G13000">
        <v>230821</v>
      </c>
      <c r="H13000">
        <v>4600</v>
      </c>
      <c r="I13000" t="s">
        <v>105</v>
      </c>
      <c r="J13000">
        <v>26.23</v>
      </c>
      <c r="K13000">
        <v>5.08</v>
      </c>
      <c r="L13000">
        <v>56568</v>
      </c>
      <c r="M13000" t="s">
        <v>268</v>
      </c>
      <c r="N13000" t="str">
        <f>"171198681   "</f>
        <v xml:space="preserve">171198681   </v>
      </c>
      <c r="O13000">
        <v>230822</v>
      </c>
    </row>
    <row r="13001" spans="1:15" x14ac:dyDescent="0.25">
      <c r="A13001" t="s">
        <v>16</v>
      </c>
      <c r="B13001" t="s">
        <v>3221</v>
      </c>
      <c r="C13001">
        <v>10705</v>
      </c>
      <c r="D13001" t="s">
        <v>266</v>
      </c>
      <c r="E13001" t="s">
        <v>267</v>
      </c>
      <c r="F13001">
        <v>32.51</v>
      </c>
      <c r="G13001">
        <v>230821</v>
      </c>
      <c r="H13001">
        <v>4600</v>
      </c>
      <c r="I13001" t="s">
        <v>105</v>
      </c>
      <c r="J13001">
        <v>40.31</v>
      </c>
      <c r="K13001">
        <v>7.8</v>
      </c>
      <c r="L13001">
        <v>56568</v>
      </c>
      <c r="M13001" t="s">
        <v>268</v>
      </c>
      <c r="N13001" t="str">
        <f>"171199521   "</f>
        <v xml:space="preserve">171199521   </v>
      </c>
      <c r="O13001">
        <v>230822</v>
      </c>
    </row>
    <row r="13002" spans="1:15" x14ac:dyDescent="0.25">
      <c r="A13002" t="s">
        <v>16</v>
      </c>
      <c r="B13002" t="s">
        <v>3221</v>
      </c>
      <c r="C13002">
        <v>11161</v>
      </c>
      <c r="D13002" t="s">
        <v>266</v>
      </c>
      <c r="E13002" t="s">
        <v>267</v>
      </c>
      <c r="F13002">
        <v>-22.5</v>
      </c>
      <c r="G13002">
        <v>230828</v>
      </c>
      <c r="H13002">
        <v>4600</v>
      </c>
      <c r="I13002" t="s">
        <v>105</v>
      </c>
      <c r="J13002">
        <v>-27.9</v>
      </c>
      <c r="K13002">
        <v>-5.4</v>
      </c>
      <c r="L13002">
        <v>56568</v>
      </c>
      <c r="M13002" t="s">
        <v>268</v>
      </c>
      <c r="N13002" t="str">
        <f>"171200553   "</f>
        <v xml:space="preserve">171200553   </v>
      </c>
      <c r="O13002">
        <v>230830</v>
      </c>
    </row>
    <row r="13003" spans="1:15" x14ac:dyDescent="0.25">
      <c r="A13003" t="s">
        <v>16</v>
      </c>
      <c r="B13003" t="s">
        <v>3221</v>
      </c>
      <c r="C13003">
        <v>11162</v>
      </c>
      <c r="D13003" t="s">
        <v>266</v>
      </c>
      <c r="E13003" t="s">
        <v>267</v>
      </c>
      <c r="F13003">
        <v>223.45</v>
      </c>
      <c r="G13003">
        <v>230828</v>
      </c>
      <c r="H13003">
        <v>4600</v>
      </c>
      <c r="I13003" t="s">
        <v>105</v>
      </c>
      <c r="J13003">
        <v>277.08</v>
      </c>
      <c r="K13003">
        <v>53.63</v>
      </c>
      <c r="L13003">
        <v>56568</v>
      </c>
      <c r="M13003" t="s">
        <v>268</v>
      </c>
      <c r="N13003" t="str">
        <f>"171200842   "</f>
        <v xml:space="preserve">171200842   </v>
      </c>
      <c r="O13003">
        <v>230830</v>
      </c>
    </row>
    <row r="13004" spans="1:15" x14ac:dyDescent="0.25">
      <c r="A13004" t="s">
        <v>16</v>
      </c>
      <c r="B13004" t="s">
        <v>3221</v>
      </c>
      <c r="C13004">
        <v>11163</v>
      </c>
      <c r="D13004" t="s">
        <v>266</v>
      </c>
      <c r="E13004" t="s">
        <v>267</v>
      </c>
      <c r="F13004">
        <v>16.350000000000001</v>
      </c>
      <c r="G13004">
        <v>230828</v>
      </c>
      <c r="H13004">
        <v>4600</v>
      </c>
      <c r="I13004" t="s">
        <v>105</v>
      </c>
      <c r="J13004">
        <v>20.27</v>
      </c>
      <c r="K13004">
        <v>3.92</v>
      </c>
      <c r="L13004">
        <v>56568</v>
      </c>
      <c r="M13004" t="s">
        <v>268</v>
      </c>
      <c r="N13004" t="str">
        <f>"171200243   "</f>
        <v xml:space="preserve">171200243   </v>
      </c>
      <c r="O13004">
        <v>230830</v>
      </c>
    </row>
    <row r="13005" spans="1:15" x14ac:dyDescent="0.25">
      <c r="A13005" t="s">
        <v>16</v>
      </c>
      <c r="B13005" t="s">
        <v>3221</v>
      </c>
      <c r="C13005">
        <v>11164</v>
      </c>
      <c r="D13005" t="s">
        <v>266</v>
      </c>
      <c r="E13005" t="s">
        <v>267</v>
      </c>
      <c r="F13005">
        <v>104.06</v>
      </c>
      <c r="G13005">
        <v>230828</v>
      </c>
      <c r="H13005">
        <v>4600</v>
      </c>
      <c r="I13005" t="s">
        <v>105</v>
      </c>
      <c r="J13005">
        <v>129.04</v>
      </c>
      <c r="K13005">
        <v>24.98</v>
      </c>
      <c r="L13005">
        <v>56568</v>
      </c>
      <c r="M13005" t="s">
        <v>268</v>
      </c>
      <c r="N13005" t="str">
        <f>"171200968   "</f>
        <v xml:space="preserve">171200968   </v>
      </c>
      <c r="O13005">
        <v>230830</v>
      </c>
    </row>
    <row r="13006" spans="1:15" x14ac:dyDescent="0.25">
      <c r="A13006" t="s">
        <v>16</v>
      </c>
      <c r="B13006" t="s">
        <v>3221</v>
      </c>
      <c r="C13006">
        <v>11165</v>
      </c>
      <c r="D13006" t="s">
        <v>266</v>
      </c>
      <c r="E13006" t="s">
        <v>267</v>
      </c>
      <c r="F13006">
        <v>-16.13</v>
      </c>
      <c r="G13006">
        <v>230828</v>
      </c>
      <c r="H13006">
        <v>4600</v>
      </c>
      <c r="I13006" t="s">
        <v>105</v>
      </c>
      <c r="J13006">
        <v>-20</v>
      </c>
      <c r="K13006">
        <v>-3.87</v>
      </c>
      <c r="L13006">
        <v>56568</v>
      </c>
      <c r="M13006" t="s">
        <v>268</v>
      </c>
      <c r="N13006" t="str">
        <f>"171200935   "</f>
        <v xml:space="preserve">171200935   </v>
      </c>
      <c r="O13006">
        <v>230830</v>
      </c>
    </row>
    <row r="13007" spans="1:15" x14ac:dyDescent="0.25">
      <c r="A13007" t="s">
        <v>16</v>
      </c>
      <c r="B13007" t="s">
        <v>3221</v>
      </c>
      <c r="C13007">
        <v>11166</v>
      </c>
      <c r="D13007" t="s">
        <v>266</v>
      </c>
      <c r="E13007" t="s">
        <v>267</v>
      </c>
      <c r="F13007">
        <v>665.71</v>
      </c>
      <c r="G13007">
        <v>230828</v>
      </c>
      <c r="H13007">
        <v>4600</v>
      </c>
      <c r="I13007" t="s">
        <v>105</v>
      </c>
      <c r="J13007">
        <v>825.48</v>
      </c>
      <c r="K13007">
        <v>159.77000000000001</v>
      </c>
      <c r="L13007">
        <v>56568</v>
      </c>
      <c r="M13007" t="s">
        <v>268</v>
      </c>
      <c r="N13007" t="str">
        <f>"171200840   "</f>
        <v xml:space="preserve">171200840   </v>
      </c>
      <c r="O13007">
        <v>230830</v>
      </c>
    </row>
    <row r="13008" spans="1:15" x14ac:dyDescent="0.25">
      <c r="A13008" t="s">
        <v>16</v>
      </c>
      <c r="B13008" t="s">
        <v>3221</v>
      </c>
      <c r="C13008">
        <v>11167</v>
      </c>
      <c r="D13008" t="s">
        <v>266</v>
      </c>
      <c r="E13008" t="s">
        <v>267</v>
      </c>
      <c r="F13008">
        <v>352.44</v>
      </c>
      <c r="G13008">
        <v>230828</v>
      </c>
      <c r="H13008">
        <v>4600</v>
      </c>
      <c r="I13008" t="s">
        <v>105</v>
      </c>
      <c r="J13008">
        <v>437.03</v>
      </c>
      <c r="K13008">
        <v>84.59</v>
      </c>
      <c r="L13008">
        <v>56568</v>
      </c>
      <c r="M13008" t="s">
        <v>268</v>
      </c>
      <c r="N13008" t="str">
        <f>"171200564   "</f>
        <v xml:space="preserve">171200564   </v>
      </c>
      <c r="O13008">
        <v>230830</v>
      </c>
    </row>
    <row r="13009" spans="1:15" x14ac:dyDescent="0.25">
      <c r="A13009" t="s">
        <v>16</v>
      </c>
      <c r="B13009" t="s">
        <v>3221</v>
      </c>
      <c r="C13009">
        <v>11169</v>
      </c>
      <c r="D13009" t="s">
        <v>266</v>
      </c>
      <c r="E13009" t="s">
        <v>267</v>
      </c>
      <c r="F13009">
        <v>-16.13</v>
      </c>
      <c r="G13009">
        <v>230828</v>
      </c>
      <c r="H13009">
        <v>4600</v>
      </c>
      <c r="I13009" t="s">
        <v>105</v>
      </c>
      <c r="J13009">
        <v>-20</v>
      </c>
      <c r="K13009">
        <v>-3.87</v>
      </c>
      <c r="L13009">
        <v>56568</v>
      </c>
      <c r="M13009" t="s">
        <v>268</v>
      </c>
      <c r="N13009" t="str">
        <f>"171200936   "</f>
        <v xml:space="preserve">171200936   </v>
      </c>
      <c r="O13009">
        <v>230830</v>
      </c>
    </row>
    <row r="13010" spans="1:15" x14ac:dyDescent="0.25">
      <c r="A13010" t="s">
        <v>16</v>
      </c>
      <c r="B13010" t="s">
        <v>3221</v>
      </c>
      <c r="C13010">
        <v>11170</v>
      </c>
      <c r="D13010" t="s">
        <v>266</v>
      </c>
      <c r="E13010" t="s">
        <v>267</v>
      </c>
      <c r="F13010">
        <v>58.16</v>
      </c>
      <c r="G13010">
        <v>230828</v>
      </c>
      <c r="H13010">
        <v>4600</v>
      </c>
      <c r="I13010" t="s">
        <v>105</v>
      </c>
      <c r="J13010">
        <v>72.12</v>
      </c>
      <c r="K13010">
        <v>13.96</v>
      </c>
      <c r="L13010">
        <v>56568</v>
      </c>
      <c r="M13010" t="s">
        <v>268</v>
      </c>
      <c r="N13010" t="str">
        <f>"171201081   "</f>
        <v xml:space="preserve">171201081   </v>
      </c>
      <c r="O13010">
        <v>230830</v>
      </c>
    </row>
    <row r="13011" spans="1:15" x14ac:dyDescent="0.25">
      <c r="A13011" t="s">
        <v>16</v>
      </c>
      <c r="B13011" t="s">
        <v>3221</v>
      </c>
      <c r="C13011">
        <v>11171</v>
      </c>
      <c r="D13011" t="s">
        <v>266</v>
      </c>
      <c r="E13011" t="s">
        <v>267</v>
      </c>
      <c r="F13011">
        <v>10.77</v>
      </c>
      <c r="G13011">
        <v>230828</v>
      </c>
      <c r="H13011">
        <v>4600</v>
      </c>
      <c r="I13011" t="s">
        <v>105</v>
      </c>
      <c r="J13011">
        <v>13.36</v>
      </c>
      <c r="K13011">
        <v>2.59</v>
      </c>
      <c r="L13011">
        <v>56568</v>
      </c>
      <c r="M13011" t="s">
        <v>268</v>
      </c>
      <c r="N13011" t="str">
        <f>"171200839   "</f>
        <v xml:space="preserve">171200839   </v>
      </c>
      <c r="O13011">
        <v>230830</v>
      </c>
    </row>
    <row r="13012" spans="1:15" x14ac:dyDescent="0.25">
      <c r="A13012" t="s">
        <v>16</v>
      </c>
      <c r="B13012" t="s">
        <v>3221</v>
      </c>
      <c r="C13012">
        <v>11172</v>
      </c>
      <c r="D13012" t="s">
        <v>266</v>
      </c>
      <c r="E13012" t="s">
        <v>267</v>
      </c>
      <c r="F13012">
        <v>86.77</v>
      </c>
      <c r="G13012">
        <v>230828</v>
      </c>
      <c r="H13012">
        <v>4600</v>
      </c>
      <c r="I13012" t="s">
        <v>105</v>
      </c>
      <c r="J13012">
        <v>107.59</v>
      </c>
      <c r="K13012">
        <v>20.82</v>
      </c>
      <c r="L13012">
        <v>56568</v>
      </c>
      <c r="M13012" t="s">
        <v>268</v>
      </c>
      <c r="N13012" t="str">
        <f>"171201083   "</f>
        <v xml:space="preserve">171201083   </v>
      </c>
      <c r="O13012">
        <v>230830</v>
      </c>
    </row>
    <row r="13013" spans="1:15" x14ac:dyDescent="0.25">
      <c r="A13013" t="s">
        <v>16</v>
      </c>
      <c r="B13013" t="s">
        <v>3221</v>
      </c>
      <c r="C13013">
        <v>11173</v>
      </c>
      <c r="D13013" t="s">
        <v>266</v>
      </c>
      <c r="E13013" t="s">
        <v>267</v>
      </c>
      <c r="F13013">
        <v>190.37</v>
      </c>
      <c r="G13013">
        <v>230828</v>
      </c>
      <c r="H13013">
        <v>4600</v>
      </c>
      <c r="I13013" t="s">
        <v>105</v>
      </c>
      <c r="J13013">
        <v>236.06</v>
      </c>
      <c r="K13013">
        <v>45.69</v>
      </c>
      <c r="L13013">
        <v>56568</v>
      </c>
      <c r="M13013" t="s">
        <v>268</v>
      </c>
      <c r="N13013" t="str">
        <f>"171200563   "</f>
        <v xml:space="preserve">171200563   </v>
      </c>
      <c r="O13013">
        <v>230830</v>
      </c>
    </row>
    <row r="13014" spans="1:15" x14ac:dyDescent="0.25">
      <c r="A13014" t="s">
        <v>16</v>
      </c>
      <c r="B13014" t="s">
        <v>3221</v>
      </c>
      <c r="C13014">
        <v>11309</v>
      </c>
      <c r="D13014" t="s">
        <v>266</v>
      </c>
      <c r="E13014" t="s">
        <v>267</v>
      </c>
      <c r="F13014">
        <v>-25.9</v>
      </c>
      <c r="G13014">
        <v>230831</v>
      </c>
      <c r="H13014">
        <v>4600</v>
      </c>
      <c r="I13014" t="s">
        <v>105</v>
      </c>
      <c r="J13014">
        <v>-32.119999999999997</v>
      </c>
      <c r="K13014">
        <v>-6.22</v>
      </c>
      <c r="L13014">
        <v>56568</v>
      </c>
      <c r="M13014" t="s">
        <v>268</v>
      </c>
      <c r="N13014" t="str">
        <f>"171202312   "</f>
        <v xml:space="preserve">171202312   </v>
      </c>
      <c r="O13014">
        <v>230904</v>
      </c>
    </row>
    <row r="13015" spans="1:15" x14ac:dyDescent="0.25">
      <c r="A13015" t="s">
        <v>16</v>
      </c>
      <c r="B13015" t="s">
        <v>3221</v>
      </c>
      <c r="C13015">
        <v>11310</v>
      </c>
      <c r="D13015" t="s">
        <v>266</v>
      </c>
      <c r="E13015" t="s">
        <v>267</v>
      </c>
      <c r="F13015">
        <v>-19.149999999999999</v>
      </c>
      <c r="G13015">
        <v>230831</v>
      </c>
      <c r="H13015">
        <v>4600</v>
      </c>
      <c r="I13015" t="s">
        <v>105</v>
      </c>
      <c r="J13015">
        <v>-23.75</v>
      </c>
      <c r="K13015">
        <v>-4.5999999999999996</v>
      </c>
      <c r="L13015">
        <v>56568</v>
      </c>
      <c r="M13015" t="s">
        <v>268</v>
      </c>
      <c r="N13015" t="str">
        <f>"171202310   "</f>
        <v xml:space="preserve">171202310   </v>
      </c>
      <c r="O13015">
        <v>230904</v>
      </c>
    </row>
    <row r="13016" spans="1:15" x14ac:dyDescent="0.25">
      <c r="A13016" t="s">
        <v>16</v>
      </c>
      <c r="B13016" t="s">
        <v>3221</v>
      </c>
      <c r="C13016">
        <v>11311</v>
      </c>
      <c r="D13016" t="s">
        <v>266</v>
      </c>
      <c r="E13016" t="s">
        <v>267</v>
      </c>
      <c r="F13016">
        <v>-14</v>
      </c>
      <c r="G13016">
        <v>230831</v>
      </c>
      <c r="H13016">
        <v>4600</v>
      </c>
      <c r="I13016" t="s">
        <v>105</v>
      </c>
      <c r="J13016">
        <v>-17.36</v>
      </c>
      <c r="K13016">
        <v>-3.36</v>
      </c>
      <c r="L13016">
        <v>56568</v>
      </c>
      <c r="M13016" t="s">
        <v>268</v>
      </c>
      <c r="N13016" t="str">
        <f>"171201713   "</f>
        <v xml:space="preserve">171201713   </v>
      </c>
      <c r="O13016">
        <v>230904</v>
      </c>
    </row>
    <row r="13017" spans="1:15" x14ac:dyDescent="0.25">
      <c r="A13017" t="s">
        <v>16</v>
      </c>
      <c r="B13017" t="s">
        <v>3221</v>
      </c>
      <c r="C13017">
        <v>11321</v>
      </c>
      <c r="D13017" t="s">
        <v>266</v>
      </c>
      <c r="E13017" t="s">
        <v>267</v>
      </c>
      <c r="F13017">
        <v>19.739999999999998</v>
      </c>
      <c r="G13017">
        <v>230831</v>
      </c>
      <c r="H13017">
        <v>4600</v>
      </c>
      <c r="I13017" t="s">
        <v>105</v>
      </c>
      <c r="J13017">
        <v>24.48</v>
      </c>
      <c r="K13017">
        <v>4.74</v>
      </c>
      <c r="L13017">
        <v>56568</v>
      </c>
      <c r="M13017" t="s">
        <v>268</v>
      </c>
      <c r="N13017" t="str">
        <f>"171202188   "</f>
        <v xml:space="preserve">171202188   </v>
      </c>
      <c r="O13017">
        <v>230904</v>
      </c>
    </row>
    <row r="13018" spans="1:15" x14ac:dyDescent="0.25">
      <c r="A13018" t="s">
        <v>16</v>
      </c>
      <c r="B13018" t="s">
        <v>3221</v>
      </c>
      <c r="C13018">
        <v>11323</v>
      </c>
      <c r="D13018" t="s">
        <v>266</v>
      </c>
      <c r="E13018" t="s">
        <v>267</v>
      </c>
      <c r="F13018">
        <v>141.81</v>
      </c>
      <c r="G13018">
        <v>230831</v>
      </c>
      <c r="H13018">
        <v>4600</v>
      </c>
      <c r="I13018" t="s">
        <v>105</v>
      </c>
      <c r="J13018">
        <v>175.84</v>
      </c>
      <c r="K13018">
        <v>34.03</v>
      </c>
      <c r="L13018">
        <v>56568</v>
      </c>
      <c r="M13018" t="s">
        <v>268</v>
      </c>
      <c r="N13018" t="str">
        <f>"171202186   "</f>
        <v xml:space="preserve">171202186   </v>
      </c>
      <c r="O13018">
        <v>230904</v>
      </c>
    </row>
    <row r="13019" spans="1:15" x14ac:dyDescent="0.25">
      <c r="A13019" t="s">
        <v>16</v>
      </c>
      <c r="B13019" t="s">
        <v>3221</v>
      </c>
      <c r="C13019">
        <v>11324</v>
      </c>
      <c r="D13019" t="s">
        <v>266</v>
      </c>
      <c r="E13019" t="s">
        <v>267</v>
      </c>
      <c r="F13019">
        <v>100.52</v>
      </c>
      <c r="G13019">
        <v>230831</v>
      </c>
      <c r="H13019">
        <v>4600</v>
      </c>
      <c r="I13019" t="s">
        <v>105</v>
      </c>
      <c r="J13019">
        <v>124.65</v>
      </c>
      <c r="K13019">
        <v>24.13</v>
      </c>
      <c r="L13019">
        <v>56568</v>
      </c>
      <c r="M13019" t="s">
        <v>268</v>
      </c>
      <c r="N13019" t="str">
        <f>"171201849   "</f>
        <v xml:space="preserve">171201849   </v>
      </c>
      <c r="O13019">
        <v>230904</v>
      </c>
    </row>
    <row r="13020" spans="1:15" x14ac:dyDescent="0.25">
      <c r="A13020" t="s">
        <v>16</v>
      </c>
      <c r="B13020" t="s">
        <v>3221</v>
      </c>
      <c r="C13020">
        <v>11327</v>
      </c>
      <c r="D13020" t="s">
        <v>266</v>
      </c>
      <c r="E13020" t="s">
        <v>267</v>
      </c>
      <c r="F13020">
        <v>402.81</v>
      </c>
      <c r="G13020">
        <v>230831</v>
      </c>
      <c r="H13020">
        <v>4600</v>
      </c>
      <c r="I13020" t="s">
        <v>105</v>
      </c>
      <c r="J13020">
        <v>499.48</v>
      </c>
      <c r="K13020">
        <v>96.67</v>
      </c>
      <c r="L13020">
        <v>56568</v>
      </c>
      <c r="M13020" t="s">
        <v>268</v>
      </c>
      <c r="N13020" t="str">
        <f>"171202185   "</f>
        <v xml:space="preserve">171202185   </v>
      </c>
      <c r="O13020">
        <v>230904</v>
      </c>
    </row>
    <row r="13021" spans="1:15" x14ac:dyDescent="0.25">
      <c r="A13021" t="s">
        <v>16</v>
      </c>
      <c r="B13021" t="s">
        <v>3221</v>
      </c>
      <c r="C13021">
        <v>11328</v>
      </c>
      <c r="D13021" t="s">
        <v>266</v>
      </c>
      <c r="E13021" t="s">
        <v>267</v>
      </c>
      <c r="F13021">
        <v>121.06</v>
      </c>
      <c r="G13021">
        <v>230831</v>
      </c>
      <c r="H13021">
        <v>4600</v>
      </c>
      <c r="I13021" t="s">
        <v>105</v>
      </c>
      <c r="J13021">
        <v>150.12</v>
      </c>
      <c r="K13021">
        <v>29.06</v>
      </c>
      <c r="L13021">
        <v>56568</v>
      </c>
      <c r="M13021" t="s">
        <v>268</v>
      </c>
      <c r="N13021" t="str">
        <f>"171202201   "</f>
        <v xml:space="preserve">171202201   </v>
      </c>
      <c r="O13021">
        <v>230904</v>
      </c>
    </row>
    <row r="13022" spans="1:15" x14ac:dyDescent="0.25">
      <c r="A13022" t="s">
        <v>16</v>
      </c>
      <c r="B13022" t="s">
        <v>3221</v>
      </c>
      <c r="C13022">
        <v>11329</v>
      </c>
      <c r="D13022" t="s">
        <v>266</v>
      </c>
      <c r="E13022" t="s">
        <v>267</v>
      </c>
      <c r="F13022">
        <v>32.369999999999997</v>
      </c>
      <c r="G13022">
        <v>230831</v>
      </c>
      <c r="H13022">
        <v>4600</v>
      </c>
      <c r="I13022" t="s">
        <v>105</v>
      </c>
      <c r="J13022">
        <v>40.14</v>
      </c>
      <c r="K13022">
        <v>7.77</v>
      </c>
      <c r="L13022">
        <v>56568</v>
      </c>
      <c r="M13022" t="s">
        <v>268</v>
      </c>
      <c r="N13022" t="str">
        <f>"171201428   "</f>
        <v xml:space="preserve">171201428   </v>
      </c>
      <c r="O13022">
        <v>230904</v>
      </c>
    </row>
    <row r="13023" spans="1:15" x14ac:dyDescent="0.25">
      <c r="A13023" t="s">
        <v>16</v>
      </c>
      <c r="B13023" t="s">
        <v>3221</v>
      </c>
      <c r="C13023">
        <v>11330</v>
      </c>
      <c r="D13023" t="s">
        <v>266</v>
      </c>
      <c r="E13023" t="s">
        <v>267</v>
      </c>
      <c r="F13023">
        <v>72.17</v>
      </c>
      <c r="G13023">
        <v>230831</v>
      </c>
      <c r="H13023">
        <v>4600</v>
      </c>
      <c r="I13023" t="s">
        <v>105</v>
      </c>
      <c r="J13023">
        <v>89.49</v>
      </c>
      <c r="K13023">
        <v>17.32</v>
      </c>
      <c r="L13023">
        <v>56568</v>
      </c>
      <c r="M13023" t="s">
        <v>268</v>
      </c>
      <c r="N13023" t="str">
        <f>"171202187   "</f>
        <v xml:space="preserve">171202187   </v>
      </c>
      <c r="O13023">
        <v>230904</v>
      </c>
    </row>
    <row r="13024" spans="1:15" x14ac:dyDescent="0.25">
      <c r="A13024" t="s">
        <v>16</v>
      </c>
      <c r="B13024" t="s">
        <v>3221</v>
      </c>
      <c r="C13024">
        <v>12276</v>
      </c>
      <c r="D13024" t="s">
        <v>266</v>
      </c>
      <c r="E13024" t="s">
        <v>267</v>
      </c>
      <c r="F13024">
        <v>-83.6</v>
      </c>
      <c r="G13024">
        <v>230911</v>
      </c>
      <c r="H13024">
        <v>4600</v>
      </c>
      <c r="I13024" t="s">
        <v>105</v>
      </c>
      <c r="J13024">
        <v>-103.66</v>
      </c>
      <c r="K13024">
        <v>-20.059999999999999</v>
      </c>
      <c r="L13024">
        <v>56568</v>
      </c>
      <c r="M13024" t="s">
        <v>268</v>
      </c>
      <c r="N13024" t="str">
        <f>"171204409   "</f>
        <v xml:space="preserve">171204409   </v>
      </c>
      <c r="O13024">
        <v>230918</v>
      </c>
    </row>
    <row r="13025" spans="1:15" x14ac:dyDescent="0.25">
      <c r="A13025" t="s">
        <v>16</v>
      </c>
      <c r="B13025" t="s">
        <v>3221</v>
      </c>
      <c r="C13025">
        <v>12278</v>
      </c>
      <c r="D13025" t="s">
        <v>266</v>
      </c>
      <c r="E13025" t="s">
        <v>267</v>
      </c>
      <c r="F13025">
        <v>10.83</v>
      </c>
      <c r="G13025">
        <v>230911</v>
      </c>
      <c r="H13025">
        <v>4600</v>
      </c>
      <c r="I13025" t="s">
        <v>105</v>
      </c>
      <c r="J13025">
        <v>13.43</v>
      </c>
      <c r="K13025">
        <v>2.6</v>
      </c>
      <c r="L13025">
        <v>56568</v>
      </c>
      <c r="M13025" t="s">
        <v>268</v>
      </c>
      <c r="N13025" t="str">
        <f>"171203542   "</f>
        <v xml:space="preserve">171203542   </v>
      </c>
      <c r="O13025">
        <v>230918</v>
      </c>
    </row>
    <row r="13026" spans="1:15" x14ac:dyDescent="0.25">
      <c r="A13026" t="s">
        <v>16</v>
      </c>
      <c r="B13026" t="s">
        <v>3221</v>
      </c>
      <c r="C13026">
        <v>12279</v>
      </c>
      <c r="D13026" t="s">
        <v>266</v>
      </c>
      <c r="E13026" t="s">
        <v>267</v>
      </c>
      <c r="F13026">
        <v>299.12</v>
      </c>
      <c r="G13026">
        <v>230911</v>
      </c>
      <c r="H13026">
        <v>4600</v>
      </c>
      <c r="I13026" t="s">
        <v>105</v>
      </c>
      <c r="J13026">
        <v>370.91</v>
      </c>
      <c r="K13026">
        <v>71.790000000000006</v>
      </c>
      <c r="L13026">
        <v>56568</v>
      </c>
      <c r="M13026" t="s">
        <v>268</v>
      </c>
      <c r="N13026" t="str">
        <f>"171203828   "</f>
        <v xml:space="preserve">171203828   </v>
      </c>
      <c r="O13026">
        <v>230918</v>
      </c>
    </row>
    <row r="13027" spans="1:15" x14ac:dyDescent="0.25">
      <c r="A13027" t="s">
        <v>16</v>
      </c>
      <c r="B13027" t="s">
        <v>3221</v>
      </c>
      <c r="C13027">
        <v>12281</v>
      </c>
      <c r="D13027" t="s">
        <v>266</v>
      </c>
      <c r="E13027" t="s">
        <v>267</v>
      </c>
      <c r="F13027">
        <v>203.73</v>
      </c>
      <c r="G13027">
        <v>230911</v>
      </c>
      <c r="H13027">
        <v>4600</v>
      </c>
      <c r="I13027" t="s">
        <v>105</v>
      </c>
      <c r="J13027">
        <v>252.62</v>
      </c>
      <c r="K13027">
        <v>48.89</v>
      </c>
      <c r="L13027">
        <v>56568</v>
      </c>
      <c r="M13027" t="s">
        <v>268</v>
      </c>
      <c r="N13027" t="str">
        <f>"171203270   "</f>
        <v xml:space="preserve">171203270   </v>
      </c>
      <c r="O13027">
        <v>230918</v>
      </c>
    </row>
    <row r="13028" spans="1:15" x14ac:dyDescent="0.25">
      <c r="A13028" t="s">
        <v>16</v>
      </c>
      <c r="B13028" t="s">
        <v>3221</v>
      </c>
      <c r="C13028">
        <v>12282</v>
      </c>
      <c r="D13028" t="s">
        <v>266</v>
      </c>
      <c r="E13028" t="s">
        <v>267</v>
      </c>
      <c r="F13028">
        <v>71.14</v>
      </c>
      <c r="G13028">
        <v>230911</v>
      </c>
      <c r="H13028">
        <v>4600</v>
      </c>
      <c r="I13028" t="s">
        <v>105</v>
      </c>
      <c r="J13028">
        <v>88.21</v>
      </c>
      <c r="K13028">
        <v>17.07</v>
      </c>
      <c r="L13028">
        <v>56568</v>
      </c>
      <c r="M13028" t="s">
        <v>268</v>
      </c>
      <c r="N13028" t="str">
        <f>"171204120   "</f>
        <v xml:space="preserve">171204120   </v>
      </c>
      <c r="O13028">
        <v>230918</v>
      </c>
    </row>
    <row r="13029" spans="1:15" x14ac:dyDescent="0.25">
      <c r="A13029" t="s">
        <v>16</v>
      </c>
      <c r="B13029" t="s">
        <v>3221</v>
      </c>
      <c r="C13029">
        <v>12283</v>
      </c>
      <c r="D13029" t="s">
        <v>266</v>
      </c>
      <c r="E13029" t="s">
        <v>267</v>
      </c>
      <c r="F13029">
        <v>-65.099999999999994</v>
      </c>
      <c r="G13029">
        <v>230911</v>
      </c>
      <c r="H13029">
        <v>4600</v>
      </c>
      <c r="I13029" t="s">
        <v>105</v>
      </c>
      <c r="J13029">
        <v>-80.73</v>
      </c>
      <c r="K13029">
        <v>-15.63</v>
      </c>
      <c r="L13029">
        <v>56568</v>
      </c>
      <c r="M13029" t="s">
        <v>268</v>
      </c>
      <c r="N13029" t="str">
        <f>"171204411   "</f>
        <v xml:space="preserve">171204411   </v>
      </c>
      <c r="O13029">
        <v>230918</v>
      </c>
    </row>
    <row r="13030" spans="1:15" x14ac:dyDescent="0.25">
      <c r="A13030" t="s">
        <v>16</v>
      </c>
      <c r="B13030" t="s">
        <v>3221</v>
      </c>
      <c r="C13030">
        <v>12286</v>
      </c>
      <c r="D13030" t="s">
        <v>266</v>
      </c>
      <c r="E13030" t="s">
        <v>267</v>
      </c>
      <c r="F13030">
        <v>-56.88</v>
      </c>
      <c r="G13030">
        <v>230911</v>
      </c>
      <c r="H13030">
        <v>4600</v>
      </c>
      <c r="I13030" t="s">
        <v>105</v>
      </c>
      <c r="J13030">
        <v>-70.53</v>
      </c>
      <c r="K13030">
        <v>-13.65</v>
      </c>
      <c r="L13030">
        <v>56568</v>
      </c>
      <c r="M13030" t="s">
        <v>268</v>
      </c>
      <c r="N13030" t="str">
        <f>"171203711   "</f>
        <v xml:space="preserve">171203711   </v>
      </c>
      <c r="O13030">
        <v>230918</v>
      </c>
    </row>
    <row r="13031" spans="1:15" x14ac:dyDescent="0.25">
      <c r="A13031" t="s">
        <v>16</v>
      </c>
      <c r="B13031" t="s">
        <v>3221</v>
      </c>
      <c r="C13031">
        <v>12287</v>
      </c>
      <c r="D13031" t="s">
        <v>266</v>
      </c>
      <c r="E13031" t="s">
        <v>267</v>
      </c>
      <c r="F13031">
        <v>99.97</v>
      </c>
      <c r="G13031">
        <v>230911</v>
      </c>
      <c r="H13031">
        <v>4600</v>
      </c>
      <c r="I13031" t="s">
        <v>105</v>
      </c>
      <c r="J13031">
        <v>123.96</v>
      </c>
      <c r="K13031">
        <v>23.99</v>
      </c>
      <c r="L13031">
        <v>56568</v>
      </c>
      <c r="M13031" t="s">
        <v>268</v>
      </c>
      <c r="N13031" t="str">
        <f>"171204322   "</f>
        <v xml:space="preserve">171204322   </v>
      </c>
      <c r="O13031">
        <v>230918</v>
      </c>
    </row>
    <row r="13032" spans="1:15" x14ac:dyDescent="0.25">
      <c r="A13032" t="s">
        <v>16</v>
      </c>
      <c r="B13032" t="s">
        <v>3221</v>
      </c>
      <c r="C13032">
        <v>12289</v>
      </c>
      <c r="D13032" t="s">
        <v>266</v>
      </c>
      <c r="E13032" t="s">
        <v>267</v>
      </c>
      <c r="F13032">
        <v>27.22</v>
      </c>
      <c r="G13032">
        <v>230911</v>
      </c>
      <c r="H13032">
        <v>4600</v>
      </c>
      <c r="I13032" t="s">
        <v>105</v>
      </c>
      <c r="J13032">
        <v>33.75</v>
      </c>
      <c r="K13032">
        <v>6.53</v>
      </c>
      <c r="L13032">
        <v>56568</v>
      </c>
      <c r="M13032" t="s">
        <v>268</v>
      </c>
      <c r="N13032" t="str">
        <f>"171203817   "</f>
        <v xml:space="preserve">171203817   </v>
      </c>
      <c r="O13032">
        <v>230918</v>
      </c>
    </row>
    <row r="13033" spans="1:15" x14ac:dyDescent="0.25">
      <c r="A13033" t="s">
        <v>16</v>
      </c>
      <c r="B13033" t="s">
        <v>3221</v>
      </c>
      <c r="C13033">
        <v>12291</v>
      </c>
      <c r="D13033" t="s">
        <v>266</v>
      </c>
      <c r="E13033" t="s">
        <v>267</v>
      </c>
      <c r="F13033">
        <v>178.69</v>
      </c>
      <c r="G13033">
        <v>230911</v>
      </c>
      <c r="H13033">
        <v>4600</v>
      </c>
      <c r="I13033" t="s">
        <v>105</v>
      </c>
      <c r="J13033">
        <v>221.58</v>
      </c>
      <c r="K13033">
        <v>42.89</v>
      </c>
      <c r="L13033">
        <v>56568</v>
      </c>
      <c r="M13033" t="s">
        <v>268</v>
      </c>
      <c r="N13033" t="str">
        <f>"171203543   "</f>
        <v xml:space="preserve">171203543   </v>
      </c>
      <c r="O13033">
        <v>230918</v>
      </c>
    </row>
    <row r="13034" spans="1:15" x14ac:dyDescent="0.25">
      <c r="A13034" t="s">
        <v>16</v>
      </c>
      <c r="B13034" t="s">
        <v>3221</v>
      </c>
      <c r="C13034">
        <v>12683</v>
      </c>
      <c r="D13034" t="s">
        <v>266</v>
      </c>
      <c r="E13034" t="s">
        <v>267</v>
      </c>
      <c r="F13034">
        <v>-44.91</v>
      </c>
      <c r="G13034">
        <v>230918</v>
      </c>
      <c r="H13034">
        <v>4600</v>
      </c>
      <c r="I13034" t="s">
        <v>105</v>
      </c>
      <c r="J13034">
        <v>-55.69</v>
      </c>
      <c r="K13034">
        <v>-10.78</v>
      </c>
      <c r="L13034">
        <v>56568</v>
      </c>
      <c r="M13034" t="s">
        <v>268</v>
      </c>
      <c r="N13034" t="str">
        <f>"171205799   "</f>
        <v xml:space="preserve">171205799   </v>
      </c>
      <c r="O13034">
        <v>230925</v>
      </c>
    </row>
    <row r="13035" spans="1:15" x14ac:dyDescent="0.25">
      <c r="A13035" t="s">
        <v>16</v>
      </c>
      <c r="B13035" t="s">
        <v>3221</v>
      </c>
      <c r="C13035">
        <v>12704</v>
      </c>
      <c r="D13035" t="s">
        <v>266</v>
      </c>
      <c r="E13035" t="s">
        <v>267</v>
      </c>
      <c r="F13035">
        <v>155.22999999999999</v>
      </c>
      <c r="G13035">
        <v>230918</v>
      </c>
      <c r="H13035">
        <v>4600</v>
      </c>
      <c r="I13035" t="s">
        <v>105</v>
      </c>
      <c r="J13035">
        <v>192.48</v>
      </c>
      <c r="K13035">
        <v>37.25</v>
      </c>
      <c r="L13035">
        <v>56568</v>
      </c>
      <c r="M13035" t="s">
        <v>268</v>
      </c>
      <c r="N13035" t="str">
        <f>"171205856   "</f>
        <v xml:space="preserve">171205856   </v>
      </c>
      <c r="O13035">
        <v>230925</v>
      </c>
    </row>
    <row r="13036" spans="1:15" x14ac:dyDescent="0.25">
      <c r="A13036" t="s">
        <v>16</v>
      </c>
      <c r="B13036" t="s">
        <v>3221</v>
      </c>
      <c r="C13036">
        <v>12705</v>
      </c>
      <c r="D13036" t="s">
        <v>266</v>
      </c>
      <c r="E13036" t="s">
        <v>267</v>
      </c>
      <c r="F13036">
        <v>366.57</v>
      </c>
      <c r="G13036">
        <v>230918</v>
      </c>
      <c r="H13036">
        <v>4600</v>
      </c>
      <c r="I13036" t="s">
        <v>105</v>
      </c>
      <c r="J13036">
        <v>454.55</v>
      </c>
      <c r="K13036">
        <v>87.98</v>
      </c>
      <c r="L13036">
        <v>56568</v>
      </c>
      <c r="M13036" t="s">
        <v>268</v>
      </c>
      <c r="N13036" t="str">
        <f>"171205607   "</f>
        <v xml:space="preserve">171205607   </v>
      </c>
      <c r="O13036">
        <v>230925</v>
      </c>
    </row>
    <row r="13037" spans="1:15" x14ac:dyDescent="0.25">
      <c r="A13037" t="s">
        <v>16</v>
      </c>
      <c r="B13037" t="s">
        <v>3221</v>
      </c>
      <c r="C13037">
        <v>12706</v>
      </c>
      <c r="D13037" t="s">
        <v>266</v>
      </c>
      <c r="E13037" t="s">
        <v>267</v>
      </c>
      <c r="F13037">
        <v>29.98</v>
      </c>
      <c r="G13037">
        <v>230918</v>
      </c>
      <c r="H13037">
        <v>4600</v>
      </c>
      <c r="I13037" t="s">
        <v>105</v>
      </c>
      <c r="J13037">
        <v>37.17</v>
      </c>
      <c r="K13037">
        <v>7.19</v>
      </c>
      <c r="L13037">
        <v>56568</v>
      </c>
      <c r="M13037" t="s">
        <v>268</v>
      </c>
      <c r="N13037" t="str">
        <f>"171205854   "</f>
        <v xml:space="preserve">171205854   </v>
      </c>
      <c r="O13037">
        <v>230925</v>
      </c>
    </row>
    <row r="13038" spans="1:15" x14ac:dyDescent="0.25">
      <c r="A13038" t="s">
        <v>16</v>
      </c>
      <c r="B13038" t="s">
        <v>3221</v>
      </c>
      <c r="C13038">
        <v>12707</v>
      </c>
      <c r="D13038" t="s">
        <v>266</v>
      </c>
      <c r="E13038" t="s">
        <v>267</v>
      </c>
      <c r="F13038">
        <v>122.53</v>
      </c>
      <c r="G13038">
        <v>230918</v>
      </c>
      <c r="H13038">
        <v>4600</v>
      </c>
      <c r="I13038" t="s">
        <v>105</v>
      </c>
      <c r="J13038">
        <v>151.94</v>
      </c>
      <c r="K13038">
        <v>29.41</v>
      </c>
      <c r="L13038">
        <v>56568</v>
      </c>
      <c r="M13038" t="s">
        <v>268</v>
      </c>
      <c r="N13038" t="str">
        <f>"171205039   "</f>
        <v xml:space="preserve">171205039   </v>
      </c>
      <c r="O13038">
        <v>230925</v>
      </c>
    </row>
    <row r="13039" spans="1:15" x14ac:dyDescent="0.25">
      <c r="A13039" t="s">
        <v>16</v>
      </c>
      <c r="B13039" t="s">
        <v>3221</v>
      </c>
      <c r="C13039">
        <v>12708</v>
      </c>
      <c r="D13039" t="s">
        <v>266</v>
      </c>
      <c r="E13039" t="s">
        <v>267</v>
      </c>
      <c r="F13039">
        <v>32.229999999999997</v>
      </c>
      <c r="G13039">
        <v>230918</v>
      </c>
      <c r="H13039">
        <v>4600</v>
      </c>
      <c r="I13039" t="s">
        <v>105</v>
      </c>
      <c r="J13039">
        <v>39.96</v>
      </c>
      <c r="K13039">
        <v>7.73</v>
      </c>
      <c r="L13039">
        <v>56568</v>
      </c>
      <c r="M13039" t="s">
        <v>268</v>
      </c>
      <c r="N13039" t="str">
        <f>"171205335   "</f>
        <v xml:space="preserve">171205335   </v>
      </c>
      <c r="O13039">
        <v>230925</v>
      </c>
    </row>
    <row r="13040" spans="1:15" x14ac:dyDescent="0.25">
      <c r="A13040" t="s">
        <v>16</v>
      </c>
      <c r="B13040" t="s">
        <v>3221</v>
      </c>
      <c r="C13040">
        <v>12709</v>
      </c>
      <c r="D13040" t="s">
        <v>266</v>
      </c>
      <c r="E13040" t="s">
        <v>267</v>
      </c>
      <c r="F13040">
        <v>7.47</v>
      </c>
      <c r="G13040">
        <v>230918</v>
      </c>
      <c r="H13040">
        <v>4600</v>
      </c>
      <c r="I13040" t="s">
        <v>105</v>
      </c>
      <c r="J13040">
        <v>9.26</v>
      </c>
      <c r="K13040">
        <v>1.79</v>
      </c>
      <c r="L13040">
        <v>56568</v>
      </c>
      <c r="M13040" t="s">
        <v>268</v>
      </c>
      <c r="N13040" t="str">
        <f>"171205336   "</f>
        <v xml:space="preserve">171205336   </v>
      </c>
      <c r="O13040">
        <v>230925</v>
      </c>
    </row>
    <row r="13041" spans="1:15" x14ac:dyDescent="0.25">
      <c r="A13041" t="s">
        <v>16</v>
      </c>
      <c r="B13041" t="s">
        <v>3221</v>
      </c>
      <c r="C13041">
        <v>12961</v>
      </c>
      <c r="D13041" t="s">
        <v>266</v>
      </c>
      <c r="E13041" t="s">
        <v>267</v>
      </c>
      <c r="F13041">
        <v>-31.02</v>
      </c>
      <c r="G13041">
        <v>230925</v>
      </c>
      <c r="H13041">
        <v>4600</v>
      </c>
      <c r="I13041" t="s">
        <v>105</v>
      </c>
      <c r="J13041">
        <v>-38.47</v>
      </c>
      <c r="K13041">
        <v>-7.45</v>
      </c>
      <c r="L13041">
        <v>56568</v>
      </c>
      <c r="M13041" t="s">
        <v>268</v>
      </c>
      <c r="N13041" t="str">
        <f>"171207286   "</f>
        <v xml:space="preserve">171207286   </v>
      </c>
      <c r="O13041">
        <v>231002</v>
      </c>
    </row>
    <row r="13042" spans="1:15" x14ac:dyDescent="0.25">
      <c r="A13042" t="s">
        <v>16</v>
      </c>
      <c r="B13042" t="s">
        <v>3221</v>
      </c>
      <c r="C13042">
        <v>12962</v>
      </c>
      <c r="D13042" t="s">
        <v>266</v>
      </c>
      <c r="E13042" t="s">
        <v>267</v>
      </c>
      <c r="F13042">
        <v>-6.64</v>
      </c>
      <c r="G13042">
        <v>230925</v>
      </c>
      <c r="H13042">
        <v>4600</v>
      </c>
      <c r="I13042" t="s">
        <v>105</v>
      </c>
      <c r="J13042">
        <v>-8.23</v>
      </c>
      <c r="K13042">
        <v>-1.59</v>
      </c>
      <c r="L13042">
        <v>56568</v>
      </c>
      <c r="M13042" t="s">
        <v>268</v>
      </c>
      <c r="N13042" t="str">
        <f>"171207025   "</f>
        <v xml:space="preserve">171207025   </v>
      </c>
      <c r="O13042">
        <v>231002</v>
      </c>
    </row>
    <row r="13043" spans="1:15" x14ac:dyDescent="0.25">
      <c r="A13043" t="s">
        <v>16</v>
      </c>
      <c r="B13043" t="s">
        <v>3221</v>
      </c>
      <c r="C13043">
        <v>12963</v>
      </c>
      <c r="D13043" t="s">
        <v>266</v>
      </c>
      <c r="E13043" t="s">
        <v>267</v>
      </c>
      <c r="F13043">
        <v>-32.26</v>
      </c>
      <c r="G13043">
        <v>230925</v>
      </c>
      <c r="H13043">
        <v>4600</v>
      </c>
      <c r="I13043" t="s">
        <v>105</v>
      </c>
      <c r="J13043">
        <v>-40</v>
      </c>
      <c r="K13043">
        <v>-7.74</v>
      </c>
      <c r="L13043">
        <v>56568</v>
      </c>
      <c r="M13043" t="s">
        <v>268</v>
      </c>
      <c r="N13043" t="str">
        <f>"171207491   "</f>
        <v xml:space="preserve">171207491   </v>
      </c>
      <c r="O13043">
        <v>231002</v>
      </c>
    </row>
    <row r="13044" spans="1:15" x14ac:dyDescent="0.25">
      <c r="A13044" t="s">
        <v>16</v>
      </c>
      <c r="B13044" t="s">
        <v>3221</v>
      </c>
      <c r="C13044">
        <v>12964</v>
      </c>
      <c r="D13044" t="s">
        <v>266</v>
      </c>
      <c r="E13044" t="s">
        <v>267</v>
      </c>
      <c r="F13044">
        <v>94.25</v>
      </c>
      <c r="G13044">
        <v>230925</v>
      </c>
      <c r="H13044">
        <v>4600</v>
      </c>
      <c r="I13044" t="s">
        <v>105</v>
      </c>
      <c r="J13044">
        <v>116.87</v>
      </c>
      <c r="K13044">
        <v>22.62</v>
      </c>
      <c r="L13044">
        <v>56568</v>
      </c>
      <c r="M13044" t="s">
        <v>268</v>
      </c>
      <c r="N13044" t="str">
        <f>"171206907   "</f>
        <v xml:space="preserve">171206907   </v>
      </c>
      <c r="O13044">
        <v>231002</v>
      </c>
    </row>
    <row r="13045" spans="1:15" x14ac:dyDescent="0.25">
      <c r="A13045" t="s">
        <v>16</v>
      </c>
      <c r="B13045" t="s">
        <v>3221</v>
      </c>
      <c r="C13045">
        <v>12965</v>
      </c>
      <c r="D13045" t="s">
        <v>266</v>
      </c>
      <c r="E13045" t="s">
        <v>267</v>
      </c>
      <c r="F13045">
        <v>63.85</v>
      </c>
      <c r="G13045">
        <v>230925</v>
      </c>
      <c r="H13045">
        <v>4600</v>
      </c>
      <c r="I13045" t="s">
        <v>105</v>
      </c>
      <c r="J13045">
        <v>79.180000000000007</v>
      </c>
      <c r="K13045">
        <v>15.33</v>
      </c>
      <c r="L13045">
        <v>56568</v>
      </c>
      <c r="M13045" t="s">
        <v>268</v>
      </c>
      <c r="N13045" t="str">
        <f>"171206210   "</f>
        <v xml:space="preserve">171206210   </v>
      </c>
      <c r="O13045">
        <v>231002</v>
      </c>
    </row>
    <row r="13046" spans="1:15" x14ac:dyDescent="0.25">
      <c r="A13046" t="s">
        <v>16</v>
      </c>
      <c r="B13046" t="s">
        <v>3221</v>
      </c>
      <c r="C13046">
        <v>12966</v>
      </c>
      <c r="D13046" t="s">
        <v>266</v>
      </c>
      <c r="E13046" t="s">
        <v>267</v>
      </c>
      <c r="F13046">
        <v>12.67</v>
      </c>
      <c r="G13046">
        <v>230925</v>
      </c>
      <c r="H13046">
        <v>4600</v>
      </c>
      <c r="I13046" t="s">
        <v>105</v>
      </c>
      <c r="J13046">
        <v>15.71</v>
      </c>
      <c r="K13046">
        <v>3.04</v>
      </c>
      <c r="L13046">
        <v>56568</v>
      </c>
      <c r="M13046" t="s">
        <v>268</v>
      </c>
      <c r="N13046" t="str">
        <f>"171206566   "</f>
        <v xml:space="preserve">171206566   </v>
      </c>
      <c r="O13046">
        <v>231002</v>
      </c>
    </row>
    <row r="13047" spans="1:15" x14ac:dyDescent="0.25">
      <c r="A13047" t="s">
        <v>16</v>
      </c>
      <c r="B13047" t="s">
        <v>3221</v>
      </c>
      <c r="C13047">
        <v>12967</v>
      </c>
      <c r="D13047" t="s">
        <v>266</v>
      </c>
      <c r="E13047" t="s">
        <v>267</v>
      </c>
      <c r="F13047">
        <v>245.64</v>
      </c>
      <c r="G13047">
        <v>230925</v>
      </c>
      <c r="H13047">
        <v>4600</v>
      </c>
      <c r="I13047" t="s">
        <v>105</v>
      </c>
      <c r="J13047">
        <v>304.58999999999997</v>
      </c>
      <c r="K13047">
        <v>58.95</v>
      </c>
      <c r="L13047">
        <v>56568</v>
      </c>
      <c r="M13047" t="s">
        <v>268</v>
      </c>
      <c r="N13047" t="str">
        <f>"171206898   "</f>
        <v xml:space="preserve">171206898   </v>
      </c>
      <c r="O13047">
        <v>231002</v>
      </c>
    </row>
    <row r="13048" spans="1:15" x14ac:dyDescent="0.25">
      <c r="A13048" t="s">
        <v>16</v>
      </c>
      <c r="B13048" t="s">
        <v>3221</v>
      </c>
      <c r="C13048">
        <v>12968</v>
      </c>
      <c r="D13048" t="s">
        <v>266</v>
      </c>
      <c r="E13048" t="s">
        <v>267</v>
      </c>
      <c r="F13048">
        <v>118.84</v>
      </c>
      <c r="G13048">
        <v>230925</v>
      </c>
      <c r="H13048">
        <v>4600</v>
      </c>
      <c r="I13048" t="s">
        <v>105</v>
      </c>
      <c r="J13048">
        <v>147.36000000000001</v>
      </c>
      <c r="K13048">
        <v>28.52</v>
      </c>
      <c r="L13048">
        <v>56568</v>
      </c>
      <c r="M13048" t="s">
        <v>268</v>
      </c>
      <c r="N13048" t="str">
        <f>"171207404   "</f>
        <v xml:space="preserve">171207404   </v>
      </c>
      <c r="O13048">
        <v>231002</v>
      </c>
    </row>
    <row r="13049" spans="1:15" x14ac:dyDescent="0.25">
      <c r="A13049" t="s">
        <v>16</v>
      </c>
      <c r="B13049" t="s">
        <v>3221</v>
      </c>
      <c r="C13049">
        <v>12969</v>
      </c>
      <c r="D13049" t="s">
        <v>266</v>
      </c>
      <c r="E13049" t="s">
        <v>267</v>
      </c>
      <c r="F13049">
        <v>18.18</v>
      </c>
      <c r="G13049">
        <v>230925</v>
      </c>
      <c r="H13049">
        <v>4600</v>
      </c>
      <c r="I13049" t="s">
        <v>105</v>
      </c>
      <c r="J13049">
        <v>22.54</v>
      </c>
      <c r="K13049">
        <v>4.3600000000000003</v>
      </c>
      <c r="L13049">
        <v>56568</v>
      </c>
      <c r="M13049" t="s">
        <v>268</v>
      </c>
      <c r="N13049" t="str">
        <f>"171207403   "</f>
        <v xml:space="preserve">171207403   </v>
      </c>
      <c r="O13049">
        <v>231002</v>
      </c>
    </row>
    <row r="13050" spans="1:15" x14ac:dyDescent="0.25">
      <c r="A13050" t="s">
        <v>16</v>
      </c>
      <c r="B13050" t="s">
        <v>3221</v>
      </c>
      <c r="C13050">
        <v>12970</v>
      </c>
      <c r="D13050" t="s">
        <v>266</v>
      </c>
      <c r="E13050" t="s">
        <v>267</v>
      </c>
      <c r="F13050">
        <v>168.78</v>
      </c>
      <c r="G13050">
        <v>230925</v>
      </c>
      <c r="H13050">
        <v>4600</v>
      </c>
      <c r="I13050" t="s">
        <v>105</v>
      </c>
      <c r="J13050">
        <v>209.29</v>
      </c>
      <c r="K13050">
        <v>40.51</v>
      </c>
      <c r="L13050">
        <v>56568</v>
      </c>
      <c r="M13050" t="s">
        <v>268</v>
      </c>
      <c r="N13050" t="str">
        <f>"171207165   "</f>
        <v xml:space="preserve">171207165   </v>
      </c>
      <c r="O13050">
        <v>231002</v>
      </c>
    </row>
    <row r="13051" spans="1:15" x14ac:dyDescent="0.25">
      <c r="A13051" t="s">
        <v>16</v>
      </c>
      <c r="B13051" t="s">
        <v>3221</v>
      </c>
      <c r="C13051">
        <v>12971</v>
      </c>
      <c r="D13051" t="s">
        <v>266</v>
      </c>
      <c r="E13051" t="s">
        <v>267</v>
      </c>
      <c r="F13051">
        <v>453.61</v>
      </c>
      <c r="G13051">
        <v>230925</v>
      </c>
      <c r="H13051">
        <v>4600</v>
      </c>
      <c r="I13051" t="s">
        <v>105</v>
      </c>
      <c r="J13051">
        <v>562.48</v>
      </c>
      <c r="K13051">
        <v>108.87</v>
      </c>
      <c r="L13051">
        <v>56568</v>
      </c>
      <c r="M13051" t="s">
        <v>268</v>
      </c>
      <c r="N13051" t="str">
        <f>"171207407   "</f>
        <v xml:space="preserve">171207407   </v>
      </c>
      <c r="O13051">
        <v>231002</v>
      </c>
    </row>
    <row r="13052" spans="1:15" x14ac:dyDescent="0.25">
      <c r="A13052" t="s">
        <v>16</v>
      </c>
      <c r="B13052" t="s">
        <v>3221</v>
      </c>
      <c r="C13052">
        <v>12972</v>
      </c>
      <c r="D13052" t="s">
        <v>266</v>
      </c>
      <c r="E13052" t="s">
        <v>267</v>
      </c>
      <c r="F13052">
        <v>15.16</v>
      </c>
      <c r="G13052">
        <v>230925</v>
      </c>
      <c r="H13052">
        <v>4600</v>
      </c>
      <c r="I13052" t="s">
        <v>105</v>
      </c>
      <c r="J13052">
        <v>18.8</v>
      </c>
      <c r="K13052">
        <v>3.64</v>
      </c>
      <c r="L13052">
        <v>56568</v>
      </c>
      <c r="M13052" t="s">
        <v>268</v>
      </c>
      <c r="N13052" t="str">
        <f>"171206562   "</f>
        <v xml:space="preserve">171206562   </v>
      </c>
      <c r="O13052">
        <v>231002</v>
      </c>
    </row>
    <row r="13053" spans="1:15" x14ac:dyDescent="0.25">
      <c r="A13053" t="s">
        <v>16</v>
      </c>
      <c r="B13053" t="s">
        <v>3221</v>
      </c>
      <c r="C13053">
        <v>12973</v>
      </c>
      <c r="D13053" t="s">
        <v>266</v>
      </c>
      <c r="E13053" t="s">
        <v>267</v>
      </c>
      <c r="F13053">
        <v>33.65</v>
      </c>
      <c r="G13053">
        <v>230925</v>
      </c>
      <c r="H13053">
        <v>4600</v>
      </c>
      <c r="I13053" t="s">
        <v>105</v>
      </c>
      <c r="J13053">
        <v>41.73</v>
      </c>
      <c r="K13053">
        <v>8.08</v>
      </c>
      <c r="L13053">
        <v>56568</v>
      </c>
      <c r="M13053" t="s">
        <v>268</v>
      </c>
      <c r="N13053" t="str">
        <f>"171206899   "</f>
        <v xml:space="preserve">171206899   </v>
      </c>
      <c r="O13053">
        <v>231002</v>
      </c>
    </row>
    <row r="13054" spans="1:15" x14ac:dyDescent="0.25">
      <c r="A13054" t="s">
        <v>16</v>
      </c>
      <c r="B13054" t="s">
        <v>3221</v>
      </c>
      <c r="C13054">
        <v>13179</v>
      </c>
      <c r="D13054" t="s">
        <v>266</v>
      </c>
      <c r="E13054" t="s">
        <v>267</v>
      </c>
      <c r="F13054">
        <v>14.4</v>
      </c>
      <c r="G13054">
        <v>230925</v>
      </c>
      <c r="H13054">
        <v>4600</v>
      </c>
      <c r="I13054" t="s">
        <v>105</v>
      </c>
      <c r="J13054">
        <v>17.850000000000001</v>
      </c>
      <c r="K13054">
        <v>3.45</v>
      </c>
      <c r="L13054">
        <v>56565</v>
      </c>
      <c r="M13054" t="s">
        <v>758</v>
      </c>
      <c r="N13054" t="str">
        <f>"171206809   "</f>
        <v xml:space="preserve">171206809   </v>
      </c>
      <c r="O13054">
        <v>231005</v>
      </c>
    </row>
    <row r="13055" spans="1:15" x14ac:dyDescent="0.25">
      <c r="A13055" t="s">
        <v>16</v>
      </c>
      <c r="B13055" t="s">
        <v>3221</v>
      </c>
      <c r="C13055">
        <v>13179</v>
      </c>
      <c r="D13055" t="s">
        <v>266</v>
      </c>
      <c r="E13055" t="s">
        <v>267</v>
      </c>
      <c r="F13055">
        <v>46.78</v>
      </c>
      <c r="G13055">
        <v>230925</v>
      </c>
      <c r="H13055">
        <v>4600</v>
      </c>
      <c r="I13055" t="s">
        <v>105</v>
      </c>
      <c r="J13055">
        <v>58.01</v>
      </c>
      <c r="K13055">
        <v>11.23</v>
      </c>
      <c r="L13055">
        <v>56573</v>
      </c>
      <c r="M13055" t="s">
        <v>521</v>
      </c>
      <c r="N13055" t="str">
        <f>"171206809   "</f>
        <v xml:space="preserve">171206809   </v>
      </c>
      <c r="O13055">
        <v>231005</v>
      </c>
    </row>
    <row r="13056" spans="1:15" x14ac:dyDescent="0.25">
      <c r="A13056" t="s">
        <v>16</v>
      </c>
      <c r="B13056" t="s">
        <v>3221</v>
      </c>
      <c r="C13056">
        <v>13242</v>
      </c>
      <c r="D13056" t="s">
        <v>266</v>
      </c>
      <c r="E13056" t="s">
        <v>267</v>
      </c>
      <c r="F13056">
        <v>-15.43</v>
      </c>
      <c r="G13056">
        <v>230930</v>
      </c>
      <c r="H13056">
        <v>4600</v>
      </c>
      <c r="I13056" t="s">
        <v>105</v>
      </c>
      <c r="J13056">
        <v>-19.13</v>
      </c>
      <c r="K13056">
        <v>-3.7</v>
      </c>
      <c r="L13056">
        <v>56568</v>
      </c>
      <c r="M13056" t="s">
        <v>268</v>
      </c>
      <c r="N13056" t="str">
        <f>"171208661   "</f>
        <v xml:space="preserve">171208661   </v>
      </c>
      <c r="O13056">
        <v>231006</v>
      </c>
    </row>
    <row r="13057" spans="1:15" x14ac:dyDescent="0.25">
      <c r="A13057" t="s">
        <v>16</v>
      </c>
      <c r="B13057" t="s">
        <v>3221</v>
      </c>
      <c r="C13057">
        <v>13251</v>
      </c>
      <c r="D13057" t="s">
        <v>266</v>
      </c>
      <c r="E13057" t="s">
        <v>267</v>
      </c>
      <c r="F13057">
        <v>260.08999999999997</v>
      </c>
      <c r="G13057">
        <v>230930</v>
      </c>
      <c r="H13057">
        <v>4600</v>
      </c>
      <c r="I13057" t="s">
        <v>105</v>
      </c>
      <c r="J13057">
        <v>322.51</v>
      </c>
      <c r="K13057">
        <v>62.42</v>
      </c>
      <c r="L13057">
        <v>56568</v>
      </c>
      <c r="M13057" t="s">
        <v>268</v>
      </c>
      <c r="N13057" t="str">
        <f>"171208723   "</f>
        <v xml:space="preserve">171208723   </v>
      </c>
      <c r="O13057">
        <v>231006</v>
      </c>
    </row>
    <row r="13058" spans="1:15" x14ac:dyDescent="0.25">
      <c r="A13058" t="s">
        <v>16</v>
      </c>
      <c r="B13058" t="s">
        <v>3221</v>
      </c>
      <c r="C13058">
        <v>13253</v>
      </c>
      <c r="D13058" t="s">
        <v>266</v>
      </c>
      <c r="E13058" t="s">
        <v>267</v>
      </c>
      <c r="F13058">
        <v>25.47</v>
      </c>
      <c r="G13058">
        <v>230930</v>
      </c>
      <c r="H13058">
        <v>4600</v>
      </c>
      <c r="I13058" t="s">
        <v>105</v>
      </c>
      <c r="J13058">
        <v>31.58</v>
      </c>
      <c r="K13058">
        <v>6.11</v>
      </c>
      <c r="L13058">
        <v>56568</v>
      </c>
      <c r="M13058" t="s">
        <v>268</v>
      </c>
      <c r="N13058" t="str">
        <f>"171208138   "</f>
        <v xml:space="preserve">171208138   </v>
      </c>
      <c r="O13058">
        <v>231006</v>
      </c>
    </row>
    <row r="13059" spans="1:15" x14ac:dyDescent="0.25">
      <c r="A13059" t="s">
        <v>16</v>
      </c>
      <c r="B13059" t="s">
        <v>3221</v>
      </c>
      <c r="C13059">
        <v>13254</v>
      </c>
      <c r="D13059" t="s">
        <v>266</v>
      </c>
      <c r="E13059" t="s">
        <v>267</v>
      </c>
      <c r="F13059">
        <v>61.31</v>
      </c>
      <c r="G13059">
        <v>230930</v>
      </c>
      <c r="H13059">
        <v>4600</v>
      </c>
      <c r="I13059" t="s">
        <v>105</v>
      </c>
      <c r="J13059">
        <v>76.02</v>
      </c>
      <c r="K13059">
        <v>14.71</v>
      </c>
      <c r="L13059">
        <v>56568</v>
      </c>
      <c r="M13059" t="s">
        <v>268</v>
      </c>
      <c r="N13059" t="str">
        <f>"171208483   "</f>
        <v xml:space="preserve">171208483   </v>
      </c>
      <c r="O13059">
        <v>231006</v>
      </c>
    </row>
    <row r="13060" spans="1:15" x14ac:dyDescent="0.25">
      <c r="A13060" t="s">
        <v>16</v>
      </c>
      <c r="B13060" t="s">
        <v>3221</v>
      </c>
      <c r="C13060">
        <v>13278</v>
      </c>
      <c r="D13060" t="s">
        <v>266</v>
      </c>
      <c r="E13060" t="s">
        <v>267</v>
      </c>
      <c r="F13060">
        <v>76.91</v>
      </c>
      <c r="G13060">
        <v>230930</v>
      </c>
      <c r="H13060">
        <v>4600</v>
      </c>
      <c r="I13060" t="s">
        <v>105</v>
      </c>
      <c r="J13060">
        <v>95.37</v>
      </c>
      <c r="K13060">
        <v>18.46</v>
      </c>
      <c r="L13060">
        <v>56568</v>
      </c>
      <c r="M13060" t="s">
        <v>268</v>
      </c>
      <c r="N13060" t="str">
        <f>"171207780   "</f>
        <v xml:space="preserve">171207780   </v>
      </c>
      <c r="O13060">
        <v>231009</v>
      </c>
    </row>
    <row r="13061" spans="1:15" x14ac:dyDescent="0.25">
      <c r="A13061" t="s">
        <v>16</v>
      </c>
      <c r="B13061" t="s">
        <v>3221</v>
      </c>
      <c r="C13061">
        <v>13280</v>
      </c>
      <c r="D13061" t="s">
        <v>266</v>
      </c>
      <c r="E13061" t="s">
        <v>267</v>
      </c>
      <c r="F13061">
        <v>39.04</v>
      </c>
      <c r="G13061">
        <v>230930</v>
      </c>
      <c r="H13061">
        <v>4600</v>
      </c>
      <c r="I13061" t="s">
        <v>105</v>
      </c>
      <c r="J13061">
        <v>48.41</v>
      </c>
      <c r="K13061">
        <v>9.3699999999999992</v>
      </c>
      <c r="L13061">
        <v>56568</v>
      </c>
      <c r="M13061" t="s">
        <v>268</v>
      </c>
      <c r="N13061" t="str">
        <f>"171208139   "</f>
        <v xml:space="preserve">171208139   </v>
      </c>
      <c r="O13061">
        <v>231009</v>
      </c>
    </row>
    <row r="13062" spans="1:15" x14ac:dyDescent="0.25">
      <c r="A13062" t="s">
        <v>16</v>
      </c>
      <c r="B13062" t="s">
        <v>3221</v>
      </c>
      <c r="C13062">
        <v>13711</v>
      </c>
      <c r="D13062" t="s">
        <v>266</v>
      </c>
      <c r="E13062" t="s">
        <v>267</v>
      </c>
      <c r="F13062">
        <v>18.18</v>
      </c>
      <c r="G13062">
        <v>231009</v>
      </c>
      <c r="H13062">
        <v>4600</v>
      </c>
      <c r="I13062" t="s">
        <v>105</v>
      </c>
      <c r="J13062">
        <v>22.54</v>
      </c>
      <c r="K13062">
        <v>4.3600000000000003</v>
      </c>
      <c r="L13062">
        <v>56568</v>
      </c>
      <c r="M13062" t="s">
        <v>268</v>
      </c>
      <c r="N13062" t="str">
        <f>"171210590   "</f>
        <v xml:space="preserve">171210590   </v>
      </c>
      <c r="O13062">
        <v>231012</v>
      </c>
    </row>
    <row r="13063" spans="1:15" x14ac:dyDescent="0.25">
      <c r="A13063" t="s">
        <v>16</v>
      </c>
      <c r="B13063" t="s">
        <v>3221</v>
      </c>
      <c r="C13063">
        <v>13712</v>
      </c>
      <c r="D13063" t="s">
        <v>266</v>
      </c>
      <c r="E13063" t="s">
        <v>267</v>
      </c>
      <c r="F13063">
        <v>46.62</v>
      </c>
      <c r="G13063">
        <v>231009</v>
      </c>
      <c r="H13063">
        <v>4600</v>
      </c>
      <c r="I13063" t="s">
        <v>105</v>
      </c>
      <c r="J13063">
        <v>57.81</v>
      </c>
      <c r="K13063">
        <v>11.19</v>
      </c>
      <c r="L13063">
        <v>56568</v>
      </c>
      <c r="M13063" t="s">
        <v>268</v>
      </c>
      <c r="N13063" t="str">
        <f>"171210589   "</f>
        <v xml:space="preserve">171210589   </v>
      </c>
      <c r="O13063">
        <v>231012</v>
      </c>
    </row>
    <row r="13064" spans="1:15" x14ac:dyDescent="0.25">
      <c r="A13064" t="s">
        <v>16</v>
      </c>
      <c r="B13064" t="s">
        <v>3221</v>
      </c>
      <c r="C13064">
        <v>13716</v>
      </c>
      <c r="D13064" t="s">
        <v>266</v>
      </c>
      <c r="E13064" t="s">
        <v>267</v>
      </c>
      <c r="F13064">
        <v>261.72000000000003</v>
      </c>
      <c r="G13064">
        <v>231009</v>
      </c>
      <c r="H13064">
        <v>4600</v>
      </c>
      <c r="I13064" t="s">
        <v>105</v>
      </c>
      <c r="J13064">
        <v>324.52999999999997</v>
      </c>
      <c r="K13064">
        <v>62.81</v>
      </c>
      <c r="L13064">
        <v>56568</v>
      </c>
      <c r="M13064" t="s">
        <v>268</v>
      </c>
      <c r="N13064" t="str">
        <f>"171210591   "</f>
        <v xml:space="preserve">171210591   </v>
      </c>
      <c r="O13064">
        <v>231012</v>
      </c>
    </row>
    <row r="13065" spans="1:15" x14ac:dyDescent="0.25">
      <c r="A13065" t="s">
        <v>16</v>
      </c>
      <c r="B13065" t="s">
        <v>3221</v>
      </c>
      <c r="C13065">
        <v>14260</v>
      </c>
      <c r="D13065" t="s">
        <v>266</v>
      </c>
      <c r="E13065" t="s">
        <v>267</v>
      </c>
      <c r="F13065">
        <v>-33.33</v>
      </c>
      <c r="G13065">
        <v>231016</v>
      </c>
      <c r="H13065">
        <v>4600</v>
      </c>
      <c r="I13065" t="s">
        <v>105</v>
      </c>
      <c r="J13065">
        <v>-41.33</v>
      </c>
      <c r="K13065">
        <v>-8</v>
      </c>
      <c r="L13065">
        <v>56568</v>
      </c>
      <c r="M13065" t="s">
        <v>268</v>
      </c>
      <c r="N13065" t="str">
        <f>"171211247   "</f>
        <v xml:space="preserve">171211247   </v>
      </c>
      <c r="O13065">
        <v>231025</v>
      </c>
    </row>
    <row r="13066" spans="1:15" x14ac:dyDescent="0.25">
      <c r="A13066" t="s">
        <v>16</v>
      </c>
      <c r="B13066" t="s">
        <v>3221</v>
      </c>
      <c r="C13066">
        <v>14263</v>
      </c>
      <c r="D13066" t="s">
        <v>266</v>
      </c>
      <c r="E13066" t="s">
        <v>267</v>
      </c>
      <c r="F13066">
        <v>-199.23</v>
      </c>
      <c r="G13066">
        <v>231016</v>
      </c>
      <c r="H13066">
        <v>4600</v>
      </c>
      <c r="I13066" t="s">
        <v>105</v>
      </c>
      <c r="J13066">
        <v>-247.05</v>
      </c>
      <c r="K13066">
        <v>-47.82</v>
      </c>
      <c r="L13066">
        <v>56568</v>
      </c>
      <c r="M13066" t="s">
        <v>268</v>
      </c>
      <c r="N13066" t="str">
        <f>"171211244   "</f>
        <v xml:space="preserve">171211244   </v>
      </c>
      <c r="O13066">
        <v>231025</v>
      </c>
    </row>
    <row r="13067" spans="1:15" x14ac:dyDescent="0.25">
      <c r="A13067" t="s">
        <v>16</v>
      </c>
      <c r="B13067" t="s">
        <v>3221</v>
      </c>
      <c r="C13067">
        <v>14264</v>
      </c>
      <c r="D13067" t="s">
        <v>266</v>
      </c>
      <c r="E13067" t="s">
        <v>267</v>
      </c>
      <c r="F13067">
        <v>59.66</v>
      </c>
      <c r="G13067">
        <v>231016</v>
      </c>
      <c r="H13067">
        <v>4600</v>
      </c>
      <c r="I13067" t="s">
        <v>105</v>
      </c>
      <c r="J13067">
        <v>73.98</v>
      </c>
      <c r="K13067">
        <v>14.32</v>
      </c>
      <c r="L13067">
        <v>56568</v>
      </c>
      <c r="M13067" t="s">
        <v>268</v>
      </c>
      <c r="N13067" t="str">
        <f>"171212072   "</f>
        <v xml:space="preserve">171212072   </v>
      </c>
      <c r="O13067">
        <v>231025</v>
      </c>
    </row>
    <row r="13068" spans="1:15" x14ac:dyDescent="0.25">
      <c r="A13068" t="s">
        <v>16</v>
      </c>
      <c r="B13068" t="s">
        <v>3221</v>
      </c>
      <c r="C13068">
        <v>14268</v>
      </c>
      <c r="D13068" t="s">
        <v>266</v>
      </c>
      <c r="E13068" t="s">
        <v>267</v>
      </c>
      <c r="F13068">
        <v>25.14</v>
      </c>
      <c r="G13068">
        <v>231016</v>
      </c>
      <c r="H13068">
        <v>4600</v>
      </c>
      <c r="I13068" t="s">
        <v>105</v>
      </c>
      <c r="J13068">
        <v>31.17</v>
      </c>
      <c r="K13068">
        <v>6.03</v>
      </c>
      <c r="L13068">
        <v>56568</v>
      </c>
      <c r="M13068" t="s">
        <v>268</v>
      </c>
      <c r="N13068" t="str">
        <f>"171211402   "</f>
        <v xml:space="preserve">171211402   </v>
      </c>
      <c r="O13068">
        <v>231025</v>
      </c>
    </row>
    <row r="13069" spans="1:15" x14ac:dyDescent="0.25">
      <c r="A13069" t="s">
        <v>16</v>
      </c>
      <c r="B13069" t="s">
        <v>3221</v>
      </c>
      <c r="C13069">
        <v>14270</v>
      </c>
      <c r="D13069" t="s">
        <v>266</v>
      </c>
      <c r="E13069" t="s">
        <v>267</v>
      </c>
      <c r="F13069">
        <v>-16.18</v>
      </c>
      <c r="G13069">
        <v>231016</v>
      </c>
      <c r="H13069">
        <v>4600</v>
      </c>
      <c r="I13069" t="s">
        <v>105</v>
      </c>
      <c r="J13069">
        <v>-20.059999999999999</v>
      </c>
      <c r="K13069">
        <v>-3.88</v>
      </c>
      <c r="L13069">
        <v>56568</v>
      </c>
      <c r="M13069" t="s">
        <v>268</v>
      </c>
      <c r="N13069" t="str">
        <f>"171211625   "</f>
        <v xml:space="preserve">171211625   </v>
      </c>
      <c r="O13069">
        <v>231025</v>
      </c>
    </row>
    <row r="13070" spans="1:15" x14ac:dyDescent="0.25">
      <c r="A13070" t="s">
        <v>16</v>
      </c>
      <c r="B13070" t="s">
        <v>3221</v>
      </c>
      <c r="C13070">
        <v>14272</v>
      </c>
      <c r="D13070" t="s">
        <v>266</v>
      </c>
      <c r="E13070" t="s">
        <v>267</v>
      </c>
      <c r="F13070">
        <v>180.78</v>
      </c>
      <c r="G13070">
        <v>231016</v>
      </c>
      <c r="H13070">
        <v>4600</v>
      </c>
      <c r="I13070" t="s">
        <v>105</v>
      </c>
      <c r="J13070">
        <v>224.17</v>
      </c>
      <c r="K13070">
        <v>43.39</v>
      </c>
      <c r="L13070">
        <v>56568</v>
      </c>
      <c r="M13070" t="s">
        <v>268</v>
      </c>
      <c r="N13070" t="str">
        <f>"171210985   "</f>
        <v xml:space="preserve">171210985   </v>
      </c>
      <c r="O13070">
        <v>231025</v>
      </c>
    </row>
    <row r="13071" spans="1:15" x14ac:dyDescent="0.25">
      <c r="A13071" t="s">
        <v>16</v>
      </c>
      <c r="B13071" t="s">
        <v>3221</v>
      </c>
      <c r="C13071">
        <v>14276</v>
      </c>
      <c r="D13071" t="s">
        <v>266</v>
      </c>
      <c r="E13071" t="s">
        <v>267</v>
      </c>
      <c r="F13071">
        <v>70.73</v>
      </c>
      <c r="G13071">
        <v>231016</v>
      </c>
      <c r="H13071">
        <v>4600</v>
      </c>
      <c r="I13071" t="s">
        <v>105</v>
      </c>
      <c r="J13071">
        <v>87.7</v>
      </c>
      <c r="K13071">
        <v>16.97</v>
      </c>
      <c r="L13071">
        <v>56568</v>
      </c>
      <c r="M13071" t="s">
        <v>268</v>
      </c>
      <c r="N13071" t="str">
        <f>"171211760   "</f>
        <v xml:space="preserve">171211760   </v>
      </c>
      <c r="O13071">
        <v>231025</v>
      </c>
    </row>
    <row r="13072" spans="1:15" x14ac:dyDescent="0.25">
      <c r="A13072" t="s">
        <v>16</v>
      </c>
      <c r="B13072" t="s">
        <v>3221</v>
      </c>
      <c r="C13072">
        <v>14284</v>
      </c>
      <c r="D13072" t="s">
        <v>266</v>
      </c>
      <c r="E13072" t="s">
        <v>267</v>
      </c>
      <c r="F13072">
        <v>16.77</v>
      </c>
      <c r="G13072">
        <v>231016</v>
      </c>
      <c r="H13072">
        <v>4600</v>
      </c>
      <c r="I13072" t="s">
        <v>105</v>
      </c>
      <c r="J13072">
        <v>20.8</v>
      </c>
      <c r="K13072">
        <v>4.03</v>
      </c>
      <c r="L13072">
        <v>56568</v>
      </c>
      <c r="M13072" t="s">
        <v>268</v>
      </c>
      <c r="N13072" t="str">
        <f>"171212071   "</f>
        <v xml:space="preserve">171212071   </v>
      </c>
      <c r="O13072">
        <v>231025</v>
      </c>
    </row>
    <row r="13073" spans="1:15" x14ac:dyDescent="0.25">
      <c r="A13073" t="s">
        <v>16</v>
      </c>
      <c r="B13073" t="s">
        <v>3221</v>
      </c>
      <c r="C13073">
        <v>14757</v>
      </c>
      <c r="D13073" t="s">
        <v>266</v>
      </c>
      <c r="E13073" t="s">
        <v>267</v>
      </c>
      <c r="F13073">
        <v>-14.77</v>
      </c>
      <c r="G13073">
        <v>231031</v>
      </c>
      <c r="H13073">
        <v>4600</v>
      </c>
      <c r="I13073" t="s">
        <v>105</v>
      </c>
      <c r="J13073">
        <v>-18.32</v>
      </c>
      <c r="K13073">
        <v>-3.55</v>
      </c>
      <c r="L13073">
        <v>56568</v>
      </c>
      <c r="M13073" t="s">
        <v>268</v>
      </c>
      <c r="N13073" t="str">
        <f>"171215491   "</f>
        <v xml:space="preserve">171215491   </v>
      </c>
      <c r="O13073">
        <v>231106</v>
      </c>
    </row>
    <row r="13074" spans="1:15" x14ac:dyDescent="0.25">
      <c r="A13074" t="s">
        <v>16</v>
      </c>
      <c r="B13074" t="s">
        <v>3221</v>
      </c>
      <c r="C13074">
        <v>14758</v>
      </c>
      <c r="D13074" t="s">
        <v>266</v>
      </c>
      <c r="E13074" t="s">
        <v>267</v>
      </c>
      <c r="F13074">
        <v>-52.9</v>
      </c>
      <c r="G13074">
        <v>231031</v>
      </c>
      <c r="H13074">
        <v>4600</v>
      </c>
      <c r="I13074" t="s">
        <v>105</v>
      </c>
      <c r="J13074">
        <v>-65.59</v>
      </c>
      <c r="K13074">
        <v>-12.69</v>
      </c>
      <c r="L13074">
        <v>56568</v>
      </c>
      <c r="M13074" t="s">
        <v>268</v>
      </c>
      <c r="N13074" t="str">
        <f>"171215490   "</f>
        <v xml:space="preserve">171215490   </v>
      </c>
      <c r="O13074">
        <v>231106</v>
      </c>
    </row>
    <row r="13075" spans="1:15" x14ac:dyDescent="0.25">
      <c r="A13075" t="s">
        <v>16</v>
      </c>
      <c r="B13075" t="s">
        <v>3221</v>
      </c>
      <c r="C13075">
        <v>14759</v>
      </c>
      <c r="D13075" t="s">
        <v>266</v>
      </c>
      <c r="E13075" t="s">
        <v>267</v>
      </c>
      <c r="F13075">
        <v>-39.01</v>
      </c>
      <c r="G13075">
        <v>231031</v>
      </c>
      <c r="H13075">
        <v>4600</v>
      </c>
      <c r="I13075" t="s">
        <v>105</v>
      </c>
      <c r="J13075">
        <v>-48.37</v>
      </c>
      <c r="K13075">
        <v>-9.36</v>
      </c>
      <c r="L13075">
        <v>56568</v>
      </c>
      <c r="M13075" t="s">
        <v>268</v>
      </c>
      <c r="N13075" t="str">
        <f>"171215962   "</f>
        <v xml:space="preserve">171215962   </v>
      </c>
      <c r="O13075">
        <v>231106</v>
      </c>
    </row>
    <row r="13076" spans="1:15" x14ac:dyDescent="0.25">
      <c r="A13076" t="s">
        <v>16</v>
      </c>
      <c r="B13076" t="s">
        <v>3221</v>
      </c>
      <c r="C13076">
        <v>14852</v>
      </c>
      <c r="D13076" t="s">
        <v>266</v>
      </c>
      <c r="E13076" t="s">
        <v>267</v>
      </c>
      <c r="F13076">
        <v>194.24</v>
      </c>
      <c r="G13076">
        <v>231031</v>
      </c>
      <c r="H13076">
        <v>4600</v>
      </c>
      <c r="I13076" t="s">
        <v>105</v>
      </c>
      <c r="J13076">
        <v>240.86</v>
      </c>
      <c r="K13076">
        <v>46.62</v>
      </c>
      <c r="L13076">
        <v>56568</v>
      </c>
      <c r="M13076" t="s">
        <v>268</v>
      </c>
      <c r="N13076" t="str">
        <f>"171215961   "</f>
        <v xml:space="preserve">171215961   </v>
      </c>
      <c r="O13076">
        <v>231107</v>
      </c>
    </row>
    <row r="13077" spans="1:15" x14ac:dyDescent="0.25">
      <c r="A13077" t="s">
        <v>16</v>
      </c>
      <c r="B13077" t="s">
        <v>3221</v>
      </c>
      <c r="C13077">
        <v>14856</v>
      </c>
      <c r="D13077" t="s">
        <v>266</v>
      </c>
      <c r="E13077" t="s">
        <v>267</v>
      </c>
      <c r="F13077">
        <v>192.39</v>
      </c>
      <c r="G13077">
        <v>231031</v>
      </c>
      <c r="H13077">
        <v>4600</v>
      </c>
      <c r="I13077" t="s">
        <v>105</v>
      </c>
      <c r="J13077">
        <v>238.56</v>
      </c>
      <c r="K13077">
        <v>46.17</v>
      </c>
      <c r="L13077">
        <v>56568</v>
      </c>
      <c r="M13077" t="s">
        <v>268</v>
      </c>
      <c r="N13077" t="str">
        <f>"171214988   "</f>
        <v xml:space="preserve">171214988   </v>
      </c>
      <c r="O13077">
        <v>231107</v>
      </c>
    </row>
    <row r="13078" spans="1:15" x14ac:dyDescent="0.25">
      <c r="A13078" t="s">
        <v>16</v>
      </c>
      <c r="B13078" t="s">
        <v>3221</v>
      </c>
      <c r="C13078">
        <v>14869</v>
      </c>
      <c r="D13078" t="s">
        <v>266</v>
      </c>
      <c r="E13078" t="s">
        <v>267</v>
      </c>
      <c r="F13078">
        <v>11.84</v>
      </c>
      <c r="G13078">
        <v>231031</v>
      </c>
      <c r="H13078">
        <v>4600</v>
      </c>
      <c r="I13078" t="s">
        <v>105</v>
      </c>
      <c r="J13078">
        <v>14.68</v>
      </c>
      <c r="K13078">
        <v>2.84</v>
      </c>
      <c r="L13078">
        <v>56568</v>
      </c>
      <c r="M13078" t="s">
        <v>268</v>
      </c>
      <c r="N13078" t="str">
        <f>"171215869   "</f>
        <v xml:space="preserve">171215869   </v>
      </c>
      <c r="O13078">
        <v>231107</v>
      </c>
    </row>
    <row r="13079" spans="1:15" x14ac:dyDescent="0.25">
      <c r="A13079" t="s">
        <v>16</v>
      </c>
      <c r="B13079" t="s">
        <v>3221</v>
      </c>
      <c r="C13079">
        <v>14872</v>
      </c>
      <c r="D13079" t="s">
        <v>266</v>
      </c>
      <c r="E13079" t="s">
        <v>267</v>
      </c>
      <c r="F13079">
        <v>210.37</v>
      </c>
      <c r="G13079">
        <v>231031</v>
      </c>
      <c r="H13079">
        <v>4600</v>
      </c>
      <c r="I13079" t="s">
        <v>105</v>
      </c>
      <c r="J13079">
        <v>260.86</v>
      </c>
      <c r="K13079">
        <v>50.49</v>
      </c>
      <c r="L13079">
        <v>56568</v>
      </c>
      <c r="M13079" t="s">
        <v>268</v>
      </c>
      <c r="N13079" t="str">
        <f>"171215310   "</f>
        <v xml:space="preserve">171215310   </v>
      </c>
      <c r="O13079">
        <v>231107</v>
      </c>
    </row>
    <row r="13080" spans="1:15" x14ac:dyDescent="0.25">
      <c r="A13080" t="s">
        <v>16</v>
      </c>
      <c r="B13080" t="s">
        <v>3221</v>
      </c>
      <c r="C13080">
        <v>14877</v>
      </c>
      <c r="D13080" t="s">
        <v>266</v>
      </c>
      <c r="E13080" t="s">
        <v>267</v>
      </c>
      <c r="F13080">
        <v>170.77</v>
      </c>
      <c r="G13080">
        <v>231031</v>
      </c>
      <c r="H13080">
        <v>4600</v>
      </c>
      <c r="I13080" t="s">
        <v>105</v>
      </c>
      <c r="J13080">
        <v>211.76</v>
      </c>
      <c r="K13080">
        <v>40.99</v>
      </c>
      <c r="L13080">
        <v>56568</v>
      </c>
      <c r="M13080" t="s">
        <v>268</v>
      </c>
      <c r="N13080" t="str">
        <f>"171216132   "</f>
        <v xml:space="preserve">171216132   </v>
      </c>
      <c r="O13080">
        <v>231107</v>
      </c>
    </row>
    <row r="13081" spans="1:15" x14ac:dyDescent="0.25">
      <c r="A13081" t="s">
        <v>16</v>
      </c>
      <c r="B13081" t="s">
        <v>3221</v>
      </c>
      <c r="C13081">
        <v>14878</v>
      </c>
      <c r="D13081" t="s">
        <v>266</v>
      </c>
      <c r="E13081" t="s">
        <v>267</v>
      </c>
      <c r="F13081">
        <v>238.56</v>
      </c>
      <c r="G13081">
        <v>231031</v>
      </c>
      <c r="H13081">
        <v>4600</v>
      </c>
      <c r="I13081" t="s">
        <v>105</v>
      </c>
      <c r="J13081">
        <v>295.82</v>
      </c>
      <c r="K13081">
        <v>57.26</v>
      </c>
      <c r="L13081">
        <v>56568</v>
      </c>
      <c r="M13081" t="s">
        <v>268</v>
      </c>
      <c r="N13081" t="str">
        <f>"171214684   "</f>
        <v xml:space="preserve">171214684   </v>
      </c>
      <c r="O13081">
        <v>231107</v>
      </c>
    </row>
    <row r="13082" spans="1:15" x14ac:dyDescent="0.25">
      <c r="A13082" t="s">
        <v>16</v>
      </c>
      <c r="B13082" t="s">
        <v>3221</v>
      </c>
      <c r="C13082">
        <v>14923</v>
      </c>
      <c r="D13082" t="s">
        <v>266</v>
      </c>
      <c r="E13082" t="s">
        <v>267</v>
      </c>
      <c r="F13082">
        <v>18.260000000000002</v>
      </c>
      <c r="G13082">
        <v>231031</v>
      </c>
      <c r="H13082">
        <v>4600</v>
      </c>
      <c r="I13082" t="s">
        <v>105</v>
      </c>
      <c r="J13082">
        <v>22.64</v>
      </c>
      <c r="K13082">
        <v>4.38</v>
      </c>
      <c r="L13082">
        <v>56568</v>
      </c>
      <c r="M13082" t="s">
        <v>268</v>
      </c>
      <c r="N13082" t="str">
        <f>"171214989   "</f>
        <v xml:space="preserve">171214989   </v>
      </c>
      <c r="O13082">
        <v>231107</v>
      </c>
    </row>
    <row r="13083" spans="1:15" x14ac:dyDescent="0.25">
      <c r="A13083" t="s">
        <v>16</v>
      </c>
      <c r="B13083" t="s">
        <v>3221</v>
      </c>
      <c r="C13083">
        <v>15297</v>
      </c>
      <c r="D13083" t="s">
        <v>266</v>
      </c>
      <c r="E13083" t="s">
        <v>267</v>
      </c>
      <c r="F13083">
        <v>91.22</v>
      </c>
      <c r="G13083">
        <v>231031</v>
      </c>
      <c r="H13083">
        <v>4600</v>
      </c>
      <c r="I13083" t="s">
        <v>105</v>
      </c>
      <c r="J13083">
        <v>113.11</v>
      </c>
      <c r="K13083">
        <v>21.89</v>
      </c>
      <c r="L13083">
        <v>56573</v>
      </c>
      <c r="M13083" t="s">
        <v>521</v>
      </c>
      <c r="N13083" t="str">
        <f>"171216127   "</f>
        <v xml:space="preserve">171216127   </v>
      </c>
      <c r="O13083">
        <v>231110</v>
      </c>
    </row>
    <row r="13084" spans="1:15" x14ac:dyDescent="0.25">
      <c r="A13084" t="s">
        <v>16</v>
      </c>
      <c r="B13084" t="s">
        <v>3221</v>
      </c>
      <c r="C13084">
        <v>15871</v>
      </c>
      <c r="D13084" t="s">
        <v>266</v>
      </c>
      <c r="E13084" t="s">
        <v>267</v>
      </c>
      <c r="F13084">
        <v>17.84</v>
      </c>
      <c r="G13084">
        <v>231113</v>
      </c>
      <c r="H13084">
        <v>4600</v>
      </c>
      <c r="I13084" t="s">
        <v>105</v>
      </c>
      <c r="J13084">
        <v>22.12</v>
      </c>
      <c r="K13084">
        <v>4.28</v>
      </c>
      <c r="L13084">
        <v>56568</v>
      </c>
      <c r="M13084" t="s">
        <v>268</v>
      </c>
      <c r="N13084" t="str">
        <f>"171218710   "</f>
        <v xml:space="preserve">171218710   </v>
      </c>
      <c r="O13084">
        <v>231120</v>
      </c>
    </row>
    <row r="13085" spans="1:15" x14ac:dyDescent="0.25">
      <c r="A13085" t="s">
        <v>16</v>
      </c>
      <c r="B13085" t="s">
        <v>3221</v>
      </c>
      <c r="C13085">
        <v>15872</v>
      </c>
      <c r="D13085" t="s">
        <v>266</v>
      </c>
      <c r="E13085" t="s">
        <v>267</v>
      </c>
      <c r="F13085">
        <v>13.73</v>
      </c>
      <c r="G13085">
        <v>231113</v>
      </c>
      <c r="H13085">
        <v>4600</v>
      </c>
      <c r="I13085" t="s">
        <v>105</v>
      </c>
      <c r="J13085">
        <v>17.02</v>
      </c>
      <c r="K13085">
        <v>3.29</v>
      </c>
      <c r="L13085">
        <v>56568</v>
      </c>
      <c r="M13085" t="s">
        <v>268</v>
      </c>
      <c r="N13085" t="str">
        <f>"171218682   "</f>
        <v xml:space="preserve">171218682   </v>
      </c>
      <c r="O13085">
        <v>231120</v>
      </c>
    </row>
    <row r="13086" spans="1:15" x14ac:dyDescent="0.25">
      <c r="A13086" t="s">
        <v>16</v>
      </c>
      <c r="B13086" t="s">
        <v>3221</v>
      </c>
      <c r="C13086">
        <v>15895</v>
      </c>
      <c r="D13086" t="s">
        <v>266</v>
      </c>
      <c r="E13086" t="s">
        <v>267</v>
      </c>
      <c r="F13086">
        <v>-13.73</v>
      </c>
      <c r="G13086">
        <v>231113</v>
      </c>
      <c r="H13086">
        <v>4600</v>
      </c>
      <c r="I13086" t="s">
        <v>105</v>
      </c>
      <c r="J13086">
        <v>-17.02</v>
      </c>
      <c r="K13086">
        <v>-3.29</v>
      </c>
      <c r="L13086">
        <v>56568</v>
      </c>
      <c r="M13086" t="s">
        <v>268</v>
      </c>
      <c r="N13086" t="str">
        <f>"171219076   "</f>
        <v xml:space="preserve">171219076   </v>
      </c>
      <c r="O13086">
        <v>231121</v>
      </c>
    </row>
    <row r="13087" spans="1:15" x14ac:dyDescent="0.25">
      <c r="A13087" t="s">
        <v>16</v>
      </c>
      <c r="B13087" t="s">
        <v>3221</v>
      </c>
      <c r="C13087">
        <v>15896</v>
      </c>
      <c r="D13087" t="s">
        <v>266</v>
      </c>
      <c r="E13087" t="s">
        <v>267</v>
      </c>
      <c r="F13087">
        <v>92.2</v>
      </c>
      <c r="G13087">
        <v>231113</v>
      </c>
      <c r="H13087">
        <v>4600</v>
      </c>
      <c r="I13087" t="s">
        <v>105</v>
      </c>
      <c r="J13087">
        <v>114.33</v>
      </c>
      <c r="K13087">
        <v>22.13</v>
      </c>
      <c r="L13087">
        <v>56568</v>
      </c>
      <c r="M13087" t="s">
        <v>268</v>
      </c>
      <c r="N13087" t="str">
        <f>"171218099   "</f>
        <v xml:space="preserve">171218099   </v>
      </c>
      <c r="O13087">
        <v>231121</v>
      </c>
    </row>
    <row r="13088" spans="1:15" x14ac:dyDescent="0.25">
      <c r="A13088" t="s">
        <v>16</v>
      </c>
      <c r="B13088" t="s">
        <v>3221</v>
      </c>
      <c r="C13088">
        <v>15897</v>
      </c>
      <c r="D13088" t="s">
        <v>266</v>
      </c>
      <c r="E13088" t="s">
        <v>267</v>
      </c>
      <c r="F13088">
        <v>271.35000000000002</v>
      </c>
      <c r="G13088">
        <v>231113</v>
      </c>
      <c r="H13088">
        <v>4600</v>
      </c>
      <c r="I13088" t="s">
        <v>105</v>
      </c>
      <c r="J13088">
        <v>336.48</v>
      </c>
      <c r="K13088">
        <v>65.13</v>
      </c>
      <c r="L13088">
        <v>56565</v>
      </c>
      <c r="M13088" t="s">
        <v>758</v>
      </c>
      <c r="N13088" t="str">
        <f>"171218097   "</f>
        <v xml:space="preserve">171218097   </v>
      </c>
      <c r="O13088">
        <v>231121</v>
      </c>
    </row>
    <row r="13089" spans="1:15" x14ac:dyDescent="0.25">
      <c r="A13089" t="s">
        <v>16</v>
      </c>
      <c r="B13089" t="s">
        <v>3221</v>
      </c>
      <c r="C13089">
        <v>15898</v>
      </c>
      <c r="D13089" t="s">
        <v>266</v>
      </c>
      <c r="E13089" t="s">
        <v>267</v>
      </c>
      <c r="F13089">
        <v>94.17</v>
      </c>
      <c r="G13089">
        <v>231113</v>
      </c>
      <c r="H13089">
        <v>4600</v>
      </c>
      <c r="I13089" t="s">
        <v>105</v>
      </c>
      <c r="J13089">
        <v>116.77</v>
      </c>
      <c r="K13089">
        <v>22.6</v>
      </c>
      <c r="L13089">
        <v>56568</v>
      </c>
      <c r="M13089" t="s">
        <v>268</v>
      </c>
      <c r="N13089" t="str">
        <f>"171218098   "</f>
        <v xml:space="preserve">171218098   </v>
      </c>
      <c r="O13089">
        <v>231121</v>
      </c>
    </row>
    <row r="13090" spans="1:15" x14ac:dyDescent="0.25">
      <c r="A13090" t="s">
        <v>16</v>
      </c>
      <c r="B13090" t="s">
        <v>3221</v>
      </c>
      <c r="C13090">
        <v>15918</v>
      </c>
      <c r="D13090" t="s">
        <v>266</v>
      </c>
      <c r="E13090" t="s">
        <v>267</v>
      </c>
      <c r="F13090">
        <v>16.760000000000002</v>
      </c>
      <c r="G13090">
        <v>231113</v>
      </c>
      <c r="H13090">
        <v>4600</v>
      </c>
      <c r="I13090" t="s">
        <v>105</v>
      </c>
      <c r="J13090">
        <v>20.78</v>
      </c>
      <c r="K13090">
        <v>4.0199999999999996</v>
      </c>
      <c r="L13090">
        <v>56568</v>
      </c>
      <c r="M13090" t="s">
        <v>268</v>
      </c>
      <c r="N13090" t="str">
        <f>"171218683   "</f>
        <v xml:space="preserve">171218683   </v>
      </c>
      <c r="O13090">
        <v>231122</v>
      </c>
    </row>
    <row r="13091" spans="1:15" x14ac:dyDescent="0.25">
      <c r="A13091" t="s">
        <v>16</v>
      </c>
      <c r="B13091" t="s">
        <v>3221</v>
      </c>
      <c r="C13091">
        <v>15921</v>
      </c>
      <c r="D13091" t="s">
        <v>266</v>
      </c>
      <c r="E13091" t="s">
        <v>267</v>
      </c>
      <c r="F13091">
        <v>98.33</v>
      </c>
      <c r="G13091">
        <v>231113</v>
      </c>
      <c r="H13091">
        <v>4600</v>
      </c>
      <c r="I13091" t="s">
        <v>105</v>
      </c>
      <c r="J13091">
        <v>121.93</v>
      </c>
      <c r="K13091">
        <v>23.6</v>
      </c>
      <c r="L13091">
        <v>56568</v>
      </c>
      <c r="M13091" t="s">
        <v>268</v>
      </c>
      <c r="N13091" t="str">
        <f>"171218709   "</f>
        <v xml:space="preserve">171218709   </v>
      </c>
      <c r="O13091">
        <v>231122</v>
      </c>
    </row>
    <row r="13092" spans="1:15" x14ac:dyDescent="0.25">
      <c r="A13092" t="s">
        <v>16</v>
      </c>
      <c r="B13092" t="s">
        <v>3221</v>
      </c>
      <c r="C13092">
        <v>15923</v>
      </c>
      <c r="D13092" t="s">
        <v>266</v>
      </c>
      <c r="E13092" t="s">
        <v>267</v>
      </c>
      <c r="F13092">
        <v>82.73</v>
      </c>
      <c r="G13092">
        <v>231113</v>
      </c>
      <c r="H13092">
        <v>4600</v>
      </c>
      <c r="I13092" t="s">
        <v>105</v>
      </c>
      <c r="J13092">
        <v>102.59</v>
      </c>
      <c r="K13092">
        <v>19.86</v>
      </c>
      <c r="L13092">
        <v>56568</v>
      </c>
      <c r="M13092" t="s">
        <v>268</v>
      </c>
      <c r="N13092" t="str">
        <f>"171218941   "</f>
        <v xml:space="preserve">171218941   </v>
      </c>
      <c r="O13092">
        <v>231122</v>
      </c>
    </row>
    <row r="13093" spans="1:15" x14ac:dyDescent="0.25">
      <c r="A13093" t="s">
        <v>16</v>
      </c>
      <c r="B13093" t="s">
        <v>3221</v>
      </c>
      <c r="C13093">
        <v>15932</v>
      </c>
      <c r="D13093" t="s">
        <v>266</v>
      </c>
      <c r="E13093" t="s">
        <v>267</v>
      </c>
      <c r="F13093">
        <v>147.22999999999999</v>
      </c>
      <c r="G13093">
        <v>231113</v>
      </c>
      <c r="H13093">
        <v>4600</v>
      </c>
      <c r="I13093" t="s">
        <v>105</v>
      </c>
      <c r="J13093">
        <v>182.56</v>
      </c>
      <c r="K13093">
        <v>35.33</v>
      </c>
      <c r="L13093">
        <v>56568</v>
      </c>
      <c r="M13093" t="s">
        <v>268</v>
      </c>
      <c r="N13093" t="str">
        <f>"171217691   "</f>
        <v xml:space="preserve">171217691   </v>
      </c>
      <c r="O13093">
        <v>231122</v>
      </c>
    </row>
    <row r="13094" spans="1:15" x14ac:dyDescent="0.25">
      <c r="A13094" t="s">
        <v>16</v>
      </c>
      <c r="B13094" t="s">
        <v>3221</v>
      </c>
      <c r="C13094">
        <v>16200</v>
      </c>
      <c r="D13094" t="s">
        <v>266</v>
      </c>
      <c r="E13094" t="s">
        <v>267</v>
      </c>
      <c r="F13094">
        <v>61.31</v>
      </c>
      <c r="G13094">
        <v>231120</v>
      </c>
      <c r="H13094">
        <v>4600</v>
      </c>
      <c r="I13094" t="s">
        <v>105</v>
      </c>
      <c r="J13094">
        <v>76.02</v>
      </c>
      <c r="K13094">
        <v>14.71</v>
      </c>
      <c r="L13094">
        <v>56568</v>
      </c>
      <c r="M13094" t="s">
        <v>268</v>
      </c>
      <c r="N13094" t="str">
        <f>"171220372   "</f>
        <v xml:space="preserve">171220372   </v>
      </c>
      <c r="O13094">
        <v>231127</v>
      </c>
    </row>
    <row r="13095" spans="1:15" x14ac:dyDescent="0.25">
      <c r="A13095" t="s">
        <v>16</v>
      </c>
      <c r="B13095" t="s">
        <v>3221</v>
      </c>
      <c r="C13095">
        <v>16201</v>
      </c>
      <c r="D13095" t="s">
        <v>266</v>
      </c>
      <c r="E13095" t="s">
        <v>267</v>
      </c>
      <c r="F13095">
        <v>12.99</v>
      </c>
      <c r="G13095">
        <v>231120</v>
      </c>
      <c r="H13095">
        <v>4600</v>
      </c>
      <c r="I13095" t="s">
        <v>105</v>
      </c>
      <c r="J13095">
        <v>16.11</v>
      </c>
      <c r="K13095">
        <v>3.12</v>
      </c>
      <c r="L13095">
        <v>56568</v>
      </c>
      <c r="M13095" t="s">
        <v>268</v>
      </c>
      <c r="N13095" t="str">
        <f>"171219750   "</f>
        <v xml:space="preserve">171219750   </v>
      </c>
      <c r="O13095">
        <v>231127</v>
      </c>
    </row>
    <row r="13096" spans="1:15" x14ac:dyDescent="0.25">
      <c r="A13096" t="s">
        <v>16</v>
      </c>
      <c r="B13096" t="s">
        <v>3221</v>
      </c>
      <c r="C13096">
        <v>16202</v>
      </c>
      <c r="D13096" t="s">
        <v>266</v>
      </c>
      <c r="E13096" t="s">
        <v>267</v>
      </c>
      <c r="F13096">
        <v>-118.42</v>
      </c>
      <c r="G13096">
        <v>231120</v>
      </c>
      <c r="H13096">
        <v>4600</v>
      </c>
      <c r="I13096" t="s">
        <v>105</v>
      </c>
      <c r="J13096">
        <v>-146.84</v>
      </c>
      <c r="K13096">
        <v>-28.42</v>
      </c>
      <c r="L13096">
        <v>56568</v>
      </c>
      <c r="M13096" t="s">
        <v>268</v>
      </c>
      <c r="N13096" t="str">
        <f>"171220641   "</f>
        <v xml:space="preserve">171220641   </v>
      </c>
      <c r="O13096">
        <v>231127</v>
      </c>
    </row>
    <row r="13097" spans="1:15" x14ac:dyDescent="0.25">
      <c r="A13097" t="s">
        <v>16</v>
      </c>
      <c r="B13097" t="s">
        <v>3221</v>
      </c>
      <c r="C13097">
        <v>16206</v>
      </c>
      <c r="D13097" t="s">
        <v>266</v>
      </c>
      <c r="E13097" t="s">
        <v>267</v>
      </c>
      <c r="F13097">
        <v>68.73</v>
      </c>
      <c r="G13097">
        <v>231120</v>
      </c>
      <c r="H13097">
        <v>4600</v>
      </c>
      <c r="I13097" t="s">
        <v>105</v>
      </c>
      <c r="J13097">
        <v>85.22</v>
      </c>
      <c r="K13097">
        <v>16.489999999999998</v>
      </c>
      <c r="L13097">
        <v>56568</v>
      </c>
      <c r="M13097" t="s">
        <v>268</v>
      </c>
      <c r="N13097" t="str">
        <f>"171220370   "</f>
        <v xml:space="preserve">171220370   </v>
      </c>
      <c r="O13097">
        <v>231127</v>
      </c>
    </row>
    <row r="13098" spans="1:15" x14ac:dyDescent="0.25">
      <c r="A13098" t="s">
        <v>16</v>
      </c>
      <c r="B13098" t="s">
        <v>3221</v>
      </c>
      <c r="C13098">
        <v>16207</v>
      </c>
      <c r="D13098" t="s">
        <v>266</v>
      </c>
      <c r="E13098" t="s">
        <v>267</v>
      </c>
      <c r="F13098">
        <v>124.45</v>
      </c>
      <c r="G13098">
        <v>231120</v>
      </c>
      <c r="H13098">
        <v>4600</v>
      </c>
      <c r="I13098" t="s">
        <v>105</v>
      </c>
      <c r="J13098">
        <v>154.32</v>
      </c>
      <c r="K13098">
        <v>29.87</v>
      </c>
      <c r="L13098">
        <v>56568</v>
      </c>
      <c r="M13098" t="s">
        <v>268</v>
      </c>
      <c r="N13098" t="str">
        <f>"171219726   "</f>
        <v xml:space="preserve">171219726   </v>
      </c>
      <c r="O13098">
        <v>231127</v>
      </c>
    </row>
    <row r="13099" spans="1:15" x14ac:dyDescent="0.25">
      <c r="A13099" t="s">
        <v>16</v>
      </c>
      <c r="B13099" t="s">
        <v>3221</v>
      </c>
      <c r="C13099">
        <v>16209</v>
      </c>
      <c r="D13099" t="s">
        <v>266</v>
      </c>
      <c r="E13099" t="s">
        <v>267</v>
      </c>
      <c r="F13099">
        <v>-75.41</v>
      </c>
      <c r="G13099">
        <v>231120</v>
      </c>
      <c r="H13099">
        <v>4600</v>
      </c>
      <c r="I13099" t="s">
        <v>105</v>
      </c>
      <c r="J13099">
        <v>-93.51</v>
      </c>
      <c r="K13099">
        <v>-18.100000000000001</v>
      </c>
      <c r="L13099">
        <v>56568</v>
      </c>
      <c r="M13099" t="s">
        <v>268</v>
      </c>
      <c r="N13099" t="str">
        <f>"171219954   "</f>
        <v xml:space="preserve">171219954   </v>
      </c>
      <c r="O13099">
        <v>231127</v>
      </c>
    </row>
    <row r="13100" spans="1:15" x14ac:dyDescent="0.25">
      <c r="A13100" t="s">
        <v>16</v>
      </c>
      <c r="B13100" t="s">
        <v>3221</v>
      </c>
      <c r="C13100">
        <v>16210</v>
      </c>
      <c r="D13100" t="s">
        <v>266</v>
      </c>
      <c r="E13100" t="s">
        <v>267</v>
      </c>
      <c r="F13100">
        <v>62.65</v>
      </c>
      <c r="G13100">
        <v>231120</v>
      </c>
      <c r="H13100">
        <v>4600</v>
      </c>
      <c r="I13100" t="s">
        <v>105</v>
      </c>
      <c r="J13100">
        <v>77.680000000000007</v>
      </c>
      <c r="K13100">
        <v>15.03</v>
      </c>
      <c r="L13100">
        <v>56568</v>
      </c>
      <c r="M13100" t="s">
        <v>268</v>
      </c>
      <c r="N13100" t="str">
        <f>"171220373   "</f>
        <v xml:space="preserve">171220373   </v>
      </c>
      <c r="O13100">
        <v>231127</v>
      </c>
    </row>
    <row r="13101" spans="1:15" x14ac:dyDescent="0.25">
      <c r="A13101" t="s">
        <v>16</v>
      </c>
      <c r="B13101" t="s">
        <v>3221</v>
      </c>
      <c r="C13101">
        <v>16211</v>
      </c>
      <c r="D13101" t="s">
        <v>266</v>
      </c>
      <c r="E13101" t="s">
        <v>267</v>
      </c>
      <c r="F13101">
        <v>207.36</v>
      </c>
      <c r="G13101">
        <v>231120</v>
      </c>
      <c r="H13101">
        <v>4600</v>
      </c>
      <c r="I13101" t="s">
        <v>105</v>
      </c>
      <c r="J13101">
        <v>257.13</v>
      </c>
      <c r="K13101">
        <v>49.77</v>
      </c>
      <c r="L13101">
        <v>56568</v>
      </c>
      <c r="M13101" t="s">
        <v>268</v>
      </c>
      <c r="N13101" t="str">
        <f>"171219753   "</f>
        <v xml:space="preserve">171219753   </v>
      </c>
      <c r="O13101">
        <v>231127</v>
      </c>
    </row>
    <row r="13102" spans="1:15" x14ac:dyDescent="0.25">
      <c r="A13102" t="s">
        <v>16</v>
      </c>
      <c r="B13102" t="s">
        <v>3221</v>
      </c>
      <c r="C13102">
        <v>16212</v>
      </c>
      <c r="D13102" t="s">
        <v>266</v>
      </c>
      <c r="E13102" t="s">
        <v>267</v>
      </c>
      <c r="F13102">
        <v>26.42</v>
      </c>
      <c r="G13102">
        <v>231120</v>
      </c>
      <c r="H13102">
        <v>4600</v>
      </c>
      <c r="I13102" t="s">
        <v>105</v>
      </c>
      <c r="J13102">
        <v>32.76</v>
      </c>
      <c r="K13102">
        <v>6.34</v>
      </c>
      <c r="L13102">
        <v>56568</v>
      </c>
      <c r="M13102" t="s">
        <v>268</v>
      </c>
      <c r="N13102" t="str">
        <f>"171220371   "</f>
        <v xml:space="preserve">171220371   </v>
      </c>
      <c r="O13102">
        <v>231127</v>
      </c>
    </row>
    <row r="13103" spans="1:15" x14ac:dyDescent="0.25">
      <c r="A13103" t="s">
        <v>16</v>
      </c>
      <c r="B13103" t="s">
        <v>3221</v>
      </c>
      <c r="C13103">
        <v>16332</v>
      </c>
      <c r="D13103" t="s">
        <v>266</v>
      </c>
      <c r="E13103" t="s">
        <v>267</v>
      </c>
      <c r="F13103">
        <v>65.010000000000005</v>
      </c>
      <c r="G13103">
        <v>231120</v>
      </c>
      <c r="H13103">
        <v>4600</v>
      </c>
      <c r="I13103" t="s">
        <v>105</v>
      </c>
      <c r="J13103">
        <v>80.61</v>
      </c>
      <c r="K13103">
        <v>15.6</v>
      </c>
      <c r="L13103">
        <v>56565</v>
      </c>
      <c r="M13103" t="s">
        <v>758</v>
      </c>
      <c r="N13103" t="str">
        <f>"171220375   "</f>
        <v xml:space="preserve">171220375   </v>
      </c>
      <c r="O13103">
        <v>231128</v>
      </c>
    </row>
    <row r="13104" spans="1:15" x14ac:dyDescent="0.25">
      <c r="A13104" t="s">
        <v>16</v>
      </c>
      <c r="B13104" t="s">
        <v>3221</v>
      </c>
      <c r="C13104">
        <v>16687</v>
      </c>
      <c r="D13104" t="s">
        <v>266</v>
      </c>
      <c r="E13104" t="s">
        <v>267</v>
      </c>
      <c r="F13104">
        <v>-128.27000000000001</v>
      </c>
      <c r="G13104">
        <v>231127</v>
      </c>
      <c r="H13104">
        <v>4600</v>
      </c>
      <c r="I13104" t="s">
        <v>105</v>
      </c>
      <c r="J13104">
        <v>-159.05000000000001</v>
      </c>
      <c r="K13104">
        <v>-30.78</v>
      </c>
      <c r="L13104">
        <v>56568</v>
      </c>
      <c r="M13104" t="s">
        <v>268</v>
      </c>
      <c r="N13104" t="str">
        <f>"171221999   "</f>
        <v xml:space="preserve">171221999   </v>
      </c>
      <c r="O13104">
        <v>231207</v>
      </c>
    </row>
    <row r="13105" spans="1:15" x14ac:dyDescent="0.25">
      <c r="A13105" t="s">
        <v>16</v>
      </c>
      <c r="B13105" t="s">
        <v>3221</v>
      </c>
      <c r="C13105">
        <v>16688</v>
      </c>
      <c r="D13105" t="s">
        <v>266</v>
      </c>
      <c r="E13105" t="s">
        <v>267</v>
      </c>
      <c r="F13105">
        <v>-9.52</v>
      </c>
      <c r="G13105">
        <v>231130</v>
      </c>
      <c r="H13105">
        <v>4600</v>
      </c>
      <c r="I13105" t="s">
        <v>105</v>
      </c>
      <c r="J13105">
        <v>-11.81</v>
      </c>
      <c r="K13105">
        <v>-2.29</v>
      </c>
      <c r="L13105">
        <v>56568</v>
      </c>
      <c r="M13105" t="s">
        <v>268</v>
      </c>
      <c r="N13105" t="str">
        <f>"171223566   "</f>
        <v xml:space="preserve">171223566   </v>
      </c>
      <c r="O13105">
        <v>231207</v>
      </c>
    </row>
    <row r="13106" spans="1:15" x14ac:dyDescent="0.25">
      <c r="A13106" t="s">
        <v>16</v>
      </c>
      <c r="B13106" t="s">
        <v>3221</v>
      </c>
      <c r="C13106">
        <v>16689</v>
      </c>
      <c r="D13106" t="s">
        <v>266</v>
      </c>
      <c r="E13106" t="s">
        <v>267</v>
      </c>
      <c r="F13106">
        <v>-32.26</v>
      </c>
      <c r="G13106">
        <v>231127</v>
      </c>
      <c r="H13106">
        <v>4600</v>
      </c>
      <c r="I13106" t="s">
        <v>105</v>
      </c>
      <c r="J13106">
        <v>-40</v>
      </c>
      <c r="K13106">
        <v>-7.74</v>
      </c>
      <c r="L13106">
        <v>56568</v>
      </c>
      <c r="M13106" t="s">
        <v>268</v>
      </c>
      <c r="N13106" t="str">
        <f>"171222510   "</f>
        <v xml:space="preserve">171222510   </v>
      </c>
      <c r="O13106">
        <v>231207</v>
      </c>
    </row>
    <row r="13107" spans="1:15" x14ac:dyDescent="0.25">
      <c r="A13107" t="s">
        <v>16</v>
      </c>
      <c r="B13107" t="s">
        <v>3221</v>
      </c>
      <c r="C13107">
        <v>16690</v>
      </c>
      <c r="D13107" t="s">
        <v>266</v>
      </c>
      <c r="E13107" t="s">
        <v>267</v>
      </c>
      <c r="F13107">
        <v>-3.68</v>
      </c>
      <c r="G13107">
        <v>231130</v>
      </c>
      <c r="H13107">
        <v>4600</v>
      </c>
      <c r="I13107" t="s">
        <v>105</v>
      </c>
      <c r="J13107">
        <v>-4.5599999999999996</v>
      </c>
      <c r="K13107">
        <v>-0.88</v>
      </c>
      <c r="L13107">
        <v>56568</v>
      </c>
      <c r="M13107" t="s">
        <v>268</v>
      </c>
      <c r="N13107" t="str">
        <f>"171223869   "</f>
        <v xml:space="preserve">171223869   </v>
      </c>
      <c r="O13107">
        <v>231207</v>
      </c>
    </row>
    <row r="13108" spans="1:15" x14ac:dyDescent="0.25">
      <c r="A13108" t="s">
        <v>16</v>
      </c>
      <c r="B13108" t="s">
        <v>3221</v>
      </c>
      <c r="C13108">
        <v>16691</v>
      </c>
      <c r="D13108" t="s">
        <v>266</v>
      </c>
      <c r="E13108" t="s">
        <v>267</v>
      </c>
      <c r="F13108">
        <v>163.13</v>
      </c>
      <c r="G13108">
        <v>231127</v>
      </c>
      <c r="H13108">
        <v>4600</v>
      </c>
      <c r="I13108" t="s">
        <v>105</v>
      </c>
      <c r="J13108">
        <v>202.28</v>
      </c>
      <c r="K13108">
        <v>39.15</v>
      </c>
      <c r="L13108">
        <v>56568</v>
      </c>
      <c r="M13108" t="s">
        <v>268</v>
      </c>
      <c r="N13108" t="str">
        <f>"171222447   "</f>
        <v xml:space="preserve">171222447   </v>
      </c>
      <c r="O13108">
        <v>231207</v>
      </c>
    </row>
    <row r="13109" spans="1:15" x14ac:dyDescent="0.25">
      <c r="A13109" t="s">
        <v>16</v>
      </c>
      <c r="B13109" t="s">
        <v>3221</v>
      </c>
      <c r="C13109">
        <v>16692</v>
      </c>
      <c r="D13109" t="s">
        <v>266</v>
      </c>
      <c r="E13109" t="s">
        <v>267</v>
      </c>
      <c r="F13109">
        <v>36.35</v>
      </c>
      <c r="G13109">
        <v>231127</v>
      </c>
      <c r="H13109">
        <v>4600</v>
      </c>
      <c r="I13109" t="s">
        <v>105</v>
      </c>
      <c r="J13109">
        <v>45.08</v>
      </c>
      <c r="K13109">
        <v>8.73</v>
      </c>
      <c r="L13109">
        <v>56568</v>
      </c>
      <c r="M13109" t="s">
        <v>268</v>
      </c>
      <c r="N13109" t="str">
        <f>"171222448   "</f>
        <v xml:space="preserve">171222448   </v>
      </c>
      <c r="O13109">
        <v>231207</v>
      </c>
    </row>
    <row r="13110" spans="1:15" x14ac:dyDescent="0.25">
      <c r="A13110" t="s">
        <v>16</v>
      </c>
      <c r="B13110" t="s">
        <v>3221</v>
      </c>
      <c r="C13110">
        <v>16693</v>
      </c>
      <c r="D13110" t="s">
        <v>266</v>
      </c>
      <c r="E13110" t="s">
        <v>267</v>
      </c>
      <c r="F13110">
        <v>203.86</v>
      </c>
      <c r="G13110">
        <v>231127</v>
      </c>
      <c r="H13110">
        <v>4600</v>
      </c>
      <c r="I13110" t="s">
        <v>105</v>
      </c>
      <c r="J13110">
        <v>252.79</v>
      </c>
      <c r="K13110">
        <v>48.93</v>
      </c>
      <c r="L13110">
        <v>56568</v>
      </c>
      <c r="M13110" t="s">
        <v>268</v>
      </c>
      <c r="N13110" t="str">
        <f>"171221846   "</f>
        <v xml:space="preserve">171221846   </v>
      </c>
      <c r="O13110">
        <v>231207</v>
      </c>
    </row>
    <row r="13111" spans="1:15" x14ac:dyDescent="0.25">
      <c r="A13111" t="s">
        <v>16</v>
      </c>
      <c r="B13111" t="s">
        <v>3221</v>
      </c>
      <c r="C13111">
        <v>16694</v>
      </c>
      <c r="D13111" t="s">
        <v>266</v>
      </c>
      <c r="E13111" t="s">
        <v>267</v>
      </c>
      <c r="F13111">
        <v>9.0399999999999991</v>
      </c>
      <c r="G13111">
        <v>231127</v>
      </c>
      <c r="H13111">
        <v>4600</v>
      </c>
      <c r="I13111" t="s">
        <v>105</v>
      </c>
      <c r="J13111">
        <v>11.21</v>
      </c>
      <c r="K13111">
        <v>2.17</v>
      </c>
      <c r="L13111">
        <v>56568</v>
      </c>
      <c r="M13111" t="s">
        <v>268</v>
      </c>
      <c r="N13111" t="str">
        <f>"171221482   "</f>
        <v xml:space="preserve">171221482   </v>
      </c>
      <c r="O13111">
        <v>231207</v>
      </c>
    </row>
    <row r="13112" spans="1:15" x14ac:dyDescent="0.25">
      <c r="A13112" t="s">
        <v>16</v>
      </c>
      <c r="B13112" t="s">
        <v>3221</v>
      </c>
      <c r="C13112">
        <v>16695</v>
      </c>
      <c r="D13112" t="s">
        <v>266</v>
      </c>
      <c r="E13112" t="s">
        <v>267</v>
      </c>
      <c r="F13112">
        <v>41.62</v>
      </c>
      <c r="G13112">
        <v>231127</v>
      </c>
      <c r="H13112">
        <v>4600</v>
      </c>
      <c r="I13112" t="s">
        <v>105</v>
      </c>
      <c r="J13112">
        <v>51.61</v>
      </c>
      <c r="K13112">
        <v>9.99</v>
      </c>
      <c r="L13112">
        <v>56568</v>
      </c>
      <c r="M13112" t="s">
        <v>268</v>
      </c>
      <c r="N13112" t="str">
        <f>"171222168   "</f>
        <v xml:space="preserve">171222168   </v>
      </c>
      <c r="O13112">
        <v>231207</v>
      </c>
    </row>
    <row r="13113" spans="1:15" x14ac:dyDescent="0.25">
      <c r="A13113" t="s">
        <v>16</v>
      </c>
      <c r="B13113" t="s">
        <v>3221</v>
      </c>
      <c r="C13113">
        <v>16696</v>
      </c>
      <c r="D13113" t="s">
        <v>266</v>
      </c>
      <c r="E13113" t="s">
        <v>267</v>
      </c>
      <c r="F13113">
        <v>39.04</v>
      </c>
      <c r="G13113">
        <v>231127</v>
      </c>
      <c r="H13113">
        <v>4600</v>
      </c>
      <c r="I13113" t="s">
        <v>105</v>
      </c>
      <c r="J13113">
        <v>48.41</v>
      </c>
      <c r="K13113">
        <v>9.3699999999999992</v>
      </c>
      <c r="L13113">
        <v>56568</v>
      </c>
      <c r="M13113" t="s">
        <v>268</v>
      </c>
      <c r="N13113" t="str">
        <f>"171222445   "</f>
        <v xml:space="preserve">171222445   </v>
      </c>
      <c r="O13113">
        <v>231207</v>
      </c>
    </row>
    <row r="13114" spans="1:15" x14ac:dyDescent="0.25">
      <c r="A13114" t="s">
        <v>16</v>
      </c>
      <c r="B13114" t="s">
        <v>3221</v>
      </c>
      <c r="C13114">
        <v>16697</v>
      </c>
      <c r="D13114" t="s">
        <v>266</v>
      </c>
      <c r="E13114" t="s">
        <v>267</v>
      </c>
      <c r="F13114">
        <v>111.9</v>
      </c>
      <c r="G13114">
        <v>231127</v>
      </c>
      <c r="H13114">
        <v>4600</v>
      </c>
      <c r="I13114" t="s">
        <v>105</v>
      </c>
      <c r="J13114">
        <v>138.75</v>
      </c>
      <c r="K13114">
        <v>26.85</v>
      </c>
      <c r="L13114">
        <v>56568</v>
      </c>
      <c r="M13114" t="s">
        <v>268</v>
      </c>
      <c r="N13114" t="str">
        <f>"171221467   "</f>
        <v xml:space="preserve">171221467   </v>
      </c>
      <c r="O13114">
        <v>231207</v>
      </c>
    </row>
    <row r="13115" spans="1:15" x14ac:dyDescent="0.25">
      <c r="A13115" t="s">
        <v>16</v>
      </c>
      <c r="B13115" t="s">
        <v>3221</v>
      </c>
      <c r="C13115">
        <v>16698</v>
      </c>
      <c r="D13115" t="s">
        <v>266</v>
      </c>
      <c r="E13115" t="s">
        <v>267</v>
      </c>
      <c r="F13115">
        <v>206.56</v>
      </c>
      <c r="G13115">
        <v>231127</v>
      </c>
      <c r="H13115">
        <v>4600</v>
      </c>
      <c r="I13115" t="s">
        <v>105</v>
      </c>
      <c r="J13115">
        <v>256.13</v>
      </c>
      <c r="K13115">
        <v>49.57</v>
      </c>
      <c r="L13115">
        <v>56568</v>
      </c>
      <c r="M13115" t="s">
        <v>268</v>
      </c>
      <c r="N13115" t="str">
        <f>"171221050   "</f>
        <v xml:space="preserve">171221050   </v>
      </c>
      <c r="O13115">
        <v>231207</v>
      </c>
    </row>
    <row r="13116" spans="1:15" x14ac:dyDescent="0.25">
      <c r="A13116" t="s">
        <v>16</v>
      </c>
      <c r="B13116" t="s">
        <v>3221</v>
      </c>
      <c r="C13116">
        <v>16699</v>
      </c>
      <c r="D13116" t="s">
        <v>266</v>
      </c>
      <c r="E13116" t="s">
        <v>267</v>
      </c>
      <c r="F13116">
        <v>208.2</v>
      </c>
      <c r="G13116">
        <v>231127</v>
      </c>
      <c r="H13116">
        <v>4600</v>
      </c>
      <c r="I13116" t="s">
        <v>105</v>
      </c>
      <c r="J13116">
        <v>258.17</v>
      </c>
      <c r="K13116">
        <v>49.97</v>
      </c>
      <c r="L13116">
        <v>56568</v>
      </c>
      <c r="M13116" t="s">
        <v>268</v>
      </c>
      <c r="N13116" t="str">
        <f>"171221067   "</f>
        <v xml:space="preserve">171221067   </v>
      </c>
      <c r="O13116">
        <v>231207</v>
      </c>
    </row>
    <row r="13117" spans="1:15" x14ac:dyDescent="0.25">
      <c r="A13117" t="s">
        <v>16</v>
      </c>
      <c r="B13117" t="s">
        <v>3221</v>
      </c>
      <c r="C13117">
        <v>16700</v>
      </c>
      <c r="D13117" t="s">
        <v>266</v>
      </c>
      <c r="E13117" t="s">
        <v>267</v>
      </c>
      <c r="F13117">
        <v>81.459999999999994</v>
      </c>
      <c r="G13117">
        <v>231127</v>
      </c>
      <c r="H13117">
        <v>4600</v>
      </c>
      <c r="I13117" t="s">
        <v>105</v>
      </c>
      <c r="J13117">
        <v>101.01</v>
      </c>
      <c r="K13117">
        <v>19.55</v>
      </c>
      <c r="L13117">
        <v>56565</v>
      </c>
      <c r="M13117" t="s">
        <v>758</v>
      </c>
      <c r="N13117" t="str">
        <f>"171221847   "</f>
        <v xml:space="preserve">171221847   </v>
      </c>
      <c r="O13117">
        <v>231207</v>
      </c>
    </row>
    <row r="13118" spans="1:15" x14ac:dyDescent="0.25">
      <c r="A13118" t="s">
        <v>16</v>
      </c>
      <c r="B13118" t="s">
        <v>3221</v>
      </c>
      <c r="C13118">
        <v>16700</v>
      </c>
      <c r="D13118" t="s">
        <v>266</v>
      </c>
      <c r="E13118" t="s">
        <v>267</v>
      </c>
      <c r="F13118">
        <v>17.46</v>
      </c>
      <c r="G13118">
        <v>231127</v>
      </c>
      <c r="H13118">
        <v>4600</v>
      </c>
      <c r="I13118" t="s">
        <v>105</v>
      </c>
      <c r="J13118">
        <v>21.65</v>
      </c>
      <c r="K13118">
        <v>4.1900000000000004</v>
      </c>
      <c r="L13118">
        <v>56573</v>
      </c>
      <c r="M13118" t="s">
        <v>521</v>
      </c>
      <c r="N13118" t="str">
        <f>"171221847   "</f>
        <v xml:space="preserve">171221847   </v>
      </c>
      <c r="O13118">
        <v>231207</v>
      </c>
    </row>
    <row r="13119" spans="1:15" x14ac:dyDescent="0.25">
      <c r="A13119" t="s">
        <v>16</v>
      </c>
      <c r="B13119" t="s">
        <v>3221</v>
      </c>
      <c r="C13119">
        <v>16701</v>
      </c>
      <c r="D13119" t="s">
        <v>266</v>
      </c>
      <c r="E13119" t="s">
        <v>267</v>
      </c>
      <c r="F13119">
        <v>137.81</v>
      </c>
      <c r="G13119">
        <v>231130</v>
      </c>
      <c r="H13119">
        <v>4600</v>
      </c>
      <c r="I13119" t="s">
        <v>105</v>
      </c>
      <c r="J13119">
        <v>170.88</v>
      </c>
      <c r="K13119">
        <v>33.07</v>
      </c>
      <c r="L13119">
        <v>56568</v>
      </c>
      <c r="M13119" t="s">
        <v>268</v>
      </c>
      <c r="N13119" t="str">
        <f>"171223365   "</f>
        <v xml:space="preserve">171223365   </v>
      </c>
      <c r="O13119">
        <v>231207</v>
      </c>
    </row>
    <row r="13120" spans="1:15" x14ac:dyDescent="0.25">
      <c r="A13120" t="s">
        <v>16</v>
      </c>
      <c r="B13120" t="s">
        <v>3221</v>
      </c>
      <c r="C13120">
        <v>16702</v>
      </c>
      <c r="D13120" t="s">
        <v>266</v>
      </c>
      <c r="E13120" t="s">
        <v>267</v>
      </c>
      <c r="F13120">
        <v>10.09</v>
      </c>
      <c r="G13120">
        <v>231130</v>
      </c>
      <c r="H13120">
        <v>4600</v>
      </c>
      <c r="I13120" t="s">
        <v>105</v>
      </c>
      <c r="J13120">
        <v>12.51</v>
      </c>
      <c r="K13120">
        <v>2.42</v>
      </c>
      <c r="L13120">
        <v>56568</v>
      </c>
      <c r="M13120" t="s">
        <v>268</v>
      </c>
      <c r="N13120" t="str">
        <f>"171223992   "</f>
        <v xml:space="preserve">171223992   </v>
      </c>
      <c r="O13120">
        <v>231207</v>
      </c>
    </row>
    <row r="13121" spans="1:15" x14ac:dyDescent="0.25">
      <c r="A13121" t="s">
        <v>16</v>
      </c>
      <c r="B13121" t="s">
        <v>3221</v>
      </c>
      <c r="C13121">
        <v>16703</v>
      </c>
      <c r="D13121" t="s">
        <v>266</v>
      </c>
      <c r="E13121" t="s">
        <v>267</v>
      </c>
      <c r="F13121">
        <v>90.29</v>
      </c>
      <c r="G13121">
        <v>231130</v>
      </c>
      <c r="H13121">
        <v>4600</v>
      </c>
      <c r="I13121" t="s">
        <v>105</v>
      </c>
      <c r="J13121">
        <v>111.96</v>
      </c>
      <c r="K13121">
        <v>21.67</v>
      </c>
      <c r="L13121">
        <v>56568</v>
      </c>
      <c r="M13121" t="s">
        <v>268</v>
      </c>
      <c r="N13121" t="str">
        <f>"171223696   "</f>
        <v xml:space="preserve">171223696   </v>
      </c>
      <c r="O13121">
        <v>231207</v>
      </c>
    </row>
    <row r="13122" spans="1:15" x14ac:dyDescent="0.25">
      <c r="A13122" t="s">
        <v>16</v>
      </c>
      <c r="B13122" t="s">
        <v>3221</v>
      </c>
      <c r="C13122">
        <v>16704</v>
      </c>
      <c r="D13122" t="s">
        <v>266</v>
      </c>
      <c r="E13122" t="s">
        <v>267</v>
      </c>
      <c r="F13122">
        <v>90.33</v>
      </c>
      <c r="G13122">
        <v>231130</v>
      </c>
      <c r="H13122">
        <v>4600</v>
      </c>
      <c r="I13122" t="s">
        <v>105</v>
      </c>
      <c r="J13122">
        <v>112.01</v>
      </c>
      <c r="K13122">
        <v>21.68</v>
      </c>
      <c r="L13122">
        <v>56568</v>
      </c>
      <c r="M13122" t="s">
        <v>268</v>
      </c>
      <c r="N13122" t="str">
        <f>"171222827   "</f>
        <v xml:space="preserve">171222827   </v>
      </c>
      <c r="O13122">
        <v>231207</v>
      </c>
    </row>
    <row r="13123" spans="1:15" x14ac:dyDescent="0.25">
      <c r="A13123" t="s">
        <v>16</v>
      </c>
      <c r="B13123" t="s">
        <v>3221</v>
      </c>
      <c r="C13123">
        <v>16705</v>
      </c>
      <c r="D13123" t="s">
        <v>266</v>
      </c>
      <c r="E13123" t="s">
        <v>267</v>
      </c>
      <c r="F13123">
        <v>114.77</v>
      </c>
      <c r="G13123">
        <v>231130</v>
      </c>
      <c r="H13123">
        <v>4600</v>
      </c>
      <c r="I13123" t="s">
        <v>105</v>
      </c>
      <c r="J13123">
        <v>142.31</v>
      </c>
      <c r="K13123">
        <v>27.54</v>
      </c>
      <c r="L13123">
        <v>56568</v>
      </c>
      <c r="M13123" t="s">
        <v>268</v>
      </c>
      <c r="N13123" t="str">
        <f>"171222826   "</f>
        <v xml:space="preserve">171222826   </v>
      </c>
      <c r="O13123">
        <v>231207</v>
      </c>
    </row>
    <row r="13124" spans="1:15" x14ac:dyDescent="0.25">
      <c r="A13124" t="s">
        <v>16</v>
      </c>
      <c r="B13124" t="s">
        <v>3221</v>
      </c>
      <c r="C13124">
        <v>16706</v>
      </c>
      <c r="D13124" t="s">
        <v>266</v>
      </c>
      <c r="E13124" t="s">
        <v>267</v>
      </c>
      <c r="F13124">
        <v>17.829999999999998</v>
      </c>
      <c r="G13124">
        <v>231130</v>
      </c>
      <c r="H13124">
        <v>4600</v>
      </c>
      <c r="I13124" t="s">
        <v>105</v>
      </c>
      <c r="J13124">
        <v>22.11</v>
      </c>
      <c r="K13124">
        <v>4.28</v>
      </c>
      <c r="L13124">
        <v>56568</v>
      </c>
      <c r="M13124" t="s">
        <v>268</v>
      </c>
      <c r="N13124" t="str">
        <f>"171223990   "</f>
        <v xml:space="preserve">171223990   </v>
      </c>
      <c r="O13124">
        <v>231207</v>
      </c>
    </row>
    <row r="13125" spans="1:15" x14ac:dyDescent="0.25">
      <c r="A13125" t="s">
        <v>16</v>
      </c>
      <c r="B13125" t="s">
        <v>3221</v>
      </c>
      <c r="C13125">
        <v>16707</v>
      </c>
      <c r="D13125" t="s">
        <v>266</v>
      </c>
      <c r="E13125" t="s">
        <v>267</v>
      </c>
      <c r="F13125">
        <v>17.829999999999998</v>
      </c>
      <c r="G13125">
        <v>231130</v>
      </c>
      <c r="H13125">
        <v>4600</v>
      </c>
      <c r="I13125" t="s">
        <v>105</v>
      </c>
      <c r="J13125">
        <v>22.11</v>
      </c>
      <c r="K13125">
        <v>4.28</v>
      </c>
      <c r="L13125">
        <v>56568</v>
      </c>
      <c r="M13125" t="s">
        <v>268</v>
      </c>
      <c r="N13125" t="str">
        <f>"171223339   "</f>
        <v xml:space="preserve">171223339   </v>
      </c>
      <c r="O13125">
        <v>231207</v>
      </c>
    </row>
    <row r="13126" spans="1:15" x14ac:dyDescent="0.25">
      <c r="A13126" t="s">
        <v>16</v>
      </c>
      <c r="B13126" t="s">
        <v>3221</v>
      </c>
      <c r="C13126">
        <v>17686</v>
      </c>
      <c r="D13126" t="s">
        <v>266</v>
      </c>
      <c r="E13126" t="s">
        <v>267</v>
      </c>
      <c r="F13126">
        <v>-11.06</v>
      </c>
      <c r="G13126">
        <v>231218</v>
      </c>
      <c r="H13126">
        <v>4600</v>
      </c>
      <c r="I13126" t="s">
        <v>105</v>
      </c>
      <c r="J13126">
        <v>-13.71</v>
      </c>
      <c r="K13126">
        <v>-2.65</v>
      </c>
      <c r="L13126">
        <v>56568</v>
      </c>
      <c r="M13126" t="s">
        <v>268</v>
      </c>
      <c r="N13126" t="str">
        <f>"171227290   "</f>
        <v xml:space="preserve">171227290   </v>
      </c>
      <c r="O13126">
        <v>231221</v>
      </c>
    </row>
    <row r="13127" spans="1:15" x14ac:dyDescent="0.25">
      <c r="A13127" t="s">
        <v>16</v>
      </c>
      <c r="B13127" t="s">
        <v>3221</v>
      </c>
      <c r="C13127">
        <v>17736</v>
      </c>
      <c r="D13127" t="s">
        <v>266</v>
      </c>
      <c r="E13127" t="s">
        <v>267</v>
      </c>
      <c r="F13127">
        <v>169.75</v>
      </c>
      <c r="G13127">
        <v>231211</v>
      </c>
      <c r="H13127">
        <v>4600</v>
      </c>
      <c r="I13127" t="s">
        <v>105</v>
      </c>
      <c r="J13127">
        <v>210.49</v>
      </c>
      <c r="K13127">
        <v>40.74</v>
      </c>
      <c r="L13127">
        <v>56565</v>
      </c>
      <c r="M13127" t="s">
        <v>758</v>
      </c>
      <c r="N13127" t="str">
        <f>"171224831   "</f>
        <v xml:space="preserve">171224831   </v>
      </c>
      <c r="O13127">
        <v>231222</v>
      </c>
    </row>
    <row r="13128" spans="1:15" x14ac:dyDescent="0.25">
      <c r="A13128" t="s">
        <v>16</v>
      </c>
      <c r="B13128" t="s">
        <v>3221</v>
      </c>
      <c r="C13128">
        <v>17736</v>
      </c>
      <c r="D13128" t="s">
        <v>266</v>
      </c>
      <c r="E13128" t="s">
        <v>267</v>
      </c>
      <c r="F13128">
        <v>20.57</v>
      </c>
      <c r="G13128">
        <v>231211</v>
      </c>
      <c r="H13128">
        <v>4600</v>
      </c>
      <c r="I13128" t="s">
        <v>105</v>
      </c>
      <c r="J13128">
        <v>25.51</v>
      </c>
      <c r="K13128">
        <v>4.9400000000000004</v>
      </c>
      <c r="L13128">
        <v>56573</v>
      </c>
      <c r="M13128" t="s">
        <v>521</v>
      </c>
      <c r="N13128" t="str">
        <f>"171224831   "</f>
        <v xml:space="preserve">171224831   </v>
      </c>
      <c r="O13128">
        <v>231222</v>
      </c>
    </row>
    <row r="13129" spans="1:15" x14ac:dyDescent="0.25">
      <c r="A13129" t="s">
        <v>16</v>
      </c>
      <c r="B13129" t="s">
        <v>3221</v>
      </c>
      <c r="C13129">
        <v>17742</v>
      </c>
      <c r="D13129" t="s">
        <v>266</v>
      </c>
      <c r="E13129" t="s">
        <v>267</v>
      </c>
      <c r="F13129">
        <v>41.29</v>
      </c>
      <c r="G13129">
        <v>231211</v>
      </c>
      <c r="H13129">
        <v>4600</v>
      </c>
      <c r="I13129" t="s">
        <v>105</v>
      </c>
      <c r="J13129">
        <v>51.2</v>
      </c>
      <c r="K13129">
        <v>9.91</v>
      </c>
      <c r="L13129">
        <v>56573</v>
      </c>
      <c r="M13129" t="s">
        <v>521</v>
      </c>
      <c r="N13129" t="str">
        <f>"171225738   "</f>
        <v xml:space="preserve">171225738   </v>
      </c>
      <c r="O13129">
        <v>231222</v>
      </c>
    </row>
    <row r="13130" spans="1:15" x14ac:dyDescent="0.25">
      <c r="A13130" t="s">
        <v>16</v>
      </c>
      <c r="B13130" t="s">
        <v>3221</v>
      </c>
      <c r="C13130">
        <v>17745</v>
      </c>
      <c r="D13130" t="s">
        <v>266</v>
      </c>
      <c r="E13130" t="s">
        <v>267</v>
      </c>
      <c r="F13130">
        <v>183.9</v>
      </c>
      <c r="G13130">
        <v>231211</v>
      </c>
      <c r="H13130">
        <v>4600</v>
      </c>
      <c r="I13130" t="s">
        <v>105</v>
      </c>
      <c r="J13130">
        <v>228.03</v>
      </c>
      <c r="K13130">
        <v>44.13</v>
      </c>
      <c r="L13130">
        <v>56568</v>
      </c>
      <c r="M13130" t="s">
        <v>268</v>
      </c>
      <c r="N13130" t="str">
        <f>"171225191   "</f>
        <v xml:space="preserve">171225191   </v>
      </c>
      <c r="O13130">
        <v>231222</v>
      </c>
    </row>
    <row r="13131" spans="1:15" x14ac:dyDescent="0.25">
      <c r="A13131" t="s">
        <v>16</v>
      </c>
      <c r="B13131" t="s">
        <v>3221</v>
      </c>
      <c r="C13131">
        <v>17746</v>
      </c>
      <c r="D13131" t="s">
        <v>266</v>
      </c>
      <c r="E13131" t="s">
        <v>267</v>
      </c>
      <c r="F13131">
        <v>-48.44</v>
      </c>
      <c r="G13131">
        <v>231211</v>
      </c>
      <c r="H13131">
        <v>4600</v>
      </c>
      <c r="I13131" t="s">
        <v>105</v>
      </c>
      <c r="J13131">
        <v>-60.06</v>
      </c>
      <c r="K13131">
        <v>-11.62</v>
      </c>
      <c r="L13131">
        <v>56568</v>
      </c>
      <c r="M13131" t="s">
        <v>268</v>
      </c>
      <c r="N13131" t="str">
        <f>"171225641   "</f>
        <v xml:space="preserve">171225641   </v>
      </c>
      <c r="O13131">
        <v>231222</v>
      </c>
    </row>
    <row r="13132" spans="1:15" x14ac:dyDescent="0.25">
      <c r="A13132" t="s">
        <v>16</v>
      </c>
      <c r="B13132" t="s">
        <v>3221</v>
      </c>
      <c r="C13132">
        <v>17748</v>
      </c>
      <c r="D13132" t="s">
        <v>266</v>
      </c>
      <c r="E13132" t="s">
        <v>267</v>
      </c>
      <c r="F13132">
        <v>18.84</v>
      </c>
      <c r="G13132">
        <v>231211</v>
      </c>
      <c r="H13132">
        <v>4600</v>
      </c>
      <c r="I13132" t="s">
        <v>105</v>
      </c>
      <c r="J13132">
        <v>23.36</v>
      </c>
      <c r="K13132">
        <v>4.5199999999999996</v>
      </c>
      <c r="L13132">
        <v>56568</v>
      </c>
      <c r="M13132" t="s">
        <v>268</v>
      </c>
      <c r="N13132" t="str">
        <f>"171225506   "</f>
        <v xml:space="preserve">171225506   </v>
      </c>
      <c r="O13132">
        <v>231222</v>
      </c>
    </row>
    <row r="13133" spans="1:15" x14ac:dyDescent="0.25">
      <c r="A13133" t="s">
        <v>16</v>
      </c>
      <c r="B13133" t="s">
        <v>3221</v>
      </c>
      <c r="C13133">
        <v>17756</v>
      </c>
      <c r="D13133" t="s">
        <v>266</v>
      </c>
      <c r="E13133" t="s">
        <v>267</v>
      </c>
      <c r="F13133">
        <v>69.3</v>
      </c>
      <c r="G13133">
        <v>231211</v>
      </c>
      <c r="H13133">
        <v>4600</v>
      </c>
      <c r="I13133" t="s">
        <v>105</v>
      </c>
      <c r="J13133">
        <v>85.93</v>
      </c>
      <c r="K13133">
        <v>16.63</v>
      </c>
      <c r="L13133">
        <v>56568</v>
      </c>
      <c r="M13133" t="s">
        <v>268</v>
      </c>
      <c r="N13133" t="str">
        <f>"171225502   "</f>
        <v xml:space="preserve">171225502   </v>
      </c>
      <c r="O13133">
        <v>231222</v>
      </c>
    </row>
    <row r="13134" spans="1:15" x14ac:dyDescent="0.25">
      <c r="A13134" t="s">
        <v>16</v>
      </c>
      <c r="B13134" t="s">
        <v>3221</v>
      </c>
      <c r="C13134">
        <v>18030</v>
      </c>
      <c r="D13134" t="s">
        <v>266</v>
      </c>
      <c r="E13134" t="s">
        <v>267</v>
      </c>
      <c r="F13134">
        <v>41.41</v>
      </c>
      <c r="G13134">
        <v>231218</v>
      </c>
      <c r="H13134">
        <v>4600</v>
      </c>
      <c r="I13134" t="s">
        <v>105</v>
      </c>
      <c r="J13134">
        <v>51.35</v>
      </c>
      <c r="K13134">
        <v>9.94</v>
      </c>
      <c r="L13134">
        <v>56568</v>
      </c>
      <c r="M13134" t="s">
        <v>268</v>
      </c>
      <c r="N13134" t="str">
        <f>"171227105   "</f>
        <v xml:space="preserve">171227105   </v>
      </c>
      <c r="O13134">
        <v>231229</v>
      </c>
    </row>
    <row r="13135" spans="1:15" x14ac:dyDescent="0.25">
      <c r="A13135" t="s">
        <v>16</v>
      </c>
      <c r="B13135" t="s">
        <v>3221</v>
      </c>
      <c r="C13135">
        <v>18106</v>
      </c>
      <c r="D13135" t="s">
        <v>266</v>
      </c>
      <c r="E13135" t="s">
        <v>267</v>
      </c>
      <c r="F13135">
        <v>12.31</v>
      </c>
      <c r="G13135">
        <v>231218</v>
      </c>
      <c r="H13135">
        <v>4600</v>
      </c>
      <c r="I13135" t="s">
        <v>105</v>
      </c>
      <c r="J13135">
        <v>15.27</v>
      </c>
      <c r="K13135">
        <v>2.96</v>
      </c>
      <c r="L13135">
        <v>56568</v>
      </c>
      <c r="M13135" t="s">
        <v>268</v>
      </c>
      <c r="N13135" t="str">
        <f>"171226092   "</f>
        <v xml:space="preserve">171226092   </v>
      </c>
      <c r="O13135">
        <v>240102</v>
      </c>
    </row>
    <row r="13136" spans="1:15" x14ac:dyDescent="0.25">
      <c r="A13136" t="s">
        <v>16</v>
      </c>
      <c r="B13136" t="s">
        <v>3221</v>
      </c>
      <c r="C13136">
        <v>18107</v>
      </c>
      <c r="D13136" t="s">
        <v>266</v>
      </c>
      <c r="E13136" t="s">
        <v>267</v>
      </c>
      <c r="F13136">
        <v>17.829999999999998</v>
      </c>
      <c r="G13136">
        <v>231218</v>
      </c>
      <c r="H13136">
        <v>4600</v>
      </c>
      <c r="I13136" t="s">
        <v>105</v>
      </c>
      <c r="J13136">
        <v>22.11</v>
      </c>
      <c r="K13136">
        <v>4.28</v>
      </c>
      <c r="L13136">
        <v>56568</v>
      </c>
      <c r="M13136" t="s">
        <v>268</v>
      </c>
      <c r="N13136" t="str">
        <f>"171227367   "</f>
        <v xml:space="preserve">171227367   </v>
      </c>
      <c r="O13136">
        <v>240102</v>
      </c>
    </row>
    <row r="13137" spans="1:15" x14ac:dyDescent="0.25">
      <c r="A13137" t="s">
        <v>16</v>
      </c>
      <c r="B13137" t="s">
        <v>3221</v>
      </c>
      <c r="C13137">
        <v>18131</v>
      </c>
      <c r="D13137" t="s">
        <v>266</v>
      </c>
      <c r="E13137" t="s">
        <v>267</v>
      </c>
      <c r="F13137">
        <v>117.77</v>
      </c>
      <c r="G13137">
        <v>231218</v>
      </c>
      <c r="H13137">
        <v>4600</v>
      </c>
      <c r="I13137" t="s">
        <v>105</v>
      </c>
      <c r="J13137">
        <v>146.04</v>
      </c>
      <c r="K13137">
        <v>28.27</v>
      </c>
      <c r="L13137">
        <v>56568</v>
      </c>
      <c r="M13137" t="s">
        <v>268</v>
      </c>
      <c r="N13137" t="str">
        <f>"171226433   "</f>
        <v xml:space="preserve">171226433   </v>
      </c>
      <c r="O13137">
        <v>240102</v>
      </c>
    </row>
    <row r="13138" spans="1:15" x14ac:dyDescent="0.25">
      <c r="A13138" t="s">
        <v>16</v>
      </c>
      <c r="B13138" t="s">
        <v>3221</v>
      </c>
      <c r="C13138">
        <v>18132</v>
      </c>
      <c r="D13138" t="s">
        <v>266</v>
      </c>
      <c r="E13138" t="s">
        <v>267</v>
      </c>
      <c r="F13138">
        <v>25.01</v>
      </c>
      <c r="G13138">
        <v>231218</v>
      </c>
      <c r="H13138">
        <v>4600</v>
      </c>
      <c r="I13138" t="s">
        <v>105</v>
      </c>
      <c r="J13138">
        <v>31.01</v>
      </c>
      <c r="K13138">
        <v>6</v>
      </c>
      <c r="L13138">
        <v>56568</v>
      </c>
      <c r="M13138" t="s">
        <v>268</v>
      </c>
      <c r="N13138" t="str">
        <f>"171226774   "</f>
        <v xml:space="preserve">171226774   </v>
      </c>
      <c r="O13138">
        <v>240102</v>
      </c>
    </row>
    <row r="13139" spans="1:15" x14ac:dyDescent="0.25">
      <c r="A13139" t="s">
        <v>16</v>
      </c>
      <c r="B13139" t="s">
        <v>3221</v>
      </c>
      <c r="C13139">
        <v>18133</v>
      </c>
      <c r="D13139" t="s">
        <v>266</v>
      </c>
      <c r="E13139" t="s">
        <v>267</v>
      </c>
      <c r="F13139">
        <v>190.82</v>
      </c>
      <c r="G13139">
        <v>231218</v>
      </c>
      <c r="H13139">
        <v>4600</v>
      </c>
      <c r="I13139" t="s">
        <v>105</v>
      </c>
      <c r="J13139">
        <v>236.62</v>
      </c>
      <c r="K13139">
        <v>45.8</v>
      </c>
      <c r="L13139">
        <v>56568</v>
      </c>
      <c r="M13139" t="s">
        <v>268</v>
      </c>
      <c r="N13139" t="str">
        <f>"171226088   "</f>
        <v xml:space="preserve">171226088   </v>
      </c>
      <c r="O13139">
        <v>240102</v>
      </c>
    </row>
    <row r="13140" spans="1:15" x14ac:dyDescent="0.25">
      <c r="A13140" t="s">
        <v>16</v>
      </c>
      <c r="B13140" t="s">
        <v>3221</v>
      </c>
      <c r="C13140">
        <v>18134</v>
      </c>
      <c r="D13140" t="s">
        <v>266</v>
      </c>
      <c r="E13140" t="s">
        <v>267</v>
      </c>
      <c r="F13140">
        <v>40.020000000000003</v>
      </c>
      <c r="G13140">
        <v>231218</v>
      </c>
      <c r="H13140">
        <v>4600</v>
      </c>
      <c r="I13140" t="s">
        <v>105</v>
      </c>
      <c r="J13140">
        <v>49.63</v>
      </c>
      <c r="K13140">
        <v>9.61</v>
      </c>
      <c r="L13140">
        <v>56568</v>
      </c>
      <c r="M13140" t="s">
        <v>268</v>
      </c>
      <c r="N13140" t="str">
        <f>"171226773   "</f>
        <v xml:space="preserve">171226773   </v>
      </c>
      <c r="O13140">
        <v>240102</v>
      </c>
    </row>
    <row r="13141" spans="1:15" x14ac:dyDescent="0.25">
      <c r="A13141" t="s">
        <v>16</v>
      </c>
      <c r="B13141" t="s">
        <v>3221</v>
      </c>
      <c r="C13141">
        <v>18135</v>
      </c>
      <c r="D13141" t="s">
        <v>266</v>
      </c>
      <c r="E13141" t="s">
        <v>267</v>
      </c>
      <c r="F13141">
        <v>131.22999999999999</v>
      </c>
      <c r="G13141">
        <v>231218</v>
      </c>
      <c r="H13141">
        <v>4600</v>
      </c>
      <c r="I13141" t="s">
        <v>105</v>
      </c>
      <c r="J13141">
        <v>162.72</v>
      </c>
      <c r="K13141">
        <v>31.49</v>
      </c>
      <c r="L13141">
        <v>56568</v>
      </c>
      <c r="M13141" t="s">
        <v>268</v>
      </c>
      <c r="N13141" t="str">
        <f>"171226434   "</f>
        <v xml:space="preserve">171226434   </v>
      </c>
      <c r="O13141">
        <v>240102</v>
      </c>
    </row>
    <row r="13142" spans="1:15" x14ac:dyDescent="0.25">
      <c r="A13142" t="s">
        <v>16</v>
      </c>
      <c r="B13142" t="s">
        <v>3221</v>
      </c>
      <c r="C13142">
        <v>18760</v>
      </c>
      <c r="D13142" t="s">
        <v>266</v>
      </c>
      <c r="E13142" t="s">
        <v>267</v>
      </c>
      <c r="F13142">
        <v>17.829999999999998</v>
      </c>
      <c r="G13142">
        <v>231231</v>
      </c>
      <c r="H13142">
        <v>4600</v>
      </c>
      <c r="I13142" t="s">
        <v>105</v>
      </c>
      <c r="J13142">
        <v>22.11</v>
      </c>
      <c r="K13142">
        <v>4.28</v>
      </c>
      <c r="L13142">
        <v>56568</v>
      </c>
      <c r="M13142" t="s">
        <v>268</v>
      </c>
      <c r="N13142" t="str">
        <f>"171227740   "</f>
        <v xml:space="preserve">171227740   </v>
      </c>
      <c r="O13142">
        <v>240105</v>
      </c>
    </row>
    <row r="13143" spans="1:15" x14ac:dyDescent="0.25">
      <c r="A13143" t="s">
        <v>16</v>
      </c>
      <c r="B13143" t="s">
        <v>3221</v>
      </c>
      <c r="C13143">
        <v>18852</v>
      </c>
      <c r="D13143" t="s">
        <v>266</v>
      </c>
      <c r="E13143" t="s">
        <v>267</v>
      </c>
      <c r="F13143">
        <v>63.03</v>
      </c>
      <c r="G13143">
        <v>231231</v>
      </c>
      <c r="H13143">
        <v>4600</v>
      </c>
      <c r="I13143" t="s">
        <v>105</v>
      </c>
      <c r="J13143">
        <v>78.16</v>
      </c>
      <c r="K13143">
        <v>15.13</v>
      </c>
      <c r="L13143">
        <v>56568</v>
      </c>
      <c r="M13143" t="s">
        <v>268</v>
      </c>
      <c r="N13143" t="str">
        <f>"171228161   "</f>
        <v xml:space="preserve">171228161   </v>
      </c>
      <c r="O13143">
        <v>240108</v>
      </c>
    </row>
    <row r="13144" spans="1:15" x14ac:dyDescent="0.25">
      <c r="A13144" t="s">
        <v>16</v>
      </c>
      <c r="B13144" t="s">
        <v>3221</v>
      </c>
      <c r="C13144">
        <v>19038</v>
      </c>
      <c r="D13144" t="s">
        <v>266</v>
      </c>
      <c r="E13144" t="s">
        <v>267</v>
      </c>
      <c r="F13144">
        <v>47.21</v>
      </c>
      <c r="G13144">
        <v>231231</v>
      </c>
      <c r="H13144">
        <v>4600</v>
      </c>
      <c r="I13144" t="s">
        <v>105</v>
      </c>
      <c r="J13144">
        <v>58.54</v>
      </c>
      <c r="K13144">
        <v>11.33</v>
      </c>
      <c r="L13144">
        <v>56565</v>
      </c>
      <c r="M13144" t="s">
        <v>758</v>
      </c>
      <c r="N13144" t="str">
        <f>"171227742   "</f>
        <v xml:space="preserve">171227742   </v>
      </c>
      <c r="O13144">
        <v>240110</v>
      </c>
    </row>
    <row r="13145" spans="1:15" x14ac:dyDescent="0.25">
      <c r="A13145" t="s">
        <v>16</v>
      </c>
      <c r="B13145" t="s">
        <v>3221</v>
      </c>
      <c r="C13145">
        <v>18458</v>
      </c>
      <c r="D13145" t="s">
        <v>3666</v>
      </c>
      <c r="E13145" t="s">
        <v>3143</v>
      </c>
      <c r="F13145">
        <v>30.12</v>
      </c>
      <c r="G13145">
        <v>231229</v>
      </c>
      <c r="H13145">
        <v>4470</v>
      </c>
      <c r="I13145" t="s">
        <v>83</v>
      </c>
      <c r="J13145">
        <v>37.35</v>
      </c>
      <c r="K13145">
        <v>7.23</v>
      </c>
      <c r="L13145">
        <v>67554</v>
      </c>
      <c r="M13145" t="s">
        <v>60</v>
      </c>
      <c r="N13145" t="str">
        <f>"102315353   "</f>
        <v xml:space="preserve">102315353   </v>
      </c>
      <c r="O13145">
        <v>240103</v>
      </c>
    </row>
    <row r="13146" spans="1:15" x14ac:dyDescent="0.25">
      <c r="A13146" t="s">
        <v>16</v>
      </c>
      <c r="B13146" t="s">
        <v>3221</v>
      </c>
      <c r="C13146">
        <v>13625</v>
      </c>
      <c r="D13146" t="s">
        <v>2695</v>
      </c>
      <c r="E13146" t="s">
        <v>2696</v>
      </c>
      <c r="F13146">
        <v>530.4</v>
      </c>
      <c r="G13146">
        <v>231004</v>
      </c>
      <c r="H13146">
        <v>4600</v>
      </c>
      <c r="I13146" t="s">
        <v>105</v>
      </c>
      <c r="J13146">
        <v>657.7</v>
      </c>
      <c r="K13146">
        <v>127.3</v>
      </c>
      <c r="L13146">
        <v>17807</v>
      </c>
      <c r="M13146" t="s">
        <v>318</v>
      </c>
      <c r="N13146" t="str">
        <f>"369735      "</f>
        <v xml:space="preserve">369735      </v>
      </c>
      <c r="O13146">
        <v>231012</v>
      </c>
    </row>
    <row r="13147" spans="1:15" x14ac:dyDescent="0.25">
      <c r="A13147" t="s">
        <v>16</v>
      </c>
      <c r="B13147" t="s">
        <v>3221</v>
      </c>
      <c r="C13147">
        <v>6598</v>
      </c>
      <c r="D13147" t="s">
        <v>1997</v>
      </c>
      <c r="E13147" t="s">
        <v>1998</v>
      </c>
      <c r="F13147">
        <v>305</v>
      </c>
      <c r="G13147">
        <v>230503</v>
      </c>
      <c r="H13147">
        <v>4347</v>
      </c>
      <c r="I13147" t="s">
        <v>193</v>
      </c>
      <c r="J13147">
        <v>378.2</v>
      </c>
      <c r="K13147">
        <v>73.2</v>
      </c>
      <c r="L13147">
        <v>18972</v>
      </c>
      <c r="M13147" t="s">
        <v>163</v>
      </c>
      <c r="N13147" t="str">
        <f>"190610005542"</f>
        <v>190610005542</v>
      </c>
      <c r="O13147">
        <v>230516</v>
      </c>
    </row>
    <row r="13148" spans="1:15" x14ac:dyDescent="0.25">
      <c r="A13148" t="s">
        <v>16</v>
      </c>
      <c r="B13148" t="s">
        <v>3221</v>
      </c>
      <c r="C13148">
        <v>169</v>
      </c>
      <c r="D13148" t="s">
        <v>257</v>
      </c>
      <c r="E13148" t="s">
        <v>258</v>
      </c>
      <c r="F13148">
        <v>21.4</v>
      </c>
      <c r="G13148">
        <v>230109</v>
      </c>
      <c r="H13148">
        <v>4362</v>
      </c>
      <c r="I13148" t="s">
        <v>79</v>
      </c>
      <c r="J13148">
        <v>26.54</v>
      </c>
      <c r="K13148">
        <v>5.14</v>
      </c>
      <c r="L13148">
        <v>11801</v>
      </c>
      <c r="M13148" t="s">
        <v>92</v>
      </c>
      <c r="N13148" t="str">
        <f>"43006364    "</f>
        <v xml:space="preserve">43006364    </v>
      </c>
      <c r="O13148">
        <v>230116</v>
      </c>
    </row>
    <row r="13149" spans="1:15" x14ac:dyDescent="0.25">
      <c r="A13149" t="s">
        <v>16</v>
      </c>
      <c r="B13149" t="s">
        <v>3221</v>
      </c>
      <c r="C13149">
        <v>2606</v>
      </c>
      <c r="D13149" t="s">
        <v>257</v>
      </c>
      <c r="E13149" t="s">
        <v>258</v>
      </c>
      <c r="F13149">
        <v>21.4</v>
      </c>
      <c r="G13149">
        <v>230207</v>
      </c>
      <c r="H13149">
        <v>4362</v>
      </c>
      <c r="I13149" t="s">
        <v>79</v>
      </c>
      <c r="J13149">
        <v>26.54</v>
      </c>
      <c r="K13149">
        <v>5.14</v>
      </c>
      <c r="L13149">
        <v>11801</v>
      </c>
      <c r="M13149" t="s">
        <v>92</v>
      </c>
      <c r="N13149" t="str">
        <f>"43016258    "</f>
        <v xml:space="preserve">43016258    </v>
      </c>
      <c r="O13149">
        <v>230302</v>
      </c>
    </row>
    <row r="13150" spans="1:15" x14ac:dyDescent="0.25">
      <c r="A13150" t="s">
        <v>16</v>
      </c>
      <c r="B13150" t="s">
        <v>3221</v>
      </c>
      <c r="C13150">
        <v>3013</v>
      </c>
      <c r="D13150" t="s">
        <v>257</v>
      </c>
      <c r="E13150" t="s">
        <v>258</v>
      </c>
      <c r="F13150">
        <v>21.4</v>
      </c>
      <c r="G13150">
        <v>230307</v>
      </c>
      <c r="H13150">
        <v>4362</v>
      </c>
      <c r="I13150" t="s">
        <v>79</v>
      </c>
      <c r="J13150">
        <v>26.54</v>
      </c>
      <c r="K13150">
        <v>5.14</v>
      </c>
      <c r="L13150">
        <v>11801</v>
      </c>
      <c r="M13150" t="s">
        <v>92</v>
      </c>
      <c r="N13150" t="str">
        <f>"43025291    "</f>
        <v xml:space="preserve">43025291    </v>
      </c>
      <c r="O13150">
        <v>230308</v>
      </c>
    </row>
    <row r="13151" spans="1:15" x14ac:dyDescent="0.25">
      <c r="A13151" t="s">
        <v>16</v>
      </c>
      <c r="B13151" t="s">
        <v>3221</v>
      </c>
      <c r="C13151">
        <v>15650</v>
      </c>
      <c r="D13151" t="s">
        <v>2894</v>
      </c>
      <c r="E13151" t="s">
        <v>2895</v>
      </c>
      <c r="F13151">
        <v>740</v>
      </c>
      <c r="G13151">
        <v>231018</v>
      </c>
      <c r="H13151">
        <v>4580</v>
      </c>
      <c r="I13151" t="s">
        <v>35</v>
      </c>
      <c r="J13151">
        <v>917.6</v>
      </c>
      <c r="K13151">
        <v>177.6</v>
      </c>
      <c r="L13151">
        <v>17737</v>
      </c>
      <c r="M13151" t="s">
        <v>279</v>
      </c>
      <c r="N13151" t="str">
        <f>"500560584   "</f>
        <v xml:space="preserve">500560584   </v>
      </c>
      <c r="O13151">
        <v>231116</v>
      </c>
    </row>
    <row r="13152" spans="1:15" x14ac:dyDescent="0.25">
      <c r="A13152" t="s">
        <v>16</v>
      </c>
      <c r="B13152" t="s">
        <v>3221</v>
      </c>
      <c r="C13152">
        <v>15651</v>
      </c>
      <c r="D13152" t="s">
        <v>2894</v>
      </c>
      <c r="E13152" t="s">
        <v>2895</v>
      </c>
      <c r="F13152">
        <v>1260</v>
      </c>
      <c r="G13152">
        <v>231020</v>
      </c>
      <c r="H13152">
        <v>4580</v>
      </c>
      <c r="I13152" t="s">
        <v>35</v>
      </c>
      <c r="J13152">
        <v>1562.4</v>
      </c>
      <c r="K13152">
        <v>302.39999999999998</v>
      </c>
      <c r="L13152">
        <v>17737</v>
      </c>
      <c r="M13152" t="s">
        <v>279</v>
      </c>
      <c r="N13152" t="str">
        <f>"500560587   "</f>
        <v xml:space="preserve">500560587   </v>
      </c>
      <c r="O13152">
        <v>231116</v>
      </c>
    </row>
    <row r="13153" spans="1:15" x14ac:dyDescent="0.25">
      <c r="A13153" t="s">
        <v>16</v>
      </c>
      <c r="B13153" t="s">
        <v>3221</v>
      </c>
      <c r="C13153">
        <v>18093</v>
      </c>
      <c r="D13153" t="s">
        <v>3124</v>
      </c>
      <c r="E13153" t="s">
        <v>3125</v>
      </c>
      <c r="F13153">
        <v>490</v>
      </c>
      <c r="G13153">
        <v>231219</v>
      </c>
      <c r="H13153">
        <v>4343</v>
      </c>
      <c r="I13153" t="s">
        <v>91</v>
      </c>
      <c r="J13153">
        <v>607.6</v>
      </c>
      <c r="K13153">
        <v>117.6</v>
      </c>
      <c r="L13153">
        <v>16930</v>
      </c>
      <c r="M13153" t="s">
        <v>450</v>
      </c>
      <c r="N13153" t="str">
        <f>"2301773     "</f>
        <v xml:space="preserve">2301773     </v>
      </c>
      <c r="O13153">
        <v>240102</v>
      </c>
    </row>
    <row r="13154" spans="1:15" x14ac:dyDescent="0.25">
      <c r="A13154" t="s">
        <v>16</v>
      </c>
      <c r="B13154" t="s">
        <v>3221</v>
      </c>
      <c r="C13154">
        <v>342</v>
      </c>
      <c r="D13154" t="s">
        <v>472</v>
      </c>
      <c r="E13154" t="s">
        <v>473</v>
      </c>
      <c r="F13154">
        <v>129.96</v>
      </c>
      <c r="G13154">
        <v>230117</v>
      </c>
      <c r="H13154">
        <v>4341</v>
      </c>
      <c r="I13154" t="s">
        <v>32</v>
      </c>
      <c r="J13154">
        <v>161.15</v>
      </c>
      <c r="K13154">
        <v>31.19</v>
      </c>
      <c r="L13154">
        <v>17737</v>
      </c>
      <c r="M13154" t="s">
        <v>279</v>
      </c>
      <c r="N13154" t="str">
        <f>"749152      "</f>
        <v xml:space="preserve">749152      </v>
      </c>
      <c r="O13154">
        <v>230118</v>
      </c>
    </row>
    <row r="13155" spans="1:15" x14ac:dyDescent="0.25">
      <c r="A13155" t="s">
        <v>16</v>
      </c>
      <c r="B13155" t="s">
        <v>3221</v>
      </c>
      <c r="C13155">
        <v>930</v>
      </c>
      <c r="D13155" t="s">
        <v>472</v>
      </c>
      <c r="E13155" t="s">
        <v>473</v>
      </c>
      <c r="F13155">
        <v>335.19</v>
      </c>
      <c r="G13155">
        <v>230127</v>
      </c>
      <c r="H13155">
        <v>4343</v>
      </c>
      <c r="I13155" t="s">
        <v>91</v>
      </c>
      <c r="J13155">
        <v>415.64</v>
      </c>
      <c r="K13155">
        <v>80.45</v>
      </c>
      <c r="L13155">
        <v>17737</v>
      </c>
      <c r="M13155" t="s">
        <v>279</v>
      </c>
      <c r="N13155" t="str">
        <f>"761200      "</f>
        <v xml:space="preserve">761200      </v>
      </c>
      <c r="O13155">
        <v>230201</v>
      </c>
    </row>
    <row r="13156" spans="1:15" x14ac:dyDescent="0.25">
      <c r="A13156" t="s">
        <v>16</v>
      </c>
      <c r="B13156" t="s">
        <v>3221</v>
      </c>
      <c r="C13156">
        <v>1142</v>
      </c>
      <c r="D13156" t="s">
        <v>472</v>
      </c>
      <c r="E13156" t="s">
        <v>473</v>
      </c>
      <c r="F13156">
        <v>440.62</v>
      </c>
      <c r="G13156">
        <v>230127</v>
      </c>
      <c r="H13156">
        <v>4343</v>
      </c>
      <c r="I13156" t="s">
        <v>91</v>
      </c>
      <c r="J13156">
        <v>546.37</v>
      </c>
      <c r="K13156">
        <v>105.75</v>
      </c>
      <c r="L13156">
        <v>67554</v>
      </c>
      <c r="M13156" t="s">
        <v>60</v>
      </c>
      <c r="N13156" t="str">
        <f>"760624      "</f>
        <v xml:space="preserve">760624      </v>
      </c>
      <c r="O13156">
        <v>230206</v>
      </c>
    </row>
    <row r="13157" spans="1:15" x14ac:dyDescent="0.25">
      <c r="A13157" t="s">
        <v>16</v>
      </c>
      <c r="B13157" t="s">
        <v>3221</v>
      </c>
      <c r="C13157">
        <v>1817</v>
      </c>
      <c r="D13157" t="s">
        <v>1207</v>
      </c>
      <c r="E13157" t="s">
        <v>1208</v>
      </c>
      <c r="F13157">
        <v>321</v>
      </c>
      <c r="G13157">
        <v>230210</v>
      </c>
      <c r="H13157">
        <v>4600</v>
      </c>
      <c r="I13157" t="s">
        <v>105</v>
      </c>
      <c r="J13157">
        <v>321</v>
      </c>
      <c r="K13157">
        <v>0</v>
      </c>
      <c r="L13157">
        <v>17737</v>
      </c>
      <c r="M13157" t="s">
        <v>279</v>
      </c>
      <c r="N13157" t="str">
        <f>"L653409     "</f>
        <v xml:space="preserve">L653409     </v>
      </c>
      <c r="O13157">
        <v>230214</v>
      </c>
    </row>
    <row r="13158" spans="1:15" x14ac:dyDescent="0.25">
      <c r="A13158" t="s">
        <v>16</v>
      </c>
      <c r="B13158" t="s">
        <v>3221</v>
      </c>
      <c r="C13158">
        <v>1116</v>
      </c>
      <c r="D13158" t="s">
        <v>3349</v>
      </c>
      <c r="E13158" t="s">
        <v>3350</v>
      </c>
      <c r="F13158">
        <v>300</v>
      </c>
      <c r="G13158">
        <v>230131</v>
      </c>
      <c r="H13158">
        <v>4350</v>
      </c>
      <c r="I13158" t="s">
        <v>546</v>
      </c>
      <c r="J13158">
        <v>300</v>
      </c>
      <c r="K13158">
        <v>0</v>
      </c>
      <c r="L13158">
        <v>69702</v>
      </c>
      <c r="M13158" t="s">
        <v>489</v>
      </c>
      <c r="N13158" t="str">
        <f>"16/2023     "</f>
        <v xml:space="preserve">16/2023     </v>
      </c>
      <c r="O13158">
        <v>230203</v>
      </c>
    </row>
    <row r="13159" spans="1:15" x14ac:dyDescent="0.25">
      <c r="A13159" t="s">
        <v>16</v>
      </c>
      <c r="B13159" t="s">
        <v>3221</v>
      </c>
      <c r="C13159">
        <v>7883</v>
      </c>
      <c r="D13159" t="s">
        <v>2140</v>
      </c>
      <c r="E13159" t="s">
        <v>2141</v>
      </c>
      <c r="F13159">
        <v>350</v>
      </c>
      <c r="G13159">
        <v>230601</v>
      </c>
      <c r="H13159">
        <v>4860</v>
      </c>
      <c r="I13159" t="s">
        <v>28</v>
      </c>
      <c r="J13159">
        <v>434</v>
      </c>
      <c r="K13159">
        <v>84</v>
      </c>
      <c r="L13159">
        <v>69702</v>
      </c>
      <c r="M13159" t="s">
        <v>489</v>
      </c>
      <c r="N13159" t="str">
        <f>"3760046218  "</f>
        <v xml:space="preserve">3760046218  </v>
      </c>
      <c r="O13159">
        <v>230605</v>
      </c>
    </row>
    <row r="13160" spans="1:15" x14ac:dyDescent="0.25">
      <c r="A13160" t="s">
        <v>16</v>
      </c>
      <c r="B13160" t="s">
        <v>3221</v>
      </c>
      <c r="C13160">
        <v>7883</v>
      </c>
      <c r="D13160" t="s">
        <v>2140</v>
      </c>
      <c r="E13160" t="s">
        <v>2141</v>
      </c>
      <c r="F13160">
        <v>350</v>
      </c>
      <c r="G13160">
        <v>230601</v>
      </c>
      <c r="H13160">
        <v>4860</v>
      </c>
      <c r="I13160" t="s">
        <v>28</v>
      </c>
      <c r="J13160">
        <v>434</v>
      </c>
      <c r="K13160">
        <v>84</v>
      </c>
      <c r="L13160">
        <v>69704</v>
      </c>
      <c r="M13160" t="s">
        <v>325</v>
      </c>
      <c r="N13160" t="str">
        <f>"3760046218  "</f>
        <v xml:space="preserve">3760046218  </v>
      </c>
      <c r="O13160">
        <v>230605</v>
      </c>
    </row>
    <row r="13161" spans="1:15" x14ac:dyDescent="0.25">
      <c r="A13161" t="s">
        <v>16</v>
      </c>
      <c r="B13161" t="s">
        <v>3221</v>
      </c>
      <c r="C13161">
        <v>16066</v>
      </c>
      <c r="D13161" t="s">
        <v>2924</v>
      </c>
      <c r="E13161" t="s">
        <v>2925</v>
      </c>
      <c r="F13161">
        <v>38.4</v>
      </c>
      <c r="G13161">
        <v>231113</v>
      </c>
      <c r="H13161">
        <v>4600</v>
      </c>
      <c r="I13161" t="s">
        <v>105</v>
      </c>
      <c r="J13161">
        <v>47.62</v>
      </c>
      <c r="K13161">
        <v>9.2200000000000006</v>
      </c>
      <c r="L13161">
        <v>49501</v>
      </c>
      <c r="M13161" t="s">
        <v>177</v>
      </c>
      <c r="N13161" t="str">
        <f>"38097       "</f>
        <v xml:space="preserve">38097       </v>
      </c>
      <c r="O13161">
        <v>231122</v>
      </c>
    </row>
    <row r="13162" spans="1:15" x14ac:dyDescent="0.25">
      <c r="A13162" t="s">
        <v>16</v>
      </c>
      <c r="B13162" t="s">
        <v>3221</v>
      </c>
      <c r="C13162">
        <v>14988</v>
      </c>
      <c r="D13162" t="s">
        <v>2832</v>
      </c>
      <c r="E13162" t="s">
        <v>2833</v>
      </c>
      <c r="F13162">
        <v>82.31</v>
      </c>
      <c r="G13162">
        <v>231102</v>
      </c>
      <c r="H13162">
        <v>4600</v>
      </c>
      <c r="I13162" t="s">
        <v>105</v>
      </c>
      <c r="J13162">
        <v>102.07</v>
      </c>
      <c r="K13162">
        <v>19.760000000000002</v>
      </c>
      <c r="L13162">
        <v>47522</v>
      </c>
      <c r="M13162" t="s">
        <v>410</v>
      </c>
      <c r="N13162" t="str">
        <f>"20183724    "</f>
        <v xml:space="preserve">20183724    </v>
      </c>
      <c r="O13162">
        <v>231107</v>
      </c>
    </row>
    <row r="13163" spans="1:15" x14ac:dyDescent="0.25">
      <c r="A13163" t="s">
        <v>16</v>
      </c>
      <c r="B13163" t="s">
        <v>3221</v>
      </c>
      <c r="C13163">
        <v>16350</v>
      </c>
      <c r="D13163" t="s">
        <v>2957</v>
      </c>
      <c r="E13163" t="s">
        <v>2958</v>
      </c>
      <c r="F13163">
        <v>226.7</v>
      </c>
      <c r="G13163">
        <v>231127</v>
      </c>
      <c r="H13163">
        <v>4590</v>
      </c>
      <c r="I13163" t="s">
        <v>203</v>
      </c>
      <c r="J13163">
        <v>281.11</v>
      </c>
      <c r="K13163">
        <v>54.41</v>
      </c>
      <c r="L13163">
        <v>56551</v>
      </c>
      <c r="M13163" t="s">
        <v>619</v>
      </c>
      <c r="N13163" t="str">
        <f>"235284      "</f>
        <v xml:space="preserve">235284      </v>
      </c>
      <c r="O13163">
        <v>231128</v>
      </c>
    </row>
    <row r="13164" spans="1:15" x14ac:dyDescent="0.25">
      <c r="A13164" t="s">
        <v>16</v>
      </c>
      <c r="B13164" t="s">
        <v>3221</v>
      </c>
      <c r="C13164">
        <v>14147</v>
      </c>
      <c r="D13164" t="s">
        <v>2740</v>
      </c>
      <c r="E13164" t="s">
        <v>2741</v>
      </c>
      <c r="F13164">
        <v>80</v>
      </c>
      <c r="G13164">
        <v>231005</v>
      </c>
      <c r="H13164">
        <v>1196</v>
      </c>
      <c r="I13164" t="s">
        <v>392</v>
      </c>
      <c r="J13164">
        <v>99.2</v>
      </c>
      <c r="K13164">
        <v>19.2</v>
      </c>
      <c r="L13164">
        <v>97701</v>
      </c>
      <c r="M13164" t="s">
        <v>869</v>
      </c>
      <c r="N13164" t="str">
        <f>"16946       "</f>
        <v xml:space="preserve">16946       </v>
      </c>
      <c r="O13164">
        <v>231019</v>
      </c>
    </row>
    <row r="13165" spans="1:15" x14ac:dyDescent="0.25">
      <c r="A13165" t="s">
        <v>16</v>
      </c>
      <c r="B13165" t="s">
        <v>3221</v>
      </c>
      <c r="C13165">
        <v>4588</v>
      </c>
      <c r="D13165" t="s">
        <v>1736</v>
      </c>
      <c r="E13165" t="s">
        <v>1737</v>
      </c>
      <c r="F13165">
        <v>9.1</v>
      </c>
      <c r="G13165">
        <v>230325</v>
      </c>
      <c r="H13165">
        <v>4410</v>
      </c>
      <c r="I13165" t="s">
        <v>517</v>
      </c>
      <c r="J13165">
        <v>9.1</v>
      </c>
      <c r="K13165">
        <v>0</v>
      </c>
      <c r="L13165">
        <v>11001</v>
      </c>
      <c r="M13165" t="s">
        <v>326</v>
      </c>
      <c r="N13165" t="str">
        <f>"54175       "</f>
        <v xml:space="preserve">54175       </v>
      </c>
      <c r="O13165">
        <v>230411</v>
      </c>
    </row>
    <row r="13166" spans="1:15" x14ac:dyDescent="0.25">
      <c r="A13166" t="s">
        <v>16</v>
      </c>
      <c r="B13166" t="s">
        <v>3221</v>
      </c>
      <c r="C13166">
        <v>4588</v>
      </c>
      <c r="D13166" t="s">
        <v>1736</v>
      </c>
      <c r="E13166" t="s">
        <v>1737</v>
      </c>
      <c r="F13166">
        <v>86.27</v>
      </c>
      <c r="G13166">
        <v>230325</v>
      </c>
      <c r="H13166">
        <v>4410</v>
      </c>
      <c r="I13166" t="s">
        <v>517</v>
      </c>
      <c r="J13166">
        <v>94.9</v>
      </c>
      <c r="K13166">
        <v>8.6300000000000008</v>
      </c>
      <c r="L13166">
        <v>11001</v>
      </c>
      <c r="M13166" t="s">
        <v>326</v>
      </c>
      <c r="N13166" t="str">
        <f>"54175       "</f>
        <v xml:space="preserve">54175       </v>
      </c>
      <c r="O13166">
        <v>230411</v>
      </c>
    </row>
    <row r="13167" spans="1:15" x14ac:dyDescent="0.25">
      <c r="A13167" t="s">
        <v>16</v>
      </c>
      <c r="B13167" t="s">
        <v>3221</v>
      </c>
      <c r="C13167">
        <v>770</v>
      </c>
      <c r="D13167" t="s">
        <v>730</v>
      </c>
      <c r="E13167" t="s">
        <v>731</v>
      </c>
      <c r="F13167">
        <v>401.61</v>
      </c>
      <c r="G13167">
        <v>230123</v>
      </c>
      <c r="H13167">
        <v>4580</v>
      </c>
      <c r="I13167" t="s">
        <v>35</v>
      </c>
      <c r="J13167">
        <v>498</v>
      </c>
      <c r="K13167">
        <v>96.39</v>
      </c>
      <c r="L13167">
        <v>17537</v>
      </c>
      <c r="M13167" t="s">
        <v>455</v>
      </c>
      <c r="N13167" t="str">
        <f>"27693       "</f>
        <v xml:space="preserve">27693       </v>
      </c>
      <c r="O13167">
        <v>230130</v>
      </c>
    </row>
    <row r="13168" spans="1:15" x14ac:dyDescent="0.25">
      <c r="A13168" t="s">
        <v>16</v>
      </c>
      <c r="B13168" t="s">
        <v>3221</v>
      </c>
      <c r="C13168">
        <v>2067</v>
      </c>
      <c r="D13168" t="s">
        <v>730</v>
      </c>
      <c r="E13168" t="s">
        <v>731</v>
      </c>
      <c r="F13168">
        <v>79.03</v>
      </c>
      <c r="G13168">
        <v>230213</v>
      </c>
      <c r="H13168">
        <v>4580</v>
      </c>
      <c r="I13168" t="s">
        <v>35</v>
      </c>
      <c r="J13168">
        <v>98</v>
      </c>
      <c r="K13168">
        <v>18.97</v>
      </c>
      <c r="L13168">
        <v>17524</v>
      </c>
      <c r="M13168" t="s">
        <v>452</v>
      </c>
      <c r="N13168" t="str">
        <f>"27917       "</f>
        <v xml:space="preserve">27917       </v>
      </c>
      <c r="O13168">
        <v>230220</v>
      </c>
    </row>
    <row r="13169" spans="1:15" x14ac:dyDescent="0.25">
      <c r="A13169" t="s">
        <v>16</v>
      </c>
      <c r="B13169" t="s">
        <v>3221</v>
      </c>
      <c r="C13169">
        <v>2067</v>
      </c>
      <c r="D13169" t="s">
        <v>730</v>
      </c>
      <c r="E13169" t="s">
        <v>731</v>
      </c>
      <c r="F13169">
        <v>165.32</v>
      </c>
      <c r="G13169">
        <v>230213</v>
      </c>
      <c r="H13169">
        <v>4580</v>
      </c>
      <c r="I13169" t="s">
        <v>35</v>
      </c>
      <c r="J13169">
        <v>205</v>
      </c>
      <c r="K13169">
        <v>39.68</v>
      </c>
      <c r="L13169">
        <v>17524</v>
      </c>
      <c r="M13169" t="s">
        <v>452</v>
      </c>
      <c r="N13169" t="str">
        <f>"27917       "</f>
        <v xml:space="preserve">27917       </v>
      </c>
      <c r="O13169">
        <v>230220</v>
      </c>
    </row>
    <row r="13170" spans="1:15" x14ac:dyDescent="0.25">
      <c r="A13170" t="s">
        <v>16</v>
      </c>
      <c r="B13170" t="s">
        <v>3221</v>
      </c>
      <c r="C13170">
        <v>6502</v>
      </c>
      <c r="D13170" t="s">
        <v>730</v>
      </c>
      <c r="E13170" t="s">
        <v>731</v>
      </c>
      <c r="F13170">
        <v>42.74</v>
      </c>
      <c r="G13170">
        <v>230509</v>
      </c>
      <c r="H13170">
        <v>4580</v>
      </c>
      <c r="I13170" t="s">
        <v>35</v>
      </c>
      <c r="J13170">
        <v>53</v>
      </c>
      <c r="K13170">
        <v>10.26</v>
      </c>
      <c r="L13170">
        <v>17524</v>
      </c>
      <c r="M13170" t="s">
        <v>452</v>
      </c>
      <c r="N13170" t="str">
        <f>"28374       "</f>
        <v xml:space="preserve">28374       </v>
      </c>
      <c r="O13170">
        <v>230512</v>
      </c>
    </row>
    <row r="13171" spans="1:15" x14ac:dyDescent="0.25">
      <c r="A13171" t="s">
        <v>16</v>
      </c>
      <c r="B13171" t="s">
        <v>3221</v>
      </c>
      <c r="C13171">
        <v>15075</v>
      </c>
      <c r="D13171" t="s">
        <v>730</v>
      </c>
      <c r="E13171" t="s">
        <v>731</v>
      </c>
      <c r="F13171">
        <v>104.84</v>
      </c>
      <c r="G13171">
        <v>231028</v>
      </c>
      <c r="H13171">
        <v>4580</v>
      </c>
      <c r="I13171" t="s">
        <v>35</v>
      </c>
      <c r="J13171">
        <v>130</v>
      </c>
      <c r="K13171">
        <v>25.16</v>
      </c>
      <c r="L13171">
        <v>17537</v>
      </c>
      <c r="M13171" t="s">
        <v>455</v>
      </c>
      <c r="N13171" t="str">
        <f>"29368       "</f>
        <v xml:space="preserve">29368       </v>
      </c>
      <c r="O13171">
        <v>231108</v>
      </c>
    </row>
    <row r="13172" spans="1:15" x14ac:dyDescent="0.25">
      <c r="A13172" t="s">
        <v>16</v>
      </c>
      <c r="B13172" t="s">
        <v>3221</v>
      </c>
      <c r="C13172">
        <v>17203</v>
      </c>
      <c r="D13172" t="s">
        <v>730</v>
      </c>
      <c r="E13172" t="s">
        <v>731</v>
      </c>
      <c r="F13172">
        <v>283.06</v>
      </c>
      <c r="G13172">
        <v>231207</v>
      </c>
      <c r="H13172">
        <v>4580</v>
      </c>
      <c r="I13172" t="s">
        <v>35</v>
      </c>
      <c r="J13172">
        <v>351</v>
      </c>
      <c r="K13172">
        <v>67.94</v>
      </c>
      <c r="L13172">
        <v>17538</v>
      </c>
      <c r="M13172" t="s">
        <v>24</v>
      </c>
      <c r="N13172" t="str">
        <f>"29632       "</f>
        <v xml:space="preserve">29632       </v>
      </c>
      <c r="O13172">
        <v>231212</v>
      </c>
    </row>
    <row r="13173" spans="1:15" x14ac:dyDescent="0.25">
      <c r="A13173" t="s">
        <v>16</v>
      </c>
      <c r="B13173" t="s">
        <v>3221</v>
      </c>
      <c r="C13173">
        <v>17914</v>
      </c>
      <c r="D13173" t="s">
        <v>730</v>
      </c>
      <c r="E13173" t="s">
        <v>731</v>
      </c>
      <c r="F13173">
        <v>16.13</v>
      </c>
      <c r="G13173">
        <v>231214</v>
      </c>
      <c r="H13173">
        <v>4580</v>
      </c>
      <c r="I13173" t="s">
        <v>35</v>
      </c>
      <c r="J13173">
        <v>20</v>
      </c>
      <c r="K13173">
        <v>3.87</v>
      </c>
      <c r="L13173">
        <v>17524</v>
      </c>
      <c r="M13173" t="s">
        <v>452</v>
      </c>
      <c r="N13173" t="str">
        <f>"29694       "</f>
        <v xml:space="preserve">29694       </v>
      </c>
      <c r="O13173">
        <v>231227</v>
      </c>
    </row>
    <row r="13174" spans="1:15" x14ac:dyDescent="0.25">
      <c r="A13174" t="s">
        <v>16</v>
      </c>
      <c r="B13174" t="s">
        <v>3221</v>
      </c>
      <c r="C13174">
        <v>6502</v>
      </c>
      <c r="D13174" t="s">
        <v>730</v>
      </c>
      <c r="E13174" t="s">
        <v>731</v>
      </c>
      <c r="F13174">
        <v>40.32</v>
      </c>
      <c r="G13174">
        <v>230509</v>
      </c>
      <c r="H13174">
        <v>4600</v>
      </c>
      <c r="I13174" t="s">
        <v>105</v>
      </c>
      <c r="J13174">
        <v>50</v>
      </c>
      <c r="K13174">
        <v>9.68</v>
      </c>
      <c r="L13174">
        <v>17635</v>
      </c>
      <c r="M13174" t="s">
        <v>349</v>
      </c>
      <c r="N13174" t="str">
        <f>"28374       "</f>
        <v xml:space="preserve">28374       </v>
      </c>
      <c r="O13174">
        <v>230512</v>
      </c>
    </row>
    <row r="13175" spans="1:15" x14ac:dyDescent="0.25">
      <c r="A13175" t="s">
        <v>16</v>
      </c>
      <c r="B13175" t="s">
        <v>3221</v>
      </c>
      <c r="C13175">
        <v>17914</v>
      </c>
      <c r="D13175" t="s">
        <v>730</v>
      </c>
      <c r="E13175" t="s">
        <v>731</v>
      </c>
      <c r="F13175">
        <v>63.91</v>
      </c>
      <c r="G13175">
        <v>231214</v>
      </c>
      <c r="H13175">
        <v>4600</v>
      </c>
      <c r="I13175" t="s">
        <v>105</v>
      </c>
      <c r="J13175">
        <v>79.25</v>
      </c>
      <c r="K13175">
        <v>15.34</v>
      </c>
      <c r="L13175">
        <v>17635</v>
      </c>
      <c r="M13175" t="s">
        <v>349</v>
      </c>
      <c r="N13175" t="str">
        <f>"29694       "</f>
        <v xml:space="preserve">29694       </v>
      </c>
      <c r="O13175">
        <v>231227</v>
      </c>
    </row>
    <row r="13176" spans="1:15" x14ac:dyDescent="0.25">
      <c r="A13176" t="s">
        <v>16</v>
      </c>
      <c r="B13176" t="s">
        <v>3221</v>
      </c>
      <c r="C13176">
        <v>1917</v>
      </c>
      <c r="D13176" t="s">
        <v>1232</v>
      </c>
      <c r="E13176" t="s">
        <v>1233</v>
      </c>
      <c r="F13176">
        <v>120.97</v>
      </c>
      <c r="G13176">
        <v>230210</v>
      </c>
      <c r="H13176">
        <v>4580</v>
      </c>
      <c r="I13176" t="s">
        <v>35</v>
      </c>
      <c r="J13176">
        <v>150</v>
      </c>
      <c r="K13176">
        <v>29.03</v>
      </c>
      <c r="L13176">
        <v>13601</v>
      </c>
      <c r="M13176" t="s">
        <v>147</v>
      </c>
      <c r="N13176" t="str">
        <f>"8633        "</f>
        <v xml:space="preserve">8633        </v>
      </c>
      <c r="O13176">
        <v>230216</v>
      </c>
    </row>
    <row r="13177" spans="1:15" x14ac:dyDescent="0.25">
      <c r="A13177" t="s">
        <v>16</v>
      </c>
      <c r="B13177" t="s">
        <v>3221</v>
      </c>
      <c r="C13177">
        <v>19265</v>
      </c>
      <c r="D13177" t="s">
        <v>1232</v>
      </c>
      <c r="E13177" t="s">
        <v>1233</v>
      </c>
      <c r="F13177">
        <v>4722.5</v>
      </c>
      <c r="G13177">
        <v>231229</v>
      </c>
      <c r="H13177">
        <v>4580</v>
      </c>
      <c r="I13177" t="s">
        <v>35</v>
      </c>
      <c r="J13177">
        <v>5855.9</v>
      </c>
      <c r="K13177">
        <v>1133.4000000000001</v>
      </c>
      <c r="L13177">
        <v>13601</v>
      </c>
      <c r="M13177" t="s">
        <v>147</v>
      </c>
      <c r="N13177" t="str">
        <f>"9416        "</f>
        <v xml:space="preserve">9416        </v>
      </c>
      <c r="O13177">
        <v>240115</v>
      </c>
    </row>
    <row r="13178" spans="1:15" x14ac:dyDescent="0.25">
      <c r="A13178" t="s">
        <v>16</v>
      </c>
      <c r="B13178" t="s">
        <v>3221</v>
      </c>
      <c r="C13178">
        <v>5097</v>
      </c>
      <c r="D13178" t="s">
        <v>844</v>
      </c>
      <c r="E13178" t="s">
        <v>845</v>
      </c>
      <c r="F13178">
        <v>137.11000000000001</v>
      </c>
      <c r="G13178">
        <v>230413</v>
      </c>
      <c r="H13178">
        <v>4580</v>
      </c>
      <c r="I13178" t="s">
        <v>35</v>
      </c>
      <c r="J13178">
        <v>170.02</v>
      </c>
      <c r="K13178">
        <v>32.909999999999997</v>
      </c>
      <c r="L13178">
        <v>14951</v>
      </c>
      <c r="M13178" t="s">
        <v>57</v>
      </c>
      <c r="N13178" t="str">
        <f>"77679       "</f>
        <v xml:space="preserve">77679       </v>
      </c>
      <c r="O13178">
        <v>230418</v>
      </c>
    </row>
    <row r="13179" spans="1:15" x14ac:dyDescent="0.25">
      <c r="A13179" t="s">
        <v>16</v>
      </c>
      <c r="B13179" t="s">
        <v>3221</v>
      </c>
      <c r="C13179">
        <v>1035</v>
      </c>
      <c r="D13179" t="s">
        <v>844</v>
      </c>
      <c r="E13179" t="s">
        <v>845</v>
      </c>
      <c r="F13179">
        <v>647.75</v>
      </c>
      <c r="G13179">
        <v>230118</v>
      </c>
      <c r="H13179">
        <v>4400</v>
      </c>
      <c r="I13179" t="s">
        <v>348</v>
      </c>
      <c r="J13179">
        <v>803.21</v>
      </c>
      <c r="K13179">
        <v>155.46</v>
      </c>
      <c r="L13179">
        <v>14640</v>
      </c>
      <c r="M13179" t="s">
        <v>229</v>
      </c>
      <c r="N13179" t="str">
        <f>"70566       "</f>
        <v xml:space="preserve">70566       </v>
      </c>
      <c r="O13179">
        <v>230202</v>
      </c>
    </row>
    <row r="13180" spans="1:15" x14ac:dyDescent="0.25">
      <c r="A13180" t="s">
        <v>16</v>
      </c>
      <c r="B13180" t="s">
        <v>3221</v>
      </c>
      <c r="C13180">
        <v>1089</v>
      </c>
      <c r="D13180" t="s">
        <v>844</v>
      </c>
      <c r="E13180" t="s">
        <v>845</v>
      </c>
      <c r="F13180">
        <v>469.1</v>
      </c>
      <c r="G13180">
        <v>230131</v>
      </c>
      <c r="H13180">
        <v>4400</v>
      </c>
      <c r="I13180" t="s">
        <v>348</v>
      </c>
      <c r="J13180">
        <v>581.69000000000005</v>
      </c>
      <c r="K13180">
        <v>112.59</v>
      </c>
      <c r="L13180">
        <v>49501</v>
      </c>
      <c r="M13180" t="s">
        <v>177</v>
      </c>
      <c r="N13180" t="str">
        <f>"71788       "</f>
        <v xml:space="preserve">71788       </v>
      </c>
      <c r="O13180">
        <v>230203</v>
      </c>
    </row>
    <row r="13181" spans="1:15" x14ac:dyDescent="0.25">
      <c r="A13181" t="s">
        <v>16</v>
      </c>
      <c r="B13181" t="s">
        <v>3221</v>
      </c>
      <c r="C13181">
        <v>6077</v>
      </c>
      <c r="D13181" t="s">
        <v>844</v>
      </c>
      <c r="E13181" t="s">
        <v>845</v>
      </c>
      <c r="F13181">
        <v>376.88</v>
      </c>
      <c r="G13181">
        <v>230428</v>
      </c>
      <c r="H13181">
        <v>4400</v>
      </c>
      <c r="I13181" t="s">
        <v>348</v>
      </c>
      <c r="J13181">
        <v>467.33</v>
      </c>
      <c r="K13181">
        <v>90.45</v>
      </c>
      <c r="L13181">
        <v>14912</v>
      </c>
      <c r="M13181" t="s">
        <v>230</v>
      </c>
      <c r="N13181" t="str">
        <f>"79409       "</f>
        <v xml:space="preserve">79409       </v>
      </c>
      <c r="O13181">
        <v>230508</v>
      </c>
    </row>
    <row r="13182" spans="1:15" x14ac:dyDescent="0.25">
      <c r="A13182" t="s">
        <v>16</v>
      </c>
      <c r="B13182" t="s">
        <v>3221</v>
      </c>
      <c r="C13182">
        <v>7240</v>
      </c>
      <c r="D13182" t="s">
        <v>844</v>
      </c>
      <c r="E13182" t="s">
        <v>845</v>
      </c>
      <c r="F13182">
        <v>373.69</v>
      </c>
      <c r="G13182">
        <v>230510</v>
      </c>
      <c r="H13182">
        <v>4400</v>
      </c>
      <c r="I13182" t="s">
        <v>348</v>
      </c>
      <c r="J13182">
        <v>463.37</v>
      </c>
      <c r="K13182">
        <v>89.68</v>
      </c>
      <c r="L13182">
        <v>54451</v>
      </c>
      <c r="M13182" t="s">
        <v>158</v>
      </c>
      <c r="N13182" t="str">
        <f>"80827       "</f>
        <v xml:space="preserve">80827       </v>
      </c>
      <c r="O13182">
        <v>230526</v>
      </c>
    </row>
    <row r="13183" spans="1:15" x14ac:dyDescent="0.25">
      <c r="A13183" t="s">
        <v>16</v>
      </c>
      <c r="B13183" t="s">
        <v>3221</v>
      </c>
      <c r="C13183">
        <v>7389</v>
      </c>
      <c r="D13183" t="s">
        <v>844</v>
      </c>
      <c r="E13183" t="s">
        <v>845</v>
      </c>
      <c r="F13183">
        <v>184.61</v>
      </c>
      <c r="G13183">
        <v>230524</v>
      </c>
      <c r="H13183">
        <v>4400</v>
      </c>
      <c r="I13183" t="s">
        <v>348</v>
      </c>
      <c r="J13183">
        <v>228.92</v>
      </c>
      <c r="K13183">
        <v>44.31</v>
      </c>
      <c r="L13183">
        <v>14432</v>
      </c>
      <c r="M13183" t="s">
        <v>862</v>
      </c>
      <c r="N13183" t="str">
        <f>"82260       "</f>
        <v xml:space="preserve">82260       </v>
      </c>
      <c r="O13183">
        <v>230529</v>
      </c>
    </row>
    <row r="13184" spans="1:15" x14ac:dyDescent="0.25">
      <c r="A13184" t="s">
        <v>16</v>
      </c>
      <c r="B13184" t="s">
        <v>3221</v>
      </c>
      <c r="C13184">
        <v>7591</v>
      </c>
      <c r="D13184" t="s">
        <v>844</v>
      </c>
      <c r="E13184" t="s">
        <v>845</v>
      </c>
      <c r="F13184">
        <v>724.22</v>
      </c>
      <c r="G13184">
        <v>230523</v>
      </c>
      <c r="H13184">
        <v>4400</v>
      </c>
      <c r="I13184" t="s">
        <v>348</v>
      </c>
      <c r="J13184">
        <v>898.03</v>
      </c>
      <c r="K13184">
        <v>173.81</v>
      </c>
      <c r="L13184">
        <v>14952</v>
      </c>
      <c r="M13184" t="s">
        <v>99</v>
      </c>
      <c r="N13184" t="str">
        <f>"82051       "</f>
        <v xml:space="preserve">82051       </v>
      </c>
      <c r="O13184">
        <v>230601</v>
      </c>
    </row>
    <row r="13185" spans="1:15" x14ac:dyDescent="0.25">
      <c r="A13185" t="s">
        <v>16</v>
      </c>
      <c r="B13185" t="s">
        <v>3221</v>
      </c>
      <c r="C13185">
        <v>7591</v>
      </c>
      <c r="D13185" t="s">
        <v>844</v>
      </c>
      <c r="E13185" t="s">
        <v>845</v>
      </c>
      <c r="F13185">
        <v>1689.84</v>
      </c>
      <c r="G13185">
        <v>230523</v>
      </c>
      <c r="H13185">
        <v>4400</v>
      </c>
      <c r="I13185" t="s">
        <v>348</v>
      </c>
      <c r="J13185">
        <v>2095.4</v>
      </c>
      <c r="K13185">
        <v>405.56</v>
      </c>
      <c r="L13185">
        <v>14981</v>
      </c>
      <c r="M13185" t="s">
        <v>1211</v>
      </c>
      <c r="N13185" t="str">
        <f>"82051       "</f>
        <v xml:space="preserve">82051       </v>
      </c>
      <c r="O13185">
        <v>230601</v>
      </c>
    </row>
    <row r="13186" spans="1:15" x14ac:dyDescent="0.25">
      <c r="A13186" t="s">
        <v>16</v>
      </c>
      <c r="B13186" t="s">
        <v>3221</v>
      </c>
      <c r="C13186">
        <v>7930</v>
      </c>
      <c r="D13186" t="s">
        <v>844</v>
      </c>
      <c r="E13186" t="s">
        <v>845</v>
      </c>
      <c r="F13186">
        <v>143.9</v>
      </c>
      <c r="G13186">
        <v>230529</v>
      </c>
      <c r="H13186">
        <v>4400</v>
      </c>
      <c r="I13186" t="s">
        <v>348</v>
      </c>
      <c r="J13186">
        <v>178.43</v>
      </c>
      <c r="K13186">
        <v>34.53</v>
      </c>
      <c r="L13186">
        <v>14432</v>
      </c>
      <c r="M13186" t="s">
        <v>862</v>
      </c>
      <c r="N13186" t="str">
        <f>"82667       "</f>
        <v xml:space="preserve">82667       </v>
      </c>
      <c r="O13186">
        <v>230606</v>
      </c>
    </row>
    <row r="13187" spans="1:15" x14ac:dyDescent="0.25">
      <c r="A13187" t="s">
        <v>16</v>
      </c>
      <c r="B13187" t="s">
        <v>3221</v>
      </c>
      <c r="C13187">
        <v>8822</v>
      </c>
      <c r="D13187" t="s">
        <v>844</v>
      </c>
      <c r="E13187" t="s">
        <v>845</v>
      </c>
      <c r="F13187">
        <v>294.52</v>
      </c>
      <c r="G13187">
        <v>230614</v>
      </c>
      <c r="H13187">
        <v>4400</v>
      </c>
      <c r="I13187" t="s">
        <v>348</v>
      </c>
      <c r="J13187">
        <v>365.2</v>
      </c>
      <c r="K13187">
        <v>70.680000000000007</v>
      </c>
      <c r="L13187">
        <v>59113</v>
      </c>
      <c r="M13187" t="s">
        <v>235</v>
      </c>
      <c r="N13187" t="str">
        <f>"84475       "</f>
        <v xml:space="preserve">84475       </v>
      </c>
      <c r="O13187">
        <v>230616</v>
      </c>
    </row>
    <row r="13188" spans="1:15" x14ac:dyDescent="0.25">
      <c r="A13188" t="s">
        <v>16</v>
      </c>
      <c r="B13188" t="s">
        <v>3221</v>
      </c>
      <c r="C13188">
        <v>8823</v>
      </c>
      <c r="D13188" t="s">
        <v>844</v>
      </c>
      <c r="E13188" t="s">
        <v>845</v>
      </c>
      <c r="F13188">
        <v>157.47</v>
      </c>
      <c r="G13188">
        <v>230614</v>
      </c>
      <c r="H13188">
        <v>4400</v>
      </c>
      <c r="I13188" t="s">
        <v>348</v>
      </c>
      <c r="J13188">
        <v>195.26</v>
      </c>
      <c r="K13188">
        <v>37.79</v>
      </c>
      <c r="L13188">
        <v>59113</v>
      </c>
      <c r="M13188" t="s">
        <v>235</v>
      </c>
      <c r="N13188" t="str">
        <f>"84476       "</f>
        <v xml:space="preserve">84476       </v>
      </c>
      <c r="O13188">
        <v>230616</v>
      </c>
    </row>
    <row r="13189" spans="1:15" x14ac:dyDescent="0.25">
      <c r="A13189" t="s">
        <v>16</v>
      </c>
      <c r="B13189" t="s">
        <v>3221</v>
      </c>
      <c r="C13189">
        <v>9830</v>
      </c>
      <c r="D13189" t="s">
        <v>844</v>
      </c>
      <c r="E13189" t="s">
        <v>845</v>
      </c>
      <c r="F13189">
        <v>24.19</v>
      </c>
      <c r="G13189">
        <v>230714</v>
      </c>
      <c r="H13189">
        <v>4400</v>
      </c>
      <c r="I13189" t="s">
        <v>348</v>
      </c>
      <c r="J13189">
        <v>30</v>
      </c>
      <c r="K13189">
        <v>5.81</v>
      </c>
      <c r="L13189">
        <v>14422</v>
      </c>
      <c r="M13189" t="s">
        <v>228</v>
      </c>
      <c r="N13189" t="str">
        <f>"87242       "</f>
        <v xml:space="preserve">87242       </v>
      </c>
      <c r="O13189">
        <v>230726</v>
      </c>
    </row>
    <row r="13190" spans="1:15" x14ac:dyDescent="0.25">
      <c r="A13190" t="s">
        <v>16</v>
      </c>
      <c r="B13190" t="s">
        <v>3221</v>
      </c>
      <c r="C13190">
        <v>9830</v>
      </c>
      <c r="D13190" t="s">
        <v>844</v>
      </c>
      <c r="E13190" t="s">
        <v>845</v>
      </c>
      <c r="F13190">
        <v>221.77</v>
      </c>
      <c r="G13190">
        <v>230714</v>
      </c>
      <c r="H13190">
        <v>4400</v>
      </c>
      <c r="I13190" t="s">
        <v>348</v>
      </c>
      <c r="J13190">
        <v>275</v>
      </c>
      <c r="K13190">
        <v>53.23</v>
      </c>
      <c r="L13190">
        <v>14422</v>
      </c>
      <c r="M13190" t="s">
        <v>228</v>
      </c>
      <c r="N13190" t="str">
        <f>"87242       "</f>
        <v xml:space="preserve">87242       </v>
      </c>
      <c r="O13190">
        <v>230726</v>
      </c>
    </row>
    <row r="13191" spans="1:15" x14ac:dyDescent="0.25">
      <c r="A13191" t="s">
        <v>16</v>
      </c>
      <c r="B13191" t="s">
        <v>3221</v>
      </c>
      <c r="C13191">
        <v>9830</v>
      </c>
      <c r="D13191" t="s">
        <v>844</v>
      </c>
      <c r="E13191" t="s">
        <v>845</v>
      </c>
      <c r="F13191">
        <v>554.03</v>
      </c>
      <c r="G13191">
        <v>230714</v>
      </c>
      <c r="H13191">
        <v>4400</v>
      </c>
      <c r="I13191" t="s">
        <v>348</v>
      </c>
      <c r="J13191">
        <v>687</v>
      </c>
      <c r="K13191">
        <v>132.97</v>
      </c>
      <c r="L13191">
        <v>14432</v>
      </c>
      <c r="M13191" t="s">
        <v>862</v>
      </c>
      <c r="N13191" t="str">
        <f>"87242       "</f>
        <v xml:space="preserve">87242       </v>
      </c>
      <c r="O13191">
        <v>230726</v>
      </c>
    </row>
    <row r="13192" spans="1:15" x14ac:dyDescent="0.25">
      <c r="A13192" t="s">
        <v>16</v>
      </c>
      <c r="B13192" t="s">
        <v>3221</v>
      </c>
      <c r="C13192">
        <v>9830</v>
      </c>
      <c r="D13192" t="s">
        <v>844</v>
      </c>
      <c r="E13192" t="s">
        <v>845</v>
      </c>
      <c r="F13192">
        <v>864.6</v>
      </c>
      <c r="G13192">
        <v>230714</v>
      </c>
      <c r="H13192">
        <v>4400</v>
      </c>
      <c r="I13192" t="s">
        <v>348</v>
      </c>
      <c r="J13192">
        <v>1072.0999999999999</v>
      </c>
      <c r="K13192">
        <v>207.5</v>
      </c>
      <c r="L13192">
        <v>14640</v>
      </c>
      <c r="M13192" t="s">
        <v>229</v>
      </c>
      <c r="N13192" t="str">
        <f>"87242       "</f>
        <v xml:space="preserve">87242       </v>
      </c>
      <c r="O13192">
        <v>230726</v>
      </c>
    </row>
    <row r="13193" spans="1:15" x14ac:dyDescent="0.25">
      <c r="A13193" t="s">
        <v>16</v>
      </c>
      <c r="B13193" t="s">
        <v>3221</v>
      </c>
      <c r="C13193">
        <v>9830</v>
      </c>
      <c r="D13193" t="s">
        <v>844</v>
      </c>
      <c r="E13193" t="s">
        <v>845</v>
      </c>
      <c r="F13193">
        <v>554.03</v>
      </c>
      <c r="G13193">
        <v>230714</v>
      </c>
      <c r="H13193">
        <v>4400</v>
      </c>
      <c r="I13193" t="s">
        <v>348</v>
      </c>
      <c r="J13193">
        <v>687</v>
      </c>
      <c r="K13193">
        <v>132.97</v>
      </c>
      <c r="L13193">
        <v>14912</v>
      </c>
      <c r="M13193" t="s">
        <v>230</v>
      </c>
      <c r="N13193" t="str">
        <f>"87242       "</f>
        <v xml:space="preserve">87242       </v>
      </c>
      <c r="O13193">
        <v>230726</v>
      </c>
    </row>
    <row r="13194" spans="1:15" x14ac:dyDescent="0.25">
      <c r="A13194" t="s">
        <v>16</v>
      </c>
      <c r="B13194" t="s">
        <v>3221</v>
      </c>
      <c r="C13194">
        <v>9911</v>
      </c>
      <c r="D13194" t="s">
        <v>844</v>
      </c>
      <c r="E13194" t="s">
        <v>845</v>
      </c>
      <c r="F13194">
        <v>245.67</v>
      </c>
      <c r="G13194">
        <v>230727</v>
      </c>
      <c r="H13194">
        <v>4400</v>
      </c>
      <c r="I13194" t="s">
        <v>348</v>
      </c>
      <c r="J13194">
        <v>304.63</v>
      </c>
      <c r="K13194">
        <v>58.96</v>
      </c>
      <c r="L13194">
        <v>59114</v>
      </c>
      <c r="M13194" t="s">
        <v>556</v>
      </c>
      <c r="N13194" t="str">
        <f>"88318       "</f>
        <v xml:space="preserve">88318       </v>
      </c>
      <c r="O13194">
        <v>230802</v>
      </c>
    </row>
    <row r="13195" spans="1:15" x14ac:dyDescent="0.25">
      <c r="A13195" t="s">
        <v>16</v>
      </c>
      <c r="B13195" t="s">
        <v>3221</v>
      </c>
      <c r="C13195">
        <v>9915</v>
      </c>
      <c r="D13195" t="s">
        <v>844</v>
      </c>
      <c r="E13195" t="s">
        <v>845</v>
      </c>
      <c r="F13195">
        <v>225</v>
      </c>
      <c r="G13195">
        <v>230731</v>
      </c>
      <c r="H13195">
        <v>4400</v>
      </c>
      <c r="I13195" t="s">
        <v>348</v>
      </c>
      <c r="J13195">
        <v>279</v>
      </c>
      <c r="K13195">
        <v>54</v>
      </c>
      <c r="L13195">
        <v>54422</v>
      </c>
      <c r="M13195" t="s">
        <v>234</v>
      </c>
      <c r="N13195" t="str">
        <f>"88744       "</f>
        <v xml:space="preserve">88744       </v>
      </c>
      <c r="O13195">
        <v>230802</v>
      </c>
    </row>
    <row r="13196" spans="1:15" x14ac:dyDescent="0.25">
      <c r="A13196" t="s">
        <v>16</v>
      </c>
      <c r="B13196" t="s">
        <v>3221</v>
      </c>
      <c r="C13196">
        <v>9915</v>
      </c>
      <c r="D13196" t="s">
        <v>844</v>
      </c>
      <c r="E13196" t="s">
        <v>845</v>
      </c>
      <c r="F13196">
        <v>225</v>
      </c>
      <c r="G13196">
        <v>230731</v>
      </c>
      <c r="H13196">
        <v>4400</v>
      </c>
      <c r="I13196" t="s">
        <v>348</v>
      </c>
      <c r="J13196">
        <v>279</v>
      </c>
      <c r="K13196">
        <v>54</v>
      </c>
      <c r="L13196">
        <v>54451</v>
      </c>
      <c r="M13196" t="s">
        <v>158</v>
      </c>
      <c r="N13196" t="str">
        <f>"88744       "</f>
        <v xml:space="preserve">88744       </v>
      </c>
      <c r="O13196">
        <v>230802</v>
      </c>
    </row>
    <row r="13197" spans="1:15" x14ac:dyDescent="0.25">
      <c r="A13197" t="s">
        <v>16</v>
      </c>
      <c r="B13197" t="s">
        <v>3221</v>
      </c>
      <c r="C13197">
        <v>9921</v>
      </c>
      <c r="D13197" t="s">
        <v>844</v>
      </c>
      <c r="E13197" t="s">
        <v>845</v>
      </c>
      <c r="F13197">
        <v>225</v>
      </c>
      <c r="G13197">
        <v>230731</v>
      </c>
      <c r="H13197">
        <v>4400</v>
      </c>
      <c r="I13197" t="s">
        <v>348</v>
      </c>
      <c r="J13197">
        <v>279</v>
      </c>
      <c r="K13197">
        <v>54</v>
      </c>
      <c r="L13197">
        <v>54422</v>
      </c>
      <c r="M13197" t="s">
        <v>234</v>
      </c>
      <c r="N13197" t="str">
        <f>"88746       "</f>
        <v xml:space="preserve">88746       </v>
      </c>
      <c r="O13197">
        <v>230802</v>
      </c>
    </row>
    <row r="13198" spans="1:15" x14ac:dyDescent="0.25">
      <c r="A13198" t="s">
        <v>16</v>
      </c>
      <c r="B13198" t="s">
        <v>3221</v>
      </c>
      <c r="C13198">
        <v>9921</v>
      </c>
      <c r="D13198" t="s">
        <v>844</v>
      </c>
      <c r="E13198" t="s">
        <v>845</v>
      </c>
      <c r="F13198">
        <v>225</v>
      </c>
      <c r="G13198">
        <v>230731</v>
      </c>
      <c r="H13198">
        <v>4400</v>
      </c>
      <c r="I13198" t="s">
        <v>348</v>
      </c>
      <c r="J13198">
        <v>279</v>
      </c>
      <c r="K13198">
        <v>54</v>
      </c>
      <c r="L13198">
        <v>54451</v>
      </c>
      <c r="M13198" t="s">
        <v>158</v>
      </c>
      <c r="N13198" t="str">
        <f>"88746       "</f>
        <v xml:space="preserve">88746       </v>
      </c>
      <c r="O13198">
        <v>230802</v>
      </c>
    </row>
    <row r="13199" spans="1:15" x14ac:dyDescent="0.25">
      <c r="A13199" t="s">
        <v>16</v>
      </c>
      <c r="B13199" t="s">
        <v>3221</v>
      </c>
      <c r="C13199">
        <v>9922</v>
      </c>
      <c r="D13199" t="s">
        <v>844</v>
      </c>
      <c r="E13199" t="s">
        <v>845</v>
      </c>
      <c r="F13199">
        <v>2419.35</v>
      </c>
      <c r="G13199">
        <v>230731</v>
      </c>
      <c r="H13199">
        <v>4400</v>
      </c>
      <c r="I13199" t="s">
        <v>348</v>
      </c>
      <c r="J13199">
        <v>3000</v>
      </c>
      <c r="K13199">
        <v>580.65</v>
      </c>
      <c r="L13199">
        <v>54422</v>
      </c>
      <c r="M13199" t="s">
        <v>234</v>
      </c>
      <c r="N13199" t="str">
        <f>"88536       "</f>
        <v xml:space="preserve">88536       </v>
      </c>
      <c r="O13199">
        <v>230802</v>
      </c>
    </row>
    <row r="13200" spans="1:15" x14ac:dyDescent="0.25">
      <c r="A13200" t="s">
        <v>16</v>
      </c>
      <c r="B13200" t="s">
        <v>3221</v>
      </c>
      <c r="C13200">
        <v>9922</v>
      </c>
      <c r="D13200" t="s">
        <v>844</v>
      </c>
      <c r="E13200" t="s">
        <v>845</v>
      </c>
      <c r="F13200">
        <v>230.65</v>
      </c>
      <c r="G13200">
        <v>230731</v>
      </c>
      <c r="H13200">
        <v>4400</v>
      </c>
      <c r="I13200" t="s">
        <v>348</v>
      </c>
      <c r="J13200">
        <v>286</v>
      </c>
      <c r="K13200">
        <v>55.35</v>
      </c>
      <c r="L13200">
        <v>54451</v>
      </c>
      <c r="M13200" t="s">
        <v>158</v>
      </c>
      <c r="N13200" t="str">
        <f>"88536       "</f>
        <v xml:space="preserve">88536       </v>
      </c>
      <c r="O13200">
        <v>230802</v>
      </c>
    </row>
    <row r="13201" spans="1:15" x14ac:dyDescent="0.25">
      <c r="A13201" t="s">
        <v>16</v>
      </c>
      <c r="B13201" t="s">
        <v>3221</v>
      </c>
      <c r="C13201">
        <v>9925</v>
      </c>
      <c r="D13201" t="s">
        <v>844</v>
      </c>
      <c r="E13201" t="s">
        <v>845</v>
      </c>
      <c r="F13201">
        <v>225</v>
      </c>
      <c r="G13201">
        <v>230731</v>
      </c>
      <c r="H13201">
        <v>4400</v>
      </c>
      <c r="I13201" t="s">
        <v>348</v>
      </c>
      <c r="J13201">
        <v>279</v>
      </c>
      <c r="K13201">
        <v>54</v>
      </c>
      <c r="L13201">
        <v>54422</v>
      </c>
      <c r="M13201" t="s">
        <v>234</v>
      </c>
      <c r="N13201" t="str">
        <f>"88745       "</f>
        <v xml:space="preserve">88745       </v>
      </c>
      <c r="O13201">
        <v>230802</v>
      </c>
    </row>
    <row r="13202" spans="1:15" x14ac:dyDescent="0.25">
      <c r="A13202" t="s">
        <v>16</v>
      </c>
      <c r="B13202" t="s">
        <v>3221</v>
      </c>
      <c r="C13202">
        <v>9925</v>
      </c>
      <c r="D13202" t="s">
        <v>844</v>
      </c>
      <c r="E13202" t="s">
        <v>845</v>
      </c>
      <c r="F13202">
        <v>225</v>
      </c>
      <c r="G13202">
        <v>230731</v>
      </c>
      <c r="H13202">
        <v>4400</v>
      </c>
      <c r="I13202" t="s">
        <v>348</v>
      </c>
      <c r="J13202">
        <v>279</v>
      </c>
      <c r="K13202">
        <v>54</v>
      </c>
      <c r="L13202">
        <v>54451</v>
      </c>
      <c r="M13202" t="s">
        <v>158</v>
      </c>
      <c r="N13202" t="str">
        <f>"88745       "</f>
        <v xml:space="preserve">88745       </v>
      </c>
      <c r="O13202">
        <v>230802</v>
      </c>
    </row>
    <row r="13203" spans="1:15" x14ac:dyDescent="0.25">
      <c r="A13203" t="s">
        <v>16</v>
      </c>
      <c r="B13203" t="s">
        <v>3221</v>
      </c>
      <c r="C13203">
        <v>10027</v>
      </c>
      <c r="D13203" t="s">
        <v>844</v>
      </c>
      <c r="E13203" t="s">
        <v>845</v>
      </c>
      <c r="F13203">
        <v>274.75</v>
      </c>
      <c r="G13203">
        <v>230731</v>
      </c>
      <c r="H13203">
        <v>4400</v>
      </c>
      <c r="I13203" t="s">
        <v>348</v>
      </c>
      <c r="J13203">
        <v>340.69</v>
      </c>
      <c r="K13203">
        <v>65.94</v>
      </c>
      <c r="L13203">
        <v>14422</v>
      </c>
      <c r="M13203" t="s">
        <v>228</v>
      </c>
      <c r="N13203" t="str">
        <f>"88646       "</f>
        <v xml:space="preserve">88646       </v>
      </c>
      <c r="O13203">
        <v>230807</v>
      </c>
    </row>
    <row r="13204" spans="1:15" x14ac:dyDescent="0.25">
      <c r="A13204" t="s">
        <v>16</v>
      </c>
      <c r="B13204" t="s">
        <v>3221</v>
      </c>
      <c r="C13204">
        <v>10027</v>
      </c>
      <c r="D13204" t="s">
        <v>844</v>
      </c>
      <c r="E13204" t="s">
        <v>845</v>
      </c>
      <c r="F13204">
        <v>274.75</v>
      </c>
      <c r="G13204">
        <v>230731</v>
      </c>
      <c r="H13204">
        <v>4400</v>
      </c>
      <c r="I13204" t="s">
        <v>348</v>
      </c>
      <c r="J13204">
        <v>340.69</v>
      </c>
      <c r="K13204">
        <v>65.94</v>
      </c>
      <c r="L13204">
        <v>14432</v>
      </c>
      <c r="M13204" t="s">
        <v>862</v>
      </c>
      <c r="N13204" t="str">
        <f>"88646       "</f>
        <v xml:space="preserve">88646       </v>
      </c>
      <c r="O13204">
        <v>230807</v>
      </c>
    </row>
    <row r="13205" spans="1:15" x14ac:dyDescent="0.25">
      <c r="A13205" t="s">
        <v>16</v>
      </c>
      <c r="B13205" t="s">
        <v>3221</v>
      </c>
      <c r="C13205">
        <v>10027</v>
      </c>
      <c r="D13205" t="s">
        <v>844</v>
      </c>
      <c r="E13205" t="s">
        <v>845</v>
      </c>
      <c r="F13205">
        <v>274.75</v>
      </c>
      <c r="G13205">
        <v>230731</v>
      </c>
      <c r="H13205">
        <v>4400</v>
      </c>
      <c r="I13205" t="s">
        <v>348</v>
      </c>
      <c r="J13205">
        <v>340.69</v>
      </c>
      <c r="K13205">
        <v>65.94</v>
      </c>
      <c r="L13205">
        <v>14640</v>
      </c>
      <c r="M13205" t="s">
        <v>229</v>
      </c>
      <c r="N13205" t="str">
        <f>"88646       "</f>
        <v xml:space="preserve">88646       </v>
      </c>
      <c r="O13205">
        <v>230807</v>
      </c>
    </row>
    <row r="13206" spans="1:15" x14ac:dyDescent="0.25">
      <c r="A13206" t="s">
        <v>16</v>
      </c>
      <c r="B13206" t="s">
        <v>3221</v>
      </c>
      <c r="C13206">
        <v>10027</v>
      </c>
      <c r="D13206" t="s">
        <v>844</v>
      </c>
      <c r="E13206" t="s">
        <v>845</v>
      </c>
      <c r="F13206">
        <v>274.75</v>
      </c>
      <c r="G13206">
        <v>230731</v>
      </c>
      <c r="H13206">
        <v>4400</v>
      </c>
      <c r="I13206" t="s">
        <v>348</v>
      </c>
      <c r="J13206">
        <v>340.69</v>
      </c>
      <c r="K13206">
        <v>65.94</v>
      </c>
      <c r="L13206">
        <v>14912</v>
      </c>
      <c r="M13206" t="s">
        <v>230</v>
      </c>
      <c r="N13206" t="str">
        <f>"88646       "</f>
        <v xml:space="preserve">88646       </v>
      </c>
      <c r="O13206">
        <v>230807</v>
      </c>
    </row>
    <row r="13207" spans="1:15" x14ac:dyDescent="0.25">
      <c r="A13207" t="s">
        <v>16</v>
      </c>
      <c r="B13207" t="s">
        <v>3221</v>
      </c>
      <c r="C13207">
        <v>10028</v>
      </c>
      <c r="D13207" t="s">
        <v>844</v>
      </c>
      <c r="E13207" t="s">
        <v>845</v>
      </c>
      <c r="F13207">
        <v>282.82</v>
      </c>
      <c r="G13207">
        <v>230731</v>
      </c>
      <c r="H13207">
        <v>4400</v>
      </c>
      <c r="I13207" t="s">
        <v>348</v>
      </c>
      <c r="J13207">
        <v>350.7</v>
      </c>
      <c r="K13207">
        <v>67.88</v>
      </c>
      <c r="L13207">
        <v>14912</v>
      </c>
      <c r="M13207" t="s">
        <v>230</v>
      </c>
      <c r="N13207" t="str">
        <f>"88647       "</f>
        <v xml:space="preserve">88647       </v>
      </c>
      <c r="O13207">
        <v>230807</v>
      </c>
    </row>
    <row r="13208" spans="1:15" x14ac:dyDescent="0.25">
      <c r="A13208" t="s">
        <v>16</v>
      </c>
      <c r="B13208" t="s">
        <v>3221</v>
      </c>
      <c r="C13208">
        <v>10252</v>
      </c>
      <c r="D13208" t="s">
        <v>844</v>
      </c>
      <c r="E13208" t="s">
        <v>845</v>
      </c>
      <c r="F13208">
        <v>121.31</v>
      </c>
      <c r="G13208">
        <v>230808</v>
      </c>
      <c r="H13208">
        <v>4400</v>
      </c>
      <c r="I13208" t="s">
        <v>348</v>
      </c>
      <c r="J13208">
        <v>150.41999999999999</v>
      </c>
      <c r="K13208">
        <v>29.11</v>
      </c>
      <c r="L13208">
        <v>13552</v>
      </c>
      <c r="M13208" t="s">
        <v>624</v>
      </c>
      <c r="N13208" t="str">
        <f>"89517       "</f>
        <v xml:space="preserve">89517       </v>
      </c>
      <c r="O13208">
        <v>230810</v>
      </c>
    </row>
    <row r="13209" spans="1:15" x14ac:dyDescent="0.25">
      <c r="A13209" t="s">
        <v>16</v>
      </c>
      <c r="B13209" t="s">
        <v>3221</v>
      </c>
      <c r="C13209">
        <v>10252</v>
      </c>
      <c r="D13209" t="s">
        <v>844</v>
      </c>
      <c r="E13209" t="s">
        <v>845</v>
      </c>
      <c r="F13209">
        <v>981.49</v>
      </c>
      <c r="G13209">
        <v>230808</v>
      </c>
      <c r="H13209">
        <v>4400</v>
      </c>
      <c r="I13209" t="s">
        <v>348</v>
      </c>
      <c r="J13209">
        <v>1217.05</v>
      </c>
      <c r="K13209">
        <v>235.56</v>
      </c>
      <c r="L13209">
        <v>17918</v>
      </c>
      <c r="M13209" t="s">
        <v>137</v>
      </c>
      <c r="N13209" t="str">
        <f>"89517       "</f>
        <v xml:space="preserve">89517       </v>
      </c>
      <c r="O13209">
        <v>230810</v>
      </c>
    </row>
    <row r="13210" spans="1:15" x14ac:dyDescent="0.25">
      <c r="A13210" t="s">
        <v>16</v>
      </c>
      <c r="B13210" t="s">
        <v>3221</v>
      </c>
      <c r="C13210">
        <v>10303</v>
      </c>
      <c r="D13210" t="s">
        <v>844</v>
      </c>
      <c r="E13210" t="s">
        <v>845</v>
      </c>
      <c r="F13210">
        <v>282.76</v>
      </c>
      <c r="G13210">
        <v>230808</v>
      </c>
      <c r="H13210">
        <v>4400</v>
      </c>
      <c r="I13210" t="s">
        <v>348</v>
      </c>
      <c r="J13210">
        <v>350.62</v>
      </c>
      <c r="K13210">
        <v>67.86</v>
      </c>
      <c r="L13210">
        <v>59114</v>
      </c>
      <c r="M13210" t="s">
        <v>556</v>
      </c>
      <c r="N13210" t="str">
        <f>"89560       "</f>
        <v xml:space="preserve">89560       </v>
      </c>
      <c r="O13210">
        <v>230814</v>
      </c>
    </row>
    <row r="13211" spans="1:15" x14ac:dyDescent="0.25">
      <c r="A13211" t="s">
        <v>16</v>
      </c>
      <c r="B13211" t="s">
        <v>3221</v>
      </c>
      <c r="C13211">
        <v>10306</v>
      </c>
      <c r="D13211" t="s">
        <v>844</v>
      </c>
      <c r="E13211" t="s">
        <v>845</v>
      </c>
      <c r="F13211">
        <v>14.09</v>
      </c>
      <c r="G13211">
        <v>230809</v>
      </c>
      <c r="H13211">
        <v>4400</v>
      </c>
      <c r="I13211" t="s">
        <v>348</v>
      </c>
      <c r="J13211">
        <v>17.47</v>
      </c>
      <c r="K13211">
        <v>3.38</v>
      </c>
      <c r="L13211">
        <v>13552</v>
      </c>
      <c r="M13211" t="s">
        <v>624</v>
      </c>
      <c r="N13211" t="str">
        <f>"89629       "</f>
        <v xml:space="preserve">89629       </v>
      </c>
      <c r="O13211">
        <v>230814</v>
      </c>
    </row>
    <row r="13212" spans="1:15" x14ac:dyDescent="0.25">
      <c r="A13212" t="s">
        <v>16</v>
      </c>
      <c r="B13212" t="s">
        <v>3221</v>
      </c>
      <c r="C13212">
        <v>10306</v>
      </c>
      <c r="D13212" t="s">
        <v>844</v>
      </c>
      <c r="E13212" t="s">
        <v>845</v>
      </c>
      <c r="F13212">
        <v>114</v>
      </c>
      <c r="G13212">
        <v>230809</v>
      </c>
      <c r="H13212">
        <v>4400</v>
      </c>
      <c r="I13212" t="s">
        <v>348</v>
      </c>
      <c r="J13212">
        <v>141.36000000000001</v>
      </c>
      <c r="K13212">
        <v>27.36</v>
      </c>
      <c r="L13212">
        <v>17918</v>
      </c>
      <c r="M13212" t="s">
        <v>137</v>
      </c>
      <c r="N13212" t="str">
        <f>"89629       "</f>
        <v xml:space="preserve">89629       </v>
      </c>
      <c r="O13212">
        <v>230814</v>
      </c>
    </row>
    <row r="13213" spans="1:15" x14ac:dyDescent="0.25">
      <c r="A13213" t="s">
        <v>16</v>
      </c>
      <c r="B13213" t="s">
        <v>3221</v>
      </c>
      <c r="C13213">
        <v>10308</v>
      </c>
      <c r="D13213" t="s">
        <v>844</v>
      </c>
      <c r="E13213" t="s">
        <v>845</v>
      </c>
      <c r="F13213">
        <v>51.08</v>
      </c>
      <c r="G13213">
        <v>230809</v>
      </c>
      <c r="H13213">
        <v>4400</v>
      </c>
      <c r="I13213" t="s">
        <v>348</v>
      </c>
      <c r="J13213">
        <v>63.34</v>
      </c>
      <c r="K13213">
        <v>12.26</v>
      </c>
      <c r="L13213">
        <v>13552</v>
      </c>
      <c r="M13213" t="s">
        <v>624</v>
      </c>
      <c r="N13213" t="str">
        <f>"89628       "</f>
        <v xml:space="preserve">89628       </v>
      </c>
      <c r="O13213">
        <v>230814</v>
      </c>
    </row>
    <row r="13214" spans="1:15" x14ac:dyDescent="0.25">
      <c r="A13214" t="s">
        <v>16</v>
      </c>
      <c r="B13214" t="s">
        <v>3221</v>
      </c>
      <c r="C13214">
        <v>10308</v>
      </c>
      <c r="D13214" t="s">
        <v>844</v>
      </c>
      <c r="E13214" t="s">
        <v>845</v>
      </c>
      <c r="F13214">
        <v>413.32</v>
      </c>
      <c r="G13214">
        <v>230809</v>
      </c>
      <c r="H13214">
        <v>4400</v>
      </c>
      <c r="I13214" t="s">
        <v>348</v>
      </c>
      <c r="J13214">
        <v>512.52</v>
      </c>
      <c r="K13214">
        <v>99.2</v>
      </c>
      <c r="L13214">
        <v>17918</v>
      </c>
      <c r="M13214" t="s">
        <v>137</v>
      </c>
      <c r="N13214" t="str">
        <f>"89628       "</f>
        <v xml:space="preserve">89628       </v>
      </c>
      <c r="O13214">
        <v>230814</v>
      </c>
    </row>
    <row r="13215" spans="1:15" x14ac:dyDescent="0.25">
      <c r="A13215" t="s">
        <v>16</v>
      </c>
      <c r="B13215" t="s">
        <v>3221</v>
      </c>
      <c r="C13215">
        <v>10420</v>
      </c>
      <c r="D13215" t="s">
        <v>844</v>
      </c>
      <c r="E13215" t="s">
        <v>845</v>
      </c>
      <c r="F13215">
        <v>3827.47</v>
      </c>
      <c r="G13215">
        <v>230814</v>
      </c>
      <c r="H13215">
        <v>4400</v>
      </c>
      <c r="I13215" t="s">
        <v>348</v>
      </c>
      <c r="J13215">
        <v>4746.0600000000004</v>
      </c>
      <c r="K13215">
        <v>918.59</v>
      </c>
      <c r="L13215">
        <v>59114</v>
      </c>
      <c r="M13215" t="s">
        <v>556</v>
      </c>
      <c r="N13215" t="str">
        <f>"90097       "</f>
        <v xml:space="preserve">90097       </v>
      </c>
      <c r="O13215">
        <v>230815</v>
      </c>
    </row>
    <row r="13216" spans="1:15" x14ac:dyDescent="0.25">
      <c r="A13216" t="s">
        <v>16</v>
      </c>
      <c r="B13216" t="s">
        <v>3221</v>
      </c>
      <c r="C13216">
        <v>10637</v>
      </c>
      <c r="D13216" t="s">
        <v>844</v>
      </c>
      <c r="E13216" t="s">
        <v>845</v>
      </c>
      <c r="F13216">
        <v>341.5</v>
      </c>
      <c r="G13216">
        <v>230807</v>
      </c>
      <c r="H13216">
        <v>4400</v>
      </c>
      <c r="I13216" t="s">
        <v>348</v>
      </c>
      <c r="J13216">
        <v>423.46</v>
      </c>
      <c r="K13216">
        <v>81.96</v>
      </c>
      <c r="L13216">
        <v>14431</v>
      </c>
      <c r="M13216" t="s">
        <v>861</v>
      </c>
      <c r="N13216" t="str">
        <f>"89094       "</f>
        <v xml:space="preserve">89094       </v>
      </c>
      <c r="O13216">
        <v>230821</v>
      </c>
    </row>
    <row r="13217" spans="1:15" x14ac:dyDescent="0.25">
      <c r="A13217" t="s">
        <v>16</v>
      </c>
      <c r="B13217" t="s">
        <v>3221</v>
      </c>
      <c r="C13217">
        <v>10637</v>
      </c>
      <c r="D13217" t="s">
        <v>844</v>
      </c>
      <c r="E13217" t="s">
        <v>845</v>
      </c>
      <c r="F13217">
        <v>341.5</v>
      </c>
      <c r="G13217">
        <v>230807</v>
      </c>
      <c r="H13217">
        <v>4400</v>
      </c>
      <c r="I13217" t="s">
        <v>348</v>
      </c>
      <c r="J13217">
        <v>423.46</v>
      </c>
      <c r="K13217">
        <v>81.96</v>
      </c>
      <c r="L13217">
        <v>14642</v>
      </c>
      <c r="M13217" t="s">
        <v>863</v>
      </c>
      <c r="N13217" t="str">
        <f>"89094       "</f>
        <v xml:space="preserve">89094       </v>
      </c>
      <c r="O13217">
        <v>230821</v>
      </c>
    </row>
    <row r="13218" spans="1:15" x14ac:dyDescent="0.25">
      <c r="A13218" t="s">
        <v>16</v>
      </c>
      <c r="B13218" t="s">
        <v>3221</v>
      </c>
      <c r="C13218">
        <v>10637</v>
      </c>
      <c r="D13218" t="s">
        <v>844</v>
      </c>
      <c r="E13218" t="s">
        <v>845</v>
      </c>
      <c r="F13218">
        <v>341.5</v>
      </c>
      <c r="G13218">
        <v>230807</v>
      </c>
      <c r="H13218">
        <v>4400</v>
      </c>
      <c r="I13218" t="s">
        <v>348</v>
      </c>
      <c r="J13218">
        <v>423.46</v>
      </c>
      <c r="K13218">
        <v>81.96</v>
      </c>
      <c r="L13218">
        <v>14912</v>
      </c>
      <c r="M13218" t="s">
        <v>230</v>
      </c>
      <c r="N13218" t="str">
        <f>"89094       "</f>
        <v xml:space="preserve">89094       </v>
      </c>
      <c r="O13218">
        <v>230821</v>
      </c>
    </row>
    <row r="13219" spans="1:15" x14ac:dyDescent="0.25">
      <c r="A13219" t="s">
        <v>16</v>
      </c>
      <c r="B13219" t="s">
        <v>3221</v>
      </c>
      <c r="C13219">
        <v>10661</v>
      </c>
      <c r="D13219" t="s">
        <v>844</v>
      </c>
      <c r="E13219" t="s">
        <v>845</v>
      </c>
      <c r="F13219">
        <v>115.98</v>
      </c>
      <c r="G13219">
        <v>230817</v>
      </c>
      <c r="H13219">
        <v>4400</v>
      </c>
      <c r="I13219" t="s">
        <v>348</v>
      </c>
      <c r="J13219">
        <v>143.81</v>
      </c>
      <c r="K13219">
        <v>27.83</v>
      </c>
      <c r="L13219">
        <v>13540</v>
      </c>
      <c r="M13219" t="s">
        <v>85</v>
      </c>
      <c r="N13219" t="str">
        <f>"90356       "</f>
        <v xml:space="preserve">90356       </v>
      </c>
      <c r="O13219">
        <v>230821</v>
      </c>
    </row>
    <row r="13220" spans="1:15" x14ac:dyDescent="0.25">
      <c r="A13220" t="s">
        <v>16</v>
      </c>
      <c r="B13220" t="s">
        <v>3221</v>
      </c>
      <c r="C13220">
        <v>10661</v>
      </c>
      <c r="D13220" t="s">
        <v>844</v>
      </c>
      <c r="E13220" t="s">
        <v>845</v>
      </c>
      <c r="F13220">
        <v>938.37</v>
      </c>
      <c r="G13220">
        <v>230817</v>
      </c>
      <c r="H13220">
        <v>4400</v>
      </c>
      <c r="I13220" t="s">
        <v>348</v>
      </c>
      <c r="J13220">
        <v>1163.58</v>
      </c>
      <c r="K13220">
        <v>225.21</v>
      </c>
      <c r="L13220">
        <v>17918</v>
      </c>
      <c r="M13220" t="s">
        <v>137</v>
      </c>
      <c r="N13220" t="str">
        <f>"90356       "</f>
        <v xml:space="preserve">90356       </v>
      </c>
      <c r="O13220">
        <v>230821</v>
      </c>
    </row>
    <row r="13221" spans="1:15" x14ac:dyDescent="0.25">
      <c r="A13221" t="s">
        <v>16</v>
      </c>
      <c r="B13221" t="s">
        <v>3221</v>
      </c>
      <c r="C13221">
        <v>10670</v>
      </c>
      <c r="D13221" t="s">
        <v>844</v>
      </c>
      <c r="E13221" t="s">
        <v>845</v>
      </c>
      <c r="F13221">
        <v>412.4</v>
      </c>
      <c r="G13221">
        <v>230817</v>
      </c>
      <c r="H13221">
        <v>4400</v>
      </c>
      <c r="I13221" t="s">
        <v>348</v>
      </c>
      <c r="J13221">
        <v>511.38</v>
      </c>
      <c r="K13221">
        <v>98.98</v>
      </c>
      <c r="L13221">
        <v>54422</v>
      </c>
      <c r="M13221" t="s">
        <v>234</v>
      </c>
      <c r="N13221" t="str">
        <f>"90346       "</f>
        <v xml:space="preserve">90346       </v>
      </c>
      <c r="O13221">
        <v>230821</v>
      </c>
    </row>
    <row r="13222" spans="1:15" x14ac:dyDescent="0.25">
      <c r="A13222" t="s">
        <v>16</v>
      </c>
      <c r="B13222" t="s">
        <v>3221</v>
      </c>
      <c r="C13222">
        <v>10670</v>
      </c>
      <c r="D13222" t="s">
        <v>844</v>
      </c>
      <c r="E13222" t="s">
        <v>845</v>
      </c>
      <c r="F13222">
        <v>412.41</v>
      </c>
      <c r="G13222">
        <v>230817</v>
      </c>
      <c r="H13222">
        <v>4400</v>
      </c>
      <c r="I13222" t="s">
        <v>348</v>
      </c>
      <c r="J13222">
        <v>511.39</v>
      </c>
      <c r="K13222">
        <v>98.98</v>
      </c>
      <c r="L13222">
        <v>54451</v>
      </c>
      <c r="M13222" t="s">
        <v>158</v>
      </c>
      <c r="N13222" t="str">
        <f>"90346       "</f>
        <v xml:space="preserve">90346       </v>
      </c>
      <c r="O13222">
        <v>230821</v>
      </c>
    </row>
    <row r="13223" spans="1:15" x14ac:dyDescent="0.25">
      <c r="A13223" t="s">
        <v>16</v>
      </c>
      <c r="B13223" t="s">
        <v>3221</v>
      </c>
      <c r="C13223">
        <v>10671</v>
      </c>
      <c r="D13223" t="s">
        <v>844</v>
      </c>
      <c r="E13223" t="s">
        <v>845</v>
      </c>
      <c r="F13223">
        <v>948.73</v>
      </c>
      <c r="G13223">
        <v>230817</v>
      </c>
      <c r="H13223">
        <v>4400</v>
      </c>
      <c r="I13223" t="s">
        <v>348</v>
      </c>
      <c r="J13223">
        <v>1176.43</v>
      </c>
      <c r="K13223">
        <v>227.7</v>
      </c>
      <c r="L13223">
        <v>54451</v>
      </c>
      <c r="M13223" t="s">
        <v>158</v>
      </c>
      <c r="N13223" t="str">
        <f>"90345       "</f>
        <v xml:space="preserve">90345       </v>
      </c>
      <c r="O13223">
        <v>230821</v>
      </c>
    </row>
    <row r="13224" spans="1:15" x14ac:dyDescent="0.25">
      <c r="A13224" t="s">
        <v>16</v>
      </c>
      <c r="B13224" t="s">
        <v>3221</v>
      </c>
      <c r="C13224">
        <v>10992</v>
      </c>
      <c r="D13224" t="s">
        <v>844</v>
      </c>
      <c r="E13224" t="s">
        <v>845</v>
      </c>
      <c r="F13224">
        <v>137.88</v>
      </c>
      <c r="G13224">
        <v>230822</v>
      </c>
      <c r="H13224">
        <v>4400</v>
      </c>
      <c r="I13224" t="s">
        <v>348</v>
      </c>
      <c r="J13224">
        <v>170.97</v>
      </c>
      <c r="K13224">
        <v>33.090000000000003</v>
      </c>
      <c r="L13224">
        <v>13552</v>
      </c>
      <c r="M13224" t="s">
        <v>624</v>
      </c>
      <c r="N13224" t="str">
        <f>"90769       "</f>
        <v xml:space="preserve">90769       </v>
      </c>
      <c r="O13224">
        <v>230828</v>
      </c>
    </row>
    <row r="13225" spans="1:15" x14ac:dyDescent="0.25">
      <c r="A13225" t="s">
        <v>16</v>
      </c>
      <c r="B13225" t="s">
        <v>3221</v>
      </c>
      <c r="C13225">
        <v>10992</v>
      </c>
      <c r="D13225" t="s">
        <v>844</v>
      </c>
      <c r="E13225" t="s">
        <v>845</v>
      </c>
      <c r="F13225">
        <v>1115.5899999999999</v>
      </c>
      <c r="G13225">
        <v>230822</v>
      </c>
      <c r="H13225">
        <v>4400</v>
      </c>
      <c r="I13225" t="s">
        <v>348</v>
      </c>
      <c r="J13225">
        <v>1383.33</v>
      </c>
      <c r="K13225">
        <v>267.74</v>
      </c>
      <c r="L13225">
        <v>17918</v>
      </c>
      <c r="M13225" t="s">
        <v>137</v>
      </c>
      <c r="N13225" t="str">
        <f>"90769       "</f>
        <v xml:space="preserve">90769       </v>
      </c>
      <c r="O13225">
        <v>230828</v>
      </c>
    </row>
    <row r="13226" spans="1:15" x14ac:dyDescent="0.25">
      <c r="A13226" t="s">
        <v>16</v>
      </c>
      <c r="B13226" t="s">
        <v>3221</v>
      </c>
      <c r="C13226">
        <v>11150</v>
      </c>
      <c r="D13226" t="s">
        <v>844</v>
      </c>
      <c r="E13226" t="s">
        <v>845</v>
      </c>
      <c r="F13226">
        <v>317.63</v>
      </c>
      <c r="G13226">
        <v>230828</v>
      </c>
      <c r="H13226">
        <v>4400</v>
      </c>
      <c r="I13226" t="s">
        <v>348</v>
      </c>
      <c r="J13226">
        <v>393.86</v>
      </c>
      <c r="K13226">
        <v>76.23</v>
      </c>
      <c r="L13226">
        <v>59502</v>
      </c>
      <c r="M13226" t="s">
        <v>70</v>
      </c>
      <c r="N13226" t="str">
        <f>"91196       "</f>
        <v xml:space="preserve">91196       </v>
      </c>
      <c r="O13226">
        <v>230830</v>
      </c>
    </row>
    <row r="13227" spans="1:15" x14ac:dyDescent="0.25">
      <c r="A13227" t="s">
        <v>16</v>
      </c>
      <c r="B13227" t="s">
        <v>3221</v>
      </c>
      <c r="C13227">
        <v>11150</v>
      </c>
      <c r="D13227" t="s">
        <v>844</v>
      </c>
      <c r="E13227" t="s">
        <v>845</v>
      </c>
      <c r="F13227">
        <v>203.07</v>
      </c>
      <c r="G13227">
        <v>230828</v>
      </c>
      <c r="H13227">
        <v>4400</v>
      </c>
      <c r="I13227" t="s">
        <v>348</v>
      </c>
      <c r="J13227">
        <v>251.81</v>
      </c>
      <c r="K13227">
        <v>48.74</v>
      </c>
      <c r="L13227">
        <v>59802</v>
      </c>
      <c r="M13227" t="s">
        <v>73</v>
      </c>
      <c r="N13227" t="str">
        <f>"91196       "</f>
        <v xml:space="preserve">91196       </v>
      </c>
      <c r="O13227">
        <v>230830</v>
      </c>
    </row>
    <row r="13228" spans="1:15" x14ac:dyDescent="0.25">
      <c r="A13228" t="s">
        <v>16</v>
      </c>
      <c r="B13228" t="s">
        <v>3221</v>
      </c>
      <c r="C13228">
        <v>12052</v>
      </c>
      <c r="D13228" t="s">
        <v>844</v>
      </c>
      <c r="E13228" t="s">
        <v>845</v>
      </c>
      <c r="F13228">
        <v>1353</v>
      </c>
      <c r="G13228">
        <v>230907</v>
      </c>
      <c r="H13228">
        <v>4400</v>
      </c>
      <c r="I13228" t="s">
        <v>348</v>
      </c>
      <c r="J13228">
        <v>1677.72</v>
      </c>
      <c r="K13228">
        <v>324.72000000000003</v>
      </c>
      <c r="L13228">
        <v>14952</v>
      </c>
      <c r="M13228" t="s">
        <v>99</v>
      </c>
      <c r="N13228" t="str">
        <f>"93124       "</f>
        <v xml:space="preserve">93124       </v>
      </c>
      <c r="O13228">
        <v>230913</v>
      </c>
    </row>
    <row r="13229" spans="1:15" x14ac:dyDescent="0.25">
      <c r="A13229" t="s">
        <v>16</v>
      </c>
      <c r="B13229" t="s">
        <v>3221</v>
      </c>
      <c r="C13229">
        <v>12052</v>
      </c>
      <c r="D13229" t="s">
        <v>844</v>
      </c>
      <c r="E13229" t="s">
        <v>845</v>
      </c>
      <c r="F13229">
        <v>3157</v>
      </c>
      <c r="G13229">
        <v>230907</v>
      </c>
      <c r="H13229">
        <v>4400</v>
      </c>
      <c r="I13229" t="s">
        <v>348</v>
      </c>
      <c r="J13229">
        <v>3914.68</v>
      </c>
      <c r="K13229">
        <v>757.68</v>
      </c>
      <c r="L13229">
        <v>14981</v>
      </c>
      <c r="M13229" t="s">
        <v>1211</v>
      </c>
      <c r="N13229" t="str">
        <f>"93124       "</f>
        <v xml:space="preserve">93124       </v>
      </c>
      <c r="O13229">
        <v>230913</v>
      </c>
    </row>
    <row r="13230" spans="1:15" x14ac:dyDescent="0.25">
      <c r="A13230" t="s">
        <v>16</v>
      </c>
      <c r="B13230" t="s">
        <v>3221</v>
      </c>
      <c r="C13230">
        <v>12246</v>
      </c>
      <c r="D13230" t="s">
        <v>844</v>
      </c>
      <c r="E13230" t="s">
        <v>845</v>
      </c>
      <c r="F13230">
        <v>5966.59</v>
      </c>
      <c r="G13230">
        <v>230831</v>
      </c>
      <c r="H13230">
        <v>4400</v>
      </c>
      <c r="I13230" t="s">
        <v>348</v>
      </c>
      <c r="J13230">
        <v>7398.57</v>
      </c>
      <c r="K13230">
        <v>1431.98</v>
      </c>
      <c r="L13230">
        <v>49501</v>
      </c>
      <c r="M13230" t="s">
        <v>177</v>
      </c>
      <c r="N13230" t="str">
        <f>"92935       "</f>
        <v xml:space="preserve">92935       </v>
      </c>
      <c r="O13230">
        <v>230918</v>
      </c>
    </row>
    <row r="13231" spans="1:15" x14ac:dyDescent="0.25">
      <c r="A13231" t="s">
        <v>16</v>
      </c>
      <c r="B13231" t="s">
        <v>3221</v>
      </c>
      <c r="C13231">
        <v>13035</v>
      </c>
      <c r="D13231" t="s">
        <v>844</v>
      </c>
      <c r="E13231" t="s">
        <v>845</v>
      </c>
      <c r="F13231">
        <v>33.369999999999997</v>
      </c>
      <c r="G13231">
        <v>230928</v>
      </c>
      <c r="H13231">
        <v>4400</v>
      </c>
      <c r="I13231" t="s">
        <v>348</v>
      </c>
      <c r="J13231">
        <v>41.38</v>
      </c>
      <c r="K13231">
        <v>8.01</v>
      </c>
      <c r="L13231">
        <v>13552</v>
      </c>
      <c r="M13231" t="s">
        <v>624</v>
      </c>
      <c r="N13231" t="str">
        <f>"95483       "</f>
        <v xml:space="preserve">95483       </v>
      </c>
      <c r="O13231">
        <v>231002</v>
      </c>
    </row>
    <row r="13232" spans="1:15" x14ac:dyDescent="0.25">
      <c r="A13232" t="s">
        <v>16</v>
      </c>
      <c r="B13232" t="s">
        <v>3221</v>
      </c>
      <c r="C13232">
        <v>13035</v>
      </c>
      <c r="D13232" t="s">
        <v>844</v>
      </c>
      <c r="E13232" t="s">
        <v>845</v>
      </c>
      <c r="F13232">
        <v>269.97000000000003</v>
      </c>
      <c r="G13232">
        <v>230928</v>
      </c>
      <c r="H13232">
        <v>4400</v>
      </c>
      <c r="I13232" t="s">
        <v>348</v>
      </c>
      <c r="J13232">
        <v>334.76</v>
      </c>
      <c r="K13232">
        <v>64.790000000000006</v>
      </c>
      <c r="L13232">
        <v>17913</v>
      </c>
      <c r="M13232" t="s">
        <v>431</v>
      </c>
      <c r="N13232" t="str">
        <f>"95483       "</f>
        <v xml:space="preserve">95483       </v>
      </c>
      <c r="O13232">
        <v>231002</v>
      </c>
    </row>
    <row r="13233" spans="1:15" x14ac:dyDescent="0.25">
      <c r="A13233" t="s">
        <v>16</v>
      </c>
      <c r="B13233" t="s">
        <v>3221</v>
      </c>
      <c r="C13233">
        <v>13556</v>
      </c>
      <c r="D13233" t="s">
        <v>844</v>
      </c>
      <c r="E13233" t="s">
        <v>845</v>
      </c>
      <c r="F13233">
        <v>294.52</v>
      </c>
      <c r="G13233">
        <v>231009</v>
      </c>
      <c r="H13233">
        <v>4400</v>
      </c>
      <c r="I13233" t="s">
        <v>348</v>
      </c>
      <c r="J13233">
        <v>365.2</v>
      </c>
      <c r="K13233">
        <v>70.680000000000007</v>
      </c>
      <c r="L13233">
        <v>59113</v>
      </c>
      <c r="M13233" t="s">
        <v>235</v>
      </c>
      <c r="N13233" t="str">
        <f>"96146       "</f>
        <v xml:space="preserve">96146       </v>
      </c>
      <c r="O13233">
        <v>231011</v>
      </c>
    </row>
    <row r="13234" spans="1:15" x14ac:dyDescent="0.25">
      <c r="A13234" t="s">
        <v>16</v>
      </c>
      <c r="B13234" t="s">
        <v>3221</v>
      </c>
      <c r="C13234">
        <v>13631</v>
      </c>
      <c r="D13234" t="s">
        <v>844</v>
      </c>
      <c r="E13234" t="s">
        <v>845</v>
      </c>
      <c r="F13234">
        <v>49.98</v>
      </c>
      <c r="G13234">
        <v>230930</v>
      </c>
      <c r="H13234">
        <v>4400</v>
      </c>
      <c r="I13234" t="s">
        <v>348</v>
      </c>
      <c r="J13234">
        <v>61.98</v>
      </c>
      <c r="K13234">
        <v>12</v>
      </c>
      <c r="L13234">
        <v>13540</v>
      </c>
      <c r="M13234" t="s">
        <v>85</v>
      </c>
      <c r="N13234" t="str">
        <f>"96272       "</f>
        <v xml:space="preserve">96272       </v>
      </c>
      <c r="O13234">
        <v>231012</v>
      </c>
    </row>
    <row r="13235" spans="1:15" x14ac:dyDescent="0.25">
      <c r="A13235" t="s">
        <v>16</v>
      </c>
      <c r="B13235" t="s">
        <v>3221</v>
      </c>
      <c r="C13235">
        <v>13631</v>
      </c>
      <c r="D13235" t="s">
        <v>844</v>
      </c>
      <c r="E13235" t="s">
        <v>845</v>
      </c>
      <c r="F13235">
        <v>404.38</v>
      </c>
      <c r="G13235">
        <v>230930</v>
      </c>
      <c r="H13235">
        <v>4400</v>
      </c>
      <c r="I13235" t="s">
        <v>348</v>
      </c>
      <c r="J13235">
        <v>501.43</v>
      </c>
      <c r="K13235">
        <v>97.05</v>
      </c>
      <c r="L13235">
        <v>17950</v>
      </c>
      <c r="M13235" t="s">
        <v>86</v>
      </c>
      <c r="N13235" t="str">
        <f>"96272       "</f>
        <v xml:space="preserve">96272       </v>
      </c>
      <c r="O13235">
        <v>231012</v>
      </c>
    </row>
    <row r="13236" spans="1:15" x14ac:dyDescent="0.25">
      <c r="A13236" t="s">
        <v>16</v>
      </c>
      <c r="B13236" t="s">
        <v>3221</v>
      </c>
      <c r="C13236">
        <v>13774</v>
      </c>
      <c r="D13236" t="s">
        <v>844</v>
      </c>
      <c r="E13236" t="s">
        <v>845</v>
      </c>
      <c r="F13236">
        <v>295.97000000000003</v>
      </c>
      <c r="G13236">
        <v>231011</v>
      </c>
      <c r="H13236">
        <v>4400</v>
      </c>
      <c r="I13236" t="s">
        <v>348</v>
      </c>
      <c r="J13236">
        <v>367</v>
      </c>
      <c r="K13236">
        <v>71.03</v>
      </c>
      <c r="L13236">
        <v>14432</v>
      </c>
      <c r="M13236" t="s">
        <v>862</v>
      </c>
      <c r="N13236" t="str">
        <f>"97242       "</f>
        <v xml:space="preserve">97242       </v>
      </c>
      <c r="O13236">
        <v>231013</v>
      </c>
    </row>
    <row r="13237" spans="1:15" x14ac:dyDescent="0.25">
      <c r="A13237" t="s">
        <v>16</v>
      </c>
      <c r="B13237" t="s">
        <v>3221</v>
      </c>
      <c r="C13237">
        <v>13776</v>
      </c>
      <c r="D13237" t="s">
        <v>844</v>
      </c>
      <c r="E13237" t="s">
        <v>845</v>
      </c>
      <c r="F13237">
        <v>535.64</v>
      </c>
      <c r="G13237">
        <v>231011</v>
      </c>
      <c r="H13237">
        <v>4400</v>
      </c>
      <c r="I13237" t="s">
        <v>348</v>
      </c>
      <c r="J13237">
        <v>664.19</v>
      </c>
      <c r="K13237">
        <v>128.55000000000001</v>
      </c>
      <c r="L13237">
        <v>59113</v>
      </c>
      <c r="M13237" t="s">
        <v>235</v>
      </c>
      <c r="N13237" t="str">
        <f>"97364       "</f>
        <v xml:space="preserve">97364       </v>
      </c>
      <c r="O13237">
        <v>231013</v>
      </c>
    </row>
    <row r="13238" spans="1:15" x14ac:dyDescent="0.25">
      <c r="A13238" t="s">
        <v>16</v>
      </c>
      <c r="B13238" t="s">
        <v>3221</v>
      </c>
      <c r="C13238">
        <v>14217</v>
      </c>
      <c r="D13238" t="s">
        <v>844</v>
      </c>
      <c r="E13238" t="s">
        <v>845</v>
      </c>
      <c r="F13238">
        <v>6261.94</v>
      </c>
      <c r="G13238">
        <v>231012</v>
      </c>
      <c r="H13238">
        <v>4400</v>
      </c>
      <c r="I13238" t="s">
        <v>348</v>
      </c>
      <c r="J13238">
        <v>7764.81</v>
      </c>
      <c r="K13238">
        <v>1502.87</v>
      </c>
      <c r="L13238">
        <v>49501</v>
      </c>
      <c r="M13238" t="s">
        <v>177</v>
      </c>
      <c r="N13238" t="str">
        <f>"97474       "</f>
        <v xml:space="preserve">97474       </v>
      </c>
      <c r="O13238">
        <v>231024</v>
      </c>
    </row>
    <row r="13239" spans="1:15" x14ac:dyDescent="0.25">
      <c r="A13239" t="s">
        <v>16</v>
      </c>
      <c r="B13239" t="s">
        <v>3221</v>
      </c>
      <c r="C13239">
        <v>14221</v>
      </c>
      <c r="D13239" t="s">
        <v>844</v>
      </c>
      <c r="E13239" t="s">
        <v>845</v>
      </c>
      <c r="F13239">
        <v>2038.27</v>
      </c>
      <c r="G13239">
        <v>231012</v>
      </c>
      <c r="H13239">
        <v>4400</v>
      </c>
      <c r="I13239" t="s">
        <v>348</v>
      </c>
      <c r="J13239">
        <v>2527.46</v>
      </c>
      <c r="K13239">
        <v>489.19</v>
      </c>
      <c r="L13239">
        <v>49501</v>
      </c>
      <c r="M13239" t="s">
        <v>177</v>
      </c>
      <c r="N13239" t="str">
        <f>"97472       "</f>
        <v xml:space="preserve">97472       </v>
      </c>
      <c r="O13239">
        <v>231024</v>
      </c>
    </row>
    <row r="13240" spans="1:15" x14ac:dyDescent="0.25">
      <c r="A13240" t="s">
        <v>16</v>
      </c>
      <c r="B13240" t="s">
        <v>3221</v>
      </c>
      <c r="C13240">
        <v>14461</v>
      </c>
      <c r="D13240" t="s">
        <v>844</v>
      </c>
      <c r="E13240" t="s">
        <v>845</v>
      </c>
      <c r="F13240">
        <v>180.99</v>
      </c>
      <c r="G13240">
        <v>231024</v>
      </c>
      <c r="H13240">
        <v>4400</v>
      </c>
      <c r="I13240" t="s">
        <v>348</v>
      </c>
      <c r="J13240">
        <v>224.43</v>
      </c>
      <c r="K13240">
        <v>43.44</v>
      </c>
      <c r="L13240">
        <v>14642</v>
      </c>
      <c r="M13240" t="s">
        <v>863</v>
      </c>
      <c r="N13240" t="str">
        <f>"98730       "</f>
        <v xml:space="preserve">98730       </v>
      </c>
      <c r="O13240">
        <v>231030</v>
      </c>
    </row>
    <row r="13241" spans="1:15" x14ac:dyDescent="0.25">
      <c r="A13241" t="s">
        <v>16</v>
      </c>
      <c r="B13241" t="s">
        <v>3221</v>
      </c>
      <c r="C13241">
        <v>14482</v>
      </c>
      <c r="D13241" t="s">
        <v>844</v>
      </c>
      <c r="E13241" t="s">
        <v>845</v>
      </c>
      <c r="F13241">
        <v>697.81</v>
      </c>
      <c r="G13241">
        <v>231024</v>
      </c>
      <c r="H13241">
        <v>4400</v>
      </c>
      <c r="I13241" t="s">
        <v>348</v>
      </c>
      <c r="J13241">
        <v>865.28</v>
      </c>
      <c r="K13241">
        <v>167.47</v>
      </c>
      <c r="L13241">
        <v>59113</v>
      </c>
      <c r="M13241" t="s">
        <v>235</v>
      </c>
      <c r="N13241" t="str">
        <f>"98718       "</f>
        <v xml:space="preserve">98718       </v>
      </c>
      <c r="O13241">
        <v>231030</v>
      </c>
    </row>
    <row r="13242" spans="1:15" x14ac:dyDescent="0.25">
      <c r="A13242" t="s">
        <v>16</v>
      </c>
      <c r="B13242" t="s">
        <v>3221</v>
      </c>
      <c r="C13242">
        <v>15095</v>
      </c>
      <c r="D13242" t="s">
        <v>844</v>
      </c>
      <c r="E13242" t="s">
        <v>845</v>
      </c>
      <c r="F13242">
        <v>37.56</v>
      </c>
      <c r="G13242">
        <v>231031</v>
      </c>
      <c r="H13242">
        <v>4400</v>
      </c>
      <c r="I13242" t="s">
        <v>348</v>
      </c>
      <c r="J13242">
        <v>46.57</v>
      </c>
      <c r="K13242">
        <v>9.01</v>
      </c>
      <c r="L13242">
        <v>13552</v>
      </c>
      <c r="M13242" t="s">
        <v>624</v>
      </c>
      <c r="N13242" t="str">
        <f>"100059      "</f>
        <v xml:space="preserve">100059      </v>
      </c>
      <c r="O13242">
        <v>231108</v>
      </c>
    </row>
    <row r="13243" spans="1:15" x14ac:dyDescent="0.25">
      <c r="A13243" t="s">
        <v>16</v>
      </c>
      <c r="B13243" t="s">
        <v>3221</v>
      </c>
      <c r="C13243">
        <v>15095</v>
      </c>
      <c r="D13243" t="s">
        <v>844</v>
      </c>
      <c r="E13243" t="s">
        <v>845</v>
      </c>
      <c r="F13243">
        <v>303.85000000000002</v>
      </c>
      <c r="G13243">
        <v>231031</v>
      </c>
      <c r="H13243">
        <v>4400</v>
      </c>
      <c r="I13243" t="s">
        <v>348</v>
      </c>
      <c r="J13243">
        <v>376.77</v>
      </c>
      <c r="K13243">
        <v>72.92</v>
      </c>
      <c r="L13243">
        <v>17918</v>
      </c>
      <c r="M13243" t="s">
        <v>137</v>
      </c>
      <c r="N13243" t="str">
        <f>"100059      "</f>
        <v xml:space="preserve">100059      </v>
      </c>
      <c r="O13243">
        <v>231108</v>
      </c>
    </row>
    <row r="13244" spans="1:15" x14ac:dyDescent="0.25">
      <c r="A13244" t="s">
        <v>16</v>
      </c>
      <c r="B13244" t="s">
        <v>3221</v>
      </c>
      <c r="C13244">
        <v>16267</v>
      </c>
      <c r="D13244" t="s">
        <v>844</v>
      </c>
      <c r="E13244" t="s">
        <v>845</v>
      </c>
      <c r="F13244">
        <v>49.98</v>
      </c>
      <c r="G13244">
        <v>231122</v>
      </c>
      <c r="H13244">
        <v>4400</v>
      </c>
      <c r="I13244" t="s">
        <v>348</v>
      </c>
      <c r="J13244">
        <v>61.97</v>
      </c>
      <c r="K13244">
        <v>11.99</v>
      </c>
      <c r="L13244">
        <v>13552</v>
      </c>
      <c r="M13244" t="s">
        <v>624</v>
      </c>
      <c r="N13244" t="str">
        <f>"102016      "</f>
        <v xml:space="preserve">102016      </v>
      </c>
      <c r="O13244">
        <v>231127</v>
      </c>
    </row>
    <row r="13245" spans="1:15" x14ac:dyDescent="0.25">
      <c r="A13245" t="s">
        <v>16</v>
      </c>
      <c r="B13245" t="s">
        <v>3221</v>
      </c>
      <c r="C13245">
        <v>16267</v>
      </c>
      <c r="D13245" t="s">
        <v>844</v>
      </c>
      <c r="E13245" t="s">
        <v>845</v>
      </c>
      <c r="F13245">
        <v>404.38</v>
      </c>
      <c r="G13245">
        <v>231122</v>
      </c>
      <c r="H13245">
        <v>4400</v>
      </c>
      <c r="I13245" t="s">
        <v>348</v>
      </c>
      <c r="J13245">
        <v>501.43</v>
      </c>
      <c r="K13245">
        <v>97.05</v>
      </c>
      <c r="L13245">
        <v>17918</v>
      </c>
      <c r="M13245" t="s">
        <v>137</v>
      </c>
      <c r="N13245" t="str">
        <f>"102016      "</f>
        <v xml:space="preserve">102016      </v>
      </c>
      <c r="O13245">
        <v>231127</v>
      </c>
    </row>
    <row r="13246" spans="1:15" x14ac:dyDescent="0.25">
      <c r="A13246" t="s">
        <v>16</v>
      </c>
      <c r="B13246" t="s">
        <v>3221</v>
      </c>
      <c r="C13246">
        <v>16538</v>
      </c>
      <c r="D13246" t="s">
        <v>844</v>
      </c>
      <c r="E13246" t="s">
        <v>845</v>
      </c>
      <c r="F13246">
        <v>231.65</v>
      </c>
      <c r="G13246">
        <v>231129</v>
      </c>
      <c r="H13246">
        <v>4400</v>
      </c>
      <c r="I13246" t="s">
        <v>348</v>
      </c>
      <c r="J13246">
        <v>287.25</v>
      </c>
      <c r="K13246">
        <v>55.6</v>
      </c>
      <c r="L13246">
        <v>14432</v>
      </c>
      <c r="M13246" t="s">
        <v>862</v>
      </c>
      <c r="N13246" t="str">
        <f>"102668      "</f>
        <v xml:space="preserve">102668      </v>
      </c>
      <c r="O13246">
        <v>231201</v>
      </c>
    </row>
    <row r="13247" spans="1:15" x14ac:dyDescent="0.25">
      <c r="A13247" t="s">
        <v>16</v>
      </c>
      <c r="B13247" t="s">
        <v>3221</v>
      </c>
      <c r="C13247">
        <v>16577</v>
      </c>
      <c r="D13247" t="s">
        <v>844</v>
      </c>
      <c r="E13247" t="s">
        <v>845</v>
      </c>
      <c r="F13247">
        <v>1015.16</v>
      </c>
      <c r="G13247">
        <v>231122</v>
      </c>
      <c r="H13247">
        <v>4400</v>
      </c>
      <c r="I13247" t="s">
        <v>348</v>
      </c>
      <c r="J13247">
        <v>1258.8</v>
      </c>
      <c r="K13247">
        <v>243.64</v>
      </c>
      <c r="L13247">
        <v>14912</v>
      </c>
      <c r="M13247" t="s">
        <v>230</v>
      </c>
      <c r="N13247" t="str">
        <f>"101982      "</f>
        <v xml:space="preserve">101982      </v>
      </c>
      <c r="O13247">
        <v>231204</v>
      </c>
    </row>
    <row r="13248" spans="1:15" x14ac:dyDescent="0.25">
      <c r="A13248" t="s">
        <v>16</v>
      </c>
      <c r="B13248" t="s">
        <v>3221</v>
      </c>
      <c r="C13248">
        <v>16599</v>
      </c>
      <c r="D13248" t="s">
        <v>844</v>
      </c>
      <c r="E13248" t="s">
        <v>845</v>
      </c>
      <c r="F13248">
        <v>403.2</v>
      </c>
      <c r="G13248">
        <v>231127</v>
      </c>
      <c r="H13248">
        <v>4400</v>
      </c>
      <c r="I13248" t="s">
        <v>348</v>
      </c>
      <c r="J13248">
        <v>499.97</v>
      </c>
      <c r="K13248">
        <v>96.77</v>
      </c>
      <c r="L13248">
        <v>49501</v>
      </c>
      <c r="M13248" t="s">
        <v>177</v>
      </c>
      <c r="N13248" t="str">
        <f>"102352      "</f>
        <v xml:space="preserve">102352      </v>
      </c>
      <c r="O13248">
        <v>231204</v>
      </c>
    </row>
    <row r="13249" spans="1:15" x14ac:dyDescent="0.25">
      <c r="A13249" t="s">
        <v>16</v>
      </c>
      <c r="B13249" t="s">
        <v>3221</v>
      </c>
      <c r="C13249">
        <v>16605</v>
      </c>
      <c r="D13249" t="s">
        <v>844</v>
      </c>
      <c r="E13249" t="s">
        <v>845</v>
      </c>
      <c r="F13249">
        <v>580.65</v>
      </c>
      <c r="G13249">
        <v>231127</v>
      </c>
      <c r="H13249">
        <v>4400</v>
      </c>
      <c r="I13249" t="s">
        <v>348</v>
      </c>
      <c r="J13249">
        <v>720</v>
      </c>
      <c r="K13249">
        <v>139.35</v>
      </c>
      <c r="L13249">
        <v>49501</v>
      </c>
      <c r="M13249" t="s">
        <v>177</v>
      </c>
      <c r="N13249" t="str">
        <f>"102371      "</f>
        <v xml:space="preserve">102371      </v>
      </c>
      <c r="O13249">
        <v>231204</v>
      </c>
    </row>
    <row r="13250" spans="1:15" x14ac:dyDescent="0.25">
      <c r="A13250" t="s">
        <v>16</v>
      </c>
      <c r="B13250" t="s">
        <v>3221</v>
      </c>
      <c r="C13250">
        <v>16645</v>
      </c>
      <c r="D13250" t="s">
        <v>844</v>
      </c>
      <c r="E13250" t="s">
        <v>845</v>
      </c>
      <c r="F13250">
        <v>815.27</v>
      </c>
      <c r="G13250">
        <v>231130</v>
      </c>
      <c r="H13250">
        <v>4400</v>
      </c>
      <c r="I13250" t="s">
        <v>348</v>
      </c>
      <c r="J13250">
        <v>1010.93</v>
      </c>
      <c r="K13250">
        <v>195.66</v>
      </c>
      <c r="L13250">
        <v>54451</v>
      </c>
      <c r="M13250" t="s">
        <v>158</v>
      </c>
      <c r="N13250" t="str">
        <f>"102977      "</f>
        <v xml:space="preserve">102977      </v>
      </c>
      <c r="O13250">
        <v>231205</v>
      </c>
    </row>
    <row r="13251" spans="1:15" x14ac:dyDescent="0.25">
      <c r="A13251" t="s">
        <v>16</v>
      </c>
      <c r="B13251" t="s">
        <v>3221</v>
      </c>
      <c r="C13251">
        <v>17025</v>
      </c>
      <c r="D13251" t="s">
        <v>844</v>
      </c>
      <c r="E13251" t="s">
        <v>845</v>
      </c>
      <c r="F13251">
        <v>247.33</v>
      </c>
      <c r="G13251">
        <v>231130</v>
      </c>
      <c r="H13251">
        <v>4400</v>
      </c>
      <c r="I13251" t="s">
        <v>348</v>
      </c>
      <c r="J13251">
        <v>306.69</v>
      </c>
      <c r="K13251">
        <v>59.36</v>
      </c>
      <c r="L13251">
        <v>59114</v>
      </c>
      <c r="M13251" t="s">
        <v>556</v>
      </c>
      <c r="N13251" t="str">
        <f>"102985      "</f>
        <v xml:space="preserve">102985      </v>
      </c>
      <c r="O13251">
        <v>231212</v>
      </c>
    </row>
    <row r="13252" spans="1:15" x14ac:dyDescent="0.25">
      <c r="A13252" t="s">
        <v>16</v>
      </c>
      <c r="B13252" t="s">
        <v>3221</v>
      </c>
      <c r="C13252">
        <v>17026</v>
      </c>
      <c r="D13252" t="s">
        <v>844</v>
      </c>
      <c r="E13252" t="s">
        <v>845</v>
      </c>
      <c r="F13252">
        <v>322.77</v>
      </c>
      <c r="G13252">
        <v>231130</v>
      </c>
      <c r="H13252">
        <v>4400</v>
      </c>
      <c r="I13252" t="s">
        <v>348</v>
      </c>
      <c r="J13252">
        <v>400.23</v>
      </c>
      <c r="K13252">
        <v>77.459999999999994</v>
      </c>
      <c r="L13252">
        <v>59114</v>
      </c>
      <c r="M13252" t="s">
        <v>556</v>
      </c>
      <c r="N13252" t="str">
        <f>"103069      "</f>
        <v xml:space="preserve">103069      </v>
      </c>
      <c r="O13252">
        <v>231212</v>
      </c>
    </row>
    <row r="13253" spans="1:15" x14ac:dyDescent="0.25">
      <c r="A13253" t="s">
        <v>16</v>
      </c>
      <c r="B13253" t="s">
        <v>3221</v>
      </c>
      <c r="C13253">
        <v>17163</v>
      </c>
      <c r="D13253" t="s">
        <v>844</v>
      </c>
      <c r="E13253" t="s">
        <v>845</v>
      </c>
      <c r="F13253">
        <v>272.95999999999998</v>
      </c>
      <c r="G13253">
        <v>231207</v>
      </c>
      <c r="H13253">
        <v>4400</v>
      </c>
      <c r="I13253" t="s">
        <v>348</v>
      </c>
      <c r="J13253">
        <v>338.47</v>
      </c>
      <c r="K13253">
        <v>65.510000000000005</v>
      </c>
      <c r="L13253">
        <v>16431</v>
      </c>
      <c r="M13253" t="s">
        <v>231</v>
      </c>
      <c r="N13253" t="str">
        <f>"103406      "</f>
        <v xml:space="preserve">103406      </v>
      </c>
      <c r="O13253">
        <v>231212</v>
      </c>
    </row>
    <row r="13254" spans="1:15" x14ac:dyDescent="0.25">
      <c r="A13254" t="s">
        <v>16</v>
      </c>
      <c r="B13254" t="s">
        <v>3221</v>
      </c>
      <c r="C13254">
        <v>17752</v>
      </c>
      <c r="D13254" t="s">
        <v>844</v>
      </c>
      <c r="E13254" t="s">
        <v>845</v>
      </c>
      <c r="F13254">
        <v>877.82</v>
      </c>
      <c r="G13254">
        <v>231211</v>
      </c>
      <c r="H13254">
        <v>4400</v>
      </c>
      <c r="I13254" t="s">
        <v>348</v>
      </c>
      <c r="J13254">
        <v>1088.5</v>
      </c>
      <c r="K13254">
        <v>210.68</v>
      </c>
      <c r="L13254">
        <v>59113</v>
      </c>
      <c r="M13254" t="s">
        <v>235</v>
      </c>
      <c r="N13254" t="str">
        <f>"103692      "</f>
        <v xml:space="preserve">103692      </v>
      </c>
      <c r="O13254">
        <v>231222</v>
      </c>
    </row>
    <row r="13255" spans="1:15" x14ac:dyDescent="0.25">
      <c r="A13255" t="s">
        <v>16</v>
      </c>
      <c r="B13255" t="s">
        <v>3221</v>
      </c>
      <c r="C13255">
        <v>17940</v>
      </c>
      <c r="D13255" t="s">
        <v>844</v>
      </c>
      <c r="E13255" t="s">
        <v>845</v>
      </c>
      <c r="F13255">
        <v>147.81</v>
      </c>
      <c r="G13255">
        <v>231215</v>
      </c>
      <c r="H13255">
        <v>4400</v>
      </c>
      <c r="I13255" t="s">
        <v>348</v>
      </c>
      <c r="J13255">
        <v>183.29</v>
      </c>
      <c r="K13255">
        <v>35.479999999999997</v>
      </c>
      <c r="L13255">
        <v>14642</v>
      </c>
      <c r="M13255" t="s">
        <v>863</v>
      </c>
      <c r="N13255" t="str">
        <f>"104223      "</f>
        <v xml:space="preserve">104223      </v>
      </c>
      <c r="O13255">
        <v>231228</v>
      </c>
    </row>
    <row r="13256" spans="1:15" x14ac:dyDescent="0.25">
      <c r="A13256" t="s">
        <v>16</v>
      </c>
      <c r="B13256" t="s">
        <v>3221</v>
      </c>
      <c r="C13256">
        <v>15589</v>
      </c>
      <c r="D13256" t="s">
        <v>844</v>
      </c>
      <c r="E13256" t="s">
        <v>845</v>
      </c>
      <c r="F13256">
        <v>11.85</v>
      </c>
      <c r="G13256">
        <v>231109</v>
      </c>
      <c r="H13256">
        <v>4420</v>
      </c>
      <c r="I13256" t="s">
        <v>132</v>
      </c>
      <c r="J13256">
        <v>14.7</v>
      </c>
      <c r="K13256">
        <v>2.85</v>
      </c>
      <c r="L13256">
        <v>13540</v>
      </c>
      <c r="M13256" t="s">
        <v>85</v>
      </c>
      <c r="N13256" t="str">
        <f>"100740      "</f>
        <v xml:space="preserve">100740      </v>
      </c>
      <c r="O13256">
        <v>231114</v>
      </c>
    </row>
    <row r="13257" spans="1:15" x14ac:dyDescent="0.25">
      <c r="A13257" t="s">
        <v>16</v>
      </c>
      <c r="B13257" t="s">
        <v>3221</v>
      </c>
      <c r="C13257">
        <v>15589</v>
      </c>
      <c r="D13257" t="s">
        <v>844</v>
      </c>
      <c r="E13257" t="s">
        <v>845</v>
      </c>
      <c r="F13257">
        <v>95.94</v>
      </c>
      <c r="G13257">
        <v>231109</v>
      </c>
      <c r="H13257">
        <v>4420</v>
      </c>
      <c r="I13257" t="s">
        <v>132</v>
      </c>
      <c r="J13257">
        <v>118.97</v>
      </c>
      <c r="K13257">
        <v>23.03</v>
      </c>
      <c r="L13257">
        <v>17950</v>
      </c>
      <c r="M13257" t="s">
        <v>86</v>
      </c>
      <c r="N13257" t="str">
        <f>"100740      "</f>
        <v xml:space="preserve">100740      </v>
      </c>
      <c r="O13257">
        <v>231114</v>
      </c>
    </row>
    <row r="13258" spans="1:15" x14ac:dyDescent="0.25">
      <c r="A13258" t="s">
        <v>16</v>
      </c>
      <c r="B13258" t="s">
        <v>3221</v>
      </c>
      <c r="C13258">
        <v>10668</v>
      </c>
      <c r="D13258" t="s">
        <v>844</v>
      </c>
      <c r="E13258" t="s">
        <v>845</v>
      </c>
      <c r="F13258">
        <v>1273.3699999999999</v>
      </c>
      <c r="G13258">
        <v>230817</v>
      </c>
      <c r="H13258">
        <v>4600</v>
      </c>
      <c r="I13258" t="s">
        <v>105</v>
      </c>
      <c r="J13258">
        <v>1578.98</v>
      </c>
      <c r="K13258">
        <v>305.61</v>
      </c>
      <c r="L13258">
        <v>54451</v>
      </c>
      <c r="M13258" t="s">
        <v>158</v>
      </c>
      <c r="N13258" t="str">
        <f>"90344       "</f>
        <v xml:space="preserve">90344       </v>
      </c>
      <c r="O13258">
        <v>230821</v>
      </c>
    </row>
    <row r="13259" spans="1:15" x14ac:dyDescent="0.25">
      <c r="A13259" t="s">
        <v>16</v>
      </c>
      <c r="B13259" t="s">
        <v>3221</v>
      </c>
      <c r="C13259">
        <v>15589</v>
      </c>
      <c r="D13259" t="s">
        <v>844</v>
      </c>
      <c r="E13259" t="s">
        <v>845</v>
      </c>
      <c r="F13259">
        <v>25.88</v>
      </c>
      <c r="G13259">
        <v>231109</v>
      </c>
      <c r="H13259">
        <v>4390</v>
      </c>
      <c r="I13259" t="s">
        <v>98</v>
      </c>
      <c r="J13259">
        <v>32.090000000000003</v>
      </c>
      <c r="K13259">
        <v>6.21</v>
      </c>
      <c r="L13259">
        <v>13540</v>
      </c>
      <c r="M13259" t="s">
        <v>85</v>
      </c>
      <c r="N13259" t="str">
        <f>"100740      "</f>
        <v xml:space="preserve">100740      </v>
      </c>
      <c r="O13259">
        <v>231114</v>
      </c>
    </row>
    <row r="13260" spans="1:15" x14ac:dyDescent="0.25">
      <c r="A13260" t="s">
        <v>16</v>
      </c>
      <c r="B13260" t="s">
        <v>3221</v>
      </c>
      <c r="C13260">
        <v>15589</v>
      </c>
      <c r="D13260" t="s">
        <v>844</v>
      </c>
      <c r="E13260" t="s">
        <v>845</v>
      </c>
      <c r="F13260">
        <v>209.4</v>
      </c>
      <c r="G13260">
        <v>231109</v>
      </c>
      <c r="H13260">
        <v>4390</v>
      </c>
      <c r="I13260" t="s">
        <v>98</v>
      </c>
      <c r="J13260">
        <v>259.66000000000003</v>
      </c>
      <c r="K13260">
        <v>50.26</v>
      </c>
      <c r="L13260">
        <v>17950</v>
      </c>
      <c r="M13260" t="s">
        <v>86</v>
      </c>
      <c r="N13260" t="str">
        <f>"100740      "</f>
        <v xml:space="preserve">100740      </v>
      </c>
      <c r="O13260">
        <v>231114</v>
      </c>
    </row>
    <row r="13261" spans="1:15" x14ac:dyDescent="0.25">
      <c r="A13261" t="s">
        <v>16</v>
      </c>
      <c r="B13261" t="s">
        <v>3221</v>
      </c>
      <c r="C13261">
        <v>74</v>
      </c>
      <c r="D13261" t="s">
        <v>54</v>
      </c>
      <c r="E13261" t="s">
        <v>55</v>
      </c>
      <c r="F13261">
        <v>2842.4</v>
      </c>
      <c r="G13261">
        <v>230101</v>
      </c>
      <c r="H13261">
        <v>4820</v>
      </c>
      <c r="I13261" t="s">
        <v>50</v>
      </c>
      <c r="J13261">
        <v>2842.4</v>
      </c>
      <c r="K13261">
        <v>0</v>
      </c>
      <c r="L13261">
        <v>11402</v>
      </c>
      <c r="M13261" t="s">
        <v>56</v>
      </c>
      <c r="N13261" t="str">
        <f>"432         "</f>
        <v xml:space="preserve">432         </v>
      </c>
      <c r="O13261">
        <v>230105</v>
      </c>
    </row>
    <row r="13262" spans="1:15" x14ac:dyDescent="0.25">
      <c r="A13262" t="s">
        <v>16</v>
      </c>
      <c r="B13262" t="s">
        <v>3221</v>
      </c>
      <c r="C13262">
        <v>74</v>
      </c>
      <c r="D13262" t="s">
        <v>54</v>
      </c>
      <c r="E13262" t="s">
        <v>55</v>
      </c>
      <c r="F13262">
        <v>7917.8</v>
      </c>
      <c r="G13262">
        <v>230101</v>
      </c>
      <c r="H13262">
        <v>4820</v>
      </c>
      <c r="I13262" t="s">
        <v>50</v>
      </c>
      <c r="J13262">
        <v>7917.8</v>
      </c>
      <c r="K13262">
        <v>0</v>
      </c>
      <c r="L13262">
        <v>14951</v>
      </c>
      <c r="M13262" t="s">
        <v>57</v>
      </c>
      <c r="N13262" t="str">
        <f>"432         "</f>
        <v xml:space="preserve">432         </v>
      </c>
      <c r="O13262">
        <v>230105</v>
      </c>
    </row>
    <row r="13263" spans="1:15" x14ac:dyDescent="0.25">
      <c r="A13263" t="s">
        <v>16</v>
      </c>
      <c r="B13263" t="s">
        <v>3221</v>
      </c>
      <c r="C13263">
        <v>857</v>
      </c>
      <c r="D13263" t="s">
        <v>54</v>
      </c>
      <c r="E13263" t="s">
        <v>55</v>
      </c>
      <c r="F13263">
        <v>2842.4</v>
      </c>
      <c r="G13263">
        <v>230201</v>
      </c>
      <c r="H13263">
        <v>4820</v>
      </c>
      <c r="I13263" t="s">
        <v>50</v>
      </c>
      <c r="J13263">
        <v>2842.4</v>
      </c>
      <c r="K13263">
        <v>0</v>
      </c>
      <c r="L13263">
        <v>11402</v>
      </c>
      <c r="M13263" t="s">
        <v>56</v>
      </c>
      <c r="N13263" t="str">
        <f>"438         "</f>
        <v xml:space="preserve">438         </v>
      </c>
      <c r="O13263">
        <v>230131</v>
      </c>
    </row>
    <row r="13264" spans="1:15" x14ac:dyDescent="0.25">
      <c r="A13264" t="s">
        <v>16</v>
      </c>
      <c r="B13264" t="s">
        <v>3221</v>
      </c>
      <c r="C13264">
        <v>857</v>
      </c>
      <c r="D13264" t="s">
        <v>54</v>
      </c>
      <c r="E13264" t="s">
        <v>55</v>
      </c>
      <c r="F13264">
        <v>7917.8</v>
      </c>
      <c r="G13264">
        <v>230201</v>
      </c>
      <c r="H13264">
        <v>4820</v>
      </c>
      <c r="I13264" t="s">
        <v>50</v>
      </c>
      <c r="J13264">
        <v>7917.8</v>
      </c>
      <c r="K13264">
        <v>0</v>
      </c>
      <c r="L13264">
        <v>14951</v>
      </c>
      <c r="M13264" t="s">
        <v>57</v>
      </c>
      <c r="N13264" t="str">
        <f>"438         "</f>
        <v xml:space="preserve">438         </v>
      </c>
      <c r="O13264">
        <v>230131</v>
      </c>
    </row>
    <row r="13265" spans="1:15" x14ac:dyDescent="0.25">
      <c r="A13265" t="s">
        <v>16</v>
      </c>
      <c r="B13265" t="s">
        <v>3221</v>
      </c>
      <c r="C13265">
        <v>2488</v>
      </c>
      <c r="D13265" t="s">
        <v>54</v>
      </c>
      <c r="E13265" t="s">
        <v>55</v>
      </c>
      <c r="F13265">
        <v>2842.4</v>
      </c>
      <c r="G13265">
        <v>230301</v>
      </c>
      <c r="H13265">
        <v>4820</v>
      </c>
      <c r="I13265" t="s">
        <v>50</v>
      </c>
      <c r="J13265">
        <v>2842.4</v>
      </c>
      <c r="K13265">
        <v>0</v>
      </c>
      <c r="L13265">
        <v>11402</v>
      </c>
      <c r="M13265" t="s">
        <v>56</v>
      </c>
      <c r="N13265" t="str">
        <f>"444         "</f>
        <v xml:space="preserve">444         </v>
      </c>
      <c r="O13265">
        <v>230228</v>
      </c>
    </row>
    <row r="13266" spans="1:15" x14ac:dyDescent="0.25">
      <c r="A13266" t="s">
        <v>16</v>
      </c>
      <c r="B13266" t="s">
        <v>3221</v>
      </c>
      <c r="C13266">
        <v>2488</v>
      </c>
      <c r="D13266" t="s">
        <v>54</v>
      </c>
      <c r="E13266" t="s">
        <v>55</v>
      </c>
      <c r="F13266">
        <v>7917.8</v>
      </c>
      <c r="G13266">
        <v>230301</v>
      </c>
      <c r="H13266">
        <v>4820</v>
      </c>
      <c r="I13266" t="s">
        <v>50</v>
      </c>
      <c r="J13266">
        <v>7917.8</v>
      </c>
      <c r="K13266">
        <v>0</v>
      </c>
      <c r="L13266">
        <v>14951</v>
      </c>
      <c r="M13266" t="s">
        <v>57</v>
      </c>
      <c r="N13266" t="str">
        <f>"444         "</f>
        <v xml:space="preserve">444         </v>
      </c>
      <c r="O13266">
        <v>230228</v>
      </c>
    </row>
    <row r="13267" spans="1:15" x14ac:dyDescent="0.25">
      <c r="A13267" t="s">
        <v>16</v>
      </c>
      <c r="B13267" t="s">
        <v>3221</v>
      </c>
      <c r="C13267">
        <v>3220</v>
      </c>
      <c r="D13267" t="s">
        <v>54</v>
      </c>
      <c r="E13267" t="s">
        <v>55</v>
      </c>
      <c r="F13267">
        <v>10760.2</v>
      </c>
      <c r="G13267">
        <v>230401</v>
      </c>
      <c r="H13267">
        <v>4820</v>
      </c>
      <c r="I13267" t="s">
        <v>50</v>
      </c>
      <c r="J13267">
        <v>10760.2</v>
      </c>
      <c r="K13267">
        <v>0</v>
      </c>
      <c r="L13267">
        <v>14951</v>
      </c>
      <c r="M13267" t="s">
        <v>57</v>
      </c>
      <c r="N13267" t="str">
        <f>"452         "</f>
        <v xml:space="preserve">452         </v>
      </c>
      <c r="O13267">
        <v>230310</v>
      </c>
    </row>
    <row r="13268" spans="1:15" x14ac:dyDescent="0.25">
      <c r="A13268" t="s">
        <v>16</v>
      </c>
      <c r="B13268" t="s">
        <v>3221</v>
      </c>
      <c r="C13268">
        <v>4950</v>
      </c>
      <c r="D13268" t="s">
        <v>54</v>
      </c>
      <c r="E13268" t="s">
        <v>55</v>
      </c>
      <c r="F13268">
        <v>2842.4</v>
      </c>
      <c r="G13268">
        <v>230501</v>
      </c>
      <c r="H13268">
        <v>4820</v>
      </c>
      <c r="I13268" t="s">
        <v>50</v>
      </c>
      <c r="J13268">
        <v>2842.4</v>
      </c>
      <c r="K13268">
        <v>0</v>
      </c>
      <c r="L13268">
        <v>11402</v>
      </c>
      <c r="M13268" t="s">
        <v>56</v>
      </c>
      <c r="N13268" t="str">
        <f>"459         "</f>
        <v xml:space="preserve">459         </v>
      </c>
      <c r="O13268">
        <v>230414</v>
      </c>
    </row>
    <row r="13269" spans="1:15" x14ac:dyDescent="0.25">
      <c r="A13269" t="s">
        <v>16</v>
      </c>
      <c r="B13269" t="s">
        <v>3221</v>
      </c>
      <c r="C13269">
        <v>4950</v>
      </c>
      <c r="D13269" t="s">
        <v>54</v>
      </c>
      <c r="E13269" t="s">
        <v>55</v>
      </c>
      <c r="F13269">
        <v>5542.46</v>
      </c>
      <c r="G13269">
        <v>230501</v>
      </c>
      <c r="H13269">
        <v>4820</v>
      </c>
      <c r="I13269" t="s">
        <v>50</v>
      </c>
      <c r="J13269">
        <v>5542.46</v>
      </c>
      <c r="K13269">
        <v>0</v>
      </c>
      <c r="L13269">
        <v>14951</v>
      </c>
      <c r="M13269" t="s">
        <v>57</v>
      </c>
      <c r="N13269" t="str">
        <f>"459         "</f>
        <v xml:space="preserve">459         </v>
      </c>
      <c r="O13269">
        <v>230414</v>
      </c>
    </row>
    <row r="13270" spans="1:15" x14ac:dyDescent="0.25">
      <c r="A13270" t="s">
        <v>16</v>
      </c>
      <c r="B13270" t="s">
        <v>3221</v>
      </c>
      <c r="C13270">
        <v>4950</v>
      </c>
      <c r="D13270" t="s">
        <v>54</v>
      </c>
      <c r="E13270" t="s">
        <v>55</v>
      </c>
      <c r="F13270">
        <v>2375.34</v>
      </c>
      <c r="G13270">
        <v>230501</v>
      </c>
      <c r="H13270">
        <v>4820</v>
      </c>
      <c r="I13270" t="s">
        <v>50</v>
      </c>
      <c r="J13270">
        <v>2375.34</v>
      </c>
      <c r="K13270">
        <v>0</v>
      </c>
      <c r="L13270">
        <v>14990</v>
      </c>
      <c r="M13270" t="s">
        <v>1725</v>
      </c>
      <c r="N13270" t="str">
        <f>"459         "</f>
        <v xml:space="preserve">459         </v>
      </c>
      <c r="O13270">
        <v>230414</v>
      </c>
    </row>
    <row r="13271" spans="1:15" x14ac:dyDescent="0.25">
      <c r="A13271" t="s">
        <v>16</v>
      </c>
      <c r="B13271" t="s">
        <v>3221</v>
      </c>
      <c r="C13271">
        <v>6927</v>
      </c>
      <c r="D13271" t="s">
        <v>54</v>
      </c>
      <c r="E13271" t="s">
        <v>55</v>
      </c>
      <c r="F13271">
        <v>2842.4</v>
      </c>
      <c r="G13271">
        <v>230601</v>
      </c>
      <c r="H13271">
        <v>4820</v>
      </c>
      <c r="I13271" t="s">
        <v>50</v>
      </c>
      <c r="J13271">
        <v>2842.4</v>
      </c>
      <c r="K13271">
        <v>0</v>
      </c>
      <c r="L13271">
        <v>11402</v>
      </c>
      <c r="M13271" t="s">
        <v>56</v>
      </c>
      <c r="N13271" t="str">
        <f>"465         "</f>
        <v xml:space="preserve">465         </v>
      </c>
      <c r="O13271">
        <v>230523</v>
      </c>
    </row>
    <row r="13272" spans="1:15" x14ac:dyDescent="0.25">
      <c r="A13272" t="s">
        <v>16</v>
      </c>
      <c r="B13272" t="s">
        <v>3221</v>
      </c>
      <c r="C13272">
        <v>6927</v>
      </c>
      <c r="D13272" t="s">
        <v>54</v>
      </c>
      <c r="E13272" t="s">
        <v>55</v>
      </c>
      <c r="F13272">
        <v>5542.46</v>
      </c>
      <c r="G13272">
        <v>230601</v>
      </c>
      <c r="H13272">
        <v>4820</v>
      </c>
      <c r="I13272" t="s">
        <v>50</v>
      </c>
      <c r="J13272">
        <v>5542.46</v>
      </c>
      <c r="K13272">
        <v>0</v>
      </c>
      <c r="L13272">
        <v>14951</v>
      </c>
      <c r="M13272" t="s">
        <v>57</v>
      </c>
      <c r="N13272" t="str">
        <f>"465         "</f>
        <v xml:space="preserve">465         </v>
      </c>
      <c r="O13272">
        <v>230523</v>
      </c>
    </row>
    <row r="13273" spans="1:15" x14ac:dyDescent="0.25">
      <c r="A13273" t="s">
        <v>16</v>
      </c>
      <c r="B13273" t="s">
        <v>3221</v>
      </c>
      <c r="C13273">
        <v>6927</v>
      </c>
      <c r="D13273" t="s">
        <v>54</v>
      </c>
      <c r="E13273" t="s">
        <v>55</v>
      </c>
      <c r="F13273">
        <v>2375.34</v>
      </c>
      <c r="G13273">
        <v>230601</v>
      </c>
      <c r="H13273">
        <v>4820</v>
      </c>
      <c r="I13273" t="s">
        <v>50</v>
      </c>
      <c r="J13273">
        <v>2375.34</v>
      </c>
      <c r="K13273">
        <v>0</v>
      </c>
      <c r="L13273">
        <v>14990</v>
      </c>
      <c r="M13273" t="s">
        <v>1725</v>
      </c>
      <c r="N13273" t="str">
        <f>"465         "</f>
        <v xml:space="preserve">465         </v>
      </c>
      <c r="O13273">
        <v>230523</v>
      </c>
    </row>
    <row r="13274" spans="1:15" x14ac:dyDescent="0.25">
      <c r="A13274" t="s">
        <v>16</v>
      </c>
      <c r="B13274" t="s">
        <v>3221</v>
      </c>
      <c r="C13274">
        <v>8746</v>
      </c>
      <c r="D13274" t="s">
        <v>54</v>
      </c>
      <c r="E13274" t="s">
        <v>55</v>
      </c>
      <c r="F13274">
        <v>2842.4</v>
      </c>
      <c r="G13274">
        <v>230701</v>
      </c>
      <c r="H13274">
        <v>4820</v>
      </c>
      <c r="I13274" t="s">
        <v>50</v>
      </c>
      <c r="J13274">
        <v>2842.4</v>
      </c>
      <c r="K13274">
        <v>0</v>
      </c>
      <c r="L13274">
        <v>11402</v>
      </c>
      <c r="M13274" t="s">
        <v>56</v>
      </c>
      <c r="N13274" t="str">
        <f>"474         "</f>
        <v xml:space="preserve">474         </v>
      </c>
      <c r="O13274">
        <v>230613</v>
      </c>
    </row>
    <row r="13275" spans="1:15" x14ac:dyDescent="0.25">
      <c r="A13275" t="s">
        <v>16</v>
      </c>
      <c r="B13275" t="s">
        <v>3221</v>
      </c>
      <c r="C13275">
        <v>8746</v>
      </c>
      <c r="D13275" t="s">
        <v>54</v>
      </c>
      <c r="E13275" t="s">
        <v>55</v>
      </c>
      <c r="F13275">
        <v>5542.46</v>
      </c>
      <c r="G13275">
        <v>230701</v>
      </c>
      <c r="H13275">
        <v>4820</v>
      </c>
      <c r="I13275" t="s">
        <v>50</v>
      </c>
      <c r="J13275">
        <v>5542.46</v>
      </c>
      <c r="K13275">
        <v>0</v>
      </c>
      <c r="L13275">
        <v>14951</v>
      </c>
      <c r="M13275" t="s">
        <v>57</v>
      </c>
      <c r="N13275" t="str">
        <f>"474         "</f>
        <v xml:space="preserve">474         </v>
      </c>
      <c r="O13275">
        <v>230613</v>
      </c>
    </row>
    <row r="13276" spans="1:15" x14ac:dyDescent="0.25">
      <c r="A13276" t="s">
        <v>16</v>
      </c>
      <c r="B13276" t="s">
        <v>3221</v>
      </c>
      <c r="C13276">
        <v>8746</v>
      </c>
      <c r="D13276" t="s">
        <v>54</v>
      </c>
      <c r="E13276" t="s">
        <v>55</v>
      </c>
      <c r="F13276">
        <v>2375.34</v>
      </c>
      <c r="G13276">
        <v>230701</v>
      </c>
      <c r="H13276">
        <v>4820</v>
      </c>
      <c r="I13276" t="s">
        <v>50</v>
      </c>
      <c r="J13276">
        <v>2375.34</v>
      </c>
      <c r="K13276">
        <v>0</v>
      </c>
      <c r="L13276">
        <v>14990</v>
      </c>
      <c r="M13276" t="s">
        <v>1725</v>
      </c>
      <c r="N13276" t="str">
        <f>"474         "</f>
        <v xml:space="preserve">474         </v>
      </c>
      <c r="O13276">
        <v>230613</v>
      </c>
    </row>
    <row r="13277" spans="1:15" x14ac:dyDescent="0.25">
      <c r="A13277" t="s">
        <v>16</v>
      </c>
      <c r="B13277" t="s">
        <v>3221</v>
      </c>
      <c r="C13277">
        <v>9948</v>
      </c>
      <c r="D13277" t="s">
        <v>54</v>
      </c>
      <c r="E13277" t="s">
        <v>55</v>
      </c>
      <c r="F13277">
        <v>2842.4</v>
      </c>
      <c r="G13277">
        <v>230801</v>
      </c>
      <c r="H13277">
        <v>4820</v>
      </c>
      <c r="I13277" t="s">
        <v>50</v>
      </c>
      <c r="J13277">
        <v>2842.4</v>
      </c>
      <c r="K13277">
        <v>0</v>
      </c>
      <c r="L13277">
        <v>11402</v>
      </c>
      <c r="M13277" t="s">
        <v>56</v>
      </c>
      <c r="N13277" t="str">
        <f>"479         "</f>
        <v xml:space="preserve">479         </v>
      </c>
      <c r="O13277">
        <v>230802</v>
      </c>
    </row>
    <row r="13278" spans="1:15" x14ac:dyDescent="0.25">
      <c r="A13278" t="s">
        <v>16</v>
      </c>
      <c r="B13278" t="s">
        <v>3221</v>
      </c>
      <c r="C13278">
        <v>9948</v>
      </c>
      <c r="D13278" t="s">
        <v>54</v>
      </c>
      <c r="E13278" t="s">
        <v>55</v>
      </c>
      <c r="F13278">
        <v>5542.46</v>
      </c>
      <c r="G13278">
        <v>230801</v>
      </c>
      <c r="H13278">
        <v>4820</v>
      </c>
      <c r="I13278" t="s">
        <v>50</v>
      </c>
      <c r="J13278">
        <v>5542.46</v>
      </c>
      <c r="K13278">
        <v>0</v>
      </c>
      <c r="L13278">
        <v>14951</v>
      </c>
      <c r="M13278" t="s">
        <v>57</v>
      </c>
      <c r="N13278" t="str">
        <f>"479         "</f>
        <v xml:space="preserve">479         </v>
      </c>
      <c r="O13278">
        <v>230802</v>
      </c>
    </row>
    <row r="13279" spans="1:15" x14ac:dyDescent="0.25">
      <c r="A13279" t="s">
        <v>16</v>
      </c>
      <c r="B13279" t="s">
        <v>3221</v>
      </c>
      <c r="C13279">
        <v>9948</v>
      </c>
      <c r="D13279" t="s">
        <v>54</v>
      </c>
      <c r="E13279" t="s">
        <v>55</v>
      </c>
      <c r="F13279">
        <v>2375.34</v>
      </c>
      <c r="G13279">
        <v>230801</v>
      </c>
      <c r="H13279">
        <v>4820</v>
      </c>
      <c r="I13279" t="s">
        <v>50</v>
      </c>
      <c r="J13279">
        <v>2375.34</v>
      </c>
      <c r="K13279">
        <v>0</v>
      </c>
      <c r="L13279">
        <v>14990</v>
      </c>
      <c r="M13279" t="s">
        <v>1725</v>
      </c>
      <c r="N13279" t="str">
        <f>"479         "</f>
        <v xml:space="preserve">479         </v>
      </c>
      <c r="O13279">
        <v>230802</v>
      </c>
    </row>
    <row r="13280" spans="1:15" x14ac:dyDescent="0.25">
      <c r="A13280" t="s">
        <v>16</v>
      </c>
      <c r="B13280" t="s">
        <v>3221</v>
      </c>
      <c r="C13280">
        <v>10364</v>
      </c>
      <c r="D13280" t="s">
        <v>54</v>
      </c>
      <c r="E13280" t="s">
        <v>55</v>
      </c>
      <c r="F13280">
        <v>2842.2</v>
      </c>
      <c r="G13280">
        <v>230901</v>
      </c>
      <c r="H13280">
        <v>4820</v>
      </c>
      <c r="I13280" t="s">
        <v>50</v>
      </c>
      <c r="J13280">
        <v>2842.2</v>
      </c>
      <c r="K13280">
        <v>0</v>
      </c>
      <c r="L13280">
        <v>11402</v>
      </c>
      <c r="M13280" t="s">
        <v>56</v>
      </c>
      <c r="N13280" t="str">
        <f>"487         "</f>
        <v xml:space="preserve">487         </v>
      </c>
      <c r="O13280">
        <v>230814</v>
      </c>
    </row>
    <row r="13281" spans="1:15" x14ac:dyDescent="0.25">
      <c r="A13281" t="s">
        <v>16</v>
      </c>
      <c r="B13281" t="s">
        <v>3221</v>
      </c>
      <c r="C13281">
        <v>10364</v>
      </c>
      <c r="D13281" t="s">
        <v>54</v>
      </c>
      <c r="E13281" t="s">
        <v>55</v>
      </c>
      <c r="F13281">
        <v>5542.66</v>
      </c>
      <c r="G13281">
        <v>230901</v>
      </c>
      <c r="H13281">
        <v>4820</v>
      </c>
      <c r="I13281" t="s">
        <v>50</v>
      </c>
      <c r="J13281">
        <v>5542.66</v>
      </c>
      <c r="K13281">
        <v>0</v>
      </c>
      <c r="L13281">
        <v>14951</v>
      </c>
      <c r="M13281" t="s">
        <v>57</v>
      </c>
      <c r="N13281" t="str">
        <f>"487         "</f>
        <v xml:space="preserve">487         </v>
      </c>
      <c r="O13281">
        <v>230814</v>
      </c>
    </row>
    <row r="13282" spans="1:15" x14ac:dyDescent="0.25">
      <c r="A13282" t="s">
        <v>16</v>
      </c>
      <c r="B13282" t="s">
        <v>3221</v>
      </c>
      <c r="C13282">
        <v>10364</v>
      </c>
      <c r="D13282" t="s">
        <v>54</v>
      </c>
      <c r="E13282" t="s">
        <v>55</v>
      </c>
      <c r="F13282">
        <v>2375.34</v>
      </c>
      <c r="G13282">
        <v>230901</v>
      </c>
      <c r="H13282">
        <v>4820</v>
      </c>
      <c r="I13282" t="s">
        <v>50</v>
      </c>
      <c r="J13282">
        <v>2375.34</v>
      </c>
      <c r="K13282">
        <v>0</v>
      </c>
      <c r="L13282">
        <v>14990</v>
      </c>
      <c r="M13282" t="s">
        <v>1725</v>
      </c>
      <c r="N13282" t="str">
        <f>"487         "</f>
        <v xml:space="preserve">487         </v>
      </c>
      <c r="O13282">
        <v>230814</v>
      </c>
    </row>
    <row r="13283" spans="1:15" x14ac:dyDescent="0.25">
      <c r="A13283" t="s">
        <v>16</v>
      </c>
      <c r="B13283" t="s">
        <v>3221</v>
      </c>
      <c r="C13283">
        <v>12469</v>
      </c>
      <c r="D13283" t="s">
        <v>54</v>
      </c>
      <c r="E13283" t="s">
        <v>55</v>
      </c>
      <c r="F13283">
        <v>2842.2</v>
      </c>
      <c r="G13283">
        <v>231001</v>
      </c>
      <c r="H13283">
        <v>4820</v>
      </c>
      <c r="I13283" t="s">
        <v>50</v>
      </c>
      <c r="J13283">
        <v>2842.2</v>
      </c>
      <c r="K13283">
        <v>0</v>
      </c>
      <c r="L13283">
        <v>11402</v>
      </c>
      <c r="M13283" t="s">
        <v>56</v>
      </c>
      <c r="N13283" t="str">
        <f>"496         "</f>
        <v xml:space="preserve">496         </v>
      </c>
      <c r="O13283">
        <v>230920</v>
      </c>
    </row>
    <row r="13284" spans="1:15" x14ac:dyDescent="0.25">
      <c r="A13284" t="s">
        <v>16</v>
      </c>
      <c r="B13284" t="s">
        <v>3221</v>
      </c>
      <c r="C13284">
        <v>12469</v>
      </c>
      <c r="D13284" t="s">
        <v>54</v>
      </c>
      <c r="E13284" t="s">
        <v>55</v>
      </c>
      <c r="F13284">
        <v>5542.66</v>
      </c>
      <c r="G13284">
        <v>231001</v>
      </c>
      <c r="H13284">
        <v>4820</v>
      </c>
      <c r="I13284" t="s">
        <v>50</v>
      </c>
      <c r="J13284">
        <v>5542.66</v>
      </c>
      <c r="K13284">
        <v>0</v>
      </c>
      <c r="L13284">
        <v>14951</v>
      </c>
      <c r="M13284" t="s">
        <v>57</v>
      </c>
      <c r="N13284" t="str">
        <f>"496         "</f>
        <v xml:space="preserve">496         </v>
      </c>
      <c r="O13284">
        <v>230920</v>
      </c>
    </row>
    <row r="13285" spans="1:15" x14ac:dyDescent="0.25">
      <c r="A13285" t="s">
        <v>16</v>
      </c>
      <c r="B13285" t="s">
        <v>3221</v>
      </c>
      <c r="C13285">
        <v>12469</v>
      </c>
      <c r="D13285" t="s">
        <v>54</v>
      </c>
      <c r="E13285" t="s">
        <v>55</v>
      </c>
      <c r="F13285">
        <v>2375.34</v>
      </c>
      <c r="G13285">
        <v>231001</v>
      </c>
      <c r="H13285">
        <v>4820</v>
      </c>
      <c r="I13285" t="s">
        <v>50</v>
      </c>
      <c r="J13285">
        <v>2375.34</v>
      </c>
      <c r="K13285">
        <v>0</v>
      </c>
      <c r="L13285">
        <v>14990</v>
      </c>
      <c r="M13285" t="s">
        <v>1725</v>
      </c>
      <c r="N13285" t="str">
        <f>"496         "</f>
        <v xml:space="preserve">496         </v>
      </c>
      <c r="O13285">
        <v>230920</v>
      </c>
    </row>
    <row r="13286" spans="1:15" x14ac:dyDescent="0.25">
      <c r="A13286" t="s">
        <v>16</v>
      </c>
      <c r="B13286" t="s">
        <v>3221</v>
      </c>
      <c r="C13286">
        <v>13790</v>
      </c>
      <c r="D13286" t="s">
        <v>54</v>
      </c>
      <c r="E13286" t="s">
        <v>55</v>
      </c>
      <c r="F13286">
        <v>2842.2</v>
      </c>
      <c r="G13286">
        <v>231101</v>
      </c>
      <c r="H13286">
        <v>4820</v>
      </c>
      <c r="I13286" t="s">
        <v>50</v>
      </c>
      <c r="J13286">
        <v>2842.2</v>
      </c>
      <c r="K13286">
        <v>0</v>
      </c>
      <c r="L13286">
        <v>11402</v>
      </c>
      <c r="M13286" t="s">
        <v>56</v>
      </c>
      <c r="N13286" t="str">
        <f>"503         "</f>
        <v xml:space="preserve">503         </v>
      </c>
      <c r="O13286">
        <v>231013</v>
      </c>
    </row>
    <row r="13287" spans="1:15" x14ac:dyDescent="0.25">
      <c r="A13287" t="s">
        <v>16</v>
      </c>
      <c r="B13287" t="s">
        <v>3221</v>
      </c>
      <c r="C13287">
        <v>13790</v>
      </c>
      <c r="D13287" t="s">
        <v>54</v>
      </c>
      <c r="E13287" t="s">
        <v>55</v>
      </c>
      <c r="F13287">
        <v>5542.66</v>
      </c>
      <c r="G13287">
        <v>231101</v>
      </c>
      <c r="H13287">
        <v>4820</v>
      </c>
      <c r="I13287" t="s">
        <v>50</v>
      </c>
      <c r="J13287">
        <v>5542.66</v>
      </c>
      <c r="K13287">
        <v>0</v>
      </c>
      <c r="L13287">
        <v>14951</v>
      </c>
      <c r="M13287" t="s">
        <v>57</v>
      </c>
      <c r="N13287" t="str">
        <f>"503         "</f>
        <v xml:space="preserve">503         </v>
      </c>
      <c r="O13287">
        <v>231013</v>
      </c>
    </row>
    <row r="13288" spans="1:15" x14ac:dyDescent="0.25">
      <c r="A13288" t="s">
        <v>16</v>
      </c>
      <c r="B13288" t="s">
        <v>3221</v>
      </c>
      <c r="C13288">
        <v>13790</v>
      </c>
      <c r="D13288" t="s">
        <v>54</v>
      </c>
      <c r="E13288" t="s">
        <v>55</v>
      </c>
      <c r="F13288">
        <v>2375.34</v>
      </c>
      <c r="G13288">
        <v>231101</v>
      </c>
      <c r="H13288">
        <v>4820</v>
      </c>
      <c r="I13288" t="s">
        <v>50</v>
      </c>
      <c r="J13288">
        <v>2375.34</v>
      </c>
      <c r="K13288">
        <v>0</v>
      </c>
      <c r="L13288">
        <v>14990</v>
      </c>
      <c r="M13288" t="s">
        <v>1725</v>
      </c>
      <c r="N13288" t="str">
        <f>"503         "</f>
        <v xml:space="preserve">503         </v>
      </c>
      <c r="O13288">
        <v>231013</v>
      </c>
    </row>
    <row r="13289" spans="1:15" x14ac:dyDescent="0.25">
      <c r="A13289" t="s">
        <v>16</v>
      </c>
      <c r="B13289" t="s">
        <v>3221</v>
      </c>
      <c r="C13289">
        <v>15535</v>
      </c>
      <c r="D13289" t="s">
        <v>54</v>
      </c>
      <c r="E13289" t="s">
        <v>55</v>
      </c>
      <c r="F13289">
        <v>2842.2</v>
      </c>
      <c r="G13289">
        <v>231201</v>
      </c>
      <c r="H13289">
        <v>4820</v>
      </c>
      <c r="I13289" t="s">
        <v>50</v>
      </c>
      <c r="J13289">
        <v>2842.2</v>
      </c>
      <c r="K13289">
        <v>0</v>
      </c>
      <c r="L13289">
        <v>11402</v>
      </c>
      <c r="M13289" t="s">
        <v>56</v>
      </c>
      <c r="N13289" t="str">
        <f>"510         "</f>
        <v xml:space="preserve">510         </v>
      </c>
      <c r="O13289">
        <v>231113</v>
      </c>
    </row>
    <row r="13290" spans="1:15" x14ac:dyDescent="0.25">
      <c r="A13290" t="s">
        <v>16</v>
      </c>
      <c r="B13290" t="s">
        <v>3221</v>
      </c>
      <c r="C13290">
        <v>15535</v>
      </c>
      <c r="D13290" t="s">
        <v>54</v>
      </c>
      <c r="E13290" t="s">
        <v>55</v>
      </c>
      <c r="F13290">
        <v>5542.66</v>
      </c>
      <c r="G13290">
        <v>231201</v>
      </c>
      <c r="H13290">
        <v>4820</v>
      </c>
      <c r="I13290" t="s">
        <v>50</v>
      </c>
      <c r="J13290">
        <v>5542.66</v>
      </c>
      <c r="K13290">
        <v>0</v>
      </c>
      <c r="L13290">
        <v>14951</v>
      </c>
      <c r="M13290" t="s">
        <v>57</v>
      </c>
      <c r="N13290" t="str">
        <f>"510         "</f>
        <v xml:space="preserve">510         </v>
      </c>
      <c r="O13290">
        <v>231113</v>
      </c>
    </row>
    <row r="13291" spans="1:15" x14ac:dyDescent="0.25">
      <c r="A13291" t="s">
        <v>16</v>
      </c>
      <c r="B13291" t="s">
        <v>3221</v>
      </c>
      <c r="C13291">
        <v>15535</v>
      </c>
      <c r="D13291" t="s">
        <v>54</v>
      </c>
      <c r="E13291" t="s">
        <v>55</v>
      </c>
      <c r="F13291">
        <v>2375.34</v>
      </c>
      <c r="G13291">
        <v>231201</v>
      </c>
      <c r="H13291">
        <v>4820</v>
      </c>
      <c r="I13291" t="s">
        <v>50</v>
      </c>
      <c r="J13291">
        <v>2375.34</v>
      </c>
      <c r="K13291">
        <v>0</v>
      </c>
      <c r="L13291">
        <v>14990</v>
      </c>
      <c r="M13291" t="s">
        <v>1725</v>
      </c>
      <c r="N13291" t="str">
        <f>"510         "</f>
        <v xml:space="preserve">510         </v>
      </c>
      <c r="O13291">
        <v>231113</v>
      </c>
    </row>
    <row r="13292" spans="1:15" x14ac:dyDescent="0.25">
      <c r="A13292" t="s">
        <v>16</v>
      </c>
      <c r="B13292" t="s">
        <v>3221</v>
      </c>
      <c r="C13292">
        <v>17412</v>
      </c>
      <c r="D13292" t="s">
        <v>54</v>
      </c>
      <c r="E13292" t="s">
        <v>55</v>
      </c>
      <c r="F13292">
        <v>1135.2</v>
      </c>
      <c r="G13292">
        <v>231201</v>
      </c>
      <c r="H13292">
        <v>4820</v>
      </c>
      <c r="I13292" t="s">
        <v>50</v>
      </c>
      <c r="J13292">
        <v>1135.2</v>
      </c>
      <c r="K13292">
        <v>0</v>
      </c>
      <c r="L13292">
        <v>11402</v>
      </c>
      <c r="M13292" t="s">
        <v>56</v>
      </c>
      <c r="N13292" t="str">
        <f>"511         "</f>
        <v xml:space="preserve">511         </v>
      </c>
      <c r="O13292">
        <v>231214</v>
      </c>
    </row>
    <row r="13293" spans="1:15" x14ac:dyDescent="0.25">
      <c r="A13293" t="s">
        <v>16</v>
      </c>
      <c r="B13293" t="s">
        <v>3221</v>
      </c>
      <c r="C13293">
        <v>17412</v>
      </c>
      <c r="D13293" t="s">
        <v>54</v>
      </c>
      <c r="E13293" t="s">
        <v>55</v>
      </c>
      <c r="F13293">
        <v>2354.1</v>
      </c>
      <c r="G13293">
        <v>231201</v>
      </c>
      <c r="H13293">
        <v>4820</v>
      </c>
      <c r="I13293" t="s">
        <v>50</v>
      </c>
      <c r="J13293">
        <v>2354.1</v>
      </c>
      <c r="K13293">
        <v>0</v>
      </c>
      <c r="L13293">
        <v>14951</v>
      </c>
      <c r="M13293" t="s">
        <v>57</v>
      </c>
      <c r="N13293" t="str">
        <f>"511         "</f>
        <v xml:space="preserve">511         </v>
      </c>
      <c r="O13293">
        <v>231214</v>
      </c>
    </row>
    <row r="13294" spans="1:15" x14ac:dyDescent="0.25">
      <c r="A13294" t="s">
        <v>16</v>
      </c>
      <c r="B13294" t="s">
        <v>3221</v>
      </c>
      <c r="C13294">
        <v>17412</v>
      </c>
      <c r="D13294" t="s">
        <v>54</v>
      </c>
      <c r="E13294" t="s">
        <v>55</v>
      </c>
      <c r="F13294">
        <v>1008.9</v>
      </c>
      <c r="G13294">
        <v>231201</v>
      </c>
      <c r="H13294">
        <v>4820</v>
      </c>
      <c r="I13294" t="s">
        <v>50</v>
      </c>
      <c r="J13294">
        <v>1008.9</v>
      </c>
      <c r="K13294">
        <v>0</v>
      </c>
      <c r="L13294">
        <v>14990</v>
      </c>
      <c r="M13294" t="s">
        <v>1725</v>
      </c>
      <c r="N13294" t="str">
        <f>"511         "</f>
        <v xml:space="preserve">511         </v>
      </c>
      <c r="O13294">
        <v>231214</v>
      </c>
    </row>
    <row r="13295" spans="1:15" x14ac:dyDescent="0.25">
      <c r="A13295" t="s">
        <v>16</v>
      </c>
      <c r="B13295" t="s">
        <v>3221</v>
      </c>
      <c r="C13295">
        <v>8843</v>
      </c>
      <c r="D13295" t="s">
        <v>3490</v>
      </c>
      <c r="E13295" t="s">
        <v>3491</v>
      </c>
      <c r="F13295">
        <v>25</v>
      </c>
      <c r="G13295">
        <v>230531</v>
      </c>
      <c r="H13295">
        <v>4440</v>
      </c>
      <c r="I13295" t="s">
        <v>250</v>
      </c>
      <c r="J13295">
        <v>25</v>
      </c>
      <c r="K13295">
        <v>0</v>
      </c>
      <c r="L13295">
        <v>61122</v>
      </c>
      <c r="M13295" t="s">
        <v>402</v>
      </c>
      <c r="N13295" t="str">
        <f>"1230600022  "</f>
        <v xml:space="preserve">1230600022  </v>
      </c>
      <c r="O13295">
        <v>230619</v>
      </c>
    </row>
    <row r="13296" spans="1:15" x14ac:dyDescent="0.25">
      <c r="A13296" t="s">
        <v>16</v>
      </c>
      <c r="B13296" t="s">
        <v>3221</v>
      </c>
      <c r="C13296">
        <v>8843</v>
      </c>
      <c r="D13296" t="s">
        <v>3490</v>
      </c>
      <c r="E13296" t="s">
        <v>3491</v>
      </c>
      <c r="F13296">
        <v>25</v>
      </c>
      <c r="G13296">
        <v>230531</v>
      </c>
      <c r="H13296">
        <v>4440</v>
      </c>
      <c r="I13296" t="s">
        <v>250</v>
      </c>
      <c r="J13296">
        <v>25</v>
      </c>
      <c r="K13296">
        <v>0</v>
      </c>
      <c r="L13296">
        <v>65222</v>
      </c>
      <c r="M13296" t="s">
        <v>487</v>
      </c>
      <c r="N13296" t="str">
        <f>"1230600022  "</f>
        <v xml:space="preserve">1230600022  </v>
      </c>
      <c r="O13296">
        <v>230619</v>
      </c>
    </row>
    <row r="13297" spans="1:15" x14ac:dyDescent="0.25">
      <c r="A13297" t="s">
        <v>16</v>
      </c>
      <c r="B13297" t="s">
        <v>3221</v>
      </c>
      <c r="C13297">
        <v>8843</v>
      </c>
      <c r="D13297" t="s">
        <v>3490</v>
      </c>
      <c r="E13297" t="s">
        <v>3491</v>
      </c>
      <c r="F13297">
        <v>12.5</v>
      </c>
      <c r="G13297">
        <v>230531</v>
      </c>
      <c r="H13297">
        <v>4440</v>
      </c>
      <c r="I13297" t="s">
        <v>250</v>
      </c>
      <c r="J13297">
        <v>12.5</v>
      </c>
      <c r="K13297">
        <v>0</v>
      </c>
      <c r="L13297">
        <v>66722</v>
      </c>
      <c r="M13297" t="s">
        <v>518</v>
      </c>
      <c r="N13297" t="str">
        <f>"1230600022  "</f>
        <v xml:space="preserve">1230600022  </v>
      </c>
      <c r="O13297">
        <v>230619</v>
      </c>
    </row>
    <row r="13298" spans="1:15" x14ac:dyDescent="0.25">
      <c r="A13298" t="s">
        <v>16</v>
      </c>
      <c r="B13298" t="s">
        <v>3221</v>
      </c>
      <c r="C13298">
        <v>8843</v>
      </c>
      <c r="D13298" t="s">
        <v>3490</v>
      </c>
      <c r="E13298" t="s">
        <v>3491</v>
      </c>
      <c r="F13298">
        <v>12.5</v>
      </c>
      <c r="G13298">
        <v>230531</v>
      </c>
      <c r="H13298">
        <v>4440</v>
      </c>
      <c r="I13298" t="s">
        <v>250</v>
      </c>
      <c r="J13298">
        <v>12.5</v>
      </c>
      <c r="K13298">
        <v>0</v>
      </c>
      <c r="L13298">
        <v>66756</v>
      </c>
      <c r="M13298" t="s">
        <v>209</v>
      </c>
      <c r="N13298" t="str">
        <f>"1230600022  "</f>
        <v xml:space="preserve">1230600022  </v>
      </c>
      <c r="O13298">
        <v>230619</v>
      </c>
    </row>
    <row r="13299" spans="1:15" x14ac:dyDescent="0.25">
      <c r="A13299" t="s">
        <v>16</v>
      </c>
      <c r="B13299" t="s">
        <v>3221</v>
      </c>
      <c r="C13299">
        <v>8843</v>
      </c>
      <c r="D13299" t="s">
        <v>3490</v>
      </c>
      <c r="E13299" t="s">
        <v>3491</v>
      </c>
      <c r="F13299">
        <v>25</v>
      </c>
      <c r="G13299">
        <v>230531</v>
      </c>
      <c r="H13299">
        <v>4440</v>
      </c>
      <c r="I13299" t="s">
        <v>250</v>
      </c>
      <c r="J13299">
        <v>25</v>
      </c>
      <c r="K13299">
        <v>0</v>
      </c>
      <c r="L13299">
        <v>67522</v>
      </c>
      <c r="M13299" t="s">
        <v>397</v>
      </c>
      <c r="N13299" t="str">
        <f>"1230600022  "</f>
        <v xml:space="preserve">1230600022  </v>
      </c>
      <c r="O13299">
        <v>230619</v>
      </c>
    </row>
    <row r="13300" spans="1:15" x14ac:dyDescent="0.25">
      <c r="A13300" t="s">
        <v>16</v>
      </c>
      <c r="B13300" t="s">
        <v>3221</v>
      </c>
      <c r="C13300">
        <v>8879</v>
      </c>
      <c r="D13300" t="s">
        <v>3490</v>
      </c>
      <c r="E13300" t="s">
        <v>3491</v>
      </c>
      <c r="F13300">
        <v>37.5</v>
      </c>
      <c r="G13300">
        <v>230531</v>
      </c>
      <c r="H13300">
        <v>4440</v>
      </c>
      <c r="I13300" t="s">
        <v>250</v>
      </c>
      <c r="J13300">
        <v>37.5</v>
      </c>
      <c r="K13300">
        <v>0</v>
      </c>
      <c r="L13300">
        <v>17131</v>
      </c>
      <c r="M13300" t="s">
        <v>64</v>
      </c>
      <c r="N13300" t="str">
        <f>"1230600016  "</f>
        <v xml:space="preserve">1230600016  </v>
      </c>
      <c r="O13300">
        <v>230619</v>
      </c>
    </row>
    <row r="13301" spans="1:15" x14ac:dyDescent="0.25">
      <c r="A13301" t="s">
        <v>16</v>
      </c>
      <c r="B13301" t="s">
        <v>3221</v>
      </c>
      <c r="C13301">
        <v>8879</v>
      </c>
      <c r="D13301" t="s">
        <v>3490</v>
      </c>
      <c r="E13301" t="s">
        <v>3491</v>
      </c>
      <c r="F13301">
        <v>37.5</v>
      </c>
      <c r="G13301">
        <v>230531</v>
      </c>
      <c r="H13301">
        <v>4440</v>
      </c>
      <c r="I13301" t="s">
        <v>250</v>
      </c>
      <c r="J13301">
        <v>37.5</v>
      </c>
      <c r="K13301">
        <v>0</v>
      </c>
      <c r="L13301">
        <v>17711</v>
      </c>
      <c r="M13301" t="s">
        <v>65</v>
      </c>
      <c r="N13301" t="str">
        <f>"1230600016  "</f>
        <v xml:space="preserve">1230600016  </v>
      </c>
      <c r="O13301">
        <v>230619</v>
      </c>
    </row>
    <row r="13302" spans="1:15" x14ac:dyDescent="0.25">
      <c r="A13302" t="s">
        <v>16</v>
      </c>
      <c r="B13302" t="s">
        <v>3221</v>
      </c>
      <c r="C13302">
        <v>18427</v>
      </c>
      <c r="D13302" t="s">
        <v>3490</v>
      </c>
      <c r="E13302" t="s">
        <v>3491</v>
      </c>
      <c r="F13302">
        <v>120</v>
      </c>
      <c r="G13302">
        <v>231219</v>
      </c>
      <c r="H13302">
        <v>4440</v>
      </c>
      <c r="I13302" t="s">
        <v>250</v>
      </c>
      <c r="J13302">
        <v>120</v>
      </c>
      <c r="K13302">
        <v>0</v>
      </c>
      <c r="L13302">
        <v>69704</v>
      </c>
      <c r="M13302" t="s">
        <v>325</v>
      </c>
      <c r="N13302" t="str">
        <f>"1231200007  "</f>
        <v xml:space="preserve">1231200007  </v>
      </c>
      <c r="O13302">
        <v>240103</v>
      </c>
    </row>
    <row r="13303" spans="1:15" x14ac:dyDescent="0.25">
      <c r="A13303" t="s">
        <v>16</v>
      </c>
      <c r="B13303" t="s">
        <v>3221</v>
      </c>
      <c r="C13303">
        <v>18430</v>
      </c>
      <c r="D13303" t="s">
        <v>3490</v>
      </c>
      <c r="E13303" t="s">
        <v>3491</v>
      </c>
      <c r="F13303">
        <v>150</v>
      </c>
      <c r="G13303">
        <v>231219</v>
      </c>
      <c r="H13303">
        <v>4440</v>
      </c>
      <c r="I13303" t="s">
        <v>250</v>
      </c>
      <c r="J13303">
        <v>150</v>
      </c>
      <c r="K13303">
        <v>0</v>
      </c>
      <c r="L13303">
        <v>17808</v>
      </c>
      <c r="M13303" t="s">
        <v>322</v>
      </c>
      <c r="N13303" t="str">
        <f>"1231200004  "</f>
        <v xml:space="preserve">1231200004  </v>
      </c>
      <c r="O13303">
        <v>240103</v>
      </c>
    </row>
    <row r="13304" spans="1:15" x14ac:dyDescent="0.25">
      <c r="A13304" t="s">
        <v>16</v>
      </c>
      <c r="B13304" t="s">
        <v>3221</v>
      </c>
      <c r="C13304">
        <v>1448</v>
      </c>
      <c r="D13304" t="s">
        <v>1045</v>
      </c>
      <c r="E13304" t="s">
        <v>1046</v>
      </c>
      <c r="F13304">
        <v>73.260000000000005</v>
      </c>
      <c r="G13304">
        <v>230131</v>
      </c>
      <c r="H13304">
        <v>4520</v>
      </c>
      <c r="I13304" t="s">
        <v>254</v>
      </c>
      <c r="J13304">
        <v>83.52</v>
      </c>
      <c r="K13304">
        <v>10.26</v>
      </c>
      <c r="L13304">
        <v>44251</v>
      </c>
      <c r="M13304" t="s">
        <v>156</v>
      </c>
      <c r="N13304" t="str">
        <f>"2360083629  "</f>
        <v xml:space="preserve">2360083629  </v>
      </c>
      <c r="O13304">
        <v>230209</v>
      </c>
    </row>
    <row r="13305" spans="1:15" x14ac:dyDescent="0.25">
      <c r="A13305" t="s">
        <v>16</v>
      </c>
      <c r="B13305" t="s">
        <v>3221</v>
      </c>
      <c r="C13305">
        <v>1448</v>
      </c>
      <c r="D13305" t="s">
        <v>1045</v>
      </c>
      <c r="E13305" t="s">
        <v>1046</v>
      </c>
      <c r="F13305">
        <v>130.47999999999999</v>
      </c>
      <c r="G13305">
        <v>230131</v>
      </c>
      <c r="H13305">
        <v>4520</v>
      </c>
      <c r="I13305" t="s">
        <v>254</v>
      </c>
      <c r="J13305">
        <v>148.75</v>
      </c>
      <c r="K13305">
        <v>18.27</v>
      </c>
      <c r="L13305">
        <v>44252</v>
      </c>
      <c r="M13305" t="s">
        <v>157</v>
      </c>
      <c r="N13305" t="str">
        <f>"2360083629  "</f>
        <v xml:space="preserve">2360083629  </v>
      </c>
      <c r="O13305">
        <v>230209</v>
      </c>
    </row>
    <row r="13306" spans="1:15" x14ac:dyDescent="0.25">
      <c r="A13306" t="s">
        <v>16</v>
      </c>
      <c r="B13306" t="s">
        <v>3221</v>
      </c>
      <c r="C13306">
        <v>1448</v>
      </c>
      <c r="D13306" t="s">
        <v>1045</v>
      </c>
      <c r="E13306" t="s">
        <v>1046</v>
      </c>
      <c r="F13306">
        <v>18.489999999999998</v>
      </c>
      <c r="G13306">
        <v>230131</v>
      </c>
      <c r="H13306">
        <v>4520</v>
      </c>
      <c r="I13306" t="s">
        <v>254</v>
      </c>
      <c r="J13306">
        <v>21.08</v>
      </c>
      <c r="K13306">
        <v>2.59</v>
      </c>
      <c r="L13306">
        <v>48601</v>
      </c>
      <c r="M13306" t="s">
        <v>1047</v>
      </c>
      <c r="N13306" t="str">
        <f>"2360083629  "</f>
        <v xml:space="preserve">2360083629  </v>
      </c>
      <c r="O13306">
        <v>230209</v>
      </c>
    </row>
    <row r="13307" spans="1:15" x14ac:dyDescent="0.25">
      <c r="A13307" t="s">
        <v>16</v>
      </c>
      <c r="B13307" t="s">
        <v>3221</v>
      </c>
      <c r="C13307">
        <v>2684</v>
      </c>
      <c r="D13307" t="s">
        <v>1045</v>
      </c>
      <c r="E13307" t="s">
        <v>1046</v>
      </c>
      <c r="F13307">
        <v>301.89999999999998</v>
      </c>
      <c r="G13307">
        <v>230228</v>
      </c>
      <c r="H13307">
        <v>4520</v>
      </c>
      <c r="I13307" t="s">
        <v>254</v>
      </c>
      <c r="J13307">
        <v>344.17</v>
      </c>
      <c r="K13307">
        <v>42.27</v>
      </c>
      <c r="L13307">
        <v>44251</v>
      </c>
      <c r="M13307" t="s">
        <v>156</v>
      </c>
      <c r="N13307" t="str">
        <f>"2360173994  "</f>
        <v xml:space="preserve">2360173994  </v>
      </c>
      <c r="O13307">
        <v>230306</v>
      </c>
    </row>
    <row r="13308" spans="1:15" x14ac:dyDescent="0.25">
      <c r="A13308" t="s">
        <v>16</v>
      </c>
      <c r="B13308" t="s">
        <v>3221</v>
      </c>
      <c r="C13308">
        <v>2684</v>
      </c>
      <c r="D13308" t="s">
        <v>1045</v>
      </c>
      <c r="E13308" t="s">
        <v>1046</v>
      </c>
      <c r="F13308">
        <v>82.12</v>
      </c>
      <c r="G13308">
        <v>230228</v>
      </c>
      <c r="H13308">
        <v>4520</v>
      </c>
      <c r="I13308" t="s">
        <v>254</v>
      </c>
      <c r="J13308">
        <v>93.62</v>
      </c>
      <c r="K13308">
        <v>11.5</v>
      </c>
      <c r="L13308">
        <v>44252</v>
      </c>
      <c r="M13308" t="s">
        <v>157</v>
      </c>
      <c r="N13308" t="str">
        <f>"2360173994  "</f>
        <v xml:space="preserve">2360173994  </v>
      </c>
      <c r="O13308">
        <v>230306</v>
      </c>
    </row>
    <row r="13309" spans="1:15" x14ac:dyDescent="0.25">
      <c r="A13309" t="s">
        <v>16</v>
      </c>
      <c r="B13309" t="s">
        <v>3221</v>
      </c>
      <c r="C13309">
        <v>4265</v>
      </c>
      <c r="D13309" t="s">
        <v>1045</v>
      </c>
      <c r="E13309" t="s">
        <v>1046</v>
      </c>
      <c r="F13309">
        <v>72.75</v>
      </c>
      <c r="G13309">
        <v>230331</v>
      </c>
      <c r="H13309">
        <v>4520</v>
      </c>
      <c r="I13309" t="s">
        <v>254</v>
      </c>
      <c r="J13309">
        <v>82.94</v>
      </c>
      <c r="K13309">
        <v>10.19</v>
      </c>
      <c r="L13309">
        <v>44251</v>
      </c>
      <c r="M13309" t="s">
        <v>156</v>
      </c>
      <c r="N13309" t="str">
        <f>"2360274922  "</f>
        <v xml:space="preserve">2360274922  </v>
      </c>
      <c r="O13309">
        <v>230403</v>
      </c>
    </row>
    <row r="13310" spans="1:15" x14ac:dyDescent="0.25">
      <c r="A13310" t="s">
        <v>16</v>
      </c>
      <c r="B13310" t="s">
        <v>3221</v>
      </c>
      <c r="C13310">
        <v>4265</v>
      </c>
      <c r="D13310" t="s">
        <v>1045</v>
      </c>
      <c r="E13310" t="s">
        <v>1046</v>
      </c>
      <c r="F13310">
        <v>17.52</v>
      </c>
      <c r="G13310">
        <v>230331</v>
      </c>
      <c r="H13310">
        <v>4520</v>
      </c>
      <c r="I13310" t="s">
        <v>254</v>
      </c>
      <c r="J13310">
        <v>19.97</v>
      </c>
      <c r="K13310">
        <v>2.4500000000000002</v>
      </c>
      <c r="L13310">
        <v>48601</v>
      </c>
      <c r="M13310" t="s">
        <v>1047</v>
      </c>
      <c r="N13310" t="str">
        <f>"2360274922  "</f>
        <v xml:space="preserve">2360274922  </v>
      </c>
      <c r="O13310">
        <v>230403</v>
      </c>
    </row>
    <row r="13311" spans="1:15" x14ac:dyDescent="0.25">
      <c r="A13311" t="s">
        <v>16</v>
      </c>
      <c r="B13311" t="s">
        <v>3221</v>
      </c>
      <c r="C13311">
        <v>6480</v>
      </c>
      <c r="D13311" t="s">
        <v>1045</v>
      </c>
      <c r="E13311" t="s">
        <v>1046</v>
      </c>
      <c r="F13311">
        <v>49.77</v>
      </c>
      <c r="G13311">
        <v>230430</v>
      </c>
      <c r="H13311">
        <v>4520</v>
      </c>
      <c r="I13311" t="s">
        <v>254</v>
      </c>
      <c r="J13311">
        <v>56.74</v>
      </c>
      <c r="K13311">
        <v>6.97</v>
      </c>
      <c r="L13311">
        <v>44251</v>
      </c>
      <c r="M13311" t="s">
        <v>156</v>
      </c>
      <c r="N13311" t="str">
        <f>"2360367565  "</f>
        <v xml:space="preserve">2360367565  </v>
      </c>
      <c r="O13311">
        <v>230512</v>
      </c>
    </row>
    <row r="13312" spans="1:15" x14ac:dyDescent="0.25">
      <c r="A13312" t="s">
        <v>16</v>
      </c>
      <c r="B13312" t="s">
        <v>3221</v>
      </c>
      <c r="C13312">
        <v>6480</v>
      </c>
      <c r="D13312" t="s">
        <v>1045</v>
      </c>
      <c r="E13312" t="s">
        <v>1046</v>
      </c>
      <c r="F13312">
        <v>46.34</v>
      </c>
      <c r="G13312">
        <v>230430</v>
      </c>
      <c r="H13312">
        <v>4520</v>
      </c>
      <c r="I13312" t="s">
        <v>254</v>
      </c>
      <c r="J13312">
        <v>52.83</v>
      </c>
      <c r="K13312">
        <v>6.49</v>
      </c>
      <c r="L13312">
        <v>44252</v>
      </c>
      <c r="M13312" t="s">
        <v>157</v>
      </c>
      <c r="N13312" t="str">
        <f>"2360367565  "</f>
        <v xml:space="preserve">2360367565  </v>
      </c>
      <c r="O13312">
        <v>230512</v>
      </c>
    </row>
    <row r="13313" spans="1:15" x14ac:dyDescent="0.25">
      <c r="A13313" t="s">
        <v>16</v>
      </c>
      <c r="B13313" t="s">
        <v>3221</v>
      </c>
      <c r="C13313">
        <v>8059</v>
      </c>
      <c r="D13313" t="s">
        <v>1045</v>
      </c>
      <c r="E13313" t="s">
        <v>1046</v>
      </c>
      <c r="F13313">
        <v>23.31</v>
      </c>
      <c r="G13313">
        <v>230531</v>
      </c>
      <c r="H13313">
        <v>4520</v>
      </c>
      <c r="I13313" t="s">
        <v>254</v>
      </c>
      <c r="J13313">
        <v>26.57</v>
      </c>
      <c r="K13313">
        <v>3.26</v>
      </c>
      <c r="L13313">
        <v>44222</v>
      </c>
      <c r="M13313" t="s">
        <v>232</v>
      </c>
      <c r="N13313" t="str">
        <f>"2360470214  "</f>
        <v xml:space="preserve">2360470214  </v>
      </c>
      <c r="O13313">
        <v>230607</v>
      </c>
    </row>
    <row r="13314" spans="1:15" x14ac:dyDescent="0.25">
      <c r="A13314" t="s">
        <v>16</v>
      </c>
      <c r="B13314" t="s">
        <v>3221</v>
      </c>
      <c r="C13314">
        <v>8059</v>
      </c>
      <c r="D13314" t="s">
        <v>1045</v>
      </c>
      <c r="E13314" t="s">
        <v>1046</v>
      </c>
      <c r="F13314">
        <v>70.75</v>
      </c>
      <c r="G13314">
        <v>230531</v>
      </c>
      <c r="H13314">
        <v>4520</v>
      </c>
      <c r="I13314" t="s">
        <v>254</v>
      </c>
      <c r="J13314">
        <v>80.66</v>
      </c>
      <c r="K13314">
        <v>9.91</v>
      </c>
      <c r="L13314">
        <v>48601</v>
      </c>
      <c r="M13314" t="s">
        <v>1047</v>
      </c>
      <c r="N13314" t="str">
        <f>"2360470214  "</f>
        <v xml:space="preserve">2360470214  </v>
      </c>
      <c r="O13314">
        <v>230607</v>
      </c>
    </row>
    <row r="13315" spans="1:15" x14ac:dyDescent="0.25">
      <c r="A13315" t="s">
        <v>16</v>
      </c>
      <c r="B13315" t="s">
        <v>3221</v>
      </c>
      <c r="C13315">
        <v>11932</v>
      </c>
      <c r="D13315" t="s">
        <v>1045</v>
      </c>
      <c r="E13315" t="s">
        <v>1046</v>
      </c>
      <c r="F13315">
        <v>8.31</v>
      </c>
      <c r="G13315">
        <v>230831</v>
      </c>
      <c r="H13315">
        <v>4520</v>
      </c>
      <c r="I13315" t="s">
        <v>254</v>
      </c>
      <c r="J13315">
        <v>10.31</v>
      </c>
      <c r="K13315">
        <v>2</v>
      </c>
      <c r="L13315">
        <v>44251</v>
      </c>
      <c r="M13315" t="s">
        <v>156</v>
      </c>
      <c r="N13315" t="str">
        <f>"2360765687  "</f>
        <v xml:space="preserve">2360765687  </v>
      </c>
      <c r="O13315">
        <v>230912</v>
      </c>
    </row>
    <row r="13316" spans="1:15" x14ac:dyDescent="0.25">
      <c r="A13316" t="s">
        <v>16</v>
      </c>
      <c r="B13316" t="s">
        <v>3221</v>
      </c>
      <c r="C13316">
        <v>11932</v>
      </c>
      <c r="D13316" t="s">
        <v>1045</v>
      </c>
      <c r="E13316" t="s">
        <v>1046</v>
      </c>
      <c r="F13316">
        <v>145.11000000000001</v>
      </c>
      <c r="G13316">
        <v>230831</v>
      </c>
      <c r="H13316">
        <v>4520</v>
      </c>
      <c r="I13316" t="s">
        <v>254</v>
      </c>
      <c r="J13316">
        <v>165.43</v>
      </c>
      <c r="K13316">
        <v>20.32</v>
      </c>
      <c r="L13316">
        <v>44251</v>
      </c>
      <c r="M13316" t="s">
        <v>156</v>
      </c>
      <c r="N13316" t="str">
        <f>"2360765687  "</f>
        <v xml:space="preserve">2360765687  </v>
      </c>
      <c r="O13316">
        <v>230912</v>
      </c>
    </row>
    <row r="13317" spans="1:15" x14ac:dyDescent="0.25">
      <c r="A13317" t="s">
        <v>16</v>
      </c>
      <c r="B13317" t="s">
        <v>3221</v>
      </c>
      <c r="C13317">
        <v>11932</v>
      </c>
      <c r="D13317" t="s">
        <v>1045</v>
      </c>
      <c r="E13317" t="s">
        <v>1046</v>
      </c>
      <c r="F13317">
        <v>0.51</v>
      </c>
      <c r="G13317">
        <v>230831</v>
      </c>
      <c r="H13317">
        <v>4520</v>
      </c>
      <c r="I13317" t="s">
        <v>254</v>
      </c>
      <c r="J13317">
        <v>0.57999999999999996</v>
      </c>
      <c r="K13317">
        <v>7.0000000000000007E-2</v>
      </c>
      <c r="L13317">
        <v>44252</v>
      </c>
      <c r="M13317" t="s">
        <v>157</v>
      </c>
      <c r="N13317" t="str">
        <f>"2360765687  "</f>
        <v xml:space="preserve">2360765687  </v>
      </c>
      <c r="O13317">
        <v>230912</v>
      </c>
    </row>
    <row r="13318" spans="1:15" x14ac:dyDescent="0.25">
      <c r="A13318" t="s">
        <v>16</v>
      </c>
      <c r="B13318" t="s">
        <v>3221</v>
      </c>
      <c r="C13318">
        <v>11932</v>
      </c>
      <c r="D13318" t="s">
        <v>1045</v>
      </c>
      <c r="E13318" t="s">
        <v>1046</v>
      </c>
      <c r="F13318">
        <v>12.19</v>
      </c>
      <c r="G13318">
        <v>230831</v>
      </c>
      <c r="H13318">
        <v>4520</v>
      </c>
      <c r="I13318" t="s">
        <v>254</v>
      </c>
      <c r="J13318">
        <v>13.9</v>
      </c>
      <c r="K13318">
        <v>1.71</v>
      </c>
      <c r="L13318">
        <v>44252</v>
      </c>
      <c r="M13318" t="s">
        <v>157</v>
      </c>
      <c r="N13318" t="str">
        <f>"2360765687  "</f>
        <v xml:space="preserve">2360765687  </v>
      </c>
      <c r="O13318">
        <v>230912</v>
      </c>
    </row>
    <row r="13319" spans="1:15" x14ac:dyDescent="0.25">
      <c r="A13319" t="s">
        <v>16</v>
      </c>
      <c r="B13319" t="s">
        <v>3221</v>
      </c>
      <c r="C13319">
        <v>11932</v>
      </c>
      <c r="D13319" t="s">
        <v>1045</v>
      </c>
      <c r="E13319" t="s">
        <v>1046</v>
      </c>
      <c r="F13319">
        <v>21.67</v>
      </c>
      <c r="G13319">
        <v>230831</v>
      </c>
      <c r="H13319">
        <v>4520</v>
      </c>
      <c r="I13319" t="s">
        <v>254</v>
      </c>
      <c r="J13319">
        <v>24.7</v>
      </c>
      <c r="K13319">
        <v>3.03</v>
      </c>
      <c r="L13319">
        <v>44252</v>
      </c>
      <c r="M13319" t="s">
        <v>157</v>
      </c>
      <c r="N13319" t="str">
        <f>"2360765687  "</f>
        <v xml:space="preserve">2360765687  </v>
      </c>
      <c r="O13319">
        <v>230912</v>
      </c>
    </row>
    <row r="13320" spans="1:15" x14ac:dyDescent="0.25">
      <c r="A13320" t="s">
        <v>16</v>
      </c>
      <c r="B13320" t="s">
        <v>3221</v>
      </c>
      <c r="C13320">
        <v>14198</v>
      </c>
      <c r="D13320" t="s">
        <v>1045</v>
      </c>
      <c r="E13320" t="s">
        <v>1046</v>
      </c>
      <c r="F13320">
        <v>116.17</v>
      </c>
      <c r="G13320">
        <v>230930</v>
      </c>
      <c r="H13320">
        <v>4520</v>
      </c>
      <c r="I13320" t="s">
        <v>254</v>
      </c>
      <c r="J13320">
        <v>132.43</v>
      </c>
      <c r="K13320">
        <v>16.260000000000002</v>
      </c>
      <c r="L13320">
        <v>44222</v>
      </c>
      <c r="M13320" t="s">
        <v>232</v>
      </c>
      <c r="N13320" t="str">
        <f>"2360867261  "</f>
        <v xml:space="preserve">2360867261  </v>
      </c>
      <c r="O13320">
        <v>231024</v>
      </c>
    </row>
    <row r="13321" spans="1:15" x14ac:dyDescent="0.25">
      <c r="A13321" t="s">
        <v>16</v>
      </c>
      <c r="B13321" t="s">
        <v>3221</v>
      </c>
      <c r="C13321">
        <v>14926</v>
      </c>
      <c r="D13321" t="s">
        <v>1045</v>
      </c>
      <c r="E13321" t="s">
        <v>1046</v>
      </c>
      <c r="F13321">
        <v>203.74</v>
      </c>
      <c r="G13321">
        <v>231031</v>
      </c>
      <c r="H13321">
        <v>4520</v>
      </c>
      <c r="I13321" t="s">
        <v>254</v>
      </c>
      <c r="J13321">
        <v>232.26</v>
      </c>
      <c r="K13321">
        <v>28.52</v>
      </c>
      <c r="L13321">
        <v>44251</v>
      </c>
      <c r="M13321" t="s">
        <v>156</v>
      </c>
      <c r="N13321" t="str">
        <f>"2360967556  "</f>
        <v xml:space="preserve">2360967556  </v>
      </c>
      <c r="O13321">
        <v>231107</v>
      </c>
    </row>
    <row r="13322" spans="1:15" x14ac:dyDescent="0.25">
      <c r="A13322" t="s">
        <v>16</v>
      </c>
      <c r="B13322" t="s">
        <v>3221</v>
      </c>
      <c r="C13322">
        <v>16824</v>
      </c>
      <c r="D13322" t="s">
        <v>1045</v>
      </c>
      <c r="E13322" t="s">
        <v>1046</v>
      </c>
      <c r="F13322">
        <v>77.13</v>
      </c>
      <c r="G13322">
        <v>231130</v>
      </c>
      <c r="H13322">
        <v>4520</v>
      </c>
      <c r="I13322" t="s">
        <v>254</v>
      </c>
      <c r="J13322">
        <v>87.93</v>
      </c>
      <c r="K13322">
        <v>10.8</v>
      </c>
      <c r="L13322">
        <v>44251</v>
      </c>
      <c r="M13322" t="s">
        <v>156</v>
      </c>
      <c r="N13322" t="str">
        <f>"2361071209  "</f>
        <v xml:space="preserve">2361071209  </v>
      </c>
      <c r="O13322">
        <v>231211</v>
      </c>
    </row>
    <row r="13323" spans="1:15" x14ac:dyDescent="0.25">
      <c r="A13323" t="s">
        <v>16</v>
      </c>
      <c r="B13323" t="s">
        <v>3221</v>
      </c>
      <c r="C13323">
        <v>16824</v>
      </c>
      <c r="D13323" t="s">
        <v>1045</v>
      </c>
      <c r="E13323" t="s">
        <v>1046</v>
      </c>
      <c r="F13323">
        <v>57.93</v>
      </c>
      <c r="G13323">
        <v>231130</v>
      </c>
      <c r="H13323">
        <v>4520</v>
      </c>
      <c r="I13323" t="s">
        <v>254</v>
      </c>
      <c r="J13323">
        <v>66.040000000000006</v>
      </c>
      <c r="K13323">
        <v>8.11</v>
      </c>
      <c r="L13323">
        <v>44252</v>
      </c>
      <c r="M13323" t="s">
        <v>157</v>
      </c>
      <c r="N13323" t="str">
        <f>"2361071209  "</f>
        <v xml:space="preserve">2361071209  </v>
      </c>
      <c r="O13323">
        <v>231211</v>
      </c>
    </row>
    <row r="13324" spans="1:15" x14ac:dyDescent="0.25">
      <c r="A13324" t="s">
        <v>16</v>
      </c>
      <c r="B13324" t="s">
        <v>3221</v>
      </c>
      <c r="C13324">
        <v>16824</v>
      </c>
      <c r="D13324" t="s">
        <v>1045</v>
      </c>
      <c r="E13324" t="s">
        <v>1046</v>
      </c>
      <c r="F13324">
        <v>38.68</v>
      </c>
      <c r="G13324">
        <v>231130</v>
      </c>
      <c r="H13324">
        <v>4520</v>
      </c>
      <c r="I13324" t="s">
        <v>254</v>
      </c>
      <c r="J13324">
        <v>44.09</v>
      </c>
      <c r="K13324">
        <v>5.41</v>
      </c>
      <c r="L13324">
        <v>48601</v>
      </c>
      <c r="M13324" t="s">
        <v>1047</v>
      </c>
      <c r="N13324" t="str">
        <f>"2361071209  "</f>
        <v xml:space="preserve">2361071209  </v>
      </c>
      <c r="O13324">
        <v>231211</v>
      </c>
    </row>
    <row r="13325" spans="1:15" x14ac:dyDescent="0.25">
      <c r="A13325" t="s">
        <v>16</v>
      </c>
      <c r="B13325" t="s">
        <v>3221</v>
      </c>
      <c r="C13325">
        <v>19041</v>
      </c>
      <c r="D13325" t="s">
        <v>1045</v>
      </c>
      <c r="E13325" t="s">
        <v>1046</v>
      </c>
      <c r="F13325">
        <v>18.16</v>
      </c>
      <c r="G13325">
        <v>231231</v>
      </c>
      <c r="H13325">
        <v>4520</v>
      </c>
      <c r="I13325" t="s">
        <v>254</v>
      </c>
      <c r="J13325">
        <v>20.7</v>
      </c>
      <c r="K13325">
        <v>2.54</v>
      </c>
      <c r="L13325">
        <v>44222</v>
      </c>
      <c r="M13325" t="s">
        <v>232</v>
      </c>
      <c r="N13325" t="str">
        <f>"2361165886  "</f>
        <v xml:space="preserve">2361165886  </v>
      </c>
      <c r="O13325">
        <v>240110</v>
      </c>
    </row>
    <row r="13326" spans="1:15" x14ac:dyDescent="0.25">
      <c r="A13326" t="s">
        <v>16</v>
      </c>
      <c r="B13326" t="s">
        <v>3221</v>
      </c>
      <c r="C13326">
        <v>19041</v>
      </c>
      <c r="D13326" t="s">
        <v>1045</v>
      </c>
      <c r="E13326" t="s">
        <v>1046</v>
      </c>
      <c r="F13326">
        <v>95.04</v>
      </c>
      <c r="G13326">
        <v>231231</v>
      </c>
      <c r="H13326">
        <v>4520</v>
      </c>
      <c r="I13326" t="s">
        <v>254</v>
      </c>
      <c r="J13326">
        <v>108.34</v>
      </c>
      <c r="K13326">
        <v>13.3</v>
      </c>
      <c r="L13326">
        <v>44251</v>
      </c>
      <c r="M13326" t="s">
        <v>156</v>
      </c>
      <c r="N13326" t="str">
        <f>"2361165886  "</f>
        <v xml:space="preserve">2361165886  </v>
      </c>
      <c r="O13326">
        <v>240110</v>
      </c>
    </row>
    <row r="13327" spans="1:15" x14ac:dyDescent="0.25">
      <c r="A13327" t="s">
        <v>16</v>
      </c>
      <c r="B13327" t="s">
        <v>3221</v>
      </c>
      <c r="C13327">
        <v>19041</v>
      </c>
      <c r="D13327" t="s">
        <v>1045</v>
      </c>
      <c r="E13327" t="s">
        <v>1046</v>
      </c>
      <c r="F13327">
        <v>95.68</v>
      </c>
      <c r="G13327">
        <v>231231</v>
      </c>
      <c r="H13327">
        <v>4520</v>
      </c>
      <c r="I13327" t="s">
        <v>254</v>
      </c>
      <c r="J13327">
        <v>109.07</v>
      </c>
      <c r="K13327">
        <v>13.39</v>
      </c>
      <c r="L13327">
        <v>44252</v>
      </c>
      <c r="M13327" t="s">
        <v>157</v>
      </c>
      <c r="N13327" t="str">
        <f>"2361165886  "</f>
        <v xml:space="preserve">2361165886  </v>
      </c>
      <c r="O13327">
        <v>240110</v>
      </c>
    </row>
    <row r="13328" spans="1:15" x14ac:dyDescent="0.25">
      <c r="A13328" t="s">
        <v>16</v>
      </c>
      <c r="B13328" t="s">
        <v>3221</v>
      </c>
      <c r="C13328">
        <v>19041</v>
      </c>
      <c r="D13328" t="s">
        <v>1045</v>
      </c>
      <c r="E13328" t="s">
        <v>1046</v>
      </c>
      <c r="F13328">
        <v>23.68</v>
      </c>
      <c r="G13328">
        <v>231231</v>
      </c>
      <c r="H13328">
        <v>4520</v>
      </c>
      <c r="I13328" t="s">
        <v>254</v>
      </c>
      <c r="J13328">
        <v>27</v>
      </c>
      <c r="K13328">
        <v>3.32</v>
      </c>
      <c r="L13328">
        <v>48601</v>
      </c>
      <c r="M13328" t="s">
        <v>1047</v>
      </c>
      <c r="N13328" t="str">
        <f>"2361165886  "</f>
        <v xml:space="preserve">2361165886  </v>
      </c>
      <c r="O13328">
        <v>240110</v>
      </c>
    </row>
    <row r="13329" spans="1:15" x14ac:dyDescent="0.25">
      <c r="A13329" t="s">
        <v>16</v>
      </c>
      <c r="B13329" t="s">
        <v>3221</v>
      </c>
      <c r="C13329">
        <v>19041</v>
      </c>
      <c r="D13329" t="s">
        <v>1045</v>
      </c>
      <c r="E13329" t="s">
        <v>1046</v>
      </c>
      <c r="F13329">
        <v>35.71</v>
      </c>
      <c r="G13329">
        <v>231231</v>
      </c>
      <c r="H13329">
        <v>4520</v>
      </c>
      <c r="I13329" t="s">
        <v>254</v>
      </c>
      <c r="J13329">
        <v>40.71</v>
      </c>
      <c r="K13329">
        <v>5</v>
      </c>
      <c r="L13329">
        <v>49702</v>
      </c>
      <c r="M13329" t="s">
        <v>584</v>
      </c>
      <c r="N13329" t="str">
        <f>"2361165886  "</f>
        <v xml:space="preserve">2361165886  </v>
      </c>
      <c r="O13329">
        <v>240110</v>
      </c>
    </row>
    <row r="13330" spans="1:15" x14ac:dyDescent="0.25">
      <c r="A13330" t="s">
        <v>16</v>
      </c>
      <c r="B13330" t="s">
        <v>3221</v>
      </c>
      <c r="C13330">
        <v>1448</v>
      </c>
      <c r="D13330" t="s">
        <v>1045</v>
      </c>
      <c r="E13330" t="s">
        <v>1046</v>
      </c>
      <c r="F13330">
        <v>10.35</v>
      </c>
      <c r="G13330">
        <v>230131</v>
      </c>
      <c r="H13330">
        <v>4600</v>
      </c>
      <c r="I13330" t="s">
        <v>105</v>
      </c>
      <c r="J13330">
        <v>12.84</v>
      </c>
      <c r="K13330">
        <v>2.4900000000000002</v>
      </c>
      <c r="L13330">
        <v>44251</v>
      </c>
      <c r="M13330" t="s">
        <v>156</v>
      </c>
      <c r="N13330" t="str">
        <f>"2360083629  "</f>
        <v xml:space="preserve">2360083629  </v>
      </c>
      <c r="O13330">
        <v>230209</v>
      </c>
    </row>
    <row r="13331" spans="1:15" x14ac:dyDescent="0.25">
      <c r="A13331" t="s">
        <v>16</v>
      </c>
      <c r="B13331" t="s">
        <v>3221</v>
      </c>
      <c r="C13331">
        <v>1448</v>
      </c>
      <c r="D13331" t="s">
        <v>1045</v>
      </c>
      <c r="E13331" t="s">
        <v>1046</v>
      </c>
      <c r="F13331">
        <v>13.71</v>
      </c>
      <c r="G13331">
        <v>230131</v>
      </c>
      <c r="H13331">
        <v>4600</v>
      </c>
      <c r="I13331" t="s">
        <v>105</v>
      </c>
      <c r="J13331">
        <v>17</v>
      </c>
      <c r="K13331">
        <v>3.29</v>
      </c>
      <c r="L13331">
        <v>44252</v>
      </c>
      <c r="M13331" t="s">
        <v>157</v>
      </c>
      <c r="N13331" t="str">
        <f>"2360083629  "</f>
        <v xml:space="preserve">2360083629  </v>
      </c>
      <c r="O13331">
        <v>230209</v>
      </c>
    </row>
    <row r="13332" spans="1:15" x14ac:dyDescent="0.25">
      <c r="A13332" t="s">
        <v>16</v>
      </c>
      <c r="B13332" t="s">
        <v>3221</v>
      </c>
      <c r="C13332">
        <v>1448</v>
      </c>
      <c r="D13332" t="s">
        <v>1045</v>
      </c>
      <c r="E13332" t="s">
        <v>1046</v>
      </c>
      <c r="F13332">
        <v>1.45</v>
      </c>
      <c r="G13332">
        <v>230131</v>
      </c>
      <c r="H13332">
        <v>4600</v>
      </c>
      <c r="I13332" t="s">
        <v>105</v>
      </c>
      <c r="J13332">
        <v>1.8</v>
      </c>
      <c r="K13332">
        <v>0.35</v>
      </c>
      <c r="L13332">
        <v>48601</v>
      </c>
      <c r="M13332" t="s">
        <v>1047</v>
      </c>
      <c r="N13332" t="str">
        <f>"2360083629  "</f>
        <v xml:space="preserve">2360083629  </v>
      </c>
      <c r="O13332">
        <v>230209</v>
      </c>
    </row>
    <row r="13333" spans="1:15" x14ac:dyDescent="0.25">
      <c r="A13333" t="s">
        <v>16</v>
      </c>
      <c r="B13333" t="s">
        <v>3221</v>
      </c>
      <c r="C13333">
        <v>2684</v>
      </c>
      <c r="D13333" t="s">
        <v>1045</v>
      </c>
      <c r="E13333" t="s">
        <v>1046</v>
      </c>
      <c r="F13333">
        <v>26.72</v>
      </c>
      <c r="G13333">
        <v>230228</v>
      </c>
      <c r="H13333">
        <v>4600</v>
      </c>
      <c r="I13333" t="s">
        <v>105</v>
      </c>
      <c r="J13333">
        <v>33.130000000000003</v>
      </c>
      <c r="K13333">
        <v>6.41</v>
      </c>
      <c r="L13333">
        <v>44251</v>
      </c>
      <c r="M13333" t="s">
        <v>156</v>
      </c>
      <c r="N13333" t="str">
        <f>"2360173994  "</f>
        <v xml:space="preserve">2360173994  </v>
      </c>
      <c r="O13333">
        <v>230306</v>
      </c>
    </row>
    <row r="13334" spans="1:15" x14ac:dyDescent="0.25">
      <c r="A13334" t="s">
        <v>16</v>
      </c>
      <c r="B13334" t="s">
        <v>3221</v>
      </c>
      <c r="C13334">
        <v>2684</v>
      </c>
      <c r="D13334" t="s">
        <v>1045</v>
      </c>
      <c r="E13334" t="s">
        <v>1046</v>
      </c>
      <c r="F13334">
        <v>8.06</v>
      </c>
      <c r="G13334">
        <v>230228</v>
      </c>
      <c r="H13334">
        <v>4600</v>
      </c>
      <c r="I13334" t="s">
        <v>105</v>
      </c>
      <c r="J13334">
        <v>9.99</v>
      </c>
      <c r="K13334">
        <v>1.93</v>
      </c>
      <c r="L13334">
        <v>44252</v>
      </c>
      <c r="M13334" t="s">
        <v>157</v>
      </c>
      <c r="N13334" t="str">
        <f>"2360173994  "</f>
        <v xml:space="preserve">2360173994  </v>
      </c>
      <c r="O13334">
        <v>230306</v>
      </c>
    </row>
    <row r="13335" spans="1:15" x14ac:dyDescent="0.25">
      <c r="A13335" t="s">
        <v>16</v>
      </c>
      <c r="B13335" t="s">
        <v>3221</v>
      </c>
      <c r="C13335">
        <v>4265</v>
      </c>
      <c r="D13335" t="s">
        <v>1045</v>
      </c>
      <c r="E13335" t="s">
        <v>1046</v>
      </c>
      <c r="F13335">
        <v>6.73</v>
      </c>
      <c r="G13335">
        <v>230331</v>
      </c>
      <c r="H13335">
        <v>4600</v>
      </c>
      <c r="I13335" t="s">
        <v>105</v>
      </c>
      <c r="J13335">
        <v>8.34</v>
      </c>
      <c r="K13335">
        <v>1.61</v>
      </c>
      <c r="L13335">
        <v>44251</v>
      </c>
      <c r="M13335" t="s">
        <v>156</v>
      </c>
      <c r="N13335" t="str">
        <f>"2360274922  "</f>
        <v xml:space="preserve">2360274922  </v>
      </c>
      <c r="O13335">
        <v>230403</v>
      </c>
    </row>
    <row r="13336" spans="1:15" x14ac:dyDescent="0.25">
      <c r="A13336" t="s">
        <v>16</v>
      </c>
      <c r="B13336" t="s">
        <v>3221</v>
      </c>
      <c r="C13336">
        <v>6480</v>
      </c>
      <c r="D13336" t="s">
        <v>1045</v>
      </c>
      <c r="E13336" t="s">
        <v>1046</v>
      </c>
      <c r="F13336">
        <v>2.0299999999999998</v>
      </c>
      <c r="G13336">
        <v>230430</v>
      </c>
      <c r="H13336">
        <v>4600</v>
      </c>
      <c r="I13336" t="s">
        <v>105</v>
      </c>
      <c r="J13336">
        <v>2.52</v>
      </c>
      <c r="K13336">
        <v>0.49</v>
      </c>
      <c r="L13336">
        <v>44251</v>
      </c>
      <c r="M13336" t="s">
        <v>156</v>
      </c>
      <c r="N13336" t="str">
        <f>"2360367565  "</f>
        <v xml:space="preserve">2360367565  </v>
      </c>
      <c r="O13336">
        <v>230512</v>
      </c>
    </row>
    <row r="13337" spans="1:15" x14ac:dyDescent="0.25">
      <c r="A13337" t="s">
        <v>16</v>
      </c>
      <c r="B13337" t="s">
        <v>3221</v>
      </c>
      <c r="C13337">
        <v>6480</v>
      </c>
      <c r="D13337" t="s">
        <v>1045</v>
      </c>
      <c r="E13337" t="s">
        <v>1046</v>
      </c>
      <c r="F13337">
        <v>0.57999999999999996</v>
      </c>
      <c r="G13337">
        <v>230430</v>
      </c>
      <c r="H13337">
        <v>4600</v>
      </c>
      <c r="I13337" t="s">
        <v>105</v>
      </c>
      <c r="J13337">
        <v>0.72</v>
      </c>
      <c r="K13337">
        <v>0.14000000000000001</v>
      </c>
      <c r="L13337">
        <v>44252</v>
      </c>
      <c r="M13337" t="s">
        <v>157</v>
      </c>
      <c r="N13337" t="str">
        <f>"2360367565  "</f>
        <v xml:space="preserve">2360367565  </v>
      </c>
      <c r="O13337">
        <v>230512</v>
      </c>
    </row>
    <row r="13338" spans="1:15" x14ac:dyDescent="0.25">
      <c r="A13338" t="s">
        <v>16</v>
      </c>
      <c r="B13338" t="s">
        <v>3221</v>
      </c>
      <c r="C13338">
        <v>8059</v>
      </c>
      <c r="D13338" t="s">
        <v>1045</v>
      </c>
      <c r="E13338" t="s">
        <v>1046</v>
      </c>
      <c r="F13338">
        <v>0.52</v>
      </c>
      <c r="G13338">
        <v>230531</v>
      </c>
      <c r="H13338">
        <v>4600</v>
      </c>
      <c r="I13338" t="s">
        <v>105</v>
      </c>
      <c r="J13338">
        <v>0.64</v>
      </c>
      <c r="K13338">
        <v>0.12</v>
      </c>
      <c r="L13338">
        <v>44222</v>
      </c>
      <c r="M13338" t="s">
        <v>232</v>
      </c>
      <c r="N13338" t="str">
        <f>"2360470214  "</f>
        <v xml:space="preserve">2360470214  </v>
      </c>
      <c r="O13338">
        <v>230607</v>
      </c>
    </row>
    <row r="13339" spans="1:15" x14ac:dyDescent="0.25">
      <c r="A13339" t="s">
        <v>16</v>
      </c>
      <c r="B13339" t="s">
        <v>3221</v>
      </c>
      <c r="C13339">
        <v>14198</v>
      </c>
      <c r="D13339" t="s">
        <v>1045</v>
      </c>
      <c r="E13339" t="s">
        <v>1046</v>
      </c>
      <c r="F13339">
        <v>8.16</v>
      </c>
      <c r="G13339">
        <v>230930</v>
      </c>
      <c r="H13339">
        <v>4600</v>
      </c>
      <c r="I13339" t="s">
        <v>105</v>
      </c>
      <c r="J13339">
        <v>10.119999999999999</v>
      </c>
      <c r="K13339">
        <v>1.96</v>
      </c>
      <c r="L13339">
        <v>44222</v>
      </c>
      <c r="M13339" t="s">
        <v>232</v>
      </c>
      <c r="N13339" t="str">
        <f>"2360867261  "</f>
        <v xml:space="preserve">2360867261  </v>
      </c>
      <c r="O13339">
        <v>231024</v>
      </c>
    </row>
    <row r="13340" spans="1:15" x14ac:dyDescent="0.25">
      <c r="A13340" t="s">
        <v>16</v>
      </c>
      <c r="B13340" t="s">
        <v>3221</v>
      </c>
      <c r="C13340">
        <v>14926</v>
      </c>
      <c r="D13340" t="s">
        <v>1045</v>
      </c>
      <c r="E13340" t="s">
        <v>1046</v>
      </c>
      <c r="F13340">
        <v>19.77</v>
      </c>
      <c r="G13340">
        <v>231031</v>
      </c>
      <c r="H13340">
        <v>4600</v>
      </c>
      <c r="I13340" t="s">
        <v>105</v>
      </c>
      <c r="J13340">
        <v>24.52</v>
      </c>
      <c r="K13340">
        <v>4.75</v>
      </c>
      <c r="L13340">
        <v>44251</v>
      </c>
      <c r="M13340" t="s">
        <v>156</v>
      </c>
      <c r="N13340" t="str">
        <f>"2360967556  "</f>
        <v xml:space="preserve">2360967556  </v>
      </c>
      <c r="O13340">
        <v>231107</v>
      </c>
    </row>
    <row r="13341" spans="1:15" x14ac:dyDescent="0.25">
      <c r="A13341" t="s">
        <v>16</v>
      </c>
      <c r="B13341" t="s">
        <v>3221</v>
      </c>
      <c r="C13341">
        <v>16824</v>
      </c>
      <c r="D13341" t="s">
        <v>1045</v>
      </c>
      <c r="E13341" t="s">
        <v>1046</v>
      </c>
      <c r="F13341">
        <v>1.99</v>
      </c>
      <c r="G13341">
        <v>231130</v>
      </c>
      <c r="H13341">
        <v>4600</v>
      </c>
      <c r="I13341" t="s">
        <v>105</v>
      </c>
      <c r="J13341">
        <v>2.4700000000000002</v>
      </c>
      <c r="K13341">
        <v>0.48</v>
      </c>
      <c r="L13341">
        <v>44251</v>
      </c>
      <c r="M13341" t="s">
        <v>156</v>
      </c>
      <c r="N13341" t="str">
        <f>"2361071209  "</f>
        <v xml:space="preserve">2361071209  </v>
      </c>
      <c r="O13341">
        <v>231211</v>
      </c>
    </row>
    <row r="13342" spans="1:15" x14ac:dyDescent="0.25">
      <c r="A13342" t="s">
        <v>16</v>
      </c>
      <c r="B13342" t="s">
        <v>3221</v>
      </c>
      <c r="C13342">
        <v>16824</v>
      </c>
      <c r="D13342" t="s">
        <v>1045</v>
      </c>
      <c r="E13342" t="s">
        <v>1046</v>
      </c>
      <c r="F13342">
        <v>0.47</v>
      </c>
      <c r="G13342">
        <v>231130</v>
      </c>
      <c r="H13342">
        <v>4600</v>
      </c>
      <c r="I13342" t="s">
        <v>105</v>
      </c>
      <c r="J13342">
        <v>0.57999999999999996</v>
      </c>
      <c r="K13342">
        <v>0.11</v>
      </c>
      <c r="L13342">
        <v>44252</v>
      </c>
      <c r="M13342" t="s">
        <v>157</v>
      </c>
      <c r="N13342" t="str">
        <f>"2361071209  "</f>
        <v xml:space="preserve">2361071209  </v>
      </c>
      <c r="O13342">
        <v>231211</v>
      </c>
    </row>
    <row r="13343" spans="1:15" x14ac:dyDescent="0.25">
      <c r="A13343" t="s">
        <v>16</v>
      </c>
      <c r="B13343" t="s">
        <v>3221</v>
      </c>
      <c r="C13343">
        <v>16824</v>
      </c>
      <c r="D13343" t="s">
        <v>1045</v>
      </c>
      <c r="E13343" t="s">
        <v>1046</v>
      </c>
      <c r="F13343">
        <v>0.23</v>
      </c>
      <c r="G13343">
        <v>231130</v>
      </c>
      <c r="H13343">
        <v>4600</v>
      </c>
      <c r="I13343" t="s">
        <v>105</v>
      </c>
      <c r="J13343">
        <v>0.28999999999999998</v>
      </c>
      <c r="K13343">
        <v>0.06</v>
      </c>
      <c r="L13343">
        <v>48601</v>
      </c>
      <c r="M13343" t="s">
        <v>1047</v>
      </c>
      <c r="N13343" t="str">
        <f>"2361071209  "</f>
        <v xml:space="preserve">2361071209  </v>
      </c>
      <c r="O13343">
        <v>231211</v>
      </c>
    </row>
    <row r="13344" spans="1:15" x14ac:dyDescent="0.25">
      <c r="A13344" t="s">
        <v>16</v>
      </c>
      <c r="B13344" t="s">
        <v>3221</v>
      </c>
      <c r="C13344">
        <v>19041</v>
      </c>
      <c r="D13344" t="s">
        <v>1045</v>
      </c>
      <c r="E13344" t="s">
        <v>1046</v>
      </c>
      <c r="F13344">
        <v>14.34</v>
      </c>
      <c r="G13344">
        <v>231231</v>
      </c>
      <c r="H13344">
        <v>4600</v>
      </c>
      <c r="I13344" t="s">
        <v>105</v>
      </c>
      <c r="J13344">
        <v>17.78</v>
      </c>
      <c r="K13344">
        <v>3.44</v>
      </c>
      <c r="L13344">
        <v>44252</v>
      </c>
      <c r="M13344" t="s">
        <v>157</v>
      </c>
      <c r="N13344" t="str">
        <f>"2361165886  "</f>
        <v xml:space="preserve">2361165886  </v>
      </c>
      <c r="O13344">
        <v>240110</v>
      </c>
    </row>
    <row r="13345" spans="1:15" x14ac:dyDescent="0.25">
      <c r="A13345" t="s">
        <v>16</v>
      </c>
      <c r="B13345" t="s">
        <v>3221</v>
      </c>
      <c r="C13345">
        <v>984</v>
      </c>
      <c r="D13345" t="s">
        <v>3667</v>
      </c>
      <c r="E13345" t="s">
        <v>820</v>
      </c>
      <c r="F13345">
        <v>88.85</v>
      </c>
      <c r="G13345">
        <v>230131</v>
      </c>
      <c r="H13345">
        <v>4520</v>
      </c>
      <c r="I13345" t="s">
        <v>254</v>
      </c>
      <c r="J13345">
        <v>101.29</v>
      </c>
      <c r="K13345">
        <v>12.44</v>
      </c>
      <c r="L13345">
        <v>69113</v>
      </c>
      <c r="M13345" t="s">
        <v>282</v>
      </c>
      <c r="N13345" t="str">
        <f>"23410       "</f>
        <v xml:space="preserve">23410       </v>
      </c>
      <c r="O13345">
        <v>230202</v>
      </c>
    </row>
    <row r="13346" spans="1:15" x14ac:dyDescent="0.25">
      <c r="A13346" t="s">
        <v>16</v>
      </c>
      <c r="B13346" t="s">
        <v>3221</v>
      </c>
      <c r="C13346">
        <v>984</v>
      </c>
      <c r="D13346" t="s">
        <v>3667</v>
      </c>
      <c r="E13346" t="s">
        <v>820</v>
      </c>
      <c r="F13346">
        <v>10.46</v>
      </c>
      <c r="G13346">
        <v>230131</v>
      </c>
      <c r="H13346">
        <v>4520</v>
      </c>
      <c r="I13346" t="s">
        <v>254</v>
      </c>
      <c r="J13346">
        <v>11.92</v>
      </c>
      <c r="K13346">
        <v>1.46</v>
      </c>
      <c r="L13346">
        <v>69802</v>
      </c>
      <c r="M13346" t="s">
        <v>283</v>
      </c>
      <c r="N13346" t="str">
        <f>"23410       "</f>
        <v xml:space="preserve">23410       </v>
      </c>
      <c r="O13346">
        <v>230202</v>
      </c>
    </row>
    <row r="13347" spans="1:15" x14ac:dyDescent="0.25">
      <c r="A13347" t="s">
        <v>16</v>
      </c>
      <c r="B13347" t="s">
        <v>3221</v>
      </c>
      <c r="C13347">
        <v>984</v>
      </c>
      <c r="D13347" t="s">
        <v>3667</v>
      </c>
      <c r="E13347" t="s">
        <v>820</v>
      </c>
      <c r="F13347">
        <v>5.22</v>
      </c>
      <c r="G13347">
        <v>230131</v>
      </c>
      <c r="H13347">
        <v>4520</v>
      </c>
      <c r="I13347" t="s">
        <v>254</v>
      </c>
      <c r="J13347">
        <v>5.95</v>
      </c>
      <c r="K13347">
        <v>0.73</v>
      </c>
      <c r="L13347">
        <v>69804</v>
      </c>
      <c r="M13347" t="s">
        <v>284</v>
      </c>
      <c r="N13347" t="str">
        <f>"23410       "</f>
        <v xml:space="preserve">23410       </v>
      </c>
      <c r="O13347">
        <v>230202</v>
      </c>
    </row>
    <row r="13348" spans="1:15" x14ac:dyDescent="0.25">
      <c r="A13348" t="s">
        <v>16</v>
      </c>
      <c r="B13348" t="s">
        <v>3221</v>
      </c>
      <c r="C13348">
        <v>1765</v>
      </c>
      <c r="D13348" t="s">
        <v>3667</v>
      </c>
      <c r="E13348" t="s">
        <v>820</v>
      </c>
      <c r="F13348">
        <v>86.62</v>
      </c>
      <c r="G13348">
        <v>230211</v>
      </c>
      <c r="H13348">
        <v>4520</v>
      </c>
      <c r="I13348" t="s">
        <v>254</v>
      </c>
      <c r="J13348">
        <v>98.75</v>
      </c>
      <c r="K13348">
        <v>12.13</v>
      </c>
      <c r="L13348">
        <v>69113</v>
      </c>
      <c r="M13348" t="s">
        <v>282</v>
      </c>
      <c r="N13348" t="str">
        <f>"23536       "</f>
        <v xml:space="preserve">23536       </v>
      </c>
      <c r="O13348">
        <v>230213</v>
      </c>
    </row>
    <row r="13349" spans="1:15" x14ac:dyDescent="0.25">
      <c r="A13349" t="s">
        <v>16</v>
      </c>
      <c r="B13349" t="s">
        <v>3221</v>
      </c>
      <c r="C13349">
        <v>1765</v>
      </c>
      <c r="D13349" t="s">
        <v>3667</v>
      </c>
      <c r="E13349" t="s">
        <v>820</v>
      </c>
      <c r="F13349">
        <v>10.19</v>
      </c>
      <c r="G13349">
        <v>230211</v>
      </c>
      <c r="H13349">
        <v>4520</v>
      </c>
      <c r="I13349" t="s">
        <v>254</v>
      </c>
      <c r="J13349">
        <v>11.62</v>
      </c>
      <c r="K13349">
        <v>1.43</v>
      </c>
      <c r="L13349">
        <v>69802</v>
      </c>
      <c r="M13349" t="s">
        <v>283</v>
      </c>
      <c r="N13349" t="str">
        <f>"23536       "</f>
        <v xml:space="preserve">23536       </v>
      </c>
      <c r="O13349">
        <v>230213</v>
      </c>
    </row>
    <row r="13350" spans="1:15" x14ac:dyDescent="0.25">
      <c r="A13350" t="s">
        <v>16</v>
      </c>
      <c r="B13350" t="s">
        <v>3221</v>
      </c>
      <c r="C13350">
        <v>1765</v>
      </c>
      <c r="D13350" t="s">
        <v>3667</v>
      </c>
      <c r="E13350" t="s">
        <v>820</v>
      </c>
      <c r="F13350">
        <v>5.0999999999999996</v>
      </c>
      <c r="G13350">
        <v>230211</v>
      </c>
      <c r="H13350">
        <v>4520</v>
      </c>
      <c r="I13350" t="s">
        <v>254</v>
      </c>
      <c r="J13350">
        <v>5.81</v>
      </c>
      <c r="K13350">
        <v>0.71</v>
      </c>
      <c r="L13350">
        <v>69804</v>
      </c>
      <c r="M13350" t="s">
        <v>284</v>
      </c>
      <c r="N13350" t="str">
        <f>"23536       "</f>
        <v xml:space="preserve">23536       </v>
      </c>
      <c r="O13350">
        <v>230213</v>
      </c>
    </row>
    <row r="13351" spans="1:15" x14ac:dyDescent="0.25">
      <c r="A13351" t="s">
        <v>16</v>
      </c>
      <c r="B13351" t="s">
        <v>3221</v>
      </c>
      <c r="C13351">
        <v>2555</v>
      </c>
      <c r="D13351" t="s">
        <v>3667</v>
      </c>
      <c r="E13351" t="s">
        <v>820</v>
      </c>
      <c r="F13351">
        <v>99.58</v>
      </c>
      <c r="G13351">
        <v>230228</v>
      </c>
      <c r="H13351">
        <v>4520</v>
      </c>
      <c r="I13351" t="s">
        <v>254</v>
      </c>
      <c r="J13351">
        <v>113.52</v>
      </c>
      <c r="K13351">
        <v>13.94</v>
      </c>
      <c r="L13351">
        <v>69113</v>
      </c>
      <c r="M13351" t="s">
        <v>282</v>
      </c>
      <c r="N13351" t="str">
        <f>"23707       "</f>
        <v xml:space="preserve">23707       </v>
      </c>
      <c r="O13351">
        <v>230302</v>
      </c>
    </row>
    <row r="13352" spans="1:15" x14ac:dyDescent="0.25">
      <c r="A13352" t="s">
        <v>16</v>
      </c>
      <c r="B13352" t="s">
        <v>3221</v>
      </c>
      <c r="C13352">
        <v>2555</v>
      </c>
      <c r="D13352" t="s">
        <v>3667</v>
      </c>
      <c r="E13352" t="s">
        <v>820</v>
      </c>
      <c r="F13352">
        <v>11.71</v>
      </c>
      <c r="G13352">
        <v>230228</v>
      </c>
      <c r="H13352">
        <v>4520</v>
      </c>
      <c r="I13352" t="s">
        <v>254</v>
      </c>
      <c r="J13352">
        <v>13.35</v>
      </c>
      <c r="K13352">
        <v>1.64</v>
      </c>
      <c r="L13352">
        <v>69802</v>
      </c>
      <c r="M13352" t="s">
        <v>283</v>
      </c>
      <c r="N13352" t="str">
        <f>"23707       "</f>
        <v xml:space="preserve">23707       </v>
      </c>
      <c r="O13352">
        <v>230302</v>
      </c>
    </row>
    <row r="13353" spans="1:15" x14ac:dyDescent="0.25">
      <c r="A13353" t="s">
        <v>16</v>
      </c>
      <c r="B13353" t="s">
        <v>3221</v>
      </c>
      <c r="C13353">
        <v>2555</v>
      </c>
      <c r="D13353" t="s">
        <v>3667</v>
      </c>
      <c r="E13353" t="s">
        <v>820</v>
      </c>
      <c r="F13353">
        <v>5.86</v>
      </c>
      <c r="G13353">
        <v>230228</v>
      </c>
      <c r="H13353">
        <v>4520</v>
      </c>
      <c r="I13353" t="s">
        <v>254</v>
      </c>
      <c r="J13353">
        <v>6.68</v>
      </c>
      <c r="K13353">
        <v>0.82</v>
      </c>
      <c r="L13353">
        <v>69804</v>
      </c>
      <c r="M13353" t="s">
        <v>284</v>
      </c>
      <c r="N13353" t="str">
        <f>"23707       "</f>
        <v xml:space="preserve">23707       </v>
      </c>
      <c r="O13353">
        <v>230302</v>
      </c>
    </row>
    <row r="13354" spans="1:15" x14ac:dyDescent="0.25">
      <c r="A13354" t="s">
        <v>16</v>
      </c>
      <c r="B13354" t="s">
        <v>3221</v>
      </c>
      <c r="C13354">
        <v>3691</v>
      </c>
      <c r="D13354" t="s">
        <v>3667</v>
      </c>
      <c r="E13354" t="s">
        <v>820</v>
      </c>
      <c r="F13354">
        <v>68.819999999999993</v>
      </c>
      <c r="G13354">
        <v>230318</v>
      </c>
      <c r="H13354">
        <v>4520</v>
      </c>
      <c r="I13354" t="s">
        <v>254</v>
      </c>
      <c r="J13354">
        <v>78.459999999999994</v>
      </c>
      <c r="K13354">
        <v>9.64</v>
      </c>
      <c r="L13354">
        <v>69113</v>
      </c>
      <c r="M13354" t="s">
        <v>282</v>
      </c>
      <c r="N13354" t="str">
        <f>"23891       "</f>
        <v xml:space="preserve">23891       </v>
      </c>
      <c r="O13354">
        <v>230321</v>
      </c>
    </row>
    <row r="13355" spans="1:15" x14ac:dyDescent="0.25">
      <c r="A13355" t="s">
        <v>16</v>
      </c>
      <c r="B13355" t="s">
        <v>3221</v>
      </c>
      <c r="C13355">
        <v>3691</v>
      </c>
      <c r="D13355" t="s">
        <v>3667</v>
      </c>
      <c r="E13355" t="s">
        <v>820</v>
      </c>
      <c r="F13355">
        <v>8.1</v>
      </c>
      <c r="G13355">
        <v>230318</v>
      </c>
      <c r="H13355">
        <v>4520</v>
      </c>
      <c r="I13355" t="s">
        <v>254</v>
      </c>
      <c r="J13355">
        <v>9.23</v>
      </c>
      <c r="K13355">
        <v>1.1299999999999999</v>
      </c>
      <c r="L13355">
        <v>69802</v>
      </c>
      <c r="M13355" t="s">
        <v>283</v>
      </c>
      <c r="N13355" t="str">
        <f>"23891       "</f>
        <v xml:space="preserve">23891       </v>
      </c>
      <c r="O13355">
        <v>230321</v>
      </c>
    </row>
    <row r="13356" spans="1:15" x14ac:dyDescent="0.25">
      <c r="A13356" t="s">
        <v>16</v>
      </c>
      <c r="B13356" t="s">
        <v>3221</v>
      </c>
      <c r="C13356">
        <v>3691</v>
      </c>
      <c r="D13356" t="s">
        <v>3667</v>
      </c>
      <c r="E13356" t="s">
        <v>820</v>
      </c>
      <c r="F13356">
        <v>4.04</v>
      </c>
      <c r="G13356">
        <v>230318</v>
      </c>
      <c r="H13356">
        <v>4520</v>
      </c>
      <c r="I13356" t="s">
        <v>254</v>
      </c>
      <c r="J13356">
        <v>4.6100000000000003</v>
      </c>
      <c r="K13356">
        <v>0.56999999999999995</v>
      </c>
      <c r="L13356">
        <v>69804</v>
      </c>
      <c r="M13356" t="s">
        <v>284</v>
      </c>
      <c r="N13356" t="str">
        <f>"23891       "</f>
        <v xml:space="preserve">23891       </v>
      </c>
      <c r="O13356">
        <v>230321</v>
      </c>
    </row>
    <row r="13357" spans="1:15" x14ac:dyDescent="0.25">
      <c r="A13357" t="s">
        <v>16</v>
      </c>
      <c r="B13357" t="s">
        <v>3221</v>
      </c>
      <c r="C13357">
        <v>4320</v>
      </c>
      <c r="D13357" t="s">
        <v>3667</v>
      </c>
      <c r="E13357" t="s">
        <v>820</v>
      </c>
      <c r="F13357">
        <v>170.07</v>
      </c>
      <c r="G13357">
        <v>230331</v>
      </c>
      <c r="H13357">
        <v>4520</v>
      </c>
      <c r="I13357" t="s">
        <v>254</v>
      </c>
      <c r="J13357">
        <v>193.88</v>
      </c>
      <c r="K13357">
        <v>23.81</v>
      </c>
      <c r="L13357">
        <v>69113</v>
      </c>
      <c r="M13357" t="s">
        <v>282</v>
      </c>
      <c r="N13357" t="str">
        <f>"24013       "</f>
        <v xml:space="preserve">24013       </v>
      </c>
      <c r="O13357">
        <v>230404</v>
      </c>
    </row>
    <row r="13358" spans="1:15" x14ac:dyDescent="0.25">
      <c r="A13358" t="s">
        <v>16</v>
      </c>
      <c r="B13358" t="s">
        <v>3221</v>
      </c>
      <c r="C13358">
        <v>4320</v>
      </c>
      <c r="D13358" t="s">
        <v>3667</v>
      </c>
      <c r="E13358" t="s">
        <v>820</v>
      </c>
      <c r="F13358">
        <v>20.010000000000002</v>
      </c>
      <c r="G13358">
        <v>230331</v>
      </c>
      <c r="H13358">
        <v>4520</v>
      </c>
      <c r="I13358" t="s">
        <v>254</v>
      </c>
      <c r="J13358">
        <v>22.81</v>
      </c>
      <c r="K13358">
        <v>2.8</v>
      </c>
      <c r="L13358">
        <v>69802</v>
      </c>
      <c r="M13358" t="s">
        <v>283</v>
      </c>
      <c r="N13358" t="str">
        <f>"24013       "</f>
        <v xml:space="preserve">24013       </v>
      </c>
      <c r="O13358">
        <v>230404</v>
      </c>
    </row>
    <row r="13359" spans="1:15" x14ac:dyDescent="0.25">
      <c r="A13359" t="s">
        <v>16</v>
      </c>
      <c r="B13359" t="s">
        <v>3221</v>
      </c>
      <c r="C13359">
        <v>4320</v>
      </c>
      <c r="D13359" t="s">
        <v>3667</v>
      </c>
      <c r="E13359" t="s">
        <v>820</v>
      </c>
      <c r="F13359">
        <v>10</v>
      </c>
      <c r="G13359">
        <v>230331</v>
      </c>
      <c r="H13359">
        <v>4520</v>
      </c>
      <c r="I13359" t="s">
        <v>254</v>
      </c>
      <c r="J13359">
        <v>11.4</v>
      </c>
      <c r="K13359">
        <v>1.4</v>
      </c>
      <c r="L13359">
        <v>69804</v>
      </c>
      <c r="M13359" t="s">
        <v>284</v>
      </c>
      <c r="N13359" t="str">
        <f>"24013       "</f>
        <v xml:space="preserve">24013       </v>
      </c>
      <c r="O13359">
        <v>230404</v>
      </c>
    </row>
    <row r="13360" spans="1:15" x14ac:dyDescent="0.25">
      <c r="A13360" t="s">
        <v>16</v>
      </c>
      <c r="B13360" t="s">
        <v>3221</v>
      </c>
      <c r="C13360">
        <v>5125</v>
      </c>
      <c r="D13360" t="s">
        <v>3667</v>
      </c>
      <c r="E13360" t="s">
        <v>820</v>
      </c>
      <c r="F13360">
        <v>72.36</v>
      </c>
      <c r="G13360">
        <v>230415</v>
      </c>
      <c r="H13360">
        <v>4520</v>
      </c>
      <c r="I13360" t="s">
        <v>254</v>
      </c>
      <c r="J13360">
        <v>82.49</v>
      </c>
      <c r="K13360">
        <v>10.130000000000001</v>
      </c>
      <c r="L13360">
        <v>69113</v>
      </c>
      <c r="M13360" t="s">
        <v>282</v>
      </c>
      <c r="N13360" t="str">
        <f>"24133       "</f>
        <v xml:space="preserve">24133       </v>
      </c>
      <c r="O13360">
        <v>230418</v>
      </c>
    </row>
    <row r="13361" spans="1:15" x14ac:dyDescent="0.25">
      <c r="A13361" t="s">
        <v>16</v>
      </c>
      <c r="B13361" t="s">
        <v>3221</v>
      </c>
      <c r="C13361">
        <v>5125</v>
      </c>
      <c r="D13361" t="s">
        <v>3667</v>
      </c>
      <c r="E13361" t="s">
        <v>820</v>
      </c>
      <c r="F13361">
        <v>8.51</v>
      </c>
      <c r="G13361">
        <v>230415</v>
      </c>
      <c r="H13361">
        <v>4520</v>
      </c>
      <c r="I13361" t="s">
        <v>254</v>
      </c>
      <c r="J13361">
        <v>9.6999999999999993</v>
      </c>
      <c r="K13361">
        <v>1.19</v>
      </c>
      <c r="L13361">
        <v>69802</v>
      </c>
      <c r="M13361" t="s">
        <v>283</v>
      </c>
      <c r="N13361" t="str">
        <f>"24133       "</f>
        <v xml:space="preserve">24133       </v>
      </c>
      <c r="O13361">
        <v>230418</v>
      </c>
    </row>
    <row r="13362" spans="1:15" x14ac:dyDescent="0.25">
      <c r="A13362" t="s">
        <v>16</v>
      </c>
      <c r="B13362" t="s">
        <v>3221</v>
      </c>
      <c r="C13362">
        <v>5125</v>
      </c>
      <c r="D13362" t="s">
        <v>3667</v>
      </c>
      <c r="E13362" t="s">
        <v>820</v>
      </c>
      <c r="F13362">
        <v>4.25</v>
      </c>
      <c r="G13362">
        <v>230415</v>
      </c>
      <c r="H13362">
        <v>4520</v>
      </c>
      <c r="I13362" t="s">
        <v>254</v>
      </c>
      <c r="J13362">
        <v>4.8499999999999996</v>
      </c>
      <c r="K13362">
        <v>0.6</v>
      </c>
      <c r="L13362">
        <v>69804</v>
      </c>
      <c r="M13362" t="s">
        <v>284</v>
      </c>
      <c r="N13362" t="str">
        <f>"24133       "</f>
        <v xml:space="preserve">24133       </v>
      </c>
      <c r="O13362">
        <v>230418</v>
      </c>
    </row>
    <row r="13363" spans="1:15" x14ac:dyDescent="0.25">
      <c r="A13363" t="s">
        <v>16</v>
      </c>
      <c r="B13363" t="s">
        <v>3221</v>
      </c>
      <c r="C13363">
        <v>6357</v>
      </c>
      <c r="D13363" t="s">
        <v>3667</v>
      </c>
      <c r="E13363" t="s">
        <v>820</v>
      </c>
      <c r="F13363">
        <v>78.61</v>
      </c>
      <c r="G13363">
        <v>230506</v>
      </c>
      <c r="H13363">
        <v>4520</v>
      </c>
      <c r="I13363" t="s">
        <v>254</v>
      </c>
      <c r="J13363">
        <v>89.62</v>
      </c>
      <c r="K13363">
        <v>11.01</v>
      </c>
      <c r="L13363">
        <v>69113</v>
      </c>
      <c r="M13363" t="s">
        <v>282</v>
      </c>
      <c r="N13363" t="str">
        <f>"24319       "</f>
        <v xml:space="preserve">24319       </v>
      </c>
      <c r="O13363">
        <v>230510</v>
      </c>
    </row>
    <row r="13364" spans="1:15" x14ac:dyDescent="0.25">
      <c r="A13364" t="s">
        <v>16</v>
      </c>
      <c r="B13364" t="s">
        <v>3221</v>
      </c>
      <c r="C13364">
        <v>6357</v>
      </c>
      <c r="D13364" t="s">
        <v>3667</v>
      </c>
      <c r="E13364" t="s">
        <v>820</v>
      </c>
      <c r="F13364">
        <v>9.25</v>
      </c>
      <c r="G13364">
        <v>230506</v>
      </c>
      <c r="H13364">
        <v>4520</v>
      </c>
      <c r="I13364" t="s">
        <v>254</v>
      </c>
      <c r="J13364">
        <v>10.54</v>
      </c>
      <c r="K13364">
        <v>1.29</v>
      </c>
      <c r="L13364">
        <v>69802</v>
      </c>
      <c r="M13364" t="s">
        <v>283</v>
      </c>
      <c r="N13364" t="str">
        <f>"24319       "</f>
        <v xml:space="preserve">24319       </v>
      </c>
      <c r="O13364">
        <v>230510</v>
      </c>
    </row>
    <row r="13365" spans="1:15" x14ac:dyDescent="0.25">
      <c r="A13365" t="s">
        <v>16</v>
      </c>
      <c r="B13365" t="s">
        <v>3221</v>
      </c>
      <c r="C13365">
        <v>6357</v>
      </c>
      <c r="D13365" t="s">
        <v>3667</v>
      </c>
      <c r="E13365" t="s">
        <v>820</v>
      </c>
      <c r="F13365">
        <v>4.63</v>
      </c>
      <c r="G13365">
        <v>230506</v>
      </c>
      <c r="H13365">
        <v>4520</v>
      </c>
      <c r="I13365" t="s">
        <v>254</v>
      </c>
      <c r="J13365">
        <v>5.28</v>
      </c>
      <c r="K13365">
        <v>0.65</v>
      </c>
      <c r="L13365">
        <v>69804</v>
      </c>
      <c r="M13365" t="s">
        <v>284</v>
      </c>
      <c r="N13365" t="str">
        <f>"24319       "</f>
        <v xml:space="preserve">24319       </v>
      </c>
      <c r="O13365">
        <v>230510</v>
      </c>
    </row>
    <row r="13366" spans="1:15" x14ac:dyDescent="0.25">
      <c r="A13366" t="s">
        <v>16</v>
      </c>
      <c r="B13366" t="s">
        <v>3221</v>
      </c>
      <c r="C13366">
        <v>7085</v>
      </c>
      <c r="D13366" t="s">
        <v>3667</v>
      </c>
      <c r="E13366" t="s">
        <v>820</v>
      </c>
      <c r="F13366">
        <v>127.63</v>
      </c>
      <c r="G13366">
        <v>230520</v>
      </c>
      <c r="H13366">
        <v>4520</v>
      </c>
      <c r="I13366" t="s">
        <v>254</v>
      </c>
      <c r="J13366">
        <v>145.5</v>
      </c>
      <c r="K13366">
        <v>17.87</v>
      </c>
      <c r="L13366">
        <v>69804</v>
      </c>
      <c r="M13366" t="s">
        <v>284</v>
      </c>
      <c r="N13366" t="str">
        <f>"24436       "</f>
        <v xml:space="preserve">24436       </v>
      </c>
      <c r="O13366">
        <v>230525</v>
      </c>
    </row>
    <row r="13367" spans="1:15" x14ac:dyDescent="0.25">
      <c r="A13367" t="s">
        <v>16</v>
      </c>
      <c r="B13367" t="s">
        <v>3221</v>
      </c>
      <c r="C13367">
        <v>10693</v>
      </c>
      <c r="D13367" t="s">
        <v>3667</v>
      </c>
      <c r="E13367" t="s">
        <v>820</v>
      </c>
      <c r="F13367">
        <v>66.08</v>
      </c>
      <c r="G13367">
        <v>230819</v>
      </c>
      <c r="H13367">
        <v>4520</v>
      </c>
      <c r="I13367" t="s">
        <v>254</v>
      </c>
      <c r="J13367">
        <v>75.33</v>
      </c>
      <c r="K13367">
        <v>9.25</v>
      </c>
      <c r="L13367">
        <v>69113</v>
      </c>
      <c r="M13367" t="s">
        <v>282</v>
      </c>
      <c r="N13367" t="str">
        <f>"25173       "</f>
        <v xml:space="preserve">25173       </v>
      </c>
      <c r="O13367">
        <v>230822</v>
      </c>
    </row>
    <row r="13368" spans="1:15" x14ac:dyDescent="0.25">
      <c r="A13368" t="s">
        <v>16</v>
      </c>
      <c r="B13368" t="s">
        <v>3221</v>
      </c>
      <c r="C13368">
        <v>10693</v>
      </c>
      <c r="D13368" t="s">
        <v>3667</v>
      </c>
      <c r="E13368" t="s">
        <v>820</v>
      </c>
      <c r="F13368">
        <v>7.34</v>
      </c>
      <c r="G13368">
        <v>230819</v>
      </c>
      <c r="H13368">
        <v>4520</v>
      </c>
      <c r="I13368" t="s">
        <v>254</v>
      </c>
      <c r="J13368">
        <v>8.3699999999999992</v>
      </c>
      <c r="K13368">
        <v>1.03</v>
      </c>
      <c r="L13368">
        <v>69802</v>
      </c>
      <c r="M13368" t="s">
        <v>283</v>
      </c>
      <c r="N13368" t="str">
        <f>"25173       "</f>
        <v xml:space="preserve">25173       </v>
      </c>
      <c r="O13368">
        <v>230822</v>
      </c>
    </row>
    <row r="13369" spans="1:15" x14ac:dyDescent="0.25">
      <c r="A13369" t="s">
        <v>16</v>
      </c>
      <c r="B13369" t="s">
        <v>3221</v>
      </c>
      <c r="C13369">
        <v>10693</v>
      </c>
      <c r="D13369" t="s">
        <v>3667</v>
      </c>
      <c r="E13369" t="s">
        <v>820</v>
      </c>
      <c r="F13369">
        <v>127.63</v>
      </c>
      <c r="G13369">
        <v>230819</v>
      </c>
      <c r="H13369">
        <v>4520</v>
      </c>
      <c r="I13369" t="s">
        <v>254</v>
      </c>
      <c r="J13369">
        <v>145.5</v>
      </c>
      <c r="K13369">
        <v>17.87</v>
      </c>
      <c r="L13369">
        <v>69804</v>
      </c>
      <c r="M13369" t="s">
        <v>284</v>
      </c>
      <c r="N13369" t="str">
        <f>"25173       "</f>
        <v xml:space="preserve">25173       </v>
      </c>
      <c r="O13369">
        <v>230822</v>
      </c>
    </row>
    <row r="13370" spans="1:15" x14ac:dyDescent="0.25">
      <c r="A13370" t="s">
        <v>16</v>
      </c>
      <c r="B13370" t="s">
        <v>3221</v>
      </c>
      <c r="C13370">
        <v>11837</v>
      </c>
      <c r="D13370" t="s">
        <v>3667</v>
      </c>
      <c r="E13370" t="s">
        <v>820</v>
      </c>
      <c r="F13370">
        <v>80.760000000000005</v>
      </c>
      <c r="G13370">
        <v>230831</v>
      </c>
      <c r="H13370">
        <v>4520</v>
      </c>
      <c r="I13370" t="s">
        <v>254</v>
      </c>
      <c r="J13370">
        <v>92.07</v>
      </c>
      <c r="K13370">
        <v>11.31</v>
      </c>
      <c r="L13370">
        <v>69113</v>
      </c>
      <c r="M13370" t="s">
        <v>282</v>
      </c>
      <c r="N13370" t="str">
        <f>"25289       "</f>
        <v xml:space="preserve">25289       </v>
      </c>
      <c r="O13370">
        <v>230911</v>
      </c>
    </row>
    <row r="13371" spans="1:15" x14ac:dyDescent="0.25">
      <c r="A13371" t="s">
        <v>16</v>
      </c>
      <c r="B13371" t="s">
        <v>3221</v>
      </c>
      <c r="C13371">
        <v>11837</v>
      </c>
      <c r="D13371" t="s">
        <v>3667</v>
      </c>
      <c r="E13371" t="s">
        <v>820</v>
      </c>
      <c r="F13371">
        <v>9.5</v>
      </c>
      <c r="G13371">
        <v>230831</v>
      </c>
      <c r="H13371">
        <v>4520</v>
      </c>
      <c r="I13371" t="s">
        <v>254</v>
      </c>
      <c r="J13371">
        <v>10.83</v>
      </c>
      <c r="K13371">
        <v>1.33</v>
      </c>
      <c r="L13371">
        <v>69802</v>
      </c>
      <c r="M13371" t="s">
        <v>283</v>
      </c>
      <c r="N13371" t="str">
        <f>"25289       "</f>
        <v xml:space="preserve">25289       </v>
      </c>
      <c r="O13371">
        <v>230911</v>
      </c>
    </row>
    <row r="13372" spans="1:15" x14ac:dyDescent="0.25">
      <c r="A13372" t="s">
        <v>16</v>
      </c>
      <c r="B13372" t="s">
        <v>3221</v>
      </c>
      <c r="C13372">
        <v>11837</v>
      </c>
      <c r="D13372" t="s">
        <v>3667</v>
      </c>
      <c r="E13372" t="s">
        <v>820</v>
      </c>
      <c r="F13372">
        <v>4.75</v>
      </c>
      <c r="G13372">
        <v>230831</v>
      </c>
      <c r="H13372">
        <v>4520</v>
      </c>
      <c r="I13372" t="s">
        <v>254</v>
      </c>
      <c r="J13372">
        <v>5.42</v>
      </c>
      <c r="K13372">
        <v>0.67</v>
      </c>
      <c r="L13372">
        <v>69804</v>
      </c>
      <c r="M13372" t="s">
        <v>284</v>
      </c>
      <c r="N13372" t="str">
        <f>"25289       "</f>
        <v xml:space="preserve">25289       </v>
      </c>
      <c r="O13372">
        <v>230911</v>
      </c>
    </row>
    <row r="13373" spans="1:15" x14ac:dyDescent="0.25">
      <c r="A13373" t="s">
        <v>16</v>
      </c>
      <c r="B13373" t="s">
        <v>3221</v>
      </c>
      <c r="C13373">
        <v>12724</v>
      </c>
      <c r="D13373" t="s">
        <v>3667</v>
      </c>
      <c r="E13373" t="s">
        <v>820</v>
      </c>
      <c r="F13373">
        <v>66.61</v>
      </c>
      <c r="G13373">
        <v>230916</v>
      </c>
      <c r="H13373">
        <v>4520</v>
      </c>
      <c r="I13373" t="s">
        <v>254</v>
      </c>
      <c r="J13373">
        <v>75.930000000000007</v>
      </c>
      <c r="K13373">
        <v>9.32</v>
      </c>
      <c r="L13373">
        <v>69113</v>
      </c>
      <c r="M13373" t="s">
        <v>282</v>
      </c>
      <c r="N13373" t="str">
        <f>"25413       "</f>
        <v xml:space="preserve">25413       </v>
      </c>
      <c r="O13373">
        <v>230925</v>
      </c>
    </row>
    <row r="13374" spans="1:15" x14ac:dyDescent="0.25">
      <c r="A13374" t="s">
        <v>16</v>
      </c>
      <c r="B13374" t="s">
        <v>3221</v>
      </c>
      <c r="C13374">
        <v>12724</v>
      </c>
      <c r="D13374" t="s">
        <v>3667</v>
      </c>
      <c r="E13374" t="s">
        <v>820</v>
      </c>
      <c r="F13374">
        <v>7.83</v>
      </c>
      <c r="G13374">
        <v>230916</v>
      </c>
      <c r="H13374">
        <v>4520</v>
      </c>
      <c r="I13374" t="s">
        <v>254</v>
      </c>
      <c r="J13374">
        <v>8.93</v>
      </c>
      <c r="K13374">
        <v>1.1000000000000001</v>
      </c>
      <c r="L13374">
        <v>69802</v>
      </c>
      <c r="M13374" t="s">
        <v>283</v>
      </c>
      <c r="N13374" t="str">
        <f>"25413       "</f>
        <v xml:space="preserve">25413       </v>
      </c>
      <c r="O13374">
        <v>230925</v>
      </c>
    </row>
    <row r="13375" spans="1:15" x14ac:dyDescent="0.25">
      <c r="A13375" t="s">
        <v>16</v>
      </c>
      <c r="B13375" t="s">
        <v>3221</v>
      </c>
      <c r="C13375">
        <v>12724</v>
      </c>
      <c r="D13375" t="s">
        <v>3667</v>
      </c>
      <c r="E13375" t="s">
        <v>820</v>
      </c>
      <c r="F13375">
        <v>3.92</v>
      </c>
      <c r="G13375">
        <v>230916</v>
      </c>
      <c r="H13375">
        <v>4520</v>
      </c>
      <c r="I13375" t="s">
        <v>254</v>
      </c>
      <c r="J13375">
        <v>4.47</v>
      </c>
      <c r="K13375">
        <v>0.55000000000000004</v>
      </c>
      <c r="L13375">
        <v>69804</v>
      </c>
      <c r="M13375" t="s">
        <v>284</v>
      </c>
      <c r="N13375" t="str">
        <f>"25413       "</f>
        <v xml:space="preserve">25413       </v>
      </c>
      <c r="O13375">
        <v>230925</v>
      </c>
    </row>
    <row r="13376" spans="1:15" x14ac:dyDescent="0.25">
      <c r="A13376" t="s">
        <v>16</v>
      </c>
      <c r="B13376" t="s">
        <v>3221</v>
      </c>
      <c r="C13376">
        <v>13282</v>
      </c>
      <c r="D13376" t="s">
        <v>3667</v>
      </c>
      <c r="E13376" t="s">
        <v>820</v>
      </c>
      <c r="F13376">
        <v>81.44</v>
      </c>
      <c r="G13376">
        <v>230930</v>
      </c>
      <c r="H13376">
        <v>4520</v>
      </c>
      <c r="I13376" t="s">
        <v>254</v>
      </c>
      <c r="J13376">
        <v>92.84</v>
      </c>
      <c r="K13376">
        <v>11.4</v>
      </c>
      <c r="L13376">
        <v>69113</v>
      </c>
      <c r="M13376" t="s">
        <v>282</v>
      </c>
      <c r="N13376" t="str">
        <f>"25535       "</f>
        <v xml:space="preserve">25535       </v>
      </c>
      <c r="O13376">
        <v>231009</v>
      </c>
    </row>
    <row r="13377" spans="1:15" x14ac:dyDescent="0.25">
      <c r="A13377" t="s">
        <v>16</v>
      </c>
      <c r="B13377" t="s">
        <v>3221</v>
      </c>
      <c r="C13377">
        <v>13282</v>
      </c>
      <c r="D13377" t="s">
        <v>3667</v>
      </c>
      <c r="E13377" t="s">
        <v>820</v>
      </c>
      <c r="F13377">
        <v>9.58</v>
      </c>
      <c r="G13377">
        <v>230930</v>
      </c>
      <c r="H13377">
        <v>4520</v>
      </c>
      <c r="I13377" t="s">
        <v>254</v>
      </c>
      <c r="J13377">
        <v>10.92</v>
      </c>
      <c r="K13377">
        <v>1.34</v>
      </c>
      <c r="L13377">
        <v>69802</v>
      </c>
      <c r="M13377" t="s">
        <v>283</v>
      </c>
      <c r="N13377" t="str">
        <f>"25535       "</f>
        <v xml:space="preserve">25535       </v>
      </c>
      <c r="O13377">
        <v>231009</v>
      </c>
    </row>
    <row r="13378" spans="1:15" x14ac:dyDescent="0.25">
      <c r="A13378" t="s">
        <v>16</v>
      </c>
      <c r="B13378" t="s">
        <v>3221</v>
      </c>
      <c r="C13378">
        <v>13282</v>
      </c>
      <c r="D13378" t="s">
        <v>3667</v>
      </c>
      <c r="E13378" t="s">
        <v>820</v>
      </c>
      <c r="F13378">
        <v>4.79</v>
      </c>
      <c r="G13378">
        <v>230930</v>
      </c>
      <c r="H13378">
        <v>4520</v>
      </c>
      <c r="I13378" t="s">
        <v>254</v>
      </c>
      <c r="J13378">
        <v>5.46</v>
      </c>
      <c r="K13378">
        <v>0.67</v>
      </c>
      <c r="L13378">
        <v>69804</v>
      </c>
      <c r="M13378" t="s">
        <v>284</v>
      </c>
      <c r="N13378" t="str">
        <f>"25535       "</f>
        <v xml:space="preserve">25535       </v>
      </c>
      <c r="O13378">
        <v>231009</v>
      </c>
    </row>
    <row r="13379" spans="1:15" x14ac:dyDescent="0.25">
      <c r="A13379" t="s">
        <v>16</v>
      </c>
      <c r="B13379" t="s">
        <v>3221</v>
      </c>
      <c r="C13379">
        <v>14633</v>
      </c>
      <c r="D13379" t="s">
        <v>3667</v>
      </c>
      <c r="E13379" t="s">
        <v>820</v>
      </c>
      <c r="F13379">
        <v>160.02000000000001</v>
      </c>
      <c r="G13379">
        <v>231014</v>
      </c>
      <c r="H13379">
        <v>4520</v>
      </c>
      <c r="I13379" t="s">
        <v>254</v>
      </c>
      <c r="J13379">
        <v>182.42</v>
      </c>
      <c r="K13379">
        <v>22.4</v>
      </c>
      <c r="L13379">
        <v>69113</v>
      </c>
      <c r="M13379" t="s">
        <v>282</v>
      </c>
      <c r="N13379" t="str">
        <f>"25656       "</f>
        <v xml:space="preserve">25656       </v>
      </c>
      <c r="O13379">
        <v>231031</v>
      </c>
    </row>
    <row r="13380" spans="1:15" x14ac:dyDescent="0.25">
      <c r="A13380" t="s">
        <v>16</v>
      </c>
      <c r="B13380" t="s">
        <v>3221</v>
      </c>
      <c r="C13380">
        <v>14633</v>
      </c>
      <c r="D13380" t="s">
        <v>3667</v>
      </c>
      <c r="E13380" t="s">
        <v>820</v>
      </c>
      <c r="F13380">
        <v>18.82</v>
      </c>
      <c r="G13380">
        <v>231014</v>
      </c>
      <c r="H13380">
        <v>4520</v>
      </c>
      <c r="I13380" t="s">
        <v>254</v>
      </c>
      <c r="J13380">
        <v>21.46</v>
      </c>
      <c r="K13380">
        <v>2.64</v>
      </c>
      <c r="L13380">
        <v>69802</v>
      </c>
      <c r="M13380" t="s">
        <v>283</v>
      </c>
      <c r="N13380" t="str">
        <f>"25656       "</f>
        <v xml:space="preserve">25656       </v>
      </c>
      <c r="O13380">
        <v>231031</v>
      </c>
    </row>
    <row r="13381" spans="1:15" x14ac:dyDescent="0.25">
      <c r="A13381" t="s">
        <v>16</v>
      </c>
      <c r="B13381" t="s">
        <v>3221</v>
      </c>
      <c r="C13381">
        <v>14633</v>
      </c>
      <c r="D13381" t="s">
        <v>3667</v>
      </c>
      <c r="E13381" t="s">
        <v>820</v>
      </c>
      <c r="F13381">
        <v>9.41</v>
      </c>
      <c r="G13381">
        <v>231014</v>
      </c>
      <c r="H13381">
        <v>4520</v>
      </c>
      <c r="I13381" t="s">
        <v>254</v>
      </c>
      <c r="J13381">
        <v>10.73</v>
      </c>
      <c r="K13381">
        <v>1.32</v>
      </c>
      <c r="L13381">
        <v>69804</v>
      </c>
      <c r="M13381" t="s">
        <v>284</v>
      </c>
      <c r="N13381" t="str">
        <f>"25656       "</f>
        <v xml:space="preserve">25656       </v>
      </c>
      <c r="O13381">
        <v>231031</v>
      </c>
    </row>
    <row r="13382" spans="1:15" x14ac:dyDescent="0.25">
      <c r="A13382" t="s">
        <v>16</v>
      </c>
      <c r="B13382" t="s">
        <v>3221</v>
      </c>
      <c r="C13382">
        <v>16195</v>
      </c>
      <c r="D13382" t="s">
        <v>3667</v>
      </c>
      <c r="E13382" t="s">
        <v>820</v>
      </c>
      <c r="F13382">
        <v>212.16</v>
      </c>
      <c r="G13382">
        <v>231118</v>
      </c>
      <c r="H13382">
        <v>4520</v>
      </c>
      <c r="I13382" t="s">
        <v>254</v>
      </c>
      <c r="J13382">
        <v>241.86</v>
      </c>
      <c r="K13382">
        <v>29.7</v>
      </c>
      <c r="L13382">
        <v>69113</v>
      </c>
      <c r="M13382" t="s">
        <v>282</v>
      </c>
      <c r="N13382" t="str">
        <f>"25997       "</f>
        <v xml:space="preserve">25997       </v>
      </c>
      <c r="O13382">
        <v>231127</v>
      </c>
    </row>
    <row r="13383" spans="1:15" x14ac:dyDescent="0.25">
      <c r="A13383" t="s">
        <v>16</v>
      </c>
      <c r="B13383" t="s">
        <v>3221</v>
      </c>
      <c r="C13383">
        <v>16195</v>
      </c>
      <c r="D13383" t="s">
        <v>3667</v>
      </c>
      <c r="E13383" t="s">
        <v>820</v>
      </c>
      <c r="F13383">
        <v>24.96</v>
      </c>
      <c r="G13383">
        <v>231118</v>
      </c>
      <c r="H13383">
        <v>4520</v>
      </c>
      <c r="I13383" t="s">
        <v>254</v>
      </c>
      <c r="J13383">
        <v>28.45</v>
      </c>
      <c r="K13383">
        <v>3.49</v>
      </c>
      <c r="L13383">
        <v>69802</v>
      </c>
      <c r="M13383" t="s">
        <v>283</v>
      </c>
      <c r="N13383" t="str">
        <f>"25997       "</f>
        <v xml:space="preserve">25997       </v>
      </c>
      <c r="O13383">
        <v>231127</v>
      </c>
    </row>
    <row r="13384" spans="1:15" x14ac:dyDescent="0.25">
      <c r="A13384" t="s">
        <v>16</v>
      </c>
      <c r="B13384" t="s">
        <v>3221</v>
      </c>
      <c r="C13384">
        <v>16195</v>
      </c>
      <c r="D13384" t="s">
        <v>3667</v>
      </c>
      <c r="E13384" t="s">
        <v>820</v>
      </c>
      <c r="F13384">
        <v>12.48</v>
      </c>
      <c r="G13384">
        <v>231118</v>
      </c>
      <c r="H13384">
        <v>4520</v>
      </c>
      <c r="I13384" t="s">
        <v>254</v>
      </c>
      <c r="J13384">
        <v>14.23</v>
      </c>
      <c r="K13384">
        <v>1.75</v>
      </c>
      <c r="L13384">
        <v>69804</v>
      </c>
      <c r="M13384" t="s">
        <v>284</v>
      </c>
      <c r="N13384" t="str">
        <f>"25997       "</f>
        <v xml:space="preserve">25997       </v>
      </c>
      <c r="O13384">
        <v>231127</v>
      </c>
    </row>
    <row r="13385" spans="1:15" x14ac:dyDescent="0.25">
      <c r="A13385" t="s">
        <v>16</v>
      </c>
      <c r="B13385" t="s">
        <v>3221</v>
      </c>
      <c r="C13385">
        <v>16827</v>
      </c>
      <c r="D13385" t="s">
        <v>3667</v>
      </c>
      <c r="E13385" t="s">
        <v>820</v>
      </c>
      <c r="F13385">
        <v>87.31</v>
      </c>
      <c r="G13385">
        <v>231130</v>
      </c>
      <c r="H13385">
        <v>4520</v>
      </c>
      <c r="I13385" t="s">
        <v>254</v>
      </c>
      <c r="J13385">
        <v>99.53</v>
      </c>
      <c r="K13385">
        <v>12.22</v>
      </c>
      <c r="L13385">
        <v>69113</v>
      </c>
      <c r="M13385" t="s">
        <v>282</v>
      </c>
      <c r="N13385" t="str">
        <f>"26115       "</f>
        <v xml:space="preserve">26115       </v>
      </c>
      <c r="O13385">
        <v>231211</v>
      </c>
    </row>
    <row r="13386" spans="1:15" x14ac:dyDescent="0.25">
      <c r="A13386" t="s">
        <v>16</v>
      </c>
      <c r="B13386" t="s">
        <v>3221</v>
      </c>
      <c r="C13386">
        <v>16827</v>
      </c>
      <c r="D13386" t="s">
        <v>3667</v>
      </c>
      <c r="E13386" t="s">
        <v>820</v>
      </c>
      <c r="F13386">
        <v>10.27</v>
      </c>
      <c r="G13386">
        <v>231130</v>
      </c>
      <c r="H13386">
        <v>4520</v>
      </c>
      <c r="I13386" t="s">
        <v>254</v>
      </c>
      <c r="J13386">
        <v>11.71</v>
      </c>
      <c r="K13386">
        <v>1.44</v>
      </c>
      <c r="L13386">
        <v>69802</v>
      </c>
      <c r="M13386" t="s">
        <v>283</v>
      </c>
      <c r="N13386" t="str">
        <f>"26115       "</f>
        <v xml:space="preserve">26115       </v>
      </c>
      <c r="O13386">
        <v>231211</v>
      </c>
    </row>
    <row r="13387" spans="1:15" x14ac:dyDescent="0.25">
      <c r="A13387" t="s">
        <v>16</v>
      </c>
      <c r="B13387" t="s">
        <v>3221</v>
      </c>
      <c r="C13387">
        <v>16827</v>
      </c>
      <c r="D13387" t="s">
        <v>3667</v>
      </c>
      <c r="E13387" t="s">
        <v>820</v>
      </c>
      <c r="F13387">
        <v>5.13</v>
      </c>
      <c r="G13387">
        <v>231130</v>
      </c>
      <c r="H13387">
        <v>4520</v>
      </c>
      <c r="I13387" t="s">
        <v>254</v>
      </c>
      <c r="J13387">
        <v>5.85</v>
      </c>
      <c r="K13387">
        <v>0.72</v>
      </c>
      <c r="L13387">
        <v>69804</v>
      </c>
      <c r="M13387" t="s">
        <v>284</v>
      </c>
      <c r="N13387" t="str">
        <f>"26115       "</f>
        <v xml:space="preserve">26115       </v>
      </c>
      <c r="O13387">
        <v>231211</v>
      </c>
    </row>
    <row r="13388" spans="1:15" x14ac:dyDescent="0.25">
      <c r="A13388" t="s">
        <v>16</v>
      </c>
      <c r="B13388" t="s">
        <v>3221</v>
      </c>
      <c r="C13388">
        <v>18011</v>
      </c>
      <c r="D13388" t="s">
        <v>3667</v>
      </c>
      <c r="E13388" t="s">
        <v>820</v>
      </c>
      <c r="F13388">
        <v>67.97</v>
      </c>
      <c r="G13388">
        <v>231216</v>
      </c>
      <c r="H13388">
        <v>4520</v>
      </c>
      <c r="I13388" t="s">
        <v>254</v>
      </c>
      <c r="J13388">
        <v>77.489999999999995</v>
      </c>
      <c r="K13388">
        <v>9.52</v>
      </c>
      <c r="L13388">
        <v>69113</v>
      </c>
      <c r="M13388" t="s">
        <v>282</v>
      </c>
      <c r="N13388" t="str">
        <f>"26240       "</f>
        <v xml:space="preserve">26240       </v>
      </c>
      <c r="O13388">
        <v>231228</v>
      </c>
    </row>
    <row r="13389" spans="1:15" x14ac:dyDescent="0.25">
      <c r="A13389" t="s">
        <v>16</v>
      </c>
      <c r="B13389" t="s">
        <v>3221</v>
      </c>
      <c r="C13389">
        <v>18011</v>
      </c>
      <c r="D13389" t="s">
        <v>3667</v>
      </c>
      <c r="E13389" t="s">
        <v>820</v>
      </c>
      <c r="F13389">
        <v>8</v>
      </c>
      <c r="G13389">
        <v>231216</v>
      </c>
      <c r="H13389">
        <v>4520</v>
      </c>
      <c r="I13389" t="s">
        <v>254</v>
      </c>
      <c r="J13389">
        <v>9.1199999999999992</v>
      </c>
      <c r="K13389">
        <v>1.1200000000000001</v>
      </c>
      <c r="L13389">
        <v>69802</v>
      </c>
      <c r="M13389" t="s">
        <v>283</v>
      </c>
      <c r="N13389" t="str">
        <f>"26240       "</f>
        <v xml:space="preserve">26240       </v>
      </c>
      <c r="O13389">
        <v>231228</v>
      </c>
    </row>
    <row r="13390" spans="1:15" x14ac:dyDescent="0.25">
      <c r="A13390" t="s">
        <v>16</v>
      </c>
      <c r="B13390" t="s">
        <v>3221</v>
      </c>
      <c r="C13390">
        <v>18011</v>
      </c>
      <c r="D13390" t="s">
        <v>3667</v>
      </c>
      <c r="E13390" t="s">
        <v>820</v>
      </c>
      <c r="F13390">
        <v>4</v>
      </c>
      <c r="G13390">
        <v>231216</v>
      </c>
      <c r="H13390">
        <v>4520</v>
      </c>
      <c r="I13390" t="s">
        <v>254</v>
      </c>
      <c r="J13390">
        <v>4.5599999999999996</v>
      </c>
      <c r="K13390">
        <v>0.56000000000000005</v>
      </c>
      <c r="L13390">
        <v>69804</v>
      </c>
      <c r="M13390" t="s">
        <v>284</v>
      </c>
      <c r="N13390" t="str">
        <f>"26240       "</f>
        <v xml:space="preserve">26240       </v>
      </c>
      <c r="O13390">
        <v>231228</v>
      </c>
    </row>
    <row r="13391" spans="1:15" x14ac:dyDescent="0.25">
      <c r="A13391" t="s">
        <v>16</v>
      </c>
      <c r="B13391" t="s">
        <v>3221</v>
      </c>
      <c r="C13391">
        <v>15003</v>
      </c>
      <c r="D13391" t="s">
        <v>3274</v>
      </c>
      <c r="E13391" t="s">
        <v>3275</v>
      </c>
      <c r="F13391">
        <v>1615.12</v>
      </c>
      <c r="G13391">
        <v>231102</v>
      </c>
      <c r="H13391">
        <v>1196</v>
      </c>
      <c r="I13391" t="s">
        <v>392</v>
      </c>
      <c r="J13391">
        <v>1615.12</v>
      </c>
      <c r="K13391">
        <v>0</v>
      </c>
      <c r="L13391">
        <v>96501</v>
      </c>
      <c r="M13391" t="s">
        <v>2361</v>
      </c>
      <c r="N13391" t="str">
        <f>"171/261801  "</f>
        <v xml:space="preserve">171/261801  </v>
      </c>
      <c r="O13391">
        <v>231108</v>
      </c>
    </row>
    <row r="13392" spans="1:15" x14ac:dyDescent="0.25">
      <c r="A13392" t="s">
        <v>16</v>
      </c>
      <c r="B13392" t="s">
        <v>3221</v>
      </c>
      <c r="C13392">
        <v>6653</v>
      </c>
      <c r="D13392" t="s">
        <v>3274</v>
      </c>
      <c r="E13392" t="s">
        <v>3275</v>
      </c>
      <c r="F13392">
        <v>2691.04</v>
      </c>
      <c r="G13392">
        <v>230502</v>
      </c>
      <c r="H13392">
        <v>4800</v>
      </c>
      <c r="I13392" t="s">
        <v>3276</v>
      </c>
      <c r="J13392">
        <v>2691.04</v>
      </c>
      <c r="K13392">
        <v>0</v>
      </c>
      <c r="L13392">
        <v>49503</v>
      </c>
      <c r="M13392" t="s">
        <v>178</v>
      </c>
      <c r="N13392" t="str">
        <f>"169/261016  "</f>
        <v xml:space="preserve">169/261016  </v>
      </c>
      <c r="O13392">
        <v>230516</v>
      </c>
    </row>
    <row r="13393" spans="1:15" x14ac:dyDescent="0.25">
      <c r="A13393" t="s">
        <v>16</v>
      </c>
      <c r="B13393" t="s">
        <v>3221</v>
      </c>
      <c r="C13393">
        <v>13706</v>
      </c>
      <c r="D13393" t="s">
        <v>3274</v>
      </c>
      <c r="E13393" t="s">
        <v>3275</v>
      </c>
      <c r="F13393">
        <v>2241.21</v>
      </c>
      <c r="G13393">
        <v>231006</v>
      </c>
      <c r="H13393">
        <v>4800</v>
      </c>
      <c r="I13393" t="s">
        <v>3276</v>
      </c>
      <c r="J13393">
        <v>2241.21</v>
      </c>
      <c r="K13393">
        <v>0</v>
      </c>
      <c r="L13393">
        <v>49501</v>
      </c>
      <c r="M13393" t="s">
        <v>177</v>
      </c>
      <c r="N13393" t="str">
        <f>"169/261073  "</f>
        <v xml:space="preserve">169/261073  </v>
      </c>
      <c r="O13393">
        <v>231012</v>
      </c>
    </row>
    <row r="13394" spans="1:15" x14ac:dyDescent="0.25">
      <c r="A13394" t="s">
        <v>16</v>
      </c>
      <c r="B13394" t="s">
        <v>3221</v>
      </c>
      <c r="C13394">
        <v>2075</v>
      </c>
      <c r="D13394" t="s">
        <v>1288</v>
      </c>
      <c r="E13394" t="s">
        <v>1289</v>
      </c>
      <c r="F13394">
        <v>130.91</v>
      </c>
      <c r="G13394">
        <v>230131</v>
      </c>
      <c r="H13394">
        <v>4860</v>
      </c>
      <c r="I13394" t="s">
        <v>28</v>
      </c>
      <c r="J13394">
        <v>144</v>
      </c>
      <c r="K13394">
        <v>13.09</v>
      </c>
      <c r="L13394">
        <v>49807</v>
      </c>
      <c r="M13394" t="s">
        <v>914</v>
      </c>
      <c r="N13394" t="str">
        <f>"1373        "</f>
        <v xml:space="preserve">1373        </v>
      </c>
      <c r="O13394">
        <v>230220</v>
      </c>
    </row>
    <row r="13395" spans="1:15" x14ac:dyDescent="0.25">
      <c r="A13395" t="s">
        <v>16</v>
      </c>
      <c r="B13395" t="s">
        <v>3221</v>
      </c>
      <c r="C13395">
        <v>2076</v>
      </c>
      <c r="D13395" t="s">
        <v>1288</v>
      </c>
      <c r="E13395" t="s">
        <v>1289</v>
      </c>
      <c r="F13395">
        <v>130.91</v>
      </c>
      <c r="G13395">
        <v>230131</v>
      </c>
      <c r="H13395">
        <v>4860</v>
      </c>
      <c r="I13395" t="s">
        <v>28</v>
      </c>
      <c r="J13395">
        <v>144</v>
      </c>
      <c r="K13395">
        <v>13.09</v>
      </c>
      <c r="L13395">
        <v>48601</v>
      </c>
      <c r="M13395" t="s">
        <v>1047</v>
      </c>
      <c r="N13395" t="str">
        <f>"1374        "</f>
        <v xml:space="preserve">1374        </v>
      </c>
      <c r="O13395">
        <v>230220</v>
      </c>
    </row>
    <row r="13396" spans="1:15" x14ac:dyDescent="0.25">
      <c r="A13396" t="s">
        <v>16</v>
      </c>
      <c r="B13396" t="s">
        <v>3221</v>
      </c>
      <c r="C13396">
        <v>3526</v>
      </c>
      <c r="D13396" t="s">
        <v>1288</v>
      </c>
      <c r="E13396" t="s">
        <v>1289</v>
      </c>
      <c r="F13396">
        <v>130.91</v>
      </c>
      <c r="G13396">
        <v>230228</v>
      </c>
      <c r="H13396">
        <v>4860</v>
      </c>
      <c r="I13396" t="s">
        <v>28</v>
      </c>
      <c r="J13396">
        <v>144</v>
      </c>
      <c r="K13396">
        <v>13.09</v>
      </c>
      <c r="L13396">
        <v>48601</v>
      </c>
      <c r="M13396" t="s">
        <v>1047</v>
      </c>
      <c r="N13396" t="str">
        <f>"1391        "</f>
        <v xml:space="preserve">1391        </v>
      </c>
      <c r="O13396">
        <v>230316</v>
      </c>
    </row>
    <row r="13397" spans="1:15" x14ac:dyDescent="0.25">
      <c r="A13397" t="s">
        <v>16</v>
      </c>
      <c r="B13397" t="s">
        <v>3221</v>
      </c>
      <c r="C13397">
        <v>3535</v>
      </c>
      <c r="D13397" t="s">
        <v>1288</v>
      </c>
      <c r="E13397" t="s">
        <v>1289</v>
      </c>
      <c r="F13397">
        <v>229.09</v>
      </c>
      <c r="G13397">
        <v>230228</v>
      </c>
      <c r="H13397">
        <v>4860</v>
      </c>
      <c r="I13397" t="s">
        <v>28</v>
      </c>
      <c r="J13397">
        <v>252</v>
      </c>
      <c r="K13397">
        <v>22.91</v>
      </c>
      <c r="L13397">
        <v>49807</v>
      </c>
      <c r="M13397" t="s">
        <v>914</v>
      </c>
      <c r="N13397" t="str">
        <f>"1390        "</f>
        <v xml:space="preserve">1390        </v>
      </c>
      <c r="O13397">
        <v>230316</v>
      </c>
    </row>
    <row r="13398" spans="1:15" x14ac:dyDescent="0.25">
      <c r="A13398" t="s">
        <v>16</v>
      </c>
      <c r="B13398" t="s">
        <v>3221</v>
      </c>
      <c r="C13398">
        <v>6470</v>
      </c>
      <c r="D13398" t="s">
        <v>1288</v>
      </c>
      <c r="E13398" t="s">
        <v>1289</v>
      </c>
      <c r="F13398">
        <v>196.36</v>
      </c>
      <c r="G13398">
        <v>230331</v>
      </c>
      <c r="H13398">
        <v>4860</v>
      </c>
      <c r="I13398" t="s">
        <v>28</v>
      </c>
      <c r="J13398">
        <v>216</v>
      </c>
      <c r="K13398">
        <v>19.64</v>
      </c>
      <c r="L13398">
        <v>49807</v>
      </c>
      <c r="M13398" t="s">
        <v>914</v>
      </c>
      <c r="N13398" t="str">
        <f>"1421        "</f>
        <v xml:space="preserve">1421        </v>
      </c>
      <c r="O13398">
        <v>230512</v>
      </c>
    </row>
    <row r="13399" spans="1:15" x14ac:dyDescent="0.25">
      <c r="A13399" t="s">
        <v>16</v>
      </c>
      <c r="B13399" t="s">
        <v>3221</v>
      </c>
      <c r="C13399">
        <v>6472</v>
      </c>
      <c r="D13399" t="s">
        <v>1288</v>
      </c>
      <c r="E13399" t="s">
        <v>1289</v>
      </c>
      <c r="F13399">
        <v>130.91</v>
      </c>
      <c r="G13399">
        <v>230430</v>
      </c>
      <c r="H13399">
        <v>4860</v>
      </c>
      <c r="I13399" t="s">
        <v>28</v>
      </c>
      <c r="J13399">
        <v>144</v>
      </c>
      <c r="K13399">
        <v>13.09</v>
      </c>
      <c r="L13399">
        <v>49807</v>
      </c>
      <c r="M13399" t="s">
        <v>914</v>
      </c>
      <c r="N13399" t="str">
        <f>"1422        "</f>
        <v xml:space="preserve">1422        </v>
      </c>
      <c r="O13399">
        <v>230512</v>
      </c>
    </row>
    <row r="13400" spans="1:15" x14ac:dyDescent="0.25">
      <c r="A13400" t="s">
        <v>16</v>
      </c>
      <c r="B13400" t="s">
        <v>3221</v>
      </c>
      <c r="C13400">
        <v>6504</v>
      </c>
      <c r="D13400" t="s">
        <v>1288</v>
      </c>
      <c r="E13400" t="s">
        <v>1289</v>
      </c>
      <c r="F13400">
        <v>130.91</v>
      </c>
      <c r="G13400">
        <v>230331</v>
      </c>
      <c r="H13400">
        <v>4860</v>
      </c>
      <c r="I13400" t="s">
        <v>28</v>
      </c>
      <c r="J13400">
        <v>144</v>
      </c>
      <c r="K13400">
        <v>13.09</v>
      </c>
      <c r="L13400">
        <v>48601</v>
      </c>
      <c r="M13400" t="s">
        <v>1047</v>
      </c>
      <c r="N13400" t="str">
        <f>"1423        "</f>
        <v xml:space="preserve">1423        </v>
      </c>
      <c r="O13400">
        <v>230512</v>
      </c>
    </row>
    <row r="13401" spans="1:15" x14ac:dyDescent="0.25">
      <c r="A13401" t="s">
        <v>16</v>
      </c>
      <c r="B13401" t="s">
        <v>3221</v>
      </c>
      <c r="C13401">
        <v>6506</v>
      </c>
      <c r="D13401" t="s">
        <v>1288</v>
      </c>
      <c r="E13401" t="s">
        <v>1289</v>
      </c>
      <c r="F13401">
        <v>65.45</v>
      </c>
      <c r="G13401">
        <v>230430</v>
      </c>
      <c r="H13401">
        <v>4860</v>
      </c>
      <c r="I13401" t="s">
        <v>28</v>
      </c>
      <c r="J13401">
        <v>72</v>
      </c>
      <c r="K13401">
        <v>6.55</v>
      </c>
      <c r="L13401">
        <v>48601</v>
      </c>
      <c r="M13401" t="s">
        <v>1047</v>
      </c>
      <c r="N13401" t="str">
        <f>"1424        "</f>
        <v xml:space="preserve">1424        </v>
      </c>
      <c r="O13401">
        <v>230512</v>
      </c>
    </row>
    <row r="13402" spans="1:15" x14ac:dyDescent="0.25">
      <c r="A13402" t="s">
        <v>16</v>
      </c>
      <c r="B13402" t="s">
        <v>3221</v>
      </c>
      <c r="C13402">
        <v>13249</v>
      </c>
      <c r="D13402" t="s">
        <v>1288</v>
      </c>
      <c r="E13402" t="s">
        <v>1289</v>
      </c>
      <c r="F13402">
        <v>130.91</v>
      </c>
      <c r="G13402">
        <v>230831</v>
      </c>
      <c r="H13402">
        <v>4860</v>
      </c>
      <c r="I13402" t="s">
        <v>28</v>
      </c>
      <c r="J13402">
        <v>144</v>
      </c>
      <c r="K13402">
        <v>13.09</v>
      </c>
      <c r="L13402">
        <v>49807</v>
      </c>
      <c r="M13402" t="s">
        <v>914</v>
      </c>
      <c r="N13402" t="str">
        <f>"1447        "</f>
        <v xml:space="preserve">1447        </v>
      </c>
      <c r="O13402">
        <v>231026</v>
      </c>
    </row>
    <row r="13403" spans="1:15" x14ac:dyDescent="0.25">
      <c r="A13403" t="s">
        <v>16</v>
      </c>
      <c r="B13403" t="s">
        <v>3221</v>
      </c>
      <c r="C13403">
        <v>14210</v>
      </c>
      <c r="D13403" t="s">
        <v>1288</v>
      </c>
      <c r="E13403" t="s">
        <v>1289</v>
      </c>
      <c r="F13403">
        <v>196.36</v>
      </c>
      <c r="G13403">
        <v>230930</v>
      </c>
      <c r="H13403">
        <v>4860</v>
      </c>
      <c r="I13403" t="s">
        <v>28</v>
      </c>
      <c r="J13403">
        <v>216</v>
      </c>
      <c r="K13403">
        <v>19.64</v>
      </c>
      <c r="L13403">
        <v>49807</v>
      </c>
      <c r="M13403" t="s">
        <v>914</v>
      </c>
      <c r="N13403" t="str">
        <f>"1466        "</f>
        <v xml:space="preserve">1466        </v>
      </c>
      <c r="O13403">
        <v>231024</v>
      </c>
    </row>
    <row r="13404" spans="1:15" x14ac:dyDescent="0.25">
      <c r="A13404" t="s">
        <v>16</v>
      </c>
      <c r="B13404" t="s">
        <v>3221</v>
      </c>
      <c r="C13404">
        <v>15986</v>
      </c>
      <c r="D13404" t="s">
        <v>1288</v>
      </c>
      <c r="E13404" t="s">
        <v>1289</v>
      </c>
      <c r="F13404">
        <v>196.36</v>
      </c>
      <c r="G13404">
        <v>231031</v>
      </c>
      <c r="H13404">
        <v>4860</v>
      </c>
      <c r="I13404" t="s">
        <v>28</v>
      </c>
      <c r="J13404">
        <v>216</v>
      </c>
      <c r="K13404">
        <v>19.64</v>
      </c>
      <c r="L13404">
        <v>49807</v>
      </c>
      <c r="M13404" t="s">
        <v>914</v>
      </c>
      <c r="N13404" t="str">
        <f>"1490        "</f>
        <v xml:space="preserve">1490        </v>
      </c>
      <c r="O13404">
        <v>231122</v>
      </c>
    </row>
    <row r="13405" spans="1:15" x14ac:dyDescent="0.25">
      <c r="A13405" t="s">
        <v>16</v>
      </c>
      <c r="B13405" t="s">
        <v>3221</v>
      </c>
      <c r="C13405">
        <v>17640</v>
      </c>
      <c r="D13405" t="s">
        <v>1288</v>
      </c>
      <c r="E13405" t="s">
        <v>1289</v>
      </c>
      <c r="F13405">
        <v>261.82</v>
      </c>
      <c r="G13405">
        <v>231130</v>
      </c>
      <c r="H13405">
        <v>4860</v>
      </c>
      <c r="I13405" t="s">
        <v>28</v>
      </c>
      <c r="J13405">
        <v>288</v>
      </c>
      <c r="K13405">
        <v>26.18</v>
      </c>
      <c r="L13405">
        <v>49807</v>
      </c>
      <c r="M13405" t="s">
        <v>914</v>
      </c>
      <c r="N13405" t="str">
        <f>"1509        "</f>
        <v xml:space="preserve">1509        </v>
      </c>
      <c r="O13405">
        <v>231218</v>
      </c>
    </row>
    <row r="13406" spans="1:15" x14ac:dyDescent="0.25">
      <c r="A13406" t="s">
        <v>16</v>
      </c>
      <c r="B13406" t="s">
        <v>3221</v>
      </c>
      <c r="C13406">
        <v>19158</v>
      </c>
      <c r="D13406" t="s">
        <v>1288</v>
      </c>
      <c r="E13406" t="s">
        <v>1289</v>
      </c>
      <c r="F13406">
        <v>130.91</v>
      </c>
      <c r="G13406">
        <v>231231</v>
      </c>
      <c r="H13406">
        <v>4860</v>
      </c>
      <c r="I13406" t="s">
        <v>28</v>
      </c>
      <c r="J13406">
        <v>144</v>
      </c>
      <c r="K13406">
        <v>13.09</v>
      </c>
      <c r="L13406">
        <v>49807</v>
      </c>
      <c r="M13406" t="s">
        <v>914</v>
      </c>
      <c r="N13406" t="str">
        <f>"1511        "</f>
        <v xml:space="preserve">1511        </v>
      </c>
      <c r="O13406">
        <v>240111</v>
      </c>
    </row>
    <row r="13407" spans="1:15" x14ac:dyDescent="0.25">
      <c r="A13407" t="s">
        <v>16</v>
      </c>
      <c r="B13407" t="s">
        <v>3221</v>
      </c>
      <c r="C13407">
        <v>13177</v>
      </c>
      <c r="D13407" t="s">
        <v>1288</v>
      </c>
      <c r="E13407" t="s">
        <v>1289</v>
      </c>
      <c r="F13407">
        <v>525</v>
      </c>
      <c r="G13407">
        <v>230928</v>
      </c>
      <c r="H13407">
        <v>4350</v>
      </c>
      <c r="I13407" t="s">
        <v>546</v>
      </c>
      <c r="J13407">
        <v>651</v>
      </c>
      <c r="K13407">
        <v>126</v>
      </c>
      <c r="L13407">
        <v>49702</v>
      </c>
      <c r="M13407" t="s">
        <v>584</v>
      </c>
      <c r="N13407" t="str">
        <f>"23          "</f>
        <v xml:space="preserve">23          </v>
      </c>
      <c r="O13407">
        <v>231005</v>
      </c>
    </row>
    <row r="13408" spans="1:15" x14ac:dyDescent="0.25">
      <c r="A13408" t="s">
        <v>16</v>
      </c>
      <c r="B13408" t="s">
        <v>3221</v>
      </c>
      <c r="C13408">
        <v>1907</v>
      </c>
      <c r="D13408" t="s">
        <v>3668</v>
      </c>
      <c r="E13408" t="s">
        <v>1228</v>
      </c>
      <c r="F13408">
        <v>6537.5</v>
      </c>
      <c r="G13408">
        <v>230206</v>
      </c>
      <c r="H13408">
        <v>4571</v>
      </c>
      <c r="I13408" t="s">
        <v>181</v>
      </c>
      <c r="J13408">
        <v>8106.5</v>
      </c>
      <c r="K13408">
        <v>1569</v>
      </c>
      <c r="L13408">
        <v>49501</v>
      </c>
      <c r="M13408" t="s">
        <v>177</v>
      </c>
      <c r="N13408" t="str">
        <f>"418163      "</f>
        <v xml:space="preserve">418163      </v>
      </c>
      <c r="O13408">
        <v>230215</v>
      </c>
    </row>
    <row r="13409" spans="1:15" x14ac:dyDescent="0.25">
      <c r="A13409" t="s">
        <v>16</v>
      </c>
      <c r="B13409" t="s">
        <v>3221</v>
      </c>
      <c r="C13409">
        <v>1907</v>
      </c>
      <c r="D13409" t="s">
        <v>3668</v>
      </c>
      <c r="E13409" t="s">
        <v>1228</v>
      </c>
      <c r="F13409">
        <v>344.08</v>
      </c>
      <c r="G13409">
        <v>230206</v>
      </c>
      <c r="H13409">
        <v>4571</v>
      </c>
      <c r="I13409" t="s">
        <v>181</v>
      </c>
      <c r="J13409">
        <v>426.66</v>
      </c>
      <c r="K13409">
        <v>82.58</v>
      </c>
      <c r="L13409">
        <v>49801</v>
      </c>
      <c r="M13409" t="s">
        <v>1227</v>
      </c>
      <c r="N13409" t="str">
        <f>"418163      "</f>
        <v xml:space="preserve">418163      </v>
      </c>
      <c r="O13409">
        <v>230215</v>
      </c>
    </row>
    <row r="13410" spans="1:15" x14ac:dyDescent="0.25">
      <c r="A13410" t="s">
        <v>16</v>
      </c>
      <c r="B13410" t="s">
        <v>3221</v>
      </c>
      <c r="C13410">
        <v>1919</v>
      </c>
      <c r="D13410" t="s">
        <v>3668</v>
      </c>
      <c r="E13410" t="s">
        <v>1228</v>
      </c>
      <c r="F13410">
        <v>16620.3</v>
      </c>
      <c r="G13410">
        <v>230206</v>
      </c>
      <c r="H13410">
        <v>4571</v>
      </c>
      <c r="I13410" t="s">
        <v>181</v>
      </c>
      <c r="J13410">
        <v>20609.169999999998</v>
      </c>
      <c r="K13410">
        <v>3988.87</v>
      </c>
      <c r="L13410">
        <v>49501</v>
      </c>
      <c r="M13410" t="s">
        <v>177</v>
      </c>
      <c r="N13410" t="str">
        <f>"418162      "</f>
        <v xml:space="preserve">418162      </v>
      </c>
      <c r="O13410">
        <v>230216</v>
      </c>
    </row>
    <row r="13411" spans="1:15" x14ac:dyDescent="0.25">
      <c r="A13411" t="s">
        <v>16</v>
      </c>
      <c r="B13411" t="s">
        <v>3221</v>
      </c>
      <c r="C13411">
        <v>1919</v>
      </c>
      <c r="D13411" t="s">
        <v>3668</v>
      </c>
      <c r="E13411" t="s">
        <v>1228</v>
      </c>
      <c r="F13411">
        <v>901.81</v>
      </c>
      <c r="G13411">
        <v>230206</v>
      </c>
      <c r="H13411">
        <v>4571</v>
      </c>
      <c r="I13411" t="s">
        <v>181</v>
      </c>
      <c r="J13411">
        <v>1118.24</v>
      </c>
      <c r="K13411">
        <v>216.43</v>
      </c>
      <c r="L13411">
        <v>49801</v>
      </c>
      <c r="M13411" t="s">
        <v>1227</v>
      </c>
      <c r="N13411" t="str">
        <f>"418162      "</f>
        <v xml:space="preserve">418162      </v>
      </c>
      <c r="O13411">
        <v>230216</v>
      </c>
    </row>
    <row r="13412" spans="1:15" x14ac:dyDescent="0.25">
      <c r="A13412" t="s">
        <v>16</v>
      </c>
      <c r="B13412" t="s">
        <v>3221</v>
      </c>
      <c r="C13412">
        <v>1919</v>
      </c>
      <c r="D13412" t="s">
        <v>3668</v>
      </c>
      <c r="E13412" t="s">
        <v>1228</v>
      </c>
      <c r="F13412">
        <v>514.03</v>
      </c>
      <c r="G13412">
        <v>230206</v>
      </c>
      <c r="H13412">
        <v>4571</v>
      </c>
      <c r="I13412" t="s">
        <v>181</v>
      </c>
      <c r="J13412">
        <v>637.4</v>
      </c>
      <c r="K13412">
        <v>123.37</v>
      </c>
      <c r="L13412">
        <v>49803</v>
      </c>
      <c r="M13412" t="s">
        <v>1229</v>
      </c>
      <c r="N13412" t="str">
        <f>"418162      "</f>
        <v xml:space="preserve">418162      </v>
      </c>
      <c r="O13412">
        <v>230216</v>
      </c>
    </row>
    <row r="13413" spans="1:15" x14ac:dyDescent="0.25">
      <c r="A13413" t="s">
        <v>16</v>
      </c>
      <c r="B13413" t="s">
        <v>3221</v>
      </c>
      <c r="C13413">
        <v>2799</v>
      </c>
      <c r="D13413" t="s">
        <v>3668</v>
      </c>
      <c r="E13413" t="s">
        <v>1228</v>
      </c>
      <c r="F13413">
        <v>5974.39</v>
      </c>
      <c r="G13413">
        <v>230303</v>
      </c>
      <c r="H13413">
        <v>4571</v>
      </c>
      <c r="I13413" t="s">
        <v>181</v>
      </c>
      <c r="J13413">
        <v>7408.24</v>
      </c>
      <c r="K13413">
        <v>1433.85</v>
      </c>
      <c r="L13413">
        <v>49501</v>
      </c>
      <c r="M13413" t="s">
        <v>177</v>
      </c>
      <c r="N13413" t="str">
        <f>"418316      "</f>
        <v xml:space="preserve">418316      </v>
      </c>
      <c r="O13413">
        <v>230307</v>
      </c>
    </row>
    <row r="13414" spans="1:15" x14ac:dyDescent="0.25">
      <c r="A13414" t="s">
        <v>16</v>
      </c>
      <c r="B13414" t="s">
        <v>3221</v>
      </c>
      <c r="C13414">
        <v>2799</v>
      </c>
      <c r="D13414" t="s">
        <v>3668</v>
      </c>
      <c r="E13414" t="s">
        <v>1228</v>
      </c>
      <c r="F13414">
        <v>314.44</v>
      </c>
      <c r="G13414">
        <v>230303</v>
      </c>
      <c r="H13414">
        <v>4571</v>
      </c>
      <c r="I13414" t="s">
        <v>181</v>
      </c>
      <c r="J13414">
        <v>389.91</v>
      </c>
      <c r="K13414">
        <v>75.47</v>
      </c>
      <c r="L13414">
        <v>49801</v>
      </c>
      <c r="M13414" t="s">
        <v>1227</v>
      </c>
      <c r="N13414" t="str">
        <f>"418316      "</f>
        <v xml:space="preserve">418316      </v>
      </c>
      <c r="O13414">
        <v>230307</v>
      </c>
    </row>
    <row r="13415" spans="1:15" x14ac:dyDescent="0.25">
      <c r="A13415" t="s">
        <v>16</v>
      </c>
      <c r="B13415" t="s">
        <v>3221</v>
      </c>
      <c r="C13415">
        <v>2892</v>
      </c>
      <c r="D13415" t="s">
        <v>3668</v>
      </c>
      <c r="E13415" t="s">
        <v>1228</v>
      </c>
      <c r="F13415">
        <v>15285.35</v>
      </c>
      <c r="G13415">
        <v>230303</v>
      </c>
      <c r="H13415">
        <v>4571</v>
      </c>
      <c r="I13415" t="s">
        <v>181</v>
      </c>
      <c r="J13415">
        <v>18953.84</v>
      </c>
      <c r="K13415">
        <v>3668.49</v>
      </c>
      <c r="L13415">
        <v>49501</v>
      </c>
      <c r="M13415" t="s">
        <v>177</v>
      </c>
      <c r="N13415" t="str">
        <f>"418360      "</f>
        <v xml:space="preserve">418360      </v>
      </c>
      <c r="O13415">
        <v>230308</v>
      </c>
    </row>
    <row r="13416" spans="1:15" x14ac:dyDescent="0.25">
      <c r="A13416" t="s">
        <v>16</v>
      </c>
      <c r="B13416" t="s">
        <v>3221</v>
      </c>
      <c r="C13416">
        <v>2892</v>
      </c>
      <c r="D13416" t="s">
        <v>3668</v>
      </c>
      <c r="E13416" t="s">
        <v>1228</v>
      </c>
      <c r="F13416">
        <v>829.37</v>
      </c>
      <c r="G13416">
        <v>230303</v>
      </c>
      <c r="H13416">
        <v>4571</v>
      </c>
      <c r="I13416" t="s">
        <v>181</v>
      </c>
      <c r="J13416">
        <v>1028.42</v>
      </c>
      <c r="K13416">
        <v>199.05</v>
      </c>
      <c r="L13416">
        <v>49801</v>
      </c>
      <c r="M13416" t="s">
        <v>1227</v>
      </c>
      <c r="N13416" t="str">
        <f>"418360      "</f>
        <v xml:space="preserve">418360      </v>
      </c>
      <c r="O13416">
        <v>230308</v>
      </c>
    </row>
    <row r="13417" spans="1:15" x14ac:dyDescent="0.25">
      <c r="A13417" t="s">
        <v>16</v>
      </c>
      <c r="B13417" t="s">
        <v>3221</v>
      </c>
      <c r="C13417">
        <v>2892</v>
      </c>
      <c r="D13417" t="s">
        <v>3668</v>
      </c>
      <c r="E13417" t="s">
        <v>1228</v>
      </c>
      <c r="F13417">
        <v>472.74</v>
      </c>
      <c r="G13417">
        <v>230303</v>
      </c>
      <c r="H13417">
        <v>4571</v>
      </c>
      <c r="I13417" t="s">
        <v>181</v>
      </c>
      <c r="J13417">
        <v>586.20000000000005</v>
      </c>
      <c r="K13417">
        <v>113.46</v>
      </c>
      <c r="L13417">
        <v>49803</v>
      </c>
      <c r="M13417" t="s">
        <v>1229</v>
      </c>
      <c r="N13417" t="str">
        <f>"418360      "</f>
        <v xml:space="preserve">418360      </v>
      </c>
      <c r="O13417">
        <v>230308</v>
      </c>
    </row>
    <row r="13418" spans="1:15" x14ac:dyDescent="0.25">
      <c r="A13418" t="s">
        <v>16</v>
      </c>
      <c r="B13418" t="s">
        <v>3221</v>
      </c>
      <c r="C13418">
        <v>4999</v>
      </c>
      <c r="D13418" t="s">
        <v>3668</v>
      </c>
      <c r="E13418" t="s">
        <v>1228</v>
      </c>
      <c r="F13418">
        <v>6508.71</v>
      </c>
      <c r="G13418">
        <v>230404</v>
      </c>
      <c r="H13418">
        <v>4571</v>
      </c>
      <c r="I13418" t="s">
        <v>181</v>
      </c>
      <c r="J13418">
        <v>8070.8</v>
      </c>
      <c r="K13418">
        <v>1562.09</v>
      </c>
      <c r="L13418">
        <v>49501</v>
      </c>
      <c r="M13418" t="s">
        <v>177</v>
      </c>
      <c r="N13418" t="str">
        <f>"418417      "</f>
        <v xml:space="preserve">418417      </v>
      </c>
      <c r="O13418">
        <v>230417</v>
      </c>
    </row>
    <row r="13419" spans="1:15" x14ac:dyDescent="0.25">
      <c r="A13419" t="s">
        <v>16</v>
      </c>
      <c r="B13419" t="s">
        <v>3221</v>
      </c>
      <c r="C13419">
        <v>4999</v>
      </c>
      <c r="D13419" t="s">
        <v>3668</v>
      </c>
      <c r="E13419" t="s">
        <v>1228</v>
      </c>
      <c r="F13419">
        <v>342.56</v>
      </c>
      <c r="G13419">
        <v>230404</v>
      </c>
      <c r="H13419">
        <v>4571</v>
      </c>
      <c r="I13419" t="s">
        <v>181</v>
      </c>
      <c r="J13419">
        <v>424.78</v>
      </c>
      <c r="K13419">
        <v>82.22</v>
      </c>
      <c r="L13419">
        <v>49801</v>
      </c>
      <c r="M13419" t="s">
        <v>1227</v>
      </c>
      <c r="N13419" t="str">
        <f>"418417      "</f>
        <v xml:space="preserve">418417      </v>
      </c>
      <c r="O13419">
        <v>230417</v>
      </c>
    </row>
    <row r="13420" spans="1:15" x14ac:dyDescent="0.25">
      <c r="A13420" t="s">
        <v>16</v>
      </c>
      <c r="B13420" t="s">
        <v>3221</v>
      </c>
      <c r="C13420">
        <v>5002</v>
      </c>
      <c r="D13420" t="s">
        <v>3668</v>
      </c>
      <c r="E13420" t="s">
        <v>1228</v>
      </c>
      <c r="F13420">
        <v>16404.55</v>
      </c>
      <c r="G13420">
        <v>230404</v>
      </c>
      <c r="H13420">
        <v>4571</v>
      </c>
      <c r="I13420" t="s">
        <v>181</v>
      </c>
      <c r="J13420">
        <v>20341.64</v>
      </c>
      <c r="K13420">
        <v>3937.09</v>
      </c>
      <c r="L13420">
        <v>49501</v>
      </c>
      <c r="M13420" t="s">
        <v>177</v>
      </c>
      <c r="N13420" t="str">
        <f>"418416      "</f>
        <v xml:space="preserve">418416      </v>
      </c>
      <c r="O13420">
        <v>230417</v>
      </c>
    </row>
    <row r="13421" spans="1:15" x14ac:dyDescent="0.25">
      <c r="A13421" t="s">
        <v>16</v>
      </c>
      <c r="B13421" t="s">
        <v>3221</v>
      </c>
      <c r="C13421">
        <v>5002</v>
      </c>
      <c r="D13421" t="s">
        <v>3668</v>
      </c>
      <c r="E13421" t="s">
        <v>1228</v>
      </c>
      <c r="F13421">
        <v>890.1</v>
      </c>
      <c r="G13421">
        <v>230404</v>
      </c>
      <c r="H13421">
        <v>4571</v>
      </c>
      <c r="I13421" t="s">
        <v>181</v>
      </c>
      <c r="J13421">
        <v>1103.72</v>
      </c>
      <c r="K13421">
        <v>213.62</v>
      </c>
      <c r="L13421">
        <v>49801</v>
      </c>
      <c r="M13421" t="s">
        <v>1227</v>
      </c>
      <c r="N13421" t="str">
        <f>"418416      "</f>
        <v xml:space="preserve">418416      </v>
      </c>
      <c r="O13421">
        <v>230417</v>
      </c>
    </row>
    <row r="13422" spans="1:15" x14ac:dyDescent="0.25">
      <c r="A13422" t="s">
        <v>16</v>
      </c>
      <c r="B13422" t="s">
        <v>3221</v>
      </c>
      <c r="C13422">
        <v>5002</v>
      </c>
      <c r="D13422" t="s">
        <v>3668</v>
      </c>
      <c r="E13422" t="s">
        <v>1228</v>
      </c>
      <c r="F13422">
        <v>507.35</v>
      </c>
      <c r="G13422">
        <v>230404</v>
      </c>
      <c r="H13422">
        <v>4571</v>
      </c>
      <c r="I13422" t="s">
        <v>181</v>
      </c>
      <c r="J13422">
        <v>629.12</v>
      </c>
      <c r="K13422">
        <v>121.77</v>
      </c>
      <c r="L13422">
        <v>49803</v>
      </c>
      <c r="M13422" t="s">
        <v>1229</v>
      </c>
      <c r="N13422" t="str">
        <f>"418416      "</f>
        <v xml:space="preserve">418416      </v>
      </c>
      <c r="O13422">
        <v>230417</v>
      </c>
    </row>
    <row r="13423" spans="1:15" x14ac:dyDescent="0.25">
      <c r="A13423" t="s">
        <v>16</v>
      </c>
      <c r="B13423" t="s">
        <v>3221</v>
      </c>
      <c r="C13423">
        <v>6655</v>
      </c>
      <c r="D13423" t="s">
        <v>3668</v>
      </c>
      <c r="E13423" t="s">
        <v>1228</v>
      </c>
      <c r="F13423">
        <v>11075.86</v>
      </c>
      <c r="G13423">
        <v>230503</v>
      </c>
      <c r="H13423">
        <v>4571</v>
      </c>
      <c r="I13423" t="s">
        <v>181</v>
      </c>
      <c r="J13423">
        <v>13734.07</v>
      </c>
      <c r="K13423">
        <v>2658.21</v>
      </c>
      <c r="L13423">
        <v>49501</v>
      </c>
      <c r="M13423" t="s">
        <v>177</v>
      </c>
      <c r="N13423" t="str">
        <f>"418735      "</f>
        <v xml:space="preserve">418735      </v>
      </c>
      <c r="O13423">
        <v>230517</v>
      </c>
    </row>
    <row r="13424" spans="1:15" x14ac:dyDescent="0.25">
      <c r="A13424" t="s">
        <v>16</v>
      </c>
      <c r="B13424" t="s">
        <v>3221</v>
      </c>
      <c r="C13424">
        <v>6655</v>
      </c>
      <c r="D13424" t="s">
        <v>3668</v>
      </c>
      <c r="E13424" t="s">
        <v>1228</v>
      </c>
      <c r="F13424">
        <v>600.97</v>
      </c>
      <c r="G13424">
        <v>230503</v>
      </c>
      <c r="H13424">
        <v>4571</v>
      </c>
      <c r="I13424" t="s">
        <v>181</v>
      </c>
      <c r="J13424">
        <v>745.2</v>
      </c>
      <c r="K13424">
        <v>144.22999999999999</v>
      </c>
      <c r="L13424">
        <v>49801</v>
      </c>
      <c r="M13424" t="s">
        <v>1227</v>
      </c>
      <c r="N13424" t="str">
        <f>"418735      "</f>
        <v xml:space="preserve">418735      </v>
      </c>
      <c r="O13424">
        <v>230517</v>
      </c>
    </row>
    <row r="13425" spans="1:15" x14ac:dyDescent="0.25">
      <c r="A13425" t="s">
        <v>16</v>
      </c>
      <c r="B13425" t="s">
        <v>3221</v>
      </c>
      <c r="C13425">
        <v>6655</v>
      </c>
      <c r="D13425" t="s">
        <v>3668</v>
      </c>
      <c r="E13425" t="s">
        <v>1228</v>
      </c>
      <c r="F13425">
        <v>342.56</v>
      </c>
      <c r="G13425">
        <v>230503</v>
      </c>
      <c r="H13425">
        <v>4571</v>
      </c>
      <c r="I13425" t="s">
        <v>181</v>
      </c>
      <c r="J13425">
        <v>424.77</v>
      </c>
      <c r="K13425">
        <v>82.21</v>
      </c>
      <c r="L13425">
        <v>49803</v>
      </c>
      <c r="M13425" t="s">
        <v>1229</v>
      </c>
      <c r="N13425" t="str">
        <f>"418735      "</f>
        <v xml:space="preserve">418735      </v>
      </c>
      <c r="O13425">
        <v>230517</v>
      </c>
    </row>
    <row r="13426" spans="1:15" x14ac:dyDescent="0.25">
      <c r="A13426" t="s">
        <v>16</v>
      </c>
      <c r="B13426" t="s">
        <v>3221</v>
      </c>
      <c r="C13426">
        <v>6660</v>
      </c>
      <c r="D13426" t="s">
        <v>3668</v>
      </c>
      <c r="E13426" t="s">
        <v>1228</v>
      </c>
      <c r="F13426">
        <v>4995.6499999999996</v>
      </c>
      <c r="G13426">
        <v>230503</v>
      </c>
      <c r="H13426">
        <v>4571</v>
      </c>
      <c r="I13426" t="s">
        <v>181</v>
      </c>
      <c r="J13426">
        <v>6194.61</v>
      </c>
      <c r="K13426">
        <v>1198.96</v>
      </c>
      <c r="L13426">
        <v>49501</v>
      </c>
      <c r="M13426" t="s">
        <v>177</v>
      </c>
      <c r="N13426" t="str">
        <f>"418736      "</f>
        <v xml:space="preserve">418736      </v>
      </c>
      <c r="O13426">
        <v>230517</v>
      </c>
    </row>
    <row r="13427" spans="1:15" x14ac:dyDescent="0.25">
      <c r="A13427" t="s">
        <v>16</v>
      </c>
      <c r="B13427" t="s">
        <v>3221</v>
      </c>
      <c r="C13427">
        <v>6660</v>
      </c>
      <c r="D13427" t="s">
        <v>3668</v>
      </c>
      <c r="E13427" t="s">
        <v>1228</v>
      </c>
      <c r="F13427">
        <v>262.93</v>
      </c>
      <c r="G13427">
        <v>230503</v>
      </c>
      <c r="H13427">
        <v>4571</v>
      </c>
      <c r="I13427" t="s">
        <v>181</v>
      </c>
      <c r="J13427">
        <v>326.02999999999997</v>
      </c>
      <c r="K13427">
        <v>63.1</v>
      </c>
      <c r="L13427">
        <v>49801</v>
      </c>
      <c r="M13427" t="s">
        <v>1227</v>
      </c>
      <c r="N13427" t="str">
        <f>"418736      "</f>
        <v xml:space="preserve">418736      </v>
      </c>
      <c r="O13427">
        <v>230517</v>
      </c>
    </row>
    <row r="13428" spans="1:15" x14ac:dyDescent="0.25">
      <c r="A13428" t="s">
        <v>16</v>
      </c>
      <c r="B13428" t="s">
        <v>3221</v>
      </c>
      <c r="C13428">
        <v>8342</v>
      </c>
      <c r="D13428" t="s">
        <v>3668</v>
      </c>
      <c r="E13428" t="s">
        <v>1228</v>
      </c>
      <c r="F13428">
        <v>6546.32</v>
      </c>
      <c r="G13428">
        <v>230605</v>
      </c>
      <c r="H13428">
        <v>4571</v>
      </c>
      <c r="I13428" t="s">
        <v>181</v>
      </c>
      <c r="J13428">
        <v>8117.44</v>
      </c>
      <c r="K13428">
        <v>1571.12</v>
      </c>
      <c r="L13428">
        <v>49501</v>
      </c>
      <c r="M13428" t="s">
        <v>177</v>
      </c>
      <c r="N13428" t="str">
        <f>"418769      "</f>
        <v xml:space="preserve">418769      </v>
      </c>
      <c r="O13428">
        <v>230608</v>
      </c>
    </row>
    <row r="13429" spans="1:15" x14ac:dyDescent="0.25">
      <c r="A13429" t="s">
        <v>16</v>
      </c>
      <c r="B13429" t="s">
        <v>3221</v>
      </c>
      <c r="C13429">
        <v>8342</v>
      </c>
      <c r="D13429" t="s">
        <v>3668</v>
      </c>
      <c r="E13429" t="s">
        <v>1228</v>
      </c>
      <c r="F13429">
        <v>355.2</v>
      </c>
      <c r="G13429">
        <v>230605</v>
      </c>
      <c r="H13429">
        <v>4571</v>
      </c>
      <c r="I13429" t="s">
        <v>181</v>
      </c>
      <c r="J13429">
        <v>440.45</v>
      </c>
      <c r="K13429">
        <v>85.25</v>
      </c>
      <c r="L13429">
        <v>49801</v>
      </c>
      <c r="M13429" t="s">
        <v>1227</v>
      </c>
      <c r="N13429" t="str">
        <f>"418769      "</f>
        <v xml:space="preserve">418769      </v>
      </c>
      <c r="O13429">
        <v>230608</v>
      </c>
    </row>
    <row r="13430" spans="1:15" x14ac:dyDescent="0.25">
      <c r="A13430" t="s">
        <v>16</v>
      </c>
      <c r="B13430" t="s">
        <v>3221</v>
      </c>
      <c r="C13430">
        <v>8342</v>
      </c>
      <c r="D13430" t="s">
        <v>3668</v>
      </c>
      <c r="E13430" t="s">
        <v>1228</v>
      </c>
      <c r="F13430">
        <v>202.47</v>
      </c>
      <c r="G13430">
        <v>230605</v>
      </c>
      <c r="H13430">
        <v>4571</v>
      </c>
      <c r="I13430" t="s">
        <v>181</v>
      </c>
      <c r="J13430">
        <v>251.06</v>
      </c>
      <c r="K13430">
        <v>48.59</v>
      </c>
      <c r="L13430">
        <v>49803</v>
      </c>
      <c r="M13430" t="s">
        <v>1229</v>
      </c>
      <c r="N13430" t="str">
        <f>"418769      "</f>
        <v xml:space="preserve">418769      </v>
      </c>
      <c r="O13430">
        <v>230608</v>
      </c>
    </row>
    <row r="13431" spans="1:15" x14ac:dyDescent="0.25">
      <c r="A13431" t="s">
        <v>16</v>
      </c>
      <c r="B13431" t="s">
        <v>3221</v>
      </c>
      <c r="C13431">
        <v>8345</v>
      </c>
      <c r="D13431" t="s">
        <v>3668</v>
      </c>
      <c r="E13431" t="s">
        <v>1228</v>
      </c>
      <c r="F13431">
        <v>3679.62</v>
      </c>
      <c r="G13431">
        <v>230605</v>
      </c>
      <c r="H13431">
        <v>4571</v>
      </c>
      <c r="I13431" t="s">
        <v>181</v>
      </c>
      <c r="J13431">
        <v>4562.7299999999996</v>
      </c>
      <c r="K13431">
        <v>883.11</v>
      </c>
      <c r="L13431">
        <v>49501</v>
      </c>
      <c r="M13431" t="s">
        <v>177</v>
      </c>
      <c r="N13431" t="str">
        <f>"418770      "</f>
        <v xml:space="preserve">418770      </v>
      </c>
      <c r="O13431">
        <v>230608</v>
      </c>
    </row>
    <row r="13432" spans="1:15" x14ac:dyDescent="0.25">
      <c r="A13432" t="s">
        <v>16</v>
      </c>
      <c r="B13432" t="s">
        <v>3221</v>
      </c>
      <c r="C13432">
        <v>8345</v>
      </c>
      <c r="D13432" t="s">
        <v>3668</v>
      </c>
      <c r="E13432" t="s">
        <v>1228</v>
      </c>
      <c r="F13432">
        <v>193.66</v>
      </c>
      <c r="G13432">
        <v>230605</v>
      </c>
      <c r="H13432">
        <v>4571</v>
      </c>
      <c r="I13432" t="s">
        <v>181</v>
      </c>
      <c r="J13432">
        <v>240.14</v>
      </c>
      <c r="K13432">
        <v>46.48</v>
      </c>
      <c r="L13432">
        <v>49801</v>
      </c>
      <c r="M13432" t="s">
        <v>1227</v>
      </c>
      <c r="N13432" t="str">
        <f>"418770      "</f>
        <v xml:space="preserve">418770      </v>
      </c>
      <c r="O13432">
        <v>230608</v>
      </c>
    </row>
    <row r="13433" spans="1:15" x14ac:dyDescent="0.25">
      <c r="A13433" t="s">
        <v>16</v>
      </c>
      <c r="B13433" t="s">
        <v>3221</v>
      </c>
      <c r="C13433">
        <v>9538</v>
      </c>
      <c r="D13433" t="s">
        <v>3668</v>
      </c>
      <c r="E13433" t="s">
        <v>1228</v>
      </c>
      <c r="F13433">
        <v>3951.19</v>
      </c>
      <c r="G13433">
        <v>230703</v>
      </c>
      <c r="H13433">
        <v>4571</v>
      </c>
      <c r="I13433" t="s">
        <v>181</v>
      </c>
      <c r="J13433">
        <v>4899.4799999999996</v>
      </c>
      <c r="K13433">
        <v>948.29</v>
      </c>
      <c r="L13433">
        <v>49501</v>
      </c>
      <c r="M13433" t="s">
        <v>177</v>
      </c>
      <c r="N13433" t="str">
        <f>"418987      "</f>
        <v xml:space="preserve">418987      </v>
      </c>
      <c r="O13433">
        <v>230717</v>
      </c>
    </row>
    <row r="13434" spans="1:15" x14ac:dyDescent="0.25">
      <c r="A13434" t="s">
        <v>16</v>
      </c>
      <c r="B13434" t="s">
        <v>3221</v>
      </c>
      <c r="C13434">
        <v>9539</v>
      </c>
      <c r="D13434" t="s">
        <v>3668</v>
      </c>
      <c r="E13434" t="s">
        <v>1228</v>
      </c>
      <c r="F13434">
        <v>2284.98</v>
      </c>
      <c r="G13434">
        <v>230703</v>
      </c>
      <c r="H13434">
        <v>4571</v>
      </c>
      <c r="I13434" t="s">
        <v>181</v>
      </c>
      <c r="J13434">
        <v>2833.38</v>
      </c>
      <c r="K13434">
        <v>548.4</v>
      </c>
      <c r="L13434">
        <v>49501</v>
      </c>
      <c r="M13434" t="s">
        <v>177</v>
      </c>
      <c r="N13434" t="str">
        <f>"418988      "</f>
        <v xml:space="preserve">418988      </v>
      </c>
      <c r="O13434">
        <v>230717</v>
      </c>
    </row>
    <row r="13435" spans="1:15" x14ac:dyDescent="0.25">
      <c r="A13435" t="s">
        <v>16</v>
      </c>
      <c r="B13435" t="s">
        <v>3221</v>
      </c>
      <c r="C13435">
        <v>10082</v>
      </c>
      <c r="D13435" t="s">
        <v>3668</v>
      </c>
      <c r="E13435" t="s">
        <v>1228</v>
      </c>
      <c r="F13435">
        <v>1609.48</v>
      </c>
      <c r="G13435">
        <v>230803</v>
      </c>
      <c r="H13435">
        <v>4571</v>
      </c>
      <c r="I13435" t="s">
        <v>181</v>
      </c>
      <c r="J13435">
        <v>1995.75</v>
      </c>
      <c r="K13435">
        <v>386.27</v>
      </c>
      <c r="L13435">
        <v>49501</v>
      </c>
      <c r="M13435" t="s">
        <v>177</v>
      </c>
      <c r="N13435" t="str">
        <f>"419155      "</f>
        <v xml:space="preserve">419155      </v>
      </c>
      <c r="O13435">
        <v>230808</v>
      </c>
    </row>
    <row r="13436" spans="1:15" x14ac:dyDescent="0.25">
      <c r="A13436" t="s">
        <v>16</v>
      </c>
      <c r="B13436" t="s">
        <v>3221</v>
      </c>
      <c r="C13436">
        <v>10082</v>
      </c>
      <c r="D13436" t="s">
        <v>3668</v>
      </c>
      <c r="E13436" t="s">
        <v>1228</v>
      </c>
      <c r="F13436">
        <v>84.71</v>
      </c>
      <c r="G13436">
        <v>230803</v>
      </c>
      <c r="H13436">
        <v>4571</v>
      </c>
      <c r="I13436" t="s">
        <v>181</v>
      </c>
      <c r="J13436">
        <v>105.04</v>
      </c>
      <c r="K13436">
        <v>20.329999999999998</v>
      </c>
      <c r="L13436">
        <v>49801</v>
      </c>
      <c r="M13436" t="s">
        <v>1227</v>
      </c>
      <c r="N13436" t="str">
        <f>"419155      "</f>
        <v xml:space="preserve">419155      </v>
      </c>
      <c r="O13436">
        <v>230808</v>
      </c>
    </row>
    <row r="13437" spans="1:15" x14ac:dyDescent="0.25">
      <c r="A13437" t="s">
        <v>16</v>
      </c>
      <c r="B13437" t="s">
        <v>3221</v>
      </c>
      <c r="C13437">
        <v>10103</v>
      </c>
      <c r="D13437" t="s">
        <v>3668</v>
      </c>
      <c r="E13437" t="s">
        <v>1228</v>
      </c>
      <c r="F13437">
        <v>2494.77</v>
      </c>
      <c r="G13437">
        <v>230803</v>
      </c>
      <c r="H13437">
        <v>4571</v>
      </c>
      <c r="I13437" t="s">
        <v>181</v>
      </c>
      <c r="J13437">
        <v>3093.51</v>
      </c>
      <c r="K13437">
        <v>598.74</v>
      </c>
      <c r="L13437">
        <v>49501</v>
      </c>
      <c r="M13437" t="s">
        <v>177</v>
      </c>
      <c r="N13437" t="str">
        <f>"419154      "</f>
        <v xml:space="preserve">419154      </v>
      </c>
      <c r="O13437">
        <v>230808</v>
      </c>
    </row>
    <row r="13438" spans="1:15" x14ac:dyDescent="0.25">
      <c r="A13438" t="s">
        <v>16</v>
      </c>
      <c r="B13438" t="s">
        <v>3221</v>
      </c>
      <c r="C13438">
        <v>10103</v>
      </c>
      <c r="D13438" t="s">
        <v>3668</v>
      </c>
      <c r="E13438" t="s">
        <v>1228</v>
      </c>
      <c r="F13438">
        <v>135.36000000000001</v>
      </c>
      <c r="G13438">
        <v>230803</v>
      </c>
      <c r="H13438">
        <v>4571</v>
      </c>
      <c r="I13438" t="s">
        <v>181</v>
      </c>
      <c r="J13438">
        <v>167.85</v>
      </c>
      <c r="K13438">
        <v>32.49</v>
      </c>
      <c r="L13438">
        <v>49801</v>
      </c>
      <c r="M13438" t="s">
        <v>1227</v>
      </c>
      <c r="N13438" t="str">
        <f>"419154      "</f>
        <v xml:space="preserve">419154      </v>
      </c>
      <c r="O13438">
        <v>230808</v>
      </c>
    </row>
    <row r="13439" spans="1:15" x14ac:dyDescent="0.25">
      <c r="A13439" t="s">
        <v>16</v>
      </c>
      <c r="B13439" t="s">
        <v>3221</v>
      </c>
      <c r="C13439">
        <v>10103</v>
      </c>
      <c r="D13439" t="s">
        <v>3668</v>
      </c>
      <c r="E13439" t="s">
        <v>1228</v>
      </c>
      <c r="F13439">
        <v>77.16</v>
      </c>
      <c r="G13439">
        <v>230803</v>
      </c>
      <c r="H13439">
        <v>4571</v>
      </c>
      <c r="I13439" t="s">
        <v>181</v>
      </c>
      <c r="J13439">
        <v>95.68</v>
      </c>
      <c r="K13439">
        <v>18.52</v>
      </c>
      <c r="L13439">
        <v>49803</v>
      </c>
      <c r="M13439" t="s">
        <v>1229</v>
      </c>
      <c r="N13439" t="str">
        <f>"419154      "</f>
        <v xml:space="preserve">419154      </v>
      </c>
      <c r="O13439">
        <v>230808</v>
      </c>
    </row>
    <row r="13440" spans="1:15" x14ac:dyDescent="0.25">
      <c r="A13440" t="s">
        <v>16</v>
      </c>
      <c r="B13440" t="s">
        <v>3221</v>
      </c>
      <c r="C13440">
        <v>11786</v>
      </c>
      <c r="D13440" t="s">
        <v>3668</v>
      </c>
      <c r="E13440" t="s">
        <v>1228</v>
      </c>
      <c r="F13440">
        <v>1771.35</v>
      </c>
      <c r="G13440">
        <v>230904</v>
      </c>
      <c r="H13440">
        <v>4571</v>
      </c>
      <c r="I13440" t="s">
        <v>181</v>
      </c>
      <c r="J13440">
        <v>2196.48</v>
      </c>
      <c r="K13440">
        <v>425.13</v>
      </c>
      <c r="L13440">
        <v>49501</v>
      </c>
      <c r="M13440" t="s">
        <v>177</v>
      </c>
      <c r="N13440" t="str">
        <f>"419503      "</f>
        <v xml:space="preserve">419503      </v>
      </c>
      <c r="O13440">
        <v>230911</v>
      </c>
    </row>
    <row r="13441" spans="1:15" x14ac:dyDescent="0.25">
      <c r="A13441" t="s">
        <v>16</v>
      </c>
      <c r="B13441" t="s">
        <v>3221</v>
      </c>
      <c r="C13441">
        <v>11786</v>
      </c>
      <c r="D13441" t="s">
        <v>3668</v>
      </c>
      <c r="E13441" t="s">
        <v>1228</v>
      </c>
      <c r="F13441">
        <v>93.23</v>
      </c>
      <c r="G13441">
        <v>230904</v>
      </c>
      <c r="H13441">
        <v>4571</v>
      </c>
      <c r="I13441" t="s">
        <v>181</v>
      </c>
      <c r="J13441">
        <v>115.6</v>
      </c>
      <c r="K13441">
        <v>22.37</v>
      </c>
      <c r="L13441">
        <v>49801</v>
      </c>
      <c r="M13441" t="s">
        <v>1227</v>
      </c>
      <c r="N13441" t="str">
        <f>"419503      "</f>
        <v xml:space="preserve">419503      </v>
      </c>
      <c r="O13441">
        <v>230911</v>
      </c>
    </row>
    <row r="13442" spans="1:15" x14ac:dyDescent="0.25">
      <c r="A13442" t="s">
        <v>16</v>
      </c>
      <c r="B13442" t="s">
        <v>3221</v>
      </c>
      <c r="C13442">
        <v>12240</v>
      </c>
      <c r="D13442" t="s">
        <v>3668</v>
      </c>
      <c r="E13442" t="s">
        <v>1228</v>
      </c>
      <c r="F13442">
        <v>2897.65</v>
      </c>
      <c r="G13442">
        <v>230904</v>
      </c>
      <c r="H13442">
        <v>4571</v>
      </c>
      <c r="I13442" t="s">
        <v>181</v>
      </c>
      <c r="J13442">
        <v>3593.09</v>
      </c>
      <c r="K13442">
        <v>695.44</v>
      </c>
      <c r="L13442">
        <v>49501</v>
      </c>
      <c r="M13442" t="s">
        <v>177</v>
      </c>
      <c r="N13442" t="str">
        <f>"419502      "</f>
        <v xml:space="preserve">419502      </v>
      </c>
      <c r="O13442">
        <v>230918</v>
      </c>
    </row>
    <row r="13443" spans="1:15" x14ac:dyDescent="0.25">
      <c r="A13443" t="s">
        <v>16</v>
      </c>
      <c r="B13443" t="s">
        <v>3221</v>
      </c>
      <c r="C13443">
        <v>12240</v>
      </c>
      <c r="D13443" t="s">
        <v>3668</v>
      </c>
      <c r="E13443" t="s">
        <v>1228</v>
      </c>
      <c r="F13443">
        <v>157.22999999999999</v>
      </c>
      <c r="G13443">
        <v>230904</v>
      </c>
      <c r="H13443">
        <v>4571</v>
      </c>
      <c r="I13443" t="s">
        <v>181</v>
      </c>
      <c r="J13443">
        <v>194.96</v>
      </c>
      <c r="K13443">
        <v>37.729999999999997</v>
      </c>
      <c r="L13443">
        <v>49801</v>
      </c>
      <c r="M13443" t="s">
        <v>1227</v>
      </c>
      <c r="N13443" t="str">
        <f>"419502      "</f>
        <v xml:space="preserve">419502      </v>
      </c>
      <c r="O13443">
        <v>230918</v>
      </c>
    </row>
    <row r="13444" spans="1:15" x14ac:dyDescent="0.25">
      <c r="A13444" t="s">
        <v>16</v>
      </c>
      <c r="B13444" t="s">
        <v>3221</v>
      </c>
      <c r="C13444">
        <v>12240</v>
      </c>
      <c r="D13444" t="s">
        <v>3668</v>
      </c>
      <c r="E13444" t="s">
        <v>1228</v>
      </c>
      <c r="F13444">
        <v>89.62</v>
      </c>
      <c r="G13444">
        <v>230904</v>
      </c>
      <c r="H13444">
        <v>4571</v>
      </c>
      <c r="I13444" t="s">
        <v>181</v>
      </c>
      <c r="J13444">
        <v>111.13</v>
      </c>
      <c r="K13444">
        <v>21.51</v>
      </c>
      <c r="L13444">
        <v>49803</v>
      </c>
      <c r="M13444" t="s">
        <v>1229</v>
      </c>
      <c r="N13444" t="str">
        <f>"419502      "</f>
        <v xml:space="preserve">419502      </v>
      </c>
      <c r="O13444">
        <v>230918</v>
      </c>
    </row>
    <row r="13445" spans="1:15" x14ac:dyDescent="0.25">
      <c r="A13445" t="s">
        <v>16</v>
      </c>
      <c r="B13445" t="s">
        <v>3221</v>
      </c>
      <c r="C13445">
        <v>13293</v>
      </c>
      <c r="D13445" t="s">
        <v>3668</v>
      </c>
      <c r="E13445" t="s">
        <v>1228</v>
      </c>
      <c r="F13445">
        <v>4871.96</v>
      </c>
      <c r="G13445">
        <v>231003</v>
      </c>
      <c r="H13445">
        <v>4571</v>
      </c>
      <c r="I13445" t="s">
        <v>181</v>
      </c>
      <c r="J13445">
        <v>6041.23</v>
      </c>
      <c r="K13445">
        <v>1169.27</v>
      </c>
      <c r="L13445">
        <v>49501</v>
      </c>
      <c r="M13445" t="s">
        <v>177</v>
      </c>
      <c r="N13445" t="str">
        <f>"419538      "</f>
        <v xml:space="preserve">419538      </v>
      </c>
      <c r="O13445">
        <v>231009</v>
      </c>
    </row>
    <row r="13446" spans="1:15" x14ac:dyDescent="0.25">
      <c r="A13446" t="s">
        <v>16</v>
      </c>
      <c r="B13446" t="s">
        <v>3221</v>
      </c>
      <c r="C13446">
        <v>13293</v>
      </c>
      <c r="D13446" t="s">
        <v>3668</v>
      </c>
      <c r="E13446" t="s">
        <v>1228</v>
      </c>
      <c r="F13446">
        <v>264.35000000000002</v>
      </c>
      <c r="G13446">
        <v>231003</v>
      </c>
      <c r="H13446">
        <v>4571</v>
      </c>
      <c r="I13446" t="s">
        <v>181</v>
      </c>
      <c r="J13446">
        <v>327.79</v>
      </c>
      <c r="K13446">
        <v>63.44</v>
      </c>
      <c r="L13446">
        <v>49801</v>
      </c>
      <c r="M13446" t="s">
        <v>1227</v>
      </c>
      <c r="N13446" t="str">
        <f>"419538      "</f>
        <v xml:space="preserve">419538      </v>
      </c>
      <c r="O13446">
        <v>231009</v>
      </c>
    </row>
    <row r="13447" spans="1:15" x14ac:dyDescent="0.25">
      <c r="A13447" t="s">
        <v>16</v>
      </c>
      <c r="B13447" t="s">
        <v>3221</v>
      </c>
      <c r="C13447">
        <v>13293</v>
      </c>
      <c r="D13447" t="s">
        <v>3668</v>
      </c>
      <c r="E13447" t="s">
        <v>1228</v>
      </c>
      <c r="F13447">
        <v>150.68</v>
      </c>
      <c r="G13447">
        <v>231003</v>
      </c>
      <c r="H13447">
        <v>4571</v>
      </c>
      <c r="I13447" t="s">
        <v>181</v>
      </c>
      <c r="J13447">
        <v>186.84</v>
      </c>
      <c r="K13447">
        <v>36.159999999999997</v>
      </c>
      <c r="L13447">
        <v>49803</v>
      </c>
      <c r="M13447" t="s">
        <v>1229</v>
      </c>
      <c r="N13447" t="str">
        <f>"419538      "</f>
        <v xml:space="preserve">419538      </v>
      </c>
      <c r="O13447">
        <v>231009</v>
      </c>
    </row>
    <row r="13448" spans="1:15" x14ac:dyDescent="0.25">
      <c r="A13448" t="s">
        <v>16</v>
      </c>
      <c r="B13448" t="s">
        <v>3221</v>
      </c>
      <c r="C13448">
        <v>13309</v>
      </c>
      <c r="D13448" t="s">
        <v>3668</v>
      </c>
      <c r="E13448" t="s">
        <v>1228</v>
      </c>
      <c r="F13448">
        <v>2423.5300000000002</v>
      </c>
      <c r="G13448">
        <v>231003</v>
      </c>
      <c r="H13448">
        <v>4571</v>
      </c>
      <c r="I13448" t="s">
        <v>181</v>
      </c>
      <c r="J13448">
        <v>3005.18</v>
      </c>
      <c r="K13448">
        <v>581.65</v>
      </c>
      <c r="L13448">
        <v>49501</v>
      </c>
      <c r="M13448" t="s">
        <v>177</v>
      </c>
      <c r="N13448" t="str">
        <f>"419539      "</f>
        <v xml:space="preserve">419539      </v>
      </c>
      <c r="O13448">
        <v>231009</v>
      </c>
    </row>
    <row r="13449" spans="1:15" x14ac:dyDescent="0.25">
      <c r="A13449" t="s">
        <v>16</v>
      </c>
      <c r="B13449" t="s">
        <v>3221</v>
      </c>
      <c r="C13449">
        <v>13309</v>
      </c>
      <c r="D13449" t="s">
        <v>3668</v>
      </c>
      <c r="E13449" t="s">
        <v>1228</v>
      </c>
      <c r="F13449">
        <v>127.56</v>
      </c>
      <c r="G13449">
        <v>231003</v>
      </c>
      <c r="H13449">
        <v>4571</v>
      </c>
      <c r="I13449" t="s">
        <v>181</v>
      </c>
      <c r="J13449">
        <v>158.16999999999999</v>
      </c>
      <c r="K13449">
        <v>30.61</v>
      </c>
      <c r="L13449">
        <v>49801</v>
      </c>
      <c r="M13449" t="s">
        <v>1227</v>
      </c>
      <c r="N13449" t="str">
        <f>"419539      "</f>
        <v xml:space="preserve">419539      </v>
      </c>
      <c r="O13449">
        <v>231009</v>
      </c>
    </row>
    <row r="13450" spans="1:15" x14ac:dyDescent="0.25">
      <c r="A13450" t="s">
        <v>16</v>
      </c>
      <c r="B13450" t="s">
        <v>3221</v>
      </c>
      <c r="C13450">
        <v>15576</v>
      </c>
      <c r="D13450" t="s">
        <v>3668</v>
      </c>
      <c r="E13450" t="s">
        <v>1228</v>
      </c>
      <c r="F13450">
        <v>8414.7800000000007</v>
      </c>
      <c r="G13450">
        <v>231103</v>
      </c>
      <c r="H13450">
        <v>4571</v>
      </c>
      <c r="I13450" t="s">
        <v>181</v>
      </c>
      <c r="J13450">
        <v>10434.33</v>
      </c>
      <c r="K13450">
        <v>2019.55</v>
      </c>
      <c r="L13450">
        <v>49501</v>
      </c>
      <c r="M13450" t="s">
        <v>177</v>
      </c>
      <c r="N13450" t="str">
        <f>"419758      "</f>
        <v xml:space="preserve">419758      </v>
      </c>
      <c r="O13450">
        <v>231114</v>
      </c>
    </row>
    <row r="13451" spans="1:15" x14ac:dyDescent="0.25">
      <c r="A13451" t="s">
        <v>16</v>
      </c>
      <c r="B13451" t="s">
        <v>3221</v>
      </c>
      <c r="C13451">
        <v>15576</v>
      </c>
      <c r="D13451" t="s">
        <v>3668</v>
      </c>
      <c r="E13451" t="s">
        <v>1228</v>
      </c>
      <c r="F13451">
        <v>442.88</v>
      </c>
      <c r="G13451">
        <v>231103</v>
      </c>
      <c r="H13451">
        <v>4571</v>
      </c>
      <c r="I13451" t="s">
        <v>181</v>
      </c>
      <c r="J13451">
        <v>549.16999999999996</v>
      </c>
      <c r="K13451">
        <v>106.29</v>
      </c>
      <c r="L13451">
        <v>49801</v>
      </c>
      <c r="M13451" t="s">
        <v>1227</v>
      </c>
      <c r="N13451" t="str">
        <f>"419758      "</f>
        <v xml:space="preserve">419758      </v>
      </c>
      <c r="O13451">
        <v>231114</v>
      </c>
    </row>
    <row r="13452" spans="1:15" x14ac:dyDescent="0.25">
      <c r="A13452" t="s">
        <v>16</v>
      </c>
      <c r="B13452" t="s">
        <v>3221</v>
      </c>
      <c r="C13452">
        <v>15579</v>
      </c>
      <c r="D13452" t="s">
        <v>3668</v>
      </c>
      <c r="E13452" t="s">
        <v>1228</v>
      </c>
      <c r="F13452">
        <v>16033.42</v>
      </c>
      <c r="G13452">
        <v>231103</v>
      </c>
      <c r="H13452">
        <v>4571</v>
      </c>
      <c r="I13452" t="s">
        <v>181</v>
      </c>
      <c r="J13452">
        <v>19881.439999999999</v>
      </c>
      <c r="K13452">
        <v>3848.02</v>
      </c>
      <c r="L13452">
        <v>49501</v>
      </c>
      <c r="M13452" t="s">
        <v>177</v>
      </c>
      <c r="N13452" t="str">
        <f>"419757      "</f>
        <v xml:space="preserve">419757      </v>
      </c>
      <c r="O13452">
        <v>231114</v>
      </c>
    </row>
    <row r="13453" spans="1:15" x14ac:dyDescent="0.25">
      <c r="A13453" t="s">
        <v>16</v>
      </c>
      <c r="B13453" t="s">
        <v>3221</v>
      </c>
      <c r="C13453">
        <v>15579</v>
      </c>
      <c r="D13453" t="s">
        <v>3668</v>
      </c>
      <c r="E13453" t="s">
        <v>1228</v>
      </c>
      <c r="F13453">
        <v>869.96</v>
      </c>
      <c r="G13453">
        <v>231103</v>
      </c>
      <c r="H13453">
        <v>4571</v>
      </c>
      <c r="I13453" t="s">
        <v>181</v>
      </c>
      <c r="J13453">
        <v>1078.75</v>
      </c>
      <c r="K13453">
        <v>208.79</v>
      </c>
      <c r="L13453">
        <v>49801</v>
      </c>
      <c r="M13453" t="s">
        <v>1227</v>
      </c>
      <c r="N13453" t="str">
        <f>"419757      "</f>
        <v xml:space="preserve">419757      </v>
      </c>
      <c r="O13453">
        <v>231114</v>
      </c>
    </row>
    <row r="13454" spans="1:15" x14ac:dyDescent="0.25">
      <c r="A13454" t="s">
        <v>16</v>
      </c>
      <c r="B13454" t="s">
        <v>3221</v>
      </c>
      <c r="C13454">
        <v>15579</v>
      </c>
      <c r="D13454" t="s">
        <v>3668</v>
      </c>
      <c r="E13454" t="s">
        <v>1228</v>
      </c>
      <c r="F13454">
        <v>495.88</v>
      </c>
      <c r="G13454">
        <v>231103</v>
      </c>
      <c r="H13454">
        <v>4571</v>
      </c>
      <c r="I13454" t="s">
        <v>181</v>
      </c>
      <c r="J13454">
        <v>614.89</v>
      </c>
      <c r="K13454">
        <v>119.01</v>
      </c>
      <c r="L13454">
        <v>49803</v>
      </c>
      <c r="M13454" t="s">
        <v>1229</v>
      </c>
      <c r="N13454" t="str">
        <f>"419757      "</f>
        <v xml:space="preserve">419757      </v>
      </c>
      <c r="O13454">
        <v>231114</v>
      </c>
    </row>
    <row r="13455" spans="1:15" x14ac:dyDescent="0.25">
      <c r="A13455" t="s">
        <v>16</v>
      </c>
      <c r="B13455" t="s">
        <v>3221</v>
      </c>
      <c r="C13455">
        <v>17629</v>
      </c>
      <c r="D13455" t="s">
        <v>3668</v>
      </c>
      <c r="E13455" t="s">
        <v>1228</v>
      </c>
      <c r="F13455">
        <v>21283.41</v>
      </c>
      <c r="G13455">
        <v>231204</v>
      </c>
      <c r="H13455">
        <v>4571</v>
      </c>
      <c r="I13455" t="s">
        <v>181</v>
      </c>
      <c r="J13455">
        <v>26391.43</v>
      </c>
      <c r="K13455">
        <v>5108.0200000000004</v>
      </c>
      <c r="L13455">
        <v>49501</v>
      </c>
      <c r="M13455" t="s">
        <v>177</v>
      </c>
      <c r="N13455" t="str">
        <f>"419983      "</f>
        <v xml:space="preserve">419983      </v>
      </c>
      <c r="O13455">
        <v>231215</v>
      </c>
    </row>
    <row r="13456" spans="1:15" x14ac:dyDescent="0.25">
      <c r="A13456" t="s">
        <v>16</v>
      </c>
      <c r="B13456" t="s">
        <v>3221</v>
      </c>
      <c r="C13456">
        <v>17629</v>
      </c>
      <c r="D13456" t="s">
        <v>3668</v>
      </c>
      <c r="E13456" t="s">
        <v>1228</v>
      </c>
      <c r="F13456">
        <v>1154.82</v>
      </c>
      <c r="G13456">
        <v>231204</v>
      </c>
      <c r="H13456">
        <v>4571</v>
      </c>
      <c r="I13456" t="s">
        <v>181</v>
      </c>
      <c r="J13456">
        <v>1431.98</v>
      </c>
      <c r="K13456">
        <v>277.16000000000003</v>
      </c>
      <c r="L13456">
        <v>49801</v>
      </c>
      <c r="M13456" t="s">
        <v>1227</v>
      </c>
      <c r="N13456" t="str">
        <f>"419983      "</f>
        <v xml:space="preserve">419983      </v>
      </c>
      <c r="O13456">
        <v>231215</v>
      </c>
    </row>
    <row r="13457" spans="1:15" x14ac:dyDescent="0.25">
      <c r="A13457" t="s">
        <v>16</v>
      </c>
      <c r="B13457" t="s">
        <v>3221</v>
      </c>
      <c r="C13457">
        <v>17629</v>
      </c>
      <c r="D13457" t="s">
        <v>3668</v>
      </c>
      <c r="E13457" t="s">
        <v>1228</v>
      </c>
      <c r="F13457">
        <v>658.25</v>
      </c>
      <c r="G13457">
        <v>231204</v>
      </c>
      <c r="H13457">
        <v>4571</v>
      </c>
      <c r="I13457" t="s">
        <v>181</v>
      </c>
      <c r="J13457">
        <v>816.23</v>
      </c>
      <c r="K13457">
        <v>157.97999999999999</v>
      </c>
      <c r="L13457">
        <v>49803</v>
      </c>
      <c r="M13457" t="s">
        <v>1229</v>
      </c>
      <c r="N13457" t="str">
        <f>"419983      "</f>
        <v xml:space="preserve">419983      </v>
      </c>
      <c r="O13457">
        <v>231215</v>
      </c>
    </row>
    <row r="13458" spans="1:15" x14ac:dyDescent="0.25">
      <c r="A13458" t="s">
        <v>16</v>
      </c>
      <c r="B13458" t="s">
        <v>3221</v>
      </c>
      <c r="C13458">
        <v>17630</v>
      </c>
      <c r="D13458" t="s">
        <v>3668</v>
      </c>
      <c r="E13458" t="s">
        <v>1228</v>
      </c>
      <c r="F13458">
        <v>11021.35</v>
      </c>
      <c r="G13458">
        <v>231204</v>
      </c>
      <c r="H13458">
        <v>4571</v>
      </c>
      <c r="I13458" t="s">
        <v>181</v>
      </c>
      <c r="J13458">
        <v>13666.48</v>
      </c>
      <c r="K13458">
        <v>2645.13</v>
      </c>
      <c r="L13458">
        <v>49501</v>
      </c>
      <c r="M13458" t="s">
        <v>177</v>
      </c>
      <c r="N13458" t="str">
        <f>"419984      "</f>
        <v xml:space="preserve">419984      </v>
      </c>
      <c r="O13458">
        <v>231215</v>
      </c>
    </row>
    <row r="13459" spans="1:15" x14ac:dyDescent="0.25">
      <c r="A13459" t="s">
        <v>16</v>
      </c>
      <c r="B13459" t="s">
        <v>3221</v>
      </c>
      <c r="C13459">
        <v>17630</v>
      </c>
      <c r="D13459" t="s">
        <v>3668</v>
      </c>
      <c r="E13459" t="s">
        <v>1228</v>
      </c>
      <c r="F13459">
        <v>111.56</v>
      </c>
      <c r="G13459">
        <v>231204</v>
      </c>
      <c r="H13459">
        <v>4571</v>
      </c>
      <c r="I13459" t="s">
        <v>181</v>
      </c>
      <c r="J13459">
        <v>111.56</v>
      </c>
      <c r="K13459">
        <v>0</v>
      </c>
      <c r="L13459">
        <v>49801</v>
      </c>
      <c r="M13459" t="s">
        <v>1227</v>
      </c>
      <c r="N13459" t="str">
        <f>"419984      "</f>
        <v xml:space="preserve">419984      </v>
      </c>
      <c r="O13459">
        <v>231215</v>
      </c>
    </row>
    <row r="13460" spans="1:15" x14ac:dyDescent="0.25">
      <c r="A13460" t="s">
        <v>16</v>
      </c>
      <c r="B13460" t="s">
        <v>3221</v>
      </c>
      <c r="C13460">
        <v>17630</v>
      </c>
      <c r="D13460" t="s">
        <v>3668</v>
      </c>
      <c r="E13460" t="s">
        <v>1228</v>
      </c>
      <c r="F13460">
        <v>134.96</v>
      </c>
      <c r="G13460">
        <v>231204</v>
      </c>
      <c r="H13460">
        <v>4571</v>
      </c>
      <c r="I13460" t="s">
        <v>181</v>
      </c>
      <c r="J13460">
        <v>167.35</v>
      </c>
      <c r="K13460">
        <v>32.39</v>
      </c>
      <c r="L13460">
        <v>49801</v>
      </c>
      <c r="M13460" t="s">
        <v>1227</v>
      </c>
      <c r="N13460" t="str">
        <f>"419984      "</f>
        <v xml:space="preserve">419984      </v>
      </c>
      <c r="O13460">
        <v>231215</v>
      </c>
    </row>
    <row r="13461" spans="1:15" x14ac:dyDescent="0.25">
      <c r="A13461" t="s">
        <v>16</v>
      </c>
      <c r="B13461" t="s">
        <v>3221</v>
      </c>
      <c r="C13461">
        <v>19155</v>
      </c>
      <c r="D13461" t="s">
        <v>3668</v>
      </c>
      <c r="E13461" t="s">
        <v>1228</v>
      </c>
      <c r="F13461">
        <v>10288.93</v>
      </c>
      <c r="G13461">
        <v>240103</v>
      </c>
      <c r="H13461">
        <v>4571</v>
      </c>
      <c r="I13461" t="s">
        <v>181</v>
      </c>
      <c r="J13461">
        <v>12758.27</v>
      </c>
      <c r="K13461">
        <v>2469.34</v>
      </c>
      <c r="L13461">
        <v>49501</v>
      </c>
      <c r="M13461" t="s">
        <v>177</v>
      </c>
      <c r="N13461" t="str">
        <f>"420262      "</f>
        <v xml:space="preserve">420262      </v>
      </c>
      <c r="O13461">
        <v>240111</v>
      </c>
    </row>
    <row r="13462" spans="1:15" x14ac:dyDescent="0.25">
      <c r="A13462" t="s">
        <v>16</v>
      </c>
      <c r="B13462" t="s">
        <v>3221</v>
      </c>
      <c r="C13462">
        <v>19155</v>
      </c>
      <c r="D13462" t="s">
        <v>3668</v>
      </c>
      <c r="E13462" t="s">
        <v>1228</v>
      </c>
      <c r="F13462">
        <v>541.52</v>
      </c>
      <c r="G13462">
        <v>240103</v>
      </c>
      <c r="H13462">
        <v>4571</v>
      </c>
      <c r="I13462" t="s">
        <v>181</v>
      </c>
      <c r="J13462">
        <v>671.49</v>
      </c>
      <c r="K13462">
        <v>129.97</v>
      </c>
      <c r="L13462">
        <v>49801</v>
      </c>
      <c r="M13462" t="s">
        <v>1227</v>
      </c>
      <c r="N13462" t="str">
        <f>"420262      "</f>
        <v xml:space="preserve">420262      </v>
      </c>
      <c r="O13462">
        <v>240111</v>
      </c>
    </row>
    <row r="13463" spans="1:15" x14ac:dyDescent="0.25">
      <c r="A13463" t="s">
        <v>16</v>
      </c>
      <c r="B13463" t="s">
        <v>3221</v>
      </c>
      <c r="C13463">
        <v>19159</v>
      </c>
      <c r="D13463" t="s">
        <v>3668</v>
      </c>
      <c r="E13463" t="s">
        <v>1228</v>
      </c>
      <c r="F13463">
        <v>24886.6</v>
      </c>
      <c r="G13463">
        <v>240103</v>
      </c>
      <c r="H13463">
        <v>4571</v>
      </c>
      <c r="I13463" t="s">
        <v>181</v>
      </c>
      <c r="J13463">
        <v>30859.38</v>
      </c>
      <c r="K13463">
        <v>5972.78</v>
      </c>
      <c r="L13463">
        <v>49501</v>
      </c>
      <c r="M13463" t="s">
        <v>177</v>
      </c>
      <c r="N13463" t="str">
        <f>"420275      "</f>
        <v xml:space="preserve">420275      </v>
      </c>
      <c r="O13463">
        <v>240111</v>
      </c>
    </row>
    <row r="13464" spans="1:15" x14ac:dyDescent="0.25">
      <c r="A13464" t="s">
        <v>16</v>
      </c>
      <c r="B13464" t="s">
        <v>3221</v>
      </c>
      <c r="C13464">
        <v>19159</v>
      </c>
      <c r="D13464" t="s">
        <v>3668</v>
      </c>
      <c r="E13464" t="s">
        <v>1228</v>
      </c>
      <c r="F13464">
        <v>1350.33</v>
      </c>
      <c r="G13464">
        <v>240103</v>
      </c>
      <c r="H13464">
        <v>4571</v>
      </c>
      <c r="I13464" t="s">
        <v>181</v>
      </c>
      <c r="J13464">
        <v>1674.41</v>
      </c>
      <c r="K13464">
        <v>324.08</v>
      </c>
      <c r="L13464">
        <v>49801</v>
      </c>
      <c r="M13464" t="s">
        <v>1227</v>
      </c>
      <c r="N13464" t="str">
        <f>"420275      "</f>
        <v xml:space="preserve">420275      </v>
      </c>
      <c r="O13464">
        <v>240111</v>
      </c>
    </row>
    <row r="13465" spans="1:15" x14ac:dyDescent="0.25">
      <c r="A13465" t="s">
        <v>16</v>
      </c>
      <c r="B13465" t="s">
        <v>3221</v>
      </c>
      <c r="C13465">
        <v>19159</v>
      </c>
      <c r="D13465" t="s">
        <v>3668</v>
      </c>
      <c r="E13465" t="s">
        <v>1228</v>
      </c>
      <c r="F13465">
        <v>769.69</v>
      </c>
      <c r="G13465">
        <v>240103</v>
      </c>
      <c r="H13465">
        <v>4571</v>
      </c>
      <c r="I13465" t="s">
        <v>181</v>
      </c>
      <c r="J13465">
        <v>954.41</v>
      </c>
      <c r="K13465">
        <v>184.72</v>
      </c>
      <c r="L13465">
        <v>49803</v>
      </c>
      <c r="M13465" t="s">
        <v>1229</v>
      </c>
      <c r="N13465" t="str">
        <f>"420275      "</f>
        <v xml:space="preserve">420275      </v>
      </c>
      <c r="O13465">
        <v>240111</v>
      </c>
    </row>
    <row r="13466" spans="1:15" x14ac:dyDescent="0.25">
      <c r="A13466" t="s">
        <v>16</v>
      </c>
      <c r="B13466" t="s">
        <v>3221</v>
      </c>
      <c r="C13466">
        <v>5004</v>
      </c>
      <c r="D13466" t="s">
        <v>3668</v>
      </c>
      <c r="E13466" t="s">
        <v>1228</v>
      </c>
      <c r="F13466">
        <v>284.33999999999997</v>
      </c>
      <c r="G13466">
        <v>230405</v>
      </c>
      <c r="H13466">
        <v>4573</v>
      </c>
      <c r="I13466" t="s">
        <v>46</v>
      </c>
      <c r="J13466">
        <v>352.58</v>
      </c>
      <c r="K13466">
        <v>68.239999999999995</v>
      </c>
      <c r="L13466">
        <v>49503</v>
      </c>
      <c r="M13466" t="s">
        <v>178</v>
      </c>
      <c r="N13466" t="str">
        <f>"145914      "</f>
        <v xml:space="preserve">145914      </v>
      </c>
      <c r="O13466">
        <v>230417</v>
      </c>
    </row>
    <row r="13467" spans="1:15" x14ac:dyDescent="0.25">
      <c r="A13467" t="s">
        <v>16</v>
      </c>
      <c r="B13467" t="s">
        <v>3221</v>
      </c>
      <c r="C13467">
        <v>5005</v>
      </c>
      <c r="D13467" t="s">
        <v>3668</v>
      </c>
      <c r="E13467" t="s">
        <v>1228</v>
      </c>
      <c r="F13467">
        <v>1379.98</v>
      </c>
      <c r="G13467">
        <v>230405</v>
      </c>
      <c r="H13467">
        <v>4573</v>
      </c>
      <c r="I13467" t="s">
        <v>46</v>
      </c>
      <c r="J13467">
        <v>1711.17</v>
      </c>
      <c r="K13467">
        <v>331.19</v>
      </c>
      <c r="L13467">
        <v>49501</v>
      </c>
      <c r="M13467" t="s">
        <v>177</v>
      </c>
      <c r="N13467" t="str">
        <f>"145117      "</f>
        <v xml:space="preserve">145117      </v>
      </c>
      <c r="O13467">
        <v>230417</v>
      </c>
    </row>
    <row r="13468" spans="1:15" x14ac:dyDescent="0.25">
      <c r="A13468" t="s">
        <v>16</v>
      </c>
      <c r="B13468" t="s">
        <v>3221</v>
      </c>
      <c r="C13468">
        <v>5005</v>
      </c>
      <c r="D13468" t="s">
        <v>3668</v>
      </c>
      <c r="E13468" t="s">
        <v>1228</v>
      </c>
      <c r="F13468">
        <v>74.88</v>
      </c>
      <c r="G13468">
        <v>230405</v>
      </c>
      <c r="H13468">
        <v>4573</v>
      </c>
      <c r="I13468" t="s">
        <v>46</v>
      </c>
      <c r="J13468">
        <v>92.85</v>
      </c>
      <c r="K13468">
        <v>17.97</v>
      </c>
      <c r="L13468">
        <v>49801</v>
      </c>
      <c r="M13468" t="s">
        <v>1227</v>
      </c>
      <c r="N13468" t="str">
        <f>"145117      "</f>
        <v xml:space="preserve">145117      </v>
      </c>
      <c r="O13468">
        <v>230417</v>
      </c>
    </row>
    <row r="13469" spans="1:15" x14ac:dyDescent="0.25">
      <c r="A13469" t="s">
        <v>16</v>
      </c>
      <c r="B13469" t="s">
        <v>3221</v>
      </c>
      <c r="C13469">
        <v>5005</v>
      </c>
      <c r="D13469" t="s">
        <v>3668</v>
      </c>
      <c r="E13469" t="s">
        <v>1228</v>
      </c>
      <c r="F13469">
        <v>42.68</v>
      </c>
      <c r="G13469">
        <v>230405</v>
      </c>
      <c r="H13469">
        <v>4573</v>
      </c>
      <c r="I13469" t="s">
        <v>46</v>
      </c>
      <c r="J13469">
        <v>52.92</v>
      </c>
      <c r="K13469">
        <v>10.24</v>
      </c>
      <c r="L13469">
        <v>49803</v>
      </c>
      <c r="M13469" t="s">
        <v>1229</v>
      </c>
      <c r="N13469" t="str">
        <f>"145117      "</f>
        <v xml:space="preserve">145117      </v>
      </c>
      <c r="O13469">
        <v>230417</v>
      </c>
    </row>
    <row r="13470" spans="1:15" x14ac:dyDescent="0.25">
      <c r="A13470" t="s">
        <v>16</v>
      </c>
      <c r="B13470" t="s">
        <v>3221</v>
      </c>
      <c r="C13470">
        <v>5006</v>
      </c>
      <c r="D13470" t="s">
        <v>3668</v>
      </c>
      <c r="E13470" t="s">
        <v>1228</v>
      </c>
      <c r="F13470">
        <v>809.26</v>
      </c>
      <c r="G13470">
        <v>230405</v>
      </c>
      <c r="H13470">
        <v>4573</v>
      </c>
      <c r="I13470" t="s">
        <v>46</v>
      </c>
      <c r="J13470">
        <v>1003.48</v>
      </c>
      <c r="K13470">
        <v>194.22</v>
      </c>
      <c r="L13470">
        <v>49501</v>
      </c>
      <c r="M13470" t="s">
        <v>177</v>
      </c>
      <c r="N13470" t="str">
        <f>"145306      "</f>
        <v xml:space="preserve">145306      </v>
      </c>
      <c r="O13470">
        <v>230417</v>
      </c>
    </row>
    <row r="13471" spans="1:15" x14ac:dyDescent="0.25">
      <c r="A13471" t="s">
        <v>16</v>
      </c>
      <c r="B13471" t="s">
        <v>3221</v>
      </c>
      <c r="C13471">
        <v>5006</v>
      </c>
      <c r="D13471" t="s">
        <v>3668</v>
      </c>
      <c r="E13471" t="s">
        <v>1228</v>
      </c>
      <c r="F13471">
        <v>42.6</v>
      </c>
      <c r="G13471">
        <v>230405</v>
      </c>
      <c r="H13471">
        <v>4573</v>
      </c>
      <c r="I13471" t="s">
        <v>46</v>
      </c>
      <c r="J13471">
        <v>52.82</v>
      </c>
      <c r="K13471">
        <v>10.220000000000001</v>
      </c>
      <c r="L13471">
        <v>49801</v>
      </c>
      <c r="M13471" t="s">
        <v>1227</v>
      </c>
      <c r="N13471" t="str">
        <f>"145306      "</f>
        <v xml:space="preserve">145306      </v>
      </c>
      <c r="O13471">
        <v>230417</v>
      </c>
    </row>
    <row r="13472" spans="1:15" x14ac:dyDescent="0.25">
      <c r="A13472" t="s">
        <v>16</v>
      </c>
      <c r="B13472" t="s">
        <v>3221</v>
      </c>
      <c r="C13472">
        <v>5007</v>
      </c>
      <c r="D13472" t="s">
        <v>3668</v>
      </c>
      <c r="E13472" t="s">
        <v>1228</v>
      </c>
      <c r="F13472">
        <v>1529.17</v>
      </c>
      <c r="G13472">
        <v>230405</v>
      </c>
      <c r="H13472">
        <v>4573</v>
      </c>
      <c r="I13472" t="s">
        <v>46</v>
      </c>
      <c r="J13472">
        <v>1896.17</v>
      </c>
      <c r="K13472">
        <v>367</v>
      </c>
      <c r="L13472">
        <v>49501</v>
      </c>
      <c r="M13472" t="s">
        <v>177</v>
      </c>
      <c r="N13472" t="str">
        <f>"145307      "</f>
        <v xml:space="preserve">145307      </v>
      </c>
      <c r="O13472">
        <v>230417</v>
      </c>
    </row>
    <row r="13473" spans="1:15" x14ac:dyDescent="0.25">
      <c r="A13473" t="s">
        <v>16</v>
      </c>
      <c r="B13473" t="s">
        <v>3221</v>
      </c>
      <c r="C13473">
        <v>5007</v>
      </c>
      <c r="D13473" t="s">
        <v>3668</v>
      </c>
      <c r="E13473" t="s">
        <v>1228</v>
      </c>
      <c r="F13473">
        <v>82.97</v>
      </c>
      <c r="G13473">
        <v>230405</v>
      </c>
      <c r="H13473">
        <v>4573</v>
      </c>
      <c r="I13473" t="s">
        <v>46</v>
      </c>
      <c r="J13473">
        <v>102.88</v>
      </c>
      <c r="K13473">
        <v>19.91</v>
      </c>
      <c r="L13473">
        <v>49801</v>
      </c>
      <c r="M13473" t="s">
        <v>1227</v>
      </c>
      <c r="N13473" t="str">
        <f>"145307      "</f>
        <v xml:space="preserve">145307      </v>
      </c>
      <c r="O13473">
        <v>230417</v>
      </c>
    </row>
    <row r="13474" spans="1:15" x14ac:dyDescent="0.25">
      <c r="A13474" t="s">
        <v>16</v>
      </c>
      <c r="B13474" t="s">
        <v>3221</v>
      </c>
      <c r="C13474">
        <v>5007</v>
      </c>
      <c r="D13474" t="s">
        <v>3668</v>
      </c>
      <c r="E13474" t="s">
        <v>1228</v>
      </c>
      <c r="F13474">
        <v>47.29</v>
      </c>
      <c r="G13474">
        <v>230405</v>
      </c>
      <c r="H13474">
        <v>4573</v>
      </c>
      <c r="I13474" t="s">
        <v>46</v>
      </c>
      <c r="J13474">
        <v>58.64</v>
      </c>
      <c r="K13474">
        <v>11.35</v>
      </c>
      <c r="L13474">
        <v>49803</v>
      </c>
      <c r="M13474" t="s">
        <v>1229</v>
      </c>
      <c r="N13474" t="str">
        <f>"145307      "</f>
        <v xml:space="preserve">145307      </v>
      </c>
      <c r="O13474">
        <v>230417</v>
      </c>
    </row>
    <row r="13475" spans="1:15" x14ac:dyDescent="0.25">
      <c r="A13475" t="s">
        <v>16</v>
      </c>
      <c r="B13475" t="s">
        <v>3221</v>
      </c>
      <c r="C13475">
        <v>5008</v>
      </c>
      <c r="D13475" t="s">
        <v>3668</v>
      </c>
      <c r="E13475" t="s">
        <v>1228</v>
      </c>
      <c r="F13475">
        <v>403.54</v>
      </c>
      <c r="G13475">
        <v>230405</v>
      </c>
      <c r="H13475">
        <v>4573</v>
      </c>
      <c r="I13475" t="s">
        <v>46</v>
      </c>
      <c r="J13475">
        <v>500.39</v>
      </c>
      <c r="K13475">
        <v>96.85</v>
      </c>
      <c r="L13475">
        <v>49501</v>
      </c>
      <c r="M13475" t="s">
        <v>177</v>
      </c>
      <c r="N13475" t="str">
        <f>"145186      "</f>
        <v xml:space="preserve">145186      </v>
      </c>
      <c r="O13475">
        <v>230417</v>
      </c>
    </row>
    <row r="13476" spans="1:15" x14ac:dyDescent="0.25">
      <c r="A13476" t="s">
        <v>16</v>
      </c>
      <c r="B13476" t="s">
        <v>3221</v>
      </c>
      <c r="C13476">
        <v>5008</v>
      </c>
      <c r="D13476" t="s">
        <v>3668</v>
      </c>
      <c r="E13476" t="s">
        <v>1228</v>
      </c>
      <c r="F13476">
        <v>21.9</v>
      </c>
      <c r="G13476">
        <v>230405</v>
      </c>
      <c r="H13476">
        <v>4573</v>
      </c>
      <c r="I13476" t="s">
        <v>46</v>
      </c>
      <c r="J13476">
        <v>27.15</v>
      </c>
      <c r="K13476">
        <v>5.25</v>
      </c>
      <c r="L13476">
        <v>49801</v>
      </c>
      <c r="M13476" t="s">
        <v>1227</v>
      </c>
      <c r="N13476" t="str">
        <f>"145186      "</f>
        <v xml:space="preserve">145186      </v>
      </c>
      <c r="O13476">
        <v>230417</v>
      </c>
    </row>
    <row r="13477" spans="1:15" x14ac:dyDescent="0.25">
      <c r="A13477" t="s">
        <v>16</v>
      </c>
      <c r="B13477" t="s">
        <v>3221</v>
      </c>
      <c r="C13477">
        <v>5008</v>
      </c>
      <c r="D13477" t="s">
        <v>3668</v>
      </c>
      <c r="E13477" t="s">
        <v>1228</v>
      </c>
      <c r="F13477">
        <v>12.48</v>
      </c>
      <c r="G13477">
        <v>230405</v>
      </c>
      <c r="H13477">
        <v>4573</v>
      </c>
      <c r="I13477" t="s">
        <v>46</v>
      </c>
      <c r="J13477">
        <v>15.48</v>
      </c>
      <c r="K13477">
        <v>3</v>
      </c>
      <c r="L13477">
        <v>49803</v>
      </c>
      <c r="M13477" t="s">
        <v>1229</v>
      </c>
      <c r="N13477" t="str">
        <f>"145186      "</f>
        <v xml:space="preserve">145186      </v>
      </c>
      <c r="O13477">
        <v>230417</v>
      </c>
    </row>
    <row r="13478" spans="1:15" x14ac:dyDescent="0.25">
      <c r="A13478" t="s">
        <v>16</v>
      </c>
      <c r="B13478" t="s">
        <v>3221</v>
      </c>
      <c r="C13478">
        <v>9550</v>
      </c>
      <c r="D13478" t="s">
        <v>3668</v>
      </c>
      <c r="E13478" t="s">
        <v>1228</v>
      </c>
      <c r="F13478">
        <v>222.87</v>
      </c>
      <c r="G13478">
        <v>230704</v>
      </c>
      <c r="H13478">
        <v>4573</v>
      </c>
      <c r="I13478" t="s">
        <v>46</v>
      </c>
      <c r="J13478">
        <v>276.36</v>
      </c>
      <c r="K13478">
        <v>53.49</v>
      </c>
      <c r="L13478">
        <v>49501</v>
      </c>
      <c r="M13478" t="s">
        <v>177</v>
      </c>
      <c r="N13478" t="str">
        <f>"150014      "</f>
        <v xml:space="preserve">150014      </v>
      </c>
      <c r="O13478">
        <v>230717</v>
      </c>
    </row>
    <row r="13479" spans="1:15" x14ac:dyDescent="0.25">
      <c r="A13479" t="s">
        <v>16</v>
      </c>
      <c r="B13479" t="s">
        <v>3221</v>
      </c>
      <c r="C13479">
        <v>9555</v>
      </c>
      <c r="D13479" t="s">
        <v>3668</v>
      </c>
      <c r="E13479" t="s">
        <v>1228</v>
      </c>
      <c r="F13479">
        <v>256.97000000000003</v>
      </c>
      <c r="G13479">
        <v>230704</v>
      </c>
      <c r="H13479">
        <v>4573</v>
      </c>
      <c r="I13479" t="s">
        <v>46</v>
      </c>
      <c r="J13479">
        <v>318.64</v>
      </c>
      <c r="K13479">
        <v>61.67</v>
      </c>
      <c r="L13479">
        <v>49503</v>
      </c>
      <c r="M13479" t="s">
        <v>178</v>
      </c>
      <c r="N13479" t="str">
        <f>"150250      "</f>
        <v xml:space="preserve">150250      </v>
      </c>
      <c r="O13479">
        <v>230717</v>
      </c>
    </row>
    <row r="13480" spans="1:15" x14ac:dyDescent="0.25">
      <c r="A13480" t="s">
        <v>16</v>
      </c>
      <c r="B13480" t="s">
        <v>3221</v>
      </c>
      <c r="C13480">
        <v>9556</v>
      </c>
      <c r="D13480" t="s">
        <v>3668</v>
      </c>
      <c r="E13480" t="s">
        <v>1228</v>
      </c>
      <c r="F13480">
        <v>1028.33</v>
      </c>
      <c r="G13480">
        <v>230704</v>
      </c>
      <c r="H13480">
        <v>4573</v>
      </c>
      <c r="I13480" t="s">
        <v>46</v>
      </c>
      <c r="J13480">
        <v>1275.1300000000001</v>
      </c>
      <c r="K13480">
        <v>246.8</v>
      </c>
      <c r="L13480">
        <v>49501</v>
      </c>
      <c r="M13480" t="s">
        <v>177</v>
      </c>
      <c r="N13480" t="str">
        <f>"150174      "</f>
        <v xml:space="preserve">150174      </v>
      </c>
      <c r="O13480">
        <v>230717</v>
      </c>
    </row>
    <row r="13481" spans="1:15" x14ac:dyDescent="0.25">
      <c r="A13481" t="s">
        <v>16</v>
      </c>
      <c r="B13481" t="s">
        <v>3221</v>
      </c>
      <c r="C13481">
        <v>9690</v>
      </c>
      <c r="D13481" t="s">
        <v>3668</v>
      </c>
      <c r="E13481" t="s">
        <v>1228</v>
      </c>
      <c r="F13481">
        <v>690.4</v>
      </c>
      <c r="G13481">
        <v>230704</v>
      </c>
      <c r="H13481">
        <v>4573</v>
      </c>
      <c r="I13481" t="s">
        <v>46</v>
      </c>
      <c r="J13481">
        <v>856.09</v>
      </c>
      <c r="K13481">
        <v>165.69</v>
      </c>
      <c r="L13481">
        <v>49501</v>
      </c>
      <c r="M13481" t="s">
        <v>177</v>
      </c>
      <c r="N13481" t="str">
        <f>"150178      "</f>
        <v xml:space="preserve">150178      </v>
      </c>
      <c r="O13481">
        <v>230719</v>
      </c>
    </row>
    <row r="13482" spans="1:15" x14ac:dyDescent="0.25">
      <c r="A13482" t="s">
        <v>16</v>
      </c>
      <c r="B13482" t="s">
        <v>3221</v>
      </c>
      <c r="C13482">
        <v>9690</v>
      </c>
      <c r="D13482" t="s">
        <v>3668</v>
      </c>
      <c r="E13482" t="s">
        <v>1228</v>
      </c>
      <c r="F13482">
        <v>36.33</v>
      </c>
      <c r="G13482">
        <v>230704</v>
      </c>
      <c r="H13482">
        <v>4573</v>
      </c>
      <c r="I13482" t="s">
        <v>46</v>
      </c>
      <c r="J13482">
        <v>45.05</v>
      </c>
      <c r="K13482">
        <v>8.7200000000000006</v>
      </c>
      <c r="L13482">
        <v>49801</v>
      </c>
      <c r="M13482" t="s">
        <v>1227</v>
      </c>
      <c r="N13482" t="str">
        <f>"150178      "</f>
        <v xml:space="preserve">150178      </v>
      </c>
      <c r="O13482">
        <v>230719</v>
      </c>
    </row>
    <row r="13483" spans="1:15" x14ac:dyDescent="0.25">
      <c r="A13483" t="s">
        <v>16</v>
      </c>
      <c r="B13483" t="s">
        <v>3221</v>
      </c>
      <c r="C13483">
        <v>9692</v>
      </c>
      <c r="D13483" t="s">
        <v>3668</v>
      </c>
      <c r="E13483" t="s">
        <v>1228</v>
      </c>
      <c r="F13483">
        <v>1513.31</v>
      </c>
      <c r="G13483">
        <v>230704</v>
      </c>
      <c r="H13483">
        <v>4573</v>
      </c>
      <c r="I13483" t="s">
        <v>46</v>
      </c>
      <c r="J13483">
        <v>1876.51</v>
      </c>
      <c r="K13483">
        <v>363.2</v>
      </c>
      <c r="L13483">
        <v>49501</v>
      </c>
      <c r="M13483" t="s">
        <v>177</v>
      </c>
      <c r="N13483" t="str">
        <f>"150181      "</f>
        <v xml:space="preserve">150181      </v>
      </c>
      <c r="O13483">
        <v>230719</v>
      </c>
    </row>
    <row r="13484" spans="1:15" x14ac:dyDescent="0.25">
      <c r="A13484" t="s">
        <v>16</v>
      </c>
      <c r="B13484" t="s">
        <v>3221</v>
      </c>
      <c r="C13484">
        <v>9692</v>
      </c>
      <c r="D13484" t="s">
        <v>3668</v>
      </c>
      <c r="E13484" t="s">
        <v>1228</v>
      </c>
      <c r="F13484">
        <v>79.650000000000006</v>
      </c>
      <c r="G13484">
        <v>230704</v>
      </c>
      <c r="H13484">
        <v>4573</v>
      </c>
      <c r="I13484" t="s">
        <v>46</v>
      </c>
      <c r="J13484">
        <v>98.76</v>
      </c>
      <c r="K13484">
        <v>19.11</v>
      </c>
      <c r="L13484">
        <v>49801</v>
      </c>
      <c r="M13484" t="s">
        <v>1227</v>
      </c>
      <c r="N13484" t="str">
        <f>"150181      "</f>
        <v xml:space="preserve">150181      </v>
      </c>
      <c r="O13484">
        <v>230719</v>
      </c>
    </row>
    <row r="13485" spans="1:15" x14ac:dyDescent="0.25">
      <c r="A13485" t="s">
        <v>16</v>
      </c>
      <c r="B13485" t="s">
        <v>3221</v>
      </c>
      <c r="C13485">
        <v>13312</v>
      </c>
      <c r="D13485" t="s">
        <v>3668</v>
      </c>
      <c r="E13485" t="s">
        <v>1228</v>
      </c>
      <c r="F13485">
        <v>1582.54</v>
      </c>
      <c r="G13485">
        <v>231004</v>
      </c>
      <c r="H13485">
        <v>4573</v>
      </c>
      <c r="I13485" t="s">
        <v>46</v>
      </c>
      <c r="J13485">
        <v>1962.35</v>
      </c>
      <c r="K13485">
        <v>379.81</v>
      </c>
      <c r="L13485">
        <v>49501</v>
      </c>
      <c r="M13485" t="s">
        <v>177</v>
      </c>
      <c r="N13485" t="str">
        <f>"153455      "</f>
        <v xml:space="preserve">153455      </v>
      </c>
      <c r="O13485">
        <v>231009</v>
      </c>
    </row>
    <row r="13486" spans="1:15" x14ac:dyDescent="0.25">
      <c r="A13486" t="s">
        <v>16</v>
      </c>
      <c r="B13486" t="s">
        <v>3221</v>
      </c>
      <c r="C13486">
        <v>13312</v>
      </c>
      <c r="D13486" t="s">
        <v>3668</v>
      </c>
      <c r="E13486" t="s">
        <v>1228</v>
      </c>
      <c r="F13486">
        <v>85.87</v>
      </c>
      <c r="G13486">
        <v>231004</v>
      </c>
      <c r="H13486">
        <v>4573</v>
      </c>
      <c r="I13486" t="s">
        <v>46</v>
      </c>
      <c r="J13486">
        <v>106.48</v>
      </c>
      <c r="K13486">
        <v>20.61</v>
      </c>
      <c r="L13486">
        <v>49801</v>
      </c>
      <c r="M13486" t="s">
        <v>1227</v>
      </c>
      <c r="N13486" t="str">
        <f>"153455      "</f>
        <v xml:space="preserve">153455      </v>
      </c>
      <c r="O13486">
        <v>231009</v>
      </c>
    </row>
    <row r="13487" spans="1:15" x14ac:dyDescent="0.25">
      <c r="A13487" t="s">
        <v>16</v>
      </c>
      <c r="B13487" t="s">
        <v>3221</v>
      </c>
      <c r="C13487">
        <v>13312</v>
      </c>
      <c r="D13487" t="s">
        <v>3668</v>
      </c>
      <c r="E13487" t="s">
        <v>1228</v>
      </c>
      <c r="F13487">
        <v>48.94</v>
      </c>
      <c r="G13487">
        <v>231004</v>
      </c>
      <c r="H13487">
        <v>4573</v>
      </c>
      <c r="I13487" t="s">
        <v>46</v>
      </c>
      <c r="J13487">
        <v>60.69</v>
      </c>
      <c r="K13487">
        <v>11.75</v>
      </c>
      <c r="L13487">
        <v>49803</v>
      </c>
      <c r="M13487" t="s">
        <v>1229</v>
      </c>
      <c r="N13487" t="str">
        <f>"153455      "</f>
        <v xml:space="preserve">153455      </v>
      </c>
      <c r="O13487">
        <v>231009</v>
      </c>
    </row>
    <row r="13488" spans="1:15" x14ac:dyDescent="0.25">
      <c r="A13488" t="s">
        <v>16</v>
      </c>
      <c r="B13488" t="s">
        <v>3221</v>
      </c>
      <c r="C13488">
        <v>13315</v>
      </c>
      <c r="D13488" t="s">
        <v>3668</v>
      </c>
      <c r="E13488" t="s">
        <v>1228</v>
      </c>
      <c r="F13488">
        <v>289.06</v>
      </c>
      <c r="G13488">
        <v>231004</v>
      </c>
      <c r="H13488">
        <v>4573</v>
      </c>
      <c r="I13488" t="s">
        <v>46</v>
      </c>
      <c r="J13488">
        <v>358.43</v>
      </c>
      <c r="K13488">
        <v>69.37</v>
      </c>
      <c r="L13488">
        <v>49503</v>
      </c>
      <c r="M13488" t="s">
        <v>178</v>
      </c>
      <c r="N13488" t="str">
        <f>"153820      "</f>
        <v xml:space="preserve">153820      </v>
      </c>
      <c r="O13488">
        <v>231009</v>
      </c>
    </row>
    <row r="13489" spans="1:15" x14ac:dyDescent="0.25">
      <c r="A13489" t="s">
        <v>16</v>
      </c>
      <c r="B13489" t="s">
        <v>3221</v>
      </c>
      <c r="C13489">
        <v>13316</v>
      </c>
      <c r="D13489" t="s">
        <v>3668</v>
      </c>
      <c r="E13489" t="s">
        <v>1228</v>
      </c>
      <c r="F13489">
        <v>1310.6099999999999</v>
      </c>
      <c r="G13489">
        <v>231004</v>
      </c>
      <c r="H13489">
        <v>4573</v>
      </c>
      <c r="I13489" t="s">
        <v>46</v>
      </c>
      <c r="J13489">
        <v>1625.16</v>
      </c>
      <c r="K13489">
        <v>314.55</v>
      </c>
      <c r="L13489">
        <v>49501</v>
      </c>
      <c r="M13489" t="s">
        <v>177</v>
      </c>
      <c r="N13489" t="str">
        <f>"153215      "</f>
        <v xml:space="preserve">153215      </v>
      </c>
      <c r="O13489">
        <v>231009</v>
      </c>
    </row>
    <row r="13490" spans="1:15" x14ac:dyDescent="0.25">
      <c r="A13490" t="s">
        <v>16</v>
      </c>
      <c r="B13490" t="s">
        <v>3221</v>
      </c>
      <c r="C13490">
        <v>13316</v>
      </c>
      <c r="D13490" t="s">
        <v>3668</v>
      </c>
      <c r="E13490" t="s">
        <v>1228</v>
      </c>
      <c r="F13490">
        <v>71.11</v>
      </c>
      <c r="G13490">
        <v>231004</v>
      </c>
      <c r="H13490">
        <v>4573</v>
      </c>
      <c r="I13490" t="s">
        <v>46</v>
      </c>
      <c r="J13490">
        <v>88.18</v>
      </c>
      <c r="K13490">
        <v>17.07</v>
      </c>
      <c r="L13490">
        <v>49801</v>
      </c>
      <c r="M13490" t="s">
        <v>1227</v>
      </c>
      <c r="N13490" t="str">
        <f>"153215      "</f>
        <v xml:space="preserve">153215      </v>
      </c>
      <c r="O13490">
        <v>231009</v>
      </c>
    </row>
    <row r="13491" spans="1:15" x14ac:dyDescent="0.25">
      <c r="A13491" t="s">
        <v>16</v>
      </c>
      <c r="B13491" t="s">
        <v>3221</v>
      </c>
      <c r="C13491">
        <v>13316</v>
      </c>
      <c r="D13491" t="s">
        <v>3668</v>
      </c>
      <c r="E13491" t="s">
        <v>1228</v>
      </c>
      <c r="F13491">
        <v>40.53</v>
      </c>
      <c r="G13491">
        <v>231004</v>
      </c>
      <c r="H13491">
        <v>4573</v>
      </c>
      <c r="I13491" t="s">
        <v>46</v>
      </c>
      <c r="J13491">
        <v>50.26</v>
      </c>
      <c r="K13491">
        <v>9.73</v>
      </c>
      <c r="L13491">
        <v>49803</v>
      </c>
      <c r="M13491" t="s">
        <v>1229</v>
      </c>
      <c r="N13491" t="str">
        <f>"153215      "</f>
        <v xml:space="preserve">153215      </v>
      </c>
      <c r="O13491">
        <v>231009</v>
      </c>
    </row>
    <row r="13492" spans="1:15" x14ac:dyDescent="0.25">
      <c r="A13492" t="s">
        <v>16</v>
      </c>
      <c r="B13492" t="s">
        <v>3221</v>
      </c>
      <c r="C13492">
        <v>13317</v>
      </c>
      <c r="D13492" t="s">
        <v>3668</v>
      </c>
      <c r="E13492" t="s">
        <v>1228</v>
      </c>
      <c r="F13492">
        <v>763.48</v>
      </c>
      <c r="G13492">
        <v>231004</v>
      </c>
      <c r="H13492">
        <v>4573</v>
      </c>
      <c r="I13492" t="s">
        <v>46</v>
      </c>
      <c r="J13492">
        <v>946.72</v>
      </c>
      <c r="K13492">
        <v>183.24</v>
      </c>
      <c r="L13492">
        <v>49501</v>
      </c>
      <c r="M13492" t="s">
        <v>177</v>
      </c>
      <c r="N13492" t="str">
        <f>"153332      "</f>
        <v xml:space="preserve">153332      </v>
      </c>
      <c r="O13492">
        <v>231009</v>
      </c>
    </row>
    <row r="13493" spans="1:15" x14ac:dyDescent="0.25">
      <c r="A13493" t="s">
        <v>16</v>
      </c>
      <c r="B13493" t="s">
        <v>3221</v>
      </c>
      <c r="C13493">
        <v>13317</v>
      </c>
      <c r="D13493" t="s">
        <v>3668</v>
      </c>
      <c r="E13493" t="s">
        <v>1228</v>
      </c>
      <c r="F13493">
        <v>40.19</v>
      </c>
      <c r="G13493">
        <v>231004</v>
      </c>
      <c r="H13493">
        <v>4573</v>
      </c>
      <c r="I13493" t="s">
        <v>46</v>
      </c>
      <c r="J13493">
        <v>49.83</v>
      </c>
      <c r="K13493">
        <v>9.64</v>
      </c>
      <c r="L13493">
        <v>49801</v>
      </c>
      <c r="M13493" t="s">
        <v>1227</v>
      </c>
      <c r="N13493" t="str">
        <f>"153332      "</f>
        <v xml:space="preserve">153332      </v>
      </c>
      <c r="O13493">
        <v>231009</v>
      </c>
    </row>
    <row r="13494" spans="1:15" x14ac:dyDescent="0.25">
      <c r="A13494" t="s">
        <v>16</v>
      </c>
      <c r="B13494" t="s">
        <v>3221</v>
      </c>
      <c r="C13494">
        <v>13318</v>
      </c>
      <c r="D13494" t="s">
        <v>3668</v>
      </c>
      <c r="E13494" t="s">
        <v>1228</v>
      </c>
      <c r="F13494">
        <v>198.96</v>
      </c>
      <c r="G13494">
        <v>231004</v>
      </c>
      <c r="H13494">
        <v>4573</v>
      </c>
      <c r="I13494" t="s">
        <v>46</v>
      </c>
      <c r="J13494">
        <v>246.71</v>
      </c>
      <c r="K13494">
        <v>47.75</v>
      </c>
      <c r="L13494">
        <v>49503</v>
      </c>
      <c r="M13494" t="s">
        <v>178</v>
      </c>
      <c r="N13494" t="str">
        <f>"153473      "</f>
        <v xml:space="preserve">153473      </v>
      </c>
      <c r="O13494">
        <v>231009</v>
      </c>
    </row>
    <row r="13495" spans="1:15" x14ac:dyDescent="0.25">
      <c r="A13495" t="s">
        <v>16</v>
      </c>
      <c r="B13495" t="s">
        <v>3221</v>
      </c>
      <c r="C13495">
        <v>18570</v>
      </c>
      <c r="D13495" t="s">
        <v>3668</v>
      </c>
      <c r="E13495" t="s">
        <v>1228</v>
      </c>
      <c r="F13495">
        <v>1590.88</v>
      </c>
      <c r="G13495">
        <v>231229</v>
      </c>
      <c r="H13495">
        <v>4573</v>
      </c>
      <c r="I13495" t="s">
        <v>46</v>
      </c>
      <c r="J13495">
        <v>1972.69</v>
      </c>
      <c r="K13495">
        <v>381.81</v>
      </c>
      <c r="L13495">
        <v>49501</v>
      </c>
      <c r="M13495" t="s">
        <v>177</v>
      </c>
      <c r="N13495" t="str">
        <f>"157124      "</f>
        <v xml:space="preserve">157124      </v>
      </c>
      <c r="O13495">
        <v>240104</v>
      </c>
    </row>
    <row r="13496" spans="1:15" x14ac:dyDescent="0.25">
      <c r="A13496" t="s">
        <v>16</v>
      </c>
      <c r="B13496" t="s">
        <v>3221</v>
      </c>
      <c r="C13496">
        <v>18570</v>
      </c>
      <c r="D13496" t="s">
        <v>3668</v>
      </c>
      <c r="E13496" t="s">
        <v>1228</v>
      </c>
      <c r="F13496">
        <v>86.32</v>
      </c>
      <c r="G13496">
        <v>231229</v>
      </c>
      <c r="H13496">
        <v>4573</v>
      </c>
      <c r="I13496" t="s">
        <v>46</v>
      </c>
      <c r="J13496">
        <v>107.04</v>
      </c>
      <c r="K13496">
        <v>20.72</v>
      </c>
      <c r="L13496">
        <v>49801</v>
      </c>
      <c r="M13496" t="s">
        <v>1227</v>
      </c>
      <c r="N13496" t="str">
        <f>"157124      "</f>
        <v xml:space="preserve">157124      </v>
      </c>
      <c r="O13496">
        <v>240104</v>
      </c>
    </row>
    <row r="13497" spans="1:15" x14ac:dyDescent="0.25">
      <c r="A13497" t="s">
        <v>16</v>
      </c>
      <c r="B13497" t="s">
        <v>3221</v>
      </c>
      <c r="C13497">
        <v>18570</v>
      </c>
      <c r="D13497" t="s">
        <v>3668</v>
      </c>
      <c r="E13497" t="s">
        <v>1228</v>
      </c>
      <c r="F13497">
        <v>49.2</v>
      </c>
      <c r="G13497">
        <v>231229</v>
      </c>
      <c r="H13497">
        <v>4573</v>
      </c>
      <c r="I13497" t="s">
        <v>46</v>
      </c>
      <c r="J13497">
        <v>61.01</v>
      </c>
      <c r="K13497">
        <v>11.81</v>
      </c>
      <c r="L13497">
        <v>49803</v>
      </c>
      <c r="M13497" t="s">
        <v>1229</v>
      </c>
      <c r="N13497" t="str">
        <f>"157124      "</f>
        <v xml:space="preserve">157124      </v>
      </c>
      <c r="O13497">
        <v>240104</v>
      </c>
    </row>
    <row r="13498" spans="1:15" x14ac:dyDescent="0.25">
      <c r="A13498" t="s">
        <v>16</v>
      </c>
      <c r="B13498" t="s">
        <v>3221</v>
      </c>
      <c r="C13498">
        <v>18578</v>
      </c>
      <c r="D13498" t="s">
        <v>3668</v>
      </c>
      <c r="E13498" t="s">
        <v>1228</v>
      </c>
      <c r="F13498">
        <v>313.95999999999998</v>
      </c>
      <c r="G13498">
        <v>231229</v>
      </c>
      <c r="H13498">
        <v>4573</v>
      </c>
      <c r="I13498" t="s">
        <v>46</v>
      </c>
      <c r="J13498">
        <v>389.31</v>
      </c>
      <c r="K13498">
        <v>75.349999999999994</v>
      </c>
      <c r="L13498">
        <v>49503</v>
      </c>
      <c r="M13498" t="s">
        <v>178</v>
      </c>
      <c r="N13498" t="str">
        <f>"157443      "</f>
        <v xml:space="preserve">157443      </v>
      </c>
      <c r="O13498">
        <v>240104</v>
      </c>
    </row>
    <row r="13499" spans="1:15" x14ac:dyDescent="0.25">
      <c r="A13499" t="s">
        <v>16</v>
      </c>
      <c r="B13499" t="s">
        <v>3221</v>
      </c>
      <c r="C13499">
        <v>18636</v>
      </c>
      <c r="D13499" t="s">
        <v>3668</v>
      </c>
      <c r="E13499" t="s">
        <v>1228</v>
      </c>
      <c r="F13499">
        <v>183.56</v>
      </c>
      <c r="G13499">
        <v>231229</v>
      </c>
      <c r="H13499">
        <v>4573</v>
      </c>
      <c r="I13499" t="s">
        <v>46</v>
      </c>
      <c r="J13499">
        <v>227.62</v>
      </c>
      <c r="K13499">
        <v>44.06</v>
      </c>
      <c r="L13499">
        <v>49501</v>
      </c>
      <c r="M13499" t="s">
        <v>177</v>
      </c>
      <c r="N13499" t="str">
        <f>"157508      "</f>
        <v xml:space="preserve">157508      </v>
      </c>
      <c r="O13499">
        <v>240104</v>
      </c>
    </row>
    <row r="13500" spans="1:15" x14ac:dyDescent="0.25">
      <c r="A13500" t="s">
        <v>16</v>
      </c>
      <c r="B13500" t="s">
        <v>3221</v>
      </c>
      <c r="C13500">
        <v>18636</v>
      </c>
      <c r="D13500" t="s">
        <v>3668</v>
      </c>
      <c r="E13500" t="s">
        <v>1228</v>
      </c>
      <c r="F13500">
        <v>9.9600000000000009</v>
      </c>
      <c r="G13500">
        <v>231229</v>
      </c>
      <c r="H13500">
        <v>4573</v>
      </c>
      <c r="I13500" t="s">
        <v>46</v>
      </c>
      <c r="J13500">
        <v>12.35</v>
      </c>
      <c r="K13500">
        <v>2.39</v>
      </c>
      <c r="L13500">
        <v>49801</v>
      </c>
      <c r="M13500" t="s">
        <v>1227</v>
      </c>
      <c r="N13500" t="str">
        <f>"157508      "</f>
        <v xml:space="preserve">157508      </v>
      </c>
      <c r="O13500">
        <v>240104</v>
      </c>
    </row>
    <row r="13501" spans="1:15" x14ac:dyDescent="0.25">
      <c r="A13501" t="s">
        <v>16</v>
      </c>
      <c r="B13501" t="s">
        <v>3221</v>
      </c>
      <c r="C13501">
        <v>18636</v>
      </c>
      <c r="D13501" t="s">
        <v>3668</v>
      </c>
      <c r="E13501" t="s">
        <v>1228</v>
      </c>
      <c r="F13501">
        <v>5.68</v>
      </c>
      <c r="G13501">
        <v>231229</v>
      </c>
      <c r="H13501">
        <v>4573</v>
      </c>
      <c r="I13501" t="s">
        <v>46</v>
      </c>
      <c r="J13501">
        <v>7.04</v>
      </c>
      <c r="K13501">
        <v>1.36</v>
      </c>
      <c r="L13501">
        <v>49803</v>
      </c>
      <c r="M13501" t="s">
        <v>1229</v>
      </c>
      <c r="N13501" t="str">
        <f>"157508      "</f>
        <v xml:space="preserve">157508      </v>
      </c>
      <c r="O13501">
        <v>240104</v>
      </c>
    </row>
    <row r="13502" spans="1:15" x14ac:dyDescent="0.25">
      <c r="A13502" t="s">
        <v>16</v>
      </c>
      <c r="B13502" t="s">
        <v>3221</v>
      </c>
      <c r="C13502">
        <v>18638</v>
      </c>
      <c r="D13502" t="s">
        <v>3668</v>
      </c>
      <c r="E13502" t="s">
        <v>1228</v>
      </c>
      <c r="F13502">
        <v>901.7</v>
      </c>
      <c r="G13502">
        <v>231229</v>
      </c>
      <c r="H13502">
        <v>4573</v>
      </c>
      <c r="I13502" t="s">
        <v>46</v>
      </c>
      <c r="J13502">
        <v>1118.1099999999999</v>
      </c>
      <c r="K13502">
        <v>216.41</v>
      </c>
      <c r="L13502">
        <v>49501</v>
      </c>
      <c r="M13502" t="s">
        <v>177</v>
      </c>
      <c r="N13502" t="str">
        <f>"157149      "</f>
        <v xml:space="preserve">157149      </v>
      </c>
      <c r="O13502">
        <v>240104</v>
      </c>
    </row>
    <row r="13503" spans="1:15" x14ac:dyDescent="0.25">
      <c r="A13503" t="s">
        <v>16</v>
      </c>
      <c r="B13503" t="s">
        <v>3221</v>
      </c>
      <c r="C13503">
        <v>18638</v>
      </c>
      <c r="D13503" t="s">
        <v>3668</v>
      </c>
      <c r="E13503" t="s">
        <v>1228</v>
      </c>
      <c r="F13503">
        <v>47.46</v>
      </c>
      <c r="G13503">
        <v>231229</v>
      </c>
      <c r="H13503">
        <v>4573</v>
      </c>
      <c r="I13503" t="s">
        <v>46</v>
      </c>
      <c r="J13503">
        <v>58.85</v>
      </c>
      <c r="K13503">
        <v>11.39</v>
      </c>
      <c r="L13503">
        <v>49801</v>
      </c>
      <c r="M13503" t="s">
        <v>1227</v>
      </c>
      <c r="N13503" t="str">
        <f>"157149      "</f>
        <v xml:space="preserve">157149      </v>
      </c>
      <c r="O13503">
        <v>240104</v>
      </c>
    </row>
    <row r="13504" spans="1:15" x14ac:dyDescent="0.25">
      <c r="A13504" t="s">
        <v>16</v>
      </c>
      <c r="B13504" t="s">
        <v>3221</v>
      </c>
      <c r="C13504">
        <v>18643</v>
      </c>
      <c r="D13504" t="s">
        <v>3668</v>
      </c>
      <c r="E13504" t="s">
        <v>1228</v>
      </c>
      <c r="F13504">
        <v>1594.23</v>
      </c>
      <c r="G13504">
        <v>231229</v>
      </c>
      <c r="H13504">
        <v>4573</v>
      </c>
      <c r="I13504" t="s">
        <v>46</v>
      </c>
      <c r="J13504">
        <v>1976.85</v>
      </c>
      <c r="K13504">
        <v>382.62</v>
      </c>
      <c r="L13504">
        <v>49501</v>
      </c>
      <c r="M13504" t="s">
        <v>177</v>
      </c>
      <c r="N13504" t="str">
        <f>"157384      "</f>
        <v xml:space="preserve">157384      </v>
      </c>
      <c r="O13504">
        <v>240104</v>
      </c>
    </row>
    <row r="13505" spans="1:15" x14ac:dyDescent="0.25">
      <c r="A13505" t="s">
        <v>16</v>
      </c>
      <c r="B13505" t="s">
        <v>3221</v>
      </c>
      <c r="C13505">
        <v>18643</v>
      </c>
      <c r="D13505" t="s">
        <v>3668</v>
      </c>
      <c r="E13505" t="s">
        <v>1228</v>
      </c>
      <c r="F13505">
        <v>86.5</v>
      </c>
      <c r="G13505">
        <v>231229</v>
      </c>
      <c r="H13505">
        <v>4573</v>
      </c>
      <c r="I13505" t="s">
        <v>46</v>
      </c>
      <c r="J13505">
        <v>107.26</v>
      </c>
      <c r="K13505">
        <v>20.76</v>
      </c>
      <c r="L13505">
        <v>49801</v>
      </c>
      <c r="M13505" t="s">
        <v>1227</v>
      </c>
      <c r="N13505" t="str">
        <f>"157384      "</f>
        <v xml:space="preserve">157384      </v>
      </c>
      <c r="O13505">
        <v>240104</v>
      </c>
    </row>
    <row r="13506" spans="1:15" x14ac:dyDescent="0.25">
      <c r="A13506" t="s">
        <v>16</v>
      </c>
      <c r="B13506" t="s">
        <v>3221</v>
      </c>
      <c r="C13506">
        <v>18643</v>
      </c>
      <c r="D13506" t="s">
        <v>3668</v>
      </c>
      <c r="E13506" t="s">
        <v>1228</v>
      </c>
      <c r="F13506">
        <v>49.31</v>
      </c>
      <c r="G13506">
        <v>231229</v>
      </c>
      <c r="H13506">
        <v>4573</v>
      </c>
      <c r="I13506" t="s">
        <v>46</v>
      </c>
      <c r="J13506">
        <v>61.14</v>
      </c>
      <c r="K13506">
        <v>11.83</v>
      </c>
      <c r="L13506">
        <v>49803</v>
      </c>
      <c r="M13506" t="s">
        <v>1229</v>
      </c>
      <c r="N13506" t="str">
        <f>"157384      "</f>
        <v xml:space="preserve">157384      </v>
      </c>
      <c r="O13506">
        <v>240104</v>
      </c>
    </row>
    <row r="13507" spans="1:15" x14ac:dyDescent="0.25">
      <c r="A13507" t="s">
        <v>16</v>
      </c>
      <c r="B13507" t="s">
        <v>3221</v>
      </c>
      <c r="C13507">
        <v>4601</v>
      </c>
      <c r="D13507" t="s">
        <v>1740</v>
      </c>
      <c r="E13507" t="s">
        <v>1741</v>
      </c>
      <c r="F13507">
        <v>6.45</v>
      </c>
      <c r="G13507">
        <v>230330</v>
      </c>
      <c r="H13507">
        <v>4412</v>
      </c>
      <c r="I13507" t="s">
        <v>149</v>
      </c>
      <c r="J13507">
        <v>8</v>
      </c>
      <c r="K13507">
        <v>1.55</v>
      </c>
      <c r="L13507">
        <v>41126</v>
      </c>
      <c r="M13507" t="s">
        <v>761</v>
      </c>
      <c r="N13507" t="str">
        <f>"23100035    "</f>
        <v xml:space="preserve">23100035    </v>
      </c>
      <c r="O13507">
        <v>230411</v>
      </c>
    </row>
    <row r="13508" spans="1:15" x14ac:dyDescent="0.25">
      <c r="A13508" t="s">
        <v>16</v>
      </c>
      <c r="B13508" t="s">
        <v>3221</v>
      </c>
      <c r="C13508">
        <v>4601</v>
      </c>
      <c r="D13508" t="s">
        <v>1740</v>
      </c>
      <c r="E13508" t="s">
        <v>1741</v>
      </c>
      <c r="F13508">
        <v>808.45</v>
      </c>
      <c r="G13508">
        <v>230330</v>
      </c>
      <c r="H13508">
        <v>4412</v>
      </c>
      <c r="I13508" t="s">
        <v>149</v>
      </c>
      <c r="J13508">
        <v>921.63</v>
      </c>
      <c r="K13508">
        <v>113.18</v>
      </c>
      <c r="L13508">
        <v>41126</v>
      </c>
      <c r="M13508" t="s">
        <v>761</v>
      </c>
      <c r="N13508" t="str">
        <f>"23100035    "</f>
        <v xml:space="preserve">23100035    </v>
      </c>
      <c r="O13508">
        <v>230411</v>
      </c>
    </row>
    <row r="13509" spans="1:15" x14ac:dyDescent="0.25">
      <c r="A13509" t="s">
        <v>16</v>
      </c>
      <c r="B13509" t="s">
        <v>3221</v>
      </c>
      <c r="C13509">
        <v>4601</v>
      </c>
      <c r="D13509" t="s">
        <v>1740</v>
      </c>
      <c r="E13509" t="s">
        <v>1741</v>
      </c>
      <c r="F13509">
        <v>461.93</v>
      </c>
      <c r="G13509">
        <v>230330</v>
      </c>
      <c r="H13509">
        <v>4412</v>
      </c>
      <c r="I13509" t="s">
        <v>149</v>
      </c>
      <c r="J13509">
        <v>526.6</v>
      </c>
      <c r="K13509">
        <v>64.67</v>
      </c>
      <c r="L13509">
        <v>46222</v>
      </c>
      <c r="M13509" t="s">
        <v>293</v>
      </c>
      <c r="N13509" t="str">
        <f>"23100035    "</f>
        <v xml:space="preserve">23100035    </v>
      </c>
      <c r="O13509">
        <v>230411</v>
      </c>
    </row>
    <row r="13510" spans="1:15" x14ac:dyDescent="0.25">
      <c r="A13510" t="s">
        <v>16</v>
      </c>
      <c r="B13510" t="s">
        <v>3221</v>
      </c>
      <c r="C13510">
        <v>3536</v>
      </c>
      <c r="D13510" t="s">
        <v>3397</v>
      </c>
      <c r="E13510" t="s">
        <v>3398</v>
      </c>
      <c r="F13510">
        <v>135</v>
      </c>
      <c r="G13510">
        <v>230315</v>
      </c>
      <c r="H13510">
        <v>4440</v>
      </c>
      <c r="I13510" t="s">
        <v>250</v>
      </c>
      <c r="J13510">
        <v>135</v>
      </c>
      <c r="K13510">
        <v>0</v>
      </c>
      <c r="L13510">
        <v>49807</v>
      </c>
      <c r="M13510" t="s">
        <v>914</v>
      </c>
      <c r="N13510" t="str">
        <f>"150323      "</f>
        <v xml:space="preserve">150323      </v>
      </c>
      <c r="O13510">
        <v>230316</v>
      </c>
    </row>
    <row r="13511" spans="1:15" x14ac:dyDescent="0.25">
      <c r="A13511" t="s">
        <v>16</v>
      </c>
      <c r="B13511" t="s">
        <v>3221</v>
      </c>
      <c r="C13511">
        <v>7364</v>
      </c>
      <c r="D13511" t="s">
        <v>2087</v>
      </c>
      <c r="E13511" t="s">
        <v>2088</v>
      </c>
      <c r="F13511">
        <v>184.68</v>
      </c>
      <c r="G13511">
        <v>230526</v>
      </c>
      <c r="H13511">
        <v>4600</v>
      </c>
      <c r="I13511" t="s">
        <v>105</v>
      </c>
      <c r="J13511">
        <v>229</v>
      </c>
      <c r="K13511">
        <v>44.32</v>
      </c>
      <c r="L13511">
        <v>46564</v>
      </c>
      <c r="M13511" t="s">
        <v>727</v>
      </c>
      <c r="N13511" t="str">
        <f>"5595        "</f>
        <v xml:space="preserve">5595        </v>
      </c>
      <c r="O13511">
        <v>230529</v>
      </c>
    </row>
    <row r="13512" spans="1:15" x14ac:dyDescent="0.25">
      <c r="A13512" t="s">
        <v>16</v>
      </c>
      <c r="B13512" t="s">
        <v>3221</v>
      </c>
      <c r="C13512">
        <v>11318</v>
      </c>
      <c r="D13512" t="s">
        <v>2477</v>
      </c>
      <c r="E13512" t="s">
        <v>2478</v>
      </c>
      <c r="F13512">
        <v>650</v>
      </c>
      <c r="G13512">
        <v>230829</v>
      </c>
      <c r="H13512">
        <v>4420</v>
      </c>
      <c r="I13512" t="s">
        <v>132</v>
      </c>
      <c r="J13512">
        <v>715</v>
      </c>
      <c r="K13512">
        <v>65</v>
      </c>
      <c r="L13512">
        <v>44222</v>
      </c>
      <c r="M13512" t="s">
        <v>232</v>
      </c>
      <c r="N13512" t="str">
        <f>"982         "</f>
        <v xml:space="preserve">982         </v>
      </c>
      <c r="O13512">
        <v>230904</v>
      </c>
    </row>
    <row r="13513" spans="1:15" x14ac:dyDescent="0.25">
      <c r="A13513" t="s">
        <v>16</v>
      </c>
      <c r="B13513" t="s">
        <v>3221</v>
      </c>
      <c r="C13513">
        <v>83</v>
      </c>
      <c r="D13513" t="s">
        <v>81</v>
      </c>
      <c r="E13513" t="s">
        <v>82</v>
      </c>
      <c r="F13513">
        <v>1116</v>
      </c>
      <c r="G13513">
        <v>221230</v>
      </c>
      <c r="H13513">
        <v>4470</v>
      </c>
      <c r="I13513" t="s">
        <v>83</v>
      </c>
      <c r="J13513">
        <v>1383.84</v>
      </c>
      <c r="K13513">
        <v>267.83999999999997</v>
      </c>
      <c r="L13513">
        <v>11401</v>
      </c>
      <c r="M13513" t="s">
        <v>84</v>
      </c>
      <c r="N13513" t="str">
        <f>"INV11003442 "</f>
        <v xml:space="preserve">INV11003442 </v>
      </c>
      <c r="O13513">
        <v>230109</v>
      </c>
    </row>
    <row r="13514" spans="1:15" x14ac:dyDescent="0.25">
      <c r="A13514" t="s">
        <v>16</v>
      </c>
      <c r="B13514" t="s">
        <v>3221</v>
      </c>
      <c r="C13514">
        <v>11471</v>
      </c>
      <c r="D13514" t="s">
        <v>2490</v>
      </c>
      <c r="E13514" t="s">
        <v>2491</v>
      </c>
      <c r="F13514">
        <v>12920</v>
      </c>
      <c r="G13514">
        <v>230821</v>
      </c>
      <c r="H13514">
        <v>1198</v>
      </c>
      <c r="I13514" t="s">
        <v>1128</v>
      </c>
      <c r="J13514">
        <v>16020.8</v>
      </c>
      <c r="K13514">
        <v>3100.8</v>
      </c>
      <c r="L13514">
        <v>95511</v>
      </c>
      <c r="M13514" t="s">
        <v>1129</v>
      </c>
      <c r="N13514" t="str">
        <f>"21154       "</f>
        <v xml:space="preserve">21154       </v>
      </c>
      <c r="O13514">
        <v>230906</v>
      </c>
    </row>
    <row r="13515" spans="1:15" x14ac:dyDescent="0.25">
      <c r="A13515" t="s">
        <v>16</v>
      </c>
      <c r="B13515" t="s">
        <v>3221</v>
      </c>
      <c r="C13515">
        <v>928</v>
      </c>
      <c r="D13515" t="s">
        <v>801</v>
      </c>
      <c r="E13515" t="s">
        <v>802</v>
      </c>
      <c r="F13515">
        <v>211.4</v>
      </c>
      <c r="G13515">
        <v>230126</v>
      </c>
      <c r="H13515">
        <v>4600</v>
      </c>
      <c r="I13515" t="s">
        <v>105</v>
      </c>
      <c r="J13515">
        <v>262.14</v>
      </c>
      <c r="K13515">
        <v>50.74</v>
      </c>
      <c r="L13515">
        <v>17711</v>
      </c>
      <c r="M13515" t="s">
        <v>65</v>
      </c>
      <c r="N13515" t="str">
        <f>"01244593    "</f>
        <v xml:space="preserve">01244593    </v>
      </c>
      <c r="O13515">
        <v>230201</v>
      </c>
    </row>
    <row r="13516" spans="1:15" x14ac:dyDescent="0.25">
      <c r="A13516" t="s">
        <v>16</v>
      </c>
      <c r="B13516" t="s">
        <v>3221</v>
      </c>
      <c r="C13516">
        <v>928</v>
      </c>
      <c r="D13516" t="s">
        <v>801</v>
      </c>
      <c r="E13516" t="s">
        <v>802</v>
      </c>
      <c r="F13516">
        <v>211.41</v>
      </c>
      <c r="G13516">
        <v>230126</v>
      </c>
      <c r="H13516">
        <v>4600</v>
      </c>
      <c r="I13516" t="s">
        <v>105</v>
      </c>
      <c r="J13516">
        <v>262.14999999999998</v>
      </c>
      <c r="K13516">
        <v>50.74</v>
      </c>
      <c r="L13516">
        <v>17739</v>
      </c>
      <c r="M13516" t="s">
        <v>374</v>
      </c>
      <c r="N13516" t="str">
        <f>"01244593    "</f>
        <v xml:space="preserve">01244593    </v>
      </c>
      <c r="O13516">
        <v>230201</v>
      </c>
    </row>
    <row r="13517" spans="1:15" x14ac:dyDescent="0.25">
      <c r="A13517" t="s">
        <v>16</v>
      </c>
      <c r="B13517" t="s">
        <v>3221</v>
      </c>
      <c r="C13517">
        <v>1146</v>
      </c>
      <c r="D13517" t="s">
        <v>3669</v>
      </c>
      <c r="E13517" t="s">
        <v>916</v>
      </c>
      <c r="F13517">
        <v>90.91</v>
      </c>
      <c r="G13517">
        <v>230125</v>
      </c>
      <c r="H13517">
        <v>4440</v>
      </c>
      <c r="I13517" t="s">
        <v>250</v>
      </c>
      <c r="J13517">
        <v>100</v>
      </c>
      <c r="K13517">
        <v>9.09</v>
      </c>
      <c r="L13517">
        <v>53222</v>
      </c>
      <c r="M13517" t="s">
        <v>445</v>
      </c>
      <c r="N13517" t="str">
        <f>"30448       "</f>
        <v xml:space="preserve">30448       </v>
      </c>
      <c r="O13517">
        <v>230206</v>
      </c>
    </row>
    <row r="13518" spans="1:15" x14ac:dyDescent="0.25">
      <c r="A13518" t="s">
        <v>16</v>
      </c>
      <c r="B13518" t="s">
        <v>3221</v>
      </c>
      <c r="C13518">
        <v>1146</v>
      </c>
      <c r="D13518" t="s">
        <v>3669</v>
      </c>
      <c r="E13518" t="s">
        <v>916</v>
      </c>
      <c r="F13518">
        <v>90.91</v>
      </c>
      <c r="G13518">
        <v>230125</v>
      </c>
      <c r="H13518">
        <v>4440</v>
      </c>
      <c r="I13518" t="s">
        <v>250</v>
      </c>
      <c r="J13518">
        <v>100</v>
      </c>
      <c r="K13518">
        <v>9.09</v>
      </c>
      <c r="L13518">
        <v>54222</v>
      </c>
      <c r="M13518" t="s">
        <v>308</v>
      </c>
      <c r="N13518" t="str">
        <f>"30448       "</f>
        <v xml:space="preserve">30448       </v>
      </c>
      <c r="O13518">
        <v>230206</v>
      </c>
    </row>
    <row r="13519" spans="1:15" x14ac:dyDescent="0.25">
      <c r="A13519" t="s">
        <v>16</v>
      </c>
      <c r="B13519" t="s">
        <v>3221</v>
      </c>
      <c r="C13519">
        <v>15292</v>
      </c>
      <c r="D13519" t="s">
        <v>2858</v>
      </c>
      <c r="E13519" t="s">
        <v>2859</v>
      </c>
      <c r="F13519">
        <v>60.56</v>
      </c>
      <c r="G13519">
        <v>231107</v>
      </c>
      <c r="H13519">
        <v>4600</v>
      </c>
      <c r="I13519" t="s">
        <v>105</v>
      </c>
      <c r="J13519">
        <v>75.099999999999994</v>
      </c>
      <c r="K13519">
        <v>14.54</v>
      </c>
      <c r="L13519">
        <v>56573</v>
      </c>
      <c r="M13519" t="s">
        <v>521</v>
      </c>
      <c r="N13519" t="str">
        <f>"304557      "</f>
        <v xml:space="preserve">304557      </v>
      </c>
      <c r="O13519">
        <v>231110</v>
      </c>
    </row>
    <row r="13520" spans="1:15" x14ac:dyDescent="0.25">
      <c r="A13520" t="s">
        <v>16</v>
      </c>
      <c r="B13520" t="s">
        <v>3221</v>
      </c>
      <c r="C13520">
        <v>1799</v>
      </c>
      <c r="D13520" t="s">
        <v>1183</v>
      </c>
      <c r="E13520" t="s">
        <v>1184</v>
      </c>
      <c r="F13520">
        <v>71.53</v>
      </c>
      <c r="G13520">
        <v>230213</v>
      </c>
      <c r="H13520">
        <v>4580</v>
      </c>
      <c r="I13520" t="s">
        <v>35</v>
      </c>
      <c r="J13520">
        <v>88.7</v>
      </c>
      <c r="K13520">
        <v>17.170000000000002</v>
      </c>
      <c r="L13520">
        <v>17531</v>
      </c>
      <c r="M13520" t="s">
        <v>136</v>
      </c>
      <c r="N13520" t="str">
        <f>"130223/2    "</f>
        <v xml:space="preserve">130223/2    </v>
      </c>
      <c r="O13520">
        <v>230214</v>
      </c>
    </row>
    <row r="13521" spans="1:15" x14ac:dyDescent="0.25">
      <c r="A13521" t="s">
        <v>16</v>
      </c>
      <c r="B13521" t="s">
        <v>3221</v>
      </c>
      <c r="C13521">
        <v>11005</v>
      </c>
      <c r="D13521" t="s">
        <v>1183</v>
      </c>
      <c r="E13521" t="s">
        <v>1184</v>
      </c>
      <c r="F13521">
        <v>56.9</v>
      </c>
      <c r="G13521">
        <v>230821</v>
      </c>
      <c r="H13521">
        <v>4600</v>
      </c>
      <c r="I13521" t="s">
        <v>105</v>
      </c>
      <c r="J13521">
        <v>70.55</v>
      </c>
      <c r="K13521">
        <v>13.65</v>
      </c>
      <c r="L13521">
        <v>17531</v>
      </c>
      <c r="M13521" t="s">
        <v>136</v>
      </c>
      <c r="N13521" t="str">
        <f>"1/210823    "</f>
        <v xml:space="preserve">1/210823    </v>
      </c>
      <c r="O13521">
        <v>230828</v>
      </c>
    </row>
    <row r="13522" spans="1:15" x14ac:dyDescent="0.25">
      <c r="A13522" t="s">
        <v>16</v>
      </c>
      <c r="B13522" t="s">
        <v>3221</v>
      </c>
      <c r="C13522">
        <v>11005</v>
      </c>
      <c r="D13522" t="s">
        <v>1183</v>
      </c>
      <c r="E13522" t="s">
        <v>1184</v>
      </c>
      <c r="F13522">
        <v>56.9</v>
      </c>
      <c r="G13522">
        <v>230821</v>
      </c>
      <c r="H13522">
        <v>4600</v>
      </c>
      <c r="I13522" t="s">
        <v>105</v>
      </c>
      <c r="J13522">
        <v>70.55</v>
      </c>
      <c r="K13522">
        <v>13.65</v>
      </c>
      <c r="L13522">
        <v>17971</v>
      </c>
      <c r="M13522" t="s">
        <v>138</v>
      </c>
      <c r="N13522" t="str">
        <f>"1/210823    "</f>
        <v xml:space="preserve">1/210823    </v>
      </c>
      <c r="O13522">
        <v>230828</v>
      </c>
    </row>
    <row r="13523" spans="1:15" x14ac:dyDescent="0.25">
      <c r="A13523" t="s">
        <v>16</v>
      </c>
      <c r="B13523" t="s">
        <v>3221</v>
      </c>
      <c r="C13523">
        <v>1772</v>
      </c>
      <c r="D13523" t="s">
        <v>1183</v>
      </c>
      <c r="E13523" t="s">
        <v>1184</v>
      </c>
      <c r="F13523">
        <v>76.77</v>
      </c>
      <c r="G13523">
        <v>230213</v>
      </c>
      <c r="H13523">
        <v>4500</v>
      </c>
      <c r="I13523" t="s">
        <v>212</v>
      </c>
      <c r="J13523">
        <v>95.2</v>
      </c>
      <c r="K13523">
        <v>18.43</v>
      </c>
      <c r="L13523">
        <v>13501</v>
      </c>
      <c r="M13523" t="s">
        <v>20</v>
      </c>
      <c r="N13523" t="str">
        <f>"130223      "</f>
        <v xml:space="preserve">130223      </v>
      </c>
      <c r="O13523">
        <v>230214</v>
      </c>
    </row>
    <row r="13524" spans="1:15" x14ac:dyDescent="0.25">
      <c r="A13524" t="s">
        <v>16</v>
      </c>
      <c r="B13524" t="s">
        <v>3221</v>
      </c>
      <c r="C13524">
        <v>18349</v>
      </c>
      <c r="D13524" t="s">
        <v>1183</v>
      </c>
      <c r="E13524" t="s">
        <v>1184</v>
      </c>
      <c r="F13524">
        <v>32.18</v>
      </c>
      <c r="G13524">
        <v>231221</v>
      </c>
      <c r="H13524">
        <v>4500</v>
      </c>
      <c r="I13524" t="s">
        <v>212</v>
      </c>
      <c r="J13524">
        <v>39.9</v>
      </c>
      <c r="K13524">
        <v>7.72</v>
      </c>
      <c r="L13524">
        <v>17538</v>
      </c>
      <c r="M13524" t="s">
        <v>24</v>
      </c>
      <c r="N13524" t="str">
        <f>"12          "</f>
        <v xml:space="preserve">12          </v>
      </c>
      <c r="O13524">
        <v>240103</v>
      </c>
    </row>
    <row r="13525" spans="1:15" x14ac:dyDescent="0.25">
      <c r="A13525" t="s">
        <v>16</v>
      </c>
      <c r="B13525" t="s">
        <v>3221</v>
      </c>
      <c r="C13525">
        <v>14004</v>
      </c>
      <c r="D13525" t="s">
        <v>3606</v>
      </c>
      <c r="E13525" t="s">
        <v>2725</v>
      </c>
      <c r="F13525">
        <v>534.6</v>
      </c>
      <c r="G13525">
        <v>231011</v>
      </c>
      <c r="H13525">
        <v>4600</v>
      </c>
      <c r="I13525" t="s">
        <v>105</v>
      </c>
      <c r="J13525">
        <v>662.9</v>
      </c>
      <c r="K13525">
        <v>128.30000000000001</v>
      </c>
      <c r="L13525">
        <v>66754</v>
      </c>
      <c r="M13525" t="s">
        <v>239</v>
      </c>
      <c r="N13525" t="str">
        <f>"205486      "</f>
        <v xml:space="preserve">205486      </v>
      </c>
      <c r="O13525">
        <v>231017</v>
      </c>
    </row>
    <row r="13526" spans="1:15" x14ac:dyDescent="0.25">
      <c r="A13526" t="s">
        <v>16</v>
      </c>
      <c r="B13526" t="s">
        <v>3221</v>
      </c>
      <c r="C13526">
        <v>17528</v>
      </c>
      <c r="D13526" t="s">
        <v>3606</v>
      </c>
      <c r="E13526" t="s">
        <v>2725</v>
      </c>
      <c r="F13526">
        <v>353.7</v>
      </c>
      <c r="G13526">
        <v>231211</v>
      </c>
      <c r="H13526">
        <v>4600</v>
      </c>
      <c r="I13526" t="s">
        <v>105</v>
      </c>
      <c r="J13526">
        <v>438.59</v>
      </c>
      <c r="K13526">
        <v>84.89</v>
      </c>
      <c r="L13526">
        <v>66754</v>
      </c>
      <c r="M13526" t="s">
        <v>239</v>
      </c>
      <c r="N13526" t="str">
        <f>"213604      "</f>
        <v xml:space="preserve">213604      </v>
      </c>
      <c r="O13526">
        <v>231215</v>
      </c>
    </row>
    <row r="13527" spans="1:15" x14ac:dyDescent="0.25">
      <c r="A13527" t="s">
        <v>16</v>
      </c>
      <c r="B13527" t="s">
        <v>3221</v>
      </c>
      <c r="C13527">
        <v>1834</v>
      </c>
      <c r="D13527" t="s">
        <v>1218</v>
      </c>
      <c r="E13527" t="s">
        <v>1219</v>
      </c>
      <c r="F13527">
        <v>8.8000000000000007</v>
      </c>
      <c r="G13527">
        <v>230208</v>
      </c>
      <c r="H13527">
        <v>4470</v>
      </c>
      <c r="I13527" t="s">
        <v>83</v>
      </c>
      <c r="J13527">
        <v>10.91</v>
      </c>
      <c r="K13527">
        <v>2.11</v>
      </c>
      <c r="L13527">
        <v>17711</v>
      </c>
      <c r="M13527" t="s">
        <v>65</v>
      </c>
      <c r="N13527" t="str">
        <f>"10001637    "</f>
        <v xml:space="preserve">10001637    </v>
      </c>
      <c r="O13527">
        <v>230214</v>
      </c>
    </row>
    <row r="13528" spans="1:15" x14ac:dyDescent="0.25">
      <c r="A13528" t="s">
        <v>16</v>
      </c>
      <c r="B13528" t="s">
        <v>3221</v>
      </c>
      <c r="C13528">
        <v>1834</v>
      </c>
      <c r="D13528" t="s">
        <v>1218</v>
      </c>
      <c r="E13528" t="s">
        <v>1219</v>
      </c>
      <c r="F13528">
        <v>57.89</v>
      </c>
      <c r="G13528">
        <v>230208</v>
      </c>
      <c r="H13528">
        <v>4554</v>
      </c>
      <c r="I13528" t="s">
        <v>371</v>
      </c>
      <c r="J13528">
        <v>66</v>
      </c>
      <c r="K13528">
        <v>8.11</v>
      </c>
      <c r="L13528">
        <v>17711</v>
      </c>
      <c r="M13528" t="s">
        <v>65</v>
      </c>
      <c r="N13528" t="str">
        <f>"10001637    "</f>
        <v xml:space="preserve">10001637    </v>
      </c>
      <c r="O13528">
        <v>230214</v>
      </c>
    </row>
    <row r="13529" spans="1:15" x14ac:dyDescent="0.25">
      <c r="A13529" t="s">
        <v>16</v>
      </c>
      <c r="B13529" t="s">
        <v>3221</v>
      </c>
      <c r="C13529">
        <v>2227</v>
      </c>
      <c r="D13529" t="s">
        <v>1331</v>
      </c>
      <c r="E13529" t="s">
        <v>1332</v>
      </c>
      <c r="F13529">
        <v>287.68</v>
      </c>
      <c r="G13529">
        <v>230207</v>
      </c>
      <c r="H13529">
        <v>4580</v>
      </c>
      <c r="I13529" t="s">
        <v>35</v>
      </c>
      <c r="J13529">
        <v>356.72</v>
      </c>
      <c r="K13529">
        <v>69.040000000000006</v>
      </c>
      <c r="L13529">
        <v>17521</v>
      </c>
      <c r="M13529" t="s">
        <v>133</v>
      </c>
      <c r="N13529" t="str">
        <f>"7000048504  "</f>
        <v xml:space="preserve">7000048504  </v>
      </c>
      <c r="O13529">
        <v>230222</v>
      </c>
    </row>
    <row r="13530" spans="1:15" x14ac:dyDescent="0.25">
      <c r="A13530" t="s">
        <v>16</v>
      </c>
      <c r="B13530" t="s">
        <v>3221</v>
      </c>
      <c r="C13530">
        <v>6793</v>
      </c>
      <c r="D13530" t="s">
        <v>2020</v>
      </c>
      <c r="E13530" t="s">
        <v>2021</v>
      </c>
      <c r="F13530">
        <v>98</v>
      </c>
      <c r="G13530">
        <v>230508</v>
      </c>
      <c r="H13530">
        <v>4470</v>
      </c>
      <c r="I13530" t="s">
        <v>83</v>
      </c>
      <c r="J13530">
        <v>121.52</v>
      </c>
      <c r="K13530">
        <v>23.52</v>
      </c>
      <c r="L13530">
        <v>17804</v>
      </c>
      <c r="M13530" t="s">
        <v>549</v>
      </c>
      <c r="N13530" t="str">
        <f>"1823        "</f>
        <v xml:space="preserve">1823        </v>
      </c>
      <c r="O13530">
        <v>230522</v>
      </c>
    </row>
    <row r="13531" spans="1:15" x14ac:dyDescent="0.25">
      <c r="A13531" t="s">
        <v>16</v>
      </c>
      <c r="B13531" t="s">
        <v>3221</v>
      </c>
      <c r="C13531">
        <v>18722</v>
      </c>
      <c r="D13531" t="s">
        <v>2020</v>
      </c>
      <c r="E13531" t="s">
        <v>2021</v>
      </c>
      <c r="F13531">
        <v>158</v>
      </c>
      <c r="G13531">
        <v>231220</v>
      </c>
      <c r="H13531">
        <v>4470</v>
      </c>
      <c r="I13531" t="s">
        <v>83</v>
      </c>
      <c r="J13531">
        <v>195.92</v>
      </c>
      <c r="K13531">
        <v>37.92</v>
      </c>
      <c r="L13531">
        <v>17803</v>
      </c>
      <c r="M13531" t="s">
        <v>389</v>
      </c>
      <c r="N13531" t="str">
        <f>"2092        "</f>
        <v xml:space="preserve">2092        </v>
      </c>
      <c r="O13531">
        <v>240105</v>
      </c>
    </row>
    <row r="13532" spans="1:15" x14ac:dyDescent="0.25">
      <c r="A13532" t="s">
        <v>16</v>
      </c>
      <c r="B13532" t="s">
        <v>3221</v>
      </c>
      <c r="C13532">
        <v>11794</v>
      </c>
      <c r="D13532" t="s">
        <v>1674</v>
      </c>
      <c r="E13532" t="s">
        <v>1675</v>
      </c>
      <c r="F13532">
        <v>164.51</v>
      </c>
      <c r="G13532">
        <v>230905</v>
      </c>
      <c r="H13532">
        <v>4410</v>
      </c>
      <c r="I13532" t="s">
        <v>517</v>
      </c>
      <c r="J13532">
        <v>187.54</v>
      </c>
      <c r="K13532">
        <v>23.03</v>
      </c>
      <c r="L13532">
        <v>49806</v>
      </c>
      <c r="M13532" t="s">
        <v>2515</v>
      </c>
      <c r="N13532" t="str">
        <f>"2230        "</f>
        <v xml:space="preserve">2230        </v>
      </c>
      <c r="O13532">
        <v>230911</v>
      </c>
    </row>
    <row r="13533" spans="1:15" x14ac:dyDescent="0.25">
      <c r="A13533" t="s">
        <v>16</v>
      </c>
      <c r="B13533" t="s">
        <v>3221</v>
      </c>
      <c r="C13533">
        <v>13337</v>
      </c>
      <c r="D13533" t="s">
        <v>1674</v>
      </c>
      <c r="E13533" t="s">
        <v>1675</v>
      </c>
      <c r="F13533">
        <v>132.02000000000001</v>
      </c>
      <c r="G13533">
        <v>231005</v>
      </c>
      <c r="H13533">
        <v>4410</v>
      </c>
      <c r="I13533" t="s">
        <v>517</v>
      </c>
      <c r="J13533">
        <v>150.5</v>
      </c>
      <c r="K13533">
        <v>18.48</v>
      </c>
      <c r="L13533">
        <v>18972</v>
      </c>
      <c r="M13533" t="s">
        <v>163</v>
      </c>
      <c r="N13533" t="str">
        <f>"2273        "</f>
        <v xml:space="preserve">2273        </v>
      </c>
      <c r="O13533">
        <v>231009</v>
      </c>
    </row>
    <row r="13534" spans="1:15" x14ac:dyDescent="0.25">
      <c r="A13534" t="s">
        <v>16</v>
      </c>
      <c r="B13534" t="s">
        <v>3221</v>
      </c>
      <c r="C13534">
        <v>13519</v>
      </c>
      <c r="D13534" t="s">
        <v>1674</v>
      </c>
      <c r="E13534" t="s">
        <v>1675</v>
      </c>
      <c r="F13534">
        <v>331.14</v>
      </c>
      <c r="G13534">
        <v>231005</v>
      </c>
      <c r="H13534">
        <v>4410</v>
      </c>
      <c r="I13534" t="s">
        <v>517</v>
      </c>
      <c r="J13534">
        <v>377.5</v>
      </c>
      <c r="K13534">
        <v>46.36</v>
      </c>
      <c r="L13534">
        <v>18972</v>
      </c>
      <c r="M13534" t="s">
        <v>163</v>
      </c>
      <c r="N13534" t="str">
        <f>"2274        "</f>
        <v xml:space="preserve">2274        </v>
      </c>
      <c r="O13534">
        <v>231011</v>
      </c>
    </row>
    <row r="13535" spans="1:15" x14ac:dyDescent="0.25">
      <c r="A13535" t="s">
        <v>16</v>
      </c>
      <c r="B13535" t="s">
        <v>3221</v>
      </c>
      <c r="C13535">
        <v>11794</v>
      </c>
      <c r="D13535" t="s">
        <v>1674</v>
      </c>
      <c r="E13535" t="s">
        <v>1675</v>
      </c>
      <c r="F13535">
        <v>400</v>
      </c>
      <c r="G13535">
        <v>230905</v>
      </c>
      <c r="H13535">
        <v>4470</v>
      </c>
      <c r="I13535" t="s">
        <v>83</v>
      </c>
      <c r="J13535">
        <v>496</v>
      </c>
      <c r="K13535">
        <v>96</v>
      </c>
      <c r="L13535">
        <v>49806</v>
      </c>
      <c r="M13535" t="s">
        <v>2515</v>
      </c>
      <c r="N13535" t="str">
        <f>"2230        "</f>
        <v xml:space="preserve">2230        </v>
      </c>
      <c r="O13535">
        <v>230911</v>
      </c>
    </row>
    <row r="13536" spans="1:15" x14ac:dyDescent="0.25">
      <c r="A13536" t="s">
        <v>16</v>
      </c>
      <c r="B13536" t="s">
        <v>3221</v>
      </c>
      <c r="C13536">
        <v>4218</v>
      </c>
      <c r="D13536" t="s">
        <v>1674</v>
      </c>
      <c r="E13536" t="s">
        <v>1675</v>
      </c>
      <c r="F13536">
        <v>100</v>
      </c>
      <c r="G13536">
        <v>230330</v>
      </c>
      <c r="H13536">
        <v>4820</v>
      </c>
      <c r="I13536" t="s">
        <v>50</v>
      </c>
      <c r="J13536">
        <v>124</v>
      </c>
      <c r="K13536">
        <v>24</v>
      </c>
      <c r="L13536">
        <v>11001</v>
      </c>
      <c r="M13536" t="s">
        <v>326</v>
      </c>
      <c r="N13536" t="str">
        <f>"2059        "</f>
        <v xml:space="preserve">2059        </v>
      </c>
      <c r="O13536">
        <v>230403</v>
      </c>
    </row>
    <row r="13537" spans="1:15" x14ac:dyDescent="0.25">
      <c r="A13537" t="s">
        <v>16</v>
      </c>
      <c r="B13537" t="s">
        <v>3221</v>
      </c>
      <c r="C13537">
        <v>13337</v>
      </c>
      <c r="D13537" t="s">
        <v>1674</v>
      </c>
      <c r="E13537" t="s">
        <v>1675</v>
      </c>
      <c r="F13537">
        <v>100</v>
      </c>
      <c r="G13537">
        <v>231005</v>
      </c>
      <c r="H13537">
        <v>4820</v>
      </c>
      <c r="I13537" t="s">
        <v>50</v>
      </c>
      <c r="J13537">
        <v>124</v>
      </c>
      <c r="K13537">
        <v>24</v>
      </c>
      <c r="L13537">
        <v>18972</v>
      </c>
      <c r="M13537" t="s">
        <v>163</v>
      </c>
      <c r="N13537" t="str">
        <f>"2273        "</f>
        <v xml:space="preserve">2273        </v>
      </c>
      <c r="O13537">
        <v>231009</v>
      </c>
    </row>
    <row r="13538" spans="1:15" x14ac:dyDescent="0.25">
      <c r="A13538" t="s">
        <v>16</v>
      </c>
      <c r="B13538" t="s">
        <v>3221</v>
      </c>
      <c r="C13538">
        <v>13519</v>
      </c>
      <c r="D13538" t="s">
        <v>1674</v>
      </c>
      <c r="E13538" t="s">
        <v>1675</v>
      </c>
      <c r="F13538">
        <v>100</v>
      </c>
      <c r="G13538">
        <v>231005</v>
      </c>
      <c r="H13538">
        <v>4820</v>
      </c>
      <c r="I13538" t="s">
        <v>50</v>
      </c>
      <c r="J13538">
        <v>124</v>
      </c>
      <c r="K13538">
        <v>24</v>
      </c>
      <c r="L13538">
        <v>18972</v>
      </c>
      <c r="M13538" t="s">
        <v>163</v>
      </c>
      <c r="N13538" t="str">
        <f>"2274        "</f>
        <v xml:space="preserve">2274        </v>
      </c>
      <c r="O13538">
        <v>231011</v>
      </c>
    </row>
    <row r="13539" spans="1:15" x14ac:dyDescent="0.25">
      <c r="A13539" t="s">
        <v>16</v>
      </c>
      <c r="B13539" t="s">
        <v>3221</v>
      </c>
      <c r="C13539">
        <v>1028</v>
      </c>
      <c r="D13539" t="s">
        <v>3595</v>
      </c>
      <c r="E13539" t="s">
        <v>840</v>
      </c>
      <c r="F13539">
        <v>586.08000000000004</v>
      </c>
      <c r="G13539">
        <v>230126</v>
      </c>
      <c r="H13539">
        <v>4600</v>
      </c>
      <c r="I13539" t="s">
        <v>105</v>
      </c>
      <c r="J13539">
        <v>726.74</v>
      </c>
      <c r="K13539">
        <v>140.66</v>
      </c>
      <c r="L13539">
        <v>17711</v>
      </c>
      <c r="M13539" t="s">
        <v>65</v>
      </c>
      <c r="N13539" t="str">
        <f>"700947      "</f>
        <v xml:space="preserve">700947      </v>
      </c>
      <c r="O13539">
        <v>230202</v>
      </c>
    </row>
    <row r="13540" spans="1:15" x14ac:dyDescent="0.25">
      <c r="A13540" t="s">
        <v>16</v>
      </c>
      <c r="B13540" t="s">
        <v>3221</v>
      </c>
      <c r="C13540">
        <v>1028</v>
      </c>
      <c r="D13540" t="s">
        <v>3595</v>
      </c>
      <c r="E13540" t="s">
        <v>840</v>
      </c>
      <c r="F13540">
        <v>1758.24</v>
      </c>
      <c r="G13540">
        <v>230126</v>
      </c>
      <c r="H13540">
        <v>4600</v>
      </c>
      <c r="I13540" t="s">
        <v>105</v>
      </c>
      <c r="J13540">
        <v>2180.2199999999998</v>
      </c>
      <c r="K13540">
        <v>421.98</v>
      </c>
      <c r="L13540">
        <v>17737</v>
      </c>
      <c r="M13540" t="s">
        <v>279</v>
      </c>
      <c r="N13540" t="str">
        <f>"700947      "</f>
        <v xml:space="preserve">700947      </v>
      </c>
      <c r="O13540">
        <v>230202</v>
      </c>
    </row>
    <row r="13541" spans="1:15" x14ac:dyDescent="0.25">
      <c r="A13541" t="s">
        <v>16</v>
      </c>
      <c r="B13541" t="s">
        <v>3221</v>
      </c>
      <c r="C13541">
        <v>3953</v>
      </c>
      <c r="D13541" t="s">
        <v>3595</v>
      </c>
      <c r="E13541" t="s">
        <v>840</v>
      </c>
      <c r="F13541">
        <v>586.08000000000004</v>
      </c>
      <c r="G13541">
        <v>230320</v>
      </c>
      <c r="H13541">
        <v>4600</v>
      </c>
      <c r="I13541" t="s">
        <v>105</v>
      </c>
      <c r="J13541">
        <v>726.74</v>
      </c>
      <c r="K13541">
        <v>140.66</v>
      </c>
      <c r="L13541">
        <v>17711</v>
      </c>
      <c r="M13541" t="s">
        <v>65</v>
      </c>
      <c r="N13541" t="str">
        <f>"702835      "</f>
        <v xml:space="preserve">702835      </v>
      </c>
      <c r="O13541">
        <v>230328</v>
      </c>
    </row>
    <row r="13542" spans="1:15" x14ac:dyDescent="0.25">
      <c r="A13542" t="s">
        <v>16</v>
      </c>
      <c r="B13542" t="s">
        <v>3221</v>
      </c>
      <c r="C13542">
        <v>3953</v>
      </c>
      <c r="D13542" t="s">
        <v>3595</v>
      </c>
      <c r="E13542" t="s">
        <v>840</v>
      </c>
      <c r="F13542">
        <v>1758.24</v>
      </c>
      <c r="G13542">
        <v>230320</v>
      </c>
      <c r="H13542">
        <v>4600</v>
      </c>
      <c r="I13542" t="s">
        <v>105</v>
      </c>
      <c r="J13542">
        <v>2180.2199999999998</v>
      </c>
      <c r="K13542">
        <v>421.98</v>
      </c>
      <c r="L13542">
        <v>17737</v>
      </c>
      <c r="M13542" t="s">
        <v>279</v>
      </c>
      <c r="N13542" t="str">
        <f>"702835      "</f>
        <v xml:space="preserve">702835      </v>
      </c>
      <c r="O13542">
        <v>230328</v>
      </c>
    </row>
    <row r="13543" spans="1:15" x14ac:dyDescent="0.25">
      <c r="A13543" t="s">
        <v>16</v>
      </c>
      <c r="B13543" t="s">
        <v>3221</v>
      </c>
      <c r="C13543">
        <v>5526</v>
      </c>
      <c r="D13543" t="s">
        <v>3595</v>
      </c>
      <c r="E13543" t="s">
        <v>840</v>
      </c>
      <c r="F13543">
        <v>623.63</v>
      </c>
      <c r="G13543">
        <v>230424</v>
      </c>
      <c r="H13543">
        <v>4600</v>
      </c>
      <c r="I13543" t="s">
        <v>105</v>
      </c>
      <c r="J13543">
        <v>773.3</v>
      </c>
      <c r="K13543">
        <v>149.66999999999999</v>
      </c>
      <c r="L13543">
        <v>17711</v>
      </c>
      <c r="M13543" t="s">
        <v>65</v>
      </c>
      <c r="N13543" t="str">
        <f>"703998      "</f>
        <v xml:space="preserve">703998      </v>
      </c>
      <c r="O13543">
        <v>230426</v>
      </c>
    </row>
    <row r="13544" spans="1:15" x14ac:dyDescent="0.25">
      <c r="A13544" t="s">
        <v>16</v>
      </c>
      <c r="B13544" t="s">
        <v>3221</v>
      </c>
      <c r="C13544">
        <v>5526</v>
      </c>
      <c r="D13544" t="s">
        <v>3595</v>
      </c>
      <c r="E13544" t="s">
        <v>840</v>
      </c>
      <c r="F13544">
        <v>1870.88</v>
      </c>
      <c r="G13544">
        <v>230424</v>
      </c>
      <c r="H13544">
        <v>4600</v>
      </c>
      <c r="I13544" t="s">
        <v>105</v>
      </c>
      <c r="J13544">
        <v>2319.89</v>
      </c>
      <c r="K13544">
        <v>449.01</v>
      </c>
      <c r="L13544">
        <v>17737</v>
      </c>
      <c r="M13544" t="s">
        <v>279</v>
      </c>
      <c r="N13544" t="str">
        <f>"703998      "</f>
        <v xml:space="preserve">703998      </v>
      </c>
      <c r="O13544">
        <v>230426</v>
      </c>
    </row>
    <row r="13545" spans="1:15" x14ac:dyDescent="0.25">
      <c r="A13545" t="s">
        <v>16</v>
      </c>
      <c r="B13545" t="s">
        <v>3221</v>
      </c>
      <c r="C13545">
        <v>9547</v>
      </c>
      <c r="D13545" t="s">
        <v>3595</v>
      </c>
      <c r="E13545" t="s">
        <v>840</v>
      </c>
      <c r="F13545">
        <v>792</v>
      </c>
      <c r="G13545">
        <v>230628</v>
      </c>
      <c r="H13545">
        <v>4600</v>
      </c>
      <c r="I13545" t="s">
        <v>105</v>
      </c>
      <c r="J13545">
        <v>982.08</v>
      </c>
      <c r="K13545">
        <v>190.08</v>
      </c>
      <c r="L13545">
        <v>17711</v>
      </c>
      <c r="M13545" t="s">
        <v>65</v>
      </c>
      <c r="N13545" t="str">
        <f>"705678      "</f>
        <v xml:space="preserve">705678      </v>
      </c>
      <c r="O13545">
        <v>230717</v>
      </c>
    </row>
    <row r="13546" spans="1:15" x14ac:dyDescent="0.25">
      <c r="A13546" t="s">
        <v>16</v>
      </c>
      <c r="B13546" t="s">
        <v>3221</v>
      </c>
      <c r="C13546">
        <v>9547</v>
      </c>
      <c r="D13546" t="s">
        <v>3595</v>
      </c>
      <c r="E13546" t="s">
        <v>840</v>
      </c>
      <c r="F13546">
        <v>1584.01</v>
      </c>
      <c r="G13546">
        <v>230628</v>
      </c>
      <c r="H13546">
        <v>4600</v>
      </c>
      <c r="I13546" t="s">
        <v>105</v>
      </c>
      <c r="J13546">
        <v>1964.17</v>
      </c>
      <c r="K13546">
        <v>380.16</v>
      </c>
      <c r="L13546">
        <v>17737</v>
      </c>
      <c r="M13546" t="s">
        <v>279</v>
      </c>
      <c r="N13546" t="str">
        <f>"705678      "</f>
        <v xml:space="preserve">705678      </v>
      </c>
      <c r="O13546">
        <v>230717</v>
      </c>
    </row>
    <row r="13547" spans="1:15" x14ac:dyDescent="0.25">
      <c r="A13547" t="s">
        <v>16</v>
      </c>
      <c r="B13547" t="s">
        <v>3221</v>
      </c>
      <c r="C13547">
        <v>11729</v>
      </c>
      <c r="D13547" t="s">
        <v>3595</v>
      </c>
      <c r="E13547" t="s">
        <v>840</v>
      </c>
      <c r="F13547">
        <v>598.44000000000005</v>
      </c>
      <c r="G13547">
        <v>230907</v>
      </c>
      <c r="H13547">
        <v>4600</v>
      </c>
      <c r="I13547" t="s">
        <v>105</v>
      </c>
      <c r="J13547">
        <v>742.07</v>
      </c>
      <c r="K13547">
        <v>143.63</v>
      </c>
      <c r="L13547">
        <v>17711</v>
      </c>
      <c r="M13547" t="s">
        <v>65</v>
      </c>
      <c r="N13547" t="str">
        <f>"707332      "</f>
        <v xml:space="preserve">707332      </v>
      </c>
      <c r="O13547">
        <v>230908</v>
      </c>
    </row>
    <row r="13548" spans="1:15" x14ac:dyDescent="0.25">
      <c r="A13548" t="s">
        <v>16</v>
      </c>
      <c r="B13548" t="s">
        <v>3221</v>
      </c>
      <c r="C13548">
        <v>11729</v>
      </c>
      <c r="D13548" t="s">
        <v>3595</v>
      </c>
      <c r="E13548" t="s">
        <v>840</v>
      </c>
      <c r="F13548">
        <v>1710.09</v>
      </c>
      <c r="G13548">
        <v>230907</v>
      </c>
      <c r="H13548">
        <v>4600</v>
      </c>
      <c r="I13548" t="s">
        <v>105</v>
      </c>
      <c r="J13548">
        <v>2120.5100000000002</v>
      </c>
      <c r="K13548">
        <v>410.42</v>
      </c>
      <c r="L13548">
        <v>17737</v>
      </c>
      <c r="M13548" t="s">
        <v>279</v>
      </c>
      <c r="N13548" t="str">
        <f>"707332      "</f>
        <v xml:space="preserve">707332      </v>
      </c>
      <c r="O13548">
        <v>230908</v>
      </c>
    </row>
    <row r="13549" spans="1:15" x14ac:dyDescent="0.25">
      <c r="A13549" t="s">
        <v>16</v>
      </c>
      <c r="B13549" t="s">
        <v>3221</v>
      </c>
      <c r="C13549">
        <v>11729</v>
      </c>
      <c r="D13549" t="s">
        <v>3595</v>
      </c>
      <c r="E13549" t="s">
        <v>840</v>
      </c>
      <c r="F13549">
        <v>256.48</v>
      </c>
      <c r="G13549">
        <v>230907</v>
      </c>
      <c r="H13549">
        <v>4600</v>
      </c>
      <c r="I13549" t="s">
        <v>105</v>
      </c>
      <c r="J13549">
        <v>318.02999999999997</v>
      </c>
      <c r="K13549">
        <v>61.55</v>
      </c>
      <c r="L13549">
        <v>17739</v>
      </c>
      <c r="M13549" t="s">
        <v>374</v>
      </c>
      <c r="N13549" t="str">
        <f>"707332      "</f>
        <v xml:space="preserve">707332      </v>
      </c>
      <c r="O13549">
        <v>230908</v>
      </c>
    </row>
    <row r="13550" spans="1:15" x14ac:dyDescent="0.25">
      <c r="A13550" t="s">
        <v>16</v>
      </c>
      <c r="B13550" t="s">
        <v>3221</v>
      </c>
      <c r="C13550">
        <v>15677</v>
      </c>
      <c r="D13550" t="s">
        <v>3595</v>
      </c>
      <c r="E13550" t="s">
        <v>840</v>
      </c>
      <c r="F13550">
        <v>600.14</v>
      </c>
      <c r="G13550">
        <v>231108</v>
      </c>
      <c r="H13550">
        <v>4600</v>
      </c>
      <c r="I13550" t="s">
        <v>105</v>
      </c>
      <c r="J13550">
        <v>744.17</v>
      </c>
      <c r="K13550">
        <v>144.03</v>
      </c>
      <c r="L13550">
        <v>17711</v>
      </c>
      <c r="M13550" t="s">
        <v>65</v>
      </c>
      <c r="N13550" t="str">
        <f>"709373      "</f>
        <v xml:space="preserve">709373      </v>
      </c>
      <c r="O13550">
        <v>231116</v>
      </c>
    </row>
    <row r="13551" spans="1:15" x14ac:dyDescent="0.25">
      <c r="A13551" t="s">
        <v>16</v>
      </c>
      <c r="B13551" t="s">
        <v>3221</v>
      </c>
      <c r="C13551">
        <v>15677</v>
      </c>
      <c r="D13551" t="s">
        <v>3595</v>
      </c>
      <c r="E13551" t="s">
        <v>840</v>
      </c>
      <c r="F13551">
        <v>1800.42</v>
      </c>
      <c r="G13551">
        <v>231108</v>
      </c>
      <c r="H13551">
        <v>4600</v>
      </c>
      <c r="I13551" t="s">
        <v>105</v>
      </c>
      <c r="J13551">
        <v>2232.52</v>
      </c>
      <c r="K13551">
        <v>432.1</v>
      </c>
      <c r="L13551">
        <v>17737</v>
      </c>
      <c r="M13551" t="s">
        <v>279</v>
      </c>
      <c r="N13551" t="str">
        <f>"709373      "</f>
        <v xml:space="preserve">709373      </v>
      </c>
      <c r="O13551">
        <v>231116</v>
      </c>
    </row>
    <row r="13552" spans="1:15" x14ac:dyDescent="0.25">
      <c r="A13552" t="s">
        <v>16</v>
      </c>
      <c r="B13552" t="s">
        <v>3221</v>
      </c>
      <c r="C13552">
        <v>18087</v>
      </c>
      <c r="D13552" t="s">
        <v>3595</v>
      </c>
      <c r="E13552" t="s">
        <v>840</v>
      </c>
      <c r="F13552">
        <v>840.19</v>
      </c>
      <c r="G13552">
        <v>231219</v>
      </c>
      <c r="H13552">
        <v>4600</v>
      </c>
      <c r="I13552" t="s">
        <v>105</v>
      </c>
      <c r="J13552">
        <v>1041.8399999999999</v>
      </c>
      <c r="K13552">
        <v>201.65</v>
      </c>
      <c r="L13552">
        <v>17711</v>
      </c>
      <c r="M13552" t="s">
        <v>65</v>
      </c>
      <c r="N13552" t="str">
        <f>"710766      "</f>
        <v xml:space="preserve">710766      </v>
      </c>
      <c r="O13552">
        <v>240102</v>
      </c>
    </row>
    <row r="13553" spans="1:15" x14ac:dyDescent="0.25">
      <c r="A13553" t="s">
        <v>16</v>
      </c>
      <c r="B13553" t="s">
        <v>3221</v>
      </c>
      <c r="C13553">
        <v>18087</v>
      </c>
      <c r="D13553" t="s">
        <v>3595</v>
      </c>
      <c r="E13553" t="s">
        <v>840</v>
      </c>
      <c r="F13553">
        <v>840.19</v>
      </c>
      <c r="G13553">
        <v>231219</v>
      </c>
      <c r="H13553">
        <v>4600</v>
      </c>
      <c r="I13553" t="s">
        <v>105</v>
      </c>
      <c r="J13553">
        <v>1041.8399999999999</v>
      </c>
      <c r="K13553">
        <v>201.65</v>
      </c>
      <c r="L13553">
        <v>17737</v>
      </c>
      <c r="M13553" t="s">
        <v>279</v>
      </c>
      <c r="N13553" t="str">
        <f>"710766      "</f>
        <v xml:space="preserve">710766      </v>
      </c>
      <c r="O13553">
        <v>240102</v>
      </c>
    </row>
    <row r="13554" spans="1:15" x14ac:dyDescent="0.25">
      <c r="A13554" t="s">
        <v>16</v>
      </c>
      <c r="B13554" t="s">
        <v>3221</v>
      </c>
      <c r="C13554">
        <v>18087</v>
      </c>
      <c r="D13554" t="s">
        <v>3595</v>
      </c>
      <c r="E13554" t="s">
        <v>840</v>
      </c>
      <c r="F13554">
        <v>720.17</v>
      </c>
      <c r="G13554">
        <v>231219</v>
      </c>
      <c r="H13554">
        <v>4600</v>
      </c>
      <c r="I13554" t="s">
        <v>105</v>
      </c>
      <c r="J13554">
        <v>893.01</v>
      </c>
      <c r="K13554">
        <v>172.84</v>
      </c>
      <c r="L13554">
        <v>17739</v>
      </c>
      <c r="M13554" t="s">
        <v>374</v>
      </c>
      <c r="N13554" t="str">
        <f>"710766      "</f>
        <v xml:space="preserve">710766      </v>
      </c>
      <c r="O13554">
        <v>240102</v>
      </c>
    </row>
    <row r="13555" spans="1:15" x14ac:dyDescent="0.25">
      <c r="A13555" t="s">
        <v>16</v>
      </c>
      <c r="B13555" t="s">
        <v>3221</v>
      </c>
      <c r="C13555">
        <v>18988</v>
      </c>
      <c r="D13555" t="s">
        <v>1006</v>
      </c>
      <c r="E13555" t="s">
        <v>1007</v>
      </c>
      <c r="F13555">
        <v>22.58</v>
      </c>
      <c r="G13555">
        <v>231231</v>
      </c>
      <c r="H13555">
        <v>4574</v>
      </c>
      <c r="I13555" t="s">
        <v>396</v>
      </c>
      <c r="J13555">
        <v>28</v>
      </c>
      <c r="K13555">
        <v>5.42</v>
      </c>
      <c r="L13555">
        <v>17521</v>
      </c>
      <c r="M13555" t="s">
        <v>133</v>
      </c>
      <c r="N13555" t="str">
        <f>"0063002431  "</f>
        <v xml:space="preserve">0063002431  </v>
      </c>
      <c r="O13555">
        <v>240109</v>
      </c>
    </row>
    <row r="13556" spans="1:15" x14ac:dyDescent="0.25">
      <c r="A13556" t="s">
        <v>16</v>
      </c>
      <c r="B13556" t="s">
        <v>3221</v>
      </c>
      <c r="C13556">
        <v>1334</v>
      </c>
      <c r="D13556" t="s">
        <v>1006</v>
      </c>
      <c r="E13556" t="s">
        <v>1007</v>
      </c>
      <c r="F13556">
        <v>29.94</v>
      </c>
      <c r="G13556">
        <v>230207</v>
      </c>
      <c r="H13556">
        <v>4560</v>
      </c>
      <c r="I13556" t="s">
        <v>345</v>
      </c>
      <c r="J13556">
        <v>37.119999999999997</v>
      </c>
      <c r="K13556">
        <v>7.18</v>
      </c>
      <c r="L13556">
        <v>13801</v>
      </c>
      <c r="M13556" t="s">
        <v>162</v>
      </c>
      <c r="N13556" t="str">
        <f>"0063002288  "</f>
        <v xml:space="preserve">0063002288  </v>
      </c>
      <c r="O13556">
        <v>230208</v>
      </c>
    </row>
    <row r="13557" spans="1:15" x14ac:dyDescent="0.25">
      <c r="A13557" t="s">
        <v>16</v>
      </c>
      <c r="B13557" t="s">
        <v>3221</v>
      </c>
      <c r="C13557">
        <v>1334</v>
      </c>
      <c r="D13557" t="s">
        <v>1006</v>
      </c>
      <c r="E13557" t="s">
        <v>1007</v>
      </c>
      <c r="F13557">
        <v>28.23</v>
      </c>
      <c r="G13557">
        <v>230207</v>
      </c>
      <c r="H13557">
        <v>4560</v>
      </c>
      <c r="I13557" t="s">
        <v>345</v>
      </c>
      <c r="J13557">
        <v>35</v>
      </c>
      <c r="K13557">
        <v>6.77</v>
      </c>
      <c r="L13557">
        <v>17521</v>
      </c>
      <c r="M13557" t="s">
        <v>133</v>
      </c>
      <c r="N13557" t="str">
        <f>"0063002288  "</f>
        <v xml:space="preserve">0063002288  </v>
      </c>
      <c r="O13557">
        <v>230208</v>
      </c>
    </row>
    <row r="13558" spans="1:15" x14ac:dyDescent="0.25">
      <c r="A13558" t="s">
        <v>16</v>
      </c>
      <c r="B13558" t="s">
        <v>3221</v>
      </c>
      <c r="C13558">
        <v>1334</v>
      </c>
      <c r="D13558" t="s">
        <v>1006</v>
      </c>
      <c r="E13558" t="s">
        <v>1007</v>
      </c>
      <c r="F13558">
        <v>23.85</v>
      </c>
      <c r="G13558">
        <v>230207</v>
      </c>
      <c r="H13558">
        <v>4560</v>
      </c>
      <c r="I13558" t="s">
        <v>345</v>
      </c>
      <c r="J13558">
        <v>29.58</v>
      </c>
      <c r="K13558">
        <v>5.73</v>
      </c>
      <c r="L13558">
        <v>17524</v>
      </c>
      <c r="M13558" t="s">
        <v>452</v>
      </c>
      <c r="N13558" t="str">
        <f>"0063002288  "</f>
        <v xml:space="preserve">0063002288  </v>
      </c>
      <c r="O13558">
        <v>230208</v>
      </c>
    </row>
    <row r="13559" spans="1:15" x14ac:dyDescent="0.25">
      <c r="A13559" t="s">
        <v>16</v>
      </c>
      <c r="B13559" t="s">
        <v>3221</v>
      </c>
      <c r="C13559">
        <v>1334</v>
      </c>
      <c r="D13559" t="s">
        <v>1006</v>
      </c>
      <c r="E13559" t="s">
        <v>1007</v>
      </c>
      <c r="F13559">
        <v>15.04</v>
      </c>
      <c r="G13559">
        <v>230207</v>
      </c>
      <c r="H13559">
        <v>4560</v>
      </c>
      <c r="I13559" t="s">
        <v>345</v>
      </c>
      <c r="J13559">
        <v>18.649999999999999</v>
      </c>
      <c r="K13559">
        <v>3.61</v>
      </c>
      <c r="L13559">
        <v>17529</v>
      </c>
      <c r="M13559" t="s">
        <v>453</v>
      </c>
      <c r="N13559" t="str">
        <f>"0063002288  "</f>
        <v xml:space="preserve">0063002288  </v>
      </c>
      <c r="O13559">
        <v>230208</v>
      </c>
    </row>
    <row r="13560" spans="1:15" x14ac:dyDescent="0.25">
      <c r="A13560" t="s">
        <v>16</v>
      </c>
      <c r="B13560" t="s">
        <v>3221</v>
      </c>
      <c r="C13560">
        <v>1334</v>
      </c>
      <c r="D13560" t="s">
        <v>1006</v>
      </c>
      <c r="E13560" t="s">
        <v>1007</v>
      </c>
      <c r="F13560">
        <v>38.130000000000003</v>
      </c>
      <c r="G13560">
        <v>230207</v>
      </c>
      <c r="H13560">
        <v>4560</v>
      </c>
      <c r="I13560" t="s">
        <v>345</v>
      </c>
      <c r="J13560">
        <v>47.28</v>
      </c>
      <c r="K13560">
        <v>9.15</v>
      </c>
      <c r="L13560">
        <v>17972</v>
      </c>
      <c r="M13560" t="s">
        <v>248</v>
      </c>
      <c r="N13560" t="str">
        <f>"0063002288  "</f>
        <v xml:space="preserve">0063002288  </v>
      </c>
      <c r="O13560">
        <v>230208</v>
      </c>
    </row>
    <row r="13561" spans="1:15" x14ac:dyDescent="0.25">
      <c r="A13561" t="s">
        <v>16</v>
      </c>
      <c r="B13561" t="s">
        <v>3221</v>
      </c>
      <c r="C13561">
        <v>3167</v>
      </c>
      <c r="D13561" t="s">
        <v>1006</v>
      </c>
      <c r="E13561" t="s">
        <v>1007</v>
      </c>
      <c r="F13561">
        <v>44.22</v>
      </c>
      <c r="G13561">
        <v>230228</v>
      </c>
      <c r="H13561">
        <v>4560</v>
      </c>
      <c r="I13561" t="s">
        <v>345</v>
      </c>
      <c r="J13561">
        <v>54.83</v>
      </c>
      <c r="K13561">
        <v>10.61</v>
      </c>
      <c r="L13561">
        <v>12982</v>
      </c>
      <c r="M13561" t="s">
        <v>1518</v>
      </c>
      <c r="N13561" t="str">
        <f t="shared" ref="N13561:N13567" si="179">"0063002300  "</f>
        <v xml:space="preserve">0063002300  </v>
      </c>
      <c r="O13561">
        <v>230310</v>
      </c>
    </row>
    <row r="13562" spans="1:15" x14ac:dyDescent="0.25">
      <c r="A13562" t="s">
        <v>16</v>
      </c>
      <c r="B13562" t="s">
        <v>3221</v>
      </c>
      <c r="C13562">
        <v>3167</v>
      </c>
      <c r="D13562" t="s">
        <v>1006</v>
      </c>
      <c r="E13562" t="s">
        <v>1007</v>
      </c>
      <c r="F13562">
        <v>85.56</v>
      </c>
      <c r="G13562">
        <v>230228</v>
      </c>
      <c r="H13562">
        <v>4560</v>
      </c>
      <c r="I13562" t="s">
        <v>345</v>
      </c>
      <c r="J13562">
        <v>106.1</v>
      </c>
      <c r="K13562">
        <v>20.54</v>
      </c>
      <c r="L13562">
        <v>16915</v>
      </c>
      <c r="M13562" t="s">
        <v>1519</v>
      </c>
      <c r="N13562" t="str">
        <f t="shared" si="179"/>
        <v xml:space="preserve">0063002300  </v>
      </c>
      <c r="O13562">
        <v>230310</v>
      </c>
    </row>
    <row r="13563" spans="1:15" x14ac:dyDescent="0.25">
      <c r="A13563" t="s">
        <v>16</v>
      </c>
      <c r="B13563" t="s">
        <v>3221</v>
      </c>
      <c r="C13563">
        <v>3167</v>
      </c>
      <c r="D13563" t="s">
        <v>1006</v>
      </c>
      <c r="E13563" t="s">
        <v>1007</v>
      </c>
      <c r="F13563">
        <v>21.06</v>
      </c>
      <c r="G13563">
        <v>230228</v>
      </c>
      <c r="H13563">
        <v>4560</v>
      </c>
      <c r="I13563" t="s">
        <v>345</v>
      </c>
      <c r="J13563">
        <v>26.12</v>
      </c>
      <c r="K13563">
        <v>5.0599999999999996</v>
      </c>
      <c r="L13563">
        <v>17521</v>
      </c>
      <c r="M13563" t="s">
        <v>133</v>
      </c>
      <c r="N13563" t="str">
        <f t="shared" si="179"/>
        <v xml:space="preserve">0063002300  </v>
      </c>
      <c r="O13563">
        <v>230310</v>
      </c>
    </row>
    <row r="13564" spans="1:15" x14ac:dyDescent="0.25">
      <c r="A13564" t="s">
        <v>16</v>
      </c>
      <c r="B13564" t="s">
        <v>3221</v>
      </c>
      <c r="C13564">
        <v>3167</v>
      </c>
      <c r="D13564" t="s">
        <v>1006</v>
      </c>
      <c r="E13564" t="s">
        <v>1007</v>
      </c>
      <c r="F13564">
        <v>76.98</v>
      </c>
      <c r="G13564">
        <v>230228</v>
      </c>
      <c r="H13564">
        <v>4560</v>
      </c>
      <c r="I13564" t="s">
        <v>345</v>
      </c>
      <c r="J13564">
        <v>95.46</v>
      </c>
      <c r="K13564">
        <v>18.48</v>
      </c>
      <c r="L13564">
        <v>17523</v>
      </c>
      <c r="M13564" t="s">
        <v>134</v>
      </c>
      <c r="N13564" t="str">
        <f t="shared" si="179"/>
        <v xml:space="preserve">0063002300  </v>
      </c>
      <c r="O13564">
        <v>230310</v>
      </c>
    </row>
    <row r="13565" spans="1:15" x14ac:dyDescent="0.25">
      <c r="A13565" t="s">
        <v>16</v>
      </c>
      <c r="B13565" t="s">
        <v>3221</v>
      </c>
      <c r="C13565">
        <v>3167</v>
      </c>
      <c r="D13565" t="s">
        <v>1006</v>
      </c>
      <c r="E13565" t="s">
        <v>1007</v>
      </c>
      <c r="F13565">
        <v>32.700000000000003</v>
      </c>
      <c r="G13565">
        <v>230228</v>
      </c>
      <c r="H13565">
        <v>4560</v>
      </c>
      <c r="I13565" t="s">
        <v>345</v>
      </c>
      <c r="J13565">
        <v>40.549999999999997</v>
      </c>
      <c r="K13565">
        <v>7.85</v>
      </c>
      <c r="L13565">
        <v>17529</v>
      </c>
      <c r="M13565" t="s">
        <v>453</v>
      </c>
      <c r="N13565" t="str">
        <f t="shared" si="179"/>
        <v xml:space="preserve">0063002300  </v>
      </c>
      <c r="O13565">
        <v>230310</v>
      </c>
    </row>
    <row r="13566" spans="1:15" x14ac:dyDescent="0.25">
      <c r="A13566" t="s">
        <v>16</v>
      </c>
      <c r="B13566" t="s">
        <v>3221</v>
      </c>
      <c r="C13566">
        <v>3167</v>
      </c>
      <c r="D13566" t="s">
        <v>1006</v>
      </c>
      <c r="E13566" t="s">
        <v>1007</v>
      </c>
      <c r="F13566">
        <v>32.29</v>
      </c>
      <c r="G13566">
        <v>230228</v>
      </c>
      <c r="H13566">
        <v>4560</v>
      </c>
      <c r="I13566" t="s">
        <v>345</v>
      </c>
      <c r="J13566">
        <v>40.04</v>
      </c>
      <c r="K13566">
        <v>7.75</v>
      </c>
      <c r="L13566">
        <v>17538</v>
      </c>
      <c r="M13566" t="s">
        <v>24</v>
      </c>
      <c r="N13566" t="str">
        <f t="shared" si="179"/>
        <v xml:space="preserve">0063002300  </v>
      </c>
      <c r="O13566">
        <v>230310</v>
      </c>
    </row>
    <row r="13567" spans="1:15" x14ac:dyDescent="0.25">
      <c r="A13567" t="s">
        <v>16</v>
      </c>
      <c r="B13567" t="s">
        <v>3221</v>
      </c>
      <c r="C13567">
        <v>3167</v>
      </c>
      <c r="D13567" t="s">
        <v>1006</v>
      </c>
      <c r="E13567" t="s">
        <v>1007</v>
      </c>
      <c r="F13567">
        <v>38.31</v>
      </c>
      <c r="G13567">
        <v>230228</v>
      </c>
      <c r="H13567">
        <v>4560</v>
      </c>
      <c r="I13567" t="s">
        <v>345</v>
      </c>
      <c r="J13567">
        <v>47.51</v>
      </c>
      <c r="K13567">
        <v>9.1999999999999993</v>
      </c>
      <c r="L13567">
        <v>17862</v>
      </c>
      <c r="M13567" t="s">
        <v>319</v>
      </c>
      <c r="N13567" t="str">
        <f t="shared" si="179"/>
        <v xml:space="preserve">0063002300  </v>
      </c>
      <c r="O13567">
        <v>230310</v>
      </c>
    </row>
    <row r="13568" spans="1:15" x14ac:dyDescent="0.25">
      <c r="A13568" t="s">
        <v>16</v>
      </c>
      <c r="B13568" t="s">
        <v>3221</v>
      </c>
      <c r="C13568">
        <v>4393</v>
      </c>
      <c r="D13568" t="s">
        <v>1006</v>
      </c>
      <c r="E13568" t="s">
        <v>1007</v>
      </c>
      <c r="F13568">
        <v>105.92</v>
      </c>
      <c r="G13568">
        <v>230331</v>
      </c>
      <c r="H13568">
        <v>4560</v>
      </c>
      <c r="I13568" t="s">
        <v>345</v>
      </c>
      <c r="J13568">
        <v>131.34</v>
      </c>
      <c r="K13568">
        <v>25.42</v>
      </c>
      <c r="L13568">
        <v>17521</v>
      </c>
      <c r="M13568" t="s">
        <v>133</v>
      </c>
      <c r="N13568" t="str">
        <f t="shared" ref="N13568:N13573" si="180">"0063002312  "</f>
        <v xml:space="preserve">0063002312  </v>
      </c>
      <c r="O13568">
        <v>230405</v>
      </c>
    </row>
    <row r="13569" spans="1:15" x14ac:dyDescent="0.25">
      <c r="A13569" t="s">
        <v>16</v>
      </c>
      <c r="B13569" t="s">
        <v>3221</v>
      </c>
      <c r="C13569">
        <v>4393</v>
      </c>
      <c r="D13569" t="s">
        <v>1006</v>
      </c>
      <c r="E13569" t="s">
        <v>1007</v>
      </c>
      <c r="F13569">
        <v>15.6</v>
      </c>
      <c r="G13569">
        <v>230331</v>
      </c>
      <c r="H13569">
        <v>4560</v>
      </c>
      <c r="I13569" t="s">
        <v>345</v>
      </c>
      <c r="J13569">
        <v>19.350000000000001</v>
      </c>
      <c r="K13569">
        <v>3.75</v>
      </c>
      <c r="L13569">
        <v>17523</v>
      </c>
      <c r="M13569" t="s">
        <v>134</v>
      </c>
      <c r="N13569" t="str">
        <f t="shared" si="180"/>
        <v xml:space="preserve">0063002312  </v>
      </c>
      <c r="O13569">
        <v>230405</v>
      </c>
    </row>
    <row r="13570" spans="1:15" x14ac:dyDescent="0.25">
      <c r="A13570" t="s">
        <v>16</v>
      </c>
      <c r="B13570" t="s">
        <v>3221</v>
      </c>
      <c r="C13570">
        <v>4393</v>
      </c>
      <c r="D13570" t="s">
        <v>1006</v>
      </c>
      <c r="E13570" t="s">
        <v>1007</v>
      </c>
      <c r="F13570">
        <v>24.17</v>
      </c>
      <c r="G13570">
        <v>230331</v>
      </c>
      <c r="H13570">
        <v>4560</v>
      </c>
      <c r="I13570" t="s">
        <v>345</v>
      </c>
      <c r="J13570">
        <v>29.97</v>
      </c>
      <c r="K13570">
        <v>5.8</v>
      </c>
      <c r="L13570">
        <v>17523</v>
      </c>
      <c r="M13570" t="s">
        <v>134</v>
      </c>
      <c r="N13570" t="str">
        <f t="shared" si="180"/>
        <v xml:space="preserve">0063002312  </v>
      </c>
      <c r="O13570">
        <v>230405</v>
      </c>
    </row>
    <row r="13571" spans="1:15" x14ac:dyDescent="0.25">
      <c r="A13571" t="s">
        <v>16</v>
      </c>
      <c r="B13571" t="s">
        <v>3221</v>
      </c>
      <c r="C13571">
        <v>4393</v>
      </c>
      <c r="D13571" t="s">
        <v>1006</v>
      </c>
      <c r="E13571" t="s">
        <v>1007</v>
      </c>
      <c r="F13571">
        <v>35.46</v>
      </c>
      <c r="G13571">
        <v>230331</v>
      </c>
      <c r="H13571">
        <v>4560</v>
      </c>
      <c r="I13571" t="s">
        <v>345</v>
      </c>
      <c r="J13571">
        <v>43.97</v>
      </c>
      <c r="K13571">
        <v>8.51</v>
      </c>
      <c r="L13571">
        <v>17525</v>
      </c>
      <c r="M13571" t="s">
        <v>135</v>
      </c>
      <c r="N13571" t="str">
        <f t="shared" si="180"/>
        <v xml:space="preserve">0063002312  </v>
      </c>
      <c r="O13571">
        <v>230405</v>
      </c>
    </row>
    <row r="13572" spans="1:15" x14ac:dyDescent="0.25">
      <c r="A13572" t="s">
        <v>16</v>
      </c>
      <c r="B13572" t="s">
        <v>3221</v>
      </c>
      <c r="C13572">
        <v>4393</v>
      </c>
      <c r="D13572" t="s">
        <v>1006</v>
      </c>
      <c r="E13572" t="s">
        <v>1007</v>
      </c>
      <c r="F13572">
        <v>135.15</v>
      </c>
      <c r="G13572">
        <v>230331</v>
      </c>
      <c r="H13572">
        <v>4560</v>
      </c>
      <c r="I13572" t="s">
        <v>345</v>
      </c>
      <c r="J13572">
        <v>167.59</v>
      </c>
      <c r="K13572">
        <v>32.44</v>
      </c>
      <c r="L13572">
        <v>17529</v>
      </c>
      <c r="M13572" t="s">
        <v>453</v>
      </c>
      <c r="N13572" t="str">
        <f t="shared" si="180"/>
        <v xml:space="preserve">0063002312  </v>
      </c>
      <c r="O13572">
        <v>230405</v>
      </c>
    </row>
    <row r="13573" spans="1:15" x14ac:dyDescent="0.25">
      <c r="A13573" t="s">
        <v>16</v>
      </c>
      <c r="B13573" t="s">
        <v>3221</v>
      </c>
      <c r="C13573">
        <v>4393</v>
      </c>
      <c r="D13573" t="s">
        <v>1006</v>
      </c>
      <c r="E13573" t="s">
        <v>1007</v>
      </c>
      <c r="F13573">
        <v>41.04</v>
      </c>
      <c r="G13573">
        <v>230331</v>
      </c>
      <c r="H13573">
        <v>4560</v>
      </c>
      <c r="I13573" t="s">
        <v>345</v>
      </c>
      <c r="J13573">
        <v>50.89</v>
      </c>
      <c r="K13573">
        <v>9.85</v>
      </c>
      <c r="L13573">
        <v>17538</v>
      </c>
      <c r="M13573" t="s">
        <v>24</v>
      </c>
      <c r="N13573" t="str">
        <f t="shared" si="180"/>
        <v xml:space="preserve">0063002312  </v>
      </c>
      <c r="O13573">
        <v>230405</v>
      </c>
    </row>
    <row r="13574" spans="1:15" x14ac:dyDescent="0.25">
      <c r="A13574" t="s">
        <v>16</v>
      </c>
      <c r="B13574" t="s">
        <v>3221</v>
      </c>
      <c r="C13574">
        <v>6296</v>
      </c>
      <c r="D13574" t="s">
        <v>1006</v>
      </c>
      <c r="E13574" t="s">
        <v>1007</v>
      </c>
      <c r="F13574">
        <v>32.32</v>
      </c>
      <c r="G13574">
        <v>230430</v>
      </c>
      <c r="H13574">
        <v>4560</v>
      </c>
      <c r="I13574" t="s">
        <v>345</v>
      </c>
      <c r="J13574">
        <v>40.08</v>
      </c>
      <c r="K13574">
        <v>7.76</v>
      </c>
      <c r="L13574">
        <v>11603</v>
      </c>
      <c r="M13574" t="s">
        <v>945</v>
      </c>
      <c r="N13574" t="str">
        <f t="shared" ref="N13574:N13580" si="181">"0063002328  "</f>
        <v xml:space="preserve">0063002328  </v>
      </c>
      <c r="O13574">
        <v>230510</v>
      </c>
    </row>
    <row r="13575" spans="1:15" x14ac:dyDescent="0.25">
      <c r="A13575" t="s">
        <v>16</v>
      </c>
      <c r="B13575" t="s">
        <v>3221</v>
      </c>
      <c r="C13575">
        <v>6296</v>
      </c>
      <c r="D13575" t="s">
        <v>1006</v>
      </c>
      <c r="E13575" t="s">
        <v>1007</v>
      </c>
      <c r="F13575">
        <v>168</v>
      </c>
      <c r="G13575">
        <v>230430</v>
      </c>
      <c r="H13575">
        <v>4560</v>
      </c>
      <c r="I13575" t="s">
        <v>345</v>
      </c>
      <c r="J13575">
        <v>208.32</v>
      </c>
      <c r="K13575">
        <v>40.32</v>
      </c>
      <c r="L13575">
        <v>17521</v>
      </c>
      <c r="M13575" t="s">
        <v>133</v>
      </c>
      <c r="N13575" t="str">
        <f t="shared" si="181"/>
        <v xml:space="preserve">0063002328  </v>
      </c>
      <c r="O13575">
        <v>230510</v>
      </c>
    </row>
    <row r="13576" spans="1:15" x14ac:dyDescent="0.25">
      <c r="A13576" t="s">
        <v>16</v>
      </c>
      <c r="B13576" t="s">
        <v>3221</v>
      </c>
      <c r="C13576">
        <v>6296</v>
      </c>
      <c r="D13576" t="s">
        <v>1006</v>
      </c>
      <c r="E13576" t="s">
        <v>1007</v>
      </c>
      <c r="F13576">
        <v>121.35</v>
      </c>
      <c r="G13576">
        <v>230430</v>
      </c>
      <c r="H13576">
        <v>4560</v>
      </c>
      <c r="I13576" t="s">
        <v>345</v>
      </c>
      <c r="J13576">
        <v>150.47999999999999</v>
      </c>
      <c r="K13576">
        <v>29.13</v>
      </c>
      <c r="L13576">
        <v>17523</v>
      </c>
      <c r="M13576" t="s">
        <v>134</v>
      </c>
      <c r="N13576" t="str">
        <f t="shared" si="181"/>
        <v xml:space="preserve">0063002328  </v>
      </c>
      <c r="O13576">
        <v>230510</v>
      </c>
    </row>
    <row r="13577" spans="1:15" x14ac:dyDescent="0.25">
      <c r="A13577" t="s">
        <v>16</v>
      </c>
      <c r="B13577" t="s">
        <v>3221</v>
      </c>
      <c r="C13577">
        <v>6296</v>
      </c>
      <c r="D13577" t="s">
        <v>1006</v>
      </c>
      <c r="E13577" t="s">
        <v>1007</v>
      </c>
      <c r="F13577">
        <v>11.6</v>
      </c>
      <c r="G13577">
        <v>230430</v>
      </c>
      <c r="H13577">
        <v>4560</v>
      </c>
      <c r="I13577" t="s">
        <v>345</v>
      </c>
      <c r="J13577">
        <v>14.38</v>
      </c>
      <c r="K13577">
        <v>2.78</v>
      </c>
      <c r="L13577">
        <v>17525</v>
      </c>
      <c r="M13577" t="s">
        <v>135</v>
      </c>
      <c r="N13577" t="str">
        <f t="shared" si="181"/>
        <v xml:space="preserve">0063002328  </v>
      </c>
      <c r="O13577">
        <v>230510</v>
      </c>
    </row>
    <row r="13578" spans="1:15" x14ac:dyDescent="0.25">
      <c r="A13578" t="s">
        <v>16</v>
      </c>
      <c r="B13578" t="s">
        <v>3221</v>
      </c>
      <c r="C13578">
        <v>6296</v>
      </c>
      <c r="D13578" t="s">
        <v>1006</v>
      </c>
      <c r="E13578" t="s">
        <v>1007</v>
      </c>
      <c r="F13578">
        <v>204.6</v>
      </c>
      <c r="G13578">
        <v>230430</v>
      </c>
      <c r="H13578">
        <v>4560</v>
      </c>
      <c r="I13578" t="s">
        <v>345</v>
      </c>
      <c r="J13578">
        <v>253.7</v>
      </c>
      <c r="K13578">
        <v>49.1</v>
      </c>
      <c r="L13578">
        <v>17527</v>
      </c>
      <c r="M13578" t="s">
        <v>422</v>
      </c>
      <c r="N13578" t="str">
        <f t="shared" si="181"/>
        <v xml:space="preserve">0063002328  </v>
      </c>
      <c r="O13578">
        <v>230510</v>
      </c>
    </row>
    <row r="13579" spans="1:15" x14ac:dyDescent="0.25">
      <c r="A13579" t="s">
        <v>16</v>
      </c>
      <c r="B13579" t="s">
        <v>3221</v>
      </c>
      <c r="C13579">
        <v>6296</v>
      </c>
      <c r="D13579" t="s">
        <v>1006</v>
      </c>
      <c r="E13579" t="s">
        <v>1007</v>
      </c>
      <c r="F13579">
        <v>27.73</v>
      </c>
      <c r="G13579">
        <v>230430</v>
      </c>
      <c r="H13579">
        <v>4560</v>
      </c>
      <c r="I13579" t="s">
        <v>345</v>
      </c>
      <c r="J13579">
        <v>34.39</v>
      </c>
      <c r="K13579">
        <v>6.66</v>
      </c>
      <c r="L13579">
        <v>17534</v>
      </c>
      <c r="M13579" t="s">
        <v>440</v>
      </c>
      <c r="N13579" t="str">
        <f t="shared" si="181"/>
        <v xml:space="preserve">0063002328  </v>
      </c>
      <c r="O13579">
        <v>230510</v>
      </c>
    </row>
    <row r="13580" spans="1:15" x14ac:dyDescent="0.25">
      <c r="A13580" t="s">
        <v>16</v>
      </c>
      <c r="B13580" t="s">
        <v>3221</v>
      </c>
      <c r="C13580">
        <v>6296</v>
      </c>
      <c r="D13580" t="s">
        <v>1006</v>
      </c>
      <c r="E13580" t="s">
        <v>1007</v>
      </c>
      <c r="F13580">
        <v>42.2</v>
      </c>
      <c r="G13580">
        <v>230430</v>
      </c>
      <c r="H13580">
        <v>4560</v>
      </c>
      <c r="I13580" t="s">
        <v>345</v>
      </c>
      <c r="J13580">
        <v>52.33</v>
      </c>
      <c r="K13580">
        <v>10.130000000000001</v>
      </c>
      <c r="L13580">
        <v>17538</v>
      </c>
      <c r="M13580" t="s">
        <v>24</v>
      </c>
      <c r="N13580" t="str">
        <f t="shared" si="181"/>
        <v xml:space="preserve">0063002328  </v>
      </c>
      <c r="O13580">
        <v>230510</v>
      </c>
    </row>
    <row r="13581" spans="1:15" x14ac:dyDescent="0.25">
      <c r="A13581" t="s">
        <v>16</v>
      </c>
      <c r="B13581" t="s">
        <v>3221</v>
      </c>
      <c r="C13581">
        <v>8486</v>
      </c>
      <c r="D13581" t="s">
        <v>1006</v>
      </c>
      <c r="E13581" t="s">
        <v>1007</v>
      </c>
      <c r="F13581">
        <v>32.549999999999997</v>
      </c>
      <c r="G13581">
        <v>230531</v>
      </c>
      <c r="H13581">
        <v>4560</v>
      </c>
      <c r="I13581" t="s">
        <v>345</v>
      </c>
      <c r="J13581">
        <v>40.36</v>
      </c>
      <c r="K13581">
        <v>7.81</v>
      </c>
      <c r="L13581">
        <v>17521</v>
      </c>
      <c r="M13581" t="s">
        <v>133</v>
      </c>
      <c r="N13581" t="str">
        <f t="shared" ref="N13581:N13586" si="182">"0063002342  "</f>
        <v xml:space="preserve">0063002342  </v>
      </c>
      <c r="O13581">
        <v>230609</v>
      </c>
    </row>
    <row r="13582" spans="1:15" x14ac:dyDescent="0.25">
      <c r="A13582" t="s">
        <v>16</v>
      </c>
      <c r="B13582" t="s">
        <v>3221</v>
      </c>
      <c r="C13582">
        <v>8486</v>
      </c>
      <c r="D13582" t="s">
        <v>1006</v>
      </c>
      <c r="E13582" t="s">
        <v>1007</v>
      </c>
      <c r="F13582">
        <v>248.7</v>
      </c>
      <c r="G13582">
        <v>230531</v>
      </c>
      <c r="H13582">
        <v>4560</v>
      </c>
      <c r="I13582" t="s">
        <v>345</v>
      </c>
      <c r="J13582">
        <v>308.39</v>
      </c>
      <c r="K13582">
        <v>59.69</v>
      </c>
      <c r="L13582">
        <v>17523</v>
      </c>
      <c r="M13582" t="s">
        <v>134</v>
      </c>
      <c r="N13582" t="str">
        <f t="shared" si="182"/>
        <v xml:space="preserve">0063002342  </v>
      </c>
      <c r="O13582">
        <v>230609</v>
      </c>
    </row>
    <row r="13583" spans="1:15" x14ac:dyDescent="0.25">
      <c r="A13583" t="s">
        <v>16</v>
      </c>
      <c r="B13583" t="s">
        <v>3221</v>
      </c>
      <c r="C13583">
        <v>8486</v>
      </c>
      <c r="D13583" t="s">
        <v>1006</v>
      </c>
      <c r="E13583" t="s">
        <v>1007</v>
      </c>
      <c r="F13583">
        <v>107.9</v>
      </c>
      <c r="G13583">
        <v>230531</v>
      </c>
      <c r="H13583">
        <v>4560</v>
      </c>
      <c r="I13583" t="s">
        <v>345</v>
      </c>
      <c r="J13583">
        <v>133.79</v>
      </c>
      <c r="K13583">
        <v>25.89</v>
      </c>
      <c r="L13583">
        <v>17527</v>
      </c>
      <c r="M13583" t="s">
        <v>422</v>
      </c>
      <c r="N13583" t="str">
        <f t="shared" si="182"/>
        <v xml:space="preserve">0063002342  </v>
      </c>
      <c r="O13583">
        <v>230609</v>
      </c>
    </row>
    <row r="13584" spans="1:15" x14ac:dyDescent="0.25">
      <c r="A13584" t="s">
        <v>16</v>
      </c>
      <c r="B13584" t="s">
        <v>3221</v>
      </c>
      <c r="C13584">
        <v>8486</v>
      </c>
      <c r="D13584" t="s">
        <v>1006</v>
      </c>
      <c r="E13584" t="s">
        <v>1007</v>
      </c>
      <c r="F13584">
        <v>93.06</v>
      </c>
      <c r="G13584">
        <v>230531</v>
      </c>
      <c r="H13584">
        <v>4560</v>
      </c>
      <c r="I13584" t="s">
        <v>345</v>
      </c>
      <c r="J13584">
        <v>115.4</v>
      </c>
      <c r="K13584">
        <v>22.34</v>
      </c>
      <c r="L13584">
        <v>17529</v>
      </c>
      <c r="M13584" t="s">
        <v>453</v>
      </c>
      <c r="N13584" t="str">
        <f t="shared" si="182"/>
        <v xml:space="preserve">0063002342  </v>
      </c>
      <c r="O13584">
        <v>230609</v>
      </c>
    </row>
    <row r="13585" spans="1:15" x14ac:dyDescent="0.25">
      <c r="A13585" t="s">
        <v>16</v>
      </c>
      <c r="B13585" t="s">
        <v>3221</v>
      </c>
      <c r="C13585">
        <v>8486</v>
      </c>
      <c r="D13585" t="s">
        <v>1006</v>
      </c>
      <c r="E13585" t="s">
        <v>1007</v>
      </c>
      <c r="F13585">
        <v>39.81</v>
      </c>
      <c r="G13585">
        <v>230531</v>
      </c>
      <c r="H13585">
        <v>4560</v>
      </c>
      <c r="I13585" t="s">
        <v>345</v>
      </c>
      <c r="J13585">
        <v>49.36</v>
      </c>
      <c r="K13585">
        <v>9.5500000000000007</v>
      </c>
      <c r="L13585">
        <v>17532</v>
      </c>
      <c r="M13585" t="s">
        <v>543</v>
      </c>
      <c r="N13585" t="str">
        <f t="shared" si="182"/>
        <v xml:space="preserve">0063002342  </v>
      </c>
      <c r="O13585">
        <v>230609</v>
      </c>
    </row>
    <row r="13586" spans="1:15" x14ac:dyDescent="0.25">
      <c r="A13586" t="s">
        <v>16</v>
      </c>
      <c r="B13586" t="s">
        <v>3221</v>
      </c>
      <c r="C13586">
        <v>8486</v>
      </c>
      <c r="D13586" t="s">
        <v>1006</v>
      </c>
      <c r="E13586" t="s">
        <v>1007</v>
      </c>
      <c r="F13586">
        <v>86.77</v>
      </c>
      <c r="G13586">
        <v>230531</v>
      </c>
      <c r="H13586">
        <v>4560</v>
      </c>
      <c r="I13586" t="s">
        <v>345</v>
      </c>
      <c r="J13586">
        <v>107.6</v>
      </c>
      <c r="K13586">
        <v>20.83</v>
      </c>
      <c r="L13586">
        <v>17538</v>
      </c>
      <c r="M13586" t="s">
        <v>24</v>
      </c>
      <c r="N13586" t="str">
        <f t="shared" si="182"/>
        <v xml:space="preserve">0063002342  </v>
      </c>
      <c r="O13586">
        <v>230609</v>
      </c>
    </row>
    <row r="13587" spans="1:15" x14ac:dyDescent="0.25">
      <c r="A13587" t="s">
        <v>16</v>
      </c>
      <c r="B13587" t="s">
        <v>3221</v>
      </c>
      <c r="C13587">
        <v>9353</v>
      </c>
      <c r="D13587" t="s">
        <v>1006</v>
      </c>
      <c r="E13587" t="s">
        <v>1007</v>
      </c>
      <c r="F13587">
        <v>61.65</v>
      </c>
      <c r="G13587">
        <v>230630</v>
      </c>
      <c r="H13587">
        <v>4560</v>
      </c>
      <c r="I13587" t="s">
        <v>345</v>
      </c>
      <c r="J13587">
        <v>76.44</v>
      </c>
      <c r="K13587">
        <v>14.79</v>
      </c>
      <c r="L13587">
        <v>17131</v>
      </c>
      <c r="M13587" t="s">
        <v>64</v>
      </c>
      <c r="N13587" t="str">
        <f>"0063002356  "</f>
        <v xml:space="preserve">0063002356  </v>
      </c>
      <c r="O13587">
        <v>230710</v>
      </c>
    </row>
    <row r="13588" spans="1:15" x14ac:dyDescent="0.25">
      <c r="A13588" t="s">
        <v>16</v>
      </c>
      <c r="B13588" t="s">
        <v>3221</v>
      </c>
      <c r="C13588">
        <v>9353</v>
      </c>
      <c r="D13588" t="s">
        <v>1006</v>
      </c>
      <c r="E13588" t="s">
        <v>1007</v>
      </c>
      <c r="F13588">
        <v>46.38</v>
      </c>
      <c r="G13588">
        <v>230630</v>
      </c>
      <c r="H13588">
        <v>4560</v>
      </c>
      <c r="I13588" t="s">
        <v>345</v>
      </c>
      <c r="J13588">
        <v>57.51</v>
      </c>
      <c r="K13588">
        <v>11.13</v>
      </c>
      <c r="L13588">
        <v>17521</v>
      </c>
      <c r="M13588" t="s">
        <v>133</v>
      </c>
      <c r="N13588" t="str">
        <f>"0063002356  "</f>
        <v xml:space="preserve">0063002356  </v>
      </c>
      <c r="O13588">
        <v>230710</v>
      </c>
    </row>
    <row r="13589" spans="1:15" x14ac:dyDescent="0.25">
      <c r="A13589" t="s">
        <v>16</v>
      </c>
      <c r="B13589" t="s">
        <v>3221</v>
      </c>
      <c r="C13589">
        <v>9353</v>
      </c>
      <c r="D13589" t="s">
        <v>1006</v>
      </c>
      <c r="E13589" t="s">
        <v>1007</v>
      </c>
      <c r="F13589">
        <v>14.73</v>
      </c>
      <c r="G13589">
        <v>230630</v>
      </c>
      <c r="H13589">
        <v>4560</v>
      </c>
      <c r="I13589" t="s">
        <v>345</v>
      </c>
      <c r="J13589">
        <v>18.27</v>
      </c>
      <c r="K13589">
        <v>3.54</v>
      </c>
      <c r="L13589">
        <v>17975</v>
      </c>
      <c r="M13589" t="s">
        <v>798</v>
      </c>
      <c r="N13589" t="str">
        <f>"0063002356  "</f>
        <v xml:space="preserve">0063002356  </v>
      </c>
      <c r="O13589">
        <v>230710</v>
      </c>
    </row>
    <row r="13590" spans="1:15" x14ac:dyDescent="0.25">
      <c r="A13590" t="s">
        <v>16</v>
      </c>
      <c r="B13590" t="s">
        <v>3221</v>
      </c>
      <c r="C13590">
        <v>11811</v>
      </c>
      <c r="D13590" t="s">
        <v>1006</v>
      </c>
      <c r="E13590" t="s">
        <v>1007</v>
      </c>
      <c r="F13590">
        <v>62.52</v>
      </c>
      <c r="G13590">
        <v>230831</v>
      </c>
      <c r="H13590">
        <v>4560</v>
      </c>
      <c r="I13590" t="s">
        <v>345</v>
      </c>
      <c r="J13590">
        <v>77.52</v>
      </c>
      <c r="K13590">
        <v>15</v>
      </c>
      <c r="L13590">
        <v>11801</v>
      </c>
      <c r="M13590" t="s">
        <v>92</v>
      </c>
      <c r="N13590" t="str">
        <f t="shared" ref="N13590:N13595" si="183">"0063002386  "</f>
        <v xml:space="preserve">0063002386  </v>
      </c>
      <c r="O13590">
        <v>230911</v>
      </c>
    </row>
    <row r="13591" spans="1:15" x14ac:dyDescent="0.25">
      <c r="A13591" t="s">
        <v>16</v>
      </c>
      <c r="B13591" t="s">
        <v>3221</v>
      </c>
      <c r="C13591">
        <v>11811</v>
      </c>
      <c r="D13591" t="s">
        <v>1006</v>
      </c>
      <c r="E13591" t="s">
        <v>1007</v>
      </c>
      <c r="F13591">
        <v>25.37</v>
      </c>
      <c r="G13591">
        <v>230831</v>
      </c>
      <c r="H13591">
        <v>4560</v>
      </c>
      <c r="I13591" t="s">
        <v>345</v>
      </c>
      <c r="J13591">
        <v>31.46</v>
      </c>
      <c r="K13591">
        <v>6.09</v>
      </c>
      <c r="L13591">
        <v>16121</v>
      </c>
      <c r="M13591" t="s">
        <v>21</v>
      </c>
      <c r="N13591" t="str">
        <f t="shared" si="183"/>
        <v xml:space="preserve">0063002386  </v>
      </c>
      <c r="O13591">
        <v>230911</v>
      </c>
    </row>
    <row r="13592" spans="1:15" x14ac:dyDescent="0.25">
      <c r="A13592" t="s">
        <v>16</v>
      </c>
      <c r="B13592" t="s">
        <v>3221</v>
      </c>
      <c r="C13592">
        <v>11811</v>
      </c>
      <c r="D13592" t="s">
        <v>1006</v>
      </c>
      <c r="E13592" t="s">
        <v>1007</v>
      </c>
      <c r="F13592">
        <v>40.86</v>
      </c>
      <c r="G13592">
        <v>230831</v>
      </c>
      <c r="H13592">
        <v>4560</v>
      </c>
      <c r="I13592" t="s">
        <v>345</v>
      </c>
      <c r="J13592">
        <v>50.67</v>
      </c>
      <c r="K13592">
        <v>9.81</v>
      </c>
      <c r="L13592">
        <v>17521</v>
      </c>
      <c r="M13592" t="s">
        <v>133</v>
      </c>
      <c r="N13592" t="str">
        <f t="shared" si="183"/>
        <v xml:space="preserve">0063002386  </v>
      </c>
      <c r="O13592">
        <v>230911</v>
      </c>
    </row>
    <row r="13593" spans="1:15" x14ac:dyDescent="0.25">
      <c r="A13593" t="s">
        <v>16</v>
      </c>
      <c r="B13593" t="s">
        <v>3221</v>
      </c>
      <c r="C13593">
        <v>11811</v>
      </c>
      <c r="D13593" t="s">
        <v>1006</v>
      </c>
      <c r="E13593" t="s">
        <v>1007</v>
      </c>
      <c r="F13593">
        <v>95.51</v>
      </c>
      <c r="G13593">
        <v>230831</v>
      </c>
      <c r="H13593">
        <v>4560</v>
      </c>
      <c r="I13593" t="s">
        <v>345</v>
      </c>
      <c r="J13593">
        <v>118.43</v>
      </c>
      <c r="K13593">
        <v>22.92</v>
      </c>
      <c r="L13593">
        <v>17527</v>
      </c>
      <c r="M13593" t="s">
        <v>422</v>
      </c>
      <c r="N13593" t="str">
        <f t="shared" si="183"/>
        <v xml:space="preserve">0063002386  </v>
      </c>
      <c r="O13593">
        <v>230911</v>
      </c>
    </row>
    <row r="13594" spans="1:15" x14ac:dyDescent="0.25">
      <c r="A13594" t="s">
        <v>16</v>
      </c>
      <c r="B13594" t="s">
        <v>3221</v>
      </c>
      <c r="C13594">
        <v>11811</v>
      </c>
      <c r="D13594" t="s">
        <v>1006</v>
      </c>
      <c r="E13594" t="s">
        <v>1007</v>
      </c>
      <c r="F13594">
        <v>15.27</v>
      </c>
      <c r="G13594">
        <v>230831</v>
      </c>
      <c r="H13594">
        <v>4560</v>
      </c>
      <c r="I13594" t="s">
        <v>345</v>
      </c>
      <c r="J13594">
        <v>18.93</v>
      </c>
      <c r="K13594">
        <v>3.66</v>
      </c>
      <c r="L13594">
        <v>17532</v>
      </c>
      <c r="M13594" t="s">
        <v>543</v>
      </c>
      <c r="N13594" t="str">
        <f t="shared" si="183"/>
        <v xml:space="preserve">0063002386  </v>
      </c>
      <c r="O13594">
        <v>230911</v>
      </c>
    </row>
    <row r="13595" spans="1:15" x14ac:dyDescent="0.25">
      <c r="A13595" t="s">
        <v>16</v>
      </c>
      <c r="B13595" t="s">
        <v>3221</v>
      </c>
      <c r="C13595">
        <v>11811</v>
      </c>
      <c r="D13595" t="s">
        <v>1006</v>
      </c>
      <c r="E13595" t="s">
        <v>1007</v>
      </c>
      <c r="F13595">
        <v>63.93</v>
      </c>
      <c r="G13595">
        <v>230831</v>
      </c>
      <c r="H13595">
        <v>4560</v>
      </c>
      <c r="I13595" t="s">
        <v>345</v>
      </c>
      <c r="J13595">
        <v>79.27</v>
      </c>
      <c r="K13595">
        <v>15.34</v>
      </c>
      <c r="L13595">
        <v>17975</v>
      </c>
      <c r="M13595" t="s">
        <v>798</v>
      </c>
      <c r="N13595" t="str">
        <f t="shared" si="183"/>
        <v xml:space="preserve">0063002386  </v>
      </c>
      <c r="O13595">
        <v>230911</v>
      </c>
    </row>
    <row r="13596" spans="1:15" x14ac:dyDescent="0.25">
      <c r="A13596" t="s">
        <v>16</v>
      </c>
      <c r="B13596" t="s">
        <v>3221</v>
      </c>
      <c r="C13596">
        <v>13226</v>
      </c>
      <c r="D13596" t="s">
        <v>1006</v>
      </c>
      <c r="E13596" t="s">
        <v>1007</v>
      </c>
      <c r="F13596">
        <v>71.67</v>
      </c>
      <c r="G13596">
        <v>231001</v>
      </c>
      <c r="H13596">
        <v>4560</v>
      </c>
      <c r="I13596" t="s">
        <v>345</v>
      </c>
      <c r="J13596">
        <v>88.87</v>
      </c>
      <c r="K13596">
        <v>17.2</v>
      </c>
      <c r="L13596">
        <v>17521</v>
      </c>
      <c r="M13596" t="s">
        <v>133</v>
      </c>
      <c r="N13596" t="str">
        <f t="shared" ref="N13596:N13602" si="184">"0063002398  "</f>
        <v xml:space="preserve">0063002398  </v>
      </c>
      <c r="O13596">
        <v>231006</v>
      </c>
    </row>
    <row r="13597" spans="1:15" x14ac:dyDescent="0.25">
      <c r="A13597" t="s">
        <v>16</v>
      </c>
      <c r="B13597" t="s">
        <v>3221</v>
      </c>
      <c r="C13597">
        <v>13226</v>
      </c>
      <c r="D13597" t="s">
        <v>1006</v>
      </c>
      <c r="E13597" t="s">
        <v>1007</v>
      </c>
      <c r="F13597">
        <v>28.51</v>
      </c>
      <c r="G13597">
        <v>231001</v>
      </c>
      <c r="H13597">
        <v>4560</v>
      </c>
      <c r="I13597" t="s">
        <v>345</v>
      </c>
      <c r="J13597">
        <v>35.35</v>
      </c>
      <c r="K13597">
        <v>6.84</v>
      </c>
      <c r="L13597">
        <v>17522</v>
      </c>
      <c r="M13597" t="s">
        <v>451</v>
      </c>
      <c r="N13597" t="str">
        <f t="shared" si="184"/>
        <v xml:space="preserve">0063002398  </v>
      </c>
      <c r="O13597">
        <v>231006</v>
      </c>
    </row>
    <row r="13598" spans="1:15" x14ac:dyDescent="0.25">
      <c r="A13598" t="s">
        <v>16</v>
      </c>
      <c r="B13598" t="s">
        <v>3221</v>
      </c>
      <c r="C13598">
        <v>13226</v>
      </c>
      <c r="D13598" t="s">
        <v>1006</v>
      </c>
      <c r="E13598" t="s">
        <v>1007</v>
      </c>
      <c r="F13598">
        <v>83.36</v>
      </c>
      <c r="G13598">
        <v>231001</v>
      </c>
      <c r="H13598">
        <v>4560</v>
      </c>
      <c r="I13598" t="s">
        <v>345</v>
      </c>
      <c r="J13598">
        <v>103.37</v>
      </c>
      <c r="K13598">
        <v>20.010000000000002</v>
      </c>
      <c r="L13598">
        <v>17523</v>
      </c>
      <c r="M13598" t="s">
        <v>134</v>
      </c>
      <c r="N13598" t="str">
        <f t="shared" si="184"/>
        <v xml:space="preserve">0063002398  </v>
      </c>
      <c r="O13598">
        <v>231006</v>
      </c>
    </row>
    <row r="13599" spans="1:15" x14ac:dyDescent="0.25">
      <c r="A13599" t="s">
        <v>16</v>
      </c>
      <c r="B13599" t="s">
        <v>3221</v>
      </c>
      <c r="C13599">
        <v>13226</v>
      </c>
      <c r="D13599" t="s">
        <v>1006</v>
      </c>
      <c r="E13599" t="s">
        <v>1007</v>
      </c>
      <c r="F13599">
        <v>74.989999999999995</v>
      </c>
      <c r="G13599">
        <v>231001</v>
      </c>
      <c r="H13599">
        <v>4560</v>
      </c>
      <c r="I13599" t="s">
        <v>345</v>
      </c>
      <c r="J13599">
        <v>92.99</v>
      </c>
      <c r="K13599">
        <v>18</v>
      </c>
      <c r="L13599">
        <v>17529</v>
      </c>
      <c r="M13599" t="s">
        <v>453</v>
      </c>
      <c r="N13599" t="str">
        <f t="shared" si="184"/>
        <v xml:space="preserve">0063002398  </v>
      </c>
      <c r="O13599">
        <v>231006</v>
      </c>
    </row>
    <row r="13600" spans="1:15" x14ac:dyDescent="0.25">
      <c r="A13600" t="s">
        <v>16</v>
      </c>
      <c r="B13600" t="s">
        <v>3221</v>
      </c>
      <c r="C13600">
        <v>13226</v>
      </c>
      <c r="D13600" t="s">
        <v>1006</v>
      </c>
      <c r="E13600" t="s">
        <v>1007</v>
      </c>
      <c r="F13600">
        <v>73.02</v>
      </c>
      <c r="G13600">
        <v>231001</v>
      </c>
      <c r="H13600">
        <v>4560</v>
      </c>
      <c r="I13600" t="s">
        <v>345</v>
      </c>
      <c r="J13600">
        <v>90.55</v>
      </c>
      <c r="K13600">
        <v>17.53</v>
      </c>
      <c r="L13600">
        <v>17535</v>
      </c>
      <c r="M13600" t="s">
        <v>357</v>
      </c>
      <c r="N13600" t="str">
        <f t="shared" si="184"/>
        <v xml:space="preserve">0063002398  </v>
      </c>
      <c r="O13600">
        <v>231006</v>
      </c>
    </row>
    <row r="13601" spans="1:15" x14ac:dyDescent="0.25">
      <c r="A13601" t="s">
        <v>16</v>
      </c>
      <c r="B13601" t="s">
        <v>3221</v>
      </c>
      <c r="C13601">
        <v>13226</v>
      </c>
      <c r="D13601" t="s">
        <v>1006</v>
      </c>
      <c r="E13601" t="s">
        <v>1007</v>
      </c>
      <c r="F13601">
        <v>16.420000000000002</v>
      </c>
      <c r="G13601">
        <v>231001</v>
      </c>
      <c r="H13601">
        <v>4560</v>
      </c>
      <c r="I13601" t="s">
        <v>345</v>
      </c>
      <c r="J13601">
        <v>20.36</v>
      </c>
      <c r="K13601">
        <v>3.94</v>
      </c>
      <c r="L13601">
        <v>17975</v>
      </c>
      <c r="M13601" t="s">
        <v>798</v>
      </c>
      <c r="N13601" t="str">
        <f t="shared" si="184"/>
        <v xml:space="preserve">0063002398  </v>
      </c>
      <c r="O13601">
        <v>231006</v>
      </c>
    </row>
    <row r="13602" spans="1:15" x14ac:dyDescent="0.25">
      <c r="A13602" t="s">
        <v>16</v>
      </c>
      <c r="B13602" t="s">
        <v>3221</v>
      </c>
      <c r="C13602">
        <v>13226</v>
      </c>
      <c r="D13602" t="s">
        <v>1006</v>
      </c>
      <c r="E13602" t="s">
        <v>1007</v>
      </c>
      <c r="F13602">
        <v>67.56</v>
      </c>
      <c r="G13602">
        <v>231001</v>
      </c>
      <c r="H13602">
        <v>4560</v>
      </c>
      <c r="I13602" t="s">
        <v>345</v>
      </c>
      <c r="J13602">
        <v>83.77</v>
      </c>
      <c r="K13602">
        <v>16.21</v>
      </c>
      <c r="L13602">
        <v>18972</v>
      </c>
      <c r="M13602" t="s">
        <v>163</v>
      </c>
      <c r="N13602" t="str">
        <f t="shared" si="184"/>
        <v xml:space="preserve">0063002398  </v>
      </c>
      <c r="O13602">
        <v>231006</v>
      </c>
    </row>
    <row r="13603" spans="1:15" x14ac:dyDescent="0.25">
      <c r="A13603" t="s">
        <v>16</v>
      </c>
      <c r="B13603" t="s">
        <v>3221</v>
      </c>
      <c r="C13603">
        <v>15021</v>
      </c>
      <c r="D13603" t="s">
        <v>1006</v>
      </c>
      <c r="E13603" t="s">
        <v>1007</v>
      </c>
      <c r="F13603">
        <v>12.85</v>
      </c>
      <c r="G13603">
        <v>231031</v>
      </c>
      <c r="H13603">
        <v>4560</v>
      </c>
      <c r="I13603" t="s">
        <v>345</v>
      </c>
      <c r="J13603">
        <v>15.94</v>
      </c>
      <c r="K13603">
        <v>3.09</v>
      </c>
      <c r="L13603">
        <v>11603</v>
      </c>
      <c r="M13603" t="s">
        <v>945</v>
      </c>
      <c r="N13603" t="str">
        <f t="shared" ref="N13603:N13609" si="185">"0063002411  "</f>
        <v xml:space="preserve">0063002411  </v>
      </c>
      <c r="O13603">
        <v>231108</v>
      </c>
    </row>
    <row r="13604" spans="1:15" x14ac:dyDescent="0.25">
      <c r="A13604" t="s">
        <v>16</v>
      </c>
      <c r="B13604" t="s">
        <v>3221</v>
      </c>
      <c r="C13604">
        <v>15021</v>
      </c>
      <c r="D13604" t="s">
        <v>1006</v>
      </c>
      <c r="E13604" t="s">
        <v>1007</v>
      </c>
      <c r="F13604">
        <v>42.63</v>
      </c>
      <c r="G13604">
        <v>231031</v>
      </c>
      <c r="H13604">
        <v>4560</v>
      </c>
      <c r="I13604" t="s">
        <v>345</v>
      </c>
      <c r="J13604">
        <v>52.86</v>
      </c>
      <c r="K13604">
        <v>10.23</v>
      </c>
      <c r="L13604">
        <v>17523</v>
      </c>
      <c r="M13604" t="s">
        <v>134</v>
      </c>
      <c r="N13604" t="str">
        <f t="shared" si="185"/>
        <v xml:space="preserve">0063002411  </v>
      </c>
      <c r="O13604">
        <v>231108</v>
      </c>
    </row>
    <row r="13605" spans="1:15" x14ac:dyDescent="0.25">
      <c r="A13605" t="s">
        <v>16</v>
      </c>
      <c r="B13605" t="s">
        <v>3221</v>
      </c>
      <c r="C13605">
        <v>15021</v>
      </c>
      <c r="D13605" t="s">
        <v>1006</v>
      </c>
      <c r="E13605" t="s">
        <v>1007</v>
      </c>
      <c r="F13605">
        <v>77.02</v>
      </c>
      <c r="G13605">
        <v>231031</v>
      </c>
      <c r="H13605">
        <v>4560</v>
      </c>
      <c r="I13605" t="s">
        <v>345</v>
      </c>
      <c r="J13605">
        <v>95.51</v>
      </c>
      <c r="K13605">
        <v>18.489999999999998</v>
      </c>
      <c r="L13605">
        <v>17525</v>
      </c>
      <c r="M13605" t="s">
        <v>135</v>
      </c>
      <c r="N13605" t="str">
        <f t="shared" si="185"/>
        <v xml:space="preserve">0063002411  </v>
      </c>
      <c r="O13605">
        <v>231108</v>
      </c>
    </row>
    <row r="13606" spans="1:15" x14ac:dyDescent="0.25">
      <c r="A13606" t="s">
        <v>16</v>
      </c>
      <c r="B13606" t="s">
        <v>3221</v>
      </c>
      <c r="C13606">
        <v>15021</v>
      </c>
      <c r="D13606" t="s">
        <v>1006</v>
      </c>
      <c r="E13606" t="s">
        <v>1007</v>
      </c>
      <c r="F13606">
        <v>28.27</v>
      </c>
      <c r="G13606">
        <v>231031</v>
      </c>
      <c r="H13606">
        <v>4560</v>
      </c>
      <c r="I13606" t="s">
        <v>345</v>
      </c>
      <c r="J13606">
        <v>35.06</v>
      </c>
      <c r="K13606">
        <v>6.79</v>
      </c>
      <c r="L13606">
        <v>17529</v>
      </c>
      <c r="M13606" t="s">
        <v>453</v>
      </c>
      <c r="N13606" t="str">
        <f t="shared" si="185"/>
        <v xml:space="preserve">0063002411  </v>
      </c>
      <c r="O13606">
        <v>231108</v>
      </c>
    </row>
    <row r="13607" spans="1:15" x14ac:dyDescent="0.25">
      <c r="A13607" t="s">
        <v>16</v>
      </c>
      <c r="B13607" t="s">
        <v>3221</v>
      </c>
      <c r="C13607">
        <v>15021</v>
      </c>
      <c r="D13607" t="s">
        <v>1006</v>
      </c>
      <c r="E13607" t="s">
        <v>1007</v>
      </c>
      <c r="F13607">
        <v>16.760000000000002</v>
      </c>
      <c r="G13607">
        <v>231031</v>
      </c>
      <c r="H13607">
        <v>4560</v>
      </c>
      <c r="I13607" t="s">
        <v>345</v>
      </c>
      <c r="J13607">
        <v>20.78</v>
      </c>
      <c r="K13607">
        <v>4.0199999999999996</v>
      </c>
      <c r="L13607">
        <v>17535</v>
      </c>
      <c r="M13607" t="s">
        <v>357</v>
      </c>
      <c r="N13607" t="str">
        <f t="shared" si="185"/>
        <v xml:space="preserve">0063002411  </v>
      </c>
      <c r="O13607">
        <v>231108</v>
      </c>
    </row>
    <row r="13608" spans="1:15" x14ac:dyDescent="0.25">
      <c r="A13608" t="s">
        <v>16</v>
      </c>
      <c r="B13608" t="s">
        <v>3221</v>
      </c>
      <c r="C13608">
        <v>15021</v>
      </c>
      <c r="D13608" t="s">
        <v>1006</v>
      </c>
      <c r="E13608" t="s">
        <v>1007</v>
      </c>
      <c r="F13608">
        <v>30.31</v>
      </c>
      <c r="G13608">
        <v>231031</v>
      </c>
      <c r="H13608">
        <v>4560</v>
      </c>
      <c r="I13608" t="s">
        <v>345</v>
      </c>
      <c r="J13608">
        <v>37.58</v>
      </c>
      <c r="K13608">
        <v>7.27</v>
      </c>
      <c r="L13608">
        <v>17862</v>
      </c>
      <c r="M13608" t="s">
        <v>319</v>
      </c>
      <c r="N13608" t="str">
        <f t="shared" si="185"/>
        <v xml:space="preserve">0063002411  </v>
      </c>
      <c r="O13608">
        <v>231108</v>
      </c>
    </row>
    <row r="13609" spans="1:15" x14ac:dyDescent="0.25">
      <c r="A13609" t="s">
        <v>16</v>
      </c>
      <c r="B13609" t="s">
        <v>3221</v>
      </c>
      <c r="C13609">
        <v>15021</v>
      </c>
      <c r="D13609" t="s">
        <v>1006</v>
      </c>
      <c r="E13609" t="s">
        <v>1007</v>
      </c>
      <c r="F13609">
        <v>13.64</v>
      </c>
      <c r="G13609">
        <v>231031</v>
      </c>
      <c r="H13609">
        <v>4560</v>
      </c>
      <c r="I13609" t="s">
        <v>345</v>
      </c>
      <c r="J13609">
        <v>16.91</v>
      </c>
      <c r="K13609">
        <v>3.27</v>
      </c>
      <c r="L13609">
        <v>17975</v>
      </c>
      <c r="M13609" t="s">
        <v>798</v>
      </c>
      <c r="N13609" t="str">
        <f t="shared" si="185"/>
        <v xml:space="preserve">0063002411  </v>
      </c>
      <c r="O13609">
        <v>231108</v>
      </c>
    </row>
    <row r="13610" spans="1:15" x14ac:dyDescent="0.25">
      <c r="A13610" t="s">
        <v>16</v>
      </c>
      <c r="B13610" t="s">
        <v>3221</v>
      </c>
      <c r="C13610">
        <v>17355</v>
      </c>
      <c r="D13610" t="s">
        <v>1006</v>
      </c>
      <c r="E13610" t="s">
        <v>1007</v>
      </c>
      <c r="F13610">
        <v>12.87</v>
      </c>
      <c r="G13610">
        <v>231130</v>
      </c>
      <c r="H13610">
        <v>4560</v>
      </c>
      <c r="I13610" t="s">
        <v>345</v>
      </c>
      <c r="J13610">
        <v>15.96</v>
      </c>
      <c r="K13610">
        <v>3.09</v>
      </c>
      <c r="L13610">
        <v>11603</v>
      </c>
      <c r="M13610" t="s">
        <v>945</v>
      </c>
      <c r="N13610" t="str">
        <f>"0063002419  "</f>
        <v xml:space="preserve">0063002419  </v>
      </c>
      <c r="O13610">
        <v>231213</v>
      </c>
    </row>
    <row r="13611" spans="1:15" x14ac:dyDescent="0.25">
      <c r="A13611" t="s">
        <v>16</v>
      </c>
      <c r="B13611" t="s">
        <v>3221</v>
      </c>
      <c r="C13611">
        <v>17355</v>
      </c>
      <c r="D13611" t="s">
        <v>1006</v>
      </c>
      <c r="E13611" t="s">
        <v>1007</v>
      </c>
      <c r="F13611">
        <v>117.65</v>
      </c>
      <c r="G13611">
        <v>231130</v>
      </c>
      <c r="H13611">
        <v>4560</v>
      </c>
      <c r="I13611" t="s">
        <v>345</v>
      </c>
      <c r="J13611">
        <v>145.88999999999999</v>
      </c>
      <c r="K13611">
        <v>28.24</v>
      </c>
      <c r="L13611">
        <v>17521</v>
      </c>
      <c r="M13611" t="s">
        <v>133</v>
      </c>
      <c r="N13611" t="str">
        <f>"0063002419  "</f>
        <v xml:space="preserve">0063002419  </v>
      </c>
      <c r="O13611">
        <v>231213</v>
      </c>
    </row>
    <row r="13612" spans="1:15" x14ac:dyDescent="0.25">
      <c r="A13612" t="s">
        <v>16</v>
      </c>
      <c r="B13612" t="s">
        <v>3221</v>
      </c>
      <c r="C13612">
        <v>17355</v>
      </c>
      <c r="D13612" t="s">
        <v>1006</v>
      </c>
      <c r="E13612" t="s">
        <v>1007</v>
      </c>
      <c r="F13612">
        <v>93.4</v>
      </c>
      <c r="G13612">
        <v>231130</v>
      </c>
      <c r="H13612">
        <v>4560</v>
      </c>
      <c r="I13612" t="s">
        <v>345</v>
      </c>
      <c r="J13612">
        <v>115.82</v>
      </c>
      <c r="K13612">
        <v>22.42</v>
      </c>
      <c r="L13612">
        <v>17527</v>
      </c>
      <c r="M13612" t="s">
        <v>422</v>
      </c>
      <c r="N13612" t="str">
        <f>"0063002419  "</f>
        <v xml:space="preserve">0063002419  </v>
      </c>
      <c r="O13612">
        <v>231213</v>
      </c>
    </row>
    <row r="13613" spans="1:15" x14ac:dyDescent="0.25">
      <c r="A13613" t="s">
        <v>16</v>
      </c>
      <c r="B13613" t="s">
        <v>3221</v>
      </c>
      <c r="C13613">
        <v>17355</v>
      </c>
      <c r="D13613" t="s">
        <v>1006</v>
      </c>
      <c r="E13613" t="s">
        <v>1007</v>
      </c>
      <c r="F13613">
        <v>148.65</v>
      </c>
      <c r="G13613">
        <v>231130</v>
      </c>
      <c r="H13613">
        <v>4560</v>
      </c>
      <c r="I13613" t="s">
        <v>345</v>
      </c>
      <c r="J13613">
        <v>184.32</v>
      </c>
      <c r="K13613">
        <v>35.67</v>
      </c>
      <c r="L13613">
        <v>17529</v>
      </c>
      <c r="M13613" t="s">
        <v>453</v>
      </c>
      <c r="N13613" t="str">
        <f>"0063002419  "</f>
        <v xml:space="preserve">0063002419  </v>
      </c>
      <c r="O13613">
        <v>231213</v>
      </c>
    </row>
    <row r="13614" spans="1:15" x14ac:dyDescent="0.25">
      <c r="A13614" t="s">
        <v>16</v>
      </c>
      <c r="B13614" t="s">
        <v>3221</v>
      </c>
      <c r="C13614">
        <v>17355</v>
      </c>
      <c r="D13614" t="s">
        <v>1006</v>
      </c>
      <c r="E13614" t="s">
        <v>1007</v>
      </c>
      <c r="F13614">
        <v>16.14</v>
      </c>
      <c r="G13614">
        <v>231130</v>
      </c>
      <c r="H13614">
        <v>4560</v>
      </c>
      <c r="I13614" t="s">
        <v>345</v>
      </c>
      <c r="J13614">
        <v>20.010000000000002</v>
      </c>
      <c r="K13614">
        <v>3.87</v>
      </c>
      <c r="L13614">
        <v>17862</v>
      </c>
      <c r="M13614" t="s">
        <v>319</v>
      </c>
      <c r="N13614" t="str">
        <f>"0063002419  "</f>
        <v xml:space="preserve">0063002419  </v>
      </c>
      <c r="O13614">
        <v>231213</v>
      </c>
    </row>
    <row r="13615" spans="1:15" x14ac:dyDescent="0.25">
      <c r="A13615" t="s">
        <v>16</v>
      </c>
      <c r="B13615" t="s">
        <v>3221</v>
      </c>
      <c r="C13615">
        <v>18988</v>
      </c>
      <c r="D13615" t="s">
        <v>1006</v>
      </c>
      <c r="E13615" t="s">
        <v>1007</v>
      </c>
      <c r="F13615">
        <v>38.93</v>
      </c>
      <c r="G13615">
        <v>231231</v>
      </c>
      <c r="H13615">
        <v>4560</v>
      </c>
      <c r="I13615" t="s">
        <v>345</v>
      </c>
      <c r="J13615">
        <v>48.27</v>
      </c>
      <c r="K13615">
        <v>9.34</v>
      </c>
      <c r="L13615">
        <v>17975</v>
      </c>
      <c r="M13615" t="s">
        <v>798</v>
      </c>
      <c r="N13615" t="str">
        <f>"0063002431  "</f>
        <v xml:space="preserve">0063002431  </v>
      </c>
      <c r="O13615">
        <v>240109</v>
      </c>
    </row>
    <row r="13616" spans="1:15" x14ac:dyDescent="0.25">
      <c r="A13616" t="s">
        <v>16</v>
      </c>
      <c r="B13616" t="s">
        <v>3221</v>
      </c>
      <c r="C13616">
        <v>3167</v>
      </c>
      <c r="D13616" t="s">
        <v>1006</v>
      </c>
      <c r="E13616" t="s">
        <v>1007</v>
      </c>
      <c r="F13616">
        <v>19.350000000000001</v>
      </c>
      <c r="G13616">
        <v>230228</v>
      </c>
      <c r="H13616">
        <v>4380</v>
      </c>
      <c r="I13616" t="s">
        <v>113</v>
      </c>
      <c r="J13616">
        <v>24</v>
      </c>
      <c r="K13616">
        <v>4.6500000000000004</v>
      </c>
      <c r="L13616">
        <v>17538</v>
      </c>
      <c r="M13616" t="s">
        <v>24</v>
      </c>
      <c r="N13616" t="str">
        <f>"0063002300  "</f>
        <v xml:space="preserve">0063002300  </v>
      </c>
      <c r="O13616">
        <v>230310</v>
      </c>
    </row>
    <row r="13617" spans="1:15" x14ac:dyDescent="0.25">
      <c r="A13617" t="s">
        <v>16</v>
      </c>
      <c r="B13617" t="s">
        <v>3221</v>
      </c>
      <c r="C13617">
        <v>4393</v>
      </c>
      <c r="D13617" t="s">
        <v>1006</v>
      </c>
      <c r="E13617" t="s">
        <v>1007</v>
      </c>
      <c r="F13617">
        <v>50</v>
      </c>
      <c r="G13617">
        <v>230331</v>
      </c>
      <c r="H13617">
        <v>4380</v>
      </c>
      <c r="I13617" t="s">
        <v>113</v>
      </c>
      <c r="J13617">
        <v>62</v>
      </c>
      <c r="K13617">
        <v>12</v>
      </c>
      <c r="L13617">
        <v>17538</v>
      </c>
      <c r="M13617" t="s">
        <v>24</v>
      </c>
      <c r="N13617" t="str">
        <f>"0063002312  "</f>
        <v xml:space="preserve">0063002312  </v>
      </c>
      <c r="O13617">
        <v>230405</v>
      </c>
    </row>
    <row r="13618" spans="1:15" x14ac:dyDescent="0.25">
      <c r="A13618" t="s">
        <v>16</v>
      </c>
      <c r="B13618" t="s">
        <v>3221</v>
      </c>
      <c r="C13618">
        <v>6296</v>
      </c>
      <c r="D13618" t="s">
        <v>1006</v>
      </c>
      <c r="E13618" t="s">
        <v>1007</v>
      </c>
      <c r="F13618">
        <v>38.71</v>
      </c>
      <c r="G13618">
        <v>230430</v>
      </c>
      <c r="H13618">
        <v>4380</v>
      </c>
      <c r="I13618" t="s">
        <v>113</v>
      </c>
      <c r="J13618">
        <v>48</v>
      </c>
      <c r="K13618">
        <v>9.2899999999999991</v>
      </c>
      <c r="L13618">
        <v>17538</v>
      </c>
      <c r="M13618" t="s">
        <v>24</v>
      </c>
      <c r="N13618" t="str">
        <f>"0063002328  "</f>
        <v xml:space="preserve">0063002328  </v>
      </c>
      <c r="O13618">
        <v>230510</v>
      </c>
    </row>
    <row r="13619" spans="1:15" x14ac:dyDescent="0.25">
      <c r="A13619" t="s">
        <v>16</v>
      </c>
      <c r="B13619" t="s">
        <v>3221</v>
      </c>
      <c r="C13619">
        <v>13226</v>
      </c>
      <c r="D13619" t="s">
        <v>1006</v>
      </c>
      <c r="E13619" t="s">
        <v>1007</v>
      </c>
      <c r="F13619">
        <v>15.32</v>
      </c>
      <c r="G13619">
        <v>231001</v>
      </c>
      <c r="H13619">
        <v>4380</v>
      </c>
      <c r="I13619" t="s">
        <v>113</v>
      </c>
      <c r="J13619">
        <v>19</v>
      </c>
      <c r="K13619">
        <v>3.68</v>
      </c>
      <c r="L13619">
        <v>17538</v>
      </c>
      <c r="M13619" t="s">
        <v>24</v>
      </c>
      <c r="N13619" t="str">
        <f>"0063002398  "</f>
        <v xml:space="preserve">0063002398  </v>
      </c>
      <c r="O13619">
        <v>231006</v>
      </c>
    </row>
    <row r="13620" spans="1:15" x14ac:dyDescent="0.25">
      <c r="A13620" t="s">
        <v>16</v>
      </c>
      <c r="B13620" t="s">
        <v>3221</v>
      </c>
      <c r="C13620">
        <v>17355</v>
      </c>
      <c r="D13620" t="s">
        <v>1006</v>
      </c>
      <c r="E13620" t="s">
        <v>1007</v>
      </c>
      <c r="F13620">
        <v>15.32</v>
      </c>
      <c r="G13620">
        <v>231130</v>
      </c>
      <c r="H13620">
        <v>4380</v>
      </c>
      <c r="I13620" t="s">
        <v>113</v>
      </c>
      <c r="J13620">
        <v>19</v>
      </c>
      <c r="K13620">
        <v>3.68</v>
      </c>
      <c r="L13620">
        <v>17538</v>
      </c>
      <c r="M13620" t="s">
        <v>24</v>
      </c>
      <c r="N13620" t="str">
        <f>"0063002419  "</f>
        <v xml:space="preserve">0063002419  </v>
      </c>
      <c r="O13620">
        <v>231213</v>
      </c>
    </row>
    <row r="13621" spans="1:15" x14ac:dyDescent="0.25">
      <c r="A13621" t="s">
        <v>16</v>
      </c>
      <c r="B13621" t="s">
        <v>3221</v>
      </c>
      <c r="C13621">
        <v>1334</v>
      </c>
      <c r="D13621" t="s">
        <v>1006</v>
      </c>
      <c r="E13621" t="s">
        <v>1007</v>
      </c>
      <c r="F13621">
        <v>13.71</v>
      </c>
      <c r="G13621">
        <v>230207</v>
      </c>
      <c r="H13621">
        <v>4550</v>
      </c>
      <c r="I13621" t="s">
        <v>312</v>
      </c>
      <c r="J13621">
        <v>17</v>
      </c>
      <c r="K13621">
        <v>3.29</v>
      </c>
      <c r="L13621">
        <v>13801</v>
      </c>
      <c r="M13621" t="s">
        <v>162</v>
      </c>
      <c r="N13621" t="str">
        <f>"0063002288  "</f>
        <v xml:space="preserve">0063002288  </v>
      </c>
      <c r="O13621">
        <v>230208</v>
      </c>
    </row>
    <row r="13622" spans="1:15" x14ac:dyDescent="0.25">
      <c r="A13622" t="s">
        <v>16</v>
      </c>
      <c r="B13622" t="s">
        <v>3221</v>
      </c>
      <c r="C13622">
        <v>1334</v>
      </c>
      <c r="D13622" t="s">
        <v>1006</v>
      </c>
      <c r="E13622" t="s">
        <v>1007</v>
      </c>
      <c r="F13622">
        <v>6.05</v>
      </c>
      <c r="G13622">
        <v>230207</v>
      </c>
      <c r="H13622">
        <v>4550</v>
      </c>
      <c r="I13622" t="s">
        <v>312</v>
      </c>
      <c r="J13622">
        <v>7.5</v>
      </c>
      <c r="K13622">
        <v>1.45</v>
      </c>
      <c r="L13622">
        <v>17972</v>
      </c>
      <c r="M13622" t="s">
        <v>248</v>
      </c>
      <c r="N13622" t="str">
        <f>"0063002288  "</f>
        <v xml:space="preserve">0063002288  </v>
      </c>
      <c r="O13622">
        <v>230208</v>
      </c>
    </row>
    <row r="13623" spans="1:15" x14ac:dyDescent="0.25">
      <c r="A13623" t="s">
        <v>16</v>
      </c>
      <c r="B13623" t="s">
        <v>3221</v>
      </c>
      <c r="C13623">
        <v>13226</v>
      </c>
      <c r="D13623" t="s">
        <v>1006</v>
      </c>
      <c r="E13623" t="s">
        <v>1007</v>
      </c>
      <c r="F13623">
        <v>29.03</v>
      </c>
      <c r="G13623">
        <v>231001</v>
      </c>
      <c r="H13623">
        <v>4550</v>
      </c>
      <c r="I13623" t="s">
        <v>312</v>
      </c>
      <c r="J13623">
        <v>36</v>
      </c>
      <c r="K13623">
        <v>6.97</v>
      </c>
      <c r="L13623">
        <v>17538</v>
      </c>
      <c r="M13623" t="s">
        <v>24</v>
      </c>
      <c r="N13623" t="str">
        <f>"0063002398  "</f>
        <v xml:space="preserve">0063002398  </v>
      </c>
      <c r="O13623">
        <v>231006</v>
      </c>
    </row>
    <row r="13624" spans="1:15" x14ac:dyDescent="0.25">
      <c r="A13624" t="s">
        <v>16</v>
      </c>
      <c r="B13624" t="s">
        <v>3221</v>
      </c>
      <c r="C13624">
        <v>124</v>
      </c>
      <c r="D13624" t="s">
        <v>179</v>
      </c>
      <c r="E13624" t="s">
        <v>180</v>
      </c>
      <c r="F13624">
        <v>2641.72</v>
      </c>
      <c r="G13624">
        <v>230104</v>
      </c>
      <c r="H13624">
        <v>4571</v>
      </c>
      <c r="I13624" t="s">
        <v>181</v>
      </c>
      <c r="J13624">
        <v>3275.73</v>
      </c>
      <c r="K13624">
        <v>634.01</v>
      </c>
      <c r="L13624">
        <v>59112</v>
      </c>
      <c r="M13624" t="s">
        <v>182</v>
      </c>
      <c r="N13624" t="str">
        <f>"05671819    "</f>
        <v xml:space="preserve">05671819    </v>
      </c>
      <c r="O13624">
        <v>230112</v>
      </c>
    </row>
    <row r="13625" spans="1:15" x14ac:dyDescent="0.25">
      <c r="A13625" t="s">
        <v>16</v>
      </c>
      <c r="B13625" t="s">
        <v>3221</v>
      </c>
      <c r="C13625">
        <v>124</v>
      </c>
      <c r="D13625" t="s">
        <v>179</v>
      </c>
      <c r="E13625" t="s">
        <v>180</v>
      </c>
      <c r="F13625">
        <v>7142.41</v>
      </c>
      <c r="G13625">
        <v>230104</v>
      </c>
      <c r="H13625">
        <v>4571</v>
      </c>
      <c r="I13625" t="s">
        <v>181</v>
      </c>
      <c r="J13625">
        <v>8856.59</v>
      </c>
      <c r="K13625">
        <v>1714.18</v>
      </c>
      <c r="L13625">
        <v>59504</v>
      </c>
      <c r="M13625" t="s">
        <v>71</v>
      </c>
      <c r="N13625" t="str">
        <f>"05671819    "</f>
        <v xml:space="preserve">05671819    </v>
      </c>
      <c r="O13625">
        <v>230112</v>
      </c>
    </row>
    <row r="13626" spans="1:15" x14ac:dyDescent="0.25">
      <c r="A13626" t="s">
        <v>16</v>
      </c>
      <c r="B13626" t="s">
        <v>3221</v>
      </c>
      <c r="C13626">
        <v>800</v>
      </c>
      <c r="D13626" t="s">
        <v>179</v>
      </c>
      <c r="E13626" t="s">
        <v>180</v>
      </c>
      <c r="F13626">
        <v>1167.06</v>
      </c>
      <c r="G13626">
        <v>230130</v>
      </c>
      <c r="H13626">
        <v>4571</v>
      </c>
      <c r="I13626" t="s">
        <v>181</v>
      </c>
      <c r="J13626">
        <v>1447.15</v>
      </c>
      <c r="K13626">
        <v>280.08999999999997</v>
      </c>
      <c r="L13626">
        <v>59112</v>
      </c>
      <c r="M13626" t="s">
        <v>182</v>
      </c>
      <c r="N13626" t="str">
        <f>"05693649    "</f>
        <v xml:space="preserve">05693649    </v>
      </c>
      <c r="O13626">
        <v>230130</v>
      </c>
    </row>
    <row r="13627" spans="1:15" x14ac:dyDescent="0.25">
      <c r="A13627" t="s">
        <v>16</v>
      </c>
      <c r="B13627" t="s">
        <v>3221</v>
      </c>
      <c r="C13627">
        <v>800</v>
      </c>
      <c r="D13627" t="s">
        <v>179</v>
      </c>
      <c r="E13627" t="s">
        <v>180</v>
      </c>
      <c r="F13627">
        <v>3155.36</v>
      </c>
      <c r="G13627">
        <v>230130</v>
      </c>
      <c r="H13627">
        <v>4571</v>
      </c>
      <c r="I13627" t="s">
        <v>181</v>
      </c>
      <c r="J13627">
        <v>3912.65</v>
      </c>
      <c r="K13627">
        <v>757.29</v>
      </c>
      <c r="L13627">
        <v>59504</v>
      </c>
      <c r="M13627" t="s">
        <v>71</v>
      </c>
      <c r="N13627" t="str">
        <f>"05693649    "</f>
        <v xml:space="preserve">05693649    </v>
      </c>
      <c r="O13627">
        <v>230130</v>
      </c>
    </row>
    <row r="13628" spans="1:15" x14ac:dyDescent="0.25">
      <c r="A13628" t="s">
        <v>16</v>
      </c>
      <c r="B13628" t="s">
        <v>3221</v>
      </c>
      <c r="C13628">
        <v>1554</v>
      </c>
      <c r="D13628" t="s">
        <v>179</v>
      </c>
      <c r="E13628" t="s">
        <v>180</v>
      </c>
      <c r="F13628">
        <v>1068.19</v>
      </c>
      <c r="G13628">
        <v>230207</v>
      </c>
      <c r="H13628">
        <v>4571</v>
      </c>
      <c r="I13628" t="s">
        <v>181</v>
      </c>
      <c r="J13628">
        <v>1324.55</v>
      </c>
      <c r="K13628">
        <v>256.36</v>
      </c>
      <c r="L13628">
        <v>59112</v>
      </c>
      <c r="M13628" t="s">
        <v>182</v>
      </c>
      <c r="N13628" t="str">
        <f>"05701501    "</f>
        <v xml:space="preserve">05701501    </v>
      </c>
      <c r="O13628">
        <v>230209</v>
      </c>
    </row>
    <row r="13629" spans="1:15" x14ac:dyDescent="0.25">
      <c r="A13629" t="s">
        <v>16</v>
      </c>
      <c r="B13629" t="s">
        <v>3221</v>
      </c>
      <c r="C13629">
        <v>1554</v>
      </c>
      <c r="D13629" t="s">
        <v>179</v>
      </c>
      <c r="E13629" t="s">
        <v>180</v>
      </c>
      <c r="F13629">
        <v>2888.06</v>
      </c>
      <c r="G13629">
        <v>230207</v>
      </c>
      <c r="H13629">
        <v>4571</v>
      </c>
      <c r="I13629" t="s">
        <v>181</v>
      </c>
      <c r="J13629">
        <v>3581.19</v>
      </c>
      <c r="K13629">
        <v>693.13</v>
      </c>
      <c r="L13629">
        <v>59504</v>
      </c>
      <c r="M13629" t="s">
        <v>71</v>
      </c>
      <c r="N13629" t="str">
        <f>"05701501    "</f>
        <v xml:space="preserve">05701501    </v>
      </c>
      <c r="O13629">
        <v>230209</v>
      </c>
    </row>
    <row r="13630" spans="1:15" x14ac:dyDescent="0.25">
      <c r="A13630" t="s">
        <v>16</v>
      </c>
      <c r="B13630" t="s">
        <v>3221</v>
      </c>
      <c r="C13630">
        <v>2151</v>
      </c>
      <c r="D13630" t="s">
        <v>179</v>
      </c>
      <c r="E13630" t="s">
        <v>180</v>
      </c>
      <c r="F13630">
        <v>597.77</v>
      </c>
      <c r="G13630">
        <v>230217</v>
      </c>
      <c r="H13630">
        <v>4571</v>
      </c>
      <c r="I13630" t="s">
        <v>181</v>
      </c>
      <c r="J13630">
        <v>741.24</v>
      </c>
      <c r="K13630">
        <v>143.47</v>
      </c>
      <c r="L13630">
        <v>59112</v>
      </c>
      <c r="M13630" t="s">
        <v>182</v>
      </c>
      <c r="N13630" t="str">
        <f>"05712064    "</f>
        <v xml:space="preserve">05712064    </v>
      </c>
      <c r="O13630">
        <v>230221</v>
      </c>
    </row>
    <row r="13631" spans="1:15" x14ac:dyDescent="0.25">
      <c r="A13631" t="s">
        <v>16</v>
      </c>
      <c r="B13631" t="s">
        <v>3221</v>
      </c>
      <c r="C13631">
        <v>2151</v>
      </c>
      <c r="D13631" t="s">
        <v>179</v>
      </c>
      <c r="E13631" t="s">
        <v>180</v>
      </c>
      <c r="F13631">
        <v>1616.21</v>
      </c>
      <c r="G13631">
        <v>230217</v>
      </c>
      <c r="H13631">
        <v>4571</v>
      </c>
      <c r="I13631" t="s">
        <v>181</v>
      </c>
      <c r="J13631">
        <v>2004.1</v>
      </c>
      <c r="K13631">
        <v>387.89</v>
      </c>
      <c r="L13631">
        <v>59504</v>
      </c>
      <c r="M13631" t="s">
        <v>71</v>
      </c>
      <c r="N13631" t="str">
        <f>"05712064    "</f>
        <v xml:space="preserve">05712064    </v>
      </c>
      <c r="O13631">
        <v>230221</v>
      </c>
    </row>
    <row r="13632" spans="1:15" x14ac:dyDescent="0.25">
      <c r="A13632" t="s">
        <v>16</v>
      </c>
      <c r="B13632" t="s">
        <v>3221</v>
      </c>
      <c r="C13632">
        <v>2341</v>
      </c>
      <c r="D13632" t="s">
        <v>179</v>
      </c>
      <c r="E13632" t="s">
        <v>180</v>
      </c>
      <c r="F13632">
        <v>1937.56</v>
      </c>
      <c r="G13632">
        <v>230221</v>
      </c>
      <c r="H13632">
        <v>4571</v>
      </c>
      <c r="I13632" t="s">
        <v>181</v>
      </c>
      <c r="J13632">
        <v>2402.58</v>
      </c>
      <c r="K13632">
        <v>465.02</v>
      </c>
      <c r="L13632">
        <v>59112</v>
      </c>
      <c r="M13632" t="s">
        <v>182</v>
      </c>
      <c r="N13632" t="str">
        <f>"05714796    "</f>
        <v xml:space="preserve">05714796    </v>
      </c>
      <c r="O13632">
        <v>230224</v>
      </c>
    </row>
    <row r="13633" spans="1:15" x14ac:dyDescent="0.25">
      <c r="A13633" t="s">
        <v>16</v>
      </c>
      <c r="B13633" t="s">
        <v>3221</v>
      </c>
      <c r="C13633">
        <v>2341</v>
      </c>
      <c r="D13633" t="s">
        <v>179</v>
      </c>
      <c r="E13633" t="s">
        <v>180</v>
      </c>
      <c r="F13633">
        <v>5238.6000000000004</v>
      </c>
      <c r="G13633">
        <v>230221</v>
      </c>
      <c r="H13633">
        <v>4571</v>
      </c>
      <c r="I13633" t="s">
        <v>181</v>
      </c>
      <c r="J13633">
        <v>6495.86</v>
      </c>
      <c r="K13633">
        <v>1257.26</v>
      </c>
      <c r="L13633">
        <v>59504</v>
      </c>
      <c r="M13633" t="s">
        <v>71</v>
      </c>
      <c r="N13633" t="str">
        <f>"05714796    "</f>
        <v xml:space="preserve">05714796    </v>
      </c>
      <c r="O13633">
        <v>230224</v>
      </c>
    </row>
    <row r="13634" spans="1:15" x14ac:dyDescent="0.25">
      <c r="A13634" t="s">
        <v>16</v>
      </c>
      <c r="B13634" t="s">
        <v>3221</v>
      </c>
      <c r="C13634">
        <v>3262</v>
      </c>
      <c r="D13634" t="s">
        <v>179</v>
      </c>
      <c r="E13634" t="s">
        <v>180</v>
      </c>
      <c r="F13634">
        <v>406.56</v>
      </c>
      <c r="G13634">
        <v>230303</v>
      </c>
      <c r="H13634">
        <v>4571</v>
      </c>
      <c r="I13634" t="s">
        <v>181</v>
      </c>
      <c r="J13634">
        <v>504.14</v>
      </c>
      <c r="K13634">
        <v>97.58</v>
      </c>
      <c r="L13634">
        <v>59112</v>
      </c>
      <c r="M13634" t="s">
        <v>182</v>
      </c>
      <c r="N13634" t="str">
        <f>"05724860    "</f>
        <v xml:space="preserve">05724860    </v>
      </c>
      <c r="O13634">
        <v>230313</v>
      </c>
    </row>
    <row r="13635" spans="1:15" x14ac:dyDescent="0.25">
      <c r="A13635" t="s">
        <v>16</v>
      </c>
      <c r="B13635" t="s">
        <v>3221</v>
      </c>
      <c r="C13635">
        <v>3262</v>
      </c>
      <c r="D13635" t="s">
        <v>179</v>
      </c>
      <c r="E13635" t="s">
        <v>180</v>
      </c>
      <c r="F13635">
        <v>1099.23</v>
      </c>
      <c r="G13635">
        <v>230303</v>
      </c>
      <c r="H13635">
        <v>4571</v>
      </c>
      <c r="I13635" t="s">
        <v>181</v>
      </c>
      <c r="J13635">
        <v>1363.05</v>
      </c>
      <c r="K13635">
        <v>263.82</v>
      </c>
      <c r="L13635">
        <v>59504</v>
      </c>
      <c r="M13635" t="s">
        <v>71</v>
      </c>
      <c r="N13635" t="str">
        <f>"05724860    "</f>
        <v xml:space="preserve">05724860    </v>
      </c>
      <c r="O13635">
        <v>230313</v>
      </c>
    </row>
    <row r="13636" spans="1:15" x14ac:dyDescent="0.25">
      <c r="A13636" t="s">
        <v>16</v>
      </c>
      <c r="B13636" t="s">
        <v>3221</v>
      </c>
      <c r="C13636">
        <v>3267</v>
      </c>
      <c r="D13636" t="s">
        <v>179</v>
      </c>
      <c r="E13636" t="s">
        <v>180</v>
      </c>
      <c r="F13636">
        <v>2410.09</v>
      </c>
      <c r="G13636">
        <v>230309</v>
      </c>
      <c r="H13636">
        <v>4571</v>
      </c>
      <c r="I13636" t="s">
        <v>181</v>
      </c>
      <c r="J13636">
        <v>2988.51</v>
      </c>
      <c r="K13636">
        <v>578.41999999999996</v>
      </c>
      <c r="L13636">
        <v>59112</v>
      </c>
      <c r="M13636" t="s">
        <v>182</v>
      </c>
      <c r="N13636" t="str">
        <f>"05731769    "</f>
        <v xml:space="preserve">05731769    </v>
      </c>
      <c r="O13636">
        <v>230313</v>
      </c>
    </row>
    <row r="13637" spans="1:15" x14ac:dyDescent="0.25">
      <c r="A13637" t="s">
        <v>16</v>
      </c>
      <c r="B13637" t="s">
        <v>3221</v>
      </c>
      <c r="C13637">
        <v>3267</v>
      </c>
      <c r="D13637" t="s">
        <v>179</v>
      </c>
      <c r="E13637" t="s">
        <v>180</v>
      </c>
      <c r="F13637">
        <v>6516.15</v>
      </c>
      <c r="G13637">
        <v>230309</v>
      </c>
      <c r="H13637">
        <v>4571</v>
      </c>
      <c r="I13637" t="s">
        <v>181</v>
      </c>
      <c r="J13637">
        <v>8080.03</v>
      </c>
      <c r="K13637">
        <v>1563.88</v>
      </c>
      <c r="L13637">
        <v>59504</v>
      </c>
      <c r="M13637" t="s">
        <v>71</v>
      </c>
      <c r="N13637" t="str">
        <f>"05731769    "</f>
        <v xml:space="preserve">05731769    </v>
      </c>
      <c r="O13637">
        <v>230313</v>
      </c>
    </row>
    <row r="13638" spans="1:15" x14ac:dyDescent="0.25">
      <c r="A13638" t="s">
        <v>16</v>
      </c>
      <c r="B13638" t="s">
        <v>3221</v>
      </c>
      <c r="C13638">
        <v>3905</v>
      </c>
      <c r="D13638" t="s">
        <v>179</v>
      </c>
      <c r="E13638" t="s">
        <v>180</v>
      </c>
      <c r="F13638">
        <v>2245.2199999999998</v>
      </c>
      <c r="G13638">
        <v>230322</v>
      </c>
      <c r="H13638">
        <v>4571</v>
      </c>
      <c r="I13638" t="s">
        <v>181</v>
      </c>
      <c r="J13638">
        <v>2784.07</v>
      </c>
      <c r="K13638">
        <v>538.85</v>
      </c>
      <c r="L13638">
        <v>59112</v>
      </c>
      <c r="M13638" t="s">
        <v>182</v>
      </c>
      <c r="N13638" t="str">
        <f>"05743995    "</f>
        <v xml:space="preserve">05743995    </v>
      </c>
      <c r="O13638">
        <v>230324</v>
      </c>
    </row>
    <row r="13639" spans="1:15" x14ac:dyDescent="0.25">
      <c r="A13639" t="s">
        <v>16</v>
      </c>
      <c r="B13639" t="s">
        <v>3221</v>
      </c>
      <c r="C13639">
        <v>3905</v>
      </c>
      <c r="D13639" t="s">
        <v>179</v>
      </c>
      <c r="E13639" t="s">
        <v>180</v>
      </c>
      <c r="F13639">
        <v>6070.41</v>
      </c>
      <c r="G13639">
        <v>230322</v>
      </c>
      <c r="H13639">
        <v>4571</v>
      </c>
      <c r="I13639" t="s">
        <v>181</v>
      </c>
      <c r="J13639">
        <v>7527.31</v>
      </c>
      <c r="K13639">
        <v>1456.9</v>
      </c>
      <c r="L13639">
        <v>59504</v>
      </c>
      <c r="M13639" t="s">
        <v>71</v>
      </c>
      <c r="N13639" t="str">
        <f>"05743995    "</f>
        <v xml:space="preserve">05743995    </v>
      </c>
      <c r="O13639">
        <v>230324</v>
      </c>
    </row>
    <row r="13640" spans="1:15" x14ac:dyDescent="0.25">
      <c r="A13640" t="s">
        <v>16</v>
      </c>
      <c r="B13640" t="s">
        <v>3221</v>
      </c>
      <c r="C13640">
        <v>5108</v>
      </c>
      <c r="D13640" t="s">
        <v>179</v>
      </c>
      <c r="E13640" t="s">
        <v>180</v>
      </c>
      <c r="F13640">
        <v>421.74</v>
      </c>
      <c r="G13640">
        <v>230413</v>
      </c>
      <c r="H13640">
        <v>4571</v>
      </c>
      <c r="I13640" t="s">
        <v>181</v>
      </c>
      <c r="J13640">
        <v>522.96</v>
      </c>
      <c r="K13640">
        <v>101.22</v>
      </c>
      <c r="L13640">
        <v>59112</v>
      </c>
      <c r="M13640" t="s">
        <v>182</v>
      </c>
      <c r="N13640" t="str">
        <f>"05765040    "</f>
        <v xml:space="preserve">05765040    </v>
      </c>
      <c r="O13640">
        <v>230418</v>
      </c>
    </row>
    <row r="13641" spans="1:15" x14ac:dyDescent="0.25">
      <c r="A13641" t="s">
        <v>16</v>
      </c>
      <c r="B13641" t="s">
        <v>3221</v>
      </c>
      <c r="C13641">
        <v>5108</v>
      </c>
      <c r="D13641" t="s">
        <v>179</v>
      </c>
      <c r="E13641" t="s">
        <v>180</v>
      </c>
      <c r="F13641">
        <v>1140.27</v>
      </c>
      <c r="G13641">
        <v>230413</v>
      </c>
      <c r="H13641">
        <v>4571</v>
      </c>
      <c r="I13641" t="s">
        <v>181</v>
      </c>
      <c r="J13641">
        <v>1413.93</v>
      </c>
      <c r="K13641">
        <v>273.66000000000003</v>
      </c>
      <c r="L13641">
        <v>59504</v>
      </c>
      <c r="M13641" t="s">
        <v>71</v>
      </c>
      <c r="N13641" t="str">
        <f>"05765040    "</f>
        <v xml:space="preserve">05765040    </v>
      </c>
      <c r="O13641">
        <v>230418</v>
      </c>
    </row>
    <row r="13642" spans="1:15" x14ac:dyDescent="0.25">
      <c r="A13642" t="s">
        <v>16</v>
      </c>
      <c r="B13642" t="s">
        <v>3221</v>
      </c>
      <c r="C13642">
        <v>5144</v>
      </c>
      <c r="D13642" t="s">
        <v>179</v>
      </c>
      <c r="E13642" t="s">
        <v>180</v>
      </c>
      <c r="F13642">
        <v>1469.07</v>
      </c>
      <c r="G13642">
        <v>230417</v>
      </c>
      <c r="H13642">
        <v>4571</v>
      </c>
      <c r="I13642" t="s">
        <v>181</v>
      </c>
      <c r="J13642">
        <v>1821.65</v>
      </c>
      <c r="K13642">
        <v>352.58</v>
      </c>
      <c r="L13642">
        <v>59112</v>
      </c>
      <c r="M13642" t="s">
        <v>182</v>
      </c>
      <c r="N13642" t="str">
        <f>"05767768    "</f>
        <v xml:space="preserve">05767768    </v>
      </c>
      <c r="O13642">
        <v>230418</v>
      </c>
    </row>
    <row r="13643" spans="1:15" x14ac:dyDescent="0.25">
      <c r="A13643" t="s">
        <v>16</v>
      </c>
      <c r="B13643" t="s">
        <v>3221</v>
      </c>
      <c r="C13643">
        <v>5144</v>
      </c>
      <c r="D13643" t="s">
        <v>179</v>
      </c>
      <c r="E13643" t="s">
        <v>180</v>
      </c>
      <c r="F13643">
        <v>3971.93</v>
      </c>
      <c r="G13643">
        <v>230417</v>
      </c>
      <c r="H13643">
        <v>4571</v>
      </c>
      <c r="I13643" t="s">
        <v>181</v>
      </c>
      <c r="J13643">
        <v>4925.1899999999996</v>
      </c>
      <c r="K13643">
        <v>953.26</v>
      </c>
      <c r="L13643">
        <v>59504</v>
      </c>
      <c r="M13643" t="s">
        <v>71</v>
      </c>
      <c r="N13643" t="str">
        <f>"05767768    "</f>
        <v xml:space="preserve">05767768    </v>
      </c>
      <c r="O13643">
        <v>230418</v>
      </c>
    </row>
    <row r="13644" spans="1:15" x14ac:dyDescent="0.25">
      <c r="A13644" t="s">
        <v>16</v>
      </c>
      <c r="B13644" t="s">
        <v>3221</v>
      </c>
      <c r="C13644">
        <v>6144</v>
      </c>
      <c r="D13644" t="s">
        <v>179</v>
      </c>
      <c r="E13644" t="s">
        <v>180</v>
      </c>
      <c r="F13644">
        <v>2005.44</v>
      </c>
      <c r="G13644">
        <v>230504</v>
      </c>
      <c r="H13644">
        <v>4571</v>
      </c>
      <c r="I13644" t="s">
        <v>181</v>
      </c>
      <c r="J13644">
        <v>2486.75</v>
      </c>
      <c r="K13644">
        <v>481.31</v>
      </c>
      <c r="L13644">
        <v>59112</v>
      </c>
      <c r="M13644" t="s">
        <v>182</v>
      </c>
      <c r="N13644" t="str">
        <f>"05781386    "</f>
        <v xml:space="preserve">05781386    </v>
      </c>
      <c r="O13644">
        <v>230508</v>
      </c>
    </row>
    <row r="13645" spans="1:15" x14ac:dyDescent="0.25">
      <c r="A13645" t="s">
        <v>16</v>
      </c>
      <c r="B13645" t="s">
        <v>3221</v>
      </c>
      <c r="C13645">
        <v>6144</v>
      </c>
      <c r="D13645" t="s">
        <v>179</v>
      </c>
      <c r="E13645" t="s">
        <v>180</v>
      </c>
      <c r="F13645">
        <v>5422.13</v>
      </c>
      <c r="G13645">
        <v>230504</v>
      </c>
      <c r="H13645">
        <v>4571</v>
      </c>
      <c r="I13645" t="s">
        <v>181</v>
      </c>
      <c r="J13645">
        <v>6723.44</v>
      </c>
      <c r="K13645">
        <v>1301.31</v>
      </c>
      <c r="L13645">
        <v>59504</v>
      </c>
      <c r="M13645" t="s">
        <v>71</v>
      </c>
      <c r="N13645" t="str">
        <f>"05781386    "</f>
        <v xml:space="preserve">05781386    </v>
      </c>
      <c r="O13645">
        <v>230508</v>
      </c>
    </row>
    <row r="13646" spans="1:15" x14ac:dyDescent="0.25">
      <c r="A13646" t="s">
        <v>16</v>
      </c>
      <c r="B13646" t="s">
        <v>3221</v>
      </c>
      <c r="C13646">
        <v>9145</v>
      </c>
      <c r="D13646" t="s">
        <v>179</v>
      </c>
      <c r="E13646" t="s">
        <v>180</v>
      </c>
      <c r="F13646">
        <v>1124.43</v>
      </c>
      <c r="G13646">
        <v>230622</v>
      </c>
      <c r="H13646">
        <v>4571</v>
      </c>
      <c r="I13646" t="s">
        <v>181</v>
      </c>
      <c r="J13646">
        <v>1394.29</v>
      </c>
      <c r="K13646">
        <v>269.86</v>
      </c>
      <c r="L13646">
        <v>59112</v>
      </c>
      <c r="M13646" t="s">
        <v>182</v>
      </c>
      <c r="N13646" t="str">
        <f>"05819474    "</f>
        <v xml:space="preserve">05819474    </v>
      </c>
      <c r="O13646">
        <v>230628</v>
      </c>
    </row>
    <row r="13647" spans="1:15" x14ac:dyDescent="0.25">
      <c r="A13647" t="s">
        <v>16</v>
      </c>
      <c r="B13647" t="s">
        <v>3221</v>
      </c>
      <c r="C13647">
        <v>9145</v>
      </c>
      <c r="D13647" t="s">
        <v>179</v>
      </c>
      <c r="E13647" t="s">
        <v>180</v>
      </c>
      <c r="F13647">
        <v>3040.12</v>
      </c>
      <c r="G13647">
        <v>230622</v>
      </c>
      <c r="H13647">
        <v>4571</v>
      </c>
      <c r="I13647" t="s">
        <v>181</v>
      </c>
      <c r="J13647">
        <v>3769.75</v>
      </c>
      <c r="K13647">
        <v>729.63</v>
      </c>
      <c r="L13647">
        <v>59504</v>
      </c>
      <c r="M13647" t="s">
        <v>71</v>
      </c>
      <c r="N13647" t="str">
        <f>"05819474    "</f>
        <v xml:space="preserve">05819474    </v>
      </c>
      <c r="O13647">
        <v>230628</v>
      </c>
    </row>
    <row r="13648" spans="1:15" x14ac:dyDescent="0.25">
      <c r="A13648" t="s">
        <v>16</v>
      </c>
      <c r="B13648" t="s">
        <v>3221</v>
      </c>
      <c r="C13648">
        <v>9724</v>
      </c>
      <c r="D13648" t="s">
        <v>179</v>
      </c>
      <c r="E13648" t="s">
        <v>180</v>
      </c>
      <c r="F13648">
        <v>816.46</v>
      </c>
      <c r="G13648">
        <v>230717</v>
      </c>
      <c r="H13648">
        <v>4571</v>
      </c>
      <c r="I13648" t="s">
        <v>181</v>
      </c>
      <c r="J13648">
        <v>1012.41</v>
      </c>
      <c r="K13648">
        <v>195.95</v>
      </c>
      <c r="L13648">
        <v>59112</v>
      </c>
      <c r="M13648" t="s">
        <v>182</v>
      </c>
      <c r="N13648" t="str">
        <f>"05834712    "</f>
        <v xml:space="preserve">05834712    </v>
      </c>
      <c r="O13648">
        <v>230720</v>
      </c>
    </row>
    <row r="13649" spans="1:15" x14ac:dyDescent="0.25">
      <c r="A13649" t="s">
        <v>16</v>
      </c>
      <c r="B13649" t="s">
        <v>3221</v>
      </c>
      <c r="C13649">
        <v>9724</v>
      </c>
      <c r="D13649" t="s">
        <v>179</v>
      </c>
      <c r="E13649" t="s">
        <v>180</v>
      </c>
      <c r="F13649">
        <v>2207.4699999999998</v>
      </c>
      <c r="G13649">
        <v>230717</v>
      </c>
      <c r="H13649">
        <v>4571</v>
      </c>
      <c r="I13649" t="s">
        <v>181</v>
      </c>
      <c r="J13649">
        <v>2737.26</v>
      </c>
      <c r="K13649">
        <v>529.79</v>
      </c>
      <c r="L13649">
        <v>59504</v>
      </c>
      <c r="M13649" t="s">
        <v>71</v>
      </c>
      <c r="N13649" t="str">
        <f>"05834712    "</f>
        <v xml:space="preserve">05834712    </v>
      </c>
      <c r="O13649">
        <v>230720</v>
      </c>
    </row>
    <row r="13650" spans="1:15" x14ac:dyDescent="0.25">
      <c r="A13650" t="s">
        <v>16</v>
      </c>
      <c r="B13650" t="s">
        <v>3221</v>
      </c>
      <c r="C13650">
        <v>9905</v>
      </c>
      <c r="D13650" t="s">
        <v>179</v>
      </c>
      <c r="E13650" t="s">
        <v>180</v>
      </c>
      <c r="F13650">
        <v>40.42</v>
      </c>
      <c r="G13650">
        <v>230725</v>
      </c>
      <c r="H13650">
        <v>4571</v>
      </c>
      <c r="I13650" t="s">
        <v>181</v>
      </c>
      <c r="J13650">
        <v>50.12</v>
      </c>
      <c r="K13650">
        <v>9.6999999999999993</v>
      </c>
      <c r="L13650">
        <v>59112</v>
      </c>
      <c r="M13650" t="s">
        <v>182</v>
      </c>
      <c r="N13650" t="str">
        <f>"05840420    "</f>
        <v xml:space="preserve">05840420    </v>
      </c>
      <c r="O13650">
        <v>230801</v>
      </c>
    </row>
    <row r="13651" spans="1:15" x14ac:dyDescent="0.25">
      <c r="A13651" t="s">
        <v>16</v>
      </c>
      <c r="B13651" t="s">
        <v>3221</v>
      </c>
      <c r="C13651">
        <v>9905</v>
      </c>
      <c r="D13651" t="s">
        <v>179</v>
      </c>
      <c r="E13651" t="s">
        <v>180</v>
      </c>
      <c r="F13651">
        <v>109.28</v>
      </c>
      <c r="G13651">
        <v>230725</v>
      </c>
      <c r="H13651">
        <v>4571</v>
      </c>
      <c r="I13651" t="s">
        <v>181</v>
      </c>
      <c r="J13651">
        <v>135.51</v>
      </c>
      <c r="K13651">
        <v>26.23</v>
      </c>
      <c r="L13651">
        <v>59504</v>
      </c>
      <c r="M13651" t="s">
        <v>71</v>
      </c>
      <c r="N13651" t="str">
        <f>"05840420    "</f>
        <v xml:space="preserve">05840420    </v>
      </c>
      <c r="O13651">
        <v>230801</v>
      </c>
    </row>
    <row r="13652" spans="1:15" x14ac:dyDescent="0.25">
      <c r="A13652" t="s">
        <v>16</v>
      </c>
      <c r="B13652" t="s">
        <v>3221</v>
      </c>
      <c r="C13652">
        <v>12895</v>
      </c>
      <c r="D13652" t="s">
        <v>179</v>
      </c>
      <c r="E13652" t="s">
        <v>180</v>
      </c>
      <c r="F13652">
        <v>289.10000000000002</v>
      </c>
      <c r="G13652">
        <v>230926</v>
      </c>
      <c r="H13652">
        <v>4571</v>
      </c>
      <c r="I13652" t="s">
        <v>181</v>
      </c>
      <c r="J13652">
        <v>358.48</v>
      </c>
      <c r="K13652">
        <v>69.38</v>
      </c>
      <c r="L13652">
        <v>59112</v>
      </c>
      <c r="M13652" t="s">
        <v>182</v>
      </c>
      <c r="N13652" t="str">
        <f>"05894279    "</f>
        <v xml:space="preserve">05894279    </v>
      </c>
      <c r="O13652">
        <v>230929</v>
      </c>
    </row>
    <row r="13653" spans="1:15" x14ac:dyDescent="0.25">
      <c r="A13653" t="s">
        <v>16</v>
      </c>
      <c r="B13653" t="s">
        <v>3221</v>
      </c>
      <c r="C13653">
        <v>12895</v>
      </c>
      <c r="D13653" t="s">
        <v>179</v>
      </c>
      <c r="E13653" t="s">
        <v>180</v>
      </c>
      <c r="F13653">
        <v>781.62</v>
      </c>
      <c r="G13653">
        <v>230926</v>
      </c>
      <c r="H13653">
        <v>4571</v>
      </c>
      <c r="I13653" t="s">
        <v>181</v>
      </c>
      <c r="J13653">
        <v>969.21</v>
      </c>
      <c r="K13653">
        <v>187.59</v>
      </c>
      <c r="L13653">
        <v>59504</v>
      </c>
      <c r="M13653" t="s">
        <v>71</v>
      </c>
      <c r="N13653" t="str">
        <f>"05894279    "</f>
        <v xml:space="preserve">05894279    </v>
      </c>
      <c r="O13653">
        <v>230929</v>
      </c>
    </row>
    <row r="13654" spans="1:15" x14ac:dyDescent="0.25">
      <c r="A13654" t="s">
        <v>16</v>
      </c>
      <c r="B13654" t="s">
        <v>3221</v>
      </c>
      <c r="C13654">
        <v>13229</v>
      </c>
      <c r="D13654" t="s">
        <v>179</v>
      </c>
      <c r="E13654" t="s">
        <v>180</v>
      </c>
      <c r="F13654">
        <v>1676.19</v>
      </c>
      <c r="G13654">
        <v>230930</v>
      </c>
      <c r="H13654">
        <v>4571</v>
      </c>
      <c r="I13654" t="s">
        <v>181</v>
      </c>
      <c r="J13654">
        <v>2078.48</v>
      </c>
      <c r="K13654">
        <v>402.29</v>
      </c>
      <c r="L13654">
        <v>59112</v>
      </c>
      <c r="M13654" t="s">
        <v>182</v>
      </c>
      <c r="N13654" t="str">
        <f>"05899219    "</f>
        <v xml:space="preserve">05899219    </v>
      </c>
      <c r="O13654">
        <v>231006</v>
      </c>
    </row>
    <row r="13655" spans="1:15" x14ac:dyDescent="0.25">
      <c r="A13655" t="s">
        <v>16</v>
      </c>
      <c r="B13655" t="s">
        <v>3221</v>
      </c>
      <c r="C13655">
        <v>13229</v>
      </c>
      <c r="D13655" t="s">
        <v>179</v>
      </c>
      <c r="E13655" t="s">
        <v>180</v>
      </c>
      <c r="F13655">
        <v>4531.9399999999996</v>
      </c>
      <c r="G13655">
        <v>230930</v>
      </c>
      <c r="H13655">
        <v>4571</v>
      </c>
      <c r="I13655" t="s">
        <v>181</v>
      </c>
      <c r="J13655">
        <v>5619.6</v>
      </c>
      <c r="K13655">
        <v>1087.6600000000001</v>
      </c>
      <c r="L13655">
        <v>59504</v>
      </c>
      <c r="M13655" t="s">
        <v>71</v>
      </c>
      <c r="N13655" t="str">
        <f>"05899219    "</f>
        <v xml:space="preserve">05899219    </v>
      </c>
      <c r="O13655">
        <v>231006</v>
      </c>
    </row>
    <row r="13656" spans="1:15" x14ac:dyDescent="0.25">
      <c r="A13656" t="s">
        <v>16</v>
      </c>
      <c r="B13656" t="s">
        <v>3221</v>
      </c>
      <c r="C13656">
        <v>13775</v>
      </c>
      <c r="D13656" t="s">
        <v>179</v>
      </c>
      <c r="E13656" t="s">
        <v>180</v>
      </c>
      <c r="F13656">
        <v>1140.81</v>
      </c>
      <c r="G13656">
        <v>231011</v>
      </c>
      <c r="H13656">
        <v>4571</v>
      </c>
      <c r="I13656" t="s">
        <v>181</v>
      </c>
      <c r="J13656">
        <v>1414.6</v>
      </c>
      <c r="K13656">
        <v>273.79000000000002</v>
      </c>
      <c r="L13656">
        <v>59112</v>
      </c>
      <c r="M13656" t="s">
        <v>182</v>
      </c>
      <c r="N13656" t="str">
        <f>"05910286    "</f>
        <v xml:space="preserve">05910286    </v>
      </c>
      <c r="O13656">
        <v>231013</v>
      </c>
    </row>
    <row r="13657" spans="1:15" x14ac:dyDescent="0.25">
      <c r="A13657" t="s">
        <v>16</v>
      </c>
      <c r="B13657" t="s">
        <v>3221</v>
      </c>
      <c r="C13657">
        <v>13775</v>
      </c>
      <c r="D13657" t="s">
        <v>179</v>
      </c>
      <c r="E13657" t="s">
        <v>180</v>
      </c>
      <c r="F13657">
        <v>3084.4</v>
      </c>
      <c r="G13657">
        <v>231011</v>
      </c>
      <c r="H13657">
        <v>4571</v>
      </c>
      <c r="I13657" t="s">
        <v>181</v>
      </c>
      <c r="J13657">
        <v>3824.66</v>
      </c>
      <c r="K13657">
        <v>740.26</v>
      </c>
      <c r="L13657">
        <v>59504</v>
      </c>
      <c r="M13657" t="s">
        <v>71</v>
      </c>
      <c r="N13657" t="str">
        <f>"05910286    "</f>
        <v xml:space="preserve">05910286    </v>
      </c>
      <c r="O13657">
        <v>231013</v>
      </c>
    </row>
    <row r="13658" spans="1:15" x14ac:dyDescent="0.25">
      <c r="A13658" t="s">
        <v>16</v>
      </c>
      <c r="B13658" t="s">
        <v>3221</v>
      </c>
      <c r="C13658">
        <v>14298</v>
      </c>
      <c r="D13658" t="s">
        <v>179</v>
      </c>
      <c r="E13658" t="s">
        <v>180</v>
      </c>
      <c r="F13658">
        <v>97.15</v>
      </c>
      <c r="G13658">
        <v>231017</v>
      </c>
      <c r="H13658">
        <v>4571</v>
      </c>
      <c r="I13658" t="s">
        <v>181</v>
      </c>
      <c r="J13658">
        <v>120.46</v>
      </c>
      <c r="K13658">
        <v>23.31</v>
      </c>
      <c r="L13658">
        <v>59112</v>
      </c>
      <c r="M13658" t="s">
        <v>182</v>
      </c>
      <c r="N13658" t="str">
        <f>"05919018    "</f>
        <v xml:space="preserve">05919018    </v>
      </c>
      <c r="O13658">
        <v>231025</v>
      </c>
    </row>
    <row r="13659" spans="1:15" x14ac:dyDescent="0.25">
      <c r="A13659" t="s">
        <v>16</v>
      </c>
      <c r="B13659" t="s">
        <v>3221</v>
      </c>
      <c r="C13659">
        <v>14298</v>
      </c>
      <c r="D13659" t="s">
        <v>179</v>
      </c>
      <c r="E13659" t="s">
        <v>180</v>
      </c>
      <c r="F13659">
        <v>262.64999999999998</v>
      </c>
      <c r="G13659">
        <v>231017</v>
      </c>
      <c r="H13659">
        <v>4571</v>
      </c>
      <c r="I13659" t="s">
        <v>181</v>
      </c>
      <c r="J13659">
        <v>325.69</v>
      </c>
      <c r="K13659">
        <v>63.04</v>
      </c>
      <c r="L13659">
        <v>59504</v>
      </c>
      <c r="M13659" t="s">
        <v>71</v>
      </c>
      <c r="N13659" t="str">
        <f>"05919018    "</f>
        <v xml:space="preserve">05919018    </v>
      </c>
      <c r="O13659">
        <v>231025</v>
      </c>
    </row>
    <row r="13660" spans="1:15" x14ac:dyDescent="0.25">
      <c r="A13660" t="s">
        <v>16</v>
      </c>
      <c r="B13660" t="s">
        <v>3221</v>
      </c>
      <c r="C13660">
        <v>14462</v>
      </c>
      <c r="D13660" t="s">
        <v>179</v>
      </c>
      <c r="E13660" t="s">
        <v>180</v>
      </c>
      <c r="F13660">
        <v>40.42</v>
      </c>
      <c r="G13660">
        <v>231024</v>
      </c>
      <c r="H13660">
        <v>4571</v>
      </c>
      <c r="I13660" t="s">
        <v>181</v>
      </c>
      <c r="J13660">
        <v>50.12</v>
      </c>
      <c r="K13660">
        <v>9.6999999999999993</v>
      </c>
      <c r="L13660">
        <v>59112</v>
      </c>
      <c r="M13660" t="s">
        <v>182</v>
      </c>
      <c r="N13660" t="str">
        <f>"05925789    "</f>
        <v xml:space="preserve">05925789    </v>
      </c>
      <c r="O13660">
        <v>231030</v>
      </c>
    </row>
    <row r="13661" spans="1:15" x14ac:dyDescent="0.25">
      <c r="A13661" t="s">
        <v>16</v>
      </c>
      <c r="B13661" t="s">
        <v>3221</v>
      </c>
      <c r="C13661">
        <v>14462</v>
      </c>
      <c r="D13661" t="s">
        <v>179</v>
      </c>
      <c r="E13661" t="s">
        <v>180</v>
      </c>
      <c r="F13661">
        <v>109.28</v>
      </c>
      <c r="G13661">
        <v>231024</v>
      </c>
      <c r="H13661">
        <v>4571</v>
      </c>
      <c r="I13661" t="s">
        <v>181</v>
      </c>
      <c r="J13661">
        <v>135.51</v>
      </c>
      <c r="K13661">
        <v>26.23</v>
      </c>
      <c r="L13661">
        <v>59504</v>
      </c>
      <c r="M13661" t="s">
        <v>71</v>
      </c>
      <c r="N13661" t="str">
        <f>"05925789    "</f>
        <v xml:space="preserve">05925789    </v>
      </c>
      <c r="O13661">
        <v>231030</v>
      </c>
    </row>
    <row r="13662" spans="1:15" x14ac:dyDescent="0.25">
      <c r="A13662" t="s">
        <v>16</v>
      </c>
      <c r="B13662" t="s">
        <v>3221</v>
      </c>
      <c r="C13662">
        <v>15001</v>
      </c>
      <c r="D13662" t="s">
        <v>179</v>
      </c>
      <c r="E13662" t="s">
        <v>180</v>
      </c>
      <c r="F13662">
        <v>2950.43</v>
      </c>
      <c r="G13662">
        <v>231102</v>
      </c>
      <c r="H13662">
        <v>4571</v>
      </c>
      <c r="I13662" t="s">
        <v>181</v>
      </c>
      <c r="J13662">
        <v>3658.53</v>
      </c>
      <c r="K13662">
        <v>708.1</v>
      </c>
      <c r="L13662">
        <v>59112</v>
      </c>
      <c r="M13662" t="s">
        <v>182</v>
      </c>
      <c r="N13662" t="str">
        <f>"05934798    "</f>
        <v xml:space="preserve">05934798    </v>
      </c>
      <c r="O13662">
        <v>231108</v>
      </c>
    </row>
    <row r="13663" spans="1:15" x14ac:dyDescent="0.25">
      <c r="A13663" t="s">
        <v>16</v>
      </c>
      <c r="B13663" t="s">
        <v>3221</v>
      </c>
      <c r="C13663">
        <v>15001</v>
      </c>
      <c r="D13663" t="s">
        <v>179</v>
      </c>
      <c r="E13663" t="s">
        <v>180</v>
      </c>
      <c r="F13663">
        <v>7977.08</v>
      </c>
      <c r="G13663">
        <v>231102</v>
      </c>
      <c r="H13663">
        <v>4571</v>
      </c>
      <c r="I13663" t="s">
        <v>181</v>
      </c>
      <c r="J13663">
        <v>9891.58</v>
      </c>
      <c r="K13663">
        <v>1914.5</v>
      </c>
      <c r="L13663">
        <v>59504</v>
      </c>
      <c r="M13663" t="s">
        <v>71</v>
      </c>
      <c r="N13663" t="str">
        <f>"05934798    "</f>
        <v xml:space="preserve">05934798    </v>
      </c>
      <c r="O13663">
        <v>231108</v>
      </c>
    </row>
    <row r="13664" spans="1:15" x14ac:dyDescent="0.25">
      <c r="A13664" t="s">
        <v>16</v>
      </c>
      <c r="B13664" t="s">
        <v>3221</v>
      </c>
      <c r="C13664">
        <v>16453</v>
      </c>
      <c r="D13664" t="s">
        <v>179</v>
      </c>
      <c r="E13664" t="s">
        <v>180</v>
      </c>
      <c r="F13664">
        <v>1533.42</v>
      </c>
      <c r="G13664">
        <v>231127</v>
      </c>
      <c r="H13664">
        <v>4571</v>
      </c>
      <c r="I13664" t="s">
        <v>181</v>
      </c>
      <c r="J13664">
        <v>1901.44</v>
      </c>
      <c r="K13664">
        <v>368.02</v>
      </c>
      <c r="L13664">
        <v>59112</v>
      </c>
      <c r="M13664" t="s">
        <v>182</v>
      </c>
      <c r="N13664" t="str">
        <f>"05958393    "</f>
        <v xml:space="preserve">05958393    </v>
      </c>
      <c r="O13664">
        <v>231129</v>
      </c>
    </row>
    <row r="13665" spans="1:15" x14ac:dyDescent="0.25">
      <c r="A13665" t="s">
        <v>16</v>
      </c>
      <c r="B13665" t="s">
        <v>3221</v>
      </c>
      <c r="C13665">
        <v>16453</v>
      </c>
      <c r="D13665" t="s">
        <v>179</v>
      </c>
      <c r="E13665" t="s">
        <v>180</v>
      </c>
      <c r="F13665">
        <v>4145.8999999999996</v>
      </c>
      <c r="G13665">
        <v>231127</v>
      </c>
      <c r="H13665">
        <v>4571</v>
      </c>
      <c r="I13665" t="s">
        <v>181</v>
      </c>
      <c r="J13665">
        <v>5140.92</v>
      </c>
      <c r="K13665">
        <v>995.02</v>
      </c>
      <c r="L13665">
        <v>59504</v>
      </c>
      <c r="M13665" t="s">
        <v>71</v>
      </c>
      <c r="N13665" t="str">
        <f>"05958393    "</f>
        <v xml:space="preserve">05958393    </v>
      </c>
      <c r="O13665">
        <v>231129</v>
      </c>
    </row>
    <row r="13666" spans="1:15" x14ac:dyDescent="0.25">
      <c r="A13666" t="s">
        <v>16</v>
      </c>
      <c r="B13666" t="s">
        <v>3221</v>
      </c>
      <c r="C13666">
        <v>16540</v>
      </c>
      <c r="D13666" t="s">
        <v>179</v>
      </c>
      <c r="E13666" t="s">
        <v>180</v>
      </c>
      <c r="F13666">
        <v>1211.56</v>
      </c>
      <c r="G13666">
        <v>231130</v>
      </c>
      <c r="H13666">
        <v>4571</v>
      </c>
      <c r="I13666" t="s">
        <v>181</v>
      </c>
      <c r="J13666">
        <v>1502.34</v>
      </c>
      <c r="K13666">
        <v>290.77999999999997</v>
      </c>
      <c r="L13666">
        <v>59112</v>
      </c>
      <c r="M13666" t="s">
        <v>182</v>
      </c>
      <c r="N13666" t="str">
        <f>"05963256    "</f>
        <v xml:space="preserve">05963256    </v>
      </c>
      <c r="O13666">
        <v>231201</v>
      </c>
    </row>
    <row r="13667" spans="1:15" x14ac:dyDescent="0.25">
      <c r="A13667" t="s">
        <v>16</v>
      </c>
      <c r="B13667" t="s">
        <v>3221</v>
      </c>
      <c r="C13667">
        <v>16540</v>
      </c>
      <c r="D13667" t="s">
        <v>179</v>
      </c>
      <c r="E13667" t="s">
        <v>180</v>
      </c>
      <c r="F13667">
        <v>3275.72</v>
      </c>
      <c r="G13667">
        <v>231130</v>
      </c>
      <c r="H13667">
        <v>4571</v>
      </c>
      <c r="I13667" t="s">
        <v>181</v>
      </c>
      <c r="J13667">
        <v>4061.89</v>
      </c>
      <c r="K13667">
        <v>786.17</v>
      </c>
      <c r="L13667">
        <v>59504</v>
      </c>
      <c r="M13667" t="s">
        <v>71</v>
      </c>
      <c r="N13667" t="str">
        <f>"05963256    "</f>
        <v xml:space="preserve">05963256    </v>
      </c>
      <c r="O13667">
        <v>231201</v>
      </c>
    </row>
    <row r="13668" spans="1:15" x14ac:dyDescent="0.25">
      <c r="A13668" t="s">
        <v>16</v>
      </c>
      <c r="B13668" t="s">
        <v>3221</v>
      </c>
      <c r="C13668">
        <v>17975</v>
      </c>
      <c r="D13668" t="s">
        <v>179</v>
      </c>
      <c r="E13668" t="s">
        <v>180</v>
      </c>
      <c r="F13668">
        <v>663.56</v>
      </c>
      <c r="G13668">
        <v>231215</v>
      </c>
      <c r="H13668">
        <v>4571</v>
      </c>
      <c r="I13668" t="s">
        <v>181</v>
      </c>
      <c r="J13668">
        <v>822.82</v>
      </c>
      <c r="K13668">
        <v>159.26</v>
      </c>
      <c r="L13668">
        <v>59112</v>
      </c>
      <c r="M13668" t="s">
        <v>182</v>
      </c>
      <c r="N13668" t="str">
        <f>"05979475    "</f>
        <v xml:space="preserve">05979475    </v>
      </c>
      <c r="O13668">
        <v>231228</v>
      </c>
    </row>
    <row r="13669" spans="1:15" x14ac:dyDescent="0.25">
      <c r="A13669" t="s">
        <v>16</v>
      </c>
      <c r="B13669" t="s">
        <v>3221</v>
      </c>
      <c r="C13669">
        <v>17975</v>
      </c>
      <c r="D13669" t="s">
        <v>179</v>
      </c>
      <c r="E13669" t="s">
        <v>180</v>
      </c>
      <c r="F13669">
        <v>1794.07</v>
      </c>
      <c r="G13669">
        <v>231215</v>
      </c>
      <c r="H13669">
        <v>4571</v>
      </c>
      <c r="I13669" t="s">
        <v>181</v>
      </c>
      <c r="J13669">
        <v>2224.65</v>
      </c>
      <c r="K13669">
        <v>430.58</v>
      </c>
      <c r="L13669">
        <v>59504</v>
      </c>
      <c r="M13669" t="s">
        <v>71</v>
      </c>
      <c r="N13669" t="str">
        <f>"05979475    "</f>
        <v xml:space="preserve">05979475    </v>
      </c>
      <c r="O13669">
        <v>231228</v>
      </c>
    </row>
    <row r="13670" spans="1:15" x14ac:dyDescent="0.25">
      <c r="A13670" t="s">
        <v>16</v>
      </c>
      <c r="B13670" t="s">
        <v>3221</v>
      </c>
      <c r="C13670">
        <v>18058</v>
      </c>
      <c r="D13670" t="s">
        <v>179</v>
      </c>
      <c r="E13670" t="s">
        <v>180</v>
      </c>
      <c r="F13670">
        <v>2235.5300000000002</v>
      </c>
      <c r="G13670">
        <v>231219</v>
      </c>
      <c r="H13670">
        <v>4571</v>
      </c>
      <c r="I13670" t="s">
        <v>181</v>
      </c>
      <c r="J13670">
        <v>2772.06</v>
      </c>
      <c r="K13670">
        <v>536.53</v>
      </c>
      <c r="L13670">
        <v>59112</v>
      </c>
      <c r="M13670" t="s">
        <v>182</v>
      </c>
      <c r="N13670" t="str">
        <f>"05983033    "</f>
        <v xml:space="preserve">05983033    </v>
      </c>
      <c r="O13670">
        <v>240102</v>
      </c>
    </row>
    <row r="13671" spans="1:15" x14ac:dyDescent="0.25">
      <c r="A13671" t="s">
        <v>16</v>
      </c>
      <c r="B13671" t="s">
        <v>3221</v>
      </c>
      <c r="C13671">
        <v>18058</v>
      </c>
      <c r="D13671" t="s">
        <v>179</v>
      </c>
      <c r="E13671" t="s">
        <v>180</v>
      </c>
      <c r="F13671">
        <v>6044.21</v>
      </c>
      <c r="G13671">
        <v>231219</v>
      </c>
      <c r="H13671">
        <v>4571</v>
      </c>
      <c r="I13671" t="s">
        <v>181</v>
      </c>
      <c r="J13671">
        <v>7494.82</v>
      </c>
      <c r="K13671">
        <v>1450.61</v>
      </c>
      <c r="L13671">
        <v>59504</v>
      </c>
      <c r="M13671" t="s">
        <v>71</v>
      </c>
      <c r="N13671" t="str">
        <f>"05983033    "</f>
        <v xml:space="preserve">05983033    </v>
      </c>
      <c r="O13671">
        <v>240102</v>
      </c>
    </row>
    <row r="13672" spans="1:15" x14ac:dyDescent="0.25">
      <c r="A13672" t="s">
        <v>16</v>
      </c>
      <c r="B13672" t="s">
        <v>3221</v>
      </c>
      <c r="C13672">
        <v>1642</v>
      </c>
      <c r="D13672" t="s">
        <v>179</v>
      </c>
      <c r="E13672" t="s">
        <v>180</v>
      </c>
      <c r="F13672">
        <v>4.95</v>
      </c>
      <c r="G13672">
        <v>230131</v>
      </c>
      <c r="H13672">
        <v>4600</v>
      </c>
      <c r="I13672" t="s">
        <v>105</v>
      </c>
      <c r="J13672">
        <v>4.95</v>
      </c>
      <c r="K13672">
        <v>0</v>
      </c>
      <c r="L13672">
        <v>11001</v>
      </c>
      <c r="M13672" t="s">
        <v>326</v>
      </c>
      <c r="N13672" t="str">
        <f>"34373429    "</f>
        <v xml:space="preserve">34373429    </v>
      </c>
      <c r="O13672">
        <v>230213</v>
      </c>
    </row>
    <row r="13673" spans="1:15" x14ac:dyDescent="0.25">
      <c r="A13673" t="s">
        <v>16</v>
      </c>
      <c r="B13673" t="s">
        <v>3221</v>
      </c>
      <c r="C13673">
        <v>2752</v>
      </c>
      <c r="D13673" t="s">
        <v>179</v>
      </c>
      <c r="E13673" t="s">
        <v>180</v>
      </c>
      <c r="F13673">
        <v>7.45</v>
      </c>
      <c r="G13673">
        <v>230228</v>
      </c>
      <c r="H13673">
        <v>4600</v>
      </c>
      <c r="I13673" t="s">
        <v>105</v>
      </c>
      <c r="J13673">
        <v>7.45</v>
      </c>
      <c r="K13673">
        <v>0</v>
      </c>
      <c r="L13673">
        <v>11001</v>
      </c>
      <c r="M13673" t="s">
        <v>326</v>
      </c>
      <c r="N13673" t="str">
        <f>"34440556    "</f>
        <v xml:space="preserve">34440556    </v>
      </c>
      <c r="O13673">
        <v>230307</v>
      </c>
    </row>
    <row r="13674" spans="1:15" x14ac:dyDescent="0.25">
      <c r="A13674" t="s">
        <v>16</v>
      </c>
      <c r="B13674" t="s">
        <v>3221</v>
      </c>
      <c r="C13674">
        <v>4796</v>
      </c>
      <c r="D13674" t="s">
        <v>179</v>
      </c>
      <c r="E13674" t="s">
        <v>180</v>
      </c>
      <c r="F13674">
        <v>19.850000000000001</v>
      </c>
      <c r="G13674">
        <v>230331</v>
      </c>
      <c r="H13674">
        <v>4600</v>
      </c>
      <c r="I13674" t="s">
        <v>105</v>
      </c>
      <c r="J13674">
        <v>19.850000000000001</v>
      </c>
      <c r="K13674">
        <v>0</v>
      </c>
      <c r="L13674">
        <v>11001</v>
      </c>
      <c r="M13674" t="s">
        <v>326</v>
      </c>
      <c r="N13674" t="str">
        <f>"34507575    "</f>
        <v xml:space="preserve">34507575    </v>
      </c>
      <c r="O13674">
        <v>230412</v>
      </c>
    </row>
    <row r="13675" spans="1:15" x14ac:dyDescent="0.25">
      <c r="A13675" t="s">
        <v>16</v>
      </c>
      <c r="B13675" t="s">
        <v>3221</v>
      </c>
      <c r="C13675">
        <v>6592</v>
      </c>
      <c r="D13675" t="s">
        <v>179</v>
      </c>
      <c r="E13675" t="s">
        <v>180</v>
      </c>
      <c r="F13675">
        <v>14.85</v>
      </c>
      <c r="G13675">
        <v>230430</v>
      </c>
      <c r="H13675">
        <v>4600</v>
      </c>
      <c r="I13675" t="s">
        <v>105</v>
      </c>
      <c r="J13675">
        <v>14.85</v>
      </c>
      <c r="K13675">
        <v>0</v>
      </c>
      <c r="L13675">
        <v>11001</v>
      </c>
      <c r="M13675" t="s">
        <v>326</v>
      </c>
      <c r="N13675" t="str">
        <f>"34574726    "</f>
        <v xml:space="preserve">34574726    </v>
      </c>
      <c r="O13675">
        <v>230516</v>
      </c>
    </row>
    <row r="13676" spans="1:15" x14ac:dyDescent="0.25">
      <c r="A13676" t="s">
        <v>16</v>
      </c>
      <c r="B13676" t="s">
        <v>3221</v>
      </c>
      <c r="C13676">
        <v>8535</v>
      </c>
      <c r="D13676" t="s">
        <v>179</v>
      </c>
      <c r="E13676" t="s">
        <v>180</v>
      </c>
      <c r="F13676">
        <v>19.8</v>
      </c>
      <c r="G13676">
        <v>230531</v>
      </c>
      <c r="H13676">
        <v>4600</v>
      </c>
      <c r="I13676" t="s">
        <v>105</v>
      </c>
      <c r="J13676">
        <v>19.8</v>
      </c>
      <c r="K13676">
        <v>0</v>
      </c>
      <c r="L13676">
        <v>11001</v>
      </c>
      <c r="M13676" t="s">
        <v>326</v>
      </c>
      <c r="N13676" t="str">
        <f>"34642870    "</f>
        <v xml:space="preserve">34642870    </v>
      </c>
      <c r="O13676">
        <v>230612</v>
      </c>
    </row>
    <row r="13677" spans="1:15" x14ac:dyDescent="0.25">
      <c r="A13677" t="s">
        <v>16</v>
      </c>
      <c r="B13677" t="s">
        <v>3221</v>
      </c>
      <c r="C13677">
        <v>9380</v>
      </c>
      <c r="D13677" t="s">
        <v>179</v>
      </c>
      <c r="E13677" t="s">
        <v>180</v>
      </c>
      <c r="F13677">
        <v>9.9</v>
      </c>
      <c r="G13677">
        <v>230630</v>
      </c>
      <c r="H13677">
        <v>4600</v>
      </c>
      <c r="I13677" t="s">
        <v>105</v>
      </c>
      <c r="J13677">
        <v>9.9</v>
      </c>
      <c r="K13677">
        <v>0</v>
      </c>
      <c r="L13677">
        <v>11001</v>
      </c>
      <c r="M13677" t="s">
        <v>326</v>
      </c>
      <c r="N13677" t="str">
        <f>"34711875    "</f>
        <v xml:space="preserve">34711875    </v>
      </c>
      <c r="O13677">
        <v>230710</v>
      </c>
    </row>
    <row r="13678" spans="1:15" x14ac:dyDescent="0.25">
      <c r="A13678" t="s">
        <v>16</v>
      </c>
      <c r="B13678" t="s">
        <v>3221</v>
      </c>
      <c r="C13678">
        <v>10256</v>
      </c>
      <c r="D13678" t="s">
        <v>179</v>
      </c>
      <c r="E13678" t="s">
        <v>180</v>
      </c>
      <c r="F13678">
        <v>19.8</v>
      </c>
      <c r="G13678">
        <v>230731</v>
      </c>
      <c r="H13678">
        <v>4600</v>
      </c>
      <c r="I13678" t="s">
        <v>105</v>
      </c>
      <c r="J13678">
        <v>19.8</v>
      </c>
      <c r="K13678">
        <v>0</v>
      </c>
      <c r="L13678">
        <v>11001</v>
      </c>
      <c r="M13678" t="s">
        <v>326</v>
      </c>
      <c r="N13678" t="str">
        <f>"34779665    "</f>
        <v xml:space="preserve">34779665    </v>
      </c>
      <c r="O13678">
        <v>230814</v>
      </c>
    </row>
    <row r="13679" spans="1:15" x14ac:dyDescent="0.25">
      <c r="A13679" t="s">
        <v>16</v>
      </c>
      <c r="B13679" t="s">
        <v>3221</v>
      </c>
      <c r="C13679">
        <v>11798</v>
      </c>
      <c r="D13679" t="s">
        <v>179</v>
      </c>
      <c r="E13679" t="s">
        <v>180</v>
      </c>
      <c r="F13679">
        <v>9.9</v>
      </c>
      <c r="G13679">
        <v>230831</v>
      </c>
      <c r="H13679">
        <v>4600</v>
      </c>
      <c r="I13679" t="s">
        <v>105</v>
      </c>
      <c r="J13679">
        <v>9.9</v>
      </c>
      <c r="K13679">
        <v>0</v>
      </c>
      <c r="L13679">
        <v>11001</v>
      </c>
      <c r="M13679" t="s">
        <v>326</v>
      </c>
      <c r="N13679" t="str">
        <f>"34847275    "</f>
        <v xml:space="preserve">34847275    </v>
      </c>
      <c r="O13679">
        <v>230911</v>
      </c>
    </row>
    <row r="13680" spans="1:15" x14ac:dyDescent="0.25">
      <c r="A13680" t="s">
        <v>16</v>
      </c>
      <c r="B13680" t="s">
        <v>3221</v>
      </c>
      <c r="C13680">
        <v>13569</v>
      </c>
      <c r="D13680" t="s">
        <v>179</v>
      </c>
      <c r="E13680" t="s">
        <v>180</v>
      </c>
      <c r="F13680">
        <v>31.2</v>
      </c>
      <c r="G13680">
        <v>230930</v>
      </c>
      <c r="H13680">
        <v>4600</v>
      </c>
      <c r="I13680" t="s">
        <v>105</v>
      </c>
      <c r="J13680">
        <v>31.2</v>
      </c>
      <c r="K13680">
        <v>0</v>
      </c>
      <c r="L13680">
        <v>11001</v>
      </c>
      <c r="M13680" t="s">
        <v>326</v>
      </c>
      <c r="N13680" t="str">
        <f>"34915621    "</f>
        <v xml:space="preserve">34915621    </v>
      </c>
      <c r="O13680">
        <v>231011</v>
      </c>
    </row>
    <row r="13681" spans="1:15" x14ac:dyDescent="0.25">
      <c r="A13681" t="s">
        <v>16</v>
      </c>
      <c r="B13681" t="s">
        <v>3221</v>
      </c>
      <c r="C13681">
        <v>15319</v>
      </c>
      <c r="D13681" t="s">
        <v>179</v>
      </c>
      <c r="E13681" t="s">
        <v>180</v>
      </c>
      <c r="F13681">
        <v>21.3</v>
      </c>
      <c r="G13681">
        <v>231031</v>
      </c>
      <c r="H13681">
        <v>4600</v>
      </c>
      <c r="I13681" t="s">
        <v>105</v>
      </c>
      <c r="J13681">
        <v>21.3</v>
      </c>
      <c r="K13681">
        <v>0</v>
      </c>
      <c r="L13681">
        <v>11001</v>
      </c>
      <c r="M13681" t="s">
        <v>326</v>
      </c>
      <c r="N13681" t="str">
        <f>"34983344    "</f>
        <v xml:space="preserve">34983344    </v>
      </c>
      <c r="O13681">
        <v>231113</v>
      </c>
    </row>
    <row r="13682" spans="1:15" x14ac:dyDescent="0.25">
      <c r="A13682" t="s">
        <v>16</v>
      </c>
      <c r="B13682" t="s">
        <v>3221</v>
      </c>
      <c r="C13682">
        <v>16749</v>
      </c>
      <c r="D13682" t="s">
        <v>179</v>
      </c>
      <c r="E13682" t="s">
        <v>180</v>
      </c>
      <c r="F13682">
        <v>15.6</v>
      </c>
      <c r="G13682">
        <v>231130</v>
      </c>
      <c r="H13682">
        <v>4600</v>
      </c>
      <c r="I13682" t="s">
        <v>105</v>
      </c>
      <c r="J13682">
        <v>15.6</v>
      </c>
      <c r="K13682">
        <v>0</v>
      </c>
      <c r="L13682">
        <v>11001</v>
      </c>
      <c r="M13682" t="s">
        <v>326</v>
      </c>
      <c r="N13682" t="str">
        <f>"36051128    "</f>
        <v xml:space="preserve">36051128    </v>
      </c>
      <c r="O13682">
        <v>231208</v>
      </c>
    </row>
    <row r="13683" spans="1:15" x14ac:dyDescent="0.25">
      <c r="A13683" t="s">
        <v>16</v>
      </c>
      <c r="B13683" t="s">
        <v>3221</v>
      </c>
      <c r="C13683">
        <v>18737</v>
      </c>
      <c r="D13683" t="s">
        <v>179</v>
      </c>
      <c r="E13683" t="s">
        <v>180</v>
      </c>
      <c r="F13683">
        <v>13.15</v>
      </c>
      <c r="G13683">
        <v>231231</v>
      </c>
      <c r="H13683">
        <v>4600</v>
      </c>
      <c r="I13683" t="s">
        <v>105</v>
      </c>
      <c r="J13683">
        <v>13.15</v>
      </c>
      <c r="K13683">
        <v>0</v>
      </c>
      <c r="L13683">
        <v>11001</v>
      </c>
      <c r="M13683" t="s">
        <v>326</v>
      </c>
      <c r="N13683" t="str">
        <f>"36117896    "</f>
        <v xml:space="preserve">36117896    </v>
      </c>
      <c r="O13683">
        <v>240105</v>
      </c>
    </row>
    <row r="13684" spans="1:15" x14ac:dyDescent="0.25">
      <c r="A13684" t="s">
        <v>16</v>
      </c>
      <c r="B13684" t="s">
        <v>3221</v>
      </c>
      <c r="C13684">
        <v>5608</v>
      </c>
      <c r="D13684" t="s">
        <v>179</v>
      </c>
      <c r="E13684" t="s">
        <v>180</v>
      </c>
      <c r="F13684">
        <v>149.69999999999999</v>
      </c>
      <c r="G13684">
        <v>230424</v>
      </c>
      <c r="H13684">
        <v>4470</v>
      </c>
      <c r="I13684" t="s">
        <v>83</v>
      </c>
      <c r="J13684">
        <v>185.63</v>
      </c>
      <c r="K13684">
        <v>35.93</v>
      </c>
      <c r="L13684">
        <v>59504</v>
      </c>
      <c r="M13684" t="s">
        <v>71</v>
      </c>
      <c r="N13684" t="str">
        <f>"05773943    "</f>
        <v xml:space="preserve">05773943    </v>
      </c>
      <c r="O13684">
        <v>230428</v>
      </c>
    </row>
    <row r="13685" spans="1:15" x14ac:dyDescent="0.25">
      <c r="A13685" t="s">
        <v>16</v>
      </c>
      <c r="B13685" t="s">
        <v>3221</v>
      </c>
      <c r="C13685">
        <v>1365</v>
      </c>
      <c r="D13685" t="s">
        <v>179</v>
      </c>
      <c r="E13685" t="s">
        <v>180</v>
      </c>
      <c r="F13685">
        <v>129.69</v>
      </c>
      <c r="G13685">
        <v>230131</v>
      </c>
      <c r="H13685">
        <v>4560</v>
      </c>
      <c r="I13685" t="s">
        <v>345</v>
      </c>
      <c r="J13685">
        <v>160.82</v>
      </c>
      <c r="K13685">
        <v>31.13</v>
      </c>
      <c r="L13685">
        <v>66756</v>
      </c>
      <c r="M13685" t="s">
        <v>209</v>
      </c>
      <c r="N13685" t="str">
        <f t="shared" ref="N13685:N13690" si="186">"34406907    "</f>
        <v xml:space="preserve">34406907    </v>
      </c>
      <c r="O13685">
        <v>230208</v>
      </c>
    </row>
    <row r="13686" spans="1:15" x14ac:dyDescent="0.25">
      <c r="A13686" t="s">
        <v>16</v>
      </c>
      <c r="B13686" t="s">
        <v>3221</v>
      </c>
      <c r="C13686">
        <v>1365</v>
      </c>
      <c r="D13686" t="s">
        <v>179</v>
      </c>
      <c r="E13686" t="s">
        <v>180</v>
      </c>
      <c r="F13686">
        <v>45.41</v>
      </c>
      <c r="G13686">
        <v>230131</v>
      </c>
      <c r="H13686">
        <v>4560</v>
      </c>
      <c r="I13686" t="s">
        <v>345</v>
      </c>
      <c r="J13686">
        <v>56.31</v>
      </c>
      <c r="K13686">
        <v>10.9</v>
      </c>
      <c r="L13686">
        <v>67522</v>
      </c>
      <c r="M13686" t="s">
        <v>397</v>
      </c>
      <c r="N13686" t="str">
        <f t="shared" si="186"/>
        <v xml:space="preserve">34406907    </v>
      </c>
      <c r="O13686">
        <v>230208</v>
      </c>
    </row>
    <row r="13687" spans="1:15" x14ac:dyDescent="0.25">
      <c r="A13687" t="s">
        <v>16</v>
      </c>
      <c r="B13687" t="s">
        <v>3221</v>
      </c>
      <c r="C13687">
        <v>1365</v>
      </c>
      <c r="D13687" t="s">
        <v>179</v>
      </c>
      <c r="E13687" t="s">
        <v>180</v>
      </c>
      <c r="F13687">
        <v>45.41</v>
      </c>
      <c r="G13687">
        <v>230131</v>
      </c>
      <c r="H13687">
        <v>4560</v>
      </c>
      <c r="I13687" t="s">
        <v>345</v>
      </c>
      <c r="J13687">
        <v>56.31</v>
      </c>
      <c r="K13687">
        <v>10.9</v>
      </c>
      <c r="L13687">
        <v>67522</v>
      </c>
      <c r="M13687" t="s">
        <v>397</v>
      </c>
      <c r="N13687" t="str">
        <f t="shared" si="186"/>
        <v xml:space="preserve">34406907    </v>
      </c>
      <c r="O13687">
        <v>230208</v>
      </c>
    </row>
    <row r="13688" spans="1:15" x14ac:dyDescent="0.25">
      <c r="A13688" t="s">
        <v>16</v>
      </c>
      <c r="B13688" t="s">
        <v>3221</v>
      </c>
      <c r="C13688">
        <v>1365</v>
      </c>
      <c r="D13688" t="s">
        <v>179</v>
      </c>
      <c r="E13688" t="s">
        <v>180</v>
      </c>
      <c r="F13688">
        <v>256.41000000000003</v>
      </c>
      <c r="G13688">
        <v>230131</v>
      </c>
      <c r="H13688">
        <v>4560</v>
      </c>
      <c r="I13688" t="s">
        <v>345</v>
      </c>
      <c r="J13688">
        <v>317.95</v>
      </c>
      <c r="K13688">
        <v>61.54</v>
      </c>
      <c r="L13688">
        <v>67554</v>
      </c>
      <c r="M13688" t="s">
        <v>60</v>
      </c>
      <c r="N13688" t="str">
        <f t="shared" si="186"/>
        <v xml:space="preserve">34406907    </v>
      </c>
      <c r="O13688">
        <v>230208</v>
      </c>
    </row>
    <row r="13689" spans="1:15" x14ac:dyDescent="0.25">
      <c r="A13689" t="s">
        <v>16</v>
      </c>
      <c r="B13689" t="s">
        <v>3221</v>
      </c>
      <c r="C13689">
        <v>1365</v>
      </c>
      <c r="D13689" t="s">
        <v>179</v>
      </c>
      <c r="E13689" t="s">
        <v>180</v>
      </c>
      <c r="F13689">
        <v>135.69</v>
      </c>
      <c r="G13689">
        <v>230131</v>
      </c>
      <c r="H13689">
        <v>4560</v>
      </c>
      <c r="I13689" t="s">
        <v>345</v>
      </c>
      <c r="J13689">
        <v>168.26</v>
      </c>
      <c r="K13689">
        <v>32.57</v>
      </c>
      <c r="L13689">
        <v>69501</v>
      </c>
      <c r="M13689" t="s">
        <v>185</v>
      </c>
      <c r="N13689" t="str">
        <f t="shared" si="186"/>
        <v xml:space="preserve">34406907    </v>
      </c>
      <c r="O13689">
        <v>230208</v>
      </c>
    </row>
    <row r="13690" spans="1:15" x14ac:dyDescent="0.25">
      <c r="A13690" t="s">
        <v>16</v>
      </c>
      <c r="B13690" t="s">
        <v>3221</v>
      </c>
      <c r="C13690">
        <v>1365</v>
      </c>
      <c r="D13690" t="s">
        <v>179</v>
      </c>
      <c r="E13690" t="s">
        <v>180</v>
      </c>
      <c r="F13690">
        <v>70.2</v>
      </c>
      <c r="G13690">
        <v>230131</v>
      </c>
      <c r="H13690">
        <v>4560</v>
      </c>
      <c r="I13690" t="s">
        <v>345</v>
      </c>
      <c r="J13690">
        <v>87.05</v>
      </c>
      <c r="K13690">
        <v>16.850000000000001</v>
      </c>
      <c r="L13690">
        <v>69702</v>
      </c>
      <c r="M13690" t="s">
        <v>489</v>
      </c>
      <c r="N13690" t="str">
        <f t="shared" si="186"/>
        <v xml:space="preserve">34406907    </v>
      </c>
      <c r="O13690">
        <v>230208</v>
      </c>
    </row>
    <row r="13691" spans="1:15" x14ac:dyDescent="0.25">
      <c r="A13691" t="s">
        <v>16</v>
      </c>
      <c r="B13691" t="s">
        <v>3221</v>
      </c>
      <c r="C13691">
        <v>1642</v>
      </c>
      <c r="D13691" t="s">
        <v>179</v>
      </c>
      <c r="E13691" t="s">
        <v>180</v>
      </c>
      <c r="F13691">
        <v>319.37</v>
      </c>
      <c r="G13691">
        <v>230131</v>
      </c>
      <c r="H13691">
        <v>4560</v>
      </c>
      <c r="I13691" t="s">
        <v>345</v>
      </c>
      <c r="J13691">
        <v>319.37</v>
      </c>
      <c r="K13691">
        <v>0</v>
      </c>
      <c r="L13691">
        <v>11001</v>
      </c>
      <c r="M13691" t="s">
        <v>326</v>
      </c>
      <c r="N13691" t="str">
        <f>"34373429    "</f>
        <v xml:space="preserve">34373429    </v>
      </c>
      <c r="O13691">
        <v>230213</v>
      </c>
    </row>
    <row r="13692" spans="1:15" x14ac:dyDescent="0.25">
      <c r="A13692" t="s">
        <v>16</v>
      </c>
      <c r="B13692" t="s">
        <v>3221</v>
      </c>
      <c r="C13692">
        <v>1642</v>
      </c>
      <c r="D13692" t="s">
        <v>179</v>
      </c>
      <c r="E13692" t="s">
        <v>180</v>
      </c>
      <c r="F13692">
        <v>288.37</v>
      </c>
      <c r="G13692">
        <v>230131</v>
      </c>
      <c r="H13692">
        <v>4560</v>
      </c>
      <c r="I13692" t="s">
        <v>345</v>
      </c>
      <c r="J13692">
        <v>288.37</v>
      </c>
      <c r="K13692">
        <v>0</v>
      </c>
      <c r="L13692">
        <v>18972</v>
      </c>
      <c r="M13692" t="s">
        <v>163</v>
      </c>
      <c r="N13692" t="str">
        <f>"34373429    "</f>
        <v xml:space="preserve">34373429    </v>
      </c>
      <c r="O13692">
        <v>230213</v>
      </c>
    </row>
    <row r="13693" spans="1:15" x14ac:dyDescent="0.25">
      <c r="A13693" t="s">
        <v>16</v>
      </c>
      <c r="B13693" t="s">
        <v>3221</v>
      </c>
      <c r="C13693">
        <v>1642</v>
      </c>
      <c r="D13693" t="s">
        <v>179</v>
      </c>
      <c r="E13693" t="s">
        <v>180</v>
      </c>
      <c r="F13693">
        <v>212.6</v>
      </c>
      <c r="G13693">
        <v>230131</v>
      </c>
      <c r="H13693">
        <v>4560</v>
      </c>
      <c r="I13693" t="s">
        <v>345</v>
      </c>
      <c r="J13693">
        <v>263.62</v>
      </c>
      <c r="K13693">
        <v>51.02</v>
      </c>
      <c r="L13693">
        <v>59504</v>
      </c>
      <c r="M13693" t="s">
        <v>71</v>
      </c>
      <c r="N13693" t="str">
        <f>"34373429    "</f>
        <v xml:space="preserve">34373429    </v>
      </c>
      <c r="O13693">
        <v>230213</v>
      </c>
    </row>
    <row r="13694" spans="1:15" x14ac:dyDescent="0.25">
      <c r="A13694" t="s">
        <v>16</v>
      </c>
      <c r="B13694" t="s">
        <v>3221</v>
      </c>
      <c r="C13694">
        <v>2592</v>
      </c>
      <c r="D13694" t="s">
        <v>179</v>
      </c>
      <c r="E13694" t="s">
        <v>180</v>
      </c>
      <c r="F13694">
        <v>131.63999999999999</v>
      </c>
      <c r="G13694">
        <v>230228</v>
      </c>
      <c r="H13694">
        <v>4560</v>
      </c>
      <c r="I13694" t="s">
        <v>345</v>
      </c>
      <c r="J13694">
        <v>163.22999999999999</v>
      </c>
      <c r="K13694">
        <v>31.59</v>
      </c>
      <c r="L13694">
        <v>67554</v>
      </c>
      <c r="M13694" t="s">
        <v>60</v>
      </c>
      <c r="N13694" t="str">
        <f>"34473977    "</f>
        <v xml:space="preserve">34473977    </v>
      </c>
      <c r="O13694">
        <v>230302</v>
      </c>
    </row>
    <row r="13695" spans="1:15" x14ac:dyDescent="0.25">
      <c r="A13695" t="s">
        <v>16</v>
      </c>
      <c r="B13695" t="s">
        <v>3221</v>
      </c>
      <c r="C13695">
        <v>2592</v>
      </c>
      <c r="D13695" t="s">
        <v>179</v>
      </c>
      <c r="E13695" t="s">
        <v>180</v>
      </c>
      <c r="F13695">
        <v>64.62</v>
      </c>
      <c r="G13695">
        <v>230228</v>
      </c>
      <c r="H13695">
        <v>4560</v>
      </c>
      <c r="I13695" t="s">
        <v>345</v>
      </c>
      <c r="J13695">
        <v>80.13</v>
      </c>
      <c r="K13695">
        <v>15.51</v>
      </c>
      <c r="L13695">
        <v>69111</v>
      </c>
      <c r="M13695" t="s">
        <v>471</v>
      </c>
      <c r="N13695" t="str">
        <f>"34473977    "</f>
        <v xml:space="preserve">34473977    </v>
      </c>
      <c r="O13695">
        <v>230302</v>
      </c>
    </row>
    <row r="13696" spans="1:15" x14ac:dyDescent="0.25">
      <c r="A13696" t="s">
        <v>16</v>
      </c>
      <c r="B13696" t="s">
        <v>3221</v>
      </c>
      <c r="C13696">
        <v>2592</v>
      </c>
      <c r="D13696" t="s">
        <v>179</v>
      </c>
      <c r="E13696" t="s">
        <v>180</v>
      </c>
      <c r="F13696">
        <v>129.41</v>
      </c>
      <c r="G13696">
        <v>230228</v>
      </c>
      <c r="H13696">
        <v>4560</v>
      </c>
      <c r="I13696" t="s">
        <v>345</v>
      </c>
      <c r="J13696">
        <v>160.47</v>
      </c>
      <c r="K13696">
        <v>31.06</v>
      </c>
      <c r="L13696">
        <v>69501</v>
      </c>
      <c r="M13696" t="s">
        <v>185</v>
      </c>
      <c r="N13696" t="str">
        <f>"34473977    "</f>
        <v xml:space="preserve">34473977    </v>
      </c>
      <c r="O13696">
        <v>230302</v>
      </c>
    </row>
    <row r="13697" spans="1:15" x14ac:dyDescent="0.25">
      <c r="A13697" t="s">
        <v>16</v>
      </c>
      <c r="B13697" t="s">
        <v>3221</v>
      </c>
      <c r="C13697">
        <v>2592</v>
      </c>
      <c r="D13697" t="s">
        <v>179</v>
      </c>
      <c r="E13697" t="s">
        <v>180</v>
      </c>
      <c r="F13697">
        <v>50.6</v>
      </c>
      <c r="G13697">
        <v>230228</v>
      </c>
      <c r="H13697">
        <v>4560</v>
      </c>
      <c r="I13697" t="s">
        <v>345</v>
      </c>
      <c r="J13697">
        <v>62.74</v>
      </c>
      <c r="K13697">
        <v>12.14</v>
      </c>
      <c r="L13697">
        <v>69702</v>
      </c>
      <c r="M13697" t="s">
        <v>489</v>
      </c>
      <c r="N13697" t="str">
        <f>"34473977    "</f>
        <v xml:space="preserve">34473977    </v>
      </c>
      <c r="O13697">
        <v>230302</v>
      </c>
    </row>
    <row r="13698" spans="1:15" x14ac:dyDescent="0.25">
      <c r="A13698" t="s">
        <v>16</v>
      </c>
      <c r="B13698" t="s">
        <v>3221</v>
      </c>
      <c r="C13698">
        <v>2752</v>
      </c>
      <c r="D13698" t="s">
        <v>179</v>
      </c>
      <c r="E13698" t="s">
        <v>180</v>
      </c>
      <c r="F13698">
        <v>338.82</v>
      </c>
      <c r="G13698">
        <v>230228</v>
      </c>
      <c r="H13698">
        <v>4560</v>
      </c>
      <c r="I13698" t="s">
        <v>345</v>
      </c>
      <c r="J13698">
        <v>338.82</v>
      </c>
      <c r="K13698">
        <v>0</v>
      </c>
      <c r="L13698">
        <v>11001</v>
      </c>
      <c r="M13698" t="s">
        <v>326</v>
      </c>
      <c r="N13698" t="str">
        <f>"34440556    "</f>
        <v xml:space="preserve">34440556    </v>
      </c>
      <c r="O13698">
        <v>230307</v>
      </c>
    </row>
    <row r="13699" spans="1:15" x14ac:dyDescent="0.25">
      <c r="A13699" t="s">
        <v>16</v>
      </c>
      <c r="B13699" t="s">
        <v>3221</v>
      </c>
      <c r="C13699">
        <v>2752</v>
      </c>
      <c r="D13699" t="s">
        <v>179</v>
      </c>
      <c r="E13699" t="s">
        <v>180</v>
      </c>
      <c r="F13699">
        <v>333.15</v>
      </c>
      <c r="G13699">
        <v>230228</v>
      </c>
      <c r="H13699">
        <v>4560</v>
      </c>
      <c r="I13699" t="s">
        <v>345</v>
      </c>
      <c r="J13699">
        <v>333.15</v>
      </c>
      <c r="K13699">
        <v>0</v>
      </c>
      <c r="L13699">
        <v>18972</v>
      </c>
      <c r="M13699" t="s">
        <v>163</v>
      </c>
      <c r="N13699" t="str">
        <f>"34440556    "</f>
        <v xml:space="preserve">34440556    </v>
      </c>
      <c r="O13699">
        <v>230307</v>
      </c>
    </row>
    <row r="13700" spans="1:15" x14ac:dyDescent="0.25">
      <c r="A13700" t="s">
        <v>16</v>
      </c>
      <c r="B13700" t="s">
        <v>3221</v>
      </c>
      <c r="C13700">
        <v>4683</v>
      </c>
      <c r="D13700" t="s">
        <v>179</v>
      </c>
      <c r="E13700" t="s">
        <v>180</v>
      </c>
      <c r="F13700">
        <v>112.05</v>
      </c>
      <c r="G13700">
        <v>230331</v>
      </c>
      <c r="H13700">
        <v>4560</v>
      </c>
      <c r="I13700" t="s">
        <v>345</v>
      </c>
      <c r="J13700">
        <v>138.94</v>
      </c>
      <c r="K13700">
        <v>26.89</v>
      </c>
      <c r="L13700">
        <v>66756</v>
      </c>
      <c r="M13700" t="s">
        <v>209</v>
      </c>
      <c r="N13700" t="str">
        <f>"34541668    "</f>
        <v xml:space="preserve">34541668    </v>
      </c>
      <c r="O13700">
        <v>230411</v>
      </c>
    </row>
    <row r="13701" spans="1:15" x14ac:dyDescent="0.25">
      <c r="A13701" t="s">
        <v>16</v>
      </c>
      <c r="B13701" t="s">
        <v>3221</v>
      </c>
      <c r="C13701">
        <v>4683</v>
      </c>
      <c r="D13701" t="s">
        <v>179</v>
      </c>
      <c r="E13701" t="s">
        <v>180</v>
      </c>
      <c r="F13701">
        <v>57.59</v>
      </c>
      <c r="G13701">
        <v>230331</v>
      </c>
      <c r="H13701">
        <v>4560</v>
      </c>
      <c r="I13701" t="s">
        <v>345</v>
      </c>
      <c r="J13701">
        <v>71.41</v>
      </c>
      <c r="K13701">
        <v>13.82</v>
      </c>
      <c r="L13701">
        <v>67522</v>
      </c>
      <c r="M13701" t="s">
        <v>397</v>
      </c>
      <c r="N13701" t="str">
        <f>"34541668    "</f>
        <v xml:space="preserve">34541668    </v>
      </c>
      <c r="O13701">
        <v>230411</v>
      </c>
    </row>
    <row r="13702" spans="1:15" x14ac:dyDescent="0.25">
      <c r="A13702" t="s">
        <v>16</v>
      </c>
      <c r="B13702" t="s">
        <v>3221</v>
      </c>
      <c r="C13702">
        <v>4683</v>
      </c>
      <c r="D13702" t="s">
        <v>179</v>
      </c>
      <c r="E13702" t="s">
        <v>180</v>
      </c>
      <c r="F13702">
        <v>223.14</v>
      </c>
      <c r="G13702">
        <v>230331</v>
      </c>
      <c r="H13702">
        <v>4560</v>
      </c>
      <c r="I13702" t="s">
        <v>345</v>
      </c>
      <c r="J13702">
        <v>276.69</v>
      </c>
      <c r="K13702">
        <v>53.55</v>
      </c>
      <c r="L13702">
        <v>67554</v>
      </c>
      <c r="M13702" t="s">
        <v>60</v>
      </c>
      <c r="N13702" t="str">
        <f>"34541668    "</f>
        <v xml:space="preserve">34541668    </v>
      </c>
      <c r="O13702">
        <v>230411</v>
      </c>
    </row>
    <row r="13703" spans="1:15" x14ac:dyDescent="0.25">
      <c r="A13703" t="s">
        <v>16</v>
      </c>
      <c r="B13703" t="s">
        <v>3221</v>
      </c>
      <c r="C13703">
        <v>4683</v>
      </c>
      <c r="D13703" t="s">
        <v>179</v>
      </c>
      <c r="E13703" t="s">
        <v>180</v>
      </c>
      <c r="F13703">
        <v>84.25</v>
      </c>
      <c r="G13703">
        <v>230331</v>
      </c>
      <c r="H13703">
        <v>4560</v>
      </c>
      <c r="I13703" t="s">
        <v>345</v>
      </c>
      <c r="J13703">
        <v>104.47</v>
      </c>
      <c r="K13703">
        <v>20.22</v>
      </c>
      <c r="L13703">
        <v>69501</v>
      </c>
      <c r="M13703" t="s">
        <v>185</v>
      </c>
      <c r="N13703" t="str">
        <f>"34541668    "</f>
        <v xml:space="preserve">34541668    </v>
      </c>
      <c r="O13703">
        <v>230411</v>
      </c>
    </row>
    <row r="13704" spans="1:15" x14ac:dyDescent="0.25">
      <c r="A13704" t="s">
        <v>16</v>
      </c>
      <c r="B13704" t="s">
        <v>3221</v>
      </c>
      <c r="C13704">
        <v>4796</v>
      </c>
      <c r="D13704" t="s">
        <v>179</v>
      </c>
      <c r="E13704" t="s">
        <v>180</v>
      </c>
      <c r="F13704">
        <v>447.97</v>
      </c>
      <c r="G13704">
        <v>230331</v>
      </c>
      <c r="H13704">
        <v>4560</v>
      </c>
      <c r="I13704" t="s">
        <v>345</v>
      </c>
      <c r="J13704">
        <v>447.97</v>
      </c>
      <c r="K13704">
        <v>0</v>
      </c>
      <c r="L13704">
        <v>11001</v>
      </c>
      <c r="M13704" t="s">
        <v>326</v>
      </c>
      <c r="N13704" t="str">
        <f>"34507575    "</f>
        <v xml:space="preserve">34507575    </v>
      </c>
      <c r="O13704">
        <v>230412</v>
      </c>
    </row>
    <row r="13705" spans="1:15" x14ac:dyDescent="0.25">
      <c r="A13705" t="s">
        <v>16</v>
      </c>
      <c r="B13705" t="s">
        <v>3221</v>
      </c>
      <c r="C13705">
        <v>4796</v>
      </c>
      <c r="D13705" t="s">
        <v>179</v>
      </c>
      <c r="E13705" t="s">
        <v>180</v>
      </c>
      <c r="F13705">
        <v>475.11</v>
      </c>
      <c r="G13705">
        <v>230331</v>
      </c>
      <c r="H13705">
        <v>4560</v>
      </c>
      <c r="I13705" t="s">
        <v>345</v>
      </c>
      <c r="J13705">
        <v>589.14</v>
      </c>
      <c r="K13705">
        <v>114.03</v>
      </c>
      <c r="L13705">
        <v>59504</v>
      </c>
      <c r="M13705" t="s">
        <v>71</v>
      </c>
      <c r="N13705" t="str">
        <f>"34507575    "</f>
        <v xml:space="preserve">34507575    </v>
      </c>
      <c r="O13705">
        <v>230412</v>
      </c>
    </row>
    <row r="13706" spans="1:15" x14ac:dyDescent="0.25">
      <c r="A13706" t="s">
        <v>16</v>
      </c>
      <c r="B13706" t="s">
        <v>3221</v>
      </c>
      <c r="C13706">
        <v>5902</v>
      </c>
      <c r="D13706" t="s">
        <v>179</v>
      </c>
      <c r="E13706" t="s">
        <v>180</v>
      </c>
      <c r="F13706">
        <v>111.23</v>
      </c>
      <c r="G13706">
        <v>230430</v>
      </c>
      <c r="H13706">
        <v>4560</v>
      </c>
      <c r="I13706" t="s">
        <v>345</v>
      </c>
      <c r="J13706">
        <v>137.91999999999999</v>
      </c>
      <c r="K13706">
        <v>26.69</v>
      </c>
      <c r="L13706">
        <v>66756</v>
      </c>
      <c r="M13706" t="s">
        <v>209</v>
      </c>
      <c r="N13706" t="str">
        <f>"34608952    "</f>
        <v xml:space="preserve">34608952    </v>
      </c>
      <c r="O13706">
        <v>230503</v>
      </c>
    </row>
    <row r="13707" spans="1:15" x14ac:dyDescent="0.25">
      <c r="A13707" t="s">
        <v>16</v>
      </c>
      <c r="B13707" t="s">
        <v>3221</v>
      </c>
      <c r="C13707">
        <v>5902</v>
      </c>
      <c r="D13707" t="s">
        <v>179</v>
      </c>
      <c r="E13707" t="s">
        <v>180</v>
      </c>
      <c r="F13707">
        <v>101.54</v>
      </c>
      <c r="G13707">
        <v>230430</v>
      </c>
      <c r="H13707">
        <v>4560</v>
      </c>
      <c r="I13707" t="s">
        <v>345</v>
      </c>
      <c r="J13707">
        <v>125.91</v>
      </c>
      <c r="K13707">
        <v>24.37</v>
      </c>
      <c r="L13707">
        <v>67522</v>
      </c>
      <c r="M13707" t="s">
        <v>397</v>
      </c>
      <c r="N13707" t="str">
        <f>"34608952    "</f>
        <v xml:space="preserve">34608952    </v>
      </c>
      <c r="O13707">
        <v>230503</v>
      </c>
    </row>
    <row r="13708" spans="1:15" x14ac:dyDescent="0.25">
      <c r="A13708" t="s">
        <v>16</v>
      </c>
      <c r="B13708" t="s">
        <v>3221</v>
      </c>
      <c r="C13708">
        <v>5902</v>
      </c>
      <c r="D13708" t="s">
        <v>179</v>
      </c>
      <c r="E13708" t="s">
        <v>180</v>
      </c>
      <c r="F13708">
        <v>38.549999999999997</v>
      </c>
      <c r="G13708">
        <v>230430</v>
      </c>
      <c r="H13708">
        <v>4560</v>
      </c>
      <c r="I13708" t="s">
        <v>345</v>
      </c>
      <c r="J13708">
        <v>47.8</v>
      </c>
      <c r="K13708">
        <v>9.25</v>
      </c>
      <c r="L13708">
        <v>69111</v>
      </c>
      <c r="M13708" t="s">
        <v>471</v>
      </c>
      <c r="N13708" t="str">
        <f>"34608952    "</f>
        <v xml:space="preserve">34608952    </v>
      </c>
      <c r="O13708">
        <v>230503</v>
      </c>
    </row>
    <row r="13709" spans="1:15" x14ac:dyDescent="0.25">
      <c r="A13709" t="s">
        <v>16</v>
      </c>
      <c r="B13709" t="s">
        <v>3221</v>
      </c>
      <c r="C13709">
        <v>5902</v>
      </c>
      <c r="D13709" t="s">
        <v>179</v>
      </c>
      <c r="E13709" t="s">
        <v>180</v>
      </c>
      <c r="F13709">
        <v>50.61</v>
      </c>
      <c r="G13709">
        <v>230430</v>
      </c>
      <c r="H13709">
        <v>4560</v>
      </c>
      <c r="I13709" t="s">
        <v>345</v>
      </c>
      <c r="J13709">
        <v>62.76</v>
      </c>
      <c r="K13709">
        <v>12.15</v>
      </c>
      <c r="L13709">
        <v>69501</v>
      </c>
      <c r="M13709" t="s">
        <v>185</v>
      </c>
      <c r="N13709" t="str">
        <f>"34608952    "</f>
        <v xml:space="preserve">34608952    </v>
      </c>
      <c r="O13709">
        <v>230503</v>
      </c>
    </row>
    <row r="13710" spans="1:15" x14ac:dyDescent="0.25">
      <c r="A13710" t="s">
        <v>16</v>
      </c>
      <c r="B13710" t="s">
        <v>3221</v>
      </c>
      <c r="C13710">
        <v>6592</v>
      </c>
      <c r="D13710" t="s">
        <v>179</v>
      </c>
      <c r="E13710" t="s">
        <v>180</v>
      </c>
      <c r="F13710">
        <v>298.79000000000002</v>
      </c>
      <c r="G13710">
        <v>230430</v>
      </c>
      <c r="H13710">
        <v>4560</v>
      </c>
      <c r="I13710" t="s">
        <v>345</v>
      </c>
      <c r="J13710">
        <v>298.79000000000002</v>
      </c>
      <c r="K13710">
        <v>0</v>
      </c>
      <c r="L13710">
        <v>11001</v>
      </c>
      <c r="M13710" t="s">
        <v>326</v>
      </c>
      <c r="N13710" t="str">
        <f>"34574726    "</f>
        <v xml:space="preserve">34574726    </v>
      </c>
      <c r="O13710">
        <v>230516</v>
      </c>
    </row>
    <row r="13711" spans="1:15" x14ac:dyDescent="0.25">
      <c r="A13711" t="s">
        <v>16</v>
      </c>
      <c r="B13711" t="s">
        <v>3221</v>
      </c>
      <c r="C13711">
        <v>6592</v>
      </c>
      <c r="D13711" t="s">
        <v>179</v>
      </c>
      <c r="E13711" t="s">
        <v>180</v>
      </c>
      <c r="F13711">
        <v>403.26</v>
      </c>
      <c r="G13711">
        <v>230430</v>
      </c>
      <c r="H13711">
        <v>4560</v>
      </c>
      <c r="I13711" t="s">
        <v>345</v>
      </c>
      <c r="J13711">
        <v>403.26</v>
      </c>
      <c r="K13711">
        <v>0</v>
      </c>
      <c r="L13711">
        <v>18972</v>
      </c>
      <c r="M13711" t="s">
        <v>163</v>
      </c>
      <c r="N13711" t="str">
        <f>"34574726    "</f>
        <v xml:space="preserve">34574726    </v>
      </c>
      <c r="O13711">
        <v>230516</v>
      </c>
    </row>
    <row r="13712" spans="1:15" x14ac:dyDescent="0.25">
      <c r="A13712" t="s">
        <v>16</v>
      </c>
      <c r="B13712" t="s">
        <v>3221</v>
      </c>
      <c r="C13712">
        <v>6592</v>
      </c>
      <c r="D13712" t="s">
        <v>179</v>
      </c>
      <c r="E13712" t="s">
        <v>180</v>
      </c>
      <c r="F13712">
        <v>49.59</v>
      </c>
      <c r="G13712">
        <v>230430</v>
      </c>
      <c r="H13712">
        <v>4560</v>
      </c>
      <c r="I13712" t="s">
        <v>345</v>
      </c>
      <c r="J13712">
        <v>61.49</v>
      </c>
      <c r="K13712">
        <v>11.9</v>
      </c>
      <c r="L13712">
        <v>59504</v>
      </c>
      <c r="M13712" t="s">
        <v>71</v>
      </c>
      <c r="N13712" t="str">
        <f>"34574726    "</f>
        <v xml:space="preserve">34574726    </v>
      </c>
      <c r="O13712">
        <v>230516</v>
      </c>
    </row>
    <row r="13713" spans="1:15" x14ac:dyDescent="0.25">
      <c r="A13713" t="s">
        <v>16</v>
      </c>
      <c r="B13713" t="s">
        <v>3221</v>
      </c>
      <c r="C13713">
        <v>7149</v>
      </c>
      <c r="D13713" t="s">
        <v>179</v>
      </c>
      <c r="E13713" t="s">
        <v>180</v>
      </c>
      <c r="F13713">
        <v>2496.23</v>
      </c>
      <c r="G13713">
        <v>230524</v>
      </c>
      <c r="H13713">
        <v>4560</v>
      </c>
      <c r="I13713" t="s">
        <v>345</v>
      </c>
      <c r="J13713">
        <v>3095.33</v>
      </c>
      <c r="K13713">
        <v>599.1</v>
      </c>
      <c r="L13713">
        <v>17950</v>
      </c>
      <c r="M13713" t="s">
        <v>86</v>
      </c>
      <c r="N13713" t="str">
        <f>"05798054    "</f>
        <v xml:space="preserve">05798054    </v>
      </c>
      <c r="O13713">
        <v>230525</v>
      </c>
    </row>
    <row r="13714" spans="1:15" x14ac:dyDescent="0.25">
      <c r="A13714" t="s">
        <v>16</v>
      </c>
      <c r="B13714" t="s">
        <v>3221</v>
      </c>
      <c r="C13714">
        <v>8158</v>
      </c>
      <c r="D13714" t="s">
        <v>179</v>
      </c>
      <c r="E13714" t="s">
        <v>180</v>
      </c>
      <c r="F13714">
        <v>82.03</v>
      </c>
      <c r="G13714">
        <v>230531</v>
      </c>
      <c r="H13714">
        <v>4560</v>
      </c>
      <c r="I13714" t="s">
        <v>345</v>
      </c>
      <c r="J13714">
        <v>101.72</v>
      </c>
      <c r="K13714">
        <v>19.690000000000001</v>
      </c>
      <c r="L13714">
        <v>67522</v>
      </c>
      <c r="M13714" t="s">
        <v>397</v>
      </c>
      <c r="N13714" t="str">
        <f>"34677793    "</f>
        <v xml:space="preserve">34677793    </v>
      </c>
      <c r="O13714">
        <v>230607</v>
      </c>
    </row>
    <row r="13715" spans="1:15" x14ac:dyDescent="0.25">
      <c r="A13715" t="s">
        <v>16</v>
      </c>
      <c r="B13715" t="s">
        <v>3221</v>
      </c>
      <c r="C13715">
        <v>8158</v>
      </c>
      <c r="D13715" t="s">
        <v>179</v>
      </c>
      <c r="E13715" t="s">
        <v>180</v>
      </c>
      <c r="F13715">
        <v>167.95</v>
      </c>
      <c r="G13715">
        <v>230531</v>
      </c>
      <c r="H13715">
        <v>4560</v>
      </c>
      <c r="I13715" t="s">
        <v>345</v>
      </c>
      <c r="J13715">
        <v>208.26</v>
      </c>
      <c r="K13715">
        <v>40.31</v>
      </c>
      <c r="L13715">
        <v>67554</v>
      </c>
      <c r="M13715" t="s">
        <v>60</v>
      </c>
      <c r="N13715" t="str">
        <f>"34677793    "</f>
        <v xml:space="preserve">34677793    </v>
      </c>
      <c r="O13715">
        <v>230607</v>
      </c>
    </row>
    <row r="13716" spans="1:15" x14ac:dyDescent="0.25">
      <c r="A13716" t="s">
        <v>16</v>
      </c>
      <c r="B13716" t="s">
        <v>3221</v>
      </c>
      <c r="C13716">
        <v>8158</v>
      </c>
      <c r="D13716" t="s">
        <v>179</v>
      </c>
      <c r="E13716" t="s">
        <v>180</v>
      </c>
      <c r="F13716">
        <v>58.53</v>
      </c>
      <c r="G13716">
        <v>230531</v>
      </c>
      <c r="H13716">
        <v>4560</v>
      </c>
      <c r="I13716" t="s">
        <v>345</v>
      </c>
      <c r="J13716">
        <v>72.58</v>
      </c>
      <c r="K13716">
        <v>14.05</v>
      </c>
      <c r="L13716">
        <v>69111</v>
      </c>
      <c r="M13716" t="s">
        <v>471</v>
      </c>
      <c r="N13716" t="str">
        <f>"34677793    "</f>
        <v xml:space="preserve">34677793    </v>
      </c>
      <c r="O13716">
        <v>230607</v>
      </c>
    </row>
    <row r="13717" spans="1:15" x14ac:dyDescent="0.25">
      <c r="A13717" t="s">
        <v>16</v>
      </c>
      <c r="B13717" t="s">
        <v>3221</v>
      </c>
      <c r="C13717">
        <v>8158</v>
      </c>
      <c r="D13717" t="s">
        <v>179</v>
      </c>
      <c r="E13717" t="s">
        <v>180</v>
      </c>
      <c r="F13717">
        <v>79.680000000000007</v>
      </c>
      <c r="G13717">
        <v>230531</v>
      </c>
      <c r="H13717">
        <v>4560</v>
      </c>
      <c r="I13717" t="s">
        <v>345</v>
      </c>
      <c r="J13717">
        <v>98.8</v>
      </c>
      <c r="K13717">
        <v>19.12</v>
      </c>
      <c r="L13717">
        <v>69501</v>
      </c>
      <c r="M13717" t="s">
        <v>185</v>
      </c>
      <c r="N13717" t="str">
        <f>"34677793    "</f>
        <v xml:space="preserve">34677793    </v>
      </c>
      <c r="O13717">
        <v>230607</v>
      </c>
    </row>
    <row r="13718" spans="1:15" x14ac:dyDescent="0.25">
      <c r="A13718" t="s">
        <v>16</v>
      </c>
      <c r="B13718" t="s">
        <v>3221</v>
      </c>
      <c r="C13718">
        <v>8535</v>
      </c>
      <c r="D13718" t="s">
        <v>179</v>
      </c>
      <c r="E13718" t="s">
        <v>180</v>
      </c>
      <c r="F13718">
        <v>253.33</v>
      </c>
      <c r="G13718">
        <v>230531</v>
      </c>
      <c r="H13718">
        <v>4560</v>
      </c>
      <c r="I13718" t="s">
        <v>345</v>
      </c>
      <c r="J13718">
        <v>253.33</v>
      </c>
      <c r="K13718">
        <v>0</v>
      </c>
      <c r="L13718">
        <v>11001</v>
      </c>
      <c r="M13718" t="s">
        <v>326</v>
      </c>
      <c r="N13718" t="str">
        <f>"34642870    "</f>
        <v xml:space="preserve">34642870    </v>
      </c>
      <c r="O13718">
        <v>230612</v>
      </c>
    </row>
    <row r="13719" spans="1:15" x14ac:dyDescent="0.25">
      <c r="A13719" t="s">
        <v>16</v>
      </c>
      <c r="B13719" t="s">
        <v>3221</v>
      </c>
      <c r="C13719">
        <v>8535</v>
      </c>
      <c r="D13719" t="s">
        <v>179</v>
      </c>
      <c r="E13719" t="s">
        <v>180</v>
      </c>
      <c r="F13719">
        <v>417.35</v>
      </c>
      <c r="G13719">
        <v>230531</v>
      </c>
      <c r="H13719">
        <v>4560</v>
      </c>
      <c r="I13719" t="s">
        <v>345</v>
      </c>
      <c r="J13719">
        <v>417.35</v>
      </c>
      <c r="K13719">
        <v>0</v>
      </c>
      <c r="L13719">
        <v>18972</v>
      </c>
      <c r="M13719" t="s">
        <v>163</v>
      </c>
      <c r="N13719" t="str">
        <f>"34642870    "</f>
        <v xml:space="preserve">34642870    </v>
      </c>
      <c r="O13719">
        <v>230612</v>
      </c>
    </row>
    <row r="13720" spans="1:15" x14ac:dyDescent="0.25">
      <c r="A13720" t="s">
        <v>16</v>
      </c>
      <c r="B13720" t="s">
        <v>3221</v>
      </c>
      <c r="C13720">
        <v>8535</v>
      </c>
      <c r="D13720" t="s">
        <v>179</v>
      </c>
      <c r="E13720" t="s">
        <v>180</v>
      </c>
      <c r="F13720">
        <v>59.65</v>
      </c>
      <c r="G13720">
        <v>230531</v>
      </c>
      <c r="H13720">
        <v>4560</v>
      </c>
      <c r="I13720" t="s">
        <v>345</v>
      </c>
      <c r="J13720">
        <v>73.959999999999994</v>
      </c>
      <c r="K13720">
        <v>14.31</v>
      </c>
      <c r="L13720">
        <v>59504</v>
      </c>
      <c r="M13720" t="s">
        <v>71</v>
      </c>
      <c r="N13720" t="str">
        <f>"34642870    "</f>
        <v xml:space="preserve">34642870    </v>
      </c>
      <c r="O13720">
        <v>230612</v>
      </c>
    </row>
    <row r="13721" spans="1:15" x14ac:dyDescent="0.25">
      <c r="A13721" t="s">
        <v>16</v>
      </c>
      <c r="B13721" t="s">
        <v>3221</v>
      </c>
      <c r="C13721">
        <v>9343</v>
      </c>
      <c r="D13721" t="s">
        <v>179</v>
      </c>
      <c r="E13721" t="s">
        <v>180</v>
      </c>
      <c r="F13721">
        <v>118.36</v>
      </c>
      <c r="G13721">
        <v>230630</v>
      </c>
      <c r="H13721">
        <v>4560</v>
      </c>
      <c r="I13721" t="s">
        <v>345</v>
      </c>
      <c r="J13721">
        <v>146.77000000000001</v>
      </c>
      <c r="K13721">
        <v>28.41</v>
      </c>
      <c r="L13721">
        <v>66754</v>
      </c>
      <c r="M13721" t="s">
        <v>239</v>
      </c>
      <c r="N13721" t="str">
        <f>"34746549    "</f>
        <v xml:space="preserve">34746549    </v>
      </c>
      <c r="O13721">
        <v>230706</v>
      </c>
    </row>
    <row r="13722" spans="1:15" x14ac:dyDescent="0.25">
      <c r="A13722" t="s">
        <v>16</v>
      </c>
      <c r="B13722" t="s">
        <v>3221</v>
      </c>
      <c r="C13722">
        <v>9343</v>
      </c>
      <c r="D13722" t="s">
        <v>179</v>
      </c>
      <c r="E13722" t="s">
        <v>180</v>
      </c>
      <c r="F13722">
        <v>118.36</v>
      </c>
      <c r="G13722">
        <v>230630</v>
      </c>
      <c r="H13722">
        <v>4560</v>
      </c>
      <c r="I13722" t="s">
        <v>345</v>
      </c>
      <c r="J13722">
        <v>146.77000000000001</v>
      </c>
      <c r="K13722">
        <v>28.41</v>
      </c>
      <c r="L13722">
        <v>67554</v>
      </c>
      <c r="M13722" t="s">
        <v>60</v>
      </c>
      <c r="N13722" t="str">
        <f>"34746549    "</f>
        <v xml:space="preserve">34746549    </v>
      </c>
      <c r="O13722">
        <v>230706</v>
      </c>
    </row>
    <row r="13723" spans="1:15" x14ac:dyDescent="0.25">
      <c r="A13723" t="s">
        <v>16</v>
      </c>
      <c r="B13723" t="s">
        <v>3221</v>
      </c>
      <c r="C13723">
        <v>9380</v>
      </c>
      <c r="D13723" t="s">
        <v>179</v>
      </c>
      <c r="E13723" t="s">
        <v>180</v>
      </c>
      <c r="F13723">
        <v>221.49</v>
      </c>
      <c r="G13723">
        <v>230630</v>
      </c>
      <c r="H13723">
        <v>4560</v>
      </c>
      <c r="I13723" t="s">
        <v>345</v>
      </c>
      <c r="J13723">
        <v>221.49</v>
      </c>
      <c r="K13723">
        <v>0</v>
      </c>
      <c r="L13723">
        <v>11001</v>
      </c>
      <c r="M13723" t="s">
        <v>326</v>
      </c>
      <c r="N13723" t="str">
        <f>"34711875    "</f>
        <v xml:space="preserve">34711875    </v>
      </c>
      <c r="O13723">
        <v>230710</v>
      </c>
    </row>
    <row r="13724" spans="1:15" x14ac:dyDescent="0.25">
      <c r="A13724" t="s">
        <v>16</v>
      </c>
      <c r="B13724" t="s">
        <v>3221</v>
      </c>
      <c r="C13724">
        <v>9380</v>
      </c>
      <c r="D13724" t="s">
        <v>179</v>
      </c>
      <c r="E13724" t="s">
        <v>180</v>
      </c>
      <c r="F13724">
        <v>387.86</v>
      </c>
      <c r="G13724">
        <v>230630</v>
      </c>
      <c r="H13724">
        <v>4560</v>
      </c>
      <c r="I13724" t="s">
        <v>345</v>
      </c>
      <c r="J13724">
        <v>387.86</v>
      </c>
      <c r="K13724">
        <v>0</v>
      </c>
      <c r="L13724">
        <v>18972</v>
      </c>
      <c r="M13724" t="s">
        <v>163</v>
      </c>
      <c r="N13724" t="str">
        <f>"34711875    "</f>
        <v xml:space="preserve">34711875    </v>
      </c>
      <c r="O13724">
        <v>230710</v>
      </c>
    </row>
    <row r="13725" spans="1:15" x14ac:dyDescent="0.25">
      <c r="A13725" t="s">
        <v>16</v>
      </c>
      <c r="B13725" t="s">
        <v>3221</v>
      </c>
      <c r="C13725">
        <v>9380</v>
      </c>
      <c r="D13725" t="s">
        <v>179</v>
      </c>
      <c r="E13725" t="s">
        <v>180</v>
      </c>
      <c r="F13725">
        <v>50.06</v>
      </c>
      <c r="G13725">
        <v>230630</v>
      </c>
      <c r="H13725">
        <v>4560</v>
      </c>
      <c r="I13725" t="s">
        <v>345</v>
      </c>
      <c r="J13725">
        <v>62.08</v>
      </c>
      <c r="K13725">
        <v>12.02</v>
      </c>
      <c r="L13725">
        <v>59504</v>
      </c>
      <c r="M13725" t="s">
        <v>71</v>
      </c>
      <c r="N13725" t="str">
        <f>"34711875    "</f>
        <v xml:space="preserve">34711875    </v>
      </c>
      <c r="O13725">
        <v>230710</v>
      </c>
    </row>
    <row r="13726" spans="1:15" x14ac:dyDescent="0.25">
      <c r="A13726" t="s">
        <v>16</v>
      </c>
      <c r="B13726" t="s">
        <v>3221</v>
      </c>
      <c r="C13726">
        <v>9961</v>
      </c>
      <c r="D13726" t="s">
        <v>179</v>
      </c>
      <c r="E13726" t="s">
        <v>180</v>
      </c>
      <c r="F13726">
        <v>38.24</v>
      </c>
      <c r="G13726">
        <v>230731</v>
      </c>
      <c r="H13726">
        <v>4560</v>
      </c>
      <c r="I13726" t="s">
        <v>345</v>
      </c>
      <c r="J13726">
        <v>47.42</v>
      </c>
      <c r="K13726">
        <v>9.18</v>
      </c>
      <c r="L13726">
        <v>67554</v>
      </c>
      <c r="M13726" t="s">
        <v>60</v>
      </c>
      <c r="N13726" t="str">
        <f>"34813978    "</f>
        <v xml:space="preserve">34813978    </v>
      </c>
      <c r="O13726">
        <v>230803</v>
      </c>
    </row>
    <row r="13727" spans="1:15" x14ac:dyDescent="0.25">
      <c r="A13727" t="s">
        <v>16</v>
      </c>
      <c r="B13727" t="s">
        <v>3221</v>
      </c>
      <c r="C13727">
        <v>9961</v>
      </c>
      <c r="D13727" t="s">
        <v>179</v>
      </c>
      <c r="E13727" t="s">
        <v>180</v>
      </c>
      <c r="F13727">
        <v>69.44</v>
      </c>
      <c r="G13727">
        <v>230731</v>
      </c>
      <c r="H13727">
        <v>4560</v>
      </c>
      <c r="I13727" t="s">
        <v>345</v>
      </c>
      <c r="J13727">
        <v>86.11</v>
      </c>
      <c r="K13727">
        <v>16.670000000000002</v>
      </c>
      <c r="L13727">
        <v>69501</v>
      </c>
      <c r="M13727" t="s">
        <v>185</v>
      </c>
      <c r="N13727" t="str">
        <f>"34813978    "</f>
        <v xml:space="preserve">34813978    </v>
      </c>
      <c r="O13727">
        <v>230803</v>
      </c>
    </row>
    <row r="13728" spans="1:15" x14ac:dyDescent="0.25">
      <c r="A13728" t="s">
        <v>16</v>
      </c>
      <c r="B13728" t="s">
        <v>3221</v>
      </c>
      <c r="C13728">
        <v>10016</v>
      </c>
      <c r="D13728" t="s">
        <v>179</v>
      </c>
      <c r="E13728" t="s">
        <v>180</v>
      </c>
      <c r="F13728">
        <v>64.81</v>
      </c>
      <c r="G13728">
        <v>230731</v>
      </c>
      <c r="H13728">
        <v>4560</v>
      </c>
      <c r="I13728" t="s">
        <v>345</v>
      </c>
      <c r="J13728">
        <v>80.36</v>
      </c>
      <c r="K13728">
        <v>15.55</v>
      </c>
      <c r="L13728">
        <v>49501</v>
      </c>
      <c r="M13728" t="s">
        <v>177</v>
      </c>
      <c r="N13728" t="str">
        <f>"34814747    "</f>
        <v xml:space="preserve">34814747    </v>
      </c>
      <c r="O13728">
        <v>230807</v>
      </c>
    </row>
    <row r="13729" spans="1:15" x14ac:dyDescent="0.25">
      <c r="A13729" t="s">
        <v>16</v>
      </c>
      <c r="B13729" t="s">
        <v>3221</v>
      </c>
      <c r="C13729">
        <v>10256</v>
      </c>
      <c r="D13729" t="s">
        <v>179</v>
      </c>
      <c r="E13729" t="s">
        <v>180</v>
      </c>
      <c r="F13729">
        <v>325.12</v>
      </c>
      <c r="G13729">
        <v>230731</v>
      </c>
      <c r="H13729">
        <v>4560</v>
      </c>
      <c r="I13729" t="s">
        <v>345</v>
      </c>
      <c r="J13729">
        <v>325.12</v>
      </c>
      <c r="K13729">
        <v>0</v>
      </c>
      <c r="L13729">
        <v>11001</v>
      </c>
      <c r="M13729" t="s">
        <v>326</v>
      </c>
      <c r="N13729" t="str">
        <f>"34779665    "</f>
        <v xml:space="preserve">34779665    </v>
      </c>
      <c r="O13729">
        <v>230814</v>
      </c>
    </row>
    <row r="13730" spans="1:15" x14ac:dyDescent="0.25">
      <c r="A13730" t="s">
        <v>16</v>
      </c>
      <c r="B13730" t="s">
        <v>3221</v>
      </c>
      <c r="C13730">
        <v>10256</v>
      </c>
      <c r="D13730" t="s">
        <v>179</v>
      </c>
      <c r="E13730" t="s">
        <v>180</v>
      </c>
      <c r="F13730">
        <v>363.78</v>
      </c>
      <c r="G13730">
        <v>230731</v>
      </c>
      <c r="H13730">
        <v>4560</v>
      </c>
      <c r="I13730" t="s">
        <v>345</v>
      </c>
      <c r="J13730">
        <v>363.78</v>
      </c>
      <c r="K13730">
        <v>0</v>
      </c>
      <c r="L13730">
        <v>18972</v>
      </c>
      <c r="M13730" t="s">
        <v>163</v>
      </c>
      <c r="N13730" t="str">
        <f>"34779665    "</f>
        <v xml:space="preserve">34779665    </v>
      </c>
      <c r="O13730">
        <v>230814</v>
      </c>
    </row>
    <row r="13731" spans="1:15" x14ac:dyDescent="0.25">
      <c r="A13731" t="s">
        <v>16</v>
      </c>
      <c r="B13731" t="s">
        <v>3221</v>
      </c>
      <c r="C13731">
        <v>10256</v>
      </c>
      <c r="D13731" t="s">
        <v>179</v>
      </c>
      <c r="E13731" t="s">
        <v>180</v>
      </c>
      <c r="F13731">
        <v>51.15</v>
      </c>
      <c r="G13731">
        <v>230731</v>
      </c>
      <c r="H13731">
        <v>4560</v>
      </c>
      <c r="I13731" t="s">
        <v>345</v>
      </c>
      <c r="J13731">
        <v>63.42</v>
      </c>
      <c r="K13731">
        <v>12.27</v>
      </c>
      <c r="L13731">
        <v>59504</v>
      </c>
      <c r="M13731" t="s">
        <v>71</v>
      </c>
      <c r="N13731" t="str">
        <f>"34779665    "</f>
        <v xml:space="preserve">34779665    </v>
      </c>
      <c r="O13731">
        <v>230814</v>
      </c>
    </row>
    <row r="13732" spans="1:15" x14ac:dyDescent="0.25">
      <c r="A13732" t="s">
        <v>16</v>
      </c>
      <c r="B13732" t="s">
        <v>3221</v>
      </c>
      <c r="C13732">
        <v>11611</v>
      </c>
      <c r="D13732" t="s">
        <v>179</v>
      </c>
      <c r="E13732" t="s">
        <v>180</v>
      </c>
      <c r="F13732">
        <v>129.81</v>
      </c>
      <c r="G13732">
        <v>230831</v>
      </c>
      <c r="H13732">
        <v>4560</v>
      </c>
      <c r="I13732" t="s">
        <v>345</v>
      </c>
      <c r="J13732">
        <v>160.97</v>
      </c>
      <c r="K13732">
        <v>31.16</v>
      </c>
      <c r="L13732">
        <v>67554</v>
      </c>
      <c r="M13732" t="s">
        <v>60</v>
      </c>
      <c r="N13732" t="str">
        <f>"34881961    "</f>
        <v xml:space="preserve">34881961    </v>
      </c>
      <c r="O13732">
        <v>230907</v>
      </c>
    </row>
    <row r="13733" spans="1:15" x14ac:dyDescent="0.25">
      <c r="A13733" t="s">
        <v>16</v>
      </c>
      <c r="B13733" t="s">
        <v>3221</v>
      </c>
      <c r="C13733">
        <v>11611</v>
      </c>
      <c r="D13733" t="s">
        <v>179</v>
      </c>
      <c r="E13733" t="s">
        <v>180</v>
      </c>
      <c r="F13733">
        <v>165.66</v>
      </c>
      <c r="G13733">
        <v>230831</v>
      </c>
      <c r="H13733">
        <v>4560</v>
      </c>
      <c r="I13733" t="s">
        <v>345</v>
      </c>
      <c r="J13733">
        <v>205.42</v>
      </c>
      <c r="K13733">
        <v>39.76</v>
      </c>
      <c r="L13733">
        <v>69501</v>
      </c>
      <c r="M13733" t="s">
        <v>185</v>
      </c>
      <c r="N13733" t="str">
        <f>"34881961    "</f>
        <v xml:space="preserve">34881961    </v>
      </c>
      <c r="O13733">
        <v>230907</v>
      </c>
    </row>
    <row r="13734" spans="1:15" x14ac:dyDescent="0.25">
      <c r="A13734" t="s">
        <v>16</v>
      </c>
      <c r="B13734" t="s">
        <v>3221</v>
      </c>
      <c r="C13734">
        <v>11611</v>
      </c>
      <c r="D13734" t="s">
        <v>179</v>
      </c>
      <c r="E13734" t="s">
        <v>180</v>
      </c>
      <c r="F13734">
        <v>48.6</v>
      </c>
      <c r="G13734">
        <v>230831</v>
      </c>
      <c r="H13734">
        <v>4560</v>
      </c>
      <c r="I13734" t="s">
        <v>345</v>
      </c>
      <c r="J13734">
        <v>60.26</v>
      </c>
      <c r="K13734">
        <v>11.66</v>
      </c>
      <c r="L13734">
        <v>69702</v>
      </c>
      <c r="M13734" t="s">
        <v>489</v>
      </c>
      <c r="N13734" t="str">
        <f>"34881961    "</f>
        <v xml:space="preserve">34881961    </v>
      </c>
      <c r="O13734">
        <v>230907</v>
      </c>
    </row>
    <row r="13735" spans="1:15" x14ac:dyDescent="0.25">
      <c r="A13735" t="s">
        <v>16</v>
      </c>
      <c r="B13735" t="s">
        <v>3221</v>
      </c>
      <c r="C13735">
        <v>11798</v>
      </c>
      <c r="D13735" t="s">
        <v>179</v>
      </c>
      <c r="E13735" t="s">
        <v>180</v>
      </c>
      <c r="F13735">
        <v>92.34</v>
      </c>
      <c r="G13735">
        <v>230831</v>
      </c>
      <c r="H13735">
        <v>4560</v>
      </c>
      <c r="I13735" t="s">
        <v>345</v>
      </c>
      <c r="J13735">
        <v>92.34</v>
      </c>
      <c r="K13735">
        <v>0</v>
      </c>
      <c r="L13735">
        <v>11001</v>
      </c>
      <c r="M13735" t="s">
        <v>326</v>
      </c>
      <c r="N13735" t="str">
        <f>"34847275    "</f>
        <v xml:space="preserve">34847275    </v>
      </c>
      <c r="O13735">
        <v>230911</v>
      </c>
    </row>
    <row r="13736" spans="1:15" x14ac:dyDescent="0.25">
      <c r="A13736" t="s">
        <v>16</v>
      </c>
      <c r="B13736" t="s">
        <v>3221</v>
      </c>
      <c r="C13736">
        <v>11798</v>
      </c>
      <c r="D13736" t="s">
        <v>179</v>
      </c>
      <c r="E13736" t="s">
        <v>180</v>
      </c>
      <c r="F13736">
        <v>394.25</v>
      </c>
      <c r="G13736">
        <v>230831</v>
      </c>
      <c r="H13736">
        <v>4560</v>
      </c>
      <c r="I13736" t="s">
        <v>345</v>
      </c>
      <c r="J13736">
        <v>394.25</v>
      </c>
      <c r="K13736">
        <v>0</v>
      </c>
      <c r="L13736">
        <v>18972</v>
      </c>
      <c r="M13736" t="s">
        <v>163</v>
      </c>
      <c r="N13736" t="str">
        <f>"34847275    "</f>
        <v xml:space="preserve">34847275    </v>
      </c>
      <c r="O13736">
        <v>230911</v>
      </c>
    </row>
    <row r="13737" spans="1:15" x14ac:dyDescent="0.25">
      <c r="A13737" t="s">
        <v>16</v>
      </c>
      <c r="B13737" t="s">
        <v>3221</v>
      </c>
      <c r="C13737">
        <v>11798</v>
      </c>
      <c r="D13737" t="s">
        <v>179</v>
      </c>
      <c r="E13737" t="s">
        <v>180</v>
      </c>
      <c r="F13737">
        <v>61.2</v>
      </c>
      <c r="G13737">
        <v>230831</v>
      </c>
      <c r="H13737">
        <v>4560</v>
      </c>
      <c r="I13737" t="s">
        <v>345</v>
      </c>
      <c r="J13737">
        <v>75.89</v>
      </c>
      <c r="K13737">
        <v>14.69</v>
      </c>
      <c r="L13737">
        <v>59504</v>
      </c>
      <c r="M13737" t="s">
        <v>71</v>
      </c>
      <c r="N13737" t="str">
        <f>"34847275    "</f>
        <v xml:space="preserve">34847275    </v>
      </c>
      <c r="O13737">
        <v>230911</v>
      </c>
    </row>
    <row r="13738" spans="1:15" x14ac:dyDescent="0.25">
      <c r="A13738" t="s">
        <v>16</v>
      </c>
      <c r="B13738" t="s">
        <v>3221</v>
      </c>
      <c r="C13738">
        <v>13569</v>
      </c>
      <c r="D13738" t="s">
        <v>179</v>
      </c>
      <c r="E13738" t="s">
        <v>180</v>
      </c>
      <c r="F13738">
        <v>454.42</v>
      </c>
      <c r="G13738">
        <v>230930</v>
      </c>
      <c r="H13738">
        <v>4560</v>
      </c>
      <c r="I13738" t="s">
        <v>345</v>
      </c>
      <c r="J13738">
        <v>454.42</v>
      </c>
      <c r="K13738">
        <v>0</v>
      </c>
      <c r="L13738">
        <v>11001</v>
      </c>
      <c r="M13738" t="s">
        <v>326</v>
      </c>
      <c r="N13738" t="str">
        <f>"34915621    "</f>
        <v xml:space="preserve">34915621    </v>
      </c>
      <c r="O13738">
        <v>231011</v>
      </c>
    </row>
    <row r="13739" spans="1:15" x14ac:dyDescent="0.25">
      <c r="A13739" t="s">
        <v>16</v>
      </c>
      <c r="B13739" t="s">
        <v>3221</v>
      </c>
      <c r="C13739">
        <v>13569</v>
      </c>
      <c r="D13739" t="s">
        <v>179</v>
      </c>
      <c r="E13739" t="s">
        <v>180</v>
      </c>
      <c r="F13739">
        <v>380.46</v>
      </c>
      <c r="G13739">
        <v>230930</v>
      </c>
      <c r="H13739">
        <v>4560</v>
      </c>
      <c r="I13739" t="s">
        <v>345</v>
      </c>
      <c r="J13739">
        <v>380.46</v>
      </c>
      <c r="K13739">
        <v>0</v>
      </c>
      <c r="L13739">
        <v>18972</v>
      </c>
      <c r="M13739" t="s">
        <v>163</v>
      </c>
      <c r="N13739" t="str">
        <f>"34915621    "</f>
        <v xml:space="preserve">34915621    </v>
      </c>
      <c r="O13739">
        <v>231011</v>
      </c>
    </row>
    <row r="13740" spans="1:15" x14ac:dyDescent="0.25">
      <c r="A13740" t="s">
        <v>16</v>
      </c>
      <c r="B13740" t="s">
        <v>3221</v>
      </c>
      <c r="C13740">
        <v>13569</v>
      </c>
      <c r="D13740" t="s">
        <v>179</v>
      </c>
      <c r="E13740" t="s">
        <v>180</v>
      </c>
      <c r="F13740">
        <v>105.91</v>
      </c>
      <c r="G13740">
        <v>230930</v>
      </c>
      <c r="H13740">
        <v>4560</v>
      </c>
      <c r="I13740" t="s">
        <v>345</v>
      </c>
      <c r="J13740">
        <v>131.33000000000001</v>
      </c>
      <c r="K13740">
        <v>25.42</v>
      </c>
      <c r="L13740">
        <v>59504</v>
      </c>
      <c r="M13740" t="s">
        <v>71</v>
      </c>
      <c r="N13740" t="str">
        <f>"34915621    "</f>
        <v xml:space="preserve">34915621    </v>
      </c>
      <c r="O13740">
        <v>231011</v>
      </c>
    </row>
    <row r="13741" spans="1:15" x14ac:dyDescent="0.25">
      <c r="A13741" t="s">
        <v>16</v>
      </c>
      <c r="B13741" t="s">
        <v>3221</v>
      </c>
      <c r="C13741">
        <v>15317</v>
      </c>
      <c r="D13741" t="s">
        <v>179</v>
      </c>
      <c r="E13741" t="s">
        <v>180</v>
      </c>
      <c r="F13741">
        <v>178.4</v>
      </c>
      <c r="G13741">
        <v>231031</v>
      </c>
      <c r="H13741">
        <v>4560</v>
      </c>
      <c r="I13741" t="s">
        <v>345</v>
      </c>
      <c r="J13741">
        <v>221.22</v>
      </c>
      <c r="K13741">
        <v>42.82</v>
      </c>
      <c r="L13741">
        <v>67522</v>
      </c>
      <c r="M13741" t="s">
        <v>397</v>
      </c>
      <c r="N13741" t="str">
        <f>"36018040    "</f>
        <v xml:space="preserve">36018040    </v>
      </c>
      <c r="O13741">
        <v>231113</v>
      </c>
    </row>
    <row r="13742" spans="1:15" x14ac:dyDescent="0.25">
      <c r="A13742" t="s">
        <v>16</v>
      </c>
      <c r="B13742" t="s">
        <v>3221</v>
      </c>
      <c r="C13742">
        <v>15317</v>
      </c>
      <c r="D13742" t="s">
        <v>179</v>
      </c>
      <c r="E13742" t="s">
        <v>180</v>
      </c>
      <c r="F13742">
        <v>134.28</v>
      </c>
      <c r="G13742">
        <v>231031</v>
      </c>
      <c r="H13742">
        <v>4560</v>
      </c>
      <c r="I13742" t="s">
        <v>345</v>
      </c>
      <c r="J13742">
        <v>166.51</v>
      </c>
      <c r="K13742">
        <v>32.229999999999997</v>
      </c>
      <c r="L13742">
        <v>67554</v>
      </c>
      <c r="M13742" t="s">
        <v>60</v>
      </c>
      <c r="N13742" t="str">
        <f>"36018040    "</f>
        <v xml:space="preserve">36018040    </v>
      </c>
      <c r="O13742">
        <v>231113</v>
      </c>
    </row>
    <row r="13743" spans="1:15" x14ac:dyDescent="0.25">
      <c r="A13743" t="s">
        <v>16</v>
      </c>
      <c r="B13743" t="s">
        <v>3221</v>
      </c>
      <c r="C13743">
        <v>15317</v>
      </c>
      <c r="D13743" t="s">
        <v>179</v>
      </c>
      <c r="E13743" t="s">
        <v>180</v>
      </c>
      <c r="F13743">
        <v>97.94</v>
      </c>
      <c r="G13743">
        <v>231031</v>
      </c>
      <c r="H13743">
        <v>4560</v>
      </c>
      <c r="I13743" t="s">
        <v>345</v>
      </c>
      <c r="J13743">
        <v>121.45</v>
      </c>
      <c r="K13743">
        <v>23.51</v>
      </c>
      <c r="L13743">
        <v>69111</v>
      </c>
      <c r="M13743" t="s">
        <v>471</v>
      </c>
      <c r="N13743" t="str">
        <f>"36018040    "</f>
        <v xml:space="preserve">36018040    </v>
      </c>
      <c r="O13743">
        <v>231113</v>
      </c>
    </row>
    <row r="13744" spans="1:15" x14ac:dyDescent="0.25">
      <c r="A13744" t="s">
        <v>16</v>
      </c>
      <c r="B13744" t="s">
        <v>3221</v>
      </c>
      <c r="C13744">
        <v>15317</v>
      </c>
      <c r="D13744" t="s">
        <v>179</v>
      </c>
      <c r="E13744" t="s">
        <v>180</v>
      </c>
      <c r="F13744">
        <v>207.68</v>
      </c>
      <c r="G13744">
        <v>231031</v>
      </c>
      <c r="H13744">
        <v>4560</v>
      </c>
      <c r="I13744" t="s">
        <v>345</v>
      </c>
      <c r="J13744">
        <v>257.52</v>
      </c>
      <c r="K13744">
        <v>49.84</v>
      </c>
      <c r="L13744">
        <v>69501</v>
      </c>
      <c r="M13744" t="s">
        <v>185</v>
      </c>
      <c r="N13744" t="str">
        <f>"36018040    "</f>
        <v xml:space="preserve">36018040    </v>
      </c>
      <c r="O13744">
        <v>231113</v>
      </c>
    </row>
    <row r="13745" spans="1:15" x14ac:dyDescent="0.25">
      <c r="A13745" t="s">
        <v>16</v>
      </c>
      <c r="B13745" t="s">
        <v>3221</v>
      </c>
      <c r="C13745">
        <v>15317</v>
      </c>
      <c r="D13745" t="s">
        <v>179</v>
      </c>
      <c r="E13745" t="s">
        <v>180</v>
      </c>
      <c r="F13745">
        <v>68.44</v>
      </c>
      <c r="G13745">
        <v>231031</v>
      </c>
      <c r="H13745">
        <v>4560</v>
      </c>
      <c r="I13745" t="s">
        <v>345</v>
      </c>
      <c r="J13745">
        <v>84.86</v>
      </c>
      <c r="K13745">
        <v>16.420000000000002</v>
      </c>
      <c r="L13745">
        <v>69702</v>
      </c>
      <c r="M13745" t="s">
        <v>489</v>
      </c>
      <c r="N13745" t="str">
        <f>"36018040    "</f>
        <v xml:space="preserve">36018040    </v>
      </c>
      <c r="O13745">
        <v>231113</v>
      </c>
    </row>
    <row r="13746" spans="1:15" x14ac:dyDescent="0.25">
      <c r="A13746" t="s">
        <v>16</v>
      </c>
      <c r="B13746" t="s">
        <v>3221</v>
      </c>
      <c r="C13746">
        <v>15319</v>
      </c>
      <c r="D13746" t="s">
        <v>179</v>
      </c>
      <c r="E13746" t="s">
        <v>180</v>
      </c>
      <c r="F13746">
        <v>401.24</v>
      </c>
      <c r="G13746">
        <v>231031</v>
      </c>
      <c r="H13746">
        <v>4560</v>
      </c>
      <c r="I13746" t="s">
        <v>345</v>
      </c>
      <c r="J13746">
        <v>401.24</v>
      </c>
      <c r="K13746">
        <v>0</v>
      </c>
      <c r="L13746">
        <v>11001</v>
      </c>
      <c r="M13746" t="s">
        <v>326</v>
      </c>
      <c r="N13746" t="str">
        <f>"34983344    "</f>
        <v xml:space="preserve">34983344    </v>
      </c>
      <c r="O13746">
        <v>231113</v>
      </c>
    </row>
    <row r="13747" spans="1:15" x14ac:dyDescent="0.25">
      <c r="A13747" t="s">
        <v>16</v>
      </c>
      <c r="B13747" t="s">
        <v>3221</v>
      </c>
      <c r="C13747">
        <v>15319</v>
      </c>
      <c r="D13747" t="s">
        <v>179</v>
      </c>
      <c r="E13747" t="s">
        <v>180</v>
      </c>
      <c r="F13747">
        <v>443.17</v>
      </c>
      <c r="G13747">
        <v>231031</v>
      </c>
      <c r="H13747">
        <v>4560</v>
      </c>
      <c r="I13747" t="s">
        <v>345</v>
      </c>
      <c r="J13747">
        <v>443.17</v>
      </c>
      <c r="K13747">
        <v>0</v>
      </c>
      <c r="L13747">
        <v>18972</v>
      </c>
      <c r="M13747" t="s">
        <v>163</v>
      </c>
      <c r="N13747" t="str">
        <f>"34983344    "</f>
        <v xml:space="preserve">34983344    </v>
      </c>
      <c r="O13747">
        <v>231113</v>
      </c>
    </row>
    <row r="13748" spans="1:15" x14ac:dyDescent="0.25">
      <c r="A13748" t="s">
        <v>16</v>
      </c>
      <c r="B13748" t="s">
        <v>3221</v>
      </c>
      <c r="C13748">
        <v>15319</v>
      </c>
      <c r="D13748" t="s">
        <v>179</v>
      </c>
      <c r="E13748" t="s">
        <v>180</v>
      </c>
      <c r="F13748">
        <v>48.1</v>
      </c>
      <c r="G13748">
        <v>231031</v>
      </c>
      <c r="H13748">
        <v>4560</v>
      </c>
      <c r="I13748" t="s">
        <v>345</v>
      </c>
      <c r="J13748">
        <v>59.65</v>
      </c>
      <c r="K13748">
        <v>11.55</v>
      </c>
      <c r="L13748">
        <v>59504</v>
      </c>
      <c r="M13748" t="s">
        <v>71</v>
      </c>
      <c r="N13748" t="str">
        <f>"34983344    "</f>
        <v xml:space="preserve">34983344    </v>
      </c>
      <c r="O13748">
        <v>231113</v>
      </c>
    </row>
    <row r="13749" spans="1:15" x14ac:dyDescent="0.25">
      <c r="A13749" t="s">
        <v>16</v>
      </c>
      <c r="B13749" t="s">
        <v>3221</v>
      </c>
      <c r="C13749">
        <v>16749</v>
      </c>
      <c r="D13749" t="s">
        <v>179</v>
      </c>
      <c r="E13749" t="s">
        <v>180</v>
      </c>
      <c r="F13749">
        <v>415.03</v>
      </c>
      <c r="G13749">
        <v>231130</v>
      </c>
      <c r="H13749">
        <v>4560</v>
      </c>
      <c r="I13749" t="s">
        <v>345</v>
      </c>
      <c r="J13749">
        <v>415.03</v>
      </c>
      <c r="K13749">
        <v>0</v>
      </c>
      <c r="L13749">
        <v>11001</v>
      </c>
      <c r="M13749" t="s">
        <v>326</v>
      </c>
      <c r="N13749" t="str">
        <f>"36051128    "</f>
        <v xml:space="preserve">36051128    </v>
      </c>
      <c r="O13749">
        <v>231208</v>
      </c>
    </row>
    <row r="13750" spans="1:15" x14ac:dyDescent="0.25">
      <c r="A13750" t="s">
        <v>16</v>
      </c>
      <c r="B13750" t="s">
        <v>3221</v>
      </c>
      <c r="C13750">
        <v>16749</v>
      </c>
      <c r="D13750" t="s">
        <v>179</v>
      </c>
      <c r="E13750" t="s">
        <v>180</v>
      </c>
      <c r="F13750">
        <v>322.14</v>
      </c>
      <c r="G13750">
        <v>231130</v>
      </c>
      <c r="H13750">
        <v>4560</v>
      </c>
      <c r="I13750" t="s">
        <v>345</v>
      </c>
      <c r="J13750">
        <v>322.14</v>
      </c>
      <c r="K13750">
        <v>0</v>
      </c>
      <c r="L13750">
        <v>18972</v>
      </c>
      <c r="M13750" t="s">
        <v>163</v>
      </c>
      <c r="N13750" t="str">
        <f>"36051128    "</f>
        <v xml:space="preserve">36051128    </v>
      </c>
      <c r="O13750">
        <v>231208</v>
      </c>
    </row>
    <row r="13751" spans="1:15" x14ac:dyDescent="0.25">
      <c r="A13751" t="s">
        <v>16</v>
      </c>
      <c r="B13751" t="s">
        <v>3221</v>
      </c>
      <c r="C13751">
        <v>16749</v>
      </c>
      <c r="D13751" t="s">
        <v>179</v>
      </c>
      <c r="E13751" t="s">
        <v>180</v>
      </c>
      <c r="F13751">
        <v>94.77</v>
      </c>
      <c r="G13751">
        <v>231130</v>
      </c>
      <c r="H13751">
        <v>4560</v>
      </c>
      <c r="I13751" t="s">
        <v>345</v>
      </c>
      <c r="J13751">
        <v>117.51</v>
      </c>
      <c r="K13751">
        <v>22.74</v>
      </c>
      <c r="L13751">
        <v>59504</v>
      </c>
      <c r="M13751" t="s">
        <v>71</v>
      </c>
      <c r="N13751" t="str">
        <f>"36051128    "</f>
        <v xml:space="preserve">36051128    </v>
      </c>
      <c r="O13751">
        <v>231208</v>
      </c>
    </row>
    <row r="13752" spans="1:15" x14ac:dyDescent="0.25">
      <c r="A13752" t="s">
        <v>16</v>
      </c>
      <c r="B13752" t="s">
        <v>3221</v>
      </c>
      <c r="C13752">
        <v>17259</v>
      </c>
      <c r="D13752" t="s">
        <v>179</v>
      </c>
      <c r="E13752" t="s">
        <v>180</v>
      </c>
      <c r="F13752">
        <v>114.88</v>
      </c>
      <c r="G13752">
        <v>231130</v>
      </c>
      <c r="H13752">
        <v>4560</v>
      </c>
      <c r="I13752" t="s">
        <v>345</v>
      </c>
      <c r="J13752">
        <v>142.44999999999999</v>
      </c>
      <c r="K13752">
        <v>27.57</v>
      </c>
      <c r="L13752">
        <v>66754</v>
      </c>
      <c r="M13752" t="s">
        <v>239</v>
      </c>
      <c r="N13752" t="str">
        <f>"36085317    "</f>
        <v xml:space="preserve">36085317    </v>
      </c>
      <c r="O13752">
        <v>231212</v>
      </c>
    </row>
    <row r="13753" spans="1:15" x14ac:dyDescent="0.25">
      <c r="A13753" t="s">
        <v>16</v>
      </c>
      <c r="B13753" t="s">
        <v>3221</v>
      </c>
      <c r="C13753">
        <v>17259</v>
      </c>
      <c r="D13753" t="s">
        <v>179</v>
      </c>
      <c r="E13753" t="s">
        <v>180</v>
      </c>
      <c r="F13753">
        <v>158.86000000000001</v>
      </c>
      <c r="G13753">
        <v>231130</v>
      </c>
      <c r="H13753">
        <v>4560</v>
      </c>
      <c r="I13753" t="s">
        <v>345</v>
      </c>
      <c r="J13753">
        <v>196.99</v>
      </c>
      <c r="K13753">
        <v>38.130000000000003</v>
      </c>
      <c r="L13753">
        <v>67522</v>
      </c>
      <c r="M13753" t="s">
        <v>397</v>
      </c>
      <c r="N13753" t="str">
        <f>"36085317    "</f>
        <v xml:space="preserve">36085317    </v>
      </c>
      <c r="O13753">
        <v>231212</v>
      </c>
    </row>
    <row r="13754" spans="1:15" x14ac:dyDescent="0.25">
      <c r="A13754" t="s">
        <v>16</v>
      </c>
      <c r="B13754" t="s">
        <v>3221</v>
      </c>
      <c r="C13754">
        <v>17259</v>
      </c>
      <c r="D13754" t="s">
        <v>179</v>
      </c>
      <c r="E13754" t="s">
        <v>180</v>
      </c>
      <c r="F13754">
        <v>114.88</v>
      </c>
      <c r="G13754">
        <v>231130</v>
      </c>
      <c r="H13754">
        <v>4560</v>
      </c>
      <c r="I13754" t="s">
        <v>345</v>
      </c>
      <c r="J13754">
        <v>142.44999999999999</v>
      </c>
      <c r="K13754">
        <v>27.57</v>
      </c>
      <c r="L13754">
        <v>69111</v>
      </c>
      <c r="M13754" t="s">
        <v>471</v>
      </c>
      <c r="N13754" t="str">
        <f>"36085317    "</f>
        <v xml:space="preserve">36085317    </v>
      </c>
      <c r="O13754">
        <v>231212</v>
      </c>
    </row>
    <row r="13755" spans="1:15" x14ac:dyDescent="0.25">
      <c r="A13755" t="s">
        <v>16</v>
      </c>
      <c r="B13755" t="s">
        <v>3221</v>
      </c>
      <c r="C13755">
        <v>17259</v>
      </c>
      <c r="D13755" t="s">
        <v>179</v>
      </c>
      <c r="E13755" t="s">
        <v>180</v>
      </c>
      <c r="F13755">
        <v>229.75</v>
      </c>
      <c r="G13755">
        <v>231130</v>
      </c>
      <c r="H13755">
        <v>4560</v>
      </c>
      <c r="I13755" t="s">
        <v>345</v>
      </c>
      <c r="J13755">
        <v>284.89</v>
      </c>
      <c r="K13755">
        <v>55.14</v>
      </c>
      <c r="L13755">
        <v>69501</v>
      </c>
      <c r="M13755" t="s">
        <v>185</v>
      </c>
      <c r="N13755" t="str">
        <f>"36085317    "</f>
        <v xml:space="preserve">36085317    </v>
      </c>
      <c r="O13755">
        <v>231212</v>
      </c>
    </row>
    <row r="13756" spans="1:15" x14ac:dyDescent="0.25">
      <c r="A13756" t="s">
        <v>16</v>
      </c>
      <c r="B13756" t="s">
        <v>3221</v>
      </c>
      <c r="C13756">
        <v>18737</v>
      </c>
      <c r="D13756" t="s">
        <v>179</v>
      </c>
      <c r="E13756" t="s">
        <v>180</v>
      </c>
      <c r="F13756">
        <v>307.13</v>
      </c>
      <c r="G13756">
        <v>231231</v>
      </c>
      <c r="H13756">
        <v>4560</v>
      </c>
      <c r="I13756" t="s">
        <v>345</v>
      </c>
      <c r="J13756">
        <v>307.13</v>
      </c>
      <c r="K13756">
        <v>0</v>
      </c>
      <c r="L13756">
        <v>11001</v>
      </c>
      <c r="M13756" t="s">
        <v>326</v>
      </c>
      <c r="N13756" t="str">
        <f>"36117896    "</f>
        <v xml:space="preserve">36117896    </v>
      </c>
      <c r="O13756">
        <v>240105</v>
      </c>
    </row>
    <row r="13757" spans="1:15" x14ac:dyDescent="0.25">
      <c r="A13757" t="s">
        <v>16</v>
      </c>
      <c r="B13757" t="s">
        <v>3221</v>
      </c>
      <c r="C13757">
        <v>18737</v>
      </c>
      <c r="D13757" t="s">
        <v>179</v>
      </c>
      <c r="E13757" t="s">
        <v>180</v>
      </c>
      <c r="F13757">
        <v>388.92</v>
      </c>
      <c r="G13757">
        <v>231231</v>
      </c>
      <c r="H13757">
        <v>4560</v>
      </c>
      <c r="I13757" t="s">
        <v>345</v>
      </c>
      <c r="J13757">
        <v>388.92</v>
      </c>
      <c r="K13757">
        <v>0</v>
      </c>
      <c r="L13757">
        <v>18972</v>
      </c>
      <c r="M13757" t="s">
        <v>163</v>
      </c>
      <c r="N13757" t="str">
        <f>"36117896    "</f>
        <v xml:space="preserve">36117896    </v>
      </c>
      <c r="O13757">
        <v>240105</v>
      </c>
    </row>
    <row r="13758" spans="1:15" x14ac:dyDescent="0.25">
      <c r="A13758" t="s">
        <v>16</v>
      </c>
      <c r="B13758" t="s">
        <v>3221</v>
      </c>
      <c r="C13758">
        <v>18743</v>
      </c>
      <c r="D13758" t="s">
        <v>179</v>
      </c>
      <c r="E13758" t="s">
        <v>180</v>
      </c>
      <c r="F13758">
        <v>156.56</v>
      </c>
      <c r="G13758">
        <v>231231</v>
      </c>
      <c r="H13758">
        <v>4560</v>
      </c>
      <c r="I13758" t="s">
        <v>345</v>
      </c>
      <c r="J13758">
        <v>194.13</v>
      </c>
      <c r="K13758">
        <v>37.57</v>
      </c>
      <c r="L13758">
        <v>66754</v>
      </c>
      <c r="M13758" t="s">
        <v>239</v>
      </c>
      <c r="N13758" t="str">
        <f t="shared" ref="N13758:N13763" si="187">"36151514    "</f>
        <v xml:space="preserve">36151514    </v>
      </c>
      <c r="O13758">
        <v>240105</v>
      </c>
    </row>
    <row r="13759" spans="1:15" x14ac:dyDescent="0.25">
      <c r="A13759" t="s">
        <v>16</v>
      </c>
      <c r="B13759" t="s">
        <v>3221</v>
      </c>
      <c r="C13759">
        <v>18743</v>
      </c>
      <c r="D13759" t="s">
        <v>179</v>
      </c>
      <c r="E13759" t="s">
        <v>180</v>
      </c>
      <c r="F13759">
        <v>76.33</v>
      </c>
      <c r="G13759">
        <v>231231</v>
      </c>
      <c r="H13759">
        <v>4560</v>
      </c>
      <c r="I13759" t="s">
        <v>345</v>
      </c>
      <c r="J13759">
        <v>94.65</v>
      </c>
      <c r="K13759">
        <v>18.32</v>
      </c>
      <c r="L13759">
        <v>66756</v>
      </c>
      <c r="M13759" t="s">
        <v>209</v>
      </c>
      <c r="N13759" t="str">
        <f t="shared" si="187"/>
        <v xml:space="preserve">36151514    </v>
      </c>
      <c r="O13759">
        <v>240105</v>
      </c>
    </row>
    <row r="13760" spans="1:15" x14ac:dyDescent="0.25">
      <c r="A13760" t="s">
        <v>16</v>
      </c>
      <c r="B13760" t="s">
        <v>3221</v>
      </c>
      <c r="C13760">
        <v>18743</v>
      </c>
      <c r="D13760" t="s">
        <v>179</v>
      </c>
      <c r="E13760" t="s">
        <v>180</v>
      </c>
      <c r="F13760">
        <v>127.52</v>
      </c>
      <c r="G13760">
        <v>231231</v>
      </c>
      <c r="H13760">
        <v>4560</v>
      </c>
      <c r="I13760" t="s">
        <v>345</v>
      </c>
      <c r="J13760">
        <v>158.13</v>
      </c>
      <c r="K13760">
        <v>30.61</v>
      </c>
      <c r="L13760">
        <v>67522</v>
      </c>
      <c r="M13760" t="s">
        <v>397</v>
      </c>
      <c r="N13760" t="str">
        <f t="shared" si="187"/>
        <v xml:space="preserve">36151514    </v>
      </c>
      <c r="O13760">
        <v>240105</v>
      </c>
    </row>
    <row r="13761" spans="1:15" x14ac:dyDescent="0.25">
      <c r="A13761" t="s">
        <v>16</v>
      </c>
      <c r="B13761" t="s">
        <v>3221</v>
      </c>
      <c r="C13761">
        <v>18743</v>
      </c>
      <c r="D13761" t="s">
        <v>179</v>
      </c>
      <c r="E13761" t="s">
        <v>180</v>
      </c>
      <c r="F13761">
        <v>118.84</v>
      </c>
      <c r="G13761">
        <v>231231</v>
      </c>
      <c r="H13761">
        <v>4560</v>
      </c>
      <c r="I13761" t="s">
        <v>345</v>
      </c>
      <c r="J13761">
        <v>147.36000000000001</v>
      </c>
      <c r="K13761">
        <v>28.52</v>
      </c>
      <c r="L13761">
        <v>67554</v>
      </c>
      <c r="M13761" t="s">
        <v>60</v>
      </c>
      <c r="N13761" t="str">
        <f t="shared" si="187"/>
        <v xml:space="preserve">36151514    </v>
      </c>
      <c r="O13761">
        <v>240105</v>
      </c>
    </row>
    <row r="13762" spans="1:15" x14ac:dyDescent="0.25">
      <c r="A13762" t="s">
        <v>16</v>
      </c>
      <c r="B13762" t="s">
        <v>3221</v>
      </c>
      <c r="C13762">
        <v>18743</v>
      </c>
      <c r="D13762" t="s">
        <v>179</v>
      </c>
      <c r="E13762" t="s">
        <v>180</v>
      </c>
      <c r="F13762">
        <v>27.63</v>
      </c>
      <c r="G13762">
        <v>231231</v>
      </c>
      <c r="H13762">
        <v>4560</v>
      </c>
      <c r="I13762" t="s">
        <v>345</v>
      </c>
      <c r="J13762">
        <v>34.26</v>
      </c>
      <c r="K13762">
        <v>6.63</v>
      </c>
      <c r="L13762">
        <v>69501</v>
      </c>
      <c r="M13762" t="s">
        <v>185</v>
      </c>
      <c r="N13762" t="str">
        <f t="shared" si="187"/>
        <v xml:space="preserve">36151514    </v>
      </c>
      <c r="O13762">
        <v>240105</v>
      </c>
    </row>
    <row r="13763" spans="1:15" x14ac:dyDescent="0.25">
      <c r="A13763" t="s">
        <v>16</v>
      </c>
      <c r="B13763" t="s">
        <v>3221</v>
      </c>
      <c r="C13763">
        <v>18743</v>
      </c>
      <c r="D13763" t="s">
        <v>179</v>
      </c>
      <c r="E13763" t="s">
        <v>180</v>
      </c>
      <c r="F13763">
        <v>66.13</v>
      </c>
      <c r="G13763">
        <v>231231</v>
      </c>
      <c r="H13763">
        <v>4560</v>
      </c>
      <c r="I13763" t="s">
        <v>345</v>
      </c>
      <c r="J13763">
        <v>82</v>
      </c>
      <c r="K13763">
        <v>15.87</v>
      </c>
      <c r="L13763">
        <v>69702</v>
      </c>
      <c r="M13763" t="s">
        <v>489</v>
      </c>
      <c r="N13763" t="str">
        <f t="shared" si="187"/>
        <v xml:space="preserve">36151514    </v>
      </c>
      <c r="O13763">
        <v>240105</v>
      </c>
    </row>
    <row r="13764" spans="1:15" x14ac:dyDescent="0.25">
      <c r="A13764" t="s">
        <v>16</v>
      </c>
      <c r="B13764" t="s">
        <v>3221</v>
      </c>
      <c r="C13764">
        <v>1642</v>
      </c>
      <c r="D13764" t="s">
        <v>179</v>
      </c>
      <c r="E13764" t="s">
        <v>180</v>
      </c>
      <c r="F13764">
        <v>73</v>
      </c>
      <c r="G13764">
        <v>230131</v>
      </c>
      <c r="H13764">
        <v>4380</v>
      </c>
      <c r="I13764" t="s">
        <v>113</v>
      </c>
      <c r="J13764">
        <v>73</v>
      </c>
      <c r="K13764">
        <v>0</v>
      </c>
      <c r="L13764">
        <v>11001</v>
      </c>
      <c r="M13764" t="s">
        <v>326</v>
      </c>
      <c r="N13764" t="str">
        <f>"34373429    "</f>
        <v xml:space="preserve">34373429    </v>
      </c>
      <c r="O13764">
        <v>230213</v>
      </c>
    </row>
    <row r="13765" spans="1:15" x14ac:dyDescent="0.25">
      <c r="A13765" t="s">
        <v>16</v>
      </c>
      <c r="B13765" t="s">
        <v>3221</v>
      </c>
      <c r="C13765">
        <v>1642</v>
      </c>
      <c r="D13765" t="s">
        <v>179</v>
      </c>
      <c r="E13765" t="s">
        <v>180</v>
      </c>
      <c r="F13765">
        <v>49</v>
      </c>
      <c r="G13765">
        <v>230131</v>
      </c>
      <c r="H13765">
        <v>4380</v>
      </c>
      <c r="I13765" t="s">
        <v>113</v>
      </c>
      <c r="J13765">
        <v>49</v>
      </c>
      <c r="K13765">
        <v>0</v>
      </c>
      <c r="L13765">
        <v>18972</v>
      </c>
      <c r="M13765" t="s">
        <v>163</v>
      </c>
      <c r="N13765" t="str">
        <f>"34373429    "</f>
        <v xml:space="preserve">34373429    </v>
      </c>
      <c r="O13765">
        <v>230213</v>
      </c>
    </row>
    <row r="13766" spans="1:15" x14ac:dyDescent="0.25">
      <c r="A13766" t="s">
        <v>16</v>
      </c>
      <c r="B13766" t="s">
        <v>3221</v>
      </c>
      <c r="C13766">
        <v>2752</v>
      </c>
      <c r="D13766" t="s">
        <v>179</v>
      </c>
      <c r="E13766" t="s">
        <v>180</v>
      </c>
      <c r="F13766">
        <v>54.5</v>
      </c>
      <c r="G13766">
        <v>230228</v>
      </c>
      <c r="H13766">
        <v>4380</v>
      </c>
      <c r="I13766" t="s">
        <v>113</v>
      </c>
      <c r="J13766">
        <v>54.5</v>
      </c>
      <c r="K13766">
        <v>0</v>
      </c>
      <c r="L13766">
        <v>11001</v>
      </c>
      <c r="M13766" t="s">
        <v>326</v>
      </c>
      <c r="N13766" t="str">
        <f>"34440556    "</f>
        <v xml:space="preserve">34440556    </v>
      </c>
      <c r="O13766">
        <v>230307</v>
      </c>
    </row>
    <row r="13767" spans="1:15" x14ac:dyDescent="0.25">
      <c r="A13767" t="s">
        <v>16</v>
      </c>
      <c r="B13767" t="s">
        <v>3221</v>
      </c>
      <c r="C13767">
        <v>2752</v>
      </c>
      <c r="D13767" t="s">
        <v>179</v>
      </c>
      <c r="E13767" t="s">
        <v>180</v>
      </c>
      <c r="F13767">
        <v>110</v>
      </c>
      <c r="G13767">
        <v>230228</v>
      </c>
      <c r="H13767">
        <v>4380</v>
      </c>
      <c r="I13767" t="s">
        <v>113</v>
      </c>
      <c r="J13767">
        <v>110</v>
      </c>
      <c r="K13767">
        <v>0</v>
      </c>
      <c r="L13767">
        <v>18972</v>
      </c>
      <c r="M13767" t="s">
        <v>163</v>
      </c>
      <c r="N13767" t="str">
        <f>"34440556    "</f>
        <v xml:space="preserve">34440556    </v>
      </c>
      <c r="O13767">
        <v>230307</v>
      </c>
    </row>
    <row r="13768" spans="1:15" x14ac:dyDescent="0.25">
      <c r="A13768" t="s">
        <v>16</v>
      </c>
      <c r="B13768" t="s">
        <v>3221</v>
      </c>
      <c r="C13768">
        <v>4796</v>
      </c>
      <c r="D13768" t="s">
        <v>179</v>
      </c>
      <c r="E13768" t="s">
        <v>180</v>
      </c>
      <c r="F13768">
        <v>91.5</v>
      </c>
      <c r="G13768">
        <v>230331</v>
      </c>
      <c r="H13768">
        <v>4380</v>
      </c>
      <c r="I13768" t="s">
        <v>113</v>
      </c>
      <c r="J13768">
        <v>91.5</v>
      </c>
      <c r="K13768">
        <v>0</v>
      </c>
      <c r="L13768">
        <v>11001</v>
      </c>
      <c r="M13768" t="s">
        <v>326</v>
      </c>
      <c r="N13768" t="str">
        <f>"34507575    "</f>
        <v xml:space="preserve">34507575    </v>
      </c>
      <c r="O13768">
        <v>230412</v>
      </c>
    </row>
    <row r="13769" spans="1:15" x14ac:dyDescent="0.25">
      <c r="A13769" t="s">
        <v>16</v>
      </c>
      <c r="B13769" t="s">
        <v>3221</v>
      </c>
      <c r="C13769">
        <v>6592</v>
      </c>
      <c r="D13769" t="s">
        <v>179</v>
      </c>
      <c r="E13769" t="s">
        <v>180</v>
      </c>
      <c r="F13769">
        <v>87.3</v>
      </c>
      <c r="G13769">
        <v>230430</v>
      </c>
      <c r="H13769">
        <v>4380</v>
      </c>
      <c r="I13769" t="s">
        <v>113</v>
      </c>
      <c r="J13769">
        <v>87.3</v>
      </c>
      <c r="K13769">
        <v>0</v>
      </c>
      <c r="L13769">
        <v>11001</v>
      </c>
      <c r="M13769" t="s">
        <v>326</v>
      </c>
      <c r="N13769" t="str">
        <f>"34574726    "</f>
        <v xml:space="preserve">34574726    </v>
      </c>
      <c r="O13769">
        <v>230516</v>
      </c>
    </row>
    <row r="13770" spans="1:15" x14ac:dyDescent="0.25">
      <c r="A13770" t="s">
        <v>16</v>
      </c>
      <c r="B13770" t="s">
        <v>3221</v>
      </c>
      <c r="C13770">
        <v>6592</v>
      </c>
      <c r="D13770" t="s">
        <v>179</v>
      </c>
      <c r="E13770" t="s">
        <v>180</v>
      </c>
      <c r="F13770">
        <v>104.9</v>
      </c>
      <c r="G13770">
        <v>230430</v>
      </c>
      <c r="H13770">
        <v>4380</v>
      </c>
      <c r="I13770" t="s">
        <v>113</v>
      </c>
      <c r="J13770">
        <v>104.9</v>
      </c>
      <c r="K13770">
        <v>0</v>
      </c>
      <c r="L13770">
        <v>18972</v>
      </c>
      <c r="M13770" t="s">
        <v>163</v>
      </c>
      <c r="N13770" t="str">
        <f>"34574726    "</f>
        <v xml:space="preserve">34574726    </v>
      </c>
      <c r="O13770">
        <v>230516</v>
      </c>
    </row>
    <row r="13771" spans="1:15" x14ac:dyDescent="0.25">
      <c r="A13771" t="s">
        <v>16</v>
      </c>
      <c r="B13771" t="s">
        <v>3221</v>
      </c>
      <c r="C13771">
        <v>8535</v>
      </c>
      <c r="D13771" t="s">
        <v>179</v>
      </c>
      <c r="E13771" t="s">
        <v>180</v>
      </c>
      <c r="F13771">
        <v>166.5</v>
      </c>
      <c r="G13771">
        <v>230531</v>
      </c>
      <c r="H13771">
        <v>4380</v>
      </c>
      <c r="I13771" t="s">
        <v>113</v>
      </c>
      <c r="J13771">
        <v>166.5</v>
      </c>
      <c r="K13771">
        <v>0</v>
      </c>
      <c r="L13771">
        <v>11001</v>
      </c>
      <c r="M13771" t="s">
        <v>326</v>
      </c>
      <c r="N13771" t="str">
        <f>"34642870    "</f>
        <v xml:space="preserve">34642870    </v>
      </c>
      <c r="O13771">
        <v>230612</v>
      </c>
    </row>
    <row r="13772" spans="1:15" x14ac:dyDescent="0.25">
      <c r="A13772" t="s">
        <v>16</v>
      </c>
      <c r="B13772" t="s">
        <v>3221</v>
      </c>
      <c r="C13772">
        <v>8535</v>
      </c>
      <c r="D13772" t="s">
        <v>179</v>
      </c>
      <c r="E13772" t="s">
        <v>180</v>
      </c>
      <c r="F13772">
        <v>59</v>
      </c>
      <c r="G13772">
        <v>230531</v>
      </c>
      <c r="H13772">
        <v>4380</v>
      </c>
      <c r="I13772" t="s">
        <v>113</v>
      </c>
      <c r="J13772">
        <v>59</v>
      </c>
      <c r="K13772">
        <v>0</v>
      </c>
      <c r="L13772">
        <v>18972</v>
      </c>
      <c r="M13772" t="s">
        <v>163</v>
      </c>
      <c r="N13772" t="str">
        <f>"34642870    "</f>
        <v xml:space="preserve">34642870    </v>
      </c>
      <c r="O13772">
        <v>230612</v>
      </c>
    </row>
    <row r="13773" spans="1:15" x14ac:dyDescent="0.25">
      <c r="A13773" t="s">
        <v>16</v>
      </c>
      <c r="B13773" t="s">
        <v>3221</v>
      </c>
      <c r="C13773">
        <v>9380</v>
      </c>
      <c r="D13773" t="s">
        <v>179</v>
      </c>
      <c r="E13773" t="s">
        <v>180</v>
      </c>
      <c r="F13773">
        <v>166.5</v>
      </c>
      <c r="G13773">
        <v>230630</v>
      </c>
      <c r="H13773">
        <v>4380</v>
      </c>
      <c r="I13773" t="s">
        <v>113</v>
      </c>
      <c r="J13773">
        <v>166.5</v>
      </c>
      <c r="K13773">
        <v>0</v>
      </c>
      <c r="L13773">
        <v>11001</v>
      </c>
      <c r="M13773" t="s">
        <v>326</v>
      </c>
      <c r="N13773" t="str">
        <f>"34711875    "</f>
        <v xml:space="preserve">34711875    </v>
      </c>
      <c r="O13773">
        <v>230710</v>
      </c>
    </row>
    <row r="13774" spans="1:15" x14ac:dyDescent="0.25">
      <c r="A13774" t="s">
        <v>16</v>
      </c>
      <c r="B13774" t="s">
        <v>3221</v>
      </c>
      <c r="C13774">
        <v>9380</v>
      </c>
      <c r="D13774" t="s">
        <v>179</v>
      </c>
      <c r="E13774" t="s">
        <v>180</v>
      </c>
      <c r="F13774">
        <v>40</v>
      </c>
      <c r="G13774">
        <v>230630</v>
      </c>
      <c r="H13774">
        <v>4380</v>
      </c>
      <c r="I13774" t="s">
        <v>113</v>
      </c>
      <c r="J13774">
        <v>40</v>
      </c>
      <c r="K13774">
        <v>0</v>
      </c>
      <c r="L13774">
        <v>18972</v>
      </c>
      <c r="M13774" t="s">
        <v>163</v>
      </c>
      <c r="N13774" t="str">
        <f>"34711875    "</f>
        <v xml:space="preserve">34711875    </v>
      </c>
      <c r="O13774">
        <v>230710</v>
      </c>
    </row>
    <row r="13775" spans="1:15" x14ac:dyDescent="0.25">
      <c r="A13775" t="s">
        <v>16</v>
      </c>
      <c r="B13775" t="s">
        <v>3221</v>
      </c>
      <c r="C13775">
        <v>10256</v>
      </c>
      <c r="D13775" t="s">
        <v>179</v>
      </c>
      <c r="E13775" t="s">
        <v>180</v>
      </c>
      <c r="F13775">
        <v>170.5</v>
      </c>
      <c r="G13775">
        <v>230731</v>
      </c>
      <c r="H13775">
        <v>4380</v>
      </c>
      <c r="I13775" t="s">
        <v>113</v>
      </c>
      <c r="J13775">
        <v>170.5</v>
      </c>
      <c r="K13775">
        <v>0</v>
      </c>
      <c r="L13775">
        <v>11001</v>
      </c>
      <c r="M13775" t="s">
        <v>326</v>
      </c>
      <c r="N13775" t="str">
        <f>"34779665    "</f>
        <v xml:space="preserve">34779665    </v>
      </c>
      <c r="O13775">
        <v>230814</v>
      </c>
    </row>
    <row r="13776" spans="1:15" x14ac:dyDescent="0.25">
      <c r="A13776" t="s">
        <v>16</v>
      </c>
      <c r="B13776" t="s">
        <v>3221</v>
      </c>
      <c r="C13776">
        <v>11798</v>
      </c>
      <c r="D13776" t="s">
        <v>179</v>
      </c>
      <c r="E13776" t="s">
        <v>180</v>
      </c>
      <c r="F13776">
        <v>104.7</v>
      </c>
      <c r="G13776">
        <v>230831</v>
      </c>
      <c r="H13776">
        <v>4380</v>
      </c>
      <c r="I13776" t="s">
        <v>113</v>
      </c>
      <c r="J13776">
        <v>104.7</v>
      </c>
      <c r="K13776">
        <v>0</v>
      </c>
      <c r="L13776">
        <v>11001</v>
      </c>
      <c r="M13776" t="s">
        <v>326</v>
      </c>
      <c r="N13776" t="str">
        <f>"34847275    "</f>
        <v xml:space="preserve">34847275    </v>
      </c>
      <c r="O13776">
        <v>230911</v>
      </c>
    </row>
    <row r="13777" spans="1:15" x14ac:dyDescent="0.25">
      <c r="A13777" t="s">
        <v>16</v>
      </c>
      <c r="B13777" t="s">
        <v>3221</v>
      </c>
      <c r="C13777">
        <v>11798</v>
      </c>
      <c r="D13777" t="s">
        <v>179</v>
      </c>
      <c r="E13777" t="s">
        <v>180</v>
      </c>
      <c r="F13777">
        <v>40</v>
      </c>
      <c r="G13777">
        <v>230831</v>
      </c>
      <c r="H13777">
        <v>4380</v>
      </c>
      <c r="I13777" t="s">
        <v>113</v>
      </c>
      <c r="J13777">
        <v>40</v>
      </c>
      <c r="K13777">
        <v>0</v>
      </c>
      <c r="L13777">
        <v>18972</v>
      </c>
      <c r="M13777" t="s">
        <v>163</v>
      </c>
      <c r="N13777" t="str">
        <f>"34847275    "</f>
        <v xml:space="preserve">34847275    </v>
      </c>
      <c r="O13777">
        <v>230911</v>
      </c>
    </row>
    <row r="13778" spans="1:15" x14ac:dyDescent="0.25">
      <c r="A13778" t="s">
        <v>16</v>
      </c>
      <c r="B13778" t="s">
        <v>3221</v>
      </c>
      <c r="C13778">
        <v>13569</v>
      </c>
      <c r="D13778" t="s">
        <v>179</v>
      </c>
      <c r="E13778" t="s">
        <v>180</v>
      </c>
      <c r="F13778">
        <v>210.4</v>
      </c>
      <c r="G13778">
        <v>230930</v>
      </c>
      <c r="H13778">
        <v>4380</v>
      </c>
      <c r="I13778" t="s">
        <v>113</v>
      </c>
      <c r="J13778">
        <v>210.4</v>
      </c>
      <c r="K13778">
        <v>0</v>
      </c>
      <c r="L13778">
        <v>11001</v>
      </c>
      <c r="M13778" t="s">
        <v>326</v>
      </c>
      <c r="N13778" t="str">
        <f>"34915621    "</f>
        <v xml:space="preserve">34915621    </v>
      </c>
      <c r="O13778">
        <v>231011</v>
      </c>
    </row>
    <row r="13779" spans="1:15" x14ac:dyDescent="0.25">
      <c r="A13779" t="s">
        <v>16</v>
      </c>
      <c r="B13779" t="s">
        <v>3221</v>
      </c>
      <c r="C13779">
        <v>13569</v>
      </c>
      <c r="D13779" t="s">
        <v>179</v>
      </c>
      <c r="E13779" t="s">
        <v>180</v>
      </c>
      <c r="F13779">
        <v>24</v>
      </c>
      <c r="G13779">
        <v>230930</v>
      </c>
      <c r="H13779">
        <v>4380</v>
      </c>
      <c r="I13779" t="s">
        <v>113</v>
      </c>
      <c r="J13779">
        <v>24</v>
      </c>
      <c r="K13779">
        <v>0</v>
      </c>
      <c r="L13779">
        <v>18972</v>
      </c>
      <c r="M13779" t="s">
        <v>163</v>
      </c>
      <c r="N13779" t="str">
        <f>"34915621    "</f>
        <v xml:space="preserve">34915621    </v>
      </c>
      <c r="O13779">
        <v>231011</v>
      </c>
    </row>
    <row r="13780" spans="1:15" x14ac:dyDescent="0.25">
      <c r="A13780" t="s">
        <v>16</v>
      </c>
      <c r="B13780" t="s">
        <v>3221</v>
      </c>
      <c r="C13780">
        <v>15319</v>
      </c>
      <c r="D13780" t="s">
        <v>179</v>
      </c>
      <c r="E13780" t="s">
        <v>180</v>
      </c>
      <c r="F13780">
        <v>211.2</v>
      </c>
      <c r="G13780">
        <v>231031</v>
      </c>
      <c r="H13780">
        <v>4380</v>
      </c>
      <c r="I13780" t="s">
        <v>113</v>
      </c>
      <c r="J13780">
        <v>211.2</v>
      </c>
      <c r="K13780">
        <v>0</v>
      </c>
      <c r="L13780">
        <v>11001</v>
      </c>
      <c r="M13780" t="s">
        <v>326</v>
      </c>
      <c r="N13780" t="str">
        <f>"34983344    "</f>
        <v xml:space="preserve">34983344    </v>
      </c>
      <c r="O13780">
        <v>231113</v>
      </c>
    </row>
    <row r="13781" spans="1:15" x14ac:dyDescent="0.25">
      <c r="A13781" t="s">
        <v>16</v>
      </c>
      <c r="B13781" t="s">
        <v>3221</v>
      </c>
      <c r="C13781">
        <v>15319</v>
      </c>
      <c r="D13781" t="s">
        <v>179</v>
      </c>
      <c r="E13781" t="s">
        <v>180</v>
      </c>
      <c r="F13781">
        <v>46</v>
      </c>
      <c r="G13781">
        <v>231031</v>
      </c>
      <c r="H13781">
        <v>4380</v>
      </c>
      <c r="I13781" t="s">
        <v>113</v>
      </c>
      <c r="J13781">
        <v>46</v>
      </c>
      <c r="K13781">
        <v>0</v>
      </c>
      <c r="L13781">
        <v>18972</v>
      </c>
      <c r="M13781" t="s">
        <v>163</v>
      </c>
      <c r="N13781" t="str">
        <f>"34983344    "</f>
        <v xml:space="preserve">34983344    </v>
      </c>
      <c r="O13781">
        <v>231113</v>
      </c>
    </row>
    <row r="13782" spans="1:15" x14ac:dyDescent="0.25">
      <c r="A13782" t="s">
        <v>16</v>
      </c>
      <c r="B13782" t="s">
        <v>3221</v>
      </c>
      <c r="C13782">
        <v>16749</v>
      </c>
      <c r="D13782" t="s">
        <v>179</v>
      </c>
      <c r="E13782" t="s">
        <v>180</v>
      </c>
      <c r="F13782">
        <v>112.5</v>
      </c>
      <c r="G13782">
        <v>231130</v>
      </c>
      <c r="H13782">
        <v>4380</v>
      </c>
      <c r="I13782" t="s">
        <v>113</v>
      </c>
      <c r="J13782">
        <v>112.5</v>
      </c>
      <c r="K13782">
        <v>0</v>
      </c>
      <c r="L13782">
        <v>11001</v>
      </c>
      <c r="M13782" t="s">
        <v>326</v>
      </c>
      <c r="N13782" t="str">
        <f>"36051128    "</f>
        <v xml:space="preserve">36051128    </v>
      </c>
      <c r="O13782">
        <v>231208</v>
      </c>
    </row>
    <row r="13783" spans="1:15" x14ac:dyDescent="0.25">
      <c r="A13783" t="s">
        <v>16</v>
      </c>
      <c r="B13783" t="s">
        <v>3221</v>
      </c>
      <c r="C13783">
        <v>16749</v>
      </c>
      <c r="D13783" t="s">
        <v>179</v>
      </c>
      <c r="E13783" t="s">
        <v>180</v>
      </c>
      <c r="F13783">
        <v>64</v>
      </c>
      <c r="G13783">
        <v>231130</v>
      </c>
      <c r="H13783">
        <v>4380</v>
      </c>
      <c r="I13783" t="s">
        <v>113</v>
      </c>
      <c r="J13783">
        <v>64</v>
      </c>
      <c r="K13783">
        <v>0</v>
      </c>
      <c r="L13783">
        <v>18972</v>
      </c>
      <c r="M13783" t="s">
        <v>163</v>
      </c>
      <c r="N13783" t="str">
        <f>"36051128    "</f>
        <v xml:space="preserve">36051128    </v>
      </c>
      <c r="O13783">
        <v>231208</v>
      </c>
    </row>
    <row r="13784" spans="1:15" x14ac:dyDescent="0.25">
      <c r="A13784" t="s">
        <v>16</v>
      </c>
      <c r="B13784" t="s">
        <v>3221</v>
      </c>
      <c r="C13784">
        <v>18737</v>
      </c>
      <c r="D13784" t="s">
        <v>179</v>
      </c>
      <c r="E13784" t="s">
        <v>180</v>
      </c>
      <c r="F13784">
        <v>87.2</v>
      </c>
      <c r="G13784">
        <v>231231</v>
      </c>
      <c r="H13784">
        <v>4380</v>
      </c>
      <c r="I13784" t="s">
        <v>113</v>
      </c>
      <c r="J13784">
        <v>87.2</v>
      </c>
      <c r="K13784">
        <v>0</v>
      </c>
      <c r="L13784">
        <v>11001</v>
      </c>
      <c r="M13784" t="s">
        <v>326</v>
      </c>
      <c r="N13784" t="str">
        <f>"36117896    "</f>
        <v xml:space="preserve">36117896    </v>
      </c>
      <c r="O13784">
        <v>240105</v>
      </c>
    </row>
    <row r="13785" spans="1:15" x14ac:dyDescent="0.25">
      <c r="A13785" t="s">
        <v>16</v>
      </c>
      <c r="B13785" t="s">
        <v>3221</v>
      </c>
      <c r="C13785">
        <v>18737</v>
      </c>
      <c r="D13785" t="s">
        <v>179</v>
      </c>
      <c r="E13785" t="s">
        <v>180</v>
      </c>
      <c r="F13785">
        <v>50</v>
      </c>
      <c r="G13785">
        <v>231231</v>
      </c>
      <c r="H13785">
        <v>4380</v>
      </c>
      <c r="I13785" t="s">
        <v>113</v>
      </c>
      <c r="J13785">
        <v>50</v>
      </c>
      <c r="K13785">
        <v>0</v>
      </c>
      <c r="L13785">
        <v>18972</v>
      </c>
      <c r="M13785" t="s">
        <v>163</v>
      </c>
      <c r="N13785" t="str">
        <f>"36117896    "</f>
        <v xml:space="preserve">36117896    </v>
      </c>
      <c r="O13785">
        <v>240105</v>
      </c>
    </row>
    <row r="13786" spans="1:15" x14ac:dyDescent="0.25">
      <c r="A13786" t="s">
        <v>16</v>
      </c>
      <c r="B13786" t="s">
        <v>3221</v>
      </c>
      <c r="C13786">
        <v>933</v>
      </c>
      <c r="D13786" t="s">
        <v>179</v>
      </c>
      <c r="E13786" t="s">
        <v>180</v>
      </c>
      <c r="F13786">
        <v>149.69999999999999</v>
      </c>
      <c r="G13786">
        <v>230124</v>
      </c>
      <c r="H13786">
        <v>4390</v>
      </c>
      <c r="I13786" t="s">
        <v>98</v>
      </c>
      <c r="J13786">
        <v>185.63</v>
      </c>
      <c r="K13786">
        <v>35.93</v>
      </c>
      <c r="L13786">
        <v>59504</v>
      </c>
      <c r="M13786" t="s">
        <v>71</v>
      </c>
      <c r="N13786" t="str">
        <f>"05689216    "</f>
        <v xml:space="preserve">05689216    </v>
      </c>
      <c r="O13786">
        <v>230201</v>
      </c>
    </row>
    <row r="13787" spans="1:15" x14ac:dyDescent="0.25">
      <c r="A13787" t="s">
        <v>16</v>
      </c>
      <c r="B13787" t="s">
        <v>3221</v>
      </c>
      <c r="C13787">
        <v>2752</v>
      </c>
      <c r="D13787" t="s">
        <v>179</v>
      </c>
      <c r="E13787" t="s">
        <v>180</v>
      </c>
      <c r="F13787">
        <v>35.799999999999997</v>
      </c>
      <c r="G13787">
        <v>230228</v>
      </c>
      <c r="H13787">
        <v>4550</v>
      </c>
      <c r="I13787" t="s">
        <v>312</v>
      </c>
      <c r="J13787">
        <v>35.799999999999997</v>
      </c>
      <c r="K13787">
        <v>0</v>
      </c>
      <c r="L13787">
        <v>11001</v>
      </c>
      <c r="M13787" t="s">
        <v>326</v>
      </c>
      <c r="N13787" t="str">
        <f>"34440556    "</f>
        <v xml:space="preserve">34440556    </v>
      </c>
      <c r="O13787">
        <v>230307</v>
      </c>
    </row>
    <row r="13788" spans="1:15" x14ac:dyDescent="0.25">
      <c r="A13788" t="s">
        <v>16</v>
      </c>
      <c r="B13788" t="s">
        <v>3221</v>
      </c>
      <c r="C13788">
        <v>4796</v>
      </c>
      <c r="D13788" t="s">
        <v>179</v>
      </c>
      <c r="E13788" t="s">
        <v>180</v>
      </c>
      <c r="F13788">
        <v>17.899999999999999</v>
      </c>
      <c r="G13788">
        <v>230331</v>
      </c>
      <c r="H13788">
        <v>4550</v>
      </c>
      <c r="I13788" t="s">
        <v>312</v>
      </c>
      <c r="J13788">
        <v>17.899999999999999</v>
      </c>
      <c r="K13788">
        <v>0</v>
      </c>
      <c r="L13788">
        <v>11001</v>
      </c>
      <c r="M13788" t="s">
        <v>326</v>
      </c>
      <c r="N13788" t="str">
        <f>"34507575    "</f>
        <v xml:space="preserve">34507575    </v>
      </c>
      <c r="O13788">
        <v>230412</v>
      </c>
    </row>
    <row r="13789" spans="1:15" x14ac:dyDescent="0.25">
      <c r="A13789" t="s">
        <v>16</v>
      </c>
      <c r="B13789" t="s">
        <v>3221</v>
      </c>
      <c r="C13789">
        <v>8535</v>
      </c>
      <c r="D13789" t="s">
        <v>179</v>
      </c>
      <c r="E13789" t="s">
        <v>180</v>
      </c>
      <c r="F13789">
        <v>19.8</v>
      </c>
      <c r="G13789">
        <v>230531</v>
      </c>
      <c r="H13789">
        <v>4550</v>
      </c>
      <c r="I13789" t="s">
        <v>312</v>
      </c>
      <c r="J13789">
        <v>19.8</v>
      </c>
      <c r="K13789">
        <v>0</v>
      </c>
      <c r="L13789">
        <v>11001</v>
      </c>
      <c r="M13789" t="s">
        <v>326</v>
      </c>
      <c r="N13789" t="str">
        <f>"34642870    "</f>
        <v xml:space="preserve">34642870    </v>
      </c>
      <c r="O13789">
        <v>230612</v>
      </c>
    </row>
    <row r="13790" spans="1:15" x14ac:dyDescent="0.25">
      <c r="A13790" t="s">
        <v>16</v>
      </c>
      <c r="B13790" t="s">
        <v>3221</v>
      </c>
      <c r="C13790">
        <v>9380</v>
      </c>
      <c r="D13790" t="s">
        <v>179</v>
      </c>
      <c r="E13790" t="s">
        <v>180</v>
      </c>
      <c r="F13790">
        <v>9.9</v>
      </c>
      <c r="G13790">
        <v>230630</v>
      </c>
      <c r="H13790">
        <v>4550</v>
      </c>
      <c r="I13790" t="s">
        <v>312</v>
      </c>
      <c r="J13790">
        <v>9.9</v>
      </c>
      <c r="K13790">
        <v>0</v>
      </c>
      <c r="L13790">
        <v>11001</v>
      </c>
      <c r="M13790" t="s">
        <v>326</v>
      </c>
      <c r="N13790" t="str">
        <f>"34711875    "</f>
        <v xml:space="preserve">34711875    </v>
      </c>
      <c r="O13790">
        <v>230710</v>
      </c>
    </row>
    <row r="13791" spans="1:15" x14ac:dyDescent="0.25">
      <c r="A13791" t="s">
        <v>16</v>
      </c>
      <c r="B13791" t="s">
        <v>3221</v>
      </c>
      <c r="C13791">
        <v>10256</v>
      </c>
      <c r="D13791" t="s">
        <v>179</v>
      </c>
      <c r="E13791" t="s">
        <v>180</v>
      </c>
      <c r="F13791">
        <v>29.7</v>
      </c>
      <c r="G13791">
        <v>230731</v>
      </c>
      <c r="H13791">
        <v>4550</v>
      </c>
      <c r="I13791" t="s">
        <v>312</v>
      </c>
      <c r="J13791">
        <v>29.7</v>
      </c>
      <c r="K13791">
        <v>0</v>
      </c>
      <c r="L13791">
        <v>11001</v>
      </c>
      <c r="M13791" t="s">
        <v>326</v>
      </c>
      <c r="N13791" t="str">
        <f>"34779665    "</f>
        <v xml:space="preserve">34779665    </v>
      </c>
      <c r="O13791">
        <v>230814</v>
      </c>
    </row>
    <row r="13792" spans="1:15" x14ac:dyDescent="0.25">
      <c r="A13792" t="s">
        <v>16</v>
      </c>
      <c r="B13792" t="s">
        <v>3221</v>
      </c>
      <c r="C13792">
        <v>13569</v>
      </c>
      <c r="D13792" t="s">
        <v>179</v>
      </c>
      <c r="E13792" t="s">
        <v>180</v>
      </c>
      <c r="F13792">
        <v>9.9</v>
      </c>
      <c r="G13792">
        <v>230930</v>
      </c>
      <c r="H13792">
        <v>4550</v>
      </c>
      <c r="I13792" t="s">
        <v>312</v>
      </c>
      <c r="J13792">
        <v>9.9</v>
      </c>
      <c r="K13792">
        <v>0</v>
      </c>
      <c r="L13792">
        <v>11001</v>
      </c>
      <c r="M13792" t="s">
        <v>326</v>
      </c>
      <c r="N13792" t="str">
        <f>"34915621    "</f>
        <v xml:space="preserve">34915621    </v>
      </c>
      <c r="O13792">
        <v>231011</v>
      </c>
    </row>
    <row r="13793" spans="1:15" x14ac:dyDescent="0.25">
      <c r="A13793" t="s">
        <v>16</v>
      </c>
      <c r="B13793" t="s">
        <v>3221</v>
      </c>
      <c r="C13793">
        <v>13569</v>
      </c>
      <c r="D13793" t="s">
        <v>179</v>
      </c>
      <c r="E13793" t="s">
        <v>180</v>
      </c>
      <c r="F13793">
        <v>9.9</v>
      </c>
      <c r="G13793">
        <v>230930</v>
      </c>
      <c r="H13793">
        <v>4550</v>
      </c>
      <c r="I13793" t="s">
        <v>312</v>
      </c>
      <c r="J13793">
        <v>9.9</v>
      </c>
      <c r="K13793">
        <v>0</v>
      </c>
      <c r="L13793">
        <v>18972</v>
      </c>
      <c r="M13793" t="s">
        <v>163</v>
      </c>
      <c r="N13793" t="str">
        <f>"34915621    "</f>
        <v xml:space="preserve">34915621    </v>
      </c>
      <c r="O13793">
        <v>231011</v>
      </c>
    </row>
    <row r="13794" spans="1:15" x14ac:dyDescent="0.25">
      <c r="A13794" t="s">
        <v>16</v>
      </c>
      <c r="B13794" t="s">
        <v>3221</v>
      </c>
      <c r="C13794">
        <v>15319</v>
      </c>
      <c r="D13794" t="s">
        <v>179</v>
      </c>
      <c r="E13794" t="s">
        <v>180</v>
      </c>
      <c r="F13794">
        <v>10.4</v>
      </c>
      <c r="G13794">
        <v>231031</v>
      </c>
      <c r="H13794">
        <v>4550</v>
      </c>
      <c r="I13794" t="s">
        <v>312</v>
      </c>
      <c r="J13794">
        <v>10.4</v>
      </c>
      <c r="K13794">
        <v>0</v>
      </c>
      <c r="L13794">
        <v>11001</v>
      </c>
      <c r="M13794" t="s">
        <v>326</v>
      </c>
      <c r="N13794" t="str">
        <f>"34983344    "</f>
        <v xml:space="preserve">34983344    </v>
      </c>
      <c r="O13794">
        <v>231113</v>
      </c>
    </row>
    <row r="13795" spans="1:15" x14ac:dyDescent="0.25">
      <c r="A13795" t="s">
        <v>16</v>
      </c>
      <c r="B13795" t="s">
        <v>3221</v>
      </c>
      <c r="C13795">
        <v>16749</v>
      </c>
      <c r="D13795" t="s">
        <v>179</v>
      </c>
      <c r="E13795" t="s">
        <v>180</v>
      </c>
      <c r="F13795">
        <v>9.9</v>
      </c>
      <c r="G13795">
        <v>231130</v>
      </c>
      <c r="H13795">
        <v>4550</v>
      </c>
      <c r="I13795" t="s">
        <v>312</v>
      </c>
      <c r="J13795">
        <v>9.9</v>
      </c>
      <c r="K13795">
        <v>0</v>
      </c>
      <c r="L13795">
        <v>11001</v>
      </c>
      <c r="M13795" t="s">
        <v>326</v>
      </c>
      <c r="N13795" t="str">
        <f>"36051128    "</f>
        <v xml:space="preserve">36051128    </v>
      </c>
      <c r="O13795">
        <v>231208</v>
      </c>
    </row>
    <row r="13796" spans="1:15" x14ac:dyDescent="0.25">
      <c r="A13796" t="s">
        <v>16</v>
      </c>
      <c r="B13796" t="s">
        <v>3221</v>
      </c>
      <c r="C13796">
        <v>18737</v>
      </c>
      <c r="D13796" t="s">
        <v>179</v>
      </c>
      <c r="E13796" t="s">
        <v>180</v>
      </c>
      <c r="F13796">
        <v>37.700000000000003</v>
      </c>
      <c r="G13796">
        <v>231231</v>
      </c>
      <c r="H13796">
        <v>4550</v>
      </c>
      <c r="I13796" t="s">
        <v>312</v>
      </c>
      <c r="J13796">
        <v>37.700000000000003</v>
      </c>
      <c r="K13796">
        <v>0</v>
      </c>
      <c r="L13796">
        <v>11001</v>
      </c>
      <c r="M13796" t="s">
        <v>326</v>
      </c>
      <c r="N13796" t="str">
        <f>"36117896    "</f>
        <v xml:space="preserve">36117896    </v>
      </c>
      <c r="O13796">
        <v>240105</v>
      </c>
    </row>
    <row r="13797" spans="1:15" x14ac:dyDescent="0.25">
      <c r="A13797" t="s">
        <v>16</v>
      </c>
      <c r="B13797" t="s">
        <v>3221</v>
      </c>
      <c r="C13797">
        <v>3430</v>
      </c>
      <c r="D13797" t="s">
        <v>1557</v>
      </c>
      <c r="E13797" t="s">
        <v>1558</v>
      </c>
      <c r="F13797">
        <v>971</v>
      </c>
      <c r="G13797">
        <v>230313</v>
      </c>
      <c r="H13797">
        <v>4580</v>
      </c>
      <c r="I13797" t="s">
        <v>35</v>
      </c>
      <c r="J13797">
        <v>1204.04</v>
      </c>
      <c r="K13797">
        <v>233.04</v>
      </c>
      <c r="L13797">
        <v>17711</v>
      </c>
      <c r="M13797" t="s">
        <v>65</v>
      </c>
      <c r="N13797" t="str">
        <f>"460559      "</f>
        <v xml:space="preserve">460559      </v>
      </c>
      <c r="O13797">
        <v>230315</v>
      </c>
    </row>
    <row r="13798" spans="1:15" x14ac:dyDescent="0.25">
      <c r="A13798" t="s">
        <v>16</v>
      </c>
      <c r="B13798" t="s">
        <v>3221</v>
      </c>
      <c r="C13798">
        <v>9849</v>
      </c>
      <c r="D13798" t="s">
        <v>2328</v>
      </c>
      <c r="E13798" t="s">
        <v>2329</v>
      </c>
      <c r="F13798">
        <v>150</v>
      </c>
      <c r="G13798">
        <v>230706</v>
      </c>
      <c r="H13798">
        <v>4341</v>
      </c>
      <c r="I13798" t="s">
        <v>32</v>
      </c>
      <c r="J13798">
        <v>186</v>
      </c>
      <c r="K13798">
        <v>36</v>
      </c>
      <c r="L13798">
        <v>11801</v>
      </c>
      <c r="M13798" t="s">
        <v>92</v>
      </c>
      <c r="N13798" t="str">
        <f>"6425        "</f>
        <v xml:space="preserve">6425        </v>
      </c>
      <c r="O13798">
        <v>230731</v>
      </c>
    </row>
    <row r="13799" spans="1:15" x14ac:dyDescent="0.25">
      <c r="A13799" t="s">
        <v>16</v>
      </c>
      <c r="B13799" t="s">
        <v>3221</v>
      </c>
      <c r="C13799">
        <v>16658</v>
      </c>
      <c r="D13799" t="s">
        <v>2328</v>
      </c>
      <c r="E13799" t="s">
        <v>2329</v>
      </c>
      <c r="F13799">
        <v>160</v>
      </c>
      <c r="G13799">
        <v>231117</v>
      </c>
      <c r="H13799">
        <v>4362</v>
      </c>
      <c r="I13799" t="s">
        <v>79</v>
      </c>
      <c r="J13799">
        <v>198.4</v>
      </c>
      <c r="K13799">
        <v>38.4</v>
      </c>
      <c r="L13799">
        <v>11801</v>
      </c>
      <c r="M13799" t="s">
        <v>92</v>
      </c>
      <c r="N13799" t="str">
        <f>"6533        "</f>
        <v xml:space="preserve">6533        </v>
      </c>
      <c r="O13799">
        <v>231205</v>
      </c>
    </row>
    <row r="13800" spans="1:15" x14ac:dyDescent="0.25">
      <c r="A13800" t="s">
        <v>16</v>
      </c>
      <c r="B13800" t="s">
        <v>3221</v>
      </c>
      <c r="C13800">
        <v>11210</v>
      </c>
      <c r="D13800" t="s">
        <v>2459</v>
      </c>
      <c r="E13800" t="s">
        <v>2460</v>
      </c>
      <c r="F13800">
        <v>249.76</v>
      </c>
      <c r="G13800">
        <v>230830</v>
      </c>
      <c r="H13800">
        <v>4600</v>
      </c>
      <c r="I13800" t="s">
        <v>105</v>
      </c>
      <c r="J13800">
        <v>309.7</v>
      </c>
      <c r="K13800">
        <v>59.94</v>
      </c>
      <c r="L13800">
        <v>56565</v>
      </c>
      <c r="M13800" t="s">
        <v>758</v>
      </c>
      <c r="N13800" t="str">
        <f>"600010435   "</f>
        <v xml:space="preserve">600010435   </v>
      </c>
      <c r="O13800">
        <v>230831</v>
      </c>
    </row>
    <row r="13801" spans="1:15" x14ac:dyDescent="0.25">
      <c r="A13801" t="s">
        <v>16</v>
      </c>
      <c r="B13801" t="s">
        <v>3221</v>
      </c>
      <c r="C13801">
        <v>11320</v>
      </c>
      <c r="D13801" t="s">
        <v>2459</v>
      </c>
      <c r="E13801" t="s">
        <v>2460</v>
      </c>
      <c r="F13801">
        <v>325.2</v>
      </c>
      <c r="G13801">
        <v>230830</v>
      </c>
      <c r="H13801">
        <v>4600</v>
      </c>
      <c r="I13801" t="s">
        <v>105</v>
      </c>
      <c r="J13801">
        <v>403.25</v>
      </c>
      <c r="K13801">
        <v>78.05</v>
      </c>
      <c r="L13801">
        <v>44222</v>
      </c>
      <c r="M13801" t="s">
        <v>232</v>
      </c>
      <c r="N13801" t="str">
        <f>"600010285   "</f>
        <v xml:space="preserve">600010285   </v>
      </c>
      <c r="O13801">
        <v>230904</v>
      </c>
    </row>
    <row r="13802" spans="1:15" x14ac:dyDescent="0.25">
      <c r="A13802" t="s">
        <v>16</v>
      </c>
      <c r="B13802" t="s">
        <v>3221</v>
      </c>
      <c r="C13802">
        <v>12772</v>
      </c>
      <c r="D13802" t="s">
        <v>2459</v>
      </c>
      <c r="E13802" t="s">
        <v>2460</v>
      </c>
      <c r="F13802">
        <v>99.8</v>
      </c>
      <c r="G13802">
        <v>230922</v>
      </c>
      <c r="H13802">
        <v>4600</v>
      </c>
      <c r="I13802" t="s">
        <v>105</v>
      </c>
      <c r="J13802">
        <v>123.75</v>
      </c>
      <c r="K13802">
        <v>23.95</v>
      </c>
      <c r="L13802">
        <v>44222</v>
      </c>
      <c r="M13802" t="s">
        <v>232</v>
      </c>
      <c r="N13802" t="str">
        <f>"600011017   "</f>
        <v xml:space="preserve">600011017   </v>
      </c>
      <c r="O13802">
        <v>230926</v>
      </c>
    </row>
    <row r="13803" spans="1:15" x14ac:dyDescent="0.25">
      <c r="A13803" t="s">
        <v>16</v>
      </c>
      <c r="B13803" t="s">
        <v>3221</v>
      </c>
      <c r="C13803">
        <v>13029</v>
      </c>
      <c r="D13803" t="s">
        <v>3207</v>
      </c>
      <c r="E13803" t="s">
        <v>3208</v>
      </c>
      <c r="F13803">
        <v>12.84</v>
      </c>
      <c r="G13803">
        <v>230927</v>
      </c>
      <c r="H13803">
        <v>4840</v>
      </c>
      <c r="I13803" t="s">
        <v>19</v>
      </c>
      <c r="J13803">
        <v>15.92</v>
      </c>
      <c r="K13803">
        <v>3.08</v>
      </c>
      <c r="L13803">
        <v>14121</v>
      </c>
      <c r="M13803" t="s">
        <v>880</v>
      </c>
      <c r="N13803" t="str">
        <f>"571929546   "</f>
        <v xml:space="preserve">571929546   </v>
      </c>
      <c r="O13803">
        <v>231002</v>
      </c>
    </row>
    <row r="13804" spans="1:15" x14ac:dyDescent="0.25">
      <c r="A13804" t="s">
        <v>16</v>
      </c>
      <c r="B13804" t="s">
        <v>3221</v>
      </c>
      <c r="C13804">
        <v>13029</v>
      </c>
      <c r="D13804" t="s">
        <v>3207</v>
      </c>
      <c r="E13804" t="s">
        <v>3208</v>
      </c>
      <c r="F13804">
        <v>12.83</v>
      </c>
      <c r="G13804">
        <v>230927</v>
      </c>
      <c r="H13804">
        <v>4840</v>
      </c>
      <c r="I13804" t="s">
        <v>19</v>
      </c>
      <c r="J13804">
        <v>15.91</v>
      </c>
      <c r="K13804">
        <v>3.08</v>
      </c>
      <c r="L13804">
        <v>14541</v>
      </c>
      <c r="M13804" t="s">
        <v>626</v>
      </c>
      <c r="N13804" t="str">
        <f>"571929546   "</f>
        <v xml:space="preserve">571929546   </v>
      </c>
      <c r="O13804">
        <v>231002</v>
      </c>
    </row>
    <row r="13805" spans="1:15" x14ac:dyDescent="0.25">
      <c r="A13805" t="s">
        <v>16</v>
      </c>
      <c r="B13805" t="s">
        <v>3221</v>
      </c>
      <c r="C13805">
        <v>13029</v>
      </c>
      <c r="D13805" t="s">
        <v>3207</v>
      </c>
      <c r="E13805" t="s">
        <v>3208</v>
      </c>
      <c r="F13805">
        <v>12.83</v>
      </c>
      <c r="G13805">
        <v>230927</v>
      </c>
      <c r="H13805">
        <v>4840</v>
      </c>
      <c r="I13805" t="s">
        <v>19</v>
      </c>
      <c r="J13805">
        <v>15.91</v>
      </c>
      <c r="K13805">
        <v>3.08</v>
      </c>
      <c r="L13805">
        <v>14640</v>
      </c>
      <c r="M13805" t="s">
        <v>229</v>
      </c>
      <c r="N13805" t="str">
        <f>"571929546   "</f>
        <v xml:space="preserve">571929546   </v>
      </c>
      <c r="O13805">
        <v>231002</v>
      </c>
    </row>
    <row r="13806" spans="1:15" x14ac:dyDescent="0.25">
      <c r="A13806" t="s">
        <v>16</v>
      </c>
      <c r="B13806" t="s">
        <v>3221</v>
      </c>
      <c r="C13806">
        <v>17549</v>
      </c>
      <c r="D13806" t="s">
        <v>3207</v>
      </c>
      <c r="E13806" t="s">
        <v>3208</v>
      </c>
      <c r="F13806">
        <v>12.83</v>
      </c>
      <c r="G13806">
        <v>231213</v>
      </c>
      <c r="H13806">
        <v>4840</v>
      </c>
      <c r="I13806" t="s">
        <v>19</v>
      </c>
      <c r="J13806">
        <v>15.91</v>
      </c>
      <c r="K13806">
        <v>3.08</v>
      </c>
      <c r="L13806">
        <v>14121</v>
      </c>
      <c r="M13806" t="s">
        <v>880</v>
      </c>
      <c r="N13806" t="str">
        <f>"571996003   "</f>
        <v xml:space="preserve">571996003   </v>
      </c>
      <c r="O13806">
        <v>231215</v>
      </c>
    </row>
    <row r="13807" spans="1:15" x14ac:dyDescent="0.25">
      <c r="A13807" t="s">
        <v>16</v>
      </c>
      <c r="B13807" t="s">
        <v>3221</v>
      </c>
      <c r="C13807">
        <v>17549</v>
      </c>
      <c r="D13807" t="s">
        <v>3207</v>
      </c>
      <c r="E13807" t="s">
        <v>3208</v>
      </c>
      <c r="F13807">
        <v>12.83</v>
      </c>
      <c r="G13807">
        <v>231213</v>
      </c>
      <c r="H13807">
        <v>4840</v>
      </c>
      <c r="I13807" t="s">
        <v>19</v>
      </c>
      <c r="J13807">
        <v>15.91</v>
      </c>
      <c r="K13807">
        <v>3.08</v>
      </c>
      <c r="L13807">
        <v>14541</v>
      </c>
      <c r="M13807" t="s">
        <v>626</v>
      </c>
      <c r="N13807" t="str">
        <f>"571996003   "</f>
        <v xml:space="preserve">571996003   </v>
      </c>
      <c r="O13807">
        <v>231215</v>
      </c>
    </row>
    <row r="13808" spans="1:15" x14ac:dyDescent="0.25">
      <c r="A13808" t="s">
        <v>16</v>
      </c>
      <c r="B13808" t="s">
        <v>3221</v>
      </c>
      <c r="C13808">
        <v>17549</v>
      </c>
      <c r="D13808" t="s">
        <v>3207</v>
      </c>
      <c r="E13808" t="s">
        <v>3208</v>
      </c>
      <c r="F13808">
        <v>12.84</v>
      </c>
      <c r="G13808">
        <v>231213</v>
      </c>
      <c r="H13808">
        <v>4840</v>
      </c>
      <c r="I13808" t="s">
        <v>19</v>
      </c>
      <c r="J13808">
        <v>15.92</v>
      </c>
      <c r="K13808">
        <v>3.08</v>
      </c>
      <c r="L13808">
        <v>14642</v>
      </c>
      <c r="M13808" t="s">
        <v>863</v>
      </c>
      <c r="N13808" t="str">
        <f>"571996003   "</f>
        <v xml:space="preserve">571996003   </v>
      </c>
      <c r="O13808">
        <v>231215</v>
      </c>
    </row>
    <row r="13809" spans="1:15" x14ac:dyDescent="0.25">
      <c r="A13809" t="s">
        <v>16</v>
      </c>
      <c r="B13809" t="s">
        <v>3221</v>
      </c>
      <c r="C13809">
        <v>134</v>
      </c>
      <c r="D13809" t="s">
        <v>3207</v>
      </c>
      <c r="E13809" t="s">
        <v>3208</v>
      </c>
      <c r="F13809">
        <v>151.05000000000001</v>
      </c>
      <c r="G13809">
        <v>230105</v>
      </c>
      <c r="H13809">
        <v>4860</v>
      </c>
      <c r="I13809" t="s">
        <v>28</v>
      </c>
      <c r="J13809">
        <v>187.3</v>
      </c>
      <c r="K13809">
        <v>36.25</v>
      </c>
      <c r="L13809">
        <v>14432</v>
      </c>
      <c r="M13809" t="s">
        <v>862</v>
      </c>
      <c r="N13809" t="str">
        <f>"571747330   "</f>
        <v xml:space="preserve">571747330   </v>
      </c>
      <c r="O13809">
        <v>230112</v>
      </c>
    </row>
    <row r="13810" spans="1:15" x14ac:dyDescent="0.25">
      <c r="A13810" t="s">
        <v>16</v>
      </c>
      <c r="B13810" t="s">
        <v>3221</v>
      </c>
      <c r="C13810">
        <v>4561</v>
      </c>
      <c r="D13810" t="s">
        <v>3207</v>
      </c>
      <c r="E13810" t="s">
        <v>3208</v>
      </c>
      <c r="F13810">
        <v>151.05000000000001</v>
      </c>
      <c r="G13810">
        <v>230405</v>
      </c>
      <c r="H13810">
        <v>4860</v>
      </c>
      <c r="I13810" t="s">
        <v>28</v>
      </c>
      <c r="J13810">
        <v>187.3</v>
      </c>
      <c r="K13810">
        <v>36.25</v>
      </c>
      <c r="L13810">
        <v>14432</v>
      </c>
      <c r="M13810" t="s">
        <v>862</v>
      </c>
      <c r="N13810" t="str">
        <f>"571815583   "</f>
        <v xml:space="preserve">571815583   </v>
      </c>
      <c r="O13810">
        <v>230406</v>
      </c>
    </row>
    <row r="13811" spans="1:15" x14ac:dyDescent="0.25">
      <c r="A13811" t="s">
        <v>16</v>
      </c>
      <c r="B13811" t="s">
        <v>3221</v>
      </c>
      <c r="C13811">
        <v>9439</v>
      </c>
      <c r="D13811" t="s">
        <v>3207</v>
      </c>
      <c r="E13811" t="s">
        <v>3208</v>
      </c>
      <c r="F13811">
        <v>151.05000000000001</v>
      </c>
      <c r="G13811">
        <v>230705</v>
      </c>
      <c r="H13811">
        <v>4860</v>
      </c>
      <c r="I13811" t="s">
        <v>28</v>
      </c>
      <c r="J13811">
        <v>187.3</v>
      </c>
      <c r="K13811">
        <v>36.25</v>
      </c>
      <c r="L13811">
        <v>14432</v>
      </c>
      <c r="M13811" t="s">
        <v>862</v>
      </c>
      <c r="N13811" t="str">
        <f>"571885019   "</f>
        <v xml:space="preserve">571885019   </v>
      </c>
      <c r="O13811">
        <v>230711</v>
      </c>
    </row>
    <row r="13812" spans="1:15" x14ac:dyDescent="0.25">
      <c r="A13812" t="s">
        <v>16</v>
      </c>
      <c r="B13812" t="s">
        <v>3221</v>
      </c>
      <c r="C13812">
        <v>13699</v>
      </c>
      <c r="D13812" t="s">
        <v>3207</v>
      </c>
      <c r="E13812" t="s">
        <v>3208</v>
      </c>
      <c r="F13812">
        <v>151.05000000000001</v>
      </c>
      <c r="G13812">
        <v>231005</v>
      </c>
      <c r="H13812">
        <v>4860</v>
      </c>
      <c r="I13812" t="s">
        <v>28</v>
      </c>
      <c r="J13812">
        <v>187.3</v>
      </c>
      <c r="K13812">
        <v>36.25</v>
      </c>
      <c r="L13812">
        <v>14432</v>
      </c>
      <c r="M13812" t="s">
        <v>862</v>
      </c>
      <c r="N13812" t="str">
        <f>"571951754   "</f>
        <v xml:space="preserve">571951754   </v>
      </c>
      <c r="O13812">
        <v>231012</v>
      </c>
    </row>
    <row r="13813" spans="1:15" x14ac:dyDescent="0.25">
      <c r="A13813" t="s">
        <v>16</v>
      </c>
      <c r="B13813" t="s">
        <v>3221</v>
      </c>
      <c r="C13813">
        <v>9115</v>
      </c>
      <c r="D13813" t="s">
        <v>2301</v>
      </c>
      <c r="E13813" t="s">
        <v>2302</v>
      </c>
      <c r="F13813">
        <v>240</v>
      </c>
      <c r="G13813">
        <v>230617</v>
      </c>
      <c r="H13813">
        <v>4362</v>
      </c>
      <c r="I13813" t="s">
        <v>79</v>
      </c>
      <c r="J13813">
        <v>297.60000000000002</v>
      </c>
      <c r="K13813">
        <v>57.6</v>
      </c>
      <c r="L13813">
        <v>13401</v>
      </c>
      <c r="M13813" t="s">
        <v>80</v>
      </c>
      <c r="N13813" t="str">
        <f>"4542        "</f>
        <v xml:space="preserve">4542        </v>
      </c>
      <c r="O13813">
        <v>230628</v>
      </c>
    </row>
    <row r="13814" spans="1:15" x14ac:dyDescent="0.25">
      <c r="A13814" t="s">
        <v>16</v>
      </c>
      <c r="B13814" t="s">
        <v>3221</v>
      </c>
      <c r="C13814">
        <v>12850</v>
      </c>
      <c r="D13814" t="s">
        <v>2301</v>
      </c>
      <c r="E13814" t="s">
        <v>2302</v>
      </c>
      <c r="F13814">
        <v>160</v>
      </c>
      <c r="G13814">
        <v>230924</v>
      </c>
      <c r="H13814">
        <v>4362</v>
      </c>
      <c r="I13814" t="s">
        <v>79</v>
      </c>
      <c r="J13814">
        <v>198.4</v>
      </c>
      <c r="K13814">
        <v>38.4</v>
      </c>
      <c r="L13814">
        <v>13501</v>
      </c>
      <c r="M13814" t="s">
        <v>20</v>
      </c>
      <c r="N13814" t="str">
        <f>"4638        "</f>
        <v xml:space="preserve">4638        </v>
      </c>
      <c r="O13814">
        <v>230928</v>
      </c>
    </row>
    <row r="13815" spans="1:15" x14ac:dyDescent="0.25">
      <c r="A13815" t="s">
        <v>16</v>
      </c>
      <c r="B13815" t="s">
        <v>3221</v>
      </c>
      <c r="C13815">
        <v>2231</v>
      </c>
      <c r="D13815" t="s">
        <v>1333</v>
      </c>
      <c r="E13815" t="s">
        <v>1334</v>
      </c>
      <c r="F13815">
        <v>176.61</v>
      </c>
      <c r="G13815">
        <v>230215</v>
      </c>
      <c r="H13815">
        <v>4600</v>
      </c>
      <c r="I13815" t="s">
        <v>105</v>
      </c>
      <c r="J13815">
        <v>219</v>
      </c>
      <c r="K13815">
        <v>42.39</v>
      </c>
      <c r="L13815">
        <v>66756</v>
      </c>
      <c r="M13815" t="s">
        <v>209</v>
      </c>
      <c r="N13815" t="str">
        <f>"1200390     "</f>
        <v xml:space="preserve">1200390     </v>
      </c>
      <c r="O13815">
        <v>230222</v>
      </c>
    </row>
    <row r="13816" spans="1:15" x14ac:dyDescent="0.25">
      <c r="A13816" t="s">
        <v>16</v>
      </c>
      <c r="B13816" t="s">
        <v>3221</v>
      </c>
      <c r="C13816">
        <v>11316</v>
      </c>
      <c r="D13816" t="s">
        <v>3347</v>
      </c>
      <c r="E13816" t="s">
        <v>3348</v>
      </c>
      <c r="F13816">
        <v>967.74</v>
      </c>
      <c r="G13816">
        <v>230822</v>
      </c>
      <c r="H13816">
        <v>4341</v>
      </c>
      <c r="I13816" t="s">
        <v>32</v>
      </c>
      <c r="J13816">
        <v>1200</v>
      </c>
      <c r="K13816">
        <v>232.26</v>
      </c>
      <c r="L13816">
        <v>11801</v>
      </c>
      <c r="M13816" t="s">
        <v>92</v>
      </c>
      <c r="N13816" t="str">
        <f>"30232064    "</f>
        <v xml:space="preserve">30232064    </v>
      </c>
      <c r="O13816">
        <v>230904</v>
      </c>
    </row>
    <row r="13817" spans="1:15" x14ac:dyDescent="0.25">
      <c r="A13817" t="s">
        <v>16</v>
      </c>
      <c r="B13817" t="s">
        <v>3221</v>
      </c>
      <c r="C13817">
        <v>2902</v>
      </c>
      <c r="D13817" t="s">
        <v>3347</v>
      </c>
      <c r="E13817" t="s">
        <v>3348</v>
      </c>
      <c r="F13817">
        <v>42</v>
      </c>
      <c r="G13817">
        <v>230306</v>
      </c>
      <c r="H13817">
        <v>4510</v>
      </c>
      <c r="I13817" t="s">
        <v>42</v>
      </c>
      <c r="J13817">
        <v>42</v>
      </c>
      <c r="K13817">
        <v>0</v>
      </c>
      <c r="L13817">
        <v>17790</v>
      </c>
      <c r="M13817" t="s">
        <v>3388</v>
      </c>
      <c r="N13817" t="str">
        <f>"30231043    "</f>
        <v xml:space="preserve">30231043    </v>
      </c>
      <c r="O13817">
        <v>230308</v>
      </c>
    </row>
    <row r="13818" spans="1:15" x14ac:dyDescent="0.25">
      <c r="A13818" t="s">
        <v>16</v>
      </c>
      <c r="B13818" t="s">
        <v>3221</v>
      </c>
      <c r="C13818">
        <v>3629</v>
      </c>
      <c r="D13818" t="s">
        <v>3347</v>
      </c>
      <c r="E13818" t="s">
        <v>3348</v>
      </c>
      <c r="F13818">
        <v>42</v>
      </c>
      <c r="G13818">
        <v>230306</v>
      </c>
      <c r="H13818">
        <v>4510</v>
      </c>
      <c r="I13818" t="s">
        <v>42</v>
      </c>
      <c r="J13818">
        <v>42</v>
      </c>
      <c r="K13818">
        <v>0</v>
      </c>
      <c r="L13818">
        <v>17974</v>
      </c>
      <c r="M13818" t="s">
        <v>460</v>
      </c>
      <c r="N13818" t="str">
        <f>"30230717    "</f>
        <v xml:space="preserve">30230717    </v>
      </c>
      <c r="O13818">
        <v>230320</v>
      </c>
    </row>
    <row r="13819" spans="1:15" x14ac:dyDescent="0.25">
      <c r="A13819" t="s">
        <v>16</v>
      </c>
      <c r="B13819" t="s">
        <v>3221</v>
      </c>
      <c r="C13819">
        <v>15401</v>
      </c>
      <c r="D13819" t="s">
        <v>3347</v>
      </c>
      <c r="E13819" t="s">
        <v>3348</v>
      </c>
      <c r="F13819">
        <v>153</v>
      </c>
      <c r="G13819">
        <v>231107</v>
      </c>
      <c r="H13819">
        <v>4510</v>
      </c>
      <c r="I13819" t="s">
        <v>42</v>
      </c>
      <c r="J13819">
        <v>153</v>
      </c>
      <c r="K13819">
        <v>0</v>
      </c>
      <c r="L13819">
        <v>13502</v>
      </c>
      <c r="M13819" t="s">
        <v>243</v>
      </c>
      <c r="N13819" t="str">
        <f>"30232486    "</f>
        <v xml:space="preserve">30232486    </v>
      </c>
      <c r="O13819">
        <v>231113</v>
      </c>
    </row>
    <row r="13820" spans="1:15" x14ac:dyDescent="0.25">
      <c r="A13820" t="s">
        <v>16</v>
      </c>
      <c r="B13820" t="s">
        <v>3221</v>
      </c>
      <c r="C13820">
        <v>1077</v>
      </c>
      <c r="D13820" t="s">
        <v>3347</v>
      </c>
      <c r="E13820" t="s">
        <v>3348</v>
      </c>
      <c r="F13820">
        <v>195</v>
      </c>
      <c r="G13820">
        <v>230124</v>
      </c>
      <c r="H13820">
        <v>4441</v>
      </c>
      <c r="I13820" t="s">
        <v>109</v>
      </c>
      <c r="J13820">
        <v>195</v>
      </c>
      <c r="K13820">
        <v>0</v>
      </c>
      <c r="L13820">
        <v>49705</v>
      </c>
      <c r="M13820" t="s">
        <v>575</v>
      </c>
      <c r="N13820" t="str">
        <f>"30230078    "</f>
        <v xml:space="preserve">30230078    </v>
      </c>
      <c r="O13820">
        <v>230203</v>
      </c>
    </row>
    <row r="13821" spans="1:15" x14ac:dyDescent="0.25">
      <c r="A13821" t="s">
        <v>16</v>
      </c>
      <c r="B13821" t="s">
        <v>3221</v>
      </c>
      <c r="C13821">
        <v>16165</v>
      </c>
      <c r="D13821" t="s">
        <v>2935</v>
      </c>
      <c r="E13821" t="s">
        <v>2936</v>
      </c>
      <c r="F13821">
        <v>450</v>
      </c>
      <c r="G13821">
        <v>231120</v>
      </c>
      <c r="H13821">
        <v>4470</v>
      </c>
      <c r="I13821" t="s">
        <v>83</v>
      </c>
      <c r="J13821">
        <v>450</v>
      </c>
      <c r="K13821">
        <v>0</v>
      </c>
      <c r="L13821">
        <v>49702</v>
      </c>
      <c r="M13821" t="s">
        <v>584</v>
      </c>
      <c r="N13821" t="str">
        <f>"38967       "</f>
        <v xml:space="preserve">38967       </v>
      </c>
      <c r="O13821">
        <v>231124</v>
      </c>
    </row>
    <row r="13822" spans="1:15" x14ac:dyDescent="0.25">
      <c r="A13822" t="s">
        <v>16</v>
      </c>
      <c r="B13822" t="s">
        <v>3221</v>
      </c>
      <c r="C13822">
        <v>8542</v>
      </c>
      <c r="D13822" t="s">
        <v>3670</v>
      </c>
      <c r="E13822" t="s">
        <v>2139</v>
      </c>
      <c r="F13822">
        <v>93.95</v>
      </c>
      <c r="G13822">
        <v>230530</v>
      </c>
      <c r="H13822">
        <v>4600</v>
      </c>
      <c r="I13822" t="s">
        <v>105</v>
      </c>
      <c r="J13822">
        <v>116.5</v>
      </c>
      <c r="K13822">
        <v>22.55</v>
      </c>
      <c r="L13822">
        <v>59504</v>
      </c>
      <c r="M13822" t="s">
        <v>71</v>
      </c>
      <c r="N13822" t="str">
        <f>"050623/2    "</f>
        <v xml:space="preserve">050623/2    </v>
      </c>
      <c r="O13822">
        <v>230612</v>
      </c>
    </row>
    <row r="13823" spans="1:15" x14ac:dyDescent="0.25">
      <c r="A13823" t="s">
        <v>16</v>
      </c>
      <c r="B13823" t="s">
        <v>3221</v>
      </c>
      <c r="C13823">
        <v>7882</v>
      </c>
      <c r="D13823" t="s">
        <v>3670</v>
      </c>
      <c r="E13823" t="s">
        <v>2139</v>
      </c>
      <c r="F13823">
        <v>27.36</v>
      </c>
      <c r="G13823">
        <v>230530</v>
      </c>
      <c r="H13823">
        <v>4590</v>
      </c>
      <c r="I13823" t="s">
        <v>203</v>
      </c>
      <c r="J13823">
        <v>33.93</v>
      </c>
      <c r="K13823">
        <v>6.57</v>
      </c>
      <c r="L13823">
        <v>56522</v>
      </c>
      <c r="M13823" t="s">
        <v>43</v>
      </c>
      <c r="N13823" t="str">
        <f>"050623      "</f>
        <v xml:space="preserve">050623      </v>
      </c>
      <c r="O13823">
        <v>230605</v>
      </c>
    </row>
    <row r="13824" spans="1:15" x14ac:dyDescent="0.25">
      <c r="A13824" t="s">
        <v>16</v>
      </c>
      <c r="B13824" t="s">
        <v>3221</v>
      </c>
      <c r="C13824">
        <v>8542</v>
      </c>
      <c r="D13824" t="s">
        <v>3670</v>
      </c>
      <c r="E13824" t="s">
        <v>2139</v>
      </c>
      <c r="F13824">
        <v>80.52</v>
      </c>
      <c r="G13824">
        <v>230530</v>
      </c>
      <c r="H13824">
        <v>4600</v>
      </c>
      <c r="I13824" t="s">
        <v>105</v>
      </c>
      <c r="J13824">
        <v>99.84</v>
      </c>
      <c r="K13824">
        <v>19.32</v>
      </c>
      <c r="L13824">
        <v>54422</v>
      </c>
      <c r="M13824" t="s">
        <v>234</v>
      </c>
      <c r="N13824" t="str">
        <f>"050623/2    "</f>
        <v xml:space="preserve">050623/2    </v>
      </c>
      <c r="O13824">
        <v>230612</v>
      </c>
    </row>
    <row r="13825" spans="1:15" x14ac:dyDescent="0.25">
      <c r="A13825" t="s">
        <v>16</v>
      </c>
      <c r="B13825" t="s">
        <v>3221</v>
      </c>
      <c r="C13825">
        <v>19301</v>
      </c>
      <c r="D13825" t="s">
        <v>3670</v>
      </c>
      <c r="E13825" t="s">
        <v>2139</v>
      </c>
      <c r="F13825">
        <v>18.47</v>
      </c>
      <c r="G13825">
        <v>231221</v>
      </c>
      <c r="H13825">
        <v>4600</v>
      </c>
      <c r="I13825" t="s">
        <v>105</v>
      </c>
      <c r="J13825">
        <v>22.9</v>
      </c>
      <c r="K13825">
        <v>4.43</v>
      </c>
      <c r="L13825">
        <v>56524</v>
      </c>
      <c r="M13825" t="s">
        <v>150</v>
      </c>
      <c r="N13825" t="str">
        <f>"291223      "</f>
        <v xml:space="preserve">291223      </v>
      </c>
      <c r="O13825">
        <v>240116</v>
      </c>
    </row>
    <row r="13826" spans="1:15" x14ac:dyDescent="0.25">
      <c r="A13826" t="s">
        <v>16</v>
      </c>
      <c r="B13826" t="s">
        <v>3221</v>
      </c>
      <c r="C13826">
        <v>19302</v>
      </c>
      <c r="D13826" t="s">
        <v>3670</v>
      </c>
      <c r="E13826" t="s">
        <v>2139</v>
      </c>
      <c r="F13826">
        <v>20.55</v>
      </c>
      <c r="G13826">
        <v>231229</v>
      </c>
      <c r="H13826">
        <v>4600</v>
      </c>
      <c r="I13826" t="s">
        <v>105</v>
      </c>
      <c r="J13826">
        <v>25.48</v>
      </c>
      <c r="K13826">
        <v>4.93</v>
      </c>
      <c r="L13826">
        <v>56524</v>
      </c>
      <c r="M13826" t="s">
        <v>150</v>
      </c>
      <c r="N13826" t="str">
        <f>"291223/3    "</f>
        <v xml:space="preserve">291223/3    </v>
      </c>
      <c r="O13826">
        <v>240116</v>
      </c>
    </row>
    <row r="13827" spans="1:15" x14ac:dyDescent="0.25">
      <c r="A13827" t="s">
        <v>16</v>
      </c>
      <c r="B13827" t="s">
        <v>3221</v>
      </c>
      <c r="C13827">
        <v>18452</v>
      </c>
      <c r="D13827" t="s">
        <v>3670</v>
      </c>
      <c r="E13827" t="s">
        <v>2139</v>
      </c>
      <c r="F13827">
        <v>87.2</v>
      </c>
      <c r="G13827">
        <v>231221</v>
      </c>
      <c r="H13827">
        <v>4590</v>
      </c>
      <c r="I13827" t="s">
        <v>203</v>
      </c>
      <c r="J13827">
        <v>108.13</v>
      </c>
      <c r="K13827">
        <v>20.93</v>
      </c>
      <c r="L13827">
        <v>56551</v>
      </c>
      <c r="M13827" t="s">
        <v>619</v>
      </c>
      <c r="N13827" t="str">
        <f>"291223/2    "</f>
        <v xml:space="preserve">291223/2    </v>
      </c>
      <c r="O13827">
        <v>240103</v>
      </c>
    </row>
    <row r="13828" spans="1:15" x14ac:dyDescent="0.25">
      <c r="A13828" t="s">
        <v>16</v>
      </c>
      <c r="B13828" t="s">
        <v>3221</v>
      </c>
      <c r="C13828">
        <v>1934</v>
      </c>
      <c r="D13828" t="s">
        <v>3241</v>
      </c>
      <c r="E13828" t="s">
        <v>3242</v>
      </c>
      <c r="F13828">
        <v>87.27</v>
      </c>
      <c r="G13828">
        <v>230131</v>
      </c>
      <c r="H13828">
        <v>4820</v>
      </c>
      <c r="I13828" t="s">
        <v>50</v>
      </c>
      <c r="J13828">
        <v>96</v>
      </c>
      <c r="K13828">
        <v>8.73</v>
      </c>
      <c r="L13828">
        <v>11605</v>
      </c>
      <c r="M13828" t="s">
        <v>106</v>
      </c>
      <c r="N13828" t="str">
        <f>"50008578    "</f>
        <v xml:space="preserve">50008578    </v>
      </c>
      <c r="O13828">
        <v>230216</v>
      </c>
    </row>
    <row r="13829" spans="1:15" x14ac:dyDescent="0.25">
      <c r="A13829" t="s">
        <v>16</v>
      </c>
      <c r="B13829" t="s">
        <v>3221</v>
      </c>
      <c r="C13829">
        <v>85</v>
      </c>
      <c r="D13829" t="s">
        <v>89</v>
      </c>
      <c r="E13829" t="s">
        <v>90</v>
      </c>
      <c r="F13829">
        <v>685</v>
      </c>
      <c r="G13829">
        <v>230101</v>
      </c>
      <c r="H13829">
        <v>4343</v>
      </c>
      <c r="I13829" t="s">
        <v>91</v>
      </c>
      <c r="J13829">
        <v>849.4</v>
      </c>
      <c r="K13829">
        <v>164.4</v>
      </c>
      <c r="L13829">
        <v>11801</v>
      </c>
      <c r="M13829" t="s">
        <v>92</v>
      </c>
      <c r="N13829" t="str">
        <f>"30090       "</f>
        <v xml:space="preserve">30090       </v>
      </c>
      <c r="O13829">
        <v>230109</v>
      </c>
    </row>
    <row r="13830" spans="1:15" x14ac:dyDescent="0.25">
      <c r="A13830" t="s">
        <v>16</v>
      </c>
      <c r="B13830" t="s">
        <v>3221</v>
      </c>
      <c r="C13830">
        <v>1652</v>
      </c>
      <c r="D13830" t="s">
        <v>89</v>
      </c>
      <c r="E13830" t="s">
        <v>90</v>
      </c>
      <c r="F13830">
        <v>685</v>
      </c>
      <c r="G13830">
        <v>230201</v>
      </c>
      <c r="H13830">
        <v>4343</v>
      </c>
      <c r="I13830" t="s">
        <v>91</v>
      </c>
      <c r="J13830">
        <v>849.4</v>
      </c>
      <c r="K13830">
        <v>164.4</v>
      </c>
      <c r="L13830">
        <v>11801</v>
      </c>
      <c r="M13830" t="s">
        <v>92</v>
      </c>
      <c r="N13830" t="str">
        <f>"31485       "</f>
        <v xml:space="preserve">31485       </v>
      </c>
      <c r="O13830">
        <v>230213</v>
      </c>
    </row>
    <row r="13831" spans="1:15" x14ac:dyDescent="0.25">
      <c r="A13831" t="s">
        <v>16</v>
      </c>
      <c r="B13831" t="s">
        <v>3221</v>
      </c>
      <c r="C13831">
        <v>2865</v>
      </c>
      <c r="D13831" t="s">
        <v>89</v>
      </c>
      <c r="E13831" t="s">
        <v>90</v>
      </c>
      <c r="F13831">
        <v>685</v>
      </c>
      <c r="G13831">
        <v>230301</v>
      </c>
      <c r="H13831">
        <v>4343</v>
      </c>
      <c r="I13831" t="s">
        <v>91</v>
      </c>
      <c r="J13831">
        <v>849.4</v>
      </c>
      <c r="K13831">
        <v>164.4</v>
      </c>
      <c r="L13831">
        <v>11801</v>
      </c>
      <c r="M13831" t="s">
        <v>92</v>
      </c>
      <c r="N13831" t="str">
        <f>"32281       "</f>
        <v xml:space="preserve">32281       </v>
      </c>
      <c r="O13831">
        <v>230308</v>
      </c>
    </row>
    <row r="13832" spans="1:15" x14ac:dyDescent="0.25">
      <c r="A13832" t="s">
        <v>16</v>
      </c>
      <c r="B13832" t="s">
        <v>3221</v>
      </c>
      <c r="C13832">
        <v>4637</v>
      </c>
      <c r="D13832" t="s">
        <v>89</v>
      </c>
      <c r="E13832" t="s">
        <v>90</v>
      </c>
      <c r="F13832">
        <v>685</v>
      </c>
      <c r="G13832">
        <v>230401</v>
      </c>
      <c r="H13832">
        <v>4343</v>
      </c>
      <c r="I13832" t="s">
        <v>91</v>
      </c>
      <c r="J13832">
        <v>849.4</v>
      </c>
      <c r="K13832">
        <v>164.4</v>
      </c>
      <c r="L13832">
        <v>11801</v>
      </c>
      <c r="M13832" t="s">
        <v>92</v>
      </c>
      <c r="N13832" t="str">
        <f>"33518       "</f>
        <v xml:space="preserve">33518       </v>
      </c>
      <c r="O13832">
        <v>230411</v>
      </c>
    </row>
    <row r="13833" spans="1:15" x14ac:dyDescent="0.25">
      <c r="A13833" t="s">
        <v>16</v>
      </c>
      <c r="B13833" t="s">
        <v>3221</v>
      </c>
      <c r="C13833">
        <v>5872</v>
      </c>
      <c r="D13833" t="s">
        <v>89</v>
      </c>
      <c r="E13833" t="s">
        <v>90</v>
      </c>
      <c r="F13833">
        <v>685</v>
      </c>
      <c r="G13833">
        <v>230501</v>
      </c>
      <c r="H13833">
        <v>4343</v>
      </c>
      <c r="I13833" t="s">
        <v>91</v>
      </c>
      <c r="J13833">
        <v>849.4</v>
      </c>
      <c r="K13833">
        <v>164.4</v>
      </c>
      <c r="L13833">
        <v>11801</v>
      </c>
      <c r="M13833" t="s">
        <v>92</v>
      </c>
      <c r="N13833" t="str">
        <f>"34369       "</f>
        <v xml:space="preserve">34369       </v>
      </c>
      <c r="O13833">
        <v>230503</v>
      </c>
    </row>
    <row r="13834" spans="1:15" x14ac:dyDescent="0.25">
      <c r="A13834" t="s">
        <v>16</v>
      </c>
      <c r="B13834" t="s">
        <v>3221</v>
      </c>
      <c r="C13834">
        <v>8647</v>
      </c>
      <c r="D13834" t="s">
        <v>89</v>
      </c>
      <c r="E13834" t="s">
        <v>90</v>
      </c>
      <c r="F13834">
        <v>685</v>
      </c>
      <c r="G13834">
        <v>230601</v>
      </c>
      <c r="H13834">
        <v>4343</v>
      </c>
      <c r="I13834" t="s">
        <v>91</v>
      </c>
      <c r="J13834">
        <v>849.4</v>
      </c>
      <c r="K13834">
        <v>164.4</v>
      </c>
      <c r="L13834">
        <v>11801</v>
      </c>
      <c r="M13834" t="s">
        <v>92</v>
      </c>
      <c r="N13834" t="str">
        <f>"34811       "</f>
        <v xml:space="preserve">34811       </v>
      </c>
      <c r="O13834">
        <v>230613</v>
      </c>
    </row>
    <row r="13835" spans="1:15" x14ac:dyDescent="0.25">
      <c r="A13835" t="s">
        <v>16</v>
      </c>
      <c r="B13835" t="s">
        <v>3221</v>
      </c>
      <c r="C13835">
        <v>9533</v>
      </c>
      <c r="D13835" t="s">
        <v>89</v>
      </c>
      <c r="E13835" t="s">
        <v>90</v>
      </c>
      <c r="F13835">
        <v>685</v>
      </c>
      <c r="G13835">
        <v>230701</v>
      </c>
      <c r="H13835">
        <v>4343</v>
      </c>
      <c r="I13835" t="s">
        <v>91</v>
      </c>
      <c r="J13835">
        <v>849.4</v>
      </c>
      <c r="K13835">
        <v>164.4</v>
      </c>
      <c r="L13835">
        <v>11801</v>
      </c>
      <c r="M13835" t="s">
        <v>92</v>
      </c>
      <c r="N13835" t="str">
        <f>"35679       "</f>
        <v xml:space="preserve">35679       </v>
      </c>
      <c r="O13835">
        <v>230717</v>
      </c>
    </row>
    <row r="13836" spans="1:15" x14ac:dyDescent="0.25">
      <c r="A13836" t="s">
        <v>16</v>
      </c>
      <c r="B13836" t="s">
        <v>3221</v>
      </c>
      <c r="C13836">
        <v>9984</v>
      </c>
      <c r="D13836" t="s">
        <v>89</v>
      </c>
      <c r="E13836" t="s">
        <v>90</v>
      </c>
      <c r="F13836">
        <v>685</v>
      </c>
      <c r="G13836">
        <v>230801</v>
      </c>
      <c r="H13836">
        <v>4343</v>
      </c>
      <c r="I13836" t="s">
        <v>91</v>
      </c>
      <c r="J13836">
        <v>849.4</v>
      </c>
      <c r="K13836">
        <v>164.4</v>
      </c>
      <c r="L13836">
        <v>11801</v>
      </c>
      <c r="M13836" t="s">
        <v>92</v>
      </c>
      <c r="N13836" t="str">
        <f>"36581       "</f>
        <v xml:space="preserve">36581       </v>
      </c>
      <c r="O13836">
        <v>230803</v>
      </c>
    </row>
    <row r="13837" spans="1:15" x14ac:dyDescent="0.25">
      <c r="A13837" t="s">
        <v>16</v>
      </c>
      <c r="B13837" t="s">
        <v>3221</v>
      </c>
      <c r="C13837">
        <v>11513</v>
      </c>
      <c r="D13837" t="s">
        <v>89</v>
      </c>
      <c r="E13837" t="s">
        <v>90</v>
      </c>
      <c r="F13837">
        <v>685</v>
      </c>
      <c r="G13837">
        <v>230901</v>
      </c>
      <c r="H13837">
        <v>4343</v>
      </c>
      <c r="I13837" t="s">
        <v>91</v>
      </c>
      <c r="J13837">
        <v>849.4</v>
      </c>
      <c r="K13837">
        <v>164.4</v>
      </c>
      <c r="L13837">
        <v>11801</v>
      </c>
      <c r="M13837" t="s">
        <v>92</v>
      </c>
      <c r="N13837" t="str">
        <f>"37343       "</f>
        <v xml:space="preserve">37343       </v>
      </c>
      <c r="O13837">
        <v>230907</v>
      </c>
    </row>
    <row r="13838" spans="1:15" x14ac:dyDescent="0.25">
      <c r="A13838" t="s">
        <v>16</v>
      </c>
      <c r="B13838" t="s">
        <v>3221</v>
      </c>
      <c r="C13838">
        <v>13339</v>
      </c>
      <c r="D13838" t="s">
        <v>89</v>
      </c>
      <c r="E13838" t="s">
        <v>90</v>
      </c>
      <c r="F13838">
        <v>685</v>
      </c>
      <c r="G13838">
        <v>231001</v>
      </c>
      <c r="H13838">
        <v>4343</v>
      </c>
      <c r="I13838" t="s">
        <v>91</v>
      </c>
      <c r="J13838">
        <v>849.4</v>
      </c>
      <c r="K13838">
        <v>164.4</v>
      </c>
      <c r="L13838">
        <v>11801</v>
      </c>
      <c r="M13838" t="s">
        <v>92</v>
      </c>
      <c r="N13838" t="str">
        <f>"37588       "</f>
        <v xml:space="preserve">37588       </v>
      </c>
      <c r="O13838">
        <v>231009</v>
      </c>
    </row>
    <row r="13839" spans="1:15" x14ac:dyDescent="0.25">
      <c r="A13839" t="s">
        <v>16</v>
      </c>
      <c r="B13839" t="s">
        <v>3221</v>
      </c>
      <c r="C13839">
        <v>14952</v>
      </c>
      <c r="D13839" t="s">
        <v>89</v>
      </c>
      <c r="E13839" t="s">
        <v>90</v>
      </c>
      <c r="F13839">
        <v>685</v>
      </c>
      <c r="G13839">
        <v>231101</v>
      </c>
      <c r="H13839">
        <v>4343</v>
      </c>
      <c r="I13839" t="s">
        <v>91</v>
      </c>
      <c r="J13839">
        <v>849.4</v>
      </c>
      <c r="K13839">
        <v>164.4</v>
      </c>
      <c r="L13839">
        <v>11801</v>
      </c>
      <c r="M13839" t="s">
        <v>92</v>
      </c>
      <c r="N13839" t="str">
        <f>"38856       "</f>
        <v xml:space="preserve">38856       </v>
      </c>
      <c r="O13839">
        <v>231107</v>
      </c>
    </row>
    <row r="13840" spans="1:15" x14ac:dyDescent="0.25">
      <c r="A13840" t="s">
        <v>16</v>
      </c>
      <c r="B13840" t="s">
        <v>3221</v>
      </c>
      <c r="C13840">
        <v>16978</v>
      </c>
      <c r="D13840" t="s">
        <v>89</v>
      </c>
      <c r="E13840" t="s">
        <v>90</v>
      </c>
      <c r="F13840">
        <v>685</v>
      </c>
      <c r="G13840">
        <v>231201</v>
      </c>
      <c r="H13840">
        <v>4343</v>
      </c>
      <c r="I13840" t="s">
        <v>91</v>
      </c>
      <c r="J13840">
        <v>849.4</v>
      </c>
      <c r="K13840">
        <v>164.4</v>
      </c>
      <c r="L13840">
        <v>11801</v>
      </c>
      <c r="M13840" t="s">
        <v>92</v>
      </c>
      <c r="N13840" t="str">
        <f>"39121       "</f>
        <v xml:space="preserve">39121       </v>
      </c>
      <c r="O13840">
        <v>231211</v>
      </c>
    </row>
    <row r="13841" spans="1:15" x14ac:dyDescent="0.25">
      <c r="A13841" t="s">
        <v>16</v>
      </c>
      <c r="B13841" t="s">
        <v>3221</v>
      </c>
      <c r="C13841">
        <v>1585</v>
      </c>
      <c r="D13841" t="s">
        <v>3239</v>
      </c>
      <c r="E13841" t="s">
        <v>3240</v>
      </c>
      <c r="F13841">
        <v>56.45</v>
      </c>
      <c r="G13841">
        <v>230130</v>
      </c>
      <c r="H13841">
        <v>4363</v>
      </c>
      <c r="I13841" t="s">
        <v>947</v>
      </c>
      <c r="J13841">
        <v>70</v>
      </c>
      <c r="K13841">
        <v>13.55</v>
      </c>
      <c r="L13841">
        <v>11101</v>
      </c>
      <c r="M13841" t="s">
        <v>110</v>
      </c>
      <c r="N13841" t="str">
        <f>"0872078/2023"</f>
        <v>0872078/2023</v>
      </c>
      <c r="O13841">
        <v>230210</v>
      </c>
    </row>
    <row r="13842" spans="1:15" x14ac:dyDescent="0.25">
      <c r="A13842" t="s">
        <v>16</v>
      </c>
      <c r="B13842" t="s">
        <v>3221</v>
      </c>
      <c r="C13842">
        <v>12322</v>
      </c>
      <c r="D13842" t="s">
        <v>2557</v>
      </c>
      <c r="E13842" t="s">
        <v>2558</v>
      </c>
      <c r="F13842">
        <v>279.98</v>
      </c>
      <c r="G13842">
        <v>230913</v>
      </c>
      <c r="H13842">
        <v>4343</v>
      </c>
      <c r="I13842" t="s">
        <v>91</v>
      </c>
      <c r="J13842">
        <v>347.17</v>
      </c>
      <c r="K13842">
        <v>67.19</v>
      </c>
      <c r="L13842">
        <v>17537</v>
      </c>
      <c r="M13842" t="s">
        <v>455</v>
      </c>
      <c r="N13842" t="str">
        <f>"3023492     "</f>
        <v xml:space="preserve">3023492     </v>
      </c>
      <c r="O13842">
        <v>230918</v>
      </c>
    </row>
    <row r="13843" spans="1:15" x14ac:dyDescent="0.25">
      <c r="A13843" t="s">
        <v>16</v>
      </c>
      <c r="B13843" t="s">
        <v>3221</v>
      </c>
      <c r="C13843">
        <v>12322</v>
      </c>
      <c r="D13843" t="s">
        <v>2557</v>
      </c>
      <c r="E13843" t="s">
        <v>2558</v>
      </c>
      <c r="F13843">
        <v>493.31</v>
      </c>
      <c r="G13843">
        <v>230913</v>
      </c>
      <c r="H13843">
        <v>4343</v>
      </c>
      <c r="I13843" t="s">
        <v>91</v>
      </c>
      <c r="J13843">
        <v>611.70000000000005</v>
      </c>
      <c r="K13843">
        <v>118.39</v>
      </c>
      <c r="L13843">
        <v>56522</v>
      </c>
      <c r="M13843" t="s">
        <v>43</v>
      </c>
      <c r="N13843" t="str">
        <f>"3023492     "</f>
        <v xml:space="preserve">3023492     </v>
      </c>
      <c r="O13843">
        <v>230918</v>
      </c>
    </row>
    <row r="13844" spans="1:15" x14ac:dyDescent="0.25">
      <c r="A13844" t="s">
        <v>16</v>
      </c>
      <c r="B13844" t="s">
        <v>3221</v>
      </c>
      <c r="C13844">
        <v>12322</v>
      </c>
      <c r="D13844" t="s">
        <v>2557</v>
      </c>
      <c r="E13844" t="s">
        <v>2558</v>
      </c>
      <c r="F13844">
        <v>493.31</v>
      </c>
      <c r="G13844">
        <v>230913</v>
      </c>
      <c r="H13844">
        <v>4343</v>
      </c>
      <c r="I13844" t="s">
        <v>91</v>
      </c>
      <c r="J13844">
        <v>611.70000000000005</v>
      </c>
      <c r="K13844">
        <v>118.39</v>
      </c>
      <c r="L13844">
        <v>56524</v>
      </c>
      <c r="M13844" t="s">
        <v>150</v>
      </c>
      <c r="N13844" t="str">
        <f>"3023492     "</f>
        <v xml:space="preserve">3023492     </v>
      </c>
      <c r="O13844">
        <v>230918</v>
      </c>
    </row>
    <row r="13845" spans="1:15" x14ac:dyDescent="0.25">
      <c r="A13845" t="s">
        <v>16</v>
      </c>
      <c r="B13845" t="s">
        <v>3221</v>
      </c>
      <c r="C13845">
        <v>14022</v>
      </c>
      <c r="D13845" t="s">
        <v>2557</v>
      </c>
      <c r="E13845" t="s">
        <v>2558</v>
      </c>
      <c r="F13845">
        <v>51</v>
      </c>
      <c r="G13845">
        <v>231011</v>
      </c>
      <c r="H13845">
        <v>4343</v>
      </c>
      <c r="I13845" t="s">
        <v>91</v>
      </c>
      <c r="J13845">
        <v>63.24</v>
      </c>
      <c r="K13845">
        <v>12.24</v>
      </c>
      <c r="L13845">
        <v>56526</v>
      </c>
      <c r="M13845" t="s">
        <v>1217</v>
      </c>
      <c r="N13845" t="str">
        <f>"3023591     "</f>
        <v xml:space="preserve">3023591     </v>
      </c>
      <c r="O13845">
        <v>231017</v>
      </c>
    </row>
    <row r="13846" spans="1:15" x14ac:dyDescent="0.25">
      <c r="A13846" t="s">
        <v>16</v>
      </c>
      <c r="B13846" t="s">
        <v>3221</v>
      </c>
      <c r="C13846">
        <v>2288</v>
      </c>
      <c r="D13846" t="s">
        <v>1350</v>
      </c>
      <c r="E13846" t="s">
        <v>1351</v>
      </c>
      <c r="F13846">
        <v>309</v>
      </c>
      <c r="G13846">
        <v>230220</v>
      </c>
      <c r="H13846">
        <v>4470</v>
      </c>
      <c r="I13846" t="s">
        <v>83</v>
      </c>
      <c r="J13846">
        <v>339.9</v>
      </c>
      <c r="K13846">
        <v>30.9</v>
      </c>
      <c r="L13846">
        <v>13802</v>
      </c>
      <c r="M13846" t="s">
        <v>200</v>
      </c>
      <c r="N13846" t="str">
        <f>"6505        "</f>
        <v xml:space="preserve">6505        </v>
      </c>
      <c r="O13846">
        <v>230224</v>
      </c>
    </row>
    <row r="13847" spans="1:15" x14ac:dyDescent="0.25">
      <c r="A13847" t="s">
        <v>16</v>
      </c>
      <c r="B13847" t="s">
        <v>3221</v>
      </c>
      <c r="C13847">
        <v>3199</v>
      </c>
      <c r="D13847" t="s">
        <v>1528</v>
      </c>
      <c r="E13847" t="s">
        <v>1529</v>
      </c>
      <c r="F13847">
        <v>5940</v>
      </c>
      <c r="G13847">
        <v>230307</v>
      </c>
      <c r="H13847">
        <v>4440</v>
      </c>
      <c r="I13847" t="s">
        <v>250</v>
      </c>
      <c r="J13847">
        <v>7365.6</v>
      </c>
      <c r="K13847">
        <v>1425.6</v>
      </c>
      <c r="L13847">
        <v>18120</v>
      </c>
      <c r="M13847" t="s">
        <v>329</v>
      </c>
      <c r="N13847" t="str">
        <f>"549         "</f>
        <v xml:space="preserve">549         </v>
      </c>
      <c r="O13847">
        <v>230310</v>
      </c>
    </row>
    <row r="13848" spans="1:15" x14ac:dyDescent="0.25">
      <c r="A13848" t="s">
        <v>16</v>
      </c>
      <c r="B13848" t="s">
        <v>3221</v>
      </c>
      <c r="C13848">
        <v>3200</v>
      </c>
      <c r="D13848" t="s">
        <v>1528</v>
      </c>
      <c r="E13848" t="s">
        <v>1529</v>
      </c>
      <c r="F13848">
        <v>3300</v>
      </c>
      <c r="G13848">
        <v>230307</v>
      </c>
      <c r="H13848">
        <v>4440</v>
      </c>
      <c r="I13848" t="s">
        <v>250</v>
      </c>
      <c r="J13848">
        <v>4092</v>
      </c>
      <c r="K13848">
        <v>792</v>
      </c>
      <c r="L13848">
        <v>18120</v>
      </c>
      <c r="M13848" t="s">
        <v>329</v>
      </c>
      <c r="N13848" t="str">
        <f>"559         "</f>
        <v xml:space="preserve">559         </v>
      </c>
      <c r="O13848">
        <v>230310</v>
      </c>
    </row>
    <row r="13849" spans="1:15" x14ac:dyDescent="0.25">
      <c r="A13849" t="s">
        <v>16</v>
      </c>
      <c r="B13849" t="s">
        <v>3221</v>
      </c>
      <c r="C13849">
        <v>3201</v>
      </c>
      <c r="D13849" t="s">
        <v>1528</v>
      </c>
      <c r="E13849" t="s">
        <v>1529</v>
      </c>
      <c r="F13849">
        <v>5610</v>
      </c>
      <c r="G13849">
        <v>230307</v>
      </c>
      <c r="H13849">
        <v>4440</v>
      </c>
      <c r="I13849" t="s">
        <v>250</v>
      </c>
      <c r="J13849">
        <v>6956.4</v>
      </c>
      <c r="K13849">
        <v>1346.4</v>
      </c>
      <c r="L13849">
        <v>18120</v>
      </c>
      <c r="M13849" t="s">
        <v>329</v>
      </c>
      <c r="N13849" t="str">
        <f>"551         "</f>
        <v xml:space="preserve">551         </v>
      </c>
      <c r="O13849">
        <v>230310</v>
      </c>
    </row>
    <row r="13850" spans="1:15" x14ac:dyDescent="0.25">
      <c r="A13850" t="s">
        <v>16</v>
      </c>
      <c r="B13850" t="s">
        <v>3221</v>
      </c>
      <c r="C13850">
        <v>3374</v>
      </c>
      <c r="D13850" t="s">
        <v>1528</v>
      </c>
      <c r="E13850" t="s">
        <v>1529</v>
      </c>
      <c r="F13850">
        <v>7425</v>
      </c>
      <c r="G13850">
        <v>230314</v>
      </c>
      <c r="H13850">
        <v>4440</v>
      </c>
      <c r="I13850" t="s">
        <v>250</v>
      </c>
      <c r="J13850">
        <v>9207</v>
      </c>
      <c r="K13850">
        <v>1782</v>
      </c>
      <c r="L13850">
        <v>18120</v>
      </c>
      <c r="M13850" t="s">
        <v>329</v>
      </c>
      <c r="N13850" t="str">
        <f>"561         "</f>
        <v xml:space="preserve">561         </v>
      </c>
      <c r="O13850">
        <v>230315</v>
      </c>
    </row>
    <row r="13851" spans="1:15" x14ac:dyDescent="0.25">
      <c r="A13851" t="s">
        <v>16</v>
      </c>
      <c r="B13851" t="s">
        <v>3221</v>
      </c>
      <c r="C13851">
        <v>3534</v>
      </c>
      <c r="D13851" t="s">
        <v>1528</v>
      </c>
      <c r="E13851" t="s">
        <v>1529</v>
      </c>
      <c r="F13851">
        <v>7590</v>
      </c>
      <c r="G13851">
        <v>230316</v>
      </c>
      <c r="H13851">
        <v>4440</v>
      </c>
      <c r="I13851" t="s">
        <v>250</v>
      </c>
      <c r="J13851">
        <v>9411.6</v>
      </c>
      <c r="K13851">
        <v>1821.6</v>
      </c>
      <c r="L13851">
        <v>18120</v>
      </c>
      <c r="M13851" t="s">
        <v>329</v>
      </c>
      <c r="N13851" t="str">
        <f>"563         "</f>
        <v xml:space="preserve">563         </v>
      </c>
      <c r="O13851">
        <v>230316</v>
      </c>
    </row>
    <row r="13852" spans="1:15" x14ac:dyDescent="0.25">
      <c r="A13852" t="s">
        <v>16</v>
      </c>
      <c r="B13852" t="s">
        <v>3221</v>
      </c>
      <c r="C13852">
        <v>3912</v>
      </c>
      <c r="D13852" t="s">
        <v>1528</v>
      </c>
      <c r="E13852" t="s">
        <v>1529</v>
      </c>
      <c r="F13852">
        <v>7920</v>
      </c>
      <c r="G13852">
        <v>230322</v>
      </c>
      <c r="H13852">
        <v>4440</v>
      </c>
      <c r="I13852" t="s">
        <v>250</v>
      </c>
      <c r="J13852">
        <v>9820.7999999999993</v>
      </c>
      <c r="K13852">
        <v>1900.8</v>
      </c>
      <c r="L13852">
        <v>18120</v>
      </c>
      <c r="M13852" t="s">
        <v>329</v>
      </c>
      <c r="N13852" t="str">
        <f>"557         "</f>
        <v xml:space="preserve">557         </v>
      </c>
      <c r="O13852">
        <v>230324</v>
      </c>
    </row>
    <row r="13853" spans="1:15" x14ac:dyDescent="0.25">
      <c r="A13853" t="s">
        <v>16</v>
      </c>
      <c r="B13853" t="s">
        <v>3221</v>
      </c>
      <c r="C13853">
        <v>3913</v>
      </c>
      <c r="D13853" t="s">
        <v>1528</v>
      </c>
      <c r="E13853" t="s">
        <v>1529</v>
      </c>
      <c r="F13853">
        <v>8976</v>
      </c>
      <c r="G13853">
        <v>230322</v>
      </c>
      <c r="H13853">
        <v>4440</v>
      </c>
      <c r="I13853" t="s">
        <v>250</v>
      </c>
      <c r="J13853">
        <v>11130.24</v>
      </c>
      <c r="K13853">
        <v>2154.2399999999998</v>
      </c>
      <c r="L13853">
        <v>18120</v>
      </c>
      <c r="M13853" t="s">
        <v>329</v>
      </c>
      <c r="N13853" t="str">
        <f>"558         "</f>
        <v xml:space="preserve">558         </v>
      </c>
      <c r="O13853">
        <v>230324</v>
      </c>
    </row>
    <row r="13854" spans="1:15" x14ac:dyDescent="0.25">
      <c r="A13854" t="s">
        <v>16</v>
      </c>
      <c r="B13854" t="s">
        <v>3221</v>
      </c>
      <c r="C13854">
        <v>5518</v>
      </c>
      <c r="D13854" t="s">
        <v>1528</v>
      </c>
      <c r="E13854" t="s">
        <v>1529</v>
      </c>
      <c r="F13854">
        <v>3500</v>
      </c>
      <c r="G13854">
        <v>230424</v>
      </c>
      <c r="H13854">
        <v>4440</v>
      </c>
      <c r="I13854" t="s">
        <v>250</v>
      </c>
      <c r="J13854">
        <v>4340</v>
      </c>
      <c r="K13854">
        <v>840</v>
      </c>
      <c r="L13854">
        <v>18122</v>
      </c>
      <c r="M13854" t="s">
        <v>407</v>
      </c>
      <c r="N13854" t="str">
        <f>"553         "</f>
        <v xml:space="preserve">553         </v>
      </c>
      <c r="O13854">
        <v>230426</v>
      </c>
    </row>
    <row r="13855" spans="1:15" x14ac:dyDescent="0.25">
      <c r="A13855" t="s">
        <v>16</v>
      </c>
      <c r="B13855" t="s">
        <v>3221</v>
      </c>
      <c r="C13855">
        <v>8875</v>
      </c>
      <c r="D13855" t="s">
        <v>1528</v>
      </c>
      <c r="E13855" t="s">
        <v>1529</v>
      </c>
      <c r="F13855">
        <v>4950</v>
      </c>
      <c r="G13855">
        <v>230614</v>
      </c>
      <c r="H13855">
        <v>4440</v>
      </c>
      <c r="I13855" t="s">
        <v>250</v>
      </c>
      <c r="J13855">
        <v>6138</v>
      </c>
      <c r="K13855">
        <v>1188</v>
      </c>
      <c r="L13855">
        <v>18120</v>
      </c>
      <c r="M13855" t="s">
        <v>329</v>
      </c>
      <c r="N13855" t="str">
        <f>"575         "</f>
        <v xml:space="preserve">575         </v>
      </c>
      <c r="O13855">
        <v>230619</v>
      </c>
    </row>
    <row r="13856" spans="1:15" x14ac:dyDescent="0.25">
      <c r="A13856" t="s">
        <v>16</v>
      </c>
      <c r="B13856" t="s">
        <v>3221</v>
      </c>
      <c r="C13856">
        <v>8876</v>
      </c>
      <c r="D13856" t="s">
        <v>1528</v>
      </c>
      <c r="E13856" t="s">
        <v>1529</v>
      </c>
      <c r="F13856">
        <v>7260</v>
      </c>
      <c r="G13856">
        <v>230614</v>
      </c>
      <c r="H13856">
        <v>4440</v>
      </c>
      <c r="I13856" t="s">
        <v>250</v>
      </c>
      <c r="J13856">
        <v>9002.4</v>
      </c>
      <c r="K13856">
        <v>1742.4</v>
      </c>
      <c r="L13856">
        <v>18120</v>
      </c>
      <c r="M13856" t="s">
        <v>329</v>
      </c>
      <c r="N13856" t="str">
        <f>"578         "</f>
        <v xml:space="preserve">578         </v>
      </c>
      <c r="O13856">
        <v>230619</v>
      </c>
    </row>
    <row r="13857" spans="1:15" x14ac:dyDescent="0.25">
      <c r="A13857" t="s">
        <v>16</v>
      </c>
      <c r="B13857" t="s">
        <v>3221</v>
      </c>
      <c r="C13857">
        <v>8877</v>
      </c>
      <c r="D13857" t="s">
        <v>1528</v>
      </c>
      <c r="E13857" t="s">
        <v>1529</v>
      </c>
      <c r="F13857">
        <v>4620</v>
      </c>
      <c r="G13857">
        <v>230614</v>
      </c>
      <c r="H13857">
        <v>4440</v>
      </c>
      <c r="I13857" t="s">
        <v>250</v>
      </c>
      <c r="J13857">
        <v>5728.8</v>
      </c>
      <c r="K13857">
        <v>1108.8</v>
      </c>
      <c r="L13857">
        <v>18120</v>
      </c>
      <c r="M13857" t="s">
        <v>329</v>
      </c>
      <c r="N13857" t="str">
        <f>"577         "</f>
        <v xml:space="preserve">577         </v>
      </c>
      <c r="O13857">
        <v>230619</v>
      </c>
    </row>
    <row r="13858" spans="1:15" x14ac:dyDescent="0.25">
      <c r="A13858" t="s">
        <v>16</v>
      </c>
      <c r="B13858" t="s">
        <v>3221</v>
      </c>
      <c r="C13858">
        <v>8887</v>
      </c>
      <c r="D13858" t="s">
        <v>1528</v>
      </c>
      <c r="E13858" t="s">
        <v>1529</v>
      </c>
      <c r="F13858">
        <v>4336</v>
      </c>
      <c r="G13858">
        <v>230614</v>
      </c>
      <c r="H13858">
        <v>4440</v>
      </c>
      <c r="I13858" t="s">
        <v>250</v>
      </c>
      <c r="J13858">
        <v>5376.64</v>
      </c>
      <c r="K13858">
        <v>1040.6400000000001</v>
      </c>
      <c r="L13858">
        <v>18120</v>
      </c>
      <c r="M13858" t="s">
        <v>329</v>
      </c>
      <c r="N13858" t="str">
        <f>"579         "</f>
        <v xml:space="preserve">579         </v>
      </c>
      <c r="O13858">
        <v>230619</v>
      </c>
    </row>
    <row r="13859" spans="1:15" x14ac:dyDescent="0.25">
      <c r="A13859" t="s">
        <v>16</v>
      </c>
      <c r="B13859" t="s">
        <v>3221</v>
      </c>
      <c r="C13859">
        <v>8889</v>
      </c>
      <c r="D13859" t="s">
        <v>1528</v>
      </c>
      <c r="E13859" t="s">
        <v>1529</v>
      </c>
      <c r="F13859">
        <v>7920</v>
      </c>
      <c r="G13859">
        <v>230614</v>
      </c>
      <c r="H13859">
        <v>4440</v>
      </c>
      <c r="I13859" t="s">
        <v>250</v>
      </c>
      <c r="J13859">
        <v>9820.7999999999993</v>
      </c>
      <c r="K13859">
        <v>1900.8</v>
      </c>
      <c r="L13859">
        <v>18120</v>
      </c>
      <c r="M13859" t="s">
        <v>329</v>
      </c>
      <c r="N13859" t="str">
        <f>"574         "</f>
        <v xml:space="preserve">574         </v>
      </c>
      <c r="O13859">
        <v>230619</v>
      </c>
    </row>
    <row r="13860" spans="1:15" x14ac:dyDescent="0.25">
      <c r="A13860" t="s">
        <v>16</v>
      </c>
      <c r="B13860" t="s">
        <v>3221</v>
      </c>
      <c r="C13860">
        <v>11764</v>
      </c>
      <c r="D13860" t="s">
        <v>1528</v>
      </c>
      <c r="E13860" t="s">
        <v>1529</v>
      </c>
      <c r="F13860">
        <v>4336</v>
      </c>
      <c r="G13860">
        <v>230901</v>
      </c>
      <c r="H13860">
        <v>4440</v>
      </c>
      <c r="I13860" t="s">
        <v>250</v>
      </c>
      <c r="J13860">
        <v>5376.64</v>
      </c>
      <c r="K13860">
        <v>1040.6400000000001</v>
      </c>
      <c r="L13860">
        <v>18120</v>
      </c>
      <c r="M13860" t="s">
        <v>329</v>
      </c>
      <c r="N13860" t="str">
        <f>"594         "</f>
        <v xml:space="preserve">594         </v>
      </c>
      <c r="O13860">
        <v>230908</v>
      </c>
    </row>
    <row r="13861" spans="1:15" x14ac:dyDescent="0.25">
      <c r="A13861" t="s">
        <v>16</v>
      </c>
      <c r="B13861" t="s">
        <v>3221</v>
      </c>
      <c r="C13861">
        <v>11765</v>
      </c>
      <c r="D13861" t="s">
        <v>1528</v>
      </c>
      <c r="E13861" t="s">
        <v>1529</v>
      </c>
      <c r="F13861">
        <v>4950</v>
      </c>
      <c r="G13861">
        <v>230901</v>
      </c>
      <c r="H13861">
        <v>4440</v>
      </c>
      <c r="I13861" t="s">
        <v>250</v>
      </c>
      <c r="J13861">
        <v>6138</v>
      </c>
      <c r="K13861">
        <v>1188</v>
      </c>
      <c r="L13861">
        <v>18120</v>
      </c>
      <c r="M13861" t="s">
        <v>329</v>
      </c>
      <c r="N13861" t="str">
        <f>"593         "</f>
        <v xml:space="preserve">593         </v>
      </c>
      <c r="O13861">
        <v>230908</v>
      </c>
    </row>
    <row r="13862" spans="1:15" x14ac:dyDescent="0.25">
      <c r="A13862" t="s">
        <v>16</v>
      </c>
      <c r="B13862" t="s">
        <v>3221</v>
      </c>
      <c r="C13862">
        <v>11766</v>
      </c>
      <c r="D13862" t="s">
        <v>1528</v>
      </c>
      <c r="E13862" t="s">
        <v>1529</v>
      </c>
      <c r="F13862">
        <v>6930</v>
      </c>
      <c r="G13862">
        <v>230901</v>
      </c>
      <c r="H13862">
        <v>4440</v>
      </c>
      <c r="I13862" t="s">
        <v>250</v>
      </c>
      <c r="J13862">
        <v>8593.2000000000007</v>
      </c>
      <c r="K13862">
        <v>1663.2</v>
      </c>
      <c r="L13862">
        <v>18120</v>
      </c>
      <c r="M13862" t="s">
        <v>329</v>
      </c>
      <c r="N13862" t="str">
        <f>"590         "</f>
        <v xml:space="preserve">590         </v>
      </c>
      <c r="O13862">
        <v>230908</v>
      </c>
    </row>
    <row r="13863" spans="1:15" x14ac:dyDescent="0.25">
      <c r="A13863" t="s">
        <v>16</v>
      </c>
      <c r="B13863" t="s">
        <v>3221</v>
      </c>
      <c r="C13863">
        <v>11767</v>
      </c>
      <c r="D13863" t="s">
        <v>1528</v>
      </c>
      <c r="E13863" t="s">
        <v>1529</v>
      </c>
      <c r="F13863">
        <v>7260</v>
      </c>
      <c r="G13863">
        <v>230901</v>
      </c>
      <c r="H13863">
        <v>4440</v>
      </c>
      <c r="I13863" t="s">
        <v>250</v>
      </c>
      <c r="J13863">
        <v>9002.4</v>
      </c>
      <c r="K13863">
        <v>1742.4</v>
      </c>
      <c r="L13863">
        <v>18120</v>
      </c>
      <c r="M13863" t="s">
        <v>329</v>
      </c>
      <c r="N13863" t="str">
        <f>"591         "</f>
        <v xml:space="preserve">591         </v>
      </c>
      <c r="O13863">
        <v>230908</v>
      </c>
    </row>
    <row r="13864" spans="1:15" x14ac:dyDescent="0.25">
      <c r="A13864" t="s">
        <v>16</v>
      </c>
      <c r="B13864" t="s">
        <v>3221</v>
      </c>
      <c r="C13864">
        <v>12811</v>
      </c>
      <c r="D13864" t="s">
        <v>1528</v>
      </c>
      <c r="E13864" t="s">
        <v>1529</v>
      </c>
      <c r="F13864">
        <v>12210</v>
      </c>
      <c r="G13864">
        <v>230920</v>
      </c>
      <c r="H13864">
        <v>4440</v>
      </c>
      <c r="I13864" t="s">
        <v>250</v>
      </c>
      <c r="J13864">
        <v>15140.4</v>
      </c>
      <c r="K13864">
        <v>2930.4</v>
      </c>
      <c r="L13864">
        <v>18120</v>
      </c>
      <c r="M13864" t="s">
        <v>329</v>
      </c>
      <c r="N13864" t="str">
        <f>"592         "</f>
        <v xml:space="preserve">592         </v>
      </c>
      <c r="O13864">
        <v>230926</v>
      </c>
    </row>
    <row r="13865" spans="1:15" x14ac:dyDescent="0.25">
      <c r="A13865" t="s">
        <v>16</v>
      </c>
      <c r="B13865" t="s">
        <v>3221</v>
      </c>
      <c r="C13865">
        <v>12817</v>
      </c>
      <c r="D13865" t="s">
        <v>1528</v>
      </c>
      <c r="E13865" t="s">
        <v>1529</v>
      </c>
      <c r="F13865">
        <v>6966.74</v>
      </c>
      <c r="G13865">
        <v>230925</v>
      </c>
      <c r="H13865">
        <v>4440</v>
      </c>
      <c r="I13865" t="s">
        <v>250</v>
      </c>
      <c r="J13865">
        <v>8638.76</v>
      </c>
      <c r="K13865">
        <v>1672.02</v>
      </c>
      <c r="L13865">
        <v>18120</v>
      </c>
      <c r="M13865" t="s">
        <v>329</v>
      </c>
      <c r="N13865" t="str">
        <f>"595         "</f>
        <v xml:space="preserve">595         </v>
      </c>
      <c r="O13865">
        <v>230926</v>
      </c>
    </row>
    <row r="13866" spans="1:15" x14ac:dyDescent="0.25">
      <c r="A13866" t="s">
        <v>16</v>
      </c>
      <c r="B13866" t="s">
        <v>3221</v>
      </c>
      <c r="C13866">
        <v>17111</v>
      </c>
      <c r="D13866" t="s">
        <v>1528</v>
      </c>
      <c r="E13866" t="s">
        <v>1529</v>
      </c>
      <c r="F13866">
        <v>6966.74</v>
      </c>
      <c r="G13866">
        <v>231205</v>
      </c>
      <c r="H13866">
        <v>4440</v>
      </c>
      <c r="I13866" t="s">
        <v>250</v>
      </c>
      <c r="J13866">
        <v>8638.76</v>
      </c>
      <c r="K13866">
        <v>1672.02</v>
      </c>
      <c r="L13866">
        <v>18120</v>
      </c>
      <c r="M13866" t="s">
        <v>329</v>
      </c>
      <c r="N13866" t="str">
        <f>"621         "</f>
        <v xml:space="preserve">621         </v>
      </c>
      <c r="O13866">
        <v>231212</v>
      </c>
    </row>
    <row r="13867" spans="1:15" x14ac:dyDescent="0.25">
      <c r="A13867" t="s">
        <v>16</v>
      </c>
      <c r="B13867" t="s">
        <v>3221</v>
      </c>
      <c r="C13867">
        <v>17114</v>
      </c>
      <c r="D13867" t="s">
        <v>1528</v>
      </c>
      <c r="E13867" t="s">
        <v>1529</v>
      </c>
      <c r="F13867">
        <v>9200</v>
      </c>
      <c r="G13867">
        <v>231205</v>
      </c>
      <c r="H13867">
        <v>4440</v>
      </c>
      <c r="I13867" t="s">
        <v>250</v>
      </c>
      <c r="J13867">
        <v>11408</v>
      </c>
      <c r="K13867">
        <v>2208</v>
      </c>
      <c r="L13867">
        <v>18122</v>
      </c>
      <c r="M13867" t="s">
        <v>407</v>
      </c>
      <c r="N13867" t="str">
        <f>"622         "</f>
        <v xml:space="preserve">622         </v>
      </c>
      <c r="O13867">
        <v>231212</v>
      </c>
    </row>
    <row r="13868" spans="1:15" x14ac:dyDescent="0.25">
      <c r="A13868" t="s">
        <v>16</v>
      </c>
      <c r="B13868" t="s">
        <v>3221</v>
      </c>
      <c r="C13868">
        <v>17122</v>
      </c>
      <c r="D13868" t="s">
        <v>1528</v>
      </c>
      <c r="E13868" t="s">
        <v>1529</v>
      </c>
      <c r="F13868">
        <v>3800</v>
      </c>
      <c r="G13868">
        <v>231205</v>
      </c>
      <c r="H13868">
        <v>4440</v>
      </c>
      <c r="I13868" t="s">
        <v>250</v>
      </c>
      <c r="J13868">
        <v>4712</v>
      </c>
      <c r="K13868">
        <v>912</v>
      </c>
      <c r="L13868">
        <v>18120</v>
      </c>
      <c r="M13868" t="s">
        <v>329</v>
      </c>
      <c r="N13868" t="str">
        <f>"625         "</f>
        <v xml:space="preserve">625         </v>
      </c>
      <c r="O13868">
        <v>231212</v>
      </c>
    </row>
    <row r="13869" spans="1:15" x14ac:dyDescent="0.25">
      <c r="A13869" t="s">
        <v>16</v>
      </c>
      <c r="B13869" t="s">
        <v>3221</v>
      </c>
      <c r="C13869">
        <v>17124</v>
      </c>
      <c r="D13869" t="s">
        <v>1528</v>
      </c>
      <c r="E13869" t="s">
        <v>1529</v>
      </c>
      <c r="F13869">
        <v>12210</v>
      </c>
      <c r="G13869">
        <v>231205</v>
      </c>
      <c r="H13869">
        <v>4440</v>
      </c>
      <c r="I13869" t="s">
        <v>250</v>
      </c>
      <c r="J13869">
        <v>15140.4</v>
      </c>
      <c r="K13869">
        <v>2930.4</v>
      </c>
      <c r="L13869">
        <v>18120</v>
      </c>
      <c r="M13869" t="s">
        <v>329</v>
      </c>
      <c r="N13869" t="str">
        <f>"620         "</f>
        <v xml:space="preserve">620         </v>
      </c>
      <c r="O13869">
        <v>231212</v>
      </c>
    </row>
    <row r="13870" spans="1:15" x14ac:dyDescent="0.25">
      <c r="A13870" t="s">
        <v>16</v>
      </c>
      <c r="B13870" t="s">
        <v>3221</v>
      </c>
      <c r="C13870">
        <v>17137</v>
      </c>
      <c r="D13870" t="s">
        <v>1528</v>
      </c>
      <c r="E13870" t="s">
        <v>1529</v>
      </c>
      <c r="F13870">
        <v>3523</v>
      </c>
      <c r="G13870">
        <v>231205</v>
      </c>
      <c r="H13870">
        <v>4440</v>
      </c>
      <c r="I13870" t="s">
        <v>250</v>
      </c>
      <c r="J13870">
        <v>4368.5200000000004</v>
      </c>
      <c r="K13870">
        <v>845.52</v>
      </c>
      <c r="L13870">
        <v>18120</v>
      </c>
      <c r="M13870" t="s">
        <v>329</v>
      </c>
      <c r="N13870" t="str">
        <f>"619         "</f>
        <v xml:space="preserve">619         </v>
      </c>
      <c r="O13870">
        <v>231212</v>
      </c>
    </row>
    <row r="13871" spans="1:15" x14ac:dyDescent="0.25">
      <c r="A13871" t="s">
        <v>16</v>
      </c>
      <c r="B13871" t="s">
        <v>3221</v>
      </c>
      <c r="C13871">
        <v>17139</v>
      </c>
      <c r="D13871" t="s">
        <v>1528</v>
      </c>
      <c r="E13871" t="s">
        <v>1529</v>
      </c>
      <c r="F13871">
        <v>5280</v>
      </c>
      <c r="G13871">
        <v>231205</v>
      </c>
      <c r="H13871">
        <v>4440</v>
      </c>
      <c r="I13871" t="s">
        <v>250</v>
      </c>
      <c r="J13871">
        <v>6547.2</v>
      </c>
      <c r="K13871">
        <v>1267.2</v>
      </c>
      <c r="L13871">
        <v>18120</v>
      </c>
      <c r="M13871" t="s">
        <v>329</v>
      </c>
      <c r="N13871" t="str">
        <f>"618         "</f>
        <v xml:space="preserve">618         </v>
      </c>
      <c r="O13871">
        <v>231212</v>
      </c>
    </row>
    <row r="13872" spans="1:15" x14ac:dyDescent="0.25">
      <c r="A13872" t="s">
        <v>16</v>
      </c>
      <c r="B13872" t="s">
        <v>3221</v>
      </c>
      <c r="C13872">
        <v>17737</v>
      </c>
      <c r="D13872" t="s">
        <v>1528</v>
      </c>
      <c r="E13872" t="s">
        <v>1529</v>
      </c>
      <c r="F13872">
        <v>6930</v>
      </c>
      <c r="G13872">
        <v>231211</v>
      </c>
      <c r="H13872">
        <v>4440</v>
      </c>
      <c r="I13872" t="s">
        <v>250</v>
      </c>
      <c r="J13872">
        <v>8593.2000000000007</v>
      </c>
      <c r="K13872">
        <v>1663.2</v>
      </c>
      <c r="L13872">
        <v>18120</v>
      </c>
      <c r="M13872" t="s">
        <v>329</v>
      </c>
      <c r="N13872" t="str">
        <f>"627         "</f>
        <v xml:space="preserve">627         </v>
      </c>
      <c r="O13872">
        <v>231222</v>
      </c>
    </row>
    <row r="13873" spans="1:15" x14ac:dyDescent="0.25">
      <c r="A13873" t="s">
        <v>16</v>
      </c>
      <c r="B13873" t="s">
        <v>3221</v>
      </c>
      <c r="C13873">
        <v>16739</v>
      </c>
      <c r="D13873" t="s">
        <v>3010</v>
      </c>
      <c r="E13873" t="s">
        <v>3011</v>
      </c>
      <c r="F13873">
        <v>2347.1799999999998</v>
      </c>
      <c r="G13873">
        <v>231128</v>
      </c>
      <c r="H13873">
        <v>4580</v>
      </c>
      <c r="I13873" t="s">
        <v>35</v>
      </c>
      <c r="J13873">
        <v>2910.5</v>
      </c>
      <c r="K13873">
        <v>563.32000000000005</v>
      </c>
      <c r="L13873">
        <v>17808</v>
      </c>
      <c r="M13873" t="s">
        <v>322</v>
      </c>
      <c r="N13873" t="str">
        <f>"1001625     "</f>
        <v xml:space="preserve">1001625     </v>
      </c>
      <c r="O13873">
        <v>231208</v>
      </c>
    </row>
    <row r="13874" spans="1:15" x14ac:dyDescent="0.25">
      <c r="A13874" t="s">
        <v>16</v>
      </c>
      <c r="B13874" t="s">
        <v>3221</v>
      </c>
      <c r="C13874">
        <v>1237</v>
      </c>
      <c r="D13874" t="s">
        <v>500</v>
      </c>
      <c r="E13874" t="s">
        <v>501</v>
      </c>
      <c r="F13874">
        <v>32.979999999999997</v>
      </c>
      <c r="G13874">
        <v>230201</v>
      </c>
      <c r="H13874">
        <v>4600</v>
      </c>
      <c r="I13874" t="s">
        <v>105</v>
      </c>
      <c r="J13874">
        <v>40.9</v>
      </c>
      <c r="K13874">
        <v>7.92</v>
      </c>
      <c r="L13874">
        <v>54222</v>
      </c>
      <c r="M13874" t="s">
        <v>308</v>
      </c>
      <c r="N13874" t="str">
        <f>"010223      "</f>
        <v xml:space="preserve">010223      </v>
      </c>
      <c r="O13874">
        <v>230206</v>
      </c>
    </row>
    <row r="13875" spans="1:15" x14ac:dyDescent="0.25">
      <c r="A13875" t="s">
        <v>16</v>
      </c>
      <c r="B13875" t="s">
        <v>3221</v>
      </c>
      <c r="C13875">
        <v>377</v>
      </c>
      <c r="D13875" t="s">
        <v>500</v>
      </c>
      <c r="E13875" t="s">
        <v>501</v>
      </c>
      <c r="F13875">
        <v>413.54</v>
      </c>
      <c r="G13875">
        <v>230116</v>
      </c>
      <c r="H13875">
        <v>4555</v>
      </c>
      <c r="I13875" t="s">
        <v>481</v>
      </c>
      <c r="J13875">
        <v>512.79</v>
      </c>
      <c r="K13875">
        <v>99.25</v>
      </c>
      <c r="L13875">
        <v>44423</v>
      </c>
      <c r="M13875" t="s">
        <v>502</v>
      </c>
      <c r="N13875" t="str">
        <f>"84782       "</f>
        <v xml:space="preserve">84782       </v>
      </c>
      <c r="O13875">
        <v>230119</v>
      </c>
    </row>
    <row r="13876" spans="1:15" x14ac:dyDescent="0.25">
      <c r="A13876" t="s">
        <v>16</v>
      </c>
      <c r="B13876" t="s">
        <v>3221</v>
      </c>
      <c r="C13876">
        <v>5545</v>
      </c>
      <c r="D13876" t="s">
        <v>500</v>
      </c>
      <c r="E13876" t="s">
        <v>501</v>
      </c>
      <c r="F13876">
        <v>355.3</v>
      </c>
      <c r="G13876">
        <v>230419</v>
      </c>
      <c r="H13876">
        <v>4555</v>
      </c>
      <c r="I13876" t="s">
        <v>481</v>
      </c>
      <c r="J13876">
        <v>440.57</v>
      </c>
      <c r="K13876">
        <v>85.27</v>
      </c>
      <c r="L13876">
        <v>44453</v>
      </c>
      <c r="M13876" t="s">
        <v>492</v>
      </c>
      <c r="N13876" t="str">
        <f>"85066       "</f>
        <v xml:space="preserve">85066       </v>
      </c>
      <c r="O13876">
        <v>230426</v>
      </c>
    </row>
    <row r="13877" spans="1:15" x14ac:dyDescent="0.25">
      <c r="A13877" t="s">
        <v>16</v>
      </c>
      <c r="B13877" t="s">
        <v>3221</v>
      </c>
      <c r="C13877">
        <v>9002</v>
      </c>
      <c r="D13877" t="s">
        <v>2235</v>
      </c>
      <c r="E13877" t="s">
        <v>2236</v>
      </c>
      <c r="F13877">
        <v>278.5</v>
      </c>
      <c r="G13877">
        <v>230619</v>
      </c>
      <c r="H13877">
        <v>4557</v>
      </c>
      <c r="I13877" t="s">
        <v>238</v>
      </c>
      <c r="J13877">
        <v>345.34</v>
      </c>
      <c r="K13877">
        <v>66.84</v>
      </c>
      <c r="L13877">
        <v>66754</v>
      </c>
      <c r="M13877" t="s">
        <v>239</v>
      </c>
      <c r="N13877" t="str">
        <f>"427373      "</f>
        <v xml:space="preserve">427373      </v>
      </c>
      <c r="O13877">
        <v>230620</v>
      </c>
    </row>
    <row r="13878" spans="1:15" x14ac:dyDescent="0.25">
      <c r="A13878" t="s">
        <v>16</v>
      </c>
      <c r="B13878" t="s">
        <v>3221</v>
      </c>
      <c r="C13878">
        <v>742</v>
      </c>
      <c r="D13878" t="s">
        <v>3219</v>
      </c>
      <c r="E13878" t="s">
        <v>3220</v>
      </c>
      <c r="F13878">
        <v>750</v>
      </c>
      <c r="G13878">
        <v>230127</v>
      </c>
      <c r="H13878">
        <v>4346</v>
      </c>
      <c r="I13878" t="s">
        <v>197</v>
      </c>
      <c r="J13878">
        <v>930</v>
      </c>
      <c r="K13878">
        <v>180</v>
      </c>
      <c r="L13878">
        <v>11501</v>
      </c>
      <c r="M13878" t="s">
        <v>339</v>
      </c>
      <c r="N13878" t="str">
        <f>"13615       "</f>
        <v xml:space="preserve">13615       </v>
      </c>
      <c r="O13878">
        <v>230130</v>
      </c>
    </row>
    <row r="13879" spans="1:15" x14ac:dyDescent="0.25">
      <c r="A13879" t="s">
        <v>16</v>
      </c>
      <c r="B13879" t="s">
        <v>3221</v>
      </c>
      <c r="C13879">
        <v>18566</v>
      </c>
      <c r="D13879" t="s">
        <v>3219</v>
      </c>
      <c r="E13879" t="s">
        <v>3220</v>
      </c>
      <c r="F13879">
        <v>11024.9</v>
      </c>
      <c r="G13879">
        <v>231229</v>
      </c>
      <c r="H13879">
        <v>4346</v>
      </c>
      <c r="I13879" t="s">
        <v>197</v>
      </c>
      <c r="J13879">
        <v>13670.88</v>
      </c>
      <c r="K13879">
        <v>2645.98</v>
      </c>
      <c r="L13879">
        <v>11101</v>
      </c>
      <c r="M13879" t="s">
        <v>110</v>
      </c>
      <c r="N13879" t="str">
        <f>"14186       "</f>
        <v xml:space="preserve">14186       </v>
      </c>
      <c r="O13879">
        <v>240104</v>
      </c>
    </row>
    <row r="13880" spans="1:15" x14ac:dyDescent="0.25">
      <c r="A13880" t="s">
        <v>16</v>
      </c>
      <c r="B13880" t="s">
        <v>3221</v>
      </c>
      <c r="C13880">
        <v>742</v>
      </c>
      <c r="D13880" t="s">
        <v>3219</v>
      </c>
      <c r="E13880" t="s">
        <v>3220</v>
      </c>
      <c r="F13880">
        <v>1394.69</v>
      </c>
      <c r="G13880">
        <v>230127</v>
      </c>
      <c r="H13880">
        <v>4370</v>
      </c>
      <c r="I13880" t="s">
        <v>25</v>
      </c>
      <c r="J13880">
        <v>1394.69</v>
      </c>
      <c r="K13880">
        <v>0</v>
      </c>
      <c r="L13880">
        <v>11501</v>
      </c>
      <c r="M13880" t="s">
        <v>339</v>
      </c>
      <c r="N13880" t="str">
        <f>"13615       "</f>
        <v xml:space="preserve">13615       </v>
      </c>
      <c r="O13880">
        <v>230130</v>
      </c>
    </row>
    <row r="13881" spans="1:15" x14ac:dyDescent="0.25">
      <c r="A13881" t="s">
        <v>16</v>
      </c>
      <c r="B13881" t="s">
        <v>3221</v>
      </c>
      <c r="C13881">
        <v>787</v>
      </c>
      <c r="D13881" t="s">
        <v>745</v>
      </c>
      <c r="E13881" t="s">
        <v>746</v>
      </c>
      <c r="F13881">
        <v>141.96</v>
      </c>
      <c r="G13881">
        <v>230127</v>
      </c>
      <c r="H13881">
        <v>4580</v>
      </c>
      <c r="I13881" t="s">
        <v>35</v>
      </c>
      <c r="J13881">
        <v>176.03</v>
      </c>
      <c r="K13881">
        <v>34.07</v>
      </c>
      <c r="L13881">
        <v>17951</v>
      </c>
      <c r="M13881" t="s">
        <v>87</v>
      </c>
      <c r="N13881" t="str">
        <f>"302352      "</f>
        <v xml:space="preserve">302352      </v>
      </c>
      <c r="O13881">
        <v>230130</v>
      </c>
    </row>
    <row r="13882" spans="1:15" x14ac:dyDescent="0.25">
      <c r="A13882" t="s">
        <v>16</v>
      </c>
      <c r="B13882" t="s">
        <v>3221</v>
      </c>
      <c r="C13882">
        <v>2139</v>
      </c>
      <c r="D13882" t="s">
        <v>745</v>
      </c>
      <c r="E13882" t="s">
        <v>746</v>
      </c>
      <c r="F13882">
        <v>465.56</v>
      </c>
      <c r="G13882">
        <v>230217</v>
      </c>
      <c r="H13882">
        <v>4580</v>
      </c>
      <c r="I13882" t="s">
        <v>35</v>
      </c>
      <c r="J13882">
        <v>577.29999999999995</v>
      </c>
      <c r="K13882">
        <v>111.74</v>
      </c>
      <c r="L13882">
        <v>56565</v>
      </c>
      <c r="M13882" t="s">
        <v>758</v>
      </c>
      <c r="N13882" t="str">
        <f>"302395      "</f>
        <v xml:space="preserve">302395      </v>
      </c>
      <c r="O13882">
        <v>230221</v>
      </c>
    </row>
    <row r="13883" spans="1:15" x14ac:dyDescent="0.25">
      <c r="A13883" t="s">
        <v>16</v>
      </c>
      <c r="B13883" t="s">
        <v>3221</v>
      </c>
      <c r="C13883">
        <v>5613</v>
      </c>
      <c r="D13883" t="s">
        <v>745</v>
      </c>
      <c r="E13883" t="s">
        <v>746</v>
      </c>
      <c r="F13883">
        <v>165.2</v>
      </c>
      <c r="G13883">
        <v>230424</v>
      </c>
      <c r="H13883">
        <v>4580</v>
      </c>
      <c r="I13883" t="s">
        <v>35</v>
      </c>
      <c r="J13883">
        <v>204.85</v>
      </c>
      <c r="K13883">
        <v>39.65</v>
      </c>
      <c r="L13883">
        <v>17951</v>
      </c>
      <c r="M13883" t="s">
        <v>87</v>
      </c>
      <c r="N13883" t="str">
        <f>"3023252     "</f>
        <v xml:space="preserve">3023252     </v>
      </c>
      <c r="O13883">
        <v>230428</v>
      </c>
    </row>
    <row r="13884" spans="1:15" x14ac:dyDescent="0.25">
      <c r="A13884" t="s">
        <v>16</v>
      </c>
      <c r="B13884" t="s">
        <v>3221</v>
      </c>
      <c r="C13884">
        <v>9768</v>
      </c>
      <c r="D13884" t="s">
        <v>745</v>
      </c>
      <c r="E13884" t="s">
        <v>746</v>
      </c>
      <c r="F13884">
        <v>226.31</v>
      </c>
      <c r="G13884">
        <v>230710</v>
      </c>
      <c r="H13884">
        <v>4400</v>
      </c>
      <c r="I13884" t="s">
        <v>348</v>
      </c>
      <c r="J13884">
        <v>280.62</v>
      </c>
      <c r="K13884">
        <v>54.31</v>
      </c>
      <c r="L13884">
        <v>17951</v>
      </c>
      <c r="M13884" t="s">
        <v>87</v>
      </c>
      <c r="N13884" t="str">
        <f>"3023427     "</f>
        <v xml:space="preserve">3023427     </v>
      </c>
      <c r="O13884">
        <v>230725</v>
      </c>
    </row>
    <row r="13885" spans="1:15" x14ac:dyDescent="0.25">
      <c r="A13885" t="s">
        <v>16</v>
      </c>
      <c r="B13885" t="s">
        <v>3221</v>
      </c>
      <c r="C13885">
        <v>787</v>
      </c>
      <c r="D13885" t="s">
        <v>745</v>
      </c>
      <c r="E13885" t="s">
        <v>746</v>
      </c>
      <c r="F13885">
        <v>23.6</v>
      </c>
      <c r="G13885">
        <v>230127</v>
      </c>
      <c r="H13885">
        <v>4420</v>
      </c>
      <c r="I13885" t="s">
        <v>132</v>
      </c>
      <c r="J13885">
        <v>29.26</v>
      </c>
      <c r="K13885">
        <v>5.66</v>
      </c>
      <c r="L13885">
        <v>17951</v>
      </c>
      <c r="M13885" t="s">
        <v>87</v>
      </c>
      <c r="N13885" t="str">
        <f>"302352      "</f>
        <v xml:space="preserve">302352      </v>
      </c>
      <c r="O13885">
        <v>230130</v>
      </c>
    </row>
    <row r="13886" spans="1:15" x14ac:dyDescent="0.25">
      <c r="A13886" t="s">
        <v>16</v>
      </c>
      <c r="B13886" t="s">
        <v>3221</v>
      </c>
      <c r="C13886">
        <v>5613</v>
      </c>
      <c r="D13886" t="s">
        <v>745</v>
      </c>
      <c r="E13886" t="s">
        <v>746</v>
      </c>
      <c r="F13886">
        <v>24.6</v>
      </c>
      <c r="G13886">
        <v>230424</v>
      </c>
      <c r="H13886">
        <v>4420</v>
      </c>
      <c r="I13886" t="s">
        <v>132</v>
      </c>
      <c r="J13886">
        <v>30.5</v>
      </c>
      <c r="K13886">
        <v>5.9</v>
      </c>
      <c r="L13886">
        <v>17951</v>
      </c>
      <c r="M13886" t="s">
        <v>87</v>
      </c>
      <c r="N13886" t="str">
        <f>"3023252     "</f>
        <v xml:space="preserve">3023252     </v>
      </c>
      <c r="O13886">
        <v>230428</v>
      </c>
    </row>
    <row r="13887" spans="1:15" x14ac:dyDescent="0.25">
      <c r="A13887" t="s">
        <v>16</v>
      </c>
      <c r="B13887" t="s">
        <v>3221</v>
      </c>
      <c r="C13887">
        <v>13603</v>
      </c>
      <c r="D13887" t="s">
        <v>745</v>
      </c>
      <c r="E13887" t="s">
        <v>746</v>
      </c>
      <c r="F13887">
        <v>22.3</v>
      </c>
      <c r="G13887">
        <v>231009</v>
      </c>
      <c r="H13887">
        <v>4420</v>
      </c>
      <c r="I13887" t="s">
        <v>132</v>
      </c>
      <c r="J13887">
        <v>27.65</v>
      </c>
      <c r="K13887">
        <v>5.35</v>
      </c>
      <c r="L13887">
        <v>17951</v>
      </c>
      <c r="M13887" t="s">
        <v>87</v>
      </c>
      <c r="N13887" t="str">
        <f>"3023622     "</f>
        <v xml:space="preserve">3023622     </v>
      </c>
      <c r="O13887">
        <v>231011</v>
      </c>
    </row>
    <row r="13888" spans="1:15" x14ac:dyDescent="0.25">
      <c r="A13888" t="s">
        <v>16</v>
      </c>
      <c r="B13888" t="s">
        <v>3221</v>
      </c>
      <c r="C13888">
        <v>787</v>
      </c>
      <c r="D13888" t="s">
        <v>745</v>
      </c>
      <c r="E13888" t="s">
        <v>746</v>
      </c>
      <c r="F13888">
        <v>329.61</v>
      </c>
      <c r="G13888">
        <v>230127</v>
      </c>
      <c r="H13888">
        <v>4600</v>
      </c>
      <c r="I13888" t="s">
        <v>105</v>
      </c>
      <c r="J13888">
        <v>408.72</v>
      </c>
      <c r="K13888">
        <v>79.11</v>
      </c>
      <c r="L13888">
        <v>17951</v>
      </c>
      <c r="M13888" t="s">
        <v>87</v>
      </c>
      <c r="N13888" t="str">
        <f>"302352      "</f>
        <v xml:space="preserve">302352      </v>
      </c>
      <c r="O13888">
        <v>230130</v>
      </c>
    </row>
    <row r="13889" spans="1:15" x14ac:dyDescent="0.25">
      <c r="A13889" t="s">
        <v>16</v>
      </c>
      <c r="B13889" t="s">
        <v>3221</v>
      </c>
      <c r="C13889">
        <v>910</v>
      </c>
      <c r="D13889" t="s">
        <v>745</v>
      </c>
      <c r="E13889" t="s">
        <v>746</v>
      </c>
      <c r="F13889">
        <v>366.79</v>
      </c>
      <c r="G13889">
        <v>230127</v>
      </c>
      <c r="H13889">
        <v>4600</v>
      </c>
      <c r="I13889" t="s">
        <v>105</v>
      </c>
      <c r="J13889">
        <v>454.82</v>
      </c>
      <c r="K13889">
        <v>88.03</v>
      </c>
      <c r="L13889">
        <v>17952</v>
      </c>
      <c r="M13889" t="s">
        <v>88</v>
      </c>
      <c r="N13889" t="str">
        <f>"302351      "</f>
        <v xml:space="preserve">302351      </v>
      </c>
      <c r="O13889">
        <v>230201</v>
      </c>
    </row>
    <row r="13890" spans="1:15" x14ac:dyDescent="0.25">
      <c r="A13890" t="s">
        <v>16</v>
      </c>
      <c r="B13890" t="s">
        <v>3221</v>
      </c>
      <c r="C13890">
        <v>1148</v>
      </c>
      <c r="D13890" t="s">
        <v>745</v>
      </c>
      <c r="E13890" t="s">
        <v>746</v>
      </c>
      <c r="F13890">
        <v>503.13</v>
      </c>
      <c r="G13890">
        <v>230127</v>
      </c>
      <c r="H13890">
        <v>4600</v>
      </c>
      <c r="I13890" t="s">
        <v>105</v>
      </c>
      <c r="J13890">
        <v>623.88</v>
      </c>
      <c r="K13890">
        <v>120.75</v>
      </c>
      <c r="L13890">
        <v>49501</v>
      </c>
      <c r="M13890" t="s">
        <v>177</v>
      </c>
      <c r="N13890" t="str">
        <f>"302355      "</f>
        <v xml:space="preserve">302355      </v>
      </c>
      <c r="O13890">
        <v>230206</v>
      </c>
    </row>
    <row r="13891" spans="1:15" x14ac:dyDescent="0.25">
      <c r="A13891" t="s">
        <v>16</v>
      </c>
      <c r="B13891" t="s">
        <v>3221</v>
      </c>
      <c r="C13891">
        <v>5613</v>
      </c>
      <c r="D13891" t="s">
        <v>745</v>
      </c>
      <c r="E13891" t="s">
        <v>746</v>
      </c>
      <c r="F13891">
        <v>248.52</v>
      </c>
      <c r="G13891">
        <v>230424</v>
      </c>
      <c r="H13891">
        <v>4600</v>
      </c>
      <c r="I13891" t="s">
        <v>105</v>
      </c>
      <c r="J13891">
        <v>308.17</v>
      </c>
      <c r="K13891">
        <v>59.65</v>
      </c>
      <c r="L13891">
        <v>17951</v>
      </c>
      <c r="M13891" t="s">
        <v>87</v>
      </c>
      <c r="N13891" t="str">
        <f>"3023252     "</f>
        <v xml:space="preserve">3023252     </v>
      </c>
      <c r="O13891">
        <v>230428</v>
      </c>
    </row>
    <row r="13892" spans="1:15" x14ac:dyDescent="0.25">
      <c r="A13892" t="s">
        <v>16</v>
      </c>
      <c r="B13892" t="s">
        <v>3221</v>
      </c>
      <c r="C13892">
        <v>7705</v>
      </c>
      <c r="D13892" t="s">
        <v>745</v>
      </c>
      <c r="E13892" t="s">
        <v>746</v>
      </c>
      <c r="F13892">
        <v>662.43</v>
      </c>
      <c r="G13892">
        <v>230519</v>
      </c>
      <c r="H13892">
        <v>4600</v>
      </c>
      <c r="I13892" t="s">
        <v>105</v>
      </c>
      <c r="J13892">
        <v>821.41</v>
      </c>
      <c r="K13892">
        <v>158.97999999999999</v>
      </c>
      <c r="L13892">
        <v>49501</v>
      </c>
      <c r="M13892" t="s">
        <v>177</v>
      </c>
      <c r="N13892" t="str">
        <f>"3023324     "</f>
        <v xml:space="preserve">3023324     </v>
      </c>
      <c r="O13892">
        <v>230602</v>
      </c>
    </row>
    <row r="13893" spans="1:15" x14ac:dyDescent="0.25">
      <c r="A13893" t="s">
        <v>16</v>
      </c>
      <c r="B13893" t="s">
        <v>3221</v>
      </c>
      <c r="C13893">
        <v>11223</v>
      </c>
      <c r="D13893" t="s">
        <v>745</v>
      </c>
      <c r="E13893" t="s">
        <v>746</v>
      </c>
      <c r="F13893">
        <v>317.64999999999998</v>
      </c>
      <c r="G13893">
        <v>230828</v>
      </c>
      <c r="H13893">
        <v>4600</v>
      </c>
      <c r="I13893" t="s">
        <v>105</v>
      </c>
      <c r="J13893">
        <v>393.88</v>
      </c>
      <c r="K13893">
        <v>76.23</v>
      </c>
      <c r="L13893">
        <v>17711</v>
      </c>
      <c r="M13893" t="s">
        <v>65</v>
      </c>
      <c r="N13893" t="str">
        <f>"3023512     "</f>
        <v xml:space="preserve">3023512     </v>
      </c>
      <c r="O13893">
        <v>230901</v>
      </c>
    </row>
    <row r="13894" spans="1:15" x14ac:dyDescent="0.25">
      <c r="A13894" t="s">
        <v>16</v>
      </c>
      <c r="B13894" t="s">
        <v>3221</v>
      </c>
      <c r="C13894">
        <v>12572</v>
      </c>
      <c r="D13894" t="s">
        <v>745</v>
      </c>
      <c r="E13894" t="s">
        <v>746</v>
      </c>
      <c r="F13894">
        <v>314.8</v>
      </c>
      <c r="G13894">
        <v>230912</v>
      </c>
      <c r="H13894">
        <v>4600</v>
      </c>
      <c r="I13894" t="s">
        <v>105</v>
      </c>
      <c r="J13894">
        <v>390.35</v>
      </c>
      <c r="K13894">
        <v>75.55</v>
      </c>
      <c r="L13894">
        <v>46554</v>
      </c>
      <c r="M13894" t="s">
        <v>117</v>
      </c>
      <c r="N13894" t="str">
        <f>"3023556     "</f>
        <v xml:space="preserve">3023556     </v>
      </c>
      <c r="O13894">
        <v>230922</v>
      </c>
    </row>
    <row r="13895" spans="1:15" x14ac:dyDescent="0.25">
      <c r="A13895" t="s">
        <v>16</v>
      </c>
      <c r="B13895" t="s">
        <v>3221</v>
      </c>
      <c r="C13895">
        <v>12574</v>
      </c>
      <c r="D13895" t="s">
        <v>745</v>
      </c>
      <c r="E13895" t="s">
        <v>746</v>
      </c>
      <c r="F13895">
        <v>752.15</v>
      </c>
      <c r="G13895">
        <v>230912</v>
      </c>
      <c r="H13895">
        <v>4600</v>
      </c>
      <c r="I13895" t="s">
        <v>105</v>
      </c>
      <c r="J13895">
        <v>932.67</v>
      </c>
      <c r="K13895">
        <v>180.52</v>
      </c>
      <c r="L13895">
        <v>49501</v>
      </c>
      <c r="M13895" t="s">
        <v>177</v>
      </c>
      <c r="N13895" t="str">
        <f>"3023557     "</f>
        <v xml:space="preserve">3023557     </v>
      </c>
      <c r="O13895">
        <v>230922</v>
      </c>
    </row>
    <row r="13896" spans="1:15" x14ac:dyDescent="0.25">
      <c r="A13896" t="s">
        <v>16</v>
      </c>
      <c r="B13896" t="s">
        <v>3221</v>
      </c>
      <c r="C13896">
        <v>13603</v>
      </c>
      <c r="D13896" t="s">
        <v>745</v>
      </c>
      <c r="E13896" t="s">
        <v>746</v>
      </c>
      <c r="F13896">
        <v>770.68</v>
      </c>
      <c r="G13896">
        <v>231009</v>
      </c>
      <c r="H13896">
        <v>4600</v>
      </c>
      <c r="I13896" t="s">
        <v>105</v>
      </c>
      <c r="J13896">
        <v>955.64</v>
      </c>
      <c r="K13896">
        <v>184.96</v>
      </c>
      <c r="L13896">
        <v>17951</v>
      </c>
      <c r="M13896" t="s">
        <v>87</v>
      </c>
      <c r="N13896" t="str">
        <f>"3023622     "</f>
        <v xml:space="preserve">3023622     </v>
      </c>
      <c r="O13896">
        <v>231011</v>
      </c>
    </row>
    <row r="13897" spans="1:15" x14ac:dyDescent="0.25">
      <c r="A13897" t="s">
        <v>16</v>
      </c>
      <c r="B13897" t="s">
        <v>3221</v>
      </c>
      <c r="C13897">
        <v>16484</v>
      </c>
      <c r="D13897" t="s">
        <v>745</v>
      </c>
      <c r="E13897" t="s">
        <v>746</v>
      </c>
      <c r="F13897">
        <v>440.12</v>
      </c>
      <c r="G13897">
        <v>231124</v>
      </c>
      <c r="H13897">
        <v>4600</v>
      </c>
      <c r="I13897" t="s">
        <v>105</v>
      </c>
      <c r="J13897">
        <v>545.75</v>
      </c>
      <c r="K13897">
        <v>105.63</v>
      </c>
      <c r="L13897">
        <v>17711</v>
      </c>
      <c r="M13897" t="s">
        <v>65</v>
      </c>
      <c r="N13897" t="str">
        <f>"3023760     "</f>
        <v xml:space="preserve">3023760     </v>
      </c>
      <c r="O13897">
        <v>231201</v>
      </c>
    </row>
    <row r="13898" spans="1:15" x14ac:dyDescent="0.25">
      <c r="A13898" t="s">
        <v>16</v>
      </c>
      <c r="B13898" t="s">
        <v>3221</v>
      </c>
      <c r="C13898">
        <v>17295</v>
      </c>
      <c r="D13898" t="s">
        <v>745</v>
      </c>
      <c r="E13898" t="s">
        <v>746</v>
      </c>
      <c r="F13898">
        <v>386.62</v>
      </c>
      <c r="G13898">
        <v>231208</v>
      </c>
      <c r="H13898">
        <v>4600</v>
      </c>
      <c r="I13898" t="s">
        <v>105</v>
      </c>
      <c r="J13898">
        <v>479.41</v>
      </c>
      <c r="K13898">
        <v>92.79</v>
      </c>
      <c r="L13898">
        <v>17951</v>
      </c>
      <c r="M13898" t="s">
        <v>87</v>
      </c>
      <c r="N13898" t="str">
        <f>"3023809     "</f>
        <v xml:space="preserve">3023809     </v>
      </c>
      <c r="O13898">
        <v>231212</v>
      </c>
    </row>
    <row r="13899" spans="1:15" x14ac:dyDescent="0.25">
      <c r="A13899" t="s">
        <v>16</v>
      </c>
      <c r="B13899" t="s">
        <v>3221</v>
      </c>
      <c r="C13899">
        <v>5933</v>
      </c>
      <c r="D13899" t="s">
        <v>745</v>
      </c>
      <c r="E13899" t="s">
        <v>746</v>
      </c>
      <c r="F13899">
        <v>378.98</v>
      </c>
      <c r="G13899">
        <v>230421</v>
      </c>
      <c r="H13899">
        <v>4555</v>
      </c>
      <c r="I13899" t="s">
        <v>481</v>
      </c>
      <c r="J13899">
        <v>469.93</v>
      </c>
      <c r="K13899">
        <v>90.95</v>
      </c>
      <c r="L13899">
        <v>17711</v>
      </c>
      <c r="M13899" t="s">
        <v>65</v>
      </c>
      <c r="N13899" t="str">
        <f>"3023235     "</f>
        <v xml:space="preserve">3023235     </v>
      </c>
      <c r="O13899">
        <v>230504</v>
      </c>
    </row>
    <row r="13900" spans="1:15" x14ac:dyDescent="0.25">
      <c r="A13900" t="s">
        <v>16</v>
      </c>
      <c r="B13900" t="s">
        <v>3221</v>
      </c>
      <c r="C13900">
        <v>824</v>
      </c>
      <c r="D13900" t="s">
        <v>745</v>
      </c>
      <c r="E13900" t="s">
        <v>746</v>
      </c>
      <c r="F13900">
        <v>609.79999999999995</v>
      </c>
      <c r="G13900">
        <v>230127</v>
      </c>
      <c r="H13900">
        <v>4380</v>
      </c>
      <c r="I13900" t="s">
        <v>113</v>
      </c>
      <c r="J13900">
        <v>756.15</v>
      </c>
      <c r="K13900">
        <v>146.35</v>
      </c>
      <c r="L13900">
        <v>46554</v>
      </c>
      <c r="M13900" t="s">
        <v>117</v>
      </c>
      <c r="N13900" t="str">
        <f>"302354      "</f>
        <v xml:space="preserve">302354      </v>
      </c>
      <c r="O13900">
        <v>230131</v>
      </c>
    </row>
    <row r="13901" spans="1:15" x14ac:dyDescent="0.25">
      <c r="A13901" t="s">
        <v>16</v>
      </c>
      <c r="B13901" t="s">
        <v>3221</v>
      </c>
      <c r="C13901">
        <v>5613</v>
      </c>
      <c r="D13901" t="s">
        <v>745</v>
      </c>
      <c r="E13901" t="s">
        <v>746</v>
      </c>
      <c r="F13901">
        <v>317.10000000000002</v>
      </c>
      <c r="G13901">
        <v>230424</v>
      </c>
      <c r="H13901">
        <v>4550</v>
      </c>
      <c r="I13901" t="s">
        <v>312</v>
      </c>
      <c r="J13901">
        <v>393.2</v>
      </c>
      <c r="K13901">
        <v>76.099999999999994</v>
      </c>
      <c r="L13901">
        <v>17951</v>
      </c>
      <c r="M13901" t="s">
        <v>87</v>
      </c>
      <c r="N13901" t="str">
        <f>"3023252     "</f>
        <v xml:space="preserve">3023252     </v>
      </c>
      <c r="O13901">
        <v>230428</v>
      </c>
    </row>
    <row r="13902" spans="1:15" x14ac:dyDescent="0.25">
      <c r="A13902" t="s">
        <v>16</v>
      </c>
      <c r="B13902" t="s">
        <v>3221</v>
      </c>
      <c r="C13902">
        <v>11091</v>
      </c>
      <c r="D13902" t="s">
        <v>745</v>
      </c>
      <c r="E13902" t="s">
        <v>746</v>
      </c>
      <c r="F13902">
        <v>235.5</v>
      </c>
      <c r="G13902">
        <v>230828</v>
      </c>
      <c r="H13902">
        <v>4550</v>
      </c>
      <c r="I13902" t="s">
        <v>312</v>
      </c>
      <c r="J13902">
        <v>292.02</v>
      </c>
      <c r="K13902">
        <v>56.52</v>
      </c>
      <c r="L13902">
        <v>17952</v>
      </c>
      <c r="M13902" t="s">
        <v>88</v>
      </c>
      <c r="N13902" t="str">
        <f>"3023524     "</f>
        <v xml:space="preserve">3023524     </v>
      </c>
      <c r="O13902">
        <v>230830</v>
      </c>
    </row>
    <row r="13903" spans="1:15" x14ac:dyDescent="0.25">
      <c r="A13903" t="s">
        <v>16</v>
      </c>
      <c r="B13903" t="s">
        <v>3221</v>
      </c>
      <c r="C13903">
        <v>16812</v>
      </c>
      <c r="D13903" t="s">
        <v>3018</v>
      </c>
      <c r="E13903" t="s">
        <v>3019</v>
      </c>
      <c r="F13903">
        <v>39</v>
      </c>
      <c r="G13903">
        <v>231130</v>
      </c>
      <c r="H13903">
        <v>4362</v>
      </c>
      <c r="I13903" t="s">
        <v>79</v>
      </c>
      <c r="J13903">
        <v>48.36</v>
      </c>
      <c r="K13903">
        <v>9.36</v>
      </c>
      <c r="L13903">
        <v>12010</v>
      </c>
      <c r="M13903" t="s">
        <v>2189</v>
      </c>
      <c r="N13903" t="str">
        <f>"4601        "</f>
        <v xml:space="preserve">4601        </v>
      </c>
      <c r="O13903">
        <v>231211</v>
      </c>
    </row>
    <row r="13904" spans="1:15" x14ac:dyDescent="0.25">
      <c r="A13904" t="s">
        <v>16</v>
      </c>
      <c r="B13904" t="s">
        <v>3221</v>
      </c>
      <c r="C13904">
        <v>13413</v>
      </c>
      <c r="D13904" t="s">
        <v>2671</v>
      </c>
      <c r="E13904" t="s">
        <v>2672</v>
      </c>
      <c r="F13904">
        <v>2512.1999999999998</v>
      </c>
      <c r="G13904">
        <v>231002</v>
      </c>
      <c r="H13904">
        <v>4400</v>
      </c>
      <c r="I13904" t="s">
        <v>348</v>
      </c>
      <c r="J13904">
        <v>3115.13</v>
      </c>
      <c r="K13904">
        <v>602.92999999999995</v>
      </c>
      <c r="L13904">
        <v>17803</v>
      </c>
      <c r="M13904" t="s">
        <v>389</v>
      </c>
      <c r="N13904" t="str">
        <f>"1001000999  "</f>
        <v xml:space="preserve">1001000999  </v>
      </c>
      <c r="O13904">
        <v>231010</v>
      </c>
    </row>
    <row r="13905" spans="1:15" x14ac:dyDescent="0.25">
      <c r="A13905" t="s">
        <v>16</v>
      </c>
      <c r="B13905" t="s">
        <v>3221</v>
      </c>
      <c r="C13905">
        <v>13415</v>
      </c>
      <c r="D13905" t="s">
        <v>2671</v>
      </c>
      <c r="E13905" t="s">
        <v>2672</v>
      </c>
      <c r="F13905">
        <v>447.5</v>
      </c>
      <c r="G13905">
        <v>231002</v>
      </c>
      <c r="H13905">
        <v>4400</v>
      </c>
      <c r="I13905" t="s">
        <v>348</v>
      </c>
      <c r="J13905">
        <v>554.9</v>
      </c>
      <c r="K13905">
        <v>107.4</v>
      </c>
      <c r="L13905">
        <v>17804</v>
      </c>
      <c r="M13905" t="s">
        <v>549</v>
      </c>
      <c r="N13905" t="str">
        <f>"1001000998  "</f>
        <v xml:space="preserve">1001000998  </v>
      </c>
      <c r="O13905">
        <v>231010</v>
      </c>
    </row>
    <row r="13906" spans="1:15" x14ac:dyDescent="0.25">
      <c r="A13906" t="s">
        <v>16</v>
      </c>
      <c r="B13906" t="s">
        <v>3221</v>
      </c>
      <c r="C13906">
        <v>13854</v>
      </c>
      <c r="D13906" t="s">
        <v>2671</v>
      </c>
      <c r="E13906" t="s">
        <v>2672</v>
      </c>
      <c r="F13906">
        <v>1374.34</v>
      </c>
      <c r="G13906">
        <v>230930</v>
      </c>
      <c r="H13906">
        <v>4400</v>
      </c>
      <c r="I13906" t="s">
        <v>348</v>
      </c>
      <c r="J13906">
        <v>1704.18</v>
      </c>
      <c r="K13906">
        <v>329.84</v>
      </c>
      <c r="L13906">
        <v>17803</v>
      </c>
      <c r="M13906" t="s">
        <v>389</v>
      </c>
      <c r="N13906" t="str">
        <f>"1001000990  "</f>
        <v xml:space="preserve">1001000990  </v>
      </c>
      <c r="O13906">
        <v>231016</v>
      </c>
    </row>
    <row r="13907" spans="1:15" x14ac:dyDescent="0.25">
      <c r="A13907" t="s">
        <v>16</v>
      </c>
      <c r="B13907" t="s">
        <v>3221</v>
      </c>
      <c r="C13907">
        <v>7096</v>
      </c>
      <c r="D13907" t="s">
        <v>2062</v>
      </c>
      <c r="E13907" t="s">
        <v>2063</v>
      </c>
      <c r="F13907">
        <v>77</v>
      </c>
      <c r="G13907">
        <v>230522</v>
      </c>
      <c r="H13907">
        <v>4390</v>
      </c>
      <c r="I13907" t="s">
        <v>98</v>
      </c>
      <c r="J13907">
        <v>95.48</v>
      </c>
      <c r="K13907">
        <v>18.48</v>
      </c>
      <c r="L13907">
        <v>69501</v>
      </c>
      <c r="M13907" t="s">
        <v>185</v>
      </c>
      <c r="N13907" t="str">
        <f>"43          "</f>
        <v xml:space="preserve">43          </v>
      </c>
      <c r="O13907">
        <v>230525</v>
      </c>
    </row>
    <row r="13908" spans="1:15" x14ac:dyDescent="0.25">
      <c r="A13908" t="s">
        <v>16</v>
      </c>
      <c r="B13908" t="s">
        <v>3221</v>
      </c>
      <c r="C13908">
        <v>11237</v>
      </c>
      <c r="D13908" t="s">
        <v>3671</v>
      </c>
      <c r="E13908" t="s">
        <v>3516</v>
      </c>
      <c r="F13908">
        <v>21.27</v>
      </c>
      <c r="G13908">
        <v>230831</v>
      </c>
      <c r="H13908">
        <v>4420</v>
      </c>
      <c r="I13908" t="s">
        <v>132</v>
      </c>
      <c r="J13908">
        <v>23.4</v>
      </c>
      <c r="K13908">
        <v>2.13</v>
      </c>
      <c r="L13908">
        <v>13401</v>
      </c>
      <c r="M13908" t="s">
        <v>80</v>
      </c>
      <c r="N13908" t="str">
        <f>"310823      "</f>
        <v xml:space="preserve">310823      </v>
      </c>
      <c r="O13908">
        <v>230901</v>
      </c>
    </row>
    <row r="13909" spans="1:15" x14ac:dyDescent="0.25">
      <c r="A13909" t="s">
        <v>16</v>
      </c>
      <c r="B13909" t="s">
        <v>3221</v>
      </c>
      <c r="C13909">
        <v>11237</v>
      </c>
      <c r="D13909" t="s">
        <v>3671</v>
      </c>
      <c r="E13909" t="s">
        <v>3516</v>
      </c>
      <c r="F13909">
        <v>21.27</v>
      </c>
      <c r="G13909">
        <v>230831</v>
      </c>
      <c r="H13909">
        <v>4420</v>
      </c>
      <c r="I13909" t="s">
        <v>132</v>
      </c>
      <c r="J13909">
        <v>23.4</v>
      </c>
      <c r="K13909">
        <v>2.13</v>
      </c>
      <c r="L13909">
        <v>13501</v>
      </c>
      <c r="M13909" t="s">
        <v>20</v>
      </c>
      <c r="N13909" t="str">
        <f>"310823      "</f>
        <v xml:space="preserve">310823      </v>
      </c>
      <c r="O13909">
        <v>230901</v>
      </c>
    </row>
    <row r="13910" spans="1:15" x14ac:dyDescent="0.25">
      <c r="A13910" t="s">
        <v>16</v>
      </c>
      <c r="B13910" t="s">
        <v>3221</v>
      </c>
      <c r="C13910">
        <v>17739</v>
      </c>
      <c r="D13910" t="s">
        <v>3097</v>
      </c>
      <c r="E13910" t="s">
        <v>3098</v>
      </c>
      <c r="F13910">
        <v>9384</v>
      </c>
      <c r="G13910">
        <v>231211</v>
      </c>
      <c r="H13910">
        <v>4530</v>
      </c>
      <c r="I13910" t="s">
        <v>342</v>
      </c>
      <c r="J13910">
        <v>11636.16</v>
      </c>
      <c r="K13910">
        <v>2252.16</v>
      </c>
      <c r="L13910">
        <v>11301</v>
      </c>
      <c r="M13910" t="s">
        <v>29</v>
      </c>
      <c r="N13910" t="str">
        <f>"10902       "</f>
        <v xml:space="preserve">10902       </v>
      </c>
      <c r="O13910">
        <v>231222</v>
      </c>
    </row>
    <row r="13911" spans="1:15" x14ac:dyDescent="0.25">
      <c r="A13911" t="s">
        <v>16</v>
      </c>
      <c r="B13911" t="s">
        <v>3221</v>
      </c>
      <c r="C13911">
        <v>10862</v>
      </c>
      <c r="D13911" t="s">
        <v>2425</v>
      </c>
      <c r="E13911" t="s">
        <v>2426</v>
      </c>
      <c r="F13911">
        <v>475.81</v>
      </c>
      <c r="G13911">
        <v>230822</v>
      </c>
      <c r="H13911">
        <v>4420</v>
      </c>
      <c r="I13911" t="s">
        <v>132</v>
      </c>
      <c r="J13911">
        <v>590</v>
      </c>
      <c r="K13911">
        <v>114.19</v>
      </c>
      <c r="L13911">
        <v>66722</v>
      </c>
      <c r="M13911" t="s">
        <v>518</v>
      </c>
      <c r="N13911" t="str">
        <f>"101636      "</f>
        <v xml:space="preserve">101636      </v>
      </c>
      <c r="O13911">
        <v>230824</v>
      </c>
    </row>
    <row r="13912" spans="1:15" x14ac:dyDescent="0.25">
      <c r="A13912" t="s">
        <v>16</v>
      </c>
      <c r="B13912" t="s">
        <v>3221</v>
      </c>
      <c r="C13912">
        <v>11532</v>
      </c>
      <c r="D13912" t="s">
        <v>2425</v>
      </c>
      <c r="E13912" t="s">
        <v>2426</v>
      </c>
      <c r="F13912">
        <v>40.909999999999997</v>
      </c>
      <c r="G13912">
        <v>230905</v>
      </c>
      <c r="H13912">
        <v>4420</v>
      </c>
      <c r="I13912" t="s">
        <v>132</v>
      </c>
      <c r="J13912">
        <v>45</v>
      </c>
      <c r="K13912">
        <v>4.09</v>
      </c>
      <c r="L13912">
        <v>66722</v>
      </c>
      <c r="M13912" t="s">
        <v>518</v>
      </c>
      <c r="N13912" t="str">
        <f>"101655      "</f>
        <v xml:space="preserve">101655      </v>
      </c>
      <c r="O13912">
        <v>230907</v>
      </c>
    </row>
    <row r="13913" spans="1:15" x14ac:dyDescent="0.25">
      <c r="A13913" t="s">
        <v>16</v>
      </c>
      <c r="B13913" t="s">
        <v>3221</v>
      </c>
      <c r="C13913">
        <v>11532</v>
      </c>
      <c r="D13913" t="s">
        <v>2425</v>
      </c>
      <c r="E13913" t="s">
        <v>2426</v>
      </c>
      <c r="F13913">
        <v>40.909999999999997</v>
      </c>
      <c r="G13913">
        <v>230905</v>
      </c>
      <c r="H13913">
        <v>4420</v>
      </c>
      <c r="I13913" t="s">
        <v>132</v>
      </c>
      <c r="J13913">
        <v>45</v>
      </c>
      <c r="K13913">
        <v>4.09</v>
      </c>
      <c r="L13913">
        <v>66756</v>
      </c>
      <c r="M13913" t="s">
        <v>209</v>
      </c>
      <c r="N13913" t="str">
        <f>"101655      "</f>
        <v xml:space="preserve">101655      </v>
      </c>
      <c r="O13913">
        <v>230907</v>
      </c>
    </row>
    <row r="13914" spans="1:15" x14ac:dyDescent="0.25">
      <c r="A13914" t="s">
        <v>16</v>
      </c>
      <c r="B13914" t="s">
        <v>3221</v>
      </c>
      <c r="C13914">
        <v>11532</v>
      </c>
      <c r="D13914" t="s">
        <v>2425</v>
      </c>
      <c r="E13914" t="s">
        <v>2426</v>
      </c>
      <c r="F13914">
        <v>40.909999999999997</v>
      </c>
      <c r="G13914">
        <v>230905</v>
      </c>
      <c r="H13914">
        <v>4420</v>
      </c>
      <c r="I13914" t="s">
        <v>132</v>
      </c>
      <c r="J13914">
        <v>45</v>
      </c>
      <c r="K13914">
        <v>4.09</v>
      </c>
      <c r="L13914">
        <v>67522</v>
      </c>
      <c r="M13914" t="s">
        <v>397</v>
      </c>
      <c r="N13914" t="str">
        <f>"101655      "</f>
        <v xml:space="preserve">101655      </v>
      </c>
      <c r="O13914">
        <v>230907</v>
      </c>
    </row>
    <row r="13915" spans="1:15" x14ac:dyDescent="0.25">
      <c r="A13915" t="s">
        <v>16</v>
      </c>
      <c r="B13915" t="s">
        <v>3221</v>
      </c>
      <c r="C13915">
        <v>11532</v>
      </c>
      <c r="D13915" t="s">
        <v>2425</v>
      </c>
      <c r="E13915" t="s">
        <v>2426</v>
      </c>
      <c r="F13915">
        <v>40.909999999999997</v>
      </c>
      <c r="G13915">
        <v>230905</v>
      </c>
      <c r="H13915">
        <v>4420</v>
      </c>
      <c r="I13915" t="s">
        <v>132</v>
      </c>
      <c r="J13915">
        <v>45</v>
      </c>
      <c r="K13915">
        <v>4.09</v>
      </c>
      <c r="L13915">
        <v>67522</v>
      </c>
      <c r="M13915" t="s">
        <v>397</v>
      </c>
      <c r="N13915" t="str">
        <f>"101655      "</f>
        <v xml:space="preserve">101655      </v>
      </c>
      <c r="O13915">
        <v>230907</v>
      </c>
    </row>
    <row r="13916" spans="1:15" x14ac:dyDescent="0.25">
      <c r="A13916" t="s">
        <v>16</v>
      </c>
      <c r="B13916" t="s">
        <v>3221</v>
      </c>
      <c r="C13916">
        <v>13961</v>
      </c>
      <c r="D13916" t="s">
        <v>2425</v>
      </c>
      <c r="E13916" t="s">
        <v>2426</v>
      </c>
      <c r="F13916">
        <v>427.27</v>
      </c>
      <c r="G13916">
        <v>231016</v>
      </c>
      <c r="H13916">
        <v>4420</v>
      </c>
      <c r="I13916" t="s">
        <v>132</v>
      </c>
      <c r="J13916">
        <v>470</v>
      </c>
      <c r="K13916">
        <v>42.73</v>
      </c>
      <c r="L13916">
        <v>67522</v>
      </c>
      <c r="M13916" t="s">
        <v>397</v>
      </c>
      <c r="N13916" t="str">
        <f>"101693      "</f>
        <v xml:space="preserve">101693      </v>
      </c>
      <c r="O13916">
        <v>231017</v>
      </c>
    </row>
    <row r="13917" spans="1:15" x14ac:dyDescent="0.25">
      <c r="A13917" t="s">
        <v>16</v>
      </c>
      <c r="B13917" t="s">
        <v>3221</v>
      </c>
      <c r="C13917">
        <v>14039</v>
      </c>
      <c r="D13917" t="s">
        <v>2425</v>
      </c>
      <c r="E13917" t="s">
        <v>2426</v>
      </c>
      <c r="F13917">
        <v>527.27</v>
      </c>
      <c r="G13917">
        <v>231009</v>
      </c>
      <c r="H13917">
        <v>4420</v>
      </c>
      <c r="I13917" t="s">
        <v>132</v>
      </c>
      <c r="J13917">
        <v>580</v>
      </c>
      <c r="K13917">
        <v>52.73</v>
      </c>
      <c r="L13917">
        <v>67522</v>
      </c>
      <c r="M13917" t="s">
        <v>397</v>
      </c>
      <c r="N13917" t="str">
        <f>"101688      "</f>
        <v xml:space="preserve">101688      </v>
      </c>
      <c r="O13917">
        <v>231017</v>
      </c>
    </row>
    <row r="13918" spans="1:15" x14ac:dyDescent="0.25">
      <c r="A13918" t="s">
        <v>16</v>
      </c>
      <c r="B13918" t="s">
        <v>3221</v>
      </c>
      <c r="C13918">
        <v>5330</v>
      </c>
      <c r="D13918" t="s">
        <v>3429</v>
      </c>
      <c r="E13918" t="s">
        <v>3430</v>
      </c>
      <c r="F13918">
        <v>30</v>
      </c>
      <c r="G13918">
        <v>230414</v>
      </c>
      <c r="H13918">
        <v>4510</v>
      </c>
      <c r="I13918" t="s">
        <v>42</v>
      </c>
      <c r="J13918">
        <v>30</v>
      </c>
      <c r="K13918">
        <v>0</v>
      </c>
      <c r="L13918">
        <v>53222</v>
      </c>
      <c r="M13918" t="s">
        <v>445</v>
      </c>
      <c r="N13918" t="str">
        <f>"660         "</f>
        <v xml:space="preserve">660         </v>
      </c>
      <c r="O13918">
        <v>230421</v>
      </c>
    </row>
    <row r="13919" spans="1:15" x14ac:dyDescent="0.25">
      <c r="A13919" t="s">
        <v>16</v>
      </c>
      <c r="B13919" t="s">
        <v>3221</v>
      </c>
      <c r="C13919">
        <v>17779</v>
      </c>
      <c r="D13919" t="s">
        <v>145</v>
      </c>
      <c r="E13919" t="s">
        <v>146</v>
      </c>
      <c r="F13919">
        <v>450</v>
      </c>
      <c r="G13919">
        <v>231212</v>
      </c>
      <c r="H13919">
        <v>4346</v>
      </c>
      <c r="I13919" t="s">
        <v>197</v>
      </c>
      <c r="J13919">
        <v>558</v>
      </c>
      <c r="K13919">
        <v>108</v>
      </c>
      <c r="L13919">
        <v>13661</v>
      </c>
      <c r="M13919" t="s">
        <v>247</v>
      </c>
      <c r="N13919" t="str">
        <f>"52104       "</f>
        <v xml:space="preserve">52104       </v>
      </c>
      <c r="O13919">
        <v>231227</v>
      </c>
    </row>
    <row r="13920" spans="1:15" x14ac:dyDescent="0.25">
      <c r="A13920" t="s">
        <v>16</v>
      </c>
      <c r="B13920" t="s">
        <v>3221</v>
      </c>
      <c r="C13920">
        <v>109</v>
      </c>
      <c r="D13920" t="s">
        <v>145</v>
      </c>
      <c r="E13920" t="s">
        <v>146</v>
      </c>
      <c r="F13920">
        <v>1053.5999999999999</v>
      </c>
      <c r="G13920">
        <v>230101</v>
      </c>
      <c r="H13920">
        <v>4343</v>
      </c>
      <c r="I13920" t="s">
        <v>91</v>
      </c>
      <c r="J13920">
        <v>1306.46</v>
      </c>
      <c r="K13920">
        <v>252.86</v>
      </c>
      <c r="L13920">
        <v>13601</v>
      </c>
      <c r="M13920" t="s">
        <v>147</v>
      </c>
      <c r="N13920" t="str">
        <f>"51717       "</f>
        <v xml:space="preserve">51717       </v>
      </c>
      <c r="O13920">
        <v>230111</v>
      </c>
    </row>
    <row r="13921" spans="1:15" x14ac:dyDescent="0.25">
      <c r="A13921" t="s">
        <v>16</v>
      </c>
      <c r="B13921" t="s">
        <v>3221</v>
      </c>
      <c r="C13921">
        <v>8500</v>
      </c>
      <c r="D13921" t="s">
        <v>145</v>
      </c>
      <c r="E13921" t="s">
        <v>146</v>
      </c>
      <c r="F13921">
        <v>1014</v>
      </c>
      <c r="G13921">
        <v>230605</v>
      </c>
      <c r="H13921">
        <v>4343</v>
      </c>
      <c r="I13921" t="s">
        <v>91</v>
      </c>
      <c r="J13921">
        <v>1257.3599999999999</v>
      </c>
      <c r="K13921">
        <v>243.36</v>
      </c>
      <c r="L13921">
        <v>13601</v>
      </c>
      <c r="M13921" t="s">
        <v>147</v>
      </c>
      <c r="N13921" t="str">
        <f>"51965       "</f>
        <v xml:space="preserve">51965       </v>
      </c>
      <c r="O13921">
        <v>230609</v>
      </c>
    </row>
    <row r="13922" spans="1:15" x14ac:dyDescent="0.25">
      <c r="A13922" t="s">
        <v>16</v>
      </c>
      <c r="B13922" t="s">
        <v>3221</v>
      </c>
      <c r="C13922">
        <v>18350</v>
      </c>
      <c r="D13922" t="s">
        <v>145</v>
      </c>
      <c r="E13922" t="s">
        <v>146</v>
      </c>
      <c r="F13922">
        <v>22.55</v>
      </c>
      <c r="G13922">
        <v>231221</v>
      </c>
      <c r="H13922">
        <v>4362</v>
      </c>
      <c r="I13922" t="s">
        <v>79</v>
      </c>
      <c r="J13922">
        <v>27.96</v>
      </c>
      <c r="K13922">
        <v>5.41</v>
      </c>
      <c r="L13922">
        <v>13601</v>
      </c>
      <c r="M13922" t="s">
        <v>147</v>
      </c>
      <c r="N13922" t="str">
        <f>"52162       "</f>
        <v xml:space="preserve">52162       </v>
      </c>
      <c r="O13922">
        <v>240103</v>
      </c>
    </row>
    <row r="13923" spans="1:15" x14ac:dyDescent="0.25">
      <c r="A13923" t="s">
        <v>16</v>
      </c>
      <c r="B13923" t="s">
        <v>3221</v>
      </c>
      <c r="C13923">
        <v>16520</v>
      </c>
      <c r="D13923" t="s">
        <v>145</v>
      </c>
      <c r="E13923" t="s">
        <v>146</v>
      </c>
      <c r="F13923">
        <v>218.18</v>
      </c>
      <c r="G13923">
        <v>231128</v>
      </c>
      <c r="H13923">
        <v>4440</v>
      </c>
      <c r="I13923" t="s">
        <v>250</v>
      </c>
      <c r="J13923">
        <v>240</v>
      </c>
      <c r="K13923">
        <v>21.82</v>
      </c>
      <c r="L13923">
        <v>13661</v>
      </c>
      <c r="M13923" t="s">
        <v>247</v>
      </c>
      <c r="N13923" t="str">
        <f>"52052       "</f>
        <v xml:space="preserve">52052       </v>
      </c>
      <c r="O13923">
        <v>231201</v>
      </c>
    </row>
    <row r="13924" spans="1:15" x14ac:dyDescent="0.25">
      <c r="A13924" t="s">
        <v>16</v>
      </c>
      <c r="B13924" t="s">
        <v>3221</v>
      </c>
      <c r="C13924">
        <v>6293</v>
      </c>
      <c r="D13924" t="s">
        <v>1951</v>
      </c>
      <c r="E13924" t="s">
        <v>1952</v>
      </c>
      <c r="F13924">
        <v>4940</v>
      </c>
      <c r="G13924">
        <v>230502</v>
      </c>
      <c r="H13924">
        <v>4580</v>
      </c>
      <c r="I13924" t="s">
        <v>35</v>
      </c>
      <c r="J13924">
        <v>6125.6</v>
      </c>
      <c r="K13924">
        <v>1185.5999999999999</v>
      </c>
      <c r="L13924">
        <v>17526</v>
      </c>
      <c r="M13924" t="s">
        <v>437</v>
      </c>
      <c r="N13924" t="str">
        <f>"2023420     "</f>
        <v xml:space="preserve">2023420     </v>
      </c>
      <c r="O13924">
        <v>230510</v>
      </c>
    </row>
    <row r="13925" spans="1:15" x14ac:dyDescent="0.25">
      <c r="A13925" t="s">
        <v>16</v>
      </c>
      <c r="B13925" t="s">
        <v>3221</v>
      </c>
      <c r="C13925">
        <v>14306</v>
      </c>
      <c r="D13925" t="s">
        <v>1951</v>
      </c>
      <c r="E13925" t="s">
        <v>1952</v>
      </c>
      <c r="F13925">
        <v>482</v>
      </c>
      <c r="G13925">
        <v>231018</v>
      </c>
      <c r="H13925">
        <v>4400</v>
      </c>
      <c r="I13925" t="s">
        <v>348</v>
      </c>
      <c r="J13925">
        <v>597.67999999999995</v>
      </c>
      <c r="K13925">
        <v>115.68</v>
      </c>
      <c r="L13925">
        <v>17526</v>
      </c>
      <c r="M13925" t="s">
        <v>437</v>
      </c>
      <c r="N13925" t="str">
        <f>"20231030    "</f>
        <v xml:space="preserve">20231030    </v>
      </c>
      <c r="O13925">
        <v>231026</v>
      </c>
    </row>
    <row r="13926" spans="1:15" x14ac:dyDescent="0.25">
      <c r="A13926" t="s">
        <v>16</v>
      </c>
      <c r="B13926" t="s">
        <v>3221</v>
      </c>
      <c r="C13926">
        <v>14156</v>
      </c>
      <c r="D13926" t="s">
        <v>2742</v>
      </c>
      <c r="E13926" t="s">
        <v>2743</v>
      </c>
      <c r="F13926">
        <v>48.65</v>
      </c>
      <c r="G13926">
        <v>231004</v>
      </c>
      <c r="H13926">
        <v>4600</v>
      </c>
      <c r="I13926" t="s">
        <v>105</v>
      </c>
      <c r="J13926">
        <v>60.33</v>
      </c>
      <c r="K13926">
        <v>11.68</v>
      </c>
      <c r="L13926">
        <v>17536</v>
      </c>
      <c r="M13926" t="s">
        <v>734</v>
      </c>
      <c r="N13926" t="str">
        <f>"1412226     "</f>
        <v xml:space="preserve">1412226     </v>
      </c>
      <c r="O13926">
        <v>231023</v>
      </c>
    </row>
    <row r="13927" spans="1:15" x14ac:dyDescent="0.25">
      <c r="A13927" t="s">
        <v>16</v>
      </c>
      <c r="B13927" t="s">
        <v>3221</v>
      </c>
      <c r="C13927">
        <v>2420</v>
      </c>
      <c r="D13927" t="s">
        <v>1390</v>
      </c>
      <c r="E13927" t="s">
        <v>1391</v>
      </c>
      <c r="F13927">
        <v>44.55</v>
      </c>
      <c r="G13927">
        <v>230223</v>
      </c>
      <c r="H13927">
        <v>4510</v>
      </c>
      <c r="I13927" t="s">
        <v>42</v>
      </c>
      <c r="J13927">
        <v>49</v>
      </c>
      <c r="K13927">
        <v>4.45</v>
      </c>
      <c r="L13927">
        <v>44222</v>
      </c>
      <c r="M13927" t="s">
        <v>232</v>
      </c>
      <c r="N13927" t="str">
        <f>"17955648    "</f>
        <v xml:space="preserve">17955648    </v>
      </c>
      <c r="O13927">
        <v>230227</v>
      </c>
    </row>
    <row r="13928" spans="1:15" x14ac:dyDescent="0.25">
      <c r="A13928" t="s">
        <v>16</v>
      </c>
      <c r="B13928" t="s">
        <v>3221</v>
      </c>
      <c r="C13928">
        <v>11399</v>
      </c>
      <c r="D13928" t="s">
        <v>1130</v>
      </c>
      <c r="E13928" t="s">
        <v>1131</v>
      </c>
      <c r="F13928">
        <v>243.08</v>
      </c>
      <c r="G13928">
        <v>230901</v>
      </c>
      <c r="H13928">
        <v>4580</v>
      </c>
      <c r="I13928" t="s">
        <v>35</v>
      </c>
      <c r="J13928">
        <v>301.42</v>
      </c>
      <c r="K13928">
        <v>58.34</v>
      </c>
      <c r="L13928">
        <v>17531</v>
      </c>
      <c r="M13928" t="s">
        <v>136</v>
      </c>
      <c r="N13928" t="str">
        <f>"33177       "</f>
        <v xml:space="preserve">33177       </v>
      </c>
      <c r="O13928">
        <v>230905</v>
      </c>
    </row>
    <row r="13929" spans="1:15" x14ac:dyDescent="0.25">
      <c r="A13929" t="s">
        <v>16</v>
      </c>
      <c r="B13929" t="s">
        <v>3221</v>
      </c>
      <c r="C13929">
        <v>11490</v>
      </c>
      <c r="D13929" t="s">
        <v>1130</v>
      </c>
      <c r="E13929" t="s">
        <v>1131</v>
      </c>
      <c r="F13929">
        <v>29.9</v>
      </c>
      <c r="G13929">
        <v>230901</v>
      </c>
      <c r="H13929">
        <v>4580</v>
      </c>
      <c r="I13929" t="s">
        <v>35</v>
      </c>
      <c r="J13929">
        <v>37.08</v>
      </c>
      <c r="K13929">
        <v>7.18</v>
      </c>
      <c r="L13929">
        <v>17533</v>
      </c>
      <c r="M13929" t="s">
        <v>990</v>
      </c>
      <c r="N13929" t="str">
        <f>"33135       "</f>
        <v xml:space="preserve">33135       </v>
      </c>
      <c r="O13929">
        <v>230906</v>
      </c>
    </row>
    <row r="13930" spans="1:15" x14ac:dyDescent="0.25">
      <c r="A13930" t="s">
        <v>16</v>
      </c>
      <c r="B13930" t="s">
        <v>3221</v>
      </c>
      <c r="C13930">
        <v>11490</v>
      </c>
      <c r="D13930" t="s">
        <v>1130</v>
      </c>
      <c r="E13930" t="s">
        <v>1131</v>
      </c>
      <c r="F13930">
        <v>203.87</v>
      </c>
      <c r="G13930">
        <v>230901</v>
      </c>
      <c r="H13930">
        <v>4580</v>
      </c>
      <c r="I13930" t="s">
        <v>35</v>
      </c>
      <c r="J13930">
        <v>252.8</v>
      </c>
      <c r="K13930">
        <v>48.93</v>
      </c>
      <c r="L13930">
        <v>17533</v>
      </c>
      <c r="M13930" t="s">
        <v>990</v>
      </c>
      <c r="N13930" t="str">
        <f>"33135       "</f>
        <v xml:space="preserve">33135       </v>
      </c>
      <c r="O13930">
        <v>230906</v>
      </c>
    </row>
    <row r="13931" spans="1:15" x14ac:dyDescent="0.25">
      <c r="A13931" t="s">
        <v>16</v>
      </c>
      <c r="B13931" t="s">
        <v>3221</v>
      </c>
      <c r="C13931">
        <v>14658</v>
      </c>
      <c r="D13931" t="s">
        <v>1130</v>
      </c>
      <c r="E13931" t="s">
        <v>1131</v>
      </c>
      <c r="F13931">
        <v>51.73</v>
      </c>
      <c r="G13931">
        <v>231027</v>
      </c>
      <c r="H13931">
        <v>4580</v>
      </c>
      <c r="I13931" t="s">
        <v>35</v>
      </c>
      <c r="J13931">
        <v>64.14</v>
      </c>
      <c r="K13931">
        <v>12.41</v>
      </c>
      <c r="L13931">
        <v>17533</v>
      </c>
      <c r="M13931" t="s">
        <v>990</v>
      </c>
      <c r="N13931" t="str">
        <f>"33919       "</f>
        <v xml:space="preserve">33919       </v>
      </c>
      <c r="O13931">
        <v>231031</v>
      </c>
    </row>
    <row r="13932" spans="1:15" x14ac:dyDescent="0.25">
      <c r="A13932" t="s">
        <v>16</v>
      </c>
      <c r="B13932" t="s">
        <v>3221</v>
      </c>
      <c r="C13932">
        <v>1669</v>
      </c>
      <c r="D13932" t="s">
        <v>1130</v>
      </c>
      <c r="E13932" t="s">
        <v>1131</v>
      </c>
      <c r="F13932">
        <v>20.91</v>
      </c>
      <c r="G13932">
        <v>230203</v>
      </c>
      <c r="H13932">
        <v>4600</v>
      </c>
      <c r="I13932" t="s">
        <v>105</v>
      </c>
      <c r="J13932">
        <v>25.93</v>
      </c>
      <c r="K13932">
        <v>5.0199999999999996</v>
      </c>
      <c r="L13932">
        <v>17533</v>
      </c>
      <c r="M13932" t="s">
        <v>990</v>
      </c>
      <c r="N13932" t="str">
        <f>"30733       "</f>
        <v xml:space="preserve">30733       </v>
      </c>
      <c r="O13932">
        <v>230213</v>
      </c>
    </row>
    <row r="13933" spans="1:15" x14ac:dyDescent="0.25">
      <c r="A13933" t="s">
        <v>16</v>
      </c>
      <c r="B13933" t="s">
        <v>3221</v>
      </c>
      <c r="C13933">
        <v>1669</v>
      </c>
      <c r="D13933" t="s">
        <v>1130</v>
      </c>
      <c r="E13933" t="s">
        <v>1131</v>
      </c>
      <c r="F13933">
        <v>30.32</v>
      </c>
      <c r="G13933">
        <v>230203</v>
      </c>
      <c r="H13933">
        <v>4600</v>
      </c>
      <c r="I13933" t="s">
        <v>105</v>
      </c>
      <c r="J13933">
        <v>37.6</v>
      </c>
      <c r="K13933">
        <v>7.28</v>
      </c>
      <c r="L13933">
        <v>17647</v>
      </c>
      <c r="M13933" t="s">
        <v>1132</v>
      </c>
      <c r="N13933" t="str">
        <f>"30733       "</f>
        <v xml:space="preserve">30733       </v>
      </c>
      <c r="O13933">
        <v>230213</v>
      </c>
    </row>
    <row r="13934" spans="1:15" x14ac:dyDescent="0.25">
      <c r="A13934" t="s">
        <v>16</v>
      </c>
      <c r="B13934" t="s">
        <v>3221</v>
      </c>
      <c r="C13934">
        <v>4820</v>
      </c>
      <c r="D13934" t="s">
        <v>1130</v>
      </c>
      <c r="E13934" t="s">
        <v>1131</v>
      </c>
      <c r="F13934">
        <v>13.19</v>
      </c>
      <c r="G13934">
        <v>230331</v>
      </c>
      <c r="H13934">
        <v>4600</v>
      </c>
      <c r="I13934" t="s">
        <v>105</v>
      </c>
      <c r="J13934">
        <v>16.36</v>
      </c>
      <c r="K13934">
        <v>3.17</v>
      </c>
      <c r="L13934">
        <v>56524</v>
      </c>
      <c r="M13934" t="s">
        <v>150</v>
      </c>
      <c r="N13934" t="str">
        <f>"31440       "</f>
        <v xml:space="preserve">31440       </v>
      </c>
      <c r="O13934">
        <v>230413</v>
      </c>
    </row>
    <row r="13935" spans="1:15" x14ac:dyDescent="0.25">
      <c r="A13935" t="s">
        <v>16</v>
      </c>
      <c r="B13935" t="s">
        <v>3221</v>
      </c>
      <c r="C13935">
        <v>5956</v>
      </c>
      <c r="D13935" t="s">
        <v>1130</v>
      </c>
      <c r="E13935" t="s">
        <v>1131</v>
      </c>
      <c r="F13935">
        <v>191.81</v>
      </c>
      <c r="G13935">
        <v>230428</v>
      </c>
      <c r="H13935">
        <v>4600</v>
      </c>
      <c r="I13935" t="s">
        <v>105</v>
      </c>
      <c r="J13935">
        <v>237.84</v>
      </c>
      <c r="K13935">
        <v>46.03</v>
      </c>
      <c r="L13935">
        <v>17645</v>
      </c>
      <c r="M13935" t="s">
        <v>1035</v>
      </c>
      <c r="N13935" t="str">
        <f>"31884       "</f>
        <v xml:space="preserve">31884       </v>
      </c>
      <c r="O13935">
        <v>230504</v>
      </c>
    </row>
    <row r="13936" spans="1:15" x14ac:dyDescent="0.25">
      <c r="A13936" t="s">
        <v>16</v>
      </c>
      <c r="B13936" t="s">
        <v>3221</v>
      </c>
      <c r="C13936">
        <v>11404</v>
      </c>
      <c r="D13936" t="s">
        <v>1130</v>
      </c>
      <c r="E13936" t="s">
        <v>1131</v>
      </c>
      <c r="F13936">
        <v>241.13</v>
      </c>
      <c r="G13936">
        <v>230901</v>
      </c>
      <c r="H13936">
        <v>4600</v>
      </c>
      <c r="I13936" t="s">
        <v>105</v>
      </c>
      <c r="J13936">
        <v>299</v>
      </c>
      <c r="K13936">
        <v>57.87</v>
      </c>
      <c r="L13936">
        <v>17645</v>
      </c>
      <c r="M13936" t="s">
        <v>1035</v>
      </c>
      <c r="N13936" t="str">
        <f>"33193       "</f>
        <v xml:space="preserve">33193       </v>
      </c>
      <c r="O13936">
        <v>230905</v>
      </c>
    </row>
    <row r="13937" spans="1:15" x14ac:dyDescent="0.25">
      <c r="A13937" t="s">
        <v>16</v>
      </c>
      <c r="B13937" t="s">
        <v>3221</v>
      </c>
      <c r="C13937">
        <v>11490</v>
      </c>
      <c r="D13937" t="s">
        <v>1130</v>
      </c>
      <c r="E13937" t="s">
        <v>1131</v>
      </c>
      <c r="F13937">
        <v>10.78</v>
      </c>
      <c r="G13937">
        <v>230901</v>
      </c>
      <c r="H13937">
        <v>4600</v>
      </c>
      <c r="I13937" t="s">
        <v>105</v>
      </c>
      <c r="J13937">
        <v>13.37</v>
      </c>
      <c r="K13937">
        <v>2.59</v>
      </c>
      <c r="L13937">
        <v>17533</v>
      </c>
      <c r="M13937" t="s">
        <v>990</v>
      </c>
      <c r="N13937" t="str">
        <f>"33135       "</f>
        <v xml:space="preserve">33135       </v>
      </c>
      <c r="O13937">
        <v>230906</v>
      </c>
    </row>
    <row r="13938" spans="1:15" x14ac:dyDescent="0.25">
      <c r="A13938" t="s">
        <v>16</v>
      </c>
      <c r="B13938" t="s">
        <v>3221</v>
      </c>
      <c r="C13938">
        <v>11490</v>
      </c>
      <c r="D13938" t="s">
        <v>1130</v>
      </c>
      <c r="E13938" t="s">
        <v>1131</v>
      </c>
      <c r="F13938">
        <v>285.32</v>
      </c>
      <c r="G13938">
        <v>230901</v>
      </c>
      <c r="H13938">
        <v>4600</v>
      </c>
      <c r="I13938" t="s">
        <v>105</v>
      </c>
      <c r="J13938">
        <v>353.8</v>
      </c>
      <c r="K13938">
        <v>68.48</v>
      </c>
      <c r="L13938">
        <v>17647</v>
      </c>
      <c r="M13938" t="s">
        <v>1132</v>
      </c>
      <c r="N13938" t="str">
        <f>"33135       "</f>
        <v xml:space="preserve">33135       </v>
      </c>
      <c r="O13938">
        <v>230906</v>
      </c>
    </row>
    <row r="13939" spans="1:15" x14ac:dyDescent="0.25">
      <c r="A13939" t="s">
        <v>16</v>
      </c>
      <c r="B13939" t="s">
        <v>3221</v>
      </c>
      <c r="C13939">
        <v>11515</v>
      </c>
      <c r="D13939" t="s">
        <v>1130</v>
      </c>
      <c r="E13939" t="s">
        <v>1131</v>
      </c>
      <c r="F13939">
        <v>160.47999999999999</v>
      </c>
      <c r="G13939">
        <v>230901</v>
      </c>
      <c r="H13939">
        <v>4600</v>
      </c>
      <c r="I13939" t="s">
        <v>105</v>
      </c>
      <c r="J13939">
        <v>199</v>
      </c>
      <c r="K13939">
        <v>38.520000000000003</v>
      </c>
      <c r="L13939">
        <v>17647</v>
      </c>
      <c r="M13939" t="s">
        <v>1132</v>
      </c>
      <c r="N13939" t="str">
        <f>"33192       "</f>
        <v xml:space="preserve">33192       </v>
      </c>
      <c r="O13939">
        <v>230907</v>
      </c>
    </row>
    <row r="13940" spans="1:15" x14ac:dyDescent="0.25">
      <c r="A13940" t="s">
        <v>16</v>
      </c>
      <c r="B13940" t="s">
        <v>3221</v>
      </c>
      <c r="C13940">
        <v>15023</v>
      </c>
      <c r="D13940" t="s">
        <v>1130</v>
      </c>
      <c r="E13940" t="s">
        <v>1131</v>
      </c>
      <c r="F13940">
        <v>175.94</v>
      </c>
      <c r="G13940">
        <v>231027</v>
      </c>
      <c r="H13940">
        <v>4600</v>
      </c>
      <c r="I13940" t="s">
        <v>105</v>
      </c>
      <c r="J13940">
        <v>218.16</v>
      </c>
      <c r="K13940">
        <v>42.22</v>
      </c>
      <c r="L13940">
        <v>17538</v>
      </c>
      <c r="M13940" t="s">
        <v>24</v>
      </c>
      <c r="N13940" t="str">
        <f>"33841       "</f>
        <v xml:space="preserve">33841       </v>
      </c>
      <c r="O13940">
        <v>231108</v>
      </c>
    </row>
    <row r="13941" spans="1:15" x14ac:dyDescent="0.25">
      <c r="A13941" t="s">
        <v>16</v>
      </c>
      <c r="B13941" t="s">
        <v>3221</v>
      </c>
      <c r="C13941">
        <v>16992</v>
      </c>
      <c r="D13941" t="s">
        <v>1130</v>
      </c>
      <c r="E13941" t="s">
        <v>1131</v>
      </c>
      <c r="F13941">
        <v>45.9</v>
      </c>
      <c r="G13941">
        <v>231201</v>
      </c>
      <c r="H13941">
        <v>4600</v>
      </c>
      <c r="I13941" t="s">
        <v>105</v>
      </c>
      <c r="J13941">
        <v>56.91</v>
      </c>
      <c r="K13941">
        <v>11.01</v>
      </c>
      <c r="L13941">
        <v>17533</v>
      </c>
      <c r="M13941" t="s">
        <v>990</v>
      </c>
      <c r="N13941" t="str">
        <f>"34348       "</f>
        <v xml:space="preserve">34348       </v>
      </c>
      <c r="O13941">
        <v>231211</v>
      </c>
    </row>
    <row r="13942" spans="1:15" x14ac:dyDescent="0.25">
      <c r="A13942" t="s">
        <v>16</v>
      </c>
      <c r="B13942" t="s">
        <v>3221</v>
      </c>
      <c r="C13942">
        <v>16992</v>
      </c>
      <c r="D13942" t="s">
        <v>1130</v>
      </c>
      <c r="E13942" t="s">
        <v>1131</v>
      </c>
      <c r="F13942">
        <v>8.65</v>
      </c>
      <c r="G13942">
        <v>231201</v>
      </c>
      <c r="H13942">
        <v>4600</v>
      </c>
      <c r="I13942" t="s">
        <v>105</v>
      </c>
      <c r="J13942">
        <v>10.72</v>
      </c>
      <c r="K13942">
        <v>2.0699999999999998</v>
      </c>
      <c r="L13942">
        <v>17647</v>
      </c>
      <c r="M13942" t="s">
        <v>1132</v>
      </c>
      <c r="N13942" t="str">
        <f>"34348       "</f>
        <v xml:space="preserve">34348       </v>
      </c>
      <c r="O13942">
        <v>231211</v>
      </c>
    </row>
    <row r="13943" spans="1:15" x14ac:dyDescent="0.25">
      <c r="A13943" t="s">
        <v>16</v>
      </c>
      <c r="B13943" t="s">
        <v>3221</v>
      </c>
      <c r="C13943">
        <v>17416</v>
      </c>
      <c r="D13943" t="s">
        <v>1130</v>
      </c>
      <c r="E13943" t="s">
        <v>1131</v>
      </c>
      <c r="F13943">
        <v>181.81</v>
      </c>
      <c r="G13943">
        <v>231201</v>
      </c>
      <c r="H13943">
        <v>4600</v>
      </c>
      <c r="I13943" t="s">
        <v>105</v>
      </c>
      <c r="J13943">
        <v>225.45</v>
      </c>
      <c r="K13943">
        <v>43.64</v>
      </c>
      <c r="L13943">
        <v>56524</v>
      </c>
      <c r="M13943" t="s">
        <v>150</v>
      </c>
      <c r="N13943" t="str">
        <f>"34347       "</f>
        <v xml:space="preserve">34347       </v>
      </c>
      <c r="O13943">
        <v>231214</v>
      </c>
    </row>
    <row r="13944" spans="1:15" x14ac:dyDescent="0.25">
      <c r="A13944" t="s">
        <v>16</v>
      </c>
      <c r="B13944" t="s">
        <v>3221</v>
      </c>
      <c r="C13944">
        <v>17416</v>
      </c>
      <c r="D13944" t="s">
        <v>1130</v>
      </c>
      <c r="E13944" t="s">
        <v>1131</v>
      </c>
      <c r="F13944">
        <v>78.150000000000006</v>
      </c>
      <c r="G13944">
        <v>231201</v>
      </c>
      <c r="H13944">
        <v>4600</v>
      </c>
      <c r="I13944" t="s">
        <v>105</v>
      </c>
      <c r="J13944">
        <v>96.9</v>
      </c>
      <c r="K13944">
        <v>18.75</v>
      </c>
      <c r="L13944">
        <v>56553</v>
      </c>
      <c r="M13944" t="s">
        <v>1793</v>
      </c>
      <c r="N13944" t="str">
        <f>"34347       "</f>
        <v xml:space="preserve">34347       </v>
      </c>
      <c r="O13944">
        <v>231214</v>
      </c>
    </row>
    <row r="13945" spans="1:15" x14ac:dyDescent="0.25">
      <c r="A13945" t="s">
        <v>16</v>
      </c>
      <c r="B13945" t="s">
        <v>3221</v>
      </c>
      <c r="C13945">
        <v>4770</v>
      </c>
      <c r="D13945" t="s">
        <v>1130</v>
      </c>
      <c r="E13945" t="s">
        <v>1131</v>
      </c>
      <c r="F13945">
        <v>59.03</v>
      </c>
      <c r="G13945">
        <v>230331</v>
      </c>
      <c r="H13945">
        <v>4500</v>
      </c>
      <c r="I13945" t="s">
        <v>212</v>
      </c>
      <c r="J13945">
        <v>73.2</v>
      </c>
      <c r="K13945">
        <v>14.17</v>
      </c>
      <c r="L13945">
        <v>13802</v>
      </c>
      <c r="M13945" t="s">
        <v>200</v>
      </c>
      <c r="N13945" t="str">
        <f>"31445       "</f>
        <v xml:space="preserve">31445       </v>
      </c>
      <c r="O13945">
        <v>230412</v>
      </c>
    </row>
    <row r="13946" spans="1:15" x14ac:dyDescent="0.25">
      <c r="A13946" t="s">
        <v>16</v>
      </c>
      <c r="B13946" t="s">
        <v>3221</v>
      </c>
      <c r="C13946">
        <v>8850</v>
      </c>
      <c r="D13946" t="s">
        <v>2218</v>
      </c>
      <c r="E13946" t="s">
        <v>2219</v>
      </c>
      <c r="F13946">
        <v>80.650000000000006</v>
      </c>
      <c r="G13946">
        <v>230613</v>
      </c>
      <c r="H13946">
        <v>4341</v>
      </c>
      <c r="I13946" t="s">
        <v>32</v>
      </c>
      <c r="J13946">
        <v>100.01</v>
      </c>
      <c r="K13946">
        <v>19.36</v>
      </c>
      <c r="L13946">
        <v>17131</v>
      </c>
      <c r="M13946" t="s">
        <v>64</v>
      </c>
      <c r="N13946" t="str">
        <f>"372638      "</f>
        <v xml:space="preserve">372638      </v>
      </c>
      <c r="O13946">
        <v>230619</v>
      </c>
    </row>
    <row r="13947" spans="1:15" x14ac:dyDescent="0.25">
      <c r="A13947" t="s">
        <v>16</v>
      </c>
      <c r="B13947" t="s">
        <v>3221</v>
      </c>
      <c r="C13947">
        <v>10938</v>
      </c>
      <c r="D13947" t="s">
        <v>474</v>
      </c>
      <c r="E13947" t="s">
        <v>475</v>
      </c>
      <c r="F13947">
        <v>689.72</v>
      </c>
      <c r="G13947">
        <v>230824</v>
      </c>
      <c r="H13947">
        <v>4580</v>
      </c>
      <c r="I13947" t="s">
        <v>35</v>
      </c>
      <c r="J13947">
        <v>855.25</v>
      </c>
      <c r="K13947">
        <v>165.53</v>
      </c>
      <c r="L13947">
        <v>17809</v>
      </c>
      <c r="M13947" t="s">
        <v>376</v>
      </c>
      <c r="N13947" t="str">
        <f>"139955549   "</f>
        <v xml:space="preserve">139955549   </v>
      </c>
      <c r="O13947">
        <v>230825</v>
      </c>
    </row>
    <row r="13948" spans="1:15" x14ac:dyDescent="0.25">
      <c r="A13948" t="s">
        <v>16</v>
      </c>
      <c r="B13948" t="s">
        <v>3221</v>
      </c>
      <c r="C13948">
        <v>12622</v>
      </c>
      <c r="D13948" t="s">
        <v>474</v>
      </c>
      <c r="E13948" t="s">
        <v>475</v>
      </c>
      <c r="F13948">
        <v>23.31</v>
      </c>
      <c r="G13948">
        <v>230904</v>
      </c>
      <c r="H13948">
        <v>4580</v>
      </c>
      <c r="I13948" t="s">
        <v>35</v>
      </c>
      <c r="J13948">
        <v>28.9</v>
      </c>
      <c r="K13948">
        <v>5.59</v>
      </c>
      <c r="L13948">
        <v>56522</v>
      </c>
      <c r="M13948" t="s">
        <v>43</v>
      </c>
      <c r="N13948" t="str">
        <f>"140042561   "</f>
        <v xml:space="preserve">140042561   </v>
      </c>
      <c r="O13948">
        <v>230922</v>
      </c>
    </row>
    <row r="13949" spans="1:15" x14ac:dyDescent="0.25">
      <c r="A13949" t="s">
        <v>16</v>
      </c>
      <c r="B13949" t="s">
        <v>3221</v>
      </c>
      <c r="C13949">
        <v>344</v>
      </c>
      <c r="D13949" t="s">
        <v>474</v>
      </c>
      <c r="E13949" t="s">
        <v>475</v>
      </c>
      <c r="F13949">
        <v>449.7</v>
      </c>
      <c r="G13949">
        <v>230117</v>
      </c>
      <c r="H13949">
        <v>4600</v>
      </c>
      <c r="I13949" t="s">
        <v>105</v>
      </c>
      <c r="J13949">
        <v>557.63</v>
      </c>
      <c r="K13949">
        <v>107.93</v>
      </c>
      <c r="L13949">
        <v>17807</v>
      </c>
      <c r="M13949" t="s">
        <v>318</v>
      </c>
      <c r="N13949" t="str">
        <f>"138202826   "</f>
        <v xml:space="preserve">138202826   </v>
      </c>
      <c r="O13949">
        <v>230118</v>
      </c>
    </row>
    <row r="13950" spans="1:15" x14ac:dyDescent="0.25">
      <c r="A13950" t="s">
        <v>16</v>
      </c>
      <c r="B13950" t="s">
        <v>3221</v>
      </c>
      <c r="C13950">
        <v>837</v>
      </c>
      <c r="D13950" t="s">
        <v>474</v>
      </c>
      <c r="E13950" t="s">
        <v>475</v>
      </c>
      <c r="F13950">
        <v>65.09</v>
      </c>
      <c r="G13950">
        <v>230127</v>
      </c>
      <c r="H13950">
        <v>4600</v>
      </c>
      <c r="I13950" t="s">
        <v>105</v>
      </c>
      <c r="J13950">
        <v>80.709999999999994</v>
      </c>
      <c r="K13950">
        <v>15.62</v>
      </c>
      <c r="L13950">
        <v>17807</v>
      </c>
      <c r="M13950" t="s">
        <v>318</v>
      </c>
      <c r="N13950" t="str">
        <f>"138299092   "</f>
        <v xml:space="preserve">138299092   </v>
      </c>
      <c r="O13950">
        <v>230131</v>
      </c>
    </row>
    <row r="13951" spans="1:15" x14ac:dyDescent="0.25">
      <c r="A13951" t="s">
        <v>16</v>
      </c>
      <c r="B13951" t="s">
        <v>3221</v>
      </c>
      <c r="C13951">
        <v>1220</v>
      </c>
      <c r="D13951" t="s">
        <v>474</v>
      </c>
      <c r="E13951" t="s">
        <v>475</v>
      </c>
      <c r="F13951">
        <v>58.89</v>
      </c>
      <c r="G13951">
        <v>230202</v>
      </c>
      <c r="H13951">
        <v>4600</v>
      </c>
      <c r="I13951" t="s">
        <v>105</v>
      </c>
      <c r="J13951">
        <v>73.02</v>
      </c>
      <c r="K13951">
        <v>14.13</v>
      </c>
      <c r="L13951">
        <v>17809</v>
      </c>
      <c r="M13951" t="s">
        <v>376</v>
      </c>
      <c r="N13951" t="str">
        <f>"138347615   "</f>
        <v xml:space="preserve">138347615   </v>
      </c>
      <c r="O13951">
        <v>230206</v>
      </c>
    </row>
    <row r="13952" spans="1:15" x14ac:dyDescent="0.25">
      <c r="A13952" t="s">
        <v>16</v>
      </c>
      <c r="B13952" t="s">
        <v>3221</v>
      </c>
      <c r="C13952">
        <v>1224</v>
      </c>
      <c r="D13952" t="s">
        <v>474</v>
      </c>
      <c r="E13952" t="s">
        <v>475</v>
      </c>
      <c r="F13952">
        <v>589.85</v>
      </c>
      <c r="G13952">
        <v>230201</v>
      </c>
      <c r="H13952">
        <v>4600</v>
      </c>
      <c r="I13952" t="s">
        <v>105</v>
      </c>
      <c r="J13952">
        <v>731.41</v>
      </c>
      <c r="K13952">
        <v>141.56</v>
      </c>
      <c r="L13952">
        <v>56560</v>
      </c>
      <c r="M13952" t="s">
        <v>654</v>
      </c>
      <c r="N13952" t="str">
        <f>"138335456   "</f>
        <v xml:space="preserve">138335456   </v>
      </c>
      <c r="O13952">
        <v>230206</v>
      </c>
    </row>
    <row r="13953" spans="1:15" x14ac:dyDescent="0.25">
      <c r="A13953" t="s">
        <v>16</v>
      </c>
      <c r="B13953" t="s">
        <v>3221</v>
      </c>
      <c r="C13953">
        <v>2016</v>
      </c>
      <c r="D13953" t="s">
        <v>474</v>
      </c>
      <c r="E13953" t="s">
        <v>475</v>
      </c>
      <c r="F13953">
        <v>299.87</v>
      </c>
      <c r="G13953">
        <v>230120</v>
      </c>
      <c r="H13953">
        <v>4600</v>
      </c>
      <c r="I13953" t="s">
        <v>105</v>
      </c>
      <c r="J13953">
        <v>371.84</v>
      </c>
      <c r="K13953">
        <v>71.97</v>
      </c>
      <c r="L13953">
        <v>56560</v>
      </c>
      <c r="M13953" t="s">
        <v>654</v>
      </c>
      <c r="N13953" t="str">
        <f>"138239362   "</f>
        <v xml:space="preserve">138239362   </v>
      </c>
      <c r="O13953">
        <v>230217</v>
      </c>
    </row>
    <row r="13954" spans="1:15" x14ac:dyDescent="0.25">
      <c r="A13954" t="s">
        <v>16</v>
      </c>
      <c r="B13954" t="s">
        <v>3221</v>
      </c>
      <c r="C13954">
        <v>2016</v>
      </c>
      <c r="D13954" t="s">
        <v>474</v>
      </c>
      <c r="E13954" t="s">
        <v>475</v>
      </c>
      <c r="F13954">
        <v>69.87</v>
      </c>
      <c r="G13954">
        <v>230120</v>
      </c>
      <c r="H13954">
        <v>4600</v>
      </c>
      <c r="I13954" t="s">
        <v>105</v>
      </c>
      <c r="J13954">
        <v>86.64</v>
      </c>
      <c r="K13954">
        <v>16.77</v>
      </c>
      <c r="L13954">
        <v>59501</v>
      </c>
      <c r="M13954" t="s">
        <v>69</v>
      </c>
      <c r="N13954" t="str">
        <f>"138239362   "</f>
        <v xml:space="preserve">138239362   </v>
      </c>
      <c r="O13954">
        <v>230217</v>
      </c>
    </row>
    <row r="13955" spans="1:15" x14ac:dyDescent="0.25">
      <c r="A13955" t="s">
        <v>16</v>
      </c>
      <c r="B13955" t="s">
        <v>3221</v>
      </c>
      <c r="C13955">
        <v>2243</v>
      </c>
      <c r="D13955" t="s">
        <v>474</v>
      </c>
      <c r="E13955" t="s">
        <v>475</v>
      </c>
      <c r="F13955">
        <v>1410.12</v>
      </c>
      <c r="G13955">
        <v>230207</v>
      </c>
      <c r="H13955">
        <v>4600</v>
      </c>
      <c r="I13955" t="s">
        <v>105</v>
      </c>
      <c r="J13955">
        <v>1748.55</v>
      </c>
      <c r="K13955">
        <v>338.43</v>
      </c>
      <c r="L13955">
        <v>56571</v>
      </c>
      <c r="M13955" t="s">
        <v>204</v>
      </c>
      <c r="N13955" t="str">
        <f>"138381992   "</f>
        <v xml:space="preserve">138381992   </v>
      </c>
      <c r="O13955">
        <v>230222</v>
      </c>
    </row>
    <row r="13956" spans="1:15" x14ac:dyDescent="0.25">
      <c r="A13956" t="s">
        <v>16</v>
      </c>
      <c r="B13956" t="s">
        <v>3221</v>
      </c>
      <c r="C13956">
        <v>2244</v>
      </c>
      <c r="D13956" t="s">
        <v>474</v>
      </c>
      <c r="E13956" t="s">
        <v>475</v>
      </c>
      <c r="F13956">
        <v>73.08</v>
      </c>
      <c r="G13956">
        <v>230213</v>
      </c>
      <c r="H13956">
        <v>4600</v>
      </c>
      <c r="I13956" t="s">
        <v>105</v>
      </c>
      <c r="J13956">
        <v>90.62</v>
      </c>
      <c r="K13956">
        <v>17.54</v>
      </c>
      <c r="L13956">
        <v>56560</v>
      </c>
      <c r="M13956" t="s">
        <v>654</v>
      </c>
      <c r="N13956" t="str">
        <f>"138428739   "</f>
        <v xml:space="preserve">138428739   </v>
      </c>
      <c r="O13956">
        <v>230222</v>
      </c>
    </row>
    <row r="13957" spans="1:15" x14ac:dyDescent="0.25">
      <c r="A13957" t="s">
        <v>16</v>
      </c>
      <c r="B13957" t="s">
        <v>3221</v>
      </c>
      <c r="C13957">
        <v>3047</v>
      </c>
      <c r="D13957" t="s">
        <v>474</v>
      </c>
      <c r="E13957" t="s">
        <v>475</v>
      </c>
      <c r="F13957">
        <v>389.66</v>
      </c>
      <c r="G13957">
        <v>230222</v>
      </c>
      <c r="H13957">
        <v>4600</v>
      </c>
      <c r="I13957" t="s">
        <v>105</v>
      </c>
      <c r="J13957">
        <v>483.18</v>
      </c>
      <c r="K13957">
        <v>93.52</v>
      </c>
      <c r="L13957">
        <v>17807</v>
      </c>
      <c r="M13957" t="s">
        <v>318</v>
      </c>
      <c r="N13957" t="str">
        <f>"138509843   "</f>
        <v xml:space="preserve">138509843   </v>
      </c>
      <c r="O13957">
        <v>230308</v>
      </c>
    </row>
    <row r="13958" spans="1:15" x14ac:dyDescent="0.25">
      <c r="A13958" t="s">
        <v>16</v>
      </c>
      <c r="B13958" t="s">
        <v>3221</v>
      </c>
      <c r="C13958">
        <v>3327</v>
      </c>
      <c r="D13958" t="s">
        <v>474</v>
      </c>
      <c r="E13958" t="s">
        <v>475</v>
      </c>
      <c r="F13958">
        <v>26.98</v>
      </c>
      <c r="G13958">
        <v>230309</v>
      </c>
      <c r="H13958">
        <v>4600</v>
      </c>
      <c r="I13958" t="s">
        <v>105</v>
      </c>
      <c r="J13958">
        <v>33.46</v>
      </c>
      <c r="K13958">
        <v>6.48</v>
      </c>
      <c r="L13958">
        <v>59504</v>
      </c>
      <c r="M13958" t="s">
        <v>71</v>
      </c>
      <c r="N13958" t="str">
        <f>"138629152   "</f>
        <v xml:space="preserve">138629152   </v>
      </c>
      <c r="O13958">
        <v>230314</v>
      </c>
    </row>
    <row r="13959" spans="1:15" x14ac:dyDescent="0.25">
      <c r="A13959" t="s">
        <v>16</v>
      </c>
      <c r="B13959" t="s">
        <v>3221</v>
      </c>
      <c r="C13959">
        <v>3389</v>
      </c>
      <c r="D13959" t="s">
        <v>474</v>
      </c>
      <c r="E13959" t="s">
        <v>475</v>
      </c>
      <c r="F13959">
        <v>1063.81</v>
      </c>
      <c r="G13959">
        <v>230308</v>
      </c>
      <c r="H13959">
        <v>4600</v>
      </c>
      <c r="I13959" t="s">
        <v>105</v>
      </c>
      <c r="J13959">
        <v>1319.12</v>
      </c>
      <c r="K13959">
        <v>255.31</v>
      </c>
      <c r="L13959">
        <v>56571</v>
      </c>
      <c r="M13959" t="s">
        <v>204</v>
      </c>
      <c r="N13959" t="str">
        <f>"138618001   "</f>
        <v xml:space="preserve">138618001   </v>
      </c>
      <c r="O13959">
        <v>230315</v>
      </c>
    </row>
    <row r="13960" spans="1:15" x14ac:dyDescent="0.25">
      <c r="A13960" t="s">
        <v>16</v>
      </c>
      <c r="B13960" t="s">
        <v>3221</v>
      </c>
      <c r="C13960">
        <v>3468</v>
      </c>
      <c r="D13960" t="s">
        <v>474</v>
      </c>
      <c r="E13960" t="s">
        <v>475</v>
      </c>
      <c r="F13960">
        <v>411.41</v>
      </c>
      <c r="G13960">
        <v>230309</v>
      </c>
      <c r="H13960">
        <v>4600</v>
      </c>
      <c r="I13960" t="s">
        <v>105</v>
      </c>
      <c r="J13960">
        <v>510.15</v>
      </c>
      <c r="K13960">
        <v>98.74</v>
      </c>
      <c r="L13960">
        <v>49501</v>
      </c>
      <c r="M13960" t="s">
        <v>177</v>
      </c>
      <c r="N13960" t="str">
        <f>"138629153   "</f>
        <v xml:space="preserve">138629153   </v>
      </c>
      <c r="O13960">
        <v>230316</v>
      </c>
    </row>
    <row r="13961" spans="1:15" x14ac:dyDescent="0.25">
      <c r="A13961" t="s">
        <v>16</v>
      </c>
      <c r="B13961" t="s">
        <v>3221</v>
      </c>
      <c r="C13961">
        <v>3482</v>
      </c>
      <c r="D13961" t="s">
        <v>474</v>
      </c>
      <c r="E13961" t="s">
        <v>475</v>
      </c>
      <c r="F13961">
        <v>168.97</v>
      </c>
      <c r="G13961">
        <v>230313</v>
      </c>
      <c r="H13961">
        <v>4600</v>
      </c>
      <c r="I13961" t="s">
        <v>105</v>
      </c>
      <c r="J13961">
        <v>209.52</v>
      </c>
      <c r="K13961">
        <v>40.549999999999997</v>
      </c>
      <c r="L13961">
        <v>17807</v>
      </c>
      <c r="M13961" t="s">
        <v>318</v>
      </c>
      <c r="N13961" t="str">
        <f>"138649376   "</f>
        <v xml:space="preserve">138649376   </v>
      </c>
      <c r="O13961">
        <v>230316</v>
      </c>
    </row>
    <row r="13962" spans="1:15" x14ac:dyDescent="0.25">
      <c r="A13962" t="s">
        <v>16</v>
      </c>
      <c r="B13962" t="s">
        <v>3221</v>
      </c>
      <c r="C13962">
        <v>3588</v>
      </c>
      <c r="D13962" t="s">
        <v>474</v>
      </c>
      <c r="E13962" t="s">
        <v>475</v>
      </c>
      <c r="F13962">
        <v>92.49</v>
      </c>
      <c r="G13962">
        <v>230310</v>
      </c>
      <c r="H13962">
        <v>4600</v>
      </c>
      <c r="I13962" t="s">
        <v>105</v>
      </c>
      <c r="J13962">
        <v>114.69</v>
      </c>
      <c r="K13962">
        <v>22.2</v>
      </c>
      <c r="L13962">
        <v>49501</v>
      </c>
      <c r="M13962" t="s">
        <v>177</v>
      </c>
      <c r="N13962" t="str">
        <f>"138639452   "</f>
        <v xml:space="preserve">138639452   </v>
      </c>
      <c r="O13962">
        <v>230317</v>
      </c>
    </row>
    <row r="13963" spans="1:15" x14ac:dyDescent="0.25">
      <c r="A13963" t="s">
        <v>16</v>
      </c>
      <c r="B13963" t="s">
        <v>3221</v>
      </c>
      <c r="C13963">
        <v>3865</v>
      </c>
      <c r="D13963" t="s">
        <v>474</v>
      </c>
      <c r="E13963" t="s">
        <v>475</v>
      </c>
      <c r="F13963">
        <v>44.99</v>
      </c>
      <c r="G13963">
        <v>230315</v>
      </c>
      <c r="H13963">
        <v>4600</v>
      </c>
      <c r="I13963" t="s">
        <v>105</v>
      </c>
      <c r="J13963">
        <v>55.79</v>
      </c>
      <c r="K13963">
        <v>10.8</v>
      </c>
      <c r="L13963">
        <v>56571</v>
      </c>
      <c r="M13963" t="s">
        <v>204</v>
      </c>
      <c r="N13963" t="str">
        <f>"138674403   "</f>
        <v xml:space="preserve">138674403   </v>
      </c>
      <c r="O13963">
        <v>230323</v>
      </c>
    </row>
    <row r="13964" spans="1:15" x14ac:dyDescent="0.25">
      <c r="A13964" t="s">
        <v>16</v>
      </c>
      <c r="B13964" t="s">
        <v>3221</v>
      </c>
      <c r="C13964">
        <v>3946</v>
      </c>
      <c r="D13964" t="s">
        <v>474</v>
      </c>
      <c r="E13964" t="s">
        <v>475</v>
      </c>
      <c r="F13964">
        <v>689.76</v>
      </c>
      <c r="G13964">
        <v>230321</v>
      </c>
      <c r="H13964">
        <v>4600</v>
      </c>
      <c r="I13964" t="s">
        <v>105</v>
      </c>
      <c r="J13964">
        <v>855.3</v>
      </c>
      <c r="K13964">
        <v>165.54</v>
      </c>
      <c r="L13964">
        <v>17807</v>
      </c>
      <c r="M13964" t="s">
        <v>318</v>
      </c>
      <c r="N13964" t="str">
        <f>"138722078   "</f>
        <v xml:space="preserve">138722078   </v>
      </c>
      <c r="O13964">
        <v>230327</v>
      </c>
    </row>
    <row r="13965" spans="1:15" x14ac:dyDescent="0.25">
      <c r="A13965" t="s">
        <v>16</v>
      </c>
      <c r="B13965" t="s">
        <v>3221</v>
      </c>
      <c r="C13965">
        <v>3948</v>
      </c>
      <c r="D13965" t="s">
        <v>474</v>
      </c>
      <c r="E13965" t="s">
        <v>475</v>
      </c>
      <c r="F13965">
        <v>160.46</v>
      </c>
      <c r="G13965">
        <v>230324</v>
      </c>
      <c r="H13965">
        <v>4600</v>
      </c>
      <c r="I13965" t="s">
        <v>105</v>
      </c>
      <c r="J13965">
        <v>198.97</v>
      </c>
      <c r="K13965">
        <v>38.51</v>
      </c>
      <c r="L13965">
        <v>17807</v>
      </c>
      <c r="M13965" t="s">
        <v>318</v>
      </c>
      <c r="N13965" t="str">
        <f>"138758041   "</f>
        <v xml:space="preserve">138758041   </v>
      </c>
      <c r="O13965">
        <v>230327</v>
      </c>
    </row>
    <row r="13966" spans="1:15" x14ac:dyDescent="0.25">
      <c r="A13966" t="s">
        <v>16</v>
      </c>
      <c r="B13966" t="s">
        <v>3221</v>
      </c>
      <c r="C13966">
        <v>4441</v>
      </c>
      <c r="D13966" t="s">
        <v>474</v>
      </c>
      <c r="E13966" t="s">
        <v>475</v>
      </c>
      <c r="F13966">
        <v>490.77</v>
      </c>
      <c r="G13966">
        <v>230404</v>
      </c>
      <c r="H13966">
        <v>4600</v>
      </c>
      <c r="I13966" t="s">
        <v>105</v>
      </c>
      <c r="J13966">
        <v>608.54999999999995</v>
      </c>
      <c r="K13966">
        <v>117.78</v>
      </c>
      <c r="L13966">
        <v>56560</v>
      </c>
      <c r="M13966" t="s">
        <v>654</v>
      </c>
      <c r="N13966" t="str">
        <f>"138836909   "</f>
        <v xml:space="preserve">138836909   </v>
      </c>
      <c r="O13966">
        <v>230405</v>
      </c>
    </row>
    <row r="13967" spans="1:15" x14ac:dyDescent="0.25">
      <c r="A13967" t="s">
        <v>16</v>
      </c>
      <c r="B13967" t="s">
        <v>3221</v>
      </c>
      <c r="C13967">
        <v>4441</v>
      </c>
      <c r="D13967" t="s">
        <v>474</v>
      </c>
      <c r="E13967" t="s">
        <v>475</v>
      </c>
      <c r="F13967">
        <v>665.85</v>
      </c>
      <c r="G13967">
        <v>230404</v>
      </c>
      <c r="H13967">
        <v>4600</v>
      </c>
      <c r="I13967" t="s">
        <v>105</v>
      </c>
      <c r="J13967">
        <v>825.65</v>
      </c>
      <c r="K13967">
        <v>159.80000000000001</v>
      </c>
      <c r="L13967">
        <v>59501</v>
      </c>
      <c r="M13967" t="s">
        <v>69</v>
      </c>
      <c r="N13967" t="str">
        <f>"138836909   "</f>
        <v xml:space="preserve">138836909   </v>
      </c>
      <c r="O13967">
        <v>230405</v>
      </c>
    </row>
    <row r="13968" spans="1:15" x14ac:dyDescent="0.25">
      <c r="A13968" t="s">
        <v>16</v>
      </c>
      <c r="B13968" t="s">
        <v>3221</v>
      </c>
      <c r="C13968">
        <v>4524</v>
      </c>
      <c r="D13968" t="s">
        <v>474</v>
      </c>
      <c r="E13968" t="s">
        <v>475</v>
      </c>
      <c r="F13968">
        <v>21.79</v>
      </c>
      <c r="G13968">
        <v>230328</v>
      </c>
      <c r="H13968">
        <v>4600</v>
      </c>
      <c r="I13968" t="s">
        <v>105</v>
      </c>
      <c r="J13968">
        <v>27.02</v>
      </c>
      <c r="K13968">
        <v>5.23</v>
      </c>
      <c r="L13968">
        <v>59504</v>
      </c>
      <c r="M13968" t="s">
        <v>71</v>
      </c>
      <c r="N13968" t="str">
        <f>"138781258   "</f>
        <v xml:space="preserve">138781258   </v>
      </c>
      <c r="O13968">
        <v>230406</v>
      </c>
    </row>
    <row r="13969" spans="1:15" x14ac:dyDescent="0.25">
      <c r="A13969" t="s">
        <v>16</v>
      </c>
      <c r="B13969" t="s">
        <v>3221</v>
      </c>
      <c r="C13969">
        <v>5294</v>
      </c>
      <c r="D13969" t="s">
        <v>474</v>
      </c>
      <c r="E13969" t="s">
        <v>475</v>
      </c>
      <c r="F13969">
        <v>809.28</v>
      </c>
      <c r="G13969">
        <v>230418</v>
      </c>
      <c r="H13969">
        <v>4600</v>
      </c>
      <c r="I13969" t="s">
        <v>105</v>
      </c>
      <c r="J13969">
        <v>1003.51</v>
      </c>
      <c r="K13969">
        <v>194.23</v>
      </c>
      <c r="L13969">
        <v>66756</v>
      </c>
      <c r="M13969" t="s">
        <v>209</v>
      </c>
      <c r="N13969" t="str">
        <f>"138929510   "</f>
        <v xml:space="preserve">138929510   </v>
      </c>
      <c r="O13969">
        <v>230420</v>
      </c>
    </row>
    <row r="13970" spans="1:15" x14ac:dyDescent="0.25">
      <c r="A13970" t="s">
        <v>16</v>
      </c>
      <c r="B13970" t="s">
        <v>3221</v>
      </c>
      <c r="C13970">
        <v>5325</v>
      </c>
      <c r="D13970" t="s">
        <v>474</v>
      </c>
      <c r="E13970" t="s">
        <v>475</v>
      </c>
      <c r="F13970">
        <v>18.13</v>
      </c>
      <c r="G13970">
        <v>230328</v>
      </c>
      <c r="H13970">
        <v>4600</v>
      </c>
      <c r="I13970" t="s">
        <v>105</v>
      </c>
      <c r="J13970">
        <v>22.48</v>
      </c>
      <c r="K13970">
        <v>4.3499999999999996</v>
      </c>
      <c r="L13970">
        <v>56522</v>
      </c>
      <c r="M13970" t="s">
        <v>43</v>
      </c>
      <c r="N13970" t="str">
        <f>"138781259   "</f>
        <v xml:space="preserve">138781259   </v>
      </c>
      <c r="O13970">
        <v>230421</v>
      </c>
    </row>
    <row r="13971" spans="1:15" x14ac:dyDescent="0.25">
      <c r="A13971" t="s">
        <v>16</v>
      </c>
      <c r="B13971" t="s">
        <v>3221</v>
      </c>
      <c r="C13971">
        <v>5325</v>
      </c>
      <c r="D13971" t="s">
        <v>474</v>
      </c>
      <c r="E13971" t="s">
        <v>475</v>
      </c>
      <c r="F13971">
        <v>147.72999999999999</v>
      </c>
      <c r="G13971">
        <v>230328</v>
      </c>
      <c r="H13971">
        <v>4600</v>
      </c>
      <c r="I13971" t="s">
        <v>105</v>
      </c>
      <c r="J13971">
        <v>183.19</v>
      </c>
      <c r="K13971">
        <v>35.46</v>
      </c>
      <c r="L13971">
        <v>56571</v>
      </c>
      <c r="M13971" t="s">
        <v>204</v>
      </c>
      <c r="N13971" t="str">
        <f>"138781259   "</f>
        <v xml:space="preserve">138781259   </v>
      </c>
      <c r="O13971">
        <v>230421</v>
      </c>
    </row>
    <row r="13972" spans="1:15" x14ac:dyDescent="0.25">
      <c r="A13972" t="s">
        <v>16</v>
      </c>
      <c r="B13972" t="s">
        <v>3221</v>
      </c>
      <c r="C13972">
        <v>5333</v>
      </c>
      <c r="D13972" t="s">
        <v>474</v>
      </c>
      <c r="E13972" t="s">
        <v>475</v>
      </c>
      <c r="F13972">
        <v>236.46</v>
      </c>
      <c r="G13972">
        <v>230331</v>
      </c>
      <c r="H13972">
        <v>4600</v>
      </c>
      <c r="I13972" t="s">
        <v>105</v>
      </c>
      <c r="J13972">
        <v>293.20999999999998</v>
      </c>
      <c r="K13972">
        <v>56.75</v>
      </c>
      <c r="L13972">
        <v>56571</v>
      </c>
      <c r="M13972" t="s">
        <v>204</v>
      </c>
      <c r="N13972" t="str">
        <f>"138814588   "</f>
        <v xml:space="preserve">138814588   </v>
      </c>
      <c r="O13972">
        <v>230421</v>
      </c>
    </row>
    <row r="13973" spans="1:15" x14ac:dyDescent="0.25">
      <c r="A13973" t="s">
        <v>16</v>
      </c>
      <c r="B13973" t="s">
        <v>3221</v>
      </c>
      <c r="C13973">
        <v>5848</v>
      </c>
      <c r="D13973" t="s">
        <v>474</v>
      </c>
      <c r="E13973" t="s">
        <v>475</v>
      </c>
      <c r="F13973">
        <v>72.67</v>
      </c>
      <c r="G13973">
        <v>230427</v>
      </c>
      <c r="H13973">
        <v>4600</v>
      </c>
      <c r="I13973" t="s">
        <v>105</v>
      </c>
      <c r="J13973">
        <v>90.11</v>
      </c>
      <c r="K13973">
        <v>17.440000000000001</v>
      </c>
      <c r="L13973">
        <v>17807</v>
      </c>
      <c r="M13973" t="s">
        <v>318</v>
      </c>
      <c r="N13973" t="str">
        <f>"139013609   "</f>
        <v xml:space="preserve">139013609   </v>
      </c>
      <c r="O13973">
        <v>230503</v>
      </c>
    </row>
    <row r="13974" spans="1:15" x14ac:dyDescent="0.25">
      <c r="A13974" t="s">
        <v>16</v>
      </c>
      <c r="B13974" t="s">
        <v>3221</v>
      </c>
      <c r="C13974">
        <v>6374</v>
      </c>
      <c r="D13974" t="s">
        <v>474</v>
      </c>
      <c r="E13974" t="s">
        <v>475</v>
      </c>
      <c r="F13974">
        <v>229.57</v>
      </c>
      <c r="G13974">
        <v>230503</v>
      </c>
      <c r="H13974">
        <v>4600</v>
      </c>
      <c r="I13974" t="s">
        <v>105</v>
      </c>
      <c r="J13974">
        <v>284.67</v>
      </c>
      <c r="K13974">
        <v>55.1</v>
      </c>
      <c r="L13974">
        <v>56560</v>
      </c>
      <c r="M13974" t="s">
        <v>654</v>
      </c>
      <c r="N13974" t="str">
        <f>"139049195   "</f>
        <v xml:space="preserve">139049195   </v>
      </c>
      <c r="O13974">
        <v>230510</v>
      </c>
    </row>
    <row r="13975" spans="1:15" x14ac:dyDescent="0.25">
      <c r="A13975" t="s">
        <v>16</v>
      </c>
      <c r="B13975" t="s">
        <v>3221</v>
      </c>
      <c r="C13975">
        <v>6947</v>
      </c>
      <c r="D13975" t="s">
        <v>474</v>
      </c>
      <c r="E13975" t="s">
        <v>475</v>
      </c>
      <c r="F13975">
        <v>131.16999999999999</v>
      </c>
      <c r="G13975">
        <v>230511</v>
      </c>
      <c r="H13975">
        <v>4600</v>
      </c>
      <c r="I13975" t="s">
        <v>105</v>
      </c>
      <c r="J13975">
        <v>162.65</v>
      </c>
      <c r="K13975">
        <v>31.48</v>
      </c>
      <c r="L13975">
        <v>59501</v>
      </c>
      <c r="M13975" t="s">
        <v>69</v>
      </c>
      <c r="N13975" t="str">
        <f>"139124486   "</f>
        <v xml:space="preserve">139124486   </v>
      </c>
      <c r="O13975">
        <v>230523</v>
      </c>
    </row>
    <row r="13976" spans="1:15" x14ac:dyDescent="0.25">
      <c r="A13976" t="s">
        <v>16</v>
      </c>
      <c r="B13976" t="s">
        <v>3221</v>
      </c>
      <c r="C13976">
        <v>7170</v>
      </c>
      <c r="D13976" t="s">
        <v>474</v>
      </c>
      <c r="E13976" t="s">
        <v>475</v>
      </c>
      <c r="F13976">
        <v>86.76</v>
      </c>
      <c r="G13976">
        <v>230512</v>
      </c>
      <c r="H13976">
        <v>4600</v>
      </c>
      <c r="I13976" t="s">
        <v>105</v>
      </c>
      <c r="J13976">
        <v>107.58</v>
      </c>
      <c r="K13976">
        <v>20.82</v>
      </c>
      <c r="L13976">
        <v>17809</v>
      </c>
      <c r="M13976" t="s">
        <v>376</v>
      </c>
      <c r="N13976" t="str">
        <f>"139136795   "</f>
        <v xml:space="preserve">139136795   </v>
      </c>
      <c r="O13976">
        <v>230525</v>
      </c>
    </row>
    <row r="13977" spans="1:15" x14ac:dyDescent="0.25">
      <c r="A13977" t="s">
        <v>16</v>
      </c>
      <c r="B13977" t="s">
        <v>3221</v>
      </c>
      <c r="C13977">
        <v>7908</v>
      </c>
      <c r="D13977" t="s">
        <v>474</v>
      </c>
      <c r="E13977" t="s">
        <v>475</v>
      </c>
      <c r="F13977">
        <v>395.68</v>
      </c>
      <c r="G13977">
        <v>230522</v>
      </c>
      <c r="H13977">
        <v>4600</v>
      </c>
      <c r="I13977" t="s">
        <v>105</v>
      </c>
      <c r="J13977">
        <v>490.64</v>
      </c>
      <c r="K13977">
        <v>94.96</v>
      </c>
      <c r="L13977">
        <v>56560</v>
      </c>
      <c r="M13977" t="s">
        <v>654</v>
      </c>
      <c r="N13977" t="str">
        <f>"139195694   "</f>
        <v xml:space="preserve">139195694   </v>
      </c>
      <c r="O13977">
        <v>230605</v>
      </c>
    </row>
    <row r="13978" spans="1:15" x14ac:dyDescent="0.25">
      <c r="A13978" t="s">
        <v>16</v>
      </c>
      <c r="B13978" t="s">
        <v>3221</v>
      </c>
      <c r="C13978">
        <v>9668</v>
      </c>
      <c r="D13978" t="s">
        <v>474</v>
      </c>
      <c r="E13978" t="s">
        <v>475</v>
      </c>
      <c r="F13978">
        <v>170.94</v>
      </c>
      <c r="G13978">
        <v>230705</v>
      </c>
      <c r="H13978">
        <v>4600</v>
      </c>
      <c r="I13978" t="s">
        <v>105</v>
      </c>
      <c r="J13978">
        <v>211.97</v>
      </c>
      <c r="K13978">
        <v>41.03</v>
      </c>
      <c r="L13978">
        <v>17809</v>
      </c>
      <c r="M13978" t="s">
        <v>376</v>
      </c>
      <c r="N13978" t="str">
        <f>"139577592   "</f>
        <v xml:space="preserve">139577592   </v>
      </c>
      <c r="O13978">
        <v>230718</v>
      </c>
    </row>
    <row r="13979" spans="1:15" x14ac:dyDescent="0.25">
      <c r="A13979" t="s">
        <v>16</v>
      </c>
      <c r="B13979" t="s">
        <v>3221</v>
      </c>
      <c r="C13979">
        <v>10352</v>
      </c>
      <c r="D13979" t="s">
        <v>474</v>
      </c>
      <c r="E13979" t="s">
        <v>475</v>
      </c>
      <c r="F13979">
        <v>143.47</v>
      </c>
      <c r="G13979">
        <v>230801</v>
      </c>
      <c r="H13979">
        <v>4600</v>
      </c>
      <c r="I13979" t="s">
        <v>105</v>
      </c>
      <c r="J13979">
        <v>177.9</v>
      </c>
      <c r="K13979">
        <v>34.43</v>
      </c>
      <c r="L13979">
        <v>17809</v>
      </c>
      <c r="M13979" t="s">
        <v>376</v>
      </c>
      <c r="N13979" t="str">
        <f>"139760117   "</f>
        <v xml:space="preserve">139760117   </v>
      </c>
      <c r="O13979">
        <v>230814</v>
      </c>
    </row>
    <row r="13980" spans="1:15" x14ac:dyDescent="0.25">
      <c r="A13980" t="s">
        <v>16</v>
      </c>
      <c r="B13980" t="s">
        <v>3221</v>
      </c>
      <c r="C13980">
        <v>10746</v>
      </c>
      <c r="D13980" t="s">
        <v>474</v>
      </c>
      <c r="E13980" t="s">
        <v>475</v>
      </c>
      <c r="F13980">
        <v>182.43</v>
      </c>
      <c r="G13980">
        <v>230815</v>
      </c>
      <c r="H13980">
        <v>4600</v>
      </c>
      <c r="I13980" t="s">
        <v>105</v>
      </c>
      <c r="J13980">
        <v>226.21</v>
      </c>
      <c r="K13980">
        <v>43.78</v>
      </c>
      <c r="L13980">
        <v>17807</v>
      </c>
      <c r="M13980" t="s">
        <v>318</v>
      </c>
      <c r="N13980" t="str">
        <f>"139869500   "</f>
        <v xml:space="preserve">139869500   </v>
      </c>
      <c r="O13980">
        <v>230822</v>
      </c>
    </row>
    <row r="13981" spans="1:15" x14ac:dyDescent="0.25">
      <c r="A13981" t="s">
        <v>16</v>
      </c>
      <c r="B13981" t="s">
        <v>3221</v>
      </c>
      <c r="C13981">
        <v>10751</v>
      </c>
      <c r="D13981" t="s">
        <v>474</v>
      </c>
      <c r="E13981" t="s">
        <v>475</v>
      </c>
      <c r="F13981">
        <v>337.2</v>
      </c>
      <c r="G13981">
        <v>230818</v>
      </c>
      <c r="H13981">
        <v>4600</v>
      </c>
      <c r="I13981" t="s">
        <v>105</v>
      </c>
      <c r="J13981">
        <v>418.13</v>
      </c>
      <c r="K13981">
        <v>80.930000000000007</v>
      </c>
      <c r="L13981">
        <v>17809</v>
      </c>
      <c r="M13981" t="s">
        <v>376</v>
      </c>
      <c r="N13981" t="str">
        <f>"139905999   "</f>
        <v xml:space="preserve">139905999   </v>
      </c>
      <c r="O13981">
        <v>230822</v>
      </c>
    </row>
    <row r="13982" spans="1:15" x14ac:dyDescent="0.25">
      <c r="A13982" t="s">
        <v>16</v>
      </c>
      <c r="B13982" t="s">
        <v>3221</v>
      </c>
      <c r="C13982">
        <v>11119</v>
      </c>
      <c r="D13982" t="s">
        <v>474</v>
      </c>
      <c r="E13982" t="s">
        <v>475</v>
      </c>
      <c r="F13982">
        <v>123.84</v>
      </c>
      <c r="G13982">
        <v>230824</v>
      </c>
      <c r="H13982">
        <v>4600</v>
      </c>
      <c r="I13982" t="s">
        <v>105</v>
      </c>
      <c r="J13982">
        <v>153.56</v>
      </c>
      <c r="K13982">
        <v>29.72</v>
      </c>
      <c r="L13982">
        <v>17807</v>
      </c>
      <c r="M13982" t="s">
        <v>318</v>
      </c>
      <c r="N13982" t="str">
        <f>"139955548   "</f>
        <v xml:space="preserve">139955548   </v>
      </c>
      <c r="O13982">
        <v>230830</v>
      </c>
    </row>
    <row r="13983" spans="1:15" x14ac:dyDescent="0.25">
      <c r="A13983" t="s">
        <v>16</v>
      </c>
      <c r="B13983" t="s">
        <v>3221</v>
      </c>
      <c r="C13983">
        <v>11350</v>
      </c>
      <c r="D13983" t="s">
        <v>474</v>
      </c>
      <c r="E13983" t="s">
        <v>475</v>
      </c>
      <c r="F13983">
        <v>758.65</v>
      </c>
      <c r="G13983">
        <v>230825</v>
      </c>
      <c r="H13983">
        <v>4600</v>
      </c>
      <c r="I13983" t="s">
        <v>105</v>
      </c>
      <c r="J13983">
        <v>940.73</v>
      </c>
      <c r="K13983">
        <v>182.08</v>
      </c>
      <c r="L13983">
        <v>56571</v>
      </c>
      <c r="M13983" t="s">
        <v>204</v>
      </c>
      <c r="N13983" t="str">
        <f>"139967572   "</f>
        <v xml:space="preserve">139967572   </v>
      </c>
      <c r="O13983">
        <v>230904</v>
      </c>
    </row>
    <row r="13984" spans="1:15" x14ac:dyDescent="0.25">
      <c r="A13984" t="s">
        <v>16</v>
      </c>
      <c r="B13984" t="s">
        <v>3221</v>
      </c>
      <c r="C13984">
        <v>11426</v>
      </c>
      <c r="D13984" t="s">
        <v>474</v>
      </c>
      <c r="E13984" t="s">
        <v>475</v>
      </c>
      <c r="F13984">
        <v>177.1</v>
      </c>
      <c r="G13984">
        <v>230829</v>
      </c>
      <c r="H13984">
        <v>4600</v>
      </c>
      <c r="I13984" t="s">
        <v>105</v>
      </c>
      <c r="J13984">
        <v>219.6</v>
      </c>
      <c r="K13984">
        <v>42.5</v>
      </c>
      <c r="L13984">
        <v>49501</v>
      </c>
      <c r="M13984" t="s">
        <v>177</v>
      </c>
      <c r="N13984" t="str">
        <f>"139992493   "</f>
        <v xml:space="preserve">139992493   </v>
      </c>
      <c r="O13984">
        <v>230905</v>
      </c>
    </row>
    <row r="13985" spans="1:15" x14ac:dyDescent="0.25">
      <c r="A13985" t="s">
        <v>16</v>
      </c>
      <c r="B13985" t="s">
        <v>3221</v>
      </c>
      <c r="C13985">
        <v>11449</v>
      </c>
      <c r="D13985" t="s">
        <v>474</v>
      </c>
      <c r="E13985" t="s">
        <v>475</v>
      </c>
      <c r="F13985">
        <v>34.6</v>
      </c>
      <c r="G13985">
        <v>230831</v>
      </c>
      <c r="H13985">
        <v>4600</v>
      </c>
      <c r="I13985" t="s">
        <v>105</v>
      </c>
      <c r="J13985">
        <v>42.9</v>
      </c>
      <c r="K13985">
        <v>8.3000000000000007</v>
      </c>
      <c r="L13985">
        <v>59504</v>
      </c>
      <c r="M13985" t="s">
        <v>71</v>
      </c>
      <c r="N13985" t="str">
        <f>"140018710   "</f>
        <v xml:space="preserve">140018710   </v>
      </c>
      <c r="O13985">
        <v>230905</v>
      </c>
    </row>
    <row r="13986" spans="1:15" x14ac:dyDescent="0.25">
      <c r="A13986" t="s">
        <v>16</v>
      </c>
      <c r="B13986" t="s">
        <v>3221</v>
      </c>
      <c r="C13986">
        <v>12022</v>
      </c>
      <c r="D13986" t="s">
        <v>474</v>
      </c>
      <c r="E13986" t="s">
        <v>475</v>
      </c>
      <c r="F13986">
        <v>336.8</v>
      </c>
      <c r="G13986">
        <v>230905</v>
      </c>
      <c r="H13986">
        <v>4600</v>
      </c>
      <c r="I13986" t="s">
        <v>105</v>
      </c>
      <c r="J13986">
        <v>417.63</v>
      </c>
      <c r="K13986">
        <v>80.83</v>
      </c>
      <c r="L13986">
        <v>17809</v>
      </c>
      <c r="M13986" t="s">
        <v>376</v>
      </c>
      <c r="N13986" t="str">
        <f>"140056445   "</f>
        <v xml:space="preserve">140056445   </v>
      </c>
      <c r="O13986">
        <v>230912</v>
      </c>
    </row>
    <row r="13987" spans="1:15" x14ac:dyDescent="0.25">
      <c r="A13987" t="s">
        <v>16</v>
      </c>
      <c r="B13987" t="s">
        <v>3221</v>
      </c>
      <c r="C13987">
        <v>12187</v>
      </c>
      <c r="D13987" t="s">
        <v>474</v>
      </c>
      <c r="E13987" t="s">
        <v>475</v>
      </c>
      <c r="F13987">
        <v>241.34</v>
      </c>
      <c r="G13987">
        <v>230911</v>
      </c>
      <c r="H13987">
        <v>4600</v>
      </c>
      <c r="I13987" t="s">
        <v>105</v>
      </c>
      <c r="J13987">
        <v>299.26</v>
      </c>
      <c r="K13987">
        <v>57.92</v>
      </c>
      <c r="L13987">
        <v>56560</v>
      </c>
      <c r="M13987" t="s">
        <v>654</v>
      </c>
      <c r="N13987" t="str">
        <f>"140106524   "</f>
        <v xml:space="preserve">140106524   </v>
      </c>
      <c r="O13987">
        <v>230915</v>
      </c>
    </row>
    <row r="13988" spans="1:15" x14ac:dyDescent="0.25">
      <c r="A13988" t="s">
        <v>16</v>
      </c>
      <c r="B13988" t="s">
        <v>3221</v>
      </c>
      <c r="C13988">
        <v>12190</v>
      </c>
      <c r="D13988" t="s">
        <v>474</v>
      </c>
      <c r="E13988" t="s">
        <v>475</v>
      </c>
      <c r="F13988">
        <v>1110.6600000000001</v>
      </c>
      <c r="G13988">
        <v>230912</v>
      </c>
      <c r="H13988">
        <v>4600</v>
      </c>
      <c r="I13988" t="s">
        <v>105</v>
      </c>
      <c r="J13988">
        <v>1377.22</v>
      </c>
      <c r="K13988">
        <v>266.56</v>
      </c>
      <c r="L13988">
        <v>17809</v>
      </c>
      <c r="M13988" t="s">
        <v>376</v>
      </c>
      <c r="N13988" t="str">
        <f>"140121135   "</f>
        <v xml:space="preserve">140121135   </v>
      </c>
      <c r="O13988">
        <v>230915</v>
      </c>
    </row>
    <row r="13989" spans="1:15" x14ac:dyDescent="0.25">
      <c r="A13989" t="s">
        <v>16</v>
      </c>
      <c r="B13989" t="s">
        <v>3221</v>
      </c>
      <c r="C13989">
        <v>12373</v>
      </c>
      <c r="D13989" t="s">
        <v>474</v>
      </c>
      <c r="E13989" t="s">
        <v>475</v>
      </c>
      <c r="F13989">
        <v>361.18</v>
      </c>
      <c r="G13989">
        <v>230829</v>
      </c>
      <c r="H13989">
        <v>4600</v>
      </c>
      <c r="I13989" t="s">
        <v>105</v>
      </c>
      <c r="J13989">
        <v>447.86</v>
      </c>
      <c r="K13989">
        <v>86.68</v>
      </c>
      <c r="L13989">
        <v>59501</v>
      </c>
      <c r="M13989" t="s">
        <v>69</v>
      </c>
      <c r="N13989" t="str">
        <f>"139992494   "</f>
        <v xml:space="preserve">139992494   </v>
      </c>
      <c r="O13989">
        <v>230919</v>
      </c>
    </row>
    <row r="13990" spans="1:15" x14ac:dyDescent="0.25">
      <c r="A13990" t="s">
        <v>16</v>
      </c>
      <c r="B13990" t="s">
        <v>3221</v>
      </c>
      <c r="C13990">
        <v>12375</v>
      </c>
      <c r="D13990" t="s">
        <v>474</v>
      </c>
      <c r="E13990" t="s">
        <v>475</v>
      </c>
      <c r="F13990">
        <v>118.5</v>
      </c>
      <c r="G13990">
        <v>230831</v>
      </c>
      <c r="H13990">
        <v>4600</v>
      </c>
      <c r="I13990" t="s">
        <v>105</v>
      </c>
      <c r="J13990">
        <v>146.94</v>
      </c>
      <c r="K13990">
        <v>28.44</v>
      </c>
      <c r="L13990">
        <v>59501</v>
      </c>
      <c r="M13990" t="s">
        <v>69</v>
      </c>
      <c r="N13990" t="str">
        <f>"140018711   "</f>
        <v xml:space="preserve">140018711   </v>
      </c>
      <c r="O13990">
        <v>230919</v>
      </c>
    </row>
    <row r="13991" spans="1:15" x14ac:dyDescent="0.25">
      <c r="A13991" t="s">
        <v>16</v>
      </c>
      <c r="B13991" t="s">
        <v>3221</v>
      </c>
      <c r="C13991">
        <v>12536</v>
      </c>
      <c r="D13991" t="s">
        <v>474</v>
      </c>
      <c r="E13991" t="s">
        <v>475</v>
      </c>
      <c r="F13991">
        <v>1670.4</v>
      </c>
      <c r="G13991">
        <v>230915</v>
      </c>
      <c r="H13991">
        <v>4600</v>
      </c>
      <c r="I13991" t="s">
        <v>105</v>
      </c>
      <c r="J13991">
        <v>2071.3000000000002</v>
      </c>
      <c r="K13991">
        <v>400.9</v>
      </c>
      <c r="L13991">
        <v>59501</v>
      </c>
      <c r="M13991" t="s">
        <v>69</v>
      </c>
      <c r="N13991" t="str">
        <f>"140162376   "</f>
        <v xml:space="preserve">140162376   </v>
      </c>
      <c r="O13991">
        <v>230920</v>
      </c>
    </row>
    <row r="13992" spans="1:15" x14ac:dyDescent="0.25">
      <c r="A13992" t="s">
        <v>16</v>
      </c>
      <c r="B13992" t="s">
        <v>3221</v>
      </c>
      <c r="C13992">
        <v>12669</v>
      </c>
      <c r="D13992" t="s">
        <v>474</v>
      </c>
      <c r="E13992" t="s">
        <v>475</v>
      </c>
      <c r="F13992">
        <v>352.17</v>
      </c>
      <c r="G13992">
        <v>230921</v>
      </c>
      <c r="H13992">
        <v>4600</v>
      </c>
      <c r="I13992" t="s">
        <v>105</v>
      </c>
      <c r="J13992">
        <v>436.69</v>
      </c>
      <c r="K13992">
        <v>84.52</v>
      </c>
      <c r="L13992">
        <v>56560</v>
      </c>
      <c r="M13992" t="s">
        <v>654</v>
      </c>
      <c r="N13992" t="str">
        <f>"140217402   "</f>
        <v xml:space="preserve">140217402   </v>
      </c>
      <c r="O13992">
        <v>230922</v>
      </c>
    </row>
    <row r="13993" spans="1:15" x14ac:dyDescent="0.25">
      <c r="A13993" t="s">
        <v>16</v>
      </c>
      <c r="B13993" t="s">
        <v>3221</v>
      </c>
      <c r="C13993">
        <v>12698</v>
      </c>
      <c r="D13993" t="s">
        <v>474</v>
      </c>
      <c r="E13993" t="s">
        <v>475</v>
      </c>
      <c r="F13993">
        <v>472.12</v>
      </c>
      <c r="G13993">
        <v>230914</v>
      </c>
      <c r="H13993">
        <v>4600</v>
      </c>
      <c r="I13993" t="s">
        <v>105</v>
      </c>
      <c r="J13993">
        <v>585.42999999999995</v>
      </c>
      <c r="K13993">
        <v>113.31</v>
      </c>
      <c r="L13993">
        <v>56560</v>
      </c>
      <c r="M13993" t="s">
        <v>654</v>
      </c>
      <c r="N13993" t="str">
        <f>"140149131   "</f>
        <v xml:space="preserve">140149131   </v>
      </c>
      <c r="O13993">
        <v>230925</v>
      </c>
    </row>
    <row r="13994" spans="1:15" x14ac:dyDescent="0.25">
      <c r="A13994" t="s">
        <v>16</v>
      </c>
      <c r="B13994" t="s">
        <v>3221</v>
      </c>
      <c r="C13994">
        <v>13700</v>
      </c>
      <c r="D13994" t="s">
        <v>474</v>
      </c>
      <c r="E13994" t="s">
        <v>475</v>
      </c>
      <c r="F13994">
        <v>94.38</v>
      </c>
      <c r="G13994">
        <v>231005</v>
      </c>
      <c r="H13994">
        <v>4600</v>
      </c>
      <c r="I13994" t="s">
        <v>105</v>
      </c>
      <c r="J13994">
        <v>117.03</v>
      </c>
      <c r="K13994">
        <v>22.65</v>
      </c>
      <c r="L13994">
        <v>56560</v>
      </c>
      <c r="M13994" t="s">
        <v>654</v>
      </c>
      <c r="N13994" t="str">
        <f>"140351354   "</f>
        <v xml:space="preserve">140351354   </v>
      </c>
      <c r="O13994">
        <v>231012</v>
      </c>
    </row>
    <row r="13995" spans="1:15" x14ac:dyDescent="0.25">
      <c r="A13995" t="s">
        <v>16</v>
      </c>
      <c r="B13995" t="s">
        <v>3221</v>
      </c>
      <c r="C13995">
        <v>13700</v>
      </c>
      <c r="D13995" t="s">
        <v>474</v>
      </c>
      <c r="E13995" t="s">
        <v>475</v>
      </c>
      <c r="F13995">
        <v>289.04000000000002</v>
      </c>
      <c r="G13995">
        <v>231005</v>
      </c>
      <c r="H13995">
        <v>4600</v>
      </c>
      <c r="I13995" t="s">
        <v>105</v>
      </c>
      <c r="J13995">
        <v>358.41</v>
      </c>
      <c r="K13995">
        <v>69.37</v>
      </c>
      <c r="L13995">
        <v>59501</v>
      </c>
      <c r="M13995" t="s">
        <v>69</v>
      </c>
      <c r="N13995" t="str">
        <f>"140351354   "</f>
        <v xml:space="preserve">140351354   </v>
      </c>
      <c r="O13995">
        <v>231012</v>
      </c>
    </row>
    <row r="13996" spans="1:15" x14ac:dyDescent="0.25">
      <c r="A13996" t="s">
        <v>16</v>
      </c>
      <c r="B13996" t="s">
        <v>3221</v>
      </c>
      <c r="C13996">
        <v>13730</v>
      </c>
      <c r="D13996" t="s">
        <v>474</v>
      </c>
      <c r="E13996" t="s">
        <v>475</v>
      </c>
      <c r="F13996">
        <v>131.13999999999999</v>
      </c>
      <c r="G13996">
        <v>231010</v>
      </c>
      <c r="H13996">
        <v>4600</v>
      </c>
      <c r="I13996" t="s">
        <v>105</v>
      </c>
      <c r="J13996">
        <v>162.61000000000001</v>
      </c>
      <c r="K13996">
        <v>31.47</v>
      </c>
      <c r="L13996">
        <v>56564</v>
      </c>
      <c r="M13996" t="s">
        <v>327</v>
      </c>
      <c r="N13996" t="str">
        <f>"140391245   "</f>
        <v xml:space="preserve">140391245   </v>
      </c>
      <c r="O13996">
        <v>231012</v>
      </c>
    </row>
    <row r="13997" spans="1:15" x14ac:dyDescent="0.25">
      <c r="A13997" t="s">
        <v>16</v>
      </c>
      <c r="B13997" t="s">
        <v>3221</v>
      </c>
      <c r="C13997">
        <v>13822</v>
      </c>
      <c r="D13997" t="s">
        <v>474</v>
      </c>
      <c r="E13997" t="s">
        <v>475</v>
      </c>
      <c r="F13997">
        <v>313.08999999999997</v>
      </c>
      <c r="G13997">
        <v>231004</v>
      </c>
      <c r="H13997">
        <v>4600</v>
      </c>
      <c r="I13997" t="s">
        <v>105</v>
      </c>
      <c r="J13997">
        <v>388.23</v>
      </c>
      <c r="K13997">
        <v>75.14</v>
      </c>
      <c r="L13997">
        <v>56560</v>
      </c>
      <c r="M13997" t="s">
        <v>654</v>
      </c>
      <c r="N13997" t="str">
        <f>"140337505   "</f>
        <v xml:space="preserve">140337505   </v>
      </c>
      <c r="O13997">
        <v>231013</v>
      </c>
    </row>
    <row r="13998" spans="1:15" x14ac:dyDescent="0.25">
      <c r="A13998" t="s">
        <v>16</v>
      </c>
      <c r="B13998" t="s">
        <v>3221</v>
      </c>
      <c r="C13998">
        <v>13964</v>
      </c>
      <c r="D13998" t="s">
        <v>474</v>
      </c>
      <c r="E13998" t="s">
        <v>475</v>
      </c>
      <c r="F13998">
        <v>87.53</v>
      </c>
      <c r="G13998">
        <v>231002</v>
      </c>
      <c r="H13998">
        <v>4600</v>
      </c>
      <c r="I13998" t="s">
        <v>105</v>
      </c>
      <c r="J13998">
        <v>108.54</v>
      </c>
      <c r="K13998">
        <v>21.01</v>
      </c>
      <c r="L13998">
        <v>49501</v>
      </c>
      <c r="M13998" t="s">
        <v>177</v>
      </c>
      <c r="N13998" t="str">
        <f>"140309604   "</f>
        <v xml:space="preserve">140309604   </v>
      </c>
      <c r="O13998">
        <v>231017</v>
      </c>
    </row>
    <row r="13999" spans="1:15" x14ac:dyDescent="0.25">
      <c r="A13999" t="s">
        <v>16</v>
      </c>
      <c r="B13999" t="s">
        <v>3221</v>
      </c>
      <c r="C13999">
        <v>14608</v>
      </c>
      <c r="D13999" t="s">
        <v>474</v>
      </c>
      <c r="E13999" t="s">
        <v>475</v>
      </c>
      <c r="F13999">
        <v>53.81</v>
      </c>
      <c r="G13999">
        <v>231023</v>
      </c>
      <c r="H13999">
        <v>4600</v>
      </c>
      <c r="I13999" t="s">
        <v>105</v>
      </c>
      <c r="J13999">
        <v>66.72</v>
      </c>
      <c r="K13999">
        <v>12.91</v>
      </c>
      <c r="L13999">
        <v>56560</v>
      </c>
      <c r="M13999" t="s">
        <v>654</v>
      </c>
      <c r="N13999" t="str">
        <f>"140508944   "</f>
        <v xml:space="preserve">140508944   </v>
      </c>
      <c r="O13999">
        <v>231030</v>
      </c>
    </row>
    <row r="14000" spans="1:15" x14ac:dyDescent="0.25">
      <c r="A14000" t="s">
        <v>16</v>
      </c>
      <c r="B14000" t="s">
        <v>3221</v>
      </c>
      <c r="C14000">
        <v>14608</v>
      </c>
      <c r="D14000" t="s">
        <v>474</v>
      </c>
      <c r="E14000" t="s">
        <v>475</v>
      </c>
      <c r="F14000">
        <v>830</v>
      </c>
      <c r="G14000">
        <v>231023</v>
      </c>
      <c r="H14000">
        <v>4600</v>
      </c>
      <c r="I14000" t="s">
        <v>105</v>
      </c>
      <c r="J14000">
        <v>1029.2</v>
      </c>
      <c r="K14000">
        <v>199.2</v>
      </c>
      <c r="L14000">
        <v>59501</v>
      </c>
      <c r="M14000" t="s">
        <v>69</v>
      </c>
      <c r="N14000" t="str">
        <f>"140508944   "</f>
        <v xml:space="preserve">140508944   </v>
      </c>
      <c r="O14000">
        <v>231030</v>
      </c>
    </row>
    <row r="14001" spans="1:15" x14ac:dyDescent="0.25">
      <c r="A14001" t="s">
        <v>16</v>
      </c>
      <c r="B14001" t="s">
        <v>3221</v>
      </c>
      <c r="C14001">
        <v>14609</v>
      </c>
      <c r="D14001" t="s">
        <v>474</v>
      </c>
      <c r="E14001" t="s">
        <v>475</v>
      </c>
      <c r="F14001">
        <v>136.52000000000001</v>
      </c>
      <c r="G14001">
        <v>231023</v>
      </c>
      <c r="H14001">
        <v>4600</v>
      </c>
      <c r="I14001" t="s">
        <v>105</v>
      </c>
      <c r="J14001">
        <v>169.28</v>
      </c>
      <c r="K14001">
        <v>32.76</v>
      </c>
      <c r="L14001">
        <v>49501</v>
      </c>
      <c r="M14001" t="s">
        <v>177</v>
      </c>
      <c r="N14001" t="str">
        <f>"140508943   "</f>
        <v xml:space="preserve">140508943   </v>
      </c>
      <c r="O14001">
        <v>231030</v>
      </c>
    </row>
    <row r="14002" spans="1:15" x14ac:dyDescent="0.25">
      <c r="A14002" t="s">
        <v>16</v>
      </c>
      <c r="B14002" t="s">
        <v>3221</v>
      </c>
      <c r="C14002">
        <v>14625</v>
      </c>
      <c r="D14002" t="s">
        <v>474</v>
      </c>
      <c r="E14002" t="s">
        <v>475</v>
      </c>
      <c r="F14002">
        <v>124.7</v>
      </c>
      <c r="G14002">
        <v>231024</v>
      </c>
      <c r="H14002">
        <v>4600</v>
      </c>
      <c r="I14002" t="s">
        <v>105</v>
      </c>
      <c r="J14002">
        <v>154.63</v>
      </c>
      <c r="K14002">
        <v>29.93</v>
      </c>
      <c r="L14002">
        <v>56560</v>
      </c>
      <c r="M14002" t="s">
        <v>654</v>
      </c>
      <c r="N14002" t="str">
        <f>"140523037   "</f>
        <v xml:space="preserve">140523037   </v>
      </c>
      <c r="O14002">
        <v>231030</v>
      </c>
    </row>
    <row r="14003" spans="1:15" x14ac:dyDescent="0.25">
      <c r="A14003" t="s">
        <v>16</v>
      </c>
      <c r="B14003" t="s">
        <v>3221</v>
      </c>
      <c r="C14003">
        <v>14627</v>
      </c>
      <c r="D14003" t="s">
        <v>474</v>
      </c>
      <c r="E14003" t="s">
        <v>475</v>
      </c>
      <c r="F14003">
        <v>189.24</v>
      </c>
      <c r="G14003">
        <v>231024</v>
      </c>
      <c r="H14003">
        <v>4600</v>
      </c>
      <c r="I14003" t="s">
        <v>105</v>
      </c>
      <c r="J14003">
        <v>234.66</v>
      </c>
      <c r="K14003">
        <v>45.42</v>
      </c>
      <c r="L14003">
        <v>17809</v>
      </c>
      <c r="M14003" t="s">
        <v>376</v>
      </c>
      <c r="N14003" t="str">
        <f>"140523036   "</f>
        <v xml:space="preserve">140523036   </v>
      </c>
      <c r="O14003">
        <v>231030</v>
      </c>
    </row>
    <row r="14004" spans="1:15" x14ac:dyDescent="0.25">
      <c r="A14004" t="s">
        <v>16</v>
      </c>
      <c r="B14004" t="s">
        <v>3221</v>
      </c>
      <c r="C14004">
        <v>15198</v>
      </c>
      <c r="D14004" t="s">
        <v>474</v>
      </c>
      <c r="E14004" t="s">
        <v>475</v>
      </c>
      <c r="F14004">
        <v>29.65</v>
      </c>
      <c r="G14004">
        <v>231031</v>
      </c>
      <c r="H14004">
        <v>4600</v>
      </c>
      <c r="I14004" t="s">
        <v>105</v>
      </c>
      <c r="J14004">
        <v>36.770000000000003</v>
      </c>
      <c r="K14004">
        <v>7.12</v>
      </c>
      <c r="L14004">
        <v>59504</v>
      </c>
      <c r="M14004" t="s">
        <v>71</v>
      </c>
      <c r="N14004" t="str">
        <f>"140590250   "</f>
        <v xml:space="preserve">140590250   </v>
      </c>
      <c r="O14004">
        <v>231109</v>
      </c>
    </row>
    <row r="14005" spans="1:15" x14ac:dyDescent="0.25">
      <c r="A14005" t="s">
        <v>16</v>
      </c>
      <c r="B14005" t="s">
        <v>3221</v>
      </c>
      <c r="C14005">
        <v>15538</v>
      </c>
      <c r="D14005" t="s">
        <v>474</v>
      </c>
      <c r="E14005" t="s">
        <v>475</v>
      </c>
      <c r="F14005">
        <v>612.03</v>
      </c>
      <c r="G14005">
        <v>231108</v>
      </c>
      <c r="H14005">
        <v>4600</v>
      </c>
      <c r="I14005" t="s">
        <v>105</v>
      </c>
      <c r="J14005">
        <v>758.92</v>
      </c>
      <c r="K14005">
        <v>146.88999999999999</v>
      </c>
      <c r="L14005">
        <v>56560</v>
      </c>
      <c r="M14005" t="s">
        <v>654</v>
      </c>
      <c r="N14005" t="str">
        <f>"140670720   "</f>
        <v xml:space="preserve">140670720   </v>
      </c>
      <c r="O14005">
        <v>231113</v>
      </c>
    </row>
    <row r="14006" spans="1:15" x14ac:dyDescent="0.25">
      <c r="A14006" t="s">
        <v>16</v>
      </c>
      <c r="B14006" t="s">
        <v>3221</v>
      </c>
      <c r="C14006">
        <v>15538</v>
      </c>
      <c r="D14006" t="s">
        <v>474</v>
      </c>
      <c r="E14006" t="s">
        <v>475</v>
      </c>
      <c r="F14006">
        <v>530.84</v>
      </c>
      <c r="G14006">
        <v>231108</v>
      </c>
      <c r="H14006">
        <v>4600</v>
      </c>
      <c r="I14006" t="s">
        <v>105</v>
      </c>
      <c r="J14006">
        <v>658.24</v>
      </c>
      <c r="K14006">
        <v>127.4</v>
      </c>
      <c r="L14006">
        <v>59501</v>
      </c>
      <c r="M14006" t="s">
        <v>69</v>
      </c>
      <c r="N14006" t="str">
        <f>"140670720   "</f>
        <v xml:space="preserve">140670720   </v>
      </c>
      <c r="O14006">
        <v>231113</v>
      </c>
    </row>
    <row r="14007" spans="1:15" x14ac:dyDescent="0.25">
      <c r="A14007" t="s">
        <v>16</v>
      </c>
      <c r="B14007" t="s">
        <v>3221</v>
      </c>
      <c r="C14007">
        <v>15631</v>
      </c>
      <c r="D14007" t="s">
        <v>474</v>
      </c>
      <c r="E14007" t="s">
        <v>475</v>
      </c>
      <c r="F14007">
        <v>166.97</v>
      </c>
      <c r="G14007">
        <v>231110</v>
      </c>
      <c r="H14007">
        <v>4600</v>
      </c>
      <c r="I14007" t="s">
        <v>105</v>
      </c>
      <c r="J14007">
        <v>207.04</v>
      </c>
      <c r="K14007">
        <v>40.07</v>
      </c>
      <c r="L14007">
        <v>59501</v>
      </c>
      <c r="M14007" t="s">
        <v>69</v>
      </c>
      <c r="N14007" t="str">
        <f>"140697283   "</f>
        <v xml:space="preserve">140697283   </v>
      </c>
      <c r="O14007">
        <v>231114</v>
      </c>
    </row>
    <row r="14008" spans="1:15" x14ac:dyDescent="0.25">
      <c r="A14008" t="s">
        <v>16</v>
      </c>
      <c r="B14008" t="s">
        <v>3221</v>
      </c>
      <c r="C14008">
        <v>15632</v>
      </c>
      <c r="D14008" t="s">
        <v>474</v>
      </c>
      <c r="E14008" t="s">
        <v>475</v>
      </c>
      <c r="F14008">
        <v>118.37</v>
      </c>
      <c r="G14008">
        <v>231110</v>
      </c>
      <c r="H14008">
        <v>4600</v>
      </c>
      <c r="I14008" t="s">
        <v>105</v>
      </c>
      <c r="J14008">
        <v>146.78</v>
      </c>
      <c r="K14008">
        <v>28.41</v>
      </c>
      <c r="L14008">
        <v>56560</v>
      </c>
      <c r="M14008" t="s">
        <v>654</v>
      </c>
      <c r="N14008" t="str">
        <f>"140697282   "</f>
        <v xml:space="preserve">140697282   </v>
      </c>
      <c r="O14008">
        <v>231114</v>
      </c>
    </row>
    <row r="14009" spans="1:15" x14ac:dyDescent="0.25">
      <c r="A14009" t="s">
        <v>16</v>
      </c>
      <c r="B14009" t="s">
        <v>3221</v>
      </c>
      <c r="C14009">
        <v>15778</v>
      </c>
      <c r="D14009" t="s">
        <v>474</v>
      </c>
      <c r="E14009" t="s">
        <v>475</v>
      </c>
      <c r="F14009">
        <v>264.14999999999998</v>
      </c>
      <c r="G14009">
        <v>231020</v>
      </c>
      <c r="H14009">
        <v>4600</v>
      </c>
      <c r="I14009" t="s">
        <v>105</v>
      </c>
      <c r="J14009">
        <v>327.54000000000002</v>
      </c>
      <c r="K14009">
        <v>63.39</v>
      </c>
      <c r="L14009">
        <v>56560</v>
      </c>
      <c r="M14009" t="s">
        <v>654</v>
      </c>
      <c r="N14009" t="str">
        <f>"140497485   "</f>
        <v xml:space="preserve">140497485   </v>
      </c>
      <c r="O14009">
        <v>231117</v>
      </c>
    </row>
    <row r="14010" spans="1:15" x14ac:dyDescent="0.25">
      <c r="A14010" t="s">
        <v>16</v>
      </c>
      <c r="B14010" t="s">
        <v>3221</v>
      </c>
      <c r="C14010">
        <v>15778</v>
      </c>
      <c r="D14010" t="s">
        <v>474</v>
      </c>
      <c r="E14010" t="s">
        <v>475</v>
      </c>
      <c r="F14010">
        <v>120.6</v>
      </c>
      <c r="G14010">
        <v>231020</v>
      </c>
      <c r="H14010">
        <v>4600</v>
      </c>
      <c r="I14010" t="s">
        <v>105</v>
      </c>
      <c r="J14010">
        <v>149.54</v>
      </c>
      <c r="K14010">
        <v>28.94</v>
      </c>
      <c r="L14010">
        <v>59501</v>
      </c>
      <c r="M14010" t="s">
        <v>69</v>
      </c>
      <c r="N14010" t="str">
        <f>"140497485   "</f>
        <v xml:space="preserve">140497485   </v>
      </c>
      <c r="O14010">
        <v>231117</v>
      </c>
    </row>
    <row r="14011" spans="1:15" x14ac:dyDescent="0.25">
      <c r="A14011" t="s">
        <v>16</v>
      </c>
      <c r="B14011" t="s">
        <v>3221</v>
      </c>
      <c r="C14011">
        <v>15807</v>
      </c>
      <c r="D14011" t="s">
        <v>474</v>
      </c>
      <c r="E14011" t="s">
        <v>475</v>
      </c>
      <c r="F14011">
        <v>9.01</v>
      </c>
      <c r="G14011">
        <v>231027</v>
      </c>
      <c r="H14011">
        <v>4600</v>
      </c>
      <c r="I14011" t="s">
        <v>105</v>
      </c>
      <c r="J14011">
        <v>11.17</v>
      </c>
      <c r="K14011">
        <v>2.16</v>
      </c>
      <c r="L14011">
        <v>56560</v>
      </c>
      <c r="M14011" t="s">
        <v>654</v>
      </c>
      <c r="N14011" t="str">
        <f>"140564253   "</f>
        <v xml:space="preserve">140564253   </v>
      </c>
      <c r="O14011">
        <v>231120</v>
      </c>
    </row>
    <row r="14012" spans="1:15" x14ac:dyDescent="0.25">
      <c r="A14012" t="s">
        <v>16</v>
      </c>
      <c r="B14012" t="s">
        <v>3221</v>
      </c>
      <c r="C14012">
        <v>16141</v>
      </c>
      <c r="D14012" t="s">
        <v>474</v>
      </c>
      <c r="E14012" t="s">
        <v>475</v>
      </c>
      <c r="F14012">
        <v>697.84</v>
      </c>
      <c r="G14012">
        <v>231120</v>
      </c>
      <c r="H14012">
        <v>4600</v>
      </c>
      <c r="I14012" t="s">
        <v>105</v>
      </c>
      <c r="J14012">
        <v>865.32</v>
      </c>
      <c r="K14012">
        <v>167.48</v>
      </c>
      <c r="L14012">
        <v>56560</v>
      </c>
      <c r="M14012" t="s">
        <v>654</v>
      </c>
      <c r="N14012" t="str">
        <f>"140774077   "</f>
        <v xml:space="preserve">140774077   </v>
      </c>
      <c r="O14012">
        <v>231123</v>
      </c>
    </row>
    <row r="14013" spans="1:15" x14ac:dyDescent="0.25">
      <c r="A14013" t="s">
        <v>16</v>
      </c>
      <c r="B14013" t="s">
        <v>3221</v>
      </c>
      <c r="C14013">
        <v>16763</v>
      </c>
      <c r="D14013" t="s">
        <v>474</v>
      </c>
      <c r="E14013" t="s">
        <v>475</v>
      </c>
      <c r="F14013">
        <v>76.97</v>
      </c>
      <c r="G14013">
        <v>231127</v>
      </c>
      <c r="H14013">
        <v>4600</v>
      </c>
      <c r="I14013" t="s">
        <v>105</v>
      </c>
      <c r="J14013">
        <v>95.44</v>
      </c>
      <c r="K14013">
        <v>18.47</v>
      </c>
      <c r="L14013">
        <v>49501</v>
      </c>
      <c r="M14013" t="s">
        <v>177</v>
      </c>
      <c r="N14013" t="str">
        <f>"140838780   "</f>
        <v xml:space="preserve">140838780   </v>
      </c>
      <c r="O14013">
        <v>231208</v>
      </c>
    </row>
    <row r="14014" spans="1:15" x14ac:dyDescent="0.25">
      <c r="A14014" t="s">
        <v>16</v>
      </c>
      <c r="B14014" t="s">
        <v>3221</v>
      </c>
      <c r="C14014">
        <v>17450</v>
      </c>
      <c r="D14014" t="s">
        <v>474</v>
      </c>
      <c r="E14014" t="s">
        <v>475</v>
      </c>
      <c r="F14014">
        <v>30.17</v>
      </c>
      <c r="G14014">
        <v>231201</v>
      </c>
      <c r="H14014">
        <v>4600</v>
      </c>
      <c r="I14014" t="s">
        <v>105</v>
      </c>
      <c r="J14014">
        <v>37.409999999999997</v>
      </c>
      <c r="K14014">
        <v>7.24</v>
      </c>
      <c r="L14014">
        <v>49501</v>
      </c>
      <c r="M14014" t="s">
        <v>177</v>
      </c>
      <c r="N14014" t="str">
        <f>"140889229   "</f>
        <v xml:space="preserve">140889229   </v>
      </c>
      <c r="O14014">
        <v>231214</v>
      </c>
    </row>
    <row r="14015" spans="1:15" x14ac:dyDescent="0.25">
      <c r="A14015" t="s">
        <v>16</v>
      </c>
      <c r="B14015" t="s">
        <v>3221</v>
      </c>
      <c r="C14015">
        <v>18384</v>
      </c>
      <c r="D14015" t="s">
        <v>474</v>
      </c>
      <c r="E14015" t="s">
        <v>475</v>
      </c>
      <c r="F14015">
        <v>439.8</v>
      </c>
      <c r="G14015">
        <v>231211</v>
      </c>
      <c r="H14015">
        <v>4600</v>
      </c>
      <c r="I14015" t="s">
        <v>105</v>
      </c>
      <c r="J14015">
        <v>545.35</v>
      </c>
      <c r="K14015">
        <v>105.55</v>
      </c>
      <c r="L14015">
        <v>56560</v>
      </c>
      <c r="M14015" t="s">
        <v>654</v>
      </c>
      <c r="N14015" t="str">
        <f>"140950208   "</f>
        <v xml:space="preserve">140950208   </v>
      </c>
      <c r="O14015">
        <v>240103</v>
      </c>
    </row>
    <row r="14016" spans="1:15" x14ac:dyDescent="0.25">
      <c r="A14016" t="s">
        <v>16</v>
      </c>
      <c r="B14016" t="s">
        <v>3221</v>
      </c>
      <c r="C14016">
        <v>3203</v>
      </c>
      <c r="D14016" t="s">
        <v>474</v>
      </c>
      <c r="E14016" t="s">
        <v>475</v>
      </c>
      <c r="F14016">
        <v>104.75</v>
      </c>
      <c r="G14016">
        <v>230222</v>
      </c>
      <c r="H14016">
        <v>4590</v>
      </c>
      <c r="I14016" t="s">
        <v>203</v>
      </c>
      <c r="J14016">
        <v>129.88999999999999</v>
      </c>
      <c r="K14016">
        <v>25.14</v>
      </c>
      <c r="L14016">
        <v>59504</v>
      </c>
      <c r="M14016" t="s">
        <v>71</v>
      </c>
      <c r="N14016" t="str">
        <f>"138509842   "</f>
        <v xml:space="preserve">138509842   </v>
      </c>
      <c r="O14016">
        <v>230310</v>
      </c>
    </row>
    <row r="14017" spans="1:15" x14ac:dyDescent="0.25">
      <c r="A14017" t="s">
        <v>16</v>
      </c>
      <c r="B14017" t="s">
        <v>3221</v>
      </c>
      <c r="C14017">
        <v>3423</v>
      </c>
      <c r="D14017" t="s">
        <v>474</v>
      </c>
      <c r="E14017" t="s">
        <v>475</v>
      </c>
      <c r="F14017">
        <v>99.37</v>
      </c>
      <c r="G14017">
        <v>230314</v>
      </c>
      <c r="H14017">
        <v>4590</v>
      </c>
      <c r="I14017" t="s">
        <v>203</v>
      </c>
      <c r="J14017">
        <v>123.22</v>
      </c>
      <c r="K14017">
        <v>23.85</v>
      </c>
      <c r="L14017">
        <v>59504</v>
      </c>
      <c r="M14017" t="s">
        <v>71</v>
      </c>
      <c r="N14017" t="str">
        <f>"138662189   "</f>
        <v xml:space="preserve">138662189   </v>
      </c>
      <c r="O14017">
        <v>230315</v>
      </c>
    </row>
    <row r="14018" spans="1:15" x14ac:dyDescent="0.25">
      <c r="A14018" t="s">
        <v>16</v>
      </c>
      <c r="B14018" t="s">
        <v>3221</v>
      </c>
      <c r="C14018">
        <v>4183</v>
      </c>
      <c r="D14018" t="s">
        <v>474</v>
      </c>
      <c r="E14018" t="s">
        <v>475</v>
      </c>
      <c r="F14018">
        <v>171.01</v>
      </c>
      <c r="G14018">
        <v>230329</v>
      </c>
      <c r="H14018">
        <v>4590</v>
      </c>
      <c r="I14018" t="s">
        <v>203</v>
      </c>
      <c r="J14018">
        <v>212.05</v>
      </c>
      <c r="K14018">
        <v>41.04</v>
      </c>
      <c r="L14018">
        <v>66756</v>
      </c>
      <c r="M14018" t="s">
        <v>209</v>
      </c>
      <c r="N14018" t="str">
        <f>"138792586   "</f>
        <v xml:space="preserve">138792586   </v>
      </c>
      <c r="O14018">
        <v>230331</v>
      </c>
    </row>
    <row r="14019" spans="1:15" x14ac:dyDescent="0.25">
      <c r="A14019" t="s">
        <v>16</v>
      </c>
      <c r="B14019" t="s">
        <v>3221</v>
      </c>
      <c r="C14019">
        <v>2106</v>
      </c>
      <c r="D14019" t="s">
        <v>474</v>
      </c>
      <c r="E14019" t="s">
        <v>475</v>
      </c>
      <c r="F14019">
        <v>49.84</v>
      </c>
      <c r="G14019">
        <v>230208</v>
      </c>
      <c r="H14019">
        <v>4530</v>
      </c>
      <c r="I14019" t="s">
        <v>342</v>
      </c>
      <c r="J14019">
        <v>61.8</v>
      </c>
      <c r="K14019">
        <v>11.96</v>
      </c>
      <c r="L14019">
        <v>54622</v>
      </c>
      <c r="M14019" t="s">
        <v>872</v>
      </c>
      <c r="N14019" t="str">
        <f>"138394070   "</f>
        <v xml:space="preserve">138394070   </v>
      </c>
      <c r="O14019">
        <v>230221</v>
      </c>
    </row>
    <row r="14020" spans="1:15" x14ac:dyDescent="0.25">
      <c r="A14020" t="s">
        <v>16</v>
      </c>
      <c r="B14020" t="s">
        <v>3221</v>
      </c>
      <c r="C14020">
        <v>1279</v>
      </c>
      <c r="D14020" t="s">
        <v>972</v>
      </c>
      <c r="E14020" t="s">
        <v>973</v>
      </c>
      <c r="F14020">
        <v>1249.6500000000001</v>
      </c>
      <c r="G14020">
        <v>230203</v>
      </c>
      <c r="H14020">
        <v>4572</v>
      </c>
      <c r="I14020" t="s">
        <v>122</v>
      </c>
      <c r="J14020">
        <v>1374.61</v>
      </c>
      <c r="K14020">
        <v>124.96</v>
      </c>
      <c r="L14020">
        <v>13841</v>
      </c>
      <c r="M14020" t="s">
        <v>47</v>
      </c>
      <c r="N14020" t="str">
        <f>"819395832   "</f>
        <v xml:space="preserve">819395832   </v>
      </c>
      <c r="O14020">
        <v>230207</v>
      </c>
    </row>
    <row r="14021" spans="1:15" x14ac:dyDescent="0.25">
      <c r="A14021" t="s">
        <v>16</v>
      </c>
      <c r="B14021" t="s">
        <v>3221</v>
      </c>
      <c r="C14021">
        <v>2943</v>
      </c>
      <c r="D14021" t="s">
        <v>972</v>
      </c>
      <c r="E14021" t="s">
        <v>973</v>
      </c>
      <c r="F14021">
        <v>1224.27</v>
      </c>
      <c r="G14021">
        <v>230303</v>
      </c>
      <c r="H14021">
        <v>4572</v>
      </c>
      <c r="I14021" t="s">
        <v>122</v>
      </c>
      <c r="J14021">
        <v>1346.7</v>
      </c>
      <c r="K14021">
        <v>122.43</v>
      </c>
      <c r="L14021">
        <v>13841</v>
      </c>
      <c r="M14021" t="s">
        <v>47</v>
      </c>
      <c r="N14021" t="str">
        <f>"819735273   "</f>
        <v xml:space="preserve">819735273   </v>
      </c>
      <c r="O14021">
        <v>230308</v>
      </c>
    </row>
    <row r="14022" spans="1:15" x14ac:dyDescent="0.25">
      <c r="A14022" t="s">
        <v>16</v>
      </c>
      <c r="B14022" t="s">
        <v>3221</v>
      </c>
      <c r="C14022">
        <v>4680</v>
      </c>
      <c r="D14022" t="s">
        <v>972</v>
      </c>
      <c r="E14022" t="s">
        <v>973</v>
      </c>
      <c r="F14022">
        <v>1513.15</v>
      </c>
      <c r="G14022">
        <v>230404</v>
      </c>
      <c r="H14022">
        <v>4572</v>
      </c>
      <c r="I14022" t="s">
        <v>122</v>
      </c>
      <c r="J14022">
        <v>1664.47</v>
      </c>
      <c r="K14022">
        <v>151.32</v>
      </c>
      <c r="L14022">
        <v>13841</v>
      </c>
      <c r="M14022" t="s">
        <v>47</v>
      </c>
      <c r="N14022" t="str">
        <f>"820076016   "</f>
        <v xml:space="preserve">820076016   </v>
      </c>
      <c r="O14022">
        <v>230411</v>
      </c>
    </row>
    <row r="14023" spans="1:15" x14ac:dyDescent="0.25">
      <c r="A14023" t="s">
        <v>16</v>
      </c>
      <c r="B14023" t="s">
        <v>3221</v>
      </c>
      <c r="C14023">
        <v>6149</v>
      </c>
      <c r="D14023" t="s">
        <v>972</v>
      </c>
      <c r="E14023" t="s">
        <v>973</v>
      </c>
      <c r="F14023">
        <v>769.83</v>
      </c>
      <c r="G14023">
        <v>230504</v>
      </c>
      <c r="H14023">
        <v>4572</v>
      </c>
      <c r="I14023" t="s">
        <v>122</v>
      </c>
      <c r="J14023">
        <v>846.81</v>
      </c>
      <c r="K14023">
        <v>76.98</v>
      </c>
      <c r="L14023">
        <v>13841</v>
      </c>
      <c r="M14023" t="s">
        <v>47</v>
      </c>
      <c r="N14023" t="str">
        <f>"820445668   "</f>
        <v xml:space="preserve">820445668   </v>
      </c>
      <c r="O14023">
        <v>230508</v>
      </c>
    </row>
    <row r="14024" spans="1:15" x14ac:dyDescent="0.25">
      <c r="A14024" t="s">
        <v>16</v>
      </c>
      <c r="B14024" t="s">
        <v>3221</v>
      </c>
      <c r="C14024">
        <v>8527</v>
      </c>
      <c r="D14024" t="s">
        <v>972</v>
      </c>
      <c r="E14024" t="s">
        <v>973</v>
      </c>
      <c r="F14024">
        <v>430.81</v>
      </c>
      <c r="G14024">
        <v>230605</v>
      </c>
      <c r="H14024">
        <v>4572</v>
      </c>
      <c r="I14024" t="s">
        <v>122</v>
      </c>
      <c r="J14024">
        <v>534.21</v>
      </c>
      <c r="K14024">
        <v>103.4</v>
      </c>
      <c r="L14024">
        <v>13841</v>
      </c>
      <c r="M14024" t="s">
        <v>47</v>
      </c>
      <c r="N14024" t="str">
        <f>"820824385   "</f>
        <v xml:space="preserve">820824385   </v>
      </c>
      <c r="O14024">
        <v>230612</v>
      </c>
    </row>
    <row r="14025" spans="1:15" x14ac:dyDescent="0.25">
      <c r="A14025" t="s">
        <v>16</v>
      </c>
      <c r="B14025" t="s">
        <v>3221</v>
      </c>
      <c r="C14025">
        <v>9730</v>
      </c>
      <c r="D14025" t="s">
        <v>972</v>
      </c>
      <c r="E14025" t="s">
        <v>973</v>
      </c>
      <c r="F14025">
        <v>374.76</v>
      </c>
      <c r="G14025">
        <v>230705</v>
      </c>
      <c r="H14025">
        <v>4572</v>
      </c>
      <c r="I14025" t="s">
        <v>122</v>
      </c>
      <c r="J14025">
        <v>464.7</v>
      </c>
      <c r="K14025">
        <v>89.94</v>
      </c>
      <c r="L14025">
        <v>13841</v>
      </c>
      <c r="M14025" t="s">
        <v>47</v>
      </c>
      <c r="N14025" t="str">
        <f>"821223050   "</f>
        <v xml:space="preserve">821223050   </v>
      </c>
      <c r="O14025">
        <v>230724</v>
      </c>
    </row>
    <row r="14026" spans="1:15" x14ac:dyDescent="0.25">
      <c r="A14026" t="s">
        <v>16</v>
      </c>
      <c r="B14026" t="s">
        <v>3221</v>
      </c>
      <c r="C14026">
        <v>9990</v>
      </c>
      <c r="D14026" t="s">
        <v>972</v>
      </c>
      <c r="E14026" t="s">
        <v>973</v>
      </c>
      <c r="F14026">
        <v>0.31</v>
      </c>
      <c r="G14026">
        <v>230802</v>
      </c>
      <c r="H14026">
        <v>4572</v>
      </c>
      <c r="I14026" t="s">
        <v>122</v>
      </c>
      <c r="J14026">
        <v>0.31</v>
      </c>
      <c r="K14026">
        <v>0</v>
      </c>
      <c r="L14026">
        <v>13841</v>
      </c>
      <c r="M14026" t="s">
        <v>47</v>
      </c>
      <c r="N14026" t="str">
        <f>"821549044   "</f>
        <v xml:space="preserve">821549044   </v>
      </c>
      <c r="O14026">
        <v>230803</v>
      </c>
    </row>
    <row r="14027" spans="1:15" x14ac:dyDescent="0.25">
      <c r="A14027" t="s">
        <v>16</v>
      </c>
      <c r="B14027" t="s">
        <v>3221</v>
      </c>
      <c r="C14027">
        <v>9990</v>
      </c>
      <c r="D14027" t="s">
        <v>972</v>
      </c>
      <c r="E14027" t="s">
        <v>973</v>
      </c>
      <c r="F14027">
        <v>318.58</v>
      </c>
      <c r="G14027">
        <v>230802</v>
      </c>
      <c r="H14027">
        <v>4572</v>
      </c>
      <c r="I14027" t="s">
        <v>122</v>
      </c>
      <c r="J14027">
        <v>395.04</v>
      </c>
      <c r="K14027">
        <v>76.459999999999994</v>
      </c>
      <c r="L14027">
        <v>13841</v>
      </c>
      <c r="M14027" t="s">
        <v>47</v>
      </c>
      <c r="N14027" t="str">
        <f>"821549044   "</f>
        <v xml:space="preserve">821549044   </v>
      </c>
      <c r="O14027">
        <v>230803</v>
      </c>
    </row>
    <row r="14028" spans="1:15" x14ac:dyDescent="0.25">
      <c r="A14028" t="s">
        <v>16</v>
      </c>
      <c r="B14028" t="s">
        <v>3221</v>
      </c>
      <c r="C14028">
        <v>11829</v>
      </c>
      <c r="D14028" t="s">
        <v>972</v>
      </c>
      <c r="E14028" t="s">
        <v>973</v>
      </c>
      <c r="F14028">
        <v>345.73</v>
      </c>
      <c r="G14028">
        <v>230905</v>
      </c>
      <c r="H14028">
        <v>4572</v>
      </c>
      <c r="I14028" t="s">
        <v>122</v>
      </c>
      <c r="J14028">
        <v>428.7</v>
      </c>
      <c r="K14028">
        <v>82.97</v>
      </c>
      <c r="L14028">
        <v>13841</v>
      </c>
      <c r="M14028" t="s">
        <v>47</v>
      </c>
      <c r="N14028" t="str">
        <f>"821923221   "</f>
        <v xml:space="preserve">821923221   </v>
      </c>
      <c r="O14028">
        <v>230911</v>
      </c>
    </row>
    <row r="14029" spans="1:15" x14ac:dyDescent="0.25">
      <c r="A14029" t="s">
        <v>16</v>
      </c>
      <c r="B14029" t="s">
        <v>3221</v>
      </c>
      <c r="C14029">
        <v>13527</v>
      </c>
      <c r="D14029" t="s">
        <v>972</v>
      </c>
      <c r="E14029" t="s">
        <v>973</v>
      </c>
      <c r="F14029">
        <v>417.61</v>
      </c>
      <c r="G14029">
        <v>231003</v>
      </c>
      <c r="H14029">
        <v>4572</v>
      </c>
      <c r="I14029" t="s">
        <v>122</v>
      </c>
      <c r="J14029">
        <v>517.84</v>
      </c>
      <c r="K14029">
        <v>100.23</v>
      </c>
      <c r="L14029">
        <v>13841</v>
      </c>
      <c r="M14029" t="s">
        <v>47</v>
      </c>
      <c r="N14029" t="str">
        <f>"822290030   "</f>
        <v xml:space="preserve">822290030   </v>
      </c>
      <c r="O14029">
        <v>231011</v>
      </c>
    </row>
    <row r="14030" spans="1:15" x14ac:dyDescent="0.25">
      <c r="A14030" t="s">
        <v>16</v>
      </c>
      <c r="B14030" t="s">
        <v>3221</v>
      </c>
      <c r="C14030">
        <v>15004</v>
      </c>
      <c r="D14030" t="s">
        <v>972</v>
      </c>
      <c r="E14030" t="s">
        <v>973</v>
      </c>
      <c r="F14030">
        <v>753.12</v>
      </c>
      <c r="G14030">
        <v>231102</v>
      </c>
      <c r="H14030">
        <v>4572</v>
      </c>
      <c r="I14030" t="s">
        <v>122</v>
      </c>
      <c r="J14030">
        <v>933.87</v>
      </c>
      <c r="K14030">
        <v>180.75</v>
      </c>
      <c r="L14030">
        <v>13841</v>
      </c>
      <c r="M14030" t="s">
        <v>47</v>
      </c>
      <c r="N14030" t="str">
        <f>"822698971   "</f>
        <v xml:space="preserve">822698971   </v>
      </c>
      <c r="O14030">
        <v>231108</v>
      </c>
    </row>
    <row r="14031" spans="1:15" x14ac:dyDescent="0.25">
      <c r="A14031" t="s">
        <v>16</v>
      </c>
      <c r="B14031" t="s">
        <v>3221</v>
      </c>
      <c r="C14031">
        <v>17024</v>
      </c>
      <c r="D14031" t="s">
        <v>972</v>
      </c>
      <c r="E14031" t="s">
        <v>973</v>
      </c>
      <c r="F14031">
        <v>927.57</v>
      </c>
      <c r="G14031">
        <v>231204</v>
      </c>
      <c r="H14031">
        <v>4572</v>
      </c>
      <c r="I14031" t="s">
        <v>122</v>
      </c>
      <c r="J14031">
        <v>1150.19</v>
      </c>
      <c r="K14031">
        <v>222.62</v>
      </c>
      <c r="L14031">
        <v>13841</v>
      </c>
      <c r="M14031" t="s">
        <v>47</v>
      </c>
      <c r="N14031" t="str">
        <f>"823358126   "</f>
        <v xml:space="preserve">823358126   </v>
      </c>
      <c r="O14031">
        <v>231211</v>
      </c>
    </row>
    <row r="14032" spans="1:15" x14ac:dyDescent="0.25">
      <c r="A14032" t="s">
        <v>16</v>
      </c>
      <c r="B14032" t="s">
        <v>3221</v>
      </c>
      <c r="C14032">
        <v>18749</v>
      </c>
      <c r="D14032" t="s">
        <v>972</v>
      </c>
      <c r="E14032" t="s">
        <v>973</v>
      </c>
      <c r="F14032">
        <v>870.41</v>
      </c>
      <c r="G14032">
        <v>240103</v>
      </c>
      <c r="H14032">
        <v>4572</v>
      </c>
      <c r="I14032" t="s">
        <v>122</v>
      </c>
      <c r="J14032">
        <v>1079.31</v>
      </c>
      <c r="K14032">
        <v>208.9</v>
      </c>
      <c r="L14032">
        <v>13841</v>
      </c>
      <c r="M14032" t="s">
        <v>47</v>
      </c>
      <c r="N14032" t="str">
        <f>"823508996   "</f>
        <v xml:space="preserve">823508996   </v>
      </c>
      <c r="O14032">
        <v>240105</v>
      </c>
    </row>
    <row r="14033" spans="1:15" x14ac:dyDescent="0.25">
      <c r="A14033" t="s">
        <v>16</v>
      </c>
      <c r="B14033" t="s">
        <v>3221</v>
      </c>
      <c r="C14033">
        <v>36</v>
      </c>
      <c r="D14033" t="s">
        <v>3190</v>
      </c>
      <c r="E14033" t="s">
        <v>3191</v>
      </c>
      <c r="F14033">
        <v>4968.6000000000004</v>
      </c>
      <c r="G14033">
        <v>230101</v>
      </c>
      <c r="H14033">
        <v>4362</v>
      </c>
      <c r="I14033" t="s">
        <v>79</v>
      </c>
      <c r="J14033">
        <v>6161.06</v>
      </c>
      <c r="K14033">
        <v>1192.46</v>
      </c>
      <c r="L14033">
        <v>13501</v>
      </c>
      <c r="M14033" t="s">
        <v>20</v>
      </c>
      <c r="N14033" t="str">
        <f>"9163418-5/19"</f>
        <v>9163418-5/19</v>
      </c>
      <c r="O14033">
        <v>221230</v>
      </c>
    </row>
    <row r="14034" spans="1:15" x14ac:dyDescent="0.25">
      <c r="A14034" t="s">
        <v>16</v>
      </c>
      <c r="B14034" t="s">
        <v>3221</v>
      </c>
      <c r="C14034">
        <v>36</v>
      </c>
      <c r="D14034" t="s">
        <v>3190</v>
      </c>
      <c r="E14034" t="s">
        <v>3191</v>
      </c>
      <c r="F14034">
        <v>48.22</v>
      </c>
      <c r="G14034">
        <v>230101</v>
      </c>
      <c r="H14034">
        <v>4362</v>
      </c>
      <c r="I14034" t="s">
        <v>79</v>
      </c>
      <c r="J14034">
        <v>59.79</v>
      </c>
      <c r="K14034">
        <v>11.57</v>
      </c>
      <c r="L14034">
        <v>13501</v>
      </c>
      <c r="M14034" t="s">
        <v>20</v>
      </c>
      <c r="N14034" t="str">
        <f>"9163418-5/19"</f>
        <v>9163418-5/19</v>
      </c>
      <c r="O14034">
        <v>221230</v>
      </c>
    </row>
    <row r="14035" spans="1:15" x14ac:dyDescent="0.25">
      <c r="A14035" t="s">
        <v>16</v>
      </c>
      <c r="B14035" t="s">
        <v>3221</v>
      </c>
      <c r="C14035">
        <v>9</v>
      </c>
      <c r="D14035" t="s">
        <v>3190</v>
      </c>
      <c r="E14035" t="s">
        <v>3191</v>
      </c>
      <c r="F14035">
        <v>12.98</v>
      </c>
      <c r="G14035">
        <v>230101</v>
      </c>
      <c r="H14035">
        <v>4840</v>
      </c>
      <c r="I14035" t="s">
        <v>19</v>
      </c>
      <c r="J14035">
        <v>16.100000000000001</v>
      </c>
      <c r="K14035">
        <v>3.12</v>
      </c>
      <c r="L14035">
        <v>18972</v>
      </c>
      <c r="M14035" t="s">
        <v>163</v>
      </c>
      <c r="N14035" t="str">
        <f t="shared" ref="N14035:N14064" si="188">"163418-19/19"</f>
        <v>163418-19/19</v>
      </c>
      <c r="O14035">
        <v>221227</v>
      </c>
    </row>
    <row r="14036" spans="1:15" x14ac:dyDescent="0.25">
      <c r="A14036" t="s">
        <v>16</v>
      </c>
      <c r="B14036" t="s">
        <v>3221</v>
      </c>
      <c r="C14036">
        <v>9</v>
      </c>
      <c r="D14036" t="s">
        <v>3190</v>
      </c>
      <c r="E14036" t="s">
        <v>3191</v>
      </c>
      <c r="F14036">
        <v>33.71</v>
      </c>
      <c r="G14036">
        <v>230101</v>
      </c>
      <c r="H14036">
        <v>4840</v>
      </c>
      <c r="I14036" t="s">
        <v>19</v>
      </c>
      <c r="J14036">
        <v>41.8</v>
      </c>
      <c r="K14036">
        <v>8.09</v>
      </c>
      <c r="L14036">
        <v>54222</v>
      </c>
      <c r="M14036" t="s">
        <v>308</v>
      </c>
      <c r="N14036" t="str">
        <f t="shared" si="188"/>
        <v>163418-19/19</v>
      </c>
      <c r="O14036">
        <v>221227</v>
      </c>
    </row>
    <row r="14037" spans="1:15" x14ac:dyDescent="0.25">
      <c r="A14037" t="s">
        <v>16</v>
      </c>
      <c r="B14037" t="s">
        <v>3221</v>
      </c>
      <c r="C14037">
        <v>9</v>
      </c>
      <c r="D14037" t="s">
        <v>3190</v>
      </c>
      <c r="E14037" t="s">
        <v>3191</v>
      </c>
      <c r="F14037">
        <v>340.64</v>
      </c>
      <c r="G14037">
        <v>230101</v>
      </c>
      <c r="H14037">
        <v>4840</v>
      </c>
      <c r="I14037" t="s">
        <v>19</v>
      </c>
      <c r="J14037">
        <v>422.39</v>
      </c>
      <c r="K14037">
        <v>81.75</v>
      </c>
      <c r="L14037">
        <v>54222</v>
      </c>
      <c r="M14037" t="s">
        <v>308</v>
      </c>
      <c r="N14037" t="str">
        <f t="shared" si="188"/>
        <v>163418-19/19</v>
      </c>
      <c r="O14037">
        <v>221227</v>
      </c>
    </row>
    <row r="14038" spans="1:15" x14ac:dyDescent="0.25">
      <c r="A14038" t="s">
        <v>16</v>
      </c>
      <c r="B14038" t="s">
        <v>3221</v>
      </c>
      <c r="C14038">
        <v>9</v>
      </c>
      <c r="D14038" t="s">
        <v>3190</v>
      </c>
      <c r="E14038" t="s">
        <v>3191</v>
      </c>
      <c r="F14038">
        <v>858.12</v>
      </c>
      <c r="G14038">
        <v>230101</v>
      </c>
      <c r="H14038">
        <v>4840</v>
      </c>
      <c r="I14038" t="s">
        <v>19</v>
      </c>
      <c r="J14038">
        <v>1064.07</v>
      </c>
      <c r="K14038">
        <v>205.95</v>
      </c>
      <c r="L14038">
        <v>54222</v>
      </c>
      <c r="M14038" t="s">
        <v>308</v>
      </c>
      <c r="N14038" t="str">
        <f t="shared" si="188"/>
        <v>163418-19/19</v>
      </c>
      <c r="O14038">
        <v>221227</v>
      </c>
    </row>
    <row r="14039" spans="1:15" x14ac:dyDescent="0.25">
      <c r="A14039" t="s">
        <v>16</v>
      </c>
      <c r="B14039" t="s">
        <v>3221</v>
      </c>
      <c r="C14039">
        <v>9</v>
      </c>
      <c r="D14039" t="s">
        <v>3190</v>
      </c>
      <c r="E14039" t="s">
        <v>3191</v>
      </c>
      <c r="F14039">
        <v>26.01</v>
      </c>
      <c r="G14039">
        <v>230101</v>
      </c>
      <c r="H14039">
        <v>4840</v>
      </c>
      <c r="I14039" t="s">
        <v>19</v>
      </c>
      <c r="J14039">
        <v>32.25</v>
      </c>
      <c r="K14039">
        <v>6.24</v>
      </c>
      <c r="L14039">
        <v>54252</v>
      </c>
      <c r="M14039" t="s">
        <v>534</v>
      </c>
      <c r="N14039" t="str">
        <f t="shared" si="188"/>
        <v>163418-19/19</v>
      </c>
      <c r="O14039">
        <v>221227</v>
      </c>
    </row>
    <row r="14040" spans="1:15" x14ac:dyDescent="0.25">
      <c r="A14040" t="s">
        <v>16</v>
      </c>
      <c r="B14040" t="s">
        <v>3221</v>
      </c>
      <c r="C14040">
        <v>9</v>
      </c>
      <c r="D14040" t="s">
        <v>3190</v>
      </c>
      <c r="E14040" t="s">
        <v>3191</v>
      </c>
      <c r="F14040">
        <v>86.64</v>
      </c>
      <c r="G14040">
        <v>230101</v>
      </c>
      <c r="H14040">
        <v>4840</v>
      </c>
      <c r="I14040" t="s">
        <v>19</v>
      </c>
      <c r="J14040">
        <v>107.43</v>
      </c>
      <c r="K14040">
        <v>20.79</v>
      </c>
      <c r="L14040">
        <v>54422</v>
      </c>
      <c r="M14040" t="s">
        <v>234</v>
      </c>
      <c r="N14040" t="str">
        <f t="shared" si="188"/>
        <v>163418-19/19</v>
      </c>
      <c r="O14040">
        <v>221227</v>
      </c>
    </row>
    <row r="14041" spans="1:15" x14ac:dyDescent="0.25">
      <c r="A14041" t="s">
        <v>16</v>
      </c>
      <c r="B14041" t="s">
        <v>3221</v>
      </c>
      <c r="C14041">
        <v>9</v>
      </c>
      <c r="D14041" t="s">
        <v>3190</v>
      </c>
      <c r="E14041" t="s">
        <v>3191</v>
      </c>
      <c r="F14041">
        <v>810.31</v>
      </c>
      <c r="G14041">
        <v>230101</v>
      </c>
      <c r="H14041">
        <v>4840</v>
      </c>
      <c r="I14041" t="s">
        <v>19</v>
      </c>
      <c r="J14041">
        <v>1004.78</v>
      </c>
      <c r="K14041">
        <v>194.47</v>
      </c>
      <c r="L14041">
        <v>54422</v>
      </c>
      <c r="M14041" t="s">
        <v>234</v>
      </c>
      <c r="N14041" t="str">
        <f t="shared" si="188"/>
        <v>163418-19/19</v>
      </c>
      <c r="O14041">
        <v>221227</v>
      </c>
    </row>
    <row r="14042" spans="1:15" x14ac:dyDescent="0.25">
      <c r="A14042" t="s">
        <v>16</v>
      </c>
      <c r="B14042" t="s">
        <v>3221</v>
      </c>
      <c r="C14042">
        <v>9</v>
      </c>
      <c r="D14042" t="s">
        <v>3190</v>
      </c>
      <c r="E14042" t="s">
        <v>3191</v>
      </c>
      <c r="F14042">
        <v>67.42</v>
      </c>
      <c r="G14042">
        <v>230101</v>
      </c>
      <c r="H14042">
        <v>4840</v>
      </c>
      <c r="I14042" t="s">
        <v>19</v>
      </c>
      <c r="J14042">
        <v>83.6</v>
      </c>
      <c r="K14042">
        <v>16.18</v>
      </c>
      <c r="L14042">
        <v>54422</v>
      </c>
      <c r="M14042" t="s">
        <v>234</v>
      </c>
      <c r="N14042" t="str">
        <f t="shared" si="188"/>
        <v>163418-19/19</v>
      </c>
      <c r="O14042">
        <v>221227</v>
      </c>
    </row>
    <row r="14043" spans="1:15" x14ac:dyDescent="0.25">
      <c r="A14043" t="s">
        <v>16</v>
      </c>
      <c r="B14043" t="s">
        <v>3221</v>
      </c>
      <c r="C14043">
        <v>9</v>
      </c>
      <c r="D14043" t="s">
        <v>3190</v>
      </c>
      <c r="E14043" t="s">
        <v>3191</v>
      </c>
      <c r="F14043">
        <v>195.6</v>
      </c>
      <c r="G14043">
        <v>230101</v>
      </c>
      <c r="H14043">
        <v>4840</v>
      </c>
      <c r="I14043" t="s">
        <v>19</v>
      </c>
      <c r="J14043">
        <v>242.54</v>
      </c>
      <c r="K14043">
        <v>46.94</v>
      </c>
      <c r="L14043">
        <v>56526</v>
      </c>
      <c r="M14043" t="s">
        <v>1217</v>
      </c>
      <c r="N14043" t="str">
        <f t="shared" si="188"/>
        <v>163418-19/19</v>
      </c>
      <c r="O14043">
        <v>221227</v>
      </c>
    </row>
    <row r="14044" spans="1:15" x14ac:dyDescent="0.25">
      <c r="A14044" t="s">
        <v>16</v>
      </c>
      <c r="B14044" t="s">
        <v>3221</v>
      </c>
      <c r="C14044">
        <v>9</v>
      </c>
      <c r="D14044" t="s">
        <v>3190</v>
      </c>
      <c r="E14044" t="s">
        <v>3191</v>
      </c>
      <c r="F14044">
        <v>936.71</v>
      </c>
      <c r="G14044">
        <v>230101</v>
      </c>
      <c r="H14044">
        <v>4840</v>
      </c>
      <c r="I14044" t="s">
        <v>19</v>
      </c>
      <c r="J14044">
        <v>1161.52</v>
      </c>
      <c r="K14044">
        <v>224.81</v>
      </c>
      <c r="L14044">
        <v>56558</v>
      </c>
      <c r="M14044" t="s">
        <v>217</v>
      </c>
      <c r="N14044" t="str">
        <f t="shared" si="188"/>
        <v>163418-19/19</v>
      </c>
      <c r="O14044">
        <v>221227</v>
      </c>
    </row>
    <row r="14045" spans="1:15" x14ac:dyDescent="0.25">
      <c r="A14045" t="s">
        <v>16</v>
      </c>
      <c r="B14045" t="s">
        <v>3221</v>
      </c>
      <c r="C14045">
        <v>9</v>
      </c>
      <c r="D14045" t="s">
        <v>3190</v>
      </c>
      <c r="E14045" t="s">
        <v>3191</v>
      </c>
      <c r="F14045">
        <v>1185.82</v>
      </c>
      <c r="G14045">
        <v>230101</v>
      </c>
      <c r="H14045">
        <v>4840</v>
      </c>
      <c r="I14045" t="s">
        <v>19</v>
      </c>
      <c r="J14045">
        <v>1470.42</v>
      </c>
      <c r="K14045">
        <v>284.60000000000002</v>
      </c>
      <c r="L14045">
        <v>56559</v>
      </c>
      <c r="M14045" t="s">
        <v>129</v>
      </c>
      <c r="N14045" t="str">
        <f t="shared" si="188"/>
        <v>163418-19/19</v>
      </c>
      <c r="O14045">
        <v>221227</v>
      </c>
    </row>
    <row r="14046" spans="1:15" x14ac:dyDescent="0.25">
      <c r="A14046" t="s">
        <v>16</v>
      </c>
      <c r="B14046" t="s">
        <v>3221</v>
      </c>
      <c r="C14046">
        <v>9</v>
      </c>
      <c r="D14046" t="s">
        <v>3190</v>
      </c>
      <c r="E14046" t="s">
        <v>3191</v>
      </c>
      <c r="F14046">
        <v>1000.76</v>
      </c>
      <c r="G14046">
        <v>230101</v>
      </c>
      <c r="H14046">
        <v>4840</v>
      </c>
      <c r="I14046" t="s">
        <v>19</v>
      </c>
      <c r="J14046">
        <v>1240.94</v>
      </c>
      <c r="K14046">
        <v>240.18</v>
      </c>
      <c r="L14046">
        <v>56560</v>
      </c>
      <c r="M14046" t="s">
        <v>654</v>
      </c>
      <c r="N14046" t="str">
        <f t="shared" si="188"/>
        <v>163418-19/19</v>
      </c>
      <c r="O14046">
        <v>221227</v>
      </c>
    </row>
    <row r="14047" spans="1:15" x14ac:dyDescent="0.25">
      <c r="A14047" t="s">
        <v>16</v>
      </c>
      <c r="B14047" t="s">
        <v>3221</v>
      </c>
      <c r="C14047">
        <v>9</v>
      </c>
      <c r="D14047" t="s">
        <v>3190</v>
      </c>
      <c r="E14047" t="s">
        <v>3191</v>
      </c>
      <c r="F14047">
        <v>148.1</v>
      </c>
      <c r="G14047">
        <v>230101</v>
      </c>
      <c r="H14047">
        <v>4840</v>
      </c>
      <c r="I14047" t="s">
        <v>19</v>
      </c>
      <c r="J14047">
        <v>183.64</v>
      </c>
      <c r="K14047">
        <v>35.54</v>
      </c>
      <c r="L14047">
        <v>56561</v>
      </c>
      <c r="M14047" t="s">
        <v>358</v>
      </c>
      <c r="N14047" t="str">
        <f t="shared" si="188"/>
        <v>163418-19/19</v>
      </c>
      <c r="O14047">
        <v>221227</v>
      </c>
    </row>
    <row r="14048" spans="1:15" x14ac:dyDescent="0.25">
      <c r="A14048" t="s">
        <v>16</v>
      </c>
      <c r="B14048" t="s">
        <v>3221</v>
      </c>
      <c r="C14048">
        <v>9</v>
      </c>
      <c r="D14048" t="s">
        <v>3190</v>
      </c>
      <c r="E14048" t="s">
        <v>3191</v>
      </c>
      <c r="F14048">
        <v>614.88</v>
      </c>
      <c r="G14048">
        <v>230101</v>
      </c>
      <c r="H14048">
        <v>4840</v>
      </c>
      <c r="I14048" t="s">
        <v>19</v>
      </c>
      <c r="J14048">
        <v>762.45</v>
      </c>
      <c r="K14048">
        <v>147.57</v>
      </c>
      <c r="L14048">
        <v>56562</v>
      </c>
      <c r="M14048" t="s">
        <v>126</v>
      </c>
      <c r="N14048" t="str">
        <f t="shared" si="188"/>
        <v>163418-19/19</v>
      </c>
      <c r="O14048">
        <v>221227</v>
      </c>
    </row>
    <row r="14049" spans="1:15" x14ac:dyDescent="0.25">
      <c r="A14049" t="s">
        <v>16</v>
      </c>
      <c r="B14049" t="s">
        <v>3221</v>
      </c>
      <c r="C14049">
        <v>9</v>
      </c>
      <c r="D14049" t="s">
        <v>3190</v>
      </c>
      <c r="E14049" t="s">
        <v>3191</v>
      </c>
      <c r="F14049">
        <v>166.54</v>
      </c>
      <c r="G14049">
        <v>230101</v>
      </c>
      <c r="H14049">
        <v>4840</v>
      </c>
      <c r="I14049" t="s">
        <v>19</v>
      </c>
      <c r="J14049">
        <v>206.51</v>
      </c>
      <c r="K14049">
        <v>39.97</v>
      </c>
      <c r="L14049">
        <v>56563</v>
      </c>
      <c r="M14049" t="s">
        <v>953</v>
      </c>
      <c r="N14049" t="str">
        <f t="shared" si="188"/>
        <v>163418-19/19</v>
      </c>
      <c r="O14049">
        <v>221227</v>
      </c>
    </row>
    <row r="14050" spans="1:15" x14ac:dyDescent="0.25">
      <c r="A14050" t="s">
        <v>16</v>
      </c>
      <c r="B14050" t="s">
        <v>3221</v>
      </c>
      <c r="C14050">
        <v>9</v>
      </c>
      <c r="D14050" t="s">
        <v>3190</v>
      </c>
      <c r="E14050" t="s">
        <v>3191</v>
      </c>
      <c r="F14050">
        <v>169.48</v>
      </c>
      <c r="G14050">
        <v>230101</v>
      </c>
      <c r="H14050">
        <v>4840</v>
      </c>
      <c r="I14050" t="s">
        <v>19</v>
      </c>
      <c r="J14050">
        <v>210.16</v>
      </c>
      <c r="K14050">
        <v>40.68</v>
      </c>
      <c r="L14050">
        <v>56564</v>
      </c>
      <c r="M14050" t="s">
        <v>327</v>
      </c>
      <c r="N14050" t="str">
        <f t="shared" si="188"/>
        <v>163418-19/19</v>
      </c>
      <c r="O14050">
        <v>221227</v>
      </c>
    </row>
    <row r="14051" spans="1:15" x14ac:dyDescent="0.25">
      <c r="A14051" t="s">
        <v>16</v>
      </c>
      <c r="B14051" t="s">
        <v>3221</v>
      </c>
      <c r="C14051">
        <v>9</v>
      </c>
      <c r="D14051" t="s">
        <v>3190</v>
      </c>
      <c r="E14051" t="s">
        <v>3191</v>
      </c>
      <c r="F14051">
        <v>74.03</v>
      </c>
      <c r="G14051">
        <v>230101</v>
      </c>
      <c r="H14051">
        <v>4840</v>
      </c>
      <c r="I14051" t="s">
        <v>19</v>
      </c>
      <c r="J14051">
        <v>91.8</v>
      </c>
      <c r="K14051">
        <v>17.77</v>
      </c>
      <c r="L14051">
        <v>56565</v>
      </c>
      <c r="M14051" t="s">
        <v>758</v>
      </c>
      <c r="N14051" t="str">
        <f t="shared" si="188"/>
        <v>163418-19/19</v>
      </c>
      <c r="O14051">
        <v>221227</v>
      </c>
    </row>
    <row r="14052" spans="1:15" x14ac:dyDescent="0.25">
      <c r="A14052" t="s">
        <v>16</v>
      </c>
      <c r="B14052" t="s">
        <v>3221</v>
      </c>
      <c r="C14052">
        <v>9</v>
      </c>
      <c r="D14052" t="s">
        <v>3190</v>
      </c>
      <c r="E14052" t="s">
        <v>3191</v>
      </c>
      <c r="F14052">
        <v>2367.7199999999998</v>
      </c>
      <c r="G14052">
        <v>230101</v>
      </c>
      <c r="H14052">
        <v>4840</v>
      </c>
      <c r="I14052" t="s">
        <v>19</v>
      </c>
      <c r="J14052">
        <v>2935.97</v>
      </c>
      <c r="K14052">
        <v>568.25</v>
      </c>
      <c r="L14052">
        <v>56566</v>
      </c>
      <c r="M14052" t="s">
        <v>652</v>
      </c>
      <c r="N14052" t="str">
        <f t="shared" si="188"/>
        <v>163418-19/19</v>
      </c>
      <c r="O14052">
        <v>221227</v>
      </c>
    </row>
    <row r="14053" spans="1:15" x14ac:dyDescent="0.25">
      <c r="A14053" t="s">
        <v>16</v>
      </c>
      <c r="B14053" t="s">
        <v>3221</v>
      </c>
      <c r="C14053">
        <v>9</v>
      </c>
      <c r="D14053" t="s">
        <v>3190</v>
      </c>
      <c r="E14053" t="s">
        <v>3191</v>
      </c>
      <c r="F14053">
        <v>404.52</v>
      </c>
      <c r="G14053">
        <v>230101</v>
      </c>
      <c r="H14053">
        <v>4840</v>
      </c>
      <c r="I14053" t="s">
        <v>19</v>
      </c>
      <c r="J14053">
        <v>501.6</v>
      </c>
      <c r="K14053">
        <v>97.08</v>
      </c>
      <c r="L14053">
        <v>56566</v>
      </c>
      <c r="M14053" t="s">
        <v>652</v>
      </c>
      <c r="N14053" t="str">
        <f t="shared" si="188"/>
        <v>163418-19/19</v>
      </c>
      <c r="O14053">
        <v>221227</v>
      </c>
    </row>
    <row r="14054" spans="1:15" x14ac:dyDescent="0.25">
      <c r="A14054" t="s">
        <v>16</v>
      </c>
      <c r="B14054" t="s">
        <v>3221</v>
      </c>
      <c r="C14054">
        <v>9</v>
      </c>
      <c r="D14054" t="s">
        <v>3190</v>
      </c>
      <c r="E14054" t="s">
        <v>3191</v>
      </c>
      <c r="F14054">
        <v>653.54999999999995</v>
      </c>
      <c r="G14054">
        <v>230101</v>
      </c>
      <c r="H14054">
        <v>4840</v>
      </c>
      <c r="I14054" t="s">
        <v>19</v>
      </c>
      <c r="J14054">
        <v>810.4</v>
      </c>
      <c r="K14054">
        <v>156.85</v>
      </c>
      <c r="L14054">
        <v>58601</v>
      </c>
      <c r="M14054" t="s">
        <v>251</v>
      </c>
      <c r="N14054" t="str">
        <f t="shared" si="188"/>
        <v>163418-19/19</v>
      </c>
      <c r="O14054">
        <v>221227</v>
      </c>
    </row>
    <row r="14055" spans="1:15" x14ac:dyDescent="0.25">
      <c r="A14055" t="s">
        <v>16</v>
      </c>
      <c r="B14055" t="s">
        <v>3221</v>
      </c>
      <c r="C14055">
        <v>9</v>
      </c>
      <c r="D14055" t="s">
        <v>3190</v>
      </c>
      <c r="E14055" t="s">
        <v>3191</v>
      </c>
      <c r="F14055">
        <v>59.07</v>
      </c>
      <c r="G14055">
        <v>230101</v>
      </c>
      <c r="H14055">
        <v>4840</v>
      </c>
      <c r="I14055" t="s">
        <v>19</v>
      </c>
      <c r="J14055">
        <v>73.25</v>
      </c>
      <c r="K14055">
        <v>14.18</v>
      </c>
      <c r="L14055">
        <v>59111</v>
      </c>
      <c r="M14055" t="s">
        <v>1010</v>
      </c>
      <c r="N14055" t="str">
        <f t="shared" si="188"/>
        <v>163418-19/19</v>
      </c>
      <c r="O14055">
        <v>221227</v>
      </c>
    </row>
    <row r="14056" spans="1:15" x14ac:dyDescent="0.25">
      <c r="A14056" t="s">
        <v>16</v>
      </c>
      <c r="B14056" t="s">
        <v>3221</v>
      </c>
      <c r="C14056">
        <v>9</v>
      </c>
      <c r="D14056" t="s">
        <v>3190</v>
      </c>
      <c r="E14056" t="s">
        <v>3191</v>
      </c>
      <c r="F14056">
        <v>33.06</v>
      </c>
      <c r="G14056">
        <v>230101</v>
      </c>
      <c r="H14056">
        <v>4840</v>
      </c>
      <c r="I14056" t="s">
        <v>19</v>
      </c>
      <c r="J14056">
        <v>40.99</v>
      </c>
      <c r="K14056">
        <v>7.93</v>
      </c>
      <c r="L14056">
        <v>59113</v>
      </c>
      <c r="M14056" t="s">
        <v>235</v>
      </c>
      <c r="N14056" t="str">
        <f t="shared" si="188"/>
        <v>163418-19/19</v>
      </c>
      <c r="O14056">
        <v>221227</v>
      </c>
    </row>
    <row r="14057" spans="1:15" x14ac:dyDescent="0.25">
      <c r="A14057" t="s">
        <v>16</v>
      </c>
      <c r="B14057" t="s">
        <v>3221</v>
      </c>
      <c r="C14057">
        <v>9</v>
      </c>
      <c r="D14057" t="s">
        <v>3190</v>
      </c>
      <c r="E14057" t="s">
        <v>3191</v>
      </c>
      <c r="F14057">
        <v>32.32</v>
      </c>
      <c r="G14057">
        <v>230101</v>
      </c>
      <c r="H14057">
        <v>4840</v>
      </c>
      <c r="I14057" t="s">
        <v>19</v>
      </c>
      <c r="J14057">
        <v>40.08</v>
      </c>
      <c r="K14057">
        <v>7.76</v>
      </c>
      <c r="L14057">
        <v>59501</v>
      </c>
      <c r="M14057" t="s">
        <v>69</v>
      </c>
      <c r="N14057" t="str">
        <f t="shared" si="188"/>
        <v>163418-19/19</v>
      </c>
      <c r="O14057">
        <v>221227</v>
      </c>
    </row>
    <row r="14058" spans="1:15" x14ac:dyDescent="0.25">
      <c r="A14058" t="s">
        <v>16</v>
      </c>
      <c r="B14058" t="s">
        <v>3221</v>
      </c>
      <c r="C14058">
        <v>9</v>
      </c>
      <c r="D14058" t="s">
        <v>3190</v>
      </c>
      <c r="E14058" t="s">
        <v>3191</v>
      </c>
      <c r="F14058">
        <v>129.61000000000001</v>
      </c>
      <c r="G14058">
        <v>230101</v>
      </c>
      <c r="H14058">
        <v>4840</v>
      </c>
      <c r="I14058" t="s">
        <v>19</v>
      </c>
      <c r="J14058">
        <v>160.72</v>
      </c>
      <c r="K14058">
        <v>31.11</v>
      </c>
      <c r="L14058">
        <v>59502</v>
      </c>
      <c r="M14058" t="s">
        <v>70</v>
      </c>
      <c r="N14058" t="str">
        <f t="shared" si="188"/>
        <v>163418-19/19</v>
      </c>
      <c r="O14058">
        <v>221227</v>
      </c>
    </row>
    <row r="14059" spans="1:15" x14ac:dyDescent="0.25">
      <c r="A14059" t="s">
        <v>16</v>
      </c>
      <c r="B14059" t="s">
        <v>3221</v>
      </c>
      <c r="C14059">
        <v>9</v>
      </c>
      <c r="D14059" t="s">
        <v>3190</v>
      </c>
      <c r="E14059" t="s">
        <v>3191</v>
      </c>
      <c r="F14059">
        <v>342.18</v>
      </c>
      <c r="G14059">
        <v>230101</v>
      </c>
      <c r="H14059">
        <v>4840</v>
      </c>
      <c r="I14059" t="s">
        <v>19</v>
      </c>
      <c r="J14059">
        <v>424.3</v>
      </c>
      <c r="K14059">
        <v>82.12</v>
      </c>
      <c r="L14059">
        <v>59701</v>
      </c>
      <c r="M14059" t="s">
        <v>297</v>
      </c>
      <c r="N14059" t="str">
        <f t="shared" si="188"/>
        <v>163418-19/19</v>
      </c>
      <c r="O14059">
        <v>221227</v>
      </c>
    </row>
    <row r="14060" spans="1:15" x14ac:dyDescent="0.25">
      <c r="A14060" t="s">
        <v>16</v>
      </c>
      <c r="B14060" t="s">
        <v>3221</v>
      </c>
      <c r="C14060">
        <v>9</v>
      </c>
      <c r="D14060" t="s">
        <v>3190</v>
      </c>
      <c r="E14060" t="s">
        <v>3191</v>
      </c>
      <c r="F14060">
        <v>85.07</v>
      </c>
      <c r="G14060">
        <v>230101</v>
      </c>
      <c r="H14060">
        <v>4840</v>
      </c>
      <c r="I14060" t="s">
        <v>19</v>
      </c>
      <c r="J14060">
        <v>105.49</v>
      </c>
      <c r="K14060">
        <v>20.420000000000002</v>
      </c>
      <c r="L14060">
        <v>59702</v>
      </c>
      <c r="M14060" t="s">
        <v>328</v>
      </c>
      <c r="N14060" t="str">
        <f t="shared" si="188"/>
        <v>163418-19/19</v>
      </c>
      <c r="O14060">
        <v>221227</v>
      </c>
    </row>
    <row r="14061" spans="1:15" x14ac:dyDescent="0.25">
      <c r="A14061" t="s">
        <v>16</v>
      </c>
      <c r="B14061" t="s">
        <v>3221</v>
      </c>
      <c r="C14061">
        <v>9</v>
      </c>
      <c r="D14061" t="s">
        <v>3190</v>
      </c>
      <c r="E14061" t="s">
        <v>3191</v>
      </c>
      <c r="F14061">
        <v>764.25</v>
      </c>
      <c r="G14061">
        <v>230101</v>
      </c>
      <c r="H14061">
        <v>4840</v>
      </c>
      <c r="I14061" t="s">
        <v>19</v>
      </c>
      <c r="J14061">
        <v>947.67</v>
      </c>
      <c r="K14061">
        <v>183.42</v>
      </c>
      <c r="L14061">
        <v>59702</v>
      </c>
      <c r="M14061" t="s">
        <v>328</v>
      </c>
      <c r="N14061" t="str">
        <f t="shared" si="188"/>
        <v>163418-19/19</v>
      </c>
      <c r="O14061">
        <v>221227</v>
      </c>
    </row>
    <row r="14062" spans="1:15" x14ac:dyDescent="0.25">
      <c r="A14062" t="s">
        <v>16</v>
      </c>
      <c r="B14062" t="s">
        <v>3221</v>
      </c>
      <c r="C14062">
        <v>9</v>
      </c>
      <c r="D14062" t="s">
        <v>3190</v>
      </c>
      <c r="E14062" t="s">
        <v>3191</v>
      </c>
      <c r="F14062">
        <v>89.44</v>
      </c>
      <c r="G14062">
        <v>230101</v>
      </c>
      <c r="H14062">
        <v>4840</v>
      </c>
      <c r="I14062" t="s">
        <v>19</v>
      </c>
      <c r="J14062">
        <v>110.91</v>
      </c>
      <c r="K14062">
        <v>21.47</v>
      </c>
      <c r="L14062">
        <v>59704</v>
      </c>
      <c r="M14062" t="s">
        <v>1103</v>
      </c>
      <c r="N14062" t="str">
        <f t="shared" si="188"/>
        <v>163418-19/19</v>
      </c>
      <c r="O14062">
        <v>221227</v>
      </c>
    </row>
    <row r="14063" spans="1:15" x14ac:dyDescent="0.25">
      <c r="A14063" t="s">
        <v>16</v>
      </c>
      <c r="B14063" t="s">
        <v>3221</v>
      </c>
      <c r="C14063">
        <v>9</v>
      </c>
      <c r="D14063" t="s">
        <v>3190</v>
      </c>
      <c r="E14063" t="s">
        <v>3191</v>
      </c>
      <c r="F14063">
        <v>68.8</v>
      </c>
      <c r="G14063">
        <v>230101</v>
      </c>
      <c r="H14063">
        <v>4840</v>
      </c>
      <c r="I14063" t="s">
        <v>19</v>
      </c>
      <c r="J14063">
        <v>85.31</v>
      </c>
      <c r="K14063">
        <v>16.510000000000002</v>
      </c>
      <c r="L14063">
        <v>59705</v>
      </c>
      <c r="M14063" t="s">
        <v>843</v>
      </c>
      <c r="N14063" t="str">
        <f t="shared" si="188"/>
        <v>163418-19/19</v>
      </c>
      <c r="O14063">
        <v>221227</v>
      </c>
    </row>
    <row r="14064" spans="1:15" x14ac:dyDescent="0.25">
      <c r="A14064" t="s">
        <v>16</v>
      </c>
      <c r="B14064" t="s">
        <v>3221</v>
      </c>
      <c r="C14064">
        <v>9</v>
      </c>
      <c r="D14064" t="s">
        <v>3190</v>
      </c>
      <c r="E14064" t="s">
        <v>3191</v>
      </c>
      <c r="F14064">
        <v>25.41</v>
      </c>
      <c r="G14064">
        <v>230101</v>
      </c>
      <c r="H14064">
        <v>4840</v>
      </c>
      <c r="I14064" t="s">
        <v>19</v>
      </c>
      <c r="J14064">
        <v>31.51</v>
      </c>
      <c r="K14064">
        <v>6.1</v>
      </c>
      <c r="L14064">
        <v>59815</v>
      </c>
      <c r="M14064" t="s">
        <v>1182</v>
      </c>
      <c r="N14064" t="str">
        <f t="shared" si="188"/>
        <v>163418-19/19</v>
      </c>
      <c r="O14064">
        <v>221227</v>
      </c>
    </row>
    <row r="14065" spans="1:15" x14ac:dyDescent="0.25">
      <c r="A14065" t="s">
        <v>16</v>
      </c>
      <c r="B14065" t="s">
        <v>3221</v>
      </c>
      <c r="C14065">
        <v>12</v>
      </c>
      <c r="D14065" t="s">
        <v>3190</v>
      </c>
      <c r="E14065" t="s">
        <v>3191</v>
      </c>
      <c r="F14065">
        <v>26.72</v>
      </c>
      <c r="G14065">
        <v>230101</v>
      </c>
      <c r="H14065">
        <v>4840</v>
      </c>
      <c r="I14065" t="s">
        <v>19</v>
      </c>
      <c r="J14065">
        <v>33.130000000000003</v>
      </c>
      <c r="K14065">
        <v>6.41</v>
      </c>
      <c r="L14065">
        <v>53222</v>
      </c>
      <c r="M14065" t="s">
        <v>445</v>
      </c>
      <c r="N14065" t="str">
        <f t="shared" ref="N14065:N14079" si="189">"9163418-9/19"</f>
        <v>9163418-9/19</v>
      </c>
      <c r="O14065">
        <v>221227</v>
      </c>
    </row>
    <row r="14066" spans="1:15" x14ac:dyDescent="0.25">
      <c r="A14066" t="s">
        <v>16</v>
      </c>
      <c r="B14066" t="s">
        <v>3221</v>
      </c>
      <c r="C14066">
        <v>12</v>
      </c>
      <c r="D14066" t="s">
        <v>3190</v>
      </c>
      <c r="E14066" t="s">
        <v>3191</v>
      </c>
      <c r="F14066">
        <v>157.65</v>
      </c>
      <c r="G14066">
        <v>230101</v>
      </c>
      <c r="H14066">
        <v>4840</v>
      </c>
      <c r="I14066" t="s">
        <v>19</v>
      </c>
      <c r="J14066">
        <v>195.48</v>
      </c>
      <c r="K14066">
        <v>37.83</v>
      </c>
      <c r="L14066">
        <v>53222</v>
      </c>
      <c r="M14066" t="s">
        <v>445</v>
      </c>
      <c r="N14066" t="str">
        <f t="shared" si="189"/>
        <v>9163418-9/19</v>
      </c>
      <c r="O14066">
        <v>221227</v>
      </c>
    </row>
    <row r="14067" spans="1:15" x14ac:dyDescent="0.25">
      <c r="A14067" t="s">
        <v>16</v>
      </c>
      <c r="B14067" t="s">
        <v>3221</v>
      </c>
      <c r="C14067">
        <v>12</v>
      </c>
      <c r="D14067" t="s">
        <v>3190</v>
      </c>
      <c r="E14067" t="s">
        <v>3191</v>
      </c>
      <c r="F14067">
        <v>169.38</v>
      </c>
      <c r="G14067">
        <v>230101</v>
      </c>
      <c r="H14067">
        <v>4840</v>
      </c>
      <c r="I14067" t="s">
        <v>19</v>
      </c>
      <c r="J14067">
        <v>210.03</v>
      </c>
      <c r="K14067">
        <v>40.65</v>
      </c>
      <c r="L14067">
        <v>53222</v>
      </c>
      <c r="M14067" t="s">
        <v>445</v>
      </c>
      <c r="N14067" t="str">
        <f t="shared" si="189"/>
        <v>9163418-9/19</v>
      </c>
      <c r="O14067">
        <v>221227</v>
      </c>
    </row>
    <row r="14068" spans="1:15" x14ac:dyDescent="0.25">
      <c r="A14068" t="s">
        <v>16</v>
      </c>
      <c r="B14068" t="s">
        <v>3221</v>
      </c>
      <c r="C14068">
        <v>12</v>
      </c>
      <c r="D14068" t="s">
        <v>3190</v>
      </c>
      <c r="E14068" t="s">
        <v>3191</v>
      </c>
      <c r="F14068">
        <v>674.2</v>
      </c>
      <c r="G14068">
        <v>230101</v>
      </c>
      <c r="H14068">
        <v>4840</v>
      </c>
      <c r="I14068" t="s">
        <v>19</v>
      </c>
      <c r="J14068">
        <v>836.01</v>
      </c>
      <c r="K14068">
        <v>161.81</v>
      </c>
      <c r="L14068">
        <v>53222</v>
      </c>
      <c r="M14068" t="s">
        <v>445</v>
      </c>
      <c r="N14068" t="str">
        <f t="shared" si="189"/>
        <v>9163418-9/19</v>
      </c>
      <c r="O14068">
        <v>221227</v>
      </c>
    </row>
    <row r="14069" spans="1:15" x14ac:dyDescent="0.25">
      <c r="A14069" t="s">
        <v>16</v>
      </c>
      <c r="B14069" t="s">
        <v>3221</v>
      </c>
      <c r="C14069">
        <v>12</v>
      </c>
      <c r="D14069" t="s">
        <v>3190</v>
      </c>
      <c r="E14069" t="s">
        <v>3191</v>
      </c>
      <c r="F14069">
        <v>26.72</v>
      </c>
      <c r="G14069">
        <v>230101</v>
      </c>
      <c r="H14069">
        <v>4840</v>
      </c>
      <c r="I14069" t="s">
        <v>19</v>
      </c>
      <c r="J14069">
        <v>33.130000000000003</v>
      </c>
      <c r="K14069">
        <v>6.41</v>
      </c>
      <c r="L14069">
        <v>54622</v>
      </c>
      <c r="M14069" t="s">
        <v>872</v>
      </c>
      <c r="N14069" t="str">
        <f t="shared" si="189"/>
        <v>9163418-9/19</v>
      </c>
      <c r="O14069">
        <v>221227</v>
      </c>
    </row>
    <row r="14070" spans="1:15" x14ac:dyDescent="0.25">
      <c r="A14070" t="s">
        <v>16</v>
      </c>
      <c r="B14070" t="s">
        <v>3221</v>
      </c>
      <c r="C14070">
        <v>12</v>
      </c>
      <c r="D14070" t="s">
        <v>3190</v>
      </c>
      <c r="E14070" t="s">
        <v>3191</v>
      </c>
      <c r="F14070">
        <v>123.14</v>
      </c>
      <c r="G14070">
        <v>230101</v>
      </c>
      <c r="H14070">
        <v>4840</v>
      </c>
      <c r="I14070" t="s">
        <v>19</v>
      </c>
      <c r="J14070">
        <v>152.69</v>
      </c>
      <c r="K14070">
        <v>29.55</v>
      </c>
      <c r="L14070">
        <v>54622</v>
      </c>
      <c r="M14070" t="s">
        <v>872</v>
      </c>
      <c r="N14070" t="str">
        <f t="shared" si="189"/>
        <v>9163418-9/19</v>
      </c>
      <c r="O14070">
        <v>221227</v>
      </c>
    </row>
    <row r="14071" spans="1:15" x14ac:dyDescent="0.25">
      <c r="A14071" t="s">
        <v>16</v>
      </c>
      <c r="B14071" t="s">
        <v>3221</v>
      </c>
      <c r="C14071">
        <v>12</v>
      </c>
      <c r="D14071" t="s">
        <v>3190</v>
      </c>
      <c r="E14071" t="s">
        <v>3191</v>
      </c>
      <c r="F14071">
        <v>59.07</v>
      </c>
      <c r="G14071">
        <v>230101</v>
      </c>
      <c r="H14071">
        <v>4840</v>
      </c>
      <c r="I14071" t="s">
        <v>19</v>
      </c>
      <c r="J14071">
        <v>73.25</v>
      </c>
      <c r="K14071">
        <v>14.18</v>
      </c>
      <c r="L14071">
        <v>55222</v>
      </c>
      <c r="M14071" t="s">
        <v>873</v>
      </c>
      <c r="N14071" t="str">
        <f t="shared" si="189"/>
        <v>9163418-9/19</v>
      </c>
      <c r="O14071">
        <v>221227</v>
      </c>
    </row>
    <row r="14072" spans="1:15" x14ac:dyDescent="0.25">
      <c r="A14072" t="s">
        <v>16</v>
      </c>
      <c r="B14072" t="s">
        <v>3221</v>
      </c>
      <c r="C14072">
        <v>12</v>
      </c>
      <c r="D14072" t="s">
        <v>3190</v>
      </c>
      <c r="E14072" t="s">
        <v>3191</v>
      </c>
      <c r="F14072">
        <v>181.9</v>
      </c>
      <c r="G14072">
        <v>230101</v>
      </c>
      <c r="H14072">
        <v>4840</v>
      </c>
      <c r="I14072" t="s">
        <v>19</v>
      </c>
      <c r="J14072">
        <v>225.56</v>
      </c>
      <c r="K14072">
        <v>43.66</v>
      </c>
      <c r="L14072">
        <v>55222</v>
      </c>
      <c r="M14072" t="s">
        <v>873</v>
      </c>
      <c r="N14072" t="str">
        <f t="shared" si="189"/>
        <v>9163418-9/19</v>
      </c>
      <c r="O14072">
        <v>221227</v>
      </c>
    </row>
    <row r="14073" spans="1:15" x14ac:dyDescent="0.25">
      <c r="A14073" t="s">
        <v>16</v>
      </c>
      <c r="B14073" t="s">
        <v>3221</v>
      </c>
      <c r="C14073">
        <v>12</v>
      </c>
      <c r="D14073" t="s">
        <v>3190</v>
      </c>
      <c r="E14073" t="s">
        <v>3191</v>
      </c>
      <c r="F14073">
        <v>33.06</v>
      </c>
      <c r="G14073">
        <v>230101</v>
      </c>
      <c r="H14073">
        <v>4840</v>
      </c>
      <c r="I14073" t="s">
        <v>19</v>
      </c>
      <c r="J14073">
        <v>40.99</v>
      </c>
      <c r="K14073">
        <v>7.93</v>
      </c>
      <c r="L14073">
        <v>59112</v>
      </c>
      <c r="M14073" t="s">
        <v>182</v>
      </c>
      <c r="N14073" t="str">
        <f t="shared" si="189"/>
        <v>9163418-9/19</v>
      </c>
      <c r="O14073">
        <v>221227</v>
      </c>
    </row>
    <row r="14074" spans="1:15" x14ac:dyDescent="0.25">
      <c r="A14074" t="s">
        <v>16</v>
      </c>
      <c r="B14074" t="s">
        <v>3221</v>
      </c>
      <c r="C14074">
        <v>12</v>
      </c>
      <c r="D14074" t="s">
        <v>3190</v>
      </c>
      <c r="E14074" t="s">
        <v>3191</v>
      </c>
      <c r="F14074">
        <v>35.22</v>
      </c>
      <c r="G14074">
        <v>230101</v>
      </c>
      <c r="H14074">
        <v>4840</v>
      </c>
      <c r="I14074" t="s">
        <v>19</v>
      </c>
      <c r="J14074">
        <v>43.67</v>
      </c>
      <c r="K14074">
        <v>8.4499999999999993</v>
      </c>
      <c r="L14074">
        <v>59504</v>
      </c>
      <c r="M14074" t="s">
        <v>71</v>
      </c>
      <c r="N14074" t="str">
        <f t="shared" si="189"/>
        <v>9163418-9/19</v>
      </c>
      <c r="O14074">
        <v>221227</v>
      </c>
    </row>
    <row r="14075" spans="1:15" x14ac:dyDescent="0.25">
      <c r="A14075" t="s">
        <v>16</v>
      </c>
      <c r="B14075" t="s">
        <v>3221</v>
      </c>
      <c r="C14075">
        <v>12</v>
      </c>
      <c r="D14075" t="s">
        <v>3190</v>
      </c>
      <c r="E14075" t="s">
        <v>3191</v>
      </c>
      <c r="F14075">
        <v>31.9</v>
      </c>
      <c r="G14075">
        <v>230101</v>
      </c>
      <c r="H14075">
        <v>4840</v>
      </c>
      <c r="I14075" t="s">
        <v>19</v>
      </c>
      <c r="J14075">
        <v>39.56</v>
      </c>
      <c r="K14075">
        <v>7.66</v>
      </c>
      <c r="L14075">
        <v>59701</v>
      </c>
      <c r="M14075" t="s">
        <v>297</v>
      </c>
      <c r="N14075" t="str">
        <f t="shared" si="189"/>
        <v>9163418-9/19</v>
      </c>
      <c r="O14075">
        <v>221227</v>
      </c>
    </row>
    <row r="14076" spans="1:15" x14ac:dyDescent="0.25">
      <c r="A14076" t="s">
        <v>16</v>
      </c>
      <c r="B14076" t="s">
        <v>3221</v>
      </c>
      <c r="C14076">
        <v>12</v>
      </c>
      <c r="D14076" t="s">
        <v>3190</v>
      </c>
      <c r="E14076" t="s">
        <v>3191</v>
      </c>
      <c r="F14076">
        <v>155.16</v>
      </c>
      <c r="G14076">
        <v>230101</v>
      </c>
      <c r="H14076">
        <v>4840</v>
      </c>
      <c r="I14076" t="s">
        <v>19</v>
      </c>
      <c r="J14076">
        <v>192.4</v>
      </c>
      <c r="K14076">
        <v>37.24</v>
      </c>
      <c r="L14076">
        <v>59701</v>
      </c>
      <c r="M14076" t="s">
        <v>297</v>
      </c>
      <c r="N14076" t="str">
        <f t="shared" si="189"/>
        <v>9163418-9/19</v>
      </c>
      <c r="O14076">
        <v>221227</v>
      </c>
    </row>
    <row r="14077" spans="1:15" x14ac:dyDescent="0.25">
      <c r="A14077" t="s">
        <v>16</v>
      </c>
      <c r="B14077" t="s">
        <v>3221</v>
      </c>
      <c r="C14077">
        <v>12</v>
      </c>
      <c r="D14077" t="s">
        <v>3190</v>
      </c>
      <c r="E14077" t="s">
        <v>3191</v>
      </c>
      <c r="F14077">
        <v>41.83</v>
      </c>
      <c r="G14077">
        <v>230101</v>
      </c>
      <c r="H14077">
        <v>4840</v>
      </c>
      <c r="I14077" t="s">
        <v>19</v>
      </c>
      <c r="J14077">
        <v>51.87</v>
      </c>
      <c r="K14077">
        <v>10.039999999999999</v>
      </c>
      <c r="L14077">
        <v>59702</v>
      </c>
      <c r="M14077" t="s">
        <v>328</v>
      </c>
      <c r="N14077" t="str">
        <f t="shared" si="189"/>
        <v>9163418-9/19</v>
      </c>
      <c r="O14077">
        <v>221227</v>
      </c>
    </row>
    <row r="14078" spans="1:15" x14ac:dyDescent="0.25">
      <c r="A14078" t="s">
        <v>16</v>
      </c>
      <c r="B14078" t="s">
        <v>3221</v>
      </c>
      <c r="C14078">
        <v>12</v>
      </c>
      <c r="D14078" t="s">
        <v>3190</v>
      </c>
      <c r="E14078" t="s">
        <v>3191</v>
      </c>
      <c r="F14078">
        <v>57.06</v>
      </c>
      <c r="G14078">
        <v>230101</v>
      </c>
      <c r="H14078">
        <v>4840</v>
      </c>
      <c r="I14078" t="s">
        <v>19</v>
      </c>
      <c r="J14078">
        <v>70.75</v>
      </c>
      <c r="K14078">
        <v>13.69</v>
      </c>
      <c r="L14078">
        <v>59702</v>
      </c>
      <c r="M14078" t="s">
        <v>328</v>
      </c>
      <c r="N14078" t="str">
        <f t="shared" si="189"/>
        <v>9163418-9/19</v>
      </c>
      <c r="O14078">
        <v>221227</v>
      </c>
    </row>
    <row r="14079" spans="1:15" x14ac:dyDescent="0.25">
      <c r="A14079" t="s">
        <v>16</v>
      </c>
      <c r="B14079" t="s">
        <v>3221</v>
      </c>
      <c r="C14079">
        <v>12</v>
      </c>
      <c r="D14079" t="s">
        <v>3190</v>
      </c>
      <c r="E14079" t="s">
        <v>3191</v>
      </c>
      <c r="F14079">
        <v>117.29</v>
      </c>
      <c r="G14079">
        <v>230101</v>
      </c>
      <c r="H14079">
        <v>4840</v>
      </c>
      <c r="I14079" t="s">
        <v>19</v>
      </c>
      <c r="J14079">
        <v>145.44</v>
      </c>
      <c r="K14079">
        <v>28.15</v>
      </c>
      <c r="L14079">
        <v>59704</v>
      </c>
      <c r="M14079" t="s">
        <v>1103</v>
      </c>
      <c r="N14079" t="str">
        <f t="shared" si="189"/>
        <v>9163418-9/19</v>
      </c>
      <c r="O14079">
        <v>221227</v>
      </c>
    </row>
    <row r="14080" spans="1:15" x14ac:dyDescent="0.25">
      <c r="A14080" t="s">
        <v>16</v>
      </c>
      <c r="B14080" t="s">
        <v>3221</v>
      </c>
      <c r="C14080">
        <v>13</v>
      </c>
      <c r="D14080" t="s">
        <v>3190</v>
      </c>
      <c r="E14080" t="s">
        <v>3191</v>
      </c>
      <c r="F14080">
        <v>1408.17</v>
      </c>
      <c r="G14080">
        <v>230101</v>
      </c>
      <c r="H14080">
        <v>4840</v>
      </c>
      <c r="I14080" t="s">
        <v>19</v>
      </c>
      <c r="J14080">
        <v>1746.13</v>
      </c>
      <c r="K14080">
        <v>337.96</v>
      </c>
      <c r="L14080">
        <v>13801</v>
      </c>
      <c r="M14080" t="s">
        <v>162</v>
      </c>
      <c r="N14080" t="str">
        <f>"163418-14/19"</f>
        <v>163418-14/19</v>
      </c>
      <c r="O14080">
        <v>221227</v>
      </c>
    </row>
    <row r="14081" spans="1:15" x14ac:dyDescent="0.25">
      <c r="A14081" t="s">
        <v>16</v>
      </c>
      <c r="B14081" t="s">
        <v>3221</v>
      </c>
      <c r="C14081">
        <v>13</v>
      </c>
      <c r="D14081" t="s">
        <v>3190</v>
      </c>
      <c r="E14081" t="s">
        <v>3191</v>
      </c>
      <c r="F14081">
        <v>72.84</v>
      </c>
      <c r="G14081">
        <v>230101</v>
      </c>
      <c r="H14081">
        <v>4840</v>
      </c>
      <c r="I14081" t="s">
        <v>19</v>
      </c>
      <c r="J14081">
        <v>90.32</v>
      </c>
      <c r="K14081">
        <v>17.48</v>
      </c>
      <c r="L14081">
        <v>13801</v>
      </c>
      <c r="M14081" t="s">
        <v>162</v>
      </c>
      <c r="N14081" t="str">
        <f>"163418-14/19"</f>
        <v>163418-14/19</v>
      </c>
      <c r="O14081">
        <v>221227</v>
      </c>
    </row>
    <row r="14082" spans="1:15" x14ac:dyDescent="0.25">
      <c r="A14082" t="s">
        <v>16</v>
      </c>
      <c r="B14082" t="s">
        <v>3221</v>
      </c>
      <c r="C14082">
        <v>13</v>
      </c>
      <c r="D14082" t="s">
        <v>3190</v>
      </c>
      <c r="E14082" t="s">
        <v>3191</v>
      </c>
      <c r="F14082">
        <v>25.41</v>
      </c>
      <c r="G14082">
        <v>230101</v>
      </c>
      <c r="H14082">
        <v>4840</v>
      </c>
      <c r="I14082" t="s">
        <v>19</v>
      </c>
      <c r="J14082">
        <v>31.51</v>
      </c>
      <c r="K14082">
        <v>6.1</v>
      </c>
      <c r="L14082">
        <v>13802</v>
      </c>
      <c r="M14082" t="s">
        <v>200</v>
      </c>
      <c r="N14082" t="str">
        <f>"163418-14/19"</f>
        <v>163418-14/19</v>
      </c>
      <c r="O14082">
        <v>221227</v>
      </c>
    </row>
    <row r="14083" spans="1:15" x14ac:dyDescent="0.25">
      <c r="A14083" t="s">
        <v>16</v>
      </c>
      <c r="B14083" t="s">
        <v>3221</v>
      </c>
      <c r="C14083">
        <v>13</v>
      </c>
      <c r="D14083" t="s">
        <v>3190</v>
      </c>
      <c r="E14083" t="s">
        <v>3191</v>
      </c>
      <c r="F14083">
        <v>132.09</v>
      </c>
      <c r="G14083">
        <v>230101</v>
      </c>
      <c r="H14083">
        <v>4840</v>
      </c>
      <c r="I14083" t="s">
        <v>19</v>
      </c>
      <c r="J14083">
        <v>163.79</v>
      </c>
      <c r="K14083">
        <v>31.7</v>
      </c>
      <c r="L14083">
        <v>13802</v>
      </c>
      <c r="M14083" t="s">
        <v>200</v>
      </c>
      <c r="N14083" t="str">
        <f>"163418-14/19"</f>
        <v>163418-14/19</v>
      </c>
      <c r="O14083">
        <v>221227</v>
      </c>
    </row>
    <row r="14084" spans="1:15" x14ac:dyDescent="0.25">
      <c r="A14084" t="s">
        <v>16</v>
      </c>
      <c r="B14084" t="s">
        <v>3221</v>
      </c>
      <c r="C14084">
        <v>14</v>
      </c>
      <c r="D14084" t="s">
        <v>3190</v>
      </c>
      <c r="E14084" t="s">
        <v>3191</v>
      </c>
      <c r="F14084">
        <v>19.95</v>
      </c>
      <c r="G14084">
        <v>230101</v>
      </c>
      <c r="H14084">
        <v>4840</v>
      </c>
      <c r="I14084" t="s">
        <v>19</v>
      </c>
      <c r="J14084">
        <v>24.74</v>
      </c>
      <c r="K14084">
        <v>4.79</v>
      </c>
      <c r="L14084">
        <v>11301</v>
      </c>
      <c r="M14084" t="s">
        <v>29</v>
      </c>
      <c r="N14084" t="str">
        <f t="shared" ref="N14084:N14107" si="190">"9163418-3/19"</f>
        <v>9163418-3/19</v>
      </c>
      <c r="O14084">
        <v>221228</v>
      </c>
    </row>
    <row r="14085" spans="1:15" x14ac:dyDescent="0.25">
      <c r="A14085" t="s">
        <v>16</v>
      </c>
      <c r="B14085" t="s">
        <v>3221</v>
      </c>
      <c r="C14085">
        <v>14</v>
      </c>
      <c r="D14085" t="s">
        <v>3190</v>
      </c>
      <c r="E14085" t="s">
        <v>3191</v>
      </c>
      <c r="F14085">
        <v>65.099999999999994</v>
      </c>
      <c r="G14085">
        <v>230101</v>
      </c>
      <c r="H14085">
        <v>4840</v>
      </c>
      <c r="I14085" t="s">
        <v>19</v>
      </c>
      <c r="J14085">
        <v>80.72</v>
      </c>
      <c r="K14085">
        <v>15.62</v>
      </c>
      <c r="L14085">
        <v>11751</v>
      </c>
      <c r="M14085" t="s">
        <v>1339</v>
      </c>
      <c r="N14085" t="str">
        <f t="shared" si="190"/>
        <v>9163418-3/19</v>
      </c>
      <c r="O14085">
        <v>221228</v>
      </c>
    </row>
    <row r="14086" spans="1:15" x14ac:dyDescent="0.25">
      <c r="A14086" t="s">
        <v>16</v>
      </c>
      <c r="B14086" t="s">
        <v>3221</v>
      </c>
      <c r="C14086">
        <v>14</v>
      </c>
      <c r="D14086" t="s">
        <v>3190</v>
      </c>
      <c r="E14086" t="s">
        <v>3191</v>
      </c>
      <c r="F14086">
        <v>2499.5300000000002</v>
      </c>
      <c r="G14086">
        <v>230101</v>
      </c>
      <c r="H14086">
        <v>4840</v>
      </c>
      <c r="I14086" t="s">
        <v>19</v>
      </c>
      <c r="J14086">
        <v>3099.42</v>
      </c>
      <c r="K14086">
        <v>599.89</v>
      </c>
      <c r="L14086">
        <v>61122</v>
      </c>
      <c r="M14086" t="s">
        <v>402</v>
      </c>
      <c r="N14086" t="str">
        <f t="shared" si="190"/>
        <v>9163418-3/19</v>
      </c>
      <c r="O14086">
        <v>221228</v>
      </c>
    </row>
    <row r="14087" spans="1:15" x14ac:dyDescent="0.25">
      <c r="A14087" t="s">
        <v>16</v>
      </c>
      <c r="B14087" t="s">
        <v>3221</v>
      </c>
      <c r="C14087">
        <v>14</v>
      </c>
      <c r="D14087" t="s">
        <v>3190</v>
      </c>
      <c r="E14087" t="s">
        <v>3191</v>
      </c>
      <c r="F14087">
        <v>47.32</v>
      </c>
      <c r="G14087">
        <v>230101</v>
      </c>
      <c r="H14087">
        <v>4840</v>
      </c>
      <c r="I14087" t="s">
        <v>19</v>
      </c>
      <c r="J14087">
        <v>58.68</v>
      </c>
      <c r="K14087">
        <v>11.36</v>
      </c>
      <c r="L14087">
        <v>61122</v>
      </c>
      <c r="M14087" t="s">
        <v>402</v>
      </c>
      <c r="N14087" t="str">
        <f t="shared" si="190"/>
        <v>9163418-3/19</v>
      </c>
      <c r="O14087">
        <v>221228</v>
      </c>
    </row>
    <row r="14088" spans="1:15" x14ac:dyDescent="0.25">
      <c r="A14088" t="s">
        <v>16</v>
      </c>
      <c r="B14088" t="s">
        <v>3221</v>
      </c>
      <c r="C14088">
        <v>14</v>
      </c>
      <c r="D14088" t="s">
        <v>3190</v>
      </c>
      <c r="E14088" t="s">
        <v>3191</v>
      </c>
      <c r="F14088">
        <v>3753.18</v>
      </c>
      <c r="G14088">
        <v>230101</v>
      </c>
      <c r="H14088">
        <v>4840</v>
      </c>
      <c r="I14088" t="s">
        <v>19</v>
      </c>
      <c r="J14088">
        <v>4653.9399999999996</v>
      </c>
      <c r="K14088">
        <v>900.76</v>
      </c>
      <c r="L14088">
        <v>65222</v>
      </c>
      <c r="M14088" t="s">
        <v>487</v>
      </c>
      <c r="N14088" t="str">
        <f t="shared" si="190"/>
        <v>9163418-3/19</v>
      </c>
      <c r="O14088">
        <v>221228</v>
      </c>
    </row>
    <row r="14089" spans="1:15" x14ac:dyDescent="0.25">
      <c r="A14089" t="s">
        <v>16</v>
      </c>
      <c r="B14089" t="s">
        <v>3221</v>
      </c>
      <c r="C14089">
        <v>14</v>
      </c>
      <c r="D14089" t="s">
        <v>3190</v>
      </c>
      <c r="E14089" t="s">
        <v>3191</v>
      </c>
      <c r="F14089">
        <v>39.549999999999997</v>
      </c>
      <c r="G14089">
        <v>230101</v>
      </c>
      <c r="H14089">
        <v>4840</v>
      </c>
      <c r="I14089" t="s">
        <v>19</v>
      </c>
      <c r="J14089">
        <v>49.04</v>
      </c>
      <c r="K14089">
        <v>9.49</v>
      </c>
      <c r="L14089">
        <v>65422</v>
      </c>
      <c r="M14089" t="s">
        <v>602</v>
      </c>
      <c r="N14089" t="str">
        <f t="shared" si="190"/>
        <v>9163418-3/19</v>
      </c>
      <c r="O14089">
        <v>221228</v>
      </c>
    </row>
    <row r="14090" spans="1:15" x14ac:dyDescent="0.25">
      <c r="A14090" t="s">
        <v>16</v>
      </c>
      <c r="B14090" t="s">
        <v>3221</v>
      </c>
      <c r="C14090">
        <v>14</v>
      </c>
      <c r="D14090" t="s">
        <v>3190</v>
      </c>
      <c r="E14090" t="s">
        <v>3191</v>
      </c>
      <c r="F14090">
        <v>139.87</v>
      </c>
      <c r="G14090">
        <v>230101</v>
      </c>
      <c r="H14090">
        <v>4840</v>
      </c>
      <c r="I14090" t="s">
        <v>19</v>
      </c>
      <c r="J14090">
        <v>173.44</v>
      </c>
      <c r="K14090">
        <v>33.57</v>
      </c>
      <c r="L14090">
        <v>66722</v>
      </c>
      <c r="M14090" t="s">
        <v>518</v>
      </c>
      <c r="N14090" t="str">
        <f t="shared" si="190"/>
        <v>9163418-3/19</v>
      </c>
      <c r="O14090">
        <v>221228</v>
      </c>
    </row>
    <row r="14091" spans="1:15" x14ac:dyDescent="0.25">
      <c r="A14091" t="s">
        <v>16</v>
      </c>
      <c r="B14091" t="s">
        <v>3221</v>
      </c>
      <c r="C14091">
        <v>14</v>
      </c>
      <c r="D14091" t="s">
        <v>3190</v>
      </c>
      <c r="E14091" t="s">
        <v>3191</v>
      </c>
      <c r="F14091">
        <v>45.2</v>
      </c>
      <c r="G14091">
        <v>230101</v>
      </c>
      <c r="H14091">
        <v>4840</v>
      </c>
      <c r="I14091" t="s">
        <v>19</v>
      </c>
      <c r="J14091">
        <v>56.05</v>
      </c>
      <c r="K14091">
        <v>10.85</v>
      </c>
      <c r="L14091">
        <v>66754</v>
      </c>
      <c r="M14091" t="s">
        <v>239</v>
      </c>
      <c r="N14091" t="str">
        <f t="shared" si="190"/>
        <v>9163418-3/19</v>
      </c>
      <c r="O14091">
        <v>221228</v>
      </c>
    </row>
    <row r="14092" spans="1:15" x14ac:dyDescent="0.25">
      <c r="A14092" t="s">
        <v>16</v>
      </c>
      <c r="B14092" t="s">
        <v>3221</v>
      </c>
      <c r="C14092">
        <v>14</v>
      </c>
      <c r="D14092" t="s">
        <v>3190</v>
      </c>
      <c r="E14092" t="s">
        <v>3191</v>
      </c>
      <c r="F14092">
        <v>613.94000000000005</v>
      </c>
      <c r="G14092">
        <v>230101</v>
      </c>
      <c r="H14092">
        <v>4840</v>
      </c>
      <c r="I14092" t="s">
        <v>19</v>
      </c>
      <c r="J14092">
        <v>761.29</v>
      </c>
      <c r="K14092">
        <v>147.35</v>
      </c>
      <c r="L14092">
        <v>66756</v>
      </c>
      <c r="M14092" t="s">
        <v>209</v>
      </c>
      <c r="N14092" t="str">
        <f t="shared" si="190"/>
        <v>9163418-3/19</v>
      </c>
      <c r="O14092">
        <v>221228</v>
      </c>
    </row>
    <row r="14093" spans="1:15" x14ac:dyDescent="0.25">
      <c r="A14093" t="s">
        <v>16</v>
      </c>
      <c r="B14093" t="s">
        <v>3221</v>
      </c>
      <c r="C14093">
        <v>14</v>
      </c>
      <c r="D14093" t="s">
        <v>3190</v>
      </c>
      <c r="E14093" t="s">
        <v>3191</v>
      </c>
      <c r="F14093">
        <v>164.04</v>
      </c>
      <c r="G14093">
        <v>230101</v>
      </c>
      <c r="H14093">
        <v>4840</v>
      </c>
      <c r="I14093" t="s">
        <v>19</v>
      </c>
      <c r="J14093">
        <v>203.41</v>
      </c>
      <c r="K14093">
        <v>39.369999999999997</v>
      </c>
      <c r="L14093">
        <v>67522</v>
      </c>
      <c r="M14093" t="s">
        <v>397</v>
      </c>
      <c r="N14093" t="str">
        <f t="shared" si="190"/>
        <v>9163418-3/19</v>
      </c>
      <c r="O14093">
        <v>221228</v>
      </c>
    </row>
    <row r="14094" spans="1:15" x14ac:dyDescent="0.25">
      <c r="A14094" t="s">
        <v>16</v>
      </c>
      <c r="B14094" t="s">
        <v>3221</v>
      </c>
      <c r="C14094">
        <v>14</v>
      </c>
      <c r="D14094" t="s">
        <v>3190</v>
      </c>
      <c r="E14094" t="s">
        <v>3191</v>
      </c>
      <c r="F14094">
        <v>81.66</v>
      </c>
      <c r="G14094">
        <v>230101</v>
      </c>
      <c r="H14094">
        <v>4840</v>
      </c>
      <c r="I14094" t="s">
        <v>19</v>
      </c>
      <c r="J14094">
        <v>101.26</v>
      </c>
      <c r="K14094">
        <v>19.600000000000001</v>
      </c>
      <c r="L14094">
        <v>67522</v>
      </c>
      <c r="M14094" t="s">
        <v>397</v>
      </c>
      <c r="N14094" t="str">
        <f t="shared" si="190"/>
        <v>9163418-3/19</v>
      </c>
      <c r="O14094">
        <v>221228</v>
      </c>
    </row>
    <row r="14095" spans="1:15" x14ac:dyDescent="0.25">
      <c r="A14095" t="s">
        <v>16</v>
      </c>
      <c r="B14095" t="s">
        <v>3221</v>
      </c>
      <c r="C14095">
        <v>14</v>
      </c>
      <c r="D14095" t="s">
        <v>3190</v>
      </c>
      <c r="E14095" t="s">
        <v>3191</v>
      </c>
      <c r="F14095">
        <v>41.61</v>
      </c>
      <c r="G14095">
        <v>230101</v>
      </c>
      <c r="H14095">
        <v>4840</v>
      </c>
      <c r="I14095" t="s">
        <v>19</v>
      </c>
      <c r="J14095">
        <v>51.6</v>
      </c>
      <c r="K14095">
        <v>9.99</v>
      </c>
      <c r="L14095">
        <v>67554</v>
      </c>
      <c r="M14095" t="s">
        <v>60</v>
      </c>
      <c r="N14095" t="str">
        <f t="shared" si="190"/>
        <v>9163418-3/19</v>
      </c>
      <c r="O14095">
        <v>221228</v>
      </c>
    </row>
    <row r="14096" spans="1:15" x14ac:dyDescent="0.25">
      <c r="A14096" t="s">
        <v>16</v>
      </c>
      <c r="B14096" t="s">
        <v>3221</v>
      </c>
      <c r="C14096">
        <v>14</v>
      </c>
      <c r="D14096" t="s">
        <v>3190</v>
      </c>
      <c r="E14096" t="s">
        <v>3191</v>
      </c>
      <c r="F14096">
        <v>25.86</v>
      </c>
      <c r="G14096">
        <v>230101</v>
      </c>
      <c r="H14096">
        <v>4840</v>
      </c>
      <c r="I14096" t="s">
        <v>19</v>
      </c>
      <c r="J14096">
        <v>32.07</v>
      </c>
      <c r="K14096">
        <v>6.21</v>
      </c>
      <c r="L14096">
        <v>67554</v>
      </c>
      <c r="M14096" t="s">
        <v>60</v>
      </c>
      <c r="N14096" t="str">
        <f t="shared" si="190"/>
        <v>9163418-3/19</v>
      </c>
      <c r="O14096">
        <v>221228</v>
      </c>
    </row>
    <row r="14097" spans="1:15" x14ac:dyDescent="0.25">
      <c r="A14097" t="s">
        <v>16</v>
      </c>
      <c r="B14097" t="s">
        <v>3221</v>
      </c>
      <c r="C14097">
        <v>14</v>
      </c>
      <c r="D14097" t="s">
        <v>3190</v>
      </c>
      <c r="E14097" t="s">
        <v>3191</v>
      </c>
      <c r="F14097">
        <v>25.86</v>
      </c>
      <c r="G14097">
        <v>230101</v>
      </c>
      <c r="H14097">
        <v>4840</v>
      </c>
      <c r="I14097" t="s">
        <v>19</v>
      </c>
      <c r="J14097">
        <v>32.07</v>
      </c>
      <c r="K14097">
        <v>6.21</v>
      </c>
      <c r="L14097">
        <v>67554</v>
      </c>
      <c r="M14097" t="s">
        <v>60</v>
      </c>
      <c r="N14097" t="str">
        <f t="shared" si="190"/>
        <v>9163418-3/19</v>
      </c>
      <c r="O14097">
        <v>221228</v>
      </c>
    </row>
    <row r="14098" spans="1:15" x14ac:dyDescent="0.25">
      <c r="A14098" t="s">
        <v>16</v>
      </c>
      <c r="B14098" t="s">
        <v>3221</v>
      </c>
      <c r="C14098">
        <v>14</v>
      </c>
      <c r="D14098" t="s">
        <v>3190</v>
      </c>
      <c r="E14098" t="s">
        <v>3191</v>
      </c>
      <c r="F14098">
        <v>47.32</v>
      </c>
      <c r="G14098">
        <v>230101</v>
      </c>
      <c r="H14098">
        <v>4840</v>
      </c>
      <c r="I14098" t="s">
        <v>19</v>
      </c>
      <c r="J14098">
        <v>58.68</v>
      </c>
      <c r="K14098">
        <v>11.36</v>
      </c>
      <c r="L14098">
        <v>69111</v>
      </c>
      <c r="M14098" t="s">
        <v>471</v>
      </c>
      <c r="N14098" t="str">
        <f t="shared" si="190"/>
        <v>9163418-3/19</v>
      </c>
      <c r="O14098">
        <v>221228</v>
      </c>
    </row>
    <row r="14099" spans="1:15" x14ac:dyDescent="0.25">
      <c r="A14099" t="s">
        <v>16</v>
      </c>
      <c r="B14099" t="s">
        <v>3221</v>
      </c>
      <c r="C14099">
        <v>14</v>
      </c>
      <c r="D14099" t="s">
        <v>3190</v>
      </c>
      <c r="E14099" t="s">
        <v>3191</v>
      </c>
      <c r="F14099">
        <v>114.16</v>
      </c>
      <c r="G14099">
        <v>230101</v>
      </c>
      <c r="H14099">
        <v>4840</v>
      </c>
      <c r="I14099" t="s">
        <v>19</v>
      </c>
      <c r="J14099">
        <v>141.56</v>
      </c>
      <c r="K14099">
        <v>27.4</v>
      </c>
      <c r="L14099">
        <v>69501</v>
      </c>
      <c r="M14099" t="s">
        <v>185</v>
      </c>
      <c r="N14099" t="str">
        <f t="shared" si="190"/>
        <v>9163418-3/19</v>
      </c>
      <c r="O14099">
        <v>221228</v>
      </c>
    </row>
    <row r="14100" spans="1:15" x14ac:dyDescent="0.25">
      <c r="A14100" t="s">
        <v>16</v>
      </c>
      <c r="B14100" t="s">
        <v>3221</v>
      </c>
      <c r="C14100">
        <v>14</v>
      </c>
      <c r="D14100" t="s">
        <v>3190</v>
      </c>
      <c r="E14100" t="s">
        <v>3191</v>
      </c>
      <c r="F14100">
        <v>32.67</v>
      </c>
      <c r="G14100">
        <v>230101</v>
      </c>
      <c r="H14100">
        <v>4840</v>
      </c>
      <c r="I14100" t="s">
        <v>19</v>
      </c>
      <c r="J14100">
        <v>40.51</v>
      </c>
      <c r="K14100">
        <v>7.84</v>
      </c>
      <c r="L14100">
        <v>69701</v>
      </c>
      <c r="M14100" t="s">
        <v>488</v>
      </c>
      <c r="N14100" t="str">
        <f t="shared" si="190"/>
        <v>9163418-3/19</v>
      </c>
      <c r="O14100">
        <v>221228</v>
      </c>
    </row>
    <row r="14101" spans="1:15" x14ac:dyDescent="0.25">
      <c r="A14101" t="s">
        <v>16</v>
      </c>
      <c r="B14101" t="s">
        <v>3221</v>
      </c>
      <c r="C14101">
        <v>14</v>
      </c>
      <c r="D14101" t="s">
        <v>3190</v>
      </c>
      <c r="E14101" t="s">
        <v>3191</v>
      </c>
      <c r="F14101">
        <v>59.62</v>
      </c>
      <c r="G14101">
        <v>230101</v>
      </c>
      <c r="H14101">
        <v>4840</v>
      </c>
      <c r="I14101" t="s">
        <v>19</v>
      </c>
      <c r="J14101">
        <v>73.930000000000007</v>
      </c>
      <c r="K14101">
        <v>14.31</v>
      </c>
      <c r="L14101">
        <v>69702</v>
      </c>
      <c r="M14101" t="s">
        <v>489</v>
      </c>
      <c r="N14101" t="str">
        <f t="shared" si="190"/>
        <v>9163418-3/19</v>
      </c>
      <c r="O14101">
        <v>221228</v>
      </c>
    </row>
    <row r="14102" spans="1:15" x14ac:dyDescent="0.25">
      <c r="A14102" t="s">
        <v>16</v>
      </c>
      <c r="B14102" t="s">
        <v>3221</v>
      </c>
      <c r="C14102">
        <v>14</v>
      </c>
      <c r="D14102" t="s">
        <v>3190</v>
      </c>
      <c r="E14102" t="s">
        <v>3191</v>
      </c>
      <c r="F14102">
        <v>2308.6999999999998</v>
      </c>
      <c r="G14102">
        <v>230101</v>
      </c>
      <c r="H14102">
        <v>4840</v>
      </c>
      <c r="I14102" t="s">
        <v>19</v>
      </c>
      <c r="J14102">
        <v>2862.79</v>
      </c>
      <c r="K14102">
        <v>554.09</v>
      </c>
      <c r="L14102">
        <v>69702</v>
      </c>
      <c r="M14102" t="s">
        <v>489</v>
      </c>
      <c r="N14102" t="str">
        <f t="shared" si="190"/>
        <v>9163418-3/19</v>
      </c>
      <c r="O14102">
        <v>221228</v>
      </c>
    </row>
    <row r="14103" spans="1:15" x14ac:dyDescent="0.25">
      <c r="A14103" t="s">
        <v>16</v>
      </c>
      <c r="B14103" t="s">
        <v>3221</v>
      </c>
      <c r="C14103">
        <v>14</v>
      </c>
      <c r="D14103" t="s">
        <v>3190</v>
      </c>
      <c r="E14103" t="s">
        <v>3191</v>
      </c>
      <c r="F14103">
        <v>26.6</v>
      </c>
      <c r="G14103">
        <v>230101</v>
      </c>
      <c r="H14103">
        <v>4840</v>
      </c>
      <c r="I14103" t="s">
        <v>19</v>
      </c>
      <c r="J14103">
        <v>32.979999999999997</v>
      </c>
      <c r="K14103">
        <v>6.38</v>
      </c>
      <c r="L14103">
        <v>69703</v>
      </c>
      <c r="M14103" t="s">
        <v>1036</v>
      </c>
      <c r="N14103" t="str">
        <f t="shared" si="190"/>
        <v>9163418-3/19</v>
      </c>
      <c r="O14103">
        <v>221228</v>
      </c>
    </row>
    <row r="14104" spans="1:15" x14ac:dyDescent="0.25">
      <c r="A14104" t="s">
        <v>16</v>
      </c>
      <c r="B14104" t="s">
        <v>3221</v>
      </c>
      <c r="C14104">
        <v>14</v>
      </c>
      <c r="D14104" t="s">
        <v>3190</v>
      </c>
      <c r="E14104" t="s">
        <v>3191</v>
      </c>
      <c r="F14104">
        <v>26.6</v>
      </c>
      <c r="G14104">
        <v>230101</v>
      </c>
      <c r="H14104">
        <v>4840</v>
      </c>
      <c r="I14104" t="s">
        <v>19</v>
      </c>
      <c r="J14104">
        <v>32.979999999999997</v>
      </c>
      <c r="K14104">
        <v>6.38</v>
      </c>
      <c r="L14104">
        <v>69704</v>
      </c>
      <c r="M14104" t="s">
        <v>325</v>
      </c>
      <c r="N14104" t="str">
        <f t="shared" si="190"/>
        <v>9163418-3/19</v>
      </c>
      <c r="O14104">
        <v>221228</v>
      </c>
    </row>
    <row r="14105" spans="1:15" x14ac:dyDescent="0.25">
      <c r="A14105" t="s">
        <v>16</v>
      </c>
      <c r="B14105" t="s">
        <v>3221</v>
      </c>
      <c r="C14105">
        <v>14</v>
      </c>
      <c r="D14105" t="s">
        <v>3190</v>
      </c>
      <c r="E14105" t="s">
        <v>3191</v>
      </c>
      <c r="F14105">
        <v>515.6</v>
      </c>
      <c r="G14105">
        <v>230101</v>
      </c>
      <c r="H14105">
        <v>4840</v>
      </c>
      <c r="I14105" t="s">
        <v>19</v>
      </c>
      <c r="J14105">
        <v>639.34</v>
      </c>
      <c r="K14105">
        <v>123.74</v>
      </c>
      <c r="L14105">
        <v>69704</v>
      </c>
      <c r="M14105" t="s">
        <v>325</v>
      </c>
      <c r="N14105" t="str">
        <f t="shared" si="190"/>
        <v>9163418-3/19</v>
      </c>
      <c r="O14105">
        <v>221228</v>
      </c>
    </row>
    <row r="14106" spans="1:15" x14ac:dyDescent="0.25">
      <c r="A14106" t="s">
        <v>16</v>
      </c>
      <c r="B14106" t="s">
        <v>3221</v>
      </c>
      <c r="C14106">
        <v>14</v>
      </c>
      <c r="D14106" t="s">
        <v>3190</v>
      </c>
      <c r="E14106" t="s">
        <v>3191</v>
      </c>
      <c r="F14106">
        <v>73.11</v>
      </c>
      <c r="G14106">
        <v>230101</v>
      </c>
      <c r="H14106">
        <v>4840</v>
      </c>
      <c r="I14106" t="s">
        <v>19</v>
      </c>
      <c r="J14106">
        <v>90.66</v>
      </c>
      <c r="K14106">
        <v>17.55</v>
      </c>
      <c r="L14106">
        <v>69707</v>
      </c>
      <c r="M14106" t="s">
        <v>490</v>
      </c>
      <c r="N14106" t="str">
        <f t="shared" si="190"/>
        <v>9163418-3/19</v>
      </c>
      <c r="O14106">
        <v>221228</v>
      </c>
    </row>
    <row r="14107" spans="1:15" x14ac:dyDescent="0.25">
      <c r="A14107" t="s">
        <v>16</v>
      </c>
      <c r="B14107" t="s">
        <v>3221</v>
      </c>
      <c r="C14107">
        <v>14</v>
      </c>
      <c r="D14107" t="s">
        <v>3190</v>
      </c>
      <c r="E14107" t="s">
        <v>3191</v>
      </c>
      <c r="F14107">
        <v>40.83</v>
      </c>
      <c r="G14107">
        <v>230101</v>
      </c>
      <c r="H14107">
        <v>4840</v>
      </c>
      <c r="I14107" t="s">
        <v>19</v>
      </c>
      <c r="J14107">
        <v>50.63</v>
      </c>
      <c r="K14107">
        <v>9.8000000000000007</v>
      </c>
      <c r="L14107">
        <v>69708</v>
      </c>
      <c r="M14107" t="s">
        <v>491</v>
      </c>
      <c r="N14107" t="str">
        <f t="shared" si="190"/>
        <v>9163418-3/19</v>
      </c>
      <c r="O14107">
        <v>221228</v>
      </c>
    </row>
    <row r="14108" spans="1:15" x14ac:dyDescent="0.25">
      <c r="A14108" t="s">
        <v>16</v>
      </c>
      <c r="B14108" t="s">
        <v>3221</v>
      </c>
      <c r="C14108">
        <v>19</v>
      </c>
      <c r="D14108" t="s">
        <v>3190</v>
      </c>
      <c r="E14108" t="s">
        <v>3191</v>
      </c>
      <c r="F14108">
        <v>106.11</v>
      </c>
      <c r="G14108">
        <v>230101</v>
      </c>
      <c r="H14108">
        <v>4840</v>
      </c>
      <c r="I14108" t="s">
        <v>19</v>
      </c>
      <c r="J14108">
        <v>131.58000000000001</v>
      </c>
      <c r="K14108">
        <v>25.47</v>
      </c>
      <c r="L14108">
        <v>11301</v>
      </c>
      <c r="M14108" t="s">
        <v>29</v>
      </c>
      <c r="N14108" t="str">
        <f t="shared" ref="N14108:N14133" si="191">"9163418-4/19"</f>
        <v>9163418-4/19</v>
      </c>
      <c r="O14108">
        <v>221229</v>
      </c>
    </row>
    <row r="14109" spans="1:15" x14ac:dyDescent="0.25">
      <c r="A14109" t="s">
        <v>16</v>
      </c>
      <c r="B14109" t="s">
        <v>3221</v>
      </c>
      <c r="C14109">
        <v>19</v>
      </c>
      <c r="D14109" t="s">
        <v>3190</v>
      </c>
      <c r="E14109" t="s">
        <v>3191</v>
      </c>
      <c r="F14109">
        <v>25.3</v>
      </c>
      <c r="G14109">
        <v>230101</v>
      </c>
      <c r="H14109">
        <v>4840</v>
      </c>
      <c r="I14109" t="s">
        <v>19</v>
      </c>
      <c r="J14109">
        <v>31.37</v>
      </c>
      <c r="K14109">
        <v>6.07</v>
      </c>
      <c r="L14109">
        <v>11751</v>
      </c>
      <c r="M14109" t="s">
        <v>1339</v>
      </c>
      <c r="N14109" t="str">
        <f t="shared" si="191"/>
        <v>9163418-4/19</v>
      </c>
      <c r="O14109">
        <v>221229</v>
      </c>
    </row>
    <row r="14110" spans="1:15" x14ac:dyDescent="0.25">
      <c r="A14110" t="s">
        <v>16</v>
      </c>
      <c r="B14110" t="s">
        <v>3221</v>
      </c>
      <c r="C14110">
        <v>19</v>
      </c>
      <c r="D14110" t="s">
        <v>3190</v>
      </c>
      <c r="E14110" t="s">
        <v>3191</v>
      </c>
      <c r="F14110">
        <v>40.83</v>
      </c>
      <c r="G14110">
        <v>230101</v>
      </c>
      <c r="H14110">
        <v>4840</v>
      </c>
      <c r="I14110" t="s">
        <v>19</v>
      </c>
      <c r="J14110">
        <v>50.63</v>
      </c>
      <c r="K14110">
        <v>9.8000000000000007</v>
      </c>
      <c r="L14110">
        <v>11900</v>
      </c>
      <c r="M14110" t="s">
        <v>1105</v>
      </c>
      <c r="N14110" t="str">
        <f t="shared" si="191"/>
        <v>9163418-4/19</v>
      </c>
      <c r="O14110">
        <v>221229</v>
      </c>
    </row>
    <row r="14111" spans="1:15" x14ac:dyDescent="0.25">
      <c r="A14111" t="s">
        <v>16</v>
      </c>
      <c r="B14111" t="s">
        <v>3221</v>
      </c>
      <c r="C14111">
        <v>19</v>
      </c>
      <c r="D14111" t="s">
        <v>3190</v>
      </c>
      <c r="E14111" t="s">
        <v>3191</v>
      </c>
      <c r="F14111">
        <v>6.49</v>
      </c>
      <c r="G14111">
        <v>230101</v>
      </c>
      <c r="H14111">
        <v>4840</v>
      </c>
      <c r="I14111" t="s">
        <v>19</v>
      </c>
      <c r="J14111">
        <v>8.0500000000000007</v>
      </c>
      <c r="K14111">
        <v>1.56</v>
      </c>
      <c r="L14111">
        <v>11905</v>
      </c>
      <c r="M14111" t="s">
        <v>39</v>
      </c>
      <c r="N14111" t="str">
        <f t="shared" si="191"/>
        <v>9163418-4/19</v>
      </c>
      <c r="O14111">
        <v>221229</v>
      </c>
    </row>
    <row r="14112" spans="1:15" x14ac:dyDescent="0.25">
      <c r="A14112" t="s">
        <v>16</v>
      </c>
      <c r="B14112" t="s">
        <v>3221</v>
      </c>
      <c r="C14112">
        <v>19</v>
      </c>
      <c r="D14112" t="s">
        <v>3190</v>
      </c>
      <c r="E14112" t="s">
        <v>3191</v>
      </c>
      <c r="F14112">
        <v>90.04</v>
      </c>
      <c r="G14112">
        <v>230101</v>
      </c>
      <c r="H14112">
        <v>4840</v>
      </c>
      <c r="I14112" t="s">
        <v>19</v>
      </c>
      <c r="J14112">
        <v>111.65</v>
      </c>
      <c r="K14112">
        <v>21.61</v>
      </c>
      <c r="L14112">
        <v>13601</v>
      </c>
      <c r="M14112" t="s">
        <v>147</v>
      </c>
      <c r="N14112" t="str">
        <f t="shared" si="191"/>
        <v>9163418-4/19</v>
      </c>
      <c r="O14112">
        <v>221229</v>
      </c>
    </row>
    <row r="14113" spans="1:15" x14ac:dyDescent="0.25">
      <c r="A14113" t="s">
        <v>16</v>
      </c>
      <c r="B14113" t="s">
        <v>3221</v>
      </c>
      <c r="C14113">
        <v>19</v>
      </c>
      <c r="D14113" t="s">
        <v>3190</v>
      </c>
      <c r="E14113" t="s">
        <v>3191</v>
      </c>
      <c r="F14113">
        <v>6.5</v>
      </c>
      <c r="G14113">
        <v>230101</v>
      </c>
      <c r="H14113">
        <v>4840</v>
      </c>
      <c r="I14113" t="s">
        <v>19</v>
      </c>
      <c r="J14113">
        <v>8.06</v>
      </c>
      <c r="K14113">
        <v>1.56</v>
      </c>
      <c r="L14113">
        <v>13661</v>
      </c>
      <c r="M14113" t="s">
        <v>247</v>
      </c>
      <c r="N14113" t="str">
        <f t="shared" si="191"/>
        <v>9163418-4/19</v>
      </c>
      <c r="O14113">
        <v>221229</v>
      </c>
    </row>
    <row r="14114" spans="1:15" x14ac:dyDescent="0.25">
      <c r="A14114" t="s">
        <v>16</v>
      </c>
      <c r="B14114" t="s">
        <v>3221</v>
      </c>
      <c r="C14114">
        <v>19</v>
      </c>
      <c r="D14114" t="s">
        <v>3190</v>
      </c>
      <c r="E14114" t="s">
        <v>3191</v>
      </c>
      <c r="F14114">
        <v>84.38</v>
      </c>
      <c r="G14114">
        <v>230101</v>
      </c>
      <c r="H14114">
        <v>4840</v>
      </c>
      <c r="I14114" t="s">
        <v>19</v>
      </c>
      <c r="J14114">
        <v>104.63</v>
      </c>
      <c r="K14114">
        <v>20.25</v>
      </c>
      <c r="L14114">
        <v>13801</v>
      </c>
      <c r="M14114" t="s">
        <v>162</v>
      </c>
      <c r="N14114" t="str">
        <f t="shared" si="191"/>
        <v>9163418-4/19</v>
      </c>
      <c r="O14114">
        <v>221229</v>
      </c>
    </row>
    <row r="14115" spans="1:15" x14ac:dyDescent="0.25">
      <c r="A14115" t="s">
        <v>16</v>
      </c>
      <c r="B14115" t="s">
        <v>3221</v>
      </c>
      <c r="C14115">
        <v>19</v>
      </c>
      <c r="D14115" t="s">
        <v>3190</v>
      </c>
      <c r="E14115" t="s">
        <v>3191</v>
      </c>
      <c r="F14115">
        <v>13.3</v>
      </c>
      <c r="G14115">
        <v>230101</v>
      </c>
      <c r="H14115">
        <v>4840</v>
      </c>
      <c r="I14115" t="s">
        <v>19</v>
      </c>
      <c r="J14115">
        <v>16.489999999999998</v>
      </c>
      <c r="K14115">
        <v>3.19</v>
      </c>
      <c r="L14115">
        <v>13801</v>
      </c>
      <c r="M14115" t="s">
        <v>162</v>
      </c>
      <c r="N14115" t="str">
        <f t="shared" si="191"/>
        <v>9163418-4/19</v>
      </c>
      <c r="O14115">
        <v>221229</v>
      </c>
    </row>
    <row r="14116" spans="1:15" x14ac:dyDescent="0.25">
      <c r="A14116" t="s">
        <v>16</v>
      </c>
      <c r="B14116" t="s">
        <v>3221</v>
      </c>
      <c r="C14116">
        <v>19</v>
      </c>
      <c r="D14116" t="s">
        <v>3190</v>
      </c>
      <c r="E14116" t="s">
        <v>3191</v>
      </c>
      <c r="F14116">
        <v>47.32</v>
      </c>
      <c r="G14116">
        <v>230101</v>
      </c>
      <c r="H14116">
        <v>4840</v>
      </c>
      <c r="I14116" t="s">
        <v>19</v>
      </c>
      <c r="J14116">
        <v>58.68</v>
      </c>
      <c r="K14116">
        <v>11.36</v>
      </c>
      <c r="L14116">
        <v>16121</v>
      </c>
      <c r="M14116" t="s">
        <v>21</v>
      </c>
      <c r="N14116" t="str">
        <f t="shared" si="191"/>
        <v>9163418-4/19</v>
      </c>
      <c r="O14116">
        <v>221229</v>
      </c>
    </row>
    <row r="14117" spans="1:15" x14ac:dyDescent="0.25">
      <c r="A14117" t="s">
        <v>16</v>
      </c>
      <c r="B14117" t="s">
        <v>3221</v>
      </c>
      <c r="C14117">
        <v>19</v>
      </c>
      <c r="D14117" t="s">
        <v>3190</v>
      </c>
      <c r="E14117" t="s">
        <v>3191</v>
      </c>
      <c r="F14117">
        <v>114.57</v>
      </c>
      <c r="G14117">
        <v>230101</v>
      </c>
      <c r="H14117">
        <v>4840</v>
      </c>
      <c r="I14117" t="s">
        <v>19</v>
      </c>
      <c r="J14117">
        <v>142.07</v>
      </c>
      <c r="K14117">
        <v>27.5</v>
      </c>
      <c r="L14117">
        <v>16321</v>
      </c>
      <c r="M14117" t="s">
        <v>423</v>
      </c>
      <c r="N14117" t="str">
        <f t="shared" si="191"/>
        <v>9163418-4/19</v>
      </c>
      <c r="O14117">
        <v>221229</v>
      </c>
    </row>
    <row r="14118" spans="1:15" x14ac:dyDescent="0.25">
      <c r="A14118" t="s">
        <v>16</v>
      </c>
      <c r="B14118" t="s">
        <v>3221</v>
      </c>
      <c r="C14118">
        <v>19</v>
      </c>
      <c r="D14118" t="s">
        <v>3190</v>
      </c>
      <c r="E14118" t="s">
        <v>3191</v>
      </c>
      <c r="F14118">
        <v>606.96</v>
      </c>
      <c r="G14118">
        <v>230101</v>
      </c>
      <c r="H14118">
        <v>4840</v>
      </c>
      <c r="I14118" t="s">
        <v>19</v>
      </c>
      <c r="J14118">
        <v>752.63</v>
      </c>
      <c r="K14118">
        <v>145.66999999999999</v>
      </c>
      <c r="L14118">
        <v>16321</v>
      </c>
      <c r="M14118" t="s">
        <v>423</v>
      </c>
      <c r="N14118" t="str">
        <f t="shared" si="191"/>
        <v>9163418-4/19</v>
      </c>
      <c r="O14118">
        <v>221229</v>
      </c>
    </row>
    <row r="14119" spans="1:15" x14ac:dyDescent="0.25">
      <c r="A14119" t="s">
        <v>16</v>
      </c>
      <c r="B14119" t="s">
        <v>3221</v>
      </c>
      <c r="C14119">
        <v>19</v>
      </c>
      <c r="D14119" t="s">
        <v>3190</v>
      </c>
      <c r="E14119" t="s">
        <v>3191</v>
      </c>
      <c r="F14119">
        <v>294.39999999999998</v>
      </c>
      <c r="G14119">
        <v>230101</v>
      </c>
      <c r="H14119">
        <v>4840</v>
      </c>
      <c r="I14119" t="s">
        <v>19</v>
      </c>
      <c r="J14119">
        <v>365.06</v>
      </c>
      <c r="K14119">
        <v>70.66</v>
      </c>
      <c r="L14119">
        <v>16431</v>
      </c>
      <c r="M14119" t="s">
        <v>231</v>
      </c>
      <c r="N14119" t="str">
        <f t="shared" si="191"/>
        <v>9163418-4/19</v>
      </c>
      <c r="O14119">
        <v>221229</v>
      </c>
    </row>
    <row r="14120" spans="1:15" x14ac:dyDescent="0.25">
      <c r="A14120" t="s">
        <v>16</v>
      </c>
      <c r="B14120" t="s">
        <v>3221</v>
      </c>
      <c r="C14120">
        <v>19</v>
      </c>
      <c r="D14120" t="s">
        <v>3190</v>
      </c>
      <c r="E14120" t="s">
        <v>3191</v>
      </c>
      <c r="F14120">
        <v>104.61</v>
      </c>
      <c r="G14120">
        <v>230101</v>
      </c>
      <c r="H14120">
        <v>4840</v>
      </c>
      <c r="I14120" t="s">
        <v>19</v>
      </c>
      <c r="J14120">
        <v>129.72</v>
      </c>
      <c r="K14120">
        <v>25.11</v>
      </c>
      <c r="L14120">
        <v>16820</v>
      </c>
      <c r="M14120" t="s">
        <v>23</v>
      </c>
      <c r="N14120" t="str">
        <f t="shared" si="191"/>
        <v>9163418-4/19</v>
      </c>
      <c r="O14120">
        <v>221229</v>
      </c>
    </row>
    <row r="14121" spans="1:15" x14ac:dyDescent="0.25">
      <c r="A14121" t="s">
        <v>16</v>
      </c>
      <c r="B14121" t="s">
        <v>3221</v>
      </c>
      <c r="C14121">
        <v>19</v>
      </c>
      <c r="D14121" t="s">
        <v>3190</v>
      </c>
      <c r="E14121" t="s">
        <v>3191</v>
      </c>
      <c r="F14121">
        <v>32.450000000000003</v>
      </c>
      <c r="G14121">
        <v>230101</v>
      </c>
      <c r="H14121">
        <v>4840</v>
      </c>
      <c r="I14121" t="s">
        <v>19</v>
      </c>
      <c r="J14121">
        <v>40.24</v>
      </c>
      <c r="K14121">
        <v>7.79</v>
      </c>
      <c r="L14121">
        <v>17131</v>
      </c>
      <c r="M14121" t="s">
        <v>64</v>
      </c>
      <c r="N14121" t="str">
        <f t="shared" si="191"/>
        <v>9163418-4/19</v>
      </c>
      <c r="O14121">
        <v>221229</v>
      </c>
    </row>
    <row r="14122" spans="1:15" x14ac:dyDescent="0.25">
      <c r="A14122" t="s">
        <v>16</v>
      </c>
      <c r="B14122" t="s">
        <v>3221</v>
      </c>
      <c r="C14122">
        <v>19</v>
      </c>
      <c r="D14122" t="s">
        <v>3190</v>
      </c>
      <c r="E14122" t="s">
        <v>3191</v>
      </c>
      <c r="F14122">
        <v>167.08</v>
      </c>
      <c r="G14122">
        <v>230101</v>
      </c>
      <c r="H14122">
        <v>4840</v>
      </c>
      <c r="I14122" t="s">
        <v>19</v>
      </c>
      <c r="J14122">
        <v>207.18</v>
      </c>
      <c r="K14122">
        <v>40.1</v>
      </c>
      <c r="L14122">
        <v>17802</v>
      </c>
      <c r="M14122" t="s">
        <v>174</v>
      </c>
      <c r="N14122" t="str">
        <f t="shared" si="191"/>
        <v>9163418-4/19</v>
      </c>
      <c r="O14122">
        <v>221229</v>
      </c>
    </row>
    <row r="14123" spans="1:15" x14ac:dyDescent="0.25">
      <c r="A14123" t="s">
        <v>16</v>
      </c>
      <c r="B14123" t="s">
        <v>3221</v>
      </c>
      <c r="C14123">
        <v>19</v>
      </c>
      <c r="D14123" t="s">
        <v>3190</v>
      </c>
      <c r="E14123" t="s">
        <v>3191</v>
      </c>
      <c r="F14123">
        <v>986.41</v>
      </c>
      <c r="G14123">
        <v>230101</v>
      </c>
      <c r="H14123">
        <v>4840</v>
      </c>
      <c r="I14123" t="s">
        <v>19</v>
      </c>
      <c r="J14123">
        <v>1223.1500000000001</v>
      </c>
      <c r="K14123">
        <v>236.74</v>
      </c>
      <c r="L14123">
        <v>17803</v>
      </c>
      <c r="M14123" t="s">
        <v>389</v>
      </c>
      <c r="N14123" t="str">
        <f t="shared" si="191"/>
        <v>9163418-4/19</v>
      </c>
      <c r="O14123">
        <v>221229</v>
      </c>
    </row>
    <row r="14124" spans="1:15" x14ac:dyDescent="0.25">
      <c r="A14124" t="s">
        <v>16</v>
      </c>
      <c r="B14124" t="s">
        <v>3221</v>
      </c>
      <c r="C14124">
        <v>19</v>
      </c>
      <c r="D14124" t="s">
        <v>3190</v>
      </c>
      <c r="E14124" t="s">
        <v>3191</v>
      </c>
      <c r="F14124">
        <v>637.99</v>
      </c>
      <c r="G14124">
        <v>230101</v>
      </c>
      <c r="H14124">
        <v>4840</v>
      </c>
      <c r="I14124" t="s">
        <v>19</v>
      </c>
      <c r="J14124">
        <v>791.11</v>
      </c>
      <c r="K14124">
        <v>153.12</v>
      </c>
      <c r="L14124">
        <v>17804</v>
      </c>
      <c r="M14124" t="s">
        <v>549</v>
      </c>
      <c r="N14124" t="str">
        <f t="shared" si="191"/>
        <v>9163418-4/19</v>
      </c>
      <c r="O14124">
        <v>221229</v>
      </c>
    </row>
    <row r="14125" spans="1:15" x14ac:dyDescent="0.25">
      <c r="A14125" t="s">
        <v>16</v>
      </c>
      <c r="B14125" t="s">
        <v>3221</v>
      </c>
      <c r="C14125">
        <v>19</v>
      </c>
      <c r="D14125" t="s">
        <v>3190</v>
      </c>
      <c r="E14125" t="s">
        <v>3191</v>
      </c>
      <c r="F14125">
        <v>101.03</v>
      </c>
      <c r="G14125">
        <v>230101</v>
      </c>
      <c r="H14125">
        <v>4840</v>
      </c>
      <c r="I14125" t="s">
        <v>19</v>
      </c>
      <c r="J14125">
        <v>125.28</v>
      </c>
      <c r="K14125">
        <v>24.25</v>
      </c>
      <c r="L14125">
        <v>17805</v>
      </c>
      <c r="M14125" t="s">
        <v>102</v>
      </c>
      <c r="N14125" t="str">
        <f t="shared" si="191"/>
        <v>9163418-4/19</v>
      </c>
      <c r="O14125">
        <v>221229</v>
      </c>
    </row>
    <row r="14126" spans="1:15" x14ac:dyDescent="0.25">
      <c r="A14126" t="s">
        <v>16</v>
      </c>
      <c r="B14126" t="s">
        <v>3221</v>
      </c>
      <c r="C14126">
        <v>19</v>
      </c>
      <c r="D14126" t="s">
        <v>3190</v>
      </c>
      <c r="E14126" t="s">
        <v>3191</v>
      </c>
      <c r="F14126">
        <v>121.65</v>
      </c>
      <c r="G14126">
        <v>230101</v>
      </c>
      <c r="H14126">
        <v>4840</v>
      </c>
      <c r="I14126" t="s">
        <v>19</v>
      </c>
      <c r="J14126">
        <v>150.85</v>
      </c>
      <c r="K14126">
        <v>29.2</v>
      </c>
      <c r="L14126">
        <v>17806</v>
      </c>
      <c r="M14126" t="s">
        <v>265</v>
      </c>
      <c r="N14126" t="str">
        <f t="shared" si="191"/>
        <v>9163418-4/19</v>
      </c>
      <c r="O14126">
        <v>221229</v>
      </c>
    </row>
    <row r="14127" spans="1:15" x14ac:dyDescent="0.25">
      <c r="A14127" t="s">
        <v>16</v>
      </c>
      <c r="B14127" t="s">
        <v>3221</v>
      </c>
      <c r="C14127">
        <v>19</v>
      </c>
      <c r="D14127" t="s">
        <v>3190</v>
      </c>
      <c r="E14127" t="s">
        <v>3191</v>
      </c>
      <c r="F14127">
        <v>968.23</v>
      </c>
      <c r="G14127">
        <v>230101</v>
      </c>
      <c r="H14127">
        <v>4840</v>
      </c>
      <c r="I14127" t="s">
        <v>19</v>
      </c>
      <c r="J14127">
        <v>1200.6099999999999</v>
      </c>
      <c r="K14127">
        <v>232.38</v>
      </c>
      <c r="L14127">
        <v>17807</v>
      </c>
      <c r="M14127" t="s">
        <v>318</v>
      </c>
      <c r="N14127" t="str">
        <f t="shared" si="191"/>
        <v>9163418-4/19</v>
      </c>
      <c r="O14127">
        <v>221229</v>
      </c>
    </row>
    <row r="14128" spans="1:15" x14ac:dyDescent="0.25">
      <c r="A14128" t="s">
        <v>16</v>
      </c>
      <c r="B14128" t="s">
        <v>3221</v>
      </c>
      <c r="C14128">
        <v>19</v>
      </c>
      <c r="D14128" t="s">
        <v>3190</v>
      </c>
      <c r="E14128" t="s">
        <v>3191</v>
      </c>
      <c r="F14128">
        <v>1394.19</v>
      </c>
      <c r="G14128">
        <v>230101</v>
      </c>
      <c r="H14128">
        <v>4840</v>
      </c>
      <c r="I14128" t="s">
        <v>19</v>
      </c>
      <c r="J14128">
        <v>1728.8</v>
      </c>
      <c r="K14128">
        <v>334.61</v>
      </c>
      <c r="L14128">
        <v>17808</v>
      </c>
      <c r="M14128" t="s">
        <v>322</v>
      </c>
      <c r="N14128" t="str">
        <f t="shared" si="191"/>
        <v>9163418-4/19</v>
      </c>
      <c r="O14128">
        <v>221229</v>
      </c>
    </row>
    <row r="14129" spans="1:15" x14ac:dyDescent="0.25">
      <c r="A14129" t="s">
        <v>16</v>
      </c>
      <c r="B14129" t="s">
        <v>3221</v>
      </c>
      <c r="C14129">
        <v>19</v>
      </c>
      <c r="D14129" t="s">
        <v>3190</v>
      </c>
      <c r="E14129" t="s">
        <v>3191</v>
      </c>
      <c r="F14129">
        <v>539.52</v>
      </c>
      <c r="G14129">
        <v>230101</v>
      </c>
      <c r="H14129">
        <v>4840</v>
      </c>
      <c r="I14129" t="s">
        <v>19</v>
      </c>
      <c r="J14129">
        <v>669</v>
      </c>
      <c r="K14129">
        <v>129.47999999999999</v>
      </c>
      <c r="L14129">
        <v>17808</v>
      </c>
      <c r="M14129" t="s">
        <v>322</v>
      </c>
      <c r="N14129" t="str">
        <f t="shared" si="191"/>
        <v>9163418-4/19</v>
      </c>
      <c r="O14129">
        <v>221229</v>
      </c>
    </row>
    <row r="14130" spans="1:15" x14ac:dyDescent="0.25">
      <c r="A14130" t="s">
        <v>16</v>
      </c>
      <c r="B14130" t="s">
        <v>3221</v>
      </c>
      <c r="C14130">
        <v>19</v>
      </c>
      <c r="D14130" t="s">
        <v>3190</v>
      </c>
      <c r="E14130" t="s">
        <v>3191</v>
      </c>
      <c r="F14130">
        <v>50.82</v>
      </c>
      <c r="G14130">
        <v>230101</v>
      </c>
      <c r="H14130">
        <v>4840</v>
      </c>
      <c r="I14130" t="s">
        <v>19</v>
      </c>
      <c r="J14130">
        <v>63.02</v>
      </c>
      <c r="K14130">
        <v>12.2</v>
      </c>
      <c r="L14130">
        <v>17913</v>
      </c>
      <c r="M14130" t="s">
        <v>431</v>
      </c>
      <c r="N14130" t="str">
        <f t="shared" si="191"/>
        <v>9163418-4/19</v>
      </c>
      <c r="O14130">
        <v>221229</v>
      </c>
    </row>
    <row r="14131" spans="1:15" x14ac:dyDescent="0.25">
      <c r="A14131" t="s">
        <v>16</v>
      </c>
      <c r="B14131" t="s">
        <v>3221</v>
      </c>
      <c r="C14131">
        <v>19</v>
      </c>
      <c r="D14131" t="s">
        <v>3190</v>
      </c>
      <c r="E14131" t="s">
        <v>3191</v>
      </c>
      <c r="F14131">
        <v>313.12</v>
      </c>
      <c r="G14131">
        <v>230101</v>
      </c>
      <c r="H14131">
        <v>4840</v>
      </c>
      <c r="I14131" t="s">
        <v>19</v>
      </c>
      <c r="J14131">
        <v>388.27</v>
      </c>
      <c r="K14131">
        <v>75.150000000000006</v>
      </c>
      <c r="L14131">
        <v>17951</v>
      </c>
      <c r="M14131" t="s">
        <v>87</v>
      </c>
      <c r="N14131" t="str">
        <f t="shared" si="191"/>
        <v>9163418-4/19</v>
      </c>
      <c r="O14131">
        <v>221229</v>
      </c>
    </row>
    <row r="14132" spans="1:15" x14ac:dyDescent="0.25">
      <c r="A14132" t="s">
        <v>16</v>
      </c>
      <c r="B14132" t="s">
        <v>3221</v>
      </c>
      <c r="C14132">
        <v>19</v>
      </c>
      <c r="D14132" t="s">
        <v>3190</v>
      </c>
      <c r="E14132" t="s">
        <v>3191</v>
      </c>
      <c r="F14132">
        <v>395.95</v>
      </c>
      <c r="G14132">
        <v>230101</v>
      </c>
      <c r="H14132">
        <v>4840</v>
      </c>
      <c r="I14132" t="s">
        <v>19</v>
      </c>
      <c r="J14132">
        <v>490.98</v>
      </c>
      <c r="K14132">
        <v>95.03</v>
      </c>
      <c r="L14132">
        <v>17971</v>
      </c>
      <c r="M14132" t="s">
        <v>138</v>
      </c>
      <c r="N14132" t="str">
        <f t="shared" si="191"/>
        <v>9163418-4/19</v>
      </c>
      <c r="O14132">
        <v>221229</v>
      </c>
    </row>
    <row r="14133" spans="1:15" x14ac:dyDescent="0.25">
      <c r="A14133" t="s">
        <v>16</v>
      </c>
      <c r="B14133" t="s">
        <v>3221</v>
      </c>
      <c r="C14133">
        <v>19</v>
      </c>
      <c r="D14133" t="s">
        <v>3190</v>
      </c>
      <c r="E14133" t="s">
        <v>3191</v>
      </c>
      <c r="F14133">
        <v>353.43</v>
      </c>
      <c r="G14133">
        <v>230101</v>
      </c>
      <c r="H14133">
        <v>4840</v>
      </c>
      <c r="I14133" t="s">
        <v>19</v>
      </c>
      <c r="J14133">
        <v>438.25</v>
      </c>
      <c r="K14133">
        <v>84.82</v>
      </c>
      <c r="L14133">
        <v>17972</v>
      </c>
      <c r="M14133" t="s">
        <v>248</v>
      </c>
      <c r="N14133" t="str">
        <f t="shared" si="191"/>
        <v>9163418-4/19</v>
      </c>
      <c r="O14133">
        <v>221229</v>
      </c>
    </row>
    <row r="14134" spans="1:15" x14ac:dyDescent="0.25">
      <c r="A14134" t="s">
        <v>16</v>
      </c>
      <c r="B14134" t="s">
        <v>3221</v>
      </c>
      <c r="C14134">
        <v>20</v>
      </c>
      <c r="D14134" t="s">
        <v>3190</v>
      </c>
      <c r="E14134" t="s">
        <v>3191</v>
      </c>
      <c r="F14134">
        <v>687.25</v>
      </c>
      <c r="G14134">
        <v>230101</v>
      </c>
      <c r="H14134">
        <v>4840</v>
      </c>
      <c r="I14134" t="s">
        <v>19</v>
      </c>
      <c r="J14134">
        <v>852.19</v>
      </c>
      <c r="K14134">
        <v>164.94</v>
      </c>
      <c r="L14134">
        <v>17131</v>
      </c>
      <c r="M14134" t="s">
        <v>64</v>
      </c>
      <c r="N14134" t="str">
        <f t="shared" ref="N14134:N14141" si="192">"163418-13/19"</f>
        <v>163418-13/19</v>
      </c>
      <c r="O14134">
        <v>221229</v>
      </c>
    </row>
    <row r="14135" spans="1:15" x14ac:dyDescent="0.25">
      <c r="A14135" t="s">
        <v>16</v>
      </c>
      <c r="B14135" t="s">
        <v>3221</v>
      </c>
      <c r="C14135">
        <v>20</v>
      </c>
      <c r="D14135" t="s">
        <v>3190</v>
      </c>
      <c r="E14135" t="s">
        <v>3191</v>
      </c>
      <c r="F14135">
        <v>221.65</v>
      </c>
      <c r="G14135">
        <v>230101</v>
      </c>
      <c r="H14135">
        <v>4840</v>
      </c>
      <c r="I14135" t="s">
        <v>19</v>
      </c>
      <c r="J14135">
        <v>274.85000000000002</v>
      </c>
      <c r="K14135">
        <v>53.2</v>
      </c>
      <c r="L14135">
        <v>17711</v>
      </c>
      <c r="M14135" t="s">
        <v>65</v>
      </c>
      <c r="N14135" t="str">
        <f t="shared" si="192"/>
        <v>163418-13/19</v>
      </c>
      <c r="O14135">
        <v>221229</v>
      </c>
    </row>
    <row r="14136" spans="1:15" x14ac:dyDescent="0.25">
      <c r="A14136" t="s">
        <v>16</v>
      </c>
      <c r="B14136" t="s">
        <v>3221</v>
      </c>
      <c r="C14136">
        <v>20</v>
      </c>
      <c r="D14136" t="s">
        <v>3190</v>
      </c>
      <c r="E14136" t="s">
        <v>3191</v>
      </c>
      <c r="F14136">
        <v>539.36</v>
      </c>
      <c r="G14136">
        <v>230101</v>
      </c>
      <c r="H14136">
        <v>4840</v>
      </c>
      <c r="I14136" t="s">
        <v>19</v>
      </c>
      <c r="J14136">
        <v>668.81</v>
      </c>
      <c r="K14136">
        <v>129.44999999999999</v>
      </c>
      <c r="L14136">
        <v>17711</v>
      </c>
      <c r="M14136" t="s">
        <v>65</v>
      </c>
      <c r="N14136" t="str">
        <f t="shared" si="192"/>
        <v>163418-13/19</v>
      </c>
      <c r="O14136">
        <v>221229</v>
      </c>
    </row>
    <row r="14137" spans="1:15" x14ac:dyDescent="0.25">
      <c r="A14137" t="s">
        <v>16</v>
      </c>
      <c r="B14137" t="s">
        <v>3221</v>
      </c>
      <c r="C14137">
        <v>20</v>
      </c>
      <c r="D14137" t="s">
        <v>3190</v>
      </c>
      <c r="E14137" t="s">
        <v>3191</v>
      </c>
      <c r="F14137">
        <v>25.41</v>
      </c>
      <c r="G14137">
        <v>230101</v>
      </c>
      <c r="H14137">
        <v>4840</v>
      </c>
      <c r="I14137" t="s">
        <v>19</v>
      </c>
      <c r="J14137">
        <v>31.51</v>
      </c>
      <c r="K14137">
        <v>6.1</v>
      </c>
      <c r="L14137">
        <v>17737</v>
      </c>
      <c r="M14137" t="s">
        <v>279</v>
      </c>
      <c r="N14137" t="str">
        <f t="shared" si="192"/>
        <v>163418-13/19</v>
      </c>
      <c r="O14137">
        <v>221229</v>
      </c>
    </row>
    <row r="14138" spans="1:15" x14ac:dyDescent="0.25">
      <c r="A14138" t="s">
        <v>16</v>
      </c>
      <c r="B14138" t="s">
        <v>3221</v>
      </c>
      <c r="C14138">
        <v>20</v>
      </c>
      <c r="D14138" t="s">
        <v>3190</v>
      </c>
      <c r="E14138" t="s">
        <v>3191</v>
      </c>
      <c r="F14138">
        <v>25.41</v>
      </c>
      <c r="G14138">
        <v>230101</v>
      </c>
      <c r="H14138">
        <v>4840</v>
      </c>
      <c r="I14138" t="s">
        <v>19</v>
      </c>
      <c r="J14138">
        <v>31.51</v>
      </c>
      <c r="K14138">
        <v>6.1</v>
      </c>
      <c r="L14138">
        <v>17737</v>
      </c>
      <c r="M14138" t="s">
        <v>279</v>
      </c>
      <c r="N14138" t="str">
        <f t="shared" si="192"/>
        <v>163418-13/19</v>
      </c>
      <c r="O14138">
        <v>221229</v>
      </c>
    </row>
    <row r="14139" spans="1:15" x14ac:dyDescent="0.25">
      <c r="A14139" t="s">
        <v>16</v>
      </c>
      <c r="B14139" t="s">
        <v>3221</v>
      </c>
      <c r="C14139">
        <v>20</v>
      </c>
      <c r="D14139" t="s">
        <v>3190</v>
      </c>
      <c r="E14139" t="s">
        <v>3191</v>
      </c>
      <c r="F14139">
        <v>25.41</v>
      </c>
      <c r="G14139">
        <v>230101</v>
      </c>
      <c r="H14139">
        <v>4840</v>
      </c>
      <c r="I14139" t="s">
        <v>19</v>
      </c>
      <c r="J14139">
        <v>31.51</v>
      </c>
      <c r="K14139">
        <v>6.1</v>
      </c>
      <c r="L14139">
        <v>17912</v>
      </c>
      <c r="M14139" t="s">
        <v>419</v>
      </c>
      <c r="N14139" t="str">
        <f t="shared" si="192"/>
        <v>163418-13/19</v>
      </c>
      <c r="O14139">
        <v>221229</v>
      </c>
    </row>
    <row r="14140" spans="1:15" x14ac:dyDescent="0.25">
      <c r="A14140" t="s">
        <v>16</v>
      </c>
      <c r="B14140" t="s">
        <v>3221</v>
      </c>
      <c r="C14140">
        <v>20</v>
      </c>
      <c r="D14140" t="s">
        <v>3190</v>
      </c>
      <c r="E14140" t="s">
        <v>3191</v>
      </c>
      <c r="F14140">
        <v>76.23</v>
      </c>
      <c r="G14140">
        <v>230101</v>
      </c>
      <c r="H14140">
        <v>4840</v>
      </c>
      <c r="I14140" t="s">
        <v>19</v>
      </c>
      <c r="J14140">
        <v>94.53</v>
      </c>
      <c r="K14140">
        <v>18.3</v>
      </c>
      <c r="L14140">
        <v>17952</v>
      </c>
      <c r="M14140" t="s">
        <v>88</v>
      </c>
      <c r="N14140" t="str">
        <f t="shared" si="192"/>
        <v>163418-13/19</v>
      </c>
      <c r="O14140">
        <v>221229</v>
      </c>
    </row>
    <row r="14141" spans="1:15" x14ac:dyDescent="0.25">
      <c r="A14141" t="s">
        <v>16</v>
      </c>
      <c r="B14141" t="s">
        <v>3221</v>
      </c>
      <c r="C14141">
        <v>20</v>
      </c>
      <c r="D14141" t="s">
        <v>3190</v>
      </c>
      <c r="E14141" t="s">
        <v>3191</v>
      </c>
      <c r="F14141">
        <v>46.28</v>
      </c>
      <c r="G14141">
        <v>230101</v>
      </c>
      <c r="H14141">
        <v>4840</v>
      </c>
      <c r="I14141" t="s">
        <v>19</v>
      </c>
      <c r="J14141">
        <v>57.39</v>
      </c>
      <c r="K14141">
        <v>11.11</v>
      </c>
      <c r="L14141">
        <v>17972</v>
      </c>
      <c r="M14141" t="s">
        <v>248</v>
      </c>
      <c r="N14141" t="str">
        <f t="shared" si="192"/>
        <v>163418-13/19</v>
      </c>
      <c r="O14141">
        <v>221229</v>
      </c>
    </row>
    <row r="14142" spans="1:15" x14ac:dyDescent="0.25">
      <c r="A14142" t="s">
        <v>16</v>
      </c>
      <c r="B14142" t="s">
        <v>3221</v>
      </c>
      <c r="C14142">
        <v>21</v>
      </c>
      <c r="D14142" t="s">
        <v>3190</v>
      </c>
      <c r="E14142" t="s">
        <v>3191</v>
      </c>
      <c r="F14142">
        <v>135.41</v>
      </c>
      <c r="G14142">
        <v>230101</v>
      </c>
      <c r="H14142">
        <v>4840</v>
      </c>
      <c r="I14142" t="s">
        <v>19</v>
      </c>
      <c r="J14142">
        <v>167.91</v>
      </c>
      <c r="K14142">
        <v>32.5</v>
      </c>
      <c r="L14142">
        <v>11900</v>
      </c>
      <c r="M14142" t="s">
        <v>1105</v>
      </c>
      <c r="N14142" t="str">
        <f>"163418-10/19"</f>
        <v>163418-10/19</v>
      </c>
      <c r="O14142">
        <v>221229</v>
      </c>
    </row>
    <row r="14143" spans="1:15" x14ac:dyDescent="0.25">
      <c r="A14143" t="s">
        <v>16</v>
      </c>
      <c r="B14143" t="s">
        <v>3221</v>
      </c>
      <c r="C14143">
        <v>21</v>
      </c>
      <c r="D14143" t="s">
        <v>3190</v>
      </c>
      <c r="E14143" t="s">
        <v>3191</v>
      </c>
      <c r="F14143">
        <v>50.17</v>
      </c>
      <c r="G14143">
        <v>230101</v>
      </c>
      <c r="H14143">
        <v>4840</v>
      </c>
      <c r="I14143" t="s">
        <v>19</v>
      </c>
      <c r="J14143">
        <v>62.21</v>
      </c>
      <c r="K14143">
        <v>12.04</v>
      </c>
      <c r="L14143">
        <v>17538</v>
      </c>
      <c r="M14143" t="s">
        <v>24</v>
      </c>
      <c r="N14143" t="str">
        <f>"163418-10/19"</f>
        <v>163418-10/19</v>
      </c>
      <c r="O14143">
        <v>221229</v>
      </c>
    </row>
    <row r="14144" spans="1:15" x14ac:dyDescent="0.25">
      <c r="A14144" t="s">
        <v>16</v>
      </c>
      <c r="B14144" t="s">
        <v>3221</v>
      </c>
      <c r="C14144">
        <v>22</v>
      </c>
      <c r="D14144" t="s">
        <v>3190</v>
      </c>
      <c r="E14144" t="s">
        <v>3191</v>
      </c>
      <c r="F14144">
        <v>34.299999999999997</v>
      </c>
      <c r="G14144">
        <v>230101</v>
      </c>
      <c r="H14144">
        <v>4840</v>
      </c>
      <c r="I14144" t="s">
        <v>19</v>
      </c>
      <c r="J14144">
        <v>42.53</v>
      </c>
      <c r="K14144">
        <v>8.23</v>
      </c>
      <c r="L14144">
        <v>11601</v>
      </c>
      <c r="M14144" t="s">
        <v>535</v>
      </c>
      <c r="N14144" t="str">
        <f t="shared" ref="N14144:N14174" si="193">"163418-11/19"</f>
        <v>163418-11/19</v>
      </c>
      <c r="O14144">
        <v>221229</v>
      </c>
    </row>
    <row r="14145" spans="1:15" x14ac:dyDescent="0.25">
      <c r="A14145" t="s">
        <v>16</v>
      </c>
      <c r="B14145" t="s">
        <v>3221</v>
      </c>
      <c r="C14145">
        <v>22</v>
      </c>
      <c r="D14145" t="s">
        <v>3190</v>
      </c>
      <c r="E14145" t="s">
        <v>3191</v>
      </c>
      <c r="F14145">
        <v>1947.53</v>
      </c>
      <c r="G14145">
        <v>230101</v>
      </c>
      <c r="H14145">
        <v>4840</v>
      </c>
      <c r="I14145" t="s">
        <v>19</v>
      </c>
      <c r="J14145">
        <v>2414.94</v>
      </c>
      <c r="K14145">
        <v>467.41</v>
      </c>
      <c r="L14145">
        <v>41126</v>
      </c>
      <c r="M14145" t="s">
        <v>761</v>
      </c>
      <c r="N14145" t="str">
        <f t="shared" si="193"/>
        <v>163418-11/19</v>
      </c>
      <c r="O14145">
        <v>221229</v>
      </c>
    </row>
    <row r="14146" spans="1:15" x14ac:dyDescent="0.25">
      <c r="A14146" t="s">
        <v>16</v>
      </c>
      <c r="B14146" t="s">
        <v>3221</v>
      </c>
      <c r="C14146">
        <v>22</v>
      </c>
      <c r="D14146" t="s">
        <v>3190</v>
      </c>
      <c r="E14146" t="s">
        <v>3191</v>
      </c>
      <c r="F14146">
        <v>165.3</v>
      </c>
      <c r="G14146">
        <v>230101</v>
      </c>
      <c r="H14146">
        <v>4840</v>
      </c>
      <c r="I14146" t="s">
        <v>19</v>
      </c>
      <c r="J14146">
        <v>204.97</v>
      </c>
      <c r="K14146">
        <v>39.67</v>
      </c>
      <c r="L14146">
        <v>41126</v>
      </c>
      <c r="M14146" t="s">
        <v>761</v>
      </c>
      <c r="N14146" t="str">
        <f t="shared" si="193"/>
        <v>163418-11/19</v>
      </c>
      <c r="O14146">
        <v>221229</v>
      </c>
    </row>
    <row r="14147" spans="1:15" x14ac:dyDescent="0.25">
      <c r="A14147" t="s">
        <v>16</v>
      </c>
      <c r="B14147" t="s">
        <v>3221</v>
      </c>
      <c r="C14147">
        <v>22</v>
      </c>
      <c r="D14147" t="s">
        <v>3190</v>
      </c>
      <c r="E14147" t="s">
        <v>3191</v>
      </c>
      <c r="F14147">
        <v>879.4</v>
      </c>
      <c r="G14147">
        <v>230101</v>
      </c>
      <c r="H14147">
        <v>4840</v>
      </c>
      <c r="I14147" t="s">
        <v>19</v>
      </c>
      <c r="J14147">
        <v>1090.45</v>
      </c>
      <c r="K14147">
        <v>211.05</v>
      </c>
      <c r="L14147">
        <v>43222</v>
      </c>
      <c r="M14147" t="s">
        <v>507</v>
      </c>
      <c r="N14147" t="str">
        <f t="shared" si="193"/>
        <v>163418-11/19</v>
      </c>
      <c r="O14147">
        <v>221229</v>
      </c>
    </row>
    <row r="14148" spans="1:15" x14ac:dyDescent="0.25">
      <c r="A14148" t="s">
        <v>16</v>
      </c>
      <c r="B14148" t="s">
        <v>3221</v>
      </c>
      <c r="C14148">
        <v>22</v>
      </c>
      <c r="D14148" t="s">
        <v>3190</v>
      </c>
      <c r="E14148" t="s">
        <v>3191</v>
      </c>
      <c r="F14148">
        <v>33.06</v>
      </c>
      <c r="G14148">
        <v>230101</v>
      </c>
      <c r="H14148">
        <v>4840</v>
      </c>
      <c r="I14148" t="s">
        <v>19</v>
      </c>
      <c r="J14148">
        <v>40.99</v>
      </c>
      <c r="K14148">
        <v>7.93</v>
      </c>
      <c r="L14148">
        <v>43222</v>
      </c>
      <c r="M14148" t="s">
        <v>507</v>
      </c>
      <c r="N14148" t="str">
        <f t="shared" si="193"/>
        <v>163418-11/19</v>
      </c>
      <c r="O14148">
        <v>221229</v>
      </c>
    </row>
    <row r="14149" spans="1:15" x14ac:dyDescent="0.25">
      <c r="A14149" t="s">
        <v>16</v>
      </c>
      <c r="B14149" t="s">
        <v>3221</v>
      </c>
      <c r="C14149">
        <v>22</v>
      </c>
      <c r="D14149" t="s">
        <v>3190</v>
      </c>
      <c r="E14149" t="s">
        <v>3191</v>
      </c>
      <c r="F14149">
        <v>1786.63</v>
      </c>
      <c r="G14149">
        <v>230101</v>
      </c>
      <c r="H14149">
        <v>4840</v>
      </c>
      <c r="I14149" t="s">
        <v>19</v>
      </c>
      <c r="J14149">
        <v>2215.42</v>
      </c>
      <c r="K14149">
        <v>428.79</v>
      </c>
      <c r="L14149">
        <v>44222</v>
      </c>
      <c r="M14149" t="s">
        <v>232</v>
      </c>
      <c r="N14149" t="str">
        <f t="shared" si="193"/>
        <v>163418-11/19</v>
      </c>
      <c r="O14149">
        <v>221229</v>
      </c>
    </row>
    <row r="14150" spans="1:15" x14ac:dyDescent="0.25">
      <c r="A14150" t="s">
        <v>16</v>
      </c>
      <c r="B14150" t="s">
        <v>3221</v>
      </c>
      <c r="C14150">
        <v>22</v>
      </c>
      <c r="D14150" t="s">
        <v>3190</v>
      </c>
      <c r="E14150" t="s">
        <v>3191</v>
      </c>
      <c r="F14150">
        <v>33.06</v>
      </c>
      <c r="G14150">
        <v>230101</v>
      </c>
      <c r="H14150">
        <v>4840</v>
      </c>
      <c r="I14150" t="s">
        <v>19</v>
      </c>
      <c r="J14150">
        <v>40.99</v>
      </c>
      <c r="K14150">
        <v>7.93</v>
      </c>
      <c r="L14150">
        <v>44422</v>
      </c>
      <c r="M14150" t="s">
        <v>482</v>
      </c>
      <c r="N14150" t="str">
        <f t="shared" si="193"/>
        <v>163418-11/19</v>
      </c>
      <c r="O14150">
        <v>221229</v>
      </c>
    </row>
    <row r="14151" spans="1:15" x14ac:dyDescent="0.25">
      <c r="A14151" t="s">
        <v>16</v>
      </c>
      <c r="B14151" t="s">
        <v>3221</v>
      </c>
      <c r="C14151">
        <v>22</v>
      </c>
      <c r="D14151" t="s">
        <v>3190</v>
      </c>
      <c r="E14151" t="s">
        <v>3191</v>
      </c>
      <c r="F14151">
        <v>33.06</v>
      </c>
      <c r="G14151">
        <v>230101</v>
      </c>
      <c r="H14151">
        <v>4840</v>
      </c>
      <c r="I14151" t="s">
        <v>19</v>
      </c>
      <c r="J14151">
        <v>40.99</v>
      </c>
      <c r="K14151">
        <v>7.93</v>
      </c>
      <c r="L14151">
        <v>44422</v>
      </c>
      <c r="M14151" t="s">
        <v>482</v>
      </c>
      <c r="N14151" t="str">
        <f t="shared" si="193"/>
        <v>163418-11/19</v>
      </c>
      <c r="O14151">
        <v>221229</v>
      </c>
    </row>
    <row r="14152" spans="1:15" x14ac:dyDescent="0.25">
      <c r="A14152" t="s">
        <v>16</v>
      </c>
      <c r="B14152" t="s">
        <v>3221</v>
      </c>
      <c r="C14152">
        <v>22</v>
      </c>
      <c r="D14152" t="s">
        <v>3190</v>
      </c>
      <c r="E14152" t="s">
        <v>3191</v>
      </c>
      <c r="F14152">
        <v>66.12</v>
      </c>
      <c r="G14152">
        <v>230101</v>
      </c>
      <c r="H14152">
        <v>4840</v>
      </c>
      <c r="I14152" t="s">
        <v>19</v>
      </c>
      <c r="J14152">
        <v>81.99</v>
      </c>
      <c r="K14152">
        <v>15.87</v>
      </c>
      <c r="L14152">
        <v>44423</v>
      </c>
      <c r="M14152" t="s">
        <v>502</v>
      </c>
      <c r="N14152" t="str">
        <f t="shared" si="193"/>
        <v>163418-11/19</v>
      </c>
      <c r="O14152">
        <v>221229</v>
      </c>
    </row>
    <row r="14153" spans="1:15" x14ac:dyDescent="0.25">
      <c r="A14153" t="s">
        <v>16</v>
      </c>
      <c r="B14153" t="s">
        <v>3221</v>
      </c>
      <c r="C14153">
        <v>22</v>
      </c>
      <c r="D14153" t="s">
        <v>3190</v>
      </c>
      <c r="E14153" t="s">
        <v>3191</v>
      </c>
      <c r="F14153">
        <v>66.12</v>
      </c>
      <c r="G14153">
        <v>230101</v>
      </c>
      <c r="H14153">
        <v>4840</v>
      </c>
      <c r="I14153" t="s">
        <v>19</v>
      </c>
      <c r="J14153">
        <v>81.99</v>
      </c>
      <c r="K14153">
        <v>15.87</v>
      </c>
      <c r="L14153">
        <v>44423</v>
      </c>
      <c r="M14153" t="s">
        <v>502</v>
      </c>
      <c r="N14153" t="str">
        <f t="shared" si="193"/>
        <v>163418-11/19</v>
      </c>
      <c r="O14153">
        <v>221229</v>
      </c>
    </row>
    <row r="14154" spans="1:15" x14ac:dyDescent="0.25">
      <c r="A14154" t="s">
        <v>16</v>
      </c>
      <c r="B14154" t="s">
        <v>3221</v>
      </c>
      <c r="C14154">
        <v>22</v>
      </c>
      <c r="D14154" t="s">
        <v>3190</v>
      </c>
      <c r="E14154" t="s">
        <v>3191</v>
      </c>
      <c r="F14154">
        <v>1696.93</v>
      </c>
      <c r="G14154">
        <v>230101</v>
      </c>
      <c r="H14154">
        <v>4840</v>
      </c>
      <c r="I14154" t="s">
        <v>19</v>
      </c>
      <c r="J14154">
        <v>2104.19</v>
      </c>
      <c r="K14154">
        <v>407.26</v>
      </c>
      <c r="L14154">
        <v>44424</v>
      </c>
      <c r="M14154" t="s">
        <v>776</v>
      </c>
      <c r="N14154" t="str">
        <f t="shared" si="193"/>
        <v>163418-11/19</v>
      </c>
      <c r="O14154">
        <v>221229</v>
      </c>
    </row>
    <row r="14155" spans="1:15" x14ac:dyDescent="0.25">
      <c r="A14155" t="s">
        <v>16</v>
      </c>
      <c r="B14155" t="s">
        <v>3221</v>
      </c>
      <c r="C14155">
        <v>22</v>
      </c>
      <c r="D14155" t="s">
        <v>3190</v>
      </c>
      <c r="E14155" t="s">
        <v>3191</v>
      </c>
      <c r="F14155">
        <v>33.79</v>
      </c>
      <c r="G14155">
        <v>230101</v>
      </c>
      <c r="H14155">
        <v>4840</v>
      </c>
      <c r="I14155" t="s">
        <v>19</v>
      </c>
      <c r="J14155">
        <v>41.9</v>
      </c>
      <c r="K14155">
        <v>8.11</v>
      </c>
      <c r="L14155">
        <v>44453</v>
      </c>
      <c r="M14155" t="s">
        <v>492</v>
      </c>
      <c r="N14155" t="str">
        <f t="shared" si="193"/>
        <v>163418-11/19</v>
      </c>
      <c r="O14155">
        <v>221229</v>
      </c>
    </row>
    <row r="14156" spans="1:15" x14ac:dyDescent="0.25">
      <c r="A14156" t="s">
        <v>16</v>
      </c>
      <c r="B14156" t="s">
        <v>3221</v>
      </c>
      <c r="C14156">
        <v>22</v>
      </c>
      <c r="D14156" t="s">
        <v>3190</v>
      </c>
      <c r="E14156" t="s">
        <v>3191</v>
      </c>
      <c r="F14156">
        <v>2111.19</v>
      </c>
      <c r="G14156">
        <v>230101</v>
      </c>
      <c r="H14156">
        <v>4840</v>
      </c>
      <c r="I14156" t="s">
        <v>19</v>
      </c>
      <c r="J14156">
        <v>2617.87</v>
      </c>
      <c r="K14156">
        <v>506.68</v>
      </c>
      <c r="L14156">
        <v>46222</v>
      </c>
      <c r="M14156" t="s">
        <v>293</v>
      </c>
      <c r="N14156" t="str">
        <f t="shared" si="193"/>
        <v>163418-11/19</v>
      </c>
      <c r="O14156">
        <v>221229</v>
      </c>
    </row>
    <row r="14157" spans="1:15" x14ac:dyDescent="0.25">
      <c r="A14157" t="s">
        <v>16</v>
      </c>
      <c r="B14157" t="s">
        <v>3221</v>
      </c>
      <c r="C14157">
        <v>22</v>
      </c>
      <c r="D14157" t="s">
        <v>3190</v>
      </c>
      <c r="E14157" t="s">
        <v>3191</v>
      </c>
      <c r="F14157">
        <v>33.06</v>
      </c>
      <c r="G14157">
        <v>230101</v>
      </c>
      <c r="H14157">
        <v>4840</v>
      </c>
      <c r="I14157" t="s">
        <v>19</v>
      </c>
      <c r="J14157">
        <v>40.99</v>
      </c>
      <c r="K14157">
        <v>7.93</v>
      </c>
      <c r="L14157">
        <v>46222</v>
      </c>
      <c r="M14157" t="s">
        <v>293</v>
      </c>
      <c r="N14157" t="str">
        <f t="shared" si="193"/>
        <v>163418-11/19</v>
      </c>
      <c r="O14157">
        <v>221229</v>
      </c>
    </row>
    <row r="14158" spans="1:15" x14ac:dyDescent="0.25">
      <c r="A14158" t="s">
        <v>16</v>
      </c>
      <c r="B14158" t="s">
        <v>3221</v>
      </c>
      <c r="C14158">
        <v>22</v>
      </c>
      <c r="D14158" t="s">
        <v>3190</v>
      </c>
      <c r="E14158" t="s">
        <v>3191</v>
      </c>
      <c r="F14158">
        <v>33.06</v>
      </c>
      <c r="G14158">
        <v>230101</v>
      </c>
      <c r="H14158">
        <v>4840</v>
      </c>
      <c r="I14158" t="s">
        <v>19</v>
      </c>
      <c r="J14158">
        <v>40.99</v>
      </c>
      <c r="K14158">
        <v>7.93</v>
      </c>
      <c r="L14158">
        <v>46554</v>
      </c>
      <c r="M14158" t="s">
        <v>117</v>
      </c>
      <c r="N14158" t="str">
        <f t="shared" si="193"/>
        <v>163418-11/19</v>
      </c>
      <c r="O14158">
        <v>221229</v>
      </c>
    </row>
    <row r="14159" spans="1:15" x14ac:dyDescent="0.25">
      <c r="A14159" t="s">
        <v>16</v>
      </c>
      <c r="B14159" t="s">
        <v>3221</v>
      </c>
      <c r="C14159">
        <v>22</v>
      </c>
      <c r="D14159" t="s">
        <v>3190</v>
      </c>
      <c r="E14159" t="s">
        <v>3191</v>
      </c>
      <c r="F14159">
        <v>1510.14</v>
      </c>
      <c r="G14159">
        <v>230101</v>
      </c>
      <c r="H14159">
        <v>4840</v>
      </c>
      <c r="I14159" t="s">
        <v>19</v>
      </c>
      <c r="J14159">
        <v>1872.57</v>
      </c>
      <c r="K14159">
        <v>362.43</v>
      </c>
      <c r="L14159">
        <v>46554</v>
      </c>
      <c r="M14159" t="s">
        <v>117</v>
      </c>
      <c r="N14159" t="str">
        <f t="shared" si="193"/>
        <v>163418-11/19</v>
      </c>
      <c r="O14159">
        <v>221229</v>
      </c>
    </row>
    <row r="14160" spans="1:15" x14ac:dyDescent="0.25">
      <c r="A14160" t="s">
        <v>16</v>
      </c>
      <c r="B14160" t="s">
        <v>3221</v>
      </c>
      <c r="C14160">
        <v>22</v>
      </c>
      <c r="D14160" t="s">
        <v>3190</v>
      </c>
      <c r="E14160" t="s">
        <v>3191</v>
      </c>
      <c r="F14160">
        <v>1047.3599999999999</v>
      </c>
      <c r="G14160">
        <v>230101</v>
      </c>
      <c r="H14160">
        <v>4840</v>
      </c>
      <c r="I14160" t="s">
        <v>19</v>
      </c>
      <c r="J14160">
        <v>1298.73</v>
      </c>
      <c r="K14160">
        <v>251.37</v>
      </c>
      <c r="L14160">
        <v>46555</v>
      </c>
      <c r="M14160" t="s">
        <v>597</v>
      </c>
      <c r="N14160" t="str">
        <f t="shared" si="193"/>
        <v>163418-11/19</v>
      </c>
      <c r="O14160">
        <v>221229</v>
      </c>
    </row>
    <row r="14161" spans="1:15" x14ac:dyDescent="0.25">
      <c r="A14161" t="s">
        <v>16</v>
      </c>
      <c r="B14161" t="s">
        <v>3221</v>
      </c>
      <c r="C14161">
        <v>22</v>
      </c>
      <c r="D14161" t="s">
        <v>3190</v>
      </c>
      <c r="E14161" t="s">
        <v>3191</v>
      </c>
      <c r="F14161">
        <v>165.3</v>
      </c>
      <c r="G14161">
        <v>230101</v>
      </c>
      <c r="H14161">
        <v>4840</v>
      </c>
      <c r="I14161" t="s">
        <v>19</v>
      </c>
      <c r="J14161">
        <v>204.97</v>
      </c>
      <c r="K14161">
        <v>39.67</v>
      </c>
      <c r="L14161">
        <v>46555</v>
      </c>
      <c r="M14161" t="s">
        <v>597</v>
      </c>
      <c r="N14161" t="str">
        <f t="shared" si="193"/>
        <v>163418-11/19</v>
      </c>
      <c r="O14161">
        <v>221229</v>
      </c>
    </row>
    <row r="14162" spans="1:15" x14ac:dyDescent="0.25">
      <c r="A14162" t="s">
        <v>16</v>
      </c>
      <c r="B14162" t="s">
        <v>3221</v>
      </c>
      <c r="C14162">
        <v>22</v>
      </c>
      <c r="D14162" t="s">
        <v>3190</v>
      </c>
      <c r="E14162" t="s">
        <v>3191</v>
      </c>
      <c r="F14162">
        <v>329.46</v>
      </c>
      <c r="G14162">
        <v>230101</v>
      </c>
      <c r="H14162">
        <v>4840</v>
      </c>
      <c r="I14162" t="s">
        <v>19</v>
      </c>
      <c r="J14162">
        <v>408.53</v>
      </c>
      <c r="K14162">
        <v>79.069999999999993</v>
      </c>
      <c r="L14162">
        <v>46556</v>
      </c>
      <c r="M14162" t="s">
        <v>125</v>
      </c>
      <c r="N14162" t="str">
        <f t="shared" si="193"/>
        <v>163418-11/19</v>
      </c>
      <c r="O14162">
        <v>221229</v>
      </c>
    </row>
    <row r="14163" spans="1:15" x14ac:dyDescent="0.25">
      <c r="A14163" t="s">
        <v>16</v>
      </c>
      <c r="B14163" t="s">
        <v>3221</v>
      </c>
      <c r="C14163">
        <v>22</v>
      </c>
      <c r="D14163" t="s">
        <v>3190</v>
      </c>
      <c r="E14163" t="s">
        <v>3191</v>
      </c>
      <c r="F14163">
        <v>840.52</v>
      </c>
      <c r="G14163">
        <v>230101</v>
      </c>
      <c r="H14163">
        <v>4840</v>
      </c>
      <c r="I14163" t="s">
        <v>19</v>
      </c>
      <c r="J14163">
        <v>1042.24</v>
      </c>
      <c r="K14163">
        <v>201.72</v>
      </c>
      <c r="L14163">
        <v>46557</v>
      </c>
      <c r="M14163" t="s">
        <v>221</v>
      </c>
      <c r="N14163" t="str">
        <f t="shared" si="193"/>
        <v>163418-11/19</v>
      </c>
      <c r="O14163">
        <v>221229</v>
      </c>
    </row>
    <row r="14164" spans="1:15" x14ac:dyDescent="0.25">
      <c r="A14164" t="s">
        <v>16</v>
      </c>
      <c r="B14164" t="s">
        <v>3221</v>
      </c>
      <c r="C14164">
        <v>22</v>
      </c>
      <c r="D14164" t="s">
        <v>3190</v>
      </c>
      <c r="E14164" t="s">
        <v>3191</v>
      </c>
      <c r="F14164">
        <v>33.06</v>
      </c>
      <c r="G14164">
        <v>230101</v>
      </c>
      <c r="H14164">
        <v>4840</v>
      </c>
      <c r="I14164" t="s">
        <v>19</v>
      </c>
      <c r="J14164">
        <v>40.99</v>
      </c>
      <c r="K14164">
        <v>7.93</v>
      </c>
      <c r="L14164">
        <v>46557</v>
      </c>
      <c r="M14164" t="s">
        <v>221</v>
      </c>
      <c r="N14164" t="str">
        <f t="shared" si="193"/>
        <v>163418-11/19</v>
      </c>
      <c r="O14164">
        <v>221229</v>
      </c>
    </row>
    <row r="14165" spans="1:15" x14ac:dyDescent="0.25">
      <c r="A14165" t="s">
        <v>16</v>
      </c>
      <c r="B14165" t="s">
        <v>3221</v>
      </c>
      <c r="C14165">
        <v>22</v>
      </c>
      <c r="D14165" t="s">
        <v>3190</v>
      </c>
      <c r="E14165" t="s">
        <v>3191</v>
      </c>
      <c r="F14165">
        <v>1239.97</v>
      </c>
      <c r="G14165">
        <v>230101</v>
      </c>
      <c r="H14165">
        <v>4840</v>
      </c>
      <c r="I14165" t="s">
        <v>19</v>
      </c>
      <c r="J14165">
        <v>1537.56</v>
      </c>
      <c r="K14165">
        <v>297.58999999999997</v>
      </c>
      <c r="L14165">
        <v>46559</v>
      </c>
      <c r="M14165" t="s">
        <v>1104</v>
      </c>
      <c r="N14165" t="str">
        <f t="shared" si="193"/>
        <v>163418-11/19</v>
      </c>
      <c r="O14165">
        <v>221229</v>
      </c>
    </row>
    <row r="14166" spans="1:15" x14ac:dyDescent="0.25">
      <c r="A14166" t="s">
        <v>16</v>
      </c>
      <c r="B14166" t="s">
        <v>3221</v>
      </c>
      <c r="C14166">
        <v>22</v>
      </c>
      <c r="D14166" t="s">
        <v>3190</v>
      </c>
      <c r="E14166" t="s">
        <v>3191</v>
      </c>
      <c r="F14166">
        <v>2812.71</v>
      </c>
      <c r="G14166">
        <v>230101</v>
      </c>
      <c r="H14166">
        <v>4840</v>
      </c>
      <c r="I14166" t="s">
        <v>19</v>
      </c>
      <c r="J14166">
        <v>3487.76</v>
      </c>
      <c r="K14166">
        <v>675.05</v>
      </c>
      <c r="L14166">
        <v>47522</v>
      </c>
      <c r="M14166" t="s">
        <v>410</v>
      </c>
      <c r="N14166" t="str">
        <f t="shared" si="193"/>
        <v>163418-11/19</v>
      </c>
      <c r="O14166">
        <v>221229</v>
      </c>
    </row>
    <row r="14167" spans="1:15" x14ac:dyDescent="0.25">
      <c r="A14167" t="s">
        <v>16</v>
      </c>
      <c r="B14167" t="s">
        <v>3221</v>
      </c>
      <c r="C14167">
        <v>22</v>
      </c>
      <c r="D14167" t="s">
        <v>3190</v>
      </c>
      <c r="E14167" t="s">
        <v>3191</v>
      </c>
      <c r="F14167">
        <v>54.53</v>
      </c>
      <c r="G14167">
        <v>230101</v>
      </c>
      <c r="H14167">
        <v>4840</v>
      </c>
      <c r="I14167" t="s">
        <v>19</v>
      </c>
      <c r="J14167">
        <v>67.62</v>
      </c>
      <c r="K14167">
        <v>13.09</v>
      </c>
      <c r="L14167">
        <v>48601</v>
      </c>
      <c r="M14167" t="s">
        <v>1047</v>
      </c>
      <c r="N14167" t="str">
        <f t="shared" si="193"/>
        <v>163418-11/19</v>
      </c>
      <c r="O14167">
        <v>221229</v>
      </c>
    </row>
    <row r="14168" spans="1:15" x14ac:dyDescent="0.25">
      <c r="A14168" t="s">
        <v>16</v>
      </c>
      <c r="B14168" t="s">
        <v>3221</v>
      </c>
      <c r="C14168">
        <v>22</v>
      </c>
      <c r="D14168" t="s">
        <v>3190</v>
      </c>
      <c r="E14168" t="s">
        <v>3191</v>
      </c>
      <c r="F14168">
        <v>761.8</v>
      </c>
      <c r="G14168">
        <v>230101</v>
      </c>
      <c r="H14168">
        <v>4840</v>
      </c>
      <c r="I14168" t="s">
        <v>19</v>
      </c>
      <c r="J14168">
        <v>944.63</v>
      </c>
      <c r="K14168">
        <v>182.83</v>
      </c>
      <c r="L14168">
        <v>48601</v>
      </c>
      <c r="M14168" t="s">
        <v>1047</v>
      </c>
      <c r="N14168" t="str">
        <f t="shared" si="193"/>
        <v>163418-11/19</v>
      </c>
      <c r="O14168">
        <v>221229</v>
      </c>
    </row>
    <row r="14169" spans="1:15" x14ac:dyDescent="0.25">
      <c r="A14169" t="s">
        <v>16</v>
      </c>
      <c r="B14169" t="s">
        <v>3221</v>
      </c>
      <c r="C14169">
        <v>22</v>
      </c>
      <c r="D14169" t="s">
        <v>3190</v>
      </c>
      <c r="E14169" t="s">
        <v>3191</v>
      </c>
      <c r="F14169">
        <v>18.920000000000002</v>
      </c>
      <c r="G14169">
        <v>230101</v>
      </c>
      <c r="H14169">
        <v>4840</v>
      </c>
      <c r="I14169" t="s">
        <v>19</v>
      </c>
      <c r="J14169">
        <v>23.46</v>
      </c>
      <c r="K14169">
        <v>4.54</v>
      </c>
      <c r="L14169">
        <v>49112</v>
      </c>
      <c r="M14169" t="s">
        <v>233</v>
      </c>
      <c r="N14169" t="str">
        <f t="shared" si="193"/>
        <v>163418-11/19</v>
      </c>
      <c r="O14169">
        <v>221229</v>
      </c>
    </row>
    <row r="14170" spans="1:15" x14ac:dyDescent="0.25">
      <c r="A14170" t="s">
        <v>16</v>
      </c>
      <c r="B14170" t="s">
        <v>3221</v>
      </c>
      <c r="C14170">
        <v>22</v>
      </c>
      <c r="D14170" t="s">
        <v>3190</v>
      </c>
      <c r="E14170" t="s">
        <v>3191</v>
      </c>
      <c r="F14170">
        <v>429.1</v>
      </c>
      <c r="G14170">
        <v>230101</v>
      </c>
      <c r="H14170">
        <v>4840</v>
      </c>
      <c r="I14170" t="s">
        <v>19</v>
      </c>
      <c r="J14170">
        <v>532.08000000000004</v>
      </c>
      <c r="K14170">
        <v>102.98</v>
      </c>
      <c r="L14170">
        <v>49501</v>
      </c>
      <c r="M14170" t="s">
        <v>177</v>
      </c>
      <c r="N14170" t="str">
        <f t="shared" si="193"/>
        <v>163418-11/19</v>
      </c>
      <c r="O14170">
        <v>221229</v>
      </c>
    </row>
    <row r="14171" spans="1:15" x14ac:dyDescent="0.25">
      <c r="A14171" t="s">
        <v>16</v>
      </c>
      <c r="B14171" t="s">
        <v>3221</v>
      </c>
      <c r="C14171">
        <v>22</v>
      </c>
      <c r="D14171" t="s">
        <v>3190</v>
      </c>
      <c r="E14171" t="s">
        <v>3191</v>
      </c>
      <c r="F14171">
        <v>433.4</v>
      </c>
      <c r="G14171">
        <v>230101</v>
      </c>
      <c r="H14171">
        <v>4840</v>
      </c>
      <c r="I14171" t="s">
        <v>19</v>
      </c>
      <c r="J14171">
        <v>537.41999999999996</v>
      </c>
      <c r="K14171">
        <v>104.02</v>
      </c>
      <c r="L14171">
        <v>49701</v>
      </c>
      <c r="M14171" t="s">
        <v>166</v>
      </c>
      <c r="N14171" t="str">
        <f t="shared" si="193"/>
        <v>163418-11/19</v>
      </c>
      <c r="O14171">
        <v>221229</v>
      </c>
    </row>
    <row r="14172" spans="1:15" x14ac:dyDescent="0.25">
      <c r="A14172" t="s">
        <v>16</v>
      </c>
      <c r="B14172" t="s">
        <v>3221</v>
      </c>
      <c r="C14172">
        <v>22</v>
      </c>
      <c r="D14172" t="s">
        <v>3190</v>
      </c>
      <c r="E14172" t="s">
        <v>3191</v>
      </c>
      <c r="F14172">
        <v>409.84</v>
      </c>
      <c r="G14172">
        <v>230101</v>
      </c>
      <c r="H14172">
        <v>4840</v>
      </c>
      <c r="I14172" t="s">
        <v>19</v>
      </c>
      <c r="J14172">
        <v>508.2</v>
      </c>
      <c r="K14172">
        <v>98.36</v>
      </c>
      <c r="L14172">
        <v>49702</v>
      </c>
      <c r="M14172" t="s">
        <v>584</v>
      </c>
      <c r="N14172" t="str">
        <f t="shared" si="193"/>
        <v>163418-11/19</v>
      </c>
      <c r="O14172">
        <v>221229</v>
      </c>
    </row>
    <row r="14173" spans="1:15" x14ac:dyDescent="0.25">
      <c r="A14173" t="s">
        <v>16</v>
      </c>
      <c r="B14173" t="s">
        <v>3221</v>
      </c>
      <c r="C14173">
        <v>22</v>
      </c>
      <c r="D14173" t="s">
        <v>3190</v>
      </c>
      <c r="E14173" t="s">
        <v>3191</v>
      </c>
      <c r="F14173">
        <v>87.19</v>
      </c>
      <c r="G14173">
        <v>230101</v>
      </c>
      <c r="H14173">
        <v>4840</v>
      </c>
      <c r="I14173" t="s">
        <v>19</v>
      </c>
      <c r="J14173">
        <v>108.12</v>
      </c>
      <c r="K14173">
        <v>20.93</v>
      </c>
      <c r="L14173">
        <v>49704</v>
      </c>
      <c r="M14173" t="s">
        <v>1065</v>
      </c>
      <c r="N14173" t="str">
        <f t="shared" si="193"/>
        <v>163418-11/19</v>
      </c>
      <c r="O14173">
        <v>221229</v>
      </c>
    </row>
    <row r="14174" spans="1:15" x14ac:dyDescent="0.25">
      <c r="A14174" t="s">
        <v>16</v>
      </c>
      <c r="B14174" t="s">
        <v>3221</v>
      </c>
      <c r="C14174">
        <v>22</v>
      </c>
      <c r="D14174" t="s">
        <v>3190</v>
      </c>
      <c r="E14174" t="s">
        <v>3191</v>
      </c>
      <c r="F14174">
        <v>138.07</v>
      </c>
      <c r="G14174">
        <v>230101</v>
      </c>
      <c r="H14174">
        <v>4840</v>
      </c>
      <c r="I14174" t="s">
        <v>19</v>
      </c>
      <c r="J14174">
        <v>171.21</v>
      </c>
      <c r="K14174">
        <v>33.14</v>
      </c>
      <c r="L14174">
        <v>49705</v>
      </c>
      <c r="M14174" t="s">
        <v>575</v>
      </c>
      <c r="N14174" t="str">
        <f t="shared" si="193"/>
        <v>163418-11/19</v>
      </c>
      <c r="O14174">
        <v>221229</v>
      </c>
    </row>
    <row r="14175" spans="1:15" x14ac:dyDescent="0.25">
      <c r="A14175" t="s">
        <v>16</v>
      </c>
      <c r="B14175" t="s">
        <v>3221</v>
      </c>
      <c r="C14175">
        <v>30</v>
      </c>
      <c r="D14175" t="s">
        <v>3190</v>
      </c>
      <c r="E14175" t="s">
        <v>3191</v>
      </c>
      <c r="F14175">
        <v>6531.38</v>
      </c>
      <c r="G14175">
        <v>230101</v>
      </c>
      <c r="H14175">
        <v>4840</v>
      </c>
      <c r="I14175" t="s">
        <v>19</v>
      </c>
      <c r="J14175">
        <v>8098.91</v>
      </c>
      <c r="K14175">
        <v>1567.53</v>
      </c>
      <c r="L14175">
        <v>13401</v>
      </c>
      <c r="M14175" t="s">
        <v>80</v>
      </c>
      <c r="N14175" t="str">
        <f>"163418-15/19"</f>
        <v>163418-15/19</v>
      </c>
      <c r="O14175">
        <v>221229</v>
      </c>
    </row>
    <row r="14176" spans="1:15" x14ac:dyDescent="0.25">
      <c r="A14176" t="s">
        <v>16</v>
      </c>
      <c r="B14176" t="s">
        <v>3221</v>
      </c>
      <c r="C14176">
        <v>30</v>
      </c>
      <c r="D14176" t="s">
        <v>3190</v>
      </c>
      <c r="E14176" t="s">
        <v>3191</v>
      </c>
      <c r="F14176">
        <v>100.65</v>
      </c>
      <c r="G14176">
        <v>230101</v>
      </c>
      <c r="H14176">
        <v>4840</v>
      </c>
      <c r="I14176" t="s">
        <v>19</v>
      </c>
      <c r="J14176">
        <v>124.81</v>
      </c>
      <c r="K14176">
        <v>24.16</v>
      </c>
      <c r="L14176">
        <v>13401</v>
      </c>
      <c r="M14176" t="s">
        <v>80</v>
      </c>
      <c r="N14176" t="str">
        <f>"163418-15/19"</f>
        <v>163418-15/19</v>
      </c>
      <c r="O14176">
        <v>221229</v>
      </c>
    </row>
    <row r="14177" spans="1:15" x14ac:dyDescent="0.25">
      <c r="A14177" t="s">
        <v>16</v>
      </c>
      <c r="B14177" t="s">
        <v>3221</v>
      </c>
      <c r="C14177">
        <v>30</v>
      </c>
      <c r="D14177" t="s">
        <v>3190</v>
      </c>
      <c r="E14177" t="s">
        <v>3191</v>
      </c>
      <c r="F14177">
        <v>158.30000000000001</v>
      </c>
      <c r="G14177">
        <v>230101</v>
      </c>
      <c r="H14177">
        <v>4840</v>
      </c>
      <c r="I14177" t="s">
        <v>19</v>
      </c>
      <c r="J14177">
        <v>196.29</v>
      </c>
      <c r="K14177">
        <v>37.99</v>
      </c>
      <c r="L14177">
        <v>13401</v>
      </c>
      <c r="M14177" t="s">
        <v>80</v>
      </c>
      <c r="N14177" t="str">
        <f>"163418-15/19"</f>
        <v>163418-15/19</v>
      </c>
      <c r="O14177">
        <v>221229</v>
      </c>
    </row>
    <row r="14178" spans="1:15" x14ac:dyDescent="0.25">
      <c r="A14178" t="s">
        <v>16</v>
      </c>
      <c r="B14178" t="s">
        <v>3221</v>
      </c>
      <c r="C14178">
        <v>33</v>
      </c>
      <c r="D14178" t="s">
        <v>3190</v>
      </c>
      <c r="E14178" t="s">
        <v>3191</v>
      </c>
      <c r="F14178">
        <v>794.24</v>
      </c>
      <c r="G14178">
        <v>230101</v>
      </c>
      <c r="H14178">
        <v>4840</v>
      </c>
      <c r="I14178" t="s">
        <v>19</v>
      </c>
      <c r="J14178">
        <v>984.86</v>
      </c>
      <c r="K14178">
        <v>190.62</v>
      </c>
      <c r="L14178">
        <v>13601</v>
      </c>
      <c r="M14178" t="s">
        <v>147</v>
      </c>
      <c r="N14178" t="str">
        <f>"163418-12/19"</f>
        <v>163418-12/19</v>
      </c>
      <c r="O14178">
        <v>221230</v>
      </c>
    </row>
    <row r="14179" spans="1:15" x14ac:dyDescent="0.25">
      <c r="A14179" t="s">
        <v>16</v>
      </c>
      <c r="B14179" t="s">
        <v>3221</v>
      </c>
      <c r="C14179">
        <v>33</v>
      </c>
      <c r="D14179" t="s">
        <v>3190</v>
      </c>
      <c r="E14179" t="s">
        <v>3191</v>
      </c>
      <c r="F14179">
        <v>55.38</v>
      </c>
      <c r="G14179">
        <v>230101</v>
      </c>
      <c r="H14179">
        <v>4840</v>
      </c>
      <c r="I14179" t="s">
        <v>19</v>
      </c>
      <c r="J14179">
        <v>68.67</v>
      </c>
      <c r="K14179">
        <v>13.29</v>
      </c>
      <c r="L14179">
        <v>13601</v>
      </c>
      <c r="M14179" t="s">
        <v>147</v>
      </c>
      <c r="N14179" t="str">
        <f>"163418-12/19"</f>
        <v>163418-12/19</v>
      </c>
      <c r="O14179">
        <v>221230</v>
      </c>
    </row>
    <row r="14180" spans="1:15" x14ac:dyDescent="0.25">
      <c r="A14180" t="s">
        <v>16</v>
      </c>
      <c r="B14180" t="s">
        <v>3221</v>
      </c>
      <c r="C14180">
        <v>33</v>
      </c>
      <c r="D14180" t="s">
        <v>3190</v>
      </c>
      <c r="E14180" t="s">
        <v>3191</v>
      </c>
      <c r="F14180">
        <v>42.08</v>
      </c>
      <c r="G14180">
        <v>230101</v>
      </c>
      <c r="H14180">
        <v>4840</v>
      </c>
      <c r="I14180" t="s">
        <v>19</v>
      </c>
      <c r="J14180">
        <v>52.18</v>
      </c>
      <c r="K14180">
        <v>10.1</v>
      </c>
      <c r="L14180">
        <v>13801</v>
      </c>
      <c r="M14180" t="s">
        <v>162</v>
      </c>
      <c r="N14180" t="str">
        <f>"163418-12/19"</f>
        <v>163418-12/19</v>
      </c>
      <c r="O14180">
        <v>221230</v>
      </c>
    </row>
    <row r="14181" spans="1:15" x14ac:dyDescent="0.25">
      <c r="A14181" t="s">
        <v>16</v>
      </c>
      <c r="B14181" t="s">
        <v>3221</v>
      </c>
      <c r="C14181">
        <v>34</v>
      </c>
      <c r="D14181" t="s">
        <v>3190</v>
      </c>
      <c r="E14181" t="s">
        <v>3191</v>
      </c>
      <c r="F14181">
        <v>25.83</v>
      </c>
      <c r="G14181">
        <v>230101</v>
      </c>
      <c r="H14181">
        <v>4840</v>
      </c>
      <c r="I14181" t="s">
        <v>19</v>
      </c>
      <c r="J14181">
        <v>32.03</v>
      </c>
      <c r="K14181">
        <v>6.2</v>
      </c>
      <c r="L14181">
        <v>11801</v>
      </c>
      <c r="M14181" t="s">
        <v>92</v>
      </c>
      <c r="N14181" t="str">
        <f t="shared" ref="N14181:N14214" si="194">"9163418-6/19"</f>
        <v>9163418-6/19</v>
      </c>
      <c r="O14181">
        <v>221230</v>
      </c>
    </row>
    <row r="14182" spans="1:15" x14ac:dyDescent="0.25">
      <c r="A14182" t="s">
        <v>16</v>
      </c>
      <c r="B14182" t="s">
        <v>3221</v>
      </c>
      <c r="C14182">
        <v>34</v>
      </c>
      <c r="D14182" t="s">
        <v>3190</v>
      </c>
      <c r="E14182" t="s">
        <v>3191</v>
      </c>
      <c r="F14182">
        <v>72.97</v>
      </c>
      <c r="G14182">
        <v>230101</v>
      </c>
      <c r="H14182">
        <v>4840</v>
      </c>
      <c r="I14182" t="s">
        <v>19</v>
      </c>
      <c r="J14182">
        <v>90.48</v>
      </c>
      <c r="K14182">
        <v>17.510000000000002</v>
      </c>
      <c r="L14182">
        <v>13540</v>
      </c>
      <c r="M14182" t="s">
        <v>85</v>
      </c>
      <c r="N14182" t="str">
        <f t="shared" si="194"/>
        <v>9163418-6/19</v>
      </c>
      <c r="O14182">
        <v>221230</v>
      </c>
    </row>
    <row r="14183" spans="1:15" x14ac:dyDescent="0.25">
      <c r="A14183" t="s">
        <v>16</v>
      </c>
      <c r="B14183" t="s">
        <v>3221</v>
      </c>
      <c r="C14183">
        <v>34</v>
      </c>
      <c r="D14183" t="s">
        <v>3190</v>
      </c>
      <c r="E14183" t="s">
        <v>3191</v>
      </c>
      <c r="F14183">
        <v>175.68</v>
      </c>
      <c r="G14183">
        <v>230101</v>
      </c>
      <c r="H14183">
        <v>4840</v>
      </c>
      <c r="I14183" t="s">
        <v>19</v>
      </c>
      <c r="J14183">
        <v>217.84</v>
      </c>
      <c r="K14183">
        <v>42.16</v>
      </c>
      <c r="L14183">
        <v>16121</v>
      </c>
      <c r="M14183" t="s">
        <v>21</v>
      </c>
      <c r="N14183" t="str">
        <f t="shared" si="194"/>
        <v>9163418-6/19</v>
      </c>
      <c r="O14183">
        <v>221230</v>
      </c>
    </row>
    <row r="14184" spans="1:15" x14ac:dyDescent="0.25">
      <c r="A14184" t="s">
        <v>16</v>
      </c>
      <c r="B14184" t="s">
        <v>3221</v>
      </c>
      <c r="C14184">
        <v>34</v>
      </c>
      <c r="D14184" t="s">
        <v>3190</v>
      </c>
      <c r="E14184" t="s">
        <v>3191</v>
      </c>
      <c r="F14184">
        <v>737.73</v>
      </c>
      <c r="G14184">
        <v>230101</v>
      </c>
      <c r="H14184">
        <v>4840</v>
      </c>
      <c r="I14184" t="s">
        <v>19</v>
      </c>
      <c r="J14184">
        <v>914.79</v>
      </c>
      <c r="K14184">
        <v>177.06</v>
      </c>
      <c r="L14184">
        <v>16820</v>
      </c>
      <c r="M14184" t="s">
        <v>23</v>
      </c>
      <c r="N14184" t="str">
        <f t="shared" si="194"/>
        <v>9163418-6/19</v>
      </c>
      <c r="O14184">
        <v>221230</v>
      </c>
    </row>
    <row r="14185" spans="1:15" x14ac:dyDescent="0.25">
      <c r="A14185" t="s">
        <v>16</v>
      </c>
      <c r="B14185" t="s">
        <v>3221</v>
      </c>
      <c r="C14185">
        <v>34</v>
      </c>
      <c r="D14185" t="s">
        <v>3190</v>
      </c>
      <c r="E14185" t="s">
        <v>3191</v>
      </c>
      <c r="F14185">
        <v>38.5</v>
      </c>
      <c r="G14185">
        <v>230101</v>
      </c>
      <c r="H14185">
        <v>4840</v>
      </c>
      <c r="I14185" t="s">
        <v>19</v>
      </c>
      <c r="J14185">
        <v>47.74</v>
      </c>
      <c r="K14185">
        <v>9.24</v>
      </c>
      <c r="L14185">
        <v>16915</v>
      </c>
      <c r="M14185" t="s">
        <v>1519</v>
      </c>
      <c r="N14185" t="str">
        <f t="shared" si="194"/>
        <v>9163418-6/19</v>
      </c>
      <c r="O14185">
        <v>221230</v>
      </c>
    </row>
    <row r="14186" spans="1:15" x14ac:dyDescent="0.25">
      <c r="A14186" t="s">
        <v>16</v>
      </c>
      <c r="B14186" t="s">
        <v>3221</v>
      </c>
      <c r="C14186">
        <v>34</v>
      </c>
      <c r="D14186" t="s">
        <v>3190</v>
      </c>
      <c r="E14186" t="s">
        <v>3191</v>
      </c>
      <c r="F14186">
        <v>371.37</v>
      </c>
      <c r="G14186">
        <v>230101</v>
      </c>
      <c r="H14186">
        <v>4840</v>
      </c>
      <c r="I14186" t="s">
        <v>19</v>
      </c>
      <c r="J14186">
        <v>460.5</v>
      </c>
      <c r="K14186">
        <v>89.13</v>
      </c>
      <c r="L14186">
        <v>16930</v>
      </c>
      <c r="M14186" t="s">
        <v>450</v>
      </c>
      <c r="N14186" t="str">
        <f t="shared" si="194"/>
        <v>9163418-6/19</v>
      </c>
      <c r="O14186">
        <v>221230</v>
      </c>
    </row>
    <row r="14187" spans="1:15" x14ac:dyDescent="0.25">
      <c r="A14187" t="s">
        <v>16</v>
      </c>
      <c r="B14187" t="s">
        <v>3221</v>
      </c>
      <c r="C14187">
        <v>34</v>
      </c>
      <c r="D14187" t="s">
        <v>3190</v>
      </c>
      <c r="E14187" t="s">
        <v>3191</v>
      </c>
      <c r="F14187">
        <v>777.72</v>
      </c>
      <c r="G14187">
        <v>230101</v>
      </c>
      <c r="H14187">
        <v>4840</v>
      </c>
      <c r="I14187" t="s">
        <v>19</v>
      </c>
      <c r="J14187">
        <v>964.37</v>
      </c>
      <c r="K14187">
        <v>186.65</v>
      </c>
      <c r="L14187">
        <v>17521</v>
      </c>
      <c r="M14187" t="s">
        <v>133</v>
      </c>
      <c r="N14187" t="str">
        <f t="shared" si="194"/>
        <v>9163418-6/19</v>
      </c>
      <c r="O14187">
        <v>221230</v>
      </c>
    </row>
    <row r="14188" spans="1:15" x14ac:dyDescent="0.25">
      <c r="A14188" t="s">
        <v>16</v>
      </c>
      <c r="B14188" t="s">
        <v>3221</v>
      </c>
      <c r="C14188">
        <v>34</v>
      </c>
      <c r="D14188" t="s">
        <v>3190</v>
      </c>
      <c r="E14188" t="s">
        <v>3191</v>
      </c>
      <c r="F14188">
        <v>502.83</v>
      </c>
      <c r="G14188">
        <v>230101</v>
      </c>
      <c r="H14188">
        <v>4840</v>
      </c>
      <c r="I14188" t="s">
        <v>19</v>
      </c>
      <c r="J14188">
        <v>623.51</v>
      </c>
      <c r="K14188">
        <v>120.68</v>
      </c>
      <c r="L14188">
        <v>17522</v>
      </c>
      <c r="M14188" t="s">
        <v>451</v>
      </c>
      <c r="N14188" t="str">
        <f t="shared" si="194"/>
        <v>9163418-6/19</v>
      </c>
      <c r="O14188">
        <v>221230</v>
      </c>
    </row>
    <row r="14189" spans="1:15" x14ac:dyDescent="0.25">
      <c r="A14189" t="s">
        <v>16</v>
      </c>
      <c r="B14189" t="s">
        <v>3221</v>
      </c>
      <c r="C14189">
        <v>34</v>
      </c>
      <c r="D14189" t="s">
        <v>3190</v>
      </c>
      <c r="E14189" t="s">
        <v>3191</v>
      </c>
      <c r="F14189">
        <v>44.02</v>
      </c>
      <c r="G14189">
        <v>230101</v>
      </c>
      <c r="H14189">
        <v>4840</v>
      </c>
      <c r="I14189" t="s">
        <v>19</v>
      </c>
      <c r="J14189">
        <v>54.58</v>
      </c>
      <c r="K14189">
        <v>10.56</v>
      </c>
      <c r="L14189">
        <v>17523</v>
      </c>
      <c r="M14189" t="s">
        <v>134</v>
      </c>
      <c r="N14189" t="str">
        <f t="shared" si="194"/>
        <v>9163418-6/19</v>
      </c>
      <c r="O14189">
        <v>221230</v>
      </c>
    </row>
    <row r="14190" spans="1:15" x14ac:dyDescent="0.25">
      <c r="A14190" t="s">
        <v>16</v>
      </c>
      <c r="B14190" t="s">
        <v>3221</v>
      </c>
      <c r="C14190">
        <v>34</v>
      </c>
      <c r="D14190" t="s">
        <v>3190</v>
      </c>
      <c r="E14190" t="s">
        <v>3191</v>
      </c>
      <c r="F14190">
        <v>597.52</v>
      </c>
      <c r="G14190">
        <v>230101</v>
      </c>
      <c r="H14190">
        <v>4840</v>
      </c>
      <c r="I14190" t="s">
        <v>19</v>
      </c>
      <c r="J14190">
        <v>740.92</v>
      </c>
      <c r="K14190">
        <v>143.4</v>
      </c>
      <c r="L14190">
        <v>17523</v>
      </c>
      <c r="M14190" t="s">
        <v>134</v>
      </c>
      <c r="N14190" t="str">
        <f t="shared" si="194"/>
        <v>9163418-6/19</v>
      </c>
      <c r="O14190">
        <v>221230</v>
      </c>
    </row>
    <row r="14191" spans="1:15" x14ac:dyDescent="0.25">
      <c r="A14191" t="s">
        <v>16</v>
      </c>
      <c r="B14191" t="s">
        <v>3221</v>
      </c>
      <c r="C14191">
        <v>34</v>
      </c>
      <c r="D14191" t="s">
        <v>3190</v>
      </c>
      <c r="E14191" t="s">
        <v>3191</v>
      </c>
      <c r="F14191">
        <v>222.28</v>
      </c>
      <c r="G14191">
        <v>230101</v>
      </c>
      <c r="H14191">
        <v>4840</v>
      </c>
      <c r="I14191" t="s">
        <v>19</v>
      </c>
      <c r="J14191">
        <v>275.63</v>
      </c>
      <c r="K14191">
        <v>53.35</v>
      </c>
      <c r="L14191">
        <v>17524</v>
      </c>
      <c r="M14191" t="s">
        <v>452</v>
      </c>
      <c r="N14191" t="str">
        <f t="shared" si="194"/>
        <v>9163418-6/19</v>
      </c>
      <c r="O14191">
        <v>221230</v>
      </c>
    </row>
    <row r="14192" spans="1:15" x14ac:dyDescent="0.25">
      <c r="A14192" t="s">
        <v>16</v>
      </c>
      <c r="B14192" t="s">
        <v>3221</v>
      </c>
      <c r="C14192">
        <v>34</v>
      </c>
      <c r="D14192" t="s">
        <v>3190</v>
      </c>
      <c r="E14192" t="s">
        <v>3191</v>
      </c>
      <c r="F14192">
        <v>78.5</v>
      </c>
      <c r="G14192">
        <v>230101</v>
      </c>
      <c r="H14192">
        <v>4840</v>
      </c>
      <c r="I14192" t="s">
        <v>19</v>
      </c>
      <c r="J14192">
        <v>97.34</v>
      </c>
      <c r="K14192">
        <v>18.84</v>
      </c>
      <c r="L14192">
        <v>17525</v>
      </c>
      <c r="M14192" t="s">
        <v>135</v>
      </c>
      <c r="N14192" t="str">
        <f t="shared" si="194"/>
        <v>9163418-6/19</v>
      </c>
      <c r="O14192">
        <v>221230</v>
      </c>
    </row>
    <row r="14193" spans="1:15" x14ac:dyDescent="0.25">
      <c r="A14193" t="s">
        <v>16</v>
      </c>
      <c r="B14193" t="s">
        <v>3221</v>
      </c>
      <c r="C14193">
        <v>34</v>
      </c>
      <c r="D14193" t="s">
        <v>3190</v>
      </c>
      <c r="E14193" t="s">
        <v>3191</v>
      </c>
      <c r="F14193">
        <v>188.01</v>
      </c>
      <c r="G14193">
        <v>230101</v>
      </c>
      <c r="H14193">
        <v>4840</v>
      </c>
      <c r="I14193" t="s">
        <v>19</v>
      </c>
      <c r="J14193">
        <v>233.13</v>
      </c>
      <c r="K14193">
        <v>45.12</v>
      </c>
      <c r="L14193">
        <v>17526</v>
      </c>
      <c r="M14193" t="s">
        <v>437</v>
      </c>
      <c r="N14193" t="str">
        <f t="shared" si="194"/>
        <v>9163418-6/19</v>
      </c>
      <c r="O14193">
        <v>221230</v>
      </c>
    </row>
    <row r="14194" spans="1:15" x14ac:dyDescent="0.25">
      <c r="A14194" t="s">
        <v>16</v>
      </c>
      <c r="B14194" t="s">
        <v>3221</v>
      </c>
      <c r="C14194">
        <v>34</v>
      </c>
      <c r="D14194" t="s">
        <v>3190</v>
      </c>
      <c r="E14194" t="s">
        <v>3191</v>
      </c>
      <c r="F14194">
        <v>443.88</v>
      </c>
      <c r="G14194">
        <v>230101</v>
      </c>
      <c r="H14194">
        <v>4840</v>
      </c>
      <c r="I14194" t="s">
        <v>19</v>
      </c>
      <c r="J14194">
        <v>550.41</v>
      </c>
      <c r="K14194">
        <v>106.53</v>
      </c>
      <c r="L14194">
        <v>17527</v>
      </c>
      <c r="M14194" t="s">
        <v>422</v>
      </c>
      <c r="N14194" t="str">
        <f t="shared" si="194"/>
        <v>9163418-6/19</v>
      </c>
      <c r="O14194">
        <v>221230</v>
      </c>
    </row>
    <row r="14195" spans="1:15" x14ac:dyDescent="0.25">
      <c r="A14195" t="s">
        <v>16</v>
      </c>
      <c r="B14195" t="s">
        <v>3221</v>
      </c>
      <c r="C14195">
        <v>34</v>
      </c>
      <c r="D14195" t="s">
        <v>3190</v>
      </c>
      <c r="E14195" t="s">
        <v>3191</v>
      </c>
      <c r="F14195">
        <v>322.05</v>
      </c>
      <c r="G14195">
        <v>230101</v>
      </c>
      <c r="H14195">
        <v>4840</v>
      </c>
      <c r="I14195" t="s">
        <v>19</v>
      </c>
      <c r="J14195">
        <v>399.34</v>
      </c>
      <c r="K14195">
        <v>77.290000000000006</v>
      </c>
      <c r="L14195">
        <v>17529</v>
      </c>
      <c r="M14195" t="s">
        <v>453</v>
      </c>
      <c r="N14195" t="str">
        <f t="shared" si="194"/>
        <v>9163418-6/19</v>
      </c>
      <c r="O14195">
        <v>221230</v>
      </c>
    </row>
    <row r="14196" spans="1:15" x14ac:dyDescent="0.25">
      <c r="A14196" t="s">
        <v>16</v>
      </c>
      <c r="B14196" t="s">
        <v>3221</v>
      </c>
      <c r="C14196">
        <v>34</v>
      </c>
      <c r="D14196" t="s">
        <v>3190</v>
      </c>
      <c r="E14196" t="s">
        <v>3191</v>
      </c>
      <c r="F14196">
        <v>900.94</v>
      </c>
      <c r="G14196">
        <v>230101</v>
      </c>
      <c r="H14196">
        <v>4840</v>
      </c>
      <c r="I14196" t="s">
        <v>19</v>
      </c>
      <c r="J14196">
        <v>1117.17</v>
      </c>
      <c r="K14196">
        <v>216.23</v>
      </c>
      <c r="L14196">
        <v>17530</v>
      </c>
      <c r="M14196" t="s">
        <v>454</v>
      </c>
      <c r="N14196" t="str">
        <f t="shared" si="194"/>
        <v>9163418-6/19</v>
      </c>
      <c r="O14196">
        <v>221230</v>
      </c>
    </row>
    <row r="14197" spans="1:15" x14ac:dyDescent="0.25">
      <c r="A14197" t="s">
        <v>16</v>
      </c>
      <c r="B14197" t="s">
        <v>3221</v>
      </c>
      <c r="C14197">
        <v>34</v>
      </c>
      <c r="D14197" t="s">
        <v>3190</v>
      </c>
      <c r="E14197" t="s">
        <v>3191</v>
      </c>
      <c r="F14197">
        <v>128.35</v>
      </c>
      <c r="G14197">
        <v>230101</v>
      </c>
      <c r="H14197">
        <v>4840</v>
      </c>
      <c r="I14197" t="s">
        <v>19</v>
      </c>
      <c r="J14197">
        <v>159.15</v>
      </c>
      <c r="K14197">
        <v>30.8</v>
      </c>
      <c r="L14197">
        <v>17531</v>
      </c>
      <c r="M14197" t="s">
        <v>136</v>
      </c>
      <c r="N14197" t="str">
        <f t="shared" si="194"/>
        <v>9163418-6/19</v>
      </c>
      <c r="O14197">
        <v>221230</v>
      </c>
    </row>
    <row r="14198" spans="1:15" x14ac:dyDescent="0.25">
      <c r="A14198" t="s">
        <v>16</v>
      </c>
      <c r="B14198" t="s">
        <v>3221</v>
      </c>
      <c r="C14198">
        <v>34</v>
      </c>
      <c r="D14198" t="s">
        <v>3190</v>
      </c>
      <c r="E14198" t="s">
        <v>3191</v>
      </c>
      <c r="F14198">
        <v>240.35</v>
      </c>
      <c r="G14198">
        <v>230101</v>
      </c>
      <c r="H14198">
        <v>4840</v>
      </c>
      <c r="I14198" t="s">
        <v>19</v>
      </c>
      <c r="J14198">
        <v>298.02999999999997</v>
      </c>
      <c r="K14198">
        <v>57.68</v>
      </c>
      <c r="L14198">
        <v>17532</v>
      </c>
      <c r="M14198" t="s">
        <v>543</v>
      </c>
      <c r="N14198" t="str">
        <f t="shared" si="194"/>
        <v>9163418-6/19</v>
      </c>
      <c r="O14198">
        <v>221230</v>
      </c>
    </row>
    <row r="14199" spans="1:15" x14ac:dyDescent="0.25">
      <c r="A14199" t="s">
        <v>16</v>
      </c>
      <c r="B14199" t="s">
        <v>3221</v>
      </c>
      <c r="C14199">
        <v>34</v>
      </c>
      <c r="D14199" t="s">
        <v>3190</v>
      </c>
      <c r="E14199" t="s">
        <v>3191</v>
      </c>
      <c r="F14199">
        <v>146.36000000000001</v>
      </c>
      <c r="G14199">
        <v>230101</v>
      </c>
      <c r="H14199">
        <v>4840</v>
      </c>
      <c r="I14199" t="s">
        <v>19</v>
      </c>
      <c r="J14199">
        <v>181.49</v>
      </c>
      <c r="K14199">
        <v>35.130000000000003</v>
      </c>
      <c r="L14199">
        <v>17533</v>
      </c>
      <c r="M14199" t="s">
        <v>990</v>
      </c>
      <c r="N14199" t="str">
        <f t="shared" si="194"/>
        <v>9163418-6/19</v>
      </c>
      <c r="O14199">
        <v>221230</v>
      </c>
    </row>
    <row r="14200" spans="1:15" x14ac:dyDescent="0.25">
      <c r="A14200" t="s">
        <v>16</v>
      </c>
      <c r="B14200" t="s">
        <v>3221</v>
      </c>
      <c r="C14200">
        <v>34</v>
      </c>
      <c r="D14200" t="s">
        <v>3190</v>
      </c>
      <c r="E14200" t="s">
        <v>3191</v>
      </c>
      <c r="F14200">
        <v>47.32</v>
      </c>
      <c r="G14200">
        <v>230101</v>
      </c>
      <c r="H14200">
        <v>4840</v>
      </c>
      <c r="I14200" t="s">
        <v>19</v>
      </c>
      <c r="J14200">
        <v>58.68</v>
      </c>
      <c r="K14200">
        <v>11.36</v>
      </c>
      <c r="L14200">
        <v>17534</v>
      </c>
      <c r="M14200" t="s">
        <v>440</v>
      </c>
      <c r="N14200" t="str">
        <f t="shared" si="194"/>
        <v>9163418-6/19</v>
      </c>
      <c r="O14200">
        <v>221230</v>
      </c>
    </row>
    <row r="14201" spans="1:15" x14ac:dyDescent="0.25">
      <c r="A14201" t="s">
        <v>16</v>
      </c>
      <c r="B14201" t="s">
        <v>3221</v>
      </c>
      <c r="C14201">
        <v>34</v>
      </c>
      <c r="D14201" t="s">
        <v>3190</v>
      </c>
      <c r="E14201" t="s">
        <v>3191</v>
      </c>
      <c r="F14201">
        <v>137.36000000000001</v>
      </c>
      <c r="G14201">
        <v>230101</v>
      </c>
      <c r="H14201">
        <v>4840</v>
      </c>
      <c r="I14201" t="s">
        <v>19</v>
      </c>
      <c r="J14201">
        <v>170.33</v>
      </c>
      <c r="K14201">
        <v>32.97</v>
      </c>
      <c r="L14201">
        <v>17535</v>
      </c>
      <c r="M14201" t="s">
        <v>357</v>
      </c>
      <c r="N14201" t="str">
        <f t="shared" si="194"/>
        <v>9163418-6/19</v>
      </c>
      <c r="O14201">
        <v>221230</v>
      </c>
    </row>
    <row r="14202" spans="1:15" x14ac:dyDescent="0.25">
      <c r="A14202" t="s">
        <v>16</v>
      </c>
      <c r="B14202" t="s">
        <v>3221</v>
      </c>
      <c r="C14202">
        <v>34</v>
      </c>
      <c r="D14202" t="s">
        <v>3190</v>
      </c>
      <c r="E14202" t="s">
        <v>3191</v>
      </c>
      <c r="F14202">
        <v>47.32</v>
      </c>
      <c r="G14202">
        <v>230101</v>
      </c>
      <c r="H14202">
        <v>4840</v>
      </c>
      <c r="I14202" t="s">
        <v>19</v>
      </c>
      <c r="J14202">
        <v>58.68</v>
      </c>
      <c r="K14202">
        <v>11.36</v>
      </c>
      <c r="L14202">
        <v>17536</v>
      </c>
      <c r="M14202" t="s">
        <v>734</v>
      </c>
      <c r="N14202" t="str">
        <f t="shared" si="194"/>
        <v>9163418-6/19</v>
      </c>
      <c r="O14202">
        <v>221230</v>
      </c>
    </row>
    <row r="14203" spans="1:15" x14ac:dyDescent="0.25">
      <c r="A14203" t="s">
        <v>16</v>
      </c>
      <c r="B14203" t="s">
        <v>3221</v>
      </c>
      <c r="C14203">
        <v>34</v>
      </c>
      <c r="D14203" t="s">
        <v>3190</v>
      </c>
      <c r="E14203" t="s">
        <v>3191</v>
      </c>
      <c r="F14203">
        <v>12.98</v>
      </c>
      <c r="G14203">
        <v>230101</v>
      </c>
      <c r="H14203">
        <v>4840</v>
      </c>
      <c r="I14203" t="s">
        <v>19</v>
      </c>
      <c r="J14203">
        <v>16.100000000000001</v>
      </c>
      <c r="K14203">
        <v>3.12</v>
      </c>
      <c r="L14203">
        <v>17537</v>
      </c>
      <c r="M14203" t="s">
        <v>455</v>
      </c>
      <c r="N14203" t="str">
        <f t="shared" si="194"/>
        <v>9163418-6/19</v>
      </c>
      <c r="O14203">
        <v>221230</v>
      </c>
    </row>
    <row r="14204" spans="1:15" x14ac:dyDescent="0.25">
      <c r="A14204" t="s">
        <v>16</v>
      </c>
      <c r="B14204" t="s">
        <v>3221</v>
      </c>
      <c r="C14204">
        <v>34</v>
      </c>
      <c r="D14204" t="s">
        <v>3190</v>
      </c>
      <c r="E14204" t="s">
        <v>3191</v>
      </c>
      <c r="F14204">
        <v>47.56</v>
      </c>
      <c r="G14204">
        <v>230101</v>
      </c>
      <c r="H14204">
        <v>4840</v>
      </c>
      <c r="I14204" t="s">
        <v>19</v>
      </c>
      <c r="J14204">
        <v>58.97</v>
      </c>
      <c r="K14204">
        <v>11.41</v>
      </c>
      <c r="L14204">
        <v>17537</v>
      </c>
      <c r="M14204" t="s">
        <v>455</v>
      </c>
      <c r="N14204" t="str">
        <f t="shared" si="194"/>
        <v>9163418-6/19</v>
      </c>
      <c r="O14204">
        <v>221230</v>
      </c>
    </row>
    <row r="14205" spans="1:15" x14ac:dyDescent="0.25">
      <c r="A14205" t="s">
        <v>16</v>
      </c>
      <c r="B14205" t="s">
        <v>3221</v>
      </c>
      <c r="C14205">
        <v>34</v>
      </c>
      <c r="D14205" t="s">
        <v>3190</v>
      </c>
      <c r="E14205" t="s">
        <v>3191</v>
      </c>
      <c r="F14205">
        <v>1765.18</v>
      </c>
      <c r="G14205">
        <v>230101</v>
      </c>
      <c r="H14205">
        <v>4840</v>
      </c>
      <c r="I14205" t="s">
        <v>19</v>
      </c>
      <c r="J14205">
        <v>2188.8200000000002</v>
      </c>
      <c r="K14205">
        <v>423.64</v>
      </c>
      <c r="L14205">
        <v>17537</v>
      </c>
      <c r="M14205" t="s">
        <v>455</v>
      </c>
      <c r="N14205" t="str">
        <f t="shared" si="194"/>
        <v>9163418-6/19</v>
      </c>
      <c r="O14205">
        <v>221230</v>
      </c>
    </row>
    <row r="14206" spans="1:15" x14ac:dyDescent="0.25">
      <c r="A14206" t="s">
        <v>16</v>
      </c>
      <c r="B14206" t="s">
        <v>3221</v>
      </c>
      <c r="C14206">
        <v>34</v>
      </c>
      <c r="D14206" t="s">
        <v>3190</v>
      </c>
      <c r="E14206" t="s">
        <v>3191</v>
      </c>
      <c r="F14206">
        <v>1875.27</v>
      </c>
      <c r="G14206">
        <v>230101</v>
      </c>
      <c r="H14206">
        <v>4840</v>
      </c>
      <c r="I14206" t="s">
        <v>19</v>
      </c>
      <c r="J14206">
        <v>2325.33</v>
      </c>
      <c r="K14206">
        <v>450.06</v>
      </c>
      <c r="L14206">
        <v>17538</v>
      </c>
      <c r="M14206" t="s">
        <v>24</v>
      </c>
      <c r="N14206" t="str">
        <f t="shared" si="194"/>
        <v>9163418-6/19</v>
      </c>
      <c r="O14206">
        <v>221230</v>
      </c>
    </row>
    <row r="14207" spans="1:15" x14ac:dyDescent="0.25">
      <c r="A14207" t="s">
        <v>16</v>
      </c>
      <c r="B14207" t="s">
        <v>3221</v>
      </c>
      <c r="C14207">
        <v>34</v>
      </c>
      <c r="D14207" t="s">
        <v>3190</v>
      </c>
      <c r="E14207" t="s">
        <v>3191</v>
      </c>
      <c r="F14207">
        <v>6.49</v>
      </c>
      <c r="G14207">
        <v>230101</v>
      </c>
      <c r="H14207">
        <v>4840</v>
      </c>
      <c r="I14207" t="s">
        <v>19</v>
      </c>
      <c r="J14207">
        <v>8.0500000000000007</v>
      </c>
      <c r="K14207">
        <v>1.56</v>
      </c>
      <c r="L14207">
        <v>17539</v>
      </c>
      <c r="M14207" t="s">
        <v>946</v>
      </c>
      <c r="N14207" t="str">
        <f t="shared" si="194"/>
        <v>9163418-6/19</v>
      </c>
      <c r="O14207">
        <v>221230</v>
      </c>
    </row>
    <row r="14208" spans="1:15" x14ac:dyDescent="0.25">
      <c r="A14208" t="s">
        <v>16</v>
      </c>
      <c r="B14208" t="s">
        <v>3221</v>
      </c>
      <c r="C14208">
        <v>34</v>
      </c>
      <c r="D14208" t="s">
        <v>3190</v>
      </c>
      <c r="E14208" t="s">
        <v>3191</v>
      </c>
      <c r="F14208">
        <v>48.94</v>
      </c>
      <c r="G14208">
        <v>230101</v>
      </c>
      <c r="H14208">
        <v>4840</v>
      </c>
      <c r="I14208" t="s">
        <v>19</v>
      </c>
      <c r="J14208">
        <v>60.69</v>
      </c>
      <c r="K14208">
        <v>11.75</v>
      </c>
      <c r="L14208">
        <v>17918</v>
      </c>
      <c r="M14208" t="s">
        <v>137</v>
      </c>
      <c r="N14208" t="str">
        <f t="shared" si="194"/>
        <v>9163418-6/19</v>
      </c>
      <c r="O14208">
        <v>221230</v>
      </c>
    </row>
    <row r="14209" spans="1:15" x14ac:dyDescent="0.25">
      <c r="A14209" t="s">
        <v>16</v>
      </c>
      <c r="B14209" t="s">
        <v>3221</v>
      </c>
      <c r="C14209">
        <v>34</v>
      </c>
      <c r="D14209" t="s">
        <v>3190</v>
      </c>
      <c r="E14209" t="s">
        <v>3191</v>
      </c>
      <c r="F14209">
        <v>590.4</v>
      </c>
      <c r="G14209">
        <v>230101</v>
      </c>
      <c r="H14209">
        <v>4840</v>
      </c>
      <c r="I14209" t="s">
        <v>19</v>
      </c>
      <c r="J14209">
        <v>732.09</v>
      </c>
      <c r="K14209">
        <v>141.69</v>
      </c>
      <c r="L14209">
        <v>17950</v>
      </c>
      <c r="M14209" t="s">
        <v>86</v>
      </c>
      <c r="N14209" t="str">
        <f t="shared" si="194"/>
        <v>9163418-6/19</v>
      </c>
      <c r="O14209">
        <v>221230</v>
      </c>
    </row>
    <row r="14210" spans="1:15" x14ac:dyDescent="0.25">
      <c r="A14210" t="s">
        <v>16</v>
      </c>
      <c r="B14210" t="s">
        <v>3221</v>
      </c>
      <c r="C14210">
        <v>34</v>
      </c>
      <c r="D14210" t="s">
        <v>3190</v>
      </c>
      <c r="E14210" t="s">
        <v>3191</v>
      </c>
      <c r="F14210">
        <v>126.3</v>
      </c>
      <c r="G14210">
        <v>230101</v>
      </c>
      <c r="H14210">
        <v>4840</v>
      </c>
      <c r="I14210" t="s">
        <v>19</v>
      </c>
      <c r="J14210">
        <v>156.61000000000001</v>
      </c>
      <c r="K14210">
        <v>30.31</v>
      </c>
      <c r="L14210">
        <v>17971</v>
      </c>
      <c r="M14210" t="s">
        <v>138</v>
      </c>
      <c r="N14210" t="str">
        <f t="shared" si="194"/>
        <v>9163418-6/19</v>
      </c>
      <c r="O14210">
        <v>221230</v>
      </c>
    </row>
    <row r="14211" spans="1:15" x14ac:dyDescent="0.25">
      <c r="A14211" t="s">
        <v>16</v>
      </c>
      <c r="B14211" t="s">
        <v>3221</v>
      </c>
      <c r="C14211">
        <v>34</v>
      </c>
      <c r="D14211" t="s">
        <v>3190</v>
      </c>
      <c r="E14211" t="s">
        <v>3191</v>
      </c>
      <c r="F14211">
        <v>277.47000000000003</v>
      </c>
      <c r="G14211">
        <v>230101</v>
      </c>
      <c r="H14211">
        <v>4840</v>
      </c>
      <c r="I14211" t="s">
        <v>19</v>
      </c>
      <c r="J14211">
        <v>344.06</v>
      </c>
      <c r="K14211">
        <v>66.59</v>
      </c>
      <c r="L14211">
        <v>17971</v>
      </c>
      <c r="M14211" t="s">
        <v>138</v>
      </c>
      <c r="N14211" t="str">
        <f t="shared" si="194"/>
        <v>9163418-6/19</v>
      </c>
      <c r="O14211">
        <v>221230</v>
      </c>
    </row>
    <row r="14212" spans="1:15" x14ac:dyDescent="0.25">
      <c r="A14212" t="s">
        <v>16</v>
      </c>
      <c r="B14212" t="s">
        <v>3221</v>
      </c>
      <c r="C14212">
        <v>34</v>
      </c>
      <c r="D14212" t="s">
        <v>3190</v>
      </c>
      <c r="E14212" t="s">
        <v>3191</v>
      </c>
      <c r="F14212">
        <v>59.66</v>
      </c>
      <c r="G14212">
        <v>230101</v>
      </c>
      <c r="H14212">
        <v>4840</v>
      </c>
      <c r="I14212" t="s">
        <v>19</v>
      </c>
      <c r="J14212">
        <v>73.98</v>
      </c>
      <c r="K14212">
        <v>14.32</v>
      </c>
      <c r="L14212">
        <v>17972</v>
      </c>
      <c r="M14212" t="s">
        <v>248</v>
      </c>
      <c r="N14212" t="str">
        <f t="shared" si="194"/>
        <v>9163418-6/19</v>
      </c>
      <c r="O14212">
        <v>221230</v>
      </c>
    </row>
    <row r="14213" spans="1:15" x14ac:dyDescent="0.25">
      <c r="A14213" t="s">
        <v>16</v>
      </c>
      <c r="B14213" t="s">
        <v>3221</v>
      </c>
      <c r="C14213">
        <v>34</v>
      </c>
      <c r="D14213" t="s">
        <v>3190</v>
      </c>
      <c r="E14213" t="s">
        <v>3191</v>
      </c>
      <c r="F14213">
        <v>296.10000000000002</v>
      </c>
      <c r="G14213">
        <v>230101</v>
      </c>
      <c r="H14213">
        <v>4840</v>
      </c>
      <c r="I14213" t="s">
        <v>19</v>
      </c>
      <c r="J14213">
        <v>367.16</v>
      </c>
      <c r="K14213">
        <v>71.06</v>
      </c>
      <c r="L14213">
        <v>17972</v>
      </c>
      <c r="M14213" t="s">
        <v>248</v>
      </c>
      <c r="N14213" t="str">
        <f t="shared" si="194"/>
        <v>9163418-6/19</v>
      </c>
      <c r="O14213">
        <v>221230</v>
      </c>
    </row>
    <row r="14214" spans="1:15" x14ac:dyDescent="0.25">
      <c r="A14214" t="s">
        <v>16</v>
      </c>
      <c r="B14214" t="s">
        <v>3221</v>
      </c>
      <c r="C14214">
        <v>34</v>
      </c>
      <c r="D14214" t="s">
        <v>3190</v>
      </c>
      <c r="E14214" t="s">
        <v>3191</v>
      </c>
      <c r="F14214">
        <v>46.04</v>
      </c>
      <c r="G14214">
        <v>230101</v>
      </c>
      <c r="H14214">
        <v>4840</v>
      </c>
      <c r="I14214" t="s">
        <v>19</v>
      </c>
      <c r="J14214">
        <v>57.09</v>
      </c>
      <c r="K14214">
        <v>11.05</v>
      </c>
      <c r="L14214">
        <v>17974</v>
      </c>
      <c r="M14214" t="s">
        <v>460</v>
      </c>
      <c r="N14214" t="str">
        <f t="shared" si="194"/>
        <v>9163418-6/19</v>
      </c>
      <c r="O14214">
        <v>221230</v>
      </c>
    </row>
    <row r="14215" spans="1:15" x14ac:dyDescent="0.25">
      <c r="A14215" t="s">
        <v>16</v>
      </c>
      <c r="B14215" t="s">
        <v>3221</v>
      </c>
      <c r="C14215">
        <v>35</v>
      </c>
      <c r="D14215" t="s">
        <v>3190</v>
      </c>
      <c r="E14215" t="s">
        <v>3191</v>
      </c>
      <c r="F14215">
        <v>405.89</v>
      </c>
      <c r="G14215">
        <v>230101</v>
      </c>
      <c r="H14215">
        <v>4840</v>
      </c>
      <c r="I14215" t="s">
        <v>19</v>
      </c>
      <c r="J14215">
        <v>503.3</v>
      </c>
      <c r="K14215">
        <v>97.41</v>
      </c>
      <c r="L14215">
        <v>11901</v>
      </c>
      <c r="M14215" t="s">
        <v>36</v>
      </c>
      <c r="N14215" t="str">
        <f t="shared" ref="N14215:N14222" si="195">"9163418-2/19"</f>
        <v>9163418-2/19</v>
      </c>
      <c r="O14215">
        <v>221230</v>
      </c>
    </row>
    <row r="14216" spans="1:15" x14ac:dyDescent="0.25">
      <c r="A14216" t="s">
        <v>16</v>
      </c>
      <c r="B14216" t="s">
        <v>3221</v>
      </c>
      <c r="C14216">
        <v>35</v>
      </c>
      <c r="D14216" t="s">
        <v>3190</v>
      </c>
      <c r="E14216" t="s">
        <v>3191</v>
      </c>
      <c r="F14216">
        <v>33.06</v>
      </c>
      <c r="G14216">
        <v>230101</v>
      </c>
      <c r="H14216">
        <v>4840</v>
      </c>
      <c r="I14216" t="s">
        <v>19</v>
      </c>
      <c r="J14216">
        <v>40.99</v>
      </c>
      <c r="K14216">
        <v>7.93</v>
      </c>
      <c r="L14216">
        <v>11903</v>
      </c>
      <c r="M14216" t="s">
        <v>406</v>
      </c>
      <c r="N14216" t="str">
        <f t="shared" si="195"/>
        <v>9163418-2/19</v>
      </c>
      <c r="O14216">
        <v>221230</v>
      </c>
    </row>
    <row r="14217" spans="1:15" x14ac:dyDescent="0.25">
      <c r="A14217" t="s">
        <v>16</v>
      </c>
      <c r="B14217" t="s">
        <v>3221</v>
      </c>
      <c r="C14217">
        <v>35</v>
      </c>
      <c r="D14217" t="s">
        <v>3190</v>
      </c>
      <c r="E14217" t="s">
        <v>3191</v>
      </c>
      <c r="F14217">
        <v>142.46</v>
      </c>
      <c r="G14217">
        <v>230101</v>
      </c>
      <c r="H14217">
        <v>4840</v>
      </c>
      <c r="I14217" t="s">
        <v>19</v>
      </c>
      <c r="J14217">
        <v>176.65</v>
      </c>
      <c r="K14217">
        <v>34.19</v>
      </c>
      <c r="L14217">
        <v>11905</v>
      </c>
      <c r="M14217" t="s">
        <v>39</v>
      </c>
      <c r="N14217" t="str">
        <f t="shared" si="195"/>
        <v>9163418-2/19</v>
      </c>
      <c r="O14217">
        <v>221230</v>
      </c>
    </row>
    <row r="14218" spans="1:15" x14ac:dyDescent="0.25">
      <c r="A14218" t="s">
        <v>16</v>
      </c>
      <c r="B14218" t="s">
        <v>3221</v>
      </c>
      <c r="C14218">
        <v>35</v>
      </c>
      <c r="D14218" t="s">
        <v>3190</v>
      </c>
      <c r="E14218" t="s">
        <v>3191</v>
      </c>
      <c r="F14218">
        <v>135.91999999999999</v>
      </c>
      <c r="G14218">
        <v>230101</v>
      </c>
      <c r="H14218">
        <v>4840</v>
      </c>
      <c r="I14218" t="s">
        <v>19</v>
      </c>
      <c r="J14218">
        <v>168.54</v>
      </c>
      <c r="K14218">
        <v>32.619999999999997</v>
      </c>
      <c r="L14218">
        <v>11905</v>
      </c>
      <c r="M14218" t="s">
        <v>39</v>
      </c>
      <c r="N14218" t="str">
        <f t="shared" si="195"/>
        <v>9163418-2/19</v>
      </c>
      <c r="O14218">
        <v>221230</v>
      </c>
    </row>
    <row r="14219" spans="1:15" x14ac:dyDescent="0.25">
      <c r="A14219" t="s">
        <v>16</v>
      </c>
      <c r="B14219" t="s">
        <v>3221</v>
      </c>
      <c r="C14219">
        <v>35</v>
      </c>
      <c r="D14219" t="s">
        <v>3190</v>
      </c>
      <c r="E14219" t="s">
        <v>3191</v>
      </c>
      <c r="F14219">
        <v>160.04</v>
      </c>
      <c r="G14219">
        <v>230101</v>
      </c>
      <c r="H14219">
        <v>4840</v>
      </c>
      <c r="I14219" t="s">
        <v>19</v>
      </c>
      <c r="J14219">
        <v>198.45</v>
      </c>
      <c r="K14219">
        <v>38.409999999999997</v>
      </c>
      <c r="L14219">
        <v>11905</v>
      </c>
      <c r="M14219" t="s">
        <v>39</v>
      </c>
      <c r="N14219" t="str">
        <f t="shared" si="195"/>
        <v>9163418-2/19</v>
      </c>
      <c r="O14219">
        <v>221230</v>
      </c>
    </row>
    <row r="14220" spans="1:15" x14ac:dyDescent="0.25">
      <c r="A14220" t="s">
        <v>16</v>
      </c>
      <c r="B14220" t="s">
        <v>3221</v>
      </c>
      <c r="C14220">
        <v>35</v>
      </c>
      <c r="D14220" t="s">
        <v>3190</v>
      </c>
      <c r="E14220" t="s">
        <v>3191</v>
      </c>
      <c r="F14220">
        <v>67.040000000000006</v>
      </c>
      <c r="G14220">
        <v>230101</v>
      </c>
      <c r="H14220">
        <v>4840</v>
      </c>
      <c r="I14220" t="s">
        <v>19</v>
      </c>
      <c r="J14220">
        <v>83.13</v>
      </c>
      <c r="K14220">
        <v>16.09</v>
      </c>
      <c r="L14220">
        <v>11908</v>
      </c>
      <c r="M14220" t="s">
        <v>598</v>
      </c>
      <c r="N14220" t="str">
        <f t="shared" si="195"/>
        <v>9163418-2/19</v>
      </c>
      <c r="O14220">
        <v>221230</v>
      </c>
    </row>
    <row r="14221" spans="1:15" x14ac:dyDescent="0.25">
      <c r="A14221" t="s">
        <v>16</v>
      </c>
      <c r="B14221" t="s">
        <v>3221</v>
      </c>
      <c r="C14221">
        <v>35</v>
      </c>
      <c r="D14221" t="s">
        <v>3190</v>
      </c>
      <c r="E14221" t="s">
        <v>3191</v>
      </c>
      <c r="F14221">
        <v>12</v>
      </c>
      <c r="G14221">
        <v>230101</v>
      </c>
      <c r="H14221">
        <v>4840</v>
      </c>
      <c r="I14221" t="s">
        <v>19</v>
      </c>
      <c r="J14221">
        <v>14.88</v>
      </c>
      <c r="K14221">
        <v>2.88</v>
      </c>
      <c r="L14221">
        <v>13501</v>
      </c>
      <c r="M14221" t="s">
        <v>20</v>
      </c>
      <c r="N14221" t="str">
        <f t="shared" si="195"/>
        <v>9163418-2/19</v>
      </c>
      <c r="O14221">
        <v>221230</v>
      </c>
    </row>
    <row r="14222" spans="1:15" x14ac:dyDescent="0.25">
      <c r="A14222" t="s">
        <v>16</v>
      </c>
      <c r="B14222" t="s">
        <v>3221</v>
      </c>
      <c r="C14222">
        <v>35</v>
      </c>
      <c r="D14222" t="s">
        <v>3190</v>
      </c>
      <c r="E14222" t="s">
        <v>3191</v>
      </c>
      <c r="F14222">
        <v>47.91</v>
      </c>
      <c r="G14222">
        <v>230101</v>
      </c>
      <c r="H14222">
        <v>4840</v>
      </c>
      <c r="I14222" t="s">
        <v>19</v>
      </c>
      <c r="J14222">
        <v>59.41</v>
      </c>
      <c r="K14222">
        <v>11.5</v>
      </c>
      <c r="L14222">
        <v>18991</v>
      </c>
      <c r="M14222" t="s">
        <v>1106</v>
      </c>
      <c r="N14222" t="str">
        <f t="shared" si="195"/>
        <v>9163418-2/19</v>
      </c>
      <c r="O14222">
        <v>221230</v>
      </c>
    </row>
    <row r="14223" spans="1:15" x14ac:dyDescent="0.25">
      <c r="A14223" t="s">
        <v>16</v>
      </c>
      <c r="B14223" t="s">
        <v>3221</v>
      </c>
      <c r="C14223">
        <v>37</v>
      </c>
      <c r="D14223" t="s">
        <v>3190</v>
      </c>
      <c r="E14223" t="s">
        <v>3191</v>
      </c>
      <c r="F14223">
        <v>260.61</v>
      </c>
      <c r="G14223">
        <v>230101</v>
      </c>
      <c r="H14223">
        <v>4840</v>
      </c>
      <c r="I14223" t="s">
        <v>19</v>
      </c>
      <c r="J14223">
        <v>323.16000000000003</v>
      </c>
      <c r="K14223">
        <v>62.55</v>
      </c>
      <c r="L14223">
        <v>18010</v>
      </c>
      <c r="M14223" t="s">
        <v>1344</v>
      </c>
      <c r="N14223" t="str">
        <f>"163418-16/19"</f>
        <v>163418-16/19</v>
      </c>
      <c r="O14223">
        <v>221230</v>
      </c>
    </row>
    <row r="14224" spans="1:15" x14ac:dyDescent="0.25">
      <c r="A14224" t="s">
        <v>16</v>
      </c>
      <c r="B14224" t="s">
        <v>3221</v>
      </c>
      <c r="C14224">
        <v>37</v>
      </c>
      <c r="D14224" t="s">
        <v>3190</v>
      </c>
      <c r="E14224" t="s">
        <v>3191</v>
      </c>
      <c r="F14224">
        <v>411.62</v>
      </c>
      <c r="G14224">
        <v>230101</v>
      </c>
      <c r="H14224">
        <v>4840</v>
      </c>
      <c r="I14224" t="s">
        <v>19</v>
      </c>
      <c r="J14224">
        <v>510.41</v>
      </c>
      <c r="K14224">
        <v>98.79</v>
      </c>
      <c r="L14224">
        <v>18120</v>
      </c>
      <c r="M14224" t="s">
        <v>329</v>
      </c>
      <c r="N14224" t="str">
        <f>"163418-16/19"</f>
        <v>163418-16/19</v>
      </c>
      <c r="O14224">
        <v>221230</v>
      </c>
    </row>
    <row r="14225" spans="1:15" x14ac:dyDescent="0.25">
      <c r="A14225" t="s">
        <v>16</v>
      </c>
      <c r="B14225" t="s">
        <v>3221</v>
      </c>
      <c r="C14225">
        <v>37</v>
      </c>
      <c r="D14225" t="s">
        <v>3190</v>
      </c>
      <c r="E14225" t="s">
        <v>3191</v>
      </c>
      <c r="F14225">
        <v>499.69</v>
      </c>
      <c r="G14225">
        <v>230101</v>
      </c>
      <c r="H14225">
        <v>4840</v>
      </c>
      <c r="I14225" t="s">
        <v>19</v>
      </c>
      <c r="J14225">
        <v>619.62</v>
      </c>
      <c r="K14225">
        <v>119.93</v>
      </c>
      <c r="L14225">
        <v>18972</v>
      </c>
      <c r="M14225" t="s">
        <v>163</v>
      </c>
      <c r="N14225" t="str">
        <f>"163418-16/19"</f>
        <v>163418-16/19</v>
      </c>
      <c r="O14225">
        <v>221230</v>
      </c>
    </row>
    <row r="14226" spans="1:15" x14ac:dyDescent="0.25">
      <c r="A14226" t="s">
        <v>16</v>
      </c>
      <c r="B14226" t="s">
        <v>3221</v>
      </c>
      <c r="C14226">
        <v>37</v>
      </c>
      <c r="D14226" t="s">
        <v>3190</v>
      </c>
      <c r="E14226" t="s">
        <v>3191</v>
      </c>
      <c r="F14226">
        <v>826.5</v>
      </c>
      <c r="G14226">
        <v>230101</v>
      </c>
      <c r="H14226">
        <v>4840</v>
      </c>
      <c r="I14226" t="s">
        <v>19</v>
      </c>
      <c r="J14226">
        <v>1024.8599999999999</v>
      </c>
      <c r="K14226">
        <v>198.36</v>
      </c>
      <c r="L14226">
        <v>18982</v>
      </c>
      <c r="M14226" t="s">
        <v>1121</v>
      </c>
      <c r="N14226" t="str">
        <f>"163418-16/19"</f>
        <v>163418-16/19</v>
      </c>
      <c r="O14226">
        <v>221230</v>
      </c>
    </row>
    <row r="14227" spans="1:15" x14ac:dyDescent="0.25">
      <c r="A14227" t="s">
        <v>16</v>
      </c>
      <c r="B14227" t="s">
        <v>3221</v>
      </c>
      <c r="C14227">
        <v>38</v>
      </c>
      <c r="D14227" t="s">
        <v>3190</v>
      </c>
      <c r="E14227" t="s">
        <v>3191</v>
      </c>
      <c r="F14227">
        <v>84.69</v>
      </c>
      <c r="G14227">
        <v>230101</v>
      </c>
      <c r="H14227">
        <v>4840</v>
      </c>
      <c r="I14227" t="s">
        <v>19</v>
      </c>
      <c r="J14227">
        <v>105.01</v>
      </c>
      <c r="K14227">
        <v>20.32</v>
      </c>
      <c r="L14227">
        <v>11908</v>
      </c>
      <c r="M14227" t="s">
        <v>598</v>
      </c>
      <c r="N14227" t="str">
        <f t="shared" ref="N14227:N14234" si="196">"163418-17/19"</f>
        <v>163418-17/19</v>
      </c>
      <c r="O14227">
        <v>221230</v>
      </c>
    </row>
    <row r="14228" spans="1:15" x14ac:dyDescent="0.25">
      <c r="A14228" t="s">
        <v>16</v>
      </c>
      <c r="B14228" t="s">
        <v>3221</v>
      </c>
      <c r="C14228">
        <v>38</v>
      </c>
      <c r="D14228" t="s">
        <v>3190</v>
      </c>
      <c r="E14228" t="s">
        <v>3191</v>
      </c>
      <c r="F14228">
        <v>117.86</v>
      </c>
      <c r="G14228">
        <v>230101</v>
      </c>
      <c r="H14228">
        <v>4840</v>
      </c>
      <c r="I14228" t="s">
        <v>19</v>
      </c>
      <c r="J14228">
        <v>146.15</v>
      </c>
      <c r="K14228">
        <v>28.29</v>
      </c>
      <c r="L14228">
        <v>56522</v>
      </c>
      <c r="M14228" t="s">
        <v>43</v>
      </c>
      <c r="N14228" t="str">
        <f t="shared" si="196"/>
        <v>163418-17/19</v>
      </c>
      <c r="O14228">
        <v>221230</v>
      </c>
    </row>
    <row r="14229" spans="1:15" x14ac:dyDescent="0.25">
      <c r="A14229" t="s">
        <v>16</v>
      </c>
      <c r="B14229" t="s">
        <v>3221</v>
      </c>
      <c r="C14229">
        <v>38</v>
      </c>
      <c r="D14229" t="s">
        <v>3190</v>
      </c>
      <c r="E14229" t="s">
        <v>3191</v>
      </c>
      <c r="F14229">
        <v>422.05</v>
      </c>
      <c r="G14229">
        <v>230101</v>
      </c>
      <c r="H14229">
        <v>4840</v>
      </c>
      <c r="I14229" t="s">
        <v>19</v>
      </c>
      <c r="J14229">
        <v>523.34</v>
      </c>
      <c r="K14229">
        <v>101.29</v>
      </c>
      <c r="L14229">
        <v>56524</v>
      </c>
      <c r="M14229" t="s">
        <v>150</v>
      </c>
      <c r="N14229" t="str">
        <f t="shared" si="196"/>
        <v>163418-17/19</v>
      </c>
      <c r="O14229">
        <v>221230</v>
      </c>
    </row>
    <row r="14230" spans="1:15" x14ac:dyDescent="0.25">
      <c r="A14230" t="s">
        <v>16</v>
      </c>
      <c r="B14230" t="s">
        <v>3221</v>
      </c>
      <c r="C14230">
        <v>38</v>
      </c>
      <c r="D14230" t="s">
        <v>3190</v>
      </c>
      <c r="E14230" t="s">
        <v>3191</v>
      </c>
      <c r="F14230">
        <v>84.69</v>
      </c>
      <c r="G14230">
        <v>230101</v>
      </c>
      <c r="H14230">
        <v>4840</v>
      </c>
      <c r="I14230" t="s">
        <v>19</v>
      </c>
      <c r="J14230">
        <v>105.02</v>
      </c>
      <c r="K14230">
        <v>20.329999999999998</v>
      </c>
      <c r="L14230">
        <v>56526</v>
      </c>
      <c r="M14230" t="s">
        <v>1217</v>
      </c>
      <c r="N14230" t="str">
        <f t="shared" si="196"/>
        <v>163418-17/19</v>
      </c>
      <c r="O14230">
        <v>221230</v>
      </c>
    </row>
    <row r="14231" spans="1:15" x14ac:dyDescent="0.25">
      <c r="A14231" t="s">
        <v>16</v>
      </c>
      <c r="B14231" t="s">
        <v>3221</v>
      </c>
      <c r="C14231">
        <v>38</v>
      </c>
      <c r="D14231" t="s">
        <v>3190</v>
      </c>
      <c r="E14231" t="s">
        <v>3191</v>
      </c>
      <c r="F14231">
        <v>234.12</v>
      </c>
      <c r="G14231">
        <v>230101</v>
      </c>
      <c r="H14231">
        <v>4840</v>
      </c>
      <c r="I14231" t="s">
        <v>19</v>
      </c>
      <c r="J14231">
        <v>290.31</v>
      </c>
      <c r="K14231">
        <v>56.19</v>
      </c>
      <c r="L14231">
        <v>56526</v>
      </c>
      <c r="M14231" t="s">
        <v>1217</v>
      </c>
      <c r="N14231" t="str">
        <f t="shared" si="196"/>
        <v>163418-17/19</v>
      </c>
      <c r="O14231">
        <v>221230</v>
      </c>
    </row>
    <row r="14232" spans="1:15" x14ac:dyDescent="0.25">
      <c r="A14232" t="s">
        <v>16</v>
      </c>
      <c r="B14232" t="s">
        <v>3221</v>
      </c>
      <c r="C14232">
        <v>38</v>
      </c>
      <c r="D14232" t="s">
        <v>3190</v>
      </c>
      <c r="E14232" t="s">
        <v>3191</v>
      </c>
      <c r="F14232">
        <v>98.44</v>
      </c>
      <c r="G14232">
        <v>230101</v>
      </c>
      <c r="H14232">
        <v>4840</v>
      </c>
      <c r="I14232" t="s">
        <v>19</v>
      </c>
      <c r="J14232">
        <v>122.07</v>
      </c>
      <c r="K14232">
        <v>23.63</v>
      </c>
      <c r="L14232">
        <v>56528</v>
      </c>
      <c r="M14232" t="s">
        <v>153</v>
      </c>
      <c r="N14232" t="str">
        <f t="shared" si="196"/>
        <v>163418-17/19</v>
      </c>
      <c r="O14232">
        <v>221230</v>
      </c>
    </row>
    <row r="14233" spans="1:15" x14ac:dyDescent="0.25">
      <c r="A14233" t="s">
        <v>16</v>
      </c>
      <c r="B14233" t="s">
        <v>3221</v>
      </c>
      <c r="C14233">
        <v>38</v>
      </c>
      <c r="D14233" t="s">
        <v>3190</v>
      </c>
      <c r="E14233" t="s">
        <v>3191</v>
      </c>
      <c r="F14233">
        <v>168.6</v>
      </c>
      <c r="G14233">
        <v>230101</v>
      </c>
      <c r="H14233">
        <v>4840</v>
      </c>
      <c r="I14233" t="s">
        <v>19</v>
      </c>
      <c r="J14233">
        <v>209.06</v>
      </c>
      <c r="K14233">
        <v>40.46</v>
      </c>
      <c r="L14233">
        <v>56528</v>
      </c>
      <c r="M14233" t="s">
        <v>153</v>
      </c>
      <c r="N14233" t="str">
        <f t="shared" si="196"/>
        <v>163418-17/19</v>
      </c>
      <c r="O14233">
        <v>221230</v>
      </c>
    </row>
    <row r="14234" spans="1:15" x14ac:dyDescent="0.25">
      <c r="A14234" t="s">
        <v>16</v>
      </c>
      <c r="B14234" t="s">
        <v>3221</v>
      </c>
      <c r="C14234">
        <v>38</v>
      </c>
      <c r="D14234" t="s">
        <v>3190</v>
      </c>
      <c r="E14234" t="s">
        <v>3191</v>
      </c>
      <c r="F14234">
        <v>6.49</v>
      </c>
      <c r="G14234">
        <v>230101</v>
      </c>
      <c r="H14234">
        <v>4840</v>
      </c>
      <c r="I14234" t="s">
        <v>19</v>
      </c>
      <c r="J14234">
        <v>8.0500000000000007</v>
      </c>
      <c r="K14234">
        <v>1.56</v>
      </c>
      <c r="L14234">
        <v>59704</v>
      </c>
      <c r="M14234" t="s">
        <v>1103</v>
      </c>
      <c r="N14234" t="str">
        <f t="shared" si="196"/>
        <v>163418-17/19</v>
      </c>
      <c r="O14234">
        <v>221230</v>
      </c>
    </row>
    <row r="14235" spans="1:15" x14ac:dyDescent="0.25">
      <c r="A14235" t="s">
        <v>16</v>
      </c>
      <c r="B14235" t="s">
        <v>3221</v>
      </c>
      <c r="C14235">
        <v>41</v>
      </c>
      <c r="D14235" t="s">
        <v>3190</v>
      </c>
      <c r="E14235" t="s">
        <v>3191</v>
      </c>
      <c r="F14235">
        <v>911.16</v>
      </c>
      <c r="G14235">
        <v>230101</v>
      </c>
      <c r="H14235">
        <v>4840</v>
      </c>
      <c r="I14235" t="s">
        <v>19</v>
      </c>
      <c r="J14235">
        <v>1129.8399999999999</v>
      </c>
      <c r="K14235">
        <v>218.68</v>
      </c>
      <c r="L14235">
        <v>10002</v>
      </c>
      <c r="M14235" t="s">
        <v>1066</v>
      </c>
      <c r="N14235" t="str">
        <f t="shared" ref="N14235:N14251" si="197">"9163418-8/19"</f>
        <v>9163418-8/19</v>
      </c>
      <c r="O14235">
        <v>230102</v>
      </c>
    </row>
    <row r="14236" spans="1:15" x14ac:dyDescent="0.25">
      <c r="A14236" t="s">
        <v>16</v>
      </c>
      <c r="B14236" t="s">
        <v>3221</v>
      </c>
      <c r="C14236">
        <v>41</v>
      </c>
      <c r="D14236" t="s">
        <v>3190</v>
      </c>
      <c r="E14236" t="s">
        <v>3191</v>
      </c>
      <c r="F14236">
        <v>1052.22</v>
      </c>
      <c r="G14236">
        <v>230101</v>
      </c>
      <c r="H14236">
        <v>4840</v>
      </c>
      <c r="I14236" t="s">
        <v>19</v>
      </c>
      <c r="J14236">
        <v>1304.75</v>
      </c>
      <c r="K14236">
        <v>252.53</v>
      </c>
      <c r="L14236">
        <v>11001</v>
      </c>
      <c r="M14236" t="s">
        <v>326</v>
      </c>
      <c r="N14236" t="str">
        <f t="shared" si="197"/>
        <v>9163418-8/19</v>
      </c>
      <c r="O14236">
        <v>230102</v>
      </c>
    </row>
    <row r="14237" spans="1:15" x14ac:dyDescent="0.25">
      <c r="A14237" t="s">
        <v>16</v>
      </c>
      <c r="B14237" t="s">
        <v>3221</v>
      </c>
      <c r="C14237">
        <v>41</v>
      </c>
      <c r="D14237" t="s">
        <v>3190</v>
      </c>
      <c r="E14237" t="s">
        <v>3191</v>
      </c>
      <c r="F14237">
        <v>367.77</v>
      </c>
      <c r="G14237">
        <v>230101</v>
      </c>
      <c r="H14237">
        <v>4840</v>
      </c>
      <c r="I14237" t="s">
        <v>19</v>
      </c>
      <c r="J14237">
        <v>456.03</v>
      </c>
      <c r="K14237">
        <v>88.26</v>
      </c>
      <c r="L14237">
        <v>11101</v>
      </c>
      <c r="M14237" t="s">
        <v>110</v>
      </c>
      <c r="N14237" t="str">
        <f t="shared" si="197"/>
        <v>9163418-8/19</v>
      </c>
      <c r="O14237">
        <v>230102</v>
      </c>
    </row>
    <row r="14238" spans="1:15" x14ac:dyDescent="0.25">
      <c r="A14238" t="s">
        <v>16</v>
      </c>
      <c r="B14238" t="s">
        <v>3221</v>
      </c>
      <c r="C14238">
        <v>41</v>
      </c>
      <c r="D14238" t="s">
        <v>3190</v>
      </c>
      <c r="E14238" t="s">
        <v>3191</v>
      </c>
      <c r="F14238">
        <v>46.28</v>
      </c>
      <c r="G14238">
        <v>230101</v>
      </c>
      <c r="H14238">
        <v>4840</v>
      </c>
      <c r="I14238" t="s">
        <v>19</v>
      </c>
      <c r="J14238">
        <v>57.39</v>
      </c>
      <c r="K14238">
        <v>11.11</v>
      </c>
      <c r="L14238">
        <v>11201</v>
      </c>
      <c r="M14238" t="s">
        <v>305</v>
      </c>
      <c r="N14238" t="str">
        <f t="shared" si="197"/>
        <v>9163418-8/19</v>
      </c>
      <c r="O14238">
        <v>230102</v>
      </c>
    </row>
    <row r="14239" spans="1:15" x14ac:dyDescent="0.25">
      <c r="A14239" t="s">
        <v>16</v>
      </c>
      <c r="B14239" t="s">
        <v>3221</v>
      </c>
      <c r="C14239">
        <v>41</v>
      </c>
      <c r="D14239" t="s">
        <v>3190</v>
      </c>
      <c r="E14239" t="s">
        <v>3191</v>
      </c>
      <c r="F14239">
        <v>955.71</v>
      </c>
      <c r="G14239">
        <v>230101</v>
      </c>
      <c r="H14239">
        <v>4840</v>
      </c>
      <c r="I14239" t="s">
        <v>19</v>
      </c>
      <c r="J14239">
        <v>1185.08</v>
      </c>
      <c r="K14239">
        <v>229.37</v>
      </c>
      <c r="L14239">
        <v>11301</v>
      </c>
      <c r="M14239" t="s">
        <v>29</v>
      </c>
      <c r="N14239" t="str">
        <f t="shared" si="197"/>
        <v>9163418-8/19</v>
      </c>
      <c r="O14239">
        <v>230102</v>
      </c>
    </row>
    <row r="14240" spans="1:15" x14ac:dyDescent="0.25">
      <c r="A14240" t="s">
        <v>16</v>
      </c>
      <c r="B14240" t="s">
        <v>3221</v>
      </c>
      <c r="C14240">
        <v>41</v>
      </c>
      <c r="D14240" t="s">
        <v>3190</v>
      </c>
      <c r="E14240" t="s">
        <v>3191</v>
      </c>
      <c r="F14240">
        <v>182.15</v>
      </c>
      <c r="G14240">
        <v>230101</v>
      </c>
      <c r="H14240">
        <v>4840</v>
      </c>
      <c r="I14240" t="s">
        <v>19</v>
      </c>
      <c r="J14240">
        <v>225.87</v>
      </c>
      <c r="K14240">
        <v>43.72</v>
      </c>
      <c r="L14240">
        <v>11401</v>
      </c>
      <c r="M14240" t="s">
        <v>84</v>
      </c>
      <c r="N14240" t="str">
        <f t="shared" si="197"/>
        <v>9163418-8/19</v>
      </c>
      <c r="O14240">
        <v>230102</v>
      </c>
    </row>
    <row r="14241" spans="1:15" x14ac:dyDescent="0.25">
      <c r="A14241" t="s">
        <v>16</v>
      </c>
      <c r="B14241" t="s">
        <v>3221</v>
      </c>
      <c r="C14241">
        <v>41</v>
      </c>
      <c r="D14241" t="s">
        <v>3190</v>
      </c>
      <c r="E14241" t="s">
        <v>3191</v>
      </c>
      <c r="F14241">
        <v>222.19</v>
      </c>
      <c r="G14241">
        <v>230101</v>
      </c>
      <c r="H14241">
        <v>4840</v>
      </c>
      <c r="I14241" t="s">
        <v>19</v>
      </c>
      <c r="J14241">
        <v>275.52</v>
      </c>
      <c r="K14241">
        <v>53.33</v>
      </c>
      <c r="L14241">
        <v>11501</v>
      </c>
      <c r="M14241" t="s">
        <v>339</v>
      </c>
      <c r="N14241" t="str">
        <f t="shared" si="197"/>
        <v>9163418-8/19</v>
      </c>
      <c r="O14241">
        <v>230102</v>
      </c>
    </row>
    <row r="14242" spans="1:15" x14ac:dyDescent="0.25">
      <c r="A14242" t="s">
        <v>16</v>
      </c>
      <c r="B14242" t="s">
        <v>3221</v>
      </c>
      <c r="C14242">
        <v>41</v>
      </c>
      <c r="D14242" t="s">
        <v>3190</v>
      </c>
      <c r="E14242" t="s">
        <v>3191</v>
      </c>
      <c r="F14242">
        <v>133.62</v>
      </c>
      <c r="G14242">
        <v>230101</v>
      </c>
      <c r="H14242">
        <v>4840</v>
      </c>
      <c r="I14242" t="s">
        <v>19</v>
      </c>
      <c r="J14242">
        <v>165.69</v>
      </c>
      <c r="K14242">
        <v>32.07</v>
      </c>
      <c r="L14242">
        <v>11601</v>
      </c>
      <c r="M14242" t="s">
        <v>535</v>
      </c>
      <c r="N14242" t="str">
        <f t="shared" si="197"/>
        <v>9163418-8/19</v>
      </c>
      <c r="O14242">
        <v>230102</v>
      </c>
    </row>
    <row r="14243" spans="1:15" x14ac:dyDescent="0.25">
      <c r="A14243" t="s">
        <v>16</v>
      </c>
      <c r="B14243" t="s">
        <v>3221</v>
      </c>
      <c r="C14243">
        <v>41</v>
      </c>
      <c r="D14243" t="s">
        <v>3190</v>
      </c>
      <c r="E14243" t="s">
        <v>3191</v>
      </c>
      <c r="F14243">
        <v>60.13</v>
      </c>
      <c r="G14243">
        <v>230101</v>
      </c>
      <c r="H14243">
        <v>4840</v>
      </c>
      <c r="I14243" t="s">
        <v>19</v>
      </c>
      <c r="J14243">
        <v>74.56</v>
      </c>
      <c r="K14243">
        <v>14.43</v>
      </c>
      <c r="L14243">
        <v>11701</v>
      </c>
      <c r="M14243" t="s">
        <v>1204</v>
      </c>
      <c r="N14243" t="str">
        <f t="shared" si="197"/>
        <v>9163418-8/19</v>
      </c>
      <c r="O14243">
        <v>230102</v>
      </c>
    </row>
    <row r="14244" spans="1:15" x14ac:dyDescent="0.25">
      <c r="A14244" t="s">
        <v>16</v>
      </c>
      <c r="B14244" t="s">
        <v>3221</v>
      </c>
      <c r="C14244">
        <v>41</v>
      </c>
      <c r="D14244" t="s">
        <v>3190</v>
      </c>
      <c r="E14244" t="s">
        <v>3191</v>
      </c>
      <c r="F14244">
        <v>33.06</v>
      </c>
      <c r="G14244">
        <v>230101</v>
      </c>
      <c r="H14244">
        <v>4840</v>
      </c>
      <c r="I14244" t="s">
        <v>19</v>
      </c>
      <c r="J14244">
        <v>40.99</v>
      </c>
      <c r="K14244">
        <v>7.93</v>
      </c>
      <c r="L14244">
        <v>11751</v>
      </c>
      <c r="M14244" t="s">
        <v>1339</v>
      </c>
      <c r="N14244" t="str">
        <f t="shared" si="197"/>
        <v>9163418-8/19</v>
      </c>
      <c r="O14244">
        <v>230102</v>
      </c>
    </row>
    <row r="14245" spans="1:15" x14ac:dyDescent="0.25">
      <c r="A14245" t="s">
        <v>16</v>
      </c>
      <c r="B14245" t="s">
        <v>3221</v>
      </c>
      <c r="C14245">
        <v>41</v>
      </c>
      <c r="D14245" t="s">
        <v>3190</v>
      </c>
      <c r="E14245" t="s">
        <v>3191</v>
      </c>
      <c r="F14245">
        <v>2485.56</v>
      </c>
      <c r="G14245">
        <v>230101</v>
      </c>
      <c r="H14245">
        <v>4840</v>
      </c>
      <c r="I14245" t="s">
        <v>19</v>
      </c>
      <c r="J14245">
        <v>3082.09</v>
      </c>
      <c r="K14245">
        <v>596.53</v>
      </c>
      <c r="L14245">
        <v>11801</v>
      </c>
      <c r="M14245" t="s">
        <v>92</v>
      </c>
      <c r="N14245" t="str">
        <f t="shared" si="197"/>
        <v>9163418-8/19</v>
      </c>
      <c r="O14245">
        <v>230102</v>
      </c>
    </row>
    <row r="14246" spans="1:15" x14ac:dyDescent="0.25">
      <c r="A14246" t="s">
        <v>16</v>
      </c>
      <c r="B14246" t="s">
        <v>3221</v>
      </c>
      <c r="C14246">
        <v>41</v>
      </c>
      <c r="D14246" t="s">
        <v>3190</v>
      </c>
      <c r="E14246" t="s">
        <v>3191</v>
      </c>
      <c r="F14246">
        <v>13.31</v>
      </c>
      <c r="G14246">
        <v>230101</v>
      </c>
      <c r="H14246">
        <v>4840</v>
      </c>
      <c r="I14246" t="s">
        <v>19</v>
      </c>
      <c r="J14246">
        <v>16.5</v>
      </c>
      <c r="K14246">
        <v>3.19</v>
      </c>
      <c r="L14246">
        <v>13201</v>
      </c>
      <c r="M14246" t="s">
        <v>161</v>
      </c>
      <c r="N14246" t="str">
        <f t="shared" si="197"/>
        <v>9163418-8/19</v>
      </c>
      <c r="O14246">
        <v>230102</v>
      </c>
    </row>
    <row r="14247" spans="1:15" x14ac:dyDescent="0.25">
      <c r="A14247" t="s">
        <v>16</v>
      </c>
      <c r="B14247" t="s">
        <v>3221</v>
      </c>
      <c r="C14247">
        <v>41</v>
      </c>
      <c r="D14247" t="s">
        <v>3190</v>
      </c>
      <c r="E14247" t="s">
        <v>3191</v>
      </c>
      <c r="F14247">
        <v>170.79</v>
      </c>
      <c r="G14247">
        <v>230101</v>
      </c>
      <c r="H14247">
        <v>4840</v>
      </c>
      <c r="I14247" t="s">
        <v>19</v>
      </c>
      <c r="J14247">
        <v>211.78</v>
      </c>
      <c r="K14247">
        <v>40.99</v>
      </c>
      <c r="L14247">
        <v>13801</v>
      </c>
      <c r="M14247" t="s">
        <v>162</v>
      </c>
      <c r="N14247" t="str">
        <f t="shared" si="197"/>
        <v>9163418-8/19</v>
      </c>
      <c r="O14247">
        <v>230102</v>
      </c>
    </row>
    <row r="14248" spans="1:15" x14ac:dyDescent="0.25">
      <c r="A14248" t="s">
        <v>16</v>
      </c>
      <c r="B14248" t="s">
        <v>3221</v>
      </c>
      <c r="C14248">
        <v>41</v>
      </c>
      <c r="D14248" t="s">
        <v>3190</v>
      </c>
      <c r="E14248" t="s">
        <v>3191</v>
      </c>
      <c r="F14248">
        <v>89.92</v>
      </c>
      <c r="G14248">
        <v>230101</v>
      </c>
      <c r="H14248">
        <v>4840</v>
      </c>
      <c r="I14248" t="s">
        <v>19</v>
      </c>
      <c r="J14248">
        <v>111.5</v>
      </c>
      <c r="K14248">
        <v>21.58</v>
      </c>
      <c r="L14248">
        <v>13801</v>
      </c>
      <c r="M14248" t="s">
        <v>162</v>
      </c>
      <c r="N14248" t="str">
        <f t="shared" si="197"/>
        <v>9163418-8/19</v>
      </c>
      <c r="O14248">
        <v>230102</v>
      </c>
    </row>
    <row r="14249" spans="1:15" x14ac:dyDescent="0.25">
      <c r="A14249" t="s">
        <v>16</v>
      </c>
      <c r="B14249" t="s">
        <v>3221</v>
      </c>
      <c r="C14249">
        <v>41</v>
      </c>
      <c r="D14249" t="s">
        <v>3190</v>
      </c>
      <c r="E14249" t="s">
        <v>3191</v>
      </c>
      <c r="F14249">
        <v>214.72</v>
      </c>
      <c r="G14249">
        <v>230101</v>
      </c>
      <c r="H14249">
        <v>4840</v>
      </c>
      <c r="I14249" t="s">
        <v>19</v>
      </c>
      <c r="J14249">
        <v>266.25</v>
      </c>
      <c r="K14249">
        <v>51.53</v>
      </c>
      <c r="L14249">
        <v>18971</v>
      </c>
      <c r="M14249" t="s">
        <v>63</v>
      </c>
      <c r="N14249" t="str">
        <f t="shared" si="197"/>
        <v>9163418-8/19</v>
      </c>
      <c r="O14249">
        <v>230102</v>
      </c>
    </row>
    <row r="14250" spans="1:15" x14ac:dyDescent="0.25">
      <c r="A14250" t="s">
        <v>16</v>
      </c>
      <c r="B14250" t="s">
        <v>3221</v>
      </c>
      <c r="C14250">
        <v>41</v>
      </c>
      <c r="D14250" t="s">
        <v>3190</v>
      </c>
      <c r="E14250" t="s">
        <v>3191</v>
      </c>
      <c r="F14250">
        <v>33.06</v>
      </c>
      <c r="G14250">
        <v>230101</v>
      </c>
      <c r="H14250">
        <v>4840</v>
      </c>
      <c r="I14250" t="s">
        <v>19</v>
      </c>
      <c r="J14250">
        <v>40.99</v>
      </c>
      <c r="K14250">
        <v>7.93</v>
      </c>
      <c r="L14250">
        <v>18972</v>
      </c>
      <c r="M14250" t="s">
        <v>163</v>
      </c>
      <c r="N14250" t="str">
        <f t="shared" si="197"/>
        <v>9163418-8/19</v>
      </c>
      <c r="O14250">
        <v>230102</v>
      </c>
    </row>
    <row r="14251" spans="1:15" x14ac:dyDescent="0.25">
      <c r="A14251" t="s">
        <v>16</v>
      </c>
      <c r="B14251" t="s">
        <v>3221</v>
      </c>
      <c r="C14251">
        <v>41</v>
      </c>
      <c r="D14251" t="s">
        <v>3190</v>
      </c>
      <c r="E14251" t="s">
        <v>3191</v>
      </c>
      <c r="F14251">
        <v>92.56</v>
      </c>
      <c r="G14251">
        <v>230101</v>
      </c>
      <c r="H14251">
        <v>4840</v>
      </c>
      <c r="I14251" t="s">
        <v>19</v>
      </c>
      <c r="J14251">
        <v>114.78</v>
      </c>
      <c r="K14251">
        <v>22.22</v>
      </c>
      <c r="L14251">
        <v>59701</v>
      </c>
      <c r="M14251" t="s">
        <v>297</v>
      </c>
      <c r="N14251" t="str">
        <f t="shared" si="197"/>
        <v>9163418-8/19</v>
      </c>
      <c r="O14251">
        <v>230102</v>
      </c>
    </row>
    <row r="14252" spans="1:15" x14ac:dyDescent="0.25">
      <c r="A14252" t="s">
        <v>16</v>
      </c>
      <c r="B14252" t="s">
        <v>3221</v>
      </c>
      <c r="C14252">
        <v>42</v>
      </c>
      <c r="D14252" t="s">
        <v>3190</v>
      </c>
      <c r="E14252" t="s">
        <v>3191</v>
      </c>
      <c r="F14252">
        <v>148.57</v>
      </c>
      <c r="G14252">
        <v>230101</v>
      </c>
      <c r="H14252">
        <v>4840</v>
      </c>
      <c r="I14252" t="s">
        <v>19</v>
      </c>
      <c r="J14252">
        <v>184.23</v>
      </c>
      <c r="K14252">
        <v>35.659999999999997</v>
      </c>
      <c r="L14252">
        <v>11301</v>
      </c>
      <c r="M14252" t="s">
        <v>29</v>
      </c>
      <c r="N14252" t="str">
        <f t="shared" ref="N14252:N14275" si="198">"163418-18/19"</f>
        <v>163418-18/19</v>
      </c>
      <c r="O14252">
        <v>230103</v>
      </c>
    </row>
    <row r="14253" spans="1:15" x14ac:dyDescent="0.25">
      <c r="A14253" t="s">
        <v>16</v>
      </c>
      <c r="B14253" t="s">
        <v>3221</v>
      </c>
      <c r="C14253">
        <v>42</v>
      </c>
      <c r="D14253" t="s">
        <v>3190</v>
      </c>
      <c r="E14253" t="s">
        <v>3191</v>
      </c>
      <c r="F14253">
        <v>113.02</v>
      </c>
      <c r="G14253">
        <v>230101</v>
      </c>
      <c r="H14253">
        <v>4840</v>
      </c>
      <c r="I14253" t="s">
        <v>19</v>
      </c>
      <c r="J14253">
        <v>140.15</v>
      </c>
      <c r="K14253">
        <v>27.13</v>
      </c>
      <c r="L14253">
        <v>11501</v>
      </c>
      <c r="M14253" t="s">
        <v>339</v>
      </c>
      <c r="N14253" t="str">
        <f t="shared" si="198"/>
        <v>163418-18/19</v>
      </c>
      <c r="O14253">
        <v>230103</v>
      </c>
    </row>
    <row r="14254" spans="1:15" x14ac:dyDescent="0.25">
      <c r="A14254" t="s">
        <v>16</v>
      </c>
      <c r="B14254" t="s">
        <v>3221</v>
      </c>
      <c r="C14254">
        <v>42</v>
      </c>
      <c r="D14254" t="s">
        <v>3190</v>
      </c>
      <c r="E14254" t="s">
        <v>3191</v>
      </c>
      <c r="F14254">
        <v>188.22</v>
      </c>
      <c r="G14254">
        <v>230101</v>
      </c>
      <c r="H14254">
        <v>4840</v>
      </c>
      <c r="I14254" t="s">
        <v>19</v>
      </c>
      <c r="J14254">
        <v>233.39</v>
      </c>
      <c r="K14254">
        <v>45.17</v>
      </c>
      <c r="L14254">
        <v>11501</v>
      </c>
      <c r="M14254" t="s">
        <v>339</v>
      </c>
      <c r="N14254" t="str">
        <f t="shared" si="198"/>
        <v>163418-18/19</v>
      </c>
      <c r="O14254">
        <v>230103</v>
      </c>
    </row>
    <row r="14255" spans="1:15" x14ac:dyDescent="0.25">
      <c r="A14255" t="s">
        <v>16</v>
      </c>
      <c r="B14255" t="s">
        <v>3221</v>
      </c>
      <c r="C14255">
        <v>42</v>
      </c>
      <c r="D14255" t="s">
        <v>3190</v>
      </c>
      <c r="E14255" t="s">
        <v>3191</v>
      </c>
      <c r="F14255">
        <v>28.11</v>
      </c>
      <c r="G14255">
        <v>230101</v>
      </c>
      <c r="H14255">
        <v>4840</v>
      </c>
      <c r="I14255" t="s">
        <v>19</v>
      </c>
      <c r="J14255">
        <v>34.86</v>
      </c>
      <c r="K14255">
        <v>6.75</v>
      </c>
      <c r="L14255">
        <v>11601</v>
      </c>
      <c r="M14255" t="s">
        <v>535</v>
      </c>
      <c r="N14255" t="str">
        <f t="shared" si="198"/>
        <v>163418-18/19</v>
      </c>
      <c r="O14255">
        <v>230103</v>
      </c>
    </row>
    <row r="14256" spans="1:15" x14ac:dyDescent="0.25">
      <c r="A14256" t="s">
        <v>16</v>
      </c>
      <c r="B14256" t="s">
        <v>3221</v>
      </c>
      <c r="C14256">
        <v>42</v>
      </c>
      <c r="D14256" t="s">
        <v>3190</v>
      </c>
      <c r="E14256" t="s">
        <v>3191</v>
      </c>
      <c r="F14256">
        <v>50.21</v>
      </c>
      <c r="G14256">
        <v>230101</v>
      </c>
      <c r="H14256">
        <v>4840</v>
      </c>
      <c r="I14256" t="s">
        <v>19</v>
      </c>
      <c r="J14256">
        <v>62.26</v>
      </c>
      <c r="K14256">
        <v>12.05</v>
      </c>
      <c r="L14256">
        <v>11901</v>
      </c>
      <c r="M14256" t="s">
        <v>36</v>
      </c>
      <c r="N14256" t="str">
        <f t="shared" si="198"/>
        <v>163418-18/19</v>
      </c>
      <c r="O14256">
        <v>230103</v>
      </c>
    </row>
    <row r="14257" spans="1:15" x14ac:dyDescent="0.25">
      <c r="A14257" t="s">
        <v>16</v>
      </c>
      <c r="B14257" t="s">
        <v>3221</v>
      </c>
      <c r="C14257">
        <v>42</v>
      </c>
      <c r="D14257" t="s">
        <v>3190</v>
      </c>
      <c r="E14257" t="s">
        <v>3191</v>
      </c>
      <c r="F14257">
        <v>970.48</v>
      </c>
      <c r="G14257">
        <v>230101</v>
      </c>
      <c r="H14257">
        <v>4840</v>
      </c>
      <c r="I14257" t="s">
        <v>19</v>
      </c>
      <c r="J14257">
        <v>1203.4000000000001</v>
      </c>
      <c r="K14257">
        <v>232.92</v>
      </c>
      <c r="L14257">
        <v>14121</v>
      </c>
      <c r="M14257" t="s">
        <v>880</v>
      </c>
      <c r="N14257" t="str">
        <f t="shared" si="198"/>
        <v>163418-18/19</v>
      </c>
      <c r="O14257">
        <v>230103</v>
      </c>
    </row>
    <row r="14258" spans="1:15" x14ac:dyDescent="0.25">
      <c r="A14258" t="s">
        <v>16</v>
      </c>
      <c r="B14258" t="s">
        <v>3221</v>
      </c>
      <c r="C14258">
        <v>42</v>
      </c>
      <c r="D14258" t="s">
        <v>3190</v>
      </c>
      <c r="E14258" t="s">
        <v>3191</v>
      </c>
      <c r="F14258">
        <v>777.64</v>
      </c>
      <c r="G14258">
        <v>230101</v>
      </c>
      <c r="H14258">
        <v>4840</v>
      </c>
      <c r="I14258" t="s">
        <v>19</v>
      </c>
      <c r="J14258">
        <v>964.27</v>
      </c>
      <c r="K14258">
        <v>186.63</v>
      </c>
      <c r="L14258">
        <v>14121</v>
      </c>
      <c r="M14258" t="s">
        <v>880</v>
      </c>
      <c r="N14258" t="str">
        <f t="shared" si="198"/>
        <v>163418-18/19</v>
      </c>
      <c r="O14258">
        <v>230103</v>
      </c>
    </row>
    <row r="14259" spans="1:15" x14ac:dyDescent="0.25">
      <c r="A14259" t="s">
        <v>16</v>
      </c>
      <c r="B14259" t="s">
        <v>3221</v>
      </c>
      <c r="C14259">
        <v>42</v>
      </c>
      <c r="D14259" t="s">
        <v>3190</v>
      </c>
      <c r="E14259" t="s">
        <v>3191</v>
      </c>
      <c r="F14259">
        <v>558.44000000000005</v>
      </c>
      <c r="G14259">
        <v>230101</v>
      </c>
      <c r="H14259">
        <v>4840</v>
      </c>
      <c r="I14259" t="s">
        <v>19</v>
      </c>
      <c r="J14259">
        <v>692.47</v>
      </c>
      <c r="K14259">
        <v>134.03</v>
      </c>
      <c r="L14259">
        <v>14321</v>
      </c>
      <c r="M14259" t="s">
        <v>717</v>
      </c>
      <c r="N14259" t="str">
        <f t="shared" si="198"/>
        <v>163418-18/19</v>
      </c>
      <c r="O14259">
        <v>230103</v>
      </c>
    </row>
    <row r="14260" spans="1:15" x14ac:dyDescent="0.25">
      <c r="A14260" t="s">
        <v>16</v>
      </c>
      <c r="B14260" t="s">
        <v>3221</v>
      </c>
      <c r="C14260">
        <v>42</v>
      </c>
      <c r="D14260" t="s">
        <v>3190</v>
      </c>
      <c r="E14260" t="s">
        <v>3191</v>
      </c>
      <c r="F14260">
        <v>271.85000000000002</v>
      </c>
      <c r="G14260">
        <v>230101</v>
      </c>
      <c r="H14260">
        <v>4840</v>
      </c>
      <c r="I14260" t="s">
        <v>19</v>
      </c>
      <c r="J14260">
        <v>337.1</v>
      </c>
      <c r="K14260">
        <v>65.25</v>
      </c>
      <c r="L14260">
        <v>14321</v>
      </c>
      <c r="M14260" t="s">
        <v>717</v>
      </c>
      <c r="N14260" t="str">
        <f t="shared" si="198"/>
        <v>163418-18/19</v>
      </c>
      <c r="O14260">
        <v>230103</v>
      </c>
    </row>
    <row r="14261" spans="1:15" x14ac:dyDescent="0.25">
      <c r="A14261" t="s">
        <v>16</v>
      </c>
      <c r="B14261" t="s">
        <v>3221</v>
      </c>
      <c r="C14261">
        <v>42</v>
      </c>
      <c r="D14261" t="s">
        <v>3190</v>
      </c>
      <c r="E14261" t="s">
        <v>3191</v>
      </c>
      <c r="F14261">
        <v>842.98</v>
      </c>
      <c r="G14261">
        <v>230101</v>
      </c>
      <c r="H14261">
        <v>4840</v>
      </c>
      <c r="I14261" t="s">
        <v>19</v>
      </c>
      <c r="J14261">
        <v>1045.3</v>
      </c>
      <c r="K14261">
        <v>202.32</v>
      </c>
      <c r="L14261">
        <v>14422</v>
      </c>
      <c r="M14261" t="s">
        <v>228</v>
      </c>
      <c r="N14261" t="str">
        <f t="shared" si="198"/>
        <v>163418-18/19</v>
      </c>
      <c r="O14261">
        <v>230103</v>
      </c>
    </row>
    <row r="14262" spans="1:15" x14ac:dyDescent="0.25">
      <c r="A14262" t="s">
        <v>16</v>
      </c>
      <c r="B14262" t="s">
        <v>3221</v>
      </c>
      <c r="C14262">
        <v>42</v>
      </c>
      <c r="D14262" t="s">
        <v>3190</v>
      </c>
      <c r="E14262" t="s">
        <v>3191</v>
      </c>
      <c r="F14262">
        <v>23.45</v>
      </c>
      <c r="G14262">
        <v>230101</v>
      </c>
      <c r="H14262">
        <v>4840</v>
      </c>
      <c r="I14262" t="s">
        <v>19</v>
      </c>
      <c r="J14262">
        <v>29.08</v>
      </c>
      <c r="K14262">
        <v>5.63</v>
      </c>
      <c r="L14262">
        <v>14541</v>
      </c>
      <c r="M14262" t="s">
        <v>626</v>
      </c>
      <c r="N14262" t="str">
        <f t="shared" si="198"/>
        <v>163418-18/19</v>
      </c>
      <c r="O14262">
        <v>230103</v>
      </c>
    </row>
    <row r="14263" spans="1:15" x14ac:dyDescent="0.25">
      <c r="A14263" t="s">
        <v>16</v>
      </c>
      <c r="B14263" t="s">
        <v>3221</v>
      </c>
      <c r="C14263">
        <v>42</v>
      </c>
      <c r="D14263" t="s">
        <v>3190</v>
      </c>
      <c r="E14263" t="s">
        <v>3191</v>
      </c>
      <c r="F14263">
        <v>27.19</v>
      </c>
      <c r="G14263">
        <v>230101</v>
      </c>
      <c r="H14263">
        <v>4840</v>
      </c>
      <c r="I14263" t="s">
        <v>19</v>
      </c>
      <c r="J14263">
        <v>33.71</v>
      </c>
      <c r="K14263">
        <v>6.52</v>
      </c>
      <c r="L14263">
        <v>14541</v>
      </c>
      <c r="M14263" t="s">
        <v>626</v>
      </c>
      <c r="N14263" t="str">
        <f t="shared" si="198"/>
        <v>163418-18/19</v>
      </c>
      <c r="O14263">
        <v>230103</v>
      </c>
    </row>
    <row r="14264" spans="1:15" x14ac:dyDescent="0.25">
      <c r="A14264" t="s">
        <v>16</v>
      </c>
      <c r="B14264" t="s">
        <v>3221</v>
      </c>
      <c r="C14264">
        <v>42</v>
      </c>
      <c r="D14264" t="s">
        <v>3190</v>
      </c>
      <c r="E14264" t="s">
        <v>3191</v>
      </c>
      <c r="F14264">
        <v>2764.94</v>
      </c>
      <c r="G14264">
        <v>230101</v>
      </c>
      <c r="H14264">
        <v>4840</v>
      </c>
      <c r="I14264" t="s">
        <v>19</v>
      </c>
      <c r="J14264">
        <v>3428.53</v>
      </c>
      <c r="K14264">
        <v>663.59</v>
      </c>
      <c r="L14264">
        <v>14622</v>
      </c>
      <c r="M14264" t="s">
        <v>1005</v>
      </c>
      <c r="N14264" t="str">
        <f t="shared" si="198"/>
        <v>163418-18/19</v>
      </c>
      <c r="O14264">
        <v>230103</v>
      </c>
    </row>
    <row r="14265" spans="1:15" x14ac:dyDescent="0.25">
      <c r="A14265" t="s">
        <v>16</v>
      </c>
      <c r="B14265" t="s">
        <v>3221</v>
      </c>
      <c r="C14265">
        <v>42</v>
      </c>
      <c r="D14265" t="s">
        <v>3190</v>
      </c>
      <c r="E14265" t="s">
        <v>3191</v>
      </c>
      <c r="F14265">
        <v>283.94</v>
      </c>
      <c r="G14265">
        <v>230101</v>
      </c>
      <c r="H14265">
        <v>4840</v>
      </c>
      <c r="I14265" t="s">
        <v>19</v>
      </c>
      <c r="J14265">
        <v>352.08</v>
      </c>
      <c r="K14265">
        <v>68.14</v>
      </c>
      <c r="L14265">
        <v>14622</v>
      </c>
      <c r="M14265" t="s">
        <v>1005</v>
      </c>
      <c r="N14265" t="str">
        <f t="shared" si="198"/>
        <v>163418-18/19</v>
      </c>
      <c r="O14265">
        <v>230103</v>
      </c>
    </row>
    <row r="14266" spans="1:15" x14ac:dyDescent="0.25">
      <c r="A14266" t="s">
        <v>16</v>
      </c>
      <c r="B14266" t="s">
        <v>3221</v>
      </c>
      <c r="C14266">
        <v>42</v>
      </c>
      <c r="D14266" t="s">
        <v>3190</v>
      </c>
      <c r="E14266" t="s">
        <v>3191</v>
      </c>
      <c r="F14266">
        <v>148.82</v>
      </c>
      <c r="G14266">
        <v>230101</v>
      </c>
      <c r="H14266">
        <v>4840</v>
      </c>
      <c r="I14266" t="s">
        <v>19</v>
      </c>
      <c r="J14266">
        <v>184.54</v>
      </c>
      <c r="K14266">
        <v>35.72</v>
      </c>
      <c r="L14266">
        <v>14640</v>
      </c>
      <c r="M14266" t="s">
        <v>229</v>
      </c>
      <c r="N14266" t="str">
        <f t="shared" si="198"/>
        <v>163418-18/19</v>
      </c>
      <c r="O14266">
        <v>230103</v>
      </c>
    </row>
    <row r="14267" spans="1:15" x14ac:dyDescent="0.25">
      <c r="A14267" t="s">
        <v>16</v>
      </c>
      <c r="B14267" t="s">
        <v>3221</v>
      </c>
      <c r="C14267">
        <v>42</v>
      </c>
      <c r="D14267" t="s">
        <v>3190</v>
      </c>
      <c r="E14267" t="s">
        <v>3191</v>
      </c>
      <c r="F14267">
        <v>420.03</v>
      </c>
      <c r="G14267">
        <v>230101</v>
      </c>
      <c r="H14267">
        <v>4840</v>
      </c>
      <c r="I14267" t="s">
        <v>19</v>
      </c>
      <c r="J14267">
        <v>520.84</v>
      </c>
      <c r="K14267">
        <v>100.81</v>
      </c>
      <c r="L14267">
        <v>14861</v>
      </c>
      <c r="M14267" t="s">
        <v>785</v>
      </c>
      <c r="N14267" t="str">
        <f t="shared" si="198"/>
        <v>163418-18/19</v>
      </c>
      <c r="O14267">
        <v>230103</v>
      </c>
    </row>
    <row r="14268" spans="1:15" x14ac:dyDescent="0.25">
      <c r="A14268" t="s">
        <v>16</v>
      </c>
      <c r="B14268" t="s">
        <v>3221</v>
      </c>
      <c r="C14268">
        <v>42</v>
      </c>
      <c r="D14268" t="s">
        <v>3190</v>
      </c>
      <c r="E14268" t="s">
        <v>3191</v>
      </c>
      <c r="F14268">
        <v>26.72</v>
      </c>
      <c r="G14268">
        <v>230101</v>
      </c>
      <c r="H14268">
        <v>4840</v>
      </c>
      <c r="I14268" t="s">
        <v>19</v>
      </c>
      <c r="J14268">
        <v>33.130000000000003</v>
      </c>
      <c r="K14268">
        <v>6.41</v>
      </c>
      <c r="L14268">
        <v>14912</v>
      </c>
      <c r="M14268" t="s">
        <v>230</v>
      </c>
      <c r="N14268" t="str">
        <f t="shared" si="198"/>
        <v>163418-18/19</v>
      </c>
      <c r="O14268">
        <v>230103</v>
      </c>
    </row>
    <row r="14269" spans="1:15" x14ac:dyDescent="0.25">
      <c r="A14269" t="s">
        <v>16</v>
      </c>
      <c r="B14269" t="s">
        <v>3221</v>
      </c>
      <c r="C14269">
        <v>42</v>
      </c>
      <c r="D14269" t="s">
        <v>3190</v>
      </c>
      <c r="E14269" t="s">
        <v>3191</v>
      </c>
      <c r="F14269">
        <v>83.97</v>
      </c>
      <c r="G14269">
        <v>230101</v>
      </c>
      <c r="H14269">
        <v>4840</v>
      </c>
      <c r="I14269" t="s">
        <v>19</v>
      </c>
      <c r="J14269">
        <v>104.12</v>
      </c>
      <c r="K14269">
        <v>20.149999999999999</v>
      </c>
      <c r="L14269">
        <v>14971</v>
      </c>
      <c r="M14269" t="s">
        <v>1259</v>
      </c>
      <c r="N14269" t="str">
        <f t="shared" si="198"/>
        <v>163418-18/19</v>
      </c>
      <c r="O14269">
        <v>230103</v>
      </c>
    </row>
    <row r="14270" spans="1:15" x14ac:dyDescent="0.25">
      <c r="A14270" t="s">
        <v>16</v>
      </c>
      <c r="B14270" t="s">
        <v>3221</v>
      </c>
      <c r="C14270">
        <v>42</v>
      </c>
      <c r="D14270" t="s">
        <v>3190</v>
      </c>
      <c r="E14270" t="s">
        <v>3191</v>
      </c>
      <c r="F14270">
        <v>226.05</v>
      </c>
      <c r="G14270">
        <v>230101</v>
      </c>
      <c r="H14270">
        <v>4840</v>
      </c>
      <c r="I14270" t="s">
        <v>19</v>
      </c>
      <c r="J14270">
        <v>280.3</v>
      </c>
      <c r="K14270">
        <v>54.25</v>
      </c>
      <c r="L14270">
        <v>14972</v>
      </c>
      <c r="M14270" t="s">
        <v>898</v>
      </c>
      <c r="N14270" t="str">
        <f t="shared" si="198"/>
        <v>163418-18/19</v>
      </c>
      <c r="O14270">
        <v>230103</v>
      </c>
    </row>
    <row r="14271" spans="1:15" x14ac:dyDescent="0.25">
      <c r="A14271" t="s">
        <v>16</v>
      </c>
      <c r="B14271" t="s">
        <v>3221</v>
      </c>
      <c r="C14271">
        <v>42</v>
      </c>
      <c r="D14271" t="s">
        <v>3190</v>
      </c>
      <c r="E14271" t="s">
        <v>3191</v>
      </c>
      <c r="F14271">
        <v>526.38</v>
      </c>
      <c r="G14271">
        <v>230101</v>
      </c>
      <c r="H14271">
        <v>4840</v>
      </c>
      <c r="I14271" t="s">
        <v>19</v>
      </c>
      <c r="J14271">
        <v>652.71</v>
      </c>
      <c r="K14271">
        <v>126.33</v>
      </c>
      <c r="L14271">
        <v>14972</v>
      </c>
      <c r="M14271" t="s">
        <v>898</v>
      </c>
      <c r="N14271" t="str">
        <f t="shared" si="198"/>
        <v>163418-18/19</v>
      </c>
      <c r="O14271">
        <v>230103</v>
      </c>
    </row>
    <row r="14272" spans="1:15" x14ac:dyDescent="0.25">
      <c r="A14272" t="s">
        <v>16</v>
      </c>
      <c r="B14272" t="s">
        <v>3221</v>
      </c>
      <c r="C14272">
        <v>42</v>
      </c>
      <c r="D14272" t="s">
        <v>3190</v>
      </c>
      <c r="E14272" t="s">
        <v>3191</v>
      </c>
      <c r="F14272">
        <v>33.06</v>
      </c>
      <c r="G14272">
        <v>230101</v>
      </c>
      <c r="H14272">
        <v>4840</v>
      </c>
      <c r="I14272" t="s">
        <v>19</v>
      </c>
      <c r="J14272">
        <v>40.99</v>
      </c>
      <c r="K14272">
        <v>7.93</v>
      </c>
      <c r="L14272">
        <v>14974</v>
      </c>
      <c r="M14272" t="s">
        <v>1340</v>
      </c>
      <c r="N14272" t="str">
        <f t="shared" si="198"/>
        <v>163418-18/19</v>
      </c>
      <c r="O14272">
        <v>230103</v>
      </c>
    </row>
    <row r="14273" spans="1:15" x14ac:dyDescent="0.25">
      <c r="A14273" t="s">
        <v>16</v>
      </c>
      <c r="B14273" t="s">
        <v>3221</v>
      </c>
      <c r="C14273">
        <v>42</v>
      </c>
      <c r="D14273" t="s">
        <v>3190</v>
      </c>
      <c r="E14273" t="s">
        <v>3191</v>
      </c>
      <c r="F14273">
        <v>48.96</v>
      </c>
      <c r="G14273">
        <v>230101</v>
      </c>
      <c r="H14273">
        <v>4840</v>
      </c>
      <c r="I14273" t="s">
        <v>19</v>
      </c>
      <c r="J14273">
        <v>60.71</v>
      </c>
      <c r="K14273">
        <v>11.75</v>
      </c>
      <c r="L14273">
        <v>14975</v>
      </c>
      <c r="M14273" t="s">
        <v>1341</v>
      </c>
      <c r="N14273" t="str">
        <f t="shared" si="198"/>
        <v>163418-18/19</v>
      </c>
      <c r="O14273">
        <v>230103</v>
      </c>
    </row>
    <row r="14274" spans="1:15" x14ac:dyDescent="0.25">
      <c r="A14274" t="s">
        <v>16</v>
      </c>
      <c r="B14274" t="s">
        <v>3221</v>
      </c>
      <c r="C14274">
        <v>42</v>
      </c>
      <c r="D14274" t="s">
        <v>3190</v>
      </c>
      <c r="E14274" t="s">
        <v>3191</v>
      </c>
      <c r="F14274">
        <v>24.95</v>
      </c>
      <c r="G14274">
        <v>230101</v>
      </c>
      <c r="H14274">
        <v>4840</v>
      </c>
      <c r="I14274" t="s">
        <v>19</v>
      </c>
      <c r="J14274">
        <v>30.94</v>
      </c>
      <c r="K14274">
        <v>5.99</v>
      </c>
      <c r="L14274">
        <v>18010</v>
      </c>
      <c r="M14274" t="s">
        <v>1344</v>
      </c>
      <c r="N14274" t="str">
        <f t="shared" si="198"/>
        <v>163418-18/19</v>
      </c>
      <c r="O14274">
        <v>230103</v>
      </c>
    </row>
    <row r="14275" spans="1:15" x14ac:dyDescent="0.25">
      <c r="A14275" t="s">
        <v>16</v>
      </c>
      <c r="B14275" t="s">
        <v>3221</v>
      </c>
      <c r="C14275">
        <v>42</v>
      </c>
      <c r="D14275" t="s">
        <v>3190</v>
      </c>
      <c r="E14275" t="s">
        <v>3191</v>
      </c>
      <c r="F14275">
        <v>185.85</v>
      </c>
      <c r="G14275">
        <v>230101</v>
      </c>
      <c r="H14275">
        <v>4840</v>
      </c>
      <c r="I14275" t="s">
        <v>19</v>
      </c>
      <c r="J14275">
        <v>230.45</v>
      </c>
      <c r="K14275">
        <v>44.6</v>
      </c>
      <c r="L14275">
        <v>18972</v>
      </c>
      <c r="M14275" t="s">
        <v>163</v>
      </c>
      <c r="N14275" t="str">
        <f t="shared" si="198"/>
        <v>163418-18/19</v>
      </c>
      <c r="O14275">
        <v>230103</v>
      </c>
    </row>
    <row r="14276" spans="1:15" x14ac:dyDescent="0.25">
      <c r="A14276" t="s">
        <v>16</v>
      </c>
      <c r="B14276" t="s">
        <v>3221</v>
      </c>
      <c r="C14276">
        <v>80</v>
      </c>
      <c r="D14276" t="s">
        <v>3190</v>
      </c>
      <c r="E14276" t="s">
        <v>3191</v>
      </c>
      <c r="F14276">
        <v>3138.8</v>
      </c>
      <c r="G14276">
        <v>230101</v>
      </c>
      <c r="H14276">
        <v>4840</v>
      </c>
      <c r="I14276" t="s">
        <v>19</v>
      </c>
      <c r="J14276">
        <v>3892.11</v>
      </c>
      <c r="K14276">
        <v>753.31</v>
      </c>
      <c r="L14276">
        <v>67554</v>
      </c>
      <c r="M14276" t="s">
        <v>60</v>
      </c>
      <c r="N14276" t="str">
        <f>"89287204    "</f>
        <v xml:space="preserve">89287204    </v>
      </c>
      <c r="O14276">
        <v>230109</v>
      </c>
    </row>
    <row r="14277" spans="1:15" x14ac:dyDescent="0.25">
      <c r="A14277" t="s">
        <v>16</v>
      </c>
      <c r="B14277" t="s">
        <v>3221</v>
      </c>
      <c r="C14277">
        <v>954</v>
      </c>
      <c r="D14277" t="s">
        <v>812</v>
      </c>
      <c r="E14277" t="s">
        <v>813</v>
      </c>
      <c r="F14277">
        <v>800.02</v>
      </c>
      <c r="G14277">
        <v>230116</v>
      </c>
      <c r="H14277">
        <v>4346</v>
      </c>
      <c r="I14277" t="s">
        <v>197</v>
      </c>
      <c r="J14277">
        <v>992.02</v>
      </c>
      <c r="K14277">
        <v>192</v>
      </c>
      <c r="L14277">
        <v>11905</v>
      </c>
      <c r="M14277" t="s">
        <v>39</v>
      </c>
      <c r="N14277" t="str">
        <f>"1316        "</f>
        <v xml:space="preserve">1316        </v>
      </c>
      <c r="O14277">
        <v>230201</v>
      </c>
    </row>
    <row r="14278" spans="1:15" x14ac:dyDescent="0.25">
      <c r="A14278" t="s">
        <v>16</v>
      </c>
      <c r="B14278" t="s">
        <v>3221</v>
      </c>
      <c r="C14278">
        <v>954</v>
      </c>
      <c r="D14278" t="s">
        <v>812</v>
      </c>
      <c r="E14278" t="s">
        <v>813</v>
      </c>
      <c r="F14278">
        <v>426.68</v>
      </c>
      <c r="G14278">
        <v>230116</v>
      </c>
      <c r="H14278">
        <v>4341</v>
      </c>
      <c r="I14278" t="s">
        <v>32</v>
      </c>
      <c r="J14278">
        <v>529.08000000000004</v>
      </c>
      <c r="K14278">
        <v>102.4</v>
      </c>
      <c r="L14278">
        <v>18972</v>
      </c>
      <c r="M14278" t="s">
        <v>163</v>
      </c>
      <c r="N14278" t="str">
        <f>"1316        "</f>
        <v xml:space="preserve">1316        </v>
      </c>
      <c r="O14278">
        <v>230201</v>
      </c>
    </row>
    <row r="14279" spans="1:15" x14ac:dyDescent="0.25">
      <c r="A14279" t="s">
        <v>16</v>
      </c>
      <c r="B14279" t="s">
        <v>3221</v>
      </c>
      <c r="C14279">
        <v>113</v>
      </c>
      <c r="D14279" t="s">
        <v>154</v>
      </c>
      <c r="E14279" t="s">
        <v>155</v>
      </c>
      <c r="F14279">
        <v>129.6</v>
      </c>
      <c r="G14279">
        <v>230101</v>
      </c>
      <c r="H14279">
        <v>4343</v>
      </c>
      <c r="I14279" t="s">
        <v>91</v>
      </c>
      <c r="J14279">
        <v>160.69999999999999</v>
      </c>
      <c r="K14279">
        <v>31.1</v>
      </c>
      <c r="L14279">
        <v>44251</v>
      </c>
      <c r="M14279" t="s">
        <v>156</v>
      </c>
      <c r="N14279" t="str">
        <f>"20130871    "</f>
        <v xml:space="preserve">20130871    </v>
      </c>
      <c r="O14279">
        <v>230111</v>
      </c>
    </row>
    <row r="14280" spans="1:15" x14ac:dyDescent="0.25">
      <c r="A14280" t="s">
        <v>16</v>
      </c>
      <c r="B14280" t="s">
        <v>3221</v>
      </c>
      <c r="C14280">
        <v>113</v>
      </c>
      <c r="D14280" t="s">
        <v>154</v>
      </c>
      <c r="E14280" t="s">
        <v>155</v>
      </c>
      <c r="F14280">
        <v>129.6</v>
      </c>
      <c r="G14280">
        <v>230101</v>
      </c>
      <c r="H14280">
        <v>4343</v>
      </c>
      <c r="I14280" t="s">
        <v>91</v>
      </c>
      <c r="J14280">
        <v>160.69999999999999</v>
      </c>
      <c r="K14280">
        <v>31.1</v>
      </c>
      <c r="L14280">
        <v>44252</v>
      </c>
      <c r="M14280" t="s">
        <v>157</v>
      </c>
      <c r="N14280" t="str">
        <f>"20130871    "</f>
        <v xml:space="preserve">20130871    </v>
      </c>
      <c r="O14280">
        <v>230111</v>
      </c>
    </row>
    <row r="14281" spans="1:15" x14ac:dyDescent="0.25">
      <c r="A14281" t="s">
        <v>16</v>
      </c>
      <c r="B14281" t="s">
        <v>3221</v>
      </c>
      <c r="C14281">
        <v>113</v>
      </c>
      <c r="D14281" t="s">
        <v>154</v>
      </c>
      <c r="E14281" t="s">
        <v>155</v>
      </c>
      <c r="F14281">
        <v>129.6</v>
      </c>
      <c r="G14281">
        <v>230101</v>
      </c>
      <c r="H14281">
        <v>4343</v>
      </c>
      <c r="I14281" t="s">
        <v>91</v>
      </c>
      <c r="J14281">
        <v>160.71</v>
      </c>
      <c r="K14281">
        <v>31.11</v>
      </c>
      <c r="L14281">
        <v>54451</v>
      </c>
      <c r="M14281" t="s">
        <v>158</v>
      </c>
      <c r="N14281" t="str">
        <f>"20130871    "</f>
        <v xml:space="preserve">20130871    </v>
      </c>
      <c r="O14281">
        <v>230111</v>
      </c>
    </row>
    <row r="14282" spans="1:15" x14ac:dyDescent="0.25">
      <c r="A14282" t="s">
        <v>16</v>
      </c>
      <c r="B14282" t="s">
        <v>3221</v>
      </c>
      <c r="C14282">
        <v>4904</v>
      </c>
      <c r="D14282" t="s">
        <v>154</v>
      </c>
      <c r="E14282" t="s">
        <v>155</v>
      </c>
      <c r="F14282">
        <v>129.6</v>
      </c>
      <c r="G14282">
        <v>230401</v>
      </c>
      <c r="H14282">
        <v>4343</v>
      </c>
      <c r="I14282" t="s">
        <v>91</v>
      </c>
      <c r="J14282">
        <v>160.69999999999999</v>
      </c>
      <c r="K14282">
        <v>31.1</v>
      </c>
      <c r="L14282">
        <v>44251</v>
      </c>
      <c r="M14282" t="s">
        <v>156</v>
      </c>
      <c r="N14282" t="str">
        <f>"20131511    "</f>
        <v xml:space="preserve">20131511    </v>
      </c>
      <c r="O14282">
        <v>230414</v>
      </c>
    </row>
    <row r="14283" spans="1:15" x14ac:dyDescent="0.25">
      <c r="A14283" t="s">
        <v>16</v>
      </c>
      <c r="B14283" t="s">
        <v>3221</v>
      </c>
      <c r="C14283">
        <v>4904</v>
      </c>
      <c r="D14283" t="s">
        <v>154</v>
      </c>
      <c r="E14283" t="s">
        <v>155</v>
      </c>
      <c r="F14283">
        <v>129.6</v>
      </c>
      <c r="G14283">
        <v>230401</v>
      </c>
      <c r="H14283">
        <v>4343</v>
      </c>
      <c r="I14283" t="s">
        <v>91</v>
      </c>
      <c r="J14283">
        <v>160.69999999999999</v>
      </c>
      <c r="K14283">
        <v>31.1</v>
      </c>
      <c r="L14283">
        <v>44252</v>
      </c>
      <c r="M14283" t="s">
        <v>157</v>
      </c>
      <c r="N14283" t="str">
        <f>"20131511    "</f>
        <v xml:space="preserve">20131511    </v>
      </c>
      <c r="O14283">
        <v>230414</v>
      </c>
    </row>
    <row r="14284" spans="1:15" x14ac:dyDescent="0.25">
      <c r="A14284" t="s">
        <v>16</v>
      </c>
      <c r="B14284" t="s">
        <v>3221</v>
      </c>
      <c r="C14284">
        <v>4904</v>
      </c>
      <c r="D14284" t="s">
        <v>154</v>
      </c>
      <c r="E14284" t="s">
        <v>155</v>
      </c>
      <c r="F14284">
        <v>129.6</v>
      </c>
      <c r="G14284">
        <v>230401</v>
      </c>
      <c r="H14284">
        <v>4343</v>
      </c>
      <c r="I14284" t="s">
        <v>91</v>
      </c>
      <c r="J14284">
        <v>160.71</v>
      </c>
      <c r="K14284">
        <v>31.11</v>
      </c>
      <c r="L14284">
        <v>54451</v>
      </c>
      <c r="M14284" t="s">
        <v>158</v>
      </c>
      <c r="N14284" t="str">
        <f>"20131511    "</f>
        <v xml:space="preserve">20131511    </v>
      </c>
      <c r="O14284">
        <v>230414</v>
      </c>
    </row>
    <row r="14285" spans="1:15" x14ac:dyDescent="0.25">
      <c r="A14285" t="s">
        <v>16</v>
      </c>
      <c r="B14285" t="s">
        <v>3221</v>
      </c>
      <c r="C14285">
        <v>9291</v>
      </c>
      <c r="D14285" t="s">
        <v>154</v>
      </c>
      <c r="E14285" t="s">
        <v>155</v>
      </c>
      <c r="F14285">
        <v>129.6</v>
      </c>
      <c r="G14285">
        <v>230701</v>
      </c>
      <c r="H14285">
        <v>4343</v>
      </c>
      <c r="I14285" t="s">
        <v>91</v>
      </c>
      <c r="J14285">
        <v>160.69999999999999</v>
      </c>
      <c r="K14285">
        <v>31.1</v>
      </c>
      <c r="L14285">
        <v>44251</v>
      </c>
      <c r="M14285" t="s">
        <v>156</v>
      </c>
      <c r="N14285" t="str">
        <f>"20131919    "</f>
        <v xml:space="preserve">20131919    </v>
      </c>
      <c r="O14285">
        <v>230704</v>
      </c>
    </row>
    <row r="14286" spans="1:15" x14ac:dyDescent="0.25">
      <c r="A14286" t="s">
        <v>16</v>
      </c>
      <c r="B14286" t="s">
        <v>3221</v>
      </c>
      <c r="C14286">
        <v>9291</v>
      </c>
      <c r="D14286" t="s">
        <v>154</v>
      </c>
      <c r="E14286" t="s">
        <v>155</v>
      </c>
      <c r="F14286">
        <v>129.6</v>
      </c>
      <c r="G14286">
        <v>230701</v>
      </c>
      <c r="H14286">
        <v>4343</v>
      </c>
      <c r="I14286" t="s">
        <v>91</v>
      </c>
      <c r="J14286">
        <v>160.69999999999999</v>
      </c>
      <c r="K14286">
        <v>31.1</v>
      </c>
      <c r="L14286">
        <v>44252</v>
      </c>
      <c r="M14286" t="s">
        <v>157</v>
      </c>
      <c r="N14286" t="str">
        <f>"20131919    "</f>
        <v xml:space="preserve">20131919    </v>
      </c>
      <c r="O14286">
        <v>230704</v>
      </c>
    </row>
    <row r="14287" spans="1:15" x14ac:dyDescent="0.25">
      <c r="A14287" t="s">
        <v>16</v>
      </c>
      <c r="B14287" t="s">
        <v>3221</v>
      </c>
      <c r="C14287">
        <v>9291</v>
      </c>
      <c r="D14287" t="s">
        <v>154</v>
      </c>
      <c r="E14287" t="s">
        <v>155</v>
      </c>
      <c r="F14287">
        <v>129.6</v>
      </c>
      <c r="G14287">
        <v>230701</v>
      </c>
      <c r="H14287">
        <v>4343</v>
      </c>
      <c r="I14287" t="s">
        <v>91</v>
      </c>
      <c r="J14287">
        <v>160.71</v>
      </c>
      <c r="K14287">
        <v>31.11</v>
      </c>
      <c r="L14287">
        <v>54451</v>
      </c>
      <c r="M14287" t="s">
        <v>158</v>
      </c>
      <c r="N14287" t="str">
        <f>"20131919    "</f>
        <v xml:space="preserve">20131919    </v>
      </c>
      <c r="O14287">
        <v>230704</v>
      </c>
    </row>
    <row r="14288" spans="1:15" x14ac:dyDescent="0.25">
      <c r="A14288" t="s">
        <v>16</v>
      </c>
      <c r="B14288" t="s">
        <v>3221</v>
      </c>
      <c r="C14288">
        <v>13675</v>
      </c>
      <c r="D14288" t="s">
        <v>154</v>
      </c>
      <c r="E14288" t="s">
        <v>155</v>
      </c>
      <c r="F14288">
        <v>129.58000000000001</v>
      </c>
      <c r="G14288">
        <v>231001</v>
      </c>
      <c r="H14288">
        <v>4343</v>
      </c>
      <c r="I14288" t="s">
        <v>91</v>
      </c>
      <c r="J14288">
        <v>160.68</v>
      </c>
      <c r="K14288">
        <v>31.1</v>
      </c>
      <c r="L14288">
        <v>44251</v>
      </c>
      <c r="M14288" t="s">
        <v>156</v>
      </c>
      <c r="N14288" t="str">
        <f>"20132744    "</f>
        <v xml:space="preserve">20132744    </v>
      </c>
      <c r="O14288">
        <v>231012</v>
      </c>
    </row>
    <row r="14289" spans="1:15" x14ac:dyDescent="0.25">
      <c r="A14289" t="s">
        <v>16</v>
      </c>
      <c r="B14289" t="s">
        <v>3221</v>
      </c>
      <c r="C14289">
        <v>13675</v>
      </c>
      <c r="D14289" t="s">
        <v>154</v>
      </c>
      <c r="E14289" t="s">
        <v>155</v>
      </c>
      <c r="F14289">
        <v>129.58000000000001</v>
      </c>
      <c r="G14289">
        <v>231001</v>
      </c>
      <c r="H14289">
        <v>4343</v>
      </c>
      <c r="I14289" t="s">
        <v>91</v>
      </c>
      <c r="J14289">
        <v>160.68</v>
      </c>
      <c r="K14289">
        <v>31.1</v>
      </c>
      <c r="L14289">
        <v>44252</v>
      </c>
      <c r="M14289" t="s">
        <v>157</v>
      </c>
      <c r="N14289" t="str">
        <f>"20132744    "</f>
        <v xml:space="preserve">20132744    </v>
      </c>
      <c r="O14289">
        <v>231012</v>
      </c>
    </row>
    <row r="14290" spans="1:15" x14ac:dyDescent="0.25">
      <c r="A14290" t="s">
        <v>16</v>
      </c>
      <c r="B14290" t="s">
        <v>3221</v>
      </c>
      <c r="C14290">
        <v>13675</v>
      </c>
      <c r="D14290" t="s">
        <v>154</v>
      </c>
      <c r="E14290" t="s">
        <v>155</v>
      </c>
      <c r="F14290">
        <v>129.58000000000001</v>
      </c>
      <c r="G14290">
        <v>231001</v>
      </c>
      <c r="H14290">
        <v>4343</v>
      </c>
      <c r="I14290" t="s">
        <v>91</v>
      </c>
      <c r="J14290">
        <v>160.68</v>
      </c>
      <c r="K14290">
        <v>31.1</v>
      </c>
      <c r="L14290">
        <v>54451</v>
      </c>
      <c r="M14290" t="s">
        <v>158</v>
      </c>
      <c r="N14290" t="str">
        <f>"20132744    "</f>
        <v xml:space="preserve">20132744    </v>
      </c>
      <c r="O14290">
        <v>231012</v>
      </c>
    </row>
    <row r="14291" spans="1:15" x14ac:dyDescent="0.25">
      <c r="A14291" t="s">
        <v>16</v>
      </c>
      <c r="B14291" t="s">
        <v>3221</v>
      </c>
      <c r="C14291">
        <v>113</v>
      </c>
      <c r="D14291" t="s">
        <v>154</v>
      </c>
      <c r="E14291" t="s">
        <v>155</v>
      </c>
      <c r="F14291">
        <v>105</v>
      </c>
      <c r="G14291">
        <v>230101</v>
      </c>
      <c r="H14291">
        <v>4840</v>
      </c>
      <c r="I14291" t="s">
        <v>19</v>
      </c>
      <c r="J14291">
        <v>130.19999999999999</v>
      </c>
      <c r="K14291">
        <v>25.2</v>
      </c>
      <c r="L14291">
        <v>44251</v>
      </c>
      <c r="M14291" t="s">
        <v>156</v>
      </c>
      <c r="N14291" t="str">
        <f>"20130871    "</f>
        <v xml:space="preserve">20130871    </v>
      </c>
      <c r="O14291">
        <v>230111</v>
      </c>
    </row>
    <row r="14292" spans="1:15" x14ac:dyDescent="0.25">
      <c r="A14292" t="s">
        <v>16</v>
      </c>
      <c r="B14292" t="s">
        <v>3221</v>
      </c>
      <c r="C14292">
        <v>113</v>
      </c>
      <c r="D14292" t="s">
        <v>154</v>
      </c>
      <c r="E14292" t="s">
        <v>155</v>
      </c>
      <c r="F14292">
        <v>105</v>
      </c>
      <c r="G14292">
        <v>230101</v>
      </c>
      <c r="H14292">
        <v>4840</v>
      </c>
      <c r="I14292" t="s">
        <v>19</v>
      </c>
      <c r="J14292">
        <v>130.19999999999999</v>
      </c>
      <c r="K14292">
        <v>25.2</v>
      </c>
      <c r="L14292">
        <v>44252</v>
      </c>
      <c r="M14292" t="s">
        <v>157</v>
      </c>
      <c r="N14292" t="str">
        <f>"20130871    "</f>
        <v xml:space="preserve">20130871    </v>
      </c>
      <c r="O14292">
        <v>230111</v>
      </c>
    </row>
    <row r="14293" spans="1:15" x14ac:dyDescent="0.25">
      <c r="A14293" t="s">
        <v>16</v>
      </c>
      <c r="B14293" t="s">
        <v>3221</v>
      </c>
      <c r="C14293">
        <v>4904</v>
      </c>
      <c r="D14293" t="s">
        <v>154</v>
      </c>
      <c r="E14293" t="s">
        <v>155</v>
      </c>
      <c r="F14293">
        <v>105</v>
      </c>
      <c r="G14293">
        <v>230401</v>
      </c>
      <c r="H14293">
        <v>4840</v>
      </c>
      <c r="I14293" t="s">
        <v>19</v>
      </c>
      <c r="J14293">
        <v>130.19999999999999</v>
      </c>
      <c r="K14293">
        <v>25.2</v>
      </c>
      <c r="L14293">
        <v>44251</v>
      </c>
      <c r="M14293" t="s">
        <v>156</v>
      </c>
      <c r="N14293" t="str">
        <f>"20131511    "</f>
        <v xml:space="preserve">20131511    </v>
      </c>
      <c r="O14293">
        <v>230414</v>
      </c>
    </row>
    <row r="14294" spans="1:15" x14ac:dyDescent="0.25">
      <c r="A14294" t="s">
        <v>16</v>
      </c>
      <c r="B14294" t="s">
        <v>3221</v>
      </c>
      <c r="C14294">
        <v>4904</v>
      </c>
      <c r="D14294" t="s">
        <v>154</v>
      </c>
      <c r="E14294" t="s">
        <v>155</v>
      </c>
      <c r="F14294">
        <v>105</v>
      </c>
      <c r="G14294">
        <v>230401</v>
      </c>
      <c r="H14294">
        <v>4840</v>
      </c>
      <c r="I14294" t="s">
        <v>19</v>
      </c>
      <c r="J14294">
        <v>130.19999999999999</v>
      </c>
      <c r="K14294">
        <v>25.2</v>
      </c>
      <c r="L14294">
        <v>44252</v>
      </c>
      <c r="M14294" t="s">
        <v>157</v>
      </c>
      <c r="N14294" t="str">
        <f>"20131511    "</f>
        <v xml:space="preserve">20131511    </v>
      </c>
      <c r="O14294">
        <v>230414</v>
      </c>
    </row>
    <row r="14295" spans="1:15" x14ac:dyDescent="0.25">
      <c r="A14295" t="s">
        <v>16</v>
      </c>
      <c r="B14295" t="s">
        <v>3221</v>
      </c>
      <c r="C14295">
        <v>9291</v>
      </c>
      <c r="D14295" t="s">
        <v>154</v>
      </c>
      <c r="E14295" t="s">
        <v>155</v>
      </c>
      <c r="F14295">
        <v>105</v>
      </c>
      <c r="G14295">
        <v>230701</v>
      </c>
      <c r="H14295">
        <v>4840</v>
      </c>
      <c r="I14295" t="s">
        <v>19</v>
      </c>
      <c r="J14295">
        <v>130.19999999999999</v>
      </c>
      <c r="K14295">
        <v>25.2</v>
      </c>
      <c r="L14295">
        <v>44251</v>
      </c>
      <c r="M14295" t="s">
        <v>156</v>
      </c>
      <c r="N14295" t="str">
        <f>"20131919    "</f>
        <v xml:space="preserve">20131919    </v>
      </c>
      <c r="O14295">
        <v>230704</v>
      </c>
    </row>
    <row r="14296" spans="1:15" x14ac:dyDescent="0.25">
      <c r="A14296" t="s">
        <v>16</v>
      </c>
      <c r="B14296" t="s">
        <v>3221</v>
      </c>
      <c r="C14296">
        <v>9291</v>
      </c>
      <c r="D14296" t="s">
        <v>154</v>
      </c>
      <c r="E14296" t="s">
        <v>155</v>
      </c>
      <c r="F14296">
        <v>105</v>
      </c>
      <c r="G14296">
        <v>230701</v>
      </c>
      <c r="H14296">
        <v>4840</v>
      </c>
      <c r="I14296" t="s">
        <v>19</v>
      </c>
      <c r="J14296">
        <v>130.19999999999999</v>
      </c>
      <c r="K14296">
        <v>25.2</v>
      </c>
      <c r="L14296">
        <v>44252</v>
      </c>
      <c r="M14296" t="s">
        <v>157</v>
      </c>
      <c r="N14296" t="str">
        <f>"20131919    "</f>
        <v xml:space="preserve">20131919    </v>
      </c>
      <c r="O14296">
        <v>230704</v>
      </c>
    </row>
    <row r="14297" spans="1:15" x14ac:dyDescent="0.25">
      <c r="A14297" t="s">
        <v>16</v>
      </c>
      <c r="B14297" t="s">
        <v>3221</v>
      </c>
      <c r="C14297">
        <v>13675</v>
      </c>
      <c r="D14297" t="s">
        <v>154</v>
      </c>
      <c r="E14297" t="s">
        <v>155</v>
      </c>
      <c r="F14297">
        <v>105.02</v>
      </c>
      <c r="G14297">
        <v>231001</v>
      </c>
      <c r="H14297">
        <v>4840</v>
      </c>
      <c r="I14297" t="s">
        <v>19</v>
      </c>
      <c r="J14297">
        <v>130.22999999999999</v>
      </c>
      <c r="K14297">
        <v>25.21</v>
      </c>
      <c r="L14297">
        <v>44251</v>
      </c>
      <c r="M14297" t="s">
        <v>156</v>
      </c>
      <c r="N14297" t="str">
        <f>"20132744    "</f>
        <v xml:space="preserve">20132744    </v>
      </c>
      <c r="O14297">
        <v>231012</v>
      </c>
    </row>
    <row r="14298" spans="1:15" x14ac:dyDescent="0.25">
      <c r="A14298" t="s">
        <v>16</v>
      </c>
      <c r="B14298" t="s">
        <v>3221</v>
      </c>
      <c r="C14298">
        <v>13675</v>
      </c>
      <c r="D14298" t="s">
        <v>154</v>
      </c>
      <c r="E14298" t="s">
        <v>155</v>
      </c>
      <c r="F14298">
        <v>105.03</v>
      </c>
      <c r="G14298">
        <v>231001</v>
      </c>
      <c r="H14298">
        <v>4840</v>
      </c>
      <c r="I14298" t="s">
        <v>19</v>
      </c>
      <c r="J14298">
        <v>130.24</v>
      </c>
      <c r="K14298">
        <v>25.21</v>
      </c>
      <c r="L14298">
        <v>44252</v>
      </c>
      <c r="M14298" t="s">
        <v>157</v>
      </c>
      <c r="N14298" t="str">
        <f>"20132744    "</f>
        <v xml:space="preserve">20132744    </v>
      </c>
      <c r="O14298">
        <v>231012</v>
      </c>
    </row>
    <row r="14299" spans="1:15" x14ac:dyDescent="0.25">
      <c r="A14299" t="s">
        <v>16</v>
      </c>
      <c r="B14299" t="s">
        <v>3221</v>
      </c>
      <c r="C14299">
        <v>18617</v>
      </c>
      <c r="D14299" t="s">
        <v>3315</v>
      </c>
      <c r="E14299" t="s">
        <v>3316</v>
      </c>
      <c r="F14299">
        <v>1465</v>
      </c>
      <c r="G14299">
        <v>231228</v>
      </c>
      <c r="H14299">
        <v>4940</v>
      </c>
      <c r="I14299" t="s">
        <v>514</v>
      </c>
      <c r="J14299">
        <v>1465</v>
      </c>
      <c r="K14299">
        <v>0</v>
      </c>
      <c r="L14299">
        <v>11501</v>
      </c>
      <c r="M14299" t="s">
        <v>339</v>
      </c>
      <c r="N14299" t="str">
        <f>"6001001794  "</f>
        <v xml:space="preserve">6001001794  </v>
      </c>
      <c r="O14299">
        <v>240104</v>
      </c>
    </row>
    <row r="14300" spans="1:15" x14ac:dyDescent="0.25">
      <c r="A14300" t="s">
        <v>16</v>
      </c>
      <c r="B14300" t="s">
        <v>3221</v>
      </c>
      <c r="C14300">
        <v>3762</v>
      </c>
      <c r="D14300" t="s">
        <v>3362</v>
      </c>
      <c r="E14300" t="s">
        <v>3363</v>
      </c>
      <c r="F14300">
        <v>60.6</v>
      </c>
      <c r="G14300">
        <v>230320</v>
      </c>
      <c r="H14300">
        <v>4412</v>
      </c>
      <c r="I14300" t="s">
        <v>149</v>
      </c>
      <c r="J14300">
        <v>60.6</v>
      </c>
      <c r="K14300">
        <v>0</v>
      </c>
      <c r="L14300">
        <v>11603</v>
      </c>
      <c r="M14300" t="s">
        <v>945</v>
      </c>
      <c r="N14300" t="str">
        <f>"7001618     "</f>
        <v xml:space="preserve">7001618     </v>
      </c>
      <c r="O14300">
        <v>230321</v>
      </c>
    </row>
    <row r="14301" spans="1:15" x14ac:dyDescent="0.25">
      <c r="A14301" t="s">
        <v>16</v>
      </c>
      <c r="B14301" t="s">
        <v>3221</v>
      </c>
      <c r="C14301">
        <v>13601</v>
      </c>
      <c r="D14301" t="s">
        <v>3362</v>
      </c>
      <c r="E14301" t="s">
        <v>3363</v>
      </c>
      <c r="F14301">
        <v>60.6</v>
      </c>
      <c r="G14301">
        <v>231009</v>
      </c>
      <c r="H14301">
        <v>4410</v>
      </c>
      <c r="I14301" t="s">
        <v>517</v>
      </c>
      <c r="J14301">
        <v>60.6</v>
      </c>
      <c r="K14301">
        <v>0</v>
      </c>
      <c r="L14301">
        <v>11603</v>
      </c>
      <c r="M14301" t="s">
        <v>945</v>
      </c>
      <c r="N14301" t="str">
        <f>"7002290     "</f>
        <v xml:space="preserve">7002290     </v>
      </c>
      <c r="O14301">
        <v>231011</v>
      </c>
    </row>
    <row r="14302" spans="1:15" x14ac:dyDescent="0.25">
      <c r="A14302" t="s">
        <v>16</v>
      </c>
      <c r="B14302" t="s">
        <v>3221</v>
      </c>
      <c r="C14302">
        <v>16636</v>
      </c>
      <c r="D14302" t="s">
        <v>3362</v>
      </c>
      <c r="E14302" t="s">
        <v>3363</v>
      </c>
      <c r="F14302">
        <v>60.6</v>
      </c>
      <c r="G14302">
        <v>231130</v>
      </c>
      <c r="H14302">
        <v>4410</v>
      </c>
      <c r="I14302" t="s">
        <v>517</v>
      </c>
      <c r="J14302">
        <v>60.6</v>
      </c>
      <c r="K14302">
        <v>0</v>
      </c>
      <c r="L14302">
        <v>11603</v>
      </c>
      <c r="M14302" t="s">
        <v>945</v>
      </c>
      <c r="N14302" t="str">
        <f>"7002602     "</f>
        <v xml:space="preserve">7002602     </v>
      </c>
      <c r="O14302">
        <v>231205</v>
      </c>
    </row>
    <row r="14303" spans="1:15" x14ac:dyDescent="0.25">
      <c r="A14303" t="s">
        <v>16</v>
      </c>
      <c r="B14303" t="s">
        <v>3221</v>
      </c>
      <c r="C14303">
        <v>1855</v>
      </c>
      <c r="D14303" t="s">
        <v>3362</v>
      </c>
      <c r="E14303" t="s">
        <v>3363</v>
      </c>
      <c r="F14303">
        <v>60.6</v>
      </c>
      <c r="G14303">
        <v>230210</v>
      </c>
      <c r="H14303">
        <v>4441</v>
      </c>
      <c r="I14303" t="s">
        <v>109</v>
      </c>
      <c r="J14303">
        <v>60.6</v>
      </c>
      <c r="K14303">
        <v>0</v>
      </c>
      <c r="L14303">
        <v>11602</v>
      </c>
      <c r="M14303" t="s">
        <v>714</v>
      </c>
      <c r="N14303" t="str">
        <f>"7001333     "</f>
        <v xml:space="preserve">7001333     </v>
      </c>
      <c r="O14303">
        <v>230215</v>
      </c>
    </row>
    <row r="14304" spans="1:15" x14ac:dyDescent="0.25">
      <c r="A14304" t="s">
        <v>16</v>
      </c>
      <c r="B14304" t="s">
        <v>3221</v>
      </c>
      <c r="C14304">
        <v>3639</v>
      </c>
      <c r="D14304" t="s">
        <v>3362</v>
      </c>
      <c r="E14304" t="s">
        <v>3363</v>
      </c>
      <c r="F14304">
        <v>60.6</v>
      </c>
      <c r="G14304">
        <v>230316</v>
      </c>
      <c r="H14304">
        <v>4441</v>
      </c>
      <c r="I14304" t="s">
        <v>109</v>
      </c>
      <c r="J14304">
        <v>60.6</v>
      </c>
      <c r="K14304">
        <v>0</v>
      </c>
      <c r="L14304">
        <v>11602</v>
      </c>
      <c r="M14304" t="s">
        <v>714</v>
      </c>
      <c r="N14304" t="str">
        <f>"7001579     "</f>
        <v xml:space="preserve">7001579     </v>
      </c>
      <c r="O14304">
        <v>230320</v>
      </c>
    </row>
    <row r="14305" spans="1:15" x14ac:dyDescent="0.25">
      <c r="A14305" t="s">
        <v>16</v>
      </c>
      <c r="B14305" t="s">
        <v>3221</v>
      </c>
      <c r="C14305">
        <v>3992</v>
      </c>
      <c r="D14305" t="s">
        <v>3362</v>
      </c>
      <c r="E14305" t="s">
        <v>3363</v>
      </c>
      <c r="F14305">
        <v>60.6</v>
      </c>
      <c r="G14305">
        <v>230320</v>
      </c>
      <c r="H14305">
        <v>4441</v>
      </c>
      <c r="I14305" t="s">
        <v>109</v>
      </c>
      <c r="J14305">
        <v>60.6</v>
      </c>
      <c r="K14305">
        <v>0</v>
      </c>
      <c r="L14305">
        <v>11603</v>
      </c>
      <c r="M14305" t="s">
        <v>945</v>
      </c>
      <c r="N14305" t="str">
        <f>"7001599     "</f>
        <v xml:space="preserve">7001599     </v>
      </c>
      <c r="O14305">
        <v>230328</v>
      </c>
    </row>
    <row r="14306" spans="1:15" x14ac:dyDescent="0.25">
      <c r="A14306" t="s">
        <v>16</v>
      </c>
      <c r="B14306" t="s">
        <v>3221</v>
      </c>
      <c r="C14306">
        <v>4024</v>
      </c>
      <c r="D14306" t="s">
        <v>3362</v>
      </c>
      <c r="E14306" t="s">
        <v>3363</v>
      </c>
      <c r="F14306">
        <v>60.6</v>
      </c>
      <c r="G14306">
        <v>230320</v>
      </c>
      <c r="H14306">
        <v>4441</v>
      </c>
      <c r="I14306" t="s">
        <v>109</v>
      </c>
      <c r="J14306">
        <v>60.6</v>
      </c>
      <c r="K14306">
        <v>0</v>
      </c>
      <c r="L14306">
        <v>11603</v>
      </c>
      <c r="M14306" t="s">
        <v>945</v>
      </c>
      <c r="N14306" t="str">
        <f>"7001598     "</f>
        <v xml:space="preserve">7001598     </v>
      </c>
      <c r="O14306">
        <v>230329</v>
      </c>
    </row>
    <row r="14307" spans="1:15" x14ac:dyDescent="0.25">
      <c r="A14307" t="s">
        <v>16</v>
      </c>
      <c r="B14307" t="s">
        <v>3221</v>
      </c>
      <c r="C14307">
        <v>12116</v>
      </c>
      <c r="D14307" t="s">
        <v>3362</v>
      </c>
      <c r="E14307" t="s">
        <v>3363</v>
      </c>
      <c r="F14307">
        <v>60.6</v>
      </c>
      <c r="G14307">
        <v>230908</v>
      </c>
      <c r="H14307">
        <v>4441</v>
      </c>
      <c r="I14307" t="s">
        <v>109</v>
      </c>
      <c r="J14307">
        <v>60.6</v>
      </c>
      <c r="K14307">
        <v>0</v>
      </c>
      <c r="L14307">
        <v>11602</v>
      </c>
      <c r="M14307" t="s">
        <v>714</v>
      </c>
      <c r="N14307" t="str">
        <f>"7001991     "</f>
        <v xml:space="preserve">7001991     </v>
      </c>
      <c r="O14307">
        <v>230914</v>
      </c>
    </row>
    <row r="14308" spans="1:15" x14ac:dyDescent="0.25">
      <c r="A14308" t="s">
        <v>16</v>
      </c>
      <c r="B14308" t="s">
        <v>3221</v>
      </c>
      <c r="C14308">
        <v>13805</v>
      </c>
      <c r="D14308" t="s">
        <v>3362</v>
      </c>
      <c r="E14308" t="s">
        <v>3363</v>
      </c>
      <c r="F14308">
        <v>60.6</v>
      </c>
      <c r="G14308">
        <v>231009</v>
      </c>
      <c r="H14308">
        <v>4441</v>
      </c>
      <c r="I14308" t="s">
        <v>109</v>
      </c>
      <c r="J14308">
        <v>60.6</v>
      </c>
      <c r="K14308">
        <v>0</v>
      </c>
      <c r="L14308">
        <v>11603</v>
      </c>
      <c r="M14308" t="s">
        <v>945</v>
      </c>
      <c r="N14308" t="str">
        <f>"7002291     "</f>
        <v xml:space="preserve">7002291     </v>
      </c>
      <c r="O14308">
        <v>231013</v>
      </c>
    </row>
    <row r="14309" spans="1:15" x14ac:dyDescent="0.25">
      <c r="A14309" t="s">
        <v>16</v>
      </c>
      <c r="B14309" t="s">
        <v>3221</v>
      </c>
      <c r="C14309">
        <v>2617</v>
      </c>
      <c r="D14309" t="s">
        <v>3215</v>
      </c>
      <c r="E14309" t="s">
        <v>3216</v>
      </c>
      <c r="F14309">
        <v>800</v>
      </c>
      <c r="G14309">
        <v>230216</v>
      </c>
      <c r="H14309">
        <v>4346</v>
      </c>
      <c r="I14309" t="s">
        <v>197</v>
      </c>
      <c r="J14309">
        <v>800</v>
      </c>
      <c r="K14309">
        <v>0</v>
      </c>
      <c r="L14309">
        <v>18971</v>
      </c>
      <c r="M14309" t="s">
        <v>63</v>
      </c>
      <c r="N14309" t="str">
        <f>"6601044681  "</f>
        <v xml:space="preserve">6601044681  </v>
      </c>
      <c r="O14309">
        <v>230303</v>
      </c>
    </row>
    <row r="14310" spans="1:15" x14ac:dyDescent="0.25">
      <c r="A14310" t="s">
        <v>16</v>
      </c>
      <c r="B14310" t="s">
        <v>3221</v>
      </c>
      <c r="C14310">
        <v>5362</v>
      </c>
      <c r="D14310" t="s">
        <v>3215</v>
      </c>
      <c r="E14310" t="s">
        <v>3216</v>
      </c>
      <c r="F14310">
        <v>800</v>
      </c>
      <c r="G14310">
        <v>230420</v>
      </c>
      <c r="H14310">
        <v>4940</v>
      </c>
      <c r="I14310" t="s">
        <v>514</v>
      </c>
      <c r="J14310">
        <v>800</v>
      </c>
      <c r="K14310">
        <v>0</v>
      </c>
      <c r="L14310">
        <v>18971</v>
      </c>
      <c r="M14310" t="s">
        <v>63</v>
      </c>
      <c r="N14310" t="str">
        <f>"6601044777  "</f>
        <v xml:space="preserve">6601044777  </v>
      </c>
      <c r="O14310">
        <v>230421</v>
      </c>
    </row>
    <row r="14311" spans="1:15" x14ac:dyDescent="0.25">
      <c r="A14311" t="s">
        <v>16</v>
      </c>
      <c r="B14311" t="s">
        <v>3221</v>
      </c>
      <c r="C14311">
        <v>5495</v>
      </c>
      <c r="D14311" t="s">
        <v>3215</v>
      </c>
      <c r="E14311" t="s">
        <v>3216</v>
      </c>
      <c r="F14311">
        <v>135</v>
      </c>
      <c r="G14311">
        <v>230424</v>
      </c>
      <c r="H14311">
        <v>4441</v>
      </c>
      <c r="I14311" t="s">
        <v>109</v>
      </c>
      <c r="J14311">
        <v>167.4</v>
      </c>
      <c r="K14311">
        <v>32.4</v>
      </c>
      <c r="L14311">
        <v>11101</v>
      </c>
      <c r="M14311" t="s">
        <v>110</v>
      </c>
      <c r="N14311" t="str">
        <f>"6601044891  "</f>
        <v xml:space="preserve">6601044891  </v>
      </c>
      <c r="O14311">
        <v>230426</v>
      </c>
    </row>
    <row r="14312" spans="1:15" x14ac:dyDescent="0.25">
      <c r="A14312" t="s">
        <v>16</v>
      </c>
      <c r="B14312" t="s">
        <v>3221</v>
      </c>
      <c r="C14312">
        <v>5575</v>
      </c>
      <c r="D14312" t="s">
        <v>3215</v>
      </c>
      <c r="E14312" t="s">
        <v>3216</v>
      </c>
      <c r="F14312">
        <v>135</v>
      </c>
      <c r="G14312">
        <v>230424</v>
      </c>
      <c r="H14312">
        <v>4441</v>
      </c>
      <c r="I14312" t="s">
        <v>109</v>
      </c>
      <c r="J14312">
        <v>167.4</v>
      </c>
      <c r="K14312">
        <v>32.4</v>
      </c>
      <c r="L14312">
        <v>11101</v>
      </c>
      <c r="M14312" t="s">
        <v>110</v>
      </c>
      <c r="N14312" t="str">
        <f>"6601044873  "</f>
        <v xml:space="preserve">6601044873  </v>
      </c>
      <c r="O14312">
        <v>230427</v>
      </c>
    </row>
    <row r="14313" spans="1:15" x14ac:dyDescent="0.25">
      <c r="A14313" t="s">
        <v>16</v>
      </c>
      <c r="B14313" t="s">
        <v>3221</v>
      </c>
      <c r="C14313">
        <v>8733</v>
      </c>
      <c r="D14313" t="s">
        <v>3215</v>
      </c>
      <c r="E14313" t="s">
        <v>3216</v>
      </c>
      <c r="F14313">
        <v>370</v>
      </c>
      <c r="G14313">
        <v>230531</v>
      </c>
      <c r="H14313">
        <v>4441</v>
      </c>
      <c r="I14313" t="s">
        <v>109</v>
      </c>
      <c r="J14313">
        <v>458.8</v>
      </c>
      <c r="K14313">
        <v>88.8</v>
      </c>
      <c r="L14313">
        <v>14974</v>
      </c>
      <c r="M14313" t="s">
        <v>1340</v>
      </c>
      <c r="N14313" t="str">
        <f>"6601045513  "</f>
        <v xml:space="preserve">6601045513  </v>
      </c>
      <c r="O14313">
        <v>230613</v>
      </c>
    </row>
    <row r="14314" spans="1:15" x14ac:dyDescent="0.25">
      <c r="A14314" t="s">
        <v>16</v>
      </c>
      <c r="B14314" t="s">
        <v>3221</v>
      </c>
      <c r="C14314">
        <v>10580</v>
      </c>
      <c r="D14314" t="s">
        <v>3215</v>
      </c>
      <c r="E14314" t="s">
        <v>3216</v>
      </c>
      <c r="F14314">
        <v>330</v>
      </c>
      <c r="G14314">
        <v>230817</v>
      </c>
      <c r="H14314">
        <v>4441</v>
      </c>
      <c r="I14314" t="s">
        <v>109</v>
      </c>
      <c r="J14314">
        <v>409.2</v>
      </c>
      <c r="K14314">
        <v>79.2</v>
      </c>
      <c r="L14314">
        <v>13401</v>
      </c>
      <c r="M14314" t="s">
        <v>80</v>
      </c>
      <c r="N14314" t="str">
        <f>"6601046104  "</f>
        <v xml:space="preserve">6601046104  </v>
      </c>
      <c r="O14314">
        <v>230818</v>
      </c>
    </row>
    <row r="14315" spans="1:15" x14ac:dyDescent="0.25">
      <c r="A14315" t="s">
        <v>16</v>
      </c>
      <c r="B14315" t="s">
        <v>3221</v>
      </c>
      <c r="C14315">
        <v>15258</v>
      </c>
      <c r="D14315" t="s">
        <v>3215</v>
      </c>
      <c r="E14315" t="s">
        <v>3216</v>
      </c>
      <c r="F14315">
        <v>386</v>
      </c>
      <c r="G14315">
        <v>231031</v>
      </c>
      <c r="H14315">
        <v>4441</v>
      </c>
      <c r="I14315" t="s">
        <v>109</v>
      </c>
      <c r="J14315">
        <v>478.64</v>
      </c>
      <c r="K14315">
        <v>92.64</v>
      </c>
      <c r="L14315">
        <v>11901</v>
      </c>
      <c r="M14315" t="s">
        <v>36</v>
      </c>
      <c r="N14315" t="str">
        <f>"6601046507  "</f>
        <v xml:space="preserve">6601046507  </v>
      </c>
      <c r="O14315">
        <v>231109</v>
      </c>
    </row>
    <row r="14316" spans="1:15" x14ac:dyDescent="0.25">
      <c r="A14316" t="s">
        <v>16</v>
      </c>
      <c r="B14316" t="s">
        <v>3221</v>
      </c>
      <c r="C14316">
        <v>15259</v>
      </c>
      <c r="D14316" t="s">
        <v>3215</v>
      </c>
      <c r="E14316" t="s">
        <v>3216</v>
      </c>
      <c r="F14316">
        <v>193</v>
      </c>
      <c r="G14316">
        <v>231031</v>
      </c>
      <c r="H14316">
        <v>4441</v>
      </c>
      <c r="I14316" t="s">
        <v>109</v>
      </c>
      <c r="J14316">
        <v>239.32</v>
      </c>
      <c r="K14316">
        <v>46.32</v>
      </c>
      <c r="L14316">
        <v>13401</v>
      </c>
      <c r="M14316" t="s">
        <v>80</v>
      </c>
      <c r="N14316" t="str">
        <f>"6601046579  "</f>
        <v xml:space="preserve">6601046579  </v>
      </c>
      <c r="O14316">
        <v>231109</v>
      </c>
    </row>
    <row r="14317" spans="1:15" x14ac:dyDescent="0.25">
      <c r="A14317" t="s">
        <v>16</v>
      </c>
      <c r="B14317" t="s">
        <v>3221</v>
      </c>
      <c r="C14317">
        <v>15259</v>
      </c>
      <c r="D14317" t="s">
        <v>3215</v>
      </c>
      <c r="E14317" t="s">
        <v>3216</v>
      </c>
      <c r="F14317">
        <v>193</v>
      </c>
      <c r="G14317">
        <v>231031</v>
      </c>
      <c r="H14317">
        <v>4441</v>
      </c>
      <c r="I14317" t="s">
        <v>109</v>
      </c>
      <c r="J14317">
        <v>239.32</v>
      </c>
      <c r="K14317">
        <v>46.32</v>
      </c>
      <c r="L14317">
        <v>13501</v>
      </c>
      <c r="M14317" t="s">
        <v>20</v>
      </c>
      <c r="N14317" t="str">
        <f>"6601046579  "</f>
        <v xml:space="preserve">6601046579  </v>
      </c>
      <c r="O14317">
        <v>231109</v>
      </c>
    </row>
    <row r="14318" spans="1:15" x14ac:dyDescent="0.25">
      <c r="A14318" t="s">
        <v>16</v>
      </c>
      <c r="B14318" t="s">
        <v>3221</v>
      </c>
      <c r="C14318">
        <v>5776</v>
      </c>
      <c r="D14318" t="s">
        <v>3215</v>
      </c>
      <c r="E14318" t="s">
        <v>3216</v>
      </c>
      <c r="F14318">
        <v>135</v>
      </c>
      <c r="G14318">
        <v>230425</v>
      </c>
      <c r="H14318">
        <v>4440</v>
      </c>
      <c r="I14318" t="s">
        <v>250</v>
      </c>
      <c r="J14318">
        <v>167.4</v>
      </c>
      <c r="K14318">
        <v>32.4</v>
      </c>
      <c r="L14318">
        <v>11751</v>
      </c>
      <c r="M14318" t="s">
        <v>1339</v>
      </c>
      <c r="N14318" t="str">
        <f>"6601044929  "</f>
        <v xml:space="preserve">6601044929  </v>
      </c>
      <c r="O14318">
        <v>230502</v>
      </c>
    </row>
    <row r="14319" spans="1:15" x14ac:dyDescent="0.25">
      <c r="A14319" t="s">
        <v>16</v>
      </c>
      <c r="B14319" t="s">
        <v>3221</v>
      </c>
      <c r="C14319">
        <v>8442</v>
      </c>
      <c r="D14319" t="s">
        <v>3215</v>
      </c>
      <c r="E14319" t="s">
        <v>3216</v>
      </c>
      <c r="F14319">
        <v>370</v>
      </c>
      <c r="G14319">
        <v>230531</v>
      </c>
      <c r="H14319">
        <v>4440</v>
      </c>
      <c r="I14319" t="s">
        <v>250</v>
      </c>
      <c r="J14319">
        <v>458.8</v>
      </c>
      <c r="K14319">
        <v>88.8</v>
      </c>
      <c r="L14319">
        <v>17974</v>
      </c>
      <c r="M14319" t="s">
        <v>460</v>
      </c>
      <c r="N14319" t="str">
        <f>"6601045610  "</f>
        <v xml:space="preserve">6601045610  </v>
      </c>
      <c r="O14319">
        <v>230608</v>
      </c>
    </row>
    <row r="14320" spans="1:15" x14ac:dyDescent="0.25">
      <c r="A14320" t="s">
        <v>16</v>
      </c>
      <c r="B14320" t="s">
        <v>3221</v>
      </c>
      <c r="C14320">
        <v>18322</v>
      </c>
      <c r="D14320" t="s">
        <v>3215</v>
      </c>
      <c r="E14320" t="s">
        <v>3216</v>
      </c>
      <c r="F14320">
        <v>400</v>
      </c>
      <c r="G14320">
        <v>231215</v>
      </c>
      <c r="H14320">
        <v>4440</v>
      </c>
      <c r="I14320" t="s">
        <v>250</v>
      </c>
      <c r="J14320">
        <v>496</v>
      </c>
      <c r="K14320">
        <v>96</v>
      </c>
      <c r="L14320">
        <v>11903</v>
      </c>
      <c r="M14320" t="s">
        <v>406</v>
      </c>
      <c r="N14320" t="str">
        <f>"6601047553  "</f>
        <v xml:space="preserve">6601047553  </v>
      </c>
      <c r="O14320">
        <v>240102</v>
      </c>
    </row>
    <row r="14321" spans="1:15" x14ac:dyDescent="0.25">
      <c r="A14321" t="s">
        <v>16</v>
      </c>
      <c r="B14321" t="s">
        <v>3221</v>
      </c>
      <c r="C14321">
        <v>18332</v>
      </c>
      <c r="D14321" t="s">
        <v>3215</v>
      </c>
      <c r="E14321" t="s">
        <v>3216</v>
      </c>
      <c r="F14321">
        <v>400</v>
      </c>
      <c r="G14321">
        <v>231215</v>
      </c>
      <c r="H14321">
        <v>4440</v>
      </c>
      <c r="I14321" t="s">
        <v>250</v>
      </c>
      <c r="J14321">
        <v>496</v>
      </c>
      <c r="K14321">
        <v>96</v>
      </c>
      <c r="L14321">
        <v>11903</v>
      </c>
      <c r="M14321" t="s">
        <v>406</v>
      </c>
      <c r="N14321" t="str">
        <f>"6601047455  "</f>
        <v xml:space="preserve">6601047455  </v>
      </c>
      <c r="O14321">
        <v>240102</v>
      </c>
    </row>
    <row r="14322" spans="1:15" x14ac:dyDescent="0.25">
      <c r="A14322" t="s">
        <v>16</v>
      </c>
      <c r="B14322" t="s">
        <v>3221</v>
      </c>
      <c r="C14322">
        <v>18417</v>
      </c>
      <c r="D14322" t="s">
        <v>3215</v>
      </c>
      <c r="E14322" t="s">
        <v>3216</v>
      </c>
      <c r="F14322">
        <v>260</v>
      </c>
      <c r="G14322">
        <v>231215</v>
      </c>
      <c r="H14322">
        <v>4440</v>
      </c>
      <c r="I14322" t="s">
        <v>250</v>
      </c>
      <c r="J14322">
        <v>322.39999999999998</v>
      </c>
      <c r="K14322">
        <v>62.4</v>
      </c>
      <c r="L14322">
        <v>11903</v>
      </c>
      <c r="M14322" t="s">
        <v>406</v>
      </c>
      <c r="N14322" t="str">
        <f>"6601047551  "</f>
        <v xml:space="preserve">6601047551  </v>
      </c>
      <c r="O14322">
        <v>240103</v>
      </c>
    </row>
    <row r="14323" spans="1:15" x14ac:dyDescent="0.25">
      <c r="A14323" t="s">
        <v>16</v>
      </c>
      <c r="B14323" t="s">
        <v>3221</v>
      </c>
      <c r="C14323">
        <v>18426</v>
      </c>
      <c r="D14323" t="s">
        <v>3215</v>
      </c>
      <c r="E14323" t="s">
        <v>3216</v>
      </c>
      <c r="F14323">
        <v>400</v>
      </c>
      <c r="G14323">
        <v>231215</v>
      </c>
      <c r="H14323">
        <v>4440</v>
      </c>
      <c r="I14323" t="s">
        <v>250</v>
      </c>
      <c r="J14323">
        <v>496</v>
      </c>
      <c r="K14323">
        <v>96</v>
      </c>
      <c r="L14323">
        <v>11903</v>
      </c>
      <c r="M14323" t="s">
        <v>406</v>
      </c>
      <c r="N14323" t="str">
        <f>"6601047454  "</f>
        <v xml:space="preserve">6601047454  </v>
      </c>
      <c r="O14323">
        <v>240103</v>
      </c>
    </row>
    <row r="14324" spans="1:15" x14ac:dyDescent="0.25">
      <c r="A14324" t="s">
        <v>16</v>
      </c>
      <c r="B14324" t="s">
        <v>3221</v>
      </c>
      <c r="C14324">
        <v>18550</v>
      </c>
      <c r="D14324" t="s">
        <v>3215</v>
      </c>
      <c r="E14324" t="s">
        <v>3216</v>
      </c>
      <c r="F14324">
        <v>400</v>
      </c>
      <c r="G14324">
        <v>231215</v>
      </c>
      <c r="H14324">
        <v>4440</v>
      </c>
      <c r="I14324" t="s">
        <v>250</v>
      </c>
      <c r="J14324">
        <v>496</v>
      </c>
      <c r="K14324">
        <v>96</v>
      </c>
      <c r="L14324">
        <v>11903</v>
      </c>
      <c r="M14324" t="s">
        <v>406</v>
      </c>
      <c r="N14324" t="str">
        <f>"6601047552  "</f>
        <v xml:space="preserve">6601047552  </v>
      </c>
      <c r="O14324">
        <v>240103</v>
      </c>
    </row>
    <row r="14325" spans="1:15" x14ac:dyDescent="0.25">
      <c r="A14325" t="s">
        <v>16</v>
      </c>
      <c r="B14325" t="s">
        <v>3221</v>
      </c>
      <c r="C14325">
        <v>5939</v>
      </c>
      <c r="D14325" t="s">
        <v>77</v>
      </c>
      <c r="E14325" t="s">
        <v>78</v>
      </c>
      <c r="F14325">
        <v>25</v>
      </c>
      <c r="G14325">
        <v>230501</v>
      </c>
      <c r="H14325">
        <v>4341</v>
      </c>
      <c r="I14325" t="s">
        <v>32</v>
      </c>
      <c r="J14325">
        <v>31</v>
      </c>
      <c r="K14325">
        <v>6</v>
      </c>
      <c r="L14325">
        <v>13401</v>
      </c>
      <c r="M14325" t="s">
        <v>80</v>
      </c>
      <c r="N14325" t="str">
        <f>"8120        "</f>
        <v xml:space="preserve">8120        </v>
      </c>
      <c r="O14325">
        <v>230504</v>
      </c>
    </row>
    <row r="14326" spans="1:15" x14ac:dyDescent="0.25">
      <c r="A14326" t="s">
        <v>16</v>
      </c>
      <c r="B14326" t="s">
        <v>3221</v>
      </c>
      <c r="C14326">
        <v>8263</v>
      </c>
      <c r="D14326" t="s">
        <v>77</v>
      </c>
      <c r="E14326" t="s">
        <v>78</v>
      </c>
      <c r="F14326">
        <v>25</v>
      </c>
      <c r="G14326">
        <v>230601</v>
      </c>
      <c r="H14326">
        <v>4341</v>
      </c>
      <c r="I14326" t="s">
        <v>32</v>
      </c>
      <c r="J14326">
        <v>31</v>
      </c>
      <c r="K14326">
        <v>6</v>
      </c>
      <c r="L14326">
        <v>13401</v>
      </c>
      <c r="M14326" t="s">
        <v>80</v>
      </c>
      <c r="N14326" t="str">
        <f>"8175        "</f>
        <v xml:space="preserve">8175        </v>
      </c>
      <c r="O14326">
        <v>230608</v>
      </c>
    </row>
    <row r="14327" spans="1:15" x14ac:dyDescent="0.25">
      <c r="A14327" t="s">
        <v>16</v>
      </c>
      <c r="B14327" t="s">
        <v>3221</v>
      </c>
      <c r="C14327">
        <v>82</v>
      </c>
      <c r="D14327" t="s">
        <v>77</v>
      </c>
      <c r="E14327" t="s">
        <v>78</v>
      </c>
      <c r="F14327">
        <v>25</v>
      </c>
      <c r="G14327">
        <v>230101</v>
      </c>
      <c r="H14327">
        <v>4362</v>
      </c>
      <c r="I14327" t="s">
        <v>79</v>
      </c>
      <c r="J14327">
        <v>31</v>
      </c>
      <c r="K14327">
        <v>6</v>
      </c>
      <c r="L14327">
        <v>13401</v>
      </c>
      <c r="M14327" t="s">
        <v>80</v>
      </c>
      <c r="N14327" t="str">
        <f>"7821        "</f>
        <v xml:space="preserve">7821        </v>
      </c>
      <c r="O14327">
        <v>230109</v>
      </c>
    </row>
    <row r="14328" spans="1:15" x14ac:dyDescent="0.25">
      <c r="A14328" t="s">
        <v>16</v>
      </c>
      <c r="B14328" t="s">
        <v>3221</v>
      </c>
      <c r="C14328">
        <v>1521</v>
      </c>
      <c r="D14328" t="s">
        <v>77</v>
      </c>
      <c r="E14328" t="s">
        <v>78</v>
      </c>
      <c r="F14328">
        <v>25</v>
      </c>
      <c r="G14328">
        <v>230201</v>
      </c>
      <c r="H14328">
        <v>4362</v>
      </c>
      <c r="I14328" t="s">
        <v>79</v>
      </c>
      <c r="J14328">
        <v>31</v>
      </c>
      <c r="K14328">
        <v>6</v>
      </c>
      <c r="L14328">
        <v>13401</v>
      </c>
      <c r="M14328" t="s">
        <v>80</v>
      </c>
      <c r="N14328" t="str">
        <f>"7886        "</f>
        <v xml:space="preserve">7886        </v>
      </c>
      <c r="O14328">
        <v>230209</v>
      </c>
    </row>
    <row r="14329" spans="1:15" x14ac:dyDescent="0.25">
      <c r="A14329" t="s">
        <v>16</v>
      </c>
      <c r="B14329" t="s">
        <v>3221</v>
      </c>
      <c r="C14329">
        <v>2619</v>
      </c>
      <c r="D14329" t="s">
        <v>77</v>
      </c>
      <c r="E14329" t="s">
        <v>78</v>
      </c>
      <c r="F14329">
        <v>25</v>
      </c>
      <c r="G14329">
        <v>230301</v>
      </c>
      <c r="H14329">
        <v>4362</v>
      </c>
      <c r="I14329" t="s">
        <v>79</v>
      </c>
      <c r="J14329">
        <v>31</v>
      </c>
      <c r="K14329">
        <v>6</v>
      </c>
      <c r="L14329">
        <v>13401</v>
      </c>
      <c r="M14329" t="s">
        <v>80</v>
      </c>
      <c r="N14329" t="str">
        <f>"7951        "</f>
        <v xml:space="preserve">7951        </v>
      </c>
      <c r="O14329">
        <v>230303</v>
      </c>
    </row>
    <row r="14330" spans="1:15" x14ac:dyDescent="0.25">
      <c r="A14330" t="s">
        <v>16</v>
      </c>
      <c r="B14330" t="s">
        <v>3221</v>
      </c>
      <c r="C14330">
        <v>4413</v>
      </c>
      <c r="D14330" t="s">
        <v>77</v>
      </c>
      <c r="E14330" t="s">
        <v>78</v>
      </c>
      <c r="F14330">
        <v>25</v>
      </c>
      <c r="G14330">
        <v>230401</v>
      </c>
      <c r="H14330">
        <v>4362</v>
      </c>
      <c r="I14330" t="s">
        <v>79</v>
      </c>
      <c r="J14330">
        <v>31</v>
      </c>
      <c r="K14330">
        <v>6</v>
      </c>
      <c r="L14330">
        <v>13401</v>
      </c>
      <c r="M14330" t="s">
        <v>80</v>
      </c>
      <c r="N14330" t="str">
        <f>"8046        "</f>
        <v xml:space="preserve">8046        </v>
      </c>
      <c r="O14330">
        <v>230405</v>
      </c>
    </row>
    <row r="14331" spans="1:15" x14ac:dyDescent="0.25">
      <c r="A14331" t="s">
        <v>16</v>
      </c>
      <c r="B14331" t="s">
        <v>3221</v>
      </c>
      <c r="C14331">
        <v>9297</v>
      </c>
      <c r="D14331" t="s">
        <v>77</v>
      </c>
      <c r="E14331" t="s">
        <v>78</v>
      </c>
      <c r="F14331">
        <v>25</v>
      </c>
      <c r="G14331">
        <v>230701</v>
      </c>
      <c r="H14331">
        <v>4362</v>
      </c>
      <c r="I14331" t="s">
        <v>79</v>
      </c>
      <c r="J14331">
        <v>31</v>
      </c>
      <c r="K14331">
        <v>6</v>
      </c>
      <c r="L14331">
        <v>13401</v>
      </c>
      <c r="M14331" t="s">
        <v>80</v>
      </c>
      <c r="N14331" t="str">
        <f>"8239        "</f>
        <v xml:space="preserve">8239        </v>
      </c>
      <c r="O14331">
        <v>230705</v>
      </c>
    </row>
    <row r="14332" spans="1:15" x14ac:dyDescent="0.25">
      <c r="A14332" t="s">
        <v>16</v>
      </c>
      <c r="B14332" t="s">
        <v>3221</v>
      </c>
      <c r="C14332">
        <v>10261</v>
      </c>
      <c r="D14332" t="s">
        <v>77</v>
      </c>
      <c r="E14332" t="s">
        <v>78</v>
      </c>
      <c r="F14332">
        <v>25</v>
      </c>
      <c r="G14332">
        <v>230801</v>
      </c>
      <c r="H14332">
        <v>4362</v>
      </c>
      <c r="I14332" t="s">
        <v>79</v>
      </c>
      <c r="J14332">
        <v>31</v>
      </c>
      <c r="K14332">
        <v>6</v>
      </c>
      <c r="L14332">
        <v>13401</v>
      </c>
      <c r="M14332" t="s">
        <v>80</v>
      </c>
      <c r="N14332" t="str">
        <f>"8307        "</f>
        <v xml:space="preserve">8307        </v>
      </c>
      <c r="O14332">
        <v>230814</v>
      </c>
    </row>
    <row r="14333" spans="1:15" x14ac:dyDescent="0.25">
      <c r="A14333" t="s">
        <v>16</v>
      </c>
      <c r="B14333" t="s">
        <v>3221</v>
      </c>
      <c r="C14333">
        <v>11387</v>
      </c>
      <c r="D14333" t="s">
        <v>77</v>
      </c>
      <c r="E14333" t="s">
        <v>78</v>
      </c>
      <c r="F14333">
        <v>25</v>
      </c>
      <c r="G14333">
        <v>230901</v>
      </c>
      <c r="H14333">
        <v>4362</v>
      </c>
      <c r="I14333" t="s">
        <v>79</v>
      </c>
      <c r="J14333">
        <v>31</v>
      </c>
      <c r="K14333">
        <v>6</v>
      </c>
      <c r="L14333">
        <v>13401</v>
      </c>
      <c r="M14333" t="s">
        <v>80</v>
      </c>
      <c r="N14333" t="str">
        <f>"8379        "</f>
        <v xml:space="preserve">8379        </v>
      </c>
      <c r="O14333">
        <v>230905</v>
      </c>
    </row>
    <row r="14334" spans="1:15" x14ac:dyDescent="0.25">
      <c r="A14334" t="s">
        <v>16</v>
      </c>
      <c r="B14334" t="s">
        <v>3221</v>
      </c>
      <c r="C14334">
        <v>13343</v>
      </c>
      <c r="D14334" t="s">
        <v>77</v>
      </c>
      <c r="E14334" t="s">
        <v>78</v>
      </c>
      <c r="F14334">
        <v>25</v>
      </c>
      <c r="G14334">
        <v>231001</v>
      </c>
      <c r="H14334">
        <v>4362</v>
      </c>
      <c r="I14334" t="s">
        <v>79</v>
      </c>
      <c r="J14334">
        <v>31</v>
      </c>
      <c r="K14334">
        <v>6</v>
      </c>
      <c r="L14334">
        <v>13401</v>
      </c>
      <c r="M14334" t="s">
        <v>80</v>
      </c>
      <c r="N14334" t="str">
        <f>"8547        "</f>
        <v xml:space="preserve">8547        </v>
      </c>
      <c r="O14334">
        <v>231009</v>
      </c>
    </row>
    <row r="14335" spans="1:15" x14ac:dyDescent="0.25">
      <c r="A14335" t="s">
        <v>16</v>
      </c>
      <c r="B14335" t="s">
        <v>3221</v>
      </c>
      <c r="C14335">
        <v>14824</v>
      </c>
      <c r="D14335" t="s">
        <v>77</v>
      </c>
      <c r="E14335" t="s">
        <v>78</v>
      </c>
      <c r="F14335">
        <v>25</v>
      </c>
      <c r="G14335">
        <v>231101</v>
      </c>
      <c r="H14335">
        <v>4362</v>
      </c>
      <c r="I14335" t="s">
        <v>79</v>
      </c>
      <c r="J14335">
        <v>31</v>
      </c>
      <c r="K14335">
        <v>6</v>
      </c>
      <c r="L14335">
        <v>13401</v>
      </c>
      <c r="M14335" t="s">
        <v>80</v>
      </c>
      <c r="N14335" t="str">
        <f>"8628        "</f>
        <v xml:space="preserve">8628        </v>
      </c>
      <c r="O14335">
        <v>231106</v>
      </c>
    </row>
    <row r="14336" spans="1:15" x14ac:dyDescent="0.25">
      <c r="A14336" t="s">
        <v>16</v>
      </c>
      <c r="B14336" t="s">
        <v>3221</v>
      </c>
      <c r="C14336">
        <v>16717</v>
      </c>
      <c r="D14336" t="s">
        <v>77</v>
      </c>
      <c r="E14336" t="s">
        <v>78</v>
      </c>
      <c r="F14336">
        <v>25</v>
      </c>
      <c r="G14336">
        <v>231201</v>
      </c>
      <c r="H14336">
        <v>4362</v>
      </c>
      <c r="I14336" t="s">
        <v>79</v>
      </c>
      <c r="J14336">
        <v>31</v>
      </c>
      <c r="K14336">
        <v>6</v>
      </c>
      <c r="L14336">
        <v>13401</v>
      </c>
      <c r="M14336" t="s">
        <v>80</v>
      </c>
      <c r="N14336" t="str">
        <f>"8689        "</f>
        <v xml:space="preserve">8689        </v>
      </c>
      <c r="O14336">
        <v>231208</v>
      </c>
    </row>
    <row r="14337" spans="1:16" x14ac:dyDescent="0.25">
      <c r="A14337" t="s">
        <v>16</v>
      </c>
      <c r="B14337" t="s">
        <v>3221</v>
      </c>
      <c r="C14337">
        <v>3745</v>
      </c>
      <c r="D14337" t="s">
        <v>1604</v>
      </c>
      <c r="E14337" t="s">
        <v>1605</v>
      </c>
      <c r="F14337">
        <v>3938.96</v>
      </c>
      <c r="G14337">
        <v>230320</v>
      </c>
      <c r="H14337">
        <v>4590</v>
      </c>
      <c r="I14337" t="s">
        <v>203</v>
      </c>
      <c r="J14337">
        <v>4884.3100000000004</v>
      </c>
      <c r="K14337">
        <v>945.35</v>
      </c>
      <c r="L14337">
        <v>66756</v>
      </c>
      <c r="M14337" t="s">
        <v>209</v>
      </c>
      <c r="N14337" t="str">
        <f>"231014417   "</f>
        <v xml:space="preserve">231014417   </v>
      </c>
      <c r="O14337">
        <v>230321</v>
      </c>
    </row>
    <row r="14338" spans="1:16" x14ac:dyDescent="0.25">
      <c r="A14338" t="s">
        <v>16</v>
      </c>
      <c r="B14338" t="s">
        <v>3221</v>
      </c>
      <c r="C14338">
        <v>4353</v>
      </c>
      <c r="D14338" t="s">
        <v>1604</v>
      </c>
      <c r="E14338" t="s">
        <v>1605</v>
      </c>
      <c r="F14338">
        <v>997.83</v>
      </c>
      <c r="G14338">
        <v>230404</v>
      </c>
      <c r="H14338">
        <v>4590</v>
      </c>
      <c r="I14338" t="s">
        <v>203</v>
      </c>
      <c r="J14338">
        <v>1237.31</v>
      </c>
      <c r="K14338">
        <v>239.48</v>
      </c>
      <c r="L14338">
        <v>66756</v>
      </c>
      <c r="M14338" t="s">
        <v>209</v>
      </c>
      <c r="N14338" t="str">
        <f>"231017807   "</f>
        <v xml:space="preserve">231017807   </v>
      </c>
      <c r="O14338">
        <v>230404</v>
      </c>
    </row>
    <row r="14339" spans="1:16" x14ac:dyDescent="0.25">
      <c r="A14339" t="s">
        <v>16</v>
      </c>
      <c r="B14339" t="s">
        <v>3221</v>
      </c>
      <c r="C14339">
        <v>14834</v>
      </c>
      <c r="D14339" t="s">
        <v>2806</v>
      </c>
      <c r="E14339" t="s">
        <v>2807</v>
      </c>
      <c r="F14339">
        <v>3398</v>
      </c>
      <c r="G14339">
        <v>231030</v>
      </c>
      <c r="H14339">
        <v>4580</v>
      </c>
      <c r="I14339" t="s">
        <v>35</v>
      </c>
      <c r="J14339">
        <v>4213.5200000000004</v>
      </c>
      <c r="K14339">
        <v>815.52</v>
      </c>
      <c r="L14339">
        <v>17913</v>
      </c>
      <c r="M14339" t="s">
        <v>431</v>
      </c>
      <c r="N14339" t="str">
        <f>"41536       "</f>
        <v xml:space="preserve">41536       </v>
      </c>
      <c r="O14339">
        <v>231107</v>
      </c>
    </row>
    <row r="14340" spans="1:16" x14ac:dyDescent="0.25">
      <c r="A14340" t="s">
        <v>16</v>
      </c>
      <c r="B14340" t="s">
        <v>3221</v>
      </c>
      <c r="C14340">
        <v>15644</v>
      </c>
      <c r="D14340" t="s">
        <v>2806</v>
      </c>
      <c r="E14340" t="s">
        <v>2807</v>
      </c>
      <c r="F14340">
        <v>192.33</v>
      </c>
      <c r="G14340">
        <v>231030</v>
      </c>
      <c r="H14340">
        <v>4580</v>
      </c>
      <c r="I14340" t="s">
        <v>35</v>
      </c>
      <c r="J14340">
        <v>238.49</v>
      </c>
      <c r="K14340">
        <v>46.16</v>
      </c>
      <c r="L14340">
        <v>13540</v>
      </c>
      <c r="M14340" t="s">
        <v>85</v>
      </c>
      <c r="N14340" t="str">
        <f>"41537       "</f>
        <v xml:space="preserve">41537       </v>
      </c>
      <c r="O14340">
        <v>231116</v>
      </c>
    </row>
    <row r="14341" spans="1:16" x14ac:dyDescent="0.25">
      <c r="A14341" t="s">
        <v>16</v>
      </c>
      <c r="B14341" t="s">
        <v>3221</v>
      </c>
      <c r="C14341">
        <v>15644</v>
      </c>
      <c r="D14341" t="s">
        <v>2806</v>
      </c>
      <c r="E14341" t="s">
        <v>2807</v>
      </c>
      <c r="F14341">
        <v>2729.95</v>
      </c>
      <c r="G14341">
        <v>231030</v>
      </c>
      <c r="H14341">
        <v>4580</v>
      </c>
      <c r="I14341" t="s">
        <v>35</v>
      </c>
      <c r="J14341">
        <v>3385.14</v>
      </c>
      <c r="K14341">
        <v>655.19000000000005</v>
      </c>
      <c r="L14341">
        <v>17950</v>
      </c>
      <c r="M14341" t="s">
        <v>86</v>
      </c>
      <c r="N14341" t="str">
        <f>"41537       "</f>
        <v xml:space="preserve">41537       </v>
      </c>
      <c r="O14341">
        <v>231116</v>
      </c>
    </row>
    <row r="14342" spans="1:16" x14ac:dyDescent="0.25">
      <c r="A14342" t="s">
        <v>16</v>
      </c>
      <c r="B14342" t="s">
        <v>3221</v>
      </c>
      <c r="C14342">
        <v>15644</v>
      </c>
      <c r="D14342" t="s">
        <v>2806</v>
      </c>
      <c r="E14342" t="s">
        <v>2807</v>
      </c>
      <c r="F14342">
        <v>475.72</v>
      </c>
      <c r="G14342">
        <v>231030</v>
      </c>
      <c r="H14342">
        <v>4580</v>
      </c>
      <c r="I14342" t="s">
        <v>35</v>
      </c>
      <c r="J14342">
        <v>589.89</v>
      </c>
      <c r="K14342">
        <v>114.17</v>
      </c>
      <c r="L14342">
        <v>17956</v>
      </c>
      <c r="M14342" t="s">
        <v>53</v>
      </c>
      <c r="N14342" t="str">
        <f>"41537       "</f>
        <v xml:space="preserve">41537       </v>
      </c>
      <c r="O14342">
        <v>231116</v>
      </c>
    </row>
    <row r="14343" spans="1:16" x14ac:dyDescent="0.25">
      <c r="A14343" t="s">
        <v>16</v>
      </c>
      <c r="B14343" t="s">
        <v>3221</v>
      </c>
      <c r="C14343">
        <v>15572</v>
      </c>
      <c r="D14343" t="s">
        <v>2880</v>
      </c>
      <c r="E14343" t="s">
        <v>2881</v>
      </c>
      <c r="F14343">
        <v>211.82</v>
      </c>
      <c r="G14343">
        <v>231108</v>
      </c>
      <c r="H14343">
        <v>4412</v>
      </c>
      <c r="I14343" t="s">
        <v>149</v>
      </c>
      <c r="J14343">
        <v>233</v>
      </c>
      <c r="K14343">
        <v>21.18</v>
      </c>
      <c r="L14343">
        <v>49702</v>
      </c>
      <c r="M14343" t="s">
        <v>584</v>
      </c>
      <c r="N14343" t="str">
        <f>"697         "</f>
        <v xml:space="preserve">697         </v>
      </c>
      <c r="O14343">
        <v>231114</v>
      </c>
    </row>
    <row r="14344" spans="1:16" x14ac:dyDescent="0.25">
      <c r="A14344" t="s">
        <v>16</v>
      </c>
      <c r="B14344" t="s">
        <v>3221</v>
      </c>
      <c r="C14344">
        <v>18443</v>
      </c>
      <c r="D14344" t="s">
        <v>3672</v>
      </c>
      <c r="E14344" t="s">
        <v>2006</v>
      </c>
      <c r="F14344">
        <v>114.5</v>
      </c>
      <c r="G14344">
        <v>231227</v>
      </c>
      <c r="H14344">
        <v>4400</v>
      </c>
      <c r="I14344" t="s">
        <v>348</v>
      </c>
      <c r="J14344">
        <v>141.97999999999999</v>
      </c>
      <c r="K14344">
        <v>27.48</v>
      </c>
      <c r="L14344">
        <v>49501</v>
      </c>
      <c r="M14344" t="s">
        <v>177</v>
      </c>
      <c r="N14344" t="str">
        <f>"1116        "</f>
        <v xml:space="preserve">1116        </v>
      </c>
      <c r="O14344">
        <v>240103</v>
      </c>
    </row>
    <row r="14345" spans="1:16" x14ac:dyDescent="0.25">
      <c r="A14345" t="s">
        <v>16</v>
      </c>
      <c r="B14345" t="s">
        <v>3221</v>
      </c>
      <c r="C14345">
        <v>6685</v>
      </c>
      <c r="D14345" t="s">
        <v>3672</v>
      </c>
      <c r="E14345" t="s">
        <v>2006</v>
      </c>
      <c r="F14345">
        <v>112.91</v>
      </c>
      <c r="G14345">
        <v>230508</v>
      </c>
      <c r="H14345">
        <v>4600</v>
      </c>
      <c r="I14345" t="s">
        <v>105</v>
      </c>
      <c r="J14345">
        <v>140.01</v>
      </c>
      <c r="K14345">
        <v>27.1</v>
      </c>
      <c r="L14345">
        <v>49501</v>
      </c>
      <c r="M14345" t="s">
        <v>177</v>
      </c>
      <c r="N14345" t="str">
        <f>"11002       "</f>
        <v xml:space="preserve">11002       </v>
      </c>
      <c r="O14345">
        <v>230517</v>
      </c>
    </row>
    <row r="14346" spans="1:16" x14ac:dyDescent="0.25">
      <c r="A14346" t="s">
        <v>16</v>
      </c>
      <c r="B14346" t="s">
        <v>3221</v>
      </c>
      <c r="C14346">
        <v>16173</v>
      </c>
      <c r="D14346" t="s">
        <v>3672</v>
      </c>
      <c r="E14346" t="s">
        <v>2006</v>
      </c>
      <c r="F14346">
        <v>2151.12</v>
      </c>
      <c r="G14346">
        <v>231113</v>
      </c>
      <c r="H14346">
        <v>4390</v>
      </c>
      <c r="I14346" t="s">
        <v>98</v>
      </c>
      <c r="J14346">
        <v>2667.39</v>
      </c>
      <c r="K14346">
        <v>516.27</v>
      </c>
      <c r="L14346">
        <v>49501</v>
      </c>
      <c r="M14346" t="s">
        <v>177</v>
      </c>
      <c r="N14346" t="str">
        <f>"1058        "</f>
        <v xml:space="preserve">1058        </v>
      </c>
      <c r="O14346">
        <v>231124</v>
      </c>
    </row>
    <row r="14347" spans="1:16" x14ac:dyDescent="0.25">
      <c r="A14347" t="s">
        <v>16</v>
      </c>
      <c r="B14347" t="s">
        <v>3221</v>
      </c>
      <c r="C14347">
        <v>13098</v>
      </c>
      <c r="D14347" t="s">
        <v>3535</v>
      </c>
      <c r="E14347" t="s">
        <v>3536</v>
      </c>
      <c r="F14347">
        <v>43.31</v>
      </c>
      <c r="G14347">
        <v>230926</v>
      </c>
      <c r="H14347">
        <v>4600</v>
      </c>
      <c r="I14347" t="s">
        <v>105</v>
      </c>
      <c r="J14347">
        <v>43.31</v>
      </c>
      <c r="K14347">
        <v>0</v>
      </c>
      <c r="L14347">
        <v>67554</v>
      </c>
      <c r="M14347" t="s">
        <v>60</v>
      </c>
      <c r="N14347" t="str">
        <f>"823063      "</f>
        <v xml:space="preserve">823063      </v>
      </c>
      <c r="O14347">
        <v>231003</v>
      </c>
      <c r="P14347" t="s">
        <v>3060</v>
      </c>
    </row>
    <row r="14348" spans="1:16" x14ac:dyDescent="0.25">
      <c r="A14348" t="s">
        <v>16</v>
      </c>
      <c r="B14348" t="s">
        <v>3221</v>
      </c>
      <c r="C14348">
        <v>1781</v>
      </c>
      <c r="D14348" t="s">
        <v>1187</v>
      </c>
      <c r="E14348" t="s">
        <v>1188</v>
      </c>
      <c r="F14348">
        <v>990.7</v>
      </c>
      <c r="G14348">
        <v>230131</v>
      </c>
      <c r="H14348">
        <v>4343</v>
      </c>
      <c r="I14348" t="s">
        <v>91</v>
      </c>
      <c r="J14348">
        <v>1228.47</v>
      </c>
      <c r="K14348">
        <v>237.77</v>
      </c>
      <c r="L14348">
        <v>11001</v>
      </c>
      <c r="M14348" t="s">
        <v>326</v>
      </c>
      <c r="N14348" t="str">
        <f>"1287        "</f>
        <v xml:space="preserve">1287        </v>
      </c>
      <c r="O14348">
        <v>230214</v>
      </c>
    </row>
    <row r="14349" spans="1:16" x14ac:dyDescent="0.25">
      <c r="A14349" t="s">
        <v>16</v>
      </c>
      <c r="B14349" t="s">
        <v>3221</v>
      </c>
      <c r="C14349">
        <v>2978</v>
      </c>
      <c r="D14349" t="s">
        <v>1187</v>
      </c>
      <c r="E14349" t="s">
        <v>1188</v>
      </c>
      <c r="F14349">
        <v>744.8</v>
      </c>
      <c r="G14349">
        <v>230228</v>
      </c>
      <c r="H14349">
        <v>4343</v>
      </c>
      <c r="I14349" t="s">
        <v>91</v>
      </c>
      <c r="J14349">
        <v>923.55</v>
      </c>
      <c r="K14349">
        <v>178.75</v>
      </c>
      <c r="L14349">
        <v>11001</v>
      </c>
      <c r="M14349" t="s">
        <v>326</v>
      </c>
      <c r="N14349" t="str">
        <f>"1324        "</f>
        <v xml:space="preserve">1324        </v>
      </c>
      <c r="O14349">
        <v>230308</v>
      </c>
    </row>
    <row r="14350" spans="1:16" x14ac:dyDescent="0.25">
      <c r="A14350" t="s">
        <v>16</v>
      </c>
      <c r="B14350" t="s">
        <v>3221</v>
      </c>
      <c r="C14350">
        <v>4685</v>
      </c>
      <c r="D14350" t="s">
        <v>1187</v>
      </c>
      <c r="E14350" t="s">
        <v>1188</v>
      </c>
      <c r="F14350">
        <v>800</v>
      </c>
      <c r="G14350">
        <v>230331</v>
      </c>
      <c r="H14350">
        <v>4343</v>
      </c>
      <c r="I14350" t="s">
        <v>91</v>
      </c>
      <c r="J14350">
        <v>992</v>
      </c>
      <c r="K14350">
        <v>192</v>
      </c>
      <c r="L14350">
        <v>11001</v>
      </c>
      <c r="M14350" t="s">
        <v>326</v>
      </c>
      <c r="N14350" t="str">
        <f>"1399        "</f>
        <v xml:space="preserve">1399        </v>
      </c>
      <c r="O14350">
        <v>230411</v>
      </c>
    </row>
    <row r="14351" spans="1:16" x14ac:dyDescent="0.25">
      <c r="A14351" t="s">
        <v>16</v>
      </c>
      <c r="B14351" t="s">
        <v>3221</v>
      </c>
      <c r="C14351">
        <v>6331</v>
      </c>
      <c r="D14351" t="s">
        <v>1187</v>
      </c>
      <c r="E14351" t="s">
        <v>1188</v>
      </c>
      <c r="F14351">
        <v>773.19</v>
      </c>
      <c r="G14351">
        <v>230430</v>
      </c>
      <c r="H14351">
        <v>4343</v>
      </c>
      <c r="I14351" t="s">
        <v>91</v>
      </c>
      <c r="J14351">
        <v>958.76</v>
      </c>
      <c r="K14351">
        <v>185.57</v>
      </c>
      <c r="L14351">
        <v>11001</v>
      </c>
      <c r="M14351" t="s">
        <v>326</v>
      </c>
      <c r="N14351" t="str">
        <f>"1442        "</f>
        <v xml:space="preserve">1442        </v>
      </c>
      <c r="O14351">
        <v>230510</v>
      </c>
    </row>
    <row r="14352" spans="1:16" x14ac:dyDescent="0.25">
      <c r="A14352" t="s">
        <v>16</v>
      </c>
      <c r="B14352" t="s">
        <v>3221</v>
      </c>
      <c r="C14352">
        <v>8193</v>
      </c>
      <c r="D14352" t="s">
        <v>1187</v>
      </c>
      <c r="E14352" t="s">
        <v>1188</v>
      </c>
      <c r="F14352">
        <v>776.8</v>
      </c>
      <c r="G14352">
        <v>230531</v>
      </c>
      <c r="H14352">
        <v>4343</v>
      </c>
      <c r="I14352" t="s">
        <v>91</v>
      </c>
      <c r="J14352">
        <v>963.23</v>
      </c>
      <c r="K14352">
        <v>186.43</v>
      </c>
      <c r="L14352">
        <v>11001</v>
      </c>
      <c r="M14352" t="s">
        <v>326</v>
      </c>
      <c r="N14352" t="str">
        <f>"1482        "</f>
        <v xml:space="preserve">1482        </v>
      </c>
      <c r="O14352">
        <v>230607</v>
      </c>
    </row>
    <row r="14353" spans="1:15" x14ac:dyDescent="0.25">
      <c r="A14353" t="s">
        <v>16</v>
      </c>
      <c r="B14353" t="s">
        <v>3221</v>
      </c>
      <c r="C14353">
        <v>9618</v>
      </c>
      <c r="D14353" t="s">
        <v>1187</v>
      </c>
      <c r="E14353" t="s">
        <v>1188</v>
      </c>
      <c r="F14353">
        <v>767.2</v>
      </c>
      <c r="G14353">
        <v>230630</v>
      </c>
      <c r="H14353">
        <v>4343</v>
      </c>
      <c r="I14353" t="s">
        <v>91</v>
      </c>
      <c r="J14353">
        <v>951.33</v>
      </c>
      <c r="K14353">
        <v>184.13</v>
      </c>
      <c r="L14353">
        <v>11001</v>
      </c>
      <c r="M14353" t="s">
        <v>326</v>
      </c>
      <c r="N14353" t="str">
        <f>"1519        "</f>
        <v xml:space="preserve">1519        </v>
      </c>
      <c r="O14353">
        <v>230717</v>
      </c>
    </row>
    <row r="14354" spans="1:15" x14ac:dyDescent="0.25">
      <c r="A14354" t="s">
        <v>16</v>
      </c>
      <c r="B14354" t="s">
        <v>3221</v>
      </c>
      <c r="C14354">
        <v>9944</v>
      </c>
      <c r="D14354" t="s">
        <v>1187</v>
      </c>
      <c r="E14354" t="s">
        <v>1188</v>
      </c>
      <c r="F14354">
        <v>767.2</v>
      </c>
      <c r="G14354">
        <v>230731</v>
      </c>
      <c r="H14354">
        <v>4343</v>
      </c>
      <c r="I14354" t="s">
        <v>91</v>
      </c>
      <c r="J14354">
        <v>951.33</v>
      </c>
      <c r="K14354">
        <v>184.13</v>
      </c>
      <c r="L14354">
        <v>11001</v>
      </c>
      <c r="M14354" t="s">
        <v>326</v>
      </c>
      <c r="N14354" t="str">
        <f>"1563        "</f>
        <v xml:space="preserve">1563        </v>
      </c>
      <c r="O14354">
        <v>230802</v>
      </c>
    </row>
    <row r="14355" spans="1:15" x14ac:dyDescent="0.25">
      <c r="A14355" t="s">
        <v>16</v>
      </c>
      <c r="B14355" t="s">
        <v>3221</v>
      </c>
      <c r="C14355">
        <v>11455</v>
      </c>
      <c r="D14355" t="s">
        <v>1187</v>
      </c>
      <c r="E14355" t="s">
        <v>1188</v>
      </c>
      <c r="F14355">
        <v>878.7</v>
      </c>
      <c r="G14355">
        <v>230831</v>
      </c>
      <c r="H14355">
        <v>4343</v>
      </c>
      <c r="I14355" t="s">
        <v>91</v>
      </c>
      <c r="J14355">
        <v>1089.5899999999999</v>
      </c>
      <c r="K14355">
        <v>210.89</v>
      </c>
      <c r="L14355">
        <v>11001</v>
      </c>
      <c r="M14355" t="s">
        <v>326</v>
      </c>
      <c r="N14355" t="str">
        <f>"1600        "</f>
        <v xml:space="preserve">1600        </v>
      </c>
      <c r="O14355">
        <v>230905</v>
      </c>
    </row>
    <row r="14356" spans="1:15" x14ac:dyDescent="0.25">
      <c r="A14356" t="s">
        <v>16</v>
      </c>
      <c r="B14356" t="s">
        <v>3221</v>
      </c>
      <c r="C14356">
        <v>13450</v>
      </c>
      <c r="D14356" t="s">
        <v>1187</v>
      </c>
      <c r="E14356" t="s">
        <v>1188</v>
      </c>
      <c r="F14356">
        <v>1101.9000000000001</v>
      </c>
      <c r="G14356">
        <v>230930</v>
      </c>
      <c r="H14356">
        <v>4343</v>
      </c>
      <c r="I14356" t="s">
        <v>91</v>
      </c>
      <c r="J14356">
        <v>1366.35</v>
      </c>
      <c r="K14356">
        <v>264.45</v>
      </c>
      <c r="L14356">
        <v>11001</v>
      </c>
      <c r="M14356" t="s">
        <v>326</v>
      </c>
      <c r="N14356" t="str">
        <f>"1640        "</f>
        <v xml:space="preserve">1640        </v>
      </c>
      <c r="O14356">
        <v>231010</v>
      </c>
    </row>
    <row r="14357" spans="1:15" x14ac:dyDescent="0.25">
      <c r="A14357" t="s">
        <v>16</v>
      </c>
      <c r="B14357" t="s">
        <v>3221</v>
      </c>
      <c r="C14357">
        <v>15519</v>
      </c>
      <c r="D14357" t="s">
        <v>1187</v>
      </c>
      <c r="E14357" t="s">
        <v>1188</v>
      </c>
      <c r="F14357">
        <v>891.3</v>
      </c>
      <c r="G14357">
        <v>231031</v>
      </c>
      <c r="H14357">
        <v>4343</v>
      </c>
      <c r="I14357" t="s">
        <v>91</v>
      </c>
      <c r="J14357">
        <v>1105.21</v>
      </c>
      <c r="K14357">
        <v>213.91</v>
      </c>
      <c r="L14357">
        <v>11001</v>
      </c>
      <c r="M14357" t="s">
        <v>326</v>
      </c>
      <c r="N14357" t="str">
        <f>"1689        "</f>
        <v xml:space="preserve">1689        </v>
      </c>
      <c r="O14357">
        <v>231113</v>
      </c>
    </row>
    <row r="14358" spans="1:15" x14ac:dyDescent="0.25">
      <c r="A14358" t="s">
        <v>16</v>
      </c>
      <c r="B14358" t="s">
        <v>3221</v>
      </c>
      <c r="C14358">
        <v>17016</v>
      </c>
      <c r="D14358" t="s">
        <v>1187</v>
      </c>
      <c r="E14358" t="s">
        <v>1188</v>
      </c>
      <c r="F14358">
        <v>909.9</v>
      </c>
      <c r="G14358">
        <v>231130</v>
      </c>
      <c r="H14358">
        <v>4343</v>
      </c>
      <c r="I14358" t="s">
        <v>91</v>
      </c>
      <c r="J14358">
        <v>1128.27</v>
      </c>
      <c r="K14358">
        <v>218.37</v>
      </c>
      <c r="L14358">
        <v>11001</v>
      </c>
      <c r="M14358" t="s">
        <v>326</v>
      </c>
      <c r="N14358" t="str">
        <f>"1725        "</f>
        <v xml:space="preserve">1725        </v>
      </c>
      <c r="O14358">
        <v>231211</v>
      </c>
    </row>
    <row r="14359" spans="1:15" x14ac:dyDescent="0.25">
      <c r="A14359" t="s">
        <v>16</v>
      </c>
      <c r="B14359" t="s">
        <v>3221</v>
      </c>
      <c r="C14359">
        <v>19173</v>
      </c>
      <c r="D14359" t="s">
        <v>1187</v>
      </c>
      <c r="E14359" t="s">
        <v>1188</v>
      </c>
      <c r="F14359">
        <v>785.6</v>
      </c>
      <c r="G14359">
        <v>231231</v>
      </c>
      <c r="H14359">
        <v>4343</v>
      </c>
      <c r="I14359" t="s">
        <v>91</v>
      </c>
      <c r="J14359">
        <v>974.15</v>
      </c>
      <c r="K14359">
        <v>188.55</v>
      </c>
      <c r="L14359">
        <v>11001</v>
      </c>
      <c r="M14359" t="s">
        <v>326</v>
      </c>
      <c r="N14359" t="str">
        <f>"1768        "</f>
        <v xml:space="preserve">1768        </v>
      </c>
      <c r="O14359">
        <v>240129</v>
      </c>
    </row>
    <row r="14360" spans="1:15" x14ac:dyDescent="0.25">
      <c r="A14360" t="s">
        <v>16</v>
      </c>
      <c r="B14360" t="s">
        <v>3221</v>
      </c>
      <c r="C14360">
        <v>12117</v>
      </c>
      <c r="D14360" t="s">
        <v>2543</v>
      </c>
      <c r="E14360" t="s">
        <v>2544</v>
      </c>
      <c r="F14360">
        <v>312</v>
      </c>
      <c r="G14360">
        <v>230903</v>
      </c>
      <c r="H14360">
        <v>4470</v>
      </c>
      <c r="I14360" t="s">
        <v>83</v>
      </c>
      <c r="J14360">
        <v>386.88</v>
      </c>
      <c r="K14360">
        <v>74.88</v>
      </c>
      <c r="L14360">
        <v>17711</v>
      </c>
      <c r="M14360" t="s">
        <v>65</v>
      </c>
      <c r="N14360" t="str">
        <f>"92          "</f>
        <v xml:space="preserve">92          </v>
      </c>
      <c r="O14360">
        <v>230914</v>
      </c>
    </row>
    <row r="14361" spans="1:15" x14ac:dyDescent="0.25">
      <c r="A14361" t="s">
        <v>16</v>
      </c>
      <c r="B14361" t="s">
        <v>3221</v>
      </c>
      <c r="C14361">
        <v>16829</v>
      </c>
      <c r="D14361" t="s">
        <v>3022</v>
      </c>
      <c r="E14361" t="s">
        <v>3023</v>
      </c>
      <c r="F14361">
        <v>145.44999999999999</v>
      </c>
      <c r="G14361">
        <v>231130</v>
      </c>
      <c r="H14361">
        <v>4470</v>
      </c>
      <c r="I14361" t="s">
        <v>83</v>
      </c>
      <c r="J14361">
        <v>160</v>
      </c>
      <c r="K14361">
        <v>14.55</v>
      </c>
      <c r="L14361">
        <v>17711</v>
      </c>
      <c r="M14361" t="s">
        <v>65</v>
      </c>
      <c r="N14361" t="str">
        <f>"11          "</f>
        <v xml:space="preserve">11          </v>
      </c>
      <c r="O14361">
        <v>231211</v>
      </c>
    </row>
    <row r="14362" spans="1:15" x14ac:dyDescent="0.25">
      <c r="A14362" t="s">
        <v>16</v>
      </c>
      <c r="B14362" t="s">
        <v>3221</v>
      </c>
      <c r="C14362">
        <v>6291</v>
      </c>
      <c r="D14362" t="s">
        <v>1949</v>
      </c>
      <c r="E14362" t="s">
        <v>1950</v>
      </c>
      <c r="F14362">
        <v>-190</v>
      </c>
      <c r="G14362">
        <v>230420</v>
      </c>
      <c r="H14362">
        <v>4580</v>
      </c>
      <c r="I14362" t="s">
        <v>35</v>
      </c>
      <c r="J14362">
        <v>-190</v>
      </c>
      <c r="K14362">
        <v>0</v>
      </c>
      <c r="L14362">
        <v>17538</v>
      </c>
      <c r="M14362" t="s">
        <v>24</v>
      </c>
      <c r="N14362" t="str">
        <f>"903111681   "</f>
        <v xml:space="preserve">903111681   </v>
      </c>
      <c r="O14362">
        <v>230510</v>
      </c>
    </row>
    <row r="14363" spans="1:15" x14ac:dyDescent="0.25">
      <c r="A14363" t="s">
        <v>16</v>
      </c>
      <c r="B14363" t="s">
        <v>3221</v>
      </c>
      <c r="C14363">
        <v>6291</v>
      </c>
      <c r="D14363" t="s">
        <v>1949</v>
      </c>
      <c r="E14363" t="s">
        <v>1950</v>
      </c>
      <c r="F14363">
        <v>2467.7399999999998</v>
      </c>
      <c r="G14363">
        <v>230420</v>
      </c>
      <c r="H14363">
        <v>4580</v>
      </c>
      <c r="I14363" t="s">
        <v>35</v>
      </c>
      <c r="J14363">
        <v>3060</v>
      </c>
      <c r="K14363">
        <v>592.26</v>
      </c>
      <c r="L14363">
        <v>17538</v>
      </c>
      <c r="M14363" t="s">
        <v>24</v>
      </c>
      <c r="N14363" t="str">
        <f>"903111681   "</f>
        <v xml:space="preserve">903111681   </v>
      </c>
      <c r="O14363">
        <v>230510</v>
      </c>
    </row>
    <row r="14364" spans="1:15" x14ac:dyDescent="0.25">
      <c r="A14364" t="s">
        <v>16</v>
      </c>
      <c r="B14364" t="s">
        <v>3221</v>
      </c>
      <c r="C14364">
        <v>6451</v>
      </c>
      <c r="D14364" t="s">
        <v>1967</v>
      </c>
      <c r="E14364" t="s">
        <v>1968</v>
      </c>
      <c r="F14364">
        <v>400.15</v>
      </c>
      <c r="G14364">
        <v>230428</v>
      </c>
      <c r="H14364">
        <v>4390</v>
      </c>
      <c r="I14364" t="s">
        <v>98</v>
      </c>
      <c r="J14364">
        <v>496.19</v>
      </c>
      <c r="K14364">
        <v>96.04</v>
      </c>
      <c r="L14364">
        <v>13540</v>
      </c>
      <c r="M14364" t="s">
        <v>85</v>
      </c>
      <c r="N14364" t="str">
        <f>"30624       "</f>
        <v xml:space="preserve">30624       </v>
      </c>
      <c r="O14364">
        <v>230512</v>
      </c>
    </row>
    <row r="14365" spans="1:15" x14ac:dyDescent="0.25">
      <c r="A14365" t="s">
        <v>16</v>
      </c>
      <c r="B14365" t="s">
        <v>3221</v>
      </c>
      <c r="C14365">
        <v>6451</v>
      </c>
      <c r="D14365" t="s">
        <v>1967</v>
      </c>
      <c r="E14365" t="s">
        <v>1968</v>
      </c>
      <c r="F14365">
        <v>4383.6000000000004</v>
      </c>
      <c r="G14365">
        <v>230428</v>
      </c>
      <c r="H14365">
        <v>4390</v>
      </c>
      <c r="I14365" t="s">
        <v>98</v>
      </c>
      <c r="J14365">
        <v>5435.66</v>
      </c>
      <c r="K14365">
        <v>1052.06</v>
      </c>
      <c r="L14365">
        <v>17950</v>
      </c>
      <c r="M14365" t="s">
        <v>86</v>
      </c>
      <c r="N14365" t="str">
        <f>"30624       "</f>
        <v xml:space="preserve">30624       </v>
      </c>
      <c r="O14365">
        <v>230512</v>
      </c>
    </row>
    <row r="14366" spans="1:15" x14ac:dyDescent="0.25">
      <c r="A14366" t="s">
        <v>16</v>
      </c>
      <c r="B14366" t="s">
        <v>3221</v>
      </c>
      <c r="C14366">
        <v>15406</v>
      </c>
      <c r="D14366" t="s">
        <v>2868</v>
      </c>
      <c r="E14366" t="s">
        <v>2869</v>
      </c>
      <c r="F14366">
        <v>96</v>
      </c>
      <c r="G14366">
        <v>231107</v>
      </c>
      <c r="H14366">
        <v>4410</v>
      </c>
      <c r="I14366" t="s">
        <v>517</v>
      </c>
      <c r="J14366">
        <v>96</v>
      </c>
      <c r="K14366">
        <v>0</v>
      </c>
      <c r="L14366">
        <v>17538</v>
      </c>
      <c r="M14366" t="s">
        <v>24</v>
      </c>
      <c r="N14366" t="str">
        <f>"3003564568  "</f>
        <v xml:space="preserve">3003564568  </v>
      </c>
      <c r="O14366">
        <v>231113</v>
      </c>
    </row>
    <row r="14367" spans="1:15" x14ac:dyDescent="0.25">
      <c r="A14367" t="s">
        <v>16</v>
      </c>
      <c r="B14367" t="s">
        <v>3221</v>
      </c>
      <c r="C14367">
        <v>15406</v>
      </c>
      <c r="D14367" t="s">
        <v>2868</v>
      </c>
      <c r="E14367" t="s">
        <v>2869</v>
      </c>
      <c r="F14367">
        <v>976.73</v>
      </c>
      <c r="G14367">
        <v>231107</v>
      </c>
      <c r="H14367">
        <v>4410</v>
      </c>
      <c r="I14367" t="s">
        <v>517</v>
      </c>
      <c r="J14367">
        <v>1074.4000000000001</v>
      </c>
      <c r="K14367">
        <v>97.67</v>
      </c>
      <c r="L14367">
        <v>17538</v>
      </c>
      <c r="M14367" t="s">
        <v>24</v>
      </c>
      <c r="N14367" t="str">
        <f>"3003564568  "</f>
        <v xml:space="preserve">3003564568  </v>
      </c>
      <c r="O14367">
        <v>231113</v>
      </c>
    </row>
    <row r="14368" spans="1:15" x14ac:dyDescent="0.25">
      <c r="A14368" t="s">
        <v>16</v>
      </c>
      <c r="B14368" t="s">
        <v>3221</v>
      </c>
      <c r="C14368">
        <v>4721</v>
      </c>
      <c r="D14368" t="s">
        <v>1083</v>
      </c>
      <c r="E14368" t="s">
        <v>1084</v>
      </c>
      <c r="F14368">
        <v>6</v>
      </c>
      <c r="G14368">
        <v>230330</v>
      </c>
      <c r="H14368">
        <v>4412</v>
      </c>
      <c r="I14368" t="s">
        <v>149</v>
      </c>
      <c r="J14368">
        <v>6</v>
      </c>
      <c r="K14368">
        <v>0</v>
      </c>
      <c r="L14368">
        <v>18974</v>
      </c>
      <c r="M14368" t="s">
        <v>1663</v>
      </c>
      <c r="N14368" t="str">
        <f>"3003061867  "</f>
        <v xml:space="preserve">3003061867  </v>
      </c>
      <c r="O14368">
        <v>230412</v>
      </c>
    </row>
    <row r="14369" spans="1:15" x14ac:dyDescent="0.25">
      <c r="A14369" t="s">
        <v>16</v>
      </c>
      <c r="B14369" t="s">
        <v>3221</v>
      </c>
      <c r="C14369">
        <v>4721</v>
      </c>
      <c r="D14369" t="s">
        <v>1083</v>
      </c>
      <c r="E14369" t="s">
        <v>1084</v>
      </c>
      <c r="F14369">
        <v>132.72999999999999</v>
      </c>
      <c r="G14369">
        <v>230330</v>
      </c>
      <c r="H14369">
        <v>4412</v>
      </c>
      <c r="I14369" t="s">
        <v>149</v>
      </c>
      <c r="J14369">
        <v>146</v>
      </c>
      <c r="K14369">
        <v>13.27</v>
      </c>
      <c r="L14369">
        <v>18974</v>
      </c>
      <c r="M14369" t="s">
        <v>1663</v>
      </c>
      <c r="N14369" t="str">
        <f>"3003061867  "</f>
        <v xml:space="preserve">3003061867  </v>
      </c>
      <c r="O14369">
        <v>230412</v>
      </c>
    </row>
    <row r="14370" spans="1:15" x14ac:dyDescent="0.25">
      <c r="A14370" t="s">
        <v>16</v>
      </c>
      <c r="B14370" t="s">
        <v>3221</v>
      </c>
      <c r="C14370">
        <v>1551</v>
      </c>
      <c r="D14370" t="s">
        <v>1083</v>
      </c>
      <c r="E14370" t="s">
        <v>1084</v>
      </c>
      <c r="F14370">
        <v>12</v>
      </c>
      <c r="G14370">
        <v>230204</v>
      </c>
      <c r="H14370">
        <v>4410</v>
      </c>
      <c r="I14370" t="s">
        <v>517</v>
      </c>
      <c r="J14370">
        <v>12</v>
      </c>
      <c r="K14370">
        <v>0</v>
      </c>
      <c r="L14370">
        <v>17974</v>
      </c>
      <c r="M14370" t="s">
        <v>460</v>
      </c>
      <c r="N14370" t="str">
        <f>"3002951678  "</f>
        <v xml:space="preserve">3002951678  </v>
      </c>
      <c r="O14370">
        <v>230209</v>
      </c>
    </row>
    <row r="14371" spans="1:15" x14ac:dyDescent="0.25">
      <c r="A14371" t="s">
        <v>16</v>
      </c>
      <c r="B14371" t="s">
        <v>3221</v>
      </c>
      <c r="C14371">
        <v>1551</v>
      </c>
      <c r="D14371" t="s">
        <v>1083</v>
      </c>
      <c r="E14371" t="s">
        <v>1084</v>
      </c>
      <c r="F14371">
        <v>230.91</v>
      </c>
      <c r="G14371">
        <v>230204</v>
      </c>
      <c r="H14371">
        <v>4410</v>
      </c>
      <c r="I14371" t="s">
        <v>517</v>
      </c>
      <c r="J14371">
        <v>254</v>
      </c>
      <c r="K14371">
        <v>23.09</v>
      </c>
      <c r="L14371">
        <v>17974</v>
      </c>
      <c r="M14371" t="s">
        <v>460</v>
      </c>
      <c r="N14371" t="str">
        <f>"3002951678  "</f>
        <v xml:space="preserve">3002951678  </v>
      </c>
      <c r="O14371">
        <v>230209</v>
      </c>
    </row>
    <row r="14372" spans="1:15" x14ac:dyDescent="0.25">
      <c r="A14372" t="s">
        <v>16</v>
      </c>
      <c r="B14372" t="s">
        <v>3221</v>
      </c>
      <c r="C14372">
        <v>4721</v>
      </c>
      <c r="D14372" t="s">
        <v>1083</v>
      </c>
      <c r="E14372" t="s">
        <v>1084</v>
      </c>
      <c r="F14372">
        <v>11.29</v>
      </c>
      <c r="G14372">
        <v>230330</v>
      </c>
      <c r="H14372">
        <v>4425</v>
      </c>
      <c r="I14372" t="s">
        <v>1345</v>
      </c>
      <c r="J14372">
        <v>14</v>
      </c>
      <c r="K14372">
        <v>2.71</v>
      </c>
      <c r="L14372">
        <v>18974</v>
      </c>
      <c r="M14372" t="s">
        <v>1663</v>
      </c>
      <c r="N14372" t="str">
        <f>"3003061867  "</f>
        <v xml:space="preserve">3003061867  </v>
      </c>
      <c r="O14372">
        <v>230412</v>
      </c>
    </row>
    <row r="14373" spans="1:15" x14ac:dyDescent="0.25">
      <c r="A14373" t="s">
        <v>16</v>
      </c>
      <c r="B14373" t="s">
        <v>3221</v>
      </c>
      <c r="C14373">
        <v>14684</v>
      </c>
      <c r="D14373" t="s">
        <v>1083</v>
      </c>
      <c r="E14373" t="s">
        <v>1084</v>
      </c>
      <c r="F14373">
        <v>725.81</v>
      </c>
      <c r="G14373">
        <v>231030</v>
      </c>
      <c r="H14373">
        <v>4820</v>
      </c>
      <c r="I14373" t="s">
        <v>50</v>
      </c>
      <c r="J14373">
        <v>900</v>
      </c>
      <c r="K14373">
        <v>174.19</v>
      </c>
      <c r="L14373">
        <v>18420</v>
      </c>
      <c r="M14373" t="s">
        <v>1489</v>
      </c>
      <c r="N14373" t="str">
        <f>"3003522717  "</f>
        <v xml:space="preserve">3003522717  </v>
      </c>
      <c r="O14373">
        <v>231031</v>
      </c>
    </row>
    <row r="14374" spans="1:15" x14ac:dyDescent="0.25">
      <c r="A14374" t="s">
        <v>16</v>
      </c>
      <c r="B14374" t="s">
        <v>3221</v>
      </c>
      <c r="C14374">
        <v>2296</v>
      </c>
      <c r="D14374" t="s">
        <v>1352</v>
      </c>
      <c r="E14374" t="s">
        <v>1353</v>
      </c>
      <c r="F14374">
        <v>30</v>
      </c>
      <c r="G14374">
        <v>230201</v>
      </c>
      <c r="H14374">
        <v>4410</v>
      </c>
      <c r="I14374" t="s">
        <v>517</v>
      </c>
      <c r="J14374">
        <v>30</v>
      </c>
      <c r="K14374">
        <v>0</v>
      </c>
      <c r="L14374">
        <v>17802</v>
      </c>
      <c r="M14374" t="s">
        <v>174</v>
      </c>
      <c r="N14374" t="str">
        <f>"3002977705  "</f>
        <v xml:space="preserve">3002977705  </v>
      </c>
      <c r="O14374">
        <v>230224</v>
      </c>
    </row>
    <row r="14375" spans="1:15" x14ac:dyDescent="0.25">
      <c r="A14375" t="s">
        <v>16</v>
      </c>
      <c r="B14375" t="s">
        <v>3221</v>
      </c>
      <c r="C14375">
        <v>2296</v>
      </c>
      <c r="D14375" t="s">
        <v>1352</v>
      </c>
      <c r="E14375" t="s">
        <v>1353</v>
      </c>
      <c r="F14375">
        <v>380.91</v>
      </c>
      <c r="G14375">
        <v>230201</v>
      </c>
      <c r="H14375">
        <v>4410</v>
      </c>
      <c r="I14375" t="s">
        <v>517</v>
      </c>
      <c r="J14375">
        <v>419</v>
      </c>
      <c r="K14375">
        <v>38.090000000000003</v>
      </c>
      <c r="L14375">
        <v>17802</v>
      </c>
      <c r="M14375" t="s">
        <v>174</v>
      </c>
      <c r="N14375" t="str">
        <f>"3002977705  "</f>
        <v xml:space="preserve">3002977705  </v>
      </c>
      <c r="O14375">
        <v>230224</v>
      </c>
    </row>
    <row r="14376" spans="1:15" x14ac:dyDescent="0.25">
      <c r="A14376" t="s">
        <v>16</v>
      </c>
      <c r="B14376" t="s">
        <v>3221</v>
      </c>
      <c r="C14376">
        <v>11157</v>
      </c>
      <c r="D14376" t="s">
        <v>1352</v>
      </c>
      <c r="E14376" t="s">
        <v>1353</v>
      </c>
      <c r="F14376">
        <v>4.03</v>
      </c>
      <c r="G14376">
        <v>230820</v>
      </c>
      <c r="H14376">
        <v>4410</v>
      </c>
      <c r="I14376" t="s">
        <v>517</v>
      </c>
      <c r="J14376">
        <v>5</v>
      </c>
      <c r="K14376">
        <v>0.97</v>
      </c>
      <c r="L14376">
        <v>18992</v>
      </c>
      <c r="M14376" t="s">
        <v>2445</v>
      </c>
      <c r="N14376" t="str">
        <f>"3003372377  "</f>
        <v xml:space="preserve">3003372377  </v>
      </c>
      <c r="O14376">
        <v>230830</v>
      </c>
    </row>
    <row r="14377" spans="1:15" x14ac:dyDescent="0.25">
      <c r="A14377" t="s">
        <v>16</v>
      </c>
      <c r="B14377" t="s">
        <v>3221</v>
      </c>
      <c r="C14377">
        <v>11157</v>
      </c>
      <c r="D14377" t="s">
        <v>1352</v>
      </c>
      <c r="E14377" t="s">
        <v>1353</v>
      </c>
      <c r="F14377">
        <v>12</v>
      </c>
      <c r="G14377">
        <v>230820</v>
      </c>
      <c r="H14377">
        <v>4410</v>
      </c>
      <c r="I14377" t="s">
        <v>517</v>
      </c>
      <c r="J14377">
        <v>12</v>
      </c>
      <c r="K14377">
        <v>0</v>
      </c>
      <c r="L14377">
        <v>18992</v>
      </c>
      <c r="M14377" t="s">
        <v>2445</v>
      </c>
      <c r="N14377" t="str">
        <f>"3003372377  "</f>
        <v xml:space="preserve">3003372377  </v>
      </c>
      <c r="O14377">
        <v>230830</v>
      </c>
    </row>
    <row r="14378" spans="1:15" x14ac:dyDescent="0.25">
      <c r="A14378" t="s">
        <v>16</v>
      </c>
      <c r="B14378" t="s">
        <v>3221</v>
      </c>
      <c r="C14378">
        <v>11157</v>
      </c>
      <c r="D14378" t="s">
        <v>1352</v>
      </c>
      <c r="E14378" t="s">
        <v>1353</v>
      </c>
      <c r="F14378">
        <v>181.82</v>
      </c>
      <c r="G14378">
        <v>230820</v>
      </c>
      <c r="H14378">
        <v>4410</v>
      </c>
      <c r="I14378" t="s">
        <v>517</v>
      </c>
      <c r="J14378">
        <v>200</v>
      </c>
      <c r="K14378">
        <v>18.18</v>
      </c>
      <c r="L14378">
        <v>18992</v>
      </c>
      <c r="M14378" t="s">
        <v>2445</v>
      </c>
      <c r="N14378" t="str">
        <f>"3003372377  "</f>
        <v xml:space="preserve">3003372377  </v>
      </c>
      <c r="O14378">
        <v>230830</v>
      </c>
    </row>
    <row r="14379" spans="1:15" x14ac:dyDescent="0.25">
      <c r="A14379" t="s">
        <v>16</v>
      </c>
      <c r="B14379" t="s">
        <v>3221</v>
      </c>
      <c r="C14379">
        <v>2296</v>
      </c>
      <c r="D14379" t="s">
        <v>1352</v>
      </c>
      <c r="E14379" t="s">
        <v>1353</v>
      </c>
      <c r="F14379">
        <v>9.68</v>
      </c>
      <c r="G14379">
        <v>230201</v>
      </c>
      <c r="H14379">
        <v>4470</v>
      </c>
      <c r="I14379" t="s">
        <v>83</v>
      </c>
      <c r="J14379">
        <v>12</v>
      </c>
      <c r="K14379">
        <v>2.3199999999999998</v>
      </c>
      <c r="L14379">
        <v>17802</v>
      </c>
      <c r="M14379" t="s">
        <v>174</v>
      </c>
      <c r="N14379" t="str">
        <f>"3002977705  "</f>
        <v xml:space="preserve">3002977705  </v>
      </c>
      <c r="O14379">
        <v>230224</v>
      </c>
    </row>
    <row r="14380" spans="1:15" x14ac:dyDescent="0.25">
      <c r="A14380" t="s">
        <v>16</v>
      </c>
      <c r="B14380" t="s">
        <v>3221</v>
      </c>
      <c r="C14380">
        <v>17636</v>
      </c>
      <c r="D14380" t="s">
        <v>3085</v>
      </c>
      <c r="E14380" t="s">
        <v>3086</v>
      </c>
      <c r="F14380">
        <v>964.66</v>
      </c>
      <c r="G14380">
        <v>231211</v>
      </c>
      <c r="H14380">
        <v>4346</v>
      </c>
      <c r="I14380" t="s">
        <v>197</v>
      </c>
      <c r="J14380">
        <v>1196.18</v>
      </c>
      <c r="K14380">
        <v>231.52</v>
      </c>
      <c r="L14380">
        <v>11903</v>
      </c>
      <c r="M14380" t="s">
        <v>406</v>
      </c>
      <c r="N14380" t="str">
        <f>"700225      "</f>
        <v xml:space="preserve">700225      </v>
      </c>
      <c r="O14380">
        <v>231218</v>
      </c>
    </row>
    <row r="14381" spans="1:15" x14ac:dyDescent="0.25">
      <c r="A14381" t="s">
        <v>16</v>
      </c>
      <c r="B14381" t="s">
        <v>3221</v>
      </c>
      <c r="C14381">
        <v>5045</v>
      </c>
      <c r="D14381" t="s">
        <v>1784</v>
      </c>
      <c r="E14381" t="s">
        <v>1785</v>
      </c>
      <c r="F14381">
        <v>26.36</v>
      </c>
      <c r="G14381">
        <v>230405</v>
      </c>
      <c r="H14381">
        <v>4510</v>
      </c>
      <c r="I14381" t="s">
        <v>42</v>
      </c>
      <c r="J14381">
        <v>29</v>
      </c>
      <c r="K14381">
        <v>2.64</v>
      </c>
      <c r="L14381">
        <v>56524</v>
      </c>
      <c r="M14381" t="s">
        <v>150</v>
      </c>
      <c r="N14381" t="str">
        <f>"4949386     "</f>
        <v xml:space="preserve">4949386     </v>
      </c>
      <c r="O14381">
        <v>230417</v>
      </c>
    </row>
    <row r="14382" spans="1:15" x14ac:dyDescent="0.25">
      <c r="A14382" t="s">
        <v>16</v>
      </c>
      <c r="B14382" t="s">
        <v>3221</v>
      </c>
      <c r="C14382">
        <v>10960</v>
      </c>
      <c r="D14382" t="s">
        <v>1784</v>
      </c>
      <c r="E14382" t="s">
        <v>1785</v>
      </c>
      <c r="F14382">
        <v>60.32</v>
      </c>
      <c r="G14382">
        <v>230823</v>
      </c>
      <c r="H14382">
        <v>4510</v>
      </c>
      <c r="I14382" t="s">
        <v>42</v>
      </c>
      <c r="J14382">
        <v>66.349999999999994</v>
      </c>
      <c r="K14382">
        <v>6.03</v>
      </c>
      <c r="L14382">
        <v>56524</v>
      </c>
      <c r="M14382" t="s">
        <v>150</v>
      </c>
      <c r="N14382" t="str">
        <f>"5313222     "</f>
        <v xml:space="preserve">5313222     </v>
      </c>
      <c r="O14382">
        <v>230825</v>
      </c>
    </row>
    <row r="14383" spans="1:15" x14ac:dyDescent="0.25">
      <c r="A14383" t="s">
        <v>16</v>
      </c>
      <c r="B14383" t="s">
        <v>3221</v>
      </c>
      <c r="C14383">
        <v>1138</v>
      </c>
      <c r="D14383" t="s">
        <v>907</v>
      </c>
      <c r="E14383" t="s">
        <v>908</v>
      </c>
      <c r="F14383">
        <v>792.39</v>
      </c>
      <c r="G14383">
        <v>230126</v>
      </c>
      <c r="H14383">
        <v>4400</v>
      </c>
      <c r="I14383" t="s">
        <v>348</v>
      </c>
      <c r="J14383">
        <v>792.39</v>
      </c>
      <c r="K14383">
        <v>0</v>
      </c>
      <c r="L14383">
        <v>49501</v>
      </c>
      <c r="M14383" t="s">
        <v>177</v>
      </c>
      <c r="N14383" t="str">
        <f>"23002223    "</f>
        <v xml:space="preserve">23002223    </v>
      </c>
      <c r="O14383">
        <v>230206</v>
      </c>
    </row>
    <row r="14384" spans="1:15" x14ac:dyDescent="0.25">
      <c r="A14384" t="s">
        <v>16</v>
      </c>
      <c r="B14384" t="s">
        <v>3221</v>
      </c>
      <c r="C14384">
        <v>1140</v>
      </c>
      <c r="D14384" t="s">
        <v>907</v>
      </c>
      <c r="E14384" t="s">
        <v>908</v>
      </c>
      <c r="F14384">
        <v>904.38</v>
      </c>
      <c r="G14384">
        <v>230126</v>
      </c>
      <c r="H14384">
        <v>4400</v>
      </c>
      <c r="I14384" t="s">
        <v>348</v>
      </c>
      <c r="J14384">
        <v>904.38</v>
      </c>
      <c r="K14384">
        <v>0</v>
      </c>
      <c r="L14384">
        <v>49501</v>
      </c>
      <c r="M14384" t="s">
        <v>177</v>
      </c>
      <c r="N14384" t="str">
        <f>"23002213    "</f>
        <v xml:space="preserve">23002213    </v>
      </c>
      <c r="O14384">
        <v>230206</v>
      </c>
    </row>
    <row r="14385" spans="1:15" x14ac:dyDescent="0.25">
      <c r="A14385" t="s">
        <v>16</v>
      </c>
      <c r="B14385" t="s">
        <v>3221</v>
      </c>
      <c r="C14385">
        <v>4362</v>
      </c>
      <c r="D14385" t="s">
        <v>907</v>
      </c>
      <c r="E14385" t="s">
        <v>908</v>
      </c>
      <c r="F14385">
        <v>576.46</v>
      </c>
      <c r="G14385">
        <v>230323</v>
      </c>
      <c r="H14385">
        <v>4400</v>
      </c>
      <c r="I14385" t="s">
        <v>348</v>
      </c>
      <c r="J14385">
        <v>714.81</v>
      </c>
      <c r="K14385">
        <v>138.35</v>
      </c>
      <c r="L14385">
        <v>49501</v>
      </c>
      <c r="M14385" t="s">
        <v>177</v>
      </c>
      <c r="N14385" t="str">
        <f>"23006686    "</f>
        <v xml:space="preserve">23006686    </v>
      </c>
      <c r="O14385">
        <v>230405</v>
      </c>
    </row>
    <row r="14386" spans="1:15" x14ac:dyDescent="0.25">
      <c r="A14386" t="s">
        <v>16</v>
      </c>
      <c r="B14386" t="s">
        <v>3221</v>
      </c>
      <c r="C14386">
        <v>5200</v>
      </c>
      <c r="D14386" t="s">
        <v>907</v>
      </c>
      <c r="E14386" t="s">
        <v>908</v>
      </c>
      <c r="F14386">
        <v>1290</v>
      </c>
      <c r="G14386">
        <v>230406</v>
      </c>
      <c r="H14386">
        <v>4400</v>
      </c>
      <c r="I14386" t="s">
        <v>348</v>
      </c>
      <c r="J14386">
        <v>1290</v>
      </c>
      <c r="K14386">
        <v>0</v>
      </c>
      <c r="L14386">
        <v>49501</v>
      </c>
      <c r="M14386" t="s">
        <v>177</v>
      </c>
      <c r="N14386" t="str">
        <f>"23010164    "</f>
        <v xml:space="preserve">23010164    </v>
      </c>
      <c r="O14386">
        <v>230419</v>
      </c>
    </row>
    <row r="14387" spans="1:15" x14ac:dyDescent="0.25">
      <c r="A14387" t="s">
        <v>16</v>
      </c>
      <c r="B14387" t="s">
        <v>3221</v>
      </c>
      <c r="C14387">
        <v>5204</v>
      </c>
      <c r="D14387" t="s">
        <v>907</v>
      </c>
      <c r="E14387" t="s">
        <v>908</v>
      </c>
      <c r="F14387">
        <v>792.39</v>
      </c>
      <c r="G14387">
        <v>230405</v>
      </c>
      <c r="H14387">
        <v>4400</v>
      </c>
      <c r="I14387" t="s">
        <v>348</v>
      </c>
      <c r="J14387">
        <v>792.39</v>
      </c>
      <c r="K14387">
        <v>0</v>
      </c>
      <c r="L14387">
        <v>49501</v>
      </c>
      <c r="M14387" t="s">
        <v>177</v>
      </c>
      <c r="N14387" t="str">
        <f>"23008983    "</f>
        <v xml:space="preserve">23008983    </v>
      </c>
      <c r="O14387">
        <v>230419</v>
      </c>
    </row>
    <row r="14388" spans="1:15" x14ac:dyDescent="0.25">
      <c r="A14388" t="s">
        <v>16</v>
      </c>
      <c r="B14388" t="s">
        <v>3221</v>
      </c>
      <c r="C14388">
        <v>5205</v>
      </c>
      <c r="D14388" t="s">
        <v>907</v>
      </c>
      <c r="E14388" t="s">
        <v>908</v>
      </c>
      <c r="F14388">
        <v>904.38</v>
      </c>
      <c r="G14388">
        <v>230405</v>
      </c>
      <c r="H14388">
        <v>4400</v>
      </c>
      <c r="I14388" t="s">
        <v>348</v>
      </c>
      <c r="J14388">
        <v>904.38</v>
      </c>
      <c r="K14388">
        <v>0</v>
      </c>
      <c r="L14388">
        <v>49501</v>
      </c>
      <c r="M14388" t="s">
        <v>177</v>
      </c>
      <c r="N14388" t="str">
        <f>"23008973    "</f>
        <v xml:space="preserve">23008973    </v>
      </c>
      <c r="O14388">
        <v>230419</v>
      </c>
    </row>
    <row r="14389" spans="1:15" x14ac:dyDescent="0.25">
      <c r="A14389" t="s">
        <v>16</v>
      </c>
      <c r="B14389" t="s">
        <v>3221</v>
      </c>
      <c r="C14389">
        <v>10803</v>
      </c>
      <c r="D14389" t="s">
        <v>907</v>
      </c>
      <c r="E14389" t="s">
        <v>908</v>
      </c>
      <c r="F14389">
        <v>963.71</v>
      </c>
      <c r="G14389">
        <v>230814</v>
      </c>
      <c r="H14389">
        <v>4400</v>
      </c>
      <c r="I14389" t="s">
        <v>348</v>
      </c>
      <c r="J14389">
        <v>1195</v>
      </c>
      <c r="K14389">
        <v>231.29</v>
      </c>
      <c r="L14389">
        <v>49501</v>
      </c>
      <c r="M14389" t="s">
        <v>177</v>
      </c>
      <c r="N14389" t="str">
        <f>"23020055    "</f>
        <v xml:space="preserve">23020055    </v>
      </c>
      <c r="O14389">
        <v>230823</v>
      </c>
    </row>
    <row r="14390" spans="1:15" x14ac:dyDescent="0.25">
      <c r="A14390" t="s">
        <v>16</v>
      </c>
      <c r="B14390" t="s">
        <v>3221</v>
      </c>
      <c r="C14390">
        <v>14795</v>
      </c>
      <c r="D14390" t="s">
        <v>907</v>
      </c>
      <c r="E14390" t="s">
        <v>908</v>
      </c>
      <c r="F14390">
        <v>792.39</v>
      </c>
      <c r="G14390">
        <v>231024</v>
      </c>
      <c r="H14390">
        <v>4400</v>
      </c>
      <c r="I14390" t="s">
        <v>348</v>
      </c>
      <c r="J14390">
        <v>792.39</v>
      </c>
      <c r="K14390">
        <v>0</v>
      </c>
      <c r="L14390">
        <v>49501</v>
      </c>
      <c r="M14390" t="s">
        <v>177</v>
      </c>
      <c r="N14390" t="str">
        <f>"23026733    "</f>
        <v xml:space="preserve">23026733    </v>
      </c>
      <c r="O14390">
        <v>231106</v>
      </c>
    </row>
    <row r="14391" spans="1:15" x14ac:dyDescent="0.25">
      <c r="A14391" t="s">
        <v>16</v>
      </c>
      <c r="B14391" t="s">
        <v>3221</v>
      </c>
      <c r="C14391">
        <v>14796</v>
      </c>
      <c r="D14391" t="s">
        <v>907</v>
      </c>
      <c r="E14391" t="s">
        <v>908</v>
      </c>
      <c r="F14391">
        <v>904.38</v>
      </c>
      <c r="G14391">
        <v>231024</v>
      </c>
      <c r="H14391">
        <v>4400</v>
      </c>
      <c r="I14391" t="s">
        <v>348</v>
      </c>
      <c r="J14391">
        <v>904.38</v>
      </c>
      <c r="K14391">
        <v>0</v>
      </c>
      <c r="L14391">
        <v>49501</v>
      </c>
      <c r="M14391" t="s">
        <v>177</v>
      </c>
      <c r="N14391" t="str">
        <f>"23026723    "</f>
        <v xml:space="preserve">23026723    </v>
      </c>
      <c r="O14391">
        <v>231106</v>
      </c>
    </row>
    <row r="14392" spans="1:15" x14ac:dyDescent="0.25">
      <c r="A14392" t="s">
        <v>16</v>
      </c>
      <c r="B14392" t="s">
        <v>3221</v>
      </c>
      <c r="C14392">
        <v>14803</v>
      </c>
      <c r="D14392" t="s">
        <v>907</v>
      </c>
      <c r="E14392" t="s">
        <v>908</v>
      </c>
      <c r="F14392">
        <v>2528.7800000000002</v>
      </c>
      <c r="G14392">
        <v>231027</v>
      </c>
      <c r="H14392">
        <v>4400</v>
      </c>
      <c r="I14392" t="s">
        <v>348</v>
      </c>
      <c r="J14392">
        <v>2528.7800000000002</v>
      </c>
      <c r="K14392">
        <v>0</v>
      </c>
      <c r="L14392">
        <v>49501</v>
      </c>
      <c r="M14392" t="s">
        <v>177</v>
      </c>
      <c r="N14392" t="str">
        <f>"23027895    "</f>
        <v xml:space="preserve">23027895    </v>
      </c>
      <c r="O14392">
        <v>231106</v>
      </c>
    </row>
    <row r="14393" spans="1:15" x14ac:dyDescent="0.25">
      <c r="A14393" t="s">
        <v>16</v>
      </c>
      <c r="B14393" t="s">
        <v>3221</v>
      </c>
      <c r="C14393">
        <v>15577</v>
      </c>
      <c r="D14393" t="s">
        <v>907</v>
      </c>
      <c r="E14393" t="s">
        <v>908</v>
      </c>
      <c r="F14393">
        <v>184.41</v>
      </c>
      <c r="G14393">
        <v>231103</v>
      </c>
      <c r="H14393">
        <v>4400</v>
      </c>
      <c r="I14393" t="s">
        <v>348</v>
      </c>
      <c r="J14393">
        <v>228.67</v>
      </c>
      <c r="K14393">
        <v>44.26</v>
      </c>
      <c r="L14393">
        <v>49501</v>
      </c>
      <c r="M14393" t="s">
        <v>177</v>
      </c>
      <c r="N14393" t="str">
        <f>"23028377    "</f>
        <v xml:space="preserve">23028377    </v>
      </c>
      <c r="O14393">
        <v>231114</v>
      </c>
    </row>
    <row r="14394" spans="1:15" x14ac:dyDescent="0.25">
      <c r="A14394" t="s">
        <v>16</v>
      </c>
      <c r="B14394" t="s">
        <v>3221</v>
      </c>
      <c r="C14394">
        <v>15584</v>
      </c>
      <c r="D14394" t="s">
        <v>907</v>
      </c>
      <c r="E14394" t="s">
        <v>908</v>
      </c>
      <c r="F14394">
        <v>146.34</v>
      </c>
      <c r="G14394">
        <v>231107</v>
      </c>
      <c r="H14394">
        <v>4400</v>
      </c>
      <c r="I14394" t="s">
        <v>348</v>
      </c>
      <c r="J14394">
        <v>181.46</v>
      </c>
      <c r="K14394">
        <v>35.119999999999997</v>
      </c>
      <c r="L14394">
        <v>49501</v>
      </c>
      <c r="M14394" t="s">
        <v>177</v>
      </c>
      <c r="N14394" t="str">
        <f>"23028558    "</f>
        <v xml:space="preserve">23028558    </v>
      </c>
      <c r="O14394">
        <v>231114</v>
      </c>
    </row>
    <row r="14395" spans="1:15" x14ac:dyDescent="0.25">
      <c r="A14395" t="s">
        <v>16</v>
      </c>
      <c r="B14395" t="s">
        <v>3221</v>
      </c>
      <c r="C14395">
        <v>15640</v>
      </c>
      <c r="D14395" t="s">
        <v>907</v>
      </c>
      <c r="E14395" t="s">
        <v>908</v>
      </c>
      <c r="F14395">
        <v>496</v>
      </c>
      <c r="G14395">
        <v>231107</v>
      </c>
      <c r="H14395">
        <v>4400</v>
      </c>
      <c r="I14395" t="s">
        <v>348</v>
      </c>
      <c r="J14395">
        <v>496</v>
      </c>
      <c r="K14395">
        <v>0</v>
      </c>
      <c r="L14395">
        <v>49501</v>
      </c>
      <c r="M14395" t="s">
        <v>177</v>
      </c>
      <c r="N14395" t="str">
        <f>"23028565    "</f>
        <v xml:space="preserve">23028565    </v>
      </c>
      <c r="O14395">
        <v>231114</v>
      </c>
    </row>
    <row r="14396" spans="1:15" x14ac:dyDescent="0.25">
      <c r="A14396" t="s">
        <v>16</v>
      </c>
      <c r="B14396" t="s">
        <v>3221</v>
      </c>
      <c r="C14396">
        <v>15641</v>
      </c>
      <c r="D14396" t="s">
        <v>907</v>
      </c>
      <c r="E14396" t="s">
        <v>908</v>
      </c>
      <c r="F14396">
        <v>153</v>
      </c>
      <c r="G14396">
        <v>231107</v>
      </c>
      <c r="H14396">
        <v>4400</v>
      </c>
      <c r="I14396" t="s">
        <v>348</v>
      </c>
      <c r="J14396">
        <v>153</v>
      </c>
      <c r="K14396">
        <v>0</v>
      </c>
      <c r="L14396">
        <v>49501</v>
      </c>
      <c r="M14396" t="s">
        <v>177</v>
      </c>
      <c r="N14396" t="str">
        <f>"23028559    "</f>
        <v xml:space="preserve">23028559    </v>
      </c>
      <c r="O14396">
        <v>231114</v>
      </c>
    </row>
    <row r="14397" spans="1:15" x14ac:dyDescent="0.25">
      <c r="A14397" t="s">
        <v>16</v>
      </c>
      <c r="B14397" t="s">
        <v>3221</v>
      </c>
      <c r="C14397">
        <v>10005</v>
      </c>
      <c r="D14397" t="s">
        <v>907</v>
      </c>
      <c r="E14397" t="s">
        <v>908</v>
      </c>
      <c r="F14397">
        <v>639.02</v>
      </c>
      <c r="G14397">
        <v>230726</v>
      </c>
      <c r="H14397">
        <v>4390</v>
      </c>
      <c r="I14397" t="s">
        <v>98</v>
      </c>
      <c r="J14397">
        <v>792.39</v>
      </c>
      <c r="K14397">
        <v>153.37</v>
      </c>
      <c r="L14397">
        <v>49501</v>
      </c>
      <c r="M14397" t="s">
        <v>177</v>
      </c>
      <c r="N14397" t="str">
        <f>"23018590    "</f>
        <v xml:space="preserve">23018590    </v>
      </c>
      <c r="O14397">
        <v>230807</v>
      </c>
    </row>
    <row r="14398" spans="1:15" x14ac:dyDescent="0.25">
      <c r="A14398" t="s">
        <v>16</v>
      </c>
      <c r="B14398" t="s">
        <v>3221</v>
      </c>
      <c r="C14398">
        <v>10008</v>
      </c>
      <c r="D14398" t="s">
        <v>907</v>
      </c>
      <c r="E14398" t="s">
        <v>908</v>
      </c>
      <c r="F14398">
        <v>904.38</v>
      </c>
      <c r="G14398">
        <v>230726</v>
      </c>
      <c r="H14398">
        <v>4390</v>
      </c>
      <c r="I14398" t="s">
        <v>98</v>
      </c>
      <c r="J14398">
        <v>904.38</v>
      </c>
      <c r="K14398">
        <v>0</v>
      </c>
      <c r="L14398">
        <v>49501</v>
      </c>
      <c r="M14398" t="s">
        <v>177</v>
      </c>
      <c r="N14398" t="str">
        <f>"23018580    "</f>
        <v xml:space="preserve">23018580    </v>
      </c>
      <c r="O14398">
        <v>230807</v>
      </c>
    </row>
    <row r="14399" spans="1:15" x14ac:dyDescent="0.25">
      <c r="A14399" t="s">
        <v>16</v>
      </c>
      <c r="B14399" t="s">
        <v>3221</v>
      </c>
      <c r="C14399">
        <v>140</v>
      </c>
      <c r="D14399" t="s">
        <v>207</v>
      </c>
      <c r="E14399" t="s">
        <v>208</v>
      </c>
      <c r="F14399">
        <v>222</v>
      </c>
      <c r="G14399">
        <v>230105</v>
      </c>
      <c r="H14399">
        <v>4343</v>
      </c>
      <c r="I14399" t="s">
        <v>91</v>
      </c>
      <c r="J14399">
        <v>275.27999999999997</v>
      </c>
      <c r="K14399">
        <v>53.28</v>
      </c>
      <c r="L14399">
        <v>66756</v>
      </c>
      <c r="M14399" t="s">
        <v>209</v>
      </c>
      <c r="N14399" t="str">
        <f>"487667      "</f>
        <v xml:space="preserve">487667      </v>
      </c>
      <c r="O14399">
        <v>230112</v>
      </c>
    </row>
    <row r="14400" spans="1:15" x14ac:dyDescent="0.25">
      <c r="A14400" t="s">
        <v>16</v>
      </c>
      <c r="B14400" t="s">
        <v>3221</v>
      </c>
      <c r="C14400">
        <v>14693</v>
      </c>
      <c r="D14400" t="s">
        <v>2790</v>
      </c>
      <c r="E14400" t="s">
        <v>2791</v>
      </c>
      <c r="F14400">
        <v>40</v>
      </c>
      <c r="G14400">
        <v>231023</v>
      </c>
      <c r="H14400">
        <v>4410</v>
      </c>
      <c r="I14400" t="s">
        <v>517</v>
      </c>
      <c r="J14400">
        <v>40</v>
      </c>
      <c r="K14400">
        <v>0</v>
      </c>
      <c r="L14400">
        <v>17131</v>
      </c>
      <c r="M14400" t="s">
        <v>64</v>
      </c>
      <c r="N14400" t="str">
        <f>"486182      "</f>
        <v xml:space="preserve">486182      </v>
      </c>
      <c r="O14400">
        <v>231101</v>
      </c>
    </row>
    <row r="14401" spans="1:15" x14ac:dyDescent="0.25">
      <c r="A14401" t="s">
        <v>16</v>
      </c>
      <c r="B14401" t="s">
        <v>3221</v>
      </c>
      <c r="C14401">
        <v>14693</v>
      </c>
      <c r="D14401" t="s">
        <v>2790</v>
      </c>
      <c r="E14401" t="s">
        <v>2791</v>
      </c>
      <c r="F14401">
        <v>396.36</v>
      </c>
      <c r="G14401">
        <v>231023</v>
      </c>
      <c r="H14401">
        <v>4410</v>
      </c>
      <c r="I14401" t="s">
        <v>517</v>
      </c>
      <c r="J14401">
        <v>436</v>
      </c>
      <c r="K14401">
        <v>39.64</v>
      </c>
      <c r="L14401">
        <v>17131</v>
      </c>
      <c r="M14401" t="s">
        <v>64</v>
      </c>
      <c r="N14401" t="str">
        <f>"486182      "</f>
        <v xml:space="preserve">486182      </v>
      </c>
      <c r="O14401">
        <v>231101</v>
      </c>
    </row>
    <row r="14402" spans="1:15" x14ac:dyDescent="0.25">
      <c r="A14402" t="s">
        <v>16</v>
      </c>
      <c r="B14402" t="s">
        <v>3221</v>
      </c>
      <c r="C14402">
        <v>529</v>
      </c>
      <c r="D14402" t="s">
        <v>605</v>
      </c>
      <c r="E14402" t="s">
        <v>606</v>
      </c>
      <c r="F14402">
        <v>44.2</v>
      </c>
      <c r="G14402">
        <v>230120</v>
      </c>
      <c r="H14402">
        <v>4520</v>
      </c>
      <c r="I14402" t="s">
        <v>254</v>
      </c>
      <c r="J14402">
        <v>54.81</v>
      </c>
      <c r="K14402">
        <v>10.61</v>
      </c>
      <c r="L14402">
        <v>16431</v>
      </c>
      <c r="M14402" t="s">
        <v>231</v>
      </c>
      <c r="N14402" t="str">
        <f>"91082106    "</f>
        <v xml:space="preserve">91082106    </v>
      </c>
      <c r="O14402">
        <v>230124</v>
      </c>
    </row>
    <row r="14403" spans="1:15" x14ac:dyDescent="0.25">
      <c r="A14403" t="s">
        <v>16</v>
      </c>
      <c r="B14403" t="s">
        <v>3221</v>
      </c>
      <c r="C14403">
        <v>570</v>
      </c>
      <c r="D14403" t="s">
        <v>605</v>
      </c>
      <c r="E14403" t="s">
        <v>606</v>
      </c>
      <c r="F14403">
        <v>179.14</v>
      </c>
      <c r="G14403">
        <v>230123</v>
      </c>
      <c r="H14403">
        <v>4520</v>
      </c>
      <c r="I14403" t="s">
        <v>254</v>
      </c>
      <c r="J14403">
        <v>222.13</v>
      </c>
      <c r="K14403">
        <v>42.99</v>
      </c>
      <c r="L14403">
        <v>16431</v>
      </c>
      <c r="M14403" t="s">
        <v>231</v>
      </c>
      <c r="N14403" t="str">
        <f>"91082277    "</f>
        <v xml:space="preserve">91082277    </v>
      </c>
      <c r="O14403">
        <v>230124</v>
      </c>
    </row>
    <row r="14404" spans="1:15" x14ac:dyDescent="0.25">
      <c r="A14404" t="s">
        <v>16</v>
      </c>
      <c r="B14404" t="s">
        <v>3221</v>
      </c>
      <c r="C14404">
        <v>10964</v>
      </c>
      <c r="D14404" t="s">
        <v>2433</v>
      </c>
      <c r="E14404" t="s">
        <v>2434</v>
      </c>
      <c r="F14404">
        <v>1616.1</v>
      </c>
      <c r="G14404">
        <v>230824</v>
      </c>
      <c r="H14404">
        <v>4600</v>
      </c>
      <c r="I14404" t="s">
        <v>105</v>
      </c>
      <c r="J14404">
        <v>2003.96</v>
      </c>
      <c r="K14404">
        <v>387.86</v>
      </c>
      <c r="L14404">
        <v>17526</v>
      </c>
      <c r="M14404" t="s">
        <v>437</v>
      </c>
      <c r="N14404" t="str">
        <f>"275899      "</f>
        <v xml:space="preserve">275899      </v>
      </c>
      <c r="O14404">
        <v>230825</v>
      </c>
    </row>
    <row r="14405" spans="1:15" x14ac:dyDescent="0.25">
      <c r="A14405" t="s">
        <v>16</v>
      </c>
      <c r="B14405" t="s">
        <v>3221</v>
      </c>
      <c r="C14405">
        <v>11666</v>
      </c>
      <c r="D14405" t="s">
        <v>2433</v>
      </c>
      <c r="E14405" t="s">
        <v>2434</v>
      </c>
      <c r="F14405">
        <v>73.44</v>
      </c>
      <c r="G14405">
        <v>230831</v>
      </c>
      <c r="H14405">
        <v>4600</v>
      </c>
      <c r="I14405" t="s">
        <v>105</v>
      </c>
      <c r="J14405">
        <v>91.07</v>
      </c>
      <c r="K14405">
        <v>17.63</v>
      </c>
      <c r="L14405">
        <v>17526</v>
      </c>
      <c r="M14405" t="s">
        <v>437</v>
      </c>
      <c r="N14405" t="str">
        <f>"276083      "</f>
        <v xml:space="preserve">276083      </v>
      </c>
      <c r="O14405">
        <v>230908</v>
      </c>
    </row>
    <row r="14406" spans="1:15" x14ac:dyDescent="0.25">
      <c r="A14406" t="s">
        <v>16</v>
      </c>
      <c r="B14406" t="s">
        <v>3221</v>
      </c>
      <c r="C14406">
        <v>11684</v>
      </c>
      <c r="D14406" t="s">
        <v>2433</v>
      </c>
      <c r="E14406" t="s">
        <v>2434</v>
      </c>
      <c r="F14406">
        <v>284.95999999999998</v>
      </c>
      <c r="G14406">
        <v>230906</v>
      </c>
      <c r="H14406">
        <v>4600</v>
      </c>
      <c r="I14406" t="s">
        <v>105</v>
      </c>
      <c r="J14406">
        <v>353.35</v>
      </c>
      <c r="K14406">
        <v>68.39</v>
      </c>
      <c r="L14406">
        <v>17526</v>
      </c>
      <c r="M14406" t="s">
        <v>437</v>
      </c>
      <c r="N14406" t="str">
        <f>"276260      "</f>
        <v xml:space="preserve">276260      </v>
      </c>
      <c r="O14406">
        <v>230908</v>
      </c>
    </row>
    <row r="14407" spans="1:15" x14ac:dyDescent="0.25">
      <c r="A14407" t="s">
        <v>16</v>
      </c>
      <c r="B14407" t="s">
        <v>3221</v>
      </c>
      <c r="C14407">
        <v>12344</v>
      </c>
      <c r="D14407" t="s">
        <v>2433</v>
      </c>
      <c r="E14407" t="s">
        <v>2434</v>
      </c>
      <c r="F14407">
        <v>358.55</v>
      </c>
      <c r="G14407">
        <v>230914</v>
      </c>
      <c r="H14407">
        <v>4600</v>
      </c>
      <c r="I14407" t="s">
        <v>105</v>
      </c>
      <c r="J14407">
        <v>444.6</v>
      </c>
      <c r="K14407">
        <v>86.05</v>
      </c>
      <c r="L14407">
        <v>17527</v>
      </c>
      <c r="M14407" t="s">
        <v>422</v>
      </c>
      <c r="N14407" t="str">
        <f>"276505      "</f>
        <v xml:space="preserve">276505      </v>
      </c>
      <c r="O14407">
        <v>230918</v>
      </c>
    </row>
    <row r="14408" spans="1:15" x14ac:dyDescent="0.25">
      <c r="A14408" t="s">
        <v>16</v>
      </c>
      <c r="B14408" t="s">
        <v>3221</v>
      </c>
      <c r="C14408">
        <v>12345</v>
      </c>
      <c r="D14408" t="s">
        <v>2433</v>
      </c>
      <c r="E14408" t="s">
        <v>2434</v>
      </c>
      <c r="F14408">
        <v>22.18</v>
      </c>
      <c r="G14408">
        <v>230914</v>
      </c>
      <c r="H14408">
        <v>4600</v>
      </c>
      <c r="I14408" t="s">
        <v>105</v>
      </c>
      <c r="J14408">
        <v>27.5</v>
      </c>
      <c r="K14408">
        <v>5.32</v>
      </c>
      <c r="L14408">
        <v>17527</v>
      </c>
      <c r="M14408" t="s">
        <v>422</v>
      </c>
      <c r="N14408" t="str">
        <f>"276506      "</f>
        <v xml:space="preserve">276506      </v>
      </c>
      <c r="O14408">
        <v>230918</v>
      </c>
    </row>
    <row r="14409" spans="1:15" x14ac:dyDescent="0.25">
      <c r="A14409" t="s">
        <v>16</v>
      </c>
      <c r="B14409" t="s">
        <v>3221</v>
      </c>
      <c r="C14409">
        <v>12346</v>
      </c>
      <c r="D14409" t="s">
        <v>2433</v>
      </c>
      <c r="E14409" t="s">
        <v>2434</v>
      </c>
      <c r="F14409">
        <v>13.38</v>
      </c>
      <c r="G14409">
        <v>230914</v>
      </c>
      <c r="H14409">
        <v>4600</v>
      </c>
      <c r="I14409" t="s">
        <v>105</v>
      </c>
      <c r="J14409">
        <v>16.59</v>
      </c>
      <c r="K14409">
        <v>3.21</v>
      </c>
      <c r="L14409">
        <v>17527</v>
      </c>
      <c r="M14409" t="s">
        <v>422</v>
      </c>
      <c r="N14409" t="str">
        <f>"276513      "</f>
        <v xml:space="preserve">276513      </v>
      </c>
      <c r="O14409">
        <v>230918</v>
      </c>
    </row>
    <row r="14410" spans="1:15" x14ac:dyDescent="0.25">
      <c r="A14410" t="s">
        <v>16</v>
      </c>
      <c r="B14410" t="s">
        <v>3221</v>
      </c>
      <c r="C14410">
        <v>15930</v>
      </c>
      <c r="D14410" t="s">
        <v>2433</v>
      </c>
      <c r="E14410" t="s">
        <v>2434</v>
      </c>
      <c r="F14410">
        <v>88.36</v>
      </c>
      <c r="G14410">
        <v>231113</v>
      </c>
      <c r="H14410">
        <v>4600</v>
      </c>
      <c r="I14410" t="s">
        <v>105</v>
      </c>
      <c r="J14410">
        <v>109.57</v>
      </c>
      <c r="K14410">
        <v>21.21</v>
      </c>
      <c r="L14410">
        <v>17526</v>
      </c>
      <c r="M14410" t="s">
        <v>437</v>
      </c>
      <c r="N14410" t="str">
        <f>"278582      "</f>
        <v xml:space="preserve">278582      </v>
      </c>
      <c r="O14410">
        <v>231122</v>
      </c>
    </row>
    <row r="14411" spans="1:15" x14ac:dyDescent="0.25">
      <c r="A14411" t="s">
        <v>16</v>
      </c>
      <c r="B14411" t="s">
        <v>3221</v>
      </c>
      <c r="C14411">
        <v>15930</v>
      </c>
      <c r="D14411" t="s">
        <v>2433</v>
      </c>
      <c r="E14411" t="s">
        <v>2434</v>
      </c>
      <c r="F14411">
        <v>14.52</v>
      </c>
      <c r="G14411">
        <v>231113</v>
      </c>
      <c r="H14411">
        <v>4364</v>
      </c>
      <c r="I14411" t="s">
        <v>296</v>
      </c>
      <c r="J14411">
        <v>18</v>
      </c>
      <c r="K14411">
        <v>3.48</v>
      </c>
      <c r="L14411">
        <v>17526</v>
      </c>
      <c r="M14411" t="s">
        <v>437</v>
      </c>
      <c r="N14411" t="str">
        <f>"278582      "</f>
        <v xml:space="preserve">278582      </v>
      </c>
      <c r="O14411">
        <v>231122</v>
      </c>
    </row>
    <row r="14412" spans="1:15" x14ac:dyDescent="0.25">
      <c r="A14412" t="s">
        <v>16</v>
      </c>
      <c r="B14412" t="s">
        <v>3221</v>
      </c>
      <c r="C14412">
        <v>101</v>
      </c>
      <c r="D14412" t="s">
        <v>118</v>
      </c>
      <c r="E14412" t="s">
        <v>119</v>
      </c>
      <c r="F14412">
        <v>1193.03</v>
      </c>
      <c r="G14412">
        <v>230102</v>
      </c>
      <c r="H14412">
        <v>4343</v>
      </c>
      <c r="I14412" t="s">
        <v>91</v>
      </c>
      <c r="J14412">
        <v>1479.36</v>
      </c>
      <c r="K14412">
        <v>286.33</v>
      </c>
      <c r="L14412">
        <v>11801</v>
      </c>
      <c r="M14412" t="s">
        <v>92</v>
      </c>
      <c r="N14412" t="str">
        <f>"16076       "</f>
        <v xml:space="preserve">16076       </v>
      </c>
      <c r="O14412">
        <v>230110</v>
      </c>
    </row>
    <row r="14413" spans="1:15" x14ac:dyDescent="0.25">
      <c r="A14413" t="s">
        <v>16</v>
      </c>
      <c r="B14413" t="s">
        <v>3221</v>
      </c>
      <c r="C14413">
        <v>3447</v>
      </c>
      <c r="D14413" t="s">
        <v>118</v>
      </c>
      <c r="E14413" t="s">
        <v>119</v>
      </c>
      <c r="F14413">
        <v>1193.03</v>
      </c>
      <c r="G14413">
        <v>230313</v>
      </c>
      <c r="H14413">
        <v>4343</v>
      </c>
      <c r="I14413" t="s">
        <v>91</v>
      </c>
      <c r="J14413">
        <v>1479.36</v>
      </c>
      <c r="K14413">
        <v>286.33</v>
      </c>
      <c r="L14413">
        <v>11801</v>
      </c>
      <c r="M14413" t="s">
        <v>92</v>
      </c>
      <c r="N14413" t="str">
        <f>"16358       "</f>
        <v xml:space="preserve">16358       </v>
      </c>
      <c r="O14413">
        <v>230316</v>
      </c>
    </row>
    <row r="14414" spans="1:15" x14ac:dyDescent="0.25">
      <c r="A14414" t="s">
        <v>16</v>
      </c>
      <c r="B14414" t="s">
        <v>3221</v>
      </c>
      <c r="C14414">
        <v>8883</v>
      </c>
      <c r="D14414" t="s">
        <v>118</v>
      </c>
      <c r="E14414" t="s">
        <v>119</v>
      </c>
      <c r="F14414">
        <v>1193.03</v>
      </c>
      <c r="G14414">
        <v>230614</v>
      </c>
      <c r="H14414">
        <v>4343</v>
      </c>
      <c r="I14414" t="s">
        <v>91</v>
      </c>
      <c r="J14414">
        <v>1479.36</v>
      </c>
      <c r="K14414">
        <v>286.33</v>
      </c>
      <c r="L14414">
        <v>11801</v>
      </c>
      <c r="M14414" t="s">
        <v>92</v>
      </c>
      <c r="N14414" t="str">
        <f>"16802       "</f>
        <v xml:space="preserve">16802       </v>
      </c>
      <c r="O14414">
        <v>230619</v>
      </c>
    </row>
    <row r="14415" spans="1:15" x14ac:dyDescent="0.25">
      <c r="A14415" t="s">
        <v>16</v>
      </c>
      <c r="B14415" t="s">
        <v>3221</v>
      </c>
      <c r="C14415">
        <v>9414</v>
      </c>
      <c r="D14415" t="s">
        <v>118</v>
      </c>
      <c r="E14415" t="s">
        <v>119</v>
      </c>
      <c r="F14415">
        <v>215.25</v>
      </c>
      <c r="G14415">
        <v>230704</v>
      </c>
      <c r="H14415">
        <v>4343</v>
      </c>
      <c r="I14415" t="s">
        <v>91</v>
      </c>
      <c r="J14415">
        <v>266.91000000000003</v>
      </c>
      <c r="K14415">
        <v>51.66</v>
      </c>
      <c r="L14415">
        <v>11301</v>
      </c>
      <c r="M14415" t="s">
        <v>29</v>
      </c>
      <c r="N14415" t="str">
        <f>"16938       "</f>
        <v xml:space="preserve">16938       </v>
      </c>
      <c r="O14415">
        <v>230710</v>
      </c>
    </row>
    <row r="14416" spans="1:15" x14ac:dyDescent="0.25">
      <c r="A14416" t="s">
        <v>16</v>
      </c>
      <c r="B14416" t="s">
        <v>3221</v>
      </c>
      <c r="C14416">
        <v>12362</v>
      </c>
      <c r="D14416" t="s">
        <v>118</v>
      </c>
      <c r="E14416" t="s">
        <v>119</v>
      </c>
      <c r="F14416">
        <v>1193.03</v>
      </c>
      <c r="G14416">
        <v>230913</v>
      </c>
      <c r="H14416">
        <v>4343</v>
      </c>
      <c r="I14416" t="s">
        <v>91</v>
      </c>
      <c r="J14416">
        <v>1479.36</v>
      </c>
      <c r="K14416">
        <v>286.33</v>
      </c>
      <c r="L14416">
        <v>11801</v>
      </c>
      <c r="M14416" t="s">
        <v>92</v>
      </c>
      <c r="N14416" t="str">
        <f>"17139       "</f>
        <v xml:space="preserve">17139       </v>
      </c>
      <c r="O14416">
        <v>230918</v>
      </c>
    </row>
    <row r="14417" spans="1:15" x14ac:dyDescent="0.25">
      <c r="A14417" t="s">
        <v>16</v>
      </c>
      <c r="B14417" t="s">
        <v>3221</v>
      </c>
      <c r="C14417">
        <v>5018</v>
      </c>
      <c r="D14417" t="s">
        <v>118</v>
      </c>
      <c r="E14417" t="s">
        <v>119</v>
      </c>
      <c r="F14417">
        <v>61.5</v>
      </c>
      <c r="G14417">
        <v>230411</v>
      </c>
      <c r="H14417">
        <v>4362</v>
      </c>
      <c r="I14417" t="s">
        <v>79</v>
      </c>
      <c r="J14417">
        <v>76.260000000000005</v>
      </c>
      <c r="K14417">
        <v>14.76</v>
      </c>
      <c r="L14417">
        <v>11301</v>
      </c>
      <c r="M14417" t="s">
        <v>29</v>
      </c>
      <c r="N14417" t="str">
        <f>"16536       "</f>
        <v xml:space="preserve">16536       </v>
      </c>
      <c r="O14417">
        <v>230417</v>
      </c>
    </row>
    <row r="14418" spans="1:15" x14ac:dyDescent="0.25">
      <c r="A14418" t="s">
        <v>16</v>
      </c>
      <c r="B14418" t="s">
        <v>3221</v>
      </c>
      <c r="C14418">
        <v>14483</v>
      </c>
      <c r="D14418" t="s">
        <v>118</v>
      </c>
      <c r="E14418" t="s">
        <v>119</v>
      </c>
      <c r="F14418">
        <v>5722.6</v>
      </c>
      <c r="G14418">
        <v>231024</v>
      </c>
      <c r="H14418">
        <v>4362</v>
      </c>
      <c r="I14418" t="s">
        <v>79</v>
      </c>
      <c r="J14418">
        <v>7096.02</v>
      </c>
      <c r="K14418">
        <v>1373.42</v>
      </c>
      <c r="L14418">
        <v>11301</v>
      </c>
      <c r="M14418" t="s">
        <v>29</v>
      </c>
      <c r="N14418" t="str">
        <f>"17347       "</f>
        <v xml:space="preserve">17347       </v>
      </c>
      <c r="O14418">
        <v>231030</v>
      </c>
    </row>
    <row r="14419" spans="1:15" x14ac:dyDescent="0.25">
      <c r="A14419" t="s">
        <v>16</v>
      </c>
      <c r="B14419" t="s">
        <v>3221</v>
      </c>
      <c r="C14419">
        <v>17131</v>
      </c>
      <c r="D14419" t="s">
        <v>118</v>
      </c>
      <c r="E14419" t="s">
        <v>119</v>
      </c>
      <c r="F14419">
        <v>5722.6</v>
      </c>
      <c r="G14419">
        <v>231205</v>
      </c>
      <c r="H14419">
        <v>4362</v>
      </c>
      <c r="I14419" t="s">
        <v>79</v>
      </c>
      <c r="J14419">
        <v>7096.02</v>
      </c>
      <c r="K14419">
        <v>1373.42</v>
      </c>
      <c r="L14419">
        <v>11301</v>
      </c>
      <c r="M14419" t="s">
        <v>29</v>
      </c>
      <c r="N14419" t="str">
        <f>"17348       "</f>
        <v xml:space="preserve">17348       </v>
      </c>
      <c r="O14419">
        <v>231212</v>
      </c>
    </row>
    <row r="14420" spans="1:15" x14ac:dyDescent="0.25">
      <c r="A14420" t="s">
        <v>16</v>
      </c>
      <c r="B14420" t="s">
        <v>3221</v>
      </c>
      <c r="C14420">
        <v>17609</v>
      </c>
      <c r="D14420" t="s">
        <v>118</v>
      </c>
      <c r="E14420" t="s">
        <v>119</v>
      </c>
      <c r="F14420">
        <v>11445.2</v>
      </c>
      <c r="G14420">
        <v>231213</v>
      </c>
      <c r="H14420">
        <v>4362</v>
      </c>
      <c r="I14420" t="s">
        <v>79</v>
      </c>
      <c r="J14420">
        <v>14192.05</v>
      </c>
      <c r="K14420">
        <v>2746.85</v>
      </c>
      <c r="L14420">
        <v>11301</v>
      </c>
      <c r="M14420" t="s">
        <v>29</v>
      </c>
      <c r="N14420" t="str">
        <f>"17350       "</f>
        <v xml:space="preserve">17350       </v>
      </c>
      <c r="O14420">
        <v>231215</v>
      </c>
    </row>
    <row r="14421" spans="1:15" x14ac:dyDescent="0.25">
      <c r="A14421" t="s">
        <v>16</v>
      </c>
      <c r="B14421" t="s">
        <v>3221</v>
      </c>
      <c r="C14421">
        <v>18220</v>
      </c>
      <c r="D14421" t="s">
        <v>118</v>
      </c>
      <c r="E14421" t="s">
        <v>119</v>
      </c>
      <c r="F14421">
        <v>2952</v>
      </c>
      <c r="G14421">
        <v>231220</v>
      </c>
      <c r="H14421">
        <v>4362</v>
      </c>
      <c r="I14421" t="s">
        <v>79</v>
      </c>
      <c r="J14421">
        <v>3660.48</v>
      </c>
      <c r="K14421">
        <v>708.48</v>
      </c>
      <c r="L14421">
        <v>11301</v>
      </c>
      <c r="M14421" t="s">
        <v>29</v>
      </c>
      <c r="N14421" t="str">
        <f>"17372       "</f>
        <v xml:space="preserve">17372       </v>
      </c>
      <c r="O14421">
        <v>240102</v>
      </c>
    </row>
    <row r="14422" spans="1:15" x14ac:dyDescent="0.25">
      <c r="A14422" t="s">
        <v>16</v>
      </c>
      <c r="B14422" t="s">
        <v>3221</v>
      </c>
      <c r="C14422">
        <v>18224</v>
      </c>
      <c r="D14422" t="s">
        <v>118</v>
      </c>
      <c r="E14422" t="s">
        <v>119</v>
      </c>
      <c r="F14422">
        <v>5722.6</v>
      </c>
      <c r="G14422">
        <v>231220</v>
      </c>
      <c r="H14422">
        <v>4362</v>
      </c>
      <c r="I14422" t="s">
        <v>79</v>
      </c>
      <c r="J14422">
        <v>7096.02</v>
      </c>
      <c r="K14422">
        <v>1373.42</v>
      </c>
      <c r="L14422">
        <v>11301</v>
      </c>
      <c r="M14422" t="s">
        <v>29</v>
      </c>
      <c r="N14422" t="str">
        <f>"17349       "</f>
        <v xml:space="preserve">17349       </v>
      </c>
      <c r="O14422">
        <v>240102</v>
      </c>
    </row>
    <row r="14423" spans="1:15" x14ac:dyDescent="0.25">
      <c r="A14423" t="s">
        <v>16</v>
      </c>
      <c r="B14423" t="s">
        <v>3221</v>
      </c>
      <c r="C14423">
        <v>5749</v>
      </c>
      <c r="D14423" t="s">
        <v>1896</v>
      </c>
      <c r="E14423" t="s">
        <v>1897</v>
      </c>
      <c r="F14423">
        <v>83.42</v>
      </c>
      <c r="G14423">
        <v>230428</v>
      </c>
      <c r="H14423">
        <v>4600</v>
      </c>
      <c r="I14423" t="s">
        <v>105</v>
      </c>
      <c r="J14423">
        <v>103.44</v>
      </c>
      <c r="K14423">
        <v>20.02</v>
      </c>
      <c r="L14423">
        <v>17524</v>
      </c>
      <c r="M14423" t="s">
        <v>452</v>
      </c>
      <c r="N14423" t="str">
        <f>"133259      "</f>
        <v xml:space="preserve">133259      </v>
      </c>
      <c r="O14423">
        <v>230502</v>
      </c>
    </row>
    <row r="14424" spans="1:15" x14ac:dyDescent="0.25">
      <c r="A14424" t="s">
        <v>16</v>
      </c>
      <c r="B14424" t="s">
        <v>3221</v>
      </c>
      <c r="C14424">
        <v>5749</v>
      </c>
      <c r="D14424" t="s">
        <v>1896</v>
      </c>
      <c r="E14424" t="s">
        <v>1897</v>
      </c>
      <c r="F14424">
        <v>83.42</v>
      </c>
      <c r="G14424">
        <v>230428</v>
      </c>
      <c r="H14424">
        <v>4600</v>
      </c>
      <c r="I14424" t="s">
        <v>105</v>
      </c>
      <c r="J14424">
        <v>103.44</v>
      </c>
      <c r="K14424">
        <v>20.02</v>
      </c>
      <c r="L14424">
        <v>17635</v>
      </c>
      <c r="M14424" t="s">
        <v>349</v>
      </c>
      <c r="N14424" t="str">
        <f>"133259      "</f>
        <v xml:space="preserve">133259      </v>
      </c>
      <c r="O14424">
        <v>230502</v>
      </c>
    </row>
    <row r="14425" spans="1:15" x14ac:dyDescent="0.25">
      <c r="A14425" t="s">
        <v>16</v>
      </c>
      <c r="B14425" t="s">
        <v>3221</v>
      </c>
      <c r="C14425">
        <v>2896</v>
      </c>
      <c r="D14425" t="s">
        <v>1490</v>
      </c>
      <c r="E14425" t="s">
        <v>1491</v>
      </c>
      <c r="F14425">
        <v>160</v>
      </c>
      <c r="G14425">
        <v>230304</v>
      </c>
      <c r="H14425">
        <v>4510</v>
      </c>
      <c r="I14425" t="s">
        <v>42</v>
      </c>
      <c r="J14425">
        <v>176</v>
      </c>
      <c r="K14425">
        <v>16</v>
      </c>
      <c r="L14425">
        <v>17533</v>
      </c>
      <c r="M14425" t="s">
        <v>990</v>
      </c>
      <c r="N14425" t="str">
        <f>"20121811    "</f>
        <v xml:space="preserve">20121811    </v>
      </c>
      <c r="O14425">
        <v>230308</v>
      </c>
    </row>
    <row r="14426" spans="1:15" x14ac:dyDescent="0.25">
      <c r="A14426" t="s">
        <v>16</v>
      </c>
      <c r="B14426" t="s">
        <v>3221</v>
      </c>
      <c r="C14426">
        <v>685</v>
      </c>
      <c r="D14426" t="s">
        <v>678</v>
      </c>
      <c r="E14426" t="s">
        <v>679</v>
      </c>
      <c r="F14426">
        <v>1300.2</v>
      </c>
      <c r="G14426">
        <v>230125</v>
      </c>
      <c r="H14426">
        <v>4600</v>
      </c>
      <c r="I14426" t="s">
        <v>105</v>
      </c>
      <c r="J14426">
        <v>1612.25</v>
      </c>
      <c r="K14426">
        <v>312.05</v>
      </c>
      <c r="L14426">
        <v>17523</v>
      </c>
      <c r="M14426" t="s">
        <v>134</v>
      </c>
      <c r="N14426" t="str">
        <f>"31872       "</f>
        <v xml:space="preserve">31872       </v>
      </c>
      <c r="O14426">
        <v>230126</v>
      </c>
    </row>
    <row r="14427" spans="1:15" x14ac:dyDescent="0.25">
      <c r="A14427" t="s">
        <v>16</v>
      </c>
      <c r="B14427" t="s">
        <v>3221</v>
      </c>
      <c r="C14427">
        <v>527</v>
      </c>
      <c r="D14427" t="s">
        <v>603</v>
      </c>
      <c r="E14427" t="s">
        <v>604</v>
      </c>
      <c r="F14427">
        <v>8.8000000000000007</v>
      </c>
      <c r="G14427">
        <v>230120</v>
      </c>
      <c r="H14427">
        <v>4410</v>
      </c>
      <c r="I14427" t="s">
        <v>517</v>
      </c>
      <c r="J14427">
        <v>8.8000000000000007</v>
      </c>
      <c r="K14427">
        <v>0</v>
      </c>
      <c r="L14427">
        <v>11908</v>
      </c>
      <c r="M14427" t="s">
        <v>598</v>
      </c>
      <c r="N14427" t="str">
        <f>"103598      "</f>
        <v xml:space="preserve">103598      </v>
      </c>
      <c r="O14427">
        <v>230124</v>
      </c>
    </row>
    <row r="14428" spans="1:15" x14ac:dyDescent="0.25">
      <c r="A14428" t="s">
        <v>16</v>
      </c>
      <c r="B14428" t="s">
        <v>3221</v>
      </c>
      <c r="C14428">
        <v>527</v>
      </c>
      <c r="D14428" t="s">
        <v>603</v>
      </c>
      <c r="E14428" t="s">
        <v>604</v>
      </c>
      <c r="F14428">
        <v>162.91</v>
      </c>
      <c r="G14428">
        <v>230120</v>
      </c>
      <c r="H14428">
        <v>4410</v>
      </c>
      <c r="I14428" t="s">
        <v>517</v>
      </c>
      <c r="J14428">
        <v>179.2</v>
      </c>
      <c r="K14428">
        <v>16.29</v>
      </c>
      <c r="L14428">
        <v>11908</v>
      </c>
      <c r="M14428" t="s">
        <v>598</v>
      </c>
      <c r="N14428" t="str">
        <f>"103598      "</f>
        <v xml:space="preserve">103598      </v>
      </c>
      <c r="O14428">
        <v>230124</v>
      </c>
    </row>
    <row r="14429" spans="1:15" x14ac:dyDescent="0.25">
      <c r="A14429" t="s">
        <v>16</v>
      </c>
      <c r="B14429" t="s">
        <v>3221</v>
      </c>
      <c r="C14429">
        <v>3045</v>
      </c>
      <c r="D14429" t="s">
        <v>1502</v>
      </c>
      <c r="E14429" t="s">
        <v>1503</v>
      </c>
      <c r="F14429">
        <v>25.4</v>
      </c>
      <c r="G14429">
        <v>230302</v>
      </c>
      <c r="H14429">
        <v>4364</v>
      </c>
      <c r="I14429" t="s">
        <v>296</v>
      </c>
      <c r="J14429">
        <v>31.5</v>
      </c>
      <c r="K14429">
        <v>6.1</v>
      </c>
      <c r="L14429">
        <v>11001</v>
      </c>
      <c r="M14429" t="s">
        <v>326</v>
      </c>
      <c r="N14429" t="str">
        <f>"8558        "</f>
        <v xml:space="preserve">8558        </v>
      </c>
      <c r="O14429">
        <v>230308</v>
      </c>
    </row>
    <row r="14430" spans="1:15" x14ac:dyDescent="0.25">
      <c r="A14430" t="s">
        <v>16</v>
      </c>
      <c r="B14430" t="s">
        <v>3221</v>
      </c>
      <c r="C14430">
        <v>5785</v>
      </c>
      <c r="D14430" t="s">
        <v>1502</v>
      </c>
      <c r="E14430" t="s">
        <v>1503</v>
      </c>
      <c r="F14430">
        <v>23.39</v>
      </c>
      <c r="G14430">
        <v>230427</v>
      </c>
      <c r="H14430">
        <v>4364</v>
      </c>
      <c r="I14430" t="s">
        <v>296</v>
      </c>
      <c r="J14430">
        <v>29</v>
      </c>
      <c r="K14430">
        <v>5.61</v>
      </c>
      <c r="L14430">
        <v>10001</v>
      </c>
      <c r="M14430" t="s">
        <v>1900</v>
      </c>
      <c r="N14430" t="str">
        <f>"8650        "</f>
        <v xml:space="preserve">8650        </v>
      </c>
      <c r="O14430">
        <v>230502</v>
      </c>
    </row>
    <row r="14431" spans="1:15" x14ac:dyDescent="0.25">
      <c r="A14431" t="s">
        <v>16</v>
      </c>
      <c r="B14431" t="s">
        <v>3221</v>
      </c>
      <c r="C14431">
        <v>5785</v>
      </c>
      <c r="D14431" t="s">
        <v>1502</v>
      </c>
      <c r="E14431" t="s">
        <v>1503</v>
      </c>
      <c r="F14431">
        <v>23.39</v>
      </c>
      <c r="G14431">
        <v>230427</v>
      </c>
      <c r="H14431">
        <v>4364</v>
      </c>
      <c r="I14431" t="s">
        <v>296</v>
      </c>
      <c r="J14431">
        <v>29</v>
      </c>
      <c r="K14431">
        <v>5.61</v>
      </c>
      <c r="L14431">
        <v>10002</v>
      </c>
      <c r="M14431" t="s">
        <v>1066</v>
      </c>
      <c r="N14431" t="str">
        <f>"8650        "</f>
        <v xml:space="preserve">8650        </v>
      </c>
      <c r="O14431">
        <v>230502</v>
      </c>
    </row>
    <row r="14432" spans="1:15" x14ac:dyDescent="0.25">
      <c r="A14432" t="s">
        <v>16</v>
      </c>
      <c r="B14432" t="s">
        <v>3221</v>
      </c>
      <c r="C14432">
        <v>5910</v>
      </c>
      <c r="D14432" t="s">
        <v>1502</v>
      </c>
      <c r="E14432" t="s">
        <v>1503</v>
      </c>
      <c r="F14432">
        <v>50.81</v>
      </c>
      <c r="G14432">
        <v>230502</v>
      </c>
      <c r="H14432">
        <v>4364</v>
      </c>
      <c r="I14432" t="s">
        <v>296</v>
      </c>
      <c r="J14432">
        <v>63</v>
      </c>
      <c r="K14432">
        <v>12.19</v>
      </c>
      <c r="L14432">
        <v>11001</v>
      </c>
      <c r="M14432" t="s">
        <v>326</v>
      </c>
      <c r="N14432" t="str">
        <f>"8657        "</f>
        <v xml:space="preserve">8657        </v>
      </c>
      <c r="O14432">
        <v>230503</v>
      </c>
    </row>
    <row r="14433" spans="1:15" x14ac:dyDescent="0.25">
      <c r="A14433" t="s">
        <v>16</v>
      </c>
      <c r="B14433" t="s">
        <v>3221</v>
      </c>
      <c r="C14433">
        <v>7585</v>
      </c>
      <c r="D14433" t="s">
        <v>1502</v>
      </c>
      <c r="E14433" t="s">
        <v>1503</v>
      </c>
      <c r="F14433">
        <v>75.400000000000006</v>
      </c>
      <c r="G14433">
        <v>230524</v>
      </c>
      <c r="H14433">
        <v>4364</v>
      </c>
      <c r="I14433" t="s">
        <v>296</v>
      </c>
      <c r="J14433">
        <v>93.5</v>
      </c>
      <c r="K14433">
        <v>18.100000000000001</v>
      </c>
      <c r="L14433">
        <v>10001</v>
      </c>
      <c r="M14433" t="s">
        <v>1900</v>
      </c>
      <c r="N14433" t="str">
        <f>"8692        "</f>
        <v xml:space="preserve">8692        </v>
      </c>
      <c r="O14433">
        <v>230601</v>
      </c>
    </row>
    <row r="14434" spans="1:15" x14ac:dyDescent="0.25">
      <c r="A14434" t="s">
        <v>16</v>
      </c>
      <c r="B14434" t="s">
        <v>3221</v>
      </c>
      <c r="C14434">
        <v>7585</v>
      </c>
      <c r="D14434" t="s">
        <v>1502</v>
      </c>
      <c r="E14434" t="s">
        <v>1503</v>
      </c>
      <c r="F14434">
        <v>35.479999999999997</v>
      </c>
      <c r="G14434">
        <v>230524</v>
      </c>
      <c r="H14434">
        <v>4364</v>
      </c>
      <c r="I14434" t="s">
        <v>296</v>
      </c>
      <c r="J14434">
        <v>44</v>
      </c>
      <c r="K14434">
        <v>8.52</v>
      </c>
      <c r="L14434">
        <v>10002</v>
      </c>
      <c r="M14434" t="s">
        <v>1066</v>
      </c>
      <c r="N14434" t="str">
        <f>"8692        "</f>
        <v xml:space="preserve">8692        </v>
      </c>
      <c r="O14434">
        <v>230601</v>
      </c>
    </row>
    <row r="14435" spans="1:15" x14ac:dyDescent="0.25">
      <c r="A14435" t="s">
        <v>16</v>
      </c>
      <c r="B14435" t="s">
        <v>3221</v>
      </c>
      <c r="C14435">
        <v>9519</v>
      </c>
      <c r="D14435" t="s">
        <v>1502</v>
      </c>
      <c r="E14435" t="s">
        <v>1503</v>
      </c>
      <c r="F14435">
        <v>46.77</v>
      </c>
      <c r="G14435">
        <v>230704</v>
      </c>
      <c r="H14435">
        <v>4364</v>
      </c>
      <c r="I14435" t="s">
        <v>296</v>
      </c>
      <c r="J14435">
        <v>58</v>
      </c>
      <c r="K14435">
        <v>11.23</v>
      </c>
      <c r="L14435">
        <v>11001</v>
      </c>
      <c r="M14435" t="s">
        <v>326</v>
      </c>
      <c r="N14435" t="str">
        <f>"8780        "</f>
        <v xml:space="preserve">8780        </v>
      </c>
      <c r="O14435">
        <v>230713</v>
      </c>
    </row>
    <row r="14436" spans="1:15" x14ac:dyDescent="0.25">
      <c r="A14436" t="s">
        <v>16</v>
      </c>
      <c r="B14436" t="s">
        <v>3221</v>
      </c>
      <c r="C14436">
        <v>3223</v>
      </c>
      <c r="D14436" t="s">
        <v>1532</v>
      </c>
      <c r="E14436" t="s">
        <v>1533</v>
      </c>
      <c r="F14436">
        <v>9.09</v>
      </c>
      <c r="G14436">
        <v>230303</v>
      </c>
      <c r="H14436">
        <v>4860</v>
      </c>
      <c r="I14436" t="s">
        <v>28</v>
      </c>
      <c r="J14436">
        <v>10</v>
      </c>
      <c r="K14436">
        <v>0.91</v>
      </c>
      <c r="L14436">
        <v>56558</v>
      </c>
      <c r="M14436" t="s">
        <v>217</v>
      </c>
      <c r="N14436" t="str">
        <f>"148         "</f>
        <v xml:space="preserve">148         </v>
      </c>
      <c r="O14436">
        <v>230310</v>
      </c>
    </row>
    <row r="14437" spans="1:15" x14ac:dyDescent="0.25">
      <c r="A14437" t="s">
        <v>16</v>
      </c>
      <c r="B14437" t="s">
        <v>3221</v>
      </c>
      <c r="C14437">
        <v>3223</v>
      </c>
      <c r="D14437" t="s">
        <v>1532</v>
      </c>
      <c r="E14437" t="s">
        <v>1533</v>
      </c>
      <c r="F14437">
        <v>36.36</v>
      </c>
      <c r="G14437">
        <v>230303</v>
      </c>
      <c r="H14437">
        <v>4860</v>
      </c>
      <c r="I14437" t="s">
        <v>28</v>
      </c>
      <c r="J14437">
        <v>40</v>
      </c>
      <c r="K14437">
        <v>3.64</v>
      </c>
      <c r="L14437">
        <v>56560</v>
      </c>
      <c r="M14437" t="s">
        <v>654</v>
      </c>
      <c r="N14437" t="str">
        <f>"148         "</f>
        <v xml:space="preserve">148         </v>
      </c>
      <c r="O14437">
        <v>230310</v>
      </c>
    </row>
    <row r="14438" spans="1:15" x14ac:dyDescent="0.25">
      <c r="A14438" t="s">
        <v>16</v>
      </c>
      <c r="B14438" t="s">
        <v>3221</v>
      </c>
      <c r="C14438">
        <v>3223</v>
      </c>
      <c r="D14438" t="s">
        <v>1532</v>
      </c>
      <c r="E14438" t="s">
        <v>1533</v>
      </c>
      <c r="F14438">
        <v>9.09</v>
      </c>
      <c r="G14438">
        <v>230303</v>
      </c>
      <c r="H14438">
        <v>4860</v>
      </c>
      <c r="I14438" t="s">
        <v>28</v>
      </c>
      <c r="J14438">
        <v>10</v>
      </c>
      <c r="K14438">
        <v>0.91</v>
      </c>
      <c r="L14438">
        <v>56564</v>
      </c>
      <c r="M14438" t="s">
        <v>327</v>
      </c>
      <c r="N14438" t="str">
        <f>"148         "</f>
        <v xml:space="preserve">148         </v>
      </c>
      <c r="O14438">
        <v>230310</v>
      </c>
    </row>
    <row r="14439" spans="1:15" x14ac:dyDescent="0.25">
      <c r="A14439" t="s">
        <v>16</v>
      </c>
      <c r="B14439" t="s">
        <v>3221</v>
      </c>
      <c r="C14439">
        <v>3223</v>
      </c>
      <c r="D14439" t="s">
        <v>1532</v>
      </c>
      <c r="E14439" t="s">
        <v>1533</v>
      </c>
      <c r="F14439">
        <v>18.18</v>
      </c>
      <c r="G14439">
        <v>230303</v>
      </c>
      <c r="H14439">
        <v>4860</v>
      </c>
      <c r="I14439" t="s">
        <v>28</v>
      </c>
      <c r="J14439">
        <v>20</v>
      </c>
      <c r="K14439">
        <v>1.82</v>
      </c>
      <c r="L14439">
        <v>58601</v>
      </c>
      <c r="M14439" t="s">
        <v>251</v>
      </c>
      <c r="N14439" t="str">
        <f>"148         "</f>
        <v xml:space="preserve">148         </v>
      </c>
      <c r="O14439">
        <v>230310</v>
      </c>
    </row>
    <row r="14440" spans="1:15" x14ac:dyDescent="0.25">
      <c r="A14440" t="s">
        <v>16</v>
      </c>
      <c r="B14440" t="s">
        <v>3221</v>
      </c>
      <c r="C14440">
        <v>8100</v>
      </c>
      <c r="D14440" t="s">
        <v>1532</v>
      </c>
      <c r="E14440" t="s">
        <v>1533</v>
      </c>
      <c r="F14440">
        <v>18.18</v>
      </c>
      <c r="G14440">
        <v>230606</v>
      </c>
      <c r="H14440">
        <v>4860</v>
      </c>
      <c r="I14440" t="s">
        <v>28</v>
      </c>
      <c r="J14440">
        <v>20</v>
      </c>
      <c r="K14440">
        <v>1.82</v>
      </c>
      <c r="L14440">
        <v>56559</v>
      </c>
      <c r="M14440" t="s">
        <v>129</v>
      </c>
      <c r="N14440" t="str">
        <f>"181         "</f>
        <v xml:space="preserve">181         </v>
      </c>
      <c r="O14440">
        <v>230607</v>
      </c>
    </row>
    <row r="14441" spans="1:15" x14ac:dyDescent="0.25">
      <c r="A14441" t="s">
        <v>16</v>
      </c>
      <c r="B14441" t="s">
        <v>3221</v>
      </c>
      <c r="C14441">
        <v>12731</v>
      </c>
      <c r="D14441" t="s">
        <v>1532</v>
      </c>
      <c r="E14441" t="s">
        <v>1533</v>
      </c>
      <c r="F14441">
        <v>177.27</v>
      </c>
      <c r="G14441">
        <v>230918</v>
      </c>
      <c r="H14441">
        <v>4860</v>
      </c>
      <c r="I14441" t="s">
        <v>28</v>
      </c>
      <c r="J14441">
        <v>195</v>
      </c>
      <c r="K14441">
        <v>17.73</v>
      </c>
      <c r="L14441">
        <v>56566</v>
      </c>
      <c r="M14441" t="s">
        <v>652</v>
      </c>
      <c r="N14441" t="str">
        <f>"206         "</f>
        <v xml:space="preserve">206         </v>
      </c>
      <c r="O14441">
        <v>230925</v>
      </c>
    </row>
    <row r="14442" spans="1:15" x14ac:dyDescent="0.25">
      <c r="A14442" t="s">
        <v>16</v>
      </c>
      <c r="B14442" t="s">
        <v>3221</v>
      </c>
      <c r="C14442">
        <v>14258</v>
      </c>
      <c r="D14442" t="s">
        <v>1532</v>
      </c>
      <c r="E14442" t="s">
        <v>1533</v>
      </c>
      <c r="F14442">
        <v>163.63999999999999</v>
      </c>
      <c r="G14442">
        <v>231016</v>
      </c>
      <c r="H14442">
        <v>4860</v>
      </c>
      <c r="I14442" t="s">
        <v>28</v>
      </c>
      <c r="J14442">
        <v>180</v>
      </c>
      <c r="K14442">
        <v>16.36</v>
      </c>
      <c r="L14442">
        <v>56566</v>
      </c>
      <c r="M14442" t="s">
        <v>652</v>
      </c>
      <c r="N14442" t="str">
        <f>"221         "</f>
        <v xml:space="preserve">221         </v>
      </c>
      <c r="O14442">
        <v>231025</v>
      </c>
    </row>
    <row r="14443" spans="1:15" x14ac:dyDescent="0.25">
      <c r="A14443" t="s">
        <v>16</v>
      </c>
      <c r="B14443" t="s">
        <v>3221</v>
      </c>
      <c r="C14443">
        <v>6425</v>
      </c>
      <c r="D14443" t="s">
        <v>3673</v>
      </c>
      <c r="E14443" t="s">
        <v>1964</v>
      </c>
      <c r="F14443">
        <v>836.36</v>
      </c>
      <c r="G14443">
        <v>230510</v>
      </c>
      <c r="H14443">
        <v>4420</v>
      </c>
      <c r="I14443" t="s">
        <v>132</v>
      </c>
      <c r="J14443">
        <v>920</v>
      </c>
      <c r="K14443">
        <v>83.64</v>
      </c>
      <c r="L14443">
        <v>56559</v>
      </c>
      <c r="M14443" t="s">
        <v>129</v>
      </c>
      <c r="N14443" t="str">
        <f>"6023050004  "</f>
        <v xml:space="preserve">6023050004  </v>
      </c>
      <c r="O14443">
        <v>230511</v>
      </c>
    </row>
    <row r="14444" spans="1:15" x14ac:dyDescent="0.25">
      <c r="A14444" t="s">
        <v>16</v>
      </c>
      <c r="B14444" t="s">
        <v>3221</v>
      </c>
      <c r="C14444">
        <v>6993</v>
      </c>
      <c r="D14444" t="s">
        <v>3673</v>
      </c>
      <c r="E14444" t="s">
        <v>1964</v>
      </c>
      <c r="F14444">
        <v>354.55</v>
      </c>
      <c r="G14444">
        <v>230522</v>
      </c>
      <c r="H14444">
        <v>4420</v>
      </c>
      <c r="I14444" t="s">
        <v>132</v>
      </c>
      <c r="J14444">
        <v>390</v>
      </c>
      <c r="K14444">
        <v>35.450000000000003</v>
      </c>
      <c r="L14444">
        <v>69704</v>
      </c>
      <c r="M14444" t="s">
        <v>325</v>
      </c>
      <c r="N14444" t="str">
        <f>"6023050012  "</f>
        <v xml:space="preserve">6023050012  </v>
      </c>
      <c r="O14444">
        <v>230524</v>
      </c>
    </row>
    <row r="14445" spans="1:15" x14ac:dyDescent="0.25">
      <c r="A14445" t="s">
        <v>16</v>
      </c>
      <c r="B14445" t="s">
        <v>3221</v>
      </c>
      <c r="C14445">
        <v>7404</v>
      </c>
      <c r="D14445" t="s">
        <v>3673</v>
      </c>
      <c r="E14445" t="s">
        <v>1964</v>
      </c>
      <c r="F14445">
        <v>141.82</v>
      </c>
      <c r="G14445">
        <v>230529</v>
      </c>
      <c r="H14445">
        <v>4420</v>
      </c>
      <c r="I14445" t="s">
        <v>132</v>
      </c>
      <c r="J14445">
        <v>156</v>
      </c>
      <c r="K14445">
        <v>14.18</v>
      </c>
      <c r="L14445">
        <v>61122</v>
      </c>
      <c r="M14445" t="s">
        <v>402</v>
      </c>
      <c r="N14445" t="str">
        <f>"6023050020  "</f>
        <v xml:space="preserve">6023050020  </v>
      </c>
      <c r="O14445">
        <v>230529</v>
      </c>
    </row>
    <row r="14446" spans="1:15" x14ac:dyDescent="0.25">
      <c r="A14446" t="s">
        <v>16</v>
      </c>
      <c r="B14446" t="s">
        <v>3221</v>
      </c>
      <c r="C14446">
        <v>7404</v>
      </c>
      <c r="D14446" t="s">
        <v>3673</v>
      </c>
      <c r="E14446" t="s">
        <v>1964</v>
      </c>
      <c r="F14446">
        <v>212.73</v>
      </c>
      <c r="G14446">
        <v>230529</v>
      </c>
      <c r="H14446">
        <v>4420</v>
      </c>
      <c r="I14446" t="s">
        <v>132</v>
      </c>
      <c r="J14446">
        <v>234</v>
      </c>
      <c r="K14446">
        <v>21.27</v>
      </c>
      <c r="L14446">
        <v>65222</v>
      </c>
      <c r="M14446" t="s">
        <v>487</v>
      </c>
      <c r="N14446" t="str">
        <f>"6023050020  "</f>
        <v xml:space="preserve">6023050020  </v>
      </c>
      <c r="O14446">
        <v>230529</v>
      </c>
    </row>
    <row r="14447" spans="1:15" x14ac:dyDescent="0.25">
      <c r="A14447" t="s">
        <v>16</v>
      </c>
      <c r="B14447" t="s">
        <v>3221</v>
      </c>
      <c r="C14447">
        <v>17757</v>
      </c>
      <c r="D14447" t="s">
        <v>3673</v>
      </c>
      <c r="E14447" t="s">
        <v>1964</v>
      </c>
      <c r="F14447">
        <v>600</v>
      </c>
      <c r="G14447">
        <v>231218</v>
      </c>
      <c r="H14447">
        <v>4420</v>
      </c>
      <c r="I14447" t="s">
        <v>132</v>
      </c>
      <c r="J14447">
        <v>660</v>
      </c>
      <c r="K14447">
        <v>60</v>
      </c>
      <c r="L14447">
        <v>59702</v>
      </c>
      <c r="M14447" t="s">
        <v>328</v>
      </c>
      <c r="N14447" t="str">
        <f>"6023120011  "</f>
        <v xml:space="preserve">6023120011  </v>
      </c>
      <c r="O14447">
        <v>231222</v>
      </c>
    </row>
    <row r="14448" spans="1:15" x14ac:dyDescent="0.25">
      <c r="A14448" t="s">
        <v>16</v>
      </c>
      <c r="B14448" t="s">
        <v>3221</v>
      </c>
      <c r="C14448">
        <v>498</v>
      </c>
      <c r="D14448" t="s">
        <v>582</v>
      </c>
      <c r="E14448" t="s">
        <v>583</v>
      </c>
      <c r="F14448">
        <v>268.39999999999998</v>
      </c>
      <c r="G14448">
        <v>230118</v>
      </c>
      <c r="H14448">
        <v>4350</v>
      </c>
      <c r="I14448" t="s">
        <v>546</v>
      </c>
      <c r="J14448">
        <v>332.82</v>
      </c>
      <c r="K14448">
        <v>64.42</v>
      </c>
      <c r="L14448">
        <v>49702</v>
      </c>
      <c r="M14448" t="s">
        <v>584</v>
      </c>
      <c r="N14448" t="str">
        <f>"221854      "</f>
        <v xml:space="preserve">221854      </v>
      </c>
      <c r="O14448">
        <v>230124</v>
      </c>
    </row>
    <row r="14449" spans="1:15" x14ac:dyDescent="0.25">
      <c r="A14449" t="s">
        <v>16</v>
      </c>
      <c r="B14449" t="s">
        <v>3221</v>
      </c>
      <c r="C14449">
        <v>4365</v>
      </c>
      <c r="D14449" t="s">
        <v>582</v>
      </c>
      <c r="E14449" t="s">
        <v>583</v>
      </c>
      <c r="F14449">
        <v>219.6</v>
      </c>
      <c r="G14449">
        <v>230329</v>
      </c>
      <c r="H14449">
        <v>4350</v>
      </c>
      <c r="I14449" t="s">
        <v>546</v>
      </c>
      <c r="J14449">
        <v>272.3</v>
      </c>
      <c r="K14449">
        <v>52.7</v>
      </c>
      <c r="L14449">
        <v>49702</v>
      </c>
      <c r="M14449" t="s">
        <v>584</v>
      </c>
      <c r="N14449" t="str">
        <f>"222258      "</f>
        <v xml:space="preserve">222258      </v>
      </c>
      <c r="O14449">
        <v>230405</v>
      </c>
    </row>
    <row r="14450" spans="1:15" x14ac:dyDescent="0.25">
      <c r="A14450" t="s">
        <v>16</v>
      </c>
      <c r="B14450" t="s">
        <v>3221</v>
      </c>
      <c r="C14450">
        <v>7712</v>
      </c>
      <c r="D14450" t="s">
        <v>582</v>
      </c>
      <c r="E14450" t="s">
        <v>583</v>
      </c>
      <c r="F14450">
        <v>481</v>
      </c>
      <c r="G14450">
        <v>230531</v>
      </c>
      <c r="H14450">
        <v>4350</v>
      </c>
      <c r="I14450" t="s">
        <v>546</v>
      </c>
      <c r="J14450">
        <v>596.44000000000005</v>
      </c>
      <c r="K14450">
        <v>115.44</v>
      </c>
      <c r="L14450">
        <v>49702</v>
      </c>
      <c r="M14450" t="s">
        <v>584</v>
      </c>
      <c r="N14450" t="str">
        <f>"230352      "</f>
        <v xml:space="preserve">230352      </v>
      </c>
      <c r="O14450">
        <v>230602</v>
      </c>
    </row>
    <row r="14451" spans="1:15" x14ac:dyDescent="0.25">
      <c r="A14451" t="s">
        <v>16</v>
      </c>
      <c r="B14451" t="s">
        <v>3221</v>
      </c>
      <c r="C14451">
        <v>14815</v>
      </c>
      <c r="D14451" t="s">
        <v>582</v>
      </c>
      <c r="E14451" t="s">
        <v>583</v>
      </c>
      <c r="F14451">
        <v>219.6</v>
      </c>
      <c r="G14451">
        <v>231101</v>
      </c>
      <c r="H14451">
        <v>4350</v>
      </c>
      <c r="I14451" t="s">
        <v>546</v>
      </c>
      <c r="J14451">
        <v>272.3</v>
      </c>
      <c r="K14451">
        <v>52.7</v>
      </c>
      <c r="L14451">
        <v>49702</v>
      </c>
      <c r="M14451" t="s">
        <v>584</v>
      </c>
      <c r="N14451" t="str">
        <f>"231189      "</f>
        <v xml:space="preserve">231189      </v>
      </c>
      <c r="O14451">
        <v>231106</v>
      </c>
    </row>
    <row r="14452" spans="1:15" x14ac:dyDescent="0.25">
      <c r="A14452" t="s">
        <v>16</v>
      </c>
      <c r="B14452" t="s">
        <v>3221</v>
      </c>
      <c r="C14452">
        <v>8961</v>
      </c>
      <c r="D14452" t="s">
        <v>1645</v>
      </c>
      <c r="E14452" t="s">
        <v>1646</v>
      </c>
      <c r="F14452">
        <v>446</v>
      </c>
      <c r="G14452">
        <v>230618</v>
      </c>
      <c r="H14452">
        <v>4510</v>
      </c>
      <c r="I14452" t="s">
        <v>42</v>
      </c>
      <c r="J14452">
        <v>553.04</v>
      </c>
      <c r="K14452">
        <v>107.04</v>
      </c>
      <c r="L14452">
        <v>13501</v>
      </c>
      <c r="M14452" t="s">
        <v>20</v>
      </c>
      <c r="N14452" t="str">
        <f>"5215        "</f>
        <v xml:space="preserve">5215        </v>
      </c>
      <c r="O14452">
        <v>230620</v>
      </c>
    </row>
    <row r="14453" spans="1:15" x14ac:dyDescent="0.25">
      <c r="A14453" t="s">
        <v>16</v>
      </c>
      <c r="B14453" t="s">
        <v>3221</v>
      </c>
      <c r="C14453">
        <v>3981</v>
      </c>
      <c r="D14453" t="s">
        <v>1645</v>
      </c>
      <c r="E14453" t="s">
        <v>1646</v>
      </c>
      <c r="F14453">
        <v>28</v>
      </c>
      <c r="G14453">
        <v>230318</v>
      </c>
      <c r="H14453">
        <v>4350</v>
      </c>
      <c r="I14453" t="s">
        <v>546</v>
      </c>
      <c r="J14453">
        <v>34.72</v>
      </c>
      <c r="K14453">
        <v>6.72</v>
      </c>
      <c r="L14453">
        <v>11301</v>
      </c>
      <c r="M14453" t="s">
        <v>29</v>
      </c>
      <c r="N14453" t="str">
        <f t="shared" ref="N14453:N14459" si="199">"5061        "</f>
        <v xml:space="preserve">5061        </v>
      </c>
      <c r="O14453">
        <v>230328</v>
      </c>
    </row>
    <row r="14454" spans="1:15" x14ac:dyDescent="0.25">
      <c r="A14454" t="s">
        <v>16</v>
      </c>
      <c r="B14454" t="s">
        <v>3221</v>
      </c>
      <c r="C14454">
        <v>3981</v>
      </c>
      <c r="D14454" t="s">
        <v>1645</v>
      </c>
      <c r="E14454" t="s">
        <v>1646</v>
      </c>
      <c r="F14454">
        <v>56</v>
      </c>
      <c r="G14454">
        <v>230318</v>
      </c>
      <c r="H14454">
        <v>4350</v>
      </c>
      <c r="I14454" t="s">
        <v>546</v>
      </c>
      <c r="J14454">
        <v>69.44</v>
      </c>
      <c r="K14454">
        <v>13.44</v>
      </c>
      <c r="L14454">
        <v>11301</v>
      </c>
      <c r="M14454" t="s">
        <v>29</v>
      </c>
      <c r="N14454" t="str">
        <f t="shared" si="199"/>
        <v xml:space="preserve">5061        </v>
      </c>
      <c r="O14454">
        <v>230328</v>
      </c>
    </row>
    <row r="14455" spans="1:15" x14ac:dyDescent="0.25">
      <c r="A14455" t="s">
        <v>16</v>
      </c>
      <c r="B14455" t="s">
        <v>3221</v>
      </c>
      <c r="C14455">
        <v>3981</v>
      </c>
      <c r="D14455" t="s">
        <v>1645</v>
      </c>
      <c r="E14455" t="s">
        <v>1646</v>
      </c>
      <c r="F14455">
        <v>32.5</v>
      </c>
      <c r="G14455">
        <v>230318</v>
      </c>
      <c r="H14455">
        <v>4350</v>
      </c>
      <c r="I14455" t="s">
        <v>546</v>
      </c>
      <c r="J14455">
        <v>40.299999999999997</v>
      </c>
      <c r="K14455">
        <v>7.8</v>
      </c>
      <c r="L14455">
        <v>16121</v>
      </c>
      <c r="M14455" t="s">
        <v>21</v>
      </c>
      <c r="N14455" t="str">
        <f t="shared" si="199"/>
        <v xml:space="preserve">5061        </v>
      </c>
      <c r="O14455">
        <v>230328</v>
      </c>
    </row>
    <row r="14456" spans="1:15" x14ac:dyDescent="0.25">
      <c r="A14456" t="s">
        <v>16</v>
      </c>
      <c r="B14456" t="s">
        <v>3221</v>
      </c>
      <c r="C14456">
        <v>3981</v>
      </c>
      <c r="D14456" t="s">
        <v>1645</v>
      </c>
      <c r="E14456" t="s">
        <v>1646</v>
      </c>
      <c r="F14456">
        <v>32.5</v>
      </c>
      <c r="G14456">
        <v>230318</v>
      </c>
      <c r="H14456">
        <v>4350</v>
      </c>
      <c r="I14456" t="s">
        <v>546</v>
      </c>
      <c r="J14456">
        <v>40.299999999999997</v>
      </c>
      <c r="K14456">
        <v>7.8</v>
      </c>
      <c r="L14456">
        <v>18972</v>
      </c>
      <c r="M14456" t="s">
        <v>163</v>
      </c>
      <c r="N14456" t="str">
        <f t="shared" si="199"/>
        <v xml:space="preserve">5061        </v>
      </c>
      <c r="O14456">
        <v>230328</v>
      </c>
    </row>
    <row r="14457" spans="1:15" x14ac:dyDescent="0.25">
      <c r="A14457" t="s">
        <v>16</v>
      </c>
      <c r="B14457" t="s">
        <v>3221</v>
      </c>
      <c r="C14457">
        <v>3981</v>
      </c>
      <c r="D14457" t="s">
        <v>1645</v>
      </c>
      <c r="E14457" t="s">
        <v>1646</v>
      </c>
      <c r="F14457">
        <v>32.5</v>
      </c>
      <c r="G14457">
        <v>230318</v>
      </c>
      <c r="H14457">
        <v>4350</v>
      </c>
      <c r="I14457" t="s">
        <v>546</v>
      </c>
      <c r="J14457">
        <v>40.299999999999997</v>
      </c>
      <c r="K14457">
        <v>7.8</v>
      </c>
      <c r="L14457">
        <v>44222</v>
      </c>
      <c r="M14457" t="s">
        <v>232</v>
      </c>
      <c r="N14457" t="str">
        <f t="shared" si="199"/>
        <v xml:space="preserve">5061        </v>
      </c>
      <c r="O14457">
        <v>230328</v>
      </c>
    </row>
    <row r="14458" spans="1:15" x14ac:dyDescent="0.25">
      <c r="A14458" t="s">
        <v>16</v>
      </c>
      <c r="B14458" t="s">
        <v>3221</v>
      </c>
      <c r="C14458">
        <v>3981</v>
      </c>
      <c r="D14458" t="s">
        <v>1645</v>
      </c>
      <c r="E14458" t="s">
        <v>1646</v>
      </c>
      <c r="F14458">
        <v>26.5</v>
      </c>
      <c r="G14458">
        <v>230318</v>
      </c>
      <c r="H14458">
        <v>4350</v>
      </c>
      <c r="I14458" t="s">
        <v>546</v>
      </c>
      <c r="J14458">
        <v>32.86</v>
      </c>
      <c r="K14458">
        <v>6.36</v>
      </c>
      <c r="L14458">
        <v>46222</v>
      </c>
      <c r="M14458" t="s">
        <v>293</v>
      </c>
      <c r="N14458" t="str">
        <f t="shared" si="199"/>
        <v xml:space="preserve">5061        </v>
      </c>
      <c r="O14458">
        <v>230328</v>
      </c>
    </row>
    <row r="14459" spans="1:15" x14ac:dyDescent="0.25">
      <c r="A14459" t="s">
        <v>16</v>
      </c>
      <c r="B14459" t="s">
        <v>3221</v>
      </c>
      <c r="C14459">
        <v>3981</v>
      </c>
      <c r="D14459" t="s">
        <v>1645</v>
      </c>
      <c r="E14459" t="s">
        <v>1646</v>
      </c>
      <c r="F14459">
        <v>32.5</v>
      </c>
      <c r="G14459">
        <v>230318</v>
      </c>
      <c r="H14459">
        <v>4350</v>
      </c>
      <c r="I14459" t="s">
        <v>546</v>
      </c>
      <c r="J14459">
        <v>40.299999999999997</v>
      </c>
      <c r="K14459">
        <v>7.8</v>
      </c>
      <c r="L14459">
        <v>46554</v>
      </c>
      <c r="M14459" t="s">
        <v>117</v>
      </c>
      <c r="N14459" t="str">
        <f t="shared" si="199"/>
        <v xml:space="preserve">5061        </v>
      </c>
      <c r="O14459">
        <v>230328</v>
      </c>
    </row>
    <row r="14460" spans="1:15" x14ac:dyDescent="0.25">
      <c r="A14460" t="s">
        <v>16</v>
      </c>
      <c r="B14460" t="s">
        <v>3221</v>
      </c>
      <c r="C14460">
        <v>13262</v>
      </c>
      <c r="D14460" t="s">
        <v>1645</v>
      </c>
      <c r="E14460" t="s">
        <v>1646</v>
      </c>
      <c r="F14460">
        <v>211</v>
      </c>
      <c r="G14460">
        <v>230925</v>
      </c>
      <c r="H14460">
        <v>4350</v>
      </c>
      <c r="I14460" t="s">
        <v>546</v>
      </c>
      <c r="J14460">
        <v>261.64</v>
      </c>
      <c r="K14460">
        <v>50.64</v>
      </c>
      <c r="L14460">
        <v>11301</v>
      </c>
      <c r="M14460" t="s">
        <v>29</v>
      </c>
      <c r="N14460" t="str">
        <f>"5409        "</f>
        <v xml:space="preserve">5409        </v>
      </c>
      <c r="O14460">
        <v>231009</v>
      </c>
    </row>
    <row r="14461" spans="1:15" x14ac:dyDescent="0.25">
      <c r="A14461" t="s">
        <v>16</v>
      </c>
      <c r="B14461" t="s">
        <v>3221</v>
      </c>
      <c r="C14461">
        <v>3981</v>
      </c>
      <c r="D14461" t="s">
        <v>1645</v>
      </c>
      <c r="E14461" t="s">
        <v>1646</v>
      </c>
      <c r="F14461">
        <v>4.5</v>
      </c>
      <c r="G14461">
        <v>230318</v>
      </c>
      <c r="H14461">
        <v>4364</v>
      </c>
      <c r="I14461" t="s">
        <v>296</v>
      </c>
      <c r="J14461">
        <v>5.58</v>
      </c>
      <c r="K14461">
        <v>1.08</v>
      </c>
      <c r="L14461">
        <v>11301</v>
      </c>
      <c r="M14461" t="s">
        <v>29</v>
      </c>
      <c r="N14461" t="str">
        <f>"5061        "</f>
        <v xml:space="preserve">5061        </v>
      </c>
      <c r="O14461">
        <v>230328</v>
      </c>
    </row>
    <row r="14462" spans="1:15" x14ac:dyDescent="0.25">
      <c r="A14462" t="s">
        <v>16</v>
      </c>
      <c r="B14462" t="s">
        <v>3221</v>
      </c>
      <c r="C14462">
        <v>3981</v>
      </c>
      <c r="D14462" t="s">
        <v>1645</v>
      </c>
      <c r="E14462" t="s">
        <v>1646</v>
      </c>
      <c r="F14462">
        <v>4.5</v>
      </c>
      <c r="G14462">
        <v>230318</v>
      </c>
      <c r="H14462">
        <v>4364</v>
      </c>
      <c r="I14462" t="s">
        <v>296</v>
      </c>
      <c r="J14462">
        <v>5.58</v>
      </c>
      <c r="K14462">
        <v>1.08</v>
      </c>
      <c r="L14462">
        <v>11301</v>
      </c>
      <c r="M14462" t="s">
        <v>29</v>
      </c>
      <c r="N14462" t="str">
        <f>"5061        "</f>
        <v xml:space="preserve">5061        </v>
      </c>
      <c r="O14462">
        <v>230328</v>
      </c>
    </row>
    <row r="14463" spans="1:15" x14ac:dyDescent="0.25">
      <c r="A14463" t="s">
        <v>16</v>
      </c>
      <c r="B14463" t="s">
        <v>3221</v>
      </c>
      <c r="C14463">
        <v>503</v>
      </c>
      <c r="D14463" t="s">
        <v>585</v>
      </c>
      <c r="E14463" t="s">
        <v>586</v>
      </c>
      <c r="F14463">
        <v>150</v>
      </c>
      <c r="G14463">
        <v>230115</v>
      </c>
      <c r="H14463">
        <v>4580</v>
      </c>
      <c r="I14463" t="s">
        <v>35</v>
      </c>
      <c r="J14463">
        <v>186</v>
      </c>
      <c r="K14463">
        <v>36</v>
      </c>
      <c r="L14463">
        <v>17522</v>
      </c>
      <c r="M14463" t="s">
        <v>451</v>
      </c>
      <c r="N14463" t="str">
        <f>"M01/2023    "</f>
        <v xml:space="preserve">M01/2023    </v>
      </c>
      <c r="O14463">
        <v>230124</v>
      </c>
    </row>
    <row r="14464" spans="1:15" x14ac:dyDescent="0.25">
      <c r="A14464" t="s">
        <v>16</v>
      </c>
      <c r="B14464" t="s">
        <v>3221</v>
      </c>
      <c r="C14464">
        <v>8350</v>
      </c>
      <c r="D14464" t="s">
        <v>585</v>
      </c>
      <c r="E14464" t="s">
        <v>586</v>
      </c>
      <c r="F14464">
        <v>450</v>
      </c>
      <c r="G14464">
        <v>230602</v>
      </c>
      <c r="H14464">
        <v>4580</v>
      </c>
      <c r="I14464" t="s">
        <v>35</v>
      </c>
      <c r="J14464">
        <v>558</v>
      </c>
      <c r="K14464">
        <v>108</v>
      </c>
      <c r="L14464">
        <v>17522</v>
      </c>
      <c r="M14464" t="s">
        <v>451</v>
      </c>
      <c r="N14464" t="str">
        <f>"M36/2023    "</f>
        <v xml:space="preserve">M36/2023    </v>
      </c>
      <c r="O14464">
        <v>230608</v>
      </c>
    </row>
    <row r="14465" spans="1:15" x14ac:dyDescent="0.25">
      <c r="A14465" t="s">
        <v>16</v>
      </c>
      <c r="B14465" t="s">
        <v>3221</v>
      </c>
      <c r="C14465">
        <v>9202</v>
      </c>
      <c r="D14465" t="s">
        <v>585</v>
      </c>
      <c r="E14465" t="s">
        <v>586</v>
      </c>
      <c r="F14465">
        <v>50</v>
      </c>
      <c r="G14465">
        <v>230622</v>
      </c>
      <c r="H14465">
        <v>4420</v>
      </c>
      <c r="I14465" t="s">
        <v>132</v>
      </c>
      <c r="J14465">
        <v>62</v>
      </c>
      <c r="K14465">
        <v>12</v>
      </c>
      <c r="L14465">
        <v>17522</v>
      </c>
      <c r="M14465" t="s">
        <v>451</v>
      </c>
      <c r="N14465" t="str">
        <f>"M41/2023    "</f>
        <v xml:space="preserve">M41/2023    </v>
      </c>
      <c r="O14465">
        <v>230629</v>
      </c>
    </row>
    <row r="14466" spans="1:15" x14ac:dyDescent="0.25">
      <c r="A14466" t="s">
        <v>16</v>
      </c>
      <c r="B14466" t="s">
        <v>3221</v>
      </c>
      <c r="C14466">
        <v>503</v>
      </c>
      <c r="D14466" t="s">
        <v>585</v>
      </c>
      <c r="E14466" t="s">
        <v>586</v>
      </c>
      <c r="F14466">
        <v>1410</v>
      </c>
      <c r="G14466">
        <v>230115</v>
      </c>
      <c r="H14466">
        <v>4600</v>
      </c>
      <c r="I14466" t="s">
        <v>105</v>
      </c>
      <c r="J14466">
        <v>1748.4</v>
      </c>
      <c r="K14466">
        <v>338.4</v>
      </c>
      <c r="L14466">
        <v>17522</v>
      </c>
      <c r="M14466" t="s">
        <v>451</v>
      </c>
      <c r="N14466" t="str">
        <f>"M01/2023    "</f>
        <v xml:space="preserve">M01/2023    </v>
      </c>
      <c r="O14466">
        <v>230124</v>
      </c>
    </row>
    <row r="14467" spans="1:15" x14ac:dyDescent="0.25">
      <c r="A14467" t="s">
        <v>16</v>
      </c>
      <c r="B14467" t="s">
        <v>3221</v>
      </c>
      <c r="C14467">
        <v>9200</v>
      </c>
      <c r="D14467" t="s">
        <v>585</v>
      </c>
      <c r="E14467" t="s">
        <v>586</v>
      </c>
      <c r="F14467">
        <v>710</v>
      </c>
      <c r="G14467">
        <v>230622</v>
      </c>
      <c r="H14467">
        <v>4600</v>
      </c>
      <c r="I14467" t="s">
        <v>105</v>
      </c>
      <c r="J14467">
        <v>880.4</v>
      </c>
      <c r="K14467">
        <v>170.4</v>
      </c>
      <c r="L14467">
        <v>17538</v>
      </c>
      <c r="M14467" t="s">
        <v>24</v>
      </c>
      <c r="N14467" t="str">
        <f>"M42/2023    "</f>
        <v xml:space="preserve">M42/2023    </v>
      </c>
      <c r="O14467">
        <v>230629</v>
      </c>
    </row>
    <row r="14468" spans="1:15" x14ac:dyDescent="0.25">
      <c r="A14468" t="s">
        <v>16</v>
      </c>
      <c r="B14468" t="s">
        <v>3221</v>
      </c>
      <c r="C14468">
        <v>9202</v>
      </c>
      <c r="D14468" t="s">
        <v>585</v>
      </c>
      <c r="E14468" t="s">
        <v>586</v>
      </c>
      <c r="F14468">
        <v>660</v>
      </c>
      <c r="G14468">
        <v>230622</v>
      </c>
      <c r="H14468">
        <v>4600</v>
      </c>
      <c r="I14468" t="s">
        <v>105</v>
      </c>
      <c r="J14468">
        <v>818.4</v>
      </c>
      <c r="K14468">
        <v>158.4</v>
      </c>
      <c r="L14468">
        <v>17522</v>
      </c>
      <c r="M14468" t="s">
        <v>451</v>
      </c>
      <c r="N14468" t="str">
        <f>"M41/2023    "</f>
        <v xml:space="preserve">M41/2023    </v>
      </c>
      <c r="O14468">
        <v>230629</v>
      </c>
    </row>
    <row r="14469" spans="1:15" x14ac:dyDescent="0.25">
      <c r="A14469" t="s">
        <v>16</v>
      </c>
      <c r="B14469" t="s">
        <v>3221</v>
      </c>
      <c r="C14469">
        <v>8080</v>
      </c>
      <c r="D14469" t="s">
        <v>1315</v>
      </c>
      <c r="E14469" t="s">
        <v>1316</v>
      </c>
      <c r="F14469">
        <v>29</v>
      </c>
      <c r="G14469">
        <v>230531</v>
      </c>
      <c r="H14469">
        <v>4343</v>
      </c>
      <c r="I14469" t="s">
        <v>91</v>
      </c>
      <c r="J14469">
        <v>35.96</v>
      </c>
      <c r="K14469">
        <v>6.96</v>
      </c>
      <c r="L14469">
        <v>17809</v>
      </c>
      <c r="M14469" t="s">
        <v>376</v>
      </c>
      <c r="N14469" t="str">
        <f>"407766      "</f>
        <v xml:space="preserve">407766      </v>
      </c>
      <c r="O14469">
        <v>230607</v>
      </c>
    </row>
    <row r="14470" spans="1:15" x14ac:dyDescent="0.25">
      <c r="A14470" t="s">
        <v>16</v>
      </c>
      <c r="B14470" t="s">
        <v>3221</v>
      </c>
      <c r="C14470">
        <v>9551</v>
      </c>
      <c r="D14470" t="s">
        <v>1315</v>
      </c>
      <c r="E14470" t="s">
        <v>1316</v>
      </c>
      <c r="F14470">
        <v>29</v>
      </c>
      <c r="G14470">
        <v>230630</v>
      </c>
      <c r="H14470">
        <v>4343</v>
      </c>
      <c r="I14470" t="s">
        <v>91</v>
      </c>
      <c r="J14470">
        <v>35.96</v>
      </c>
      <c r="K14470">
        <v>6.96</v>
      </c>
      <c r="L14470">
        <v>17809</v>
      </c>
      <c r="M14470" t="s">
        <v>376</v>
      </c>
      <c r="N14470" t="str">
        <f>"408771      "</f>
        <v xml:space="preserve">408771      </v>
      </c>
      <c r="O14470">
        <v>230717</v>
      </c>
    </row>
    <row r="14471" spans="1:15" x14ac:dyDescent="0.25">
      <c r="A14471" t="s">
        <v>16</v>
      </c>
      <c r="B14471" t="s">
        <v>3221</v>
      </c>
      <c r="C14471">
        <v>13755</v>
      </c>
      <c r="D14471" t="s">
        <v>1315</v>
      </c>
      <c r="E14471" t="s">
        <v>1316</v>
      </c>
      <c r="F14471">
        <v>29</v>
      </c>
      <c r="G14471">
        <v>230929</v>
      </c>
      <c r="H14471">
        <v>4343</v>
      </c>
      <c r="I14471" t="s">
        <v>91</v>
      </c>
      <c r="J14471">
        <v>35.96</v>
      </c>
      <c r="K14471">
        <v>6.96</v>
      </c>
      <c r="L14471">
        <v>17809</v>
      </c>
      <c r="M14471" t="s">
        <v>376</v>
      </c>
      <c r="N14471" t="str">
        <f>"411621      "</f>
        <v xml:space="preserve">411621      </v>
      </c>
      <c r="O14471">
        <v>231012</v>
      </c>
    </row>
    <row r="14472" spans="1:15" x14ac:dyDescent="0.25">
      <c r="A14472" t="s">
        <v>16</v>
      </c>
      <c r="B14472" t="s">
        <v>3221</v>
      </c>
      <c r="C14472">
        <v>2160</v>
      </c>
      <c r="D14472" t="s">
        <v>1315</v>
      </c>
      <c r="E14472" t="s">
        <v>1316</v>
      </c>
      <c r="F14472">
        <v>29</v>
      </c>
      <c r="G14472">
        <v>230131</v>
      </c>
      <c r="H14472">
        <v>4600</v>
      </c>
      <c r="I14472" t="s">
        <v>105</v>
      </c>
      <c r="J14472">
        <v>35.96</v>
      </c>
      <c r="K14472">
        <v>6.96</v>
      </c>
      <c r="L14472">
        <v>17809</v>
      </c>
      <c r="M14472" t="s">
        <v>376</v>
      </c>
      <c r="N14472" t="str">
        <f>"403959      "</f>
        <v xml:space="preserve">403959      </v>
      </c>
      <c r="O14472">
        <v>230221</v>
      </c>
    </row>
    <row r="14473" spans="1:15" x14ac:dyDescent="0.25">
      <c r="A14473" t="s">
        <v>16</v>
      </c>
      <c r="B14473" t="s">
        <v>3221</v>
      </c>
      <c r="C14473">
        <v>2882</v>
      </c>
      <c r="D14473" t="s">
        <v>1315</v>
      </c>
      <c r="E14473" t="s">
        <v>1316</v>
      </c>
      <c r="F14473">
        <v>29</v>
      </c>
      <c r="G14473">
        <v>230228</v>
      </c>
      <c r="H14473">
        <v>4600</v>
      </c>
      <c r="I14473" t="s">
        <v>105</v>
      </c>
      <c r="J14473">
        <v>35.96</v>
      </c>
      <c r="K14473">
        <v>6.96</v>
      </c>
      <c r="L14473">
        <v>17809</v>
      </c>
      <c r="M14473" t="s">
        <v>376</v>
      </c>
      <c r="N14473" t="str">
        <f>"404803      "</f>
        <v xml:space="preserve">404803      </v>
      </c>
      <c r="O14473">
        <v>230308</v>
      </c>
    </row>
    <row r="14474" spans="1:15" x14ac:dyDescent="0.25">
      <c r="A14474" t="s">
        <v>16</v>
      </c>
      <c r="B14474" t="s">
        <v>3221</v>
      </c>
      <c r="C14474">
        <v>5040</v>
      </c>
      <c r="D14474" t="s">
        <v>1315</v>
      </c>
      <c r="E14474" t="s">
        <v>1316</v>
      </c>
      <c r="F14474">
        <v>29</v>
      </c>
      <c r="G14474">
        <v>230331</v>
      </c>
      <c r="H14474">
        <v>4600</v>
      </c>
      <c r="I14474" t="s">
        <v>105</v>
      </c>
      <c r="J14474">
        <v>35.96</v>
      </c>
      <c r="K14474">
        <v>6.96</v>
      </c>
      <c r="L14474">
        <v>17809</v>
      </c>
      <c r="M14474" t="s">
        <v>376</v>
      </c>
      <c r="N14474" t="str">
        <f>"405674      "</f>
        <v xml:space="preserve">405674      </v>
      </c>
      <c r="O14474">
        <v>230417</v>
      </c>
    </row>
    <row r="14475" spans="1:15" x14ac:dyDescent="0.25">
      <c r="A14475" t="s">
        <v>16</v>
      </c>
      <c r="B14475" t="s">
        <v>3221</v>
      </c>
      <c r="C14475">
        <v>6212</v>
      </c>
      <c r="D14475" t="s">
        <v>1315</v>
      </c>
      <c r="E14475" t="s">
        <v>1316</v>
      </c>
      <c r="F14475">
        <v>29</v>
      </c>
      <c r="G14475">
        <v>230428</v>
      </c>
      <c r="H14475">
        <v>4600</v>
      </c>
      <c r="I14475" t="s">
        <v>105</v>
      </c>
      <c r="J14475">
        <v>35.96</v>
      </c>
      <c r="K14475">
        <v>6.96</v>
      </c>
      <c r="L14475">
        <v>17809</v>
      </c>
      <c r="M14475" t="s">
        <v>376</v>
      </c>
      <c r="N14475" t="str">
        <f>"406617      "</f>
        <v xml:space="preserve">406617      </v>
      </c>
      <c r="O14475">
        <v>230508</v>
      </c>
    </row>
    <row r="14476" spans="1:15" x14ac:dyDescent="0.25">
      <c r="A14476" t="s">
        <v>16</v>
      </c>
      <c r="B14476" t="s">
        <v>3221</v>
      </c>
      <c r="C14476">
        <v>10217</v>
      </c>
      <c r="D14476" t="s">
        <v>1315</v>
      </c>
      <c r="E14476" t="s">
        <v>1316</v>
      </c>
      <c r="F14476">
        <v>29</v>
      </c>
      <c r="G14476">
        <v>230731</v>
      </c>
      <c r="H14476">
        <v>4600</v>
      </c>
      <c r="I14476" t="s">
        <v>105</v>
      </c>
      <c r="J14476">
        <v>35.96</v>
      </c>
      <c r="K14476">
        <v>6.96</v>
      </c>
      <c r="L14476">
        <v>17809</v>
      </c>
      <c r="M14476" t="s">
        <v>376</v>
      </c>
      <c r="N14476" t="str">
        <f>"409685      "</f>
        <v xml:space="preserve">409685      </v>
      </c>
      <c r="O14476">
        <v>230810</v>
      </c>
    </row>
    <row r="14477" spans="1:15" x14ac:dyDescent="0.25">
      <c r="A14477" t="s">
        <v>16</v>
      </c>
      <c r="B14477" t="s">
        <v>3221</v>
      </c>
      <c r="C14477">
        <v>11527</v>
      </c>
      <c r="D14477" t="s">
        <v>1315</v>
      </c>
      <c r="E14477" t="s">
        <v>1316</v>
      </c>
      <c r="F14477">
        <v>29</v>
      </c>
      <c r="G14477">
        <v>230831</v>
      </c>
      <c r="H14477">
        <v>4600</v>
      </c>
      <c r="I14477" t="s">
        <v>105</v>
      </c>
      <c r="J14477">
        <v>35.96</v>
      </c>
      <c r="K14477">
        <v>6.96</v>
      </c>
      <c r="L14477">
        <v>17809</v>
      </c>
      <c r="M14477" t="s">
        <v>376</v>
      </c>
      <c r="N14477" t="str">
        <f>"410671      "</f>
        <v xml:space="preserve">410671      </v>
      </c>
      <c r="O14477">
        <v>230907</v>
      </c>
    </row>
    <row r="14478" spans="1:15" x14ac:dyDescent="0.25">
      <c r="A14478" t="s">
        <v>16</v>
      </c>
      <c r="B14478" t="s">
        <v>3221</v>
      </c>
      <c r="C14478">
        <v>276</v>
      </c>
      <c r="D14478" t="s">
        <v>398</v>
      </c>
      <c r="E14478" t="s">
        <v>399</v>
      </c>
      <c r="F14478">
        <v>5086.07</v>
      </c>
      <c r="G14478">
        <v>230112</v>
      </c>
      <c r="H14478">
        <v>4400</v>
      </c>
      <c r="I14478" t="s">
        <v>348</v>
      </c>
      <c r="J14478">
        <v>6306.73</v>
      </c>
      <c r="K14478">
        <v>1220.6600000000001</v>
      </c>
      <c r="L14478">
        <v>56564</v>
      </c>
      <c r="M14478" t="s">
        <v>327</v>
      </c>
      <c r="N14478" t="str">
        <f>"238236      "</f>
        <v xml:space="preserve">238236      </v>
      </c>
      <c r="O14478">
        <v>230117</v>
      </c>
    </row>
    <row r="14479" spans="1:15" x14ac:dyDescent="0.25">
      <c r="A14479" t="s">
        <v>16</v>
      </c>
      <c r="B14479" t="s">
        <v>3221</v>
      </c>
      <c r="C14479">
        <v>3854</v>
      </c>
      <c r="D14479" t="s">
        <v>1622</v>
      </c>
      <c r="E14479" t="s">
        <v>1623</v>
      </c>
      <c r="F14479">
        <v>-14.52</v>
      </c>
      <c r="G14479">
        <v>230315</v>
      </c>
      <c r="H14479">
        <v>4520</v>
      </c>
      <c r="I14479" t="s">
        <v>254</v>
      </c>
      <c r="J14479">
        <v>-18</v>
      </c>
      <c r="K14479">
        <v>-3.48</v>
      </c>
      <c r="L14479">
        <v>14432</v>
      </c>
      <c r="M14479" t="s">
        <v>862</v>
      </c>
      <c r="N14479" t="str">
        <f>"1919428     "</f>
        <v xml:space="preserve">1919428     </v>
      </c>
      <c r="O14479">
        <v>230323</v>
      </c>
    </row>
    <row r="14480" spans="1:15" x14ac:dyDescent="0.25">
      <c r="A14480" t="s">
        <v>16</v>
      </c>
      <c r="B14480" t="s">
        <v>3221</v>
      </c>
      <c r="C14480">
        <v>15556</v>
      </c>
      <c r="D14480" t="s">
        <v>2878</v>
      </c>
      <c r="E14480" t="s">
        <v>2879</v>
      </c>
      <c r="F14480">
        <v>176.64</v>
      </c>
      <c r="G14480">
        <v>231031</v>
      </c>
      <c r="H14480">
        <v>4600</v>
      </c>
      <c r="I14480" t="s">
        <v>105</v>
      </c>
      <c r="J14480">
        <v>219.03</v>
      </c>
      <c r="K14480">
        <v>42.39</v>
      </c>
      <c r="L14480">
        <v>16321</v>
      </c>
      <c r="M14480" t="s">
        <v>423</v>
      </c>
      <c r="N14480" t="str">
        <f>"692246      "</f>
        <v xml:space="preserve">692246      </v>
      </c>
      <c r="O14480">
        <v>231114</v>
      </c>
    </row>
    <row r="14481" spans="1:15" x14ac:dyDescent="0.25">
      <c r="A14481" t="s">
        <v>16</v>
      </c>
      <c r="B14481" t="s">
        <v>3221</v>
      </c>
      <c r="C14481">
        <v>19316</v>
      </c>
      <c r="D14481" t="s">
        <v>2878</v>
      </c>
      <c r="E14481" t="s">
        <v>2879</v>
      </c>
      <c r="F14481">
        <v>51.37</v>
      </c>
      <c r="G14481">
        <v>231222</v>
      </c>
      <c r="H14481">
        <v>4600</v>
      </c>
      <c r="I14481" t="s">
        <v>105</v>
      </c>
      <c r="J14481">
        <v>63.7</v>
      </c>
      <c r="K14481">
        <v>12.33</v>
      </c>
      <c r="L14481">
        <v>16321</v>
      </c>
      <c r="M14481" t="s">
        <v>423</v>
      </c>
      <c r="N14481" t="str">
        <f>"707505      "</f>
        <v xml:space="preserve">707505      </v>
      </c>
      <c r="O14481">
        <v>240117</v>
      </c>
    </row>
    <row r="14482" spans="1:15" x14ac:dyDescent="0.25">
      <c r="A14482" t="s">
        <v>16</v>
      </c>
      <c r="B14482" t="s">
        <v>3221</v>
      </c>
      <c r="C14482">
        <v>3084</v>
      </c>
      <c r="D14482" t="s">
        <v>3392</v>
      </c>
      <c r="E14482" t="s">
        <v>3393</v>
      </c>
      <c r="F14482">
        <v>75</v>
      </c>
      <c r="G14482">
        <v>230224</v>
      </c>
      <c r="H14482">
        <v>4440</v>
      </c>
      <c r="I14482" t="s">
        <v>250</v>
      </c>
      <c r="J14482">
        <v>75</v>
      </c>
      <c r="K14482">
        <v>0</v>
      </c>
      <c r="L14482">
        <v>17522</v>
      </c>
      <c r="M14482" t="s">
        <v>451</v>
      </c>
      <c r="N14482" t="str">
        <f>"3270        "</f>
        <v xml:space="preserve">3270        </v>
      </c>
      <c r="O14482">
        <v>230309</v>
      </c>
    </row>
    <row r="14483" spans="1:15" x14ac:dyDescent="0.25">
      <c r="A14483" t="s">
        <v>16</v>
      </c>
      <c r="B14483" t="s">
        <v>3221</v>
      </c>
      <c r="C14483">
        <v>1121</v>
      </c>
      <c r="D14483" t="s">
        <v>892</v>
      </c>
      <c r="E14483" t="s">
        <v>893</v>
      </c>
      <c r="F14483">
        <v>151.49</v>
      </c>
      <c r="G14483">
        <v>230123</v>
      </c>
      <c r="H14483">
        <v>4600</v>
      </c>
      <c r="I14483" t="s">
        <v>105</v>
      </c>
      <c r="J14483">
        <v>187.85</v>
      </c>
      <c r="K14483">
        <v>36.36</v>
      </c>
      <c r="L14483">
        <v>44453</v>
      </c>
      <c r="M14483" t="s">
        <v>492</v>
      </c>
      <c r="N14483" t="str">
        <f>"137597      "</f>
        <v xml:space="preserve">137597      </v>
      </c>
      <c r="O14483">
        <v>230203</v>
      </c>
    </row>
    <row r="14484" spans="1:15" x14ac:dyDescent="0.25">
      <c r="A14484" t="s">
        <v>16</v>
      </c>
      <c r="B14484" t="s">
        <v>3221</v>
      </c>
      <c r="C14484">
        <v>2300</v>
      </c>
      <c r="D14484" t="s">
        <v>892</v>
      </c>
      <c r="E14484" t="s">
        <v>893</v>
      </c>
      <c r="F14484">
        <v>171.94</v>
      </c>
      <c r="G14484">
        <v>230217</v>
      </c>
      <c r="H14484">
        <v>4600</v>
      </c>
      <c r="I14484" t="s">
        <v>105</v>
      </c>
      <c r="J14484">
        <v>213.2</v>
      </c>
      <c r="K14484">
        <v>41.26</v>
      </c>
      <c r="L14484">
        <v>44453</v>
      </c>
      <c r="M14484" t="s">
        <v>492</v>
      </c>
      <c r="N14484" t="str">
        <f>"138511      "</f>
        <v xml:space="preserve">138511      </v>
      </c>
      <c r="O14484">
        <v>230224</v>
      </c>
    </row>
    <row r="14485" spans="1:15" x14ac:dyDescent="0.25">
      <c r="A14485" t="s">
        <v>16</v>
      </c>
      <c r="B14485" t="s">
        <v>3221</v>
      </c>
      <c r="C14485">
        <v>5548</v>
      </c>
      <c r="D14485" t="s">
        <v>892</v>
      </c>
      <c r="E14485" t="s">
        <v>893</v>
      </c>
      <c r="F14485">
        <v>169.98</v>
      </c>
      <c r="G14485">
        <v>230414</v>
      </c>
      <c r="H14485">
        <v>4600</v>
      </c>
      <c r="I14485" t="s">
        <v>105</v>
      </c>
      <c r="J14485">
        <v>210.77</v>
      </c>
      <c r="K14485">
        <v>40.79</v>
      </c>
      <c r="L14485">
        <v>44453</v>
      </c>
      <c r="M14485" t="s">
        <v>492</v>
      </c>
      <c r="N14485" t="str">
        <f>"140343      "</f>
        <v xml:space="preserve">140343      </v>
      </c>
      <c r="O14485">
        <v>230426</v>
      </c>
    </row>
    <row r="14486" spans="1:15" x14ac:dyDescent="0.25">
      <c r="A14486" t="s">
        <v>16</v>
      </c>
      <c r="B14486" t="s">
        <v>3221</v>
      </c>
      <c r="C14486">
        <v>11063</v>
      </c>
      <c r="D14486" t="s">
        <v>892</v>
      </c>
      <c r="E14486" t="s">
        <v>893</v>
      </c>
      <c r="F14486">
        <v>547.95000000000005</v>
      </c>
      <c r="G14486">
        <v>230825</v>
      </c>
      <c r="H14486">
        <v>4600</v>
      </c>
      <c r="I14486" t="s">
        <v>105</v>
      </c>
      <c r="J14486">
        <v>679.46</v>
      </c>
      <c r="K14486">
        <v>131.51</v>
      </c>
      <c r="L14486">
        <v>44453</v>
      </c>
      <c r="M14486" t="s">
        <v>492</v>
      </c>
      <c r="N14486" t="str">
        <f>"144934      "</f>
        <v xml:space="preserve">144934      </v>
      </c>
      <c r="O14486">
        <v>230829</v>
      </c>
    </row>
    <row r="14487" spans="1:15" x14ac:dyDescent="0.25">
      <c r="A14487" t="s">
        <v>16</v>
      </c>
      <c r="B14487" t="s">
        <v>3221</v>
      </c>
      <c r="C14487">
        <v>16472</v>
      </c>
      <c r="D14487" t="s">
        <v>892</v>
      </c>
      <c r="E14487" t="s">
        <v>893</v>
      </c>
      <c r="F14487">
        <v>213.31</v>
      </c>
      <c r="G14487">
        <v>231122</v>
      </c>
      <c r="H14487">
        <v>4600</v>
      </c>
      <c r="I14487" t="s">
        <v>105</v>
      </c>
      <c r="J14487">
        <v>264.5</v>
      </c>
      <c r="K14487">
        <v>51.19</v>
      </c>
      <c r="L14487">
        <v>44453</v>
      </c>
      <c r="M14487" t="s">
        <v>492</v>
      </c>
      <c r="N14487" t="str">
        <f>"148399      "</f>
        <v xml:space="preserve">148399      </v>
      </c>
      <c r="O14487">
        <v>231201</v>
      </c>
    </row>
    <row r="14488" spans="1:15" x14ac:dyDescent="0.25">
      <c r="A14488" t="s">
        <v>16</v>
      </c>
      <c r="B14488" t="s">
        <v>3221</v>
      </c>
      <c r="C14488">
        <v>7919</v>
      </c>
      <c r="D14488" t="s">
        <v>892</v>
      </c>
      <c r="E14488" t="s">
        <v>893</v>
      </c>
      <c r="F14488">
        <v>125.96</v>
      </c>
      <c r="G14488">
        <v>230517</v>
      </c>
      <c r="H14488">
        <v>4555</v>
      </c>
      <c r="I14488" t="s">
        <v>481</v>
      </c>
      <c r="J14488">
        <v>156.19</v>
      </c>
      <c r="K14488">
        <v>30.23</v>
      </c>
      <c r="L14488">
        <v>44453</v>
      </c>
      <c r="M14488" t="s">
        <v>492</v>
      </c>
      <c r="N14488" t="str">
        <f>"141514      "</f>
        <v xml:space="preserve">141514      </v>
      </c>
      <c r="O14488">
        <v>230606</v>
      </c>
    </row>
    <row r="14489" spans="1:15" x14ac:dyDescent="0.25">
      <c r="A14489" t="s">
        <v>16</v>
      </c>
      <c r="B14489" t="s">
        <v>3221</v>
      </c>
      <c r="C14489">
        <v>12935</v>
      </c>
      <c r="D14489" t="s">
        <v>892</v>
      </c>
      <c r="E14489" t="s">
        <v>893</v>
      </c>
      <c r="F14489">
        <v>150.1</v>
      </c>
      <c r="G14489">
        <v>230913</v>
      </c>
      <c r="H14489">
        <v>4550</v>
      </c>
      <c r="I14489" t="s">
        <v>312</v>
      </c>
      <c r="J14489">
        <v>186.12</v>
      </c>
      <c r="K14489">
        <v>36.020000000000003</v>
      </c>
      <c r="L14489">
        <v>44453</v>
      </c>
      <c r="M14489" t="s">
        <v>492</v>
      </c>
      <c r="N14489" t="str">
        <f>"145590      "</f>
        <v xml:space="preserve">145590      </v>
      </c>
      <c r="O14489">
        <v>231002</v>
      </c>
    </row>
    <row r="14490" spans="1:15" x14ac:dyDescent="0.25">
      <c r="A14490" t="s">
        <v>16</v>
      </c>
      <c r="B14490" t="s">
        <v>3221</v>
      </c>
      <c r="C14490">
        <v>4252</v>
      </c>
      <c r="D14490" t="s">
        <v>1681</v>
      </c>
      <c r="E14490" t="s">
        <v>1682</v>
      </c>
      <c r="F14490">
        <v>363.9</v>
      </c>
      <c r="G14490">
        <v>230329</v>
      </c>
      <c r="H14490">
        <v>4420</v>
      </c>
      <c r="I14490" t="s">
        <v>132</v>
      </c>
      <c r="J14490">
        <v>451.24</v>
      </c>
      <c r="K14490">
        <v>87.34</v>
      </c>
      <c r="L14490">
        <v>16930</v>
      </c>
      <c r="M14490" t="s">
        <v>450</v>
      </c>
      <c r="N14490" t="str">
        <f>"39910       "</f>
        <v xml:space="preserve">39910       </v>
      </c>
      <c r="O14490">
        <v>230403</v>
      </c>
    </row>
    <row r="14491" spans="1:15" x14ac:dyDescent="0.25">
      <c r="A14491" t="s">
        <v>16</v>
      </c>
      <c r="B14491" t="s">
        <v>3221</v>
      </c>
      <c r="C14491">
        <v>14288</v>
      </c>
      <c r="D14491" t="s">
        <v>1681</v>
      </c>
      <c r="E14491" t="s">
        <v>1682</v>
      </c>
      <c r="F14491">
        <v>744.12</v>
      </c>
      <c r="G14491">
        <v>231017</v>
      </c>
      <c r="H14491">
        <v>4420</v>
      </c>
      <c r="I14491" t="s">
        <v>132</v>
      </c>
      <c r="J14491">
        <v>922.71</v>
      </c>
      <c r="K14491">
        <v>178.59</v>
      </c>
      <c r="L14491">
        <v>16930</v>
      </c>
      <c r="M14491" t="s">
        <v>450</v>
      </c>
      <c r="N14491" t="str">
        <f>"52928       "</f>
        <v xml:space="preserve">52928       </v>
      </c>
      <c r="O14491">
        <v>231025</v>
      </c>
    </row>
    <row r="14492" spans="1:15" x14ac:dyDescent="0.25">
      <c r="A14492" t="s">
        <v>16</v>
      </c>
      <c r="B14492" t="s">
        <v>3221</v>
      </c>
      <c r="C14492">
        <v>16727</v>
      </c>
      <c r="D14492" t="s">
        <v>1681</v>
      </c>
      <c r="E14492" t="s">
        <v>1682</v>
      </c>
      <c r="F14492">
        <v>363.9</v>
      </c>
      <c r="G14492">
        <v>231205</v>
      </c>
      <c r="H14492">
        <v>4420</v>
      </c>
      <c r="I14492" t="s">
        <v>132</v>
      </c>
      <c r="J14492">
        <v>451.24</v>
      </c>
      <c r="K14492">
        <v>87.34</v>
      </c>
      <c r="L14492">
        <v>16930</v>
      </c>
      <c r="M14492" t="s">
        <v>450</v>
      </c>
      <c r="N14492" t="str">
        <f>"56783       "</f>
        <v xml:space="preserve">56783       </v>
      </c>
      <c r="O14492">
        <v>231208</v>
      </c>
    </row>
    <row r="14493" spans="1:15" x14ac:dyDescent="0.25">
      <c r="A14493" t="s">
        <v>16</v>
      </c>
      <c r="B14493" t="s">
        <v>3221</v>
      </c>
      <c r="C14493">
        <v>4252</v>
      </c>
      <c r="D14493" t="s">
        <v>1681</v>
      </c>
      <c r="E14493" t="s">
        <v>1682</v>
      </c>
      <c r="F14493">
        <v>640</v>
      </c>
      <c r="G14493">
        <v>230329</v>
      </c>
      <c r="H14493">
        <v>4440</v>
      </c>
      <c r="I14493" t="s">
        <v>250</v>
      </c>
      <c r="J14493">
        <v>793.6</v>
      </c>
      <c r="K14493">
        <v>153.6</v>
      </c>
      <c r="L14493">
        <v>16930</v>
      </c>
      <c r="M14493" t="s">
        <v>450</v>
      </c>
      <c r="N14493" t="str">
        <f>"39910       "</f>
        <v xml:space="preserve">39910       </v>
      </c>
      <c r="O14493">
        <v>230403</v>
      </c>
    </row>
    <row r="14494" spans="1:15" x14ac:dyDescent="0.25">
      <c r="A14494" t="s">
        <v>16</v>
      </c>
      <c r="B14494" t="s">
        <v>3221</v>
      </c>
      <c r="C14494">
        <v>11778</v>
      </c>
      <c r="D14494" t="s">
        <v>1681</v>
      </c>
      <c r="E14494" t="s">
        <v>1682</v>
      </c>
      <c r="F14494">
        <v>83.34</v>
      </c>
      <c r="G14494">
        <v>230904</v>
      </c>
      <c r="H14494">
        <v>4440</v>
      </c>
      <c r="I14494" t="s">
        <v>250</v>
      </c>
      <c r="J14494">
        <v>83.34</v>
      </c>
      <c r="K14494">
        <v>0</v>
      </c>
      <c r="L14494">
        <v>13561</v>
      </c>
      <c r="M14494" t="s">
        <v>246</v>
      </c>
      <c r="N14494" t="str">
        <f>"49823       "</f>
        <v xml:space="preserve">49823       </v>
      </c>
      <c r="O14494">
        <v>230911</v>
      </c>
    </row>
    <row r="14495" spans="1:15" x14ac:dyDescent="0.25">
      <c r="A14495" t="s">
        <v>16</v>
      </c>
      <c r="B14495" t="s">
        <v>3221</v>
      </c>
      <c r="C14495">
        <v>11778</v>
      </c>
      <c r="D14495" t="s">
        <v>1681</v>
      </c>
      <c r="E14495" t="s">
        <v>1682</v>
      </c>
      <c r="F14495">
        <v>83.33</v>
      </c>
      <c r="G14495">
        <v>230904</v>
      </c>
      <c r="H14495">
        <v>4440</v>
      </c>
      <c r="I14495" t="s">
        <v>250</v>
      </c>
      <c r="J14495">
        <v>83.33</v>
      </c>
      <c r="K14495">
        <v>0</v>
      </c>
      <c r="L14495">
        <v>17971</v>
      </c>
      <c r="M14495" t="s">
        <v>138</v>
      </c>
      <c r="N14495" t="str">
        <f>"49823       "</f>
        <v xml:space="preserve">49823       </v>
      </c>
      <c r="O14495">
        <v>230911</v>
      </c>
    </row>
    <row r="14496" spans="1:15" x14ac:dyDescent="0.25">
      <c r="A14496" t="s">
        <v>16</v>
      </c>
      <c r="B14496" t="s">
        <v>3221</v>
      </c>
      <c r="C14496">
        <v>11778</v>
      </c>
      <c r="D14496" t="s">
        <v>1681</v>
      </c>
      <c r="E14496" t="s">
        <v>1682</v>
      </c>
      <c r="F14496">
        <v>83.33</v>
      </c>
      <c r="G14496">
        <v>230904</v>
      </c>
      <c r="H14496">
        <v>4440</v>
      </c>
      <c r="I14496" t="s">
        <v>250</v>
      </c>
      <c r="J14496">
        <v>83.33</v>
      </c>
      <c r="K14496">
        <v>0</v>
      </c>
      <c r="L14496">
        <v>17971</v>
      </c>
      <c r="M14496" t="s">
        <v>138</v>
      </c>
      <c r="N14496" t="str">
        <f>"49823       "</f>
        <v xml:space="preserve">49823       </v>
      </c>
      <c r="O14496">
        <v>230911</v>
      </c>
    </row>
    <row r="14497" spans="1:15" x14ac:dyDescent="0.25">
      <c r="A14497" t="s">
        <v>16</v>
      </c>
      <c r="B14497" t="s">
        <v>3221</v>
      </c>
      <c r="C14497">
        <v>14288</v>
      </c>
      <c r="D14497" t="s">
        <v>1681</v>
      </c>
      <c r="E14497" t="s">
        <v>1682</v>
      </c>
      <c r="F14497">
        <v>1860</v>
      </c>
      <c r="G14497">
        <v>231017</v>
      </c>
      <c r="H14497">
        <v>4440</v>
      </c>
      <c r="I14497" t="s">
        <v>250</v>
      </c>
      <c r="J14497">
        <v>2306.4</v>
      </c>
      <c r="K14497">
        <v>446.4</v>
      </c>
      <c r="L14497">
        <v>16930</v>
      </c>
      <c r="M14497" t="s">
        <v>450</v>
      </c>
      <c r="N14497" t="str">
        <f>"52928       "</f>
        <v xml:space="preserve">52928       </v>
      </c>
      <c r="O14497">
        <v>231025</v>
      </c>
    </row>
    <row r="14498" spans="1:15" x14ac:dyDescent="0.25">
      <c r="A14498" t="s">
        <v>16</v>
      </c>
      <c r="B14498" t="s">
        <v>3221</v>
      </c>
      <c r="C14498">
        <v>16727</v>
      </c>
      <c r="D14498" t="s">
        <v>1681</v>
      </c>
      <c r="E14498" t="s">
        <v>1682</v>
      </c>
      <c r="F14498">
        <v>640</v>
      </c>
      <c r="G14498">
        <v>231205</v>
      </c>
      <c r="H14498">
        <v>4440</v>
      </c>
      <c r="I14498" t="s">
        <v>250</v>
      </c>
      <c r="J14498">
        <v>793.6</v>
      </c>
      <c r="K14498">
        <v>153.6</v>
      </c>
      <c r="L14498">
        <v>16930</v>
      </c>
      <c r="M14498" t="s">
        <v>450</v>
      </c>
      <c r="N14498" t="str">
        <f>"56783       "</f>
        <v xml:space="preserve">56783       </v>
      </c>
      <c r="O14498">
        <v>231208</v>
      </c>
    </row>
    <row r="14499" spans="1:15" x14ac:dyDescent="0.25">
      <c r="A14499" t="s">
        <v>16</v>
      </c>
      <c r="B14499" t="s">
        <v>3221</v>
      </c>
      <c r="C14499">
        <v>14047</v>
      </c>
      <c r="D14499" t="s">
        <v>2728</v>
      </c>
      <c r="E14499" t="s">
        <v>2729</v>
      </c>
      <c r="F14499">
        <v>1177.76</v>
      </c>
      <c r="G14499">
        <v>231016</v>
      </c>
      <c r="H14499">
        <v>4346</v>
      </c>
      <c r="I14499" t="s">
        <v>197</v>
      </c>
      <c r="J14499">
        <v>1460.42</v>
      </c>
      <c r="K14499">
        <v>282.66000000000003</v>
      </c>
      <c r="L14499">
        <v>17711</v>
      </c>
      <c r="M14499" t="s">
        <v>65</v>
      </c>
      <c r="N14499" t="str">
        <f>"1381        "</f>
        <v xml:space="preserve">1381        </v>
      </c>
      <c r="O14499">
        <v>231018</v>
      </c>
    </row>
    <row r="14500" spans="1:15" x14ac:dyDescent="0.25">
      <c r="A14500" t="s">
        <v>16</v>
      </c>
      <c r="B14500" t="s">
        <v>3221</v>
      </c>
      <c r="C14500">
        <v>14837</v>
      </c>
      <c r="D14500" t="s">
        <v>3202</v>
      </c>
      <c r="E14500" t="s">
        <v>3203</v>
      </c>
      <c r="F14500">
        <v>58.27</v>
      </c>
      <c r="G14500">
        <v>231026</v>
      </c>
      <c r="H14500">
        <v>4510</v>
      </c>
      <c r="I14500" t="s">
        <v>42</v>
      </c>
      <c r="J14500">
        <v>58.27</v>
      </c>
      <c r="K14500">
        <v>0</v>
      </c>
      <c r="L14500">
        <v>17804</v>
      </c>
      <c r="M14500" t="s">
        <v>549</v>
      </c>
      <c r="N14500" t="str">
        <f>"10007655    "</f>
        <v xml:space="preserve">10007655    </v>
      </c>
      <c r="O14500">
        <v>231107</v>
      </c>
    </row>
    <row r="14501" spans="1:15" x14ac:dyDescent="0.25">
      <c r="A14501" t="s">
        <v>16</v>
      </c>
      <c r="B14501" t="s">
        <v>3221</v>
      </c>
      <c r="C14501">
        <v>9276</v>
      </c>
      <c r="D14501" t="s">
        <v>3202</v>
      </c>
      <c r="E14501" t="s">
        <v>3203</v>
      </c>
      <c r="F14501">
        <v>50</v>
      </c>
      <c r="G14501">
        <v>230630</v>
      </c>
      <c r="H14501">
        <v>4350</v>
      </c>
      <c r="I14501" t="s">
        <v>546</v>
      </c>
      <c r="J14501">
        <v>62</v>
      </c>
      <c r="K14501">
        <v>12</v>
      </c>
      <c r="L14501">
        <v>17972</v>
      </c>
      <c r="M14501" t="s">
        <v>248</v>
      </c>
      <c r="N14501" t="str">
        <f>"10007488    "</f>
        <v xml:space="preserve">10007488    </v>
      </c>
      <c r="O14501">
        <v>230703</v>
      </c>
    </row>
    <row r="14502" spans="1:15" x14ac:dyDescent="0.25">
      <c r="A14502" t="s">
        <v>16</v>
      </c>
      <c r="B14502" t="s">
        <v>3221</v>
      </c>
      <c r="C14502">
        <v>59</v>
      </c>
      <c r="D14502" t="s">
        <v>3202</v>
      </c>
      <c r="E14502" t="s">
        <v>3203</v>
      </c>
      <c r="F14502">
        <v>2448.19</v>
      </c>
      <c r="G14502">
        <v>230101</v>
      </c>
      <c r="H14502">
        <v>4820</v>
      </c>
      <c r="I14502" t="s">
        <v>50</v>
      </c>
      <c r="J14502">
        <v>3035.76</v>
      </c>
      <c r="K14502">
        <v>587.57000000000005</v>
      </c>
      <c r="L14502">
        <v>13641</v>
      </c>
      <c r="M14502" t="s">
        <v>1471</v>
      </c>
      <c r="N14502" t="str">
        <f>"40001619    "</f>
        <v xml:space="preserve">40001619    </v>
      </c>
      <c r="O14502">
        <v>230104</v>
      </c>
    </row>
    <row r="14503" spans="1:15" x14ac:dyDescent="0.25">
      <c r="A14503" t="s">
        <v>16</v>
      </c>
      <c r="B14503" t="s">
        <v>3221</v>
      </c>
      <c r="C14503">
        <v>61</v>
      </c>
      <c r="D14503" t="s">
        <v>3202</v>
      </c>
      <c r="E14503" t="s">
        <v>3203</v>
      </c>
      <c r="F14503">
        <v>1855.8</v>
      </c>
      <c r="G14503">
        <v>230101</v>
      </c>
      <c r="H14503">
        <v>4820</v>
      </c>
      <c r="I14503" t="s">
        <v>50</v>
      </c>
      <c r="J14503">
        <v>2301.19</v>
      </c>
      <c r="K14503">
        <v>445.39</v>
      </c>
      <c r="L14503">
        <v>17955</v>
      </c>
      <c r="M14503" t="s">
        <v>933</v>
      </c>
      <c r="N14503" t="str">
        <f>"40001617    "</f>
        <v xml:space="preserve">40001617    </v>
      </c>
      <c r="O14503">
        <v>230104</v>
      </c>
    </row>
    <row r="14504" spans="1:15" x14ac:dyDescent="0.25">
      <c r="A14504" t="s">
        <v>16</v>
      </c>
      <c r="B14504" t="s">
        <v>3221</v>
      </c>
      <c r="C14504">
        <v>64</v>
      </c>
      <c r="D14504" t="s">
        <v>3202</v>
      </c>
      <c r="E14504" t="s">
        <v>3203</v>
      </c>
      <c r="F14504">
        <v>1689.89</v>
      </c>
      <c r="G14504">
        <v>230101</v>
      </c>
      <c r="H14504">
        <v>4820</v>
      </c>
      <c r="I14504" t="s">
        <v>50</v>
      </c>
      <c r="J14504">
        <v>2095.46</v>
      </c>
      <c r="K14504">
        <v>405.57</v>
      </c>
      <c r="L14504">
        <v>13841</v>
      </c>
      <c r="M14504" t="s">
        <v>47</v>
      </c>
      <c r="N14504" t="str">
        <f>"40001616    "</f>
        <v xml:space="preserve">40001616    </v>
      </c>
      <c r="O14504">
        <v>230104</v>
      </c>
    </row>
    <row r="14505" spans="1:15" x14ac:dyDescent="0.25">
      <c r="A14505" t="s">
        <v>16</v>
      </c>
      <c r="B14505" t="s">
        <v>3221</v>
      </c>
      <c r="C14505">
        <v>65</v>
      </c>
      <c r="D14505" t="s">
        <v>3202</v>
      </c>
      <c r="E14505" t="s">
        <v>3203</v>
      </c>
      <c r="F14505">
        <v>688.94</v>
      </c>
      <c r="G14505">
        <v>230101</v>
      </c>
      <c r="H14505">
        <v>4820</v>
      </c>
      <c r="I14505" t="s">
        <v>50</v>
      </c>
      <c r="J14505">
        <v>854.29</v>
      </c>
      <c r="K14505">
        <v>165.35</v>
      </c>
      <c r="L14505">
        <v>17955</v>
      </c>
      <c r="M14505" t="s">
        <v>933</v>
      </c>
      <c r="N14505" t="str">
        <f>"40001618    "</f>
        <v xml:space="preserve">40001618    </v>
      </c>
      <c r="O14505">
        <v>230104</v>
      </c>
    </row>
    <row r="14506" spans="1:15" x14ac:dyDescent="0.25">
      <c r="A14506" t="s">
        <v>16</v>
      </c>
      <c r="B14506" t="s">
        <v>3221</v>
      </c>
      <c r="C14506">
        <v>454</v>
      </c>
      <c r="D14506" t="s">
        <v>3202</v>
      </c>
      <c r="E14506" t="s">
        <v>3203</v>
      </c>
      <c r="F14506">
        <v>1689.89</v>
      </c>
      <c r="G14506">
        <v>230201</v>
      </c>
      <c r="H14506">
        <v>4820</v>
      </c>
      <c r="I14506" t="s">
        <v>50</v>
      </c>
      <c r="J14506">
        <v>2095.46</v>
      </c>
      <c r="K14506">
        <v>405.57</v>
      </c>
      <c r="L14506">
        <v>13841</v>
      </c>
      <c r="M14506" t="s">
        <v>47</v>
      </c>
      <c r="N14506" t="str">
        <f>"40001673    "</f>
        <v xml:space="preserve">40001673    </v>
      </c>
      <c r="O14506">
        <v>230123</v>
      </c>
    </row>
    <row r="14507" spans="1:15" x14ac:dyDescent="0.25">
      <c r="A14507" t="s">
        <v>16</v>
      </c>
      <c r="B14507" t="s">
        <v>3221</v>
      </c>
      <c r="C14507">
        <v>455</v>
      </c>
      <c r="D14507" t="s">
        <v>3202</v>
      </c>
      <c r="E14507" t="s">
        <v>3203</v>
      </c>
      <c r="F14507">
        <v>2448.19</v>
      </c>
      <c r="G14507">
        <v>230201</v>
      </c>
      <c r="H14507">
        <v>4820</v>
      </c>
      <c r="I14507" t="s">
        <v>50</v>
      </c>
      <c r="J14507">
        <v>3035.76</v>
      </c>
      <c r="K14507">
        <v>587.57000000000005</v>
      </c>
      <c r="L14507">
        <v>13641</v>
      </c>
      <c r="M14507" t="s">
        <v>1471</v>
      </c>
      <c r="N14507" t="str">
        <f>"40001676    "</f>
        <v xml:space="preserve">40001676    </v>
      </c>
      <c r="O14507">
        <v>230123</v>
      </c>
    </row>
    <row r="14508" spans="1:15" x14ac:dyDescent="0.25">
      <c r="A14508" t="s">
        <v>16</v>
      </c>
      <c r="B14508" t="s">
        <v>3221</v>
      </c>
      <c r="C14508">
        <v>465</v>
      </c>
      <c r="D14508" t="s">
        <v>3202</v>
      </c>
      <c r="E14508" t="s">
        <v>3203</v>
      </c>
      <c r="F14508">
        <v>1855.8</v>
      </c>
      <c r="G14508">
        <v>230201</v>
      </c>
      <c r="H14508">
        <v>4820</v>
      </c>
      <c r="I14508" t="s">
        <v>50</v>
      </c>
      <c r="J14508">
        <v>2301.19</v>
      </c>
      <c r="K14508">
        <v>445.39</v>
      </c>
      <c r="L14508">
        <v>17955</v>
      </c>
      <c r="M14508" t="s">
        <v>933</v>
      </c>
      <c r="N14508" t="str">
        <f>"40001674    "</f>
        <v xml:space="preserve">40001674    </v>
      </c>
      <c r="O14508">
        <v>230123</v>
      </c>
    </row>
    <row r="14509" spans="1:15" x14ac:dyDescent="0.25">
      <c r="A14509" t="s">
        <v>16</v>
      </c>
      <c r="B14509" t="s">
        <v>3221</v>
      </c>
      <c r="C14509">
        <v>466</v>
      </c>
      <c r="D14509" t="s">
        <v>3202</v>
      </c>
      <c r="E14509" t="s">
        <v>3203</v>
      </c>
      <c r="F14509">
        <v>688.94</v>
      </c>
      <c r="G14509">
        <v>230201</v>
      </c>
      <c r="H14509">
        <v>4820</v>
      </c>
      <c r="I14509" t="s">
        <v>50</v>
      </c>
      <c r="J14509">
        <v>854.29</v>
      </c>
      <c r="K14509">
        <v>165.35</v>
      </c>
      <c r="L14509">
        <v>17955</v>
      </c>
      <c r="M14509" t="s">
        <v>933</v>
      </c>
      <c r="N14509" t="str">
        <f>"40001675    "</f>
        <v xml:space="preserve">40001675    </v>
      </c>
      <c r="O14509">
        <v>230123</v>
      </c>
    </row>
    <row r="14510" spans="1:15" x14ac:dyDescent="0.25">
      <c r="A14510" t="s">
        <v>16</v>
      </c>
      <c r="B14510" t="s">
        <v>3221</v>
      </c>
      <c r="C14510">
        <v>2219</v>
      </c>
      <c r="D14510" t="s">
        <v>3202</v>
      </c>
      <c r="E14510" t="s">
        <v>3203</v>
      </c>
      <c r="F14510">
        <v>1855.8</v>
      </c>
      <c r="G14510">
        <v>230301</v>
      </c>
      <c r="H14510">
        <v>4820</v>
      </c>
      <c r="I14510" t="s">
        <v>50</v>
      </c>
      <c r="J14510">
        <v>2301.19</v>
      </c>
      <c r="K14510">
        <v>445.39</v>
      </c>
      <c r="L14510">
        <v>17955</v>
      </c>
      <c r="M14510" t="s">
        <v>933</v>
      </c>
      <c r="N14510" t="str">
        <f>"40001731    "</f>
        <v xml:space="preserve">40001731    </v>
      </c>
      <c r="O14510">
        <v>230222</v>
      </c>
    </row>
    <row r="14511" spans="1:15" x14ac:dyDescent="0.25">
      <c r="A14511" t="s">
        <v>16</v>
      </c>
      <c r="B14511" t="s">
        <v>3221</v>
      </c>
      <c r="C14511">
        <v>2335</v>
      </c>
      <c r="D14511" t="s">
        <v>3202</v>
      </c>
      <c r="E14511" t="s">
        <v>3203</v>
      </c>
      <c r="F14511">
        <v>688.94</v>
      </c>
      <c r="G14511">
        <v>230301</v>
      </c>
      <c r="H14511">
        <v>4820</v>
      </c>
      <c r="I14511" t="s">
        <v>50</v>
      </c>
      <c r="J14511">
        <v>854.29</v>
      </c>
      <c r="K14511">
        <v>165.35</v>
      </c>
      <c r="L14511">
        <v>17955</v>
      </c>
      <c r="M14511" t="s">
        <v>933</v>
      </c>
      <c r="N14511" t="str">
        <f>"40001732    "</f>
        <v xml:space="preserve">40001732    </v>
      </c>
      <c r="O14511">
        <v>230224</v>
      </c>
    </row>
    <row r="14512" spans="1:15" x14ac:dyDescent="0.25">
      <c r="A14512" t="s">
        <v>16</v>
      </c>
      <c r="B14512" t="s">
        <v>3221</v>
      </c>
      <c r="C14512">
        <v>2465</v>
      </c>
      <c r="D14512" t="s">
        <v>3202</v>
      </c>
      <c r="E14512" t="s">
        <v>3203</v>
      </c>
      <c r="F14512">
        <v>1689.89</v>
      </c>
      <c r="G14512">
        <v>230301</v>
      </c>
      <c r="H14512">
        <v>4820</v>
      </c>
      <c r="I14512" t="s">
        <v>50</v>
      </c>
      <c r="J14512">
        <v>2095.46</v>
      </c>
      <c r="K14512">
        <v>405.57</v>
      </c>
      <c r="L14512">
        <v>13841</v>
      </c>
      <c r="M14512" t="s">
        <v>47</v>
      </c>
      <c r="N14512" t="str">
        <f>"40001730    "</f>
        <v xml:space="preserve">40001730    </v>
      </c>
      <c r="O14512">
        <v>230228</v>
      </c>
    </row>
    <row r="14513" spans="1:15" x14ac:dyDescent="0.25">
      <c r="A14513" t="s">
        <v>16</v>
      </c>
      <c r="B14513" t="s">
        <v>3221</v>
      </c>
      <c r="C14513">
        <v>2467</v>
      </c>
      <c r="D14513" t="s">
        <v>3202</v>
      </c>
      <c r="E14513" t="s">
        <v>3203</v>
      </c>
      <c r="F14513">
        <v>2448.19</v>
      </c>
      <c r="G14513">
        <v>230301</v>
      </c>
      <c r="H14513">
        <v>4820</v>
      </c>
      <c r="I14513" t="s">
        <v>50</v>
      </c>
      <c r="J14513">
        <v>3035.76</v>
      </c>
      <c r="K14513">
        <v>587.57000000000005</v>
      </c>
      <c r="L14513">
        <v>13641</v>
      </c>
      <c r="M14513" t="s">
        <v>1471</v>
      </c>
      <c r="N14513" t="str">
        <f>"40001733    "</f>
        <v xml:space="preserve">40001733    </v>
      </c>
      <c r="O14513">
        <v>230228</v>
      </c>
    </row>
    <row r="14514" spans="1:15" x14ac:dyDescent="0.25">
      <c r="A14514" t="s">
        <v>16</v>
      </c>
      <c r="B14514" t="s">
        <v>3221</v>
      </c>
      <c r="C14514">
        <v>3985</v>
      </c>
      <c r="D14514" t="s">
        <v>3202</v>
      </c>
      <c r="E14514" t="s">
        <v>3203</v>
      </c>
      <c r="F14514">
        <v>1855.8</v>
      </c>
      <c r="G14514">
        <v>230401</v>
      </c>
      <c r="H14514">
        <v>4820</v>
      </c>
      <c r="I14514" t="s">
        <v>50</v>
      </c>
      <c r="J14514">
        <v>2301.19</v>
      </c>
      <c r="K14514">
        <v>445.39</v>
      </c>
      <c r="L14514">
        <v>17955</v>
      </c>
      <c r="M14514" t="s">
        <v>933</v>
      </c>
      <c r="N14514" t="str">
        <f>"40001788    "</f>
        <v xml:space="preserve">40001788    </v>
      </c>
      <c r="O14514">
        <v>230328</v>
      </c>
    </row>
    <row r="14515" spans="1:15" x14ac:dyDescent="0.25">
      <c r="A14515" t="s">
        <v>16</v>
      </c>
      <c r="B14515" t="s">
        <v>3221</v>
      </c>
      <c r="C14515">
        <v>4050</v>
      </c>
      <c r="D14515" t="s">
        <v>3202</v>
      </c>
      <c r="E14515" t="s">
        <v>3203</v>
      </c>
      <c r="F14515">
        <v>688.94</v>
      </c>
      <c r="G14515">
        <v>230401</v>
      </c>
      <c r="H14515">
        <v>4820</v>
      </c>
      <c r="I14515" t="s">
        <v>50</v>
      </c>
      <c r="J14515">
        <v>854.29</v>
      </c>
      <c r="K14515">
        <v>165.35</v>
      </c>
      <c r="L14515">
        <v>17955</v>
      </c>
      <c r="M14515" t="s">
        <v>933</v>
      </c>
      <c r="N14515" t="str">
        <f>"40001789    "</f>
        <v xml:space="preserve">40001789    </v>
      </c>
      <c r="O14515">
        <v>230330</v>
      </c>
    </row>
    <row r="14516" spans="1:15" x14ac:dyDescent="0.25">
      <c r="A14516" t="s">
        <v>16</v>
      </c>
      <c r="B14516" t="s">
        <v>3221</v>
      </c>
      <c r="C14516">
        <v>4192</v>
      </c>
      <c r="D14516" t="s">
        <v>3202</v>
      </c>
      <c r="E14516" t="s">
        <v>3203</v>
      </c>
      <c r="F14516">
        <v>1689.89</v>
      </c>
      <c r="G14516">
        <v>230401</v>
      </c>
      <c r="H14516">
        <v>4820</v>
      </c>
      <c r="I14516" t="s">
        <v>50</v>
      </c>
      <c r="J14516">
        <v>2095.46</v>
      </c>
      <c r="K14516">
        <v>405.57</v>
      </c>
      <c r="L14516">
        <v>13841</v>
      </c>
      <c r="M14516" t="s">
        <v>47</v>
      </c>
      <c r="N14516" t="str">
        <f>"40001787    "</f>
        <v xml:space="preserve">40001787    </v>
      </c>
      <c r="O14516">
        <v>230331</v>
      </c>
    </row>
    <row r="14517" spans="1:15" x14ac:dyDescent="0.25">
      <c r="A14517" t="s">
        <v>16</v>
      </c>
      <c r="B14517" t="s">
        <v>3221</v>
      </c>
      <c r="C14517">
        <v>4193</v>
      </c>
      <c r="D14517" t="s">
        <v>3202</v>
      </c>
      <c r="E14517" t="s">
        <v>3203</v>
      </c>
      <c r="F14517">
        <v>2448.19</v>
      </c>
      <c r="G14517">
        <v>230401</v>
      </c>
      <c r="H14517">
        <v>4820</v>
      </c>
      <c r="I14517" t="s">
        <v>50</v>
      </c>
      <c r="J14517">
        <v>3035.76</v>
      </c>
      <c r="K14517">
        <v>587.57000000000005</v>
      </c>
      <c r="L14517">
        <v>13641</v>
      </c>
      <c r="M14517" t="s">
        <v>1471</v>
      </c>
      <c r="N14517" t="str">
        <f>"40001790    "</f>
        <v xml:space="preserve">40001790    </v>
      </c>
      <c r="O14517">
        <v>230331</v>
      </c>
    </row>
    <row r="14518" spans="1:15" x14ac:dyDescent="0.25">
      <c r="A14518" t="s">
        <v>16</v>
      </c>
      <c r="B14518" t="s">
        <v>3221</v>
      </c>
      <c r="C14518">
        <v>5266</v>
      </c>
      <c r="D14518" t="s">
        <v>3202</v>
      </c>
      <c r="E14518" t="s">
        <v>3203</v>
      </c>
      <c r="F14518">
        <v>1855.8</v>
      </c>
      <c r="G14518">
        <v>230501</v>
      </c>
      <c r="H14518">
        <v>4820</v>
      </c>
      <c r="I14518" t="s">
        <v>50</v>
      </c>
      <c r="J14518">
        <v>2301.19</v>
      </c>
      <c r="K14518">
        <v>445.39</v>
      </c>
      <c r="L14518">
        <v>17955</v>
      </c>
      <c r="M14518" t="s">
        <v>933</v>
      </c>
      <c r="N14518" t="str">
        <f>"40001846    "</f>
        <v xml:space="preserve">40001846    </v>
      </c>
      <c r="O14518">
        <v>230419</v>
      </c>
    </row>
    <row r="14519" spans="1:15" x14ac:dyDescent="0.25">
      <c r="A14519" t="s">
        <v>16</v>
      </c>
      <c r="B14519" t="s">
        <v>3221</v>
      </c>
      <c r="C14519">
        <v>5267</v>
      </c>
      <c r="D14519" t="s">
        <v>3202</v>
      </c>
      <c r="E14519" t="s">
        <v>3203</v>
      </c>
      <c r="F14519">
        <v>688.94</v>
      </c>
      <c r="G14519">
        <v>230501</v>
      </c>
      <c r="H14519">
        <v>4820</v>
      </c>
      <c r="I14519" t="s">
        <v>50</v>
      </c>
      <c r="J14519">
        <v>854.29</v>
      </c>
      <c r="K14519">
        <v>165.35</v>
      </c>
      <c r="L14519">
        <v>17955</v>
      </c>
      <c r="M14519" t="s">
        <v>933</v>
      </c>
      <c r="N14519" t="str">
        <f>"40001847    "</f>
        <v xml:space="preserve">40001847    </v>
      </c>
      <c r="O14519">
        <v>230419</v>
      </c>
    </row>
    <row r="14520" spans="1:15" x14ac:dyDescent="0.25">
      <c r="A14520" t="s">
        <v>16</v>
      </c>
      <c r="B14520" t="s">
        <v>3221</v>
      </c>
      <c r="C14520">
        <v>5442</v>
      </c>
      <c r="D14520" t="s">
        <v>3202</v>
      </c>
      <c r="E14520" t="s">
        <v>3203</v>
      </c>
      <c r="F14520">
        <v>1689.89</v>
      </c>
      <c r="G14520">
        <v>230501</v>
      </c>
      <c r="H14520">
        <v>4820</v>
      </c>
      <c r="I14520" t="s">
        <v>50</v>
      </c>
      <c r="J14520">
        <v>2095.46</v>
      </c>
      <c r="K14520">
        <v>405.57</v>
      </c>
      <c r="L14520">
        <v>13841</v>
      </c>
      <c r="M14520" t="s">
        <v>47</v>
      </c>
      <c r="N14520" t="str">
        <f>"40001845    "</f>
        <v xml:space="preserve">40001845    </v>
      </c>
      <c r="O14520">
        <v>230424</v>
      </c>
    </row>
    <row r="14521" spans="1:15" x14ac:dyDescent="0.25">
      <c r="A14521" t="s">
        <v>16</v>
      </c>
      <c r="B14521" t="s">
        <v>3221</v>
      </c>
      <c r="C14521">
        <v>5443</v>
      </c>
      <c r="D14521" t="s">
        <v>3202</v>
      </c>
      <c r="E14521" t="s">
        <v>3203</v>
      </c>
      <c r="F14521">
        <v>2448.19</v>
      </c>
      <c r="G14521">
        <v>230501</v>
      </c>
      <c r="H14521">
        <v>4820</v>
      </c>
      <c r="I14521" t="s">
        <v>50</v>
      </c>
      <c r="J14521">
        <v>3035.76</v>
      </c>
      <c r="K14521">
        <v>587.57000000000005</v>
      </c>
      <c r="L14521">
        <v>13641</v>
      </c>
      <c r="M14521" t="s">
        <v>1471</v>
      </c>
      <c r="N14521" t="str">
        <f>"40001848    "</f>
        <v xml:space="preserve">40001848    </v>
      </c>
      <c r="O14521">
        <v>230424</v>
      </c>
    </row>
    <row r="14522" spans="1:15" x14ac:dyDescent="0.25">
      <c r="A14522" t="s">
        <v>16</v>
      </c>
      <c r="B14522" t="s">
        <v>3221</v>
      </c>
      <c r="C14522">
        <v>6939</v>
      </c>
      <c r="D14522" t="s">
        <v>3202</v>
      </c>
      <c r="E14522" t="s">
        <v>3203</v>
      </c>
      <c r="F14522">
        <v>688.94</v>
      </c>
      <c r="G14522">
        <v>230601</v>
      </c>
      <c r="H14522">
        <v>4820</v>
      </c>
      <c r="I14522" t="s">
        <v>50</v>
      </c>
      <c r="J14522">
        <v>854.29</v>
      </c>
      <c r="K14522">
        <v>165.35</v>
      </c>
      <c r="L14522">
        <v>17955</v>
      </c>
      <c r="M14522" t="s">
        <v>933</v>
      </c>
      <c r="N14522" t="str">
        <f>"40001904    "</f>
        <v xml:space="preserve">40001904    </v>
      </c>
      <c r="O14522">
        <v>230523</v>
      </c>
    </row>
    <row r="14523" spans="1:15" x14ac:dyDescent="0.25">
      <c r="A14523" t="s">
        <v>16</v>
      </c>
      <c r="B14523" t="s">
        <v>3221</v>
      </c>
      <c r="C14523">
        <v>6941</v>
      </c>
      <c r="D14523" t="s">
        <v>3202</v>
      </c>
      <c r="E14523" t="s">
        <v>3203</v>
      </c>
      <c r="F14523">
        <v>1855.8</v>
      </c>
      <c r="G14523">
        <v>230601</v>
      </c>
      <c r="H14523">
        <v>4820</v>
      </c>
      <c r="I14523" t="s">
        <v>50</v>
      </c>
      <c r="J14523">
        <v>2301.19</v>
      </c>
      <c r="K14523">
        <v>445.39</v>
      </c>
      <c r="L14523">
        <v>17955</v>
      </c>
      <c r="M14523" t="s">
        <v>933</v>
      </c>
      <c r="N14523" t="str">
        <f>"40001903    "</f>
        <v xml:space="preserve">40001903    </v>
      </c>
      <c r="O14523">
        <v>230523</v>
      </c>
    </row>
    <row r="14524" spans="1:15" x14ac:dyDescent="0.25">
      <c r="A14524" t="s">
        <v>16</v>
      </c>
      <c r="B14524" t="s">
        <v>3221</v>
      </c>
      <c r="C14524">
        <v>7089</v>
      </c>
      <c r="D14524" t="s">
        <v>3202</v>
      </c>
      <c r="E14524" t="s">
        <v>3203</v>
      </c>
      <c r="F14524">
        <v>2448.19</v>
      </c>
      <c r="G14524">
        <v>230601</v>
      </c>
      <c r="H14524">
        <v>4820</v>
      </c>
      <c r="I14524" t="s">
        <v>50</v>
      </c>
      <c r="J14524">
        <v>3035.76</v>
      </c>
      <c r="K14524">
        <v>587.57000000000005</v>
      </c>
      <c r="L14524">
        <v>13641</v>
      </c>
      <c r="M14524" t="s">
        <v>1471</v>
      </c>
      <c r="N14524" t="str">
        <f>"40001905    "</f>
        <v xml:space="preserve">40001905    </v>
      </c>
      <c r="O14524">
        <v>230525</v>
      </c>
    </row>
    <row r="14525" spans="1:15" x14ac:dyDescent="0.25">
      <c r="A14525" t="s">
        <v>16</v>
      </c>
      <c r="B14525" t="s">
        <v>3221</v>
      </c>
      <c r="C14525">
        <v>7312</v>
      </c>
      <c r="D14525" t="s">
        <v>3202</v>
      </c>
      <c r="E14525" t="s">
        <v>3203</v>
      </c>
      <c r="F14525">
        <v>1689.89</v>
      </c>
      <c r="G14525">
        <v>230601</v>
      </c>
      <c r="H14525">
        <v>4820</v>
      </c>
      <c r="I14525" t="s">
        <v>50</v>
      </c>
      <c r="J14525">
        <v>2095.46</v>
      </c>
      <c r="K14525">
        <v>405.57</v>
      </c>
      <c r="L14525">
        <v>13841</v>
      </c>
      <c r="M14525" t="s">
        <v>47</v>
      </c>
      <c r="N14525" t="str">
        <f>"40001902    "</f>
        <v xml:space="preserve">40001902    </v>
      </c>
      <c r="O14525">
        <v>230529</v>
      </c>
    </row>
    <row r="14526" spans="1:15" x14ac:dyDescent="0.25">
      <c r="A14526" t="s">
        <v>16</v>
      </c>
      <c r="B14526" t="s">
        <v>3221</v>
      </c>
      <c r="C14526">
        <v>8898</v>
      </c>
      <c r="D14526" t="s">
        <v>3202</v>
      </c>
      <c r="E14526" t="s">
        <v>3203</v>
      </c>
      <c r="F14526">
        <v>160</v>
      </c>
      <c r="G14526">
        <v>230531</v>
      </c>
      <c r="H14526">
        <v>4820</v>
      </c>
      <c r="I14526" t="s">
        <v>50</v>
      </c>
      <c r="J14526">
        <v>176</v>
      </c>
      <c r="K14526">
        <v>16</v>
      </c>
      <c r="L14526">
        <v>13841</v>
      </c>
      <c r="M14526" t="s">
        <v>47</v>
      </c>
      <c r="N14526" t="str">
        <f>"10007419    "</f>
        <v xml:space="preserve">10007419    </v>
      </c>
      <c r="O14526">
        <v>230619</v>
      </c>
    </row>
    <row r="14527" spans="1:15" x14ac:dyDescent="0.25">
      <c r="A14527" t="s">
        <v>16</v>
      </c>
      <c r="B14527" t="s">
        <v>3221</v>
      </c>
      <c r="C14527">
        <v>8898</v>
      </c>
      <c r="D14527" t="s">
        <v>3202</v>
      </c>
      <c r="E14527" t="s">
        <v>3203</v>
      </c>
      <c r="F14527">
        <v>210</v>
      </c>
      <c r="G14527">
        <v>230531</v>
      </c>
      <c r="H14527">
        <v>4820</v>
      </c>
      <c r="I14527" t="s">
        <v>50</v>
      </c>
      <c r="J14527">
        <v>260.39999999999998</v>
      </c>
      <c r="K14527">
        <v>50.4</v>
      </c>
      <c r="L14527">
        <v>13841</v>
      </c>
      <c r="M14527" t="s">
        <v>47</v>
      </c>
      <c r="N14527" t="str">
        <f>"10007419    "</f>
        <v xml:space="preserve">10007419    </v>
      </c>
      <c r="O14527">
        <v>230619</v>
      </c>
    </row>
    <row r="14528" spans="1:15" x14ac:dyDescent="0.25">
      <c r="A14528" t="s">
        <v>16</v>
      </c>
      <c r="B14528" t="s">
        <v>3221</v>
      </c>
      <c r="C14528">
        <v>8899</v>
      </c>
      <c r="D14528" t="s">
        <v>3202</v>
      </c>
      <c r="E14528" t="s">
        <v>3203</v>
      </c>
      <c r="F14528">
        <v>2875</v>
      </c>
      <c r="G14528">
        <v>230531</v>
      </c>
      <c r="H14528">
        <v>4820</v>
      </c>
      <c r="I14528" t="s">
        <v>50</v>
      </c>
      <c r="J14528">
        <v>3565</v>
      </c>
      <c r="K14528">
        <v>690</v>
      </c>
      <c r="L14528">
        <v>13841</v>
      </c>
      <c r="M14528" t="s">
        <v>47</v>
      </c>
      <c r="N14528" t="str">
        <f>"10007418    "</f>
        <v xml:space="preserve">10007418    </v>
      </c>
      <c r="O14528">
        <v>230619</v>
      </c>
    </row>
    <row r="14529" spans="1:15" x14ac:dyDescent="0.25">
      <c r="A14529" t="s">
        <v>16</v>
      </c>
      <c r="B14529" t="s">
        <v>3221</v>
      </c>
      <c r="C14529">
        <v>8901</v>
      </c>
      <c r="D14529" t="s">
        <v>3202</v>
      </c>
      <c r="E14529" t="s">
        <v>3203</v>
      </c>
      <c r="F14529">
        <v>130</v>
      </c>
      <c r="G14529">
        <v>230531</v>
      </c>
      <c r="H14529">
        <v>4820</v>
      </c>
      <c r="I14529" t="s">
        <v>50</v>
      </c>
      <c r="J14529">
        <v>143</v>
      </c>
      <c r="K14529">
        <v>13</v>
      </c>
      <c r="L14529">
        <v>13841</v>
      </c>
      <c r="M14529" t="s">
        <v>47</v>
      </c>
      <c r="N14529" t="str">
        <f>"10007420    "</f>
        <v xml:space="preserve">10007420    </v>
      </c>
      <c r="O14529">
        <v>230619</v>
      </c>
    </row>
    <row r="14530" spans="1:15" x14ac:dyDescent="0.25">
      <c r="A14530" t="s">
        <v>16</v>
      </c>
      <c r="B14530" t="s">
        <v>3221</v>
      </c>
      <c r="C14530">
        <v>8976</v>
      </c>
      <c r="D14530" t="s">
        <v>3202</v>
      </c>
      <c r="E14530" t="s">
        <v>3203</v>
      </c>
      <c r="F14530">
        <v>688.94</v>
      </c>
      <c r="G14530">
        <v>230701</v>
      </c>
      <c r="H14530">
        <v>4820</v>
      </c>
      <c r="I14530" t="s">
        <v>50</v>
      </c>
      <c r="J14530">
        <v>854.29</v>
      </c>
      <c r="K14530">
        <v>165.35</v>
      </c>
      <c r="L14530">
        <v>17955</v>
      </c>
      <c r="M14530" t="s">
        <v>933</v>
      </c>
      <c r="N14530" t="str">
        <f>"40001963    "</f>
        <v xml:space="preserve">40001963    </v>
      </c>
      <c r="O14530">
        <v>230620</v>
      </c>
    </row>
    <row r="14531" spans="1:15" x14ac:dyDescent="0.25">
      <c r="A14531" t="s">
        <v>16</v>
      </c>
      <c r="B14531" t="s">
        <v>3221</v>
      </c>
      <c r="C14531">
        <v>8984</v>
      </c>
      <c r="D14531" t="s">
        <v>3202</v>
      </c>
      <c r="E14531" t="s">
        <v>3203</v>
      </c>
      <c r="F14531">
        <v>1855.8</v>
      </c>
      <c r="G14531">
        <v>230701</v>
      </c>
      <c r="H14531">
        <v>4820</v>
      </c>
      <c r="I14531" t="s">
        <v>50</v>
      </c>
      <c r="J14531">
        <v>2301.19</v>
      </c>
      <c r="K14531">
        <v>445.39</v>
      </c>
      <c r="L14531">
        <v>17955</v>
      </c>
      <c r="M14531" t="s">
        <v>933</v>
      </c>
      <c r="N14531" t="str">
        <f>"40001962    "</f>
        <v xml:space="preserve">40001962    </v>
      </c>
      <c r="O14531">
        <v>230620</v>
      </c>
    </row>
    <row r="14532" spans="1:15" x14ac:dyDescent="0.25">
      <c r="A14532" t="s">
        <v>16</v>
      </c>
      <c r="B14532" t="s">
        <v>3221</v>
      </c>
      <c r="C14532">
        <v>8985</v>
      </c>
      <c r="D14532" t="s">
        <v>3202</v>
      </c>
      <c r="E14532" t="s">
        <v>3203</v>
      </c>
      <c r="F14532">
        <v>1689.89</v>
      </c>
      <c r="G14532">
        <v>230701</v>
      </c>
      <c r="H14532">
        <v>4820</v>
      </c>
      <c r="I14532" t="s">
        <v>50</v>
      </c>
      <c r="J14532">
        <v>2095.46</v>
      </c>
      <c r="K14532">
        <v>405.57</v>
      </c>
      <c r="L14532">
        <v>13841</v>
      </c>
      <c r="M14532" t="s">
        <v>47</v>
      </c>
      <c r="N14532" t="str">
        <f>"40001961    "</f>
        <v xml:space="preserve">40001961    </v>
      </c>
      <c r="O14532">
        <v>230620</v>
      </c>
    </row>
    <row r="14533" spans="1:15" x14ac:dyDescent="0.25">
      <c r="A14533" t="s">
        <v>16</v>
      </c>
      <c r="B14533" t="s">
        <v>3221</v>
      </c>
      <c r="C14533">
        <v>8986</v>
      </c>
      <c r="D14533" t="s">
        <v>3202</v>
      </c>
      <c r="E14533" t="s">
        <v>3203</v>
      </c>
      <c r="F14533">
        <v>2448.19</v>
      </c>
      <c r="G14533">
        <v>230701</v>
      </c>
      <c r="H14533">
        <v>4820</v>
      </c>
      <c r="I14533" t="s">
        <v>50</v>
      </c>
      <c r="J14533">
        <v>3035.76</v>
      </c>
      <c r="K14533">
        <v>587.57000000000005</v>
      </c>
      <c r="L14533">
        <v>13641</v>
      </c>
      <c r="M14533" t="s">
        <v>1471</v>
      </c>
      <c r="N14533" t="str">
        <f>"40001964    "</f>
        <v xml:space="preserve">40001964    </v>
      </c>
      <c r="O14533">
        <v>230620</v>
      </c>
    </row>
    <row r="14534" spans="1:15" x14ac:dyDescent="0.25">
      <c r="A14534" t="s">
        <v>16</v>
      </c>
      <c r="B14534" t="s">
        <v>3221</v>
      </c>
      <c r="C14534">
        <v>9726</v>
      </c>
      <c r="D14534" t="s">
        <v>3202</v>
      </c>
      <c r="E14534" t="s">
        <v>3203</v>
      </c>
      <c r="F14534">
        <v>2448.19</v>
      </c>
      <c r="G14534">
        <v>230801</v>
      </c>
      <c r="H14534">
        <v>4820</v>
      </c>
      <c r="I14534" t="s">
        <v>50</v>
      </c>
      <c r="J14534">
        <v>3035.76</v>
      </c>
      <c r="K14534">
        <v>587.57000000000005</v>
      </c>
      <c r="L14534">
        <v>13641</v>
      </c>
      <c r="M14534" t="s">
        <v>1471</v>
      </c>
      <c r="N14534" t="str">
        <f>"40002022    "</f>
        <v xml:space="preserve">40002022    </v>
      </c>
      <c r="O14534">
        <v>230720</v>
      </c>
    </row>
    <row r="14535" spans="1:15" x14ac:dyDescent="0.25">
      <c r="A14535" t="s">
        <v>16</v>
      </c>
      <c r="B14535" t="s">
        <v>3221</v>
      </c>
      <c r="C14535">
        <v>9727</v>
      </c>
      <c r="D14535" t="s">
        <v>3202</v>
      </c>
      <c r="E14535" t="s">
        <v>3203</v>
      </c>
      <c r="F14535">
        <v>1689.89</v>
      </c>
      <c r="G14535">
        <v>230801</v>
      </c>
      <c r="H14535">
        <v>4820</v>
      </c>
      <c r="I14535" t="s">
        <v>50</v>
      </c>
      <c r="J14535">
        <v>2095.46</v>
      </c>
      <c r="K14535">
        <v>405.57</v>
      </c>
      <c r="L14535">
        <v>13841</v>
      </c>
      <c r="M14535" t="s">
        <v>47</v>
      </c>
      <c r="N14535" t="str">
        <f>"40002019    "</f>
        <v xml:space="preserve">40002019    </v>
      </c>
      <c r="O14535">
        <v>230720</v>
      </c>
    </row>
    <row r="14536" spans="1:15" x14ac:dyDescent="0.25">
      <c r="A14536" t="s">
        <v>16</v>
      </c>
      <c r="B14536" t="s">
        <v>3221</v>
      </c>
      <c r="C14536">
        <v>9784</v>
      </c>
      <c r="D14536" t="s">
        <v>3202</v>
      </c>
      <c r="E14536" t="s">
        <v>3203</v>
      </c>
      <c r="F14536">
        <v>688.94</v>
      </c>
      <c r="G14536">
        <v>230801</v>
      </c>
      <c r="H14536">
        <v>4820</v>
      </c>
      <c r="I14536" t="s">
        <v>50</v>
      </c>
      <c r="J14536">
        <v>854.29</v>
      </c>
      <c r="K14536">
        <v>165.35</v>
      </c>
      <c r="L14536">
        <v>17955</v>
      </c>
      <c r="M14536" t="s">
        <v>933</v>
      </c>
      <c r="N14536" t="str">
        <f>"40002021    "</f>
        <v xml:space="preserve">40002021    </v>
      </c>
      <c r="O14536">
        <v>230725</v>
      </c>
    </row>
    <row r="14537" spans="1:15" x14ac:dyDescent="0.25">
      <c r="A14537" t="s">
        <v>16</v>
      </c>
      <c r="B14537" t="s">
        <v>3221</v>
      </c>
      <c r="C14537">
        <v>9785</v>
      </c>
      <c r="D14537" t="s">
        <v>3202</v>
      </c>
      <c r="E14537" t="s">
        <v>3203</v>
      </c>
      <c r="F14537">
        <v>1855.8</v>
      </c>
      <c r="G14537">
        <v>230801</v>
      </c>
      <c r="H14537">
        <v>4820</v>
      </c>
      <c r="I14537" t="s">
        <v>50</v>
      </c>
      <c r="J14537">
        <v>2301.19</v>
      </c>
      <c r="K14537">
        <v>445.39</v>
      </c>
      <c r="L14537">
        <v>17955</v>
      </c>
      <c r="M14537" t="s">
        <v>933</v>
      </c>
      <c r="N14537" t="str">
        <f>"40002020    "</f>
        <v xml:space="preserve">40002020    </v>
      </c>
      <c r="O14537">
        <v>230725</v>
      </c>
    </row>
    <row r="14538" spans="1:15" x14ac:dyDescent="0.25">
      <c r="A14538" t="s">
        <v>16</v>
      </c>
      <c r="B14538" t="s">
        <v>3221</v>
      </c>
      <c r="C14538">
        <v>10461</v>
      </c>
      <c r="D14538" t="s">
        <v>3202</v>
      </c>
      <c r="E14538" t="s">
        <v>3203</v>
      </c>
      <c r="F14538">
        <v>688.94</v>
      </c>
      <c r="G14538">
        <v>230901</v>
      </c>
      <c r="H14538">
        <v>4820</v>
      </c>
      <c r="I14538" t="s">
        <v>50</v>
      </c>
      <c r="J14538">
        <v>854.29</v>
      </c>
      <c r="K14538">
        <v>165.35</v>
      </c>
      <c r="L14538">
        <v>17955</v>
      </c>
      <c r="M14538" t="s">
        <v>933</v>
      </c>
      <c r="N14538" t="str">
        <f>"40002079    "</f>
        <v xml:space="preserve">40002079    </v>
      </c>
      <c r="O14538">
        <v>230816</v>
      </c>
    </row>
    <row r="14539" spans="1:15" x14ac:dyDescent="0.25">
      <c r="A14539" t="s">
        <v>16</v>
      </c>
      <c r="B14539" t="s">
        <v>3221</v>
      </c>
      <c r="C14539">
        <v>10462</v>
      </c>
      <c r="D14539" t="s">
        <v>3202</v>
      </c>
      <c r="E14539" t="s">
        <v>3203</v>
      </c>
      <c r="F14539">
        <v>1855.8</v>
      </c>
      <c r="G14539">
        <v>230901</v>
      </c>
      <c r="H14539">
        <v>4820</v>
      </c>
      <c r="I14539" t="s">
        <v>50</v>
      </c>
      <c r="J14539">
        <v>2301.19</v>
      </c>
      <c r="K14539">
        <v>445.39</v>
      </c>
      <c r="L14539">
        <v>17955</v>
      </c>
      <c r="M14539" t="s">
        <v>933</v>
      </c>
      <c r="N14539" t="str">
        <f>"40002078    "</f>
        <v xml:space="preserve">40002078    </v>
      </c>
      <c r="O14539">
        <v>230816</v>
      </c>
    </row>
    <row r="14540" spans="1:15" x14ac:dyDescent="0.25">
      <c r="A14540" t="s">
        <v>16</v>
      </c>
      <c r="B14540" t="s">
        <v>3221</v>
      </c>
      <c r="C14540">
        <v>10707</v>
      </c>
      <c r="D14540" t="s">
        <v>3202</v>
      </c>
      <c r="E14540" t="s">
        <v>3203</v>
      </c>
      <c r="F14540">
        <v>1689.89</v>
      </c>
      <c r="G14540">
        <v>230901</v>
      </c>
      <c r="H14540">
        <v>4820</v>
      </c>
      <c r="I14540" t="s">
        <v>50</v>
      </c>
      <c r="J14540">
        <v>2095.46</v>
      </c>
      <c r="K14540">
        <v>405.57</v>
      </c>
      <c r="L14540">
        <v>13841</v>
      </c>
      <c r="M14540" t="s">
        <v>47</v>
      </c>
      <c r="N14540" t="str">
        <f>"40002077    "</f>
        <v xml:space="preserve">40002077    </v>
      </c>
      <c r="O14540">
        <v>230822</v>
      </c>
    </row>
    <row r="14541" spans="1:15" x14ac:dyDescent="0.25">
      <c r="A14541" t="s">
        <v>16</v>
      </c>
      <c r="B14541" t="s">
        <v>3221</v>
      </c>
      <c r="C14541">
        <v>10710</v>
      </c>
      <c r="D14541" t="s">
        <v>3202</v>
      </c>
      <c r="E14541" t="s">
        <v>3203</v>
      </c>
      <c r="F14541">
        <v>2448.19</v>
      </c>
      <c r="G14541">
        <v>230901</v>
      </c>
      <c r="H14541">
        <v>4820</v>
      </c>
      <c r="I14541" t="s">
        <v>50</v>
      </c>
      <c r="J14541">
        <v>3035.76</v>
      </c>
      <c r="K14541">
        <v>587.57000000000005</v>
      </c>
      <c r="L14541">
        <v>13641</v>
      </c>
      <c r="M14541" t="s">
        <v>1471</v>
      </c>
      <c r="N14541" t="str">
        <f>"40002080    "</f>
        <v xml:space="preserve">40002080    </v>
      </c>
      <c r="O14541">
        <v>230822</v>
      </c>
    </row>
    <row r="14542" spans="1:15" x14ac:dyDescent="0.25">
      <c r="A14542" t="s">
        <v>16</v>
      </c>
      <c r="B14542" t="s">
        <v>3221</v>
      </c>
      <c r="C14542">
        <v>12367</v>
      </c>
      <c r="D14542" t="s">
        <v>3202</v>
      </c>
      <c r="E14542" t="s">
        <v>3203</v>
      </c>
      <c r="F14542">
        <v>688.94</v>
      </c>
      <c r="G14542">
        <v>231001</v>
      </c>
      <c r="H14542">
        <v>4820</v>
      </c>
      <c r="I14542" t="s">
        <v>50</v>
      </c>
      <c r="J14542">
        <v>854.29</v>
      </c>
      <c r="K14542">
        <v>165.35</v>
      </c>
      <c r="L14542">
        <v>17955</v>
      </c>
      <c r="M14542" t="s">
        <v>933</v>
      </c>
      <c r="N14542" t="str">
        <f>"40002137    "</f>
        <v xml:space="preserve">40002137    </v>
      </c>
      <c r="O14542">
        <v>230918</v>
      </c>
    </row>
    <row r="14543" spans="1:15" x14ac:dyDescent="0.25">
      <c r="A14543" t="s">
        <v>16</v>
      </c>
      <c r="B14543" t="s">
        <v>3221</v>
      </c>
      <c r="C14543">
        <v>12368</v>
      </c>
      <c r="D14543" t="s">
        <v>3202</v>
      </c>
      <c r="E14543" t="s">
        <v>3203</v>
      </c>
      <c r="F14543">
        <v>1855.8</v>
      </c>
      <c r="G14543">
        <v>231001</v>
      </c>
      <c r="H14543">
        <v>4820</v>
      </c>
      <c r="I14543" t="s">
        <v>50</v>
      </c>
      <c r="J14543">
        <v>2301.19</v>
      </c>
      <c r="K14543">
        <v>445.39</v>
      </c>
      <c r="L14543">
        <v>17955</v>
      </c>
      <c r="M14543" t="s">
        <v>933</v>
      </c>
      <c r="N14543" t="str">
        <f>"40002136    "</f>
        <v xml:space="preserve">40002136    </v>
      </c>
      <c r="O14543">
        <v>230918</v>
      </c>
    </row>
    <row r="14544" spans="1:15" x14ac:dyDescent="0.25">
      <c r="A14544" t="s">
        <v>16</v>
      </c>
      <c r="B14544" t="s">
        <v>3221</v>
      </c>
      <c r="C14544">
        <v>12455</v>
      </c>
      <c r="D14544" t="s">
        <v>3202</v>
      </c>
      <c r="E14544" t="s">
        <v>3203</v>
      </c>
      <c r="F14544">
        <v>2448.19</v>
      </c>
      <c r="G14544">
        <v>231001</v>
      </c>
      <c r="H14544">
        <v>4820</v>
      </c>
      <c r="I14544" t="s">
        <v>50</v>
      </c>
      <c r="J14544">
        <v>3035.76</v>
      </c>
      <c r="K14544">
        <v>587.57000000000005</v>
      </c>
      <c r="L14544">
        <v>13641</v>
      </c>
      <c r="M14544" t="s">
        <v>1471</v>
      </c>
      <c r="N14544" t="str">
        <f>"40002138    "</f>
        <v xml:space="preserve">40002138    </v>
      </c>
      <c r="O14544">
        <v>230920</v>
      </c>
    </row>
    <row r="14545" spans="1:15" x14ac:dyDescent="0.25">
      <c r="A14545" t="s">
        <v>16</v>
      </c>
      <c r="B14545" t="s">
        <v>3221</v>
      </c>
      <c r="C14545">
        <v>12456</v>
      </c>
      <c r="D14545" t="s">
        <v>3202</v>
      </c>
      <c r="E14545" t="s">
        <v>3203</v>
      </c>
      <c r="F14545">
        <v>1689.89</v>
      </c>
      <c r="G14545">
        <v>231001</v>
      </c>
      <c r="H14545">
        <v>4820</v>
      </c>
      <c r="I14545" t="s">
        <v>50</v>
      </c>
      <c r="J14545">
        <v>2095.46</v>
      </c>
      <c r="K14545">
        <v>405.57</v>
      </c>
      <c r="L14545">
        <v>13841</v>
      </c>
      <c r="M14545" t="s">
        <v>47</v>
      </c>
      <c r="N14545" t="str">
        <f>"40002135    "</f>
        <v xml:space="preserve">40002135    </v>
      </c>
      <c r="O14545">
        <v>230920</v>
      </c>
    </row>
    <row r="14546" spans="1:15" x14ac:dyDescent="0.25">
      <c r="A14546" t="s">
        <v>16</v>
      </c>
      <c r="B14546" t="s">
        <v>3221</v>
      </c>
      <c r="C14546">
        <v>14385</v>
      </c>
      <c r="D14546" t="s">
        <v>3202</v>
      </c>
      <c r="E14546" t="s">
        <v>3203</v>
      </c>
      <c r="F14546">
        <v>1689.89</v>
      </c>
      <c r="G14546">
        <v>231101</v>
      </c>
      <c r="H14546">
        <v>4820</v>
      </c>
      <c r="I14546" t="s">
        <v>50</v>
      </c>
      <c r="J14546">
        <v>2095.46</v>
      </c>
      <c r="K14546">
        <v>405.57</v>
      </c>
      <c r="L14546">
        <v>13841</v>
      </c>
      <c r="M14546" t="s">
        <v>47</v>
      </c>
      <c r="N14546" t="str">
        <f>"40002193    "</f>
        <v xml:space="preserve">40002193    </v>
      </c>
      <c r="O14546">
        <v>231030</v>
      </c>
    </row>
    <row r="14547" spans="1:15" x14ac:dyDescent="0.25">
      <c r="A14547" t="s">
        <v>16</v>
      </c>
      <c r="B14547" t="s">
        <v>3221</v>
      </c>
      <c r="C14547">
        <v>14389</v>
      </c>
      <c r="D14547" t="s">
        <v>3202</v>
      </c>
      <c r="E14547" t="s">
        <v>3203</v>
      </c>
      <c r="F14547">
        <v>688.94</v>
      </c>
      <c r="G14547">
        <v>231101</v>
      </c>
      <c r="H14547">
        <v>4820</v>
      </c>
      <c r="I14547" t="s">
        <v>50</v>
      </c>
      <c r="J14547">
        <v>854.29</v>
      </c>
      <c r="K14547">
        <v>165.35</v>
      </c>
      <c r="L14547">
        <v>17955</v>
      </c>
      <c r="M14547" t="s">
        <v>933</v>
      </c>
      <c r="N14547" t="str">
        <f>"40002195    "</f>
        <v xml:space="preserve">40002195    </v>
      </c>
      <c r="O14547">
        <v>231030</v>
      </c>
    </row>
    <row r="14548" spans="1:15" x14ac:dyDescent="0.25">
      <c r="A14548" t="s">
        <v>16</v>
      </c>
      <c r="B14548" t="s">
        <v>3221</v>
      </c>
      <c r="C14548">
        <v>14406</v>
      </c>
      <c r="D14548" t="s">
        <v>3202</v>
      </c>
      <c r="E14548" t="s">
        <v>3203</v>
      </c>
      <c r="F14548">
        <v>1855.8</v>
      </c>
      <c r="G14548">
        <v>231101</v>
      </c>
      <c r="H14548">
        <v>4820</v>
      </c>
      <c r="I14548" t="s">
        <v>50</v>
      </c>
      <c r="J14548">
        <v>2301.19</v>
      </c>
      <c r="K14548">
        <v>445.39</v>
      </c>
      <c r="L14548">
        <v>17955</v>
      </c>
      <c r="M14548" t="s">
        <v>933</v>
      </c>
      <c r="N14548" t="str">
        <f>"40002194    "</f>
        <v xml:space="preserve">40002194    </v>
      </c>
      <c r="O14548">
        <v>231030</v>
      </c>
    </row>
    <row r="14549" spans="1:15" x14ac:dyDescent="0.25">
      <c r="A14549" t="s">
        <v>16</v>
      </c>
      <c r="B14549" t="s">
        <v>3221</v>
      </c>
      <c r="C14549">
        <v>14407</v>
      </c>
      <c r="D14549" t="s">
        <v>3202</v>
      </c>
      <c r="E14549" t="s">
        <v>3203</v>
      </c>
      <c r="F14549">
        <v>2448.19</v>
      </c>
      <c r="G14549">
        <v>231101</v>
      </c>
      <c r="H14549">
        <v>4820</v>
      </c>
      <c r="I14549" t="s">
        <v>50</v>
      </c>
      <c r="J14549">
        <v>3035.76</v>
      </c>
      <c r="K14549">
        <v>587.57000000000005</v>
      </c>
      <c r="L14549">
        <v>13641</v>
      </c>
      <c r="M14549" t="s">
        <v>1471</v>
      </c>
      <c r="N14549" t="str">
        <f>"40002196    "</f>
        <v xml:space="preserve">40002196    </v>
      </c>
      <c r="O14549">
        <v>231030</v>
      </c>
    </row>
    <row r="14550" spans="1:15" x14ac:dyDescent="0.25">
      <c r="A14550" t="s">
        <v>16</v>
      </c>
      <c r="B14550" t="s">
        <v>3221</v>
      </c>
      <c r="C14550">
        <v>16070</v>
      </c>
      <c r="D14550" t="s">
        <v>3202</v>
      </c>
      <c r="E14550" t="s">
        <v>3203</v>
      </c>
      <c r="F14550">
        <v>1855.8</v>
      </c>
      <c r="G14550">
        <v>231201</v>
      </c>
      <c r="H14550">
        <v>4820</v>
      </c>
      <c r="I14550" t="s">
        <v>50</v>
      </c>
      <c r="J14550">
        <v>2301.19</v>
      </c>
      <c r="K14550">
        <v>445.39</v>
      </c>
      <c r="L14550">
        <v>17955</v>
      </c>
      <c r="M14550" t="s">
        <v>933</v>
      </c>
      <c r="N14550" t="str">
        <f>"40002252    "</f>
        <v xml:space="preserve">40002252    </v>
      </c>
      <c r="O14550">
        <v>231122</v>
      </c>
    </row>
    <row r="14551" spans="1:15" x14ac:dyDescent="0.25">
      <c r="A14551" t="s">
        <v>16</v>
      </c>
      <c r="B14551" t="s">
        <v>3221</v>
      </c>
      <c r="C14551">
        <v>16078</v>
      </c>
      <c r="D14551" t="s">
        <v>3202</v>
      </c>
      <c r="E14551" t="s">
        <v>3203</v>
      </c>
      <c r="F14551">
        <v>688.94</v>
      </c>
      <c r="G14551">
        <v>231201</v>
      </c>
      <c r="H14551">
        <v>4820</v>
      </c>
      <c r="I14551" t="s">
        <v>50</v>
      </c>
      <c r="J14551">
        <v>854.29</v>
      </c>
      <c r="K14551">
        <v>165.35</v>
      </c>
      <c r="L14551">
        <v>17955</v>
      </c>
      <c r="M14551" t="s">
        <v>933</v>
      </c>
      <c r="N14551" t="str">
        <f>"40002253    "</f>
        <v xml:space="preserve">40002253    </v>
      </c>
      <c r="O14551">
        <v>231122</v>
      </c>
    </row>
    <row r="14552" spans="1:15" x14ac:dyDescent="0.25">
      <c r="A14552" t="s">
        <v>16</v>
      </c>
      <c r="B14552" t="s">
        <v>3221</v>
      </c>
      <c r="C14552">
        <v>16129</v>
      </c>
      <c r="D14552" t="s">
        <v>3202</v>
      </c>
      <c r="E14552" t="s">
        <v>3203</v>
      </c>
      <c r="F14552">
        <v>2448.19</v>
      </c>
      <c r="G14552">
        <v>231201</v>
      </c>
      <c r="H14552">
        <v>4820</v>
      </c>
      <c r="I14552" t="s">
        <v>50</v>
      </c>
      <c r="J14552">
        <v>3035.76</v>
      </c>
      <c r="K14552">
        <v>587.57000000000005</v>
      </c>
      <c r="L14552">
        <v>13641</v>
      </c>
      <c r="M14552" t="s">
        <v>1471</v>
      </c>
      <c r="N14552" t="str">
        <f>"40002254    "</f>
        <v xml:space="preserve">40002254    </v>
      </c>
      <c r="O14552">
        <v>231123</v>
      </c>
    </row>
    <row r="14553" spans="1:15" x14ac:dyDescent="0.25">
      <c r="A14553" t="s">
        <v>16</v>
      </c>
      <c r="B14553" t="s">
        <v>3221</v>
      </c>
      <c r="C14553">
        <v>16339</v>
      </c>
      <c r="D14553" t="s">
        <v>3202</v>
      </c>
      <c r="E14553" t="s">
        <v>3203</v>
      </c>
      <c r="F14553">
        <v>1689.89</v>
      </c>
      <c r="G14553">
        <v>231201</v>
      </c>
      <c r="H14553">
        <v>4820</v>
      </c>
      <c r="I14553" t="s">
        <v>50</v>
      </c>
      <c r="J14553">
        <v>2095.46</v>
      </c>
      <c r="K14553">
        <v>405.57</v>
      </c>
      <c r="L14553">
        <v>13841</v>
      </c>
      <c r="M14553" t="s">
        <v>47</v>
      </c>
      <c r="N14553" t="str">
        <f>"40002251    "</f>
        <v xml:space="preserve">40002251    </v>
      </c>
      <c r="O14553">
        <v>231128</v>
      </c>
    </row>
    <row r="14554" spans="1:15" x14ac:dyDescent="0.25">
      <c r="A14554" t="s">
        <v>16</v>
      </c>
      <c r="B14554" t="s">
        <v>3221</v>
      </c>
      <c r="C14554">
        <v>18040</v>
      </c>
      <c r="D14554" t="s">
        <v>3202</v>
      </c>
      <c r="E14554" t="s">
        <v>3203</v>
      </c>
      <c r="F14554">
        <v>1855</v>
      </c>
      <c r="G14554">
        <v>231215</v>
      </c>
      <c r="H14554">
        <v>4820</v>
      </c>
      <c r="I14554" t="s">
        <v>50</v>
      </c>
      <c r="J14554">
        <v>2300.1999999999998</v>
      </c>
      <c r="K14554">
        <v>445.2</v>
      </c>
      <c r="L14554">
        <v>13841</v>
      </c>
      <c r="M14554" t="s">
        <v>47</v>
      </c>
      <c r="N14554" t="str">
        <f>"10009122    "</f>
        <v xml:space="preserve">10009122    </v>
      </c>
      <c r="O14554">
        <v>231229</v>
      </c>
    </row>
    <row r="14555" spans="1:15" x14ac:dyDescent="0.25">
      <c r="A14555" t="s">
        <v>16</v>
      </c>
      <c r="B14555" t="s">
        <v>3221</v>
      </c>
      <c r="C14555">
        <v>18423</v>
      </c>
      <c r="D14555" t="s">
        <v>3202</v>
      </c>
      <c r="E14555" t="s">
        <v>3203</v>
      </c>
      <c r="F14555">
        <v>675</v>
      </c>
      <c r="G14555">
        <v>231222</v>
      </c>
      <c r="H14555">
        <v>4820</v>
      </c>
      <c r="I14555" t="s">
        <v>50</v>
      </c>
      <c r="J14555">
        <v>837</v>
      </c>
      <c r="K14555">
        <v>162</v>
      </c>
      <c r="L14555">
        <v>13841</v>
      </c>
      <c r="M14555" t="s">
        <v>47</v>
      </c>
      <c r="N14555" t="str">
        <f>"10009155    "</f>
        <v xml:space="preserve">10009155    </v>
      </c>
      <c r="O14555">
        <v>240103</v>
      </c>
    </row>
    <row r="14556" spans="1:15" x14ac:dyDescent="0.25">
      <c r="A14556" t="s">
        <v>16</v>
      </c>
      <c r="B14556" t="s">
        <v>3221</v>
      </c>
      <c r="C14556">
        <v>18669</v>
      </c>
      <c r="D14556" t="s">
        <v>3202</v>
      </c>
      <c r="E14556" t="s">
        <v>3203</v>
      </c>
      <c r="F14556">
        <v>90</v>
      </c>
      <c r="G14556">
        <v>231222</v>
      </c>
      <c r="H14556">
        <v>4820</v>
      </c>
      <c r="I14556" t="s">
        <v>50</v>
      </c>
      <c r="J14556">
        <v>111.6</v>
      </c>
      <c r="K14556">
        <v>21.6</v>
      </c>
      <c r="L14556">
        <v>13803</v>
      </c>
      <c r="M14556" t="s">
        <v>3317</v>
      </c>
      <c r="N14556" t="str">
        <f>"10009156    "</f>
        <v xml:space="preserve">10009156    </v>
      </c>
      <c r="O14556">
        <v>240104</v>
      </c>
    </row>
    <row r="14557" spans="1:15" x14ac:dyDescent="0.25">
      <c r="A14557" t="s">
        <v>16</v>
      </c>
      <c r="B14557" t="s">
        <v>3221</v>
      </c>
      <c r="C14557">
        <v>18669</v>
      </c>
      <c r="D14557" t="s">
        <v>3202</v>
      </c>
      <c r="E14557" t="s">
        <v>3203</v>
      </c>
      <c r="F14557">
        <v>90</v>
      </c>
      <c r="G14557">
        <v>231222</v>
      </c>
      <c r="H14557">
        <v>4820</v>
      </c>
      <c r="I14557" t="s">
        <v>50</v>
      </c>
      <c r="J14557">
        <v>111.6</v>
      </c>
      <c r="K14557">
        <v>21.6</v>
      </c>
      <c r="L14557">
        <v>13841</v>
      </c>
      <c r="M14557" t="s">
        <v>47</v>
      </c>
      <c r="N14557" t="str">
        <f>"10009156    "</f>
        <v xml:space="preserve">10009156    </v>
      </c>
      <c r="O14557">
        <v>240104</v>
      </c>
    </row>
    <row r="14558" spans="1:15" x14ac:dyDescent="0.25">
      <c r="A14558" t="s">
        <v>16</v>
      </c>
      <c r="B14558" t="s">
        <v>3221</v>
      </c>
      <c r="C14558">
        <v>18669</v>
      </c>
      <c r="D14558" t="s">
        <v>3202</v>
      </c>
      <c r="E14558" t="s">
        <v>3203</v>
      </c>
      <c r="F14558">
        <v>290</v>
      </c>
      <c r="G14558">
        <v>231222</v>
      </c>
      <c r="H14558">
        <v>4820</v>
      </c>
      <c r="I14558" t="s">
        <v>50</v>
      </c>
      <c r="J14558">
        <v>319</v>
      </c>
      <c r="K14558">
        <v>29</v>
      </c>
      <c r="L14558">
        <v>13841</v>
      </c>
      <c r="M14558" t="s">
        <v>47</v>
      </c>
      <c r="N14558" t="str">
        <f>"10009156    "</f>
        <v xml:space="preserve">10009156    </v>
      </c>
      <c r="O14558">
        <v>240104</v>
      </c>
    </row>
    <row r="14559" spans="1:15" x14ac:dyDescent="0.25">
      <c r="A14559" t="s">
        <v>16</v>
      </c>
      <c r="B14559" t="s">
        <v>3221</v>
      </c>
      <c r="C14559">
        <v>19269</v>
      </c>
      <c r="D14559" t="s">
        <v>3202</v>
      </c>
      <c r="E14559" t="s">
        <v>3203</v>
      </c>
      <c r="F14559">
        <v>163.63999999999999</v>
      </c>
      <c r="G14559">
        <v>231231</v>
      </c>
      <c r="H14559">
        <v>4820</v>
      </c>
      <c r="I14559" t="s">
        <v>50</v>
      </c>
      <c r="J14559">
        <v>180</v>
      </c>
      <c r="K14559">
        <v>16.36</v>
      </c>
      <c r="L14559">
        <v>13841</v>
      </c>
      <c r="M14559" t="s">
        <v>47</v>
      </c>
      <c r="N14559" t="str">
        <f>"10009212    "</f>
        <v xml:space="preserve">10009212    </v>
      </c>
      <c r="O14559">
        <v>240115</v>
      </c>
    </row>
    <row r="14560" spans="1:15" x14ac:dyDescent="0.25">
      <c r="A14560" t="s">
        <v>16</v>
      </c>
      <c r="B14560" t="s">
        <v>3221</v>
      </c>
      <c r="C14560">
        <v>19299</v>
      </c>
      <c r="D14560" t="s">
        <v>3202</v>
      </c>
      <c r="E14560" t="s">
        <v>3203</v>
      </c>
      <c r="F14560">
        <v>200</v>
      </c>
      <c r="G14560">
        <v>231231</v>
      </c>
      <c r="H14560">
        <v>4820</v>
      </c>
      <c r="I14560" t="s">
        <v>50</v>
      </c>
      <c r="J14560">
        <v>220</v>
      </c>
      <c r="K14560">
        <v>20</v>
      </c>
      <c r="L14560">
        <v>13841</v>
      </c>
      <c r="M14560" t="s">
        <v>47</v>
      </c>
      <c r="N14560" t="str">
        <f>"10009234    "</f>
        <v xml:space="preserve">10009234    </v>
      </c>
      <c r="O14560">
        <v>240116</v>
      </c>
    </row>
    <row r="14561" spans="1:15" x14ac:dyDescent="0.25">
      <c r="A14561" t="s">
        <v>16</v>
      </c>
      <c r="B14561" t="s">
        <v>3221</v>
      </c>
      <c r="C14561">
        <v>3679</v>
      </c>
      <c r="D14561" t="s">
        <v>1592</v>
      </c>
      <c r="E14561" t="s">
        <v>1593</v>
      </c>
      <c r="F14561">
        <v>28.55</v>
      </c>
      <c r="G14561">
        <v>230314</v>
      </c>
      <c r="H14561">
        <v>4500</v>
      </c>
      <c r="I14561" t="s">
        <v>212</v>
      </c>
      <c r="J14561">
        <v>35.4</v>
      </c>
      <c r="K14561">
        <v>6.85</v>
      </c>
      <c r="L14561">
        <v>13802</v>
      </c>
      <c r="M14561" t="s">
        <v>200</v>
      </c>
      <c r="N14561" t="str">
        <f>"140323      "</f>
        <v xml:space="preserve">140323      </v>
      </c>
      <c r="O14561">
        <v>230321</v>
      </c>
    </row>
    <row r="14562" spans="1:15" x14ac:dyDescent="0.25">
      <c r="A14562" t="s">
        <v>16</v>
      </c>
      <c r="B14562" t="s">
        <v>3221</v>
      </c>
      <c r="C14562">
        <v>3679</v>
      </c>
      <c r="D14562" t="s">
        <v>1592</v>
      </c>
      <c r="E14562" t="s">
        <v>1593</v>
      </c>
      <c r="F14562">
        <v>131.51</v>
      </c>
      <c r="G14562">
        <v>230314</v>
      </c>
      <c r="H14562">
        <v>4500</v>
      </c>
      <c r="I14562" t="s">
        <v>212</v>
      </c>
      <c r="J14562">
        <v>163.07</v>
      </c>
      <c r="K14562">
        <v>31.56</v>
      </c>
      <c r="L14562">
        <v>13802</v>
      </c>
      <c r="M14562" t="s">
        <v>200</v>
      </c>
      <c r="N14562" t="str">
        <f>"140323      "</f>
        <v xml:space="preserve">140323      </v>
      </c>
      <c r="O14562">
        <v>230321</v>
      </c>
    </row>
    <row r="14563" spans="1:15" x14ac:dyDescent="0.25">
      <c r="A14563" t="s">
        <v>16</v>
      </c>
      <c r="B14563" t="s">
        <v>3221</v>
      </c>
      <c r="C14563">
        <v>7466</v>
      </c>
      <c r="D14563" t="s">
        <v>1592</v>
      </c>
      <c r="E14563" t="s">
        <v>1593</v>
      </c>
      <c r="F14563">
        <v>53.62</v>
      </c>
      <c r="G14563">
        <v>230510</v>
      </c>
      <c r="H14563">
        <v>4500</v>
      </c>
      <c r="I14563" t="s">
        <v>212</v>
      </c>
      <c r="J14563">
        <v>66.489999999999995</v>
      </c>
      <c r="K14563">
        <v>12.87</v>
      </c>
      <c r="L14563">
        <v>13802</v>
      </c>
      <c r="M14563" t="s">
        <v>200</v>
      </c>
      <c r="N14563" t="str">
        <f>"230523      "</f>
        <v xml:space="preserve">230523      </v>
      </c>
      <c r="O14563">
        <v>230531</v>
      </c>
    </row>
    <row r="14564" spans="1:15" x14ac:dyDescent="0.25">
      <c r="A14564" t="s">
        <v>16</v>
      </c>
      <c r="B14564" t="s">
        <v>3221</v>
      </c>
      <c r="C14564">
        <v>11283</v>
      </c>
      <c r="D14564" t="s">
        <v>1592</v>
      </c>
      <c r="E14564" t="s">
        <v>1593</v>
      </c>
      <c r="F14564">
        <v>20.65</v>
      </c>
      <c r="G14564">
        <v>230831</v>
      </c>
      <c r="H14564">
        <v>4500</v>
      </c>
      <c r="I14564" t="s">
        <v>212</v>
      </c>
      <c r="J14564">
        <v>25.6</v>
      </c>
      <c r="K14564">
        <v>4.95</v>
      </c>
      <c r="L14564">
        <v>13802</v>
      </c>
      <c r="M14564" t="s">
        <v>200</v>
      </c>
      <c r="N14564" t="str">
        <f>"310823      "</f>
        <v xml:space="preserve">310823      </v>
      </c>
      <c r="O14564">
        <v>230904</v>
      </c>
    </row>
    <row r="14565" spans="1:15" x14ac:dyDescent="0.25">
      <c r="A14565" t="s">
        <v>16</v>
      </c>
      <c r="B14565" t="s">
        <v>3221</v>
      </c>
      <c r="C14565">
        <v>11283</v>
      </c>
      <c r="D14565" t="s">
        <v>1592</v>
      </c>
      <c r="E14565" t="s">
        <v>1593</v>
      </c>
      <c r="F14565">
        <v>77.19</v>
      </c>
      <c r="G14565">
        <v>230831</v>
      </c>
      <c r="H14565">
        <v>4500</v>
      </c>
      <c r="I14565" t="s">
        <v>212</v>
      </c>
      <c r="J14565">
        <v>95.72</v>
      </c>
      <c r="K14565">
        <v>18.53</v>
      </c>
      <c r="L14565">
        <v>13802</v>
      </c>
      <c r="M14565" t="s">
        <v>200</v>
      </c>
      <c r="N14565" t="str">
        <f>"310823      "</f>
        <v xml:space="preserve">310823      </v>
      </c>
      <c r="O14565">
        <v>230904</v>
      </c>
    </row>
    <row r="14566" spans="1:15" x14ac:dyDescent="0.25">
      <c r="A14566" t="s">
        <v>16</v>
      </c>
      <c r="B14566" t="s">
        <v>3221</v>
      </c>
      <c r="C14566">
        <v>12391</v>
      </c>
      <c r="D14566" t="s">
        <v>1592</v>
      </c>
      <c r="E14566" t="s">
        <v>1593</v>
      </c>
      <c r="F14566">
        <v>20.65</v>
      </c>
      <c r="G14566">
        <v>230908</v>
      </c>
      <c r="H14566">
        <v>4500</v>
      </c>
      <c r="I14566" t="s">
        <v>212</v>
      </c>
      <c r="J14566">
        <v>25.6</v>
      </c>
      <c r="K14566">
        <v>4.95</v>
      </c>
      <c r="L14566">
        <v>13802</v>
      </c>
      <c r="M14566" t="s">
        <v>200</v>
      </c>
      <c r="N14566" t="str">
        <f>"140923      "</f>
        <v xml:space="preserve">140923      </v>
      </c>
      <c r="O14566">
        <v>230919</v>
      </c>
    </row>
    <row r="14567" spans="1:15" x14ac:dyDescent="0.25">
      <c r="A14567" t="s">
        <v>16</v>
      </c>
      <c r="B14567" t="s">
        <v>3221</v>
      </c>
      <c r="C14567">
        <v>12391</v>
      </c>
      <c r="D14567" t="s">
        <v>1592</v>
      </c>
      <c r="E14567" t="s">
        <v>1593</v>
      </c>
      <c r="F14567">
        <v>93.87</v>
      </c>
      <c r="G14567">
        <v>230908</v>
      </c>
      <c r="H14567">
        <v>4500</v>
      </c>
      <c r="I14567" t="s">
        <v>212</v>
      </c>
      <c r="J14567">
        <v>116.4</v>
      </c>
      <c r="K14567">
        <v>22.53</v>
      </c>
      <c r="L14567">
        <v>13802</v>
      </c>
      <c r="M14567" t="s">
        <v>200</v>
      </c>
      <c r="N14567" t="str">
        <f>"140923      "</f>
        <v xml:space="preserve">140923      </v>
      </c>
      <c r="O14567">
        <v>230919</v>
      </c>
    </row>
    <row r="14568" spans="1:15" x14ac:dyDescent="0.25">
      <c r="A14568" t="s">
        <v>16</v>
      </c>
      <c r="B14568" t="s">
        <v>3221</v>
      </c>
      <c r="C14568">
        <v>17357</v>
      </c>
      <c r="D14568" t="s">
        <v>1592</v>
      </c>
      <c r="E14568" t="s">
        <v>1593</v>
      </c>
      <c r="F14568">
        <v>110.6</v>
      </c>
      <c r="G14568">
        <v>231128</v>
      </c>
      <c r="H14568">
        <v>4500</v>
      </c>
      <c r="I14568" t="s">
        <v>212</v>
      </c>
      <c r="J14568">
        <v>137.15</v>
      </c>
      <c r="K14568">
        <v>26.55</v>
      </c>
      <c r="L14568">
        <v>13802</v>
      </c>
      <c r="M14568" t="s">
        <v>200</v>
      </c>
      <c r="N14568" t="str">
        <f>"051223      "</f>
        <v xml:space="preserve">051223      </v>
      </c>
      <c r="O14568">
        <v>231213</v>
      </c>
    </row>
    <row r="14569" spans="1:15" x14ac:dyDescent="0.25">
      <c r="A14569" t="s">
        <v>16</v>
      </c>
      <c r="B14569" t="s">
        <v>3221</v>
      </c>
      <c r="C14569">
        <v>10237</v>
      </c>
      <c r="D14569" t="s">
        <v>2355</v>
      </c>
      <c r="E14569" t="s">
        <v>2356</v>
      </c>
      <c r="F14569">
        <v>260.48</v>
      </c>
      <c r="G14569">
        <v>230810</v>
      </c>
      <c r="H14569">
        <v>4380</v>
      </c>
      <c r="I14569" t="s">
        <v>113</v>
      </c>
      <c r="J14569">
        <v>323</v>
      </c>
      <c r="K14569">
        <v>62.52</v>
      </c>
      <c r="L14569">
        <v>17955</v>
      </c>
      <c r="M14569" t="s">
        <v>933</v>
      </c>
      <c r="N14569" t="str">
        <f>"8291        "</f>
        <v xml:space="preserve">8291        </v>
      </c>
      <c r="O14569">
        <v>230810</v>
      </c>
    </row>
    <row r="14570" spans="1:15" x14ac:dyDescent="0.25">
      <c r="A14570" t="s">
        <v>16</v>
      </c>
      <c r="B14570" t="s">
        <v>3221</v>
      </c>
      <c r="C14570">
        <v>10237</v>
      </c>
      <c r="D14570" t="s">
        <v>2355</v>
      </c>
      <c r="E14570" t="s">
        <v>2356</v>
      </c>
      <c r="F14570">
        <v>8.06</v>
      </c>
      <c r="G14570">
        <v>230810</v>
      </c>
      <c r="H14570">
        <v>4347</v>
      </c>
      <c r="I14570" t="s">
        <v>193</v>
      </c>
      <c r="J14570">
        <v>10</v>
      </c>
      <c r="K14570">
        <v>1.94</v>
      </c>
      <c r="L14570">
        <v>17955</v>
      </c>
      <c r="M14570" t="s">
        <v>933</v>
      </c>
      <c r="N14570" t="str">
        <f>"8291        "</f>
        <v xml:space="preserve">8291        </v>
      </c>
      <c r="O14570">
        <v>230810</v>
      </c>
    </row>
    <row r="14571" spans="1:15" x14ac:dyDescent="0.25">
      <c r="A14571" t="s">
        <v>16</v>
      </c>
      <c r="B14571" t="s">
        <v>3221</v>
      </c>
      <c r="C14571">
        <v>11477</v>
      </c>
      <c r="D14571" t="s">
        <v>1750</v>
      </c>
      <c r="E14571" t="s">
        <v>1751</v>
      </c>
      <c r="F14571">
        <v>300</v>
      </c>
      <c r="G14571">
        <v>230828</v>
      </c>
      <c r="H14571">
        <v>4580</v>
      </c>
      <c r="I14571" t="s">
        <v>35</v>
      </c>
      <c r="J14571">
        <v>300</v>
      </c>
      <c r="K14571">
        <v>0</v>
      </c>
      <c r="L14571">
        <v>17535</v>
      </c>
      <c r="M14571" t="s">
        <v>357</v>
      </c>
      <c r="N14571" t="str">
        <f>"6866        "</f>
        <v xml:space="preserve">6866        </v>
      </c>
      <c r="O14571">
        <v>230906</v>
      </c>
    </row>
    <row r="14572" spans="1:15" x14ac:dyDescent="0.25">
      <c r="A14572" t="s">
        <v>16</v>
      </c>
      <c r="B14572" t="s">
        <v>3221</v>
      </c>
      <c r="C14572">
        <v>4773</v>
      </c>
      <c r="D14572" t="s">
        <v>1750</v>
      </c>
      <c r="E14572" t="s">
        <v>1751</v>
      </c>
      <c r="F14572">
        <v>64.44</v>
      </c>
      <c r="G14572">
        <v>230404</v>
      </c>
      <c r="H14572">
        <v>4500</v>
      </c>
      <c r="I14572" t="s">
        <v>212</v>
      </c>
      <c r="J14572">
        <v>79.900000000000006</v>
      </c>
      <c r="K14572">
        <v>15.46</v>
      </c>
      <c r="L14572">
        <v>13802</v>
      </c>
      <c r="M14572" t="s">
        <v>200</v>
      </c>
      <c r="N14572" t="str">
        <f>"6317        "</f>
        <v xml:space="preserve">6317        </v>
      </c>
      <c r="O14572">
        <v>230412</v>
      </c>
    </row>
    <row r="14573" spans="1:15" x14ac:dyDescent="0.25">
      <c r="A14573" t="s">
        <v>16</v>
      </c>
      <c r="B14573" t="s">
        <v>3221</v>
      </c>
      <c r="C14573">
        <v>15740</v>
      </c>
      <c r="D14573" t="s">
        <v>1750</v>
      </c>
      <c r="E14573" t="s">
        <v>1751</v>
      </c>
      <c r="F14573">
        <v>60.48</v>
      </c>
      <c r="G14573">
        <v>231108</v>
      </c>
      <c r="H14573">
        <v>4500</v>
      </c>
      <c r="I14573" t="s">
        <v>212</v>
      </c>
      <c r="J14573">
        <v>75</v>
      </c>
      <c r="K14573">
        <v>14.52</v>
      </c>
      <c r="L14573">
        <v>13802</v>
      </c>
      <c r="M14573" t="s">
        <v>200</v>
      </c>
      <c r="N14573" t="str">
        <f>"7147        "</f>
        <v xml:space="preserve">7147        </v>
      </c>
      <c r="O14573">
        <v>231116</v>
      </c>
    </row>
    <row r="14574" spans="1:15" x14ac:dyDescent="0.25">
      <c r="A14574" t="s">
        <v>16</v>
      </c>
      <c r="B14574" t="s">
        <v>3221</v>
      </c>
      <c r="C14574">
        <v>4270</v>
      </c>
      <c r="D14574" t="s">
        <v>1398</v>
      </c>
      <c r="E14574" t="s">
        <v>1399</v>
      </c>
      <c r="F14574">
        <v>233.86</v>
      </c>
      <c r="G14574">
        <v>230329</v>
      </c>
      <c r="H14574">
        <v>4532</v>
      </c>
      <c r="I14574" t="s">
        <v>116</v>
      </c>
      <c r="J14574">
        <v>289.99</v>
      </c>
      <c r="K14574">
        <v>56.13</v>
      </c>
      <c r="L14574">
        <v>56558</v>
      </c>
      <c r="M14574" t="s">
        <v>217</v>
      </c>
      <c r="N14574" t="str">
        <f>"674         "</f>
        <v xml:space="preserve">674         </v>
      </c>
      <c r="O14574">
        <v>230403</v>
      </c>
    </row>
    <row r="14575" spans="1:15" x14ac:dyDescent="0.25">
      <c r="A14575" t="s">
        <v>16</v>
      </c>
      <c r="B14575" t="s">
        <v>3221</v>
      </c>
      <c r="C14575">
        <v>2445</v>
      </c>
      <c r="D14575" t="s">
        <v>1398</v>
      </c>
      <c r="E14575" t="s">
        <v>1399</v>
      </c>
      <c r="F14575">
        <v>281.45999999999998</v>
      </c>
      <c r="G14575">
        <v>230221</v>
      </c>
      <c r="H14575">
        <v>4600</v>
      </c>
      <c r="I14575" t="s">
        <v>105</v>
      </c>
      <c r="J14575">
        <v>349.01</v>
      </c>
      <c r="K14575">
        <v>67.55</v>
      </c>
      <c r="L14575">
        <v>17971</v>
      </c>
      <c r="M14575" t="s">
        <v>138</v>
      </c>
      <c r="N14575" t="str">
        <f>"646         "</f>
        <v xml:space="preserve">646         </v>
      </c>
      <c r="O14575">
        <v>230227</v>
      </c>
    </row>
    <row r="14576" spans="1:15" x14ac:dyDescent="0.25">
      <c r="A14576" t="s">
        <v>16</v>
      </c>
      <c r="B14576" t="s">
        <v>3221</v>
      </c>
      <c r="C14576">
        <v>11363</v>
      </c>
      <c r="D14576" t="s">
        <v>1398</v>
      </c>
      <c r="E14576" t="s">
        <v>1399</v>
      </c>
      <c r="F14576">
        <v>281.45999999999998</v>
      </c>
      <c r="G14576">
        <v>230830</v>
      </c>
      <c r="H14576">
        <v>4600</v>
      </c>
      <c r="I14576" t="s">
        <v>105</v>
      </c>
      <c r="J14576">
        <v>349.01</v>
      </c>
      <c r="K14576">
        <v>67.55</v>
      </c>
      <c r="L14576">
        <v>11301</v>
      </c>
      <c r="M14576" t="s">
        <v>29</v>
      </c>
      <c r="N14576" t="str">
        <f>"751         "</f>
        <v xml:space="preserve">751         </v>
      </c>
      <c r="O14576">
        <v>230904</v>
      </c>
    </row>
    <row r="14577" spans="1:15" x14ac:dyDescent="0.25">
      <c r="A14577" t="s">
        <v>16</v>
      </c>
      <c r="B14577" t="s">
        <v>3221</v>
      </c>
      <c r="C14577">
        <v>5824</v>
      </c>
      <c r="D14577" t="s">
        <v>3442</v>
      </c>
      <c r="E14577" t="s">
        <v>3443</v>
      </c>
      <c r="F14577">
        <v>1120</v>
      </c>
      <c r="G14577">
        <v>230427</v>
      </c>
      <c r="H14577">
        <v>4820</v>
      </c>
      <c r="I14577" t="s">
        <v>50</v>
      </c>
      <c r="J14577">
        <v>1120</v>
      </c>
      <c r="K14577">
        <v>0</v>
      </c>
      <c r="L14577">
        <v>13841</v>
      </c>
      <c r="M14577" t="s">
        <v>47</v>
      </c>
      <c r="N14577" t="str">
        <f>"280423      "</f>
        <v xml:space="preserve">280423      </v>
      </c>
      <c r="O14577">
        <v>230503</v>
      </c>
    </row>
    <row r="14578" spans="1:15" x14ac:dyDescent="0.25">
      <c r="A14578" t="s">
        <v>16</v>
      </c>
      <c r="B14578" t="s">
        <v>3221</v>
      </c>
      <c r="C14578">
        <v>17386</v>
      </c>
      <c r="D14578" t="s">
        <v>3442</v>
      </c>
      <c r="E14578" t="s">
        <v>3443</v>
      </c>
      <c r="F14578">
        <v>960</v>
      </c>
      <c r="G14578">
        <v>231130</v>
      </c>
      <c r="H14578">
        <v>4820</v>
      </c>
      <c r="I14578" t="s">
        <v>50</v>
      </c>
      <c r="J14578">
        <v>960</v>
      </c>
      <c r="K14578">
        <v>0</v>
      </c>
      <c r="L14578">
        <v>13841</v>
      </c>
      <c r="M14578" t="s">
        <v>47</v>
      </c>
      <c r="N14578" t="str">
        <f>"081223      "</f>
        <v xml:space="preserve">081223      </v>
      </c>
      <c r="O14578">
        <v>231213</v>
      </c>
    </row>
    <row r="14579" spans="1:15" x14ac:dyDescent="0.25">
      <c r="A14579" t="s">
        <v>16</v>
      </c>
      <c r="B14579" t="s">
        <v>3221</v>
      </c>
      <c r="C14579">
        <v>2059</v>
      </c>
      <c r="D14579" t="s">
        <v>1280</v>
      </c>
      <c r="E14579" t="s">
        <v>1281</v>
      </c>
      <c r="F14579">
        <v>64.680000000000007</v>
      </c>
      <c r="G14579">
        <v>230213</v>
      </c>
      <c r="H14579">
        <v>4580</v>
      </c>
      <c r="I14579" t="s">
        <v>35</v>
      </c>
      <c r="J14579">
        <v>80.2</v>
      </c>
      <c r="K14579">
        <v>15.52</v>
      </c>
      <c r="L14579">
        <v>17804</v>
      </c>
      <c r="M14579" t="s">
        <v>549</v>
      </c>
      <c r="N14579" t="str">
        <f>"46438       "</f>
        <v xml:space="preserve">46438       </v>
      </c>
      <c r="O14579">
        <v>230220</v>
      </c>
    </row>
    <row r="14580" spans="1:15" x14ac:dyDescent="0.25">
      <c r="A14580" t="s">
        <v>16</v>
      </c>
      <c r="B14580" t="s">
        <v>3221</v>
      </c>
      <c r="C14580">
        <v>6095</v>
      </c>
      <c r="D14580" t="s">
        <v>1280</v>
      </c>
      <c r="E14580" t="s">
        <v>1281</v>
      </c>
      <c r="F14580">
        <v>197.66</v>
      </c>
      <c r="G14580">
        <v>230429</v>
      </c>
      <c r="H14580">
        <v>4580</v>
      </c>
      <c r="I14580" t="s">
        <v>35</v>
      </c>
      <c r="J14580">
        <v>245.1</v>
      </c>
      <c r="K14580">
        <v>47.44</v>
      </c>
      <c r="L14580">
        <v>17804</v>
      </c>
      <c r="M14580" t="s">
        <v>549</v>
      </c>
      <c r="N14580" t="str">
        <f>"48052       "</f>
        <v xml:space="preserve">48052       </v>
      </c>
      <c r="O14580">
        <v>230508</v>
      </c>
    </row>
    <row r="14581" spans="1:15" x14ac:dyDescent="0.25">
      <c r="A14581" t="s">
        <v>16</v>
      </c>
      <c r="B14581" t="s">
        <v>3221</v>
      </c>
      <c r="C14581">
        <v>11158</v>
      </c>
      <c r="D14581" t="s">
        <v>1280</v>
      </c>
      <c r="E14581" t="s">
        <v>1281</v>
      </c>
      <c r="F14581">
        <v>88.11</v>
      </c>
      <c r="G14581">
        <v>230824</v>
      </c>
      <c r="H14581">
        <v>4580</v>
      </c>
      <c r="I14581" t="s">
        <v>35</v>
      </c>
      <c r="J14581">
        <v>109.26</v>
      </c>
      <c r="K14581">
        <v>21.15</v>
      </c>
      <c r="L14581">
        <v>17803</v>
      </c>
      <c r="M14581" t="s">
        <v>389</v>
      </c>
      <c r="N14581" t="str">
        <f>"50443       "</f>
        <v xml:space="preserve">50443       </v>
      </c>
      <c r="O14581">
        <v>230830</v>
      </c>
    </row>
    <row r="14582" spans="1:15" x14ac:dyDescent="0.25">
      <c r="A14582" t="s">
        <v>16</v>
      </c>
      <c r="B14582" t="s">
        <v>3221</v>
      </c>
      <c r="C14582">
        <v>11322</v>
      </c>
      <c r="D14582" t="s">
        <v>1280</v>
      </c>
      <c r="E14582" t="s">
        <v>1281</v>
      </c>
      <c r="F14582">
        <v>291.94</v>
      </c>
      <c r="G14582">
        <v>230831</v>
      </c>
      <c r="H14582">
        <v>4580</v>
      </c>
      <c r="I14582" t="s">
        <v>35</v>
      </c>
      <c r="J14582">
        <v>362.01</v>
      </c>
      <c r="K14582">
        <v>70.069999999999993</v>
      </c>
      <c r="L14582">
        <v>17803</v>
      </c>
      <c r="M14582" t="s">
        <v>389</v>
      </c>
      <c r="N14582" t="str">
        <f>"50746       "</f>
        <v xml:space="preserve">50746       </v>
      </c>
      <c r="O14582">
        <v>230904</v>
      </c>
    </row>
    <row r="14583" spans="1:15" x14ac:dyDescent="0.25">
      <c r="A14583" t="s">
        <v>16</v>
      </c>
      <c r="B14583" t="s">
        <v>3221</v>
      </c>
      <c r="C14583">
        <v>15977</v>
      </c>
      <c r="D14583" t="s">
        <v>1280</v>
      </c>
      <c r="E14583" t="s">
        <v>1281</v>
      </c>
      <c r="F14583">
        <v>422.04</v>
      </c>
      <c r="G14583">
        <v>231115</v>
      </c>
      <c r="H14583">
        <v>4580</v>
      </c>
      <c r="I14583" t="s">
        <v>35</v>
      </c>
      <c r="J14583">
        <v>523.33000000000004</v>
      </c>
      <c r="K14583">
        <v>101.29</v>
      </c>
      <c r="L14583">
        <v>17804</v>
      </c>
      <c r="M14583" t="s">
        <v>549</v>
      </c>
      <c r="N14583" t="str">
        <f>"52450       "</f>
        <v xml:space="preserve">52450       </v>
      </c>
      <c r="O14583">
        <v>231122</v>
      </c>
    </row>
    <row r="14584" spans="1:15" x14ac:dyDescent="0.25">
      <c r="A14584" t="s">
        <v>16</v>
      </c>
      <c r="B14584" t="s">
        <v>3221</v>
      </c>
      <c r="C14584">
        <v>2149</v>
      </c>
      <c r="D14584" t="s">
        <v>1280</v>
      </c>
      <c r="E14584" t="s">
        <v>1281</v>
      </c>
      <c r="F14584">
        <v>157.85</v>
      </c>
      <c r="G14584">
        <v>230217</v>
      </c>
      <c r="H14584">
        <v>4600</v>
      </c>
      <c r="I14584" t="s">
        <v>105</v>
      </c>
      <c r="J14584">
        <v>195.74</v>
      </c>
      <c r="K14584">
        <v>37.89</v>
      </c>
      <c r="L14584">
        <v>17804</v>
      </c>
      <c r="M14584" t="s">
        <v>549</v>
      </c>
      <c r="N14584" t="str">
        <f>"46553       "</f>
        <v xml:space="preserve">46553       </v>
      </c>
      <c r="O14584">
        <v>230221</v>
      </c>
    </row>
    <row r="14585" spans="1:15" x14ac:dyDescent="0.25">
      <c r="A14585" t="s">
        <v>16</v>
      </c>
      <c r="B14585" t="s">
        <v>3221</v>
      </c>
      <c r="C14585">
        <v>5085</v>
      </c>
      <c r="D14585" t="s">
        <v>1280</v>
      </c>
      <c r="E14585" t="s">
        <v>1281</v>
      </c>
      <c r="F14585">
        <v>109.27</v>
      </c>
      <c r="G14585">
        <v>230411</v>
      </c>
      <c r="H14585">
        <v>4600</v>
      </c>
      <c r="I14585" t="s">
        <v>105</v>
      </c>
      <c r="J14585">
        <v>135.5</v>
      </c>
      <c r="K14585">
        <v>26.23</v>
      </c>
      <c r="L14585">
        <v>17804</v>
      </c>
      <c r="M14585" t="s">
        <v>549</v>
      </c>
      <c r="N14585" t="str">
        <f>"47542       "</f>
        <v xml:space="preserve">47542       </v>
      </c>
      <c r="O14585">
        <v>230418</v>
      </c>
    </row>
    <row r="14586" spans="1:15" x14ac:dyDescent="0.25">
      <c r="A14586" t="s">
        <v>16</v>
      </c>
      <c r="B14586" t="s">
        <v>3221</v>
      </c>
      <c r="C14586">
        <v>6807</v>
      </c>
      <c r="D14586" t="s">
        <v>1280</v>
      </c>
      <c r="E14586" t="s">
        <v>1281</v>
      </c>
      <c r="F14586">
        <v>73.459999999999994</v>
      </c>
      <c r="G14586">
        <v>230515</v>
      </c>
      <c r="H14586">
        <v>4600</v>
      </c>
      <c r="I14586" t="s">
        <v>105</v>
      </c>
      <c r="J14586">
        <v>91.09</v>
      </c>
      <c r="K14586">
        <v>17.63</v>
      </c>
      <c r="L14586">
        <v>17804</v>
      </c>
      <c r="M14586" t="s">
        <v>549</v>
      </c>
      <c r="N14586" t="str">
        <f>"48398       "</f>
        <v xml:space="preserve">48398       </v>
      </c>
      <c r="O14586">
        <v>230522</v>
      </c>
    </row>
    <row r="14587" spans="1:15" x14ac:dyDescent="0.25">
      <c r="A14587" t="s">
        <v>16</v>
      </c>
      <c r="B14587" t="s">
        <v>3221</v>
      </c>
      <c r="C14587">
        <v>7857</v>
      </c>
      <c r="D14587" t="s">
        <v>1280</v>
      </c>
      <c r="E14587" t="s">
        <v>1281</v>
      </c>
      <c r="F14587">
        <v>67.95</v>
      </c>
      <c r="G14587">
        <v>230531</v>
      </c>
      <c r="H14587">
        <v>4600</v>
      </c>
      <c r="I14587" t="s">
        <v>105</v>
      </c>
      <c r="J14587">
        <v>84.26</v>
      </c>
      <c r="K14587">
        <v>16.309999999999999</v>
      </c>
      <c r="L14587">
        <v>17804</v>
      </c>
      <c r="M14587" t="s">
        <v>549</v>
      </c>
      <c r="N14587" t="str">
        <f>"48733       "</f>
        <v xml:space="preserve">48733       </v>
      </c>
      <c r="O14587">
        <v>230605</v>
      </c>
    </row>
    <row r="14588" spans="1:15" x14ac:dyDescent="0.25">
      <c r="A14588" t="s">
        <v>16</v>
      </c>
      <c r="B14588" t="s">
        <v>3221</v>
      </c>
      <c r="C14588">
        <v>13063</v>
      </c>
      <c r="D14588" t="s">
        <v>1280</v>
      </c>
      <c r="E14588" t="s">
        <v>1281</v>
      </c>
      <c r="F14588">
        <v>358.9</v>
      </c>
      <c r="G14588">
        <v>230927</v>
      </c>
      <c r="H14588">
        <v>4600</v>
      </c>
      <c r="I14588" t="s">
        <v>105</v>
      </c>
      <c r="J14588">
        <v>445.03</v>
      </c>
      <c r="K14588">
        <v>86.13</v>
      </c>
      <c r="L14588">
        <v>17803</v>
      </c>
      <c r="M14588" t="s">
        <v>389</v>
      </c>
      <c r="N14588" t="str">
        <f>"51135       "</f>
        <v xml:space="preserve">51135       </v>
      </c>
      <c r="O14588">
        <v>231003</v>
      </c>
    </row>
    <row r="14589" spans="1:15" x14ac:dyDescent="0.25">
      <c r="A14589" t="s">
        <v>16</v>
      </c>
      <c r="B14589" t="s">
        <v>3221</v>
      </c>
      <c r="C14589">
        <v>13756</v>
      </c>
      <c r="D14589" t="s">
        <v>1280</v>
      </c>
      <c r="E14589" t="s">
        <v>1281</v>
      </c>
      <c r="F14589">
        <v>34.78</v>
      </c>
      <c r="G14589">
        <v>230930</v>
      </c>
      <c r="H14589">
        <v>4600</v>
      </c>
      <c r="I14589" t="s">
        <v>105</v>
      </c>
      <c r="J14589">
        <v>43.13</v>
      </c>
      <c r="K14589">
        <v>8.35</v>
      </c>
      <c r="L14589">
        <v>17803</v>
      </c>
      <c r="M14589" t="s">
        <v>389</v>
      </c>
      <c r="N14589" t="str">
        <f>"51172       "</f>
        <v xml:space="preserve">51172       </v>
      </c>
      <c r="O14589">
        <v>231012</v>
      </c>
    </row>
    <row r="14590" spans="1:15" x14ac:dyDescent="0.25">
      <c r="A14590" t="s">
        <v>16</v>
      </c>
      <c r="B14590" t="s">
        <v>3221</v>
      </c>
      <c r="C14590">
        <v>4771</v>
      </c>
      <c r="D14590" t="s">
        <v>1748</v>
      </c>
      <c r="E14590" t="s">
        <v>1749</v>
      </c>
      <c r="F14590">
        <v>967.74</v>
      </c>
      <c r="G14590">
        <v>230406</v>
      </c>
      <c r="H14590">
        <v>4820</v>
      </c>
      <c r="I14590" t="s">
        <v>50</v>
      </c>
      <c r="J14590">
        <v>1200</v>
      </c>
      <c r="K14590">
        <v>232.26</v>
      </c>
      <c r="L14590">
        <v>13841</v>
      </c>
      <c r="M14590" t="s">
        <v>47</v>
      </c>
      <c r="N14590" t="str">
        <f>"23646       "</f>
        <v xml:space="preserve">23646       </v>
      </c>
      <c r="O14590">
        <v>230412</v>
      </c>
    </row>
    <row r="14591" spans="1:15" x14ac:dyDescent="0.25">
      <c r="A14591" t="s">
        <v>16</v>
      </c>
      <c r="B14591" t="s">
        <v>3221</v>
      </c>
      <c r="C14591">
        <v>17365</v>
      </c>
      <c r="D14591" t="s">
        <v>1748</v>
      </c>
      <c r="E14591" t="s">
        <v>1749</v>
      </c>
      <c r="F14591">
        <v>1800</v>
      </c>
      <c r="G14591">
        <v>231207</v>
      </c>
      <c r="H14591">
        <v>4820</v>
      </c>
      <c r="I14591" t="s">
        <v>50</v>
      </c>
      <c r="J14591">
        <v>1800</v>
      </c>
      <c r="K14591">
        <v>0</v>
      </c>
      <c r="L14591">
        <v>13841</v>
      </c>
      <c r="M14591" t="s">
        <v>47</v>
      </c>
      <c r="N14591" t="str">
        <f>"23782       "</f>
        <v xml:space="preserve">23782       </v>
      </c>
      <c r="O14591">
        <v>231213</v>
      </c>
    </row>
    <row r="14592" spans="1:15" x14ac:dyDescent="0.25">
      <c r="A14592" t="s">
        <v>16</v>
      </c>
      <c r="B14592" t="s">
        <v>3221</v>
      </c>
      <c r="C14592">
        <v>4475</v>
      </c>
      <c r="D14592" t="s">
        <v>1723</v>
      </c>
      <c r="E14592" t="s">
        <v>1724</v>
      </c>
      <c r="F14592">
        <v>4833</v>
      </c>
      <c r="G14592">
        <v>230404</v>
      </c>
      <c r="H14592">
        <v>4820</v>
      </c>
      <c r="I14592" t="s">
        <v>50</v>
      </c>
      <c r="J14592">
        <v>5992.92</v>
      </c>
      <c r="K14592">
        <v>1159.92</v>
      </c>
      <c r="L14592">
        <v>13841</v>
      </c>
      <c r="M14592" t="s">
        <v>47</v>
      </c>
      <c r="N14592" t="str">
        <f>"525         "</f>
        <v xml:space="preserve">525         </v>
      </c>
      <c r="O14592">
        <v>230406</v>
      </c>
    </row>
    <row r="14593" spans="1:15" x14ac:dyDescent="0.25">
      <c r="A14593" t="s">
        <v>16</v>
      </c>
      <c r="B14593" t="s">
        <v>3221</v>
      </c>
      <c r="C14593">
        <v>5433</v>
      </c>
      <c r="D14593" t="s">
        <v>1723</v>
      </c>
      <c r="E14593" t="s">
        <v>1724</v>
      </c>
      <c r="F14593">
        <v>3449.7</v>
      </c>
      <c r="G14593">
        <v>230419</v>
      </c>
      <c r="H14593">
        <v>4820</v>
      </c>
      <c r="I14593" t="s">
        <v>50</v>
      </c>
      <c r="J14593">
        <v>4277.63</v>
      </c>
      <c r="K14593">
        <v>827.93</v>
      </c>
      <c r="L14593">
        <v>13841</v>
      </c>
      <c r="M14593" t="s">
        <v>47</v>
      </c>
      <c r="N14593" t="str">
        <f>"230003      "</f>
        <v xml:space="preserve">230003      </v>
      </c>
      <c r="O14593">
        <v>230424</v>
      </c>
    </row>
    <row r="14594" spans="1:15" x14ac:dyDescent="0.25">
      <c r="A14594" t="s">
        <v>16</v>
      </c>
      <c r="B14594" t="s">
        <v>3221</v>
      </c>
      <c r="C14594">
        <v>14185</v>
      </c>
      <c r="D14594" t="s">
        <v>3548</v>
      </c>
      <c r="E14594" t="s">
        <v>3549</v>
      </c>
      <c r="F14594">
        <v>1129.03</v>
      </c>
      <c r="G14594">
        <v>231009</v>
      </c>
      <c r="H14594">
        <v>4820</v>
      </c>
      <c r="I14594" t="s">
        <v>50</v>
      </c>
      <c r="J14594">
        <v>1400</v>
      </c>
      <c r="K14594">
        <v>270.97000000000003</v>
      </c>
      <c r="L14594">
        <v>13641</v>
      </c>
      <c r="M14594" t="s">
        <v>1471</v>
      </c>
      <c r="N14594" t="str">
        <f>"2402        "</f>
        <v xml:space="preserve">2402        </v>
      </c>
      <c r="O14594">
        <v>231023</v>
      </c>
    </row>
    <row r="14595" spans="1:15" x14ac:dyDescent="0.25">
      <c r="A14595" t="s">
        <v>16</v>
      </c>
      <c r="B14595" t="s">
        <v>3221</v>
      </c>
      <c r="C14595">
        <v>16483</v>
      </c>
      <c r="D14595" t="s">
        <v>3574</v>
      </c>
      <c r="E14595" t="s">
        <v>3575</v>
      </c>
      <c r="F14595">
        <v>50</v>
      </c>
      <c r="G14595">
        <v>231124</v>
      </c>
      <c r="H14595">
        <v>4350</v>
      </c>
      <c r="I14595" t="s">
        <v>546</v>
      </c>
      <c r="J14595">
        <v>50</v>
      </c>
      <c r="K14595">
        <v>0</v>
      </c>
      <c r="L14595">
        <v>13801</v>
      </c>
      <c r="M14595" t="s">
        <v>162</v>
      </c>
      <c r="N14595" t="str">
        <f>"139         "</f>
        <v xml:space="preserve">139         </v>
      </c>
      <c r="O14595">
        <v>231201</v>
      </c>
    </row>
    <row r="14596" spans="1:15" x14ac:dyDescent="0.25">
      <c r="A14596" t="s">
        <v>16</v>
      </c>
      <c r="B14596" t="s">
        <v>3221</v>
      </c>
      <c r="C14596">
        <v>15655</v>
      </c>
      <c r="D14596" t="s">
        <v>2898</v>
      </c>
      <c r="E14596" t="s">
        <v>2899</v>
      </c>
      <c r="F14596">
        <v>90</v>
      </c>
      <c r="G14596">
        <v>231108</v>
      </c>
      <c r="H14596">
        <v>4580</v>
      </c>
      <c r="I14596" t="s">
        <v>35</v>
      </c>
      <c r="J14596">
        <v>111.6</v>
      </c>
      <c r="K14596">
        <v>21.6</v>
      </c>
      <c r="L14596">
        <v>17527</v>
      </c>
      <c r="M14596" t="s">
        <v>422</v>
      </c>
      <c r="N14596" t="str">
        <f>"4865        "</f>
        <v xml:space="preserve">4865        </v>
      </c>
      <c r="O14596">
        <v>231116</v>
      </c>
    </row>
    <row r="14597" spans="1:15" x14ac:dyDescent="0.25">
      <c r="A14597" t="s">
        <v>16</v>
      </c>
      <c r="B14597" t="s">
        <v>3221</v>
      </c>
      <c r="C14597">
        <v>6933</v>
      </c>
      <c r="D14597" t="s">
        <v>3600</v>
      </c>
      <c r="E14597" t="s">
        <v>2039</v>
      </c>
      <c r="F14597">
        <v>552.63</v>
      </c>
      <c r="G14597">
        <v>230517</v>
      </c>
      <c r="H14597">
        <v>4410</v>
      </c>
      <c r="I14597" t="s">
        <v>517</v>
      </c>
      <c r="J14597">
        <v>630</v>
      </c>
      <c r="K14597">
        <v>77.37</v>
      </c>
      <c r="L14597">
        <v>11908</v>
      </c>
      <c r="M14597" t="s">
        <v>598</v>
      </c>
      <c r="N14597" t="str">
        <f>"145450      "</f>
        <v xml:space="preserve">145450      </v>
      </c>
      <c r="O14597">
        <v>230523</v>
      </c>
    </row>
    <row r="14598" spans="1:15" x14ac:dyDescent="0.25">
      <c r="A14598" t="s">
        <v>16</v>
      </c>
      <c r="B14598" t="s">
        <v>3221</v>
      </c>
      <c r="C14598">
        <v>6933</v>
      </c>
      <c r="D14598" t="s">
        <v>3600</v>
      </c>
      <c r="E14598" t="s">
        <v>2039</v>
      </c>
      <c r="F14598">
        <v>88.71</v>
      </c>
      <c r="G14598">
        <v>230517</v>
      </c>
      <c r="H14598">
        <v>4820</v>
      </c>
      <c r="I14598" t="s">
        <v>50</v>
      </c>
      <c r="J14598">
        <v>110</v>
      </c>
      <c r="K14598">
        <v>21.29</v>
      </c>
      <c r="L14598">
        <v>11908</v>
      </c>
      <c r="M14598" t="s">
        <v>598</v>
      </c>
      <c r="N14598" t="str">
        <f>"145450      "</f>
        <v xml:space="preserve">145450      </v>
      </c>
      <c r="O14598">
        <v>230523</v>
      </c>
    </row>
    <row r="14599" spans="1:15" x14ac:dyDescent="0.25">
      <c r="A14599" t="s">
        <v>16</v>
      </c>
      <c r="B14599" t="s">
        <v>3221</v>
      </c>
      <c r="C14599">
        <v>18858</v>
      </c>
      <c r="D14599" t="s">
        <v>3603</v>
      </c>
      <c r="E14599" t="s">
        <v>2039</v>
      </c>
      <c r="F14599">
        <v>8.06</v>
      </c>
      <c r="G14599">
        <v>231231</v>
      </c>
      <c r="H14599">
        <v>4410</v>
      </c>
      <c r="I14599" t="s">
        <v>517</v>
      </c>
      <c r="J14599">
        <v>10</v>
      </c>
      <c r="K14599">
        <v>1.94</v>
      </c>
      <c r="L14599">
        <v>11001</v>
      </c>
      <c r="M14599" t="s">
        <v>326</v>
      </c>
      <c r="N14599" t="str">
        <f>"158791      "</f>
        <v xml:space="preserve">158791      </v>
      </c>
      <c r="O14599">
        <v>240108</v>
      </c>
    </row>
    <row r="14600" spans="1:15" x14ac:dyDescent="0.25">
      <c r="A14600" t="s">
        <v>16</v>
      </c>
      <c r="B14600" t="s">
        <v>3221</v>
      </c>
      <c r="C14600">
        <v>18858</v>
      </c>
      <c r="D14600" t="s">
        <v>3603</v>
      </c>
      <c r="E14600" t="s">
        <v>2039</v>
      </c>
      <c r="F14600">
        <v>228.07</v>
      </c>
      <c r="G14600">
        <v>231231</v>
      </c>
      <c r="H14600">
        <v>4410</v>
      </c>
      <c r="I14600" t="s">
        <v>517</v>
      </c>
      <c r="J14600">
        <v>260</v>
      </c>
      <c r="K14600">
        <v>31.93</v>
      </c>
      <c r="L14600">
        <v>11001</v>
      </c>
      <c r="M14600" t="s">
        <v>326</v>
      </c>
      <c r="N14600" t="str">
        <f>"158791      "</f>
        <v xml:space="preserve">158791      </v>
      </c>
      <c r="O14600">
        <v>240108</v>
      </c>
    </row>
    <row r="14601" spans="1:15" x14ac:dyDescent="0.25">
      <c r="A14601" t="s">
        <v>16</v>
      </c>
      <c r="B14601" t="s">
        <v>3221</v>
      </c>
      <c r="C14601">
        <v>10834</v>
      </c>
      <c r="D14601" t="s">
        <v>3299</v>
      </c>
      <c r="E14601" t="s">
        <v>3300</v>
      </c>
      <c r="F14601">
        <v>30</v>
      </c>
      <c r="G14601">
        <v>230822</v>
      </c>
      <c r="H14601">
        <v>4940</v>
      </c>
      <c r="I14601" t="s">
        <v>514</v>
      </c>
      <c r="J14601">
        <v>37.200000000000003</v>
      </c>
      <c r="K14601">
        <v>7.2</v>
      </c>
      <c r="L14601">
        <v>11101</v>
      </c>
      <c r="M14601" t="s">
        <v>110</v>
      </c>
      <c r="N14601" t="str">
        <f>"5070474341  "</f>
        <v xml:space="preserve">5070474341  </v>
      </c>
      <c r="O14601">
        <v>230823</v>
      </c>
    </row>
    <row r="14602" spans="1:15" x14ac:dyDescent="0.25">
      <c r="A14602" t="s">
        <v>16</v>
      </c>
      <c r="B14602" t="s">
        <v>3221</v>
      </c>
      <c r="C14602">
        <v>9158</v>
      </c>
      <c r="D14602" t="s">
        <v>2265</v>
      </c>
      <c r="E14602" t="s">
        <v>2266</v>
      </c>
      <c r="F14602">
        <v>604.16999999999996</v>
      </c>
      <c r="G14602">
        <v>230622</v>
      </c>
      <c r="H14602">
        <v>4343</v>
      </c>
      <c r="I14602" t="s">
        <v>91</v>
      </c>
      <c r="J14602">
        <v>749.17</v>
      </c>
      <c r="K14602">
        <v>145</v>
      </c>
      <c r="L14602">
        <v>56558</v>
      </c>
      <c r="M14602" t="s">
        <v>217</v>
      </c>
      <c r="N14602" t="str">
        <f>"2018704     "</f>
        <v xml:space="preserve">2018704     </v>
      </c>
      <c r="O14602">
        <v>230629</v>
      </c>
    </row>
    <row r="14603" spans="1:15" x14ac:dyDescent="0.25">
      <c r="A14603" t="s">
        <v>16</v>
      </c>
      <c r="B14603" t="s">
        <v>3221</v>
      </c>
      <c r="C14603">
        <v>8767</v>
      </c>
      <c r="D14603" t="s">
        <v>2205</v>
      </c>
      <c r="E14603" t="s">
        <v>2206</v>
      </c>
      <c r="F14603">
        <v>0.6</v>
      </c>
      <c r="G14603">
        <v>230612</v>
      </c>
      <c r="H14603">
        <v>4410</v>
      </c>
      <c r="I14603" t="s">
        <v>517</v>
      </c>
      <c r="J14603">
        <v>0.75</v>
      </c>
      <c r="K14603">
        <v>0.15</v>
      </c>
      <c r="L14603">
        <v>13461</v>
      </c>
      <c r="M14603" t="s">
        <v>1413</v>
      </c>
      <c r="N14603" t="str">
        <f t="shared" ref="N14603:N14609" si="200">"136         "</f>
        <v xml:space="preserve">136         </v>
      </c>
      <c r="O14603">
        <v>230614</v>
      </c>
    </row>
    <row r="14604" spans="1:15" x14ac:dyDescent="0.25">
      <c r="A14604" t="s">
        <v>16</v>
      </c>
      <c r="B14604" t="s">
        <v>3221</v>
      </c>
      <c r="C14604">
        <v>8767</v>
      </c>
      <c r="D14604" t="s">
        <v>2205</v>
      </c>
      <c r="E14604" t="s">
        <v>2206</v>
      </c>
      <c r="F14604">
        <v>160.33000000000001</v>
      </c>
      <c r="G14604">
        <v>230612</v>
      </c>
      <c r="H14604">
        <v>4410</v>
      </c>
      <c r="I14604" t="s">
        <v>517</v>
      </c>
      <c r="J14604">
        <v>182.78</v>
      </c>
      <c r="K14604">
        <v>22.45</v>
      </c>
      <c r="L14604">
        <v>13461</v>
      </c>
      <c r="M14604" t="s">
        <v>1413</v>
      </c>
      <c r="N14604" t="str">
        <f t="shared" si="200"/>
        <v xml:space="preserve">136         </v>
      </c>
      <c r="O14604">
        <v>230614</v>
      </c>
    </row>
    <row r="14605" spans="1:15" x14ac:dyDescent="0.25">
      <c r="A14605" t="s">
        <v>16</v>
      </c>
      <c r="B14605" t="s">
        <v>3221</v>
      </c>
      <c r="C14605">
        <v>8767</v>
      </c>
      <c r="D14605" t="s">
        <v>2205</v>
      </c>
      <c r="E14605" t="s">
        <v>2206</v>
      </c>
      <c r="F14605">
        <v>0.6</v>
      </c>
      <c r="G14605">
        <v>230612</v>
      </c>
      <c r="H14605">
        <v>4410</v>
      </c>
      <c r="I14605" t="s">
        <v>517</v>
      </c>
      <c r="J14605">
        <v>0.75</v>
      </c>
      <c r="K14605">
        <v>0.15</v>
      </c>
      <c r="L14605">
        <v>13561</v>
      </c>
      <c r="M14605" t="s">
        <v>246</v>
      </c>
      <c r="N14605" t="str">
        <f t="shared" si="200"/>
        <v xml:space="preserve">136         </v>
      </c>
      <c r="O14605">
        <v>230614</v>
      </c>
    </row>
    <row r="14606" spans="1:15" x14ac:dyDescent="0.25">
      <c r="A14606" t="s">
        <v>16</v>
      </c>
      <c r="B14606" t="s">
        <v>3221</v>
      </c>
      <c r="C14606">
        <v>8767</v>
      </c>
      <c r="D14606" t="s">
        <v>2205</v>
      </c>
      <c r="E14606" t="s">
        <v>2206</v>
      </c>
      <c r="F14606">
        <v>44.55</v>
      </c>
      <c r="G14606">
        <v>230612</v>
      </c>
      <c r="H14606">
        <v>4410</v>
      </c>
      <c r="I14606" t="s">
        <v>517</v>
      </c>
      <c r="J14606">
        <v>50.79</v>
      </c>
      <c r="K14606">
        <v>6.24</v>
      </c>
      <c r="L14606">
        <v>13561</v>
      </c>
      <c r="M14606" t="s">
        <v>246</v>
      </c>
      <c r="N14606" t="str">
        <f t="shared" si="200"/>
        <v xml:space="preserve">136         </v>
      </c>
      <c r="O14606">
        <v>230614</v>
      </c>
    </row>
    <row r="14607" spans="1:15" x14ac:dyDescent="0.25">
      <c r="A14607" t="s">
        <v>16</v>
      </c>
      <c r="B14607" t="s">
        <v>3221</v>
      </c>
      <c r="C14607">
        <v>8767</v>
      </c>
      <c r="D14607" t="s">
        <v>2205</v>
      </c>
      <c r="E14607" t="s">
        <v>2206</v>
      </c>
      <c r="F14607">
        <v>1.21</v>
      </c>
      <c r="G14607">
        <v>230612</v>
      </c>
      <c r="H14607">
        <v>4410</v>
      </c>
      <c r="I14607" t="s">
        <v>517</v>
      </c>
      <c r="J14607">
        <v>1.5</v>
      </c>
      <c r="K14607">
        <v>0.28999999999999998</v>
      </c>
      <c r="L14607">
        <v>17527</v>
      </c>
      <c r="M14607" t="s">
        <v>422</v>
      </c>
      <c r="N14607" t="str">
        <f t="shared" si="200"/>
        <v xml:space="preserve">136         </v>
      </c>
      <c r="O14607">
        <v>230614</v>
      </c>
    </row>
    <row r="14608" spans="1:15" x14ac:dyDescent="0.25">
      <c r="A14608" t="s">
        <v>16</v>
      </c>
      <c r="B14608" t="s">
        <v>3221</v>
      </c>
      <c r="C14608">
        <v>8767</v>
      </c>
      <c r="D14608" t="s">
        <v>2205</v>
      </c>
      <c r="E14608" t="s">
        <v>2206</v>
      </c>
      <c r="F14608">
        <v>58.34</v>
      </c>
      <c r="G14608">
        <v>230612</v>
      </c>
      <c r="H14608">
        <v>4410</v>
      </c>
      <c r="I14608" t="s">
        <v>517</v>
      </c>
      <c r="J14608">
        <v>66.510000000000005</v>
      </c>
      <c r="K14608">
        <v>8.17</v>
      </c>
      <c r="L14608">
        <v>17527</v>
      </c>
      <c r="M14608" t="s">
        <v>422</v>
      </c>
      <c r="N14608" t="str">
        <f t="shared" si="200"/>
        <v xml:space="preserve">136         </v>
      </c>
      <c r="O14608">
        <v>230614</v>
      </c>
    </row>
    <row r="14609" spans="1:15" x14ac:dyDescent="0.25">
      <c r="A14609" t="s">
        <v>16</v>
      </c>
      <c r="B14609" t="s">
        <v>3221</v>
      </c>
      <c r="C14609">
        <v>8767</v>
      </c>
      <c r="D14609" t="s">
        <v>2205</v>
      </c>
      <c r="E14609" t="s">
        <v>2206</v>
      </c>
      <c r="F14609">
        <v>28.95</v>
      </c>
      <c r="G14609">
        <v>230612</v>
      </c>
      <c r="H14609">
        <v>4410</v>
      </c>
      <c r="I14609" t="s">
        <v>517</v>
      </c>
      <c r="J14609">
        <v>33</v>
      </c>
      <c r="K14609">
        <v>4.05</v>
      </c>
      <c r="L14609">
        <v>17532</v>
      </c>
      <c r="M14609" t="s">
        <v>543</v>
      </c>
      <c r="N14609" t="str">
        <f t="shared" si="200"/>
        <v xml:space="preserve">136         </v>
      </c>
      <c r="O14609">
        <v>230614</v>
      </c>
    </row>
    <row r="14610" spans="1:15" x14ac:dyDescent="0.25">
      <c r="A14610" t="s">
        <v>16</v>
      </c>
      <c r="B14610" t="s">
        <v>3221</v>
      </c>
      <c r="C14610">
        <v>12299</v>
      </c>
      <c r="D14610" t="s">
        <v>883</v>
      </c>
      <c r="E14610" t="s">
        <v>884</v>
      </c>
      <c r="F14610">
        <v>52.67</v>
      </c>
      <c r="G14610">
        <v>230914</v>
      </c>
      <c r="H14610">
        <v>4420</v>
      </c>
      <c r="I14610" t="s">
        <v>132</v>
      </c>
      <c r="J14610">
        <v>65.31</v>
      </c>
      <c r="K14610">
        <v>12.64</v>
      </c>
      <c r="L14610">
        <v>17808</v>
      </c>
      <c r="M14610" t="s">
        <v>322</v>
      </c>
      <c r="N14610" t="str">
        <f>"10134       "</f>
        <v xml:space="preserve">10134       </v>
      </c>
      <c r="O14610">
        <v>230918</v>
      </c>
    </row>
    <row r="14611" spans="1:15" x14ac:dyDescent="0.25">
      <c r="A14611" t="s">
        <v>16</v>
      </c>
      <c r="B14611" t="s">
        <v>3221</v>
      </c>
      <c r="C14611">
        <v>13284</v>
      </c>
      <c r="D14611" t="s">
        <v>883</v>
      </c>
      <c r="E14611" t="s">
        <v>884</v>
      </c>
      <c r="F14611">
        <v>52.67</v>
      </c>
      <c r="G14611">
        <v>231003</v>
      </c>
      <c r="H14611">
        <v>4420</v>
      </c>
      <c r="I14611" t="s">
        <v>132</v>
      </c>
      <c r="J14611">
        <v>65.31</v>
      </c>
      <c r="K14611">
        <v>12.64</v>
      </c>
      <c r="L14611">
        <v>17808</v>
      </c>
      <c r="M14611" t="s">
        <v>322</v>
      </c>
      <c r="N14611" t="str">
        <f>"10207       "</f>
        <v xml:space="preserve">10207       </v>
      </c>
      <c r="O14611">
        <v>231009</v>
      </c>
    </row>
    <row r="14612" spans="1:15" x14ac:dyDescent="0.25">
      <c r="A14612" t="s">
        <v>16</v>
      </c>
      <c r="B14612" t="s">
        <v>3221</v>
      </c>
      <c r="C14612">
        <v>15981</v>
      </c>
      <c r="D14612" t="s">
        <v>883</v>
      </c>
      <c r="E14612" t="s">
        <v>884</v>
      </c>
      <c r="F14612">
        <v>52.67</v>
      </c>
      <c r="G14612">
        <v>231117</v>
      </c>
      <c r="H14612">
        <v>4420</v>
      </c>
      <c r="I14612" t="s">
        <v>132</v>
      </c>
      <c r="J14612">
        <v>65.31</v>
      </c>
      <c r="K14612">
        <v>12.64</v>
      </c>
      <c r="L14612">
        <v>17808</v>
      </c>
      <c r="M14612" t="s">
        <v>322</v>
      </c>
      <c r="N14612" t="str">
        <f>"10281       "</f>
        <v xml:space="preserve">10281       </v>
      </c>
      <c r="O14612">
        <v>231122</v>
      </c>
    </row>
    <row r="14613" spans="1:15" x14ac:dyDescent="0.25">
      <c r="A14613" t="s">
        <v>16</v>
      </c>
      <c r="B14613" t="s">
        <v>3221</v>
      </c>
      <c r="C14613">
        <v>18723</v>
      </c>
      <c r="D14613" t="s">
        <v>883</v>
      </c>
      <c r="E14613" t="s">
        <v>884</v>
      </c>
      <c r="F14613">
        <v>52.67</v>
      </c>
      <c r="G14613">
        <v>231229</v>
      </c>
      <c r="H14613">
        <v>4420</v>
      </c>
      <c r="I14613" t="s">
        <v>132</v>
      </c>
      <c r="J14613">
        <v>65.31</v>
      </c>
      <c r="K14613">
        <v>12.64</v>
      </c>
      <c r="L14613">
        <v>17808</v>
      </c>
      <c r="M14613" t="s">
        <v>322</v>
      </c>
      <c r="N14613" t="str">
        <f>"10385       "</f>
        <v xml:space="preserve">10385       </v>
      </c>
      <c r="O14613">
        <v>240105</v>
      </c>
    </row>
    <row r="14614" spans="1:15" x14ac:dyDescent="0.25">
      <c r="A14614" t="s">
        <v>16</v>
      </c>
      <c r="B14614" t="s">
        <v>3221</v>
      </c>
      <c r="C14614">
        <v>1096</v>
      </c>
      <c r="D14614" t="s">
        <v>883</v>
      </c>
      <c r="E14614" t="s">
        <v>884</v>
      </c>
      <c r="F14614">
        <v>50.52</v>
      </c>
      <c r="G14614">
        <v>230128</v>
      </c>
      <c r="H14614">
        <v>4380</v>
      </c>
      <c r="I14614" t="s">
        <v>113</v>
      </c>
      <c r="J14614">
        <v>62.64</v>
      </c>
      <c r="K14614">
        <v>12.12</v>
      </c>
      <c r="L14614">
        <v>17802</v>
      </c>
      <c r="M14614" t="s">
        <v>174</v>
      </c>
      <c r="N14614" t="str">
        <f>"9545        "</f>
        <v xml:space="preserve">9545        </v>
      </c>
      <c r="O14614">
        <v>230203</v>
      </c>
    </row>
    <row r="14615" spans="1:15" x14ac:dyDescent="0.25">
      <c r="A14615" t="s">
        <v>16</v>
      </c>
      <c r="B14615" t="s">
        <v>3221</v>
      </c>
      <c r="C14615">
        <v>1096</v>
      </c>
      <c r="D14615" t="s">
        <v>883</v>
      </c>
      <c r="E14615" t="s">
        <v>884</v>
      </c>
      <c r="F14615">
        <v>50.52</v>
      </c>
      <c r="G14615">
        <v>230128</v>
      </c>
      <c r="H14615">
        <v>4380</v>
      </c>
      <c r="I14615" t="s">
        <v>113</v>
      </c>
      <c r="J14615">
        <v>62.64</v>
      </c>
      <c r="K14615">
        <v>12.12</v>
      </c>
      <c r="L14615">
        <v>17803</v>
      </c>
      <c r="M14615" t="s">
        <v>389</v>
      </c>
      <c r="N14615" t="str">
        <f>"9545        "</f>
        <v xml:space="preserve">9545        </v>
      </c>
      <c r="O14615">
        <v>230203</v>
      </c>
    </row>
    <row r="14616" spans="1:15" x14ac:dyDescent="0.25">
      <c r="A14616" t="s">
        <v>16</v>
      </c>
      <c r="B14616" t="s">
        <v>3221</v>
      </c>
      <c r="C14616">
        <v>1096</v>
      </c>
      <c r="D14616" t="s">
        <v>883</v>
      </c>
      <c r="E14616" t="s">
        <v>884</v>
      </c>
      <c r="F14616">
        <v>50.52</v>
      </c>
      <c r="G14616">
        <v>230128</v>
      </c>
      <c r="H14616">
        <v>4380</v>
      </c>
      <c r="I14616" t="s">
        <v>113</v>
      </c>
      <c r="J14616">
        <v>62.64</v>
      </c>
      <c r="K14616">
        <v>12.12</v>
      </c>
      <c r="L14616">
        <v>17806</v>
      </c>
      <c r="M14616" t="s">
        <v>265</v>
      </c>
      <c r="N14616" t="str">
        <f>"9545        "</f>
        <v xml:space="preserve">9545        </v>
      </c>
      <c r="O14616">
        <v>230203</v>
      </c>
    </row>
    <row r="14617" spans="1:15" x14ac:dyDescent="0.25">
      <c r="A14617" t="s">
        <v>16</v>
      </c>
      <c r="B14617" t="s">
        <v>3221</v>
      </c>
      <c r="C14617">
        <v>1096</v>
      </c>
      <c r="D14617" t="s">
        <v>883</v>
      </c>
      <c r="E14617" t="s">
        <v>884</v>
      </c>
      <c r="F14617">
        <v>49.61</v>
      </c>
      <c r="G14617">
        <v>230128</v>
      </c>
      <c r="H14617">
        <v>4380</v>
      </c>
      <c r="I14617" t="s">
        <v>113</v>
      </c>
      <c r="J14617">
        <v>61.52</v>
      </c>
      <c r="K14617">
        <v>11.91</v>
      </c>
      <c r="L14617">
        <v>17913</v>
      </c>
      <c r="M14617" t="s">
        <v>431</v>
      </c>
      <c r="N14617" t="str">
        <f>"9545        "</f>
        <v xml:space="preserve">9545        </v>
      </c>
      <c r="O14617">
        <v>230203</v>
      </c>
    </row>
    <row r="14618" spans="1:15" x14ac:dyDescent="0.25">
      <c r="A14618" t="s">
        <v>16</v>
      </c>
      <c r="B14618" t="s">
        <v>3221</v>
      </c>
      <c r="C14618">
        <v>2061</v>
      </c>
      <c r="D14618" t="s">
        <v>883</v>
      </c>
      <c r="E14618" t="s">
        <v>884</v>
      </c>
      <c r="F14618">
        <v>140.94</v>
      </c>
      <c r="G14618">
        <v>230217</v>
      </c>
      <c r="H14618">
        <v>4380</v>
      </c>
      <c r="I14618" t="s">
        <v>113</v>
      </c>
      <c r="J14618">
        <v>174.76</v>
      </c>
      <c r="K14618">
        <v>33.82</v>
      </c>
      <c r="L14618">
        <v>17802</v>
      </c>
      <c r="M14618" t="s">
        <v>174</v>
      </c>
      <c r="N14618" t="str">
        <f>"9585        "</f>
        <v xml:space="preserve">9585        </v>
      </c>
      <c r="O14618">
        <v>230220</v>
      </c>
    </row>
    <row r="14619" spans="1:15" x14ac:dyDescent="0.25">
      <c r="A14619" t="s">
        <v>16</v>
      </c>
      <c r="B14619" t="s">
        <v>3221</v>
      </c>
      <c r="C14619">
        <v>2061</v>
      </c>
      <c r="D14619" t="s">
        <v>883</v>
      </c>
      <c r="E14619" t="s">
        <v>884</v>
      </c>
      <c r="F14619">
        <v>149.75</v>
      </c>
      <c r="G14619">
        <v>230217</v>
      </c>
      <c r="H14619">
        <v>4380</v>
      </c>
      <c r="I14619" t="s">
        <v>113</v>
      </c>
      <c r="J14619">
        <v>185.69</v>
      </c>
      <c r="K14619">
        <v>35.94</v>
      </c>
      <c r="L14619">
        <v>17803</v>
      </c>
      <c r="M14619" t="s">
        <v>389</v>
      </c>
      <c r="N14619" t="str">
        <f>"9585        "</f>
        <v xml:space="preserve">9585        </v>
      </c>
      <c r="O14619">
        <v>230220</v>
      </c>
    </row>
    <row r="14620" spans="1:15" x14ac:dyDescent="0.25">
      <c r="A14620" t="s">
        <v>16</v>
      </c>
      <c r="B14620" t="s">
        <v>3221</v>
      </c>
      <c r="C14620">
        <v>2677</v>
      </c>
      <c r="D14620" t="s">
        <v>883</v>
      </c>
      <c r="E14620" t="s">
        <v>884</v>
      </c>
      <c r="F14620">
        <v>118.37</v>
      </c>
      <c r="G14620">
        <v>230301</v>
      </c>
      <c r="H14620">
        <v>4380</v>
      </c>
      <c r="I14620" t="s">
        <v>113</v>
      </c>
      <c r="J14620">
        <v>146.78</v>
      </c>
      <c r="K14620">
        <v>28.41</v>
      </c>
      <c r="L14620">
        <v>17802</v>
      </c>
      <c r="M14620" t="s">
        <v>174</v>
      </c>
      <c r="N14620" t="str">
        <f>"9652        "</f>
        <v xml:space="preserve">9652        </v>
      </c>
      <c r="O14620">
        <v>230306</v>
      </c>
    </row>
    <row r="14621" spans="1:15" x14ac:dyDescent="0.25">
      <c r="A14621" t="s">
        <v>16</v>
      </c>
      <c r="B14621" t="s">
        <v>3221</v>
      </c>
      <c r="C14621">
        <v>3716</v>
      </c>
      <c r="D14621" t="s">
        <v>883</v>
      </c>
      <c r="E14621" t="s">
        <v>884</v>
      </c>
      <c r="F14621">
        <v>98.43</v>
      </c>
      <c r="G14621">
        <v>230320</v>
      </c>
      <c r="H14621">
        <v>4380</v>
      </c>
      <c r="I14621" t="s">
        <v>113</v>
      </c>
      <c r="J14621">
        <v>122.05</v>
      </c>
      <c r="K14621">
        <v>23.62</v>
      </c>
      <c r="L14621">
        <v>17802</v>
      </c>
      <c r="M14621" t="s">
        <v>174</v>
      </c>
      <c r="N14621" t="str">
        <f>"9692        "</f>
        <v xml:space="preserve">9692        </v>
      </c>
      <c r="O14621">
        <v>230321</v>
      </c>
    </row>
    <row r="14622" spans="1:15" x14ac:dyDescent="0.25">
      <c r="A14622" t="s">
        <v>16</v>
      </c>
      <c r="B14622" t="s">
        <v>3221</v>
      </c>
      <c r="C14622">
        <v>3716</v>
      </c>
      <c r="D14622" t="s">
        <v>883</v>
      </c>
      <c r="E14622" t="s">
        <v>884</v>
      </c>
      <c r="F14622">
        <v>98.43</v>
      </c>
      <c r="G14622">
        <v>230320</v>
      </c>
      <c r="H14622">
        <v>4380</v>
      </c>
      <c r="I14622" t="s">
        <v>113</v>
      </c>
      <c r="J14622">
        <v>122.05</v>
      </c>
      <c r="K14622">
        <v>23.62</v>
      </c>
      <c r="L14622">
        <v>17809</v>
      </c>
      <c r="M14622" t="s">
        <v>376</v>
      </c>
      <c r="N14622" t="str">
        <f>"9692        "</f>
        <v xml:space="preserve">9692        </v>
      </c>
      <c r="O14622">
        <v>230321</v>
      </c>
    </row>
    <row r="14623" spans="1:15" x14ac:dyDescent="0.25">
      <c r="A14623" t="s">
        <v>16</v>
      </c>
      <c r="B14623" t="s">
        <v>3221</v>
      </c>
      <c r="C14623">
        <v>4737</v>
      </c>
      <c r="D14623" t="s">
        <v>883</v>
      </c>
      <c r="E14623" t="s">
        <v>884</v>
      </c>
      <c r="F14623">
        <v>140.91</v>
      </c>
      <c r="G14623">
        <v>230403</v>
      </c>
      <c r="H14623">
        <v>4380</v>
      </c>
      <c r="I14623" t="s">
        <v>113</v>
      </c>
      <c r="J14623">
        <v>174.73</v>
      </c>
      <c r="K14623">
        <v>33.82</v>
      </c>
      <c r="L14623">
        <v>17806</v>
      </c>
      <c r="M14623" t="s">
        <v>265</v>
      </c>
      <c r="N14623" t="str">
        <f>"9724        "</f>
        <v xml:space="preserve">9724        </v>
      </c>
      <c r="O14623">
        <v>230412</v>
      </c>
    </row>
    <row r="14624" spans="1:15" x14ac:dyDescent="0.25">
      <c r="A14624" t="s">
        <v>16</v>
      </c>
      <c r="B14624" t="s">
        <v>3221</v>
      </c>
      <c r="C14624">
        <v>5334</v>
      </c>
      <c r="D14624" t="s">
        <v>883</v>
      </c>
      <c r="E14624" t="s">
        <v>884</v>
      </c>
      <c r="F14624">
        <v>103.11</v>
      </c>
      <c r="G14624">
        <v>230419</v>
      </c>
      <c r="H14624">
        <v>4380</v>
      </c>
      <c r="I14624" t="s">
        <v>113</v>
      </c>
      <c r="J14624">
        <v>127.86</v>
      </c>
      <c r="K14624">
        <v>24.75</v>
      </c>
      <c r="L14624">
        <v>17802</v>
      </c>
      <c r="M14624" t="s">
        <v>174</v>
      </c>
      <c r="N14624" t="str">
        <f>"9789        "</f>
        <v xml:space="preserve">9789        </v>
      </c>
      <c r="O14624">
        <v>230421</v>
      </c>
    </row>
    <row r="14625" spans="1:15" x14ac:dyDescent="0.25">
      <c r="A14625" t="s">
        <v>16</v>
      </c>
      <c r="B14625" t="s">
        <v>3221</v>
      </c>
      <c r="C14625">
        <v>6106</v>
      </c>
      <c r="D14625" t="s">
        <v>883</v>
      </c>
      <c r="E14625" t="s">
        <v>884</v>
      </c>
      <c r="F14625">
        <v>128.30000000000001</v>
      </c>
      <c r="G14625">
        <v>230503</v>
      </c>
      <c r="H14625">
        <v>4380</v>
      </c>
      <c r="I14625" t="s">
        <v>113</v>
      </c>
      <c r="J14625">
        <v>159.09</v>
      </c>
      <c r="K14625">
        <v>30.79</v>
      </c>
      <c r="L14625">
        <v>17803</v>
      </c>
      <c r="M14625" t="s">
        <v>389</v>
      </c>
      <c r="N14625" t="str">
        <f>"9814        "</f>
        <v xml:space="preserve">9814        </v>
      </c>
      <c r="O14625">
        <v>230508</v>
      </c>
    </row>
    <row r="14626" spans="1:15" x14ac:dyDescent="0.25">
      <c r="A14626" t="s">
        <v>16</v>
      </c>
      <c r="B14626" t="s">
        <v>3221</v>
      </c>
      <c r="C14626">
        <v>6106</v>
      </c>
      <c r="D14626" t="s">
        <v>883</v>
      </c>
      <c r="E14626" t="s">
        <v>884</v>
      </c>
      <c r="F14626">
        <v>83.49</v>
      </c>
      <c r="G14626">
        <v>230503</v>
      </c>
      <c r="H14626">
        <v>4380</v>
      </c>
      <c r="I14626" t="s">
        <v>113</v>
      </c>
      <c r="J14626">
        <v>103.53</v>
      </c>
      <c r="K14626">
        <v>20.04</v>
      </c>
      <c r="L14626">
        <v>17806</v>
      </c>
      <c r="M14626" t="s">
        <v>265</v>
      </c>
      <c r="N14626" t="str">
        <f>"9814        "</f>
        <v xml:space="preserve">9814        </v>
      </c>
      <c r="O14626">
        <v>230508</v>
      </c>
    </row>
    <row r="14627" spans="1:15" x14ac:dyDescent="0.25">
      <c r="A14627" t="s">
        <v>16</v>
      </c>
      <c r="B14627" t="s">
        <v>3221</v>
      </c>
      <c r="C14627">
        <v>7167</v>
      </c>
      <c r="D14627" t="s">
        <v>883</v>
      </c>
      <c r="E14627" t="s">
        <v>884</v>
      </c>
      <c r="F14627">
        <v>66.489999999999995</v>
      </c>
      <c r="G14627">
        <v>230524</v>
      </c>
      <c r="H14627">
        <v>4380</v>
      </c>
      <c r="I14627" t="s">
        <v>113</v>
      </c>
      <c r="J14627">
        <v>82.45</v>
      </c>
      <c r="K14627">
        <v>15.96</v>
      </c>
      <c r="L14627">
        <v>17802</v>
      </c>
      <c r="M14627" t="s">
        <v>174</v>
      </c>
      <c r="N14627" t="str">
        <f>"9854        "</f>
        <v xml:space="preserve">9854        </v>
      </c>
      <c r="O14627">
        <v>230525</v>
      </c>
    </row>
    <row r="14628" spans="1:15" x14ac:dyDescent="0.25">
      <c r="A14628" t="s">
        <v>16</v>
      </c>
      <c r="B14628" t="s">
        <v>3221</v>
      </c>
      <c r="C14628">
        <v>7167</v>
      </c>
      <c r="D14628" t="s">
        <v>883</v>
      </c>
      <c r="E14628" t="s">
        <v>884</v>
      </c>
      <c r="F14628">
        <v>66.489999999999995</v>
      </c>
      <c r="G14628">
        <v>230524</v>
      </c>
      <c r="H14628">
        <v>4380</v>
      </c>
      <c r="I14628" t="s">
        <v>113</v>
      </c>
      <c r="J14628">
        <v>82.45</v>
      </c>
      <c r="K14628">
        <v>15.96</v>
      </c>
      <c r="L14628">
        <v>17803</v>
      </c>
      <c r="M14628" t="s">
        <v>389</v>
      </c>
      <c r="N14628" t="str">
        <f>"9854        "</f>
        <v xml:space="preserve">9854        </v>
      </c>
      <c r="O14628">
        <v>230525</v>
      </c>
    </row>
    <row r="14629" spans="1:15" x14ac:dyDescent="0.25">
      <c r="A14629" t="s">
        <v>16</v>
      </c>
      <c r="B14629" t="s">
        <v>3221</v>
      </c>
      <c r="C14629">
        <v>8572</v>
      </c>
      <c r="D14629" t="s">
        <v>883</v>
      </c>
      <c r="E14629" t="s">
        <v>884</v>
      </c>
      <c r="F14629">
        <v>114.31</v>
      </c>
      <c r="G14629">
        <v>230611</v>
      </c>
      <c r="H14629">
        <v>4380</v>
      </c>
      <c r="I14629" t="s">
        <v>113</v>
      </c>
      <c r="J14629">
        <v>141.75</v>
      </c>
      <c r="K14629">
        <v>27.44</v>
      </c>
      <c r="L14629">
        <v>17802</v>
      </c>
      <c r="M14629" t="s">
        <v>174</v>
      </c>
      <c r="N14629" t="str">
        <f>"9907        "</f>
        <v xml:space="preserve">9907        </v>
      </c>
      <c r="O14629">
        <v>230612</v>
      </c>
    </row>
    <row r="14630" spans="1:15" x14ac:dyDescent="0.25">
      <c r="A14630" t="s">
        <v>16</v>
      </c>
      <c r="B14630" t="s">
        <v>3221</v>
      </c>
      <c r="C14630">
        <v>10274</v>
      </c>
      <c r="D14630" t="s">
        <v>883</v>
      </c>
      <c r="E14630" t="s">
        <v>884</v>
      </c>
      <c r="F14630">
        <v>377.85</v>
      </c>
      <c r="G14630">
        <v>230803</v>
      </c>
      <c r="H14630">
        <v>4380</v>
      </c>
      <c r="I14630" t="s">
        <v>113</v>
      </c>
      <c r="J14630">
        <v>468.54</v>
      </c>
      <c r="K14630">
        <v>90.69</v>
      </c>
      <c r="L14630">
        <v>17808</v>
      </c>
      <c r="M14630" t="s">
        <v>322</v>
      </c>
      <c r="N14630" t="str">
        <f>"10052       "</f>
        <v xml:space="preserve">10052       </v>
      </c>
      <c r="O14630">
        <v>230814</v>
      </c>
    </row>
    <row r="14631" spans="1:15" x14ac:dyDescent="0.25">
      <c r="A14631" t="s">
        <v>16</v>
      </c>
      <c r="B14631" t="s">
        <v>3221</v>
      </c>
      <c r="C14631">
        <v>12299</v>
      </c>
      <c r="D14631" t="s">
        <v>883</v>
      </c>
      <c r="E14631" t="s">
        <v>884</v>
      </c>
      <c r="F14631">
        <v>126.95</v>
      </c>
      <c r="G14631">
        <v>230914</v>
      </c>
      <c r="H14631">
        <v>4380</v>
      </c>
      <c r="I14631" t="s">
        <v>113</v>
      </c>
      <c r="J14631">
        <v>157.41999999999999</v>
      </c>
      <c r="K14631">
        <v>30.47</v>
      </c>
      <c r="L14631">
        <v>17808</v>
      </c>
      <c r="M14631" t="s">
        <v>322</v>
      </c>
      <c r="N14631" t="str">
        <f>"10134       "</f>
        <v xml:space="preserve">10134       </v>
      </c>
      <c r="O14631">
        <v>230918</v>
      </c>
    </row>
    <row r="14632" spans="1:15" x14ac:dyDescent="0.25">
      <c r="A14632" t="s">
        <v>16</v>
      </c>
      <c r="B14632" t="s">
        <v>3221</v>
      </c>
      <c r="C14632">
        <v>13284</v>
      </c>
      <c r="D14632" t="s">
        <v>883</v>
      </c>
      <c r="E14632" t="s">
        <v>884</v>
      </c>
      <c r="F14632">
        <v>39.24</v>
      </c>
      <c r="G14632">
        <v>231003</v>
      </c>
      <c r="H14632">
        <v>4380</v>
      </c>
      <c r="I14632" t="s">
        <v>113</v>
      </c>
      <c r="J14632">
        <v>48.66</v>
      </c>
      <c r="K14632">
        <v>9.42</v>
      </c>
      <c r="L14632">
        <v>17808</v>
      </c>
      <c r="M14632" t="s">
        <v>322</v>
      </c>
      <c r="N14632" t="str">
        <f>"10207       "</f>
        <v xml:space="preserve">10207       </v>
      </c>
      <c r="O14632">
        <v>231009</v>
      </c>
    </row>
    <row r="14633" spans="1:15" x14ac:dyDescent="0.25">
      <c r="A14633" t="s">
        <v>16</v>
      </c>
      <c r="B14633" t="s">
        <v>3221</v>
      </c>
      <c r="C14633">
        <v>14384</v>
      </c>
      <c r="D14633" t="s">
        <v>883</v>
      </c>
      <c r="E14633" t="s">
        <v>884</v>
      </c>
      <c r="F14633">
        <v>97.48</v>
      </c>
      <c r="G14633">
        <v>231024</v>
      </c>
      <c r="H14633">
        <v>4380</v>
      </c>
      <c r="I14633" t="s">
        <v>113</v>
      </c>
      <c r="J14633">
        <v>120.87</v>
      </c>
      <c r="K14633">
        <v>23.39</v>
      </c>
      <c r="L14633">
        <v>17808</v>
      </c>
      <c r="M14633" t="s">
        <v>322</v>
      </c>
      <c r="N14633" t="str">
        <f>"10240       "</f>
        <v xml:space="preserve">10240       </v>
      </c>
      <c r="O14633">
        <v>231030</v>
      </c>
    </row>
    <row r="14634" spans="1:15" x14ac:dyDescent="0.25">
      <c r="A14634" t="s">
        <v>16</v>
      </c>
      <c r="B14634" t="s">
        <v>3221</v>
      </c>
      <c r="C14634">
        <v>14387</v>
      </c>
      <c r="D14634" t="s">
        <v>883</v>
      </c>
      <c r="E14634" t="s">
        <v>884</v>
      </c>
      <c r="F14634">
        <v>125.52</v>
      </c>
      <c r="G14634">
        <v>231024</v>
      </c>
      <c r="H14634">
        <v>4380</v>
      </c>
      <c r="I14634" t="s">
        <v>113</v>
      </c>
      <c r="J14634">
        <v>155.63999999999999</v>
      </c>
      <c r="K14634">
        <v>30.12</v>
      </c>
      <c r="L14634">
        <v>17808</v>
      </c>
      <c r="M14634" t="s">
        <v>322</v>
      </c>
      <c r="N14634" t="str">
        <f>"10239       "</f>
        <v xml:space="preserve">10239       </v>
      </c>
      <c r="O14634">
        <v>231030</v>
      </c>
    </row>
    <row r="14635" spans="1:15" x14ac:dyDescent="0.25">
      <c r="A14635" t="s">
        <v>16</v>
      </c>
      <c r="B14635" t="s">
        <v>3221</v>
      </c>
      <c r="C14635">
        <v>15981</v>
      </c>
      <c r="D14635" t="s">
        <v>883</v>
      </c>
      <c r="E14635" t="s">
        <v>884</v>
      </c>
      <c r="F14635">
        <v>31.77</v>
      </c>
      <c r="G14635">
        <v>231117</v>
      </c>
      <c r="H14635">
        <v>4380</v>
      </c>
      <c r="I14635" t="s">
        <v>113</v>
      </c>
      <c r="J14635">
        <v>39.4</v>
      </c>
      <c r="K14635">
        <v>7.63</v>
      </c>
      <c r="L14635">
        <v>17808</v>
      </c>
      <c r="M14635" t="s">
        <v>322</v>
      </c>
      <c r="N14635" t="str">
        <f>"10281       "</f>
        <v xml:space="preserve">10281       </v>
      </c>
      <c r="O14635">
        <v>231122</v>
      </c>
    </row>
    <row r="14636" spans="1:15" x14ac:dyDescent="0.25">
      <c r="A14636" t="s">
        <v>16</v>
      </c>
      <c r="B14636" t="s">
        <v>3221</v>
      </c>
      <c r="C14636">
        <v>17088</v>
      </c>
      <c r="D14636" t="s">
        <v>883</v>
      </c>
      <c r="E14636" t="s">
        <v>884</v>
      </c>
      <c r="F14636">
        <v>331.53</v>
      </c>
      <c r="G14636">
        <v>231206</v>
      </c>
      <c r="H14636">
        <v>4380</v>
      </c>
      <c r="I14636" t="s">
        <v>113</v>
      </c>
      <c r="J14636">
        <v>411.1</v>
      </c>
      <c r="K14636">
        <v>79.569999999999993</v>
      </c>
      <c r="L14636">
        <v>17808</v>
      </c>
      <c r="M14636" t="s">
        <v>322</v>
      </c>
      <c r="N14636" t="str">
        <f>"10297       "</f>
        <v xml:space="preserve">10297       </v>
      </c>
      <c r="O14636">
        <v>231212</v>
      </c>
    </row>
    <row r="14637" spans="1:15" x14ac:dyDescent="0.25">
      <c r="A14637" t="s">
        <v>16</v>
      </c>
      <c r="B14637" t="s">
        <v>3221</v>
      </c>
      <c r="C14637">
        <v>18723</v>
      </c>
      <c r="D14637" t="s">
        <v>883</v>
      </c>
      <c r="E14637" t="s">
        <v>884</v>
      </c>
      <c r="F14637">
        <v>87.78</v>
      </c>
      <c r="G14637">
        <v>231229</v>
      </c>
      <c r="H14637">
        <v>4380</v>
      </c>
      <c r="I14637" t="s">
        <v>113</v>
      </c>
      <c r="J14637">
        <v>108.85</v>
      </c>
      <c r="K14637">
        <v>21.07</v>
      </c>
      <c r="L14637">
        <v>17808</v>
      </c>
      <c r="M14637" t="s">
        <v>322</v>
      </c>
      <c r="N14637" t="str">
        <f>"10385       "</f>
        <v xml:space="preserve">10385       </v>
      </c>
      <c r="O14637">
        <v>240105</v>
      </c>
    </row>
    <row r="14638" spans="1:15" x14ac:dyDescent="0.25">
      <c r="A14638" t="s">
        <v>16</v>
      </c>
      <c r="B14638" t="s">
        <v>3221</v>
      </c>
      <c r="C14638">
        <v>12299</v>
      </c>
      <c r="D14638" t="s">
        <v>883</v>
      </c>
      <c r="E14638" t="s">
        <v>884</v>
      </c>
      <c r="F14638">
        <v>1.9</v>
      </c>
      <c r="G14638">
        <v>230914</v>
      </c>
      <c r="H14638">
        <v>4347</v>
      </c>
      <c r="I14638" t="s">
        <v>193</v>
      </c>
      <c r="J14638">
        <v>2.36</v>
      </c>
      <c r="K14638">
        <v>0.46</v>
      </c>
      <c r="L14638">
        <v>17808</v>
      </c>
      <c r="M14638" t="s">
        <v>322</v>
      </c>
      <c r="N14638" t="str">
        <f>"10134       "</f>
        <v xml:space="preserve">10134       </v>
      </c>
      <c r="O14638">
        <v>230918</v>
      </c>
    </row>
    <row r="14639" spans="1:15" x14ac:dyDescent="0.25">
      <c r="A14639" t="s">
        <v>16</v>
      </c>
      <c r="B14639" t="s">
        <v>3221</v>
      </c>
      <c r="C14639">
        <v>15585</v>
      </c>
      <c r="D14639" t="s">
        <v>2884</v>
      </c>
      <c r="E14639" t="s">
        <v>2885</v>
      </c>
      <c r="F14639">
        <v>1504</v>
      </c>
      <c r="G14639">
        <v>231107</v>
      </c>
      <c r="H14639">
        <v>4580</v>
      </c>
      <c r="I14639" t="s">
        <v>35</v>
      </c>
      <c r="J14639">
        <v>1864.96</v>
      </c>
      <c r="K14639">
        <v>360.96</v>
      </c>
      <c r="L14639">
        <v>49702</v>
      </c>
      <c r="M14639" t="s">
        <v>584</v>
      </c>
      <c r="N14639" t="str">
        <f>"10105       "</f>
        <v xml:space="preserve">10105       </v>
      </c>
      <c r="O14639">
        <v>231114</v>
      </c>
    </row>
    <row r="14640" spans="1:15" x14ac:dyDescent="0.25">
      <c r="A14640" t="s">
        <v>16</v>
      </c>
      <c r="B14640" t="s">
        <v>3221</v>
      </c>
      <c r="C14640">
        <v>13733</v>
      </c>
      <c r="D14640" t="s">
        <v>2009</v>
      </c>
      <c r="E14640" t="s">
        <v>2010</v>
      </c>
      <c r="F14640">
        <v>8160</v>
      </c>
      <c r="G14640">
        <v>231010</v>
      </c>
      <c r="H14640">
        <v>1196</v>
      </c>
      <c r="I14640" t="s">
        <v>392</v>
      </c>
      <c r="J14640">
        <v>8160</v>
      </c>
      <c r="K14640">
        <v>0</v>
      </c>
      <c r="L14640">
        <v>97602</v>
      </c>
      <c r="M14640" t="s">
        <v>2028</v>
      </c>
      <c r="N14640" t="str">
        <f>"113371      "</f>
        <v xml:space="preserve">113371      </v>
      </c>
      <c r="O14640">
        <v>231012</v>
      </c>
    </row>
    <row r="14641" spans="1:15" x14ac:dyDescent="0.25">
      <c r="A14641" t="s">
        <v>16</v>
      </c>
      <c r="B14641" t="s">
        <v>3221</v>
      </c>
      <c r="C14641">
        <v>16280</v>
      </c>
      <c r="D14641" t="s">
        <v>613</v>
      </c>
      <c r="E14641" t="s">
        <v>614</v>
      </c>
      <c r="F14641">
        <v>480</v>
      </c>
      <c r="G14641">
        <v>231124</v>
      </c>
      <c r="H14641">
        <v>4343</v>
      </c>
      <c r="I14641" t="s">
        <v>91</v>
      </c>
      <c r="J14641">
        <v>528</v>
      </c>
      <c r="K14641">
        <v>48</v>
      </c>
      <c r="L14641">
        <v>54422</v>
      </c>
      <c r="M14641" t="s">
        <v>234</v>
      </c>
      <c r="N14641" t="str">
        <f>"881         "</f>
        <v xml:space="preserve">881         </v>
      </c>
      <c r="O14641">
        <v>231127</v>
      </c>
    </row>
    <row r="14642" spans="1:15" x14ac:dyDescent="0.25">
      <c r="A14642" t="s">
        <v>16</v>
      </c>
      <c r="B14642" t="s">
        <v>3221</v>
      </c>
      <c r="C14642">
        <v>557</v>
      </c>
      <c r="D14642" t="s">
        <v>613</v>
      </c>
      <c r="E14642" t="s">
        <v>614</v>
      </c>
      <c r="F14642">
        <v>41.8</v>
      </c>
      <c r="G14642">
        <v>230123</v>
      </c>
      <c r="H14642">
        <v>4510</v>
      </c>
      <c r="I14642" t="s">
        <v>42</v>
      </c>
      <c r="J14642">
        <v>45.98</v>
      </c>
      <c r="K14642">
        <v>4.18</v>
      </c>
      <c r="L14642">
        <v>16431</v>
      </c>
      <c r="M14642" t="s">
        <v>231</v>
      </c>
      <c r="N14642" t="str">
        <f>"716         "</f>
        <v xml:space="preserve">716         </v>
      </c>
      <c r="O14642">
        <v>230124</v>
      </c>
    </row>
    <row r="14643" spans="1:15" x14ac:dyDescent="0.25">
      <c r="A14643" t="s">
        <v>16</v>
      </c>
      <c r="B14643" t="s">
        <v>3221</v>
      </c>
      <c r="C14643">
        <v>10014</v>
      </c>
      <c r="D14643" t="s">
        <v>613</v>
      </c>
      <c r="E14643" t="s">
        <v>614</v>
      </c>
      <c r="F14643">
        <v>1392</v>
      </c>
      <c r="G14643">
        <v>230729</v>
      </c>
      <c r="H14643">
        <v>4510</v>
      </c>
      <c r="I14643" t="s">
        <v>42</v>
      </c>
      <c r="J14643">
        <v>1531.2</v>
      </c>
      <c r="K14643">
        <v>139.19999999999999</v>
      </c>
      <c r="L14643">
        <v>16431</v>
      </c>
      <c r="M14643" t="s">
        <v>231</v>
      </c>
      <c r="N14643" t="str">
        <f>"761         "</f>
        <v xml:space="preserve">761         </v>
      </c>
      <c r="O14643">
        <v>230807</v>
      </c>
    </row>
    <row r="14644" spans="1:15" x14ac:dyDescent="0.25">
      <c r="A14644" t="s">
        <v>16</v>
      </c>
      <c r="B14644" t="s">
        <v>3221</v>
      </c>
      <c r="C14644">
        <v>11062</v>
      </c>
      <c r="D14644" t="s">
        <v>613</v>
      </c>
      <c r="E14644" t="s">
        <v>614</v>
      </c>
      <c r="F14644">
        <v>720</v>
      </c>
      <c r="G14644">
        <v>230824</v>
      </c>
      <c r="H14644">
        <v>4510</v>
      </c>
      <c r="I14644" t="s">
        <v>42</v>
      </c>
      <c r="J14644">
        <v>792</v>
      </c>
      <c r="K14644">
        <v>72</v>
      </c>
      <c r="L14644">
        <v>44222</v>
      </c>
      <c r="M14644" t="s">
        <v>232</v>
      </c>
      <c r="N14644" t="str">
        <f>"833         "</f>
        <v xml:space="preserve">833         </v>
      </c>
      <c r="O14644">
        <v>230829</v>
      </c>
    </row>
    <row r="14645" spans="1:15" x14ac:dyDescent="0.25">
      <c r="A14645" t="s">
        <v>16</v>
      </c>
      <c r="B14645" t="s">
        <v>3221</v>
      </c>
      <c r="C14645">
        <v>16082</v>
      </c>
      <c r="D14645" t="s">
        <v>3306</v>
      </c>
      <c r="E14645" t="s">
        <v>3307</v>
      </c>
      <c r="F14645">
        <v>69.27</v>
      </c>
      <c r="G14645">
        <v>231117</v>
      </c>
      <c r="H14645">
        <v>4600</v>
      </c>
      <c r="I14645" t="s">
        <v>105</v>
      </c>
      <c r="J14645">
        <v>85.9</v>
      </c>
      <c r="K14645">
        <v>16.63</v>
      </c>
      <c r="L14645">
        <v>65422</v>
      </c>
      <c r="M14645" t="s">
        <v>602</v>
      </c>
      <c r="N14645" t="str">
        <f>"10002160    "</f>
        <v xml:space="preserve">10002160    </v>
      </c>
      <c r="O14645">
        <v>231122</v>
      </c>
    </row>
    <row r="14646" spans="1:15" x14ac:dyDescent="0.25">
      <c r="A14646" t="s">
        <v>16</v>
      </c>
      <c r="B14646" t="s">
        <v>3221</v>
      </c>
      <c r="C14646">
        <v>9706</v>
      </c>
      <c r="D14646" t="s">
        <v>1041</v>
      </c>
      <c r="E14646" t="s">
        <v>1042</v>
      </c>
      <c r="F14646">
        <v>1624</v>
      </c>
      <c r="G14646">
        <v>230710</v>
      </c>
      <c r="H14646">
        <v>4580</v>
      </c>
      <c r="I14646" t="s">
        <v>35</v>
      </c>
      <c r="J14646">
        <v>2013.76</v>
      </c>
      <c r="K14646">
        <v>389.76</v>
      </c>
      <c r="L14646">
        <v>67554</v>
      </c>
      <c r="M14646" t="s">
        <v>60</v>
      </c>
      <c r="N14646" t="str">
        <f>"7051916     "</f>
        <v xml:space="preserve">7051916     </v>
      </c>
      <c r="O14646">
        <v>230720</v>
      </c>
    </row>
    <row r="14647" spans="1:15" x14ac:dyDescent="0.25">
      <c r="A14647" t="s">
        <v>16</v>
      </c>
      <c r="B14647" t="s">
        <v>3221</v>
      </c>
      <c r="C14647">
        <v>10121</v>
      </c>
      <c r="D14647" t="s">
        <v>1041</v>
      </c>
      <c r="E14647" t="s">
        <v>1042</v>
      </c>
      <c r="F14647">
        <v>424.44</v>
      </c>
      <c r="G14647">
        <v>230807</v>
      </c>
      <c r="H14647">
        <v>4580</v>
      </c>
      <c r="I14647" t="s">
        <v>35</v>
      </c>
      <c r="J14647">
        <v>526.30999999999995</v>
      </c>
      <c r="K14647">
        <v>101.87</v>
      </c>
      <c r="L14647">
        <v>67554</v>
      </c>
      <c r="M14647" t="s">
        <v>60</v>
      </c>
      <c r="N14647" t="str">
        <f>"7052227     "</f>
        <v xml:space="preserve">7052227     </v>
      </c>
      <c r="O14647">
        <v>230808</v>
      </c>
    </row>
    <row r="14648" spans="1:15" x14ac:dyDescent="0.25">
      <c r="A14648" t="s">
        <v>16</v>
      </c>
      <c r="B14648" t="s">
        <v>3221</v>
      </c>
      <c r="C14648">
        <v>15952</v>
      </c>
      <c r="D14648" t="s">
        <v>1041</v>
      </c>
      <c r="E14648" t="s">
        <v>1042</v>
      </c>
      <c r="F14648">
        <v>870</v>
      </c>
      <c r="G14648">
        <v>231114</v>
      </c>
      <c r="H14648">
        <v>4580</v>
      </c>
      <c r="I14648" t="s">
        <v>35</v>
      </c>
      <c r="J14648">
        <v>1078.8</v>
      </c>
      <c r="K14648">
        <v>208.8</v>
      </c>
      <c r="L14648">
        <v>17737</v>
      </c>
      <c r="M14648" t="s">
        <v>279</v>
      </c>
      <c r="N14648" t="str">
        <f>"7054023     "</f>
        <v xml:space="preserve">7054023     </v>
      </c>
      <c r="O14648">
        <v>231122</v>
      </c>
    </row>
    <row r="14649" spans="1:15" x14ac:dyDescent="0.25">
      <c r="A14649" t="s">
        <v>16</v>
      </c>
      <c r="B14649" t="s">
        <v>3221</v>
      </c>
      <c r="C14649">
        <v>1440</v>
      </c>
      <c r="D14649" t="s">
        <v>1041</v>
      </c>
      <c r="E14649" t="s">
        <v>1042</v>
      </c>
      <c r="F14649">
        <v>3200.25</v>
      </c>
      <c r="G14649">
        <v>230206</v>
      </c>
      <c r="H14649">
        <v>4400</v>
      </c>
      <c r="I14649" t="s">
        <v>348</v>
      </c>
      <c r="J14649">
        <v>3968.31</v>
      </c>
      <c r="K14649">
        <v>768.06</v>
      </c>
      <c r="L14649">
        <v>67554</v>
      </c>
      <c r="M14649" t="s">
        <v>60</v>
      </c>
      <c r="N14649" t="str">
        <f>"7049475     "</f>
        <v xml:space="preserve">7049475     </v>
      </c>
      <c r="O14649">
        <v>230208</v>
      </c>
    </row>
    <row r="14650" spans="1:15" x14ac:dyDescent="0.25">
      <c r="A14650" t="s">
        <v>16</v>
      </c>
      <c r="B14650" t="s">
        <v>3221</v>
      </c>
      <c r="C14650">
        <v>10792</v>
      </c>
      <c r="D14650" t="s">
        <v>1041</v>
      </c>
      <c r="E14650" t="s">
        <v>1042</v>
      </c>
      <c r="F14650">
        <v>-3200.25</v>
      </c>
      <c r="G14650">
        <v>230818</v>
      </c>
      <c r="H14650">
        <v>4400</v>
      </c>
      <c r="I14650" t="s">
        <v>348</v>
      </c>
      <c r="J14650">
        <v>-3968.31</v>
      </c>
      <c r="K14650">
        <v>-768.06</v>
      </c>
      <c r="L14650">
        <v>67554</v>
      </c>
      <c r="M14650" t="s">
        <v>60</v>
      </c>
      <c r="N14650" t="str">
        <f>"703603      "</f>
        <v xml:space="preserve">703603      </v>
      </c>
      <c r="O14650">
        <v>230823</v>
      </c>
    </row>
    <row r="14651" spans="1:15" x14ac:dyDescent="0.25">
      <c r="A14651" t="s">
        <v>16</v>
      </c>
      <c r="B14651" t="s">
        <v>3221</v>
      </c>
      <c r="C14651">
        <v>4238</v>
      </c>
      <c r="D14651" t="s">
        <v>1041</v>
      </c>
      <c r="E14651" t="s">
        <v>1042</v>
      </c>
      <c r="F14651">
        <v>347.3</v>
      </c>
      <c r="G14651">
        <v>230330</v>
      </c>
      <c r="H14651">
        <v>4600</v>
      </c>
      <c r="I14651" t="s">
        <v>105</v>
      </c>
      <c r="J14651">
        <v>430.65</v>
      </c>
      <c r="K14651">
        <v>83.35</v>
      </c>
      <c r="L14651">
        <v>67554</v>
      </c>
      <c r="M14651" t="s">
        <v>60</v>
      </c>
      <c r="N14651" t="str">
        <f>"7050398     "</f>
        <v xml:space="preserve">7050398     </v>
      </c>
      <c r="O14651">
        <v>230403</v>
      </c>
    </row>
    <row r="14652" spans="1:15" x14ac:dyDescent="0.25">
      <c r="A14652" t="s">
        <v>16</v>
      </c>
      <c r="B14652" t="s">
        <v>3221</v>
      </c>
      <c r="C14652">
        <v>9920</v>
      </c>
      <c r="D14652" t="s">
        <v>1041</v>
      </c>
      <c r="E14652" t="s">
        <v>1042</v>
      </c>
      <c r="F14652">
        <v>577.42999999999995</v>
      </c>
      <c r="G14652">
        <v>230731</v>
      </c>
      <c r="H14652">
        <v>4470</v>
      </c>
      <c r="I14652" t="s">
        <v>83</v>
      </c>
      <c r="J14652">
        <v>716.01</v>
      </c>
      <c r="K14652">
        <v>138.58000000000001</v>
      </c>
      <c r="L14652">
        <v>67554</v>
      </c>
      <c r="M14652" t="s">
        <v>60</v>
      </c>
      <c r="N14652" t="str">
        <f>"7052137     "</f>
        <v xml:space="preserve">7052137     </v>
      </c>
      <c r="O14652">
        <v>230802</v>
      </c>
    </row>
    <row r="14653" spans="1:15" x14ac:dyDescent="0.25">
      <c r="A14653" t="s">
        <v>16</v>
      </c>
      <c r="B14653" t="s">
        <v>3221</v>
      </c>
      <c r="C14653">
        <v>9405</v>
      </c>
      <c r="D14653" t="s">
        <v>1041</v>
      </c>
      <c r="E14653" t="s">
        <v>1042</v>
      </c>
      <c r="F14653">
        <v>136.1</v>
      </c>
      <c r="G14653">
        <v>230703</v>
      </c>
      <c r="H14653">
        <v>4590</v>
      </c>
      <c r="I14653" t="s">
        <v>203</v>
      </c>
      <c r="J14653">
        <v>168.76</v>
      </c>
      <c r="K14653">
        <v>32.659999999999997</v>
      </c>
      <c r="L14653">
        <v>67554</v>
      </c>
      <c r="M14653" t="s">
        <v>60</v>
      </c>
      <c r="N14653" t="str">
        <f>"7051797     "</f>
        <v xml:space="preserve">7051797     </v>
      </c>
      <c r="O14653">
        <v>230710</v>
      </c>
    </row>
    <row r="14654" spans="1:15" x14ac:dyDescent="0.25">
      <c r="A14654" t="s">
        <v>16</v>
      </c>
      <c r="B14654" t="s">
        <v>3221</v>
      </c>
      <c r="C14654">
        <v>1946</v>
      </c>
      <c r="D14654" t="s">
        <v>1241</v>
      </c>
      <c r="E14654" t="s">
        <v>1242</v>
      </c>
      <c r="F14654">
        <v>64.44</v>
      </c>
      <c r="G14654">
        <v>230214</v>
      </c>
      <c r="H14654">
        <v>4580</v>
      </c>
      <c r="I14654" t="s">
        <v>35</v>
      </c>
      <c r="J14654">
        <v>79.900000000000006</v>
      </c>
      <c r="K14654">
        <v>15.46</v>
      </c>
      <c r="L14654">
        <v>17536</v>
      </c>
      <c r="M14654" t="s">
        <v>734</v>
      </c>
      <c r="N14654" t="str">
        <f>"10534       "</f>
        <v xml:space="preserve">10534       </v>
      </c>
      <c r="O14654">
        <v>230216</v>
      </c>
    </row>
    <row r="14655" spans="1:15" x14ac:dyDescent="0.25">
      <c r="A14655" t="s">
        <v>16</v>
      </c>
      <c r="B14655" t="s">
        <v>3221</v>
      </c>
      <c r="C14655">
        <v>237</v>
      </c>
      <c r="D14655" t="s">
        <v>359</v>
      </c>
      <c r="E14655" t="s">
        <v>360</v>
      </c>
      <c r="F14655">
        <v>199.94</v>
      </c>
      <c r="G14655">
        <v>230113</v>
      </c>
      <c r="H14655">
        <v>4470</v>
      </c>
      <c r="I14655" t="s">
        <v>83</v>
      </c>
      <c r="J14655">
        <v>247.93</v>
      </c>
      <c r="K14655">
        <v>47.99</v>
      </c>
      <c r="L14655">
        <v>56559</v>
      </c>
      <c r="M14655" t="s">
        <v>129</v>
      </c>
      <c r="N14655" t="str">
        <f>"505594      "</f>
        <v xml:space="preserve">505594      </v>
      </c>
      <c r="O14655">
        <v>230116</v>
      </c>
    </row>
    <row r="14656" spans="1:15" x14ac:dyDescent="0.25">
      <c r="A14656" t="s">
        <v>16</v>
      </c>
      <c r="B14656" t="s">
        <v>3221</v>
      </c>
      <c r="C14656">
        <v>12353</v>
      </c>
      <c r="D14656" t="s">
        <v>2569</v>
      </c>
      <c r="E14656" t="s">
        <v>2570</v>
      </c>
      <c r="F14656">
        <v>690</v>
      </c>
      <c r="G14656">
        <v>230916</v>
      </c>
      <c r="H14656">
        <v>4440</v>
      </c>
      <c r="I14656" t="s">
        <v>250</v>
      </c>
      <c r="J14656">
        <v>855.6</v>
      </c>
      <c r="K14656">
        <v>165.6</v>
      </c>
      <c r="L14656">
        <v>16930</v>
      </c>
      <c r="M14656" t="s">
        <v>450</v>
      </c>
      <c r="N14656" t="str">
        <f>"6023090001  "</f>
        <v xml:space="preserve">6023090001  </v>
      </c>
      <c r="O14656">
        <v>230918</v>
      </c>
    </row>
    <row r="14657" spans="1:15" x14ac:dyDescent="0.25">
      <c r="A14657" t="s">
        <v>16</v>
      </c>
      <c r="B14657" t="s">
        <v>3221</v>
      </c>
      <c r="C14657">
        <v>1678</v>
      </c>
      <c r="D14657" t="s">
        <v>1136</v>
      </c>
      <c r="E14657" t="s">
        <v>1137</v>
      </c>
      <c r="F14657">
        <v>246.85</v>
      </c>
      <c r="G14657">
        <v>230203</v>
      </c>
      <c r="H14657">
        <v>4600</v>
      </c>
      <c r="I14657" t="s">
        <v>105</v>
      </c>
      <c r="J14657">
        <v>306.08999999999997</v>
      </c>
      <c r="K14657">
        <v>59.24</v>
      </c>
      <c r="L14657">
        <v>17807</v>
      </c>
      <c r="M14657" t="s">
        <v>318</v>
      </c>
      <c r="N14657" t="str">
        <f>"2025456     "</f>
        <v xml:space="preserve">2025456     </v>
      </c>
      <c r="O14657">
        <v>230213</v>
      </c>
    </row>
    <row r="14658" spans="1:15" x14ac:dyDescent="0.25">
      <c r="A14658" t="s">
        <v>16</v>
      </c>
      <c r="B14658" t="s">
        <v>3221</v>
      </c>
      <c r="C14658">
        <v>2402</v>
      </c>
      <c r="D14658" t="s">
        <v>1136</v>
      </c>
      <c r="E14658" t="s">
        <v>1137</v>
      </c>
      <c r="F14658">
        <v>135.13</v>
      </c>
      <c r="G14658">
        <v>230223</v>
      </c>
      <c r="H14658">
        <v>4600</v>
      </c>
      <c r="I14658" t="s">
        <v>105</v>
      </c>
      <c r="J14658">
        <v>167.56</v>
      </c>
      <c r="K14658">
        <v>32.43</v>
      </c>
      <c r="L14658">
        <v>17807</v>
      </c>
      <c r="M14658" t="s">
        <v>318</v>
      </c>
      <c r="N14658" t="str">
        <f>"2026250     "</f>
        <v xml:space="preserve">2026250     </v>
      </c>
      <c r="O14658">
        <v>230227</v>
      </c>
    </row>
    <row r="14659" spans="1:15" x14ac:dyDescent="0.25">
      <c r="A14659" t="s">
        <v>16</v>
      </c>
      <c r="B14659" t="s">
        <v>3221</v>
      </c>
      <c r="C14659">
        <v>5048</v>
      </c>
      <c r="D14659" t="s">
        <v>1136</v>
      </c>
      <c r="E14659" t="s">
        <v>1137</v>
      </c>
      <c r="F14659">
        <v>291.5</v>
      </c>
      <c r="G14659">
        <v>230411</v>
      </c>
      <c r="H14659">
        <v>4600</v>
      </c>
      <c r="I14659" t="s">
        <v>105</v>
      </c>
      <c r="J14659">
        <v>361.46</v>
      </c>
      <c r="K14659">
        <v>69.959999999999994</v>
      </c>
      <c r="L14659">
        <v>17807</v>
      </c>
      <c r="M14659" t="s">
        <v>318</v>
      </c>
      <c r="N14659" t="str">
        <f>"2028210     "</f>
        <v xml:space="preserve">2028210     </v>
      </c>
      <c r="O14659">
        <v>230418</v>
      </c>
    </row>
    <row r="14660" spans="1:15" x14ac:dyDescent="0.25">
      <c r="A14660" t="s">
        <v>16</v>
      </c>
      <c r="B14660" t="s">
        <v>3221</v>
      </c>
      <c r="C14660">
        <v>6052</v>
      </c>
      <c r="D14660" t="s">
        <v>1927</v>
      </c>
      <c r="E14660" t="s">
        <v>1928</v>
      </c>
      <c r="F14660">
        <v>6.45</v>
      </c>
      <c r="G14660">
        <v>230501</v>
      </c>
      <c r="H14660">
        <v>4410</v>
      </c>
      <c r="I14660" t="s">
        <v>517</v>
      </c>
      <c r="J14660">
        <v>8</v>
      </c>
      <c r="K14660">
        <v>1.55</v>
      </c>
      <c r="L14660">
        <v>18972</v>
      </c>
      <c r="M14660" t="s">
        <v>163</v>
      </c>
      <c r="N14660" t="str">
        <f>"1924        "</f>
        <v xml:space="preserve">1924        </v>
      </c>
      <c r="O14660">
        <v>230508</v>
      </c>
    </row>
    <row r="14661" spans="1:15" x14ac:dyDescent="0.25">
      <c r="A14661" t="s">
        <v>16</v>
      </c>
      <c r="B14661" t="s">
        <v>3221</v>
      </c>
      <c r="C14661">
        <v>6052</v>
      </c>
      <c r="D14661" t="s">
        <v>1927</v>
      </c>
      <c r="E14661" t="s">
        <v>1928</v>
      </c>
      <c r="F14661">
        <v>167.37</v>
      </c>
      <c r="G14661">
        <v>230501</v>
      </c>
      <c r="H14661">
        <v>4410</v>
      </c>
      <c r="I14661" t="s">
        <v>517</v>
      </c>
      <c r="J14661">
        <v>190.8</v>
      </c>
      <c r="K14661">
        <v>23.43</v>
      </c>
      <c r="L14661">
        <v>18972</v>
      </c>
      <c r="M14661" t="s">
        <v>163</v>
      </c>
      <c r="N14661" t="str">
        <f>"1924        "</f>
        <v xml:space="preserve">1924        </v>
      </c>
      <c r="O14661">
        <v>230508</v>
      </c>
    </row>
    <row r="14662" spans="1:15" x14ac:dyDescent="0.25">
      <c r="A14662" t="s">
        <v>16</v>
      </c>
      <c r="B14662" t="s">
        <v>3221</v>
      </c>
      <c r="C14662">
        <v>19353</v>
      </c>
      <c r="D14662" t="s">
        <v>3182</v>
      </c>
      <c r="E14662" t="s">
        <v>3183</v>
      </c>
      <c r="F14662">
        <v>74</v>
      </c>
      <c r="G14662">
        <v>240110</v>
      </c>
      <c r="H14662">
        <v>4410</v>
      </c>
      <c r="I14662" t="s">
        <v>517</v>
      </c>
      <c r="J14662">
        <v>74</v>
      </c>
      <c r="K14662">
        <v>0</v>
      </c>
      <c r="L14662">
        <v>17711</v>
      </c>
      <c r="M14662" t="s">
        <v>65</v>
      </c>
      <c r="N14662" t="str">
        <f>"29038       "</f>
        <v xml:space="preserve">29038       </v>
      </c>
      <c r="O14662">
        <v>240118</v>
      </c>
    </row>
    <row r="14663" spans="1:15" x14ac:dyDescent="0.25">
      <c r="A14663" t="s">
        <v>16</v>
      </c>
      <c r="B14663" t="s">
        <v>3221</v>
      </c>
      <c r="C14663">
        <v>15676</v>
      </c>
      <c r="D14663" t="s">
        <v>3674</v>
      </c>
      <c r="E14663" t="s">
        <v>2900</v>
      </c>
      <c r="F14663">
        <v>-951</v>
      </c>
      <c r="G14663">
        <v>231109</v>
      </c>
      <c r="H14663">
        <v>4346</v>
      </c>
      <c r="I14663" t="s">
        <v>197</v>
      </c>
      <c r="J14663">
        <v>-951</v>
      </c>
      <c r="K14663">
        <v>0</v>
      </c>
      <c r="L14663">
        <v>17737</v>
      </c>
      <c r="M14663" t="s">
        <v>279</v>
      </c>
      <c r="N14663" t="str">
        <f>"15/091123   "</f>
        <v xml:space="preserve">15/091123   </v>
      </c>
      <c r="O14663">
        <v>231116</v>
      </c>
    </row>
    <row r="14664" spans="1:15" x14ac:dyDescent="0.25">
      <c r="A14664" t="s">
        <v>16</v>
      </c>
      <c r="B14664" t="s">
        <v>3221</v>
      </c>
      <c r="C14664">
        <v>15676</v>
      </c>
      <c r="D14664" t="s">
        <v>3674</v>
      </c>
      <c r="E14664" t="s">
        <v>2900</v>
      </c>
      <c r="F14664">
        <v>951</v>
      </c>
      <c r="G14664">
        <v>231109</v>
      </c>
      <c r="H14664">
        <v>4346</v>
      </c>
      <c r="I14664" t="s">
        <v>197</v>
      </c>
      <c r="J14664">
        <v>1179.24</v>
      </c>
      <c r="K14664">
        <v>228.24</v>
      </c>
      <c r="L14664">
        <v>17737</v>
      </c>
      <c r="M14664" t="s">
        <v>279</v>
      </c>
      <c r="N14664" t="str">
        <f>"15/091123   "</f>
        <v xml:space="preserve">15/091123   </v>
      </c>
      <c r="O14664">
        <v>231116</v>
      </c>
    </row>
    <row r="14665" spans="1:15" x14ac:dyDescent="0.25">
      <c r="A14665" t="s">
        <v>16</v>
      </c>
      <c r="B14665" t="s">
        <v>3221</v>
      </c>
      <c r="C14665">
        <v>203</v>
      </c>
      <c r="D14665" t="s">
        <v>316</v>
      </c>
      <c r="E14665" t="s">
        <v>317</v>
      </c>
      <c r="F14665">
        <v>797</v>
      </c>
      <c r="G14665">
        <v>230104</v>
      </c>
      <c r="H14665">
        <v>4580</v>
      </c>
      <c r="I14665" t="s">
        <v>35</v>
      </c>
      <c r="J14665">
        <v>988.28</v>
      </c>
      <c r="K14665">
        <v>191.28</v>
      </c>
      <c r="L14665">
        <v>17807</v>
      </c>
      <c r="M14665" t="s">
        <v>318</v>
      </c>
      <c r="N14665" t="str">
        <f>"9015415220  "</f>
        <v xml:space="preserve">9015415220  </v>
      </c>
      <c r="O14665">
        <v>230116</v>
      </c>
    </row>
    <row r="14666" spans="1:15" x14ac:dyDescent="0.25">
      <c r="A14666" t="s">
        <v>16</v>
      </c>
      <c r="B14666" t="s">
        <v>3221</v>
      </c>
      <c r="C14666">
        <v>5568</v>
      </c>
      <c r="D14666" t="s">
        <v>316</v>
      </c>
      <c r="E14666" t="s">
        <v>317</v>
      </c>
      <c r="F14666">
        <v>430.5</v>
      </c>
      <c r="G14666">
        <v>230419</v>
      </c>
      <c r="H14666">
        <v>4600</v>
      </c>
      <c r="I14666" t="s">
        <v>105</v>
      </c>
      <c r="J14666">
        <v>533.82000000000005</v>
      </c>
      <c r="K14666">
        <v>103.32</v>
      </c>
      <c r="L14666">
        <v>17807</v>
      </c>
      <c r="M14666" t="s">
        <v>318</v>
      </c>
      <c r="N14666" t="str">
        <f>"9015433257  "</f>
        <v xml:space="preserve">9015433257  </v>
      </c>
      <c r="O14666">
        <v>230426</v>
      </c>
    </row>
    <row r="14667" spans="1:15" x14ac:dyDescent="0.25">
      <c r="A14667" t="s">
        <v>16</v>
      </c>
      <c r="B14667" t="s">
        <v>3221</v>
      </c>
      <c r="C14667">
        <v>5569</v>
      </c>
      <c r="D14667" t="s">
        <v>316</v>
      </c>
      <c r="E14667" t="s">
        <v>317</v>
      </c>
      <c r="F14667">
        <v>194.86</v>
      </c>
      <c r="G14667">
        <v>230419</v>
      </c>
      <c r="H14667">
        <v>4600</v>
      </c>
      <c r="I14667" t="s">
        <v>105</v>
      </c>
      <c r="J14667">
        <v>241.63</v>
      </c>
      <c r="K14667">
        <v>46.77</v>
      </c>
      <c r="L14667">
        <v>17807</v>
      </c>
      <c r="M14667" t="s">
        <v>318</v>
      </c>
      <c r="N14667" t="str">
        <f>"9015433258  "</f>
        <v xml:space="preserve">9015433258  </v>
      </c>
      <c r="O14667">
        <v>230426</v>
      </c>
    </row>
    <row r="14668" spans="1:15" x14ac:dyDescent="0.25">
      <c r="A14668" t="s">
        <v>16</v>
      </c>
      <c r="B14668" t="s">
        <v>3221</v>
      </c>
      <c r="C14668">
        <v>6904</v>
      </c>
      <c r="D14668" t="s">
        <v>316</v>
      </c>
      <c r="E14668" t="s">
        <v>317</v>
      </c>
      <c r="F14668">
        <v>652.19000000000005</v>
      </c>
      <c r="G14668">
        <v>230503</v>
      </c>
      <c r="H14668">
        <v>4600</v>
      </c>
      <c r="I14668" t="s">
        <v>105</v>
      </c>
      <c r="J14668">
        <v>808.72</v>
      </c>
      <c r="K14668">
        <v>156.53</v>
      </c>
      <c r="L14668">
        <v>17807</v>
      </c>
      <c r="M14668" t="s">
        <v>318</v>
      </c>
      <c r="N14668" t="str">
        <f>"9015435434  "</f>
        <v xml:space="preserve">9015435434  </v>
      </c>
      <c r="O14668">
        <v>230523</v>
      </c>
    </row>
    <row r="14669" spans="1:15" x14ac:dyDescent="0.25">
      <c r="A14669" t="s">
        <v>16</v>
      </c>
      <c r="B14669" t="s">
        <v>3221</v>
      </c>
      <c r="C14669">
        <v>7175</v>
      </c>
      <c r="D14669" t="s">
        <v>316</v>
      </c>
      <c r="E14669" t="s">
        <v>317</v>
      </c>
      <c r="F14669">
        <v>619.42999999999995</v>
      </c>
      <c r="G14669">
        <v>230517</v>
      </c>
      <c r="H14669">
        <v>4600</v>
      </c>
      <c r="I14669" t="s">
        <v>105</v>
      </c>
      <c r="J14669">
        <v>768.09</v>
      </c>
      <c r="K14669">
        <v>148.66</v>
      </c>
      <c r="L14669">
        <v>17807</v>
      </c>
      <c r="M14669" t="s">
        <v>318</v>
      </c>
      <c r="N14669" t="str">
        <f>"9015437898  "</f>
        <v xml:space="preserve">9015437898  </v>
      </c>
      <c r="O14669">
        <v>230525</v>
      </c>
    </row>
    <row r="14670" spans="1:15" x14ac:dyDescent="0.25">
      <c r="A14670" t="s">
        <v>16</v>
      </c>
      <c r="B14670" t="s">
        <v>3221</v>
      </c>
      <c r="C14670">
        <v>7204</v>
      </c>
      <c r="D14670" t="s">
        <v>316</v>
      </c>
      <c r="E14670" t="s">
        <v>317</v>
      </c>
      <c r="F14670">
        <v>120.06</v>
      </c>
      <c r="G14670">
        <v>230519</v>
      </c>
      <c r="H14670">
        <v>4600</v>
      </c>
      <c r="I14670" t="s">
        <v>105</v>
      </c>
      <c r="J14670">
        <v>148.87</v>
      </c>
      <c r="K14670">
        <v>28.81</v>
      </c>
      <c r="L14670">
        <v>17807</v>
      </c>
      <c r="M14670" t="s">
        <v>318</v>
      </c>
      <c r="N14670" t="str">
        <f>"9015438220  "</f>
        <v xml:space="preserve">9015438220  </v>
      </c>
      <c r="O14670">
        <v>230526</v>
      </c>
    </row>
    <row r="14671" spans="1:15" x14ac:dyDescent="0.25">
      <c r="A14671" t="s">
        <v>16</v>
      </c>
      <c r="B14671" t="s">
        <v>3221</v>
      </c>
      <c r="C14671">
        <v>10749</v>
      </c>
      <c r="D14671" t="s">
        <v>316</v>
      </c>
      <c r="E14671" t="s">
        <v>317</v>
      </c>
      <c r="F14671">
        <v>487.19</v>
      </c>
      <c r="G14671">
        <v>230817</v>
      </c>
      <c r="H14671">
        <v>4600</v>
      </c>
      <c r="I14671" t="s">
        <v>105</v>
      </c>
      <c r="J14671">
        <v>604.12</v>
      </c>
      <c r="K14671">
        <v>116.93</v>
      </c>
      <c r="L14671">
        <v>17807</v>
      </c>
      <c r="M14671" t="s">
        <v>318</v>
      </c>
      <c r="N14671" t="str">
        <f>"9015451694  "</f>
        <v xml:space="preserve">9015451694  </v>
      </c>
      <c r="O14671">
        <v>230822</v>
      </c>
    </row>
    <row r="14672" spans="1:15" x14ac:dyDescent="0.25">
      <c r="A14672" t="s">
        <v>16</v>
      </c>
      <c r="B14672" t="s">
        <v>3221</v>
      </c>
      <c r="C14672">
        <v>16758</v>
      </c>
      <c r="D14672" t="s">
        <v>316</v>
      </c>
      <c r="E14672" t="s">
        <v>317</v>
      </c>
      <c r="F14672">
        <v>155</v>
      </c>
      <c r="G14672">
        <v>231123</v>
      </c>
      <c r="H14672">
        <v>4600</v>
      </c>
      <c r="I14672" t="s">
        <v>105</v>
      </c>
      <c r="J14672">
        <v>192.2</v>
      </c>
      <c r="K14672">
        <v>37.200000000000003</v>
      </c>
      <c r="L14672">
        <v>17807</v>
      </c>
      <c r="M14672" t="s">
        <v>318</v>
      </c>
      <c r="N14672" t="str">
        <f>"9015466700  "</f>
        <v xml:space="preserve">9015466700  </v>
      </c>
      <c r="O14672">
        <v>231208</v>
      </c>
    </row>
    <row r="14673" spans="1:15" x14ac:dyDescent="0.25">
      <c r="A14673" t="s">
        <v>16</v>
      </c>
      <c r="B14673" t="s">
        <v>3221</v>
      </c>
      <c r="C14673">
        <v>8237</v>
      </c>
      <c r="D14673" t="s">
        <v>2160</v>
      </c>
      <c r="E14673" t="s">
        <v>2161</v>
      </c>
      <c r="F14673">
        <v>135.27000000000001</v>
      </c>
      <c r="G14673">
        <v>230601</v>
      </c>
      <c r="H14673">
        <v>4412</v>
      </c>
      <c r="I14673" t="s">
        <v>149</v>
      </c>
      <c r="J14673">
        <v>148.80000000000001</v>
      </c>
      <c r="K14673">
        <v>13.53</v>
      </c>
      <c r="L14673">
        <v>44222</v>
      </c>
      <c r="M14673" t="s">
        <v>232</v>
      </c>
      <c r="N14673" t="str">
        <f>"37          "</f>
        <v xml:space="preserve">37          </v>
      </c>
      <c r="O14673">
        <v>230608</v>
      </c>
    </row>
    <row r="14674" spans="1:15" x14ac:dyDescent="0.25">
      <c r="A14674" t="s">
        <v>16</v>
      </c>
      <c r="B14674" t="s">
        <v>3221</v>
      </c>
      <c r="C14674">
        <v>8509</v>
      </c>
      <c r="D14674" t="s">
        <v>2160</v>
      </c>
      <c r="E14674" t="s">
        <v>2161</v>
      </c>
      <c r="F14674">
        <v>135.27000000000001</v>
      </c>
      <c r="G14674">
        <v>230601</v>
      </c>
      <c r="H14674">
        <v>4412</v>
      </c>
      <c r="I14674" t="s">
        <v>149</v>
      </c>
      <c r="J14674">
        <v>148.80000000000001</v>
      </c>
      <c r="K14674">
        <v>13.53</v>
      </c>
      <c r="L14674">
        <v>49702</v>
      </c>
      <c r="M14674" t="s">
        <v>584</v>
      </c>
      <c r="N14674" t="str">
        <f>"30          "</f>
        <v xml:space="preserve">30          </v>
      </c>
      <c r="O14674">
        <v>230612</v>
      </c>
    </row>
    <row r="14675" spans="1:15" x14ac:dyDescent="0.25">
      <c r="A14675" t="s">
        <v>16</v>
      </c>
      <c r="B14675" t="s">
        <v>3221</v>
      </c>
      <c r="C14675">
        <v>8768</v>
      </c>
      <c r="D14675" t="s">
        <v>2160</v>
      </c>
      <c r="E14675" t="s">
        <v>2161</v>
      </c>
      <c r="F14675">
        <v>135.27000000000001</v>
      </c>
      <c r="G14675">
        <v>230601</v>
      </c>
      <c r="H14675">
        <v>4412</v>
      </c>
      <c r="I14675" t="s">
        <v>149</v>
      </c>
      <c r="J14675">
        <v>148.80000000000001</v>
      </c>
      <c r="K14675">
        <v>13.53</v>
      </c>
      <c r="L14675">
        <v>11901</v>
      </c>
      <c r="M14675" t="s">
        <v>36</v>
      </c>
      <c r="N14675" t="str">
        <f>"36          "</f>
        <v xml:space="preserve">36          </v>
      </c>
      <c r="O14675">
        <v>230614</v>
      </c>
    </row>
    <row r="14676" spans="1:15" x14ac:dyDescent="0.25">
      <c r="A14676" t="s">
        <v>16</v>
      </c>
      <c r="B14676" t="s">
        <v>3221</v>
      </c>
      <c r="C14676">
        <v>8768</v>
      </c>
      <c r="D14676" t="s">
        <v>2160</v>
      </c>
      <c r="E14676" t="s">
        <v>2161</v>
      </c>
      <c r="F14676">
        <v>256</v>
      </c>
      <c r="G14676">
        <v>230601</v>
      </c>
      <c r="H14676">
        <v>4412</v>
      </c>
      <c r="I14676" t="s">
        <v>149</v>
      </c>
      <c r="J14676">
        <v>256</v>
      </c>
      <c r="K14676">
        <v>0</v>
      </c>
      <c r="L14676">
        <v>11901</v>
      </c>
      <c r="M14676" t="s">
        <v>36</v>
      </c>
      <c r="N14676" t="str">
        <f>"36          "</f>
        <v xml:space="preserve">36          </v>
      </c>
      <c r="O14676">
        <v>230614</v>
      </c>
    </row>
    <row r="14677" spans="1:15" x14ac:dyDescent="0.25">
      <c r="A14677" t="s">
        <v>16</v>
      </c>
      <c r="B14677" t="s">
        <v>3221</v>
      </c>
      <c r="C14677">
        <v>11371</v>
      </c>
      <c r="D14677" t="s">
        <v>2160</v>
      </c>
      <c r="E14677" t="s">
        <v>2161</v>
      </c>
      <c r="F14677">
        <v>232.73</v>
      </c>
      <c r="G14677">
        <v>230829</v>
      </c>
      <c r="H14677">
        <v>4412</v>
      </c>
      <c r="I14677" t="s">
        <v>149</v>
      </c>
      <c r="J14677">
        <v>256</v>
      </c>
      <c r="K14677">
        <v>23.27</v>
      </c>
      <c r="L14677">
        <v>49702</v>
      </c>
      <c r="M14677" t="s">
        <v>584</v>
      </c>
      <c r="N14677" t="str">
        <f>"96          "</f>
        <v xml:space="preserve">96          </v>
      </c>
      <c r="O14677">
        <v>230905</v>
      </c>
    </row>
    <row r="14678" spans="1:15" x14ac:dyDescent="0.25">
      <c r="A14678" t="s">
        <v>16</v>
      </c>
      <c r="B14678" t="s">
        <v>3221</v>
      </c>
      <c r="C14678">
        <v>915</v>
      </c>
      <c r="D14678" t="s">
        <v>790</v>
      </c>
      <c r="E14678" t="s">
        <v>791</v>
      </c>
      <c r="F14678">
        <v>1677</v>
      </c>
      <c r="G14678">
        <v>230123</v>
      </c>
      <c r="H14678">
        <v>4580</v>
      </c>
      <c r="I14678" t="s">
        <v>35</v>
      </c>
      <c r="J14678">
        <v>2079.48</v>
      </c>
      <c r="K14678">
        <v>402.48</v>
      </c>
      <c r="L14678">
        <v>11602</v>
      </c>
      <c r="M14678" t="s">
        <v>714</v>
      </c>
      <c r="N14678" t="str">
        <f>"17146       "</f>
        <v xml:space="preserve">17146       </v>
      </c>
      <c r="O14678">
        <v>230201</v>
      </c>
    </row>
    <row r="14679" spans="1:15" x14ac:dyDescent="0.25">
      <c r="A14679" t="s">
        <v>16</v>
      </c>
      <c r="B14679" t="s">
        <v>3221</v>
      </c>
      <c r="C14679">
        <v>18125</v>
      </c>
      <c r="D14679" t="s">
        <v>790</v>
      </c>
      <c r="E14679" t="s">
        <v>791</v>
      </c>
      <c r="F14679">
        <v>194</v>
      </c>
      <c r="G14679">
        <v>231218</v>
      </c>
      <c r="H14679">
        <v>4400</v>
      </c>
      <c r="I14679" t="s">
        <v>348</v>
      </c>
      <c r="J14679">
        <v>240.56</v>
      </c>
      <c r="K14679">
        <v>46.56</v>
      </c>
      <c r="L14679">
        <v>66756</v>
      </c>
      <c r="M14679" t="s">
        <v>209</v>
      </c>
      <c r="N14679" t="str">
        <f>"19272       "</f>
        <v xml:space="preserve">19272       </v>
      </c>
      <c r="O14679">
        <v>240102</v>
      </c>
    </row>
    <row r="14680" spans="1:15" x14ac:dyDescent="0.25">
      <c r="A14680" t="s">
        <v>16</v>
      </c>
      <c r="B14680" t="s">
        <v>3221</v>
      </c>
      <c r="C14680">
        <v>16449</v>
      </c>
      <c r="D14680" t="s">
        <v>2975</v>
      </c>
      <c r="E14680" t="s">
        <v>2976</v>
      </c>
      <c r="F14680">
        <v>77.42</v>
      </c>
      <c r="G14680">
        <v>231111</v>
      </c>
      <c r="H14680">
        <v>4557</v>
      </c>
      <c r="I14680" t="s">
        <v>238</v>
      </c>
      <c r="J14680">
        <v>96</v>
      </c>
      <c r="K14680">
        <v>18.579999999999998</v>
      </c>
      <c r="L14680">
        <v>59501</v>
      </c>
      <c r="M14680" t="s">
        <v>69</v>
      </c>
      <c r="N14680" t="str">
        <f>"119         "</f>
        <v xml:space="preserve">119         </v>
      </c>
      <c r="O14680">
        <v>231129</v>
      </c>
    </row>
    <row r="14681" spans="1:15" x14ac:dyDescent="0.25">
      <c r="A14681" t="s">
        <v>16</v>
      </c>
      <c r="B14681" t="s">
        <v>3221</v>
      </c>
      <c r="C14681">
        <v>6431</v>
      </c>
      <c r="D14681" t="s">
        <v>1158</v>
      </c>
      <c r="E14681" t="s">
        <v>1159</v>
      </c>
      <c r="F14681">
        <v>333.84</v>
      </c>
      <c r="G14681">
        <v>230426</v>
      </c>
      <c r="H14681">
        <v>4940</v>
      </c>
      <c r="I14681" t="s">
        <v>514</v>
      </c>
      <c r="J14681">
        <v>413.96</v>
      </c>
      <c r="K14681">
        <v>80.12</v>
      </c>
      <c r="L14681">
        <v>11604</v>
      </c>
      <c r="M14681" t="s">
        <v>1277</v>
      </c>
      <c r="N14681" t="str">
        <f>"56930505    "</f>
        <v xml:space="preserve">56930505    </v>
      </c>
      <c r="O14681">
        <v>230511</v>
      </c>
    </row>
    <row r="14682" spans="1:15" x14ac:dyDescent="0.25">
      <c r="A14682" t="s">
        <v>16</v>
      </c>
      <c r="B14682" t="s">
        <v>3221</v>
      </c>
      <c r="C14682">
        <v>9465</v>
      </c>
      <c r="D14682" t="s">
        <v>1158</v>
      </c>
      <c r="E14682" t="s">
        <v>1159</v>
      </c>
      <c r="F14682">
        <v>253.1</v>
      </c>
      <c r="G14682">
        <v>230628</v>
      </c>
      <c r="H14682">
        <v>4940</v>
      </c>
      <c r="I14682" t="s">
        <v>514</v>
      </c>
      <c r="J14682">
        <v>313.83999999999997</v>
      </c>
      <c r="K14682">
        <v>60.74</v>
      </c>
      <c r="L14682">
        <v>11604</v>
      </c>
      <c r="M14682" t="s">
        <v>1277</v>
      </c>
      <c r="N14682" t="str">
        <f>"57117357    "</f>
        <v xml:space="preserve">57117357    </v>
      </c>
      <c r="O14682">
        <v>230711</v>
      </c>
    </row>
    <row r="14683" spans="1:15" x14ac:dyDescent="0.25">
      <c r="A14683" t="s">
        <v>16</v>
      </c>
      <c r="B14683" t="s">
        <v>3221</v>
      </c>
      <c r="C14683">
        <v>10292</v>
      </c>
      <c r="D14683" t="s">
        <v>1158</v>
      </c>
      <c r="E14683" t="s">
        <v>1159</v>
      </c>
      <c r="F14683">
        <v>177.04</v>
      </c>
      <c r="G14683">
        <v>230727</v>
      </c>
      <c r="H14683">
        <v>4940</v>
      </c>
      <c r="I14683" t="s">
        <v>514</v>
      </c>
      <c r="J14683">
        <v>219.53</v>
      </c>
      <c r="K14683">
        <v>42.49</v>
      </c>
      <c r="L14683">
        <v>11604</v>
      </c>
      <c r="M14683" t="s">
        <v>1277</v>
      </c>
      <c r="N14683" t="str">
        <f>"57181378    "</f>
        <v xml:space="preserve">57181378    </v>
      </c>
      <c r="O14683">
        <v>230814</v>
      </c>
    </row>
    <row r="14684" spans="1:15" x14ac:dyDescent="0.25">
      <c r="A14684" t="s">
        <v>16</v>
      </c>
      <c r="B14684" t="s">
        <v>3221</v>
      </c>
      <c r="C14684">
        <v>12269</v>
      </c>
      <c r="D14684" t="s">
        <v>1158</v>
      </c>
      <c r="E14684" t="s">
        <v>1159</v>
      </c>
      <c r="F14684">
        <v>264.42</v>
      </c>
      <c r="G14684">
        <v>230829</v>
      </c>
      <c r="H14684">
        <v>4940</v>
      </c>
      <c r="I14684" t="s">
        <v>514</v>
      </c>
      <c r="J14684">
        <v>327.88</v>
      </c>
      <c r="K14684">
        <v>63.46</v>
      </c>
      <c r="L14684">
        <v>11604</v>
      </c>
      <c r="M14684" t="s">
        <v>1277</v>
      </c>
      <c r="N14684" t="str">
        <f>"57277470    "</f>
        <v xml:space="preserve">57277470    </v>
      </c>
      <c r="O14684">
        <v>230918</v>
      </c>
    </row>
    <row r="14685" spans="1:15" x14ac:dyDescent="0.25">
      <c r="A14685" t="s">
        <v>16</v>
      </c>
      <c r="B14685" t="s">
        <v>3221</v>
      </c>
      <c r="C14685">
        <v>13608</v>
      </c>
      <c r="D14685" t="s">
        <v>1158</v>
      </c>
      <c r="E14685" t="s">
        <v>1159</v>
      </c>
      <c r="F14685">
        <v>272.45999999999998</v>
      </c>
      <c r="G14685">
        <v>230927</v>
      </c>
      <c r="H14685">
        <v>4470</v>
      </c>
      <c r="I14685" t="s">
        <v>83</v>
      </c>
      <c r="J14685">
        <v>337.85</v>
      </c>
      <c r="K14685">
        <v>65.39</v>
      </c>
      <c r="L14685">
        <v>11604</v>
      </c>
      <c r="M14685" t="s">
        <v>1277</v>
      </c>
      <c r="N14685" t="str">
        <f>"57372182    "</f>
        <v xml:space="preserve">57372182    </v>
      </c>
      <c r="O14685">
        <v>231011</v>
      </c>
    </row>
    <row r="14686" spans="1:15" x14ac:dyDescent="0.25">
      <c r="A14686" t="s">
        <v>16</v>
      </c>
      <c r="B14686" t="s">
        <v>3221</v>
      </c>
      <c r="C14686">
        <v>15397</v>
      </c>
      <c r="D14686" t="s">
        <v>1158</v>
      </c>
      <c r="E14686" t="s">
        <v>1159</v>
      </c>
      <c r="F14686">
        <v>369.96</v>
      </c>
      <c r="G14686">
        <v>231029</v>
      </c>
      <c r="H14686">
        <v>4470</v>
      </c>
      <c r="I14686" t="s">
        <v>83</v>
      </c>
      <c r="J14686">
        <v>458.75</v>
      </c>
      <c r="K14686">
        <v>88.79</v>
      </c>
      <c r="L14686">
        <v>11604</v>
      </c>
      <c r="M14686" t="s">
        <v>1277</v>
      </c>
      <c r="N14686" t="str">
        <f>"57464470    "</f>
        <v xml:space="preserve">57464470    </v>
      </c>
      <c r="O14686">
        <v>231113</v>
      </c>
    </row>
    <row r="14687" spans="1:15" x14ac:dyDescent="0.25">
      <c r="A14687" t="s">
        <v>16</v>
      </c>
      <c r="B14687" t="s">
        <v>3221</v>
      </c>
      <c r="C14687">
        <v>16770</v>
      </c>
      <c r="D14687" t="s">
        <v>1158</v>
      </c>
      <c r="E14687" t="s">
        <v>1159</v>
      </c>
      <c r="F14687">
        <v>339.98</v>
      </c>
      <c r="G14687">
        <v>231128</v>
      </c>
      <c r="H14687">
        <v>4470</v>
      </c>
      <c r="I14687" t="s">
        <v>83</v>
      </c>
      <c r="J14687">
        <v>421.58</v>
      </c>
      <c r="K14687">
        <v>81.599999999999994</v>
      </c>
      <c r="L14687">
        <v>11604</v>
      </c>
      <c r="M14687" t="s">
        <v>1277</v>
      </c>
      <c r="N14687" t="str">
        <f>"57559465    "</f>
        <v xml:space="preserve">57559465    </v>
      </c>
      <c r="O14687">
        <v>231208</v>
      </c>
    </row>
    <row r="14688" spans="1:15" x14ac:dyDescent="0.25">
      <c r="A14688" t="s">
        <v>16</v>
      </c>
      <c r="B14688" t="s">
        <v>3221</v>
      </c>
      <c r="C14688">
        <v>18619</v>
      </c>
      <c r="D14688" t="s">
        <v>1158</v>
      </c>
      <c r="E14688" t="s">
        <v>1159</v>
      </c>
      <c r="F14688">
        <v>260.74</v>
      </c>
      <c r="G14688">
        <v>231227</v>
      </c>
      <c r="H14688">
        <v>4470</v>
      </c>
      <c r="I14688" t="s">
        <v>83</v>
      </c>
      <c r="J14688">
        <v>323.32</v>
      </c>
      <c r="K14688">
        <v>62.58</v>
      </c>
      <c r="L14688">
        <v>11604</v>
      </c>
      <c r="M14688" t="s">
        <v>1277</v>
      </c>
      <c r="N14688" t="str">
        <f>"57648001    "</f>
        <v xml:space="preserve">57648001    </v>
      </c>
      <c r="O14688">
        <v>240104</v>
      </c>
    </row>
    <row r="14689" spans="1:15" x14ac:dyDescent="0.25">
      <c r="A14689" t="s">
        <v>16</v>
      </c>
      <c r="B14689" t="s">
        <v>3221</v>
      </c>
      <c r="C14689">
        <v>2048</v>
      </c>
      <c r="D14689" t="s">
        <v>1158</v>
      </c>
      <c r="E14689" t="s">
        <v>1159</v>
      </c>
      <c r="F14689">
        <v>50.99</v>
      </c>
      <c r="G14689">
        <v>230129</v>
      </c>
      <c r="H14689">
        <v>4430</v>
      </c>
      <c r="I14689" t="s">
        <v>1276</v>
      </c>
      <c r="J14689">
        <v>63.23</v>
      </c>
      <c r="K14689">
        <v>12.24</v>
      </c>
      <c r="L14689">
        <v>11604</v>
      </c>
      <c r="M14689" t="s">
        <v>1277</v>
      </c>
      <c r="N14689" t="str">
        <f t="shared" ref="N14689:N14700" si="201">"56655430    "</f>
        <v xml:space="preserve">56655430    </v>
      </c>
      <c r="O14689">
        <v>230220</v>
      </c>
    </row>
    <row r="14690" spans="1:15" x14ac:dyDescent="0.25">
      <c r="A14690" t="s">
        <v>16</v>
      </c>
      <c r="B14690" t="s">
        <v>3221</v>
      </c>
      <c r="C14690">
        <v>2048</v>
      </c>
      <c r="D14690" t="s">
        <v>1158</v>
      </c>
      <c r="E14690" t="s">
        <v>1159</v>
      </c>
      <c r="F14690">
        <v>801.78</v>
      </c>
      <c r="G14690">
        <v>230129</v>
      </c>
      <c r="H14690">
        <v>4430</v>
      </c>
      <c r="I14690" t="s">
        <v>1276</v>
      </c>
      <c r="J14690">
        <v>843.98</v>
      </c>
      <c r="K14690">
        <v>42.2</v>
      </c>
      <c r="L14690">
        <v>11604</v>
      </c>
      <c r="M14690" t="s">
        <v>1277</v>
      </c>
      <c r="N14690" t="str">
        <f t="shared" si="201"/>
        <v xml:space="preserve">56655430    </v>
      </c>
      <c r="O14690">
        <v>230220</v>
      </c>
    </row>
    <row r="14691" spans="1:15" x14ac:dyDescent="0.25">
      <c r="A14691" t="s">
        <v>16</v>
      </c>
      <c r="B14691" t="s">
        <v>3221</v>
      </c>
      <c r="C14691">
        <v>2048</v>
      </c>
      <c r="D14691" t="s">
        <v>1158</v>
      </c>
      <c r="E14691" t="s">
        <v>1159</v>
      </c>
      <c r="F14691">
        <v>101.98</v>
      </c>
      <c r="G14691">
        <v>230129</v>
      </c>
      <c r="H14691">
        <v>4430</v>
      </c>
      <c r="I14691" t="s">
        <v>1276</v>
      </c>
      <c r="J14691">
        <v>126.45</v>
      </c>
      <c r="K14691">
        <v>24.47</v>
      </c>
      <c r="L14691">
        <v>11604</v>
      </c>
      <c r="M14691" t="s">
        <v>1277</v>
      </c>
      <c r="N14691" t="str">
        <f t="shared" si="201"/>
        <v xml:space="preserve">56655430    </v>
      </c>
      <c r="O14691">
        <v>230220</v>
      </c>
    </row>
    <row r="14692" spans="1:15" x14ac:dyDescent="0.25">
      <c r="A14692" t="s">
        <v>16</v>
      </c>
      <c r="B14692" t="s">
        <v>3221</v>
      </c>
      <c r="C14692">
        <v>2048</v>
      </c>
      <c r="D14692" t="s">
        <v>1158</v>
      </c>
      <c r="E14692" t="s">
        <v>1159</v>
      </c>
      <c r="F14692">
        <v>1773.44</v>
      </c>
      <c r="G14692">
        <v>230129</v>
      </c>
      <c r="H14692">
        <v>4430</v>
      </c>
      <c r="I14692" t="s">
        <v>1276</v>
      </c>
      <c r="J14692">
        <v>1866.78</v>
      </c>
      <c r="K14692">
        <v>93.34</v>
      </c>
      <c r="L14692">
        <v>11604</v>
      </c>
      <c r="M14692" t="s">
        <v>1277</v>
      </c>
      <c r="N14692" t="str">
        <f t="shared" si="201"/>
        <v xml:space="preserve">56655430    </v>
      </c>
      <c r="O14692">
        <v>230220</v>
      </c>
    </row>
    <row r="14693" spans="1:15" x14ac:dyDescent="0.25">
      <c r="A14693" t="s">
        <v>16</v>
      </c>
      <c r="B14693" t="s">
        <v>3221</v>
      </c>
      <c r="C14693">
        <v>2048</v>
      </c>
      <c r="D14693" t="s">
        <v>1158</v>
      </c>
      <c r="E14693" t="s">
        <v>1159</v>
      </c>
      <c r="F14693">
        <v>4699</v>
      </c>
      <c r="G14693">
        <v>230129</v>
      </c>
      <c r="H14693">
        <v>4430</v>
      </c>
      <c r="I14693" t="s">
        <v>1276</v>
      </c>
      <c r="J14693">
        <v>4946.32</v>
      </c>
      <c r="K14693">
        <v>247.32</v>
      </c>
      <c r="L14693">
        <v>11604</v>
      </c>
      <c r="M14693" t="s">
        <v>1277</v>
      </c>
      <c r="N14693" t="str">
        <f t="shared" si="201"/>
        <v xml:space="preserve">56655430    </v>
      </c>
      <c r="O14693">
        <v>230220</v>
      </c>
    </row>
    <row r="14694" spans="1:15" x14ac:dyDescent="0.25">
      <c r="A14694" t="s">
        <v>16</v>
      </c>
      <c r="B14694" t="s">
        <v>3221</v>
      </c>
      <c r="C14694">
        <v>2048</v>
      </c>
      <c r="D14694" t="s">
        <v>1158</v>
      </c>
      <c r="E14694" t="s">
        <v>1159</v>
      </c>
      <c r="F14694">
        <v>289.94</v>
      </c>
      <c r="G14694">
        <v>230129</v>
      </c>
      <c r="H14694">
        <v>4430</v>
      </c>
      <c r="I14694" t="s">
        <v>1276</v>
      </c>
      <c r="J14694">
        <v>359.53</v>
      </c>
      <c r="K14694">
        <v>69.59</v>
      </c>
      <c r="L14694">
        <v>11604</v>
      </c>
      <c r="M14694" t="s">
        <v>1277</v>
      </c>
      <c r="N14694" t="str">
        <f t="shared" si="201"/>
        <v xml:space="preserve">56655430    </v>
      </c>
      <c r="O14694">
        <v>230220</v>
      </c>
    </row>
    <row r="14695" spans="1:15" x14ac:dyDescent="0.25">
      <c r="A14695" t="s">
        <v>16</v>
      </c>
      <c r="B14695" t="s">
        <v>3221</v>
      </c>
      <c r="C14695">
        <v>2048</v>
      </c>
      <c r="D14695" t="s">
        <v>1158</v>
      </c>
      <c r="E14695" t="s">
        <v>1159</v>
      </c>
      <c r="F14695">
        <v>5472.06</v>
      </c>
      <c r="G14695">
        <v>230129</v>
      </c>
      <c r="H14695">
        <v>4430</v>
      </c>
      <c r="I14695" t="s">
        <v>1276</v>
      </c>
      <c r="J14695">
        <v>5760.06</v>
      </c>
      <c r="K14695">
        <v>288</v>
      </c>
      <c r="L14695">
        <v>11604</v>
      </c>
      <c r="M14695" t="s">
        <v>1277</v>
      </c>
      <c r="N14695" t="str">
        <f t="shared" si="201"/>
        <v xml:space="preserve">56655430    </v>
      </c>
      <c r="O14695">
        <v>230220</v>
      </c>
    </row>
    <row r="14696" spans="1:15" x14ac:dyDescent="0.25">
      <c r="A14696" t="s">
        <v>16</v>
      </c>
      <c r="B14696" t="s">
        <v>3221</v>
      </c>
      <c r="C14696">
        <v>2048</v>
      </c>
      <c r="D14696" t="s">
        <v>1158</v>
      </c>
      <c r="E14696" t="s">
        <v>1159</v>
      </c>
      <c r="F14696">
        <v>7929.23</v>
      </c>
      <c r="G14696">
        <v>230129</v>
      </c>
      <c r="H14696">
        <v>4430</v>
      </c>
      <c r="I14696" t="s">
        <v>1276</v>
      </c>
      <c r="J14696">
        <v>8346.56</v>
      </c>
      <c r="K14696">
        <v>417.33</v>
      </c>
      <c r="L14696">
        <v>11604</v>
      </c>
      <c r="M14696" t="s">
        <v>1277</v>
      </c>
      <c r="N14696" t="str">
        <f t="shared" si="201"/>
        <v xml:space="preserve">56655430    </v>
      </c>
      <c r="O14696">
        <v>230220</v>
      </c>
    </row>
    <row r="14697" spans="1:15" x14ac:dyDescent="0.25">
      <c r="A14697" t="s">
        <v>16</v>
      </c>
      <c r="B14697" t="s">
        <v>3221</v>
      </c>
      <c r="C14697">
        <v>2048</v>
      </c>
      <c r="D14697" t="s">
        <v>1158</v>
      </c>
      <c r="E14697" t="s">
        <v>1159</v>
      </c>
      <c r="F14697">
        <v>2094.7399999999998</v>
      </c>
      <c r="G14697">
        <v>230129</v>
      </c>
      <c r="H14697">
        <v>4430</v>
      </c>
      <c r="I14697" t="s">
        <v>1276</v>
      </c>
      <c r="J14697">
        <v>2204.9899999999998</v>
      </c>
      <c r="K14697">
        <v>110.25</v>
      </c>
      <c r="L14697">
        <v>11604</v>
      </c>
      <c r="M14697" t="s">
        <v>1277</v>
      </c>
      <c r="N14697" t="str">
        <f t="shared" si="201"/>
        <v xml:space="preserve">56655430    </v>
      </c>
      <c r="O14697">
        <v>230220</v>
      </c>
    </row>
    <row r="14698" spans="1:15" x14ac:dyDescent="0.25">
      <c r="A14698" t="s">
        <v>16</v>
      </c>
      <c r="B14698" t="s">
        <v>3221</v>
      </c>
      <c r="C14698">
        <v>2048</v>
      </c>
      <c r="D14698" t="s">
        <v>1158</v>
      </c>
      <c r="E14698" t="s">
        <v>1159</v>
      </c>
      <c r="F14698">
        <v>4438.25</v>
      </c>
      <c r="G14698">
        <v>230129</v>
      </c>
      <c r="H14698">
        <v>4430</v>
      </c>
      <c r="I14698" t="s">
        <v>1276</v>
      </c>
      <c r="J14698">
        <v>4671.84</v>
      </c>
      <c r="K14698">
        <v>233.59</v>
      </c>
      <c r="L14698">
        <v>11604</v>
      </c>
      <c r="M14698" t="s">
        <v>1277</v>
      </c>
      <c r="N14698" t="str">
        <f t="shared" si="201"/>
        <v xml:space="preserve">56655430    </v>
      </c>
      <c r="O14698">
        <v>230220</v>
      </c>
    </row>
    <row r="14699" spans="1:15" x14ac:dyDescent="0.25">
      <c r="A14699" t="s">
        <v>16</v>
      </c>
      <c r="B14699" t="s">
        <v>3221</v>
      </c>
      <c r="C14699">
        <v>2048</v>
      </c>
      <c r="D14699" t="s">
        <v>1158</v>
      </c>
      <c r="E14699" t="s">
        <v>1159</v>
      </c>
      <c r="F14699">
        <v>1180.53</v>
      </c>
      <c r="G14699">
        <v>230129</v>
      </c>
      <c r="H14699">
        <v>4430</v>
      </c>
      <c r="I14699" t="s">
        <v>1276</v>
      </c>
      <c r="J14699">
        <v>1242.6600000000001</v>
      </c>
      <c r="K14699">
        <v>62.13</v>
      </c>
      <c r="L14699">
        <v>11604</v>
      </c>
      <c r="M14699" t="s">
        <v>1277</v>
      </c>
      <c r="N14699" t="str">
        <f t="shared" si="201"/>
        <v xml:space="preserve">56655430    </v>
      </c>
      <c r="O14699">
        <v>230220</v>
      </c>
    </row>
    <row r="14700" spans="1:15" x14ac:dyDescent="0.25">
      <c r="A14700" t="s">
        <v>16</v>
      </c>
      <c r="B14700" t="s">
        <v>3221</v>
      </c>
      <c r="C14700">
        <v>2048</v>
      </c>
      <c r="D14700" t="s">
        <v>1158</v>
      </c>
      <c r="E14700" t="s">
        <v>1159</v>
      </c>
      <c r="F14700">
        <v>68.09</v>
      </c>
      <c r="G14700">
        <v>230129</v>
      </c>
      <c r="H14700">
        <v>4430</v>
      </c>
      <c r="I14700" t="s">
        <v>1276</v>
      </c>
      <c r="J14700">
        <v>71.67</v>
      </c>
      <c r="K14700">
        <v>3.58</v>
      </c>
      <c r="L14700">
        <v>11604</v>
      </c>
      <c r="M14700" t="s">
        <v>1277</v>
      </c>
      <c r="N14700" t="str">
        <f t="shared" si="201"/>
        <v xml:space="preserve">56655430    </v>
      </c>
      <c r="O14700">
        <v>230220</v>
      </c>
    </row>
    <row r="14701" spans="1:15" x14ac:dyDescent="0.25">
      <c r="A14701" t="s">
        <v>16</v>
      </c>
      <c r="B14701" t="s">
        <v>3221</v>
      </c>
      <c r="C14701">
        <v>2049</v>
      </c>
      <c r="D14701" t="s">
        <v>1158</v>
      </c>
      <c r="E14701" t="s">
        <v>1159</v>
      </c>
      <c r="F14701">
        <v>307.05</v>
      </c>
      <c r="G14701">
        <v>230129</v>
      </c>
      <c r="H14701">
        <v>4430</v>
      </c>
      <c r="I14701" t="s">
        <v>1276</v>
      </c>
      <c r="J14701">
        <v>380.74</v>
      </c>
      <c r="K14701">
        <v>73.69</v>
      </c>
      <c r="L14701">
        <v>11604</v>
      </c>
      <c r="M14701" t="s">
        <v>1277</v>
      </c>
      <c r="N14701" t="str">
        <f>"56655440    "</f>
        <v xml:space="preserve">56655440    </v>
      </c>
      <c r="O14701">
        <v>230220</v>
      </c>
    </row>
    <row r="14702" spans="1:15" x14ac:dyDescent="0.25">
      <c r="A14702" t="s">
        <v>16</v>
      </c>
      <c r="B14702" t="s">
        <v>3221</v>
      </c>
      <c r="C14702">
        <v>2995</v>
      </c>
      <c r="D14702" t="s">
        <v>1158</v>
      </c>
      <c r="E14702" t="s">
        <v>1159</v>
      </c>
      <c r="F14702">
        <v>1837.4</v>
      </c>
      <c r="G14702">
        <v>230226</v>
      </c>
      <c r="H14702">
        <v>4430</v>
      </c>
      <c r="I14702" t="s">
        <v>1276</v>
      </c>
      <c r="J14702">
        <v>1934.1</v>
      </c>
      <c r="K14702">
        <v>96.7</v>
      </c>
      <c r="L14702">
        <v>11604</v>
      </c>
      <c r="M14702" t="s">
        <v>1277</v>
      </c>
      <c r="N14702" t="str">
        <f t="shared" ref="N14702:N14714" si="202">"56743432    "</f>
        <v xml:space="preserve">56743432    </v>
      </c>
      <c r="O14702">
        <v>230308</v>
      </c>
    </row>
    <row r="14703" spans="1:15" x14ac:dyDescent="0.25">
      <c r="A14703" t="s">
        <v>16</v>
      </c>
      <c r="B14703" t="s">
        <v>3221</v>
      </c>
      <c r="C14703">
        <v>2995</v>
      </c>
      <c r="D14703" t="s">
        <v>1158</v>
      </c>
      <c r="E14703" t="s">
        <v>1159</v>
      </c>
      <c r="F14703">
        <v>1203.83</v>
      </c>
      <c r="G14703">
        <v>230226</v>
      </c>
      <c r="H14703">
        <v>4430</v>
      </c>
      <c r="I14703" t="s">
        <v>1276</v>
      </c>
      <c r="J14703">
        <v>1267.19</v>
      </c>
      <c r="K14703">
        <v>63.36</v>
      </c>
      <c r="L14703">
        <v>11604</v>
      </c>
      <c r="M14703" t="s">
        <v>1277</v>
      </c>
      <c r="N14703" t="str">
        <f t="shared" si="202"/>
        <v xml:space="preserve">56743432    </v>
      </c>
      <c r="O14703">
        <v>230308</v>
      </c>
    </row>
    <row r="14704" spans="1:15" x14ac:dyDescent="0.25">
      <c r="A14704" t="s">
        <v>16</v>
      </c>
      <c r="B14704" t="s">
        <v>3221</v>
      </c>
      <c r="C14704">
        <v>2995</v>
      </c>
      <c r="D14704" t="s">
        <v>1158</v>
      </c>
      <c r="E14704" t="s">
        <v>1159</v>
      </c>
      <c r="F14704">
        <v>6994.02</v>
      </c>
      <c r="G14704">
        <v>230226</v>
      </c>
      <c r="H14704">
        <v>4430</v>
      </c>
      <c r="I14704" t="s">
        <v>1276</v>
      </c>
      <c r="J14704">
        <v>7362.13</v>
      </c>
      <c r="K14704">
        <v>368.11</v>
      </c>
      <c r="L14704">
        <v>11604</v>
      </c>
      <c r="M14704" t="s">
        <v>1277</v>
      </c>
      <c r="N14704" t="str">
        <f t="shared" si="202"/>
        <v xml:space="preserve">56743432    </v>
      </c>
      <c r="O14704">
        <v>230308</v>
      </c>
    </row>
    <row r="14705" spans="1:15" x14ac:dyDescent="0.25">
      <c r="A14705" t="s">
        <v>16</v>
      </c>
      <c r="B14705" t="s">
        <v>3221</v>
      </c>
      <c r="C14705">
        <v>2995</v>
      </c>
      <c r="D14705" t="s">
        <v>1158</v>
      </c>
      <c r="E14705" t="s">
        <v>1159</v>
      </c>
      <c r="F14705">
        <v>60.49</v>
      </c>
      <c r="G14705">
        <v>230226</v>
      </c>
      <c r="H14705">
        <v>4430</v>
      </c>
      <c r="I14705" t="s">
        <v>1276</v>
      </c>
      <c r="J14705">
        <v>75.010000000000005</v>
      </c>
      <c r="K14705">
        <v>14.52</v>
      </c>
      <c r="L14705">
        <v>11604</v>
      </c>
      <c r="M14705" t="s">
        <v>1277</v>
      </c>
      <c r="N14705" t="str">
        <f t="shared" si="202"/>
        <v xml:space="preserve">56743432    </v>
      </c>
      <c r="O14705">
        <v>230308</v>
      </c>
    </row>
    <row r="14706" spans="1:15" x14ac:dyDescent="0.25">
      <c r="A14706" t="s">
        <v>16</v>
      </c>
      <c r="B14706" t="s">
        <v>3221</v>
      </c>
      <c r="C14706">
        <v>2995</v>
      </c>
      <c r="D14706" t="s">
        <v>1158</v>
      </c>
      <c r="E14706" t="s">
        <v>1159</v>
      </c>
      <c r="F14706">
        <v>4356.0600000000004</v>
      </c>
      <c r="G14706">
        <v>230226</v>
      </c>
      <c r="H14706">
        <v>4430</v>
      </c>
      <c r="I14706" t="s">
        <v>1276</v>
      </c>
      <c r="J14706">
        <v>4585.33</v>
      </c>
      <c r="K14706">
        <v>229.27</v>
      </c>
      <c r="L14706">
        <v>11604</v>
      </c>
      <c r="M14706" t="s">
        <v>1277</v>
      </c>
      <c r="N14706" t="str">
        <f t="shared" si="202"/>
        <v xml:space="preserve">56743432    </v>
      </c>
      <c r="O14706">
        <v>230308</v>
      </c>
    </row>
    <row r="14707" spans="1:15" x14ac:dyDescent="0.25">
      <c r="A14707" t="s">
        <v>16</v>
      </c>
      <c r="B14707" t="s">
        <v>3221</v>
      </c>
      <c r="C14707">
        <v>2995</v>
      </c>
      <c r="D14707" t="s">
        <v>1158</v>
      </c>
      <c r="E14707" t="s">
        <v>1159</v>
      </c>
      <c r="F14707">
        <v>9655.4599999999991</v>
      </c>
      <c r="G14707">
        <v>230226</v>
      </c>
      <c r="H14707">
        <v>4430</v>
      </c>
      <c r="I14707" t="s">
        <v>1276</v>
      </c>
      <c r="J14707">
        <v>10163.64</v>
      </c>
      <c r="K14707">
        <v>508.18</v>
      </c>
      <c r="L14707">
        <v>11604</v>
      </c>
      <c r="M14707" t="s">
        <v>1277</v>
      </c>
      <c r="N14707" t="str">
        <f t="shared" si="202"/>
        <v xml:space="preserve">56743432    </v>
      </c>
      <c r="O14707">
        <v>230308</v>
      </c>
    </row>
    <row r="14708" spans="1:15" x14ac:dyDescent="0.25">
      <c r="A14708" t="s">
        <v>16</v>
      </c>
      <c r="B14708" t="s">
        <v>3221</v>
      </c>
      <c r="C14708">
        <v>2995</v>
      </c>
      <c r="D14708" t="s">
        <v>1158</v>
      </c>
      <c r="E14708" t="s">
        <v>1159</v>
      </c>
      <c r="F14708">
        <v>2759.1</v>
      </c>
      <c r="G14708">
        <v>230226</v>
      </c>
      <c r="H14708">
        <v>4430</v>
      </c>
      <c r="I14708" t="s">
        <v>1276</v>
      </c>
      <c r="J14708">
        <v>2904.32</v>
      </c>
      <c r="K14708">
        <v>145.22</v>
      </c>
      <c r="L14708">
        <v>11604</v>
      </c>
      <c r="M14708" t="s">
        <v>1277</v>
      </c>
      <c r="N14708" t="str">
        <f t="shared" si="202"/>
        <v xml:space="preserve">56743432    </v>
      </c>
      <c r="O14708">
        <v>230308</v>
      </c>
    </row>
    <row r="14709" spans="1:15" x14ac:dyDescent="0.25">
      <c r="A14709" t="s">
        <v>16</v>
      </c>
      <c r="B14709" t="s">
        <v>3221</v>
      </c>
      <c r="C14709">
        <v>2995</v>
      </c>
      <c r="D14709" t="s">
        <v>1158</v>
      </c>
      <c r="E14709" t="s">
        <v>1159</v>
      </c>
      <c r="F14709">
        <v>475.57</v>
      </c>
      <c r="G14709">
        <v>230226</v>
      </c>
      <c r="H14709">
        <v>4430</v>
      </c>
      <c r="I14709" t="s">
        <v>1276</v>
      </c>
      <c r="J14709">
        <v>500.6</v>
      </c>
      <c r="K14709">
        <v>25.03</v>
      </c>
      <c r="L14709">
        <v>11604</v>
      </c>
      <c r="M14709" t="s">
        <v>1277</v>
      </c>
      <c r="N14709" t="str">
        <f t="shared" si="202"/>
        <v xml:space="preserve">56743432    </v>
      </c>
      <c r="O14709">
        <v>230308</v>
      </c>
    </row>
    <row r="14710" spans="1:15" x14ac:dyDescent="0.25">
      <c r="A14710" t="s">
        <v>16</v>
      </c>
      <c r="B14710" t="s">
        <v>3221</v>
      </c>
      <c r="C14710">
        <v>2995</v>
      </c>
      <c r="D14710" t="s">
        <v>1158</v>
      </c>
      <c r="E14710" t="s">
        <v>1159</v>
      </c>
      <c r="F14710">
        <v>570</v>
      </c>
      <c r="G14710">
        <v>230226</v>
      </c>
      <c r="H14710">
        <v>4430</v>
      </c>
      <c r="I14710" t="s">
        <v>1276</v>
      </c>
      <c r="J14710">
        <v>706.8</v>
      </c>
      <c r="K14710">
        <v>136.80000000000001</v>
      </c>
      <c r="L14710">
        <v>11604</v>
      </c>
      <c r="M14710" t="s">
        <v>1277</v>
      </c>
      <c r="N14710" t="str">
        <f t="shared" si="202"/>
        <v xml:space="preserve">56743432    </v>
      </c>
      <c r="O14710">
        <v>230308</v>
      </c>
    </row>
    <row r="14711" spans="1:15" x14ac:dyDescent="0.25">
      <c r="A14711" t="s">
        <v>16</v>
      </c>
      <c r="B14711" t="s">
        <v>3221</v>
      </c>
      <c r="C14711">
        <v>2995</v>
      </c>
      <c r="D14711" t="s">
        <v>1158</v>
      </c>
      <c r="E14711" t="s">
        <v>1159</v>
      </c>
      <c r="F14711">
        <v>4675.45</v>
      </c>
      <c r="G14711">
        <v>230226</v>
      </c>
      <c r="H14711">
        <v>4430</v>
      </c>
      <c r="I14711" t="s">
        <v>1276</v>
      </c>
      <c r="J14711">
        <v>4921.53</v>
      </c>
      <c r="K14711">
        <v>246.08</v>
      </c>
      <c r="L14711">
        <v>11604</v>
      </c>
      <c r="M14711" t="s">
        <v>1277</v>
      </c>
      <c r="N14711" t="str">
        <f t="shared" si="202"/>
        <v xml:space="preserve">56743432    </v>
      </c>
      <c r="O14711">
        <v>230308</v>
      </c>
    </row>
    <row r="14712" spans="1:15" x14ac:dyDescent="0.25">
      <c r="A14712" t="s">
        <v>16</v>
      </c>
      <c r="B14712" t="s">
        <v>3221</v>
      </c>
      <c r="C14712">
        <v>2995</v>
      </c>
      <c r="D14712" t="s">
        <v>1158</v>
      </c>
      <c r="E14712" t="s">
        <v>1159</v>
      </c>
      <c r="F14712">
        <v>225.47</v>
      </c>
      <c r="G14712">
        <v>230226</v>
      </c>
      <c r="H14712">
        <v>4430</v>
      </c>
      <c r="I14712" t="s">
        <v>1276</v>
      </c>
      <c r="J14712">
        <v>237.34</v>
      </c>
      <c r="K14712">
        <v>11.87</v>
      </c>
      <c r="L14712">
        <v>11604</v>
      </c>
      <c r="M14712" t="s">
        <v>1277</v>
      </c>
      <c r="N14712" t="str">
        <f t="shared" si="202"/>
        <v xml:space="preserve">56743432    </v>
      </c>
      <c r="O14712">
        <v>230308</v>
      </c>
    </row>
    <row r="14713" spans="1:15" x14ac:dyDescent="0.25">
      <c r="A14713" t="s">
        <v>16</v>
      </c>
      <c r="B14713" t="s">
        <v>3221</v>
      </c>
      <c r="C14713">
        <v>2995</v>
      </c>
      <c r="D14713" t="s">
        <v>1158</v>
      </c>
      <c r="E14713" t="s">
        <v>1159</v>
      </c>
      <c r="F14713">
        <v>780</v>
      </c>
      <c r="G14713">
        <v>230226</v>
      </c>
      <c r="H14713">
        <v>4430</v>
      </c>
      <c r="I14713" t="s">
        <v>1276</v>
      </c>
      <c r="J14713">
        <v>967.2</v>
      </c>
      <c r="K14713">
        <v>187.2</v>
      </c>
      <c r="L14713">
        <v>11604</v>
      </c>
      <c r="M14713" t="s">
        <v>1277</v>
      </c>
      <c r="N14713" t="str">
        <f t="shared" si="202"/>
        <v xml:space="preserve">56743432    </v>
      </c>
      <c r="O14713">
        <v>230308</v>
      </c>
    </row>
    <row r="14714" spans="1:15" x14ac:dyDescent="0.25">
      <c r="A14714" t="s">
        <v>16</v>
      </c>
      <c r="B14714" t="s">
        <v>3221</v>
      </c>
      <c r="C14714">
        <v>2995</v>
      </c>
      <c r="D14714" t="s">
        <v>1158</v>
      </c>
      <c r="E14714" t="s">
        <v>1159</v>
      </c>
      <c r="F14714">
        <v>1798.5</v>
      </c>
      <c r="G14714">
        <v>230226</v>
      </c>
      <c r="H14714">
        <v>4430</v>
      </c>
      <c r="I14714" t="s">
        <v>1276</v>
      </c>
      <c r="J14714">
        <v>1893.16</v>
      </c>
      <c r="K14714">
        <v>94.66</v>
      </c>
      <c r="L14714">
        <v>11604</v>
      </c>
      <c r="M14714" t="s">
        <v>1277</v>
      </c>
      <c r="N14714" t="str">
        <f t="shared" si="202"/>
        <v xml:space="preserve">56743432    </v>
      </c>
      <c r="O14714">
        <v>230308</v>
      </c>
    </row>
    <row r="14715" spans="1:15" x14ac:dyDescent="0.25">
      <c r="A14715" t="s">
        <v>16</v>
      </c>
      <c r="B14715" t="s">
        <v>3221</v>
      </c>
      <c r="C14715">
        <v>3001</v>
      </c>
      <c r="D14715" t="s">
        <v>1158</v>
      </c>
      <c r="E14715" t="s">
        <v>1159</v>
      </c>
      <c r="F14715">
        <v>375.56</v>
      </c>
      <c r="G14715">
        <v>230226</v>
      </c>
      <c r="H14715">
        <v>4430</v>
      </c>
      <c r="I14715" t="s">
        <v>1276</v>
      </c>
      <c r="J14715">
        <v>465.69</v>
      </c>
      <c r="K14715">
        <v>90.13</v>
      </c>
      <c r="L14715">
        <v>11604</v>
      </c>
      <c r="M14715" t="s">
        <v>1277</v>
      </c>
      <c r="N14715" t="str">
        <f>"56743440    "</f>
        <v xml:space="preserve">56743440    </v>
      </c>
      <c r="O14715">
        <v>230308</v>
      </c>
    </row>
    <row r="14716" spans="1:15" x14ac:dyDescent="0.25">
      <c r="A14716" t="s">
        <v>16</v>
      </c>
      <c r="B14716" t="s">
        <v>3221</v>
      </c>
      <c r="C14716">
        <v>3037</v>
      </c>
      <c r="D14716" t="s">
        <v>1158</v>
      </c>
      <c r="E14716" t="s">
        <v>1159</v>
      </c>
      <c r="F14716">
        <v>38</v>
      </c>
      <c r="G14716">
        <v>230228</v>
      </c>
      <c r="H14716">
        <v>4430</v>
      </c>
      <c r="I14716" t="s">
        <v>1276</v>
      </c>
      <c r="J14716">
        <v>40</v>
      </c>
      <c r="K14716">
        <v>2</v>
      </c>
      <c r="L14716">
        <v>11604</v>
      </c>
      <c r="M14716" t="s">
        <v>1277</v>
      </c>
      <c r="N14716" t="str">
        <f>"56752314    "</f>
        <v xml:space="preserve">56752314    </v>
      </c>
      <c r="O14716">
        <v>230308</v>
      </c>
    </row>
    <row r="14717" spans="1:15" x14ac:dyDescent="0.25">
      <c r="A14717" t="s">
        <v>16</v>
      </c>
      <c r="B14717" t="s">
        <v>3221</v>
      </c>
      <c r="C14717">
        <v>4505</v>
      </c>
      <c r="D14717" t="s">
        <v>1158</v>
      </c>
      <c r="E14717" t="s">
        <v>1159</v>
      </c>
      <c r="F14717">
        <v>768.22</v>
      </c>
      <c r="G14717">
        <v>230329</v>
      </c>
      <c r="H14717">
        <v>4430</v>
      </c>
      <c r="I14717" t="s">
        <v>1276</v>
      </c>
      <c r="J14717">
        <v>808.65</v>
      </c>
      <c r="K14717">
        <v>40.43</v>
      </c>
      <c r="L14717">
        <v>11604</v>
      </c>
      <c r="M14717" t="s">
        <v>1277</v>
      </c>
      <c r="N14717" t="str">
        <f t="shared" ref="N14717:N14730" si="203">"56852213    "</f>
        <v xml:space="preserve">56852213    </v>
      </c>
      <c r="O14717">
        <v>230406</v>
      </c>
    </row>
    <row r="14718" spans="1:15" x14ac:dyDescent="0.25">
      <c r="A14718" t="s">
        <v>16</v>
      </c>
      <c r="B14718" t="s">
        <v>3221</v>
      </c>
      <c r="C14718">
        <v>4505</v>
      </c>
      <c r="D14718" t="s">
        <v>1158</v>
      </c>
      <c r="E14718" t="s">
        <v>1159</v>
      </c>
      <c r="F14718">
        <v>35</v>
      </c>
      <c r="G14718">
        <v>230329</v>
      </c>
      <c r="H14718">
        <v>4430</v>
      </c>
      <c r="I14718" t="s">
        <v>1276</v>
      </c>
      <c r="J14718">
        <v>43.4</v>
      </c>
      <c r="K14718">
        <v>8.4</v>
      </c>
      <c r="L14718">
        <v>11604</v>
      </c>
      <c r="M14718" t="s">
        <v>1277</v>
      </c>
      <c r="N14718" t="str">
        <f t="shared" si="203"/>
        <v xml:space="preserve">56852213    </v>
      </c>
      <c r="O14718">
        <v>230406</v>
      </c>
    </row>
    <row r="14719" spans="1:15" x14ac:dyDescent="0.25">
      <c r="A14719" t="s">
        <v>16</v>
      </c>
      <c r="B14719" t="s">
        <v>3221</v>
      </c>
      <c r="C14719">
        <v>4505</v>
      </c>
      <c r="D14719" t="s">
        <v>1158</v>
      </c>
      <c r="E14719" t="s">
        <v>1159</v>
      </c>
      <c r="F14719">
        <v>1845.11</v>
      </c>
      <c r="G14719">
        <v>230329</v>
      </c>
      <c r="H14719">
        <v>4430</v>
      </c>
      <c r="I14719" t="s">
        <v>1276</v>
      </c>
      <c r="J14719">
        <v>1942.22</v>
      </c>
      <c r="K14719">
        <v>97.11</v>
      </c>
      <c r="L14719">
        <v>11604</v>
      </c>
      <c r="M14719" t="s">
        <v>1277</v>
      </c>
      <c r="N14719" t="str">
        <f t="shared" si="203"/>
        <v xml:space="preserve">56852213    </v>
      </c>
      <c r="O14719">
        <v>230406</v>
      </c>
    </row>
    <row r="14720" spans="1:15" x14ac:dyDescent="0.25">
      <c r="A14720" t="s">
        <v>16</v>
      </c>
      <c r="B14720" t="s">
        <v>3221</v>
      </c>
      <c r="C14720">
        <v>4505</v>
      </c>
      <c r="D14720" t="s">
        <v>1158</v>
      </c>
      <c r="E14720" t="s">
        <v>1159</v>
      </c>
      <c r="F14720">
        <v>4076.44</v>
      </c>
      <c r="G14720">
        <v>230329</v>
      </c>
      <c r="H14720">
        <v>4430</v>
      </c>
      <c r="I14720" t="s">
        <v>1276</v>
      </c>
      <c r="J14720">
        <v>4290.99</v>
      </c>
      <c r="K14720">
        <v>214.55</v>
      </c>
      <c r="L14720">
        <v>11604</v>
      </c>
      <c r="M14720" t="s">
        <v>1277</v>
      </c>
      <c r="N14720" t="str">
        <f t="shared" si="203"/>
        <v xml:space="preserve">56852213    </v>
      </c>
      <c r="O14720">
        <v>230406</v>
      </c>
    </row>
    <row r="14721" spans="1:15" x14ac:dyDescent="0.25">
      <c r="A14721" t="s">
        <v>16</v>
      </c>
      <c r="B14721" t="s">
        <v>3221</v>
      </c>
      <c r="C14721">
        <v>4505</v>
      </c>
      <c r="D14721" t="s">
        <v>1158</v>
      </c>
      <c r="E14721" t="s">
        <v>1159</v>
      </c>
      <c r="F14721">
        <v>47.1</v>
      </c>
      <c r="G14721">
        <v>230329</v>
      </c>
      <c r="H14721">
        <v>4430</v>
      </c>
      <c r="I14721" t="s">
        <v>1276</v>
      </c>
      <c r="J14721">
        <v>58.4</v>
      </c>
      <c r="K14721">
        <v>11.3</v>
      </c>
      <c r="L14721">
        <v>11604</v>
      </c>
      <c r="M14721" t="s">
        <v>1277</v>
      </c>
      <c r="N14721" t="str">
        <f t="shared" si="203"/>
        <v xml:space="preserve">56852213    </v>
      </c>
      <c r="O14721">
        <v>230406</v>
      </c>
    </row>
    <row r="14722" spans="1:15" x14ac:dyDescent="0.25">
      <c r="A14722" t="s">
        <v>16</v>
      </c>
      <c r="B14722" t="s">
        <v>3221</v>
      </c>
      <c r="C14722">
        <v>4505</v>
      </c>
      <c r="D14722" t="s">
        <v>1158</v>
      </c>
      <c r="E14722" t="s">
        <v>1159</v>
      </c>
      <c r="F14722">
        <v>4330.29</v>
      </c>
      <c r="G14722">
        <v>230329</v>
      </c>
      <c r="H14722">
        <v>4430</v>
      </c>
      <c r="I14722" t="s">
        <v>1276</v>
      </c>
      <c r="J14722">
        <v>4558.2</v>
      </c>
      <c r="K14722">
        <v>227.91</v>
      </c>
      <c r="L14722">
        <v>11604</v>
      </c>
      <c r="M14722" t="s">
        <v>1277</v>
      </c>
      <c r="N14722" t="str">
        <f t="shared" si="203"/>
        <v xml:space="preserve">56852213    </v>
      </c>
      <c r="O14722">
        <v>230406</v>
      </c>
    </row>
    <row r="14723" spans="1:15" x14ac:dyDescent="0.25">
      <c r="A14723" t="s">
        <v>16</v>
      </c>
      <c r="B14723" t="s">
        <v>3221</v>
      </c>
      <c r="C14723">
        <v>4505</v>
      </c>
      <c r="D14723" t="s">
        <v>1158</v>
      </c>
      <c r="E14723" t="s">
        <v>1159</v>
      </c>
      <c r="F14723">
        <v>155.16</v>
      </c>
      <c r="G14723">
        <v>230329</v>
      </c>
      <c r="H14723">
        <v>4430</v>
      </c>
      <c r="I14723" t="s">
        <v>1276</v>
      </c>
      <c r="J14723">
        <v>192.4</v>
      </c>
      <c r="K14723">
        <v>37.24</v>
      </c>
      <c r="L14723">
        <v>11604</v>
      </c>
      <c r="M14723" t="s">
        <v>1277</v>
      </c>
      <c r="N14723" t="str">
        <f t="shared" si="203"/>
        <v xml:space="preserve">56852213    </v>
      </c>
      <c r="O14723">
        <v>230406</v>
      </c>
    </row>
    <row r="14724" spans="1:15" x14ac:dyDescent="0.25">
      <c r="A14724" t="s">
        <v>16</v>
      </c>
      <c r="B14724" t="s">
        <v>3221</v>
      </c>
      <c r="C14724">
        <v>4505</v>
      </c>
      <c r="D14724" t="s">
        <v>1158</v>
      </c>
      <c r="E14724" t="s">
        <v>1159</v>
      </c>
      <c r="F14724">
        <v>12263.55</v>
      </c>
      <c r="G14724">
        <v>230329</v>
      </c>
      <c r="H14724">
        <v>4430</v>
      </c>
      <c r="I14724" t="s">
        <v>1276</v>
      </c>
      <c r="J14724">
        <v>12909</v>
      </c>
      <c r="K14724">
        <v>645.45000000000005</v>
      </c>
      <c r="L14724">
        <v>11604</v>
      </c>
      <c r="M14724" t="s">
        <v>1277</v>
      </c>
      <c r="N14724" t="str">
        <f t="shared" si="203"/>
        <v xml:space="preserve">56852213    </v>
      </c>
      <c r="O14724">
        <v>230406</v>
      </c>
    </row>
    <row r="14725" spans="1:15" x14ac:dyDescent="0.25">
      <c r="A14725" t="s">
        <v>16</v>
      </c>
      <c r="B14725" t="s">
        <v>3221</v>
      </c>
      <c r="C14725">
        <v>4505</v>
      </c>
      <c r="D14725" t="s">
        <v>1158</v>
      </c>
      <c r="E14725" t="s">
        <v>1159</v>
      </c>
      <c r="F14725">
        <v>3886.17</v>
      </c>
      <c r="G14725">
        <v>230329</v>
      </c>
      <c r="H14725">
        <v>4430</v>
      </c>
      <c r="I14725" t="s">
        <v>1276</v>
      </c>
      <c r="J14725">
        <v>4090.71</v>
      </c>
      <c r="K14725">
        <v>204.54</v>
      </c>
      <c r="L14725">
        <v>11604</v>
      </c>
      <c r="M14725" t="s">
        <v>1277</v>
      </c>
      <c r="N14725" t="str">
        <f t="shared" si="203"/>
        <v xml:space="preserve">56852213    </v>
      </c>
      <c r="O14725">
        <v>230406</v>
      </c>
    </row>
    <row r="14726" spans="1:15" x14ac:dyDescent="0.25">
      <c r="A14726" t="s">
        <v>16</v>
      </c>
      <c r="B14726" t="s">
        <v>3221</v>
      </c>
      <c r="C14726">
        <v>4505</v>
      </c>
      <c r="D14726" t="s">
        <v>1158</v>
      </c>
      <c r="E14726" t="s">
        <v>1159</v>
      </c>
      <c r="F14726">
        <v>19</v>
      </c>
      <c r="G14726">
        <v>230329</v>
      </c>
      <c r="H14726">
        <v>4430</v>
      </c>
      <c r="I14726" t="s">
        <v>1276</v>
      </c>
      <c r="J14726">
        <v>20</v>
      </c>
      <c r="K14726">
        <v>1</v>
      </c>
      <c r="L14726">
        <v>11604</v>
      </c>
      <c r="M14726" t="s">
        <v>1277</v>
      </c>
      <c r="N14726" t="str">
        <f t="shared" si="203"/>
        <v xml:space="preserve">56852213    </v>
      </c>
      <c r="O14726">
        <v>230406</v>
      </c>
    </row>
    <row r="14727" spans="1:15" x14ac:dyDescent="0.25">
      <c r="A14727" t="s">
        <v>16</v>
      </c>
      <c r="B14727" t="s">
        <v>3221</v>
      </c>
      <c r="C14727">
        <v>4505</v>
      </c>
      <c r="D14727" t="s">
        <v>1158</v>
      </c>
      <c r="E14727" t="s">
        <v>1159</v>
      </c>
      <c r="F14727">
        <v>671.98</v>
      </c>
      <c r="G14727">
        <v>230329</v>
      </c>
      <c r="H14727">
        <v>4430</v>
      </c>
      <c r="I14727" t="s">
        <v>1276</v>
      </c>
      <c r="J14727">
        <v>833.25</v>
      </c>
      <c r="K14727">
        <v>161.27000000000001</v>
      </c>
      <c r="L14727">
        <v>11604</v>
      </c>
      <c r="M14727" t="s">
        <v>1277</v>
      </c>
      <c r="N14727" t="str">
        <f t="shared" si="203"/>
        <v xml:space="preserve">56852213    </v>
      </c>
      <c r="O14727">
        <v>230406</v>
      </c>
    </row>
    <row r="14728" spans="1:15" x14ac:dyDescent="0.25">
      <c r="A14728" t="s">
        <v>16</v>
      </c>
      <c r="B14728" t="s">
        <v>3221</v>
      </c>
      <c r="C14728">
        <v>4505</v>
      </c>
      <c r="D14728" t="s">
        <v>1158</v>
      </c>
      <c r="E14728" t="s">
        <v>1159</v>
      </c>
      <c r="F14728">
        <v>4705.21</v>
      </c>
      <c r="G14728">
        <v>230329</v>
      </c>
      <c r="H14728">
        <v>4430</v>
      </c>
      <c r="I14728" t="s">
        <v>1276</v>
      </c>
      <c r="J14728">
        <v>4952.8500000000004</v>
      </c>
      <c r="K14728">
        <v>247.64</v>
      </c>
      <c r="L14728">
        <v>11604</v>
      </c>
      <c r="M14728" t="s">
        <v>1277</v>
      </c>
      <c r="N14728" t="str">
        <f t="shared" si="203"/>
        <v xml:space="preserve">56852213    </v>
      </c>
      <c r="O14728">
        <v>230406</v>
      </c>
    </row>
    <row r="14729" spans="1:15" x14ac:dyDescent="0.25">
      <c r="A14729" t="s">
        <v>16</v>
      </c>
      <c r="B14729" t="s">
        <v>3221</v>
      </c>
      <c r="C14729">
        <v>4505</v>
      </c>
      <c r="D14729" t="s">
        <v>1158</v>
      </c>
      <c r="E14729" t="s">
        <v>1159</v>
      </c>
      <c r="F14729">
        <v>1124.95</v>
      </c>
      <c r="G14729">
        <v>230329</v>
      </c>
      <c r="H14729">
        <v>4430</v>
      </c>
      <c r="I14729" t="s">
        <v>1276</v>
      </c>
      <c r="J14729">
        <v>1184.1600000000001</v>
      </c>
      <c r="K14729">
        <v>59.21</v>
      </c>
      <c r="L14729">
        <v>11604</v>
      </c>
      <c r="M14729" t="s">
        <v>1277</v>
      </c>
      <c r="N14729" t="str">
        <f t="shared" si="203"/>
        <v xml:space="preserve">56852213    </v>
      </c>
      <c r="O14729">
        <v>230406</v>
      </c>
    </row>
    <row r="14730" spans="1:15" x14ac:dyDescent="0.25">
      <c r="A14730" t="s">
        <v>16</v>
      </c>
      <c r="B14730" t="s">
        <v>3221</v>
      </c>
      <c r="C14730">
        <v>4505</v>
      </c>
      <c r="D14730" t="s">
        <v>1158</v>
      </c>
      <c r="E14730" t="s">
        <v>1159</v>
      </c>
      <c r="F14730">
        <v>2296.41</v>
      </c>
      <c r="G14730">
        <v>230329</v>
      </c>
      <c r="H14730">
        <v>4430</v>
      </c>
      <c r="I14730" t="s">
        <v>1276</v>
      </c>
      <c r="J14730">
        <v>2417.27</v>
      </c>
      <c r="K14730">
        <v>120.86</v>
      </c>
      <c r="L14730">
        <v>11604</v>
      </c>
      <c r="M14730" t="s">
        <v>1277</v>
      </c>
      <c r="N14730" t="str">
        <f t="shared" si="203"/>
        <v xml:space="preserve">56852213    </v>
      </c>
      <c r="O14730">
        <v>230406</v>
      </c>
    </row>
    <row r="14731" spans="1:15" x14ac:dyDescent="0.25">
      <c r="A14731" t="s">
        <v>16</v>
      </c>
      <c r="B14731" t="s">
        <v>3221</v>
      </c>
      <c r="C14731">
        <v>4525</v>
      </c>
      <c r="D14731" t="s">
        <v>1158</v>
      </c>
      <c r="E14731" t="s">
        <v>1159</v>
      </c>
      <c r="F14731">
        <v>38</v>
      </c>
      <c r="G14731">
        <v>230331</v>
      </c>
      <c r="H14731">
        <v>4430</v>
      </c>
      <c r="I14731" t="s">
        <v>1276</v>
      </c>
      <c r="J14731">
        <v>40</v>
      </c>
      <c r="K14731">
        <v>2</v>
      </c>
      <c r="L14731">
        <v>11604</v>
      </c>
      <c r="M14731" t="s">
        <v>1277</v>
      </c>
      <c r="N14731" t="str">
        <f>"56864094    "</f>
        <v xml:space="preserve">56864094    </v>
      </c>
      <c r="O14731">
        <v>230406</v>
      </c>
    </row>
    <row r="14732" spans="1:15" x14ac:dyDescent="0.25">
      <c r="A14732" t="s">
        <v>16</v>
      </c>
      <c r="B14732" t="s">
        <v>3221</v>
      </c>
      <c r="C14732">
        <v>5250</v>
      </c>
      <c r="D14732" t="s">
        <v>1158</v>
      </c>
      <c r="E14732" t="s">
        <v>1159</v>
      </c>
      <c r="F14732">
        <v>384.69</v>
      </c>
      <c r="G14732">
        <v>230329</v>
      </c>
      <c r="H14732">
        <v>4430</v>
      </c>
      <c r="I14732" t="s">
        <v>1276</v>
      </c>
      <c r="J14732">
        <v>477.01</v>
      </c>
      <c r="K14732">
        <v>92.32</v>
      </c>
      <c r="L14732">
        <v>11604</v>
      </c>
      <c r="M14732" t="s">
        <v>1277</v>
      </c>
      <c r="N14732" t="str">
        <f>"56852227    "</f>
        <v xml:space="preserve">56852227    </v>
      </c>
      <c r="O14732">
        <v>230419</v>
      </c>
    </row>
    <row r="14733" spans="1:15" x14ac:dyDescent="0.25">
      <c r="A14733" t="s">
        <v>16</v>
      </c>
      <c r="B14733" t="s">
        <v>3221</v>
      </c>
      <c r="C14733">
        <v>6428</v>
      </c>
      <c r="D14733" t="s">
        <v>1158</v>
      </c>
      <c r="E14733" t="s">
        <v>1159</v>
      </c>
      <c r="F14733">
        <v>35</v>
      </c>
      <c r="G14733">
        <v>230426</v>
      </c>
      <c r="H14733">
        <v>4430</v>
      </c>
      <c r="I14733" t="s">
        <v>1276</v>
      </c>
      <c r="J14733">
        <v>43.4</v>
      </c>
      <c r="K14733">
        <v>8.4</v>
      </c>
      <c r="L14733">
        <v>11604</v>
      </c>
      <c r="M14733" t="s">
        <v>1277</v>
      </c>
      <c r="N14733" t="str">
        <f t="shared" ref="N14733:N14746" si="204">"56930486    "</f>
        <v xml:space="preserve">56930486    </v>
      </c>
      <c r="O14733">
        <v>230511</v>
      </c>
    </row>
    <row r="14734" spans="1:15" x14ac:dyDescent="0.25">
      <c r="A14734" t="s">
        <v>16</v>
      </c>
      <c r="B14734" t="s">
        <v>3221</v>
      </c>
      <c r="C14734">
        <v>6428</v>
      </c>
      <c r="D14734" t="s">
        <v>1158</v>
      </c>
      <c r="E14734" t="s">
        <v>1159</v>
      </c>
      <c r="F14734">
        <v>583.41999999999996</v>
      </c>
      <c r="G14734">
        <v>230426</v>
      </c>
      <c r="H14734">
        <v>4430</v>
      </c>
      <c r="I14734" t="s">
        <v>1276</v>
      </c>
      <c r="J14734">
        <v>614.13</v>
      </c>
      <c r="K14734">
        <v>30.71</v>
      </c>
      <c r="L14734">
        <v>11604</v>
      </c>
      <c r="M14734" t="s">
        <v>1277</v>
      </c>
      <c r="N14734" t="str">
        <f t="shared" si="204"/>
        <v xml:space="preserve">56930486    </v>
      </c>
      <c r="O14734">
        <v>230511</v>
      </c>
    </row>
    <row r="14735" spans="1:15" x14ac:dyDescent="0.25">
      <c r="A14735" t="s">
        <v>16</v>
      </c>
      <c r="B14735" t="s">
        <v>3221</v>
      </c>
      <c r="C14735">
        <v>6428</v>
      </c>
      <c r="D14735" t="s">
        <v>1158</v>
      </c>
      <c r="E14735" t="s">
        <v>1159</v>
      </c>
      <c r="F14735">
        <v>99.65</v>
      </c>
      <c r="G14735">
        <v>230426</v>
      </c>
      <c r="H14735">
        <v>4430</v>
      </c>
      <c r="I14735" t="s">
        <v>1276</v>
      </c>
      <c r="J14735">
        <v>123.57</v>
      </c>
      <c r="K14735">
        <v>23.92</v>
      </c>
      <c r="L14735">
        <v>11604</v>
      </c>
      <c r="M14735" t="s">
        <v>1277</v>
      </c>
      <c r="N14735" t="str">
        <f t="shared" si="204"/>
        <v xml:space="preserve">56930486    </v>
      </c>
      <c r="O14735">
        <v>230511</v>
      </c>
    </row>
    <row r="14736" spans="1:15" x14ac:dyDescent="0.25">
      <c r="A14736" t="s">
        <v>16</v>
      </c>
      <c r="B14736" t="s">
        <v>3221</v>
      </c>
      <c r="C14736">
        <v>6428</v>
      </c>
      <c r="D14736" t="s">
        <v>1158</v>
      </c>
      <c r="E14736" t="s">
        <v>1159</v>
      </c>
      <c r="F14736">
        <v>1946.3</v>
      </c>
      <c r="G14736">
        <v>230426</v>
      </c>
      <c r="H14736">
        <v>4430</v>
      </c>
      <c r="I14736" t="s">
        <v>1276</v>
      </c>
      <c r="J14736">
        <v>2048.7399999999998</v>
      </c>
      <c r="K14736">
        <v>102.44</v>
      </c>
      <c r="L14736">
        <v>11604</v>
      </c>
      <c r="M14736" t="s">
        <v>1277</v>
      </c>
      <c r="N14736" t="str">
        <f t="shared" si="204"/>
        <v xml:space="preserve">56930486    </v>
      </c>
      <c r="O14736">
        <v>230511</v>
      </c>
    </row>
    <row r="14737" spans="1:15" x14ac:dyDescent="0.25">
      <c r="A14737" t="s">
        <v>16</v>
      </c>
      <c r="B14737" t="s">
        <v>3221</v>
      </c>
      <c r="C14737">
        <v>6428</v>
      </c>
      <c r="D14737" t="s">
        <v>1158</v>
      </c>
      <c r="E14737" t="s">
        <v>1159</v>
      </c>
      <c r="F14737">
        <v>3897.96</v>
      </c>
      <c r="G14737">
        <v>230426</v>
      </c>
      <c r="H14737">
        <v>4430</v>
      </c>
      <c r="I14737" t="s">
        <v>1276</v>
      </c>
      <c r="J14737">
        <v>4103.12</v>
      </c>
      <c r="K14737">
        <v>205.16</v>
      </c>
      <c r="L14737">
        <v>11604</v>
      </c>
      <c r="M14737" t="s">
        <v>1277</v>
      </c>
      <c r="N14737" t="str">
        <f t="shared" si="204"/>
        <v xml:space="preserve">56930486    </v>
      </c>
      <c r="O14737">
        <v>230511</v>
      </c>
    </row>
    <row r="14738" spans="1:15" x14ac:dyDescent="0.25">
      <c r="A14738" t="s">
        <v>16</v>
      </c>
      <c r="B14738" t="s">
        <v>3221</v>
      </c>
      <c r="C14738">
        <v>6428</v>
      </c>
      <c r="D14738" t="s">
        <v>1158</v>
      </c>
      <c r="E14738" t="s">
        <v>1159</v>
      </c>
      <c r="F14738">
        <v>44.68</v>
      </c>
      <c r="G14738">
        <v>230426</v>
      </c>
      <c r="H14738">
        <v>4430</v>
      </c>
      <c r="I14738" t="s">
        <v>1276</v>
      </c>
      <c r="J14738">
        <v>55.4</v>
      </c>
      <c r="K14738">
        <v>10.72</v>
      </c>
      <c r="L14738">
        <v>11604</v>
      </c>
      <c r="M14738" t="s">
        <v>1277</v>
      </c>
      <c r="N14738" t="str">
        <f t="shared" si="204"/>
        <v xml:space="preserve">56930486    </v>
      </c>
      <c r="O14738">
        <v>230511</v>
      </c>
    </row>
    <row r="14739" spans="1:15" x14ac:dyDescent="0.25">
      <c r="A14739" t="s">
        <v>16</v>
      </c>
      <c r="B14739" t="s">
        <v>3221</v>
      </c>
      <c r="C14739">
        <v>6428</v>
      </c>
      <c r="D14739" t="s">
        <v>1158</v>
      </c>
      <c r="E14739" t="s">
        <v>1159</v>
      </c>
      <c r="F14739">
        <v>4457.8900000000003</v>
      </c>
      <c r="G14739">
        <v>230426</v>
      </c>
      <c r="H14739">
        <v>4430</v>
      </c>
      <c r="I14739" t="s">
        <v>1276</v>
      </c>
      <c r="J14739">
        <v>4692.5200000000004</v>
      </c>
      <c r="K14739">
        <v>234.63</v>
      </c>
      <c r="L14739">
        <v>11604</v>
      </c>
      <c r="M14739" t="s">
        <v>1277</v>
      </c>
      <c r="N14739" t="str">
        <f t="shared" si="204"/>
        <v xml:space="preserve">56930486    </v>
      </c>
      <c r="O14739">
        <v>230511</v>
      </c>
    </row>
    <row r="14740" spans="1:15" x14ac:dyDescent="0.25">
      <c r="A14740" t="s">
        <v>16</v>
      </c>
      <c r="B14740" t="s">
        <v>3221</v>
      </c>
      <c r="C14740">
        <v>6428</v>
      </c>
      <c r="D14740" t="s">
        <v>1158</v>
      </c>
      <c r="E14740" t="s">
        <v>1159</v>
      </c>
      <c r="F14740">
        <v>155.16</v>
      </c>
      <c r="G14740">
        <v>230426</v>
      </c>
      <c r="H14740">
        <v>4430</v>
      </c>
      <c r="I14740" t="s">
        <v>1276</v>
      </c>
      <c r="J14740">
        <v>192.4</v>
      </c>
      <c r="K14740">
        <v>37.24</v>
      </c>
      <c r="L14740">
        <v>11604</v>
      </c>
      <c r="M14740" t="s">
        <v>1277</v>
      </c>
      <c r="N14740" t="str">
        <f t="shared" si="204"/>
        <v xml:space="preserve">56930486    </v>
      </c>
      <c r="O14740">
        <v>230511</v>
      </c>
    </row>
    <row r="14741" spans="1:15" x14ac:dyDescent="0.25">
      <c r="A14741" t="s">
        <v>16</v>
      </c>
      <c r="B14741" t="s">
        <v>3221</v>
      </c>
      <c r="C14741">
        <v>6428</v>
      </c>
      <c r="D14741" t="s">
        <v>1158</v>
      </c>
      <c r="E14741" t="s">
        <v>1159</v>
      </c>
      <c r="F14741">
        <v>11803.87</v>
      </c>
      <c r="G14741">
        <v>230426</v>
      </c>
      <c r="H14741">
        <v>4430</v>
      </c>
      <c r="I14741" t="s">
        <v>1276</v>
      </c>
      <c r="J14741">
        <v>12425.13</v>
      </c>
      <c r="K14741">
        <v>621.26</v>
      </c>
      <c r="L14741">
        <v>11604</v>
      </c>
      <c r="M14741" t="s">
        <v>1277</v>
      </c>
      <c r="N14741" t="str">
        <f t="shared" si="204"/>
        <v xml:space="preserve">56930486    </v>
      </c>
      <c r="O14741">
        <v>230511</v>
      </c>
    </row>
    <row r="14742" spans="1:15" x14ac:dyDescent="0.25">
      <c r="A14742" t="s">
        <v>16</v>
      </c>
      <c r="B14742" t="s">
        <v>3221</v>
      </c>
      <c r="C14742">
        <v>6428</v>
      </c>
      <c r="D14742" t="s">
        <v>1158</v>
      </c>
      <c r="E14742" t="s">
        <v>1159</v>
      </c>
      <c r="F14742">
        <v>3659.38</v>
      </c>
      <c r="G14742">
        <v>230426</v>
      </c>
      <c r="H14742">
        <v>4430</v>
      </c>
      <c r="I14742" t="s">
        <v>1276</v>
      </c>
      <c r="J14742">
        <v>3851.98</v>
      </c>
      <c r="K14742">
        <v>192.6</v>
      </c>
      <c r="L14742">
        <v>11604</v>
      </c>
      <c r="M14742" t="s">
        <v>1277</v>
      </c>
      <c r="N14742" t="str">
        <f t="shared" si="204"/>
        <v xml:space="preserve">56930486    </v>
      </c>
      <c r="O14742">
        <v>230511</v>
      </c>
    </row>
    <row r="14743" spans="1:15" x14ac:dyDescent="0.25">
      <c r="A14743" t="s">
        <v>16</v>
      </c>
      <c r="B14743" t="s">
        <v>3221</v>
      </c>
      <c r="C14743">
        <v>6428</v>
      </c>
      <c r="D14743" t="s">
        <v>1158</v>
      </c>
      <c r="E14743" t="s">
        <v>1159</v>
      </c>
      <c r="F14743">
        <v>211.38</v>
      </c>
      <c r="G14743">
        <v>230426</v>
      </c>
      <c r="H14743">
        <v>4430</v>
      </c>
      <c r="I14743" t="s">
        <v>1276</v>
      </c>
      <c r="J14743">
        <v>222.5</v>
      </c>
      <c r="K14743">
        <v>11.12</v>
      </c>
      <c r="L14743">
        <v>11604</v>
      </c>
      <c r="M14743" t="s">
        <v>1277</v>
      </c>
      <c r="N14743" t="str">
        <f t="shared" si="204"/>
        <v xml:space="preserve">56930486    </v>
      </c>
      <c r="O14743">
        <v>230511</v>
      </c>
    </row>
    <row r="14744" spans="1:15" x14ac:dyDescent="0.25">
      <c r="A14744" t="s">
        <v>16</v>
      </c>
      <c r="B14744" t="s">
        <v>3221</v>
      </c>
      <c r="C14744">
        <v>6428</v>
      </c>
      <c r="D14744" t="s">
        <v>1158</v>
      </c>
      <c r="E14744" t="s">
        <v>1159</v>
      </c>
      <c r="F14744">
        <v>2363.5700000000002</v>
      </c>
      <c r="G14744">
        <v>230426</v>
      </c>
      <c r="H14744">
        <v>4430</v>
      </c>
      <c r="I14744" t="s">
        <v>1276</v>
      </c>
      <c r="J14744">
        <v>2487.9699999999998</v>
      </c>
      <c r="K14744">
        <v>124.4</v>
      </c>
      <c r="L14744">
        <v>11604</v>
      </c>
      <c r="M14744" t="s">
        <v>1277</v>
      </c>
      <c r="N14744" t="str">
        <f t="shared" si="204"/>
        <v xml:space="preserve">56930486    </v>
      </c>
      <c r="O14744">
        <v>230511</v>
      </c>
    </row>
    <row r="14745" spans="1:15" x14ac:dyDescent="0.25">
      <c r="A14745" t="s">
        <v>16</v>
      </c>
      <c r="B14745" t="s">
        <v>3221</v>
      </c>
      <c r="C14745">
        <v>6428</v>
      </c>
      <c r="D14745" t="s">
        <v>1158</v>
      </c>
      <c r="E14745" t="s">
        <v>1159</v>
      </c>
      <c r="F14745">
        <v>1579.19</v>
      </c>
      <c r="G14745">
        <v>230426</v>
      </c>
      <c r="H14745">
        <v>4430</v>
      </c>
      <c r="I14745" t="s">
        <v>1276</v>
      </c>
      <c r="J14745">
        <v>1662.3</v>
      </c>
      <c r="K14745">
        <v>83.11</v>
      </c>
      <c r="L14745">
        <v>11604</v>
      </c>
      <c r="M14745" t="s">
        <v>1277</v>
      </c>
      <c r="N14745" t="str">
        <f t="shared" si="204"/>
        <v xml:space="preserve">56930486    </v>
      </c>
      <c r="O14745">
        <v>230511</v>
      </c>
    </row>
    <row r="14746" spans="1:15" x14ac:dyDescent="0.25">
      <c r="A14746" t="s">
        <v>16</v>
      </c>
      <c r="B14746" t="s">
        <v>3221</v>
      </c>
      <c r="C14746">
        <v>6428</v>
      </c>
      <c r="D14746" t="s">
        <v>1158</v>
      </c>
      <c r="E14746" t="s">
        <v>1159</v>
      </c>
      <c r="F14746">
        <v>576.80999999999995</v>
      </c>
      <c r="G14746">
        <v>230426</v>
      </c>
      <c r="H14746">
        <v>4430</v>
      </c>
      <c r="I14746" t="s">
        <v>1276</v>
      </c>
      <c r="J14746">
        <v>607.16999999999996</v>
      </c>
      <c r="K14746">
        <v>30.36</v>
      </c>
      <c r="L14746">
        <v>11604</v>
      </c>
      <c r="M14746" t="s">
        <v>1277</v>
      </c>
      <c r="N14746" t="str">
        <f t="shared" si="204"/>
        <v xml:space="preserve">56930486    </v>
      </c>
      <c r="O14746">
        <v>230511</v>
      </c>
    </row>
    <row r="14747" spans="1:15" x14ac:dyDescent="0.25">
      <c r="A14747" t="s">
        <v>16</v>
      </c>
      <c r="B14747" t="s">
        <v>3221</v>
      </c>
      <c r="C14747">
        <v>8911</v>
      </c>
      <c r="D14747" t="s">
        <v>1158</v>
      </c>
      <c r="E14747" t="s">
        <v>1159</v>
      </c>
      <c r="F14747">
        <v>334</v>
      </c>
      <c r="G14747">
        <v>230529</v>
      </c>
      <c r="H14747">
        <v>4430</v>
      </c>
      <c r="I14747" t="s">
        <v>1276</v>
      </c>
      <c r="J14747">
        <v>414.16</v>
      </c>
      <c r="K14747">
        <v>80.16</v>
      </c>
      <c r="L14747">
        <v>11604</v>
      </c>
      <c r="M14747" t="s">
        <v>1277</v>
      </c>
      <c r="N14747" t="str">
        <f>"57020871    "</f>
        <v xml:space="preserve">57020871    </v>
      </c>
      <c r="O14747">
        <v>230619</v>
      </c>
    </row>
    <row r="14748" spans="1:15" x14ac:dyDescent="0.25">
      <c r="A14748" t="s">
        <v>16</v>
      </c>
      <c r="B14748" t="s">
        <v>3221</v>
      </c>
      <c r="C14748">
        <v>8916</v>
      </c>
      <c r="D14748" t="s">
        <v>1158</v>
      </c>
      <c r="E14748" t="s">
        <v>1159</v>
      </c>
      <c r="F14748">
        <v>35</v>
      </c>
      <c r="G14748">
        <v>230529</v>
      </c>
      <c r="H14748">
        <v>4430</v>
      </c>
      <c r="I14748" t="s">
        <v>1276</v>
      </c>
      <c r="J14748">
        <v>43.4</v>
      </c>
      <c r="K14748">
        <v>8.4</v>
      </c>
      <c r="L14748">
        <v>11604</v>
      </c>
      <c r="M14748" t="s">
        <v>1277</v>
      </c>
      <c r="N14748" t="str">
        <f t="shared" ref="N14748:N14760" si="205">"57020847    "</f>
        <v xml:space="preserve">57020847    </v>
      </c>
      <c r="O14748">
        <v>230619</v>
      </c>
    </row>
    <row r="14749" spans="1:15" x14ac:dyDescent="0.25">
      <c r="A14749" t="s">
        <v>16</v>
      </c>
      <c r="B14749" t="s">
        <v>3221</v>
      </c>
      <c r="C14749">
        <v>8916</v>
      </c>
      <c r="D14749" t="s">
        <v>1158</v>
      </c>
      <c r="E14749" t="s">
        <v>1159</v>
      </c>
      <c r="F14749">
        <v>732.39</v>
      </c>
      <c r="G14749">
        <v>230529</v>
      </c>
      <c r="H14749">
        <v>4430</v>
      </c>
      <c r="I14749" t="s">
        <v>1276</v>
      </c>
      <c r="J14749">
        <v>770.94</v>
      </c>
      <c r="K14749">
        <v>38.549999999999997</v>
      </c>
      <c r="L14749">
        <v>11604</v>
      </c>
      <c r="M14749" t="s">
        <v>1277</v>
      </c>
      <c r="N14749" t="str">
        <f t="shared" si="205"/>
        <v xml:space="preserve">57020847    </v>
      </c>
      <c r="O14749">
        <v>230619</v>
      </c>
    </row>
    <row r="14750" spans="1:15" x14ac:dyDescent="0.25">
      <c r="A14750" t="s">
        <v>16</v>
      </c>
      <c r="B14750" t="s">
        <v>3221</v>
      </c>
      <c r="C14750">
        <v>8916</v>
      </c>
      <c r="D14750" t="s">
        <v>1158</v>
      </c>
      <c r="E14750" t="s">
        <v>1159</v>
      </c>
      <c r="F14750">
        <v>923.12</v>
      </c>
      <c r="G14750">
        <v>230529</v>
      </c>
      <c r="H14750">
        <v>4430</v>
      </c>
      <c r="I14750" t="s">
        <v>1276</v>
      </c>
      <c r="J14750">
        <v>971.71</v>
      </c>
      <c r="K14750">
        <v>48.59</v>
      </c>
      <c r="L14750">
        <v>11604</v>
      </c>
      <c r="M14750" t="s">
        <v>1277</v>
      </c>
      <c r="N14750" t="str">
        <f t="shared" si="205"/>
        <v xml:space="preserve">57020847    </v>
      </c>
      <c r="O14750">
        <v>230619</v>
      </c>
    </row>
    <row r="14751" spans="1:15" x14ac:dyDescent="0.25">
      <c r="A14751" t="s">
        <v>16</v>
      </c>
      <c r="B14751" t="s">
        <v>3221</v>
      </c>
      <c r="C14751">
        <v>8916</v>
      </c>
      <c r="D14751" t="s">
        <v>1158</v>
      </c>
      <c r="E14751" t="s">
        <v>1159</v>
      </c>
      <c r="F14751">
        <v>4603.3100000000004</v>
      </c>
      <c r="G14751">
        <v>230529</v>
      </c>
      <c r="H14751">
        <v>4430</v>
      </c>
      <c r="I14751" t="s">
        <v>1276</v>
      </c>
      <c r="J14751">
        <v>4845.59</v>
      </c>
      <c r="K14751">
        <v>242.28</v>
      </c>
      <c r="L14751">
        <v>11604</v>
      </c>
      <c r="M14751" t="s">
        <v>1277</v>
      </c>
      <c r="N14751" t="str">
        <f t="shared" si="205"/>
        <v xml:space="preserve">57020847    </v>
      </c>
      <c r="O14751">
        <v>230619</v>
      </c>
    </row>
    <row r="14752" spans="1:15" x14ac:dyDescent="0.25">
      <c r="A14752" t="s">
        <v>16</v>
      </c>
      <c r="B14752" t="s">
        <v>3221</v>
      </c>
      <c r="C14752">
        <v>8916</v>
      </c>
      <c r="D14752" t="s">
        <v>1158</v>
      </c>
      <c r="E14752" t="s">
        <v>1159</v>
      </c>
      <c r="F14752">
        <v>1781.61</v>
      </c>
      <c r="G14752">
        <v>230529</v>
      </c>
      <c r="H14752">
        <v>4430</v>
      </c>
      <c r="I14752" t="s">
        <v>1276</v>
      </c>
      <c r="J14752">
        <v>1875.38</v>
      </c>
      <c r="K14752">
        <v>93.77</v>
      </c>
      <c r="L14752">
        <v>11604</v>
      </c>
      <c r="M14752" t="s">
        <v>1277</v>
      </c>
      <c r="N14752" t="str">
        <f t="shared" si="205"/>
        <v xml:space="preserve">57020847    </v>
      </c>
      <c r="O14752">
        <v>230619</v>
      </c>
    </row>
    <row r="14753" spans="1:15" x14ac:dyDescent="0.25">
      <c r="A14753" t="s">
        <v>16</v>
      </c>
      <c r="B14753" t="s">
        <v>3221</v>
      </c>
      <c r="C14753">
        <v>8916</v>
      </c>
      <c r="D14753" t="s">
        <v>1158</v>
      </c>
      <c r="E14753" t="s">
        <v>1159</v>
      </c>
      <c r="F14753">
        <v>155.16</v>
      </c>
      <c r="G14753">
        <v>230529</v>
      </c>
      <c r="H14753">
        <v>4430</v>
      </c>
      <c r="I14753" t="s">
        <v>1276</v>
      </c>
      <c r="J14753">
        <v>192.4</v>
      </c>
      <c r="K14753">
        <v>37.24</v>
      </c>
      <c r="L14753">
        <v>11604</v>
      </c>
      <c r="M14753" t="s">
        <v>1277</v>
      </c>
      <c r="N14753" t="str">
        <f t="shared" si="205"/>
        <v xml:space="preserve">57020847    </v>
      </c>
      <c r="O14753">
        <v>230619</v>
      </c>
    </row>
    <row r="14754" spans="1:15" x14ac:dyDescent="0.25">
      <c r="A14754" t="s">
        <v>16</v>
      </c>
      <c r="B14754" t="s">
        <v>3221</v>
      </c>
      <c r="C14754">
        <v>8916</v>
      </c>
      <c r="D14754" t="s">
        <v>1158</v>
      </c>
      <c r="E14754" t="s">
        <v>1159</v>
      </c>
      <c r="F14754">
        <v>13928.83</v>
      </c>
      <c r="G14754">
        <v>230529</v>
      </c>
      <c r="H14754">
        <v>4430</v>
      </c>
      <c r="I14754" t="s">
        <v>1276</v>
      </c>
      <c r="J14754">
        <v>14661.92</v>
      </c>
      <c r="K14754">
        <v>733.09</v>
      </c>
      <c r="L14754">
        <v>11604</v>
      </c>
      <c r="M14754" t="s">
        <v>1277</v>
      </c>
      <c r="N14754" t="str">
        <f t="shared" si="205"/>
        <v xml:space="preserve">57020847    </v>
      </c>
      <c r="O14754">
        <v>230619</v>
      </c>
    </row>
    <row r="14755" spans="1:15" x14ac:dyDescent="0.25">
      <c r="A14755" t="s">
        <v>16</v>
      </c>
      <c r="B14755" t="s">
        <v>3221</v>
      </c>
      <c r="C14755">
        <v>8916</v>
      </c>
      <c r="D14755" t="s">
        <v>1158</v>
      </c>
      <c r="E14755" t="s">
        <v>1159</v>
      </c>
      <c r="F14755">
        <v>2150.94</v>
      </c>
      <c r="G14755">
        <v>230529</v>
      </c>
      <c r="H14755">
        <v>4430</v>
      </c>
      <c r="I14755" t="s">
        <v>1276</v>
      </c>
      <c r="J14755">
        <v>2264.15</v>
      </c>
      <c r="K14755">
        <v>113.21</v>
      </c>
      <c r="L14755">
        <v>11604</v>
      </c>
      <c r="M14755" t="s">
        <v>1277</v>
      </c>
      <c r="N14755" t="str">
        <f t="shared" si="205"/>
        <v xml:space="preserve">57020847    </v>
      </c>
      <c r="O14755">
        <v>230619</v>
      </c>
    </row>
    <row r="14756" spans="1:15" x14ac:dyDescent="0.25">
      <c r="A14756" t="s">
        <v>16</v>
      </c>
      <c r="B14756" t="s">
        <v>3221</v>
      </c>
      <c r="C14756">
        <v>8916</v>
      </c>
      <c r="D14756" t="s">
        <v>1158</v>
      </c>
      <c r="E14756" t="s">
        <v>1159</v>
      </c>
      <c r="F14756">
        <v>407.55</v>
      </c>
      <c r="G14756">
        <v>230529</v>
      </c>
      <c r="H14756">
        <v>4430</v>
      </c>
      <c r="I14756" t="s">
        <v>1276</v>
      </c>
      <c r="J14756">
        <v>429</v>
      </c>
      <c r="K14756">
        <v>21.45</v>
      </c>
      <c r="L14756">
        <v>11604</v>
      </c>
      <c r="M14756" t="s">
        <v>1277</v>
      </c>
      <c r="N14756" t="str">
        <f t="shared" si="205"/>
        <v xml:space="preserve">57020847    </v>
      </c>
      <c r="O14756">
        <v>230619</v>
      </c>
    </row>
    <row r="14757" spans="1:15" x14ac:dyDescent="0.25">
      <c r="A14757" t="s">
        <v>16</v>
      </c>
      <c r="B14757" t="s">
        <v>3221</v>
      </c>
      <c r="C14757">
        <v>8916</v>
      </c>
      <c r="D14757" t="s">
        <v>1158</v>
      </c>
      <c r="E14757" t="s">
        <v>1159</v>
      </c>
      <c r="F14757">
        <v>685.49</v>
      </c>
      <c r="G14757">
        <v>230529</v>
      </c>
      <c r="H14757">
        <v>4430</v>
      </c>
      <c r="I14757" t="s">
        <v>1276</v>
      </c>
      <c r="J14757">
        <v>850.01</v>
      </c>
      <c r="K14757">
        <v>164.52</v>
      </c>
      <c r="L14757">
        <v>11604</v>
      </c>
      <c r="M14757" t="s">
        <v>1277</v>
      </c>
      <c r="N14757" t="str">
        <f t="shared" si="205"/>
        <v xml:space="preserve">57020847    </v>
      </c>
      <c r="O14757">
        <v>230619</v>
      </c>
    </row>
    <row r="14758" spans="1:15" x14ac:dyDescent="0.25">
      <c r="A14758" t="s">
        <v>16</v>
      </c>
      <c r="B14758" t="s">
        <v>3221</v>
      </c>
      <c r="C14758">
        <v>8916</v>
      </c>
      <c r="D14758" t="s">
        <v>1158</v>
      </c>
      <c r="E14758" t="s">
        <v>1159</v>
      </c>
      <c r="F14758">
        <v>3642.66</v>
      </c>
      <c r="G14758">
        <v>230529</v>
      </c>
      <c r="H14758">
        <v>4430</v>
      </c>
      <c r="I14758" t="s">
        <v>1276</v>
      </c>
      <c r="J14758">
        <v>3834.38</v>
      </c>
      <c r="K14758">
        <v>191.72</v>
      </c>
      <c r="L14758">
        <v>11604</v>
      </c>
      <c r="M14758" t="s">
        <v>1277</v>
      </c>
      <c r="N14758" t="str">
        <f t="shared" si="205"/>
        <v xml:space="preserve">57020847    </v>
      </c>
      <c r="O14758">
        <v>230619</v>
      </c>
    </row>
    <row r="14759" spans="1:15" x14ac:dyDescent="0.25">
      <c r="A14759" t="s">
        <v>16</v>
      </c>
      <c r="B14759" t="s">
        <v>3221</v>
      </c>
      <c r="C14759">
        <v>8916</v>
      </c>
      <c r="D14759" t="s">
        <v>1158</v>
      </c>
      <c r="E14759" t="s">
        <v>1159</v>
      </c>
      <c r="F14759">
        <v>1928.46</v>
      </c>
      <c r="G14759">
        <v>230529</v>
      </c>
      <c r="H14759">
        <v>4430</v>
      </c>
      <c r="I14759" t="s">
        <v>1276</v>
      </c>
      <c r="J14759">
        <v>2029.96</v>
      </c>
      <c r="K14759">
        <v>101.5</v>
      </c>
      <c r="L14759">
        <v>11604</v>
      </c>
      <c r="M14759" t="s">
        <v>1277</v>
      </c>
      <c r="N14759" t="str">
        <f t="shared" si="205"/>
        <v xml:space="preserve">57020847    </v>
      </c>
      <c r="O14759">
        <v>230619</v>
      </c>
    </row>
    <row r="14760" spans="1:15" x14ac:dyDescent="0.25">
      <c r="A14760" t="s">
        <v>16</v>
      </c>
      <c r="B14760" t="s">
        <v>3221</v>
      </c>
      <c r="C14760">
        <v>8916</v>
      </c>
      <c r="D14760" t="s">
        <v>1158</v>
      </c>
      <c r="E14760" t="s">
        <v>1159</v>
      </c>
      <c r="F14760">
        <v>481.77</v>
      </c>
      <c r="G14760">
        <v>230529</v>
      </c>
      <c r="H14760">
        <v>4430</v>
      </c>
      <c r="I14760" t="s">
        <v>1276</v>
      </c>
      <c r="J14760">
        <v>507.13</v>
      </c>
      <c r="K14760">
        <v>25.36</v>
      </c>
      <c r="L14760">
        <v>11604</v>
      </c>
      <c r="M14760" t="s">
        <v>1277</v>
      </c>
      <c r="N14760" t="str">
        <f t="shared" si="205"/>
        <v xml:space="preserve">57020847    </v>
      </c>
      <c r="O14760">
        <v>230619</v>
      </c>
    </row>
    <row r="14761" spans="1:15" x14ac:dyDescent="0.25">
      <c r="A14761" t="s">
        <v>16</v>
      </c>
      <c r="B14761" t="s">
        <v>3221</v>
      </c>
      <c r="C14761">
        <v>8962</v>
      </c>
      <c r="D14761" t="s">
        <v>1158</v>
      </c>
      <c r="E14761" t="s">
        <v>1159</v>
      </c>
      <c r="F14761">
        <v>155.16</v>
      </c>
      <c r="G14761">
        <v>230612</v>
      </c>
      <c r="H14761">
        <v>4430</v>
      </c>
      <c r="I14761" t="s">
        <v>1276</v>
      </c>
      <c r="J14761">
        <v>192.4</v>
      </c>
      <c r="K14761">
        <v>37.24</v>
      </c>
      <c r="L14761">
        <v>11604</v>
      </c>
      <c r="M14761" t="s">
        <v>1277</v>
      </c>
      <c r="N14761" t="str">
        <f>"57059352    "</f>
        <v xml:space="preserve">57059352    </v>
      </c>
      <c r="O14761">
        <v>230620</v>
      </c>
    </row>
    <row r="14762" spans="1:15" x14ac:dyDescent="0.25">
      <c r="A14762" t="s">
        <v>16</v>
      </c>
      <c r="B14762" t="s">
        <v>3221</v>
      </c>
      <c r="C14762">
        <v>9467</v>
      </c>
      <c r="D14762" t="s">
        <v>1158</v>
      </c>
      <c r="E14762" t="s">
        <v>1159</v>
      </c>
      <c r="F14762">
        <v>35</v>
      </c>
      <c r="G14762">
        <v>230628</v>
      </c>
      <c r="H14762">
        <v>4430</v>
      </c>
      <c r="I14762" t="s">
        <v>1276</v>
      </c>
      <c r="J14762">
        <v>43.4</v>
      </c>
      <c r="K14762">
        <v>8.4</v>
      </c>
      <c r="L14762">
        <v>11604</v>
      </c>
      <c r="M14762" t="s">
        <v>1277</v>
      </c>
      <c r="N14762" t="str">
        <f t="shared" ref="N14762:N14771" si="206">"57117337    "</f>
        <v xml:space="preserve">57117337    </v>
      </c>
      <c r="O14762">
        <v>230711</v>
      </c>
    </row>
    <row r="14763" spans="1:15" x14ac:dyDescent="0.25">
      <c r="A14763" t="s">
        <v>16</v>
      </c>
      <c r="B14763" t="s">
        <v>3221</v>
      </c>
      <c r="C14763">
        <v>9467</v>
      </c>
      <c r="D14763" t="s">
        <v>1158</v>
      </c>
      <c r="E14763" t="s">
        <v>1159</v>
      </c>
      <c r="F14763">
        <v>824.43</v>
      </c>
      <c r="G14763">
        <v>230628</v>
      </c>
      <c r="H14763">
        <v>4430</v>
      </c>
      <c r="I14763" t="s">
        <v>1276</v>
      </c>
      <c r="J14763">
        <v>867.82</v>
      </c>
      <c r="K14763">
        <v>43.39</v>
      </c>
      <c r="L14763">
        <v>11604</v>
      </c>
      <c r="M14763" t="s">
        <v>1277</v>
      </c>
      <c r="N14763" t="str">
        <f t="shared" si="206"/>
        <v xml:space="preserve">57117337    </v>
      </c>
      <c r="O14763">
        <v>230711</v>
      </c>
    </row>
    <row r="14764" spans="1:15" x14ac:dyDescent="0.25">
      <c r="A14764" t="s">
        <v>16</v>
      </c>
      <c r="B14764" t="s">
        <v>3221</v>
      </c>
      <c r="C14764">
        <v>9467</v>
      </c>
      <c r="D14764" t="s">
        <v>1158</v>
      </c>
      <c r="E14764" t="s">
        <v>1159</v>
      </c>
      <c r="F14764">
        <v>2536.0300000000002</v>
      </c>
      <c r="G14764">
        <v>230628</v>
      </c>
      <c r="H14764">
        <v>4430</v>
      </c>
      <c r="I14764" t="s">
        <v>1276</v>
      </c>
      <c r="J14764">
        <v>2669.5</v>
      </c>
      <c r="K14764">
        <v>133.47</v>
      </c>
      <c r="L14764">
        <v>11604</v>
      </c>
      <c r="M14764" t="s">
        <v>1277</v>
      </c>
      <c r="N14764" t="str">
        <f t="shared" si="206"/>
        <v xml:space="preserve">57117337    </v>
      </c>
      <c r="O14764">
        <v>230711</v>
      </c>
    </row>
    <row r="14765" spans="1:15" x14ac:dyDescent="0.25">
      <c r="A14765" t="s">
        <v>16</v>
      </c>
      <c r="B14765" t="s">
        <v>3221</v>
      </c>
      <c r="C14765">
        <v>9467</v>
      </c>
      <c r="D14765" t="s">
        <v>1158</v>
      </c>
      <c r="E14765" t="s">
        <v>1159</v>
      </c>
      <c r="F14765">
        <v>1788.97</v>
      </c>
      <c r="G14765">
        <v>230628</v>
      </c>
      <c r="H14765">
        <v>4430</v>
      </c>
      <c r="I14765" t="s">
        <v>1276</v>
      </c>
      <c r="J14765">
        <v>1883.13</v>
      </c>
      <c r="K14765">
        <v>94.16</v>
      </c>
      <c r="L14765">
        <v>11604</v>
      </c>
      <c r="M14765" t="s">
        <v>1277</v>
      </c>
      <c r="N14765" t="str">
        <f t="shared" si="206"/>
        <v xml:space="preserve">57117337    </v>
      </c>
      <c r="O14765">
        <v>230711</v>
      </c>
    </row>
    <row r="14766" spans="1:15" x14ac:dyDescent="0.25">
      <c r="A14766" t="s">
        <v>16</v>
      </c>
      <c r="B14766" t="s">
        <v>3221</v>
      </c>
      <c r="C14766">
        <v>9467</v>
      </c>
      <c r="D14766" t="s">
        <v>1158</v>
      </c>
      <c r="E14766" t="s">
        <v>1159</v>
      </c>
      <c r="F14766">
        <v>1545.24</v>
      </c>
      <c r="G14766">
        <v>230628</v>
      </c>
      <c r="H14766">
        <v>4430</v>
      </c>
      <c r="I14766" t="s">
        <v>1276</v>
      </c>
      <c r="J14766">
        <v>1626.57</v>
      </c>
      <c r="K14766">
        <v>81.33</v>
      </c>
      <c r="L14766">
        <v>11604</v>
      </c>
      <c r="M14766" t="s">
        <v>1277</v>
      </c>
      <c r="N14766" t="str">
        <f t="shared" si="206"/>
        <v xml:space="preserve">57117337    </v>
      </c>
      <c r="O14766">
        <v>230711</v>
      </c>
    </row>
    <row r="14767" spans="1:15" x14ac:dyDescent="0.25">
      <c r="A14767" t="s">
        <v>16</v>
      </c>
      <c r="B14767" t="s">
        <v>3221</v>
      </c>
      <c r="C14767">
        <v>9467</v>
      </c>
      <c r="D14767" t="s">
        <v>1158</v>
      </c>
      <c r="E14767" t="s">
        <v>1159</v>
      </c>
      <c r="F14767">
        <v>10197.719999999999</v>
      </c>
      <c r="G14767">
        <v>230628</v>
      </c>
      <c r="H14767">
        <v>4430</v>
      </c>
      <c r="I14767" t="s">
        <v>1276</v>
      </c>
      <c r="J14767">
        <v>10734.44</v>
      </c>
      <c r="K14767">
        <v>536.72</v>
      </c>
      <c r="L14767">
        <v>11604</v>
      </c>
      <c r="M14767" t="s">
        <v>1277</v>
      </c>
      <c r="N14767" t="str">
        <f t="shared" si="206"/>
        <v xml:space="preserve">57117337    </v>
      </c>
      <c r="O14767">
        <v>230711</v>
      </c>
    </row>
    <row r="14768" spans="1:15" x14ac:dyDescent="0.25">
      <c r="A14768" t="s">
        <v>16</v>
      </c>
      <c r="B14768" t="s">
        <v>3221</v>
      </c>
      <c r="C14768">
        <v>9467</v>
      </c>
      <c r="D14768" t="s">
        <v>1158</v>
      </c>
      <c r="E14768" t="s">
        <v>1159</v>
      </c>
      <c r="F14768">
        <v>1537.53</v>
      </c>
      <c r="G14768">
        <v>230628</v>
      </c>
      <c r="H14768">
        <v>4430</v>
      </c>
      <c r="I14768" t="s">
        <v>1276</v>
      </c>
      <c r="J14768">
        <v>1618.45</v>
      </c>
      <c r="K14768">
        <v>80.92</v>
      </c>
      <c r="L14768">
        <v>11604</v>
      </c>
      <c r="M14768" t="s">
        <v>1277</v>
      </c>
      <c r="N14768" t="str">
        <f t="shared" si="206"/>
        <v xml:space="preserve">57117337    </v>
      </c>
      <c r="O14768">
        <v>230711</v>
      </c>
    </row>
    <row r="14769" spans="1:15" x14ac:dyDescent="0.25">
      <c r="A14769" t="s">
        <v>16</v>
      </c>
      <c r="B14769" t="s">
        <v>3221</v>
      </c>
      <c r="C14769">
        <v>9467</v>
      </c>
      <c r="D14769" t="s">
        <v>1158</v>
      </c>
      <c r="E14769" t="s">
        <v>1159</v>
      </c>
      <c r="F14769">
        <v>3354.82</v>
      </c>
      <c r="G14769">
        <v>230628</v>
      </c>
      <c r="H14769">
        <v>4430</v>
      </c>
      <c r="I14769" t="s">
        <v>1276</v>
      </c>
      <c r="J14769">
        <v>3531.39</v>
      </c>
      <c r="K14769">
        <v>176.57</v>
      </c>
      <c r="L14769">
        <v>11604</v>
      </c>
      <c r="M14769" t="s">
        <v>1277</v>
      </c>
      <c r="N14769" t="str">
        <f t="shared" si="206"/>
        <v xml:space="preserve">57117337    </v>
      </c>
      <c r="O14769">
        <v>230711</v>
      </c>
    </row>
    <row r="14770" spans="1:15" x14ac:dyDescent="0.25">
      <c r="A14770" t="s">
        <v>16</v>
      </c>
      <c r="B14770" t="s">
        <v>3221</v>
      </c>
      <c r="C14770">
        <v>9467</v>
      </c>
      <c r="D14770" t="s">
        <v>1158</v>
      </c>
      <c r="E14770" t="s">
        <v>1159</v>
      </c>
      <c r="F14770">
        <v>949.5</v>
      </c>
      <c r="G14770">
        <v>230628</v>
      </c>
      <c r="H14770">
        <v>4430</v>
      </c>
      <c r="I14770" t="s">
        <v>1276</v>
      </c>
      <c r="J14770">
        <v>999.47</v>
      </c>
      <c r="K14770">
        <v>49.97</v>
      </c>
      <c r="L14770">
        <v>11604</v>
      </c>
      <c r="M14770" t="s">
        <v>1277</v>
      </c>
      <c r="N14770" t="str">
        <f t="shared" si="206"/>
        <v xml:space="preserve">57117337    </v>
      </c>
      <c r="O14770">
        <v>230711</v>
      </c>
    </row>
    <row r="14771" spans="1:15" x14ac:dyDescent="0.25">
      <c r="A14771" t="s">
        <v>16</v>
      </c>
      <c r="B14771" t="s">
        <v>3221</v>
      </c>
      <c r="C14771">
        <v>9467</v>
      </c>
      <c r="D14771" t="s">
        <v>1158</v>
      </c>
      <c r="E14771" t="s">
        <v>1159</v>
      </c>
      <c r="F14771">
        <v>1036.78</v>
      </c>
      <c r="G14771">
        <v>230628</v>
      </c>
      <c r="H14771">
        <v>4430</v>
      </c>
      <c r="I14771" t="s">
        <v>1276</v>
      </c>
      <c r="J14771">
        <v>1091.3499999999999</v>
      </c>
      <c r="K14771">
        <v>54.57</v>
      </c>
      <c r="L14771">
        <v>11604</v>
      </c>
      <c r="M14771" t="s">
        <v>1277</v>
      </c>
      <c r="N14771" t="str">
        <f t="shared" si="206"/>
        <v xml:space="preserve">57117337    </v>
      </c>
      <c r="O14771">
        <v>230711</v>
      </c>
    </row>
    <row r="14772" spans="1:15" x14ac:dyDescent="0.25">
      <c r="A14772" t="s">
        <v>16</v>
      </c>
      <c r="B14772" t="s">
        <v>3221</v>
      </c>
      <c r="C14772">
        <v>10293</v>
      </c>
      <c r="D14772" t="s">
        <v>1158</v>
      </c>
      <c r="E14772" t="s">
        <v>1159</v>
      </c>
      <c r="F14772">
        <v>576.98</v>
      </c>
      <c r="G14772">
        <v>230727</v>
      </c>
      <c r="H14772">
        <v>4430</v>
      </c>
      <c r="I14772" t="s">
        <v>1276</v>
      </c>
      <c r="J14772">
        <v>607.35</v>
      </c>
      <c r="K14772">
        <v>30.37</v>
      </c>
      <c r="L14772">
        <v>11604</v>
      </c>
      <c r="M14772" t="s">
        <v>1277</v>
      </c>
      <c r="N14772" t="str">
        <f t="shared" ref="N14772:N14785" si="207">"57181372    "</f>
        <v xml:space="preserve">57181372    </v>
      </c>
      <c r="O14772">
        <v>230814</v>
      </c>
    </row>
    <row r="14773" spans="1:15" x14ac:dyDescent="0.25">
      <c r="A14773" t="s">
        <v>16</v>
      </c>
      <c r="B14773" t="s">
        <v>3221</v>
      </c>
      <c r="C14773">
        <v>10293</v>
      </c>
      <c r="D14773" t="s">
        <v>1158</v>
      </c>
      <c r="E14773" t="s">
        <v>1159</v>
      </c>
      <c r="F14773">
        <v>70</v>
      </c>
      <c r="G14773">
        <v>230727</v>
      </c>
      <c r="H14773">
        <v>4430</v>
      </c>
      <c r="I14773" t="s">
        <v>1276</v>
      </c>
      <c r="J14773">
        <v>86.8</v>
      </c>
      <c r="K14773">
        <v>16.8</v>
      </c>
      <c r="L14773">
        <v>11604</v>
      </c>
      <c r="M14773" t="s">
        <v>1277</v>
      </c>
      <c r="N14773" t="str">
        <f t="shared" si="207"/>
        <v xml:space="preserve">57181372    </v>
      </c>
      <c r="O14773">
        <v>230814</v>
      </c>
    </row>
    <row r="14774" spans="1:15" x14ac:dyDescent="0.25">
      <c r="A14774" t="s">
        <v>16</v>
      </c>
      <c r="B14774" t="s">
        <v>3221</v>
      </c>
      <c r="C14774">
        <v>10293</v>
      </c>
      <c r="D14774" t="s">
        <v>1158</v>
      </c>
      <c r="E14774" t="s">
        <v>1159</v>
      </c>
      <c r="F14774">
        <v>2472.63</v>
      </c>
      <c r="G14774">
        <v>230727</v>
      </c>
      <c r="H14774">
        <v>4430</v>
      </c>
      <c r="I14774" t="s">
        <v>1276</v>
      </c>
      <c r="J14774">
        <v>2602.77</v>
      </c>
      <c r="K14774">
        <v>130.13999999999999</v>
      </c>
      <c r="L14774">
        <v>11604</v>
      </c>
      <c r="M14774" t="s">
        <v>1277</v>
      </c>
      <c r="N14774" t="str">
        <f t="shared" si="207"/>
        <v xml:space="preserve">57181372    </v>
      </c>
      <c r="O14774">
        <v>230814</v>
      </c>
    </row>
    <row r="14775" spans="1:15" x14ac:dyDescent="0.25">
      <c r="A14775" t="s">
        <v>16</v>
      </c>
      <c r="B14775" t="s">
        <v>3221</v>
      </c>
      <c r="C14775">
        <v>10293</v>
      </c>
      <c r="D14775" t="s">
        <v>1158</v>
      </c>
      <c r="E14775" t="s">
        <v>1159</v>
      </c>
      <c r="F14775">
        <v>155.16</v>
      </c>
      <c r="G14775">
        <v>230727</v>
      </c>
      <c r="H14775">
        <v>4430</v>
      </c>
      <c r="I14775" t="s">
        <v>1276</v>
      </c>
      <c r="J14775">
        <v>192.4</v>
      </c>
      <c r="K14775">
        <v>37.24</v>
      </c>
      <c r="L14775">
        <v>11604</v>
      </c>
      <c r="M14775" t="s">
        <v>1277</v>
      </c>
      <c r="N14775" t="str">
        <f t="shared" si="207"/>
        <v xml:space="preserve">57181372    </v>
      </c>
      <c r="O14775">
        <v>230814</v>
      </c>
    </row>
    <row r="14776" spans="1:15" x14ac:dyDescent="0.25">
      <c r="A14776" t="s">
        <v>16</v>
      </c>
      <c r="B14776" t="s">
        <v>3221</v>
      </c>
      <c r="C14776">
        <v>10293</v>
      </c>
      <c r="D14776" t="s">
        <v>1158</v>
      </c>
      <c r="E14776" t="s">
        <v>1159</v>
      </c>
      <c r="F14776">
        <v>760.33</v>
      </c>
      <c r="G14776">
        <v>230727</v>
      </c>
      <c r="H14776">
        <v>4430</v>
      </c>
      <c r="I14776" t="s">
        <v>1276</v>
      </c>
      <c r="J14776">
        <v>800.35</v>
      </c>
      <c r="K14776">
        <v>40.020000000000003</v>
      </c>
      <c r="L14776">
        <v>11604</v>
      </c>
      <c r="M14776" t="s">
        <v>1277</v>
      </c>
      <c r="N14776" t="str">
        <f t="shared" si="207"/>
        <v xml:space="preserve">57181372    </v>
      </c>
      <c r="O14776">
        <v>230814</v>
      </c>
    </row>
    <row r="14777" spans="1:15" x14ac:dyDescent="0.25">
      <c r="A14777" t="s">
        <v>16</v>
      </c>
      <c r="B14777" t="s">
        <v>3221</v>
      </c>
      <c r="C14777">
        <v>10293</v>
      </c>
      <c r="D14777" t="s">
        <v>1158</v>
      </c>
      <c r="E14777" t="s">
        <v>1159</v>
      </c>
      <c r="F14777">
        <v>60.81</v>
      </c>
      <c r="G14777">
        <v>230727</v>
      </c>
      <c r="H14777">
        <v>4430</v>
      </c>
      <c r="I14777" t="s">
        <v>1276</v>
      </c>
      <c r="J14777">
        <v>75.400000000000006</v>
      </c>
      <c r="K14777">
        <v>14.59</v>
      </c>
      <c r="L14777">
        <v>11604</v>
      </c>
      <c r="M14777" t="s">
        <v>1277</v>
      </c>
      <c r="N14777" t="str">
        <f t="shared" si="207"/>
        <v xml:space="preserve">57181372    </v>
      </c>
      <c r="O14777">
        <v>230814</v>
      </c>
    </row>
    <row r="14778" spans="1:15" x14ac:dyDescent="0.25">
      <c r="A14778" t="s">
        <v>16</v>
      </c>
      <c r="B14778" t="s">
        <v>3221</v>
      </c>
      <c r="C14778">
        <v>10293</v>
      </c>
      <c r="D14778" t="s">
        <v>1158</v>
      </c>
      <c r="E14778" t="s">
        <v>1159</v>
      </c>
      <c r="F14778">
        <v>4828.8900000000003</v>
      </c>
      <c r="G14778">
        <v>230727</v>
      </c>
      <c r="H14778">
        <v>4430</v>
      </c>
      <c r="I14778" t="s">
        <v>1276</v>
      </c>
      <c r="J14778">
        <v>5083.04</v>
      </c>
      <c r="K14778">
        <v>254.15</v>
      </c>
      <c r="L14778">
        <v>11604</v>
      </c>
      <c r="M14778" t="s">
        <v>1277</v>
      </c>
      <c r="N14778" t="str">
        <f t="shared" si="207"/>
        <v xml:space="preserve">57181372    </v>
      </c>
      <c r="O14778">
        <v>230814</v>
      </c>
    </row>
    <row r="14779" spans="1:15" x14ac:dyDescent="0.25">
      <c r="A14779" t="s">
        <v>16</v>
      </c>
      <c r="B14779" t="s">
        <v>3221</v>
      </c>
      <c r="C14779">
        <v>10293</v>
      </c>
      <c r="D14779" t="s">
        <v>1158</v>
      </c>
      <c r="E14779" t="s">
        <v>1159</v>
      </c>
      <c r="F14779">
        <v>38.79</v>
      </c>
      <c r="G14779">
        <v>230727</v>
      </c>
      <c r="H14779">
        <v>4430</v>
      </c>
      <c r="I14779" t="s">
        <v>1276</v>
      </c>
      <c r="J14779">
        <v>48.1</v>
      </c>
      <c r="K14779">
        <v>9.31</v>
      </c>
      <c r="L14779">
        <v>11604</v>
      </c>
      <c r="M14779" t="s">
        <v>1277</v>
      </c>
      <c r="N14779" t="str">
        <f t="shared" si="207"/>
        <v xml:space="preserve">57181372    </v>
      </c>
      <c r="O14779">
        <v>230814</v>
      </c>
    </row>
    <row r="14780" spans="1:15" x14ac:dyDescent="0.25">
      <c r="A14780" t="s">
        <v>16</v>
      </c>
      <c r="B14780" t="s">
        <v>3221</v>
      </c>
      <c r="C14780">
        <v>10293</v>
      </c>
      <c r="D14780" t="s">
        <v>1158</v>
      </c>
      <c r="E14780" t="s">
        <v>1159</v>
      </c>
      <c r="F14780">
        <v>2228.14</v>
      </c>
      <c r="G14780">
        <v>230727</v>
      </c>
      <c r="H14780">
        <v>4430</v>
      </c>
      <c r="I14780" t="s">
        <v>1276</v>
      </c>
      <c r="J14780">
        <v>2345.41</v>
      </c>
      <c r="K14780">
        <v>117.27</v>
      </c>
      <c r="L14780">
        <v>11604</v>
      </c>
      <c r="M14780" t="s">
        <v>1277</v>
      </c>
      <c r="N14780" t="str">
        <f t="shared" si="207"/>
        <v xml:space="preserve">57181372    </v>
      </c>
      <c r="O14780">
        <v>230814</v>
      </c>
    </row>
    <row r="14781" spans="1:15" x14ac:dyDescent="0.25">
      <c r="A14781" t="s">
        <v>16</v>
      </c>
      <c r="B14781" t="s">
        <v>3221</v>
      </c>
      <c r="C14781">
        <v>10293</v>
      </c>
      <c r="D14781" t="s">
        <v>1158</v>
      </c>
      <c r="E14781" t="s">
        <v>1159</v>
      </c>
      <c r="F14781">
        <v>478.42</v>
      </c>
      <c r="G14781">
        <v>230727</v>
      </c>
      <c r="H14781">
        <v>4430</v>
      </c>
      <c r="I14781" t="s">
        <v>1276</v>
      </c>
      <c r="J14781">
        <v>503.6</v>
      </c>
      <c r="K14781">
        <v>25.18</v>
      </c>
      <c r="L14781">
        <v>11604</v>
      </c>
      <c r="M14781" t="s">
        <v>1277</v>
      </c>
      <c r="N14781" t="str">
        <f t="shared" si="207"/>
        <v xml:space="preserve">57181372    </v>
      </c>
      <c r="O14781">
        <v>230814</v>
      </c>
    </row>
    <row r="14782" spans="1:15" x14ac:dyDescent="0.25">
      <c r="A14782" t="s">
        <v>16</v>
      </c>
      <c r="B14782" t="s">
        <v>3221</v>
      </c>
      <c r="C14782">
        <v>10293</v>
      </c>
      <c r="D14782" t="s">
        <v>1158</v>
      </c>
      <c r="E14782" t="s">
        <v>1159</v>
      </c>
      <c r="F14782">
        <v>654.08000000000004</v>
      </c>
      <c r="G14782">
        <v>230727</v>
      </c>
      <c r="H14782">
        <v>4430</v>
      </c>
      <c r="I14782" t="s">
        <v>1276</v>
      </c>
      <c r="J14782">
        <v>688.5</v>
      </c>
      <c r="K14782">
        <v>34.42</v>
      </c>
      <c r="L14782">
        <v>11604</v>
      </c>
      <c r="M14782" t="s">
        <v>1277</v>
      </c>
      <c r="N14782" t="str">
        <f t="shared" si="207"/>
        <v xml:space="preserve">57181372    </v>
      </c>
      <c r="O14782">
        <v>230814</v>
      </c>
    </row>
    <row r="14783" spans="1:15" x14ac:dyDescent="0.25">
      <c r="A14783" t="s">
        <v>16</v>
      </c>
      <c r="B14783" t="s">
        <v>3221</v>
      </c>
      <c r="C14783">
        <v>10293</v>
      </c>
      <c r="D14783" t="s">
        <v>1158</v>
      </c>
      <c r="E14783" t="s">
        <v>1159</v>
      </c>
      <c r="F14783">
        <v>3257.28</v>
      </c>
      <c r="G14783">
        <v>230727</v>
      </c>
      <c r="H14783">
        <v>4430</v>
      </c>
      <c r="I14783" t="s">
        <v>1276</v>
      </c>
      <c r="J14783">
        <v>3428.72</v>
      </c>
      <c r="K14783">
        <v>171.44</v>
      </c>
      <c r="L14783">
        <v>11604</v>
      </c>
      <c r="M14783" t="s">
        <v>1277</v>
      </c>
      <c r="N14783" t="str">
        <f t="shared" si="207"/>
        <v xml:space="preserve">57181372    </v>
      </c>
      <c r="O14783">
        <v>230814</v>
      </c>
    </row>
    <row r="14784" spans="1:15" x14ac:dyDescent="0.25">
      <c r="A14784" t="s">
        <v>16</v>
      </c>
      <c r="B14784" t="s">
        <v>3221</v>
      </c>
      <c r="C14784">
        <v>10293</v>
      </c>
      <c r="D14784" t="s">
        <v>1158</v>
      </c>
      <c r="E14784" t="s">
        <v>1159</v>
      </c>
      <c r="F14784">
        <v>618.96</v>
      </c>
      <c r="G14784">
        <v>230727</v>
      </c>
      <c r="H14784">
        <v>4430</v>
      </c>
      <c r="I14784" t="s">
        <v>1276</v>
      </c>
      <c r="J14784">
        <v>651.54</v>
      </c>
      <c r="K14784">
        <v>32.58</v>
      </c>
      <c r="L14784">
        <v>11604</v>
      </c>
      <c r="M14784" t="s">
        <v>1277</v>
      </c>
      <c r="N14784" t="str">
        <f t="shared" si="207"/>
        <v xml:space="preserve">57181372    </v>
      </c>
      <c r="O14784">
        <v>230814</v>
      </c>
    </row>
    <row r="14785" spans="1:15" x14ac:dyDescent="0.25">
      <c r="A14785" t="s">
        <v>16</v>
      </c>
      <c r="B14785" t="s">
        <v>3221</v>
      </c>
      <c r="C14785">
        <v>10293</v>
      </c>
      <c r="D14785" t="s">
        <v>1158</v>
      </c>
      <c r="E14785" t="s">
        <v>1159</v>
      </c>
      <c r="F14785">
        <v>466.31</v>
      </c>
      <c r="G14785">
        <v>230727</v>
      </c>
      <c r="H14785">
        <v>4430</v>
      </c>
      <c r="I14785" t="s">
        <v>1276</v>
      </c>
      <c r="J14785">
        <v>490.85</v>
      </c>
      <c r="K14785">
        <v>24.54</v>
      </c>
      <c r="L14785">
        <v>11604</v>
      </c>
      <c r="M14785" t="s">
        <v>1277</v>
      </c>
      <c r="N14785" t="str">
        <f t="shared" si="207"/>
        <v xml:space="preserve">57181372    </v>
      </c>
      <c r="O14785">
        <v>230814</v>
      </c>
    </row>
    <row r="14786" spans="1:15" x14ac:dyDescent="0.25">
      <c r="A14786" t="s">
        <v>16</v>
      </c>
      <c r="B14786" t="s">
        <v>3221</v>
      </c>
      <c r="C14786">
        <v>12270</v>
      </c>
      <c r="D14786" t="s">
        <v>1158</v>
      </c>
      <c r="E14786" t="s">
        <v>1159</v>
      </c>
      <c r="F14786">
        <v>180.88</v>
      </c>
      <c r="G14786">
        <v>230829</v>
      </c>
      <c r="H14786">
        <v>4430</v>
      </c>
      <c r="I14786" t="s">
        <v>1276</v>
      </c>
      <c r="J14786">
        <v>190.4</v>
      </c>
      <c r="K14786">
        <v>9.52</v>
      </c>
      <c r="L14786">
        <v>11604</v>
      </c>
      <c r="M14786" t="s">
        <v>1277</v>
      </c>
      <c r="N14786" t="str">
        <f t="shared" ref="N14786:N14800" si="208">"57277466    "</f>
        <v xml:space="preserve">57277466    </v>
      </c>
      <c r="O14786">
        <v>230918</v>
      </c>
    </row>
    <row r="14787" spans="1:15" x14ac:dyDescent="0.25">
      <c r="A14787" t="s">
        <v>16</v>
      </c>
      <c r="B14787" t="s">
        <v>3221</v>
      </c>
      <c r="C14787">
        <v>12270</v>
      </c>
      <c r="D14787" t="s">
        <v>1158</v>
      </c>
      <c r="E14787" t="s">
        <v>1159</v>
      </c>
      <c r="F14787">
        <v>35</v>
      </c>
      <c r="G14787">
        <v>230829</v>
      </c>
      <c r="H14787">
        <v>4430</v>
      </c>
      <c r="I14787" t="s">
        <v>1276</v>
      </c>
      <c r="J14787">
        <v>43.4</v>
      </c>
      <c r="K14787">
        <v>8.4</v>
      </c>
      <c r="L14787">
        <v>11604</v>
      </c>
      <c r="M14787" t="s">
        <v>1277</v>
      </c>
      <c r="N14787" t="str">
        <f t="shared" si="208"/>
        <v xml:space="preserve">57277466    </v>
      </c>
      <c r="O14787">
        <v>230918</v>
      </c>
    </row>
    <row r="14788" spans="1:15" x14ac:dyDescent="0.25">
      <c r="A14788" t="s">
        <v>16</v>
      </c>
      <c r="B14788" t="s">
        <v>3221</v>
      </c>
      <c r="C14788">
        <v>12270</v>
      </c>
      <c r="D14788" t="s">
        <v>1158</v>
      </c>
      <c r="E14788" t="s">
        <v>1159</v>
      </c>
      <c r="F14788">
        <v>599.83000000000004</v>
      </c>
      <c r="G14788">
        <v>230829</v>
      </c>
      <c r="H14788">
        <v>4430</v>
      </c>
      <c r="I14788" t="s">
        <v>1276</v>
      </c>
      <c r="J14788">
        <v>631.4</v>
      </c>
      <c r="K14788">
        <v>31.57</v>
      </c>
      <c r="L14788">
        <v>11604</v>
      </c>
      <c r="M14788" t="s">
        <v>1277</v>
      </c>
      <c r="N14788" t="str">
        <f t="shared" si="208"/>
        <v xml:space="preserve">57277466    </v>
      </c>
      <c r="O14788">
        <v>230918</v>
      </c>
    </row>
    <row r="14789" spans="1:15" x14ac:dyDescent="0.25">
      <c r="A14789" t="s">
        <v>16</v>
      </c>
      <c r="B14789" t="s">
        <v>3221</v>
      </c>
      <c r="C14789">
        <v>12270</v>
      </c>
      <c r="D14789" t="s">
        <v>1158</v>
      </c>
      <c r="E14789" t="s">
        <v>1159</v>
      </c>
      <c r="F14789">
        <v>155.16</v>
      </c>
      <c r="G14789">
        <v>230829</v>
      </c>
      <c r="H14789">
        <v>4430</v>
      </c>
      <c r="I14789" t="s">
        <v>1276</v>
      </c>
      <c r="J14789">
        <v>192.4</v>
      </c>
      <c r="K14789">
        <v>37.24</v>
      </c>
      <c r="L14789">
        <v>11604</v>
      </c>
      <c r="M14789" t="s">
        <v>1277</v>
      </c>
      <c r="N14789" t="str">
        <f t="shared" si="208"/>
        <v xml:space="preserve">57277466    </v>
      </c>
      <c r="O14789">
        <v>230918</v>
      </c>
    </row>
    <row r="14790" spans="1:15" x14ac:dyDescent="0.25">
      <c r="A14790" t="s">
        <v>16</v>
      </c>
      <c r="B14790" t="s">
        <v>3221</v>
      </c>
      <c r="C14790">
        <v>12270</v>
      </c>
      <c r="D14790" t="s">
        <v>1158</v>
      </c>
      <c r="E14790" t="s">
        <v>1159</v>
      </c>
      <c r="F14790">
        <v>2548.83</v>
      </c>
      <c r="G14790">
        <v>230829</v>
      </c>
      <c r="H14790">
        <v>4430</v>
      </c>
      <c r="I14790" t="s">
        <v>1276</v>
      </c>
      <c r="J14790">
        <v>2682.98</v>
      </c>
      <c r="K14790">
        <v>134.15</v>
      </c>
      <c r="L14790">
        <v>11604</v>
      </c>
      <c r="M14790" t="s">
        <v>1277</v>
      </c>
      <c r="N14790" t="str">
        <f t="shared" si="208"/>
        <v xml:space="preserve">57277466    </v>
      </c>
      <c r="O14790">
        <v>230918</v>
      </c>
    </row>
    <row r="14791" spans="1:15" x14ac:dyDescent="0.25">
      <c r="A14791" t="s">
        <v>16</v>
      </c>
      <c r="B14791" t="s">
        <v>3221</v>
      </c>
      <c r="C14791">
        <v>12270</v>
      </c>
      <c r="D14791" t="s">
        <v>1158</v>
      </c>
      <c r="E14791" t="s">
        <v>1159</v>
      </c>
      <c r="F14791">
        <v>9.68</v>
      </c>
      <c r="G14791">
        <v>230829</v>
      </c>
      <c r="H14791">
        <v>4430</v>
      </c>
      <c r="I14791" t="s">
        <v>1276</v>
      </c>
      <c r="J14791">
        <v>12</v>
      </c>
      <c r="K14791">
        <v>2.3199999999999998</v>
      </c>
      <c r="L14791">
        <v>11604</v>
      </c>
      <c r="M14791" t="s">
        <v>1277</v>
      </c>
      <c r="N14791" t="str">
        <f t="shared" si="208"/>
        <v xml:space="preserve">57277466    </v>
      </c>
      <c r="O14791">
        <v>230918</v>
      </c>
    </row>
    <row r="14792" spans="1:15" x14ac:dyDescent="0.25">
      <c r="A14792" t="s">
        <v>16</v>
      </c>
      <c r="B14792" t="s">
        <v>3221</v>
      </c>
      <c r="C14792">
        <v>12270</v>
      </c>
      <c r="D14792" t="s">
        <v>1158</v>
      </c>
      <c r="E14792" t="s">
        <v>1159</v>
      </c>
      <c r="F14792">
        <v>3616.81</v>
      </c>
      <c r="G14792">
        <v>230829</v>
      </c>
      <c r="H14792">
        <v>4430</v>
      </c>
      <c r="I14792" t="s">
        <v>1276</v>
      </c>
      <c r="J14792">
        <v>3807.17</v>
      </c>
      <c r="K14792">
        <v>190.36</v>
      </c>
      <c r="L14792">
        <v>11604</v>
      </c>
      <c r="M14792" t="s">
        <v>1277</v>
      </c>
      <c r="N14792" t="str">
        <f t="shared" si="208"/>
        <v xml:space="preserve">57277466    </v>
      </c>
      <c r="O14792">
        <v>230918</v>
      </c>
    </row>
    <row r="14793" spans="1:15" x14ac:dyDescent="0.25">
      <c r="A14793" t="s">
        <v>16</v>
      </c>
      <c r="B14793" t="s">
        <v>3221</v>
      </c>
      <c r="C14793">
        <v>12270</v>
      </c>
      <c r="D14793" t="s">
        <v>1158</v>
      </c>
      <c r="E14793" t="s">
        <v>1159</v>
      </c>
      <c r="F14793">
        <v>155.16</v>
      </c>
      <c r="G14793">
        <v>230829</v>
      </c>
      <c r="H14793">
        <v>4430</v>
      </c>
      <c r="I14793" t="s">
        <v>1276</v>
      </c>
      <c r="J14793">
        <v>192.4</v>
      </c>
      <c r="K14793">
        <v>37.24</v>
      </c>
      <c r="L14793">
        <v>11604</v>
      </c>
      <c r="M14793" t="s">
        <v>1277</v>
      </c>
      <c r="N14793" t="str">
        <f t="shared" si="208"/>
        <v xml:space="preserve">57277466    </v>
      </c>
      <c r="O14793">
        <v>230918</v>
      </c>
    </row>
    <row r="14794" spans="1:15" x14ac:dyDescent="0.25">
      <c r="A14794" t="s">
        <v>16</v>
      </c>
      <c r="B14794" t="s">
        <v>3221</v>
      </c>
      <c r="C14794">
        <v>12270</v>
      </c>
      <c r="D14794" t="s">
        <v>1158</v>
      </c>
      <c r="E14794" t="s">
        <v>1159</v>
      </c>
      <c r="F14794">
        <v>7260.05</v>
      </c>
      <c r="G14794">
        <v>230829</v>
      </c>
      <c r="H14794">
        <v>4430</v>
      </c>
      <c r="I14794" t="s">
        <v>1276</v>
      </c>
      <c r="J14794">
        <v>7642.16</v>
      </c>
      <c r="K14794">
        <v>382.11</v>
      </c>
      <c r="L14794">
        <v>11604</v>
      </c>
      <c r="M14794" t="s">
        <v>1277</v>
      </c>
      <c r="N14794" t="str">
        <f t="shared" si="208"/>
        <v xml:space="preserve">57277466    </v>
      </c>
      <c r="O14794">
        <v>230918</v>
      </c>
    </row>
    <row r="14795" spans="1:15" x14ac:dyDescent="0.25">
      <c r="A14795" t="s">
        <v>16</v>
      </c>
      <c r="B14795" t="s">
        <v>3221</v>
      </c>
      <c r="C14795">
        <v>12270</v>
      </c>
      <c r="D14795" t="s">
        <v>1158</v>
      </c>
      <c r="E14795" t="s">
        <v>1159</v>
      </c>
      <c r="F14795">
        <v>1311.78</v>
      </c>
      <c r="G14795">
        <v>230829</v>
      </c>
      <c r="H14795">
        <v>4430</v>
      </c>
      <c r="I14795" t="s">
        <v>1276</v>
      </c>
      <c r="J14795">
        <v>1380.82</v>
      </c>
      <c r="K14795">
        <v>69.040000000000006</v>
      </c>
      <c r="L14795">
        <v>11604</v>
      </c>
      <c r="M14795" t="s">
        <v>1277</v>
      </c>
      <c r="N14795" t="str">
        <f t="shared" si="208"/>
        <v xml:space="preserve">57277466    </v>
      </c>
      <c r="O14795">
        <v>230918</v>
      </c>
    </row>
    <row r="14796" spans="1:15" x14ac:dyDescent="0.25">
      <c r="A14796" t="s">
        <v>16</v>
      </c>
      <c r="B14796" t="s">
        <v>3221</v>
      </c>
      <c r="C14796">
        <v>12270</v>
      </c>
      <c r="D14796" t="s">
        <v>1158</v>
      </c>
      <c r="E14796" t="s">
        <v>1159</v>
      </c>
      <c r="F14796">
        <v>93.42</v>
      </c>
      <c r="G14796">
        <v>230829</v>
      </c>
      <c r="H14796">
        <v>4430</v>
      </c>
      <c r="I14796" t="s">
        <v>1276</v>
      </c>
      <c r="J14796">
        <v>98.34</v>
      </c>
      <c r="K14796">
        <v>4.92</v>
      </c>
      <c r="L14796">
        <v>11604</v>
      </c>
      <c r="M14796" t="s">
        <v>1277</v>
      </c>
      <c r="N14796" t="str">
        <f t="shared" si="208"/>
        <v xml:space="preserve">57277466    </v>
      </c>
      <c r="O14796">
        <v>230918</v>
      </c>
    </row>
    <row r="14797" spans="1:15" x14ac:dyDescent="0.25">
      <c r="A14797" t="s">
        <v>16</v>
      </c>
      <c r="B14797" t="s">
        <v>3221</v>
      </c>
      <c r="C14797">
        <v>12270</v>
      </c>
      <c r="D14797" t="s">
        <v>1158</v>
      </c>
      <c r="E14797" t="s">
        <v>1159</v>
      </c>
      <c r="F14797">
        <v>6587.57</v>
      </c>
      <c r="G14797">
        <v>230829</v>
      </c>
      <c r="H14797">
        <v>4430</v>
      </c>
      <c r="I14797" t="s">
        <v>1276</v>
      </c>
      <c r="J14797">
        <v>6934.28</v>
      </c>
      <c r="K14797">
        <v>346.71</v>
      </c>
      <c r="L14797">
        <v>11604</v>
      </c>
      <c r="M14797" t="s">
        <v>1277</v>
      </c>
      <c r="N14797" t="str">
        <f t="shared" si="208"/>
        <v xml:space="preserve">57277466    </v>
      </c>
      <c r="O14797">
        <v>230918</v>
      </c>
    </row>
    <row r="14798" spans="1:15" x14ac:dyDescent="0.25">
      <c r="A14798" t="s">
        <v>16</v>
      </c>
      <c r="B14798" t="s">
        <v>3221</v>
      </c>
      <c r="C14798">
        <v>12270</v>
      </c>
      <c r="D14798" t="s">
        <v>1158</v>
      </c>
      <c r="E14798" t="s">
        <v>1159</v>
      </c>
      <c r="F14798">
        <v>101.98</v>
      </c>
      <c r="G14798">
        <v>230829</v>
      </c>
      <c r="H14798">
        <v>4430</v>
      </c>
      <c r="I14798" t="s">
        <v>1276</v>
      </c>
      <c r="J14798">
        <v>126.45</v>
      </c>
      <c r="K14798">
        <v>24.47</v>
      </c>
      <c r="L14798">
        <v>11604</v>
      </c>
      <c r="M14798" t="s">
        <v>1277</v>
      </c>
      <c r="N14798" t="str">
        <f t="shared" si="208"/>
        <v xml:space="preserve">57277466    </v>
      </c>
      <c r="O14798">
        <v>230918</v>
      </c>
    </row>
    <row r="14799" spans="1:15" x14ac:dyDescent="0.25">
      <c r="A14799" t="s">
        <v>16</v>
      </c>
      <c r="B14799" t="s">
        <v>3221</v>
      </c>
      <c r="C14799">
        <v>12270</v>
      </c>
      <c r="D14799" t="s">
        <v>1158</v>
      </c>
      <c r="E14799" t="s">
        <v>1159</v>
      </c>
      <c r="F14799">
        <v>1484.39</v>
      </c>
      <c r="G14799">
        <v>230829</v>
      </c>
      <c r="H14799">
        <v>4430</v>
      </c>
      <c r="I14799" t="s">
        <v>1276</v>
      </c>
      <c r="J14799">
        <v>1562.52</v>
      </c>
      <c r="K14799">
        <v>78.13</v>
      </c>
      <c r="L14799">
        <v>11604</v>
      </c>
      <c r="M14799" t="s">
        <v>1277</v>
      </c>
      <c r="N14799" t="str">
        <f t="shared" si="208"/>
        <v xml:space="preserve">57277466    </v>
      </c>
      <c r="O14799">
        <v>230918</v>
      </c>
    </row>
    <row r="14800" spans="1:15" x14ac:dyDescent="0.25">
      <c r="A14800" t="s">
        <v>16</v>
      </c>
      <c r="B14800" t="s">
        <v>3221</v>
      </c>
      <c r="C14800">
        <v>12270</v>
      </c>
      <c r="D14800" t="s">
        <v>1158</v>
      </c>
      <c r="E14800" t="s">
        <v>1159</v>
      </c>
      <c r="F14800">
        <v>750.29</v>
      </c>
      <c r="G14800">
        <v>230829</v>
      </c>
      <c r="H14800">
        <v>4430</v>
      </c>
      <c r="I14800" t="s">
        <v>1276</v>
      </c>
      <c r="J14800">
        <v>789.78</v>
      </c>
      <c r="K14800">
        <v>39.49</v>
      </c>
      <c r="L14800">
        <v>11604</v>
      </c>
      <c r="M14800" t="s">
        <v>1277</v>
      </c>
      <c r="N14800" t="str">
        <f t="shared" si="208"/>
        <v xml:space="preserve">57277466    </v>
      </c>
      <c r="O14800">
        <v>230918</v>
      </c>
    </row>
    <row r="14801" spans="1:15" x14ac:dyDescent="0.25">
      <c r="A14801" t="s">
        <v>16</v>
      </c>
      <c r="B14801" t="s">
        <v>3221</v>
      </c>
      <c r="C14801">
        <v>13607</v>
      </c>
      <c r="D14801" t="s">
        <v>1158</v>
      </c>
      <c r="E14801" t="s">
        <v>1159</v>
      </c>
      <c r="F14801">
        <v>101.98</v>
      </c>
      <c r="G14801">
        <v>230927</v>
      </c>
      <c r="H14801">
        <v>4430</v>
      </c>
      <c r="I14801" t="s">
        <v>1276</v>
      </c>
      <c r="J14801">
        <v>126.45</v>
      </c>
      <c r="K14801">
        <v>24.47</v>
      </c>
      <c r="L14801">
        <v>11604</v>
      </c>
      <c r="M14801" t="s">
        <v>1277</v>
      </c>
      <c r="N14801" t="str">
        <f t="shared" ref="N14801:N14815" si="209">"57372178    "</f>
        <v xml:space="preserve">57372178    </v>
      </c>
      <c r="O14801">
        <v>231011</v>
      </c>
    </row>
    <row r="14802" spans="1:15" x14ac:dyDescent="0.25">
      <c r="A14802" t="s">
        <v>16</v>
      </c>
      <c r="B14802" t="s">
        <v>3221</v>
      </c>
      <c r="C14802">
        <v>13607</v>
      </c>
      <c r="D14802" t="s">
        <v>1158</v>
      </c>
      <c r="E14802" t="s">
        <v>1159</v>
      </c>
      <c r="F14802">
        <v>802.39</v>
      </c>
      <c r="G14802">
        <v>230927</v>
      </c>
      <c r="H14802">
        <v>4430</v>
      </c>
      <c r="I14802" t="s">
        <v>1276</v>
      </c>
      <c r="J14802">
        <v>844.62</v>
      </c>
      <c r="K14802">
        <v>42.23</v>
      </c>
      <c r="L14802">
        <v>11604</v>
      </c>
      <c r="M14802" t="s">
        <v>1277</v>
      </c>
      <c r="N14802" t="str">
        <f t="shared" si="209"/>
        <v xml:space="preserve">57372178    </v>
      </c>
      <c r="O14802">
        <v>231011</v>
      </c>
    </row>
    <row r="14803" spans="1:15" x14ac:dyDescent="0.25">
      <c r="A14803" t="s">
        <v>16</v>
      </c>
      <c r="B14803" t="s">
        <v>3221</v>
      </c>
      <c r="C14803">
        <v>13607</v>
      </c>
      <c r="D14803" t="s">
        <v>1158</v>
      </c>
      <c r="E14803" t="s">
        <v>1159</v>
      </c>
      <c r="F14803">
        <v>70</v>
      </c>
      <c r="G14803">
        <v>230927</v>
      </c>
      <c r="H14803">
        <v>4430</v>
      </c>
      <c r="I14803" t="s">
        <v>1276</v>
      </c>
      <c r="J14803">
        <v>86.8</v>
      </c>
      <c r="K14803">
        <v>16.8</v>
      </c>
      <c r="L14803">
        <v>11604</v>
      </c>
      <c r="M14803" t="s">
        <v>1277</v>
      </c>
      <c r="N14803" t="str">
        <f t="shared" si="209"/>
        <v xml:space="preserve">57372178    </v>
      </c>
      <c r="O14803">
        <v>231011</v>
      </c>
    </row>
    <row r="14804" spans="1:15" x14ac:dyDescent="0.25">
      <c r="A14804" t="s">
        <v>16</v>
      </c>
      <c r="B14804" t="s">
        <v>3221</v>
      </c>
      <c r="C14804">
        <v>13607</v>
      </c>
      <c r="D14804" t="s">
        <v>1158</v>
      </c>
      <c r="E14804" t="s">
        <v>1159</v>
      </c>
      <c r="F14804">
        <v>2373.4699999999998</v>
      </c>
      <c r="G14804">
        <v>230927</v>
      </c>
      <c r="H14804">
        <v>4430</v>
      </c>
      <c r="I14804" t="s">
        <v>1276</v>
      </c>
      <c r="J14804">
        <v>2498.39</v>
      </c>
      <c r="K14804">
        <v>124.92</v>
      </c>
      <c r="L14804">
        <v>11604</v>
      </c>
      <c r="M14804" t="s">
        <v>1277</v>
      </c>
      <c r="N14804" t="str">
        <f t="shared" si="209"/>
        <v xml:space="preserve">57372178    </v>
      </c>
      <c r="O14804">
        <v>231011</v>
      </c>
    </row>
    <row r="14805" spans="1:15" x14ac:dyDescent="0.25">
      <c r="A14805" t="s">
        <v>16</v>
      </c>
      <c r="B14805" t="s">
        <v>3221</v>
      </c>
      <c r="C14805">
        <v>13607</v>
      </c>
      <c r="D14805" t="s">
        <v>1158</v>
      </c>
      <c r="E14805" t="s">
        <v>1159</v>
      </c>
      <c r="F14805">
        <v>530.16</v>
      </c>
      <c r="G14805">
        <v>230927</v>
      </c>
      <c r="H14805">
        <v>4430</v>
      </c>
      <c r="I14805" t="s">
        <v>1276</v>
      </c>
      <c r="J14805">
        <v>657.4</v>
      </c>
      <c r="K14805">
        <v>127.24</v>
      </c>
      <c r="L14805">
        <v>11604</v>
      </c>
      <c r="M14805" t="s">
        <v>1277</v>
      </c>
      <c r="N14805" t="str">
        <f t="shared" si="209"/>
        <v xml:space="preserve">57372178    </v>
      </c>
      <c r="O14805">
        <v>231011</v>
      </c>
    </row>
    <row r="14806" spans="1:15" x14ac:dyDescent="0.25">
      <c r="A14806" t="s">
        <v>16</v>
      </c>
      <c r="B14806" t="s">
        <v>3221</v>
      </c>
      <c r="C14806">
        <v>13607</v>
      </c>
      <c r="D14806" t="s">
        <v>1158</v>
      </c>
      <c r="E14806" t="s">
        <v>1159</v>
      </c>
      <c r="F14806">
        <v>1644.41</v>
      </c>
      <c r="G14806">
        <v>230927</v>
      </c>
      <c r="H14806">
        <v>4430</v>
      </c>
      <c r="I14806" t="s">
        <v>1276</v>
      </c>
      <c r="J14806">
        <v>1730.96</v>
      </c>
      <c r="K14806">
        <v>86.55</v>
      </c>
      <c r="L14806">
        <v>11604</v>
      </c>
      <c r="M14806" t="s">
        <v>1277</v>
      </c>
      <c r="N14806" t="str">
        <f t="shared" si="209"/>
        <v xml:space="preserve">57372178    </v>
      </c>
      <c r="O14806">
        <v>231011</v>
      </c>
    </row>
    <row r="14807" spans="1:15" x14ac:dyDescent="0.25">
      <c r="A14807" t="s">
        <v>16</v>
      </c>
      <c r="B14807" t="s">
        <v>3221</v>
      </c>
      <c r="C14807">
        <v>13607</v>
      </c>
      <c r="D14807" t="s">
        <v>1158</v>
      </c>
      <c r="E14807" t="s">
        <v>1159</v>
      </c>
      <c r="F14807">
        <v>70</v>
      </c>
      <c r="G14807">
        <v>230927</v>
      </c>
      <c r="H14807">
        <v>4430</v>
      </c>
      <c r="I14807" t="s">
        <v>1276</v>
      </c>
      <c r="J14807">
        <v>86.8</v>
      </c>
      <c r="K14807">
        <v>16.8</v>
      </c>
      <c r="L14807">
        <v>11604</v>
      </c>
      <c r="M14807" t="s">
        <v>1277</v>
      </c>
      <c r="N14807" t="str">
        <f t="shared" si="209"/>
        <v xml:space="preserve">57372178    </v>
      </c>
      <c r="O14807">
        <v>231011</v>
      </c>
    </row>
    <row r="14808" spans="1:15" x14ac:dyDescent="0.25">
      <c r="A14808" t="s">
        <v>16</v>
      </c>
      <c r="B14808" t="s">
        <v>3221</v>
      </c>
      <c r="C14808">
        <v>13607</v>
      </c>
      <c r="D14808" t="s">
        <v>1158</v>
      </c>
      <c r="E14808" t="s">
        <v>1159</v>
      </c>
      <c r="F14808">
        <v>5444.36</v>
      </c>
      <c r="G14808">
        <v>230927</v>
      </c>
      <c r="H14808">
        <v>4430</v>
      </c>
      <c r="I14808" t="s">
        <v>1276</v>
      </c>
      <c r="J14808">
        <v>5730.91</v>
      </c>
      <c r="K14808">
        <v>286.55</v>
      </c>
      <c r="L14808">
        <v>11604</v>
      </c>
      <c r="M14808" t="s">
        <v>1277</v>
      </c>
      <c r="N14808" t="str">
        <f t="shared" si="209"/>
        <v xml:space="preserve">57372178    </v>
      </c>
      <c r="O14808">
        <v>231011</v>
      </c>
    </row>
    <row r="14809" spans="1:15" x14ac:dyDescent="0.25">
      <c r="A14809" t="s">
        <v>16</v>
      </c>
      <c r="B14809" t="s">
        <v>3221</v>
      </c>
      <c r="C14809">
        <v>13607</v>
      </c>
      <c r="D14809" t="s">
        <v>1158</v>
      </c>
      <c r="E14809" t="s">
        <v>1159</v>
      </c>
      <c r="F14809">
        <v>155.16</v>
      </c>
      <c r="G14809">
        <v>230927</v>
      </c>
      <c r="H14809">
        <v>4430</v>
      </c>
      <c r="I14809" t="s">
        <v>1276</v>
      </c>
      <c r="J14809">
        <v>192.4</v>
      </c>
      <c r="K14809">
        <v>37.24</v>
      </c>
      <c r="L14809">
        <v>11604</v>
      </c>
      <c r="M14809" t="s">
        <v>1277</v>
      </c>
      <c r="N14809" t="str">
        <f t="shared" si="209"/>
        <v xml:space="preserve">57372178    </v>
      </c>
      <c r="O14809">
        <v>231011</v>
      </c>
    </row>
    <row r="14810" spans="1:15" x14ac:dyDescent="0.25">
      <c r="A14810" t="s">
        <v>16</v>
      </c>
      <c r="B14810" t="s">
        <v>3221</v>
      </c>
      <c r="C14810">
        <v>13607</v>
      </c>
      <c r="D14810" t="s">
        <v>1158</v>
      </c>
      <c r="E14810" t="s">
        <v>1159</v>
      </c>
      <c r="F14810">
        <v>7680.55</v>
      </c>
      <c r="G14810">
        <v>230927</v>
      </c>
      <c r="H14810">
        <v>4430</v>
      </c>
      <c r="I14810" t="s">
        <v>1276</v>
      </c>
      <c r="J14810">
        <v>8084.79</v>
      </c>
      <c r="K14810">
        <v>404.24</v>
      </c>
      <c r="L14810">
        <v>11604</v>
      </c>
      <c r="M14810" t="s">
        <v>1277</v>
      </c>
      <c r="N14810" t="str">
        <f t="shared" si="209"/>
        <v xml:space="preserve">57372178    </v>
      </c>
      <c r="O14810">
        <v>231011</v>
      </c>
    </row>
    <row r="14811" spans="1:15" x14ac:dyDescent="0.25">
      <c r="A14811" t="s">
        <v>16</v>
      </c>
      <c r="B14811" t="s">
        <v>3221</v>
      </c>
      <c r="C14811">
        <v>13607</v>
      </c>
      <c r="D14811" t="s">
        <v>1158</v>
      </c>
      <c r="E14811" t="s">
        <v>1159</v>
      </c>
      <c r="F14811">
        <v>1768.85</v>
      </c>
      <c r="G14811">
        <v>230927</v>
      </c>
      <c r="H14811">
        <v>4430</v>
      </c>
      <c r="I14811" t="s">
        <v>1276</v>
      </c>
      <c r="J14811">
        <v>1861.95</v>
      </c>
      <c r="K14811">
        <v>93.1</v>
      </c>
      <c r="L14811">
        <v>11604</v>
      </c>
      <c r="M14811" t="s">
        <v>1277</v>
      </c>
      <c r="N14811" t="str">
        <f t="shared" si="209"/>
        <v xml:space="preserve">57372178    </v>
      </c>
      <c r="O14811">
        <v>231011</v>
      </c>
    </row>
    <row r="14812" spans="1:15" x14ac:dyDescent="0.25">
      <c r="A14812" t="s">
        <v>16</v>
      </c>
      <c r="B14812" t="s">
        <v>3221</v>
      </c>
      <c r="C14812">
        <v>13607</v>
      </c>
      <c r="D14812" t="s">
        <v>1158</v>
      </c>
      <c r="E14812" t="s">
        <v>1159</v>
      </c>
      <c r="F14812">
        <v>92.63</v>
      </c>
      <c r="G14812">
        <v>230927</v>
      </c>
      <c r="H14812">
        <v>4430</v>
      </c>
      <c r="I14812" t="s">
        <v>1276</v>
      </c>
      <c r="J14812">
        <v>97.5</v>
      </c>
      <c r="K14812">
        <v>4.87</v>
      </c>
      <c r="L14812">
        <v>11604</v>
      </c>
      <c r="M14812" t="s">
        <v>1277</v>
      </c>
      <c r="N14812" t="str">
        <f t="shared" si="209"/>
        <v xml:space="preserve">57372178    </v>
      </c>
      <c r="O14812">
        <v>231011</v>
      </c>
    </row>
    <row r="14813" spans="1:15" x14ac:dyDescent="0.25">
      <c r="A14813" t="s">
        <v>16</v>
      </c>
      <c r="B14813" t="s">
        <v>3221</v>
      </c>
      <c r="C14813">
        <v>13607</v>
      </c>
      <c r="D14813" t="s">
        <v>1158</v>
      </c>
      <c r="E14813" t="s">
        <v>1159</v>
      </c>
      <c r="F14813">
        <v>2945.5</v>
      </c>
      <c r="G14813">
        <v>230927</v>
      </c>
      <c r="H14813">
        <v>4430</v>
      </c>
      <c r="I14813" t="s">
        <v>1276</v>
      </c>
      <c r="J14813">
        <v>3100.53</v>
      </c>
      <c r="K14813">
        <v>155.03</v>
      </c>
      <c r="L14813">
        <v>11604</v>
      </c>
      <c r="M14813" t="s">
        <v>1277</v>
      </c>
      <c r="N14813" t="str">
        <f t="shared" si="209"/>
        <v xml:space="preserve">57372178    </v>
      </c>
      <c r="O14813">
        <v>231011</v>
      </c>
    </row>
    <row r="14814" spans="1:15" x14ac:dyDescent="0.25">
      <c r="A14814" t="s">
        <v>16</v>
      </c>
      <c r="B14814" t="s">
        <v>3221</v>
      </c>
      <c r="C14814">
        <v>13607</v>
      </c>
      <c r="D14814" t="s">
        <v>1158</v>
      </c>
      <c r="E14814" t="s">
        <v>1159</v>
      </c>
      <c r="F14814">
        <v>648.82000000000005</v>
      </c>
      <c r="G14814">
        <v>230927</v>
      </c>
      <c r="H14814">
        <v>4430</v>
      </c>
      <c r="I14814" t="s">
        <v>1276</v>
      </c>
      <c r="J14814">
        <v>682.97</v>
      </c>
      <c r="K14814">
        <v>34.15</v>
      </c>
      <c r="L14814">
        <v>11604</v>
      </c>
      <c r="M14814" t="s">
        <v>1277</v>
      </c>
      <c r="N14814" t="str">
        <f t="shared" si="209"/>
        <v xml:space="preserve">57372178    </v>
      </c>
      <c r="O14814">
        <v>231011</v>
      </c>
    </row>
    <row r="14815" spans="1:15" x14ac:dyDescent="0.25">
      <c r="A14815" t="s">
        <v>16</v>
      </c>
      <c r="B14815" t="s">
        <v>3221</v>
      </c>
      <c r="C14815">
        <v>13607</v>
      </c>
      <c r="D14815" t="s">
        <v>1158</v>
      </c>
      <c r="E14815" t="s">
        <v>1159</v>
      </c>
      <c r="F14815">
        <v>1343.02</v>
      </c>
      <c r="G14815">
        <v>230927</v>
      </c>
      <c r="H14815">
        <v>4430</v>
      </c>
      <c r="I14815" t="s">
        <v>1276</v>
      </c>
      <c r="J14815">
        <v>1413.7</v>
      </c>
      <c r="K14815">
        <v>70.680000000000007</v>
      </c>
      <c r="L14815">
        <v>11604</v>
      </c>
      <c r="M14815" t="s">
        <v>1277</v>
      </c>
      <c r="N14815" t="str">
        <f t="shared" si="209"/>
        <v xml:space="preserve">57372178    </v>
      </c>
      <c r="O14815">
        <v>231011</v>
      </c>
    </row>
    <row r="14816" spans="1:15" x14ac:dyDescent="0.25">
      <c r="A14816" t="s">
        <v>16</v>
      </c>
      <c r="B14816" t="s">
        <v>3221</v>
      </c>
      <c r="C14816">
        <v>15321</v>
      </c>
      <c r="D14816" t="s">
        <v>1158</v>
      </c>
      <c r="E14816" t="s">
        <v>1159</v>
      </c>
      <c r="F14816">
        <v>155.16</v>
      </c>
      <c r="G14816">
        <v>231025</v>
      </c>
      <c r="H14816">
        <v>4430</v>
      </c>
      <c r="I14816" t="s">
        <v>1276</v>
      </c>
      <c r="J14816">
        <v>192.4</v>
      </c>
      <c r="K14816">
        <v>37.24</v>
      </c>
      <c r="L14816">
        <v>11604</v>
      </c>
      <c r="M14816" t="s">
        <v>1277</v>
      </c>
      <c r="N14816" t="str">
        <f>"57440830    "</f>
        <v xml:space="preserve">57440830    </v>
      </c>
      <c r="O14816">
        <v>231113</v>
      </c>
    </row>
    <row r="14817" spans="1:15" x14ac:dyDescent="0.25">
      <c r="A14817" t="s">
        <v>16</v>
      </c>
      <c r="B14817" t="s">
        <v>3221</v>
      </c>
      <c r="C14817">
        <v>15781</v>
      </c>
      <c r="D14817" t="s">
        <v>1158</v>
      </c>
      <c r="E14817" t="s">
        <v>1159</v>
      </c>
      <c r="F14817">
        <v>35</v>
      </c>
      <c r="G14817">
        <v>231029</v>
      </c>
      <c r="H14817">
        <v>4430</v>
      </c>
      <c r="I14817" t="s">
        <v>1276</v>
      </c>
      <c r="J14817">
        <v>43.4</v>
      </c>
      <c r="K14817">
        <v>8.4</v>
      </c>
      <c r="L14817">
        <v>11604</v>
      </c>
      <c r="M14817" t="s">
        <v>1277</v>
      </c>
      <c r="N14817" t="str">
        <f t="shared" ref="N14817:N14829" si="210">"57464454    "</f>
        <v xml:space="preserve">57464454    </v>
      </c>
      <c r="O14817">
        <v>231117</v>
      </c>
    </row>
    <row r="14818" spans="1:15" x14ac:dyDescent="0.25">
      <c r="A14818" t="s">
        <v>16</v>
      </c>
      <c r="B14818" t="s">
        <v>3221</v>
      </c>
      <c r="C14818">
        <v>15781</v>
      </c>
      <c r="D14818" t="s">
        <v>1158</v>
      </c>
      <c r="E14818" t="s">
        <v>1159</v>
      </c>
      <c r="F14818">
        <v>1025.03</v>
      </c>
      <c r="G14818">
        <v>231029</v>
      </c>
      <c r="H14818">
        <v>4430</v>
      </c>
      <c r="I14818" t="s">
        <v>1276</v>
      </c>
      <c r="J14818">
        <v>1078.98</v>
      </c>
      <c r="K14818">
        <v>53.95</v>
      </c>
      <c r="L14818">
        <v>11604</v>
      </c>
      <c r="M14818" t="s">
        <v>1277</v>
      </c>
      <c r="N14818" t="str">
        <f t="shared" si="210"/>
        <v xml:space="preserve">57464454    </v>
      </c>
      <c r="O14818">
        <v>231117</v>
      </c>
    </row>
    <row r="14819" spans="1:15" x14ac:dyDescent="0.25">
      <c r="A14819" t="s">
        <v>16</v>
      </c>
      <c r="B14819" t="s">
        <v>3221</v>
      </c>
      <c r="C14819">
        <v>15781</v>
      </c>
      <c r="D14819" t="s">
        <v>1158</v>
      </c>
      <c r="E14819" t="s">
        <v>1159</v>
      </c>
      <c r="F14819">
        <v>1290.03</v>
      </c>
      <c r="G14819">
        <v>231029</v>
      </c>
      <c r="H14819">
        <v>4430</v>
      </c>
      <c r="I14819" t="s">
        <v>1276</v>
      </c>
      <c r="J14819">
        <v>1357.93</v>
      </c>
      <c r="K14819">
        <v>67.900000000000006</v>
      </c>
      <c r="L14819">
        <v>11604</v>
      </c>
      <c r="M14819" t="s">
        <v>1277</v>
      </c>
      <c r="N14819" t="str">
        <f t="shared" si="210"/>
        <v xml:space="preserve">57464454    </v>
      </c>
      <c r="O14819">
        <v>231117</v>
      </c>
    </row>
    <row r="14820" spans="1:15" x14ac:dyDescent="0.25">
      <c r="A14820" t="s">
        <v>16</v>
      </c>
      <c r="B14820" t="s">
        <v>3221</v>
      </c>
      <c r="C14820">
        <v>15781</v>
      </c>
      <c r="D14820" t="s">
        <v>1158</v>
      </c>
      <c r="E14820" t="s">
        <v>1159</v>
      </c>
      <c r="F14820">
        <v>375</v>
      </c>
      <c r="G14820">
        <v>231029</v>
      </c>
      <c r="H14820">
        <v>4430</v>
      </c>
      <c r="I14820" t="s">
        <v>1276</v>
      </c>
      <c r="J14820">
        <v>465</v>
      </c>
      <c r="K14820">
        <v>90</v>
      </c>
      <c r="L14820">
        <v>11604</v>
      </c>
      <c r="M14820" t="s">
        <v>1277</v>
      </c>
      <c r="N14820" t="str">
        <f t="shared" si="210"/>
        <v xml:space="preserve">57464454    </v>
      </c>
      <c r="O14820">
        <v>231117</v>
      </c>
    </row>
    <row r="14821" spans="1:15" x14ac:dyDescent="0.25">
      <c r="A14821" t="s">
        <v>16</v>
      </c>
      <c r="B14821" t="s">
        <v>3221</v>
      </c>
      <c r="C14821">
        <v>15781</v>
      </c>
      <c r="D14821" t="s">
        <v>1158</v>
      </c>
      <c r="E14821" t="s">
        <v>1159</v>
      </c>
      <c r="F14821">
        <v>5876.73</v>
      </c>
      <c r="G14821">
        <v>231029</v>
      </c>
      <c r="H14821">
        <v>4430</v>
      </c>
      <c r="I14821" t="s">
        <v>1276</v>
      </c>
      <c r="J14821">
        <v>6186.03</v>
      </c>
      <c r="K14821">
        <v>309.3</v>
      </c>
      <c r="L14821">
        <v>11604</v>
      </c>
      <c r="M14821" t="s">
        <v>1277</v>
      </c>
      <c r="N14821" t="str">
        <f t="shared" si="210"/>
        <v xml:space="preserve">57464454    </v>
      </c>
      <c r="O14821">
        <v>231117</v>
      </c>
    </row>
    <row r="14822" spans="1:15" x14ac:dyDescent="0.25">
      <c r="A14822" t="s">
        <v>16</v>
      </c>
      <c r="B14822" t="s">
        <v>3221</v>
      </c>
      <c r="C14822">
        <v>15781</v>
      </c>
      <c r="D14822" t="s">
        <v>1158</v>
      </c>
      <c r="E14822" t="s">
        <v>1159</v>
      </c>
      <c r="F14822">
        <v>13.71</v>
      </c>
      <c r="G14822">
        <v>231029</v>
      </c>
      <c r="H14822">
        <v>4430</v>
      </c>
      <c r="I14822" t="s">
        <v>1276</v>
      </c>
      <c r="J14822">
        <v>17</v>
      </c>
      <c r="K14822">
        <v>3.29</v>
      </c>
      <c r="L14822">
        <v>11604</v>
      </c>
      <c r="M14822" t="s">
        <v>1277</v>
      </c>
      <c r="N14822" t="str">
        <f t="shared" si="210"/>
        <v xml:space="preserve">57464454    </v>
      </c>
      <c r="O14822">
        <v>231117</v>
      </c>
    </row>
    <row r="14823" spans="1:15" x14ac:dyDescent="0.25">
      <c r="A14823" t="s">
        <v>16</v>
      </c>
      <c r="B14823" t="s">
        <v>3221</v>
      </c>
      <c r="C14823">
        <v>15781</v>
      </c>
      <c r="D14823" t="s">
        <v>1158</v>
      </c>
      <c r="E14823" t="s">
        <v>1159</v>
      </c>
      <c r="F14823">
        <v>4389.03</v>
      </c>
      <c r="G14823">
        <v>231029</v>
      </c>
      <c r="H14823">
        <v>4430</v>
      </c>
      <c r="I14823" t="s">
        <v>1276</v>
      </c>
      <c r="J14823">
        <v>4620.03</v>
      </c>
      <c r="K14823">
        <v>231</v>
      </c>
      <c r="L14823">
        <v>11604</v>
      </c>
      <c r="M14823" t="s">
        <v>1277</v>
      </c>
      <c r="N14823" t="str">
        <f t="shared" si="210"/>
        <v xml:space="preserve">57464454    </v>
      </c>
      <c r="O14823">
        <v>231117</v>
      </c>
    </row>
    <row r="14824" spans="1:15" x14ac:dyDescent="0.25">
      <c r="A14824" t="s">
        <v>16</v>
      </c>
      <c r="B14824" t="s">
        <v>3221</v>
      </c>
      <c r="C14824">
        <v>15781</v>
      </c>
      <c r="D14824" t="s">
        <v>1158</v>
      </c>
      <c r="E14824" t="s">
        <v>1159</v>
      </c>
      <c r="F14824">
        <v>6669.68</v>
      </c>
      <c r="G14824">
        <v>231029</v>
      </c>
      <c r="H14824">
        <v>4430</v>
      </c>
      <c r="I14824" t="s">
        <v>1276</v>
      </c>
      <c r="J14824">
        <v>7020.72</v>
      </c>
      <c r="K14824">
        <v>351.04</v>
      </c>
      <c r="L14824">
        <v>11604</v>
      </c>
      <c r="M14824" t="s">
        <v>1277</v>
      </c>
      <c r="N14824" t="str">
        <f t="shared" si="210"/>
        <v xml:space="preserve">57464454    </v>
      </c>
      <c r="O14824">
        <v>231117</v>
      </c>
    </row>
    <row r="14825" spans="1:15" x14ac:dyDescent="0.25">
      <c r="A14825" t="s">
        <v>16</v>
      </c>
      <c r="B14825" t="s">
        <v>3221</v>
      </c>
      <c r="C14825">
        <v>15781</v>
      </c>
      <c r="D14825" t="s">
        <v>1158</v>
      </c>
      <c r="E14825" t="s">
        <v>1159</v>
      </c>
      <c r="F14825">
        <v>3893.1</v>
      </c>
      <c r="G14825">
        <v>231029</v>
      </c>
      <c r="H14825">
        <v>4430</v>
      </c>
      <c r="I14825" t="s">
        <v>1276</v>
      </c>
      <c r="J14825">
        <v>4098</v>
      </c>
      <c r="K14825">
        <v>204.9</v>
      </c>
      <c r="L14825">
        <v>11604</v>
      </c>
      <c r="M14825" t="s">
        <v>1277</v>
      </c>
      <c r="N14825" t="str">
        <f t="shared" si="210"/>
        <v xml:space="preserve">57464454    </v>
      </c>
      <c r="O14825">
        <v>231117</v>
      </c>
    </row>
    <row r="14826" spans="1:15" x14ac:dyDescent="0.25">
      <c r="A14826" t="s">
        <v>16</v>
      </c>
      <c r="B14826" t="s">
        <v>3221</v>
      </c>
      <c r="C14826">
        <v>15781</v>
      </c>
      <c r="D14826" t="s">
        <v>1158</v>
      </c>
      <c r="E14826" t="s">
        <v>1159</v>
      </c>
      <c r="F14826">
        <v>524.25</v>
      </c>
      <c r="G14826">
        <v>231029</v>
      </c>
      <c r="H14826">
        <v>4430</v>
      </c>
      <c r="I14826" t="s">
        <v>1276</v>
      </c>
      <c r="J14826">
        <v>551.84</v>
      </c>
      <c r="K14826">
        <v>27.59</v>
      </c>
      <c r="L14826">
        <v>11604</v>
      </c>
      <c r="M14826" t="s">
        <v>1277</v>
      </c>
      <c r="N14826" t="str">
        <f t="shared" si="210"/>
        <v xml:space="preserve">57464454    </v>
      </c>
      <c r="O14826">
        <v>231117</v>
      </c>
    </row>
    <row r="14827" spans="1:15" x14ac:dyDescent="0.25">
      <c r="A14827" t="s">
        <v>16</v>
      </c>
      <c r="B14827" t="s">
        <v>3221</v>
      </c>
      <c r="C14827">
        <v>15781</v>
      </c>
      <c r="D14827" t="s">
        <v>1158</v>
      </c>
      <c r="E14827" t="s">
        <v>1159</v>
      </c>
      <c r="F14827">
        <v>7128.04</v>
      </c>
      <c r="G14827">
        <v>231029</v>
      </c>
      <c r="H14827">
        <v>4430</v>
      </c>
      <c r="I14827" t="s">
        <v>1276</v>
      </c>
      <c r="J14827">
        <v>7503.2</v>
      </c>
      <c r="K14827">
        <v>375.16</v>
      </c>
      <c r="L14827">
        <v>11604</v>
      </c>
      <c r="M14827" t="s">
        <v>1277</v>
      </c>
      <c r="N14827" t="str">
        <f t="shared" si="210"/>
        <v xml:space="preserve">57464454    </v>
      </c>
      <c r="O14827">
        <v>231117</v>
      </c>
    </row>
    <row r="14828" spans="1:15" x14ac:dyDescent="0.25">
      <c r="A14828" t="s">
        <v>16</v>
      </c>
      <c r="B14828" t="s">
        <v>3221</v>
      </c>
      <c r="C14828">
        <v>15781</v>
      </c>
      <c r="D14828" t="s">
        <v>1158</v>
      </c>
      <c r="E14828" t="s">
        <v>1159</v>
      </c>
      <c r="F14828">
        <v>2887</v>
      </c>
      <c r="G14828">
        <v>231029</v>
      </c>
      <c r="H14828">
        <v>4430</v>
      </c>
      <c r="I14828" t="s">
        <v>1276</v>
      </c>
      <c r="J14828">
        <v>3038.95</v>
      </c>
      <c r="K14828">
        <v>151.94999999999999</v>
      </c>
      <c r="L14828">
        <v>11604</v>
      </c>
      <c r="M14828" t="s">
        <v>1277</v>
      </c>
      <c r="N14828" t="str">
        <f t="shared" si="210"/>
        <v xml:space="preserve">57464454    </v>
      </c>
      <c r="O14828">
        <v>231117</v>
      </c>
    </row>
    <row r="14829" spans="1:15" x14ac:dyDescent="0.25">
      <c r="A14829" t="s">
        <v>16</v>
      </c>
      <c r="B14829" t="s">
        <v>3221</v>
      </c>
      <c r="C14829">
        <v>15781</v>
      </c>
      <c r="D14829" t="s">
        <v>1158</v>
      </c>
      <c r="E14829" t="s">
        <v>1159</v>
      </c>
      <c r="F14829">
        <v>709.56</v>
      </c>
      <c r="G14829">
        <v>231029</v>
      </c>
      <c r="H14829">
        <v>4430</v>
      </c>
      <c r="I14829" t="s">
        <v>1276</v>
      </c>
      <c r="J14829">
        <v>746.91</v>
      </c>
      <c r="K14829">
        <v>37.35</v>
      </c>
      <c r="L14829">
        <v>11604</v>
      </c>
      <c r="M14829" t="s">
        <v>1277</v>
      </c>
      <c r="N14829" t="str">
        <f t="shared" si="210"/>
        <v xml:space="preserve">57464454    </v>
      </c>
      <c r="O14829">
        <v>231117</v>
      </c>
    </row>
    <row r="14830" spans="1:15" x14ac:dyDescent="0.25">
      <c r="A14830" t="s">
        <v>16</v>
      </c>
      <c r="B14830" t="s">
        <v>3221</v>
      </c>
      <c r="C14830">
        <v>15804</v>
      </c>
      <c r="D14830" t="s">
        <v>1158</v>
      </c>
      <c r="E14830" t="s">
        <v>1159</v>
      </c>
      <c r="F14830">
        <v>930.97</v>
      </c>
      <c r="G14830">
        <v>231103</v>
      </c>
      <c r="H14830">
        <v>4430</v>
      </c>
      <c r="I14830" t="s">
        <v>1276</v>
      </c>
      <c r="J14830">
        <v>1154.4000000000001</v>
      </c>
      <c r="K14830">
        <v>223.43</v>
      </c>
      <c r="L14830">
        <v>11604</v>
      </c>
      <c r="M14830" t="s">
        <v>1277</v>
      </c>
      <c r="N14830" t="str">
        <f>"57475700    "</f>
        <v xml:space="preserve">57475700    </v>
      </c>
      <c r="O14830">
        <v>231120</v>
      </c>
    </row>
    <row r="14831" spans="1:15" x14ac:dyDescent="0.25">
      <c r="A14831" t="s">
        <v>16</v>
      </c>
      <c r="B14831" t="s">
        <v>3221</v>
      </c>
      <c r="C14831">
        <v>17092</v>
      </c>
      <c r="D14831" t="s">
        <v>1158</v>
      </c>
      <c r="E14831" t="s">
        <v>1159</v>
      </c>
      <c r="F14831">
        <v>1594.58</v>
      </c>
      <c r="G14831">
        <v>231128</v>
      </c>
      <c r="H14831">
        <v>4430</v>
      </c>
      <c r="I14831" t="s">
        <v>1276</v>
      </c>
      <c r="J14831">
        <v>1678.5</v>
      </c>
      <c r="K14831">
        <v>83.92</v>
      </c>
      <c r="L14831">
        <v>11604</v>
      </c>
      <c r="M14831" t="s">
        <v>1277</v>
      </c>
      <c r="N14831" t="str">
        <f t="shared" ref="N14831:N14843" si="211">"57559463    "</f>
        <v xml:space="preserve">57559463    </v>
      </c>
      <c r="O14831">
        <v>231212</v>
      </c>
    </row>
    <row r="14832" spans="1:15" x14ac:dyDescent="0.25">
      <c r="A14832" t="s">
        <v>16</v>
      </c>
      <c r="B14832" t="s">
        <v>3221</v>
      </c>
      <c r="C14832">
        <v>17092</v>
      </c>
      <c r="D14832" t="s">
        <v>1158</v>
      </c>
      <c r="E14832" t="s">
        <v>1159</v>
      </c>
      <c r="F14832">
        <v>60.49</v>
      </c>
      <c r="G14832">
        <v>231128</v>
      </c>
      <c r="H14832">
        <v>4430</v>
      </c>
      <c r="I14832" t="s">
        <v>1276</v>
      </c>
      <c r="J14832">
        <v>75.010000000000005</v>
      </c>
      <c r="K14832">
        <v>14.52</v>
      </c>
      <c r="L14832">
        <v>11604</v>
      </c>
      <c r="M14832" t="s">
        <v>1277</v>
      </c>
      <c r="N14832" t="str">
        <f t="shared" si="211"/>
        <v xml:space="preserve">57559463    </v>
      </c>
      <c r="O14832">
        <v>231212</v>
      </c>
    </row>
    <row r="14833" spans="1:15" x14ac:dyDescent="0.25">
      <c r="A14833" t="s">
        <v>16</v>
      </c>
      <c r="B14833" t="s">
        <v>3221</v>
      </c>
      <c r="C14833">
        <v>17092</v>
      </c>
      <c r="D14833" t="s">
        <v>1158</v>
      </c>
      <c r="E14833" t="s">
        <v>1159</v>
      </c>
      <c r="F14833">
        <v>1266.67</v>
      </c>
      <c r="G14833">
        <v>231128</v>
      </c>
      <c r="H14833">
        <v>4430</v>
      </c>
      <c r="I14833" t="s">
        <v>1276</v>
      </c>
      <c r="J14833">
        <v>1333.34</v>
      </c>
      <c r="K14833">
        <v>66.67</v>
      </c>
      <c r="L14833">
        <v>11604</v>
      </c>
      <c r="M14833" t="s">
        <v>1277</v>
      </c>
      <c r="N14833" t="str">
        <f t="shared" si="211"/>
        <v xml:space="preserve">57559463    </v>
      </c>
      <c r="O14833">
        <v>231212</v>
      </c>
    </row>
    <row r="14834" spans="1:15" x14ac:dyDescent="0.25">
      <c r="A14834" t="s">
        <v>16</v>
      </c>
      <c r="B14834" t="s">
        <v>3221</v>
      </c>
      <c r="C14834">
        <v>17092</v>
      </c>
      <c r="D14834" t="s">
        <v>1158</v>
      </c>
      <c r="E14834" t="s">
        <v>1159</v>
      </c>
      <c r="F14834">
        <v>5760.34</v>
      </c>
      <c r="G14834">
        <v>231128</v>
      </c>
      <c r="H14834">
        <v>4430</v>
      </c>
      <c r="I14834" t="s">
        <v>1276</v>
      </c>
      <c r="J14834">
        <v>6063.52</v>
      </c>
      <c r="K14834">
        <v>303.18</v>
      </c>
      <c r="L14834">
        <v>11604</v>
      </c>
      <c r="M14834" t="s">
        <v>1277</v>
      </c>
      <c r="N14834" t="str">
        <f t="shared" si="211"/>
        <v xml:space="preserve">57559463    </v>
      </c>
      <c r="O14834">
        <v>231212</v>
      </c>
    </row>
    <row r="14835" spans="1:15" x14ac:dyDescent="0.25">
      <c r="A14835" t="s">
        <v>16</v>
      </c>
      <c r="B14835" t="s">
        <v>3221</v>
      </c>
      <c r="C14835">
        <v>17092</v>
      </c>
      <c r="D14835" t="s">
        <v>1158</v>
      </c>
      <c r="E14835" t="s">
        <v>1159</v>
      </c>
      <c r="F14835">
        <v>1321.17</v>
      </c>
      <c r="G14835">
        <v>231128</v>
      </c>
      <c r="H14835">
        <v>4430</v>
      </c>
      <c r="I14835" t="s">
        <v>1276</v>
      </c>
      <c r="J14835">
        <v>1390.71</v>
      </c>
      <c r="K14835">
        <v>69.540000000000006</v>
      </c>
      <c r="L14835">
        <v>11604</v>
      </c>
      <c r="M14835" t="s">
        <v>1277</v>
      </c>
      <c r="N14835" t="str">
        <f t="shared" si="211"/>
        <v xml:space="preserve">57559463    </v>
      </c>
      <c r="O14835">
        <v>231212</v>
      </c>
    </row>
    <row r="14836" spans="1:15" x14ac:dyDescent="0.25">
      <c r="A14836" t="s">
        <v>16</v>
      </c>
      <c r="B14836" t="s">
        <v>3221</v>
      </c>
      <c r="C14836">
        <v>17092</v>
      </c>
      <c r="D14836" t="s">
        <v>1158</v>
      </c>
      <c r="E14836" t="s">
        <v>1159</v>
      </c>
      <c r="F14836">
        <v>1170</v>
      </c>
      <c r="G14836">
        <v>231128</v>
      </c>
      <c r="H14836">
        <v>4430</v>
      </c>
      <c r="I14836" t="s">
        <v>1276</v>
      </c>
      <c r="J14836">
        <v>1450.8</v>
      </c>
      <c r="K14836">
        <v>280.8</v>
      </c>
      <c r="L14836">
        <v>11604</v>
      </c>
      <c r="M14836" t="s">
        <v>1277</v>
      </c>
      <c r="N14836" t="str">
        <f t="shared" si="211"/>
        <v xml:space="preserve">57559463    </v>
      </c>
      <c r="O14836">
        <v>231212</v>
      </c>
    </row>
    <row r="14837" spans="1:15" x14ac:dyDescent="0.25">
      <c r="A14837" t="s">
        <v>16</v>
      </c>
      <c r="B14837" t="s">
        <v>3221</v>
      </c>
      <c r="C14837">
        <v>17092</v>
      </c>
      <c r="D14837" t="s">
        <v>1158</v>
      </c>
      <c r="E14837" t="s">
        <v>1159</v>
      </c>
      <c r="F14837">
        <v>8537.68</v>
      </c>
      <c r="G14837">
        <v>231128</v>
      </c>
      <c r="H14837">
        <v>4430</v>
      </c>
      <c r="I14837" t="s">
        <v>1276</v>
      </c>
      <c r="J14837">
        <v>8987.0300000000007</v>
      </c>
      <c r="K14837">
        <v>449.35</v>
      </c>
      <c r="L14837">
        <v>11604</v>
      </c>
      <c r="M14837" t="s">
        <v>1277</v>
      </c>
      <c r="N14837" t="str">
        <f t="shared" si="211"/>
        <v xml:space="preserve">57559463    </v>
      </c>
      <c r="O14837">
        <v>231212</v>
      </c>
    </row>
    <row r="14838" spans="1:15" x14ac:dyDescent="0.25">
      <c r="A14838" t="s">
        <v>16</v>
      </c>
      <c r="B14838" t="s">
        <v>3221</v>
      </c>
      <c r="C14838">
        <v>17092</v>
      </c>
      <c r="D14838" t="s">
        <v>1158</v>
      </c>
      <c r="E14838" t="s">
        <v>1159</v>
      </c>
      <c r="F14838">
        <v>3685.46</v>
      </c>
      <c r="G14838">
        <v>231128</v>
      </c>
      <c r="H14838">
        <v>4430</v>
      </c>
      <c r="I14838" t="s">
        <v>1276</v>
      </c>
      <c r="J14838">
        <v>3879.43</v>
      </c>
      <c r="K14838">
        <v>193.97</v>
      </c>
      <c r="L14838">
        <v>11604</v>
      </c>
      <c r="M14838" t="s">
        <v>1277</v>
      </c>
      <c r="N14838" t="str">
        <f t="shared" si="211"/>
        <v xml:space="preserve">57559463    </v>
      </c>
      <c r="O14838">
        <v>231212</v>
      </c>
    </row>
    <row r="14839" spans="1:15" x14ac:dyDescent="0.25">
      <c r="A14839" t="s">
        <v>16</v>
      </c>
      <c r="B14839" t="s">
        <v>3221</v>
      </c>
      <c r="C14839">
        <v>17092</v>
      </c>
      <c r="D14839" t="s">
        <v>1158</v>
      </c>
      <c r="E14839" t="s">
        <v>1159</v>
      </c>
      <c r="F14839">
        <v>513</v>
      </c>
      <c r="G14839">
        <v>231128</v>
      </c>
      <c r="H14839">
        <v>4430</v>
      </c>
      <c r="I14839" t="s">
        <v>1276</v>
      </c>
      <c r="J14839">
        <v>540</v>
      </c>
      <c r="K14839">
        <v>27</v>
      </c>
      <c r="L14839">
        <v>11604</v>
      </c>
      <c r="M14839" t="s">
        <v>1277</v>
      </c>
      <c r="N14839" t="str">
        <f t="shared" si="211"/>
        <v xml:space="preserve">57559463    </v>
      </c>
      <c r="O14839">
        <v>231212</v>
      </c>
    </row>
    <row r="14840" spans="1:15" x14ac:dyDescent="0.25">
      <c r="A14840" t="s">
        <v>16</v>
      </c>
      <c r="B14840" t="s">
        <v>3221</v>
      </c>
      <c r="C14840">
        <v>17092</v>
      </c>
      <c r="D14840" t="s">
        <v>1158</v>
      </c>
      <c r="E14840" t="s">
        <v>1159</v>
      </c>
      <c r="F14840">
        <v>4573.1400000000003</v>
      </c>
      <c r="G14840">
        <v>231128</v>
      </c>
      <c r="H14840">
        <v>4430</v>
      </c>
      <c r="I14840" t="s">
        <v>1276</v>
      </c>
      <c r="J14840">
        <v>4813.83</v>
      </c>
      <c r="K14840">
        <v>240.69</v>
      </c>
      <c r="L14840">
        <v>11604</v>
      </c>
      <c r="M14840" t="s">
        <v>1277</v>
      </c>
      <c r="N14840" t="str">
        <f t="shared" si="211"/>
        <v xml:space="preserve">57559463    </v>
      </c>
      <c r="O14840">
        <v>231212</v>
      </c>
    </row>
    <row r="14841" spans="1:15" x14ac:dyDescent="0.25">
      <c r="A14841" t="s">
        <v>16</v>
      </c>
      <c r="B14841" t="s">
        <v>3221</v>
      </c>
      <c r="C14841">
        <v>17092</v>
      </c>
      <c r="D14841" t="s">
        <v>1158</v>
      </c>
      <c r="E14841" t="s">
        <v>1159</v>
      </c>
      <c r="F14841">
        <v>25.49</v>
      </c>
      <c r="G14841">
        <v>231128</v>
      </c>
      <c r="H14841">
        <v>4430</v>
      </c>
      <c r="I14841" t="s">
        <v>1276</v>
      </c>
      <c r="J14841">
        <v>31.61</v>
      </c>
      <c r="K14841">
        <v>6.12</v>
      </c>
      <c r="L14841">
        <v>11604</v>
      </c>
      <c r="M14841" t="s">
        <v>1277</v>
      </c>
      <c r="N14841" t="str">
        <f t="shared" si="211"/>
        <v xml:space="preserve">57559463    </v>
      </c>
      <c r="O14841">
        <v>231212</v>
      </c>
    </row>
    <row r="14842" spans="1:15" x14ac:dyDescent="0.25">
      <c r="A14842" t="s">
        <v>16</v>
      </c>
      <c r="B14842" t="s">
        <v>3221</v>
      </c>
      <c r="C14842">
        <v>17092</v>
      </c>
      <c r="D14842" t="s">
        <v>1158</v>
      </c>
      <c r="E14842" t="s">
        <v>1159</v>
      </c>
      <c r="F14842">
        <v>2690.8</v>
      </c>
      <c r="G14842">
        <v>231128</v>
      </c>
      <c r="H14842">
        <v>4430</v>
      </c>
      <c r="I14842" t="s">
        <v>1276</v>
      </c>
      <c r="J14842">
        <v>2832.42</v>
      </c>
      <c r="K14842">
        <v>141.62</v>
      </c>
      <c r="L14842">
        <v>11604</v>
      </c>
      <c r="M14842" t="s">
        <v>1277</v>
      </c>
      <c r="N14842" t="str">
        <f t="shared" si="211"/>
        <v xml:space="preserve">57559463    </v>
      </c>
      <c r="O14842">
        <v>231212</v>
      </c>
    </row>
    <row r="14843" spans="1:15" x14ac:dyDescent="0.25">
      <c r="A14843" t="s">
        <v>16</v>
      </c>
      <c r="B14843" t="s">
        <v>3221</v>
      </c>
      <c r="C14843">
        <v>17092</v>
      </c>
      <c r="D14843" t="s">
        <v>1158</v>
      </c>
      <c r="E14843" t="s">
        <v>1159</v>
      </c>
      <c r="F14843">
        <v>839.32</v>
      </c>
      <c r="G14843">
        <v>231128</v>
      </c>
      <c r="H14843">
        <v>4430</v>
      </c>
      <c r="I14843" t="s">
        <v>1276</v>
      </c>
      <c r="J14843">
        <v>883.49</v>
      </c>
      <c r="K14843">
        <v>44.17</v>
      </c>
      <c r="L14843">
        <v>11604</v>
      </c>
      <c r="M14843" t="s">
        <v>1277</v>
      </c>
      <c r="N14843" t="str">
        <f t="shared" si="211"/>
        <v xml:space="preserve">57559463    </v>
      </c>
      <c r="O14843">
        <v>231212</v>
      </c>
    </row>
    <row r="14844" spans="1:15" x14ac:dyDescent="0.25">
      <c r="A14844" t="s">
        <v>16</v>
      </c>
      <c r="B14844" t="s">
        <v>3221</v>
      </c>
      <c r="C14844">
        <v>18620</v>
      </c>
      <c r="D14844" t="s">
        <v>1158</v>
      </c>
      <c r="E14844" t="s">
        <v>1159</v>
      </c>
      <c r="F14844">
        <v>473.72</v>
      </c>
      <c r="G14844">
        <v>231227</v>
      </c>
      <c r="H14844">
        <v>4430</v>
      </c>
      <c r="I14844" t="s">
        <v>1276</v>
      </c>
      <c r="J14844">
        <v>498.65</v>
      </c>
      <c r="K14844">
        <v>24.93</v>
      </c>
      <c r="L14844">
        <v>11604</v>
      </c>
      <c r="M14844" t="s">
        <v>1277</v>
      </c>
      <c r="N14844" t="str">
        <f t="shared" ref="N14844:N14854" si="212">"57648000    "</f>
        <v xml:space="preserve">57648000    </v>
      </c>
      <c r="O14844">
        <v>240104</v>
      </c>
    </row>
    <row r="14845" spans="1:15" x14ac:dyDescent="0.25">
      <c r="A14845" t="s">
        <v>16</v>
      </c>
      <c r="B14845" t="s">
        <v>3221</v>
      </c>
      <c r="C14845">
        <v>18620</v>
      </c>
      <c r="D14845" t="s">
        <v>1158</v>
      </c>
      <c r="E14845" t="s">
        <v>1159</v>
      </c>
      <c r="F14845">
        <v>35</v>
      </c>
      <c r="G14845">
        <v>231227</v>
      </c>
      <c r="H14845">
        <v>4430</v>
      </c>
      <c r="I14845" t="s">
        <v>1276</v>
      </c>
      <c r="J14845">
        <v>43.4</v>
      </c>
      <c r="K14845">
        <v>8.4</v>
      </c>
      <c r="L14845">
        <v>11604</v>
      </c>
      <c r="M14845" t="s">
        <v>1277</v>
      </c>
      <c r="N14845" t="str">
        <f t="shared" si="212"/>
        <v xml:space="preserve">57648000    </v>
      </c>
      <c r="O14845">
        <v>240104</v>
      </c>
    </row>
    <row r="14846" spans="1:15" x14ac:dyDescent="0.25">
      <c r="A14846" t="s">
        <v>16</v>
      </c>
      <c r="B14846" t="s">
        <v>3221</v>
      </c>
      <c r="C14846">
        <v>18620</v>
      </c>
      <c r="D14846" t="s">
        <v>1158</v>
      </c>
      <c r="E14846" t="s">
        <v>1159</v>
      </c>
      <c r="F14846">
        <v>1100.24</v>
      </c>
      <c r="G14846">
        <v>231227</v>
      </c>
      <c r="H14846">
        <v>4430</v>
      </c>
      <c r="I14846" t="s">
        <v>1276</v>
      </c>
      <c r="J14846">
        <v>1158.1500000000001</v>
      </c>
      <c r="K14846">
        <v>57.91</v>
      </c>
      <c r="L14846">
        <v>11604</v>
      </c>
      <c r="M14846" t="s">
        <v>1277</v>
      </c>
      <c r="N14846" t="str">
        <f t="shared" si="212"/>
        <v xml:space="preserve">57648000    </v>
      </c>
      <c r="O14846">
        <v>240104</v>
      </c>
    </row>
    <row r="14847" spans="1:15" x14ac:dyDescent="0.25">
      <c r="A14847" t="s">
        <v>16</v>
      </c>
      <c r="B14847" t="s">
        <v>3221</v>
      </c>
      <c r="C14847">
        <v>18620</v>
      </c>
      <c r="D14847" t="s">
        <v>1158</v>
      </c>
      <c r="E14847" t="s">
        <v>1159</v>
      </c>
      <c r="F14847">
        <v>4569.37</v>
      </c>
      <c r="G14847">
        <v>231227</v>
      </c>
      <c r="H14847">
        <v>4430</v>
      </c>
      <c r="I14847" t="s">
        <v>1276</v>
      </c>
      <c r="J14847">
        <v>4809.8599999999997</v>
      </c>
      <c r="K14847">
        <v>240.49</v>
      </c>
      <c r="L14847">
        <v>11604</v>
      </c>
      <c r="M14847" t="s">
        <v>1277</v>
      </c>
      <c r="N14847" t="str">
        <f t="shared" si="212"/>
        <v xml:space="preserve">57648000    </v>
      </c>
      <c r="O14847">
        <v>240104</v>
      </c>
    </row>
    <row r="14848" spans="1:15" x14ac:dyDescent="0.25">
      <c r="A14848" t="s">
        <v>16</v>
      </c>
      <c r="B14848" t="s">
        <v>3221</v>
      </c>
      <c r="C14848">
        <v>18620</v>
      </c>
      <c r="D14848" t="s">
        <v>1158</v>
      </c>
      <c r="E14848" t="s">
        <v>1159</v>
      </c>
      <c r="F14848">
        <v>2784.17</v>
      </c>
      <c r="G14848">
        <v>231227</v>
      </c>
      <c r="H14848">
        <v>4430</v>
      </c>
      <c r="I14848" t="s">
        <v>1276</v>
      </c>
      <c r="J14848">
        <v>2930.7</v>
      </c>
      <c r="K14848">
        <v>146.53</v>
      </c>
      <c r="L14848">
        <v>11604</v>
      </c>
      <c r="M14848" t="s">
        <v>1277</v>
      </c>
      <c r="N14848" t="str">
        <f t="shared" si="212"/>
        <v xml:space="preserve">57648000    </v>
      </c>
      <c r="O14848">
        <v>240104</v>
      </c>
    </row>
    <row r="14849" spans="1:15" x14ac:dyDescent="0.25">
      <c r="A14849" t="s">
        <v>16</v>
      </c>
      <c r="B14849" t="s">
        <v>3221</v>
      </c>
      <c r="C14849">
        <v>18620</v>
      </c>
      <c r="D14849" t="s">
        <v>1158</v>
      </c>
      <c r="E14849" t="s">
        <v>1159</v>
      </c>
      <c r="F14849">
        <v>5395.37</v>
      </c>
      <c r="G14849">
        <v>231227</v>
      </c>
      <c r="H14849">
        <v>4430</v>
      </c>
      <c r="I14849" t="s">
        <v>1276</v>
      </c>
      <c r="J14849">
        <v>5679.34</v>
      </c>
      <c r="K14849">
        <v>283.97000000000003</v>
      </c>
      <c r="L14849">
        <v>11604</v>
      </c>
      <c r="M14849" t="s">
        <v>1277</v>
      </c>
      <c r="N14849" t="str">
        <f t="shared" si="212"/>
        <v xml:space="preserve">57648000    </v>
      </c>
      <c r="O14849">
        <v>240104</v>
      </c>
    </row>
    <row r="14850" spans="1:15" x14ac:dyDescent="0.25">
      <c r="A14850" t="s">
        <v>16</v>
      </c>
      <c r="B14850" t="s">
        <v>3221</v>
      </c>
      <c r="C14850">
        <v>18620</v>
      </c>
      <c r="D14850" t="s">
        <v>1158</v>
      </c>
      <c r="E14850" t="s">
        <v>1159</v>
      </c>
      <c r="F14850">
        <v>1547.72</v>
      </c>
      <c r="G14850">
        <v>231227</v>
      </c>
      <c r="H14850">
        <v>4430</v>
      </c>
      <c r="I14850" t="s">
        <v>1276</v>
      </c>
      <c r="J14850">
        <v>1629.18</v>
      </c>
      <c r="K14850">
        <v>81.459999999999994</v>
      </c>
      <c r="L14850">
        <v>11604</v>
      </c>
      <c r="M14850" t="s">
        <v>1277</v>
      </c>
      <c r="N14850" t="str">
        <f t="shared" si="212"/>
        <v xml:space="preserve">57648000    </v>
      </c>
      <c r="O14850">
        <v>240104</v>
      </c>
    </row>
    <row r="14851" spans="1:15" x14ac:dyDescent="0.25">
      <c r="A14851" t="s">
        <v>16</v>
      </c>
      <c r="B14851" t="s">
        <v>3221</v>
      </c>
      <c r="C14851">
        <v>18620</v>
      </c>
      <c r="D14851" t="s">
        <v>1158</v>
      </c>
      <c r="E14851" t="s">
        <v>1159</v>
      </c>
      <c r="F14851">
        <v>75.05</v>
      </c>
      <c r="G14851">
        <v>231227</v>
      </c>
      <c r="H14851">
        <v>4430</v>
      </c>
      <c r="I14851" t="s">
        <v>1276</v>
      </c>
      <c r="J14851">
        <v>79</v>
      </c>
      <c r="K14851">
        <v>3.95</v>
      </c>
      <c r="L14851">
        <v>11604</v>
      </c>
      <c r="M14851" t="s">
        <v>1277</v>
      </c>
      <c r="N14851" t="str">
        <f t="shared" si="212"/>
        <v xml:space="preserve">57648000    </v>
      </c>
      <c r="O14851">
        <v>240104</v>
      </c>
    </row>
    <row r="14852" spans="1:15" x14ac:dyDescent="0.25">
      <c r="A14852" t="s">
        <v>16</v>
      </c>
      <c r="B14852" t="s">
        <v>3221</v>
      </c>
      <c r="C14852">
        <v>18620</v>
      </c>
      <c r="D14852" t="s">
        <v>1158</v>
      </c>
      <c r="E14852" t="s">
        <v>1159</v>
      </c>
      <c r="F14852">
        <v>5040.03</v>
      </c>
      <c r="G14852">
        <v>231227</v>
      </c>
      <c r="H14852">
        <v>4430</v>
      </c>
      <c r="I14852" t="s">
        <v>1276</v>
      </c>
      <c r="J14852">
        <v>5305.29</v>
      </c>
      <c r="K14852">
        <v>265.26</v>
      </c>
      <c r="L14852">
        <v>11604</v>
      </c>
      <c r="M14852" t="s">
        <v>1277</v>
      </c>
      <c r="N14852" t="str">
        <f t="shared" si="212"/>
        <v xml:space="preserve">57648000    </v>
      </c>
      <c r="O14852">
        <v>240104</v>
      </c>
    </row>
    <row r="14853" spans="1:15" x14ac:dyDescent="0.25">
      <c r="A14853" t="s">
        <v>16</v>
      </c>
      <c r="B14853" t="s">
        <v>3221</v>
      </c>
      <c r="C14853">
        <v>18620</v>
      </c>
      <c r="D14853" t="s">
        <v>1158</v>
      </c>
      <c r="E14853" t="s">
        <v>1159</v>
      </c>
      <c r="F14853">
        <v>1659.46</v>
      </c>
      <c r="G14853">
        <v>231227</v>
      </c>
      <c r="H14853">
        <v>4430</v>
      </c>
      <c r="I14853" t="s">
        <v>1276</v>
      </c>
      <c r="J14853">
        <v>1746.8</v>
      </c>
      <c r="K14853">
        <v>87.34</v>
      </c>
      <c r="L14853">
        <v>11604</v>
      </c>
      <c r="M14853" t="s">
        <v>1277</v>
      </c>
      <c r="N14853" t="str">
        <f t="shared" si="212"/>
        <v xml:space="preserve">57648000    </v>
      </c>
      <c r="O14853">
        <v>240104</v>
      </c>
    </row>
    <row r="14854" spans="1:15" x14ac:dyDescent="0.25">
      <c r="A14854" t="s">
        <v>16</v>
      </c>
      <c r="B14854" t="s">
        <v>3221</v>
      </c>
      <c r="C14854">
        <v>18620</v>
      </c>
      <c r="D14854" t="s">
        <v>1158</v>
      </c>
      <c r="E14854" t="s">
        <v>1159</v>
      </c>
      <c r="F14854">
        <v>1844.43</v>
      </c>
      <c r="G14854">
        <v>231227</v>
      </c>
      <c r="H14854">
        <v>4430</v>
      </c>
      <c r="I14854" t="s">
        <v>1276</v>
      </c>
      <c r="J14854">
        <v>1941.5</v>
      </c>
      <c r="K14854">
        <v>97.07</v>
      </c>
      <c r="L14854">
        <v>11604</v>
      </c>
      <c r="M14854" t="s">
        <v>1277</v>
      </c>
      <c r="N14854" t="str">
        <f t="shared" si="212"/>
        <v xml:space="preserve">57648000    </v>
      </c>
      <c r="O14854">
        <v>240104</v>
      </c>
    </row>
    <row r="14855" spans="1:15" x14ac:dyDescent="0.25">
      <c r="A14855" t="s">
        <v>16</v>
      </c>
      <c r="B14855" t="s">
        <v>3221</v>
      </c>
      <c r="C14855">
        <v>15439</v>
      </c>
      <c r="D14855" t="s">
        <v>2872</v>
      </c>
      <c r="E14855" t="s">
        <v>2873</v>
      </c>
      <c r="F14855">
        <v>3005</v>
      </c>
      <c r="G14855">
        <v>231109</v>
      </c>
      <c r="H14855">
        <v>4470</v>
      </c>
      <c r="I14855" t="s">
        <v>83</v>
      </c>
      <c r="J14855">
        <v>3726.2</v>
      </c>
      <c r="K14855">
        <v>721.2</v>
      </c>
      <c r="L14855">
        <v>67554</v>
      </c>
      <c r="M14855" t="s">
        <v>60</v>
      </c>
      <c r="N14855" t="str">
        <f>"1416        "</f>
        <v xml:space="preserve">1416        </v>
      </c>
      <c r="O14855">
        <v>231113</v>
      </c>
    </row>
    <row r="14856" spans="1:15" x14ac:dyDescent="0.25">
      <c r="A14856" t="s">
        <v>16</v>
      </c>
      <c r="B14856" t="s">
        <v>3221</v>
      </c>
      <c r="C14856">
        <v>6032</v>
      </c>
      <c r="D14856" t="s">
        <v>1878</v>
      </c>
      <c r="E14856" t="s">
        <v>1879</v>
      </c>
      <c r="F14856">
        <v>132</v>
      </c>
      <c r="G14856">
        <v>230426</v>
      </c>
      <c r="H14856">
        <v>4532</v>
      </c>
      <c r="I14856" t="s">
        <v>116</v>
      </c>
      <c r="J14856">
        <v>163.68</v>
      </c>
      <c r="K14856">
        <v>31.68</v>
      </c>
      <c r="L14856">
        <v>46557</v>
      </c>
      <c r="M14856" t="s">
        <v>221</v>
      </c>
      <c r="N14856" t="str">
        <f>"712129      "</f>
        <v xml:space="preserve">712129      </v>
      </c>
      <c r="O14856">
        <v>230505</v>
      </c>
    </row>
    <row r="14857" spans="1:15" x14ac:dyDescent="0.25">
      <c r="A14857" t="s">
        <v>16</v>
      </c>
      <c r="B14857" t="s">
        <v>3221</v>
      </c>
      <c r="C14857">
        <v>5627</v>
      </c>
      <c r="D14857" t="s">
        <v>1878</v>
      </c>
      <c r="E14857" t="s">
        <v>1879</v>
      </c>
      <c r="F14857">
        <v>449.59</v>
      </c>
      <c r="G14857">
        <v>230426</v>
      </c>
      <c r="H14857">
        <v>4600</v>
      </c>
      <c r="I14857" t="s">
        <v>105</v>
      </c>
      <c r="J14857">
        <v>557.49</v>
      </c>
      <c r="K14857">
        <v>107.9</v>
      </c>
      <c r="L14857">
        <v>11604</v>
      </c>
      <c r="M14857" t="s">
        <v>1277</v>
      </c>
      <c r="N14857" t="str">
        <f>"712127      "</f>
        <v xml:space="preserve">712127      </v>
      </c>
      <c r="O14857">
        <v>230428</v>
      </c>
    </row>
    <row r="14858" spans="1:15" x14ac:dyDescent="0.25">
      <c r="A14858" t="s">
        <v>16</v>
      </c>
      <c r="B14858" t="s">
        <v>3221</v>
      </c>
      <c r="C14858">
        <v>5650</v>
      </c>
      <c r="D14858" t="s">
        <v>1878</v>
      </c>
      <c r="E14858" t="s">
        <v>1879</v>
      </c>
      <c r="F14858">
        <v>449.59</v>
      </c>
      <c r="G14858">
        <v>230426</v>
      </c>
      <c r="H14858">
        <v>4600</v>
      </c>
      <c r="I14858" t="s">
        <v>105</v>
      </c>
      <c r="J14858">
        <v>557.49</v>
      </c>
      <c r="K14858">
        <v>107.9</v>
      </c>
      <c r="L14858">
        <v>11604</v>
      </c>
      <c r="M14858" t="s">
        <v>1277</v>
      </c>
      <c r="N14858" t="str">
        <f>"712130      "</f>
        <v xml:space="preserve">712130      </v>
      </c>
      <c r="O14858">
        <v>230428</v>
      </c>
    </row>
    <row r="14859" spans="1:15" x14ac:dyDescent="0.25">
      <c r="A14859" t="s">
        <v>16</v>
      </c>
      <c r="B14859" t="s">
        <v>3221</v>
      </c>
      <c r="C14859">
        <v>5704</v>
      </c>
      <c r="D14859" t="s">
        <v>1878</v>
      </c>
      <c r="E14859" t="s">
        <v>1879</v>
      </c>
      <c r="F14859">
        <v>142</v>
      </c>
      <c r="G14859">
        <v>230426</v>
      </c>
      <c r="H14859">
        <v>4600</v>
      </c>
      <c r="I14859" t="s">
        <v>105</v>
      </c>
      <c r="J14859">
        <v>176.08</v>
      </c>
      <c r="K14859">
        <v>34.08</v>
      </c>
      <c r="L14859">
        <v>46554</v>
      </c>
      <c r="M14859" t="s">
        <v>117</v>
      </c>
      <c r="N14859" t="str">
        <f>"712128      "</f>
        <v xml:space="preserve">712128      </v>
      </c>
      <c r="O14859">
        <v>230502</v>
      </c>
    </row>
    <row r="14860" spans="1:15" x14ac:dyDescent="0.25">
      <c r="A14860" t="s">
        <v>16</v>
      </c>
      <c r="B14860" t="s">
        <v>3221</v>
      </c>
      <c r="C14860">
        <v>14503</v>
      </c>
      <c r="D14860" t="s">
        <v>1878</v>
      </c>
      <c r="E14860" t="s">
        <v>1879</v>
      </c>
      <c r="F14860">
        <v>449.59</v>
      </c>
      <c r="G14860">
        <v>231025</v>
      </c>
      <c r="H14860">
        <v>4600</v>
      </c>
      <c r="I14860" t="s">
        <v>105</v>
      </c>
      <c r="J14860">
        <v>557.49</v>
      </c>
      <c r="K14860">
        <v>107.9</v>
      </c>
      <c r="L14860">
        <v>11604</v>
      </c>
      <c r="M14860" t="s">
        <v>1277</v>
      </c>
      <c r="N14860" t="str">
        <f>"712177      "</f>
        <v xml:space="preserve">712177      </v>
      </c>
      <c r="O14860">
        <v>231030</v>
      </c>
    </row>
    <row r="14861" spans="1:15" x14ac:dyDescent="0.25">
      <c r="A14861" t="s">
        <v>16</v>
      </c>
      <c r="B14861" t="s">
        <v>3221</v>
      </c>
      <c r="C14861">
        <v>18070</v>
      </c>
      <c r="D14861" t="s">
        <v>1878</v>
      </c>
      <c r="E14861" t="s">
        <v>1879</v>
      </c>
      <c r="F14861">
        <v>166</v>
      </c>
      <c r="G14861">
        <v>231219</v>
      </c>
      <c r="H14861">
        <v>4600</v>
      </c>
      <c r="I14861" t="s">
        <v>105</v>
      </c>
      <c r="J14861">
        <v>205.84</v>
      </c>
      <c r="K14861">
        <v>39.840000000000003</v>
      </c>
      <c r="L14861">
        <v>46556</v>
      </c>
      <c r="M14861" t="s">
        <v>125</v>
      </c>
      <c r="N14861" t="str">
        <f>"712188      "</f>
        <v xml:space="preserve">712188      </v>
      </c>
      <c r="O14861">
        <v>240102</v>
      </c>
    </row>
    <row r="14862" spans="1:15" x14ac:dyDescent="0.25">
      <c r="A14862" t="s">
        <v>16</v>
      </c>
      <c r="B14862" t="s">
        <v>3221</v>
      </c>
      <c r="C14862">
        <v>9131</v>
      </c>
      <c r="D14862" t="s">
        <v>2259</v>
      </c>
      <c r="E14862" t="s">
        <v>2260</v>
      </c>
      <c r="F14862">
        <v>161.29</v>
      </c>
      <c r="G14862">
        <v>230622</v>
      </c>
      <c r="H14862">
        <v>4400</v>
      </c>
      <c r="I14862" t="s">
        <v>348</v>
      </c>
      <c r="J14862">
        <v>200</v>
      </c>
      <c r="K14862">
        <v>38.71</v>
      </c>
      <c r="L14862">
        <v>18972</v>
      </c>
      <c r="M14862" t="s">
        <v>163</v>
      </c>
      <c r="N14862" t="str">
        <f>"0892583827  "</f>
        <v xml:space="preserve">0892583827  </v>
      </c>
      <c r="O14862">
        <v>230628</v>
      </c>
    </row>
    <row r="14863" spans="1:15" x14ac:dyDescent="0.25">
      <c r="A14863" t="s">
        <v>16</v>
      </c>
      <c r="B14863" t="s">
        <v>3221</v>
      </c>
      <c r="C14863">
        <v>18462</v>
      </c>
      <c r="D14863" t="s">
        <v>3048</v>
      </c>
      <c r="E14863" t="s">
        <v>3049</v>
      </c>
      <c r="F14863">
        <v>661</v>
      </c>
      <c r="G14863">
        <v>231227</v>
      </c>
      <c r="H14863">
        <v>4580</v>
      </c>
      <c r="I14863" t="s">
        <v>35</v>
      </c>
      <c r="J14863">
        <v>819.64</v>
      </c>
      <c r="K14863">
        <v>158.63999999999999</v>
      </c>
      <c r="L14863">
        <v>11301</v>
      </c>
      <c r="M14863" t="s">
        <v>29</v>
      </c>
      <c r="N14863" t="str">
        <f>"3188011     "</f>
        <v xml:space="preserve">3188011     </v>
      </c>
      <c r="O14863">
        <v>240103</v>
      </c>
    </row>
    <row r="14864" spans="1:15" x14ac:dyDescent="0.25">
      <c r="A14864" t="s">
        <v>16</v>
      </c>
      <c r="B14864" t="s">
        <v>3221</v>
      </c>
      <c r="C14864">
        <v>17260</v>
      </c>
      <c r="D14864" t="s">
        <v>3048</v>
      </c>
      <c r="E14864" t="s">
        <v>3049</v>
      </c>
      <c r="F14864">
        <v>661.9</v>
      </c>
      <c r="G14864">
        <v>231211</v>
      </c>
      <c r="H14864">
        <v>4600</v>
      </c>
      <c r="I14864" t="s">
        <v>105</v>
      </c>
      <c r="J14864">
        <v>820.76</v>
      </c>
      <c r="K14864">
        <v>158.86000000000001</v>
      </c>
      <c r="L14864">
        <v>11301</v>
      </c>
      <c r="M14864" t="s">
        <v>29</v>
      </c>
      <c r="N14864" t="str">
        <f>"3187823     "</f>
        <v xml:space="preserve">3187823     </v>
      </c>
      <c r="O14864">
        <v>231212</v>
      </c>
    </row>
    <row r="14865" spans="1:15" x14ac:dyDescent="0.25">
      <c r="A14865" t="s">
        <v>16</v>
      </c>
      <c r="B14865" t="s">
        <v>3221</v>
      </c>
      <c r="C14865">
        <v>17924</v>
      </c>
      <c r="D14865" t="s">
        <v>3048</v>
      </c>
      <c r="E14865" t="s">
        <v>3049</v>
      </c>
      <c r="F14865">
        <v>2757.9</v>
      </c>
      <c r="G14865">
        <v>231214</v>
      </c>
      <c r="H14865">
        <v>4530</v>
      </c>
      <c r="I14865" t="s">
        <v>342</v>
      </c>
      <c r="J14865">
        <v>3419.8</v>
      </c>
      <c r="K14865">
        <v>661.9</v>
      </c>
      <c r="L14865">
        <v>11301</v>
      </c>
      <c r="M14865" t="s">
        <v>29</v>
      </c>
      <c r="N14865" t="str">
        <f>"3187838     "</f>
        <v xml:space="preserve">3187838     </v>
      </c>
      <c r="O14865">
        <v>231227</v>
      </c>
    </row>
    <row r="14866" spans="1:15" x14ac:dyDescent="0.25">
      <c r="A14866" t="s">
        <v>16</v>
      </c>
      <c r="B14866" t="s">
        <v>3221</v>
      </c>
      <c r="C14866">
        <v>12580</v>
      </c>
      <c r="D14866" t="s">
        <v>2586</v>
      </c>
      <c r="E14866" t="s">
        <v>2587</v>
      </c>
      <c r="F14866">
        <v>175.8</v>
      </c>
      <c r="G14866">
        <v>230914</v>
      </c>
      <c r="H14866">
        <v>4580</v>
      </c>
      <c r="I14866" t="s">
        <v>35</v>
      </c>
      <c r="J14866">
        <v>217.99</v>
      </c>
      <c r="K14866">
        <v>42.19</v>
      </c>
      <c r="L14866">
        <v>46557</v>
      </c>
      <c r="M14866" t="s">
        <v>221</v>
      </c>
      <c r="N14866" t="str">
        <f>"20230352    "</f>
        <v xml:space="preserve">20230352    </v>
      </c>
      <c r="O14866">
        <v>230922</v>
      </c>
    </row>
    <row r="14867" spans="1:15" x14ac:dyDescent="0.25">
      <c r="A14867" t="s">
        <v>16</v>
      </c>
      <c r="B14867" t="s">
        <v>3221</v>
      </c>
      <c r="C14867">
        <v>14474</v>
      </c>
      <c r="D14867" t="s">
        <v>3280</v>
      </c>
      <c r="E14867" t="s">
        <v>3281</v>
      </c>
      <c r="F14867">
        <v>128</v>
      </c>
      <c r="G14867">
        <v>231017</v>
      </c>
      <c r="H14867">
        <v>4346</v>
      </c>
      <c r="I14867" t="s">
        <v>197</v>
      </c>
      <c r="J14867">
        <v>128</v>
      </c>
      <c r="K14867">
        <v>0</v>
      </c>
      <c r="L14867">
        <v>17952</v>
      </c>
      <c r="M14867" t="s">
        <v>88</v>
      </c>
      <c r="N14867" t="str">
        <f>"15501842    "</f>
        <v xml:space="preserve">15501842    </v>
      </c>
      <c r="O14867">
        <v>231030</v>
      </c>
    </row>
    <row r="14868" spans="1:15" x14ac:dyDescent="0.25">
      <c r="A14868" t="s">
        <v>16</v>
      </c>
      <c r="B14868" t="s">
        <v>3221</v>
      </c>
      <c r="C14868">
        <v>16468</v>
      </c>
      <c r="D14868" t="s">
        <v>3280</v>
      </c>
      <c r="E14868" t="s">
        <v>3281</v>
      </c>
      <c r="F14868">
        <v>128</v>
      </c>
      <c r="G14868">
        <v>231114</v>
      </c>
      <c r="H14868">
        <v>4346</v>
      </c>
      <c r="I14868" t="s">
        <v>197</v>
      </c>
      <c r="J14868">
        <v>128</v>
      </c>
      <c r="K14868">
        <v>0</v>
      </c>
      <c r="L14868">
        <v>49501</v>
      </c>
      <c r="M14868" t="s">
        <v>177</v>
      </c>
      <c r="N14868" t="str">
        <f>"15502319    "</f>
        <v xml:space="preserve">15502319    </v>
      </c>
      <c r="O14868">
        <v>231201</v>
      </c>
    </row>
    <row r="14869" spans="1:15" x14ac:dyDescent="0.25">
      <c r="A14869" t="s">
        <v>16</v>
      </c>
      <c r="B14869" t="s">
        <v>3221</v>
      </c>
      <c r="C14869">
        <v>14517</v>
      </c>
      <c r="D14869" t="s">
        <v>3280</v>
      </c>
      <c r="E14869" t="s">
        <v>3281</v>
      </c>
      <c r="F14869">
        <v>800</v>
      </c>
      <c r="G14869">
        <v>231019</v>
      </c>
      <c r="H14869">
        <v>4940</v>
      </c>
      <c r="I14869" t="s">
        <v>514</v>
      </c>
      <c r="J14869">
        <v>800</v>
      </c>
      <c r="K14869">
        <v>0</v>
      </c>
      <c r="L14869">
        <v>14952</v>
      </c>
      <c r="M14869" t="s">
        <v>99</v>
      </c>
      <c r="N14869" t="str">
        <f>"15501872    "</f>
        <v xml:space="preserve">15501872    </v>
      </c>
      <c r="O14869">
        <v>231030</v>
      </c>
    </row>
    <row r="14870" spans="1:15" x14ac:dyDescent="0.25">
      <c r="A14870" t="s">
        <v>16</v>
      </c>
      <c r="B14870" t="s">
        <v>3221</v>
      </c>
      <c r="C14870">
        <v>19292</v>
      </c>
      <c r="D14870" t="s">
        <v>3280</v>
      </c>
      <c r="E14870" t="s">
        <v>3281</v>
      </c>
      <c r="F14870">
        <v>800</v>
      </c>
      <c r="G14870">
        <v>231231</v>
      </c>
      <c r="H14870">
        <v>4940</v>
      </c>
      <c r="I14870" t="s">
        <v>514</v>
      </c>
      <c r="J14870">
        <v>800</v>
      </c>
      <c r="K14870">
        <v>0</v>
      </c>
      <c r="L14870">
        <v>14952</v>
      </c>
      <c r="M14870" t="s">
        <v>99</v>
      </c>
      <c r="N14870" t="str">
        <f>"15502732    "</f>
        <v xml:space="preserve">15502732    </v>
      </c>
      <c r="O14870">
        <v>240116</v>
      </c>
    </row>
    <row r="14871" spans="1:15" x14ac:dyDescent="0.25">
      <c r="A14871" t="s">
        <v>16</v>
      </c>
      <c r="B14871" t="s">
        <v>3221</v>
      </c>
      <c r="C14871">
        <v>12896</v>
      </c>
      <c r="D14871" t="s">
        <v>3280</v>
      </c>
      <c r="E14871" t="s">
        <v>3281</v>
      </c>
      <c r="F14871">
        <v>128</v>
      </c>
      <c r="G14871">
        <v>230919</v>
      </c>
      <c r="H14871">
        <v>4470</v>
      </c>
      <c r="I14871" t="s">
        <v>83</v>
      </c>
      <c r="J14871">
        <v>128</v>
      </c>
      <c r="K14871">
        <v>0</v>
      </c>
      <c r="L14871">
        <v>59505</v>
      </c>
      <c r="M14871" t="s">
        <v>72</v>
      </c>
      <c r="N14871" t="str">
        <f>"15501441    "</f>
        <v xml:space="preserve">15501441    </v>
      </c>
      <c r="O14871">
        <v>230929</v>
      </c>
    </row>
    <row r="14872" spans="1:15" x14ac:dyDescent="0.25">
      <c r="A14872" t="s">
        <v>16</v>
      </c>
      <c r="B14872" t="s">
        <v>3221</v>
      </c>
      <c r="C14872">
        <v>15007</v>
      </c>
      <c r="D14872" t="s">
        <v>3280</v>
      </c>
      <c r="E14872" t="s">
        <v>3281</v>
      </c>
      <c r="F14872">
        <v>99.2</v>
      </c>
      <c r="G14872">
        <v>231026</v>
      </c>
      <c r="H14872">
        <v>4430</v>
      </c>
      <c r="I14872" t="s">
        <v>1276</v>
      </c>
      <c r="J14872">
        <v>99.2</v>
      </c>
      <c r="K14872">
        <v>0</v>
      </c>
      <c r="L14872">
        <v>17711</v>
      </c>
      <c r="M14872" t="s">
        <v>65</v>
      </c>
      <c r="N14872" t="str">
        <f>"9216974     "</f>
        <v xml:space="preserve">9216974     </v>
      </c>
      <c r="O14872">
        <v>231108</v>
      </c>
    </row>
    <row r="14873" spans="1:15" x14ac:dyDescent="0.25">
      <c r="A14873" t="s">
        <v>16</v>
      </c>
      <c r="B14873" t="s">
        <v>3221</v>
      </c>
      <c r="C14873">
        <v>7155</v>
      </c>
      <c r="D14873" t="s">
        <v>570</v>
      </c>
      <c r="E14873" t="s">
        <v>571</v>
      </c>
      <c r="F14873">
        <v>2.89</v>
      </c>
      <c r="G14873">
        <v>230519</v>
      </c>
      <c r="H14873">
        <v>4840</v>
      </c>
      <c r="I14873" t="s">
        <v>19</v>
      </c>
      <c r="J14873">
        <v>3.58</v>
      </c>
      <c r="K14873">
        <v>0.69</v>
      </c>
      <c r="L14873">
        <v>13540</v>
      </c>
      <c r="M14873" t="s">
        <v>85</v>
      </c>
      <c r="N14873" t="str">
        <f>"53048326    "</f>
        <v xml:space="preserve">53048326    </v>
      </c>
      <c r="O14873">
        <v>230525</v>
      </c>
    </row>
    <row r="14874" spans="1:15" x14ac:dyDescent="0.25">
      <c r="A14874" t="s">
        <v>16</v>
      </c>
      <c r="B14874" t="s">
        <v>3221</v>
      </c>
      <c r="C14874">
        <v>7155</v>
      </c>
      <c r="D14874" t="s">
        <v>570</v>
      </c>
      <c r="E14874" t="s">
        <v>571</v>
      </c>
      <c r="F14874">
        <v>19.68</v>
      </c>
      <c r="G14874">
        <v>230519</v>
      </c>
      <c r="H14874">
        <v>4840</v>
      </c>
      <c r="I14874" t="s">
        <v>19</v>
      </c>
      <c r="J14874">
        <v>24.4</v>
      </c>
      <c r="K14874">
        <v>4.72</v>
      </c>
      <c r="L14874">
        <v>17950</v>
      </c>
      <c r="M14874" t="s">
        <v>86</v>
      </c>
      <c r="N14874" t="str">
        <f>"53048326    "</f>
        <v xml:space="preserve">53048326    </v>
      </c>
      <c r="O14874">
        <v>230525</v>
      </c>
    </row>
    <row r="14875" spans="1:15" x14ac:dyDescent="0.25">
      <c r="A14875" t="s">
        <v>16</v>
      </c>
      <c r="B14875" t="s">
        <v>3221</v>
      </c>
      <c r="C14875">
        <v>7155</v>
      </c>
      <c r="D14875" t="s">
        <v>570</v>
      </c>
      <c r="E14875" t="s">
        <v>571</v>
      </c>
      <c r="F14875">
        <v>3.68</v>
      </c>
      <c r="G14875">
        <v>230519</v>
      </c>
      <c r="H14875">
        <v>4840</v>
      </c>
      <c r="I14875" t="s">
        <v>19</v>
      </c>
      <c r="J14875">
        <v>4.5599999999999996</v>
      </c>
      <c r="K14875">
        <v>0.88</v>
      </c>
      <c r="L14875">
        <v>17956</v>
      </c>
      <c r="M14875" t="s">
        <v>53</v>
      </c>
      <c r="N14875" t="str">
        <f>"53048326    "</f>
        <v xml:space="preserve">53048326    </v>
      </c>
      <c r="O14875">
        <v>230525</v>
      </c>
    </row>
    <row r="14876" spans="1:15" x14ac:dyDescent="0.25">
      <c r="A14876" t="s">
        <v>16</v>
      </c>
      <c r="B14876" t="s">
        <v>3221</v>
      </c>
      <c r="C14876">
        <v>7156</v>
      </c>
      <c r="D14876" t="s">
        <v>570</v>
      </c>
      <c r="E14876" t="s">
        <v>571</v>
      </c>
      <c r="F14876">
        <v>220</v>
      </c>
      <c r="G14876">
        <v>230519</v>
      </c>
      <c r="H14876">
        <v>4840</v>
      </c>
      <c r="I14876" t="s">
        <v>19</v>
      </c>
      <c r="J14876">
        <v>272.8</v>
      </c>
      <c r="K14876">
        <v>52.8</v>
      </c>
      <c r="L14876">
        <v>17956</v>
      </c>
      <c r="M14876" t="s">
        <v>53</v>
      </c>
      <c r="N14876" t="str">
        <f>"53048690    "</f>
        <v xml:space="preserve">53048690    </v>
      </c>
      <c r="O14876">
        <v>230525</v>
      </c>
    </row>
    <row r="14877" spans="1:15" x14ac:dyDescent="0.25">
      <c r="A14877" t="s">
        <v>16</v>
      </c>
      <c r="B14877" t="s">
        <v>3221</v>
      </c>
      <c r="C14877">
        <v>12419</v>
      </c>
      <c r="D14877" t="s">
        <v>570</v>
      </c>
      <c r="E14877" t="s">
        <v>571</v>
      </c>
      <c r="F14877">
        <v>220</v>
      </c>
      <c r="G14877">
        <v>230915</v>
      </c>
      <c r="H14877">
        <v>4840</v>
      </c>
      <c r="I14877" t="s">
        <v>19</v>
      </c>
      <c r="J14877">
        <v>272.8</v>
      </c>
      <c r="K14877">
        <v>52.8</v>
      </c>
      <c r="L14877">
        <v>17956</v>
      </c>
      <c r="M14877" t="s">
        <v>53</v>
      </c>
      <c r="N14877" t="str">
        <f>"53121791    "</f>
        <v xml:space="preserve">53121791    </v>
      </c>
      <c r="O14877">
        <v>230919</v>
      </c>
    </row>
    <row r="14878" spans="1:15" x14ac:dyDescent="0.25">
      <c r="A14878" t="s">
        <v>16</v>
      </c>
      <c r="B14878" t="s">
        <v>3221</v>
      </c>
      <c r="C14878">
        <v>12423</v>
      </c>
      <c r="D14878" t="s">
        <v>570</v>
      </c>
      <c r="E14878" t="s">
        <v>571</v>
      </c>
      <c r="F14878">
        <v>2.75</v>
      </c>
      <c r="G14878">
        <v>230915</v>
      </c>
      <c r="H14878">
        <v>4840</v>
      </c>
      <c r="I14878" t="s">
        <v>19</v>
      </c>
      <c r="J14878">
        <v>3.41</v>
      </c>
      <c r="K14878">
        <v>0.66</v>
      </c>
      <c r="L14878">
        <v>13540</v>
      </c>
      <c r="M14878" t="s">
        <v>85</v>
      </c>
      <c r="N14878" t="str">
        <f t="shared" ref="N14878:N14883" si="213">"53121376    "</f>
        <v xml:space="preserve">53121376    </v>
      </c>
      <c r="O14878">
        <v>230919</v>
      </c>
    </row>
    <row r="14879" spans="1:15" x14ac:dyDescent="0.25">
      <c r="A14879" t="s">
        <v>16</v>
      </c>
      <c r="B14879" t="s">
        <v>3221</v>
      </c>
      <c r="C14879">
        <v>12423</v>
      </c>
      <c r="D14879" t="s">
        <v>570</v>
      </c>
      <c r="E14879" t="s">
        <v>571</v>
      </c>
      <c r="F14879">
        <v>2.89</v>
      </c>
      <c r="G14879">
        <v>230915</v>
      </c>
      <c r="H14879">
        <v>4840</v>
      </c>
      <c r="I14879" t="s">
        <v>19</v>
      </c>
      <c r="J14879">
        <v>3.58</v>
      </c>
      <c r="K14879">
        <v>0.69</v>
      </c>
      <c r="L14879">
        <v>13540</v>
      </c>
      <c r="M14879" t="s">
        <v>85</v>
      </c>
      <c r="N14879" t="str">
        <f t="shared" si="213"/>
        <v xml:space="preserve">53121376    </v>
      </c>
      <c r="O14879">
        <v>230919</v>
      </c>
    </row>
    <row r="14880" spans="1:15" x14ac:dyDescent="0.25">
      <c r="A14880" t="s">
        <v>16</v>
      </c>
      <c r="B14880" t="s">
        <v>3221</v>
      </c>
      <c r="C14880">
        <v>12423</v>
      </c>
      <c r="D14880" t="s">
        <v>570</v>
      </c>
      <c r="E14880" t="s">
        <v>571</v>
      </c>
      <c r="F14880">
        <v>15.97</v>
      </c>
      <c r="G14880">
        <v>230915</v>
      </c>
      <c r="H14880">
        <v>4840</v>
      </c>
      <c r="I14880" t="s">
        <v>19</v>
      </c>
      <c r="J14880">
        <v>19.8</v>
      </c>
      <c r="K14880">
        <v>3.83</v>
      </c>
      <c r="L14880">
        <v>13540</v>
      </c>
      <c r="M14880" t="s">
        <v>85</v>
      </c>
      <c r="N14880" t="str">
        <f t="shared" si="213"/>
        <v xml:space="preserve">53121376    </v>
      </c>
      <c r="O14880">
        <v>230919</v>
      </c>
    </row>
    <row r="14881" spans="1:15" x14ac:dyDescent="0.25">
      <c r="A14881" t="s">
        <v>16</v>
      </c>
      <c r="B14881" t="s">
        <v>3221</v>
      </c>
      <c r="C14881">
        <v>12423</v>
      </c>
      <c r="D14881" t="s">
        <v>570</v>
      </c>
      <c r="E14881" t="s">
        <v>571</v>
      </c>
      <c r="F14881">
        <v>22.25</v>
      </c>
      <c r="G14881">
        <v>230915</v>
      </c>
      <c r="H14881">
        <v>4840</v>
      </c>
      <c r="I14881" t="s">
        <v>19</v>
      </c>
      <c r="J14881">
        <v>27.59</v>
      </c>
      <c r="K14881">
        <v>5.34</v>
      </c>
      <c r="L14881">
        <v>17950</v>
      </c>
      <c r="M14881" t="s">
        <v>86</v>
      </c>
      <c r="N14881" t="str">
        <f t="shared" si="213"/>
        <v xml:space="preserve">53121376    </v>
      </c>
      <c r="O14881">
        <v>230919</v>
      </c>
    </row>
    <row r="14882" spans="1:15" x14ac:dyDescent="0.25">
      <c r="A14882" t="s">
        <v>16</v>
      </c>
      <c r="B14882" t="s">
        <v>3221</v>
      </c>
      <c r="C14882">
        <v>12423</v>
      </c>
      <c r="D14882" t="s">
        <v>570</v>
      </c>
      <c r="E14882" t="s">
        <v>571</v>
      </c>
      <c r="F14882">
        <v>23.35</v>
      </c>
      <c r="G14882">
        <v>230915</v>
      </c>
      <c r="H14882">
        <v>4840</v>
      </c>
      <c r="I14882" t="s">
        <v>19</v>
      </c>
      <c r="J14882">
        <v>28.96</v>
      </c>
      <c r="K14882">
        <v>5.61</v>
      </c>
      <c r="L14882">
        <v>17950</v>
      </c>
      <c r="M14882" t="s">
        <v>86</v>
      </c>
      <c r="N14882" t="str">
        <f t="shared" si="213"/>
        <v xml:space="preserve">53121376    </v>
      </c>
      <c r="O14882">
        <v>230919</v>
      </c>
    </row>
    <row r="14883" spans="1:15" x14ac:dyDescent="0.25">
      <c r="A14883" t="s">
        <v>16</v>
      </c>
      <c r="B14883" t="s">
        <v>3221</v>
      </c>
      <c r="C14883">
        <v>12423</v>
      </c>
      <c r="D14883" t="s">
        <v>570</v>
      </c>
      <c r="E14883" t="s">
        <v>571</v>
      </c>
      <c r="F14883">
        <v>129.26</v>
      </c>
      <c r="G14883">
        <v>230915</v>
      </c>
      <c r="H14883">
        <v>4840</v>
      </c>
      <c r="I14883" t="s">
        <v>19</v>
      </c>
      <c r="J14883">
        <v>160.28</v>
      </c>
      <c r="K14883">
        <v>31.02</v>
      </c>
      <c r="L14883">
        <v>17950</v>
      </c>
      <c r="M14883" t="s">
        <v>86</v>
      </c>
      <c r="N14883" t="str">
        <f t="shared" si="213"/>
        <v xml:space="preserve">53121376    </v>
      </c>
      <c r="O14883">
        <v>230919</v>
      </c>
    </row>
    <row r="14884" spans="1:15" x14ac:dyDescent="0.25">
      <c r="A14884" t="s">
        <v>16</v>
      </c>
      <c r="B14884" t="s">
        <v>3221</v>
      </c>
      <c r="C14884">
        <v>19179</v>
      </c>
      <c r="D14884" t="s">
        <v>570</v>
      </c>
      <c r="E14884" t="s">
        <v>571</v>
      </c>
      <c r="F14884">
        <v>169.74</v>
      </c>
      <c r="G14884">
        <v>240108</v>
      </c>
      <c r="H14884">
        <v>4840</v>
      </c>
      <c r="I14884" t="s">
        <v>19</v>
      </c>
      <c r="J14884">
        <v>210.48</v>
      </c>
      <c r="K14884">
        <v>40.74</v>
      </c>
      <c r="L14884">
        <v>17956</v>
      </c>
      <c r="M14884" t="s">
        <v>53</v>
      </c>
      <c r="N14884" t="str">
        <f>"53176630    "</f>
        <v xml:space="preserve">53176630    </v>
      </c>
      <c r="O14884">
        <v>240129</v>
      </c>
    </row>
    <row r="14885" spans="1:15" x14ac:dyDescent="0.25">
      <c r="A14885" t="s">
        <v>16</v>
      </c>
      <c r="B14885" t="s">
        <v>3221</v>
      </c>
      <c r="C14885">
        <v>19184</v>
      </c>
      <c r="D14885" t="s">
        <v>570</v>
      </c>
      <c r="E14885" t="s">
        <v>571</v>
      </c>
      <c r="F14885">
        <v>13.87</v>
      </c>
      <c r="G14885">
        <v>240108</v>
      </c>
      <c r="H14885">
        <v>4840</v>
      </c>
      <c r="I14885" t="s">
        <v>19</v>
      </c>
      <c r="J14885">
        <v>17.2</v>
      </c>
      <c r="K14885">
        <v>3.33</v>
      </c>
      <c r="L14885">
        <v>13540</v>
      </c>
      <c r="M14885" t="s">
        <v>85</v>
      </c>
      <c r="N14885" t="str">
        <f>"53176621    "</f>
        <v xml:space="preserve">53176621    </v>
      </c>
      <c r="O14885">
        <v>240129</v>
      </c>
    </row>
    <row r="14886" spans="1:15" x14ac:dyDescent="0.25">
      <c r="A14886" t="s">
        <v>16</v>
      </c>
      <c r="B14886" t="s">
        <v>3221</v>
      </c>
      <c r="C14886">
        <v>19184</v>
      </c>
      <c r="D14886" t="s">
        <v>570</v>
      </c>
      <c r="E14886" t="s">
        <v>571</v>
      </c>
      <c r="F14886">
        <v>112.35</v>
      </c>
      <c r="G14886">
        <v>240108</v>
      </c>
      <c r="H14886">
        <v>4840</v>
      </c>
      <c r="I14886" t="s">
        <v>19</v>
      </c>
      <c r="J14886">
        <v>139.32</v>
      </c>
      <c r="K14886">
        <v>26.97</v>
      </c>
      <c r="L14886">
        <v>17950</v>
      </c>
      <c r="M14886" t="s">
        <v>86</v>
      </c>
      <c r="N14886" t="str">
        <f>"53176621    "</f>
        <v xml:space="preserve">53176621    </v>
      </c>
      <c r="O14886">
        <v>240129</v>
      </c>
    </row>
    <row r="14887" spans="1:15" x14ac:dyDescent="0.25">
      <c r="A14887" t="s">
        <v>16</v>
      </c>
      <c r="B14887" t="s">
        <v>3221</v>
      </c>
      <c r="C14887">
        <v>472</v>
      </c>
      <c r="D14887" t="s">
        <v>570</v>
      </c>
      <c r="E14887" t="s">
        <v>571</v>
      </c>
      <c r="F14887">
        <v>16.940000000000001</v>
      </c>
      <c r="G14887">
        <v>230118</v>
      </c>
      <c r="H14887">
        <v>4380</v>
      </c>
      <c r="I14887" t="s">
        <v>113</v>
      </c>
      <c r="J14887">
        <v>21.01</v>
      </c>
      <c r="K14887">
        <v>4.07</v>
      </c>
      <c r="L14887">
        <v>17950</v>
      </c>
      <c r="M14887" t="s">
        <v>86</v>
      </c>
      <c r="N14887" t="str">
        <f>"1213727     "</f>
        <v xml:space="preserve">1213727     </v>
      </c>
      <c r="O14887">
        <v>230123</v>
      </c>
    </row>
    <row r="14888" spans="1:15" x14ac:dyDescent="0.25">
      <c r="A14888" t="s">
        <v>16</v>
      </c>
      <c r="B14888" t="s">
        <v>3221</v>
      </c>
      <c r="C14888">
        <v>2363</v>
      </c>
      <c r="D14888" t="s">
        <v>570</v>
      </c>
      <c r="E14888" t="s">
        <v>571</v>
      </c>
      <c r="F14888">
        <v>548.32000000000005</v>
      </c>
      <c r="G14888">
        <v>230220</v>
      </c>
      <c r="H14888">
        <v>4380</v>
      </c>
      <c r="I14888" t="s">
        <v>113</v>
      </c>
      <c r="J14888">
        <v>679.92</v>
      </c>
      <c r="K14888">
        <v>131.6</v>
      </c>
      <c r="L14888">
        <v>49501</v>
      </c>
      <c r="M14888" t="s">
        <v>177</v>
      </c>
      <c r="N14888" t="str">
        <f>"1300965     "</f>
        <v xml:space="preserve">1300965     </v>
      </c>
      <c r="O14888">
        <v>230224</v>
      </c>
    </row>
    <row r="14889" spans="1:15" x14ac:dyDescent="0.25">
      <c r="A14889" t="s">
        <v>16</v>
      </c>
      <c r="B14889" t="s">
        <v>3221</v>
      </c>
      <c r="C14889">
        <v>5576</v>
      </c>
      <c r="D14889" t="s">
        <v>570</v>
      </c>
      <c r="E14889" t="s">
        <v>571</v>
      </c>
      <c r="F14889">
        <v>1247</v>
      </c>
      <c r="G14889">
        <v>230421</v>
      </c>
      <c r="H14889">
        <v>4380</v>
      </c>
      <c r="I14889" t="s">
        <v>113</v>
      </c>
      <c r="J14889">
        <v>1546.28</v>
      </c>
      <c r="K14889">
        <v>299.27999999999997</v>
      </c>
      <c r="L14889">
        <v>14951</v>
      </c>
      <c r="M14889" t="s">
        <v>57</v>
      </c>
      <c r="N14889" t="str">
        <f>"53017267    "</f>
        <v xml:space="preserve">53017267    </v>
      </c>
      <c r="O14889">
        <v>230427</v>
      </c>
    </row>
    <row r="14890" spans="1:15" x14ac:dyDescent="0.25">
      <c r="A14890" t="s">
        <v>16</v>
      </c>
      <c r="B14890" t="s">
        <v>3221</v>
      </c>
      <c r="C14890">
        <v>5583</v>
      </c>
      <c r="D14890" t="s">
        <v>570</v>
      </c>
      <c r="E14890" t="s">
        <v>571</v>
      </c>
      <c r="F14890">
        <v>25.76</v>
      </c>
      <c r="G14890">
        <v>230421</v>
      </c>
      <c r="H14890">
        <v>4380</v>
      </c>
      <c r="I14890" t="s">
        <v>113</v>
      </c>
      <c r="J14890">
        <v>31.94</v>
      </c>
      <c r="K14890">
        <v>6.18</v>
      </c>
      <c r="L14890">
        <v>11401</v>
      </c>
      <c r="M14890" t="s">
        <v>84</v>
      </c>
      <c r="N14890" t="str">
        <f>"53011763    "</f>
        <v xml:space="preserve">53011763    </v>
      </c>
      <c r="O14890">
        <v>230427</v>
      </c>
    </row>
    <row r="14891" spans="1:15" x14ac:dyDescent="0.25">
      <c r="A14891" t="s">
        <v>16</v>
      </c>
      <c r="B14891" t="s">
        <v>3221</v>
      </c>
      <c r="C14891">
        <v>5583</v>
      </c>
      <c r="D14891" t="s">
        <v>570</v>
      </c>
      <c r="E14891" t="s">
        <v>571</v>
      </c>
      <c r="F14891">
        <v>51.53</v>
      </c>
      <c r="G14891">
        <v>230421</v>
      </c>
      <c r="H14891">
        <v>4380</v>
      </c>
      <c r="I14891" t="s">
        <v>113</v>
      </c>
      <c r="J14891">
        <v>63.9</v>
      </c>
      <c r="K14891">
        <v>12.37</v>
      </c>
      <c r="L14891">
        <v>14952</v>
      </c>
      <c r="M14891" t="s">
        <v>99</v>
      </c>
      <c r="N14891" t="str">
        <f>"53011763    "</f>
        <v xml:space="preserve">53011763    </v>
      </c>
      <c r="O14891">
        <v>230427</v>
      </c>
    </row>
    <row r="14892" spans="1:15" x14ac:dyDescent="0.25">
      <c r="A14892" t="s">
        <v>16</v>
      </c>
      <c r="B14892" t="s">
        <v>3221</v>
      </c>
      <c r="C14892">
        <v>5662</v>
      </c>
      <c r="D14892" t="s">
        <v>570</v>
      </c>
      <c r="E14892" t="s">
        <v>571</v>
      </c>
      <c r="F14892">
        <v>1129.71</v>
      </c>
      <c r="G14892">
        <v>230426</v>
      </c>
      <c r="H14892">
        <v>4380</v>
      </c>
      <c r="I14892" t="s">
        <v>113</v>
      </c>
      <c r="J14892">
        <v>1400.84</v>
      </c>
      <c r="K14892">
        <v>271.13</v>
      </c>
      <c r="L14892">
        <v>17952</v>
      </c>
      <c r="M14892" t="s">
        <v>88</v>
      </c>
      <c r="N14892" t="str">
        <f>"53039667    "</f>
        <v xml:space="preserve">53039667    </v>
      </c>
      <c r="O14892">
        <v>230428</v>
      </c>
    </row>
    <row r="14893" spans="1:15" x14ac:dyDescent="0.25">
      <c r="A14893" t="s">
        <v>16</v>
      </c>
      <c r="B14893" t="s">
        <v>3221</v>
      </c>
      <c r="C14893">
        <v>5663</v>
      </c>
      <c r="D14893" t="s">
        <v>570</v>
      </c>
      <c r="E14893" t="s">
        <v>571</v>
      </c>
      <c r="F14893">
        <v>1875.36</v>
      </c>
      <c r="G14893">
        <v>230426</v>
      </c>
      <c r="H14893">
        <v>4380</v>
      </c>
      <c r="I14893" t="s">
        <v>113</v>
      </c>
      <c r="J14893">
        <v>2325.4499999999998</v>
      </c>
      <c r="K14893">
        <v>450.09</v>
      </c>
      <c r="L14893">
        <v>17951</v>
      </c>
      <c r="M14893" t="s">
        <v>87</v>
      </c>
      <c r="N14893" t="str">
        <f>"53039874    "</f>
        <v xml:space="preserve">53039874    </v>
      </c>
      <c r="O14893">
        <v>230428</v>
      </c>
    </row>
    <row r="14894" spans="1:15" x14ac:dyDescent="0.25">
      <c r="A14894" t="s">
        <v>16</v>
      </c>
      <c r="B14894" t="s">
        <v>3221</v>
      </c>
      <c r="C14894">
        <v>5811</v>
      </c>
      <c r="D14894" t="s">
        <v>570</v>
      </c>
      <c r="E14894" t="s">
        <v>571</v>
      </c>
      <c r="F14894">
        <v>303.95999999999998</v>
      </c>
      <c r="G14894">
        <v>230421</v>
      </c>
      <c r="H14894">
        <v>4380</v>
      </c>
      <c r="I14894" t="s">
        <v>113</v>
      </c>
      <c r="J14894">
        <v>376.91</v>
      </c>
      <c r="K14894">
        <v>72.95</v>
      </c>
      <c r="L14894">
        <v>49501</v>
      </c>
      <c r="M14894" t="s">
        <v>177</v>
      </c>
      <c r="N14894" t="str">
        <f>"1302800     "</f>
        <v xml:space="preserve">1302800     </v>
      </c>
      <c r="O14894">
        <v>230503</v>
      </c>
    </row>
    <row r="14895" spans="1:15" x14ac:dyDescent="0.25">
      <c r="A14895" t="s">
        <v>16</v>
      </c>
      <c r="B14895" t="s">
        <v>3221</v>
      </c>
      <c r="C14895">
        <v>7155</v>
      </c>
      <c r="D14895" t="s">
        <v>570</v>
      </c>
      <c r="E14895" t="s">
        <v>571</v>
      </c>
      <c r="F14895">
        <v>33.19</v>
      </c>
      <c r="G14895">
        <v>230519</v>
      </c>
      <c r="H14895">
        <v>4380</v>
      </c>
      <c r="I14895" t="s">
        <v>113</v>
      </c>
      <c r="J14895">
        <v>41.16</v>
      </c>
      <c r="K14895">
        <v>7.97</v>
      </c>
      <c r="L14895">
        <v>13540</v>
      </c>
      <c r="M14895" t="s">
        <v>85</v>
      </c>
      <c r="N14895" t="str">
        <f t="shared" ref="N14895:N14900" si="214">"53048326    "</f>
        <v xml:space="preserve">53048326    </v>
      </c>
      <c r="O14895">
        <v>230525</v>
      </c>
    </row>
    <row r="14896" spans="1:15" x14ac:dyDescent="0.25">
      <c r="A14896" t="s">
        <v>16</v>
      </c>
      <c r="B14896" t="s">
        <v>3221</v>
      </c>
      <c r="C14896">
        <v>7155</v>
      </c>
      <c r="D14896" t="s">
        <v>570</v>
      </c>
      <c r="E14896" t="s">
        <v>571</v>
      </c>
      <c r="F14896">
        <v>103.75</v>
      </c>
      <c r="G14896">
        <v>230519</v>
      </c>
      <c r="H14896">
        <v>4380</v>
      </c>
      <c r="I14896" t="s">
        <v>113</v>
      </c>
      <c r="J14896">
        <v>128.65</v>
      </c>
      <c r="K14896">
        <v>24.9</v>
      </c>
      <c r="L14896">
        <v>13540</v>
      </c>
      <c r="M14896" t="s">
        <v>85</v>
      </c>
      <c r="N14896" t="str">
        <f t="shared" si="214"/>
        <v xml:space="preserve">53048326    </v>
      </c>
      <c r="O14896">
        <v>230525</v>
      </c>
    </row>
    <row r="14897" spans="1:15" x14ac:dyDescent="0.25">
      <c r="A14897" t="s">
        <v>16</v>
      </c>
      <c r="B14897" t="s">
        <v>3221</v>
      </c>
      <c r="C14897">
        <v>7155</v>
      </c>
      <c r="D14897" t="s">
        <v>570</v>
      </c>
      <c r="E14897" t="s">
        <v>571</v>
      </c>
      <c r="F14897">
        <v>36.75</v>
      </c>
      <c r="G14897">
        <v>230519</v>
      </c>
      <c r="H14897">
        <v>4380</v>
      </c>
      <c r="I14897" t="s">
        <v>113</v>
      </c>
      <c r="J14897">
        <v>45.57</v>
      </c>
      <c r="K14897">
        <v>8.82</v>
      </c>
      <c r="L14897">
        <v>17918</v>
      </c>
      <c r="M14897" t="s">
        <v>137</v>
      </c>
      <c r="N14897" t="str">
        <f t="shared" si="214"/>
        <v xml:space="preserve">53048326    </v>
      </c>
      <c r="O14897">
        <v>230525</v>
      </c>
    </row>
    <row r="14898" spans="1:15" x14ac:dyDescent="0.25">
      <c r="A14898" t="s">
        <v>16</v>
      </c>
      <c r="B14898" t="s">
        <v>3221</v>
      </c>
      <c r="C14898">
        <v>7155</v>
      </c>
      <c r="D14898" t="s">
        <v>570</v>
      </c>
      <c r="E14898" t="s">
        <v>571</v>
      </c>
      <c r="F14898">
        <v>297.35000000000002</v>
      </c>
      <c r="G14898">
        <v>230519</v>
      </c>
      <c r="H14898">
        <v>4380</v>
      </c>
      <c r="I14898" t="s">
        <v>113</v>
      </c>
      <c r="J14898">
        <v>368.71</v>
      </c>
      <c r="K14898">
        <v>71.36</v>
      </c>
      <c r="L14898">
        <v>17918</v>
      </c>
      <c r="M14898" t="s">
        <v>137</v>
      </c>
      <c r="N14898" t="str">
        <f t="shared" si="214"/>
        <v xml:space="preserve">53048326    </v>
      </c>
      <c r="O14898">
        <v>230525</v>
      </c>
    </row>
    <row r="14899" spans="1:15" x14ac:dyDescent="0.25">
      <c r="A14899" t="s">
        <v>16</v>
      </c>
      <c r="B14899" t="s">
        <v>3221</v>
      </c>
      <c r="C14899">
        <v>7155</v>
      </c>
      <c r="D14899" t="s">
        <v>570</v>
      </c>
      <c r="E14899" t="s">
        <v>571</v>
      </c>
      <c r="F14899">
        <v>268.56</v>
      </c>
      <c r="G14899">
        <v>230519</v>
      </c>
      <c r="H14899">
        <v>4380</v>
      </c>
      <c r="I14899" t="s">
        <v>113</v>
      </c>
      <c r="J14899">
        <v>333.02</v>
      </c>
      <c r="K14899">
        <v>64.459999999999994</v>
      </c>
      <c r="L14899">
        <v>17950</v>
      </c>
      <c r="M14899" t="s">
        <v>86</v>
      </c>
      <c r="N14899" t="str">
        <f t="shared" si="214"/>
        <v xml:space="preserve">53048326    </v>
      </c>
      <c r="O14899">
        <v>230525</v>
      </c>
    </row>
    <row r="14900" spans="1:15" x14ac:dyDescent="0.25">
      <c r="A14900" t="s">
        <v>16</v>
      </c>
      <c r="B14900" t="s">
        <v>3221</v>
      </c>
      <c r="C14900">
        <v>7155</v>
      </c>
      <c r="D14900" t="s">
        <v>570</v>
      </c>
      <c r="E14900" t="s">
        <v>571</v>
      </c>
      <c r="F14900">
        <v>839.41</v>
      </c>
      <c r="G14900">
        <v>230519</v>
      </c>
      <c r="H14900">
        <v>4380</v>
      </c>
      <c r="I14900" t="s">
        <v>113</v>
      </c>
      <c r="J14900">
        <v>1040.8699999999999</v>
      </c>
      <c r="K14900">
        <v>201.46</v>
      </c>
      <c r="L14900">
        <v>17950</v>
      </c>
      <c r="M14900" t="s">
        <v>86</v>
      </c>
      <c r="N14900" t="str">
        <f t="shared" si="214"/>
        <v xml:space="preserve">53048326    </v>
      </c>
      <c r="O14900">
        <v>230525</v>
      </c>
    </row>
    <row r="14901" spans="1:15" x14ac:dyDescent="0.25">
      <c r="A14901" t="s">
        <v>16</v>
      </c>
      <c r="B14901" t="s">
        <v>3221</v>
      </c>
      <c r="C14901">
        <v>7156</v>
      </c>
      <c r="D14901" t="s">
        <v>570</v>
      </c>
      <c r="E14901" t="s">
        <v>571</v>
      </c>
      <c r="F14901">
        <v>150.88</v>
      </c>
      <c r="G14901">
        <v>230519</v>
      </c>
      <c r="H14901">
        <v>4380</v>
      </c>
      <c r="I14901" t="s">
        <v>113</v>
      </c>
      <c r="J14901">
        <v>187.09</v>
      </c>
      <c r="K14901">
        <v>36.21</v>
      </c>
      <c r="L14901">
        <v>17956</v>
      </c>
      <c r="M14901" t="s">
        <v>53</v>
      </c>
      <c r="N14901" t="str">
        <f>"53048690    "</f>
        <v xml:space="preserve">53048690    </v>
      </c>
      <c r="O14901">
        <v>230525</v>
      </c>
    </row>
    <row r="14902" spans="1:15" x14ac:dyDescent="0.25">
      <c r="A14902" t="s">
        <v>16</v>
      </c>
      <c r="B14902" t="s">
        <v>3221</v>
      </c>
      <c r="C14902">
        <v>7158</v>
      </c>
      <c r="D14902" t="s">
        <v>570</v>
      </c>
      <c r="E14902" t="s">
        <v>571</v>
      </c>
      <c r="F14902">
        <v>27.16</v>
      </c>
      <c r="G14902">
        <v>230519</v>
      </c>
      <c r="H14902">
        <v>4380</v>
      </c>
      <c r="I14902" t="s">
        <v>113</v>
      </c>
      <c r="J14902">
        <v>33.68</v>
      </c>
      <c r="K14902">
        <v>6.52</v>
      </c>
      <c r="L14902">
        <v>17950</v>
      </c>
      <c r="M14902" t="s">
        <v>86</v>
      </c>
      <c r="N14902" t="str">
        <f>"53047788    "</f>
        <v xml:space="preserve">53047788    </v>
      </c>
      <c r="O14902">
        <v>230525</v>
      </c>
    </row>
    <row r="14903" spans="1:15" x14ac:dyDescent="0.25">
      <c r="A14903" t="s">
        <v>16</v>
      </c>
      <c r="B14903" t="s">
        <v>3221</v>
      </c>
      <c r="C14903">
        <v>8275</v>
      </c>
      <c r="D14903" t="s">
        <v>570</v>
      </c>
      <c r="E14903" t="s">
        <v>571</v>
      </c>
      <c r="F14903">
        <v>294.77999999999997</v>
      </c>
      <c r="G14903">
        <v>230524</v>
      </c>
      <c r="H14903">
        <v>4380</v>
      </c>
      <c r="I14903" t="s">
        <v>113</v>
      </c>
      <c r="J14903">
        <v>365.53</v>
      </c>
      <c r="K14903">
        <v>70.75</v>
      </c>
      <c r="L14903">
        <v>49501</v>
      </c>
      <c r="M14903" t="s">
        <v>177</v>
      </c>
      <c r="N14903" t="str">
        <f>"53052879    "</f>
        <v xml:space="preserve">53052879    </v>
      </c>
      <c r="O14903">
        <v>230608</v>
      </c>
    </row>
    <row r="14904" spans="1:15" x14ac:dyDescent="0.25">
      <c r="A14904" t="s">
        <v>16</v>
      </c>
      <c r="B14904" t="s">
        <v>3221</v>
      </c>
      <c r="C14904">
        <v>8278</v>
      </c>
      <c r="D14904" t="s">
        <v>570</v>
      </c>
      <c r="E14904" t="s">
        <v>571</v>
      </c>
      <c r="F14904">
        <v>1288.77</v>
      </c>
      <c r="G14904">
        <v>230524</v>
      </c>
      <c r="H14904">
        <v>4380</v>
      </c>
      <c r="I14904" t="s">
        <v>113</v>
      </c>
      <c r="J14904">
        <v>1598.07</v>
      </c>
      <c r="K14904">
        <v>309.3</v>
      </c>
      <c r="L14904">
        <v>49501</v>
      </c>
      <c r="M14904" t="s">
        <v>177</v>
      </c>
      <c r="N14904" t="str">
        <f>"53051956    "</f>
        <v xml:space="preserve">53051956    </v>
      </c>
      <c r="O14904">
        <v>230608</v>
      </c>
    </row>
    <row r="14905" spans="1:15" x14ac:dyDescent="0.25">
      <c r="A14905" t="s">
        <v>16</v>
      </c>
      <c r="B14905" t="s">
        <v>3221</v>
      </c>
      <c r="C14905">
        <v>8281</v>
      </c>
      <c r="D14905" t="s">
        <v>570</v>
      </c>
      <c r="E14905" t="s">
        <v>571</v>
      </c>
      <c r="F14905">
        <v>277.44</v>
      </c>
      <c r="G14905">
        <v>230524</v>
      </c>
      <c r="H14905">
        <v>4380</v>
      </c>
      <c r="I14905" t="s">
        <v>113</v>
      </c>
      <c r="J14905">
        <v>344.03</v>
      </c>
      <c r="K14905">
        <v>66.59</v>
      </c>
      <c r="L14905">
        <v>49501</v>
      </c>
      <c r="M14905" t="s">
        <v>177</v>
      </c>
      <c r="N14905" t="str">
        <f>"53052706    "</f>
        <v xml:space="preserve">53052706    </v>
      </c>
      <c r="O14905">
        <v>230608</v>
      </c>
    </row>
    <row r="14906" spans="1:15" x14ac:dyDescent="0.25">
      <c r="A14906" t="s">
        <v>16</v>
      </c>
      <c r="B14906" t="s">
        <v>3221</v>
      </c>
      <c r="C14906">
        <v>9656</v>
      </c>
      <c r="D14906" t="s">
        <v>570</v>
      </c>
      <c r="E14906" t="s">
        <v>571</v>
      </c>
      <c r="F14906">
        <v>1669.31</v>
      </c>
      <c r="G14906">
        <v>230705</v>
      </c>
      <c r="H14906">
        <v>4380</v>
      </c>
      <c r="I14906" t="s">
        <v>113</v>
      </c>
      <c r="J14906">
        <v>2069.94</v>
      </c>
      <c r="K14906">
        <v>400.63</v>
      </c>
      <c r="L14906">
        <v>14951</v>
      </c>
      <c r="M14906" t="s">
        <v>57</v>
      </c>
      <c r="N14906" t="str">
        <f>"53054506    "</f>
        <v xml:space="preserve">53054506    </v>
      </c>
      <c r="O14906">
        <v>230718</v>
      </c>
    </row>
    <row r="14907" spans="1:15" x14ac:dyDescent="0.25">
      <c r="A14907" t="s">
        <v>16</v>
      </c>
      <c r="B14907" t="s">
        <v>3221</v>
      </c>
      <c r="C14907">
        <v>9843</v>
      </c>
      <c r="D14907" t="s">
        <v>570</v>
      </c>
      <c r="E14907" t="s">
        <v>571</v>
      </c>
      <c r="F14907">
        <v>399.98</v>
      </c>
      <c r="G14907">
        <v>230726</v>
      </c>
      <c r="H14907">
        <v>4380</v>
      </c>
      <c r="I14907" t="s">
        <v>113</v>
      </c>
      <c r="J14907">
        <v>495.98</v>
      </c>
      <c r="K14907">
        <v>96</v>
      </c>
      <c r="L14907">
        <v>17913</v>
      </c>
      <c r="M14907" t="s">
        <v>431</v>
      </c>
      <c r="N14907" t="str">
        <f>"53111543    "</f>
        <v xml:space="preserve">53111543    </v>
      </c>
      <c r="O14907">
        <v>230731</v>
      </c>
    </row>
    <row r="14908" spans="1:15" x14ac:dyDescent="0.25">
      <c r="A14908" t="s">
        <v>16</v>
      </c>
      <c r="B14908" t="s">
        <v>3221</v>
      </c>
      <c r="C14908">
        <v>9843</v>
      </c>
      <c r="D14908" t="s">
        <v>570</v>
      </c>
      <c r="E14908" t="s">
        <v>571</v>
      </c>
      <c r="F14908">
        <v>907.84</v>
      </c>
      <c r="G14908">
        <v>230726</v>
      </c>
      <c r="H14908">
        <v>4380</v>
      </c>
      <c r="I14908" t="s">
        <v>113</v>
      </c>
      <c r="J14908">
        <v>1125.72</v>
      </c>
      <c r="K14908">
        <v>217.88</v>
      </c>
      <c r="L14908">
        <v>17951</v>
      </c>
      <c r="M14908" t="s">
        <v>87</v>
      </c>
      <c r="N14908" t="str">
        <f>"53111543    "</f>
        <v xml:space="preserve">53111543    </v>
      </c>
      <c r="O14908">
        <v>230731</v>
      </c>
    </row>
    <row r="14909" spans="1:15" x14ac:dyDescent="0.25">
      <c r="A14909" t="s">
        <v>16</v>
      </c>
      <c r="B14909" t="s">
        <v>3221</v>
      </c>
      <c r="C14909">
        <v>9844</v>
      </c>
      <c r="D14909" t="s">
        <v>570</v>
      </c>
      <c r="E14909" t="s">
        <v>571</v>
      </c>
      <c r="F14909">
        <v>39.130000000000003</v>
      </c>
      <c r="G14909">
        <v>230726</v>
      </c>
      <c r="H14909">
        <v>4380</v>
      </c>
      <c r="I14909" t="s">
        <v>113</v>
      </c>
      <c r="J14909">
        <v>48.52</v>
      </c>
      <c r="K14909">
        <v>9.39</v>
      </c>
      <c r="L14909">
        <v>17915</v>
      </c>
      <c r="M14909" t="s">
        <v>572</v>
      </c>
      <c r="N14909" t="str">
        <f>"53111161    "</f>
        <v xml:space="preserve">53111161    </v>
      </c>
      <c r="O14909">
        <v>230731</v>
      </c>
    </row>
    <row r="14910" spans="1:15" x14ac:dyDescent="0.25">
      <c r="A14910" t="s">
        <v>16</v>
      </c>
      <c r="B14910" t="s">
        <v>3221</v>
      </c>
      <c r="C14910">
        <v>9947</v>
      </c>
      <c r="D14910" t="s">
        <v>570</v>
      </c>
      <c r="E14910" t="s">
        <v>571</v>
      </c>
      <c r="F14910">
        <v>69.33</v>
      </c>
      <c r="G14910">
        <v>230721</v>
      </c>
      <c r="H14910">
        <v>4380</v>
      </c>
      <c r="I14910" t="s">
        <v>113</v>
      </c>
      <c r="J14910">
        <v>85.97</v>
      </c>
      <c r="K14910">
        <v>16.64</v>
      </c>
      <c r="L14910">
        <v>11401</v>
      </c>
      <c r="M14910" t="s">
        <v>84</v>
      </c>
      <c r="N14910" t="str">
        <f>"53087211    "</f>
        <v xml:space="preserve">53087211    </v>
      </c>
      <c r="O14910">
        <v>230802</v>
      </c>
    </row>
    <row r="14911" spans="1:15" x14ac:dyDescent="0.25">
      <c r="A14911" t="s">
        <v>16</v>
      </c>
      <c r="B14911" t="s">
        <v>3221</v>
      </c>
      <c r="C14911">
        <v>9947</v>
      </c>
      <c r="D14911" t="s">
        <v>570</v>
      </c>
      <c r="E14911" t="s">
        <v>571</v>
      </c>
      <c r="F14911">
        <v>138.68</v>
      </c>
      <c r="G14911">
        <v>230721</v>
      </c>
      <c r="H14911">
        <v>4380</v>
      </c>
      <c r="I14911" t="s">
        <v>113</v>
      </c>
      <c r="J14911">
        <v>171.96</v>
      </c>
      <c r="K14911">
        <v>33.28</v>
      </c>
      <c r="L14911">
        <v>14952</v>
      </c>
      <c r="M14911" t="s">
        <v>99</v>
      </c>
      <c r="N14911" t="str">
        <f>"53087211    "</f>
        <v xml:space="preserve">53087211    </v>
      </c>
      <c r="O14911">
        <v>230802</v>
      </c>
    </row>
    <row r="14912" spans="1:15" x14ac:dyDescent="0.25">
      <c r="A14912" t="s">
        <v>16</v>
      </c>
      <c r="B14912" t="s">
        <v>3221</v>
      </c>
      <c r="C14912">
        <v>10099</v>
      </c>
      <c r="D14912" t="s">
        <v>570</v>
      </c>
      <c r="E14912" t="s">
        <v>571</v>
      </c>
      <c r="F14912">
        <v>2387.6999999999998</v>
      </c>
      <c r="G14912">
        <v>230804</v>
      </c>
      <c r="H14912">
        <v>4380</v>
      </c>
      <c r="I14912" t="s">
        <v>113</v>
      </c>
      <c r="J14912">
        <v>2960.75</v>
      </c>
      <c r="K14912">
        <v>573.04999999999995</v>
      </c>
      <c r="L14912">
        <v>17952</v>
      </c>
      <c r="M14912" t="s">
        <v>88</v>
      </c>
      <c r="N14912" t="str">
        <f>"1307322     "</f>
        <v xml:space="preserve">1307322     </v>
      </c>
      <c r="O14912">
        <v>230808</v>
      </c>
    </row>
    <row r="14913" spans="1:15" x14ac:dyDescent="0.25">
      <c r="A14913" t="s">
        <v>16</v>
      </c>
      <c r="B14913" t="s">
        <v>3221</v>
      </c>
      <c r="C14913">
        <v>11006</v>
      </c>
      <c r="D14913" t="s">
        <v>570</v>
      </c>
      <c r="E14913" t="s">
        <v>571</v>
      </c>
      <c r="F14913">
        <v>420.18</v>
      </c>
      <c r="G14913">
        <v>230821</v>
      </c>
      <c r="H14913">
        <v>4380</v>
      </c>
      <c r="I14913" t="s">
        <v>113</v>
      </c>
      <c r="J14913">
        <v>521.02</v>
      </c>
      <c r="K14913">
        <v>100.84</v>
      </c>
      <c r="L14913">
        <v>49501</v>
      </c>
      <c r="M14913" t="s">
        <v>177</v>
      </c>
      <c r="N14913" t="str">
        <f>"1307897     "</f>
        <v xml:space="preserve">1307897     </v>
      </c>
      <c r="O14913">
        <v>230828</v>
      </c>
    </row>
    <row r="14914" spans="1:15" x14ac:dyDescent="0.25">
      <c r="A14914" t="s">
        <v>16</v>
      </c>
      <c r="B14914" t="s">
        <v>3221</v>
      </c>
      <c r="C14914">
        <v>12419</v>
      </c>
      <c r="D14914" t="s">
        <v>570</v>
      </c>
      <c r="E14914" t="s">
        <v>571</v>
      </c>
      <c r="F14914">
        <v>160.31</v>
      </c>
      <c r="G14914">
        <v>230915</v>
      </c>
      <c r="H14914">
        <v>4380</v>
      </c>
      <c r="I14914" t="s">
        <v>113</v>
      </c>
      <c r="J14914">
        <v>198.78</v>
      </c>
      <c r="K14914">
        <v>38.47</v>
      </c>
      <c r="L14914">
        <v>17956</v>
      </c>
      <c r="M14914" t="s">
        <v>53</v>
      </c>
      <c r="N14914" t="str">
        <f>"53121791    "</f>
        <v xml:space="preserve">53121791    </v>
      </c>
      <c r="O14914">
        <v>230919</v>
      </c>
    </row>
    <row r="14915" spans="1:15" x14ac:dyDescent="0.25">
      <c r="A14915" t="s">
        <v>16</v>
      </c>
      <c r="B14915" t="s">
        <v>3221</v>
      </c>
      <c r="C14915">
        <v>12421</v>
      </c>
      <c r="D14915" t="s">
        <v>570</v>
      </c>
      <c r="E14915" t="s">
        <v>571</v>
      </c>
      <c r="F14915">
        <v>51.3</v>
      </c>
      <c r="G14915">
        <v>230915</v>
      </c>
      <c r="H14915">
        <v>4380</v>
      </c>
      <c r="I14915" t="s">
        <v>113</v>
      </c>
      <c r="J14915">
        <v>63.61</v>
      </c>
      <c r="K14915">
        <v>12.31</v>
      </c>
      <c r="L14915">
        <v>17950</v>
      </c>
      <c r="M14915" t="s">
        <v>86</v>
      </c>
      <c r="N14915" t="str">
        <f>"53120754    "</f>
        <v xml:space="preserve">53120754    </v>
      </c>
      <c r="O14915">
        <v>230919</v>
      </c>
    </row>
    <row r="14916" spans="1:15" x14ac:dyDescent="0.25">
      <c r="A14916" t="s">
        <v>16</v>
      </c>
      <c r="B14916" t="s">
        <v>3221</v>
      </c>
      <c r="C14916">
        <v>12423</v>
      </c>
      <c r="D14916" t="s">
        <v>570</v>
      </c>
      <c r="E14916" t="s">
        <v>571</v>
      </c>
      <c r="F14916">
        <v>3.48</v>
      </c>
      <c r="G14916">
        <v>230915</v>
      </c>
      <c r="H14916">
        <v>4380</v>
      </c>
      <c r="I14916" t="s">
        <v>113</v>
      </c>
      <c r="J14916">
        <v>4.32</v>
      </c>
      <c r="K14916">
        <v>0.84</v>
      </c>
      <c r="L14916">
        <v>13540</v>
      </c>
      <c r="M14916" t="s">
        <v>85</v>
      </c>
      <c r="N14916" t="str">
        <f t="shared" ref="N14916:N14923" si="215">"53121376    "</f>
        <v xml:space="preserve">53121376    </v>
      </c>
      <c r="O14916">
        <v>230919</v>
      </c>
    </row>
    <row r="14917" spans="1:15" x14ac:dyDescent="0.25">
      <c r="A14917" t="s">
        <v>16</v>
      </c>
      <c r="B14917" t="s">
        <v>3221</v>
      </c>
      <c r="C14917">
        <v>12423</v>
      </c>
      <c r="D14917" t="s">
        <v>570</v>
      </c>
      <c r="E14917" t="s">
        <v>571</v>
      </c>
      <c r="F14917">
        <v>37.35</v>
      </c>
      <c r="G14917">
        <v>230915</v>
      </c>
      <c r="H14917">
        <v>4380</v>
      </c>
      <c r="I14917" t="s">
        <v>113</v>
      </c>
      <c r="J14917">
        <v>46.31</v>
      </c>
      <c r="K14917">
        <v>8.9600000000000009</v>
      </c>
      <c r="L14917">
        <v>13540</v>
      </c>
      <c r="M14917" t="s">
        <v>85</v>
      </c>
      <c r="N14917" t="str">
        <f t="shared" si="215"/>
        <v xml:space="preserve">53121376    </v>
      </c>
      <c r="O14917">
        <v>230919</v>
      </c>
    </row>
    <row r="14918" spans="1:15" x14ac:dyDescent="0.25">
      <c r="A14918" t="s">
        <v>16</v>
      </c>
      <c r="B14918" t="s">
        <v>3221</v>
      </c>
      <c r="C14918">
        <v>12423</v>
      </c>
      <c r="D14918" t="s">
        <v>570</v>
      </c>
      <c r="E14918" t="s">
        <v>571</v>
      </c>
      <c r="F14918">
        <v>51.45</v>
      </c>
      <c r="G14918">
        <v>230915</v>
      </c>
      <c r="H14918">
        <v>4380</v>
      </c>
      <c r="I14918" t="s">
        <v>113</v>
      </c>
      <c r="J14918">
        <v>63.8</v>
      </c>
      <c r="K14918">
        <v>12.35</v>
      </c>
      <c r="L14918">
        <v>13552</v>
      </c>
      <c r="M14918" t="s">
        <v>624</v>
      </c>
      <c r="N14918" t="str">
        <f t="shared" si="215"/>
        <v xml:space="preserve">53121376    </v>
      </c>
      <c r="O14918">
        <v>230919</v>
      </c>
    </row>
    <row r="14919" spans="1:15" x14ac:dyDescent="0.25">
      <c r="A14919" t="s">
        <v>16</v>
      </c>
      <c r="B14919" t="s">
        <v>3221</v>
      </c>
      <c r="C14919">
        <v>12423</v>
      </c>
      <c r="D14919" t="s">
        <v>570</v>
      </c>
      <c r="E14919" t="s">
        <v>571</v>
      </c>
      <c r="F14919">
        <v>416.29</v>
      </c>
      <c r="G14919">
        <v>230915</v>
      </c>
      <c r="H14919">
        <v>4380</v>
      </c>
      <c r="I14919" t="s">
        <v>113</v>
      </c>
      <c r="J14919">
        <v>516.20000000000005</v>
      </c>
      <c r="K14919">
        <v>99.91</v>
      </c>
      <c r="L14919">
        <v>17918</v>
      </c>
      <c r="M14919" t="s">
        <v>137</v>
      </c>
      <c r="N14919" t="str">
        <f t="shared" si="215"/>
        <v xml:space="preserve">53121376    </v>
      </c>
      <c r="O14919">
        <v>230919</v>
      </c>
    </row>
    <row r="14920" spans="1:15" x14ac:dyDescent="0.25">
      <c r="A14920" t="s">
        <v>16</v>
      </c>
      <c r="B14920" t="s">
        <v>3221</v>
      </c>
      <c r="C14920">
        <v>12423</v>
      </c>
      <c r="D14920" t="s">
        <v>570</v>
      </c>
      <c r="E14920" t="s">
        <v>571</v>
      </c>
      <c r="F14920">
        <v>28.22</v>
      </c>
      <c r="G14920">
        <v>230915</v>
      </c>
      <c r="H14920">
        <v>4380</v>
      </c>
      <c r="I14920" t="s">
        <v>113</v>
      </c>
      <c r="J14920">
        <v>34.99</v>
      </c>
      <c r="K14920">
        <v>6.77</v>
      </c>
      <c r="L14920">
        <v>17950</v>
      </c>
      <c r="M14920" t="s">
        <v>86</v>
      </c>
      <c r="N14920" t="str">
        <f t="shared" si="215"/>
        <v xml:space="preserve">53121376    </v>
      </c>
      <c r="O14920">
        <v>230919</v>
      </c>
    </row>
    <row r="14921" spans="1:15" x14ac:dyDescent="0.25">
      <c r="A14921" t="s">
        <v>16</v>
      </c>
      <c r="B14921" t="s">
        <v>3221</v>
      </c>
      <c r="C14921">
        <v>12423</v>
      </c>
      <c r="D14921" t="s">
        <v>570</v>
      </c>
      <c r="E14921" t="s">
        <v>571</v>
      </c>
      <c r="F14921">
        <v>109.85</v>
      </c>
      <c r="G14921">
        <v>230915</v>
      </c>
      <c r="H14921">
        <v>4380</v>
      </c>
      <c r="I14921" t="s">
        <v>113</v>
      </c>
      <c r="J14921">
        <v>136.21</v>
      </c>
      <c r="K14921">
        <v>26.36</v>
      </c>
      <c r="L14921">
        <v>17950</v>
      </c>
      <c r="M14921" t="s">
        <v>86</v>
      </c>
      <c r="N14921" t="str">
        <f t="shared" si="215"/>
        <v xml:space="preserve">53121376    </v>
      </c>
      <c r="O14921">
        <v>230919</v>
      </c>
    </row>
    <row r="14922" spans="1:15" x14ac:dyDescent="0.25">
      <c r="A14922" t="s">
        <v>16</v>
      </c>
      <c r="B14922" t="s">
        <v>3221</v>
      </c>
      <c r="C14922">
        <v>12423</v>
      </c>
      <c r="D14922" t="s">
        <v>570</v>
      </c>
      <c r="E14922" t="s">
        <v>571</v>
      </c>
      <c r="F14922">
        <v>302.14</v>
      </c>
      <c r="G14922">
        <v>230915</v>
      </c>
      <c r="H14922">
        <v>4380</v>
      </c>
      <c r="I14922" t="s">
        <v>113</v>
      </c>
      <c r="J14922">
        <v>374.65</v>
      </c>
      <c r="K14922">
        <v>72.510000000000005</v>
      </c>
      <c r="L14922">
        <v>17950</v>
      </c>
      <c r="M14922" t="s">
        <v>86</v>
      </c>
      <c r="N14922" t="str">
        <f t="shared" si="215"/>
        <v xml:space="preserve">53121376    </v>
      </c>
      <c r="O14922">
        <v>230919</v>
      </c>
    </row>
    <row r="14923" spans="1:15" x14ac:dyDescent="0.25">
      <c r="A14923" t="s">
        <v>16</v>
      </c>
      <c r="B14923" t="s">
        <v>3221</v>
      </c>
      <c r="C14923">
        <v>12423</v>
      </c>
      <c r="D14923" t="s">
        <v>570</v>
      </c>
      <c r="E14923" t="s">
        <v>571</v>
      </c>
      <c r="F14923">
        <v>888.79</v>
      </c>
      <c r="G14923">
        <v>230915</v>
      </c>
      <c r="H14923">
        <v>4380</v>
      </c>
      <c r="I14923" t="s">
        <v>113</v>
      </c>
      <c r="J14923">
        <v>1102.0999999999999</v>
      </c>
      <c r="K14923">
        <v>213.31</v>
      </c>
      <c r="L14923">
        <v>17950</v>
      </c>
      <c r="M14923" t="s">
        <v>86</v>
      </c>
      <c r="N14923" t="str">
        <f t="shared" si="215"/>
        <v xml:space="preserve">53121376    </v>
      </c>
      <c r="O14923">
        <v>230919</v>
      </c>
    </row>
    <row r="14924" spans="1:15" x14ac:dyDescent="0.25">
      <c r="A14924" t="s">
        <v>16</v>
      </c>
      <c r="B14924" t="s">
        <v>3221</v>
      </c>
      <c r="C14924">
        <v>12617</v>
      </c>
      <c r="D14924" t="s">
        <v>570</v>
      </c>
      <c r="E14924" t="s">
        <v>571</v>
      </c>
      <c r="F14924">
        <v>923.06</v>
      </c>
      <c r="G14924">
        <v>230913</v>
      </c>
      <c r="H14924">
        <v>4380</v>
      </c>
      <c r="I14924" t="s">
        <v>113</v>
      </c>
      <c r="J14924">
        <v>1144.5899999999999</v>
      </c>
      <c r="K14924">
        <v>221.53</v>
      </c>
      <c r="L14924">
        <v>49501</v>
      </c>
      <c r="M14924" t="s">
        <v>177</v>
      </c>
      <c r="N14924" t="str">
        <f>"53116752    "</f>
        <v xml:space="preserve">53116752    </v>
      </c>
      <c r="O14924">
        <v>230922</v>
      </c>
    </row>
    <row r="14925" spans="1:15" x14ac:dyDescent="0.25">
      <c r="A14925" t="s">
        <v>16</v>
      </c>
      <c r="B14925" t="s">
        <v>3221</v>
      </c>
      <c r="C14925">
        <v>12619</v>
      </c>
      <c r="D14925" t="s">
        <v>570</v>
      </c>
      <c r="E14925" t="s">
        <v>571</v>
      </c>
      <c r="F14925">
        <v>251.43</v>
      </c>
      <c r="G14925">
        <v>230913</v>
      </c>
      <c r="H14925">
        <v>4380</v>
      </c>
      <c r="I14925" t="s">
        <v>113</v>
      </c>
      <c r="J14925">
        <v>311.77</v>
      </c>
      <c r="K14925">
        <v>60.34</v>
      </c>
      <c r="L14925">
        <v>49501</v>
      </c>
      <c r="M14925" t="s">
        <v>177</v>
      </c>
      <c r="N14925" t="str">
        <f>"53117729    "</f>
        <v xml:space="preserve">53117729    </v>
      </c>
      <c r="O14925">
        <v>230922</v>
      </c>
    </row>
    <row r="14926" spans="1:15" x14ac:dyDescent="0.25">
      <c r="A14926" t="s">
        <v>16</v>
      </c>
      <c r="B14926" t="s">
        <v>3221</v>
      </c>
      <c r="C14926">
        <v>12620</v>
      </c>
      <c r="D14926" t="s">
        <v>570</v>
      </c>
      <c r="E14926" t="s">
        <v>571</v>
      </c>
      <c r="F14926">
        <v>251.43</v>
      </c>
      <c r="G14926">
        <v>230913</v>
      </c>
      <c r="H14926">
        <v>4380</v>
      </c>
      <c r="I14926" t="s">
        <v>113</v>
      </c>
      <c r="J14926">
        <v>311.77</v>
      </c>
      <c r="K14926">
        <v>60.34</v>
      </c>
      <c r="L14926">
        <v>49501</v>
      </c>
      <c r="M14926" t="s">
        <v>177</v>
      </c>
      <c r="N14926" t="str">
        <f>"53117555    "</f>
        <v xml:space="preserve">53117555    </v>
      </c>
      <c r="O14926">
        <v>230922</v>
      </c>
    </row>
    <row r="14927" spans="1:15" x14ac:dyDescent="0.25">
      <c r="A14927" t="s">
        <v>16</v>
      </c>
      <c r="B14927" t="s">
        <v>3221</v>
      </c>
      <c r="C14927">
        <v>14521</v>
      </c>
      <c r="D14927" t="s">
        <v>570</v>
      </c>
      <c r="E14927" t="s">
        <v>571</v>
      </c>
      <c r="F14927">
        <v>1387.28</v>
      </c>
      <c r="G14927">
        <v>231020</v>
      </c>
      <c r="H14927">
        <v>4380</v>
      </c>
      <c r="I14927" t="s">
        <v>113</v>
      </c>
      <c r="J14927">
        <v>1720.23</v>
      </c>
      <c r="K14927">
        <v>332.95</v>
      </c>
      <c r="L14927">
        <v>14951</v>
      </c>
      <c r="M14927" t="s">
        <v>57</v>
      </c>
      <c r="N14927" t="str">
        <f>"53143276    "</f>
        <v xml:space="preserve">53143276    </v>
      </c>
      <c r="O14927">
        <v>231030</v>
      </c>
    </row>
    <row r="14928" spans="1:15" x14ac:dyDescent="0.25">
      <c r="A14928" t="s">
        <v>16</v>
      </c>
      <c r="B14928" t="s">
        <v>3221</v>
      </c>
      <c r="C14928">
        <v>14531</v>
      </c>
      <c r="D14928" t="s">
        <v>570</v>
      </c>
      <c r="E14928" t="s">
        <v>571</v>
      </c>
      <c r="F14928">
        <v>70.22</v>
      </c>
      <c r="G14928">
        <v>231020</v>
      </c>
      <c r="H14928">
        <v>4380</v>
      </c>
      <c r="I14928" t="s">
        <v>113</v>
      </c>
      <c r="J14928">
        <v>87.07</v>
      </c>
      <c r="K14928">
        <v>16.850000000000001</v>
      </c>
      <c r="L14928">
        <v>11401</v>
      </c>
      <c r="M14928" t="s">
        <v>84</v>
      </c>
      <c r="N14928" t="str">
        <f>"53143285    "</f>
        <v xml:space="preserve">53143285    </v>
      </c>
      <c r="O14928">
        <v>231030</v>
      </c>
    </row>
    <row r="14929" spans="1:15" x14ac:dyDescent="0.25">
      <c r="A14929" t="s">
        <v>16</v>
      </c>
      <c r="B14929" t="s">
        <v>3221</v>
      </c>
      <c r="C14929">
        <v>14531</v>
      </c>
      <c r="D14929" t="s">
        <v>570</v>
      </c>
      <c r="E14929" t="s">
        <v>571</v>
      </c>
      <c r="F14929">
        <v>140.44</v>
      </c>
      <c r="G14929">
        <v>231020</v>
      </c>
      <c r="H14929">
        <v>4380</v>
      </c>
      <c r="I14929" t="s">
        <v>113</v>
      </c>
      <c r="J14929">
        <v>174.15</v>
      </c>
      <c r="K14929">
        <v>33.71</v>
      </c>
      <c r="L14929">
        <v>14952</v>
      </c>
      <c r="M14929" t="s">
        <v>99</v>
      </c>
      <c r="N14929" t="str">
        <f>"53143285    "</f>
        <v xml:space="preserve">53143285    </v>
      </c>
      <c r="O14929">
        <v>231030</v>
      </c>
    </row>
    <row r="14930" spans="1:15" x14ac:dyDescent="0.25">
      <c r="A14930" t="s">
        <v>16</v>
      </c>
      <c r="B14930" t="s">
        <v>3221</v>
      </c>
      <c r="C14930">
        <v>14588</v>
      </c>
      <c r="D14930" t="s">
        <v>570</v>
      </c>
      <c r="E14930" t="s">
        <v>571</v>
      </c>
      <c r="F14930">
        <v>342.84</v>
      </c>
      <c r="G14930">
        <v>231025</v>
      </c>
      <c r="H14930">
        <v>4380</v>
      </c>
      <c r="I14930" t="s">
        <v>113</v>
      </c>
      <c r="J14930">
        <v>425.12</v>
      </c>
      <c r="K14930">
        <v>82.28</v>
      </c>
      <c r="L14930">
        <v>17913</v>
      </c>
      <c r="M14930" t="s">
        <v>431</v>
      </c>
      <c r="N14930" t="str">
        <f>"53168520    "</f>
        <v xml:space="preserve">53168520    </v>
      </c>
      <c r="O14930">
        <v>231030</v>
      </c>
    </row>
    <row r="14931" spans="1:15" x14ac:dyDescent="0.25">
      <c r="A14931" t="s">
        <v>16</v>
      </c>
      <c r="B14931" t="s">
        <v>3221</v>
      </c>
      <c r="C14931">
        <v>14588</v>
      </c>
      <c r="D14931" t="s">
        <v>570</v>
      </c>
      <c r="E14931" t="s">
        <v>571</v>
      </c>
      <c r="F14931">
        <v>636.6</v>
      </c>
      <c r="G14931">
        <v>231025</v>
      </c>
      <c r="H14931">
        <v>4380</v>
      </c>
      <c r="I14931" t="s">
        <v>113</v>
      </c>
      <c r="J14931">
        <v>789.39</v>
      </c>
      <c r="K14931">
        <v>152.79</v>
      </c>
      <c r="L14931">
        <v>17951</v>
      </c>
      <c r="M14931" t="s">
        <v>87</v>
      </c>
      <c r="N14931" t="str">
        <f>"53168520    "</f>
        <v xml:space="preserve">53168520    </v>
      </c>
      <c r="O14931">
        <v>231030</v>
      </c>
    </row>
    <row r="14932" spans="1:15" x14ac:dyDescent="0.25">
      <c r="A14932" t="s">
        <v>16</v>
      </c>
      <c r="B14932" t="s">
        <v>3221</v>
      </c>
      <c r="C14932">
        <v>14589</v>
      </c>
      <c r="D14932" t="s">
        <v>570</v>
      </c>
      <c r="E14932" t="s">
        <v>571</v>
      </c>
      <c r="F14932">
        <v>767.19</v>
      </c>
      <c r="G14932">
        <v>231025</v>
      </c>
      <c r="H14932">
        <v>4380</v>
      </c>
      <c r="I14932" t="s">
        <v>113</v>
      </c>
      <c r="J14932">
        <v>951.32</v>
      </c>
      <c r="K14932">
        <v>184.13</v>
      </c>
      <c r="L14932">
        <v>17952</v>
      </c>
      <c r="M14932" t="s">
        <v>88</v>
      </c>
      <c r="N14932" t="str">
        <f>"53168299    "</f>
        <v xml:space="preserve">53168299    </v>
      </c>
      <c r="O14932">
        <v>231030</v>
      </c>
    </row>
    <row r="14933" spans="1:15" x14ac:dyDescent="0.25">
      <c r="A14933" t="s">
        <v>16</v>
      </c>
      <c r="B14933" t="s">
        <v>3221</v>
      </c>
      <c r="C14933">
        <v>15667</v>
      </c>
      <c r="D14933" t="s">
        <v>570</v>
      </c>
      <c r="E14933" t="s">
        <v>571</v>
      </c>
      <c r="F14933">
        <v>324.82</v>
      </c>
      <c r="G14933">
        <v>231108</v>
      </c>
      <c r="H14933">
        <v>4380</v>
      </c>
      <c r="I14933" t="s">
        <v>113</v>
      </c>
      <c r="J14933">
        <v>402.78</v>
      </c>
      <c r="K14933">
        <v>77.959999999999994</v>
      </c>
      <c r="L14933">
        <v>49501</v>
      </c>
      <c r="M14933" t="s">
        <v>177</v>
      </c>
      <c r="N14933" t="str">
        <f>"1310929     "</f>
        <v xml:space="preserve">1310929     </v>
      </c>
      <c r="O14933">
        <v>231116</v>
      </c>
    </row>
    <row r="14934" spans="1:15" x14ac:dyDescent="0.25">
      <c r="A14934" t="s">
        <v>16</v>
      </c>
      <c r="B14934" t="s">
        <v>3221</v>
      </c>
      <c r="C14934">
        <v>19010</v>
      </c>
      <c r="D14934" t="s">
        <v>570</v>
      </c>
      <c r="E14934" t="s">
        <v>571</v>
      </c>
      <c r="F14934">
        <v>2276.8200000000002</v>
      </c>
      <c r="G14934">
        <v>240108</v>
      </c>
      <c r="H14934">
        <v>4380</v>
      </c>
      <c r="I14934" t="s">
        <v>113</v>
      </c>
      <c r="J14934">
        <v>2823.26</v>
      </c>
      <c r="K14934">
        <v>546.44000000000005</v>
      </c>
      <c r="L14934">
        <v>17951</v>
      </c>
      <c r="M14934" t="s">
        <v>87</v>
      </c>
      <c r="N14934" t="str">
        <f>"53176510    "</f>
        <v xml:space="preserve">53176510    </v>
      </c>
      <c r="O14934">
        <v>240109</v>
      </c>
    </row>
    <row r="14935" spans="1:15" x14ac:dyDescent="0.25">
      <c r="A14935" t="s">
        <v>16</v>
      </c>
      <c r="B14935" t="s">
        <v>3221</v>
      </c>
      <c r="C14935">
        <v>19012</v>
      </c>
      <c r="D14935" t="s">
        <v>570</v>
      </c>
      <c r="E14935" t="s">
        <v>571</v>
      </c>
      <c r="F14935">
        <v>884.09</v>
      </c>
      <c r="G14935">
        <v>240108</v>
      </c>
      <c r="H14935">
        <v>4380</v>
      </c>
      <c r="I14935" t="s">
        <v>113</v>
      </c>
      <c r="J14935">
        <v>1096.27</v>
      </c>
      <c r="K14935">
        <v>212.18</v>
      </c>
      <c r="L14935">
        <v>17952</v>
      </c>
      <c r="M14935" t="s">
        <v>88</v>
      </c>
      <c r="N14935" t="str">
        <f>"53176508    "</f>
        <v xml:space="preserve">53176508    </v>
      </c>
      <c r="O14935">
        <v>240109</v>
      </c>
    </row>
    <row r="14936" spans="1:15" x14ac:dyDescent="0.25">
      <c r="A14936" t="s">
        <v>16</v>
      </c>
      <c r="B14936" t="s">
        <v>3221</v>
      </c>
      <c r="C14936">
        <v>19076</v>
      </c>
      <c r="D14936" t="s">
        <v>570</v>
      </c>
      <c r="E14936" t="s">
        <v>571</v>
      </c>
      <c r="F14936">
        <v>1266.46</v>
      </c>
      <c r="G14936">
        <v>240108</v>
      </c>
      <c r="H14936">
        <v>4380</v>
      </c>
      <c r="I14936" t="s">
        <v>113</v>
      </c>
      <c r="J14936">
        <v>1570.41</v>
      </c>
      <c r="K14936">
        <v>303.95</v>
      </c>
      <c r="L14936">
        <v>14951</v>
      </c>
      <c r="M14936" t="s">
        <v>57</v>
      </c>
      <c r="N14936" t="str">
        <f>"53176728    "</f>
        <v xml:space="preserve">53176728    </v>
      </c>
      <c r="O14936">
        <v>240110</v>
      </c>
    </row>
    <row r="14937" spans="1:15" x14ac:dyDescent="0.25">
      <c r="A14937" t="s">
        <v>16</v>
      </c>
      <c r="B14937" t="s">
        <v>3221</v>
      </c>
      <c r="C14937">
        <v>19078</v>
      </c>
      <c r="D14937" t="s">
        <v>570</v>
      </c>
      <c r="E14937" t="s">
        <v>571</v>
      </c>
      <c r="F14937">
        <v>60.19</v>
      </c>
      <c r="G14937">
        <v>240108</v>
      </c>
      <c r="H14937">
        <v>4380</v>
      </c>
      <c r="I14937" t="s">
        <v>113</v>
      </c>
      <c r="J14937">
        <v>74.63</v>
      </c>
      <c r="K14937">
        <v>14.44</v>
      </c>
      <c r="L14937">
        <v>11401</v>
      </c>
      <c r="M14937" t="s">
        <v>84</v>
      </c>
      <c r="N14937" t="str">
        <f>"53176729    "</f>
        <v xml:space="preserve">53176729    </v>
      </c>
      <c r="O14937">
        <v>240110</v>
      </c>
    </row>
    <row r="14938" spans="1:15" x14ac:dyDescent="0.25">
      <c r="A14938" t="s">
        <v>16</v>
      </c>
      <c r="B14938" t="s">
        <v>3221</v>
      </c>
      <c r="C14938">
        <v>19078</v>
      </c>
      <c r="D14938" t="s">
        <v>570</v>
      </c>
      <c r="E14938" t="s">
        <v>571</v>
      </c>
      <c r="F14938">
        <v>120.39</v>
      </c>
      <c r="G14938">
        <v>240108</v>
      </c>
      <c r="H14938">
        <v>4380</v>
      </c>
      <c r="I14938" t="s">
        <v>113</v>
      </c>
      <c r="J14938">
        <v>149.28</v>
      </c>
      <c r="K14938">
        <v>28.89</v>
      </c>
      <c r="L14938">
        <v>14952</v>
      </c>
      <c r="M14938" t="s">
        <v>99</v>
      </c>
      <c r="N14938" t="str">
        <f>"53176729    "</f>
        <v xml:space="preserve">53176729    </v>
      </c>
      <c r="O14938">
        <v>240110</v>
      </c>
    </row>
    <row r="14939" spans="1:15" x14ac:dyDescent="0.25">
      <c r="A14939" t="s">
        <v>16</v>
      </c>
      <c r="B14939" t="s">
        <v>3221</v>
      </c>
      <c r="C14939">
        <v>19148</v>
      </c>
      <c r="D14939" t="s">
        <v>570</v>
      </c>
      <c r="E14939" t="s">
        <v>571</v>
      </c>
      <c r="F14939">
        <v>587.05999999999995</v>
      </c>
      <c r="G14939">
        <v>240108</v>
      </c>
      <c r="H14939">
        <v>4380</v>
      </c>
      <c r="I14939" t="s">
        <v>113</v>
      </c>
      <c r="J14939">
        <v>727.95</v>
      </c>
      <c r="K14939">
        <v>140.88999999999999</v>
      </c>
      <c r="L14939">
        <v>49501</v>
      </c>
      <c r="M14939" t="s">
        <v>177</v>
      </c>
      <c r="N14939" t="str">
        <f>"1312885     "</f>
        <v xml:space="preserve">1312885     </v>
      </c>
      <c r="O14939">
        <v>240111</v>
      </c>
    </row>
    <row r="14940" spans="1:15" x14ac:dyDescent="0.25">
      <c r="A14940" t="s">
        <v>16</v>
      </c>
      <c r="B14940" t="s">
        <v>3221</v>
      </c>
      <c r="C14940">
        <v>19149</v>
      </c>
      <c r="D14940" t="s">
        <v>570</v>
      </c>
      <c r="E14940" t="s">
        <v>571</v>
      </c>
      <c r="F14940">
        <v>199.67</v>
      </c>
      <c r="G14940">
        <v>240108</v>
      </c>
      <c r="H14940">
        <v>4380</v>
      </c>
      <c r="I14940" t="s">
        <v>113</v>
      </c>
      <c r="J14940">
        <v>247.59</v>
      </c>
      <c r="K14940">
        <v>47.92</v>
      </c>
      <c r="L14940">
        <v>49501</v>
      </c>
      <c r="M14940" t="s">
        <v>177</v>
      </c>
      <c r="N14940" t="str">
        <f>"53176690    "</f>
        <v xml:space="preserve">53176690    </v>
      </c>
      <c r="O14940">
        <v>240111</v>
      </c>
    </row>
    <row r="14941" spans="1:15" x14ac:dyDescent="0.25">
      <c r="A14941" t="s">
        <v>16</v>
      </c>
      <c r="B14941" t="s">
        <v>3221</v>
      </c>
      <c r="C14941">
        <v>19152</v>
      </c>
      <c r="D14941" t="s">
        <v>570</v>
      </c>
      <c r="E14941" t="s">
        <v>571</v>
      </c>
      <c r="F14941">
        <v>347.06</v>
      </c>
      <c r="G14941">
        <v>240108</v>
      </c>
      <c r="H14941">
        <v>4380</v>
      </c>
      <c r="I14941" t="s">
        <v>113</v>
      </c>
      <c r="J14941">
        <v>430.35</v>
      </c>
      <c r="K14941">
        <v>83.29</v>
      </c>
      <c r="L14941">
        <v>49501</v>
      </c>
      <c r="M14941" t="s">
        <v>177</v>
      </c>
      <c r="N14941" t="str">
        <f>"53176675    "</f>
        <v xml:space="preserve">53176675    </v>
      </c>
      <c r="O14941">
        <v>240111</v>
      </c>
    </row>
    <row r="14942" spans="1:15" x14ac:dyDescent="0.25">
      <c r="A14942" t="s">
        <v>16</v>
      </c>
      <c r="B14942" t="s">
        <v>3221</v>
      </c>
      <c r="C14942">
        <v>19153</v>
      </c>
      <c r="D14942" t="s">
        <v>570</v>
      </c>
      <c r="E14942" t="s">
        <v>571</v>
      </c>
      <c r="F14942">
        <v>1167.81</v>
      </c>
      <c r="G14942">
        <v>240108</v>
      </c>
      <c r="H14942">
        <v>4380</v>
      </c>
      <c r="I14942" t="s">
        <v>113</v>
      </c>
      <c r="J14942">
        <v>1448.08</v>
      </c>
      <c r="K14942">
        <v>280.27</v>
      </c>
      <c r="L14942">
        <v>49501</v>
      </c>
      <c r="M14942" t="s">
        <v>177</v>
      </c>
      <c r="N14942" t="str">
        <f>"53176676    "</f>
        <v xml:space="preserve">53176676    </v>
      </c>
      <c r="O14942">
        <v>240111</v>
      </c>
    </row>
    <row r="14943" spans="1:15" x14ac:dyDescent="0.25">
      <c r="A14943" t="s">
        <v>16</v>
      </c>
      <c r="B14943" t="s">
        <v>3221</v>
      </c>
      <c r="C14943">
        <v>19172</v>
      </c>
      <c r="D14943" t="s">
        <v>570</v>
      </c>
      <c r="E14943" t="s">
        <v>571</v>
      </c>
      <c r="F14943">
        <v>47.15</v>
      </c>
      <c r="G14943">
        <v>240108</v>
      </c>
      <c r="H14943">
        <v>4380</v>
      </c>
      <c r="I14943" t="s">
        <v>113</v>
      </c>
      <c r="J14943">
        <v>58.47</v>
      </c>
      <c r="K14943">
        <v>11.32</v>
      </c>
      <c r="L14943">
        <v>17950</v>
      </c>
      <c r="M14943" t="s">
        <v>86</v>
      </c>
      <c r="N14943" t="str">
        <f>"53176609    "</f>
        <v xml:space="preserve">53176609    </v>
      </c>
      <c r="O14943">
        <v>240129</v>
      </c>
    </row>
    <row r="14944" spans="1:15" x14ac:dyDescent="0.25">
      <c r="A14944" t="s">
        <v>16</v>
      </c>
      <c r="B14944" t="s">
        <v>3221</v>
      </c>
      <c r="C14944">
        <v>19179</v>
      </c>
      <c r="D14944" t="s">
        <v>570</v>
      </c>
      <c r="E14944" t="s">
        <v>571</v>
      </c>
      <c r="F14944">
        <v>220</v>
      </c>
      <c r="G14944">
        <v>240108</v>
      </c>
      <c r="H14944">
        <v>4380</v>
      </c>
      <c r="I14944" t="s">
        <v>113</v>
      </c>
      <c r="J14944">
        <v>272.8</v>
      </c>
      <c r="K14944">
        <v>52.8</v>
      </c>
      <c r="L14944">
        <v>17956</v>
      </c>
      <c r="M14944" t="s">
        <v>53</v>
      </c>
      <c r="N14944" t="str">
        <f>"53176630    "</f>
        <v xml:space="preserve">53176630    </v>
      </c>
      <c r="O14944">
        <v>240129</v>
      </c>
    </row>
    <row r="14945" spans="1:15" x14ac:dyDescent="0.25">
      <c r="A14945" t="s">
        <v>16</v>
      </c>
      <c r="B14945" t="s">
        <v>3221</v>
      </c>
      <c r="C14945">
        <v>19184</v>
      </c>
      <c r="D14945" t="s">
        <v>570</v>
      </c>
      <c r="E14945" t="s">
        <v>571</v>
      </c>
      <c r="F14945">
        <v>157.11000000000001</v>
      </c>
      <c r="G14945">
        <v>240108</v>
      </c>
      <c r="H14945">
        <v>4380</v>
      </c>
      <c r="I14945" t="s">
        <v>113</v>
      </c>
      <c r="J14945">
        <v>194.82</v>
      </c>
      <c r="K14945">
        <v>37.71</v>
      </c>
      <c r="L14945">
        <v>13540</v>
      </c>
      <c r="M14945" t="s">
        <v>85</v>
      </c>
      <c r="N14945" t="str">
        <f>"53176621    "</f>
        <v xml:space="preserve">53176621    </v>
      </c>
      <c r="O14945">
        <v>240129</v>
      </c>
    </row>
    <row r="14946" spans="1:15" x14ac:dyDescent="0.25">
      <c r="A14946" t="s">
        <v>16</v>
      </c>
      <c r="B14946" t="s">
        <v>3221</v>
      </c>
      <c r="C14946">
        <v>19184</v>
      </c>
      <c r="D14946" t="s">
        <v>570</v>
      </c>
      <c r="E14946" t="s">
        <v>571</v>
      </c>
      <c r="F14946">
        <v>44.1</v>
      </c>
      <c r="G14946">
        <v>240108</v>
      </c>
      <c r="H14946">
        <v>4380</v>
      </c>
      <c r="I14946" t="s">
        <v>113</v>
      </c>
      <c r="J14946">
        <v>54.69</v>
      </c>
      <c r="K14946">
        <v>10.59</v>
      </c>
      <c r="L14946">
        <v>13552</v>
      </c>
      <c r="M14946" t="s">
        <v>624</v>
      </c>
      <c r="N14946" t="str">
        <f>"53176621    "</f>
        <v xml:space="preserve">53176621    </v>
      </c>
      <c r="O14946">
        <v>240129</v>
      </c>
    </row>
    <row r="14947" spans="1:15" x14ac:dyDescent="0.25">
      <c r="A14947" t="s">
        <v>16</v>
      </c>
      <c r="B14947" t="s">
        <v>3221</v>
      </c>
      <c r="C14947">
        <v>19184</v>
      </c>
      <c r="D14947" t="s">
        <v>570</v>
      </c>
      <c r="E14947" t="s">
        <v>571</v>
      </c>
      <c r="F14947">
        <v>356.81</v>
      </c>
      <c r="G14947">
        <v>240108</v>
      </c>
      <c r="H14947">
        <v>4380</v>
      </c>
      <c r="I14947" t="s">
        <v>113</v>
      </c>
      <c r="J14947">
        <v>442.45</v>
      </c>
      <c r="K14947">
        <v>85.64</v>
      </c>
      <c r="L14947">
        <v>17918</v>
      </c>
      <c r="M14947" t="s">
        <v>137</v>
      </c>
      <c r="N14947" t="str">
        <f>"53176621    "</f>
        <v xml:space="preserve">53176621    </v>
      </c>
      <c r="O14947">
        <v>240129</v>
      </c>
    </row>
    <row r="14948" spans="1:15" x14ac:dyDescent="0.25">
      <c r="A14948" t="s">
        <v>16</v>
      </c>
      <c r="B14948" t="s">
        <v>3221</v>
      </c>
      <c r="C14948">
        <v>19184</v>
      </c>
      <c r="D14948" t="s">
        <v>570</v>
      </c>
      <c r="E14948" t="s">
        <v>571</v>
      </c>
      <c r="F14948">
        <v>1271.2</v>
      </c>
      <c r="G14948">
        <v>240108</v>
      </c>
      <c r="H14948">
        <v>4380</v>
      </c>
      <c r="I14948" t="s">
        <v>113</v>
      </c>
      <c r="J14948">
        <v>1576.29</v>
      </c>
      <c r="K14948">
        <v>305.08999999999997</v>
      </c>
      <c r="L14948">
        <v>17950</v>
      </c>
      <c r="M14948" t="s">
        <v>86</v>
      </c>
      <c r="N14948" t="str">
        <f>"53176621    "</f>
        <v xml:space="preserve">53176621    </v>
      </c>
      <c r="O14948">
        <v>240129</v>
      </c>
    </row>
    <row r="14949" spans="1:15" x14ac:dyDescent="0.25">
      <c r="A14949" t="s">
        <v>16</v>
      </c>
      <c r="B14949" t="s">
        <v>3221</v>
      </c>
      <c r="C14949">
        <v>19310</v>
      </c>
      <c r="D14949" t="s">
        <v>570</v>
      </c>
      <c r="E14949" t="s">
        <v>571</v>
      </c>
      <c r="F14949">
        <v>15.32</v>
      </c>
      <c r="G14949">
        <v>240117</v>
      </c>
      <c r="H14949">
        <v>4380</v>
      </c>
      <c r="I14949" t="s">
        <v>113</v>
      </c>
      <c r="J14949">
        <v>19</v>
      </c>
      <c r="K14949">
        <v>3.68</v>
      </c>
      <c r="L14949">
        <v>17955</v>
      </c>
      <c r="M14949" t="s">
        <v>933</v>
      </c>
      <c r="N14949" t="str">
        <f>"1312919     "</f>
        <v xml:space="preserve">1312919     </v>
      </c>
      <c r="O14949">
        <v>240117</v>
      </c>
    </row>
    <row r="14950" spans="1:15" x14ac:dyDescent="0.25">
      <c r="A14950" t="s">
        <v>16</v>
      </c>
      <c r="B14950" t="s">
        <v>3221</v>
      </c>
      <c r="C14950">
        <v>9844</v>
      </c>
      <c r="D14950" t="s">
        <v>570</v>
      </c>
      <c r="E14950" t="s">
        <v>571</v>
      </c>
      <c r="F14950">
        <v>853.83</v>
      </c>
      <c r="G14950">
        <v>230726</v>
      </c>
      <c r="H14950">
        <v>4390</v>
      </c>
      <c r="I14950" t="s">
        <v>98</v>
      </c>
      <c r="J14950">
        <v>1058.75</v>
      </c>
      <c r="K14950">
        <v>204.92</v>
      </c>
      <c r="L14950">
        <v>17952</v>
      </c>
      <c r="M14950" t="s">
        <v>88</v>
      </c>
      <c r="N14950" t="str">
        <f>"53111161    "</f>
        <v xml:space="preserve">53111161    </v>
      </c>
      <c r="O14950">
        <v>230731</v>
      </c>
    </row>
    <row r="14951" spans="1:15" x14ac:dyDescent="0.25">
      <c r="A14951" t="s">
        <v>16</v>
      </c>
      <c r="B14951" t="s">
        <v>3221</v>
      </c>
      <c r="C14951">
        <v>7072</v>
      </c>
      <c r="D14951" t="s">
        <v>2057</v>
      </c>
      <c r="E14951" t="s">
        <v>2058</v>
      </c>
      <c r="F14951">
        <v>350</v>
      </c>
      <c r="G14951">
        <v>230516</v>
      </c>
      <c r="H14951">
        <v>4420</v>
      </c>
      <c r="I14951" t="s">
        <v>132</v>
      </c>
      <c r="J14951">
        <v>385</v>
      </c>
      <c r="K14951">
        <v>35</v>
      </c>
      <c r="L14951">
        <v>14986</v>
      </c>
      <c r="M14951" t="s">
        <v>2059</v>
      </c>
      <c r="N14951" t="str">
        <f>"6023050042  "</f>
        <v xml:space="preserve">6023050042  </v>
      </c>
      <c r="O14951">
        <v>230525</v>
      </c>
    </row>
    <row r="14952" spans="1:15" x14ac:dyDescent="0.25">
      <c r="A14952" t="s">
        <v>16</v>
      </c>
      <c r="B14952" t="s">
        <v>3221</v>
      </c>
      <c r="C14952">
        <v>10682</v>
      </c>
      <c r="D14952" t="s">
        <v>741</v>
      </c>
      <c r="E14952" t="s">
        <v>742</v>
      </c>
      <c r="F14952">
        <v>272.29000000000002</v>
      </c>
      <c r="G14952">
        <v>230818</v>
      </c>
      <c r="H14952">
        <v>4341</v>
      </c>
      <c r="I14952" t="s">
        <v>32</v>
      </c>
      <c r="J14952">
        <v>337.64</v>
      </c>
      <c r="K14952">
        <v>65.349999999999994</v>
      </c>
      <c r="L14952">
        <v>17951</v>
      </c>
      <c r="M14952" t="s">
        <v>87</v>
      </c>
      <c r="N14952" t="str">
        <f>"30214       "</f>
        <v xml:space="preserve">30214       </v>
      </c>
      <c r="O14952">
        <v>230821</v>
      </c>
    </row>
    <row r="14953" spans="1:15" x14ac:dyDescent="0.25">
      <c r="A14953" t="s">
        <v>16</v>
      </c>
      <c r="B14953" t="s">
        <v>3221</v>
      </c>
      <c r="C14953">
        <v>12114</v>
      </c>
      <c r="D14953" t="s">
        <v>741</v>
      </c>
      <c r="E14953" t="s">
        <v>742</v>
      </c>
      <c r="F14953">
        <v>756</v>
      </c>
      <c r="G14953">
        <v>230831</v>
      </c>
      <c r="H14953">
        <v>4341</v>
      </c>
      <c r="I14953" t="s">
        <v>32</v>
      </c>
      <c r="J14953">
        <v>937.44</v>
      </c>
      <c r="K14953">
        <v>181.44</v>
      </c>
      <c r="L14953">
        <v>59501</v>
      </c>
      <c r="M14953" t="s">
        <v>69</v>
      </c>
      <c r="N14953" t="str">
        <f>"30817       "</f>
        <v xml:space="preserve">30817       </v>
      </c>
      <c r="O14953">
        <v>230914</v>
      </c>
    </row>
    <row r="14954" spans="1:15" x14ac:dyDescent="0.25">
      <c r="A14954" t="s">
        <v>16</v>
      </c>
      <c r="B14954" t="s">
        <v>3221</v>
      </c>
      <c r="C14954">
        <v>12176</v>
      </c>
      <c r="D14954" t="s">
        <v>741</v>
      </c>
      <c r="E14954" t="s">
        <v>742</v>
      </c>
      <c r="F14954">
        <v>1192</v>
      </c>
      <c r="G14954">
        <v>230831</v>
      </c>
      <c r="H14954">
        <v>4341</v>
      </c>
      <c r="I14954" t="s">
        <v>32</v>
      </c>
      <c r="J14954">
        <v>1478.08</v>
      </c>
      <c r="K14954">
        <v>286.08</v>
      </c>
      <c r="L14954">
        <v>59501</v>
      </c>
      <c r="M14954" t="s">
        <v>69</v>
      </c>
      <c r="N14954" t="str">
        <f>"30816       "</f>
        <v xml:space="preserve">30816       </v>
      </c>
      <c r="O14954">
        <v>230915</v>
      </c>
    </row>
    <row r="14955" spans="1:15" x14ac:dyDescent="0.25">
      <c r="A14955" t="s">
        <v>16</v>
      </c>
      <c r="B14955" t="s">
        <v>3221</v>
      </c>
      <c r="C14955">
        <v>12176</v>
      </c>
      <c r="D14955" t="s">
        <v>741</v>
      </c>
      <c r="E14955" t="s">
        <v>742</v>
      </c>
      <c r="F14955">
        <v>290.36</v>
      </c>
      <c r="G14955">
        <v>230831</v>
      </c>
      <c r="H14955">
        <v>4341</v>
      </c>
      <c r="I14955" t="s">
        <v>32</v>
      </c>
      <c r="J14955">
        <v>360.05</v>
      </c>
      <c r="K14955">
        <v>69.69</v>
      </c>
      <c r="L14955">
        <v>59502</v>
      </c>
      <c r="M14955" t="s">
        <v>70</v>
      </c>
      <c r="N14955" t="str">
        <f>"30816       "</f>
        <v xml:space="preserve">30816       </v>
      </c>
      <c r="O14955">
        <v>230915</v>
      </c>
    </row>
    <row r="14956" spans="1:15" x14ac:dyDescent="0.25">
      <c r="A14956" t="s">
        <v>16</v>
      </c>
      <c r="B14956" t="s">
        <v>3221</v>
      </c>
      <c r="C14956">
        <v>12176</v>
      </c>
      <c r="D14956" t="s">
        <v>741</v>
      </c>
      <c r="E14956" t="s">
        <v>742</v>
      </c>
      <c r="F14956">
        <v>185.64</v>
      </c>
      <c r="G14956">
        <v>230831</v>
      </c>
      <c r="H14956">
        <v>4341</v>
      </c>
      <c r="I14956" t="s">
        <v>32</v>
      </c>
      <c r="J14956">
        <v>230.19</v>
      </c>
      <c r="K14956">
        <v>44.55</v>
      </c>
      <c r="L14956">
        <v>59802</v>
      </c>
      <c r="M14956" t="s">
        <v>73</v>
      </c>
      <c r="N14956" t="str">
        <f>"30816       "</f>
        <v xml:space="preserve">30816       </v>
      </c>
      <c r="O14956">
        <v>230915</v>
      </c>
    </row>
    <row r="14957" spans="1:15" x14ac:dyDescent="0.25">
      <c r="A14957" t="s">
        <v>16</v>
      </c>
      <c r="B14957" t="s">
        <v>3221</v>
      </c>
      <c r="C14957">
        <v>9832</v>
      </c>
      <c r="D14957" t="s">
        <v>741</v>
      </c>
      <c r="E14957" t="s">
        <v>742</v>
      </c>
      <c r="F14957">
        <v>120</v>
      </c>
      <c r="G14957">
        <v>230717</v>
      </c>
      <c r="H14957">
        <v>4362</v>
      </c>
      <c r="I14957" t="s">
        <v>79</v>
      </c>
      <c r="J14957">
        <v>148.80000000000001</v>
      </c>
      <c r="K14957">
        <v>28.8</v>
      </c>
      <c r="L14957">
        <v>14951</v>
      </c>
      <c r="M14957" t="s">
        <v>57</v>
      </c>
      <c r="N14957" t="str">
        <f>"29792       "</f>
        <v xml:space="preserve">29792       </v>
      </c>
      <c r="O14957">
        <v>230726</v>
      </c>
    </row>
    <row r="14958" spans="1:15" x14ac:dyDescent="0.25">
      <c r="A14958" t="s">
        <v>16</v>
      </c>
      <c r="B14958" t="s">
        <v>3221</v>
      </c>
      <c r="C14958">
        <v>4212</v>
      </c>
      <c r="D14958" t="s">
        <v>741</v>
      </c>
      <c r="E14958" t="s">
        <v>742</v>
      </c>
      <c r="F14958">
        <v>583</v>
      </c>
      <c r="G14958">
        <v>230329</v>
      </c>
      <c r="H14958">
        <v>4580</v>
      </c>
      <c r="I14958" t="s">
        <v>35</v>
      </c>
      <c r="J14958">
        <v>722.92</v>
      </c>
      <c r="K14958">
        <v>139.91999999999999</v>
      </c>
      <c r="L14958">
        <v>59501</v>
      </c>
      <c r="M14958" t="s">
        <v>69</v>
      </c>
      <c r="N14958" t="str">
        <f>"27944       "</f>
        <v xml:space="preserve">27944       </v>
      </c>
      <c r="O14958">
        <v>230331</v>
      </c>
    </row>
    <row r="14959" spans="1:15" x14ac:dyDescent="0.25">
      <c r="A14959" t="s">
        <v>16</v>
      </c>
      <c r="B14959" t="s">
        <v>3221</v>
      </c>
      <c r="C14959">
        <v>14122</v>
      </c>
      <c r="D14959" t="s">
        <v>741</v>
      </c>
      <c r="E14959" t="s">
        <v>742</v>
      </c>
      <c r="F14959">
        <v>612.9</v>
      </c>
      <c r="G14959">
        <v>231013</v>
      </c>
      <c r="H14959">
        <v>4580</v>
      </c>
      <c r="I14959" t="s">
        <v>35</v>
      </c>
      <c r="J14959">
        <v>760</v>
      </c>
      <c r="K14959">
        <v>147.1</v>
      </c>
      <c r="L14959">
        <v>17951</v>
      </c>
      <c r="M14959" t="s">
        <v>87</v>
      </c>
      <c r="N14959" t="str">
        <f>"31473       "</f>
        <v xml:space="preserve">31473       </v>
      </c>
      <c r="O14959">
        <v>231019</v>
      </c>
    </row>
    <row r="14960" spans="1:15" x14ac:dyDescent="0.25">
      <c r="A14960" t="s">
        <v>16</v>
      </c>
      <c r="B14960" t="s">
        <v>3221</v>
      </c>
      <c r="C14960">
        <v>18729</v>
      </c>
      <c r="D14960" t="s">
        <v>741</v>
      </c>
      <c r="E14960" t="s">
        <v>742</v>
      </c>
      <c r="F14960">
        <v>4360</v>
      </c>
      <c r="G14960">
        <v>231229</v>
      </c>
      <c r="H14960">
        <v>1196</v>
      </c>
      <c r="I14960" t="s">
        <v>392</v>
      </c>
      <c r="J14960">
        <v>4360</v>
      </c>
      <c r="K14960">
        <v>0</v>
      </c>
      <c r="L14960">
        <v>96501</v>
      </c>
      <c r="M14960" t="s">
        <v>2361</v>
      </c>
      <c r="N14960" t="str">
        <f>"33064       "</f>
        <v xml:space="preserve">33064       </v>
      </c>
      <c r="O14960">
        <v>240105</v>
      </c>
    </row>
    <row r="14961" spans="1:15" x14ac:dyDescent="0.25">
      <c r="A14961" t="s">
        <v>16</v>
      </c>
      <c r="B14961" t="s">
        <v>3221</v>
      </c>
      <c r="C14961">
        <v>17605</v>
      </c>
      <c r="D14961" t="s">
        <v>741</v>
      </c>
      <c r="E14961" t="s">
        <v>742</v>
      </c>
      <c r="F14961">
        <v>45</v>
      </c>
      <c r="G14961">
        <v>231212</v>
      </c>
      <c r="H14961">
        <v>4400</v>
      </c>
      <c r="I14961" t="s">
        <v>348</v>
      </c>
      <c r="J14961">
        <v>55.8</v>
      </c>
      <c r="K14961">
        <v>10.8</v>
      </c>
      <c r="L14961">
        <v>17950</v>
      </c>
      <c r="M14961" t="s">
        <v>86</v>
      </c>
      <c r="N14961" t="str">
        <f>"32634       "</f>
        <v xml:space="preserve">32634       </v>
      </c>
      <c r="O14961">
        <v>231215</v>
      </c>
    </row>
    <row r="14962" spans="1:15" x14ac:dyDescent="0.25">
      <c r="A14962" t="s">
        <v>16</v>
      </c>
      <c r="B14962" t="s">
        <v>3221</v>
      </c>
      <c r="C14962">
        <v>5280</v>
      </c>
      <c r="D14962" t="s">
        <v>741</v>
      </c>
      <c r="E14962" t="s">
        <v>742</v>
      </c>
      <c r="F14962">
        <v>209.15</v>
      </c>
      <c r="G14962">
        <v>230414</v>
      </c>
      <c r="H14962">
        <v>4600</v>
      </c>
      <c r="I14962" t="s">
        <v>105</v>
      </c>
      <c r="J14962">
        <v>259.33999999999997</v>
      </c>
      <c r="K14962">
        <v>50.19</v>
      </c>
      <c r="L14962">
        <v>14952</v>
      </c>
      <c r="M14962" t="s">
        <v>99</v>
      </c>
      <c r="N14962" t="str">
        <f>"28258       "</f>
        <v xml:space="preserve">28258       </v>
      </c>
      <c r="O14962">
        <v>230420</v>
      </c>
    </row>
    <row r="14963" spans="1:15" x14ac:dyDescent="0.25">
      <c r="A14963" t="s">
        <v>16</v>
      </c>
      <c r="B14963" t="s">
        <v>3221</v>
      </c>
      <c r="C14963">
        <v>10123</v>
      </c>
      <c r="D14963" t="s">
        <v>741</v>
      </c>
      <c r="E14963" t="s">
        <v>742</v>
      </c>
      <c r="F14963">
        <v>855</v>
      </c>
      <c r="G14963">
        <v>230807</v>
      </c>
      <c r="H14963">
        <v>4600</v>
      </c>
      <c r="I14963" t="s">
        <v>105</v>
      </c>
      <c r="J14963">
        <v>855</v>
      </c>
      <c r="K14963">
        <v>0</v>
      </c>
      <c r="L14963">
        <v>17952</v>
      </c>
      <c r="M14963" t="s">
        <v>88</v>
      </c>
      <c r="N14963" t="str">
        <f>"29977       "</f>
        <v xml:space="preserve">29977       </v>
      </c>
      <c r="O14963">
        <v>230808</v>
      </c>
    </row>
    <row r="14964" spans="1:15" x14ac:dyDescent="0.25">
      <c r="A14964" t="s">
        <v>16</v>
      </c>
      <c r="B14964" t="s">
        <v>3221</v>
      </c>
      <c r="C14964">
        <v>10310</v>
      </c>
      <c r="D14964" t="s">
        <v>741</v>
      </c>
      <c r="E14964" t="s">
        <v>742</v>
      </c>
      <c r="F14964">
        <v>214.15</v>
      </c>
      <c r="G14964">
        <v>230809</v>
      </c>
      <c r="H14964">
        <v>4600</v>
      </c>
      <c r="I14964" t="s">
        <v>105</v>
      </c>
      <c r="J14964">
        <v>265.54000000000002</v>
      </c>
      <c r="K14964">
        <v>51.39</v>
      </c>
      <c r="L14964">
        <v>14951</v>
      </c>
      <c r="M14964" t="s">
        <v>57</v>
      </c>
      <c r="N14964" t="str">
        <f>"30008       "</f>
        <v xml:space="preserve">30008       </v>
      </c>
      <c r="O14964">
        <v>230814</v>
      </c>
    </row>
    <row r="14965" spans="1:15" x14ac:dyDescent="0.25">
      <c r="A14965" t="s">
        <v>16</v>
      </c>
      <c r="B14965" t="s">
        <v>3221</v>
      </c>
      <c r="C14965">
        <v>10310</v>
      </c>
      <c r="D14965" t="s">
        <v>741</v>
      </c>
      <c r="E14965" t="s">
        <v>742</v>
      </c>
      <c r="F14965">
        <v>214.15</v>
      </c>
      <c r="G14965">
        <v>230809</v>
      </c>
      <c r="H14965">
        <v>4600</v>
      </c>
      <c r="I14965" t="s">
        <v>105</v>
      </c>
      <c r="J14965">
        <v>265.55</v>
      </c>
      <c r="K14965">
        <v>51.4</v>
      </c>
      <c r="L14965">
        <v>14952</v>
      </c>
      <c r="M14965" t="s">
        <v>99</v>
      </c>
      <c r="N14965" t="str">
        <f>"30008       "</f>
        <v xml:space="preserve">30008       </v>
      </c>
      <c r="O14965">
        <v>230814</v>
      </c>
    </row>
    <row r="14966" spans="1:15" x14ac:dyDescent="0.25">
      <c r="A14966" t="s">
        <v>16</v>
      </c>
      <c r="B14966" t="s">
        <v>3221</v>
      </c>
      <c r="C14966">
        <v>10888</v>
      </c>
      <c r="D14966" t="s">
        <v>741</v>
      </c>
      <c r="E14966" t="s">
        <v>742</v>
      </c>
      <c r="F14966">
        <v>32.090000000000003</v>
      </c>
      <c r="G14966">
        <v>230822</v>
      </c>
      <c r="H14966">
        <v>4600</v>
      </c>
      <c r="I14966" t="s">
        <v>105</v>
      </c>
      <c r="J14966">
        <v>39.79</v>
      </c>
      <c r="K14966">
        <v>7.7</v>
      </c>
      <c r="L14966">
        <v>14952</v>
      </c>
      <c r="M14966" t="s">
        <v>99</v>
      </c>
      <c r="N14966" t="str">
        <f>"30269       "</f>
        <v xml:space="preserve">30269       </v>
      </c>
      <c r="O14966">
        <v>230824</v>
      </c>
    </row>
    <row r="14967" spans="1:15" x14ac:dyDescent="0.25">
      <c r="A14967" t="s">
        <v>16</v>
      </c>
      <c r="B14967" t="s">
        <v>3221</v>
      </c>
      <c r="C14967">
        <v>10888</v>
      </c>
      <c r="D14967" t="s">
        <v>741</v>
      </c>
      <c r="E14967" t="s">
        <v>742</v>
      </c>
      <c r="F14967">
        <v>74.86</v>
      </c>
      <c r="G14967">
        <v>230822</v>
      </c>
      <c r="H14967">
        <v>4600</v>
      </c>
      <c r="I14967" t="s">
        <v>105</v>
      </c>
      <c r="J14967">
        <v>92.83</v>
      </c>
      <c r="K14967">
        <v>17.97</v>
      </c>
      <c r="L14967">
        <v>14981</v>
      </c>
      <c r="M14967" t="s">
        <v>1211</v>
      </c>
      <c r="N14967" t="str">
        <f>"30269       "</f>
        <v xml:space="preserve">30269       </v>
      </c>
      <c r="O14967">
        <v>230824</v>
      </c>
    </row>
    <row r="14968" spans="1:15" x14ac:dyDescent="0.25">
      <c r="A14968" t="s">
        <v>16</v>
      </c>
      <c r="B14968" t="s">
        <v>3221</v>
      </c>
      <c r="C14968">
        <v>11665</v>
      </c>
      <c r="D14968" t="s">
        <v>741</v>
      </c>
      <c r="E14968" t="s">
        <v>742</v>
      </c>
      <c r="F14968">
        <v>2138</v>
      </c>
      <c r="G14968">
        <v>230830</v>
      </c>
      <c r="H14968">
        <v>4600</v>
      </c>
      <c r="I14968" t="s">
        <v>105</v>
      </c>
      <c r="J14968">
        <v>2651.12</v>
      </c>
      <c r="K14968">
        <v>513.12</v>
      </c>
      <c r="L14968">
        <v>59501</v>
      </c>
      <c r="M14968" t="s">
        <v>69</v>
      </c>
      <c r="N14968" t="str">
        <f>"30476       "</f>
        <v xml:space="preserve">30476       </v>
      </c>
      <c r="O14968">
        <v>230908</v>
      </c>
    </row>
    <row r="14969" spans="1:15" x14ac:dyDescent="0.25">
      <c r="A14969" t="s">
        <v>16</v>
      </c>
      <c r="B14969" t="s">
        <v>3221</v>
      </c>
      <c r="C14969">
        <v>12556</v>
      </c>
      <c r="D14969" t="s">
        <v>741</v>
      </c>
      <c r="E14969" t="s">
        <v>742</v>
      </c>
      <c r="F14969">
        <v>218.33</v>
      </c>
      <c r="G14969">
        <v>230918</v>
      </c>
      <c r="H14969">
        <v>4600</v>
      </c>
      <c r="I14969" t="s">
        <v>105</v>
      </c>
      <c r="J14969">
        <v>270.73</v>
      </c>
      <c r="K14969">
        <v>52.4</v>
      </c>
      <c r="L14969">
        <v>14321</v>
      </c>
      <c r="M14969" t="s">
        <v>717</v>
      </c>
      <c r="N14969" t="str">
        <f>"31008       "</f>
        <v xml:space="preserve">31008       </v>
      </c>
      <c r="O14969">
        <v>230921</v>
      </c>
    </row>
    <row r="14970" spans="1:15" x14ac:dyDescent="0.25">
      <c r="A14970" t="s">
        <v>16</v>
      </c>
      <c r="B14970" t="s">
        <v>3221</v>
      </c>
      <c r="C14970">
        <v>12556</v>
      </c>
      <c r="D14970" t="s">
        <v>741</v>
      </c>
      <c r="E14970" t="s">
        <v>742</v>
      </c>
      <c r="F14970">
        <v>436.67</v>
      </c>
      <c r="G14970">
        <v>230918</v>
      </c>
      <c r="H14970">
        <v>4600</v>
      </c>
      <c r="I14970" t="s">
        <v>105</v>
      </c>
      <c r="J14970">
        <v>541.47</v>
      </c>
      <c r="K14970">
        <v>104.8</v>
      </c>
      <c r="L14970">
        <v>14622</v>
      </c>
      <c r="M14970" t="s">
        <v>1005</v>
      </c>
      <c r="N14970" t="str">
        <f>"31008       "</f>
        <v xml:space="preserve">31008       </v>
      </c>
      <c r="O14970">
        <v>230921</v>
      </c>
    </row>
    <row r="14971" spans="1:15" x14ac:dyDescent="0.25">
      <c r="A14971" t="s">
        <v>16</v>
      </c>
      <c r="B14971" t="s">
        <v>3221</v>
      </c>
      <c r="C14971">
        <v>785</v>
      </c>
      <c r="D14971" t="s">
        <v>741</v>
      </c>
      <c r="E14971" t="s">
        <v>742</v>
      </c>
      <c r="F14971">
        <v>727.84</v>
      </c>
      <c r="G14971">
        <v>230127</v>
      </c>
      <c r="H14971">
        <v>4390</v>
      </c>
      <c r="I14971" t="s">
        <v>98</v>
      </c>
      <c r="J14971">
        <v>727.84</v>
      </c>
      <c r="K14971">
        <v>0</v>
      </c>
      <c r="L14971">
        <v>17951</v>
      </c>
      <c r="M14971" t="s">
        <v>87</v>
      </c>
      <c r="N14971" t="str">
        <f>"27067       "</f>
        <v xml:space="preserve">27067       </v>
      </c>
      <c r="O14971">
        <v>230130</v>
      </c>
    </row>
    <row r="14972" spans="1:15" x14ac:dyDescent="0.25">
      <c r="A14972" t="s">
        <v>16</v>
      </c>
      <c r="B14972" t="s">
        <v>3221</v>
      </c>
      <c r="C14972">
        <v>9770</v>
      </c>
      <c r="D14972" t="s">
        <v>741</v>
      </c>
      <c r="E14972" t="s">
        <v>742</v>
      </c>
      <c r="F14972">
        <v>3115.68</v>
      </c>
      <c r="G14972">
        <v>230711</v>
      </c>
      <c r="H14972">
        <v>4390</v>
      </c>
      <c r="I14972" t="s">
        <v>98</v>
      </c>
      <c r="J14972">
        <v>3115.68</v>
      </c>
      <c r="K14972">
        <v>0</v>
      </c>
      <c r="L14972">
        <v>17951</v>
      </c>
      <c r="M14972" t="s">
        <v>87</v>
      </c>
      <c r="N14972" t="str">
        <f>"29577       "</f>
        <v xml:space="preserve">29577       </v>
      </c>
      <c r="O14972">
        <v>230725</v>
      </c>
    </row>
    <row r="14973" spans="1:15" x14ac:dyDescent="0.25">
      <c r="A14973" t="s">
        <v>16</v>
      </c>
      <c r="B14973" t="s">
        <v>3221</v>
      </c>
      <c r="C14973">
        <v>9772</v>
      </c>
      <c r="D14973" t="s">
        <v>741</v>
      </c>
      <c r="E14973" t="s">
        <v>742</v>
      </c>
      <c r="F14973">
        <v>28.39</v>
      </c>
      <c r="G14973">
        <v>230711</v>
      </c>
      <c r="H14973">
        <v>4390</v>
      </c>
      <c r="I14973" t="s">
        <v>98</v>
      </c>
      <c r="J14973">
        <v>35.200000000000003</v>
      </c>
      <c r="K14973">
        <v>6.81</v>
      </c>
      <c r="L14973">
        <v>13540</v>
      </c>
      <c r="M14973" t="s">
        <v>85</v>
      </c>
      <c r="N14973" t="str">
        <f>"29576       "</f>
        <v xml:space="preserve">29576       </v>
      </c>
      <c r="O14973">
        <v>230725</v>
      </c>
    </row>
    <row r="14974" spans="1:15" x14ac:dyDescent="0.25">
      <c r="A14974" t="s">
        <v>16</v>
      </c>
      <c r="B14974" t="s">
        <v>3221</v>
      </c>
      <c r="C14974">
        <v>9772</v>
      </c>
      <c r="D14974" t="s">
        <v>741</v>
      </c>
      <c r="E14974" t="s">
        <v>742</v>
      </c>
      <c r="F14974">
        <v>229.68</v>
      </c>
      <c r="G14974">
        <v>230711</v>
      </c>
      <c r="H14974">
        <v>4390</v>
      </c>
      <c r="I14974" t="s">
        <v>98</v>
      </c>
      <c r="J14974">
        <v>284.8</v>
      </c>
      <c r="K14974">
        <v>55.12</v>
      </c>
      <c r="L14974">
        <v>17950</v>
      </c>
      <c r="M14974" t="s">
        <v>86</v>
      </c>
      <c r="N14974" t="str">
        <f>"29576       "</f>
        <v xml:space="preserve">29576       </v>
      </c>
      <c r="O14974">
        <v>230725</v>
      </c>
    </row>
    <row r="14975" spans="1:15" x14ac:dyDescent="0.25">
      <c r="A14975" t="s">
        <v>16</v>
      </c>
      <c r="B14975" t="s">
        <v>3221</v>
      </c>
      <c r="C14975">
        <v>11033</v>
      </c>
      <c r="D14975" t="s">
        <v>741</v>
      </c>
      <c r="E14975" t="s">
        <v>742</v>
      </c>
      <c r="F14975">
        <v>429.27</v>
      </c>
      <c r="G14975">
        <v>230822</v>
      </c>
      <c r="H14975">
        <v>4390</v>
      </c>
      <c r="I14975" t="s">
        <v>98</v>
      </c>
      <c r="J14975">
        <v>429.27</v>
      </c>
      <c r="K14975">
        <v>0</v>
      </c>
      <c r="L14975">
        <v>11401</v>
      </c>
      <c r="M14975" t="s">
        <v>84</v>
      </c>
      <c r="N14975" t="str">
        <f>"30268       "</f>
        <v xml:space="preserve">30268       </v>
      </c>
      <c r="O14975">
        <v>230828</v>
      </c>
    </row>
    <row r="14976" spans="1:15" x14ac:dyDescent="0.25">
      <c r="A14976" t="s">
        <v>16</v>
      </c>
      <c r="B14976" t="s">
        <v>3221</v>
      </c>
      <c r="C14976">
        <v>11033</v>
      </c>
      <c r="D14976" t="s">
        <v>741</v>
      </c>
      <c r="E14976" t="s">
        <v>742</v>
      </c>
      <c r="F14976">
        <v>858.5</v>
      </c>
      <c r="G14976">
        <v>230822</v>
      </c>
      <c r="H14976">
        <v>4390</v>
      </c>
      <c r="I14976" t="s">
        <v>98</v>
      </c>
      <c r="J14976">
        <v>858.5</v>
      </c>
      <c r="K14976">
        <v>0</v>
      </c>
      <c r="L14976">
        <v>14952</v>
      </c>
      <c r="M14976" t="s">
        <v>99</v>
      </c>
      <c r="N14976" t="str">
        <f>"30268       "</f>
        <v xml:space="preserve">30268       </v>
      </c>
      <c r="O14976">
        <v>230828</v>
      </c>
    </row>
    <row r="14977" spans="1:15" x14ac:dyDescent="0.25">
      <c r="A14977" t="s">
        <v>16</v>
      </c>
      <c r="B14977" t="s">
        <v>3221</v>
      </c>
      <c r="C14977">
        <v>13032</v>
      </c>
      <c r="D14977" t="s">
        <v>741</v>
      </c>
      <c r="E14977" t="s">
        <v>742</v>
      </c>
      <c r="F14977">
        <v>41.55</v>
      </c>
      <c r="G14977">
        <v>230928</v>
      </c>
      <c r="H14977">
        <v>4390</v>
      </c>
      <c r="I14977" t="s">
        <v>98</v>
      </c>
      <c r="J14977">
        <v>51.52</v>
      </c>
      <c r="K14977">
        <v>9.9700000000000006</v>
      </c>
      <c r="L14977">
        <v>14952</v>
      </c>
      <c r="M14977" t="s">
        <v>99</v>
      </c>
      <c r="N14977" t="str">
        <f>"31199       "</f>
        <v xml:space="preserve">31199       </v>
      </c>
      <c r="O14977">
        <v>231002</v>
      </c>
    </row>
    <row r="14978" spans="1:15" x14ac:dyDescent="0.25">
      <c r="A14978" t="s">
        <v>16</v>
      </c>
      <c r="B14978" t="s">
        <v>3221</v>
      </c>
      <c r="C14978">
        <v>13032</v>
      </c>
      <c r="D14978" t="s">
        <v>741</v>
      </c>
      <c r="E14978" t="s">
        <v>742</v>
      </c>
      <c r="F14978">
        <v>96.95</v>
      </c>
      <c r="G14978">
        <v>230928</v>
      </c>
      <c r="H14978">
        <v>4390</v>
      </c>
      <c r="I14978" t="s">
        <v>98</v>
      </c>
      <c r="J14978">
        <v>120.22</v>
      </c>
      <c r="K14978">
        <v>23.27</v>
      </c>
      <c r="L14978">
        <v>14981</v>
      </c>
      <c r="M14978" t="s">
        <v>1211</v>
      </c>
      <c r="N14978" t="str">
        <f>"31199       "</f>
        <v xml:space="preserve">31199       </v>
      </c>
      <c r="O14978">
        <v>231002</v>
      </c>
    </row>
    <row r="14979" spans="1:15" x14ac:dyDescent="0.25">
      <c r="A14979" t="s">
        <v>16</v>
      </c>
      <c r="B14979" t="s">
        <v>3221</v>
      </c>
      <c r="C14979">
        <v>18309</v>
      </c>
      <c r="D14979" t="s">
        <v>741</v>
      </c>
      <c r="E14979" t="s">
        <v>742</v>
      </c>
      <c r="F14979">
        <v>1595.82</v>
      </c>
      <c r="G14979">
        <v>231221</v>
      </c>
      <c r="H14979">
        <v>4390</v>
      </c>
      <c r="I14979" t="s">
        <v>98</v>
      </c>
      <c r="J14979">
        <v>1595.82</v>
      </c>
      <c r="K14979">
        <v>0</v>
      </c>
      <c r="L14979">
        <v>17951</v>
      </c>
      <c r="M14979" t="s">
        <v>87</v>
      </c>
      <c r="N14979" t="str">
        <f>"32933       "</f>
        <v xml:space="preserve">32933       </v>
      </c>
      <c r="O14979">
        <v>240102</v>
      </c>
    </row>
    <row r="14980" spans="1:15" x14ac:dyDescent="0.25">
      <c r="A14980" t="s">
        <v>16</v>
      </c>
      <c r="B14980" t="s">
        <v>3221</v>
      </c>
      <c r="C14980">
        <v>4304</v>
      </c>
      <c r="D14980" t="s">
        <v>741</v>
      </c>
      <c r="E14980" t="s">
        <v>742</v>
      </c>
      <c r="F14980">
        <v>115.53</v>
      </c>
      <c r="G14980">
        <v>230330</v>
      </c>
      <c r="H14980">
        <v>4471</v>
      </c>
      <c r="I14980" t="s">
        <v>68</v>
      </c>
      <c r="J14980">
        <v>143.26</v>
      </c>
      <c r="K14980">
        <v>27.73</v>
      </c>
      <c r="L14980">
        <v>14952</v>
      </c>
      <c r="M14980" t="s">
        <v>99</v>
      </c>
      <c r="N14980" t="str">
        <f>"28001       "</f>
        <v xml:space="preserve">28001       </v>
      </c>
      <c r="O14980">
        <v>230404</v>
      </c>
    </row>
    <row r="14981" spans="1:15" x14ac:dyDescent="0.25">
      <c r="A14981" t="s">
        <v>16</v>
      </c>
      <c r="B14981" t="s">
        <v>3221</v>
      </c>
      <c r="C14981">
        <v>5151</v>
      </c>
      <c r="D14981" t="s">
        <v>741</v>
      </c>
      <c r="E14981" t="s">
        <v>742</v>
      </c>
      <c r="F14981">
        <v>720</v>
      </c>
      <c r="G14981">
        <v>230406</v>
      </c>
      <c r="H14981">
        <v>4471</v>
      </c>
      <c r="I14981" t="s">
        <v>68</v>
      </c>
      <c r="J14981">
        <v>892.8</v>
      </c>
      <c r="K14981">
        <v>172.8</v>
      </c>
      <c r="L14981">
        <v>14952</v>
      </c>
      <c r="M14981" t="s">
        <v>99</v>
      </c>
      <c r="N14981" t="str">
        <f>"28108       "</f>
        <v xml:space="preserve">28108       </v>
      </c>
      <c r="O14981">
        <v>230418</v>
      </c>
    </row>
    <row r="14982" spans="1:15" x14ac:dyDescent="0.25">
      <c r="A14982" t="s">
        <v>16</v>
      </c>
      <c r="B14982" t="s">
        <v>3221</v>
      </c>
      <c r="C14982">
        <v>12459</v>
      </c>
      <c r="D14982" t="s">
        <v>741</v>
      </c>
      <c r="E14982" t="s">
        <v>742</v>
      </c>
      <c r="F14982">
        <v>103</v>
      </c>
      <c r="G14982">
        <v>230912</v>
      </c>
      <c r="H14982">
        <v>4471</v>
      </c>
      <c r="I14982" t="s">
        <v>68</v>
      </c>
      <c r="J14982">
        <v>127.72</v>
      </c>
      <c r="K14982">
        <v>24.72</v>
      </c>
      <c r="L14982">
        <v>14951</v>
      </c>
      <c r="M14982" t="s">
        <v>57</v>
      </c>
      <c r="N14982" t="str">
        <f>"30903       "</f>
        <v xml:space="preserve">30903       </v>
      </c>
      <c r="O14982">
        <v>230920</v>
      </c>
    </row>
    <row r="14983" spans="1:15" x14ac:dyDescent="0.25">
      <c r="A14983" t="s">
        <v>16</v>
      </c>
      <c r="B14983" t="s">
        <v>3221</v>
      </c>
      <c r="C14983">
        <v>719</v>
      </c>
      <c r="D14983" t="s">
        <v>702</v>
      </c>
      <c r="E14983" t="s">
        <v>703</v>
      </c>
      <c r="F14983">
        <v>30.66</v>
      </c>
      <c r="G14983">
        <v>230125</v>
      </c>
      <c r="H14983">
        <v>4520</v>
      </c>
      <c r="I14983" t="s">
        <v>254</v>
      </c>
      <c r="J14983">
        <v>34.950000000000003</v>
      </c>
      <c r="K14983">
        <v>4.29</v>
      </c>
      <c r="L14983">
        <v>54422</v>
      </c>
      <c r="M14983" t="s">
        <v>234</v>
      </c>
      <c r="N14983" t="str">
        <f>"123/200     "</f>
        <v xml:space="preserve">123/200     </v>
      </c>
      <c r="O14983">
        <v>230127</v>
      </c>
    </row>
    <row r="14984" spans="1:15" x14ac:dyDescent="0.25">
      <c r="A14984" t="s">
        <v>16</v>
      </c>
      <c r="B14984" t="s">
        <v>3221</v>
      </c>
      <c r="C14984">
        <v>12121</v>
      </c>
      <c r="D14984" t="s">
        <v>372</v>
      </c>
      <c r="E14984" t="s">
        <v>373</v>
      </c>
      <c r="F14984">
        <v>8.4499999999999993</v>
      </c>
      <c r="G14984">
        <v>230911</v>
      </c>
      <c r="H14984">
        <v>4580</v>
      </c>
      <c r="I14984" t="s">
        <v>35</v>
      </c>
      <c r="J14984">
        <v>10.48</v>
      </c>
      <c r="K14984">
        <v>2.0299999999999998</v>
      </c>
      <c r="L14984">
        <v>17711</v>
      </c>
      <c r="M14984" t="s">
        <v>65</v>
      </c>
      <c r="N14984" t="str">
        <f>"203399      "</f>
        <v xml:space="preserve">203399      </v>
      </c>
      <c r="O14984">
        <v>230914</v>
      </c>
    </row>
    <row r="14985" spans="1:15" x14ac:dyDescent="0.25">
      <c r="A14985" t="s">
        <v>16</v>
      </c>
      <c r="B14985" t="s">
        <v>3221</v>
      </c>
      <c r="C14985">
        <v>4319</v>
      </c>
      <c r="D14985" t="s">
        <v>372</v>
      </c>
      <c r="E14985" t="s">
        <v>373</v>
      </c>
      <c r="F14985">
        <v>2097.73</v>
      </c>
      <c r="G14985">
        <v>230331</v>
      </c>
      <c r="H14985">
        <v>4551</v>
      </c>
      <c r="I14985" t="s">
        <v>1020</v>
      </c>
      <c r="J14985">
        <v>2601.1799999999998</v>
      </c>
      <c r="K14985">
        <v>503.45</v>
      </c>
      <c r="L14985">
        <v>17737</v>
      </c>
      <c r="M14985" t="s">
        <v>279</v>
      </c>
      <c r="N14985" t="str">
        <f>"196839      "</f>
        <v xml:space="preserve">196839      </v>
      </c>
      <c r="O14985">
        <v>230404</v>
      </c>
    </row>
    <row r="14986" spans="1:15" x14ac:dyDescent="0.25">
      <c r="A14986" t="s">
        <v>16</v>
      </c>
      <c r="B14986" t="s">
        <v>3221</v>
      </c>
      <c r="C14986">
        <v>13012</v>
      </c>
      <c r="D14986" t="s">
        <v>372</v>
      </c>
      <c r="E14986" t="s">
        <v>373</v>
      </c>
      <c r="F14986">
        <v>80.650000000000006</v>
      </c>
      <c r="G14986">
        <v>230928</v>
      </c>
      <c r="H14986">
        <v>4600</v>
      </c>
      <c r="I14986" t="s">
        <v>105</v>
      </c>
      <c r="J14986">
        <v>100</v>
      </c>
      <c r="K14986">
        <v>19.350000000000001</v>
      </c>
      <c r="L14986">
        <v>17737</v>
      </c>
      <c r="M14986" t="s">
        <v>279</v>
      </c>
      <c r="N14986" t="str">
        <f>"203956      "</f>
        <v xml:space="preserve">203956      </v>
      </c>
      <c r="O14986">
        <v>231002</v>
      </c>
    </row>
    <row r="14987" spans="1:15" x14ac:dyDescent="0.25">
      <c r="A14987" t="s">
        <v>16</v>
      </c>
      <c r="B14987" t="s">
        <v>3221</v>
      </c>
      <c r="C14987">
        <v>14129</v>
      </c>
      <c r="D14987" t="s">
        <v>372</v>
      </c>
      <c r="E14987" t="s">
        <v>373</v>
      </c>
      <c r="F14987">
        <v>68.31</v>
      </c>
      <c r="G14987">
        <v>231017</v>
      </c>
      <c r="H14987">
        <v>4555</v>
      </c>
      <c r="I14987" t="s">
        <v>481</v>
      </c>
      <c r="J14987">
        <v>84.7</v>
      </c>
      <c r="K14987">
        <v>16.39</v>
      </c>
      <c r="L14987">
        <v>17737</v>
      </c>
      <c r="M14987" t="s">
        <v>279</v>
      </c>
      <c r="N14987" t="str">
        <f>"204565      "</f>
        <v xml:space="preserve">204565      </v>
      </c>
      <c r="O14987">
        <v>231019</v>
      </c>
    </row>
    <row r="14988" spans="1:15" x14ac:dyDescent="0.25">
      <c r="A14988" t="s">
        <v>16</v>
      </c>
      <c r="B14988" t="s">
        <v>3221</v>
      </c>
      <c r="C14988">
        <v>246</v>
      </c>
      <c r="D14988" t="s">
        <v>372</v>
      </c>
      <c r="E14988" t="s">
        <v>373</v>
      </c>
      <c r="F14988">
        <v>76.95</v>
      </c>
      <c r="G14988">
        <v>230110</v>
      </c>
      <c r="H14988">
        <v>4364</v>
      </c>
      <c r="I14988" t="s">
        <v>296</v>
      </c>
      <c r="J14988">
        <v>87.72</v>
      </c>
      <c r="K14988">
        <v>10.77</v>
      </c>
      <c r="L14988">
        <v>17711</v>
      </c>
      <c r="M14988" t="s">
        <v>65</v>
      </c>
      <c r="N14988" t="str">
        <f>"194751      "</f>
        <v xml:space="preserve">194751      </v>
      </c>
      <c r="O14988">
        <v>230116</v>
      </c>
    </row>
    <row r="14989" spans="1:15" x14ac:dyDescent="0.25">
      <c r="A14989" t="s">
        <v>16</v>
      </c>
      <c r="B14989" t="s">
        <v>3221</v>
      </c>
      <c r="C14989">
        <v>3378</v>
      </c>
      <c r="D14989" t="s">
        <v>372</v>
      </c>
      <c r="E14989" t="s">
        <v>373</v>
      </c>
      <c r="F14989">
        <v>76.95</v>
      </c>
      <c r="G14989">
        <v>230303</v>
      </c>
      <c r="H14989">
        <v>4364</v>
      </c>
      <c r="I14989" t="s">
        <v>296</v>
      </c>
      <c r="J14989">
        <v>87.72</v>
      </c>
      <c r="K14989">
        <v>10.77</v>
      </c>
      <c r="L14989">
        <v>17711</v>
      </c>
      <c r="M14989" t="s">
        <v>65</v>
      </c>
      <c r="N14989" t="str">
        <f>"196199      "</f>
        <v xml:space="preserve">196199      </v>
      </c>
      <c r="O14989">
        <v>230315</v>
      </c>
    </row>
    <row r="14990" spans="1:15" x14ac:dyDescent="0.25">
      <c r="A14990" t="s">
        <v>16</v>
      </c>
      <c r="B14990" t="s">
        <v>3221</v>
      </c>
      <c r="C14990">
        <v>6033</v>
      </c>
      <c r="D14990" t="s">
        <v>372</v>
      </c>
      <c r="E14990" t="s">
        <v>373</v>
      </c>
      <c r="F14990">
        <v>76.95</v>
      </c>
      <c r="G14990">
        <v>230426</v>
      </c>
      <c r="H14990">
        <v>4364</v>
      </c>
      <c r="I14990" t="s">
        <v>296</v>
      </c>
      <c r="J14990">
        <v>87.72</v>
      </c>
      <c r="K14990">
        <v>10.77</v>
      </c>
      <c r="L14990">
        <v>17711</v>
      </c>
      <c r="M14990" t="s">
        <v>65</v>
      </c>
      <c r="N14990" t="str">
        <f>"197638      "</f>
        <v xml:space="preserve">197638      </v>
      </c>
      <c r="O14990">
        <v>230505</v>
      </c>
    </row>
    <row r="14991" spans="1:15" x14ac:dyDescent="0.25">
      <c r="A14991" t="s">
        <v>16</v>
      </c>
      <c r="B14991" t="s">
        <v>3221</v>
      </c>
      <c r="C14991">
        <v>12716</v>
      </c>
      <c r="D14991" t="s">
        <v>372</v>
      </c>
      <c r="E14991" t="s">
        <v>373</v>
      </c>
      <c r="F14991">
        <v>87.72</v>
      </c>
      <c r="G14991">
        <v>230914</v>
      </c>
      <c r="H14991">
        <v>4364</v>
      </c>
      <c r="I14991" t="s">
        <v>296</v>
      </c>
      <c r="J14991">
        <v>100</v>
      </c>
      <c r="K14991">
        <v>12.28</v>
      </c>
      <c r="L14991">
        <v>17711</v>
      </c>
      <c r="M14991" t="s">
        <v>65</v>
      </c>
      <c r="N14991" t="str">
        <f>"203540      "</f>
        <v xml:space="preserve">203540      </v>
      </c>
      <c r="O14991">
        <v>230925</v>
      </c>
    </row>
    <row r="14992" spans="1:15" x14ac:dyDescent="0.25">
      <c r="A14992" t="s">
        <v>16</v>
      </c>
      <c r="B14992" t="s">
        <v>3221</v>
      </c>
      <c r="C14992">
        <v>15796</v>
      </c>
      <c r="D14992" t="s">
        <v>372</v>
      </c>
      <c r="E14992" t="s">
        <v>373</v>
      </c>
      <c r="F14992">
        <v>80.08</v>
      </c>
      <c r="G14992">
        <v>231107</v>
      </c>
      <c r="H14992">
        <v>4364</v>
      </c>
      <c r="I14992" t="s">
        <v>296</v>
      </c>
      <c r="J14992">
        <v>99.3</v>
      </c>
      <c r="K14992">
        <v>19.22</v>
      </c>
      <c r="L14992">
        <v>17711</v>
      </c>
      <c r="M14992" t="s">
        <v>65</v>
      </c>
      <c r="N14992" t="str">
        <f>"205142      "</f>
        <v xml:space="preserve">205142      </v>
      </c>
      <c r="O14992">
        <v>231120</v>
      </c>
    </row>
    <row r="14993" spans="1:15" x14ac:dyDescent="0.25">
      <c r="A14993" t="s">
        <v>16</v>
      </c>
      <c r="B14993" t="s">
        <v>3221</v>
      </c>
      <c r="C14993">
        <v>246</v>
      </c>
      <c r="D14993" t="s">
        <v>372</v>
      </c>
      <c r="E14993" t="s">
        <v>373</v>
      </c>
      <c r="F14993">
        <v>760.04</v>
      </c>
      <c r="G14993">
        <v>230110</v>
      </c>
      <c r="H14993">
        <v>4554</v>
      </c>
      <c r="I14993" t="s">
        <v>371</v>
      </c>
      <c r="J14993">
        <v>866.45</v>
      </c>
      <c r="K14993">
        <v>106.41</v>
      </c>
      <c r="L14993">
        <v>17711</v>
      </c>
      <c r="M14993" t="s">
        <v>65</v>
      </c>
      <c r="N14993" t="str">
        <f>"194751      "</f>
        <v xml:space="preserve">194751      </v>
      </c>
      <c r="O14993">
        <v>230116</v>
      </c>
    </row>
    <row r="14994" spans="1:15" x14ac:dyDescent="0.25">
      <c r="A14994" t="s">
        <v>16</v>
      </c>
      <c r="B14994" t="s">
        <v>3221</v>
      </c>
      <c r="C14994">
        <v>246</v>
      </c>
      <c r="D14994" t="s">
        <v>372</v>
      </c>
      <c r="E14994" t="s">
        <v>373</v>
      </c>
      <c r="F14994">
        <v>47.94</v>
      </c>
      <c r="G14994">
        <v>230110</v>
      </c>
      <c r="H14994">
        <v>4554</v>
      </c>
      <c r="I14994" t="s">
        <v>371</v>
      </c>
      <c r="J14994">
        <v>54.65</v>
      </c>
      <c r="K14994">
        <v>6.71</v>
      </c>
      <c r="L14994">
        <v>17739</v>
      </c>
      <c r="M14994" t="s">
        <v>374</v>
      </c>
      <c r="N14994" t="str">
        <f>"194751      "</f>
        <v xml:space="preserve">194751      </v>
      </c>
      <c r="O14994">
        <v>230116</v>
      </c>
    </row>
    <row r="14995" spans="1:15" x14ac:dyDescent="0.25">
      <c r="A14995" t="s">
        <v>16</v>
      </c>
      <c r="B14995" t="s">
        <v>3221</v>
      </c>
      <c r="C14995">
        <v>3378</v>
      </c>
      <c r="D14995" t="s">
        <v>372</v>
      </c>
      <c r="E14995" t="s">
        <v>373</v>
      </c>
      <c r="F14995">
        <v>840.52</v>
      </c>
      <c r="G14995">
        <v>230303</v>
      </c>
      <c r="H14995">
        <v>4554</v>
      </c>
      <c r="I14995" t="s">
        <v>371</v>
      </c>
      <c r="J14995">
        <v>958.19</v>
      </c>
      <c r="K14995">
        <v>117.67</v>
      </c>
      <c r="L14995">
        <v>17711</v>
      </c>
      <c r="M14995" t="s">
        <v>65</v>
      </c>
      <c r="N14995" t="str">
        <f>"196199      "</f>
        <v xml:space="preserve">196199      </v>
      </c>
      <c r="O14995">
        <v>230315</v>
      </c>
    </row>
    <row r="14996" spans="1:15" x14ac:dyDescent="0.25">
      <c r="A14996" t="s">
        <v>16</v>
      </c>
      <c r="B14996" t="s">
        <v>3221</v>
      </c>
      <c r="C14996">
        <v>3821</v>
      </c>
      <c r="D14996" t="s">
        <v>372</v>
      </c>
      <c r="E14996" t="s">
        <v>373</v>
      </c>
      <c r="F14996">
        <v>102.71</v>
      </c>
      <c r="G14996">
        <v>230309</v>
      </c>
      <c r="H14996">
        <v>4554</v>
      </c>
      <c r="I14996" t="s">
        <v>371</v>
      </c>
      <c r="J14996">
        <v>117.09</v>
      </c>
      <c r="K14996">
        <v>14.38</v>
      </c>
      <c r="L14996">
        <v>17711</v>
      </c>
      <c r="M14996" t="s">
        <v>65</v>
      </c>
      <c r="N14996" t="str">
        <f>"196305      "</f>
        <v xml:space="preserve">196305      </v>
      </c>
      <c r="O14996">
        <v>230323</v>
      </c>
    </row>
    <row r="14997" spans="1:15" x14ac:dyDescent="0.25">
      <c r="A14997" t="s">
        <v>16</v>
      </c>
      <c r="B14997" t="s">
        <v>3221</v>
      </c>
      <c r="C14997">
        <v>3828</v>
      </c>
      <c r="D14997" t="s">
        <v>372</v>
      </c>
      <c r="E14997" t="s">
        <v>373</v>
      </c>
      <c r="F14997">
        <v>73.38</v>
      </c>
      <c r="G14997">
        <v>230317</v>
      </c>
      <c r="H14997">
        <v>4554</v>
      </c>
      <c r="I14997" t="s">
        <v>371</v>
      </c>
      <c r="J14997">
        <v>83.65</v>
      </c>
      <c r="K14997">
        <v>10.27</v>
      </c>
      <c r="L14997">
        <v>17711</v>
      </c>
      <c r="M14997" t="s">
        <v>65</v>
      </c>
      <c r="N14997" t="str">
        <f>"196489      "</f>
        <v xml:space="preserve">196489      </v>
      </c>
      <c r="O14997">
        <v>230323</v>
      </c>
    </row>
    <row r="14998" spans="1:15" x14ac:dyDescent="0.25">
      <c r="A14998" t="s">
        <v>16</v>
      </c>
      <c r="B14998" t="s">
        <v>3221</v>
      </c>
      <c r="C14998">
        <v>6033</v>
      </c>
      <c r="D14998" t="s">
        <v>372</v>
      </c>
      <c r="E14998" t="s">
        <v>373</v>
      </c>
      <c r="F14998">
        <v>910.34</v>
      </c>
      <c r="G14998">
        <v>230426</v>
      </c>
      <c r="H14998">
        <v>4554</v>
      </c>
      <c r="I14998" t="s">
        <v>371</v>
      </c>
      <c r="J14998">
        <v>1037.79</v>
      </c>
      <c r="K14998">
        <v>127.45</v>
      </c>
      <c r="L14998">
        <v>17711</v>
      </c>
      <c r="M14998" t="s">
        <v>65</v>
      </c>
      <c r="N14998" t="str">
        <f>"197638      "</f>
        <v xml:space="preserve">197638      </v>
      </c>
      <c r="O14998">
        <v>230505</v>
      </c>
    </row>
    <row r="14999" spans="1:15" x14ac:dyDescent="0.25">
      <c r="A14999" t="s">
        <v>16</v>
      </c>
      <c r="B14999" t="s">
        <v>3221</v>
      </c>
      <c r="C14999">
        <v>6794</v>
      </c>
      <c r="D14999" t="s">
        <v>372</v>
      </c>
      <c r="E14999" t="s">
        <v>373</v>
      </c>
      <c r="F14999">
        <v>131.26</v>
      </c>
      <c r="G14999">
        <v>230515</v>
      </c>
      <c r="H14999">
        <v>4554</v>
      </c>
      <c r="I14999" t="s">
        <v>371</v>
      </c>
      <c r="J14999">
        <v>149.63999999999999</v>
      </c>
      <c r="K14999">
        <v>18.38</v>
      </c>
      <c r="L14999">
        <v>17711</v>
      </c>
      <c r="M14999" t="s">
        <v>65</v>
      </c>
      <c r="N14999" t="str">
        <f>"198404      "</f>
        <v xml:space="preserve">198404      </v>
      </c>
      <c r="O14999">
        <v>230522</v>
      </c>
    </row>
    <row r="15000" spans="1:15" x14ac:dyDescent="0.25">
      <c r="A15000" t="s">
        <v>16</v>
      </c>
      <c r="B15000" t="s">
        <v>3221</v>
      </c>
      <c r="C15000">
        <v>9771</v>
      </c>
      <c r="D15000" t="s">
        <v>372</v>
      </c>
      <c r="E15000" t="s">
        <v>373</v>
      </c>
      <c r="F15000">
        <v>993.86</v>
      </c>
      <c r="G15000">
        <v>230711</v>
      </c>
      <c r="H15000">
        <v>4554</v>
      </c>
      <c r="I15000" t="s">
        <v>371</v>
      </c>
      <c r="J15000">
        <v>1133</v>
      </c>
      <c r="K15000">
        <v>139.13999999999999</v>
      </c>
      <c r="L15000">
        <v>17737</v>
      </c>
      <c r="M15000" t="s">
        <v>279</v>
      </c>
      <c r="N15000" t="str">
        <f>"201273      "</f>
        <v xml:space="preserve">201273      </v>
      </c>
      <c r="O15000">
        <v>230725</v>
      </c>
    </row>
    <row r="15001" spans="1:15" x14ac:dyDescent="0.25">
      <c r="A15001" t="s">
        <v>16</v>
      </c>
      <c r="B15001" t="s">
        <v>3221</v>
      </c>
      <c r="C15001">
        <v>11728</v>
      </c>
      <c r="D15001" t="s">
        <v>372</v>
      </c>
      <c r="E15001" t="s">
        <v>373</v>
      </c>
      <c r="F15001">
        <v>52.13</v>
      </c>
      <c r="G15001">
        <v>230905</v>
      </c>
      <c r="H15001">
        <v>4554</v>
      </c>
      <c r="I15001" t="s">
        <v>371</v>
      </c>
      <c r="J15001">
        <v>59.43</v>
      </c>
      <c r="K15001">
        <v>7.3</v>
      </c>
      <c r="L15001">
        <v>17711</v>
      </c>
      <c r="M15001" t="s">
        <v>65</v>
      </c>
      <c r="N15001" t="str">
        <f>"203265      "</f>
        <v xml:space="preserve">203265      </v>
      </c>
      <c r="O15001">
        <v>230908</v>
      </c>
    </row>
    <row r="15002" spans="1:15" x14ac:dyDescent="0.25">
      <c r="A15002" t="s">
        <v>16</v>
      </c>
      <c r="B15002" t="s">
        <v>3221</v>
      </c>
      <c r="C15002">
        <v>12121</v>
      </c>
      <c r="D15002" t="s">
        <v>372</v>
      </c>
      <c r="E15002" t="s">
        <v>373</v>
      </c>
      <c r="F15002">
        <v>40.81</v>
      </c>
      <c r="G15002">
        <v>230911</v>
      </c>
      <c r="H15002">
        <v>4554</v>
      </c>
      <c r="I15002" t="s">
        <v>371</v>
      </c>
      <c r="J15002">
        <v>46.52</v>
      </c>
      <c r="K15002">
        <v>5.71</v>
      </c>
      <c r="L15002">
        <v>17711</v>
      </c>
      <c r="M15002" t="s">
        <v>65</v>
      </c>
      <c r="N15002" t="str">
        <f>"203399      "</f>
        <v xml:space="preserve">203399      </v>
      </c>
      <c r="O15002">
        <v>230914</v>
      </c>
    </row>
    <row r="15003" spans="1:15" x14ac:dyDescent="0.25">
      <c r="A15003" t="s">
        <v>16</v>
      </c>
      <c r="B15003" t="s">
        <v>3221</v>
      </c>
      <c r="C15003">
        <v>15796</v>
      </c>
      <c r="D15003" t="s">
        <v>372</v>
      </c>
      <c r="E15003" t="s">
        <v>373</v>
      </c>
      <c r="F15003">
        <v>1091.55</v>
      </c>
      <c r="G15003">
        <v>231107</v>
      </c>
      <c r="H15003">
        <v>4554</v>
      </c>
      <c r="I15003" t="s">
        <v>371</v>
      </c>
      <c r="J15003">
        <v>1244.3699999999999</v>
      </c>
      <c r="K15003">
        <v>152.82</v>
      </c>
      <c r="L15003">
        <v>17711</v>
      </c>
      <c r="M15003" t="s">
        <v>65</v>
      </c>
      <c r="N15003" t="str">
        <f>"205142      "</f>
        <v xml:space="preserve">205142      </v>
      </c>
      <c r="O15003">
        <v>231120</v>
      </c>
    </row>
    <row r="15004" spans="1:15" x14ac:dyDescent="0.25">
      <c r="A15004" t="s">
        <v>16</v>
      </c>
      <c r="B15004" t="s">
        <v>3221</v>
      </c>
      <c r="C15004">
        <v>16131</v>
      </c>
      <c r="D15004" t="s">
        <v>372</v>
      </c>
      <c r="E15004" t="s">
        <v>373</v>
      </c>
      <c r="F15004">
        <v>63.55</v>
      </c>
      <c r="G15004">
        <v>231121</v>
      </c>
      <c r="H15004">
        <v>4554</v>
      </c>
      <c r="I15004" t="s">
        <v>371</v>
      </c>
      <c r="J15004">
        <v>72.45</v>
      </c>
      <c r="K15004">
        <v>8.9</v>
      </c>
      <c r="L15004">
        <v>17711</v>
      </c>
      <c r="M15004" t="s">
        <v>65</v>
      </c>
      <c r="N15004" t="str">
        <f>"205470      "</f>
        <v xml:space="preserve">205470      </v>
      </c>
      <c r="O15004">
        <v>231123</v>
      </c>
    </row>
    <row r="15005" spans="1:15" x14ac:dyDescent="0.25">
      <c r="A15005" t="s">
        <v>16</v>
      </c>
      <c r="B15005" t="s">
        <v>3221</v>
      </c>
      <c r="C15005">
        <v>2914</v>
      </c>
      <c r="D15005" t="s">
        <v>3389</v>
      </c>
      <c r="E15005" t="s">
        <v>3390</v>
      </c>
      <c r="F15005">
        <v>54</v>
      </c>
      <c r="G15005">
        <v>230223</v>
      </c>
      <c r="H15005">
        <v>4410</v>
      </c>
      <c r="I15005" t="s">
        <v>517</v>
      </c>
      <c r="J15005">
        <v>54</v>
      </c>
      <c r="K15005">
        <v>0</v>
      </c>
      <c r="L15005">
        <v>13601</v>
      </c>
      <c r="M15005" t="s">
        <v>147</v>
      </c>
      <c r="N15005" t="str">
        <f>"2000010     "</f>
        <v xml:space="preserve">2000010     </v>
      </c>
      <c r="O15005">
        <v>230308</v>
      </c>
    </row>
    <row r="15006" spans="1:15" x14ac:dyDescent="0.25">
      <c r="A15006" t="s">
        <v>16</v>
      </c>
      <c r="B15006" t="s">
        <v>3221</v>
      </c>
      <c r="C15006">
        <v>7948</v>
      </c>
      <c r="D15006" t="s">
        <v>3389</v>
      </c>
      <c r="E15006" t="s">
        <v>3390</v>
      </c>
      <c r="F15006">
        <v>1750</v>
      </c>
      <c r="G15006">
        <v>230530</v>
      </c>
      <c r="H15006">
        <v>4440</v>
      </c>
      <c r="I15006" t="s">
        <v>250</v>
      </c>
      <c r="J15006">
        <v>1750</v>
      </c>
      <c r="K15006">
        <v>0</v>
      </c>
      <c r="L15006">
        <v>13601</v>
      </c>
      <c r="M15006" t="s">
        <v>147</v>
      </c>
      <c r="N15006" t="str">
        <f>"2000027     "</f>
        <v xml:space="preserve">2000027     </v>
      </c>
      <c r="O15006">
        <v>230606</v>
      </c>
    </row>
    <row r="15007" spans="1:15" x14ac:dyDescent="0.25">
      <c r="A15007" t="s">
        <v>16</v>
      </c>
      <c r="B15007" t="s">
        <v>3221</v>
      </c>
      <c r="C15007">
        <v>18137</v>
      </c>
      <c r="D15007" t="s">
        <v>3389</v>
      </c>
      <c r="E15007" t="s">
        <v>3390</v>
      </c>
      <c r="F15007">
        <v>1350</v>
      </c>
      <c r="G15007">
        <v>231218</v>
      </c>
      <c r="H15007">
        <v>4440</v>
      </c>
      <c r="I15007" t="s">
        <v>250</v>
      </c>
      <c r="J15007">
        <v>1350</v>
      </c>
      <c r="K15007">
        <v>0</v>
      </c>
      <c r="L15007">
        <v>13601</v>
      </c>
      <c r="M15007" t="s">
        <v>147</v>
      </c>
      <c r="N15007" t="str">
        <f>"2000068     "</f>
        <v xml:space="preserve">2000068     </v>
      </c>
      <c r="O15007">
        <v>240102</v>
      </c>
    </row>
    <row r="15008" spans="1:15" x14ac:dyDescent="0.25">
      <c r="A15008" t="s">
        <v>16</v>
      </c>
      <c r="B15008" t="s">
        <v>3221</v>
      </c>
      <c r="C15008">
        <v>1188</v>
      </c>
      <c r="D15008" t="s">
        <v>934</v>
      </c>
      <c r="E15008" t="s">
        <v>935</v>
      </c>
      <c r="F15008">
        <v>3606.44</v>
      </c>
      <c r="G15008">
        <v>230130</v>
      </c>
      <c r="H15008">
        <v>4571</v>
      </c>
      <c r="I15008" t="s">
        <v>181</v>
      </c>
      <c r="J15008">
        <v>3606.44</v>
      </c>
      <c r="K15008">
        <v>0</v>
      </c>
      <c r="L15008">
        <v>59813</v>
      </c>
      <c r="M15008" t="s">
        <v>915</v>
      </c>
      <c r="N15008" t="str">
        <f>"3002927920  "</f>
        <v xml:space="preserve">3002927920  </v>
      </c>
      <c r="O15008">
        <v>230206</v>
      </c>
    </row>
    <row r="15009" spans="1:15" x14ac:dyDescent="0.25">
      <c r="A15009" t="s">
        <v>16</v>
      </c>
      <c r="B15009" t="s">
        <v>3221</v>
      </c>
      <c r="C15009">
        <v>15418</v>
      </c>
      <c r="D15009" t="s">
        <v>934</v>
      </c>
      <c r="E15009" t="s">
        <v>935</v>
      </c>
      <c r="F15009">
        <v>155</v>
      </c>
      <c r="G15009">
        <v>231031</v>
      </c>
      <c r="H15009">
        <v>4600</v>
      </c>
      <c r="I15009" t="s">
        <v>105</v>
      </c>
      <c r="J15009">
        <v>155</v>
      </c>
      <c r="K15009">
        <v>0</v>
      </c>
      <c r="L15009">
        <v>59501</v>
      </c>
      <c r="M15009" t="s">
        <v>69</v>
      </c>
      <c r="N15009" t="str">
        <f>"3003544924  "</f>
        <v xml:space="preserve">3003544924  </v>
      </c>
      <c r="O15009">
        <v>231113</v>
      </c>
    </row>
    <row r="15010" spans="1:15" x14ac:dyDescent="0.25">
      <c r="A15010" t="s">
        <v>16</v>
      </c>
      <c r="B15010" t="s">
        <v>3221</v>
      </c>
      <c r="C15010">
        <v>8941</v>
      </c>
      <c r="D15010" t="s">
        <v>3675</v>
      </c>
      <c r="E15010" t="s">
        <v>3493</v>
      </c>
      <c r="F15010">
        <v>186.4</v>
      </c>
      <c r="G15010">
        <v>230619</v>
      </c>
      <c r="H15010">
        <v>4520</v>
      </c>
      <c r="I15010" t="s">
        <v>254</v>
      </c>
      <c r="J15010">
        <v>212.5</v>
      </c>
      <c r="K15010">
        <v>26.1</v>
      </c>
      <c r="L15010">
        <v>11905</v>
      </c>
      <c r="M15010" t="s">
        <v>39</v>
      </c>
      <c r="N15010" t="str">
        <f>"1230600013  "</f>
        <v xml:space="preserve">1230600013  </v>
      </c>
      <c r="O15010">
        <v>230620</v>
      </c>
    </row>
    <row r="15011" spans="1:15" x14ac:dyDescent="0.25">
      <c r="A15011" t="s">
        <v>16</v>
      </c>
      <c r="B15011" t="s">
        <v>3221</v>
      </c>
      <c r="C15011">
        <v>5399</v>
      </c>
      <c r="D15011" t="s">
        <v>1841</v>
      </c>
      <c r="E15011" t="s">
        <v>1842</v>
      </c>
      <c r="F15011">
        <v>198</v>
      </c>
      <c r="G15011">
        <v>230420</v>
      </c>
      <c r="H15011">
        <v>4346</v>
      </c>
      <c r="I15011" t="s">
        <v>197</v>
      </c>
      <c r="J15011">
        <v>245.52</v>
      </c>
      <c r="K15011">
        <v>47.52</v>
      </c>
      <c r="L15011">
        <v>13540</v>
      </c>
      <c r="M15011" t="s">
        <v>85</v>
      </c>
      <c r="N15011" t="str">
        <f>"254         "</f>
        <v xml:space="preserve">254         </v>
      </c>
      <c r="O15011">
        <v>230424</v>
      </c>
    </row>
    <row r="15012" spans="1:15" x14ac:dyDescent="0.25">
      <c r="A15012" t="s">
        <v>16</v>
      </c>
      <c r="B15012" t="s">
        <v>3221</v>
      </c>
      <c r="C15012">
        <v>5399</v>
      </c>
      <c r="D15012" t="s">
        <v>1841</v>
      </c>
      <c r="E15012" t="s">
        <v>1842</v>
      </c>
      <c r="F15012">
        <v>1602</v>
      </c>
      <c r="G15012">
        <v>230420</v>
      </c>
      <c r="H15012">
        <v>4346</v>
      </c>
      <c r="I15012" t="s">
        <v>197</v>
      </c>
      <c r="J15012">
        <v>1986.48</v>
      </c>
      <c r="K15012">
        <v>384.48</v>
      </c>
      <c r="L15012">
        <v>17950</v>
      </c>
      <c r="M15012" t="s">
        <v>86</v>
      </c>
      <c r="N15012" t="str">
        <f>"254         "</f>
        <v xml:space="preserve">254         </v>
      </c>
      <c r="O15012">
        <v>230424</v>
      </c>
    </row>
    <row r="15013" spans="1:15" x14ac:dyDescent="0.25">
      <c r="A15013" t="s">
        <v>16</v>
      </c>
      <c r="B15013" t="s">
        <v>3221</v>
      </c>
      <c r="C15013">
        <v>5399</v>
      </c>
      <c r="D15013" t="s">
        <v>1841</v>
      </c>
      <c r="E15013" t="s">
        <v>1842</v>
      </c>
      <c r="F15013">
        <v>2200</v>
      </c>
      <c r="G15013">
        <v>230420</v>
      </c>
      <c r="H15013">
        <v>4346</v>
      </c>
      <c r="I15013" t="s">
        <v>197</v>
      </c>
      <c r="J15013">
        <v>2728</v>
      </c>
      <c r="K15013">
        <v>528</v>
      </c>
      <c r="L15013">
        <v>17951</v>
      </c>
      <c r="M15013" t="s">
        <v>87</v>
      </c>
      <c r="N15013" t="str">
        <f>"254         "</f>
        <v xml:space="preserve">254         </v>
      </c>
      <c r="O15013">
        <v>230424</v>
      </c>
    </row>
    <row r="15014" spans="1:15" x14ac:dyDescent="0.25">
      <c r="A15014" t="s">
        <v>16</v>
      </c>
      <c r="B15014" t="s">
        <v>3221</v>
      </c>
      <c r="C15014">
        <v>5399</v>
      </c>
      <c r="D15014" t="s">
        <v>1841</v>
      </c>
      <c r="E15014" t="s">
        <v>1842</v>
      </c>
      <c r="F15014">
        <v>600</v>
      </c>
      <c r="G15014">
        <v>230420</v>
      </c>
      <c r="H15014">
        <v>4346</v>
      </c>
      <c r="I15014" t="s">
        <v>197</v>
      </c>
      <c r="J15014">
        <v>744</v>
      </c>
      <c r="K15014">
        <v>144</v>
      </c>
      <c r="L15014">
        <v>17952</v>
      </c>
      <c r="M15014" t="s">
        <v>88</v>
      </c>
      <c r="N15014" t="str">
        <f>"254         "</f>
        <v xml:space="preserve">254         </v>
      </c>
      <c r="O15014">
        <v>230424</v>
      </c>
    </row>
    <row r="15015" spans="1:15" x14ac:dyDescent="0.25">
      <c r="A15015" t="s">
        <v>16</v>
      </c>
      <c r="B15015" t="s">
        <v>3221</v>
      </c>
      <c r="C15015">
        <v>16305</v>
      </c>
      <c r="D15015" t="s">
        <v>1841</v>
      </c>
      <c r="E15015" t="s">
        <v>1842</v>
      </c>
      <c r="F15015">
        <v>333.85</v>
      </c>
      <c r="G15015">
        <v>231121</v>
      </c>
      <c r="H15015">
        <v>4390</v>
      </c>
      <c r="I15015" t="s">
        <v>98</v>
      </c>
      <c r="J15015">
        <v>413.97</v>
      </c>
      <c r="K15015">
        <v>80.12</v>
      </c>
      <c r="L15015">
        <v>13540</v>
      </c>
      <c r="M15015" t="s">
        <v>85</v>
      </c>
      <c r="N15015" t="str">
        <f>"370         "</f>
        <v xml:space="preserve">370         </v>
      </c>
      <c r="O15015">
        <v>231127</v>
      </c>
    </row>
    <row r="15016" spans="1:15" x14ac:dyDescent="0.25">
      <c r="A15016" t="s">
        <v>16</v>
      </c>
      <c r="B15016" t="s">
        <v>3221</v>
      </c>
      <c r="C15016">
        <v>16305</v>
      </c>
      <c r="D15016" t="s">
        <v>1841</v>
      </c>
      <c r="E15016" t="s">
        <v>1842</v>
      </c>
      <c r="F15016">
        <v>2701.15</v>
      </c>
      <c r="G15016">
        <v>231121</v>
      </c>
      <c r="H15016">
        <v>4390</v>
      </c>
      <c r="I15016" t="s">
        <v>98</v>
      </c>
      <c r="J15016">
        <v>3349.43</v>
      </c>
      <c r="K15016">
        <v>648.28</v>
      </c>
      <c r="L15016">
        <v>17950</v>
      </c>
      <c r="M15016" t="s">
        <v>86</v>
      </c>
      <c r="N15016" t="str">
        <f>"370         "</f>
        <v xml:space="preserve">370         </v>
      </c>
      <c r="O15016">
        <v>231127</v>
      </c>
    </row>
    <row r="15017" spans="1:15" x14ac:dyDescent="0.25">
      <c r="A15017" t="s">
        <v>16</v>
      </c>
      <c r="B15017" t="s">
        <v>3221</v>
      </c>
      <c r="C15017">
        <v>16305</v>
      </c>
      <c r="D15017" t="s">
        <v>1841</v>
      </c>
      <c r="E15017" t="s">
        <v>1842</v>
      </c>
      <c r="F15017">
        <v>835</v>
      </c>
      <c r="G15017">
        <v>231121</v>
      </c>
      <c r="H15017">
        <v>4390</v>
      </c>
      <c r="I15017" t="s">
        <v>98</v>
      </c>
      <c r="J15017">
        <v>1035.4000000000001</v>
      </c>
      <c r="K15017">
        <v>200.4</v>
      </c>
      <c r="L15017">
        <v>17951</v>
      </c>
      <c r="M15017" t="s">
        <v>87</v>
      </c>
      <c r="N15017" t="str">
        <f>"370         "</f>
        <v xml:space="preserve">370         </v>
      </c>
      <c r="O15017">
        <v>231127</v>
      </c>
    </row>
    <row r="15018" spans="1:15" x14ac:dyDescent="0.25">
      <c r="A15018" t="s">
        <v>16</v>
      </c>
      <c r="B15018" t="s">
        <v>3221</v>
      </c>
      <c r="C15018">
        <v>18014</v>
      </c>
      <c r="D15018" t="s">
        <v>1841</v>
      </c>
      <c r="E15018" t="s">
        <v>1842</v>
      </c>
      <c r="F15018">
        <v>180</v>
      </c>
      <c r="G15018">
        <v>231221</v>
      </c>
      <c r="H15018">
        <v>4390</v>
      </c>
      <c r="I15018" t="s">
        <v>98</v>
      </c>
      <c r="J15018">
        <v>223.2</v>
      </c>
      <c r="K15018">
        <v>43.2</v>
      </c>
      <c r="L15018">
        <v>14952</v>
      </c>
      <c r="M15018" t="s">
        <v>99</v>
      </c>
      <c r="N15018" t="str">
        <f>"414         "</f>
        <v xml:space="preserve">414         </v>
      </c>
      <c r="O15018">
        <v>231228</v>
      </c>
    </row>
    <row r="15019" spans="1:15" x14ac:dyDescent="0.25">
      <c r="A15019" t="s">
        <v>16</v>
      </c>
      <c r="B15019" t="s">
        <v>3221</v>
      </c>
      <c r="C15019">
        <v>18014</v>
      </c>
      <c r="D15019" t="s">
        <v>1841</v>
      </c>
      <c r="E15019" t="s">
        <v>1842</v>
      </c>
      <c r="F15019">
        <v>420</v>
      </c>
      <c r="G15019">
        <v>231221</v>
      </c>
      <c r="H15019">
        <v>4390</v>
      </c>
      <c r="I15019" t="s">
        <v>98</v>
      </c>
      <c r="J15019">
        <v>520.79999999999995</v>
      </c>
      <c r="K15019">
        <v>100.8</v>
      </c>
      <c r="L15019">
        <v>14981</v>
      </c>
      <c r="M15019" t="s">
        <v>1211</v>
      </c>
      <c r="N15019" t="str">
        <f>"414         "</f>
        <v xml:space="preserve">414         </v>
      </c>
      <c r="O15019">
        <v>231228</v>
      </c>
    </row>
    <row r="15020" spans="1:15" x14ac:dyDescent="0.25">
      <c r="A15020" t="s">
        <v>16</v>
      </c>
      <c r="B15020" t="s">
        <v>3221</v>
      </c>
      <c r="C15020">
        <v>3800</v>
      </c>
      <c r="D15020" t="s">
        <v>3256</v>
      </c>
      <c r="E15020" t="s">
        <v>3257</v>
      </c>
      <c r="F15020">
        <v>150</v>
      </c>
      <c r="G15020">
        <v>230321</v>
      </c>
      <c r="H15020">
        <v>4346</v>
      </c>
      <c r="I15020" t="s">
        <v>197</v>
      </c>
      <c r="J15020">
        <v>150</v>
      </c>
      <c r="K15020">
        <v>0</v>
      </c>
      <c r="L15020">
        <v>17971</v>
      </c>
      <c r="M15020" t="s">
        <v>138</v>
      </c>
      <c r="N15020" t="str">
        <f>"18014260    "</f>
        <v xml:space="preserve">18014260    </v>
      </c>
      <c r="O15020">
        <v>230322</v>
      </c>
    </row>
    <row r="15021" spans="1:15" x14ac:dyDescent="0.25">
      <c r="A15021" t="s">
        <v>16</v>
      </c>
      <c r="B15021" t="s">
        <v>3221</v>
      </c>
      <c r="C15021">
        <v>3801</v>
      </c>
      <c r="D15021" t="s">
        <v>3256</v>
      </c>
      <c r="E15021" t="s">
        <v>3257</v>
      </c>
      <c r="F15021">
        <v>150</v>
      </c>
      <c r="G15021">
        <v>230321</v>
      </c>
      <c r="H15021">
        <v>4346</v>
      </c>
      <c r="I15021" t="s">
        <v>197</v>
      </c>
      <c r="J15021">
        <v>150</v>
      </c>
      <c r="K15021">
        <v>0</v>
      </c>
      <c r="L15021">
        <v>17971</v>
      </c>
      <c r="M15021" t="s">
        <v>138</v>
      </c>
      <c r="N15021" t="str">
        <f>"18014267    "</f>
        <v xml:space="preserve">18014267    </v>
      </c>
      <c r="O15021">
        <v>230322</v>
      </c>
    </row>
    <row r="15022" spans="1:15" x14ac:dyDescent="0.25">
      <c r="A15022" t="s">
        <v>16</v>
      </c>
      <c r="B15022" t="s">
        <v>3221</v>
      </c>
      <c r="C15022">
        <v>4011</v>
      </c>
      <c r="D15022" t="s">
        <v>3256</v>
      </c>
      <c r="E15022" t="s">
        <v>3257</v>
      </c>
      <c r="F15022">
        <v>150</v>
      </c>
      <c r="G15022">
        <v>230324</v>
      </c>
      <c r="H15022">
        <v>4346</v>
      </c>
      <c r="I15022" t="s">
        <v>197</v>
      </c>
      <c r="J15022">
        <v>150</v>
      </c>
      <c r="K15022">
        <v>0</v>
      </c>
      <c r="L15022">
        <v>17915</v>
      </c>
      <c r="M15022" t="s">
        <v>572</v>
      </c>
      <c r="N15022" t="str">
        <f>"18014578    "</f>
        <v xml:space="preserve">18014578    </v>
      </c>
      <c r="O15022">
        <v>230329</v>
      </c>
    </row>
    <row r="15023" spans="1:15" x14ac:dyDescent="0.25">
      <c r="A15023" t="s">
        <v>16</v>
      </c>
      <c r="B15023" t="s">
        <v>3221</v>
      </c>
      <c r="C15023">
        <v>4101</v>
      </c>
      <c r="D15023" t="s">
        <v>3256</v>
      </c>
      <c r="E15023" t="s">
        <v>3257</v>
      </c>
      <c r="F15023">
        <v>150</v>
      </c>
      <c r="G15023">
        <v>230324</v>
      </c>
      <c r="H15023">
        <v>4346</v>
      </c>
      <c r="I15023" t="s">
        <v>197</v>
      </c>
      <c r="J15023">
        <v>150</v>
      </c>
      <c r="K15023">
        <v>0</v>
      </c>
      <c r="L15023">
        <v>17913</v>
      </c>
      <c r="M15023" t="s">
        <v>431</v>
      </c>
      <c r="N15023" t="str">
        <f>"18014553    "</f>
        <v xml:space="preserve">18014553    </v>
      </c>
      <c r="O15023">
        <v>230330</v>
      </c>
    </row>
    <row r="15024" spans="1:15" x14ac:dyDescent="0.25">
      <c r="A15024" t="s">
        <v>16</v>
      </c>
      <c r="B15024" t="s">
        <v>3221</v>
      </c>
      <c r="C15024">
        <v>18503</v>
      </c>
      <c r="D15024" t="s">
        <v>3256</v>
      </c>
      <c r="E15024" t="s">
        <v>3257</v>
      </c>
      <c r="F15024">
        <v>300</v>
      </c>
      <c r="G15024">
        <v>231221</v>
      </c>
      <c r="H15024">
        <v>4346</v>
      </c>
      <c r="I15024" t="s">
        <v>197</v>
      </c>
      <c r="J15024">
        <v>300</v>
      </c>
      <c r="K15024">
        <v>0</v>
      </c>
      <c r="L15024">
        <v>17952</v>
      </c>
      <c r="M15024" t="s">
        <v>88</v>
      </c>
      <c r="N15024" t="str">
        <f>"18015513    "</f>
        <v xml:space="preserve">18015513    </v>
      </c>
      <c r="O15024">
        <v>240103</v>
      </c>
    </row>
    <row r="15025" spans="1:15" x14ac:dyDescent="0.25">
      <c r="A15025" t="s">
        <v>16</v>
      </c>
      <c r="B15025" t="s">
        <v>3221</v>
      </c>
      <c r="C15025">
        <v>778</v>
      </c>
      <c r="D15025" t="s">
        <v>737</v>
      </c>
      <c r="E15025" t="s">
        <v>738</v>
      </c>
      <c r="F15025">
        <v>232</v>
      </c>
      <c r="G15025">
        <v>230125</v>
      </c>
      <c r="H15025">
        <v>4350</v>
      </c>
      <c r="I15025" t="s">
        <v>546</v>
      </c>
      <c r="J15025">
        <v>287.68</v>
      </c>
      <c r="K15025">
        <v>55.68</v>
      </c>
      <c r="L15025">
        <v>17972</v>
      </c>
      <c r="M15025" t="s">
        <v>248</v>
      </c>
      <c r="N15025" t="str">
        <f>"505225      "</f>
        <v xml:space="preserve">505225      </v>
      </c>
      <c r="O15025">
        <v>230130</v>
      </c>
    </row>
    <row r="15026" spans="1:15" x14ac:dyDescent="0.25">
      <c r="A15026" t="s">
        <v>16</v>
      </c>
      <c r="B15026" t="s">
        <v>3221</v>
      </c>
      <c r="C15026">
        <v>1260</v>
      </c>
      <c r="D15026" t="s">
        <v>737</v>
      </c>
      <c r="E15026" t="s">
        <v>738</v>
      </c>
      <c r="F15026">
        <v>220</v>
      </c>
      <c r="G15026">
        <v>230201</v>
      </c>
      <c r="H15026">
        <v>4350</v>
      </c>
      <c r="I15026" t="s">
        <v>546</v>
      </c>
      <c r="J15026">
        <v>272.8</v>
      </c>
      <c r="K15026">
        <v>52.8</v>
      </c>
      <c r="L15026">
        <v>17711</v>
      </c>
      <c r="M15026" t="s">
        <v>65</v>
      </c>
      <c r="N15026" t="str">
        <f>"505255      "</f>
        <v xml:space="preserve">505255      </v>
      </c>
      <c r="O15026">
        <v>230207</v>
      </c>
    </row>
    <row r="15027" spans="1:15" x14ac:dyDescent="0.25">
      <c r="A15027" t="s">
        <v>16</v>
      </c>
      <c r="B15027" t="s">
        <v>3221</v>
      </c>
      <c r="C15027">
        <v>2356</v>
      </c>
      <c r="D15027" t="s">
        <v>737</v>
      </c>
      <c r="E15027" t="s">
        <v>738</v>
      </c>
      <c r="F15027">
        <v>5850</v>
      </c>
      <c r="G15027">
        <v>230222</v>
      </c>
      <c r="H15027">
        <v>4350</v>
      </c>
      <c r="I15027" t="s">
        <v>546</v>
      </c>
      <c r="J15027">
        <v>7254</v>
      </c>
      <c r="K15027">
        <v>1404</v>
      </c>
      <c r="L15027">
        <v>11301</v>
      </c>
      <c r="M15027" t="s">
        <v>29</v>
      </c>
      <c r="N15027" t="str">
        <f>"505336      "</f>
        <v xml:space="preserve">505336      </v>
      </c>
      <c r="O15027">
        <v>230224</v>
      </c>
    </row>
    <row r="15028" spans="1:15" x14ac:dyDescent="0.25">
      <c r="A15028" t="s">
        <v>16</v>
      </c>
      <c r="B15028" t="s">
        <v>3221</v>
      </c>
      <c r="C15028">
        <v>2356</v>
      </c>
      <c r="D15028" t="s">
        <v>737</v>
      </c>
      <c r="E15028" t="s">
        <v>738</v>
      </c>
      <c r="F15028">
        <v>3150</v>
      </c>
      <c r="G15028">
        <v>230222</v>
      </c>
      <c r="H15028">
        <v>4350</v>
      </c>
      <c r="I15028" t="s">
        <v>546</v>
      </c>
      <c r="J15028">
        <v>3906</v>
      </c>
      <c r="K15028">
        <v>756</v>
      </c>
      <c r="L15028">
        <v>18972</v>
      </c>
      <c r="M15028" t="s">
        <v>163</v>
      </c>
      <c r="N15028" t="str">
        <f>"505336      "</f>
        <v xml:space="preserve">505336      </v>
      </c>
      <c r="O15028">
        <v>230224</v>
      </c>
    </row>
    <row r="15029" spans="1:15" x14ac:dyDescent="0.25">
      <c r="A15029" t="s">
        <v>16</v>
      </c>
      <c r="B15029" t="s">
        <v>3221</v>
      </c>
      <c r="C15029">
        <v>11832</v>
      </c>
      <c r="D15029" t="s">
        <v>737</v>
      </c>
      <c r="E15029" t="s">
        <v>738</v>
      </c>
      <c r="F15029">
        <v>6500</v>
      </c>
      <c r="G15029">
        <v>230906</v>
      </c>
      <c r="H15029">
        <v>4350</v>
      </c>
      <c r="I15029" t="s">
        <v>546</v>
      </c>
      <c r="J15029">
        <v>8060</v>
      </c>
      <c r="K15029">
        <v>1560</v>
      </c>
      <c r="L15029">
        <v>11301</v>
      </c>
      <c r="M15029" t="s">
        <v>29</v>
      </c>
      <c r="N15029" t="str">
        <f>"506229      "</f>
        <v xml:space="preserve">506229      </v>
      </c>
      <c r="O15029">
        <v>230911</v>
      </c>
    </row>
    <row r="15030" spans="1:15" x14ac:dyDescent="0.25">
      <c r="A15030" t="s">
        <v>16</v>
      </c>
      <c r="B15030" t="s">
        <v>3221</v>
      </c>
      <c r="C15030">
        <v>11832</v>
      </c>
      <c r="D15030" t="s">
        <v>737</v>
      </c>
      <c r="E15030" t="s">
        <v>738</v>
      </c>
      <c r="F15030">
        <v>3500</v>
      </c>
      <c r="G15030">
        <v>230906</v>
      </c>
      <c r="H15030">
        <v>4350</v>
      </c>
      <c r="I15030" t="s">
        <v>546</v>
      </c>
      <c r="J15030">
        <v>4340</v>
      </c>
      <c r="K15030">
        <v>840</v>
      </c>
      <c r="L15030">
        <v>18972</v>
      </c>
      <c r="M15030" t="s">
        <v>163</v>
      </c>
      <c r="N15030" t="str">
        <f>"506229      "</f>
        <v xml:space="preserve">506229      </v>
      </c>
      <c r="O15030">
        <v>230911</v>
      </c>
    </row>
    <row r="15031" spans="1:15" x14ac:dyDescent="0.25">
      <c r="A15031" t="s">
        <v>16</v>
      </c>
      <c r="B15031" t="s">
        <v>3221</v>
      </c>
      <c r="C15031">
        <v>7108</v>
      </c>
      <c r="D15031" t="s">
        <v>2066</v>
      </c>
      <c r="E15031" t="s">
        <v>2067</v>
      </c>
      <c r="F15031">
        <v>91.13</v>
      </c>
      <c r="G15031">
        <v>230522</v>
      </c>
      <c r="H15031">
        <v>4600</v>
      </c>
      <c r="I15031" t="s">
        <v>105</v>
      </c>
      <c r="J15031">
        <v>113</v>
      </c>
      <c r="K15031">
        <v>21.87</v>
      </c>
      <c r="L15031">
        <v>17531</v>
      </c>
      <c r="M15031" t="s">
        <v>136</v>
      </c>
      <c r="N15031" t="str">
        <f>"1010993     "</f>
        <v xml:space="preserve">1010993     </v>
      </c>
      <c r="O15031">
        <v>230525</v>
      </c>
    </row>
    <row r="15032" spans="1:15" x14ac:dyDescent="0.25">
      <c r="A15032" t="s">
        <v>16</v>
      </c>
      <c r="B15032" t="s">
        <v>3221</v>
      </c>
      <c r="C15032">
        <v>7108</v>
      </c>
      <c r="D15032" t="s">
        <v>2066</v>
      </c>
      <c r="E15032" t="s">
        <v>2067</v>
      </c>
      <c r="F15032">
        <v>107.82</v>
      </c>
      <c r="G15032">
        <v>230522</v>
      </c>
      <c r="H15032">
        <v>4600</v>
      </c>
      <c r="I15032" t="s">
        <v>105</v>
      </c>
      <c r="J15032">
        <v>133.69999999999999</v>
      </c>
      <c r="K15032">
        <v>25.88</v>
      </c>
      <c r="L15032">
        <v>17645</v>
      </c>
      <c r="M15032" t="s">
        <v>1035</v>
      </c>
      <c r="N15032" t="str">
        <f>"1010993     "</f>
        <v xml:space="preserve">1010993     </v>
      </c>
      <c r="O15032">
        <v>230525</v>
      </c>
    </row>
    <row r="15033" spans="1:15" x14ac:dyDescent="0.25">
      <c r="A15033" t="s">
        <v>16</v>
      </c>
      <c r="B15033" t="s">
        <v>3221</v>
      </c>
      <c r="C15033">
        <v>8418</v>
      </c>
      <c r="D15033" t="s">
        <v>3488</v>
      </c>
      <c r="E15033" t="s">
        <v>3489</v>
      </c>
      <c r="F15033">
        <v>1677</v>
      </c>
      <c r="G15033">
        <v>230605</v>
      </c>
      <c r="H15033">
        <v>4600</v>
      </c>
      <c r="I15033" t="s">
        <v>105</v>
      </c>
      <c r="J15033">
        <v>1677</v>
      </c>
      <c r="K15033">
        <v>0</v>
      </c>
      <c r="L15033">
        <v>17638</v>
      </c>
      <c r="M15033" t="s">
        <v>765</v>
      </c>
      <c r="N15033" t="str">
        <f>"145         "</f>
        <v xml:space="preserve">145         </v>
      </c>
      <c r="O15033">
        <v>230608</v>
      </c>
    </row>
    <row r="15034" spans="1:15" x14ac:dyDescent="0.25">
      <c r="A15034" t="s">
        <v>16</v>
      </c>
      <c r="B15034" t="s">
        <v>3221</v>
      </c>
      <c r="C15034">
        <v>2590</v>
      </c>
      <c r="D15034" t="s">
        <v>1430</v>
      </c>
      <c r="E15034" t="s">
        <v>1431</v>
      </c>
      <c r="F15034">
        <v>74.5</v>
      </c>
      <c r="G15034">
        <v>230227</v>
      </c>
      <c r="H15034">
        <v>4572</v>
      </c>
      <c r="I15034" t="s">
        <v>122</v>
      </c>
      <c r="J15034">
        <v>92.38</v>
      </c>
      <c r="K15034">
        <v>17.88</v>
      </c>
      <c r="L15034">
        <v>14951</v>
      </c>
      <c r="M15034" t="s">
        <v>57</v>
      </c>
      <c r="N15034" t="str">
        <f>"20863       "</f>
        <v xml:space="preserve">20863       </v>
      </c>
      <c r="O15034">
        <v>230302</v>
      </c>
    </row>
    <row r="15035" spans="1:15" x14ac:dyDescent="0.25">
      <c r="A15035" t="s">
        <v>16</v>
      </c>
      <c r="B15035" t="s">
        <v>3221</v>
      </c>
      <c r="C15035">
        <v>4708</v>
      </c>
      <c r="D15035" t="s">
        <v>1744</v>
      </c>
      <c r="E15035" t="s">
        <v>1745</v>
      </c>
      <c r="F15035">
        <v>426.96</v>
      </c>
      <c r="G15035">
        <v>230406</v>
      </c>
      <c r="H15035">
        <v>4390</v>
      </c>
      <c r="I15035" t="s">
        <v>98</v>
      </c>
      <c r="J15035">
        <v>426.96</v>
      </c>
      <c r="K15035">
        <v>0</v>
      </c>
      <c r="L15035">
        <v>17951</v>
      </c>
      <c r="M15035" t="s">
        <v>87</v>
      </c>
      <c r="N15035" t="str">
        <f>"5900        "</f>
        <v xml:space="preserve">5900        </v>
      </c>
      <c r="O15035">
        <v>230412</v>
      </c>
    </row>
    <row r="15036" spans="1:15" x14ac:dyDescent="0.25">
      <c r="A15036" t="s">
        <v>16</v>
      </c>
      <c r="B15036" t="s">
        <v>3221</v>
      </c>
      <c r="C15036">
        <v>9138</v>
      </c>
      <c r="D15036" t="s">
        <v>1744</v>
      </c>
      <c r="E15036" t="s">
        <v>1745</v>
      </c>
      <c r="F15036">
        <v>77.73</v>
      </c>
      <c r="G15036">
        <v>230627</v>
      </c>
      <c r="H15036">
        <v>4590</v>
      </c>
      <c r="I15036" t="s">
        <v>203</v>
      </c>
      <c r="J15036">
        <v>96.39</v>
      </c>
      <c r="K15036">
        <v>18.66</v>
      </c>
      <c r="L15036">
        <v>17950</v>
      </c>
      <c r="M15036" t="s">
        <v>86</v>
      </c>
      <c r="N15036" t="str">
        <f>"6130        "</f>
        <v xml:space="preserve">6130        </v>
      </c>
      <c r="O15036">
        <v>230628</v>
      </c>
    </row>
    <row r="15037" spans="1:15" x14ac:dyDescent="0.25">
      <c r="A15037" t="s">
        <v>16</v>
      </c>
      <c r="B15037" t="s">
        <v>3221</v>
      </c>
      <c r="C15037">
        <v>4247</v>
      </c>
      <c r="D15037" t="s">
        <v>1677</v>
      </c>
      <c r="E15037" t="s">
        <v>1678</v>
      </c>
      <c r="F15037">
        <v>60.67</v>
      </c>
      <c r="G15037">
        <v>230329</v>
      </c>
      <c r="H15037">
        <v>4580</v>
      </c>
      <c r="I15037" t="s">
        <v>35</v>
      </c>
      <c r="J15037">
        <v>75.23</v>
      </c>
      <c r="K15037">
        <v>14.56</v>
      </c>
      <c r="L15037">
        <v>17525</v>
      </c>
      <c r="M15037" t="s">
        <v>135</v>
      </c>
      <c r="N15037" t="str">
        <f>"4353        "</f>
        <v xml:space="preserve">4353        </v>
      </c>
      <c r="O15037">
        <v>230403</v>
      </c>
    </row>
    <row r="15038" spans="1:15" x14ac:dyDescent="0.25">
      <c r="A15038" t="s">
        <v>16</v>
      </c>
      <c r="B15038" t="s">
        <v>3221</v>
      </c>
      <c r="C15038">
        <v>4247</v>
      </c>
      <c r="D15038" t="s">
        <v>1677</v>
      </c>
      <c r="E15038" t="s">
        <v>1678</v>
      </c>
      <c r="F15038">
        <v>60.67</v>
      </c>
      <c r="G15038">
        <v>230329</v>
      </c>
      <c r="H15038">
        <v>4600</v>
      </c>
      <c r="I15038" t="s">
        <v>105</v>
      </c>
      <c r="J15038">
        <v>75.23</v>
      </c>
      <c r="K15038">
        <v>14.56</v>
      </c>
      <c r="L15038">
        <v>17529</v>
      </c>
      <c r="M15038" t="s">
        <v>453</v>
      </c>
      <c r="N15038" t="str">
        <f>"4353        "</f>
        <v xml:space="preserve">4353        </v>
      </c>
      <c r="O15038">
        <v>230403</v>
      </c>
    </row>
    <row r="15039" spans="1:15" x14ac:dyDescent="0.25">
      <c r="A15039" t="s">
        <v>16</v>
      </c>
      <c r="B15039" t="s">
        <v>3221</v>
      </c>
      <c r="C15039">
        <v>15958</v>
      </c>
      <c r="D15039" t="s">
        <v>1677</v>
      </c>
      <c r="E15039" t="s">
        <v>1678</v>
      </c>
      <c r="F15039">
        <v>269.63</v>
      </c>
      <c r="G15039">
        <v>231115</v>
      </c>
      <c r="H15039">
        <v>4600</v>
      </c>
      <c r="I15039" t="s">
        <v>105</v>
      </c>
      <c r="J15039">
        <v>334.34</v>
      </c>
      <c r="K15039">
        <v>64.709999999999994</v>
      </c>
      <c r="L15039">
        <v>17523</v>
      </c>
      <c r="M15039" t="s">
        <v>134</v>
      </c>
      <c r="N15039" t="str">
        <f>"4716        "</f>
        <v xml:space="preserve">4716        </v>
      </c>
      <c r="O15039">
        <v>231122</v>
      </c>
    </row>
    <row r="15040" spans="1:15" x14ac:dyDescent="0.25">
      <c r="A15040" t="s">
        <v>16</v>
      </c>
      <c r="B15040" t="s">
        <v>3221</v>
      </c>
      <c r="C15040">
        <v>9217</v>
      </c>
      <c r="D15040" t="s">
        <v>2303</v>
      </c>
      <c r="E15040" t="s">
        <v>2304</v>
      </c>
      <c r="F15040">
        <v>264.77</v>
      </c>
      <c r="G15040">
        <v>230620</v>
      </c>
      <c r="H15040">
        <v>4343</v>
      </c>
      <c r="I15040" t="s">
        <v>91</v>
      </c>
      <c r="J15040">
        <v>328.31</v>
      </c>
      <c r="K15040">
        <v>63.54</v>
      </c>
      <c r="L15040">
        <v>17529</v>
      </c>
      <c r="M15040" t="s">
        <v>453</v>
      </c>
      <c r="N15040" t="str">
        <f>"SI15646     "</f>
        <v xml:space="preserve">SI15646     </v>
      </c>
      <c r="O15040">
        <v>230630</v>
      </c>
    </row>
    <row r="15041" spans="1:15" x14ac:dyDescent="0.25">
      <c r="A15041" t="s">
        <v>16</v>
      </c>
      <c r="B15041" t="s">
        <v>3221</v>
      </c>
      <c r="C15041">
        <v>9217</v>
      </c>
      <c r="D15041" t="s">
        <v>2303</v>
      </c>
      <c r="E15041" t="s">
        <v>2304</v>
      </c>
      <c r="F15041">
        <v>132.36000000000001</v>
      </c>
      <c r="G15041">
        <v>230620</v>
      </c>
      <c r="H15041">
        <v>4343</v>
      </c>
      <c r="I15041" t="s">
        <v>91</v>
      </c>
      <c r="J15041">
        <v>164.13</v>
      </c>
      <c r="K15041">
        <v>31.77</v>
      </c>
      <c r="L15041">
        <v>56558</v>
      </c>
      <c r="M15041" t="s">
        <v>217</v>
      </c>
      <c r="N15041" t="str">
        <f>"SI15646     "</f>
        <v xml:space="preserve">SI15646     </v>
      </c>
      <c r="O15041">
        <v>230630</v>
      </c>
    </row>
    <row r="15042" spans="1:15" x14ac:dyDescent="0.25">
      <c r="A15042" t="s">
        <v>16</v>
      </c>
      <c r="B15042" t="s">
        <v>3221</v>
      </c>
      <c r="C15042">
        <v>384</v>
      </c>
      <c r="D15042" t="s">
        <v>3676</v>
      </c>
      <c r="E15042" t="s">
        <v>508</v>
      </c>
      <c r="F15042">
        <v>152.79</v>
      </c>
      <c r="G15042">
        <v>230110</v>
      </c>
      <c r="H15042">
        <v>4580</v>
      </c>
      <c r="I15042" t="s">
        <v>35</v>
      </c>
      <c r="J15042">
        <v>189.46</v>
      </c>
      <c r="K15042">
        <v>36.67</v>
      </c>
      <c r="L15042">
        <v>13540</v>
      </c>
      <c r="M15042" t="s">
        <v>85</v>
      </c>
      <c r="N15042" t="str">
        <f t="shared" ref="N15042:N15048" si="216">"5203        "</f>
        <v xml:space="preserve">5203        </v>
      </c>
      <c r="O15042">
        <v>230119</v>
      </c>
    </row>
    <row r="15043" spans="1:15" x14ac:dyDescent="0.25">
      <c r="A15043" t="s">
        <v>16</v>
      </c>
      <c r="B15043" t="s">
        <v>3221</v>
      </c>
      <c r="C15043">
        <v>384</v>
      </c>
      <c r="D15043" t="s">
        <v>3676</v>
      </c>
      <c r="E15043" t="s">
        <v>508</v>
      </c>
      <c r="F15043">
        <v>1389</v>
      </c>
      <c r="G15043">
        <v>230110</v>
      </c>
      <c r="H15043">
        <v>4580</v>
      </c>
      <c r="I15043" t="s">
        <v>35</v>
      </c>
      <c r="J15043">
        <v>1722.36</v>
      </c>
      <c r="K15043">
        <v>333.36</v>
      </c>
      <c r="L15043">
        <v>13841</v>
      </c>
      <c r="M15043" t="s">
        <v>47</v>
      </c>
      <c r="N15043" t="str">
        <f t="shared" si="216"/>
        <v xml:space="preserve">5203        </v>
      </c>
      <c r="O15043">
        <v>230119</v>
      </c>
    </row>
    <row r="15044" spans="1:15" x14ac:dyDescent="0.25">
      <c r="A15044" t="s">
        <v>16</v>
      </c>
      <c r="B15044" t="s">
        <v>3221</v>
      </c>
      <c r="C15044">
        <v>384</v>
      </c>
      <c r="D15044" t="s">
        <v>3676</v>
      </c>
      <c r="E15044" t="s">
        <v>508</v>
      </c>
      <c r="F15044">
        <v>1236.21</v>
      </c>
      <c r="G15044">
        <v>230110</v>
      </c>
      <c r="H15044">
        <v>4580</v>
      </c>
      <c r="I15044" t="s">
        <v>35</v>
      </c>
      <c r="J15044">
        <v>1532.9</v>
      </c>
      <c r="K15044">
        <v>296.69</v>
      </c>
      <c r="L15044">
        <v>17950</v>
      </c>
      <c r="M15044" t="s">
        <v>86</v>
      </c>
      <c r="N15044" t="str">
        <f t="shared" si="216"/>
        <v xml:space="preserve">5203        </v>
      </c>
      <c r="O15044">
        <v>230119</v>
      </c>
    </row>
    <row r="15045" spans="1:15" x14ac:dyDescent="0.25">
      <c r="A15045" t="s">
        <v>16</v>
      </c>
      <c r="B15045" t="s">
        <v>3221</v>
      </c>
      <c r="C15045">
        <v>384</v>
      </c>
      <c r="D15045" t="s">
        <v>3676</v>
      </c>
      <c r="E15045" t="s">
        <v>508</v>
      </c>
      <c r="F15045">
        <v>1389</v>
      </c>
      <c r="G15045">
        <v>230110</v>
      </c>
      <c r="H15045">
        <v>4580</v>
      </c>
      <c r="I15045" t="s">
        <v>35</v>
      </c>
      <c r="J15045">
        <v>1722.36</v>
      </c>
      <c r="K15045">
        <v>333.36</v>
      </c>
      <c r="L15045">
        <v>49503</v>
      </c>
      <c r="M15045" t="s">
        <v>178</v>
      </c>
      <c r="N15045" t="str">
        <f t="shared" si="216"/>
        <v xml:space="preserve">5203        </v>
      </c>
      <c r="O15045">
        <v>230119</v>
      </c>
    </row>
    <row r="15046" spans="1:15" x14ac:dyDescent="0.25">
      <c r="A15046" t="s">
        <v>16</v>
      </c>
      <c r="B15046" t="s">
        <v>3221</v>
      </c>
      <c r="C15046">
        <v>384</v>
      </c>
      <c r="D15046" t="s">
        <v>3676</v>
      </c>
      <c r="E15046" t="s">
        <v>508</v>
      </c>
      <c r="F15046">
        <v>1389</v>
      </c>
      <c r="G15046">
        <v>230110</v>
      </c>
      <c r="H15046">
        <v>4580</v>
      </c>
      <c r="I15046" t="s">
        <v>35</v>
      </c>
      <c r="J15046">
        <v>1722.36</v>
      </c>
      <c r="K15046">
        <v>333.36</v>
      </c>
      <c r="L15046">
        <v>59501</v>
      </c>
      <c r="M15046" t="s">
        <v>69</v>
      </c>
      <c r="N15046" t="str">
        <f t="shared" si="216"/>
        <v xml:space="preserve">5203        </v>
      </c>
      <c r="O15046">
        <v>230119</v>
      </c>
    </row>
    <row r="15047" spans="1:15" x14ac:dyDescent="0.25">
      <c r="A15047" t="s">
        <v>16</v>
      </c>
      <c r="B15047" t="s">
        <v>3221</v>
      </c>
      <c r="C15047">
        <v>384</v>
      </c>
      <c r="D15047" t="s">
        <v>3676</v>
      </c>
      <c r="E15047" t="s">
        <v>508</v>
      </c>
      <c r="F15047">
        <v>1389</v>
      </c>
      <c r="G15047">
        <v>230110</v>
      </c>
      <c r="H15047">
        <v>4580</v>
      </c>
      <c r="I15047" t="s">
        <v>35</v>
      </c>
      <c r="J15047">
        <v>1722.36</v>
      </c>
      <c r="K15047">
        <v>333.36</v>
      </c>
      <c r="L15047">
        <v>59505</v>
      </c>
      <c r="M15047" t="s">
        <v>72</v>
      </c>
      <c r="N15047" t="str">
        <f t="shared" si="216"/>
        <v xml:space="preserve">5203        </v>
      </c>
      <c r="O15047">
        <v>230119</v>
      </c>
    </row>
    <row r="15048" spans="1:15" x14ac:dyDescent="0.25">
      <c r="A15048" t="s">
        <v>16</v>
      </c>
      <c r="B15048" t="s">
        <v>3221</v>
      </c>
      <c r="C15048">
        <v>384</v>
      </c>
      <c r="D15048" t="s">
        <v>3676</v>
      </c>
      <c r="E15048" t="s">
        <v>508</v>
      </c>
      <c r="F15048">
        <v>1389</v>
      </c>
      <c r="G15048">
        <v>230110</v>
      </c>
      <c r="H15048">
        <v>4580</v>
      </c>
      <c r="I15048" t="s">
        <v>35</v>
      </c>
      <c r="J15048">
        <v>1722.36</v>
      </c>
      <c r="K15048">
        <v>333.36</v>
      </c>
      <c r="L15048">
        <v>69701</v>
      </c>
      <c r="M15048" t="s">
        <v>488</v>
      </c>
      <c r="N15048" t="str">
        <f t="shared" si="216"/>
        <v xml:space="preserve">5203        </v>
      </c>
      <c r="O15048">
        <v>230119</v>
      </c>
    </row>
    <row r="15049" spans="1:15" x14ac:dyDescent="0.25">
      <c r="A15049" t="s">
        <v>16</v>
      </c>
      <c r="B15049" t="s">
        <v>3221</v>
      </c>
      <c r="C15049">
        <v>5825</v>
      </c>
      <c r="D15049" t="s">
        <v>3444</v>
      </c>
      <c r="E15049" t="s">
        <v>3445</v>
      </c>
      <c r="F15049">
        <v>1970</v>
      </c>
      <c r="G15049">
        <v>230428</v>
      </c>
      <c r="H15049">
        <v>4820</v>
      </c>
      <c r="I15049" t="s">
        <v>50</v>
      </c>
      <c r="J15049">
        <v>1970</v>
      </c>
      <c r="K15049">
        <v>0</v>
      </c>
      <c r="L15049">
        <v>13841</v>
      </c>
      <c r="M15049" t="s">
        <v>47</v>
      </c>
      <c r="N15049" t="str">
        <f>"2307        "</f>
        <v xml:space="preserve">2307        </v>
      </c>
      <c r="O15049">
        <v>230503</v>
      </c>
    </row>
    <row r="15050" spans="1:15" x14ac:dyDescent="0.25">
      <c r="A15050" t="s">
        <v>16</v>
      </c>
      <c r="B15050" t="s">
        <v>3221</v>
      </c>
      <c r="C15050">
        <v>18355</v>
      </c>
      <c r="D15050" t="s">
        <v>3444</v>
      </c>
      <c r="E15050" t="s">
        <v>3445</v>
      </c>
      <c r="F15050">
        <v>1150</v>
      </c>
      <c r="G15050">
        <v>231222</v>
      </c>
      <c r="H15050">
        <v>4820</v>
      </c>
      <c r="I15050" t="s">
        <v>50</v>
      </c>
      <c r="J15050">
        <v>1150</v>
      </c>
      <c r="K15050">
        <v>0</v>
      </c>
      <c r="L15050">
        <v>13841</v>
      </c>
      <c r="M15050" t="s">
        <v>47</v>
      </c>
      <c r="N15050" t="str">
        <f>"116         "</f>
        <v xml:space="preserve">116         </v>
      </c>
      <c r="O15050">
        <v>240103</v>
      </c>
    </row>
    <row r="15051" spans="1:15" x14ac:dyDescent="0.25">
      <c r="A15051" t="s">
        <v>16</v>
      </c>
      <c r="B15051" t="s">
        <v>3221</v>
      </c>
      <c r="C15051">
        <v>6556</v>
      </c>
      <c r="D15051" t="s">
        <v>3677</v>
      </c>
      <c r="E15051" t="s">
        <v>3460</v>
      </c>
      <c r="F15051">
        <v>280</v>
      </c>
      <c r="G15051">
        <v>230504</v>
      </c>
      <c r="H15051">
        <v>4820</v>
      </c>
      <c r="I15051" t="s">
        <v>50</v>
      </c>
      <c r="J15051">
        <v>280</v>
      </c>
      <c r="K15051">
        <v>0</v>
      </c>
      <c r="L15051">
        <v>13841</v>
      </c>
      <c r="M15051" t="s">
        <v>47</v>
      </c>
      <c r="N15051" t="str">
        <f>"110523      "</f>
        <v xml:space="preserve">110523      </v>
      </c>
      <c r="O15051">
        <v>230515</v>
      </c>
    </row>
    <row r="15052" spans="1:15" x14ac:dyDescent="0.25">
      <c r="A15052" t="s">
        <v>16</v>
      </c>
      <c r="B15052" t="s">
        <v>3221</v>
      </c>
      <c r="C15052">
        <v>18540</v>
      </c>
      <c r="D15052" t="s">
        <v>3677</v>
      </c>
      <c r="E15052" t="s">
        <v>3460</v>
      </c>
      <c r="F15052">
        <v>240</v>
      </c>
      <c r="G15052">
        <v>231214</v>
      </c>
      <c r="H15052">
        <v>4820</v>
      </c>
      <c r="I15052" t="s">
        <v>50</v>
      </c>
      <c r="J15052">
        <v>240</v>
      </c>
      <c r="K15052">
        <v>0</v>
      </c>
      <c r="L15052">
        <v>13841</v>
      </c>
      <c r="M15052" t="s">
        <v>47</v>
      </c>
      <c r="N15052" t="str">
        <f>"271223      "</f>
        <v xml:space="preserve">271223      </v>
      </c>
      <c r="O15052">
        <v>240103</v>
      </c>
    </row>
    <row r="15053" spans="1:15" x14ac:dyDescent="0.25">
      <c r="A15053" t="s">
        <v>16</v>
      </c>
      <c r="B15053" t="s">
        <v>3221</v>
      </c>
      <c r="C15053">
        <v>11674</v>
      </c>
      <c r="D15053" t="s">
        <v>2507</v>
      </c>
      <c r="E15053" t="s">
        <v>2508</v>
      </c>
      <c r="F15053">
        <v>336.36</v>
      </c>
      <c r="G15053">
        <v>230904</v>
      </c>
      <c r="H15053">
        <v>4420</v>
      </c>
      <c r="I15053" t="s">
        <v>132</v>
      </c>
      <c r="J15053">
        <v>370</v>
      </c>
      <c r="K15053">
        <v>33.64</v>
      </c>
      <c r="L15053">
        <v>13801</v>
      </c>
      <c r="M15053" t="s">
        <v>162</v>
      </c>
      <c r="N15053" t="str">
        <f>"1848        "</f>
        <v xml:space="preserve">1848        </v>
      </c>
      <c r="O15053">
        <v>230908</v>
      </c>
    </row>
    <row r="15054" spans="1:15" x14ac:dyDescent="0.25">
      <c r="A15054" t="s">
        <v>16</v>
      </c>
      <c r="B15054" t="s">
        <v>3221</v>
      </c>
      <c r="C15054">
        <v>2091</v>
      </c>
      <c r="D15054" t="s">
        <v>3678</v>
      </c>
      <c r="E15054" t="s">
        <v>1292</v>
      </c>
      <c r="F15054">
        <v>60</v>
      </c>
      <c r="G15054">
        <v>230217</v>
      </c>
      <c r="H15054">
        <v>4362</v>
      </c>
      <c r="I15054" t="s">
        <v>79</v>
      </c>
      <c r="J15054">
        <v>74.400000000000006</v>
      </c>
      <c r="K15054">
        <v>14.4</v>
      </c>
      <c r="L15054">
        <v>13801</v>
      </c>
      <c r="M15054" t="s">
        <v>162</v>
      </c>
      <c r="N15054" t="str">
        <f>"L23974      "</f>
        <v xml:space="preserve">L23974      </v>
      </c>
      <c r="O15054">
        <v>230220</v>
      </c>
    </row>
    <row r="15055" spans="1:15" x14ac:dyDescent="0.25">
      <c r="A15055" t="s">
        <v>16</v>
      </c>
      <c r="B15055" t="s">
        <v>3221</v>
      </c>
      <c r="C15055">
        <v>7468</v>
      </c>
      <c r="D15055" t="s">
        <v>3678</v>
      </c>
      <c r="E15055" t="s">
        <v>1292</v>
      </c>
      <c r="F15055">
        <v>60</v>
      </c>
      <c r="G15055">
        <v>230522</v>
      </c>
      <c r="H15055">
        <v>4362</v>
      </c>
      <c r="I15055" t="s">
        <v>79</v>
      </c>
      <c r="J15055">
        <v>74.400000000000006</v>
      </c>
      <c r="K15055">
        <v>14.4</v>
      </c>
      <c r="L15055">
        <v>13801</v>
      </c>
      <c r="M15055" t="s">
        <v>162</v>
      </c>
      <c r="N15055" t="str">
        <f>"L25762      "</f>
        <v xml:space="preserve">L25762      </v>
      </c>
      <c r="O15055">
        <v>230531</v>
      </c>
    </row>
    <row r="15056" spans="1:15" x14ac:dyDescent="0.25">
      <c r="A15056" t="s">
        <v>16</v>
      </c>
      <c r="B15056" t="s">
        <v>3221</v>
      </c>
      <c r="C15056">
        <v>10666</v>
      </c>
      <c r="D15056" t="s">
        <v>3678</v>
      </c>
      <c r="E15056" t="s">
        <v>1292</v>
      </c>
      <c r="F15056">
        <v>74.400000000000006</v>
      </c>
      <c r="G15056">
        <v>230817</v>
      </c>
      <c r="H15056">
        <v>4362</v>
      </c>
      <c r="I15056" t="s">
        <v>79</v>
      </c>
      <c r="J15056">
        <v>74.400000000000006</v>
      </c>
      <c r="K15056">
        <v>0</v>
      </c>
      <c r="L15056">
        <v>13801</v>
      </c>
      <c r="M15056" t="s">
        <v>162</v>
      </c>
      <c r="N15056" t="str">
        <f>"L27548      "</f>
        <v xml:space="preserve">L27548      </v>
      </c>
      <c r="O15056">
        <v>230821</v>
      </c>
    </row>
    <row r="15057" spans="1:15" x14ac:dyDescent="0.25">
      <c r="A15057" t="s">
        <v>16</v>
      </c>
      <c r="B15057" t="s">
        <v>3221</v>
      </c>
      <c r="C15057">
        <v>16062</v>
      </c>
      <c r="D15057" t="s">
        <v>3678</v>
      </c>
      <c r="E15057" t="s">
        <v>1292</v>
      </c>
      <c r="F15057">
        <v>60</v>
      </c>
      <c r="G15057">
        <v>231120</v>
      </c>
      <c r="H15057">
        <v>4362</v>
      </c>
      <c r="I15057" t="s">
        <v>79</v>
      </c>
      <c r="J15057">
        <v>74.400000000000006</v>
      </c>
      <c r="K15057">
        <v>14.4</v>
      </c>
      <c r="L15057">
        <v>13801</v>
      </c>
      <c r="M15057" t="s">
        <v>162</v>
      </c>
      <c r="N15057" t="str">
        <f>"L29359      "</f>
        <v xml:space="preserve">L29359      </v>
      </c>
      <c r="O15057">
        <v>231122</v>
      </c>
    </row>
    <row r="15058" spans="1:15" x14ac:dyDescent="0.25">
      <c r="A15058" t="s">
        <v>16</v>
      </c>
      <c r="B15058" t="s">
        <v>3221</v>
      </c>
      <c r="C15058">
        <v>9434</v>
      </c>
      <c r="D15058" t="s">
        <v>2310</v>
      </c>
      <c r="E15058" t="s">
        <v>2311</v>
      </c>
      <c r="F15058">
        <v>27.18</v>
      </c>
      <c r="G15058">
        <v>230705</v>
      </c>
      <c r="H15058">
        <v>4400</v>
      </c>
      <c r="I15058" t="s">
        <v>348</v>
      </c>
      <c r="J15058">
        <v>33.700000000000003</v>
      </c>
      <c r="K15058">
        <v>6.52</v>
      </c>
      <c r="L15058">
        <v>67554</v>
      </c>
      <c r="M15058" t="s">
        <v>60</v>
      </c>
      <c r="N15058" t="str">
        <f>"591010      "</f>
        <v xml:space="preserve">591010      </v>
      </c>
      <c r="O15058">
        <v>230711</v>
      </c>
    </row>
    <row r="15059" spans="1:15" x14ac:dyDescent="0.25">
      <c r="A15059" t="s">
        <v>16</v>
      </c>
      <c r="B15059" t="s">
        <v>3221</v>
      </c>
      <c r="C15059">
        <v>17687</v>
      </c>
      <c r="D15059" t="s">
        <v>3091</v>
      </c>
      <c r="E15059" t="s">
        <v>3092</v>
      </c>
      <c r="F15059">
        <v>26282.26</v>
      </c>
      <c r="G15059">
        <v>231213</v>
      </c>
      <c r="H15059">
        <v>1198</v>
      </c>
      <c r="I15059" t="s">
        <v>1128</v>
      </c>
      <c r="J15059">
        <v>32590</v>
      </c>
      <c r="K15059">
        <v>6307.74</v>
      </c>
      <c r="L15059">
        <v>96511</v>
      </c>
      <c r="M15059" t="s">
        <v>2452</v>
      </c>
      <c r="N15059" t="str">
        <f>"2183214     "</f>
        <v xml:space="preserve">2183214     </v>
      </c>
      <c r="O15059">
        <v>231221</v>
      </c>
    </row>
    <row r="15060" spans="1:15" x14ac:dyDescent="0.25">
      <c r="A15060" t="s">
        <v>16</v>
      </c>
      <c r="B15060" t="s">
        <v>3221</v>
      </c>
      <c r="C15060">
        <v>202</v>
      </c>
      <c r="D15060" t="s">
        <v>3327</v>
      </c>
      <c r="E15060" t="s">
        <v>3328</v>
      </c>
      <c r="F15060">
        <v>20</v>
      </c>
      <c r="G15060">
        <v>230109</v>
      </c>
      <c r="H15060">
        <v>4460</v>
      </c>
      <c r="I15060" t="s">
        <v>524</v>
      </c>
      <c r="J15060">
        <v>20</v>
      </c>
      <c r="K15060">
        <v>0</v>
      </c>
      <c r="L15060">
        <v>13501</v>
      </c>
      <c r="M15060" t="s">
        <v>20</v>
      </c>
      <c r="N15060" t="str">
        <f>"20230034382 "</f>
        <v xml:space="preserve">20230034382 </v>
      </c>
      <c r="O15060">
        <v>230116</v>
      </c>
    </row>
    <row r="15061" spans="1:15" x14ac:dyDescent="0.25">
      <c r="A15061" t="s">
        <v>16</v>
      </c>
      <c r="B15061" t="s">
        <v>3221</v>
      </c>
      <c r="C15061">
        <v>6752</v>
      </c>
      <c r="D15061" t="s">
        <v>3470</v>
      </c>
      <c r="E15061" t="s">
        <v>3471</v>
      </c>
      <c r="F15061">
        <v>2820</v>
      </c>
      <c r="G15061">
        <v>230517</v>
      </c>
      <c r="H15061">
        <v>4820</v>
      </c>
      <c r="I15061" t="s">
        <v>50</v>
      </c>
      <c r="J15061">
        <v>2820</v>
      </c>
      <c r="K15061">
        <v>0</v>
      </c>
      <c r="L15061">
        <v>13841</v>
      </c>
      <c r="M15061" t="s">
        <v>47</v>
      </c>
      <c r="N15061" t="str">
        <f>"10081       "</f>
        <v xml:space="preserve">10081       </v>
      </c>
      <c r="O15061">
        <v>230522</v>
      </c>
    </row>
    <row r="15062" spans="1:15" x14ac:dyDescent="0.25">
      <c r="A15062" t="s">
        <v>16</v>
      </c>
      <c r="B15062" t="s">
        <v>3221</v>
      </c>
      <c r="C15062">
        <v>18076</v>
      </c>
      <c r="D15062" t="s">
        <v>3470</v>
      </c>
      <c r="E15062" t="s">
        <v>3471</v>
      </c>
      <c r="F15062">
        <v>2310</v>
      </c>
      <c r="G15062">
        <v>231219</v>
      </c>
      <c r="H15062">
        <v>4820</v>
      </c>
      <c r="I15062" t="s">
        <v>50</v>
      </c>
      <c r="J15062">
        <v>2310</v>
      </c>
      <c r="K15062">
        <v>0</v>
      </c>
      <c r="L15062">
        <v>13841</v>
      </c>
      <c r="M15062" t="s">
        <v>47</v>
      </c>
      <c r="N15062" t="str">
        <f>"10087       "</f>
        <v xml:space="preserve">10087       </v>
      </c>
      <c r="O15062">
        <v>240102</v>
      </c>
    </row>
    <row r="15063" spans="1:15" x14ac:dyDescent="0.25">
      <c r="A15063" t="s">
        <v>16</v>
      </c>
      <c r="B15063" t="s">
        <v>3221</v>
      </c>
      <c r="C15063">
        <v>261</v>
      </c>
      <c r="D15063" t="s">
        <v>383</v>
      </c>
      <c r="E15063" t="s">
        <v>384</v>
      </c>
      <c r="F15063">
        <v>3434.96</v>
      </c>
      <c r="G15063">
        <v>230111</v>
      </c>
      <c r="H15063">
        <v>4390</v>
      </c>
      <c r="I15063" t="s">
        <v>98</v>
      </c>
      <c r="J15063">
        <v>3434.96</v>
      </c>
      <c r="K15063">
        <v>0</v>
      </c>
      <c r="L15063">
        <v>69501</v>
      </c>
      <c r="M15063" t="s">
        <v>185</v>
      </c>
      <c r="N15063" t="str">
        <f>"6302        "</f>
        <v xml:space="preserve">6302        </v>
      </c>
      <c r="O15063">
        <v>230117</v>
      </c>
    </row>
    <row r="15064" spans="1:15" x14ac:dyDescent="0.25">
      <c r="A15064" t="s">
        <v>16</v>
      </c>
      <c r="B15064" t="s">
        <v>3221</v>
      </c>
      <c r="C15064">
        <v>3741</v>
      </c>
      <c r="D15064" t="s">
        <v>3679</v>
      </c>
      <c r="E15064" t="s">
        <v>1602</v>
      </c>
      <c r="F15064">
        <v>616</v>
      </c>
      <c r="G15064">
        <v>230314</v>
      </c>
      <c r="H15064">
        <v>4440</v>
      </c>
      <c r="I15064" t="s">
        <v>250</v>
      </c>
      <c r="J15064">
        <v>616</v>
      </c>
      <c r="K15064">
        <v>0</v>
      </c>
      <c r="L15064">
        <v>18820</v>
      </c>
      <c r="M15064" t="s">
        <v>1571</v>
      </c>
      <c r="N15064" t="str">
        <f>"00033738    "</f>
        <v xml:space="preserve">00033738    </v>
      </c>
      <c r="O15064">
        <v>230321</v>
      </c>
    </row>
    <row r="15065" spans="1:15" x14ac:dyDescent="0.25">
      <c r="A15065" t="s">
        <v>16</v>
      </c>
      <c r="B15065" t="s">
        <v>3221</v>
      </c>
      <c r="C15065">
        <v>9025</v>
      </c>
      <c r="D15065" t="s">
        <v>3679</v>
      </c>
      <c r="E15065" t="s">
        <v>1602</v>
      </c>
      <c r="F15065">
        <v>616</v>
      </c>
      <c r="G15065">
        <v>230620</v>
      </c>
      <c r="H15065">
        <v>4440</v>
      </c>
      <c r="I15065" t="s">
        <v>250</v>
      </c>
      <c r="J15065">
        <v>616</v>
      </c>
      <c r="K15065">
        <v>0</v>
      </c>
      <c r="L15065">
        <v>18820</v>
      </c>
      <c r="M15065" t="s">
        <v>1571</v>
      </c>
      <c r="N15065" t="str">
        <f>"00033903    "</f>
        <v xml:space="preserve">00033903    </v>
      </c>
      <c r="O15065">
        <v>230621</v>
      </c>
    </row>
    <row r="15066" spans="1:15" x14ac:dyDescent="0.25">
      <c r="A15066" t="s">
        <v>16</v>
      </c>
      <c r="B15066" t="s">
        <v>3221</v>
      </c>
      <c r="C15066">
        <v>12387</v>
      </c>
      <c r="D15066" t="s">
        <v>3679</v>
      </c>
      <c r="E15066" t="s">
        <v>1602</v>
      </c>
      <c r="F15066">
        <v>616</v>
      </c>
      <c r="G15066">
        <v>230908</v>
      </c>
      <c r="H15066">
        <v>4440</v>
      </c>
      <c r="I15066" t="s">
        <v>250</v>
      </c>
      <c r="J15066">
        <v>616</v>
      </c>
      <c r="K15066">
        <v>0</v>
      </c>
      <c r="L15066">
        <v>18820</v>
      </c>
      <c r="M15066" t="s">
        <v>1571</v>
      </c>
      <c r="N15066" t="str">
        <f>"00034323    "</f>
        <v xml:space="preserve">00034323    </v>
      </c>
      <c r="O15066">
        <v>230919</v>
      </c>
    </row>
    <row r="15067" spans="1:15" x14ac:dyDescent="0.25">
      <c r="A15067" t="s">
        <v>16</v>
      </c>
      <c r="B15067" t="s">
        <v>3221</v>
      </c>
      <c r="C15067">
        <v>17738</v>
      </c>
      <c r="D15067" t="s">
        <v>3679</v>
      </c>
      <c r="E15067" t="s">
        <v>1602</v>
      </c>
      <c r="F15067">
        <v>616</v>
      </c>
      <c r="G15067">
        <v>231215</v>
      </c>
      <c r="H15067">
        <v>4440</v>
      </c>
      <c r="I15067" t="s">
        <v>250</v>
      </c>
      <c r="J15067">
        <v>616</v>
      </c>
      <c r="K15067">
        <v>0</v>
      </c>
      <c r="L15067">
        <v>18820</v>
      </c>
      <c r="M15067" t="s">
        <v>1571</v>
      </c>
      <c r="N15067" t="str">
        <f>"00034916    "</f>
        <v xml:space="preserve">00034916    </v>
      </c>
      <c r="O15067">
        <v>231222</v>
      </c>
    </row>
    <row r="15068" spans="1:15" x14ac:dyDescent="0.25">
      <c r="A15068" t="s">
        <v>16</v>
      </c>
      <c r="B15068" t="s">
        <v>3221</v>
      </c>
      <c r="C15068">
        <v>18642</v>
      </c>
      <c r="D15068" t="s">
        <v>3150</v>
      </c>
      <c r="E15068" t="s">
        <v>3151</v>
      </c>
      <c r="F15068">
        <v>2475</v>
      </c>
      <c r="G15068">
        <v>231229</v>
      </c>
      <c r="H15068">
        <v>4580</v>
      </c>
      <c r="I15068" t="s">
        <v>35</v>
      </c>
      <c r="J15068">
        <v>3069</v>
      </c>
      <c r="K15068">
        <v>594</v>
      </c>
      <c r="L15068">
        <v>17737</v>
      </c>
      <c r="M15068" t="s">
        <v>279</v>
      </c>
      <c r="N15068" t="str">
        <f>"6526        "</f>
        <v xml:space="preserve">6526        </v>
      </c>
      <c r="O15068">
        <v>240104</v>
      </c>
    </row>
    <row r="15069" spans="1:15" x14ac:dyDescent="0.25">
      <c r="A15069" t="s">
        <v>16</v>
      </c>
      <c r="B15069" t="s">
        <v>3221</v>
      </c>
      <c r="C15069">
        <v>8964</v>
      </c>
      <c r="D15069" t="s">
        <v>2228</v>
      </c>
      <c r="E15069" t="s">
        <v>2229</v>
      </c>
      <c r="F15069">
        <v>6600</v>
      </c>
      <c r="G15069">
        <v>230616</v>
      </c>
      <c r="H15069">
        <v>4440</v>
      </c>
      <c r="I15069" t="s">
        <v>250</v>
      </c>
      <c r="J15069">
        <v>8184</v>
      </c>
      <c r="K15069">
        <v>1584</v>
      </c>
      <c r="L15069">
        <v>18820</v>
      </c>
      <c r="M15069" t="s">
        <v>1571</v>
      </c>
      <c r="N15069" t="str">
        <f>"1289        "</f>
        <v xml:space="preserve">1289        </v>
      </c>
      <c r="O15069">
        <v>230620</v>
      </c>
    </row>
    <row r="15070" spans="1:15" x14ac:dyDescent="0.25">
      <c r="A15070" t="s">
        <v>16</v>
      </c>
      <c r="B15070" t="s">
        <v>3221</v>
      </c>
      <c r="C15070">
        <v>13038</v>
      </c>
      <c r="D15070" t="s">
        <v>2228</v>
      </c>
      <c r="E15070" t="s">
        <v>2229</v>
      </c>
      <c r="F15070">
        <v>7837.5</v>
      </c>
      <c r="G15070">
        <v>230929</v>
      </c>
      <c r="H15070">
        <v>4440</v>
      </c>
      <c r="I15070" t="s">
        <v>250</v>
      </c>
      <c r="J15070">
        <v>9718.5</v>
      </c>
      <c r="K15070">
        <v>1881</v>
      </c>
      <c r="L15070">
        <v>18820</v>
      </c>
      <c r="M15070" t="s">
        <v>1571</v>
      </c>
      <c r="N15070" t="str">
        <f>"1298        "</f>
        <v xml:space="preserve">1298        </v>
      </c>
      <c r="O15070">
        <v>231002</v>
      </c>
    </row>
    <row r="15071" spans="1:15" x14ac:dyDescent="0.25">
      <c r="A15071" t="s">
        <v>16</v>
      </c>
      <c r="B15071" t="s">
        <v>3221</v>
      </c>
      <c r="C15071">
        <v>13039</v>
      </c>
      <c r="D15071" t="s">
        <v>2228</v>
      </c>
      <c r="E15071" t="s">
        <v>2229</v>
      </c>
      <c r="F15071">
        <v>6600</v>
      </c>
      <c r="G15071">
        <v>230929</v>
      </c>
      <c r="H15071">
        <v>4440</v>
      </c>
      <c r="I15071" t="s">
        <v>250</v>
      </c>
      <c r="J15071">
        <v>8184</v>
      </c>
      <c r="K15071">
        <v>1584</v>
      </c>
      <c r="L15071">
        <v>18820</v>
      </c>
      <c r="M15071" t="s">
        <v>1571</v>
      </c>
      <c r="N15071" t="str">
        <f>"1299        "</f>
        <v xml:space="preserve">1299        </v>
      </c>
      <c r="O15071">
        <v>231002</v>
      </c>
    </row>
    <row r="15072" spans="1:15" x14ac:dyDescent="0.25">
      <c r="A15072" t="s">
        <v>16</v>
      </c>
      <c r="B15072" t="s">
        <v>3221</v>
      </c>
      <c r="C15072">
        <v>18013</v>
      </c>
      <c r="D15072" t="s">
        <v>2228</v>
      </c>
      <c r="E15072" t="s">
        <v>2229</v>
      </c>
      <c r="F15072">
        <v>6600</v>
      </c>
      <c r="G15072">
        <v>231213</v>
      </c>
      <c r="H15072">
        <v>4440</v>
      </c>
      <c r="I15072" t="s">
        <v>250</v>
      </c>
      <c r="J15072">
        <v>8184</v>
      </c>
      <c r="K15072">
        <v>1584</v>
      </c>
      <c r="L15072">
        <v>18820</v>
      </c>
      <c r="M15072" t="s">
        <v>1571</v>
      </c>
      <c r="N15072" t="str">
        <f>"1306        "</f>
        <v xml:space="preserve">1306        </v>
      </c>
      <c r="O15072">
        <v>231228</v>
      </c>
    </row>
    <row r="15073" spans="1:15" x14ac:dyDescent="0.25">
      <c r="A15073" t="s">
        <v>16</v>
      </c>
      <c r="B15073" t="s">
        <v>3221</v>
      </c>
      <c r="C15073">
        <v>18017</v>
      </c>
      <c r="D15073" t="s">
        <v>2228</v>
      </c>
      <c r="E15073" t="s">
        <v>2229</v>
      </c>
      <c r="F15073">
        <v>7425</v>
      </c>
      <c r="G15073">
        <v>231213</v>
      </c>
      <c r="H15073">
        <v>4440</v>
      </c>
      <c r="I15073" t="s">
        <v>250</v>
      </c>
      <c r="J15073">
        <v>9207</v>
      </c>
      <c r="K15073">
        <v>1782</v>
      </c>
      <c r="L15073">
        <v>18820</v>
      </c>
      <c r="M15073" t="s">
        <v>1571</v>
      </c>
      <c r="N15073" t="str">
        <f>"1307        "</f>
        <v xml:space="preserve">1307        </v>
      </c>
      <c r="O15073">
        <v>231228</v>
      </c>
    </row>
    <row r="15074" spans="1:15" x14ac:dyDescent="0.25">
      <c r="A15074" t="s">
        <v>16</v>
      </c>
      <c r="B15074" t="s">
        <v>3221</v>
      </c>
      <c r="C15074">
        <v>18022</v>
      </c>
      <c r="D15074" t="s">
        <v>2228</v>
      </c>
      <c r="E15074" t="s">
        <v>2229</v>
      </c>
      <c r="F15074">
        <v>10450</v>
      </c>
      <c r="G15074">
        <v>231213</v>
      </c>
      <c r="H15074">
        <v>4440</v>
      </c>
      <c r="I15074" t="s">
        <v>250</v>
      </c>
      <c r="J15074">
        <v>12958</v>
      </c>
      <c r="K15074">
        <v>2508</v>
      </c>
      <c r="L15074">
        <v>18820</v>
      </c>
      <c r="M15074" t="s">
        <v>1571</v>
      </c>
      <c r="N15074" t="str">
        <f>"1308        "</f>
        <v xml:space="preserve">1308        </v>
      </c>
      <c r="O15074">
        <v>231228</v>
      </c>
    </row>
    <row r="15075" spans="1:15" x14ac:dyDescent="0.25">
      <c r="A15075" t="s">
        <v>16</v>
      </c>
      <c r="B15075" t="s">
        <v>3221</v>
      </c>
      <c r="C15075">
        <v>13128</v>
      </c>
      <c r="D15075" t="s">
        <v>2632</v>
      </c>
      <c r="E15075" t="s">
        <v>2633</v>
      </c>
      <c r="F15075">
        <v>43.95</v>
      </c>
      <c r="G15075">
        <v>230925</v>
      </c>
      <c r="H15075">
        <v>4400</v>
      </c>
      <c r="I15075" t="s">
        <v>348</v>
      </c>
      <c r="J15075">
        <v>54.5</v>
      </c>
      <c r="K15075">
        <v>10.55</v>
      </c>
      <c r="L15075">
        <v>17523</v>
      </c>
      <c r="M15075" t="s">
        <v>134</v>
      </c>
      <c r="N15075" t="str">
        <f>"19325       "</f>
        <v xml:space="preserve">19325       </v>
      </c>
      <c r="O15075">
        <v>231004</v>
      </c>
    </row>
    <row r="15076" spans="1:15" x14ac:dyDescent="0.25">
      <c r="A15076" t="s">
        <v>16</v>
      </c>
      <c r="B15076" t="s">
        <v>3221</v>
      </c>
      <c r="C15076">
        <v>15063</v>
      </c>
      <c r="D15076" t="s">
        <v>2632</v>
      </c>
      <c r="E15076" t="s">
        <v>2633</v>
      </c>
      <c r="F15076">
        <v>34.270000000000003</v>
      </c>
      <c r="G15076">
        <v>231031</v>
      </c>
      <c r="H15076">
        <v>4400</v>
      </c>
      <c r="I15076" t="s">
        <v>348</v>
      </c>
      <c r="J15076">
        <v>42.49</v>
      </c>
      <c r="K15076">
        <v>8.2200000000000006</v>
      </c>
      <c r="L15076">
        <v>17523</v>
      </c>
      <c r="M15076" t="s">
        <v>134</v>
      </c>
      <c r="N15076" t="str">
        <f>"19638       "</f>
        <v xml:space="preserve">19638       </v>
      </c>
      <c r="O15076">
        <v>231108</v>
      </c>
    </row>
    <row r="15077" spans="1:15" x14ac:dyDescent="0.25">
      <c r="A15077" t="s">
        <v>16</v>
      </c>
      <c r="B15077" t="s">
        <v>3221</v>
      </c>
      <c r="C15077">
        <v>15147</v>
      </c>
      <c r="D15077" t="s">
        <v>2848</v>
      </c>
      <c r="E15077" t="s">
        <v>2849</v>
      </c>
      <c r="F15077">
        <v>99.97</v>
      </c>
      <c r="G15077">
        <v>231107</v>
      </c>
      <c r="H15077">
        <v>4400</v>
      </c>
      <c r="I15077" t="s">
        <v>348</v>
      </c>
      <c r="J15077">
        <v>123.96</v>
      </c>
      <c r="K15077">
        <v>23.99</v>
      </c>
      <c r="L15077">
        <v>69501</v>
      </c>
      <c r="M15077" t="s">
        <v>185</v>
      </c>
      <c r="N15077" t="str">
        <f>"1231100035  "</f>
        <v xml:space="preserve">1231100035  </v>
      </c>
      <c r="O15077">
        <v>231109</v>
      </c>
    </row>
    <row r="15078" spans="1:15" x14ac:dyDescent="0.25">
      <c r="A15078" t="s">
        <v>16</v>
      </c>
      <c r="B15078" t="s">
        <v>3221</v>
      </c>
      <c r="C15078">
        <v>15731</v>
      </c>
      <c r="D15078" t="s">
        <v>2848</v>
      </c>
      <c r="E15078" t="s">
        <v>2849</v>
      </c>
      <c r="F15078">
        <v>56.85</v>
      </c>
      <c r="G15078">
        <v>231114</v>
      </c>
      <c r="H15078">
        <v>4400</v>
      </c>
      <c r="I15078" t="s">
        <v>348</v>
      </c>
      <c r="J15078">
        <v>70.5</v>
      </c>
      <c r="K15078">
        <v>13.65</v>
      </c>
      <c r="L15078">
        <v>59502</v>
      </c>
      <c r="M15078" t="s">
        <v>70</v>
      </c>
      <c r="N15078" t="str">
        <f>"1231100069  "</f>
        <v xml:space="preserve">1231100069  </v>
      </c>
      <c r="O15078">
        <v>231116</v>
      </c>
    </row>
    <row r="15079" spans="1:15" x14ac:dyDescent="0.25">
      <c r="A15079" t="s">
        <v>16</v>
      </c>
      <c r="B15079" t="s">
        <v>3221</v>
      </c>
      <c r="C15079">
        <v>15731</v>
      </c>
      <c r="D15079" t="s">
        <v>2848</v>
      </c>
      <c r="E15079" t="s">
        <v>2849</v>
      </c>
      <c r="F15079">
        <v>36.369999999999997</v>
      </c>
      <c r="G15079">
        <v>231114</v>
      </c>
      <c r="H15079">
        <v>4400</v>
      </c>
      <c r="I15079" t="s">
        <v>348</v>
      </c>
      <c r="J15079">
        <v>45.1</v>
      </c>
      <c r="K15079">
        <v>8.73</v>
      </c>
      <c r="L15079">
        <v>59802</v>
      </c>
      <c r="M15079" t="s">
        <v>73</v>
      </c>
      <c r="N15079" t="str">
        <f>"1231100069  "</f>
        <v xml:space="preserve">1231100069  </v>
      </c>
      <c r="O15079">
        <v>231116</v>
      </c>
    </row>
    <row r="15080" spans="1:15" x14ac:dyDescent="0.25">
      <c r="A15080" t="s">
        <v>16</v>
      </c>
      <c r="B15080" t="s">
        <v>3221</v>
      </c>
      <c r="C15080">
        <v>449</v>
      </c>
      <c r="D15080" t="s">
        <v>552</v>
      </c>
      <c r="E15080" t="s">
        <v>553</v>
      </c>
      <c r="F15080">
        <v>41.06</v>
      </c>
      <c r="G15080">
        <v>230120</v>
      </c>
      <c r="H15080">
        <v>4600</v>
      </c>
      <c r="I15080" t="s">
        <v>105</v>
      </c>
      <c r="J15080">
        <v>50.91</v>
      </c>
      <c r="K15080">
        <v>9.85</v>
      </c>
      <c r="L15080">
        <v>67554</v>
      </c>
      <c r="M15080" t="s">
        <v>60</v>
      </c>
      <c r="N15080" t="str">
        <f>"26395       "</f>
        <v xml:space="preserve">26395       </v>
      </c>
      <c r="O15080">
        <v>230123</v>
      </c>
    </row>
    <row r="15081" spans="1:15" x14ac:dyDescent="0.25">
      <c r="A15081" t="s">
        <v>16</v>
      </c>
      <c r="B15081" t="s">
        <v>3221</v>
      </c>
      <c r="C15081">
        <v>7561</v>
      </c>
      <c r="D15081" t="s">
        <v>3731</v>
      </c>
      <c r="E15081" t="s">
        <v>2101</v>
      </c>
      <c r="F15081">
        <v>263.16000000000003</v>
      </c>
      <c r="G15081">
        <v>230530</v>
      </c>
      <c r="H15081">
        <v>4520</v>
      </c>
      <c r="I15081" t="s">
        <v>254</v>
      </c>
      <c r="J15081">
        <v>300</v>
      </c>
      <c r="K15081">
        <v>36.840000000000003</v>
      </c>
      <c r="L15081">
        <v>54422</v>
      </c>
      <c r="M15081" t="s">
        <v>234</v>
      </c>
      <c r="N15081" t="str">
        <f>"1/300523    "</f>
        <v xml:space="preserve">1/300523    </v>
      </c>
      <c r="O15081">
        <v>230531</v>
      </c>
    </row>
    <row r="15082" spans="1:15" x14ac:dyDescent="0.25">
      <c r="A15082" t="s">
        <v>16</v>
      </c>
      <c r="B15082" t="s">
        <v>3221</v>
      </c>
      <c r="C15082">
        <v>1647</v>
      </c>
      <c r="D15082" t="s">
        <v>1115</v>
      </c>
      <c r="E15082" t="s">
        <v>1116</v>
      </c>
      <c r="F15082">
        <v>3721.95</v>
      </c>
      <c r="G15082">
        <v>230130</v>
      </c>
      <c r="H15082">
        <v>4400</v>
      </c>
      <c r="I15082" t="s">
        <v>348</v>
      </c>
      <c r="J15082">
        <v>4615.22</v>
      </c>
      <c r="K15082">
        <v>893.27</v>
      </c>
      <c r="L15082">
        <v>69501</v>
      </c>
      <c r="M15082" t="s">
        <v>185</v>
      </c>
      <c r="N15082" t="str">
        <f>"2014386     "</f>
        <v xml:space="preserve">2014386     </v>
      </c>
      <c r="O15082">
        <v>230213</v>
      </c>
    </row>
    <row r="15083" spans="1:15" x14ac:dyDescent="0.25">
      <c r="A15083" t="s">
        <v>16</v>
      </c>
      <c r="B15083" t="s">
        <v>3221</v>
      </c>
      <c r="C15083">
        <v>17908</v>
      </c>
      <c r="D15083" t="s">
        <v>1115</v>
      </c>
      <c r="E15083" t="s">
        <v>1116</v>
      </c>
      <c r="F15083">
        <v>800.7</v>
      </c>
      <c r="G15083">
        <v>231214</v>
      </c>
      <c r="H15083">
        <v>4400</v>
      </c>
      <c r="I15083" t="s">
        <v>348</v>
      </c>
      <c r="J15083">
        <v>992.87</v>
      </c>
      <c r="K15083">
        <v>192.17</v>
      </c>
      <c r="L15083">
        <v>67554</v>
      </c>
      <c r="M15083" t="s">
        <v>60</v>
      </c>
      <c r="N15083" t="str">
        <f>"2014836     "</f>
        <v xml:space="preserve">2014836     </v>
      </c>
      <c r="O15083">
        <v>231227</v>
      </c>
    </row>
    <row r="15084" spans="1:15" x14ac:dyDescent="0.25">
      <c r="A15084" t="s">
        <v>16</v>
      </c>
      <c r="B15084" t="s">
        <v>3221</v>
      </c>
      <c r="C15084">
        <v>3073</v>
      </c>
      <c r="D15084" t="s">
        <v>1506</v>
      </c>
      <c r="E15084" t="s">
        <v>1507</v>
      </c>
      <c r="F15084">
        <v>84</v>
      </c>
      <c r="G15084">
        <v>230228</v>
      </c>
      <c r="H15084">
        <v>4346</v>
      </c>
      <c r="I15084" t="s">
        <v>197</v>
      </c>
      <c r="J15084">
        <v>104.16</v>
      </c>
      <c r="K15084">
        <v>20.16</v>
      </c>
      <c r="L15084">
        <v>66754</v>
      </c>
      <c r="M15084" t="s">
        <v>239</v>
      </c>
      <c r="N15084" t="str">
        <f>"30230594    "</f>
        <v xml:space="preserve">30230594    </v>
      </c>
      <c r="O15084">
        <v>230309</v>
      </c>
    </row>
    <row r="15085" spans="1:15" x14ac:dyDescent="0.25">
      <c r="A15085" t="s">
        <v>16</v>
      </c>
      <c r="B15085" t="s">
        <v>3221</v>
      </c>
      <c r="C15085">
        <v>4710</v>
      </c>
      <c r="D15085" t="s">
        <v>1506</v>
      </c>
      <c r="E15085" t="s">
        <v>1507</v>
      </c>
      <c r="F15085">
        <v>90</v>
      </c>
      <c r="G15085">
        <v>230331</v>
      </c>
      <c r="H15085">
        <v>4343</v>
      </c>
      <c r="I15085" t="s">
        <v>91</v>
      </c>
      <c r="J15085">
        <v>111.6</v>
      </c>
      <c r="K15085">
        <v>21.6</v>
      </c>
      <c r="L15085">
        <v>66754</v>
      </c>
      <c r="M15085" t="s">
        <v>239</v>
      </c>
      <c r="N15085" t="str">
        <f>"30230917    "</f>
        <v xml:space="preserve">30230917    </v>
      </c>
      <c r="O15085">
        <v>230412</v>
      </c>
    </row>
    <row r="15086" spans="1:15" x14ac:dyDescent="0.25">
      <c r="A15086" t="s">
        <v>16</v>
      </c>
      <c r="B15086" t="s">
        <v>3221</v>
      </c>
      <c r="C15086">
        <v>4710</v>
      </c>
      <c r="D15086" t="s">
        <v>1506</v>
      </c>
      <c r="E15086" t="s">
        <v>1507</v>
      </c>
      <c r="F15086">
        <v>45</v>
      </c>
      <c r="G15086">
        <v>230331</v>
      </c>
      <c r="H15086">
        <v>4343</v>
      </c>
      <c r="I15086" t="s">
        <v>91</v>
      </c>
      <c r="J15086">
        <v>55.8</v>
      </c>
      <c r="K15086">
        <v>10.8</v>
      </c>
      <c r="L15086">
        <v>69802</v>
      </c>
      <c r="M15086" t="s">
        <v>283</v>
      </c>
      <c r="N15086" t="str">
        <f>"30230917    "</f>
        <v xml:space="preserve">30230917    </v>
      </c>
      <c r="O15086">
        <v>230412</v>
      </c>
    </row>
    <row r="15087" spans="1:15" x14ac:dyDescent="0.25">
      <c r="A15087" t="s">
        <v>16</v>
      </c>
      <c r="B15087" t="s">
        <v>3221</v>
      </c>
      <c r="C15087">
        <v>4710</v>
      </c>
      <c r="D15087" t="s">
        <v>1506</v>
      </c>
      <c r="E15087" t="s">
        <v>1507</v>
      </c>
      <c r="F15087">
        <v>45</v>
      </c>
      <c r="G15087">
        <v>230331</v>
      </c>
      <c r="H15087">
        <v>4343</v>
      </c>
      <c r="I15087" t="s">
        <v>91</v>
      </c>
      <c r="J15087">
        <v>55.8</v>
      </c>
      <c r="K15087">
        <v>10.8</v>
      </c>
      <c r="L15087">
        <v>69804</v>
      </c>
      <c r="M15087" t="s">
        <v>284</v>
      </c>
      <c r="N15087" t="str">
        <f>"30230917    "</f>
        <v xml:space="preserve">30230917    </v>
      </c>
      <c r="O15087">
        <v>230412</v>
      </c>
    </row>
    <row r="15088" spans="1:15" x14ac:dyDescent="0.25">
      <c r="A15088" t="s">
        <v>16</v>
      </c>
      <c r="B15088" t="s">
        <v>3221</v>
      </c>
      <c r="C15088">
        <v>4710</v>
      </c>
      <c r="D15088" t="s">
        <v>1506</v>
      </c>
      <c r="E15088" t="s">
        <v>1507</v>
      </c>
      <c r="F15088">
        <v>45</v>
      </c>
      <c r="G15088">
        <v>230331</v>
      </c>
      <c r="H15088">
        <v>4343</v>
      </c>
      <c r="I15088" t="s">
        <v>91</v>
      </c>
      <c r="J15088">
        <v>55.8</v>
      </c>
      <c r="K15088">
        <v>10.8</v>
      </c>
      <c r="L15088">
        <v>69810</v>
      </c>
      <c r="M15088" t="s">
        <v>314</v>
      </c>
      <c r="N15088" t="str">
        <f>"30230917    "</f>
        <v xml:space="preserve">30230917    </v>
      </c>
      <c r="O15088">
        <v>230412</v>
      </c>
    </row>
    <row r="15089" spans="1:15" x14ac:dyDescent="0.25">
      <c r="A15089" t="s">
        <v>16</v>
      </c>
      <c r="B15089" t="s">
        <v>3221</v>
      </c>
      <c r="C15089">
        <v>4710</v>
      </c>
      <c r="D15089" t="s">
        <v>1506</v>
      </c>
      <c r="E15089" t="s">
        <v>1507</v>
      </c>
      <c r="F15089">
        <v>45</v>
      </c>
      <c r="G15089">
        <v>230331</v>
      </c>
      <c r="H15089">
        <v>4343</v>
      </c>
      <c r="I15089" t="s">
        <v>91</v>
      </c>
      <c r="J15089">
        <v>55.8</v>
      </c>
      <c r="K15089">
        <v>10.8</v>
      </c>
      <c r="L15089">
        <v>69811</v>
      </c>
      <c r="M15089" t="s">
        <v>315</v>
      </c>
      <c r="N15089" t="str">
        <f>"30230917    "</f>
        <v xml:space="preserve">30230917    </v>
      </c>
      <c r="O15089">
        <v>230412</v>
      </c>
    </row>
    <row r="15090" spans="1:15" x14ac:dyDescent="0.25">
      <c r="A15090" t="s">
        <v>16</v>
      </c>
      <c r="B15090" t="s">
        <v>3221</v>
      </c>
      <c r="C15090">
        <v>9377</v>
      </c>
      <c r="D15090" t="s">
        <v>1506</v>
      </c>
      <c r="E15090" t="s">
        <v>1507</v>
      </c>
      <c r="F15090">
        <v>90</v>
      </c>
      <c r="G15090">
        <v>230630</v>
      </c>
      <c r="H15090">
        <v>4343</v>
      </c>
      <c r="I15090" t="s">
        <v>91</v>
      </c>
      <c r="J15090">
        <v>111.6</v>
      </c>
      <c r="K15090">
        <v>21.6</v>
      </c>
      <c r="L15090">
        <v>66754</v>
      </c>
      <c r="M15090" t="s">
        <v>239</v>
      </c>
      <c r="N15090" t="str">
        <f>"30231803    "</f>
        <v xml:space="preserve">30231803    </v>
      </c>
      <c r="O15090">
        <v>230710</v>
      </c>
    </row>
    <row r="15091" spans="1:15" x14ac:dyDescent="0.25">
      <c r="A15091" t="s">
        <v>16</v>
      </c>
      <c r="B15091" t="s">
        <v>3221</v>
      </c>
      <c r="C15091">
        <v>9377</v>
      </c>
      <c r="D15091" t="s">
        <v>1506</v>
      </c>
      <c r="E15091" t="s">
        <v>1507</v>
      </c>
      <c r="F15091">
        <v>45</v>
      </c>
      <c r="G15091">
        <v>230630</v>
      </c>
      <c r="H15091">
        <v>4343</v>
      </c>
      <c r="I15091" t="s">
        <v>91</v>
      </c>
      <c r="J15091">
        <v>55.8</v>
      </c>
      <c r="K15091">
        <v>10.8</v>
      </c>
      <c r="L15091">
        <v>69802</v>
      </c>
      <c r="M15091" t="s">
        <v>283</v>
      </c>
      <c r="N15091" t="str">
        <f>"30231803    "</f>
        <v xml:space="preserve">30231803    </v>
      </c>
      <c r="O15091">
        <v>230710</v>
      </c>
    </row>
    <row r="15092" spans="1:15" x14ac:dyDescent="0.25">
      <c r="A15092" t="s">
        <v>16</v>
      </c>
      <c r="B15092" t="s">
        <v>3221</v>
      </c>
      <c r="C15092">
        <v>9377</v>
      </c>
      <c r="D15092" t="s">
        <v>1506</v>
      </c>
      <c r="E15092" t="s">
        <v>1507</v>
      </c>
      <c r="F15092">
        <v>45</v>
      </c>
      <c r="G15092">
        <v>230630</v>
      </c>
      <c r="H15092">
        <v>4343</v>
      </c>
      <c r="I15092" t="s">
        <v>91</v>
      </c>
      <c r="J15092">
        <v>55.8</v>
      </c>
      <c r="K15092">
        <v>10.8</v>
      </c>
      <c r="L15092">
        <v>69804</v>
      </c>
      <c r="M15092" t="s">
        <v>284</v>
      </c>
      <c r="N15092" t="str">
        <f>"30231803    "</f>
        <v xml:space="preserve">30231803    </v>
      </c>
      <c r="O15092">
        <v>230710</v>
      </c>
    </row>
    <row r="15093" spans="1:15" x14ac:dyDescent="0.25">
      <c r="A15093" t="s">
        <v>16</v>
      </c>
      <c r="B15093" t="s">
        <v>3221</v>
      </c>
      <c r="C15093">
        <v>9377</v>
      </c>
      <c r="D15093" t="s">
        <v>1506</v>
      </c>
      <c r="E15093" t="s">
        <v>1507</v>
      </c>
      <c r="F15093">
        <v>45</v>
      </c>
      <c r="G15093">
        <v>230630</v>
      </c>
      <c r="H15093">
        <v>4343</v>
      </c>
      <c r="I15093" t="s">
        <v>91</v>
      </c>
      <c r="J15093">
        <v>55.8</v>
      </c>
      <c r="K15093">
        <v>10.8</v>
      </c>
      <c r="L15093">
        <v>69810</v>
      </c>
      <c r="M15093" t="s">
        <v>314</v>
      </c>
      <c r="N15093" t="str">
        <f>"30231803    "</f>
        <v xml:space="preserve">30231803    </v>
      </c>
      <c r="O15093">
        <v>230710</v>
      </c>
    </row>
    <row r="15094" spans="1:15" x14ac:dyDescent="0.25">
      <c r="A15094" t="s">
        <v>16</v>
      </c>
      <c r="B15094" t="s">
        <v>3221</v>
      </c>
      <c r="C15094">
        <v>9377</v>
      </c>
      <c r="D15094" t="s">
        <v>1506</v>
      </c>
      <c r="E15094" t="s">
        <v>1507</v>
      </c>
      <c r="F15094">
        <v>45</v>
      </c>
      <c r="G15094">
        <v>230630</v>
      </c>
      <c r="H15094">
        <v>4343</v>
      </c>
      <c r="I15094" t="s">
        <v>91</v>
      </c>
      <c r="J15094">
        <v>55.8</v>
      </c>
      <c r="K15094">
        <v>10.8</v>
      </c>
      <c r="L15094">
        <v>69811</v>
      </c>
      <c r="M15094" t="s">
        <v>315</v>
      </c>
      <c r="N15094" t="str">
        <f>"30231803    "</f>
        <v xml:space="preserve">30231803    </v>
      </c>
      <c r="O15094">
        <v>230710</v>
      </c>
    </row>
    <row r="15095" spans="1:15" x14ac:dyDescent="0.25">
      <c r="A15095" t="s">
        <v>16</v>
      </c>
      <c r="B15095" t="s">
        <v>3221</v>
      </c>
      <c r="C15095">
        <v>11570</v>
      </c>
      <c r="D15095" t="s">
        <v>1506</v>
      </c>
      <c r="E15095" t="s">
        <v>1507</v>
      </c>
      <c r="F15095">
        <v>84</v>
      </c>
      <c r="G15095">
        <v>230825</v>
      </c>
      <c r="H15095">
        <v>4343</v>
      </c>
      <c r="I15095" t="s">
        <v>91</v>
      </c>
      <c r="J15095">
        <v>104.16</v>
      </c>
      <c r="K15095">
        <v>20.16</v>
      </c>
      <c r="L15095">
        <v>66754</v>
      </c>
      <c r="M15095" t="s">
        <v>239</v>
      </c>
      <c r="N15095" t="str">
        <f>"30232332    "</f>
        <v xml:space="preserve">30232332    </v>
      </c>
      <c r="O15095">
        <v>230907</v>
      </c>
    </row>
    <row r="15096" spans="1:15" x14ac:dyDescent="0.25">
      <c r="A15096" t="s">
        <v>16</v>
      </c>
      <c r="B15096" t="s">
        <v>3221</v>
      </c>
      <c r="C15096">
        <v>13933</v>
      </c>
      <c r="D15096" t="s">
        <v>1506</v>
      </c>
      <c r="E15096" t="s">
        <v>1507</v>
      </c>
      <c r="F15096">
        <v>90</v>
      </c>
      <c r="G15096">
        <v>230929</v>
      </c>
      <c r="H15096">
        <v>4343</v>
      </c>
      <c r="I15096" t="s">
        <v>91</v>
      </c>
      <c r="J15096">
        <v>111.6</v>
      </c>
      <c r="K15096">
        <v>21.6</v>
      </c>
      <c r="L15096">
        <v>66754</v>
      </c>
      <c r="M15096" t="s">
        <v>239</v>
      </c>
      <c r="N15096" t="str">
        <f>"30232785    "</f>
        <v xml:space="preserve">30232785    </v>
      </c>
      <c r="O15096">
        <v>231017</v>
      </c>
    </row>
    <row r="15097" spans="1:15" x14ac:dyDescent="0.25">
      <c r="A15097" t="s">
        <v>16</v>
      </c>
      <c r="B15097" t="s">
        <v>3221</v>
      </c>
      <c r="C15097">
        <v>13933</v>
      </c>
      <c r="D15097" t="s">
        <v>1506</v>
      </c>
      <c r="E15097" t="s">
        <v>1507</v>
      </c>
      <c r="F15097">
        <v>45</v>
      </c>
      <c r="G15097">
        <v>230929</v>
      </c>
      <c r="H15097">
        <v>4343</v>
      </c>
      <c r="I15097" t="s">
        <v>91</v>
      </c>
      <c r="J15097">
        <v>55.8</v>
      </c>
      <c r="K15097">
        <v>10.8</v>
      </c>
      <c r="L15097">
        <v>69802</v>
      </c>
      <c r="M15097" t="s">
        <v>283</v>
      </c>
      <c r="N15097" t="str">
        <f>"30232785    "</f>
        <v xml:space="preserve">30232785    </v>
      </c>
      <c r="O15097">
        <v>231017</v>
      </c>
    </row>
    <row r="15098" spans="1:15" x14ac:dyDescent="0.25">
      <c r="A15098" t="s">
        <v>16</v>
      </c>
      <c r="B15098" t="s">
        <v>3221</v>
      </c>
      <c r="C15098">
        <v>13933</v>
      </c>
      <c r="D15098" t="s">
        <v>1506</v>
      </c>
      <c r="E15098" t="s">
        <v>1507</v>
      </c>
      <c r="F15098">
        <v>45</v>
      </c>
      <c r="G15098">
        <v>230929</v>
      </c>
      <c r="H15098">
        <v>4343</v>
      </c>
      <c r="I15098" t="s">
        <v>91</v>
      </c>
      <c r="J15098">
        <v>55.8</v>
      </c>
      <c r="K15098">
        <v>10.8</v>
      </c>
      <c r="L15098">
        <v>69804</v>
      </c>
      <c r="M15098" t="s">
        <v>284</v>
      </c>
      <c r="N15098" t="str">
        <f>"30232785    "</f>
        <v xml:space="preserve">30232785    </v>
      </c>
      <c r="O15098">
        <v>231017</v>
      </c>
    </row>
    <row r="15099" spans="1:15" x14ac:dyDescent="0.25">
      <c r="A15099" t="s">
        <v>16</v>
      </c>
      <c r="B15099" t="s">
        <v>3221</v>
      </c>
      <c r="C15099">
        <v>13933</v>
      </c>
      <c r="D15099" t="s">
        <v>1506</v>
      </c>
      <c r="E15099" t="s">
        <v>1507</v>
      </c>
      <c r="F15099">
        <v>45</v>
      </c>
      <c r="G15099">
        <v>230929</v>
      </c>
      <c r="H15099">
        <v>4343</v>
      </c>
      <c r="I15099" t="s">
        <v>91</v>
      </c>
      <c r="J15099">
        <v>55.8</v>
      </c>
      <c r="K15099">
        <v>10.8</v>
      </c>
      <c r="L15099">
        <v>69810</v>
      </c>
      <c r="M15099" t="s">
        <v>314</v>
      </c>
      <c r="N15099" t="str">
        <f>"30232785    "</f>
        <v xml:space="preserve">30232785    </v>
      </c>
      <c r="O15099">
        <v>231017</v>
      </c>
    </row>
    <row r="15100" spans="1:15" x14ac:dyDescent="0.25">
      <c r="A15100" t="s">
        <v>16</v>
      </c>
      <c r="B15100" t="s">
        <v>3221</v>
      </c>
      <c r="C15100">
        <v>13933</v>
      </c>
      <c r="D15100" t="s">
        <v>1506</v>
      </c>
      <c r="E15100" t="s">
        <v>1507</v>
      </c>
      <c r="F15100">
        <v>45</v>
      </c>
      <c r="G15100">
        <v>230929</v>
      </c>
      <c r="H15100">
        <v>4343</v>
      </c>
      <c r="I15100" t="s">
        <v>91</v>
      </c>
      <c r="J15100">
        <v>55.8</v>
      </c>
      <c r="K15100">
        <v>10.8</v>
      </c>
      <c r="L15100">
        <v>69811</v>
      </c>
      <c r="M15100" t="s">
        <v>315</v>
      </c>
      <c r="N15100" t="str">
        <f>"30232785    "</f>
        <v xml:space="preserve">30232785    </v>
      </c>
      <c r="O15100">
        <v>231017</v>
      </c>
    </row>
    <row r="15101" spans="1:15" x14ac:dyDescent="0.25">
      <c r="A15101" t="s">
        <v>16</v>
      </c>
      <c r="B15101" t="s">
        <v>3221</v>
      </c>
      <c r="C15101">
        <v>16041</v>
      </c>
      <c r="D15101" t="s">
        <v>1506</v>
      </c>
      <c r="E15101" t="s">
        <v>1507</v>
      </c>
      <c r="F15101">
        <v>42.91</v>
      </c>
      <c r="G15101">
        <v>231117</v>
      </c>
      <c r="H15101">
        <v>4343</v>
      </c>
      <c r="I15101" t="s">
        <v>91</v>
      </c>
      <c r="J15101">
        <v>53.21</v>
      </c>
      <c r="K15101">
        <v>10.3</v>
      </c>
      <c r="L15101">
        <v>66754</v>
      </c>
      <c r="M15101" t="s">
        <v>239</v>
      </c>
      <c r="N15101" t="str">
        <f>"30233367    "</f>
        <v xml:space="preserve">30233367    </v>
      </c>
      <c r="O15101">
        <v>231122</v>
      </c>
    </row>
    <row r="15102" spans="1:15" x14ac:dyDescent="0.25">
      <c r="A15102" t="s">
        <v>16</v>
      </c>
      <c r="B15102" t="s">
        <v>3221</v>
      </c>
      <c r="C15102">
        <v>14440</v>
      </c>
      <c r="D15102" t="s">
        <v>1506</v>
      </c>
      <c r="E15102" t="s">
        <v>1507</v>
      </c>
      <c r="F15102">
        <v>83.95</v>
      </c>
      <c r="G15102">
        <v>231023</v>
      </c>
      <c r="H15102">
        <v>4400</v>
      </c>
      <c r="I15102" t="s">
        <v>348</v>
      </c>
      <c r="J15102">
        <v>104.1</v>
      </c>
      <c r="K15102">
        <v>20.149999999999999</v>
      </c>
      <c r="L15102">
        <v>69802</v>
      </c>
      <c r="M15102" t="s">
        <v>283</v>
      </c>
      <c r="N15102" t="str">
        <f>"30233009    "</f>
        <v xml:space="preserve">30233009    </v>
      </c>
      <c r="O15102">
        <v>231030</v>
      </c>
    </row>
    <row r="15103" spans="1:15" x14ac:dyDescent="0.25">
      <c r="A15103" t="s">
        <v>16</v>
      </c>
      <c r="B15103" t="s">
        <v>3221</v>
      </c>
      <c r="C15103">
        <v>14440</v>
      </c>
      <c r="D15103" t="s">
        <v>1506</v>
      </c>
      <c r="E15103" t="s">
        <v>1507</v>
      </c>
      <c r="F15103">
        <v>83.95</v>
      </c>
      <c r="G15103">
        <v>231023</v>
      </c>
      <c r="H15103">
        <v>4400</v>
      </c>
      <c r="I15103" t="s">
        <v>348</v>
      </c>
      <c r="J15103">
        <v>104.1</v>
      </c>
      <c r="K15103">
        <v>20.149999999999999</v>
      </c>
      <c r="L15103">
        <v>69804</v>
      </c>
      <c r="M15103" t="s">
        <v>284</v>
      </c>
      <c r="N15103" t="str">
        <f>"30233009    "</f>
        <v xml:space="preserve">30233009    </v>
      </c>
      <c r="O15103">
        <v>231030</v>
      </c>
    </row>
    <row r="15104" spans="1:15" x14ac:dyDescent="0.25">
      <c r="A15104" t="s">
        <v>16</v>
      </c>
      <c r="B15104" t="s">
        <v>3221</v>
      </c>
      <c r="C15104">
        <v>6287</v>
      </c>
      <c r="D15104" t="s">
        <v>1506</v>
      </c>
      <c r="E15104" t="s">
        <v>1507</v>
      </c>
      <c r="F15104">
        <v>165.32</v>
      </c>
      <c r="G15104">
        <v>230430</v>
      </c>
      <c r="H15104">
        <v>4840</v>
      </c>
      <c r="I15104" t="s">
        <v>19</v>
      </c>
      <c r="J15104">
        <v>205</v>
      </c>
      <c r="K15104">
        <v>39.68</v>
      </c>
      <c r="L15104">
        <v>66754</v>
      </c>
      <c r="M15104" t="s">
        <v>239</v>
      </c>
      <c r="N15104" t="str">
        <f>"30231248    "</f>
        <v xml:space="preserve">30231248    </v>
      </c>
      <c r="O15104">
        <v>230509</v>
      </c>
    </row>
    <row r="15105" spans="1:15" x14ac:dyDescent="0.25">
      <c r="A15105" t="s">
        <v>16</v>
      </c>
      <c r="B15105" t="s">
        <v>3221</v>
      </c>
      <c r="C15105">
        <v>7061</v>
      </c>
      <c r="D15105" t="s">
        <v>1506</v>
      </c>
      <c r="E15105" t="s">
        <v>1507</v>
      </c>
      <c r="F15105">
        <v>84</v>
      </c>
      <c r="G15105">
        <v>230519</v>
      </c>
      <c r="H15105">
        <v>4347</v>
      </c>
      <c r="I15105" t="s">
        <v>193</v>
      </c>
      <c r="J15105">
        <v>104.16</v>
      </c>
      <c r="K15105">
        <v>20.16</v>
      </c>
      <c r="L15105">
        <v>66754</v>
      </c>
      <c r="M15105" t="s">
        <v>239</v>
      </c>
      <c r="N15105" t="str">
        <f>"30231426    "</f>
        <v xml:space="preserve">30231426    </v>
      </c>
      <c r="O15105">
        <v>230525</v>
      </c>
    </row>
    <row r="15106" spans="1:15" x14ac:dyDescent="0.25">
      <c r="A15106" t="s">
        <v>16</v>
      </c>
      <c r="B15106" t="s">
        <v>3221</v>
      </c>
      <c r="C15106">
        <v>188</v>
      </c>
      <c r="D15106" t="s">
        <v>299</v>
      </c>
      <c r="E15106" t="s">
        <v>300</v>
      </c>
      <c r="F15106">
        <v>500</v>
      </c>
      <c r="G15106">
        <v>230111</v>
      </c>
      <c r="H15106">
        <v>4341</v>
      </c>
      <c r="I15106" t="s">
        <v>32</v>
      </c>
      <c r="J15106">
        <v>620</v>
      </c>
      <c r="K15106">
        <v>120</v>
      </c>
      <c r="L15106">
        <v>56559</v>
      </c>
      <c r="M15106" t="s">
        <v>129</v>
      </c>
      <c r="N15106" t="str">
        <f>"133042      "</f>
        <v xml:space="preserve">133042      </v>
      </c>
      <c r="O15106">
        <v>230116</v>
      </c>
    </row>
    <row r="15107" spans="1:15" x14ac:dyDescent="0.25">
      <c r="A15107" t="s">
        <v>16</v>
      </c>
      <c r="B15107" t="s">
        <v>3221</v>
      </c>
      <c r="C15107">
        <v>5217</v>
      </c>
      <c r="D15107" t="s">
        <v>299</v>
      </c>
      <c r="E15107" t="s">
        <v>300</v>
      </c>
      <c r="F15107">
        <v>74.760000000000005</v>
      </c>
      <c r="G15107">
        <v>230416</v>
      </c>
      <c r="H15107">
        <v>4580</v>
      </c>
      <c r="I15107" t="s">
        <v>35</v>
      </c>
      <c r="J15107">
        <v>92.7</v>
      </c>
      <c r="K15107">
        <v>17.940000000000001</v>
      </c>
      <c r="L15107">
        <v>17525</v>
      </c>
      <c r="M15107" t="s">
        <v>135</v>
      </c>
      <c r="N15107" t="str">
        <f>"135090      "</f>
        <v xml:space="preserve">135090      </v>
      </c>
      <c r="O15107">
        <v>230419</v>
      </c>
    </row>
    <row r="15108" spans="1:15" x14ac:dyDescent="0.25">
      <c r="A15108" t="s">
        <v>16</v>
      </c>
      <c r="B15108" t="s">
        <v>3221</v>
      </c>
      <c r="C15108">
        <v>180</v>
      </c>
      <c r="D15108" t="s">
        <v>280</v>
      </c>
      <c r="E15108" t="s">
        <v>281</v>
      </c>
      <c r="F15108">
        <v>48.82</v>
      </c>
      <c r="G15108">
        <v>230110</v>
      </c>
      <c r="H15108">
        <v>4520</v>
      </c>
      <c r="I15108" t="s">
        <v>254</v>
      </c>
      <c r="J15108">
        <v>55.65</v>
      </c>
      <c r="K15108">
        <v>6.83</v>
      </c>
      <c r="L15108">
        <v>69113</v>
      </c>
      <c r="M15108" t="s">
        <v>282</v>
      </c>
      <c r="N15108" t="str">
        <f>"83780       "</f>
        <v xml:space="preserve">83780       </v>
      </c>
      <c r="O15108">
        <v>230116</v>
      </c>
    </row>
    <row r="15109" spans="1:15" x14ac:dyDescent="0.25">
      <c r="A15109" t="s">
        <v>16</v>
      </c>
      <c r="B15109" t="s">
        <v>3221</v>
      </c>
      <c r="C15109">
        <v>180</v>
      </c>
      <c r="D15109" t="s">
        <v>280</v>
      </c>
      <c r="E15109" t="s">
        <v>281</v>
      </c>
      <c r="F15109">
        <v>5.75</v>
      </c>
      <c r="G15109">
        <v>230110</v>
      </c>
      <c r="H15109">
        <v>4520</v>
      </c>
      <c r="I15109" t="s">
        <v>254</v>
      </c>
      <c r="J15109">
        <v>6.55</v>
      </c>
      <c r="K15109">
        <v>0.8</v>
      </c>
      <c r="L15109">
        <v>69802</v>
      </c>
      <c r="M15109" t="s">
        <v>283</v>
      </c>
      <c r="N15109" t="str">
        <f>"83780       "</f>
        <v xml:space="preserve">83780       </v>
      </c>
      <c r="O15109">
        <v>230116</v>
      </c>
    </row>
    <row r="15110" spans="1:15" x14ac:dyDescent="0.25">
      <c r="A15110" t="s">
        <v>16</v>
      </c>
      <c r="B15110" t="s">
        <v>3221</v>
      </c>
      <c r="C15110">
        <v>180</v>
      </c>
      <c r="D15110" t="s">
        <v>280</v>
      </c>
      <c r="E15110" t="s">
        <v>281</v>
      </c>
      <c r="F15110">
        <v>2.87</v>
      </c>
      <c r="G15110">
        <v>230110</v>
      </c>
      <c r="H15110">
        <v>4520</v>
      </c>
      <c r="I15110" t="s">
        <v>254</v>
      </c>
      <c r="J15110">
        <v>3.27</v>
      </c>
      <c r="K15110">
        <v>0.4</v>
      </c>
      <c r="L15110">
        <v>69804</v>
      </c>
      <c r="M15110" t="s">
        <v>284</v>
      </c>
      <c r="N15110" t="str">
        <f>"83780       "</f>
        <v xml:space="preserve">83780       </v>
      </c>
      <c r="O15110">
        <v>230116</v>
      </c>
    </row>
    <row r="15111" spans="1:15" x14ac:dyDescent="0.25">
      <c r="A15111" t="s">
        <v>16</v>
      </c>
      <c r="B15111" t="s">
        <v>3221</v>
      </c>
      <c r="C15111">
        <v>593</v>
      </c>
      <c r="D15111" t="s">
        <v>280</v>
      </c>
      <c r="E15111" t="s">
        <v>281</v>
      </c>
      <c r="F15111">
        <v>60.67</v>
      </c>
      <c r="G15111">
        <v>230120</v>
      </c>
      <c r="H15111">
        <v>4520</v>
      </c>
      <c r="I15111" t="s">
        <v>254</v>
      </c>
      <c r="J15111">
        <v>69.16</v>
      </c>
      <c r="K15111">
        <v>8.49</v>
      </c>
      <c r="L15111">
        <v>69113</v>
      </c>
      <c r="M15111" t="s">
        <v>282</v>
      </c>
      <c r="N15111" t="str">
        <f>"84031       "</f>
        <v xml:space="preserve">84031       </v>
      </c>
      <c r="O15111">
        <v>230125</v>
      </c>
    </row>
    <row r="15112" spans="1:15" x14ac:dyDescent="0.25">
      <c r="A15112" t="s">
        <v>16</v>
      </c>
      <c r="B15112" t="s">
        <v>3221</v>
      </c>
      <c r="C15112">
        <v>593</v>
      </c>
      <c r="D15112" t="s">
        <v>280</v>
      </c>
      <c r="E15112" t="s">
        <v>281</v>
      </c>
      <c r="F15112">
        <v>7.14</v>
      </c>
      <c r="G15112">
        <v>230120</v>
      </c>
      <c r="H15112">
        <v>4520</v>
      </c>
      <c r="I15112" t="s">
        <v>254</v>
      </c>
      <c r="J15112">
        <v>8.14</v>
      </c>
      <c r="K15112">
        <v>1</v>
      </c>
      <c r="L15112">
        <v>69802</v>
      </c>
      <c r="M15112" t="s">
        <v>283</v>
      </c>
      <c r="N15112" t="str">
        <f>"84031       "</f>
        <v xml:space="preserve">84031       </v>
      </c>
      <c r="O15112">
        <v>230125</v>
      </c>
    </row>
    <row r="15113" spans="1:15" x14ac:dyDescent="0.25">
      <c r="A15113" t="s">
        <v>16</v>
      </c>
      <c r="B15113" t="s">
        <v>3221</v>
      </c>
      <c r="C15113">
        <v>593</v>
      </c>
      <c r="D15113" t="s">
        <v>280</v>
      </c>
      <c r="E15113" t="s">
        <v>281</v>
      </c>
      <c r="F15113">
        <v>3.57</v>
      </c>
      <c r="G15113">
        <v>230120</v>
      </c>
      <c r="H15113">
        <v>4520</v>
      </c>
      <c r="I15113" t="s">
        <v>254</v>
      </c>
      <c r="J15113">
        <v>4.07</v>
      </c>
      <c r="K15113">
        <v>0.5</v>
      </c>
      <c r="L15113">
        <v>69804</v>
      </c>
      <c r="M15113" t="s">
        <v>284</v>
      </c>
      <c r="N15113" t="str">
        <f>"84031       "</f>
        <v xml:space="preserve">84031       </v>
      </c>
      <c r="O15113">
        <v>230125</v>
      </c>
    </row>
    <row r="15114" spans="1:15" x14ac:dyDescent="0.25">
      <c r="A15114" t="s">
        <v>16</v>
      </c>
      <c r="B15114" t="s">
        <v>3221</v>
      </c>
      <c r="C15114">
        <v>1114</v>
      </c>
      <c r="D15114" t="s">
        <v>280</v>
      </c>
      <c r="E15114" t="s">
        <v>281</v>
      </c>
      <c r="F15114">
        <v>58.15</v>
      </c>
      <c r="G15114">
        <v>230131</v>
      </c>
      <c r="H15114">
        <v>4520</v>
      </c>
      <c r="I15114" t="s">
        <v>254</v>
      </c>
      <c r="J15114">
        <v>66.290000000000006</v>
      </c>
      <c r="K15114">
        <v>8.14</v>
      </c>
      <c r="L15114">
        <v>69113</v>
      </c>
      <c r="M15114" t="s">
        <v>282</v>
      </c>
      <c r="N15114" t="str">
        <f>"84204       "</f>
        <v xml:space="preserve">84204       </v>
      </c>
      <c r="O15114">
        <v>230203</v>
      </c>
    </row>
    <row r="15115" spans="1:15" x14ac:dyDescent="0.25">
      <c r="A15115" t="s">
        <v>16</v>
      </c>
      <c r="B15115" t="s">
        <v>3221</v>
      </c>
      <c r="C15115">
        <v>1114</v>
      </c>
      <c r="D15115" t="s">
        <v>280</v>
      </c>
      <c r="E15115" t="s">
        <v>281</v>
      </c>
      <c r="F15115">
        <v>6.84</v>
      </c>
      <c r="G15115">
        <v>230131</v>
      </c>
      <c r="H15115">
        <v>4520</v>
      </c>
      <c r="I15115" t="s">
        <v>254</v>
      </c>
      <c r="J15115">
        <v>7.8</v>
      </c>
      <c r="K15115">
        <v>0.96</v>
      </c>
      <c r="L15115">
        <v>69802</v>
      </c>
      <c r="M15115" t="s">
        <v>283</v>
      </c>
      <c r="N15115" t="str">
        <f>"84204       "</f>
        <v xml:space="preserve">84204       </v>
      </c>
      <c r="O15115">
        <v>230203</v>
      </c>
    </row>
    <row r="15116" spans="1:15" x14ac:dyDescent="0.25">
      <c r="A15116" t="s">
        <v>16</v>
      </c>
      <c r="B15116" t="s">
        <v>3221</v>
      </c>
      <c r="C15116">
        <v>1114</v>
      </c>
      <c r="D15116" t="s">
        <v>280</v>
      </c>
      <c r="E15116" t="s">
        <v>281</v>
      </c>
      <c r="F15116">
        <v>3.42</v>
      </c>
      <c r="G15116">
        <v>230131</v>
      </c>
      <c r="H15116">
        <v>4520</v>
      </c>
      <c r="I15116" t="s">
        <v>254</v>
      </c>
      <c r="J15116">
        <v>3.9</v>
      </c>
      <c r="K15116">
        <v>0.48</v>
      </c>
      <c r="L15116">
        <v>69804</v>
      </c>
      <c r="M15116" t="s">
        <v>284</v>
      </c>
      <c r="N15116" t="str">
        <f>"84204       "</f>
        <v xml:space="preserve">84204       </v>
      </c>
      <c r="O15116">
        <v>230203</v>
      </c>
    </row>
    <row r="15117" spans="1:15" x14ac:dyDescent="0.25">
      <c r="A15117" t="s">
        <v>16</v>
      </c>
      <c r="B15117" t="s">
        <v>3221</v>
      </c>
      <c r="C15117">
        <v>2426</v>
      </c>
      <c r="D15117" t="s">
        <v>280</v>
      </c>
      <c r="E15117" t="s">
        <v>281</v>
      </c>
      <c r="F15117">
        <v>84.08</v>
      </c>
      <c r="G15117">
        <v>230220</v>
      </c>
      <c r="H15117">
        <v>4520</v>
      </c>
      <c r="I15117" t="s">
        <v>254</v>
      </c>
      <c r="J15117">
        <v>95.85</v>
      </c>
      <c r="K15117">
        <v>11.77</v>
      </c>
      <c r="L15117">
        <v>69113</v>
      </c>
      <c r="M15117" t="s">
        <v>282</v>
      </c>
      <c r="N15117" t="str">
        <f>"84718       "</f>
        <v xml:space="preserve">84718       </v>
      </c>
      <c r="O15117">
        <v>230227</v>
      </c>
    </row>
    <row r="15118" spans="1:15" x14ac:dyDescent="0.25">
      <c r="A15118" t="s">
        <v>16</v>
      </c>
      <c r="B15118" t="s">
        <v>3221</v>
      </c>
      <c r="C15118">
        <v>2426</v>
      </c>
      <c r="D15118" t="s">
        <v>280</v>
      </c>
      <c r="E15118" t="s">
        <v>281</v>
      </c>
      <c r="F15118">
        <v>9.89</v>
      </c>
      <c r="G15118">
        <v>230220</v>
      </c>
      <c r="H15118">
        <v>4520</v>
      </c>
      <c r="I15118" t="s">
        <v>254</v>
      </c>
      <c r="J15118">
        <v>11.28</v>
      </c>
      <c r="K15118">
        <v>1.39</v>
      </c>
      <c r="L15118">
        <v>69802</v>
      </c>
      <c r="M15118" t="s">
        <v>283</v>
      </c>
      <c r="N15118" t="str">
        <f>"84718       "</f>
        <v xml:space="preserve">84718       </v>
      </c>
      <c r="O15118">
        <v>230227</v>
      </c>
    </row>
    <row r="15119" spans="1:15" x14ac:dyDescent="0.25">
      <c r="A15119" t="s">
        <v>16</v>
      </c>
      <c r="B15119" t="s">
        <v>3221</v>
      </c>
      <c r="C15119">
        <v>2426</v>
      </c>
      <c r="D15119" t="s">
        <v>280</v>
      </c>
      <c r="E15119" t="s">
        <v>281</v>
      </c>
      <c r="F15119">
        <v>4.9400000000000004</v>
      </c>
      <c r="G15119">
        <v>230220</v>
      </c>
      <c r="H15119">
        <v>4520</v>
      </c>
      <c r="I15119" t="s">
        <v>254</v>
      </c>
      <c r="J15119">
        <v>5.63</v>
      </c>
      <c r="K15119">
        <v>0.69</v>
      </c>
      <c r="L15119">
        <v>69804</v>
      </c>
      <c r="M15119" t="s">
        <v>284</v>
      </c>
      <c r="N15119" t="str">
        <f>"84718       "</f>
        <v xml:space="preserve">84718       </v>
      </c>
      <c r="O15119">
        <v>230227</v>
      </c>
    </row>
    <row r="15120" spans="1:15" x14ac:dyDescent="0.25">
      <c r="A15120" t="s">
        <v>16</v>
      </c>
      <c r="B15120" t="s">
        <v>3221</v>
      </c>
      <c r="C15120">
        <v>3350</v>
      </c>
      <c r="D15120" t="s">
        <v>280</v>
      </c>
      <c r="E15120" t="s">
        <v>281</v>
      </c>
      <c r="F15120">
        <v>60.16</v>
      </c>
      <c r="G15120">
        <v>230310</v>
      </c>
      <c r="H15120">
        <v>4520</v>
      </c>
      <c r="I15120" t="s">
        <v>254</v>
      </c>
      <c r="J15120">
        <v>68.58</v>
      </c>
      <c r="K15120">
        <v>8.42</v>
      </c>
      <c r="L15120">
        <v>69113</v>
      </c>
      <c r="M15120" t="s">
        <v>282</v>
      </c>
      <c r="N15120" t="str">
        <f>"85130       "</f>
        <v xml:space="preserve">85130       </v>
      </c>
      <c r="O15120">
        <v>230315</v>
      </c>
    </row>
    <row r="15121" spans="1:15" x14ac:dyDescent="0.25">
      <c r="A15121" t="s">
        <v>16</v>
      </c>
      <c r="B15121" t="s">
        <v>3221</v>
      </c>
      <c r="C15121">
        <v>3350</v>
      </c>
      <c r="D15121" t="s">
        <v>280</v>
      </c>
      <c r="E15121" t="s">
        <v>281</v>
      </c>
      <c r="F15121">
        <v>7.08</v>
      </c>
      <c r="G15121">
        <v>230310</v>
      </c>
      <c r="H15121">
        <v>4520</v>
      </c>
      <c r="I15121" t="s">
        <v>254</v>
      </c>
      <c r="J15121">
        <v>8.07</v>
      </c>
      <c r="K15121">
        <v>0.99</v>
      </c>
      <c r="L15121">
        <v>69802</v>
      </c>
      <c r="M15121" t="s">
        <v>283</v>
      </c>
      <c r="N15121" t="str">
        <f>"85130       "</f>
        <v xml:space="preserve">85130       </v>
      </c>
      <c r="O15121">
        <v>230315</v>
      </c>
    </row>
    <row r="15122" spans="1:15" x14ac:dyDescent="0.25">
      <c r="A15122" t="s">
        <v>16</v>
      </c>
      <c r="B15122" t="s">
        <v>3221</v>
      </c>
      <c r="C15122">
        <v>3350</v>
      </c>
      <c r="D15122" t="s">
        <v>280</v>
      </c>
      <c r="E15122" t="s">
        <v>281</v>
      </c>
      <c r="F15122">
        <v>3.54</v>
      </c>
      <c r="G15122">
        <v>230310</v>
      </c>
      <c r="H15122">
        <v>4520</v>
      </c>
      <c r="I15122" t="s">
        <v>254</v>
      </c>
      <c r="J15122">
        <v>4.03</v>
      </c>
      <c r="K15122">
        <v>0.49</v>
      </c>
      <c r="L15122">
        <v>69804</v>
      </c>
      <c r="M15122" t="s">
        <v>284</v>
      </c>
      <c r="N15122" t="str">
        <f>"85130       "</f>
        <v xml:space="preserve">85130       </v>
      </c>
      <c r="O15122">
        <v>230315</v>
      </c>
    </row>
    <row r="15123" spans="1:15" x14ac:dyDescent="0.25">
      <c r="A15123" t="s">
        <v>16</v>
      </c>
      <c r="B15123" t="s">
        <v>3221</v>
      </c>
      <c r="C15123">
        <v>3795</v>
      </c>
      <c r="D15123" t="s">
        <v>280</v>
      </c>
      <c r="E15123" t="s">
        <v>281</v>
      </c>
      <c r="F15123">
        <v>59.22</v>
      </c>
      <c r="G15123">
        <v>230320</v>
      </c>
      <c r="H15123">
        <v>4520</v>
      </c>
      <c r="I15123" t="s">
        <v>254</v>
      </c>
      <c r="J15123">
        <v>67.510000000000005</v>
      </c>
      <c r="K15123">
        <v>8.2899999999999991</v>
      </c>
      <c r="L15123">
        <v>69113</v>
      </c>
      <c r="M15123" t="s">
        <v>282</v>
      </c>
      <c r="N15123" t="str">
        <f>"85324       "</f>
        <v xml:space="preserve">85324       </v>
      </c>
      <c r="O15123">
        <v>230322</v>
      </c>
    </row>
    <row r="15124" spans="1:15" x14ac:dyDescent="0.25">
      <c r="A15124" t="s">
        <v>16</v>
      </c>
      <c r="B15124" t="s">
        <v>3221</v>
      </c>
      <c r="C15124">
        <v>3795</v>
      </c>
      <c r="D15124" t="s">
        <v>280</v>
      </c>
      <c r="E15124" t="s">
        <v>281</v>
      </c>
      <c r="F15124">
        <v>6.96</v>
      </c>
      <c r="G15124">
        <v>230320</v>
      </c>
      <c r="H15124">
        <v>4520</v>
      </c>
      <c r="I15124" t="s">
        <v>254</v>
      </c>
      <c r="J15124">
        <v>7.94</v>
      </c>
      <c r="K15124">
        <v>0.98</v>
      </c>
      <c r="L15124">
        <v>69802</v>
      </c>
      <c r="M15124" t="s">
        <v>283</v>
      </c>
      <c r="N15124" t="str">
        <f>"85324       "</f>
        <v xml:space="preserve">85324       </v>
      </c>
      <c r="O15124">
        <v>230322</v>
      </c>
    </row>
    <row r="15125" spans="1:15" x14ac:dyDescent="0.25">
      <c r="A15125" t="s">
        <v>16</v>
      </c>
      <c r="B15125" t="s">
        <v>3221</v>
      </c>
      <c r="C15125">
        <v>3795</v>
      </c>
      <c r="D15125" t="s">
        <v>280</v>
      </c>
      <c r="E15125" t="s">
        <v>281</v>
      </c>
      <c r="F15125">
        <v>3.48</v>
      </c>
      <c r="G15125">
        <v>230320</v>
      </c>
      <c r="H15125">
        <v>4520</v>
      </c>
      <c r="I15125" t="s">
        <v>254</v>
      </c>
      <c r="J15125">
        <v>3.97</v>
      </c>
      <c r="K15125">
        <v>0.49</v>
      </c>
      <c r="L15125">
        <v>69804</v>
      </c>
      <c r="M15125" t="s">
        <v>284</v>
      </c>
      <c r="N15125" t="str">
        <f>"85324       "</f>
        <v xml:space="preserve">85324       </v>
      </c>
      <c r="O15125">
        <v>230322</v>
      </c>
    </row>
    <row r="15126" spans="1:15" x14ac:dyDescent="0.25">
      <c r="A15126" t="s">
        <v>16</v>
      </c>
      <c r="B15126" t="s">
        <v>3221</v>
      </c>
      <c r="C15126">
        <v>4816</v>
      </c>
      <c r="D15126" t="s">
        <v>280</v>
      </c>
      <c r="E15126" t="s">
        <v>281</v>
      </c>
      <c r="F15126">
        <v>89.55</v>
      </c>
      <c r="G15126">
        <v>230410</v>
      </c>
      <c r="H15126">
        <v>4520</v>
      </c>
      <c r="I15126" t="s">
        <v>254</v>
      </c>
      <c r="J15126">
        <v>102.09</v>
      </c>
      <c r="K15126">
        <v>12.54</v>
      </c>
      <c r="L15126">
        <v>69113</v>
      </c>
      <c r="M15126" t="s">
        <v>282</v>
      </c>
      <c r="N15126" t="str">
        <f>"85705       "</f>
        <v xml:space="preserve">85705       </v>
      </c>
      <c r="O15126">
        <v>230412</v>
      </c>
    </row>
    <row r="15127" spans="1:15" x14ac:dyDescent="0.25">
      <c r="A15127" t="s">
        <v>16</v>
      </c>
      <c r="B15127" t="s">
        <v>3221</v>
      </c>
      <c r="C15127">
        <v>4816</v>
      </c>
      <c r="D15127" t="s">
        <v>280</v>
      </c>
      <c r="E15127" t="s">
        <v>281</v>
      </c>
      <c r="F15127">
        <v>10.54</v>
      </c>
      <c r="G15127">
        <v>230410</v>
      </c>
      <c r="H15127">
        <v>4520</v>
      </c>
      <c r="I15127" t="s">
        <v>254</v>
      </c>
      <c r="J15127">
        <v>12.01</v>
      </c>
      <c r="K15127">
        <v>1.47</v>
      </c>
      <c r="L15127">
        <v>69802</v>
      </c>
      <c r="M15127" t="s">
        <v>283</v>
      </c>
      <c r="N15127" t="str">
        <f>"85705       "</f>
        <v xml:space="preserve">85705       </v>
      </c>
      <c r="O15127">
        <v>230412</v>
      </c>
    </row>
    <row r="15128" spans="1:15" x14ac:dyDescent="0.25">
      <c r="A15128" t="s">
        <v>16</v>
      </c>
      <c r="B15128" t="s">
        <v>3221</v>
      </c>
      <c r="C15128">
        <v>4816</v>
      </c>
      <c r="D15128" t="s">
        <v>280</v>
      </c>
      <c r="E15128" t="s">
        <v>281</v>
      </c>
      <c r="F15128">
        <v>5.26</v>
      </c>
      <c r="G15128">
        <v>230410</v>
      </c>
      <c r="H15128">
        <v>4520</v>
      </c>
      <c r="I15128" t="s">
        <v>254</v>
      </c>
      <c r="J15128">
        <v>6</v>
      </c>
      <c r="K15128">
        <v>0.74</v>
      </c>
      <c r="L15128">
        <v>69804</v>
      </c>
      <c r="M15128" t="s">
        <v>284</v>
      </c>
      <c r="N15128" t="str">
        <f>"85705       "</f>
        <v xml:space="preserve">85705       </v>
      </c>
      <c r="O15128">
        <v>230412</v>
      </c>
    </row>
    <row r="15129" spans="1:15" x14ac:dyDescent="0.25">
      <c r="A15129" t="s">
        <v>16</v>
      </c>
      <c r="B15129" t="s">
        <v>3221</v>
      </c>
      <c r="C15129">
        <v>5599</v>
      </c>
      <c r="D15129" t="s">
        <v>280</v>
      </c>
      <c r="E15129" t="s">
        <v>281</v>
      </c>
      <c r="F15129">
        <v>69.19</v>
      </c>
      <c r="G15129">
        <v>230420</v>
      </c>
      <c r="H15129">
        <v>4520</v>
      </c>
      <c r="I15129" t="s">
        <v>254</v>
      </c>
      <c r="J15129">
        <v>78.88</v>
      </c>
      <c r="K15129">
        <v>9.69</v>
      </c>
      <c r="L15129">
        <v>69113</v>
      </c>
      <c r="M15129" t="s">
        <v>282</v>
      </c>
      <c r="N15129" t="str">
        <f>"85971       "</f>
        <v xml:space="preserve">85971       </v>
      </c>
      <c r="O15129">
        <v>230428</v>
      </c>
    </row>
    <row r="15130" spans="1:15" x14ac:dyDescent="0.25">
      <c r="A15130" t="s">
        <v>16</v>
      </c>
      <c r="B15130" t="s">
        <v>3221</v>
      </c>
      <c r="C15130">
        <v>5599</v>
      </c>
      <c r="D15130" t="s">
        <v>280</v>
      </c>
      <c r="E15130" t="s">
        <v>281</v>
      </c>
      <c r="F15130">
        <v>8.14</v>
      </c>
      <c r="G15130">
        <v>230420</v>
      </c>
      <c r="H15130">
        <v>4520</v>
      </c>
      <c r="I15130" t="s">
        <v>254</v>
      </c>
      <c r="J15130">
        <v>9.2799999999999994</v>
      </c>
      <c r="K15130">
        <v>1.1399999999999999</v>
      </c>
      <c r="L15130">
        <v>69802</v>
      </c>
      <c r="M15130" t="s">
        <v>283</v>
      </c>
      <c r="N15130" t="str">
        <f>"85971       "</f>
        <v xml:space="preserve">85971       </v>
      </c>
      <c r="O15130">
        <v>230428</v>
      </c>
    </row>
    <row r="15131" spans="1:15" x14ac:dyDescent="0.25">
      <c r="A15131" t="s">
        <v>16</v>
      </c>
      <c r="B15131" t="s">
        <v>3221</v>
      </c>
      <c r="C15131">
        <v>5599</v>
      </c>
      <c r="D15131" t="s">
        <v>280</v>
      </c>
      <c r="E15131" t="s">
        <v>281</v>
      </c>
      <c r="F15131">
        <v>4.07</v>
      </c>
      <c r="G15131">
        <v>230420</v>
      </c>
      <c r="H15131">
        <v>4520</v>
      </c>
      <c r="I15131" t="s">
        <v>254</v>
      </c>
      <c r="J15131">
        <v>4.6399999999999997</v>
      </c>
      <c r="K15131">
        <v>0.56999999999999995</v>
      </c>
      <c r="L15131">
        <v>69804</v>
      </c>
      <c r="M15131" t="s">
        <v>284</v>
      </c>
      <c r="N15131" t="str">
        <f>"85971       "</f>
        <v xml:space="preserve">85971       </v>
      </c>
      <c r="O15131">
        <v>230428</v>
      </c>
    </row>
    <row r="15132" spans="1:15" x14ac:dyDescent="0.25">
      <c r="A15132" t="s">
        <v>16</v>
      </c>
      <c r="B15132" t="s">
        <v>3221</v>
      </c>
      <c r="C15132">
        <v>6221</v>
      </c>
      <c r="D15132" t="s">
        <v>280</v>
      </c>
      <c r="E15132" t="s">
        <v>281</v>
      </c>
      <c r="F15132">
        <v>63.25</v>
      </c>
      <c r="G15132">
        <v>230430</v>
      </c>
      <c r="H15132">
        <v>4520</v>
      </c>
      <c r="I15132" t="s">
        <v>254</v>
      </c>
      <c r="J15132">
        <v>72.11</v>
      </c>
      <c r="K15132">
        <v>8.86</v>
      </c>
      <c r="L15132">
        <v>69113</v>
      </c>
      <c r="M15132" t="s">
        <v>282</v>
      </c>
      <c r="N15132" t="str">
        <f>"86182       "</f>
        <v xml:space="preserve">86182       </v>
      </c>
      <c r="O15132">
        <v>230509</v>
      </c>
    </row>
    <row r="15133" spans="1:15" x14ac:dyDescent="0.25">
      <c r="A15133" t="s">
        <v>16</v>
      </c>
      <c r="B15133" t="s">
        <v>3221</v>
      </c>
      <c r="C15133">
        <v>6221</v>
      </c>
      <c r="D15133" t="s">
        <v>280</v>
      </c>
      <c r="E15133" t="s">
        <v>281</v>
      </c>
      <c r="F15133">
        <v>7.44</v>
      </c>
      <c r="G15133">
        <v>230430</v>
      </c>
      <c r="H15133">
        <v>4520</v>
      </c>
      <c r="I15133" t="s">
        <v>254</v>
      </c>
      <c r="J15133">
        <v>8.48</v>
      </c>
      <c r="K15133">
        <v>1.04</v>
      </c>
      <c r="L15133">
        <v>69802</v>
      </c>
      <c r="M15133" t="s">
        <v>283</v>
      </c>
      <c r="N15133" t="str">
        <f>"86182       "</f>
        <v xml:space="preserve">86182       </v>
      </c>
      <c r="O15133">
        <v>230509</v>
      </c>
    </row>
    <row r="15134" spans="1:15" x14ac:dyDescent="0.25">
      <c r="A15134" t="s">
        <v>16</v>
      </c>
      <c r="B15134" t="s">
        <v>3221</v>
      </c>
      <c r="C15134">
        <v>6221</v>
      </c>
      <c r="D15134" t="s">
        <v>280</v>
      </c>
      <c r="E15134" t="s">
        <v>281</v>
      </c>
      <c r="F15134">
        <v>3.73</v>
      </c>
      <c r="G15134">
        <v>230430</v>
      </c>
      <c r="H15134">
        <v>4520</v>
      </c>
      <c r="I15134" t="s">
        <v>254</v>
      </c>
      <c r="J15134">
        <v>4.25</v>
      </c>
      <c r="K15134">
        <v>0.52</v>
      </c>
      <c r="L15134">
        <v>69804</v>
      </c>
      <c r="M15134" t="s">
        <v>284</v>
      </c>
      <c r="N15134" t="str">
        <f>"86182       "</f>
        <v xml:space="preserve">86182       </v>
      </c>
      <c r="O15134">
        <v>230509</v>
      </c>
    </row>
    <row r="15135" spans="1:15" x14ac:dyDescent="0.25">
      <c r="A15135" t="s">
        <v>16</v>
      </c>
      <c r="B15135" t="s">
        <v>3221</v>
      </c>
      <c r="C15135">
        <v>6639</v>
      </c>
      <c r="D15135" t="s">
        <v>280</v>
      </c>
      <c r="E15135" t="s">
        <v>281</v>
      </c>
      <c r="F15135">
        <v>94.95</v>
      </c>
      <c r="G15135">
        <v>230510</v>
      </c>
      <c r="H15135">
        <v>4520</v>
      </c>
      <c r="I15135" t="s">
        <v>254</v>
      </c>
      <c r="J15135">
        <v>108.24</v>
      </c>
      <c r="K15135">
        <v>13.29</v>
      </c>
      <c r="L15135">
        <v>69113</v>
      </c>
      <c r="M15135" t="s">
        <v>282</v>
      </c>
      <c r="N15135" t="str">
        <f>"86361       "</f>
        <v xml:space="preserve">86361       </v>
      </c>
      <c r="O15135">
        <v>230516</v>
      </c>
    </row>
    <row r="15136" spans="1:15" x14ac:dyDescent="0.25">
      <c r="A15136" t="s">
        <v>16</v>
      </c>
      <c r="B15136" t="s">
        <v>3221</v>
      </c>
      <c r="C15136">
        <v>6639</v>
      </c>
      <c r="D15136" t="s">
        <v>280</v>
      </c>
      <c r="E15136" t="s">
        <v>281</v>
      </c>
      <c r="F15136">
        <v>11.17</v>
      </c>
      <c r="G15136">
        <v>230510</v>
      </c>
      <c r="H15136">
        <v>4520</v>
      </c>
      <c r="I15136" t="s">
        <v>254</v>
      </c>
      <c r="J15136">
        <v>12.73</v>
      </c>
      <c r="K15136">
        <v>1.56</v>
      </c>
      <c r="L15136">
        <v>69802</v>
      </c>
      <c r="M15136" t="s">
        <v>283</v>
      </c>
      <c r="N15136" t="str">
        <f>"86361       "</f>
        <v xml:space="preserve">86361       </v>
      </c>
      <c r="O15136">
        <v>230516</v>
      </c>
    </row>
    <row r="15137" spans="1:15" x14ac:dyDescent="0.25">
      <c r="A15137" t="s">
        <v>16</v>
      </c>
      <c r="B15137" t="s">
        <v>3221</v>
      </c>
      <c r="C15137">
        <v>6639</v>
      </c>
      <c r="D15137" t="s">
        <v>280</v>
      </c>
      <c r="E15137" t="s">
        <v>281</v>
      </c>
      <c r="F15137">
        <v>5.59</v>
      </c>
      <c r="G15137">
        <v>230510</v>
      </c>
      <c r="H15137">
        <v>4520</v>
      </c>
      <c r="I15137" t="s">
        <v>254</v>
      </c>
      <c r="J15137">
        <v>6.37</v>
      </c>
      <c r="K15137">
        <v>0.78</v>
      </c>
      <c r="L15137">
        <v>69804</v>
      </c>
      <c r="M15137" t="s">
        <v>284</v>
      </c>
      <c r="N15137" t="str">
        <f>"86361       "</f>
        <v xml:space="preserve">86361       </v>
      </c>
      <c r="O15137">
        <v>230516</v>
      </c>
    </row>
    <row r="15138" spans="1:15" x14ac:dyDescent="0.25">
      <c r="A15138" t="s">
        <v>16</v>
      </c>
      <c r="B15138" t="s">
        <v>3221</v>
      </c>
      <c r="C15138">
        <v>7870</v>
      </c>
      <c r="D15138" t="s">
        <v>280</v>
      </c>
      <c r="E15138" t="s">
        <v>281</v>
      </c>
      <c r="F15138">
        <v>85.75</v>
      </c>
      <c r="G15138">
        <v>230531</v>
      </c>
      <c r="H15138">
        <v>4520</v>
      </c>
      <c r="I15138" t="s">
        <v>254</v>
      </c>
      <c r="J15138">
        <v>97.76</v>
      </c>
      <c r="K15138">
        <v>12.01</v>
      </c>
      <c r="L15138">
        <v>69113</v>
      </c>
      <c r="M15138" t="s">
        <v>282</v>
      </c>
      <c r="N15138" t="str">
        <f>"86801       "</f>
        <v xml:space="preserve">86801       </v>
      </c>
      <c r="O15138">
        <v>230605</v>
      </c>
    </row>
    <row r="15139" spans="1:15" x14ac:dyDescent="0.25">
      <c r="A15139" t="s">
        <v>16</v>
      </c>
      <c r="B15139" t="s">
        <v>3221</v>
      </c>
      <c r="C15139">
        <v>7870</v>
      </c>
      <c r="D15139" t="s">
        <v>280</v>
      </c>
      <c r="E15139" t="s">
        <v>281</v>
      </c>
      <c r="F15139">
        <v>10.09</v>
      </c>
      <c r="G15139">
        <v>230531</v>
      </c>
      <c r="H15139">
        <v>4520</v>
      </c>
      <c r="I15139" t="s">
        <v>254</v>
      </c>
      <c r="J15139">
        <v>11.5</v>
      </c>
      <c r="K15139">
        <v>1.41</v>
      </c>
      <c r="L15139">
        <v>69802</v>
      </c>
      <c r="M15139" t="s">
        <v>283</v>
      </c>
      <c r="N15139" t="str">
        <f>"86801       "</f>
        <v xml:space="preserve">86801       </v>
      </c>
      <c r="O15139">
        <v>230605</v>
      </c>
    </row>
    <row r="15140" spans="1:15" x14ac:dyDescent="0.25">
      <c r="A15140" t="s">
        <v>16</v>
      </c>
      <c r="B15140" t="s">
        <v>3221</v>
      </c>
      <c r="C15140">
        <v>7870</v>
      </c>
      <c r="D15140" t="s">
        <v>280</v>
      </c>
      <c r="E15140" t="s">
        <v>281</v>
      </c>
      <c r="F15140">
        <v>5.04</v>
      </c>
      <c r="G15140">
        <v>230531</v>
      </c>
      <c r="H15140">
        <v>4520</v>
      </c>
      <c r="I15140" t="s">
        <v>254</v>
      </c>
      <c r="J15140">
        <v>5.75</v>
      </c>
      <c r="K15140">
        <v>0.71</v>
      </c>
      <c r="L15140">
        <v>69804</v>
      </c>
      <c r="M15140" t="s">
        <v>284</v>
      </c>
      <c r="N15140" t="str">
        <f>"86801       "</f>
        <v xml:space="preserve">86801       </v>
      </c>
      <c r="O15140">
        <v>230605</v>
      </c>
    </row>
    <row r="15141" spans="1:15" x14ac:dyDescent="0.25">
      <c r="A15141" t="s">
        <v>16</v>
      </c>
      <c r="B15141" t="s">
        <v>3221</v>
      </c>
      <c r="C15141">
        <v>9123</v>
      </c>
      <c r="D15141" t="s">
        <v>280</v>
      </c>
      <c r="E15141" t="s">
        <v>281</v>
      </c>
      <c r="F15141">
        <v>37.700000000000003</v>
      </c>
      <c r="G15141">
        <v>230620</v>
      </c>
      <c r="H15141">
        <v>4520</v>
      </c>
      <c r="I15141" t="s">
        <v>254</v>
      </c>
      <c r="J15141">
        <v>42.98</v>
      </c>
      <c r="K15141">
        <v>5.28</v>
      </c>
      <c r="L15141">
        <v>69113</v>
      </c>
      <c r="M15141" t="s">
        <v>282</v>
      </c>
      <c r="N15141" t="str">
        <f>"87250       "</f>
        <v xml:space="preserve">87250       </v>
      </c>
      <c r="O15141">
        <v>230628</v>
      </c>
    </row>
    <row r="15142" spans="1:15" x14ac:dyDescent="0.25">
      <c r="A15142" t="s">
        <v>16</v>
      </c>
      <c r="B15142" t="s">
        <v>3221</v>
      </c>
      <c r="C15142">
        <v>9123</v>
      </c>
      <c r="D15142" t="s">
        <v>280</v>
      </c>
      <c r="E15142" t="s">
        <v>281</v>
      </c>
      <c r="F15142">
        <v>4.43</v>
      </c>
      <c r="G15142">
        <v>230620</v>
      </c>
      <c r="H15142">
        <v>4520</v>
      </c>
      <c r="I15142" t="s">
        <v>254</v>
      </c>
      <c r="J15142">
        <v>5.05</v>
      </c>
      <c r="K15142">
        <v>0.62</v>
      </c>
      <c r="L15142">
        <v>69802</v>
      </c>
      <c r="M15142" t="s">
        <v>283</v>
      </c>
      <c r="N15142" t="str">
        <f>"87250       "</f>
        <v xml:space="preserve">87250       </v>
      </c>
      <c r="O15142">
        <v>230628</v>
      </c>
    </row>
    <row r="15143" spans="1:15" x14ac:dyDescent="0.25">
      <c r="A15143" t="s">
        <v>16</v>
      </c>
      <c r="B15143" t="s">
        <v>3221</v>
      </c>
      <c r="C15143">
        <v>9123</v>
      </c>
      <c r="D15143" t="s">
        <v>280</v>
      </c>
      <c r="E15143" t="s">
        <v>281</v>
      </c>
      <c r="F15143">
        <v>2.2200000000000002</v>
      </c>
      <c r="G15143">
        <v>230620</v>
      </c>
      <c r="H15143">
        <v>4520</v>
      </c>
      <c r="I15143" t="s">
        <v>254</v>
      </c>
      <c r="J15143">
        <v>2.5299999999999998</v>
      </c>
      <c r="K15143">
        <v>0.31</v>
      </c>
      <c r="L15143">
        <v>69804</v>
      </c>
      <c r="M15143" t="s">
        <v>284</v>
      </c>
      <c r="N15143" t="str">
        <f>"87250       "</f>
        <v xml:space="preserve">87250       </v>
      </c>
      <c r="O15143">
        <v>230628</v>
      </c>
    </row>
    <row r="15144" spans="1:15" x14ac:dyDescent="0.25">
      <c r="A15144" t="s">
        <v>16</v>
      </c>
      <c r="B15144" t="s">
        <v>3221</v>
      </c>
      <c r="C15144">
        <v>10440</v>
      </c>
      <c r="D15144" t="s">
        <v>280</v>
      </c>
      <c r="E15144" t="s">
        <v>281</v>
      </c>
      <c r="F15144">
        <v>119.3</v>
      </c>
      <c r="G15144">
        <v>230810</v>
      </c>
      <c r="H15144">
        <v>4520</v>
      </c>
      <c r="I15144" t="s">
        <v>254</v>
      </c>
      <c r="J15144">
        <v>136</v>
      </c>
      <c r="K15144">
        <v>16.7</v>
      </c>
      <c r="L15144">
        <v>69113</v>
      </c>
      <c r="M15144" t="s">
        <v>282</v>
      </c>
      <c r="N15144" t="str">
        <f>"88128       "</f>
        <v xml:space="preserve">88128       </v>
      </c>
      <c r="O15144">
        <v>230816</v>
      </c>
    </row>
    <row r="15145" spans="1:15" x14ac:dyDescent="0.25">
      <c r="A15145" t="s">
        <v>16</v>
      </c>
      <c r="B15145" t="s">
        <v>3221</v>
      </c>
      <c r="C15145">
        <v>10440</v>
      </c>
      <c r="D15145" t="s">
        <v>280</v>
      </c>
      <c r="E15145" t="s">
        <v>281</v>
      </c>
      <c r="F15145">
        <v>14.04</v>
      </c>
      <c r="G15145">
        <v>230810</v>
      </c>
      <c r="H15145">
        <v>4520</v>
      </c>
      <c r="I15145" t="s">
        <v>254</v>
      </c>
      <c r="J15145">
        <v>16</v>
      </c>
      <c r="K15145">
        <v>1.96</v>
      </c>
      <c r="L15145">
        <v>69802</v>
      </c>
      <c r="M15145" t="s">
        <v>283</v>
      </c>
      <c r="N15145" t="str">
        <f>"88128       "</f>
        <v xml:space="preserve">88128       </v>
      </c>
      <c r="O15145">
        <v>230816</v>
      </c>
    </row>
    <row r="15146" spans="1:15" x14ac:dyDescent="0.25">
      <c r="A15146" t="s">
        <v>16</v>
      </c>
      <c r="B15146" t="s">
        <v>3221</v>
      </c>
      <c r="C15146">
        <v>10440</v>
      </c>
      <c r="D15146" t="s">
        <v>280</v>
      </c>
      <c r="E15146" t="s">
        <v>281</v>
      </c>
      <c r="F15146">
        <v>7.11</v>
      </c>
      <c r="G15146">
        <v>230810</v>
      </c>
      <c r="H15146">
        <v>4520</v>
      </c>
      <c r="I15146" t="s">
        <v>254</v>
      </c>
      <c r="J15146">
        <v>8.1</v>
      </c>
      <c r="K15146">
        <v>0.99</v>
      </c>
      <c r="L15146">
        <v>69804</v>
      </c>
      <c r="M15146" t="s">
        <v>284</v>
      </c>
      <c r="N15146" t="str">
        <f>"88128       "</f>
        <v xml:space="preserve">88128       </v>
      </c>
      <c r="O15146">
        <v>230816</v>
      </c>
    </row>
    <row r="15147" spans="1:15" x14ac:dyDescent="0.25">
      <c r="A15147" t="s">
        <v>16</v>
      </c>
      <c r="B15147" t="s">
        <v>3221</v>
      </c>
      <c r="C15147">
        <v>10441</v>
      </c>
      <c r="D15147" t="s">
        <v>280</v>
      </c>
      <c r="E15147" t="s">
        <v>281</v>
      </c>
      <c r="F15147">
        <v>-15.61</v>
      </c>
      <c r="G15147">
        <v>230810</v>
      </c>
      <c r="H15147">
        <v>4520</v>
      </c>
      <c r="I15147" t="s">
        <v>254</v>
      </c>
      <c r="J15147">
        <v>-17.8</v>
      </c>
      <c r="K15147">
        <v>-2.19</v>
      </c>
      <c r="L15147">
        <v>69113</v>
      </c>
      <c r="M15147" t="s">
        <v>282</v>
      </c>
      <c r="N15147" t="str">
        <f>"88162       "</f>
        <v xml:space="preserve">88162       </v>
      </c>
      <c r="O15147">
        <v>230816</v>
      </c>
    </row>
    <row r="15148" spans="1:15" x14ac:dyDescent="0.25">
      <c r="A15148" t="s">
        <v>16</v>
      </c>
      <c r="B15148" t="s">
        <v>3221</v>
      </c>
      <c r="C15148">
        <v>11838</v>
      </c>
      <c r="D15148" t="s">
        <v>280</v>
      </c>
      <c r="E15148" t="s">
        <v>281</v>
      </c>
      <c r="F15148">
        <v>62.9</v>
      </c>
      <c r="G15148">
        <v>230831</v>
      </c>
      <c r="H15148">
        <v>4520</v>
      </c>
      <c r="I15148" t="s">
        <v>254</v>
      </c>
      <c r="J15148">
        <v>71.709999999999994</v>
      </c>
      <c r="K15148">
        <v>8.81</v>
      </c>
      <c r="L15148">
        <v>69113</v>
      </c>
      <c r="M15148" t="s">
        <v>282</v>
      </c>
      <c r="N15148" t="str">
        <f>"88642       "</f>
        <v xml:space="preserve">88642       </v>
      </c>
      <c r="O15148">
        <v>230911</v>
      </c>
    </row>
    <row r="15149" spans="1:15" x14ac:dyDescent="0.25">
      <c r="A15149" t="s">
        <v>16</v>
      </c>
      <c r="B15149" t="s">
        <v>3221</v>
      </c>
      <c r="C15149">
        <v>11838</v>
      </c>
      <c r="D15149" t="s">
        <v>280</v>
      </c>
      <c r="E15149" t="s">
        <v>281</v>
      </c>
      <c r="F15149">
        <v>7.4</v>
      </c>
      <c r="G15149">
        <v>230831</v>
      </c>
      <c r="H15149">
        <v>4520</v>
      </c>
      <c r="I15149" t="s">
        <v>254</v>
      </c>
      <c r="J15149">
        <v>8.44</v>
      </c>
      <c r="K15149">
        <v>1.04</v>
      </c>
      <c r="L15149">
        <v>69802</v>
      </c>
      <c r="M15149" t="s">
        <v>283</v>
      </c>
      <c r="N15149" t="str">
        <f>"88642       "</f>
        <v xml:space="preserve">88642       </v>
      </c>
      <c r="O15149">
        <v>230911</v>
      </c>
    </row>
    <row r="15150" spans="1:15" x14ac:dyDescent="0.25">
      <c r="A15150" t="s">
        <v>16</v>
      </c>
      <c r="B15150" t="s">
        <v>3221</v>
      </c>
      <c r="C15150">
        <v>11838</v>
      </c>
      <c r="D15150" t="s">
        <v>280</v>
      </c>
      <c r="E15150" t="s">
        <v>281</v>
      </c>
      <c r="F15150">
        <v>3.69</v>
      </c>
      <c r="G15150">
        <v>230831</v>
      </c>
      <c r="H15150">
        <v>4520</v>
      </c>
      <c r="I15150" t="s">
        <v>254</v>
      </c>
      <c r="J15150">
        <v>4.21</v>
      </c>
      <c r="K15150">
        <v>0.52</v>
      </c>
      <c r="L15150">
        <v>69804</v>
      </c>
      <c r="M15150" t="s">
        <v>284</v>
      </c>
      <c r="N15150" t="str">
        <f>"88642       "</f>
        <v xml:space="preserve">88642       </v>
      </c>
      <c r="O15150">
        <v>230911</v>
      </c>
    </row>
    <row r="15151" spans="1:15" x14ac:dyDescent="0.25">
      <c r="A15151" t="s">
        <v>16</v>
      </c>
      <c r="B15151" t="s">
        <v>3221</v>
      </c>
      <c r="C15151">
        <v>12164</v>
      </c>
      <c r="D15151" t="s">
        <v>280</v>
      </c>
      <c r="E15151" t="s">
        <v>281</v>
      </c>
      <c r="F15151">
        <v>54.87</v>
      </c>
      <c r="G15151">
        <v>230910</v>
      </c>
      <c r="H15151">
        <v>4520</v>
      </c>
      <c r="I15151" t="s">
        <v>254</v>
      </c>
      <c r="J15151">
        <v>62.55</v>
      </c>
      <c r="K15151">
        <v>7.68</v>
      </c>
      <c r="L15151">
        <v>69113</v>
      </c>
      <c r="M15151" t="s">
        <v>282</v>
      </c>
      <c r="N15151" t="str">
        <f>"88828       "</f>
        <v xml:space="preserve">88828       </v>
      </c>
      <c r="O15151">
        <v>230914</v>
      </c>
    </row>
    <row r="15152" spans="1:15" x14ac:dyDescent="0.25">
      <c r="A15152" t="s">
        <v>16</v>
      </c>
      <c r="B15152" t="s">
        <v>3221</v>
      </c>
      <c r="C15152">
        <v>12164</v>
      </c>
      <c r="D15152" t="s">
        <v>280</v>
      </c>
      <c r="E15152" t="s">
        <v>281</v>
      </c>
      <c r="F15152">
        <v>6.46</v>
      </c>
      <c r="G15152">
        <v>230910</v>
      </c>
      <c r="H15152">
        <v>4520</v>
      </c>
      <c r="I15152" t="s">
        <v>254</v>
      </c>
      <c r="J15152">
        <v>7.36</v>
      </c>
      <c r="K15152">
        <v>0.9</v>
      </c>
      <c r="L15152">
        <v>69802</v>
      </c>
      <c r="M15152" t="s">
        <v>283</v>
      </c>
      <c r="N15152" t="str">
        <f>"88828       "</f>
        <v xml:space="preserve">88828       </v>
      </c>
      <c r="O15152">
        <v>230914</v>
      </c>
    </row>
    <row r="15153" spans="1:15" x14ac:dyDescent="0.25">
      <c r="A15153" t="s">
        <v>16</v>
      </c>
      <c r="B15153" t="s">
        <v>3221</v>
      </c>
      <c r="C15153">
        <v>12164</v>
      </c>
      <c r="D15153" t="s">
        <v>280</v>
      </c>
      <c r="E15153" t="s">
        <v>281</v>
      </c>
      <c r="F15153">
        <v>3.23</v>
      </c>
      <c r="G15153">
        <v>230910</v>
      </c>
      <c r="H15153">
        <v>4520</v>
      </c>
      <c r="I15153" t="s">
        <v>254</v>
      </c>
      <c r="J15153">
        <v>3.68</v>
      </c>
      <c r="K15153">
        <v>0.45</v>
      </c>
      <c r="L15153">
        <v>69804</v>
      </c>
      <c r="M15153" t="s">
        <v>284</v>
      </c>
      <c r="N15153" t="str">
        <f>"88828       "</f>
        <v xml:space="preserve">88828       </v>
      </c>
      <c r="O15153">
        <v>230914</v>
      </c>
    </row>
    <row r="15154" spans="1:15" x14ac:dyDescent="0.25">
      <c r="A15154" t="s">
        <v>16</v>
      </c>
      <c r="B15154" t="s">
        <v>3221</v>
      </c>
      <c r="C15154">
        <v>12725</v>
      </c>
      <c r="D15154" t="s">
        <v>280</v>
      </c>
      <c r="E15154" t="s">
        <v>281</v>
      </c>
      <c r="F15154">
        <v>48.39</v>
      </c>
      <c r="G15154">
        <v>230920</v>
      </c>
      <c r="H15154">
        <v>4520</v>
      </c>
      <c r="I15154" t="s">
        <v>254</v>
      </c>
      <c r="J15154">
        <v>55.16</v>
      </c>
      <c r="K15154">
        <v>6.77</v>
      </c>
      <c r="L15154">
        <v>69113</v>
      </c>
      <c r="M15154" t="s">
        <v>282</v>
      </c>
      <c r="N15154" t="str">
        <f>"89089       "</f>
        <v xml:space="preserve">89089       </v>
      </c>
      <c r="O15154">
        <v>230925</v>
      </c>
    </row>
    <row r="15155" spans="1:15" x14ac:dyDescent="0.25">
      <c r="A15155" t="s">
        <v>16</v>
      </c>
      <c r="B15155" t="s">
        <v>3221</v>
      </c>
      <c r="C15155">
        <v>12725</v>
      </c>
      <c r="D15155" t="s">
        <v>280</v>
      </c>
      <c r="E15155" t="s">
        <v>281</v>
      </c>
      <c r="F15155">
        <v>5.69</v>
      </c>
      <c r="G15155">
        <v>230920</v>
      </c>
      <c r="H15155">
        <v>4520</v>
      </c>
      <c r="I15155" t="s">
        <v>254</v>
      </c>
      <c r="J15155">
        <v>6.49</v>
      </c>
      <c r="K15155">
        <v>0.8</v>
      </c>
      <c r="L15155">
        <v>69802</v>
      </c>
      <c r="M15155" t="s">
        <v>283</v>
      </c>
      <c r="N15155" t="str">
        <f>"89089       "</f>
        <v xml:space="preserve">89089       </v>
      </c>
      <c r="O15155">
        <v>230925</v>
      </c>
    </row>
    <row r="15156" spans="1:15" x14ac:dyDescent="0.25">
      <c r="A15156" t="s">
        <v>16</v>
      </c>
      <c r="B15156" t="s">
        <v>3221</v>
      </c>
      <c r="C15156">
        <v>12725</v>
      </c>
      <c r="D15156" t="s">
        <v>280</v>
      </c>
      <c r="E15156" t="s">
        <v>281</v>
      </c>
      <c r="F15156">
        <v>2.84</v>
      </c>
      <c r="G15156">
        <v>230920</v>
      </c>
      <c r="H15156">
        <v>4520</v>
      </c>
      <c r="I15156" t="s">
        <v>254</v>
      </c>
      <c r="J15156">
        <v>3.24</v>
      </c>
      <c r="K15156">
        <v>0.4</v>
      </c>
      <c r="L15156">
        <v>69804</v>
      </c>
      <c r="M15156" t="s">
        <v>284</v>
      </c>
      <c r="N15156" t="str">
        <f>"89089       "</f>
        <v xml:space="preserve">89089       </v>
      </c>
      <c r="O15156">
        <v>230925</v>
      </c>
    </row>
    <row r="15157" spans="1:15" x14ac:dyDescent="0.25">
      <c r="A15157" t="s">
        <v>16</v>
      </c>
      <c r="B15157" t="s">
        <v>3221</v>
      </c>
      <c r="C15157">
        <v>14010</v>
      </c>
      <c r="D15157" t="s">
        <v>280</v>
      </c>
      <c r="E15157" t="s">
        <v>281</v>
      </c>
      <c r="F15157">
        <v>41.11</v>
      </c>
      <c r="G15157">
        <v>231010</v>
      </c>
      <c r="H15157">
        <v>4520</v>
      </c>
      <c r="I15157" t="s">
        <v>254</v>
      </c>
      <c r="J15157">
        <v>46.87</v>
      </c>
      <c r="K15157">
        <v>5.76</v>
      </c>
      <c r="L15157">
        <v>69113</v>
      </c>
      <c r="M15157" t="s">
        <v>282</v>
      </c>
      <c r="N15157" t="str">
        <f>"89484       "</f>
        <v xml:space="preserve">89484       </v>
      </c>
      <c r="O15157">
        <v>231017</v>
      </c>
    </row>
    <row r="15158" spans="1:15" x14ac:dyDescent="0.25">
      <c r="A15158" t="s">
        <v>16</v>
      </c>
      <c r="B15158" t="s">
        <v>3221</v>
      </c>
      <c r="C15158">
        <v>14010</v>
      </c>
      <c r="D15158" t="s">
        <v>280</v>
      </c>
      <c r="E15158" t="s">
        <v>281</v>
      </c>
      <c r="F15158">
        <v>4.84</v>
      </c>
      <c r="G15158">
        <v>231010</v>
      </c>
      <c r="H15158">
        <v>4520</v>
      </c>
      <c r="I15158" t="s">
        <v>254</v>
      </c>
      <c r="J15158">
        <v>5.52</v>
      </c>
      <c r="K15158">
        <v>0.68</v>
      </c>
      <c r="L15158">
        <v>69802</v>
      </c>
      <c r="M15158" t="s">
        <v>283</v>
      </c>
      <c r="N15158" t="str">
        <f>"89484       "</f>
        <v xml:space="preserve">89484       </v>
      </c>
      <c r="O15158">
        <v>231017</v>
      </c>
    </row>
    <row r="15159" spans="1:15" x14ac:dyDescent="0.25">
      <c r="A15159" t="s">
        <v>16</v>
      </c>
      <c r="B15159" t="s">
        <v>3221</v>
      </c>
      <c r="C15159">
        <v>14010</v>
      </c>
      <c r="D15159" t="s">
        <v>280</v>
      </c>
      <c r="E15159" t="s">
        <v>281</v>
      </c>
      <c r="F15159">
        <v>2.42</v>
      </c>
      <c r="G15159">
        <v>231010</v>
      </c>
      <c r="H15159">
        <v>4520</v>
      </c>
      <c r="I15159" t="s">
        <v>254</v>
      </c>
      <c r="J15159">
        <v>2.76</v>
      </c>
      <c r="K15159">
        <v>0.34</v>
      </c>
      <c r="L15159">
        <v>69804</v>
      </c>
      <c r="M15159" t="s">
        <v>284</v>
      </c>
      <c r="N15159" t="str">
        <f>"89484       "</f>
        <v xml:space="preserve">89484       </v>
      </c>
      <c r="O15159">
        <v>231017</v>
      </c>
    </row>
    <row r="15160" spans="1:15" x14ac:dyDescent="0.25">
      <c r="A15160" t="s">
        <v>16</v>
      </c>
      <c r="B15160" t="s">
        <v>3221</v>
      </c>
      <c r="C15160">
        <v>14637</v>
      </c>
      <c r="D15160" t="s">
        <v>280</v>
      </c>
      <c r="E15160" t="s">
        <v>281</v>
      </c>
      <c r="F15160">
        <v>104.17</v>
      </c>
      <c r="G15160">
        <v>231020</v>
      </c>
      <c r="H15160">
        <v>4520</v>
      </c>
      <c r="I15160" t="s">
        <v>254</v>
      </c>
      <c r="J15160">
        <v>118.75</v>
      </c>
      <c r="K15160">
        <v>14.58</v>
      </c>
      <c r="L15160">
        <v>69113</v>
      </c>
      <c r="M15160" t="s">
        <v>282</v>
      </c>
      <c r="N15160" t="str">
        <f>"89759       "</f>
        <v xml:space="preserve">89759       </v>
      </c>
      <c r="O15160">
        <v>231031</v>
      </c>
    </row>
    <row r="15161" spans="1:15" x14ac:dyDescent="0.25">
      <c r="A15161" t="s">
        <v>16</v>
      </c>
      <c r="B15161" t="s">
        <v>3221</v>
      </c>
      <c r="C15161">
        <v>14637</v>
      </c>
      <c r="D15161" t="s">
        <v>280</v>
      </c>
      <c r="E15161" t="s">
        <v>281</v>
      </c>
      <c r="F15161">
        <v>12.25</v>
      </c>
      <c r="G15161">
        <v>231020</v>
      </c>
      <c r="H15161">
        <v>4520</v>
      </c>
      <c r="I15161" t="s">
        <v>254</v>
      </c>
      <c r="J15161">
        <v>13.97</v>
      </c>
      <c r="K15161">
        <v>1.72</v>
      </c>
      <c r="L15161">
        <v>69802</v>
      </c>
      <c r="M15161" t="s">
        <v>283</v>
      </c>
      <c r="N15161" t="str">
        <f>"89759       "</f>
        <v xml:space="preserve">89759       </v>
      </c>
      <c r="O15161">
        <v>231031</v>
      </c>
    </row>
    <row r="15162" spans="1:15" x14ac:dyDescent="0.25">
      <c r="A15162" t="s">
        <v>16</v>
      </c>
      <c r="B15162" t="s">
        <v>3221</v>
      </c>
      <c r="C15162">
        <v>14637</v>
      </c>
      <c r="D15162" t="s">
        <v>280</v>
      </c>
      <c r="E15162" t="s">
        <v>281</v>
      </c>
      <c r="F15162">
        <v>6.13</v>
      </c>
      <c r="G15162">
        <v>231020</v>
      </c>
      <c r="H15162">
        <v>4520</v>
      </c>
      <c r="I15162" t="s">
        <v>254</v>
      </c>
      <c r="J15162">
        <v>6.99</v>
      </c>
      <c r="K15162">
        <v>0.86</v>
      </c>
      <c r="L15162">
        <v>69804</v>
      </c>
      <c r="M15162" t="s">
        <v>284</v>
      </c>
      <c r="N15162" t="str">
        <f>"89759       "</f>
        <v xml:space="preserve">89759       </v>
      </c>
      <c r="O15162">
        <v>231031</v>
      </c>
    </row>
    <row r="15163" spans="1:15" x14ac:dyDescent="0.25">
      <c r="A15163" t="s">
        <v>16</v>
      </c>
      <c r="B15163" t="s">
        <v>3221</v>
      </c>
      <c r="C15163">
        <v>15865</v>
      </c>
      <c r="D15163" t="s">
        <v>280</v>
      </c>
      <c r="E15163" t="s">
        <v>281</v>
      </c>
      <c r="F15163">
        <v>70.19</v>
      </c>
      <c r="G15163">
        <v>231110</v>
      </c>
      <c r="H15163">
        <v>4520</v>
      </c>
      <c r="I15163" t="s">
        <v>254</v>
      </c>
      <c r="J15163">
        <v>80.02</v>
      </c>
      <c r="K15163">
        <v>9.83</v>
      </c>
      <c r="L15163">
        <v>69113</v>
      </c>
      <c r="M15163" t="s">
        <v>282</v>
      </c>
      <c r="N15163" t="str">
        <f>"90152       "</f>
        <v xml:space="preserve">90152       </v>
      </c>
      <c r="O15163">
        <v>231120</v>
      </c>
    </row>
    <row r="15164" spans="1:15" x14ac:dyDescent="0.25">
      <c r="A15164" t="s">
        <v>16</v>
      </c>
      <c r="B15164" t="s">
        <v>3221</v>
      </c>
      <c r="C15164">
        <v>15865</v>
      </c>
      <c r="D15164" t="s">
        <v>280</v>
      </c>
      <c r="E15164" t="s">
        <v>281</v>
      </c>
      <c r="F15164">
        <v>8.25</v>
      </c>
      <c r="G15164">
        <v>231110</v>
      </c>
      <c r="H15164">
        <v>4520</v>
      </c>
      <c r="I15164" t="s">
        <v>254</v>
      </c>
      <c r="J15164">
        <v>9.41</v>
      </c>
      <c r="K15164">
        <v>1.1599999999999999</v>
      </c>
      <c r="L15164">
        <v>69802</v>
      </c>
      <c r="M15164" t="s">
        <v>283</v>
      </c>
      <c r="N15164" t="str">
        <f>"90152       "</f>
        <v xml:space="preserve">90152       </v>
      </c>
      <c r="O15164">
        <v>231120</v>
      </c>
    </row>
    <row r="15165" spans="1:15" x14ac:dyDescent="0.25">
      <c r="A15165" t="s">
        <v>16</v>
      </c>
      <c r="B15165" t="s">
        <v>3221</v>
      </c>
      <c r="C15165">
        <v>15865</v>
      </c>
      <c r="D15165" t="s">
        <v>280</v>
      </c>
      <c r="E15165" t="s">
        <v>281</v>
      </c>
      <c r="F15165">
        <v>4.13</v>
      </c>
      <c r="G15165">
        <v>231110</v>
      </c>
      <c r="H15165">
        <v>4520</v>
      </c>
      <c r="I15165" t="s">
        <v>254</v>
      </c>
      <c r="J15165">
        <v>4.71</v>
      </c>
      <c r="K15165">
        <v>0.57999999999999996</v>
      </c>
      <c r="L15165">
        <v>69804</v>
      </c>
      <c r="M15165" t="s">
        <v>284</v>
      </c>
      <c r="N15165" t="str">
        <f>"90152       "</f>
        <v xml:space="preserve">90152       </v>
      </c>
      <c r="O15165">
        <v>231120</v>
      </c>
    </row>
    <row r="15166" spans="1:15" x14ac:dyDescent="0.25">
      <c r="A15166" t="s">
        <v>16</v>
      </c>
      <c r="B15166" t="s">
        <v>3221</v>
      </c>
      <c r="C15166">
        <v>15903</v>
      </c>
      <c r="D15166" t="s">
        <v>280</v>
      </c>
      <c r="E15166" t="s">
        <v>281</v>
      </c>
      <c r="F15166">
        <v>40.369999999999997</v>
      </c>
      <c r="G15166">
        <v>231031</v>
      </c>
      <c r="H15166">
        <v>4520</v>
      </c>
      <c r="I15166" t="s">
        <v>254</v>
      </c>
      <c r="J15166">
        <v>46.02</v>
      </c>
      <c r="K15166">
        <v>5.65</v>
      </c>
      <c r="L15166">
        <v>69113</v>
      </c>
      <c r="M15166" t="s">
        <v>282</v>
      </c>
      <c r="N15166" t="str">
        <f>"89880       "</f>
        <v xml:space="preserve">89880       </v>
      </c>
      <c r="O15166">
        <v>231122</v>
      </c>
    </row>
    <row r="15167" spans="1:15" x14ac:dyDescent="0.25">
      <c r="A15167" t="s">
        <v>16</v>
      </c>
      <c r="B15167" t="s">
        <v>3221</v>
      </c>
      <c r="C15167">
        <v>15903</v>
      </c>
      <c r="D15167" t="s">
        <v>280</v>
      </c>
      <c r="E15167" t="s">
        <v>281</v>
      </c>
      <c r="F15167">
        <v>4.75</v>
      </c>
      <c r="G15167">
        <v>231031</v>
      </c>
      <c r="H15167">
        <v>4520</v>
      </c>
      <c r="I15167" t="s">
        <v>254</v>
      </c>
      <c r="J15167">
        <v>5.41</v>
      </c>
      <c r="K15167">
        <v>0.66</v>
      </c>
      <c r="L15167">
        <v>69802</v>
      </c>
      <c r="M15167" t="s">
        <v>283</v>
      </c>
      <c r="N15167" t="str">
        <f>"89880       "</f>
        <v xml:space="preserve">89880       </v>
      </c>
      <c r="O15167">
        <v>231122</v>
      </c>
    </row>
    <row r="15168" spans="1:15" x14ac:dyDescent="0.25">
      <c r="A15168" t="s">
        <v>16</v>
      </c>
      <c r="B15168" t="s">
        <v>3221</v>
      </c>
      <c r="C15168">
        <v>15903</v>
      </c>
      <c r="D15168" t="s">
        <v>280</v>
      </c>
      <c r="E15168" t="s">
        <v>281</v>
      </c>
      <c r="F15168">
        <v>2.38</v>
      </c>
      <c r="G15168">
        <v>231031</v>
      </c>
      <c r="H15168">
        <v>4520</v>
      </c>
      <c r="I15168" t="s">
        <v>254</v>
      </c>
      <c r="J15168">
        <v>2.71</v>
      </c>
      <c r="K15168">
        <v>0.33</v>
      </c>
      <c r="L15168">
        <v>69804</v>
      </c>
      <c r="M15168" t="s">
        <v>284</v>
      </c>
      <c r="N15168" t="str">
        <f>"89880       "</f>
        <v xml:space="preserve">89880       </v>
      </c>
      <c r="O15168">
        <v>231122</v>
      </c>
    </row>
    <row r="15169" spans="1:15" x14ac:dyDescent="0.25">
      <c r="A15169" t="s">
        <v>16</v>
      </c>
      <c r="B15169" t="s">
        <v>3221</v>
      </c>
      <c r="C15169">
        <v>16214</v>
      </c>
      <c r="D15169" t="s">
        <v>280</v>
      </c>
      <c r="E15169" t="s">
        <v>281</v>
      </c>
      <c r="F15169">
        <v>39.96</v>
      </c>
      <c r="G15169">
        <v>231120</v>
      </c>
      <c r="H15169">
        <v>4520</v>
      </c>
      <c r="I15169" t="s">
        <v>254</v>
      </c>
      <c r="J15169">
        <v>45.56</v>
      </c>
      <c r="K15169">
        <v>5.6</v>
      </c>
      <c r="L15169">
        <v>69113</v>
      </c>
      <c r="M15169" t="s">
        <v>282</v>
      </c>
      <c r="N15169" t="str">
        <f>"90396       "</f>
        <v xml:space="preserve">90396       </v>
      </c>
      <c r="O15169">
        <v>231127</v>
      </c>
    </row>
    <row r="15170" spans="1:15" x14ac:dyDescent="0.25">
      <c r="A15170" t="s">
        <v>16</v>
      </c>
      <c r="B15170" t="s">
        <v>3221</v>
      </c>
      <c r="C15170">
        <v>16214</v>
      </c>
      <c r="D15170" t="s">
        <v>280</v>
      </c>
      <c r="E15170" t="s">
        <v>281</v>
      </c>
      <c r="F15170">
        <v>4.7</v>
      </c>
      <c r="G15170">
        <v>231120</v>
      </c>
      <c r="H15170">
        <v>4520</v>
      </c>
      <c r="I15170" t="s">
        <v>254</v>
      </c>
      <c r="J15170">
        <v>5.36</v>
      </c>
      <c r="K15170">
        <v>0.66</v>
      </c>
      <c r="L15170">
        <v>69802</v>
      </c>
      <c r="M15170" t="s">
        <v>283</v>
      </c>
      <c r="N15170" t="str">
        <f>"90396       "</f>
        <v xml:space="preserve">90396       </v>
      </c>
      <c r="O15170">
        <v>231127</v>
      </c>
    </row>
    <row r="15171" spans="1:15" x14ac:dyDescent="0.25">
      <c r="A15171" t="s">
        <v>16</v>
      </c>
      <c r="B15171" t="s">
        <v>3221</v>
      </c>
      <c r="C15171">
        <v>16214</v>
      </c>
      <c r="D15171" t="s">
        <v>280</v>
      </c>
      <c r="E15171" t="s">
        <v>281</v>
      </c>
      <c r="F15171">
        <v>2.35</v>
      </c>
      <c r="G15171">
        <v>231120</v>
      </c>
      <c r="H15171">
        <v>4520</v>
      </c>
      <c r="I15171" t="s">
        <v>254</v>
      </c>
      <c r="J15171">
        <v>2.68</v>
      </c>
      <c r="K15171">
        <v>0.33</v>
      </c>
      <c r="L15171">
        <v>69804</v>
      </c>
      <c r="M15171" t="s">
        <v>284</v>
      </c>
      <c r="N15171" t="str">
        <f>"90396       "</f>
        <v xml:space="preserve">90396       </v>
      </c>
      <c r="O15171">
        <v>231127</v>
      </c>
    </row>
    <row r="15172" spans="1:15" x14ac:dyDescent="0.25">
      <c r="A15172" t="s">
        <v>16</v>
      </c>
      <c r="B15172" t="s">
        <v>3221</v>
      </c>
      <c r="C15172">
        <v>17304</v>
      </c>
      <c r="D15172" t="s">
        <v>280</v>
      </c>
      <c r="E15172" t="s">
        <v>281</v>
      </c>
      <c r="F15172">
        <v>51.46</v>
      </c>
      <c r="G15172">
        <v>231210</v>
      </c>
      <c r="H15172">
        <v>4520</v>
      </c>
      <c r="I15172" t="s">
        <v>254</v>
      </c>
      <c r="J15172">
        <v>58.67</v>
      </c>
      <c r="K15172">
        <v>7.21</v>
      </c>
      <c r="L15172">
        <v>69113</v>
      </c>
      <c r="M15172" t="s">
        <v>282</v>
      </c>
      <c r="N15172" t="str">
        <f>"90757       "</f>
        <v xml:space="preserve">90757       </v>
      </c>
      <c r="O15172">
        <v>231212</v>
      </c>
    </row>
    <row r="15173" spans="1:15" x14ac:dyDescent="0.25">
      <c r="A15173" t="s">
        <v>16</v>
      </c>
      <c r="B15173" t="s">
        <v>3221</v>
      </c>
      <c r="C15173">
        <v>17304</v>
      </c>
      <c r="D15173" t="s">
        <v>280</v>
      </c>
      <c r="E15173" t="s">
        <v>281</v>
      </c>
      <c r="F15173">
        <v>6.05</v>
      </c>
      <c r="G15173">
        <v>231210</v>
      </c>
      <c r="H15173">
        <v>4520</v>
      </c>
      <c r="I15173" t="s">
        <v>254</v>
      </c>
      <c r="J15173">
        <v>6.9</v>
      </c>
      <c r="K15173">
        <v>0.85</v>
      </c>
      <c r="L15173">
        <v>69802</v>
      </c>
      <c r="M15173" t="s">
        <v>283</v>
      </c>
      <c r="N15173" t="str">
        <f>"90757       "</f>
        <v xml:space="preserve">90757       </v>
      </c>
      <c r="O15173">
        <v>231212</v>
      </c>
    </row>
    <row r="15174" spans="1:15" x14ac:dyDescent="0.25">
      <c r="A15174" t="s">
        <v>16</v>
      </c>
      <c r="B15174" t="s">
        <v>3221</v>
      </c>
      <c r="C15174">
        <v>17304</v>
      </c>
      <c r="D15174" t="s">
        <v>280</v>
      </c>
      <c r="E15174" t="s">
        <v>281</v>
      </c>
      <c r="F15174">
        <v>3.03</v>
      </c>
      <c r="G15174">
        <v>231210</v>
      </c>
      <c r="H15174">
        <v>4520</v>
      </c>
      <c r="I15174" t="s">
        <v>254</v>
      </c>
      <c r="J15174">
        <v>3.45</v>
      </c>
      <c r="K15174">
        <v>0.42</v>
      </c>
      <c r="L15174">
        <v>69804</v>
      </c>
      <c r="M15174" t="s">
        <v>284</v>
      </c>
      <c r="N15174" t="str">
        <f>"90757       "</f>
        <v xml:space="preserve">90757       </v>
      </c>
      <c r="O15174">
        <v>231212</v>
      </c>
    </row>
    <row r="15175" spans="1:15" x14ac:dyDescent="0.25">
      <c r="A15175" t="s">
        <v>16</v>
      </c>
      <c r="B15175" t="s">
        <v>3221</v>
      </c>
      <c r="C15175">
        <v>18234</v>
      </c>
      <c r="D15175" t="s">
        <v>280</v>
      </c>
      <c r="E15175" t="s">
        <v>281</v>
      </c>
      <c r="F15175">
        <v>68.11</v>
      </c>
      <c r="G15175">
        <v>231220</v>
      </c>
      <c r="H15175">
        <v>4520</v>
      </c>
      <c r="I15175" t="s">
        <v>254</v>
      </c>
      <c r="J15175">
        <v>77.64</v>
      </c>
      <c r="K15175">
        <v>9.5299999999999994</v>
      </c>
      <c r="L15175">
        <v>69113</v>
      </c>
      <c r="M15175" t="s">
        <v>282</v>
      </c>
      <c r="N15175" t="str">
        <f>"91013       "</f>
        <v xml:space="preserve">91013       </v>
      </c>
      <c r="O15175">
        <v>240102</v>
      </c>
    </row>
    <row r="15176" spans="1:15" x14ac:dyDescent="0.25">
      <c r="A15176" t="s">
        <v>16</v>
      </c>
      <c r="B15176" t="s">
        <v>3221</v>
      </c>
      <c r="C15176">
        <v>18234</v>
      </c>
      <c r="D15176" t="s">
        <v>280</v>
      </c>
      <c r="E15176" t="s">
        <v>281</v>
      </c>
      <c r="F15176">
        <v>8.01</v>
      </c>
      <c r="G15176">
        <v>231220</v>
      </c>
      <c r="H15176">
        <v>4520</v>
      </c>
      <c r="I15176" t="s">
        <v>254</v>
      </c>
      <c r="J15176">
        <v>9.1300000000000008</v>
      </c>
      <c r="K15176">
        <v>1.1200000000000001</v>
      </c>
      <c r="L15176">
        <v>69802</v>
      </c>
      <c r="M15176" t="s">
        <v>283</v>
      </c>
      <c r="N15176" t="str">
        <f>"91013       "</f>
        <v xml:space="preserve">91013       </v>
      </c>
      <c r="O15176">
        <v>240102</v>
      </c>
    </row>
    <row r="15177" spans="1:15" x14ac:dyDescent="0.25">
      <c r="A15177" t="s">
        <v>16</v>
      </c>
      <c r="B15177" t="s">
        <v>3221</v>
      </c>
      <c r="C15177">
        <v>18234</v>
      </c>
      <c r="D15177" t="s">
        <v>280</v>
      </c>
      <c r="E15177" t="s">
        <v>281</v>
      </c>
      <c r="F15177">
        <v>4.01</v>
      </c>
      <c r="G15177">
        <v>231220</v>
      </c>
      <c r="H15177">
        <v>4520</v>
      </c>
      <c r="I15177" t="s">
        <v>254</v>
      </c>
      <c r="J15177">
        <v>4.57</v>
      </c>
      <c r="K15177">
        <v>0.56000000000000005</v>
      </c>
      <c r="L15177">
        <v>69804</v>
      </c>
      <c r="M15177" t="s">
        <v>284</v>
      </c>
      <c r="N15177" t="str">
        <f>"91013       "</f>
        <v xml:space="preserve">91013       </v>
      </c>
      <c r="O15177">
        <v>240102</v>
      </c>
    </row>
    <row r="15178" spans="1:15" x14ac:dyDescent="0.25">
      <c r="A15178" t="s">
        <v>16</v>
      </c>
      <c r="B15178" t="s">
        <v>3221</v>
      </c>
      <c r="C15178">
        <v>12953</v>
      </c>
      <c r="D15178" t="s">
        <v>3533</v>
      </c>
      <c r="E15178" t="s">
        <v>3534</v>
      </c>
      <c r="F15178">
        <v>1612.73</v>
      </c>
      <c r="G15178">
        <v>231001</v>
      </c>
      <c r="H15178">
        <v>4440</v>
      </c>
      <c r="I15178" t="s">
        <v>250</v>
      </c>
      <c r="J15178">
        <v>1774</v>
      </c>
      <c r="K15178">
        <v>161.27000000000001</v>
      </c>
      <c r="L15178">
        <v>11605</v>
      </c>
      <c r="M15178" t="s">
        <v>106</v>
      </c>
      <c r="N15178" t="str">
        <f>"2051        "</f>
        <v xml:space="preserve">2051        </v>
      </c>
      <c r="O15178">
        <v>231002</v>
      </c>
    </row>
    <row r="15179" spans="1:15" x14ac:dyDescent="0.25">
      <c r="A15179" t="s">
        <v>16</v>
      </c>
      <c r="B15179" t="s">
        <v>3221</v>
      </c>
      <c r="C15179">
        <v>10334</v>
      </c>
      <c r="D15179" t="s">
        <v>2368</v>
      </c>
      <c r="E15179" t="s">
        <v>2369</v>
      </c>
      <c r="F15179">
        <v>142.88</v>
      </c>
      <c r="G15179">
        <v>230809</v>
      </c>
      <c r="H15179">
        <v>4580</v>
      </c>
      <c r="I15179" t="s">
        <v>35</v>
      </c>
      <c r="J15179">
        <v>177.17</v>
      </c>
      <c r="K15179">
        <v>34.29</v>
      </c>
      <c r="L15179">
        <v>59113</v>
      </c>
      <c r="M15179" t="s">
        <v>235</v>
      </c>
      <c r="N15179" t="str">
        <f>"2245170     "</f>
        <v xml:space="preserve">2245170     </v>
      </c>
      <c r="O15179">
        <v>230814</v>
      </c>
    </row>
    <row r="15180" spans="1:15" x14ac:dyDescent="0.25">
      <c r="A15180" t="s">
        <v>16</v>
      </c>
      <c r="B15180" t="s">
        <v>3221</v>
      </c>
      <c r="C15180">
        <v>1129</v>
      </c>
      <c r="D15180" t="s">
        <v>901</v>
      </c>
      <c r="E15180" t="s">
        <v>902</v>
      </c>
      <c r="F15180">
        <v>1157.55</v>
      </c>
      <c r="G15180">
        <v>230124</v>
      </c>
      <c r="H15180">
        <v>4555</v>
      </c>
      <c r="I15180" t="s">
        <v>481</v>
      </c>
      <c r="J15180">
        <v>1435.36</v>
      </c>
      <c r="K15180">
        <v>277.81</v>
      </c>
      <c r="L15180">
        <v>44453</v>
      </c>
      <c r="M15180" t="s">
        <v>492</v>
      </c>
      <c r="N15180" t="str">
        <f>"4274653     "</f>
        <v xml:space="preserve">4274653     </v>
      </c>
      <c r="O15180">
        <v>230206</v>
      </c>
    </row>
    <row r="15181" spans="1:15" x14ac:dyDescent="0.25">
      <c r="A15181" t="s">
        <v>16</v>
      </c>
      <c r="B15181" t="s">
        <v>3221</v>
      </c>
      <c r="C15181">
        <v>3065</v>
      </c>
      <c r="D15181" t="s">
        <v>901</v>
      </c>
      <c r="E15181" t="s">
        <v>902</v>
      </c>
      <c r="F15181">
        <v>493.21</v>
      </c>
      <c r="G15181">
        <v>230214</v>
      </c>
      <c r="H15181">
        <v>4555</v>
      </c>
      <c r="I15181" t="s">
        <v>481</v>
      </c>
      <c r="J15181">
        <v>611.58000000000004</v>
      </c>
      <c r="K15181">
        <v>118.37</v>
      </c>
      <c r="L15181">
        <v>44453</v>
      </c>
      <c r="M15181" t="s">
        <v>492</v>
      </c>
      <c r="N15181" t="str">
        <f>"4304294     "</f>
        <v xml:space="preserve">4304294     </v>
      </c>
      <c r="O15181">
        <v>230309</v>
      </c>
    </row>
    <row r="15182" spans="1:15" x14ac:dyDescent="0.25">
      <c r="A15182" t="s">
        <v>16</v>
      </c>
      <c r="B15182" t="s">
        <v>3221</v>
      </c>
      <c r="C15182">
        <v>5546</v>
      </c>
      <c r="D15182" t="s">
        <v>901</v>
      </c>
      <c r="E15182" t="s">
        <v>902</v>
      </c>
      <c r="F15182">
        <v>564.66999999999996</v>
      </c>
      <c r="G15182">
        <v>230418</v>
      </c>
      <c r="H15182">
        <v>4555</v>
      </c>
      <c r="I15182" t="s">
        <v>481</v>
      </c>
      <c r="J15182">
        <v>700.19</v>
      </c>
      <c r="K15182">
        <v>135.52000000000001</v>
      </c>
      <c r="L15182">
        <v>44453</v>
      </c>
      <c r="M15182" t="s">
        <v>492</v>
      </c>
      <c r="N15182" t="str">
        <f>"4390966     "</f>
        <v xml:space="preserve">4390966     </v>
      </c>
      <c r="O15182">
        <v>230426</v>
      </c>
    </row>
    <row r="15183" spans="1:15" x14ac:dyDescent="0.25">
      <c r="A15183" t="s">
        <v>16</v>
      </c>
      <c r="B15183" t="s">
        <v>3221</v>
      </c>
      <c r="C15183">
        <v>5547</v>
      </c>
      <c r="D15183" t="s">
        <v>901</v>
      </c>
      <c r="E15183" t="s">
        <v>902</v>
      </c>
      <c r="F15183">
        <v>918.73</v>
      </c>
      <c r="G15183">
        <v>230417</v>
      </c>
      <c r="H15183">
        <v>4555</v>
      </c>
      <c r="I15183" t="s">
        <v>481</v>
      </c>
      <c r="J15183">
        <v>1139.22</v>
      </c>
      <c r="K15183">
        <v>220.49</v>
      </c>
      <c r="L15183">
        <v>44453</v>
      </c>
      <c r="M15183" t="s">
        <v>492</v>
      </c>
      <c r="N15183" t="str">
        <f>"4388700     "</f>
        <v xml:space="preserve">4388700     </v>
      </c>
      <c r="O15183">
        <v>230426</v>
      </c>
    </row>
    <row r="15184" spans="1:15" x14ac:dyDescent="0.25">
      <c r="A15184" t="s">
        <v>16</v>
      </c>
      <c r="B15184" t="s">
        <v>3221</v>
      </c>
      <c r="C15184">
        <v>6797</v>
      </c>
      <c r="D15184" t="s">
        <v>901</v>
      </c>
      <c r="E15184" t="s">
        <v>902</v>
      </c>
      <c r="F15184">
        <v>790.63</v>
      </c>
      <c r="G15184">
        <v>230508</v>
      </c>
      <c r="H15184">
        <v>4555</v>
      </c>
      <c r="I15184" t="s">
        <v>481</v>
      </c>
      <c r="J15184">
        <v>980.38</v>
      </c>
      <c r="K15184">
        <v>189.75</v>
      </c>
      <c r="L15184">
        <v>44453</v>
      </c>
      <c r="M15184" t="s">
        <v>492</v>
      </c>
      <c r="N15184" t="str">
        <f>"4418800     "</f>
        <v xml:space="preserve">4418800     </v>
      </c>
      <c r="O15184">
        <v>230522</v>
      </c>
    </row>
    <row r="15185" spans="1:15" x14ac:dyDescent="0.25">
      <c r="A15185" t="s">
        <v>16</v>
      </c>
      <c r="B15185" t="s">
        <v>3221</v>
      </c>
      <c r="C15185">
        <v>8115</v>
      </c>
      <c r="D15185" t="s">
        <v>901</v>
      </c>
      <c r="E15185" t="s">
        <v>902</v>
      </c>
      <c r="F15185">
        <v>772.1</v>
      </c>
      <c r="G15185">
        <v>230530</v>
      </c>
      <c r="H15185">
        <v>4555</v>
      </c>
      <c r="I15185" t="s">
        <v>481</v>
      </c>
      <c r="J15185">
        <v>957.4</v>
      </c>
      <c r="K15185">
        <v>185.3</v>
      </c>
      <c r="L15185">
        <v>44453</v>
      </c>
      <c r="M15185" t="s">
        <v>492</v>
      </c>
      <c r="N15185" t="str">
        <f>"4449986     "</f>
        <v xml:space="preserve">4449986     </v>
      </c>
      <c r="O15185">
        <v>230607</v>
      </c>
    </row>
    <row r="15186" spans="1:15" x14ac:dyDescent="0.25">
      <c r="A15186" t="s">
        <v>16</v>
      </c>
      <c r="B15186" t="s">
        <v>3221</v>
      </c>
      <c r="C15186">
        <v>11910</v>
      </c>
      <c r="D15186" t="s">
        <v>901</v>
      </c>
      <c r="E15186" t="s">
        <v>902</v>
      </c>
      <c r="F15186">
        <v>1235.46</v>
      </c>
      <c r="G15186">
        <v>230905</v>
      </c>
      <c r="H15186">
        <v>4555</v>
      </c>
      <c r="I15186" t="s">
        <v>481</v>
      </c>
      <c r="J15186">
        <v>1531.97</v>
      </c>
      <c r="K15186">
        <v>296.51</v>
      </c>
      <c r="L15186">
        <v>44453</v>
      </c>
      <c r="M15186" t="s">
        <v>492</v>
      </c>
      <c r="N15186" t="str">
        <f>"4556641     "</f>
        <v xml:space="preserve">4556641     </v>
      </c>
      <c r="O15186">
        <v>230911</v>
      </c>
    </row>
    <row r="15187" spans="1:15" x14ac:dyDescent="0.25">
      <c r="A15187" t="s">
        <v>16</v>
      </c>
      <c r="B15187" t="s">
        <v>3221</v>
      </c>
      <c r="C15187">
        <v>13962</v>
      </c>
      <c r="D15187" t="s">
        <v>901</v>
      </c>
      <c r="E15187" t="s">
        <v>902</v>
      </c>
      <c r="F15187">
        <v>1489.72</v>
      </c>
      <c r="G15187">
        <v>231009</v>
      </c>
      <c r="H15187">
        <v>4555</v>
      </c>
      <c r="I15187" t="s">
        <v>481</v>
      </c>
      <c r="J15187">
        <v>1847.25</v>
      </c>
      <c r="K15187">
        <v>357.53</v>
      </c>
      <c r="L15187">
        <v>44453</v>
      </c>
      <c r="M15187" t="s">
        <v>492</v>
      </c>
      <c r="N15187" t="str">
        <f>"4596056     "</f>
        <v xml:space="preserve">4596056     </v>
      </c>
      <c r="O15187">
        <v>231017</v>
      </c>
    </row>
    <row r="15188" spans="1:15" x14ac:dyDescent="0.25">
      <c r="A15188" t="s">
        <v>16</v>
      </c>
      <c r="B15188" t="s">
        <v>3221</v>
      </c>
      <c r="C15188">
        <v>15178</v>
      </c>
      <c r="D15188" t="s">
        <v>901</v>
      </c>
      <c r="E15188" t="s">
        <v>902</v>
      </c>
      <c r="F15188">
        <v>1272.31</v>
      </c>
      <c r="G15188">
        <v>231101</v>
      </c>
      <c r="H15188">
        <v>4555</v>
      </c>
      <c r="I15188" t="s">
        <v>481</v>
      </c>
      <c r="J15188">
        <v>1577.66</v>
      </c>
      <c r="K15188">
        <v>305.35000000000002</v>
      </c>
      <c r="L15188">
        <v>44453</v>
      </c>
      <c r="M15188" t="s">
        <v>492</v>
      </c>
      <c r="N15188" t="str">
        <f>"4624818     "</f>
        <v xml:space="preserve">4624818     </v>
      </c>
      <c r="O15188">
        <v>231109</v>
      </c>
    </row>
    <row r="15189" spans="1:15" x14ac:dyDescent="0.25">
      <c r="A15189" t="s">
        <v>16</v>
      </c>
      <c r="B15189" t="s">
        <v>3221</v>
      </c>
      <c r="C15189">
        <v>15937</v>
      </c>
      <c r="D15189" t="s">
        <v>901</v>
      </c>
      <c r="E15189" t="s">
        <v>902</v>
      </c>
      <c r="F15189">
        <v>216.98</v>
      </c>
      <c r="G15189">
        <v>231107</v>
      </c>
      <c r="H15189">
        <v>4555</v>
      </c>
      <c r="I15189" t="s">
        <v>481</v>
      </c>
      <c r="J15189">
        <v>269.05</v>
      </c>
      <c r="K15189">
        <v>52.07</v>
      </c>
      <c r="L15189">
        <v>44453</v>
      </c>
      <c r="M15189" t="s">
        <v>492</v>
      </c>
      <c r="N15189" t="str">
        <f>"4632009     "</f>
        <v xml:space="preserve">4632009     </v>
      </c>
      <c r="O15189">
        <v>231122</v>
      </c>
    </row>
    <row r="15190" spans="1:15" x14ac:dyDescent="0.25">
      <c r="A15190" t="s">
        <v>16</v>
      </c>
      <c r="B15190" t="s">
        <v>3221</v>
      </c>
      <c r="C15190">
        <v>16502</v>
      </c>
      <c r="D15190" t="s">
        <v>901</v>
      </c>
      <c r="E15190" t="s">
        <v>902</v>
      </c>
      <c r="F15190">
        <v>1198.69</v>
      </c>
      <c r="G15190">
        <v>231121</v>
      </c>
      <c r="H15190">
        <v>4555</v>
      </c>
      <c r="I15190" t="s">
        <v>481</v>
      </c>
      <c r="J15190">
        <v>1486.38</v>
      </c>
      <c r="K15190">
        <v>287.69</v>
      </c>
      <c r="L15190">
        <v>44453</v>
      </c>
      <c r="M15190" t="s">
        <v>492</v>
      </c>
      <c r="N15190" t="str">
        <f>"4647787     "</f>
        <v xml:space="preserve">4647787     </v>
      </c>
      <c r="O15190">
        <v>231201</v>
      </c>
    </row>
    <row r="15191" spans="1:15" x14ac:dyDescent="0.25">
      <c r="A15191" t="s">
        <v>16</v>
      </c>
      <c r="B15191" t="s">
        <v>3221</v>
      </c>
      <c r="C15191">
        <v>8714</v>
      </c>
      <c r="D15191" t="s">
        <v>3609</v>
      </c>
      <c r="E15191" t="s">
        <v>148</v>
      </c>
      <c r="F15191">
        <v>110</v>
      </c>
      <c r="G15191">
        <v>230609</v>
      </c>
      <c r="H15191">
        <v>4364</v>
      </c>
      <c r="I15191" t="s">
        <v>296</v>
      </c>
      <c r="J15191">
        <v>110</v>
      </c>
      <c r="K15191">
        <v>0</v>
      </c>
      <c r="L15191">
        <v>13561</v>
      </c>
      <c r="M15191" t="s">
        <v>246</v>
      </c>
      <c r="N15191" t="str">
        <f>"090623      "</f>
        <v xml:space="preserve">090623      </v>
      </c>
      <c r="O15191">
        <v>230613</v>
      </c>
    </row>
    <row r="15192" spans="1:15" x14ac:dyDescent="0.25">
      <c r="A15192" t="s">
        <v>16</v>
      </c>
      <c r="B15192" t="s">
        <v>3221</v>
      </c>
      <c r="C15192">
        <v>8714</v>
      </c>
      <c r="D15192" t="s">
        <v>3609</v>
      </c>
      <c r="E15192" t="s">
        <v>148</v>
      </c>
      <c r="F15192">
        <v>890</v>
      </c>
      <c r="G15192">
        <v>230609</v>
      </c>
      <c r="H15192">
        <v>4364</v>
      </c>
      <c r="I15192" t="s">
        <v>296</v>
      </c>
      <c r="J15192">
        <v>890</v>
      </c>
      <c r="K15192">
        <v>0</v>
      </c>
      <c r="L15192">
        <v>17971</v>
      </c>
      <c r="M15192" t="s">
        <v>138</v>
      </c>
      <c r="N15192" t="str">
        <f>"090623      "</f>
        <v xml:space="preserve">090623      </v>
      </c>
      <c r="O15192">
        <v>230613</v>
      </c>
    </row>
    <row r="15193" spans="1:15" x14ac:dyDescent="0.25">
      <c r="A15193" t="s">
        <v>16</v>
      </c>
      <c r="B15193" t="s">
        <v>3221</v>
      </c>
      <c r="C15193">
        <v>9117</v>
      </c>
      <c r="D15193" t="s">
        <v>2254</v>
      </c>
      <c r="E15193" t="s">
        <v>148</v>
      </c>
      <c r="F15193">
        <v>-10.37</v>
      </c>
      <c r="G15193">
        <v>230616</v>
      </c>
      <c r="H15193">
        <v>4364</v>
      </c>
      <c r="I15193" t="s">
        <v>296</v>
      </c>
      <c r="J15193">
        <v>-12.86</v>
      </c>
      <c r="K15193">
        <v>-2.4900000000000002</v>
      </c>
      <c r="L15193">
        <v>69702</v>
      </c>
      <c r="M15193" t="s">
        <v>489</v>
      </c>
      <c r="N15193" t="str">
        <f>"0700732688  "</f>
        <v xml:space="preserve">0700732688  </v>
      </c>
      <c r="O15193">
        <v>230628</v>
      </c>
    </row>
    <row r="15194" spans="1:15" x14ac:dyDescent="0.25">
      <c r="A15194" t="s">
        <v>16</v>
      </c>
      <c r="B15194" t="s">
        <v>3221</v>
      </c>
      <c r="C15194">
        <v>9683</v>
      </c>
      <c r="D15194" t="s">
        <v>2254</v>
      </c>
      <c r="E15194" t="s">
        <v>148</v>
      </c>
      <c r="F15194">
        <v>60.42</v>
      </c>
      <c r="G15194">
        <v>230630</v>
      </c>
      <c r="H15194">
        <v>4364</v>
      </c>
      <c r="I15194" t="s">
        <v>296</v>
      </c>
      <c r="J15194">
        <v>74.92</v>
      </c>
      <c r="K15194">
        <v>14.5</v>
      </c>
      <c r="L15194">
        <v>14971</v>
      </c>
      <c r="M15194" t="s">
        <v>1259</v>
      </c>
      <c r="N15194" t="str">
        <f t="shared" ref="N15194:N15200" si="217">"0618668760  "</f>
        <v xml:space="preserve">0618668760  </v>
      </c>
      <c r="O15194">
        <v>230719</v>
      </c>
    </row>
    <row r="15195" spans="1:15" x14ac:dyDescent="0.25">
      <c r="A15195" t="s">
        <v>16</v>
      </c>
      <c r="B15195" t="s">
        <v>3221</v>
      </c>
      <c r="C15195">
        <v>9683</v>
      </c>
      <c r="D15195" t="s">
        <v>2254</v>
      </c>
      <c r="E15195" t="s">
        <v>148</v>
      </c>
      <c r="F15195">
        <v>204.43</v>
      </c>
      <c r="G15195">
        <v>230630</v>
      </c>
      <c r="H15195">
        <v>4364</v>
      </c>
      <c r="I15195" t="s">
        <v>296</v>
      </c>
      <c r="J15195">
        <v>253.49</v>
      </c>
      <c r="K15195">
        <v>49.06</v>
      </c>
      <c r="L15195">
        <v>14971</v>
      </c>
      <c r="M15195" t="s">
        <v>1259</v>
      </c>
      <c r="N15195" t="str">
        <f t="shared" si="217"/>
        <v xml:space="preserve">0618668760  </v>
      </c>
      <c r="O15195">
        <v>230719</v>
      </c>
    </row>
    <row r="15196" spans="1:15" x14ac:dyDescent="0.25">
      <c r="A15196" t="s">
        <v>16</v>
      </c>
      <c r="B15196" t="s">
        <v>3221</v>
      </c>
      <c r="C15196">
        <v>9683</v>
      </c>
      <c r="D15196" t="s">
        <v>2254</v>
      </c>
      <c r="E15196" t="s">
        <v>148</v>
      </c>
      <c r="F15196">
        <v>661.26</v>
      </c>
      <c r="G15196">
        <v>230630</v>
      </c>
      <c r="H15196">
        <v>4364</v>
      </c>
      <c r="I15196" t="s">
        <v>296</v>
      </c>
      <c r="J15196">
        <v>819.96</v>
      </c>
      <c r="K15196">
        <v>158.69999999999999</v>
      </c>
      <c r="L15196">
        <v>17972</v>
      </c>
      <c r="M15196" t="s">
        <v>248</v>
      </c>
      <c r="N15196" t="str">
        <f t="shared" si="217"/>
        <v xml:space="preserve">0618668760  </v>
      </c>
      <c r="O15196">
        <v>230719</v>
      </c>
    </row>
    <row r="15197" spans="1:15" x14ac:dyDescent="0.25">
      <c r="A15197" t="s">
        <v>16</v>
      </c>
      <c r="B15197" t="s">
        <v>3221</v>
      </c>
      <c r="C15197">
        <v>9683</v>
      </c>
      <c r="D15197" t="s">
        <v>2254</v>
      </c>
      <c r="E15197" t="s">
        <v>148</v>
      </c>
      <c r="F15197">
        <v>345.55</v>
      </c>
      <c r="G15197">
        <v>230630</v>
      </c>
      <c r="H15197">
        <v>4364</v>
      </c>
      <c r="I15197" t="s">
        <v>296</v>
      </c>
      <c r="J15197">
        <v>428.48</v>
      </c>
      <c r="K15197">
        <v>82.93</v>
      </c>
      <c r="L15197">
        <v>49701</v>
      </c>
      <c r="M15197" t="s">
        <v>166</v>
      </c>
      <c r="N15197" t="str">
        <f t="shared" si="217"/>
        <v xml:space="preserve">0618668760  </v>
      </c>
      <c r="O15197">
        <v>230719</v>
      </c>
    </row>
    <row r="15198" spans="1:15" x14ac:dyDescent="0.25">
      <c r="A15198" t="s">
        <v>16</v>
      </c>
      <c r="B15198" t="s">
        <v>3221</v>
      </c>
      <c r="C15198">
        <v>9683</v>
      </c>
      <c r="D15198" t="s">
        <v>2254</v>
      </c>
      <c r="E15198" t="s">
        <v>148</v>
      </c>
      <c r="F15198">
        <v>118.42</v>
      </c>
      <c r="G15198">
        <v>230630</v>
      </c>
      <c r="H15198">
        <v>4364</v>
      </c>
      <c r="I15198" t="s">
        <v>296</v>
      </c>
      <c r="J15198">
        <v>146.84</v>
      </c>
      <c r="K15198">
        <v>28.42</v>
      </c>
      <c r="L15198">
        <v>59701</v>
      </c>
      <c r="M15198" t="s">
        <v>297</v>
      </c>
      <c r="N15198" t="str">
        <f t="shared" si="217"/>
        <v xml:space="preserve">0618668760  </v>
      </c>
      <c r="O15198">
        <v>230719</v>
      </c>
    </row>
    <row r="15199" spans="1:15" x14ac:dyDescent="0.25">
      <c r="A15199" t="s">
        <v>16</v>
      </c>
      <c r="B15199" t="s">
        <v>3221</v>
      </c>
      <c r="C15199">
        <v>9683</v>
      </c>
      <c r="D15199" t="s">
        <v>2254</v>
      </c>
      <c r="E15199" t="s">
        <v>148</v>
      </c>
      <c r="F15199">
        <v>450.58</v>
      </c>
      <c r="G15199">
        <v>230630</v>
      </c>
      <c r="H15199">
        <v>4364</v>
      </c>
      <c r="I15199" t="s">
        <v>296</v>
      </c>
      <c r="J15199">
        <v>558.72</v>
      </c>
      <c r="K15199">
        <v>108.14</v>
      </c>
      <c r="L15199">
        <v>69702</v>
      </c>
      <c r="M15199" t="s">
        <v>489</v>
      </c>
      <c r="N15199" t="str">
        <f t="shared" si="217"/>
        <v xml:space="preserve">0618668760  </v>
      </c>
      <c r="O15199">
        <v>230719</v>
      </c>
    </row>
    <row r="15200" spans="1:15" x14ac:dyDescent="0.25">
      <c r="A15200" t="s">
        <v>16</v>
      </c>
      <c r="B15200" t="s">
        <v>3221</v>
      </c>
      <c r="C15200">
        <v>9683</v>
      </c>
      <c r="D15200" t="s">
        <v>2254</v>
      </c>
      <c r="E15200" t="s">
        <v>148</v>
      </c>
      <c r="F15200">
        <v>171.33</v>
      </c>
      <c r="G15200">
        <v>230630</v>
      </c>
      <c r="H15200">
        <v>4364</v>
      </c>
      <c r="I15200" t="s">
        <v>296</v>
      </c>
      <c r="J15200">
        <v>212.45</v>
      </c>
      <c r="K15200">
        <v>41.12</v>
      </c>
      <c r="L15200">
        <v>69704</v>
      </c>
      <c r="M15200" t="s">
        <v>325</v>
      </c>
      <c r="N15200" t="str">
        <f t="shared" si="217"/>
        <v xml:space="preserve">0618668760  </v>
      </c>
      <c r="O15200">
        <v>230719</v>
      </c>
    </row>
    <row r="15201" spans="1:15" x14ac:dyDescent="0.25">
      <c r="A15201" t="s">
        <v>16</v>
      </c>
      <c r="B15201" t="s">
        <v>3221</v>
      </c>
      <c r="C15201">
        <v>10419</v>
      </c>
      <c r="D15201" t="s">
        <v>2254</v>
      </c>
      <c r="E15201" t="s">
        <v>148</v>
      </c>
      <c r="F15201">
        <v>11049.37</v>
      </c>
      <c r="G15201">
        <v>230731</v>
      </c>
      <c r="H15201">
        <v>4364</v>
      </c>
      <c r="I15201" t="s">
        <v>296</v>
      </c>
      <c r="J15201">
        <v>13701.22</v>
      </c>
      <c r="K15201">
        <v>2651.85</v>
      </c>
      <c r="L15201">
        <v>13801</v>
      </c>
      <c r="M15201" t="s">
        <v>162</v>
      </c>
      <c r="N15201" t="str">
        <f t="shared" ref="N15201:N15207" si="218">"0618729116  "</f>
        <v xml:space="preserve">0618729116  </v>
      </c>
      <c r="O15201">
        <v>230815</v>
      </c>
    </row>
    <row r="15202" spans="1:15" x14ac:dyDescent="0.25">
      <c r="A15202" t="s">
        <v>16</v>
      </c>
      <c r="B15202" t="s">
        <v>3221</v>
      </c>
      <c r="C15202">
        <v>10419</v>
      </c>
      <c r="D15202" t="s">
        <v>2254</v>
      </c>
      <c r="E15202" t="s">
        <v>148</v>
      </c>
      <c r="F15202">
        <v>204.09</v>
      </c>
      <c r="G15202">
        <v>230731</v>
      </c>
      <c r="H15202">
        <v>4364</v>
      </c>
      <c r="I15202" t="s">
        <v>296</v>
      </c>
      <c r="J15202">
        <v>253.07</v>
      </c>
      <c r="K15202">
        <v>48.98</v>
      </c>
      <c r="L15202">
        <v>14971</v>
      </c>
      <c r="M15202" t="s">
        <v>1259</v>
      </c>
      <c r="N15202" t="str">
        <f t="shared" si="218"/>
        <v xml:space="preserve">0618729116  </v>
      </c>
      <c r="O15202">
        <v>230815</v>
      </c>
    </row>
    <row r="15203" spans="1:15" x14ac:dyDescent="0.25">
      <c r="A15203" t="s">
        <v>16</v>
      </c>
      <c r="B15203" t="s">
        <v>3221</v>
      </c>
      <c r="C15203">
        <v>10419</v>
      </c>
      <c r="D15203" t="s">
        <v>2254</v>
      </c>
      <c r="E15203" t="s">
        <v>148</v>
      </c>
      <c r="F15203">
        <v>21</v>
      </c>
      <c r="G15203">
        <v>230731</v>
      </c>
      <c r="H15203">
        <v>4364</v>
      </c>
      <c r="I15203" t="s">
        <v>296</v>
      </c>
      <c r="J15203">
        <v>26.04</v>
      </c>
      <c r="K15203">
        <v>5.04</v>
      </c>
      <c r="L15203">
        <v>18971</v>
      </c>
      <c r="M15203" t="s">
        <v>63</v>
      </c>
      <c r="N15203" t="str">
        <f t="shared" si="218"/>
        <v xml:space="preserve">0618729116  </v>
      </c>
      <c r="O15203">
        <v>230815</v>
      </c>
    </row>
    <row r="15204" spans="1:15" x14ac:dyDescent="0.25">
      <c r="A15204" t="s">
        <v>16</v>
      </c>
      <c r="B15204" t="s">
        <v>3221</v>
      </c>
      <c r="C15204">
        <v>10419</v>
      </c>
      <c r="D15204" t="s">
        <v>2254</v>
      </c>
      <c r="E15204" t="s">
        <v>148</v>
      </c>
      <c r="F15204">
        <v>418.17</v>
      </c>
      <c r="G15204">
        <v>230731</v>
      </c>
      <c r="H15204">
        <v>4364</v>
      </c>
      <c r="I15204" t="s">
        <v>296</v>
      </c>
      <c r="J15204">
        <v>518.53</v>
      </c>
      <c r="K15204">
        <v>100.36</v>
      </c>
      <c r="L15204">
        <v>49701</v>
      </c>
      <c r="M15204" t="s">
        <v>166</v>
      </c>
      <c r="N15204" t="str">
        <f t="shared" si="218"/>
        <v xml:space="preserve">0618729116  </v>
      </c>
      <c r="O15204">
        <v>230815</v>
      </c>
    </row>
    <row r="15205" spans="1:15" x14ac:dyDescent="0.25">
      <c r="A15205" t="s">
        <v>16</v>
      </c>
      <c r="B15205" t="s">
        <v>3221</v>
      </c>
      <c r="C15205">
        <v>10419</v>
      </c>
      <c r="D15205" t="s">
        <v>2254</v>
      </c>
      <c r="E15205" t="s">
        <v>148</v>
      </c>
      <c r="F15205">
        <v>118.44</v>
      </c>
      <c r="G15205">
        <v>230731</v>
      </c>
      <c r="H15205">
        <v>4364</v>
      </c>
      <c r="I15205" t="s">
        <v>296</v>
      </c>
      <c r="J15205">
        <v>146.87</v>
      </c>
      <c r="K15205">
        <v>28.43</v>
      </c>
      <c r="L15205">
        <v>59701</v>
      </c>
      <c r="M15205" t="s">
        <v>297</v>
      </c>
      <c r="N15205" t="str">
        <f t="shared" si="218"/>
        <v xml:space="preserve">0618729116  </v>
      </c>
      <c r="O15205">
        <v>230815</v>
      </c>
    </row>
    <row r="15206" spans="1:15" x14ac:dyDescent="0.25">
      <c r="A15206" t="s">
        <v>16</v>
      </c>
      <c r="B15206" t="s">
        <v>3221</v>
      </c>
      <c r="C15206">
        <v>10419</v>
      </c>
      <c r="D15206" t="s">
        <v>2254</v>
      </c>
      <c r="E15206" t="s">
        <v>148</v>
      </c>
      <c r="F15206">
        <v>88.5</v>
      </c>
      <c r="G15206">
        <v>230731</v>
      </c>
      <c r="H15206">
        <v>4364</v>
      </c>
      <c r="I15206" t="s">
        <v>296</v>
      </c>
      <c r="J15206">
        <v>109.74</v>
      </c>
      <c r="K15206">
        <v>21.24</v>
      </c>
      <c r="L15206">
        <v>69702</v>
      </c>
      <c r="M15206" t="s">
        <v>489</v>
      </c>
      <c r="N15206" t="str">
        <f t="shared" si="218"/>
        <v xml:space="preserve">0618729116  </v>
      </c>
      <c r="O15206">
        <v>230815</v>
      </c>
    </row>
    <row r="15207" spans="1:15" x14ac:dyDescent="0.25">
      <c r="A15207" t="s">
        <v>16</v>
      </c>
      <c r="B15207" t="s">
        <v>3221</v>
      </c>
      <c r="C15207">
        <v>10419</v>
      </c>
      <c r="D15207" t="s">
        <v>2254</v>
      </c>
      <c r="E15207" t="s">
        <v>148</v>
      </c>
      <c r="F15207">
        <v>60.44</v>
      </c>
      <c r="G15207">
        <v>230731</v>
      </c>
      <c r="H15207">
        <v>4364</v>
      </c>
      <c r="I15207" t="s">
        <v>296</v>
      </c>
      <c r="J15207">
        <v>74.94</v>
      </c>
      <c r="K15207">
        <v>14.5</v>
      </c>
      <c r="L15207">
        <v>69704</v>
      </c>
      <c r="M15207" t="s">
        <v>325</v>
      </c>
      <c r="N15207" t="str">
        <f t="shared" si="218"/>
        <v xml:space="preserve">0618729116  </v>
      </c>
      <c r="O15207">
        <v>230815</v>
      </c>
    </row>
    <row r="15208" spans="1:15" x14ac:dyDescent="0.25">
      <c r="A15208" t="s">
        <v>16</v>
      </c>
      <c r="B15208" t="s">
        <v>3221</v>
      </c>
      <c r="C15208">
        <v>11780</v>
      </c>
      <c r="D15208" t="s">
        <v>2254</v>
      </c>
      <c r="E15208" t="s">
        <v>148</v>
      </c>
      <c r="F15208">
        <v>204.12</v>
      </c>
      <c r="G15208">
        <v>230831</v>
      </c>
      <c r="H15208">
        <v>4364</v>
      </c>
      <c r="I15208" t="s">
        <v>296</v>
      </c>
      <c r="J15208">
        <v>253.11</v>
      </c>
      <c r="K15208">
        <v>48.99</v>
      </c>
      <c r="L15208">
        <v>14971</v>
      </c>
      <c r="M15208" t="s">
        <v>1259</v>
      </c>
      <c r="N15208" t="str">
        <f t="shared" ref="N15208:N15213" si="219">"0618789464  "</f>
        <v xml:space="preserve">0618789464  </v>
      </c>
      <c r="O15208">
        <v>230911</v>
      </c>
    </row>
    <row r="15209" spans="1:15" x14ac:dyDescent="0.25">
      <c r="A15209" t="s">
        <v>16</v>
      </c>
      <c r="B15209" t="s">
        <v>3221</v>
      </c>
      <c r="C15209">
        <v>11780</v>
      </c>
      <c r="D15209" t="s">
        <v>2254</v>
      </c>
      <c r="E15209" t="s">
        <v>148</v>
      </c>
      <c r="F15209">
        <v>21</v>
      </c>
      <c r="G15209">
        <v>230831</v>
      </c>
      <c r="H15209">
        <v>4364</v>
      </c>
      <c r="I15209" t="s">
        <v>296</v>
      </c>
      <c r="J15209">
        <v>26.04</v>
      </c>
      <c r="K15209">
        <v>5.04</v>
      </c>
      <c r="L15209">
        <v>18972</v>
      </c>
      <c r="M15209" t="s">
        <v>163</v>
      </c>
      <c r="N15209" t="str">
        <f t="shared" si="219"/>
        <v xml:space="preserve">0618789464  </v>
      </c>
      <c r="O15209">
        <v>230911</v>
      </c>
    </row>
    <row r="15210" spans="1:15" x14ac:dyDescent="0.25">
      <c r="A15210" t="s">
        <v>16</v>
      </c>
      <c r="B15210" t="s">
        <v>3221</v>
      </c>
      <c r="C15210">
        <v>11780</v>
      </c>
      <c r="D15210" t="s">
        <v>2254</v>
      </c>
      <c r="E15210" t="s">
        <v>148</v>
      </c>
      <c r="F15210">
        <v>347.12</v>
      </c>
      <c r="G15210">
        <v>230831</v>
      </c>
      <c r="H15210">
        <v>4364</v>
      </c>
      <c r="I15210" t="s">
        <v>296</v>
      </c>
      <c r="J15210">
        <v>430.43</v>
      </c>
      <c r="K15210">
        <v>83.31</v>
      </c>
      <c r="L15210">
        <v>49701</v>
      </c>
      <c r="M15210" t="s">
        <v>166</v>
      </c>
      <c r="N15210" t="str">
        <f t="shared" si="219"/>
        <v xml:space="preserve">0618789464  </v>
      </c>
      <c r="O15210">
        <v>230911</v>
      </c>
    </row>
    <row r="15211" spans="1:15" x14ac:dyDescent="0.25">
      <c r="A15211" t="s">
        <v>16</v>
      </c>
      <c r="B15211" t="s">
        <v>3221</v>
      </c>
      <c r="C15211">
        <v>11780</v>
      </c>
      <c r="D15211" t="s">
        <v>2254</v>
      </c>
      <c r="E15211" t="s">
        <v>148</v>
      </c>
      <c r="F15211">
        <v>119</v>
      </c>
      <c r="G15211">
        <v>230831</v>
      </c>
      <c r="H15211">
        <v>4364</v>
      </c>
      <c r="I15211" t="s">
        <v>296</v>
      </c>
      <c r="J15211">
        <v>147.56</v>
      </c>
      <c r="K15211">
        <v>28.56</v>
      </c>
      <c r="L15211">
        <v>59701</v>
      </c>
      <c r="M15211" t="s">
        <v>297</v>
      </c>
      <c r="N15211" t="str">
        <f t="shared" si="219"/>
        <v xml:space="preserve">0618789464  </v>
      </c>
      <c r="O15211">
        <v>230911</v>
      </c>
    </row>
    <row r="15212" spans="1:15" x14ac:dyDescent="0.25">
      <c r="A15212" t="s">
        <v>16</v>
      </c>
      <c r="B15212" t="s">
        <v>3221</v>
      </c>
      <c r="C15212">
        <v>11780</v>
      </c>
      <c r="D15212" t="s">
        <v>2254</v>
      </c>
      <c r="E15212" t="s">
        <v>148</v>
      </c>
      <c r="F15212">
        <v>187.48</v>
      </c>
      <c r="G15212">
        <v>230831</v>
      </c>
      <c r="H15212">
        <v>4364</v>
      </c>
      <c r="I15212" t="s">
        <v>296</v>
      </c>
      <c r="J15212">
        <v>232.48</v>
      </c>
      <c r="K15212">
        <v>45</v>
      </c>
      <c r="L15212">
        <v>69702</v>
      </c>
      <c r="M15212" t="s">
        <v>489</v>
      </c>
      <c r="N15212" t="str">
        <f t="shared" si="219"/>
        <v xml:space="preserve">0618789464  </v>
      </c>
      <c r="O15212">
        <v>230911</v>
      </c>
    </row>
    <row r="15213" spans="1:15" x14ac:dyDescent="0.25">
      <c r="A15213" t="s">
        <v>16</v>
      </c>
      <c r="B15213" t="s">
        <v>3221</v>
      </c>
      <c r="C15213">
        <v>11780</v>
      </c>
      <c r="D15213" t="s">
        <v>2254</v>
      </c>
      <c r="E15213" t="s">
        <v>148</v>
      </c>
      <c r="F15213">
        <v>141.22</v>
      </c>
      <c r="G15213">
        <v>230831</v>
      </c>
      <c r="H15213">
        <v>4364</v>
      </c>
      <c r="I15213" t="s">
        <v>296</v>
      </c>
      <c r="J15213">
        <v>175.11</v>
      </c>
      <c r="K15213">
        <v>33.89</v>
      </c>
      <c r="L15213">
        <v>69704</v>
      </c>
      <c r="M15213" t="s">
        <v>325</v>
      </c>
      <c r="N15213" t="str">
        <f t="shared" si="219"/>
        <v xml:space="preserve">0618789464  </v>
      </c>
      <c r="O15213">
        <v>230911</v>
      </c>
    </row>
    <row r="15214" spans="1:15" x14ac:dyDescent="0.25">
      <c r="A15214" t="s">
        <v>16</v>
      </c>
      <c r="B15214" t="s">
        <v>3221</v>
      </c>
      <c r="C15214">
        <v>13815</v>
      </c>
      <c r="D15214" t="s">
        <v>2254</v>
      </c>
      <c r="E15214" t="s">
        <v>148</v>
      </c>
      <c r="F15214">
        <v>48.14</v>
      </c>
      <c r="G15214">
        <v>230930</v>
      </c>
      <c r="H15214">
        <v>4364</v>
      </c>
      <c r="I15214" t="s">
        <v>296</v>
      </c>
      <c r="J15214">
        <v>59.69</v>
      </c>
      <c r="K15214">
        <v>11.55</v>
      </c>
      <c r="L15214">
        <v>13561</v>
      </c>
      <c r="M15214" t="s">
        <v>246</v>
      </c>
      <c r="N15214" t="str">
        <f t="shared" ref="N15214:N15226" si="220">"0618850790  "</f>
        <v xml:space="preserve">0618850790  </v>
      </c>
      <c r="O15214">
        <v>231013</v>
      </c>
    </row>
    <row r="15215" spans="1:15" x14ac:dyDescent="0.25">
      <c r="A15215" t="s">
        <v>16</v>
      </c>
      <c r="B15215" t="s">
        <v>3221</v>
      </c>
      <c r="C15215">
        <v>13815</v>
      </c>
      <c r="D15215" t="s">
        <v>2254</v>
      </c>
      <c r="E15215" t="s">
        <v>148</v>
      </c>
      <c r="F15215">
        <v>205.09</v>
      </c>
      <c r="G15215">
        <v>230930</v>
      </c>
      <c r="H15215">
        <v>4364</v>
      </c>
      <c r="I15215" t="s">
        <v>296</v>
      </c>
      <c r="J15215">
        <v>254.31</v>
      </c>
      <c r="K15215">
        <v>49.22</v>
      </c>
      <c r="L15215">
        <v>14971</v>
      </c>
      <c r="M15215" t="s">
        <v>1259</v>
      </c>
      <c r="N15215" t="str">
        <f t="shared" si="220"/>
        <v xml:space="preserve">0618850790  </v>
      </c>
      <c r="O15215">
        <v>231013</v>
      </c>
    </row>
    <row r="15216" spans="1:15" x14ac:dyDescent="0.25">
      <c r="A15216" t="s">
        <v>16</v>
      </c>
      <c r="B15216" t="s">
        <v>3221</v>
      </c>
      <c r="C15216">
        <v>13815</v>
      </c>
      <c r="D15216" t="s">
        <v>2254</v>
      </c>
      <c r="E15216" t="s">
        <v>148</v>
      </c>
      <c r="F15216">
        <v>9.93</v>
      </c>
      <c r="G15216">
        <v>230930</v>
      </c>
      <c r="H15216">
        <v>4364</v>
      </c>
      <c r="I15216" t="s">
        <v>296</v>
      </c>
      <c r="J15216">
        <v>12.31</v>
      </c>
      <c r="K15216">
        <v>2.38</v>
      </c>
      <c r="L15216">
        <v>16121</v>
      </c>
      <c r="M15216" t="s">
        <v>21</v>
      </c>
      <c r="N15216" t="str">
        <f t="shared" si="220"/>
        <v xml:space="preserve">0618850790  </v>
      </c>
      <c r="O15216">
        <v>231013</v>
      </c>
    </row>
    <row r="15217" spans="1:15" x14ac:dyDescent="0.25">
      <c r="A15217" t="s">
        <v>16</v>
      </c>
      <c r="B15217" t="s">
        <v>3221</v>
      </c>
      <c r="C15217">
        <v>13815</v>
      </c>
      <c r="D15217" t="s">
        <v>2254</v>
      </c>
      <c r="E15217" t="s">
        <v>148</v>
      </c>
      <c r="F15217">
        <v>10.15</v>
      </c>
      <c r="G15217">
        <v>230930</v>
      </c>
      <c r="H15217">
        <v>4364</v>
      </c>
      <c r="I15217" t="s">
        <v>296</v>
      </c>
      <c r="J15217">
        <v>12.59</v>
      </c>
      <c r="K15217">
        <v>2.44</v>
      </c>
      <c r="L15217">
        <v>17524</v>
      </c>
      <c r="M15217" t="s">
        <v>452</v>
      </c>
      <c r="N15217" t="str">
        <f t="shared" si="220"/>
        <v xml:space="preserve">0618850790  </v>
      </c>
      <c r="O15217">
        <v>231013</v>
      </c>
    </row>
    <row r="15218" spans="1:15" x14ac:dyDescent="0.25">
      <c r="A15218" t="s">
        <v>16</v>
      </c>
      <c r="B15218" t="s">
        <v>3221</v>
      </c>
      <c r="C15218">
        <v>13815</v>
      </c>
      <c r="D15218" t="s">
        <v>2254</v>
      </c>
      <c r="E15218" t="s">
        <v>148</v>
      </c>
      <c r="F15218">
        <v>21.56</v>
      </c>
      <c r="G15218">
        <v>230930</v>
      </c>
      <c r="H15218">
        <v>4364</v>
      </c>
      <c r="I15218" t="s">
        <v>296</v>
      </c>
      <c r="J15218">
        <v>26.73</v>
      </c>
      <c r="K15218">
        <v>5.17</v>
      </c>
      <c r="L15218">
        <v>17525</v>
      </c>
      <c r="M15218" t="s">
        <v>135</v>
      </c>
      <c r="N15218" t="str">
        <f t="shared" si="220"/>
        <v xml:space="preserve">0618850790  </v>
      </c>
      <c r="O15218">
        <v>231013</v>
      </c>
    </row>
    <row r="15219" spans="1:15" x14ac:dyDescent="0.25">
      <c r="A15219" t="s">
        <v>16</v>
      </c>
      <c r="B15219" t="s">
        <v>3221</v>
      </c>
      <c r="C15219">
        <v>13815</v>
      </c>
      <c r="D15219" t="s">
        <v>2254</v>
      </c>
      <c r="E15219" t="s">
        <v>148</v>
      </c>
      <c r="F15219">
        <v>9.93</v>
      </c>
      <c r="G15219">
        <v>230930</v>
      </c>
      <c r="H15219">
        <v>4364</v>
      </c>
      <c r="I15219" t="s">
        <v>296</v>
      </c>
      <c r="J15219">
        <v>12.31</v>
      </c>
      <c r="K15219">
        <v>2.38</v>
      </c>
      <c r="L15219">
        <v>17538</v>
      </c>
      <c r="M15219" t="s">
        <v>24</v>
      </c>
      <c r="N15219" t="str">
        <f t="shared" si="220"/>
        <v xml:space="preserve">0618850790  </v>
      </c>
      <c r="O15219">
        <v>231013</v>
      </c>
    </row>
    <row r="15220" spans="1:15" x14ac:dyDescent="0.25">
      <c r="A15220" t="s">
        <v>16</v>
      </c>
      <c r="B15220" t="s">
        <v>3221</v>
      </c>
      <c r="C15220">
        <v>13815</v>
      </c>
      <c r="D15220" t="s">
        <v>2254</v>
      </c>
      <c r="E15220" t="s">
        <v>148</v>
      </c>
      <c r="F15220">
        <v>10.65</v>
      </c>
      <c r="G15220">
        <v>230930</v>
      </c>
      <c r="H15220">
        <v>4364</v>
      </c>
      <c r="I15220" t="s">
        <v>296</v>
      </c>
      <c r="J15220">
        <v>13.21</v>
      </c>
      <c r="K15220">
        <v>2.56</v>
      </c>
      <c r="L15220">
        <v>17538</v>
      </c>
      <c r="M15220" t="s">
        <v>24</v>
      </c>
      <c r="N15220" t="str">
        <f t="shared" si="220"/>
        <v xml:space="preserve">0618850790  </v>
      </c>
      <c r="O15220">
        <v>231013</v>
      </c>
    </row>
    <row r="15221" spans="1:15" x14ac:dyDescent="0.25">
      <c r="A15221" t="s">
        <v>16</v>
      </c>
      <c r="B15221" t="s">
        <v>3221</v>
      </c>
      <c r="C15221">
        <v>13815</v>
      </c>
      <c r="D15221" t="s">
        <v>2254</v>
      </c>
      <c r="E15221" t="s">
        <v>148</v>
      </c>
      <c r="F15221">
        <v>11.48</v>
      </c>
      <c r="G15221">
        <v>230930</v>
      </c>
      <c r="H15221">
        <v>4364</v>
      </c>
      <c r="I15221" t="s">
        <v>296</v>
      </c>
      <c r="J15221">
        <v>14.24</v>
      </c>
      <c r="K15221">
        <v>2.76</v>
      </c>
      <c r="L15221">
        <v>17538</v>
      </c>
      <c r="M15221" t="s">
        <v>24</v>
      </c>
      <c r="N15221" t="str">
        <f t="shared" si="220"/>
        <v xml:space="preserve">0618850790  </v>
      </c>
      <c r="O15221">
        <v>231013</v>
      </c>
    </row>
    <row r="15222" spans="1:15" x14ac:dyDescent="0.25">
      <c r="A15222" t="s">
        <v>16</v>
      </c>
      <c r="B15222" t="s">
        <v>3221</v>
      </c>
      <c r="C15222">
        <v>13815</v>
      </c>
      <c r="D15222" t="s">
        <v>2254</v>
      </c>
      <c r="E15222" t="s">
        <v>148</v>
      </c>
      <c r="F15222">
        <v>21</v>
      </c>
      <c r="G15222">
        <v>230930</v>
      </c>
      <c r="H15222">
        <v>4364</v>
      </c>
      <c r="I15222" t="s">
        <v>296</v>
      </c>
      <c r="J15222">
        <v>26.04</v>
      </c>
      <c r="K15222">
        <v>5.04</v>
      </c>
      <c r="L15222">
        <v>18972</v>
      </c>
      <c r="M15222" t="s">
        <v>163</v>
      </c>
      <c r="N15222" t="str">
        <f t="shared" si="220"/>
        <v xml:space="preserve">0618850790  </v>
      </c>
      <c r="O15222">
        <v>231013</v>
      </c>
    </row>
    <row r="15223" spans="1:15" x14ac:dyDescent="0.25">
      <c r="A15223" t="s">
        <v>16</v>
      </c>
      <c r="B15223" t="s">
        <v>3221</v>
      </c>
      <c r="C15223">
        <v>13815</v>
      </c>
      <c r="D15223" t="s">
        <v>2254</v>
      </c>
      <c r="E15223" t="s">
        <v>148</v>
      </c>
      <c r="F15223">
        <v>349.6</v>
      </c>
      <c r="G15223">
        <v>230930</v>
      </c>
      <c r="H15223">
        <v>4364</v>
      </c>
      <c r="I15223" t="s">
        <v>296</v>
      </c>
      <c r="J15223">
        <v>433.5</v>
      </c>
      <c r="K15223">
        <v>83.9</v>
      </c>
      <c r="L15223">
        <v>49701</v>
      </c>
      <c r="M15223" t="s">
        <v>166</v>
      </c>
      <c r="N15223" t="str">
        <f t="shared" si="220"/>
        <v xml:space="preserve">0618850790  </v>
      </c>
      <c r="O15223">
        <v>231013</v>
      </c>
    </row>
    <row r="15224" spans="1:15" x14ac:dyDescent="0.25">
      <c r="A15224" t="s">
        <v>16</v>
      </c>
      <c r="B15224" t="s">
        <v>3221</v>
      </c>
      <c r="C15224">
        <v>13815</v>
      </c>
      <c r="D15224" t="s">
        <v>2254</v>
      </c>
      <c r="E15224" t="s">
        <v>148</v>
      </c>
      <c r="F15224">
        <v>119.91</v>
      </c>
      <c r="G15224">
        <v>230930</v>
      </c>
      <c r="H15224">
        <v>4364</v>
      </c>
      <c r="I15224" t="s">
        <v>296</v>
      </c>
      <c r="J15224">
        <v>148.69</v>
      </c>
      <c r="K15224">
        <v>28.78</v>
      </c>
      <c r="L15224">
        <v>59701</v>
      </c>
      <c r="M15224" t="s">
        <v>297</v>
      </c>
      <c r="N15224" t="str">
        <f t="shared" si="220"/>
        <v xml:space="preserve">0618850790  </v>
      </c>
      <c r="O15224">
        <v>231013</v>
      </c>
    </row>
    <row r="15225" spans="1:15" x14ac:dyDescent="0.25">
      <c r="A15225" t="s">
        <v>16</v>
      </c>
      <c r="B15225" t="s">
        <v>3221</v>
      </c>
      <c r="C15225">
        <v>13815</v>
      </c>
      <c r="D15225" t="s">
        <v>2254</v>
      </c>
      <c r="E15225" t="s">
        <v>148</v>
      </c>
      <c r="F15225">
        <v>156.41999999999999</v>
      </c>
      <c r="G15225">
        <v>230930</v>
      </c>
      <c r="H15225">
        <v>4364</v>
      </c>
      <c r="I15225" t="s">
        <v>296</v>
      </c>
      <c r="J15225">
        <v>193.96</v>
      </c>
      <c r="K15225">
        <v>37.54</v>
      </c>
      <c r="L15225">
        <v>69702</v>
      </c>
      <c r="M15225" t="s">
        <v>489</v>
      </c>
      <c r="N15225" t="str">
        <f t="shared" si="220"/>
        <v xml:space="preserve">0618850790  </v>
      </c>
      <c r="O15225">
        <v>231013</v>
      </c>
    </row>
    <row r="15226" spans="1:15" x14ac:dyDescent="0.25">
      <c r="A15226" t="s">
        <v>16</v>
      </c>
      <c r="B15226" t="s">
        <v>3221</v>
      </c>
      <c r="C15226">
        <v>13815</v>
      </c>
      <c r="D15226" t="s">
        <v>2254</v>
      </c>
      <c r="E15226" t="s">
        <v>148</v>
      </c>
      <c r="F15226">
        <v>178.51</v>
      </c>
      <c r="G15226">
        <v>230930</v>
      </c>
      <c r="H15226">
        <v>4364</v>
      </c>
      <c r="I15226" t="s">
        <v>296</v>
      </c>
      <c r="J15226">
        <v>221.35</v>
      </c>
      <c r="K15226">
        <v>42.84</v>
      </c>
      <c r="L15226">
        <v>69704</v>
      </c>
      <c r="M15226" t="s">
        <v>325</v>
      </c>
      <c r="N15226" t="str">
        <f t="shared" si="220"/>
        <v xml:space="preserve">0618850790  </v>
      </c>
      <c r="O15226">
        <v>231013</v>
      </c>
    </row>
    <row r="15227" spans="1:15" x14ac:dyDescent="0.25">
      <c r="A15227" t="s">
        <v>16</v>
      </c>
      <c r="B15227" t="s">
        <v>3221</v>
      </c>
      <c r="C15227">
        <v>15825</v>
      </c>
      <c r="D15227" t="s">
        <v>2254</v>
      </c>
      <c r="E15227" t="s">
        <v>148</v>
      </c>
      <c r="F15227">
        <v>44.53</v>
      </c>
      <c r="G15227">
        <v>231031</v>
      </c>
      <c r="H15227">
        <v>4364</v>
      </c>
      <c r="I15227" t="s">
        <v>296</v>
      </c>
      <c r="J15227">
        <v>55.22</v>
      </c>
      <c r="K15227">
        <v>10.69</v>
      </c>
      <c r="L15227">
        <v>11301</v>
      </c>
      <c r="M15227" t="s">
        <v>29</v>
      </c>
      <c r="N15227" t="str">
        <f t="shared" ref="N15227:N15234" si="221">"0618909037  "</f>
        <v xml:space="preserve">0618909037  </v>
      </c>
      <c r="O15227">
        <v>231120</v>
      </c>
    </row>
    <row r="15228" spans="1:15" x14ac:dyDescent="0.25">
      <c r="A15228" t="s">
        <v>16</v>
      </c>
      <c r="B15228" t="s">
        <v>3221</v>
      </c>
      <c r="C15228">
        <v>15825</v>
      </c>
      <c r="D15228" t="s">
        <v>2254</v>
      </c>
      <c r="E15228" t="s">
        <v>148</v>
      </c>
      <c r="F15228">
        <v>16.96</v>
      </c>
      <c r="G15228">
        <v>231031</v>
      </c>
      <c r="H15228">
        <v>4364</v>
      </c>
      <c r="I15228" t="s">
        <v>296</v>
      </c>
      <c r="J15228">
        <v>21.03</v>
      </c>
      <c r="K15228">
        <v>4.07</v>
      </c>
      <c r="L15228">
        <v>13561</v>
      </c>
      <c r="M15228" t="s">
        <v>246</v>
      </c>
      <c r="N15228" t="str">
        <f t="shared" si="221"/>
        <v xml:space="preserve">0618909037  </v>
      </c>
      <c r="O15228">
        <v>231120</v>
      </c>
    </row>
    <row r="15229" spans="1:15" x14ac:dyDescent="0.25">
      <c r="A15229" t="s">
        <v>16</v>
      </c>
      <c r="B15229" t="s">
        <v>3221</v>
      </c>
      <c r="C15229">
        <v>15825</v>
      </c>
      <c r="D15229" t="s">
        <v>2254</v>
      </c>
      <c r="E15229" t="s">
        <v>148</v>
      </c>
      <c r="F15229">
        <v>218.44</v>
      </c>
      <c r="G15229">
        <v>231031</v>
      </c>
      <c r="H15229">
        <v>4364</v>
      </c>
      <c r="I15229" t="s">
        <v>296</v>
      </c>
      <c r="J15229">
        <v>270.87</v>
      </c>
      <c r="K15229">
        <v>52.43</v>
      </c>
      <c r="L15229">
        <v>14971</v>
      </c>
      <c r="M15229" t="s">
        <v>1259</v>
      </c>
      <c r="N15229" t="str">
        <f t="shared" si="221"/>
        <v xml:space="preserve">0618909037  </v>
      </c>
      <c r="O15229">
        <v>231120</v>
      </c>
    </row>
    <row r="15230" spans="1:15" x14ac:dyDescent="0.25">
      <c r="A15230" t="s">
        <v>16</v>
      </c>
      <c r="B15230" t="s">
        <v>3221</v>
      </c>
      <c r="C15230">
        <v>15825</v>
      </c>
      <c r="D15230" t="s">
        <v>2254</v>
      </c>
      <c r="E15230" t="s">
        <v>148</v>
      </c>
      <c r="F15230">
        <v>21</v>
      </c>
      <c r="G15230">
        <v>231031</v>
      </c>
      <c r="H15230">
        <v>4364</v>
      </c>
      <c r="I15230" t="s">
        <v>296</v>
      </c>
      <c r="J15230">
        <v>26.04</v>
      </c>
      <c r="K15230">
        <v>5.04</v>
      </c>
      <c r="L15230">
        <v>18972</v>
      </c>
      <c r="M15230" t="s">
        <v>163</v>
      </c>
      <c r="N15230" t="str">
        <f t="shared" si="221"/>
        <v xml:space="preserve">0618909037  </v>
      </c>
      <c r="O15230">
        <v>231120</v>
      </c>
    </row>
    <row r="15231" spans="1:15" x14ac:dyDescent="0.25">
      <c r="A15231" t="s">
        <v>16</v>
      </c>
      <c r="B15231" t="s">
        <v>3221</v>
      </c>
      <c r="C15231">
        <v>15825</v>
      </c>
      <c r="D15231" t="s">
        <v>2254</v>
      </c>
      <c r="E15231" t="s">
        <v>148</v>
      </c>
      <c r="F15231">
        <v>369.74</v>
      </c>
      <c r="G15231">
        <v>231031</v>
      </c>
      <c r="H15231">
        <v>4364</v>
      </c>
      <c r="I15231" t="s">
        <v>296</v>
      </c>
      <c r="J15231">
        <v>458.48</v>
      </c>
      <c r="K15231">
        <v>88.74</v>
      </c>
      <c r="L15231">
        <v>49701</v>
      </c>
      <c r="M15231" t="s">
        <v>166</v>
      </c>
      <c r="N15231" t="str">
        <f t="shared" si="221"/>
        <v xml:space="preserve">0618909037  </v>
      </c>
      <c r="O15231">
        <v>231120</v>
      </c>
    </row>
    <row r="15232" spans="1:15" x14ac:dyDescent="0.25">
      <c r="A15232" t="s">
        <v>16</v>
      </c>
      <c r="B15232" t="s">
        <v>3221</v>
      </c>
      <c r="C15232">
        <v>15825</v>
      </c>
      <c r="D15232" t="s">
        <v>2254</v>
      </c>
      <c r="E15232" t="s">
        <v>148</v>
      </c>
      <c r="F15232">
        <v>127.29</v>
      </c>
      <c r="G15232">
        <v>231031</v>
      </c>
      <c r="H15232">
        <v>4364</v>
      </c>
      <c r="I15232" t="s">
        <v>296</v>
      </c>
      <c r="J15232">
        <v>157.84</v>
      </c>
      <c r="K15232">
        <v>30.55</v>
      </c>
      <c r="L15232">
        <v>59701</v>
      </c>
      <c r="M15232" t="s">
        <v>297</v>
      </c>
      <c r="N15232" t="str">
        <f t="shared" si="221"/>
        <v xml:space="preserve">0618909037  </v>
      </c>
      <c r="O15232">
        <v>231120</v>
      </c>
    </row>
    <row r="15233" spans="1:15" x14ac:dyDescent="0.25">
      <c r="A15233" t="s">
        <v>16</v>
      </c>
      <c r="B15233" t="s">
        <v>3221</v>
      </c>
      <c r="C15233">
        <v>15825</v>
      </c>
      <c r="D15233" t="s">
        <v>2254</v>
      </c>
      <c r="E15233" t="s">
        <v>148</v>
      </c>
      <c r="F15233">
        <v>163.38999999999999</v>
      </c>
      <c r="G15233">
        <v>231031</v>
      </c>
      <c r="H15233">
        <v>4364</v>
      </c>
      <c r="I15233" t="s">
        <v>296</v>
      </c>
      <c r="J15233">
        <v>202.6</v>
      </c>
      <c r="K15233">
        <v>39.21</v>
      </c>
      <c r="L15233">
        <v>69702</v>
      </c>
      <c r="M15233" t="s">
        <v>489</v>
      </c>
      <c r="N15233" t="str">
        <f t="shared" si="221"/>
        <v xml:space="preserve">0618909037  </v>
      </c>
      <c r="O15233">
        <v>231120</v>
      </c>
    </row>
    <row r="15234" spans="1:15" x14ac:dyDescent="0.25">
      <c r="A15234" t="s">
        <v>16</v>
      </c>
      <c r="B15234" t="s">
        <v>3221</v>
      </c>
      <c r="C15234">
        <v>15825</v>
      </c>
      <c r="D15234" t="s">
        <v>2254</v>
      </c>
      <c r="E15234" t="s">
        <v>148</v>
      </c>
      <c r="F15234">
        <v>118.51</v>
      </c>
      <c r="G15234">
        <v>231031</v>
      </c>
      <c r="H15234">
        <v>4364</v>
      </c>
      <c r="I15234" t="s">
        <v>296</v>
      </c>
      <c r="J15234">
        <v>146.94999999999999</v>
      </c>
      <c r="K15234">
        <v>28.44</v>
      </c>
      <c r="L15234">
        <v>69704</v>
      </c>
      <c r="M15234" t="s">
        <v>325</v>
      </c>
      <c r="N15234" t="str">
        <f t="shared" si="221"/>
        <v xml:space="preserve">0618909037  </v>
      </c>
      <c r="O15234">
        <v>231120</v>
      </c>
    </row>
    <row r="15235" spans="1:15" x14ac:dyDescent="0.25">
      <c r="A15235" t="s">
        <v>16</v>
      </c>
      <c r="B15235" t="s">
        <v>3221</v>
      </c>
      <c r="C15235">
        <v>17628</v>
      </c>
      <c r="D15235" t="s">
        <v>2254</v>
      </c>
      <c r="E15235" t="s">
        <v>148</v>
      </c>
      <c r="F15235">
        <v>219.38</v>
      </c>
      <c r="G15235">
        <v>231130</v>
      </c>
      <c r="H15235">
        <v>4364</v>
      </c>
      <c r="I15235" t="s">
        <v>296</v>
      </c>
      <c r="J15235">
        <v>272.02999999999997</v>
      </c>
      <c r="K15235">
        <v>52.65</v>
      </c>
      <c r="L15235">
        <v>14971</v>
      </c>
      <c r="M15235" t="s">
        <v>1259</v>
      </c>
      <c r="N15235" t="str">
        <f t="shared" ref="N15235:N15240" si="222">"0618999686  "</f>
        <v xml:space="preserve">0618999686  </v>
      </c>
      <c r="O15235">
        <v>231215</v>
      </c>
    </row>
    <row r="15236" spans="1:15" x14ac:dyDescent="0.25">
      <c r="A15236" t="s">
        <v>16</v>
      </c>
      <c r="B15236" t="s">
        <v>3221</v>
      </c>
      <c r="C15236">
        <v>17628</v>
      </c>
      <c r="D15236" t="s">
        <v>2254</v>
      </c>
      <c r="E15236" t="s">
        <v>148</v>
      </c>
      <c r="F15236">
        <v>21</v>
      </c>
      <c r="G15236">
        <v>231130</v>
      </c>
      <c r="H15236">
        <v>4364</v>
      </c>
      <c r="I15236" t="s">
        <v>296</v>
      </c>
      <c r="J15236">
        <v>26.04</v>
      </c>
      <c r="K15236">
        <v>5.04</v>
      </c>
      <c r="L15236">
        <v>18971</v>
      </c>
      <c r="M15236" t="s">
        <v>63</v>
      </c>
      <c r="N15236" t="str">
        <f t="shared" si="222"/>
        <v xml:space="preserve">0618999686  </v>
      </c>
      <c r="O15236">
        <v>231215</v>
      </c>
    </row>
    <row r="15237" spans="1:15" x14ac:dyDescent="0.25">
      <c r="A15237" t="s">
        <v>16</v>
      </c>
      <c r="B15237" t="s">
        <v>3221</v>
      </c>
      <c r="C15237">
        <v>17628</v>
      </c>
      <c r="D15237" t="s">
        <v>2254</v>
      </c>
      <c r="E15237" t="s">
        <v>148</v>
      </c>
      <c r="F15237">
        <v>368.24</v>
      </c>
      <c r="G15237">
        <v>231130</v>
      </c>
      <c r="H15237">
        <v>4364</v>
      </c>
      <c r="I15237" t="s">
        <v>296</v>
      </c>
      <c r="J15237">
        <v>456.62</v>
      </c>
      <c r="K15237">
        <v>88.38</v>
      </c>
      <c r="L15237">
        <v>49701</v>
      </c>
      <c r="M15237" t="s">
        <v>166</v>
      </c>
      <c r="N15237" t="str">
        <f t="shared" si="222"/>
        <v xml:space="preserve">0618999686  </v>
      </c>
      <c r="O15237">
        <v>231215</v>
      </c>
    </row>
    <row r="15238" spans="1:15" x14ac:dyDescent="0.25">
      <c r="A15238" t="s">
        <v>16</v>
      </c>
      <c r="B15238" t="s">
        <v>3221</v>
      </c>
      <c r="C15238">
        <v>17628</v>
      </c>
      <c r="D15238" t="s">
        <v>2254</v>
      </c>
      <c r="E15238" t="s">
        <v>148</v>
      </c>
      <c r="F15238">
        <v>126.74</v>
      </c>
      <c r="G15238">
        <v>231130</v>
      </c>
      <c r="H15238">
        <v>4364</v>
      </c>
      <c r="I15238" t="s">
        <v>296</v>
      </c>
      <c r="J15238">
        <v>157.16</v>
      </c>
      <c r="K15238">
        <v>30.42</v>
      </c>
      <c r="L15238">
        <v>59701</v>
      </c>
      <c r="M15238" t="s">
        <v>297</v>
      </c>
      <c r="N15238" t="str">
        <f t="shared" si="222"/>
        <v xml:space="preserve">0618999686  </v>
      </c>
      <c r="O15238">
        <v>231215</v>
      </c>
    </row>
    <row r="15239" spans="1:15" x14ac:dyDescent="0.25">
      <c r="A15239" t="s">
        <v>16</v>
      </c>
      <c r="B15239" t="s">
        <v>3221</v>
      </c>
      <c r="C15239">
        <v>17628</v>
      </c>
      <c r="D15239" t="s">
        <v>2254</v>
      </c>
      <c r="E15239" t="s">
        <v>148</v>
      </c>
      <c r="F15239">
        <v>153.19</v>
      </c>
      <c r="G15239">
        <v>231130</v>
      </c>
      <c r="H15239">
        <v>4364</v>
      </c>
      <c r="I15239" t="s">
        <v>296</v>
      </c>
      <c r="J15239">
        <v>189.96</v>
      </c>
      <c r="K15239">
        <v>36.770000000000003</v>
      </c>
      <c r="L15239">
        <v>69702</v>
      </c>
      <c r="M15239" t="s">
        <v>489</v>
      </c>
      <c r="N15239" t="str">
        <f t="shared" si="222"/>
        <v xml:space="preserve">0618999686  </v>
      </c>
      <c r="O15239">
        <v>231215</v>
      </c>
    </row>
    <row r="15240" spans="1:15" x14ac:dyDescent="0.25">
      <c r="A15240" t="s">
        <v>16</v>
      </c>
      <c r="B15240" t="s">
        <v>3221</v>
      </c>
      <c r="C15240">
        <v>17628</v>
      </c>
      <c r="D15240" t="s">
        <v>2254</v>
      </c>
      <c r="E15240" t="s">
        <v>148</v>
      </c>
      <c r="F15240">
        <v>90.74</v>
      </c>
      <c r="G15240">
        <v>231130</v>
      </c>
      <c r="H15240">
        <v>4364</v>
      </c>
      <c r="I15240" t="s">
        <v>296</v>
      </c>
      <c r="J15240">
        <v>112.52</v>
      </c>
      <c r="K15240">
        <v>21.78</v>
      </c>
      <c r="L15240">
        <v>69704</v>
      </c>
      <c r="M15240" t="s">
        <v>325</v>
      </c>
      <c r="N15240" t="str">
        <f t="shared" si="222"/>
        <v xml:space="preserve">0618999686  </v>
      </c>
      <c r="O15240">
        <v>231215</v>
      </c>
    </row>
    <row r="15241" spans="1:15" x14ac:dyDescent="0.25">
      <c r="A15241" t="s">
        <v>16</v>
      </c>
      <c r="B15241" t="s">
        <v>3221</v>
      </c>
      <c r="C15241">
        <v>18992</v>
      </c>
      <c r="D15241" t="s">
        <v>2254</v>
      </c>
      <c r="E15241" t="s">
        <v>148</v>
      </c>
      <c r="F15241">
        <v>218.44</v>
      </c>
      <c r="G15241">
        <v>231231</v>
      </c>
      <c r="H15241">
        <v>4364</v>
      </c>
      <c r="I15241" t="s">
        <v>296</v>
      </c>
      <c r="J15241">
        <v>270.87</v>
      </c>
      <c r="K15241">
        <v>52.43</v>
      </c>
      <c r="L15241">
        <v>14971</v>
      </c>
      <c r="M15241" t="s">
        <v>1259</v>
      </c>
      <c r="N15241" t="str">
        <f t="shared" ref="N15241:N15247" si="223">"0619076231  "</f>
        <v xml:space="preserve">0619076231  </v>
      </c>
      <c r="O15241">
        <v>240109</v>
      </c>
    </row>
    <row r="15242" spans="1:15" x14ac:dyDescent="0.25">
      <c r="A15242" t="s">
        <v>16</v>
      </c>
      <c r="B15242" t="s">
        <v>3221</v>
      </c>
      <c r="C15242">
        <v>18992</v>
      </c>
      <c r="D15242" t="s">
        <v>2254</v>
      </c>
      <c r="E15242" t="s">
        <v>148</v>
      </c>
      <c r="F15242">
        <v>139.35</v>
      </c>
      <c r="G15242">
        <v>231231</v>
      </c>
      <c r="H15242">
        <v>4364</v>
      </c>
      <c r="I15242" t="s">
        <v>296</v>
      </c>
      <c r="J15242">
        <v>172.79</v>
      </c>
      <c r="K15242">
        <v>33.44</v>
      </c>
      <c r="L15242">
        <v>17971</v>
      </c>
      <c r="M15242" t="s">
        <v>138</v>
      </c>
      <c r="N15242" t="str">
        <f t="shared" si="223"/>
        <v xml:space="preserve">0619076231  </v>
      </c>
      <c r="O15242">
        <v>240109</v>
      </c>
    </row>
    <row r="15243" spans="1:15" x14ac:dyDescent="0.25">
      <c r="A15243" t="s">
        <v>16</v>
      </c>
      <c r="B15243" t="s">
        <v>3221</v>
      </c>
      <c r="C15243">
        <v>18992</v>
      </c>
      <c r="D15243" t="s">
        <v>2254</v>
      </c>
      <c r="E15243" t="s">
        <v>148</v>
      </c>
      <c r="F15243">
        <v>21</v>
      </c>
      <c r="G15243">
        <v>231231</v>
      </c>
      <c r="H15243">
        <v>4364</v>
      </c>
      <c r="I15243" t="s">
        <v>296</v>
      </c>
      <c r="J15243">
        <v>26.04</v>
      </c>
      <c r="K15243">
        <v>5.04</v>
      </c>
      <c r="L15243">
        <v>18972</v>
      </c>
      <c r="M15243" t="s">
        <v>163</v>
      </c>
      <c r="N15243" t="str">
        <f t="shared" si="223"/>
        <v xml:space="preserve">0619076231  </v>
      </c>
      <c r="O15243">
        <v>240109</v>
      </c>
    </row>
    <row r="15244" spans="1:15" x14ac:dyDescent="0.25">
      <c r="A15244" t="s">
        <v>16</v>
      </c>
      <c r="B15244" t="s">
        <v>3221</v>
      </c>
      <c r="C15244">
        <v>18992</v>
      </c>
      <c r="D15244" t="s">
        <v>2254</v>
      </c>
      <c r="E15244" t="s">
        <v>148</v>
      </c>
      <c r="F15244">
        <v>366.9</v>
      </c>
      <c r="G15244">
        <v>231231</v>
      </c>
      <c r="H15244">
        <v>4364</v>
      </c>
      <c r="I15244" t="s">
        <v>296</v>
      </c>
      <c r="J15244">
        <v>454.96</v>
      </c>
      <c r="K15244">
        <v>88.06</v>
      </c>
      <c r="L15244">
        <v>49701</v>
      </c>
      <c r="M15244" t="s">
        <v>166</v>
      </c>
      <c r="N15244" t="str">
        <f t="shared" si="223"/>
        <v xml:space="preserve">0619076231  </v>
      </c>
      <c r="O15244">
        <v>240109</v>
      </c>
    </row>
    <row r="15245" spans="1:15" x14ac:dyDescent="0.25">
      <c r="A15245" t="s">
        <v>16</v>
      </c>
      <c r="B15245" t="s">
        <v>3221</v>
      </c>
      <c r="C15245">
        <v>18992</v>
      </c>
      <c r="D15245" t="s">
        <v>2254</v>
      </c>
      <c r="E15245" t="s">
        <v>148</v>
      </c>
      <c r="F15245">
        <v>126.25</v>
      </c>
      <c r="G15245">
        <v>231231</v>
      </c>
      <c r="H15245">
        <v>4364</v>
      </c>
      <c r="I15245" t="s">
        <v>296</v>
      </c>
      <c r="J15245">
        <v>156.55000000000001</v>
      </c>
      <c r="K15245">
        <v>30.3</v>
      </c>
      <c r="L15245">
        <v>59701</v>
      </c>
      <c r="M15245" t="s">
        <v>297</v>
      </c>
      <c r="N15245" t="str">
        <f t="shared" si="223"/>
        <v xml:space="preserve">0619076231  </v>
      </c>
      <c r="O15245">
        <v>240109</v>
      </c>
    </row>
    <row r="15246" spans="1:15" x14ac:dyDescent="0.25">
      <c r="A15246" t="s">
        <v>16</v>
      </c>
      <c r="B15246" t="s">
        <v>3221</v>
      </c>
      <c r="C15246">
        <v>18992</v>
      </c>
      <c r="D15246" t="s">
        <v>2254</v>
      </c>
      <c r="E15246" t="s">
        <v>148</v>
      </c>
      <c r="F15246">
        <v>189.1</v>
      </c>
      <c r="G15246">
        <v>231231</v>
      </c>
      <c r="H15246">
        <v>4364</v>
      </c>
      <c r="I15246" t="s">
        <v>296</v>
      </c>
      <c r="J15246">
        <v>234.48</v>
      </c>
      <c r="K15246">
        <v>45.38</v>
      </c>
      <c r="L15246">
        <v>69702</v>
      </c>
      <c r="M15246" t="s">
        <v>489</v>
      </c>
      <c r="N15246" t="str">
        <f t="shared" si="223"/>
        <v xml:space="preserve">0619076231  </v>
      </c>
      <c r="O15246">
        <v>240109</v>
      </c>
    </row>
    <row r="15247" spans="1:15" x14ac:dyDescent="0.25">
      <c r="A15247" t="s">
        <v>16</v>
      </c>
      <c r="B15247" t="s">
        <v>3221</v>
      </c>
      <c r="C15247">
        <v>18992</v>
      </c>
      <c r="D15247" t="s">
        <v>2254</v>
      </c>
      <c r="E15247" t="s">
        <v>148</v>
      </c>
      <c r="F15247">
        <v>113.18</v>
      </c>
      <c r="G15247">
        <v>231231</v>
      </c>
      <c r="H15247">
        <v>4364</v>
      </c>
      <c r="I15247" t="s">
        <v>296</v>
      </c>
      <c r="J15247">
        <v>140.34</v>
      </c>
      <c r="K15247">
        <v>27.16</v>
      </c>
      <c r="L15247">
        <v>69704</v>
      </c>
      <c r="M15247" t="s">
        <v>325</v>
      </c>
      <c r="N15247" t="str">
        <f t="shared" si="223"/>
        <v xml:space="preserve">0619076231  </v>
      </c>
      <c r="O15247">
        <v>240109</v>
      </c>
    </row>
    <row r="15248" spans="1:15" x14ac:dyDescent="0.25">
      <c r="A15248" t="s">
        <v>16</v>
      </c>
      <c r="B15248" t="s">
        <v>3221</v>
      </c>
      <c r="C15248">
        <v>6859</v>
      </c>
      <c r="D15248" t="s">
        <v>1142</v>
      </c>
      <c r="E15248" t="s">
        <v>148</v>
      </c>
      <c r="F15248">
        <v>1130.96</v>
      </c>
      <c r="G15248">
        <v>230507</v>
      </c>
      <c r="H15248">
        <v>4420</v>
      </c>
      <c r="I15248" t="s">
        <v>132</v>
      </c>
      <c r="J15248">
        <v>1402.39</v>
      </c>
      <c r="K15248">
        <v>271.43</v>
      </c>
      <c r="L15248">
        <v>56564</v>
      </c>
      <c r="M15248" t="s">
        <v>327</v>
      </c>
      <c r="N15248" t="str">
        <f>"0618575384  "</f>
        <v xml:space="preserve">0618575384  </v>
      </c>
      <c r="O15248">
        <v>230523</v>
      </c>
    </row>
    <row r="15249" spans="1:15" x14ac:dyDescent="0.25">
      <c r="A15249" t="s">
        <v>16</v>
      </c>
      <c r="B15249" t="s">
        <v>3221</v>
      </c>
      <c r="C15249">
        <v>1694</v>
      </c>
      <c r="D15249" t="s">
        <v>1142</v>
      </c>
      <c r="E15249" t="s">
        <v>148</v>
      </c>
      <c r="F15249">
        <v>2677</v>
      </c>
      <c r="G15249">
        <v>230205</v>
      </c>
      <c r="H15249">
        <v>4364</v>
      </c>
      <c r="I15249" t="s">
        <v>296</v>
      </c>
      <c r="J15249">
        <v>3319.48</v>
      </c>
      <c r="K15249">
        <v>642.48</v>
      </c>
      <c r="L15249">
        <v>11101</v>
      </c>
      <c r="M15249" t="s">
        <v>110</v>
      </c>
      <c r="N15249" t="str">
        <f>"0618384325  "</f>
        <v xml:space="preserve">0618384325  </v>
      </c>
      <c r="O15249">
        <v>230213</v>
      </c>
    </row>
    <row r="15250" spans="1:15" x14ac:dyDescent="0.25">
      <c r="A15250" t="s">
        <v>16</v>
      </c>
      <c r="B15250" t="s">
        <v>3221</v>
      </c>
      <c r="C15250">
        <v>1694</v>
      </c>
      <c r="D15250" t="s">
        <v>1142</v>
      </c>
      <c r="E15250" t="s">
        <v>148</v>
      </c>
      <c r="F15250">
        <v>1175</v>
      </c>
      <c r="G15250">
        <v>230205</v>
      </c>
      <c r="H15250">
        <v>4364</v>
      </c>
      <c r="I15250" t="s">
        <v>296</v>
      </c>
      <c r="J15250">
        <v>1457</v>
      </c>
      <c r="K15250">
        <v>282</v>
      </c>
      <c r="L15250">
        <v>13861</v>
      </c>
      <c r="M15250" t="s">
        <v>1143</v>
      </c>
      <c r="N15250" t="str">
        <f>"0618384325  "</f>
        <v xml:space="preserve">0618384325  </v>
      </c>
      <c r="O15250">
        <v>230213</v>
      </c>
    </row>
    <row r="15251" spans="1:15" x14ac:dyDescent="0.25">
      <c r="A15251" t="s">
        <v>16</v>
      </c>
      <c r="B15251" t="s">
        <v>3221</v>
      </c>
      <c r="C15251">
        <v>2014</v>
      </c>
      <c r="D15251" t="s">
        <v>1142</v>
      </c>
      <c r="E15251" t="s">
        <v>148</v>
      </c>
      <c r="F15251">
        <v>197.79</v>
      </c>
      <c r="G15251">
        <v>230131</v>
      </c>
      <c r="H15251">
        <v>4364</v>
      </c>
      <c r="I15251" t="s">
        <v>296</v>
      </c>
      <c r="J15251">
        <v>245.26</v>
      </c>
      <c r="K15251">
        <v>47.47</v>
      </c>
      <c r="L15251">
        <v>14971</v>
      </c>
      <c r="M15251" t="s">
        <v>1259</v>
      </c>
      <c r="N15251" t="str">
        <f t="shared" ref="N15251:N15257" si="224">"0618360763  "</f>
        <v xml:space="preserve">0618360763  </v>
      </c>
      <c r="O15251">
        <v>230217</v>
      </c>
    </row>
    <row r="15252" spans="1:15" x14ac:dyDescent="0.25">
      <c r="A15252" t="s">
        <v>16</v>
      </c>
      <c r="B15252" t="s">
        <v>3221</v>
      </c>
      <c r="C15252">
        <v>2014</v>
      </c>
      <c r="D15252" t="s">
        <v>1142</v>
      </c>
      <c r="E15252" t="s">
        <v>148</v>
      </c>
      <c r="F15252">
        <v>18.12</v>
      </c>
      <c r="G15252">
        <v>230131</v>
      </c>
      <c r="H15252">
        <v>4364</v>
      </c>
      <c r="I15252" t="s">
        <v>296</v>
      </c>
      <c r="J15252">
        <v>22.47</v>
      </c>
      <c r="K15252">
        <v>4.3499999999999996</v>
      </c>
      <c r="L15252">
        <v>16121</v>
      </c>
      <c r="M15252" t="s">
        <v>21</v>
      </c>
      <c r="N15252" t="str">
        <f t="shared" si="224"/>
        <v xml:space="preserve">0618360763  </v>
      </c>
      <c r="O15252">
        <v>230217</v>
      </c>
    </row>
    <row r="15253" spans="1:15" x14ac:dyDescent="0.25">
      <c r="A15253" t="s">
        <v>16</v>
      </c>
      <c r="B15253" t="s">
        <v>3221</v>
      </c>
      <c r="C15253">
        <v>2014</v>
      </c>
      <c r="D15253" t="s">
        <v>1142</v>
      </c>
      <c r="E15253" t="s">
        <v>148</v>
      </c>
      <c r="F15253">
        <v>19.05</v>
      </c>
      <c r="G15253">
        <v>230131</v>
      </c>
      <c r="H15253">
        <v>4364</v>
      </c>
      <c r="I15253" t="s">
        <v>296</v>
      </c>
      <c r="J15253">
        <v>23.62</v>
      </c>
      <c r="K15253">
        <v>4.57</v>
      </c>
      <c r="L15253">
        <v>18972</v>
      </c>
      <c r="M15253" t="s">
        <v>163</v>
      </c>
      <c r="N15253" t="str">
        <f t="shared" si="224"/>
        <v xml:space="preserve">0618360763  </v>
      </c>
      <c r="O15253">
        <v>230217</v>
      </c>
    </row>
    <row r="15254" spans="1:15" x14ac:dyDescent="0.25">
      <c r="A15254" t="s">
        <v>16</v>
      </c>
      <c r="B15254" t="s">
        <v>3221</v>
      </c>
      <c r="C15254">
        <v>2014</v>
      </c>
      <c r="D15254" t="s">
        <v>1142</v>
      </c>
      <c r="E15254" t="s">
        <v>148</v>
      </c>
      <c r="F15254">
        <v>337.8</v>
      </c>
      <c r="G15254">
        <v>230131</v>
      </c>
      <c r="H15254">
        <v>4364</v>
      </c>
      <c r="I15254" t="s">
        <v>296</v>
      </c>
      <c r="J15254">
        <v>418.87</v>
      </c>
      <c r="K15254">
        <v>81.069999999999993</v>
      </c>
      <c r="L15254">
        <v>49701</v>
      </c>
      <c r="M15254" t="s">
        <v>166</v>
      </c>
      <c r="N15254" t="str">
        <f t="shared" si="224"/>
        <v xml:space="preserve">0618360763  </v>
      </c>
      <c r="O15254">
        <v>230217</v>
      </c>
    </row>
    <row r="15255" spans="1:15" x14ac:dyDescent="0.25">
      <c r="A15255" t="s">
        <v>16</v>
      </c>
      <c r="B15255" t="s">
        <v>3221</v>
      </c>
      <c r="C15255">
        <v>2014</v>
      </c>
      <c r="D15255" t="s">
        <v>1142</v>
      </c>
      <c r="E15255" t="s">
        <v>148</v>
      </c>
      <c r="F15255">
        <v>116.31</v>
      </c>
      <c r="G15255">
        <v>230131</v>
      </c>
      <c r="H15255">
        <v>4364</v>
      </c>
      <c r="I15255" t="s">
        <v>296</v>
      </c>
      <c r="J15255">
        <v>144.22</v>
      </c>
      <c r="K15255">
        <v>27.91</v>
      </c>
      <c r="L15255">
        <v>59701</v>
      </c>
      <c r="M15255" t="s">
        <v>297</v>
      </c>
      <c r="N15255" t="str">
        <f t="shared" si="224"/>
        <v xml:space="preserve">0618360763  </v>
      </c>
      <c r="O15255">
        <v>230217</v>
      </c>
    </row>
    <row r="15256" spans="1:15" x14ac:dyDescent="0.25">
      <c r="A15256" t="s">
        <v>16</v>
      </c>
      <c r="B15256" t="s">
        <v>3221</v>
      </c>
      <c r="C15256">
        <v>2014</v>
      </c>
      <c r="D15256" t="s">
        <v>1142</v>
      </c>
      <c r="E15256" t="s">
        <v>148</v>
      </c>
      <c r="F15256">
        <v>181.39</v>
      </c>
      <c r="G15256">
        <v>230131</v>
      </c>
      <c r="H15256">
        <v>4364</v>
      </c>
      <c r="I15256" t="s">
        <v>296</v>
      </c>
      <c r="J15256">
        <v>224.92</v>
      </c>
      <c r="K15256">
        <v>43.53</v>
      </c>
      <c r="L15256">
        <v>69701</v>
      </c>
      <c r="M15256" t="s">
        <v>488</v>
      </c>
      <c r="N15256" t="str">
        <f t="shared" si="224"/>
        <v xml:space="preserve">0618360763  </v>
      </c>
      <c r="O15256">
        <v>230217</v>
      </c>
    </row>
    <row r="15257" spans="1:15" x14ac:dyDescent="0.25">
      <c r="A15257" t="s">
        <v>16</v>
      </c>
      <c r="B15257" t="s">
        <v>3221</v>
      </c>
      <c r="C15257">
        <v>2014</v>
      </c>
      <c r="D15257" t="s">
        <v>1142</v>
      </c>
      <c r="E15257" t="s">
        <v>148</v>
      </c>
      <c r="F15257">
        <v>97.48</v>
      </c>
      <c r="G15257">
        <v>230131</v>
      </c>
      <c r="H15257">
        <v>4364</v>
      </c>
      <c r="I15257" t="s">
        <v>296</v>
      </c>
      <c r="J15257">
        <v>120.87</v>
      </c>
      <c r="K15257">
        <v>23.39</v>
      </c>
      <c r="L15257">
        <v>69703</v>
      </c>
      <c r="M15257" t="s">
        <v>1036</v>
      </c>
      <c r="N15257" t="str">
        <f t="shared" si="224"/>
        <v xml:space="preserve">0618360763  </v>
      </c>
      <c r="O15257">
        <v>230217</v>
      </c>
    </row>
    <row r="15258" spans="1:15" x14ac:dyDescent="0.25">
      <c r="A15258" t="s">
        <v>16</v>
      </c>
      <c r="B15258" t="s">
        <v>3221</v>
      </c>
      <c r="C15258">
        <v>3576</v>
      </c>
      <c r="D15258" t="s">
        <v>1142</v>
      </c>
      <c r="E15258" t="s">
        <v>148</v>
      </c>
      <c r="F15258">
        <v>9.06</v>
      </c>
      <c r="G15258">
        <v>230228</v>
      </c>
      <c r="H15258">
        <v>4364</v>
      </c>
      <c r="I15258" t="s">
        <v>296</v>
      </c>
      <c r="J15258">
        <v>11.23</v>
      </c>
      <c r="K15258">
        <v>2.17</v>
      </c>
      <c r="L15258">
        <v>13561</v>
      </c>
      <c r="M15258" t="s">
        <v>246</v>
      </c>
      <c r="N15258" t="str">
        <f t="shared" ref="N15258:N15269" si="225">"0618428640  "</f>
        <v xml:space="preserve">0618428640  </v>
      </c>
      <c r="O15258">
        <v>230317</v>
      </c>
    </row>
    <row r="15259" spans="1:15" x14ac:dyDescent="0.25">
      <c r="A15259" t="s">
        <v>16</v>
      </c>
      <c r="B15259" t="s">
        <v>3221</v>
      </c>
      <c r="C15259">
        <v>3576</v>
      </c>
      <c r="D15259" t="s">
        <v>1142</v>
      </c>
      <c r="E15259" t="s">
        <v>148</v>
      </c>
      <c r="F15259">
        <v>249.44</v>
      </c>
      <c r="G15259">
        <v>230228</v>
      </c>
      <c r="H15259">
        <v>4364</v>
      </c>
      <c r="I15259" t="s">
        <v>296</v>
      </c>
      <c r="J15259">
        <v>309.31</v>
      </c>
      <c r="K15259">
        <v>59.87</v>
      </c>
      <c r="L15259">
        <v>14971</v>
      </c>
      <c r="M15259" t="s">
        <v>1259</v>
      </c>
      <c r="N15259" t="str">
        <f t="shared" si="225"/>
        <v xml:space="preserve">0618428640  </v>
      </c>
      <c r="O15259">
        <v>230317</v>
      </c>
    </row>
    <row r="15260" spans="1:15" x14ac:dyDescent="0.25">
      <c r="A15260" t="s">
        <v>16</v>
      </c>
      <c r="B15260" t="s">
        <v>3221</v>
      </c>
      <c r="C15260">
        <v>3576</v>
      </c>
      <c r="D15260" t="s">
        <v>1142</v>
      </c>
      <c r="E15260" t="s">
        <v>148</v>
      </c>
      <c r="F15260">
        <v>9.06</v>
      </c>
      <c r="G15260">
        <v>230228</v>
      </c>
      <c r="H15260">
        <v>4364</v>
      </c>
      <c r="I15260" t="s">
        <v>296</v>
      </c>
      <c r="J15260">
        <v>11.23</v>
      </c>
      <c r="K15260">
        <v>2.17</v>
      </c>
      <c r="L15260">
        <v>16121</v>
      </c>
      <c r="M15260" t="s">
        <v>21</v>
      </c>
      <c r="N15260" t="str">
        <f t="shared" si="225"/>
        <v xml:space="preserve">0618428640  </v>
      </c>
      <c r="O15260">
        <v>230317</v>
      </c>
    </row>
    <row r="15261" spans="1:15" x14ac:dyDescent="0.25">
      <c r="A15261" t="s">
        <v>16</v>
      </c>
      <c r="B15261" t="s">
        <v>3221</v>
      </c>
      <c r="C15261">
        <v>3576</v>
      </c>
      <c r="D15261" t="s">
        <v>1142</v>
      </c>
      <c r="E15261" t="s">
        <v>148</v>
      </c>
      <c r="F15261">
        <v>10.36</v>
      </c>
      <c r="G15261">
        <v>230228</v>
      </c>
      <c r="H15261">
        <v>4364</v>
      </c>
      <c r="I15261" t="s">
        <v>296</v>
      </c>
      <c r="J15261">
        <v>12.85</v>
      </c>
      <c r="K15261">
        <v>2.4900000000000002</v>
      </c>
      <c r="L15261">
        <v>17532</v>
      </c>
      <c r="M15261" t="s">
        <v>543</v>
      </c>
      <c r="N15261" t="str">
        <f t="shared" si="225"/>
        <v xml:space="preserve">0618428640  </v>
      </c>
      <c r="O15261">
        <v>230317</v>
      </c>
    </row>
    <row r="15262" spans="1:15" x14ac:dyDescent="0.25">
      <c r="A15262" t="s">
        <v>16</v>
      </c>
      <c r="B15262" t="s">
        <v>3221</v>
      </c>
      <c r="C15262">
        <v>3576</v>
      </c>
      <c r="D15262" t="s">
        <v>1142</v>
      </c>
      <c r="E15262" t="s">
        <v>148</v>
      </c>
      <c r="F15262">
        <v>42.61</v>
      </c>
      <c r="G15262">
        <v>230228</v>
      </c>
      <c r="H15262">
        <v>4364</v>
      </c>
      <c r="I15262" t="s">
        <v>296</v>
      </c>
      <c r="J15262">
        <v>52.84</v>
      </c>
      <c r="K15262">
        <v>10.23</v>
      </c>
      <c r="L15262">
        <v>17538</v>
      </c>
      <c r="M15262" t="s">
        <v>24</v>
      </c>
      <c r="N15262" t="str">
        <f t="shared" si="225"/>
        <v xml:space="preserve">0618428640  </v>
      </c>
      <c r="O15262">
        <v>230317</v>
      </c>
    </row>
    <row r="15263" spans="1:15" x14ac:dyDescent="0.25">
      <c r="A15263" t="s">
        <v>16</v>
      </c>
      <c r="B15263" t="s">
        <v>3221</v>
      </c>
      <c r="C15263">
        <v>3576</v>
      </c>
      <c r="D15263" t="s">
        <v>1142</v>
      </c>
      <c r="E15263" t="s">
        <v>148</v>
      </c>
      <c r="F15263">
        <v>16.25</v>
      </c>
      <c r="G15263">
        <v>230228</v>
      </c>
      <c r="H15263">
        <v>4364</v>
      </c>
      <c r="I15263" t="s">
        <v>296</v>
      </c>
      <c r="J15263">
        <v>20.149999999999999</v>
      </c>
      <c r="K15263">
        <v>3.9</v>
      </c>
      <c r="L15263">
        <v>17803</v>
      </c>
      <c r="M15263" t="s">
        <v>389</v>
      </c>
      <c r="N15263" t="str">
        <f t="shared" si="225"/>
        <v xml:space="preserve">0618428640  </v>
      </c>
      <c r="O15263">
        <v>230317</v>
      </c>
    </row>
    <row r="15264" spans="1:15" x14ac:dyDescent="0.25">
      <c r="A15264" t="s">
        <v>16</v>
      </c>
      <c r="B15264" t="s">
        <v>3221</v>
      </c>
      <c r="C15264">
        <v>3576</v>
      </c>
      <c r="D15264" t="s">
        <v>1142</v>
      </c>
      <c r="E15264" t="s">
        <v>148</v>
      </c>
      <c r="F15264">
        <v>9.06</v>
      </c>
      <c r="G15264">
        <v>230228</v>
      </c>
      <c r="H15264">
        <v>4364</v>
      </c>
      <c r="I15264" t="s">
        <v>296</v>
      </c>
      <c r="J15264">
        <v>11.23</v>
      </c>
      <c r="K15264">
        <v>2.17</v>
      </c>
      <c r="L15264">
        <v>17972</v>
      </c>
      <c r="M15264" t="s">
        <v>248</v>
      </c>
      <c r="N15264" t="str">
        <f t="shared" si="225"/>
        <v xml:space="preserve">0618428640  </v>
      </c>
      <c r="O15264">
        <v>230317</v>
      </c>
    </row>
    <row r="15265" spans="1:15" x14ac:dyDescent="0.25">
      <c r="A15265" t="s">
        <v>16</v>
      </c>
      <c r="B15265" t="s">
        <v>3221</v>
      </c>
      <c r="C15265">
        <v>3576</v>
      </c>
      <c r="D15265" t="s">
        <v>1142</v>
      </c>
      <c r="E15265" t="s">
        <v>148</v>
      </c>
      <c r="F15265">
        <v>19.05</v>
      </c>
      <c r="G15265">
        <v>230228</v>
      </c>
      <c r="H15265">
        <v>4364</v>
      </c>
      <c r="I15265" t="s">
        <v>296</v>
      </c>
      <c r="J15265">
        <v>23.62</v>
      </c>
      <c r="K15265">
        <v>4.57</v>
      </c>
      <c r="L15265">
        <v>18971</v>
      </c>
      <c r="M15265" t="s">
        <v>63</v>
      </c>
      <c r="N15265" t="str">
        <f t="shared" si="225"/>
        <v xml:space="preserve">0618428640  </v>
      </c>
      <c r="O15265">
        <v>230317</v>
      </c>
    </row>
    <row r="15266" spans="1:15" x14ac:dyDescent="0.25">
      <c r="A15266" t="s">
        <v>16</v>
      </c>
      <c r="B15266" t="s">
        <v>3221</v>
      </c>
      <c r="C15266">
        <v>3576</v>
      </c>
      <c r="D15266" t="s">
        <v>1142</v>
      </c>
      <c r="E15266" t="s">
        <v>148</v>
      </c>
      <c r="F15266">
        <v>336.22</v>
      </c>
      <c r="G15266">
        <v>230228</v>
      </c>
      <c r="H15266">
        <v>4364</v>
      </c>
      <c r="I15266" t="s">
        <v>296</v>
      </c>
      <c r="J15266">
        <v>416.91</v>
      </c>
      <c r="K15266">
        <v>80.69</v>
      </c>
      <c r="L15266">
        <v>49701</v>
      </c>
      <c r="M15266" t="s">
        <v>166</v>
      </c>
      <c r="N15266" t="str">
        <f t="shared" si="225"/>
        <v xml:space="preserve">0618428640  </v>
      </c>
      <c r="O15266">
        <v>230317</v>
      </c>
    </row>
    <row r="15267" spans="1:15" x14ac:dyDescent="0.25">
      <c r="A15267" t="s">
        <v>16</v>
      </c>
      <c r="B15267" t="s">
        <v>3221</v>
      </c>
      <c r="C15267">
        <v>3576</v>
      </c>
      <c r="D15267" t="s">
        <v>1142</v>
      </c>
      <c r="E15267" t="s">
        <v>148</v>
      </c>
      <c r="F15267">
        <v>115.73</v>
      </c>
      <c r="G15267">
        <v>230228</v>
      </c>
      <c r="H15267">
        <v>4364</v>
      </c>
      <c r="I15267" t="s">
        <v>296</v>
      </c>
      <c r="J15267">
        <v>143.51</v>
      </c>
      <c r="K15267">
        <v>27.78</v>
      </c>
      <c r="L15267">
        <v>59701</v>
      </c>
      <c r="M15267" t="s">
        <v>297</v>
      </c>
      <c r="N15267" t="str">
        <f t="shared" si="225"/>
        <v xml:space="preserve">0618428640  </v>
      </c>
      <c r="O15267">
        <v>230317</v>
      </c>
    </row>
    <row r="15268" spans="1:15" x14ac:dyDescent="0.25">
      <c r="A15268" t="s">
        <v>16</v>
      </c>
      <c r="B15268" t="s">
        <v>3221</v>
      </c>
      <c r="C15268">
        <v>3576</v>
      </c>
      <c r="D15268" t="s">
        <v>1142</v>
      </c>
      <c r="E15268" t="s">
        <v>148</v>
      </c>
      <c r="F15268">
        <v>113.06</v>
      </c>
      <c r="G15268">
        <v>230228</v>
      </c>
      <c r="H15268">
        <v>4364</v>
      </c>
      <c r="I15268" t="s">
        <v>296</v>
      </c>
      <c r="J15268">
        <v>140.19999999999999</v>
      </c>
      <c r="K15268">
        <v>27.14</v>
      </c>
      <c r="L15268">
        <v>69702</v>
      </c>
      <c r="M15268" t="s">
        <v>489</v>
      </c>
      <c r="N15268" t="str">
        <f t="shared" si="225"/>
        <v xml:space="preserve">0618428640  </v>
      </c>
      <c r="O15268">
        <v>230317</v>
      </c>
    </row>
    <row r="15269" spans="1:15" x14ac:dyDescent="0.25">
      <c r="A15269" t="s">
        <v>16</v>
      </c>
      <c r="B15269" t="s">
        <v>3221</v>
      </c>
      <c r="C15269">
        <v>3576</v>
      </c>
      <c r="D15269" t="s">
        <v>1142</v>
      </c>
      <c r="E15269" t="s">
        <v>148</v>
      </c>
      <c r="F15269">
        <v>109.56</v>
      </c>
      <c r="G15269">
        <v>230228</v>
      </c>
      <c r="H15269">
        <v>4364</v>
      </c>
      <c r="I15269" t="s">
        <v>296</v>
      </c>
      <c r="J15269">
        <v>135.86000000000001</v>
      </c>
      <c r="K15269">
        <v>26.3</v>
      </c>
      <c r="L15269">
        <v>69704</v>
      </c>
      <c r="M15269" t="s">
        <v>325</v>
      </c>
      <c r="N15269" t="str">
        <f t="shared" si="225"/>
        <v xml:space="preserve">0618428640  </v>
      </c>
      <c r="O15269">
        <v>230317</v>
      </c>
    </row>
    <row r="15270" spans="1:15" x14ac:dyDescent="0.25">
      <c r="A15270" t="s">
        <v>16</v>
      </c>
      <c r="B15270" t="s">
        <v>3221</v>
      </c>
      <c r="C15270">
        <v>3899</v>
      </c>
      <c r="D15270" t="s">
        <v>1142</v>
      </c>
      <c r="E15270" t="s">
        <v>148</v>
      </c>
      <c r="F15270">
        <v>202.96</v>
      </c>
      <c r="G15270">
        <v>230319</v>
      </c>
      <c r="H15270">
        <v>4364</v>
      </c>
      <c r="I15270" t="s">
        <v>296</v>
      </c>
      <c r="J15270">
        <v>251.67</v>
      </c>
      <c r="K15270">
        <v>48.71</v>
      </c>
      <c r="L15270">
        <v>56558</v>
      </c>
      <c r="M15270" t="s">
        <v>217</v>
      </c>
      <c r="N15270" t="str">
        <f>"0618467345  "</f>
        <v xml:space="preserve">0618467345  </v>
      </c>
      <c r="O15270">
        <v>230324</v>
      </c>
    </row>
    <row r="15271" spans="1:15" x14ac:dyDescent="0.25">
      <c r="A15271" t="s">
        <v>16</v>
      </c>
      <c r="B15271" t="s">
        <v>3221</v>
      </c>
      <c r="C15271">
        <v>3970</v>
      </c>
      <c r="D15271" t="s">
        <v>1142</v>
      </c>
      <c r="E15271" t="s">
        <v>148</v>
      </c>
      <c r="F15271">
        <v>291.67</v>
      </c>
      <c r="G15271">
        <v>230319</v>
      </c>
      <c r="H15271">
        <v>4364</v>
      </c>
      <c r="I15271" t="s">
        <v>296</v>
      </c>
      <c r="J15271">
        <v>361.67</v>
      </c>
      <c r="K15271">
        <v>70</v>
      </c>
      <c r="L15271">
        <v>59701</v>
      </c>
      <c r="M15271" t="s">
        <v>297</v>
      </c>
      <c r="N15271" t="str">
        <f>"0618467344  "</f>
        <v xml:space="preserve">0618467344  </v>
      </c>
      <c r="O15271">
        <v>230328</v>
      </c>
    </row>
    <row r="15272" spans="1:15" x14ac:dyDescent="0.25">
      <c r="A15272" t="s">
        <v>16</v>
      </c>
      <c r="B15272" t="s">
        <v>3221</v>
      </c>
      <c r="C15272">
        <v>5053</v>
      </c>
      <c r="D15272" t="s">
        <v>1142</v>
      </c>
      <c r="E15272" t="s">
        <v>148</v>
      </c>
      <c r="F15272">
        <v>199.47</v>
      </c>
      <c r="G15272">
        <v>230331</v>
      </c>
      <c r="H15272">
        <v>4364</v>
      </c>
      <c r="I15272" t="s">
        <v>296</v>
      </c>
      <c r="J15272">
        <v>247.34</v>
      </c>
      <c r="K15272">
        <v>47.87</v>
      </c>
      <c r="L15272">
        <v>14971</v>
      </c>
      <c r="M15272" t="s">
        <v>1259</v>
      </c>
      <c r="N15272" t="str">
        <f t="shared" ref="N15272:N15282" si="226">"0618493749  "</f>
        <v xml:space="preserve">0618493749  </v>
      </c>
      <c r="O15272">
        <v>230418</v>
      </c>
    </row>
    <row r="15273" spans="1:15" x14ac:dyDescent="0.25">
      <c r="A15273" t="s">
        <v>16</v>
      </c>
      <c r="B15273" t="s">
        <v>3221</v>
      </c>
      <c r="C15273">
        <v>5053</v>
      </c>
      <c r="D15273" t="s">
        <v>1142</v>
      </c>
      <c r="E15273" t="s">
        <v>148</v>
      </c>
      <c r="F15273">
        <v>27.18</v>
      </c>
      <c r="G15273">
        <v>230331</v>
      </c>
      <c r="H15273">
        <v>4364</v>
      </c>
      <c r="I15273" t="s">
        <v>296</v>
      </c>
      <c r="J15273">
        <v>33.700000000000003</v>
      </c>
      <c r="K15273">
        <v>6.52</v>
      </c>
      <c r="L15273">
        <v>16121</v>
      </c>
      <c r="M15273" t="s">
        <v>21</v>
      </c>
      <c r="N15273" t="str">
        <f t="shared" si="226"/>
        <v xml:space="preserve">0618493749  </v>
      </c>
      <c r="O15273">
        <v>230418</v>
      </c>
    </row>
    <row r="15274" spans="1:15" x14ac:dyDescent="0.25">
      <c r="A15274" t="s">
        <v>16</v>
      </c>
      <c r="B15274" t="s">
        <v>3221</v>
      </c>
      <c r="C15274">
        <v>5053</v>
      </c>
      <c r="D15274" t="s">
        <v>1142</v>
      </c>
      <c r="E15274" t="s">
        <v>148</v>
      </c>
      <c r="F15274">
        <v>55.23</v>
      </c>
      <c r="G15274">
        <v>230331</v>
      </c>
      <c r="H15274">
        <v>4364</v>
      </c>
      <c r="I15274" t="s">
        <v>296</v>
      </c>
      <c r="J15274">
        <v>55.23</v>
      </c>
      <c r="K15274">
        <v>0</v>
      </c>
      <c r="L15274">
        <v>17525</v>
      </c>
      <c r="M15274" t="s">
        <v>135</v>
      </c>
      <c r="N15274" t="str">
        <f t="shared" si="226"/>
        <v xml:space="preserve">0618493749  </v>
      </c>
      <c r="O15274">
        <v>230418</v>
      </c>
    </row>
    <row r="15275" spans="1:15" x14ac:dyDescent="0.25">
      <c r="A15275" t="s">
        <v>16</v>
      </c>
      <c r="B15275" t="s">
        <v>3221</v>
      </c>
      <c r="C15275">
        <v>5053</v>
      </c>
      <c r="D15275" t="s">
        <v>1142</v>
      </c>
      <c r="E15275" t="s">
        <v>148</v>
      </c>
      <c r="F15275">
        <v>10.3</v>
      </c>
      <c r="G15275">
        <v>230331</v>
      </c>
      <c r="H15275">
        <v>4364</v>
      </c>
      <c r="I15275" t="s">
        <v>296</v>
      </c>
      <c r="J15275">
        <v>12.77</v>
      </c>
      <c r="K15275">
        <v>2.4700000000000002</v>
      </c>
      <c r="L15275">
        <v>17534</v>
      </c>
      <c r="M15275" t="s">
        <v>440</v>
      </c>
      <c r="N15275" t="str">
        <f t="shared" si="226"/>
        <v xml:space="preserve">0618493749  </v>
      </c>
      <c r="O15275">
        <v>230418</v>
      </c>
    </row>
    <row r="15276" spans="1:15" x14ac:dyDescent="0.25">
      <c r="A15276" t="s">
        <v>16</v>
      </c>
      <c r="B15276" t="s">
        <v>3221</v>
      </c>
      <c r="C15276">
        <v>5053</v>
      </c>
      <c r="D15276" t="s">
        <v>1142</v>
      </c>
      <c r="E15276" t="s">
        <v>148</v>
      </c>
      <c r="F15276">
        <v>27.18</v>
      </c>
      <c r="G15276">
        <v>230331</v>
      </c>
      <c r="H15276">
        <v>4364</v>
      </c>
      <c r="I15276" t="s">
        <v>296</v>
      </c>
      <c r="J15276">
        <v>33.700000000000003</v>
      </c>
      <c r="K15276">
        <v>6.52</v>
      </c>
      <c r="L15276">
        <v>17538</v>
      </c>
      <c r="M15276" t="s">
        <v>24</v>
      </c>
      <c r="N15276" t="str">
        <f t="shared" si="226"/>
        <v xml:space="preserve">0618493749  </v>
      </c>
      <c r="O15276">
        <v>230418</v>
      </c>
    </row>
    <row r="15277" spans="1:15" x14ac:dyDescent="0.25">
      <c r="A15277" t="s">
        <v>16</v>
      </c>
      <c r="B15277" t="s">
        <v>3221</v>
      </c>
      <c r="C15277">
        <v>5053</v>
      </c>
      <c r="D15277" t="s">
        <v>1142</v>
      </c>
      <c r="E15277" t="s">
        <v>148</v>
      </c>
      <c r="F15277">
        <v>36.24</v>
      </c>
      <c r="G15277">
        <v>230331</v>
      </c>
      <c r="H15277">
        <v>4364</v>
      </c>
      <c r="I15277" t="s">
        <v>296</v>
      </c>
      <c r="J15277">
        <v>44.94</v>
      </c>
      <c r="K15277">
        <v>8.6999999999999993</v>
      </c>
      <c r="L15277">
        <v>17538</v>
      </c>
      <c r="M15277" t="s">
        <v>24</v>
      </c>
      <c r="N15277" t="str">
        <f t="shared" si="226"/>
        <v xml:space="preserve">0618493749  </v>
      </c>
      <c r="O15277">
        <v>230418</v>
      </c>
    </row>
    <row r="15278" spans="1:15" x14ac:dyDescent="0.25">
      <c r="A15278" t="s">
        <v>16</v>
      </c>
      <c r="B15278" t="s">
        <v>3221</v>
      </c>
      <c r="C15278">
        <v>5053</v>
      </c>
      <c r="D15278" t="s">
        <v>1142</v>
      </c>
      <c r="E15278" t="s">
        <v>148</v>
      </c>
      <c r="F15278">
        <v>20.41</v>
      </c>
      <c r="G15278">
        <v>230331</v>
      </c>
      <c r="H15278">
        <v>4364</v>
      </c>
      <c r="I15278" t="s">
        <v>296</v>
      </c>
      <c r="J15278">
        <v>25.31</v>
      </c>
      <c r="K15278">
        <v>4.9000000000000004</v>
      </c>
      <c r="L15278">
        <v>18972</v>
      </c>
      <c r="M15278" t="s">
        <v>163</v>
      </c>
      <c r="N15278" t="str">
        <f t="shared" si="226"/>
        <v xml:space="preserve">0618493749  </v>
      </c>
      <c r="O15278">
        <v>230418</v>
      </c>
    </row>
    <row r="15279" spans="1:15" x14ac:dyDescent="0.25">
      <c r="A15279" t="s">
        <v>16</v>
      </c>
      <c r="B15279" t="s">
        <v>3221</v>
      </c>
      <c r="C15279">
        <v>5053</v>
      </c>
      <c r="D15279" t="s">
        <v>1142</v>
      </c>
      <c r="E15279" t="s">
        <v>148</v>
      </c>
      <c r="F15279">
        <v>333.64</v>
      </c>
      <c r="G15279">
        <v>230331</v>
      </c>
      <c r="H15279">
        <v>4364</v>
      </c>
      <c r="I15279" t="s">
        <v>296</v>
      </c>
      <c r="J15279">
        <v>413.71</v>
      </c>
      <c r="K15279">
        <v>80.069999999999993</v>
      </c>
      <c r="L15279">
        <v>49701</v>
      </c>
      <c r="M15279" t="s">
        <v>166</v>
      </c>
      <c r="N15279" t="str">
        <f t="shared" si="226"/>
        <v xml:space="preserve">0618493749  </v>
      </c>
      <c r="O15279">
        <v>230418</v>
      </c>
    </row>
    <row r="15280" spans="1:15" x14ac:dyDescent="0.25">
      <c r="A15280" t="s">
        <v>16</v>
      </c>
      <c r="B15280" t="s">
        <v>3221</v>
      </c>
      <c r="C15280">
        <v>5053</v>
      </c>
      <c r="D15280" t="s">
        <v>1142</v>
      </c>
      <c r="E15280" t="s">
        <v>148</v>
      </c>
      <c r="F15280">
        <v>114.79</v>
      </c>
      <c r="G15280">
        <v>230331</v>
      </c>
      <c r="H15280">
        <v>4364</v>
      </c>
      <c r="I15280" t="s">
        <v>296</v>
      </c>
      <c r="J15280">
        <v>142.34</v>
      </c>
      <c r="K15280">
        <v>27.55</v>
      </c>
      <c r="L15280">
        <v>59701</v>
      </c>
      <c r="M15280" t="s">
        <v>297</v>
      </c>
      <c r="N15280" t="str">
        <f t="shared" si="226"/>
        <v xml:space="preserve">0618493749  </v>
      </c>
      <c r="O15280">
        <v>230418</v>
      </c>
    </row>
    <row r="15281" spans="1:15" x14ac:dyDescent="0.25">
      <c r="A15281" t="s">
        <v>16</v>
      </c>
      <c r="B15281" t="s">
        <v>3221</v>
      </c>
      <c r="C15281">
        <v>5053</v>
      </c>
      <c r="D15281" t="s">
        <v>1142</v>
      </c>
      <c r="E15281" t="s">
        <v>148</v>
      </c>
      <c r="F15281">
        <v>140.28</v>
      </c>
      <c r="G15281">
        <v>230331</v>
      </c>
      <c r="H15281">
        <v>4364</v>
      </c>
      <c r="I15281" t="s">
        <v>296</v>
      </c>
      <c r="J15281">
        <v>173.95</v>
      </c>
      <c r="K15281">
        <v>33.67</v>
      </c>
      <c r="L15281">
        <v>69702</v>
      </c>
      <c r="M15281" t="s">
        <v>489</v>
      </c>
      <c r="N15281" t="str">
        <f t="shared" si="226"/>
        <v xml:space="preserve">0618493749  </v>
      </c>
      <c r="O15281">
        <v>230418</v>
      </c>
    </row>
    <row r="15282" spans="1:15" x14ac:dyDescent="0.25">
      <c r="A15282" t="s">
        <v>16</v>
      </c>
      <c r="B15282" t="s">
        <v>3221</v>
      </c>
      <c r="C15282">
        <v>5053</v>
      </c>
      <c r="D15282" t="s">
        <v>1142</v>
      </c>
      <c r="E15282" t="s">
        <v>148</v>
      </c>
      <c r="F15282">
        <v>130.13</v>
      </c>
      <c r="G15282">
        <v>230331</v>
      </c>
      <c r="H15282">
        <v>4364</v>
      </c>
      <c r="I15282" t="s">
        <v>296</v>
      </c>
      <c r="J15282">
        <v>161.36000000000001</v>
      </c>
      <c r="K15282">
        <v>31.23</v>
      </c>
      <c r="L15282">
        <v>69704</v>
      </c>
      <c r="M15282" t="s">
        <v>325</v>
      </c>
      <c r="N15282" t="str">
        <f t="shared" si="226"/>
        <v xml:space="preserve">0618493749  </v>
      </c>
      <c r="O15282">
        <v>230418</v>
      </c>
    </row>
    <row r="15283" spans="1:15" x14ac:dyDescent="0.25">
      <c r="A15283" t="s">
        <v>16</v>
      </c>
      <c r="B15283" t="s">
        <v>3221</v>
      </c>
      <c r="C15283">
        <v>6656</v>
      </c>
      <c r="D15283" t="s">
        <v>1142</v>
      </c>
      <c r="E15283" t="s">
        <v>148</v>
      </c>
      <c r="F15283">
        <v>27.01</v>
      </c>
      <c r="G15283">
        <v>230430</v>
      </c>
      <c r="H15283">
        <v>4364</v>
      </c>
      <c r="I15283" t="s">
        <v>296</v>
      </c>
      <c r="J15283">
        <v>33.49</v>
      </c>
      <c r="K15283">
        <v>6.48</v>
      </c>
      <c r="L15283">
        <v>13561</v>
      </c>
      <c r="M15283" t="s">
        <v>246</v>
      </c>
      <c r="N15283" t="str">
        <f t="shared" ref="N15283:N15290" si="227">"0618551233  "</f>
        <v xml:space="preserve">0618551233  </v>
      </c>
      <c r="O15283">
        <v>230517</v>
      </c>
    </row>
    <row r="15284" spans="1:15" x14ac:dyDescent="0.25">
      <c r="A15284" t="s">
        <v>16</v>
      </c>
      <c r="B15284" t="s">
        <v>3221</v>
      </c>
      <c r="C15284">
        <v>6656</v>
      </c>
      <c r="D15284" t="s">
        <v>1142</v>
      </c>
      <c r="E15284" t="s">
        <v>148</v>
      </c>
      <c r="F15284">
        <v>197.84</v>
      </c>
      <c r="G15284">
        <v>230430</v>
      </c>
      <c r="H15284">
        <v>4364</v>
      </c>
      <c r="I15284" t="s">
        <v>296</v>
      </c>
      <c r="J15284">
        <v>245.32</v>
      </c>
      <c r="K15284">
        <v>47.48</v>
      </c>
      <c r="L15284">
        <v>14971</v>
      </c>
      <c r="M15284" t="s">
        <v>1259</v>
      </c>
      <c r="N15284" t="str">
        <f t="shared" si="227"/>
        <v xml:space="preserve">0618551233  </v>
      </c>
      <c r="O15284">
        <v>230517</v>
      </c>
    </row>
    <row r="15285" spans="1:15" x14ac:dyDescent="0.25">
      <c r="A15285" t="s">
        <v>16</v>
      </c>
      <c r="B15285" t="s">
        <v>3221</v>
      </c>
      <c r="C15285">
        <v>6656</v>
      </c>
      <c r="D15285" t="s">
        <v>1142</v>
      </c>
      <c r="E15285" t="s">
        <v>148</v>
      </c>
      <c r="F15285">
        <v>29.4</v>
      </c>
      <c r="G15285">
        <v>230430</v>
      </c>
      <c r="H15285">
        <v>4364</v>
      </c>
      <c r="I15285" t="s">
        <v>296</v>
      </c>
      <c r="J15285">
        <v>36.450000000000003</v>
      </c>
      <c r="K15285">
        <v>7.05</v>
      </c>
      <c r="L15285">
        <v>17538</v>
      </c>
      <c r="M15285" t="s">
        <v>24</v>
      </c>
      <c r="N15285" t="str">
        <f t="shared" si="227"/>
        <v xml:space="preserve">0618551233  </v>
      </c>
      <c r="O15285">
        <v>230517</v>
      </c>
    </row>
    <row r="15286" spans="1:15" x14ac:dyDescent="0.25">
      <c r="A15286" t="s">
        <v>16</v>
      </c>
      <c r="B15286" t="s">
        <v>3221</v>
      </c>
      <c r="C15286">
        <v>6656</v>
      </c>
      <c r="D15286" t="s">
        <v>1142</v>
      </c>
      <c r="E15286" t="s">
        <v>148</v>
      </c>
      <c r="F15286">
        <v>19.05</v>
      </c>
      <c r="G15286">
        <v>230430</v>
      </c>
      <c r="H15286">
        <v>4364</v>
      </c>
      <c r="I15286" t="s">
        <v>296</v>
      </c>
      <c r="J15286">
        <v>23.62</v>
      </c>
      <c r="K15286">
        <v>4.57</v>
      </c>
      <c r="L15286">
        <v>18972</v>
      </c>
      <c r="M15286" t="s">
        <v>163</v>
      </c>
      <c r="N15286" t="str">
        <f t="shared" si="227"/>
        <v xml:space="preserve">0618551233  </v>
      </c>
      <c r="O15286">
        <v>230517</v>
      </c>
    </row>
    <row r="15287" spans="1:15" x14ac:dyDescent="0.25">
      <c r="A15287" t="s">
        <v>16</v>
      </c>
      <c r="B15287" t="s">
        <v>3221</v>
      </c>
      <c r="C15287">
        <v>6656</v>
      </c>
      <c r="D15287" t="s">
        <v>1142</v>
      </c>
      <c r="E15287" t="s">
        <v>148</v>
      </c>
      <c r="F15287">
        <v>332.8</v>
      </c>
      <c r="G15287">
        <v>230430</v>
      </c>
      <c r="H15287">
        <v>4364</v>
      </c>
      <c r="I15287" t="s">
        <v>296</v>
      </c>
      <c r="J15287">
        <v>412.67</v>
      </c>
      <c r="K15287">
        <v>79.87</v>
      </c>
      <c r="L15287">
        <v>49701</v>
      </c>
      <c r="M15287" t="s">
        <v>166</v>
      </c>
      <c r="N15287" t="str">
        <f t="shared" si="227"/>
        <v xml:space="preserve">0618551233  </v>
      </c>
      <c r="O15287">
        <v>230517</v>
      </c>
    </row>
    <row r="15288" spans="1:15" x14ac:dyDescent="0.25">
      <c r="A15288" t="s">
        <v>16</v>
      </c>
      <c r="B15288" t="s">
        <v>3221</v>
      </c>
      <c r="C15288">
        <v>6656</v>
      </c>
      <c r="D15288" t="s">
        <v>1142</v>
      </c>
      <c r="E15288" t="s">
        <v>148</v>
      </c>
      <c r="F15288">
        <v>114.48</v>
      </c>
      <c r="G15288">
        <v>230430</v>
      </c>
      <c r="H15288">
        <v>4364</v>
      </c>
      <c r="I15288" t="s">
        <v>296</v>
      </c>
      <c r="J15288">
        <v>141.96</v>
      </c>
      <c r="K15288">
        <v>27.48</v>
      </c>
      <c r="L15288">
        <v>59701</v>
      </c>
      <c r="M15288" t="s">
        <v>297</v>
      </c>
      <c r="N15288" t="str">
        <f t="shared" si="227"/>
        <v xml:space="preserve">0618551233  </v>
      </c>
      <c r="O15288">
        <v>230517</v>
      </c>
    </row>
    <row r="15289" spans="1:15" x14ac:dyDescent="0.25">
      <c r="A15289" t="s">
        <v>16</v>
      </c>
      <c r="B15289" t="s">
        <v>3221</v>
      </c>
      <c r="C15289">
        <v>6656</v>
      </c>
      <c r="D15289" t="s">
        <v>1142</v>
      </c>
      <c r="E15289" t="s">
        <v>148</v>
      </c>
      <c r="F15289">
        <v>164.35</v>
      </c>
      <c r="G15289">
        <v>230430</v>
      </c>
      <c r="H15289">
        <v>4364</v>
      </c>
      <c r="I15289" t="s">
        <v>296</v>
      </c>
      <c r="J15289">
        <v>203.8</v>
      </c>
      <c r="K15289">
        <v>39.450000000000003</v>
      </c>
      <c r="L15289">
        <v>69702</v>
      </c>
      <c r="M15289" t="s">
        <v>489</v>
      </c>
      <c r="N15289" t="str">
        <f t="shared" si="227"/>
        <v xml:space="preserve">0618551233  </v>
      </c>
      <c r="O15289">
        <v>230517</v>
      </c>
    </row>
    <row r="15290" spans="1:15" x14ac:dyDescent="0.25">
      <c r="A15290" t="s">
        <v>16</v>
      </c>
      <c r="B15290" t="s">
        <v>3221</v>
      </c>
      <c r="C15290">
        <v>6656</v>
      </c>
      <c r="D15290" t="s">
        <v>1142</v>
      </c>
      <c r="E15290" t="s">
        <v>148</v>
      </c>
      <c r="F15290">
        <v>121.53</v>
      </c>
      <c r="G15290">
        <v>230430</v>
      </c>
      <c r="H15290">
        <v>4364</v>
      </c>
      <c r="I15290" t="s">
        <v>296</v>
      </c>
      <c r="J15290">
        <v>150.69999999999999</v>
      </c>
      <c r="K15290">
        <v>29.17</v>
      </c>
      <c r="L15290">
        <v>69704</v>
      </c>
      <c r="M15290" t="s">
        <v>325</v>
      </c>
      <c r="N15290" t="str">
        <f t="shared" si="227"/>
        <v xml:space="preserve">0618551233  </v>
      </c>
      <c r="O15290">
        <v>230517</v>
      </c>
    </row>
    <row r="15291" spans="1:15" x14ac:dyDescent="0.25">
      <c r="A15291" t="s">
        <v>16</v>
      </c>
      <c r="B15291" t="s">
        <v>3221</v>
      </c>
      <c r="C15291">
        <v>8738</v>
      </c>
      <c r="D15291" t="s">
        <v>1142</v>
      </c>
      <c r="E15291" t="s">
        <v>148</v>
      </c>
      <c r="F15291">
        <v>21.14</v>
      </c>
      <c r="G15291">
        <v>230531</v>
      </c>
      <c r="H15291">
        <v>4364</v>
      </c>
      <c r="I15291" t="s">
        <v>296</v>
      </c>
      <c r="J15291">
        <v>26.21</v>
      </c>
      <c r="K15291">
        <v>5.07</v>
      </c>
      <c r="L15291">
        <v>11601</v>
      </c>
      <c r="M15291" t="s">
        <v>535</v>
      </c>
      <c r="N15291" t="str">
        <f t="shared" ref="N15291:N15301" si="228">"0618608318  "</f>
        <v xml:space="preserve">0618608318  </v>
      </c>
      <c r="O15291">
        <v>230613</v>
      </c>
    </row>
    <row r="15292" spans="1:15" x14ac:dyDescent="0.25">
      <c r="A15292" t="s">
        <v>16</v>
      </c>
      <c r="B15292" t="s">
        <v>3221</v>
      </c>
      <c r="C15292">
        <v>8738</v>
      </c>
      <c r="D15292" t="s">
        <v>1142</v>
      </c>
      <c r="E15292" t="s">
        <v>148</v>
      </c>
      <c r="F15292">
        <v>197.31</v>
      </c>
      <c r="G15292">
        <v>230531</v>
      </c>
      <c r="H15292">
        <v>4364</v>
      </c>
      <c r="I15292" t="s">
        <v>296</v>
      </c>
      <c r="J15292">
        <v>244.66</v>
      </c>
      <c r="K15292">
        <v>47.35</v>
      </c>
      <c r="L15292">
        <v>14971</v>
      </c>
      <c r="M15292" t="s">
        <v>1259</v>
      </c>
      <c r="N15292" t="str">
        <f t="shared" si="228"/>
        <v xml:space="preserve">0618608318  </v>
      </c>
      <c r="O15292">
        <v>230613</v>
      </c>
    </row>
    <row r="15293" spans="1:15" x14ac:dyDescent="0.25">
      <c r="A15293" t="s">
        <v>16</v>
      </c>
      <c r="B15293" t="s">
        <v>3221</v>
      </c>
      <c r="C15293">
        <v>8738</v>
      </c>
      <c r="D15293" t="s">
        <v>1142</v>
      </c>
      <c r="E15293" t="s">
        <v>148</v>
      </c>
      <c r="F15293">
        <v>20.34</v>
      </c>
      <c r="G15293">
        <v>230531</v>
      </c>
      <c r="H15293">
        <v>4364</v>
      </c>
      <c r="I15293" t="s">
        <v>296</v>
      </c>
      <c r="J15293">
        <v>25.22</v>
      </c>
      <c r="K15293">
        <v>4.88</v>
      </c>
      <c r="L15293">
        <v>17526</v>
      </c>
      <c r="M15293" t="s">
        <v>437</v>
      </c>
      <c r="N15293" t="str">
        <f t="shared" si="228"/>
        <v xml:space="preserve">0618608318  </v>
      </c>
      <c r="O15293">
        <v>230613</v>
      </c>
    </row>
    <row r="15294" spans="1:15" x14ac:dyDescent="0.25">
      <c r="A15294" t="s">
        <v>16</v>
      </c>
      <c r="B15294" t="s">
        <v>3221</v>
      </c>
      <c r="C15294">
        <v>8738</v>
      </c>
      <c r="D15294" t="s">
        <v>1142</v>
      </c>
      <c r="E15294" t="s">
        <v>148</v>
      </c>
      <c r="F15294">
        <v>10.58</v>
      </c>
      <c r="G15294">
        <v>230531</v>
      </c>
      <c r="H15294">
        <v>4364</v>
      </c>
      <c r="I15294" t="s">
        <v>296</v>
      </c>
      <c r="J15294">
        <v>13.12</v>
      </c>
      <c r="K15294">
        <v>2.54</v>
      </c>
      <c r="L15294">
        <v>17535</v>
      </c>
      <c r="M15294" t="s">
        <v>357</v>
      </c>
      <c r="N15294" t="str">
        <f t="shared" si="228"/>
        <v xml:space="preserve">0618608318  </v>
      </c>
      <c r="O15294">
        <v>230613</v>
      </c>
    </row>
    <row r="15295" spans="1:15" x14ac:dyDescent="0.25">
      <c r="A15295" t="s">
        <v>16</v>
      </c>
      <c r="B15295" t="s">
        <v>3221</v>
      </c>
      <c r="C15295">
        <v>8738</v>
      </c>
      <c r="D15295" t="s">
        <v>1142</v>
      </c>
      <c r="E15295" t="s">
        <v>148</v>
      </c>
      <c r="F15295">
        <v>27.18</v>
      </c>
      <c r="G15295">
        <v>230531</v>
      </c>
      <c r="H15295">
        <v>4364</v>
      </c>
      <c r="I15295" t="s">
        <v>296</v>
      </c>
      <c r="J15295">
        <v>33.700000000000003</v>
      </c>
      <c r="K15295">
        <v>6.52</v>
      </c>
      <c r="L15295">
        <v>17538</v>
      </c>
      <c r="M15295" t="s">
        <v>24</v>
      </c>
      <c r="N15295" t="str">
        <f t="shared" si="228"/>
        <v xml:space="preserve">0618608318  </v>
      </c>
      <c r="O15295">
        <v>230613</v>
      </c>
    </row>
    <row r="15296" spans="1:15" x14ac:dyDescent="0.25">
      <c r="A15296" t="s">
        <v>16</v>
      </c>
      <c r="B15296" t="s">
        <v>3221</v>
      </c>
      <c r="C15296">
        <v>8738</v>
      </c>
      <c r="D15296" t="s">
        <v>1142</v>
      </c>
      <c r="E15296" t="s">
        <v>148</v>
      </c>
      <c r="F15296">
        <v>19.05</v>
      </c>
      <c r="G15296">
        <v>230531</v>
      </c>
      <c r="H15296">
        <v>4364</v>
      </c>
      <c r="I15296" t="s">
        <v>296</v>
      </c>
      <c r="J15296">
        <v>23.62</v>
      </c>
      <c r="K15296">
        <v>4.57</v>
      </c>
      <c r="L15296">
        <v>18972</v>
      </c>
      <c r="M15296" t="s">
        <v>163</v>
      </c>
      <c r="N15296" t="str">
        <f t="shared" si="228"/>
        <v xml:space="preserve">0618608318  </v>
      </c>
      <c r="O15296">
        <v>230613</v>
      </c>
    </row>
    <row r="15297" spans="1:15" x14ac:dyDescent="0.25">
      <c r="A15297" t="s">
        <v>16</v>
      </c>
      <c r="B15297" t="s">
        <v>3221</v>
      </c>
      <c r="C15297">
        <v>8738</v>
      </c>
      <c r="D15297" t="s">
        <v>1142</v>
      </c>
      <c r="E15297" t="s">
        <v>148</v>
      </c>
      <c r="F15297">
        <v>332.23</v>
      </c>
      <c r="G15297">
        <v>230531</v>
      </c>
      <c r="H15297">
        <v>4364</v>
      </c>
      <c r="I15297" t="s">
        <v>296</v>
      </c>
      <c r="J15297">
        <v>411.97</v>
      </c>
      <c r="K15297">
        <v>79.739999999999995</v>
      </c>
      <c r="L15297">
        <v>49701</v>
      </c>
      <c r="M15297" t="s">
        <v>166</v>
      </c>
      <c r="N15297" t="str">
        <f t="shared" si="228"/>
        <v xml:space="preserve">0618608318  </v>
      </c>
      <c r="O15297">
        <v>230613</v>
      </c>
    </row>
    <row r="15298" spans="1:15" x14ac:dyDescent="0.25">
      <c r="A15298" t="s">
        <v>16</v>
      </c>
      <c r="B15298" t="s">
        <v>3221</v>
      </c>
      <c r="C15298">
        <v>8738</v>
      </c>
      <c r="D15298" t="s">
        <v>1142</v>
      </c>
      <c r="E15298" t="s">
        <v>148</v>
      </c>
      <c r="F15298">
        <v>114.27</v>
      </c>
      <c r="G15298">
        <v>230531</v>
      </c>
      <c r="H15298">
        <v>4364</v>
      </c>
      <c r="I15298" t="s">
        <v>296</v>
      </c>
      <c r="J15298">
        <v>141.69</v>
      </c>
      <c r="K15298">
        <v>27.42</v>
      </c>
      <c r="L15298">
        <v>59701</v>
      </c>
      <c r="M15298" t="s">
        <v>297</v>
      </c>
      <c r="N15298" t="str">
        <f t="shared" si="228"/>
        <v xml:space="preserve">0618608318  </v>
      </c>
      <c r="O15298">
        <v>230613</v>
      </c>
    </row>
    <row r="15299" spans="1:15" x14ac:dyDescent="0.25">
      <c r="A15299" t="s">
        <v>16</v>
      </c>
      <c r="B15299" t="s">
        <v>3221</v>
      </c>
      <c r="C15299">
        <v>8738</v>
      </c>
      <c r="D15299" t="s">
        <v>1142</v>
      </c>
      <c r="E15299" t="s">
        <v>148</v>
      </c>
      <c r="F15299">
        <v>23.24</v>
      </c>
      <c r="G15299">
        <v>230531</v>
      </c>
      <c r="H15299">
        <v>4364</v>
      </c>
      <c r="I15299" t="s">
        <v>296</v>
      </c>
      <c r="J15299">
        <v>28.82</v>
      </c>
      <c r="K15299">
        <v>5.58</v>
      </c>
      <c r="L15299">
        <v>66758</v>
      </c>
      <c r="M15299" t="s">
        <v>2200</v>
      </c>
      <c r="N15299" t="str">
        <f t="shared" si="228"/>
        <v xml:space="preserve">0618608318  </v>
      </c>
      <c r="O15299">
        <v>230613</v>
      </c>
    </row>
    <row r="15300" spans="1:15" x14ac:dyDescent="0.25">
      <c r="A15300" t="s">
        <v>16</v>
      </c>
      <c r="B15300" t="s">
        <v>3221</v>
      </c>
      <c r="C15300">
        <v>8738</v>
      </c>
      <c r="D15300" t="s">
        <v>1142</v>
      </c>
      <c r="E15300" t="s">
        <v>148</v>
      </c>
      <c r="F15300">
        <v>135.02000000000001</v>
      </c>
      <c r="G15300">
        <v>230531</v>
      </c>
      <c r="H15300">
        <v>4364</v>
      </c>
      <c r="I15300" t="s">
        <v>296</v>
      </c>
      <c r="J15300">
        <v>167.43</v>
      </c>
      <c r="K15300">
        <v>32.409999999999997</v>
      </c>
      <c r="L15300">
        <v>69701</v>
      </c>
      <c r="M15300" t="s">
        <v>488</v>
      </c>
      <c r="N15300" t="str">
        <f t="shared" si="228"/>
        <v xml:space="preserve">0618608318  </v>
      </c>
      <c r="O15300">
        <v>230613</v>
      </c>
    </row>
    <row r="15301" spans="1:15" x14ac:dyDescent="0.25">
      <c r="A15301" t="s">
        <v>16</v>
      </c>
      <c r="B15301" t="s">
        <v>3221</v>
      </c>
      <c r="C15301">
        <v>8738</v>
      </c>
      <c r="D15301" t="s">
        <v>1142</v>
      </c>
      <c r="E15301" t="s">
        <v>148</v>
      </c>
      <c r="F15301">
        <v>257.27999999999997</v>
      </c>
      <c r="G15301">
        <v>230531</v>
      </c>
      <c r="H15301">
        <v>4364</v>
      </c>
      <c r="I15301" t="s">
        <v>296</v>
      </c>
      <c r="J15301">
        <v>319.02999999999997</v>
      </c>
      <c r="K15301">
        <v>61.75</v>
      </c>
      <c r="L15301">
        <v>69703</v>
      </c>
      <c r="M15301" t="s">
        <v>1036</v>
      </c>
      <c r="N15301" t="str">
        <f t="shared" si="228"/>
        <v xml:space="preserve">0618608318  </v>
      </c>
      <c r="O15301">
        <v>230613</v>
      </c>
    </row>
    <row r="15302" spans="1:15" x14ac:dyDescent="0.25">
      <c r="A15302" t="s">
        <v>16</v>
      </c>
      <c r="B15302" t="s">
        <v>3221</v>
      </c>
      <c r="C15302">
        <v>11763</v>
      </c>
      <c r="D15302" t="s">
        <v>562</v>
      </c>
      <c r="E15302" t="s">
        <v>563</v>
      </c>
      <c r="F15302">
        <v>100</v>
      </c>
      <c r="G15302">
        <v>230906</v>
      </c>
      <c r="H15302">
        <v>4580</v>
      </c>
      <c r="I15302" t="s">
        <v>35</v>
      </c>
      <c r="J15302">
        <v>100</v>
      </c>
      <c r="K15302">
        <v>0</v>
      </c>
      <c r="L15302">
        <v>59702</v>
      </c>
      <c r="M15302" t="s">
        <v>328</v>
      </c>
      <c r="N15302" t="str">
        <f>"4716-0403320"</f>
        <v>4716-0403320</v>
      </c>
      <c r="O15302">
        <v>230908</v>
      </c>
    </row>
    <row r="15303" spans="1:15" x14ac:dyDescent="0.25">
      <c r="A15303" t="s">
        <v>16</v>
      </c>
      <c r="B15303" t="s">
        <v>3221</v>
      </c>
      <c r="C15303">
        <v>15630</v>
      </c>
      <c r="D15303" t="s">
        <v>562</v>
      </c>
      <c r="E15303" t="s">
        <v>563</v>
      </c>
      <c r="F15303">
        <v>265.24</v>
      </c>
      <c r="G15303">
        <v>231108</v>
      </c>
      <c r="H15303">
        <v>4580</v>
      </c>
      <c r="I15303" t="s">
        <v>35</v>
      </c>
      <c r="J15303">
        <v>328.9</v>
      </c>
      <c r="K15303">
        <v>63.66</v>
      </c>
      <c r="L15303">
        <v>13841</v>
      </c>
      <c r="M15303" t="s">
        <v>47</v>
      </c>
      <c r="N15303" t="str">
        <f>"4790-0114200"</f>
        <v>4790-0114200</v>
      </c>
      <c r="O15303">
        <v>231114</v>
      </c>
    </row>
    <row r="15304" spans="1:15" x14ac:dyDescent="0.25">
      <c r="A15304" t="s">
        <v>16</v>
      </c>
      <c r="B15304" t="s">
        <v>3221</v>
      </c>
      <c r="C15304">
        <v>463</v>
      </c>
      <c r="D15304" t="s">
        <v>562</v>
      </c>
      <c r="E15304" t="s">
        <v>563</v>
      </c>
      <c r="F15304">
        <v>300</v>
      </c>
      <c r="G15304">
        <v>230121</v>
      </c>
      <c r="H15304">
        <v>4600</v>
      </c>
      <c r="I15304" t="s">
        <v>105</v>
      </c>
      <c r="J15304">
        <v>300</v>
      </c>
      <c r="K15304">
        <v>0</v>
      </c>
      <c r="L15304">
        <v>54422</v>
      </c>
      <c r="M15304" t="s">
        <v>234</v>
      </c>
      <c r="N15304" t="str">
        <f>"4714-0334294"</f>
        <v>4714-0334294</v>
      </c>
      <c r="O15304">
        <v>230123</v>
      </c>
    </row>
    <row r="15305" spans="1:15" x14ac:dyDescent="0.25">
      <c r="A15305" t="s">
        <v>16</v>
      </c>
      <c r="B15305" t="s">
        <v>3221</v>
      </c>
      <c r="C15305">
        <v>15028</v>
      </c>
      <c r="D15305" t="s">
        <v>2842</v>
      </c>
      <c r="E15305" t="s">
        <v>2843</v>
      </c>
      <c r="F15305">
        <v>163.63999999999999</v>
      </c>
      <c r="G15305">
        <v>231101</v>
      </c>
      <c r="H15305">
        <v>4440</v>
      </c>
      <c r="I15305" t="s">
        <v>250</v>
      </c>
      <c r="J15305">
        <v>180</v>
      </c>
      <c r="K15305">
        <v>16.36</v>
      </c>
      <c r="L15305">
        <v>53222</v>
      </c>
      <c r="M15305" t="s">
        <v>445</v>
      </c>
      <c r="N15305" t="str">
        <f>"462         "</f>
        <v xml:space="preserve">462         </v>
      </c>
      <c r="O15305">
        <v>231108</v>
      </c>
    </row>
    <row r="15306" spans="1:15" x14ac:dyDescent="0.25">
      <c r="A15306" t="s">
        <v>16</v>
      </c>
      <c r="B15306" t="s">
        <v>3221</v>
      </c>
      <c r="C15306">
        <v>1122</v>
      </c>
      <c r="D15306" t="s">
        <v>894</v>
      </c>
      <c r="E15306" t="s">
        <v>895</v>
      </c>
      <c r="F15306">
        <v>200.72</v>
      </c>
      <c r="G15306">
        <v>230127</v>
      </c>
      <c r="H15306">
        <v>4580</v>
      </c>
      <c r="I15306" t="s">
        <v>35</v>
      </c>
      <c r="J15306">
        <v>248.89</v>
      </c>
      <c r="K15306">
        <v>48.17</v>
      </c>
      <c r="L15306">
        <v>14640</v>
      </c>
      <c r="M15306" t="s">
        <v>229</v>
      </c>
      <c r="N15306" t="str">
        <f>"11640       "</f>
        <v xml:space="preserve">11640       </v>
      </c>
      <c r="O15306">
        <v>230203</v>
      </c>
    </row>
    <row r="15307" spans="1:15" x14ac:dyDescent="0.25">
      <c r="A15307" t="s">
        <v>16</v>
      </c>
      <c r="B15307" t="s">
        <v>3221</v>
      </c>
      <c r="C15307">
        <v>8851</v>
      </c>
      <c r="D15307" t="s">
        <v>2220</v>
      </c>
      <c r="E15307" t="s">
        <v>2221</v>
      </c>
      <c r="F15307">
        <v>786.72</v>
      </c>
      <c r="G15307">
        <v>230614</v>
      </c>
      <c r="H15307">
        <v>4400</v>
      </c>
      <c r="I15307" t="s">
        <v>348</v>
      </c>
      <c r="J15307">
        <v>975.53</v>
      </c>
      <c r="K15307">
        <v>188.81</v>
      </c>
      <c r="L15307">
        <v>69501</v>
      </c>
      <c r="M15307" t="s">
        <v>185</v>
      </c>
      <c r="N15307" t="str">
        <f>"183760      "</f>
        <v xml:space="preserve">183760      </v>
      </c>
      <c r="O15307">
        <v>230619</v>
      </c>
    </row>
    <row r="15308" spans="1:15" x14ac:dyDescent="0.25">
      <c r="A15308" t="s">
        <v>16</v>
      </c>
      <c r="B15308" t="s">
        <v>3221</v>
      </c>
      <c r="C15308">
        <v>8851</v>
      </c>
      <c r="D15308" t="s">
        <v>2220</v>
      </c>
      <c r="E15308" t="s">
        <v>2221</v>
      </c>
      <c r="F15308">
        <v>1628.35</v>
      </c>
      <c r="G15308">
        <v>230614</v>
      </c>
      <c r="H15308">
        <v>4600</v>
      </c>
      <c r="I15308" t="s">
        <v>105</v>
      </c>
      <c r="J15308">
        <v>2019.15</v>
      </c>
      <c r="K15308">
        <v>390.8</v>
      </c>
      <c r="L15308">
        <v>69501</v>
      </c>
      <c r="M15308" t="s">
        <v>185</v>
      </c>
      <c r="N15308" t="str">
        <f>"183760      "</f>
        <v xml:space="preserve">183760      </v>
      </c>
      <c r="O15308">
        <v>230619</v>
      </c>
    </row>
    <row r="15309" spans="1:15" x14ac:dyDescent="0.25">
      <c r="A15309" t="s">
        <v>16</v>
      </c>
      <c r="B15309" t="s">
        <v>3221</v>
      </c>
      <c r="C15309">
        <v>2977</v>
      </c>
      <c r="D15309" t="s">
        <v>1500</v>
      </c>
      <c r="E15309" t="s">
        <v>1501</v>
      </c>
      <c r="F15309">
        <v>6300</v>
      </c>
      <c r="G15309">
        <v>230228</v>
      </c>
      <c r="H15309">
        <v>4440</v>
      </c>
      <c r="I15309" t="s">
        <v>250</v>
      </c>
      <c r="J15309">
        <v>7812</v>
      </c>
      <c r="K15309">
        <v>1512</v>
      </c>
      <c r="L15309">
        <v>18120</v>
      </c>
      <c r="M15309" t="s">
        <v>329</v>
      </c>
      <c r="N15309" t="str">
        <f>"14713       "</f>
        <v xml:space="preserve">14713       </v>
      </c>
      <c r="O15309">
        <v>230308</v>
      </c>
    </row>
    <row r="15310" spans="1:15" x14ac:dyDescent="0.25">
      <c r="A15310" t="s">
        <v>16</v>
      </c>
      <c r="B15310" t="s">
        <v>3221</v>
      </c>
      <c r="C15310">
        <v>8608</v>
      </c>
      <c r="D15310" t="s">
        <v>1500</v>
      </c>
      <c r="E15310" t="s">
        <v>1501</v>
      </c>
      <c r="F15310">
        <v>6900</v>
      </c>
      <c r="G15310">
        <v>230531</v>
      </c>
      <c r="H15310">
        <v>4440</v>
      </c>
      <c r="I15310" t="s">
        <v>250</v>
      </c>
      <c r="J15310">
        <v>8556</v>
      </c>
      <c r="K15310">
        <v>1656</v>
      </c>
      <c r="L15310">
        <v>18120</v>
      </c>
      <c r="M15310" t="s">
        <v>329</v>
      </c>
      <c r="N15310" t="str">
        <f>"14792       "</f>
        <v xml:space="preserve">14792       </v>
      </c>
      <c r="O15310">
        <v>230612</v>
      </c>
    </row>
    <row r="15311" spans="1:15" x14ac:dyDescent="0.25">
      <c r="A15311" t="s">
        <v>16</v>
      </c>
      <c r="B15311" t="s">
        <v>3221</v>
      </c>
      <c r="C15311">
        <v>12006</v>
      </c>
      <c r="D15311" t="s">
        <v>1500</v>
      </c>
      <c r="E15311" t="s">
        <v>1501</v>
      </c>
      <c r="F15311">
        <v>6900</v>
      </c>
      <c r="G15311">
        <v>230831</v>
      </c>
      <c r="H15311">
        <v>4440</v>
      </c>
      <c r="I15311" t="s">
        <v>250</v>
      </c>
      <c r="J15311">
        <v>8556</v>
      </c>
      <c r="K15311">
        <v>1656</v>
      </c>
      <c r="L15311">
        <v>18120</v>
      </c>
      <c r="M15311" t="s">
        <v>329</v>
      </c>
      <c r="N15311" t="str">
        <f>"14831       "</f>
        <v xml:space="preserve">14831       </v>
      </c>
      <c r="O15311">
        <v>230912</v>
      </c>
    </row>
    <row r="15312" spans="1:15" x14ac:dyDescent="0.25">
      <c r="A15312" t="s">
        <v>16</v>
      </c>
      <c r="B15312" t="s">
        <v>3221</v>
      </c>
      <c r="C15312">
        <v>16858</v>
      </c>
      <c r="D15312" t="s">
        <v>1500</v>
      </c>
      <c r="E15312" t="s">
        <v>1501</v>
      </c>
      <c r="F15312">
        <v>5920</v>
      </c>
      <c r="G15312">
        <v>231130</v>
      </c>
      <c r="H15312">
        <v>4440</v>
      </c>
      <c r="I15312" t="s">
        <v>250</v>
      </c>
      <c r="J15312">
        <v>7340.8</v>
      </c>
      <c r="K15312">
        <v>1420.8</v>
      </c>
      <c r="L15312">
        <v>18120</v>
      </c>
      <c r="M15312" t="s">
        <v>329</v>
      </c>
      <c r="N15312" t="str">
        <f>"14957       "</f>
        <v xml:space="preserve">14957       </v>
      </c>
      <c r="O15312">
        <v>231211</v>
      </c>
    </row>
    <row r="15313" spans="1:15" x14ac:dyDescent="0.25">
      <c r="A15313" t="s">
        <v>16</v>
      </c>
      <c r="B15313" t="s">
        <v>3221</v>
      </c>
      <c r="C15313">
        <v>16860</v>
      </c>
      <c r="D15313" t="s">
        <v>1500</v>
      </c>
      <c r="E15313" t="s">
        <v>1501</v>
      </c>
      <c r="F15313">
        <v>5920</v>
      </c>
      <c r="G15313">
        <v>231130</v>
      </c>
      <c r="H15313">
        <v>4440</v>
      </c>
      <c r="I15313" t="s">
        <v>250</v>
      </c>
      <c r="J15313">
        <v>7340.8</v>
      </c>
      <c r="K15313">
        <v>1420.8</v>
      </c>
      <c r="L15313">
        <v>18120</v>
      </c>
      <c r="M15313" t="s">
        <v>329</v>
      </c>
      <c r="N15313" t="str">
        <f>"14956       "</f>
        <v xml:space="preserve">14956       </v>
      </c>
      <c r="O15313">
        <v>231211</v>
      </c>
    </row>
    <row r="15314" spans="1:15" x14ac:dyDescent="0.25">
      <c r="A15314" t="s">
        <v>16</v>
      </c>
      <c r="B15314" t="s">
        <v>3221</v>
      </c>
      <c r="C15314">
        <v>17099</v>
      </c>
      <c r="D15314" t="s">
        <v>1500</v>
      </c>
      <c r="E15314" t="s">
        <v>1501</v>
      </c>
      <c r="F15314">
        <v>6900</v>
      </c>
      <c r="G15314">
        <v>231203</v>
      </c>
      <c r="H15314">
        <v>4440</v>
      </c>
      <c r="I15314" t="s">
        <v>250</v>
      </c>
      <c r="J15314">
        <v>8556</v>
      </c>
      <c r="K15314">
        <v>1656</v>
      </c>
      <c r="L15314">
        <v>18120</v>
      </c>
      <c r="M15314" t="s">
        <v>329</v>
      </c>
      <c r="N15314" t="str">
        <f>"14927       "</f>
        <v xml:space="preserve">14927       </v>
      </c>
      <c r="O15314">
        <v>231212</v>
      </c>
    </row>
    <row r="15315" spans="1:15" x14ac:dyDescent="0.25">
      <c r="A15315" t="s">
        <v>16</v>
      </c>
      <c r="B15315" t="s">
        <v>3221</v>
      </c>
      <c r="C15315">
        <v>18012</v>
      </c>
      <c r="D15315" t="s">
        <v>1500</v>
      </c>
      <c r="E15315" t="s">
        <v>1501</v>
      </c>
      <c r="F15315">
        <v>7030</v>
      </c>
      <c r="G15315">
        <v>231130</v>
      </c>
      <c r="H15315">
        <v>4440</v>
      </c>
      <c r="I15315" t="s">
        <v>250</v>
      </c>
      <c r="J15315">
        <v>8717.2000000000007</v>
      </c>
      <c r="K15315">
        <v>1687.2</v>
      </c>
      <c r="L15315">
        <v>18120</v>
      </c>
      <c r="M15315" t="s">
        <v>329</v>
      </c>
      <c r="N15315" t="str">
        <f>"14928       "</f>
        <v xml:space="preserve">14928       </v>
      </c>
      <c r="O15315">
        <v>231228</v>
      </c>
    </row>
    <row r="15316" spans="1:15" x14ac:dyDescent="0.25">
      <c r="A15316" t="s">
        <v>16</v>
      </c>
      <c r="B15316" t="s">
        <v>3221</v>
      </c>
      <c r="C15316">
        <v>3384</v>
      </c>
      <c r="D15316" t="s">
        <v>783</v>
      </c>
      <c r="E15316" t="s">
        <v>784</v>
      </c>
      <c r="F15316">
        <v>785.37</v>
      </c>
      <c r="G15316">
        <v>230313</v>
      </c>
      <c r="H15316">
        <v>4580</v>
      </c>
      <c r="I15316" t="s">
        <v>35</v>
      </c>
      <c r="J15316">
        <v>973.86</v>
      </c>
      <c r="K15316">
        <v>188.49</v>
      </c>
      <c r="L15316">
        <v>56559</v>
      </c>
      <c r="M15316" t="s">
        <v>129</v>
      </c>
      <c r="N15316" t="str">
        <f>"2303000218  "</f>
        <v xml:space="preserve">2303000218  </v>
      </c>
      <c r="O15316">
        <v>230315</v>
      </c>
    </row>
    <row r="15317" spans="1:15" x14ac:dyDescent="0.25">
      <c r="A15317" t="s">
        <v>16</v>
      </c>
      <c r="B15317" t="s">
        <v>3221</v>
      </c>
      <c r="C15317">
        <v>13335</v>
      </c>
      <c r="D15317" t="s">
        <v>783</v>
      </c>
      <c r="E15317" t="s">
        <v>784</v>
      </c>
      <c r="F15317">
        <v>215.4</v>
      </c>
      <c r="G15317">
        <v>230929</v>
      </c>
      <c r="H15317">
        <v>4580</v>
      </c>
      <c r="I15317" t="s">
        <v>35</v>
      </c>
      <c r="J15317">
        <v>267.10000000000002</v>
      </c>
      <c r="K15317">
        <v>51.7</v>
      </c>
      <c r="L15317">
        <v>56559</v>
      </c>
      <c r="M15317" t="s">
        <v>129</v>
      </c>
      <c r="N15317" t="str">
        <f>"2303001248  "</f>
        <v xml:space="preserve">2303001248  </v>
      </c>
      <c r="O15317">
        <v>231009</v>
      </c>
    </row>
    <row r="15318" spans="1:15" x14ac:dyDescent="0.25">
      <c r="A15318" t="s">
        <v>16</v>
      </c>
      <c r="B15318" t="s">
        <v>3221</v>
      </c>
      <c r="C15318">
        <v>896</v>
      </c>
      <c r="D15318" t="s">
        <v>783</v>
      </c>
      <c r="E15318" t="s">
        <v>784</v>
      </c>
      <c r="F15318">
        <v>75.5</v>
      </c>
      <c r="G15318">
        <v>230124</v>
      </c>
      <c r="H15318">
        <v>4600</v>
      </c>
      <c r="I15318" t="s">
        <v>105</v>
      </c>
      <c r="J15318">
        <v>93.62</v>
      </c>
      <c r="K15318">
        <v>18.12</v>
      </c>
      <c r="L15318">
        <v>56565</v>
      </c>
      <c r="M15318" t="s">
        <v>758</v>
      </c>
      <c r="N15318" t="str">
        <f>"2303000065  "</f>
        <v xml:space="preserve">2303000065  </v>
      </c>
      <c r="O15318">
        <v>230201</v>
      </c>
    </row>
    <row r="15319" spans="1:15" x14ac:dyDescent="0.25">
      <c r="A15319" t="s">
        <v>16</v>
      </c>
      <c r="B15319" t="s">
        <v>3221</v>
      </c>
      <c r="C15319">
        <v>896</v>
      </c>
      <c r="D15319" t="s">
        <v>783</v>
      </c>
      <c r="E15319" t="s">
        <v>784</v>
      </c>
      <c r="F15319">
        <v>182.2</v>
      </c>
      <c r="G15319">
        <v>230124</v>
      </c>
      <c r="H15319">
        <v>4600</v>
      </c>
      <c r="I15319" t="s">
        <v>105</v>
      </c>
      <c r="J15319">
        <v>225.93</v>
      </c>
      <c r="K15319">
        <v>43.73</v>
      </c>
      <c r="L15319">
        <v>56573</v>
      </c>
      <c r="M15319" t="s">
        <v>521</v>
      </c>
      <c r="N15319" t="str">
        <f>"2303000065  "</f>
        <v xml:space="preserve">2303000065  </v>
      </c>
      <c r="O15319">
        <v>230201</v>
      </c>
    </row>
    <row r="15320" spans="1:15" x14ac:dyDescent="0.25">
      <c r="A15320" t="s">
        <v>16</v>
      </c>
      <c r="B15320" t="s">
        <v>3221</v>
      </c>
      <c r="C15320">
        <v>876</v>
      </c>
      <c r="D15320" t="s">
        <v>779</v>
      </c>
      <c r="E15320" t="s">
        <v>780</v>
      </c>
      <c r="F15320">
        <v>-189</v>
      </c>
      <c r="G15320">
        <v>230117</v>
      </c>
      <c r="H15320">
        <v>4346</v>
      </c>
      <c r="I15320" t="s">
        <v>197</v>
      </c>
      <c r="J15320">
        <v>-189</v>
      </c>
      <c r="K15320">
        <v>0</v>
      </c>
      <c r="L15320">
        <v>17737</v>
      </c>
      <c r="M15320" t="s">
        <v>279</v>
      </c>
      <c r="N15320" t="str">
        <f>"147881      "</f>
        <v xml:space="preserve">147881      </v>
      </c>
      <c r="O15320">
        <v>230131</v>
      </c>
    </row>
    <row r="15321" spans="1:15" x14ac:dyDescent="0.25">
      <c r="A15321" t="s">
        <v>16</v>
      </c>
      <c r="B15321" t="s">
        <v>3221</v>
      </c>
      <c r="C15321">
        <v>876</v>
      </c>
      <c r="D15321" t="s">
        <v>779</v>
      </c>
      <c r="E15321" t="s">
        <v>780</v>
      </c>
      <c r="F15321">
        <v>189</v>
      </c>
      <c r="G15321">
        <v>230117</v>
      </c>
      <c r="H15321">
        <v>4346</v>
      </c>
      <c r="I15321" t="s">
        <v>197</v>
      </c>
      <c r="J15321">
        <v>234.36</v>
      </c>
      <c r="K15321">
        <v>45.36</v>
      </c>
      <c r="L15321">
        <v>17737</v>
      </c>
      <c r="M15321" t="s">
        <v>279</v>
      </c>
      <c r="N15321" t="str">
        <f>"147881      "</f>
        <v xml:space="preserve">147881      </v>
      </c>
      <c r="O15321">
        <v>230131</v>
      </c>
    </row>
    <row r="15322" spans="1:15" x14ac:dyDescent="0.25">
      <c r="A15322" t="s">
        <v>16</v>
      </c>
      <c r="B15322" t="s">
        <v>3221</v>
      </c>
      <c r="C15322">
        <v>8880</v>
      </c>
      <c r="D15322" t="s">
        <v>779</v>
      </c>
      <c r="E15322" t="s">
        <v>780</v>
      </c>
      <c r="F15322">
        <v>160</v>
      </c>
      <c r="G15322">
        <v>230612</v>
      </c>
      <c r="H15322">
        <v>4346</v>
      </c>
      <c r="I15322" t="s">
        <v>197</v>
      </c>
      <c r="J15322">
        <v>198.4</v>
      </c>
      <c r="K15322">
        <v>38.4</v>
      </c>
      <c r="L15322">
        <v>17737</v>
      </c>
      <c r="M15322" t="s">
        <v>279</v>
      </c>
      <c r="N15322" t="str">
        <f>"153530      "</f>
        <v xml:space="preserve">153530      </v>
      </c>
      <c r="O15322">
        <v>230619</v>
      </c>
    </row>
    <row r="15323" spans="1:15" x14ac:dyDescent="0.25">
      <c r="A15323" t="s">
        <v>16</v>
      </c>
      <c r="B15323" t="s">
        <v>3221</v>
      </c>
      <c r="C15323">
        <v>9285</v>
      </c>
      <c r="D15323" t="s">
        <v>779</v>
      </c>
      <c r="E15323" t="s">
        <v>780</v>
      </c>
      <c r="F15323">
        <v>-325.74</v>
      </c>
      <c r="G15323">
        <v>230620</v>
      </c>
      <c r="H15323">
        <v>4346</v>
      </c>
      <c r="I15323" t="s">
        <v>197</v>
      </c>
      <c r="J15323">
        <v>-325.74</v>
      </c>
      <c r="K15323">
        <v>0</v>
      </c>
      <c r="L15323">
        <v>17737</v>
      </c>
      <c r="M15323" t="s">
        <v>279</v>
      </c>
      <c r="N15323" t="str">
        <f>"153864      "</f>
        <v xml:space="preserve">153864      </v>
      </c>
      <c r="O15323">
        <v>230704</v>
      </c>
    </row>
    <row r="15324" spans="1:15" x14ac:dyDescent="0.25">
      <c r="A15324" t="s">
        <v>16</v>
      </c>
      <c r="B15324" t="s">
        <v>3221</v>
      </c>
      <c r="C15324">
        <v>9285</v>
      </c>
      <c r="D15324" t="s">
        <v>779</v>
      </c>
      <c r="E15324" t="s">
        <v>780</v>
      </c>
      <c r="F15324">
        <v>325.74</v>
      </c>
      <c r="G15324">
        <v>230620</v>
      </c>
      <c r="H15324">
        <v>4346</v>
      </c>
      <c r="I15324" t="s">
        <v>197</v>
      </c>
      <c r="J15324">
        <v>403.92</v>
      </c>
      <c r="K15324">
        <v>78.180000000000007</v>
      </c>
      <c r="L15324">
        <v>17737</v>
      </c>
      <c r="M15324" t="s">
        <v>279</v>
      </c>
      <c r="N15324" t="str">
        <f>"153864      "</f>
        <v xml:space="preserve">153864      </v>
      </c>
      <c r="O15324">
        <v>230704</v>
      </c>
    </row>
    <row r="15325" spans="1:15" x14ac:dyDescent="0.25">
      <c r="A15325" t="s">
        <v>16</v>
      </c>
      <c r="B15325" t="s">
        <v>3221</v>
      </c>
      <c r="C15325">
        <v>10908</v>
      </c>
      <c r="D15325" t="s">
        <v>779</v>
      </c>
      <c r="E15325" t="s">
        <v>780</v>
      </c>
      <c r="F15325">
        <v>160</v>
      </c>
      <c r="G15325">
        <v>230822</v>
      </c>
      <c r="H15325">
        <v>4346</v>
      </c>
      <c r="I15325" t="s">
        <v>197</v>
      </c>
      <c r="J15325">
        <v>198.4</v>
      </c>
      <c r="K15325">
        <v>38.4</v>
      </c>
      <c r="L15325">
        <v>17737</v>
      </c>
      <c r="M15325" t="s">
        <v>279</v>
      </c>
      <c r="N15325" t="str">
        <f>"156841      "</f>
        <v xml:space="preserve">156841      </v>
      </c>
      <c r="O15325">
        <v>230825</v>
      </c>
    </row>
    <row r="15326" spans="1:15" x14ac:dyDescent="0.25">
      <c r="A15326" t="s">
        <v>16</v>
      </c>
      <c r="B15326" t="s">
        <v>3221</v>
      </c>
      <c r="C15326">
        <v>14065</v>
      </c>
      <c r="D15326" t="s">
        <v>779</v>
      </c>
      <c r="E15326" t="s">
        <v>780</v>
      </c>
      <c r="F15326">
        <v>-450</v>
      </c>
      <c r="G15326">
        <v>231011</v>
      </c>
      <c r="H15326">
        <v>4346</v>
      </c>
      <c r="I15326" t="s">
        <v>197</v>
      </c>
      <c r="J15326">
        <v>-450</v>
      </c>
      <c r="K15326">
        <v>0</v>
      </c>
      <c r="L15326">
        <v>17737</v>
      </c>
      <c r="M15326" t="s">
        <v>279</v>
      </c>
      <c r="N15326" t="str">
        <f>"158611      "</f>
        <v xml:space="preserve">158611      </v>
      </c>
      <c r="O15326">
        <v>231018</v>
      </c>
    </row>
    <row r="15327" spans="1:15" x14ac:dyDescent="0.25">
      <c r="A15327" t="s">
        <v>16</v>
      </c>
      <c r="B15327" t="s">
        <v>3221</v>
      </c>
      <c r="C15327">
        <v>14065</v>
      </c>
      <c r="D15327" t="s">
        <v>779</v>
      </c>
      <c r="E15327" t="s">
        <v>780</v>
      </c>
      <c r="F15327">
        <v>570</v>
      </c>
      <c r="G15327">
        <v>231011</v>
      </c>
      <c r="H15327">
        <v>4346</v>
      </c>
      <c r="I15327" t="s">
        <v>197</v>
      </c>
      <c r="J15327">
        <v>706.8</v>
      </c>
      <c r="K15327">
        <v>136.80000000000001</v>
      </c>
      <c r="L15327">
        <v>17737</v>
      </c>
      <c r="M15327" t="s">
        <v>279</v>
      </c>
      <c r="N15327" t="str">
        <f>"158611      "</f>
        <v xml:space="preserve">158611      </v>
      </c>
      <c r="O15327">
        <v>231018</v>
      </c>
    </row>
    <row r="15328" spans="1:15" x14ac:dyDescent="0.25">
      <c r="A15328" t="s">
        <v>16</v>
      </c>
      <c r="B15328" t="s">
        <v>3221</v>
      </c>
      <c r="C15328">
        <v>14669</v>
      </c>
      <c r="D15328" t="s">
        <v>779</v>
      </c>
      <c r="E15328" t="s">
        <v>780</v>
      </c>
      <c r="F15328">
        <v>7944.76</v>
      </c>
      <c r="G15328">
        <v>231024</v>
      </c>
      <c r="H15328">
        <v>4346</v>
      </c>
      <c r="I15328" t="s">
        <v>197</v>
      </c>
      <c r="J15328">
        <v>9851.5</v>
      </c>
      <c r="K15328">
        <v>1906.74</v>
      </c>
      <c r="L15328">
        <v>17711</v>
      </c>
      <c r="M15328" t="s">
        <v>65</v>
      </c>
      <c r="N15328" t="str">
        <f>"159154      "</f>
        <v xml:space="preserve">159154      </v>
      </c>
      <c r="O15328">
        <v>231031</v>
      </c>
    </row>
    <row r="15329" spans="1:15" x14ac:dyDescent="0.25">
      <c r="A15329" t="s">
        <v>16</v>
      </c>
      <c r="B15329" t="s">
        <v>3221</v>
      </c>
      <c r="C15329">
        <v>14700</v>
      </c>
      <c r="D15329" t="s">
        <v>779</v>
      </c>
      <c r="E15329" t="s">
        <v>780</v>
      </c>
      <c r="F15329">
        <v>600</v>
      </c>
      <c r="G15329">
        <v>231024</v>
      </c>
      <c r="H15329">
        <v>4346</v>
      </c>
      <c r="I15329" t="s">
        <v>197</v>
      </c>
      <c r="J15329">
        <v>744</v>
      </c>
      <c r="K15329">
        <v>144</v>
      </c>
      <c r="L15329">
        <v>17737</v>
      </c>
      <c r="M15329" t="s">
        <v>279</v>
      </c>
      <c r="N15329" t="str">
        <f>"159064      "</f>
        <v xml:space="preserve">159064      </v>
      </c>
      <c r="O15329">
        <v>231101</v>
      </c>
    </row>
    <row r="15330" spans="1:15" x14ac:dyDescent="0.25">
      <c r="A15330" t="s">
        <v>16</v>
      </c>
      <c r="B15330" t="s">
        <v>3221</v>
      </c>
      <c r="C15330">
        <v>3382</v>
      </c>
      <c r="D15330" t="s">
        <v>779</v>
      </c>
      <c r="E15330" t="s">
        <v>780</v>
      </c>
      <c r="F15330">
        <v>160</v>
      </c>
      <c r="G15330">
        <v>230313</v>
      </c>
      <c r="H15330">
        <v>4343</v>
      </c>
      <c r="I15330" t="s">
        <v>91</v>
      </c>
      <c r="J15330">
        <v>198.4</v>
      </c>
      <c r="K15330">
        <v>38.4</v>
      </c>
      <c r="L15330">
        <v>67554</v>
      </c>
      <c r="M15330" t="s">
        <v>60</v>
      </c>
      <c r="N15330" t="str">
        <f>"150024      "</f>
        <v xml:space="preserve">150024      </v>
      </c>
      <c r="O15330">
        <v>230315</v>
      </c>
    </row>
    <row r="15331" spans="1:15" x14ac:dyDescent="0.25">
      <c r="A15331" t="s">
        <v>16</v>
      </c>
      <c r="B15331" t="s">
        <v>3221</v>
      </c>
      <c r="C15331">
        <v>12931</v>
      </c>
      <c r="D15331" t="s">
        <v>779</v>
      </c>
      <c r="E15331" t="s">
        <v>780</v>
      </c>
      <c r="F15331">
        <v>160</v>
      </c>
      <c r="G15331">
        <v>230926</v>
      </c>
      <c r="H15331">
        <v>4343</v>
      </c>
      <c r="I15331" t="s">
        <v>91</v>
      </c>
      <c r="J15331">
        <v>198.4</v>
      </c>
      <c r="K15331">
        <v>38.4</v>
      </c>
      <c r="L15331">
        <v>67554</v>
      </c>
      <c r="M15331" t="s">
        <v>60</v>
      </c>
      <c r="N15331" t="str">
        <f>"157978      "</f>
        <v xml:space="preserve">157978      </v>
      </c>
      <c r="O15331">
        <v>231002</v>
      </c>
    </row>
    <row r="15332" spans="1:15" x14ac:dyDescent="0.25">
      <c r="A15332" t="s">
        <v>16</v>
      </c>
      <c r="B15332" t="s">
        <v>3221</v>
      </c>
      <c r="C15332">
        <v>19264</v>
      </c>
      <c r="D15332" t="s">
        <v>779</v>
      </c>
      <c r="E15332" t="s">
        <v>780</v>
      </c>
      <c r="F15332">
        <v>45.5</v>
      </c>
      <c r="G15332">
        <v>231205</v>
      </c>
      <c r="H15332">
        <v>4940</v>
      </c>
      <c r="I15332" t="s">
        <v>514</v>
      </c>
      <c r="J15332">
        <v>56.42</v>
      </c>
      <c r="K15332">
        <v>10.92</v>
      </c>
      <c r="L15332">
        <v>67554</v>
      </c>
      <c r="M15332" t="s">
        <v>60</v>
      </c>
      <c r="N15332" t="str">
        <f>"160020      "</f>
        <v xml:space="preserve">160020      </v>
      </c>
      <c r="O15332">
        <v>240115</v>
      </c>
    </row>
    <row r="15333" spans="1:15" x14ac:dyDescent="0.25">
      <c r="A15333" t="s">
        <v>16</v>
      </c>
      <c r="B15333" t="s">
        <v>3221</v>
      </c>
      <c r="C15333">
        <v>6570</v>
      </c>
      <c r="D15333" t="s">
        <v>3680</v>
      </c>
      <c r="E15333" t="s">
        <v>1986</v>
      </c>
      <c r="F15333">
        <v>85</v>
      </c>
      <c r="G15333">
        <v>230430</v>
      </c>
      <c r="H15333">
        <v>4343</v>
      </c>
      <c r="I15333" t="s">
        <v>91</v>
      </c>
      <c r="J15333">
        <v>105.4</v>
      </c>
      <c r="K15333">
        <v>20.399999999999999</v>
      </c>
      <c r="L15333">
        <v>67554</v>
      </c>
      <c r="M15333" t="s">
        <v>60</v>
      </c>
      <c r="N15333" t="str">
        <f>"107414      "</f>
        <v xml:space="preserve">107414      </v>
      </c>
      <c r="O15333">
        <v>230515</v>
      </c>
    </row>
    <row r="15334" spans="1:15" x14ac:dyDescent="0.25">
      <c r="A15334" t="s">
        <v>16</v>
      </c>
      <c r="B15334" t="s">
        <v>3221</v>
      </c>
      <c r="C15334">
        <v>10297</v>
      </c>
      <c r="D15334" t="s">
        <v>1450</v>
      </c>
      <c r="E15334" t="s">
        <v>1451</v>
      </c>
      <c r="F15334">
        <v>1650.8</v>
      </c>
      <c r="G15334">
        <v>230808</v>
      </c>
      <c r="H15334">
        <v>4341</v>
      </c>
      <c r="I15334" t="s">
        <v>32</v>
      </c>
      <c r="J15334">
        <v>1815.88</v>
      </c>
      <c r="K15334">
        <v>165.08</v>
      </c>
      <c r="L15334">
        <v>56559</v>
      </c>
      <c r="M15334" t="s">
        <v>129</v>
      </c>
      <c r="N15334" t="str">
        <f>"24849       "</f>
        <v xml:space="preserve">24849       </v>
      </c>
      <c r="O15334">
        <v>230814</v>
      </c>
    </row>
    <row r="15335" spans="1:15" x14ac:dyDescent="0.25">
      <c r="A15335" t="s">
        <v>16</v>
      </c>
      <c r="B15335" t="s">
        <v>3221</v>
      </c>
      <c r="C15335">
        <v>13986</v>
      </c>
      <c r="D15335" t="s">
        <v>1450</v>
      </c>
      <c r="E15335" t="s">
        <v>1451</v>
      </c>
      <c r="F15335">
        <v>292.74</v>
      </c>
      <c r="G15335">
        <v>231006</v>
      </c>
      <c r="H15335">
        <v>4341</v>
      </c>
      <c r="I15335" t="s">
        <v>32</v>
      </c>
      <c r="J15335">
        <v>363</v>
      </c>
      <c r="K15335">
        <v>70.260000000000005</v>
      </c>
      <c r="L15335">
        <v>46557</v>
      </c>
      <c r="M15335" t="s">
        <v>221</v>
      </c>
      <c r="N15335" t="str">
        <f>"25277       "</f>
        <v xml:space="preserve">25277       </v>
      </c>
      <c r="O15335">
        <v>231017</v>
      </c>
    </row>
    <row r="15336" spans="1:15" x14ac:dyDescent="0.25">
      <c r="A15336" t="s">
        <v>16</v>
      </c>
      <c r="B15336" t="s">
        <v>3221</v>
      </c>
      <c r="C15336">
        <v>16362</v>
      </c>
      <c r="D15336" t="s">
        <v>1450</v>
      </c>
      <c r="E15336" t="s">
        <v>1451</v>
      </c>
      <c r="F15336">
        <v>200.94</v>
      </c>
      <c r="G15336">
        <v>231121</v>
      </c>
      <c r="H15336">
        <v>4341</v>
      </c>
      <c r="I15336" t="s">
        <v>32</v>
      </c>
      <c r="J15336">
        <v>249.16</v>
      </c>
      <c r="K15336">
        <v>48.22</v>
      </c>
      <c r="L15336">
        <v>46554</v>
      </c>
      <c r="M15336" t="s">
        <v>117</v>
      </c>
      <c r="N15336" t="str">
        <f>"25549       "</f>
        <v xml:space="preserve">25549       </v>
      </c>
      <c r="O15336">
        <v>231128</v>
      </c>
    </row>
    <row r="15337" spans="1:15" x14ac:dyDescent="0.25">
      <c r="A15337" t="s">
        <v>16</v>
      </c>
      <c r="B15337" t="s">
        <v>3221</v>
      </c>
      <c r="C15337">
        <v>18068</v>
      </c>
      <c r="D15337" t="s">
        <v>1450</v>
      </c>
      <c r="E15337" t="s">
        <v>1451</v>
      </c>
      <c r="F15337">
        <v>212.87</v>
      </c>
      <c r="G15337">
        <v>231219</v>
      </c>
      <c r="H15337">
        <v>4341</v>
      </c>
      <c r="I15337" t="s">
        <v>32</v>
      </c>
      <c r="J15337">
        <v>263.95999999999998</v>
      </c>
      <c r="K15337">
        <v>51.09</v>
      </c>
      <c r="L15337">
        <v>46554</v>
      </c>
      <c r="M15337" t="s">
        <v>117</v>
      </c>
      <c r="N15337" t="str">
        <f>"25718       "</f>
        <v xml:space="preserve">25718       </v>
      </c>
      <c r="O15337">
        <v>240102</v>
      </c>
    </row>
    <row r="15338" spans="1:15" x14ac:dyDescent="0.25">
      <c r="A15338" t="s">
        <v>16</v>
      </c>
      <c r="B15338" t="s">
        <v>3221</v>
      </c>
      <c r="C15338">
        <v>5452</v>
      </c>
      <c r="D15338" t="s">
        <v>1450</v>
      </c>
      <c r="E15338" t="s">
        <v>1451</v>
      </c>
      <c r="F15338">
        <v>333.95</v>
      </c>
      <c r="G15338">
        <v>230418</v>
      </c>
      <c r="H15338">
        <v>4343</v>
      </c>
      <c r="I15338" t="s">
        <v>91</v>
      </c>
      <c r="J15338">
        <v>414.1</v>
      </c>
      <c r="K15338">
        <v>80.150000000000006</v>
      </c>
      <c r="L15338">
        <v>46557</v>
      </c>
      <c r="M15338" t="s">
        <v>221</v>
      </c>
      <c r="N15338" t="str">
        <f>"24391       "</f>
        <v xml:space="preserve">24391       </v>
      </c>
      <c r="O15338">
        <v>230425</v>
      </c>
    </row>
    <row r="15339" spans="1:15" x14ac:dyDescent="0.25">
      <c r="A15339" t="s">
        <v>16</v>
      </c>
      <c r="B15339" t="s">
        <v>3221</v>
      </c>
      <c r="C15339">
        <v>5463</v>
      </c>
      <c r="D15339" t="s">
        <v>1450</v>
      </c>
      <c r="E15339" t="s">
        <v>1451</v>
      </c>
      <c r="F15339">
        <v>26.61</v>
      </c>
      <c r="G15339">
        <v>230421</v>
      </c>
      <c r="H15339">
        <v>4343</v>
      </c>
      <c r="I15339" t="s">
        <v>91</v>
      </c>
      <c r="J15339">
        <v>33</v>
      </c>
      <c r="K15339">
        <v>6.39</v>
      </c>
      <c r="L15339">
        <v>46557</v>
      </c>
      <c r="M15339" t="s">
        <v>221</v>
      </c>
      <c r="N15339" t="str">
        <f>"24406       "</f>
        <v xml:space="preserve">24406       </v>
      </c>
      <c r="O15339">
        <v>230425</v>
      </c>
    </row>
    <row r="15340" spans="1:15" x14ac:dyDescent="0.25">
      <c r="A15340" t="s">
        <v>16</v>
      </c>
      <c r="B15340" t="s">
        <v>3221</v>
      </c>
      <c r="C15340">
        <v>6030</v>
      </c>
      <c r="D15340" t="s">
        <v>1450</v>
      </c>
      <c r="E15340" t="s">
        <v>1451</v>
      </c>
      <c r="F15340">
        <v>104.15</v>
      </c>
      <c r="G15340">
        <v>230502</v>
      </c>
      <c r="H15340">
        <v>4343</v>
      </c>
      <c r="I15340" t="s">
        <v>91</v>
      </c>
      <c r="J15340">
        <v>129.13999999999999</v>
      </c>
      <c r="K15340">
        <v>24.99</v>
      </c>
      <c r="L15340">
        <v>46557</v>
      </c>
      <c r="M15340" t="s">
        <v>221</v>
      </c>
      <c r="N15340" t="str">
        <f>"24431       "</f>
        <v xml:space="preserve">24431       </v>
      </c>
      <c r="O15340">
        <v>230505</v>
      </c>
    </row>
    <row r="15341" spans="1:15" x14ac:dyDescent="0.25">
      <c r="A15341" t="s">
        <v>16</v>
      </c>
      <c r="B15341" t="s">
        <v>3221</v>
      </c>
      <c r="C15341">
        <v>10739</v>
      </c>
      <c r="D15341" t="s">
        <v>1450</v>
      </c>
      <c r="E15341" t="s">
        <v>1451</v>
      </c>
      <c r="F15341">
        <v>867.74</v>
      </c>
      <c r="G15341">
        <v>230814</v>
      </c>
      <c r="H15341">
        <v>4343</v>
      </c>
      <c r="I15341" t="s">
        <v>91</v>
      </c>
      <c r="J15341">
        <v>954.51</v>
      </c>
      <c r="K15341">
        <v>86.77</v>
      </c>
      <c r="L15341">
        <v>17802</v>
      </c>
      <c r="M15341" t="s">
        <v>174</v>
      </c>
      <c r="N15341" t="str">
        <f>"24897       "</f>
        <v xml:space="preserve">24897       </v>
      </c>
      <c r="O15341">
        <v>230822</v>
      </c>
    </row>
    <row r="15342" spans="1:15" x14ac:dyDescent="0.25">
      <c r="A15342" t="s">
        <v>16</v>
      </c>
      <c r="B15342" t="s">
        <v>3221</v>
      </c>
      <c r="C15342">
        <v>10967</v>
      </c>
      <c r="D15342" t="s">
        <v>1450</v>
      </c>
      <c r="E15342" t="s">
        <v>1451</v>
      </c>
      <c r="F15342">
        <v>413.98</v>
      </c>
      <c r="G15342">
        <v>230825</v>
      </c>
      <c r="H15342">
        <v>4343</v>
      </c>
      <c r="I15342" t="s">
        <v>91</v>
      </c>
      <c r="J15342">
        <v>513.34</v>
      </c>
      <c r="K15342">
        <v>99.36</v>
      </c>
      <c r="L15342">
        <v>46557</v>
      </c>
      <c r="M15342" t="s">
        <v>221</v>
      </c>
      <c r="N15342" t="str">
        <f>"24992       "</f>
        <v xml:space="preserve">24992       </v>
      </c>
      <c r="O15342">
        <v>230825</v>
      </c>
    </row>
    <row r="15343" spans="1:15" x14ac:dyDescent="0.25">
      <c r="A15343" t="s">
        <v>16</v>
      </c>
      <c r="B15343" t="s">
        <v>3221</v>
      </c>
      <c r="C15343">
        <v>12625</v>
      </c>
      <c r="D15343" t="s">
        <v>1450</v>
      </c>
      <c r="E15343" t="s">
        <v>1451</v>
      </c>
      <c r="F15343">
        <v>78.19</v>
      </c>
      <c r="G15343">
        <v>230920</v>
      </c>
      <c r="H15343">
        <v>4343</v>
      </c>
      <c r="I15343" t="s">
        <v>91</v>
      </c>
      <c r="J15343">
        <v>96.95</v>
      </c>
      <c r="K15343">
        <v>18.760000000000002</v>
      </c>
      <c r="L15343">
        <v>46556</v>
      </c>
      <c r="M15343" t="s">
        <v>125</v>
      </c>
      <c r="N15343" t="str">
        <f>"25201       "</f>
        <v xml:space="preserve">25201       </v>
      </c>
      <c r="O15343">
        <v>230922</v>
      </c>
    </row>
    <row r="15344" spans="1:15" x14ac:dyDescent="0.25">
      <c r="A15344" t="s">
        <v>16</v>
      </c>
      <c r="B15344" t="s">
        <v>3221</v>
      </c>
      <c r="C15344">
        <v>12714</v>
      </c>
      <c r="D15344" t="s">
        <v>1450</v>
      </c>
      <c r="E15344" t="s">
        <v>1451</v>
      </c>
      <c r="F15344">
        <v>1171.51</v>
      </c>
      <c r="G15344">
        <v>230914</v>
      </c>
      <c r="H15344">
        <v>4343</v>
      </c>
      <c r="I15344" t="s">
        <v>91</v>
      </c>
      <c r="J15344">
        <v>1452.67</v>
      </c>
      <c r="K15344">
        <v>281.16000000000003</v>
      </c>
      <c r="L15344">
        <v>17802</v>
      </c>
      <c r="M15344" t="s">
        <v>174</v>
      </c>
      <c r="N15344" t="str">
        <f>"123/57      "</f>
        <v xml:space="preserve">123/57      </v>
      </c>
      <c r="O15344">
        <v>230925</v>
      </c>
    </row>
    <row r="15345" spans="1:15" x14ac:dyDescent="0.25">
      <c r="A15345" t="s">
        <v>16</v>
      </c>
      <c r="B15345" t="s">
        <v>3221</v>
      </c>
      <c r="C15345">
        <v>13860</v>
      </c>
      <c r="D15345" t="s">
        <v>1450</v>
      </c>
      <c r="E15345" t="s">
        <v>1451</v>
      </c>
      <c r="F15345">
        <v>226.21</v>
      </c>
      <c r="G15345">
        <v>231002</v>
      </c>
      <c r="H15345">
        <v>4343</v>
      </c>
      <c r="I15345" t="s">
        <v>91</v>
      </c>
      <c r="J15345">
        <v>280.5</v>
      </c>
      <c r="K15345">
        <v>54.29</v>
      </c>
      <c r="L15345">
        <v>46557</v>
      </c>
      <c r="M15345" t="s">
        <v>221</v>
      </c>
      <c r="N15345" t="str">
        <f>"25254       "</f>
        <v xml:space="preserve">25254       </v>
      </c>
      <c r="O15345">
        <v>231016</v>
      </c>
    </row>
    <row r="15346" spans="1:15" x14ac:dyDescent="0.25">
      <c r="A15346" t="s">
        <v>16</v>
      </c>
      <c r="B15346" t="s">
        <v>3221</v>
      </c>
      <c r="C15346">
        <v>15919</v>
      </c>
      <c r="D15346" t="s">
        <v>1450</v>
      </c>
      <c r="E15346" t="s">
        <v>1451</v>
      </c>
      <c r="F15346">
        <v>740.82</v>
      </c>
      <c r="G15346">
        <v>231113</v>
      </c>
      <c r="H15346">
        <v>4343</v>
      </c>
      <c r="I15346" t="s">
        <v>91</v>
      </c>
      <c r="J15346">
        <v>814.9</v>
      </c>
      <c r="K15346">
        <v>74.08</v>
      </c>
      <c r="L15346">
        <v>17802</v>
      </c>
      <c r="M15346" t="s">
        <v>174</v>
      </c>
      <c r="N15346" t="str">
        <f>"25448       "</f>
        <v xml:space="preserve">25448       </v>
      </c>
      <c r="O15346">
        <v>231122</v>
      </c>
    </row>
    <row r="15347" spans="1:15" x14ac:dyDescent="0.25">
      <c r="A15347" t="s">
        <v>16</v>
      </c>
      <c r="B15347" t="s">
        <v>3221</v>
      </c>
      <c r="C15347">
        <v>16421</v>
      </c>
      <c r="D15347" t="s">
        <v>1450</v>
      </c>
      <c r="E15347" t="s">
        <v>1451</v>
      </c>
      <c r="F15347">
        <v>801.82</v>
      </c>
      <c r="G15347">
        <v>231123</v>
      </c>
      <c r="H15347">
        <v>4343</v>
      </c>
      <c r="I15347" t="s">
        <v>91</v>
      </c>
      <c r="J15347">
        <v>882</v>
      </c>
      <c r="K15347">
        <v>80.180000000000007</v>
      </c>
      <c r="L15347">
        <v>17802</v>
      </c>
      <c r="M15347" t="s">
        <v>174</v>
      </c>
      <c r="N15347" t="str">
        <f>"25571       "</f>
        <v xml:space="preserve">25571       </v>
      </c>
      <c r="O15347">
        <v>231129</v>
      </c>
    </row>
    <row r="15348" spans="1:15" x14ac:dyDescent="0.25">
      <c r="A15348" t="s">
        <v>16</v>
      </c>
      <c r="B15348" t="s">
        <v>3221</v>
      </c>
      <c r="C15348">
        <v>2668</v>
      </c>
      <c r="D15348" t="s">
        <v>1450</v>
      </c>
      <c r="E15348" t="s">
        <v>1451</v>
      </c>
      <c r="F15348">
        <v>10</v>
      </c>
      <c r="G15348">
        <v>230224</v>
      </c>
      <c r="H15348">
        <v>4510</v>
      </c>
      <c r="I15348" t="s">
        <v>42</v>
      </c>
      <c r="J15348">
        <v>11</v>
      </c>
      <c r="K15348">
        <v>1</v>
      </c>
      <c r="L15348">
        <v>56565</v>
      </c>
      <c r="M15348" t="s">
        <v>758</v>
      </c>
      <c r="N15348" t="str">
        <f>"24075       "</f>
        <v xml:space="preserve">24075       </v>
      </c>
      <c r="O15348">
        <v>230306</v>
      </c>
    </row>
    <row r="15349" spans="1:15" x14ac:dyDescent="0.25">
      <c r="A15349" t="s">
        <v>16</v>
      </c>
      <c r="B15349" t="s">
        <v>3221</v>
      </c>
      <c r="C15349">
        <v>11929</v>
      </c>
      <c r="D15349" t="s">
        <v>1450</v>
      </c>
      <c r="E15349" t="s">
        <v>1451</v>
      </c>
      <c r="F15349">
        <v>1443.66</v>
      </c>
      <c r="G15349">
        <v>230901</v>
      </c>
      <c r="H15349">
        <v>4510</v>
      </c>
      <c r="I15349" t="s">
        <v>42</v>
      </c>
      <c r="J15349">
        <v>1588.03</v>
      </c>
      <c r="K15349">
        <v>144.37</v>
      </c>
      <c r="L15349">
        <v>56559</v>
      </c>
      <c r="M15349" t="s">
        <v>129</v>
      </c>
      <c r="N15349" t="str">
        <f>"123/44      "</f>
        <v xml:space="preserve">123/44      </v>
      </c>
      <c r="O15349">
        <v>230911</v>
      </c>
    </row>
    <row r="15350" spans="1:15" x14ac:dyDescent="0.25">
      <c r="A15350" t="s">
        <v>16</v>
      </c>
      <c r="B15350" t="s">
        <v>3221</v>
      </c>
      <c r="C15350">
        <v>10541</v>
      </c>
      <c r="D15350" t="s">
        <v>3681</v>
      </c>
      <c r="E15350" t="s">
        <v>2394</v>
      </c>
      <c r="F15350">
        <v>131.63999999999999</v>
      </c>
      <c r="G15350">
        <v>230817</v>
      </c>
      <c r="H15350">
        <v>4510</v>
      </c>
      <c r="I15350" t="s">
        <v>42</v>
      </c>
      <c r="J15350">
        <v>144.80000000000001</v>
      </c>
      <c r="K15350">
        <v>13.16</v>
      </c>
      <c r="L15350">
        <v>43222</v>
      </c>
      <c r="M15350" t="s">
        <v>507</v>
      </c>
      <c r="N15350" t="str">
        <f>"61621       "</f>
        <v xml:space="preserve">61621       </v>
      </c>
      <c r="O15350">
        <v>230818</v>
      </c>
    </row>
    <row r="15351" spans="1:15" x14ac:dyDescent="0.25">
      <c r="A15351" t="s">
        <v>16</v>
      </c>
      <c r="B15351" t="s">
        <v>3221</v>
      </c>
      <c r="C15351">
        <v>17897</v>
      </c>
      <c r="D15351" t="s">
        <v>1553</v>
      </c>
      <c r="E15351" t="s">
        <v>1554</v>
      </c>
      <c r="F15351">
        <v>2330</v>
      </c>
      <c r="G15351">
        <v>231214</v>
      </c>
      <c r="H15351">
        <v>4580</v>
      </c>
      <c r="I15351" t="s">
        <v>35</v>
      </c>
      <c r="J15351">
        <v>2889.2</v>
      </c>
      <c r="K15351">
        <v>559.20000000000005</v>
      </c>
      <c r="L15351">
        <v>56561</v>
      </c>
      <c r="M15351" t="s">
        <v>358</v>
      </c>
      <c r="N15351" t="str">
        <f>"942197      "</f>
        <v xml:space="preserve">942197      </v>
      </c>
      <c r="O15351">
        <v>231227</v>
      </c>
    </row>
    <row r="15352" spans="1:15" x14ac:dyDescent="0.25">
      <c r="A15352" t="s">
        <v>16</v>
      </c>
      <c r="B15352" t="s">
        <v>3221</v>
      </c>
      <c r="C15352">
        <v>3411</v>
      </c>
      <c r="D15352" t="s">
        <v>1553</v>
      </c>
      <c r="E15352" t="s">
        <v>1554</v>
      </c>
      <c r="F15352">
        <v>55500</v>
      </c>
      <c r="G15352">
        <v>230313</v>
      </c>
      <c r="H15352">
        <v>1198</v>
      </c>
      <c r="I15352" t="s">
        <v>1128</v>
      </c>
      <c r="J15352">
        <v>68820</v>
      </c>
      <c r="K15352">
        <v>13320</v>
      </c>
      <c r="L15352">
        <v>95511</v>
      </c>
      <c r="M15352" t="s">
        <v>1129</v>
      </c>
      <c r="N15352" t="str">
        <f>"936963      "</f>
        <v xml:space="preserve">936963      </v>
      </c>
      <c r="O15352">
        <v>230315</v>
      </c>
    </row>
    <row r="15353" spans="1:15" x14ac:dyDescent="0.25">
      <c r="A15353" t="s">
        <v>16</v>
      </c>
      <c r="B15353" t="s">
        <v>3221</v>
      </c>
      <c r="C15353">
        <v>15550</v>
      </c>
      <c r="D15353" t="s">
        <v>1553</v>
      </c>
      <c r="E15353" t="s">
        <v>1554</v>
      </c>
      <c r="F15353">
        <v>111000</v>
      </c>
      <c r="G15353">
        <v>231109</v>
      </c>
      <c r="H15353">
        <v>1198</v>
      </c>
      <c r="I15353" t="s">
        <v>1128</v>
      </c>
      <c r="J15353">
        <v>137640</v>
      </c>
      <c r="K15353">
        <v>26640</v>
      </c>
      <c r="L15353">
        <v>95511</v>
      </c>
      <c r="M15353" t="s">
        <v>1129</v>
      </c>
      <c r="N15353" t="str">
        <f>"941533      "</f>
        <v xml:space="preserve">941533      </v>
      </c>
      <c r="O15353">
        <v>231113</v>
      </c>
    </row>
    <row r="15354" spans="1:15" x14ac:dyDescent="0.25">
      <c r="A15354" t="s">
        <v>16</v>
      </c>
      <c r="B15354" t="s">
        <v>3221</v>
      </c>
      <c r="C15354">
        <v>18810</v>
      </c>
      <c r="D15354" t="s">
        <v>1553</v>
      </c>
      <c r="E15354" t="s">
        <v>1554</v>
      </c>
      <c r="F15354">
        <v>18500</v>
      </c>
      <c r="G15354">
        <v>231229</v>
      </c>
      <c r="H15354">
        <v>1198</v>
      </c>
      <c r="I15354" t="s">
        <v>1128</v>
      </c>
      <c r="J15354">
        <v>22940</v>
      </c>
      <c r="K15354">
        <v>4440</v>
      </c>
      <c r="L15354">
        <v>95511</v>
      </c>
      <c r="M15354" t="s">
        <v>1129</v>
      </c>
      <c r="N15354" t="str">
        <f>"942423      "</f>
        <v xml:space="preserve">942423      </v>
      </c>
      <c r="O15354">
        <v>240108</v>
      </c>
    </row>
    <row r="15355" spans="1:15" x14ac:dyDescent="0.25">
      <c r="A15355" t="s">
        <v>16</v>
      </c>
      <c r="B15355" t="s">
        <v>3221</v>
      </c>
      <c r="C15355">
        <v>11276</v>
      </c>
      <c r="D15355" t="s">
        <v>1553</v>
      </c>
      <c r="E15355" t="s">
        <v>1554</v>
      </c>
      <c r="F15355">
        <v>50</v>
      </c>
      <c r="G15355">
        <v>230830</v>
      </c>
      <c r="H15355">
        <v>4400</v>
      </c>
      <c r="I15355" t="s">
        <v>348</v>
      </c>
      <c r="J15355">
        <v>62</v>
      </c>
      <c r="K15355">
        <v>12</v>
      </c>
      <c r="L15355">
        <v>17524</v>
      </c>
      <c r="M15355" t="s">
        <v>452</v>
      </c>
      <c r="N15355" t="str">
        <f>"940040      "</f>
        <v xml:space="preserve">940040      </v>
      </c>
      <c r="O15355">
        <v>230904</v>
      </c>
    </row>
    <row r="15356" spans="1:15" x14ac:dyDescent="0.25">
      <c r="A15356" t="s">
        <v>16</v>
      </c>
      <c r="B15356" t="s">
        <v>3221</v>
      </c>
      <c r="C15356">
        <v>10048</v>
      </c>
      <c r="D15356" t="s">
        <v>1553</v>
      </c>
      <c r="E15356" t="s">
        <v>1554</v>
      </c>
      <c r="F15356">
        <v>133</v>
      </c>
      <c r="G15356">
        <v>230802</v>
      </c>
      <c r="H15356">
        <v>4600</v>
      </c>
      <c r="I15356" t="s">
        <v>105</v>
      </c>
      <c r="J15356">
        <v>164.92</v>
      </c>
      <c r="K15356">
        <v>31.92</v>
      </c>
      <c r="L15356">
        <v>17527</v>
      </c>
      <c r="M15356" t="s">
        <v>422</v>
      </c>
      <c r="N15356" t="str">
        <f>"939574      "</f>
        <v xml:space="preserve">939574      </v>
      </c>
      <c r="O15356">
        <v>230807</v>
      </c>
    </row>
    <row r="15357" spans="1:15" x14ac:dyDescent="0.25">
      <c r="A15357" t="s">
        <v>16</v>
      </c>
      <c r="B15357" t="s">
        <v>3221</v>
      </c>
      <c r="C15357">
        <v>10048</v>
      </c>
      <c r="D15357" t="s">
        <v>1553</v>
      </c>
      <c r="E15357" t="s">
        <v>1554</v>
      </c>
      <c r="F15357">
        <v>372.12</v>
      </c>
      <c r="G15357">
        <v>230802</v>
      </c>
      <c r="H15357">
        <v>4600</v>
      </c>
      <c r="I15357" t="s">
        <v>105</v>
      </c>
      <c r="J15357">
        <v>461.43</v>
      </c>
      <c r="K15357">
        <v>89.31</v>
      </c>
      <c r="L15357">
        <v>17638</v>
      </c>
      <c r="M15357" t="s">
        <v>765</v>
      </c>
      <c r="N15357" t="str">
        <f>"939574      "</f>
        <v xml:space="preserve">939574      </v>
      </c>
      <c r="O15357">
        <v>230807</v>
      </c>
    </row>
    <row r="15358" spans="1:15" x14ac:dyDescent="0.25">
      <c r="A15358" t="s">
        <v>16</v>
      </c>
      <c r="B15358" t="s">
        <v>3221</v>
      </c>
      <c r="C15358">
        <v>686</v>
      </c>
      <c r="D15358" t="s">
        <v>680</v>
      </c>
      <c r="E15358" t="s">
        <v>681</v>
      </c>
      <c r="F15358">
        <v>915</v>
      </c>
      <c r="G15358">
        <v>230126</v>
      </c>
      <c r="H15358">
        <v>4580</v>
      </c>
      <c r="I15358" t="s">
        <v>35</v>
      </c>
      <c r="J15358">
        <v>1134.5999999999999</v>
      </c>
      <c r="K15358">
        <v>219.6</v>
      </c>
      <c r="L15358">
        <v>11301</v>
      </c>
      <c r="M15358" t="s">
        <v>29</v>
      </c>
      <c r="N15358" t="str">
        <f>"52300027    "</f>
        <v xml:space="preserve">52300027    </v>
      </c>
      <c r="O15358">
        <v>230126</v>
      </c>
    </row>
    <row r="15359" spans="1:15" x14ac:dyDescent="0.25">
      <c r="A15359" t="s">
        <v>16</v>
      </c>
      <c r="B15359" t="s">
        <v>3221</v>
      </c>
      <c r="C15359">
        <v>4865</v>
      </c>
      <c r="D15359" t="s">
        <v>680</v>
      </c>
      <c r="E15359" t="s">
        <v>681</v>
      </c>
      <c r="F15359">
        <v>405</v>
      </c>
      <c r="G15359">
        <v>230331</v>
      </c>
      <c r="H15359">
        <v>4580</v>
      </c>
      <c r="I15359" t="s">
        <v>35</v>
      </c>
      <c r="J15359">
        <v>502.2</v>
      </c>
      <c r="K15359">
        <v>97.2</v>
      </c>
      <c r="L15359">
        <v>13802</v>
      </c>
      <c r="M15359" t="s">
        <v>200</v>
      </c>
      <c r="N15359" t="str">
        <f>"52300127    "</f>
        <v xml:space="preserve">52300127    </v>
      </c>
      <c r="O15359">
        <v>230413</v>
      </c>
    </row>
    <row r="15360" spans="1:15" x14ac:dyDescent="0.25">
      <c r="A15360" t="s">
        <v>16</v>
      </c>
      <c r="B15360" t="s">
        <v>3221</v>
      </c>
      <c r="C15360">
        <v>3436</v>
      </c>
      <c r="D15360" t="s">
        <v>680</v>
      </c>
      <c r="E15360" t="s">
        <v>681</v>
      </c>
      <c r="F15360">
        <v>170</v>
      </c>
      <c r="G15360">
        <v>230314</v>
      </c>
      <c r="H15360">
        <v>4600</v>
      </c>
      <c r="I15360" t="s">
        <v>105</v>
      </c>
      <c r="J15360">
        <v>210.8</v>
      </c>
      <c r="K15360">
        <v>40.799999999999997</v>
      </c>
      <c r="L15360">
        <v>13401</v>
      </c>
      <c r="M15360" t="s">
        <v>80</v>
      </c>
      <c r="N15360" t="str">
        <f>"52300090    "</f>
        <v xml:space="preserve">52300090    </v>
      </c>
      <c r="O15360">
        <v>230315</v>
      </c>
    </row>
    <row r="15361" spans="1:15" x14ac:dyDescent="0.25">
      <c r="A15361" t="s">
        <v>16</v>
      </c>
      <c r="B15361" t="s">
        <v>3221</v>
      </c>
      <c r="C15361">
        <v>949</v>
      </c>
      <c r="D15361" t="s">
        <v>680</v>
      </c>
      <c r="E15361" t="s">
        <v>681</v>
      </c>
      <c r="F15361">
        <v>123</v>
      </c>
      <c r="G15361">
        <v>230131</v>
      </c>
      <c r="H15361">
        <v>4350</v>
      </c>
      <c r="I15361" t="s">
        <v>546</v>
      </c>
      <c r="J15361">
        <v>152.52000000000001</v>
      </c>
      <c r="K15361">
        <v>29.52</v>
      </c>
      <c r="L15361">
        <v>13401</v>
      </c>
      <c r="M15361" t="s">
        <v>80</v>
      </c>
      <c r="N15361" t="str">
        <f>"52300033    "</f>
        <v xml:space="preserve">52300033    </v>
      </c>
      <c r="O15361">
        <v>230201</v>
      </c>
    </row>
    <row r="15362" spans="1:15" x14ac:dyDescent="0.25">
      <c r="A15362" t="s">
        <v>16</v>
      </c>
      <c r="B15362" t="s">
        <v>3221</v>
      </c>
      <c r="C15362">
        <v>949</v>
      </c>
      <c r="D15362" t="s">
        <v>680</v>
      </c>
      <c r="E15362" t="s">
        <v>681</v>
      </c>
      <c r="F15362">
        <v>123</v>
      </c>
      <c r="G15362">
        <v>230131</v>
      </c>
      <c r="H15362">
        <v>4350</v>
      </c>
      <c r="I15362" t="s">
        <v>546</v>
      </c>
      <c r="J15362">
        <v>152.52000000000001</v>
      </c>
      <c r="K15362">
        <v>29.52</v>
      </c>
      <c r="L15362">
        <v>13501</v>
      </c>
      <c r="M15362" t="s">
        <v>20</v>
      </c>
      <c r="N15362" t="str">
        <f>"52300033    "</f>
        <v xml:space="preserve">52300033    </v>
      </c>
      <c r="O15362">
        <v>230201</v>
      </c>
    </row>
    <row r="15363" spans="1:15" x14ac:dyDescent="0.25">
      <c r="A15363" t="s">
        <v>16</v>
      </c>
      <c r="B15363" t="s">
        <v>3221</v>
      </c>
      <c r="C15363">
        <v>3169</v>
      </c>
      <c r="D15363" t="s">
        <v>1520</v>
      </c>
      <c r="E15363" t="s">
        <v>1521</v>
      </c>
      <c r="F15363">
        <v>314.3</v>
      </c>
      <c r="G15363">
        <v>230223</v>
      </c>
      <c r="H15363">
        <v>4600</v>
      </c>
      <c r="I15363" t="s">
        <v>105</v>
      </c>
      <c r="J15363">
        <v>389.73</v>
      </c>
      <c r="K15363">
        <v>75.430000000000007</v>
      </c>
      <c r="L15363">
        <v>46554</v>
      </c>
      <c r="M15363" t="s">
        <v>117</v>
      </c>
      <c r="N15363" t="str">
        <f>"31327       "</f>
        <v xml:space="preserve">31327       </v>
      </c>
      <c r="O15363">
        <v>230310</v>
      </c>
    </row>
    <row r="15364" spans="1:15" x14ac:dyDescent="0.25">
      <c r="A15364" t="s">
        <v>16</v>
      </c>
      <c r="B15364" t="s">
        <v>3221</v>
      </c>
      <c r="C15364">
        <v>3171</v>
      </c>
      <c r="D15364" t="s">
        <v>1520</v>
      </c>
      <c r="E15364" t="s">
        <v>1521</v>
      </c>
      <c r="F15364">
        <v>661.69</v>
      </c>
      <c r="G15364">
        <v>230224</v>
      </c>
      <c r="H15364">
        <v>4600</v>
      </c>
      <c r="I15364" t="s">
        <v>105</v>
      </c>
      <c r="J15364">
        <v>820.49</v>
      </c>
      <c r="K15364">
        <v>158.80000000000001</v>
      </c>
      <c r="L15364">
        <v>46554</v>
      </c>
      <c r="M15364" t="s">
        <v>117</v>
      </c>
      <c r="N15364" t="str">
        <f>"31348       "</f>
        <v xml:space="preserve">31348       </v>
      </c>
      <c r="O15364">
        <v>230310</v>
      </c>
    </row>
    <row r="15365" spans="1:15" x14ac:dyDescent="0.25">
      <c r="A15365" t="s">
        <v>16</v>
      </c>
      <c r="B15365" t="s">
        <v>3221</v>
      </c>
      <c r="C15365">
        <v>3562</v>
      </c>
      <c r="D15365" t="s">
        <v>1520</v>
      </c>
      <c r="E15365" t="s">
        <v>1521</v>
      </c>
      <c r="F15365">
        <v>738.36</v>
      </c>
      <c r="G15365">
        <v>230314</v>
      </c>
      <c r="H15365">
        <v>4600</v>
      </c>
      <c r="I15365" t="s">
        <v>105</v>
      </c>
      <c r="J15365">
        <v>915.57</v>
      </c>
      <c r="K15365">
        <v>177.21</v>
      </c>
      <c r="L15365">
        <v>46554</v>
      </c>
      <c r="M15365" t="s">
        <v>117</v>
      </c>
      <c r="N15365" t="str">
        <f>"31566       "</f>
        <v xml:space="preserve">31566       </v>
      </c>
      <c r="O15365">
        <v>230317</v>
      </c>
    </row>
    <row r="15366" spans="1:15" x14ac:dyDescent="0.25">
      <c r="A15366" t="s">
        <v>16</v>
      </c>
      <c r="B15366" t="s">
        <v>3221</v>
      </c>
      <c r="C15366">
        <v>5615</v>
      </c>
      <c r="D15366" t="s">
        <v>1874</v>
      </c>
      <c r="E15366" t="s">
        <v>1875</v>
      </c>
      <c r="F15366">
        <v>52</v>
      </c>
      <c r="G15366">
        <v>230425</v>
      </c>
      <c r="H15366">
        <v>4420</v>
      </c>
      <c r="I15366" t="s">
        <v>132</v>
      </c>
      <c r="J15366">
        <v>64.48</v>
      </c>
      <c r="K15366">
        <v>12.48</v>
      </c>
      <c r="L15366">
        <v>16930</v>
      </c>
      <c r="M15366" t="s">
        <v>450</v>
      </c>
      <c r="N15366" t="str">
        <f>"662         "</f>
        <v xml:space="preserve">662         </v>
      </c>
      <c r="O15366">
        <v>230428</v>
      </c>
    </row>
    <row r="15367" spans="1:15" x14ac:dyDescent="0.25">
      <c r="A15367" t="s">
        <v>16</v>
      </c>
      <c r="B15367" t="s">
        <v>3221</v>
      </c>
      <c r="C15367">
        <v>5615</v>
      </c>
      <c r="D15367" t="s">
        <v>1874</v>
      </c>
      <c r="E15367" t="s">
        <v>1875</v>
      </c>
      <c r="F15367">
        <v>850</v>
      </c>
      <c r="G15367">
        <v>230425</v>
      </c>
      <c r="H15367">
        <v>4440</v>
      </c>
      <c r="I15367" t="s">
        <v>250</v>
      </c>
      <c r="J15367">
        <v>1054</v>
      </c>
      <c r="K15367">
        <v>204</v>
      </c>
      <c r="L15367">
        <v>16930</v>
      </c>
      <c r="M15367" t="s">
        <v>450</v>
      </c>
      <c r="N15367" t="str">
        <f>"662         "</f>
        <v xml:space="preserve">662         </v>
      </c>
      <c r="O15367">
        <v>230428</v>
      </c>
    </row>
    <row r="15368" spans="1:15" x14ac:dyDescent="0.25">
      <c r="A15368" t="s">
        <v>16</v>
      </c>
      <c r="B15368" t="s">
        <v>3221</v>
      </c>
      <c r="C15368">
        <v>90</v>
      </c>
      <c r="D15368" t="s">
        <v>100</v>
      </c>
      <c r="E15368" t="s">
        <v>101</v>
      </c>
      <c r="F15368">
        <v>2371.69</v>
      </c>
      <c r="G15368">
        <v>230101</v>
      </c>
      <c r="H15368">
        <v>4343</v>
      </c>
      <c r="I15368" t="s">
        <v>91</v>
      </c>
      <c r="J15368">
        <v>2940.9</v>
      </c>
      <c r="K15368">
        <v>569.21</v>
      </c>
      <c r="L15368">
        <v>17805</v>
      </c>
      <c r="M15368" t="s">
        <v>102</v>
      </c>
      <c r="N15368" t="str">
        <f>"548         "</f>
        <v xml:space="preserve">548         </v>
      </c>
      <c r="O15368">
        <v>230109</v>
      </c>
    </row>
    <row r="15369" spans="1:15" x14ac:dyDescent="0.25">
      <c r="A15369" t="s">
        <v>16</v>
      </c>
      <c r="B15369" t="s">
        <v>3221</v>
      </c>
      <c r="C15369">
        <v>17814</v>
      </c>
      <c r="D15369" t="s">
        <v>3103</v>
      </c>
      <c r="E15369" t="s">
        <v>3104</v>
      </c>
      <c r="F15369">
        <v>50</v>
      </c>
      <c r="G15369">
        <v>231213</v>
      </c>
      <c r="H15369">
        <v>4600</v>
      </c>
      <c r="I15369" t="s">
        <v>105</v>
      </c>
      <c r="J15369">
        <v>50</v>
      </c>
      <c r="K15369">
        <v>0</v>
      </c>
      <c r="L15369">
        <v>13801</v>
      </c>
      <c r="M15369" t="s">
        <v>162</v>
      </c>
      <c r="N15369" t="str">
        <f>"71001990    "</f>
        <v xml:space="preserve">71001990    </v>
      </c>
      <c r="O15369">
        <v>231227</v>
      </c>
    </row>
    <row r="15370" spans="1:15" x14ac:dyDescent="0.25">
      <c r="A15370" t="s">
        <v>16</v>
      </c>
      <c r="B15370" t="s">
        <v>3221</v>
      </c>
      <c r="C15370">
        <v>9160</v>
      </c>
      <c r="D15370" t="s">
        <v>2267</v>
      </c>
      <c r="E15370" t="s">
        <v>2268</v>
      </c>
      <c r="F15370">
        <v>140</v>
      </c>
      <c r="G15370">
        <v>230627</v>
      </c>
      <c r="H15370">
        <v>4520</v>
      </c>
      <c r="I15370" t="s">
        <v>254</v>
      </c>
      <c r="J15370">
        <v>159.6</v>
      </c>
      <c r="K15370">
        <v>19.600000000000001</v>
      </c>
      <c r="L15370">
        <v>11908</v>
      </c>
      <c r="M15370" t="s">
        <v>598</v>
      </c>
      <c r="N15370" t="str">
        <f>"720         "</f>
        <v xml:space="preserve">720         </v>
      </c>
      <c r="O15370">
        <v>230629</v>
      </c>
    </row>
    <row r="15371" spans="1:15" x14ac:dyDescent="0.25">
      <c r="A15371" t="s">
        <v>16</v>
      </c>
      <c r="B15371" t="s">
        <v>3221</v>
      </c>
      <c r="C15371">
        <v>9169</v>
      </c>
      <c r="D15371" t="s">
        <v>2267</v>
      </c>
      <c r="E15371" t="s">
        <v>2268</v>
      </c>
      <c r="F15371">
        <v>311.39999999999998</v>
      </c>
      <c r="G15371">
        <v>230627</v>
      </c>
      <c r="H15371">
        <v>4410</v>
      </c>
      <c r="I15371" t="s">
        <v>517</v>
      </c>
      <c r="J15371">
        <v>355</v>
      </c>
      <c r="K15371">
        <v>43.6</v>
      </c>
      <c r="L15371">
        <v>11908</v>
      </c>
      <c r="M15371" t="s">
        <v>598</v>
      </c>
      <c r="N15371" t="str">
        <f>"721         "</f>
        <v xml:space="preserve">721         </v>
      </c>
      <c r="O15371">
        <v>230629</v>
      </c>
    </row>
    <row r="15372" spans="1:15" x14ac:dyDescent="0.25">
      <c r="A15372" t="s">
        <v>16</v>
      </c>
      <c r="B15372" t="s">
        <v>3221</v>
      </c>
      <c r="C15372">
        <v>10135</v>
      </c>
      <c r="D15372" t="s">
        <v>2267</v>
      </c>
      <c r="E15372" t="s">
        <v>2268</v>
      </c>
      <c r="F15372">
        <v>3.15</v>
      </c>
      <c r="G15372">
        <v>230802</v>
      </c>
      <c r="H15372">
        <v>4410</v>
      </c>
      <c r="I15372" t="s">
        <v>517</v>
      </c>
      <c r="J15372">
        <v>3.9</v>
      </c>
      <c r="K15372">
        <v>0.75</v>
      </c>
      <c r="L15372">
        <v>17972</v>
      </c>
      <c r="M15372" t="s">
        <v>248</v>
      </c>
      <c r="N15372" t="str">
        <f>"743         "</f>
        <v xml:space="preserve">743         </v>
      </c>
      <c r="O15372">
        <v>230808</v>
      </c>
    </row>
    <row r="15373" spans="1:15" x14ac:dyDescent="0.25">
      <c r="A15373" t="s">
        <v>16</v>
      </c>
      <c r="B15373" t="s">
        <v>3221</v>
      </c>
      <c r="C15373">
        <v>10135</v>
      </c>
      <c r="D15373" t="s">
        <v>2267</v>
      </c>
      <c r="E15373" t="s">
        <v>2268</v>
      </c>
      <c r="F15373">
        <v>84.74</v>
      </c>
      <c r="G15373">
        <v>230802</v>
      </c>
      <c r="H15373">
        <v>4410</v>
      </c>
      <c r="I15373" t="s">
        <v>517</v>
      </c>
      <c r="J15373">
        <v>96.6</v>
      </c>
      <c r="K15373">
        <v>11.86</v>
      </c>
      <c r="L15373">
        <v>17972</v>
      </c>
      <c r="M15373" t="s">
        <v>248</v>
      </c>
      <c r="N15373" t="str">
        <f>"743         "</f>
        <v xml:space="preserve">743         </v>
      </c>
      <c r="O15373">
        <v>230808</v>
      </c>
    </row>
    <row r="15374" spans="1:15" x14ac:dyDescent="0.25">
      <c r="A15374" t="s">
        <v>16</v>
      </c>
      <c r="B15374" t="s">
        <v>3221</v>
      </c>
      <c r="C15374">
        <v>12682</v>
      </c>
      <c r="D15374" t="s">
        <v>2267</v>
      </c>
      <c r="E15374" t="s">
        <v>2268</v>
      </c>
      <c r="F15374">
        <v>3.15</v>
      </c>
      <c r="G15374">
        <v>230915</v>
      </c>
      <c r="H15374">
        <v>4410</v>
      </c>
      <c r="I15374" t="s">
        <v>517</v>
      </c>
      <c r="J15374">
        <v>3.9</v>
      </c>
      <c r="K15374">
        <v>0.75</v>
      </c>
      <c r="L15374">
        <v>18972</v>
      </c>
      <c r="M15374" t="s">
        <v>163</v>
      </c>
      <c r="N15374" t="str">
        <f>"772         "</f>
        <v xml:space="preserve">772         </v>
      </c>
      <c r="O15374">
        <v>230925</v>
      </c>
    </row>
    <row r="15375" spans="1:15" x14ac:dyDescent="0.25">
      <c r="A15375" t="s">
        <v>16</v>
      </c>
      <c r="B15375" t="s">
        <v>3221</v>
      </c>
      <c r="C15375">
        <v>12682</v>
      </c>
      <c r="D15375" t="s">
        <v>2267</v>
      </c>
      <c r="E15375" t="s">
        <v>2268</v>
      </c>
      <c r="F15375">
        <v>292.27999999999997</v>
      </c>
      <c r="G15375">
        <v>230915</v>
      </c>
      <c r="H15375">
        <v>4410</v>
      </c>
      <c r="I15375" t="s">
        <v>517</v>
      </c>
      <c r="J15375">
        <v>333.2</v>
      </c>
      <c r="K15375">
        <v>40.92</v>
      </c>
      <c r="L15375">
        <v>18972</v>
      </c>
      <c r="M15375" t="s">
        <v>163</v>
      </c>
      <c r="N15375" t="str">
        <f>"772         "</f>
        <v xml:space="preserve">772         </v>
      </c>
      <c r="O15375">
        <v>230925</v>
      </c>
    </row>
    <row r="15376" spans="1:15" x14ac:dyDescent="0.25">
      <c r="A15376" t="s">
        <v>16</v>
      </c>
      <c r="B15376" t="s">
        <v>3221</v>
      </c>
      <c r="C15376">
        <v>9169</v>
      </c>
      <c r="D15376" t="s">
        <v>2267</v>
      </c>
      <c r="E15376" t="s">
        <v>2268</v>
      </c>
      <c r="F15376">
        <v>16.13</v>
      </c>
      <c r="G15376">
        <v>230627</v>
      </c>
      <c r="H15376">
        <v>4420</v>
      </c>
      <c r="I15376" t="s">
        <v>132</v>
      </c>
      <c r="J15376">
        <v>20</v>
      </c>
      <c r="K15376">
        <v>3.87</v>
      </c>
      <c r="L15376">
        <v>11908</v>
      </c>
      <c r="M15376" t="s">
        <v>598</v>
      </c>
      <c r="N15376" t="str">
        <f>"721         "</f>
        <v xml:space="preserve">721         </v>
      </c>
      <c r="O15376">
        <v>230629</v>
      </c>
    </row>
    <row r="15377" spans="1:15" x14ac:dyDescent="0.25">
      <c r="A15377" t="s">
        <v>16</v>
      </c>
      <c r="B15377" t="s">
        <v>3221</v>
      </c>
      <c r="C15377">
        <v>9160</v>
      </c>
      <c r="D15377" t="s">
        <v>2267</v>
      </c>
      <c r="E15377" t="s">
        <v>2268</v>
      </c>
      <c r="F15377">
        <v>3.15</v>
      </c>
      <c r="G15377">
        <v>230627</v>
      </c>
      <c r="H15377">
        <v>4347</v>
      </c>
      <c r="I15377" t="s">
        <v>193</v>
      </c>
      <c r="J15377">
        <v>3.9</v>
      </c>
      <c r="K15377">
        <v>0.75</v>
      </c>
      <c r="L15377">
        <v>11908</v>
      </c>
      <c r="M15377" t="s">
        <v>598</v>
      </c>
      <c r="N15377" t="str">
        <f>"720         "</f>
        <v xml:space="preserve">720         </v>
      </c>
      <c r="O15377">
        <v>230629</v>
      </c>
    </row>
    <row r="15378" spans="1:15" x14ac:dyDescent="0.25">
      <c r="A15378" t="s">
        <v>16</v>
      </c>
      <c r="B15378" t="s">
        <v>3221</v>
      </c>
      <c r="C15378">
        <v>9169</v>
      </c>
      <c r="D15378" t="s">
        <v>2267</v>
      </c>
      <c r="E15378" t="s">
        <v>2268</v>
      </c>
      <c r="F15378">
        <v>3.15</v>
      </c>
      <c r="G15378">
        <v>230627</v>
      </c>
      <c r="H15378">
        <v>4347</v>
      </c>
      <c r="I15378" t="s">
        <v>193</v>
      </c>
      <c r="J15378">
        <v>3.9</v>
      </c>
      <c r="K15378">
        <v>0.75</v>
      </c>
      <c r="L15378">
        <v>11908</v>
      </c>
      <c r="M15378" t="s">
        <v>598</v>
      </c>
      <c r="N15378" t="str">
        <f>"721         "</f>
        <v xml:space="preserve">721         </v>
      </c>
      <c r="O15378">
        <v>230629</v>
      </c>
    </row>
    <row r="15379" spans="1:15" x14ac:dyDescent="0.25">
      <c r="A15379" t="s">
        <v>16</v>
      </c>
      <c r="B15379" t="s">
        <v>3221</v>
      </c>
      <c r="C15379">
        <v>164</v>
      </c>
      <c r="D15379" t="s">
        <v>244</v>
      </c>
      <c r="E15379" t="s">
        <v>245</v>
      </c>
      <c r="F15379">
        <v>104.55</v>
      </c>
      <c r="G15379">
        <v>230102</v>
      </c>
      <c r="H15379">
        <v>4510</v>
      </c>
      <c r="I15379" t="s">
        <v>42</v>
      </c>
      <c r="J15379">
        <v>115</v>
      </c>
      <c r="K15379">
        <v>10.45</v>
      </c>
      <c r="L15379">
        <v>13561</v>
      </c>
      <c r="M15379" t="s">
        <v>246</v>
      </c>
      <c r="N15379" t="str">
        <f>"118278      "</f>
        <v xml:space="preserve">118278      </v>
      </c>
      <c r="O15379">
        <v>230113</v>
      </c>
    </row>
    <row r="15380" spans="1:15" x14ac:dyDescent="0.25">
      <c r="A15380" t="s">
        <v>16</v>
      </c>
      <c r="B15380" t="s">
        <v>3221</v>
      </c>
      <c r="C15380">
        <v>164</v>
      </c>
      <c r="D15380" t="s">
        <v>244</v>
      </c>
      <c r="E15380" t="s">
        <v>245</v>
      </c>
      <c r="F15380">
        <v>104.55</v>
      </c>
      <c r="G15380">
        <v>230102</v>
      </c>
      <c r="H15380">
        <v>4510</v>
      </c>
      <c r="I15380" t="s">
        <v>42</v>
      </c>
      <c r="J15380">
        <v>115</v>
      </c>
      <c r="K15380">
        <v>10.45</v>
      </c>
      <c r="L15380">
        <v>13661</v>
      </c>
      <c r="M15380" t="s">
        <v>247</v>
      </c>
      <c r="N15380" t="str">
        <f>"118278      "</f>
        <v xml:space="preserve">118278      </v>
      </c>
      <c r="O15380">
        <v>230113</v>
      </c>
    </row>
    <row r="15381" spans="1:15" x14ac:dyDescent="0.25">
      <c r="A15381" t="s">
        <v>16</v>
      </c>
      <c r="B15381" t="s">
        <v>3221</v>
      </c>
      <c r="C15381">
        <v>164</v>
      </c>
      <c r="D15381" t="s">
        <v>244</v>
      </c>
      <c r="E15381" t="s">
        <v>245</v>
      </c>
      <c r="F15381">
        <v>104.55</v>
      </c>
      <c r="G15381">
        <v>230102</v>
      </c>
      <c r="H15381">
        <v>4510</v>
      </c>
      <c r="I15381" t="s">
        <v>42</v>
      </c>
      <c r="J15381">
        <v>115</v>
      </c>
      <c r="K15381">
        <v>10.45</v>
      </c>
      <c r="L15381">
        <v>17972</v>
      </c>
      <c r="M15381" t="s">
        <v>248</v>
      </c>
      <c r="N15381" t="str">
        <f>"118278      "</f>
        <v xml:space="preserve">118278      </v>
      </c>
      <c r="O15381">
        <v>230113</v>
      </c>
    </row>
    <row r="15382" spans="1:15" x14ac:dyDescent="0.25">
      <c r="A15382" t="s">
        <v>16</v>
      </c>
      <c r="B15382" t="s">
        <v>3221</v>
      </c>
      <c r="C15382">
        <v>789</v>
      </c>
      <c r="D15382" t="s">
        <v>244</v>
      </c>
      <c r="E15382" t="s">
        <v>245</v>
      </c>
      <c r="F15382">
        <v>104.55</v>
      </c>
      <c r="G15382">
        <v>230124</v>
      </c>
      <c r="H15382">
        <v>4510</v>
      </c>
      <c r="I15382" t="s">
        <v>42</v>
      </c>
      <c r="J15382">
        <v>115</v>
      </c>
      <c r="K15382">
        <v>10.45</v>
      </c>
      <c r="L15382">
        <v>13801</v>
      </c>
      <c r="M15382" t="s">
        <v>162</v>
      </c>
      <c r="N15382" t="str">
        <f>"123921      "</f>
        <v xml:space="preserve">123921      </v>
      </c>
      <c r="O15382">
        <v>230130</v>
      </c>
    </row>
    <row r="15383" spans="1:15" x14ac:dyDescent="0.25">
      <c r="A15383" t="s">
        <v>16</v>
      </c>
      <c r="B15383" t="s">
        <v>3221</v>
      </c>
      <c r="C15383">
        <v>2165</v>
      </c>
      <c r="D15383" t="s">
        <v>244</v>
      </c>
      <c r="E15383" t="s">
        <v>245</v>
      </c>
      <c r="F15383">
        <v>104.55</v>
      </c>
      <c r="G15383">
        <v>230214</v>
      </c>
      <c r="H15383">
        <v>4510</v>
      </c>
      <c r="I15383" t="s">
        <v>42</v>
      </c>
      <c r="J15383">
        <v>115</v>
      </c>
      <c r="K15383">
        <v>10.45</v>
      </c>
      <c r="L15383">
        <v>13801</v>
      </c>
      <c r="M15383" t="s">
        <v>162</v>
      </c>
      <c r="N15383" t="str">
        <f>"124394      "</f>
        <v xml:space="preserve">124394      </v>
      </c>
      <c r="O15383">
        <v>230221</v>
      </c>
    </row>
    <row r="15384" spans="1:15" x14ac:dyDescent="0.25">
      <c r="A15384" t="s">
        <v>16</v>
      </c>
      <c r="B15384" t="s">
        <v>3221</v>
      </c>
      <c r="C15384">
        <v>2165</v>
      </c>
      <c r="D15384" t="s">
        <v>244</v>
      </c>
      <c r="E15384" t="s">
        <v>245</v>
      </c>
      <c r="F15384">
        <v>104.55</v>
      </c>
      <c r="G15384">
        <v>230214</v>
      </c>
      <c r="H15384">
        <v>4510</v>
      </c>
      <c r="I15384" t="s">
        <v>42</v>
      </c>
      <c r="J15384">
        <v>115</v>
      </c>
      <c r="K15384">
        <v>10.45</v>
      </c>
      <c r="L15384">
        <v>17971</v>
      </c>
      <c r="M15384" t="s">
        <v>138</v>
      </c>
      <c r="N15384" t="str">
        <f>"124394      "</f>
        <v xml:space="preserve">124394      </v>
      </c>
      <c r="O15384">
        <v>230221</v>
      </c>
    </row>
    <row r="15385" spans="1:15" x14ac:dyDescent="0.25">
      <c r="A15385" t="s">
        <v>16</v>
      </c>
      <c r="B15385" t="s">
        <v>3221</v>
      </c>
      <c r="C15385">
        <v>3701</v>
      </c>
      <c r="D15385" t="s">
        <v>244</v>
      </c>
      <c r="E15385" t="s">
        <v>245</v>
      </c>
      <c r="F15385">
        <v>42.39</v>
      </c>
      <c r="G15385">
        <v>230314</v>
      </c>
      <c r="H15385">
        <v>4510</v>
      </c>
      <c r="I15385" t="s">
        <v>42</v>
      </c>
      <c r="J15385">
        <v>46.63</v>
      </c>
      <c r="K15385">
        <v>4.24</v>
      </c>
      <c r="L15385">
        <v>17131</v>
      </c>
      <c r="M15385" t="s">
        <v>64</v>
      </c>
      <c r="N15385" t="str">
        <f>"124815      "</f>
        <v xml:space="preserve">124815      </v>
      </c>
      <c r="O15385">
        <v>230321</v>
      </c>
    </row>
    <row r="15386" spans="1:15" x14ac:dyDescent="0.25">
      <c r="A15386" t="s">
        <v>16</v>
      </c>
      <c r="B15386" t="s">
        <v>3221</v>
      </c>
      <c r="C15386">
        <v>3701</v>
      </c>
      <c r="D15386" t="s">
        <v>244</v>
      </c>
      <c r="E15386" t="s">
        <v>245</v>
      </c>
      <c r="F15386">
        <v>42.39</v>
      </c>
      <c r="G15386">
        <v>230314</v>
      </c>
      <c r="H15386">
        <v>4510</v>
      </c>
      <c r="I15386" t="s">
        <v>42</v>
      </c>
      <c r="J15386">
        <v>46.63</v>
      </c>
      <c r="K15386">
        <v>4.24</v>
      </c>
      <c r="L15386">
        <v>17711</v>
      </c>
      <c r="M15386" t="s">
        <v>65</v>
      </c>
      <c r="N15386" t="str">
        <f>"124815      "</f>
        <v xml:space="preserve">124815      </v>
      </c>
      <c r="O15386">
        <v>230321</v>
      </c>
    </row>
    <row r="15387" spans="1:15" x14ac:dyDescent="0.25">
      <c r="A15387" t="s">
        <v>16</v>
      </c>
      <c r="B15387" t="s">
        <v>3221</v>
      </c>
      <c r="C15387">
        <v>6636</v>
      </c>
      <c r="D15387" t="s">
        <v>244</v>
      </c>
      <c r="E15387" t="s">
        <v>245</v>
      </c>
      <c r="F15387">
        <v>69.7</v>
      </c>
      <c r="G15387">
        <v>230510</v>
      </c>
      <c r="H15387">
        <v>4510</v>
      </c>
      <c r="I15387" t="s">
        <v>42</v>
      </c>
      <c r="J15387">
        <v>76.67</v>
      </c>
      <c r="K15387">
        <v>6.97</v>
      </c>
      <c r="L15387">
        <v>17971</v>
      </c>
      <c r="M15387" t="s">
        <v>138</v>
      </c>
      <c r="N15387" t="str">
        <f>"125383      "</f>
        <v xml:space="preserve">125383      </v>
      </c>
      <c r="O15387">
        <v>230516</v>
      </c>
    </row>
    <row r="15388" spans="1:15" x14ac:dyDescent="0.25">
      <c r="A15388" t="s">
        <v>16</v>
      </c>
      <c r="B15388" t="s">
        <v>3221</v>
      </c>
      <c r="C15388">
        <v>6636</v>
      </c>
      <c r="D15388" t="s">
        <v>244</v>
      </c>
      <c r="E15388" t="s">
        <v>245</v>
      </c>
      <c r="F15388">
        <v>104.55</v>
      </c>
      <c r="G15388">
        <v>230510</v>
      </c>
      <c r="H15388">
        <v>4510</v>
      </c>
      <c r="I15388" t="s">
        <v>42</v>
      </c>
      <c r="J15388">
        <v>115</v>
      </c>
      <c r="K15388">
        <v>10.45</v>
      </c>
      <c r="L15388">
        <v>17971</v>
      </c>
      <c r="M15388" t="s">
        <v>138</v>
      </c>
      <c r="N15388" t="str">
        <f>"125383      "</f>
        <v xml:space="preserve">125383      </v>
      </c>
      <c r="O15388">
        <v>230516</v>
      </c>
    </row>
    <row r="15389" spans="1:15" x14ac:dyDescent="0.25">
      <c r="A15389" t="s">
        <v>16</v>
      </c>
      <c r="B15389" t="s">
        <v>3221</v>
      </c>
      <c r="C15389">
        <v>445</v>
      </c>
      <c r="D15389" t="s">
        <v>244</v>
      </c>
      <c r="E15389" t="s">
        <v>245</v>
      </c>
      <c r="F15389">
        <v>292</v>
      </c>
      <c r="G15389">
        <v>230118</v>
      </c>
      <c r="H15389">
        <v>4350</v>
      </c>
      <c r="I15389" t="s">
        <v>546</v>
      </c>
      <c r="J15389">
        <v>362.08</v>
      </c>
      <c r="K15389">
        <v>70.08</v>
      </c>
      <c r="L15389">
        <v>13801</v>
      </c>
      <c r="M15389" t="s">
        <v>162</v>
      </c>
      <c r="N15389" t="str">
        <f>"609940      "</f>
        <v xml:space="preserve">609940      </v>
      </c>
      <c r="O15389">
        <v>230123</v>
      </c>
    </row>
    <row r="15390" spans="1:15" x14ac:dyDescent="0.25">
      <c r="A15390" t="s">
        <v>16</v>
      </c>
      <c r="B15390" t="s">
        <v>3221</v>
      </c>
      <c r="C15390">
        <v>752</v>
      </c>
      <c r="D15390" t="s">
        <v>244</v>
      </c>
      <c r="E15390" t="s">
        <v>245</v>
      </c>
      <c r="F15390">
        <v>20</v>
      </c>
      <c r="G15390">
        <v>230126</v>
      </c>
      <c r="H15390">
        <v>4350</v>
      </c>
      <c r="I15390" t="s">
        <v>546</v>
      </c>
      <c r="J15390">
        <v>24.8</v>
      </c>
      <c r="K15390">
        <v>4.8</v>
      </c>
      <c r="L15390">
        <v>13501</v>
      </c>
      <c r="M15390" t="s">
        <v>20</v>
      </c>
      <c r="N15390" t="str">
        <f>"609981      "</f>
        <v xml:space="preserve">609981      </v>
      </c>
      <c r="O15390">
        <v>230130</v>
      </c>
    </row>
    <row r="15391" spans="1:15" x14ac:dyDescent="0.25">
      <c r="A15391" t="s">
        <v>16</v>
      </c>
      <c r="B15391" t="s">
        <v>3221</v>
      </c>
      <c r="C15391">
        <v>752</v>
      </c>
      <c r="D15391" t="s">
        <v>244</v>
      </c>
      <c r="E15391" t="s">
        <v>245</v>
      </c>
      <c r="F15391">
        <v>313.60000000000002</v>
      </c>
      <c r="G15391">
        <v>230126</v>
      </c>
      <c r="H15391">
        <v>4350</v>
      </c>
      <c r="I15391" t="s">
        <v>546</v>
      </c>
      <c r="J15391">
        <v>388.86</v>
      </c>
      <c r="K15391">
        <v>75.260000000000005</v>
      </c>
      <c r="L15391">
        <v>17972</v>
      </c>
      <c r="M15391" t="s">
        <v>248</v>
      </c>
      <c r="N15391" t="str">
        <f>"609981      "</f>
        <v xml:space="preserve">609981      </v>
      </c>
      <c r="O15391">
        <v>230130</v>
      </c>
    </row>
    <row r="15392" spans="1:15" x14ac:dyDescent="0.25">
      <c r="A15392" t="s">
        <v>16</v>
      </c>
      <c r="B15392" t="s">
        <v>3221</v>
      </c>
      <c r="C15392">
        <v>1272</v>
      </c>
      <c r="D15392" t="s">
        <v>244</v>
      </c>
      <c r="E15392" t="s">
        <v>245</v>
      </c>
      <c r="F15392">
        <v>92</v>
      </c>
      <c r="G15392">
        <v>230202</v>
      </c>
      <c r="H15392">
        <v>4350</v>
      </c>
      <c r="I15392" t="s">
        <v>546</v>
      </c>
      <c r="J15392">
        <v>114.08</v>
      </c>
      <c r="K15392">
        <v>22.08</v>
      </c>
      <c r="L15392">
        <v>13501</v>
      </c>
      <c r="M15392" t="s">
        <v>20</v>
      </c>
      <c r="N15392" t="str">
        <f>"610074      "</f>
        <v xml:space="preserve">610074      </v>
      </c>
      <c r="O15392">
        <v>230207</v>
      </c>
    </row>
    <row r="15393" spans="1:15" x14ac:dyDescent="0.25">
      <c r="A15393" t="s">
        <v>16</v>
      </c>
      <c r="B15393" t="s">
        <v>3221</v>
      </c>
      <c r="C15393">
        <v>1272</v>
      </c>
      <c r="D15393" t="s">
        <v>244</v>
      </c>
      <c r="E15393" t="s">
        <v>245</v>
      </c>
      <c r="F15393">
        <v>235.48</v>
      </c>
      <c r="G15393">
        <v>230202</v>
      </c>
      <c r="H15393">
        <v>4350</v>
      </c>
      <c r="I15393" t="s">
        <v>546</v>
      </c>
      <c r="J15393">
        <v>292</v>
      </c>
      <c r="K15393">
        <v>56.52</v>
      </c>
      <c r="L15393">
        <v>17711</v>
      </c>
      <c r="M15393" t="s">
        <v>65</v>
      </c>
      <c r="N15393" t="str">
        <f>"610074      "</f>
        <v xml:space="preserve">610074      </v>
      </c>
      <c r="O15393">
        <v>230207</v>
      </c>
    </row>
    <row r="15394" spans="1:15" x14ac:dyDescent="0.25">
      <c r="A15394" t="s">
        <v>16</v>
      </c>
      <c r="B15394" t="s">
        <v>3221</v>
      </c>
      <c r="C15394">
        <v>1272</v>
      </c>
      <c r="D15394" t="s">
        <v>244</v>
      </c>
      <c r="E15394" t="s">
        <v>245</v>
      </c>
      <c r="F15394">
        <v>348.52</v>
      </c>
      <c r="G15394">
        <v>230202</v>
      </c>
      <c r="H15394">
        <v>4350</v>
      </c>
      <c r="I15394" t="s">
        <v>546</v>
      </c>
      <c r="J15394">
        <v>432.16</v>
      </c>
      <c r="K15394">
        <v>83.64</v>
      </c>
      <c r="L15394">
        <v>17972</v>
      </c>
      <c r="M15394" t="s">
        <v>248</v>
      </c>
      <c r="N15394" t="str">
        <f>"610074      "</f>
        <v xml:space="preserve">610074      </v>
      </c>
      <c r="O15394">
        <v>230207</v>
      </c>
    </row>
    <row r="15395" spans="1:15" x14ac:dyDescent="0.25">
      <c r="A15395" t="s">
        <v>16</v>
      </c>
      <c r="B15395" t="s">
        <v>3221</v>
      </c>
      <c r="C15395">
        <v>1272</v>
      </c>
      <c r="D15395" t="s">
        <v>244</v>
      </c>
      <c r="E15395" t="s">
        <v>245</v>
      </c>
      <c r="F15395">
        <v>368</v>
      </c>
      <c r="G15395">
        <v>230202</v>
      </c>
      <c r="H15395">
        <v>4350</v>
      </c>
      <c r="I15395" t="s">
        <v>546</v>
      </c>
      <c r="J15395">
        <v>456.32</v>
      </c>
      <c r="K15395">
        <v>88.32</v>
      </c>
      <c r="L15395">
        <v>17972</v>
      </c>
      <c r="M15395" t="s">
        <v>248</v>
      </c>
      <c r="N15395" t="str">
        <f>"610074      "</f>
        <v xml:space="preserve">610074      </v>
      </c>
      <c r="O15395">
        <v>230207</v>
      </c>
    </row>
    <row r="15396" spans="1:15" x14ac:dyDescent="0.25">
      <c r="A15396" t="s">
        <v>16</v>
      </c>
      <c r="B15396" t="s">
        <v>3221</v>
      </c>
      <c r="C15396">
        <v>2365</v>
      </c>
      <c r="D15396" t="s">
        <v>244</v>
      </c>
      <c r="E15396" t="s">
        <v>245</v>
      </c>
      <c r="F15396">
        <v>116.19</v>
      </c>
      <c r="G15396">
        <v>230222</v>
      </c>
      <c r="H15396">
        <v>4350</v>
      </c>
      <c r="I15396" t="s">
        <v>546</v>
      </c>
      <c r="J15396">
        <v>144.08000000000001</v>
      </c>
      <c r="K15396">
        <v>27.89</v>
      </c>
      <c r="L15396">
        <v>13501</v>
      </c>
      <c r="M15396" t="s">
        <v>20</v>
      </c>
      <c r="N15396" t="str">
        <f>"610256      "</f>
        <v xml:space="preserve">610256      </v>
      </c>
      <c r="O15396">
        <v>230224</v>
      </c>
    </row>
    <row r="15397" spans="1:15" x14ac:dyDescent="0.25">
      <c r="A15397" t="s">
        <v>16</v>
      </c>
      <c r="B15397" t="s">
        <v>3221</v>
      </c>
      <c r="C15397">
        <v>2365</v>
      </c>
      <c r="D15397" t="s">
        <v>244</v>
      </c>
      <c r="E15397" t="s">
        <v>245</v>
      </c>
      <c r="F15397">
        <v>343.81</v>
      </c>
      <c r="G15397">
        <v>230222</v>
      </c>
      <c r="H15397">
        <v>4350</v>
      </c>
      <c r="I15397" t="s">
        <v>546</v>
      </c>
      <c r="J15397">
        <v>426.32</v>
      </c>
      <c r="K15397">
        <v>82.51</v>
      </c>
      <c r="L15397">
        <v>17972</v>
      </c>
      <c r="M15397" t="s">
        <v>248</v>
      </c>
      <c r="N15397" t="str">
        <f>"610256      "</f>
        <v xml:space="preserve">610256      </v>
      </c>
      <c r="O15397">
        <v>230224</v>
      </c>
    </row>
    <row r="15398" spans="1:15" x14ac:dyDescent="0.25">
      <c r="A15398" t="s">
        <v>16</v>
      </c>
      <c r="B15398" t="s">
        <v>3221</v>
      </c>
      <c r="C15398">
        <v>3356</v>
      </c>
      <c r="D15398" t="s">
        <v>244</v>
      </c>
      <c r="E15398" t="s">
        <v>245</v>
      </c>
      <c r="F15398">
        <v>460</v>
      </c>
      <c r="G15398">
        <v>230313</v>
      </c>
      <c r="H15398">
        <v>4350</v>
      </c>
      <c r="I15398" t="s">
        <v>546</v>
      </c>
      <c r="J15398">
        <v>570.4</v>
      </c>
      <c r="K15398">
        <v>110.4</v>
      </c>
      <c r="L15398">
        <v>13601</v>
      </c>
      <c r="M15398" t="s">
        <v>147</v>
      </c>
      <c r="N15398" t="str">
        <f>"610360      "</f>
        <v xml:space="preserve">610360      </v>
      </c>
      <c r="O15398">
        <v>230315</v>
      </c>
    </row>
    <row r="15399" spans="1:15" x14ac:dyDescent="0.25">
      <c r="A15399" t="s">
        <v>16</v>
      </c>
      <c r="B15399" t="s">
        <v>3221</v>
      </c>
      <c r="C15399">
        <v>4814</v>
      </c>
      <c r="D15399" t="s">
        <v>244</v>
      </c>
      <c r="E15399" t="s">
        <v>245</v>
      </c>
      <c r="F15399">
        <v>233.6</v>
      </c>
      <c r="G15399">
        <v>230405</v>
      </c>
      <c r="H15399">
        <v>4350</v>
      </c>
      <c r="I15399" t="s">
        <v>546</v>
      </c>
      <c r="J15399">
        <v>289.66000000000003</v>
      </c>
      <c r="K15399">
        <v>56.06</v>
      </c>
      <c r="L15399">
        <v>13801</v>
      </c>
      <c r="M15399" t="s">
        <v>162</v>
      </c>
      <c r="N15399" t="str">
        <f>"610613      "</f>
        <v xml:space="preserve">610613      </v>
      </c>
      <c r="O15399">
        <v>230412</v>
      </c>
    </row>
    <row r="15400" spans="1:15" x14ac:dyDescent="0.25">
      <c r="A15400" t="s">
        <v>16</v>
      </c>
      <c r="B15400" t="s">
        <v>3221</v>
      </c>
      <c r="C15400">
        <v>5895</v>
      </c>
      <c r="D15400" t="s">
        <v>244</v>
      </c>
      <c r="E15400" t="s">
        <v>245</v>
      </c>
      <c r="F15400">
        <v>92</v>
      </c>
      <c r="G15400">
        <v>230428</v>
      </c>
      <c r="H15400">
        <v>4350</v>
      </c>
      <c r="I15400" t="s">
        <v>546</v>
      </c>
      <c r="J15400">
        <v>114.08</v>
      </c>
      <c r="K15400">
        <v>22.08</v>
      </c>
      <c r="L15400">
        <v>13501</v>
      </c>
      <c r="M15400" t="s">
        <v>20</v>
      </c>
      <c r="N15400" t="str">
        <f>"610859      "</f>
        <v xml:space="preserve">610859      </v>
      </c>
      <c r="O15400">
        <v>230503</v>
      </c>
    </row>
    <row r="15401" spans="1:15" x14ac:dyDescent="0.25">
      <c r="A15401" t="s">
        <v>16</v>
      </c>
      <c r="B15401" t="s">
        <v>3221</v>
      </c>
      <c r="C15401">
        <v>5895</v>
      </c>
      <c r="D15401" t="s">
        <v>244</v>
      </c>
      <c r="E15401" t="s">
        <v>245</v>
      </c>
      <c r="F15401">
        <v>368</v>
      </c>
      <c r="G15401">
        <v>230428</v>
      </c>
      <c r="H15401">
        <v>4350</v>
      </c>
      <c r="I15401" t="s">
        <v>546</v>
      </c>
      <c r="J15401">
        <v>456.32</v>
      </c>
      <c r="K15401">
        <v>88.32</v>
      </c>
      <c r="L15401">
        <v>17972</v>
      </c>
      <c r="M15401" t="s">
        <v>248</v>
      </c>
      <c r="N15401" t="str">
        <f>"610859      "</f>
        <v xml:space="preserve">610859      </v>
      </c>
      <c r="O15401">
        <v>230503</v>
      </c>
    </row>
    <row r="15402" spans="1:15" x14ac:dyDescent="0.25">
      <c r="A15402" t="s">
        <v>16</v>
      </c>
      <c r="B15402" t="s">
        <v>3221</v>
      </c>
      <c r="C15402">
        <v>7792</v>
      </c>
      <c r="D15402" t="s">
        <v>244</v>
      </c>
      <c r="E15402" t="s">
        <v>245</v>
      </c>
      <c r="F15402">
        <v>92</v>
      </c>
      <c r="G15402">
        <v>230531</v>
      </c>
      <c r="H15402">
        <v>4350</v>
      </c>
      <c r="I15402" t="s">
        <v>546</v>
      </c>
      <c r="J15402">
        <v>114.08</v>
      </c>
      <c r="K15402">
        <v>22.08</v>
      </c>
      <c r="L15402">
        <v>13501</v>
      </c>
      <c r="M15402" t="s">
        <v>20</v>
      </c>
      <c r="N15402" t="str">
        <f>"611228      "</f>
        <v xml:space="preserve">611228      </v>
      </c>
      <c r="O15402">
        <v>230602</v>
      </c>
    </row>
    <row r="15403" spans="1:15" x14ac:dyDescent="0.25">
      <c r="A15403" t="s">
        <v>16</v>
      </c>
      <c r="B15403" t="s">
        <v>3221</v>
      </c>
      <c r="C15403">
        <v>7792</v>
      </c>
      <c r="D15403" t="s">
        <v>244</v>
      </c>
      <c r="E15403" t="s">
        <v>245</v>
      </c>
      <c r="F15403">
        <v>368</v>
      </c>
      <c r="G15403">
        <v>230531</v>
      </c>
      <c r="H15403">
        <v>4350</v>
      </c>
      <c r="I15403" t="s">
        <v>546</v>
      </c>
      <c r="J15403">
        <v>456.32</v>
      </c>
      <c r="K15403">
        <v>88.32</v>
      </c>
      <c r="L15403">
        <v>17972</v>
      </c>
      <c r="M15403" t="s">
        <v>248</v>
      </c>
      <c r="N15403" t="str">
        <f>"611228      "</f>
        <v xml:space="preserve">611228      </v>
      </c>
      <c r="O15403">
        <v>230602</v>
      </c>
    </row>
    <row r="15404" spans="1:15" x14ac:dyDescent="0.25">
      <c r="A15404" t="s">
        <v>16</v>
      </c>
      <c r="B15404" t="s">
        <v>3221</v>
      </c>
      <c r="C15404">
        <v>10887</v>
      </c>
      <c r="D15404" t="s">
        <v>244</v>
      </c>
      <c r="E15404" t="s">
        <v>245</v>
      </c>
      <c r="F15404">
        <v>292</v>
      </c>
      <c r="G15404">
        <v>230817</v>
      </c>
      <c r="H15404">
        <v>4350</v>
      </c>
      <c r="I15404" t="s">
        <v>546</v>
      </c>
      <c r="J15404">
        <v>362.08</v>
      </c>
      <c r="K15404">
        <v>70.08</v>
      </c>
      <c r="L15404">
        <v>13801</v>
      </c>
      <c r="M15404" t="s">
        <v>162</v>
      </c>
      <c r="N15404" t="str">
        <f>"611587      "</f>
        <v xml:space="preserve">611587      </v>
      </c>
      <c r="O15404">
        <v>230824</v>
      </c>
    </row>
    <row r="15405" spans="1:15" x14ac:dyDescent="0.25">
      <c r="A15405" t="s">
        <v>16</v>
      </c>
      <c r="B15405" t="s">
        <v>3221</v>
      </c>
      <c r="C15405">
        <v>12581</v>
      </c>
      <c r="D15405" t="s">
        <v>244</v>
      </c>
      <c r="E15405" t="s">
        <v>245</v>
      </c>
      <c r="F15405">
        <v>460</v>
      </c>
      <c r="G15405">
        <v>230913</v>
      </c>
      <c r="H15405">
        <v>4350</v>
      </c>
      <c r="I15405" t="s">
        <v>546</v>
      </c>
      <c r="J15405">
        <v>570.4</v>
      </c>
      <c r="K15405">
        <v>110.4</v>
      </c>
      <c r="L15405">
        <v>17972</v>
      </c>
      <c r="M15405" t="s">
        <v>248</v>
      </c>
      <c r="N15405" t="str">
        <f>"611793      "</f>
        <v xml:space="preserve">611793      </v>
      </c>
      <c r="O15405">
        <v>230922</v>
      </c>
    </row>
    <row r="15406" spans="1:15" x14ac:dyDescent="0.25">
      <c r="A15406" t="s">
        <v>16</v>
      </c>
      <c r="B15406" t="s">
        <v>3221</v>
      </c>
      <c r="C15406">
        <v>13075</v>
      </c>
      <c r="D15406" t="s">
        <v>244</v>
      </c>
      <c r="E15406" t="s">
        <v>245</v>
      </c>
      <c r="F15406">
        <v>460</v>
      </c>
      <c r="G15406">
        <v>230927</v>
      </c>
      <c r="H15406">
        <v>4350</v>
      </c>
      <c r="I15406" t="s">
        <v>546</v>
      </c>
      <c r="J15406">
        <v>570.4</v>
      </c>
      <c r="K15406">
        <v>110.4</v>
      </c>
      <c r="L15406">
        <v>13601</v>
      </c>
      <c r="M15406" t="s">
        <v>147</v>
      </c>
      <c r="N15406" t="str">
        <f>"611875      "</f>
        <v xml:space="preserve">611875      </v>
      </c>
      <c r="O15406">
        <v>231003</v>
      </c>
    </row>
    <row r="15407" spans="1:15" x14ac:dyDescent="0.25">
      <c r="A15407" t="s">
        <v>16</v>
      </c>
      <c r="B15407" t="s">
        <v>3221</v>
      </c>
      <c r="C15407">
        <v>13075</v>
      </c>
      <c r="D15407" t="s">
        <v>244</v>
      </c>
      <c r="E15407" t="s">
        <v>245</v>
      </c>
      <c r="F15407">
        <v>233.6</v>
      </c>
      <c r="G15407">
        <v>230927</v>
      </c>
      <c r="H15407">
        <v>4350</v>
      </c>
      <c r="I15407" t="s">
        <v>546</v>
      </c>
      <c r="J15407">
        <v>289.66000000000003</v>
      </c>
      <c r="K15407">
        <v>56.06</v>
      </c>
      <c r="L15407">
        <v>17972</v>
      </c>
      <c r="M15407" t="s">
        <v>248</v>
      </c>
      <c r="N15407" t="str">
        <f>"611875      "</f>
        <v xml:space="preserve">611875      </v>
      </c>
      <c r="O15407">
        <v>231003</v>
      </c>
    </row>
    <row r="15408" spans="1:15" x14ac:dyDescent="0.25">
      <c r="A15408" t="s">
        <v>16</v>
      </c>
      <c r="B15408" t="s">
        <v>3221</v>
      </c>
      <c r="C15408">
        <v>14643</v>
      </c>
      <c r="D15408" t="s">
        <v>244</v>
      </c>
      <c r="E15408" t="s">
        <v>245</v>
      </c>
      <c r="F15408">
        <v>4100</v>
      </c>
      <c r="G15408">
        <v>231027</v>
      </c>
      <c r="H15408">
        <v>4350</v>
      </c>
      <c r="I15408" t="s">
        <v>546</v>
      </c>
      <c r="J15408">
        <v>5084</v>
      </c>
      <c r="K15408">
        <v>984</v>
      </c>
      <c r="L15408">
        <v>11301</v>
      </c>
      <c r="M15408" t="s">
        <v>29</v>
      </c>
      <c r="N15408" t="str">
        <f>"612091      "</f>
        <v xml:space="preserve">612091      </v>
      </c>
      <c r="O15408">
        <v>231031</v>
      </c>
    </row>
    <row r="15409" spans="1:15" x14ac:dyDescent="0.25">
      <c r="A15409" t="s">
        <v>16</v>
      </c>
      <c r="B15409" t="s">
        <v>3221</v>
      </c>
      <c r="C15409">
        <v>14999</v>
      </c>
      <c r="D15409" t="s">
        <v>244</v>
      </c>
      <c r="E15409" t="s">
        <v>245</v>
      </c>
      <c r="F15409">
        <v>233.6</v>
      </c>
      <c r="G15409">
        <v>231102</v>
      </c>
      <c r="H15409">
        <v>4350</v>
      </c>
      <c r="I15409" t="s">
        <v>546</v>
      </c>
      <c r="J15409">
        <v>289.66000000000003</v>
      </c>
      <c r="K15409">
        <v>56.06</v>
      </c>
      <c r="L15409">
        <v>13801</v>
      </c>
      <c r="M15409" t="s">
        <v>162</v>
      </c>
      <c r="N15409" t="str">
        <f>"612152      "</f>
        <v xml:space="preserve">612152      </v>
      </c>
      <c r="O15409">
        <v>231108</v>
      </c>
    </row>
    <row r="15410" spans="1:15" x14ac:dyDescent="0.25">
      <c r="A15410" t="s">
        <v>16</v>
      </c>
      <c r="B15410" t="s">
        <v>3221</v>
      </c>
      <c r="C15410">
        <v>16901</v>
      </c>
      <c r="D15410" t="s">
        <v>244</v>
      </c>
      <c r="E15410" t="s">
        <v>245</v>
      </c>
      <c r="F15410">
        <v>92</v>
      </c>
      <c r="G15410">
        <v>231130</v>
      </c>
      <c r="H15410">
        <v>4350</v>
      </c>
      <c r="I15410" t="s">
        <v>546</v>
      </c>
      <c r="J15410">
        <v>114.08</v>
      </c>
      <c r="K15410">
        <v>22.08</v>
      </c>
      <c r="L15410">
        <v>13501</v>
      </c>
      <c r="M15410" t="s">
        <v>20</v>
      </c>
      <c r="N15410" t="str">
        <f>"612373      "</f>
        <v xml:space="preserve">612373      </v>
      </c>
      <c r="O15410">
        <v>231211</v>
      </c>
    </row>
    <row r="15411" spans="1:15" x14ac:dyDescent="0.25">
      <c r="A15411" t="s">
        <v>16</v>
      </c>
      <c r="B15411" t="s">
        <v>3221</v>
      </c>
      <c r="C15411">
        <v>16901</v>
      </c>
      <c r="D15411" t="s">
        <v>244</v>
      </c>
      <c r="E15411" t="s">
        <v>245</v>
      </c>
      <c r="F15411">
        <v>233.6</v>
      </c>
      <c r="G15411">
        <v>231130</v>
      </c>
      <c r="H15411">
        <v>4350</v>
      </c>
      <c r="I15411" t="s">
        <v>546</v>
      </c>
      <c r="J15411">
        <v>289.66000000000003</v>
      </c>
      <c r="K15411">
        <v>56.06</v>
      </c>
      <c r="L15411">
        <v>13801</v>
      </c>
      <c r="M15411" t="s">
        <v>162</v>
      </c>
      <c r="N15411" t="str">
        <f>"612373      "</f>
        <v xml:space="preserve">612373      </v>
      </c>
      <c r="O15411">
        <v>231211</v>
      </c>
    </row>
    <row r="15412" spans="1:15" x14ac:dyDescent="0.25">
      <c r="A15412" t="s">
        <v>16</v>
      </c>
      <c r="B15412" t="s">
        <v>3221</v>
      </c>
      <c r="C15412">
        <v>16901</v>
      </c>
      <c r="D15412" t="s">
        <v>244</v>
      </c>
      <c r="E15412" t="s">
        <v>245</v>
      </c>
      <c r="F15412">
        <v>368</v>
      </c>
      <c r="G15412">
        <v>231130</v>
      </c>
      <c r="H15412">
        <v>4350</v>
      </c>
      <c r="I15412" t="s">
        <v>546</v>
      </c>
      <c r="J15412">
        <v>456.32</v>
      </c>
      <c r="K15412">
        <v>88.32</v>
      </c>
      <c r="L15412">
        <v>17972</v>
      </c>
      <c r="M15412" t="s">
        <v>248</v>
      </c>
      <c r="N15412" t="str">
        <f>"612373      "</f>
        <v xml:space="preserve">612373      </v>
      </c>
      <c r="O15412">
        <v>231211</v>
      </c>
    </row>
    <row r="15413" spans="1:15" x14ac:dyDescent="0.25">
      <c r="A15413" t="s">
        <v>16</v>
      </c>
      <c r="B15413" t="s">
        <v>3221</v>
      </c>
      <c r="C15413">
        <v>626</v>
      </c>
      <c r="D15413" t="s">
        <v>646</v>
      </c>
      <c r="E15413" t="s">
        <v>647</v>
      </c>
      <c r="F15413">
        <v>200</v>
      </c>
      <c r="G15413">
        <v>230120</v>
      </c>
      <c r="H15413">
        <v>4346</v>
      </c>
      <c r="I15413" t="s">
        <v>197</v>
      </c>
      <c r="J15413">
        <v>248</v>
      </c>
      <c r="K15413">
        <v>48</v>
      </c>
      <c r="L15413">
        <v>53222</v>
      </c>
      <c r="M15413" t="s">
        <v>445</v>
      </c>
      <c r="N15413" t="str">
        <f>"20219       "</f>
        <v xml:space="preserve">20219       </v>
      </c>
      <c r="O15413">
        <v>230125</v>
      </c>
    </row>
    <row r="15414" spans="1:15" x14ac:dyDescent="0.25">
      <c r="A15414" t="s">
        <v>16</v>
      </c>
      <c r="B15414" t="s">
        <v>3221</v>
      </c>
      <c r="C15414">
        <v>1009</v>
      </c>
      <c r="D15414" t="s">
        <v>646</v>
      </c>
      <c r="E15414" t="s">
        <v>647</v>
      </c>
      <c r="F15414">
        <v>800</v>
      </c>
      <c r="G15414">
        <v>230201</v>
      </c>
      <c r="H15414">
        <v>4346</v>
      </c>
      <c r="I15414" t="s">
        <v>197</v>
      </c>
      <c r="J15414">
        <v>992</v>
      </c>
      <c r="K15414">
        <v>192</v>
      </c>
      <c r="L15414">
        <v>16321</v>
      </c>
      <c r="M15414" t="s">
        <v>423</v>
      </c>
      <c r="N15414" t="str">
        <f>"20222       "</f>
        <v xml:space="preserve">20222       </v>
      </c>
      <c r="O15414">
        <v>230202</v>
      </c>
    </row>
    <row r="15415" spans="1:15" x14ac:dyDescent="0.25">
      <c r="A15415" t="s">
        <v>16</v>
      </c>
      <c r="B15415" t="s">
        <v>3221</v>
      </c>
      <c r="C15415">
        <v>1827</v>
      </c>
      <c r="D15415" t="s">
        <v>646</v>
      </c>
      <c r="E15415" t="s">
        <v>647</v>
      </c>
      <c r="F15415">
        <v>300</v>
      </c>
      <c r="G15415">
        <v>230120</v>
      </c>
      <c r="H15415">
        <v>4346</v>
      </c>
      <c r="I15415" t="s">
        <v>197</v>
      </c>
      <c r="J15415">
        <v>372</v>
      </c>
      <c r="K15415">
        <v>72</v>
      </c>
      <c r="L15415">
        <v>14321</v>
      </c>
      <c r="M15415" t="s">
        <v>717</v>
      </c>
      <c r="N15415" t="str">
        <f>"20220       "</f>
        <v xml:space="preserve">20220       </v>
      </c>
      <c r="O15415">
        <v>230214</v>
      </c>
    </row>
    <row r="15416" spans="1:15" x14ac:dyDescent="0.25">
      <c r="A15416" t="s">
        <v>16</v>
      </c>
      <c r="B15416" t="s">
        <v>3221</v>
      </c>
      <c r="C15416">
        <v>2605</v>
      </c>
      <c r="D15416" t="s">
        <v>646</v>
      </c>
      <c r="E15416" t="s">
        <v>647</v>
      </c>
      <c r="F15416">
        <v>300</v>
      </c>
      <c r="G15416">
        <v>230216</v>
      </c>
      <c r="H15416">
        <v>4346</v>
      </c>
      <c r="I15416" t="s">
        <v>197</v>
      </c>
      <c r="J15416">
        <v>372</v>
      </c>
      <c r="K15416">
        <v>72</v>
      </c>
      <c r="L15416">
        <v>14321</v>
      </c>
      <c r="M15416" t="s">
        <v>717</v>
      </c>
      <c r="N15416" t="str">
        <f>"20228       "</f>
        <v xml:space="preserve">20228       </v>
      </c>
      <c r="O15416">
        <v>230302</v>
      </c>
    </row>
    <row r="15417" spans="1:15" x14ac:dyDescent="0.25">
      <c r="A15417" t="s">
        <v>16</v>
      </c>
      <c r="B15417" t="s">
        <v>3221</v>
      </c>
      <c r="C15417">
        <v>3930</v>
      </c>
      <c r="D15417" t="s">
        <v>646</v>
      </c>
      <c r="E15417" t="s">
        <v>647</v>
      </c>
      <c r="F15417">
        <v>200</v>
      </c>
      <c r="G15417">
        <v>230324</v>
      </c>
      <c r="H15417">
        <v>4346</v>
      </c>
      <c r="I15417" t="s">
        <v>197</v>
      </c>
      <c r="J15417">
        <v>248</v>
      </c>
      <c r="K15417">
        <v>48</v>
      </c>
      <c r="L15417">
        <v>14321</v>
      </c>
      <c r="M15417" t="s">
        <v>717</v>
      </c>
      <c r="N15417" t="str">
        <f>"20234       "</f>
        <v xml:space="preserve">20234       </v>
      </c>
      <c r="O15417">
        <v>230327</v>
      </c>
    </row>
    <row r="15418" spans="1:15" x14ac:dyDescent="0.25">
      <c r="A15418" t="s">
        <v>16</v>
      </c>
      <c r="B15418" t="s">
        <v>3221</v>
      </c>
      <c r="C15418">
        <v>5423</v>
      </c>
      <c r="D15418" t="s">
        <v>646</v>
      </c>
      <c r="E15418" t="s">
        <v>647</v>
      </c>
      <c r="F15418">
        <v>1900</v>
      </c>
      <c r="G15418">
        <v>230414</v>
      </c>
      <c r="H15418">
        <v>4346</v>
      </c>
      <c r="I15418" t="s">
        <v>197</v>
      </c>
      <c r="J15418">
        <v>2356</v>
      </c>
      <c r="K15418">
        <v>456</v>
      </c>
      <c r="L15418">
        <v>43222</v>
      </c>
      <c r="M15418" t="s">
        <v>507</v>
      </c>
      <c r="N15418" t="str">
        <f>"20240       "</f>
        <v xml:space="preserve">20240       </v>
      </c>
      <c r="O15418">
        <v>230424</v>
      </c>
    </row>
    <row r="15419" spans="1:15" x14ac:dyDescent="0.25">
      <c r="A15419" t="s">
        <v>16</v>
      </c>
      <c r="B15419" t="s">
        <v>3221</v>
      </c>
      <c r="C15419">
        <v>5544</v>
      </c>
      <c r="D15419" t="s">
        <v>646</v>
      </c>
      <c r="E15419" t="s">
        <v>647</v>
      </c>
      <c r="F15419">
        <v>900</v>
      </c>
      <c r="G15419">
        <v>230424</v>
      </c>
      <c r="H15419">
        <v>4346</v>
      </c>
      <c r="I15419" t="s">
        <v>197</v>
      </c>
      <c r="J15419">
        <v>1116</v>
      </c>
      <c r="K15419">
        <v>216</v>
      </c>
      <c r="L15419">
        <v>16321</v>
      </c>
      <c r="M15419" t="s">
        <v>423</v>
      </c>
      <c r="N15419" t="str">
        <f>"20242       "</f>
        <v xml:space="preserve">20242       </v>
      </c>
      <c r="O15419">
        <v>230426</v>
      </c>
    </row>
    <row r="15420" spans="1:15" x14ac:dyDescent="0.25">
      <c r="A15420" t="s">
        <v>16</v>
      </c>
      <c r="B15420" t="s">
        <v>3221</v>
      </c>
      <c r="C15420">
        <v>5819</v>
      </c>
      <c r="D15420" t="s">
        <v>646</v>
      </c>
      <c r="E15420" t="s">
        <v>647</v>
      </c>
      <c r="F15420">
        <v>2300</v>
      </c>
      <c r="G15420">
        <v>230425</v>
      </c>
      <c r="H15420">
        <v>4346</v>
      </c>
      <c r="I15420" t="s">
        <v>197</v>
      </c>
      <c r="J15420">
        <v>2852</v>
      </c>
      <c r="K15420">
        <v>552</v>
      </c>
      <c r="L15420">
        <v>14321</v>
      </c>
      <c r="M15420" t="s">
        <v>717</v>
      </c>
      <c r="N15420" t="str">
        <f>"20247       "</f>
        <v xml:space="preserve">20247       </v>
      </c>
      <c r="O15420">
        <v>230503</v>
      </c>
    </row>
    <row r="15421" spans="1:15" x14ac:dyDescent="0.25">
      <c r="A15421" t="s">
        <v>16</v>
      </c>
      <c r="B15421" t="s">
        <v>3221</v>
      </c>
      <c r="C15421">
        <v>6418</v>
      </c>
      <c r="D15421" t="s">
        <v>646</v>
      </c>
      <c r="E15421" t="s">
        <v>647</v>
      </c>
      <c r="F15421">
        <v>2000</v>
      </c>
      <c r="G15421">
        <v>230508</v>
      </c>
      <c r="H15421">
        <v>4346</v>
      </c>
      <c r="I15421" t="s">
        <v>197</v>
      </c>
      <c r="J15421">
        <v>2480</v>
      </c>
      <c r="K15421">
        <v>480</v>
      </c>
      <c r="L15421">
        <v>53222</v>
      </c>
      <c r="M15421" t="s">
        <v>445</v>
      </c>
      <c r="N15421" t="str">
        <f>"20251       "</f>
        <v xml:space="preserve">20251       </v>
      </c>
      <c r="O15421">
        <v>230511</v>
      </c>
    </row>
    <row r="15422" spans="1:15" x14ac:dyDescent="0.25">
      <c r="A15422" t="s">
        <v>16</v>
      </c>
      <c r="B15422" t="s">
        <v>3221</v>
      </c>
      <c r="C15422">
        <v>7168</v>
      </c>
      <c r="D15422" t="s">
        <v>646</v>
      </c>
      <c r="E15422" t="s">
        <v>647</v>
      </c>
      <c r="F15422">
        <v>1300</v>
      </c>
      <c r="G15422">
        <v>230523</v>
      </c>
      <c r="H15422">
        <v>4346</v>
      </c>
      <c r="I15422" t="s">
        <v>197</v>
      </c>
      <c r="J15422">
        <v>1612</v>
      </c>
      <c r="K15422">
        <v>312</v>
      </c>
      <c r="L15422">
        <v>16322</v>
      </c>
      <c r="M15422" t="s">
        <v>22</v>
      </c>
      <c r="N15422" t="str">
        <f>"20253       "</f>
        <v xml:space="preserve">20253       </v>
      </c>
      <c r="O15422">
        <v>230525</v>
      </c>
    </row>
    <row r="15423" spans="1:15" x14ac:dyDescent="0.25">
      <c r="A15423" t="s">
        <v>16</v>
      </c>
      <c r="B15423" t="s">
        <v>3221</v>
      </c>
      <c r="C15423">
        <v>8952</v>
      </c>
      <c r="D15423" t="s">
        <v>646</v>
      </c>
      <c r="E15423" t="s">
        <v>647</v>
      </c>
      <c r="F15423">
        <v>300</v>
      </c>
      <c r="G15423">
        <v>230616</v>
      </c>
      <c r="H15423">
        <v>4346</v>
      </c>
      <c r="I15423" t="s">
        <v>197</v>
      </c>
      <c r="J15423">
        <v>372</v>
      </c>
      <c r="K15423">
        <v>72</v>
      </c>
      <c r="L15423">
        <v>16321</v>
      </c>
      <c r="M15423" t="s">
        <v>423</v>
      </c>
      <c r="N15423" t="str">
        <f>"20257       "</f>
        <v xml:space="preserve">20257       </v>
      </c>
      <c r="O15423">
        <v>230620</v>
      </c>
    </row>
    <row r="15424" spans="1:15" x14ac:dyDescent="0.25">
      <c r="A15424" t="s">
        <v>16</v>
      </c>
      <c r="B15424" t="s">
        <v>3221</v>
      </c>
      <c r="C15424">
        <v>8953</v>
      </c>
      <c r="D15424" t="s">
        <v>646</v>
      </c>
      <c r="E15424" t="s">
        <v>647</v>
      </c>
      <c r="F15424">
        <v>700</v>
      </c>
      <c r="G15424">
        <v>230616</v>
      </c>
      <c r="H15424">
        <v>4346</v>
      </c>
      <c r="I15424" t="s">
        <v>197</v>
      </c>
      <c r="J15424">
        <v>868</v>
      </c>
      <c r="K15424">
        <v>168</v>
      </c>
      <c r="L15424">
        <v>14321</v>
      </c>
      <c r="M15424" t="s">
        <v>717</v>
      </c>
      <c r="N15424" t="str">
        <f>"20255       "</f>
        <v xml:space="preserve">20255       </v>
      </c>
      <c r="O15424">
        <v>230620</v>
      </c>
    </row>
    <row r="15425" spans="1:15" x14ac:dyDescent="0.25">
      <c r="A15425" t="s">
        <v>16</v>
      </c>
      <c r="B15425" t="s">
        <v>3221</v>
      </c>
      <c r="C15425">
        <v>9016</v>
      </c>
      <c r="D15425" t="s">
        <v>646</v>
      </c>
      <c r="E15425" t="s">
        <v>647</v>
      </c>
      <c r="F15425">
        <v>200</v>
      </c>
      <c r="G15425">
        <v>230616</v>
      </c>
      <c r="H15425">
        <v>4346</v>
      </c>
      <c r="I15425" t="s">
        <v>197</v>
      </c>
      <c r="J15425">
        <v>248</v>
      </c>
      <c r="K15425">
        <v>48</v>
      </c>
      <c r="L15425">
        <v>43222</v>
      </c>
      <c r="M15425" t="s">
        <v>507</v>
      </c>
      <c r="N15425" t="str">
        <f>"20258       "</f>
        <v xml:space="preserve">20258       </v>
      </c>
      <c r="O15425">
        <v>230621</v>
      </c>
    </row>
    <row r="15426" spans="1:15" x14ac:dyDescent="0.25">
      <c r="A15426" t="s">
        <v>16</v>
      </c>
      <c r="B15426" t="s">
        <v>3221</v>
      </c>
      <c r="C15426">
        <v>9016</v>
      </c>
      <c r="D15426" t="s">
        <v>646</v>
      </c>
      <c r="E15426" t="s">
        <v>647</v>
      </c>
      <c r="F15426">
        <v>200</v>
      </c>
      <c r="G15426">
        <v>230616</v>
      </c>
      <c r="H15426">
        <v>4346</v>
      </c>
      <c r="I15426" t="s">
        <v>197</v>
      </c>
      <c r="J15426">
        <v>248</v>
      </c>
      <c r="K15426">
        <v>48</v>
      </c>
      <c r="L15426">
        <v>43222</v>
      </c>
      <c r="M15426" t="s">
        <v>507</v>
      </c>
      <c r="N15426" t="str">
        <f>"20258       "</f>
        <v xml:space="preserve">20258       </v>
      </c>
      <c r="O15426">
        <v>230621</v>
      </c>
    </row>
    <row r="15427" spans="1:15" x14ac:dyDescent="0.25">
      <c r="A15427" t="s">
        <v>16</v>
      </c>
      <c r="B15427" t="s">
        <v>3221</v>
      </c>
      <c r="C15427">
        <v>9063</v>
      </c>
      <c r="D15427" t="s">
        <v>646</v>
      </c>
      <c r="E15427" t="s">
        <v>647</v>
      </c>
      <c r="F15427">
        <v>300</v>
      </c>
      <c r="G15427">
        <v>230616</v>
      </c>
      <c r="H15427">
        <v>4346</v>
      </c>
      <c r="I15427" t="s">
        <v>197</v>
      </c>
      <c r="J15427">
        <v>372</v>
      </c>
      <c r="K15427">
        <v>72</v>
      </c>
      <c r="L15427">
        <v>53222</v>
      </c>
      <c r="M15427" t="s">
        <v>445</v>
      </c>
      <c r="N15427" t="str">
        <f>"20256       "</f>
        <v xml:space="preserve">20256       </v>
      </c>
      <c r="O15427">
        <v>230622</v>
      </c>
    </row>
    <row r="15428" spans="1:15" x14ac:dyDescent="0.25">
      <c r="A15428" t="s">
        <v>16</v>
      </c>
      <c r="B15428" t="s">
        <v>3221</v>
      </c>
      <c r="C15428">
        <v>10195</v>
      </c>
      <c r="D15428" t="s">
        <v>646</v>
      </c>
      <c r="E15428" t="s">
        <v>647</v>
      </c>
      <c r="F15428">
        <v>700</v>
      </c>
      <c r="G15428">
        <v>230808</v>
      </c>
      <c r="H15428">
        <v>4346</v>
      </c>
      <c r="I15428" t="s">
        <v>197</v>
      </c>
      <c r="J15428">
        <v>868</v>
      </c>
      <c r="K15428">
        <v>168</v>
      </c>
      <c r="L15428">
        <v>14321</v>
      </c>
      <c r="M15428" t="s">
        <v>717</v>
      </c>
      <c r="N15428" t="str">
        <f>"20272       "</f>
        <v xml:space="preserve">20272       </v>
      </c>
      <c r="O15428">
        <v>230809</v>
      </c>
    </row>
    <row r="15429" spans="1:15" x14ac:dyDescent="0.25">
      <c r="A15429" t="s">
        <v>16</v>
      </c>
      <c r="B15429" t="s">
        <v>3221</v>
      </c>
      <c r="C15429">
        <v>10198</v>
      </c>
      <c r="D15429" t="s">
        <v>646</v>
      </c>
      <c r="E15429" t="s">
        <v>647</v>
      </c>
      <c r="F15429">
        <v>400</v>
      </c>
      <c r="G15429">
        <v>230808</v>
      </c>
      <c r="H15429">
        <v>4346</v>
      </c>
      <c r="I15429" t="s">
        <v>197</v>
      </c>
      <c r="J15429">
        <v>496</v>
      </c>
      <c r="K15429">
        <v>96</v>
      </c>
      <c r="L15429">
        <v>53222</v>
      </c>
      <c r="M15429" t="s">
        <v>445</v>
      </c>
      <c r="N15429" t="str">
        <f>"20273       "</f>
        <v xml:space="preserve">20273       </v>
      </c>
      <c r="O15429">
        <v>230809</v>
      </c>
    </row>
    <row r="15430" spans="1:15" x14ac:dyDescent="0.25">
      <c r="A15430" t="s">
        <v>16</v>
      </c>
      <c r="B15430" t="s">
        <v>3221</v>
      </c>
      <c r="C15430">
        <v>13052</v>
      </c>
      <c r="D15430" t="s">
        <v>646</v>
      </c>
      <c r="E15430" t="s">
        <v>647</v>
      </c>
      <c r="F15430">
        <v>200</v>
      </c>
      <c r="G15430">
        <v>230922</v>
      </c>
      <c r="H15430">
        <v>4346</v>
      </c>
      <c r="I15430" t="s">
        <v>197</v>
      </c>
      <c r="J15430">
        <v>248</v>
      </c>
      <c r="K15430">
        <v>48</v>
      </c>
      <c r="L15430">
        <v>16321</v>
      </c>
      <c r="M15430" t="s">
        <v>423</v>
      </c>
      <c r="N15430" t="str">
        <f>"20282       "</f>
        <v xml:space="preserve">20282       </v>
      </c>
      <c r="O15430">
        <v>231003</v>
      </c>
    </row>
    <row r="15431" spans="1:15" x14ac:dyDescent="0.25">
      <c r="A15431" t="s">
        <v>16</v>
      </c>
      <c r="B15431" t="s">
        <v>3221</v>
      </c>
      <c r="C15431">
        <v>13052</v>
      </c>
      <c r="D15431" t="s">
        <v>646</v>
      </c>
      <c r="E15431" t="s">
        <v>647</v>
      </c>
      <c r="F15431">
        <v>700</v>
      </c>
      <c r="G15431">
        <v>230922</v>
      </c>
      <c r="H15431">
        <v>4346</v>
      </c>
      <c r="I15431" t="s">
        <v>197</v>
      </c>
      <c r="J15431">
        <v>868</v>
      </c>
      <c r="K15431">
        <v>168</v>
      </c>
      <c r="L15431">
        <v>43222</v>
      </c>
      <c r="M15431" t="s">
        <v>507</v>
      </c>
      <c r="N15431" t="str">
        <f>"20282       "</f>
        <v xml:space="preserve">20282       </v>
      </c>
      <c r="O15431">
        <v>231003</v>
      </c>
    </row>
    <row r="15432" spans="1:15" x14ac:dyDescent="0.25">
      <c r="A15432" t="s">
        <v>16</v>
      </c>
      <c r="B15432" t="s">
        <v>3221</v>
      </c>
      <c r="C15432">
        <v>14346</v>
      </c>
      <c r="D15432" t="s">
        <v>646</v>
      </c>
      <c r="E15432" t="s">
        <v>647</v>
      </c>
      <c r="F15432">
        <v>700</v>
      </c>
      <c r="G15432">
        <v>231018</v>
      </c>
      <c r="H15432">
        <v>4346</v>
      </c>
      <c r="I15432" t="s">
        <v>197</v>
      </c>
      <c r="J15432">
        <v>868</v>
      </c>
      <c r="K15432">
        <v>168</v>
      </c>
      <c r="L15432">
        <v>14321</v>
      </c>
      <c r="M15432" t="s">
        <v>717</v>
      </c>
      <c r="N15432" t="str">
        <f>"20286       "</f>
        <v xml:space="preserve">20286       </v>
      </c>
      <c r="O15432">
        <v>231027</v>
      </c>
    </row>
    <row r="15433" spans="1:15" x14ac:dyDescent="0.25">
      <c r="A15433" t="s">
        <v>16</v>
      </c>
      <c r="B15433" t="s">
        <v>3221</v>
      </c>
      <c r="C15433">
        <v>14346</v>
      </c>
      <c r="D15433" t="s">
        <v>646</v>
      </c>
      <c r="E15433" t="s">
        <v>647</v>
      </c>
      <c r="F15433">
        <v>400</v>
      </c>
      <c r="G15433">
        <v>231018</v>
      </c>
      <c r="H15433">
        <v>4346</v>
      </c>
      <c r="I15433" t="s">
        <v>197</v>
      </c>
      <c r="J15433">
        <v>496</v>
      </c>
      <c r="K15433">
        <v>96</v>
      </c>
      <c r="L15433">
        <v>16321</v>
      </c>
      <c r="M15433" t="s">
        <v>423</v>
      </c>
      <c r="N15433" t="str">
        <f>"20286       "</f>
        <v xml:space="preserve">20286       </v>
      </c>
      <c r="O15433">
        <v>231027</v>
      </c>
    </row>
    <row r="15434" spans="1:15" x14ac:dyDescent="0.25">
      <c r="A15434" t="s">
        <v>16</v>
      </c>
      <c r="B15434" t="s">
        <v>3221</v>
      </c>
      <c r="C15434">
        <v>14346</v>
      </c>
      <c r="D15434" t="s">
        <v>646</v>
      </c>
      <c r="E15434" t="s">
        <v>647</v>
      </c>
      <c r="F15434">
        <v>200</v>
      </c>
      <c r="G15434">
        <v>231018</v>
      </c>
      <c r="H15434">
        <v>4346</v>
      </c>
      <c r="I15434" t="s">
        <v>197</v>
      </c>
      <c r="J15434">
        <v>248</v>
      </c>
      <c r="K15434">
        <v>48</v>
      </c>
      <c r="L15434">
        <v>16322</v>
      </c>
      <c r="M15434" t="s">
        <v>22</v>
      </c>
      <c r="N15434" t="str">
        <f>"20286       "</f>
        <v xml:space="preserve">20286       </v>
      </c>
      <c r="O15434">
        <v>231027</v>
      </c>
    </row>
    <row r="15435" spans="1:15" x14ac:dyDescent="0.25">
      <c r="A15435" t="s">
        <v>16</v>
      </c>
      <c r="B15435" t="s">
        <v>3221</v>
      </c>
      <c r="C15435">
        <v>17007</v>
      </c>
      <c r="D15435" t="s">
        <v>646</v>
      </c>
      <c r="E15435" t="s">
        <v>647</v>
      </c>
      <c r="F15435">
        <v>800</v>
      </c>
      <c r="G15435">
        <v>231201</v>
      </c>
      <c r="H15435">
        <v>4346</v>
      </c>
      <c r="I15435" t="s">
        <v>197</v>
      </c>
      <c r="J15435">
        <v>992</v>
      </c>
      <c r="K15435">
        <v>192</v>
      </c>
      <c r="L15435">
        <v>14321</v>
      </c>
      <c r="M15435" t="s">
        <v>717</v>
      </c>
      <c r="N15435" t="str">
        <f>"20293       "</f>
        <v xml:space="preserve">20293       </v>
      </c>
      <c r="O15435">
        <v>231211</v>
      </c>
    </row>
    <row r="15436" spans="1:15" x14ac:dyDescent="0.25">
      <c r="A15436" t="s">
        <v>16</v>
      </c>
      <c r="B15436" t="s">
        <v>3221</v>
      </c>
      <c r="C15436">
        <v>17007</v>
      </c>
      <c r="D15436" t="s">
        <v>646</v>
      </c>
      <c r="E15436" t="s">
        <v>647</v>
      </c>
      <c r="F15436">
        <v>100</v>
      </c>
      <c r="G15436">
        <v>231201</v>
      </c>
      <c r="H15436">
        <v>4346</v>
      </c>
      <c r="I15436" t="s">
        <v>197</v>
      </c>
      <c r="J15436">
        <v>124</v>
      </c>
      <c r="K15436">
        <v>24</v>
      </c>
      <c r="L15436">
        <v>16321</v>
      </c>
      <c r="M15436" t="s">
        <v>423</v>
      </c>
      <c r="N15436" t="str">
        <f>"20293       "</f>
        <v xml:space="preserve">20293       </v>
      </c>
      <c r="O15436">
        <v>231211</v>
      </c>
    </row>
    <row r="15437" spans="1:15" x14ac:dyDescent="0.25">
      <c r="A15437" t="s">
        <v>16</v>
      </c>
      <c r="B15437" t="s">
        <v>3221</v>
      </c>
      <c r="C15437">
        <v>17007</v>
      </c>
      <c r="D15437" t="s">
        <v>646</v>
      </c>
      <c r="E15437" t="s">
        <v>647</v>
      </c>
      <c r="F15437">
        <v>100</v>
      </c>
      <c r="G15437">
        <v>231201</v>
      </c>
      <c r="H15437">
        <v>4346</v>
      </c>
      <c r="I15437" t="s">
        <v>197</v>
      </c>
      <c r="J15437">
        <v>124</v>
      </c>
      <c r="K15437">
        <v>24</v>
      </c>
      <c r="L15437">
        <v>53222</v>
      </c>
      <c r="M15437" t="s">
        <v>445</v>
      </c>
      <c r="N15437" t="str">
        <f>"20293       "</f>
        <v xml:space="preserve">20293       </v>
      </c>
      <c r="O15437">
        <v>231211</v>
      </c>
    </row>
    <row r="15438" spans="1:15" x14ac:dyDescent="0.25">
      <c r="A15438" t="s">
        <v>16</v>
      </c>
      <c r="B15438" t="s">
        <v>3221</v>
      </c>
      <c r="C15438">
        <v>17537</v>
      </c>
      <c r="D15438" t="s">
        <v>646</v>
      </c>
      <c r="E15438" t="s">
        <v>647</v>
      </c>
      <c r="F15438">
        <v>400</v>
      </c>
      <c r="G15438">
        <v>231212</v>
      </c>
      <c r="H15438">
        <v>4346</v>
      </c>
      <c r="I15438" t="s">
        <v>197</v>
      </c>
      <c r="J15438">
        <v>496</v>
      </c>
      <c r="K15438">
        <v>96</v>
      </c>
      <c r="L15438">
        <v>53222</v>
      </c>
      <c r="M15438" t="s">
        <v>445</v>
      </c>
      <c r="N15438" t="str">
        <f>"20296       "</f>
        <v xml:space="preserve">20296       </v>
      </c>
      <c r="O15438">
        <v>231215</v>
      </c>
    </row>
    <row r="15439" spans="1:15" x14ac:dyDescent="0.25">
      <c r="A15439" t="s">
        <v>16</v>
      </c>
      <c r="B15439" t="s">
        <v>3221</v>
      </c>
      <c r="C15439">
        <v>2374</v>
      </c>
      <c r="D15439" t="s">
        <v>646</v>
      </c>
      <c r="E15439" t="s">
        <v>647</v>
      </c>
      <c r="F15439">
        <v>300</v>
      </c>
      <c r="G15439">
        <v>230220</v>
      </c>
      <c r="H15439">
        <v>4470</v>
      </c>
      <c r="I15439" t="s">
        <v>83</v>
      </c>
      <c r="J15439">
        <v>372</v>
      </c>
      <c r="K15439">
        <v>72</v>
      </c>
      <c r="L15439">
        <v>43222</v>
      </c>
      <c r="M15439" t="s">
        <v>507</v>
      </c>
      <c r="N15439" t="str">
        <f>"20229       "</f>
        <v xml:space="preserve">20229       </v>
      </c>
      <c r="O15439">
        <v>230224</v>
      </c>
    </row>
    <row r="15440" spans="1:15" x14ac:dyDescent="0.25">
      <c r="A15440" t="s">
        <v>16</v>
      </c>
      <c r="B15440" t="s">
        <v>3221</v>
      </c>
      <c r="C15440">
        <v>8419</v>
      </c>
      <c r="D15440" t="s">
        <v>2178</v>
      </c>
      <c r="E15440" t="s">
        <v>2179</v>
      </c>
      <c r="F15440">
        <v>270</v>
      </c>
      <c r="G15440">
        <v>230605</v>
      </c>
      <c r="H15440">
        <v>4470</v>
      </c>
      <c r="I15440" t="s">
        <v>83</v>
      </c>
      <c r="J15440">
        <v>334.8</v>
      </c>
      <c r="K15440">
        <v>64.8</v>
      </c>
      <c r="L15440">
        <v>11201</v>
      </c>
      <c r="M15440" t="s">
        <v>305</v>
      </c>
      <c r="N15440" t="str">
        <f>"101989      "</f>
        <v xml:space="preserve">101989      </v>
      </c>
      <c r="O15440">
        <v>230608</v>
      </c>
    </row>
    <row r="15441" spans="1:15" x14ac:dyDescent="0.25">
      <c r="A15441" t="s">
        <v>16</v>
      </c>
      <c r="B15441" t="s">
        <v>3221</v>
      </c>
      <c r="C15441">
        <v>5122</v>
      </c>
      <c r="D15441" t="s">
        <v>1798</v>
      </c>
      <c r="E15441" t="s">
        <v>1799</v>
      </c>
      <c r="F15441">
        <v>70</v>
      </c>
      <c r="G15441">
        <v>230414</v>
      </c>
      <c r="H15441">
        <v>4510</v>
      </c>
      <c r="I15441" t="s">
        <v>42</v>
      </c>
      <c r="J15441">
        <v>77</v>
      </c>
      <c r="K15441">
        <v>7</v>
      </c>
      <c r="L15441">
        <v>56524</v>
      </c>
      <c r="M15441" t="s">
        <v>150</v>
      </c>
      <c r="N15441" t="str">
        <f>"52778       "</f>
        <v xml:space="preserve">52778       </v>
      </c>
      <c r="O15441">
        <v>230418</v>
      </c>
    </row>
    <row r="15442" spans="1:15" x14ac:dyDescent="0.25">
      <c r="A15442" t="s">
        <v>16</v>
      </c>
      <c r="B15442" t="s">
        <v>3221</v>
      </c>
      <c r="C15442">
        <v>11480</v>
      </c>
      <c r="D15442" t="s">
        <v>2494</v>
      </c>
      <c r="E15442" t="s">
        <v>2495</v>
      </c>
      <c r="F15442">
        <v>26.4</v>
      </c>
      <c r="G15442">
        <v>230824</v>
      </c>
      <c r="H15442">
        <v>4441</v>
      </c>
      <c r="I15442" t="s">
        <v>109</v>
      </c>
      <c r="J15442">
        <v>32.74</v>
      </c>
      <c r="K15442">
        <v>6.34</v>
      </c>
      <c r="L15442">
        <v>13540</v>
      </c>
      <c r="M15442" t="s">
        <v>85</v>
      </c>
      <c r="N15442" t="str">
        <f>"230358      "</f>
        <v xml:space="preserve">230358      </v>
      </c>
      <c r="O15442">
        <v>230906</v>
      </c>
    </row>
    <row r="15443" spans="1:15" x14ac:dyDescent="0.25">
      <c r="A15443" t="s">
        <v>16</v>
      </c>
      <c r="B15443" t="s">
        <v>3221</v>
      </c>
      <c r="C15443">
        <v>11480</v>
      </c>
      <c r="D15443" t="s">
        <v>2494</v>
      </c>
      <c r="E15443" t="s">
        <v>2495</v>
      </c>
      <c r="F15443">
        <v>180</v>
      </c>
      <c r="G15443">
        <v>230824</v>
      </c>
      <c r="H15443">
        <v>4441</v>
      </c>
      <c r="I15443" t="s">
        <v>109</v>
      </c>
      <c r="J15443">
        <v>223.2</v>
      </c>
      <c r="K15443">
        <v>43.2</v>
      </c>
      <c r="L15443">
        <v>17950</v>
      </c>
      <c r="M15443" t="s">
        <v>86</v>
      </c>
      <c r="N15443" t="str">
        <f>"230358      "</f>
        <v xml:space="preserve">230358      </v>
      </c>
      <c r="O15443">
        <v>230906</v>
      </c>
    </row>
    <row r="15444" spans="1:15" x14ac:dyDescent="0.25">
      <c r="A15444" t="s">
        <v>16</v>
      </c>
      <c r="B15444" t="s">
        <v>3221</v>
      </c>
      <c r="C15444">
        <v>11480</v>
      </c>
      <c r="D15444" t="s">
        <v>2494</v>
      </c>
      <c r="E15444" t="s">
        <v>2495</v>
      </c>
      <c r="F15444">
        <v>120</v>
      </c>
      <c r="G15444">
        <v>230824</v>
      </c>
      <c r="H15444">
        <v>4441</v>
      </c>
      <c r="I15444" t="s">
        <v>109</v>
      </c>
      <c r="J15444">
        <v>148.80000000000001</v>
      </c>
      <c r="K15444">
        <v>28.8</v>
      </c>
      <c r="L15444">
        <v>17951</v>
      </c>
      <c r="M15444" t="s">
        <v>87</v>
      </c>
      <c r="N15444" t="str">
        <f>"230358      "</f>
        <v xml:space="preserve">230358      </v>
      </c>
      <c r="O15444">
        <v>230906</v>
      </c>
    </row>
    <row r="15445" spans="1:15" x14ac:dyDescent="0.25">
      <c r="A15445" t="s">
        <v>16</v>
      </c>
      <c r="B15445" t="s">
        <v>3221</v>
      </c>
      <c r="C15445">
        <v>11480</v>
      </c>
      <c r="D15445" t="s">
        <v>2494</v>
      </c>
      <c r="E15445" t="s">
        <v>2495</v>
      </c>
      <c r="F15445">
        <v>33.6</v>
      </c>
      <c r="G15445">
        <v>230824</v>
      </c>
      <c r="H15445">
        <v>4441</v>
      </c>
      <c r="I15445" t="s">
        <v>109</v>
      </c>
      <c r="J15445">
        <v>41.66</v>
      </c>
      <c r="K15445">
        <v>8.06</v>
      </c>
      <c r="L15445">
        <v>17956</v>
      </c>
      <c r="M15445" t="s">
        <v>53</v>
      </c>
      <c r="N15445" t="str">
        <f>"230358      "</f>
        <v xml:space="preserve">230358      </v>
      </c>
      <c r="O15445">
        <v>230906</v>
      </c>
    </row>
    <row r="15446" spans="1:15" x14ac:dyDescent="0.25">
      <c r="A15446" t="s">
        <v>16</v>
      </c>
      <c r="B15446" t="s">
        <v>3221</v>
      </c>
      <c r="C15446">
        <v>11480</v>
      </c>
      <c r="D15446" t="s">
        <v>2494</v>
      </c>
      <c r="E15446" t="s">
        <v>2495</v>
      </c>
      <c r="F15446">
        <v>60</v>
      </c>
      <c r="G15446">
        <v>230824</v>
      </c>
      <c r="H15446">
        <v>4440</v>
      </c>
      <c r="I15446" t="s">
        <v>250</v>
      </c>
      <c r="J15446">
        <v>74.400000000000006</v>
      </c>
      <c r="K15446">
        <v>14.4</v>
      </c>
      <c r="L15446">
        <v>17952</v>
      </c>
      <c r="M15446" t="s">
        <v>88</v>
      </c>
      <c r="N15446" t="str">
        <f>"230358      "</f>
        <v xml:space="preserve">230358      </v>
      </c>
      <c r="O15446">
        <v>230906</v>
      </c>
    </row>
    <row r="15447" spans="1:15" x14ac:dyDescent="0.25">
      <c r="A15447" t="s">
        <v>16</v>
      </c>
      <c r="B15447" t="s">
        <v>3221</v>
      </c>
      <c r="C15447">
        <v>3805</v>
      </c>
      <c r="D15447" t="s">
        <v>3604</v>
      </c>
      <c r="E15447" t="s">
        <v>511</v>
      </c>
      <c r="F15447">
        <v>72.58</v>
      </c>
      <c r="G15447">
        <v>230321</v>
      </c>
      <c r="H15447">
        <v>4600</v>
      </c>
      <c r="I15447" t="s">
        <v>105</v>
      </c>
      <c r="J15447">
        <v>90</v>
      </c>
      <c r="K15447">
        <v>17.420000000000002</v>
      </c>
      <c r="L15447">
        <v>18972</v>
      </c>
      <c r="M15447" t="s">
        <v>163</v>
      </c>
      <c r="N15447" t="str">
        <f>"3069        "</f>
        <v xml:space="preserve">3069        </v>
      </c>
      <c r="O15447">
        <v>230322</v>
      </c>
    </row>
    <row r="15448" spans="1:15" x14ac:dyDescent="0.25">
      <c r="A15448" t="s">
        <v>16</v>
      </c>
      <c r="B15448" t="s">
        <v>3221</v>
      </c>
      <c r="C15448">
        <v>3812</v>
      </c>
      <c r="D15448" t="s">
        <v>3604</v>
      </c>
      <c r="E15448" t="s">
        <v>511</v>
      </c>
      <c r="F15448">
        <v>435.48</v>
      </c>
      <c r="G15448">
        <v>230321</v>
      </c>
      <c r="H15448">
        <v>4600</v>
      </c>
      <c r="I15448" t="s">
        <v>105</v>
      </c>
      <c r="J15448">
        <v>540</v>
      </c>
      <c r="K15448">
        <v>104.52</v>
      </c>
      <c r="L15448">
        <v>59501</v>
      </c>
      <c r="M15448" t="s">
        <v>69</v>
      </c>
      <c r="N15448" t="str">
        <f>"3070        "</f>
        <v xml:space="preserve">3070        </v>
      </c>
      <c r="O15448">
        <v>230323</v>
      </c>
    </row>
    <row r="15449" spans="1:15" x14ac:dyDescent="0.25">
      <c r="A15449" t="s">
        <v>16</v>
      </c>
      <c r="B15449" t="s">
        <v>3221</v>
      </c>
      <c r="C15449">
        <v>5714</v>
      </c>
      <c r="D15449" t="s">
        <v>3604</v>
      </c>
      <c r="E15449" t="s">
        <v>511</v>
      </c>
      <c r="F15449">
        <v>72.58</v>
      </c>
      <c r="G15449">
        <v>230210</v>
      </c>
      <c r="H15449">
        <v>4500</v>
      </c>
      <c r="I15449" t="s">
        <v>212</v>
      </c>
      <c r="J15449">
        <v>90</v>
      </c>
      <c r="K15449">
        <v>17.420000000000002</v>
      </c>
      <c r="L15449">
        <v>18972</v>
      </c>
      <c r="M15449" t="s">
        <v>163</v>
      </c>
      <c r="N15449" t="str">
        <f>"3043        "</f>
        <v xml:space="preserve">3043        </v>
      </c>
      <c r="O15449">
        <v>230502</v>
      </c>
    </row>
    <row r="15450" spans="1:15" x14ac:dyDescent="0.25">
      <c r="A15450" t="s">
        <v>16</v>
      </c>
      <c r="B15450" t="s">
        <v>3221</v>
      </c>
      <c r="C15450">
        <v>387</v>
      </c>
      <c r="D15450" t="s">
        <v>3598</v>
      </c>
      <c r="E15450" t="s">
        <v>511</v>
      </c>
      <c r="F15450">
        <v>96.77</v>
      </c>
      <c r="G15450">
        <v>221216</v>
      </c>
      <c r="H15450">
        <v>4600</v>
      </c>
      <c r="I15450" t="s">
        <v>105</v>
      </c>
      <c r="J15450">
        <v>120</v>
      </c>
      <c r="K15450">
        <v>23.23</v>
      </c>
      <c r="L15450">
        <v>59702</v>
      </c>
      <c r="M15450" t="s">
        <v>328</v>
      </c>
      <c r="N15450" t="str">
        <f>"3002        "</f>
        <v xml:space="preserve">3002        </v>
      </c>
      <c r="O15450">
        <v>230119</v>
      </c>
    </row>
    <row r="15451" spans="1:15" x14ac:dyDescent="0.25">
      <c r="A15451" t="s">
        <v>16</v>
      </c>
      <c r="B15451" t="s">
        <v>3221</v>
      </c>
      <c r="C15451">
        <v>9924</v>
      </c>
      <c r="D15451" t="s">
        <v>3598</v>
      </c>
      <c r="E15451" t="s">
        <v>511</v>
      </c>
      <c r="F15451">
        <v>70</v>
      </c>
      <c r="G15451">
        <v>230801</v>
      </c>
      <c r="H15451">
        <v>4600</v>
      </c>
      <c r="I15451" t="s">
        <v>105</v>
      </c>
      <c r="J15451">
        <v>70</v>
      </c>
      <c r="K15451">
        <v>0</v>
      </c>
      <c r="L15451">
        <v>59702</v>
      </c>
      <c r="M15451" t="s">
        <v>328</v>
      </c>
      <c r="N15451" t="str">
        <f>"3154        "</f>
        <v xml:space="preserve">3154        </v>
      </c>
      <c r="O15451">
        <v>230802</v>
      </c>
    </row>
    <row r="15452" spans="1:15" x14ac:dyDescent="0.25">
      <c r="A15452" t="s">
        <v>16</v>
      </c>
      <c r="B15452" t="s">
        <v>3221</v>
      </c>
      <c r="C15452">
        <v>6742</v>
      </c>
      <c r="D15452" t="s">
        <v>2011</v>
      </c>
      <c r="E15452" t="s">
        <v>2012</v>
      </c>
      <c r="F15452">
        <v>79.8</v>
      </c>
      <c r="G15452">
        <v>230430</v>
      </c>
      <c r="H15452">
        <v>4600</v>
      </c>
      <c r="I15452" t="s">
        <v>105</v>
      </c>
      <c r="J15452">
        <v>98.95</v>
      </c>
      <c r="K15452">
        <v>19.149999999999999</v>
      </c>
      <c r="L15452">
        <v>53222</v>
      </c>
      <c r="M15452" t="s">
        <v>445</v>
      </c>
      <c r="N15452" t="str">
        <f>"37893       "</f>
        <v xml:space="preserve">37893       </v>
      </c>
      <c r="O15452">
        <v>230522</v>
      </c>
    </row>
    <row r="15453" spans="1:15" x14ac:dyDescent="0.25">
      <c r="A15453" t="s">
        <v>16</v>
      </c>
      <c r="B15453" t="s">
        <v>3221</v>
      </c>
      <c r="C15453">
        <v>6742</v>
      </c>
      <c r="D15453" t="s">
        <v>2011</v>
      </c>
      <c r="E15453" t="s">
        <v>2012</v>
      </c>
      <c r="F15453">
        <v>13.69</v>
      </c>
      <c r="G15453">
        <v>230430</v>
      </c>
      <c r="H15453">
        <v>4600</v>
      </c>
      <c r="I15453" t="s">
        <v>105</v>
      </c>
      <c r="J15453">
        <v>16.97</v>
      </c>
      <c r="K15453">
        <v>3.28</v>
      </c>
      <c r="L15453">
        <v>53222</v>
      </c>
      <c r="M15453" t="s">
        <v>445</v>
      </c>
      <c r="N15453" t="str">
        <f>"37893       "</f>
        <v xml:space="preserve">37893       </v>
      </c>
      <c r="O15453">
        <v>230522</v>
      </c>
    </row>
    <row r="15454" spans="1:15" x14ac:dyDescent="0.25">
      <c r="A15454" t="s">
        <v>16</v>
      </c>
      <c r="B15454" t="s">
        <v>3221</v>
      </c>
      <c r="C15454">
        <v>6742</v>
      </c>
      <c r="D15454" t="s">
        <v>2011</v>
      </c>
      <c r="E15454" t="s">
        <v>2012</v>
      </c>
      <c r="F15454">
        <v>19.95</v>
      </c>
      <c r="G15454">
        <v>230430</v>
      </c>
      <c r="H15454">
        <v>4600</v>
      </c>
      <c r="I15454" t="s">
        <v>105</v>
      </c>
      <c r="J15454">
        <v>24.74</v>
      </c>
      <c r="K15454">
        <v>4.79</v>
      </c>
      <c r="L15454">
        <v>54622</v>
      </c>
      <c r="M15454" t="s">
        <v>872</v>
      </c>
      <c r="N15454" t="str">
        <f>"37893       "</f>
        <v xml:space="preserve">37893       </v>
      </c>
      <c r="O15454">
        <v>230522</v>
      </c>
    </row>
    <row r="15455" spans="1:15" x14ac:dyDescent="0.25">
      <c r="A15455" t="s">
        <v>16</v>
      </c>
      <c r="B15455" t="s">
        <v>3221</v>
      </c>
      <c r="C15455">
        <v>6742</v>
      </c>
      <c r="D15455" t="s">
        <v>2011</v>
      </c>
      <c r="E15455" t="s">
        <v>2012</v>
      </c>
      <c r="F15455">
        <v>59.85</v>
      </c>
      <c r="G15455">
        <v>230430</v>
      </c>
      <c r="H15455">
        <v>4600</v>
      </c>
      <c r="I15455" t="s">
        <v>105</v>
      </c>
      <c r="J15455">
        <v>74.22</v>
      </c>
      <c r="K15455">
        <v>14.37</v>
      </c>
      <c r="L15455">
        <v>55222</v>
      </c>
      <c r="M15455" t="s">
        <v>873</v>
      </c>
      <c r="N15455" t="str">
        <f>"37893       "</f>
        <v xml:space="preserve">37893       </v>
      </c>
      <c r="O15455">
        <v>230522</v>
      </c>
    </row>
    <row r="15456" spans="1:15" x14ac:dyDescent="0.25">
      <c r="A15456" t="s">
        <v>16</v>
      </c>
      <c r="B15456" t="s">
        <v>3221</v>
      </c>
      <c r="C15456">
        <v>13246</v>
      </c>
      <c r="D15456" t="s">
        <v>2011</v>
      </c>
      <c r="E15456" t="s">
        <v>2012</v>
      </c>
      <c r="F15456">
        <v>239.4</v>
      </c>
      <c r="G15456">
        <v>230930</v>
      </c>
      <c r="H15456">
        <v>4470</v>
      </c>
      <c r="I15456" t="s">
        <v>83</v>
      </c>
      <c r="J15456">
        <v>296.85000000000002</v>
      </c>
      <c r="K15456">
        <v>57.45</v>
      </c>
      <c r="L15456">
        <v>53222</v>
      </c>
      <c r="M15456" t="s">
        <v>445</v>
      </c>
      <c r="N15456" t="str">
        <f>"40668       "</f>
        <v xml:space="preserve">40668       </v>
      </c>
      <c r="O15456">
        <v>231006</v>
      </c>
    </row>
    <row r="15457" spans="1:15" x14ac:dyDescent="0.25">
      <c r="A15457" t="s">
        <v>16</v>
      </c>
      <c r="B15457" t="s">
        <v>3221</v>
      </c>
      <c r="C15457">
        <v>9882</v>
      </c>
      <c r="D15457" t="s">
        <v>2333</v>
      </c>
      <c r="E15457" t="s">
        <v>2334</v>
      </c>
      <c r="F15457">
        <v>16627</v>
      </c>
      <c r="G15457">
        <v>230725</v>
      </c>
      <c r="H15457">
        <v>4350</v>
      </c>
      <c r="I15457" t="s">
        <v>546</v>
      </c>
      <c r="J15457">
        <v>20617.48</v>
      </c>
      <c r="K15457">
        <v>3990.48</v>
      </c>
      <c r="L15457">
        <v>13801</v>
      </c>
      <c r="M15457" t="s">
        <v>162</v>
      </c>
      <c r="N15457" t="str">
        <f>"3016162     "</f>
        <v xml:space="preserve">3016162     </v>
      </c>
      <c r="O15457">
        <v>230731</v>
      </c>
    </row>
    <row r="15458" spans="1:15" x14ac:dyDescent="0.25">
      <c r="A15458" t="s">
        <v>16</v>
      </c>
      <c r="B15458" t="s">
        <v>3221</v>
      </c>
      <c r="C15458">
        <v>18864</v>
      </c>
      <c r="D15458" t="s">
        <v>2333</v>
      </c>
      <c r="E15458" t="s">
        <v>2334</v>
      </c>
      <c r="F15458">
        <v>1440</v>
      </c>
      <c r="G15458">
        <v>231231</v>
      </c>
      <c r="H15458">
        <v>4350</v>
      </c>
      <c r="I15458" t="s">
        <v>546</v>
      </c>
      <c r="J15458">
        <v>1785.6</v>
      </c>
      <c r="K15458">
        <v>345.6</v>
      </c>
      <c r="L15458">
        <v>11301</v>
      </c>
      <c r="M15458" t="s">
        <v>29</v>
      </c>
      <c r="N15458" t="str">
        <f>"1092658     "</f>
        <v xml:space="preserve">1092658     </v>
      </c>
      <c r="O15458">
        <v>240108</v>
      </c>
    </row>
    <row r="15459" spans="1:15" x14ac:dyDescent="0.25">
      <c r="A15459" t="s">
        <v>16</v>
      </c>
      <c r="B15459" t="s">
        <v>3221</v>
      </c>
      <c r="C15459">
        <v>875</v>
      </c>
      <c r="D15459" t="s">
        <v>777</v>
      </c>
      <c r="E15459" t="s">
        <v>778</v>
      </c>
      <c r="F15459">
        <v>93</v>
      </c>
      <c r="G15459">
        <v>230122</v>
      </c>
      <c r="H15459">
        <v>4510</v>
      </c>
      <c r="I15459" t="s">
        <v>42</v>
      </c>
      <c r="J15459">
        <v>115.32</v>
      </c>
      <c r="K15459">
        <v>22.32</v>
      </c>
      <c r="L15459">
        <v>13802</v>
      </c>
      <c r="M15459" t="s">
        <v>200</v>
      </c>
      <c r="N15459" t="str">
        <f>"3795        "</f>
        <v xml:space="preserve">3795        </v>
      </c>
      <c r="O15459">
        <v>230131</v>
      </c>
    </row>
    <row r="15460" spans="1:15" x14ac:dyDescent="0.25">
      <c r="A15460" t="s">
        <v>16</v>
      </c>
      <c r="B15460" t="s">
        <v>3221</v>
      </c>
      <c r="C15460">
        <v>5675</v>
      </c>
      <c r="D15460" t="s">
        <v>1886</v>
      </c>
      <c r="E15460" t="s">
        <v>1887</v>
      </c>
      <c r="F15460">
        <v>749</v>
      </c>
      <c r="G15460">
        <v>230420</v>
      </c>
      <c r="H15460">
        <v>4580</v>
      </c>
      <c r="I15460" t="s">
        <v>35</v>
      </c>
      <c r="J15460">
        <v>928.76</v>
      </c>
      <c r="K15460">
        <v>179.76</v>
      </c>
      <c r="L15460">
        <v>17862</v>
      </c>
      <c r="M15460" t="s">
        <v>319</v>
      </c>
      <c r="N15460" t="str">
        <f>"231073      "</f>
        <v xml:space="preserve">231073      </v>
      </c>
      <c r="O15460">
        <v>230428</v>
      </c>
    </row>
    <row r="15461" spans="1:15" x14ac:dyDescent="0.25">
      <c r="A15461" t="s">
        <v>16</v>
      </c>
      <c r="B15461" t="s">
        <v>3221</v>
      </c>
      <c r="C15461">
        <v>12639</v>
      </c>
      <c r="D15461" t="s">
        <v>1886</v>
      </c>
      <c r="E15461" t="s">
        <v>1887</v>
      </c>
      <c r="F15461">
        <v>1117.93</v>
      </c>
      <c r="G15461">
        <v>230921</v>
      </c>
      <c r="H15461">
        <v>4580</v>
      </c>
      <c r="I15461" t="s">
        <v>35</v>
      </c>
      <c r="J15461">
        <v>1386.23</v>
      </c>
      <c r="K15461">
        <v>268.3</v>
      </c>
      <c r="L15461">
        <v>14121</v>
      </c>
      <c r="M15461" t="s">
        <v>880</v>
      </c>
      <c r="N15461" t="str">
        <f>"232498      "</f>
        <v xml:space="preserve">232498      </v>
      </c>
      <c r="O15461">
        <v>230922</v>
      </c>
    </row>
    <row r="15462" spans="1:15" x14ac:dyDescent="0.25">
      <c r="A15462" t="s">
        <v>16</v>
      </c>
      <c r="B15462" t="s">
        <v>3221</v>
      </c>
      <c r="C15462">
        <v>10679</v>
      </c>
      <c r="D15462" t="s">
        <v>2407</v>
      </c>
      <c r="E15462" t="s">
        <v>2408</v>
      </c>
      <c r="F15462">
        <v>78</v>
      </c>
      <c r="G15462">
        <v>230818</v>
      </c>
      <c r="H15462">
        <v>4600</v>
      </c>
      <c r="I15462" t="s">
        <v>105</v>
      </c>
      <c r="J15462">
        <v>78</v>
      </c>
      <c r="K15462">
        <v>0</v>
      </c>
      <c r="L15462">
        <v>56568</v>
      </c>
      <c r="M15462" t="s">
        <v>268</v>
      </c>
      <c r="N15462" t="str">
        <f>"1366        "</f>
        <v xml:space="preserve">1366        </v>
      </c>
      <c r="O15462">
        <v>230821</v>
      </c>
    </row>
    <row r="15463" spans="1:15" x14ac:dyDescent="0.25">
      <c r="A15463" t="s">
        <v>16</v>
      </c>
      <c r="B15463" t="s">
        <v>3221</v>
      </c>
      <c r="C15463">
        <v>14105</v>
      </c>
      <c r="D15463" t="s">
        <v>2734</v>
      </c>
      <c r="E15463" t="s">
        <v>2735</v>
      </c>
      <c r="F15463">
        <v>644.02</v>
      </c>
      <c r="G15463">
        <v>231011</v>
      </c>
      <c r="H15463">
        <v>4600</v>
      </c>
      <c r="I15463" t="s">
        <v>105</v>
      </c>
      <c r="J15463">
        <v>798.59</v>
      </c>
      <c r="K15463">
        <v>154.57</v>
      </c>
      <c r="L15463">
        <v>66722</v>
      </c>
      <c r="M15463" t="s">
        <v>518</v>
      </c>
      <c r="N15463" t="str">
        <f>"1231000038  "</f>
        <v xml:space="preserve">1231000038  </v>
      </c>
      <c r="O15463">
        <v>231018</v>
      </c>
    </row>
    <row r="15464" spans="1:15" x14ac:dyDescent="0.25">
      <c r="A15464" t="s">
        <v>16</v>
      </c>
      <c r="B15464" t="s">
        <v>3221</v>
      </c>
      <c r="C15464">
        <v>14105</v>
      </c>
      <c r="D15464" t="s">
        <v>2734</v>
      </c>
      <c r="E15464" t="s">
        <v>2735</v>
      </c>
      <c r="F15464">
        <v>644.02</v>
      </c>
      <c r="G15464">
        <v>231011</v>
      </c>
      <c r="H15464">
        <v>4600</v>
      </c>
      <c r="I15464" t="s">
        <v>105</v>
      </c>
      <c r="J15464">
        <v>798.59</v>
      </c>
      <c r="K15464">
        <v>154.57</v>
      </c>
      <c r="L15464">
        <v>66754</v>
      </c>
      <c r="M15464" t="s">
        <v>239</v>
      </c>
      <c r="N15464" t="str">
        <f>"1231000038  "</f>
        <v xml:space="preserve">1231000038  </v>
      </c>
      <c r="O15464">
        <v>231018</v>
      </c>
    </row>
    <row r="15465" spans="1:15" x14ac:dyDescent="0.25">
      <c r="A15465" t="s">
        <v>16</v>
      </c>
      <c r="B15465" t="s">
        <v>3221</v>
      </c>
      <c r="C15465">
        <v>16600</v>
      </c>
      <c r="D15465" t="s">
        <v>2996</v>
      </c>
      <c r="E15465" t="s">
        <v>2997</v>
      </c>
      <c r="F15465">
        <v>332.91</v>
      </c>
      <c r="G15465">
        <v>231127</v>
      </c>
      <c r="H15465">
        <v>4400</v>
      </c>
      <c r="I15465" t="s">
        <v>348</v>
      </c>
      <c r="J15465">
        <v>412.81</v>
      </c>
      <c r="K15465">
        <v>79.900000000000006</v>
      </c>
      <c r="L15465">
        <v>14951</v>
      </c>
      <c r="M15465" t="s">
        <v>57</v>
      </c>
      <c r="N15465" t="str">
        <f>"8018        "</f>
        <v xml:space="preserve">8018        </v>
      </c>
      <c r="O15465">
        <v>231204</v>
      </c>
    </row>
    <row r="15466" spans="1:15" x14ac:dyDescent="0.25">
      <c r="A15466" t="s">
        <v>16</v>
      </c>
      <c r="B15466" t="s">
        <v>3221</v>
      </c>
      <c r="C15466">
        <v>797</v>
      </c>
      <c r="D15466" t="s">
        <v>749</v>
      </c>
      <c r="E15466" t="s">
        <v>750</v>
      </c>
      <c r="F15466">
        <v>112.19</v>
      </c>
      <c r="G15466">
        <v>230125</v>
      </c>
      <c r="H15466">
        <v>4400</v>
      </c>
      <c r="I15466" t="s">
        <v>348</v>
      </c>
      <c r="J15466">
        <v>112.19</v>
      </c>
      <c r="K15466">
        <v>0</v>
      </c>
      <c r="L15466">
        <v>59504</v>
      </c>
      <c r="M15466" t="s">
        <v>71</v>
      </c>
      <c r="N15466" t="str">
        <f>"8104        "</f>
        <v xml:space="preserve">8104        </v>
      </c>
      <c r="O15466">
        <v>230130</v>
      </c>
    </row>
    <row r="15467" spans="1:15" x14ac:dyDescent="0.25">
      <c r="A15467" t="s">
        <v>16</v>
      </c>
      <c r="B15467" t="s">
        <v>3221</v>
      </c>
      <c r="C15467">
        <v>1145</v>
      </c>
      <c r="D15467" t="s">
        <v>749</v>
      </c>
      <c r="E15467" t="s">
        <v>750</v>
      </c>
      <c r="F15467">
        <v>94.65</v>
      </c>
      <c r="G15467">
        <v>221229</v>
      </c>
      <c r="H15467">
        <v>4390</v>
      </c>
      <c r="I15467" t="s">
        <v>98</v>
      </c>
      <c r="J15467">
        <v>94.65</v>
      </c>
      <c r="K15467">
        <v>0</v>
      </c>
      <c r="L15467">
        <v>59813</v>
      </c>
      <c r="M15467" t="s">
        <v>915</v>
      </c>
      <c r="N15467" t="str">
        <f>"8066        "</f>
        <v xml:space="preserve">8066        </v>
      </c>
      <c r="O15467">
        <v>230206</v>
      </c>
    </row>
    <row r="15468" spans="1:15" x14ac:dyDescent="0.25">
      <c r="A15468" t="s">
        <v>16</v>
      </c>
      <c r="B15468" t="s">
        <v>3221</v>
      </c>
      <c r="C15468">
        <v>13362</v>
      </c>
      <c r="D15468" t="s">
        <v>749</v>
      </c>
      <c r="E15468" t="s">
        <v>750</v>
      </c>
      <c r="F15468">
        <v>774</v>
      </c>
      <c r="G15468">
        <v>230930</v>
      </c>
      <c r="H15468">
        <v>4390</v>
      </c>
      <c r="I15468" t="s">
        <v>98</v>
      </c>
      <c r="J15468">
        <v>774</v>
      </c>
      <c r="K15468">
        <v>0</v>
      </c>
      <c r="L15468">
        <v>59504</v>
      </c>
      <c r="M15468" t="s">
        <v>71</v>
      </c>
      <c r="N15468" t="str">
        <f>"8465        "</f>
        <v xml:space="preserve">8465        </v>
      </c>
      <c r="O15468">
        <v>231009</v>
      </c>
    </row>
    <row r="15469" spans="1:15" x14ac:dyDescent="0.25">
      <c r="A15469" t="s">
        <v>16</v>
      </c>
      <c r="B15469" t="s">
        <v>3221</v>
      </c>
      <c r="C15469">
        <v>19226</v>
      </c>
      <c r="D15469" t="s">
        <v>1117</v>
      </c>
      <c r="E15469" t="s">
        <v>1118</v>
      </c>
      <c r="F15469">
        <v>14</v>
      </c>
      <c r="G15469">
        <v>231231</v>
      </c>
      <c r="H15469">
        <v>4520</v>
      </c>
      <c r="I15469" t="s">
        <v>254</v>
      </c>
      <c r="J15469">
        <v>15.96</v>
      </c>
      <c r="K15469">
        <v>1.96</v>
      </c>
      <c r="L15469">
        <v>56528</v>
      </c>
      <c r="M15469" t="s">
        <v>153</v>
      </c>
      <c r="N15469" t="str">
        <f>"1021607     "</f>
        <v xml:space="preserve">1021607     </v>
      </c>
      <c r="O15469">
        <v>240115</v>
      </c>
    </row>
    <row r="15470" spans="1:15" x14ac:dyDescent="0.25">
      <c r="A15470" t="s">
        <v>16</v>
      </c>
      <c r="B15470" t="s">
        <v>3221</v>
      </c>
      <c r="C15470">
        <v>11469</v>
      </c>
      <c r="D15470" t="s">
        <v>1117</v>
      </c>
      <c r="E15470" t="s">
        <v>1118</v>
      </c>
      <c r="F15470">
        <v>30.48</v>
      </c>
      <c r="G15470">
        <v>230831</v>
      </c>
      <c r="H15470">
        <v>4532</v>
      </c>
      <c r="I15470" t="s">
        <v>116</v>
      </c>
      <c r="J15470">
        <v>37.799999999999997</v>
      </c>
      <c r="K15470">
        <v>7.32</v>
      </c>
      <c r="L15470">
        <v>17737</v>
      </c>
      <c r="M15470" t="s">
        <v>279</v>
      </c>
      <c r="N15470" t="str">
        <f>"855838      "</f>
        <v xml:space="preserve">855838      </v>
      </c>
      <c r="O15470">
        <v>230906</v>
      </c>
    </row>
    <row r="15471" spans="1:15" x14ac:dyDescent="0.25">
      <c r="A15471" t="s">
        <v>16</v>
      </c>
      <c r="B15471" t="s">
        <v>3221</v>
      </c>
      <c r="C15471">
        <v>2749</v>
      </c>
      <c r="D15471" t="s">
        <v>1117</v>
      </c>
      <c r="E15471" t="s">
        <v>1118</v>
      </c>
      <c r="F15471">
        <v>46.52</v>
      </c>
      <c r="G15471">
        <v>230228</v>
      </c>
      <c r="H15471">
        <v>4580</v>
      </c>
      <c r="I15471" t="s">
        <v>35</v>
      </c>
      <c r="J15471">
        <v>57.69</v>
      </c>
      <c r="K15471">
        <v>11.17</v>
      </c>
      <c r="L15471">
        <v>17711</v>
      </c>
      <c r="M15471" t="s">
        <v>65</v>
      </c>
      <c r="N15471" t="str">
        <f>"607534      "</f>
        <v xml:space="preserve">607534      </v>
      </c>
      <c r="O15471">
        <v>230307</v>
      </c>
    </row>
    <row r="15472" spans="1:15" x14ac:dyDescent="0.25">
      <c r="A15472" t="s">
        <v>16</v>
      </c>
      <c r="B15472" t="s">
        <v>3221</v>
      </c>
      <c r="C15472">
        <v>2924</v>
      </c>
      <c r="D15472" t="s">
        <v>1117</v>
      </c>
      <c r="E15472" t="s">
        <v>1118</v>
      </c>
      <c r="F15472">
        <v>16.05</v>
      </c>
      <c r="G15472">
        <v>230228</v>
      </c>
      <c r="H15472">
        <v>4580</v>
      </c>
      <c r="I15472" t="s">
        <v>35</v>
      </c>
      <c r="J15472">
        <v>19.899999999999999</v>
      </c>
      <c r="K15472">
        <v>3.85</v>
      </c>
      <c r="L15472">
        <v>56522</v>
      </c>
      <c r="M15472" t="s">
        <v>43</v>
      </c>
      <c r="N15472" t="str">
        <f>"610540      "</f>
        <v xml:space="preserve">610540      </v>
      </c>
      <c r="O15472">
        <v>230308</v>
      </c>
    </row>
    <row r="15473" spans="1:15" x14ac:dyDescent="0.25">
      <c r="A15473" t="s">
        <v>16</v>
      </c>
      <c r="B15473" t="s">
        <v>3221</v>
      </c>
      <c r="C15473">
        <v>6096</v>
      </c>
      <c r="D15473" t="s">
        <v>1117</v>
      </c>
      <c r="E15473" t="s">
        <v>1118</v>
      </c>
      <c r="F15473">
        <v>32.22</v>
      </c>
      <c r="G15473">
        <v>230430</v>
      </c>
      <c r="H15473">
        <v>4580</v>
      </c>
      <c r="I15473" t="s">
        <v>35</v>
      </c>
      <c r="J15473">
        <v>39.950000000000003</v>
      </c>
      <c r="K15473">
        <v>7.73</v>
      </c>
      <c r="L15473">
        <v>56522</v>
      </c>
      <c r="M15473" t="s">
        <v>43</v>
      </c>
      <c r="N15473" t="str">
        <f>"680285      "</f>
        <v xml:space="preserve">680285      </v>
      </c>
      <c r="O15473">
        <v>230508</v>
      </c>
    </row>
    <row r="15474" spans="1:15" x14ac:dyDescent="0.25">
      <c r="A15474" t="s">
        <v>16</v>
      </c>
      <c r="B15474" t="s">
        <v>3221</v>
      </c>
      <c r="C15474">
        <v>1648</v>
      </c>
      <c r="D15474" t="s">
        <v>1117</v>
      </c>
      <c r="E15474" t="s">
        <v>1118</v>
      </c>
      <c r="F15474">
        <v>34.93</v>
      </c>
      <c r="G15474">
        <v>230131</v>
      </c>
      <c r="H15474">
        <v>4600</v>
      </c>
      <c r="I15474" t="s">
        <v>105</v>
      </c>
      <c r="J15474">
        <v>43.31</v>
      </c>
      <c r="K15474">
        <v>8.3800000000000008</v>
      </c>
      <c r="L15474">
        <v>56560</v>
      </c>
      <c r="M15474" t="s">
        <v>654</v>
      </c>
      <c r="N15474" t="str">
        <f>"579749      "</f>
        <v xml:space="preserve">579749      </v>
      </c>
      <c r="O15474">
        <v>230213</v>
      </c>
    </row>
    <row r="15475" spans="1:15" x14ac:dyDescent="0.25">
      <c r="A15475" t="s">
        <v>16</v>
      </c>
      <c r="B15475" t="s">
        <v>3221</v>
      </c>
      <c r="C15475">
        <v>1695</v>
      </c>
      <c r="D15475" t="s">
        <v>1117</v>
      </c>
      <c r="E15475" t="s">
        <v>1118</v>
      </c>
      <c r="F15475">
        <v>333.87</v>
      </c>
      <c r="G15475">
        <v>230208</v>
      </c>
      <c r="H15475">
        <v>4600</v>
      </c>
      <c r="I15475" t="s">
        <v>105</v>
      </c>
      <c r="J15475">
        <v>414</v>
      </c>
      <c r="K15475">
        <v>80.13</v>
      </c>
      <c r="L15475">
        <v>17807</v>
      </c>
      <c r="M15475" t="s">
        <v>318</v>
      </c>
      <c r="N15475" t="str">
        <f>"586512      "</f>
        <v xml:space="preserve">586512      </v>
      </c>
      <c r="O15475">
        <v>230213</v>
      </c>
    </row>
    <row r="15476" spans="1:15" x14ac:dyDescent="0.25">
      <c r="A15476" t="s">
        <v>16</v>
      </c>
      <c r="B15476" t="s">
        <v>3221</v>
      </c>
      <c r="C15476">
        <v>4872</v>
      </c>
      <c r="D15476" t="s">
        <v>1117</v>
      </c>
      <c r="E15476" t="s">
        <v>1118</v>
      </c>
      <c r="F15476">
        <v>49.95</v>
      </c>
      <c r="G15476">
        <v>230331</v>
      </c>
      <c r="H15476">
        <v>4600</v>
      </c>
      <c r="I15476" t="s">
        <v>105</v>
      </c>
      <c r="J15476">
        <v>61.94</v>
      </c>
      <c r="K15476">
        <v>11.99</v>
      </c>
      <c r="L15476">
        <v>56560</v>
      </c>
      <c r="M15476" t="s">
        <v>654</v>
      </c>
      <c r="N15476" t="str">
        <f>"644445      "</f>
        <v xml:space="preserve">644445      </v>
      </c>
      <c r="O15476">
        <v>230413</v>
      </c>
    </row>
    <row r="15477" spans="1:15" x14ac:dyDescent="0.25">
      <c r="A15477" t="s">
        <v>16</v>
      </c>
      <c r="B15477" t="s">
        <v>3221</v>
      </c>
      <c r="C15477">
        <v>8667</v>
      </c>
      <c r="D15477" t="s">
        <v>1117</v>
      </c>
      <c r="E15477" t="s">
        <v>1118</v>
      </c>
      <c r="F15477">
        <v>185.08</v>
      </c>
      <c r="G15477">
        <v>230531</v>
      </c>
      <c r="H15477">
        <v>4600</v>
      </c>
      <c r="I15477" t="s">
        <v>105</v>
      </c>
      <c r="J15477">
        <v>229.5</v>
      </c>
      <c r="K15477">
        <v>44.42</v>
      </c>
      <c r="L15477">
        <v>56522</v>
      </c>
      <c r="M15477" t="s">
        <v>43</v>
      </c>
      <c r="N15477" t="str">
        <f>"727321      "</f>
        <v xml:space="preserve">727321      </v>
      </c>
      <c r="O15477">
        <v>230613</v>
      </c>
    </row>
    <row r="15478" spans="1:15" x14ac:dyDescent="0.25">
      <c r="A15478" t="s">
        <v>16</v>
      </c>
      <c r="B15478" t="s">
        <v>3221</v>
      </c>
      <c r="C15478">
        <v>8667</v>
      </c>
      <c r="D15478" t="s">
        <v>1117</v>
      </c>
      <c r="E15478" t="s">
        <v>1118</v>
      </c>
      <c r="F15478">
        <v>55.9</v>
      </c>
      <c r="G15478">
        <v>230531</v>
      </c>
      <c r="H15478">
        <v>4600</v>
      </c>
      <c r="I15478" t="s">
        <v>105</v>
      </c>
      <c r="J15478">
        <v>69.319999999999993</v>
      </c>
      <c r="K15478">
        <v>13.42</v>
      </c>
      <c r="L15478">
        <v>56560</v>
      </c>
      <c r="M15478" t="s">
        <v>654</v>
      </c>
      <c r="N15478" t="str">
        <f>"727321      "</f>
        <v xml:space="preserve">727321      </v>
      </c>
      <c r="O15478">
        <v>230613</v>
      </c>
    </row>
    <row r="15479" spans="1:15" x14ac:dyDescent="0.25">
      <c r="A15479" t="s">
        <v>16</v>
      </c>
      <c r="B15479" t="s">
        <v>3221</v>
      </c>
      <c r="C15479">
        <v>8667</v>
      </c>
      <c r="D15479" t="s">
        <v>1117</v>
      </c>
      <c r="E15479" t="s">
        <v>1118</v>
      </c>
      <c r="F15479">
        <v>45.08</v>
      </c>
      <c r="G15479">
        <v>230531</v>
      </c>
      <c r="H15479">
        <v>4600</v>
      </c>
      <c r="I15479" t="s">
        <v>105</v>
      </c>
      <c r="J15479">
        <v>55.9</v>
      </c>
      <c r="K15479">
        <v>10.82</v>
      </c>
      <c r="L15479">
        <v>56573</v>
      </c>
      <c r="M15479" t="s">
        <v>521</v>
      </c>
      <c r="N15479" t="str">
        <f>"727321      "</f>
        <v xml:space="preserve">727321      </v>
      </c>
      <c r="O15479">
        <v>230613</v>
      </c>
    </row>
    <row r="15480" spans="1:15" x14ac:dyDescent="0.25">
      <c r="A15480" t="s">
        <v>16</v>
      </c>
      <c r="B15480" t="s">
        <v>3221</v>
      </c>
      <c r="C15480">
        <v>11423</v>
      </c>
      <c r="D15480" t="s">
        <v>1117</v>
      </c>
      <c r="E15480" t="s">
        <v>1118</v>
      </c>
      <c r="F15480">
        <v>45.93</v>
      </c>
      <c r="G15480">
        <v>230831</v>
      </c>
      <c r="H15480">
        <v>4600</v>
      </c>
      <c r="I15480" t="s">
        <v>105</v>
      </c>
      <c r="J15480">
        <v>56.95</v>
      </c>
      <c r="K15480">
        <v>11.02</v>
      </c>
      <c r="L15480">
        <v>56560</v>
      </c>
      <c r="M15480" t="s">
        <v>654</v>
      </c>
      <c r="N15480" t="str">
        <f>"857846      "</f>
        <v xml:space="preserve">857846      </v>
      </c>
      <c r="O15480">
        <v>230905</v>
      </c>
    </row>
    <row r="15481" spans="1:15" x14ac:dyDescent="0.25">
      <c r="A15481" t="s">
        <v>16</v>
      </c>
      <c r="B15481" t="s">
        <v>3221</v>
      </c>
      <c r="C15481">
        <v>11469</v>
      </c>
      <c r="D15481" t="s">
        <v>1117</v>
      </c>
      <c r="E15481" t="s">
        <v>1118</v>
      </c>
      <c r="F15481">
        <v>64.44</v>
      </c>
      <c r="G15481">
        <v>230831</v>
      </c>
      <c r="H15481">
        <v>4600</v>
      </c>
      <c r="I15481" t="s">
        <v>105</v>
      </c>
      <c r="J15481">
        <v>79.900000000000006</v>
      </c>
      <c r="K15481">
        <v>15.46</v>
      </c>
      <c r="L15481">
        <v>17711</v>
      </c>
      <c r="M15481" t="s">
        <v>65</v>
      </c>
      <c r="N15481" t="str">
        <f>"855838      "</f>
        <v xml:space="preserve">855838      </v>
      </c>
      <c r="O15481">
        <v>230906</v>
      </c>
    </row>
    <row r="15482" spans="1:15" x14ac:dyDescent="0.25">
      <c r="A15482" t="s">
        <v>16</v>
      </c>
      <c r="B15482" t="s">
        <v>3221</v>
      </c>
      <c r="C15482">
        <v>13691</v>
      </c>
      <c r="D15482" t="s">
        <v>1117</v>
      </c>
      <c r="E15482" t="s">
        <v>1118</v>
      </c>
      <c r="F15482">
        <v>129.02000000000001</v>
      </c>
      <c r="G15482">
        <v>230930</v>
      </c>
      <c r="H15482">
        <v>4600</v>
      </c>
      <c r="I15482" t="s">
        <v>105</v>
      </c>
      <c r="J15482">
        <v>159.97999999999999</v>
      </c>
      <c r="K15482">
        <v>30.96</v>
      </c>
      <c r="L15482">
        <v>56522</v>
      </c>
      <c r="M15482" t="s">
        <v>43</v>
      </c>
      <c r="N15482" t="str">
        <f>"897438      "</f>
        <v xml:space="preserve">897438      </v>
      </c>
      <c r="O15482">
        <v>231012</v>
      </c>
    </row>
    <row r="15483" spans="1:15" x14ac:dyDescent="0.25">
      <c r="A15483" t="s">
        <v>16</v>
      </c>
      <c r="B15483" t="s">
        <v>3221</v>
      </c>
      <c r="C15483">
        <v>13691</v>
      </c>
      <c r="D15483" t="s">
        <v>1117</v>
      </c>
      <c r="E15483" t="s">
        <v>1118</v>
      </c>
      <c r="F15483">
        <v>133.16999999999999</v>
      </c>
      <c r="G15483">
        <v>230930</v>
      </c>
      <c r="H15483">
        <v>4600</v>
      </c>
      <c r="I15483" t="s">
        <v>105</v>
      </c>
      <c r="J15483">
        <v>165.13</v>
      </c>
      <c r="K15483">
        <v>31.96</v>
      </c>
      <c r="L15483">
        <v>56560</v>
      </c>
      <c r="M15483" t="s">
        <v>654</v>
      </c>
      <c r="N15483" t="str">
        <f>"897438      "</f>
        <v xml:space="preserve">897438      </v>
      </c>
      <c r="O15483">
        <v>231012</v>
      </c>
    </row>
    <row r="15484" spans="1:15" x14ac:dyDescent="0.25">
      <c r="A15484" t="s">
        <v>16</v>
      </c>
      <c r="B15484" t="s">
        <v>3221</v>
      </c>
      <c r="C15484">
        <v>13691</v>
      </c>
      <c r="D15484" t="s">
        <v>1117</v>
      </c>
      <c r="E15484" t="s">
        <v>1118</v>
      </c>
      <c r="F15484">
        <v>43.23</v>
      </c>
      <c r="G15484">
        <v>230930</v>
      </c>
      <c r="H15484">
        <v>4600</v>
      </c>
      <c r="I15484" t="s">
        <v>105</v>
      </c>
      <c r="J15484">
        <v>53.61</v>
      </c>
      <c r="K15484">
        <v>10.38</v>
      </c>
      <c r="L15484">
        <v>59504</v>
      </c>
      <c r="M15484" t="s">
        <v>71</v>
      </c>
      <c r="N15484" t="str">
        <f>"897438      "</f>
        <v xml:space="preserve">897438      </v>
      </c>
      <c r="O15484">
        <v>231012</v>
      </c>
    </row>
    <row r="15485" spans="1:15" x14ac:dyDescent="0.25">
      <c r="A15485" t="s">
        <v>16</v>
      </c>
      <c r="B15485" t="s">
        <v>3221</v>
      </c>
      <c r="C15485">
        <v>15789</v>
      </c>
      <c r="D15485" t="s">
        <v>1117</v>
      </c>
      <c r="E15485" t="s">
        <v>1118</v>
      </c>
      <c r="F15485">
        <v>58.77</v>
      </c>
      <c r="G15485">
        <v>231031</v>
      </c>
      <c r="H15485">
        <v>4600</v>
      </c>
      <c r="I15485" t="s">
        <v>105</v>
      </c>
      <c r="J15485">
        <v>72.87</v>
      </c>
      <c r="K15485">
        <v>14.1</v>
      </c>
      <c r="L15485">
        <v>54422</v>
      </c>
      <c r="M15485" t="s">
        <v>234</v>
      </c>
      <c r="N15485" t="str">
        <f>"942748      "</f>
        <v xml:space="preserve">942748      </v>
      </c>
      <c r="O15485">
        <v>231120</v>
      </c>
    </row>
    <row r="15486" spans="1:15" x14ac:dyDescent="0.25">
      <c r="A15486" t="s">
        <v>16</v>
      </c>
      <c r="B15486" t="s">
        <v>3221</v>
      </c>
      <c r="C15486">
        <v>15789</v>
      </c>
      <c r="D15486" t="s">
        <v>1117</v>
      </c>
      <c r="E15486" t="s">
        <v>1118</v>
      </c>
      <c r="F15486">
        <v>10.08</v>
      </c>
      <c r="G15486">
        <v>231031</v>
      </c>
      <c r="H15486">
        <v>4600</v>
      </c>
      <c r="I15486" t="s">
        <v>105</v>
      </c>
      <c r="J15486">
        <v>12.5</v>
      </c>
      <c r="K15486">
        <v>2.42</v>
      </c>
      <c r="L15486">
        <v>56524</v>
      </c>
      <c r="M15486" t="s">
        <v>150</v>
      </c>
      <c r="N15486" t="str">
        <f>"942748      "</f>
        <v xml:space="preserve">942748      </v>
      </c>
      <c r="O15486">
        <v>231120</v>
      </c>
    </row>
    <row r="15487" spans="1:15" x14ac:dyDescent="0.25">
      <c r="A15487" t="s">
        <v>16</v>
      </c>
      <c r="B15487" t="s">
        <v>3221</v>
      </c>
      <c r="C15487">
        <v>15789</v>
      </c>
      <c r="D15487" t="s">
        <v>1117</v>
      </c>
      <c r="E15487" t="s">
        <v>1118</v>
      </c>
      <c r="F15487">
        <v>18.87</v>
      </c>
      <c r="G15487">
        <v>231031</v>
      </c>
      <c r="H15487">
        <v>4600</v>
      </c>
      <c r="I15487" t="s">
        <v>105</v>
      </c>
      <c r="J15487">
        <v>23.4</v>
      </c>
      <c r="K15487">
        <v>4.53</v>
      </c>
      <c r="L15487">
        <v>56524</v>
      </c>
      <c r="M15487" t="s">
        <v>150</v>
      </c>
      <c r="N15487" t="str">
        <f>"942748      "</f>
        <v xml:space="preserve">942748      </v>
      </c>
      <c r="O15487">
        <v>231120</v>
      </c>
    </row>
    <row r="15488" spans="1:15" x14ac:dyDescent="0.25">
      <c r="A15488" t="s">
        <v>16</v>
      </c>
      <c r="B15488" t="s">
        <v>3221</v>
      </c>
      <c r="C15488">
        <v>15789</v>
      </c>
      <c r="D15488" t="s">
        <v>1117</v>
      </c>
      <c r="E15488" t="s">
        <v>1118</v>
      </c>
      <c r="F15488">
        <v>31.42</v>
      </c>
      <c r="G15488">
        <v>231031</v>
      </c>
      <c r="H15488">
        <v>4600</v>
      </c>
      <c r="I15488" t="s">
        <v>105</v>
      </c>
      <c r="J15488">
        <v>38.96</v>
      </c>
      <c r="K15488">
        <v>7.54</v>
      </c>
      <c r="L15488">
        <v>56524</v>
      </c>
      <c r="M15488" t="s">
        <v>150</v>
      </c>
      <c r="N15488" t="str">
        <f>"942748      "</f>
        <v xml:space="preserve">942748      </v>
      </c>
      <c r="O15488">
        <v>231120</v>
      </c>
    </row>
    <row r="15489" spans="1:15" x14ac:dyDescent="0.25">
      <c r="A15489" t="s">
        <v>16</v>
      </c>
      <c r="B15489" t="s">
        <v>3221</v>
      </c>
      <c r="C15489">
        <v>15789</v>
      </c>
      <c r="D15489" t="s">
        <v>1117</v>
      </c>
      <c r="E15489" t="s">
        <v>1118</v>
      </c>
      <c r="F15489">
        <v>91.78</v>
      </c>
      <c r="G15489">
        <v>231031</v>
      </c>
      <c r="H15489">
        <v>4600</v>
      </c>
      <c r="I15489" t="s">
        <v>105</v>
      </c>
      <c r="J15489">
        <v>113.81</v>
      </c>
      <c r="K15489">
        <v>22.03</v>
      </c>
      <c r="L15489">
        <v>56565</v>
      </c>
      <c r="M15489" t="s">
        <v>758</v>
      </c>
      <c r="N15489" t="str">
        <f>"942748      "</f>
        <v xml:space="preserve">942748      </v>
      </c>
      <c r="O15489">
        <v>231120</v>
      </c>
    </row>
    <row r="15490" spans="1:15" x14ac:dyDescent="0.25">
      <c r="A15490" t="s">
        <v>16</v>
      </c>
      <c r="B15490" t="s">
        <v>3221</v>
      </c>
      <c r="C15490">
        <v>16737</v>
      </c>
      <c r="D15490" t="s">
        <v>1117</v>
      </c>
      <c r="E15490" t="s">
        <v>1118</v>
      </c>
      <c r="F15490">
        <v>36.409999999999997</v>
      </c>
      <c r="G15490">
        <v>231130</v>
      </c>
      <c r="H15490">
        <v>4600</v>
      </c>
      <c r="I15490" t="s">
        <v>105</v>
      </c>
      <c r="J15490">
        <v>45.15</v>
      </c>
      <c r="K15490">
        <v>8.74</v>
      </c>
      <c r="L15490">
        <v>17737</v>
      </c>
      <c r="M15490" t="s">
        <v>279</v>
      </c>
      <c r="N15490" t="str">
        <f>"983763      "</f>
        <v xml:space="preserve">983763      </v>
      </c>
      <c r="O15490">
        <v>231208</v>
      </c>
    </row>
    <row r="15491" spans="1:15" x14ac:dyDescent="0.25">
      <c r="A15491" t="s">
        <v>16</v>
      </c>
      <c r="B15491" t="s">
        <v>3221</v>
      </c>
      <c r="C15491">
        <v>17713</v>
      </c>
      <c r="D15491" t="s">
        <v>1117</v>
      </c>
      <c r="E15491" t="s">
        <v>1118</v>
      </c>
      <c r="F15491">
        <v>94.03</v>
      </c>
      <c r="G15491">
        <v>231130</v>
      </c>
      <c r="H15491">
        <v>4600</v>
      </c>
      <c r="I15491" t="s">
        <v>105</v>
      </c>
      <c r="J15491">
        <v>116.6</v>
      </c>
      <c r="K15491">
        <v>22.57</v>
      </c>
      <c r="L15491">
        <v>56524</v>
      </c>
      <c r="M15491" t="s">
        <v>150</v>
      </c>
      <c r="N15491" t="str">
        <f>"985747      "</f>
        <v xml:space="preserve">985747      </v>
      </c>
      <c r="O15491">
        <v>231221</v>
      </c>
    </row>
    <row r="15492" spans="1:15" x14ac:dyDescent="0.25">
      <c r="A15492" t="s">
        <v>16</v>
      </c>
      <c r="B15492" t="s">
        <v>3221</v>
      </c>
      <c r="C15492">
        <v>17713</v>
      </c>
      <c r="D15492" t="s">
        <v>1117</v>
      </c>
      <c r="E15492" t="s">
        <v>1118</v>
      </c>
      <c r="F15492">
        <v>73.349999999999994</v>
      </c>
      <c r="G15492">
        <v>231130</v>
      </c>
      <c r="H15492">
        <v>4600</v>
      </c>
      <c r="I15492" t="s">
        <v>105</v>
      </c>
      <c r="J15492">
        <v>90.95</v>
      </c>
      <c r="K15492">
        <v>17.600000000000001</v>
      </c>
      <c r="L15492">
        <v>56550</v>
      </c>
      <c r="M15492" t="s">
        <v>913</v>
      </c>
      <c r="N15492" t="str">
        <f>"985747      "</f>
        <v xml:space="preserve">985747      </v>
      </c>
      <c r="O15492">
        <v>231221</v>
      </c>
    </row>
    <row r="15493" spans="1:15" x14ac:dyDescent="0.25">
      <c r="A15493" t="s">
        <v>16</v>
      </c>
      <c r="B15493" t="s">
        <v>3221</v>
      </c>
      <c r="C15493">
        <v>17713</v>
      </c>
      <c r="D15493" t="s">
        <v>1117</v>
      </c>
      <c r="E15493" t="s">
        <v>1118</v>
      </c>
      <c r="F15493">
        <v>242.73</v>
      </c>
      <c r="G15493">
        <v>231130</v>
      </c>
      <c r="H15493">
        <v>4600</v>
      </c>
      <c r="I15493" t="s">
        <v>105</v>
      </c>
      <c r="J15493">
        <v>300.98</v>
      </c>
      <c r="K15493">
        <v>58.25</v>
      </c>
      <c r="L15493">
        <v>56565</v>
      </c>
      <c r="M15493" t="s">
        <v>758</v>
      </c>
      <c r="N15493" t="str">
        <f>"985747      "</f>
        <v xml:space="preserve">985747      </v>
      </c>
      <c r="O15493">
        <v>231221</v>
      </c>
    </row>
    <row r="15494" spans="1:15" x14ac:dyDescent="0.25">
      <c r="A15494" t="s">
        <v>16</v>
      </c>
      <c r="B15494" t="s">
        <v>3221</v>
      </c>
      <c r="C15494">
        <v>19226</v>
      </c>
      <c r="D15494" t="s">
        <v>1117</v>
      </c>
      <c r="E15494" t="s">
        <v>1118</v>
      </c>
      <c r="F15494">
        <v>14.48</v>
      </c>
      <c r="G15494">
        <v>231231</v>
      </c>
      <c r="H15494">
        <v>4600</v>
      </c>
      <c r="I15494" t="s">
        <v>105</v>
      </c>
      <c r="J15494">
        <v>17.95</v>
      </c>
      <c r="K15494">
        <v>3.47</v>
      </c>
      <c r="L15494">
        <v>56524</v>
      </c>
      <c r="M15494" t="s">
        <v>150</v>
      </c>
      <c r="N15494" t="str">
        <f>"1021607     "</f>
        <v xml:space="preserve">1021607     </v>
      </c>
      <c r="O15494">
        <v>240115</v>
      </c>
    </row>
    <row r="15495" spans="1:15" x14ac:dyDescent="0.25">
      <c r="A15495" t="s">
        <v>16</v>
      </c>
      <c r="B15495" t="s">
        <v>3221</v>
      </c>
      <c r="C15495">
        <v>19226</v>
      </c>
      <c r="D15495" t="s">
        <v>1117</v>
      </c>
      <c r="E15495" t="s">
        <v>1118</v>
      </c>
      <c r="F15495">
        <v>40.520000000000003</v>
      </c>
      <c r="G15495">
        <v>231231</v>
      </c>
      <c r="H15495">
        <v>4600</v>
      </c>
      <c r="I15495" t="s">
        <v>105</v>
      </c>
      <c r="J15495">
        <v>50.24</v>
      </c>
      <c r="K15495">
        <v>9.7200000000000006</v>
      </c>
      <c r="L15495">
        <v>56528</v>
      </c>
      <c r="M15495" t="s">
        <v>153</v>
      </c>
      <c r="N15495" t="str">
        <f>"1021607     "</f>
        <v xml:space="preserve">1021607     </v>
      </c>
      <c r="O15495">
        <v>240115</v>
      </c>
    </row>
    <row r="15496" spans="1:15" x14ac:dyDescent="0.25">
      <c r="A15496" t="s">
        <v>16</v>
      </c>
      <c r="B15496" t="s">
        <v>3221</v>
      </c>
      <c r="C15496">
        <v>19226</v>
      </c>
      <c r="D15496" t="s">
        <v>1117</v>
      </c>
      <c r="E15496" t="s">
        <v>1118</v>
      </c>
      <c r="F15496">
        <v>125.49</v>
      </c>
      <c r="G15496">
        <v>231231</v>
      </c>
      <c r="H15496">
        <v>4600</v>
      </c>
      <c r="I15496" t="s">
        <v>105</v>
      </c>
      <c r="J15496">
        <v>155.61000000000001</v>
      </c>
      <c r="K15496">
        <v>30.12</v>
      </c>
      <c r="L15496">
        <v>56565</v>
      </c>
      <c r="M15496" t="s">
        <v>758</v>
      </c>
      <c r="N15496" t="str">
        <f>"1021607     "</f>
        <v xml:space="preserve">1021607     </v>
      </c>
      <c r="O15496">
        <v>240115</v>
      </c>
    </row>
    <row r="15497" spans="1:15" x14ac:dyDescent="0.25">
      <c r="A15497" t="s">
        <v>16</v>
      </c>
      <c r="B15497" t="s">
        <v>3221</v>
      </c>
      <c r="C15497">
        <v>19226</v>
      </c>
      <c r="D15497" t="s">
        <v>1117</v>
      </c>
      <c r="E15497" t="s">
        <v>1118</v>
      </c>
      <c r="F15497">
        <v>30.56</v>
      </c>
      <c r="G15497">
        <v>231231</v>
      </c>
      <c r="H15497">
        <v>4600</v>
      </c>
      <c r="I15497" t="s">
        <v>105</v>
      </c>
      <c r="J15497">
        <v>37.9</v>
      </c>
      <c r="K15497">
        <v>7.34</v>
      </c>
      <c r="L15497">
        <v>59501</v>
      </c>
      <c r="M15497" t="s">
        <v>69</v>
      </c>
      <c r="N15497" t="str">
        <f>"1021607     "</f>
        <v xml:space="preserve">1021607     </v>
      </c>
      <c r="O15497">
        <v>240115</v>
      </c>
    </row>
    <row r="15498" spans="1:15" x14ac:dyDescent="0.25">
      <c r="A15498" t="s">
        <v>16</v>
      </c>
      <c r="B15498" t="s">
        <v>3221</v>
      </c>
      <c r="C15498">
        <v>2924</v>
      </c>
      <c r="D15498" t="s">
        <v>1117</v>
      </c>
      <c r="E15498" t="s">
        <v>1118</v>
      </c>
      <c r="F15498">
        <v>53.73</v>
      </c>
      <c r="G15498">
        <v>230228</v>
      </c>
      <c r="H15498">
        <v>4590</v>
      </c>
      <c r="I15498" t="s">
        <v>203</v>
      </c>
      <c r="J15498">
        <v>66.63</v>
      </c>
      <c r="K15498">
        <v>12.9</v>
      </c>
      <c r="L15498">
        <v>56561</v>
      </c>
      <c r="M15498" t="s">
        <v>358</v>
      </c>
      <c r="N15498" t="str">
        <f>"610540      "</f>
        <v xml:space="preserve">610540      </v>
      </c>
      <c r="O15498">
        <v>230308</v>
      </c>
    </row>
    <row r="15499" spans="1:15" x14ac:dyDescent="0.25">
      <c r="A15499" t="s">
        <v>16</v>
      </c>
      <c r="B15499" t="s">
        <v>3221</v>
      </c>
      <c r="C15499">
        <v>4872</v>
      </c>
      <c r="D15499" t="s">
        <v>1117</v>
      </c>
      <c r="E15499" t="s">
        <v>1118</v>
      </c>
      <c r="F15499">
        <v>172.87</v>
      </c>
      <c r="G15499">
        <v>230331</v>
      </c>
      <c r="H15499">
        <v>4590</v>
      </c>
      <c r="I15499" t="s">
        <v>203</v>
      </c>
      <c r="J15499">
        <v>214.36</v>
      </c>
      <c r="K15499">
        <v>41.49</v>
      </c>
      <c r="L15499">
        <v>56522</v>
      </c>
      <c r="M15499" t="s">
        <v>43</v>
      </c>
      <c r="N15499" t="str">
        <f>"644445      "</f>
        <v xml:space="preserve">644445      </v>
      </c>
      <c r="O15499">
        <v>230413</v>
      </c>
    </row>
    <row r="15500" spans="1:15" x14ac:dyDescent="0.25">
      <c r="A15500" t="s">
        <v>16</v>
      </c>
      <c r="B15500" t="s">
        <v>3221</v>
      </c>
      <c r="C15500">
        <v>4872</v>
      </c>
      <c r="D15500" t="s">
        <v>1117</v>
      </c>
      <c r="E15500" t="s">
        <v>1118</v>
      </c>
      <c r="F15500">
        <v>224.52</v>
      </c>
      <c r="G15500">
        <v>230331</v>
      </c>
      <c r="H15500">
        <v>4590</v>
      </c>
      <c r="I15500" t="s">
        <v>203</v>
      </c>
      <c r="J15500">
        <v>278.39999999999998</v>
      </c>
      <c r="K15500">
        <v>53.88</v>
      </c>
      <c r="L15500">
        <v>56562</v>
      </c>
      <c r="M15500" t="s">
        <v>126</v>
      </c>
      <c r="N15500" t="str">
        <f>"644445      "</f>
        <v xml:space="preserve">644445      </v>
      </c>
      <c r="O15500">
        <v>230413</v>
      </c>
    </row>
    <row r="15501" spans="1:15" x14ac:dyDescent="0.25">
      <c r="A15501" t="s">
        <v>16</v>
      </c>
      <c r="B15501" t="s">
        <v>3221</v>
      </c>
      <c r="C15501">
        <v>4872</v>
      </c>
      <c r="D15501" t="s">
        <v>1117</v>
      </c>
      <c r="E15501" t="s">
        <v>1118</v>
      </c>
      <c r="F15501">
        <v>19.63</v>
      </c>
      <c r="G15501">
        <v>230331</v>
      </c>
      <c r="H15501">
        <v>4590</v>
      </c>
      <c r="I15501" t="s">
        <v>203</v>
      </c>
      <c r="J15501">
        <v>24.34</v>
      </c>
      <c r="K15501">
        <v>4.71</v>
      </c>
      <c r="L15501">
        <v>56571</v>
      </c>
      <c r="M15501" t="s">
        <v>204</v>
      </c>
      <c r="N15501" t="str">
        <f>"644445      "</f>
        <v xml:space="preserve">644445      </v>
      </c>
      <c r="O15501">
        <v>230413</v>
      </c>
    </row>
    <row r="15502" spans="1:15" x14ac:dyDescent="0.25">
      <c r="A15502" t="s">
        <v>16</v>
      </c>
      <c r="B15502" t="s">
        <v>3221</v>
      </c>
      <c r="C15502">
        <v>4872</v>
      </c>
      <c r="D15502" t="s">
        <v>1117</v>
      </c>
      <c r="E15502" t="s">
        <v>1118</v>
      </c>
      <c r="F15502">
        <v>48.44</v>
      </c>
      <c r="G15502">
        <v>230331</v>
      </c>
      <c r="H15502">
        <v>4590</v>
      </c>
      <c r="I15502" t="s">
        <v>203</v>
      </c>
      <c r="J15502">
        <v>60.06</v>
      </c>
      <c r="K15502">
        <v>11.62</v>
      </c>
      <c r="L15502">
        <v>59501</v>
      </c>
      <c r="M15502" t="s">
        <v>69</v>
      </c>
      <c r="N15502" t="str">
        <f>"644445      "</f>
        <v xml:space="preserve">644445      </v>
      </c>
      <c r="O15502">
        <v>230413</v>
      </c>
    </row>
    <row r="15503" spans="1:15" x14ac:dyDescent="0.25">
      <c r="A15503" t="s">
        <v>16</v>
      </c>
      <c r="B15503" t="s">
        <v>3221</v>
      </c>
      <c r="C15503">
        <v>6096</v>
      </c>
      <c r="D15503" t="s">
        <v>1117</v>
      </c>
      <c r="E15503" t="s">
        <v>1118</v>
      </c>
      <c r="F15503">
        <v>72.34</v>
      </c>
      <c r="G15503">
        <v>230430</v>
      </c>
      <c r="H15503">
        <v>4590</v>
      </c>
      <c r="I15503" t="s">
        <v>203</v>
      </c>
      <c r="J15503">
        <v>89.7</v>
      </c>
      <c r="K15503">
        <v>17.36</v>
      </c>
      <c r="L15503">
        <v>56561</v>
      </c>
      <c r="M15503" t="s">
        <v>358</v>
      </c>
      <c r="N15503" t="str">
        <f>"680285      "</f>
        <v xml:space="preserve">680285      </v>
      </c>
      <c r="O15503">
        <v>230508</v>
      </c>
    </row>
    <row r="15504" spans="1:15" x14ac:dyDescent="0.25">
      <c r="A15504" t="s">
        <v>16</v>
      </c>
      <c r="B15504" t="s">
        <v>3221</v>
      </c>
      <c r="C15504">
        <v>6096</v>
      </c>
      <c r="D15504" t="s">
        <v>1117</v>
      </c>
      <c r="E15504" t="s">
        <v>1118</v>
      </c>
      <c r="F15504">
        <v>103.9</v>
      </c>
      <c r="G15504">
        <v>230430</v>
      </c>
      <c r="H15504">
        <v>4590</v>
      </c>
      <c r="I15504" t="s">
        <v>203</v>
      </c>
      <c r="J15504">
        <v>128.83000000000001</v>
      </c>
      <c r="K15504">
        <v>24.93</v>
      </c>
      <c r="L15504">
        <v>56562</v>
      </c>
      <c r="M15504" t="s">
        <v>126</v>
      </c>
      <c r="N15504" t="str">
        <f>"680285      "</f>
        <v xml:space="preserve">680285      </v>
      </c>
      <c r="O15504">
        <v>230508</v>
      </c>
    </row>
    <row r="15505" spans="1:15" x14ac:dyDescent="0.25">
      <c r="A15505" t="s">
        <v>16</v>
      </c>
      <c r="B15505" t="s">
        <v>3221</v>
      </c>
      <c r="C15505">
        <v>8667</v>
      </c>
      <c r="D15505" t="s">
        <v>1117</v>
      </c>
      <c r="E15505" t="s">
        <v>1118</v>
      </c>
      <c r="F15505">
        <v>256.39999999999998</v>
      </c>
      <c r="G15505">
        <v>230531</v>
      </c>
      <c r="H15505">
        <v>4590</v>
      </c>
      <c r="I15505" t="s">
        <v>203</v>
      </c>
      <c r="J15505">
        <v>317.94</v>
      </c>
      <c r="K15505">
        <v>61.54</v>
      </c>
      <c r="L15505">
        <v>56524</v>
      </c>
      <c r="M15505" t="s">
        <v>150</v>
      </c>
      <c r="N15505" t="str">
        <f>"727321      "</f>
        <v xml:space="preserve">727321      </v>
      </c>
      <c r="O15505">
        <v>230613</v>
      </c>
    </row>
    <row r="15506" spans="1:15" x14ac:dyDescent="0.25">
      <c r="A15506" t="s">
        <v>16</v>
      </c>
      <c r="B15506" t="s">
        <v>3221</v>
      </c>
      <c r="C15506">
        <v>8667</v>
      </c>
      <c r="D15506" t="s">
        <v>1117</v>
      </c>
      <c r="E15506" t="s">
        <v>1118</v>
      </c>
      <c r="F15506">
        <v>138.55000000000001</v>
      </c>
      <c r="G15506">
        <v>230531</v>
      </c>
      <c r="H15506">
        <v>4590</v>
      </c>
      <c r="I15506" t="s">
        <v>203</v>
      </c>
      <c r="J15506">
        <v>171.8</v>
      </c>
      <c r="K15506">
        <v>33.25</v>
      </c>
      <c r="L15506">
        <v>56561</v>
      </c>
      <c r="M15506" t="s">
        <v>358</v>
      </c>
      <c r="N15506" t="str">
        <f>"727321      "</f>
        <v xml:space="preserve">727321      </v>
      </c>
      <c r="O15506">
        <v>230613</v>
      </c>
    </row>
    <row r="15507" spans="1:15" x14ac:dyDescent="0.25">
      <c r="A15507" t="s">
        <v>16</v>
      </c>
      <c r="B15507" t="s">
        <v>3221</v>
      </c>
      <c r="C15507">
        <v>8667</v>
      </c>
      <c r="D15507" t="s">
        <v>1117</v>
      </c>
      <c r="E15507" t="s">
        <v>1118</v>
      </c>
      <c r="F15507">
        <v>57.9</v>
      </c>
      <c r="G15507">
        <v>230531</v>
      </c>
      <c r="H15507">
        <v>4590</v>
      </c>
      <c r="I15507" t="s">
        <v>203</v>
      </c>
      <c r="J15507">
        <v>71.8</v>
      </c>
      <c r="K15507">
        <v>13.9</v>
      </c>
      <c r="L15507">
        <v>56562</v>
      </c>
      <c r="M15507" t="s">
        <v>126</v>
      </c>
      <c r="N15507" t="str">
        <f>"727321      "</f>
        <v xml:space="preserve">727321      </v>
      </c>
      <c r="O15507">
        <v>230613</v>
      </c>
    </row>
    <row r="15508" spans="1:15" x14ac:dyDescent="0.25">
      <c r="A15508" t="s">
        <v>16</v>
      </c>
      <c r="B15508" t="s">
        <v>3221</v>
      </c>
      <c r="C15508">
        <v>11423</v>
      </c>
      <c r="D15508" t="s">
        <v>1117</v>
      </c>
      <c r="E15508" t="s">
        <v>1118</v>
      </c>
      <c r="F15508">
        <v>118.28</v>
      </c>
      <c r="G15508">
        <v>230831</v>
      </c>
      <c r="H15508">
        <v>4590</v>
      </c>
      <c r="I15508" t="s">
        <v>203</v>
      </c>
      <c r="J15508">
        <v>146.66999999999999</v>
      </c>
      <c r="K15508">
        <v>28.39</v>
      </c>
      <c r="L15508">
        <v>56561</v>
      </c>
      <c r="M15508" t="s">
        <v>358</v>
      </c>
      <c r="N15508" t="str">
        <f>"857846      "</f>
        <v xml:space="preserve">857846      </v>
      </c>
      <c r="O15508">
        <v>230905</v>
      </c>
    </row>
    <row r="15509" spans="1:15" x14ac:dyDescent="0.25">
      <c r="A15509" t="s">
        <v>16</v>
      </c>
      <c r="B15509" t="s">
        <v>3221</v>
      </c>
      <c r="C15509">
        <v>11469</v>
      </c>
      <c r="D15509" t="s">
        <v>1117</v>
      </c>
      <c r="E15509" t="s">
        <v>1118</v>
      </c>
      <c r="F15509">
        <v>12.07</v>
      </c>
      <c r="G15509">
        <v>230831</v>
      </c>
      <c r="H15509">
        <v>4590</v>
      </c>
      <c r="I15509" t="s">
        <v>203</v>
      </c>
      <c r="J15509">
        <v>14.97</v>
      </c>
      <c r="K15509">
        <v>2.9</v>
      </c>
      <c r="L15509">
        <v>17131</v>
      </c>
      <c r="M15509" t="s">
        <v>64</v>
      </c>
      <c r="N15509" t="str">
        <f>"855838      "</f>
        <v xml:space="preserve">855838      </v>
      </c>
      <c r="O15509">
        <v>230906</v>
      </c>
    </row>
    <row r="15510" spans="1:15" x14ac:dyDescent="0.25">
      <c r="A15510" t="s">
        <v>16</v>
      </c>
      <c r="B15510" t="s">
        <v>3221</v>
      </c>
      <c r="C15510">
        <v>13691</v>
      </c>
      <c r="D15510" t="s">
        <v>1117</v>
      </c>
      <c r="E15510" t="s">
        <v>1118</v>
      </c>
      <c r="F15510">
        <v>51.73</v>
      </c>
      <c r="G15510">
        <v>230930</v>
      </c>
      <c r="H15510">
        <v>4590</v>
      </c>
      <c r="I15510" t="s">
        <v>203</v>
      </c>
      <c r="J15510">
        <v>64.14</v>
      </c>
      <c r="K15510">
        <v>12.41</v>
      </c>
      <c r="L15510">
        <v>56561</v>
      </c>
      <c r="M15510" t="s">
        <v>358</v>
      </c>
      <c r="N15510" t="str">
        <f>"897438      "</f>
        <v xml:space="preserve">897438      </v>
      </c>
      <c r="O15510">
        <v>231012</v>
      </c>
    </row>
    <row r="15511" spans="1:15" x14ac:dyDescent="0.25">
      <c r="A15511" t="s">
        <v>16</v>
      </c>
      <c r="B15511" t="s">
        <v>3221</v>
      </c>
      <c r="C15511">
        <v>15789</v>
      </c>
      <c r="D15511" t="s">
        <v>1117</v>
      </c>
      <c r="E15511" t="s">
        <v>1118</v>
      </c>
      <c r="F15511">
        <v>8.85</v>
      </c>
      <c r="G15511">
        <v>231031</v>
      </c>
      <c r="H15511">
        <v>4590</v>
      </c>
      <c r="I15511" t="s">
        <v>203</v>
      </c>
      <c r="J15511">
        <v>10.97</v>
      </c>
      <c r="K15511">
        <v>2.12</v>
      </c>
      <c r="L15511">
        <v>56522</v>
      </c>
      <c r="M15511" t="s">
        <v>43</v>
      </c>
      <c r="N15511" t="str">
        <f t="shared" ref="N15511:N15516" si="229">"942748      "</f>
        <v xml:space="preserve">942748      </v>
      </c>
      <c r="O15511">
        <v>231120</v>
      </c>
    </row>
    <row r="15512" spans="1:15" x14ac:dyDescent="0.25">
      <c r="A15512" t="s">
        <v>16</v>
      </c>
      <c r="B15512" t="s">
        <v>3221</v>
      </c>
      <c r="C15512">
        <v>15789</v>
      </c>
      <c r="D15512" t="s">
        <v>1117</v>
      </c>
      <c r="E15512" t="s">
        <v>1118</v>
      </c>
      <c r="F15512">
        <v>87.22</v>
      </c>
      <c r="G15512">
        <v>231031</v>
      </c>
      <c r="H15512">
        <v>4590</v>
      </c>
      <c r="I15512" t="s">
        <v>203</v>
      </c>
      <c r="J15512">
        <v>108.15</v>
      </c>
      <c r="K15512">
        <v>20.93</v>
      </c>
      <c r="L15512">
        <v>56561</v>
      </c>
      <c r="M15512" t="s">
        <v>358</v>
      </c>
      <c r="N15512" t="str">
        <f t="shared" si="229"/>
        <v xml:space="preserve">942748      </v>
      </c>
      <c r="O15512">
        <v>231120</v>
      </c>
    </row>
    <row r="15513" spans="1:15" x14ac:dyDescent="0.25">
      <c r="A15513" t="s">
        <v>16</v>
      </c>
      <c r="B15513" t="s">
        <v>3221</v>
      </c>
      <c r="C15513">
        <v>15789</v>
      </c>
      <c r="D15513" t="s">
        <v>1117</v>
      </c>
      <c r="E15513" t="s">
        <v>1118</v>
      </c>
      <c r="F15513">
        <v>47.4</v>
      </c>
      <c r="G15513">
        <v>231031</v>
      </c>
      <c r="H15513">
        <v>4590</v>
      </c>
      <c r="I15513" t="s">
        <v>203</v>
      </c>
      <c r="J15513">
        <v>58.77</v>
      </c>
      <c r="K15513">
        <v>11.37</v>
      </c>
      <c r="L15513">
        <v>56562</v>
      </c>
      <c r="M15513" t="s">
        <v>126</v>
      </c>
      <c r="N15513" t="str">
        <f t="shared" si="229"/>
        <v xml:space="preserve">942748      </v>
      </c>
      <c r="O15513">
        <v>231120</v>
      </c>
    </row>
    <row r="15514" spans="1:15" x14ac:dyDescent="0.25">
      <c r="A15514" t="s">
        <v>16</v>
      </c>
      <c r="B15514" t="s">
        <v>3221</v>
      </c>
      <c r="C15514">
        <v>15789</v>
      </c>
      <c r="D15514" t="s">
        <v>1117</v>
      </c>
      <c r="E15514" t="s">
        <v>1118</v>
      </c>
      <c r="F15514">
        <v>69.760000000000005</v>
      </c>
      <c r="G15514">
        <v>231031</v>
      </c>
      <c r="H15514">
        <v>4590</v>
      </c>
      <c r="I15514" t="s">
        <v>203</v>
      </c>
      <c r="J15514">
        <v>86.5</v>
      </c>
      <c r="K15514">
        <v>16.739999999999998</v>
      </c>
      <c r="L15514">
        <v>56562</v>
      </c>
      <c r="M15514" t="s">
        <v>126</v>
      </c>
      <c r="N15514" t="str">
        <f t="shared" si="229"/>
        <v xml:space="preserve">942748      </v>
      </c>
      <c r="O15514">
        <v>231120</v>
      </c>
    </row>
    <row r="15515" spans="1:15" x14ac:dyDescent="0.25">
      <c r="A15515" t="s">
        <v>16</v>
      </c>
      <c r="B15515" t="s">
        <v>3221</v>
      </c>
      <c r="C15515">
        <v>15789</v>
      </c>
      <c r="D15515" t="s">
        <v>1117</v>
      </c>
      <c r="E15515" t="s">
        <v>1118</v>
      </c>
      <c r="F15515">
        <v>95.28</v>
      </c>
      <c r="G15515">
        <v>231031</v>
      </c>
      <c r="H15515">
        <v>4590</v>
      </c>
      <c r="I15515" t="s">
        <v>203</v>
      </c>
      <c r="J15515">
        <v>118.15</v>
      </c>
      <c r="K15515">
        <v>22.87</v>
      </c>
      <c r="L15515">
        <v>56562</v>
      </c>
      <c r="M15515" t="s">
        <v>126</v>
      </c>
      <c r="N15515" t="str">
        <f t="shared" si="229"/>
        <v xml:space="preserve">942748      </v>
      </c>
      <c r="O15515">
        <v>231120</v>
      </c>
    </row>
    <row r="15516" spans="1:15" x14ac:dyDescent="0.25">
      <c r="A15516" t="s">
        <v>16</v>
      </c>
      <c r="B15516" t="s">
        <v>3221</v>
      </c>
      <c r="C15516">
        <v>15789</v>
      </c>
      <c r="D15516" t="s">
        <v>1117</v>
      </c>
      <c r="E15516" t="s">
        <v>1118</v>
      </c>
      <c r="F15516">
        <v>110.28</v>
      </c>
      <c r="G15516">
        <v>231031</v>
      </c>
      <c r="H15516">
        <v>4590</v>
      </c>
      <c r="I15516" t="s">
        <v>203</v>
      </c>
      <c r="J15516">
        <v>136.75</v>
      </c>
      <c r="K15516">
        <v>26.47</v>
      </c>
      <c r="L15516">
        <v>56562</v>
      </c>
      <c r="M15516" t="s">
        <v>126</v>
      </c>
      <c r="N15516" t="str">
        <f t="shared" si="229"/>
        <v xml:space="preserve">942748      </v>
      </c>
      <c r="O15516">
        <v>231120</v>
      </c>
    </row>
    <row r="15517" spans="1:15" x14ac:dyDescent="0.25">
      <c r="A15517" t="s">
        <v>16</v>
      </c>
      <c r="B15517" t="s">
        <v>3221</v>
      </c>
      <c r="C15517">
        <v>17713</v>
      </c>
      <c r="D15517" t="s">
        <v>1117</v>
      </c>
      <c r="E15517" t="s">
        <v>1118</v>
      </c>
      <c r="F15517">
        <v>103.03</v>
      </c>
      <c r="G15517">
        <v>231130</v>
      </c>
      <c r="H15517">
        <v>4590</v>
      </c>
      <c r="I15517" t="s">
        <v>203</v>
      </c>
      <c r="J15517">
        <v>127.76</v>
      </c>
      <c r="K15517">
        <v>24.73</v>
      </c>
      <c r="L15517">
        <v>56522</v>
      </c>
      <c r="M15517" t="s">
        <v>43</v>
      </c>
      <c r="N15517" t="str">
        <f>"985747      "</f>
        <v xml:space="preserve">985747      </v>
      </c>
      <c r="O15517">
        <v>231221</v>
      </c>
    </row>
    <row r="15518" spans="1:15" x14ac:dyDescent="0.25">
      <c r="A15518" t="s">
        <v>16</v>
      </c>
      <c r="B15518" t="s">
        <v>3221</v>
      </c>
      <c r="C15518">
        <v>17713</v>
      </c>
      <c r="D15518" t="s">
        <v>1117</v>
      </c>
      <c r="E15518" t="s">
        <v>1118</v>
      </c>
      <c r="F15518">
        <v>24.34</v>
      </c>
      <c r="G15518">
        <v>231130</v>
      </c>
      <c r="H15518">
        <v>4590</v>
      </c>
      <c r="I15518" t="s">
        <v>203</v>
      </c>
      <c r="J15518">
        <v>30.18</v>
      </c>
      <c r="K15518">
        <v>5.84</v>
      </c>
      <c r="L15518">
        <v>56571</v>
      </c>
      <c r="M15518" t="s">
        <v>204</v>
      </c>
      <c r="N15518" t="str">
        <f>"985747      "</f>
        <v xml:space="preserve">985747      </v>
      </c>
      <c r="O15518">
        <v>231221</v>
      </c>
    </row>
    <row r="15519" spans="1:15" x14ac:dyDescent="0.25">
      <c r="A15519" t="s">
        <v>16</v>
      </c>
      <c r="B15519" t="s">
        <v>3221</v>
      </c>
      <c r="C15519">
        <v>19226</v>
      </c>
      <c r="D15519" t="s">
        <v>1117</v>
      </c>
      <c r="E15519" t="s">
        <v>1118</v>
      </c>
      <c r="F15519">
        <v>108.48</v>
      </c>
      <c r="G15519">
        <v>231231</v>
      </c>
      <c r="H15519">
        <v>4590</v>
      </c>
      <c r="I15519" t="s">
        <v>203</v>
      </c>
      <c r="J15519">
        <v>134.51</v>
      </c>
      <c r="K15519">
        <v>26.03</v>
      </c>
      <c r="L15519">
        <v>56562</v>
      </c>
      <c r="M15519" t="s">
        <v>126</v>
      </c>
      <c r="N15519" t="str">
        <f>"1021607     "</f>
        <v xml:space="preserve">1021607     </v>
      </c>
      <c r="O15519">
        <v>240115</v>
      </c>
    </row>
    <row r="15520" spans="1:15" x14ac:dyDescent="0.25">
      <c r="A15520" t="s">
        <v>16</v>
      </c>
      <c r="B15520" t="s">
        <v>3221</v>
      </c>
      <c r="C15520">
        <v>19226</v>
      </c>
      <c r="D15520" t="s">
        <v>1117</v>
      </c>
      <c r="E15520" t="s">
        <v>1118</v>
      </c>
      <c r="F15520">
        <v>279.64</v>
      </c>
      <c r="G15520">
        <v>231231</v>
      </c>
      <c r="H15520">
        <v>4590</v>
      </c>
      <c r="I15520" t="s">
        <v>203</v>
      </c>
      <c r="J15520">
        <v>346.75</v>
      </c>
      <c r="K15520">
        <v>67.11</v>
      </c>
      <c r="L15520">
        <v>56571</v>
      </c>
      <c r="M15520" t="s">
        <v>204</v>
      </c>
      <c r="N15520" t="str">
        <f>"1021607     "</f>
        <v xml:space="preserve">1021607     </v>
      </c>
      <c r="O15520">
        <v>240115</v>
      </c>
    </row>
    <row r="15521" spans="1:15" x14ac:dyDescent="0.25">
      <c r="A15521" t="s">
        <v>16</v>
      </c>
      <c r="B15521" t="s">
        <v>3221</v>
      </c>
      <c r="C15521">
        <v>9378</v>
      </c>
      <c r="D15521" t="s">
        <v>1117</v>
      </c>
      <c r="E15521" t="s">
        <v>1118</v>
      </c>
      <c r="F15521">
        <v>14.31</v>
      </c>
      <c r="G15521">
        <v>230630</v>
      </c>
      <c r="H15521">
        <v>4550</v>
      </c>
      <c r="I15521" t="s">
        <v>312</v>
      </c>
      <c r="J15521">
        <v>17.75</v>
      </c>
      <c r="K15521">
        <v>3.44</v>
      </c>
      <c r="L15521">
        <v>59501</v>
      </c>
      <c r="M15521" t="s">
        <v>69</v>
      </c>
      <c r="N15521" t="str">
        <f>"771280      "</f>
        <v xml:space="preserve">771280      </v>
      </c>
      <c r="O15521">
        <v>230710</v>
      </c>
    </row>
    <row r="15522" spans="1:15" x14ac:dyDescent="0.25">
      <c r="A15522" t="s">
        <v>16</v>
      </c>
      <c r="B15522" t="s">
        <v>3221</v>
      </c>
      <c r="C15522">
        <v>12064</v>
      </c>
      <c r="D15522" t="s">
        <v>2541</v>
      </c>
      <c r="E15522" t="s">
        <v>2542</v>
      </c>
      <c r="F15522">
        <v>162.18</v>
      </c>
      <c r="G15522">
        <v>230911</v>
      </c>
      <c r="H15522">
        <v>4420</v>
      </c>
      <c r="I15522" t="s">
        <v>132</v>
      </c>
      <c r="J15522">
        <v>201.1</v>
      </c>
      <c r="K15522">
        <v>38.92</v>
      </c>
      <c r="L15522">
        <v>11908</v>
      </c>
      <c r="M15522" t="s">
        <v>598</v>
      </c>
      <c r="N15522" t="str">
        <f>"11418       "</f>
        <v xml:space="preserve">11418       </v>
      </c>
      <c r="O15522">
        <v>230913</v>
      </c>
    </row>
    <row r="15523" spans="1:15" x14ac:dyDescent="0.25">
      <c r="A15523" t="s">
        <v>16</v>
      </c>
      <c r="B15523" t="s">
        <v>3221</v>
      </c>
      <c r="C15523">
        <v>784</v>
      </c>
      <c r="D15523" t="s">
        <v>739</v>
      </c>
      <c r="E15523" t="s">
        <v>740</v>
      </c>
      <c r="F15523">
        <v>577.5</v>
      </c>
      <c r="G15523">
        <v>230120</v>
      </c>
      <c r="H15523">
        <v>4600</v>
      </c>
      <c r="I15523" t="s">
        <v>105</v>
      </c>
      <c r="J15523">
        <v>716.1</v>
      </c>
      <c r="K15523">
        <v>138.6</v>
      </c>
      <c r="L15523">
        <v>17526</v>
      </c>
      <c r="M15523" t="s">
        <v>437</v>
      </c>
      <c r="N15523" t="str">
        <f>"284         "</f>
        <v xml:space="preserve">284         </v>
      </c>
      <c r="O15523">
        <v>230130</v>
      </c>
    </row>
    <row r="15524" spans="1:15" x14ac:dyDescent="0.25">
      <c r="A15524" t="s">
        <v>16</v>
      </c>
      <c r="B15524" t="s">
        <v>3221</v>
      </c>
      <c r="C15524">
        <v>1008</v>
      </c>
      <c r="D15524" t="s">
        <v>739</v>
      </c>
      <c r="E15524" t="s">
        <v>740</v>
      </c>
      <c r="F15524">
        <v>154.84</v>
      </c>
      <c r="G15524">
        <v>230130</v>
      </c>
      <c r="H15524">
        <v>4600</v>
      </c>
      <c r="I15524" t="s">
        <v>105</v>
      </c>
      <c r="J15524">
        <v>192</v>
      </c>
      <c r="K15524">
        <v>37.159999999999997</v>
      </c>
      <c r="L15524">
        <v>17635</v>
      </c>
      <c r="M15524" t="s">
        <v>349</v>
      </c>
      <c r="N15524" t="str">
        <f>"287         "</f>
        <v xml:space="preserve">287         </v>
      </c>
      <c r="O15524">
        <v>230202</v>
      </c>
    </row>
    <row r="15525" spans="1:15" x14ac:dyDescent="0.25">
      <c r="A15525" t="s">
        <v>16</v>
      </c>
      <c r="B15525" t="s">
        <v>3221</v>
      </c>
      <c r="C15525">
        <v>19335</v>
      </c>
      <c r="D15525" t="s">
        <v>3178</v>
      </c>
      <c r="E15525" t="s">
        <v>3179</v>
      </c>
      <c r="F15525">
        <v>3629.03</v>
      </c>
      <c r="G15525">
        <v>240110</v>
      </c>
      <c r="H15525">
        <v>4580</v>
      </c>
      <c r="I15525" t="s">
        <v>35</v>
      </c>
      <c r="J15525">
        <v>4500</v>
      </c>
      <c r="K15525">
        <v>870.97</v>
      </c>
      <c r="L15525">
        <v>56571</v>
      </c>
      <c r="M15525" t="s">
        <v>204</v>
      </c>
      <c r="N15525" t="str">
        <f>"24002       "</f>
        <v xml:space="preserve">24002       </v>
      </c>
      <c r="O15525">
        <v>240117</v>
      </c>
    </row>
    <row r="15526" spans="1:15" x14ac:dyDescent="0.25">
      <c r="A15526" t="s">
        <v>16</v>
      </c>
      <c r="B15526" t="s">
        <v>3221</v>
      </c>
      <c r="C15526">
        <v>19336</v>
      </c>
      <c r="D15526" t="s">
        <v>3178</v>
      </c>
      <c r="E15526" t="s">
        <v>3179</v>
      </c>
      <c r="F15526">
        <v>2580.65</v>
      </c>
      <c r="G15526">
        <v>240110</v>
      </c>
      <c r="H15526">
        <v>4580</v>
      </c>
      <c r="I15526" t="s">
        <v>35</v>
      </c>
      <c r="J15526">
        <v>3200</v>
      </c>
      <c r="K15526">
        <v>619.35</v>
      </c>
      <c r="L15526">
        <v>56571</v>
      </c>
      <c r="M15526" t="s">
        <v>204</v>
      </c>
      <c r="N15526" t="str">
        <f>"24001       "</f>
        <v xml:space="preserve">24001       </v>
      </c>
      <c r="O15526">
        <v>240117</v>
      </c>
    </row>
    <row r="15527" spans="1:15" x14ac:dyDescent="0.25">
      <c r="A15527" t="s">
        <v>16</v>
      </c>
      <c r="B15527" t="s">
        <v>3221</v>
      </c>
      <c r="C15527">
        <v>10081</v>
      </c>
      <c r="D15527" t="s">
        <v>2341</v>
      </c>
      <c r="E15527" t="s">
        <v>2342</v>
      </c>
      <c r="F15527">
        <v>122.67</v>
      </c>
      <c r="G15527">
        <v>230731</v>
      </c>
      <c r="H15527">
        <v>4600</v>
      </c>
      <c r="I15527" t="s">
        <v>105</v>
      </c>
      <c r="J15527">
        <v>152.11000000000001</v>
      </c>
      <c r="K15527">
        <v>29.44</v>
      </c>
      <c r="L15527">
        <v>66754</v>
      </c>
      <c r="M15527" t="s">
        <v>239</v>
      </c>
      <c r="N15527" t="str">
        <f>"755732      "</f>
        <v xml:space="preserve">755732      </v>
      </c>
      <c r="O15527">
        <v>230808</v>
      </c>
    </row>
    <row r="15528" spans="1:15" x14ac:dyDescent="0.25">
      <c r="A15528" t="s">
        <v>16</v>
      </c>
      <c r="B15528" t="s">
        <v>3221</v>
      </c>
      <c r="C15528">
        <v>15984</v>
      </c>
      <c r="D15528" t="s">
        <v>2341</v>
      </c>
      <c r="E15528" t="s">
        <v>2342</v>
      </c>
      <c r="F15528">
        <v>2119.85</v>
      </c>
      <c r="G15528">
        <v>231115</v>
      </c>
      <c r="H15528">
        <v>4552</v>
      </c>
      <c r="I15528" t="s">
        <v>338</v>
      </c>
      <c r="J15528">
        <v>2628.61</v>
      </c>
      <c r="K15528">
        <v>508.76</v>
      </c>
      <c r="L15528">
        <v>66754</v>
      </c>
      <c r="M15528" t="s">
        <v>239</v>
      </c>
      <c r="N15528" t="str">
        <f>"756863      "</f>
        <v xml:space="preserve">756863      </v>
      </c>
      <c r="O15528">
        <v>231122</v>
      </c>
    </row>
    <row r="15529" spans="1:15" x14ac:dyDescent="0.25">
      <c r="A15529" t="s">
        <v>16</v>
      </c>
      <c r="B15529" t="s">
        <v>3221</v>
      </c>
      <c r="C15529">
        <v>13723</v>
      </c>
      <c r="D15529" t="s">
        <v>3543</v>
      </c>
      <c r="E15529" t="s">
        <v>3544</v>
      </c>
      <c r="F15529">
        <v>8.84</v>
      </c>
      <c r="G15529">
        <v>231010</v>
      </c>
      <c r="H15529">
        <v>4510</v>
      </c>
      <c r="I15529" t="s">
        <v>42</v>
      </c>
      <c r="J15529">
        <v>9.7200000000000006</v>
      </c>
      <c r="K15529">
        <v>0.88</v>
      </c>
      <c r="L15529">
        <v>17131</v>
      </c>
      <c r="M15529" t="s">
        <v>64</v>
      </c>
      <c r="N15529" t="str">
        <f>"8444729     "</f>
        <v xml:space="preserve">8444729     </v>
      </c>
      <c r="O15529">
        <v>231012</v>
      </c>
    </row>
    <row r="15530" spans="1:15" x14ac:dyDescent="0.25">
      <c r="A15530" t="s">
        <v>16</v>
      </c>
      <c r="B15530" t="s">
        <v>3221</v>
      </c>
      <c r="C15530">
        <v>13723</v>
      </c>
      <c r="D15530" t="s">
        <v>3543</v>
      </c>
      <c r="E15530" t="s">
        <v>3544</v>
      </c>
      <c r="F15530">
        <v>8.83</v>
      </c>
      <c r="G15530">
        <v>231010</v>
      </c>
      <c r="H15530">
        <v>4510</v>
      </c>
      <c r="I15530" t="s">
        <v>42</v>
      </c>
      <c r="J15530">
        <v>9.7100000000000009</v>
      </c>
      <c r="K15530">
        <v>0.88</v>
      </c>
      <c r="L15530">
        <v>17711</v>
      </c>
      <c r="M15530" t="s">
        <v>65</v>
      </c>
      <c r="N15530" t="str">
        <f>"8444729     "</f>
        <v xml:space="preserve">8444729     </v>
      </c>
      <c r="O15530">
        <v>231012</v>
      </c>
    </row>
    <row r="15531" spans="1:15" x14ac:dyDescent="0.25">
      <c r="A15531" t="s">
        <v>16</v>
      </c>
      <c r="B15531" t="s">
        <v>3221</v>
      </c>
      <c r="C15531">
        <v>12804</v>
      </c>
      <c r="D15531" t="s">
        <v>2605</v>
      </c>
      <c r="E15531" t="s">
        <v>2606</v>
      </c>
      <c r="F15531">
        <v>49.09</v>
      </c>
      <c r="G15531">
        <v>230922</v>
      </c>
      <c r="H15531">
        <v>4510</v>
      </c>
      <c r="I15531" t="s">
        <v>42</v>
      </c>
      <c r="J15531">
        <v>54</v>
      </c>
      <c r="K15531">
        <v>4.91</v>
      </c>
      <c r="L15531">
        <v>66722</v>
      </c>
      <c r="M15531" t="s">
        <v>518</v>
      </c>
      <c r="N15531" t="str">
        <f>"144009      "</f>
        <v xml:space="preserve">144009      </v>
      </c>
      <c r="O15531">
        <v>230926</v>
      </c>
    </row>
    <row r="15532" spans="1:15" x14ac:dyDescent="0.25">
      <c r="A15532" t="s">
        <v>16</v>
      </c>
      <c r="B15532" t="s">
        <v>3221</v>
      </c>
      <c r="C15532">
        <v>17767</v>
      </c>
      <c r="D15532" t="s">
        <v>824</v>
      </c>
      <c r="E15532" t="s">
        <v>825</v>
      </c>
      <c r="F15532">
        <v>30.77</v>
      </c>
      <c r="G15532">
        <v>231212</v>
      </c>
      <c r="H15532">
        <v>4580</v>
      </c>
      <c r="I15532" t="s">
        <v>35</v>
      </c>
      <c r="J15532">
        <v>38.159999999999997</v>
      </c>
      <c r="K15532">
        <v>7.39</v>
      </c>
      <c r="L15532">
        <v>17527</v>
      </c>
      <c r="M15532" t="s">
        <v>422</v>
      </c>
      <c r="N15532" t="str">
        <f>"31255       "</f>
        <v xml:space="preserve">31255       </v>
      </c>
      <c r="O15532">
        <v>231222</v>
      </c>
    </row>
    <row r="15533" spans="1:15" x14ac:dyDescent="0.25">
      <c r="A15533" t="s">
        <v>16</v>
      </c>
      <c r="B15533" t="s">
        <v>3221</v>
      </c>
      <c r="C15533">
        <v>8272</v>
      </c>
      <c r="D15533" t="s">
        <v>824</v>
      </c>
      <c r="E15533" t="s">
        <v>825</v>
      </c>
      <c r="F15533">
        <v>45.23</v>
      </c>
      <c r="G15533">
        <v>230531</v>
      </c>
      <c r="H15533">
        <v>4400</v>
      </c>
      <c r="I15533" t="s">
        <v>348</v>
      </c>
      <c r="J15533">
        <v>56.09</v>
      </c>
      <c r="K15533">
        <v>10.86</v>
      </c>
      <c r="L15533">
        <v>17527</v>
      </c>
      <c r="M15533" t="s">
        <v>422</v>
      </c>
      <c r="N15533" t="str">
        <f>"28891       "</f>
        <v xml:space="preserve">28891       </v>
      </c>
      <c r="O15533">
        <v>230608</v>
      </c>
    </row>
    <row r="15534" spans="1:15" x14ac:dyDescent="0.25">
      <c r="A15534" t="s">
        <v>16</v>
      </c>
      <c r="B15534" t="s">
        <v>3221</v>
      </c>
      <c r="C15534">
        <v>998</v>
      </c>
      <c r="D15534" t="s">
        <v>824</v>
      </c>
      <c r="E15534" t="s">
        <v>825</v>
      </c>
      <c r="F15534">
        <v>288.89</v>
      </c>
      <c r="G15534">
        <v>230119</v>
      </c>
      <c r="H15534">
        <v>4600</v>
      </c>
      <c r="I15534" t="s">
        <v>105</v>
      </c>
      <c r="J15534">
        <v>358.22</v>
      </c>
      <c r="K15534">
        <v>69.33</v>
      </c>
      <c r="L15534">
        <v>17524</v>
      </c>
      <c r="M15534" t="s">
        <v>452</v>
      </c>
      <c r="N15534" t="str">
        <f>"27451       "</f>
        <v xml:space="preserve">27451       </v>
      </c>
      <c r="O15534">
        <v>230202</v>
      </c>
    </row>
    <row r="15535" spans="1:15" x14ac:dyDescent="0.25">
      <c r="A15535" t="s">
        <v>16</v>
      </c>
      <c r="B15535" t="s">
        <v>3221</v>
      </c>
      <c r="C15535">
        <v>998</v>
      </c>
      <c r="D15535" t="s">
        <v>824</v>
      </c>
      <c r="E15535" t="s">
        <v>825</v>
      </c>
      <c r="F15535">
        <v>288.89999999999998</v>
      </c>
      <c r="G15535">
        <v>230119</v>
      </c>
      <c r="H15535">
        <v>4600</v>
      </c>
      <c r="I15535" t="s">
        <v>105</v>
      </c>
      <c r="J15535">
        <v>358.23</v>
      </c>
      <c r="K15535">
        <v>69.33</v>
      </c>
      <c r="L15535">
        <v>17635</v>
      </c>
      <c r="M15535" t="s">
        <v>349</v>
      </c>
      <c r="N15535" t="str">
        <f>"27451       "</f>
        <v xml:space="preserve">27451       </v>
      </c>
      <c r="O15535">
        <v>230202</v>
      </c>
    </row>
    <row r="15536" spans="1:15" x14ac:dyDescent="0.25">
      <c r="A15536" t="s">
        <v>16</v>
      </c>
      <c r="B15536" t="s">
        <v>3221</v>
      </c>
      <c r="C15536">
        <v>6986</v>
      </c>
      <c r="D15536" t="s">
        <v>824</v>
      </c>
      <c r="E15536" t="s">
        <v>825</v>
      </c>
      <c r="F15536">
        <v>88.71</v>
      </c>
      <c r="G15536">
        <v>230512</v>
      </c>
      <c r="H15536">
        <v>4600</v>
      </c>
      <c r="I15536" t="s">
        <v>105</v>
      </c>
      <c r="J15536">
        <v>110</v>
      </c>
      <c r="K15536">
        <v>21.29</v>
      </c>
      <c r="L15536">
        <v>17525</v>
      </c>
      <c r="M15536" t="s">
        <v>135</v>
      </c>
      <c r="N15536" t="str">
        <f>"28592       "</f>
        <v xml:space="preserve">28592       </v>
      </c>
      <c r="O15536">
        <v>230524</v>
      </c>
    </row>
    <row r="15537" spans="1:15" x14ac:dyDescent="0.25">
      <c r="A15537" t="s">
        <v>16</v>
      </c>
      <c r="B15537" t="s">
        <v>3221</v>
      </c>
      <c r="C15537">
        <v>12354</v>
      </c>
      <c r="D15537" t="s">
        <v>824</v>
      </c>
      <c r="E15537" t="s">
        <v>825</v>
      </c>
      <c r="F15537">
        <v>110.48</v>
      </c>
      <c r="G15537">
        <v>230916</v>
      </c>
      <c r="H15537">
        <v>4440</v>
      </c>
      <c r="I15537" t="s">
        <v>250</v>
      </c>
      <c r="J15537">
        <v>137</v>
      </c>
      <c r="K15537">
        <v>26.52</v>
      </c>
      <c r="L15537">
        <v>17807</v>
      </c>
      <c r="M15537" t="s">
        <v>318</v>
      </c>
      <c r="N15537" t="str">
        <f>"30321       "</f>
        <v xml:space="preserve">30321       </v>
      </c>
      <c r="O15537">
        <v>230918</v>
      </c>
    </row>
    <row r="15538" spans="1:15" x14ac:dyDescent="0.25">
      <c r="A15538" t="s">
        <v>16</v>
      </c>
      <c r="B15538" t="s">
        <v>3221</v>
      </c>
      <c r="C15538">
        <v>4763</v>
      </c>
      <c r="D15538" t="s">
        <v>824</v>
      </c>
      <c r="E15538" t="s">
        <v>825</v>
      </c>
      <c r="F15538">
        <v>58.95</v>
      </c>
      <c r="G15538">
        <v>230406</v>
      </c>
      <c r="H15538">
        <v>4590</v>
      </c>
      <c r="I15538" t="s">
        <v>203</v>
      </c>
      <c r="J15538">
        <v>73.099999999999994</v>
      </c>
      <c r="K15538">
        <v>14.15</v>
      </c>
      <c r="L15538">
        <v>17952</v>
      </c>
      <c r="M15538" t="s">
        <v>88</v>
      </c>
      <c r="N15538" t="str">
        <f>"28176       "</f>
        <v xml:space="preserve">28176       </v>
      </c>
      <c r="O15538">
        <v>230412</v>
      </c>
    </row>
    <row r="15539" spans="1:15" x14ac:dyDescent="0.25">
      <c r="A15539" t="s">
        <v>16</v>
      </c>
      <c r="B15539" t="s">
        <v>3221</v>
      </c>
      <c r="C15539">
        <v>16973</v>
      </c>
      <c r="D15539" t="s">
        <v>824</v>
      </c>
      <c r="E15539" t="s">
        <v>825</v>
      </c>
      <c r="F15539">
        <v>93.87</v>
      </c>
      <c r="G15539">
        <v>231130</v>
      </c>
      <c r="H15539">
        <v>4500</v>
      </c>
      <c r="I15539" t="s">
        <v>212</v>
      </c>
      <c r="J15539">
        <v>116.4</v>
      </c>
      <c r="K15539">
        <v>22.53</v>
      </c>
      <c r="L15539">
        <v>17527</v>
      </c>
      <c r="M15539" t="s">
        <v>422</v>
      </c>
      <c r="N15539" t="str">
        <f>"31196       "</f>
        <v xml:space="preserve">31196       </v>
      </c>
      <c r="O15539">
        <v>231211</v>
      </c>
    </row>
    <row r="15540" spans="1:15" x14ac:dyDescent="0.25">
      <c r="A15540" t="s">
        <v>16</v>
      </c>
      <c r="B15540" t="s">
        <v>3221</v>
      </c>
      <c r="C15540">
        <v>8845</v>
      </c>
      <c r="D15540" t="s">
        <v>2212</v>
      </c>
      <c r="E15540" t="s">
        <v>2213</v>
      </c>
      <c r="F15540">
        <v>310.42</v>
      </c>
      <c r="G15540">
        <v>230612</v>
      </c>
      <c r="H15540">
        <v>4350</v>
      </c>
      <c r="I15540" t="s">
        <v>546</v>
      </c>
      <c r="J15540">
        <v>384.92</v>
      </c>
      <c r="K15540">
        <v>74.5</v>
      </c>
      <c r="L15540">
        <v>66754</v>
      </c>
      <c r="M15540" t="s">
        <v>239</v>
      </c>
      <c r="N15540" t="str">
        <f>"68513       "</f>
        <v xml:space="preserve">68513       </v>
      </c>
      <c r="O15540">
        <v>230619</v>
      </c>
    </row>
    <row r="15541" spans="1:15" x14ac:dyDescent="0.25">
      <c r="A15541" t="s">
        <v>16</v>
      </c>
      <c r="B15541" t="s">
        <v>3221</v>
      </c>
      <c r="C15541">
        <v>6250</v>
      </c>
      <c r="D15541" t="s">
        <v>1946</v>
      </c>
      <c r="E15541" t="s">
        <v>1947</v>
      </c>
      <c r="F15541">
        <v>203.23</v>
      </c>
      <c r="G15541">
        <v>230430</v>
      </c>
      <c r="H15541">
        <v>4520</v>
      </c>
      <c r="I15541" t="s">
        <v>254</v>
      </c>
      <c r="J15541">
        <v>231.68</v>
      </c>
      <c r="K15541">
        <v>28.45</v>
      </c>
      <c r="L15541">
        <v>69113</v>
      </c>
      <c r="M15541" t="s">
        <v>282</v>
      </c>
      <c r="N15541" t="str">
        <f>"15544       "</f>
        <v xml:space="preserve">15544       </v>
      </c>
      <c r="O15541">
        <v>230509</v>
      </c>
    </row>
    <row r="15542" spans="1:15" x14ac:dyDescent="0.25">
      <c r="A15542" t="s">
        <v>16</v>
      </c>
      <c r="B15542" t="s">
        <v>3221</v>
      </c>
      <c r="C15542">
        <v>6250</v>
      </c>
      <c r="D15542" t="s">
        <v>1946</v>
      </c>
      <c r="E15542" t="s">
        <v>1947</v>
      </c>
      <c r="F15542">
        <v>23.91</v>
      </c>
      <c r="G15542">
        <v>230430</v>
      </c>
      <c r="H15542">
        <v>4520</v>
      </c>
      <c r="I15542" t="s">
        <v>254</v>
      </c>
      <c r="J15542">
        <v>27.26</v>
      </c>
      <c r="K15542">
        <v>3.35</v>
      </c>
      <c r="L15542">
        <v>69802</v>
      </c>
      <c r="M15542" t="s">
        <v>283</v>
      </c>
      <c r="N15542" t="str">
        <f>"15544       "</f>
        <v xml:space="preserve">15544       </v>
      </c>
      <c r="O15542">
        <v>230509</v>
      </c>
    </row>
    <row r="15543" spans="1:15" x14ac:dyDescent="0.25">
      <c r="A15543" t="s">
        <v>16</v>
      </c>
      <c r="B15543" t="s">
        <v>3221</v>
      </c>
      <c r="C15543">
        <v>6250</v>
      </c>
      <c r="D15543" t="s">
        <v>1946</v>
      </c>
      <c r="E15543" t="s">
        <v>1947</v>
      </c>
      <c r="F15543">
        <v>11.96</v>
      </c>
      <c r="G15543">
        <v>230430</v>
      </c>
      <c r="H15543">
        <v>4520</v>
      </c>
      <c r="I15543" t="s">
        <v>254</v>
      </c>
      <c r="J15543">
        <v>13.63</v>
      </c>
      <c r="K15543">
        <v>1.67</v>
      </c>
      <c r="L15543">
        <v>69804</v>
      </c>
      <c r="M15543" t="s">
        <v>284</v>
      </c>
      <c r="N15543" t="str">
        <f>"15544       "</f>
        <v xml:space="preserve">15544       </v>
      </c>
      <c r="O15543">
        <v>230509</v>
      </c>
    </row>
    <row r="15544" spans="1:15" x14ac:dyDescent="0.25">
      <c r="A15544" t="s">
        <v>16</v>
      </c>
      <c r="B15544" t="s">
        <v>3221</v>
      </c>
      <c r="C15544">
        <v>17651</v>
      </c>
      <c r="D15544" t="s">
        <v>1946</v>
      </c>
      <c r="E15544" t="s">
        <v>1947</v>
      </c>
      <c r="F15544">
        <v>23.72</v>
      </c>
      <c r="G15544">
        <v>231130</v>
      </c>
      <c r="H15544">
        <v>4520</v>
      </c>
      <c r="I15544" t="s">
        <v>254</v>
      </c>
      <c r="J15544">
        <v>27.04</v>
      </c>
      <c r="K15544">
        <v>3.32</v>
      </c>
      <c r="L15544">
        <v>69811</v>
      </c>
      <c r="M15544" t="s">
        <v>315</v>
      </c>
      <c r="N15544" t="str">
        <f>"17852       "</f>
        <v xml:space="preserve">17852       </v>
      </c>
      <c r="O15544">
        <v>231218</v>
      </c>
    </row>
    <row r="15545" spans="1:15" x14ac:dyDescent="0.25">
      <c r="A15545" t="s">
        <v>16</v>
      </c>
      <c r="B15545" t="s">
        <v>3221</v>
      </c>
      <c r="C15545">
        <v>6860</v>
      </c>
      <c r="D15545" t="s">
        <v>2033</v>
      </c>
      <c r="E15545" t="s">
        <v>2034</v>
      </c>
      <c r="F15545">
        <v>250</v>
      </c>
      <c r="G15545">
        <v>230517</v>
      </c>
      <c r="H15545">
        <v>4600</v>
      </c>
      <c r="I15545" t="s">
        <v>105</v>
      </c>
      <c r="J15545">
        <v>250</v>
      </c>
      <c r="K15545">
        <v>0</v>
      </c>
      <c r="L15545">
        <v>58601</v>
      </c>
      <c r="M15545" t="s">
        <v>251</v>
      </c>
      <c r="N15545" t="str">
        <f>"4066        "</f>
        <v xml:space="preserve">4066        </v>
      </c>
      <c r="O15545">
        <v>230523</v>
      </c>
    </row>
    <row r="15546" spans="1:15" x14ac:dyDescent="0.25">
      <c r="A15546" t="s">
        <v>16</v>
      </c>
      <c r="B15546" t="s">
        <v>3221</v>
      </c>
      <c r="C15546">
        <v>76</v>
      </c>
      <c r="D15546" t="s">
        <v>61</v>
      </c>
      <c r="E15546" t="s">
        <v>62</v>
      </c>
      <c r="F15546">
        <v>708</v>
      </c>
      <c r="G15546">
        <v>221227</v>
      </c>
      <c r="H15546">
        <v>4840</v>
      </c>
      <c r="I15546" t="s">
        <v>19</v>
      </c>
      <c r="J15546">
        <v>877.92</v>
      </c>
      <c r="K15546">
        <v>169.92</v>
      </c>
      <c r="L15546">
        <v>18971</v>
      </c>
      <c r="M15546" t="s">
        <v>63</v>
      </c>
      <c r="N15546" t="str">
        <f>"2022.1481   "</f>
        <v xml:space="preserve">2022.1481   </v>
      </c>
      <c r="O15546">
        <v>230109</v>
      </c>
    </row>
    <row r="15547" spans="1:15" x14ac:dyDescent="0.25">
      <c r="A15547" t="s">
        <v>16</v>
      </c>
      <c r="B15547" t="s">
        <v>3221</v>
      </c>
      <c r="C15547">
        <v>297</v>
      </c>
      <c r="D15547" t="s">
        <v>61</v>
      </c>
      <c r="E15547" t="s">
        <v>62</v>
      </c>
      <c r="F15547">
        <v>672</v>
      </c>
      <c r="G15547">
        <v>221227</v>
      </c>
      <c r="H15547">
        <v>4840</v>
      </c>
      <c r="I15547" t="s">
        <v>19</v>
      </c>
      <c r="J15547">
        <v>833.28</v>
      </c>
      <c r="K15547">
        <v>161.28</v>
      </c>
      <c r="L15547">
        <v>59702</v>
      </c>
      <c r="M15547" t="s">
        <v>328</v>
      </c>
      <c r="N15547" t="str">
        <f>"2022.1535   "</f>
        <v xml:space="preserve">2022.1535   </v>
      </c>
      <c r="O15547">
        <v>230118</v>
      </c>
    </row>
    <row r="15548" spans="1:15" x14ac:dyDescent="0.25">
      <c r="A15548" t="s">
        <v>16</v>
      </c>
      <c r="B15548" t="s">
        <v>3221</v>
      </c>
      <c r="C15548">
        <v>4052</v>
      </c>
      <c r="D15548" t="s">
        <v>61</v>
      </c>
      <c r="E15548" t="s">
        <v>62</v>
      </c>
      <c r="F15548">
        <v>441.02</v>
      </c>
      <c r="G15548">
        <v>230327</v>
      </c>
      <c r="H15548">
        <v>4840</v>
      </c>
      <c r="I15548" t="s">
        <v>19</v>
      </c>
      <c r="J15548">
        <v>546.86</v>
      </c>
      <c r="K15548">
        <v>105.84</v>
      </c>
      <c r="L15548">
        <v>14972</v>
      </c>
      <c r="M15548" t="s">
        <v>898</v>
      </c>
      <c r="N15548" t="str">
        <f>"2023.225    "</f>
        <v xml:space="preserve">2023.225    </v>
      </c>
      <c r="O15548">
        <v>230330</v>
      </c>
    </row>
    <row r="15549" spans="1:15" x14ac:dyDescent="0.25">
      <c r="A15549" t="s">
        <v>16</v>
      </c>
      <c r="B15549" t="s">
        <v>3221</v>
      </c>
      <c r="C15549">
        <v>11086</v>
      </c>
      <c r="D15549" t="s">
        <v>61</v>
      </c>
      <c r="E15549" t="s">
        <v>62</v>
      </c>
      <c r="F15549">
        <v>144</v>
      </c>
      <c r="G15549">
        <v>230827</v>
      </c>
      <c r="H15549">
        <v>4840</v>
      </c>
      <c r="I15549" t="s">
        <v>19</v>
      </c>
      <c r="J15549">
        <v>178.56</v>
      </c>
      <c r="K15549">
        <v>34.56</v>
      </c>
      <c r="L15549">
        <v>17971</v>
      </c>
      <c r="M15549" t="s">
        <v>138</v>
      </c>
      <c r="N15549" t="str">
        <f>"2023.790    "</f>
        <v xml:space="preserve">2023.790    </v>
      </c>
      <c r="O15549">
        <v>230830</v>
      </c>
    </row>
    <row r="15550" spans="1:15" x14ac:dyDescent="0.25">
      <c r="A15550" t="s">
        <v>16</v>
      </c>
      <c r="B15550" t="s">
        <v>3221</v>
      </c>
      <c r="C15550">
        <v>11373</v>
      </c>
      <c r="D15550" t="s">
        <v>61</v>
      </c>
      <c r="E15550" t="s">
        <v>62</v>
      </c>
      <c r="F15550">
        <v>220</v>
      </c>
      <c r="G15550">
        <v>230827</v>
      </c>
      <c r="H15550">
        <v>4840</v>
      </c>
      <c r="I15550" t="s">
        <v>19</v>
      </c>
      <c r="J15550">
        <v>272.8</v>
      </c>
      <c r="K15550">
        <v>52.8</v>
      </c>
      <c r="L15550">
        <v>49701</v>
      </c>
      <c r="M15550" t="s">
        <v>166</v>
      </c>
      <c r="N15550" t="str">
        <f>"2023.792    "</f>
        <v xml:space="preserve">2023.792    </v>
      </c>
      <c r="O15550">
        <v>230905</v>
      </c>
    </row>
    <row r="15551" spans="1:15" x14ac:dyDescent="0.25">
      <c r="A15551" t="s">
        <v>16</v>
      </c>
      <c r="B15551" t="s">
        <v>3221</v>
      </c>
      <c r="C15551">
        <v>11386</v>
      </c>
      <c r="D15551" t="s">
        <v>61</v>
      </c>
      <c r="E15551" t="s">
        <v>62</v>
      </c>
      <c r="F15551">
        <v>15.84</v>
      </c>
      <c r="G15551">
        <v>230827</v>
      </c>
      <c r="H15551">
        <v>4840</v>
      </c>
      <c r="I15551" t="s">
        <v>19</v>
      </c>
      <c r="J15551">
        <v>19.64</v>
      </c>
      <c r="K15551">
        <v>3.8</v>
      </c>
      <c r="L15551">
        <v>13501</v>
      </c>
      <c r="M15551" t="s">
        <v>20</v>
      </c>
      <c r="N15551" t="str">
        <f>"2023.791    "</f>
        <v xml:space="preserve">2023.791    </v>
      </c>
      <c r="O15551">
        <v>230905</v>
      </c>
    </row>
    <row r="15552" spans="1:15" x14ac:dyDescent="0.25">
      <c r="A15552" t="s">
        <v>16</v>
      </c>
      <c r="B15552" t="s">
        <v>3221</v>
      </c>
      <c r="C15552">
        <v>11386</v>
      </c>
      <c r="D15552" t="s">
        <v>61</v>
      </c>
      <c r="E15552" t="s">
        <v>62</v>
      </c>
      <c r="F15552">
        <v>128.16</v>
      </c>
      <c r="G15552">
        <v>230827</v>
      </c>
      <c r="H15552">
        <v>4840</v>
      </c>
      <c r="I15552" t="s">
        <v>19</v>
      </c>
      <c r="J15552">
        <v>158.91999999999999</v>
      </c>
      <c r="K15552">
        <v>30.76</v>
      </c>
      <c r="L15552">
        <v>17971</v>
      </c>
      <c r="M15552" t="s">
        <v>138</v>
      </c>
      <c r="N15552" t="str">
        <f>"2023.791    "</f>
        <v xml:space="preserve">2023.791    </v>
      </c>
      <c r="O15552">
        <v>230905</v>
      </c>
    </row>
    <row r="15553" spans="1:15" x14ac:dyDescent="0.25">
      <c r="A15553" t="s">
        <v>16</v>
      </c>
      <c r="B15553" t="s">
        <v>3221</v>
      </c>
      <c r="C15553">
        <v>16495</v>
      </c>
      <c r="D15553" t="s">
        <v>61</v>
      </c>
      <c r="E15553" t="s">
        <v>62</v>
      </c>
      <c r="F15553">
        <v>52</v>
      </c>
      <c r="G15553">
        <v>231127</v>
      </c>
      <c r="H15553">
        <v>4840</v>
      </c>
      <c r="I15553" t="s">
        <v>19</v>
      </c>
      <c r="J15553">
        <v>64.48</v>
      </c>
      <c r="K15553">
        <v>12.48</v>
      </c>
      <c r="L15553">
        <v>59701</v>
      </c>
      <c r="M15553" t="s">
        <v>297</v>
      </c>
      <c r="N15553" t="str">
        <f>"2023.1103   "</f>
        <v xml:space="preserve">2023.1103   </v>
      </c>
      <c r="O15553">
        <v>231201</v>
      </c>
    </row>
    <row r="15554" spans="1:15" x14ac:dyDescent="0.25">
      <c r="A15554" t="s">
        <v>16</v>
      </c>
      <c r="B15554" t="s">
        <v>3221</v>
      </c>
      <c r="C15554">
        <v>76</v>
      </c>
      <c r="D15554" t="s">
        <v>61</v>
      </c>
      <c r="E15554" t="s">
        <v>62</v>
      </c>
      <c r="F15554">
        <v>54</v>
      </c>
      <c r="G15554">
        <v>221227</v>
      </c>
      <c r="H15554">
        <v>4370</v>
      </c>
      <c r="I15554" t="s">
        <v>25</v>
      </c>
      <c r="J15554">
        <v>66.959999999999994</v>
      </c>
      <c r="K15554">
        <v>12.96</v>
      </c>
      <c r="L15554">
        <v>18971</v>
      </c>
      <c r="M15554" t="s">
        <v>63</v>
      </c>
      <c r="N15554" t="str">
        <f>"2022.1481   "</f>
        <v xml:space="preserve">2022.1481   </v>
      </c>
      <c r="O15554">
        <v>230109</v>
      </c>
    </row>
    <row r="15555" spans="1:15" x14ac:dyDescent="0.25">
      <c r="A15555" t="s">
        <v>16</v>
      </c>
      <c r="B15555" t="s">
        <v>3221</v>
      </c>
      <c r="C15555">
        <v>297</v>
      </c>
      <c r="D15555" t="s">
        <v>61</v>
      </c>
      <c r="E15555" t="s">
        <v>62</v>
      </c>
      <c r="F15555">
        <v>45.61</v>
      </c>
      <c r="G15555">
        <v>221227</v>
      </c>
      <c r="H15555">
        <v>4370</v>
      </c>
      <c r="I15555" t="s">
        <v>25</v>
      </c>
      <c r="J15555">
        <v>56.56</v>
      </c>
      <c r="K15555">
        <v>10.95</v>
      </c>
      <c r="L15555">
        <v>59702</v>
      </c>
      <c r="M15555" t="s">
        <v>328</v>
      </c>
      <c r="N15555" t="str">
        <f>"2022.1535   "</f>
        <v xml:space="preserve">2022.1535   </v>
      </c>
      <c r="O15555">
        <v>230118</v>
      </c>
    </row>
    <row r="15556" spans="1:15" x14ac:dyDescent="0.25">
      <c r="A15556" t="s">
        <v>16</v>
      </c>
      <c r="B15556" t="s">
        <v>3221</v>
      </c>
      <c r="C15556">
        <v>4052</v>
      </c>
      <c r="D15556" t="s">
        <v>61</v>
      </c>
      <c r="E15556" t="s">
        <v>62</v>
      </c>
      <c r="F15556">
        <v>61.49</v>
      </c>
      <c r="G15556">
        <v>230327</v>
      </c>
      <c r="H15556">
        <v>4370</v>
      </c>
      <c r="I15556" t="s">
        <v>25</v>
      </c>
      <c r="J15556">
        <v>76.25</v>
      </c>
      <c r="K15556">
        <v>14.76</v>
      </c>
      <c r="L15556">
        <v>14972</v>
      </c>
      <c r="M15556" t="s">
        <v>898</v>
      </c>
      <c r="N15556" t="str">
        <f>"2023.225    "</f>
        <v xml:space="preserve">2023.225    </v>
      </c>
      <c r="O15556">
        <v>230330</v>
      </c>
    </row>
    <row r="15557" spans="1:15" x14ac:dyDescent="0.25">
      <c r="A15557" t="s">
        <v>16</v>
      </c>
      <c r="B15557" t="s">
        <v>3221</v>
      </c>
      <c r="C15557">
        <v>11086</v>
      </c>
      <c r="D15557" t="s">
        <v>61</v>
      </c>
      <c r="E15557" t="s">
        <v>62</v>
      </c>
      <c r="F15557">
        <v>11.33</v>
      </c>
      <c r="G15557">
        <v>230827</v>
      </c>
      <c r="H15557">
        <v>4370</v>
      </c>
      <c r="I15557" t="s">
        <v>25</v>
      </c>
      <c r="J15557">
        <v>14.05</v>
      </c>
      <c r="K15557">
        <v>2.72</v>
      </c>
      <c r="L15557">
        <v>17971</v>
      </c>
      <c r="M15557" t="s">
        <v>138</v>
      </c>
      <c r="N15557" t="str">
        <f>"2023.790    "</f>
        <v xml:space="preserve">2023.790    </v>
      </c>
      <c r="O15557">
        <v>230830</v>
      </c>
    </row>
    <row r="15558" spans="1:15" x14ac:dyDescent="0.25">
      <c r="A15558" t="s">
        <v>16</v>
      </c>
      <c r="B15558" t="s">
        <v>3221</v>
      </c>
      <c r="C15558">
        <v>11373</v>
      </c>
      <c r="D15558" t="s">
        <v>61</v>
      </c>
      <c r="E15558" t="s">
        <v>62</v>
      </c>
      <c r="F15558">
        <v>17.329999999999998</v>
      </c>
      <c r="G15558">
        <v>230827</v>
      </c>
      <c r="H15558">
        <v>4370</v>
      </c>
      <c r="I15558" t="s">
        <v>25</v>
      </c>
      <c r="J15558">
        <v>21.49</v>
      </c>
      <c r="K15558">
        <v>4.16</v>
      </c>
      <c r="L15558">
        <v>49701</v>
      </c>
      <c r="M15558" t="s">
        <v>166</v>
      </c>
      <c r="N15558" t="str">
        <f>"2023.792    "</f>
        <v xml:space="preserve">2023.792    </v>
      </c>
      <c r="O15558">
        <v>230905</v>
      </c>
    </row>
    <row r="15559" spans="1:15" x14ac:dyDescent="0.25">
      <c r="A15559" t="s">
        <v>16</v>
      </c>
      <c r="B15559" t="s">
        <v>3221</v>
      </c>
      <c r="C15559">
        <v>11386</v>
      </c>
      <c r="D15559" t="s">
        <v>61</v>
      </c>
      <c r="E15559" t="s">
        <v>62</v>
      </c>
      <c r="F15559">
        <v>1.25</v>
      </c>
      <c r="G15559">
        <v>230827</v>
      </c>
      <c r="H15559">
        <v>4370</v>
      </c>
      <c r="I15559" t="s">
        <v>25</v>
      </c>
      <c r="J15559">
        <v>1.55</v>
      </c>
      <c r="K15559">
        <v>0.3</v>
      </c>
      <c r="L15559">
        <v>13501</v>
      </c>
      <c r="M15559" t="s">
        <v>20</v>
      </c>
      <c r="N15559" t="str">
        <f>"2023.791    "</f>
        <v xml:space="preserve">2023.791    </v>
      </c>
      <c r="O15559">
        <v>230905</v>
      </c>
    </row>
    <row r="15560" spans="1:15" x14ac:dyDescent="0.25">
      <c r="A15560" t="s">
        <v>16</v>
      </c>
      <c r="B15560" t="s">
        <v>3221</v>
      </c>
      <c r="C15560">
        <v>11386</v>
      </c>
      <c r="D15560" t="s">
        <v>61</v>
      </c>
      <c r="E15560" t="s">
        <v>62</v>
      </c>
      <c r="F15560">
        <v>10.09</v>
      </c>
      <c r="G15560">
        <v>230827</v>
      </c>
      <c r="H15560">
        <v>4370</v>
      </c>
      <c r="I15560" t="s">
        <v>25</v>
      </c>
      <c r="J15560">
        <v>12.51</v>
      </c>
      <c r="K15560">
        <v>2.42</v>
      </c>
      <c r="L15560">
        <v>17971</v>
      </c>
      <c r="M15560" t="s">
        <v>138</v>
      </c>
      <c r="N15560" t="str">
        <f>"2023.791    "</f>
        <v xml:space="preserve">2023.791    </v>
      </c>
      <c r="O15560">
        <v>230905</v>
      </c>
    </row>
    <row r="15561" spans="1:15" x14ac:dyDescent="0.25">
      <c r="A15561" t="s">
        <v>16</v>
      </c>
      <c r="B15561" t="s">
        <v>3221</v>
      </c>
      <c r="C15561">
        <v>16495</v>
      </c>
      <c r="D15561" t="s">
        <v>61</v>
      </c>
      <c r="E15561" t="s">
        <v>62</v>
      </c>
      <c r="F15561">
        <v>4</v>
      </c>
      <c r="G15561">
        <v>231127</v>
      </c>
      <c r="H15561">
        <v>4370</v>
      </c>
      <c r="I15561" t="s">
        <v>25</v>
      </c>
      <c r="J15561">
        <v>4.96</v>
      </c>
      <c r="K15561">
        <v>0.96</v>
      </c>
      <c r="L15561">
        <v>59701</v>
      </c>
      <c r="M15561" t="s">
        <v>297</v>
      </c>
      <c r="N15561" t="str">
        <f>"2023.1103   "</f>
        <v xml:space="preserve">2023.1103   </v>
      </c>
      <c r="O15561">
        <v>231201</v>
      </c>
    </row>
    <row r="15562" spans="1:15" x14ac:dyDescent="0.25">
      <c r="A15562" t="s">
        <v>16</v>
      </c>
      <c r="B15562" t="s">
        <v>3221</v>
      </c>
      <c r="C15562">
        <v>3572</v>
      </c>
      <c r="D15562" t="s">
        <v>294</v>
      </c>
      <c r="E15562" t="s">
        <v>295</v>
      </c>
      <c r="F15562">
        <v>6.49</v>
      </c>
      <c r="G15562">
        <v>230310</v>
      </c>
      <c r="H15562">
        <v>4341</v>
      </c>
      <c r="I15562" t="s">
        <v>32</v>
      </c>
      <c r="J15562">
        <v>8.0500000000000007</v>
      </c>
      <c r="K15562">
        <v>1.56</v>
      </c>
      <c r="L15562">
        <v>13561</v>
      </c>
      <c r="M15562" t="s">
        <v>246</v>
      </c>
      <c r="N15562" t="str">
        <f>"649275      "</f>
        <v xml:space="preserve">649275      </v>
      </c>
      <c r="O15562">
        <v>230317</v>
      </c>
    </row>
    <row r="15563" spans="1:15" x14ac:dyDescent="0.25">
      <c r="A15563" t="s">
        <v>16</v>
      </c>
      <c r="B15563" t="s">
        <v>3221</v>
      </c>
      <c r="C15563">
        <v>3572</v>
      </c>
      <c r="D15563" t="s">
        <v>294</v>
      </c>
      <c r="E15563" t="s">
        <v>295</v>
      </c>
      <c r="F15563">
        <v>52.51</v>
      </c>
      <c r="G15563">
        <v>230310</v>
      </c>
      <c r="H15563">
        <v>4341</v>
      </c>
      <c r="I15563" t="s">
        <v>32</v>
      </c>
      <c r="J15563">
        <v>65.11</v>
      </c>
      <c r="K15563">
        <v>12.6</v>
      </c>
      <c r="L15563">
        <v>17972</v>
      </c>
      <c r="M15563" t="s">
        <v>248</v>
      </c>
      <c r="N15563" t="str">
        <f>"649275      "</f>
        <v xml:space="preserve">649275      </v>
      </c>
      <c r="O15563">
        <v>230317</v>
      </c>
    </row>
    <row r="15564" spans="1:15" x14ac:dyDescent="0.25">
      <c r="A15564" t="s">
        <v>16</v>
      </c>
      <c r="B15564" t="s">
        <v>3221</v>
      </c>
      <c r="C15564">
        <v>8750</v>
      </c>
      <c r="D15564" t="s">
        <v>294</v>
      </c>
      <c r="E15564" t="s">
        <v>295</v>
      </c>
      <c r="F15564">
        <v>32.450000000000003</v>
      </c>
      <c r="G15564">
        <v>230608</v>
      </c>
      <c r="H15564">
        <v>4341</v>
      </c>
      <c r="I15564" t="s">
        <v>32</v>
      </c>
      <c r="J15564">
        <v>40.24</v>
      </c>
      <c r="K15564">
        <v>7.79</v>
      </c>
      <c r="L15564">
        <v>13561</v>
      </c>
      <c r="M15564" t="s">
        <v>246</v>
      </c>
      <c r="N15564" t="str">
        <f>"650629      "</f>
        <v xml:space="preserve">650629      </v>
      </c>
      <c r="O15564">
        <v>230613</v>
      </c>
    </row>
    <row r="15565" spans="1:15" x14ac:dyDescent="0.25">
      <c r="A15565" t="s">
        <v>16</v>
      </c>
      <c r="B15565" t="s">
        <v>3221</v>
      </c>
      <c r="C15565">
        <v>8750</v>
      </c>
      <c r="D15565" t="s">
        <v>294</v>
      </c>
      <c r="E15565" t="s">
        <v>295</v>
      </c>
      <c r="F15565">
        <v>262.55</v>
      </c>
      <c r="G15565">
        <v>230608</v>
      </c>
      <c r="H15565">
        <v>4341</v>
      </c>
      <c r="I15565" t="s">
        <v>32</v>
      </c>
      <c r="J15565">
        <v>325.56</v>
      </c>
      <c r="K15565">
        <v>63.01</v>
      </c>
      <c r="L15565">
        <v>17971</v>
      </c>
      <c r="M15565" t="s">
        <v>138</v>
      </c>
      <c r="N15565" t="str">
        <f>"650629      "</f>
        <v xml:space="preserve">650629      </v>
      </c>
      <c r="O15565">
        <v>230613</v>
      </c>
    </row>
    <row r="15566" spans="1:15" x14ac:dyDescent="0.25">
      <c r="A15566" t="s">
        <v>16</v>
      </c>
      <c r="B15566" t="s">
        <v>3221</v>
      </c>
      <c r="C15566">
        <v>5233</v>
      </c>
      <c r="D15566" t="s">
        <v>294</v>
      </c>
      <c r="E15566" t="s">
        <v>295</v>
      </c>
      <c r="F15566">
        <v>295</v>
      </c>
      <c r="G15566">
        <v>230413</v>
      </c>
      <c r="H15566">
        <v>4470</v>
      </c>
      <c r="I15566" t="s">
        <v>83</v>
      </c>
      <c r="J15566">
        <v>365.8</v>
      </c>
      <c r="K15566">
        <v>70.8</v>
      </c>
      <c r="L15566">
        <v>49701</v>
      </c>
      <c r="M15566" t="s">
        <v>166</v>
      </c>
      <c r="N15566" t="str">
        <f>"649603      "</f>
        <v xml:space="preserve">649603      </v>
      </c>
      <c r="O15566">
        <v>230419</v>
      </c>
    </row>
    <row r="15567" spans="1:15" x14ac:dyDescent="0.25">
      <c r="A15567" t="s">
        <v>16</v>
      </c>
      <c r="B15567" t="s">
        <v>3221</v>
      </c>
      <c r="C15567">
        <v>186</v>
      </c>
      <c r="D15567" t="s">
        <v>294</v>
      </c>
      <c r="E15567" t="s">
        <v>295</v>
      </c>
      <c r="F15567">
        <v>295</v>
      </c>
      <c r="G15567">
        <v>230111</v>
      </c>
      <c r="H15567">
        <v>4364</v>
      </c>
      <c r="I15567" t="s">
        <v>296</v>
      </c>
      <c r="J15567">
        <v>365.8</v>
      </c>
      <c r="K15567">
        <v>70.8</v>
      </c>
      <c r="L15567">
        <v>59701</v>
      </c>
      <c r="M15567" t="s">
        <v>297</v>
      </c>
      <c r="N15567" t="str">
        <f>"644443      "</f>
        <v xml:space="preserve">644443      </v>
      </c>
      <c r="O15567">
        <v>230116</v>
      </c>
    </row>
    <row r="15568" spans="1:15" x14ac:dyDescent="0.25">
      <c r="A15568" t="s">
        <v>16</v>
      </c>
      <c r="B15568" t="s">
        <v>3221</v>
      </c>
      <c r="C15568">
        <v>5098</v>
      </c>
      <c r="D15568" t="s">
        <v>294</v>
      </c>
      <c r="E15568" t="s">
        <v>295</v>
      </c>
      <c r="F15568">
        <v>221.26</v>
      </c>
      <c r="G15568">
        <v>230413</v>
      </c>
      <c r="H15568">
        <v>4364</v>
      </c>
      <c r="I15568" t="s">
        <v>296</v>
      </c>
      <c r="J15568">
        <v>274.36</v>
      </c>
      <c r="K15568">
        <v>53.1</v>
      </c>
      <c r="L15568">
        <v>14972</v>
      </c>
      <c r="M15568" t="s">
        <v>898</v>
      </c>
      <c r="N15568" t="str">
        <f>"649604      "</f>
        <v xml:space="preserve">649604      </v>
      </c>
      <c r="O15568">
        <v>230418</v>
      </c>
    </row>
    <row r="15569" spans="1:15" x14ac:dyDescent="0.25">
      <c r="A15569" t="s">
        <v>16</v>
      </c>
      <c r="B15569" t="s">
        <v>3221</v>
      </c>
      <c r="C15569">
        <v>5099</v>
      </c>
      <c r="D15569" t="s">
        <v>294</v>
      </c>
      <c r="E15569" t="s">
        <v>295</v>
      </c>
      <c r="F15569">
        <v>44.27</v>
      </c>
      <c r="G15569">
        <v>230413</v>
      </c>
      <c r="H15569">
        <v>4364</v>
      </c>
      <c r="I15569" t="s">
        <v>296</v>
      </c>
      <c r="J15569">
        <v>54.89</v>
      </c>
      <c r="K15569">
        <v>10.62</v>
      </c>
      <c r="L15569">
        <v>14972</v>
      </c>
      <c r="M15569" t="s">
        <v>898</v>
      </c>
      <c r="N15569" t="str">
        <f>"649553      "</f>
        <v xml:space="preserve">649553      </v>
      </c>
      <c r="O15569">
        <v>230418</v>
      </c>
    </row>
    <row r="15570" spans="1:15" x14ac:dyDescent="0.25">
      <c r="A15570" t="s">
        <v>16</v>
      </c>
      <c r="B15570" t="s">
        <v>3221</v>
      </c>
      <c r="C15570">
        <v>6233</v>
      </c>
      <c r="D15570" t="s">
        <v>294</v>
      </c>
      <c r="E15570" t="s">
        <v>295</v>
      </c>
      <c r="F15570">
        <v>295</v>
      </c>
      <c r="G15570">
        <v>230505</v>
      </c>
      <c r="H15570">
        <v>4364</v>
      </c>
      <c r="I15570" t="s">
        <v>296</v>
      </c>
      <c r="J15570">
        <v>365.8</v>
      </c>
      <c r="K15570">
        <v>70.8</v>
      </c>
      <c r="L15570">
        <v>18971</v>
      </c>
      <c r="M15570" t="s">
        <v>63</v>
      </c>
      <c r="N15570" t="str">
        <f>"649954      "</f>
        <v xml:space="preserve">649954      </v>
      </c>
      <c r="O15570">
        <v>230509</v>
      </c>
    </row>
    <row r="15571" spans="1:15" x14ac:dyDescent="0.25">
      <c r="A15571" t="s">
        <v>16</v>
      </c>
      <c r="B15571" t="s">
        <v>3221</v>
      </c>
      <c r="C15571">
        <v>9636</v>
      </c>
      <c r="D15571" t="s">
        <v>294</v>
      </c>
      <c r="E15571" t="s">
        <v>295</v>
      </c>
      <c r="F15571">
        <v>44.27</v>
      </c>
      <c r="G15571">
        <v>230707</v>
      </c>
      <c r="H15571">
        <v>4364</v>
      </c>
      <c r="I15571" t="s">
        <v>296</v>
      </c>
      <c r="J15571">
        <v>54.89</v>
      </c>
      <c r="K15571">
        <v>10.62</v>
      </c>
      <c r="L15571">
        <v>14972</v>
      </c>
      <c r="M15571" t="s">
        <v>898</v>
      </c>
      <c r="N15571" t="str">
        <f>"650853      "</f>
        <v xml:space="preserve">650853      </v>
      </c>
      <c r="O15571">
        <v>230718</v>
      </c>
    </row>
    <row r="15572" spans="1:15" x14ac:dyDescent="0.25">
      <c r="A15572" t="s">
        <v>16</v>
      </c>
      <c r="B15572" t="s">
        <v>3221</v>
      </c>
      <c r="C15572">
        <v>15580</v>
      </c>
      <c r="D15572" t="s">
        <v>294</v>
      </c>
      <c r="E15572" t="s">
        <v>295</v>
      </c>
      <c r="F15572">
        <v>9.81</v>
      </c>
      <c r="G15572">
        <v>231106</v>
      </c>
      <c r="H15572">
        <v>4364</v>
      </c>
      <c r="I15572" t="s">
        <v>296</v>
      </c>
      <c r="J15572">
        <v>12.16</v>
      </c>
      <c r="K15572">
        <v>2.35</v>
      </c>
      <c r="L15572">
        <v>49701</v>
      </c>
      <c r="M15572" t="s">
        <v>166</v>
      </c>
      <c r="N15572" t="str">
        <f>"651985      "</f>
        <v xml:space="preserve">651985      </v>
      </c>
      <c r="O15572">
        <v>231114</v>
      </c>
    </row>
    <row r="15573" spans="1:15" x14ac:dyDescent="0.25">
      <c r="A15573" t="s">
        <v>16</v>
      </c>
      <c r="B15573" t="s">
        <v>3221</v>
      </c>
      <c r="C15573">
        <v>16734</v>
      </c>
      <c r="D15573" t="s">
        <v>294</v>
      </c>
      <c r="E15573" t="s">
        <v>295</v>
      </c>
      <c r="F15573">
        <v>167.2</v>
      </c>
      <c r="G15573">
        <v>231129</v>
      </c>
      <c r="H15573">
        <v>4364</v>
      </c>
      <c r="I15573" t="s">
        <v>296</v>
      </c>
      <c r="J15573">
        <v>167.2</v>
      </c>
      <c r="K15573">
        <v>0</v>
      </c>
      <c r="L15573">
        <v>59702</v>
      </c>
      <c r="M15573" t="s">
        <v>328</v>
      </c>
      <c r="N15573" t="str">
        <f>"652235      "</f>
        <v xml:space="preserve">652235      </v>
      </c>
      <c r="O15573">
        <v>231208</v>
      </c>
    </row>
    <row r="15574" spans="1:15" x14ac:dyDescent="0.25">
      <c r="A15574" t="s">
        <v>16</v>
      </c>
      <c r="B15574" t="s">
        <v>3221</v>
      </c>
      <c r="C15574">
        <v>17125</v>
      </c>
      <c r="D15574" t="s">
        <v>294</v>
      </c>
      <c r="E15574" t="s">
        <v>295</v>
      </c>
      <c r="F15574">
        <v>59</v>
      </c>
      <c r="G15574">
        <v>231205</v>
      </c>
      <c r="H15574">
        <v>4364</v>
      </c>
      <c r="I15574" t="s">
        <v>296</v>
      </c>
      <c r="J15574">
        <v>73.16</v>
      </c>
      <c r="K15574">
        <v>14.16</v>
      </c>
      <c r="L15574">
        <v>59701</v>
      </c>
      <c r="M15574" t="s">
        <v>297</v>
      </c>
      <c r="N15574" t="str">
        <f>"652299      "</f>
        <v xml:space="preserve">652299      </v>
      </c>
      <c r="O15574">
        <v>231212</v>
      </c>
    </row>
    <row r="15575" spans="1:15" x14ac:dyDescent="0.25">
      <c r="A15575" t="s">
        <v>16</v>
      </c>
      <c r="B15575" t="s">
        <v>3221</v>
      </c>
      <c r="C15575">
        <v>6709</v>
      </c>
      <c r="D15575" t="s">
        <v>294</v>
      </c>
      <c r="E15575" t="s">
        <v>295</v>
      </c>
      <c r="F15575">
        <v>157.1</v>
      </c>
      <c r="G15575">
        <v>230511</v>
      </c>
      <c r="H15575">
        <v>4500</v>
      </c>
      <c r="I15575" t="s">
        <v>212</v>
      </c>
      <c r="J15575">
        <v>157.1</v>
      </c>
      <c r="K15575">
        <v>0</v>
      </c>
      <c r="L15575">
        <v>14972</v>
      </c>
      <c r="M15575" t="s">
        <v>898</v>
      </c>
      <c r="N15575" t="str">
        <f>"650003      "</f>
        <v xml:space="preserve">650003      </v>
      </c>
      <c r="O15575">
        <v>230517</v>
      </c>
    </row>
    <row r="15576" spans="1:15" x14ac:dyDescent="0.25">
      <c r="A15576" t="s">
        <v>16</v>
      </c>
      <c r="B15576" t="s">
        <v>3221</v>
      </c>
      <c r="C15576">
        <v>6709</v>
      </c>
      <c r="D15576" t="s">
        <v>294</v>
      </c>
      <c r="E15576" t="s">
        <v>295</v>
      </c>
      <c r="F15576">
        <v>157.1</v>
      </c>
      <c r="G15576">
        <v>230511</v>
      </c>
      <c r="H15576">
        <v>4500</v>
      </c>
      <c r="I15576" t="s">
        <v>212</v>
      </c>
      <c r="J15576">
        <v>157.1</v>
      </c>
      <c r="K15576">
        <v>0</v>
      </c>
      <c r="L15576">
        <v>18972</v>
      </c>
      <c r="M15576" t="s">
        <v>163</v>
      </c>
      <c r="N15576" t="str">
        <f>"650003      "</f>
        <v xml:space="preserve">650003      </v>
      </c>
      <c r="O15576">
        <v>230517</v>
      </c>
    </row>
    <row r="15577" spans="1:15" x14ac:dyDescent="0.25">
      <c r="A15577" t="s">
        <v>16</v>
      </c>
      <c r="B15577" t="s">
        <v>3221</v>
      </c>
      <c r="C15577">
        <v>10307</v>
      </c>
      <c r="D15577" t="s">
        <v>294</v>
      </c>
      <c r="E15577" t="s">
        <v>295</v>
      </c>
      <c r="F15577">
        <v>167.2</v>
      </c>
      <c r="G15577">
        <v>230809</v>
      </c>
      <c r="H15577">
        <v>4500</v>
      </c>
      <c r="I15577" t="s">
        <v>212</v>
      </c>
      <c r="J15577">
        <v>167.2</v>
      </c>
      <c r="K15577">
        <v>0</v>
      </c>
      <c r="L15577">
        <v>49701</v>
      </c>
      <c r="M15577" t="s">
        <v>166</v>
      </c>
      <c r="N15577" t="str">
        <f>"651307      "</f>
        <v xml:space="preserve">651307      </v>
      </c>
      <c r="O15577">
        <v>230814</v>
      </c>
    </row>
    <row r="15578" spans="1:15" x14ac:dyDescent="0.25">
      <c r="A15578" t="s">
        <v>16</v>
      </c>
      <c r="B15578" t="s">
        <v>3221</v>
      </c>
      <c r="C15578">
        <v>972</v>
      </c>
      <c r="D15578" t="s">
        <v>294</v>
      </c>
      <c r="E15578" t="s">
        <v>295</v>
      </c>
      <c r="F15578">
        <v>295</v>
      </c>
      <c r="G15578">
        <v>230111</v>
      </c>
      <c r="H15578">
        <v>4347</v>
      </c>
      <c r="I15578" t="s">
        <v>193</v>
      </c>
      <c r="J15578">
        <v>365.8</v>
      </c>
      <c r="K15578">
        <v>70.8</v>
      </c>
      <c r="L15578">
        <v>59701</v>
      </c>
      <c r="M15578" t="s">
        <v>297</v>
      </c>
      <c r="N15578" t="str">
        <f>"644442      "</f>
        <v xml:space="preserve">644442      </v>
      </c>
      <c r="O15578">
        <v>230202</v>
      </c>
    </row>
    <row r="15579" spans="1:15" x14ac:dyDescent="0.25">
      <c r="A15579" t="s">
        <v>16</v>
      </c>
      <c r="B15579" t="s">
        <v>3221</v>
      </c>
      <c r="C15579">
        <v>1959</v>
      </c>
      <c r="D15579" t="s">
        <v>294</v>
      </c>
      <c r="E15579" t="s">
        <v>295</v>
      </c>
      <c r="F15579">
        <v>59</v>
      </c>
      <c r="G15579">
        <v>230214</v>
      </c>
      <c r="H15579">
        <v>4347</v>
      </c>
      <c r="I15579" t="s">
        <v>193</v>
      </c>
      <c r="J15579">
        <v>73.16</v>
      </c>
      <c r="K15579">
        <v>14.16</v>
      </c>
      <c r="L15579">
        <v>17971</v>
      </c>
      <c r="M15579" t="s">
        <v>138</v>
      </c>
      <c r="N15579" t="str">
        <f>"649026      "</f>
        <v xml:space="preserve">649026      </v>
      </c>
      <c r="O15579">
        <v>230216</v>
      </c>
    </row>
    <row r="15580" spans="1:15" x14ac:dyDescent="0.25">
      <c r="A15580" t="s">
        <v>16</v>
      </c>
      <c r="B15580" t="s">
        <v>3221</v>
      </c>
      <c r="C15580">
        <v>2203</v>
      </c>
      <c r="D15580" t="s">
        <v>294</v>
      </c>
      <c r="E15580" t="s">
        <v>295</v>
      </c>
      <c r="F15580">
        <v>59</v>
      </c>
      <c r="G15580">
        <v>230214</v>
      </c>
      <c r="H15580">
        <v>4347</v>
      </c>
      <c r="I15580" t="s">
        <v>193</v>
      </c>
      <c r="J15580">
        <v>73.16</v>
      </c>
      <c r="K15580">
        <v>14.16</v>
      </c>
      <c r="L15580">
        <v>17971</v>
      </c>
      <c r="M15580" t="s">
        <v>138</v>
      </c>
      <c r="N15580" t="str">
        <f>"649025      "</f>
        <v xml:space="preserve">649025      </v>
      </c>
      <c r="O15580">
        <v>230222</v>
      </c>
    </row>
    <row r="15581" spans="1:15" x14ac:dyDescent="0.25">
      <c r="A15581" t="s">
        <v>16</v>
      </c>
      <c r="B15581" t="s">
        <v>3221</v>
      </c>
      <c r="C15581">
        <v>6671</v>
      </c>
      <c r="D15581" t="s">
        <v>294</v>
      </c>
      <c r="E15581" t="s">
        <v>295</v>
      </c>
      <c r="F15581">
        <v>29.5</v>
      </c>
      <c r="G15581">
        <v>230505</v>
      </c>
      <c r="H15581">
        <v>4347</v>
      </c>
      <c r="I15581" t="s">
        <v>193</v>
      </c>
      <c r="J15581">
        <v>36.58</v>
      </c>
      <c r="K15581">
        <v>7.08</v>
      </c>
      <c r="L15581">
        <v>11101</v>
      </c>
      <c r="M15581" t="s">
        <v>110</v>
      </c>
      <c r="N15581" t="str">
        <f>"649955      "</f>
        <v xml:space="preserve">649955      </v>
      </c>
      <c r="O15581">
        <v>230517</v>
      </c>
    </row>
    <row r="15582" spans="1:15" x14ac:dyDescent="0.25">
      <c r="A15582" t="s">
        <v>16</v>
      </c>
      <c r="B15582" t="s">
        <v>3221</v>
      </c>
      <c r="C15582">
        <v>6671</v>
      </c>
      <c r="D15582" t="s">
        <v>294</v>
      </c>
      <c r="E15582" t="s">
        <v>295</v>
      </c>
      <c r="F15582">
        <v>29.5</v>
      </c>
      <c r="G15582">
        <v>230505</v>
      </c>
      <c r="H15582">
        <v>4347</v>
      </c>
      <c r="I15582" t="s">
        <v>193</v>
      </c>
      <c r="J15582">
        <v>36.58</v>
      </c>
      <c r="K15582">
        <v>7.08</v>
      </c>
      <c r="L15582">
        <v>13801</v>
      </c>
      <c r="M15582" t="s">
        <v>162</v>
      </c>
      <c r="N15582" t="str">
        <f>"649955      "</f>
        <v xml:space="preserve">649955      </v>
      </c>
      <c r="O15582">
        <v>230517</v>
      </c>
    </row>
    <row r="15583" spans="1:15" x14ac:dyDescent="0.25">
      <c r="A15583" t="s">
        <v>16</v>
      </c>
      <c r="B15583" t="s">
        <v>3221</v>
      </c>
      <c r="C15583">
        <v>6671</v>
      </c>
      <c r="D15583" t="s">
        <v>294</v>
      </c>
      <c r="E15583" t="s">
        <v>295</v>
      </c>
      <c r="F15583">
        <v>88.5</v>
      </c>
      <c r="G15583">
        <v>230505</v>
      </c>
      <c r="H15583">
        <v>4347</v>
      </c>
      <c r="I15583" t="s">
        <v>193</v>
      </c>
      <c r="J15583">
        <v>109.74</v>
      </c>
      <c r="K15583">
        <v>21.24</v>
      </c>
      <c r="L15583">
        <v>17972</v>
      </c>
      <c r="M15583" t="s">
        <v>248</v>
      </c>
      <c r="N15583" t="str">
        <f>"649955      "</f>
        <v xml:space="preserve">649955      </v>
      </c>
      <c r="O15583">
        <v>230517</v>
      </c>
    </row>
    <row r="15584" spans="1:15" x14ac:dyDescent="0.25">
      <c r="A15584" t="s">
        <v>16</v>
      </c>
      <c r="B15584" t="s">
        <v>3221</v>
      </c>
      <c r="C15584">
        <v>8726</v>
      </c>
      <c r="D15584" t="s">
        <v>294</v>
      </c>
      <c r="E15584" t="s">
        <v>295</v>
      </c>
      <c r="F15584">
        <v>172.48</v>
      </c>
      <c r="G15584">
        <v>230608</v>
      </c>
      <c r="H15584">
        <v>4347</v>
      </c>
      <c r="I15584" t="s">
        <v>193</v>
      </c>
      <c r="J15584">
        <v>213.88</v>
      </c>
      <c r="K15584">
        <v>41.4</v>
      </c>
      <c r="L15584">
        <v>17971</v>
      </c>
      <c r="M15584" t="s">
        <v>138</v>
      </c>
      <c r="N15584" t="str">
        <f>"650630      "</f>
        <v xml:space="preserve">650630      </v>
      </c>
      <c r="O15584">
        <v>230613</v>
      </c>
    </row>
    <row r="15585" spans="1:15" x14ac:dyDescent="0.25">
      <c r="A15585" t="s">
        <v>16</v>
      </c>
      <c r="B15585" t="s">
        <v>3221</v>
      </c>
      <c r="C15585">
        <v>9157</v>
      </c>
      <c r="D15585" t="s">
        <v>2263</v>
      </c>
      <c r="E15585" t="s">
        <v>2264</v>
      </c>
      <c r="F15585">
        <v>95</v>
      </c>
      <c r="G15585">
        <v>230622</v>
      </c>
      <c r="H15585">
        <v>4470</v>
      </c>
      <c r="I15585" t="s">
        <v>83</v>
      </c>
      <c r="J15585">
        <v>117.8</v>
      </c>
      <c r="K15585">
        <v>22.8</v>
      </c>
      <c r="L15585">
        <v>66758</v>
      </c>
      <c r="M15585" t="s">
        <v>2200</v>
      </c>
      <c r="N15585" t="str">
        <f>"17444       "</f>
        <v xml:space="preserve">17444       </v>
      </c>
      <c r="O15585">
        <v>230629</v>
      </c>
    </row>
    <row r="15586" spans="1:15" x14ac:dyDescent="0.25">
      <c r="A15586" t="s">
        <v>16</v>
      </c>
      <c r="B15586" t="s">
        <v>3221</v>
      </c>
      <c r="C15586">
        <v>6568</v>
      </c>
      <c r="D15586" t="s">
        <v>1984</v>
      </c>
      <c r="E15586" t="s">
        <v>1985</v>
      </c>
      <c r="F15586">
        <v>354</v>
      </c>
      <c r="G15586">
        <v>230510</v>
      </c>
      <c r="H15586">
        <v>4441</v>
      </c>
      <c r="I15586" t="s">
        <v>109</v>
      </c>
      <c r="J15586">
        <v>438.96</v>
      </c>
      <c r="K15586">
        <v>84.96</v>
      </c>
      <c r="L15586">
        <v>13561</v>
      </c>
      <c r="M15586" t="s">
        <v>246</v>
      </c>
      <c r="N15586" t="str">
        <f>"6023050015  "</f>
        <v xml:space="preserve">6023050015  </v>
      </c>
      <c r="O15586">
        <v>230515</v>
      </c>
    </row>
    <row r="15587" spans="1:15" x14ac:dyDescent="0.25">
      <c r="A15587" t="s">
        <v>16</v>
      </c>
      <c r="B15587" t="s">
        <v>3221</v>
      </c>
      <c r="C15587">
        <v>1617</v>
      </c>
      <c r="D15587" t="s">
        <v>1101</v>
      </c>
      <c r="E15587" t="s">
        <v>1102</v>
      </c>
      <c r="F15587">
        <v>3000</v>
      </c>
      <c r="G15587">
        <v>230209</v>
      </c>
      <c r="H15587">
        <v>4350</v>
      </c>
      <c r="I15587" t="s">
        <v>546</v>
      </c>
      <c r="J15587">
        <v>3720</v>
      </c>
      <c r="K15587">
        <v>720</v>
      </c>
      <c r="L15587">
        <v>17972</v>
      </c>
      <c r="M15587" t="s">
        <v>248</v>
      </c>
      <c r="N15587" t="str">
        <f>"9788        "</f>
        <v xml:space="preserve">9788        </v>
      </c>
      <c r="O15587">
        <v>230210</v>
      </c>
    </row>
    <row r="15588" spans="1:15" x14ac:dyDescent="0.25">
      <c r="A15588" t="s">
        <v>16</v>
      </c>
      <c r="B15588" t="s">
        <v>3221</v>
      </c>
      <c r="C15588">
        <v>2842</v>
      </c>
      <c r="D15588" t="s">
        <v>1101</v>
      </c>
      <c r="E15588" t="s">
        <v>1102</v>
      </c>
      <c r="F15588">
        <v>1664</v>
      </c>
      <c r="G15588">
        <v>230224</v>
      </c>
      <c r="H15588">
        <v>4350</v>
      </c>
      <c r="I15588" t="s">
        <v>546</v>
      </c>
      <c r="J15588">
        <v>2063.36</v>
      </c>
      <c r="K15588">
        <v>399.36</v>
      </c>
      <c r="L15588">
        <v>17972</v>
      </c>
      <c r="M15588" t="s">
        <v>248</v>
      </c>
      <c r="N15588" t="str">
        <f>"9794        "</f>
        <v xml:space="preserve">9794        </v>
      </c>
      <c r="O15588">
        <v>230308</v>
      </c>
    </row>
    <row r="15589" spans="1:15" x14ac:dyDescent="0.25">
      <c r="A15589" t="s">
        <v>16</v>
      </c>
      <c r="B15589" t="s">
        <v>3221</v>
      </c>
      <c r="C15589">
        <v>6101</v>
      </c>
      <c r="D15589" t="s">
        <v>1101</v>
      </c>
      <c r="E15589" t="s">
        <v>1102</v>
      </c>
      <c r="F15589">
        <v>1935</v>
      </c>
      <c r="G15589">
        <v>230505</v>
      </c>
      <c r="H15589">
        <v>4350</v>
      </c>
      <c r="I15589" t="s">
        <v>546</v>
      </c>
      <c r="J15589">
        <v>2399.4</v>
      </c>
      <c r="K15589">
        <v>464.4</v>
      </c>
      <c r="L15589">
        <v>17972</v>
      </c>
      <c r="M15589" t="s">
        <v>248</v>
      </c>
      <c r="N15589" t="str">
        <f>"9903        "</f>
        <v xml:space="preserve">9903        </v>
      </c>
      <c r="O15589">
        <v>230508</v>
      </c>
    </row>
    <row r="15590" spans="1:15" x14ac:dyDescent="0.25">
      <c r="A15590" t="s">
        <v>16</v>
      </c>
      <c r="B15590" t="s">
        <v>3221</v>
      </c>
      <c r="C15590">
        <v>8669</v>
      </c>
      <c r="D15590" t="s">
        <v>1101</v>
      </c>
      <c r="E15590" t="s">
        <v>1102</v>
      </c>
      <c r="F15590">
        <v>1664</v>
      </c>
      <c r="G15590">
        <v>230609</v>
      </c>
      <c r="H15590">
        <v>4350</v>
      </c>
      <c r="I15590" t="s">
        <v>546</v>
      </c>
      <c r="J15590">
        <v>2063.36</v>
      </c>
      <c r="K15590">
        <v>399.36</v>
      </c>
      <c r="L15590">
        <v>17538</v>
      </c>
      <c r="M15590" t="s">
        <v>24</v>
      </c>
      <c r="N15590" t="str">
        <f>"9962        "</f>
        <v xml:space="preserve">9962        </v>
      </c>
      <c r="O15590">
        <v>230613</v>
      </c>
    </row>
    <row r="15591" spans="1:15" x14ac:dyDescent="0.25">
      <c r="A15591" t="s">
        <v>16</v>
      </c>
      <c r="B15591" t="s">
        <v>3221</v>
      </c>
      <c r="C15591">
        <v>10566</v>
      </c>
      <c r="D15591" t="s">
        <v>1101</v>
      </c>
      <c r="E15591" t="s">
        <v>1102</v>
      </c>
      <c r="F15591">
        <v>1664</v>
      </c>
      <c r="G15591">
        <v>230811</v>
      </c>
      <c r="H15591">
        <v>4350</v>
      </c>
      <c r="I15591" t="s">
        <v>546</v>
      </c>
      <c r="J15591">
        <v>2063.36</v>
      </c>
      <c r="K15591">
        <v>399.36</v>
      </c>
      <c r="L15591">
        <v>17538</v>
      </c>
      <c r="M15591" t="s">
        <v>24</v>
      </c>
      <c r="N15591" t="str">
        <f>"10019       "</f>
        <v xml:space="preserve">10019       </v>
      </c>
      <c r="O15591">
        <v>230818</v>
      </c>
    </row>
    <row r="15592" spans="1:15" x14ac:dyDescent="0.25">
      <c r="A15592" t="s">
        <v>16</v>
      </c>
      <c r="B15592" t="s">
        <v>3221</v>
      </c>
      <c r="C15592">
        <v>10626</v>
      </c>
      <c r="D15592" t="s">
        <v>1101</v>
      </c>
      <c r="E15592" t="s">
        <v>1102</v>
      </c>
      <c r="F15592">
        <v>3000</v>
      </c>
      <c r="G15592">
        <v>230811</v>
      </c>
      <c r="H15592">
        <v>4350</v>
      </c>
      <c r="I15592" t="s">
        <v>546</v>
      </c>
      <c r="J15592">
        <v>3720</v>
      </c>
      <c r="K15592">
        <v>720</v>
      </c>
      <c r="L15592">
        <v>17538</v>
      </c>
      <c r="M15592" t="s">
        <v>24</v>
      </c>
      <c r="N15592" t="str">
        <f>"10020       "</f>
        <v xml:space="preserve">10020       </v>
      </c>
      <c r="O15592">
        <v>230821</v>
      </c>
    </row>
    <row r="15593" spans="1:15" x14ac:dyDescent="0.25">
      <c r="A15593" t="s">
        <v>16</v>
      </c>
      <c r="B15593" t="s">
        <v>3221</v>
      </c>
      <c r="C15593">
        <v>14032</v>
      </c>
      <c r="D15593" t="s">
        <v>1101</v>
      </c>
      <c r="E15593" t="s">
        <v>1102</v>
      </c>
      <c r="F15593">
        <v>1935</v>
      </c>
      <c r="G15593">
        <v>231013</v>
      </c>
      <c r="H15593">
        <v>4350</v>
      </c>
      <c r="I15593" t="s">
        <v>546</v>
      </c>
      <c r="J15593">
        <v>2399.4</v>
      </c>
      <c r="K15593">
        <v>464.4</v>
      </c>
      <c r="L15593">
        <v>17538</v>
      </c>
      <c r="M15593" t="s">
        <v>24</v>
      </c>
      <c r="N15593" t="str">
        <f>"10070       "</f>
        <v xml:space="preserve">10070       </v>
      </c>
      <c r="O15593">
        <v>231017</v>
      </c>
    </row>
    <row r="15594" spans="1:15" x14ac:dyDescent="0.25">
      <c r="A15594" t="s">
        <v>16</v>
      </c>
      <c r="B15594" t="s">
        <v>3221</v>
      </c>
      <c r="C15594">
        <v>2369</v>
      </c>
      <c r="D15594" t="s">
        <v>1369</v>
      </c>
      <c r="E15594" t="s">
        <v>940</v>
      </c>
      <c r="F15594">
        <v>392</v>
      </c>
      <c r="G15594">
        <v>230215</v>
      </c>
      <c r="H15594">
        <v>4580</v>
      </c>
      <c r="I15594" t="s">
        <v>35</v>
      </c>
      <c r="J15594">
        <v>486.08</v>
      </c>
      <c r="K15594">
        <v>94.08</v>
      </c>
      <c r="L15594">
        <v>44423</v>
      </c>
      <c r="M15594" t="s">
        <v>502</v>
      </c>
      <c r="N15594" t="str">
        <f>"3011777     "</f>
        <v xml:space="preserve">3011777     </v>
      </c>
      <c r="O15594">
        <v>230224</v>
      </c>
    </row>
    <row r="15595" spans="1:15" x14ac:dyDescent="0.25">
      <c r="A15595" t="s">
        <v>16</v>
      </c>
      <c r="B15595" t="s">
        <v>3221</v>
      </c>
      <c r="C15595">
        <v>15443</v>
      </c>
      <c r="D15595" t="s">
        <v>111</v>
      </c>
      <c r="E15595" t="s">
        <v>112</v>
      </c>
      <c r="F15595">
        <v>400</v>
      </c>
      <c r="G15595">
        <v>231109</v>
      </c>
      <c r="H15595">
        <v>4420</v>
      </c>
      <c r="I15595" t="s">
        <v>132</v>
      </c>
      <c r="J15595">
        <v>496</v>
      </c>
      <c r="K15595">
        <v>96</v>
      </c>
      <c r="L15595">
        <v>17951</v>
      </c>
      <c r="M15595" t="s">
        <v>87</v>
      </c>
      <c r="N15595" t="str">
        <f>"361         "</f>
        <v xml:space="preserve">361         </v>
      </c>
      <c r="O15595">
        <v>231113</v>
      </c>
    </row>
    <row r="15596" spans="1:15" x14ac:dyDescent="0.25">
      <c r="A15596" t="s">
        <v>16</v>
      </c>
      <c r="B15596" t="s">
        <v>3221</v>
      </c>
      <c r="C15596">
        <v>6841</v>
      </c>
      <c r="D15596" t="s">
        <v>111</v>
      </c>
      <c r="E15596" t="s">
        <v>112</v>
      </c>
      <c r="F15596">
        <v>300</v>
      </c>
      <c r="G15596">
        <v>230516</v>
      </c>
      <c r="H15596">
        <v>4860</v>
      </c>
      <c r="I15596" t="s">
        <v>28</v>
      </c>
      <c r="J15596">
        <v>372</v>
      </c>
      <c r="K15596">
        <v>72</v>
      </c>
      <c r="L15596">
        <v>17808</v>
      </c>
      <c r="M15596" t="s">
        <v>322</v>
      </c>
      <c r="N15596" t="str">
        <f>"283         "</f>
        <v xml:space="preserve">283         </v>
      </c>
      <c r="O15596">
        <v>230522</v>
      </c>
    </row>
    <row r="15597" spans="1:15" x14ac:dyDescent="0.25">
      <c r="A15597" t="s">
        <v>16</v>
      </c>
      <c r="B15597" t="s">
        <v>3221</v>
      </c>
      <c r="C15597">
        <v>99</v>
      </c>
      <c r="D15597" t="s">
        <v>111</v>
      </c>
      <c r="E15597" t="s">
        <v>112</v>
      </c>
      <c r="F15597">
        <v>185</v>
      </c>
      <c r="G15597">
        <v>230102</v>
      </c>
      <c r="H15597">
        <v>4380</v>
      </c>
      <c r="I15597" t="s">
        <v>113</v>
      </c>
      <c r="J15597">
        <v>229.4</v>
      </c>
      <c r="K15597">
        <v>44.4</v>
      </c>
      <c r="L15597">
        <v>17951</v>
      </c>
      <c r="M15597" t="s">
        <v>87</v>
      </c>
      <c r="N15597" t="str">
        <f>"227         "</f>
        <v xml:space="preserve">227         </v>
      </c>
      <c r="O15597">
        <v>230110</v>
      </c>
    </row>
    <row r="15598" spans="1:15" x14ac:dyDescent="0.25">
      <c r="A15598" t="s">
        <v>16</v>
      </c>
      <c r="B15598" t="s">
        <v>3221</v>
      </c>
      <c r="C15598">
        <v>2069</v>
      </c>
      <c r="D15598" t="s">
        <v>111</v>
      </c>
      <c r="E15598" t="s">
        <v>112</v>
      </c>
      <c r="F15598">
        <v>590</v>
      </c>
      <c r="G15598">
        <v>230215</v>
      </c>
      <c r="H15598">
        <v>4380</v>
      </c>
      <c r="I15598" t="s">
        <v>113</v>
      </c>
      <c r="J15598">
        <v>731.6</v>
      </c>
      <c r="K15598">
        <v>141.6</v>
      </c>
      <c r="L15598">
        <v>17806</v>
      </c>
      <c r="M15598" t="s">
        <v>265</v>
      </c>
      <c r="N15598" t="str">
        <f>"251         "</f>
        <v xml:space="preserve">251         </v>
      </c>
      <c r="O15598">
        <v>230220</v>
      </c>
    </row>
    <row r="15599" spans="1:15" x14ac:dyDescent="0.25">
      <c r="A15599" t="s">
        <v>16</v>
      </c>
      <c r="B15599" t="s">
        <v>3221</v>
      </c>
      <c r="C15599">
        <v>3428</v>
      </c>
      <c r="D15599" t="s">
        <v>111</v>
      </c>
      <c r="E15599" t="s">
        <v>112</v>
      </c>
      <c r="F15599">
        <v>185</v>
      </c>
      <c r="G15599">
        <v>230311</v>
      </c>
      <c r="H15599">
        <v>4380</v>
      </c>
      <c r="I15599" t="s">
        <v>113</v>
      </c>
      <c r="J15599">
        <v>229.4</v>
      </c>
      <c r="K15599">
        <v>44.4</v>
      </c>
      <c r="L15599">
        <v>17951</v>
      </c>
      <c r="M15599" t="s">
        <v>87</v>
      </c>
      <c r="N15599" t="str">
        <f>"255         "</f>
        <v xml:space="preserve">255         </v>
      </c>
      <c r="O15599">
        <v>230315</v>
      </c>
    </row>
    <row r="15600" spans="1:15" x14ac:dyDescent="0.25">
      <c r="A15600" t="s">
        <v>16</v>
      </c>
      <c r="B15600" t="s">
        <v>3221</v>
      </c>
      <c r="C15600">
        <v>6841</v>
      </c>
      <c r="D15600" t="s">
        <v>111</v>
      </c>
      <c r="E15600" t="s">
        <v>112</v>
      </c>
      <c r="F15600">
        <v>90</v>
      </c>
      <c r="G15600">
        <v>230516</v>
      </c>
      <c r="H15600">
        <v>4380</v>
      </c>
      <c r="I15600" t="s">
        <v>113</v>
      </c>
      <c r="J15600">
        <v>111.6</v>
      </c>
      <c r="K15600">
        <v>21.6</v>
      </c>
      <c r="L15600">
        <v>17808</v>
      </c>
      <c r="M15600" t="s">
        <v>322</v>
      </c>
      <c r="N15600" t="str">
        <f>"283         "</f>
        <v xml:space="preserve">283         </v>
      </c>
      <c r="O15600">
        <v>230522</v>
      </c>
    </row>
    <row r="15601" spans="1:15" x14ac:dyDescent="0.25">
      <c r="A15601" t="s">
        <v>16</v>
      </c>
      <c r="B15601" t="s">
        <v>3221</v>
      </c>
      <c r="C15601">
        <v>15443</v>
      </c>
      <c r="D15601" t="s">
        <v>111</v>
      </c>
      <c r="E15601" t="s">
        <v>112</v>
      </c>
      <c r="F15601">
        <v>460</v>
      </c>
      <c r="G15601">
        <v>231109</v>
      </c>
      <c r="H15601">
        <v>4380</v>
      </c>
      <c r="I15601" t="s">
        <v>113</v>
      </c>
      <c r="J15601">
        <v>570.4</v>
      </c>
      <c r="K15601">
        <v>110.4</v>
      </c>
      <c r="L15601">
        <v>17951</v>
      </c>
      <c r="M15601" t="s">
        <v>87</v>
      </c>
      <c r="N15601" t="str">
        <f>"361         "</f>
        <v xml:space="preserve">361         </v>
      </c>
      <c r="O15601">
        <v>231113</v>
      </c>
    </row>
    <row r="15602" spans="1:15" x14ac:dyDescent="0.25">
      <c r="A15602" t="s">
        <v>16</v>
      </c>
      <c r="B15602" t="s">
        <v>3221</v>
      </c>
      <c r="C15602">
        <v>15026</v>
      </c>
      <c r="D15602" t="s">
        <v>2838</v>
      </c>
      <c r="E15602" t="s">
        <v>2839</v>
      </c>
      <c r="F15602">
        <v>300</v>
      </c>
      <c r="G15602">
        <v>231102</v>
      </c>
      <c r="H15602">
        <v>4440</v>
      </c>
      <c r="I15602" t="s">
        <v>250</v>
      </c>
      <c r="J15602">
        <v>372</v>
      </c>
      <c r="K15602">
        <v>72</v>
      </c>
      <c r="L15602">
        <v>16930</v>
      </c>
      <c r="M15602" t="s">
        <v>450</v>
      </c>
      <c r="N15602" t="str">
        <f>"482         "</f>
        <v xml:space="preserve">482         </v>
      </c>
      <c r="O15602">
        <v>231108</v>
      </c>
    </row>
    <row r="15603" spans="1:15" x14ac:dyDescent="0.25">
      <c r="A15603" t="s">
        <v>16</v>
      </c>
      <c r="B15603" t="s">
        <v>3221</v>
      </c>
      <c r="C15603">
        <v>15402</v>
      </c>
      <c r="D15603" t="s">
        <v>2866</v>
      </c>
      <c r="E15603" t="s">
        <v>2867</v>
      </c>
      <c r="F15603">
        <v>10.53</v>
      </c>
      <c r="G15603">
        <v>231107</v>
      </c>
      <c r="H15603">
        <v>4410</v>
      </c>
      <c r="I15603" t="s">
        <v>517</v>
      </c>
      <c r="J15603">
        <v>12</v>
      </c>
      <c r="K15603">
        <v>1.47</v>
      </c>
      <c r="L15603">
        <v>69704</v>
      </c>
      <c r="M15603" t="s">
        <v>325</v>
      </c>
      <c r="N15603" t="str">
        <f>"2643        "</f>
        <v xml:space="preserve">2643        </v>
      </c>
      <c r="O15603">
        <v>231113</v>
      </c>
    </row>
    <row r="15604" spans="1:15" x14ac:dyDescent="0.25">
      <c r="A15604" t="s">
        <v>16</v>
      </c>
      <c r="B15604" t="s">
        <v>3221</v>
      </c>
      <c r="C15604">
        <v>15402</v>
      </c>
      <c r="D15604" t="s">
        <v>2866</v>
      </c>
      <c r="E15604" t="s">
        <v>2867</v>
      </c>
      <c r="F15604">
        <v>200</v>
      </c>
      <c r="G15604">
        <v>231107</v>
      </c>
      <c r="H15604">
        <v>4410</v>
      </c>
      <c r="I15604" t="s">
        <v>517</v>
      </c>
      <c r="J15604">
        <v>228</v>
      </c>
      <c r="K15604">
        <v>28</v>
      </c>
      <c r="L15604">
        <v>69704</v>
      </c>
      <c r="M15604" t="s">
        <v>325</v>
      </c>
      <c r="N15604" t="str">
        <f>"2643        "</f>
        <v xml:space="preserve">2643        </v>
      </c>
      <c r="O15604">
        <v>231113</v>
      </c>
    </row>
    <row r="15605" spans="1:15" x14ac:dyDescent="0.25">
      <c r="A15605" t="s">
        <v>16</v>
      </c>
      <c r="B15605" t="s">
        <v>3221</v>
      </c>
      <c r="C15605">
        <v>520</v>
      </c>
      <c r="D15605" t="s">
        <v>531</v>
      </c>
      <c r="E15605" t="s">
        <v>532</v>
      </c>
      <c r="F15605">
        <v>67.400000000000006</v>
      </c>
      <c r="G15605">
        <v>230117</v>
      </c>
      <c r="H15605">
        <v>4600</v>
      </c>
      <c r="I15605" t="s">
        <v>105</v>
      </c>
      <c r="J15605">
        <v>83.58</v>
      </c>
      <c r="K15605">
        <v>16.18</v>
      </c>
      <c r="L15605">
        <v>17523</v>
      </c>
      <c r="M15605" t="s">
        <v>134</v>
      </c>
      <c r="N15605" t="str">
        <f>"810         "</f>
        <v xml:space="preserve">810         </v>
      </c>
      <c r="O15605">
        <v>230124</v>
      </c>
    </row>
    <row r="15606" spans="1:15" x14ac:dyDescent="0.25">
      <c r="A15606" t="s">
        <v>16</v>
      </c>
      <c r="B15606" t="s">
        <v>3221</v>
      </c>
      <c r="C15606">
        <v>524</v>
      </c>
      <c r="D15606" t="s">
        <v>531</v>
      </c>
      <c r="E15606" t="s">
        <v>532</v>
      </c>
      <c r="F15606">
        <v>87.7</v>
      </c>
      <c r="G15606">
        <v>230119</v>
      </c>
      <c r="H15606">
        <v>4600</v>
      </c>
      <c r="I15606" t="s">
        <v>105</v>
      </c>
      <c r="J15606">
        <v>108.75</v>
      </c>
      <c r="K15606">
        <v>21.05</v>
      </c>
      <c r="L15606">
        <v>17523</v>
      </c>
      <c r="M15606" t="s">
        <v>134</v>
      </c>
      <c r="N15606" t="str">
        <f>"836         "</f>
        <v xml:space="preserve">836         </v>
      </c>
      <c r="O15606">
        <v>230124</v>
      </c>
    </row>
    <row r="15607" spans="1:15" x14ac:dyDescent="0.25">
      <c r="A15607" t="s">
        <v>16</v>
      </c>
      <c r="B15607" t="s">
        <v>3221</v>
      </c>
      <c r="C15607">
        <v>425</v>
      </c>
      <c r="D15607" t="s">
        <v>531</v>
      </c>
      <c r="E15607" t="s">
        <v>532</v>
      </c>
      <c r="F15607">
        <v>553.63</v>
      </c>
      <c r="G15607">
        <v>230119</v>
      </c>
      <c r="H15607">
        <v>4590</v>
      </c>
      <c r="I15607" t="s">
        <v>203</v>
      </c>
      <c r="J15607">
        <v>686.5</v>
      </c>
      <c r="K15607">
        <v>132.87</v>
      </c>
      <c r="L15607">
        <v>56561</v>
      </c>
      <c r="M15607" t="s">
        <v>358</v>
      </c>
      <c r="N15607" t="str">
        <f>"839         "</f>
        <v xml:space="preserve">839         </v>
      </c>
      <c r="O15607">
        <v>230123</v>
      </c>
    </row>
    <row r="15608" spans="1:15" x14ac:dyDescent="0.25">
      <c r="A15608" t="s">
        <v>16</v>
      </c>
      <c r="B15608" t="s">
        <v>3221</v>
      </c>
      <c r="C15608">
        <v>601</v>
      </c>
      <c r="D15608" t="s">
        <v>531</v>
      </c>
      <c r="E15608" t="s">
        <v>532</v>
      </c>
      <c r="F15608">
        <v>470</v>
      </c>
      <c r="G15608">
        <v>230124</v>
      </c>
      <c r="H15608">
        <v>4590</v>
      </c>
      <c r="I15608" t="s">
        <v>203</v>
      </c>
      <c r="J15608">
        <v>582.79999999999995</v>
      </c>
      <c r="K15608">
        <v>112.8</v>
      </c>
      <c r="L15608">
        <v>56561</v>
      </c>
      <c r="M15608" t="s">
        <v>358</v>
      </c>
      <c r="N15608" t="str">
        <f>"886         "</f>
        <v xml:space="preserve">886         </v>
      </c>
      <c r="O15608">
        <v>230125</v>
      </c>
    </row>
    <row r="15609" spans="1:15" x14ac:dyDescent="0.25">
      <c r="A15609" t="s">
        <v>16</v>
      </c>
      <c r="B15609" t="s">
        <v>3221</v>
      </c>
      <c r="C15609">
        <v>783</v>
      </c>
      <c r="D15609" t="s">
        <v>531</v>
      </c>
      <c r="E15609" t="s">
        <v>532</v>
      </c>
      <c r="F15609">
        <v>177.71</v>
      </c>
      <c r="G15609">
        <v>230126</v>
      </c>
      <c r="H15609">
        <v>4590</v>
      </c>
      <c r="I15609" t="s">
        <v>203</v>
      </c>
      <c r="J15609">
        <v>220.36</v>
      </c>
      <c r="K15609">
        <v>42.65</v>
      </c>
      <c r="L15609">
        <v>56561</v>
      </c>
      <c r="M15609" t="s">
        <v>358</v>
      </c>
      <c r="N15609" t="str">
        <f>"930         "</f>
        <v xml:space="preserve">930         </v>
      </c>
      <c r="O15609">
        <v>230130</v>
      </c>
    </row>
    <row r="15610" spans="1:15" x14ac:dyDescent="0.25">
      <c r="A15610" t="s">
        <v>16</v>
      </c>
      <c r="B15610" t="s">
        <v>3221</v>
      </c>
      <c r="C15610">
        <v>6637</v>
      </c>
      <c r="D15610" t="s">
        <v>531</v>
      </c>
      <c r="E15610" t="s">
        <v>532</v>
      </c>
      <c r="F15610">
        <v>42.98</v>
      </c>
      <c r="G15610">
        <v>230510</v>
      </c>
      <c r="H15610">
        <v>4590</v>
      </c>
      <c r="I15610" t="s">
        <v>203</v>
      </c>
      <c r="J15610">
        <v>53.3</v>
      </c>
      <c r="K15610">
        <v>10.32</v>
      </c>
      <c r="L15610">
        <v>56561</v>
      </c>
      <c r="M15610" t="s">
        <v>358</v>
      </c>
      <c r="N15610" t="str">
        <f>"1905        "</f>
        <v xml:space="preserve">1905        </v>
      </c>
      <c r="O15610">
        <v>230516</v>
      </c>
    </row>
    <row r="15611" spans="1:15" x14ac:dyDescent="0.25">
      <c r="A15611" t="s">
        <v>16</v>
      </c>
      <c r="B15611" t="s">
        <v>3221</v>
      </c>
      <c r="C15611">
        <v>3950</v>
      </c>
      <c r="D15611" t="s">
        <v>3682</v>
      </c>
      <c r="E15611" t="s">
        <v>1642</v>
      </c>
      <c r="F15611">
        <v>192</v>
      </c>
      <c r="G15611">
        <v>230314</v>
      </c>
      <c r="H15611">
        <v>4840</v>
      </c>
      <c r="I15611" t="s">
        <v>19</v>
      </c>
      <c r="J15611">
        <v>238.08</v>
      </c>
      <c r="K15611">
        <v>46.08</v>
      </c>
      <c r="L15611">
        <v>17149</v>
      </c>
      <c r="M15611" t="s">
        <v>1643</v>
      </c>
      <c r="N15611" t="str">
        <f>"1520        "</f>
        <v xml:space="preserve">1520        </v>
      </c>
      <c r="O15611">
        <v>230328</v>
      </c>
    </row>
    <row r="15612" spans="1:15" x14ac:dyDescent="0.25">
      <c r="A15612" t="s">
        <v>16</v>
      </c>
      <c r="B15612" t="s">
        <v>3221</v>
      </c>
      <c r="C15612">
        <v>6220</v>
      </c>
      <c r="D15612" t="s">
        <v>3683</v>
      </c>
      <c r="E15612" t="s">
        <v>1941</v>
      </c>
      <c r="F15612">
        <v>76248.210000000006</v>
      </c>
      <c r="G15612">
        <v>230429</v>
      </c>
      <c r="H15612">
        <v>1196</v>
      </c>
      <c r="I15612" t="s">
        <v>392</v>
      </c>
      <c r="J15612">
        <v>76248.210000000006</v>
      </c>
      <c r="K15612">
        <v>0</v>
      </c>
      <c r="L15612">
        <v>97501</v>
      </c>
      <c r="M15612" t="s">
        <v>393</v>
      </c>
      <c r="N15612" t="str">
        <f>"10944       "</f>
        <v xml:space="preserve">10944       </v>
      </c>
      <c r="O15612">
        <v>230509</v>
      </c>
    </row>
    <row r="15613" spans="1:15" x14ac:dyDescent="0.25">
      <c r="A15613" t="s">
        <v>16</v>
      </c>
      <c r="B15613" t="s">
        <v>3221</v>
      </c>
      <c r="C15613">
        <v>9132</v>
      </c>
      <c r="D15613" t="s">
        <v>3683</v>
      </c>
      <c r="E15613" t="s">
        <v>1941</v>
      </c>
      <c r="F15613">
        <v>25000</v>
      </c>
      <c r="G15613">
        <v>230621</v>
      </c>
      <c r="H15613">
        <v>1196</v>
      </c>
      <c r="I15613" t="s">
        <v>392</v>
      </c>
      <c r="J15613">
        <v>25000</v>
      </c>
      <c r="K15613">
        <v>0</v>
      </c>
      <c r="L15613">
        <v>97501</v>
      </c>
      <c r="M15613" t="s">
        <v>393</v>
      </c>
      <c r="N15613" t="str">
        <f>"10997       "</f>
        <v xml:space="preserve">10997       </v>
      </c>
      <c r="O15613">
        <v>230628</v>
      </c>
    </row>
    <row r="15614" spans="1:15" x14ac:dyDescent="0.25">
      <c r="A15614" t="s">
        <v>16</v>
      </c>
      <c r="B15614" t="s">
        <v>3221</v>
      </c>
      <c r="C15614">
        <v>9139</v>
      </c>
      <c r="D15614" t="s">
        <v>3683</v>
      </c>
      <c r="E15614" t="s">
        <v>1941</v>
      </c>
      <c r="F15614">
        <v>37000</v>
      </c>
      <c r="G15614">
        <v>230621</v>
      </c>
      <c r="H15614">
        <v>1196</v>
      </c>
      <c r="I15614" t="s">
        <v>392</v>
      </c>
      <c r="J15614">
        <v>37000</v>
      </c>
      <c r="K15614">
        <v>0</v>
      </c>
      <c r="L15614">
        <v>97501</v>
      </c>
      <c r="M15614" t="s">
        <v>393</v>
      </c>
      <c r="N15614" t="str">
        <f>"10999       "</f>
        <v xml:space="preserve">10999       </v>
      </c>
      <c r="O15614">
        <v>230628</v>
      </c>
    </row>
    <row r="15615" spans="1:15" x14ac:dyDescent="0.25">
      <c r="A15615" t="s">
        <v>16</v>
      </c>
      <c r="B15615" t="s">
        <v>3221</v>
      </c>
      <c r="C15615">
        <v>9382</v>
      </c>
      <c r="D15615" t="s">
        <v>3683</v>
      </c>
      <c r="E15615" t="s">
        <v>1941</v>
      </c>
      <c r="F15615">
        <v>70000</v>
      </c>
      <c r="G15615">
        <v>230630</v>
      </c>
      <c r="H15615">
        <v>1196</v>
      </c>
      <c r="I15615" t="s">
        <v>392</v>
      </c>
      <c r="J15615">
        <v>70000</v>
      </c>
      <c r="K15615">
        <v>0</v>
      </c>
      <c r="L15615">
        <v>97501</v>
      </c>
      <c r="M15615" t="s">
        <v>393</v>
      </c>
      <c r="N15615" t="str">
        <f>"11020       "</f>
        <v xml:space="preserve">11020       </v>
      </c>
      <c r="O15615">
        <v>230710</v>
      </c>
    </row>
    <row r="15616" spans="1:15" x14ac:dyDescent="0.25">
      <c r="A15616" t="s">
        <v>16</v>
      </c>
      <c r="B15616" t="s">
        <v>3221</v>
      </c>
      <c r="C15616">
        <v>9707</v>
      </c>
      <c r="D15616" t="s">
        <v>3683</v>
      </c>
      <c r="E15616" t="s">
        <v>1941</v>
      </c>
      <c r="F15616">
        <v>12000</v>
      </c>
      <c r="G15616">
        <v>230711</v>
      </c>
      <c r="H15616">
        <v>1196</v>
      </c>
      <c r="I15616" t="s">
        <v>392</v>
      </c>
      <c r="J15616">
        <v>12000</v>
      </c>
      <c r="K15616">
        <v>0</v>
      </c>
      <c r="L15616">
        <v>97501</v>
      </c>
      <c r="M15616" t="s">
        <v>393</v>
      </c>
      <c r="N15616" t="str">
        <f>"11023       "</f>
        <v xml:space="preserve">11023       </v>
      </c>
      <c r="O15616">
        <v>230720</v>
      </c>
    </row>
    <row r="15617" spans="1:15" x14ac:dyDescent="0.25">
      <c r="A15617" t="s">
        <v>16</v>
      </c>
      <c r="B15617" t="s">
        <v>3221</v>
      </c>
      <c r="C15617">
        <v>9808</v>
      </c>
      <c r="D15617" t="s">
        <v>3683</v>
      </c>
      <c r="E15617" t="s">
        <v>1941</v>
      </c>
      <c r="F15617">
        <v>56000</v>
      </c>
      <c r="G15617">
        <v>230721</v>
      </c>
      <c r="H15617">
        <v>1196</v>
      </c>
      <c r="I15617" t="s">
        <v>392</v>
      </c>
      <c r="J15617">
        <v>56000</v>
      </c>
      <c r="K15617">
        <v>0</v>
      </c>
      <c r="L15617">
        <v>97501</v>
      </c>
      <c r="M15617" t="s">
        <v>393</v>
      </c>
      <c r="N15617" t="str">
        <f>"11025       "</f>
        <v xml:space="preserve">11025       </v>
      </c>
      <c r="O15617">
        <v>230725</v>
      </c>
    </row>
    <row r="15618" spans="1:15" x14ac:dyDescent="0.25">
      <c r="A15618" t="s">
        <v>16</v>
      </c>
      <c r="B15618" t="s">
        <v>3221</v>
      </c>
      <c r="C15618">
        <v>9881</v>
      </c>
      <c r="D15618" t="s">
        <v>3683</v>
      </c>
      <c r="E15618" t="s">
        <v>1941</v>
      </c>
      <c r="F15618">
        <v>59000</v>
      </c>
      <c r="G15618">
        <v>230725</v>
      </c>
      <c r="H15618">
        <v>1196</v>
      </c>
      <c r="I15618" t="s">
        <v>392</v>
      </c>
      <c r="J15618">
        <v>59000</v>
      </c>
      <c r="K15618">
        <v>0</v>
      </c>
      <c r="L15618">
        <v>97501</v>
      </c>
      <c r="M15618" t="s">
        <v>393</v>
      </c>
      <c r="N15618" t="str">
        <f>"11029       "</f>
        <v xml:space="preserve">11029       </v>
      </c>
      <c r="O15618">
        <v>230731</v>
      </c>
    </row>
    <row r="15619" spans="1:15" x14ac:dyDescent="0.25">
      <c r="A15619" t="s">
        <v>16</v>
      </c>
      <c r="B15619" t="s">
        <v>3221</v>
      </c>
      <c r="C15619">
        <v>10638</v>
      </c>
      <c r="D15619" t="s">
        <v>3683</v>
      </c>
      <c r="E15619" t="s">
        <v>1941</v>
      </c>
      <c r="F15619">
        <v>10000</v>
      </c>
      <c r="G15619">
        <v>230810</v>
      </c>
      <c r="H15619">
        <v>1196</v>
      </c>
      <c r="I15619" t="s">
        <v>392</v>
      </c>
      <c r="J15619">
        <v>10000</v>
      </c>
      <c r="K15619">
        <v>0</v>
      </c>
      <c r="L15619">
        <v>97501</v>
      </c>
      <c r="M15619" t="s">
        <v>393</v>
      </c>
      <c r="N15619" t="str">
        <f>"11043       "</f>
        <v xml:space="preserve">11043       </v>
      </c>
      <c r="O15619">
        <v>230821</v>
      </c>
    </row>
    <row r="15620" spans="1:15" x14ac:dyDescent="0.25">
      <c r="A15620" t="s">
        <v>16</v>
      </c>
      <c r="B15620" t="s">
        <v>3221</v>
      </c>
      <c r="C15620">
        <v>10638</v>
      </c>
      <c r="D15620" t="s">
        <v>3683</v>
      </c>
      <c r="E15620" t="s">
        <v>1941</v>
      </c>
      <c r="F15620">
        <v>8000</v>
      </c>
      <c r="G15620">
        <v>230810</v>
      </c>
      <c r="H15620">
        <v>1196</v>
      </c>
      <c r="I15620" t="s">
        <v>392</v>
      </c>
      <c r="J15620">
        <v>8000</v>
      </c>
      <c r="K15620">
        <v>0</v>
      </c>
      <c r="L15620">
        <v>97501</v>
      </c>
      <c r="M15620" t="s">
        <v>393</v>
      </c>
      <c r="N15620" t="str">
        <f>"11043       "</f>
        <v xml:space="preserve">11043       </v>
      </c>
      <c r="O15620">
        <v>230821</v>
      </c>
    </row>
    <row r="15621" spans="1:15" x14ac:dyDescent="0.25">
      <c r="A15621" t="s">
        <v>16</v>
      </c>
      <c r="B15621" t="s">
        <v>3221</v>
      </c>
      <c r="C15621">
        <v>10851</v>
      </c>
      <c r="D15621" t="s">
        <v>3683</v>
      </c>
      <c r="E15621" t="s">
        <v>1941</v>
      </c>
      <c r="F15621">
        <v>10000</v>
      </c>
      <c r="G15621">
        <v>230816</v>
      </c>
      <c r="H15621">
        <v>1196</v>
      </c>
      <c r="I15621" t="s">
        <v>392</v>
      </c>
      <c r="J15621">
        <v>10000</v>
      </c>
      <c r="K15621">
        <v>0</v>
      </c>
      <c r="L15621">
        <v>97501</v>
      </c>
      <c r="M15621" t="s">
        <v>393</v>
      </c>
      <c r="N15621" t="str">
        <f>"11053       "</f>
        <v xml:space="preserve">11053       </v>
      </c>
      <c r="O15621">
        <v>230824</v>
      </c>
    </row>
    <row r="15622" spans="1:15" x14ac:dyDescent="0.25">
      <c r="A15622" t="s">
        <v>16</v>
      </c>
      <c r="B15622" t="s">
        <v>3221</v>
      </c>
      <c r="C15622">
        <v>10911</v>
      </c>
      <c r="D15622" t="s">
        <v>3683</v>
      </c>
      <c r="E15622" t="s">
        <v>1941</v>
      </c>
      <c r="F15622">
        <v>32000</v>
      </c>
      <c r="G15622">
        <v>230822</v>
      </c>
      <c r="H15622">
        <v>1196</v>
      </c>
      <c r="I15622" t="s">
        <v>392</v>
      </c>
      <c r="J15622">
        <v>32000</v>
      </c>
      <c r="K15622">
        <v>0</v>
      </c>
      <c r="L15622">
        <v>97501</v>
      </c>
      <c r="M15622" t="s">
        <v>393</v>
      </c>
      <c r="N15622" t="str">
        <f>"11055       "</f>
        <v xml:space="preserve">11055       </v>
      </c>
      <c r="O15622">
        <v>230825</v>
      </c>
    </row>
    <row r="15623" spans="1:15" x14ac:dyDescent="0.25">
      <c r="A15623" t="s">
        <v>16</v>
      </c>
      <c r="B15623" t="s">
        <v>3221</v>
      </c>
      <c r="C15623">
        <v>11543</v>
      </c>
      <c r="D15623" t="s">
        <v>3683</v>
      </c>
      <c r="E15623" t="s">
        <v>1941</v>
      </c>
      <c r="F15623">
        <v>35000</v>
      </c>
      <c r="G15623">
        <v>230830</v>
      </c>
      <c r="H15623">
        <v>1196</v>
      </c>
      <c r="I15623" t="s">
        <v>392</v>
      </c>
      <c r="J15623">
        <v>35000</v>
      </c>
      <c r="K15623">
        <v>0</v>
      </c>
      <c r="L15623">
        <v>97501</v>
      </c>
      <c r="M15623" t="s">
        <v>393</v>
      </c>
      <c r="N15623" t="str">
        <f>"11064       "</f>
        <v xml:space="preserve">11064       </v>
      </c>
      <c r="O15623">
        <v>230907</v>
      </c>
    </row>
    <row r="15624" spans="1:15" x14ac:dyDescent="0.25">
      <c r="A15624" t="s">
        <v>16</v>
      </c>
      <c r="B15624" t="s">
        <v>3221</v>
      </c>
      <c r="C15624">
        <v>12426</v>
      </c>
      <c r="D15624" t="s">
        <v>3683</v>
      </c>
      <c r="E15624" t="s">
        <v>1941</v>
      </c>
      <c r="F15624">
        <v>70000</v>
      </c>
      <c r="G15624">
        <v>230908</v>
      </c>
      <c r="H15624">
        <v>1196</v>
      </c>
      <c r="I15624" t="s">
        <v>392</v>
      </c>
      <c r="J15624">
        <v>70000</v>
      </c>
      <c r="K15624">
        <v>0</v>
      </c>
      <c r="L15624">
        <v>97501</v>
      </c>
      <c r="M15624" t="s">
        <v>393</v>
      </c>
      <c r="N15624" t="str">
        <f>"11071       "</f>
        <v xml:space="preserve">11071       </v>
      </c>
      <c r="O15624">
        <v>230919</v>
      </c>
    </row>
    <row r="15625" spans="1:15" x14ac:dyDescent="0.25">
      <c r="A15625" t="s">
        <v>16</v>
      </c>
      <c r="B15625" t="s">
        <v>3221</v>
      </c>
      <c r="C15625">
        <v>12426</v>
      </c>
      <c r="D15625" t="s">
        <v>3683</v>
      </c>
      <c r="E15625" t="s">
        <v>1941</v>
      </c>
      <c r="F15625">
        <v>33000</v>
      </c>
      <c r="G15625">
        <v>230908</v>
      </c>
      <c r="H15625">
        <v>1196</v>
      </c>
      <c r="I15625" t="s">
        <v>392</v>
      </c>
      <c r="J15625">
        <v>33000</v>
      </c>
      <c r="K15625">
        <v>0</v>
      </c>
      <c r="L15625">
        <v>97501</v>
      </c>
      <c r="M15625" t="s">
        <v>393</v>
      </c>
      <c r="N15625" t="str">
        <f>"11071       "</f>
        <v xml:space="preserve">11071       </v>
      </c>
      <c r="O15625">
        <v>230919</v>
      </c>
    </row>
    <row r="15626" spans="1:15" x14ac:dyDescent="0.25">
      <c r="A15626" t="s">
        <v>16</v>
      </c>
      <c r="B15626" t="s">
        <v>3221</v>
      </c>
      <c r="C15626">
        <v>12427</v>
      </c>
      <c r="D15626" t="s">
        <v>3683</v>
      </c>
      <c r="E15626" t="s">
        <v>1941</v>
      </c>
      <c r="F15626">
        <v>46000</v>
      </c>
      <c r="G15626">
        <v>230912</v>
      </c>
      <c r="H15626">
        <v>1196</v>
      </c>
      <c r="I15626" t="s">
        <v>392</v>
      </c>
      <c r="J15626">
        <v>46000</v>
      </c>
      <c r="K15626">
        <v>0</v>
      </c>
      <c r="L15626">
        <v>97501</v>
      </c>
      <c r="M15626" t="s">
        <v>393</v>
      </c>
      <c r="N15626" t="str">
        <f>"11074       "</f>
        <v xml:space="preserve">11074       </v>
      </c>
      <c r="O15626">
        <v>230919</v>
      </c>
    </row>
    <row r="15627" spans="1:15" x14ac:dyDescent="0.25">
      <c r="A15627" t="s">
        <v>16</v>
      </c>
      <c r="B15627" t="s">
        <v>3221</v>
      </c>
      <c r="C15627">
        <v>13079</v>
      </c>
      <c r="D15627" t="s">
        <v>3683</v>
      </c>
      <c r="E15627" t="s">
        <v>1941</v>
      </c>
      <c r="F15627">
        <v>99000</v>
      </c>
      <c r="G15627">
        <v>230928</v>
      </c>
      <c r="H15627">
        <v>1196</v>
      </c>
      <c r="I15627" t="s">
        <v>392</v>
      </c>
      <c r="J15627">
        <v>99000</v>
      </c>
      <c r="K15627">
        <v>0</v>
      </c>
      <c r="L15627">
        <v>97501</v>
      </c>
      <c r="M15627" t="s">
        <v>393</v>
      </c>
      <c r="N15627" t="str">
        <f>"11081       "</f>
        <v xml:space="preserve">11081       </v>
      </c>
      <c r="O15627">
        <v>231003</v>
      </c>
    </row>
    <row r="15628" spans="1:15" x14ac:dyDescent="0.25">
      <c r="A15628" t="s">
        <v>16</v>
      </c>
      <c r="B15628" t="s">
        <v>3221</v>
      </c>
      <c r="C15628">
        <v>14686</v>
      </c>
      <c r="D15628" t="s">
        <v>3683</v>
      </c>
      <c r="E15628" t="s">
        <v>1941</v>
      </c>
      <c r="F15628">
        <v>52000</v>
      </c>
      <c r="G15628">
        <v>231019</v>
      </c>
      <c r="H15628">
        <v>1196</v>
      </c>
      <c r="I15628" t="s">
        <v>392</v>
      </c>
      <c r="J15628">
        <v>52000</v>
      </c>
      <c r="K15628">
        <v>0</v>
      </c>
      <c r="L15628">
        <v>97501</v>
      </c>
      <c r="M15628" t="s">
        <v>393</v>
      </c>
      <c r="N15628" t="str">
        <f>"11099       "</f>
        <v xml:space="preserve">11099       </v>
      </c>
      <c r="O15628">
        <v>231031</v>
      </c>
    </row>
    <row r="15629" spans="1:15" x14ac:dyDescent="0.25">
      <c r="A15629" t="s">
        <v>16</v>
      </c>
      <c r="B15629" t="s">
        <v>3221</v>
      </c>
      <c r="C15629">
        <v>14686</v>
      </c>
      <c r="D15629" t="s">
        <v>3683</v>
      </c>
      <c r="E15629" t="s">
        <v>1941</v>
      </c>
      <c r="F15629">
        <v>16000</v>
      </c>
      <c r="G15629">
        <v>231019</v>
      </c>
      <c r="H15629">
        <v>1196</v>
      </c>
      <c r="I15629" t="s">
        <v>392</v>
      </c>
      <c r="J15629">
        <v>16000</v>
      </c>
      <c r="K15629">
        <v>0</v>
      </c>
      <c r="L15629">
        <v>97501</v>
      </c>
      <c r="M15629" t="s">
        <v>393</v>
      </c>
      <c r="N15629" t="str">
        <f>"11099       "</f>
        <v xml:space="preserve">11099       </v>
      </c>
      <c r="O15629">
        <v>231031</v>
      </c>
    </row>
    <row r="15630" spans="1:15" x14ac:dyDescent="0.25">
      <c r="A15630" t="s">
        <v>16</v>
      </c>
      <c r="B15630" t="s">
        <v>3221</v>
      </c>
      <c r="C15630">
        <v>15082</v>
      </c>
      <c r="D15630" t="s">
        <v>3683</v>
      </c>
      <c r="E15630" t="s">
        <v>1941</v>
      </c>
      <c r="F15630">
        <v>15000</v>
      </c>
      <c r="G15630">
        <v>231031</v>
      </c>
      <c r="H15630">
        <v>1196</v>
      </c>
      <c r="I15630" t="s">
        <v>392</v>
      </c>
      <c r="J15630">
        <v>15000</v>
      </c>
      <c r="K15630">
        <v>0</v>
      </c>
      <c r="L15630">
        <v>97501</v>
      </c>
      <c r="M15630" t="s">
        <v>393</v>
      </c>
      <c r="N15630" t="str">
        <f>"11110       "</f>
        <v xml:space="preserve">11110       </v>
      </c>
      <c r="O15630">
        <v>231108</v>
      </c>
    </row>
    <row r="15631" spans="1:15" x14ac:dyDescent="0.25">
      <c r="A15631" t="s">
        <v>16</v>
      </c>
      <c r="B15631" t="s">
        <v>3221</v>
      </c>
      <c r="C15631">
        <v>15293</v>
      </c>
      <c r="D15631" t="s">
        <v>3683</v>
      </c>
      <c r="E15631" t="s">
        <v>1941</v>
      </c>
      <c r="F15631">
        <v>18050</v>
      </c>
      <c r="G15631">
        <v>231031</v>
      </c>
      <c r="H15631">
        <v>1196</v>
      </c>
      <c r="I15631" t="s">
        <v>392</v>
      </c>
      <c r="J15631">
        <v>18050</v>
      </c>
      <c r="K15631">
        <v>0</v>
      </c>
      <c r="L15631">
        <v>97501</v>
      </c>
      <c r="M15631" t="s">
        <v>393</v>
      </c>
      <c r="N15631" t="str">
        <f>"11109       "</f>
        <v xml:space="preserve">11109       </v>
      </c>
      <c r="O15631">
        <v>231110</v>
      </c>
    </row>
    <row r="15632" spans="1:15" x14ac:dyDescent="0.25">
      <c r="A15632" t="s">
        <v>16</v>
      </c>
      <c r="B15632" t="s">
        <v>3221</v>
      </c>
      <c r="C15632">
        <v>15293</v>
      </c>
      <c r="D15632" t="s">
        <v>3683</v>
      </c>
      <c r="E15632" t="s">
        <v>1941</v>
      </c>
      <c r="F15632">
        <v>6832.5</v>
      </c>
      <c r="G15632">
        <v>231031</v>
      </c>
      <c r="H15632">
        <v>1196</v>
      </c>
      <c r="I15632" t="s">
        <v>392</v>
      </c>
      <c r="J15632">
        <v>6832.5</v>
      </c>
      <c r="K15632">
        <v>0</v>
      </c>
      <c r="L15632">
        <v>97501</v>
      </c>
      <c r="M15632" t="s">
        <v>393</v>
      </c>
      <c r="N15632" t="str">
        <f>"11109       "</f>
        <v xml:space="preserve">11109       </v>
      </c>
      <c r="O15632">
        <v>231110</v>
      </c>
    </row>
    <row r="15633" spans="1:15" x14ac:dyDescent="0.25">
      <c r="A15633" t="s">
        <v>16</v>
      </c>
      <c r="B15633" t="s">
        <v>3221</v>
      </c>
      <c r="C15633">
        <v>15293</v>
      </c>
      <c r="D15633" t="s">
        <v>3683</v>
      </c>
      <c r="E15633" t="s">
        <v>1941</v>
      </c>
      <c r="F15633">
        <v>1288</v>
      </c>
      <c r="G15633">
        <v>231031</v>
      </c>
      <c r="H15633">
        <v>1196</v>
      </c>
      <c r="I15633" t="s">
        <v>392</v>
      </c>
      <c r="J15633">
        <v>1288</v>
      </c>
      <c r="K15633">
        <v>0</v>
      </c>
      <c r="L15633">
        <v>97501</v>
      </c>
      <c r="M15633" t="s">
        <v>393</v>
      </c>
      <c r="N15633" t="str">
        <f>"11109       "</f>
        <v xml:space="preserve">11109       </v>
      </c>
      <c r="O15633">
        <v>231110</v>
      </c>
    </row>
    <row r="15634" spans="1:15" x14ac:dyDescent="0.25">
      <c r="A15634" t="s">
        <v>16</v>
      </c>
      <c r="B15634" t="s">
        <v>3221</v>
      </c>
      <c r="C15634">
        <v>16461</v>
      </c>
      <c r="D15634" t="s">
        <v>3683</v>
      </c>
      <c r="E15634" t="s">
        <v>1941</v>
      </c>
      <c r="F15634">
        <v>63000</v>
      </c>
      <c r="G15634">
        <v>231123</v>
      </c>
      <c r="H15634">
        <v>1196</v>
      </c>
      <c r="I15634" t="s">
        <v>392</v>
      </c>
      <c r="J15634">
        <v>63000</v>
      </c>
      <c r="K15634">
        <v>0</v>
      </c>
      <c r="L15634">
        <v>97501</v>
      </c>
      <c r="M15634" t="s">
        <v>393</v>
      </c>
      <c r="N15634" t="str">
        <f>"11132       "</f>
        <v xml:space="preserve">11132       </v>
      </c>
      <c r="O15634">
        <v>231129</v>
      </c>
    </row>
    <row r="15635" spans="1:15" x14ac:dyDescent="0.25">
      <c r="A15635" t="s">
        <v>16</v>
      </c>
      <c r="B15635" t="s">
        <v>3221</v>
      </c>
      <c r="C15635">
        <v>17264</v>
      </c>
      <c r="D15635" t="s">
        <v>3683</v>
      </c>
      <c r="E15635" t="s">
        <v>1941</v>
      </c>
      <c r="F15635">
        <v>25381.59</v>
      </c>
      <c r="G15635">
        <v>231130</v>
      </c>
      <c r="H15635">
        <v>1196</v>
      </c>
      <c r="I15635" t="s">
        <v>392</v>
      </c>
      <c r="J15635">
        <v>25381.59</v>
      </c>
      <c r="K15635">
        <v>0</v>
      </c>
      <c r="L15635">
        <v>97501</v>
      </c>
      <c r="M15635" t="s">
        <v>393</v>
      </c>
      <c r="N15635" t="str">
        <f>"11136       "</f>
        <v xml:space="preserve">11136       </v>
      </c>
      <c r="O15635">
        <v>231212</v>
      </c>
    </row>
    <row r="15636" spans="1:15" x14ac:dyDescent="0.25">
      <c r="A15636" t="s">
        <v>16</v>
      </c>
      <c r="B15636" t="s">
        <v>3221</v>
      </c>
      <c r="C15636">
        <v>17529</v>
      </c>
      <c r="D15636" t="s">
        <v>3683</v>
      </c>
      <c r="E15636" t="s">
        <v>1941</v>
      </c>
      <c r="F15636">
        <v>50000</v>
      </c>
      <c r="G15636">
        <v>231211</v>
      </c>
      <c r="H15636">
        <v>1196</v>
      </c>
      <c r="I15636" t="s">
        <v>392</v>
      </c>
      <c r="J15636">
        <v>50000</v>
      </c>
      <c r="K15636">
        <v>0</v>
      </c>
      <c r="L15636">
        <v>97501</v>
      </c>
      <c r="M15636" t="s">
        <v>393</v>
      </c>
      <c r="N15636" t="str">
        <f>"11147       "</f>
        <v xml:space="preserve">11147       </v>
      </c>
      <c r="O15636">
        <v>231215</v>
      </c>
    </row>
    <row r="15637" spans="1:15" x14ac:dyDescent="0.25">
      <c r="A15637" t="s">
        <v>16</v>
      </c>
      <c r="B15637" t="s">
        <v>3221</v>
      </c>
      <c r="C15637">
        <v>17529</v>
      </c>
      <c r="D15637" t="s">
        <v>3683</v>
      </c>
      <c r="E15637" t="s">
        <v>1941</v>
      </c>
      <c r="F15637">
        <v>18000</v>
      </c>
      <c r="G15637">
        <v>231211</v>
      </c>
      <c r="H15637">
        <v>1196</v>
      </c>
      <c r="I15637" t="s">
        <v>392</v>
      </c>
      <c r="J15637">
        <v>18000</v>
      </c>
      <c r="K15637">
        <v>0</v>
      </c>
      <c r="L15637">
        <v>97501</v>
      </c>
      <c r="M15637" t="s">
        <v>393</v>
      </c>
      <c r="N15637" t="str">
        <f>"11147       "</f>
        <v xml:space="preserve">11147       </v>
      </c>
      <c r="O15637">
        <v>231215</v>
      </c>
    </row>
    <row r="15638" spans="1:15" x14ac:dyDescent="0.25">
      <c r="A15638" t="s">
        <v>16</v>
      </c>
      <c r="B15638" t="s">
        <v>3221</v>
      </c>
      <c r="C15638">
        <v>18474</v>
      </c>
      <c r="D15638" t="s">
        <v>3683</v>
      </c>
      <c r="E15638" t="s">
        <v>1941</v>
      </c>
      <c r="F15638">
        <v>9000</v>
      </c>
      <c r="G15638">
        <v>231228</v>
      </c>
      <c r="H15638">
        <v>1196</v>
      </c>
      <c r="I15638" t="s">
        <v>392</v>
      </c>
      <c r="J15638">
        <v>9000</v>
      </c>
      <c r="K15638">
        <v>0</v>
      </c>
      <c r="L15638">
        <v>97501</v>
      </c>
      <c r="M15638" t="s">
        <v>393</v>
      </c>
      <c r="N15638" t="str">
        <f>"11168       "</f>
        <v xml:space="preserve">11168       </v>
      </c>
      <c r="O15638">
        <v>240103</v>
      </c>
    </row>
    <row r="15639" spans="1:15" x14ac:dyDescent="0.25">
      <c r="A15639" t="s">
        <v>16</v>
      </c>
      <c r="B15639" t="s">
        <v>3221</v>
      </c>
      <c r="C15639">
        <v>18501</v>
      </c>
      <c r="D15639" t="s">
        <v>3683</v>
      </c>
      <c r="E15639" t="s">
        <v>1941</v>
      </c>
      <c r="F15639">
        <v>43000</v>
      </c>
      <c r="G15639">
        <v>231228</v>
      </c>
      <c r="H15639">
        <v>1196</v>
      </c>
      <c r="I15639" t="s">
        <v>392</v>
      </c>
      <c r="J15639">
        <v>43000</v>
      </c>
      <c r="K15639">
        <v>0</v>
      </c>
      <c r="L15639">
        <v>97501</v>
      </c>
      <c r="M15639" t="s">
        <v>393</v>
      </c>
      <c r="N15639" t="str">
        <f>"11167       "</f>
        <v xml:space="preserve">11167       </v>
      </c>
      <c r="O15639">
        <v>240103</v>
      </c>
    </row>
    <row r="15640" spans="1:15" x14ac:dyDescent="0.25">
      <c r="A15640" t="s">
        <v>16</v>
      </c>
      <c r="B15640" t="s">
        <v>3221</v>
      </c>
      <c r="C15640">
        <v>18501</v>
      </c>
      <c r="D15640" t="s">
        <v>3683</v>
      </c>
      <c r="E15640" t="s">
        <v>1941</v>
      </c>
      <c r="F15640">
        <v>18000</v>
      </c>
      <c r="G15640">
        <v>231228</v>
      </c>
      <c r="H15640">
        <v>1196</v>
      </c>
      <c r="I15640" t="s">
        <v>392</v>
      </c>
      <c r="J15640">
        <v>18000</v>
      </c>
      <c r="K15640">
        <v>0</v>
      </c>
      <c r="L15640">
        <v>97501</v>
      </c>
      <c r="M15640" t="s">
        <v>393</v>
      </c>
      <c r="N15640" t="str">
        <f>"11167       "</f>
        <v xml:space="preserve">11167       </v>
      </c>
      <c r="O15640">
        <v>240103</v>
      </c>
    </row>
    <row r="15641" spans="1:15" x14ac:dyDescent="0.25">
      <c r="A15641" t="s">
        <v>16</v>
      </c>
      <c r="B15641" t="s">
        <v>3221</v>
      </c>
      <c r="C15641">
        <v>18551</v>
      </c>
      <c r="D15641" t="s">
        <v>3683</v>
      </c>
      <c r="E15641" t="s">
        <v>1941</v>
      </c>
      <c r="F15641">
        <v>139000</v>
      </c>
      <c r="G15641">
        <v>231222</v>
      </c>
      <c r="H15641">
        <v>1196</v>
      </c>
      <c r="I15641" t="s">
        <v>392</v>
      </c>
      <c r="J15641">
        <v>139000</v>
      </c>
      <c r="K15641">
        <v>0</v>
      </c>
      <c r="L15641">
        <v>97501</v>
      </c>
      <c r="M15641" t="s">
        <v>393</v>
      </c>
      <c r="N15641" t="str">
        <f>"11161       "</f>
        <v xml:space="preserve">11161       </v>
      </c>
      <c r="O15641">
        <v>240103</v>
      </c>
    </row>
    <row r="15642" spans="1:15" x14ac:dyDescent="0.25">
      <c r="A15642" t="s">
        <v>16</v>
      </c>
      <c r="B15642" t="s">
        <v>3221</v>
      </c>
      <c r="C15642">
        <v>1487</v>
      </c>
      <c r="D15642" t="s">
        <v>1059</v>
      </c>
      <c r="E15642" t="s">
        <v>1060</v>
      </c>
      <c r="F15642">
        <v>227.42</v>
      </c>
      <c r="G15642">
        <v>230207</v>
      </c>
      <c r="H15642">
        <v>4590</v>
      </c>
      <c r="I15642" t="s">
        <v>203</v>
      </c>
      <c r="J15642">
        <v>282</v>
      </c>
      <c r="K15642">
        <v>54.58</v>
      </c>
      <c r="L15642">
        <v>46556</v>
      </c>
      <c r="M15642" t="s">
        <v>125</v>
      </c>
      <c r="N15642" t="str">
        <f>"7413        "</f>
        <v xml:space="preserve">7413        </v>
      </c>
      <c r="O15642">
        <v>230209</v>
      </c>
    </row>
    <row r="15643" spans="1:15" x14ac:dyDescent="0.25">
      <c r="A15643" t="s">
        <v>16</v>
      </c>
      <c r="B15643" t="s">
        <v>3221</v>
      </c>
      <c r="C15643">
        <v>1687</v>
      </c>
      <c r="D15643" t="s">
        <v>1059</v>
      </c>
      <c r="E15643" t="s">
        <v>1060</v>
      </c>
      <c r="F15643">
        <v>21.68</v>
      </c>
      <c r="G15643">
        <v>230207</v>
      </c>
      <c r="H15643">
        <v>4590</v>
      </c>
      <c r="I15643" t="s">
        <v>203</v>
      </c>
      <c r="J15643">
        <v>26.88</v>
      </c>
      <c r="K15643">
        <v>5.2</v>
      </c>
      <c r="L15643">
        <v>49501</v>
      </c>
      <c r="M15643" t="s">
        <v>177</v>
      </c>
      <c r="N15643" t="str">
        <f>"7414        "</f>
        <v xml:space="preserve">7414        </v>
      </c>
      <c r="O15643">
        <v>230213</v>
      </c>
    </row>
    <row r="15644" spans="1:15" x14ac:dyDescent="0.25">
      <c r="A15644" t="s">
        <v>16</v>
      </c>
      <c r="B15644" t="s">
        <v>3221</v>
      </c>
      <c r="C15644">
        <v>1688</v>
      </c>
      <c r="D15644" t="s">
        <v>1059</v>
      </c>
      <c r="E15644" t="s">
        <v>1060</v>
      </c>
      <c r="F15644">
        <v>187.55</v>
      </c>
      <c r="G15644">
        <v>230207</v>
      </c>
      <c r="H15644">
        <v>4590</v>
      </c>
      <c r="I15644" t="s">
        <v>203</v>
      </c>
      <c r="J15644">
        <v>232.56</v>
      </c>
      <c r="K15644">
        <v>45.01</v>
      </c>
      <c r="L15644">
        <v>46556</v>
      </c>
      <c r="M15644" t="s">
        <v>125</v>
      </c>
      <c r="N15644" t="str">
        <f>"7415        "</f>
        <v xml:space="preserve">7415        </v>
      </c>
      <c r="O15644">
        <v>230213</v>
      </c>
    </row>
    <row r="15645" spans="1:15" x14ac:dyDescent="0.25">
      <c r="A15645" t="s">
        <v>16</v>
      </c>
      <c r="B15645" t="s">
        <v>3221</v>
      </c>
      <c r="C15645">
        <v>1688</v>
      </c>
      <c r="D15645" t="s">
        <v>1059</v>
      </c>
      <c r="E15645" t="s">
        <v>1060</v>
      </c>
      <c r="F15645">
        <v>717.05</v>
      </c>
      <c r="G15645">
        <v>230207</v>
      </c>
      <c r="H15645">
        <v>4590</v>
      </c>
      <c r="I15645" t="s">
        <v>203</v>
      </c>
      <c r="J15645">
        <v>889.14</v>
      </c>
      <c r="K15645">
        <v>172.09</v>
      </c>
      <c r="L15645">
        <v>49501</v>
      </c>
      <c r="M15645" t="s">
        <v>177</v>
      </c>
      <c r="N15645" t="str">
        <f>"7415        "</f>
        <v xml:space="preserve">7415        </v>
      </c>
      <c r="O15645">
        <v>230213</v>
      </c>
    </row>
    <row r="15646" spans="1:15" x14ac:dyDescent="0.25">
      <c r="A15646" t="s">
        <v>16</v>
      </c>
      <c r="B15646" t="s">
        <v>3221</v>
      </c>
      <c r="C15646">
        <v>3897</v>
      </c>
      <c r="D15646" t="s">
        <v>1059</v>
      </c>
      <c r="E15646" t="s">
        <v>1060</v>
      </c>
      <c r="F15646">
        <v>56.34</v>
      </c>
      <c r="G15646">
        <v>230321</v>
      </c>
      <c r="H15646">
        <v>4590</v>
      </c>
      <c r="I15646" t="s">
        <v>203</v>
      </c>
      <c r="J15646">
        <v>69.86</v>
      </c>
      <c r="K15646">
        <v>13.52</v>
      </c>
      <c r="L15646">
        <v>46556</v>
      </c>
      <c r="M15646" t="s">
        <v>125</v>
      </c>
      <c r="N15646" t="str">
        <f>"7436        "</f>
        <v xml:space="preserve">7436        </v>
      </c>
      <c r="O15646">
        <v>230324</v>
      </c>
    </row>
    <row r="15647" spans="1:15" x14ac:dyDescent="0.25">
      <c r="A15647" t="s">
        <v>16</v>
      </c>
      <c r="B15647" t="s">
        <v>3221</v>
      </c>
      <c r="C15647">
        <v>4734</v>
      </c>
      <c r="D15647" t="s">
        <v>1059</v>
      </c>
      <c r="E15647" t="s">
        <v>1060</v>
      </c>
      <c r="F15647">
        <v>437.9</v>
      </c>
      <c r="G15647">
        <v>230404</v>
      </c>
      <c r="H15647">
        <v>4590</v>
      </c>
      <c r="I15647" t="s">
        <v>203</v>
      </c>
      <c r="J15647">
        <v>543</v>
      </c>
      <c r="K15647">
        <v>105.1</v>
      </c>
      <c r="L15647">
        <v>46556</v>
      </c>
      <c r="M15647" t="s">
        <v>125</v>
      </c>
      <c r="N15647" t="str">
        <f>"7440        "</f>
        <v xml:space="preserve">7440        </v>
      </c>
      <c r="O15647">
        <v>230412</v>
      </c>
    </row>
    <row r="15648" spans="1:15" x14ac:dyDescent="0.25">
      <c r="A15648" t="s">
        <v>16</v>
      </c>
      <c r="B15648" t="s">
        <v>3221</v>
      </c>
      <c r="C15648">
        <v>11103</v>
      </c>
      <c r="D15648" t="s">
        <v>1059</v>
      </c>
      <c r="E15648" t="s">
        <v>1060</v>
      </c>
      <c r="F15648">
        <v>109.16</v>
      </c>
      <c r="G15648">
        <v>230829</v>
      </c>
      <c r="H15648">
        <v>4590</v>
      </c>
      <c r="I15648" t="s">
        <v>203</v>
      </c>
      <c r="J15648">
        <v>135.36000000000001</v>
      </c>
      <c r="K15648">
        <v>26.2</v>
      </c>
      <c r="L15648">
        <v>46563</v>
      </c>
      <c r="M15648" t="s">
        <v>589</v>
      </c>
      <c r="N15648" t="str">
        <f>"7516        "</f>
        <v xml:space="preserve">7516        </v>
      </c>
      <c r="O15648">
        <v>230830</v>
      </c>
    </row>
    <row r="15649" spans="1:15" x14ac:dyDescent="0.25">
      <c r="A15649" t="s">
        <v>16</v>
      </c>
      <c r="B15649" t="s">
        <v>3221</v>
      </c>
      <c r="C15649">
        <v>13529</v>
      </c>
      <c r="D15649" t="s">
        <v>3684</v>
      </c>
      <c r="E15649" t="s">
        <v>2690</v>
      </c>
      <c r="F15649">
        <v>61.86</v>
      </c>
      <c r="G15649">
        <v>231004</v>
      </c>
      <c r="H15649">
        <v>4590</v>
      </c>
      <c r="I15649" t="s">
        <v>203</v>
      </c>
      <c r="J15649">
        <v>76.709999999999994</v>
      </c>
      <c r="K15649">
        <v>14.85</v>
      </c>
      <c r="L15649">
        <v>17805</v>
      </c>
      <c r="M15649" t="s">
        <v>102</v>
      </c>
      <c r="N15649" t="str">
        <f>"60          "</f>
        <v xml:space="preserve">60          </v>
      </c>
      <c r="O15649">
        <v>231011</v>
      </c>
    </row>
    <row r="15650" spans="1:15" x14ac:dyDescent="0.25">
      <c r="A15650" t="s">
        <v>16</v>
      </c>
      <c r="B15650" t="s">
        <v>3221</v>
      </c>
      <c r="C15650">
        <v>103</v>
      </c>
      <c r="D15650" t="s">
        <v>123</v>
      </c>
      <c r="E15650" t="s">
        <v>124</v>
      </c>
      <c r="F15650">
        <v>276.5</v>
      </c>
      <c r="G15650">
        <v>230103</v>
      </c>
      <c r="H15650">
        <v>4343</v>
      </c>
      <c r="I15650" t="s">
        <v>91</v>
      </c>
      <c r="J15650">
        <v>342.86</v>
      </c>
      <c r="K15650">
        <v>66.36</v>
      </c>
      <c r="L15650">
        <v>46556</v>
      </c>
      <c r="M15650" t="s">
        <v>125</v>
      </c>
      <c r="N15650" t="str">
        <f>"3050300     "</f>
        <v xml:space="preserve">3050300     </v>
      </c>
      <c r="O15650">
        <v>230110</v>
      </c>
    </row>
    <row r="15651" spans="1:15" x14ac:dyDescent="0.25">
      <c r="A15651" t="s">
        <v>16</v>
      </c>
      <c r="B15651" t="s">
        <v>3221</v>
      </c>
      <c r="C15651">
        <v>103</v>
      </c>
      <c r="D15651" t="s">
        <v>123</v>
      </c>
      <c r="E15651" t="s">
        <v>124</v>
      </c>
      <c r="F15651">
        <v>276.5</v>
      </c>
      <c r="G15651">
        <v>230103</v>
      </c>
      <c r="H15651">
        <v>4343</v>
      </c>
      <c r="I15651" t="s">
        <v>91</v>
      </c>
      <c r="J15651">
        <v>342.86</v>
      </c>
      <c r="K15651">
        <v>66.36</v>
      </c>
      <c r="L15651">
        <v>56562</v>
      </c>
      <c r="M15651" t="s">
        <v>126</v>
      </c>
      <c r="N15651" t="str">
        <f>"3050300     "</f>
        <v xml:space="preserve">3050300     </v>
      </c>
      <c r="O15651">
        <v>230110</v>
      </c>
    </row>
    <row r="15652" spans="1:15" x14ac:dyDescent="0.25">
      <c r="A15652" t="s">
        <v>16</v>
      </c>
      <c r="B15652" t="s">
        <v>3221</v>
      </c>
      <c r="C15652">
        <v>300</v>
      </c>
      <c r="D15652" t="s">
        <v>123</v>
      </c>
      <c r="E15652" t="s">
        <v>124</v>
      </c>
      <c r="F15652">
        <v>-276.5</v>
      </c>
      <c r="G15652">
        <v>230113</v>
      </c>
      <c r="H15652">
        <v>4343</v>
      </c>
      <c r="I15652" t="s">
        <v>91</v>
      </c>
      <c r="J15652">
        <v>-342.86</v>
      </c>
      <c r="K15652">
        <v>-66.36</v>
      </c>
      <c r="L15652">
        <v>46556</v>
      </c>
      <c r="M15652" t="s">
        <v>125</v>
      </c>
      <c r="N15652" t="str">
        <f>"3051030     "</f>
        <v xml:space="preserve">3051030     </v>
      </c>
      <c r="O15652">
        <v>230118</v>
      </c>
    </row>
    <row r="15653" spans="1:15" x14ac:dyDescent="0.25">
      <c r="A15653" t="s">
        <v>16</v>
      </c>
      <c r="B15653" t="s">
        <v>3221</v>
      </c>
      <c r="C15653">
        <v>300</v>
      </c>
      <c r="D15653" t="s">
        <v>123</v>
      </c>
      <c r="E15653" t="s">
        <v>124</v>
      </c>
      <c r="F15653">
        <v>-276.5</v>
      </c>
      <c r="G15653">
        <v>230113</v>
      </c>
      <c r="H15653">
        <v>4343</v>
      </c>
      <c r="I15653" t="s">
        <v>91</v>
      </c>
      <c r="J15653">
        <v>-342.86</v>
      </c>
      <c r="K15653">
        <v>-66.36</v>
      </c>
      <c r="L15653">
        <v>56562</v>
      </c>
      <c r="M15653" t="s">
        <v>126</v>
      </c>
      <c r="N15653" t="str">
        <f>"3051030     "</f>
        <v xml:space="preserve">3051030     </v>
      </c>
      <c r="O15653">
        <v>230118</v>
      </c>
    </row>
    <row r="15654" spans="1:15" x14ac:dyDescent="0.25">
      <c r="A15654" t="s">
        <v>16</v>
      </c>
      <c r="B15654" t="s">
        <v>3221</v>
      </c>
      <c r="C15654">
        <v>929</v>
      </c>
      <c r="D15654" t="s">
        <v>123</v>
      </c>
      <c r="E15654" t="s">
        <v>124</v>
      </c>
      <c r="F15654">
        <v>316</v>
      </c>
      <c r="G15654">
        <v>230123</v>
      </c>
      <c r="H15654">
        <v>4343</v>
      </c>
      <c r="I15654" t="s">
        <v>91</v>
      </c>
      <c r="J15654">
        <v>391.84</v>
      </c>
      <c r="K15654">
        <v>75.84</v>
      </c>
      <c r="L15654">
        <v>46556</v>
      </c>
      <c r="M15654" t="s">
        <v>125</v>
      </c>
      <c r="N15654" t="str">
        <f>"3051533     "</f>
        <v xml:space="preserve">3051533     </v>
      </c>
      <c r="O15654">
        <v>230201</v>
      </c>
    </row>
    <row r="15655" spans="1:15" x14ac:dyDescent="0.25">
      <c r="A15655" t="s">
        <v>16</v>
      </c>
      <c r="B15655" t="s">
        <v>3221</v>
      </c>
      <c r="C15655">
        <v>929</v>
      </c>
      <c r="D15655" t="s">
        <v>123</v>
      </c>
      <c r="E15655" t="s">
        <v>124</v>
      </c>
      <c r="F15655">
        <v>316</v>
      </c>
      <c r="G15655">
        <v>230123</v>
      </c>
      <c r="H15655">
        <v>4343</v>
      </c>
      <c r="I15655" t="s">
        <v>91</v>
      </c>
      <c r="J15655">
        <v>391.84</v>
      </c>
      <c r="K15655">
        <v>75.84</v>
      </c>
      <c r="L15655">
        <v>56562</v>
      </c>
      <c r="M15655" t="s">
        <v>126</v>
      </c>
      <c r="N15655" t="str">
        <f>"3051533     "</f>
        <v xml:space="preserve">3051533     </v>
      </c>
      <c r="O15655">
        <v>230201</v>
      </c>
    </row>
    <row r="15656" spans="1:15" x14ac:dyDescent="0.25">
      <c r="A15656" t="s">
        <v>16</v>
      </c>
      <c r="B15656" t="s">
        <v>3221</v>
      </c>
      <c r="C15656">
        <v>1858</v>
      </c>
      <c r="D15656" t="s">
        <v>123</v>
      </c>
      <c r="E15656" t="s">
        <v>124</v>
      </c>
      <c r="F15656">
        <v>126</v>
      </c>
      <c r="G15656">
        <v>230214</v>
      </c>
      <c r="H15656">
        <v>4343</v>
      </c>
      <c r="I15656" t="s">
        <v>91</v>
      </c>
      <c r="J15656">
        <v>156.24</v>
      </c>
      <c r="K15656">
        <v>30.24</v>
      </c>
      <c r="L15656">
        <v>66756</v>
      </c>
      <c r="M15656" t="s">
        <v>209</v>
      </c>
      <c r="N15656" t="str">
        <f>"3052514     "</f>
        <v xml:space="preserve">3052514     </v>
      </c>
      <c r="O15656">
        <v>230215</v>
      </c>
    </row>
    <row r="15657" spans="1:15" x14ac:dyDescent="0.25">
      <c r="A15657" t="s">
        <v>16</v>
      </c>
      <c r="B15657" t="s">
        <v>3221</v>
      </c>
      <c r="C15657">
        <v>6280</v>
      </c>
      <c r="D15657" t="s">
        <v>123</v>
      </c>
      <c r="E15657" t="s">
        <v>124</v>
      </c>
      <c r="F15657">
        <v>316</v>
      </c>
      <c r="G15657">
        <v>230502</v>
      </c>
      <c r="H15657">
        <v>4343</v>
      </c>
      <c r="I15657" t="s">
        <v>91</v>
      </c>
      <c r="J15657">
        <v>391.84</v>
      </c>
      <c r="K15657">
        <v>75.84</v>
      </c>
      <c r="L15657">
        <v>46556</v>
      </c>
      <c r="M15657" t="s">
        <v>125</v>
      </c>
      <c r="N15657" t="str">
        <f>"3054318     "</f>
        <v xml:space="preserve">3054318     </v>
      </c>
      <c r="O15657">
        <v>230509</v>
      </c>
    </row>
    <row r="15658" spans="1:15" x14ac:dyDescent="0.25">
      <c r="A15658" t="s">
        <v>16</v>
      </c>
      <c r="B15658" t="s">
        <v>3221</v>
      </c>
      <c r="C15658">
        <v>6280</v>
      </c>
      <c r="D15658" t="s">
        <v>123</v>
      </c>
      <c r="E15658" t="s">
        <v>124</v>
      </c>
      <c r="F15658">
        <v>316</v>
      </c>
      <c r="G15658">
        <v>230502</v>
      </c>
      <c r="H15658">
        <v>4343</v>
      </c>
      <c r="I15658" t="s">
        <v>91</v>
      </c>
      <c r="J15658">
        <v>391.84</v>
      </c>
      <c r="K15658">
        <v>75.84</v>
      </c>
      <c r="L15658">
        <v>56562</v>
      </c>
      <c r="M15658" t="s">
        <v>126</v>
      </c>
      <c r="N15658" t="str">
        <f>"3054318     "</f>
        <v xml:space="preserve">3054318     </v>
      </c>
      <c r="O15658">
        <v>230509</v>
      </c>
    </row>
    <row r="15659" spans="1:15" x14ac:dyDescent="0.25">
      <c r="A15659" t="s">
        <v>16</v>
      </c>
      <c r="B15659" t="s">
        <v>3221</v>
      </c>
      <c r="C15659">
        <v>8897</v>
      </c>
      <c r="D15659" t="s">
        <v>123</v>
      </c>
      <c r="E15659" t="s">
        <v>124</v>
      </c>
      <c r="F15659">
        <v>126</v>
      </c>
      <c r="G15659">
        <v>230616</v>
      </c>
      <c r="H15659">
        <v>4343</v>
      </c>
      <c r="I15659" t="s">
        <v>91</v>
      </c>
      <c r="J15659">
        <v>156.24</v>
      </c>
      <c r="K15659">
        <v>30.24</v>
      </c>
      <c r="L15659">
        <v>66756</v>
      </c>
      <c r="M15659" t="s">
        <v>209</v>
      </c>
      <c r="N15659" t="str">
        <f>"3055407     "</f>
        <v xml:space="preserve">3055407     </v>
      </c>
      <c r="O15659">
        <v>230619</v>
      </c>
    </row>
    <row r="15660" spans="1:15" x14ac:dyDescent="0.25">
      <c r="A15660" t="s">
        <v>16</v>
      </c>
      <c r="B15660" t="s">
        <v>3221</v>
      </c>
      <c r="C15660">
        <v>13133</v>
      </c>
      <c r="D15660" t="s">
        <v>123</v>
      </c>
      <c r="E15660" t="s">
        <v>124</v>
      </c>
      <c r="F15660">
        <v>140</v>
      </c>
      <c r="G15660">
        <v>230928</v>
      </c>
      <c r="H15660">
        <v>4343</v>
      </c>
      <c r="I15660" t="s">
        <v>91</v>
      </c>
      <c r="J15660">
        <v>173.6</v>
      </c>
      <c r="K15660">
        <v>33.6</v>
      </c>
      <c r="L15660">
        <v>17527</v>
      </c>
      <c r="M15660" t="s">
        <v>422</v>
      </c>
      <c r="N15660" t="str">
        <f>"3057476     "</f>
        <v xml:space="preserve">3057476     </v>
      </c>
      <c r="O15660">
        <v>231004</v>
      </c>
    </row>
    <row r="15661" spans="1:15" x14ac:dyDescent="0.25">
      <c r="A15661" t="s">
        <v>16</v>
      </c>
      <c r="B15661" t="s">
        <v>3221</v>
      </c>
      <c r="C15661">
        <v>13134</v>
      </c>
      <c r="D15661" t="s">
        <v>123</v>
      </c>
      <c r="E15661" t="s">
        <v>124</v>
      </c>
      <c r="F15661">
        <v>107</v>
      </c>
      <c r="G15661">
        <v>230928</v>
      </c>
      <c r="H15661">
        <v>4343</v>
      </c>
      <c r="I15661" t="s">
        <v>91</v>
      </c>
      <c r="J15661">
        <v>132.68</v>
      </c>
      <c r="K15661">
        <v>25.68</v>
      </c>
      <c r="L15661">
        <v>17527</v>
      </c>
      <c r="M15661" t="s">
        <v>422</v>
      </c>
      <c r="N15661" t="str">
        <f>"3057512     "</f>
        <v xml:space="preserve">3057512     </v>
      </c>
      <c r="O15661">
        <v>231004</v>
      </c>
    </row>
    <row r="15662" spans="1:15" x14ac:dyDescent="0.25">
      <c r="A15662" t="s">
        <v>16</v>
      </c>
      <c r="B15662" t="s">
        <v>3221</v>
      </c>
      <c r="C15662">
        <v>13511</v>
      </c>
      <c r="D15662" t="s">
        <v>123</v>
      </c>
      <c r="E15662" t="s">
        <v>124</v>
      </c>
      <c r="F15662">
        <v>74.16</v>
      </c>
      <c r="G15662">
        <v>231005</v>
      </c>
      <c r="H15662">
        <v>4343</v>
      </c>
      <c r="I15662" t="s">
        <v>91</v>
      </c>
      <c r="J15662">
        <v>91.96</v>
      </c>
      <c r="K15662">
        <v>17.8</v>
      </c>
      <c r="L15662">
        <v>66756</v>
      </c>
      <c r="M15662" t="s">
        <v>209</v>
      </c>
      <c r="N15662" t="str">
        <f>"3057678     "</f>
        <v xml:space="preserve">3057678     </v>
      </c>
      <c r="O15662">
        <v>231010</v>
      </c>
    </row>
    <row r="15663" spans="1:15" x14ac:dyDescent="0.25">
      <c r="A15663" t="s">
        <v>16</v>
      </c>
      <c r="B15663" t="s">
        <v>3221</v>
      </c>
      <c r="C15663">
        <v>14126</v>
      </c>
      <c r="D15663" t="s">
        <v>123</v>
      </c>
      <c r="E15663" t="s">
        <v>124</v>
      </c>
      <c r="F15663">
        <v>126</v>
      </c>
      <c r="G15663">
        <v>231016</v>
      </c>
      <c r="H15663">
        <v>4343</v>
      </c>
      <c r="I15663" t="s">
        <v>91</v>
      </c>
      <c r="J15663">
        <v>156.24</v>
      </c>
      <c r="K15663">
        <v>30.24</v>
      </c>
      <c r="L15663">
        <v>66756</v>
      </c>
      <c r="M15663" t="s">
        <v>209</v>
      </c>
      <c r="N15663" t="str">
        <f>"3057877     "</f>
        <v xml:space="preserve">3057877     </v>
      </c>
      <c r="O15663">
        <v>231019</v>
      </c>
    </row>
    <row r="15664" spans="1:15" x14ac:dyDescent="0.25">
      <c r="A15664" t="s">
        <v>16</v>
      </c>
      <c r="B15664" t="s">
        <v>3221</v>
      </c>
      <c r="C15664">
        <v>1339</v>
      </c>
      <c r="D15664" t="s">
        <v>123</v>
      </c>
      <c r="E15664" t="s">
        <v>124</v>
      </c>
      <c r="F15664">
        <v>107</v>
      </c>
      <c r="G15664">
        <v>230130</v>
      </c>
      <c r="H15664">
        <v>4510</v>
      </c>
      <c r="I15664" t="s">
        <v>42</v>
      </c>
      <c r="J15664">
        <v>132.68</v>
      </c>
      <c r="K15664">
        <v>25.68</v>
      </c>
      <c r="L15664">
        <v>17527</v>
      </c>
      <c r="M15664" t="s">
        <v>422</v>
      </c>
      <c r="N15664" t="str">
        <f>"3052049     "</f>
        <v xml:space="preserve">3052049     </v>
      </c>
      <c r="O15664">
        <v>230208</v>
      </c>
    </row>
    <row r="15665" spans="1:15" x14ac:dyDescent="0.25">
      <c r="A15665" t="s">
        <v>16</v>
      </c>
      <c r="B15665" t="s">
        <v>3221</v>
      </c>
      <c r="C15665">
        <v>1340</v>
      </c>
      <c r="D15665" t="s">
        <v>123</v>
      </c>
      <c r="E15665" t="s">
        <v>124</v>
      </c>
      <c r="F15665">
        <v>140</v>
      </c>
      <c r="G15665">
        <v>230130</v>
      </c>
      <c r="H15665">
        <v>4510</v>
      </c>
      <c r="I15665" t="s">
        <v>42</v>
      </c>
      <c r="J15665">
        <v>173.6</v>
      </c>
      <c r="K15665">
        <v>33.6</v>
      </c>
      <c r="L15665">
        <v>17527</v>
      </c>
      <c r="M15665" t="s">
        <v>422</v>
      </c>
      <c r="N15665" t="str">
        <f>"3052024     "</f>
        <v xml:space="preserve">3052024     </v>
      </c>
      <c r="O15665">
        <v>230208</v>
      </c>
    </row>
    <row r="15666" spans="1:15" x14ac:dyDescent="0.25">
      <c r="A15666" t="s">
        <v>16</v>
      </c>
      <c r="B15666" t="s">
        <v>3221</v>
      </c>
      <c r="C15666">
        <v>3253</v>
      </c>
      <c r="D15666" t="s">
        <v>123</v>
      </c>
      <c r="E15666" t="s">
        <v>124</v>
      </c>
      <c r="F15666">
        <v>236</v>
      </c>
      <c r="G15666">
        <v>230302</v>
      </c>
      <c r="H15666">
        <v>4510</v>
      </c>
      <c r="I15666" t="s">
        <v>42</v>
      </c>
      <c r="J15666">
        <v>292.64</v>
      </c>
      <c r="K15666">
        <v>56.64</v>
      </c>
      <c r="L15666">
        <v>56524</v>
      </c>
      <c r="M15666" t="s">
        <v>150</v>
      </c>
      <c r="N15666" t="str">
        <f>"3053012     "</f>
        <v xml:space="preserve">3053012     </v>
      </c>
      <c r="O15666">
        <v>230313</v>
      </c>
    </row>
    <row r="15667" spans="1:15" x14ac:dyDescent="0.25">
      <c r="A15667" t="s">
        <v>16</v>
      </c>
      <c r="B15667" t="s">
        <v>3221</v>
      </c>
      <c r="C15667">
        <v>6039</v>
      </c>
      <c r="D15667" t="s">
        <v>123</v>
      </c>
      <c r="E15667" t="s">
        <v>124</v>
      </c>
      <c r="F15667">
        <v>55</v>
      </c>
      <c r="G15667">
        <v>230502</v>
      </c>
      <c r="H15667">
        <v>4510</v>
      </c>
      <c r="I15667" t="s">
        <v>42</v>
      </c>
      <c r="J15667">
        <v>60.5</v>
      </c>
      <c r="K15667">
        <v>5.5</v>
      </c>
      <c r="L15667">
        <v>46556</v>
      </c>
      <c r="M15667" t="s">
        <v>125</v>
      </c>
      <c r="N15667" t="str">
        <f>"3054232     "</f>
        <v xml:space="preserve">3054232     </v>
      </c>
      <c r="O15667">
        <v>230505</v>
      </c>
    </row>
    <row r="15668" spans="1:15" x14ac:dyDescent="0.25">
      <c r="A15668" t="s">
        <v>16</v>
      </c>
      <c r="B15668" t="s">
        <v>3221</v>
      </c>
      <c r="C15668">
        <v>7425</v>
      </c>
      <c r="D15668" t="s">
        <v>123</v>
      </c>
      <c r="E15668" t="s">
        <v>124</v>
      </c>
      <c r="F15668">
        <v>140</v>
      </c>
      <c r="G15668">
        <v>230529</v>
      </c>
      <c r="H15668">
        <v>4510</v>
      </c>
      <c r="I15668" t="s">
        <v>42</v>
      </c>
      <c r="J15668">
        <v>173.6</v>
      </c>
      <c r="K15668">
        <v>33.6</v>
      </c>
      <c r="L15668">
        <v>17527</v>
      </c>
      <c r="M15668" t="s">
        <v>422</v>
      </c>
      <c r="N15668" t="str">
        <f>"3055032     "</f>
        <v xml:space="preserve">3055032     </v>
      </c>
      <c r="O15668">
        <v>230530</v>
      </c>
    </row>
    <row r="15669" spans="1:15" x14ac:dyDescent="0.25">
      <c r="A15669" t="s">
        <v>16</v>
      </c>
      <c r="B15669" t="s">
        <v>3221</v>
      </c>
      <c r="C15669">
        <v>7671</v>
      </c>
      <c r="D15669" t="s">
        <v>123</v>
      </c>
      <c r="E15669" t="s">
        <v>124</v>
      </c>
      <c r="F15669">
        <v>107</v>
      </c>
      <c r="G15669">
        <v>230529</v>
      </c>
      <c r="H15669">
        <v>4510</v>
      </c>
      <c r="I15669" t="s">
        <v>42</v>
      </c>
      <c r="J15669">
        <v>132.68</v>
      </c>
      <c r="K15669">
        <v>25.68</v>
      </c>
      <c r="L15669">
        <v>17527</v>
      </c>
      <c r="M15669" t="s">
        <v>422</v>
      </c>
      <c r="N15669" t="str">
        <f>"3054952     "</f>
        <v xml:space="preserve">3054952     </v>
      </c>
      <c r="O15669">
        <v>230601</v>
      </c>
    </row>
    <row r="15670" spans="1:15" x14ac:dyDescent="0.25">
      <c r="A15670" t="s">
        <v>16</v>
      </c>
      <c r="B15670" t="s">
        <v>3221</v>
      </c>
      <c r="C15670">
        <v>8000</v>
      </c>
      <c r="D15670" t="s">
        <v>123</v>
      </c>
      <c r="E15670" t="s">
        <v>124</v>
      </c>
      <c r="F15670">
        <v>236</v>
      </c>
      <c r="G15670">
        <v>230602</v>
      </c>
      <c r="H15670">
        <v>4510</v>
      </c>
      <c r="I15670" t="s">
        <v>42</v>
      </c>
      <c r="J15670">
        <v>292.64</v>
      </c>
      <c r="K15670">
        <v>56.64</v>
      </c>
      <c r="L15670">
        <v>56524</v>
      </c>
      <c r="M15670" t="s">
        <v>150</v>
      </c>
      <c r="N15670" t="str">
        <f>"3055131     "</f>
        <v xml:space="preserve">3055131     </v>
      </c>
      <c r="O15670">
        <v>230606</v>
      </c>
    </row>
    <row r="15671" spans="1:15" x14ac:dyDescent="0.25">
      <c r="A15671" t="s">
        <v>16</v>
      </c>
      <c r="B15671" t="s">
        <v>3221</v>
      </c>
      <c r="C15671">
        <v>11805</v>
      </c>
      <c r="D15671" t="s">
        <v>123</v>
      </c>
      <c r="E15671" t="s">
        <v>124</v>
      </c>
      <c r="F15671">
        <v>236</v>
      </c>
      <c r="G15671">
        <v>230904</v>
      </c>
      <c r="H15671">
        <v>4510</v>
      </c>
      <c r="I15671" t="s">
        <v>42</v>
      </c>
      <c r="J15671">
        <v>292.64</v>
      </c>
      <c r="K15671">
        <v>56.64</v>
      </c>
      <c r="L15671">
        <v>56524</v>
      </c>
      <c r="M15671" t="s">
        <v>150</v>
      </c>
      <c r="N15671" t="str">
        <f>"3056988     "</f>
        <v xml:space="preserve">3056988     </v>
      </c>
      <c r="O15671">
        <v>230911</v>
      </c>
    </row>
    <row r="15672" spans="1:15" x14ac:dyDescent="0.25">
      <c r="A15672" t="s">
        <v>16</v>
      </c>
      <c r="B15672" t="s">
        <v>3221</v>
      </c>
      <c r="C15672">
        <v>12568</v>
      </c>
      <c r="D15672" t="s">
        <v>123</v>
      </c>
      <c r="E15672" t="s">
        <v>124</v>
      </c>
      <c r="F15672">
        <v>210.65</v>
      </c>
      <c r="G15672">
        <v>230904</v>
      </c>
      <c r="H15672">
        <v>4510</v>
      </c>
      <c r="I15672" t="s">
        <v>42</v>
      </c>
      <c r="J15672">
        <v>261.2</v>
      </c>
      <c r="K15672">
        <v>50.55</v>
      </c>
      <c r="L15672">
        <v>17806</v>
      </c>
      <c r="M15672" t="s">
        <v>265</v>
      </c>
      <c r="N15672" t="str">
        <f>"3056970     "</f>
        <v xml:space="preserve">3056970     </v>
      </c>
      <c r="O15672">
        <v>230921</v>
      </c>
    </row>
    <row r="15673" spans="1:15" x14ac:dyDescent="0.25">
      <c r="A15673" t="s">
        <v>16</v>
      </c>
      <c r="B15673" t="s">
        <v>3221</v>
      </c>
      <c r="C15673">
        <v>12568</v>
      </c>
      <c r="D15673" t="s">
        <v>123</v>
      </c>
      <c r="E15673" t="s">
        <v>124</v>
      </c>
      <c r="F15673">
        <v>210.63</v>
      </c>
      <c r="G15673">
        <v>230904</v>
      </c>
      <c r="H15673">
        <v>4510</v>
      </c>
      <c r="I15673" t="s">
        <v>42</v>
      </c>
      <c r="J15673">
        <v>261.18</v>
      </c>
      <c r="K15673">
        <v>50.55</v>
      </c>
      <c r="L15673">
        <v>46556</v>
      </c>
      <c r="M15673" t="s">
        <v>125</v>
      </c>
      <c r="N15673" t="str">
        <f>"3056970     "</f>
        <v xml:space="preserve">3056970     </v>
      </c>
      <c r="O15673">
        <v>230921</v>
      </c>
    </row>
    <row r="15674" spans="1:15" x14ac:dyDescent="0.25">
      <c r="A15674" t="s">
        <v>16</v>
      </c>
      <c r="B15674" t="s">
        <v>3221</v>
      </c>
      <c r="C15674">
        <v>12568</v>
      </c>
      <c r="D15674" t="s">
        <v>123</v>
      </c>
      <c r="E15674" t="s">
        <v>124</v>
      </c>
      <c r="F15674">
        <v>210.73</v>
      </c>
      <c r="G15674">
        <v>230904</v>
      </c>
      <c r="H15674">
        <v>4510</v>
      </c>
      <c r="I15674" t="s">
        <v>42</v>
      </c>
      <c r="J15674">
        <v>261.3</v>
      </c>
      <c r="K15674">
        <v>50.57</v>
      </c>
      <c r="L15674">
        <v>56562</v>
      </c>
      <c r="M15674" t="s">
        <v>126</v>
      </c>
      <c r="N15674" t="str">
        <f>"3056970     "</f>
        <v xml:space="preserve">3056970     </v>
      </c>
      <c r="O15674">
        <v>230921</v>
      </c>
    </row>
    <row r="15675" spans="1:15" x14ac:dyDescent="0.25">
      <c r="A15675" t="s">
        <v>16</v>
      </c>
      <c r="B15675" t="s">
        <v>3221</v>
      </c>
      <c r="C15675">
        <v>17322</v>
      </c>
      <c r="D15675" t="s">
        <v>123</v>
      </c>
      <c r="E15675" t="s">
        <v>124</v>
      </c>
      <c r="F15675">
        <v>59</v>
      </c>
      <c r="G15675">
        <v>231204</v>
      </c>
      <c r="H15675">
        <v>4510</v>
      </c>
      <c r="I15675" t="s">
        <v>42</v>
      </c>
      <c r="J15675">
        <v>73.16</v>
      </c>
      <c r="K15675">
        <v>14.16</v>
      </c>
      <c r="L15675">
        <v>56524</v>
      </c>
      <c r="M15675" t="s">
        <v>150</v>
      </c>
      <c r="N15675" t="str">
        <f>"3059023     "</f>
        <v xml:space="preserve">3059023     </v>
      </c>
      <c r="O15675">
        <v>231213</v>
      </c>
    </row>
    <row r="15676" spans="1:15" x14ac:dyDescent="0.25">
      <c r="A15676" t="s">
        <v>16</v>
      </c>
      <c r="B15676" t="s">
        <v>3221</v>
      </c>
      <c r="C15676">
        <v>5295</v>
      </c>
      <c r="D15676" t="s">
        <v>123</v>
      </c>
      <c r="E15676" t="s">
        <v>124</v>
      </c>
      <c r="F15676">
        <v>80.650000000000006</v>
      </c>
      <c r="G15676">
        <v>230413</v>
      </c>
      <c r="H15676">
        <v>4347</v>
      </c>
      <c r="I15676" t="s">
        <v>193</v>
      </c>
      <c r="J15676">
        <v>100.01</v>
      </c>
      <c r="K15676">
        <v>19.36</v>
      </c>
      <c r="L15676">
        <v>11401</v>
      </c>
      <c r="M15676" t="s">
        <v>84</v>
      </c>
      <c r="N15676" t="str">
        <f>"1019354     "</f>
        <v xml:space="preserve">1019354     </v>
      </c>
      <c r="O15676">
        <v>230420</v>
      </c>
    </row>
    <row r="15677" spans="1:15" x14ac:dyDescent="0.25">
      <c r="A15677" t="s">
        <v>16</v>
      </c>
      <c r="B15677" t="s">
        <v>3221</v>
      </c>
      <c r="C15677">
        <v>9459</v>
      </c>
      <c r="D15677" t="s">
        <v>476</v>
      </c>
      <c r="E15677" t="s">
        <v>477</v>
      </c>
      <c r="F15677">
        <v>27081.68</v>
      </c>
      <c r="G15677">
        <v>230630</v>
      </c>
      <c r="H15677">
        <v>1198</v>
      </c>
      <c r="I15677" t="s">
        <v>1128</v>
      </c>
      <c r="J15677">
        <v>33581.279999999999</v>
      </c>
      <c r="K15677">
        <v>6499.6</v>
      </c>
      <c r="L15677">
        <v>97628</v>
      </c>
      <c r="M15677" t="s">
        <v>1772</v>
      </c>
      <c r="N15677" t="str">
        <f>"325         "</f>
        <v xml:space="preserve">325         </v>
      </c>
      <c r="O15677">
        <v>230711</v>
      </c>
    </row>
    <row r="15678" spans="1:15" x14ac:dyDescent="0.25">
      <c r="A15678" t="s">
        <v>16</v>
      </c>
      <c r="B15678" t="s">
        <v>3221</v>
      </c>
      <c r="C15678">
        <v>347</v>
      </c>
      <c r="D15678" t="s">
        <v>476</v>
      </c>
      <c r="E15678" t="s">
        <v>477</v>
      </c>
      <c r="F15678">
        <v>50000</v>
      </c>
      <c r="G15678">
        <v>230117</v>
      </c>
      <c r="H15678">
        <v>1196</v>
      </c>
      <c r="I15678" t="s">
        <v>392</v>
      </c>
      <c r="J15678">
        <v>50000</v>
      </c>
      <c r="K15678">
        <v>0</v>
      </c>
      <c r="L15678">
        <v>97603</v>
      </c>
      <c r="M15678" t="s">
        <v>478</v>
      </c>
      <c r="N15678" t="str">
        <f>"280         "</f>
        <v xml:space="preserve">280         </v>
      </c>
      <c r="O15678">
        <v>230118</v>
      </c>
    </row>
    <row r="15679" spans="1:15" x14ac:dyDescent="0.25">
      <c r="A15679" t="s">
        <v>16</v>
      </c>
      <c r="B15679" t="s">
        <v>3221</v>
      </c>
      <c r="C15679">
        <v>568</v>
      </c>
      <c r="D15679" t="s">
        <v>476</v>
      </c>
      <c r="E15679" t="s">
        <v>477</v>
      </c>
      <c r="F15679">
        <v>30000</v>
      </c>
      <c r="G15679">
        <v>230124</v>
      </c>
      <c r="H15679">
        <v>1196</v>
      </c>
      <c r="I15679" t="s">
        <v>392</v>
      </c>
      <c r="J15679">
        <v>30000</v>
      </c>
      <c r="K15679">
        <v>0</v>
      </c>
      <c r="L15679">
        <v>97603</v>
      </c>
      <c r="M15679" t="s">
        <v>478</v>
      </c>
      <c r="N15679" t="str">
        <f>"283         "</f>
        <v xml:space="preserve">283         </v>
      </c>
      <c r="O15679">
        <v>230124</v>
      </c>
    </row>
    <row r="15680" spans="1:15" x14ac:dyDescent="0.25">
      <c r="A15680" t="s">
        <v>16</v>
      </c>
      <c r="B15680" t="s">
        <v>3221</v>
      </c>
      <c r="C15680">
        <v>2367</v>
      </c>
      <c r="D15680" t="s">
        <v>476</v>
      </c>
      <c r="E15680" t="s">
        <v>477</v>
      </c>
      <c r="F15680">
        <v>125000</v>
      </c>
      <c r="G15680">
        <v>230223</v>
      </c>
      <c r="H15680">
        <v>1196</v>
      </c>
      <c r="I15680" t="s">
        <v>392</v>
      </c>
      <c r="J15680">
        <v>125000</v>
      </c>
      <c r="K15680">
        <v>0</v>
      </c>
      <c r="L15680">
        <v>97603</v>
      </c>
      <c r="M15680" t="s">
        <v>478</v>
      </c>
      <c r="N15680" t="str">
        <f>"293         "</f>
        <v xml:space="preserve">293         </v>
      </c>
      <c r="O15680">
        <v>230224</v>
      </c>
    </row>
    <row r="15681" spans="1:15" x14ac:dyDescent="0.25">
      <c r="A15681" t="s">
        <v>16</v>
      </c>
      <c r="B15681" t="s">
        <v>3221</v>
      </c>
      <c r="C15681">
        <v>5014</v>
      </c>
      <c r="D15681" t="s">
        <v>476</v>
      </c>
      <c r="E15681" t="s">
        <v>477</v>
      </c>
      <c r="F15681">
        <v>40000</v>
      </c>
      <c r="G15681">
        <v>230414</v>
      </c>
      <c r="H15681">
        <v>1196</v>
      </c>
      <c r="I15681" t="s">
        <v>392</v>
      </c>
      <c r="J15681">
        <v>40000</v>
      </c>
      <c r="K15681">
        <v>0</v>
      </c>
      <c r="L15681">
        <v>97603</v>
      </c>
      <c r="M15681" t="s">
        <v>478</v>
      </c>
      <c r="N15681" t="str">
        <f>"302         "</f>
        <v xml:space="preserve">302         </v>
      </c>
      <c r="O15681">
        <v>230417</v>
      </c>
    </row>
    <row r="15682" spans="1:15" x14ac:dyDescent="0.25">
      <c r="A15682" t="s">
        <v>16</v>
      </c>
      <c r="B15682" t="s">
        <v>3221</v>
      </c>
      <c r="C15682">
        <v>5412</v>
      </c>
      <c r="D15682" t="s">
        <v>476</v>
      </c>
      <c r="E15682" t="s">
        <v>477</v>
      </c>
      <c r="F15682">
        <v>30000</v>
      </c>
      <c r="G15682">
        <v>230420</v>
      </c>
      <c r="H15682">
        <v>1196</v>
      </c>
      <c r="I15682" t="s">
        <v>392</v>
      </c>
      <c r="J15682">
        <v>30000</v>
      </c>
      <c r="K15682">
        <v>0</v>
      </c>
      <c r="L15682">
        <v>97603</v>
      </c>
      <c r="M15682" t="s">
        <v>478</v>
      </c>
      <c r="N15682" t="str">
        <f>"304         "</f>
        <v xml:space="preserve">304         </v>
      </c>
      <c r="O15682">
        <v>230424</v>
      </c>
    </row>
    <row r="15683" spans="1:15" x14ac:dyDescent="0.25">
      <c r="A15683" t="s">
        <v>16</v>
      </c>
      <c r="B15683" t="s">
        <v>3221</v>
      </c>
      <c r="C15683">
        <v>6604</v>
      </c>
      <c r="D15683" t="s">
        <v>476</v>
      </c>
      <c r="E15683" t="s">
        <v>477</v>
      </c>
      <c r="F15683">
        <v>20000</v>
      </c>
      <c r="G15683">
        <v>230510</v>
      </c>
      <c r="H15683">
        <v>1196</v>
      </c>
      <c r="I15683" t="s">
        <v>392</v>
      </c>
      <c r="J15683">
        <v>20000</v>
      </c>
      <c r="K15683">
        <v>0</v>
      </c>
      <c r="L15683">
        <v>97603</v>
      </c>
      <c r="M15683" t="s">
        <v>478</v>
      </c>
      <c r="N15683" t="str">
        <f>"306         "</f>
        <v xml:space="preserve">306         </v>
      </c>
      <c r="O15683">
        <v>230516</v>
      </c>
    </row>
    <row r="15684" spans="1:15" x14ac:dyDescent="0.25">
      <c r="A15684" t="s">
        <v>16</v>
      </c>
      <c r="B15684" t="s">
        <v>3221</v>
      </c>
      <c r="C15684">
        <v>6935</v>
      </c>
      <c r="D15684" t="s">
        <v>476</v>
      </c>
      <c r="E15684" t="s">
        <v>477</v>
      </c>
      <c r="F15684">
        <v>55000</v>
      </c>
      <c r="G15684">
        <v>230511</v>
      </c>
      <c r="H15684">
        <v>1196</v>
      </c>
      <c r="I15684" t="s">
        <v>392</v>
      </c>
      <c r="J15684">
        <v>55000</v>
      </c>
      <c r="K15684">
        <v>0</v>
      </c>
      <c r="L15684">
        <v>97603</v>
      </c>
      <c r="M15684" t="s">
        <v>478</v>
      </c>
      <c r="N15684" t="str">
        <f>"311         "</f>
        <v xml:space="preserve">311         </v>
      </c>
      <c r="O15684">
        <v>230523</v>
      </c>
    </row>
    <row r="15685" spans="1:15" x14ac:dyDescent="0.25">
      <c r="A15685" t="s">
        <v>16</v>
      </c>
      <c r="B15685" t="s">
        <v>3221</v>
      </c>
      <c r="C15685">
        <v>7622</v>
      </c>
      <c r="D15685" t="s">
        <v>476</v>
      </c>
      <c r="E15685" t="s">
        <v>477</v>
      </c>
      <c r="F15685">
        <v>90000</v>
      </c>
      <c r="G15685">
        <v>230531</v>
      </c>
      <c r="H15685">
        <v>1196</v>
      </c>
      <c r="I15685" t="s">
        <v>392</v>
      </c>
      <c r="J15685">
        <v>90000</v>
      </c>
      <c r="K15685">
        <v>0</v>
      </c>
      <c r="L15685">
        <v>97603</v>
      </c>
      <c r="M15685" t="s">
        <v>478</v>
      </c>
      <c r="N15685" t="str">
        <f>"315         "</f>
        <v xml:space="preserve">315         </v>
      </c>
      <c r="O15685">
        <v>230601</v>
      </c>
    </row>
    <row r="15686" spans="1:15" x14ac:dyDescent="0.25">
      <c r="A15686" t="s">
        <v>16</v>
      </c>
      <c r="B15686" t="s">
        <v>3221</v>
      </c>
      <c r="C15686">
        <v>8997</v>
      </c>
      <c r="D15686" t="s">
        <v>476</v>
      </c>
      <c r="E15686" t="s">
        <v>477</v>
      </c>
      <c r="F15686">
        <v>50300</v>
      </c>
      <c r="G15686">
        <v>230616</v>
      </c>
      <c r="H15686">
        <v>1196</v>
      </c>
      <c r="I15686" t="s">
        <v>392</v>
      </c>
      <c r="J15686">
        <v>50300</v>
      </c>
      <c r="K15686">
        <v>0</v>
      </c>
      <c r="L15686">
        <v>97603</v>
      </c>
      <c r="M15686" t="s">
        <v>478</v>
      </c>
      <c r="N15686" t="str">
        <f>"318         "</f>
        <v xml:space="preserve">318         </v>
      </c>
      <c r="O15686">
        <v>230620</v>
      </c>
    </row>
    <row r="15687" spans="1:15" x14ac:dyDescent="0.25">
      <c r="A15687" t="s">
        <v>16</v>
      </c>
      <c r="B15687" t="s">
        <v>3221</v>
      </c>
      <c r="C15687">
        <v>9228</v>
      </c>
      <c r="D15687" t="s">
        <v>476</v>
      </c>
      <c r="E15687" t="s">
        <v>477</v>
      </c>
      <c r="F15687">
        <v>18370.400000000001</v>
      </c>
      <c r="G15687">
        <v>230627</v>
      </c>
      <c r="H15687">
        <v>1196</v>
      </c>
      <c r="I15687" t="s">
        <v>392</v>
      </c>
      <c r="J15687">
        <v>18370.400000000001</v>
      </c>
      <c r="K15687">
        <v>0</v>
      </c>
      <c r="L15687">
        <v>97603</v>
      </c>
      <c r="M15687" t="s">
        <v>478</v>
      </c>
      <c r="N15687" t="str">
        <f>"323         "</f>
        <v xml:space="preserve">323         </v>
      </c>
      <c r="O15687">
        <v>230630</v>
      </c>
    </row>
    <row r="15688" spans="1:15" x14ac:dyDescent="0.25">
      <c r="A15688" t="s">
        <v>16</v>
      </c>
      <c r="B15688" t="s">
        <v>3221</v>
      </c>
      <c r="C15688">
        <v>9418</v>
      </c>
      <c r="D15688" t="s">
        <v>476</v>
      </c>
      <c r="E15688" t="s">
        <v>477</v>
      </c>
      <c r="F15688">
        <v>136800</v>
      </c>
      <c r="G15688">
        <v>230627</v>
      </c>
      <c r="H15688">
        <v>1196</v>
      </c>
      <c r="I15688" t="s">
        <v>392</v>
      </c>
      <c r="J15688">
        <v>136800</v>
      </c>
      <c r="K15688">
        <v>0</v>
      </c>
      <c r="L15688">
        <v>97603</v>
      </c>
      <c r="M15688" t="s">
        <v>478</v>
      </c>
      <c r="N15688" t="str">
        <f>"322         "</f>
        <v xml:space="preserve">322         </v>
      </c>
      <c r="O15688">
        <v>230710</v>
      </c>
    </row>
    <row r="15689" spans="1:15" x14ac:dyDescent="0.25">
      <c r="A15689" t="s">
        <v>16</v>
      </c>
      <c r="B15689" t="s">
        <v>3221</v>
      </c>
      <c r="C15689">
        <v>11540</v>
      </c>
      <c r="D15689" t="s">
        <v>476</v>
      </c>
      <c r="E15689" t="s">
        <v>477</v>
      </c>
      <c r="F15689">
        <v>947.6</v>
      </c>
      <c r="G15689">
        <v>230825</v>
      </c>
      <c r="H15689">
        <v>1196</v>
      </c>
      <c r="I15689" t="s">
        <v>392</v>
      </c>
      <c r="J15689">
        <v>1175.02</v>
      </c>
      <c r="K15689">
        <v>227.42</v>
      </c>
      <c r="L15689">
        <v>97603</v>
      </c>
      <c r="M15689" t="s">
        <v>478</v>
      </c>
      <c r="N15689" t="str">
        <f>"340         "</f>
        <v xml:space="preserve">340         </v>
      </c>
      <c r="O15689">
        <v>230907</v>
      </c>
    </row>
    <row r="15690" spans="1:15" x14ac:dyDescent="0.25">
      <c r="A15690" t="s">
        <v>16</v>
      </c>
      <c r="B15690" t="s">
        <v>3221</v>
      </c>
      <c r="C15690">
        <v>941</v>
      </c>
      <c r="D15690" t="s">
        <v>808</v>
      </c>
      <c r="E15690" t="s">
        <v>809</v>
      </c>
      <c r="F15690">
        <v>70.400000000000006</v>
      </c>
      <c r="G15690">
        <v>230126</v>
      </c>
      <c r="H15690">
        <v>4390</v>
      </c>
      <c r="I15690" t="s">
        <v>98</v>
      </c>
      <c r="J15690">
        <v>70.400000000000006</v>
      </c>
      <c r="K15690">
        <v>0</v>
      </c>
      <c r="L15690">
        <v>13540</v>
      </c>
      <c r="M15690" t="s">
        <v>85</v>
      </c>
      <c r="N15690" t="str">
        <f>"1173        "</f>
        <v xml:space="preserve">1173        </v>
      </c>
      <c r="O15690">
        <v>230201</v>
      </c>
    </row>
    <row r="15691" spans="1:15" x14ac:dyDescent="0.25">
      <c r="A15691" t="s">
        <v>16</v>
      </c>
      <c r="B15691" t="s">
        <v>3221</v>
      </c>
      <c r="C15691">
        <v>941</v>
      </c>
      <c r="D15691" t="s">
        <v>808</v>
      </c>
      <c r="E15691" t="s">
        <v>809</v>
      </c>
      <c r="F15691">
        <v>969.6</v>
      </c>
      <c r="G15691">
        <v>230126</v>
      </c>
      <c r="H15691">
        <v>4390</v>
      </c>
      <c r="I15691" t="s">
        <v>98</v>
      </c>
      <c r="J15691">
        <v>969.6</v>
      </c>
      <c r="K15691">
        <v>0</v>
      </c>
      <c r="L15691">
        <v>17950</v>
      </c>
      <c r="M15691" t="s">
        <v>86</v>
      </c>
      <c r="N15691" t="str">
        <f>"1173        "</f>
        <v xml:space="preserve">1173        </v>
      </c>
      <c r="O15691">
        <v>230201</v>
      </c>
    </row>
    <row r="15692" spans="1:15" x14ac:dyDescent="0.25">
      <c r="A15692" t="s">
        <v>16</v>
      </c>
      <c r="B15692" t="s">
        <v>3221</v>
      </c>
      <c r="C15692">
        <v>2694</v>
      </c>
      <c r="D15692" t="s">
        <v>1460</v>
      </c>
      <c r="E15692" t="s">
        <v>1461</v>
      </c>
      <c r="F15692">
        <v>244.9</v>
      </c>
      <c r="G15692">
        <v>230224</v>
      </c>
      <c r="H15692">
        <v>4390</v>
      </c>
      <c r="I15692" t="s">
        <v>98</v>
      </c>
      <c r="J15692">
        <v>303.67</v>
      </c>
      <c r="K15692">
        <v>58.77</v>
      </c>
      <c r="L15692">
        <v>11401</v>
      </c>
      <c r="M15692" t="s">
        <v>84</v>
      </c>
      <c r="N15692" t="str">
        <f>"2090        "</f>
        <v xml:space="preserve">2090        </v>
      </c>
      <c r="O15692">
        <v>230307</v>
      </c>
    </row>
    <row r="15693" spans="1:15" x14ac:dyDescent="0.25">
      <c r="A15693" t="s">
        <v>16</v>
      </c>
      <c r="B15693" t="s">
        <v>3221</v>
      </c>
      <c r="C15693">
        <v>2694</v>
      </c>
      <c r="D15693" t="s">
        <v>1460</v>
      </c>
      <c r="E15693" t="s">
        <v>1461</v>
      </c>
      <c r="F15693">
        <v>489.78</v>
      </c>
      <c r="G15693">
        <v>230224</v>
      </c>
      <c r="H15693">
        <v>4390</v>
      </c>
      <c r="I15693" t="s">
        <v>98</v>
      </c>
      <c r="J15693">
        <v>607.33000000000004</v>
      </c>
      <c r="K15693">
        <v>117.55</v>
      </c>
      <c r="L15693">
        <v>14952</v>
      </c>
      <c r="M15693" t="s">
        <v>99</v>
      </c>
      <c r="N15693" t="str">
        <f>"2090        "</f>
        <v xml:space="preserve">2090        </v>
      </c>
      <c r="O15693">
        <v>230307</v>
      </c>
    </row>
    <row r="15694" spans="1:15" x14ac:dyDescent="0.25">
      <c r="A15694" t="s">
        <v>16</v>
      </c>
      <c r="B15694" t="s">
        <v>3221</v>
      </c>
      <c r="C15694">
        <v>14954</v>
      </c>
      <c r="D15694" t="s">
        <v>3685</v>
      </c>
      <c r="E15694" t="s">
        <v>2822</v>
      </c>
      <c r="F15694">
        <v>3850</v>
      </c>
      <c r="G15694">
        <v>231101</v>
      </c>
      <c r="H15694">
        <v>1196</v>
      </c>
      <c r="I15694" t="s">
        <v>392</v>
      </c>
      <c r="J15694">
        <v>4774</v>
      </c>
      <c r="K15694">
        <v>924</v>
      </c>
      <c r="L15694">
        <v>96501</v>
      </c>
      <c r="M15694" t="s">
        <v>2361</v>
      </c>
      <c r="N15694" t="str">
        <f>"23060       "</f>
        <v xml:space="preserve">23060       </v>
      </c>
      <c r="O15694">
        <v>231107</v>
      </c>
    </row>
    <row r="15695" spans="1:15" x14ac:dyDescent="0.25">
      <c r="A15695" t="s">
        <v>16</v>
      </c>
      <c r="B15695" t="s">
        <v>3221</v>
      </c>
      <c r="C15695">
        <v>14954</v>
      </c>
      <c r="D15695" t="s">
        <v>3685</v>
      </c>
      <c r="E15695" t="s">
        <v>2822</v>
      </c>
      <c r="F15695">
        <v>114.44</v>
      </c>
      <c r="G15695">
        <v>231101</v>
      </c>
      <c r="H15695">
        <v>1196</v>
      </c>
      <c r="I15695" t="s">
        <v>392</v>
      </c>
      <c r="J15695">
        <v>141.9</v>
      </c>
      <c r="K15695">
        <v>27.46</v>
      </c>
      <c r="L15695">
        <v>96501</v>
      </c>
      <c r="M15695" t="s">
        <v>2361</v>
      </c>
      <c r="N15695" t="str">
        <f>"23060       "</f>
        <v xml:space="preserve">23060       </v>
      </c>
      <c r="O15695">
        <v>231107</v>
      </c>
    </row>
    <row r="15696" spans="1:15" x14ac:dyDescent="0.25">
      <c r="A15696" t="s">
        <v>16</v>
      </c>
      <c r="B15696" t="s">
        <v>3221</v>
      </c>
      <c r="C15696">
        <v>17501</v>
      </c>
      <c r="D15696" t="s">
        <v>3685</v>
      </c>
      <c r="E15696" t="s">
        <v>2822</v>
      </c>
      <c r="F15696">
        <v>3600</v>
      </c>
      <c r="G15696">
        <v>231211</v>
      </c>
      <c r="H15696">
        <v>1196</v>
      </c>
      <c r="I15696" t="s">
        <v>392</v>
      </c>
      <c r="J15696">
        <v>4464</v>
      </c>
      <c r="K15696">
        <v>864</v>
      </c>
      <c r="L15696">
        <v>96501</v>
      </c>
      <c r="M15696" t="s">
        <v>2361</v>
      </c>
      <c r="N15696" t="str">
        <f>"23070       "</f>
        <v xml:space="preserve">23070       </v>
      </c>
      <c r="O15696">
        <v>231214</v>
      </c>
    </row>
    <row r="15697" spans="1:15" x14ac:dyDescent="0.25">
      <c r="A15697" t="s">
        <v>16</v>
      </c>
      <c r="B15697" t="s">
        <v>3221</v>
      </c>
      <c r="C15697">
        <v>17501</v>
      </c>
      <c r="D15697" t="s">
        <v>3685</v>
      </c>
      <c r="E15697" t="s">
        <v>2822</v>
      </c>
      <c r="F15697">
        <v>34.15</v>
      </c>
      <c r="G15697">
        <v>231211</v>
      </c>
      <c r="H15697">
        <v>1196</v>
      </c>
      <c r="I15697" t="s">
        <v>392</v>
      </c>
      <c r="J15697">
        <v>42.35</v>
      </c>
      <c r="K15697">
        <v>8.1999999999999993</v>
      </c>
      <c r="L15697">
        <v>96501</v>
      </c>
      <c r="M15697" t="s">
        <v>2361</v>
      </c>
      <c r="N15697" t="str">
        <f>"23070       "</f>
        <v xml:space="preserve">23070       </v>
      </c>
      <c r="O15697">
        <v>231214</v>
      </c>
    </row>
    <row r="15698" spans="1:15" x14ac:dyDescent="0.25">
      <c r="A15698" t="s">
        <v>16</v>
      </c>
      <c r="B15698" t="s">
        <v>3221</v>
      </c>
      <c r="C15698">
        <v>11621</v>
      </c>
      <c r="D15698" t="s">
        <v>3686</v>
      </c>
      <c r="E15698" t="s">
        <v>2503</v>
      </c>
      <c r="F15698">
        <v>6756.2</v>
      </c>
      <c r="G15698">
        <v>230831</v>
      </c>
      <c r="H15698">
        <v>1196</v>
      </c>
      <c r="I15698" t="s">
        <v>392</v>
      </c>
      <c r="J15698">
        <v>8377.69</v>
      </c>
      <c r="K15698">
        <v>1621.49</v>
      </c>
      <c r="L15698">
        <v>97701</v>
      </c>
      <c r="M15698" t="s">
        <v>869</v>
      </c>
      <c r="N15698" t="str">
        <f>"202314295   "</f>
        <v xml:space="preserve">202314295   </v>
      </c>
      <c r="O15698">
        <v>230907</v>
      </c>
    </row>
    <row r="15699" spans="1:15" x14ac:dyDescent="0.25">
      <c r="A15699" t="s">
        <v>16</v>
      </c>
      <c r="B15699" t="s">
        <v>3221</v>
      </c>
      <c r="C15699">
        <v>4594</v>
      </c>
      <c r="D15699" t="s">
        <v>1738</v>
      </c>
      <c r="E15699" t="s">
        <v>1739</v>
      </c>
      <c r="F15699">
        <v>40</v>
      </c>
      <c r="G15699">
        <v>230331</v>
      </c>
      <c r="H15699">
        <v>4600</v>
      </c>
      <c r="I15699" t="s">
        <v>105</v>
      </c>
      <c r="J15699">
        <v>40</v>
      </c>
      <c r="K15699">
        <v>0</v>
      </c>
      <c r="L15699">
        <v>17972</v>
      </c>
      <c r="M15699" t="s">
        <v>248</v>
      </c>
      <c r="N15699" t="str">
        <f>"958         "</f>
        <v xml:space="preserve">958         </v>
      </c>
      <c r="O15699">
        <v>230411</v>
      </c>
    </row>
    <row r="15700" spans="1:15" x14ac:dyDescent="0.25">
      <c r="A15700" t="s">
        <v>16</v>
      </c>
      <c r="B15700" t="s">
        <v>3221</v>
      </c>
      <c r="C15700">
        <v>5448</v>
      </c>
      <c r="D15700" t="s">
        <v>1738</v>
      </c>
      <c r="E15700" t="s">
        <v>1739</v>
      </c>
      <c r="F15700">
        <v>32.26</v>
      </c>
      <c r="G15700">
        <v>230424</v>
      </c>
      <c r="H15700">
        <v>4600</v>
      </c>
      <c r="I15700" t="s">
        <v>105</v>
      </c>
      <c r="J15700">
        <v>40</v>
      </c>
      <c r="K15700">
        <v>7.74</v>
      </c>
      <c r="L15700">
        <v>13501</v>
      </c>
      <c r="M15700" t="s">
        <v>20</v>
      </c>
      <c r="N15700" t="str">
        <f>"240423      "</f>
        <v xml:space="preserve">240423      </v>
      </c>
      <c r="O15700">
        <v>230425</v>
      </c>
    </row>
    <row r="15701" spans="1:15" x14ac:dyDescent="0.25">
      <c r="A15701" t="s">
        <v>16</v>
      </c>
      <c r="B15701" t="s">
        <v>3221</v>
      </c>
      <c r="C15701">
        <v>8488</v>
      </c>
      <c r="D15701" t="s">
        <v>1738</v>
      </c>
      <c r="E15701" t="s">
        <v>1739</v>
      </c>
      <c r="F15701">
        <v>129.84</v>
      </c>
      <c r="G15701">
        <v>230605</v>
      </c>
      <c r="H15701">
        <v>4600</v>
      </c>
      <c r="I15701" t="s">
        <v>105</v>
      </c>
      <c r="J15701">
        <v>161</v>
      </c>
      <c r="K15701">
        <v>31.16</v>
      </c>
      <c r="L15701">
        <v>13501</v>
      </c>
      <c r="M15701" t="s">
        <v>20</v>
      </c>
      <c r="N15701" t="str">
        <f>"964         "</f>
        <v xml:space="preserve">964         </v>
      </c>
      <c r="O15701">
        <v>230609</v>
      </c>
    </row>
    <row r="15702" spans="1:15" x14ac:dyDescent="0.25">
      <c r="A15702" t="s">
        <v>16</v>
      </c>
      <c r="B15702" t="s">
        <v>3221</v>
      </c>
      <c r="C15702">
        <v>2267</v>
      </c>
      <c r="D15702" t="s">
        <v>3371</v>
      </c>
      <c r="E15702" t="s">
        <v>3372</v>
      </c>
      <c r="F15702">
        <v>2911.5</v>
      </c>
      <c r="G15702">
        <v>230201</v>
      </c>
      <c r="H15702">
        <v>4440</v>
      </c>
      <c r="I15702" t="s">
        <v>250</v>
      </c>
      <c r="J15702">
        <v>3610.26</v>
      </c>
      <c r="K15702">
        <v>698.76</v>
      </c>
      <c r="L15702">
        <v>18120</v>
      </c>
      <c r="M15702" t="s">
        <v>329</v>
      </c>
      <c r="N15702" t="str">
        <f>"106089      "</f>
        <v xml:space="preserve">106089      </v>
      </c>
      <c r="O15702">
        <v>230223</v>
      </c>
    </row>
    <row r="15703" spans="1:15" x14ac:dyDescent="0.25">
      <c r="A15703" t="s">
        <v>16</v>
      </c>
      <c r="B15703" t="s">
        <v>3221</v>
      </c>
      <c r="C15703">
        <v>2268</v>
      </c>
      <c r="D15703" t="s">
        <v>3371</v>
      </c>
      <c r="E15703" t="s">
        <v>3372</v>
      </c>
      <c r="F15703">
        <v>323.5</v>
      </c>
      <c r="G15703">
        <v>230201</v>
      </c>
      <c r="H15703">
        <v>4440</v>
      </c>
      <c r="I15703" t="s">
        <v>250</v>
      </c>
      <c r="J15703">
        <v>401.14</v>
      </c>
      <c r="K15703">
        <v>77.64</v>
      </c>
      <c r="L15703">
        <v>18120</v>
      </c>
      <c r="M15703" t="s">
        <v>329</v>
      </c>
      <c r="N15703" t="str">
        <f>"106090      "</f>
        <v xml:space="preserve">106090      </v>
      </c>
      <c r="O15703">
        <v>230223</v>
      </c>
    </row>
    <row r="15704" spans="1:15" x14ac:dyDescent="0.25">
      <c r="A15704" t="s">
        <v>16</v>
      </c>
      <c r="B15704" t="s">
        <v>3221</v>
      </c>
      <c r="C15704">
        <v>2386</v>
      </c>
      <c r="D15704" t="s">
        <v>3371</v>
      </c>
      <c r="E15704" t="s">
        <v>3372</v>
      </c>
      <c r="F15704">
        <v>645.16</v>
      </c>
      <c r="G15704">
        <v>230201</v>
      </c>
      <c r="H15704">
        <v>4440</v>
      </c>
      <c r="I15704" t="s">
        <v>250</v>
      </c>
      <c r="J15704">
        <v>800</v>
      </c>
      <c r="K15704">
        <v>154.84</v>
      </c>
      <c r="L15704">
        <v>18122</v>
      </c>
      <c r="M15704" t="s">
        <v>407</v>
      </c>
      <c r="N15704" t="str">
        <f>"106076      "</f>
        <v xml:space="preserve">106076      </v>
      </c>
      <c r="O15704">
        <v>230227</v>
      </c>
    </row>
    <row r="15705" spans="1:15" x14ac:dyDescent="0.25">
      <c r="A15705" t="s">
        <v>16</v>
      </c>
      <c r="B15705" t="s">
        <v>3221</v>
      </c>
      <c r="C15705">
        <v>2562</v>
      </c>
      <c r="D15705" t="s">
        <v>3371</v>
      </c>
      <c r="E15705" t="s">
        <v>3372</v>
      </c>
      <c r="F15705">
        <v>7239</v>
      </c>
      <c r="G15705">
        <v>230201</v>
      </c>
      <c r="H15705">
        <v>4440</v>
      </c>
      <c r="I15705" t="s">
        <v>250</v>
      </c>
      <c r="J15705">
        <v>8976.36</v>
      </c>
      <c r="K15705">
        <v>1737.36</v>
      </c>
      <c r="L15705">
        <v>18120</v>
      </c>
      <c r="M15705" t="s">
        <v>329</v>
      </c>
      <c r="N15705" t="str">
        <f>"106091      "</f>
        <v xml:space="preserve">106091      </v>
      </c>
      <c r="O15705">
        <v>230302</v>
      </c>
    </row>
    <row r="15706" spans="1:15" x14ac:dyDescent="0.25">
      <c r="A15706" t="s">
        <v>16</v>
      </c>
      <c r="B15706" t="s">
        <v>3221</v>
      </c>
      <c r="C15706">
        <v>2563</v>
      </c>
      <c r="D15706" t="s">
        <v>3371</v>
      </c>
      <c r="E15706" t="s">
        <v>3372</v>
      </c>
      <c r="F15706">
        <v>-381</v>
      </c>
      <c r="G15706">
        <v>230209</v>
      </c>
      <c r="H15706">
        <v>4440</v>
      </c>
      <c r="I15706" t="s">
        <v>250</v>
      </c>
      <c r="J15706">
        <v>-472.44</v>
      </c>
      <c r="K15706">
        <v>-91.44</v>
      </c>
      <c r="L15706">
        <v>18120</v>
      </c>
      <c r="M15706" t="s">
        <v>329</v>
      </c>
      <c r="N15706" t="str">
        <f>"106118      "</f>
        <v xml:space="preserve">106118      </v>
      </c>
      <c r="O15706">
        <v>230302</v>
      </c>
    </row>
    <row r="15707" spans="1:15" x14ac:dyDescent="0.25">
      <c r="A15707" t="s">
        <v>16</v>
      </c>
      <c r="B15707" t="s">
        <v>3221</v>
      </c>
      <c r="C15707">
        <v>3219</v>
      </c>
      <c r="D15707" t="s">
        <v>3371</v>
      </c>
      <c r="E15707" t="s">
        <v>3372</v>
      </c>
      <c r="F15707">
        <v>800</v>
      </c>
      <c r="G15707">
        <v>230306</v>
      </c>
      <c r="H15707">
        <v>4440</v>
      </c>
      <c r="I15707" t="s">
        <v>250</v>
      </c>
      <c r="J15707">
        <v>800</v>
      </c>
      <c r="K15707">
        <v>0</v>
      </c>
      <c r="L15707">
        <v>18982</v>
      </c>
      <c r="M15707" t="s">
        <v>1121</v>
      </c>
      <c r="N15707" t="str">
        <f>"106177      "</f>
        <v xml:space="preserve">106177      </v>
      </c>
      <c r="O15707">
        <v>230310</v>
      </c>
    </row>
    <row r="15708" spans="1:15" x14ac:dyDescent="0.25">
      <c r="A15708" t="s">
        <v>16</v>
      </c>
      <c r="B15708" t="s">
        <v>3221</v>
      </c>
      <c r="C15708">
        <v>3638</v>
      </c>
      <c r="D15708" t="s">
        <v>3371</v>
      </c>
      <c r="E15708" t="s">
        <v>3372</v>
      </c>
      <c r="F15708">
        <v>169.7</v>
      </c>
      <c r="G15708">
        <v>230316</v>
      </c>
      <c r="H15708">
        <v>4440</v>
      </c>
      <c r="I15708" t="s">
        <v>250</v>
      </c>
      <c r="J15708">
        <v>210.43</v>
      </c>
      <c r="K15708">
        <v>40.729999999999997</v>
      </c>
      <c r="L15708">
        <v>18120</v>
      </c>
      <c r="M15708" t="s">
        <v>329</v>
      </c>
      <c r="N15708" t="str">
        <f>"106212      "</f>
        <v xml:space="preserve">106212      </v>
      </c>
      <c r="O15708">
        <v>230320</v>
      </c>
    </row>
    <row r="15709" spans="1:15" x14ac:dyDescent="0.25">
      <c r="A15709" t="s">
        <v>16</v>
      </c>
      <c r="B15709" t="s">
        <v>3221</v>
      </c>
      <c r="C15709">
        <v>4348</v>
      </c>
      <c r="D15709" t="s">
        <v>3371</v>
      </c>
      <c r="E15709" t="s">
        <v>3372</v>
      </c>
      <c r="F15709">
        <v>396</v>
      </c>
      <c r="G15709">
        <v>230331</v>
      </c>
      <c r="H15709">
        <v>4440</v>
      </c>
      <c r="I15709" t="s">
        <v>250</v>
      </c>
      <c r="J15709">
        <v>491.04</v>
      </c>
      <c r="K15709">
        <v>95.04</v>
      </c>
      <c r="L15709">
        <v>18120</v>
      </c>
      <c r="M15709" t="s">
        <v>329</v>
      </c>
      <c r="N15709" t="str">
        <f>"106260      "</f>
        <v xml:space="preserve">106260      </v>
      </c>
      <c r="O15709">
        <v>230404</v>
      </c>
    </row>
    <row r="15710" spans="1:15" x14ac:dyDescent="0.25">
      <c r="A15710" t="s">
        <v>16</v>
      </c>
      <c r="B15710" t="s">
        <v>3221</v>
      </c>
      <c r="C15710">
        <v>4350</v>
      </c>
      <c r="D15710" t="s">
        <v>3371</v>
      </c>
      <c r="E15710" t="s">
        <v>3372</v>
      </c>
      <c r="F15710">
        <v>1500</v>
      </c>
      <c r="G15710">
        <v>230331</v>
      </c>
      <c r="H15710">
        <v>4440</v>
      </c>
      <c r="I15710" t="s">
        <v>250</v>
      </c>
      <c r="J15710">
        <v>1860</v>
      </c>
      <c r="K15710">
        <v>360</v>
      </c>
      <c r="L15710">
        <v>18120</v>
      </c>
      <c r="M15710" t="s">
        <v>329</v>
      </c>
      <c r="N15710" t="str">
        <f>"106265      "</f>
        <v xml:space="preserve">106265      </v>
      </c>
      <c r="O15710">
        <v>230404</v>
      </c>
    </row>
    <row r="15711" spans="1:15" x14ac:dyDescent="0.25">
      <c r="A15711" t="s">
        <v>16</v>
      </c>
      <c r="B15711" t="s">
        <v>3221</v>
      </c>
      <c r="C15711">
        <v>4351</v>
      </c>
      <c r="D15711" t="s">
        <v>3371</v>
      </c>
      <c r="E15711" t="s">
        <v>3372</v>
      </c>
      <c r="F15711">
        <v>6336</v>
      </c>
      <c r="G15711">
        <v>230331</v>
      </c>
      <c r="H15711">
        <v>4440</v>
      </c>
      <c r="I15711" t="s">
        <v>250</v>
      </c>
      <c r="J15711">
        <v>7856.64</v>
      </c>
      <c r="K15711">
        <v>1520.64</v>
      </c>
      <c r="L15711">
        <v>18120</v>
      </c>
      <c r="M15711" t="s">
        <v>329</v>
      </c>
      <c r="N15711" t="str">
        <f>"106258      "</f>
        <v xml:space="preserve">106258      </v>
      </c>
      <c r="O15711">
        <v>230404</v>
      </c>
    </row>
    <row r="15712" spans="1:15" x14ac:dyDescent="0.25">
      <c r="A15712" t="s">
        <v>16</v>
      </c>
      <c r="B15712" t="s">
        <v>3221</v>
      </c>
      <c r="C15712">
        <v>4352</v>
      </c>
      <c r="D15712" t="s">
        <v>3371</v>
      </c>
      <c r="E15712" t="s">
        <v>3372</v>
      </c>
      <c r="F15712">
        <v>3920</v>
      </c>
      <c r="G15712">
        <v>230331</v>
      </c>
      <c r="H15712">
        <v>4440</v>
      </c>
      <c r="I15712" t="s">
        <v>250</v>
      </c>
      <c r="J15712">
        <v>4860.8</v>
      </c>
      <c r="K15712">
        <v>940.8</v>
      </c>
      <c r="L15712">
        <v>18120</v>
      </c>
      <c r="M15712" t="s">
        <v>329</v>
      </c>
      <c r="N15712" t="str">
        <f>"106264      "</f>
        <v xml:space="preserve">106264      </v>
      </c>
      <c r="O15712">
        <v>230404</v>
      </c>
    </row>
    <row r="15713" spans="1:15" x14ac:dyDescent="0.25">
      <c r="A15713" t="s">
        <v>16</v>
      </c>
      <c r="B15713" t="s">
        <v>3221</v>
      </c>
      <c r="C15713">
        <v>5361</v>
      </c>
      <c r="D15713" t="s">
        <v>3371</v>
      </c>
      <c r="E15713" t="s">
        <v>3372</v>
      </c>
      <c r="F15713">
        <v>800</v>
      </c>
      <c r="G15713">
        <v>230401</v>
      </c>
      <c r="H15713">
        <v>4440</v>
      </c>
      <c r="I15713" t="s">
        <v>250</v>
      </c>
      <c r="J15713">
        <v>800</v>
      </c>
      <c r="K15713">
        <v>0</v>
      </c>
      <c r="L15713">
        <v>18122</v>
      </c>
      <c r="M15713" t="s">
        <v>407</v>
      </c>
      <c r="N15713" t="str">
        <f>"106243      "</f>
        <v xml:space="preserve">106243      </v>
      </c>
      <c r="O15713">
        <v>230421</v>
      </c>
    </row>
    <row r="15714" spans="1:15" x14ac:dyDescent="0.25">
      <c r="A15714" t="s">
        <v>16</v>
      </c>
      <c r="B15714" t="s">
        <v>3221</v>
      </c>
      <c r="C15714">
        <v>5861</v>
      </c>
      <c r="D15714" t="s">
        <v>3371</v>
      </c>
      <c r="E15714" t="s">
        <v>3372</v>
      </c>
      <c r="F15714">
        <v>647.25</v>
      </c>
      <c r="G15714">
        <v>230427</v>
      </c>
      <c r="H15714">
        <v>4440</v>
      </c>
      <c r="I15714" t="s">
        <v>250</v>
      </c>
      <c r="J15714">
        <v>802.59</v>
      </c>
      <c r="K15714">
        <v>155.34</v>
      </c>
      <c r="L15714">
        <v>18120</v>
      </c>
      <c r="M15714" t="s">
        <v>329</v>
      </c>
      <c r="N15714" t="str">
        <f>"106312      "</f>
        <v xml:space="preserve">106312      </v>
      </c>
      <c r="O15714">
        <v>230503</v>
      </c>
    </row>
    <row r="15715" spans="1:15" x14ac:dyDescent="0.25">
      <c r="A15715" t="s">
        <v>16</v>
      </c>
      <c r="B15715" t="s">
        <v>3221</v>
      </c>
      <c r="C15715">
        <v>8998</v>
      </c>
      <c r="D15715" t="s">
        <v>3371</v>
      </c>
      <c r="E15715" t="s">
        <v>3372</v>
      </c>
      <c r="F15715">
        <v>800</v>
      </c>
      <c r="G15715">
        <v>230608</v>
      </c>
      <c r="H15715">
        <v>4440</v>
      </c>
      <c r="I15715" t="s">
        <v>250</v>
      </c>
      <c r="J15715">
        <v>800</v>
      </c>
      <c r="K15715">
        <v>0</v>
      </c>
      <c r="L15715">
        <v>18982</v>
      </c>
      <c r="M15715" t="s">
        <v>1121</v>
      </c>
      <c r="N15715" t="str">
        <f>"106504      "</f>
        <v xml:space="preserve">106504      </v>
      </c>
      <c r="O15715">
        <v>230620</v>
      </c>
    </row>
    <row r="15716" spans="1:15" x14ac:dyDescent="0.25">
      <c r="A15716" t="s">
        <v>16</v>
      </c>
      <c r="B15716" t="s">
        <v>3221</v>
      </c>
      <c r="C15716">
        <v>9619</v>
      </c>
      <c r="D15716" t="s">
        <v>3371</v>
      </c>
      <c r="E15716" t="s">
        <v>3372</v>
      </c>
      <c r="F15716">
        <v>3920</v>
      </c>
      <c r="G15716">
        <v>230630</v>
      </c>
      <c r="H15716">
        <v>4440</v>
      </c>
      <c r="I15716" t="s">
        <v>250</v>
      </c>
      <c r="J15716">
        <v>4860.8</v>
      </c>
      <c r="K15716">
        <v>940.8</v>
      </c>
      <c r="L15716">
        <v>18120</v>
      </c>
      <c r="M15716" t="s">
        <v>329</v>
      </c>
      <c r="N15716" t="str">
        <f>"106695      "</f>
        <v xml:space="preserve">106695      </v>
      </c>
      <c r="O15716">
        <v>230717</v>
      </c>
    </row>
    <row r="15717" spans="1:15" x14ac:dyDescent="0.25">
      <c r="A15717" t="s">
        <v>16</v>
      </c>
      <c r="B15717" t="s">
        <v>3221</v>
      </c>
      <c r="C15717">
        <v>9620</v>
      </c>
      <c r="D15717" t="s">
        <v>3371</v>
      </c>
      <c r="E15717" t="s">
        <v>3372</v>
      </c>
      <c r="F15717">
        <v>396</v>
      </c>
      <c r="G15717">
        <v>230630</v>
      </c>
      <c r="H15717">
        <v>4440</v>
      </c>
      <c r="I15717" t="s">
        <v>250</v>
      </c>
      <c r="J15717">
        <v>491.04</v>
      </c>
      <c r="K15717">
        <v>95.04</v>
      </c>
      <c r="L15717">
        <v>18120</v>
      </c>
      <c r="M15717" t="s">
        <v>329</v>
      </c>
      <c r="N15717" t="str">
        <f>"106691      "</f>
        <v xml:space="preserve">106691      </v>
      </c>
      <c r="O15717">
        <v>230717</v>
      </c>
    </row>
    <row r="15718" spans="1:15" x14ac:dyDescent="0.25">
      <c r="A15718" t="s">
        <v>16</v>
      </c>
      <c r="B15718" t="s">
        <v>3221</v>
      </c>
      <c r="C15718">
        <v>9621</v>
      </c>
      <c r="D15718" t="s">
        <v>3371</v>
      </c>
      <c r="E15718" t="s">
        <v>3372</v>
      </c>
      <c r="F15718">
        <v>5940</v>
      </c>
      <c r="G15718">
        <v>230630</v>
      </c>
      <c r="H15718">
        <v>4440</v>
      </c>
      <c r="I15718" t="s">
        <v>250</v>
      </c>
      <c r="J15718">
        <v>7365.6</v>
      </c>
      <c r="K15718">
        <v>1425.6</v>
      </c>
      <c r="L15718">
        <v>18120</v>
      </c>
      <c r="M15718" t="s">
        <v>329</v>
      </c>
      <c r="N15718" t="str">
        <f>"106688      "</f>
        <v xml:space="preserve">106688      </v>
      </c>
      <c r="O15718">
        <v>230717</v>
      </c>
    </row>
    <row r="15719" spans="1:15" x14ac:dyDescent="0.25">
      <c r="A15719" t="s">
        <v>16</v>
      </c>
      <c r="B15719" t="s">
        <v>3221</v>
      </c>
      <c r="C15719">
        <v>9622</v>
      </c>
      <c r="D15719" t="s">
        <v>3371</v>
      </c>
      <c r="E15719" t="s">
        <v>3372</v>
      </c>
      <c r="F15719">
        <v>250</v>
      </c>
      <c r="G15719">
        <v>230630</v>
      </c>
      <c r="H15719">
        <v>4440</v>
      </c>
      <c r="I15719" t="s">
        <v>250</v>
      </c>
      <c r="J15719">
        <v>310</v>
      </c>
      <c r="K15719">
        <v>60</v>
      </c>
      <c r="L15719">
        <v>18120</v>
      </c>
      <c r="M15719" t="s">
        <v>329</v>
      </c>
      <c r="N15719" t="str">
        <f>"106697      "</f>
        <v xml:space="preserve">106697      </v>
      </c>
      <c r="O15719">
        <v>230717</v>
      </c>
    </row>
    <row r="15720" spans="1:15" x14ac:dyDescent="0.25">
      <c r="A15720" t="s">
        <v>16</v>
      </c>
      <c r="B15720" t="s">
        <v>3221</v>
      </c>
      <c r="C15720">
        <v>9623</v>
      </c>
      <c r="D15720" t="s">
        <v>3371</v>
      </c>
      <c r="E15720" t="s">
        <v>3372</v>
      </c>
      <c r="F15720">
        <v>1500</v>
      </c>
      <c r="G15720">
        <v>230630</v>
      </c>
      <c r="H15720">
        <v>4440</v>
      </c>
      <c r="I15720" t="s">
        <v>250</v>
      </c>
      <c r="J15720">
        <v>1860</v>
      </c>
      <c r="K15720">
        <v>360</v>
      </c>
      <c r="L15720">
        <v>18120</v>
      </c>
      <c r="M15720" t="s">
        <v>329</v>
      </c>
      <c r="N15720" t="str">
        <f>"106696      "</f>
        <v xml:space="preserve">106696      </v>
      </c>
      <c r="O15720">
        <v>230717</v>
      </c>
    </row>
    <row r="15721" spans="1:15" x14ac:dyDescent="0.25">
      <c r="A15721" t="s">
        <v>16</v>
      </c>
      <c r="B15721" t="s">
        <v>3221</v>
      </c>
      <c r="C15721">
        <v>9841</v>
      </c>
      <c r="D15721" t="s">
        <v>3371</v>
      </c>
      <c r="E15721" t="s">
        <v>3372</v>
      </c>
      <c r="F15721">
        <v>486</v>
      </c>
      <c r="G15721">
        <v>230630</v>
      </c>
      <c r="H15721">
        <v>4440</v>
      </c>
      <c r="I15721" t="s">
        <v>250</v>
      </c>
      <c r="J15721">
        <v>602.64</v>
      </c>
      <c r="K15721">
        <v>116.64</v>
      </c>
      <c r="L15721">
        <v>18120</v>
      </c>
      <c r="M15721" t="s">
        <v>329</v>
      </c>
      <c r="N15721" t="str">
        <f>"106683      "</f>
        <v xml:space="preserve">106683      </v>
      </c>
      <c r="O15721">
        <v>230731</v>
      </c>
    </row>
    <row r="15722" spans="1:15" x14ac:dyDescent="0.25">
      <c r="A15722" t="s">
        <v>16</v>
      </c>
      <c r="B15722" t="s">
        <v>3221</v>
      </c>
      <c r="C15722">
        <v>13106</v>
      </c>
      <c r="D15722" t="s">
        <v>3371</v>
      </c>
      <c r="E15722" t="s">
        <v>3372</v>
      </c>
      <c r="F15722">
        <v>396</v>
      </c>
      <c r="G15722">
        <v>230929</v>
      </c>
      <c r="H15722">
        <v>4440</v>
      </c>
      <c r="I15722" t="s">
        <v>250</v>
      </c>
      <c r="J15722">
        <v>491.04</v>
      </c>
      <c r="K15722">
        <v>95.04</v>
      </c>
      <c r="L15722">
        <v>18120</v>
      </c>
      <c r="M15722" t="s">
        <v>329</v>
      </c>
      <c r="N15722" t="str">
        <f>"106907      "</f>
        <v xml:space="preserve">106907      </v>
      </c>
      <c r="O15722">
        <v>231003</v>
      </c>
    </row>
    <row r="15723" spans="1:15" x14ac:dyDescent="0.25">
      <c r="A15723" t="s">
        <v>16</v>
      </c>
      <c r="B15723" t="s">
        <v>3221</v>
      </c>
      <c r="C15723">
        <v>13107</v>
      </c>
      <c r="D15723" t="s">
        <v>3371</v>
      </c>
      <c r="E15723" t="s">
        <v>3372</v>
      </c>
      <c r="F15723">
        <v>250</v>
      </c>
      <c r="G15723">
        <v>230929</v>
      </c>
      <c r="H15723">
        <v>4440</v>
      </c>
      <c r="I15723" t="s">
        <v>250</v>
      </c>
      <c r="J15723">
        <v>310</v>
      </c>
      <c r="K15723">
        <v>60</v>
      </c>
      <c r="L15723">
        <v>18120</v>
      </c>
      <c r="M15723" t="s">
        <v>329</v>
      </c>
      <c r="N15723" t="str">
        <f>"106913      "</f>
        <v xml:space="preserve">106913      </v>
      </c>
      <c r="O15723">
        <v>231003</v>
      </c>
    </row>
    <row r="15724" spans="1:15" x14ac:dyDescent="0.25">
      <c r="A15724" t="s">
        <v>16</v>
      </c>
      <c r="B15724" t="s">
        <v>3221</v>
      </c>
      <c r="C15724">
        <v>13108</v>
      </c>
      <c r="D15724" t="s">
        <v>3371</v>
      </c>
      <c r="E15724" t="s">
        <v>3372</v>
      </c>
      <c r="F15724">
        <v>1500</v>
      </c>
      <c r="G15724">
        <v>230929</v>
      </c>
      <c r="H15724">
        <v>4440</v>
      </c>
      <c r="I15724" t="s">
        <v>250</v>
      </c>
      <c r="J15724">
        <v>1860</v>
      </c>
      <c r="K15724">
        <v>360</v>
      </c>
      <c r="L15724">
        <v>18120</v>
      </c>
      <c r="M15724" t="s">
        <v>329</v>
      </c>
      <c r="N15724" t="str">
        <f>"106912      "</f>
        <v xml:space="preserve">106912      </v>
      </c>
      <c r="O15724">
        <v>231003</v>
      </c>
    </row>
    <row r="15725" spans="1:15" x14ac:dyDescent="0.25">
      <c r="A15725" t="s">
        <v>16</v>
      </c>
      <c r="B15725" t="s">
        <v>3221</v>
      </c>
      <c r="C15725">
        <v>13109</v>
      </c>
      <c r="D15725" t="s">
        <v>3371</v>
      </c>
      <c r="E15725" t="s">
        <v>3372</v>
      </c>
      <c r="F15725">
        <v>3920</v>
      </c>
      <c r="G15725">
        <v>230929</v>
      </c>
      <c r="H15725">
        <v>4440</v>
      </c>
      <c r="I15725" t="s">
        <v>250</v>
      </c>
      <c r="J15725">
        <v>4860.8</v>
      </c>
      <c r="K15725">
        <v>940.8</v>
      </c>
      <c r="L15725">
        <v>18120</v>
      </c>
      <c r="M15725" t="s">
        <v>329</v>
      </c>
      <c r="N15725" t="str">
        <f>"106911      "</f>
        <v xml:space="preserve">106911      </v>
      </c>
      <c r="O15725">
        <v>231003</v>
      </c>
    </row>
    <row r="15726" spans="1:15" x14ac:dyDescent="0.25">
      <c r="A15726" t="s">
        <v>16</v>
      </c>
      <c r="B15726" t="s">
        <v>3221</v>
      </c>
      <c r="C15726">
        <v>14537</v>
      </c>
      <c r="D15726" t="s">
        <v>3371</v>
      </c>
      <c r="E15726" t="s">
        <v>3372</v>
      </c>
      <c r="F15726">
        <v>5726</v>
      </c>
      <c r="G15726">
        <v>231012</v>
      </c>
      <c r="H15726">
        <v>4440</v>
      </c>
      <c r="I15726" t="s">
        <v>250</v>
      </c>
      <c r="J15726">
        <v>7100.24</v>
      </c>
      <c r="K15726">
        <v>1374.24</v>
      </c>
      <c r="L15726">
        <v>18120</v>
      </c>
      <c r="M15726" t="s">
        <v>329</v>
      </c>
      <c r="N15726" t="str">
        <f>"106994      "</f>
        <v xml:space="preserve">106994      </v>
      </c>
      <c r="O15726">
        <v>231030</v>
      </c>
    </row>
    <row r="15727" spans="1:15" x14ac:dyDescent="0.25">
      <c r="A15727" t="s">
        <v>16</v>
      </c>
      <c r="B15727" t="s">
        <v>3221</v>
      </c>
      <c r="C15727">
        <v>18124</v>
      </c>
      <c r="D15727" t="s">
        <v>3371</v>
      </c>
      <c r="E15727" t="s">
        <v>3372</v>
      </c>
      <c r="F15727">
        <v>3920</v>
      </c>
      <c r="G15727">
        <v>231229</v>
      </c>
      <c r="H15727">
        <v>4440</v>
      </c>
      <c r="I15727" t="s">
        <v>250</v>
      </c>
      <c r="J15727">
        <v>4860.8</v>
      </c>
      <c r="K15727">
        <v>940.8</v>
      </c>
      <c r="L15727">
        <v>18120</v>
      </c>
      <c r="M15727" t="s">
        <v>329</v>
      </c>
      <c r="N15727" t="str">
        <f>"107323      "</f>
        <v xml:space="preserve">107323      </v>
      </c>
      <c r="O15727">
        <v>240102</v>
      </c>
    </row>
    <row r="15728" spans="1:15" x14ac:dyDescent="0.25">
      <c r="A15728" t="s">
        <v>16</v>
      </c>
      <c r="B15728" t="s">
        <v>3221</v>
      </c>
      <c r="C15728">
        <v>18126</v>
      </c>
      <c r="D15728" t="s">
        <v>3371</v>
      </c>
      <c r="E15728" t="s">
        <v>3372</v>
      </c>
      <c r="F15728">
        <v>5148</v>
      </c>
      <c r="G15728">
        <v>231229</v>
      </c>
      <c r="H15728">
        <v>4440</v>
      </c>
      <c r="I15728" t="s">
        <v>250</v>
      </c>
      <c r="J15728">
        <v>6383.52</v>
      </c>
      <c r="K15728">
        <v>1235.52</v>
      </c>
      <c r="L15728">
        <v>18120</v>
      </c>
      <c r="M15728" t="s">
        <v>329</v>
      </c>
      <c r="N15728" t="str">
        <f>"107309      "</f>
        <v xml:space="preserve">107309      </v>
      </c>
      <c r="O15728">
        <v>240102</v>
      </c>
    </row>
    <row r="15729" spans="1:15" x14ac:dyDescent="0.25">
      <c r="A15729" t="s">
        <v>16</v>
      </c>
      <c r="B15729" t="s">
        <v>3221</v>
      </c>
      <c r="C15729">
        <v>18127</v>
      </c>
      <c r="D15729" t="s">
        <v>3371</v>
      </c>
      <c r="E15729" t="s">
        <v>3372</v>
      </c>
      <c r="F15729">
        <v>1500</v>
      </c>
      <c r="G15729">
        <v>231229</v>
      </c>
      <c r="H15729">
        <v>4440</v>
      </c>
      <c r="I15729" t="s">
        <v>250</v>
      </c>
      <c r="J15729">
        <v>1860</v>
      </c>
      <c r="K15729">
        <v>360</v>
      </c>
      <c r="L15729">
        <v>18120</v>
      </c>
      <c r="M15729" t="s">
        <v>329</v>
      </c>
      <c r="N15729" t="str">
        <f>"107324      "</f>
        <v xml:space="preserve">107324      </v>
      </c>
      <c r="O15729">
        <v>240102</v>
      </c>
    </row>
    <row r="15730" spans="1:15" x14ac:dyDescent="0.25">
      <c r="A15730" t="s">
        <v>16</v>
      </c>
      <c r="B15730" t="s">
        <v>3221</v>
      </c>
      <c r="C15730">
        <v>18130</v>
      </c>
      <c r="D15730" t="s">
        <v>3371</v>
      </c>
      <c r="E15730" t="s">
        <v>3372</v>
      </c>
      <c r="F15730">
        <v>396</v>
      </c>
      <c r="G15730">
        <v>231229</v>
      </c>
      <c r="H15730">
        <v>4440</v>
      </c>
      <c r="I15730" t="s">
        <v>250</v>
      </c>
      <c r="J15730">
        <v>491.04</v>
      </c>
      <c r="K15730">
        <v>95.04</v>
      </c>
      <c r="L15730">
        <v>18120</v>
      </c>
      <c r="M15730" t="s">
        <v>329</v>
      </c>
      <c r="N15730" t="str">
        <f>"107319      "</f>
        <v xml:space="preserve">107319      </v>
      </c>
      <c r="O15730">
        <v>240102</v>
      </c>
    </row>
    <row r="15731" spans="1:15" x14ac:dyDescent="0.25">
      <c r="A15731" t="s">
        <v>16</v>
      </c>
      <c r="B15731" t="s">
        <v>3221</v>
      </c>
      <c r="C15731">
        <v>18646</v>
      </c>
      <c r="D15731" t="s">
        <v>3371</v>
      </c>
      <c r="E15731" t="s">
        <v>3372</v>
      </c>
      <c r="F15731">
        <v>235.4</v>
      </c>
      <c r="G15731">
        <v>231229</v>
      </c>
      <c r="H15731">
        <v>4440</v>
      </c>
      <c r="I15731" t="s">
        <v>250</v>
      </c>
      <c r="J15731">
        <v>291.89999999999998</v>
      </c>
      <c r="K15731">
        <v>56.5</v>
      </c>
      <c r="L15731">
        <v>18120</v>
      </c>
      <c r="M15731" t="s">
        <v>329</v>
      </c>
      <c r="N15731" t="str">
        <f>"107325      "</f>
        <v xml:space="preserve">107325      </v>
      </c>
      <c r="O15731">
        <v>240104</v>
      </c>
    </row>
    <row r="15732" spans="1:15" x14ac:dyDescent="0.25">
      <c r="A15732" t="s">
        <v>16</v>
      </c>
      <c r="B15732" t="s">
        <v>3221</v>
      </c>
      <c r="C15732">
        <v>1754</v>
      </c>
      <c r="D15732" t="s">
        <v>1177</v>
      </c>
      <c r="E15732" t="s">
        <v>1178</v>
      </c>
      <c r="F15732">
        <v>338.69</v>
      </c>
      <c r="G15732">
        <v>230210</v>
      </c>
      <c r="H15732">
        <v>4440</v>
      </c>
      <c r="I15732" t="s">
        <v>250</v>
      </c>
      <c r="J15732">
        <v>419.98</v>
      </c>
      <c r="K15732">
        <v>81.290000000000006</v>
      </c>
      <c r="L15732">
        <v>17131</v>
      </c>
      <c r="M15732" t="s">
        <v>64</v>
      </c>
      <c r="N15732" t="str">
        <f>"1/2023      "</f>
        <v xml:space="preserve">1/2023      </v>
      </c>
      <c r="O15732">
        <v>230213</v>
      </c>
    </row>
    <row r="15733" spans="1:15" x14ac:dyDescent="0.25">
      <c r="A15733" t="s">
        <v>16</v>
      </c>
      <c r="B15733" t="s">
        <v>3221</v>
      </c>
      <c r="C15733">
        <v>8584</v>
      </c>
      <c r="D15733" t="s">
        <v>2194</v>
      </c>
      <c r="E15733" t="s">
        <v>2195</v>
      </c>
      <c r="F15733">
        <v>6.44</v>
      </c>
      <c r="G15733">
        <v>230609</v>
      </c>
      <c r="H15733">
        <v>4412</v>
      </c>
      <c r="I15733" t="s">
        <v>149</v>
      </c>
      <c r="J15733">
        <v>7.99</v>
      </c>
      <c r="K15733">
        <v>1.55</v>
      </c>
      <c r="L15733">
        <v>56563</v>
      </c>
      <c r="M15733" t="s">
        <v>953</v>
      </c>
      <c r="N15733" t="str">
        <f>"122977      "</f>
        <v xml:space="preserve">122977      </v>
      </c>
      <c r="O15733">
        <v>230612</v>
      </c>
    </row>
    <row r="15734" spans="1:15" x14ac:dyDescent="0.25">
      <c r="A15734" t="s">
        <v>16</v>
      </c>
      <c r="B15734" t="s">
        <v>3221</v>
      </c>
      <c r="C15734">
        <v>8584</v>
      </c>
      <c r="D15734" t="s">
        <v>2194</v>
      </c>
      <c r="E15734" t="s">
        <v>2195</v>
      </c>
      <c r="F15734">
        <v>9.41</v>
      </c>
      <c r="G15734">
        <v>230609</v>
      </c>
      <c r="H15734">
        <v>4412</v>
      </c>
      <c r="I15734" t="s">
        <v>149</v>
      </c>
      <c r="J15734">
        <v>9.41</v>
      </c>
      <c r="K15734">
        <v>0</v>
      </c>
      <c r="L15734">
        <v>56563</v>
      </c>
      <c r="M15734" t="s">
        <v>953</v>
      </c>
      <c r="N15734" t="str">
        <f>"122977      "</f>
        <v xml:space="preserve">122977      </v>
      </c>
      <c r="O15734">
        <v>230612</v>
      </c>
    </row>
    <row r="15735" spans="1:15" x14ac:dyDescent="0.25">
      <c r="A15735" t="s">
        <v>16</v>
      </c>
      <c r="B15735" t="s">
        <v>3221</v>
      </c>
      <c r="C15735">
        <v>8584</v>
      </c>
      <c r="D15735" t="s">
        <v>2194</v>
      </c>
      <c r="E15735" t="s">
        <v>2195</v>
      </c>
      <c r="F15735">
        <v>114.18</v>
      </c>
      <c r="G15735">
        <v>230609</v>
      </c>
      <c r="H15735">
        <v>4412</v>
      </c>
      <c r="I15735" t="s">
        <v>149</v>
      </c>
      <c r="J15735">
        <v>125.6</v>
      </c>
      <c r="K15735">
        <v>11.42</v>
      </c>
      <c r="L15735">
        <v>56563</v>
      </c>
      <c r="M15735" t="s">
        <v>953</v>
      </c>
      <c r="N15735" t="str">
        <f>"122977      "</f>
        <v xml:space="preserve">122977      </v>
      </c>
      <c r="O15735">
        <v>230612</v>
      </c>
    </row>
    <row r="15736" spans="1:15" x14ac:dyDescent="0.25">
      <c r="A15736" t="s">
        <v>16</v>
      </c>
      <c r="B15736" t="s">
        <v>3221</v>
      </c>
      <c r="C15736">
        <v>5222</v>
      </c>
      <c r="D15736" t="s">
        <v>1813</v>
      </c>
      <c r="E15736" t="s">
        <v>1814</v>
      </c>
      <c r="F15736">
        <v>134.6</v>
      </c>
      <c r="G15736">
        <v>230411</v>
      </c>
      <c r="H15736">
        <v>4600</v>
      </c>
      <c r="I15736" t="s">
        <v>105</v>
      </c>
      <c r="J15736">
        <v>166.9</v>
      </c>
      <c r="K15736">
        <v>32.299999999999997</v>
      </c>
      <c r="L15736">
        <v>69702</v>
      </c>
      <c r="M15736" t="s">
        <v>489</v>
      </c>
      <c r="N15736" t="str">
        <f>"30232456    "</f>
        <v xml:space="preserve">30232456    </v>
      </c>
      <c r="O15736">
        <v>230419</v>
      </c>
    </row>
    <row r="15737" spans="1:15" x14ac:dyDescent="0.25">
      <c r="A15737" t="s">
        <v>16</v>
      </c>
      <c r="B15737" t="s">
        <v>3221</v>
      </c>
      <c r="C15737">
        <v>5536</v>
      </c>
      <c r="D15737" t="s">
        <v>1813</v>
      </c>
      <c r="E15737" t="s">
        <v>1814</v>
      </c>
      <c r="F15737">
        <v>36.409999999999997</v>
      </c>
      <c r="G15737">
        <v>230421</v>
      </c>
      <c r="H15737">
        <v>4600</v>
      </c>
      <c r="I15737" t="s">
        <v>105</v>
      </c>
      <c r="J15737">
        <v>45.15</v>
      </c>
      <c r="K15737">
        <v>8.74</v>
      </c>
      <c r="L15737">
        <v>69702</v>
      </c>
      <c r="M15737" t="s">
        <v>489</v>
      </c>
      <c r="N15737" t="str">
        <f>"30232774    "</f>
        <v xml:space="preserve">30232774    </v>
      </c>
      <c r="O15737">
        <v>230426</v>
      </c>
    </row>
    <row r="15738" spans="1:15" x14ac:dyDescent="0.25">
      <c r="A15738" t="s">
        <v>16</v>
      </c>
      <c r="B15738" t="s">
        <v>3221</v>
      </c>
      <c r="C15738">
        <v>14106</v>
      </c>
      <c r="D15738" t="s">
        <v>1813</v>
      </c>
      <c r="E15738" t="s">
        <v>1814</v>
      </c>
      <c r="F15738">
        <v>52.86</v>
      </c>
      <c r="G15738">
        <v>231009</v>
      </c>
      <c r="H15738">
        <v>4600</v>
      </c>
      <c r="I15738" t="s">
        <v>105</v>
      </c>
      <c r="J15738">
        <v>65.55</v>
      </c>
      <c r="K15738">
        <v>12.69</v>
      </c>
      <c r="L15738">
        <v>66722</v>
      </c>
      <c r="M15738" t="s">
        <v>518</v>
      </c>
      <c r="N15738" t="str">
        <f>"30238677    "</f>
        <v xml:space="preserve">30238677    </v>
      </c>
      <c r="O15738">
        <v>231018</v>
      </c>
    </row>
    <row r="15739" spans="1:15" x14ac:dyDescent="0.25">
      <c r="A15739" t="s">
        <v>16</v>
      </c>
      <c r="B15739" t="s">
        <v>3221</v>
      </c>
      <c r="C15739">
        <v>14106</v>
      </c>
      <c r="D15739" t="s">
        <v>1813</v>
      </c>
      <c r="E15739" t="s">
        <v>1814</v>
      </c>
      <c r="F15739">
        <v>52.86</v>
      </c>
      <c r="G15739">
        <v>231009</v>
      </c>
      <c r="H15739">
        <v>4600</v>
      </c>
      <c r="I15739" t="s">
        <v>105</v>
      </c>
      <c r="J15739">
        <v>65.55</v>
      </c>
      <c r="K15739">
        <v>12.69</v>
      </c>
      <c r="L15739">
        <v>66754</v>
      </c>
      <c r="M15739" t="s">
        <v>239</v>
      </c>
      <c r="N15739" t="str">
        <f>"30238677    "</f>
        <v xml:space="preserve">30238677    </v>
      </c>
      <c r="O15739">
        <v>231018</v>
      </c>
    </row>
    <row r="15740" spans="1:15" x14ac:dyDescent="0.25">
      <c r="A15740" t="s">
        <v>16</v>
      </c>
      <c r="B15740" t="s">
        <v>3221</v>
      </c>
      <c r="C15740">
        <v>12342</v>
      </c>
      <c r="D15740" t="s">
        <v>2565</v>
      </c>
      <c r="E15740" t="s">
        <v>2566</v>
      </c>
      <c r="F15740">
        <v>135.31</v>
      </c>
      <c r="G15740">
        <v>230914</v>
      </c>
      <c r="H15740">
        <v>4590</v>
      </c>
      <c r="I15740" t="s">
        <v>203</v>
      </c>
      <c r="J15740">
        <v>167.78</v>
      </c>
      <c r="K15740">
        <v>32.47</v>
      </c>
      <c r="L15740">
        <v>17806</v>
      </c>
      <c r="M15740" t="s">
        <v>265</v>
      </c>
      <c r="N15740" t="str">
        <f>"5237746790  "</f>
        <v xml:space="preserve">5237746790  </v>
      </c>
      <c r="O15740">
        <v>230918</v>
      </c>
    </row>
    <row r="15741" spans="1:15" x14ac:dyDescent="0.25">
      <c r="A15741" t="s">
        <v>16</v>
      </c>
      <c r="B15741" t="s">
        <v>3221</v>
      </c>
      <c r="C15741">
        <v>17901</v>
      </c>
      <c r="D15741" t="s">
        <v>2565</v>
      </c>
      <c r="E15741" t="s">
        <v>2566</v>
      </c>
      <c r="F15741">
        <v>5000.13</v>
      </c>
      <c r="G15741">
        <v>231214</v>
      </c>
      <c r="H15741">
        <v>4590</v>
      </c>
      <c r="I15741" t="s">
        <v>203</v>
      </c>
      <c r="J15741">
        <v>6200.16</v>
      </c>
      <c r="K15741">
        <v>1200.03</v>
      </c>
      <c r="L15741">
        <v>17806</v>
      </c>
      <c r="M15741" t="s">
        <v>265</v>
      </c>
      <c r="N15741" t="str">
        <f>"5238021750  "</f>
        <v xml:space="preserve">5238021750  </v>
      </c>
      <c r="O15741">
        <v>231227</v>
      </c>
    </row>
    <row r="15742" spans="1:15" x14ac:dyDescent="0.25">
      <c r="A15742" t="s">
        <v>16</v>
      </c>
      <c r="B15742" t="s">
        <v>3221</v>
      </c>
      <c r="C15742">
        <v>14205</v>
      </c>
      <c r="D15742" t="s">
        <v>2565</v>
      </c>
      <c r="E15742" t="s">
        <v>2566</v>
      </c>
      <c r="F15742">
        <v>125</v>
      </c>
      <c r="G15742">
        <v>231009</v>
      </c>
      <c r="H15742">
        <v>4530</v>
      </c>
      <c r="I15742" t="s">
        <v>342</v>
      </c>
      <c r="J15742">
        <v>155</v>
      </c>
      <c r="K15742">
        <v>30</v>
      </c>
      <c r="L15742">
        <v>17806</v>
      </c>
      <c r="M15742" t="s">
        <v>265</v>
      </c>
      <c r="N15742" t="str">
        <f>"448045756   "</f>
        <v xml:space="preserve">448045756   </v>
      </c>
      <c r="O15742">
        <v>231024</v>
      </c>
    </row>
    <row r="15743" spans="1:15" x14ac:dyDescent="0.25">
      <c r="A15743" t="s">
        <v>16</v>
      </c>
      <c r="B15743" t="s">
        <v>3221</v>
      </c>
      <c r="C15743">
        <v>555</v>
      </c>
      <c r="D15743" t="s">
        <v>201</v>
      </c>
      <c r="E15743" t="s">
        <v>202</v>
      </c>
      <c r="F15743">
        <v>120.97</v>
      </c>
      <c r="G15743">
        <v>230123</v>
      </c>
      <c r="H15743">
        <v>4580</v>
      </c>
      <c r="I15743" t="s">
        <v>35</v>
      </c>
      <c r="J15743">
        <v>150</v>
      </c>
      <c r="K15743">
        <v>29.03</v>
      </c>
      <c r="L15743">
        <v>56562</v>
      </c>
      <c r="M15743" t="s">
        <v>126</v>
      </c>
      <c r="N15743" t="str">
        <f>"5237008136  "</f>
        <v xml:space="preserve">5237008136  </v>
      </c>
      <c r="O15743">
        <v>230124</v>
      </c>
    </row>
    <row r="15744" spans="1:15" x14ac:dyDescent="0.25">
      <c r="A15744" t="s">
        <v>16</v>
      </c>
      <c r="B15744" t="s">
        <v>3221</v>
      </c>
      <c r="C15744">
        <v>7756</v>
      </c>
      <c r="D15744" t="s">
        <v>201</v>
      </c>
      <c r="E15744" t="s">
        <v>202</v>
      </c>
      <c r="F15744">
        <v>241.94</v>
      </c>
      <c r="G15744">
        <v>230531</v>
      </c>
      <c r="H15744">
        <v>4580</v>
      </c>
      <c r="I15744" t="s">
        <v>35</v>
      </c>
      <c r="J15744">
        <v>300.01</v>
      </c>
      <c r="K15744">
        <v>58.07</v>
      </c>
      <c r="L15744">
        <v>59501</v>
      </c>
      <c r="M15744" t="s">
        <v>69</v>
      </c>
      <c r="N15744" t="str">
        <f>"5237385191  "</f>
        <v xml:space="preserve">5237385191  </v>
      </c>
      <c r="O15744">
        <v>230602</v>
      </c>
    </row>
    <row r="15745" spans="1:15" x14ac:dyDescent="0.25">
      <c r="A15745" t="s">
        <v>16</v>
      </c>
      <c r="B15745" t="s">
        <v>3221</v>
      </c>
      <c r="C15745">
        <v>15000</v>
      </c>
      <c r="D15745" t="s">
        <v>201</v>
      </c>
      <c r="E15745" t="s">
        <v>202</v>
      </c>
      <c r="F15745">
        <v>124.43</v>
      </c>
      <c r="G15745">
        <v>231106</v>
      </c>
      <c r="H15745">
        <v>4580</v>
      </c>
      <c r="I15745" t="s">
        <v>35</v>
      </c>
      <c r="J15745">
        <v>154.29</v>
      </c>
      <c r="K15745">
        <v>29.86</v>
      </c>
      <c r="L15745">
        <v>56571</v>
      </c>
      <c r="M15745" t="s">
        <v>204</v>
      </c>
      <c r="N15745" t="str">
        <f>"5237921218  "</f>
        <v xml:space="preserve">5237921218  </v>
      </c>
      <c r="O15745">
        <v>231108</v>
      </c>
    </row>
    <row r="15746" spans="1:15" x14ac:dyDescent="0.25">
      <c r="A15746" t="s">
        <v>16</v>
      </c>
      <c r="B15746" t="s">
        <v>3221</v>
      </c>
      <c r="C15746">
        <v>15784</v>
      </c>
      <c r="D15746" t="s">
        <v>201</v>
      </c>
      <c r="E15746" t="s">
        <v>202</v>
      </c>
      <c r="F15746">
        <v>113.12</v>
      </c>
      <c r="G15746">
        <v>231113</v>
      </c>
      <c r="H15746">
        <v>4580</v>
      </c>
      <c r="I15746" t="s">
        <v>35</v>
      </c>
      <c r="J15746">
        <v>140.27000000000001</v>
      </c>
      <c r="K15746">
        <v>27.15</v>
      </c>
      <c r="L15746">
        <v>56562</v>
      </c>
      <c r="M15746" t="s">
        <v>126</v>
      </c>
      <c r="N15746" t="str">
        <f>"5237939972  "</f>
        <v xml:space="preserve">5237939972  </v>
      </c>
      <c r="O15746">
        <v>231117</v>
      </c>
    </row>
    <row r="15747" spans="1:15" x14ac:dyDescent="0.25">
      <c r="A15747" t="s">
        <v>16</v>
      </c>
      <c r="B15747" t="s">
        <v>3221</v>
      </c>
      <c r="C15747">
        <v>16336</v>
      </c>
      <c r="D15747" t="s">
        <v>201</v>
      </c>
      <c r="E15747" t="s">
        <v>202</v>
      </c>
      <c r="F15747">
        <v>162.52000000000001</v>
      </c>
      <c r="G15747">
        <v>231120</v>
      </c>
      <c r="H15747">
        <v>4580</v>
      </c>
      <c r="I15747" t="s">
        <v>35</v>
      </c>
      <c r="J15747">
        <v>201.52</v>
      </c>
      <c r="K15747">
        <v>39</v>
      </c>
      <c r="L15747">
        <v>59111</v>
      </c>
      <c r="M15747" t="s">
        <v>1010</v>
      </c>
      <c r="N15747" t="str">
        <f>"5237960695  "</f>
        <v xml:space="preserve">5237960695  </v>
      </c>
      <c r="O15747">
        <v>231128</v>
      </c>
    </row>
    <row r="15748" spans="1:15" x14ac:dyDescent="0.25">
      <c r="A15748" t="s">
        <v>16</v>
      </c>
      <c r="B15748" t="s">
        <v>3221</v>
      </c>
      <c r="C15748">
        <v>4189</v>
      </c>
      <c r="D15748" t="s">
        <v>201</v>
      </c>
      <c r="E15748" t="s">
        <v>202</v>
      </c>
      <c r="F15748">
        <v>19.420000000000002</v>
      </c>
      <c r="G15748">
        <v>230320</v>
      </c>
      <c r="H15748">
        <v>4600</v>
      </c>
      <c r="I15748" t="s">
        <v>105</v>
      </c>
      <c r="J15748">
        <v>24.08</v>
      </c>
      <c r="K15748">
        <v>4.66</v>
      </c>
      <c r="L15748">
        <v>56524</v>
      </c>
      <c r="M15748" t="s">
        <v>150</v>
      </c>
      <c r="N15748" t="str">
        <f>"5237152740  "</f>
        <v xml:space="preserve">5237152740  </v>
      </c>
      <c r="O15748">
        <v>230331</v>
      </c>
    </row>
    <row r="15749" spans="1:15" x14ac:dyDescent="0.25">
      <c r="A15749" t="s">
        <v>16</v>
      </c>
      <c r="B15749" t="s">
        <v>3221</v>
      </c>
      <c r="C15749">
        <v>4190</v>
      </c>
      <c r="D15749" t="s">
        <v>201</v>
      </c>
      <c r="E15749" t="s">
        <v>202</v>
      </c>
      <c r="F15749">
        <v>-19.420000000000002</v>
      </c>
      <c r="G15749">
        <v>230320</v>
      </c>
      <c r="H15749">
        <v>4600</v>
      </c>
      <c r="I15749" t="s">
        <v>105</v>
      </c>
      <c r="J15749">
        <v>-24.08</v>
      </c>
      <c r="K15749">
        <v>-4.66</v>
      </c>
      <c r="L15749">
        <v>56524</v>
      </c>
      <c r="M15749" t="s">
        <v>150</v>
      </c>
      <c r="N15749" t="str">
        <f>"5237152739  "</f>
        <v xml:space="preserve">5237152739  </v>
      </c>
      <c r="O15749">
        <v>230331</v>
      </c>
    </row>
    <row r="15750" spans="1:15" x14ac:dyDescent="0.25">
      <c r="A15750" t="s">
        <v>16</v>
      </c>
      <c r="B15750" t="s">
        <v>3221</v>
      </c>
      <c r="C15750">
        <v>6669</v>
      </c>
      <c r="D15750" t="s">
        <v>201</v>
      </c>
      <c r="E15750" t="s">
        <v>202</v>
      </c>
      <c r="F15750">
        <v>61.77</v>
      </c>
      <c r="G15750">
        <v>230508</v>
      </c>
      <c r="H15750">
        <v>4600</v>
      </c>
      <c r="I15750" t="s">
        <v>105</v>
      </c>
      <c r="J15750">
        <v>76.59</v>
      </c>
      <c r="K15750">
        <v>14.82</v>
      </c>
      <c r="L15750">
        <v>59504</v>
      </c>
      <c r="M15750" t="s">
        <v>71</v>
      </c>
      <c r="N15750" t="str">
        <f>"5237290561  "</f>
        <v xml:space="preserve">5237290561  </v>
      </c>
      <c r="O15750">
        <v>230517</v>
      </c>
    </row>
    <row r="15751" spans="1:15" x14ac:dyDescent="0.25">
      <c r="A15751" t="s">
        <v>16</v>
      </c>
      <c r="B15751" t="s">
        <v>3221</v>
      </c>
      <c r="C15751">
        <v>8372</v>
      </c>
      <c r="D15751" t="s">
        <v>201</v>
      </c>
      <c r="E15751" t="s">
        <v>202</v>
      </c>
      <c r="F15751">
        <v>5.6</v>
      </c>
      <c r="G15751">
        <v>230605</v>
      </c>
      <c r="H15751">
        <v>4600</v>
      </c>
      <c r="I15751" t="s">
        <v>105</v>
      </c>
      <c r="J15751">
        <v>6.94</v>
      </c>
      <c r="K15751">
        <v>1.34</v>
      </c>
      <c r="L15751">
        <v>59502</v>
      </c>
      <c r="M15751" t="s">
        <v>70</v>
      </c>
      <c r="N15751" t="str">
        <f>"5237402872  "</f>
        <v xml:space="preserve">5237402872  </v>
      </c>
      <c r="O15751">
        <v>230608</v>
      </c>
    </row>
    <row r="15752" spans="1:15" x14ac:dyDescent="0.25">
      <c r="A15752" t="s">
        <v>16</v>
      </c>
      <c r="B15752" t="s">
        <v>3221</v>
      </c>
      <c r="C15752">
        <v>10023</v>
      </c>
      <c r="D15752" t="s">
        <v>201</v>
      </c>
      <c r="E15752" t="s">
        <v>202</v>
      </c>
      <c r="F15752">
        <v>12.1</v>
      </c>
      <c r="G15752">
        <v>230731</v>
      </c>
      <c r="H15752">
        <v>4600</v>
      </c>
      <c r="I15752" t="s">
        <v>105</v>
      </c>
      <c r="J15752">
        <v>15</v>
      </c>
      <c r="K15752">
        <v>2.9</v>
      </c>
      <c r="L15752">
        <v>59501</v>
      </c>
      <c r="M15752" t="s">
        <v>69</v>
      </c>
      <c r="N15752" t="str">
        <f>"5237600993  "</f>
        <v xml:space="preserve">5237600993  </v>
      </c>
      <c r="O15752">
        <v>230807</v>
      </c>
    </row>
    <row r="15753" spans="1:15" x14ac:dyDescent="0.25">
      <c r="A15753" t="s">
        <v>16</v>
      </c>
      <c r="B15753" t="s">
        <v>3221</v>
      </c>
      <c r="C15753">
        <v>11292</v>
      </c>
      <c r="D15753" t="s">
        <v>201</v>
      </c>
      <c r="E15753" t="s">
        <v>202</v>
      </c>
      <c r="F15753">
        <v>12.02</v>
      </c>
      <c r="G15753">
        <v>230828</v>
      </c>
      <c r="H15753">
        <v>4600</v>
      </c>
      <c r="I15753" t="s">
        <v>105</v>
      </c>
      <c r="J15753">
        <v>14.9</v>
      </c>
      <c r="K15753">
        <v>2.88</v>
      </c>
      <c r="L15753">
        <v>59504</v>
      </c>
      <c r="M15753" t="s">
        <v>71</v>
      </c>
      <c r="N15753" t="str">
        <f>"5237688725  "</f>
        <v xml:space="preserve">5237688725  </v>
      </c>
      <c r="O15753">
        <v>230904</v>
      </c>
    </row>
    <row r="15754" spans="1:15" x14ac:dyDescent="0.25">
      <c r="A15754" t="s">
        <v>16</v>
      </c>
      <c r="B15754" t="s">
        <v>3221</v>
      </c>
      <c r="C15754">
        <v>15887</v>
      </c>
      <c r="D15754" t="s">
        <v>201</v>
      </c>
      <c r="E15754" t="s">
        <v>202</v>
      </c>
      <c r="F15754">
        <v>54.65</v>
      </c>
      <c r="G15754">
        <v>231113</v>
      </c>
      <c r="H15754">
        <v>4600</v>
      </c>
      <c r="I15754" t="s">
        <v>105</v>
      </c>
      <c r="J15754">
        <v>67.77</v>
      </c>
      <c r="K15754">
        <v>13.12</v>
      </c>
      <c r="L15754">
        <v>56565</v>
      </c>
      <c r="M15754" t="s">
        <v>758</v>
      </c>
      <c r="N15754" t="str">
        <f>"5237939971  "</f>
        <v xml:space="preserve">5237939971  </v>
      </c>
      <c r="O15754">
        <v>231121</v>
      </c>
    </row>
    <row r="15755" spans="1:15" x14ac:dyDescent="0.25">
      <c r="A15755" t="s">
        <v>16</v>
      </c>
      <c r="B15755" t="s">
        <v>3221</v>
      </c>
      <c r="C15755">
        <v>15887</v>
      </c>
      <c r="D15755" t="s">
        <v>201</v>
      </c>
      <c r="E15755" t="s">
        <v>202</v>
      </c>
      <c r="F15755">
        <v>94.95</v>
      </c>
      <c r="G15755">
        <v>231113</v>
      </c>
      <c r="H15755">
        <v>4600</v>
      </c>
      <c r="I15755" t="s">
        <v>105</v>
      </c>
      <c r="J15755">
        <v>117.74</v>
      </c>
      <c r="K15755">
        <v>22.79</v>
      </c>
      <c r="L15755">
        <v>59501</v>
      </c>
      <c r="M15755" t="s">
        <v>69</v>
      </c>
      <c r="N15755" t="str">
        <f>"5237939971  "</f>
        <v xml:space="preserve">5237939971  </v>
      </c>
      <c r="O15755">
        <v>231121</v>
      </c>
    </row>
    <row r="15756" spans="1:15" x14ac:dyDescent="0.25">
      <c r="A15756" t="s">
        <v>16</v>
      </c>
      <c r="B15756" t="s">
        <v>3221</v>
      </c>
      <c r="C15756">
        <v>17356</v>
      </c>
      <c r="D15756" t="s">
        <v>201</v>
      </c>
      <c r="E15756" t="s">
        <v>202</v>
      </c>
      <c r="F15756">
        <v>21.74</v>
      </c>
      <c r="G15756">
        <v>231130</v>
      </c>
      <c r="H15756">
        <v>4600</v>
      </c>
      <c r="I15756" t="s">
        <v>105</v>
      </c>
      <c r="J15756">
        <v>26.96</v>
      </c>
      <c r="K15756">
        <v>5.22</v>
      </c>
      <c r="L15756">
        <v>59815</v>
      </c>
      <c r="M15756" t="s">
        <v>1182</v>
      </c>
      <c r="N15756" t="str">
        <f>"5237993726  "</f>
        <v xml:space="preserve">5237993726  </v>
      </c>
      <c r="O15756">
        <v>231213</v>
      </c>
    </row>
    <row r="15757" spans="1:15" x14ac:dyDescent="0.25">
      <c r="A15757" t="s">
        <v>16</v>
      </c>
      <c r="B15757" t="s">
        <v>3221</v>
      </c>
      <c r="C15757">
        <v>4028</v>
      </c>
      <c r="D15757" t="s">
        <v>201</v>
      </c>
      <c r="E15757" t="s">
        <v>202</v>
      </c>
      <c r="F15757">
        <v>17.66</v>
      </c>
      <c r="G15757">
        <v>230327</v>
      </c>
      <c r="H15757">
        <v>4555</v>
      </c>
      <c r="I15757" t="s">
        <v>481</v>
      </c>
      <c r="J15757">
        <v>21.9</v>
      </c>
      <c r="K15757">
        <v>4.24</v>
      </c>
      <c r="L15757">
        <v>59112</v>
      </c>
      <c r="M15757" t="s">
        <v>182</v>
      </c>
      <c r="N15757" t="str">
        <f>"5237169339  "</f>
        <v xml:space="preserve">5237169339  </v>
      </c>
      <c r="O15757">
        <v>230329</v>
      </c>
    </row>
    <row r="15758" spans="1:15" x14ac:dyDescent="0.25">
      <c r="A15758" t="s">
        <v>16</v>
      </c>
      <c r="B15758" t="s">
        <v>3221</v>
      </c>
      <c r="C15758">
        <v>137</v>
      </c>
      <c r="D15758" t="s">
        <v>201</v>
      </c>
      <c r="E15758" t="s">
        <v>202</v>
      </c>
      <c r="F15758">
        <v>986.22</v>
      </c>
      <c r="G15758">
        <v>230109</v>
      </c>
      <c r="H15758">
        <v>4590</v>
      </c>
      <c r="I15758" t="s">
        <v>203</v>
      </c>
      <c r="J15758">
        <v>1222.9100000000001</v>
      </c>
      <c r="K15758">
        <v>236.69</v>
      </c>
      <c r="L15758">
        <v>56571</v>
      </c>
      <c r="M15758" t="s">
        <v>204</v>
      </c>
      <c r="N15758" t="str">
        <f>"5236972955  "</f>
        <v xml:space="preserve">5236972955  </v>
      </c>
      <c r="O15758">
        <v>230112</v>
      </c>
    </row>
    <row r="15759" spans="1:15" x14ac:dyDescent="0.25">
      <c r="A15759" t="s">
        <v>16</v>
      </c>
      <c r="B15759" t="s">
        <v>3221</v>
      </c>
      <c r="C15759">
        <v>299</v>
      </c>
      <c r="D15759" t="s">
        <v>201</v>
      </c>
      <c r="E15759" t="s">
        <v>202</v>
      </c>
      <c r="F15759">
        <v>153.54</v>
      </c>
      <c r="G15759">
        <v>230116</v>
      </c>
      <c r="H15759">
        <v>4590</v>
      </c>
      <c r="I15759" t="s">
        <v>203</v>
      </c>
      <c r="J15759">
        <v>190.39</v>
      </c>
      <c r="K15759">
        <v>36.85</v>
      </c>
      <c r="L15759">
        <v>56571</v>
      </c>
      <c r="M15759" t="s">
        <v>204</v>
      </c>
      <c r="N15759" t="str">
        <f>"5236991012  "</f>
        <v xml:space="preserve">5236991012  </v>
      </c>
      <c r="O15759">
        <v>230118</v>
      </c>
    </row>
    <row r="15760" spans="1:15" x14ac:dyDescent="0.25">
      <c r="A15760" t="s">
        <v>16</v>
      </c>
      <c r="B15760" t="s">
        <v>3221</v>
      </c>
      <c r="C15760">
        <v>555</v>
      </c>
      <c r="D15760" t="s">
        <v>201</v>
      </c>
      <c r="E15760" t="s">
        <v>202</v>
      </c>
      <c r="F15760">
        <v>304.85000000000002</v>
      </c>
      <c r="G15760">
        <v>230123</v>
      </c>
      <c r="H15760">
        <v>4590</v>
      </c>
      <c r="I15760" t="s">
        <v>203</v>
      </c>
      <c r="J15760">
        <v>378.02</v>
      </c>
      <c r="K15760">
        <v>73.17</v>
      </c>
      <c r="L15760">
        <v>56571</v>
      </c>
      <c r="M15760" t="s">
        <v>204</v>
      </c>
      <c r="N15760" t="str">
        <f>"5237008136  "</f>
        <v xml:space="preserve">5237008136  </v>
      </c>
      <c r="O15760">
        <v>230124</v>
      </c>
    </row>
    <row r="15761" spans="1:15" x14ac:dyDescent="0.25">
      <c r="A15761" t="s">
        <v>16</v>
      </c>
      <c r="B15761" t="s">
        <v>3221</v>
      </c>
      <c r="C15761">
        <v>1097</v>
      </c>
      <c r="D15761" t="s">
        <v>201</v>
      </c>
      <c r="E15761" t="s">
        <v>202</v>
      </c>
      <c r="F15761">
        <v>1674.6</v>
      </c>
      <c r="G15761">
        <v>230131</v>
      </c>
      <c r="H15761">
        <v>4590</v>
      </c>
      <c r="I15761" t="s">
        <v>203</v>
      </c>
      <c r="J15761">
        <v>2076.5</v>
      </c>
      <c r="K15761">
        <v>401.9</v>
      </c>
      <c r="L15761">
        <v>56571</v>
      </c>
      <c r="M15761" t="s">
        <v>204</v>
      </c>
      <c r="N15761" t="str">
        <f>"5237033427  "</f>
        <v xml:space="preserve">5237033427  </v>
      </c>
      <c r="O15761">
        <v>230203</v>
      </c>
    </row>
    <row r="15762" spans="1:15" x14ac:dyDescent="0.25">
      <c r="A15762" t="s">
        <v>16</v>
      </c>
      <c r="B15762" t="s">
        <v>3221</v>
      </c>
      <c r="C15762">
        <v>1098</v>
      </c>
      <c r="D15762" t="s">
        <v>201</v>
      </c>
      <c r="E15762" t="s">
        <v>202</v>
      </c>
      <c r="F15762">
        <v>225.06</v>
      </c>
      <c r="G15762">
        <v>230131</v>
      </c>
      <c r="H15762">
        <v>4590</v>
      </c>
      <c r="I15762" t="s">
        <v>203</v>
      </c>
      <c r="J15762">
        <v>279.07</v>
      </c>
      <c r="K15762">
        <v>54.01</v>
      </c>
      <c r="L15762">
        <v>56571</v>
      </c>
      <c r="M15762" t="s">
        <v>204</v>
      </c>
      <c r="N15762" t="str">
        <f>"5237033426  "</f>
        <v xml:space="preserve">5237033426  </v>
      </c>
      <c r="O15762">
        <v>230203</v>
      </c>
    </row>
    <row r="15763" spans="1:15" x14ac:dyDescent="0.25">
      <c r="A15763" t="s">
        <v>16</v>
      </c>
      <c r="B15763" t="s">
        <v>3221</v>
      </c>
      <c r="C15763">
        <v>1347</v>
      </c>
      <c r="D15763" t="s">
        <v>201</v>
      </c>
      <c r="E15763" t="s">
        <v>202</v>
      </c>
      <c r="F15763">
        <v>753.77</v>
      </c>
      <c r="G15763">
        <v>230206</v>
      </c>
      <c r="H15763">
        <v>4590</v>
      </c>
      <c r="I15763" t="s">
        <v>203</v>
      </c>
      <c r="J15763">
        <v>934.67</v>
      </c>
      <c r="K15763">
        <v>180.9</v>
      </c>
      <c r="L15763">
        <v>56571</v>
      </c>
      <c r="M15763" t="s">
        <v>204</v>
      </c>
      <c r="N15763" t="str">
        <f>"5237046996  "</f>
        <v xml:space="preserve">5237046996  </v>
      </c>
      <c r="O15763">
        <v>230208</v>
      </c>
    </row>
    <row r="15764" spans="1:15" x14ac:dyDescent="0.25">
      <c r="A15764" t="s">
        <v>16</v>
      </c>
      <c r="B15764" t="s">
        <v>3221</v>
      </c>
      <c r="C15764">
        <v>1841</v>
      </c>
      <c r="D15764" t="s">
        <v>201</v>
      </c>
      <c r="E15764" t="s">
        <v>202</v>
      </c>
      <c r="F15764">
        <v>450.97</v>
      </c>
      <c r="G15764">
        <v>230213</v>
      </c>
      <c r="H15764">
        <v>4590</v>
      </c>
      <c r="I15764" t="s">
        <v>203</v>
      </c>
      <c r="J15764">
        <v>559.20000000000005</v>
      </c>
      <c r="K15764">
        <v>108.23</v>
      </c>
      <c r="L15764">
        <v>56571</v>
      </c>
      <c r="M15764" t="s">
        <v>204</v>
      </c>
      <c r="N15764" t="str">
        <f>"5237063638  "</f>
        <v xml:space="preserve">5237063638  </v>
      </c>
      <c r="O15764">
        <v>230214</v>
      </c>
    </row>
    <row r="15765" spans="1:15" x14ac:dyDescent="0.25">
      <c r="A15765" t="s">
        <v>16</v>
      </c>
      <c r="B15765" t="s">
        <v>3221</v>
      </c>
      <c r="C15765">
        <v>2315</v>
      </c>
      <c r="D15765" t="s">
        <v>201</v>
      </c>
      <c r="E15765" t="s">
        <v>202</v>
      </c>
      <c r="F15765">
        <v>106.41</v>
      </c>
      <c r="G15765">
        <v>230220</v>
      </c>
      <c r="H15765">
        <v>4590</v>
      </c>
      <c r="I15765" t="s">
        <v>203</v>
      </c>
      <c r="J15765">
        <v>131.94999999999999</v>
      </c>
      <c r="K15765">
        <v>25.54</v>
      </c>
      <c r="L15765">
        <v>56562</v>
      </c>
      <c r="M15765" t="s">
        <v>126</v>
      </c>
      <c r="N15765" t="str">
        <f>"5237081952  "</f>
        <v xml:space="preserve">5237081952  </v>
      </c>
      <c r="O15765">
        <v>230224</v>
      </c>
    </row>
    <row r="15766" spans="1:15" x14ac:dyDescent="0.25">
      <c r="A15766" t="s">
        <v>16</v>
      </c>
      <c r="B15766" t="s">
        <v>3221</v>
      </c>
      <c r="C15766">
        <v>2315</v>
      </c>
      <c r="D15766" t="s">
        <v>201</v>
      </c>
      <c r="E15766" t="s">
        <v>202</v>
      </c>
      <c r="F15766">
        <v>729.84</v>
      </c>
      <c r="G15766">
        <v>230220</v>
      </c>
      <c r="H15766">
        <v>4590</v>
      </c>
      <c r="I15766" t="s">
        <v>203</v>
      </c>
      <c r="J15766">
        <v>905</v>
      </c>
      <c r="K15766">
        <v>175.16</v>
      </c>
      <c r="L15766">
        <v>56562</v>
      </c>
      <c r="M15766" t="s">
        <v>126</v>
      </c>
      <c r="N15766" t="str">
        <f>"5237081952  "</f>
        <v xml:space="preserve">5237081952  </v>
      </c>
      <c r="O15766">
        <v>230224</v>
      </c>
    </row>
    <row r="15767" spans="1:15" x14ac:dyDescent="0.25">
      <c r="A15767" t="s">
        <v>16</v>
      </c>
      <c r="B15767" t="s">
        <v>3221</v>
      </c>
      <c r="C15767">
        <v>2315</v>
      </c>
      <c r="D15767" t="s">
        <v>201</v>
      </c>
      <c r="E15767" t="s">
        <v>202</v>
      </c>
      <c r="F15767">
        <v>12.1</v>
      </c>
      <c r="G15767">
        <v>230220</v>
      </c>
      <c r="H15767">
        <v>4590</v>
      </c>
      <c r="I15767" t="s">
        <v>203</v>
      </c>
      <c r="J15767">
        <v>15</v>
      </c>
      <c r="K15767">
        <v>2.9</v>
      </c>
      <c r="L15767">
        <v>56571</v>
      </c>
      <c r="M15767" t="s">
        <v>204</v>
      </c>
      <c r="N15767" t="str">
        <f>"5237081952  "</f>
        <v xml:space="preserve">5237081952  </v>
      </c>
      <c r="O15767">
        <v>230224</v>
      </c>
    </row>
    <row r="15768" spans="1:15" x14ac:dyDescent="0.25">
      <c r="A15768" t="s">
        <v>16</v>
      </c>
      <c r="B15768" t="s">
        <v>3221</v>
      </c>
      <c r="C15768">
        <v>2315</v>
      </c>
      <c r="D15768" t="s">
        <v>201</v>
      </c>
      <c r="E15768" t="s">
        <v>202</v>
      </c>
      <c r="F15768">
        <v>43.93</v>
      </c>
      <c r="G15768">
        <v>230220</v>
      </c>
      <c r="H15768">
        <v>4590</v>
      </c>
      <c r="I15768" t="s">
        <v>203</v>
      </c>
      <c r="J15768">
        <v>54.47</v>
      </c>
      <c r="K15768">
        <v>10.54</v>
      </c>
      <c r="L15768">
        <v>59504</v>
      </c>
      <c r="M15768" t="s">
        <v>71</v>
      </c>
      <c r="N15768" t="str">
        <f>"5237081952  "</f>
        <v xml:space="preserve">5237081952  </v>
      </c>
      <c r="O15768">
        <v>230224</v>
      </c>
    </row>
    <row r="15769" spans="1:15" x14ac:dyDescent="0.25">
      <c r="A15769" t="s">
        <v>16</v>
      </c>
      <c r="B15769" t="s">
        <v>3221</v>
      </c>
      <c r="C15769">
        <v>2672</v>
      </c>
      <c r="D15769" t="s">
        <v>201</v>
      </c>
      <c r="E15769" t="s">
        <v>202</v>
      </c>
      <c r="F15769">
        <v>205.93</v>
      </c>
      <c r="G15769">
        <v>230227</v>
      </c>
      <c r="H15769">
        <v>4590</v>
      </c>
      <c r="I15769" t="s">
        <v>203</v>
      </c>
      <c r="J15769">
        <v>255.35</v>
      </c>
      <c r="K15769">
        <v>49.42</v>
      </c>
      <c r="L15769">
        <v>56571</v>
      </c>
      <c r="M15769" t="s">
        <v>204</v>
      </c>
      <c r="N15769" t="str">
        <f>"5237097795  "</f>
        <v xml:space="preserve">5237097795  </v>
      </c>
      <c r="O15769">
        <v>230306</v>
      </c>
    </row>
    <row r="15770" spans="1:15" x14ac:dyDescent="0.25">
      <c r="A15770" t="s">
        <v>16</v>
      </c>
      <c r="B15770" t="s">
        <v>3221</v>
      </c>
      <c r="C15770">
        <v>3387</v>
      </c>
      <c r="D15770" t="s">
        <v>201</v>
      </c>
      <c r="E15770" t="s">
        <v>202</v>
      </c>
      <c r="F15770">
        <v>102.38</v>
      </c>
      <c r="G15770">
        <v>230313</v>
      </c>
      <c r="H15770">
        <v>4590</v>
      </c>
      <c r="I15770" t="s">
        <v>203</v>
      </c>
      <c r="J15770">
        <v>126.95</v>
      </c>
      <c r="K15770">
        <v>24.57</v>
      </c>
      <c r="L15770">
        <v>56562</v>
      </c>
      <c r="M15770" t="s">
        <v>126</v>
      </c>
      <c r="N15770" t="str">
        <f>"5237134513  "</f>
        <v xml:space="preserve">5237134513  </v>
      </c>
      <c r="O15770">
        <v>230315</v>
      </c>
    </row>
    <row r="15771" spans="1:15" x14ac:dyDescent="0.25">
      <c r="A15771" t="s">
        <v>16</v>
      </c>
      <c r="B15771" t="s">
        <v>3221</v>
      </c>
      <c r="C15771">
        <v>4013</v>
      </c>
      <c r="D15771" t="s">
        <v>201</v>
      </c>
      <c r="E15771" t="s">
        <v>202</v>
      </c>
      <c r="F15771">
        <v>289.7</v>
      </c>
      <c r="G15771">
        <v>230327</v>
      </c>
      <c r="H15771">
        <v>4590</v>
      </c>
      <c r="I15771" t="s">
        <v>203</v>
      </c>
      <c r="J15771">
        <v>359.23</v>
      </c>
      <c r="K15771">
        <v>69.53</v>
      </c>
      <c r="L15771">
        <v>56562</v>
      </c>
      <c r="M15771" t="s">
        <v>126</v>
      </c>
      <c r="N15771" t="str">
        <f>"5237169338  "</f>
        <v xml:space="preserve">5237169338  </v>
      </c>
      <c r="O15771">
        <v>230329</v>
      </c>
    </row>
    <row r="15772" spans="1:15" x14ac:dyDescent="0.25">
      <c r="A15772" t="s">
        <v>16</v>
      </c>
      <c r="B15772" t="s">
        <v>3221</v>
      </c>
      <c r="C15772">
        <v>4013</v>
      </c>
      <c r="D15772" t="s">
        <v>201</v>
      </c>
      <c r="E15772" t="s">
        <v>202</v>
      </c>
      <c r="F15772">
        <v>97.35</v>
      </c>
      <c r="G15772">
        <v>230327</v>
      </c>
      <c r="H15772">
        <v>4590</v>
      </c>
      <c r="I15772" t="s">
        <v>203</v>
      </c>
      <c r="J15772">
        <v>120.71</v>
      </c>
      <c r="K15772">
        <v>23.36</v>
      </c>
      <c r="L15772">
        <v>56571</v>
      </c>
      <c r="M15772" t="s">
        <v>204</v>
      </c>
      <c r="N15772" t="str">
        <f>"5237169338  "</f>
        <v xml:space="preserve">5237169338  </v>
      </c>
      <c r="O15772">
        <v>230329</v>
      </c>
    </row>
    <row r="15773" spans="1:15" x14ac:dyDescent="0.25">
      <c r="A15773" t="s">
        <v>16</v>
      </c>
      <c r="B15773" t="s">
        <v>3221</v>
      </c>
      <c r="C15773">
        <v>4028</v>
      </c>
      <c r="D15773" t="s">
        <v>201</v>
      </c>
      <c r="E15773" t="s">
        <v>202</v>
      </c>
      <c r="F15773">
        <v>42.07</v>
      </c>
      <c r="G15773">
        <v>230327</v>
      </c>
      <c r="H15773">
        <v>4590</v>
      </c>
      <c r="I15773" t="s">
        <v>203</v>
      </c>
      <c r="J15773">
        <v>52.17</v>
      </c>
      <c r="K15773">
        <v>10.1</v>
      </c>
      <c r="L15773">
        <v>59504</v>
      </c>
      <c r="M15773" t="s">
        <v>71</v>
      </c>
      <c r="N15773" t="str">
        <f>"5237169339  "</f>
        <v xml:space="preserve">5237169339  </v>
      </c>
      <c r="O15773">
        <v>230329</v>
      </c>
    </row>
    <row r="15774" spans="1:15" x14ac:dyDescent="0.25">
      <c r="A15774" t="s">
        <v>16</v>
      </c>
      <c r="B15774" t="s">
        <v>3221</v>
      </c>
      <c r="C15774">
        <v>4189</v>
      </c>
      <c r="D15774" t="s">
        <v>201</v>
      </c>
      <c r="E15774" t="s">
        <v>202</v>
      </c>
      <c r="F15774">
        <v>136.28</v>
      </c>
      <c r="G15774">
        <v>230320</v>
      </c>
      <c r="H15774">
        <v>4590</v>
      </c>
      <c r="I15774" t="s">
        <v>203</v>
      </c>
      <c r="J15774">
        <v>168.99</v>
      </c>
      <c r="K15774">
        <v>32.71</v>
      </c>
      <c r="L15774">
        <v>56562</v>
      </c>
      <c r="M15774" t="s">
        <v>126</v>
      </c>
      <c r="N15774" t="str">
        <f>"5237152740  "</f>
        <v xml:space="preserve">5237152740  </v>
      </c>
      <c r="O15774">
        <v>230331</v>
      </c>
    </row>
    <row r="15775" spans="1:15" x14ac:dyDescent="0.25">
      <c r="A15775" t="s">
        <v>16</v>
      </c>
      <c r="B15775" t="s">
        <v>3221</v>
      </c>
      <c r="C15775">
        <v>4189</v>
      </c>
      <c r="D15775" t="s">
        <v>201</v>
      </c>
      <c r="E15775" t="s">
        <v>202</v>
      </c>
      <c r="F15775">
        <v>97.48</v>
      </c>
      <c r="G15775">
        <v>230320</v>
      </c>
      <c r="H15775">
        <v>4590</v>
      </c>
      <c r="I15775" t="s">
        <v>203</v>
      </c>
      <c r="J15775">
        <v>120.87</v>
      </c>
      <c r="K15775">
        <v>23.39</v>
      </c>
      <c r="L15775">
        <v>56571</v>
      </c>
      <c r="M15775" t="s">
        <v>204</v>
      </c>
      <c r="N15775" t="str">
        <f>"5237152740  "</f>
        <v xml:space="preserve">5237152740  </v>
      </c>
      <c r="O15775">
        <v>230331</v>
      </c>
    </row>
    <row r="15776" spans="1:15" x14ac:dyDescent="0.25">
      <c r="A15776" t="s">
        <v>16</v>
      </c>
      <c r="B15776" t="s">
        <v>3221</v>
      </c>
      <c r="C15776">
        <v>4306</v>
      </c>
      <c r="D15776" t="s">
        <v>201</v>
      </c>
      <c r="E15776" t="s">
        <v>202</v>
      </c>
      <c r="F15776">
        <v>12.03</v>
      </c>
      <c r="G15776">
        <v>230403</v>
      </c>
      <c r="H15776">
        <v>4590</v>
      </c>
      <c r="I15776" t="s">
        <v>203</v>
      </c>
      <c r="J15776">
        <v>14.92</v>
      </c>
      <c r="K15776">
        <v>2.89</v>
      </c>
      <c r="L15776">
        <v>56571</v>
      </c>
      <c r="M15776" t="s">
        <v>204</v>
      </c>
      <c r="N15776" t="str">
        <f>"5237192572  "</f>
        <v xml:space="preserve">5237192572  </v>
      </c>
      <c r="O15776">
        <v>230404</v>
      </c>
    </row>
    <row r="15777" spans="1:15" x14ac:dyDescent="0.25">
      <c r="A15777" t="s">
        <v>16</v>
      </c>
      <c r="B15777" t="s">
        <v>3221</v>
      </c>
      <c r="C15777">
        <v>4781</v>
      </c>
      <c r="D15777" t="s">
        <v>201</v>
      </c>
      <c r="E15777" t="s">
        <v>202</v>
      </c>
      <c r="F15777">
        <v>151.56</v>
      </c>
      <c r="G15777">
        <v>230410</v>
      </c>
      <c r="H15777">
        <v>4590</v>
      </c>
      <c r="I15777" t="s">
        <v>203</v>
      </c>
      <c r="J15777">
        <v>187.93</v>
      </c>
      <c r="K15777">
        <v>36.369999999999997</v>
      </c>
      <c r="L15777">
        <v>56562</v>
      </c>
      <c r="M15777" t="s">
        <v>126</v>
      </c>
      <c r="N15777" t="str">
        <f>"5237205277  "</f>
        <v xml:space="preserve">5237205277  </v>
      </c>
      <c r="O15777">
        <v>230412</v>
      </c>
    </row>
    <row r="15778" spans="1:15" x14ac:dyDescent="0.25">
      <c r="A15778" t="s">
        <v>16</v>
      </c>
      <c r="B15778" t="s">
        <v>3221</v>
      </c>
      <c r="C15778">
        <v>5326</v>
      </c>
      <c r="D15778" t="s">
        <v>201</v>
      </c>
      <c r="E15778" t="s">
        <v>202</v>
      </c>
      <c r="F15778">
        <v>331.28</v>
      </c>
      <c r="G15778">
        <v>230417</v>
      </c>
      <c r="H15778">
        <v>4590</v>
      </c>
      <c r="I15778" t="s">
        <v>203</v>
      </c>
      <c r="J15778">
        <v>410.79</v>
      </c>
      <c r="K15778">
        <v>79.510000000000005</v>
      </c>
      <c r="L15778">
        <v>56562</v>
      </c>
      <c r="M15778" t="s">
        <v>126</v>
      </c>
      <c r="N15778" t="str">
        <f>"5237224363  "</f>
        <v xml:space="preserve">5237224363  </v>
      </c>
      <c r="O15778">
        <v>230421</v>
      </c>
    </row>
    <row r="15779" spans="1:15" x14ac:dyDescent="0.25">
      <c r="A15779" t="s">
        <v>16</v>
      </c>
      <c r="B15779" t="s">
        <v>3221</v>
      </c>
      <c r="C15779">
        <v>5506</v>
      </c>
      <c r="D15779" t="s">
        <v>201</v>
      </c>
      <c r="E15779" t="s">
        <v>202</v>
      </c>
      <c r="F15779">
        <v>134.31</v>
      </c>
      <c r="G15779">
        <v>230424</v>
      </c>
      <c r="H15779">
        <v>4590</v>
      </c>
      <c r="I15779" t="s">
        <v>203</v>
      </c>
      <c r="J15779">
        <v>166.55</v>
      </c>
      <c r="K15779">
        <v>32.24</v>
      </c>
      <c r="L15779">
        <v>56571</v>
      </c>
      <c r="M15779" t="s">
        <v>204</v>
      </c>
      <c r="N15779" t="str">
        <f>"5237245145  "</f>
        <v xml:space="preserve">5237245145  </v>
      </c>
      <c r="O15779">
        <v>230426</v>
      </c>
    </row>
    <row r="15780" spans="1:15" x14ac:dyDescent="0.25">
      <c r="A15780" t="s">
        <v>16</v>
      </c>
      <c r="B15780" t="s">
        <v>3221</v>
      </c>
      <c r="C15780">
        <v>5602</v>
      </c>
      <c r="D15780" t="s">
        <v>201</v>
      </c>
      <c r="E15780" t="s">
        <v>202</v>
      </c>
      <c r="F15780">
        <v>1732.66</v>
      </c>
      <c r="G15780">
        <v>230425</v>
      </c>
      <c r="H15780">
        <v>4590</v>
      </c>
      <c r="I15780" t="s">
        <v>203</v>
      </c>
      <c r="J15780">
        <v>2148.5</v>
      </c>
      <c r="K15780">
        <v>415.84</v>
      </c>
      <c r="L15780">
        <v>56571</v>
      </c>
      <c r="M15780" t="s">
        <v>204</v>
      </c>
      <c r="N15780" t="str">
        <f>"445580133   "</f>
        <v xml:space="preserve">445580133   </v>
      </c>
      <c r="O15780">
        <v>230428</v>
      </c>
    </row>
    <row r="15781" spans="1:15" x14ac:dyDescent="0.25">
      <c r="A15781" t="s">
        <v>16</v>
      </c>
      <c r="B15781" t="s">
        <v>3221</v>
      </c>
      <c r="C15781">
        <v>5810</v>
      </c>
      <c r="D15781" t="s">
        <v>201</v>
      </c>
      <c r="E15781" t="s">
        <v>202</v>
      </c>
      <c r="F15781">
        <v>83.51</v>
      </c>
      <c r="G15781">
        <v>230430</v>
      </c>
      <c r="H15781">
        <v>4590</v>
      </c>
      <c r="I15781" t="s">
        <v>203</v>
      </c>
      <c r="J15781">
        <v>103.55</v>
      </c>
      <c r="K15781">
        <v>20.04</v>
      </c>
      <c r="L15781">
        <v>56562</v>
      </c>
      <c r="M15781" t="s">
        <v>126</v>
      </c>
      <c r="N15781" t="str">
        <f>"5237268589  "</f>
        <v xml:space="preserve">5237268589  </v>
      </c>
      <c r="O15781">
        <v>230503</v>
      </c>
    </row>
    <row r="15782" spans="1:15" x14ac:dyDescent="0.25">
      <c r="A15782" t="s">
        <v>16</v>
      </c>
      <c r="B15782" t="s">
        <v>3221</v>
      </c>
      <c r="C15782">
        <v>6861</v>
      </c>
      <c r="D15782" t="s">
        <v>201</v>
      </c>
      <c r="E15782" t="s">
        <v>202</v>
      </c>
      <c r="F15782">
        <v>45.27</v>
      </c>
      <c r="G15782">
        <v>230515</v>
      </c>
      <c r="H15782">
        <v>4590</v>
      </c>
      <c r="I15782" t="s">
        <v>203</v>
      </c>
      <c r="J15782">
        <v>56.13</v>
      </c>
      <c r="K15782">
        <v>10.86</v>
      </c>
      <c r="L15782">
        <v>59504</v>
      </c>
      <c r="M15782" t="s">
        <v>71</v>
      </c>
      <c r="N15782" t="str">
        <f>"5237317363  "</f>
        <v xml:space="preserve">5237317363  </v>
      </c>
      <c r="O15782">
        <v>230523</v>
      </c>
    </row>
    <row r="15783" spans="1:15" x14ac:dyDescent="0.25">
      <c r="A15783" t="s">
        <v>16</v>
      </c>
      <c r="B15783" t="s">
        <v>3221</v>
      </c>
      <c r="C15783">
        <v>7492</v>
      </c>
      <c r="D15783" t="s">
        <v>201</v>
      </c>
      <c r="E15783" t="s">
        <v>202</v>
      </c>
      <c r="F15783">
        <v>17.38</v>
      </c>
      <c r="G15783">
        <v>230529</v>
      </c>
      <c r="H15783">
        <v>4590</v>
      </c>
      <c r="I15783" t="s">
        <v>203</v>
      </c>
      <c r="J15783">
        <v>21.55</v>
      </c>
      <c r="K15783">
        <v>4.17</v>
      </c>
      <c r="L15783">
        <v>59504</v>
      </c>
      <c r="M15783" t="s">
        <v>71</v>
      </c>
      <c r="N15783" t="str">
        <f>"5237366461  "</f>
        <v xml:space="preserve">5237366461  </v>
      </c>
      <c r="O15783">
        <v>230531</v>
      </c>
    </row>
    <row r="15784" spans="1:15" x14ac:dyDescent="0.25">
      <c r="A15784" t="s">
        <v>16</v>
      </c>
      <c r="B15784" t="s">
        <v>3221</v>
      </c>
      <c r="C15784">
        <v>10147</v>
      </c>
      <c r="D15784" t="s">
        <v>201</v>
      </c>
      <c r="E15784" t="s">
        <v>202</v>
      </c>
      <c r="F15784">
        <v>70.64</v>
      </c>
      <c r="G15784">
        <v>230807</v>
      </c>
      <c r="H15784">
        <v>4590</v>
      </c>
      <c r="I15784" t="s">
        <v>203</v>
      </c>
      <c r="J15784">
        <v>87.59</v>
      </c>
      <c r="K15784">
        <v>16.95</v>
      </c>
      <c r="L15784">
        <v>59504</v>
      </c>
      <c r="M15784" t="s">
        <v>71</v>
      </c>
      <c r="N15784" t="str">
        <f>"5237621081  "</f>
        <v xml:space="preserve">5237621081  </v>
      </c>
      <c r="O15784">
        <v>230808</v>
      </c>
    </row>
    <row r="15785" spans="1:15" x14ac:dyDescent="0.25">
      <c r="A15785" t="s">
        <v>16</v>
      </c>
      <c r="B15785" t="s">
        <v>3221</v>
      </c>
      <c r="C15785">
        <v>10806</v>
      </c>
      <c r="D15785" t="s">
        <v>201</v>
      </c>
      <c r="E15785" t="s">
        <v>202</v>
      </c>
      <c r="F15785">
        <v>296.31</v>
      </c>
      <c r="G15785">
        <v>230821</v>
      </c>
      <c r="H15785">
        <v>4590</v>
      </c>
      <c r="I15785" t="s">
        <v>203</v>
      </c>
      <c r="J15785">
        <v>367.42</v>
      </c>
      <c r="K15785">
        <v>71.11</v>
      </c>
      <c r="L15785">
        <v>56562</v>
      </c>
      <c r="M15785" t="s">
        <v>126</v>
      </c>
      <c r="N15785" t="str">
        <f>"5237667208  "</f>
        <v xml:space="preserve">5237667208  </v>
      </c>
      <c r="O15785">
        <v>230823</v>
      </c>
    </row>
    <row r="15786" spans="1:15" x14ac:dyDescent="0.25">
      <c r="A15786" t="s">
        <v>16</v>
      </c>
      <c r="B15786" t="s">
        <v>3221</v>
      </c>
      <c r="C15786">
        <v>11075</v>
      </c>
      <c r="D15786" t="s">
        <v>201</v>
      </c>
      <c r="E15786" t="s">
        <v>202</v>
      </c>
      <c r="F15786">
        <v>61.65</v>
      </c>
      <c r="G15786">
        <v>230828</v>
      </c>
      <c r="H15786">
        <v>4590</v>
      </c>
      <c r="I15786" t="s">
        <v>203</v>
      </c>
      <c r="J15786">
        <v>76.45</v>
      </c>
      <c r="K15786">
        <v>14.8</v>
      </c>
      <c r="L15786">
        <v>56562</v>
      </c>
      <c r="M15786" t="s">
        <v>126</v>
      </c>
      <c r="N15786" t="str">
        <f>"5237688724  "</f>
        <v xml:space="preserve">5237688724  </v>
      </c>
      <c r="O15786">
        <v>230830</v>
      </c>
    </row>
    <row r="15787" spans="1:15" x14ac:dyDescent="0.25">
      <c r="A15787" t="s">
        <v>16</v>
      </c>
      <c r="B15787" t="s">
        <v>3221</v>
      </c>
      <c r="C15787">
        <v>11313</v>
      </c>
      <c r="D15787" t="s">
        <v>201</v>
      </c>
      <c r="E15787" t="s">
        <v>202</v>
      </c>
      <c r="F15787">
        <v>424.25</v>
      </c>
      <c r="G15787">
        <v>230831</v>
      </c>
      <c r="H15787">
        <v>4590</v>
      </c>
      <c r="I15787" t="s">
        <v>203</v>
      </c>
      <c r="J15787">
        <v>526.07000000000005</v>
      </c>
      <c r="K15787">
        <v>101.82</v>
      </c>
      <c r="L15787">
        <v>59504</v>
      </c>
      <c r="M15787" t="s">
        <v>71</v>
      </c>
      <c r="N15787" t="str">
        <f>"5237707731  "</f>
        <v xml:space="preserve">5237707731  </v>
      </c>
      <c r="O15787">
        <v>230904</v>
      </c>
    </row>
    <row r="15788" spans="1:15" x14ac:dyDescent="0.25">
      <c r="A15788" t="s">
        <v>16</v>
      </c>
      <c r="B15788" t="s">
        <v>3221</v>
      </c>
      <c r="C15788">
        <v>11494</v>
      </c>
      <c r="D15788" t="s">
        <v>201</v>
      </c>
      <c r="E15788" t="s">
        <v>202</v>
      </c>
      <c r="F15788">
        <v>51.34</v>
      </c>
      <c r="G15788">
        <v>230831</v>
      </c>
      <c r="H15788">
        <v>4590</v>
      </c>
      <c r="I15788" t="s">
        <v>203</v>
      </c>
      <c r="J15788">
        <v>63.66</v>
      </c>
      <c r="K15788">
        <v>12.32</v>
      </c>
      <c r="L15788">
        <v>56562</v>
      </c>
      <c r="M15788" t="s">
        <v>126</v>
      </c>
      <c r="N15788" t="str">
        <f>"5237707730  "</f>
        <v xml:space="preserve">5237707730  </v>
      </c>
      <c r="O15788">
        <v>230907</v>
      </c>
    </row>
    <row r="15789" spans="1:15" x14ac:dyDescent="0.25">
      <c r="A15789" t="s">
        <v>16</v>
      </c>
      <c r="B15789" t="s">
        <v>3221</v>
      </c>
      <c r="C15789">
        <v>14694</v>
      </c>
      <c r="D15789" t="s">
        <v>201</v>
      </c>
      <c r="E15789" t="s">
        <v>202</v>
      </c>
      <c r="F15789">
        <v>43.94</v>
      </c>
      <c r="G15789">
        <v>231023</v>
      </c>
      <c r="H15789">
        <v>4590</v>
      </c>
      <c r="I15789" t="s">
        <v>203</v>
      </c>
      <c r="J15789">
        <v>54.48</v>
      </c>
      <c r="K15789">
        <v>10.54</v>
      </c>
      <c r="L15789">
        <v>56564</v>
      </c>
      <c r="M15789" t="s">
        <v>327</v>
      </c>
      <c r="N15789" t="str">
        <f>"5237875772  "</f>
        <v xml:space="preserve">5237875772  </v>
      </c>
      <c r="O15789">
        <v>231101</v>
      </c>
    </row>
    <row r="15790" spans="1:15" x14ac:dyDescent="0.25">
      <c r="A15790" t="s">
        <v>16</v>
      </c>
      <c r="B15790" t="s">
        <v>3221</v>
      </c>
      <c r="C15790">
        <v>14715</v>
      </c>
      <c r="D15790" t="s">
        <v>201</v>
      </c>
      <c r="E15790" t="s">
        <v>202</v>
      </c>
      <c r="F15790">
        <v>7.51</v>
      </c>
      <c r="G15790">
        <v>231030</v>
      </c>
      <c r="H15790">
        <v>4590</v>
      </c>
      <c r="I15790" t="s">
        <v>203</v>
      </c>
      <c r="J15790">
        <v>9.31</v>
      </c>
      <c r="K15790">
        <v>1.8</v>
      </c>
      <c r="L15790">
        <v>56564</v>
      </c>
      <c r="M15790" t="s">
        <v>327</v>
      </c>
      <c r="N15790" t="str">
        <f>"5237895351  "</f>
        <v xml:space="preserve">5237895351  </v>
      </c>
      <c r="O15790">
        <v>231101</v>
      </c>
    </row>
    <row r="15791" spans="1:15" x14ac:dyDescent="0.25">
      <c r="A15791" t="s">
        <v>16</v>
      </c>
      <c r="B15791" t="s">
        <v>3221</v>
      </c>
      <c r="C15791">
        <v>15887</v>
      </c>
      <c r="D15791" t="s">
        <v>201</v>
      </c>
      <c r="E15791" t="s">
        <v>202</v>
      </c>
      <c r="F15791">
        <v>8.16</v>
      </c>
      <c r="G15791">
        <v>231113</v>
      </c>
      <c r="H15791">
        <v>4590</v>
      </c>
      <c r="I15791" t="s">
        <v>203</v>
      </c>
      <c r="J15791">
        <v>10.119999999999999</v>
      </c>
      <c r="K15791">
        <v>1.96</v>
      </c>
      <c r="L15791">
        <v>56564</v>
      </c>
      <c r="M15791" t="s">
        <v>327</v>
      </c>
      <c r="N15791" t="str">
        <f>"5237939971  "</f>
        <v xml:space="preserve">5237939971  </v>
      </c>
      <c r="O15791">
        <v>231121</v>
      </c>
    </row>
    <row r="15792" spans="1:15" x14ac:dyDescent="0.25">
      <c r="A15792" t="s">
        <v>16</v>
      </c>
      <c r="B15792" t="s">
        <v>3221</v>
      </c>
      <c r="C15792">
        <v>15887</v>
      </c>
      <c r="D15792" t="s">
        <v>201</v>
      </c>
      <c r="E15792" t="s">
        <v>202</v>
      </c>
      <c r="F15792">
        <v>99.02</v>
      </c>
      <c r="G15792">
        <v>231113</v>
      </c>
      <c r="H15792">
        <v>4590</v>
      </c>
      <c r="I15792" t="s">
        <v>203</v>
      </c>
      <c r="J15792">
        <v>122.78</v>
      </c>
      <c r="K15792">
        <v>23.76</v>
      </c>
      <c r="L15792">
        <v>56571</v>
      </c>
      <c r="M15792" t="s">
        <v>204</v>
      </c>
      <c r="N15792" t="str">
        <f>"5237939971  "</f>
        <v xml:space="preserve">5237939971  </v>
      </c>
      <c r="O15792">
        <v>231121</v>
      </c>
    </row>
    <row r="15793" spans="1:15" x14ac:dyDescent="0.25">
      <c r="A15793" t="s">
        <v>16</v>
      </c>
      <c r="B15793" t="s">
        <v>3221</v>
      </c>
      <c r="C15793">
        <v>16336</v>
      </c>
      <c r="D15793" t="s">
        <v>201</v>
      </c>
      <c r="E15793" t="s">
        <v>202</v>
      </c>
      <c r="F15793">
        <v>22.16</v>
      </c>
      <c r="G15793">
        <v>231120</v>
      </c>
      <c r="H15793">
        <v>4590</v>
      </c>
      <c r="I15793" t="s">
        <v>203</v>
      </c>
      <c r="J15793">
        <v>27.48</v>
      </c>
      <c r="K15793">
        <v>5.32</v>
      </c>
      <c r="L15793">
        <v>56571</v>
      </c>
      <c r="M15793" t="s">
        <v>204</v>
      </c>
      <c r="N15793" t="str">
        <f>"5237960695  "</f>
        <v xml:space="preserve">5237960695  </v>
      </c>
      <c r="O15793">
        <v>231128</v>
      </c>
    </row>
    <row r="15794" spans="1:15" x14ac:dyDescent="0.25">
      <c r="A15794" t="s">
        <v>16</v>
      </c>
      <c r="B15794" t="s">
        <v>3221</v>
      </c>
      <c r="C15794">
        <v>16336</v>
      </c>
      <c r="D15794" t="s">
        <v>201</v>
      </c>
      <c r="E15794" t="s">
        <v>202</v>
      </c>
      <c r="F15794">
        <v>1400.86</v>
      </c>
      <c r="G15794">
        <v>231120</v>
      </c>
      <c r="H15794">
        <v>4590</v>
      </c>
      <c r="I15794" t="s">
        <v>203</v>
      </c>
      <c r="J15794">
        <v>1737.07</v>
      </c>
      <c r="K15794">
        <v>336.21</v>
      </c>
      <c r="L15794">
        <v>56571</v>
      </c>
      <c r="M15794" t="s">
        <v>204</v>
      </c>
      <c r="N15794" t="str">
        <f>"5237960695  "</f>
        <v xml:space="preserve">5237960695  </v>
      </c>
      <c r="O15794">
        <v>231128</v>
      </c>
    </row>
    <row r="15795" spans="1:15" x14ac:dyDescent="0.25">
      <c r="A15795" t="s">
        <v>16</v>
      </c>
      <c r="B15795" t="s">
        <v>3221</v>
      </c>
      <c r="C15795">
        <v>16402</v>
      </c>
      <c r="D15795" t="s">
        <v>201</v>
      </c>
      <c r="E15795" t="s">
        <v>202</v>
      </c>
      <c r="F15795">
        <v>356.15</v>
      </c>
      <c r="G15795">
        <v>231127</v>
      </c>
      <c r="H15795">
        <v>4590</v>
      </c>
      <c r="I15795" t="s">
        <v>203</v>
      </c>
      <c r="J15795">
        <v>441.62</v>
      </c>
      <c r="K15795">
        <v>85.47</v>
      </c>
      <c r="L15795">
        <v>56571</v>
      </c>
      <c r="M15795" t="s">
        <v>204</v>
      </c>
      <c r="N15795" t="str">
        <f>"5237978277  "</f>
        <v xml:space="preserve">5237978277  </v>
      </c>
      <c r="O15795">
        <v>231129</v>
      </c>
    </row>
    <row r="15796" spans="1:15" x14ac:dyDescent="0.25">
      <c r="A15796" t="s">
        <v>16</v>
      </c>
      <c r="B15796" t="s">
        <v>3221</v>
      </c>
      <c r="C15796">
        <v>17027</v>
      </c>
      <c r="D15796" t="s">
        <v>201</v>
      </c>
      <c r="E15796" t="s">
        <v>202</v>
      </c>
      <c r="F15796">
        <v>885.93</v>
      </c>
      <c r="G15796">
        <v>231204</v>
      </c>
      <c r="H15796">
        <v>4590</v>
      </c>
      <c r="I15796" t="s">
        <v>203</v>
      </c>
      <c r="J15796">
        <v>1098.55</v>
      </c>
      <c r="K15796">
        <v>212.62</v>
      </c>
      <c r="L15796">
        <v>56571</v>
      </c>
      <c r="M15796" t="s">
        <v>204</v>
      </c>
      <c r="N15796" t="str">
        <f>"5238002646  "</f>
        <v xml:space="preserve">5238002646  </v>
      </c>
      <c r="O15796">
        <v>231212</v>
      </c>
    </row>
    <row r="15797" spans="1:15" x14ac:dyDescent="0.25">
      <c r="A15797" t="s">
        <v>16</v>
      </c>
      <c r="B15797" t="s">
        <v>3221</v>
      </c>
      <c r="C15797">
        <v>17356</v>
      </c>
      <c r="D15797" t="s">
        <v>201</v>
      </c>
      <c r="E15797" t="s">
        <v>202</v>
      </c>
      <c r="F15797">
        <v>183</v>
      </c>
      <c r="G15797">
        <v>231130</v>
      </c>
      <c r="H15797">
        <v>4590</v>
      </c>
      <c r="I15797" t="s">
        <v>203</v>
      </c>
      <c r="J15797">
        <v>226.92</v>
      </c>
      <c r="K15797">
        <v>43.92</v>
      </c>
      <c r="L15797">
        <v>56571</v>
      </c>
      <c r="M15797" t="s">
        <v>204</v>
      </c>
      <c r="N15797" t="str">
        <f>"5237993726  "</f>
        <v xml:space="preserve">5237993726  </v>
      </c>
      <c r="O15797">
        <v>231213</v>
      </c>
    </row>
    <row r="15798" spans="1:15" x14ac:dyDescent="0.25">
      <c r="A15798" t="s">
        <v>16</v>
      </c>
      <c r="B15798" t="s">
        <v>3221</v>
      </c>
      <c r="C15798">
        <v>17659</v>
      </c>
      <c r="D15798" t="s">
        <v>201</v>
      </c>
      <c r="E15798" t="s">
        <v>202</v>
      </c>
      <c r="F15798">
        <v>786.99</v>
      </c>
      <c r="G15798">
        <v>231211</v>
      </c>
      <c r="H15798">
        <v>4590</v>
      </c>
      <c r="I15798" t="s">
        <v>203</v>
      </c>
      <c r="J15798">
        <v>975.87</v>
      </c>
      <c r="K15798">
        <v>188.88</v>
      </c>
      <c r="L15798">
        <v>56571</v>
      </c>
      <c r="M15798" t="s">
        <v>204</v>
      </c>
      <c r="N15798" t="str">
        <f>"5238016450  "</f>
        <v xml:space="preserve">5238016450  </v>
      </c>
      <c r="O15798">
        <v>231219</v>
      </c>
    </row>
    <row r="15799" spans="1:15" x14ac:dyDescent="0.25">
      <c r="A15799" t="s">
        <v>16</v>
      </c>
      <c r="B15799" t="s">
        <v>3221</v>
      </c>
      <c r="C15799">
        <v>18983</v>
      </c>
      <c r="D15799" t="s">
        <v>201</v>
      </c>
      <c r="E15799" t="s">
        <v>202</v>
      </c>
      <c r="F15799">
        <v>448.6</v>
      </c>
      <c r="G15799">
        <v>231218</v>
      </c>
      <c r="H15799">
        <v>4590</v>
      </c>
      <c r="I15799" t="s">
        <v>203</v>
      </c>
      <c r="J15799">
        <v>556.27</v>
      </c>
      <c r="K15799">
        <v>107.67</v>
      </c>
      <c r="L15799">
        <v>56571</v>
      </c>
      <c r="M15799" t="s">
        <v>204</v>
      </c>
      <c r="N15799" t="str">
        <f>"5238034367  "</f>
        <v xml:space="preserve">5238034367  </v>
      </c>
      <c r="O15799">
        <v>240109</v>
      </c>
    </row>
    <row r="15800" spans="1:15" x14ac:dyDescent="0.25">
      <c r="A15800" t="s">
        <v>16</v>
      </c>
      <c r="B15800" t="s">
        <v>3221</v>
      </c>
      <c r="C15800">
        <v>18984</v>
      </c>
      <c r="D15800" t="s">
        <v>201</v>
      </c>
      <c r="E15800" t="s">
        <v>202</v>
      </c>
      <c r="F15800">
        <v>-46.77</v>
      </c>
      <c r="G15800">
        <v>231218</v>
      </c>
      <c r="H15800">
        <v>4590</v>
      </c>
      <c r="I15800" t="s">
        <v>203</v>
      </c>
      <c r="J15800">
        <v>-57.99</v>
      </c>
      <c r="K15800">
        <v>-11.22</v>
      </c>
      <c r="L15800">
        <v>56571</v>
      </c>
      <c r="M15800" t="s">
        <v>204</v>
      </c>
      <c r="N15800" t="str">
        <f>"5238034366  "</f>
        <v xml:space="preserve">5238034366  </v>
      </c>
      <c r="O15800">
        <v>240109</v>
      </c>
    </row>
    <row r="15801" spans="1:15" x14ac:dyDescent="0.25">
      <c r="A15801" t="s">
        <v>16</v>
      </c>
      <c r="B15801" t="s">
        <v>3221</v>
      </c>
      <c r="C15801">
        <v>18985</v>
      </c>
      <c r="D15801" t="s">
        <v>201</v>
      </c>
      <c r="E15801" t="s">
        <v>202</v>
      </c>
      <c r="F15801">
        <v>-46.77</v>
      </c>
      <c r="G15801">
        <v>231225</v>
      </c>
      <c r="H15801">
        <v>4590</v>
      </c>
      <c r="I15801" t="s">
        <v>203</v>
      </c>
      <c r="J15801">
        <v>-57.99</v>
      </c>
      <c r="K15801">
        <v>-11.22</v>
      </c>
      <c r="L15801">
        <v>56571</v>
      </c>
      <c r="M15801" t="s">
        <v>204</v>
      </c>
      <c r="N15801" t="str">
        <f>"5238048203  "</f>
        <v xml:space="preserve">5238048203  </v>
      </c>
      <c r="O15801">
        <v>240109</v>
      </c>
    </row>
    <row r="15802" spans="1:15" x14ac:dyDescent="0.25">
      <c r="A15802" t="s">
        <v>16</v>
      </c>
      <c r="B15802" t="s">
        <v>3221</v>
      </c>
      <c r="C15802">
        <v>18986</v>
      </c>
      <c r="D15802" t="s">
        <v>201</v>
      </c>
      <c r="E15802" t="s">
        <v>202</v>
      </c>
      <c r="F15802">
        <v>13.45</v>
      </c>
      <c r="G15802">
        <v>231225</v>
      </c>
      <c r="H15802">
        <v>4590</v>
      </c>
      <c r="I15802" t="s">
        <v>203</v>
      </c>
      <c r="J15802">
        <v>16.68</v>
      </c>
      <c r="K15802">
        <v>3.23</v>
      </c>
      <c r="L15802">
        <v>56571</v>
      </c>
      <c r="M15802" t="s">
        <v>204</v>
      </c>
      <c r="N15802" t="str">
        <f>"5238048204  "</f>
        <v xml:space="preserve">5238048204  </v>
      </c>
      <c r="O15802">
        <v>240109</v>
      </c>
    </row>
    <row r="15803" spans="1:15" x14ac:dyDescent="0.25">
      <c r="A15803" t="s">
        <v>16</v>
      </c>
      <c r="B15803" t="s">
        <v>3221</v>
      </c>
      <c r="C15803">
        <v>19334</v>
      </c>
      <c r="D15803" t="s">
        <v>201</v>
      </c>
      <c r="E15803" t="s">
        <v>202</v>
      </c>
      <c r="F15803">
        <v>66.569999999999993</v>
      </c>
      <c r="G15803">
        <v>231231</v>
      </c>
      <c r="H15803">
        <v>4590</v>
      </c>
      <c r="I15803" t="s">
        <v>203</v>
      </c>
      <c r="J15803">
        <v>82.55</v>
      </c>
      <c r="K15803">
        <v>15.98</v>
      </c>
      <c r="L15803">
        <v>56571</v>
      </c>
      <c r="M15803" t="s">
        <v>204</v>
      </c>
      <c r="N15803" t="str">
        <f>"5238059889  "</f>
        <v xml:space="preserve">5238059889  </v>
      </c>
      <c r="O15803">
        <v>240117</v>
      </c>
    </row>
    <row r="15804" spans="1:15" x14ac:dyDescent="0.25">
      <c r="A15804" t="s">
        <v>16</v>
      </c>
      <c r="B15804" t="s">
        <v>3221</v>
      </c>
      <c r="C15804">
        <v>10020</v>
      </c>
      <c r="D15804" t="s">
        <v>201</v>
      </c>
      <c r="E15804" t="s">
        <v>202</v>
      </c>
      <c r="F15804">
        <v>4.3499999999999996</v>
      </c>
      <c r="G15804">
        <v>230724</v>
      </c>
      <c r="H15804">
        <v>4572</v>
      </c>
      <c r="I15804" t="s">
        <v>122</v>
      </c>
      <c r="J15804">
        <v>5.39</v>
      </c>
      <c r="K15804">
        <v>1.04</v>
      </c>
      <c r="L15804">
        <v>59501</v>
      </c>
      <c r="M15804" t="s">
        <v>69</v>
      </c>
      <c r="N15804" t="str">
        <f>"5237574450  "</f>
        <v xml:space="preserve">5237574450  </v>
      </c>
      <c r="O15804">
        <v>230807</v>
      </c>
    </row>
    <row r="15805" spans="1:15" x14ac:dyDescent="0.25">
      <c r="A15805" t="s">
        <v>16</v>
      </c>
      <c r="B15805" t="s">
        <v>3221</v>
      </c>
      <c r="C15805">
        <v>16809</v>
      </c>
      <c r="D15805" t="s">
        <v>3687</v>
      </c>
      <c r="E15805" t="s">
        <v>823</v>
      </c>
      <c r="F15805">
        <v>61.81</v>
      </c>
      <c r="G15805">
        <v>231204</v>
      </c>
      <c r="H15805">
        <v>1196</v>
      </c>
      <c r="I15805" t="s">
        <v>392</v>
      </c>
      <c r="J15805">
        <v>76.650000000000006</v>
      </c>
      <c r="K15805">
        <v>14.84</v>
      </c>
      <c r="L15805">
        <v>96501</v>
      </c>
      <c r="M15805" t="s">
        <v>2361</v>
      </c>
      <c r="N15805" t="str">
        <f>"5238001742  "</f>
        <v xml:space="preserve">5238001742  </v>
      </c>
      <c r="O15805">
        <v>231211</v>
      </c>
    </row>
    <row r="15806" spans="1:15" x14ac:dyDescent="0.25">
      <c r="A15806" t="s">
        <v>16</v>
      </c>
      <c r="B15806" t="s">
        <v>3221</v>
      </c>
      <c r="C15806">
        <v>997</v>
      </c>
      <c r="D15806" t="s">
        <v>3687</v>
      </c>
      <c r="E15806" t="s">
        <v>823</v>
      </c>
      <c r="F15806">
        <v>195.18</v>
      </c>
      <c r="G15806">
        <v>230123</v>
      </c>
      <c r="H15806">
        <v>4590</v>
      </c>
      <c r="I15806" t="s">
        <v>203</v>
      </c>
      <c r="J15806">
        <v>242.02</v>
      </c>
      <c r="K15806">
        <v>46.84</v>
      </c>
      <c r="L15806">
        <v>46556</v>
      </c>
      <c r="M15806" t="s">
        <v>125</v>
      </c>
      <c r="N15806" t="str">
        <f>"5237006623  "</f>
        <v xml:space="preserve">5237006623  </v>
      </c>
      <c r="O15806">
        <v>230202</v>
      </c>
    </row>
    <row r="15807" spans="1:15" x14ac:dyDescent="0.25">
      <c r="A15807" t="s">
        <v>16</v>
      </c>
      <c r="B15807" t="s">
        <v>3221</v>
      </c>
      <c r="C15807">
        <v>999</v>
      </c>
      <c r="D15807" t="s">
        <v>3687</v>
      </c>
      <c r="E15807" t="s">
        <v>823</v>
      </c>
      <c r="F15807">
        <v>-80.72</v>
      </c>
      <c r="G15807">
        <v>230123</v>
      </c>
      <c r="H15807">
        <v>4590</v>
      </c>
      <c r="I15807" t="s">
        <v>203</v>
      </c>
      <c r="J15807">
        <v>-100.09</v>
      </c>
      <c r="K15807">
        <v>-19.37</v>
      </c>
      <c r="L15807">
        <v>46556</v>
      </c>
      <c r="M15807" t="s">
        <v>125</v>
      </c>
      <c r="N15807" t="str">
        <f>"5237006622  "</f>
        <v xml:space="preserve">5237006622  </v>
      </c>
      <c r="O15807">
        <v>230202</v>
      </c>
    </row>
    <row r="15808" spans="1:15" x14ac:dyDescent="0.25">
      <c r="A15808" t="s">
        <v>16</v>
      </c>
      <c r="B15808" t="s">
        <v>3221</v>
      </c>
      <c r="C15808">
        <v>2711</v>
      </c>
      <c r="D15808" t="s">
        <v>3687</v>
      </c>
      <c r="E15808" t="s">
        <v>823</v>
      </c>
      <c r="F15808">
        <v>29.73</v>
      </c>
      <c r="G15808">
        <v>230220</v>
      </c>
      <c r="H15808">
        <v>4590</v>
      </c>
      <c r="I15808" t="s">
        <v>203</v>
      </c>
      <c r="J15808">
        <v>36.86</v>
      </c>
      <c r="K15808">
        <v>7.13</v>
      </c>
      <c r="L15808">
        <v>46556</v>
      </c>
      <c r="M15808" t="s">
        <v>125</v>
      </c>
      <c r="N15808" t="str">
        <f>"5237080406  "</f>
        <v xml:space="preserve">5237080406  </v>
      </c>
      <c r="O15808">
        <v>230307</v>
      </c>
    </row>
    <row r="15809" spans="1:15" x14ac:dyDescent="0.25">
      <c r="A15809" t="s">
        <v>16</v>
      </c>
      <c r="B15809" t="s">
        <v>3221</v>
      </c>
      <c r="C15809">
        <v>4451</v>
      </c>
      <c r="D15809" t="s">
        <v>3687</v>
      </c>
      <c r="E15809" t="s">
        <v>823</v>
      </c>
      <c r="F15809">
        <v>35.200000000000003</v>
      </c>
      <c r="G15809">
        <v>230331</v>
      </c>
      <c r="H15809">
        <v>4590</v>
      </c>
      <c r="I15809" t="s">
        <v>203</v>
      </c>
      <c r="J15809">
        <v>43.65</v>
      </c>
      <c r="K15809">
        <v>8.4499999999999993</v>
      </c>
      <c r="L15809">
        <v>46556</v>
      </c>
      <c r="M15809" t="s">
        <v>125</v>
      </c>
      <c r="N15809" t="str">
        <f>"5237183018  "</f>
        <v xml:space="preserve">5237183018  </v>
      </c>
      <c r="O15809">
        <v>230406</v>
      </c>
    </row>
    <row r="15810" spans="1:15" x14ac:dyDescent="0.25">
      <c r="A15810" t="s">
        <v>16</v>
      </c>
      <c r="B15810" t="s">
        <v>3221</v>
      </c>
      <c r="C15810">
        <v>5590</v>
      </c>
      <c r="D15810" t="s">
        <v>3687</v>
      </c>
      <c r="E15810" t="s">
        <v>823</v>
      </c>
      <c r="F15810">
        <v>184.48</v>
      </c>
      <c r="G15810">
        <v>230410</v>
      </c>
      <c r="H15810">
        <v>4590</v>
      </c>
      <c r="I15810" t="s">
        <v>203</v>
      </c>
      <c r="J15810">
        <v>228.75</v>
      </c>
      <c r="K15810">
        <v>44.27</v>
      </c>
      <c r="L15810">
        <v>46556</v>
      </c>
      <c r="M15810" t="s">
        <v>125</v>
      </c>
      <c r="N15810" t="str">
        <f>"5237204169  "</f>
        <v xml:space="preserve">5237204169  </v>
      </c>
      <c r="O15810">
        <v>230427</v>
      </c>
    </row>
    <row r="15811" spans="1:15" x14ac:dyDescent="0.25">
      <c r="A15811" t="s">
        <v>16</v>
      </c>
      <c r="B15811" t="s">
        <v>3221</v>
      </c>
      <c r="C15811">
        <v>5591</v>
      </c>
      <c r="D15811" t="s">
        <v>3687</v>
      </c>
      <c r="E15811" t="s">
        <v>823</v>
      </c>
      <c r="F15811">
        <v>88.41</v>
      </c>
      <c r="G15811">
        <v>230417</v>
      </c>
      <c r="H15811">
        <v>4590</v>
      </c>
      <c r="I15811" t="s">
        <v>203</v>
      </c>
      <c r="J15811">
        <v>109.63</v>
      </c>
      <c r="K15811">
        <v>21.22</v>
      </c>
      <c r="L15811">
        <v>46556</v>
      </c>
      <c r="M15811" t="s">
        <v>125</v>
      </c>
      <c r="N15811" t="str">
        <f>"5237221992  "</f>
        <v xml:space="preserve">5237221992  </v>
      </c>
      <c r="O15811">
        <v>230427</v>
      </c>
    </row>
    <row r="15812" spans="1:15" x14ac:dyDescent="0.25">
      <c r="A15812" t="s">
        <v>16</v>
      </c>
      <c r="B15812" t="s">
        <v>3221</v>
      </c>
      <c r="C15812">
        <v>5984</v>
      </c>
      <c r="D15812" t="s">
        <v>3687</v>
      </c>
      <c r="E15812" t="s">
        <v>823</v>
      </c>
      <c r="F15812">
        <v>158.52000000000001</v>
      </c>
      <c r="G15812">
        <v>230424</v>
      </c>
      <c r="H15812">
        <v>4590</v>
      </c>
      <c r="I15812" t="s">
        <v>203</v>
      </c>
      <c r="J15812">
        <v>196.56</v>
      </c>
      <c r="K15812">
        <v>38.04</v>
      </c>
      <c r="L15812">
        <v>46563</v>
      </c>
      <c r="M15812" t="s">
        <v>589</v>
      </c>
      <c r="N15812" t="str">
        <f>"5237243285  "</f>
        <v xml:space="preserve">5237243285  </v>
      </c>
      <c r="O15812">
        <v>230504</v>
      </c>
    </row>
    <row r="15813" spans="1:15" x14ac:dyDescent="0.25">
      <c r="A15813" t="s">
        <v>16</v>
      </c>
      <c r="B15813" t="s">
        <v>3221</v>
      </c>
      <c r="C15813">
        <v>5988</v>
      </c>
      <c r="D15813" t="s">
        <v>3687</v>
      </c>
      <c r="E15813" t="s">
        <v>823</v>
      </c>
      <c r="F15813">
        <v>88.35</v>
      </c>
      <c r="G15813">
        <v>230430</v>
      </c>
      <c r="H15813">
        <v>4590</v>
      </c>
      <c r="I15813" t="s">
        <v>203</v>
      </c>
      <c r="J15813">
        <v>109.55</v>
      </c>
      <c r="K15813">
        <v>21.2</v>
      </c>
      <c r="L15813">
        <v>46563</v>
      </c>
      <c r="M15813" t="s">
        <v>589</v>
      </c>
      <c r="N15813" t="str">
        <f>"5237265506  "</f>
        <v xml:space="preserve">5237265506  </v>
      </c>
      <c r="O15813">
        <v>230504</v>
      </c>
    </row>
    <row r="15814" spans="1:15" x14ac:dyDescent="0.25">
      <c r="A15814" t="s">
        <v>16</v>
      </c>
      <c r="B15814" t="s">
        <v>3221</v>
      </c>
      <c r="C15814">
        <v>6460</v>
      </c>
      <c r="D15814" t="s">
        <v>3687</v>
      </c>
      <c r="E15814" t="s">
        <v>823</v>
      </c>
      <c r="F15814">
        <v>9.35</v>
      </c>
      <c r="G15814">
        <v>230508</v>
      </c>
      <c r="H15814">
        <v>4590</v>
      </c>
      <c r="I15814" t="s">
        <v>203</v>
      </c>
      <c r="J15814">
        <v>11.6</v>
      </c>
      <c r="K15814">
        <v>2.25</v>
      </c>
      <c r="L15814">
        <v>46556</v>
      </c>
      <c r="M15814" t="s">
        <v>125</v>
      </c>
      <c r="N15814" t="str">
        <f>"5237288385  "</f>
        <v xml:space="preserve">5237288385  </v>
      </c>
      <c r="O15814">
        <v>230512</v>
      </c>
    </row>
    <row r="15815" spans="1:15" x14ac:dyDescent="0.25">
      <c r="A15815" t="s">
        <v>16</v>
      </c>
      <c r="B15815" t="s">
        <v>3221</v>
      </c>
      <c r="C15815">
        <v>12790</v>
      </c>
      <c r="D15815" t="s">
        <v>3687</v>
      </c>
      <c r="E15815" t="s">
        <v>823</v>
      </c>
      <c r="F15815">
        <v>110.29</v>
      </c>
      <c r="G15815">
        <v>230831</v>
      </c>
      <c r="H15815">
        <v>4590</v>
      </c>
      <c r="I15815" t="s">
        <v>203</v>
      </c>
      <c r="J15815">
        <v>136.76</v>
      </c>
      <c r="K15815">
        <v>26.47</v>
      </c>
      <c r="L15815">
        <v>46563</v>
      </c>
      <c r="M15815" t="s">
        <v>589</v>
      </c>
      <c r="N15815" t="str">
        <f>"5237704069  "</f>
        <v xml:space="preserve">5237704069  </v>
      </c>
      <c r="O15815">
        <v>230926</v>
      </c>
    </row>
    <row r="15816" spans="1:15" x14ac:dyDescent="0.25">
      <c r="A15816" t="s">
        <v>16</v>
      </c>
      <c r="B15816" t="s">
        <v>3221</v>
      </c>
      <c r="C15816">
        <v>12792</v>
      </c>
      <c r="D15816" t="s">
        <v>3687</v>
      </c>
      <c r="E15816" t="s">
        <v>823</v>
      </c>
      <c r="F15816">
        <v>143.80000000000001</v>
      </c>
      <c r="G15816">
        <v>230911</v>
      </c>
      <c r="H15816">
        <v>4590</v>
      </c>
      <c r="I15816" t="s">
        <v>203</v>
      </c>
      <c r="J15816">
        <v>178.31</v>
      </c>
      <c r="K15816">
        <v>34.51</v>
      </c>
      <c r="L15816">
        <v>46563</v>
      </c>
      <c r="M15816" t="s">
        <v>589</v>
      </c>
      <c r="N15816" t="str">
        <f>"5237737534  "</f>
        <v xml:space="preserve">5237737534  </v>
      </c>
      <c r="O15816">
        <v>230926</v>
      </c>
    </row>
    <row r="15817" spans="1:15" x14ac:dyDescent="0.25">
      <c r="A15817" t="s">
        <v>16</v>
      </c>
      <c r="B15817" t="s">
        <v>3221</v>
      </c>
      <c r="C15817">
        <v>13173</v>
      </c>
      <c r="D15817" t="s">
        <v>3687</v>
      </c>
      <c r="E15817" t="s">
        <v>823</v>
      </c>
      <c r="F15817">
        <v>204.15</v>
      </c>
      <c r="G15817">
        <v>230925</v>
      </c>
      <c r="H15817">
        <v>4590</v>
      </c>
      <c r="I15817" t="s">
        <v>203</v>
      </c>
      <c r="J15817">
        <v>253.14</v>
      </c>
      <c r="K15817">
        <v>48.99</v>
      </c>
      <c r="L15817">
        <v>46563</v>
      </c>
      <c r="M15817" t="s">
        <v>589</v>
      </c>
      <c r="N15817" t="str">
        <f>"5237783028  "</f>
        <v xml:space="preserve">5237783028  </v>
      </c>
      <c r="O15817">
        <v>231005</v>
      </c>
    </row>
    <row r="15818" spans="1:15" x14ac:dyDescent="0.25">
      <c r="A15818" t="s">
        <v>16</v>
      </c>
      <c r="B15818" t="s">
        <v>3221</v>
      </c>
      <c r="C15818">
        <v>13954</v>
      </c>
      <c r="D15818" t="s">
        <v>3687</v>
      </c>
      <c r="E15818" t="s">
        <v>823</v>
      </c>
      <c r="F15818">
        <v>62.26</v>
      </c>
      <c r="G15818">
        <v>231009</v>
      </c>
      <c r="H15818">
        <v>4590</v>
      </c>
      <c r="I15818" t="s">
        <v>203</v>
      </c>
      <c r="J15818">
        <v>77.2</v>
      </c>
      <c r="K15818">
        <v>14.94</v>
      </c>
      <c r="L15818">
        <v>46563</v>
      </c>
      <c r="M15818" t="s">
        <v>589</v>
      </c>
      <c r="N15818" t="str">
        <f>"5237831220  "</f>
        <v xml:space="preserve">5237831220  </v>
      </c>
      <c r="O15818">
        <v>231017</v>
      </c>
    </row>
    <row r="15819" spans="1:15" x14ac:dyDescent="0.25">
      <c r="A15819" t="s">
        <v>16</v>
      </c>
      <c r="B15819" t="s">
        <v>3221</v>
      </c>
      <c r="C15819">
        <v>14009</v>
      </c>
      <c r="D15819" t="s">
        <v>3687</v>
      </c>
      <c r="E15819" t="s">
        <v>823</v>
      </c>
      <c r="F15819">
        <v>537.27</v>
      </c>
      <c r="G15819">
        <v>230930</v>
      </c>
      <c r="H15819">
        <v>4590</v>
      </c>
      <c r="I15819" t="s">
        <v>203</v>
      </c>
      <c r="J15819">
        <v>666.22</v>
      </c>
      <c r="K15819">
        <v>128.94999999999999</v>
      </c>
      <c r="L15819">
        <v>46563</v>
      </c>
      <c r="M15819" t="s">
        <v>589</v>
      </c>
      <c r="N15819" t="str">
        <f>"5237804772  "</f>
        <v xml:space="preserve">5237804772  </v>
      </c>
      <c r="O15819">
        <v>231017</v>
      </c>
    </row>
    <row r="15820" spans="1:15" x14ac:dyDescent="0.25">
      <c r="A15820" t="s">
        <v>16</v>
      </c>
      <c r="B15820" t="s">
        <v>3221</v>
      </c>
      <c r="C15820">
        <v>6696</v>
      </c>
      <c r="D15820" t="s">
        <v>3687</v>
      </c>
      <c r="E15820" t="s">
        <v>823</v>
      </c>
      <c r="F15820">
        <v>21.52</v>
      </c>
      <c r="G15820">
        <v>230515</v>
      </c>
      <c r="H15820">
        <v>4590</v>
      </c>
      <c r="I15820" t="s">
        <v>203</v>
      </c>
      <c r="J15820">
        <v>26.69</v>
      </c>
      <c r="K15820">
        <v>5.17</v>
      </c>
      <c r="L15820">
        <v>46556</v>
      </c>
      <c r="M15820" t="s">
        <v>125</v>
      </c>
      <c r="N15820" t="str">
        <f>"5237313898  "</f>
        <v xml:space="preserve">5237313898  </v>
      </c>
      <c r="O15820">
        <v>230517</v>
      </c>
    </row>
    <row r="15821" spans="1:15" x14ac:dyDescent="0.25">
      <c r="A15821" t="s">
        <v>16</v>
      </c>
      <c r="B15821" t="s">
        <v>3221</v>
      </c>
      <c r="C15821">
        <v>1806</v>
      </c>
      <c r="D15821" t="s">
        <v>1198</v>
      </c>
      <c r="E15821" t="s">
        <v>1199</v>
      </c>
      <c r="F15821">
        <v>57.6</v>
      </c>
      <c r="G15821">
        <v>230206</v>
      </c>
      <c r="H15821">
        <v>4580</v>
      </c>
      <c r="I15821" t="s">
        <v>35</v>
      </c>
      <c r="J15821">
        <v>71.42</v>
      </c>
      <c r="K15821">
        <v>13.82</v>
      </c>
      <c r="L15821">
        <v>17527</v>
      </c>
      <c r="M15821" t="s">
        <v>422</v>
      </c>
      <c r="N15821" t="str">
        <f>"5237043885  "</f>
        <v xml:space="preserve">5237043885  </v>
      </c>
      <c r="O15821">
        <v>230214</v>
      </c>
    </row>
    <row r="15822" spans="1:15" x14ac:dyDescent="0.25">
      <c r="A15822" t="s">
        <v>16</v>
      </c>
      <c r="B15822" t="s">
        <v>3221</v>
      </c>
      <c r="C15822">
        <v>1885</v>
      </c>
      <c r="D15822" t="s">
        <v>1198</v>
      </c>
      <c r="E15822" t="s">
        <v>1199</v>
      </c>
      <c r="F15822">
        <v>82.74</v>
      </c>
      <c r="G15822">
        <v>230213</v>
      </c>
      <c r="H15822">
        <v>4580</v>
      </c>
      <c r="I15822" t="s">
        <v>35</v>
      </c>
      <c r="J15822">
        <v>102.6</v>
      </c>
      <c r="K15822">
        <v>19.86</v>
      </c>
      <c r="L15822">
        <v>17527</v>
      </c>
      <c r="M15822" t="s">
        <v>422</v>
      </c>
      <c r="N15822" t="str">
        <f>"5237060289  "</f>
        <v xml:space="preserve">5237060289  </v>
      </c>
      <c r="O15822">
        <v>230215</v>
      </c>
    </row>
    <row r="15823" spans="1:15" x14ac:dyDescent="0.25">
      <c r="A15823" t="s">
        <v>16</v>
      </c>
      <c r="B15823" t="s">
        <v>3221</v>
      </c>
      <c r="C15823">
        <v>3492</v>
      </c>
      <c r="D15823" t="s">
        <v>1198</v>
      </c>
      <c r="E15823" t="s">
        <v>1199</v>
      </c>
      <c r="F15823">
        <v>145.16</v>
      </c>
      <c r="G15823">
        <v>230313</v>
      </c>
      <c r="H15823">
        <v>4580</v>
      </c>
      <c r="I15823" t="s">
        <v>35</v>
      </c>
      <c r="J15823">
        <v>180</v>
      </c>
      <c r="K15823">
        <v>34.840000000000003</v>
      </c>
      <c r="L15823">
        <v>17527</v>
      </c>
      <c r="M15823" t="s">
        <v>422</v>
      </c>
      <c r="N15823" t="str">
        <f>"5237131426  "</f>
        <v xml:space="preserve">5237131426  </v>
      </c>
      <c r="O15823">
        <v>230316</v>
      </c>
    </row>
    <row r="15824" spans="1:15" x14ac:dyDescent="0.25">
      <c r="A15824" t="s">
        <v>16</v>
      </c>
      <c r="B15824" t="s">
        <v>3221</v>
      </c>
      <c r="C15824">
        <v>6591</v>
      </c>
      <c r="D15824" t="s">
        <v>1198</v>
      </c>
      <c r="E15824" t="s">
        <v>1199</v>
      </c>
      <c r="F15824">
        <v>375.88</v>
      </c>
      <c r="G15824">
        <v>230430</v>
      </c>
      <c r="H15824">
        <v>4580</v>
      </c>
      <c r="I15824" t="s">
        <v>35</v>
      </c>
      <c r="J15824">
        <v>466.09</v>
      </c>
      <c r="K15824">
        <v>90.21</v>
      </c>
      <c r="L15824">
        <v>17527</v>
      </c>
      <c r="M15824" t="s">
        <v>422</v>
      </c>
      <c r="N15824" t="str">
        <f>"5237262435  "</f>
        <v xml:space="preserve">5237262435  </v>
      </c>
      <c r="O15824">
        <v>230516</v>
      </c>
    </row>
    <row r="15825" spans="1:15" x14ac:dyDescent="0.25">
      <c r="A15825" t="s">
        <v>16</v>
      </c>
      <c r="B15825" t="s">
        <v>3221</v>
      </c>
      <c r="C15825">
        <v>6610</v>
      </c>
      <c r="D15825" t="s">
        <v>1198</v>
      </c>
      <c r="E15825" t="s">
        <v>1199</v>
      </c>
      <c r="F15825">
        <v>44.76</v>
      </c>
      <c r="G15825">
        <v>230508</v>
      </c>
      <c r="H15825">
        <v>4580</v>
      </c>
      <c r="I15825" t="s">
        <v>35</v>
      </c>
      <c r="J15825">
        <v>55.5</v>
      </c>
      <c r="K15825">
        <v>10.74</v>
      </c>
      <c r="L15825">
        <v>17527</v>
      </c>
      <c r="M15825" t="s">
        <v>422</v>
      </c>
      <c r="N15825" t="str">
        <f>"5237285667  "</f>
        <v xml:space="preserve">5237285667  </v>
      </c>
      <c r="O15825">
        <v>230516</v>
      </c>
    </row>
    <row r="15826" spans="1:15" x14ac:dyDescent="0.25">
      <c r="A15826" t="s">
        <v>16</v>
      </c>
      <c r="B15826" t="s">
        <v>3221</v>
      </c>
      <c r="C15826">
        <v>11271</v>
      </c>
      <c r="D15826" t="s">
        <v>1198</v>
      </c>
      <c r="E15826" t="s">
        <v>1199</v>
      </c>
      <c r="F15826">
        <v>59.27</v>
      </c>
      <c r="G15826">
        <v>230828</v>
      </c>
      <c r="H15826">
        <v>4580</v>
      </c>
      <c r="I15826" t="s">
        <v>35</v>
      </c>
      <c r="J15826">
        <v>73.489999999999995</v>
      </c>
      <c r="K15826">
        <v>14.22</v>
      </c>
      <c r="L15826">
        <v>17527</v>
      </c>
      <c r="M15826" t="s">
        <v>422</v>
      </c>
      <c r="N15826" t="str">
        <f>"5237683828  "</f>
        <v xml:space="preserve">5237683828  </v>
      </c>
      <c r="O15826">
        <v>230904</v>
      </c>
    </row>
    <row r="15827" spans="1:15" x14ac:dyDescent="0.25">
      <c r="A15827" t="s">
        <v>16</v>
      </c>
      <c r="B15827" t="s">
        <v>3221</v>
      </c>
      <c r="C15827">
        <v>12479</v>
      </c>
      <c r="D15827" t="s">
        <v>1198</v>
      </c>
      <c r="E15827" t="s">
        <v>1199</v>
      </c>
      <c r="F15827">
        <v>48.79</v>
      </c>
      <c r="G15827">
        <v>230911</v>
      </c>
      <c r="H15827">
        <v>4580</v>
      </c>
      <c r="I15827" t="s">
        <v>35</v>
      </c>
      <c r="J15827">
        <v>60.5</v>
      </c>
      <c r="K15827">
        <v>11.71</v>
      </c>
      <c r="L15827">
        <v>17527</v>
      </c>
      <c r="M15827" t="s">
        <v>422</v>
      </c>
      <c r="N15827" t="str">
        <f>"5237734999  "</f>
        <v xml:space="preserve">5237734999  </v>
      </c>
      <c r="O15827">
        <v>230920</v>
      </c>
    </row>
    <row r="15828" spans="1:15" x14ac:dyDescent="0.25">
      <c r="A15828" t="s">
        <v>16</v>
      </c>
      <c r="B15828" t="s">
        <v>3221</v>
      </c>
      <c r="C15828">
        <v>14304</v>
      </c>
      <c r="D15828" t="s">
        <v>1198</v>
      </c>
      <c r="E15828" t="s">
        <v>1199</v>
      </c>
      <c r="F15828">
        <v>61.31</v>
      </c>
      <c r="G15828">
        <v>231009</v>
      </c>
      <c r="H15828">
        <v>4580</v>
      </c>
      <c r="I15828" t="s">
        <v>35</v>
      </c>
      <c r="J15828">
        <v>76.02</v>
      </c>
      <c r="K15828">
        <v>14.71</v>
      </c>
      <c r="L15828">
        <v>17527</v>
      </c>
      <c r="M15828" t="s">
        <v>422</v>
      </c>
      <c r="N15828" t="str">
        <f>"5237828783  "</f>
        <v xml:space="preserve">5237828783  </v>
      </c>
      <c r="O15828">
        <v>231026</v>
      </c>
    </row>
    <row r="15829" spans="1:15" x14ac:dyDescent="0.25">
      <c r="A15829" t="s">
        <v>16</v>
      </c>
      <c r="B15829" t="s">
        <v>3221</v>
      </c>
      <c r="C15829">
        <v>4104</v>
      </c>
      <c r="D15829" t="s">
        <v>1198</v>
      </c>
      <c r="E15829" t="s">
        <v>1199</v>
      </c>
      <c r="F15829">
        <v>28.99</v>
      </c>
      <c r="G15829">
        <v>230320</v>
      </c>
      <c r="H15829">
        <v>4600</v>
      </c>
      <c r="I15829" t="s">
        <v>105</v>
      </c>
      <c r="J15829">
        <v>35.950000000000003</v>
      </c>
      <c r="K15829">
        <v>6.96</v>
      </c>
      <c r="L15829">
        <v>17527</v>
      </c>
      <c r="M15829" t="s">
        <v>422</v>
      </c>
      <c r="N15829" t="str">
        <f>"5237149449  "</f>
        <v xml:space="preserve">5237149449  </v>
      </c>
      <c r="O15829">
        <v>230330</v>
      </c>
    </row>
    <row r="15830" spans="1:15" x14ac:dyDescent="0.25">
      <c r="A15830" t="s">
        <v>16</v>
      </c>
      <c r="B15830" t="s">
        <v>3221</v>
      </c>
      <c r="C15830">
        <v>5612</v>
      </c>
      <c r="D15830" t="s">
        <v>1198</v>
      </c>
      <c r="E15830" t="s">
        <v>1199</v>
      </c>
      <c r="F15830">
        <v>121.8</v>
      </c>
      <c r="G15830">
        <v>230424</v>
      </c>
      <c r="H15830">
        <v>4600</v>
      </c>
      <c r="I15830" t="s">
        <v>105</v>
      </c>
      <c r="J15830">
        <v>151.03</v>
      </c>
      <c r="K15830">
        <v>29.23</v>
      </c>
      <c r="L15830">
        <v>17527</v>
      </c>
      <c r="M15830" t="s">
        <v>422</v>
      </c>
      <c r="N15830" t="str">
        <f>"5237240871  "</f>
        <v xml:space="preserve">5237240871  </v>
      </c>
      <c r="O15830">
        <v>230428</v>
      </c>
    </row>
    <row r="15831" spans="1:15" x14ac:dyDescent="0.25">
      <c r="A15831" t="s">
        <v>16</v>
      </c>
      <c r="B15831" t="s">
        <v>3221</v>
      </c>
      <c r="C15831">
        <v>7673</v>
      </c>
      <c r="D15831" t="s">
        <v>1198</v>
      </c>
      <c r="E15831" t="s">
        <v>1199</v>
      </c>
      <c r="F15831">
        <v>16.13</v>
      </c>
      <c r="G15831">
        <v>230529</v>
      </c>
      <c r="H15831">
        <v>4600</v>
      </c>
      <c r="I15831" t="s">
        <v>105</v>
      </c>
      <c r="J15831">
        <v>20</v>
      </c>
      <c r="K15831">
        <v>3.87</v>
      </c>
      <c r="L15831">
        <v>17638</v>
      </c>
      <c r="M15831" t="s">
        <v>765</v>
      </c>
      <c r="N15831" t="str">
        <f>"5237360530  "</f>
        <v xml:space="preserve">5237360530  </v>
      </c>
      <c r="O15831">
        <v>230601</v>
      </c>
    </row>
    <row r="15832" spans="1:15" x14ac:dyDescent="0.25">
      <c r="A15832" t="s">
        <v>16</v>
      </c>
      <c r="B15832" t="s">
        <v>3221</v>
      </c>
      <c r="C15832">
        <v>10818</v>
      </c>
      <c r="D15832" t="s">
        <v>1198</v>
      </c>
      <c r="E15832" t="s">
        <v>1199</v>
      </c>
      <c r="F15832">
        <v>196</v>
      </c>
      <c r="G15832">
        <v>230821</v>
      </c>
      <c r="H15832">
        <v>4600</v>
      </c>
      <c r="I15832" t="s">
        <v>105</v>
      </c>
      <c r="J15832">
        <v>243.04</v>
      </c>
      <c r="K15832">
        <v>47.04</v>
      </c>
      <c r="L15832">
        <v>17527</v>
      </c>
      <c r="M15832" t="s">
        <v>422</v>
      </c>
      <c r="N15832" t="str">
        <f>"5237662228  "</f>
        <v xml:space="preserve">5237662228  </v>
      </c>
      <c r="O15832">
        <v>230823</v>
      </c>
    </row>
    <row r="15833" spans="1:15" x14ac:dyDescent="0.25">
      <c r="A15833" t="s">
        <v>16</v>
      </c>
      <c r="B15833" t="s">
        <v>3221</v>
      </c>
      <c r="C15833">
        <v>11271</v>
      </c>
      <c r="D15833" t="s">
        <v>1198</v>
      </c>
      <c r="E15833" t="s">
        <v>1199</v>
      </c>
      <c r="F15833">
        <v>95.11</v>
      </c>
      <c r="G15833">
        <v>230828</v>
      </c>
      <c r="H15833">
        <v>4600</v>
      </c>
      <c r="I15833" t="s">
        <v>105</v>
      </c>
      <c r="J15833">
        <v>117.94</v>
      </c>
      <c r="K15833">
        <v>22.83</v>
      </c>
      <c r="L15833">
        <v>17527</v>
      </c>
      <c r="M15833" t="s">
        <v>422</v>
      </c>
      <c r="N15833" t="str">
        <f>"5237683828  "</f>
        <v xml:space="preserve">5237683828  </v>
      </c>
      <c r="O15833">
        <v>230904</v>
      </c>
    </row>
    <row r="15834" spans="1:15" x14ac:dyDescent="0.25">
      <c r="A15834" t="s">
        <v>16</v>
      </c>
      <c r="B15834" t="s">
        <v>3221</v>
      </c>
      <c r="C15834">
        <v>12479</v>
      </c>
      <c r="D15834" t="s">
        <v>1198</v>
      </c>
      <c r="E15834" t="s">
        <v>1199</v>
      </c>
      <c r="F15834">
        <v>14.92</v>
      </c>
      <c r="G15834">
        <v>230911</v>
      </c>
      <c r="H15834">
        <v>4600</v>
      </c>
      <c r="I15834" t="s">
        <v>105</v>
      </c>
      <c r="J15834">
        <v>18.5</v>
      </c>
      <c r="K15834">
        <v>3.58</v>
      </c>
      <c r="L15834">
        <v>17527</v>
      </c>
      <c r="M15834" t="s">
        <v>422</v>
      </c>
      <c r="N15834" t="str">
        <f>"5237734999  "</f>
        <v xml:space="preserve">5237734999  </v>
      </c>
      <c r="O15834">
        <v>230920</v>
      </c>
    </row>
    <row r="15835" spans="1:15" x14ac:dyDescent="0.25">
      <c r="A15835" t="s">
        <v>16</v>
      </c>
      <c r="B15835" t="s">
        <v>3221</v>
      </c>
      <c r="C15835">
        <v>14304</v>
      </c>
      <c r="D15835" t="s">
        <v>1198</v>
      </c>
      <c r="E15835" t="s">
        <v>1199</v>
      </c>
      <c r="F15835">
        <v>37.729999999999997</v>
      </c>
      <c r="G15835">
        <v>231009</v>
      </c>
      <c r="H15835">
        <v>4600</v>
      </c>
      <c r="I15835" t="s">
        <v>105</v>
      </c>
      <c r="J15835">
        <v>46.79</v>
      </c>
      <c r="K15835">
        <v>9.06</v>
      </c>
      <c r="L15835">
        <v>17638</v>
      </c>
      <c r="M15835" t="s">
        <v>765</v>
      </c>
      <c r="N15835" t="str">
        <f>"5237828783  "</f>
        <v xml:space="preserve">5237828783  </v>
      </c>
      <c r="O15835">
        <v>231026</v>
      </c>
    </row>
    <row r="15836" spans="1:15" x14ac:dyDescent="0.25">
      <c r="A15836" t="s">
        <v>16</v>
      </c>
      <c r="B15836" t="s">
        <v>3221</v>
      </c>
      <c r="C15836">
        <v>15716</v>
      </c>
      <c r="D15836" t="s">
        <v>1198</v>
      </c>
      <c r="E15836" t="s">
        <v>1199</v>
      </c>
      <c r="F15836">
        <v>84.84</v>
      </c>
      <c r="G15836">
        <v>231113</v>
      </c>
      <c r="H15836">
        <v>4600</v>
      </c>
      <c r="I15836" t="s">
        <v>105</v>
      </c>
      <c r="J15836">
        <v>105.2</v>
      </c>
      <c r="K15836">
        <v>20.36</v>
      </c>
      <c r="L15836">
        <v>17527</v>
      </c>
      <c r="M15836" t="s">
        <v>422</v>
      </c>
      <c r="N15836" t="str">
        <f>"5237935854  "</f>
        <v xml:space="preserve">5237935854  </v>
      </c>
      <c r="O15836">
        <v>231116</v>
      </c>
    </row>
    <row r="15837" spans="1:15" x14ac:dyDescent="0.25">
      <c r="A15837" t="s">
        <v>16</v>
      </c>
      <c r="B15837" t="s">
        <v>3221</v>
      </c>
      <c r="C15837">
        <v>17193</v>
      </c>
      <c r="D15837" t="s">
        <v>1198</v>
      </c>
      <c r="E15837" t="s">
        <v>1199</v>
      </c>
      <c r="F15837">
        <v>1150.02</v>
      </c>
      <c r="G15837">
        <v>231204</v>
      </c>
      <c r="H15837">
        <v>4600</v>
      </c>
      <c r="I15837" t="s">
        <v>105</v>
      </c>
      <c r="J15837">
        <v>1426.02</v>
      </c>
      <c r="K15837">
        <v>276</v>
      </c>
      <c r="L15837">
        <v>14952</v>
      </c>
      <c r="M15837" t="s">
        <v>99</v>
      </c>
      <c r="N15837" t="str">
        <f>"5238000686  "</f>
        <v xml:space="preserve">5238000686  </v>
      </c>
      <c r="O15837">
        <v>231212</v>
      </c>
    </row>
    <row r="15838" spans="1:15" x14ac:dyDescent="0.25">
      <c r="A15838" t="s">
        <v>16</v>
      </c>
      <c r="B15838" t="s">
        <v>3221</v>
      </c>
      <c r="C15838">
        <v>5507</v>
      </c>
      <c r="D15838" t="s">
        <v>1854</v>
      </c>
      <c r="E15838" t="s">
        <v>1855</v>
      </c>
      <c r="F15838">
        <v>18.91</v>
      </c>
      <c r="G15838">
        <v>230424</v>
      </c>
      <c r="H15838">
        <v>4600</v>
      </c>
      <c r="I15838" t="s">
        <v>105</v>
      </c>
      <c r="J15838">
        <v>23.45</v>
      </c>
      <c r="K15838">
        <v>4.54</v>
      </c>
      <c r="L15838">
        <v>13801</v>
      </c>
      <c r="M15838" t="s">
        <v>162</v>
      </c>
      <c r="N15838" t="str">
        <f>"5237243227  "</f>
        <v xml:space="preserve">5237243227  </v>
      </c>
      <c r="O15838">
        <v>230426</v>
      </c>
    </row>
    <row r="15839" spans="1:15" x14ac:dyDescent="0.25">
      <c r="A15839" t="s">
        <v>16</v>
      </c>
      <c r="B15839" t="s">
        <v>3221</v>
      </c>
      <c r="C15839">
        <v>9079</v>
      </c>
      <c r="D15839" t="s">
        <v>1854</v>
      </c>
      <c r="E15839" t="s">
        <v>1855</v>
      </c>
      <c r="F15839">
        <v>140.94999999999999</v>
      </c>
      <c r="G15839">
        <v>230619</v>
      </c>
      <c r="H15839">
        <v>4600</v>
      </c>
      <c r="I15839" t="s">
        <v>105</v>
      </c>
      <c r="J15839">
        <v>174.78</v>
      </c>
      <c r="K15839">
        <v>33.83</v>
      </c>
      <c r="L15839">
        <v>13841</v>
      </c>
      <c r="M15839" t="s">
        <v>47</v>
      </c>
      <c r="N15839" t="str">
        <f>"5237454567  "</f>
        <v xml:space="preserve">5237454567  </v>
      </c>
      <c r="O15839">
        <v>230622</v>
      </c>
    </row>
    <row r="15840" spans="1:15" x14ac:dyDescent="0.25">
      <c r="A15840" t="s">
        <v>16</v>
      </c>
      <c r="B15840" t="s">
        <v>3221</v>
      </c>
      <c r="C15840">
        <v>11800</v>
      </c>
      <c r="D15840" t="s">
        <v>536</v>
      </c>
      <c r="E15840" t="s">
        <v>537</v>
      </c>
      <c r="F15840">
        <v>24.53</v>
      </c>
      <c r="G15840">
        <v>230905</v>
      </c>
      <c r="H15840">
        <v>4574</v>
      </c>
      <c r="I15840" t="s">
        <v>396</v>
      </c>
      <c r="J15840">
        <v>30.42</v>
      </c>
      <c r="K15840">
        <v>5.89</v>
      </c>
      <c r="L15840">
        <v>54422</v>
      </c>
      <c r="M15840" t="s">
        <v>234</v>
      </c>
      <c r="N15840" t="str">
        <f>"64419       "</f>
        <v xml:space="preserve">64419       </v>
      </c>
      <c r="O15840">
        <v>230911</v>
      </c>
    </row>
    <row r="15841" spans="1:15" x14ac:dyDescent="0.25">
      <c r="A15841" t="s">
        <v>16</v>
      </c>
      <c r="B15841" t="s">
        <v>3221</v>
      </c>
      <c r="C15841">
        <v>12264</v>
      </c>
      <c r="D15841" t="s">
        <v>536</v>
      </c>
      <c r="E15841" t="s">
        <v>537</v>
      </c>
      <c r="F15841">
        <v>24.53</v>
      </c>
      <c r="G15841">
        <v>230915</v>
      </c>
      <c r="H15841">
        <v>4574</v>
      </c>
      <c r="I15841" t="s">
        <v>396</v>
      </c>
      <c r="J15841">
        <v>30.42</v>
      </c>
      <c r="K15841">
        <v>5.89</v>
      </c>
      <c r="L15841">
        <v>54451</v>
      </c>
      <c r="M15841" t="s">
        <v>158</v>
      </c>
      <c r="N15841" t="str">
        <f>"64561       "</f>
        <v xml:space="preserve">64561       </v>
      </c>
      <c r="O15841">
        <v>230918</v>
      </c>
    </row>
    <row r="15842" spans="1:15" x14ac:dyDescent="0.25">
      <c r="A15842" t="s">
        <v>16</v>
      </c>
      <c r="B15842" t="s">
        <v>3221</v>
      </c>
      <c r="C15842">
        <v>13546</v>
      </c>
      <c r="D15842" t="s">
        <v>536</v>
      </c>
      <c r="E15842" t="s">
        <v>537</v>
      </c>
      <c r="F15842">
        <v>24.53</v>
      </c>
      <c r="G15842">
        <v>231006</v>
      </c>
      <c r="H15842">
        <v>4574</v>
      </c>
      <c r="I15842" t="s">
        <v>396</v>
      </c>
      <c r="J15842">
        <v>30.42</v>
      </c>
      <c r="K15842">
        <v>5.89</v>
      </c>
      <c r="L15842">
        <v>54422</v>
      </c>
      <c r="M15842" t="s">
        <v>234</v>
      </c>
      <c r="N15842" t="str">
        <f>"64842       "</f>
        <v xml:space="preserve">64842       </v>
      </c>
      <c r="O15842">
        <v>231011</v>
      </c>
    </row>
    <row r="15843" spans="1:15" x14ac:dyDescent="0.25">
      <c r="A15843" t="s">
        <v>16</v>
      </c>
      <c r="B15843" t="s">
        <v>3221</v>
      </c>
      <c r="C15843">
        <v>15902</v>
      </c>
      <c r="D15843" t="s">
        <v>536</v>
      </c>
      <c r="E15843" t="s">
        <v>537</v>
      </c>
      <c r="F15843">
        <v>24.68</v>
      </c>
      <c r="G15843">
        <v>231117</v>
      </c>
      <c r="H15843">
        <v>4574</v>
      </c>
      <c r="I15843" t="s">
        <v>396</v>
      </c>
      <c r="J15843">
        <v>30.6</v>
      </c>
      <c r="K15843">
        <v>5.92</v>
      </c>
      <c r="L15843">
        <v>54451</v>
      </c>
      <c r="M15843" t="s">
        <v>158</v>
      </c>
      <c r="N15843" t="str">
        <f>"65336       "</f>
        <v xml:space="preserve">65336       </v>
      </c>
      <c r="O15843">
        <v>231122</v>
      </c>
    </row>
    <row r="15844" spans="1:15" x14ac:dyDescent="0.25">
      <c r="A15844" t="s">
        <v>16</v>
      </c>
      <c r="B15844" t="s">
        <v>3221</v>
      </c>
      <c r="C15844">
        <v>2241</v>
      </c>
      <c r="D15844" t="s">
        <v>536</v>
      </c>
      <c r="E15844" t="s">
        <v>537</v>
      </c>
      <c r="F15844">
        <v>4.66</v>
      </c>
      <c r="G15844">
        <v>230214</v>
      </c>
      <c r="H15844">
        <v>4600</v>
      </c>
      <c r="I15844" t="s">
        <v>105</v>
      </c>
      <c r="J15844">
        <v>5.78</v>
      </c>
      <c r="K15844">
        <v>1.1200000000000001</v>
      </c>
      <c r="L15844">
        <v>59501</v>
      </c>
      <c r="M15844" t="s">
        <v>69</v>
      </c>
      <c r="N15844" t="str">
        <f>"61767       "</f>
        <v xml:space="preserve">61767       </v>
      </c>
      <c r="O15844">
        <v>230222</v>
      </c>
    </row>
    <row r="15845" spans="1:15" x14ac:dyDescent="0.25">
      <c r="A15845" t="s">
        <v>16</v>
      </c>
      <c r="B15845" t="s">
        <v>3221</v>
      </c>
      <c r="C15845">
        <v>3491</v>
      </c>
      <c r="D15845" t="s">
        <v>536</v>
      </c>
      <c r="E15845" t="s">
        <v>537</v>
      </c>
      <c r="F15845">
        <v>65.12</v>
      </c>
      <c r="G15845">
        <v>230310</v>
      </c>
      <c r="H15845">
        <v>4600</v>
      </c>
      <c r="I15845" t="s">
        <v>105</v>
      </c>
      <c r="J15845">
        <v>80.75</v>
      </c>
      <c r="K15845">
        <v>15.63</v>
      </c>
      <c r="L15845">
        <v>59501</v>
      </c>
      <c r="M15845" t="s">
        <v>69</v>
      </c>
      <c r="N15845" t="str">
        <f>"62033       "</f>
        <v xml:space="preserve">62033       </v>
      </c>
      <c r="O15845">
        <v>230316</v>
      </c>
    </row>
    <row r="15846" spans="1:15" x14ac:dyDescent="0.25">
      <c r="A15846" t="s">
        <v>16</v>
      </c>
      <c r="B15846" t="s">
        <v>3221</v>
      </c>
      <c r="C15846">
        <v>6413</v>
      </c>
      <c r="D15846" t="s">
        <v>536</v>
      </c>
      <c r="E15846" t="s">
        <v>537</v>
      </c>
      <c r="F15846">
        <v>43.4</v>
      </c>
      <c r="G15846">
        <v>230509</v>
      </c>
      <c r="H15846">
        <v>4600</v>
      </c>
      <c r="I15846" t="s">
        <v>105</v>
      </c>
      <c r="J15846">
        <v>53.82</v>
      </c>
      <c r="K15846">
        <v>10.42</v>
      </c>
      <c r="L15846">
        <v>59805</v>
      </c>
      <c r="M15846" t="s">
        <v>1716</v>
      </c>
      <c r="N15846" t="str">
        <f>"62670       "</f>
        <v xml:space="preserve">62670       </v>
      </c>
      <c r="O15846">
        <v>230511</v>
      </c>
    </row>
    <row r="15847" spans="1:15" x14ac:dyDescent="0.25">
      <c r="A15847" t="s">
        <v>16</v>
      </c>
      <c r="B15847" t="s">
        <v>3221</v>
      </c>
      <c r="C15847">
        <v>7239</v>
      </c>
      <c r="D15847" t="s">
        <v>536</v>
      </c>
      <c r="E15847" t="s">
        <v>537</v>
      </c>
      <c r="F15847">
        <v>24.53</v>
      </c>
      <c r="G15847">
        <v>230509</v>
      </c>
      <c r="H15847">
        <v>4600</v>
      </c>
      <c r="I15847" t="s">
        <v>105</v>
      </c>
      <c r="J15847">
        <v>30.42</v>
      </c>
      <c r="K15847">
        <v>5.89</v>
      </c>
      <c r="L15847">
        <v>54422</v>
      </c>
      <c r="M15847" t="s">
        <v>234</v>
      </c>
      <c r="N15847" t="str">
        <f>"62669       "</f>
        <v xml:space="preserve">62669       </v>
      </c>
      <c r="O15847">
        <v>230526</v>
      </c>
    </row>
    <row r="15848" spans="1:15" x14ac:dyDescent="0.25">
      <c r="A15848" t="s">
        <v>16</v>
      </c>
      <c r="B15848" t="s">
        <v>3221</v>
      </c>
      <c r="C15848">
        <v>8857</v>
      </c>
      <c r="D15848" t="s">
        <v>536</v>
      </c>
      <c r="E15848" t="s">
        <v>537</v>
      </c>
      <c r="F15848">
        <v>11.94</v>
      </c>
      <c r="G15848">
        <v>230613</v>
      </c>
      <c r="H15848">
        <v>4600</v>
      </c>
      <c r="I15848" t="s">
        <v>105</v>
      </c>
      <c r="J15848">
        <v>14.8</v>
      </c>
      <c r="K15848">
        <v>2.86</v>
      </c>
      <c r="L15848">
        <v>59501</v>
      </c>
      <c r="M15848" t="s">
        <v>69</v>
      </c>
      <c r="N15848" t="str">
        <f>"63228       "</f>
        <v xml:space="preserve">63228       </v>
      </c>
      <c r="O15848">
        <v>230619</v>
      </c>
    </row>
    <row r="15849" spans="1:15" x14ac:dyDescent="0.25">
      <c r="A15849" t="s">
        <v>16</v>
      </c>
      <c r="B15849" t="s">
        <v>3221</v>
      </c>
      <c r="C15849">
        <v>9054</v>
      </c>
      <c r="D15849" t="s">
        <v>536</v>
      </c>
      <c r="E15849" t="s">
        <v>537</v>
      </c>
      <c r="F15849">
        <v>24.53</v>
      </c>
      <c r="G15849">
        <v>230620</v>
      </c>
      <c r="H15849">
        <v>4600</v>
      </c>
      <c r="I15849" t="s">
        <v>105</v>
      </c>
      <c r="J15849">
        <v>30.42</v>
      </c>
      <c r="K15849">
        <v>5.89</v>
      </c>
      <c r="L15849">
        <v>54451</v>
      </c>
      <c r="M15849" t="s">
        <v>158</v>
      </c>
      <c r="N15849" t="str">
        <f>"63347       "</f>
        <v xml:space="preserve">63347       </v>
      </c>
      <c r="O15849">
        <v>230622</v>
      </c>
    </row>
    <row r="15850" spans="1:15" x14ac:dyDescent="0.25">
      <c r="A15850" t="s">
        <v>16</v>
      </c>
      <c r="B15850" t="s">
        <v>3221</v>
      </c>
      <c r="C15850">
        <v>10222</v>
      </c>
      <c r="D15850" t="s">
        <v>536</v>
      </c>
      <c r="E15850" t="s">
        <v>537</v>
      </c>
      <c r="F15850">
        <v>65.099999999999994</v>
      </c>
      <c r="G15850">
        <v>230809</v>
      </c>
      <c r="H15850">
        <v>4600</v>
      </c>
      <c r="I15850" t="s">
        <v>105</v>
      </c>
      <c r="J15850">
        <v>80.73</v>
      </c>
      <c r="K15850">
        <v>15.63</v>
      </c>
      <c r="L15850">
        <v>54451</v>
      </c>
      <c r="M15850" t="s">
        <v>158</v>
      </c>
      <c r="N15850" t="str">
        <f>"64049       "</f>
        <v xml:space="preserve">64049       </v>
      </c>
      <c r="O15850">
        <v>230810</v>
      </c>
    </row>
    <row r="15851" spans="1:15" x14ac:dyDescent="0.25">
      <c r="A15851" t="s">
        <v>16</v>
      </c>
      <c r="B15851" t="s">
        <v>3221</v>
      </c>
      <c r="C15851">
        <v>14235</v>
      </c>
      <c r="D15851" t="s">
        <v>536</v>
      </c>
      <c r="E15851" t="s">
        <v>537</v>
      </c>
      <c r="F15851">
        <v>12.34</v>
      </c>
      <c r="G15851">
        <v>231020</v>
      </c>
      <c r="H15851">
        <v>4600</v>
      </c>
      <c r="I15851" t="s">
        <v>105</v>
      </c>
      <c r="J15851">
        <v>15.3</v>
      </c>
      <c r="K15851">
        <v>2.96</v>
      </c>
      <c r="L15851">
        <v>59502</v>
      </c>
      <c r="M15851" t="s">
        <v>70</v>
      </c>
      <c r="N15851" t="str">
        <f>"65008       "</f>
        <v xml:space="preserve">65008       </v>
      </c>
      <c r="O15851">
        <v>231024</v>
      </c>
    </row>
    <row r="15852" spans="1:15" x14ac:dyDescent="0.25">
      <c r="A15852" t="s">
        <v>16</v>
      </c>
      <c r="B15852" t="s">
        <v>3221</v>
      </c>
      <c r="C15852">
        <v>14636</v>
      </c>
      <c r="D15852" t="s">
        <v>536</v>
      </c>
      <c r="E15852" t="s">
        <v>537</v>
      </c>
      <c r="F15852">
        <v>45.51</v>
      </c>
      <c r="G15852">
        <v>231027</v>
      </c>
      <c r="H15852">
        <v>4555</v>
      </c>
      <c r="I15852" t="s">
        <v>481</v>
      </c>
      <c r="J15852">
        <v>56.43</v>
      </c>
      <c r="K15852">
        <v>10.92</v>
      </c>
      <c r="L15852">
        <v>59504</v>
      </c>
      <c r="M15852" t="s">
        <v>71</v>
      </c>
      <c r="N15852" t="str">
        <f>"65096       "</f>
        <v xml:space="preserve">65096       </v>
      </c>
      <c r="O15852">
        <v>231031</v>
      </c>
    </row>
    <row r="15853" spans="1:15" x14ac:dyDescent="0.25">
      <c r="A15853" t="s">
        <v>16</v>
      </c>
      <c r="B15853" t="s">
        <v>3221</v>
      </c>
      <c r="C15853">
        <v>10022</v>
      </c>
      <c r="D15853" t="s">
        <v>536</v>
      </c>
      <c r="E15853" t="s">
        <v>537</v>
      </c>
      <c r="F15853">
        <v>33.869999999999997</v>
      </c>
      <c r="G15853">
        <v>230801</v>
      </c>
      <c r="H15853">
        <v>4560</v>
      </c>
      <c r="I15853" t="s">
        <v>345</v>
      </c>
      <c r="J15853">
        <v>42</v>
      </c>
      <c r="K15853">
        <v>8.1300000000000008</v>
      </c>
      <c r="L15853">
        <v>59501</v>
      </c>
      <c r="M15853" t="s">
        <v>69</v>
      </c>
      <c r="N15853" t="str">
        <f>"63943       "</f>
        <v xml:space="preserve">63943       </v>
      </c>
      <c r="O15853">
        <v>230807</v>
      </c>
    </row>
    <row r="15854" spans="1:15" x14ac:dyDescent="0.25">
      <c r="A15854" t="s">
        <v>16</v>
      </c>
      <c r="B15854" t="s">
        <v>3221</v>
      </c>
      <c r="C15854">
        <v>14189</v>
      </c>
      <c r="D15854" t="s">
        <v>536</v>
      </c>
      <c r="E15854" t="s">
        <v>537</v>
      </c>
      <c r="F15854">
        <v>34.840000000000003</v>
      </c>
      <c r="G15854">
        <v>231006</v>
      </c>
      <c r="H15854">
        <v>4560</v>
      </c>
      <c r="I15854" t="s">
        <v>345</v>
      </c>
      <c r="J15854">
        <v>43.2</v>
      </c>
      <c r="K15854">
        <v>8.36</v>
      </c>
      <c r="L15854">
        <v>59501</v>
      </c>
      <c r="M15854" t="s">
        <v>69</v>
      </c>
      <c r="N15854" t="str">
        <f>"64841       "</f>
        <v xml:space="preserve">64841       </v>
      </c>
      <c r="O15854">
        <v>231023</v>
      </c>
    </row>
    <row r="15855" spans="1:15" x14ac:dyDescent="0.25">
      <c r="A15855" t="s">
        <v>16</v>
      </c>
      <c r="B15855" t="s">
        <v>3221</v>
      </c>
      <c r="C15855">
        <v>14235</v>
      </c>
      <c r="D15855" t="s">
        <v>536</v>
      </c>
      <c r="E15855" t="s">
        <v>537</v>
      </c>
      <c r="F15855">
        <v>34.840000000000003</v>
      </c>
      <c r="G15855">
        <v>231020</v>
      </c>
      <c r="H15855">
        <v>4560</v>
      </c>
      <c r="I15855" t="s">
        <v>345</v>
      </c>
      <c r="J15855">
        <v>43.2</v>
      </c>
      <c r="K15855">
        <v>8.36</v>
      </c>
      <c r="L15855">
        <v>59501</v>
      </c>
      <c r="M15855" t="s">
        <v>69</v>
      </c>
      <c r="N15855" t="str">
        <f>"65008       "</f>
        <v xml:space="preserve">65008       </v>
      </c>
      <c r="O15855">
        <v>231024</v>
      </c>
    </row>
    <row r="15856" spans="1:15" x14ac:dyDescent="0.25">
      <c r="A15856" t="s">
        <v>16</v>
      </c>
      <c r="B15856" t="s">
        <v>3221</v>
      </c>
      <c r="C15856">
        <v>16450</v>
      </c>
      <c r="D15856" t="s">
        <v>536</v>
      </c>
      <c r="E15856" t="s">
        <v>537</v>
      </c>
      <c r="F15856">
        <v>34.840000000000003</v>
      </c>
      <c r="G15856">
        <v>231117</v>
      </c>
      <c r="H15856">
        <v>4560</v>
      </c>
      <c r="I15856" t="s">
        <v>345</v>
      </c>
      <c r="J15856">
        <v>43.2</v>
      </c>
      <c r="K15856">
        <v>8.36</v>
      </c>
      <c r="L15856">
        <v>59501</v>
      </c>
      <c r="M15856" t="s">
        <v>69</v>
      </c>
      <c r="N15856" t="str">
        <f>"65337       "</f>
        <v xml:space="preserve">65337       </v>
      </c>
      <c r="O15856">
        <v>231129</v>
      </c>
    </row>
    <row r="15857" spans="1:15" x14ac:dyDescent="0.25">
      <c r="A15857" t="s">
        <v>16</v>
      </c>
      <c r="B15857" t="s">
        <v>3221</v>
      </c>
      <c r="C15857">
        <v>438</v>
      </c>
      <c r="D15857" t="s">
        <v>536</v>
      </c>
      <c r="E15857" t="s">
        <v>537</v>
      </c>
      <c r="F15857">
        <v>282.41000000000003</v>
      </c>
      <c r="G15857">
        <v>230120</v>
      </c>
      <c r="H15857">
        <v>4590</v>
      </c>
      <c r="I15857" t="s">
        <v>203</v>
      </c>
      <c r="J15857">
        <v>350.19</v>
      </c>
      <c r="K15857">
        <v>67.78</v>
      </c>
      <c r="L15857">
        <v>56561</v>
      </c>
      <c r="M15857" t="s">
        <v>358</v>
      </c>
      <c r="N15857" t="str">
        <f>"61506       "</f>
        <v xml:space="preserve">61506       </v>
      </c>
      <c r="O15857">
        <v>230123</v>
      </c>
    </row>
    <row r="15858" spans="1:15" x14ac:dyDescent="0.25">
      <c r="A15858" t="s">
        <v>16</v>
      </c>
      <c r="B15858" t="s">
        <v>3221</v>
      </c>
      <c r="C15858">
        <v>2045</v>
      </c>
      <c r="D15858" t="s">
        <v>536</v>
      </c>
      <c r="E15858" t="s">
        <v>537</v>
      </c>
      <c r="F15858">
        <v>122.12</v>
      </c>
      <c r="G15858">
        <v>230214</v>
      </c>
      <c r="H15858">
        <v>4590</v>
      </c>
      <c r="I15858" t="s">
        <v>203</v>
      </c>
      <c r="J15858">
        <v>151.43</v>
      </c>
      <c r="K15858">
        <v>29.31</v>
      </c>
      <c r="L15858">
        <v>56522</v>
      </c>
      <c r="M15858" t="s">
        <v>43</v>
      </c>
      <c r="N15858" t="str">
        <f>"61768       "</f>
        <v xml:space="preserve">61768       </v>
      </c>
      <c r="O15858">
        <v>230220</v>
      </c>
    </row>
    <row r="15859" spans="1:15" x14ac:dyDescent="0.25">
      <c r="A15859" t="s">
        <v>16</v>
      </c>
      <c r="B15859" t="s">
        <v>3221</v>
      </c>
      <c r="C15859">
        <v>3632</v>
      </c>
      <c r="D15859" t="s">
        <v>536</v>
      </c>
      <c r="E15859" t="s">
        <v>537</v>
      </c>
      <c r="F15859">
        <v>338.48</v>
      </c>
      <c r="G15859">
        <v>230317</v>
      </c>
      <c r="H15859">
        <v>4590</v>
      </c>
      <c r="I15859" t="s">
        <v>203</v>
      </c>
      <c r="J15859">
        <v>419.71</v>
      </c>
      <c r="K15859">
        <v>81.23</v>
      </c>
      <c r="L15859">
        <v>56561</v>
      </c>
      <c r="M15859" t="s">
        <v>358</v>
      </c>
      <c r="N15859" t="str">
        <f>"62117       "</f>
        <v xml:space="preserve">62117       </v>
      </c>
      <c r="O15859">
        <v>230320</v>
      </c>
    </row>
    <row r="15860" spans="1:15" x14ac:dyDescent="0.25">
      <c r="A15860" t="s">
        <v>16</v>
      </c>
      <c r="B15860" t="s">
        <v>3221</v>
      </c>
      <c r="C15860">
        <v>4020</v>
      </c>
      <c r="D15860" t="s">
        <v>536</v>
      </c>
      <c r="E15860" t="s">
        <v>537</v>
      </c>
      <c r="F15860">
        <v>86.48</v>
      </c>
      <c r="G15860">
        <v>230324</v>
      </c>
      <c r="H15860">
        <v>4590</v>
      </c>
      <c r="I15860" t="s">
        <v>203</v>
      </c>
      <c r="J15860">
        <v>107.24</v>
      </c>
      <c r="K15860">
        <v>20.76</v>
      </c>
      <c r="L15860">
        <v>56522</v>
      </c>
      <c r="M15860" t="s">
        <v>43</v>
      </c>
      <c r="N15860" t="str">
        <f>"62182       "</f>
        <v xml:space="preserve">62182       </v>
      </c>
      <c r="O15860">
        <v>230329</v>
      </c>
    </row>
    <row r="15861" spans="1:15" x14ac:dyDescent="0.25">
      <c r="A15861" t="s">
        <v>16</v>
      </c>
      <c r="B15861" t="s">
        <v>3221</v>
      </c>
      <c r="C15861">
        <v>4191</v>
      </c>
      <c r="D15861" t="s">
        <v>536</v>
      </c>
      <c r="E15861" t="s">
        <v>537</v>
      </c>
      <c r="F15861">
        <v>286.2</v>
      </c>
      <c r="G15861">
        <v>230328</v>
      </c>
      <c r="H15861">
        <v>4590</v>
      </c>
      <c r="I15861" t="s">
        <v>203</v>
      </c>
      <c r="J15861">
        <v>354.89</v>
      </c>
      <c r="K15861">
        <v>68.69</v>
      </c>
      <c r="L15861">
        <v>56551</v>
      </c>
      <c r="M15861" t="s">
        <v>619</v>
      </c>
      <c r="N15861" t="str">
        <f>"62204       "</f>
        <v xml:space="preserve">62204       </v>
      </c>
      <c r="O15861">
        <v>230331</v>
      </c>
    </row>
    <row r="15862" spans="1:15" x14ac:dyDescent="0.25">
      <c r="A15862" t="s">
        <v>16</v>
      </c>
      <c r="B15862" t="s">
        <v>3221</v>
      </c>
      <c r="C15862">
        <v>4253</v>
      </c>
      <c r="D15862" t="s">
        <v>536</v>
      </c>
      <c r="E15862" t="s">
        <v>537</v>
      </c>
      <c r="F15862">
        <v>270.48</v>
      </c>
      <c r="G15862">
        <v>230331</v>
      </c>
      <c r="H15862">
        <v>4590</v>
      </c>
      <c r="I15862" t="s">
        <v>203</v>
      </c>
      <c r="J15862">
        <v>335.4</v>
      </c>
      <c r="K15862">
        <v>64.92</v>
      </c>
      <c r="L15862">
        <v>56561</v>
      </c>
      <c r="M15862" t="s">
        <v>358</v>
      </c>
      <c r="N15862" t="str">
        <f>"62230       "</f>
        <v xml:space="preserve">62230       </v>
      </c>
      <c r="O15862">
        <v>230403</v>
      </c>
    </row>
    <row r="15863" spans="1:15" x14ac:dyDescent="0.25">
      <c r="A15863" t="s">
        <v>16</v>
      </c>
      <c r="B15863" t="s">
        <v>3221</v>
      </c>
      <c r="C15863">
        <v>4280</v>
      </c>
      <c r="D15863" t="s">
        <v>536</v>
      </c>
      <c r="E15863" t="s">
        <v>537</v>
      </c>
      <c r="F15863">
        <v>15.73</v>
      </c>
      <c r="G15863">
        <v>230328</v>
      </c>
      <c r="H15863">
        <v>4590</v>
      </c>
      <c r="I15863" t="s">
        <v>203</v>
      </c>
      <c r="J15863">
        <v>19.510000000000002</v>
      </c>
      <c r="K15863">
        <v>3.78</v>
      </c>
      <c r="L15863">
        <v>56564</v>
      </c>
      <c r="M15863" t="s">
        <v>327</v>
      </c>
      <c r="N15863" t="str">
        <f>"62203       "</f>
        <v xml:space="preserve">62203       </v>
      </c>
      <c r="O15863">
        <v>230404</v>
      </c>
    </row>
    <row r="15864" spans="1:15" x14ac:dyDescent="0.25">
      <c r="A15864" t="s">
        <v>16</v>
      </c>
      <c r="B15864" t="s">
        <v>3221</v>
      </c>
      <c r="C15864">
        <v>4794</v>
      </c>
      <c r="D15864" t="s">
        <v>536</v>
      </c>
      <c r="E15864" t="s">
        <v>537</v>
      </c>
      <c r="F15864">
        <v>28.24</v>
      </c>
      <c r="G15864">
        <v>230411</v>
      </c>
      <c r="H15864">
        <v>4590</v>
      </c>
      <c r="I15864" t="s">
        <v>203</v>
      </c>
      <c r="J15864">
        <v>35.020000000000003</v>
      </c>
      <c r="K15864">
        <v>6.78</v>
      </c>
      <c r="L15864">
        <v>59504</v>
      </c>
      <c r="M15864" t="s">
        <v>71</v>
      </c>
      <c r="N15864" t="str">
        <f>"62299       "</f>
        <v xml:space="preserve">62299       </v>
      </c>
      <c r="O15864">
        <v>230412</v>
      </c>
    </row>
    <row r="15865" spans="1:15" x14ac:dyDescent="0.25">
      <c r="A15865" t="s">
        <v>16</v>
      </c>
      <c r="B15865" t="s">
        <v>3221</v>
      </c>
      <c r="C15865">
        <v>5033</v>
      </c>
      <c r="D15865" t="s">
        <v>536</v>
      </c>
      <c r="E15865" t="s">
        <v>537</v>
      </c>
      <c r="F15865">
        <v>57.9</v>
      </c>
      <c r="G15865">
        <v>230405</v>
      </c>
      <c r="H15865">
        <v>4590</v>
      </c>
      <c r="I15865" t="s">
        <v>203</v>
      </c>
      <c r="J15865">
        <v>71.8</v>
      </c>
      <c r="K15865">
        <v>13.9</v>
      </c>
      <c r="L15865">
        <v>56551</v>
      </c>
      <c r="M15865" t="s">
        <v>619</v>
      </c>
      <c r="N15865" t="str">
        <f>"62271       "</f>
        <v xml:space="preserve">62271       </v>
      </c>
      <c r="O15865">
        <v>230417</v>
      </c>
    </row>
    <row r="15866" spans="1:15" x14ac:dyDescent="0.25">
      <c r="A15866" t="s">
        <v>16</v>
      </c>
      <c r="B15866" t="s">
        <v>3221</v>
      </c>
      <c r="C15866">
        <v>5055</v>
      </c>
      <c r="D15866" t="s">
        <v>536</v>
      </c>
      <c r="E15866" t="s">
        <v>537</v>
      </c>
      <c r="F15866">
        <v>46.79</v>
      </c>
      <c r="G15866">
        <v>230414</v>
      </c>
      <c r="H15866">
        <v>4590</v>
      </c>
      <c r="I15866" t="s">
        <v>203</v>
      </c>
      <c r="J15866">
        <v>58.02</v>
      </c>
      <c r="K15866">
        <v>11.23</v>
      </c>
      <c r="L15866">
        <v>56522</v>
      </c>
      <c r="M15866" t="s">
        <v>43</v>
      </c>
      <c r="N15866" t="str">
        <f>"62339       "</f>
        <v xml:space="preserve">62339       </v>
      </c>
      <c r="O15866">
        <v>230418</v>
      </c>
    </row>
    <row r="15867" spans="1:15" x14ac:dyDescent="0.25">
      <c r="A15867" t="s">
        <v>16</v>
      </c>
      <c r="B15867" t="s">
        <v>3221</v>
      </c>
      <c r="C15867">
        <v>5447</v>
      </c>
      <c r="D15867" t="s">
        <v>536</v>
      </c>
      <c r="E15867" t="s">
        <v>537</v>
      </c>
      <c r="F15867">
        <v>36.82</v>
      </c>
      <c r="G15867">
        <v>230421</v>
      </c>
      <c r="H15867">
        <v>4590</v>
      </c>
      <c r="I15867" t="s">
        <v>203</v>
      </c>
      <c r="J15867">
        <v>45.66</v>
      </c>
      <c r="K15867">
        <v>8.84</v>
      </c>
      <c r="L15867">
        <v>56561</v>
      </c>
      <c r="M15867" t="s">
        <v>358</v>
      </c>
      <c r="N15867" t="str">
        <f>"62420       "</f>
        <v xml:space="preserve">62420       </v>
      </c>
      <c r="O15867">
        <v>230425</v>
      </c>
    </row>
    <row r="15868" spans="1:15" x14ac:dyDescent="0.25">
      <c r="A15868" t="s">
        <v>16</v>
      </c>
      <c r="B15868" t="s">
        <v>3221</v>
      </c>
      <c r="C15868">
        <v>5677</v>
      </c>
      <c r="D15868" t="s">
        <v>536</v>
      </c>
      <c r="E15868" t="s">
        <v>537</v>
      </c>
      <c r="F15868">
        <v>36.65</v>
      </c>
      <c r="G15868">
        <v>230421</v>
      </c>
      <c r="H15868">
        <v>4590</v>
      </c>
      <c r="I15868" t="s">
        <v>203</v>
      </c>
      <c r="J15868">
        <v>45.45</v>
      </c>
      <c r="K15868">
        <v>8.8000000000000007</v>
      </c>
      <c r="L15868">
        <v>56522</v>
      </c>
      <c r="M15868" t="s">
        <v>43</v>
      </c>
      <c r="N15868" t="str">
        <f>"62421       "</f>
        <v xml:space="preserve">62421       </v>
      </c>
      <c r="O15868">
        <v>230502</v>
      </c>
    </row>
    <row r="15869" spans="1:15" x14ac:dyDescent="0.25">
      <c r="A15869" t="s">
        <v>16</v>
      </c>
      <c r="B15869" t="s">
        <v>3221</v>
      </c>
      <c r="C15869">
        <v>5794</v>
      </c>
      <c r="D15869" t="s">
        <v>536</v>
      </c>
      <c r="E15869" t="s">
        <v>537</v>
      </c>
      <c r="F15869">
        <v>29.89</v>
      </c>
      <c r="G15869">
        <v>230428</v>
      </c>
      <c r="H15869">
        <v>4590</v>
      </c>
      <c r="I15869" t="s">
        <v>203</v>
      </c>
      <c r="J15869">
        <v>37.06</v>
      </c>
      <c r="K15869">
        <v>7.17</v>
      </c>
      <c r="L15869">
        <v>59502</v>
      </c>
      <c r="M15869" t="s">
        <v>70</v>
      </c>
      <c r="N15869" t="str">
        <f>"62520       "</f>
        <v xml:space="preserve">62520       </v>
      </c>
      <c r="O15869">
        <v>230503</v>
      </c>
    </row>
    <row r="15870" spans="1:15" x14ac:dyDescent="0.25">
      <c r="A15870" t="s">
        <v>16</v>
      </c>
      <c r="B15870" t="s">
        <v>3221</v>
      </c>
      <c r="C15870">
        <v>5800</v>
      </c>
      <c r="D15870" t="s">
        <v>536</v>
      </c>
      <c r="E15870" t="s">
        <v>537</v>
      </c>
      <c r="F15870">
        <v>12.12</v>
      </c>
      <c r="G15870">
        <v>230428</v>
      </c>
      <c r="H15870">
        <v>4590</v>
      </c>
      <c r="I15870" t="s">
        <v>203</v>
      </c>
      <c r="J15870">
        <v>15.03</v>
      </c>
      <c r="K15870">
        <v>2.91</v>
      </c>
      <c r="L15870">
        <v>59504</v>
      </c>
      <c r="M15870" t="s">
        <v>71</v>
      </c>
      <c r="N15870" t="str">
        <f>"62519       "</f>
        <v xml:space="preserve">62519       </v>
      </c>
      <c r="O15870">
        <v>230503</v>
      </c>
    </row>
    <row r="15871" spans="1:15" x14ac:dyDescent="0.25">
      <c r="A15871" t="s">
        <v>16</v>
      </c>
      <c r="B15871" t="s">
        <v>3221</v>
      </c>
      <c r="C15871">
        <v>6534</v>
      </c>
      <c r="D15871" t="s">
        <v>536</v>
      </c>
      <c r="E15871" t="s">
        <v>537</v>
      </c>
      <c r="F15871">
        <v>23.69</v>
      </c>
      <c r="G15871">
        <v>230509</v>
      </c>
      <c r="H15871">
        <v>4590</v>
      </c>
      <c r="I15871" t="s">
        <v>203</v>
      </c>
      <c r="J15871">
        <v>29.38</v>
      </c>
      <c r="K15871">
        <v>5.69</v>
      </c>
      <c r="L15871">
        <v>56522</v>
      </c>
      <c r="M15871" t="s">
        <v>43</v>
      </c>
      <c r="N15871" t="str">
        <f>"62668       "</f>
        <v xml:space="preserve">62668       </v>
      </c>
      <c r="O15871">
        <v>230512</v>
      </c>
    </row>
    <row r="15872" spans="1:15" x14ac:dyDescent="0.25">
      <c r="A15872" t="s">
        <v>16</v>
      </c>
      <c r="B15872" t="s">
        <v>3221</v>
      </c>
      <c r="C15872">
        <v>7841</v>
      </c>
      <c r="D15872" t="s">
        <v>536</v>
      </c>
      <c r="E15872" t="s">
        <v>537</v>
      </c>
      <c r="F15872">
        <v>36.19</v>
      </c>
      <c r="G15872">
        <v>230531</v>
      </c>
      <c r="H15872">
        <v>4590</v>
      </c>
      <c r="I15872" t="s">
        <v>203</v>
      </c>
      <c r="J15872">
        <v>44.88</v>
      </c>
      <c r="K15872">
        <v>8.69</v>
      </c>
      <c r="L15872">
        <v>56522</v>
      </c>
      <c r="M15872" t="s">
        <v>43</v>
      </c>
      <c r="N15872" t="str">
        <f>"63034       "</f>
        <v xml:space="preserve">63034       </v>
      </c>
      <c r="O15872">
        <v>230605</v>
      </c>
    </row>
    <row r="15873" spans="1:15" x14ac:dyDescent="0.25">
      <c r="A15873" t="s">
        <v>16</v>
      </c>
      <c r="B15873" t="s">
        <v>3221</v>
      </c>
      <c r="C15873">
        <v>9100</v>
      </c>
      <c r="D15873" t="s">
        <v>536</v>
      </c>
      <c r="E15873" t="s">
        <v>537</v>
      </c>
      <c r="F15873">
        <v>9.52</v>
      </c>
      <c r="G15873">
        <v>230620</v>
      </c>
      <c r="H15873">
        <v>4590</v>
      </c>
      <c r="I15873" t="s">
        <v>203</v>
      </c>
      <c r="J15873">
        <v>11.8</v>
      </c>
      <c r="K15873">
        <v>2.2799999999999998</v>
      </c>
      <c r="L15873">
        <v>59501</v>
      </c>
      <c r="M15873" t="s">
        <v>69</v>
      </c>
      <c r="N15873" t="str">
        <f>"63346       "</f>
        <v xml:space="preserve">63346       </v>
      </c>
      <c r="O15873">
        <v>230627</v>
      </c>
    </row>
    <row r="15874" spans="1:15" x14ac:dyDescent="0.25">
      <c r="A15874" t="s">
        <v>16</v>
      </c>
      <c r="B15874" t="s">
        <v>3221</v>
      </c>
      <c r="C15874">
        <v>10677</v>
      </c>
      <c r="D15874" t="s">
        <v>536</v>
      </c>
      <c r="E15874" t="s">
        <v>537</v>
      </c>
      <c r="F15874">
        <v>308.29000000000002</v>
      </c>
      <c r="G15874">
        <v>230817</v>
      </c>
      <c r="H15874">
        <v>4590</v>
      </c>
      <c r="I15874" t="s">
        <v>203</v>
      </c>
      <c r="J15874">
        <v>382.28</v>
      </c>
      <c r="K15874">
        <v>73.989999999999995</v>
      </c>
      <c r="L15874">
        <v>56561</v>
      </c>
      <c r="M15874" t="s">
        <v>358</v>
      </c>
      <c r="N15874" t="str">
        <f>"64174       "</f>
        <v xml:space="preserve">64174       </v>
      </c>
      <c r="O15874">
        <v>230821</v>
      </c>
    </row>
    <row r="15875" spans="1:15" x14ac:dyDescent="0.25">
      <c r="A15875" t="s">
        <v>16</v>
      </c>
      <c r="B15875" t="s">
        <v>3221</v>
      </c>
      <c r="C15875">
        <v>10847</v>
      </c>
      <c r="D15875" t="s">
        <v>536</v>
      </c>
      <c r="E15875" t="s">
        <v>537</v>
      </c>
      <c r="F15875">
        <v>70.06</v>
      </c>
      <c r="G15875">
        <v>230822</v>
      </c>
      <c r="H15875">
        <v>4590</v>
      </c>
      <c r="I15875" t="s">
        <v>203</v>
      </c>
      <c r="J15875">
        <v>86.87</v>
      </c>
      <c r="K15875">
        <v>16.809999999999999</v>
      </c>
      <c r="L15875">
        <v>56564</v>
      </c>
      <c r="M15875" t="s">
        <v>327</v>
      </c>
      <c r="N15875" t="str">
        <f>"64247       "</f>
        <v xml:space="preserve">64247       </v>
      </c>
      <c r="O15875">
        <v>230824</v>
      </c>
    </row>
    <row r="15876" spans="1:15" x14ac:dyDescent="0.25">
      <c r="A15876" t="s">
        <v>16</v>
      </c>
      <c r="B15876" t="s">
        <v>3221</v>
      </c>
      <c r="C15876">
        <v>10848</v>
      </c>
      <c r="D15876" t="s">
        <v>536</v>
      </c>
      <c r="E15876" t="s">
        <v>537</v>
      </c>
      <c r="F15876">
        <v>30.72</v>
      </c>
      <c r="G15876">
        <v>230822</v>
      </c>
      <c r="H15876">
        <v>4590</v>
      </c>
      <c r="I15876" t="s">
        <v>203</v>
      </c>
      <c r="J15876">
        <v>38.090000000000003</v>
      </c>
      <c r="K15876">
        <v>7.37</v>
      </c>
      <c r="L15876">
        <v>56561</v>
      </c>
      <c r="M15876" t="s">
        <v>358</v>
      </c>
      <c r="N15876" t="str">
        <f>"64246       "</f>
        <v xml:space="preserve">64246       </v>
      </c>
      <c r="O15876">
        <v>230824</v>
      </c>
    </row>
    <row r="15877" spans="1:15" x14ac:dyDescent="0.25">
      <c r="A15877" t="s">
        <v>16</v>
      </c>
      <c r="B15877" t="s">
        <v>3221</v>
      </c>
      <c r="C15877">
        <v>11289</v>
      </c>
      <c r="D15877" t="s">
        <v>536</v>
      </c>
      <c r="E15877" t="s">
        <v>537</v>
      </c>
      <c r="F15877">
        <v>34.26</v>
      </c>
      <c r="G15877">
        <v>230829</v>
      </c>
      <c r="H15877">
        <v>4590</v>
      </c>
      <c r="I15877" t="s">
        <v>203</v>
      </c>
      <c r="J15877">
        <v>42.48</v>
      </c>
      <c r="K15877">
        <v>8.2200000000000006</v>
      </c>
      <c r="L15877">
        <v>59504</v>
      </c>
      <c r="M15877" t="s">
        <v>71</v>
      </c>
      <c r="N15877" t="str">
        <f>"64330       "</f>
        <v xml:space="preserve">64330       </v>
      </c>
      <c r="O15877">
        <v>230904</v>
      </c>
    </row>
    <row r="15878" spans="1:15" x14ac:dyDescent="0.25">
      <c r="A15878" t="s">
        <v>16</v>
      </c>
      <c r="B15878" t="s">
        <v>3221</v>
      </c>
      <c r="C15878">
        <v>11807</v>
      </c>
      <c r="D15878" t="s">
        <v>536</v>
      </c>
      <c r="E15878" t="s">
        <v>537</v>
      </c>
      <c r="F15878">
        <v>22.42</v>
      </c>
      <c r="G15878">
        <v>230905</v>
      </c>
      <c r="H15878">
        <v>4590</v>
      </c>
      <c r="I15878" t="s">
        <v>203</v>
      </c>
      <c r="J15878">
        <v>27.8</v>
      </c>
      <c r="K15878">
        <v>5.38</v>
      </c>
      <c r="L15878">
        <v>56564</v>
      </c>
      <c r="M15878" t="s">
        <v>327</v>
      </c>
      <c r="N15878" t="str">
        <f>"64418       "</f>
        <v xml:space="preserve">64418       </v>
      </c>
      <c r="O15878">
        <v>230911</v>
      </c>
    </row>
    <row r="15879" spans="1:15" x14ac:dyDescent="0.25">
      <c r="A15879" t="s">
        <v>16</v>
      </c>
      <c r="B15879" t="s">
        <v>3221</v>
      </c>
      <c r="C15879">
        <v>11848</v>
      </c>
      <c r="D15879" t="s">
        <v>536</v>
      </c>
      <c r="E15879" t="s">
        <v>537</v>
      </c>
      <c r="F15879">
        <v>35.44</v>
      </c>
      <c r="G15879">
        <v>230908</v>
      </c>
      <c r="H15879">
        <v>4590</v>
      </c>
      <c r="I15879" t="s">
        <v>203</v>
      </c>
      <c r="J15879">
        <v>43.95</v>
      </c>
      <c r="K15879">
        <v>8.51</v>
      </c>
      <c r="L15879">
        <v>56564</v>
      </c>
      <c r="M15879" t="s">
        <v>327</v>
      </c>
      <c r="N15879" t="str">
        <f>"64468       "</f>
        <v xml:space="preserve">64468       </v>
      </c>
      <c r="O15879">
        <v>230911</v>
      </c>
    </row>
    <row r="15880" spans="1:15" x14ac:dyDescent="0.25">
      <c r="A15880" t="s">
        <v>16</v>
      </c>
      <c r="B15880" t="s">
        <v>3221</v>
      </c>
      <c r="C15880">
        <v>12205</v>
      </c>
      <c r="D15880" t="s">
        <v>536</v>
      </c>
      <c r="E15880" t="s">
        <v>537</v>
      </c>
      <c r="F15880">
        <v>27.38</v>
      </c>
      <c r="G15880">
        <v>230912</v>
      </c>
      <c r="H15880">
        <v>4590</v>
      </c>
      <c r="I15880" t="s">
        <v>203</v>
      </c>
      <c r="J15880">
        <v>33.950000000000003</v>
      </c>
      <c r="K15880">
        <v>6.57</v>
      </c>
      <c r="L15880">
        <v>59504</v>
      </c>
      <c r="M15880" t="s">
        <v>71</v>
      </c>
      <c r="N15880" t="str">
        <f>"64522       "</f>
        <v xml:space="preserve">64522       </v>
      </c>
      <c r="O15880">
        <v>230915</v>
      </c>
    </row>
    <row r="15881" spans="1:15" x14ac:dyDescent="0.25">
      <c r="A15881" t="s">
        <v>16</v>
      </c>
      <c r="B15881" t="s">
        <v>3221</v>
      </c>
      <c r="C15881">
        <v>12247</v>
      </c>
      <c r="D15881" t="s">
        <v>536</v>
      </c>
      <c r="E15881" t="s">
        <v>537</v>
      </c>
      <c r="F15881">
        <v>1464.82</v>
      </c>
      <c r="G15881">
        <v>230912</v>
      </c>
      <c r="H15881">
        <v>4590</v>
      </c>
      <c r="I15881" t="s">
        <v>203</v>
      </c>
      <c r="J15881">
        <v>1816.38</v>
      </c>
      <c r="K15881">
        <v>351.56</v>
      </c>
      <c r="L15881">
        <v>56551</v>
      </c>
      <c r="M15881" t="s">
        <v>619</v>
      </c>
      <c r="N15881" t="str">
        <f>"64521       "</f>
        <v xml:space="preserve">64521       </v>
      </c>
      <c r="O15881">
        <v>230918</v>
      </c>
    </row>
    <row r="15882" spans="1:15" x14ac:dyDescent="0.25">
      <c r="A15882" t="s">
        <v>16</v>
      </c>
      <c r="B15882" t="s">
        <v>3221</v>
      </c>
      <c r="C15882">
        <v>12261</v>
      </c>
      <c r="D15882" t="s">
        <v>536</v>
      </c>
      <c r="E15882" t="s">
        <v>537</v>
      </c>
      <c r="F15882">
        <v>120.99</v>
      </c>
      <c r="G15882">
        <v>230915</v>
      </c>
      <c r="H15882">
        <v>4590</v>
      </c>
      <c r="I15882" t="s">
        <v>203</v>
      </c>
      <c r="J15882">
        <v>150.03</v>
      </c>
      <c r="K15882">
        <v>29.04</v>
      </c>
      <c r="L15882">
        <v>56551</v>
      </c>
      <c r="M15882" t="s">
        <v>619</v>
      </c>
      <c r="N15882" t="str">
        <f>"64559       "</f>
        <v xml:space="preserve">64559       </v>
      </c>
      <c r="O15882">
        <v>230918</v>
      </c>
    </row>
    <row r="15883" spans="1:15" x14ac:dyDescent="0.25">
      <c r="A15883" t="s">
        <v>16</v>
      </c>
      <c r="B15883" t="s">
        <v>3221</v>
      </c>
      <c r="C15883">
        <v>12424</v>
      </c>
      <c r="D15883" t="s">
        <v>536</v>
      </c>
      <c r="E15883" t="s">
        <v>537</v>
      </c>
      <c r="F15883">
        <v>19.8</v>
      </c>
      <c r="G15883">
        <v>230915</v>
      </c>
      <c r="H15883">
        <v>4590</v>
      </c>
      <c r="I15883" t="s">
        <v>203</v>
      </c>
      <c r="J15883">
        <v>24.55</v>
      </c>
      <c r="K15883">
        <v>4.75</v>
      </c>
      <c r="L15883">
        <v>59504</v>
      </c>
      <c r="M15883" t="s">
        <v>71</v>
      </c>
      <c r="N15883" t="str">
        <f>"64558       "</f>
        <v xml:space="preserve">64558       </v>
      </c>
      <c r="O15883">
        <v>230919</v>
      </c>
    </row>
    <row r="15884" spans="1:15" x14ac:dyDescent="0.25">
      <c r="A15884" t="s">
        <v>16</v>
      </c>
      <c r="B15884" t="s">
        <v>3221</v>
      </c>
      <c r="C15884">
        <v>12480</v>
      </c>
      <c r="D15884" t="s">
        <v>536</v>
      </c>
      <c r="E15884" t="s">
        <v>537</v>
      </c>
      <c r="F15884">
        <v>40.04</v>
      </c>
      <c r="G15884">
        <v>230919</v>
      </c>
      <c r="H15884">
        <v>4590</v>
      </c>
      <c r="I15884" t="s">
        <v>203</v>
      </c>
      <c r="J15884">
        <v>49.65</v>
      </c>
      <c r="K15884">
        <v>9.61</v>
      </c>
      <c r="L15884">
        <v>56561</v>
      </c>
      <c r="M15884" t="s">
        <v>358</v>
      </c>
      <c r="N15884" t="str">
        <f>"64626       "</f>
        <v xml:space="preserve">64626       </v>
      </c>
      <c r="O15884">
        <v>230920</v>
      </c>
    </row>
    <row r="15885" spans="1:15" x14ac:dyDescent="0.25">
      <c r="A15885" t="s">
        <v>16</v>
      </c>
      <c r="B15885" t="s">
        <v>3221</v>
      </c>
      <c r="C15885">
        <v>12663</v>
      </c>
      <c r="D15885" t="s">
        <v>536</v>
      </c>
      <c r="E15885" t="s">
        <v>537</v>
      </c>
      <c r="F15885">
        <v>28.94</v>
      </c>
      <c r="G15885">
        <v>230915</v>
      </c>
      <c r="H15885">
        <v>4590</v>
      </c>
      <c r="I15885" t="s">
        <v>203</v>
      </c>
      <c r="J15885">
        <v>35.880000000000003</v>
      </c>
      <c r="K15885">
        <v>6.94</v>
      </c>
      <c r="L15885">
        <v>56564</v>
      </c>
      <c r="M15885" t="s">
        <v>327</v>
      </c>
      <c r="N15885" t="str">
        <f>"64560       "</f>
        <v xml:space="preserve">64560       </v>
      </c>
      <c r="O15885">
        <v>230922</v>
      </c>
    </row>
    <row r="15886" spans="1:15" x14ac:dyDescent="0.25">
      <c r="A15886" t="s">
        <v>16</v>
      </c>
      <c r="B15886" t="s">
        <v>3221</v>
      </c>
      <c r="C15886">
        <v>13004</v>
      </c>
      <c r="D15886" t="s">
        <v>536</v>
      </c>
      <c r="E15886" t="s">
        <v>537</v>
      </c>
      <c r="F15886">
        <v>156.43</v>
      </c>
      <c r="G15886">
        <v>230929</v>
      </c>
      <c r="H15886">
        <v>4590</v>
      </c>
      <c r="I15886" t="s">
        <v>203</v>
      </c>
      <c r="J15886">
        <v>193.97</v>
      </c>
      <c r="K15886">
        <v>37.54</v>
      </c>
      <c r="L15886">
        <v>56561</v>
      </c>
      <c r="M15886" t="s">
        <v>358</v>
      </c>
      <c r="N15886" t="str">
        <f>"64750       "</f>
        <v xml:space="preserve">64750       </v>
      </c>
      <c r="O15886">
        <v>231002</v>
      </c>
    </row>
    <row r="15887" spans="1:15" x14ac:dyDescent="0.25">
      <c r="A15887" t="s">
        <v>16</v>
      </c>
      <c r="B15887" t="s">
        <v>3221</v>
      </c>
      <c r="C15887">
        <v>13050</v>
      </c>
      <c r="D15887" t="s">
        <v>536</v>
      </c>
      <c r="E15887" t="s">
        <v>537</v>
      </c>
      <c r="F15887">
        <v>35.93</v>
      </c>
      <c r="G15887">
        <v>230922</v>
      </c>
      <c r="H15887">
        <v>4590</v>
      </c>
      <c r="I15887" t="s">
        <v>203</v>
      </c>
      <c r="J15887">
        <v>44.55</v>
      </c>
      <c r="K15887">
        <v>8.6199999999999992</v>
      </c>
      <c r="L15887">
        <v>56564</v>
      </c>
      <c r="M15887" t="s">
        <v>327</v>
      </c>
      <c r="N15887" t="str">
        <f>"64665       "</f>
        <v xml:space="preserve">64665       </v>
      </c>
      <c r="O15887">
        <v>231003</v>
      </c>
    </row>
    <row r="15888" spans="1:15" x14ac:dyDescent="0.25">
      <c r="A15888" t="s">
        <v>16</v>
      </c>
      <c r="B15888" t="s">
        <v>3221</v>
      </c>
      <c r="C15888">
        <v>13207</v>
      </c>
      <c r="D15888" t="s">
        <v>536</v>
      </c>
      <c r="E15888" t="s">
        <v>537</v>
      </c>
      <c r="F15888">
        <v>10.84</v>
      </c>
      <c r="G15888">
        <v>230929</v>
      </c>
      <c r="H15888">
        <v>4590</v>
      </c>
      <c r="I15888" t="s">
        <v>203</v>
      </c>
      <c r="J15888">
        <v>13.44</v>
      </c>
      <c r="K15888">
        <v>2.6</v>
      </c>
      <c r="L15888">
        <v>56551</v>
      </c>
      <c r="M15888" t="s">
        <v>619</v>
      </c>
      <c r="N15888" t="str">
        <f>"64749       "</f>
        <v xml:space="preserve">64749       </v>
      </c>
      <c r="O15888">
        <v>231005</v>
      </c>
    </row>
    <row r="15889" spans="1:15" x14ac:dyDescent="0.25">
      <c r="A15889" t="s">
        <v>16</v>
      </c>
      <c r="B15889" t="s">
        <v>3221</v>
      </c>
      <c r="C15889">
        <v>13264</v>
      </c>
      <c r="D15889" t="s">
        <v>536</v>
      </c>
      <c r="E15889" t="s">
        <v>537</v>
      </c>
      <c r="F15889">
        <v>72.8</v>
      </c>
      <c r="G15889">
        <v>231003</v>
      </c>
      <c r="H15889">
        <v>4590</v>
      </c>
      <c r="I15889" t="s">
        <v>203</v>
      </c>
      <c r="J15889">
        <v>90.27</v>
      </c>
      <c r="K15889">
        <v>17.47</v>
      </c>
      <c r="L15889">
        <v>56561</v>
      </c>
      <c r="M15889" t="s">
        <v>358</v>
      </c>
      <c r="N15889" t="str">
        <f>"64798       "</f>
        <v xml:space="preserve">64798       </v>
      </c>
      <c r="O15889">
        <v>231009</v>
      </c>
    </row>
    <row r="15890" spans="1:15" x14ac:dyDescent="0.25">
      <c r="A15890" t="s">
        <v>16</v>
      </c>
      <c r="B15890" t="s">
        <v>3221</v>
      </c>
      <c r="C15890">
        <v>13396</v>
      </c>
      <c r="D15890" t="s">
        <v>536</v>
      </c>
      <c r="E15890" t="s">
        <v>537</v>
      </c>
      <c r="F15890">
        <v>274.64999999999998</v>
      </c>
      <c r="G15890">
        <v>231003</v>
      </c>
      <c r="H15890">
        <v>4590</v>
      </c>
      <c r="I15890" t="s">
        <v>203</v>
      </c>
      <c r="J15890">
        <v>340.56</v>
      </c>
      <c r="K15890">
        <v>65.91</v>
      </c>
      <c r="L15890">
        <v>56564</v>
      </c>
      <c r="M15890" t="s">
        <v>327</v>
      </c>
      <c r="N15890" t="str">
        <f>"64797       "</f>
        <v xml:space="preserve">64797       </v>
      </c>
      <c r="O15890">
        <v>231010</v>
      </c>
    </row>
    <row r="15891" spans="1:15" x14ac:dyDescent="0.25">
      <c r="A15891" t="s">
        <v>16</v>
      </c>
      <c r="B15891" t="s">
        <v>3221</v>
      </c>
      <c r="C15891">
        <v>13670</v>
      </c>
      <c r="D15891" t="s">
        <v>536</v>
      </c>
      <c r="E15891" t="s">
        <v>537</v>
      </c>
      <c r="F15891">
        <v>6.85</v>
      </c>
      <c r="G15891">
        <v>231003</v>
      </c>
      <c r="H15891">
        <v>4590</v>
      </c>
      <c r="I15891" t="s">
        <v>203</v>
      </c>
      <c r="J15891">
        <v>8.5</v>
      </c>
      <c r="K15891">
        <v>1.65</v>
      </c>
      <c r="L15891">
        <v>56522</v>
      </c>
      <c r="M15891" t="s">
        <v>43</v>
      </c>
      <c r="N15891" t="str">
        <f>"64796       "</f>
        <v xml:space="preserve">64796       </v>
      </c>
      <c r="O15891">
        <v>231012</v>
      </c>
    </row>
    <row r="15892" spans="1:15" x14ac:dyDescent="0.25">
      <c r="A15892" t="s">
        <v>16</v>
      </c>
      <c r="B15892" t="s">
        <v>3221</v>
      </c>
      <c r="C15892">
        <v>13849</v>
      </c>
      <c r="D15892" t="s">
        <v>536</v>
      </c>
      <c r="E15892" t="s">
        <v>537</v>
      </c>
      <c r="F15892">
        <v>486.92</v>
      </c>
      <c r="G15892">
        <v>231006</v>
      </c>
      <c r="H15892">
        <v>4590</v>
      </c>
      <c r="I15892" t="s">
        <v>203</v>
      </c>
      <c r="J15892">
        <v>603.78</v>
      </c>
      <c r="K15892">
        <v>116.86</v>
      </c>
      <c r="L15892">
        <v>56551</v>
      </c>
      <c r="M15892" t="s">
        <v>619</v>
      </c>
      <c r="N15892" t="str">
        <f>"64843       "</f>
        <v xml:space="preserve">64843       </v>
      </c>
      <c r="O15892">
        <v>231016</v>
      </c>
    </row>
    <row r="15893" spans="1:15" x14ac:dyDescent="0.25">
      <c r="A15893" t="s">
        <v>16</v>
      </c>
      <c r="B15893" t="s">
        <v>3221</v>
      </c>
      <c r="C15893">
        <v>13956</v>
      </c>
      <c r="D15893" t="s">
        <v>536</v>
      </c>
      <c r="E15893" t="s">
        <v>537</v>
      </c>
      <c r="F15893">
        <v>134.66</v>
      </c>
      <c r="G15893">
        <v>231013</v>
      </c>
      <c r="H15893">
        <v>4590</v>
      </c>
      <c r="I15893" t="s">
        <v>203</v>
      </c>
      <c r="J15893">
        <v>166.98</v>
      </c>
      <c r="K15893">
        <v>32.32</v>
      </c>
      <c r="L15893">
        <v>56551</v>
      </c>
      <c r="M15893" t="s">
        <v>619</v>
      </c>
      <c r="N15893" t="str">
        <f>"64924       "</f>
        <v xml:space="preserve">64924       </v>
      </c>
      <c r="O15893">
        <v>231017</v>
      </c>
    </row>
    <row r="15894" spans="1:15" x14ac:dyDescent="0.25">
      <c r="A15894" t="s">
        <v>16</v>
      </c>
      <c r="B15894" t="s">
        <v>3221</v>
      </c>
      <c r="C15894">
        <v>14158</v>
      </c>
      <c r="D15894" t="s">
        <v>536</v>
      </c>
      <c r="E15894" t="s">
        <v>537</v>
      </c>
      <c r="F15894">
        <v>93.63</v>
      </c>
      <c r="G15894">
        <v>231013</v>
      </c>
      <c r="H15894">
        <v>4590</v>
      </c>
      <c r="I15894" t="s">
        <v>203</v>
      </c>
      <c r="J15894">
        <v>116.1</v>
      </c>
      <c r="K15894">
        <v>22.47</v>
      </c>
      <c r="L15894">
        <v>56564</v>
      </c>
      <c r="M15894" t="s">
        <v>327</v>
      </c>
      <c r="N15894" t="str">
        <f>"64923       "</f>
        <v xml:space="preserve">64923       </v>
      </c>
      <c r="O15894">
        <v>231023</v>
      </c>
    </row>
    <row r="15895" spans="1:15" x14ac:dyDescent="0.25">
      <c r="A15895" t="s">
        <v>16</v>
      </c>
      <c r="B15895" t="s">
        <v>3221</v>
      </c>
      <c r="C15895">
        <v>14697</v>
      </c>
      <c r="D15895" t="s">
        <v>536</v>
      </c>
      <c r="E15895" t="s">
        <v>537</v>
      </c>
      <c r="F15895">
        <v>156.97999999999999</v>
      </c>
      <c r="G15895">
        <v>231027</v>
      </c>
      <c r="H15895">
        <v>4590</v>
      </c>
      <c r="I15895" t="s">
        <v>203</v>
      </c>
      <c r="J15895">
        <v>194.66</v>
      </c>
      <c r="K15895">
        <v>37.68</v>
      </c>
      <c r="L15895">
        <v>56564</v>
      </c>
      <c r="M15895" t="s">
        <v>327</v>
      </c>
      <c r="N15895" t="str">
        <f>"65095       "</f>
        <v xml:space="preserve">65095       </v>
      </c>
      <c r="O15895">
        <v>231101</v>
      </c>
    </row>
    <row r="15896" spans="1:15" x14ac:dyDescent="0.25">
      <c r="A15896" t="s">
        <v>16</v>
      </c>
      <c r="B15896" t="s">
        <v>3221</v>
      </c>
      <c r="C15896">
        <v>14749</v>
      </c>
      <c r="D15896" t="s">
        <v>536</v>
      </c>
      <c r="E15896" t="s">
        <v>537</v>
      </c>
      <c r="F15896">
        <v>329.03</v>
      </c>
      <c r="G15896">
        <v>231027</v>
      </c>
      <c r="H15896">
        <v>4590</v>
      </c>
      <c r="I15896" t="s">
        <v>203</v>
      </c>
      <c r="J15896">
        <v>408</v>
      </c>
      <c r="K15896">
        <v>78.97</v>
      </c>
      <c r="L15896">
        <v>56551</v>
      </c>
      <c r="M15896" t="s">
        <v>619</v>
      </c>
      <c r="N15896" t="str">
        <f>"65097       "</f>
        <v xml:space="preserve">65097       </v>
      </c>
      <c r="O15896">
        <v>231103</v>
      </c>
    </row>
    <row r="15897" spans="1:15" x14ac:dyDescent="0.25">
      <c r="A15897" t="s">
        <v>16</v>
      </c>
      <c r="B15897" t="s">
        <v>3221</v>
      </c>
      <c r="C15897">
        <v>14769</v>
      </c>
      <c r="D15897" t="s">
        <v>536</v>
      </c>
      <c r="E15897" t="s">
        <v>537</v>
      </c>
      <c r="F15897">
        <v>482.31</v>
      </c>
      <c r="G15897">
        <v>231031</v>
      </c>
      <c r="H15897">
        <v>4590</v>
      </c>
      <c r="I15897" t="s">
        <v>203</v>
      </c>
      <c r="J15897">
        <v>598.05999999999995</v>
      </c>
      <c r="K15897">
        <v>115.75</v>
      </c>
      <c r="L15897">
        <v>56551</v>
      </c>
      <c r="M15897" t="s">
        <v>619</v>
      </c>
      <c r="N15897" t="str">
        <f>"65133       "</f>
        <v xml:space="preserve">65133       </v>
      </c>
      <c r="O15897">
        <v>231106</v>
      </c>
    </row>
    <row r="15898" spans="1:15" x14ac:dyDescent="0.25">
      <c r="A15898" t="s">
        <v>16</v>
      </c>
      <c r="B15898" t="s">
        <v>3221</v>
      </c>
      <c r="C15898">
        <v>15571</v>
      </c>
      <c r="D15898" t="s">
        <v>536</v>
      </c>
      <c r="E15898" t="s">
        <v>537</v>
      </c>
      <c r="F15898">
        <v>262.33999999999997</v>
      </c>
      <c r="G15898">
        <v>231107</v>
      </c>
      <c r="H15898">
        <v>4590</v>
      </c>
      <c r="I15898" t="s">
        <v>203</v>
      </c>
      <c r="J15898">
        <v>325.3</v>
      </c>
      <c r="K15898">
        <v>62.96</v>
      </c>
      <c r="L15898">
        <v>56551</v>
      </c>
      <c r="M15898" t="s">
        <v>619</v>
      </c>
      <c r="N15898" t="str">
        <f>"65225       "</f>
        <v xml:space="preserve">65225       </v>
      </c>
      <c r="O15898">
        <v>231114</v>
      </c>
    </row>
    <row r="15899" spans="1:15" x14ac:dyDescent="0.25">
      <c r="A15899" t="s">
        <v>16</v>
      </c>
      <c r="B15899" t="s">
        <v>3221</v>
      </c>
      <c r="C15899">
        <v>16328</v>
      </c>
      <c r="D15899" t="s">
        <v>536</v>
      </c>
      <c r="E15899" t="s">
        <v>537</v>
      </c>
      <c r="F15899">
        <v>974.4</v>
      </c>
      <c r="G15899">
        <v>231124</v>
      </c>
      <c r="H15899">
        <v>4590</v>
      </c>
      <c r="I15899" t="s">
        <v>203</v>
      </c>
      <c r="J15899">
        <v>1208.25</v>
      </c>
      <c r="K15899">
        <v>233.85</v>
      </c>
      <c r="L15899">
        <v>56551</v>
      </c>
      <c r="M15899" t="s">
        <v>619</v>
      </c>
      <c r="N15899" t="str">
        <f>"65429       "</f>
        <v xml:space="preserve">65429       </v>
      </c>
      <c r="O15899">
        <v>231128</v>
      </c>
    </row>
    <row r="15900" spans="1:15" x14ac:dyDescent="0.25">
      <c r="A15900" t="s">
        <v>16</v>
      </c>
      <c r="B15900" t="s">
        <v>3221</v>
      </c>
      <c r="C15900">
        <v>16590</v>
      </c>
      <c r="D15900" t="s">
        <v>536</v>
      </c>
      <c r="E15900" t="s">
        <v>537</v>
      </c>
      <c r="F15900">
        <v>256.58999999999997</v>
      </c>
      <c r="G15900">
        <v>231129</v>
      </c>
      <c r="H15900">
        <v>4590</v>
      </c>
      <c r="I15900" t="s">
        <v>203</v>
      </c>
      <c r="J15900">
        <v>318.17</v>
      </c>
      <c r="K15900">
        <v>61.58</v>
      </c>
      <c r="L15900">
        <v>56551</v>
      </c>
      <c r="M15900" t="s">
        <v>619</v>
      </c>
      <c r="N15900" t="str">
        <f>"65457       "</f>
        <v xml:space="preserve">65457       </v>
      </c>
      <c r="O15900">
        <v>231204</v>
      </c>
    </row>
    <row r="15901" spans="1:15" x14ac:dyDescent="0.25">
      <c r="A15901" t="s">
        <v>16</v>
      </c>
      <c r="B15901" t="s">
        <v>3221</v>
      </c>
      <c r="C15901">
        <v>16796</v>
      </c>
      <c r="D15901" t="s">
        <v>536</v>
      </c>
      <c r="E15901" t="s">
        <v>537</v>
      </c>
      <c r="F15901">
        <v>201.53</v>
      </c>
      <c r="G15901">
        <v>231205</v>
      </c>
      <c r="H15901">
        <v>4590</v>
      </c>
      <c r="I15901" t="s">
        <v>203</v>
      </c>
      <c r="J15901">
        <v>249.9</v>
      </c>
      <c r="K15901">
        <v>48.37</v>
      </c>
      <c r="L15901">
        <v>56551</v>
      </c>
      <c r="M15901" t="s">
        <v>619</v>
      </c>
      <c r="N15901" t="str">
        <f>"65499       "</f>
        <v xml:space="preserve">65499       </v>
      </c>
      <c r="O15901">
        <v>231211</v>
      </c>
    </row>
    <row r="15902" spans="1:15" x14ac:dyDescent="0.25">
      <c r="A15902" t="s">
        <v>16</v>
      </c>
      <c r="B15902" t="s">
        <v>3221</v>
      </c>
      <c r="C15902">
        <v>17030</v>
      </c>
      <c r="D15902" t="s">
        <v>536</v>
      </c>
      <c r="E15902" t="s">
        <v>537</v>
      </c>
      <c r="F15902">
        <v>211.28</v>
      </c>
      <c r="G15902">
        <v>231208</v>
      </c>
      <c r="H15902">
        <v>4590</v>
      </c>
      <c r="I15902" t="s">
        <v>203</v>
      </c>
      <c r="J15902">
        <v>261.99</v>
      </c>
      <c r="K15902">
        <v>50.71</v>
      </c>
      <c r="L15902">
        <v>59501</v>
      </c>
      <c r="M15902" t="s">
        <v>69</v>
      </c>
      <c r="N15902" t="str">
        <f>"65544       "</f>
        <v xml:space="preserve">65544       </v>
      </c>
      <c r="O15902">
        <v>231212</v>
      </c>
    </row>
    <row r="15903" spans="1:15" x14ac:dyDescent="0.25">
      <c r="A15903" t="s">
        <v>16</v>
      </c>
      <c r="B15903" t="s">
        <v>3221</v>
      </c>
      <c r="C15903">
        <v>17571</v>
      </c>
      <c r="D15903" t="s">
        <v>536</v>
      </c>
      <c r="E15903" t="s">
        <v>537</v>
      </c>
      <c r="F15903">
        <v>368.79</v>
      </c>
      <c r="G15903">
        <v>231213</v>
      </c>
      <c r="H15903">
        <v>4590</v>
      </c>
      <c r="I15903" t="s">
        <v>203</v>
      </c>
      <c r="J15903">
        <v>457.3</v>
      </c>
      <c r="K15903">
        <v>88.51</v>
      </c>
      <c r="L15903">
        <v>59501</v>
      </c>
      <c r="M15903" t="s">
        <v>69</v>
      </c>
      <c r="N15903" t="str">
        <f>"65581       "</f>
        <v xml:space="preserve">65581       </v>
      </c>
      <c r="O15903">
        <v>231215</v>
      </c>
    </row>
    <row r="15904" spans="1:15" x14ac:dyDescent="0.25">
      <c r="A15904" t="s">
        <v>16</v>
      </c>
      <c r="B15904" t="s">
        <v>3221</v>
      </c>
      <c r="C15904">
        <v>17792</v>
      </c>
      <c r="D15904" t="s">
        <v>536</v>
      </c>
      <c r="E15904" t="s">
        <v>537</v>
      </c>
      <c r="F15904">
        <v>39.99</v>
      </c>
      <c r="G15904">
        <v>231220</v>
      </c>
      <c r="H15904">
        <v>4590</v>
      </c>
      <c r="I15904" t="s">
        <v>203</v>
      </c>
      <c r="J15904">
        <v>49.59</v>
      </c>
      <c r="K15904">
        <v>9.6</v>
      </c>
      <c r="L15904">
        <v>56564</v>
      </c>
      <c r="M15904" t="s">
        <v>327</v>
      </c>
      <c r="N15904" t="str">
        <f>"65647       "</f>
        <v xml:space="preserve">65647       </v>
      </c>
      <c r="O15904">
        <v>231227</v>
      </c>
    </row>
    <row r="15905" spans="1:15" x14ac:dyDescent="0.25">
      <c r="A15905" t="s">
        <v>16</v>
      </c>
      <c r="B15905" t="s">
        <v>3221</v>
      </c>
      <c r="C15905">
        <v>17799</v>
      </c>
      <c r="D15905" t="s">
        <v>536</v>
      </c>
      <c r="E15905" t="s">
        <v>537</v>
      </c>
      <c r="F15905">
        <v>113.59</v>
      </c>
      <c r="G15905">
        <v>231220</v>
      </c>
      <c r="H15905">
        <v>4590</v>
      </c>
      <c r="I15905" t="s">
        <v>203</v>
      </c>
      <c r="J15905">
        <v>140.85</v>
      </c>
      <c r="K15905">
        <v>27.26</v>
      </c>
      <c r="L15905">
        <v>56551</v>
      </c>
      <c r="M15905" t="s">
        <v>619</v>
      </c>
      <c r="N15905" t="str">
        <f>"65649       "</f>
        <v xml:space="preserve">65649       </v>
      </c>
      <c r="O15905">
        <v>231227</v>
      </c>
    </row>
    <row r="15906" spans="1:15" x14ac:dyDescent="0.25">
      <c r="A15906" t="s">
        <v>16</v>
      </c>
      <c r="B15906" t="s">
        <v>3221</v>
      </c>
      <c r="C15906">
        <v>17829</v>
      </c>
      <c r="D15906" t="s">
        <v>536</v>
      </c>
      <c r="E15906" t="s">
        <v>537</v>
      </c>
      <c r="F15906">
        <v>374.19</v>
      </c>
      <c r="G15906">
        <v>231220</v>
      </c>
      <c r="H15906">
        <v>4590</v>
      </c>
      <c r="I15906" t="s">
        <v>203</v>
      </c>
      <c r="J15906">
        <v>464</v>
      </c>
      <c r="K15906">
        <v>89.81</v>
      </c>
      <c r="L15906">
        <v>56551</v>
      </c>
      <c r="M15906" t="s">
        <v>619</v>
      </c>
      <c r="N15906" t="str">
        <f>"65648       "</f>
        <v xml:space="preserve">65648       </v>
      </c>
      <c r="O15906">
        <v>231227</v>
      </c>
    </row>
    <row r="15907" spans="1:15" x14ac:dyDescent="0.25">
      <c r="A15907" t="s">
        <v>16</v>
      </c>
      <c r="B15907" t="s">
        <v>3221</v>
      </c>
      <c r="C15907">
        <v>18930</v>
      </c>
      <c r="D15907" t="s">
        <v>536</v>
      </c>
      <c r="E15907" t="s">
        <v>537</v>
      </c>
      <c r="F15907">
        <v>120.79</v>
      </c>
      <c r="G15907">
        <v>231227</v>
      </c>
      <c r="H15907">
        <v>4590</v>
      </c>
      <c r="I15907" t="s">
        <v>203</v>
      </c>
      <c r="J15907">
        <v>149.78</v>
      </c>
      <c r="K15907">
        <v>28.99</v>
      </c>
      <c r="L15907">
        <v>56561</v>
      </c>
      <c r="M15907" t="s">
        <v>358</v>
      </c>
      <c r="N15907" t="str">
        <f>"65727       "</f>
        <v xml:space="preserve">65727       </v>
      </c>
      <c r="O15907">
        <v>240108</v>
      </c>
    </row>
    <row r="15908" spans="1:15" x14ac:dyDescent="0.25">
      <c r="A15908" t="s">
        <v>16</v>
      </c>
      <c r="B15908" t="s">
        <v>3221</v>
      </c>
      <c r="C15908">
        <v>5034</v>
      </c>
      <c r="D15908" t="s">
        <v>536</v>
      </c>
      <c r="E15908" t="s">
        <v>537</v>
      </c>
      <c r="F15908">
        <v>20.43</v>
      </c>
      <c r="G15908">
        <v>230405</v>
      </c>
      <c r="H15908">
        <v>4530</v>
      </c>
      <c r="I15908" t="s">
        <v>342</v>
      </c>
      <c r="J15908">
        <v>25.33</v>
      </c>
      <c r="K15908">
        <v>4.9000000000000004</v>
      </c>
      <c r="L15908">
        <v>56522</v>
      </c>
      <c r="M15908" t="s">
        <v>43</v>
      </c>
      <c r="N15908" t="str">
        <f>"62270       "</f>
        <v xml:space="preserve">62270       </v>
      </c>
      <c r="O15908">
        <v>230417</v>
      </c>
    </row>
    <row r="15909" spans="1:15" x14ac:dyDescent="0.25">
      <c r="A15909" t="s">
        <v>16</v>
      </c>
      <c r="B15909" t="s">
        <v>3221</v>
      </c>
      <c r="C15909">
        <v>3083</v>
      </c>
      <c r="D15909" t="s">
        <v>1508</v>
      </c>
      <c r="E15909" t="s">
        <v>1509</v>
      </c>
      <c r="F15909">
        <v>205.65</v>
      </c>
      <c r="G15909">
        <v>230223</v>
      </c>
      <c r="H15909">
        <v>4600</v>
      </c>
      <c r="I15909" t="s">
        <v>105</v>
      </c>
      <c r="J15909">
        <v>255</v>
      </c>
      <c r="K15909">
        <v>49.35</v>
      </c>
      <c r="L15909">
        <v>17522</v>
      </c>
      <c r="M15909" t="s">
        <v>451</v>
      </c>
      <c r="N15909" t="str">
        <f>"2221156     "</f>
        <v xml:space="preserve">2221156     </v>
      </c>
      <c r="O15909">
        <v>230309</v>
      </c>
    </row>
    <row r="15910" spans="1:15" x14ac:dyDescent="0.25">
      <c r="A15910" t="s">
        <v>16</v>
      </c>
      <c r="B15910" t="s">
        <v>3221</v>
      </c>
      <c r="C15910">
        <v>381</v>
      </c>
      <c r="D15910" t="s">
        <v>330</v>
      </c>
      <c r="E15910" t="s">
        <v>331</v>
      </c>
      <c r="F15910">
        <v>332.58</v>
      </c>
      <c r="G15910">
        <v>230113</v>
      </c>
      <c r="H15910">
        <v>4580</v>
      </c>
      <c r="I15910" t="s">
        <v>35</v>
      </c>
      <c r="J15910">
        <v>412.4</v>
      </c>
      <c r="K15910">
        <v>79.819999999999993</v>
      </c>
      <c r="L15910">
        <v>17521</v>
      </c>
      <c r="M15910" t="s">
        <v>133</v>
      </c>
      <c r="N15910" t="str">
        <f>"CD481734    "</f>
        <v xml:space="preserve">CD481734    </v>
      </c>
      <c r="O15910">
        <v>230119</v>
      </c>
    </row>
    <row r="15911" spans="1:15" x14ac:dyDescent="0.25">
      <c r="A15911" t="s">
        <v>16</v>
      </c>
      <c r="B15911" t="s">
        <v>3221</v>
      </c>
      <c r="C15911">
        <v>624</v>
      </c>
      <c r="D15911" t="s">
        <v>330</v>
      </c>
      <c r="E15911" t="s">
        <v>331</v>
      </c>
      <c r="F15911">
        <v>162.97999999999999</v>
      </c>
      <c r="G15911">
        <v>230119</v>
      </c>
      <c r="H15911">
        <v>4580</v>
      </c>
      <c r="I15911" t="s">
        <v>35</v>
      </c>
      <c r="J15911">
        <v>202.1</v>
      </c>
      <c r="K15911">
        <v>39.119999999999997</v>
      </c>
      <c r="L15911">
        <v>46554</v>
      </c>
      <c r="M15911" t="s">
        <v>117</v>
      </c>
      <c r="N15911" t="str">
        <f>"CD481871    "</f>
        <v xml:space="preserve">CD481871    </v>
      </c>
      <c r="O15911">
        <v>230125</v>
      </c>
    </row>
    <row r="15912" spans="1:15" x14ac:dyDescent="0.25">
      <c r="A15912" t="s">
        <v>16</v>
      </c>
      <c r="B15912" t="s">
        <v>3221</v>
      </c>
      <c r="C15912">
        <v>791</v>
      </c>
      <c r="D15912" t="s">
        <v>330</v>
      </c>
      <c r="E15912" t="s">
        <v>331</v>
      </c>
      <c r="F15912">
        <v>647.58000000000004</v>
      </c>
      <c r="G15912">
        <v>230116</v>
      </c>
      <c r="H15912">
        <v>4580</v>
      </c>
      <c r="I15912" t="s">
        <v>35</v>
      </c>
      <c r="J15912">
        <v>803</v>
      </c>
      <c r="K15912">
        <v>155.41999999999999</v>
      </c>
      <c r="L15912">
        <v>17521</v>
      </c>
      <c r="M15912" t="s">
        <v>133</v>
      </c>
      <c r="N15912" t="str">
        <f>"CD481778    "</f>
        <v xml:space="preserve">CD481778    </v>
      </c>
      <c r="O15912">
        <v>230130</v>
      </c>
    </row>
    <row r="15913" spans="1:15" x14ac:dyDescent="0.25">
      <c r="A15913" t="s">
        <v>16</v>
      </c>
      <c r="B15913" t="s">
        <v>3221</v>
      </c>
      <c r="C15913">
        <v>1428</v>
      </c>
      <c r="D15913" t="s">
        <v>330</v>
      </c>
      <c r="E15913" t="s">
        <v>331</v>
      </c>
      <c r="F15913">
        <v>255.32</v>
      </c>
      <c r="G15913">
        <v>230203</v>
      </c>
      <c r="H15913">
        <v>4580</v>
      </c>
      <c r="I15913" t="s">
        <v>35</v>
      </c>
      <c r="J15913">
        <v>316.60000000000002</v>
      </c>
      <c r="K15913">
        <v>61.28</v>
      </c>
      <c r="L15913">
        <v>46554</v>
      </c>
      <c r="M15913" t="s">
        <v>117</v>
      </c>
      <c r="N15913" t="str">
        <f>"CD482253    "</f>
        <v xml:space="preserve">CD482253    </v>
      </c>
      <c r="O15913">
        <v>230208</v>
      </c>
    </row>
    <row r="15914" spans="1:15" x14ac:dyDescent="0.25">
      <c r="A15914" t="s">
        <v>16</v>
      </c>
      <c r="B15914" t="s">
        <v>3221</v>
      </c>
      <c r="C15914">
        <v>2010</v>
      </c>
      <c r="D15914" t="s">
        <v>330</v>
      </c>
      <c r="E15914" t="s">
        <v>331</v>
      </c>
      <c r="F15914">
        <v>222.5</v>
      </c>
      <c r="G15914">
        <v>230215</v>
      </c>
      <c r="H15914">
        <v>4580</v>
      </c>
      <c r="I15914" t="s">
        <v>35</v>
      </c>
      <c r="J15914">
        <v>275.89999999999998</v>
      </c>
      <c r="K15914">
        <v>53.4</v>
      </c>
      <c r="L15914">
        <v>46554</v>
      </c>
      <c r="M15914" t="s">
        <v>117</v>
      </c>
      <c r="N15914" t="str">
        <f>"CD482473    "</f>
        <v xml:space="preserve">CD482473    </v>
      </c>
      <c r="O15914">
        <v>230217</v>
      </c>
    </row>
    <row r="15915" spans="1:15" x14ac:dyDescent="0.25">
      <c r="A15915" t="s">
        <v>16</v>
      </c>
      <c r="B15915" t="s">
        <v>3221</v>
      </c>
      <c r="C15915">
        <v>3326</v>
      </c>
      <c r="D15915" t="s">
        <v>330</v>
      </c>
      <c r="E15915" t="s">
        <v>331</v>
      </c>
      <c r="F15915">
        <v>291.69</v>
      </c>
      <c r="G15915">
        <v>230308</v>
      </c>
      <c r="H15915">
        <v>4580</v>
      </c>
      <c r="I15915" t="s">
        <v>35</v>
      </c>
      <c r="J15915">
        <v>361.7</v>
      </c>
      <c r="K15915">
        <v>70.010000000000005</v>
      </c>
      <c r="L15915">
        <v>17521</v>
      </c>
      <c r="M15915" t="s">
        <v>133</v>
      </c>
      <c r="N15915" t="str">
        <f>"CD482948    "</f>
        <v xml:space="preserve">CD482948    </v>
      </c>
      <c r="O15915">
        <v>230314</v>
      </c>
    </row>
    <row r="15916" spans="1:15" x14ac:dyDescent="0.25">
      <c r="A15916" t="s">
        <v>16</v>
      </c>
      <c r="B15916" t="s">
        <v>3221</v>
      </c>
      <c r="C15916">
        <v>3570</v>
      </c>
      <c r="D15916" t="s">
        <v>330</v>
      </c>
      <c r="E15916" t="s">
        <v>331</v>
      </c>
      <c r="F15916">
        <v>324.44</v>
      </c>
      <c r="G15916">
        <v>230309</v>
      </c>
      <c r="H15916">
        <v>4580</v>
      </c>
      <c r="I15916" t="s">
        <v>35</v>
      </c>
      <c r="J15916">
        <v>402.3</v>
      </c>
      <c r="K15916">
        <v>77.86</v>
      </c>
      <c r="L15916">
        <v>17522</v>
      </c>
      <c r="M15916" t="s">
        <v>451</v>
      </c>
      <c r="N15916" t="str">
        <f>"CD482969    "</f>
        <v xml:space="preserve">CD482969    </v>
      </c>
      <c r="O15916">
        <v>230317</v>
      </c>
    </row>
    <row r="15917" spans="1:15" x14ac:dyDescent="0.25">
      <c r="A15917" t="s">
        <v>16</v>
      </c>
      <c r="B15917" t="s">
        <v>3221</v>
      </c>
      <c r="C15917">
        <v>3571</v>
      </c>
      <c r="D15917" t="s">
        <v>330</v>
      </c>
      <c r="E15917" t="s">
        <v>331</v>
      </c>
      <c r="F15917">
        <v>511.05</v>
      </c>
      <c r="G15917">
        <v>230308</v>
      </c>
      <c r="H15917">
        <v>4580</v>
      </c>
      <c r="I15917" t="s">
        <v>35</v>
      </c>
      <c r="J15917">
        <v>633.70000000000005</v>
      </c>
      <c r="K15917">
        <v>122.65</v>
      </c>
      <c r="L15917">
        <v>17522</v>
      </c>
      <c r="M15917" t="s">
        <v>451</v>
      </c>
      <c r="N15917" t="str">
        <f>"CD482903    "</f>
        <v xml:space="preserve">CD482903    </v>
      </c>
      <c r="O15917">
        <v>230317</v>
      </c>
    </row>
    <row r="15918" spans="1:15" x14ac:dyDescent="0.25">
      <c r="A15918" t="s">
        <v>16</v>
      </c>
      <c r="B15918" t="s">
        <v>3221</v>
      </c>
      <c r="C15918">
        <v>3651</v>
      </c>
      <c r="D15918" t="s">
        <v>330</v>
      </c>
      <c r="E15918" t="s">
        <v>331</v>
      </c>
      <c r="F15918">
        <v>438.87</v>
      </c>
      <c r="G15918">
        <v>230309</v>
      </c>
      <c r="H15918">
        <v>4580</v>
      </c>
      <c r="I15918" t="s">
        <v>35</v>
      </c>
      <c r="J15918">
        <v>544.20000000000005</v>
      </c>
      <c r="K15918">
        <v>105.33</v>
      </c>
      <c r="L15918">
        <v>17521</v>
      </c>
      <c r="M15918" t="s">
        <v>133</v>
      </c>
      <c r="N15918" t="str">
        <f>"CD482988    "</f>
        <v xml:space="preserve">CD482988    </v>
      </c>
      <c r="O15918">
        <v>230320</v>
      </c>
    </row>
    <row r="15919" spans="1:15" x14ac:dyDescent="0.25">
      <c r="A15919" t="s">
        <v>16</v>
      </c>
      <c r="B15919" t="s">
        <v>3221</v>
      </c>
      <c r="C15919">
        <v>4030</v>
      </c>
      <c r="D15919" t="s">
        <v>330</v>
      </c>
      <c r="E15919" t="s">
        <v>331</v>
      </c>
      <c r="F15919">
        <v>393.95</v>
      </c>
      <c r="G15919">
        <v>230308</v>
      </c>
      <c r="H15919">
        <v>4580</v>
      </c>
      <c r="I15919" t="s">
        <v>35</v>
      </c>
      <c r="J15919">
        <v>488.5</v>
      </c>
      <c r="K15919">
        <v>94.55</v>
      </c>
      <c r="L15919">
        <v>17521</v>
      </c>
      <c r="M15919" t="s">
        <v>133</v>
      </c>
      <c r="N15919" t="str">
        <f>"CD482956    "</f>
        <v xml:space="preserve">CD482956    </v>
      </c>
      <c r="O15919">
        <v>230329</v>
      </c>
    </row>
    <row r="15920" spans="1:15" x14ac:dyDescent="0.25">
      <c r="A15920" t="s">
        <v>16</v>
      </c>
      <c r="B15920" t="s">
        <v>3221</v>
      </c>
      <c r="C15920">
        <v>4031</v>
      </c>
      <c r="D15920" t="s">
        <v>330</v>
      </c>
      <c r="E15920" t="s">
        <v>331</v>
      </c>
      <c r="F15920">
        <v>510.73</v>
      </c>
      <c r="G15920">
        <v>230316</v>
      </c>
      <c r="H15920">
        <v>4580</v>
      </c>
      <c r="I15920" t="s">
        <v>35</v>
      </c>
      <c r="J15920">
        <v>633.29999999999995</v>
      </c>
      <c r="K15920">
        <v>122.57</v>
      </c>
      <c r="L15920">
        <v>17521</v>
      </c>
      <c r="M15920" t="s">
        <v>133</v>
      </c>
      <c r="N15920" t="str">
        <f>"CD483158    "</f>
        <v xml:space="preserve">CD483158    </v>
      </c>
      <c r="O15920">
        <v>230329</v>
      </c>
    </row>
    <row r="15921" spans="1:15" x14ac:dyDescent="0.25">
      <c r="A15921" t="s">
        <v>16</v>
      </c>
      <c r="B15921" t="s">
        <v>3221</v>
      </c>
      <c r="C15921">
        <v>4033</v>
      </c>
      <c r="D15921" t="s">
        <v>330</v>
      </c>
      <c r="E15921" t="s">
        <v>331</v>
      </c>
      <c r="F15921">
        <v>317.18</v>
      </c>
      <c r="G15921">
        <v>230322</v>
      </c>
      <c r="H15921">
        <v>4580</v>
      </c>
      <c r="I15921" t="s">
        <v>35</v>
      </c>
      <c r="J15921">
        <v>393.3</v>
      </c>
      <c r="K15921">
        <v>76.12</v>
      </c>
      <c r="L15921">
        <v>17521</v>
      </c>
      <c r="M15921" t="s">
        <v>133</v>
      </c>
      <c r="N15921" t="str">
        <f>"CD483271    "</f>
        <v xml:space="preserve">CD483271    </v>
      </c>
      <c r="O15921">
        <v>230329</v>
      </c>
    </row>
    <row r="15922" spans="1:15" x14ac:dyDescent="0.25">
      <c r="A15922" t="s">
        <v>16</v>
      </c>
      <c r="B15922" t="s">
        <v>3221</v>
      </c>
      <c r="C15922">
        <v>4034</v>
      </c>
      <c r="D15922" t="s">
        <v>330</v>
      </c>
      <c r="E15922" t="s">
        <v>331</v>
      </c>
      <c r="F15922">
        <v>467.82</v>
      </c>
      <c r="G15922">
        <v>230327</v>
      </c>
      <c r="H15922">
        <v>4580</v>
      </c>
      <c r="I15922" t="s">
        <v>35</v>
      </c>
      <c r="J15922">
        <v>580.1</v>
      </c>
      <c r="K15922">
        <v>112.28</v>
      </c>
      <c r="L15922">
        <v>17521</v>
      </c>
      <c r="M15922" t="s">
        <v>133</v>
      </c>
      <c r="N15922" t="str">
        <f>"CD483349    "</f>
        <v xml:space="preserve">CD483349    </v>
      </c>
      <c r="O15922">
        <v>230329</v>
      </c>
    </row>
    <row r="15923" spans="1:15" x14ac:dyDescent="0.25">
      <c r="A15923" t="s">
        <v>16</v>
      </c>
      <c r="B15923" t="s">
        <v>3221</v>
      </c>
      <c r="C15923">
        <v>4035</v>
      </c>
      <c r="D15923" t="s">
        <v>330</v>
      </c>
      <c r="E15923" t="s">
        <v>331</v>
      </c>
      <c r="F15923">
        <v>280.24</v>
      </c>
      <c r="G15923">
        <v>230327</v>
      </c>
      <c r="H15923">
        <v>4580</v>
      </c>
      <c r="I15923" t="s">
        <v>35</v>
      </c>
      <c r="J15923">
        <v>347.5</v>
      </c>
      <c r="K15923">
        <v>67.260000000000005</v>
      </c>
      <c r="L15923">
        <v>17521</v>
      </c>
      <c r="M15923" t="s">
        <v>133</v>
      </c>
      <c r="N15923" t="str">
        <f>"CD483356    "</f>
        <v xml:space="preserve">CD483356    </v>
      </c>
      <c r="O15923">
        <v>230329</v>
      </c>
    </row>
    <row r="15924" spans="1:15" x14ac:dyDescent="0.25">
      <c r="A15924" t="s">
        <v>16</v>
      </c>
      <c r="B15924" t="s">
        <v>3221</v>
      </c>
      <c r="C15924">
        <v>4401</v>
      </c>
      <c r="D15924" t="s">
        <v>330</v>
      </c>
      <c r="E15924" t="s">
        <v>331</v>
      </c>
      <c r="F15924">
        <v>416.53</v>
      </c>
      <c r="G15924">
        <v>230316</v>
      </c>
      <c r="H15924">
        <v>4580</v>
      </c>
      <c r="I15924" t="s">
        <v>35</v>
      </c>
      <c r="J15924">
        <v>516.5</v>
      </c>
      <c r="K15924">
        <v>99.97</v>
      </c>
      <c r="L15924">
        <v>17521</v>
      </c>
      <c r="M15924" t="s">
        <v>133</v>
      </c>
      <c r="N15924" t="str">
        <f>"CD483150    "</f>
        <v xml:space="preserve">CD483150    </v>
      </c>
      <c r="O15924">
        <v>230405</v>
      </c>
    </row>
    <row r="15925" spans="1:15" x14ac:dyDescent="0.25">
      <c r="A15925" t="s">
        <v>16</v>
      </c>
      <c r="B15925" t="s">
        <v>3221</v>
      </c>
      <c r="C15925">
        <v>6151</v>
      </c>
      <c r="D15925" t="s">
        <v>330</v>
      </c>
      <c r="E15925" t="s">
        <v>331</v>
      </c>
      <c r="F15925">
        <v>111.05</v>
      </c>
      <c r="G15925">
        <v>230421</v>
      </c>
      <c r="H15925">
        <v>4580</v>
      </c>
      <c r="I15925" t="s">
        <v>35</v>
      </c>
      <c r="J15925">
        <v>137.69999999999999</v>
      </c>
      <c r="K15925">
        <v>26.65</v>
      </c>
      <c r="L15925">
        <v>17521</v>
      </c>
      <c r="M15925" t="s">
        <v>133</v>
      </c>
      <c r="N15925" t="str">
        <f>"CD483877    "</f>
        <v xml:space="preserve">CD483877    </v>
      </c>
      <c r="O15925">
        <v>230508</v>
      </c>
    </row>
    <row r="15926" spans="1:15" x14ac:dyDescent="0.25">
      <c r="A15926" t="s">
        <v>16</v>
      </c>
      <c r="B15926" t="s">
        <v>3221</v>
      </c>
      <c r="C15926">
        <v>6192</v>
      </c>
      <c r="D15926" t="s">
        <v>330</v>
      </c>
      <c r="E15926" t="s">
        <v>331</v>
      </c>
      <c r="F15926">
        <v>265.56</v>
      </c>
      <c r="G15926">
        <v>230428</v>
      </c>
      <c r="H15926">
        <v>4580</v>
      </c>
      <c r="I15926" t="s">
        <v>35</v>
      </c>
      <c r="J15926">
        <v>329.3</v>
      </c>
      <c r="K15926">
        <v>63.74</v>
      </c>
      <c r="L15926">
        <v>17521</v>
      </c>
      <c r="M15926" t="s">
        <v>133</v>
      </c>
      <c r="N15926" t="str">
        <f>"CD484030    "</f>
        <v xml:space="preserve">CD484030    </v>
      </c>
      <c r="O15926">
        <v>230508</v>
      </c>
    </row>
    <row r="15927" spans="1:15" x14ac:dyDescent="0.25">
      <c r="A15927" t="s">
        <v>16</v>
      </c>
      <c r="B15927" t="s">
        <v>3221</v>
      </c>
      <c r="C15927">
        <v>6948</v>
      </c>
      <c r="D15927" t="s">
        <v>330</v>
      </c>
      <c r="E15927" t="s">
        <v>331</v>
      </c>
      <c r="F15927">
        <v>214.68</v>
      </c>
      <c r="G15927">
        <v>230511</v>
      </c>
      <c r="H15927">
        <v>4580</v>
      </c>
      <c r="I15927" t="s">
        <v>35</v>
      </c>
      <c r="J15927">
        <v>266.2</v>
      </c>
      <c r="K15927">
        <v>51.52</v>
      </c>
      <c r="L15927">
        <v>17521</v>
      </c>
      <c r="M15927" t="s">
        <v>133</v>
      </c>
      <c r="N15927" t="str">
        <f>"CD484262    "</f>
        <v xml:space="preserve">CD484262    </v>
      </c>
      <c r="O15927">
        <v>230523</v>
      </c>
    </row>
    <row r="15928" spans="1:15" x14ac:dyDescent="0.25">
      <c r="A15928" t="s">
        <v>16</v>
      </c>
      <c r="B15928" t="s">
        <v>3221</v>
      </c>
      <c r="C15928">
        <v>7802</v>
      </c>
      <c r="D15928" t="s">
        <v>330</v>
      </c>
      <c r="E15928" t="s">
        <v>331</v>
      </c>
      <c r="F15928">
        <v>95.16</v>
      </c>
      <c r="G15928">
        <v>230517</v>
      </c>
      <c r="H15928">
        <v>4580</v>
      </c>
      <c r="I15928" t="s">
        <v>35</v>
      </c>
      <c r="J15928">
        <v>118</v>
      </c>
      <c r="K15928">
        <v>22.84</v>
      </c>
      <c r="L15928">
        <v>17521</v>
      </c>
      <c r="M15928" t="s">
        <v>133</v>
      </c>
      <c r="N15928" t="str">
        <f>"CD484384    "</f>
        <v xml:space="preserve">CD484384    </v>
      </c>
      <c r="O15928">
        <v>230602</v>
      </c>
    </row>
    <row r="15929" spans="1:15" x14ac:dyDescent="0.25">
      <c r="A15929" t="s">
        <v>16</v>
      </c>
      <c r="B15929" t="s">
        <v>3221</v>
      </c>
      <c r="C15929">
        <v>7803</v>
      </c>
      <c r="D15929" t="s">
        <v>330</v>
      </c>
      <c r="E15929" t="s">
        <v>331</v>
      </c>
      <c r="F15929">
        <v>3058.71</v>
      </c>
      <c r="G15929">
        <v>230517</v>
      </c>
      <c r="H15929">
        <v>4580</v>
      </c>
      <c r="I15929" t="s">
        <v>35</v>
      </c>
      <c r="J15929">
        <v>3792.8</v>
      </c>
      <c r="K15929">
        <v>734.09</v>
      </c>
      <c r="L15929">
        <v>17521</v>
      </c>
      <c r="M15929" t="s">
        <v>133</v>
      </c>
      <c r="N15929" t="str">
        <f>"CD484377    "</f>
        <v xml:space="preserve">CD484377    </v>
      </c>
      <c r="O15929">
        <v>230602</v>
      </c>
    </row>
    <row r="15930" spans="1:15" x14ac:dyDescent="0.25">
      <c r="A15930" t="s">
        <v>16</v>
      </c>
      <c r="B15930" t="s">
        <v>3221</v>
      </c>
      <c r="C15930">
        <v>9207</v>
      </c>
      <c r="D15930" t="s">
        <v>330</v>
      </c>
      <c r="E15930" t="s">
        <v>331</v>
      </c>
      <c r="F15930">
        <v>81.45</v>
      </c>
      <c r="G15930">
        <v>230626</v>
      </c>
      <c r="H15930">
        <v>4580</v>
      </c>
      <c r="I15930" t="s">
        <v>35</v>
      </c>
      <c r="J15930">
        <v>101</v>
      </c>
      <c r="K15930">
        <v>19.55</v>
      </c>
      <c r="L15930">
        <v>17521</v>
      </c>
      <c r="M15930" t="s">
        <v>133</v>
      </c>
      <c r="N15930" t="str">
        <f>"CD485180    "</f>
        <v xml:space="preserve">CD485180    </v>
      </c>
      <c r="O15930">
        <v>230629</v>
      </c>
    </row>
    <row r="15931" spans="1:15" x14ac:dyDescent="0.25">
      <c r="A15931" t="s">
        <v>16</v>
      </c>
      <c r="B15931" t="s">
        <v>3221</v>
      </c>
      <c r="C15931">
        <v>10562</v>
      </c>
      <c r="D15931" t="s">
        <v>330</v>
      </c>
      <c r="E15931" t="s">
        <v>331</v>
      </c>
      <c r="F15931">
        <v>594.52</v>
      </c>
      <c r="G15931">
        <v>230804</v>
      </c>
      <c r="H15931">
        <v>4580</v>
      </c>
      <c r="I15931" t="s">
        <v>35</v>
      </c>
      <c r="J15931">
        <v>737.2</v>
      </c>
      <c r="K15931">
        <v>142.68</v>
      </c>
      <c r="L15931">
        <v>17521</v>
      </c>
      <c r="M15931" t="s">
        <v>133</v>
      </c>
      <c r="N15931" t="str">
        <f>"CD485693    "</f>
        <v xml:space="preserve">CD485693    </v>
      </c>
      <c r="O15931">
        <v>230818</v>
      </c>
    </row>
    <row r="15932" spans="1:15" x14ac:dyDescent="0.25">
      <c r="A15932" t="s">
        <v>16</v>
      </c>
      <c r="B15932" t="s">
        <v>3221</v>
      </c>
      <c r="C15932">
        <v>11452</v>
      </c>
      <c r="D15932" t="s">
        <v>330</v>
      </c>
      <c r="E15932" t="s">
        <v>331</v>
      </c>
      <c r="F15932">
        <v>345.52</v>
      </c>
      <c r="G15932">
        <v>230901</v>
      </c>
      <c r="H15932">
        <v>4580</v>
      </c>
      <c r="I15932" t="s">
        <v>35</v>
      </c>
      <c r="J15932">
        <v>428.44</v>
      </c>
      <c r="K15932">
        <v>82.92</v>
      </c>
      <c r="L15932">
        <v>17522</v>
      </c>
      <c r="M15932" t="s">
        <v>451</v>
      </c>
      <c r="N15932" t="str">
        <f>"CD486253    "</f>
        <v xml:space="preserve">CD486253    </v>
      </c>
      <c r="O15932">
        <v>230905</v>
      </c>
    </row>
    <row r="15933" spans="1:15" x14ac:dyDescent="0.25">
      <c r="A15933" t="s">
        <v>16</v>
      </c>
      <c r="B15933" t="s">
        <v>3221</v>
      </c>
      <c r="C15933">
        <v>11735</v>
      </c>
      <c r="D15933" t="s">
        <v>330</v>
      </c>
      <c r="E15933" t="s">
        <v>331</v>
      </c>
      <c r="F15933">
        <v>215.16</v>
      </c>
      <c r="G15933">
        <v>230906</v>
      </c>
      <c r="H15933">
        <v>4580</v>
      </c>
      <c r="I15933" t="s">
        <v>35</v>
      </c>
      <c r="J15933">
        <v>266.8</v>
      </c>
      <c r="K15933">
        <v>51.64</v>
      </c>
      <c r="L15933">
        <v>17521</v>
      </c>
      <c r="M15933" t="s">
        <v>133</v>
      </c>
      <c r="N15933" t="str">
        <f>"CD486350    "</f>
        <v xml:space="preserve">CD486350    </v>
      </c>
      <c r="O15933">
        <v>230908</v>
      </c>
    </row>
    <row r="15934" spans="1:15" x14ac:dyDescent="0.25">
      <c r="A15934" t="s">
        <v>16</v>
      </c>
      <c r="B15934" t="s">
        <v>3221</v>
      </c>
      <c r="C15934">
        <v>12487</v>
      </c>
      <c r="D15934" t="s">
        <v>330</v>
      </c>
      <c r="E15934" t="s">
        <v>331</v>
      </c>
      <c r="F15934">
        <v>393.79</v>
      </c>
      <c r="G15934">
        <v>230908</v>
      </c>
      <c r="H15934">
        <v>4580</v>
      </c>
      <c r="I15934" t="s">
        <v>35</v>
      </c>
      <c r="J15934">
        <v>488.3</v>
      </c>
      <c r="K15934">
        <v>94.51</v>
      </c>
      <c r="L15934">
        <v>17521</v>
      </c>
      <c r="M15934" t="s">
        <v>133</v>
      </c>
      <c r="N15934" t="str">
        <f>"CD486437    "</f>
        <v xml:space="preserve">CD486437    </v>
      </c>
      <c r="O15934">
        <v>230920</v>
      </c>
    </row>
    <row r="15935" spans="1:15" x14ac:dyDescent="0.25">
      <c r="A15935" t="s">
        <v>16</v>
      </c>
      <c r="B15935" t="s">
        <v>3221</v>
      </c>
      <c r="C15935">
        <v>13146</v>
      </c>
      <c r="D15935" t="s">
        <v>330</v>
      </c>
      <c r="E15935" t="s">
        <v>331</v>
      </c>
      <c r="F15935">
        <v>867.66</v>
      </c>
      <c r="G15935">
        <v>230914</v>
      </c>
      <c r="H15935">
        <v>4580</v>
      </c>
      <c r="I15935" t="s">
        <v>35</v>
      </c>
      <c r="J15935">
        <v>1075.9000000000001</v>
      </c>
      <c r="K15935">
        <v>208.24</v>
      </c>
      <c r="L15935">
        <v>17521</v>
      </c>
      <c r="M15935" t="s">
        <v>133</v>
      </c>
      <c r="N15935" t="str">
        <f>"CD486565    "</f>
        <v xml:space="preserve">CD486565    </v>
      </c>
      <c r="O15935">
        <v>231004</v>
      </c>
    </row>
    <row r="15936" spans="1:15" x14ac:dyDescent="0.25">
      <c r="A15936" t="s">
        <v>16</v>
      </c>
      <c r="B15936" t="s">
        <v>3221</v>
      </c>
      <c r="C15936">
        <v>13158</v>
      </c>
      <c r="D15936" t="s">
        <v>330</v>
      </c>
      <c r="E15936" t="s">
        <v>331</v>
      </c>
      <c r="F15936">
        <v>185.81</v>
      </c>
      <c r="G15936">
        <v>230925</v>
      </c>
      <c r="H15936">
        <v>4580</v>
      </c>
      <c r="I15936" t="s">
        <v>35</v>
      </c>
      <c r="J15936">
        <v>230.4</v>
      </c>
      <c r="K15936">
        <v>44.59</v>
      </c>
      <c r="L15936">
        <v>17521</v>
      </c>
      <c r="M15936" t="s">
        <v>133</v>
      </c>
      <c r="N15936" t="str">
        <f>"CD486764    "</f>
        <v xml:space="preserve">CD486764    </v>
      </c>
      <c r="O15936">
        <v>231004</v>
      </c>
    </row>
    <row r="15937" spans="1:15" x14ac:dyDescent="0.25">
      <c r="A15937" t="s">
        <v>16</v>
      </c>
      <c r="B15937" t="s">
        <v>3221</v>
      </c>
      <c r="C15937">
        <v>13442</v>
      </c>
      <c r="D15937" t="s">
        <v>330</v>
      </c>
      <c r="E15937" t="s">
        <v>331</v>
      </c>
      <c r="F15937">
        <v>185.81</v>
      </c>
      <c r="G15937">
        <v>230925</v>
      </c>
      <c r="H15937">
        <v>4580</v>
      </c>
      <c r="I15937" t="s">
        <v>35</v>
      </c>
      <c r="J15937">
        <v>230.4</v>
      </c>
      <c r="K15937">
        <v>44.59</v>
      </c>
      <c r="L15937">
        <v>17521</v>
      </c>
      <c r="M15937" t="s">
        <v>133</v>
      </c>
      <c r="N15937" t="str">
        <f>"CD486779    "</f>
        <v xml:space="preserve">CD486779    </v>
      </c>
      <c r="O15937">
        <v>231010</v>
      </c>
    </row>
    <row r="15938" spans="1:15" x14ac:dyDescent="0.25">
      <c r="A15938" t="s">
        <v>16</v>
      </c>
      <c r="B15938" t="s">
        <v>3221</v>
      </c>
      <c r="C15938">
        <v>13447</v>
      </c>
      <c r="D15938" t="s">
        <v>330</v>
      </c>
      <c r="E15938" t="s">
        <v>331</v>
      </c>
      <c r="F15938">
        <v>300.64999999999998</v>
      </c>
      <c r="G15938">
        <v>230928</v>
      </c>
      <c r="H15938">
        <v>4580</v>
      </c>
      <c r="I15938" t="s">
        <v>35</v>
      </c>
      <c r="J15938">
        <v>372.8</v>
      </c>
      <c r="K15938">
        <v>72.150000000000006</v>
      </c>
      <c r="L15938">
        <v>17521</v>
      </c>
      <c r="M15938" t="s">
        <v>133</v>
      </c>
      <c r="N15938" t="str">
        <f>"CD486910    "</f>
        <v xml:space="preserve">CD486910    </v>
      </c>
      <c r="O15938">
        <v>231010</v>
      </c>
    </row>
    <row r="15939" spans="1:15" x14ac:dyDescent="0.25">
      <c r="A15939" t="s">
        <v>16</v>
      </c>
      <c r="B15939" t="s">
        <v>3221</v>
      </c>
      <c r="C15939">
        <v>14501</v>
      </c>
      <c r="D15939" t="s">
        <v>330</v>
      </c>
      <c r="E15939" t="s">
        <v>331</v>
      </c>
      <c r="F15939">
        <v>112.34</v>
      </c>
      <c r="G15939">
        <v>231009</v>
      </c>
      <c r="H15939">
        <v>4580</v>
      </c>
      <c r="I15939" t="s">
        <v>35</v>
      </c>
      <c r="J15939">
        <v>139.30000000000001</v>
      </c>
      <c r="K15939">
        <v>26.96</v>
      </c>
      <c r="L15939">
        <v>17521</v>
      </c>
      <c r="M15939" t="s">
        <v>133</v>
      </c>
      <c r="N15939" t="str">
        <f>"CD487125    "</f>
        <v xml:space="preserve">CD487125    </v>
      </c>
      <c r="O15939">
        <v>231030</v>
      </c>
    </row>
    <row r="15940" spans="1:15" x14ac:dyDescent="0.25">
      <c r="A15940" t="s">
        <v>16</v>
      </c>
      <c r="B15940" t="s">
        <v>3221</v>
      </c>
      <c r="C15940">
        <v>15024</v>
      </c>
      <c r="D15940" t="s">
        <v>330</v>
      </c>
      <c r="E15940" t="s">
        <v>331</v>
      </c>
      <c r="F15940">
        <v>224.6</v>
      </c>
      <c r="G15940">
        <v>231012</v>
      </c>
      <c r="H15940">
        <v>4580</v>
      </c>
      <c r="I15940" t="s">
        <v>35</v>
      </c>
      <c r="J15940">
        <v>278.5</v>
      </c>
      <c r="K15940">
        <v>53.9</v>
      </c>
      <c r="L15940">
        <v>17521</v>
      </c>
      <c r="M15940" t="s">
        <v>133</v>
      </c>
      <c r="N15940" t="str">
        <f>"CD487232    "</f>
        <v xml:space="preserve">CD487232    </v>
      </c>
      <c r="O15940">
        <v>231108</v>
      </c>
    </row>
    <row r="15941" spans="1:15" x14ac:dyDescent="0.25">
      <c r="A15941" t="s">
        <v>16</v>
      </c>
      <c r="B15941" t="s">
        <v>3221</v>
      </c>
      <c r="C15941">
        <v>15070</v>
      </c>
      <c r="D15941" t="s">
        <v>330</v>
      </c>
      <c r="E15941" t="s">
        <v>331</v>
      </c>
      <c r="F15941">
        <v>34.92</v>
      </c>
      <c r="G15941">
        <v>231018</v>
      </c>
      <c r="H15941">
        <v>4580</v>
      </c>
      <c r="I15941" t="s">
        <v>35</v>
      </c>
      <c r="J15941">
        <v>43.3</v>
      </c>
      <c r="K15941">
        <v>8.3800000000000008</v>
      </c>
      <c r="L15941">
        <v>17521</v>
      </c>
      <c r="M15941" t="s">
        <v>133</v>
      </c>
      <c r="N15941" t="str">
        <f>"CD487327    "</f>
        <v xml:space="preserve">CD487327    </v>
      </c>
      <c r="O15941">
        <v>231108</v>
      </c>
    </row>
    <row r="15942" spans="1:15" x14ac:dyDescent="0.25">
      <c r="A15942" t="s">
        <v>16</v>
      </c>
      <c r="B15942" t="s">
        <v>3221</v>
      </c>
      <c r="C15942">
        <v>15476</v>
      </c>
      <c r="D15942" t="s">
        <v>330</v>
      </c>
      <c r="E15942" t="s">
        <v>331</v>
      </c>
      <c r="F15942">
        <v>458.39</v>
      </c>
      <c r="G15942">
        <v>231025</v>
      </c>
      <c r="H15942">
        <v>4580</v>
      </c>
      <c r="I15942" t="s">
        <v>35</v>
      </c>
      <c r="J15942">
        <v>568.4</v>
      </c>
      <c r="K15942">
        <v>110.01</v>
      </c>
      <c r="L15942">
        <v>17521</v>
      </c>
      <c r="M15942" t="s">
        <v>133</v>
      </c>
      <c r="N15942" t="str">
        <f>"CD487514    "</f>
        <v xml:space="preserve">CD487514    </v>
      </c>
      <c r="O15942">
        <v>231113</v>
      </c>
    </row>
    <row r="15943" spans="1:15" x14ac:dyDescent="0.25">
      <c r="A15943" t="s">
        <v>16</v>
      </c>
      <c r="B15943" t="s">
        <v>3221</v>
      </c>
      <c r="C15943">
        <v>15656</v>
      </c>
      <c r="D15943" t="s">
        <v>330</v>
      </c>
      <c r="E15943" t="s">
        <v>331</v>
      </c>
      <c r="F15943">
        <v>246.45</v>
      </c>
      <c r="G15943">
        <v>231027</v>
      </c>
      <c r="H15943">
        <v>4580</v>
      </c>
      <c r="I15943" t="s">
        <v>35</v>
      </c>
      <c r="J15943">
        <v>305.60000000000002</v>
      </c>
      <c r="K15943">
        <v>59.15</v>
      </c>
      <c r="L15943">
        <v>17521</v>
      </c>
      <c r="M15943" t="s">
        <v>133</v>
      </c>
      <c r="N15943" t="str">
        <f>"CD487592    "</f>
        <v xml:space="preserve">CD487592    </v>
      </c>
      <c r="O15943">
        <v>231116</v>
      </c>
    </row>
    <row r="15944" spans="1:15" x14ac:dyDescent="0.25">
      <c r="A15944" t="s">
        <v>16</v>
      </c>
      <c r="B15944" t="s">
        <v>3221</v>
      </c>
      <c r="C15944">
        <v>15709</v>
      </c>
      <c r="D15944" t="s">
        <v>330</v>
      </c>
      <c r="E15944" t="s">
        <v>331</v>
      </c>
      <c r="F15944">
        <v>64.599999999999994</v>
      </c>
      <c r="G15944">
        <v>231108</v>
      </c>
      <c r="H15944">
        <v>4580</v>
      </c>
      <c r="I15944" t="s">
        <v>35</v>
      </c>
      <c r="J15944">
        <v>80.099999999999994</v>
      </c>
      <c r="K15944">
        <v>15.5</v>
      </c>
      <c r="L15944">
        <v>17521</v>
      </c>
      <c r="M15944" t="s">
        <v>133</v>
      </c>
      <c r="N15944" t="str">
        <f>"CD487819    "</f>
        <v xml:space="preserve">CD487819    </v>
      </c>
      <c r="O15944">
        <v>231116</v>
      </c>
    </row>
    <row r="15945" spans="1:15" x14ac:dyDescent="0.25">
      <c r="A15945" t="s">
        <v>16</v>
      </c>
      <c r="B15945" t="s">
        <v>3221</v>
      </c>
      <c r="C15945">
        <v>16045</v>
      </c>
      <c r="D15945" t="s">
        <v>330</v>
      </c>
      <c r="E15945" t="s">
        <v>331</v>
      </c>
      <c r="F15945">
        <v>356.53</v>
      </c>
      <c r="G15945">
        <v>231115</v>
      </c>
      <c r="H15945">
        <v>4580</v>
      </c>
      <c r="I15945" t="s">
        <v>35</v>
      </c>
      <c r="J15945">
        <v>442.1</v>
      </c>
      <c r="K15945">
        <v>85.57</v>
      </c>
      <c r="L15945">
        <v>17521</v>
      </c>
      <c r="M15945" t="s">
        <v>133</v>
      </c>
      <c r="N15945" t="str">
        <f>"CD487955    "</f>
        <v xml:space="preserve">CD487955    </v>
      </c>
      <c r="O15945">
        <v>231122</v>
      </c>
    </row>
    <row r="15946" spans="1:15" x14ac:dyDescent="0.25">
      <c r="A15946" t="s">
        <v>16</v>
      </c>
      <c r="B15946" t="s">
        <v>3221</v>
      </c>
      <c r="C15946">
        <v>16283</v>
      </c>
      <c r="D15946" t="s">
        <v>330</v>
      </c>
      <c r="E15946" t="s">
        <v>331</v>
      </c>
      <c r="F15946">
        <v>402.98</v>
      </c>
      <c r="G15946">
        <v>231109</v>
      </c>
      <c r="H15946">
        <v>4580</v>
      </c>
      <c r="I15946" t="s">
        <v>35</v>
      </c>
      <c r="J15946">
        <v>499.7</v>
      </c>
      <c r="K15946">
        <v>96.72</v>
      </c>
      <c r="L15946">
        <v>17521</v>
      </c>
      <c r="M15946" t="s">
        <v>133</v>
      </c>
      <c r="N15946" t="str">
        <f>"CD487872    "</f>
        <v xml:space="preserve">CD487872    </v>
      </c>
      <c r="O15946">
        <v>231127</v>
      </c>
    </row>
    <row r="15947" spans="1:15" x14ac:dyDescent="0.25">
      <c r="A15947" t="s">
        <v>16</v>
      </c>
      <c r="B15947" t="s">
        <v>3221</v>
      </c>
      <c r="C15947">
        <v>16551</v>
      </c>
      <c r="D15947" t="s">
        <v>330</v>
      </c>
      <c r="E15947" t="s">
        <v>331</v>
      </c>
      <c r="F15947">
        <v>289.44</v>
      </c>
      <c r="G15947">
        <v>231115</v>
      </c>
      <c r="H15947">
        <v>4580</v>
      </c>
      <c r="I15947" t="s">
        <v>35</v>
      </c>
      <c r="J15947">
        <v>358.9</v>
      </c>
      <c r="K15947">
        <v>69.459999999999994</v>
      </c>
      <c r="L15947">
        <v>17521</v>
      </c>
      <c r="M15947" t="s">
        <v>133</v>
      </c>
      <c r="N15947" t="str">
        <f>"CD487960    "</f>
        <v xml:space="preserve">CD487960    </v>
      </c>
      <c r="O15947">
        <v>231201</v>
      </c>
    </row>
    <row r="15948" spans="1:15" x14ac:dyDescent="0.25">
      <c r="A15948" t="s">
        <v>16</v>
      </c>
      <c r="B15948" t="s">
        <v>3221</v>
      </c>
      <c r="C15948">
        <v>17719</v>
      </c>
      <c r="D15948" t="s">
        <v>330</v>
      </c>
      <c r="E15948" t="s">
        <v>331</v>
      </c>
      <c r="F15948">
        <v>148.15</v>
      </c>
      <c r="G15948">
        <v>231123</v>
      </c>
      <c r="H15948">
        <v>4580</v>
      </c>
      <c r="I15948" t="s">
        <v>35</v>
      </c>
      <c r="J15948">
        <v>183.7</v>
      </c>
      <c r="K15948">
        <v>35.549999999999997</v>
      </c>
      <c r="L15948">
        <v>17521</v>
      </c>
      <c r="M15948" t="s">
        <v>133</v>
      </c>
      <c r="N15948" t="str">
        <f>"CD488167    "</f>
        <v xml:space="preserve">CD488167    </v>
      </c>
      <c r="O15948">
        <v>231222</v>
      </c>
    </row>
    <row r="15949" spans="1:15" x14ac:dyDescent="0.25">
      <c r="A15949" t="s">
        <v>16</v>
      </c>
      <c r="B15949" t="s">
        <v>3221</v>
      </c>
      <c r="C15949">
        <v>17926</v>
      </c>
      <c r="D15949" t="s">
        <v>330</v>
      </c>
      <c r="E15949" t="s">
        <v>331</v>
      </c>
      <c r="F15949">
        <v>267.5</v>
      </c>
      <c r="G15949">
        <v>231128</v>
      </c>
      <c r="H15949">
        <v>4580</v>
      </c>
      <c r="I15949" t="s">
        <v>35</v>
      </c>
      <c r="J15949">
        <v>331.7</v>
      </c>
      <c r="K15949">
        <v>64.2</v>
      </c>
      <c r="L15949">
        <v>17521</v>
      </c>
      <c r="M15949" t="s">
        <v>133</v>
      </c>
      <c r="N15949" t="str">
        <f>"CD488268    "</f>
        <v xml:space="preserve">CD488268    </v>
      </c>
      <c r="O15949">
        <v>231227</v>
      </c>
    </row>
    <row r="15950" spans="1:15" x14ac:dyDescent="0.25">
      <c r="A15950" t="s">
        <v>16</v>
      </c>
      <c r="B15950" t="s">
        <v>3221</v>
      </c>
      <c r="C15950">
        <v>17936</v>
      </c>
      <c r="D15950" t="s">
        <v>330</v>
      </c>
      <c r="E15950" t="s">
        <v>331</v>
      </c>
      <c r="F15950">
        <v>390.4</v>
      </c>
      <c r="G15950">
        <v>231128</v>
      </c>
      <c r="H15950">
        <v>4580</v>
      </c>
      <c r="I15950" t="s">
        <v>35</v>
      </c>
      <c r="J15950">
        <v>484.1</v>
      </c>
      <c r="K15950">
        <v>93.7</v>
      </c>
      <c r="L15950">
        <v>17521</v>
      </c>
      <c r="M15950" t="s">
        <v>133</v>
      </c>
      <c r="N15950" t="str">
        <f>"CD488262    "</f>
        <v xml:space="preserve">CD488262    </v>
      </c>
      <c r="O15950">
        <v>231228</v>
      </c>
    </row>
    <row r="15951" spans="1:15" x14ac:dyDescent="0.25">
      <c r="A15951" t="s">
        <v>16</v>
      </c>
      <c r="B15951" t="s">
        <v>3221</v>
      </c>
      <c r="C15951">
        <v>17995</v>
      </c>
      <c r="D15951" t="s">
        <v>330</v>
      </c>
      <c r="E15951" t="s">
        <v>331</v>
      </c>
      <c r="F15951">
        <v>299.35000000000002</v>
      </c>
      <c r="G15951">
        <v>231130</v>
      </c>
      <c r="H15951">
        <v>4580</v>
      </c>
      <c r="I15951" t="s">
        <v>35</v>
      </c>
      <c r="J15951">
        <v>371.2</v>
      </c>
      <c r="K15951">
        <v>71.849999999999994</v>
      </c>
      <c r="L15951">
        <v>17521</v>
      </c>
      <c r="M15951" t="s">
        <v>133</v>
      </c>
      <c r="N15951" t="str">
        <f>"CD488345    "</f>
        <v xml:space="preserve">CD488345    </v>
      </c>
      <c r="O15951">
        <v>231228</v>
      </c>
    </row>
    <row r="15952" spans="1:15" x14ac:dyDescent="0.25">
      <c r="A15952" t="s">
        <v>16</v>
      </c>
      <c r="B15952" t="s">
        <v>3221</v>
      </c>
      <c r="C15952">
        <v>18580</v>
      </c>
      <c r="D15952" t="s">
        <v>330</v>
      </c>
      <c r="E15952" t="s">
        <v>331</v>
      </c>
      <c r="F15952">
        <v>297.02</v>
      </c>
      <c r="G15952">
        <v>231214</v>
      </c>
      <c r="H15952">
        <v>4580</v>
      </c>
      <c r="I15952" t="s">
        <v>35</v>
      </c>
      <c r="J15952">
        <v>368.3</v>
      </c>
      <c r="K15952">
        <v>71.28</v>
      </c>
      <c r="L15952">
        <v>17521</v>
      </c>
      <c r="M15952" t="s">
        <v>133</v>
      </c>
      <c r="N15952" t="str">
        <f>"CD488585    "</f>
        <v xml:space="preserve">CD488585    </v>
      </c>
      <c r="O15952">
        <v>240104</v>
      </c>
    </row>
    <row r="15953" spans="1:15" x14ac:dyDescent="0.25">
      <c r="A15953" t="s">
        <v>16</v>
      </c>
      <c r="B15953" t="s">
        <v>3221</v>
      </c>
      <c r="C15953">
        <v>18615</v>
      </c>
      <c r="D15953" t="s">
        <v>330</v>
      </c>
      <c r="E15953" t="s">
        <v>331</v>
      </c>
      <c r="F15953">
        <v>294.11</v>
      </c>
      <c r="G15953">
        <v>231219</v>
      </c>
      <c r="H15953">
        <v>4580</v>
      </c>
      <c r="I15953" t="s">
        <v>35</v>
      </c>
      <c r="J15953">
        <v>364.7</v>
      </c>
      <c r="K15953">
        <v>70.59</v>
      </c>
      <c r="L15953">
        <v>17521</v>
      </c>
      <c r="M15953" t="s">
        <v>133</v>
      </c>
      <c r="N15953" t="str">
        <f>"CD488698    "</f>
        <v xml:space="preserve">CD488698    </v>
      </c>
      <c r="O15953">
        <v>240104</v>
      </c>
    </row>
    <row r="15954" spans="1:15" x14ac:dyDescent="0.25">
      <c r="A15954" t="s">
        <v>16</v>
      </c>
      <c r="B15954" t="s">
        <v>3221</v>
      </c>
      <c r="C15954">
        <v>19332</v>
      </c>
      <c r="D15954" t="s">
        <v>330</v>
      </c>
      <c r="E15954" t="s">
        <v>331</v>
      </c>
      <c r="F15954">
        <v>196.05</v>
      </c>
      <c r="G15954">
        <v>231218</v>
      </c>
      <c r="H15954">
        <v>4580</v>
      </c>
      <c r="I15954" t="s">
        <v>35</v>
      </c>
      <c r="J15954">
        <v>243.1</v>
      </c>
      <c r="K15954">
        <v>47.05</v>
      </c>
      <c r="L15954">
        <v>17521</v>
      </c>
      <c r="M15954" t="s">
        <v>133</v>
      </c>
      <c r="N15954" t="str">
        <f>"CD488669    "</f>
        <v xml:space="preserve">CD488669    </v>
      </c>
      <c r="O15954">
        <v>240117</v>
      </c>
    </row>
    <row r="15955" spans="1:15" x14ac:dyDescent="0.25">
      <c r="A15955" t="s">
        <v>16</v>
      </c>
      <c r="B15955" t="s">
        <v>3221</v>
      </c>
      <c r="C15955">
        <v>211</v>
      </c>
      <c r="D15955" t="s">
        <v>330</v>
      </c>
      <c r="E15955" t="s">
        <v>331</v>
      </c>
      <c r="F15955">
        <v>51.53</v>
      </c>
      <c r="G15955">
        <v>230109</v>
      </c>
      <c r="H15955">
        <v>4600</v>
      </c>
      <c r="I15955" t="s">
        <v>105</v>
      </c>
      <c r="J15955">
        <v>63.9</v>
      </c>
      <c r="K15955">
        <v>12.37</v>
      </c>
      <c r="L15955">
        <v>46554</v>
      </c>
      <c r="M15955" t="s">
        <v>117</v>
      </c>
      <c r="N15955" t="str">
        <f>"CD481612    "</f>
        <v xml:space="preserve">CD481612    </v>
      </c>
      <c r="O15955">
        <v>230116</v>
      </c>
    </row>
    <row r="15956" spans="1:15" x14ac:dyDescent="0.25">
      <c r="A15956" t="s">
        <v>16</v>
      </c>
      <c r="B15956" t="s">
        <v>3221</v>
      </c>
      <c r="C15956">
        <v>830</v>
      </c>
      <c r="D15956" t="s">
        <v>330</v>
      </c>
      <c r="E15956" t="s">
        <v>331</v>
      </c>
      <c r="F15956">
        <v>752.74</v>
      </c>
      <c r="G15956">
        <v>230120</v>
      </c>
      <c r="H15956">
        <v>4600</v>
      </c>
      <c r="I15956" t="s">
        <v>105</v>
      </c>
      <c r="J15956">
        <v>933.4</v>
      </c>
      <c r="K15956">
        <v>180.66</v>
      </c>
      <c r="L15956">
        <v>46554</v>
      </c>
      <c r="M15956" t="s">
        <v>117</v>
      </c>
      <c r="N15956" t="str">
        <f>"CD481915    "</f>
        <v xml:space="preserve">CD481915    </v>
      </c>
      <c r="O15956">
        <v>230131</v>
      </c>
    </row>
    <row r="15957" spans="1:15" x14ac:dyDescent="0.25">
      <c r="A15957" t="s">
        <v>16</v>
      </c>
      <c r="B15957" t="s">
        <v>3221</v>
      </c>
      <c r="C15957">
        <v>1511</v>
      </c>
      <c r="D15957" t="s">
        <v>330</v>
      </c>
      <c r="E15957" t="s">
        <v>331</v>
      </c>
      <c r="F15957">
        <v>729.19</v>
      </c>
      <c r="G15957">
        <v>230201</v>
      </c>
      <c r="H15957">
        <v>4600</v>
      </c>
      <c r="I15957" t="s">
        <v>105</v>
      </c>
      <c r="J15957">
        <v>904.2</v>
      </c>
      <c r="K15957">
        <v>175.01</v>
      </c>
      <c r="L15957">
        <v>46554</v>
      </c>
      <c r="M15957" t="s">
        <v>117</v>
      </c>
      <c r="N15957" t="str">
        <f>"CD482163    "</f>
        <v xml:space="preserve">CD482163    </v>
      </c>
      <c r="O15957">
        <v>230209</v>
      </c>
    </row>
    <row r="15958" spans="1:15" x14ac:dyDescent="0.25">
      <c r="A15958" t="s">
        <v>16</v>
      </c>
      <c r="B15958" t="s">
        <v>3221</v>
      </c>
      <c r="C15958">
        <v>1512</v>
      </c>
      <c r="D15958" t="s">
        <v>330</v>
      </c>
      <c r="E15958" t="s">
        <v>331</v>
      </c>
      <c r="F15958">
        <v>834.11</v>
      </c>
      <c r="G15958">
        <v>230201</v>
      </c>
      <c r="H15958">
        <v>4600</v>
      </c>
      <c r="I15958" t="s">
        <v>105</v>
      </c>
      <c r="J15958">
        <v>1034.3</v>
      </c>
      <c r="K15958">
        <v>200.19</v>
      </c>
      <c r="L15958">
        <v>46554</v>
      </c>
      <c r="M15958" t="s">
        <v>117</v>
      </c>
      <c r="N15958" t="str">
        <f>"CD482151    "</f>
        <v xml:space="preserve">CD482151    </v>
      </c>
      <c r="O15958">
        <v>230209</v>
      </c>
    </row>
    <row r="15959" spans="1:15" x14ac:dyDescent="0.25">
      <c r="A15959" t="s">
        <v>16</v>
      </c>
      <c r="B15959" t="s">
        <v>3221</v>
      </c>
      <c r="C15959">
        <v>1513</v>
      </c>
      <c r="D15959" t="s">
        <v>330</v>
      </c>
      <c r="E15959" t="s">
        <v>331</v>
      </c>
      <c r="F15959">
        <v>615.97</v>
      </c>
      <c r="G15959">
        <v>230201</v>
      </c>
      <c r="H15959">
        <v>4600</v>
      </c>
      <c r="I15959" t="s">
        <v>105</v>
      </c>
      <c r="J15959">
        <v>763.8</v>
      </c>
      <c r="K15959">
        <v>147.83000000000001</v>
      </c>
      <c r="L15959">
        <v>46554</v>
      </c>
      <c r="M15959" t="s">
        <v>117</v>
      </c>
      <c r="N15959" t="str">
        <f>"CD482167    "</f>
        <v xml:space="preserve">CD482167    </v>
      </c>
      <c r="O15959">
        <v>230209</v>
      </c>
    </row>
    <row r="15960" spans="1:15" x14ac:dyDescent="0.25">
      <c r="A15960" t="s">
        <v>16</v>
      </c>
      <c r="B15960" t="s">
        <v>3221</v>
      </c>
      <c r="C15960">
        <v>1581</v>
      </c>
      <c r="D15960" t="s">
        <v>330</v>
      </c>
      <c r="E15960" t="s">
        <v>331</v>
      </c>
      <c r="F15960">
        <v>54.19</v>
      </c>
      <c r="G15960">
        <v>230202</v>
      </c>
      <c r="H15960">
        <v>4600</v>
      </c>
      <c r="I15960" t="s">
        <v>105</v>
      </c>
      <c r="J15960">
        <v>67.2</v>
      </c>
      <c r="K15960">
        <v>13.01</v>
      </c>
      <c r="L15960">
        <v>46554</v>
      </c>
      <c r="M15960" t="s">
        <v>117</v>
      </c>
      <c r="N15960" t="str">
        <f>"CD482247    "</f>
        <v xml:space="preserve">CD482247    </v>
      </c>
      <c r="O15960">
        <v>230209</v>
      </c>
    </row>
    <row r="15961" spans="1:15" x14ac:dyDescent="0.25">
      <c r="A15961" t="s">
        <v>16</v>
      </c>
      <c r="B15961" t="s">
        <v>3221</v>
      </c>
      <c r="C15961">
        <v>2011</v>
      </c>
      <c r="D15961" t="s">
        <v>330</v>
      </c>
      <c r="E15961" t="s">
        <v>331</v>
      </c>
      <c r="F15961">
        <v>71.45</v>
      </c>
      <c r="G15961">
        <v>230213</v>
      </c>
      <c r="H15961">
        <v>4600</v>
      </c>
      <c r="I15961" t="s">
        <v>105</v>
      </c>
      <c r="J15961">
        <v>88.6</v>
      </c>
      <c r="K15961">
        <v>17.149999999999999</v>
      </c>
      <c r="L15961">
        <v>46554</v>
      </c>
      <c r="M15961" t="s">
        <v>117</v>
      </c>
      <c r="N15961" t="str">
        <f>"CD482439    "</f>
        <v xml:space="preserve">CD482439    </v>
      </c>
      <c r="O15961">
        <v>230217</v>
      </c>
    </row>
    <row r="15962" spans="1:15" x14ac:dyDescent="0.25">
      <c r="A15962" t="s">
        <v>16</v>
      </c>
      <c r="B15962" t="s">
        <v>3221</v>
      </c>
      <c r="C15962">
        <v>2012</v>
      </c>
      <c r="D15962" t="s">
        <v>330</v>
      </c>
      <c r="E15962" t="s">
        <v>331</v>
      </c>
      <c r="F15962">
        <v>199.68</v>
      </c>
      <c r="G15962">
        <v>230210</v>
      </c>
      <c r="H15962">
        <v>4600</v>
      </c>
      <c r="I15962" t="s">
        <v>105</v>
      </c>
      <c r="J15962">
        <v>247.6</v>
      </c>
      <c r="K15962">
        <v>47.92</v>
      </c>
      <c r="L15962">
        <v>46554</v>
      </c>
      <c r="M15962" t="s">
        <v>117</v>
      </c>
      <c r="N15962" t="str">
        <f>"CD482404    "</f>
        <v xml:space="preserve">CD482404    </v>
      </c>
      <c r="O15962">
        <v>230217</v>
      </c>
    </row>
    <row r="15963" spans="1:15" x14ac:dyDescent="0.25">
      <c r="A15963" t="s">
        <v>16</v>
      </c>
      <c r="B15963" t="s">
        <v>3221</v>
      </c>
      <c r="C15963">
        <v>2013</v>
      </c>
      <c r="D15963" t="s">
        <v>330</v>
      </c>
      <c r="E15963" t="s">
        <v>331</v>
      </c>
      <c r="F15963">
        <v>63.63</v>
      </c>
      <c r="G15963">
        <v>230209</v>
      </c>
      <c r="H15963">
        <v>4600</v>
      </c>
      <c r="I15963" t="s">
        <v>105</v>
      </c>
      <c r="J15963">
        <v>78.900000000000006</v>
      </c>
      <c r="K15963">
        <v>15.27</v>
      </c>
      <c r="L15963">
        <v>46554</v>
      </c>
      <c r="M15963" t="s">
        <v>117</v>
      </c>
      <c r="N15963" t="str">
        <f>"CD482380    "</f>
        <v xml:space="preserve">CD482380    </v>
      </c>
      <c r="O15963">
        <v>230217</v>
      </c>
    </row>
    <row r="15964" spans="1:15" x14ac:dyDescent="0.25">
      <c r="A15964" t="s">
        <v>16</v>
      </c>
      <c r="B15964" t="s">
        <v>3221</v>
      </c>
      <c r="C15964">
        <v>2522</v>
      </c>
      <c r="D15964" t="s">
        <v>330</v>
      </c>
      <c r="E15964" t="s">
        <v>331</v>
      </c>
      <c r="F15964">
        <v>251.69</v>
      </c>
      <c r="G15964">
        <v>230222</v>
      </c>
      <c r="H15964">
        <v>4600</v>
      </c>
      <c r="I15964" t="s">
        <v>105</v>
      </c>
      <c r="J15964">
        <v>312.10000000000002</v>
      </c>
      <c r="K15964">
        <v>60.41</v>
      </c>
      <c r="L15964">
        <v>46554</v>
      </c>
      <c r="M15964" t="s">
        <v>117</v>
      </c>
      <c r="N15964" t="str">
        <f>"CD482606    "</f>
        <v xml:space="preserve">CD482606    </v>
      </c>
      <c r="O15964">
        <v>230301</v>
      </c>
    </row>
    <row r="15965" spans="1:15" x14ac:dyDescent="0.25">
      <c r="A15965" t="s">
        <v>16</v>
      </c>
      <c r="B15965" t="s">
        <v>3221</v>
      </c>
      <c r="C15965">
        <v>3621</v>
      </c>
      <c r="D15965" t="s">
        <v>330</v>
      </c>
      <c r="E15965" t="s">
        <v>331</v>
      </c>
      <c r="F15965">
        <v>886.61</v>
      </c>
      <c r="G15965">
        <v>230220</v>
      </c>
      <c r="H15965">
        <v>4600</v>
      </c>
      <c r="I15965" t="s">
        <v>105</v>
      </c>
      <c r="J15965">
        <v>1099.4000000000001</v>
      </c>
      <c r="K15965">
        <v>212.79</v>
      </c>
      <c r="L15965">
        <v>46554</v>
      </c>
      <c r="M15965" t="s">
        <v>117</v>
      </c>
      <c r="N15965" t="str">
        <f>"CD482573    "</f>
        <v xml:space="preserve">CD482573    </v>
      </c>
      <c r="O15965">
        <v>230320</v>
      </c>
    </row>
    <row r="15966" spans="1:15" x14ac:dyDescent="0.25">
      <c r="A15966" t="s">
        <v>16</v>
      </c>
      <c r="B15966" t="s">
        <v>3221</v>
      </c>
      <c r="C15966">
        <v>3704</v>
      </c>
      <c r="D15966" t="s">
        <v>330</v>
      </c>
      <c r="E15966" t="s">
        <v>331</v>
      </c>
      <c r="F15966">
        <v>1283.6300000000001</v>
      </c>
      <c r="G15966">
        <v>230308</v>
      </c>
      <c r="H15966">
        <v>4600</v>
      </c>
      <c r="I15966" t="s">
        <v>105</v>
      </c>
      <c r="J15966">
        <v>1591.7</v>
      </c>
      <c r="K15966">
        <v>308.07</v>
      </c>
      <c r="L15966">
        <v>46554</v>
      </c>
      <c r="M15966" t="s">
        <v>117</v>
      </c>
      <c r="N15966" t="str">
        <f>"CD482921    "</f>
        <v xml:space="preserve">CD482921    </v>
      </c>
      <c r="O15966">
        <v>230321</v>
      </c>
    </row>
    <row r="15967" spans="1:15" x14ac:dyDescent="0.25">
      <c r="A15967" t="s">
        <v>16</v>
      </c>
      <c r="B15967" t="s">
        <v>3221</v>
      </c>
      <c r="C15967">
        <v>7803</v>
      </c>
      <c r="D15967" t="s">
        <v>330</v>
      </c>
      <c r="E15967" t="s">
        <v>331</v>
      </c>
      <c r="F15967">
        <v>3058.71</v>
      </c>
      <c r="G15967">
        <v>230517</v>
      </c>
      <c r="H15967">
        <v>4600</v>
      </c>
      <c r="I15967" t="s">
        <v>105</v>
      </c>
      <c r="J15967">
        <v>3792.8</v>
      </c>
      <c r="K15967">
        <v>734.09</v>
      </c>
      <c r="L15967">
        <v>17632</v>
      </c>
      <c r="M15967" t="s">
        <v>495</v>
      </c>
      <c r="N15967" t="str">
        <f>"CD484377    "</f>
        <v xml:space="preserve">CD484377    </v>
      </c>
      <c r="O15967">
        <v>230602</v>
      </c>
    </row>
    <row r="15968" spans="1:15" x14ac:dyDescent="0.25">
      <c r="A15968" t="s">
        <v>16</v>
      </c>
      <c r="B15968" t="s">
        <v>3221</v>
      </c>
      <c r="C15968">
        <v>10563</v>
      </c>
      <c r="D15968" t="s">
        <v>330</v>
      </c>
      <c r="E15968" t="s">
        <v>331</v>
      </c>
      <c r="F15968">
        <v>996.69</v>
      </c>
      <c r="G15968">
        <v>230807</v>
      </c>
      <c r="H15968">
        <v>4600</v>
      </c>
      <c r="I15968" t="s">
        <v>105</v>
      </c>
      <c r="J15968">
        <v>1235.9000000000001</v>
      </c>
      <c r="K15968">
        <v>239.21</v>
      </c>
      <c r="L15968">
        <v>17633</v>
      </c>
      <c r="M15968" t="s">
        <v>724</v>
      </c>
      <c r="N15968" t="str">
        <f>"CD485727    "</f>
        <v xml:space="preserve">CD485727    </v>
      </c>
      <c r="O15968">
        <v>230818</v>
      </c>
    </row>
    <row r="15969" spans="1:15" x14ac:dyDescent="0.25">
      <c r="A15969" t="s">
        <v>16</v>
      </c>
      <c r="B15969" t="s">
        <v>3221</v>
      </c>
      <c r="C15969">
        <v>10564</v>
      </c>
      <c r="D15969" t="s">
        <v>330</v>
      </c>
      <c r="E15969" t="s">
        <v>331</v>
      </c>
      <c r="F15969">
        <v>791.29</v>
      </c>
      <c r="G15969">
        <v>230808</v>
      </c>
      <c r="H15969">
        <v>4600</v>
      </c>
      <c r="I15969" t="s">
        <v>105</v>
      </c>
      <c r="J15969">
        <v>981.2</v>
      </c>
      <c r="K15969">
        <v>189.91</v>
      </c>
      <c r="L15969">
        <v>17632</v>
      </c>
      <c r="M15969" t="s">
        <v>495</v>
      </c>
      <c r="N15969" t="str">
        <f>"CD485767    "</f>
        <v xml:space="preserve">CD485767    </v>
      </c>
      <c r="O15969">
        <v>230818</v>
      </c>
    </row>
    <row r="15970" spans="1:15" x14ac:dyDescent="0.25">
      <c r="A15970" t="s">
        <v>16</v>
      </c>
      <c r="B15970" t="s">
        <v>3221</v>
      </c>
      <c r="C15970">
        <v>10876</v>
      </c>
      <c r="D15970" t="s">
        <v>330</v>
      </c>
      <c r="E15970" t="s">
        <v>331</v>
      </c>
      <c r="F15970">
        <v>125.73</v>
      </c>
      <c r="G15970">
        <v>230809</v>
      </c>
      <c r="H15970">
        <v>4600</v>
      </c>
      <c r="I15970" t="s">
        <v>105</v>
      </c>
      <c r="J15970">
        <v>155.9</v>
      </c>
      <c r="K15970">
        <v>30.17</v>
      </c>
      <c r="L15970">
        <v>46554</v>
      </c>
      <c r="M15970" t="s">
        <v>117</v>
      </c>
      <c r="N15970" t="str">
        <f>"CD485780    "</f>
        <v xml:space="preserve">CD485780    </v>
      </c>
      <c r="O15970">
        <v>230824</v>
      </c>
    </row>
    <row r="15971" spans="1:15" x14ac:dyDescent="0.25">
      <c r="A15971" t="s">
        <v>16</v>
      </c>
      <c r="B15971" t="s">
        <v>3221</v>
      </c>
      <c r="C15971">
        <v>11452</v>
      </c>
      <c r="D15971" t="s">
        <v>330</v>
      </c>
      <c r="E15971" t="s">
        <v>331</v>
      </c>
      <c r="F15971">
        <v>61.9</v>
      </c>
      <c r="G15971">
        <v>230901</v>
      </c>
      <c r="H15971">
        <v>4600</v>
      </c>
      <c r="I15971" t="s">
        <v>105</v>
      </c>
      <c r="J15971">
        <v>76.760000000000005</v>
      </c>
      <c r="K15971">
        <v>14.86</v>
      </c>
      <c r="L15971">
        <v>17633</v>
      </c>
      <c r="M15971" t="s">
        <v>724</v>
      </c>
      <c r="N15971" t="str">
        <f>"CD486253    "</f>
        <v xml:space="preserve">CD486253    </v>
      </c>
      <c r="O15971">
        <v>230905</v>
      </c>
    </row>
    <row r="15972" spans="1:15" x14ac:dyDescent="0.25">
      <c r="A15972" t="s">
        <v>16</v>
      </c>
      <c r="B15972" t="s">
        <v>3221</v>
      </c>
      <c r="C15972">
        <v>12488</v>
      </c>
      <c r="D15972" t="s">
        <v>330</v>
      </c>
      <c r="E15972" t="s">
        <v>331</v>
      </c>
      <c r="F15972">
        <v>3624.27</v>
      </c>
      <c r="G15972">
        <v>230908</v>
      </c>
      <c r="H15972">
        <v>4600</v>
      </c>
      <c r="I15972" t="s">
        <v>105</v>
      </c>
      <c r="J15972">
        <v>4494.1000000000004</v>
      </c>
      <c r="K15972">
        <v>869.83</v>
      </c>
      <c r="L15972">
        <v>46554</v>
      </c>
      <c r="M15972" t="s">
        <v>117</v>
      </c>
      <c r="N15972" t="str">
        <f>"CD486402    "</f>
        <v xml:space="preserve">CD486402    </v>
      </c>
      <c r="O15972">
        <v>230920</v>
      </c>
    </row>
    <row r="15973" spans="1:15" x14ac:dyDescent="0.25">
      <c r="A15973" t="s">
        <v>16</v>
      </c>
      <c r="B15973" t="s">
        <v>3221</v>
      </c>
      <c r="C15973">
        <v>12857</v>
      </c>
      <c r="D15973" t="s">
        <v>330</v>
      </c>
      <c r="E15973" t="s">
        <v>331</v>
      </c>
      <c r="F15973">
        <v>1135.8900000000001</v>
      </c>
      <c r="G15973">
        <v>230908</v>
      </c>
      <c r="H15973">
        <v>4600</v>
      </c>
      <c r="I15973" t="s">
        <v>105</v>
      </c>
      <c r="J15973">
        <v>1408.5</v>
      </c>
      <c r="K15973">
        <v>272.61</v>
      </c>
      <c r="L15973">
        <v>46554</v>
      </c>
      <c r="M15973" t="s">
        <v>117</v>
      </c>
      <c r="N15973" t="str">
        <f>"CD486403    "</f>
        <v xml:space="preserve">CD486403    </v>
      </c>
      <c r="O15973">
        <v>230928</v>
      </c>
    </row>
    <row r="15974" spans="1:15" x14ac:dyDescent="0.25">
      <c r="A15974" t="s">
        <v>16</v>
      </c>
      <c r="B15974" t="s">
        <v>3221</v>
      </c>
      <c r="C15974">
        <v>16085</v>
      </c>
      <c r="D15974" t="s">
        <v>330</v>
      </c>
      <c r="E15974" t="s">
        <v>331</v>
      </c>
      <c r="F15974">
        <v>559.76</v>
      </c>
      <c r="G15974">
        <v>231109</v>
      </c>
      <c r="H15974">
        <v>4600</v>
      </c>
      <c r="I15974" t="s">
        <v>105</v>
      </c>
      <c r="J15974">
        <v>694.1</v>
      </c>
      <c r="K15974">
        <v>134.34</v>
      </c>
      <c r="L15974">
        <v>46554</v>
      </c>
      <c r="M15974" t="s">
        <v>117</v>
      </c>
      <c r="N15974" t="str">
        <f>"CD487862    "</f>
        <v xml:space="preserve">CD487862    </v>
      </c>
      <c r="O15974">
        <v>231122</v>
      </c>
    </row>
    <row r="15975" spans="1:15" x14ac:dyDescent="0.25">
      <c r="A15975" t="s">
        <v>16</v>
      </c>
      <c r="B15975" t="s">
        <v>3221</v>
      </c>
      <c r="C15975">
        <v>16292</v>
      </c>
      <c r="D15975" t="s">
        <v>330</v>
      </c>
      <c r="E15975" t="s">
        <v>331</v>
      </c>
      <c r="F15975">
        <v>157.02000000000001</v>
      </c>
      <c r="G15975">
        <v>231117</v>
      </c>
      <c r="H15975">
        <v>4600</v>
      </c>
      <c r="I15975" t="s">
        <v>105</v>
      </c>
      <c r="J15975">
        <v>194.7</v>
      </c>
      <c r="K15975">
        <v>37.68</v>
      </c>
      <c r="L15975">
        <v>46554</v>
      </c>
      <c r="M15975" t="s">
        <v>117</v>
      </c>
      <c r="N15975" t="str">
        <f>"CD488013    "</f>
        <v xml:space="preserve">CD488013    </v>
      </c>
      <c r="O15975">
        <v>231127</v>
      </c>
    </row>
    <row r="15976" spans="1:15" x14ac:dyDescent="0.25">
      <c r="A15976" t="s">
        <v>16</v>
      </c>
      <c r="B15976" t="s">
        <v>3221</v>
      </c>
      <c r="C15976">
        <v>16841</v>
      </c>
      <c r="D15976" t="s">
        <v>330</v>
      </c>
      <c r="E15976" t="s">
        <v>331</v>
      </c>
      <c r="F15976">
        <v>342.34</v>
      </c>
      <c r="G15976">
        <v>231124</v>
      </c>
      <c r="H15976">
        <v>4600</v>
      </c>
      <c r="I15976" t="s">
        <v>105</v>
      </c>
      <c r="J15976">
        <v>424.5</v>
      </c>
      <c r="K15976">
        <v>82.16</v>
      </c>
      <c r="L15976">
        <v>46554</v>
      </c>
      <c r="M15976" t="s">
        <v>117</v>
      </c>
      <c r="N15976" t="str">
        <f>"CD488186    "</f>
        <v xml:space="preserve">CD488186    </v>
      </c>
      <c r="O15976">
        <v>231211</v>
      </c>
    </row>
    <row r="15977" spans="1:15" x14ac:dyDescent="0.25">
      <c r="A15977" t="s">
        <v>16</v>
      </c>
      <c r="B15977" t="s">
        <v>3221</v>
      </c>
      <c r="C15977">
        <v>19354</v>
      </c>
      <c r="D15977" t="s">
        <v>330</v>
      </c>
      <c r="E15977" t="s">
        <v>331</v>
      </c>
      <c r="F15977">
        <v>-834.6</v>
      </c>
      <c r="G15977">
        <v>240117</v>
      </c>
      <c r="H15977">
        <v>4600</v>
      </c>
      <c r="I15977" t="s">
        <v>105</v>
      </c>
      <c r="J15977">
        <v>-1034.9000000000001</v>
      </c>
      <c r="K15977">
        <v>-200.3</v>
      </c>
      <c r="L15977">
        <v>46554</v>
      </c>
      <c r="M15977" t="s">
        <v>117</v>
      </c>
      <c r="N15977" t="str">
        <f>"CR491843    "</f>
        <v xml:space="preserve">CR491843    </v>
      </c>
      <c r="O15977">
        <v>240118</v>
      </c>
    </row>
    <row r="15978" spans="1:15" x14ac:dyDescent="0.25">
      <c r="A15978" t="s">
        <v>16</v>
      </c>
      <c r="B15978" t="s">
        <v>3221</v>
      </c>
      <c r="C15978">
        <v>19355</v>
      </c>
      <c r="D15978" t="s">
        <v>330</v>
      </c>
      <c r="E15978" t="s">
        <v>331</v>
      </c>
      <c r="F15978">
        <v>1197.6600000000001</v>
      </c>
      <c r="G15978">
        <v>231031</v>
      </c>
      <c r="H15978">
        <v>4600</v>
      </c>
      <c r="I15978" t="s">
        <v>105</v>
      </c>
      <c r="J15978">
        <v>1485.1</v>
      </c>
      <c r="K15978">
        <v>287.44</v>
      </c>
      <c r="L15978">
        <v>46554</v>
      </c>
      <c r="M15978" t="s">
        <v>117</v>
      </c>
      <c r="N15978" t="str">
        <f>"CD487635    "</f>
        <v xml:space="preserve">CD487635    </v>
      </c>
      <c r="O15978">
        <v>240118</v>
      </c>
    </row>
    <row r="15979" spans="1:15" x14ac:dyDescent="0.25">
      <c r="A15979" t="s">
        <v>16</v>
      </c>
      <c r="B15979" t="s">
        <v>3221</v>
      </c>
      <c r="C15979">
        <v>7418</v>
      </c>
      <c r="D15979" t="s">
        <v>2089</v>
      </c>
      <c r="E15979" t="s">
        <v>2090</v>
      </c>
      <c r="F15979">
        <v>8.06</v>
      </c>
      <c r="G15979">
        <v>230517</v>
      </c>
      <c r="H15979">
        <v>4410</v>
      </c>
      <c r="I15979" t="s">
        <v>517</v>
      </c>
      <c r="J15979">
        <v>10</v>
      </c>
      <c r="K15979">
        <v>1.94</v>
      </c>
      <c r="L15979">
        <v>11602</v>
      </c>
      <c r="M15979" t="s">
        <v>714</v>
      </c>
      <c r="N15979" t="str">
        <f>"1230500014  "</f>
        <v xml:space="preserve">1230500014  </v>
      </c>
      <c r="O15979">
        <v>230530</v>
      </c>
    </row>
    <row r="15980" spans="1:15" x14ac:dyDescent="0.25">
      <c r="A15980" t="s">
        <v>16</v>
      </c>
      <c r="B15980" t="s">
        <v>3221</v>
      </c>
      <c r="C15980">
        <v>7418</v>
      </c>
      <c r="D15980" t="s">
        <v>2089</v>
      </c>
      <c r="E15980" t="s">
        <v>2090</v>
      </c>
      <c r="F15980">
        <v>162.81</v>
      </c>
      <c r="G15980">
        <v>230517</v>
      </c>
      <c r="H15980">
        <v>4410</v>
      </c>
      <c r="I15980" t="s">
        <v>517</v>
      </c>
      <c r="J15980">
        <v>185.6</v>
      </c>
      <c r="K15980">
        <v>22.79</v>
      </c>
      <c r="L15980">
        <v>11602</v>
      </c>
      <c r="M15980" t="s">
        <v>714</v>
      </c>
      <c r="N15980" t="str">
        <f>"1230500014  "</f>
        <v xml:space="preserve">1230500014  </v>
      </c>
      <c r="O15980">
        <v>230530</v>
      </c>
    </row>
    <row r="15981" spans="1:15" x14ac:dyDescent="0.25">
      <c r="A15981" t="s">
        <v>16</v>
      </c>
      <c r="B15981" t="s">
        <v>3221</v>
      </c>
      <c r="C15981">
        <v>18622</v>
      </c>
      <c r="D15981" t="s">
        <v>3148</v>
      </c>
      <c r="E15981" t="s">
        <v>3149</v>
      </c>
      <c r="F15981">
        <v>530.70000000000005</v>
      </c>
      <c r="G15981">
        <v>231218</v>
      </c>
      <c r="H15981">
        <v>4410</v>
      </c>
      <c r="I15981" t="s">
        <v>517</v>
      </c>
      <c r="J15981">
        <v>605</v>
      </c>
      <c r="K15981">
        <v>74.3</v>
      </c>
      <c r="L15981">
        <v>11605</v>
      </c>
      <c r="M15981" t="s">
        <v>106</v>
      </c>
      <c r="N15981" t="str">
        <f>"7617        "</f>
        <v xml:space="preserve">7617        </v>
      </c>
      <c r="O15981">
        <v>240104</v>
      </c>
    </row>
    <row r="15982" spans="1:15" x14ac:dyDescent="0.25">
      <c r="A15982" t="s">
        <v>16</v>
      </c>
      <c r="B15982" t="s">
        <v>3221</v>
      </c>
      <c r="C15982">
        <v>18622</v>
      </c>
      <c r="D15982" t="s">
        <v>3148</v>
      </c>
      <c r="E15982" t="s">
        <v>3149</v>
      </c>
      <c r="F15982">
        <v>4.03</v>
      </c>
      <c r="G15982">
        <v>231218</v>
      </c>
      <c r="H15982">
        <v>4347</v>
      </c>
      <c r="I15982" t="s">
        <v>193</v>
      </c>
      <c r="J15982">
        <v>5</v>
      </c>
      <c r="K15982">
        <v>0.97</v>
      </c>
      <c r="L15982">
        <v>11605</v>
      </c>
      <c r="M15982" t="s">
        <v>106</v>
      </c>
      <c r="N15982" t="str">
        <f>"7617        "</f>
        <v xml:space="preserve">7617        </v>
      </c>
      <c r="O15982">
        <v>240104</v>
      </c>
    </row>
    <row r="15983" spans="1:15" x14ac:dyDescent="0.25">
      <c r="A15983" t="s">
        <v>16</v>
      </c>
      <c r="B15983" t="s">
        <v>3221</v>
      </c>
      <c r="C15983">
        <v>14617</v>
      </c>
      <c r="D15983" t="s">
        <v>3688</v>
      </c>
      <c r="E15983" t="s">
        <v>2783</v>
      </c>
      <c r="F15983">
        <v>48.25</v>
      </c>
      <c r="G15983">
        <v>231027</v>
      </c>
      <c r="H15983">
        <v>4410</v>
      </c>
      <c r="I15983" t="s">
        <v>517</v>
      </c>
      <c r="J15983">
        <v>55</v>
      </c>
      <c r="K15983">
        <v>6.75</v>
      </c>
      <c r="L15983">
        <v>11605</v>
      </c>
      <c r="M15983" t="s">
        <v>106</v>
      </c>
      <c r="N15983" t="str">
        <f>"1301        "</f>
        <v xml:space="preserve">1301        </v>
      </c>
      <c r="O15983">
        <v>231030</v>
      </c>
    </row>
    <row r="15984" spans="1:15" x14ac:dyDescent="0.25">
      <c r="A15984" t="s">
        <v>16</v>
      </c>
      <c r="B15984" t="s">
        <v>3221</v>
      </c>
      <c r="C15984">
        <v>14617</v>
      </c>
      <c r="D15984" t="s">
        <v>3688</v>
      </c>
      <c r="E15984" t="s">
        <v>2783</v>
      </c>
      <c r="F15984">
        <v>2026.32</v>
      </c>
      <c r="G15984">
        <v>231027</v>
      </c>
      <c r="H15984">
        <v>4410</v>
      </c>
      <c r="I15984" t="s">
        <v>517</v>
      </c>
      <c r="J15984">
        <v>2310</v>
      </c>
      <c r="K15984">
        <v>283.68</v>
      </c>
      <c r="L15984">
        <v>11605</v>
      </c>
      <c r="M15984" t="s">
        <v>106</v>
      </c>
      <c r="N15984" t="str">
        <f>"1301        "</f>
        <v xml:space="preserve">1301        </v>
      </c>
      <c r="O15984">
        <v>231030</v>
      </c>
    </row>
    <row r="15985" spans="1:15" x14ac:dyDescent="0.25">
      <c r="A15985" t="s">
        <v>16</v>
      </c>
      <c r="B15985" t="s">
        <v>3221</v>
      </c>
      <c r="C15985">
        <v>640</v>
      </c>
      <c r="D15985" t="s">
        <v>657</v>
      </c>
      <c r="E15985" t="s">
        <v>658</v>
      </c>
      <c r="F15985">
        <v>2.4300000000000002</v>
      </c>
      <c r="G15985">
        <v>230123</v>
      </c>
      <c r="H15985">
        <v>4412</v>
      </c>
      <c r="I15985" t="s">
        <v>149</v>
      </c>
      <c r="J15985">
        <v>3.01</v>
      </c>
      <c r="K15985">
        <v>0.57999999999999996</v>
      </c>
      <c r="L15985">
        <v>49702</v>
      </c>
      <c r="M15985" t="s">
        <v>584</v>
      </c>
      <c r="N15985" t="str">
        <f>"2291        "</f>
        <v xml:space="preserve">2291        </v>
      </c>
      <c r="O15985">
        <v>230126</v>
      </c>
    </row>
    <row r="15986" spans="1:15" x14ac:dyDescent="0.25">
      <c r="A15986" t="s">
        <v>16</v>
      </c>
      <c r="B15986" t="s">
        <v>3221</v>
      </c>
      <c r="C15986">
        <v>640</v>
      </c>
      <c r="D15986" t="s">
        <v>657</v>
      </c>
      <c r="E15986" t="s">
        <v>658</v>
      </c>
      <c r="F15986">
        <v>122.81</v>
      </c>
      <c r="G15986">
        <v>230123</v>
      </c>
      <c r="H15986">
        <v>4412</v>
      </c>
      <c r="I15986" t="s">
        <v>149</v>
      </c>
      <c r="J15986">
        <v>140</v>
      </c>
      <c r="K15986">
        <v>17.190000000000001</v>
      </c>
      <c r="L15986">
        <v>49702</v>
      </c>
      <c r="M15986" t="s">
        <v>584</v>
      </c>
      <c r="N15986" t="str">
        <f>"2291        "</f>
        <v xml:space="preserve">2291        </v>
      </c>
      <c r="O15986">
        <v>230126</v>
      </c>
    </row>
    <row r="15987" spans="1:15" x14ac:dyDescent="0.25">
      <c r="A15987" t="s">
        <v>16</v>
      </c>
      <c r="B15987" t="s">
        <v>3221</v>
      </c>
      <c r="C15987">
        <v>15506</v>
      </c>
      <c r="D15987" t="s">
        <v>2874</v>
      </c>
      <c r="E15987" t="s">
        <v>2875</v>
      </c>
      <c r="F15987">
        <v>8460</v>
      </c>
      <c r="G15987">
        <v>231107</v>
      </c>
      <c r="H15987">
        <v>1196</v>
      </c>
      <c r="I15987" t="s">
        <v>392</v>
      </c>
      <c r="J15987">
        <v>10490.4</v>
      </c>
      <c r="K15987">
        <v>2030.4</v>
      </c>
      <c r="L15987">
        <v>97701</v>
      </c>
      <c r="M15987" t="s">
        <v>869</v>
      </c>
      <c r="N15987" t="str">
        <f>"536391      "</f>
        <v xml:space="preserve">536391      </v>
      </c>
      <c r="O15987">
        <v>231113</v>
      </c>
    </row>
    <row r="15988" spans="1:15" x14ac:dyDescent="0.25">
      <c r="A15988" t="s">
        <v>16</v>
      </c>
      <c r="B15988" t="s">
        <v>3221</v>
      </c>
      <c r="C15988">
        <v>19320</v>
      </c>
      <c r="D15988" t="s">
        <v>2874</v>
      </c>
      <c r="E15988" t="s">
        <v>2875</v>
      </c>
      <c r="F15988">
        <v>2416.6999999999998</v>
      </c>
      <c r="G15988">
        <v>240101</v>
      </c>
      <c r="H15988">
        <v>1196</v>
      </c>
      <c r="I15988" t="s">
        <v>392</v>
      </c>
      <c r="J15988">
        <v>2996.71</v>
      </c>
      <c r="K15988">
        <v>580.01</v>
      </c>
      <c r="L15988">
        <v>97701</v>
      </c>
      <c r="M15988" t="s">
        <v>869</v>
      </c>
      <c r="N15988" t="str">
        <f>"537535      "</f>
        <v xml:space="preserve">537535      </v>
      </c>
      <c r="O15988">
        <v>240117</v>
      </c>
    </row>
    <row r="15989" spans="1:15" x14ac:dyDescent="0.25">
      <c r="A15989" t="s">
        <v>16</v>
      </c>
      <c r="B15989" t="s">
        <v>3221</v>
      </c>
      <c r="C15989">
        <v>19321</v>
      </c>
      <c r="D15989" t="s">
        <v>2874</v>
      </c>
      <c r="E15989" t="s">
        <v>2875</v>
      </c>
      <c r="F15989">
        <v>24782.5</v>
      </c>
      <c r="G15989">
        <v>240101</v>
      </c>
      <c r="H15989">
        <v>1196</v>
      </c>
      <c r="I15989" t="s">
        <v>392</v>
      </c>
      <c r="J15989">
        <v>30730.3</v>
      </c>
      <c r="K15989">
        <v>5947.8</v>
      </c>
      <c r="L15989">
        <v>97701</v>
      </c>
      <c r="M15989" t="s">
        <v>869</v>
      </c>
      <c r="N15989" t="str">
        <f>"537534      "</f>
        <v xml:space="preserve">537534      </v>
      </c>
      <c r="O15989">
        <v>240117</v>
      </c>
    </row>
    <row r="15990" spans="1:15" x14ac:dyDescent="0.25">
      <c r="A15990" t="s">
        <v>16</v>
      </c>
      <c r="B15990" t="s">
        <v>3221</v>
      </c>
      <c r="C15990">
        <v>43</v>
      </c>
      <c r="D15990" t="s">
        <v>26</v>
      </c>
      <c r="E15990" t="s">
        <v>27</v>
      </c>
      <c r="F15990">
        <v>1695</v>
      </c>
      <c r="G15990">
        <v>221213</v>
      </c>
      <c r="H15990">
        <v>4860</v>
      </c>
      <c r="I15990" t="s">
        <v>28</v>
      </c>
      <c r="J15990">
        <v>2101.8000000000002</v>
      </c>
      <c r="K15990">
        <v>406.8</v>
      </c>
      <c r="L15990">
        <v>11301</v>
      </c>
      <c r="M15990" t="s">
        <v>29</v>
      </c>
      <c r="N15990" t="str">
        <f>"2119        "</f>
        <v xml:space="preserve">2119        </v>
      </c>
      <c r="O15990">
        <v>230103</v>
      </c>
    </row>
    <row r="15991" spans="1:15" x14ac:dyDescent="0.25">
      <c r="A15991" t="s">
        <v>16</v>
      </c>
      <c r="B15991" t="s">
        <v>3221</v>
      </c>
      <c r="C15991">
        <v>4178</v>
      </c>
      <c r="D15991" t="s">
        <v>26</v>
      </c>
      <c r="E15991" t="s">
        <v>27</v>
      </c>
      <c r="F15991">
        <v>1695</v>
      </c>
      <c r="G15991">
        <v>230330</v>
      </c>
      <c r="H15991">
        <v>4860</v>
      </c>
      <c r="I15991" t="s">
        <v>28</v>
      </c>
      <c r="J15991">
        <v>2101.8000000000002</v>
      </c>
      <c r="K15991">
        <v>406.8</v>
      </c>
      <c r="L15991">
        <v>11301</v>
      </c>
      <c r="M15991" t="s">
        <v>29</v>
      </c>
      <c r="N15991" t="str">
        <f>"2145        "</f>
        <v xml:space="preserve">2145        </v>
      </c>
      <c r="O15991">
        <v>230331</v>
      </c>
    </row>
    <row r="15992" spans="1:15" x14ac:dyDescent="0.25">
      <c r="A15992" t="s">
        <v>16</v>
      </c>
      <c r="B15992" t="s">
        <v>3221</v>
      </c>
      <c r="C15992">
        <v>14510</v>
      </c>
      <c r="D15992" t="s">
        <v>26</v>
      </c>
      <c r="E15992" t="s">
        <v>27</v>
      </c>
      <c r="F15992">
        <v>1695</v>
      </c>
      <c r="G15992">
        <v>231029</v>
      </c>
      <c r="H15992">
        <v>4860</v>
      </c>
      <c r="I15992" t="s">
        <v>28</v>
      </c>
      <c r="J15992">
        <v>2101.8000000000002</v>
      </c>
      <c r="K15992">
        <v>406.8</v>
      </c>
      <c r="L15992">
        <v>11301</v>
      </c>
      <c r="M15992" t="s">
        <v>29</v>
      </c>
      <c r="N15992" t="str">
        <f>"2170        "</f>
        <v xml:space="preserve">2170        </v>
      </c>
      <c r="O15992">
        <v>231030</v>
      </c>
    </row>
    <row r="15993" spans="1:15" x14ac:dyDescent="0.25">
      <c r="A15993" t="s">
        <v>16</v>
      </c>
      <c r="B15993" t="s">
        <v>3221</v>
      </c>
      <c r="C15993">
        <v>10322</v>
      </c>
      <c r="D15993" t="s">
        <v>1859</v>
      </c>
      <c r="E15993" t="s">
        <v>1860</v>
      </c>
      <c r="F15993">
        <v>10000</v>
      </c>
      <c r="G15993">
        <v>230803</v>
      </c>
      <c r="H15993">
        <v>1197</v>
      </c>
      <c r="I15993" t="s">
        <v>868</v>
      </c>
      <c r="J15993">
        <v>10000</v>
      </c>
      <c r="K15993">
        <v>0</v>
      </c>
      <c r="L15993">
        <v>97701</v>
      </c>
      <c r="M15993" t="s">
        <v>869</v>
      </c>
      <c r="N15993" t="str">
        <f>"2111        "</f>
        <v xml:space="preserve">2111        </v>
      </c>
      <c r="O15993">
        <v>230814</v>
      </c>
    </row>
    <row r="15994" spans="1:15" x14ac:dyDescent="0.25">
      <c r="A15994" t="s">
        <v>16</v>
      </c>
      <c r="B15994" t="s">
        <v>3221</v>
      </c>
      <c r="C15994">
        <v>10891</v>
      </c>
      <c r="D15994" t="s">
        <v>1859</v>
      </c>
      <c r="E15994" t="s">
        <v>1860</v>
      </c>
      <c r="F15994">
        <v>10000</v>
      </c>
      <c r="G15994">
        <v>230822</v>
      </c>
      <c r="H15994">
        <v>1197</v>
      </c>
      <c r="I15994" t="s">
        <v>868</v>
      </c>
      <c r="J15994">
        <v>10000</v>
      </c>
      <c r="K15994">
        <v>0</v>
      </c>
      <c r="L15994">
        <v>97701</v>
      </c>
      <c r="M15994" t="s">
        <v>869</v>
      </c>
      <c r="N15994" t="str">
        <f>"2134        "</f>
        <v xml:space="preserve">2134        </v>
      </c>
      <c r="O15994">
        <v>230824</v>
      </c>
    </row>
    <row r="15995" spans="1:15" x14ac:dyDescent="0.25">
      <c r="A15995" t="s">
        <v>16</v>
      </c>
      <c r="B15995" t="s">
        <v>3221</v>
      </c>
      <c r="C15995">
        <v>14471</v>
      </c>
      <c r="D15995" t="s">
        <v>1859</v>
      </c>
      <c r="E15995" t="s">
        <v>1860</v>
      </c>
      <c r="F15995">
        <v>10000</v>
      </c>
      <c r="G15995">
        <v>231017</v>
      </c>
      <c r="H15995">
        <v>1197</v>
      </c>
      <c r="I15995" t="s">
        <v>868</v>
      </c>
      <c r="J15995">
        <v>10000</v>
      </c>
      <c r="K15995">
        <v>0</v>
      </c>
      <c r="L15995">
        <v>97701</v>
      </c>
      <c r="M15995" t="s">
        <v>869</v>
      </c>
      <c r="N15995" t="str">
        <f>"2202        "</f>
        <v xml:space="preserve">2202        </v>
      </c>
      <c r="O15995">
        <v>231030</v>
      </c>
    </row>
    <row r="15996" spans="1:15" x14ac:dyDescent="0.25">
      <c r="A15996" t="s">
        <v>16</v>
      </c>
      <c r="B15996" t="s">
        <v>3221</v>
      </c>
      <c r="C15996">
        <v>5578</v>
      </c>
      <c r="D15996" t="s">
        <v>1859</v>
      </c>
      <c r="E15996" t="s">
        <v>1860</v>
      </c>
      <c r="F15996">
        <v>22100</v>
      </c>
      <c r="G15996">
        <v>230421</v>
      </c>
      <c r="H15996">
        <v>1196</v>
      </c>
      <c r="I15996" t="s">
        <v>392</v>
      </c>
      <c r="J15996">
        <v>22100</v>
      </c>
      <c r="K15996">
        <v>0</v>
      </c>
      <c r="L15996">
        <v>97701</v>
      </c>
      <c r="M15996" t="s">
        <v>869</v>
      </c>
      <c r="N15996" t="str">
        <f>"2001        "</f>
        <v xml:space="preserve">2001        </v>
      </c>
      <c r="O15996">
        <v>230427</v>
      </c>
    </row>
    <row r="15997" spans="1:15" x14ac:dyDescent="0.25">
      <c r="A15997" t="s">
        <v>16</v>
      </c>
      <c r="B15997" t="s">
        <v>3221</v>
      </c>
      <c r="C15997">
        <v>5644</v>
      </c>
      <c r="D15997" t="s">
        <v>1859</v>
      </c>
      <c r="E15997" t="s">
        <v>1860</v>
      </c>
      <c r="F15997">
        <v>10000</v>
      </c>
      <c r="G15997">
        <v>230424</v>
      </c>
      <c r="H15997">
        <v>1196</v>
      </c>
      <c r="I15997" t="s">
        <v>392</v>
      </c>
      <c r="J15997">
        <v>10000</v>
      </c>
      <c r="K15997">
        <v>0</v>
      </c>
      <c r="L15997">
        <v>97701</v>
      </c>
      <c r="M15997" t="s">
        <v>869</v>
      </c>
      <c r="N15997" t="str">
        <f>"2003        "</f>
        <v xml:space="preserve">2003        </v>
      </c>
      <c r="O15997">
        <v>230428</v>
      </c>
    </row>
    <row r="15998" spans="1:15" x14ac:dyDescent="0.25">
      <c r="A15998" t="s">
        <v>16</v>
      </c>
      <c r="B15998" t="s">
        <v>3221</v>
      </c>
      <c r="C15998">
        <v>6731</v>
      </c>
      <c r="D15998" t="s">
        <v>1859</v>
      </c>
      <c r="E15998" t="s">
        <v>1860</v>
      </c>
      <c r="F15998">
        <v>10000</v>
      </c>
      <c r="G15998">
        <v>230502</v>
      </c>
      <c r="H15998">
        <v>1196</v>
      </c>
      <c r="I15998" t="s">
        <v>392</v>
      </c>
      <c r="J15998">
        <v>10000</v>
      </c>
      <c r="K15998">
        <v>0</v>
      </c>
      <c r="L15998">
        <v>97701</v>
      </c>
      <c r="M15998" t="s">
        <v>869</v>
      </c>
      <c r="N15998" t="str">
        <f>"2006        "</f>
        <v xml:space="preserve">2006        </v>
      </c>
      <c r="O15998">
        <v>230522</v>
      </c>
    </row>
    <row r="15999" spans="1:15" x14ac:dyDescent="0.25">
      <c r="A15999" t="s">
        <v>16</v>
      </c>
      <c r="B15999" t="s">
        <v>3221</v>
      </c>
      <c r="C15999">
        <v>6845</v>
      </c>
      <c r="D15999" t="s">
        <v>1859</v>
      </c>
      <c r="E15999" t="s">
        <v>1860</v>
      </c>
      <c r="F15999">
        <v>10000</v>
      </c>
      <c r="G15999">
        <v>230509</v>
      </c>
      <c r="H15999">
        <v>1196</v>
      </c>
      <c r="I15999" t="s">
        <v>392</v>
      </c>
      <c r="J15999">
        <v>10000</v>
      </c>
      <c r="K15999">
        <v>0</v>
      </c>
      <c r="L15999">
        <v>97701</v>
      </c>
      <c r="M15999" t="s">
        <v>869</v>
      </c>
      <c r="N15999" t="str">
        <f>"2015        "</f>
        <v xml:space="preserve">2015        </v>
      </c>
      <c r="O15999">
        <v>230522</v>
      </c>
    </row>
    <row r="16000" spans="1:15" x14ac:dyDescent="0.25">
      <c r="A16000" t="s">
        <v>16</v>
      </c>
      <c r="B16000" t="s">
        <v>3221</v>
      </c>
      <c r="C16000">
        <v>7588</v>
      </c>
      <c r="D16000" t="s">
        <v>1859</v>
      </c>
      <c r="E16000" t="s">
        <v>1860</v>
      </c>
      <c r="F16000">
        <v>10000</v>
      </c>
      <c r="G16000">
        <v>230531</v>
      </c>
      <c r="H16000">
        <v>1196</v>
      </c>
      <c r="I16000" t="s">
        <v>392</v>
      </c>
      <c r="J16000">
        <v>10000</v>
      </c>
      <c r="K16000">
        <v>0</v>
      </c>
      <c r="L16000">
        <v>97701</v>
      </c>
      <c r="M16000" t="s">
        <v>869</v>
      </c>
      <c r="N16000" t="str">
        <f>"2034        "</f>
        <v xml:space="preserve">2034        </v>
      </c>
      <c r="O16000">
        <v>230601</v>
      </c>
    </row>
    <row r="16001" spans="1:15" x14ac:dyDescent="0.25">
      <c r="A16001" t="s">
        <v>16</v>
      </c>
      <c r="B16001" t="s">
        <v>3221</v>
      </c>
      <c r="C16001">
        <v>8605</v>
      </c>
      <c r="D16001" t="s">
        <v>1859</v>
      </c>
      <c r="E16001" t="s">
        <v>1860</v>
      </c>
      <c r="F16001">
        <v>10000</v>
      </c>
      <c r="G16001">
        <v>230609</v>
      </c>
      <c r="H16001">
        <v>1196</v>
      </c>
      <c r="I16001" t="s">
        <v>392</v>
      </c>
      <c r="J16001">
        <v>10000</v>
      </c>
      <c r="K16001">
        <v>0</v>
      </c>
      <c r="L16001">
        <v>97701</v>
      </c>
      <c r="M16001" t="s">
        <v>869</v>
      </c>
      <c r="N16001" t="str">
        <f>"2044        "</f>
        <v xml:space="preserve">2044        </v>
      </c>
      <c r="O16001">
        <v>230612</v>
      </c>
    </row>
    <row r="16002" spans="1:15" x14ac:dyDescent="0.25">
      <c r="A16002" t="s">
        <v>16</v>
      </c>
      <c r="B16002" t="s">
        <v>3221</v>
      </c>
      <c r="C16002">
        <v>8739</v>
      </c>
      <c r="D16002" t="s">
        <v>1859</v>
      </c>
      <c r="E16002" t="s">
        <v>1860</v>
      </c>
      <c r="F16002">
        <v>10000</v>
      </c>
      <c r="G16002">
        <v>230602</v>
      </c>
      <c r="H16002">
        <v>1196</v>
      </c>
      <c r="I16002" t="s">
        <v>392</v>
      </c>
      <c r="J16002">
        <v>10000</v>
      </c>
      <c r="K16002">
        <v>0</v>
      </c>
      <c r="L16002">
        <v>97701</v>
      </c>
      <c r="M16002" t="s">
        <v>869</v>
      </c>
      <c r="N16002" t="str">
        <f>"2038        "</f>
        <v xml:space="preserve">2038        </v>
      </c>
      <c r="O16002">
        <v>230613</v>
      </c>
    </row>
    <row r="16003" spans="1:15" x14ac:dyDescent="0.25">
      <c r="A16003" t="s">
        <v>16</v>
      </c>
      <c r="B16003" t="s">
        <v>3221</v>
      </c>
      <c r="C16003">
        <v>8740</v>
      </c>
      <c r="D16003" t="s">
        <v>1859</v>
      </c>
      <c r="E16003" t="s">
        <v>1860</v>
      </c>
      <c r="F16003">
        <v>10000</v>
      </c>
      <c r="G16003">
        <v>230606</v>
      </c>
      <c r="H16003">
        <v>1196</v>
      </c>
      <c r="I16003" t="s">
        <v>392</v>
      </c>
      <c r="J16003">
        <v>10000</v>
      </c>
      <c r="K16003">
        <v>0</v>
      </c>
      <c r="L16003">
        <v>97701</v>
      </c>
      <c r="M16003" t="s">
        <v>869</v>
      </c>
      <c r="N16003" t="str">
        <f>"2041        "</f>
        <v xml:space="preserve">2041        </v>
      </c>
      <c r="O16003">
        <v>230613</v>
      </c>
    </row>
    <row r="16004" spans="1:15" x14ac:dyDescent="0.25">
      <c r="A16004" t="s">
        <v>16</v>
      </c>
      <c r="B16004" t="s">
        <v>3221</v>
      </c>
      <c r="C16004">
        <v>8871</v>
      </c>
      <c r="D16004" t="s">
        <v>1859</v>
      </c>
      <c r="E16004" t="s">
        <v>1860</v>
      </c>
      <c r="F16004">
        <v>50000</v>
      </c>
      <c r="G16004">
        <v>230613</v>
      </c>
      <c r="H16004">
        <v>1196</v>
      </c>
      <c r="I16004" t="s">
        <v>392</v>
      </c>
      <c r="J16004">
        <v>50000</v>
      </c>
      <c r="K16004">
        <v>0</v>
      </c>
      <c r="L16004">
        <v>97701</v>
      </c>
      <c r="M16004" t="s">
        <v>869</v>
      </c>
      <c r="N16004" t="str">
        <f>"2050        "</f>
        <v xml:space="preserve">2050        </v>
      </c>
      <c r="O16004">
        <v>230619</v>
      </c>
    </row>
    <row r="16005" spans="1:15" x14ac:dyDescent="0.25">
      <c r="A16005" t="s">
        <v>16</v>
      </c>
      <c r="B16005" t="s">
        <v>3221</v>
      </c>
      <c r="C16005">
        <v>8989</v>
      </c>
      <c r="D16005" t="s">
        <v>1859</v>
      </c>
      <c r="E16005" t="s">
        <v>1860</v>
      </c>
      <c r="F16005">
        <v>10000</v>
      </c>
      <c r="G16005">
        <v>230615</v>
      </c>
      <c r="H16005">
        <v>1196</v>
      </c>
      <c r="I16005" t="s">
        <v>392</v>
      </c>
      <c r="J16005">
        <v>10000</v>
      </c>
      <c r="K16005">
        <v>0</v>
      </c>
      <c r="L16005">
        <v>97701</v>
      </c>
      <c r="M16005" t="s">
        <v>869</v>
      </c>
      <c r="N16005" t="str">
        <f>"2052        "</f>
        <v xml:space="preserve">2052        </v>
      </c>
      <c r="O16005">
        <v>230620</v>
      </c>
    </row>
    <row r="16006" spans="1:15" x14ac:dyDescent="0.25">
      <c r="A16006" t="s">
        <v>16</v>
      </c>
      <c r="B16006" t="s">
        <v>3221</v>
      </c>
      <c r="C16006">
        <v>9266</v>
      </c>
      <c r="D16006" t="s">
        <v>1859</v>
      </c>
      <c r="E16006" t="s">
        <v>1860</v>
      </c>
      <c r="F16006">
        <v>30000</v>
      </c>
      <c r="G16006">
        <v>230620</v>
      </c>
      <c r="H16006">
        <v>1196</v>
      </c>
      <c r="I16006" t="s">
        <v>392</v>
      </c>
      <c r="J16006">
        <v>30000</v>
      </c>
      <c r="K16006">
        <v>0</v>
      </c>
      <c r="L16006">
        <v>97701</v>
      </c>
      <c r="M16006" t="s">
        <v>869</v>
      </c>
      <c r="N16006" t="str">
        <f>"2057        "</f>
        <v xml:space="preserve">2057        </v>
      </c>
      <c r="O16006">
        <v>230703</v>
      </c>
    </row>
    <row r="16007" spans="1:15" x14ac:dyDescent="0.25">
      <c r="A16007" t="s">
        <v>16</v>
      </c>
      <c r="B16007" t="s">
        <v>3221</v>
      </c>
      <c r="C16007">
        <v>9277</v>
      </c>
      <c r="D16007" t="s">
        <v>1859</v>
      </c>
      <c r="E16007" t="s">
        <v>1860</v>
      </c>
      <c r="F16007">
        <v>20000</v>
      </c>
      <c r="G16007">
        <v>230627</v>
      </c>
      <c r="H16007">
        <v>1196</v>
      </c>
      <c r="I16007" t="s">
        <v>392</v>
      </c>
      <c r="J16007">
        <v>20000</v>
      </c>
      <c r="K16007">
        <v>0</v>
      </c>
      <c r="L16007">
        <v>97701</v>
      </c>
      <c r="M16007" t="s">
        <v>869</v>
      </c>
      <c r="N16007" t="str">
        <f>"2068        "</f>
        <v xml:space="preserve">2068        </v>
      </c>
      <c r="O16007">
        <v>230703</v>
      </c>
    </row>
    <row r="16008" spans="1:15" x14ac:dyDescent="0.25">
      <c r="A16008" t="s">
        <v>16</v>
      </c>
      <c r="B16008" t="s">
        <v>3221</v>
      </c>
      <c r="C16008">
        <v>9520</v>
      </c>
      <c r="D16008" t="s">
        <v>1859</v>
      </c>
      <c r="E16008" t="s">
        <v>1860</v>
      </c>
      <c r="F16008">
        <v>20000</v>
      </c>
      <c r="G16008">
        <v>230704</v>
      </c>
      <c r="H16008">
        <v>1196</v>
      </c>
      <c r="I16008" t="s">
        <v>392</v>
      </c>
      <c r="J16008">
        <v>20000</v>
      </c>
      <c r="K16008">
        <v>0</v>
      </c>
      <c r="L16008">
        <v>97701</v>
      </c>
      <c r="M16008" t="s">
        <v>869</v>
      </c>
      <c r="N16008" t="str">
        <f>"2071        "</f>
        <v xml:space="preserve">2071        </v>
      </c>
      <c r="O16008">
        <v>230713</v>
      </c>
    </row>
    <row r="16009" spans="1:15" x14ac:dyDescent="0.25">
      <c r="A16009" t="s">
        <v>16</v>
      </c>
      <c r="B16009" t="s">
        <v>3221</v>
      </c>
      <c r="C16009">
        <v>10322</v>
      </c>
      <c r="D16009" t="s">
        <v>1859</v>
      </c>
      <c r="E16009" t="s">
        <v>1860</v>
      </c>
      <c r="F16009">
        <v>10000</v>
      </c>
      <c r="G16009">
        <v>230803</v>
      </c>
      <c r="H16009">
        <v>1196</v>
      </c>
      <c r="I16009" t="s">
        <v>392</v>
      </c>
      <c r="J16009">
        <v>10000</v>
      </c>
      <c r="K16009">
        <v>0</v>
      </c>
      <c r="L16009">
        <v>97701</v>
      </c>
      <c r="M16009" t="s">
        <v>869</v>
      </c>
      <c r="N16009" t="str">
        <f>"2111        "</f>
        <v xml:space="preserve">2111        </v>
      </c>
      <c r="O16009">
        <v>230814</v>
      </c>
    </row>
    <row r="16010" spans="1:15" x14ac:dyDescent="0.25">
      <c r="A16010" t="s">
        <v>16</v>
      </c>
      <c r="B16010" t="s">
        <v>3221</v>
      </c>
      <c r="C16010">
        <v>11109</v>
      </c>
      <c r="D16010" t="s">
        <v>1859</v>
      </c>
      <c r="E16010" t="s">
        <v>1860</v>
      </c>
      <c r="F16010">
        <v>10000</v>
      </c>
      <c r="G16010">
        <v>230829</v>
      </c>
      <c r="H16010">
        <v>1196</v>
      </c>
      <c r="I16010" t="s">
        <v>392</v>
      </c>
      <c r="J16010">
        <v>10000</v>
      </c>
      <c r="K16010">
        <v>0</v>
      </c>
      <c r="L16010">
        <v>97701</v>
      </c>
      <c r="M16010" t="s">
        <v>869</v>
      </c>
      <c r="N16010" t="str">
        <f>"2144        "</f>
        <v xml:space="preserve">2144        </v>
      </c>
      <c r="O16010">
        <v>230830</v>
      </c>
    </row>
    <row r="16011" spans="1:15" x14ac:dyDescent="0.25">
      <c r="A16011" t="s">
        <v>16</v>
      </c>
      <c r="B16011" t="s">
        <v>3221</v>
      </c>
      <c r="C16011">
        <v>11626</v>
      </c>
      <c r="D16011" t="s">
        <v>1859</v>
      </c>
      <c r="E16011" t="s">
        <v>1860</v>
      </c>
      <c r="F16011">
        <v>92774.73</v>
      </c>
      <c r="G16011">
        <v>230901</v>
      </c>
      <c r="H16011">
        <v>1196</v>
      </c>
      <c r="I16011" t="s">
        <v>392</v>
      </c>
      <c r="J16011">
        <v>92774.73</v>
      </c>
      <c r="K16011">
        <v>0</v>
      </c>
      <c r="L16011">
        <v>97701</v>
      </c>
      <c r="M16011" t="s">
        <v>869</v>
      </c>
      <c r="N16011" t="str">
        <f>"2151        "</f>
        <v xml:space="preserve">2151        </v>
      </c>
      <c r="O16011">
        <v>230907</v>
      </c>
    </row>
    <row r="16012" spans="1:15" x14ac:dyDescent="0.25">
      <c r="A16012" t="s">
        <v>16</v>
      </c>
      <c r="B16012" t="s">
        <v>3221</v>
      </c>
      <c r="C16012">
        <v>11744</v>
      </c>
      <c r="D16012" t="s">
        <v>1859</v>
      </c>
      <c r="E16012" t="s">
        <v>1860</v>
      </c>
      <c r="F16012">
        <v>30000</v>
      </c>
      <c r="G16012">
        <v>230905</v>
      </c>
      <c r="H16012">
        <v>1196</v>
      </c>
      <c r="I16012" t="s">
        <v>392</v>
      </c>
      <c r="J16012">
        <v>30000</v>
      </c>
      <c r="K16012">
        <v>0</v>
      </c>
      <c r="L16012">
        <v>97701</v>
      </c>
      <c r="M16012" t="s">
        <v>869</v>
      </c>
      <c r="N16012" t="str">
        <f>"2153        "</f>
        <v xml:space="preserve">2153        </v>
      </c>
      <c r="O16012">
        <v>230908</v>
      </c>
    </row>
    <row r="16013" spans="1:15" x14ac:dyDescent="0.25">
      <c r="A16013" t="s">
        <v>16</v>
      </c>
      <c r="B16013" t="s">
        <v>3221</v>
      </c>
      <c r="C16013">
        <v>11745</v>
      </c>
      <c r="D16013" t="s">
        <v>1859</v>
      </c>
      <c r="E16013" t="s">
        <v>1860</v>
      </c>
      <c r="F16013">
        <v>20000</v>
      </c>
      <c r="G16013">
        <v>230907</v>
      </c>
      <c r="H16013">
        <v>1196</v>
      </c>
      <c r="I16013" t="s">
        <v>392</v>
      </c>
      <c r="J16013">
        <v>20000</v>
      </c>
      <c r="K16013">
        <v>0</v>
      </c>
      <c r="L16013">
        <v>97701</v>
      </c>
      <c r="M16013" t="s">
        <v>869</v>
      </c>
      <c r="N16013" t="str">
        <f>"2159        "</f>
        <v xml:space="preserve">2159        </v>
      </c>
      <c r="O16013">
        <v>230908</v>
      </c>
    </row>
    <row r="16014" spans="1:15" x14ac:dyDescent="0.25">
      <c r="A16014" t="s">
        <v>16</v>
      </c>
      <c r="B16014" t="s">
        <v>3221</v>
      </c>
      <c r="C16014">
        <v>12463</v>
      </c>
      <c r="D16014" t="s">
        <v>1859</v>
      </c>
      <c r="E16014" t="s">
        <v>1860</v>
      </c>
      <c r="F16014">
        <v>10000</v>
      </c>
      <c r="G16014">
        <v>230912</v>
      </c>
      <c r="H16014">
        <v>1196</v>
      </c>
      <c r="I16014" t="s">
        <v>392</v>
      </c>
      <c r="J16014">
        <v>10000</v>
      </c>
      <c r="K16014">
        <v>0</v>
      </c>
      <c r="L16014">
        <v>97701</v>
      </c>
      <c r="M16014" t="s">
        <v>869</v>
      </c>
      <c r="N16014" t="str">
        <f>"2162        "</f>
        <v xml:space="preserve">2162        </v>
      </c>
      <c r="O16014">
        <v>230920</v>
      </c>
    </row>
    <row r="16015" spans="1:15" x14ac:dyDescent="0.25">
      <c r="A16015" t="s">
        <v>16</v>
      </c>
      <c r="B16015" t="s">
        <v>3221</v>
      </c>
      <c r="C16015">
        <v>12509</v>
      </c>
      <c r="D16015" t="s">
        <v>1859</v>
      </c>
      <c r="E16015" t="s">
        <v>1860</v>
      </c>
      <c r="F16015">
        <v>40000</v>
      </c>
      <c r="G16015">
        <v>230919</v>
      </c>
      <c r="H16015">
        <v>1196</v>
      </c>
      <c r="I16015" t="s">
        <v>392</v>
      </c>
      <c r="J16015">
        <v>40000</v>
      </c>
      <c r="K16015">
        <v>0</v>
      </c>
      <c r="L16015">
        <v>97701</v>
      </c>
      <c r="M16015" t="s">
        <v>869</v>
      </c>
      <c r="N16015" t="str">
        <f>"2177        "</f>
        <v xml:space="preserve">2177        </v>
      </c>
      <c r="O16015">
        <v>230920</v>
      </c>
    </row>
    <row r="16016" spans="1:15" x14ac:dyDescent="0.25">
      <c r="A16016" t="s">
        <v>16</v>
      </c>
      <c r="B16016" t="s">
        <v>3221</v>
      </c>
      <c r="C16016">
        <v>12808</v>
      </c>
      <c r="D16016" t="s">
        <v>1859</v>
      </c>
      <c r="E16016" t="s">
        <v>1860</v>
      </c>
      <c r="F16016">
        <v>10000</v>
      </c>
      <c r="G16016">
        <v>230922</v>
      </c>
      <c r="H16016">
        <v>1196</v>
      </c>
      <c r="I16016" t="s">
        <v>392</v>
      </c>
      <c r="J16016">
        <v>10000</v>
      </c>
      <c r="K16016">
        <v>0</v>
      </c>
      <c r="L16016">
        <v>97701</v>
      </c>
      <c r="M16016" t="s">
        <v>869</v>
      </c>
      <c r="N16016" t="str">
        <f>"2181        "</f>
        <v xml:space="preserve">2181        </v>
      </c>
      <c r="O16016">
        <v>230926</v>
      </c>
    </row>
    <row r="16017" spans="1:15" x14ac:dyDescent="0.25">
      <c r="A16017" t="s">
        <v>16</v>
      </c>
      <c r="B16017" t="s">
        <v>3221</v>
      </c>
      <c r="C16017">
        <v>14520</v>
      </c>
      <c r="D16017" t="s">
        <v>1859</v>
      </c>
      <c r="E16017" t="s">
        <v>1860</v>
      </c>
      <c r="F16017">
        <v>30000</v>
      </c>
      <c r="G16017">
        <v>231020</v>
      </c>
      <c r="H16017">
        <v>1196</v>
      </c>
      <c r="I16017" t="s">
        <v>392</v>
      </c>
      <c r="J16017">
        <v>30000</v>
      </c>
      <c r="K16017">
        <v>0</v>
      </c>
      <c r="L16017">
        <v>97701</v>
      </c>
      <c r="M16017" t="s">
        <v>869</v>
      </c>
      <c r="N16017" t="str">
        <f>"2207        "</f>
        <v xml:space="preserve">2207        </v>
      </c>
      <c r="O16017">
        <v>231030</v>
      </c>
    </row>
    <row r="16018" spans="1:15" x14ac:dyDescent="0.25">
      <c r="A16018" t="s">
        <v>16</v>
      </c>
      <c r="B16018" t="s">
        <v>3221</v>
      </c>
      <c r="C16018">
        <v>15432</v>
      </c>
      <c r="D16018" t="s">
        <v>1859</v>
      </c>
      <c r="E16018" t="s">
        <v>1860</v>
      </c>
      <c r="F16018">
        <v>10000</v>
      </c>
      <c r="G16018">
        <v>231102</v>
      </c>
      <c r="H16018">
        <v>1196</v>
      </c>
      <c r="I16018" t="s">
        <v>392</v>
      </c>
      <c r="J16018">
        <v>10000</v>
      </c>
      <c r="K16018">
        <v>0</v>
      </c>
      <c r="L16018">
        <v>97701</v>
      </c>
      <c r="M16018" t="s">
        <v>869</v>
      </c>
      <c r="N16018" t="str">
        <f>"2225        "</f>
        <v xml:space="preserve">2225        </v>
      </c>
      <c r="O16018">
        <v>231113</v>
      </c>
    </row>
    <row r="16019" spans="1:15" x14ac:dyDescent="0.25">
      <c r="A16019" t="s">
        <v>16</v>
      </c>
      <c r="B16019" t="s">
        <v>3221</v>
      </c>
      <c r="C16019">
        <v>15436</v>
      </c>
      <c r="D16019" t="s">
        <v>1859</v>
      </c>
      <c r="E16019" t="s">
        <v>1860</v>
      </c>
      <c r="F16019">
        <v>92694.78</v>
      </c>
      <c r="G16019">
        <v>231102</v>
      </c>
      <c r="H16019">
        <v>1196</v>
      </c>
      <c r="I16019" t="s">
        <v>392</v>
      </c>
      <c r="J16019">
        <v>92694.78</v>
      </c>
      <c r="K16019">
        <v>0</v>
      </c>
      <c r="L16019">
        <v>97701</v>
      </c>
      <c r="M16019" t="s">
        <v>869</v>
      </c>
      <c r="N16019" t="str">
        <f>"2224        "</f>
        <v xml:space="preserve">2224        </v>
      </c>
      <c r="O16019">
        <v>231113</v>
      </c>
    </row>
    <row r="16020" spans="1:15" x14ac:dyDescent="0.25">
      <c r="A16020" t="s">
        <v>16</v>
      </c>
      <c r="B16020" t="s">
        <v>3221</v>
      </c>
      <c r="C16020">
        <v>18571</v>
      </c>
      <c r="D16020" t="s">
        <v>1859</v>
      </c>
      <c r="E16020" t="s">
        <v>1860</v>
      </c>
      <c r="F16020">
        <v>4610.32</v>
      </c>
      <c r="G16020">
        <v>231222</v>
      </c>
      <c r="H16020">
        <v>1196</v>
      </c>
      <c r="I16020" t="s">
        <v>392</v>
      </c>
      <c r="J16020">
        <v>4610.32</v>
      </c>
      <c r="K16020">
        <v>0</v>
      </c>
      <c r="L16020">
        <v>97701</v>
      </c>
      <c r="M16020" t="s">
        <v>869</v>
      </c>
      <c r="N16020" t="str">
        <f>"2299        "</f>
        <v xml:space="preserve">2299        </v>
      </c>
      <c r="O16020">
        <v>240104</v>
      </c>
    </row>
    <row r="16021" spans="1:15" x14ac:dyDescent="0.25">
      <c r="A16021" t="s">
        <v>16</v>
      </c>
      <c r="B16021" t="s">
        <v>3221</v>
      </c>
      <c r="C16021">
        <v>13498</v>
      </c>
      <c r="D16021" t="s">
        <v>2685</v>
      </c>
      <c r="E16021" t="s">
        <v>2686</v>
      </c>
      <c r="F16021">
        <v>159.80000000000001</v>
      </c>
      <c r="G16021">
        <v>230929</v>
      </c>
      <c r="H16021">
        <v>4580</v>
      </c>
      <c r="I16021" t="s">
        <v>35</v>
      </c>
      <c r="J16021">
        <v>198.15</v>
      </c>
      <c r="K16021">
        <v>38.35</v>
      </c>
      <c r="L16021">
        <v>17537</v>
      </c>
      <c r="M16021" t="s">
        <v>455</v>
      </c>
      <c r="N16021" t="str">
        <f>"2303000780  "</f>
        <v xml:space="preserve">2303000780  </v>
      </c>
      <c r="O16021">
        <v>231010</v>
      </c>
    </row>
    <row r="16022" spans="1:15" x14ac:dyDescent="0.25">
      <c r="A16022" t="s">
        <v>16</v>
      </c>
      <c r="B16022" t="s">
        <v>3221</v>
      </c>
      <c r="C16022">
        <v>17463</v>
      </c>
      <c r="D16022" t="s">
        <v>3065</v>
      </c>
      <c r="E16022" t="s">
        <v>3066</v>
      </c>
      <c r="F16022">
        <v>1707.6</v>
      </c>
      <c r="G16022">
        <v>231207</v>
      </c>
      <c r="H16022">
        <v>4400</v>
      </c>
      <c r="I16022" t="s">
        <v>348</v>
      </c>
      <c r="J16022">
        <v>2117.42</v>
      </c>
      <c r="K16022">
        <v>409.82</v>
      </c>
      <c r="L16022">
        <v>17524</v>
      </c>
      <c r="M16022" t="s">
        <v>452</v>
      </c>
      <c r="N16022" t="str">
        <f>"13233440    "</f>
        <v xml:space="preserve">13233440    </v>
      </c>
      <c r="O16022">
        <v>231214</v>
      </c>
    </row>
    <row r="16023" spans="1:15" x14ac:dyDescent="0.25">
      <c r="A16023" t="s">
        <v>16</v>
      </c>
      <c r="B16023" t="s">
        <v>3221</v>
      </c>
      <c r="C16023">
        <v>6757</v>
      </c>
      <c r="D16023" t="s">
        <v>2013</v>
      </c>
      <c r="E16023" t="s">
        <v>2014</v>
      </c>
      <c r="F16023">
        <v>40180</v>
      </c>
      <c r="G16023">
        <v>230510</v>
      </c>
      <c r="H16023">
        <v>1198</v>
      </c>
      <c r="I16023" t="s">
        <v>1128</v>
      </c>
      <c r="J16023">
        <v>49823.199999999997</v>
      </c>
      <c r="K16023">
        <v>9643.2000000000007</v>
      </c>
      <c r="L16023">
        <v>97629</v>
      </c>
      <c r="M16023" t="s">
        <v>2015</v>
      </c>
      <c r="N16023" t="str">
        <f>"5576        "</f>
        <v xml:space="preserve">5576        </v>
      </c>
      <c r="O16023">
        <v>230522</v>
      </c>
    </row>
    <row r="16024" spans="1:15" x14ac:dyDescent="0.25">
      <c r="A16024" t="s">
        <v>16</v>
      </c>
      <c r="B16024" t="s">
        <v>3221</v>
      </c>
      <c r="C16024">
        <v>16470</v>
      </c>
      <c r="D16024" t="s">
        <v>2013</v>
      </c>
      <c r="E16024" t="s">
        <v>2014</v>
      </c>
      <c r="F16024">
        <v>815.3</v>
      </c>
      <c r="G16024">
        <v>231121</v>
      </c>
      <c r="H16024">
        <v>4400</v>
      </c>
      <c r="I16024" t="s">
        <v>348</v>
      </c>
      <c r="J16024">
        <v>1010.97</v>
      </c>
      <c r="K16024">
        <v>195.67</v>
      </c>
      <c r="L16024">
        <v>17525</v>
      </c>
      <c r="M16024" t="s">
        <v>135</v>
      </c>
      <c r="N16024" t="str">
        <f>"5947        "</f>
        <v xml:space="preserve">5947        </v>
      </c>
      <c r="O16024">
        <v>231201</v>
      </c>
    </row>
    <row r="16025" spans="1:15" x14ac:dyDescent="0.25">
      <c r="A16025" t="s">
        <v>16</v>
      </c>
      <c r="B16025" t="s">
        <v>3221</v>
      </c>
      <c r="C16025">
        <v>16479</v>
      </c>
      <c r="D16025" t="s">
        <v>3572</v>
      </c>
      <c r="E16025" t="s">
        <v>3573</v>
      </c>
      <c r="F16025">
        <v>240</v>
      </c>
      <c r="G16025">
        <v>231123</v>
      </c>
      <c r="H16025">
        <v>4350</v>
      </c>
      <c r="I16025" t="s">
        <v>546</v>
      </c>
      <c r="J16025">
        <v>240</v>
      </c>
      <c r="K16025">
        <v>0</v>
      </c>
      <c r="L16025">
        <v>17971</v>
      </c>
      <c r="M16025" t="s">
        <v>138</v>
      </c>
      <c r="N16025" t="str">
        <f>"2630084     "</f>
        <v xml:space="preserve">2630084     </v>
      </c>
      <c r="O16025">
        <v>231201</v>
      </c>
    </row>
    <row r="16026" spans="1:15" x14ac:dyDescent="0.25">
      <c r="A16026" t="s">
        <v>16</v>
      </c>
      <c r="B16026" t="s">
        <v>3221</v>
      </c>
      <c r="C16026">
        <v>1157</v>
      </c>
      <c r="D16026" t="s">
        <v>925</v>
      </c>
      <c r="E16026" t="s">
        <v>926</v>
      </c>
      <c r="F16026">
        <v>65</v>
      </c>
      <c r="G16026">
        <v>230201</v>
      </c>
      <c r="H16026">
        <v>4510</v>
      </c>
      <c r="I16026" t="s">
        <v>42</v>
      </c>
      <c r="J16026">
        <v>71.5</v>
      </c>
      <c r="K16026">
        <v>6.5</v>
      </c>
      <c r="L16026">
        <v>44222</v>
      </c>
      <c r="M16026" t="s">
        <v>232</v>
      </c>
      <c r="N16026" t="str">
        <f>"1011252     "</f>
        <v xml:space="preserve">1011252     </v>
      </c>
      <c r="O16026">
        <v>230206</v>
      </c>
    </row>
    <row r="16027" spans="1:15" x14ac:dyDescent="0.25">
      <c r="A16027" t="s">
        <v>16</v>
      </c>
      <c r="B16027" t="s">
        <v>3221</v>
      </c>
      <c r="C16027">
        <v>12794</v>
      </c>
      <c r="D16027" t="s">
        <v>925</v>
      </c>
      <c r="E16027" t="s">
        <v>926</v>
      </c>
      <c r="F16027">
        <v>176.31</v>
      </c>
      <c r="G16027">
        <v>230921</v>
      </c>
      <c r="H16027">
        <v>4600</v>
      </c>
      <c r="I16027" t="s">
        <v>105</v>
      </c>
      <c r="J16027">
        <v>218.62</v>
      </c>
      <c r="K16027">
        <v>42.31</v>
      </c>
      <c r="L16027">
        <v>44222</v>
      </c>
      <c r="M16027" t="s">
        <v>232</v>
      </c>
      <c r="N16027" t="str">
        <f>"20159178    "</f>
        <v xml:space="preserve">20159178    </v>
      </c>
      <c r="O16027">
        <v>230926</v>
      </c>
    </row>
    <row r="16028" spans="1:15" x14ac:dyDescent="0.25">
      <c r="A16028" t="s">
        <v>16</v>
      </c>
      <c r="B16028" t="s">
        <v>3221</v>
      </c>
      <c r="C16028">
        <v>16190</v>
      </c>
      <c r="D16028" t="s">
        <v>925</v>
      </c>
      <c r="E16028" t="s">
        <v>926</v>
      </c>
      <c r="F16028">
        <v>18.75</v>
      </c>
      <c r="G16028">
        <v>231117</v>
      </c>
      <c r="H16028">
        <v>4600</v>
      </c>
      <c r="I16028" t="s">
        <v>105</v>
      </c>
      <c r="J16028">
        <v>23.25</v>
      </c>
      <c r="K16028">
        <v>4.5</v>
      </c>
      <c r="L16028">
        <v>44251</v>
      </c>
      <c r="M16028" t="s">
        <v>156</v>
      </c>
      <c r="N16028" t="str">
        <f>"20159879    "</f>
        <v xml:space="preserve">20159879    </v>
      </c>
      <c r="O16028">
        <v>231127</v>
      </c>
    </row>
    <row r="16029" spans="1:15" x14ac:dyDescent="0.25">
      <c r="A16029" t="s">
        <v>16</v>
      </c>
      <c r="B16029" t="s">
        <v>3221</v>
      </c>
      <c r="C16029">
        <v>17768</v>
      </c>
      <c r="D16029" t="s">
        <v>3099</v>
      </c>
      <c r="E16029" t="s">
        <v>3100</v>
      </c>
      <c r="F16029">
        <v>1200.3</v>
      </c>
      <c r="G16029">
        <v>231219</v>
      </c>
      <c r="H16029">
        <v>4580</v>
      </c>
      <c r="I16029" t="s">
        <v>35</v>
      </c>
      <c r="J16029">
        <v>1488.37</v>
      </c>
      <c r="K16029">
        <v>288.07</v>
      </c>
      <c r="L16029">
        <v>44222</v>
      </c>
      <c r="M16029" t="s">
        <v>232</v>
      </c>
      <c r="N16029" t="str">
        <f>"16412       "</f>
        <v xml:space="preserve">16412       </v>
      </c>
      <c r="O16029">
        <v>231222</v>
      </c>
    </row>
    <row r="16030" spans="1:15" x14ac:dyDescent="0.25">
      <c r="A16030" t="s">
        <v>16</v>
      </c>
      <c r="B16030" t="s">
        <v>3221</v>
      </c>
      <c r="C16030">
        <v>13959</v>
      </c>
      <c r="D16030" t="s">
        <v>698</v>
      </c>
      <c r="E16030" t="s">
        <v>699</v>
      </c>
      <c r="F16030">
        <v>1176.19</v>
      </c>
      <c r="G16030">
        <v>231009</v>
      </c>
      <c r="H16030">
        <v>4600</v>
      </c>
      <c r="I16030" t="s">
        <v>105</v>
      </c>
      <c r="J16030">
        <v>1458.48</v>
      </c>
      <c r="K16030">
        <v>282.29000000000002</v>
      </c>
      <c r="L16030">
        <v>49501</v>
      </c>
      <c r="M16030" t="s">
        <v>177</v>
      </c>
      <c r="N16030" t="str">
        <f>"443157      "</f>
        <v xml:space="preserve">443157      </v>
      </c>
      <c r="O16030">
        <v>231017</v>
      </c>
    </row>
    <row r="16031" spans="1:15" x14ac:dyDescent="0.25">
      <c r="A16031" t="s">
        <v>16</v>
      </c>
      <c r="B16031" t="s">
        <v>3221</v>
      </c>
      <c r="C16031">
        <v>711</v>
      </c>
      <c r="D16031" t="s">
        <v>698</v>
      </c>
      <c r="E16031" t="s">
        <v>699</v>
      </c>
      <c r="F16031">
        <v>246.77</v>
      </c>
      <c r="G16031">
        <v>230126</v>
      </c>
      <c r="H16031">
        <v>4440</v>
      </c>
      <c r="I16031" t="s">
        <v>250</v>
      </c>
      <c r="J16031">
        <v>305.99</v>
      </c>
      <c r="K16031">
        <v>59.22</v>
      </c>
      <c r="L16031">
        <v>17807</v>
      </c>
      <c r="M16031" t="s">
        <v>318</v>
      </c>
      <c r="N16031" t="str">
        <f>"156849      "</f>
        <v xml:space="preserve">156849      </v>
      </c>
      <c r="O16031">
        <v>230127</v>
      </c>
    </row>
    <row r="16032" spans="1:15" x14ac:dyDescent="0.25">
      <c r="A16032" t="s">
        <v>16</v>
      </c>
      <c r="B16032" t="s">
        <v>3221</v>
      </c>
      <c r="C16032">
        <v>5784</v>
      </c>
      <c r="D16032" t="s">
        <v>698</v>
      </c>
      <c r="E16032" t="s">
        <v>699</v>
      </c>
      <c r="F16032">
        <v>289.39</v>
      </c>
      <c r="G16032">
        <v>230426</v>
      </c>
      <c r="H16032">
        <v>4440</v>
      </c>
      <c r="I16032" t="s">
        <v>250</v>
      </c>
      <c r="J16032">
        <v>358.84</v>
      </c>
      <c r="K16032">
        <v>69.45</v>
      </c>
      <c r="L16032">
        <v>17807</v>
      </c>
      <c r="M16032" t="s">
        <v>318</v>
      </c>
      <c r="N16032" t="str">
        <f>"259904      "</f>
        <v xml:space="preserve">259904      </v>
      </c>
      <c r="O16032">
        <v>230502</v>
      </c>
    </row>
    <row r="16033" spans="1:15" x14ac:dyDescent="0.25">
      <c r="A16033" t="s">
        <v>16</v>
      </c>
      <c r="B16033" t="s">
        <v>3221</v>
      </c>
      <c r="C16033">
        <v>2712</v>
      </c>
      <c r="D16033" t="s">
        <v>1464</v>
      </c>
      <c r="E16033" t="s">
        <v>1465</v>
      </c>
      <c r="F16033">
        <v>87.1</v>
      </c>
      <c r="G16033">
        <v>230224</v>
      </c>
      <c r="H16033">
        <v>4534</v>
      </c>
      <c r="I16033" t="s">
        <v>273</v>
      </c>
      <c r="J16033">
        <v>108</v>
      </c>
      <c r="K16033">
        <v>20.9</v>
      </c>
      <c r="L16033">
        <v>17711</v>
      </c>
      <c r="M16033" t="s">
        <v>65</v>
      </c>
      <c r="N16033" t="str">
        <f>"64881       "</f>
        <v xml:space="preserve">64881       </v>
      </c>
      <c r="O16033">
        <v>230307</v>
      </c>
    </row>
    <row r="16034" spans="1:15" x14ac:dyDescent="0.25">
      <c r="A16034" t="s">
        <v>16</v>
      </c>
      <c r="B16034" t="s">
        <v>3221</v>
      </c>
      <c r="C16034">
        <v>8807</v>
      </c>
      <c r="D16034" t="s">
        <v>3292</v>
      </c>
      <c r="E16034" t="s">
        <v>3293</v>
      </c>
      <c r="F16034">
        <v>168</v>
      </c>
      <c r="G16034">
        <v>230606</v>
      </c>
      <c r="H16034">
        <v>4600</v>
      </c>
      <c r="I16034" t="s">
        <v>105</v>
      </c>
      <c r="J16034">
        <v>168</v>
      </c>
      <c r="K16034">
        <v>0</v>
      </c>
      <c r="L16034">
        <v>49702</v>
      </c>
      <c r="M16034" t="s">
        <v>584</v>
      </c>
      <c r="N16034" t="str">
        <f>"1510030132  "</f>
        <v xml:space="preserve">1510030132  </v>
      </c>
      <c r="O16034">
        <v>230615</v>
      </c>
    </row>
    <row r="16035" spans="1:15" x14ac:dyDescent="0.25">
      <c r="A16035" t="s">
        <v>16</v>
      </c>
      <c r="B16035" t="s">
        <v>3221</v>
      </c>
      <c r="C16035">
        <v>986</v>
      </c>
      <c r="D16035" t="s">
        <v>821</v>
      </c>
      <c r="E16035" t="s">
        <v>822</v>
      </c>
      <c r="F16035">
        <v>939.62</v>
      </c>
      <c r="G16035">
        <v>230131</v>
      </c>
      <c r="H16035">
        <v>4390</v>
      </c>
      <c r="I16035" t="s">
        <v>98</v>
      </c>
      <c r="J16035">
        <v>939.62</v>
      </c>
      <c r="K16035">
        <v>0</v>
      </c>
      <c r="L16035">
        <v>17951</v>
      </c>
      <c r="M16035" t="s">
        <v>87</v>
      </c>
      <c r="N16035" t="str">
        <f>"1001015129  "</f>
        <v xml:space="preserve">1001015129  </v>
      </c>
      <c r="O16035">
        <v>230202</v>
      </c>
    </row>
    <row r="16036" spans="1:15" x14ac:dyDescent="0.25">
      <c r="A16036" t="s">
        <v>16</v>
      </c>
      <c r="B16036" t="s">
        <v>3221</v>
      </c>
      <c r="C16036">
        <v>13829</v>
      </c>
      <c r="D16036" t="s">
        <v>2701</v>
      </c>
      <c r="E16036" t="s">
        <v>2702</v>
      </c>
      <c r="F16036">
        <v>450</v>
      </c>
      <c r="G16036">
        <v>231006</v>
      </c>
      <c r="H16036">
        <v>4441</v>
      </c>
      <c r="I16036" t="s">
        <v>109</v>
      </c>
      <c r="J16036">
        <v>558</v>
      </c>
      <c r="K16036">
        <v>108</v>
      </c>
      <c r="L16036">
        <v>13201</v>
      </c>
      <c r="M16036" t="s">
        <v>161</v>
      </c>
      <c r="N16036" t="str">
        <f>"120         "</f>
        <v xml:space="preserve">120         </v>
      </c>
      <c r="O16036">
        <v>231013</v>
      </c>
    </row>
    <row r="16037" spans="1:15" x14ac:dyDescent="0.25">
      <c r="A16037" t="s">
        <v>16</v>
      </c>
      <c r="B16037" t="s">
        <v>3221</v>
      </c>
      <c r="C16037">
        <v>15027</v>
      </c>
      <c r="D16037" t="s">
        <v>2840</v>
      </c>
      <c r="E16037" t="s">
        <v>2841</v>
      </c>
      <c r="F16037">
        <v>111.8</v>
      </c>
      <c r="G16037">
        <v>231030</v>
      </c>
      <c r="H16037">
        <v>4580</v>
      </c>
      <c r="I16037" t="s">
        <v>35</v>
      </c>
      <c r="J16037">
        <v>138.63</v>
      </c>
      <c r="K16037">
        <v>26.83</v>
      </c>
      <c r="L16037">
        <v>17525</v>
      </c>
      <c r="M16037" t="s">
        <v>135</v>
      </c>
      <c r="N16037" t="str">
        <f>"36060       "</f>
        <v xml:space="preserve">36060       </v>
      </c>
      <c r="O16037">
        <v>231108</v>
      </c>
    </row>
    <row r="16038" spans="1:15" x14ac:dyDescent="0.25">
      <c r="A16038" t="s">
        <v>16</v>
      </c>
      <c r="B16038" t="s">
        <v>3221</v>
      </c>
      <c r="C16038">
        <v>15027</v>
      </c>
      <c r="D16038" t="s">
        <v>2840</v>
      </c>
      <c r="E16038" t="s">
        <v>2841</v>
      </c>
      <c r="F16038">
        <v>31.92</v>
      </c>
      <c r="G16038">
        <v>231030</v>
      </c>
      <c r="H16038">
        <v>4600</v>
      </c>
      <c r="I16038" t="s">
        <v>105</v>
      </c>
      <c r="J16038">
        <v>39.58</v>
      </c>
      <c r="K16038">
        <v>7.66</v>
      </c>
      <c r="L16038">
        <v>17525</v>
      </c>
      <c r="M16038" t="s">
        <v>135</v>
      </c>
      <c r="N16038" t="str">
        <f>"36060       "</f>
        <v xml:space="preserve">36060       </v>
      </c>
      <c r="O16038">
        <v>231108</v>
      </c>
    </row>
    <row r="16039" spans="1:15" x14ac:dyDescent="0.25">
      <c r="A16039" t="s">
        <v>16</v>
      </c>
      <c r="B16039" t="s">
        <v>3221</v>
      </c>
      <c r="C16039">
        <v>3263</v>
      </c>
      <c r="D16039" t="s">
        <v>1536</v>
      </c>
      <c r="E16039" t="s">
        <v>1537</v>
      </c>
      <c r="F16039">
        <v>381.38</v>
      </c>
      <c r="G16039">
        <v>230308</v>
      </c>
      <c r="H16039">
        <v>4400</v>
      </c>
      <c r="I16039" t="s">
        <v>348</v>
      </c>
      <c r="J16039">
        <v>381.38</v>
      </c>
      <c r="K16039">
        <v>0</v>
      </c>
      <c r="L16039">
        <v>59504</v>
      </c>
      <c r="M16039" t="s">
        <v>71</v>
      </c>
      <c r="N16039" t="str">
        <f>"6023030007  "</f>
        <v xml:space="preserve">6023030007  </v>
      </c>
      <c r="O16039">
        <v>230313</v>
      </c>
    </row>
    <row r="16040" spans="1:15" x14ac:dyDescent="0.25">
      <c r="A16040" t="s">
        <v>16</v>
      </c>
      <c r="B16040" t="s">
        <v>3221</v>
      </c>
      <c r="C16040">
        <v>3513</v>
      </c>
      <c r="D16040" t="s">
        <v>1536</v>
      </c>
      <c r="E16040" t="s">
        <v>1537</v>
      </c>
      <c r="F16040">
        <v>151.15</v>
      </c>
      <c r="G16040">
        <v>230316</v>
      </c>
      <c r="H16040">
        <v>4390</v>
      </c>
      <c r="I16040" t="s">
        <v>98</v>
      </c>
      <c r="J16040">
        <v>151.15</v>
      </c>
      <c r="K16040">
        <v>0</v>
      </c>
      <c r="L16040">
        <v>59504</v>
      </c>
      <c r="M16040" t="s">
        <v>71</v>
      </c>
      <c r="N16040" t="str">
        <f>"6023030019  "</f>
        <v xml:space="preserve">6023030019  </v>
      </c>
      <c r="O16040">
        <v>230316</v>
      </c>
    </row>
    <row r="16041" spans="1:15" x14ac:dyDescent="0.25">
      <c r="A16041" t="s">
        <v>16</v>
      </c>
      <c r="B16041" t="s">
        <v>3221</v>
      </c>
      <c r="C16041">
        <v>18043</v>
      </c>
      <c r="D16041" t="s">
        <v>3118</v>
      </c>
      <c r="E16041" t="s">
        <v>3119</v>
      </c>
      <c r="F16041">
        <v>104.07</v>
      </c>
      <c r="G16041">
        <v>231221</v>
      </c>
      <c r="H16041">
        <v>4470</v>
      </c>
      <c r="I16041" t="s">
        <v>83</v>
      </c>
      <c r="J16041">
        <v>114.48</v>
      </c>
      <c r="K16041">
        <v>10.41</v>
      </c>
      <c r="L16041">
        <v>13661</v>
      </c>
      <c r="M16041" t="s">
        <v>247</v>
      </c>
      <c r="N16041" t="str">
        <f>"50001524    "</f>
        <v xml:space="preserve">50001524    </v>
      </c>
      <c r="O16041">
        <v>231229</v>
      </c>
    </row>
    <row r="16042" spans="1:15" x14ac:dyDescent="0.25">
      <c r="A16042" t="s">
        <v>16</v>
      </c>
      <c r="B16042" t="s">
        <v>3221</v>
      </c>
      <c r="C16042">
        <v>18043</v>
      </c>
      <c r="D16042" t="s">
        <v>3118</v>
      </c>
      <c r="E16042" t="s">
        <v>3119</v>
      </c>
      <c r="F16042">
        <v>156.11000000000001</v>
      </c>
      <c r="G16042">
        <v>231221</v>
      </c>
      <c r="H16042">
        <v>4470</v>
      </c>
      <c r="I16042" t="s">
        <v>83</v>
      </c>
      <c r="J16042">
        <v>171.72</v>
      </c>
      <c r="K16042">
        <v>15.61</v>
      </c>
      <c r="L16042">
        <v>13861</v>
      </c>
      <c r="M16042" t="s">
        <v>1143</v>
      </c>
      <c r="N16042" t="str">
        <f>"50001524    "</f>
        <v xml:space="preserve">50001524    </v>
      </c>
      <c r="O16042">
        <v>231229</v>
      </c>
    </row>
    <row r="16043" spans="1:15" x14ac:dyDescent="0.25">
      <c r="A16043" t="s">
        <v>16</v>
      </c>
      <c r="B16043" t="s">
        <v>3221</v>
      </c>
      <c r="C16043">
        <v>2187</v>
      </c>
      <c r="D16043" t="s">
        <v>1320</v>
      </c>
      <c r="E16043" t="s">
        <v>1321</v>
      </c>
      <c r="F16043">
        <v>1854.84</v>
      </c>
      <c r="G16043">
        <v>230220</v>
      </c>
      <c r="H16043">
        <v>4470</v>
      </c>
      <c r="I16043" t="s">
        <v>83</v>
      </c>
      <c r="J16043">
        <v>2300</v>
      </c>
      <c r="K16043">
        <v>445.16</v>
      </c>
      <c r="L16043">
        <v>69502</v>
      </c>
      <c r="M16043" t="s">
        <v>978</v>
      </c>
      <c r="N16043" t="str">
        <f>"4-2023      "</f>
        <v xml:space="preserve">4-2023      </v>
      </c>
      <c r="O16043">
        <v>230222</v>
      </c>
    </row>
    <row r="16044" spans="1:15" x14ac:dyDescent="0.25">
      <c r="A16044" t="s">
        <v>16</v>
      </c>
      <c r="B16044" t="s">
        <v>3221</v>
      </c>
      <c r="C16044">
        <v>106</v>
      </c>
      <c r="D16044" t="s">
        <v>139</v>
      </c>
      <c r="E16044" t="s">
        <v>140</v>
      </c>
      <c r="F16044">
        <v>15.11</v>
      </c>
      <c r="G16044">
        <v>230109</v>
      </c>
      <c r="H16044">
        <v>4572</v>
      </c>
      <c r="I16044" t="s">
        <v>122</v>
      </c>
      <c r="J16044">
        <v>15.11</v>
      </c>
      <c r="K16044">
        <v>0</v>
      </c>
      <c r="L16044">
        <v>13841</v>
      </c>
      <c r="M16044" t="s">
        <v>47</v>
      </c>
      <c r="N16044" t="str">
        <f>"7222504578  "</f>
        <v xml:space="preserve">7222504578  </v>
      </c>
      <c r="O16044">
        <v>230111</v>
      </c>
    </row>
    <row r="16045" spans="1:15" x14ac:dyDescent="0.25">
      <c r="A16045" t="s">
        <v>16</v>
      </c>
      <c r="B16045" t="s">
        <v>3221</v>
      </c>
      <c r="C16045">
        <v>14814</v>
      </c>
      <c r="D16045" t="s">
        <v>2802</v>
      </c>
      <c r="E16045" t="s">
        <v>2803</v>
      </c>
      <c r="F16045">
        <v>60000</v>
      </c>
      <c r="G16045">
        <v>231025</v>
      </c>
      <c r="H16045">
        <v>1198</v>
      </c>
      <c r="I16045" t="s">
        <v>1128</v>
      </c>
      <c r="J16045">
        <v>74400</v>
      </c>
      <c r="K16045">
        <v>14400</v>
      </c>
      <c r="L16045">
        <v>97628</v>
      </c>
      <c r="M16045" t="s">
        <v>1772</v>
      </c>
      <c r="N16045" t="str">
        <f>"21101580    "</f>
        <v xml:space="preserve">21101580    </v>
      </c>
      <c r="O16045">
        <v>231106</v>
      </c>
    </row>
    <row r="16046" spans="1:15" x14ac:dyDescent="0.25">
      <c r="A16046" t="s">
        <v>16</v>
      </c>
      <c r="B16046" t="s">
        <v>3221</v>
      </c>
      <c r="C16046">
        <v>11571</v>
      </c>
      <c r="D16046" t="s">
        <v>3590</v>
      </c>
      <c r="E16046" t="s">
        <v>2500</v>
      </c>
      <c r="F16046">
        <v>187.5</v>
      </c>
      <c r="G16046">
        <v>230825</v>
      </c>
      <c r="H16046">
        <v>4343</v>
      </c>
      <c r="I16046" t="s">
        <v>91</v>
      </c>
      <c r="J16046">
        <v>232.5</v>
      </c>
      <c r="K16046">
        <v>45</v>
      </c>
      <c r="L16046">
        <v>61122</v>
      </c>
      <c r="M16046" t="s">
        <v>402</v>
      </c>
      <c r="N16046" t="str">
        <f>"1001000145  "</f>
        <v xml:space="preserve">1001000145  </v>
      </c>
      <c r="O16046">
        <v>230907</v>
      </c>
    </row>
    <row r="16047" spans="1:15" x14ac:dyDescent="0.25">
      <c r="A16047" t="s">
        <v>16</v>
      </c>
      <c r="B16047" t="s">
        <v>3221</v>
      </c>
      <c r="C16047">
        <v>2581</v>
      </c>
      <c r="D16047" t="s">
        <v>3251</v>
      </c>
      <c r="E16047" t="s">
        <v>3252</v>
      </c>
      <c r="F16047">
        <v>720</v>
      </c>
      <c r="G16047">
        <v>230212</v>
      </c>
      <c r="H16047">
        <v>4410</v>
      </c>
      <c r="I16047" t="s">
        <v>517</v>
      </c>
      <c r="J16047">
        <v>720</v>
      </c>
      <c r="K16047">
        <v>0</v>
      </c>
      <c r="L16047">
        <v>11605</v>
      </c>
      <c r="M16047" t="s">
        <v>106</v>
      </c>
      <c r="N16047" t="str">
        <f>"300/230395  "</f>
        <v xml:space="preserve">300/230395  </v>
      </c>
      <c r="O16047">
        <v>230302</v>
      </c>
    </row>
    <row r="16048" spans="1:15" x14ac:dyDescent="0.25">
      <c r="A16048" t="s">
        <v>16</v>
      </c>
      <c r="B16048" t="s">
        <v>3221</v>
      </c>
      <c r="C16048">
        <v>3863</v>
      </c>
      <c r="D16048" t="s">
        <v>1626</v>
      </c>
      <c r="E16048" t="s">
        <v>1627</v>
      </c>
      <c r="F16048">
        <v>205.5</v>
      </c>
      <c r="G16048">
        <v>230314</v>
      </c>
      <c r="H16048">
        <v>4600</v>
      </c>
      <c r="I16048" t="s">
        <v>105</v>
      </c>
      <c r="J16048">
        <v>254.82</v>
      </c>
      <c r="K16048">
        <v>49.32</v>
      </c>
      <c r="L16048">
        <v>56565</v>
      </c>
      <c r="M16048" t="s">
        <v>758</v>
      </c>
      <c r="N16048" t="str">
        <f>"18685       "</f>
        <v xml:space="preserve">18685       </v>
      </c>
      <c r="O16048">
        <v>230323</v>
      </c>
    </row>
    <row r="16049" spans="1:15" x14ac:dyDescent="0.25">
      <c r="A16049" t="s">
        <v>16</v>
      </c>
      <c r="B16049" t="s">
        <v>3221</v>
      </c>
      <c r="C16049">
        <v>3863</v>
      </c>
      <c r="D16049" t="s">
        <v>1626</v>
      </c>
      <c r="E16049" t="s">
        <v>1627</v>
      </c>
      <c r="F16049">
        <v>205.5</v>
      </c>
      <c r="G16049">
        <v>230314</v>
      </c>
      <c r="H16049">
        <v>4600</v>
      </c>
      <c r="I16049" t="s">
        <v>105</v>
      </c>
      <c r="J16049">
        <v>254.82</v>
      </c>
      <c r="K16049">
        <v>49.32</v>
      </c>
      <c r="L16049">
        <v>56573</v>
      </c>
      <c r="M16049" t="s">
        <v>521</v>
      </c>
      <c r="N16049" t="str">
        <f>"18685       "</f>
        <v xml:space="preserve">18685       </v>
      </c>
      <c r="O16049">
        <v>230323</v>
      </c>
    </row>
    <row r="16050" spans="1:15" x14ac:dyDescent="0.25">
      <c r="A16050" t="s">
        <v>16</v>
      </c>
      <c r="B16050" t="s">
        <v>3221</v>
      </c>
      <c r="C16050">
        <v>2043</v>
      </c>
      <c r="D16050" t="s">
        <v>1268</v>
      </c>
      <c r="E16050" t="s">
        <v>1269</v>
      </c>
      <c r="F16050">
        <v>106.29</v>
      </c>
      <c r="G16050">
        <v>230206</v>
      </c>
      <c r="H16050">
        <v>4600</v>
      </c>
      <c r="I16050" t="s">
        <v>105</v>
      </c>
      <c r="J16050">
        <v>131.80000000000001</v>
      </c>
      <c r="K16050">
        <v>25.51</v>
      </c>
      <c r="L16050">
        <v>54252</v>
      </c>
      <c r="M16050" t="s">
        <v>534</v>
      </c>
      <c r="N16050" t="str">
        <f>"43-2023     "</f>
        <v xml:space="preserve">43-2023     </v>
      </c>
      <c r="O16050">
        <v>230220</v>
      </c>
    </row>
    <row r="16051" spans="1:15" x14ac:dyDescent="0.25">
      <c r="A16051" t="s">
        <v>16</v>
      </c>
      <c r="B16051" t="s">
        <v>3221</v>
      </c>
      <c r="C16051">
        <v>6079</v>
      </c>
      <c r="D16051" t="s">
        <v>1935</v>
      </c>
      <c r="E16051" t="s">
        <v>1936</v>
      </c>
      <c r="F16051">
        <v>177.57</v>
      </c>
      <c r="G16051">
        <v>230428</v>
      </c>
      <c r="H16051">
        <v>4412</v>
      </c>
      <c r="I16051" t="s">
        <v>149</v>
      </c>
      <c r="J16051">
        <v>195.33</v>
      </c>
      <c r="K16051">
        <v>17.760000000000002</v>
      </c>
      <c r="L16051">
        <v>14972</v>
      </c>
      <c r="M16051" t="s">
        <v>898</v>
      </c>
      <c r="N16051" t="str">
        <f>"2022451     "</f>
        <v xml:space="preserve">2022451     </v>
      </c>
      <c r="O16051">
        <v>230508</v>
      </c>
    </row>
    <row r="16052" spans="1:15" x14ac:dyDescent="0.25">
      <c r="A16052" t="s">
        <v>16</v>
      </c>
      <c r="B16052" t="s">
        <v>3221</v>
      </c>
      <c r="C16052">
        <v>8331</v>
      </c>
      <c r="D16052" t="s">
        <v>1935</v>
      </c>
      <c r="E16052" t="s">
        <v>1936</v>
      </c>
      <c r="F16052">
        <v>181.82</v>
      </c>
      <c r="G16052">
        <v>230605</v>
      </c>
      <c r="H16052">
        <v>4412</v>
      </c>
      <c r="I16052" t="s">
        <v>149</v>
      </c>
      <c r="J16052">
        <v>200</v>
      </c>
      <c r="K16052">
        <v>18.18</v>
      </c>
      <c r="L16052">
        <v>44423</v>
      </c>
      <c r="M16052" t="s">
        <v>502</v>
      </c>
      <c r="N16052" t="str">
        <f>"2022634     "</f>
        <v xml:space="preserve">2022634     </v>
      </c>
      <c r="O16052">
        <v>230608</v>
      </c>
    </row>
    <row r="16053" spans="1:15" x14ac:dyDescent="0.25">
      <c r="A16053" t="s">
        <v>16</v>
      </c>
      <c r="B16053" t="s">
        <v>3221</v>
      </c>
      <c r="C16053">
        <v>8664</v>
      </c>
      <c r="D16053" t="s">
        <v>1935</v>
      </c>
      <c r="E16053" t="s">
        <v>1936</v>
      </c>
      <c r="F16053">
        <v>181.82</v>
      </c>
      <c r="G16053">
        <v>230605</v>
      </c>
      <c r="H16053">
        <v>4412</v>
      </c>
      <c r="I16053" t="s">
        <v>149</v>
      </c>
      <c r="J16053">
        <v>200</v>
      </c>
      <c r="K16053">
        <v>18.18</v>
      </c>
      <c r="L16053">
        <v>44422</v>
      </c>
      <c r="M16053" t="s">
        <v>482</v>
      </c>
      <c r="N16053" t="str">
        <f>"2022637     "</f>
        <v xml:space="preserve">2022637     </v>
      </c>
      <c r="O16053">
        <v>230613</v>
      </c>
    </row>
    <row r="16054" spans="1:15" x14ac:dyDescent="0.25">
      <c r="A16054" t="s">
        <v>16</v>
      </c>
      <c r="B16054" t="s">
        <v>3221</v>
      </c>
      <c r="C16054">
        <v>12243</v>
      </c>
      <c r="D16054" t="s">
        <v>1935</v>
      </c>
      <c r="E16054" t="s">
        <v>1936</v>
      </c>
      <c r="F16054">
        <v>181.82</v>
      </c>
      <c r="G16054">
        <v>230911</v>
      </c>
      <c r="H16054">
        <v>4412</v>
      </c>
      <c r="I16054" t="s">
        <v>149</v>
      </c>
      <c r="J16054">
        <v>200</v>
      </c>
      <c r="K16054">
        <v>18.18</v>
      </c>
      <c r="L16054">
        <v>49702</v>
      </c>
      <c r="M16054" t="s">
        <v>584</v>
      </c>
      <c r="N16054" t="str">
        <f>"2022878     "</f>
        <v xml:space="preserve">2022878     </v>
      </c>
      <c r="O16054">
        <v>230918</v>
      </c>
    </row>
    <row r="16055" spans="1:15" x14ac:dyDescent="0.25">
      <c r="A16055" t="s">
        <v>16</v>
      </c>
      <c r="B16055" t="s">
        <v>3221</v>
      </c>
      <c r="C16055">
        <v>12843</v>
      </c>
      <c r="D16055" t="s">
        <v>1935</v>
      </c>
      <c r="E16055" t="s">
        <v>1936</v>
      </c>
      <c r="F16055">
        <v>181.82</v>
      </c>
      <c r="G16055">
        <v>230925</v>
      </c>
      <c r="H16055">
        <v>4412</v>
      </c>
      <c r="I16055" t="s">
        <v>149</v>
      </c>
      <c r="J16055">
        <v>200</v>
      </c>
      <c r="K16055">
        <v>18.18</v>
      </c>
      <c r="L16055">
        <v>44222</v>
      </c>
      <c r="M16055" t="s">
        <v>232</v>
      </c>
      <c r="N16055" t="str">
        <f>"2022910     "</f>
        <v xml:space="preserve">2022910     </v>
      </c>
      <c r="O16055">
        <v>230928</v>
      </c>
    </row>
    <row r="16056" spans="1:15" x14ac:dyDescent="0.25">
      <c r="A16056" t="s">
        <v>16</v>
      </c>
      <c r="B16056" t="s">
        <v>3221</v>
      </c>
      <c r="C16056">
        <v>10394</v>
      </c>
      <c r="D16056" t="s">
        <v>1935</v>
      </c>
      <c r="E16056" t="s">
        <v>1936</v>
      </c>
      <c r="F16056">
        <v>10</v>
      </c>
      <c r="G16056">
        <v>230810</v>
      </c>
      <c r="H16056">
        <v>4410</v>
      </c>
      <c r="I16056" t="s">
        <v>517</v>
      </c>
      <c r="J16056">
        <v>10</v>
      </c>
      <c r="K16056">
        <v>0</v>
      </c>
      <c r="L16056">
        <v>18122</v>
      </c>
      <c r="M16056" t="s">
        <v>407</v>
      </c>
      <c r="N16056" t="str">
        <f>"2022781     "</f>
        <v xml:space="preserve">2022781     </v>
      </c>
      <c r="O16056">
        <v>230815</v>
      </c>
    </row>
    <row r="16057" spans="1:15" x14ac:dyDescent="0.25">
      <c r="A16057" t="s">
        <v>16</v>
      </c>
      <c r="B16057" t="s">
        <v>3221</v>
      </c>
      <c r="C16057">
        <v>10394</v>
      </c>
      <c r="D16057" t="s">
        <v>1935</v>
      </c>
      <c r="E16057" t="s">
        <v>1936</v>
      </c>
      <c r="F16057">
        <v>35.090000000000003</v>
      </c>
      <c r="G16057">
        <v>230810</v>
      </c>
      <c r="H16057">
        <v>4410</v>
      </c>
      <c r="I16057" t="s">
        <v>517</v>
      </c>
      <c r="J16057">
        <v>40</v>
      </c>
      <c r="K16057">
        <v>4.91</v>
      </c>
      <c r="L16057">
        <v>18122</v>
      </c>
      <c r="M16057" t="s">
        <v>407</v>
      </c>
      <c r="N16057" t="str">
        <f>"2022781     "</f>
        <v xml:space="preserve">2022781     </v>
      </c>
      <c r="O16057">
        <v>230815</v>
      </c>
    </row>
    <row r="16058" spans="1:15" x14ac:dyDescent="0.25">
      <c r="A16058" t="s">
        <v>16</v>
      </c>
      <c r="B16058" t="s">
        <v>3221</v>
      </c>
      <c r="C16058">
        <v>10394</v>
      </c>
      <c r="D16058" t="s">
        <v>1935</v>
      </c>
      <c r="E16058" t="s">
        <v>1936</v>
      </c>
      <c r="F16058">
        <v>106.82</v>
      </c>
      <c r="G16058">
        <v>230810</v>
      </c>
      <c r="H16058">
        <v>4410</v>
      </c>
      <c r="I16058" t="s">
        <v>517</v>
      </c>
      <c r="J16058">
        <v>117.5</v>
      </c>
      <c r="K16058">
        <v>10.68</v>
      </c>
      <c r="L16058">
        <v>18122</v>
      </c>
      <c r="M16058" t="s">
        <v>407</v>
      </c>
      <c r="N16058" t="str">
        <f>"2022781     "</f>
        <v xml:space="preserve">2022781     </v>
      </c>
      <c r="O16058">
        <v>230815</v>
      </c>
    </row>
    <row r="16059" spans="1:15" x14ac:dyDescent="0.25">
      <c r="A16059" t="s">
        <v>16</v>
      </c>
      <c r="B16059" t="s">
        <v>3221</v>
      </c>
      <c r="C16059">
        <v>11842</v>
      </c>
      <c r="D16059" t="s">
        <v>1935</v>
      </c>
      <c r="E16059" t="s">
        <v>1936</v>
      </c>
      <c r="F16059">
        <v>100</v>
      </c>
      <c r="G16059">
        <v>230905</v>
      </c>
      <c r="H16059">
        <v>4410</v>
      </c>
      <c r="I16059" t="s">
        <v>517</v>
      </c>
      <c r="J16059">
        <v>100</v>
      </c>
      <c r="K16059">
        <v>0</v>
      </c>
      <c r="L16059">
        <v>11901</v>
      </c>
      <c r="M16059" t="s">
        <v>36</v>
      </c>
      <c r="N16059" t="str">
        <f>"2022855     "</f>
        <v xml:space="preserve">2022855     </v>
      </c>
      <c r="O16059">
        <v>230911</v>
      </c>
    </row>
    <row r="16060" spans="1:15" x14ac:dyDescent="0.25">
      <c r="A16060" t="s">
        <v>16</v>
      </c>
      <c r="B16060" t="s">
        <v>3221</v>
      </c>
      <c r="C16060">
        <v>11842</v>
      </c>
      <c r="D16060" t="s">
        <v>1935</v>
      </c>
      <c r="E16060" t="s">
        <v>1936</v>
      </c>
      <c r="F16060">
        <v>213.64</v>
      </c>
      <c r="G16060">
        <v>230905</v>
      </c>
      <c r="H16060">
        <v>4410</v>
      </c>
      <c r="I16060" t="s">
        <v>517</v>
      </c>
      <c r="J16060">
        <v>235</v>
      </c>
      <c r="K16060">
        <v>21.36</v>
      </c>
      <c r="L16060">
        <v>11901</v>
      </c>
      <c r="M16060" t="s">
        <v>36</v>
      </c>
      <c r="N16060" t="str">
        <f>"2022855     "</f>
        <v xml:space="preserve">2022855     </v>
      </c>
      <c r="O16060">
        <v>230911</v>
      </c>
    </row>
    <row r="16061" spans="1:15" x14ac:dyDescent="0.25">
      <c r="A16061" t="s">
        <v>16</v>
      </c>
      <c r="B16061" t="s">
        <v>3221</v>
      </c>
      <c r="C16061">
        <v>1384</v>
      </c>
      <c r="D16061" t="s">
        <v>1027</v>
      </c>
      <c r="E16061" t="s">
        <v>1028</v>
      </c>
      <c r="F16061">
        <v>136.87</v>
      </c>
      <c r="G16061">
        <v>230206</v>
      </c>
      <c r="H16061">
        <v>4400</v>
      </c>
      <c r="I16061" t="s">
        <v>348</v>
      </c>
      <c r="J16061">
        <v>169.72</v>
      </c>
      <c r="K16061">
        <v>32.85</v>
      </c>
      <c r="L16061">
        <v>17523</v>
      </c>
      <c r="M16061" t="s">
        <v>134</v>
      </c>
      <c r="N16061" t="str">
        <f>"4051817     "</f>
        <v xml:space="preserve">4051817     </v>
      </c>
      <c r="O16061">
        <v>230208</v>
      </c>
    </row>
    <row r="16062" spans="1:15" x14ac:dyDescent="0.25">
      <c r="A16062" t="s">
        <v>16</v>
      </c>
      <c r="B16062" t="s">
        <v>3221</v>
      </c>
      <c r="C16062">
        <v>1983</v>
      </c>
      <c r="D16062" t="s">
        <v>1027</v>
      </c>
      <c r="E16062" t="s">
        <v>1028</v>
      </c>
      <c r="F16062">
        <v>32.020000000000003</v>
      </c>
      <c r="G16062">
        <v>230214</v>
      </c>
      <c r="H16062">
        <v>4600</v>
      </c>
      <c r="I16062" t="s">
        <v>105</v>
      </c>
      <c r="J16062">
        <v>39.700000000000003</v>
      </c>
      <c r="K16062">
        <v>7.68</v>
      </c>
      <c r="L16062">
        <v>17523</v>
      </c>
      <c r="M16062" t="s">
        <v>134</v>
      </c>
      <c r="N16062" t="str">
        <f>"4059267     "</f>
        <v xml:space="preserve">4059267     </v>
      </c>
      <c r="O16062">
        <v>230216</v>
      </c>
    </row>
    <row r="16063" spans="1:15" x14ac:dyDescent="0.25">
      <c r="A16063" t="s">
        <v>16</v>
      </c>
      <c r="B16063" t="s">
        <v>3221</v>
      </c>
      <c r="C16063">
        <v>2148</v>
      </c>
      <c r="D16063" t="s">
        <v>1027</v>
      </c>
      <c r="E16063" t="s">
        <v>1028</v>
      </c>
      <c r="F16063">
        <v>372.29</v>
      </c>
      <c r="G16063">
        <v>230217</v>
      </c>
      <c r="H16063">
        <v>4600</v>
      </c>
      <c r="I16063" t="s">
        <v>105</v>
      </c>
      <c r="J16063">
        <v>461.64</v>
      </c>
      <c r="K16063">
        <v>89.35</v>
      </c>
      <c r="L16063">
        <v>17523</v>
      </c>
      <c r="M16063" t="s">
        <v>134</v>
      </c>
      <c r="N16063" t="str">
        <f>"4063211     "</f>
        <v xml:space="preserve">4063211     </v>
      </c>
      <c r="O16063">
        <v>230221</v>
      </c>
    </row>
    <row r="16064" spans="1:15" x14ac:dyDescent="0.25">
      <c r="A16064" t="s">
        <v>16</v>
      </c>
      <c r="B16064" t="s">
        <v>3221</v>
      </c>
      <c r="C16064">
        <v>2359</v>
      </c>
      <c r="D16064" t="s">
        <v>1027</v>
      </c>
      <c r="E16064" t="s">
        <v>1028</v>
      </c>
      <c r="F16064">
        <v>110.59</v>
      </c>
      <c r="G16064">
        <v>230223</v>
      </c>
      <c r="H16064">
        <v>4600</v>
      </c>
      <c r="I16064" t="s">
        <v>105</v>
      </c>
      <c r="J16064">
        <v>137.13</v>
      </c>
      <c r="K16064">
        <v>26.54</v>
      </c>
      <c r="L16064">
        <v>17523</v>
      </c>
      <c r="M16064" t="s">
        <v>134</v>
      </c>
      <c r="N16064" t="str">
        <f>"4067427     "</f>
        <v xml:space="preserve">4067427     </v>
      </c>
      <c r="O16064">
        <v>230224</v>
      </c>
    </row>
    <row r="16065" spans="1:15" x14ac:dyDescent="0.25">
      <c r="A16065" t="s">
        <v>16</v>
      </c>
      <c r="B16065" t="s">
        <v>3221</v>
      </c>
      <c r="C16065">
        <v>2666</v>
      </c>
      <c r="D16065" t="s">
        <v>1027</v>
      </c>
      <c r="E16065" t="s">
        <v>1028</v>
      </c>
      <c r="F16065">
        <v>180.1</v>
      </c>
      <c r="G16065">
        <v>230224</v>
      </c>
      <c r="H16065">
        <v>4600</v>
      </c>
      <c r="I16065" t="s">
        <v>105</v>
      </c>
      <c r="J16065">
        <v>223.32</v>
      </c>
      <c r="K16065">
        <v>43.22</v>
      </c>
      <c r="L16065">
        <v>17523</v>
      </c>
      <c r="M16065" t="s">
        <v>134</v>
      </c>
      <c r="N16065" t="str">
        <f>"4069775     "</f>
        <v xml:space="preserve">4069775     </v>
      </c>
      <c r="O16065">
        <v>230306</v>
      </c>
    </row>
    <row r="16066" spans="1:15" x14ac:dyDescent="0.25">
      <c r="A16066" t="s">
        <v>16</v>
      </c>
      <c r="B16066" t="s">
        <v>3221</v>
      </c>
      <c r="C16066">
        <v>2886</v>
      </c>
      <c r="D16066" t="s">
        <v>1027</v>
      </c>
      <c r="E16066" t="s">
        <v>1028</v>
      </c>
      <c r="F16066">
        <v>25.8</v>
      </c>
      <c r="G16066">
        <v>230306</v>
      </c>
      <c r="H16066">
        <v>4600</v>
      </c>
      <c r="I16066" t="s">
        <v>105</v>
      </c>
      <c r="J16066">
        <v>31.99</v>
      </c>
      <c r="K16066">
        <v>6.19</v>
      </c>
      <c r="L16066">
        <v>17523</v>
      </c>
      <c r="M16066" t="s">
        <v>134</v>
      </c>
      <c r="N16066" t="str">
        <f>"4079080     "</f>
        <v xml:space="preserve">4079080     </v>
      </c>
      <c r="O16066">
        <v>230308</v>
      </c>
    </row>
    <row r="16067" spans="1:15" x14ac:dyDescent="0.25">
      <c r="A16067" t="s">
        <v>16</v>
      </c>
      <c r="B16067" t="s">
        <v>3221</v>
      </c>
      <c r="C16067">
        <v>6761</v>
      </c>
      <c r="D16067" t="s">
        <v>1027</v>
      </c>
      <c r="E16067" t="s">
        <v>1028</v>
      </c>
      <c r="F16067">
        <v>119.84</v>
      </c>
      <c r="G16067">
        <v>230511</v>
      </c>
      <c r="H16067">
        <v>4600</v>
      </c>
      <c r="I16067" t="s">
        <v>105</v>
      </c>
      <c r="J16067">
        <v>148.6</v>
      </c>
      <c r="K16067">
        <v>28.76</v>
      </c>
      <c r="L16067">
        <v>17523</v>
      </c>
      <c r="M16067" t="s">
        <v>134</v>
      </c>
      <c r="N16067" t="str">
        <f>"4142770     "</f>
        <v xml:space="preserve">4142770     </v>
      </c>
      <c r="O16067">
        <v>230522</v>
      </c>
    </row>
    <row r="16068" spans="1:15" x14ac:dyDescent="0.25">
      <c r="A16068" t="s">
        <v>16</v>
      </c>
      <c r="B16068" t="s">
        <v>3221</v>
      </c>
      <c r="C16068">
        <v>10547</v>
      </c>
      <c r="D16068" t="s">
        <v>1027</v>
      </c>
      <c r="E16068" t="s">
        <v>1028</v>
      </c>
      <c r="F16068">
        <v>89.51</v>
      </c>
      <c r="G16068">
        <v>230816</v>
      </c>
      <c r="H16068">
        <v>4600</v>
      </c>
      <c r="I16068" t="s">
        <v>105</v>
      </c>
      <c r="J16068">
        <v>110.99</v>
      </c>
      <c r="K16068">
        <v>21.48</v>
      </c>
      <c r="L16068">
        <v>17523</v>
      </c>
      <c r="M16068" t="s">
        <v>134</v>
      </c>
      <c r="N16068" t="str">
        <f>"4252117     "</f>
        <v xml:space="preserve">4252117     </v>
      </c>
      <c r="O16068">
        <v>230818</v>
      </c>
    </row>
    <row r="16069" spans="1:15" x14ac:dyDescent="0.25">
      <c r="A16069" t="s">
        <v>16</v>
      </c>
      <c r="B16069" t="s">
        <v>3221</v>
      </c>
      <c r="C16069">
        <v>12443</v>
      </c>
      <c r="D16069" t="s">
        <v>1027</v>
      </c>
      <c r="E16069" t="s">
        <v>1028</v>
      </c>
      <c r="F16069">
        <v>15.93</v>
      </c>
      <c r="G16069">
        <v>230918</v>
      </c>
      <c r="H16069">
        <v>4600</v>
      </c>
      <c r="I16069" t="s">
        <v>105</v>
      </c>
      <c r="J16069">
        <v>19.75</v>
      </c>
      <c r="K16069">
        <v>3.82</v>
      </c>
      <c r="L16069">
        <v>17523</v>
      </c>
      <c r="M16069" t="s">
        <v>134</v>
      </c>
      <c r="N16069" t="str">
        <f>"4290468     "</f>
        <v xml:space="preserve">4290468     </v>
      </c>
      <c r="O16069">
        <v>230920</v>
      </c>
    </row>
    <row r="16070" spans="1:15" x14ac:dyDescent="0.25">
      <c r="A16070" t="s">
        <v>16</v>
      </c>
      <c r="B16070" t="s">
        <v>3221</v>
      </c>
      <c r="C16070">
        <v>13119</v>
      </c>
      <c r="D16070" t="s">
        <v>1027</v>
      </c>
      <c r="E16070" t="s">
        <v>1028</v>
      </c>
      <c r="F16070">
        <v>158.91</v>
      </c>
      <c r="G16070">
        <v>230921</v>
      </c>
      <c r="H16070">
        <v>4600</v>
      </c>
      <c r="I16070" t="s">
        <v>105</v>
      </c>
      <c r="J16070">
        <v>197.05</v>
      </c>
      <c r="K16070">
        <v>38.14</v>
      </c>
      <c r="L16070">
        <v>17524</v>
      </c>
      <c r="M16070" t="s">
        <v>452</v>
      </c>
      <c r="N16070" t="str">
        <f>"4293019     "</f>
        <v xml:space="preserve">4293019     </v>
      </c>
      <c r="O16070">
        <v>231004</v>
      </c>
    </row>
    <row r="16071" spans="1:15" x14ac:dyDescent="0.25">
      <c r="A16071" t="s">
        <v>16</v>
      </c>
      <c r="B16071" t="s">
        <v>3221</v>
      </c>
      <c r="C16071">
        <v>13119</v>
      </c>
      <c r="D16071" t="s">
        <v>1027</v>
      </c>
      <c r="E16071" t="s">
        <v>1028</v>
      </c>
      <c r="F16071">
        <v>158.91</v>
      </c>
      <c r="G16071">
        <v>230921</v>
      </c>
      <c r="H16071">
        <v>4600</v>
      </c>
      <c r="I16071" t="s">
        <v>105</v>
      </c>
      <c r="J16071">
        <v>197.05</v>
      </c>
      <c r="K16071">
        <v>38.14</v>
      </c>
      <c r="L16071">
        <v>17635</v>
      </c>
      <c r="M16071" t="s">
        <v>349</v>
      </c>
      <c r="N16071" t="str">
        <f>"4293019     "</f>
        <v xml:space="preserve">4293019     </v>
      </c>
      <c r="O16071">
        <v>231004</v>
      </c>
    </row>
    <row r="16072" spans="1:15" x14ac:dyDescent="0.25">
      <c r="A16072" t="s">
        <v>16</v>
      </c>
      <c r="B16072" t="s">
        <v>3221</v>
      </c>
      <c r="C16072">
        <v>16425</v>
      </c>
      <c r="D16072" t="s">
        <v>1027</v>
      </c>
      <c r="E16072" t="s">
        <v>1028</v>
      </c>
      <c r="F16072">
        <v>76.33</v>
      </c>
      <c r="G16072">
        <v>231124</v>
      </c>
      <c r="H16072">
        <v>4600</v>
      </c>
      <c r="I16072" t="s">
        <v>105</v>
      </c>
      <c r="J16072">
        <v>94.65</v>
      </c>
      <c r="K16072">
        <v>18.32</v>
      </c>
      <c r="L16072">
        <v>17523</v>
      </c>
      <c r="M16072" t="s">
        <v>134</v>
      </c>
      <c r="N16072" t="str">
        <f>"4361491     "</f>
        <v xml:space="preserve">4361491     </v>
      </c>
      <c r="O16072">
        <v>231129</v>
      </c>
    </row>
    <row r="16073" spans="1:15" x14ac:dyDescent="0.25">
      <c r="A16073" t="s">
        <v>16</v>
      </c>
      <c r="B16073" t="s">
        <v>3221</v>
      </c>
      <c r="C16073">
        <v>18873</v>
      </c>
      <c r="D16073" t="s">
        <v>1027</v>
      </c>
      <c r="E16073" t="s">
        <v>1028</v>
      </c>
      <c r="F16073">
        <v>119.72</v>
      </c>
      <c r="G16073">
        <v>231215</v>
      </c>
      <c r="H16073">
        <v>4600</v>
      </c>
      <c r="I16073" t="s">
        <v>105</v>
      </c>
      <c r="J16073">
        <v>148.44999999999999</v>
      </c>
      <c r="K16073">
        <v>28.73</v>
      </c>
      <c r="L16073">
        <v>17523</v>
      </c>
      <c r="M16073" t="s">
        <v>134</v>
      </c>
      <c r="N16073" t="str">
        <f>"4380561     "</f>
        <v xml:space="preserve">4380561     </v>
      </c>
      <c r="O16073">
        <v>240108</v>
      </c>
    </row>
    <row r="16074" spans="1:15" x14ac:dyDescent="0.25">
      <c r="A16074" t="s">
        <v>16</v>
      </c>
      <c r="B16074" t="s">
        <v>3221</v>
      </c>
      <c r="C16074">
        <v>14798</v>
      </c>
      <c r="D16074" t="s">
        <v>2800</v>
      </c>
      <c r="E16074" t="s">
        <v>2801</v>
      </c>
      <c r="F16074">
        <v>258.77</v>
      </c>
      <c r="G16074">
        <v>231031</v>
      </c>
      <c r="H16074">
        <v>4412</v>
      </c>
      <c r="I16074" t="s">
        <v>149</v>
      </c>
      <c r="J16074">
        <v>295</v>
      </c>
      <c r="K16074">
        <v>36.229999999999997</v>
      </c>
      <c r="L16074">
        <v>18972</v>
      </c>
      <c r="M16074" t="s">
        <v>163</v>
      </c>
      <c r="N16074" t="str">
        <f>"10146       "</f>
        <v xml:space="preserve">10146       </v>
      </c>
      <c r="O16074">
        <v>231106</v>
      </c>
    </row>
    <row r="16075" spans="1:15" x14ac:dyDescent="0.25">
      <c r="A16075" t="s">
        <v>16</v>
      </c>
      <c r="B16075" t="s">
        <v>3221</v>
      </c>
      <c r="C16075">
        <v>14847</v>
      </c>
      <c r="D16075" t="s">
        <v>2800</v>
      </c>
      <c r="E16075" t="s">
        <v>2801</v>
      </c>
      <c r="F16075">
        <v>77.98</v>
      </c>
      <c r="G16075">
        <v>231031</v>
      </c>
      <c r="H16075">
        <v>4410</v>
      </c>
      <c r="I16075" t="s">
        <v>517</v>
      </c>
      <c r="J16075">
        <v>88.9</v>
      </c>
      <c r="K16075">
        <v>10.92</v>
      </c>
      <c r="L16075">
        <v>18972</v>
      </c>
      <c r="M16075" t="s">
        <v>163</v>
      </c>
      <c r="N16075" t="str">
        <f>"10147       "</f>
        <v xml:space="preserve">10147       </v>
      </c>
      <c r="O16075">
        <v>231107</v>
      </c>
    </row>
    <row r="16076" spans="1:15" x14ac:dyDescent="0.25">
      <c r="A16076" t="s">
        <v>16</v>
      </c>
      <c r="B16076" t="s">
        <v>3221</v>
      </c>
      <c r="C16076">
        <v>15947</v>
      </c>
      <c r="D16076" t="s">
        <v>2918</v>
      </c>
      <c r="E16076" t="s">
        <v>2919</v>
      </c>
      <c r="F16076">
        <v>200</v>
      </c>
      <c r="G16076">
        <v>231121</v>
      </c>
      <c r="H16076">
        <v>4440</v>
      </c>
      <c r="I16076" t="s">
        <v>250</v>
      </c>
      <c r="J16076">
        <v>248</v>
      </c>
      <c r="K16076">
        <v>48</v>
      </c>
      <c r="L16076">
        <v>17537</v>
      </c>
      <c r="M16076" t="s">
        <v>455</v>
      </c>
      <c r="N16076" t="str">
        <f>"3014        "</f>
        <v xml:space="preserve">3014        </v>
      </c>
      <c r="O16076">
        <v>231122</v>
      </c>
    </row>
    <row r="16077" spans="1:15" x14ac:dyDescent="0.25">
      <c r="A16077" t="s">
        <v>16</v>
      </c>
      <c r="B16077" t="s">
        <v>3221</v>
      </c>
      <c r="C16077">
        <v>6519</v>
      </c>
      <c r="D16077" t="s">
        <v>3222</v>
      </c>
      <c r="E16077" t="s">
        <v>3223</v>
      </c>
      <c r="F16077">
        <v>89</v>
      </c>
      <c r="G16077">
        <v>230511</v>
      </c>
      <c r="H16077">
        <v>4346</v>
      </c>
      <c r="I16077" t="s">
        <v>197</v>
      </c>
      <c r="J16077">
        <v>89</v>
      </c>
      <c r="K16077">
        <v>0</v>
      </c>
      <c r="L16077">
        <v>17737</v>
      </c>
      <c r="M16077" t="s">
        <v>279</v>
      </c>
      <c r="N16077" t="str">
        <f>"4300133857  "</f>
        <v xml:space="preserve">4300133857  </v>
      </c>
      <c r="O16077">
        <v>230512</v>
      </c>
    </row>
    <row r="16078" spans="1:15" x14ac:dyDescent="0.25">
      <c r="A16078" t="s">
        <v>16</v>
      </c>
      <c r="B16078" t="s">
        <v>3221</v>
      </c>
      <c r="C16078">
        <v>14048</v>
      </c>
      <c r="D16078" t="s">
        <v>3222</v>
      </c>
      <c r="E16078" t="s">
        <v>3223</v>
      </c>
      <c r="F16078">
        <v>948</v>
      </c>
      <c r="G16078">
        <v>230930</v>
      </c>
      <c r="H16078">
        <v>4346</v>
      </c>
      <c r="I16078" t="s">
        <v>197</v>
      </c>
      <c r="J16078">
        <v>948</v>
      </c>
      <c r="K16078">
        <v>0</v>
      </c>
      <c r="L16078">
        <v>17737</v>
      </c>
      <c r="M16078" t="s">
        <v>279</v>
      </c>
      <c r="N16078" t="str">
        <f>"4300151153  "</f>
        <v xml:space="preserve">4300151153  </v>
      </c>
      <c r="O16078">
        <v>231018</v>
      </c>
    </row>
    <row r="16079" spans="1:15" x14ac:dyDescent="0.25">
      <c r="A16079" t="s">
        <v>16</v>
      </c>
      <c r="B16079" t="s">
        <v>3221</v>
      </c>
      <c r="C16079">
        <v>18505</v>
      </c>
      <c r="D16079" t="s">
        <v>3222</v>
      </c>
      <c r="E16079" t="s">
        <v>3223</v>
      </c>
      <c r="F16079">
        <v>18</v>
      </c>
      <c r="G16079">
        <v>231221</v>
      </c>
      <c r="H16079">
        <v>4346</v>
      </c>
      <c r="I16079" t="s">
        <v>197</v>
      </c>
      <c r="J16079">
        <v>18</v>
      </c>
      <c r="K16079">
        <v>0</v>
      </c>
      <c r="L16079">
        <v>16321</v>
      </c>
      <c r="M16079" t="s">
        <v>423</v>
      </c>
      <c r="N16079" t="str">
        <f>"4300165434  "</f>
        <v xml:space="preserve">4300165434  </v>
      </c>
      <c r="O16079">
        <v>240103</v>
      </c>
    </row>
    <row r="16080" spans="1:15" x14ac:dyDescent="0.25">
      <c r="A16080" t="s">
        <v>16</v>
      </c>
      <c r="B16080" t="s">
        <v>3221</v>
      </c>
      <c r="C16080">
        <v>18505</v>
      </c>
      <c r="D16080" t="s">
        <v>3222</v>
      </c>
      <c r="E16080" t="s">
        <v>3223</v>
      </c>
      <c r="F16080">
        <v>18</v>
      </c>
      <c r="G16080">
        <v>231221</v>
      </c>
      <c r="H16080">
        <v>4346</v>
      </c>
      <c r="I16080" t="s">
        <v>197</v>
      </c>
      <c r="J16080">
        <v>18</v>
      </c>
      <c r="K16080">
        <v>0</v>
      </c>
      <c r="L16080">
        <v>16322</v>
      </c>
      <c r="M16080" t="s">
        <v>22</v>
      </c>
      <c r="N16080" t="str">
        <f>"4300165434  "</f>
        <v xml:space="preserve">4300165434  </v>
      </c>
      <c r="O16080">
        <v>240103</v>
      </c>
    </row>
    <row r="16081" spans="1:15" x14ac:dyDescent="0.25">
      <c r="A16081" t="s">
        <v>16</v>
      </c>
      <c r="B16081" t="s">
        <v>3221</v>
      </c>
      <c r="C16081">
        <v>18505</v>
      </c>
      <c r="D16081" t="s">
        <v>3222</v>
      </c>
      <c r="E16081" t="s">
        <v>3223</v>
      </c>
      <c r="F16081">
        <v>24</v>
      </c>
      <c r="G16081">
        <v>231221</v>
      </c>
      <c r="H16081">
        <v>4346</v>
      </c>
      <c r="I16081" t="s">
        <v>197</v>
      </c>
      <c r="J16081">
        <v>24</v>
      </c>
      <c r="K16081">
        <v>0</v>
      </c>
      <c r="L16081">
        <v>17711</v>
      </c>
      <c r="M16081" t="s">
        <v>65</v>
      </c>
      <c r="N16081" t="str">
        <f>"4300165434  "</f>
        <v xml:space="preserve">4300165434  </v>
      </c>
      <c r="O16081">
        <v>240103</v>
      </c>
    </row>
    <row r="16082" spans="1:15" x14ac:dyDescent="0.25">
      <c r="A16082" t="s">
        <v>16</v>
      </c>
      <c r="B16082" t="s">
        <v>3221</v>
      </c>
      <c r="C16082">
        <v>9817</v>
      </c>
      <c r="D16082" t="s">
        <v>3222</v>
      </c>
      <c r="E16082" t="s">
        <v>3223</v>
      </c>
      <c r="F16082">
        <v>60.9</v>
      </c>
      <c r="G16082">
        <v>230718</v>
      </c>
      <c r="H16082">
        <v>4385</v>
      </c>
      <c r="I16082" t="s">
        <v>365</v>
      </c>
      <c r="J16082">
        <v>60.9</v>
      </c>
      <c r="K16082">
        <v>0</v>
      </c>
      <c r="L16082">
        <v>17737</v>
      </c>
      <c r="M16082" t="s">
        <v>279</v>
      </c>
      <c r="N16082" t="str">
        <f>"4300143611  "</f>
        <v xml:space="preserve">4300143611  </v>
      </c>
      <c r="O16082">
        <v>230726</v>
      </c>
    </row>
    <row r="16083" spans="1:15" x14ac:dyDescent="0.25">
      <c r="A16083" t="s">
        <v>16</v>
      </c>
      <c r="B16083" t="s">
        <v>3221</v>
      </c>
      <c r="C16083">
        <v>1120</v>
      </c>
      <c r="D16083" t="s">
        <v>3222</v>
      </c>
      <c r="E16083" t="s">
        <v>3223</v>
      </c>
      <c r="F16083">
        <v>18</v>
      </c>
      <c r="G16083">
        <v>230125</v>
      </c>
      <c r="H16083">
        <v>4600</v>
      </c>
      <c r="I16083" t="s">
        <v>105</v>
      </c>
      <c r="J16083">
        <v>18</v>
      </c>
      <c r="K16083">
        <v>0</v>
      </c>
      <c r="L16083">
        <v>44222</v>
      </c>
      <c r="M16083" t="s">
        <v>232</v>
      </c>
      <c r="N16083" t="str">
        <f>"4300121978  "</f>
        <v xml:space="preserve">4300121978  </v>
      </c>
      <c r="O16083">
        <v>230203</v>
      </c>
    </row>
    <row r="16084" spans="1:15" x14ac:dyDescent="0.25">
      <c r="A16084" t="s">
        <v>16</v>
      </c>
      <c r="B16084" t="s">
        <v>3221</v>
      </c>
      <c r="C16084">
        <v>2313</v>
      </c>
      <c r="D16084" t="s">
        <v>3222</v>
      </c>
      <c r="E16084" t="s">
        <v>3223</v>
      </c>
      <c r="F16084">
        <v>12</v>
      </c>
      <c r="G16084">
        <v>230201</v>
      </c>
      <c r="H16084">
        <v>4600</v>
      </c>
      <c r="I16084" t="s">
        <v>105</v>
      </c>
      <c r="J16084">
        <v>12</v>
      </c>
      <c r="K16084">
        <v>0</v>
      </c>
      <c r="L16084">
        <v>14422</v>
      </c>
      <c r="M16084" t="s">
        <v>228</v>
      </c>
      <c r="N16084" t="str">
        <f>"4300123660  "</f>
        <v xml:space="preserve">4300123660  </v>
      </c>
      <c r="O16084">
        <v>230224</v>
      </c>
    </row>
    <row r="16085" spans="1:15" x14ac:dyDescent="0.25">
      <c r="A16085" t="s">
        <v>16</v>
      </c>
      <c r="B16085" t="s">
        <v>3221</v>
      </c>
      <c r="C16085">
        <v>2349</v>
      </c>
      <c r="D16085" t="s">
        <v>3222</v>
      </c>
      <c r="E16085" t="s">
        <v>3223</v>
      </c>
      <c r="F16085">
        <v>6</v>
      </c>
      <c r="G16085">
        <v>230201</v>
      </c>
      <c r="H16085">
        <v>4600</v>
      </c>
      <c r="I16085" t="s">
        <v>105</v>
      </c>
      <c r="J16085">
        <v>6</v>
      </c>
      <c r="K16085">
        <v>0</v>
      </c>
      <c r="L16085">
        <v>59815</v>
      </c>
      <c r="M16085" t="s">
        <v>1182</v>
      </c>
      <c r="N16085" t="str">
        <f>"4300123696  "</f>
        <v xml:space="preserve">4300123696  </v>
      </c>
      <c r="O16085">
        <v>230224</v>
      </c>
    </row>
    <row r="16086" spans="1:15" x14ac:dyDescent="0.25">
      <c r="A16086" t="s">
        <v>16</v>
      </c>
      <c r="B16086" t="s">
        <v>3221</v>
      </c>
      <c r="C16086">
        <v>3069</v>
      </c>
      <c r="D16086" t="s">
        <v>3222</v>
      </c>
      <c r="E16086" t="s">
        <v>3223</v>
      </c>
      <c r="F16086">
        <v>18</v>
      </c>
      <c r="G16086">
        <v>230228</v>
      </c>
      <c r="H16086">
        <v>4600</v>
      </c>
      <c r="I16086" t="s">
        <v>105</v>
      </c>
      <c r="J16086">
        <v>18</v>
      </c>
      <c r="K16086">
        <v>0</v>
      </c>
      <c r="L16086">
        <v>43222</v>
      </c>
      <c r="M16086" t="s">
        <v>507</v>
      </c>
      <c r="N16086" t="str">
        <f>"4300124444  "</f>
        <v xml:space="preserve">4300124444  </v>
      </c>
      <c r="O16086">
        <v>230309</v>
      </c>
    </row>
    <row r="16087" spans="1:15" x14ac:dyDescent="0.25">
      <c r="A16087" t="s">
        <v>16</v>
      </c>
      <c r="B16087" t="s">
        <v>3221</v>
      </c>
      <c r="C16087">
        <v>3744</v>
      </c>
      <c r="D16087" t="s">
        <v>3222</v>
      </c>
      <c r="E16087" t="s">
        <v>3223</v>
      </c>
      <c r="F16087">
        <v>30</v>
      </c>
      <c r="G16087">
        <v>230320</v>
      </c>
      <c r="H16087">
        <v>4600</v>
      </c>
      <c r="I16087" t="s">
        <v>105</v>
      </c>
      <c r="J16087">
        <v>30</v>
      </c>
      <c r="K16087">
        <v>0</v>
      </c>
      <c r="L16087">
        <v>14422</v>
      </c>
      <c r="M16087" t="s">
        <v>228</v>
      </c>
      <c r="N16087" t="str">
        <f>"4300125685  "</f>
        <v xml:space="preserve">4300125685  </v>
      </c>
      <c r="O16087">
        <v>230321</v>
      </c>
    </row>
    <row r="16088" spans="1:15" x14ac:dyDescent="0.25">
      <c r="A16088" t="s">
        <v>16</v>
      </c>
      <c r="B16088" t="s">
        <v>3221</v>
      </c>
      <c r="C16088">
        <v>4227</v>
      </c>
      <c r="D16088" t="s">
        <v>3222</v>
      </c>
      <c r="E16088" t="s">
        <v>3223</v>
      </c>
      <c r="F16088">
        <v>6</v>
      </c>
      <c r="G16088">
        <v>230327</v>
      </c>
      <c r="H16088">
        <v>4600</v>
      </c>
      <c r="I16088" t="s">
        <v>105</v>
      </c>
      <c r="J16088">
        <v>6</v>
      </c>
      <c r="K16088">
        <v>0</v>
      </c>
      <c r="L16088">
        <v>14422</v>
      </c>
      <c r="M16088" t="s">
        <v>228</v>
      </c>
      <c r="N16088" t="str">
        <f>"4300125835  "</f>
        <v xml:space="preserve">4300125835  </v>
      </c>
      <c r="O16088">
        <v>230403</v>
      </c>
    </row>
    <row r="16089" spans="1:15" x14ac:dyDescent="0.25">
      <c r="A16089" t="s">
        <v>16</v>
      </c>
      <c r="B16089" t="s">
        <v>3221</v>
      </c>
      <c r="C16089">
        <v>4650</v>
      </c>
      <c r="D16089" t="s">
        <v>3222</v>
      </c>
      <c r="E16089" t="s">
        <v>3223</v>
      </c>
      <c r="F16089">
        <v>6</v>
      </c>
      <c r="G16089">
        <v>230330</v>
      </c>
      <c r="H16089">
        <v>4600</v>
      </c>
      <c r="I16089" t="s">
        <v>105</v>
      </c>
      <c r="J16089">
        <v>6</v>
      </c>
      <c r="K16089">
        <v>0</v>
      </c>
      <c r="L16089">
        <v>43222</v>
      </c>
      <c r="M16089" t="s">
        <v>507</v>
      </c>
      <c r="N16089" t="str">
        <f>"4300127001  "</f>
        <v xml:space="preserve">4300127001  </v>
      </c>
      <c r="O16089">
        <v>230411</v>
      </c>
    </row>
    <row r="16090" spans="1:15" x14ac:dyDescent="0.25">
      <c r="A16090" t="s">
        <v>16</v>
      </c>
      <c r="B16090" t="s">
        <v>3221</v>
      </c>
      <c r="C16090">
        <v>4650</v>
      </c>
      <c r="D16090" t="s">
        <v>3222</v>
      </c>
      <c r="E16090" t="s">
        <v>3223</v>
      </c>
      <c r="F16090">
        <v>6</v>
      </c>
      <c r="G16090">
        <v>230330</v>
      </c>
      <c r="H16090">
        <v>4600</v>
      </c>
      <c r="I16090" t="s">
        <v>105</v>
      </c>
      <c r="J16090">
        <v>6</v>
      </c>
      <c r="K16090">
        <v>0</v>
      </c>
      <c r="L16090">
        <v>49808</v>
      </c>
      <c r="M16090" t="s">
        <v>3262</v>
      </c>
      <c r="N16090" t="str">
        <f>"4300127001  "</f>
        <v xml:space="preserve">4300127001  </v>
      </c>
      <c r="O16090">
        <v>230411</v>
      </c>
    </row>
    <row r="16091" spans="1:15" x14ac:dyDescent="0.25">
      <c r="A16091" t="s">
        <v>16</v>
      </c>
      <c r="B16091" t="s">
        <v>3221</v>
      </c>
      <c r="C16091">
        <v>5282</v>
      </c>
      <c r="D16091" t="s">
        <v>3222</v>
      </c>
      <c r="E16091" t="s">
        <v>3223</v>
      </c>
      <c r="F16091">
        <v>6</v>
      </c>
      <c r="G16091">
        <v>230418</v>
      </c>
      <c r="H16091">
        <v>4600</v>
      </c>
      <c r="I16091" t="s">
        <v>105</v>
      </c>
      <c r="J16091">
        <v>6</v>
      </c>
      <c r="K16091">
        <v>0</v>
      </c>
      <c r="L16091">
        <v>14422</v>
      </c>
      <c r="M16091" t="s">
        <v>228</v>
      </c>
      <c r="N16091" t="str">
        <f>"4300127660  "</f>
        <v xml:space="preserve">4300127660  </v>
      </c>
      <c r="O16091">
        <v>230420</v>
      </c>
    </row>
    <row r="16092" spans="1:15" x14ac:dyDescent="0.25">
      <c r="A16092" t="s">
        <v>16</v>
      </c>
      <c r="B16092" t="s">
        <v>3221</v>
      </c>
      <c r="C16092">
        <v>5284</v>
      </c>
      <c r="D16092" t="s">
        <v>3222</v>
      </c>
      <c r="E16092" t="s">
        <v>3223</v>
      </c>
      <c r="F16092">
        <v>18</v>
      </c>
      <c r="G16092">
        <v>230412</v>
      </c>
      <c r="H16092">
        <v>4600</v>
      </c>
      <c r="I16092" t="s">
        <v>105</v>
      </c>
      <c r="J16092">
        <v>18</v>
      </c>
      <c r="K16092">
        <v>0</v>
      </c>
      <c r="L16092">
        <v>44222</v>
      </c>
      <c r="M16092" t="s">
        <v>232</v>
      </c>
      <c r="N16092" t="str">
        <f>"4300127628  "</f>
        <v xml:space="preserve">4300127628  </v>
      </c>
      <c r="O16092">
        <v>230420</v>
      </c>
    </row>
    <row r="16093" spans="1:15" x14ac:dyDescent="0.25">
      <c r="A16093" t="s">
        <v>16</v>
      </c>
      <c r="B16093" t="s">
        <v>3221</v>
      </c>
      <c r="C16093">
        <v>5341</v>
      </c>
      <c r="D16093" t="s">
        <v>3222</v>
      </c>
      <c r="E16093" t="s">
        <v>3223</v>
      </c>
      <c r="F16093">
        <v>6</v>
      </c>
      <c r="G16093">
        <v>230401</v>
      </c>
      <c r="H16093">
        <v>4600</v>
      </c>
      <c r="I16093" t="s">
        <v>105</v>
      </c>
      <c r="J16093">
        <v>6</v>
      </c>
      <c r="K16093">
        <v>0</v>
      </c>
      <c r="L16093">
        <v>59815</v>
      </c>
      <c r="M16093" t="s">
        <v>1182</v>
      </c>
      <c r="N16093" t="str">
        <f>"4300128201  "</f>
        <v xml:space="preserve">4300128201  </v>
      </c>
      <c r="O16093">
        <v>230421</v>
      </c>
    </row>
    <row r="16094" spans="1:15" x14ac:dyDescent="0.25">
      <c r="A16094" t="s">
        <v>16</v>
      </c>
      <c r="B16094" t="s">
        <v>3221</v>
      </c>
      <c r="C16094">
        <v>6289</v>
      </c>
      <c r="D16094" t="s">
        <v>3222</v>
      </c>
      <c r="E16094" t="s">
        <v>3223</v>
      </c>
      <c r="F16094">
        <v>69.33</v>
      </c>
      <c r="G16094">
        <v>230505</v>
      </c>
      <c r="H16094">
        <v>4600</v>
      </c>
      <c r="I16094" t="s">
        <v>105</v>
      </c>
      <c r="J16094">
        <v>85.97</v>
      </c>
      <c r="K16094">
        <v>16.64</v>
      </c>
      <c r="L16094">
        <v>67554</v>
      </c>
      <c r="M16094" t="s">
        <v>60</v>
      </c>
      <c r="N16094" t="str">
        <f>"4300132789  "</f>
        <v xml:space="preserve">4300132789  </v>
      </c>
      <c r="O16094">
        <v>230509</v>
      </c>
    </row>
    <row r="16095" spans="1:15" x14ac:dyDescent="0.25">
      <c r="A16095" t="s">
        <v>16</v>
      </c>
      <c r="B16095" t="s">
        <v>3221</v>
      </c>
      <c r="C16095">
        <v>6828</v>
      </c>
      <c r="D16095" t="s">
        <v>3222</v>
      </c>
      <c r="E16095" t="s">
        <v>3223</v>
      </c>
      <c r="F16095">
        <v>30</v>
      </c>
      <c r="G16095">
        <v>230509</v>
      </c>
      <c r="H16095">
        <v>4600</v>
      </c>
      <c r="I16095" t="s">
        <v>105</v>
      </c>
      <c r="J16095">
        <v>30</v>
      </c>
      <c r="K16095">
        <v>0</v>
      </c>
      <c r="L16095">
        <v>44222</v>
      </c>
      <c r="M16095" t="s">
        <v>232</v>
      </c>
      <c r="N16095" t="str">
        <f>"4300133429  "</f>
        <v xml:space="preserve">4300133429  </v>
      </c>
      <c r="O16095">
        <v>230522</v>
      </c>
    </row>
    <row r="16096" spans="1:15" x14ac:dyDescent="0.25">
      <c r="A16096" t="s">
        <v>16</v>
      </c>
      <c r="B16096" t="s">
        <v>3221</v>
      </c>
      <c r="C16096">
        <v>7390</v>
      </c>
      <c r="D16096" t="s">
        <v>3222</v>
      </c>
      <c r="E16096" t="s">
        <v>3223</v>
      </c>
      <c r="F16096">
        <v>12</v>
      </c>
      <c r="G16096">
        <v>230523</v>
      </c>
      <c r="H16096">
        <v>4600</v>
      </c>
      <c r="I16096" t="s">
        <v>105</v>
      </c>
      <c r="J16096">
        <v>12</v>
      </c>
      <c r="K16096">
        <v>0</v>
      </c>
      <c r="L16096">
        <v>14422</v>
      </c>
      <c r="M16096" t="s">
        <v>228</v>
      </c>
      <c r="N16096" t="str">
        <f>"4300135310  "</f>
        <v xml:space="preserve">4300135310  </v>
      </c>
      <c r="O16096">
        <v>230529</v>
      </c>
    </row>
    <row r="16097" spans="1:15" x14ac:dyDescent="0.25">
      <c r="A16097" t="s">
        <v>16</v>
      </c>
      <c r="B16097" t="s">
        <v>3221</v>
      </c>
      <c r="C16097">
        <v>7401</v>
      </c>
      <c r="D16097" t="s">
        <v>3222</v>
      </c>
      <c r="E16097" t="s">
        <v>3223</v>
      </c>
      <c r="F16097">
        <v>12</v>
      </c>
      <c r="G16097">
        <v>230523</v>
      </c>
      <c r="H16097">
        <v>4600</v>
      </c>
      <c r="I16097" t="s">
        <v>105</v>
      </c>
      <c r="J16097">
        <v>12</v>
      </c>
      <c r="K16097">
        <v>0</v>
      </c>
      <c r="L16097">
        <v>14861</v>
      </c>
      <c r="M16097" t="s">
        <v>785</v>
      </c>
      <c r="N16097" t="str">
        <f>"4300135394  "</f>
        <v xml:space="preserve">4300135394  </v>
      </c>
      <c r="O16097">
        <v>230529</v>
      </c>
    </row>
    <row r="16098" spans="1:15" x14ac:dyDescent="0.25">
      <c r="A16098" t="s">
        <v>16</v>
      </c>
      <c r="B16098" t="s">
        <v>3221</v>
      </c>
      <c r="C16098">
        <v>7706</v>
      </c>
      <c r="D16098" t="s">
        <v>3222</v>
      </c>
      <c r="E16098" t="s">
        <v>3223</v>
      </c>
      <c r="F16098">
        <v>18</v>
      </c>
      <c r="G16098">
        <v>230512</v>
      </c>
      <c r="H16098">
        <v>4600</v>
      </c>
      <c r="I16098" t="s">
        <v>105</v>
      </c>
      <c r="J16098">
        <v>18</v>
      </c>
      <c r="K16098">
        <v>0</v>
      </c>
      <c r="L16098">
        <v>44222</v>
      </c>
      <c r="M16098" t="s">
        <v>232</v>
      </c>
      <c r="N16098" t="str">
        <f>"4300134486  "</f>
        <v xml:space="preserve">4300134486  </v>
      </c>
      <c r="O16098">
        <v>230602</v>
      </c>
    </row>
    <row r="16099" spans="1:15" x14ac:dyDescent="0.25">
      <c r="A16099" t="s">
        <v>16</v>
      </c>
      <c r="B16099" t="s">
        <v>3221</v>
      </c>
      <c r="C16099">
        <v>7706</v>
      </c>
      <c r="D16099" t="s">
        <v>3222</v>
      </c>
      <c r="E16099" t="s">
        <v>3223</v>
      </c>
      <c r="F16099">
        <v>60</v>
      </c>
      <c r="G16099">
        <v>230512</v>
      </c>
      <c r="H16099">
        <v>4600</v>
      </c>
      <c r="I16099" t="s">
        <v>105</v>
      </c>
      <c r="J16099">
        <v>60</v>
      </c>
      <c r="K16099">
        <v>0</v>
      </c>
      <c r="L16099">
        <v>44321</v>
      </c>
      <c r="M16099" t="s">
        <v>3284</v>
      </c>
      <c r="N16099" t="str">
        <f>"4300134486  "</f>
        <v xml:space="preserve">4300134486  </v>
      </c>
      <c r="O16099">
        <v>230602</v>
      </c>
    </row>
    <row r="16100" spans="1:15" x14ac:dyDescent="0.25">
      <c r="A16100" t="s">
        <v>16</v>
      </c>
      <c r="B16100" t="s">
        <v>3221</v>
      </c>
      <c r="C16100">
        <v>7706</v>
      </c>
      <c r="D16100" t="s">
        <v>3222</v>
      </c>
      <c r="E16100" t="s">
        <v>3223</v>
      </c>
      <c r="F16100">
        <v>6</v>
      </c>
      <c r="G16100">
        <v>230512</v>
      </c>
      <c r="H16100">
        <v>4600</v>
      </c>
      <c r="I16100" t="s">
        <v>105</v>
      </c>
      <c r="J16100">
        <v>6</v>
      </c>
      <c r="K16100">
        <v>0</v>
      </c>
      <c r="L16100">
        <v>49808</v>
      </c>
      <c r="M16100" t="s">
        <v>3262</v>
      </c>
      <c r="N16100" t="str">
        <f>"4300134486  "</f>
        <v xml:space="preserve">4300134486  </v>
      </c>
      <c r="O16100">
        <v>230602</v>
      </c>
    </row>
    <row r="16101" spans="1:15" x14ac:dyDescent="0.25">
      <c r="A16101" t="s">
        <v>16</v>
      </c>
      <c r="B16101" t="s">
        <v>3221</v>
      </c>
      <c r="C16101">
        <v>8546</v>
      </c>
      <c r="D16101" t="s">
        <v>3222</v>
      </c>
      <c r="E16101" t="s">
        <v>3223</v>
      </c>
      <c r="F16101">
        <v>6</v>
      </c>
      <c r="G16101">
        <v>230531</v>
      </c>
      <c r="H16101">
        <v>4600</v>
      </c>
      <c r="I16101" t="s">
        <v>105</v>
      </c>
      <c r="J16101">
        <v>6</v>
      </c>
      <c r="K16101">
        <v>0</v>
      </c>
      <c r="L16101">
        <v>14422</v>
      </c>
      <c r="M16101" t="s">
        <v>228</v>
      </c>
      <c r="N16101" t="str">
        <f>"4300135978  "</f>
        <v xml:space="preserve">4300135978  </v>
      </c>
      <c r="O16101">
        <v>230612</v>
      </c>
    </row>
    <row r="16102" spans="1:15" x14ac:dyDescent="0.25">
      <c r="A16102" t="s">
        <v>16</v>
      </c>
      <c r="B16102" t="s">
        <v>3221</v>
      </c>
      <c r="C16102">
        <v>8963</v>
      </c>
      <c r="D16102" t="s">
        <v>3222</v>
      </c>
      <c r="E16102" t="s">
        <v>3223</v>
      </c>
      <c r="F16102">
        <v>24</v>
      </c>
      <c r="G16102">
        <v>230612</v>
      </c>
      <c r="H16102">
        <v>4600</v>
      </c>
      <c r="I16102" t="s">
        <v>105</v>
      </c>
      <c r="J16102">
        <v>24</v>
      </c>
      <c r="K16102">
        <v>0</v>
      </c>
      <c r="L16102">
        <v>14422</v>
      </c>
      <c r="M16102" t="s">
        <v>228</v>
      </c>
      <c r="N16102" t="str">
        <f>"4300137579  "</f>
        <v xml:space="preserve">4300137579  </v>
      </c>
      <c r="O16102">
        <v>230620</v>
      </c>
    </row>
    <row r="16103" spans="1:15" x14ac:dyDescent="0.25">
      <c r="A16103" t="s">
        <v>16</v>
      </c>
      <c r="B16103" t="s">
        <v>3221</v>
      </c>
      <c r="C16103">
        <v>9050</v>
      </c>
      <c r="D16103" t="s">
        <v>3222</v>
      </c>
      <c r="E16103" t="s">
        <v>3223</v>
      </c>
      <c r="F16103">
        <v>6</v>
      </c>
      <c r="G16103">
        <v>230616</v>
      </c>
      <c r="H16103">
        <v>4600</v>
      </c>
      <c r="I16103" t="s">
        <v>105</v>
      </c>
      <c r="J16103">
        <v>6</v>
      </c>
      <c r="K16103">
        <v>0</v>
      </c>
      <c r="L16103">
        <v>58601</v>
      </c>
      <c r="M16103" t="s">
        <v>251</v>
      </c>
      <c r="N16103" t="str">
        <f>"4300141476  "</f>
        <v xml:space="preserve">4300141476  </v>
      </c>
      <c r="O16103">
        <v>230622</v>
      </c>
    </row>
    <row r="16104" spans="1:15" x14ac:dyDescent="0.25">
      <c r="A16104" t="s">
        <v>16</v>
      </c>
      <c r="B16104" t="s">
        <v>3221</v>
      </c>
      <c r="C16104">
        <v>9050</v>
      </c>
      <c r="D16104" t="s">
        <v>3222</v>
      </c>
      <c r="E16104" t="s">
        <v>3223</v>
      </c>
      <c r="F16104">
        <v>12</v>
      </c>
      <c r="G16104">
        <v>230616</v>
      </c>
      <c r="H16104">
        <v>4600</v>
      </c>
      <c r="I16104" t="s">
        <v>105</v>
      </c>
      <c r="J16104">
        <v>12</v>
      </c>
      <c r="K16104">
        <v>0</v>
      </c>
      <c r="L16104">
        <v>59815</v>
      </c>
      <c r="M16104" t="s">
        <v>1182</v>
      </c>
      <c r="N16104" t="str">
        <f>"4300141476  "</f>
        <v xml:space="preserve">4300141476  </v>
      </c>
      <c r="O16104">
        <v>230622</v>
      </c>
    </row>
    <row r="16105" spans="1:15" x14ac:dyDescent="0.25">
      <c r="A16105" t="s">
        <v>16</v>
      </c>
      <c r="B16105" t="s">
        <v>3221</v>
      </c>
      <c r="C16105">
        <v>9259</v>
      </c>
      <c r="D16105" t="s">
        <v>3222</v>
      </c>
      <c r="E16105" t="s">
        <v>3223</v>
      </c>
      <c r="F16105">
        <v>6</v>
      </c>
      <c r="G16105">
        <v>230629</v>
      </c>
      <c r="H16105">
        <v>4600</v>
      </c>
      <c r="I16105" t="s">
        <v>105</v>
      </c>
      <c r="J16105">
        <v>6</v>
      </c>
      <c r="K16105">
        <v>0</v>
      </c>
      <c r="L16105">
        <v>14422</v>
      </c>
      <c r="M16105" t="s">
        <v>228</v>
      </c>
      <c r="N16105" t="str">
        <f>"4300141789  "</f>
        <v xml:space="preserve">4300141789  </v>
      </c>
      <c r="O16105">
        <v>230703</v>
      </c>
    </row>
    <row r="16106" spans="1:15" x14ac:dyDescent="0.25">
      <c r="A16106" t="s">
        <v>16</v>
      </c>
      <c r="B16106" t="s">
        <v>3221</v>
      </c>
      <c r="C16106">
        <v>9991</v>
      </c>
      <c r="D16106" t="s">
        <v>3222</v>
      </c>
      <c r="E16106" t="s">
        <v>3223</v>
      </c>
      <c r="F16106">
        <v>18</v>
      </c>
      <c r="G16106">
        <v>230724</v>
      </c>
      <c r="H16106">
        <v>4600</v>
      </c>
      <c r="I16106" t="s">
        <v>105</v>
      </c>
      <c r="J16106">
        <v>18</v>
      </c>
      <c r="K16106">
        <v>0</v>
      </c>
      <c r="L16106">
        <v>49808</v>
      </c>
      <c r="M16106" t="s">
        <v>3262</v>
      </c>
      <c r="N16106" t="str">
        <f>"4300135770  "</f>
        <v xml:space="preserve">4300135770  </v>
      </c>
      <c r="O16106">
        <v>230807</v>
      </c>
    </row>
    <row r="16107" spans="1:15" x14ac:dyDescent="0.25">
      <c r="A16107" t="s">
        <v>16</v>
      </c>
      <c r="B16107" t="s">
        <v>3221</v>
      </c>
      <c r="C16107">
        <v>9992</v>
      </c>
      <c r="D16107" t="s">
        <v>3222</v>
      </c>
      <c r="E16107" t="s">
        <v>3223</v>
      </c>
      <c r="F16107">
        <v>6</v>
      </c>
      <c r="G16107">
        <v>230724</v>
      </c>
      <c r="H16107">
        <v>4600</v>
      </c>
      <c r="I16107" t="s">
        <v>105</v>
      </c>
      <c r="J16107">
        <v>6</v>
      </c>
      <c r="K16107">
        <v>0</v>
      </c>
      <c r="L16107">
        <v>44222</v>
      </c>
      <c r="M16107" t="s">
        <v>232</v>
      </c>
      <c r="N16107" t="str">
        <f>"4300135871  "</f>
        <v xml:space="preserve">4300135871  </v>
      </c>
      <c r="O16107">
        <v>230807</v>
      </c>
    </row>
    <row r="16108" spans="1:15" x14ac:dyDescent="0.25">
      <c r="A16108" t="s">
        <v>16</v>
      </c>
      <c r="B16108" t="s">
        <v>3221</v>
      </c>
      <c r="C16108">
        <v>11862</v>
      </c>
      <c r="D16108" t="s">
        <v>3222</v>
      </c>
      <c r="E16108" t="s">
        <v>3223</v>
      </c>
      <c r="F16108">
        <v>6</v>
      </c>
      <c r="G16108">
        <v>230831</v>
      </c>
      <c r="H16108">
        <v>4600</v>
      </c>
      <c r="I16108" t="s">
        <v>105</v>
      </c>
      <c r="J16108">
        <v>6</v>
      </c>
      <c r="K16108">
        <v>0</v>
      </c>
      <c r="L16108">
        <v>49808</v>
      </c>
      <c r="M16108" t="s">
        <v>3262</v>
      </c>
      <c r="N16108" t="str">
        <f>"4300146926  "</f>
        <v xml:space="preserve">4300146926  </v>
      </c>
      <c r="O16108">
        <v>230911</v>
      </c>
    </row>
    <row r="16109" spans="1:15" x14ac:dyDescent="0.25">
      <c r="A16109" t="s">
        <v>16</v>
      </c>
      <c r="B16109" t="s">
        <v>3221</v>
      </c>
      <c r="C16109">
        <v>11945</v>
      </c>
      <c r="D16109" t="s">
        <v>3222</v>
      </c>
      <c r="E16109" t="s">
        <v>3223</v>
      </c>
      <c r="F16109">
        <v>6</v>
      </c>
      <c r="G16109">
        <v>230830</v>
      </c>
      <c r="H16109">
        <v>4600</v>
      </c>
      <c r="I16109" t="s">
        <v>105</v>
      </c>
      <c r="J16109">
        <v>6</v>
      </c>
      <c r="K16109">
        <v>0</v>
      </c>
      <c r="L16109">
        <v>14422</v>
      </c>
      <c r="M16109" t="s">
        <v>228</v>
      </c>
      <c r="N16109" t="str">
        <f>"4300146856  "</f>
        <v xml:space="preserve">4300146856  </v>
      </c>
      <c r="O16109">
        <v>230912</v>
      </c>
    </row>
    <row r="16110" spans="1:15" x14ac:dyDescent="0.25">
      <c r="A16110" t="s">
        <v>16</v>
      </c>
      <c r="B16110" t="s">
        <v>3221</v>
      </c>
      <c r="C16110">
        <v>11947</v>
      </c>
      <c r="D16110" t="s">
        <v>3222</v>
      </c>
      <c r="E16110" t="s">
        <v>3223</v>
      </c>
      <c r="F16110">
        <v>48</v>
      </c>
      <c r="G16110">
        <v>230831</v>
      </c>
      <c r="H16110">
        <v>4600</v>
      </c>
      <c r="I16110" t="s">
        <v>105</v>
      </c>
      <c r="J16110">
        <v>48</v>
      </c>
      <c r="K16110">
        <v>0</v>
      </c>
      <c r="L16110">
        <v>14422</v>
      </c>
      <c r="M16110" t="s">
        <v>228</v>
      </c>
      <c r="N16110" t="str">
        <f>"4300146911  "</f>
        <v xml:space="preserve">4300146911  </v>
      </c>
      <c r="O16110">
        <v>230912</v>
      </c>
    </row>
    <row r="16111" spans="1:15" x14ac:dyDescent="0.25">
      <c r="A16111" t="s">
        <v>16</v>
      </c>
      <c r="B16111" t="s">
        <v>3221</v>
      </c>
      <c r="C16111">
        <v>13043</v>
      </c>
      <c r="D16111" t="s">
        <v>3222</v>
      </c>
      <c r="E16111" t="s">
        <v>3223</v>
      </c>
      <c r="F16111">
        <v>72.8</v>
      </c>
      <c r="G16111">
        <v>230926</v>
      </c>
      <c r="H16111">
        <v>4600</v>
      </c>
      <c r="I16111" t="s">
        <v>105</v>
      </c>
      <c r="J16111">
        <v>90.27</v>
      </c>
      <c r="K16111">
        <v>17.47</v>
      </c>
      <c r="L16111">
        <v>67554</v>
      </c>
      <c r="M16111" t="s">
        <v>60</v>
      </c>
      <c r="N16111" t="str">
        <f>"4300148831  "</f>
        <v xml:space="preserve">4300148831  </v>
      </c>
      <c r="O16111">
        <v>231002</v>
      </c>
    </row>
    <row r="16112" spans="1:15" x14ac:dyDescent="0.25">
      <c r="A16112" t="s">
        <v>16</v>
      </c>
      <c r="B16112" t="s">
        <v>3221</v>
      </c>
      <c r="C16112">
        <v>13662</v>
      </c>
      <c r="D16112" t="s">
        <v>3222</v>
      </c>
      <c r="E16112" t="s">
        <v>3223</v>
      </c>
      <c r="F16112">
        <v>36</v>
      </c>
      <c r="G16112">
        <v>230930</v>
      </c>
      <c r="H16112">
        <v>4600</v>
      </c>
      <c r="I16112" t="s">
        <v>105</v>
      </c>
      <c r="J16112">
        <v>36</v>
      </c>
      <c r="K16112">
        <v>0</v>
      </c>
      <c r="L16112">
        <v>14422</v>
      </c>
      <c r="M16112" t="s">
        <v>228</v>
      </c>
      <c r="N16112" t="str">
        <f>"4300150069  "</f>
        <v xml:space="preserve">4300150069  </v>
      </c>
      <c r="O16112">
        <v>231012</v>
      </c>
    </row>
    <row r="16113" spans="1:15" x14ac:dyDescent="0.25">
      <c r="A16113" t="s">
        <v>16</v>
      </c>
      <c r="B16113" t="s">
        <v>3221</v>
      </c>
      <c r="C16113">
        <v>13664</v>
      </c>
      <c r="D16113" t="s">
        <v>3222</v>
      </c>
      <c r="E16113" t="s">
        <v>3223</v>
      </c>
      <c r="F16113">
        <v>12</v>
      </c>
      <c r="G16113">
        <v>230929</v>
      </c>
      <c r="H16113">
        <v>4600</v>
      </c>
      <c r="I16113" t="s">
        <v>105</v>
      </c>
      <c r="J16113">
        <v>12</v>
      </c>
      <c r="K16113">
        <v>0</v>
      </c>
      <c r="L16113">
        <v>44222</v>
      </c>
      <c r="M16113" t="s">
        <v>232</v>
      </c>
      <c r="N16113" t="str">
        <f>"4300150217  "</f>
        <v xml:space="preserve">4300150217  </v>
      </c>
      <c r="O16113">
        <v>231012</v>
      </c>
    </row>
    <row r="16114" spans="1:15" x14ac:dyDescent="0.25">
      <c r="A16114" t="s">
        <v>16</v>
      </c>
      <c r="B16114" t="s">
        <v>3221</v>
      </c>
      <c r="C16114">
        <v>14172</v>
      </c>
      <c r="D16114" t="s">
        <v>3222</v>
      </c>
      <c r="E16114" t="s">
        <v>3223</v>
      </c>
      <c r="F16114">
        <v>24</v>
      </c>
      <c r="G16114">
        <v>231001</v>
      </c>
      <c r="H16114">
        <v>4600</v>
      </c>
      <c r="I16114" t="s">
        <v>105</v>
      </c>
      <c r="J16114">
        <v>24</v>
      </c>
      <c r="K16114">
        <v>0</v>
      </c>
      <c r="L16114">
        <v>14640</v>
      </c>
      <c r="M16114" t="s">
        <v>229</v>
      </c>
      <c r="N16114" t="str">
        <f>"4300150170  "</f>
        <v xml:space="preserve">4300150170  </v>
      </c>
      <c r="O16114">
        <v>231023</v>
      </c>
    </row>
    <row r="16115" spans="1:15" x14ac:dyDescent="0.25">
      <c r="A16115" t="s">
        <v>16</v>
      </c>
      <c r="B16115" t="s">
        <v>3221</v>
      </c>
      <c r="C16115">
        <v>15392</v>
      </c>
      <c r="D16115" t="s">
        <v>3222</v>
      </c>
      <c r="E16115" t="s">
        <v>3223</v>
      </c>
      <c r="F16115">
        <v>42</v>
      </c>
      <c r="G16115">
        <v>231031</v>
      </c>
      <c r="H16115">
        <v>4600</v>
      </c>
      <c r="I16115" t="s">
        <v>105</v>
      </c>
      <c r="J16115">
        <v>42</v>
      </c>
      <c r="K16115">
        <v>0</v>
      </c>
      <c r="L16115">
        <v>14422</v>
      </c>
      <c r="M16115" t="s">
        <v>228</v>
      </c>
      <c r="N16115" t="str">
        <f>"4300157745  "</f>
        <v xml:space="preserve">4300157745  </v>
      </c>
      <c r="O16115">
        <v>231113</v>
      </c>
    </row>
    <row r="16116" spans="1:15" x14ac:dyDescent="0.25">
      <c r="A16116" t="s">
        <v>16</v>
      </c>
      <c r="B16116" t="s">
        <v>3221</v>
      </c>
      <c r="C16116">
        <v>15548</v>
      </c>
      <c r="D16116" t="s">
        <v>3222</v>
      </c>
      <c r="E16116" t="s">
        <v>3223</v>
      </c>
      <c r="F16116">
        <v>6</v>
      </c>
      <c r="G16116">
        <v>231031</v>
      </c>
      <c r="H16116">
        <v>4600</v>
      </c>
      <c r="I16116" t="s">
        <v>105</v>
      </c>
      <c r="J16116">
        <v>6</v>
      </c>
      <c r="K16116">
        <v>0</v>
      </c>
      <c r="L16116">
        <v>53222</v>
      </c>
      <c r="M16116" t="s">
        <v>445</v>
      </c>
      <c r="N16116" t="str">
        <f>"4300157983  "</f>
        <v xml:space="preserve">4300157983  </v>
      </c>
      <c r="O16116">
        <v>231113</v>
      </c>
    </row>
    <row r="16117" spans="1:15" x14ac:dyDescent="0.25">
      <c r="A16117" t="s">
        <v>16</v>
      </c>
      <c r="B16117" t="s">
        <v>3221</v>
      </c>
      <c r="C16117">
        <v>15581</v>
      </c>
      <c r="D16117" t="s">
        <v>3222</v>
      </c>
      <c r="E16117" t="s">
        <v>3223</v>
      </c>
      <c r="F16117">
        <v>12</v>
      </c>
      <c r="G16117">
        <v>231030</v>
      </c>
      <c r="H16117">
        <v>4600</v>
      </c>
      <c r="I16117" t="s">
        <v>105</v>
      </c>
      <c r="J16117">
        <v>12</v>
      </c>
      <c r="K16117">
        <v>0</v>
      </c>
      <c r="L16117">
        <v>54422</v>
      </c>
      <c r="M16117" t="s">
        <v>234</v>
      </c>
      <c r="N16117" t="str">
        <f>"4300157826  "</f>
        <v xml:space="preserve">4300157826  </v>
      </c>
      <c r="O16117">
        <v>231114</v>
      </c>
    </row>
    <row r="16118" spans="1:15" x14ac:dyDescent="0.25">
      <c r="A16118" t="s">
        <v>16</v>
      </c>
      <c r="B16118" t="s">
        <v>3221</v>
      </c>
      <c r="C16118">
        <v>15581</v>
      </c>
      <c r="D16118" t="s">
        <v>3222</v>
      </c>
      <c r="E16118" t="s">
        <v>3223</v>
      </c>
      <c r="F16118">
        <v>18</v>
      </c>
      <c r="G16118">
        <v>231030</v>
      </c>
      <c r="H16118">
        <v>4600</v>
      </c>
      <c r="I16118" t="s">
        <v>105</v>
      </c>
      <c r="J16118">
        <v>18</v>
      </c>
      <c r="K16118">
        <v>0</v>
      </c>
      <c r="L16118">
        <v>56563</v>
      </c>
      <c r="M16118" t="s">
        <v>953</v>
      </c>
      <c r="N16118" t="str">
        <f>"4300157826  "</f>
        <v xml:space="preserve">4300157826  </v>
      </c>
      <c r="O16118">
        <v>231114</v>
      </c>
    </row>
    <row r="16119" spans="1:15" x14ac:dyDescent="0.25">
      <c r="A16119" t="s">
        <v>16</v>
      </c>
      <c r="B16119" t="s">
        <v>3221</v>
      </c>
      <c r="C16119">
        <v>16437</v>
      </c>
      <c r="D16119" t="s">
        <v>3222</v>
      </c>
      <c r="E16119" t="s">
        <v>3223</v>
      </c>
      <c r="F16119">
        <v>6</v>
      </c>
      <c r="G16119">
        <v>231122</v>
      </c>
      <c r="H16119">
        <v>4600</v>
      </c>
      <c r="I16119" t="s">
        <v>105</v>
      </c>
      <c r="J16119">
        <v>6</v>
      </c>
      <c r="K16119">
        <v>0</v>
      </c>
      <c r="L16119">
        <v>14422</v>
      </c>
      <c r="M16119" t="s">
        <v>228</v>
      </c>
      <c r="N16119" t="str">
        <f>"4300160141  "</f>
        <v xml:space="preserve">4300160141  </v>
      </c>
      <c r="O16119">
        <v>231129</v>
      </c>
    </row>
    <row r="16120" spans="1:15" x14ac:dyDescent="0.25">
      <c r="A16120" t="s">
        <v>16</v>
      </c>
      <c r="B16120" t="s">
        <v>3221</v>
      </c>
      <c r="C16120">
        <v>16521</v>
      </c>
      <c r="D16120" t="s">
        <v>3222</v>
      </c>
      <c r="E16120" t="s">
        <v>3223</v>
      </c>
      <c r="F16120">
        <v>48</v>
      </c>
      <c r="G16120">
        <v>231121</v>
      </c>
      <c r="H16120">
        <v>4600</v>
      </c>
      <c r="I16120" t="s">
        <v>105</v>
      </c>
      <c r="J16120">
        <v>48</v>
      </c>
      <c r="K16120">
        <v>0</v>
      </c>
      <c r="L16120">
        <v>59815</v>
      </c>
      <c r="M16120" t="s">
        <v>1182</v>
      </c>
      <c r="N16120" t="str">
        <f>"4300159740  "</f>
        <v xml:space="preserve">4300159740  </v>
      </c>
      <c r="O16120">
        <v>231201</v>
      </c>
    </row>
    <row r="16121" spans="1:15" x14ac:dyDescent="0.25">
      <c r="A16121" t="s">
        <v>16</v>
      </c>
      <c r="B16121" t="s">
        <v>3221</v>
      </c>
      <c r="C16121">
        <v>16543</v>
      </c>
      <c r="D16121" t="s">
        <v>3222</v>
      </c>
      <c r="E16121" t="s">
        <v>3223</v>
      </c>
      <c r="F16121">
        <v>6</v>
      </c>
      <c r="G16121">
        <v>231123</v>
      </c>
      <c r="H16121">
        <v>4600</v>
      </c>
      <c r="I16121" t="s">
        <v>105</v>
      </c>
      <c r="J16121">
        <v>6</v>
      </c>
      <c r="K16121">
        <v>0</v>
      </c>
      <c r="L16121">
        <v>54422</v>
      </c>
      <c r="M16121" t="s">
        <v>234</v>
      </c>
      <c r="N16121" t="str">
        <f>"4300160377  "</f>
        <v xml:space="preserve">4300160377  </v>
      </c>
      <c r="O16121">
        <v>231201</v>
      </c>
    </row>
    <row r="16122" spans="1:15" x14ac:dyDescent="0.25">
      <c r="A16122" t="s">
        <v>16</v>
      </c>
      <c r="B16122" t="s">
        <v>3221</v>
      </c>
      <c r="C16122">
        <v>16543</v>
      </c>
      <c r="D16122" t="s">
        <v>3222</v>
      </c>
      <c r="E16122" t="s">
        <v>3223</v>
      </c>
      <c r="F16122">
        <v>6</v>
      </c>
      <c r="G16122">
        <v>231123</v>
      </c>
      <c r="H16122">
        <v>4600</v>
      </c>
      <c r="I16122" t="s">
        <v>105</v>
      </c>
      <c r="J16122">
        <v>6</v>
      </c>
      <c r="K16122">
        <v>0</v>
      </c>
      <c r="L16122">
        <v>56563</v>
      </c>
      <c r="M16122" t="s">
        <v>953</v>
      </c>
      <c r="N16122" t="str">
        <f>"4300160377  "</f>
        <v xml:space="preserve">4300160377  </v>
      </c>
      <c r="O16122">
        <v>231201</v>
      </c>
    </row>
    <row r="16123" spans="1:15" x14ac:dyDescent="0.25">
      <c r="A16123" t="s">
        <v>16</v>
      </c>
      <c r="B16123" t="s">
        <v>3221</v>
      </c>
      <c r="C16123">
        <v>16543</v>
      </c>
      <c r="D16123" t="s">
        <v>3222</v>
      </c>
      <c r="E16123" t="s">
        <v>3223</v>
      </c>
      <c r="F16123">
        <v>114</v>
      </c>
      <c r="G16123">
        <v>231123</v>
      </c>
      <c r="H16123">
        <v>4600</v>
      </c>
      <c r="I16123" t="s">
        <v>105</v>
      </c>
      <c r="J16123">
        <v>114</v>
      </c>
      <c r="K16123">
        <v>0</v>
      </c>
      <c r="L16123">
        <v>59815</v>
      </c>
      <c r="M16123" t="s">
        <v>1182</v>
      </c>
      <c r="N16123" t="str">
        <f>"4300160377  "</f>
        <v xml:space="preserve">4300160377  </v>
      </c>
      <c r="O16123">
        <v>231201</v>
      </c>
    </row>
    <row r="16124" spans="1:15" x14ac:dyDescent="0.25">
      <c r="A16124" t="s">
        <v>16</v>
      </c>
      <c r="B16124" t="s">
        <v>3221</v>
      </c>
      <c r="C16124">
        <v>16865</v>
      </c>
      <c r="D16124" t="s">
        <v>3222</v>
      </c>
      <c r="E16124" t="s">
        <v>3223</v>
      </c>
      <c r="F16124">
        <v>18</v>
      </c>
      <c r="G16124">
        <v>231130</v>
      </c>
      <c r="H16124">
        <v>4600</v>
      </c>
      <c r="I16124" t="s">
        <v>105</v>
      </c>
      <c r="J16124">
        <v>18</v>
      </c>
      <c r="K16124">
        <v>0</v>
      </c>
      <c r="L16124">
        <v>49808</v>
      </c>
      <c r="M16124" t="s">
        <v>3262</v>
      </c>
      <c r="N16124" t="str">
        <f>"4300160617  "</f>
        <v xml:space="preserve">4300160617  </v>
      </c>
      <c r="O16124">
        <v>231211</v>
      </c>
    </row>
    <row r="16125" spans="1:15" x14ac:dyDescent="0.25">
      <c r="A16125" t="s">
        <v>16</v>
      </c>
      <c r="B16125" t="s">
        <v>3221</v>
      </c>
      <c r="C16125">
        <v>17148</v>
      </c>
      <c r="D16125" t="s">
        <v>3222</v>
      </c>
      <c r="E16125" t="s">
        <v>3223</v>
      </c>
      <c r="F16125">
        <v>6</v>
      </c>
      <c r="G16125">
        <v>231205</v>
      </c>
      <c r="H16125">
        <v>4600</v>
      </c>
      <c r="I16125" t="s">
        <v>105</v>
      </c>
      <c r="J16125">
        <v>6</v>
      </c>
      <c r="K16125">
        <v>0</v>
      </c>
      <c r="L16125">
        <v>14422</v>
      </c>
      <c r="M16125" t="s">
        <v>228</v>
      </c>
      <c r="N16125" t="str">
        <f>"4300160580  "</f>
        <v xml:space="preserve">4300160580  </v>
      </c>
      <c r="O16125">
        <v>231212</v>
      </c>
    </row>
    <row r="16126" spans="1:15" x14ac:dyDescent="0.25">
      <c r="A16126" t="s">
        <v>16</v>
      </c>
      <c r="B16126" t="s">
        <v>3221</v>
      </c>
      <c r="C16126">
        <v>17317</v>
      </c>
      <c r="D16126" t="s">
        <v>3222</v>
      </c>
      <c r="E16126" t="s">
        <v>3223</v>
      </c>
      <c r="F16126">
        <v>12</v>
      </c>
      <c r="G16126">
        <v>231129</v>
      </c>
      <c r="H16126">
        <v>4600</v>
      </c>
      <c r="I16126" t="s">
        <v>105</v>
      </c>
      <c r="J16126">
        <v>12</v>
      </c>
      <c r="K16126">
        <v>0</v>
      </c>
      <c r="L16126">
        <v>54422</v>
      </c>
      <c r="M16126" t="s">
        <v>234</v>
      </c>
      <c r="N16126" t="str">
        <f>"4300160664  "</f>
        <v xml:space="preserve">4300160664  </v>
      </c>
      <c r="O16126">
        <v>231213</v>
      </c>
    </row>
    <row r="16127" spans="1:15" x14ac:dyDescent="0.25">
      <c r="A16127" t="s">
        <v>16</v>
      </c>
      <c r="B16127" t="s">
        <v>3221</v>
      </c>
      <c r="C16127">
        <v>18287</v>
      </c>
      <c r="D16127" t="s">
        <v>3222</v>
      </c>
      <c r="E16127" t="s">
        <v>3223</v>
      </c>
      <c r="F16127">
        <v>156</v>
      </c>
      <c r="G16127">
        <v>231214</v>
      </c>
      <c r="H16127">
        <v>4600</v>
      </c>
      <c r="I16127" t="s">
        <v>105</v>
      </c>
      <c r="J16127">
        <v>156</v>
      </c>
      <c r="K16127">
        <v>0</v>
      </c>
      <c r="L16127">
        <v>44321</v>
      </c>
      <c r="M16127" t="s">
        <v>3284</v>
      </c>
      <c r="N16127" t="str">
        <f>"4300161896  "</f>
        <v xml:space="preserve">4300161896  </v>
      </c>
      <c r="O16127">
        <v>240102</v>
      </c>
    </row>
    <row r="16128" spans="1:15" x14ac:dyDescent="0.25">
      <c r="A16128" t="s">
        <v>16</v>
      </c>
      <c r="B16128" t="s">
        <v>3221</v>
      </c>
      <c r="C16128">
        <v>18522</v>
      </c>
      <c r="D16128" t="s">
        <v>3222</v>
      </c>
      <c r="E16128" t="s">
        <v>3223</v>
      </c>
      <c r="F16128">
        <v>24</v>
      </c>
      <c r="G16128">
        <v>231215</v>
      </c>
      <c r="H16128">
        <v>4600</v>
      </c>
      <c r="I16128" t="s">
        <v>105</v>
      </c>
      <c r="J16128">
        <v>24</v>
      </c>
      <c r="K16128">
        <v>0</v>
      </c>
      <c r="L16128">
        <v>44222</v>
      </c>
      <c r="M16128" t="s">
        <v>232</v>
      </c>
      <c r="N16128" t="str">
        <f>"4300162011  "</f>
        <v xml:space="preserve">4300162011  </v>
      </c>
      <c r="O16128">
        <v>240103</v>
      </c>
    </row>
    <row r="16129" spans="1:15" x14ac:dyDescent="0.25">
      <c r="A16129" t="s">
        <v>16</v>
      </c>
      <c r="B16129" t="s">
        <v>3221</v>
      </c>
      <c r="C16129">
        <v>18724</v>
      </c>
      <c r="D16129" t="s">
        <v>3222</v>
      </c>
      <c r="E16129" t="s">
        <v>3223</v>
      </c>
      <c r="F16129">
        <v>12</v>
      </c>
      <c r="G16129">
        <v>231228</v>
      </c>
      <c r="H16129">
        <v>4600</v>
      </c>
      <c r="I16129" t="s">
        <v>105</v>
      </c>
      <c r="J16129">
        <v>12</v>
      </c>
      <c r="K16129">
        <v>0</v>
      </c>
      <c r="L16129">
        <v>59815</v>
      </c>
      <c r="M16129" t="s">
        <v>1182</v>
      </c>
      <c r="N16129" t="str">
        <f>"4300165357  "</f>
        <v xml:space="preserve">4300165357  </v>
      </c>
      <c r="O16129">
        <v>240105</v>
      </c>
    </row>
    <row r="16130" spans="1:15" x14ac:dyDescent="0.25">
      <c r="A16130" t="s">
        <v>16</v>
      </c>
      <c r="B16130" t="s">
        <v>3221</v>
      </c>
      <c r="C16130">
        <v>19290</v>
      </c>
      <c r="D16130" t="s">
        <v>3222</v>
      </c>
      <c r="E16130" t="s">
        <v>3223</v>
      </c>
      <c r="F16130">
        <v>6</v>
      </c>
      <c r="G16130">
        <v>231231</v>
      </c>
      <c r="H16130">
        <v>4600</v>
      </c>
      <c r="I16130" t="s">
        <v>105</v>
      </c>
      <c r="J16130">
        <v>6</v>
      </c>
      <c r="K16130">
        <v>0</v>
      </c>
      <c r="L16130">
        <v>44321</v>
      </c>
      <c r="M16130" t="s">
        <v>3284</v>
      </c>
      <c r="N16130" t="str">
        <f>"4300167762  "</f>
        <v xml:space="preserve">4300167762  </v>
      </c>
      <c r="O16130">
        <v>240116</v>
      </c>
    </row>
    <row r="16131" spans="1:15" x14ac:dyDescent="0.25">
      <c r="A16131" t="s">
        <v>16</v>
      </c>
      <c r="B16131" t="s">
        <v>3221</v>
      </c>
      <c r="C16131">
        <v>19298</v>
      </c>
      <c r="D16131" t="s">
        <v>3222</v>
      </c>
      <c r="E16131" t="s">
        <v>3223</v>
      </c>
      <c r="F16131">
        <v>6</v>
      </c>
      <c r="G16131">
        <v>231231</v>
      </c>
      <c r="H16131">
        <v>4600</v>
      </c>
      <c r="I16131" t="s">
        <v>105</v>
      </c>
      <c r="J16131">
        <v>6</v>
      </c>
      <c r="K16131">
        <v>0</v>
      </c>
      <c r="L16131">
        <v>14422</v>
      </c>
      <c r="M16131" t="s">
        <v>228</v>
      </c>
      <c r="N16131" t="str">
        <f>"4300167728  "</f>
        <v xml:space="preserve">4300167728  </v>
      </c>
      <c r="O16131">
        <v>240116</v>
      </c>
    </row>
    <row r="16132" spans="1:15" x14ac:dyDescent="0.25">
      <c r="A16132" t="s">
        <v>16</v>
      </c>
      <c r="B16132" t="s">
        <v>3221</v>
      </c>
      <c r="C16132">
        <v>6286</v>
      </c>
      <c r="D16132" t="s">
        <v>3222</v>
      </c>
      <c r="E16132" t="s">
        <v>3223</v>
      </c>
      <c r="F16132">
        <v>216.45</v>
      </c>
      <c r="G16132">
        <v>230505</v>
      </c>
      <c r="H16132">
        <v>4470</v>
      </c>
      <c r="I16132" t="s">
        <v>83</v>
      </c>
      <c r="J16132">
        <v>268.39999999999998</v>
      </c>
      <c r="K16132">
        <v>51.95</v>
      </c>
      <c r="L16132">
        <v>67554</v>
      </c>
      <c r="M16132" t="s">
        <v>60</v>
      </c>
      <c r="N16132" t="str">
        <f>"4300132566  "</f>
        <v xml:space="preserve">4300132566  </v>
      </c>
      <c r="O16132">
        <v>230509</v>
      </c>
    </row>
    <row r="16133" spans="1:15" x14ac:dyDescent="0.25">
      <c r="A16133" t="s">
        <v>16</v>
      </c>
      <c r="B16133" t="s">
        <v>3221</v>
      </c>
      <c r="C16133">
        <v>6479</v>
      </c>
      <c r="D16133" t="s">
        <v>3222</v>
      </c>
      <c r="E16133" t="s">
        <v>3223</v>
      </c>
      <c r="F16133">
        <v>60.9</v>
      </c>
      <c r="G16133">
        <v>230511</v>
      </c>
      <c r="H16133">
        <v>4470</v>
      </c>
      <c r="I16133" t="s">
        <v>83</v>
      </c>
      <c r="J16133">
        <v>60.9</v>
      </c>
      <c r="K16133">
        <v>0</v>
      </c>
      <c r="L16133">
        <v>67554</v>
      </c>
      <c r="M16133" t="s">
        <v>60</v>
      </c>
      <c r="N16133" t="str">
        <f>"4300133860  "</f>
        <v xml:space="preserve">4300133860  </v>
      </c>
      <c r="O16133">
        <v>230512</v>
      </c>
    </row>
    <row r="16134" spans="1:15" x14ac:dyDescent="0.25">
      <c r="A16134" t="s">
        <v>16</v>
      </c>
      <c r="B16134" t="s">
        <v>3221</v>
      </c>
      <c r="C16134">
        <v>6571</v>
      </c>
      <c r="D16134" t="s">
        <v>3222</v>
      </c>
      <c r="E16134" t="s">
        <v>3223</v>
      </c>
      <c r="F16134">
        <v>70.97</v>
      </c>
      <c r="G16134">
        <v>230512</v>
      </c>
      <c r="H16134">
        <v>4470</v>
      </c>
      <c r="I16134" t="s">
        <v>83</v>
      </c>
      <c r="J16134">
        <v>88</v>
      </c>
      <c r="K16134">
        <v>17.03</v>
      </c>
      <c r="L16134">
        <v>67554</v>
      </c>
      <c r="M16134" t="s">
        <v>60</v>
      </c>
      <c r="N16134" t="str">
        <f>"4300132266  "</f>
        <v xml:space="preserve">4300132266  </v>
      </c>
      <c r="O16134">
        <v>230515</v>
      </c>
    </row>
    <row r="16135" spans="1:15" x14ac:dyDescent="0.25">
      <c r="A16135" t="s">
        <v>16</v>
      </c>
      <c r="B16135" t="s">
        <v>3221</v>
      </c>
      <c r="C16135">
        <v>8970</v>
      </c>
      <c r="D16135" t="s">
        <v>3222</v>
      </c>
      <c r="E16135" t="s">
        <v>3223</v>
      </c>
      <c r="F16135">
        <v>30</v>
      </c>
      <c r="G16135">
        <v>230612</v>
      </c>
      <c r="H16135">
        <v>4470</v>
      </c>
      <c r="I16135" t="s">
        <v>83</v>
      </c>
      <c r="J16135">
        <v>30</v>
      </c>
      <c r="K16135">
        <v>0</v>
      </c>
      <c r="L16135">
        <v>67554</v>
      </c>
      <c r="M16135" t="s">
        <v>60</v>
      </c>
      <c r="N16135" t="str">
        <f>"4300137771  "</f>
        <v xml:space="preserve">4300137771  </v>
      </c>
      <c r="O16135">
        <v>230620</v>
      </c>
    </row>
    <row r="16136" spans="1:15" x14ac:dyDescent="0.25">
      <c r="A16136" t="s">
        <v>16</v>
      </c>
      <c r="B16136" t="s">
        <v>3221</v>
      </c>
      <c r="C16136">
        <v>8983</v>
      </c>
      <c r="D16136" t="s">
        <v>3222</v>
      </c>
      <c r="E16136" t="s">
        <v>3223</v>
      </c>
      <c r="F16136">
        <v>110</v>
      </c>
      <c r="G16136">
        <v>230614</v>
      </c>
      <c r="H16136">
        <v>4470</v>
      </c>
      <c r="I16136" t="s">
        <v>83</v>
      </c>
      <c r="J16136">
        <v>110</v>
      </c>
      <c r="K16136">
        <v>0</v>
      </c>
      <c r="L16136">
        <v>67554</v>
      </c>
      <c r="M16136" t="s">
        <v>60</v>
      </c>
      <c r="N16136" t="str">
        <f>"4300140621  "</f>
        <v xml:space="preserve">4300140621  </v>
      </c>
      <c r="O16136">
        <v>230620</v>
      </c>
    </row>
    <row r="16137" spans="1:15" x14ac:dyDescent="0.25">
      <c r="A16137" t="s">
        <v>16</v>
      </c>
      <c r="B16137" t="s">
        <v>3221</v>
      </c>
      <c r="C16137">
        <v>9717</v>
      </c>
      <c r="D16137" t="s">
        <v>3222</v>
      </c>
      <c r="E16137" t="s">
        <v>3223</v>
      </c>
      <c r="F16137">
        <v>89</v>
      </c>
      <c r="G16137">
        <v>230630</v>
      </c>
      <c r="H16137">
        <v>4470</v>
      </c>
      <c r="I16137" t="s">
        <v>83</v>
      </c>
      <c r="J16137">
        <v>89</v>
      </c>
      <c r="K16137">
        <v>0</v>
      </c>
      <c r="L16137">
        <v>67554</v>
      </c>
      <c r="M16137" t="s">
        <v>60</v>
      </c>
      <c r="N16137" t="str">
        <f>"4300143366  "</f>
        <v xml:space="preserve">4300143366  </v>
      </c>
      <c r="O16137">
        <v>230720</v>
      </c>
    </row>
    <row r="16138" spans="1:15" x14ac:dyDescent="0.25">
      <c r="A16138" t="s">
        <v>16</v>
      </c>
      <c r="B16138" t="s">
        <v>3221</v>
      </c>
      <c r="C16138">
        <v>878</v>
      </c>
      <c r="D16138" t="s">
        <v>3222</v>
      </c>
      <c r="E16138" t="s">
        <v>3223</v>
      </c>
      <c r="F16138">
        <v>6</v>
      </c>
      <c r="G16138">
        <v>230125</v>
      </c>
      <c r="H16138">
        <v>4440</v>
      </c>
      <c r="I16138" t="s">
        <v>250</v>
      </c>
      <c r="J16138">
        <v>6</v>
      </c>
      <c r="K16138">
        <v>0</v>
      </c>
      <c r="L16138">
        <v>16431</v>
      </c>
      <c r="M16138" t="s">
        <v>231</v>
      </c>
      <c r="N16138" t="str">
        <f>"4300121950  "</f>
        <v xml:space="preserve">4300121950  </v>
      </c>
      <c r="O16138">
        <v>230131</v>
      </c>
    </row>
    <row r="16139" spans="1:15" x14ac:dyDescent="0.25">
      <c r="A16139" t="s">
        <v>16</v>
      </c>
      <c r="B16139" t="s">
        <v>3221</v>
      </c>
      <c r="C16139">
        <v>2078</v>
      </c>
      <c r="D16139" t="s">
        <v>3222</v>
      </c>
      <c r="E16139" t="s">
        <v>3223</v>
      </c>
      <c r="F16139">
        <v>6</v>
      </c>
      <c r="G16139">
        <v>230208</v>
      </c>
      <c r="H16139">
        <v>4440</v>
      </c>
      <c r="I16139" t="s">
        <v>250</v>
      </c>
      <c r="J16139">
        <v>6</v>
      </c>
      <c r="K16139">
        <v>0</v>
      </c>
      <c r="L16139">
        <v>69704</v>
      </c>
      <c r="M16139" t="s">
        <v>325</v>
      </c>
      <c r="N16139" t="str">
        <f>"4300123556  "</f>
        <v xml:space="preserve">4300123556  </v>
      </c>
      <c r="O16139">
        <v>230220</v>
      </c>
    </row>
    <row r="16140" spans="1:15" x14ac:dyDescent="0.25">
      <c r="A16140" t="s">
        <v>16</v>
      </c>
      <c r="B16140" t="s">
        <v>3221</v>
      </c>
      <c r="C16140">
        <v>4211</v>
      </c>
      <c r="D16140" t="s">
        <v>3222</v>
      </c>
      <c r="E16140" t="s">
        <v>3223</v>
      </c>
      <c r="F16140">
        <v>6</v>
      </c>
      <c r="G16140">
        <v>230323</v>
      </c>
      <c r="H16140">
        <v>4440</v>
      </c>
      <c r="I16140" t="s">
        <v>250</v>
      </c>
      <c r="J16140">
        <v>6</v>
      </c>
      <c r="K16140">
        <v>0</v>
      </c>
      <c r="L16140">
        <v>54422</v>
      </c>
      <c r="M16140" t="s">
        <v>234</v>
      </c>
      <c r="N16140" t="str">
        <f>"4300125907  "</f>
        <v xml:space="preserve">4300125907  </v>
      </c>
      <c r="O16140">
        <v>230331</v>
      </c>
    </row>
    <row r="16141" spans="1:15" x14ac:dyDescent="0.25">
      <c r="A16141" t="s">
        <v>16</v>
      </c>
      <c r="B16141" t="s">
        <v>3221</v>
      </c>
      <c r="C16141">
        <v>4211</v>
      </c>
      <c r="D16141" t="s">
        <v>3222</v>
      </c>
      <c r="E16141" t="s">
        <v>3223</v>
      </c>
      <c r="F16141">
        <v>30</v>
      </c>
      <c r="G16141">
        <v>230323</v>
      </c>
      <c r="H16141">
        <v>4440</v>
      </c>
      <c r="I16141" t="s">
        <v>250</v>
      </c>
      <c r="J16141">
        <v>30</v>
      </c>
      <c r="K16141">
        <v>0</v>
      </c>
      <c r="L16141">
        <v>59815</v>
      </c>
      <c r="M16141" t="s">
        <v>1182</v>
      </c>
      <c r="N16141" t="str">
        <f>"4300125907  "</f>
        <v xml:space="preserve">4300125907  </v>
      </c>
      <c r="O16141">
        <v>230331</v>
      </c>
    </row>
    <row r="16142" spans="1:15" x14ac:dyDescent="0.25">
      <c r="A16142" t="s">
        <v>16</v>
      </c>
      <c r="B16142" t="s">
        <v>3221</v>
      </c>
      <c r="C16142">
        <v>4590</v>
      </c>
      <c r="D16142" t="s">
        <v>3222</v>
      </c>
      <c r="E16142" t="s">
        <v>3223</v>
      </c>
      <c r="F16142">
        <v>6</v>
      </c>
      <c r="G16142">
        <v>230321</v>
      </c>
      <c r="H16142">
        <v>4440</v>
      </c>
      <c r="I16142" t="s">
        <v>250</v>
      </c>
      <c r="J16142">
        <v>6</v>
      </c>
      <c r="K16142">
        <v>0</v>
      </c>
      <c r="L16142">
        <v>61122</v>
      </c>
      <c r="M16142" t="s">
        <v>402</v>
      </c>
      <c r="N16142" t="str">
        <f>"4300125697  "</f>
        <v xml:space="preserve">4300125697  </v>
      </c>
      <c r="O16142">
        <v>230411</v>
      </c>
    </row>
    <row r="16143" spans="1:15" x14ac:dyDescent="0.25">
      <c r="A16143" t="s">
        <v>16</v>
      </c>
      <c r="B16143" t="s">
        <v>3221</v>
      </c>
      <c r="C16143">
        <v>4590</v>
      </c>
      <c r="D16143" t="s">
        <v>3222</v>
      </c>
      <c r="E16143" t="s">
        <v>3223</v>
      </c>
      <c r="F16143">
        <v>6</v>
      </c>
      <c r="G16143">
        <v>230321</v>
      </c>
      <c r="H16143">
        <v>4440</v>
      </c>
      <c r="I16143" t="s">
        <v>250</v>
      </c>
      <c r="J16143">
        <v>6</v>
      </c>
      <c r="K16143">
        <v>0</v>
      </c>
      <c r="L16143">
        <v>61122</v>
      </c>
      <c r="M16143" t="s">
        <v>402</v>
      </c>
      <c r="N16143" t="str">
        <f>"4300125697  "</f>
        <v xml:space="preserve">4300125697  </v>
      </c>
      <c r="O16143">
        <v>230411</v>
      </c>
    </row>
    <row r="16144" spans="1:15" x14ac:dyDescent="0.25">
      <c r="A16144" t="s">
        <v>16</v>
      </c>
      <c r="B16144" t="s">
        <v>3221</v>
      </c>
      <c r="C16144">
        <v>4649</v>
      </c>
      <c r="D16144" t="s">
        <v>3222</v>
      </c>
      <c r="E16144" t="s">
        <v>3223</v>
      </c>
      <c r="F16144">
        <v>30</v>
      </c>
      <c r="G16144">
        <v>230330</v>
      </c>
      <c r="H16144">
        <v>4440</v>
      </c>
      <c r="I16144" t="s">
        <v>250</v>
      </c>
      <c r="J16144">
        <v>30</v>
      </c>
      <c r="K16144">
        <v>0</v>
      </c>
      <c r="L16144">
        <v>69807</v>
      </c>
      <c r="M16144" t="s">
        <v>3050</v>
      </c>
      <c r="N16144" t="str">
        <f>"4300126985  "</f>
        <v xml:space="preserve">4300126985  </v>
      </c>
      <c r="O16144">
        <v>230411</v>
      </c>
    </row>
    <row r="16145" spans="1:15" x14ac:dyDescent="0.25">
      <c r="A16145" t="s">
        <v>16</v>
      </c>
      <c r="B16145" t="s">
        <v>3221</v>
      </c>
      <c r="C16145">
        <v>7305</v>
      </c>
      <c r="D16145" t="s">
        <v>3222</v>
      </c>
      <c r="E16145" t="s">
        <v>3223</v>
      </c>
      <c r="F16145">
        <v>6</v>
      </c>
      <c r="G16145">
        <v>230517</v>
      </c>
      <c r="H16145">
        <v>4440</v>
      </c>
      <c r="I16145" t="s">
        <v>250</v>
      </c>
      <c r="J16145">
        <v>6</v>
      </c>
      <c r="K16145">
        <v>0</v>
      </c>
      <c r="L16145">
        <v>58601</v>
      </c>
      <c r="M16145" t="s">
        <v>251</v>
      </c>
      <c r="N16145" t="str">
        <f>"4300135332  "</f>
        <v xml:space="preserve">4300135332  </v>
      </c>
      <c r="O16145">
        <v>230526</v>
      </c>
    </row>
    <row r="16146" spans="1:15" x14ac:dyDescent="0.25">
      <c r="A16146" t="s">
        <v>16</v>
      </c>
      <c r="B16146" t="s">
        <v>3221</v>
      </c>
      <c r="C16146">
        <v>7305</v>
      </c>
      <c r="D16146" t="s">
        <v>3222</v>
      </c>
      <c r="E16146" t="s">
        <v>3223</v>
      </c>
      <c r="F16146">
        <v>12</v>
      </c>
      <c r="G16146">
        <v>230517</v>
      </c>
      <c r="H16146">
        <v>4440</v>
      </c>
      <c r="I16146" t="s">
        <v>250</v>
      </c>
      <c r="J16146">
        <v>12</v>
      </c>
      <c r="K16146">
        <v>0</v>
      </c>
      <c r="L16146">
        <v>59815</v>
      </c>
      <c r="M16146" t="s">
        <v>1182</v>
      </c>
      <c r="N16146" t="str">
        <f>"4300135332  "</f>
        <v xml:space="preserve">4300135332  </v>
      </c>
      <c r="O16146">
        <v>230526</v>
      </c>
    </row>
    <row r="16147" spans="1:15" x14ac:dyDescent="0.25">
      <c r="A16147" t="s">
        <v>16</v>
      </c>
      <c r="B16147" t="s">
        <v>3221</v>
      </c>
      <c r="C16147">
        <v>7368</v>
      </c>
      <c r="D16147" t="s">
        <v>3222</v>
      </c>
      <c r="E16147" t="s">
        <v>3223</v>
      </c>
      <c r="F16147">
        <v>30</v>
      </c>
      <c r="G16147">
        <v>230522</v>
      </c>
      <c r="H16147">
        <v>4440</v>
      </c>
      <c r="I16147" t="s">
        <v>250</v>
      </c>
      <c r="J16147">
        <v>30</v>
      </c>
      <c r="K16147">
        <v>0</v>
      </c>
      <c r="L16147">
        <v>16431</v>
      </c>
      <c r="M16147" t="s">
        <v>231</v>
      </c>
      <c r="N16147" t="str">
        <f>"4300135229  "</f>
        <v xml:space="preserve">4300135229  </v>
      </c>
      <c r="O16147">
        <v>230529</v>
      </c>
    </row>
    <row r="16148" spans="1:15" x14ac:dyDescent="0.25">
      <c r="A16148" t="s">
        <v>16</v>
      </c>
      <c r="B16148" t="s">
        <v>3221</v>
      </c>
      <c r="C16148">
        <v>9908</v>
      </c>
      <c r="D16148" t="s">
        <v>3222</v>
      </c>
      <c r="E16148" t="s">
        <v>3223</v>
      </c>
      <c r="F16148">
        <v>41</v>
      </c>
      <c r="G16148">
        <v>230731</v>
      </c>
      <c r="H16148">
        <v>4440</v>
      </c>
      <c r="I16148" t="s">
        <v>250</v>
      </c>
      <c r="J16148">
        <v>41</v>
      </c>
      <c r="K16148">
        <v>0</v>
      </c>
      <c r="L16148">
        <v>16431</v>
      </c>
      <c r="M16148" t="s">
        <v>231</v>
      </c>
      <c r="N16148" t="str">
        <f>"4300141378  "</f>
        <v xml:space="preserve">4300141378  </v>
      </c>
      <c r="O16148">
        <v>230802</v>
      </c>
    </row>
    <row r="16149" spans="1:15" x14ac:dyDescent="0.25">
      <c r="A16149" t="s">
        <v>16</v>
      </c>
      <c r="B16149" t="s">
        <v>3221</v>
      </c>
      <c r="C16149">
        <v>2410</v>
      </c>
      <c r="D16149" t="s">
        <v>3689</v>
      </c>
      <c r="E16149" t="s">
        <v>3376</v>
      </c>
      <c r="F16149">
        <v>90</v>
      </c>
      <c r="G16149">
        <v>230201</v>
      </c>
      <c r="H16149">
        <v>4860</v>
      </c>
      <c r="I16149" t="s">
        <v>28</v>
      </c>
      <c r="J16149">
        <v>90</v>
      </c>
      <c r="K16149">
        <v>0</v>
      </c>
      <c r="L16149">
        <v>13401</v>
      </c>
      <c r="M16149" t="s">
        <v>80</v>
      </c>
      <c r="N16149" t="str">
        <f>"100624      "</f>
        <v xml:space="preserve">100624      </v>
      </c>
      <c r="O16149">
        <v>230227</v>
      </c>
    </row>
    <row r="16150" spans="1:15" x14ac:dyDescent="0.25">
      <c r="A16150" t="s">
        <v>16</v>
      </c>
      <c r="B16150" t="s">
        <v>3221</v>
      </c>
      <c r="C16150">
        <v>6771</v>
      </c>
      <c r="D16150" t="s">
        <v>3689</v>
      </c>
      <c r="E16150" t="s">
        <v>3376</v>
      </c>
      <c r="F16150">
        <v>30</v>
      </c>
      <c r="G16150">
        <v>230512</v>
      </c>
      <c r="H16150">
        <v>4820</v>
      </c>
      <c r="I16150" t="s">
        <v>50</v>
      </c>
      <c r="J16150">
        <v>30</v>
      </c>
      <c r="K16150">
        <v>0</v>
      </c>
      <c r="L16150">
        <v>13401</v>
      </c>
      <c r="M16150" t="s">
        <v>80</v>
      </c>
      <c r="N16150" t="str">
        <f>"100637      "</f>
        <v xml:space="preserve">100637      </v>
      </c>
      <c r="O16150">
        <v>230522</v>
      </c>
    </row>
    <row r="16151" spans="1:15" x14ac:dyDescent="0.25">
      <c r="A16151" t="s">
        <v>16</v>
      </c>
      <c r="B16151" t="s">
        <v>3221</v>
      </c>
      <c r="C16151">
        <v>2499</v>
      </c>
      <c r="D16151" t="s">
        <v>3690</v>
      </c>
      <c r="E16151" t="s">
        <v>1412</v>
      </c>
      <c r="F16151">
        <v>14.11</v>
      </c>
      <c r="G16151">
        <v>230224</v>
      </c>
      <c r="H16151">
        <v>4600</v>
      </c>
      <c r="I16151" t="s">
        <v>105</v>
      </c>
      <c r="J16151">
        <v>17.5</v>
      </c>
      <c r="K16151">
        <v>3.39</v>
      </c>
      <c r="L16151">
        <v>13461</v>
      </c>
      <c r="M16151" t="s">
        <v>1413</v>
      </c>
      <c r="N16151" t="str">
        <f>"210819      "</f>
        <v xml:space="preserve">210819      </v>
      </c>
      <c r="O16151">
        <v>230228</v>
      </c>
    </row>
    <row r="16152" spans="1:15" x14ac:dyDescent="0.25">
      <c r="A16152" t="s">
        <v>16</v>
      </c>
      <c r="B16152" t="s">
        <v>3221</v>
      </c>
      <c r="C16152">
        <v>18701</v>
      </c>
      <c r="D16152" t="s">
        <v>3690</v>
      </c>
      <c r="E16152" t="s">
        <v>1412</v>
      </c>
      <c r="F16152">
        <v>67.819999999999993</v>
      </c>
      <c r="G16152">
        <v>231227</v>
      </c>
      <c r="H16152">
        <v>4600</v>
      </c>
      <c r="I16152" t="s">
        <v>105</v>
      </c>
      <c r="J16152">
        <v>84.1</v>
      </c>
      <c r="K16152">
        <v>16.28</v>
      </c>
      <c r="L16152">
        <v>13401</v>
      </c>
      <c r="M16152" t="s">
        <v>80</v>
      </c>
      <c r="N16152" t="str">
        <f>"211711      "</f>
        <v xml:space="preserve">211711      </v>
      </c>
      <c r="O16152">
        <v>240105</v>
      </c>
    </row>
    <row r="16153" spans="1:15" x14ac:dyDescent="0.25">
      <c r="A16153" t="s">
        <v>16</v>
      </c>
      <c r="B16153" t="s">
        <v>3221</v>
      </c>
      <c r="C16153">
        <v>19308</v>
      </c>
      <c r="D16153" t="s">
        <v>3200</v>
      </c>
      <c r="E16153" t="s">
        <v>3201</v>
      </c>
      <c r="F16153">
        <v>27.41</v>
      </c>
      <c r="G16153">
        <v>231231</v>
      </c>
      <c r="H16153">
        <v>4520</v>
      </c>
      <c r="I16153" t="s">
        <v>254</v>
      </c>
      <c r="J16153">
        <v>27.41</v>
      </c>
      <c r="K16153">
        <v>0</v>
      </c>
      <c r="L16153">
        <v>13401</v>
      </c>
      <c r="M16153" t="s">
        <v>80</v>
      </c>
      <c r="N16153" t="str">
        <f>"401/235328  "</f>
        <v xml:space="preserve">401/235328  </v>
      </c>
      <c r="O16153">
        <v>240117</v>
      </c>
    </row>
    <row r="16154" spans="1:15" x14ac:dyDescent="0.25">
      <c r="A16154" t="s">
        <v>16</v>
      </c>
      <c r="B16154" t="s">
        <v>3221</v>
      </c>
      <c r="C16154">
        <v>19308</v>
      </c>
      <c r="D16154" t="s">
        <v>3200</v>
      </c>
      <c r="E16154" t="s">
        <v>3201</v>
      </c>
      <c r="F16154">
        <v>1977.14</v>
      </c>
      <c r="G16154">
        <v>231231</v>
      </c>
      <c r="H16154">
        <v>4362</v>
      </c>
      <c r="I16154" t="s">
        <v>79</v>
      </c>
      <c r="J16154">
        <v>1977.14</v>
      </c>
      <c r="K16154">
        <v>0</v>
      </c>
      <c r="L16154">
        <v>13401</v>
      </c>
      <c r="M16154" t="s">
        <v>80</v>
      </c>
      <c r="N16154" t="str">
        <f>"401/235328  "</f>
        <v xml:space="preserve">401/235328  </v>
      </c>
      <c r="O16154">
        <v>240117</v>
      </c>
    </row>
    <row r="16155" spans="1:15" x14ac:dyDescent="0.25">
      <c r="A16155" t="s">
        <v>16</v>
      </c>
      <c r="B16155" t="s">
        <v>3221</v>
      </c>
      <c r="C16155">
        <v>19308</v>
      </c>
      <c r="D16155" t="s">
        <v>3200</v>
      </c>
      <c r="E16155" t="s">
        <v>3201</v>
      </c>
      <c r="F16155">
        <v>84.12</v>
      </c>
      <c r="G16155">
        <v>231231</v>
      </c>
      <c r="H16155">
        <v>4580</v>
      </c>
      <c r="I16155" t="s">
        <v>35</v>
      </c>
      <c r="J16155">
        <v>84.12</v>
      </c>
      <c r="K16155">
        <v>0</v>
      </c>
      <c r="L16155">
        <v>13401</v>
      </c>
      <c r="M16155" t="s">
        <v>80</v>
      </c>
      <c r="N16155" t="str">
        <f>"401/235328  "</f>
        <v xml:space="preserve">401/235328  </v>
      </c>
      <c r="O16155">
        <v>240117</v>
      </c>
    </row>
    <row r="16156" spans="1:15" x14ac:dyDescent="0.25">
      <c r="A16156" t="s">
        <v>16</v>
      </c>
      <c r="B16156" t="s">
        <v>3221</v>
      </c>
      <c r="C16156">
        <v>19308</v>
      </c>
      <c r="D16156" t="s">
        <v>3200</v>
      </c>
      <c r="E16156" t="s">
        <v>3201</v>
      </c>
      <c r="F16156">
        <v>132.63999999999999</v>
      </c>
      <c r="G16156">
        <v>231231</v>
      </c>
      <c r="H16156">
        <v>4510</v>
      </c>
      <c r="I16156" t="s">
        <v>42</v>
      </c>
      <c r="J16156">
        <v>132.63999999999999</v>
      </c>
      <c r="K16156">
        <v>0</v>
      </c>
      <c r="L16156">
        <v>13401</v>
      </c>
      <c r="M16156" t="s">
        <v>80</v>
      </c>
      <c r="N16156" t="str">
        <f>"401/235328  "</f>
        <v xml:space="preserve">401/235328  </v>
      </c>
      <c r="O16156">
        <v>240117</v>
      </c>
    </row>
    <row r="16157" spans="1:15" x14ac:dyDescent="0.25">
      <c r="A16157" t="s">
        <v>16</v>
      </c>
      <c r="B16157" t="s">
        <v>3221</v>
      </c>
      <c r="C16157">
        <v>12000</v>
      </c>
      <c r="D16157" t="s">
        <v>3200</v>
      </c>
      <c r="E16157" t="s">
        <v>3201</v>
      </c>
      <c r="F16157">
        <v>12506.54</v>
      </c>
      <c r="G16157">
        <v>230831</v>
      </c>
      <c r="H16157">
        <v>4345</v>
      </c>
      <c r="I16157" t="s">
        <v>2817</v>
      </c>
      <c r="J16157">
        <v>12506.54</v>
      </c>
      <c r="K16157">
        <v>0</v>
      </c>
      <c r="L16157">
        <v>13401</v>
      </c>
      <c r="M16157" t="s">
        <v>80</v>
      </c>
      <c r="N16157" t="str">
        <f>"401/235200  "</f>
        <v xml:space="preserve">401/235200  </v>
      </c>
      <c r="O16157">
        <v>230912</v>
      </c>
    </row>
    <row r="16158" spans="1:15" x14ac:dyDescent="0.25">
      <c r="A16158" t="s">
        <v>16</v>
      </c>
      <c r="B16158" t="s">
        <v>3221</v>
      </c>
      <c r="C16158">
        <v>947</v>
      </c>
      <c r="D16158" t="s">
        <v>3200</v>
      </c>
      <c r="E16158" t="s">
        <v>3201</v>
      </c>
      <c r="F16158">
        <v>45.83</v>
      </c>
      <c r="G16158">
        <v>230101</v>
      </c>
      <c r="H16158">
        <v>4410</v>
      </c>
      <c r="I16158" t="s">
        <v>517</v>
      </c>
      <c r="J16158">
        <v>52.25</v>
      </c>
      <c r="K16158">
        <v>6.42</v>
      </c>
      <c r="L16158">
        <v>13452</v>
      </c>
      <c r="M16158" t="s">
        <v>3226</v>
      </c>
      <c r="N16158" t="str">
        <f>"106/221425  "</f>
        <v xml:space="preserve">106/221425  </v>
      </c>
      <c r="O16158">
        <v>230201</v>
      </c>
    </row>
    <row r="16159" spans="1:15" x14ac:dyDescent="0.25">
      <c r="A16159" t="s">
        <v>16</v>
      </c>
      <c r="B16159" t="s">
        <v>3221</v>
      </c>
      <c r="C16159">
        <v>1718</v>
      </c>
      <c r="D16159" t="s">
        <v>3200</v>
      </c>
      <c r="E16159" t="s">
        <v>3201</v>
      </c>
      <c r="F16159">
        <v>6473.77</v>
      </c>
      <c r="G16159">
        <v>230131</v>
      </c>
      <c r="H16159">
        <v>4410</v>
      </c>
      <c r="I16159" t="s">
        <v>517</v>
      </c>
      <c r="J16159">
        <v>6473.77</v>
      </c>
      <c r="K16159">
        <v>0</v>
      </c>
      <c r="L16159">
        <v>13452</v>
      </c>
      <c r="M16159" t="s">
        <v>3226</v>
      </c>
      <c r="N16159" t="str">
        <f>"106/235109  "</f>
        <v xml:space="preserve">106/235109  </v>
      </c>
      <c r="O16159">
        <v>230213</v>
      </c>
    </row>
    <row r="16160" spans="1:15" x14ac:dyDescent="0.25">
      <c r="A16160" t="s">
        <v>16</v>
      </c>
      <c r="B16160" t="s">
        <v>3221</v>
      </c>
      <c r="C16160">
        <v>2776</v>
      </c>
      <c r="D16160" t="s">
        <v>3200</v>
      </c>
      <c r="E16160" t="s">
        <v>3201</v>
      </c>
      <c r="F16160">
        <v>6830.99</v>
      </c>
      <c r="G16160">
        <v>230228</v>
      </c>
      <c r="H16160">
        <v>4410</v>
      </c>
      <c r="I16160" t="s">
        <v>517</v>
      </c>
      <c r="J16160">
        <v>6830.99</v>
      </c>
      <c r="K16160">
        <v>0</v>
      </c>
      <c r="L16160">
        <v>13452</v>
      </c>
      <c r="M16160" t="s">
        <v>3226</v>
      </c>
      <c r="N16160" t="str">
        <f>"106/235134  "</f>
        <v xml:space="preserve">106/235134  </v>
      </c>
      <c r="O16160">
        <v>230307</v>
      </c>
    </row>
    <row r="16161" spans="1:15" x14ac:dyDescent="0.25">
      <c r="A16161" t="s">
        <v>16</v>
      </c>
      <c r="B16161" t="s">
        <v>3221</v>
      </c>
      <c r="C16161">
        <v>5061</v>
      </c>
      <c r="D16161" t="s">
        <v>3200</v>
      </c>
      <c r="E16161" t="s">
        <v>3201</v>
      </c>
      <c r="F16161">
        <v>7616.2</v>
      </c>
      <c r="G16161">
        <v>230331</v>
      </c>
      <c r="H16161">
        <v>4410</v>
      </c>
      <c r="I16161" t="s">
        <v>517</v>
      </c>
      <c r="J16161">
        <v>7616.2</v>
      </c>
      <c r="K16161">
        <v>0</v>
      </c>
      <c r="L16161">
        <v>13452</v>
      </c>
      <c r="M16161" t="s">
        <v>3226</v>
      </c>
      <c r="N16161" t="str">
        <f>"106/235360  "</f>
        <v xml:space="preserve">106/235360  </v>
      </c>
      <c r="O16161">
        <v>230418</v>
      </c>
    </row>
    <row r="16162" spans="1:15" x14ac:dyDescent="0.25">
      <c r="A16162" t="s">
        <v>16</v>
      </c>
      <c r="B16162" t="s">
        <v>3221</v>
      </c>
      <c r="C16162">
        <v>5062</v>
      </c>
      <c r="D16162" t="s">
        <v>3200</v>
      </c>
      <c r="E16162" t="s">
        <v>3201</v>
      </c>
      <c r="F16162">
        <v>-3.37</v>
      </c>
      <c r="G16162">
        <v>230412</v>
      </c>
      <c r="H16162">
        <v>4410</v>
      </c>
      <c r="I16162" t="s">
        <v>517</v>
      </c>
      <c r="J16162">
        <v>-3.37</v>
      </c>
      <c r="K16162">
        <v>0</v>
      </c>
      <c r="L16162">
        <v>13452</v>
      </c>
      <c r="M16162" t="s">
        <v>3226</v>
      </c>
      <c r="N16162" t="str">
        <f>"106/235359  "</f>
        <v xml:space="preserve">106/235359  </v>
      </c>
      <c r="O16162">
        <v>230418</v>
      </c>
    </row>
    <row r="16163" spans="1:15" x14ac:dyDescent="0.25">
      <c r="A16163" t="s">
        <v>16</v>
      </c>
      <c r="B16163" t="s">
        <v>3221</v>
      </c>
      <c r="C16163">
        <v>5063</v>
      </c>
      <c r="D16163" t="s">
        <v>3200</v>
      </c>
      <c r="E16163" t="s">
        <v>3201</v>
      </c>
      <c r="F16163">
        <v>3.37</v>
      </c>
      <c r="G16163">
        <v>230331</v>
      </c>
      <c r="H16163">
        <v>4410</v>
      </c>
      <c r="I16163" t="s">
        <v>517</v>
      </c>
      <c r="J16163">
        <v>3.37</v>
      </c>
      <c r="K16163">
        <v>0</v>
      </c>
      <c r="L16163">
        <v>13452</v>
      </c>
      <c r="M16163" t="s">
        <v>3226</v>
      </c>
      <c r="N16163" t="str">
        <f>"106/235272  "</f>
        <v xml:space="preserve">106/235272  </v>
      </c>
      <c r="O16163">
        <v>230418</v>
      </c>
    </row>
    <row r="16164" spans="1:15" x14ac:dyDescent="0.25">
      <c r="A16164" t="s">
        <v>16</v>
      </c>
      <c r="B16164" t="s">
        <v>3221</v>
      </c>
      <c r="C16164">
        <v>6322</v>
      </c>
      <c r="D16164" t="s">
        <v>3200</v>
      </c>
      <c r="E16164" t="s">
        <v>3201</v>
      </c>
      <c r="F16164">
        <v>6854.58</v>
      </c>
      <c r="G16164">
        <v>230428</v>
      </c>
      <c r="H16164">
        <v>4410</v>
      </c>
      <c r="I16164" t="s">
        <v>517</v>
      </c>
      <c r="J16164">
        <v>6854.58</v>
      </c>
      <c r="K16164">
        <v>0</v>
      </c>
      <c r="L16164">
        <v>13452</v>
      </c>
      <c r="M16164" t="s">
        <v>3226</v>
      </c>
      <c r="N16164" t="str">
        <f>"106/235412  "</f>
        <v xml:space="preserve">106/235412  </v>
      </c>
      <c r="O16164">
        <v>230510</v>
      </c>
    </row>
    <row r="16165" spans="1:15" x14ac:dyDescent="0.25">
      <c r="A16165" t="s">
        <v>16</v>
      </c>
      <c r="B16165" t="s">
        <v>3221</v>
      </c>
      <c r="C16165">
        <v>7198</v>
      </c>
      <c r="D16165" t="s">
        <v>3200</v>
      </c>
      <c r="E16165" t="s">
        <v>3201</v>
      </c>
      <c r="F16165">
        <v>439.3</v>
      </c>
      <c r="G16165">
        <v>230524</v>
      </c>
      <c r="H16165">
        <v>4410</v>
      </c>
      <c r="I16165" t="s">
        <v>517</v>
      </c>
      <c r="J16165">
        <v>500.8</v>
      </c>
      <c r="K16165">
        <v>61.5</v>
      </c>
      <c r="L16165">
        <v>13401</v>
      </c>
      <c r="M16165" t="s">
        <v>80</v>
      </c>
      <c r="N16165" t="str">
        <f>"106/235548  "</f>
        <v xml:space="preserve">106/235548  </v>
      </c>
      <c r="O16165">
        <v>230526</v>
      </c>
    </row>
    <row r="16166" spans="1:15" x14ac:dyDescent="0.25">
      <c r="A16166" t="s">
        <v>16</v>
      </c>
      <c r="B16166" t="s">
        <v>3221</v>
      </c>
      <c r="C16166">
        <v>8824</v>
      </c>
      <c r="D16166" t="s">
        <v>3200</v>
      </c>
      <c r="E16166" t="s">
        <v>3201</v>
      </c>
      <c r="F16166">
        <v>5533.54</v>
      </c>
      <c r="G16166">
        <v>230531</v>
      </c>
      <c r="H16166">
        <v>4410</v>
      </c>
      <c r="I16166" t="s">
        <v>517</v>
      </c>
      <c r="J16166">
        <v>5533.54</v>
      </c>
      <c r="K16166">
        <v>0</v>
      </c>
      <c r="L16166">
        <v>13452</v>
      </c>
      <c r="M16166" t="s">
        <v>3226</v>
      </c>
      <c r="N16166" t="str">
        <f>"106/235549  "</f>
        <v xml:space="preserve">106/235549  </v>
      </c>
      <c r="O16166">
        <v>230616</v>
      </c>
    </row>
    <row r="16167" spans="1:15" x14ac:dyDescent="0.25">
      <c r="A16167" t="s">
        <v>16</v>
      </c>
      <c r="B16167" t="s">
        <v>3221</v>
      </c>
      <c r="C16167">
        <v>9887</v>
      </c>
      <c r="D16167" t="s">
        <v>3200</v>
      </c>
      <c r="E16167" t="s">
        <v>3201</v>
      </c>
      <c r="F16167">
        <v>114.31</v>
      </c>
      <c r="G16167">
        <v>230727</v>
      </c>
      <c r="H16167">
        <v>4410</v>
      </c>
      <c r="I16167" t="s">
        <v>517</v>
      </c>
      <c r="J16167">
        <v>130.31</v>
      </c>
      <c r="K16167">
        <v>16</v>
      </c>
      <c r="L16167">
        <v>13401</v>
      </c>
      <c r="M16167" t="s">
        <v>80</v>
      </c>
      <c r="N16167" t="str">
        <f>"106/235701  "</f>
        <v xml:space="preserve">106/235701  </v>
      </c>
      <c r="O16167">
        <v>230731</v>
      </c>
    </row>
    <row r="16168" spans="1:15" x14ac:dyDescent="0.25">
      <c r="A16168" t="s">
        <v>16</v>
      </c>
      <c r="B16168" t="s">
        <v>3221</v>
      </c>
      <c r="C16168">
        <v>11989</v>
      </c>
      <c r="D16168" t="s">
        <v>3200</v>
      </c>
      <c r="E16168" t="s">
        <v>3201</v>
      </c>
      <c r="F16168">
        <v>5823.36</v>
      </c>
      <c r="G16168">
        <v>230831</v>
      </c>
      <c r="H16168">
        <v>4410</v>
      </c>
      <c r="I16168" t="s">
        <v>517</v>
      </c>
      <c r="J16168">
        <v>5823.36</v>
      </c>
      <c r="K16168">
        <v>0</v>
      </c>
      <c r="L16168">
        <v>13452</v>
      </c>
      <c r="M16168" t="s">
        <v>3226</v>
      </c>
      <c r="N16168" t="str">
        <f>"106/235702  "</f>
        <v xml:space="preserve">106/235702  </v>
      </c>
      <c r="O16168">
        <v>230912</v>
      </c>
    </row>
    <row r="16169" spans="1:15" x14ac:dyDescent="0.25">
      <c r="A16169" t="s">
        <v>16</v>
      </c>
      <c r="B16169" t="s">
        <v>3221</v>
      </c>
      <c r="C16169">
        <v>13821</v>
      </c>
      <c r="D16169" t="s">
        <v>3200</v>
      </c>
      <c r="E16169" t="s">
        <v>3201</v>
      </c>
      <c r="F16169">
        <v>7501.62</v>
      </c>
      <c r="G16169">
        <v>230930</v>
      </c>
      <c r="H16169">
        <v>4410</v>
      </c>
      <c r="I16169" t="s">
        <v>517</v>
      </c>
      <c r="J16169">
        <v>7501.62</v>
      </c>
      <c r="K16169">
        <v>0</v>
      </c>
      <c r="L16169">
        <v>13452</v>
      </c>
      <c r="M16169" t="s">
        <v>3226</v>
      </c>
      <c r="N16169" t="str">
        <f>"106/235841  "</f>
        <v xml:space="preserve">106/235841  </v>
      </c>
      <c r="O16169">
        <v>231013</v>
      </c>
    </row>
    <row r="16170" spans="1:15" x14ac:dyDescent="0.25">
      <c r="A16170" t="s">
        <v>16</v>
      </c>
      <c r="B16170" t="s">
        <v>3221</v>
      </c>
      <c r="C16170">
        <v>15420</v>
      </c>
      <c r="D16170" t="s">
        <v>3200</v>
      </c>
      <c r="E16170" t="s">
        <v>3201</v>
      </c>
      <c r="F16170">
        <v>5910.98</v>
      </c>
      <c r="G16170">
        <v>231031</v>
      </c>
      <c r="H16170">
        <v>4410</v>
      </c>
      <c r="I16170" t="s">
        <v>517</v>
      </c>
      <c r="J16170">
        <v>5910.98</v>
      </c>
      <c r="K16170">
        <v>0</v>
      </c>
      <c r="L16170">
        <v>13452</v>
      </c>
      <c r="M16170" t="s">
        <v>3226</v>
      </c>
      <c r="N16170" t="str">
        <f>"106/235978  "</f>
        <v xml:space="preserve">106/235978  </v>
      </c>
      <c r="O16170">
        <v>231113</v>
      </c>
    </row>
    <row r="16171" spans="1:15" x14ac:dyDescent="0.25">
      <c r="A16171" t="s">
        <v>16</v>
      </c>
      <c r="B16171" t="s">
        <v>3221</v>
      </c>
      <c r="C16171">
        <v>17385</v>
      </c>
      <c r="D16171" t="s">
        <v>3200</v>
      </c>
      <c r="E16171" t="s">
        <v>3201</v>
      </c>
      <c r="F16171">
        <v>7609.46</v>
      </c>
      <c r="G16171">
        <v>231130</v>
      </c>
      <c r="H16171">
        <v>4410</v>
      </c>
      <c r="I16171" t="s">
        <v>517</v>
      </c>
      <c r="J16171">
        <v>7609.46</v>
      </c>
      <c r="K16171">
        <v>0</v>
      </c>
      <c r="L16171">
        <v>13452</v>
      </c>
      <c r="M16171" t="s">
        <v>3226</v>
      </c>
      <c r="N16171" t="str">
        <f>"106/236112  "</f>
        <v xml:space="preserve">106/236112  </v>
      </c>
      <c r="O16171">
        <v>231213</v>
      </c>
    </row>
    <row r="16172" spans="1:15" x14ac:dyDescent="0.25">
      <c r="A16172" t="s">
        <v>16</v>
      </c>
      <c r="B16172" t="s">
        <v>3221</v>
      </c>
      <c r="C16172">
        <v>18511</v>
      </c>
      <c r="D16172" t="s">
        <v>3200</v>
      </c>
      <c r="E16172" t="s">
        <v>3201</v>
      </c>
      <c r="F16172">
        <v>5358.3</v>
      </c>
      <c r="G16172">
        <v>231221</v>
      </c>
      <c r="H16172">
        <v>4410</v>
      </c>
      <c r="I16172" t="s">
        <v>517</v>
      </c>
      <c r="J16172">
        <v>5358.3</v>
      </c>
      <c r="K16172">
        <v>0</v>
      </c>
      <c r="L16172">
        <v>13452</v>
      </c>
      <c r="M16172" t="s">
        <v>3226</v>
      </c>
      <c r="N16172" t="str">
        <f>"106/236255  "</f>
        <v xml:space="preserve">106/236255  </v>
      </c>
      <c r="O16172">
        <v>240103</v>
      </c>
    </row>
    <row r="16173" spans="1:15" x14ac:dyDescent="0.25">
      <c r="A16173" t="s">
        <v>16</v>
      </c>
      <c r="B16173" t="s">
        <v>3221</v>
      </c>
      <c r="C16173">
        <v>18808</v>
      </c>
      <c r="D16173" t="s">
        <v>3200</v>
      </c>
      <c r="E16173" t="s">
        <v>3201</v>
      </c>
      <c r="F16173">
        <v>57.78</v>
      </c>
      <c r="G16173">
        <v>231229</v>
      </c>
      <c r="H16173">
        <v>4410</v>
      </c>
      <c r="I16173" t="s">
        <v>517</v>
      </c>
      <c r="J16173">
        <v>65.87</v>
      </c>
      <c r="K16173">
        <v>8.09</v>
      </c>
      <c r="L16173">
        <v>13461</v>
      </c>
      <c r="M16173" t="s">
        <v>1413</v>
      </c>
      <c r="N16173" t="str">
        <f>"106/236256  "</f>
        <v xml:space="preserve">106/236256  </v>
      </c>
      <c r="O16173">
        <v>240108</v>
      </c>
    </row>
    <row r="16174" spans="1:15" x14ac:dyDescent="0.25">
      <c r="A16174" t="s">
        <v>16</v>
      </c>
      <c r="B16174" t="s">
        <v>3221</v>
      </c>
      <c r="C16174">
        <v>18809</v>
      </c>
      <c r="D16174" t="s">
        <v>3200</v>
      </c>
      <c r="E16174" t="s">
        <v>3201</v>
      </c>
      <c r="F16174">
        <v>251.56</v>
      </c>
      <c r="G16174">
        <v>231229</v>
      </c>
      <c r="H16174">
        <v>4410</v>
      </c>
      <c r="I16174" t="s">
        <v>517</v>
      </c>
      <c r="J16174">
        <v>286.77999999999997</v>
      </c>
      <c r="K16174">
        <v>35.22</v>
      </c>
      <c r="L16174">
        <v>13461</v>
      </c>
      <c r="M16174" t="s">
        <v>1413</v>
      </c>
      <c r="N16174" t="str">
        <f>"106/236258  "</f>
        <v xml:space="preserve">106/236258  </v>
      </c>
      <c r="O16174">
        <v>240108</v>
      </c>
    </row>
    <row r="16175" spans="1:15" x14ac:dyDescent="0.25">
      <c r="A16175" t="s">
        <v>16</v>
      </c>
      <c r="B16175" t="s">
        <v>3221</v>
      </c>
      <c r="C16175">
        <v>19178</v>
      </c>
      <c r="D16175" t="s">
        <v>3200</v>
      </c>
      <c r="E16175" t="s">
        <v>3201</v>
      </c>
      <c r="F16175">
        <v>90.86</v>
      </c>
      <c r="G16175">
        <v>231229</v>
      </c>
      <c r="H16175">
        <v>4410</v>
      </c>
      <c r="I16175" t="s">
        <v>517</v>
      </c>
      <c r="J16175">
        <v>103.58</v>
      </c>
      <c r="K16175">
        <v>12.72</v>
      </c>
      <c r="L16175">
        <v>10003</v>
      </c>
      <c r="M16175" t="s">
        <v>2070</v>
      </c>
      <c r="N16175" t="str">
        <f>"106/236257  "</f>
        <v xml:space="preserve">106/236257  </v>
      </c>
      <c r="O16175">
        <v>240129</v>
      </c>
    </row>
    <row r="16176" spans="1:15" x14ac:dyDescent="0.25">
      <c r="A16176" t="s">
        <v>16</v>
      </c>
      <c r="B16176" t="s">
        <v>3221</v>
      </c>
      <c r="C16176">
        <v>19308</v>
      </c>
      <c r="D16176" t="s">
        <v>3200</v>
      </c>
      <c r="E16176" t="s">
        <v>3201</v>
      </c>
      <c r="F16176">
        <v>192.16</v>
      </c>
      <c r="G16176">
        <v>231231</v>
      </c>
      <c r="H16176">
        <v>4410</v>
      </c>
      <c r="I16176" t="s">
        <v>517</v>
      </c>
      <c r="J16176">
        <v>192.16</v>
      </c>
      <c r="K16176">
        <v>0</v>
      </c>
      <c r="L16176">
        <v>13401</v>
      </c>
      <c r="M16176" t="s">
        <v>80</v>
      </c>
      <c r="N16176" t="str">
        <f>"401/235328  "</f>
        <v xml:space="preserve">401/235328  </v>
      </c>
      <c r="O16176">
        <v>240117</v>
      </c>
    </row>
    <row r="16177" spans="1:15" x14ac:dyDescent="0.25">
      <c r="A16177" t="s">
        <v>16</v>
      </c>
      <c r="B16177" t="s">
        <v>3221</v>
      </c>
      <c r="C16177">
        <v>19308</v>
      </c>
      <c r="D16177" t="s">
        <v>3200</v>
      </c>
      <c r="E16177" t="s">
        <v>3201</v>
      </c>
      <c r="F16177">
        <v>101.46</v>
      </c>
      <c r="G16177">
        <v>231231</v>
      </c>
      <c r="H16177">
        <v>4420</v>
      </c>
      <c r="I16177" t="s">
        <v>132</v>
      </c>
      <c r="J16177">
        <v>101.46</v>
      </c>
      <c r="K16177">
        <v>0</v>
      </c>
      <c r="L16177">
        <v>13401</v>
      </c>
      <c r="M16177" t="s">
        <v>80</v>
      </c>
      <c r="N16177" t="str">
        <f>"401/235328  "</f>
        <v xml:space="preserve">401/235328  </v>
      </c>
      <c r="O16177">
        <v>240117</v>
      </c>
    </row>
    <row r="16178" spans="1:15" x14ac:dyDescent="0.25">
      <c r="A16178" t="s">
        <v>16</v>
      </c>
      <c r="B16178" t="s">
        <v>3221</v>
      </c>
      <c r="C16178">
        <v>19308</v>
      </c>
      <c r="D16178" t="s">
        <v>3200</v>
      </c>
      <c r="E16178" t="s">
        <v>3201</v>
      </c>
      <c r="F16178">
        <v>32.18</v>
      </c>
      <c r="G16178">
        <v>231231</v>
      </c>
      <c r="H16178">
        <v>4600</v>
      </c>
      <c r="I16178" t="s">
        <v>105</v>
      </c>
      <c r="J16178">
        <v>32.18</v>
      </c>
      <c r="K16178">
        <v>0</v>
      </c>
      <c r="L16178">
        <v>13401</v>
      </c>
      <c r="M16178" t="s">
        <v>80</v>
      </c>
      <c r="N16178" t="str">
        <f>"401/235328  "</f>
        <v xml:space="preserve">401/235328  </v>
      </c>
      <c r="O16178">
        <v>240117</v>
      </c>
    </row>
    <row r="16179" spans="1:15" x14ac:dyDescent="0.25">
      <c r="A16179" t="s">
        <v>16</v>
      </c>
      <c r="B16179" t="s">
        <v>3221</v>
      </c>
      <c r="C16179">
        <v>19308</v>
      </c>
      <c r="D16179" t="s">
        <v>3200</v>
      </c>
      <c r="E16179" t="s">
        <v>3201</v>
      </c>
      <c r="F16179">
        <v>172.84</v>
      </c>
      <c r="G16179">
        <v>231231</v>
      </c>
      <c r="H16179">
        <v>4470</v>
      </c>
      <c r="I16179" t="s">
        <v>83</v>
      </c>
      <c r="J16179">
        <v>172.84</v>
      </c>
      <c r="K16179">
        <v>0</v>
      </c>
      <c r="L16179">
        <v>13401</v>
      </c>
      <c r="M16179" t="s">
        <v>80</v>
      </c>
      <c r="N16179" t="str">
        <f>"401/235328  "</f>
        <v xml:space="preserve">401/235328  </v>
      </c>
      <c r="O16179">
        <v>240117</v>
      </c>
    </row>
    <row r="16180" spans="1:15" x14ac:dyDescent="0.25">
      <c r="A16180" t="s">
        <v>16</v>
      </c>
      <c r="B16180" t="s">
        <v>3221</v>
      </c>
      <c r="C16180">
        <v>57</v>
      </c>
      <c r="D16180" t="s">
        <v>3200</v>
      </c>
      <c r="E16180" t="s">
        <v>3201</v>
      </c>
      <c r="F16180">
        <v>9197.83</v>
      </c>
      <c r="G16180">
        <v>230101</v>
      </c>
      <c r="H16180">
        <v>4820</v>
      </c>
      <c r="I16180" t="s">
        <v>50</v>
      </c>
      <c r="J16180">
        <v>11405.31</v>
      </c>
      <c r="K16180">
        <v>2207.48</v>
      </c>
      <c r="L16180">
        <v>13441</v>
      </c>
      <c r="M16180" t="s">
        <v>3187</v>
      </c>
      <c r="N16180" t="str">
        <f>"503/233024  "</f>
        <v xml:space="preserve">503/233024  </v>
      </c>
      <c r="O16180">
        <v>230104</v>
      </c>
    </row>
    <row r="16181" spans="1:15" x14ac:dyDescent="0.25">
      <c r="A16181" t="s">
        <v>16</v>
      </c>
      <c r="B16181" t="s">
        <v>3221</v>
      </c>
      <c r="C16181">
        <v>701</v>
      </c>
      <c r="D16181" t="s">
        <v>3200</v>
      </c>
      <c r="E16181" t="s">
        <v>3201</v>
      </c>
      <c r="F16181">
        <v>9197.83</v>
      </c>
      <c r="G16181">
        <v>230201</v>
      </c>
      <c r="H16181">
        <v>4820</v>
      </c>
      <c r="I16181" t="s">
        <v>50</v>
      </c>
      <c r="J16181">
        <v>11405.31</v>
      </c>
      <c r="K16181">
        <v>2207.48</v>
      </c>
      <c r="L16181">
        <v>13441</v>
      </c>
      <c r="M16181" t="s">
        <v>3187</v>
      </c>
      <c r="N16181" t="str">
        <f>"503/233053  "</f>
        <v xml:space="preserve">503/233053  </v>
      </c>
      <c r="O16181">
        <v>230127</v>
      </c>
    </row>
    <row r="16182" spans="1:15" x14ac:dyDescent="0.25">
      <c r="A16182" t="s">
        <v>16</v>
      </c>
      <c r="B16182" t="s">
        <v>3221</v>
      </c>
      <c r="C16182">
        <v>2020</v>
      </c>
      <c r="D16182" t="s">
        <v>3200</v>
      </c>
      <c r="E16182" t="s">
        <v>3201</v>
      </c>
      <c r="F16182">
        <v>9964.01</v>
      </c>
      <c r="G16182">
        <v>230301</v>
      </c>
      <c r="H16182">
        <v>4820</v>
      </c>
      <c r="I16182" t="s">
        <v>50</v>
      </c>
      <c r="J16182">
        <v>12355.37</v>
      </c>
      <c r="K16182">
        <v>2391.36</v>
      </c>
      <c r="L16182">
        <v>13441</v>
      </c>
      <c r="M16182" t="s">
        <v>3187</v>
      </c>
      <c r="N16182" t="str">
        <f>"503/233082  "</f>
        <v xml:space="preserve">503/233082  </v>
      </c>
      <c r="O16182">
        <v>230217</v>
      </c>
    </row>
    <row r="16183" spans="1:15" x14ac:dyDescent="0.25">
      <c r="A16183" t="s">
        <v>16</v>
      </c>
      <c r="B16183" t="s">
        <v>3221</v>
      </c>
      <c r="C16183">
        <v>3663</v>
      </c>
      <c r="D16183" t="s">
        <v>3200</v>
      </c>
      <c r="E16183" t="s">
        <v>3201</v>
      </c>
      <c r="F16183">
        <v>9964.01</v>
      </c>
      <c r="G16183">
        <v>230401</v>
      </c>
      <c r="H16183">
        <v>4820</v>
      </c>
      <c r="I16183" t="s">
        <v>50</v>
      </c>
      <c r="J16183">
        <v>12355.37</v>
      </c>
      <c r="K16183">
        <v>2391.36</v>
      </c>
      <c r="L16183">
        <v>13441</v>
      </c>
      <c r="M16183" t="s">
        <v>3187</v>
      </c>
      <c r="N16183" t="str">
        <f>"503/233124  "</f>
        <v xml:space="preserve">503/233124  </v>
      </c>
      <c r="O16183">
        <v>230320</v>
      </c>
    </row>
    <row r="16184" spans="1:15" x14ac:dyDescent="0.25">
      <c r="A16184" t="s">
        <v>16</v>
      </c>
      <c r="B16184" t="s">
        <v>3221</v>
      </c>
      <c r="C16184">
        <v>5150</v>
      </c>
      <c r="D16184" t="s">
        <v>3200</v>
      </c>
      <c r="E16184" t="s">
        <v>3201</v>
      </c>
      <c r="F16184">
        <v>9964.01</v>
      </c>
      <c r="G16184">
        <v>230501</v>
      </c>
      <c r="H16184">
        <v>4820</v>
      </c>
      <c r="I16184" t="s">
        <v>50</v>
      </c>
      <c r="J16184">
        <v>12355.37</v>
      </c>
      <c r="K16184">
        <v>2391.36</v>
      </c>
      <c r="L16184">
        <v>13441</v>
      </c>
      <c r="M16184" t="s">
        <v>3187</v>
      </c>
      <c r="N16184" t="str">
        <f>"503/233159  "</f>
        <v xml:space="preserve">503/233159  </v>
      </c>
      <c r="O16184">
        <v>230418</v>
      </c>
    </row>
    <row r="16185" spans="1:15" x14ac:dyDescent="0.25">
      <c r="A16185" t="s">
        <v>16</v>
      </c>
      <c r="B16185" t="s">
        <v>3221</v>
      </c>
      <c r="C16185">
        <v>6575</v>
      </c>
      <c r="D16185" t="s">
        <v>3200</v>
      </c>
      <c r="E16185" t="s">
        <v>3201</v>
      </c>
      <c r="F16185">
        <v>9964.01</v>
      </c>
      <c r="G16185">
        <v>230601</v>
      </c>
      <c r="H16185">
        <v>4820</v>
      </c>
      <c r="I16185" t="s">
        <v>50</v>
      </c>
      <c r="J16185">
        <v>12355.37</v>
      </c>
      <c r="K16185">
        <v>2391.36</v>
      </c>
      <c r="L16185">
        <v>13441</v>
      </c>
      <c r="M16185" t="s">
        <v>3187</v>
      </c>
      <c r="N16185" t="str">
        <f>"503/233185  "</f>
        <v xml:space="preserve">503/233185  </v>
      </c>
      <c r="O16185">
        <v>230515</v>
      </c>
    </row>
    <row r="16186" spans="1:15" x14ac:dyDescent="0.25">
      <c r="A16186" t="s">
        <v>16</v>
      </c>
      <c r="B16186" t="s">
        <v>3221</v>
      </c>
      <c r="C16186">
        <v>8839</v>
      </c>
      <c r="D16186" t="s">
        <v>3200</v>
      </c>
      <c r="E16186" t="s">
        <v>3201</v>
      </c>
      <c r="F16186">
        <v>9964.01</v>
      </c>
      <c r="G16186">
        <v>230701</v>
      </c>
      <c r="H16186">
        <v>4820</v>
      </c>
      <c r="I16186" t="s">
        <v>50</v>
      </c>
      <c r="J16186">
        <v>12355.37</v>
      </c>
      <c r="K16186">
        <v>2391.36</v>
      </c>
      <c r="L16186">
        <v>13441</v>
      </c>
      <c r="M16186" t="s">
        <v>3187</v>
      </c>
      <c r="N16186" t="str">
        <f>"503/233213  "</f>
        <v xml:space="preserve">503/233213  </v>
      </c>
      <c r="O16186">
        <v>230616</v>
      </c>
    </row>
    <row r="16187" spans="1:15" x14ac:dyDescent="0.25">
      <c r="A16187" t="s">
        <v>16</v>
      </c>
      <c r="B16187" t="s">
        <v>3221</v>
      </c>
      <c r="C16187">
        <v>9703</v>
      </c>
      <c r="D16187" t="s">
        <v>3200</v>
      </c>
      <c r="E16187" t="s">
        <v>3201</v>
      </c>
      <c r="F16187">
        <v>9964.01</v>
      </c>
      <c r="G16187">
        <v>230801</v>
      </c>
      <c r="H16187">
        <v>4820</v>
      </c>
      <c r="I16187" t="s">
        <v>50</v>
      </c>
      <c r="J16187">
        <v>12355.37</v>
      </c>
      <c r="K16187">
        <v>2391.36</v>
      </c>
      <c r="L16187">
        <v>13441</v>
      </c>
      <c r="M16187" t="s">
        <v>3187</v>
      </c>
      <c r="N16187" t="str">
        <f>"503/233239  "</f>
        <v xml:space="preserve">503/233239  </v>
      </c>
      <c r="O16187">
        <v>230719</v>
      </c>
    </row>
    <row r="16188" spans="1:15" x14ac:dyDescent="0.25">
      <c r="A16188" t="s">
        <v>16</v>
      </c>
      <c r="B16188" t="s">
        <v>3221</v>
      </c>
      <c r="C16188">
        <v>10584</v>
      </c>
      <c r="D16188" t="s">
        <v>3200</v>
      </c>
      <c r="E16188" t="s">
        <v>3201</v>
      </c>
      <c r="F16188">
        <v>9964.01</v>
      </c>
      <c r="G16188">
        <v>230901</v>
      </c>
      <c r="H16188">
        <v>4820</v>
      </c>
      <c r="I16188" t="s">
        <v>50</v>
      </c>
      <c r="J16188">
        <v>12355.37</v>
      </c>
      <c r="K16188">
        <v>2391.36</v>
      </c>
      <c r="L16188">
        <v>13441</v>
      </c>
      <c r="M16188" t="s">
        <v>3187</v>
      </c>
      <c r="N16188" t="str">
        <f>"503/233265  "</f>
        <v xml:space="preserve">503/233265  </v>
      </c>
      <c r="O16188">
        <v>230818</v>
      </c>
    </row>
    <row r="16189" spans="1:15" x14ac:dyDescent="0.25">
      <c r="A16189" t="s">
        <v>16</v>
      </c>
      <c r="B16189" t="s">
        <v>3221</v>
      </c>
      <c r="C16189">
        <v>12023</v>
      </c>
      <c r="D16189" t="s">
        <v>3200</v>
      </c>
      <c r="E16189" t="s">
        <v>3201</v>
      </c>
      <c r="F16189">
        <v>9964.01</v>
      </c>
      <c r="G16189">
        <v>231001</v>
      </c>
      <c r="H16189">
        <v>4820</v>
      </c>
      <c r="I16189" t="s">
        <v>50</v>
      </c>
      <c r="J16189">
        <v>12355.37</v>
      </c>
      <c r="K16189">
        <v>2391.36</v>
      </c>
      <c r="L16189">
        <v>13441</v>
      </c>
      <c r="M16189" t="s">
        <v>3187</v>
      </c>
      <c r="N16189" t="str">
        <f>"503/233293  "</f>
        <v xml:space="preserve">503/233293  </v>
      </c>
      <c r="O16189">
        <v>230912</v>
      </c>
    </row>
    <row r="16190" spans="1:15" x14ac:dyDescent="0.25">
      <c r="A16190" t="s">
        <v>16</v>
      </c>
      <c r="B16190" t="s">
        <v>3221</v>
      </c>
      <c r="C16190">
        <v>13826</v>
      </c>
      <c r="D16190" t="s">
        <v>3200</v>
      </c>
      <c r="E16190" t="s">
        <v>3201</v>
      </c>
      <c r="F16190">
        <v>9964.01</v>
      </c>
      <c r="G16190">
        <v>231101</v>
      </c>
      <c r="H16190">
        <v>4820</v>
      </c>
      <c r="I16190" t="s">
        <v>50</v>
      </c>
      <c r="J16190">
        <v>12355.37</v>
      </c>
      <c r="K16190">
        <v>2391.36</v>
      </c>
      <c r="L16190">
        <v>13441</v>
      </c>
      <c r="M16190" t="s">
        <v>3187</v>
      </c>
      <c r="N16190" t="str">
        <f>"503/233321  "</f>
        <v xml:space="preserve">503/233321  </v>
      </c>
      <c r="O16190">
        <v>231013</v>
      </c>
    </row>
    <row r="16191" spans="1:15" x14ac:dyDescent="0.25">
      <c r="A16191" t="s">
        <v>16</v>
      </c>
      <c r="B16191" t="s">
        <v>3221</v>
      </c>
      <c r="C16191">
        <v>15524</v>
      </c>
      <c r="D16191" t="s">
        <v>3200</v>
      </c>
      <c r="E16191" t="s">
        <v>3201</v>
      </c>
      <c r="F16191">
        <v>9964.01</v>
      </c>
      <c r="G16191">
        <v>231201</v>
      </c>
      <c r="H16191">
        <v>4820</v>
      </c>
      <c r="I16191" t="s">
        <v>50</v>
      </c>
      <c r="J16191">
        <v>12355.37</v>
      </c>
      <c r="K16191">
        <v>2391.36</v>
      </c>
      <c r="L16191">
        <v>13441</v>
      </c>
      <c r="M16191" t="s">
        <v>3187</v>
      </c>
      <c r="N16191" t="str">
        <f>"503/233349  "</f>
        <v xml:space="preserve">503/233349  </v>
      </c>
      <c r="O16191">
        <v>231113</v>
      </c>
    </row>
    <row r="16192" spans="1:15" x14ac:dyDescent="0.25">
      <c r="A16192" t="s">
        <v>16</v>
      </c>
      <c r="B16192" t="s">
        <v>3221</v>
      </c>
      <c r="C16192">
        <v>19266</v>
      </c>
      <c r="D16192" t="s">
        <v>3200</v>
      </c>
      <c r="E16192" t="s">
        <v>3201</v>
      </c>
      <c r="F16192">
        <v>9066.57</v>
      </c>
      <c r="G16192">
        <v>231231</v>
      </c>
      <c r="H16192">
        <v>4347</v>
      </c>
      <c r="I16192" t="s">
        <v>193</v>
      </c>
      <c r="J16192">
        <v>9066.57</v>
      </c>
      <c r="K16192">
        <v>0</v>
      </c>
      <c r="L16192">
        <v>13401</v>
      </c>
      <c r="M16192" t="s">
        <v>80</v>
      </c>
      <c r="N16192" t="str">
        <f>"401/235327  "</f>
        <v xml:space="preserve">401/235327  </v>
      </c>
      <c r="O16192">
        <v>240115</v>
      </c>
    </row>
    <row r="16193" spans="1:15" x14ac:dyDescent="0.25">
      <c r="A16193" t="s">
        <v>16</v>
      </c>
      <c r="B16193" t="s">
        <v>3221</v>
      </c>
      <c r="C16193">
        <v>5982</v>
      </c>
      <c r="D16193" t="s">
        <v>3448</v>
      </c>
      <c r="E16193" t="s">
        <v>3449</v>
      </c>
      <c r="F16193">
        <v>126</v>
      </c>
      <c r="G16193">
        <v>230430</v>
      </c>
      <c r="H16193">
        <v>4820</v>
      </c>
      <c r="I16193" t="s">
        <v>50</v>
      </c>
      <c r="J16193">
        <v>126</v>
      </c>
      <c r="K16193">
        <v>0</v>
      </c>
      <c r="L16193">
        <v>13401</v>
      </c>
      <c r="M16193" t="s">
        <v>80</v>
      </c>
      <c r="N16193" t="str">
        <f>"30          "</f>
        <v xml:space="preserve">30          </v>
      </c>
      <c r="O16193">
        <v>230504</v>
      </c>
    </row>
    <row r="16194" spans="1:15" x14ac:dyDescent="0.25">
      <c r="A16194" t="s">
        <v>16</v>
      </c>
      <c r="B16194" t="s">
        <v>3221</v>
      </c>
      <c r="C16194">
        <v>2663</v>
      </c>
      <c r="D16194" t="s">
        <v>1446</v>
      </c>
      <c r="E16194" t="s">
        <v>1447</v>
      </c>
      <c r="F16194">
        <v>799.27</v>
      </c>
      <c r="G16194">
        <v>230302</v>
      </c>
      <c r="H16194">
        <v>4346</v>
      </c>
      <c r="I16194" t="s">
        <v>197</v>
      </c>
      <c r="J16194">
        <v>991.09</v>
      </c>
      <c r="K16194">
        <v>191.82</v>
      </c>
      <c r="L16194">
        <v>13401</v>
      </c>
      <c r="M16194" t="s">
        <v>80</v>
      </c>
      <c r="N16194" t="str">
        <f>"1828        "</f>
        <v xml:space="preserve">1828        </v>
      </c>
      <c r="O16194">
        <v>230306</v>
      </c>
    </row>
    <row r="16195" spans="1:15" x14ac:dyDescent="0.25">
      <c r="A16195" t="s">
        <v>16</v>
      </c>
      <c r="B16195" t="s">
        <v>3221</v>
      </c>
      <c r="C16195">
        <v>19257</v>
      </c>
      <c r="D16195" t="s">
        <v>3174</v>
      </c>
      <c r="E16195" t="s">
        <v>3175</v>
      </c>
      <c r="F16195">
        <v>765</v>
      </c>
      <c r="G16195">
        <v>231231</v>
      </c>
      <c r="H16195">
        <v>1196</v>
      </c>
      <c r="I16195" t="s">
        <v>392</v>
      </c>
      <c r="J16195">
        <v>948.6</v>
      </c>
      <c r="K16195">
        <v>183.6</v>
      </c>
      <c r="L16195">
        <v>97603</v>
      </c>
      <c r="M16195" t="s">
        <v>478</v>
      </c>
      <c r="N16195" t="str">
        <f>"1224        "</f>
        <v xml:space="preserve">1224        </v>
      </c>
      <c r="O16195">
        <v>240115</v>
      </c>
    </row>
    <row r="16196" spans="1:15" x14ac:dyDescent="0.25">
      <c r="A16196" t="s">
        <v>16</v>
      </c>
      <c r="B16196" t="s">
        <v>3221</v>
      </c>
      <c r="C16196">
        <v>14061</v>
      </c>
      <c r="D16196" t="s">
        <v>2732</v>
      </c>
      <c r="E16196" t="s">
        <v>2733</v>
      </c>
      <c r="F16196">
        <v>4.03</v>
      </c>
      <c r="G16196">
        <v>231003</v>
      </c>
      <c r="H16196">
        <v>4412</v>
      </c>
      <c r="I16196" t="s">
        <v>149</v>
      </c>
      <c r="J16196">
        <v>5</v>
      </c>
      <c r="K16196">
        <v>0.97</v>
      </c>
      <c r="L16196">
        <v>11801</v>
      </c>
      <c r="M16196" t="s">
        <v>92</v>
      </c>
      <c r="N16196" t="str">
        <f>"6896        "</f>
        <v xml:space="preserve">6896        </v>
      </c>
      <c r="O16196">
        <v>231018</v>
      </c>
    </row>
    <row r="16197" spans="1:15" x14ac:dyDescent="0.25">
      <c r="A16197" t="s">
        <v>16</v>
      </c>
      <c r="B16197" t="s">
        <v>3221</v>
      </c>
      <c r="C16197">
        <v>14061</v>
      </c>
      <c r="D16197" t="s">
        <v>2732</v>
      </c>
      <c r="E16197" t="s">
        <v>2733</v>
      </c>
      <c r="F16197">
        <v>65.790000000000006</v>
      </c>
      <c r="G16197">
        <v>231003</v>
      </c>
      <c r="H16197">
        <v>4412</v>
      </c>
      <c r="I16197" t="s">
        <v>149</v>
      </c>
      <c r="J16197">
        <v>75</v>
      </c>
      <c r="K16197">
        <v>9.2100000000000009</v>
      </c>
      <c r="L16197">
        <v>11801</v>
      </c>
      <c r="M16197" t="s">
        <v>92</v>
      </c>
      <c r="N16197" t="str">
        <f>"6896        "</f>
        <v xml:space="preserve">6896        </v>
      </c>
      <c r="O16197">
        <v>231018</v>
      </c>
    </row>
    <row r="16198" spans="1:15" x14ac:dyDescent="0.25">
      <c r="A16198" t="s">
        <v>16</v>
      </c>
      <c r="B16198" t="s">
        <v>3221</v>
      </c>
      <c r="C16198">
        <v>14061</v>
      </c>
      <c r="D16198" t="s">
        <v>2732</v>
      </c>
      <c r="E16198" t="s">
        <v>2733</v>
      </c>
      <c r="F16198">
        <v>1250</v>
      </c>
      <c r="G16198">
        <v>231003</v>
      </c>
      <c r="H16198">
        <v>4412</v>
      </c>
      <c r="I16198" t="s">
        <v>149</v>
      </c>
      <c r="J16198">
        <v>1375</v>
      </c>
      <c r="K16198">
        <v>125</v>
      </c>
      <c r="L16198">
        <v>11801</v>
      </c>
      <c r="M16198" t="s">
        <v>92</v>
      </c>
      <c r="N16198" t="str">
        <f>"6896        "</f>
        <v xml:space="preserve">6896        </v>
      </c>
      <c r="O16198">
        <v>231018</v>
      </c>
    </row>
    <row r="16199" spans="1:15" x14ac:dyDescent="0.25">
      <c r="A16199" t="s">
        <v>16</v>
      </c>
      <c r="B16199" t="s">
        <v>3221</v>
      </c>
      <c r="C16199">
        <v>2109</v>
      </c>
      <c r="D16199" t="s">
        <v>1294</v>
      </c>
      <c r="E16199" t="s">
        <v>1295</v>
      </c>
      <c r="F16199">
        <v>8.01</v>
      </c>
      <c r="G16199">
        <v>230219</v>
      </c>
      <c r="H16199">
        <v>4600</v>
      </c>
      <c r="I16199" t="s">
        <v>105</v>
      </c>
      <c r="J16199">
        <v>9.93</v>
      </c>
      <c r="K16199">
        <v>1.92</v>
      </c>
      <c r="L16199">
        <v>17711</v>
      </c>
      <c r="M16199" t="s">
        <v>65</v>
      </c>
      <c r="N16199" t="str">
        <f>"LV0061553   "</f>
        <v xml:space="preserve">LV0061553   </v>
      </c>
      <c r="O16199">
        <v>230221</v>
      </c>
    </row>
    <row r="16200" spans="1:15" x14ac:dyDescent="0.25">
      <c r="A16200" t="s">
        <v>16</v>
      </c>
      <c r="B16200" t="s">
        <v>3221</v>
      </c>
      <c r="C16200">
        <v>1546</v>
      </c>
      <c r="D16200" t="s">
        <v>1079</v>
      </c>
      <c r="E16200" t="s">
        <v>1080</v>
      </c>
      <c r="F16200">
        <v>1073</v>
      </c>
      <c r="G16200">
        <v>230203</v>
      </c>
      <c r="H16200">
        <v>4350</v>
      </c>
      <c r="I16200" t="s">
        <v>546</v>
      </c>
      <c r="J16200">
        <v>1330.52</v>
      </c>
      <c r="K16200">
        <v>257.52</v>
      </c>
      <c r="L16200">
        <v>13401</v>
      </c>
      <c r="M16200" t="s">
        <v>80</v>
      </c>
      <c r="N16200" t="str">
        <f>"1372        "</f>
        <v xml:space="preserve">1372        </v>
      </c>
      <c r="O16200">
        <v>230209</v>
      </c>
    </row>
    <row r="16201" spans="1:15" x14ac:dyDescent="0.25">
      <c r="A16201" t="s">
        <v>16</v>
      </c>
      <c r="B16201" t="s">
        <v>3221</v>
      </c>
      <c r="C16201">
        <v>3768</v>
      </c>
      <c r="D16201" t="s">
        <v>1610</v>
      </c>
      <c r="E16201" t="s">
        <v>1611</v>
      </c>
      <c r="F16201">
        <v>59.76</v>
      </c>
      <c r="G16201">
        <v>230321</v>
      </c>
      <c r="H16201">
        <v>4555</v>
      </c>
      <c r="I16201" t="s">
        <v>481</v>
      </c>
      <c r="J16201">
        <v>74.099999999999994</v>
      </c>
      <c r="K16201">
        <v>14.34</v>
      </c>
      <c r="L16201">
        <v>44422</v>
      </c>
      <c r="M16201" t="s">
        <v>482</v>
      </c>
      <c r="N16201" t="str">
        <f>"030025555   "</f>
        <v xml:space="preserve">030025555   </v>
      </c>
      <c r="O16201">
        <v>230322</v>
      </c>
    </row>
    <row r="16202" spans="1:15" x14ac:dyDescent="0.25">
      <c r="A16202" t="s">
        <v>16</v>
      </c>
      <c r="B16202" t="s">
        <v>3221</v>
      </c>
      <c r="C16202">
        <v>795</v>
      </c>
      <c r="D16202" t="s">
        <v>747</v>
      </c>
      <c r="E16202" t="s">
        <v>748</v>
      </c>
      <c r="F16202">
        <v>254.6</v>
      </c>
      <c r="G16202">
        <v>230125</v>
      </c>
      <c r="H16202">
        <v>4600</v>
      </c>
      <c r="I16202" t="s">
        <v>105</v>
      </c>
      <c r="J16202">
        <v>315.7</v>
      </c>
      <c r="K16202">
        <v>61.1</v>
      </c>
      <c r="L16202">
        <v>17633</v>
      </c>
      <c r="M16202" t="s">
        <v>724</v>
      </c>
      <c r="N16202" t="str">
        <f>"3141324     "</f>
        <v xml:space="preserve">3141324     </v>
      </c>
      <c r="O16202">
        <v>230130</v>
      </c>
    </row>
    <row r="16203" spans="1:15" x14ac:dyDescent="0.25">
      <c r="A16203" t="s">
        <v>16</v>
      </c>
      <c r="B16203" t="s">
        <v>3221</v>
      </c>
      <c r="C16203">
        <v>798</v>
      </c>
      <c r="D16203" t="s">
        <v>747</v>
      </c>
      <c r="E16203" t="s">
        <v>748</v>
      </c>
      <c r="F16203">
        <v>99</v>
      </c>
      <c r="G16203">
        <v>230125</v>
      </c>
      <c r="H16203">
        <v>4550</v>
      </c>
      <c r="I16203" t="s">
        <v>312</v>
      </c>
      <c r="J16203">
        <v>122.76</v>
      </c>
      <c r="K16203">
        <v>23.76</v>
      </c>
      <c r="L16203">
        <v>17521</v>
      </c>
      <c r="M16203" t="s">
        <v>133</v>
      </c>
      <c r="N16203" t="str">
        <f>"3141325     "</f>
        <v xml:space="preserve">3141325     </v>
      </c>
      <c r="O16203">
        <v>230130</v>
      </c>
    </row>
    <row r="16204" spans="1:15" x14ac:dyDescent="0.25">
      <c r="A16204" t="s">
        <v>16</v>
      </c>
      <c r="B16204" t="s">
        <v>3221</v>
      </c>
      <c r="C16204">
        <v>14729</v>
      </c>
      <c r="D16204" t="s">
        <v>2794</v>
      </c>
      <c r="E16204" t="s">
        <v>2795</v>
      </c>
      <c r="F16204">
        <v>105.23</v>
      </c>
      <c r="G16204">
        <v>231023</v>
      </c>
      <c r="H16204">
        <v>4534</v>
      </c>
      <c r="I16204" t="s">
        <v>273</v>
      </c>
      <c r="J16204">
        <v>130.47999999999999</v>
      </c>
      <c r="K16204">
        <v>25.25</v>
      </c>
      <c r="L16204">
        <v>59502</v>
      </c>
      <c r="M16204" t="s">
        <v>70</v>
      </c>
      <c r="N16204" t="str">
        <f>"5843        "</f>
        <v xml:space="preserve">5843        </v>
      </c>
      <c r="O16204">
        <v>231101</v>
      </c>
    </row>
    <row r="16205" spans="1:15" x14ac:dyDescent="0.25">
      <c r="A16205" t="s">
        <v>16</v>
      </c>
      <c r="B16205" t="s">
        <v>3221</v>
      </c>
      <c r="C16205">
        <v>14729</v>
      </c>
      <c r="D16205" t="s">
        <v>2794</v>
      </c>
      <c r="E16205" t="s">
        <v>2795</v>
      </c>
      <c r="F16205">
        <v>67.27</v>
      </c>
      <c r="G16205">
        <v>231023</v>
      </c>
      <c r="H16205">
        <v>4534</v>
      </c>
      <c r="I16205" t="s">
        <v>273</v>
      </c>
      <c r="J16205">
        <v>83.42</v>
      </c>
      <c r="K16205">
        <v>16.149999999999999</v>
      </c>
      <c r="L16205">
        <v>59802</v>
      </c>
      <c r="M16205" t="s">
        <v>73</v>
      </c>
      <c r="N16205" t="str">
        <f>"5843        "</f>
        <v xml:space="preserve">5843        </v>
      </c>
      <c r="O16205">
        <v>231101</v>
      </c>
    </row>
    <row r="16206" spans="1:15" x14ac:dyDescent="0.25">
      <c r="A16206" t="s">
        <v>16</v>
      </c>
      <c r="B16206" t="s">
        <v>3221</v>
      </c>
      <c r="C16206">
        <v>177</v>
      </c>
      <c r="D16206" t="s">
        <v>271</v>
      </c>
      <c r="E16206" t="s">
        <v>272</v>
      </c>
      <c r="F16206">
        <v>74.61</v>
      </c>
      <c r="G16206">
        <v>230105</v>
      </c>
      <c r="H16206">
        <v>4534</v>
      </c>
      <c r="I16206" t="s">
        <v>273</v>
      </c>
      <c r="J16206">
        <v>92.52</v>
      </c>
      <c r="K16206">
        <v>17.91</v>
      </c>
      <c r="L16206">
        <v>13540</v>
      </c>
      <c r="M16206" t="s">
        <v>85</v>
      </c>
      <c r="N16206" t="str">
        <f>"78389       "</f>
        <v xml:space="preserve">78389       </v>
      </c>
      <c r="O16206">
        <v>230116</v>
      </c>
    </row>
    <row r="16207" spans="1:15" x14ac:dyDescent="0.25">
      <c r="A16207" t="s">
        <v>16</v>
      </c>
      <c r="B16207" t="s">
        <v>3221</v>
      </c>
      <c r="C16207">
        <v>177</v>
      </c>
      <c r="D16207" t="s">
        <v>271</v>
      </c>
      <c r="E16207" t="s">
        <v>272</v>
      </c>
      <c r="F16207">
        <v>508.73</v>
      </c>
      <c r="G16207">
        <v>230105</v>
      </c>
      <c r="H16207">
        <v>4534</v>
      </c>
      <c r="I16207" t="s">
        <v>273</v>
      </c>
      <c r="J16207">
        <v>630.82000000000005</v>
      </c>
      <c r="K16207">
        <v>122.09</v>
      </c>
      <c r="L16207">
        <v>17950</v>
      </c>
      <c r="M16207" t="s">
        <v>86</v>
      </c>
      <c r="N16207" t="str">
        <f>"78389       "</f>
        <v xml:space="preserve">78389       </v>
      </c>
      <c r="O16207">
        <v>230116</v>
      </c>
    </row>
    <row r="16208" spans="1:15" x14ac:dyDescent="0.25">
      <c r="A16208" t="s">
        <v>16</v>
      </c>
      <c r="B16208" t="s">
        <v>3221</v>
      </c>
      <c r="C16208">
        <v>177</v>
      </c>
      <c r="D16208" t="s">
        <v>271</v>
      </c>
      <c r="E16208" t="s">
        <v>272</v>
      </c>
      <c r="F16208">
        <v>94.96</v>
      </c>
      <c r="G16208">
        <v>230105</v>
      </c>
      <c r="H16208">
        <v>4534</v>
      </c>
      <c r="I16208" t="s">
        <v>273</v>
      </c>
      <c r="J16208">
        <v>117.75</v>
      </c>
      <c r="K16208">
        <v>22.79</v>
      </c>
      <c r="L16208">
        <v>17956</v>
      </c>
      <c r="M16208" t="s">
        <v>53</v>
      </c>
      <c r="N16208" t="str">
        <f>"78389       "</f>
        <v xml:space="preserve">78389       </v>
      </c>
      <c r="O16208">
        <v>230116</v>
      </c>
    </row>
    <row r="16209" spans="1:16" x14ac:dyDescent="0.25">
      <c r="A16209" t="s">
        <v>16</v>
      </c>
      <c r="B16209" t="s">
        <v>3221</v>
      </c>
      <c r="C16209">
        <v>11288</v>
      </c>
      <c r="D16209" t="s">
        <v>2473</v>
      </c>
      <c r="E16209" t="s">
        <v>2474</v>
      </c>
      <c r="F16209">
        <v>1073.3900000000001</v>
      </c>
      <c r="G16209">
        <v>230803</v>
      </c>
      <c r="H16209">
        <v>4600</v>
      </c>
      <c r="I16209" t="s">
        <v>105</v>
      </c>
      <c r="J16209">
        <v>1331</v>
      </c>
      <c r="K16209">
        <v>257.61</v>
      </c>
      <c r="L16209">
        <v>59501</v>
      </c>
      <c r="M16209" t="s">
        <v>69</v>
      </c>
      <c r="N16209" t="str">
        <f>"1379        "</f>
        <v xml:space="preserve">1379        </v>
      </c>
      <c r="O16209">
        <v>230904</v>
      </c>
    </row>
    <row r="16210" spans="1:16" x14ac:dyDescent="0.25">
      <c r="A16210" t="s">
        <v>16</v>
      </c>
      <c r="B16210" t="s">
        <v>3221</v>
      </c>
      <c r="C16210">
        <v>11288</v>
      </c>
      <c r="D16210" t="s">
        <v>2473</v>
      </c>
      <c r="E16210" t="s">
        <v>2474</v>
      </c>
      <c r="F16210">
        <v>1073.3900000000001</v>
      </c>
      <c r="G16210">
        <v>230803</v>
      </c>
      <c r="H16210">
        <v>4600</v>
      </c>
      <c r="I16210" t="s">
        <v>105</v>
      </c>
      <c r="J16210">
        <v>1331</v>
      </c>
      <c r="K16210">
        <v>257.61</v>
      </c>
      <c r="L16210">
        <v>59502</v>
      </c>
      <c r="M16210" t="s">
        <v>70</v>
      </c>
      <c r="N16210" t="str">
        <f>"1379        "</f>
        <v xml:space="preserve">1379        </v>
      </c>
      <c r="O16210">
        <v>230904</v>
      </c>
    </row>
    <row r="16211" spans="1:16" x14ac:dyDescent="0.25">
      <c r="A16211" t="s">
        <v>16</v>
      </c>
      <c r="B16211" t="s">
        <v>3221</v>
      </c>
      <c r="C16211">
        <v>11288</v>
      </c>
      <c r="D16211" t="s">
        <v>2473</v>
      </c>
      <c r="E16211" t="s">
        <v>2474</v>
      </c>
      <c r="F16211">
        <v>1073.23</v>
      </c>
      <c r="G16211">
        <v>230803</v>
      </c>
      <c r="H16211">
        <v>4600</v>
      </c>
      <c r="I16211" t="s">
        <v>105</v>
      </c>
      <c r="J16211">
        <v>1330.8</v>
      </c>
      <c r="K16211">
        <v>257.57</v>
      </c>
      <c r="L16211">
        <v>59505</v>
      </c>
      <c r="M16211" t="s">
        <v>72</v>
      </c>
      <c r="N16211" t="str">
        <f>"1379        "</f>
        <v xml:space="preserve">1379        </v>
      </c>
      <c r="O16211">
        <v>230904</v>
      </c>
    </row>
    <row r="16212" spans="1:16" x14ac:dyDescent="0.25">
      <c r="A16212" t="s">
        <v>16</v>
      </c>
      <c r="B16212" t="s">
        <v>3221</v>
      </c>
      <c r="C16212">
        <v>18811</v>
      </c>
      <c r="D16212" t="s">
        <v>3587</v>
      </c>
      <c r="F16212">
        <v>99</v>
      </c>
      <c r="G16212">
        <v>231214</v>
      </c>
      <c r="H16212">
        <v>4580</v>
      </c>
      <c r="I16212" t="s">
        <v>35</v>
      </c>
      <c r="J16212">
        <v>99</v>
      </c>
      <c r="K16212">
        <v>0</v>
      </c>
      <c r="L16212">
        <v>13502</v>
      </c>
      <c r="M16212" t="s">
        <v>243</v>
      </c>
      <c r="N16212" t="str">
        <f>"208976      "</f>
        <v xml:space="preserve">208976      </v>
      </c>
      <c r="O16212">
        <v>240108</v>
      </c>
      <c r="P16212" t="s">
        <v>3060</v>
      </c>
    </row>
    <row r="16213" spans="1:16" x14ac:dyDescent="0.25">
      <c r="A16213" t="s">
        <v>16</v>
      </c>
      <c r="B16213" t="s">
        <v>3221</v>
      </c>
      <c r="C16213">
        <v>2603</v>
      </c>
      <c r="D16213" t="s">
        <v>1432</v>
      </c>
      <c r="E16213" t="s">
        <v>1433</v>
      </c>
      <c r="F16213">
        <v>99.97</v>
      </c>
      <c r="G16213">
        <v>230302</v>
      </c>
      <c r="H16213">
        <v>4400</v>
      </c>
      <c r="I16213" t="s">
        <v>348</v>
      </c>
      <c r="J16213">
        <v>123.96</v>
      </c>
      <c r="K16213">
        <v>23.99</v>
      </c>
      <c r="L16213">
        <v>69501</v>
      </c>
      <c r="M16213" t="s">
        <v>185</v>
      </c>
      <c r="N16213" t="str">
        <f>"1230300006  "</f>
        <v xml:space="preserve">1230300006  </v>
      </c>
      <c r="O16213">
        <v>230302</v>
      </c>
    </row>
    <row r="16214" spans="1:16" x14ac:dyDescent="0.25">
      <c r="A16214" t="s">
        <v>16</v>
      </c>
      <c r="B16214" t="s">
        <v>3221</v>
      </c>
      <c r="C16214">
        <v>8177</v>
      </c>
      <c r="D16214" t="s">
        <v>1432</v>
      </c>
      <c r="E16214" t="s">
        <v>1433</v>
      </c>
      <c r="F16214">
        <v>652.80999999999995</v>
      </c>
      <c r="G16214">
        <v>230606</v>
      </c>
      <c r="H16214">
        <v>4400</v>
      </c>
      <c r="I16214" t="s">
        <v>348</v>
      </c>
      <c r="J16214">
        <v>809.48</v>
      </c>
      <c r="K16214">
        <v>156.66999999999999</v>
      </c>
      <c r="L16214">
        <v>69501</v>
      </c>
      <c r="M16214" t="s">
        <v>185</v>
      </c>
      <c r="N16214" t="str">
        <f>"1230600021  "</f>
        <v xml:space="preserve">1230600021  </v>
      </c>
      <c r="O16214">
        <v>230607</v>
      </c>
    </row>
    <row r="16215" spans="1:16" x14ac:dyDescent="0.25">
      <c r="A16215" t="s">
        <v>16</v>
      </c>
      <c r="B16215" t="s">
        <v>3221</v>
      </c>
      <c r="C16215">
        <v>8743</v>
      </c>
      <c r="D16215" t="s">
        <v>1432</v>
      </c>
      <c r="E16215" t="s">
        <v>1433</v>
      </c>
      <c r="F16215">
        <v>156.08000000000001</v>
      </c>
      <c r="G16215">
        <v>230613</v>
      </c>
      <c r="H16215">
        <v>4400</v>
      </c>
      <c r="I16215" t="s">
        <v>348</v>
      </c>
      <c r="J16215">
        <v>193.54</v>
      </c>
      <c r="K16215">
        <v>37.46</v>
      </c>
      <c r="L16215">
        <v>69501</v>
      </c>
      <c r="M16215" t="s">
        <v>185</v>
      </c>
      <c r="N16215" t="str">
        <f>"1230600047  "</f>
        <v xml:space="preserve">1230600047  </v>
      </c>
      <c r="O16215">
        <v>230613</v>
      </c>
    </row>
    <row r="16216" spans="1:16" x14ac:dyDescent="0.25">
      <c r="A16216" t="s">
        <v>16</v>
      </c>
      <c r="B16216" t="s">
        <v>3221</v>
      </c>
      <c r="C16216">
        <v>17818</v>
      </c>
      <c r="D16216" t="s">
        <v>2018</v>
      </c>
      <c r="E16216" t="s">
        <v>2019</v>
      </c>
      <c r="F16216">
        <v>241.94</v>
      </c>
      <c r="G16216">
        <v>231127</v>
      </c>
      <c r="H16216">
        <v>4600</v>
      </c>
      <c r="I16216" t="s">
        <v>105</v>
      </c>
      <c r="J16216">
        <v>300.01</v>
      </c>
      <c r="K16216">
        <v>58.07</v>
      </c>
      <c r="L16216">
        <v>17632</v>
      </c>
      <c r="M16216" t="s">
        <v>495</v>
      </c>
      <c r="N16216" t="str">
        <f>"2307612     "</f>
        <v xml:space="preserve">2307612     </v>
      </c>
      <c r="O16216">
        <v>231227</v>
      </c>
    </row>
    <row r="16217" spans="1:16" x14ac:dyDescent="0.25">
      <c r="A16217" t="s">
        <v>16</v>
      </c>
      <c r="B16217" t="s">
        <v>3221</v>
      </c>
      <c r="C16217">
        <v>17826</v>
      </c>
      <c r="D16217" t="s">
        <v>2018</v>
      </c>
      <c r="E16217" t="s">
        <v>2019</v>
      </c>
      <c r="F16217">
        <v>88</v>
      </c>
      <c r="G16217">
        <v>231127</v>
      </c>
      <c r="H16217">
        <v>4600</v>
      </c>
      <c r="I16217" t="s">
        <v>105</v>
      </c>
      <c r="J16217">
        <v>109.12</v>
      </c>
      <c r="K16217">
        <v>21.12</v>
      </c>
      <c r="L16217">
        <v>17632</v>
      </c>
      <c r="M16217" t="s">
        <v>495</v>
      </c>
      <c r="N16217" t="str">
        <f>"2307611     "</f>
        <v xml:space="preserve">2307611     </v>
      </c>
      <c r="O16217">
        <v>231227</v>
      </c>
    </row>
    <row r="16218" spans="1:16" x14ac:dyDescent="0.25">
      <c r="A16218" t="s">
        <v>16</v>
      </c>
      <c r="B16218" t="s">
        <v>3221</v>
      </c>
      <c r="C16218">
        <v>19121</v>
      </c>
      <c r="D16218" t="s">
        <v>2018</v>
      </c>
      <c r="E16218" t="s">
        <v>2019</v>
      </c>
      <c r="F16218">
        <v>720.3</v>
      </c>
      <c r="G16218">
        <v>231219</v>
      </c>
      <c r="H16218">
        <v>4600</v>
      </c>
      <c r="I16218" t="s">
        <v>105</v>
      </c>
      <c r="J16218">
        <v>893.17</v>
      </c>
      <c r="K16218">
        <v>172.87</v>
      </c>
      <c r="L16218">
        <v>17632</v>
      </c>
      <c r="M16218" t="s">
        <v>495</v>
      </c>
      <c r="N16218" t="str">
        <f>"2307957     "</f>
        <v xml:space="preserve">2307957     </v>
      </c>
      <c r="O16218">
        <v>240110</v>
      </c>
    </row>
    <row r="16219" spans="1:16" x14ac:dyDescent="0.25">
      <c r="A16219" t="s">
        <v>16</v>
      </c>
      <c r="B16219" t="s">
        <v>3221</v>
      </c>
      <c r="C16219">
        <v>14441</v>
      </c>
      <c r="D16219" t="s">
        <v>2772</v>
      </c>
      <c r="E16219" t="s">
        <v>2773</v>
      </c>
      <c r="F16219">
        <v>114.55</v>
      </c>
      <c r="G16219">
        <v>231023</v>
      </c>
      <c r="H16219">
        <v>4580</v>
      </c>
      <c r="I16219" t="s">
        <v>35</v>
      </c>
      <c r="J16219">
        <v>142.04</v>
      </c>
      <c r="K16219">
        <v>27.49</v>
      </c>
      <c r="L16219">
        <v>17803</v>
      </c>
      <c r="M16219" t="s">
        <v>389</v>
      </c>
      <c r="N16219" t="str">
        <f>"364097      "</f>
        <v xml:space="preserve">364097      </v>
      </c>
      <c r="O16219">
        <v>231030</v>
      </c>
    </row>
    <row r="16220" spans="1:16" x14ac:dyDescent="0.25">
      <c r="A16220" t="s">
        <v>16</v>
      </c>
      <c r="B16220" t="s">
        <v>3221</v>
      </c>
      <c r="C16220">
        <v>11076</v>
      </c>
      <c r="D16220" t="s">
        <v>1803</v>
      </c>
      <c r="E16220" t="s">
        <v>1804</v>
      </c>
      <c r="F16220">
        <v>170.97</v>
      </c>
      <c r="G16220">
        <v>230824</v>
      </c>
      <c r="H16220">
        <v>4400</v>
      </c>
      <c r="I16220" t="s">
        <v>348</v>
      </c>
      <c r="J16220">
        <v>212</v>
      </c>
      <c r="K16220">
        <v>41.03</v>
      </c>
      <c r="L16220">
        <v>49701</v>
      </c>
      <c r="M16220" t="s">
        <v>166</v>
      </c>
      <c r="N16220" t="str">
        <f>"2338496     "</f>
        <v xml:space="preserve">2338496     </v>
      </c>
      <c r="O16220">
        <v>230830</v>
      </c>
    </row>
    <row r="16221" spans="1:16" x14ac:dyDescent="0.25">
      <c r="A16221" t="s">
        <v>16</v>
      </c>
      <c r="B16221" t="s">
        <v>3221</v>
      </c>
      <c r="C16221">
        <v>11795</v>
      </c>
      <c r="D16221" t="s">
        <v>1803</v>
      </c>
      <c r="E16221" t="s">
        <v>1804</v>
      </c>
      <c r="F16221">
        <v>170.97</v>
      </c>
      <c r="G16221">
        <v>230905</v>
      </c>
      <c r="H16221">
        <v>4400</v>
      </c>
      <c r="I16221" t="s">
        <v>348</v>
      </c>
      <c r="J16221">
        <v>212</v>
      </c>
      <c r="K16221">
        <v>41.03</v>
      </c>
      <c r="L16221">
        <v>46557</v>
      </c>
      <c r="M16221" t="s">
        <v>221</v>
      </c>
      <c r="N16221" t="str">
        <f>"2355849     "</f>
        <v xml:space="preserve">2355849     </v>
      </c>
      <c r="O16221">
        <v>230911</v>
      </c>
    </row>
    <row r="16222" spans="1:16" x14ac:dyDescent="0.25">
      <c r="A16222" t="s">
        <v>16</v>
      </c>
      <c r="B16222" t="s">
        <v>3221</v>
      </c>
      <c r="C16222">
        <v>5193</v>
      </c>
      <c r="D16222" t="s">
        <v>1803</v>
      </c>
      <c r="E16222" t="s">
        <v>1804</v>
      </c>
      <c r="F16222">
        <v>291.13</v>
      </c>
      <c r="G16222">
        <v>230406</v>
      </c>
      <c r="H16222">
        <v>4470</v>
      </c>
      <c r="I16222" t="s">
        <v>83</v>
      </c>
      <c r="J16222">
        <v>361</v>
      </c>
      <c r="K16222">
        <v>69.87</v>
      </c>
      <c r="L16222">
        <v>46556</v>
      </c>
      <c r="M16222" t="s">
        <v>125</v>
      </c>
      <c r="N16222" t="str">
        <f>"2129698     "</f>
        <v xml:space="preserve">2129698     </v>
      </c>
      <c r="O16222">
        <v>230419</v>
      </c>
    </row>
    <row r="16223" spans="1:16" x14ac:dyDescent="0.25">
      <c r="A16223" t="s">
        <v>16</v>
      </c>
      <c r="B16223" t="s">
        <v>3221</v>
      </c>
      <c r="C16223">
        <v>2670</v>
      </c>
      <c r="D16223" t="s">
        <v>1452</v>
      </c>
      <c r="E16223" t="s">
        <v>1453</v>
      </c>
      <c r="F16223">
        <v>300</v>
      </c>
      <c r="G16223">
        <v>230224</v>
      </c>
      <c r="H16223">
        <v>4350</v>
      </c>
      <c r="I16223" t="s">
        <v>546</v>
      </c>
      <c r="J16223">
        <v>372</v>
      </c>
      <c r="K16223">
        <v>72</v>
      </c>
      <c r="L16223">
        <v>17972</v>
      </c>
      <c r="M16223" t="s">
        <v>248</v>
      </c>
      <c r="N16223" t="str">
        <f>"1230200049  "</f>
        <v xml:space="preserve">1230200049  </v>
      </c>
      <c r="O16223">
        <v>230306</v>
      </c>
    </row>
    <row r="16224" spans="1:16" x14ac:dyDescent="0.25">
      <c r="A16224" t="s">
        <v>16</v>
      </c>
      <c r="B16224" t="s">
        <v>3221</v>
      </c>
      <c r="C16224">
        <v>3640</v>
      </c>
      <c r="D16224" t="s">
        <v>3399</v>
      </c>
      <c r="E16224" t="s">
        <v>3400</v>
      </c>
      <c r="F16224">
        <v>356.3</v>
      </c>
      <c r="G16224">
        <v>230316</v>
      </c>
      <c r="H16224">
        <v>4600</v>
      </c>
      <c r="I16224" t="s">
        <v>105</v>
      </c>
      <c r="J16224">
        <v>356.3</v>
      </c>
      <c r="K16224">
        <v>0</v>
      </c>
      <c r="L16224">
        <v>47522</v>
      </c>
      <c r="M16224" t="s">
        <v>410</v>
      </c>
      <c r="N16224" t="str">
        <f>"FSAS-W171615"</f>
        <v>FSAS-W171615</v>
      </c>
      <c r="O16224">
        <v>230320</v>
      </c>
      <c r="P16224" t="s">
        <v>937</v>
      </c>
    </row>
    <row r="16225" spans="1:15" x14ac:dyDescent="0.25">
      <c r="A16225" t="s">
        <v>16</v>
      </c>
      <c r="B16225" t="s">
        <v>3221</v>
      </c>
      <c r="C16225">
        <v>4394</v>
      </c>
      <c r="D16225" t="s">
        <v>1710</v>
      </c>
      <c r="E16225" t="s">
        <v>1711</v>
      </c>
      <c r="F16225">
        <v>411.6</v>
      </c>
      <c r="G16225">
        <v>230324</v>
      </c>
      <c r="H16225">
        <v>4580</v>
      </c>
      <c r="I16225" t="s">
        <v>35</v>
      </c>
      <c r="J16225">
        <v>510.38</v>
      </c>
      <c r="K16225">
        <v>98.78</v>
      </c>
      <c r="L16225">
        <v>17521</v>
      </c>
      <c r="M16225" t="s">
        <v>133</v>
      </c>
      <c r="N16225" t="str">
        <f>"9021092056  "</f>
        <v xml:space="preserve">9021092056  </v>
      </c>
      <c r="O16225">
        <v>230405</v>
      </c>
    </row>
    <row r="16226" spans="1:15" x14ac:dyDescent="0.25">
      <c r="A16226" t="s">
        <v>16</v>
      </c>
      <c r="B16226" t="s">
        <v>3221</v>
      </c>
      <c r="C16226">
        <v>116</v>
      </c>
      <c r="D16226" t="s">
        <v>164</v>
      </c>
      <c r="E16226" t="s">
        <v>165</v>
      </c>
      <c r="F16226">
        <v>140.72999999999999</v>
      </c>
      <c r="G16226">
        <v>230104</v>
      </c>
      <c r="H16226">
        <v>4510</v>
      </c>
      <c r="I16226" t="s">
        <v>42</v>
      </c>
      <c r="J16226">
        <v>154.80000000000001</v>
      </c>
      <c r="K16226">
        <v>14.07</v>
      </c>
      <c r="L16226">
        <v>49701</v>
      </c>
      <c r="M16226" t="s">
        <v>166</v>
      </c>
      <c r="N16226" t="str">
        <f>"33527960    "</f>
        <v xml:space="preserve">33527960    </v>
      </c>
      <c r="O16226">
        <v>230111</v>
      </c>
    </row>
    <row r="16227" spans="1:15" x14ac:dyDescent="0.25">
      <c r="A16227" t="s">
        <v>16</v>
      </c>
      <c r="B16227" t="s">
        <v>3221</v>
      </c>
      <c r="C16227">
        <v>603</v>
      </c>
      <c r="D16227" t="s">
        <v>164</v>
      </c>
      <c r="E16227" t="s">
        <v>165</v>
      </c>
      <c r="F16227">
        <v>134.86000000000001</v>
      </c>
      <c r="G16227">
        <v>230118</v>
      </c>
      <c r="H16227">
        <v>4510</v>
      </c>
      <c r="I16227" t="s">
        <v>42</v>
      </c>
      <c r="J16227">
        <v>148.35</v>
      </c>
      <c r="K16227">
        <v>13.49</v>
      </c>
      <c r="L16227">
        <v>13801</v>
      </c>
      <c r="M16227" t="s">
        <v>162</v>
      </c>
      <c r="N16227" t="str">
        <f>"33681224    "</f>
        <v xml:space="preserve">33681224    </v>
      </c>
      <c r="O16227">
        <v>230125</v>
      </c>
    </row>
    <row r="16228" spans="1:15" x14ac:dyDescent="0.25">
      <c r="A16228" t="s">
        <v>16</v>
      </c>
      <c r="B16228" t="s">
        <v>3221</v>
      </c>
      <c r="C16228">
        <v>617</v>
      </c>
      <c r="D16228" t="s">
        <v>164</v>
      </c>
      <c r="E16228" t="s">
        <v>165</v>
      </c>
      <c r="F16228">
        <v>108</v>
      </c>
      <c r="G16228">
        <v>230125</v>
      </c>
      <c r="H16228">
        <v>4510</v>
      </c>
      <c r="I16228" t="s">
        <v>42</v>
      </c>
      <c r="J16228">
        <v>118.8</v>
      </c>
      <c r="K16228">
        <v>10.8</v>
      </c>
      <c r="L16228">
        <v>69702</v>
      </c>
      <c r="M16228" t="s">
        <v>489</v>
      </c>
      <c r="N16228" t="str">
        <f>"33747412    "</f>
        <v xml:space="preserve">33747412    </v>
      </c>
      <c r="O16228">
        <v>230125</v>
      </c>
    </row>
    <row r="16229" spans="1:15" x14ac:dyDescent="0.25">
      <c r="A16229" t="s">
        <v>16</v>
      </c>
      <c r="B16229" t="s">
        <v>3221</v>
      </c>
      <c r="C16229">
        <v>936</v>
      </c>
      <c r="D16229" t="s">
        <v>164</v>
      </c>
      <c r="E16229" t="s">
        <v>165</v>
      </c>
      <c r="F16229">
        <v>140.91</v>
      </c>
      <c r="G16229">
        <v>230130</v>
      </c>
      <c r="H16229">
        <v>4510</v>
      </c>
      <c r="I16229" t="s">
        <v>42</v>
      </c>
      <c r="J16229">
        <v>155</v>
      </c>
      <c r="K16229">
        <v>14.09</v>
      </c>
      <c r="L16229">
        <v>13801</v>
      </c>
      <c r="M16229" t="s">
        <v>162</v>
      </c>
      <c r="N16229" t="str">
        <f>"33787561    "</f>
        <v xml:space="preserve">33787561    </v>
      </c>
      <c r="O16229">
        <v>230201</v>
      </c>
    </row>
    <row r="16230" spans="1:15" x14ac:dyDescent="0.25">
      <c r="A16230" t="s">
        <v>16</v>
      </c>
      <c r="B16230" t="s">
        <v>3221</v>
      </c>
      <c r="C16230">
        <v>1592</v>
      </c>
      <c r="D16230" t="s">
        <v>164</v>
      </c>
      <c r="E16230" t="s">
        <v>165</v>
      </c>
      <c r="F16230">
        <v>108</v>
      </c>
      <c r="G16230">
        <v>230208</v>
      </c>
      <c r="H16230">
        <v>4510</v>
      </c>
      <c r="I16230" t="s">
        <v>42</v>
      </c>
      <c r="J16230">
        <v>118.8</v>
      </c>
      <c r="K16230">
        <v>10.8</v>
      </c>
      <c r="L16230">
        <v>59702</v>
      </c>
      <c r="M16230" t="s">
        <v>328</v>
      </c>
      <c r="N16230" t="str">
        <f>"33899353    "</f>
        <v xml:space="preserve">33899353    </v>
      </c>
      <c r="O16230">
        <v>230210</v>
      </c>
    </row>
    <row r="16231" spans="1:15" x14ac:dyDescent="0.25">
      <c r="A16231" t="s">
        <v>16</v>
      </c>
      <c r="B16231" t="s">
        <v>3221</v>
      </c>
      <c r="C16231">
        <v>1691</v>
      </c>
      <c r="D16231" t="s">
        <v>164</v>
      </c>
      <c r="E16231" t="s">
        <v>165</v>
      </c>
      <c r="F16231">
        <v>2.63</v>
      </c>
      <c r="G16231">
        <v>230207</v>
      </c>
      <c r="H16231">
        <v>4510</v>
      </c>
      <c r="I16231" t="s">
        <v>42</v>
      </c>
      <c r="J16231">
        <v>2.89</v>
      </c>
      <c r="K16231">
        <v>0.26</v>
      </c>
      <c r="L16231">
        <v>13561</v>
      </c>
      <c r="M16231" t="s">
        <v>246</v>
      </c>
      <c r="N16231" t="str">
        <f>"33866381    "</f>
        <v xml:space="preserve">33866381    </v>
      </c>
      <c r="O16231">
        <v>230213</v>
      </c>
    </row>
    <row r="16232" spans="1:15" x14ac:dyDescent="0.25">
      <c r="A16232" t="s">
        <v>16</v>
      </c>
      <c r="B16232" t="s">
        <v>3221</v>
      </c>
      <c r="C16232">
        <v>1691</v>
      </c>
      <c r="D16232" t="s">
        <v>164</v>
      </c>
      <c r="E16232" t="s">
        <v>165</v>
      </c>
      <c r="F16232">
        <v>23.96</v>
      </c>
      <c r="G16232">
        <v>230207</v>
      </c>
      <c r="H16232">
        <v>4510</v>
      </c>
      <c r="I16232" t="s">
        <v>42</v>
      </c>
      <c r="J16232">
        <v>26.36</v>
      </c>
      <c r="K16232">
        <v>2.4</v>
      </c>
      <c r="L16232">
        <v>17971</v>
      </c>
      <c r="M16232" t="s">
        <v>138</v>
      </c>
      <c r="N16232" t="str">
        <f>"33866381    "</f>
        <v xml:space="preserve">33866381    </v>
      </c>
      <c r="O16232">
        <v>230213</v>
      </c>
    </row>
    <row r="16233" spans="1:15" x14ac:dyDescent="0.25">
      <c r="A16233" t="s">
        <v>16</v>
      </c>
      <c r="B16233" t="s">
        <v>3221</v>
      </c>
      <c r="C16233">
        <v>2765</v>
      </c>
      <c r="D16233" t="s">
        <v>164</v>
      </c>
      <c r="E16233" t="s">
        <v>165</v>
      </c>
      <c r="F16233">
        <v>117.27</v>
      </c>
      <c r="G16233">
        <v>230301</v>
      </c>
      <c r="H16233">
        <v>4510</v>
      </c>
      <c r="I16233" t="s">
        <v>42</v>
      </c>
      <c r="J16233">
        <v>129</v>
      </c>
      <c r="K16233">
        <v>11.73</v>
      </c>
      <c r="L16233">
        <v>13861</v>
      </c>
      <c r="M16233" t="s">
        <v>1143</v>
      </c>
      <c r="N16233" t="str">
        <f>"34126525    "</f>
        <v xml:space="preserve">34126525    </v>
      </c>
      <c r="O16233">
        <v>230307</v>
      </c>
    </row>
    <row r="16234" spans="1:15" x14ac:dyDescent="0.25">
      <c r="A16234" t="s">
        <v>16</v>
      </c>
      <c r="B16234" t="s">
        <v>3221</v>
      </c>
      <c r="C16234">
        <v>3467</v>
      </c>
      <c r="D16234" t="s">
        <v>164</v>
      </c>
      <c r="E16234" t="s">
        <v>165</v>
      </c>
      <c r="F16234">
        <v>140.72999999999999</v>
      </c>
      <c r="G16234">
        <v>230308</v>
      </c>
      <c r="H16234">
        <v>4510</v>
      </c>
      <c r="I16234" t="s">
        <v>42</v>
      </c>
      <c r="J16234">
        <v>154.80000000000001</v>
      </c>
      <c r="K16234">
        <v>14.07</v>
      </c>
      <c r="L16234">
        <v>49701</v>
      </c>
      <c r="M16234" t="s">
        <v>166</v>
      </c>
      <c r="N16234" t="str">
        <f>"34197892    "</f>
        <v xml:space="preserve">34197892    </v>
      </c>
      <c r="O16234">
        <v>230316</v>
      </c>
    </row>
    <row r="16235" spans="1:15" x14ac:dyDescent="0.25">
      <c r="A16235" t="s">
        <v>16</v>
      </c>
      <c r="B16235" t="s">
        <v>3221</v>
      </c>
      <c r="C16235">
        <v>3589</v>
      </c>
      <c r="D16235" t="s">
        <v>164</v>
      </c>
      <c r="E16235" t="s">
        <v>165</v>
      </c>
      <c r="F16235">
        <v>333.82</v>
      </c>
      <c r="G16235">
        <v>230315</v>
      </c>
      <c r="H16235">
        <v>4510</v>
      </c>
      <c r="I16235" t="s">
        <v>42</v>
      </c>
      <c r="J16235">
        <v>367.2</v>
      </c>
      <c r="K16235">
        <v>33.380000000000003</v>
      </c>
      <c r="L16235">
        <v>49701</v>
      </c>
      <c r="M16235" t="s">
        <v>166</v>
      </c>
      <c r="N16235" t="str">
        <f>"34271145    "</f>
        <v xml:space="preserve">34271145    </v>
      </c>
      <c r="O16235">
        <v>230317</v>
      </c>
    </row>
    <row r="16236" spans="1:15" x14ac:dyDescent="0.25">
      <c r="A16236" t="s">
        <v>16</v>
      </c>
      <c r="B16236" t="s">
        <v>3221</v>
      </c>
      <c r="C16236">
        <v>7226</v>
      </c>
      <c r="D16236" t="s">
        <v>164</v>
      </c>
      <c r="E16236" t="s">
        <v>165</v>
      </c>
      <c r="F16236">
        <v>222.55</v>
      </c>
      <c r="G16236">
        <v>230524</v>
      </c>
      <c r="H16236">
        <v>4510</v>
      </c>
      <c r="I16236" t="s">
        <v>42</v>
      </c>
      <c r="J16236">
        <v>244.8</v>
      </c>
      <c r="K16236">
        <v>22.25</v>
      </c>
      <c r="L16236">
        <v>69704</v>
      </c>
      <c r="M16236" t="s">
        <v>325</v>
      </c>
      <c r="N16236" t="str">
        <f>"34960378    "</f>
        <v xml:space="preserve">34960378    </v>
      </c>
      <c r="O16236">
        <v>230526</v>
      </c>
    </row>
    <row r="16237" spans="1:15" x14ac:dyDescent="0.25">
      <c r="A16237" t="s">
        <v>16</v>
      </c>
      <c r="B16237" t="s">
        <v>3221</v>
      </c>
      <c r="C16237">
        <v>8723</v>
      </c>
      <c r="D16237" t="s">
        <v>164</v>
      </c>
      <c r="E16237" t="s">
        <v>165</v>
      </c>
      <c r="F16237">
        <v>118.8</v>
      </c>
      <c r="G16237">
        <v>230607</v>
      </c>
      <c r="H16237">
        <v>4510</v>
      </c>
      <c r="I16237" t="s">
        <v>42</v>
      </c>
      <c r="J16237">
        <v>130.68</v>
      </c>
      <c r="K16237">
        <v>11.88</v>
      </c>
      <c r="L16237">
        <v>11001</v>
      </c>
      <c r="M16237" t="s">
        <v>326</v>
      </c>
      <c r="N16237" t="str">
        <f>"35113943    "</f>
        <v xml:space="preserve">35113943    </v>
      </c>
      <c r="O16237">
        <v>230613</v>
      </c>
    </row>
    <row r="16238" spans="1:15" x14ac:dyDescent="0.25">
      <c r="A16238" t="s">
        <v>16</v>
      </c>
      <c r="B16238" t="s">
        <v>3221</v>
      </c>
      <c r="C16238">
        <v>8723</v>
      </c>
      <c r="D16238" t="s">
        <v>164</v>
      </c>
      <c r="E16238" t="s">
        <v>165</v>
      </c>
      <c r="F16238">
        <v>118.8</v>
      </c>
      <c r="G16238">
        <v>230607</v>
      </c>
      <c r="H16238">
        <v>4510</v>
      </c>
      <c r="I16238" t="s">
        <v>42</v>
      </c>
      <c r="J16238">
        <v>130.68</v>
      </c>
      <c r="K16238">
        <v>11.88</v>
      </c>
      <c r="L16238">
        <v>11601</v>
      </c>
      <c r="M16238" t="s">
        <v>535</v>
      </c>
      <c r="N16238" t="str">
        <f>"35113943    "</f>
        <v xml:space="preserve">35113943    </v>
      </c>
      <c r="O16238">
        <v>230613</v>
      </c>
    </row>
    <row r="16239" spans="1:15" x14ac:dyDescent="0.25">
      <c r="A16239" t="s">
        <v>16</v>
      </c>
      <c r="B16239" t="s">
        <v>3221</v>
      </c>
      <c r="C16239">
        <v>9081</v>
      </c>
      <c r="D16239" t="s">
        <v>164</v>
      </c>
      <c r="E16239" t="s">
        <v>165</v>
      </c>
      <c r="F16239">
        <v>153.63999999999999</v>
      </c>
      <c r="G16239">
        <v>230619</v>
      </c>
      <c r="H16239">
        <v>4510</v>
      </c>
      <c r="I16239" t="s">
        <v>42</v>
      </c>
      <c r="J16239">
        <v>169</v>
      </c>
      <c r="K16239">
        <v>15.36</v>
      </c>
      <c r="L16239">
        <v>13802</v>
      </c>
      <c r="M16239" t="s">
        <v>200</v>
      </c>
      <c r="N16239" t="str">
        <f>"35214956    "</f>
        <v xml:space="preserve">35214956    </v>
      </c>
      <c r="O16239">
        <v>230622</v>
      </c>
    </row>
    <row r="16240" spans="1:15" x14ac:dyDescent="0.25">
      <c r="A16240" t="s">
        <v>16</v>
      </c>
      <c r="B16240" t="s">
        <v>3221</v>
      </c>
      <c r="C16240">
        <v>9776</v>
      </c>
      <c r="D16240" t="s">
        <v>164</v>
      </c>
      <c r="E16240" t="s">
        <v>165</v>
      </c>
      <c r="F16240">
        <v>108</v>
      </c>
      <c r="G16240">
        <v>230712</v>
      </c>
      <c r="H16240">
        <v>4510</v>
      </c>
      <c r="I16240" t="s">
        <v>42</v>
      </c>
      <c r="J16240">
        <v>118.8</v>
      </c>
      <c r="K16240">
        <v>10.8</v>
      </c>
      <c r="L16240">
        <v>17972</v>
      </c>
      <c r="M16240" t="s">
        <v>248</v>
      </c>
      <c r="N16240" t="str">
        <f>"35450176    "</f>
        <v xml:space="preserve">35450176    </v>
      </c>
      <c r="O16240">
        <v>230725</v>
      </c>
    </row>
    <row r="16241" spans="1:15" x14ac:dyDescent="0.25">
      <c r="A16241" t="s">
        <v>16</v>
      </c>
      <c r="B16241" t="s">
        <v>3221</v>
      </c>
      <c r="C16241">
        <v>9884</v>
      </c>
      <c r="D16241" t="s">
        <v>164</v>
      </c>
      <c r="E16241" t="s">
        <v>165</v>
      </c>
      <c r="F16241">
        <v>95.3</v>
      </c>
      <c r="G16241">
        <v>230726</v>
      </c>
      <c r="H16241">
        <v>4510</v>
      </c>
      <c r="I16241" t="s">
        <v>42</v>
      </c>
      <c r="J16241">
        <v>104.83</v>
      </c>
      <c r="K16241">
        <v>9.5299999999999994</v>
      </c>
      <c r="L16241">
        <v>17972</v>
      </c>
      <c r="M16241" t="s">
        <v>248</v>
      </c>
      <c r="N16241" t="str">
        <f>"35579028    "</f>
        <v xml:space="preserve">35579028    </v>
      </c>
      <c r="O16241">
        <v>230731</v>
      </c>
    </row>
    <row r="16242" spans="1:15" x14ac:dyDescent="0.25">
      <c r="A16242" t="s">
        <v>16</v>
      </c>
      <c r="B16242" t="s">
        <v>3221</v>
      </c>
      <c r="C16242">
        <v>10570</v>
      </c>
      <c r="D16242" t="s">
        <v>164</v>
      </c>
      <c r="E16242" t="s">
        <v>165</v>
      </c>
      <c r="F16242">
        <v>171.11</v>
      </c>
      <c r="G16242">
        <v>230816</v>
      </c>
      <c r="H16242">
        <v>4510</v>
      </c>
      <c r="I16242" t="s">
        <v>42</v>
      </c>
      <c r="J16242">
        <v>188.22</v>
      </c>
      <c r="K16242">
        <v>17.11</v>
      </c>
      <c r="L16242">
        <v>17972</v>
      </c>
      <c r="M16242" t="s">
        <v>248</v>
      </c>
      <c r="N16242" t="str">
        <f>"35795186    "</f>
        <v xml:space="preserve">35795186    </v>
      </c>
      <c r="O16242">
        <v>230818</v>
      </c>
    </row>
    <row r="16243" spans="1:15" x14ac:dyDescent="0.25">
      <c r="A16243" t="s">
        <v>16</v>
      </c>
      <c r="B16243" t="s">
        <v>3221</v>
      </c>
      <c r="C16243">
        <v>12083</v>
      </c>
      <c r="D16243" t="s">
        <v>164</v>
      </c>
      <c r="E16243" t="s">
        <v>165</v>
      </c>
      <c r="F16243">
        <v>108</v>
      </c>
      <c r="G16243">
        <v>230913</v>
      </c>
      <c r="H16243">
        <v>4510</v>
      </c>
      <c r="I16243" t="s">
        <v>42</v>
      </c>
      <c r="J16243">
        <v>118.8</v>
      </c>
      <c r="K16243">
        <v>10.8</v>
      </c>
      <c r="L16243">
        <v>11001</v>
      </c>
      <c r="M16243" t="s">
        <v>326</v>
      </c>
      <c r="N16243" t="str">
        <f>"36077134    "</f>
        <v xml:space="preserve">36077134    </v>
      </c>
      <c r="O16243">
        <v>230913</v>
      </c>
    </row>
    <row r="16244" spans="1:15" x14ac:dyDescent="0.25">
      <c r="A16244" t="s">
        <v>16</v>
      </c>
      <c r="B16244" t="s">
        <v>3221</v>
      </c>
      <c r="C16244">
        <v>13784</v>
      </c>
      <c r="D16244" t="s">
        <v>164</v>
      </c>
      <c r="E16244" t="s">
        <v>165</v>
      </c>
      <c r="F16244">
        <v>38.409999999999997</v>
      </c>
      <c r="G16244">
        <v>231009</v>
      </c>
      <c r="H16244">
        <v>4510</v>
      </c>
      <c r="I16244" t="s">
        <v>42</v>
      </c>
      <c r="J16244">
        <v>42.25</v>
      </c>
      <c r="K16244">
        <v>3.84</v>
      </c>
      <c r="L16244">
        <v>13801</v>
      </c>
      <c r="M16244" t="s">
        <v>162</v>
      </c>
      <c r="N16244" t="str">
        <f>"36321316    "</f>
        <v xml:space="preserve">36321316    </v>
      </c>
      <c r="O16244">
        <v>231013</v>
      </c>
    </row>
    <row r="16245" spans="1:15" x14ac:dyDescent="0.25">
      <c r="A16245" t="s">
        <v>16</v>
      </c>
      <c r="B16245" t="s">
        <v>3221</v>
      </c>
      <c r="C16245">
        <v>1066</v>
      </c>
      <c r="D16245" t="s">
        <v>164</v>
      </c>
      <c r="E16245" t="s">
        <v>165</v>
      </c>
      <c r="F16245">
        <v>1310.7</v>
      </c>
      <c r="G16245">
        <v>230124</v>
      </c>
      <c r="H16245">
        <v>4350</v>
      </c>
      <c r="I16245" t="s">
        <v>546</v>
      </c>
      <c r="J16245">
        <v>1625.27</v>
      </c>
      <c r="K16245">
        <v>314.57</v>
      </c>
      <c r="L16245">
        <v>11601</v>
      </c>
      <c r="M16245" t="s">
        <v>535</v>
      </c>
      <c r="N16245" t="str">
        <f>"282230      "</f>
        <v xml:space="preserve">282230      </v>
      </c>
      <c r="O16245">
        <v>230203</v>
      </c>
    </row>
    <row r="16246" spans="1:15" x14ac:dyDescent="0.25">
      <c r="A16246" t="s">
        <v>16</v>
      </c>
      <c r="B16246" t="s">
        <v>3221</v>
      </c>
      <c r="C16246">
        <v>1133</v>
      </c>
      <c r="D16246" t="s">
        <v>164</v>
      </c>
      <c r="E16246" t="s">
        <v>165</v>
      </c>
      <c r="F16246">
        <v>1606.02</v>
      </c>
      <c r="G16246">
        <v>230131</v>
      </c>
      <c r="H16246">
        <v>4350</v>
      </c>
      <c r="I16246" t="s">
        <v>546</v>
      </c>
      <c r="J16246">
        <v>1991.46</v>
      </c>
      <c r="K16246">
        <v>385.44</v>
      </c>
      <c r="L16246">
        <v>11301</v>
      </c>
      <c r="M16246" t="s">
        <v>29</v>
      </c>
      <c r="N16246" t="str">
        <f>"282950      "</f>
        <v xml:space="preserve">282950      </v>
      </c>
      <c r="O16246">
        <v>230206</v>
      </c>
    </row>
    <row r="16247" spans="1:15" x14ac:dyDescent="0.25">
      <c r="A16247" t="s">
        <v>16</v>
      </c>
      <c r="B16247" t="s">
        <v>3221</v>
      </c>
      <c r="C16247">
        <v>1972</v>
      </c>
      <c r="D16247" t="s">
        <v>164</v>
      </c>
      <c r="E16247" t="s">
        <v>165</v>
      </c>
      <c r="F16247">
        <v>2081.1999999999998</v>
      </c>
      <c r="G16247">
        <v>230214</v>
      </c>
      <c r="H16247">
        <v>4350</v>
      </c>
      <c r="I16247" t="s">
        <v>546</v>
      </c>
      <c r="J16247">
        <v>2580.69</v>
      </c>
      <c r="K16247">
        <v>499.49</v>
      </c>
      <c r="L16247">
        <v>18972</v>
      </c>
      <c r="M16247" t="s">
        <v>163</v>
      </c>
      <c r="N16247" t="str">
        <f>"286131      "</f>
        <v xml:space="preserve">286131      </v>
      </c>
      <c r="O16247">
        <v>230216</v>
      </c>
    </row>
    <row r="16248" spans="1:15" x14ac:dyDescent="0.25">
      <c r="A16248" t="s">
        <v>16</v>
      </c>
      <c r="B16248" t="s">
        <v>3221</v>
      </c>
      <c r="C16248">
        <v>2362</v>
      </c>
      <c r="D16248" t="s">
        <v>164</v>
      </c>
      <c r="E16248" t="s">
        <v>165</v>
      </c>
      <c r="F16248">
        <v>381.04</v>
      </c>
      <c r="G16248">
        <v>230223</v>
      </c>
      <c r="H16248">
        <v>4350</v>
      </c>
      <c r="I16248" t="s">
        <v>546</v>
      </c>
      <c r="J16248">
        <v>472.49</v>
      </c>
      <c r="K16248">
        <v>91.45</v>
      </c>
      <c r="L16248">
        <v>49702</v>
      </c>
      <c r="M16248" t="s">
        <v>584</v>
      </c>
      <c r="N16248" t="str">
        <f>"287651      "</f>
        <v xml:space="preserve">287651      </v>
      </c>
      <c r="O16248">
        <v>230224</v>
      </c>
    </row>
    <row r="16249" spans="1:15" x14ac:dyDescent="0.25">
      <c r="A16249" t="s">
        <v>16</v>
      </c>
      <c r="B16249" t="s">
        <v>3221</v>
      </c>
      <c r="C16249">
        <v>2573</v>
      </c>
      <c r="D16249" t="s">
        <v>164</v>
      </c>
      <c r="E16249" t="s">
        <v>165</v>
      </c>
      <c r="F16249">
        <v>1167.72</v>
      </c>
      <c r="G16249">
        <v>230228</v>
      </c>
      <c r="H16249">
        <v>4350</v>
      </c>
      <c r="I16249" t="s">
        <v>546</v>
      </c>
      <c r="J16249">
        <v>1447.97</v>
      </c>
      <c r="K16249">
        <v>280.25</v>
      </c>
      <c r="L16249">
        <v>11301</v>
      </c>
      <c r="M16249" t="s">
        <v>29</v>
      </c>
      <c r="N16249" t="str">
        <f>"288871      "</f>
        <v xml:space="preserve">288871      </v>
      </c>
      <c r="O16249">
        <v>230302</v>
      </c>
    </row>
    <row r="16250" spans="1:15" x14ac:dyDescent="0.25">
      <c r="A16250" t="s">
        <v>16</v>
      </c>
      <c r="B16250" t="s">
        <v>3221</v>
      </c>
      <c r="C16250">
        <v>4371</v>
      </c>
      <c r="D16250" t="s">
        <v>164</v>
      </c>
      <c r="E16250" t="s">
        <v>165</v>
      </c>
      <c r="F16250">
        <v>588.46</v>
      </c>
      <c r="G16250">
        <v>230330</v>
      </c>
      <c r="H16250">
        <v>4350</v>
      </c>
      <c r="I16250" t="s">
        <v>546</v>
      </c>
      <c r="J16250">
        <v>729.69</v>
      </c>
      <c r="K16250">
        <v>141.22999999999999</v>
      </c>
      <c r="L16250">
        <v>49702</v>
      </c>
      <c r="M16250" t="s">
        <v>584</v>
      </c>
      <c r="N16250" t="str">
        <f>"295173      "</f>
        <v xml:space="preserve">295173      </v>
      </c>
      <c r="O16250">
        <v>230405</v>
      </c>
    </row>
    <row r="16251" spans="1:15" x14ac:dyDescent="0.25">
      <c r="A16251" t="s">
        <v>16</v>
      </c>
      <c r="B16251" t="s">
        <v>3221</v>
      </c>
      <c r="C16251">
        <v>4400</v>
      </c>
      <c r="D16251" t="s">
        <v>164</v>
      </c>
      <c r="E16251" t="s">
        <v>165</v>
      </c>
      <c r="F16251">
        <v>1220.1500000000001</v>
      </c>
      <c r="G16251">
        <v>230331</v>
      </c>
      <c r="H16251">
        <v>4350</v>
      </c>
      <c r="I16251" t="s">
        <v>546</v>
      </c>
      <c r="J16251">
        <v>1512.99</v>
      </c>
      <c r="K16251">
        <v>292.83999999999997</v>
      </c>
      <c r="L16251">
        <v>11301</v>
      </c>
      <c r="M16251" t="s">
        <v>29</v>
      </c>
      <c r="N16251" t="str">
        <f>"295933      "</f>
        <v xml:space="preserve">295933      </v>
      </c>
      <c r="O16251">
        <v>230405</v>
      </c>
    </row>
    <row r="16252" spans="1:15" x14ac:dyDescent="0.25">
      <c r="A16252" t="s">
        <v>16</v>
      </c>
      <c r="B16252" t="s">
        <v>3221</v>
      </c>
      <c r="C16252">
        <v>4479</v>
      </c>
      <c r="D16252" t="s">
        <v>164</v>
      </c>
      <c r="E16252" t="s">
        <v>165</v>
      </c>
      <c r="F16252">
        <v>381.65</v>
      </c>
      <c r="G16252">
        <v>230331</v>
      </c>
      <c r="H16252">
        <v>4350</v>
      </c>
      <c r="I16252" t="s">
        <v>546</v>
      </c>
      <c r="J16252">
        <v>473.25</v>
      </c>
      <c r="K16252">
        <v>91.6</v>
      </c>
      <c r="L16252">
        <v>49702</v>
      </c>
      <c r="M16252" t="s">
        <v>584</v>
      </c>
      <c r="N16252" t="str">
        <f>"296893      "</f>
        <v xml:space="preserve">296893      </v>
      </c>
      <c r="O16252">
        <v>230406</v>
      </c>
    </row>
    <row r="16253" spans="1:15" x14ac:dyDescent="0.25">
      <c r="A16253" t="s">
        <v>16</v>
      </c>
      <c r="B16253" t="s">
        <v>3221</v>
      </c>
      <c r="C16253">
        <v>5431</v>
      </c>
      <c r="D16253" t="s">
        <v>164</v>
      </c>
      <c r="E16253" t="s">
        <v>165</v>
      </c>
      <c r="F16253">
        <v>636.91</v>
      </c>
      <c r="G16253">
        <v>230418</v>
      </c>
      <c r="H16253">
        <v>4350</v>
      </c>
      <c r="I16253" t="s">
        <v>546</v>
      </c>
      <c r="J16253">
        <v>700.6</v>
      </c>
      <c r="K16253">
        <v>63.69</v>
      </c>
      <c r="L16253">
        <v>13801</v>
      </c>
      <c r="M16253" t="s">
        <v>162</v>
      </c>
      <c r="N16253" t="str">
        <f>"300467      "</f>
        <v xml:space="preserve">300467      </v>
      </c>
      <c r="O16253">
        <v>230424</v>
      </c>
    </row>
    <row r="16254" spans="1:15" x14ac:dyDescent="0.25">
      <c r="A16254" t="s">
        <v>16</v>
      </c>
      <c r="B16254" t="s">
        <v>3221</v>
      </c>
      <c r="C16254">
        <v>5435</v>
      </c>
      <c r="D16254" t="s">
        <v>164</v>
      </c>
      <c r="E16254" t="s">
        <v>165</v>
      </c>
      <c r="F16254">
        <v>206</v>
      </c>
      <c r="G16254">
        <v>230420</v>
      </c>
      <c r="H16254">
        <v>4350</v>
      </c>
      <c r="I16254" t="s">
        <v>546</v>
      </c>
      <c r="J16254">
        <v>255.44</v>
      </c>
      <c r="K16254">
        <v>49.44</v>
      </c>
      <c r="L16254">
        <v>13801</v>
      </c>
      <c r="M16254" t="s">
        <v>162</v>
      </c>
      <c r="N16254" t="str">
        <f>"300952      "</f>
        <v xml:space="preserve">300952      </v>
      </c>
      <c r="O16254">
        <v>230424</v>
      </c>
    </row>
    <row r="16255" spans="1:15" x14ac:dyDescent="0.25">
      <c r="A16255" t="s">
        <v>16</v>
      </c>
      <c r="B16255" t="s">
        <v>3221</v>
      </c>
      <c r="C16255">
        <v>5975</v>
      </c>
      <c r="D16255" t="s">
        <v>164</v>
      </c>
      <c r="E16255" t="s">
        <v>165</v>
      </c>
      <c r="F16255">
        <v>160.18</v>
      </c>
      <c r="G16255">
        <v>230430</v>
      </c>
      <c r="H16255">
        <v>4350</v>
      </c>
      <c r="I16255" t="s">
        <v>546</v>
      </c>
      <c r="J16255">
        <v>198.62</v>
      </c>
      <c r="K16255">
        <v>38.44</v>
      </c>
      <c r="L16255">
        <v>11301</v>
      </c>
      <c r="M16255" t="s">
        <v>29</v>
      </c>
      <c r="N16255" t="str">
        <f>"302966      "</f>
        <v xml:space="preserve">302966      </v>
      </c>
      <c r="O16255">
        <v>230504</v>
      </c>
    </row>
    <row r="16256" spans="1:15" x14ac:dyDescent="0.25">
      <c r="A16256" t="s">
        <v>16</v>
      </c>
      <c r="B16256" t="s">
        <v>3221</v>
      </c>
      <c r="C16256">
        <v>6530</v>
      </c>
      <c r="D16256" t="s">
        <v>164</v>
      </c>
      <c r="E16256" t="s">
        <v>165</v>
      </c>
      <c r="F16256">
        <v>100.8</v>
      </c>
      <c r="G16256">
        <v>230511</v>
      </c>
      <c r="H16256">
        <v>4350</v>
      </c>
      <c r="I16256" t="s">
        <v>546</v>
      </c>
      <c r="J16256">
        <v>124.99</v>
      </c>
      <c r="K16256">
        <v>24.19</v>
      </c>
      <c r="L16256">
        <v>66754</v>
      </c>
      <c r="M16256" t="s">
        <v>239</v>
      </c>
      <c r="N16256" t="str">
        <f>"307285      "</f>
        <v xml:space="preserve">307285      </v>
      </c>
      <c r="O16256">
        <v>230512</v>
      </c>
    </row>
    <row r="16257" spans="1:15" x14ac:dyDescent="0.25">
      <c r="A16257" t="s">
        <v>16</v>
      </c>
      <c r="B16257" t="s">
        <v>3221</v>
      </c>
      <c r="C16257">
        <v>7259</v>
      </c>
      <c r="D16257" t="s">
        <v>164</v>
      </c>
      <c r="E16257" t="s">
        <v>165</v>
      </c>
      <c r="F16257">
        <v>100.8</v>
      </c>
      <c r="G16257">
        <v>230525</v>
      </c>
      <c r="H16257">
        <v>4350</v>
      </c>
      <c r="I16257" t="s">
        <v>546</v>
      </c>
      <c r="J16257">
        <v>124.99</v>
      </c>
      <c r="K16257">
        <v>24.19</v>
      </c>
      <c r="L16257">
        <v>66754</v>
      </c>
      <c r="M16257" t="s">
        <v>239</v>
      </c>
      <c r="N16257" t="str">
        <f>"309911      "</f>
        <v xml:space="preserve">309911      </v>
      </c>
      <c r="O16257">
        <v>230526</v>
      </c>
    </row>
    <row r="16258" spans="1:15" x14ac:dyDescent="0.25">
      <c r="A16258" t="s">
        <v>16</v>
      </c>
      <c r="B16258" t="s">
        <v>3221</v>
      </c>
      <c r="C16258">
        <v>7748</v>
      </c>
      <c r="D16258" t="s">
        <v>164</v>
      </c>
      <c r="E16258" t="s">
        <v>165</v>
      </c>
      <c r="F16258">
        <v>1064.0999999999999</v>
      </c>
      <c r="G16258">
        <v>230531</v>
      </c>
      <c r="H16258">
        <v>4350</v>
      </c>
      <c r="I16258" t="s">
        <v>546</v>
      </c>
      <c r="J16258">
        <v>1319.48</v>
      </c>
      <c r="K16258">
        <v>255.38</v>
      </c>
      <c r="L16258">
        <v>11301</v>
      </c>
      <c r="M16258" t="s">
        <v>29</v>
      </c>
      <c r="N16258" t="str">
        <f>"311332      "</f>
        <v xml:space="preserve">311332      </v>
      </c>
      <c r="O16258">
        <v>230602</v>
      </c>
    </row>
    <row r="16259" spans="1:15" x14ac:dyDescent="0.25">
      <c r="A16259" t="s">
        <v>16</v>
      </c>
      <c r="B16259" t="s">
        <v>3221</v>
      </c>
      <c r="C16259">
        <v>9760</v>
      </c>
      <c r="D16259" t="s">
        <v>164</v>
      </c>
      <c r="E16259" t="s">
        <v>165</v>
      </c>
      <c r="F16259">
        <v>160.18</v>
      </c>
      <c r="G16259">
        <v>230630</v>
      </c>
      <c r="H16259">
        <v>4350</v>
      </c>
      <c r="I16259" t="s">
        <v>546</v>
      </c>
      <c r="J16259">
        <v>198.62</v>
      </c>
      <c r="K16259">
        <v>38.44</v>
      </c>
      <c r="L16259">
        <v>11301</v>
      </c>
      <c r="M16259" t="s">
        <v>29</v>
      </c>
      <c r="N16259" t="str">
        <f>"319116      "</f>
        <v xml:space="preserve">319116      </v>
      </c>
      <c r="O16259">
        <v>230725</v>
      </c>
    </row>
    <row r="16260" spans="1:15" x14ac:dyDescent="0.25">
      <c r="A16260" t="s">
        <v>16</v>
      </c>
      <c r="B16260" t="s">
        <v>3221</v>
      </c>
      <c r="C16260">
        <v>9927</v>
      </c>
      <c r="D16260" t="s">
        <v>164</v>
      </c>
      <c r="E16260" t="s">
        <v>165</v>
      </c>
      <c r="F16260">
        <v>165.51</v>
      </c>
      <c r="G16260">
        <v>230731</v>
      </c>
      <c r="H16260">
        <v>4350</v>
      </c>
      <c r="I16260" t="s">
        <v>546</v>
      </c>
      <c r="J16260">
        <v>205.23</v>
      </c>
      <c r="K16260">
        <v>39.72</v>
      </c>
      <c r="L16260">
        <v>11301</v>
      </c>
      <c r="M16260" t="s">
        <v>29</v>
      </c>
      <c r="N16260" t="str">
        <f>"326180      "</f>
        <v xml:space="preserve">326180      </v>
      </c>
      <c r="O16260">
        <v>230802</v>
      </c>
    </row>
    <row r="16261" spans="1:15" x14ac:dyDescent="0.25">
      <c r="A16261" t="s">
        <v>16</v>
      </c>
      <c r="B16261" t="s">
        <v>3221</v>
      </c>
      <c r="C16261">
        <v>11406</v>
      </c>
      <c r="D16261" t="s">
        <v>164</v>
      </c>
      <c r="E16261" t="s">
        <v>165</v>
      </c>
      <c r="F16261">
        <v>938.88</v>
      </c>
      <c r="G16261">
        <v>230831</v>
      </c>
      <c r="H16261">
        <v>4350</v>
      </c>
      <c r="I16261" t="s">
        <v>546</v>
      </c>
      <c r="J16261">
        <v>1164.21</v>
      </c>
      <c r="K16261">
        <v>225.33</v>
      </c>
      <c r="L16261">
        <v>11301</v>
      </c>
      <c r="M16261" t="s">
        <v>29</v>
      </c>
      <c r="N16261" t="str">
        <f>"333352      "</f>
        <v xml:space="preserve">333352      </v>
      </c>
      <c r="O16261">
        <v>230905</v>
      </c>
    </row>
    <row r="16262" spans="1:15" x14ac:dyDescent="0.25">
      <c r="A16262" t="s">
        <v>16</v>
      </c>
      <c r="B16262" t="s">
        <v>3221</v>
      </c>
      <c r="C16262">
        <v>13283</v>
      </c>
      <c r="D16262" t="s">
        <v>164</v>
      </c>
      <c r="E16262" t="s">
        <v>165</v>
      </c>
      <c r="F16262">
        <v>1182.6099999999999</v>
      </c>
      <c r="G16262">
        <v>230930</v>
      </c>
      <c r="H16262">
        <v>4350</v>
      </c>
      <c r="I16262" t="s">
        <v>546</v>
      </c>
      <c r="J16262">
        <v>1466.44</v>
      </c>
      <c r="K16262">
        <v>283.83</v>
      </c>
      <c r="L16262">
        <v>11301</v>
      </c>
      <c r="M16262" t="s">
        <v>29</v>
      </c>
      <c r="N16262" t="str">
        <f>"341282      "</f>
        <v xml:space="preserve">341282      </v>
      </c>
      <c r="O16262">
        <v>231009</v>
      </c>
    </row>
    <row r="16263" spans="1:15" x14ac:dyDescent="0.25">
      <c r="A16263" t="s">
        <v>16</v>
      </c>
      <c r="B16263" t="s">
        <v>3221</v>
      </c>
      <c r="C16263">
        <v>13997</v>
      </c>
      <c r="D16263" t="s">
        <v>164</v>
      </c>
      <c r="E16263" t="s">
        <v>165</v>
      </c>
      <c r="F16263">
        <v>95.2</v>
      </c>
      <c r="G16263">
        <v>231012</v>
      </c>
      <c r="H16263">
        <v>4350</v>
      </c>
      <c r="I16263" t="s">
        <v>546</v>
      </c>
      <c r="J16263">
        <v>118.05</v>
      </c>
      <c r="K16263">
        <v>22.85</v>
      </c>
      <c r="L16263">
        <v>69702</v>
      </c>
      <c r="M16263" t="s">
        <v>489</v>
      </c>
      <c r="N16263" t="str">
        <f>"344766      "</f>
        <v xml:space="preserve">344766      </v>
      </c>
      <c r="O16263">
        <v>231017</v>
      </c>
    </row>
    <row r="16264" spans="1:15" x14ac:dyDescent="0.25">
      <c r="A16264" t="s">
        <v>16</v>
      </c>
      <c r="B16264" t="s">
        <v>3221</v>
      </c>
      <c r="C16264">
        <v>14780</v>
      </c>
      <c r="D16264" t="s">
        <v>164</v>
      </c>
      <c r="E16264" t="s">
        <v>165</v>
      </c>
      <c r="F16264">
        <v>2010.25</v>
      </c>
      <c r="G16264">
        <v>231024</v>
      </c>
      <c r="H16264">
        <v>4350</v>
      </c>
      <c r="I16264" t="s">
        <v>546</v>
      </c>
      <c r="J16264">
        <v>2492.71</v>
      </c>
      <c r="K16264">
        <v>482.46</v>
      </c>
      <c r="L16264">
        <v>18972</v>
      </c>
      <c r="M16264" t="s">
        <v>163</v>
      </c>
      <c r="N16264" t="str">
        <f>"347082      "</f>
        <v xml:space="preserve">347082      </v>
      </c>
      <c r="O16264">
        <v>231106</v>
      </c>
    </row>
    <row r="16265" spans="1:15" x14ac:dyDescent="0.25">
      <c r="A16265" t="s">
        <v>16</v>
      </c>
      <c r="B16265" t="s">
        <v>3221</v>
      </c>
      <c r="C16265">
        <v>14977</v>
      </c>
      <c r="D16265" t="s">
        <v>164</v>
      </c>
      <c r="E16265" t="s">
        <v>165</v>
      </c>
      <c r="F16265">
        <v>165.51</v>
      </c>
      <c r="G16265">
        <v>231031</v>
      </c>
      <c r="H16265">
        <v>4350</v>
      </c>
      <c r="I16265" t="s">
        <v>546</v>
      </c>
      <c r="J16265">
        <v>205.23</v>
      </c>
      <c r="K16265">
        <v>39.72</v>
      </c>
      <c r="L16265">
        <v>11301</v>
      </c>
      <c r="M16265" t="s">
        <v>29</v>
      </c>
      <c r="N16265" t="str">
        <f>"350665      "</f>
        <v xml:space="preserve">350665      </v>
      </c>
      <c r="O16265">
        <v>231107</v>
      </c>
    </row>
    <row r="16266" spans="1:15" x14ac:dyDescent="0.25">
      <c r="A16266" t="s">
        <v>16</v>
      </c>
      <c r="B16266" t="s">
        <v>3221</v>
      </c>
      <c r="C16266">
        <v>15368</v>
      </c>
      <c r="D16266" t="s">
        <v>164</v>
      </c>
      <c r="E16266" t="s">
        <v>165</v>
      </c>
      <c r="F16266">
        <v>206</v>
      </c>
      <c r="G16266">
        <v>231102</v>
      </c>
      <c r="H16266">
        <v>4350</v>
      </c>
      <c r="I16266" t="s">
        <v>546</v>
      </c>
      <c r="J16266">
        <v>255.44</v>
      </c>
      <c r="K16266">
        <v>49.44</v>
      </c>
      <c r="L16266">
        <v>13801</v>
      </c>
      <c r="M16266" t="s">
        <v>162</v>
      </c>
      <c r="N16266" t="str">
        <f>"351146      "</f>
        <v xml:space="preserve">351146      </v>
      </c>
      <c r="O16266">
        <v>231113</v>
      </c>
    </row>
    <row r="16267" spans="1:15" x14ac:dyDescent="0.25">
      <c r="A16267" t="s">
        <v>16</v>
      </c>
      <c r="B16267" t="s">
        <v>3221</v>
      </c>
      <c r="C16267">
        <v>15368</v>
      </c>
      <c r="D16267" t="s">
        <v>164</v>
      </c>
      <c r="E16267" t="s">
        <v>165</v>
      </c>
      <c r="F16267">
        <v>579.6</v>
      </c>
      <c r="G16267">
        <v>231102</v>
      </c>
      <c r="H16267">
        <v>4350</v>
      </c>
      <c r="I16267" t="s">
        <v>546</v>
      </c>
      <c r="J16267">
        <v>718.7</v>
      </c>
      <c r="K16267">
        <v>139.1</v>
      </c>
      <c r="L16267">
        <v>49702</v>
      </c>
      <c r="M16267" t="s">
        <v>584</v>
      </c>
      <c r="N16267" t="str">
        <f>"351146      "</f>
        <v xml:space="preserve">351146      </v>
      </c>
      <c r="O16267">
        <v>231113</v>
      </c>
    </row>
    <row r="16268" spans="1:15" x14ac:dyDescent="0.25">
      <c r="A16268" t="s">
        <v>16</v>
      </c>
      <c r="B16268" t="s">
        <v>3221</v>
      </c>
      <c r="C16268">
        <v>15587</v>
      </c>
      <c r="D16268" t="s">
        <v>164</v>
      </c>
      <c r="E16268" t="s">
        <v>165</v>
      </c>
      <c r="F16268">
        <v>404.1</v>
      </c>
      <c r="G16268">
        <v>231107</v>
      </c>
      <c r="H16268">
        <v>4350</v>
      </c>
      <c r="I16268" t="s">
        <v>546</v>
      </c>
      <c r="J16268">
        <v>501.08</v>
      </c>
      <c r="K16268">
        <v>96.98</v>
      </c>
      <c r="L16268">
        <v>49702</v>
      </c>
      <c r="M16268" t="s">
        <v>584</v>
      </c>
      <c r="N16268" t="str">
        <f>"351665      "</f>
        <v xml:space="preserve">351665      </v>
      </c>
      <c r="O16268">
        <v>231114</v>
      </c>
    </row>
    <row r="16269" spans="1:15" x14ac:dyDescent="0.25">
      <c r="A16269" t="s">
        <v>16</v>
      </c>
      <c r="B16269" t="s">
        <v>3221</v>
      </c>
      <c r="C16269">
        <v>16646</v>
      </c>
      <c r="D16269" t="s">
        <v>164</v>
      </c>
      <c r="E16269" t="s">
        <v>165</v>
      </c>
      <c r="F16269">
        <v>1060.1199999999999</v>
      </c>
      <c r="G16269">
        <v>231130</v>
      </c>
      <c r="H16269">
        <v>4350</v>
      </c>
      <c r="I16269" t="s">
        <v>546</v>
      </c>
      <c r="J16269">
        <v>1314.55</v>
      </c>
      <c r="K16269">
        <v>254.43</v>
      </c>
      <c r="L16269">
        <v>11301</v>
      </c>
      <c r="M16269" t="s">
        <v>29</v>
      </c>
      <c r="N16269" t="str">
        <f>"357750      "</f>
        <v xml:space="preserve">357750      </v>
      </c>
      <c r="O16269">
        <v>231205</v>
      </c>
    </row>
    <row r="16270" spans="1:15" x14ac:dyDescent="0.25">
      <c r="A16270" t="s">
        <v>16</v>
      </c>
      <c r="B16270" t="s">
        <v>3221</v>
      </c>
      <c r="C16270">
        <v>16647</v>
      </c>
      <c r="D16270" t="s">
        <v>164</v>
      </c>
      <c r="E16270" t="s">
        <v>165</v>
      </c>
      <c r="F16270">
        <v>206</v>
      </c>
      <c r="G16270">
        <v>231130</v>
      </c>
      <c r="H16270">
        <v>4350</v>
      </c>
      <c r="I16270" t="s">
        <v>546</v>
      </c>
      <c r="J16270">
        <v>255.44</v>
      </c>
      <c r="K16270">
        <v>49.44</v>
      </c>
      <c r="L16270">
        <v>13801</v>
      </c>
      <c r="M16270" t="s">
        <v>162</v>
      </c>
      <c r="N16270" t="str">
        <f>"358917      "</f>
        <v xml:space="preserve">358917      </v>
      </c>
      <c r="O16270">
        <v>231205</v>
      </c>
    </row>
    <row r="16271" spans="1:15" x14ac:dyDescent="0.25">
      <c r="A16271" t="s">
        <v>16</v>
      </c>
      <c r="B16271" t="s">
        <v>3221</v>
      </c>
      <c r="C16271">
        <v>16840</v>
      </c>
      <c r="D16271" t="s">
        <v>164</v>
      </c>
      <c r="E16271" t="s">
        <v>165</v>
      </c>
      <c r="F16271">
        <v>824.92</v>
      </c>
      <c r="G16271">
        <v>231130</v>
      </c>
      <c r="H16271">
        <v>4350</v>
      </c>
      <c r="I16271" t="s">
        <v>546</v>
      </c>
      <c r="J16271">
        <v>1022.9</v>
      </c>
      <c r="K16271">
        <v>197.98</v>
      </c>
      <c r="L16271">
        <v>18972</v>
      </c>
      <c r="M16271" t="s">
        <v>163</v>
      </c>
      <c r="N16271" t="str">
        <f>"358158      "</f>
        <v xml:space="preserve">358158      </v>
      </c>
      <c r="O16271">
        <v>231211</v>
      </c>
    </row>
    <row r="16272" spans="1:15" x14ac:dyDescent="0.25">
      <c r="A16272" t="s">
        <v>16</v>
      </c>
      <c r="B16272" t="s">
        <v>3221</v>
      </c>
      <c r="C16272">
        <v>17294</v>
      </c>
      <c r="D16272" t="s">
        <v>164</v>
      </c>
      <c r="E16272" t="s">
        <v>165</v>
      </c>
      <c r="F16272">
        <v>100.8</v>
      </c>
      <c r="G16272">
        <v>231207</v>
      </c>
      <c r="H16272">
        <v>4350</v>
      </c>
      <c r="I16272" t="s">
        <v>546</v>
      </c>
      <c r="J16272">
        <v>124.99</v>
      </c>
      <c r="K16272">
        <v>24.19</v>
      </c>
      <c r="L16272">
        <v>66754</v>
      </c>
      <c r="M16272" t="s">
        <v>239</v>
      </c>
      <c r="N16272" t="str">
        <f>"360753      "</f>
        <v xml:space="preserve">360753      </v>
      </c>
      <c r="O16272">
        <v>231212</v>
      </c>
    </row>
    <row r="16273" spans="1:15" x14ac:dyDescent="0.25">
      <c r="A16273" t="s">
        <v>16</v>
      </c>
      <c r="B16273" t="s">
        <v>3221</v>
      </c>
      <c r="C16273">
        <v>17840</v>
      </c>
      <c r="D16273" t="s">
        <v>164</v>
      </c>
      <c r="E16273" t="s">
        <v>165</v>
      </c>
      <c r="F16273">
        <v>1493.87</v>
      </c>
      <c r="G16273">
        <v>231212</v>
      </c>
      <c r="H16273">
        <v>4350</v>
      </c>
      <c r="I16273" t="s">
        <v>546</v>
      </c>
      <c r="J16273">
        <v>1852.4</v>
      </c>
      <c r="K16273">
        <v>358.53</v>
      </c>
      <c r="L16273">
        <v>11601</v>
      </c>
      <c r="M16273" t="s">
        <v>535</v>
      </c>
      <c r="N16273" t="str">
        <f>"361850      "</f>
        <v xml:space="preserve">361850      </v>
      </c>
      <c r="O16273">
        <v>231227</v>
      </c>
    </row>
    <row r="16274" spans="1:15" x14ac:dyDescent="0.25">
      <c r="A16274" t="s">
        <v>16</v>
      </c>
      <c r="B16274" t="s">
        <v>3221</v>
      </c>
      <c r="C16274">
        <v>17840</v>
      </c>
      <c r="D16274" t="s">
        <v>164</v>
      </c>
      <c r="E16274" t="s">
        <v>165</v>
      </c>
      <c r="F16274">
        <v>1493.88</v>
      </c>
      <c r="G16274">
        <v>231212</v>
      </c>
      <c r="H16274">
        <v>4350</v>
      </c>
      <c r="I16274" t="s">
        <v>546</v>
      </c>
      <c r="J16274">
        <v>1852.41</v>
      </c>
      <c r="K16274">
        <v>358.53</v>
      </c>
      <c r="L16274">
        <v>14971</v>
      </c>
      <c r="M16274" t="s">
        <v>1259</v>
      </c>
      <c r="N16274" t="str">
        <f>"361850      "</f>
        <v xml:space="preserve">361850      </v>
      </c>
      <c r="O16274">
        <v>231227</v>
      </c>
    </row>
    <row r="16275" spans="1:15" x14ac:dyDescent="0.25">
      <c r="A16275" t="s">
        <v>16</v>
      </c>
      <c r="B16275" t="s">
        <v>3221</v>
      </c>
      <c r="C16275">
        <v>18215</v>
      </c>
      <c r="D16275" t="s">
        <v>164</v>
      </c>
      <c r="E16275" t="s">
        <v>165</v>
      </c>
      <c r="F16275">
        <v>5950</v>
      </c>
      <c r="G16275">
        <v>231219</v>
      </c>
      <c r="H16275">
        <v>4347</v>
      </c>
      <c r="I16275" t="s">
        <v>193</v>
      </c>
      <c r="J16275">
        <v>7378</v>
      </c>
      <c r="K16275">
        <v>1428</v>
      </c>
      <c r="L16275">
        <v>11301</v>
      </c>
      <c r="M16275" t="s">
        <v>29</v>
      </c>
      <c r="N16275" t="str">
        <f>"363240      "</f>
        <v xml:space="preserve">363240      </v>
      </c>
      <c r="O16275">
        <v>240102</v>
      </c>
    </row>
    <row r="16276" spans="1:15" x14ac:dyDescent="0.25">
      <c r="A16276" t="s">
        <v>16</v>
      </c>
      <c r="B16276" t="s">
        <v>3221</v>
      </c>
      <c r="C16276">
        <v>383</v>
      </c>
      <c r="D16276" t="s">
        <v>505</v>
      </c>
      <c r="E16276" t="s">
        <v>506</v>
      </c>
      <c r="F16276">
        <v>914.37</v>
      </c>
      <c r="G16276">
        <v>230111</v>
      </c>
      <c r="H16276">
        <v>4510</v>
      </c>
      <c r="I16276" t="s">
        <v>42</v>
      </c>
      <c r="J16276">
        <v>1005.81</v>
      </c>
      <c r="K16276">
        <v>91.44</v>
      </c>
      <c r="L16276">
        <v>43222</v>
      </c>
      <c r="M16276" t="s">
        <v>507</v>
      </c>
      <c r="N16276" t="str">
        <f>"9501069292  "</f>
        <v xml:space="preserve">9501069292  </v>
      </c>
      <c r="O16276">
        <v>230119</v>
      </c>
    </row>
    <row r="16277" spans="1:15" x14ac:dyDescent="0.25">
      <c r="A16277" t="s">
        <v>16</v>
      </c>
      <c r="B16277" t="s">
        <v>3221</v>
      </c>
      <c r="C16277">
        <v>470</v>
      </c>
      <c r="D16277" t="s">
        <v>505</v>
      </c>
      <c r="E16277" t="s">
        <v>506</v>
      </c>
      <c r="F16277">
        <v>19.64</v>
      </c>
      <c r="G16277">
        <v>230119</v>
      </c>
      <c r="H16277">
        <v>4510</v>
      </c>
      <c r="I16277" t="s">
        <v>42</v>
      </c>
      <c r="J16277">
        <v>21.6</v>
      </c>
      <c r="K16277">
        <v>1.96</v>
      </c>
      <c r="L16277">
        <v>13502</v>
      </c>
      <c r="M16277" t="s">
        <v>243</v>
      </c>
      <c r="N16277" t="str">
        <f>"9501072038  "</f>
        <v xml:space="preserve">9501072038  </v>
      </c>
      <c r="O16277">
        <v>230123</v>
      </c>
    </row>
    <row r="16278" spans="1:15" x14ac:dyDescent="0.25">
      <c r="A16278" t="s">
        <v>16</v>
      </c>
      <c r="B16278" t="s">
        <v>3221</v>
      </c>
      <c r="C16278">
        <v>2028</v>
      </c>
      <c r="D16278" t="s">
        <v>505</v>
      </c>
      <c r="E16278" t="s">
        <v>506</v>
      </c>
      <c r="F16278">
        <v>1490.54</v>
      </c>
      <c r="G16278">
        <v>230213</v>
      </c>
      <c r="H16278">
        <v>4510</v>
      </c>
      <c r="I16278" t="s">
        <v>42</v>
      </c>
      <c r="J16278">
        <v>1639.59</v>
      </c>
      <c r="K16278">
        <v>149.05000000000001</v>
      </c>
      <c r="L16278">
        <v>43222</v>
      </c>
      <c r="M16278" t="s">
        <v>507</v>
      </c>
      <c r="N16278" t="str">
        <f>"9501077337  "</f>
        <v xml:space="preserve">9501077337  </v>
      </c>
      <c r="O16278">
        <v>230217</v>
      </c>
    </row>
    <row r="16279" spans="1:15" x14ac:dyDescent="0.25">
      <c r="A16279" t="s">
        <v>16</v>
      </c>
      <c r="B16279" t="s">
        <v>3221</v>
      </c>
      <c r="C16279">
        <v>4289</v>
      </c>
      <c r="D16279" t="s">
        <v>505</v>
      </c>
      <c r="E16279" t="s">
        <v>506</v>
      </c>
      <c r="F16279">
        <v>1106.9100000000001</v>
      </c>
      <c r="G16279">
        <v>230324</v>
      </c>
      <c r="H16279">
        <v>4510</v>
      </c>
      <c r="I16279" t="s">
        <v>42</v>
      </c>
      <c r="J16279">
        <v>1217.5999999999999</v>
      </c>
      <c r="K16279">
        <v>110.69</v>
      </c>
      <c r="L16279">
        <v>46554</v>
      </c>
      <c r="M16279" t="s">
        <v>117</v>
      </c>
      <c r="N16279" t="str">
        <f>"9501083669  "</f>
        <v xml:space="preserve">9501083669  </v>
      </c>
      <c r="O16279">
        <v>230404</v>
      </c>
    </row>
    <row r="16280" spans="1:15" x14ac:dyDescent="0.25">
      <c r="A16280" t="s">
        <v>16</v>
      </c>
      <c r="B16280" t="s">
        <v>3221</v>
      </c>
      <c r="C16280">
        <v>4389</v>
      </c>
      <c r="D16280" t="s">
        <v>505</v>
      </c>
      <c r="E16280" t="s">
        <v>506</v>
      </c>
      <c r="F16280">
        <v>67.25</v>
      </c>
      <c r="G16280">
        <v>230323</v>
      </c>
      <c r="H16280">
        <v>4510</v>
      </c>
      <c r="I16280" t="s">
        <v>42</v>
      </c>
      <c r="J16280">
        <v>83.39</v>
      </c>
      <c r="K16280">
        <v>16.14</v>
      </c>
      <c r="L16280">
        <v>55222</v>
      </c>
      <c r="M16280" t="s">
        <v>873</v>
      </c>
      <c r="N16280" t="str">
        <f>"9501083612  "</f>
        <v xml:space="preserve">9501083612  </v>
      </c>
      <c r="O16280">
        <v>230405</v>
      </c>
    </row>
    <row r="16281" spans="1:15" x14ac:dyDescent="0.25">
      <c r="A16281" t="s">
        <v>16</v>
      </c>
      <c r="B16281" t="s">
        <v>3221</v>
      </c>
      <c r="C16281">
        <v>10406</v>
      </c>
      <c r="D16281" t="s">
        <v>505</v>
      </c>
      <c r="E16281" t="s">
        <v>506</v>
      </c>
      <c r="F16281">
        <v>90.94</v>
      </c>
      <c r="G16281">
        <v>230811</v>
      </c>
      <c r="H16281">
        <v>4510</v>
      </c>
      <c r="I16281" t="s">
        <v>42</v>
      </c>
      <c r="J16281">
        <v>100.03</v>
      </c>
      <c r="K16281">
        <v>9.09</v>
      </c>
      <c r="L16281">
        <v>17808</v>
      </c>
      <c r="M16281" t="s">
        <v>322</v>
      </c>
      <c r="N16281" t="str">
        <f>"9501107735  "</f>
        <v xml:space="preserve">9501107735  </v>
      </c>
      <c r="O16281">
        <v>230815</v>
      </c>
    </row>
    <row r="16282" spans="1:15" x14ac:dyDescent="0.25">
      <c r="A16282" t="s">
        <v>16</v>
      </c>
      <c r="B16282" t="s">
        <v>3221</v>
      </c>
      <c r="C16282">
        <v>10413</v>
      </c>
      <c r="D16282" t="s">
        <v>505</v>
      </c>
      <c r="E16282" t="s">
        <v>506</v>
      </c>
      <c r="F16282">
        <v>68.400000000000006</v>
      </c>
      <c r="G16282">
        <v>230804</v>
      </c>
      <c r="H16282">
        <v>4510</v>
      </c>
      <c r="I16282" t="s">
        <v>42</v>
      </c>
      <c r="J16282">
        <v>75.239999999999995</v>
      </c>
      <c r="K16282">
        <v>6.84</v>
      </c>
      <c r="L16282">
        <v>13402</v>
      </c>
      <c r="M16282" t="s">
        <v>242</v>
      </c>
      <c r="N16282" t="str">
        <f>"9501100124  "</f>
        <v xml:space="preserve">9501100124  </v>
      </c>
      <c r="O16282">
        <v>230815</v>
      </c>
    </row>
    <row r="16283" spans="1:15" x14ac:dyDescent="0.25">
      <c r="A16283" t="s">
        <v>16</v>
      </c>
      <c r="B16283" t="s">
        <v>3221</v>
      </c>
      <c r="C16283">
        <v>10468</v>
      </c>
      <c r="D16283" t="s">
        <v>505</v>
      </c>
      <c r="E16283" t="s">
        <v>506</v>
      </c>
      <c r="F16283">
        <v>94.7</v>
      </c>
      <c r="G16283">
        <v>230804</v>
      </c>
      <c r="H16283">
        <v>4510</v>
      </c>
      <c r="I16283" t="s">
        <v>42</v>
      </c>
      <c r="J16283">
        <v>104.17</v>
      </c>
      <c r="K16283">
        <v>9.4700000000000006</v>
      </c>
      <c r="L16283">
        <v>54222</v>
      </c>
      <c r="M16283" t="s">
        <v>308</v>
      </c>
      <c r="N16283" t="str">
        <f>"9501099572  "</f>
        <v xml:space="preserve">9501099572  </v>
      </c>
      <c r="O16283">
        <v>230817</v>
      </c>
    </row>
    <row r="16284" spans="1:15" x14ac:dyDescent="0.25">
      <c r="A16284" t="s">
        <v>16</v>
      </c>
      <c r="B16284" t="s">
        <v>3221</v>
      </c>
      <c r="C16284">
        <v>10852</v>
      </c>
      <c r="D16284" t="s">
        <v>505</v>
      </c>
      <c r="E16284" t="s">
        <v>506</v>
      </c>
      <c r="F16284">
        <v>94.7</v>
      </c>
      <c r="G16284">
        <v>230816</v>
      </c>
      <c r="H16284">
        <v>4510</v>
      </c>
      <c r="I16284" t="s">
        <v>42</v>
      </c>
      <c r="J16284">
        <v>104.17</v>
      </c>
      <c r="K16284">
        <v>9.4700000000000006</v>
      </c>
      <c r="L16284">
        <v>43222</v>
      </c>
      <c r="M16284" t="s">
        <v>507</v>
      </c>
      <c r="N16284" t="str">
        <f>"9501111106  "</f>
        <v xml:space="preserve">9501111106  </v>
      </c>
      <c r="O16284">
        <v>230824</v>
      </c>
    </row>
    <row r="16285" spans="1:15" x14ac:dyDescent="0.25">
      <c r="A16285" t="s">
        <v>16</v>
      </c>
      <c r="B16285" t="s">
        <v>3221</v>
      </c>
      <c r="C16285">
        <v>11083</v>
      </c>
      <c r="D16285" t="s">
        <v>505</v>
      </c>
      <c r="E16285" t="s">
        <v>506</v>
      </c>
      <c r="F16285">
        <v>19.23</v>
      </c>
      <c r="G16285">
        <v>230825</v>
      </c>
      <c r="H16285">
        <v>4510</v>
      </c>
      <c r="I16285" t="s">
        <v>42</v>
      </c>
      <c r="J16285">
        <v>21.15</v>
      </c>
      <c r="K16285">
        <v>1.92</v>
      </c>
      <c r="L16285">
        <v>17808</v>
      </c>
      <c r="M16285" t="s">
        <v>322</v>
      </c>
      <c r="N16285" t="str">
        <f>"9501115615  "</f>
        <v xml:space="preserve">9501115615  </v>
      </c>
      <c r="O16285">
        <v>230830</v>
      </c>
    </row>
    <row r="16286" spans="1:15" x14ac:dyDescent="0.25">
      <c r="A16286" t="s">
        <v>16</v>
      </c>
      <c r="B16286" t="s">
        <v>3221</v>
      </c>
      <c r="C16286">
        <v>11491</v>
      </c>
      <c r="D16286" t="s">
        <v>505</v>
      </c>
      <c r="E16286" t="s">
        <v>506</v>
      </c>
      <c r="F16286">
        <v>42.36</v>
      </c>
      <c r="G16286">
        <v>230823</v>
      </c>
      <c r="H16286">
        <v>4510</v>
      </c>
      <c r="I16286" t="s">
        <v>42</v>
      </c>
      <c r="J16286">
        <v>46.6</v>
      </c>
      <c r="K16286">
        <v>4.24</v>
      </c>
      <c r="L16286">
        <v>56560</v>
      </c>
      <c r="M16286" t="s">
        <v>654</v>
      </c>
      <c r="N16286" t="str">
        <f>"9501114383  "</f>
        <v xml:space="preserve">9501114383  </v>
      </c>
      <c r="O16286">
        <v>230907</v>
      </c>
    </row>
    <row r="16287" spans="1:15" x14ac:dyDescent="0.25">
      <c r="A16287" t="s">
        <v>16</v>
      </c>
      <c r="B16287" t="s">
        <v>3221</v>
      </c>
      <c r="C16287">
        <v>11492</v>
      </c>
      <c r="D16287" t="s">
        <v>505</v>
      </c>
      <c r="E16287" t="s">
        <v>506</v>
      </c>
      <c r="F16287">
        <v>38</v>
      </c>
      <c r="G16287">
        <v>230823</v>
      </c>
      <c r="H16287">
        <v>4510</v>
      </c>
      <c r="I16287" t="s">
        <v>42</v>
      </c>
      <c r="J16287">
        <v>41.8</v>
      </c>
      <c r="K16287">
        <v>3.8</v>
      </c>
      <c r="L16287">
        <v>56560</v>
      </c>
      <c r="M16287" t="s">
        <v>654</v>
      </c>
      <c r="N16287" t="str">
        <f>"9501114382  "</f>
        <v xml:space="preserve">9501114382  </v>
      </c>
      <c r="O16287">
        <v>230907</v>
      </c>
    </row>
    <row r="16288" spans="1:15" x14ac:dyDescent="0.25">
      <c r="A16288" t="s">
        <v>16</v>
      </c>
      <c r="B16288" t="s">
        <v>3221</v>
      </c>
      <c r="C16288">
        <v>12122</v>
      </c>
      <c r="D16288" t="s">
        <v>505</v>
      </c>
      <c r="E16288" t="s">
        <v>506</v>
      </c>
      <c r="F16288">
        <v>194.82</v>
      </c>
      <c r="G16288">
        <v>230911</v>
      </c>
      <c r="H16288">
        <v>4510</v>
      </c>
      <c r="I16288" t="s">
        <v>42</v>
      </c>
      <c r="J16288">
        <v>214.3</v>
      </c>
      <c r="K16288">
        <v>19.48</v>
      </c>
      <c r="L16288">
        <v>16121</v>
      </c>
      <c r="M16288" t="s">
        <v>21</v>
      </c>
      <c r="N16288" t="str">
        <f>"9501120727  "</f>
        <v xml:space="preserve">9501120727  </v>
      </c>
      <c r="O16288">
        <v>230914</v>
      </c>
    </row>
    <row r="16289" spans="1:15" x14ac:dyDescent="0.25">
      <c r="A16289" t="s">
        <v>16</v>
      </c>
      <c r="B16289" t="s">
        <v>3221</v>
      </c>
      <c r="C16289">
        <v>13031</v>
      </c>
      <c r="D16289" t="s">
        <v>505</v>
      </c>
      <c r="E16289" t="s">
        <v>506</v>
      </c>
      <c r="F16289">
        <v>36.68</v>
      </c>
      <c r="G16289">
        <v>230928</v>
      </c>
      <c r="H16289">
        <v>4510</v>
      </c>
      <c r="I16289" t="s">
        <v>42</v>
      </c>
      <c r="J16289">
        <v>40.35</v>
      </c>
      <c r="K16289">
        <v>3.67</v>
      </c>
      <c r="L16289">
        <v>13402</v>
      </c>
      <c r="M16289" t="s">
        <v>242</v>
      </c>
      <c r="N16289" t="str">
        <f>"9501124344  "</f>
        <v xml:space="preserve">9501124344  </v>
      </c>
      <c r="O16289">
        <v>231002</v>
      </c>
    </row>
    <row r="16290" spans="1:15" x14ac:dyDescent="0.25">
      <c r="A16290" t="s">
        <v>16</v>
      </c>
      <c r="B16290" t="s">
        <v>3221</v>
      </c>
      <c r="C16290">
        <v>13492</v>
      </c>
      <c r="D16290" t="s">
        <v>505</v>
      </c>
      <c r="E16290" t="s">
        <v>506</v>
      </c>
      <c r="F16290">
        <v>7.64</v>
      </c>
      <c r="G16290">
        <v>231002</v>
      </c>
      <c r="H16290">
        <v>4510</v>
      </c>
      <c r="I16290" t="s">
        <v>42</v>
      </c>
      <c r="J16290">
        <v>8.4</v>
      </c>
      <c r="K16290">
        <v>0.76</v>
      </c>
      <c r="L16290">
        <v>17803</v>
      </c>
      <c r="M16290" t="s">
        <v>389</v>
      </c>
      <c r="N16290" t="str">
        <f>"9501124858  "</f>
        <v xml:space="preserve">9501124858  </v>
      </c>
      <c r="O16290">
        <v>231010</v>
      </c>
    </row>
    <row r="16291" spans="1:15" x14ac:dyDescent="0.25">
      <c r="A16291" t="s">
        <v>16</v>
      </c>
      <c r="B16291" t="s">
        <v>3221</v>
      </c>
      <c r="C16291">
        <v>14994</v>
      </c>
      <c r="D16291" t="s">
        <v>505</v>
      </c>
      <c r="E16291" t="s">
        <v>506</v>
      </c>
      <c r="F16291">
        <v>26.73</v>
      </c>
      <c r="G16291">
        <v>231026</v>
      </c>
      <c r="H16291">
        <v>4510</v>
      </c>
      <c r="I16291" t="s">
        <v>42</v>
      </c>
      <c r="J16291">
        <v>29.4</v>
      </c>
      <c r="K16291">
        <v>2.67</v>
      </c>
      <c r="L16291">
        <v>56560</v>
      </c>
      <c r="M16291" t="s">
        <v>654</v>
      </c>
      <c r="N16291" t="str">
        <f>"9501129696  "</f>
        <v xml:space="preserve">9501129696  </v>
      </c>
      <c r="O16291">
        <v>231108</v>
      </c>
    </row>
    <row r="16292" spans="1:15" x14ac:dyDescent="0.25">
      <c r="A16292" t="s">
        <v>16</v>
      </c>
      <c r="B16292" t="s">
        <v>3221</v>
      </c>
      <c r="C16292">
        <v>15072</v>
      </c>
      <c r="D16292" t="s">
        <v>505</v>
      </c>
      <c r="E16292" t="s">
        <v>506</v>
      </c>
      <c r="F16292">
        <v>91.28</v>
      </c>
      <c r="G16292">
        <v>231103</v>
      </c>
      <c r="H16292">
        <v>4510</v>
      </c>
      <c r="I16292" t="s">
        <v>42</v>
      </c>
      <c r="J16292">
        <v>100.41</v>
      </c>
      <c r="K16292">
        <v>9.1300000000000008</v>
      </c>
      <c r="L16292">
        <v>17802</v>
      </c>
      <c r="M16292" t="s">
        <v>174</v>
      </c>
      <c r="N16292" t="str">
        <f>"9501130700  "</f>
        <v xml:space="preserve">9501130700  </v>
      </c>
      <c r="O16292">
        <v>231108</v>
      </c>
    </row>
    <row r="16293" spans="1:15" x14ac:dyDescent="0.25">
      <c r="A16293" t="s">
        <v>16</v>
      </c>
      <c r="B16293" t="s">
        <v>3221</v>
      </c>
      <c r="C16293">
        <v>15373</v>
      </c>
      <c r="D16293" t="s">
        <v>505</v>
      </c>
      <c r="E16293" t="s">
        <v>506</v>
      </c>
      <c r="F16293">
        <v>27.65</v>
      </c>
      <c r="G16293">
        <v>231106</v>
      </c>
      <c r="H16293">
        <v>4510</v>
      </c>
      <c r="I16293" t="s">
        <v>42</v>
      </c>
      <c r="J16293">
        <v>30.42</v>
      </c>
      <c r="K16293">
        <v>2.77</v>
      </c>
      <c r="L16293">
        <v>13402</v>
      </c>
      <c r="M16293" t="s">
        <v>242</v>
      </c>
      <c r="N16293" t="str">
        <f>"9501130906  "</f>
        <v xml:space="preserve">9501130906  </v>
      </c>
      <c r="O16293">
        <v>231113</v>
      </c>
    </row>
    <row r="16294" spans="1:15" x14ac:dyDescent="0.25">
      <c r="A16294" t="s">
        <v>16</v>
      </c>
      <c r="B16294" t="s">
        <v>3221</v>
      </c>
      <c r="C16294">
        <v>11568</v>
      </c>
      <c r="D16294" t="s">
        <v>642</v>
      </c>
      <c r="E16294" t="s">
        <v>643</v>
      </c>
      <c r="F16294">
        <v>2850.4</v>
      </c>
      <c r="G16294">
        <v>230825</v>
      </c>
      <c r="H16294">
        <v>4580</v>
      </c>
      <c r="I16294" t="s">
        <v>35</v>
      </c>
      <c r="J16294">
        <v>3534.5</v>
      </c>
      <c r="K16294">
        <v>684.1</v>
      </c>
      <c r="L16294">
        <v>66754</v>
      </c>
      <c r="M16294" t="s">
        <v>239</v>
      </c>
      <c r="N16294" t="str">
        <f>"31407       "</f>
        <v xml:space="preserve">31407       </v>
      </c>
      <c r="O16294">
        <v>230907</v>
      </c>
    </row>
    <row r="16295" spans="1:15" x14ac:dyDescent="0.25">
      <c r="A16295" t="s">
        <v>16</v>
      </c>
      <c r="B16295" t="s">
        <v>3221</v>
      </c>
      <c r="C16295">
        <v>616</v>
      </c>
      <c r="D16295" t="s">
        <v>642</v>
      </c>
      <c r="E16295" t="s">
        <v>643</v>
      </c>
      <c r="F16295">
        <v>127.5</v>
      </c>
      <c r="G16295">
        <v>230124</v>
      </c>
      <c r="H16295">
        <v>4600</v>
      </c>
      <c r="I16295" t="s">
        <v>105</v>
      </c>
      <c r="J16295">
        <v>158.1</v>
      </c>
      <c r="K16295">
        <v>30.6</v>
      </c>
      <c r="L16295">
        <v>17951</v>
      </c>
      <c r="M16295" t="s">
        <v>87</v>
      </c>
      <c r="N16295" t="str">
        <f>"26780       "</f>
        <v xml:space="preserve">26780       </v>
      </c>
      <c r="O16295">
        <v>230125</v>
      </c>
    </row>
    <row r="16296" spans="1:15" x14ac:dyDescent="0.25">
      <c r="A16296" t="s">
        <v>16</v>
      </c>
      <c r="B16296" t="s">
        <v>3221</v>
      </c>
      <c r="C16296">
        <v>5214</v>
      </c>
      <c r="D16296" t="s">
        <v>1809</v>
      </c>
      <c r="E16296" t="s">
        <v>1810</v>
      </c>
      <c r="F16296">
        <v>91.13</v>
      </c>
      <c r="G16296">
        <v>230403</v>
      </c>
      <c r="H16296">
        <v>4580</v>
      </c>
      <c r="I16296" t="s">
        <v>35</v>
      </c>
      <c r="J16296">
        <v>113</v>
      </c>
      <c r="K16296">
        <v>21.87</v>
      </c>
      <c r="L16296">
        <v>17632</v>
      </c>
      <c r="M16296" t="s">
        <v>495</v>
      </c>
      <c r="N16296" t="str">
        <f>"2304005     "</f>
        <v xml:space="preserve">2304005     </v>
      </c>
      <c r="O16296">
        <v>230419</v>
      </c>
    </row>
    <row r="16297" spans="1:15" x14ac:dyDescent="0.25">
      <c r="A16297" t="s">
        <v>16</v>
      </c>
      <c r="B16297" t="s">
        <v>3221</v>
      </c>
      <c r="C16297">
        <v>12235</v>
      </c>
      <c r="D16297" t="s">
        <v>1809</v>
      </c>
      <c r="E16297" t="s">
        <v>1810</v>
      </c>
      <c r="F16297">
        <v>1322.54</v>
      </c>
      <c r="G16297">
        <v>230818</v>
      </c>
      <c r="H16297">
        <v>4580</v>
      </c>
      <c r="I16297" t="s">
        <v>35</v>
      </c>
      <c r="J16297">
        <v>1639.95</v>
      </c>
      <c r="K16297">
        <v>317.41000000000003</v>
      </c>
      <c r="L16297">
        <v>55255</v>
      </c>
      <c r="M16297" t="s">
        <v>1174</v>
      </c>
      <c r="N16297" t="str">
        <f>"2308036     "</f>
        <v xml:space="preserve">2308036     </v>
      </c>
      <c r="O16297">
        <v>230918</v>
      </c>
    </row>
    <row r="16298" spans="1:15" x14ac:dyDescent="0.25">
      <c r="A16298" t="s">
        <v>16</v>
      </c>
      <c r="B16298" t="s">
        <v>3221</v>
      </c>
      <c r="C16298">
        <v>15681</v>
      </c>
      <c r="D16298" t="s">
        <v>1809</v>
      </c>
      <c r="E16298" t="s">
        <v>1810</v>
      </c>
      <c r="F16298">
        <v>40</v>
      </c>
      <c r="G16298">
        <v>231108</v>
      </c>
      <c r="H16298">
        <v>4580</v>
      </c>
      <c r="I16298" t="s">
        <v>35</v>
      </c>
      <c r="J16298">
        <v>49.6</v>
      </c>
      <c r="K16298">
        <v>9.6</v>
      </c>
      <c r="L16298">
        <v>17525</v>
      </c>
      <c r="M16298" t="s">
        <v>135</v>
      </c>
      <c r="N16298" t="str">
        <f>"2311039     "</f>
        <v xml:space="preserve">2311039     </v>
      </c>
      <c r="O16298">
        <v>231116</v>
      </c>
    </row>
    <row r="16299" spans="1:15" x14ac:dyDescent="0.25">
      <c r="A16299" t="s">
        <v>16</v>
      </c>
      <c r="B16299" t="s">
        <v>3221</v>
      </c>
      <c r="C16299">
        <v>16406</v>
      </c>
      <c r="D16299" t="s">
        <v>1809</v>
      </c>
      <c r="E16299" t="s">
        <v>1810</v>
      </c>
      <c r="F16299">
        <v>58.63</v>
      </c>
      <c r="G16299">
        <v>231110</v>
      </c>
      <c r="H16299">
        <v>4580</v>
      </c>
      <c r="I16299" t="s">
        <v>35</v>
      </c>
      <c r="J16299">
        <v>72.7</v>
      </c>
      <c r="K16299">
        <v>14.07</v>
      </c>
      <c r="L16299">
        <v>17526</v>
      </c>
      <c r="M16299" t="s">
        <v>437</v>
      </c>
      <c r="N16299" t="str">
        <f>"2311048     "</f>
        <v xml:space="preserve">2311048     </v>
      </c>
      <c r="O16299">
        <v>231129</v>
      </c>
    </row>
    <row r="16300" spans="1:15" x14ac:dyDescent="0.25">
      <c r="A16300" t="s">
        <v>16</v>
      </c>
      <c r="B16300" t="s">
        <v>3221</v>
      </c>
      <c r="C16300">
        <v>5410</v>
      </c>
      <c r="D16300" t="s">
        <v>1809</v>
      </c>
      <c r="E16300" t="s">
        <v>1810</v>
      </c>
      <c r="F16300">
        <v>639.02</v>
      </c>
      <c r="G16300">
        <v>230414</v>
      </c>
      <c r="H16300">
        <v>4600</v>
      </c>
      <c r="I16300" t="s">
        <v>105</v>
      </c>
      <c r="J16300">
        <v>792.39</v>
      </c>
      <c r="K16300">
        <v>153.37</v>
      </c>
      <c r="L16300">
        <v>56550</v>
      </c>
      <c r="M16300" t="s">
        <v>913</v>
      </c>
      <c r="N16300" t="str">
        <f>"2304023     "</f>
        <v xml:space="preserve">2304023     </v>
      </c>
      <c r="O16300">
        <v>230424</v>
      </c>
    </row>
    <row r="16301" spans="1:15" x14ac:dyDescent="0.25">
      <c r="A16301" t="s">
        <v>16</v>
      </c>
      <c r="B16301" t="s">
        <v>3221</v>
      </c>
      <c r="C16301">
        <v>6323</v>
      </c>
      <c r="D16301" t="s">
        <v>1809</v>
      </c>
      <c r="E16301" t="s">
        <v>1810</v>
      </c>
      <c r="F16301">
        <v>79.849999999999994</v>
      </c>
      <c r="G16301">
        <v>230428</v>
      </c>
      <c r="H16301">
        <v>4600</v>
      </c>
      <c r="I16301" t="s">
        <v>105</v>
      </c>
      <c r="J16301">
        <v>99.02</v>
      </c>
      <c r="K16301">
        <v>19.170000000000002</v>
      </c>
      <c r="L16301">
        <v>56528</v>
      </c>
      <c r="M16301" t="s">
        <v>153</v>
      </c>
      <c r="N16301" t="str">
        <f>"2304071     "</f>
        <v xml:space="preserve">2304071     </v>
      </c>
      <c r="O16301">
        <v>230510</v>
      </c>
    </row>
    <row r="16302" spans="1:15" x14ac:dyDescent="0.25">
      <c r="A16302" t="s">
        <v>16</v>
      </c>
      <c r="B16302" t="s">
        <v>3221</v>
      </c>
      <c r="C16302">
        <v>10955</v>
      </c>
      <c r="D16302" t="s">
        <v>1809</v>
      </c>
      <c r="E16302" t="s">
        <v>1810</v>
      </c>
      <c r="F16302">
        <v>320.88</v>
      </c>
      <c r="G16302">
        <v>230803</v>
      </c>
      <c r="H16302">
        <v>4600</v>
      </c>
      <c r="I16302" t="s">
        <v>105</v>
      </c>
      <c r="J16302">
        <v>397.89</v>
      </c>
      <c r="K16302">
        <v>77.010000000000005</v>
      </c>
      <c r="L16302">
        <v>56528</v>
      </c>
      <c r="M16302" t="s">
        <v>153</v>
      </c>
      <c r="N16302" t="str">
        <f>"2308006     "</f>
        <v xml:space="preserve">2308006     </v>
      </c>
      <c r="O16302">
        <v>230825</v>
      </c>
    </row>
    <row r="16303" spans="1:15" x14ac:dyDescent="0.25">
      <c r="A16303" t="s">
        <v>16</v>
      </c>
      <c r="B16303" t="s">
        <v>3221</v>
      </c>
      <c r="C16303">
        <v>11380</v>
      </c>
      <c r="D16303" t="s">
        <v>1809</v>
      </c>
      <c r="E16303" t="s">
        <v>1810</v>
      </c>
      <c r="F16303">
        <v>676.77</v>
      </c>
      <c r="G16303">
        <v>230831</v>
      </c>
      <c r="H16303">
        <v>4600</v>
      </c>
      <c r="I16303" t="s">
        <v>105</v>
      </c>
      <c r="J16303">
        <v>839.2</v>
      </c>
      <c r="K16303">
        <v>162.43</v>
      </c>
      <c r="L16303">
        <v>17634</v>
      </c>
      <c r="M16303" t="s">
        <v>2485</v>
      </c>
      <c r="N16303" t="str">
        <f>"2308096     "</f>
        <v xml:space="preserve">2308096     </v>
      </c>
      <c r="O16303">
        <v>230905</v>
      </c>
    </row>
    <row r="16304" spans="1:15" x14ac:dyDescent="0.25">
      <c r="A16304" t="s">
        <v>16</v>
      </c>
      <c r="B16304" t="s">
        <v>3221</v>
      </c>
      <c r="C16304">
        <v>12284</v>
      </c>
      <c r="D16304" t="s">
        <v>1809</v>
      </c>
      <c r="E16304" t="s">
        <v>1810</v>
      </c>
      <c r="F16304">
        <v>44.56</v>
      </c>
      <c r="G16304">
        <v>230824</v>
      </c>
      <c r="H16304">
        <v>4600</v>
      </c>
      <c r="I16304" t="s">
        <v>105</v>
      </c>
      <c r="J16304">
        <v>55.25</v>
      </c>
      <c r="K16304">
        <v>10.69</v>
      </c>
      <c r="L16304">
        <v>55255</v>
      </c>
      <c r="M16304" t="s">
        <v>1174</v>
      </c>
      <c r="N16304" t="str">
        <f>"2308070     "</f>
        <v xml:space="preserve">2308070     </v>
      </c>
      <c r="O16304">
        <v>230918</v>
      </c>
    </row>
    <row r="16305" spans="1:15" x14ac:dyDescent="0.25">
      <c r="A16305" t="s">
        <v>16</v>
      </c>
      <c r="B16305" t="s">
        <v>3221</v>
      </c>
      <c r="C16305">
        <v>12673</v>
      </c>
      <c r="D16305" t="s">
        <v>1809</v>
      </c>
      <c r="E16305" t="s">
        <v>1810</v>
      </c>
      <c r="F16305">
        <v>628.23</v>
      </c>
      <c r="G16305">
        <v>230907</v>
      </c>
      <c r="H16305">
        <v>4600</v>
      </c>
      <c r="I16305" t="s">
        <v>105</v>
      </c>
      <c r="J16305">
        <v>779</v>
      </c>
      <c r="K16305">
        <v>150.77000000000001</v>
      </c>
      <c r="L16305">
        <v>17633</v>
      </c>
      <c r="M16305" t="s">
        <v>724</v>
      </c>
      <c r="N16305" t="str">
        <f>"2309016     "</f>
        <v xml:space="preserve">2309016     </v>
      </c>
      <c r="O16305">
        <v>230925</v>
      </c>
    </row>
    <row r="16306" spans="1:15" x14ac:dyDescent="0.25">
      <c r="A16306" t="s">
        <v>16</v>
      </c>
      <c r="B16306" t="s">
        <v>3221</v>
      </c>
      <c r="C16306">
        <v>13598</v>
      </c>
      <c r="D16306" t="s">
        <v>1809</v>
      </c>
      <c r="E16306" t="s">
        <v>1810</v>
      </c>
      <c r="F16306">
        <v>180.2</v>
      </c>
      <c r="G16306">
        <v>231006</v>
      </c>
      <c r="H16306">
        <v>4600</v>
      </c>
      <c r="I16306" t="s">
        <v>105</v>
      </c>
      <c r="J16306">
        <v>223.45</v>
      </c>
      <c r="K16306">
        <v>43.25</v>
      </c>
      <c r="L16306">
        <v>55255</v>
      </c>
      <c r="M16306" t="s">
        <v>1174</v>
      </c>
      <c r="N16306" t="str">
        <f>"2310020     "</f>
        <v xml:space="preserve">2310020     </v>
      </c>
      <c r="O16306">
        <v>231011</v>
      </c>
    </row>
    <row r="16307" spans="1:15" x14ac:dyDescent="0.25">
      <c r="A16307" t="s">
        <v>16</v>
      </c>
      <c r="B16307" t="s">
        <v>3221</v>
      </c>
      <c r="C16307">
        <v>13598</v>
      </c>
      <c r="D16307" t="s">
        <v>1809</v>
      </c>
      <c r="E16307" t="s">
        <v>1810</v>
      </c>
      <c r="F16307">
        <v>207.98</v>
      </c>
      <c r="G16307">
        <v>231006</v>
      </c>
      <c r="H16307">
        <v>4600</v>
      </c>
      <c r="I16307" t="s">
        <v>105</v>
      </c>
      <c r="J16307">
        <v>257.89</v>
      </c>
      <c r="K16307">
        <v>49.91</v>
      </c>
      <c r="L16307">
        <v>56550</v>
      </c>
      <c r="M16307" t="s">
        <v>913</v>
      </c>
      <c r="N16307" t="str">
        <f>"2310020     "</f>
        <v xml:space="preserve">2310020     </v>
      </c>
      <c r="O16307">
        <v>231011</v>
      </c>
    </row>
    <row r="16308" spans="1:15" x14ac:dyDescent="0.25">
      <c r="A16308" t="s">
        <v>16</v>
      </c>
      <c r="B16308" t="s">
        <v>3221</v>
      </c>
      <c r="C16308">
        <v>15054</v>
      </c>
      <c r="D16308" t="s">
        <v>1809</v>
      </c>
      <c r="E16308" t="s">
        <v>1810</v>
      </c>
      <c r="F16308">
        <v>91.94</v>
      </c>
      <c r="G16308">
        <v>231031</v>
      </c>
      <c r="H16308">
        <v>4600</v>
      </c>
      <c r="I16308" t="s">
        <v>105</v>
      </c>
      <c r="J16308">
        <v>114</v>
      </c>
      <c r="K16308">
        <v>22.06</v>
      </c>
      <c r="L16308">
        <v>17536</v>
      </c>
      <c r="M16308" t="s">
        <v>734</v>
      </c>
      <c r="N16308" t="str">
        <f>"2310114     "</f>
        <v xml:space="preserve">2310114     </v>
      </c>
      <c r="O16308">
        <v>231108</v>
      </c>
    </row>
    <row r="16309" spans="1:15" x14ac:dyDescent="0.25">
      <c r="A16309" t="s">
        <v>16</v>
      </c>
      <c r="B16309" t="s">
        <v>3221</v>
      </c>
      <c r="C16309">
        <v>15681</v>
      </c>
      <c r="D16309" t="s">
        <v>1809</v>
      </c>
      <c r="E16309" t="s">
        <v>1810</v>
      </c>
      <c r="F16309">
        <v>40</v>
      </c>
      <c r="G16309">
        <v>231108</v>
      </c>
      <c r="H16309">
        <v>4600</v>
      </c>
      <c r="I16309" t="s">
        <v>105</v>
      </c>
      <c r="J16309">
        <v>49.6</v>
      </c>
      <c r="K16309">
        <v>9.6</v>
      </c>
      <c r="L16309">
        <v>17636</v>
      </c>
      <c r="M16309" t="s">
        <v>352</v>
      </c>
      <c r="N16309" t="str">
        <f>"2311039     "</f>
        <v xml:space="preserve">2311039     </v>
      </c>
      <c r="O16309">
        <v>231116</v>
      </c>
    </row>
    <row r="16310" spans="1:15" x14ac:dyDescent="0.25">
      <c r="A16310" t="s">
        <v>16</v>
      </c>
      <c r="B16310" t="s">
        <v>3221</v>
      </c>
      <c r="C16310">
        <v>15823</v>
      </c>
      <c r="D16310" t="s">
        <v>1809</v>
      </c>
      <c r="E16310" t="s">
        <v>1810</v>
      </c>
      <c r="F16310">
        <v>460.65</v>
      </c>
      <c r="G16310">
        <v>231031</v>
      </c>
      <c r="H16310">
        <v>4600</v>
      </c>
      <c r="I16310" t="s">
        <v>105</v>
      </c>
      <c r="J16310">
        <v>571.20000000000005</v>
      </c>
      <c r="K16310">
        <v>110.55</v>
      </c>
      <c r="L16310">
        <v>56550</v>
      </c>
      <c r="M16310" t="s">
        <v>913</v>
      </c>
      <c r="N16310" t="str">
        <f>"2310118     "</f>
        <v xml:space="preserve">2310118     </v>
      </c>
      <c r="O16310">
        <v>231120</v>
      </c>
    </row>
    <row r="16311" spans="1:15" x14ac:dyDescent="0.25">
      <c r="A16311" t="s">
        <v>16</v>
      </c>
      <c r="B16311" t="s">
        <v>3221</v>
      </c>
      <c r="C16311">
        <v>16032</v>
      </c>
      <c r="D16311" t="s">
        <v>1809</v>
      </c>
      <c r="E16311" t="s">
        <v>1810</v>
      </c>
      <c r="F16311">
        <v>54.6</v>
      </c>
      <c r="G16311">
        <v>231107</v>
      </c>
      <c r="H16311">
        <v>4600</v>
      </c>
      <c r="I16311" t="s">
        <v>105</v>
      </c>
      <c r="J16311">
        <v>67.7</v>
      </c>
      <c r="K16311">
        <v>13.1</v>
      </c>
      <c r="L16311">
        <v>56550</v>
      </c>
      <c r="M16311" t="s">
        <v>913</v>
      </c>
      <c r="N16311" t="str">
        <f>"2311028     "</f>
        <v xml:space="preserve">2311028     </v>
      </c>
      <c r="O16311">
        <v>231122</v>
      </c>
    </row>
    <row r="16312" spans="1:15" x14ac:dyDescent="0.25">
      <c r="A16312" t="s">
        <v>16</v>
      </c>
      <c r="B16312" t="s">
        <v>3221</v>
      </c>
      <c r="C16312">
        <v>17316</v>
      </c>
      <c r="D16312" t="s">
        <v>1809</v>
      </c>
      <c r="E16312" t="s">
        <v>1810</v>
      </c>
      <c r="F16312">
        <v>112.69</v>
      </c>
      <c r="G16312">
        <v>231121</v>
      </c>
      <c r="H16312">
        <v>4600</v>
      </c>
      <c r="I16312" t="s">
        <v>105</v>
      </c>
      <c r="J16312">
        <v>139.74</v>
      </c>
      <c r="K16312">
        <v>27.05</v>
      </c>
      <c r="L16312">
        <v>56550</v>
      </c>
      <c r="M16312" t="s">
        <v>913</v>
      </c>
      <c r="N16312" t="str">
        <f>"2311082     "</f>
        <v xml:space="preserve">2311082     </v>
      </c>
      <c r="O16312">
        <v>231213</v>
      </c>
    </row>
    <row r="16313" spans="1:15" x14ac:dyDescent="0.25">
      <c r="A16313" t="s">
        <v>16</v>
      </c>
      <c r="B16313" t="s">
        <v>3221</v>
      </c>
      <c r="C16313">
        <v>18606</v>
      </c>
      <c r="D16313" t="s">
        <v>1809</v>
      </c>
      <c r="E16313" t="s">
        <v>1810</v>
      </c>
      <c r="F16313">
        <v>181.31</v>
      </c>
      <c r="G16313">
        <v>231218</v>
      </c>
      <c r="H16313">
        <v>4600</v>
      </c>
      <c r="I16313" t="s">
        <v>105</v>
      </c>
      <c r="J16313">
        <v>224.83</v>
      </c>
      <c r="K16313">
        <v>43.52</v>
      </c>
      <c r="L16313">
        <v>56550</v>
      </c>
      <c r="M16313" t="s">
        <v>913</v>
      </c>
      <c r="N16313" t="str">
        <f>"2311152     "</f>
        <v xml:space="preserve">2311152     </v>
      </c>
      <c r="O16313">
        <v>240104</v>
      </c>
    </row>
    <row r="16314" spans="1:15" x14ac:dyDescent="0.25">
      <c r="A16314" t="s">
        <v>16</v>
      </c>
      <c r="B16314" t="s">
        <v>3221</v>
      </c>
      <c r="C16314">
        <v>1113</v>
      </c>
      <c r="D16314" t="s">
        <v>889</v>
      </c>
      <c r="E16314" t="s">
        <v>890</v>
      </c>
      <c r="F16314">
        <v>354.84</v>
      </c>
      <c r="G16314">
        <v>230131</v>
      </c>
      <c r="H16314">
        <v>4470</v>
      </c>
      <c r="I16314" t="s">
        <v>83</v>
      </c>
      <c r="J16314">
        <v>440</v>
      </c>
      <c r="K16314">
        <v>85.16</v>
      </c>
      <c r="L16314">
        <v>56568</v>
      </c>
      <c r="M16314" t="s">
        <v>268</v>
      </c>
      <c r="N16314" t="str">
        <f>"533         "</f>
        <v xml:space="preserve">533         </v>
      </c>
      <c r="O16314">
        <v>230203</v>
      </c>
    </row>
    <row r="16315" spans="1:15" x14ac:dyDescent="0.25">
      <c r="A16315" t="s">
        <v>16</v>
      </c>
      <c r="B16315" t="s">
        <v>3221</v>
      </c>
      <c r="C16315">
        <v>2757</v>
      </c>
      <c r="D16315" t="s">
        <v>889</v>
      </c>
      <c r="E16315" t="s">
        <v>890</v>
      </c>
      <c r="F16315">
        <v>278.23</v>
      </c>
      <c r="G16315">
        <v>230228</v>
      </c>
      <c r="H16315">
        <v>4470</v>
      </c>
      <c r="I16315" t="s">
        <v>83</v>
      </c>
      <c r="J16315">
        <v>345</v>
      </c>
      <c r="K16315">
        <v>66.77</v>
      </c>
      <c r="L16315">
        <v>56568</v>
      </c>
      <c r="M16315" t="s">
        <v>268</v>
      </c>
      <c r="N16315" t="str">
        <f>"540         "</f>
        <v xml:space="preserve">540         </v>
      </c>
      <c r="O16315">
        <v>230307</v>
      </c>
    </row>
    <row r="16316" spans="1:15" x14ac:dyDescent="0.25">
      <c r="A16316" t="s">
        <v>16</v>
      </c>
      <c r="B16316" t="s">
        <v>3221</v>
      </c>
      <c r="C16316">
        <v>4621</v>
      </c>
      <c r="D16316" t="s">
        <v>889</v>
      </c>
      <c r="E16316" t="s">
        <v>890</v>
      </c>
      <c r="F16316">
        <v>306.45</v>
      </c>
      <c r="G16316">
        <v>230331</v>
      </c>
      <c r="H16316">
        <v>4470</v>
      </c>
      <c r="I16316" t="s">
        <v>83</v>
      </c>
      <c r="J16316">
        <v>380</v>
      </c>
      <c r="K16316">
        <v>73.55</v>
      </c>
      <c r="L16316">
        <v>56568</v>
      </c>
      <c r="M16316" t="s">
        <v>268</v>
      </c>
      <c r="N16316" t="str">
        <f>"549         "</f>
        <v xml:space="preserve">549         </v>
      </c>
      <c r="O16316">
        <v>230411</v>
      </c>
    </row>
    <row r="16317" spans="1:15" x14ac:dyDescent="0.25">
      <c r="A16317" t="s">
        <v>16</v>
      </c>
      <c r="B16317" t="s">
        <v>3221</v>
      </c>
      <c r="C16317">
        <v>6040</v>
      </c>
      <c r="D16317" t="s">
        <v>889</v>
      </c>
      <c r="E16317" t="s">
        <v>890</v>
      </c>
      <c r="F16317">
        <v>153.22999999999999</v>
      </c>
      <c r="G16317">
        <v>230503</v>
      </c>
      <c r="H16317">
        <v>4470</v>
      </c>
      <c r="I16317" t="s">
        <v>83</v>
      </c>
      <c r="J16317">
        <v>190</v>
      </c>
      <c r="K16317">
        <v>36.770000000000003</v>
      </c>
      <c r="L16317">
        <v>56568</v>
      </c>
      <c r="M16317" t="s">
        <v>268</v>
      </c>
      <c r="N16317" t="str">
        <f>"560         "</f>
        <v xml:space="preserve">560         </v>
      </c>
      <c r="O16317">
        <v>230505</v>
      </c>
    </row>
    <row r="16318" spans="1:15" x14ac:dyDescent="0.25">
      <c r="A16318" t="s">
        <v>16</v>
      </c>
      <c r="B16318" t="s">
        <v>3221</v>
      </c>
      <c r="C16318">
        <v>7727</v>
      </c>
      <c r="D16318" t="s">
        <v>889</v>
      </c>
      <c r="E16318" t="s">
        <v>890</v>
      </c>
      <c r="F16318">
        <v>241.94</v>
      </c>
      <c r="G16318">
        <v>230531</v>
      </c>
      <c r="H16318">
        <v>4470</v>
      </c>
      <c r="I16318" t="s">
        <v>83</v>
      </c>
      <c r="J16318">
        <v>300</v>
      </c>
      <c r="K16318">
        <v>58.06</v>
      </c>
      <c r="L16318">
        <v>56568</v>
      </c>
      <c r="M16318" t="s">
        <v>268</v>
      </c>
      <c r="N16318" t="str">
        <f>"565         "</f>
        <v xml:space="preserve">565         </v>
      </c>
      <c r="O16318">
        <v>230602</v>
      </c>
    </row>
    <row r="16319" spans="1:15" x14ac:dyDescent="0.25">
      <c r="A16319" t="s">
        <v>16</v>
      </c>
      <c r="B16319" t="s">
        <v>3221</v>
      </c>
      <c r="C16319">
        <v>11325</v>
      </c>
      <c r="D16319" t="s">
        <v>889</v>
      </c>
      <c r="E16319" t="s">
        <v>890</v>
      </c>
      <c r="F16319">
        <v>40.32</v>
      </c>
      <c r="G16319">
        <v>230831</v>
      </c>
      <c r="H16319">
        <v>4470</v>
      </c>
      <c r="I16319" t="s">
        <v>83</v>
      </c>
      <c r="J16319">
        <v>50</v>
      </c>
      <c r="K16319">
        <v>9.68</v>
      </c>
      <c r="L16319">
        <v>56568</v>
      </c>
      <c r="M16319" t="s">
        <v>268</v>
      </c>
      <c r="N16319" t="str">
        <f>"600         "</f>
        <v xml:space="preserve">600         </v>
      </c>
      <c r="O16319">
        <v>230904</v>
      </c>
    </row>
    <row r="16320" spans="1:15" x14ac:dyDescent="0.25">
      <c r="A16320" t="s">
        <v>16</v>
      </c>
      <c r="B16320" t="s">
        <v>3221</v>
      </c>
      <c r="C16320">
        <v>13289</v>
      </c>
      <c r="D16320" t="s">
        <v>889</v>
      </c>
      <c r="E16320" t="s">
        <v>890</v>
      </c>
      <c r="F16320">
        <v>112.9</v>
      </c>
      <c r="G16320">
        <v>231002</v>
      </c>
      <c r="H16320">
        <v>4470</v>
      </c>
      <c r="I16320" t="s">
        <v>83</v>
      </c>
      <c r="J16320">
        <v>140</v>
      </c>
      <c r="K16320">
        <v>27.1</v>
      </c>
      <c r="L16320">
        <v>56568</v>
      </c>
      <c r="M16320" t="s">
        <v>268</v>
      </c>
      <c r="N16320" t="str">
        <f>"606         "</f>
        <v xml:space="preserve">606         </v>
      </c>
      <c r="O16320">
        <v>231009</v>
      </c>
    </row>
    <row r="16321" spans="1:15" x14ac:dyDescent="0.25">
      <c r="A16321" t="s">
        <v>16</v>
      </c>
      <c r="B16321" t="s">
        <v>3221</v>
      </c>
      <c r="C16321">
        <v>14853</v>
      </c>
      <c r="D16321" t="s">
        <v>889</v>
      </c>
      <c r="E16321" t="s">
        <v>890</v>
      </c>
      <c r="F16321">
        <v>149.19</v>
      </c>
      <c r="G16321">
        <v>231031</v>
      </c>
      <c r="H16321">
        <v>4470</v>
      </c>
      <c r="I16321" t="s">
        <v>83</v>
      </c>
      <c r="J16321">
        <v>185</v>
      </c>
      <c r="K16321">
        <v>35.81</v>
      </c>
      <c r="L16321">
        <v>56568</v>
      </c>
      <c r="M16321" t="s">
        <v>268</v>
      </c>
      <c r="N16321" t="str">
        <f>"612         "</f>
        <v xml:space="preserve">612         </v>
      </c>
      <c r="O16321">
        <v>231107</v>
      </c>
    </row>
    <row r="16322" spans="1:15" x14ac:dyDescent="0.25">
      <c r="A16322" t="s">
        <v>16</v>
      </c>
      <c r="B16322" t="s">
        <v>3221</v>
      </c>
      <c r="C16322">
        <v>17305</v>
      </c>
      <c r="D16322" t="s">
        <v>889</v>
      </c>
      <c r="E16322" t="s">
        <v>890</v>
      </c>
      <c r="F16322">
        <v>112.9</v>
      </c>
      <c r="G16322">
        <v>231211</v>
      </c>
      <c r="H16322">
        <v>4470</v>
      </c>
      <c r="I16322" t="s">
        <v>83</v>
      </c>
      <c r="J16322">
        <v>140</v>
      </c>
      <c r="K16322">
        <v>27.1</v>
      </c>
      <c r="L16322">
        <v>56568</v>
      </c>
      <c r="M16322" t="s">
        <v>268</v>
      </c>
      <c r="N16322" t="str">
        <f>"625         "</f>
        <v xml:space="preserve">625         </v>
      </c>
      <c r="O16322">
        <v>231212</v>
      </c>
    </row>
    <row r="16323" spans="1:15" x14ac:dyDescent="0.25">
      <c r="A16323" t="s">
        <v>16</v>
      </c>
      <c r="B16323" t="s">
        <v>3221</v>
      </c>
      <c r="C16323">
        <v>18837</v>
      </c>
      <c r="D16323" t="s">
        <v>889</v>
      </c>
      <c r="E16323" t="s">
        <v>890</v>
      </c>
      <c r="F16323">
        <v>149.19</v>
      </c>
      <c r="G16323">
        <v>231230</v>
      </c>
      <c r="H16323">
        <v>4470</v>
      </c>
      <c r="I16323" t="s">
        <v>83</v>
      </c>
      <c r="J16323">
        <v>185</v>
      </c>
      <c r="K16323">
        <v>35.81</v>
      </c>
      <c r="L16323">
        <v>56568</v>
      </c>
      <c r="M16323" t="s">
        <v>268</v>
      </c>
      <c r="N16323" t="str">
        <f>"631         "</f>
        <v xml:space="preserve">631         </v>
      </c>
      <c r="O16323">
        <v>240108</v>
      </c>
    </row>
    <row r="16324" spans="1:15" x14ac:dyDescent="0.25">
      <c r="A16324" t="s">
        <v>16</v>
      </c>
      <c r="B16324" t="s">
        <v>3221</v>
      </c>
      <c r="C16324">
        <v>19017</v>
      </c>
      <c r="D16324" t="s">
        <v>889</v>
      </c>
      <c r="E16324" t="s">
        <v>890</v>
      </c>
      <c r="F16324">
        <v>40.32</v>
      </c>
      <c r="G16324">
        <v>231230</v>
      </c>
      <c r="H16324">
        <v>4470</v>
      </c>
      <c r="I16324" t="s">
        <v>83</v>
      </c>
      <c r="J16324">
        <v>50</v>
      </c>
      <c r="K16324">
        <v>9.68</v>
      </c>
      <c r="L16324">
        <v>56568</v>
      </c>
      <c r="M16324" t="s">
        <v>268</v>
      </c>
      <c r="N16324" t="str">
        <f>"1           "</f>
        <v xml:space="preserve">1           </v>
      </c>
      <c r="O16324">
        <v>240109</v>
      </c>
    </row>
    <row r="16325" spans="1:15" x14ac:dyDescent="0.25">
      <c r="A16325" t="s">
        <v>16</v>
      </c>
      <c r="B16325" t="s">
        <v>3221</v>
      </c>
      <c r="C16325">
        <v>5406</v>
      </c>
      <c r="D16325" t="s">
        <v>3188</v>
      </c>
      <c r="E16325" t="s">
        <v>3189</v>
      </c>
      <c r="F16325">
        <v>150</v>
      </c>
      <c r="G16325">
        <v>230420</v>
      </c>
      <c r="H16325">
        <v>4346</v>
      </c>
      <c r="I16325" t="s">
        <v>197</v>
      </c>
      <c r="J16325">
        <v>150</v>
      </c>
      <c r="K16325">
        <v>0</v>
      </c>
      <c r="L16325">
        <v>17951</v>
      </c>
      <c r="M16325" t="s">
        <v>87</v>
      </c>
      <c r="N16325" t="str">
        <f>"10074851    "</f>
        <v xml:space="preserve">10074851    </v>
      </c>
      <c r="O16325">
        <v>230424</v>
      </c>
    </row>
    <row r="16326" spans="1:15" x14ac:dyDescent="0.25">
      <c r="A16326" t="s">
        <v>16</v>
      </c>
      <c r="B16326" t="s">
        <v>3221</v>
      </c>
      <c r="C16326">
        <v>5418</v>
      </c>
      <c r="D16326" t="s">
        <v>3188</v>
      </c>
      <c r="E16326" t="s">
        <v>3189</v>
      </c>
      <c r="F16326">
        <v>16.5</v>
      </c>
      <c r="G16326">
        <v>230421</v>
      </c>
      <c r="H16326">
        <v>4346</v>
      </c>
      <c r="I16326" t="s">
        <v>197</v>
      </c>
      <c r="J16326">
        <v>16.5</v>
      </c>
      <c r="K16326">
        <v>0</v>
      </c>
      <c r="L16326">
        <v>13540</v>
      </c>
      <c r="M16326" t="s">
        <v>85</v>
      </c>
      <c r="N16326" t="str">
        <f>"10074920    "</f>
        <v xml:space="preserve">10074920    </v>
      </c>
      <c r="O16326">
        <v>230424</v>
      </c>
    </row>
    <row r="16327" spans="1:15" x14ac:dyDescent="0.25">
      <c r="A16327" t="s">
        <v>16</v>
      </c>
      <c r="B16327" t="s">
        <v>3221</v>
      </c>
      <c r="C16327">
        <v>5418</v>
      </c>
      <c r="D16327" t="s">
        <v>3188</v>
      </c>
      <c r="E16327" t="s">
        <v>3189</v>
      </c>
      <c r="F16327">
        <v>133.5</v>
      </c>
      <c r="G16327">
        <v>230421</v>
      </c>
      <c r="H16327">
        <v>4346</v>
      </c>
      <c r="I16327" t="s">
        <v>197</v>
      </c>
      <c r="J16327">
        <v>133.5</v>
      </c>
      <c r="K16327">
        <v>0</v>
      </c>
      <c r="L16327">
        <v>17950</v>
      </c>
      <c r="M16327" t="s">
        <v>86</v>
      </c>
      <c r="N16327" t="str">
        <f>"10074920    "</f>
        <v xml:space="preserve">10074920    </v>
      </c>
      <c r="O16327">
        <v>230424</v>
      </c>
    </row>
    <row r="16328" spans="1:15" x14ac:dyDescent="0.25">
      <c r="A16328" t="s">
        <v>16</v>
      </c>
      <c r="B16328" t="s">
        <v>3221</v>
      </c>
      <c r="C16328">
        <v>9359</v>
      </c>
      <c r="D16328" t="s">
        <v>3188</v>
      </c>
      <c r="E16328" t="s">
        <v>3189</v>
      </c>
      <c r="F16328">
        <v>73.959999999999994</v>
      </c>
      <c r="G16328">
        <v>230627</v>
      </c>
      <c r="H16328">
        <v>4510</v>
      </c>
      <c r="I16328" t="s">
        <v>42</v>
      </c>
      <c r="J16328">
        <v>81.36</v>
      </c>
      <c r="K16328">
        <v>7.4</v>
      </c>
      <c r="L16328">
        <v>56562</v>
      </c>
      <c r="M16328" t="s">
        <v>126</v>
      </c>
      <c r="N16328" t="str">
        <f>"10076208    "</f>
        <v xml:space="preserve">10076208    </v>
      </c>
      <c r="O16328">
        <v>230710</v>
      </c>
    </row>
    <row r="16329" spans="1:15" x14ac:dyDescent="0.25">
      <c r="A16329" t="s">
        <v>16</v>
      </c>
      <c r="B16329" t="s">
        <v>3221</v>
      </c>
      <c r="C16329">
        <v>9359</v>
      </c>
      <c r="D16329" t="s">
        <v>3188</v>
      </c>
      <c r="E16329" t="s">
        <v>3189</v>
      </c>
      <c r="F16329">
        <v>220.05</v>
      </c>
      <c r="G16329">
        <v>230627</v>
      </c>
      <c r="H16329">
        <v>4510</v>
      </c>
      <c r="I16329" t="s">
        <v>42</v>
      </c>
      <c r="J16329">
        <v>242.06</v>
      </c>
      <c r="K16329">
        <v>22.01</v>
      </c>
      <c r="L16329">
        <v>56563</v>
      </c>
      <c r="M16329" t="s">
        <v>953</v>
      </c>
      <c r="N16329" t="str">
        <f>"10076208    "</f>
        <v xml:space="preserve">10076208    </v>
      </c>
      <c r="O16329">
        <v>230710</v>
      </c>
    </row>
    <row r="16330" spans="1:15" x14ac:dyDescent="0.25">
      <c r="A16330" t="s">
        <v>16</v>
      </c>
      <c r="B16330" t="s">
        <v>3221</v>
      </c>
      <c r="C16330">
        <v>19289</v>
      </c>
      <c r="D16330" t="s">
        <v>3188</v>
      </c>
      <c r="E16330" t="s">
        <v>3189</v>
      </c>
      <c r="F16330">
        <v>573.94000000000005</v>
      </c>
      <c r="G16330">
        <v>231231</v>
      </c>
      <c r="H16330">
        <v>4510</v>
      </c>
      <c r="I16330" t="s">
        <v>42</v>
      </c>
      <c r="J16330">
        <v>631.33000000000004</v>
      </c>
      <c r="K16330">
        <v>57.39</v>
      </c>
      <c r="L16330">
        <v>56560</v>
      </c>
      <c r="M16330" t="s">
        <v>654</v>
      </c>
      <c r="N16330" t="str">
        <f>"10078296    "</f>
        <v xml:space="preserve">10078296    </v>
      </c>
      <c r="O16330">
        <v>240116</v>
      </c>
    </row>
    <row r="16331" spans="1:15" x14ac:dyDescent="0.25">
      <c r="A16331" t="s">
        <v>16</v>
      </c>
      <c r="B16331" t="s">
        <v>3221</v>
      </c>
      <c r="C16331">
        <v>19289</v>
      </c>
      <c r="D16331" t="s">
        <v>3188</v>
      </c>
      <c r="E16331" t="s">
        <v>3189</v>
      </c>
      <c r="F16331">
        <v>102.82</v>
      </c>
      <c r="G16331">
        <v>231231</v>
      </c>
      <c r="H16331">
        <v>4510</v>
      </c>
      <c r="I16331" t="s">
        <v>42</v>
      </c>
      <c r="J16331">
        <v>113.1</v>
      </c>
      <c r="K16331">
        <v>10.28</v>
      </c>
      <c r="L16331">
        <v>56562</v>
      </c>
      <c r="M16331" t="s">
        <v>126</v>
      </c>
      <c r="N16331" t="str">
        <f>"10078296    "</f>
        <v xml:space="preserve">10078296    </v>
      </c>
      <c r="O16331">
        <v>240116</v>
      </c>
    </row>
    <row r="16332" spans="1:15" x14ac:dyDescent="0.25">
      <c r="A16332" t="s">
        <v>16</v>
      </c>
      <c r="B16332" t="s">
        <v>3221</v>
      </c>
      <c r="C16332">
        <v>19289</v>
      </c>
      <c r="D16332" t="s">
        <v>3188</v>
      </c>
      <c r="E16332" t="s">
        <v>3189</v>
      </c>
      <c r="F16332">
        <v>204.14</v>
      </c>
      <c r="G16332">
        <v>231231</v>
      </c>
      <c r="H16332">
        <v>4510</v>
      </c>
      <c r="I16332" t="s">
        <v>42</v>
      </c>
      <c r="J16332">
        <v>224.55</v>
      </c>
      <c r="K16332">
        <v>20.41</v>
      </c>
      <c r="L16332">
        <v>56563</v>
      </c>
      <c r="M16332" t="s">
        <v>953</v>
      </c>
      <c r="N16332" t="str">
        <f>"10078296    "</f>
        <v xml:space="preserve">10078296    </v>
      </c>
      <c r="O16332">
        <v>240116</v>
      </c>
    </row>
    <row r="16333" spans="1:15" x14ac:dyDescent="0.25">
      <c r="A16333" t="s">
        <v>16</v>
      </c>
      <c r="B16333" t="s">
        <v>3221</v>
      </c>
      <c r="C16333">
        <v>9359</v>
      </c>
      <c r="D16333" t="s">
        <v>3188</v>
      </c>
      <c r="E16333" t="s">
        <v>3189</v>
      </c>
      <c r="F16333">
        <v>106.46</v>
      </c>
      <c r="G16333">
        <v>230627</v>
      </c>
      <c r="H16333">
        <v>4840</v>
      </c>
      <c r="I16333" t="s">
        <v>19</v>
      </c>
      <c r="J16333">
        <v>132.01</v>
      </c>
      <c r="K16333">
        <v>25.55</v>
      </c>
      <c r="L16333">
        <v>56562</v>
      </c>
      <c r="M16333" t="s">
        <v>126</v>
      </c>
      <c r="N16333" t="str">
        <f>"10076208    "</f>
        <v xml:space="preserve">10076208    </v>
      </c>
      <c r="O16333">
        <v>230710</v>
      </c>
    </row>
    <row r="16334" spans="1:15" x14ac:dyDescent="0.25">
      <c r="A16334" t="s">
        <v>16</v>
      </c>
      <c r="B16334" t="s">
        <v>3221</v>
      </c>
      <c r="C16334">
        <v>9359</v>
      </c>
      <c r="D16334" t="s">
        <v>3188</v>
      </c>
      <c r="E16334" t="s">
        <v>3189</v>
      </c>
      <c r="F16334">
        <v>212.95</v>
      </c>
      <c r="G16334">
        <v>230627</v>
      </c>
      <c r="H16334">
        <v>4840</v>
      </c>
      <c r="I16334" t="s">
        <v>19</v>
      </c>
      <c r="J16334">
        <v>264.06</v>
      </c>
      <c r="K16334">
        <v>51.11</v>
      </c>
      <c r="L16334">
        <v>56563</v>
      </c>
      <c r="M16334" t="s">
        <v>953</v>
      </c>
      <c r="N16334" t="str">
        <f>"10076208    "</f>
        <v xml:space="preserve">10076208    </v>
      </c>
      <c r="O16334">
        <v>230710</v>
      </c>
    </row>
    <row r="16335" spans="1:15" x14ac:dyDescent="0.25">
      <c r="A16335" t="s">
        <v>16</v>
      </c>
      <c r="B16335" t="s">
        <v>3221</v>
      </c>
      <c r="C16335">
        <v>19289</v>
      </c>
      <c r="D16335" t="s">
        <v>3188</v>
      </c>
      <c r="E16335" t="s">
        <v>3189</v>
      </c>
      <c r="F16335">
        <v>228.16</v>
      </c>
      <c r="G16335">
        <v>231231</v>
      </c>
      <c r="H16335">
        <v>4840</v>
      </c>
      <c r="I16335" t="s">
        <v>19</v>
      </c>
      <c r="J16335">
        <v>282.92</v>
      </c>
      <c r="K16335">
        <v>54.76</v>
      </c>
      <c r="L16335">
        <v>56560</v>
      </c>
      <c r="M16335" t="s">
        <v>654</v>
      </c>
      <c r="N16335" t="str">
        <f>"10078296    "</f>
        <v xml:space="preserve">10078296    </v>
      </c>
      <c r="O16335">
        <v>240116</v>
      </c>
    </row>
    <row r="16336" spans="1:15" x14ac:dyDescent="0.25">
      <c r="A16336" t="s">
        <v>16</v>
      </c>
      <c r="B16336" t="s">
        <v>3221</v>
      </c>
      <c r="C16336">
        <v>19289</v>
      </c>
      <c r="D16336" t="s">
        <v>3188</v>
      </c>
      <c r="E16336" t="s">
        <v>3189</v>
      </c>
      <c r="F16336">
        <v>76.05</v>
      </c>
      <c r="G16336">
        <v>231231</v>
      </c>
      <c r="H16336">
        <v>4840</v>
      </c>
      <c r="I16336" t="s">
        <v>19</v>
      </c>
      <c r="J16336">
        <v>94.3</v>
      </c>
      <c r="K16336">
        <v>18.25</v>
      </c>
      <c r="L16336">
        <v>56562</v>
      </c>
      <c r="M16336" t="s">
        <v>126</v>
      </c>
      <c r="N16336" t="str">
        <f>"10078296    "</f>
        <v xml:space="preserve">10078296    </v>
      </c>
      <c r="O16336">
        <v>240116</v>
      </c>
    </row>
    <row r="16337" spans="1:15" x14ac:dyDescent="0.25">
      <c r="A16337" t="s">
        <v>16</v>
      </c>
      <c r="B16337" t="s">
        <v>3221</v>
      </c>
      <c r="C16337">
        <v>19289</v>
      </c>
      <c r="D16337" t="s">
        <v>3188</v>
      </c>
      <c r="E16337" t="s">
        <v>3189</v>
      </c>
      <c r="F16337">
        <v>152.1</v>
      </c>
      <c r="G16337">
        <v>231231</v>
      </c>
      <c r="H16337">
        <v>4840</v>
      </c>
      <c r="I16337" t="s">
        <v>19</v>
      </c>
      <c r="J16337">
        <v>188.6</v>
      </c>
      <c r="K16337">
        <v>36.5</v>
      </c>
      <c r="L16337">
        <v>56563</v>
      </c>
      <c r="M16337" t="s">
        <v>953</v>
      </c>
      <c r="N16337" t="str">
        <f>"10078296    "</f>
        <v xml:space="preserve">10078296    </v>
      </c>
      <c r="O16337">
        <v>240116</v>
      </c>
    </row>
    <row r="16338" spans="1:15" x14ac:dyDescent="0.25">
      <c r="A16338" t="s">
        <v>16</v>
      </c>
      <c r="B16338" t="s">
        <v>3221</v>
      </c>
      <c r="C16338">
        <v>9359</v>
      </c>
      <c r="D16338" t="s">
        <v>3188</v>
      </c>
      <c r="E16338" t="s">
        <v>3189</v>
      </c>
      <c r="F16338">
        <v>550</v>
      </c>
      <c r="G16338">
        <v>230627</v>
      </c>
      <c r="H16338">
        <v>4345</v>
      </c>
      <c r="I16338" t="s">
        <v>2817</v>
      </c>
      <c r="J16338">
        <v>550</v>
      </c>
      <c r="K16338">
        <v>0</v>
      </c>
      <c r="L16338">
        <v>56558</v>
      </c>
      <c r="M16338" t="s">
        <v>217</v>
      </c>
      <c r="N16338" t="str">
        <f>"10076208    "</f>
        <v xml:space="preserve">10076208    </v>
      </c>
      <c r="O16338">
        <v>230710</v>
      </c>
    </row>
    <row r="16339" spans="1:15" x14ac:dyDescent="0.25">
      <c r="A16339" t="s">
        <v>16</v>
      </c>
      <c r="B16339" t="s">
        <v>3221</v>
      </c>
      <c r="C16339">
        <v>9359</v>
      </c>
      <c r="D16339" t="s">
        <v>3188</v>
      </c>
      <c r="E16339" t="s">
        <v>3189</v>
      </c>
      <c r="F16339">
        <v>770</v>
      </c>
      <c r="G16339">
        <v>230627</v>
      </c>
      <c r="H16339">
        <v>4345</v>
      </c>
      <c r="I16339" t="s">
        <v>2817</v>
      </c>
      <c r="J16339">
        <v>770</v>
      </c>
      <c r="K16339">
        <v>0</v>
      </c>
      <c r="L16339">
        <v>56560</v>
      </c>
      <c r="M16339" t="s">
        <v>654</v>
      </c>
      <c r="N16339" t="str">
        <f>"10076208    "</f>
        <v xml:space="preserve">10076208    </v>
      </c>
      <c r="O16339">
        <v>230710</v>
      </c>
    </row>
    <row r="16340" spans="1:15" x14ac:dyDescent="0.25">
      <c r="A16340" t="s">
        <v>16</v>
      </c>
      <c r="B16340" t="s">
        <v>3221</v>
      </c>
      <c r="C16340">
        <v>9359</v>
      </c>
      <c r="D16340" t="s">
        <v>3188</v>
      </c>
      <c r="E16340" t="s">
        <v>3189</v>
      </c>
      <c r="F16340">
        <v>825</v>
      </c>
      <c r="G16340">
        <v>230627</v>
      </c>
      <c r="H16340">
        <v>4345</v>
      </c>
      <c r="I16340" t="s">
        <v>2817</v>
      </c>
      <c r="J16340">
        <v>825</v>
      </c>
      <c r="K16340">
        <v>0</v>
      </c>
      <c r="L16340">
        <v>56562</v>
      </c>
      <c r="M16340" t="s">
        <v>126</v>
      </c>
      <c r="N16340" t="str">
        <f>"10076208    "</f>
        <v xml:space="preserve">10076208    </v>
      </c>
      <c r="O16340">
        <v>230710</v>
      </c>
    </row>
    <row r="16341" spans="1:15" x14ac:dyDescent="0.25">
      <c r="A16341" t="s">
        <v>16</v>
      </c>
      <c r="B16341" t="s">
        <v>3221</v>
      </c>
      <c r="C16341">
        <v>9359</v>
      </c>
      <c r="D16341" t="s">
        <v>3188</v>
      </c>
      <c r="E16341" t="s">
        <v>3189</v>
      </c>
      <c r="F16341">
        <v>330</v>
      </c>
      <c r="G16341">
        <v>230627</v>
      </c>
      <c r="H16341">
        <v>4345</v>
      </c>
      <c r="I16341" t="s">
        <v>2817</v>
      </c>
      <c r="J16341">
        <v>330</v>
      </c>
      <c r="K16341">
        <v>0</v>
      </c>
      <c r="L16341">
        <v>56563</v>
      </c>
      <c r="M16341" t="s">
        <v>953</v>
      </c>
      <c r="N16341" t="str">
        <f>"10076208    "</f>
        <v xml:space="preserve">10076208    </v>
      </c>
      <c r="O16341">
        <v>230710</v>
      </c>
    </row>
    <row r="16342" spans="1:15" x14ac:dyDescent="0.25">
      <c r="A16342" t="s">
        <v>16</v>
      </c>
      <c r="B16342" t="s">
        <v>3221</v>
      </c>
      <c r="C16342">
        <v>9359</v>
      </c>
      <c r="D16342" t="s">
        <v>3188</v>
      </c>
      <c r="E16342" t="s">
        <v>3189</v>
      </c>
      <c r="F16342">
        <v>1815</v>
      </c>
      <c r="G16342">
        <v>230627</v>
      </c>
      <c r="H16342">
        <v>4345</v>
      </c>
      <c r="I16342" t="s">
        <v>2817</v>
      </c>
      <c r="J16342">
        <v>1815</v>
      </c>
      <c r="K16342">
        <v>0</v>
      </c>
      <c r="L16342">
        <v>56563</v>
      </c>
      <c r="M16342" t="s">
        <v>953</v>
      </c>
      <c r="N16342" t="str">
        <f>"10076208    "</f>
        <v xml:space="preserve">10076208    </v>
      </c>
      <c r="O16342">
        <v>230710</v>
      </c>
    </row>
    <row r="16343" spans="1:15" x14ac:dyDescent="0.25">
      <c r="A16343" t="s">
        <v>16</v>
      </c>
      <c r="B16343" t="s">
        <v>3221</v>
      </c>
      <c r="C16343">
        <v>19289</v>
      </c>
      <c r="D16343" t="s">
        <v>3188</v>
      </c>
      <c r="E16343" t="s">
        <v>3189</v>
      </c>
      <c r="F16343">
        <v>1870</v>
      </c>
      <c r="G16343">
        <v>231231</v>
      </c>
      <c r="H16343">
        <v>4345</v>
      </c>
      <c r="I16343" t="s">
        <v>2817</v>
      </c>
      <c r="J16343">
        <v>1870</v>
      </c>
      <c r="K16343">
        <v>0</v>
      </c>
      <c r="L16343">
        <v>56560</v>
      </c>
      <c r="M16343" t="s">
        <v>654</v>
      </c>
      <c r="N16343" t="str">
        <f>"10078296    "</f>
        <v xml:space="preserve">10078296    </v>
      </c>
      <c r="O16343">
        <v>240116</v>
      </c>
    </row>
    <row r="16344" spans="1:15" x14ac:dyDescent="0.25">
      <c r="A16344" t="s">
        <v>16</v>
      </c>
      <c r="B16344" t="s">
        <v>3221</v>
      </c>
      <c r="C16344">
        <v>19289</v>
      </c>
      <c r="D16344" t="s">
        <v>3188</v>
      </c>
      <c r="E16344" t="s">
        <v>3189</v>
      </c>
      <c r="F16344">
        <v>770</v>
      </c>
      <c r="G16344">
        <v>231231</v>
      </c>
      <c r="H16344">
        <v>4345</v>
      </c>
      <c r="I16344" t="s">
        <v>2817</v>
      </c>
      <c r="J16344">
        <v>770</v>
      </c>
      <c r="K16344">
        <v>0</v>
      </c>
      <c r="L16344">
        <v>56562</v>
      </c>
      <c r="M16344" t="s">
        <v>126</v>
      </c>
      <c r="N16344" t="str">
        <f>"10078296    "</f>
        <v xml:space="preserve">10078296    </v>
      </c>
      <c r="O16344">
        <v>240116</v>
      </c>
    </row>
    <row r="16345" spans="1:15" x14ac:dyDescent="0.25">
      <c r="A16345" t="s">
        <v>16</v>
      </c>
      <c r="B16345" t="s">
        <v>3221</v>
      </c>
      <c r="C16345">
        <v>19289</v>
      </c>
      <c r="D16345" t="s">
        <v>3188</v>
      </c>
      <c r="E16345" t="s">
        <v>3189</v>
      </c>
      <c r="F16345">
        <v>1375</v>
      </c>
      <c r="G16345">
        <v>231231</v>
      </c>
      <c r="H16345">
        <v>4345</v>
      </c>
      <c r="I16345" t="s">
        <v>2817</v>
      </c>
      <c r="J16345">
        <v>1375</v>
      </c>
      <c r="K16345">
        <v>0</v>
      </c>
      <c r="L16345">
        <v>56563</v>
      </c>
      <c r="M16345" t="s">
        <v>953</v>
      </c>
      <c r="N16345" t="str">
        <f>"10078296    "</f>
        <v xml:space="preserve">10078296    </v>
      </c>
      <c r="O16345">
        <v>240116</v>
      </c>
    </row>
    <row r="16346" spans="1:15" x14ac:dyDescent="0.25">
      <c r="A16346" t="s">
        <v>16</v>
      </c>
      <c r="B16346" t="s">
        <v>3221</v>
      </c>
      <c r="C16346">
        <v>8406</v>
      </c>
      <c r="D16346" t="s">
        <v>3188</v>
      </c>
      <c r="E16346" t="s">
        <v>3189</v>
      </c>
      <c r="F16346">
        <v>21.2</v>
      </c>
      <c r="G16346">
        <v>230531</v>
      </c>
      <c r="H16346">
        <v>4420</v>
      </c>
      <c r="I16346" t="s">
        <v>132</v>
      </c>
      <c r="J16346">
        <v>21.2</v>
      </c>
      <c r="K16346">
        <v>0</v>
      </c>
      <c r="L16346">
        <v>58601</v>
      </c>
      <c r="M16346" t="s">
        <v>251</v>
      </c>
      <c r="N16346" t="str">
        <f>"10075847    "</f>
        <v xml:space="preserve">10075847    </v>
      </c>
      <c r="O16346">
        <v>230608</v>
      </c>
    </row>
    <row r="16347" spans="1:15" x14ac:dyDescent="0.25">
      <c r="A16347" t="s">
        <v>16</v>
      </c>
      <c r="B16347" t="s">
        <v>3221</v>
      </c>
      <c r="C16347">
        <v>5432</v>
      </c>
      <c r="D16347" t="s">
        <v>3188</v>
      </c>
      <c r="E16347" t="s">
        <v>3189</v>
      </c>
      <c r="F16347">
        <v>150</v>
      </c>
      <c r="G16347">
        <v>230421</v>
      </c>
      <c r="H16347">
        <v>4470</v>
      </c>
      <c r="I16347" t="s">
        <v>83</v>
      </c>
      <c r="J16347">
        <v>150</v>
      </c>
      <c r="K16347">
        <v>0</v>
      </c>
      <c r="L16347">
        <v>59114</v>
      </c>
      <c r="M16347" t="s">
        <v>556</v>
      </c>
      <c r="N16347" t="str">
        <f>"10074947    "</f>
        <v xml:space="preserve">10074947    </v>
      </c>
      <c r="O16347">
        <v>230424</v>
      </c>
    </row>
    <row r="16348" spans="1:15" x14ac:dyDescent="0.25">
      <c r="A16348" t="s">
        <v>16</v>
      </c>
      <c r="B16348" t="s">
        <v>3221</v>
      </c>
      <c r="C16348">
        <v>5432</v>
      </c>
      <c r="D16348" t="s">
        <v>3188</v>
      </c>
      <c r="E16348" t="s">
        <v>3189</v>
      </c>
      <c r="F16348">
        <v>150</v>
      </c>
      <c r="G16348">
        <v>230421</v>
      </c>
      <c r="H16348">
        <v>4470</v>
      </c>
      <c r="I16348" t="s">
        <v>83</v>
      </c>
      <c r="J16348">
        <v>150</v>
      </c>
      <c r="K16348">
        <v>0</v>
      </c>
      <c r="L16348">
        <v>59702</v>
      </c>
      <c r="M16348" t="s">
        <v>328</v>
      </c>
      <c r="N16348" t="str">
        <f>"10074947    "</f>
        <v xml:space="preserve">10074947    </v>
      </c>
      <c r="O16348">
        <v>230424</v>
      </c>
    </row>
    <row r="16349" spans="1:15" x14ac:dyDescent="0.25">
      <c r="A16349" t="s">
        <v>16</v>
      </c>
      <c r="B16349" t="s">
        <v>3221</v>
      </c>
      <c r="C16349">
        <v>5519</v>
      </c>
      <c r="D16349" t="s">
        <v>3188</v>
      </c>
      <c r="E16349" t="s">
        <v>3189</v>
      </c>
      <c r="F16349">
        <v>270</v>
      </c>
      <c r="G16349">
        <v>230424</v>
      </c>
      <c r="H16349">
        <v>4470</v>
      </c>
      <c r="I16349" t="s">
        <v>83</v>
      </c>
      <c r="J16349">
        <v>270</v>
      </c>
      <c r="K16349">
        <v>0</v>
      </c>
      <c r="L16349">
        <v>59702</v>
      </c>
      <c r="M16349" t="s">
        <v>328</v>
      </c>
      <c r="N16349" t="str">
        <f>"10074953    "</f>
        <v xml:space="preserve">10074953    </v>
      </c>
      <c r="O16349">
        <v>230426</v>
      </c>
    </row>
    <row r="16350" spans="1:15" x14ac:dyDescent="0.25">
      <c r="A16350" t="s">
        <v>16</v>
      </c>
      <c r="B16350" t="s">
        <v>3221</v>
      </c>
      <c r="C16350">
        <v>5630</v>
      </c>
      <c r="D16350" t="s">
        <v>3188</v>
      </c>
      <c r="E16350" t="s">
        <v>3189</v>
      </c>
      <c r="F16350">
        <v>150</v>
      </c>
      <c r="G16350">
        <v>230426</v>
      </c>
      <c r="H16350">
        <v>4470</v>
      </c>
      <c r="I16350" t="s">
        <v>83</v>
      </c>
      <c r="J16350">
        <v>150</v>
      </c>
      <c r="K16350">
        <v>0</v>
      </c>
      <c r="L16350">
        <v>59702</v>
      </c>
      <c r="M16350" t="s">
        <v>328</v>
      </c>
      <c r="N16350" t="str">
        <f>"10075303    "</f>
        <v xml:space="preserve">10075303    </v>
      </c>
      <c r="O16350">
        <v>230428</v>
      </c>
    </row>
    <row r="16351" spans="1:15" x14ac:dyDescent="0.25">
      <c r="A16351" t="s">
        <v>16</v>
      </c>
      <c r="B16351" t="s">
        <v>3221</v>
      </c>
      <c r="C16351">
        <v>5635</v>
      </c>
      <c r="D16351" t="s">
        <v>3188</v>
      </c>
      <c r="E16351" t="s">
        <v>3189</v>
      </c>
      <c r="F16351">
        <v>150</v>
      </c>
      <c r="G16351">
        <v>230427</v>
      </c>
      <c r="H16351">
        <v>4470</v>
      </c>
      <c r="I16351" t="s">
        <v>83</v>
      </c>
      <c r="J16351">
        <v>150</v>
      </c>
      <c r="K16351">
        <v>0</v>
      </c>
      <c r="L16351">
        <v>59113</v>
      </c>
      <c r="M16351" t="s">
        <v>235</v>
      </c>
      <c r="N16351" t="str">
        <f>"10075324    "</f>
        <v xml:space="preserve">10075324    </v>
      </c>
      <c r="O16351">
        <v>230428</v>
      </c>
    </row>
    <row r="16352" spans="1:15" x14ac:dyDescent="0.25">
      <c r="A16352" t="s">
        <v>16</v>
      </c>
      <c r="B16352" t="s">
        <v>3221</v>
      </c>
      <c r="C16352">
        <v>5636</v>
      </c>
      <c r="D16352" t="s">
        <v>3188</v>
      </c>
      <c r="E16352" t="s">
        <v>3189</v>
      </c>
      <c r="F16352">
        <v>150</v>
      </c>
      <c r="G16352">
        <v>230427</v>
      </c>
      <c r="H16352">
        <v>4470</v>
      </c>
      <c r="I16352" t="s">
        <v>83</v>
      </c>
      <c r="J16352">
        <v>150</v>
      </c>
      <c r="K16352">
        <v>0</v>
      </c>
      <c r="L16352">
        <v>54451</v>
      </c>
      <c r="M16352" t="s">
        <v>158</v>
      </c>
      <c r="N16352" t="str">
        <f>"10075325    "</f>
        <v xml:space="preserve">10075325    </v>
      </c>
      <c r="O16352">
        <v>230428</v>
      </c>
    </row>
    <row r="16353" spans="1:15" x14ac:dyDescent="0.25">
      <c r="A16353" t="s">
        <v>16</v>
      </c>
      <c r="B16353" t="s">
        <v>3221</v>
      </c>
      <c r="C16353">
        <v>5636</v>
      </c>
      <c r="D16353" t="s">
        <v>3188</v>
      </c>
      <c r="E16353" t="s">
        <v>3189</v>
      </c>
      <c r="F16353">
        <v>150</v>
      </c>
      <c r="G16353">
        <v>230427</v>
      </c>
      <c r="H16353">
        <v>4470</v>
      </c>
      <c r="I16353" t="s">
        <v>83</v>
      </c>
      <c r="J16353">
        <v>150</v>
      </c>
      <c r="K16353">
        <v>0</v>
      </c>
      <c r="L16353">
        <v>59502</v>
      </c>
      <c r="M16353" t="s">
        <v>70</v>
      </c>
      <c r="N16353" t="str">
        <f>"10075325    "</f>
        <v xml:space="preserve">10075325    </v>
      </c>
      <c r="O16353">
        <v>230428</v>
      </c>
    </row>
    <row r="16354" spans="1:15" x14ac:dyDescent="0.25">
      <c r="A16354" t="s">
        <v>16</v>
      </c>
      <c r="B16354" t="s">
        <v>3221</v>
      </c>
      <c r="C16354">
        <v>12623</v>
      </c>
      <c r="D16354" t="s">
        <v>3188</v>
      </c>
      <c r="E16354" t="s">
        <v>3189</v>
      </c>
      <c r="F16354">
        <v>270</v>
      </c>
      <c r="G16354">
        <v>230920</v>
      </c>
      <c r="H16354">
        <v>4470</v>
      </c>
      <c r="I16354" t="s">
        <v>83</v>
      </c>
      <c r="J16354">
        <v>270</v>
      </c>
      <c r="K16354">
        <v>0</v>
      </c>
      <c r="L16354">
        <v>54451</v>
      </c>
      <c r="M16354" t="s">
        <v>158</v>
      </c>
      <c r="N16354" t="str">
        <f>"10076847    "</f>
        <v xml:space="preserve">10076847    </v>
      </c>
      <c r="O16354">
        <v>230922</v>
      </c>
    </row>
    <row r="16355" spans="1:15" x14ac:dyDescent="0.25">
      <c r="A16355" t="s">
        <v>16</v>
      </c>
      <c r="B16355" t="s">
        <v>3221</v>
      </c>
      <c r="C16355">
        <v>3599</v>
      </c>
      <c r="D16355" t="s">
        <v>3188</v>
      </c>
      <c r="E16355" t="s">
        <v>3189</v>
      </c>
      <c r="F16355">
        <v>31.82</v>
      </c>
      <c r="G16355">
        <v>230228</v>
      </c>
      <c r="H16355">
        <v>4860</v>
      </c>
      <c r="I16355" t="s">
        <v>28</v>
      </c>
      <c r="J16355">
        <v>35</v>
      </c>
      <c r="K16355">
        <v>3.18</v>
      </c>
      <c r="L16355">
        <v>56562</v>
      </c>
      <c r="M16355" t="s">
        <v>126</v>
      </c>
      <c r="N16355" t="str">
        <f>"10074392    "</f>
        <v xml:space="preserve">10074392    </v>
      </c>
      <c r="O16355">
        <v>230317</v>
      </c>
    </row>
    <row r="16356" spans="1:15" x14ac:dyDescent="0.25">
      <c r="A16356" t="s">
        <v>16</v>
      </c>
      <c r="B16356" t="s">
        <v>3221</v>
      </c>
      <c r="C16356">
        <v>6540</v>
      </c>
      <c r="D16356" t="s">
        <v>3188</v>
      </c>
      <c r="E16356" t="s">
        <v>3189</v>
      </c>
      <c r="F16356">
        <v>39.770000000000003</v>
      </c>
      <c r="G16356">
        <v>230430</v>
      </c>
      <c r="H16356">
        <v>4860</v>
      </c>
      <c r="I16356" t="s">
        <v>28</v>
      </c>
      <c r="J16356">
        <v>43.75</v>
      </c>
      <c r="K16356">
        <v>3.98</v>
      </c>
      <c r="L16356">
        <v>56560</v>
      </c>
      <c r="M16356" t="s">
        <v>654</v>
      </c>
      <c r="N16356" t="str">
        <f>"10075523    "</f>
        <v xml:space="preserve">10075523    </v>
      </c>
      <c r="O16356">
        <v>230512</v>
      </c>
    </row>
    <row r="16357" spans="1:15" x14ac:dyDescent="0.25">
      <c r="A16357" t="s">
        <v>16</v>
      </c>
      <c r="B16357" t="s">
        <v>3221</v>
      </c>
      <c r="C16357">
        <v>6540</v>
      </c>
      <c r="D16357" t="s">
        <v>3188</v>
      </c>
      <c r="E16357" t="s">
        <v>3189</v>
      </c>
      <c r="F16357">
        <v>71.59</v>
      </c>
      <c r="G16357">
        <v>230430</v>
      </c>
      <c r="H16357">
        <v>4860</v>
      </c>
      <c r="I16357" t="s">
        <v>28</v>
      </c>
      <c r="J16357">
        <v>78.75</v>
      </c>
      <c r="K16357">
        <v>7.16</v>
      </c>
      <c r="L16357">
        <v>56562</v>
      </c>
      <c r="M16357" t="s">
        <v>126</v>
      </c>
      <c r="N16357" t="str">
        <f>"10075523    "</f>
        <v xml:space="preserve">10075523    </v>
      </c>
      <c r="O16357">
        <v>230512</v>
      </c>
    </row>
    <row r="16358" spans="1:15" x14ac:dyDescent="0.25">
      <c r="A16358" t="s">
        <v>16</v>
      </c>
      <c r="B16358" t="s">
        <v>3221</v>
      </c>
      <c r="C16358">
        <v>12125</v>
      </c>
      <c r="D16358" t="s">
        <v>3188</v>
      </c>
      <c r="E16358" t="s">
        <v>3189</v>
      </c>
      <c r="F16358">
        <v>71.59</v>
      </c>
      <c r="G16358">
        <v>230830</v>
      </c>
      <c r="H16358">
        <v>4860</v>
      </c>
      <c r="I16358" t="s">
        <v>28</v>
      </c>
      <c r="J16358">
        <v>78.75</v>
      </c>
      <c r="K16358">
        <v>7.16</v>
      </c>
      <c r="L16358">
        <v>56566</v>
      </c>
      <c r="M16358" t="s">
        <v>652</v>
      </c>
      <c r="N16358" t="str">
        <f>"10076808    "</f>
        <v xml:space="preserve">10076808    </v>
      </c>
      <c r="O16358">
        <v>230914</v>
      </c>
    </row>
    <row r="16359" spans="1:15" x14ac:dyDescent="0.25">
      <c r="A16359" t="s">
        <v>16</v>
      </c>
      <c r="B16359" t="s">
        <v>3221</v>
      </c>
      <c r="C16359">
        <v>13323</v>
      </c>
      <c r="D16359" t="s">
        <v>3188</v>
      </c>
      <c r="E16359" t="s">
        <v>3189</v>
      </c>
      <c r="F16359">
        <v>63.64</v>
      </c>
      <c r="G16359">
        <v>230930</v>
      </c>
      <c r="H16359">
        <v>4860</v>
      </c>
      <c r="I16359" t="s">
        <v>28</v>
      </c>
      <c r="J16359">
        <v>70</v>
      </c>
      <c r="K16359">
        <v>6.36</v>
      </c>
      <c r="L16359">
        <v>56559</v>
      </c>
      <c r="M16359" t="s">
        <v>129</v>
      </c>
      <c r="N16359" t="str">
        <f>"10077198    "</f>
        <v xml:space="preserve">10077198    </v>
      </c>
      <c r="O16359">
        <v>231009</v>
      </c>
    </row>
    <row r="16360" spans="1:15" x14ac:dyDescent="0.25">
      <c r="A16360" t="s">
        <v>16</v>
      </c>
      <c r="B16360" t="s">
        <v>3221</v>
      </c>
      <c r="C16360">
        <v>13323</v>
      </c>
      <c r="D16360" t="s">
        <v>3188</v>
      </c>
      <c r="E16360" t="s">
        <v>3189</v>
      </c>
      <c r="F16360">
        <v>111.36</v>
      </c>
      <c r="G16360">
        <v>230930</v>
      </c>
      <c r="H16360">
        <v>4860</v>
      </c>
      <c r="I16360" t="s">
        <v>28</v>
      </c>
      <c r="J16360">
        <v>122.5</v>
      </c>
      <c r="K16360">
        <v>11.14</v>
      </c>
      <c r="L16360">
        <v>56560</v>
      </c>
      <c r="M16360" t="s">
        <v>654</v>
      </c>
      <c r="N16360" t="str">
        <f>"10077198    "</f>
        <v xml:space="preserve">10077198    </v>
      </c>
      <c r="O16360">
        <v>231009</v>
      </c>
    </row>
    <row r="16361" spans="1:15" x14ac:dyDescent="0.25">
      <c r="A16361" t="s">
        <v>16</v>
      </c>
      <c r="B16361" t="s">
        <v>3221</v>
      </c>
      <c r="C16361">
        <v>13323</v>
      </c>
      <c r="D16361" t="s">
        <v>3188</v>
      </c>
      <c r="E16361" t="s">
        <v>3189</v>
      </c>
      <c r="F16361">
        <v>15.91</v>
      </c>
      <c r="G16361">
        <v>230930</v>
      </c>
      <c r="H16361">
        <v>4860</v>
      </c>
      <c r="I16361" t="s">
        <v>28</v>
      </c>
      <c r="J16361">
        <v>17.5</v>
      </c>
      <c r="K16361">
        <v>1.59</v>
      </c>
      <c r="L16361">
        <v>56562</v>
      </c>
      <c r="M16361" t="s">
        <v>126</v>
      </c>
      <c r="N16361" t="str">
        <f>"10077198    "</f>
        <v xml:space="preserve">10077198    </v>
      </c>
      <c r="O16361">
        <v>231009</v>
      </c>
    </row>
    <row r="16362" spans="1:15" x14ac:dyDescent="0.25">
      <c r="A16362" t="s">
        <v>16</v>
      </c>
      <c r="B16362" t="s">
        <v>3221</v>
      </c>
      <c r="C16362">
        <v>18961</v>
      </c>
      <c r="D16362" t="s">
        <v>3188</v>
      </c>
      <c r="E16362" t="s">
        <v>3189</v>
      </c>
      <c r="F16362">
        <v>98.79</v>
      </c>
      <c r="G16362">
        <v>231231</v>
      </c>
      <c r="H16362">
        <v>4860</v>
      </c>
      <c r="I16362" t="s">
        <v>28</v>
      </c>
      <c r="J16362">
        <v>122.5</v>
      </c>
      <c r="K16362">
        <v>23.71</v>
      </c>
      <c r="L16362">
        <v>56562</v>
      </c>
      <c r="M16362" t="s">
        <v>126</v>
      </c>
      <c r="N16362" t="str">
        <f>"10078144    "</f>
        <v xml:space="preserve">10078144    </v>
      </c>
      <c r="O16362">
        <v>240109</v>
      </c>
    </row>
    <row r="16363" spans="1:15" x14ac:dyDescent="0.25">
      <c r="A16363" t="s">
        <v>16</v>
      </c>
      <c r="B16363" t="s">
        <v>3221</v>
      </c>
      <c r="C16363">
        <v>8406</v>
      </c>
      <c r="D16363" t="s">
        <v>3188</v>
      </c>
      <c r="E16363" t="s">
        <v>3189</v>
      </c>
      <c r="F16363">
        <v>244.58</v>
      </c>
      <c r="G16363">
        <v>230531</v>
      </c>
      <c r="H16363">
        <v>4440</v>
      </c>
      <c r="I16363" t="s">
        <v>250</v>
      </c>
      <c r="J16363">
        <v>244.58</v>
      </c>
      <c r="K16363">
        <v>0</v>
      </c>
      <c r="L16363">
        <v>58601</v>
      </c>
      <c r="M16363" t="s">
        <v>251</v>
      </c>
      <c r="N16363" t="str">
        <f>"10075847    "</f>
        <v xml:space="preserve">10075847    </v>
      </c>
      <c r="O16363">
        <v>230608</v>
      </c>
    </row>
    <row r="16364" spans="1:15" x14ac:dyDescent="0.25">
      <c r="A16364" t="s">
        <v>16</v>
      </c>
      <c r="B16364" t="s">
        <v>3221</v>
      </c>
      <c r="C16364">
        <v>8</v>
      </c>
      <c r="D16364" t="s">
        <v>3188</v>
      </c>
      <c r="E16364" t="s">
        <v>3189</v>
      </c>
      <c r="F16364">
        <v>4214.84</v>
      </c>
      <c r="G16364">
        <v>230101</v>
      </c>
      <c r="H16364">
        <v>4820</v>
      </c>
      <c r="I16364" t="s">
        <v>50</v>
      </c>
      <c r="J16364">
        <v>5226.3999999999996</v>
      </c>
      <c r="K16364">
        <v>1011.56</v>
      </c>
      <c r="L16364">
        <v>59503</v>
      </c>
      <c r="M16364" t="s">
        <v>194</v>
      </c>
      <c r="N16364" t="str">
        <f>"1734582     "</f>
        <v xml:space="preserve">1734582     </v>
      </c>
      <c r="O16364">
        <v>221223</v>
      </c>
    </row>
    <row r="16365" spans="1:15" x14ac:dyDescent="0.25">
      <c r="A16365" t="s">
        <v>16</v>
      </c>
      <c r="B16365" t="s">
        <v>3221</v>
      </c>
      <c r="C16365">
        <v>420</v>
      </c>
      <c r="D16365" t="s">
        <v>3188</v>
      </c>
      <c r="E16365" t="s">
        <v>3189</v>
      </c>
      <c r="F16365">
        <v>4214.84</v>
      </c>
      <c r="G16365">
        <v>230201</v>
      </c>
      <c r="H16365">
        <v>4820</v>
      </c>
      <c r="I16365" t="s">
        <v>50</v>
      </c>
      <c r="J16365">
        <v>5226.3999999999996</v>
      </c>
      <c r="K16365">
        <v>1011.56</v>
      </c>
      <c r="L16365">
        <v>59503</v>
      </c>
      <c r="M16365" t="s">
        <v>194</v>
      </c>
      <c r="N16365" t="str">
        <f>"1734583     "</f>
        <v xml:space="preserve">1734583     </v>
      </c>
      <c r="O16365">
        <v>230120</v>
      </c>
    </row>
    <row r="16366" spans="1:15" x14ac:dyDescent="0.25">
      <c r="A16366" t="s">
        <v>16</v>
      </c>
      <c r="B16366" t="s">
        <v>3221</v>
      </c>
      <c r="C16366">
        <v>2096</v>
      </c>
      <c r="D16366" t="s">
        <v>3188</v>
      </c>
      <c r="E16366" t="s">
        <v>3189</v>
      </c>
      <c r="F16366">
        <v>4214.84</v>
      </c>
      <c r="G16366">
        <v>230301</v>
      </c>
      <c r="H16366">
        <v>4820</v>
      </c>
      <c r="I16366" t="s">
        <v>50</v>
      </c>
      <c r="J16366">
        <v>5226.3999999999996</v>
      </c>
      <c r="K16366">
        <v>1011.56</v>
      </c>
      <c r="L16366">
        <v>59503</v>
      </c>
      <c r="M16366" t="s">
        <v>194</v>
      </c>
      <c r="N16366" t="str">
        <f>"1734584     "</f>
        <v xml:space="preserve">1734584     </v>
      </c>
      <c r="O16366">
        <v>230220</v>
      </c>
    </row>
    <row r="16367" spans="1:15" x14ac:dyDescent="0.25">
      <c r="A16367" t="s">
        <v>16</v>
      </c>
      <c r="B16367" t="s">
        <v>3221</v>
      </c>
      <c r="C16367">
        <v>3906</v>
      </c>
      <c r="D16367" t="s">
        <v>3188</v>
      </c>
      <c r="E16367" t="s">
        <v>3189</v>
      </c>
      <c r="F16367">
        <v>4214.84</v>
      </c>
      <c r="G16367">
        <v>230401</v>
      </c>
      <c r="H16367">
        <v>4820</v>
      </c>
      <c r="I16367" t="s">
        <v>50</v>
      </c>
      <c r="J16367">
        <v>5226.3999999999996</v>
      </c>
      <c r="K16367">
        <v>1011.56</v>
      </c>
      <c r="L16367">
        <v>59503</v>
      </c>
      <c r="M16367" t="s">
        <v>194</v>
      </c>
      <c r="N16367" t="str">
        <f>"1734585     "</f>
        <v xml:space="preserve">1734585     </v>
      </c>
      <c r="O16367">
        <v>230324</v>
      </c>
    </row>
    <row r="16368" spans="1:15" x14ac:dyDescent="0.25">
      <c r="A16368" t="s">
        <v>16</v>
      </c>
      <c r="B16368" t="s">
        <v>3221</v>
      </c>
      <c r="C16368">
        <v>5434</v>
      </c>
      <c r="D16368" t="s">
        <v>3188</v>
      </c>
      <c r="E16368" t="s">
        <v>3189</v>
      </c>
      <c r="F16368">
        <v>4214.84</v>
      </c>
      <c r="G16368">
        <v>230501</v>
      </c>
      <c r="H16368">
        <v>4820</v>
      </c>
      <c r="I16368" t="s">
        <v>50</v>
      </c>
      <c r="J16368">
        <v>5226.3999999999996</v>
      </c>
      <c r="K16368">
        <v>1011.56</v>
      </c>
      <c r="L16368">
        <v>59503</v>
      </c>
      <c r="M16368" t="s">
        <v>194</v>
      </c>
      <c r="N16368" t="str">
        <f>"1734586     "</f>
        <v xml:space="preserve">1734586     </v>
      </c>
      <c r="O16368">
        <v>230424</v>
      </c>
    </row>
    <row r="16369" spans="1:15" x14ac:dyDescent="0.25">
      <c r="A16369" t="s">
        <v>16</v>
      </c>
      <c r="B16369" t="s">
        <v>3221</v>
      </c>
      <c r="C16369">
        <v>7111</v>
      </c>
      <c r="D16369" t="s">
        <v>3188</v>
      </c>
      <c r="E16369" t="s">
        <v>3189</v>
      </c>
      <c r="F16369">
        <v>4214.84</v>
      </c>
      <c r="G16369">
        <v>230601</v>
      </c>
      <c r="H16369">
        <v>4820</v>
      </c>
      <c r="I16369" t="s">
        <v>50</v>
      </c>
      <c r="J16369">
        <v>5226.3999999999996</v>
      </c>
      <c r="K16369">
        <v>1011.56</v>
      </c>
      <c r="L16369">
        <v>59503</v>
      </c>
      <c r="M16369" t="s">
        <v>194</v>
      </c>
      <c r="N16369" t="str">
        <f>"1734587     "</f>
        <v xml:space="preserve">1734587     </v>
      </c>
      <c r="O16369">
        <v>230525</v>
      </c>
    </row>
    <row r="16370" spans="1:15" x14ac:dyDescent="0.25">
      <c r="A16370" t="s">
        <v>16</v>
      </c>
      <c r="B16370" t="s">
        <v>3221</v>
      </c>
      <c r="C16370">
        <v>15736</v>
      </c>
      <c r="D16370" t="s">
        <v>3188</v>
      </c>
      <c r="E16370" t="s">
        <v>3189</v>
      </c>
      <c r="F16370">
        <v>31.82</v>
      </c>
      <c r="G16370">
        <v>231031</v>
      </c>
      <c r="H16370">
        <v>4820</v>
      </c>
      <c r="I16370" t="s">
        <v>50</v>
      </c>
      <c r="J16370">
        <v>35</v>
      </c>
      <c r="K16370">
        <v>3.18</v>
      </c>
      <c r="L16370">
        <v>56560</v>
      </c>
      <c r="M16370" t="s">
        <v>654</v>
      </c>
      <c r="N16370" t="str">
        <f>"10077658    "</f>
        <v xml:space="preserve">10077658    </v>
      </c>
      <c r="O16370">
        <v>231116</v>
      </c>
    </row>
    <row r="16371" spans="1:15" x14ac:dyDescent="0.25">
      <c r="A16371" t="s">
        <v>16</v>
      </c>
      <c r="B16371" t="s">
        <v>3221</v>
      </c>
      <c r="C16371">
        <v>15736</v>
      </c>
      <c r="D16371" t="s">
        <v>3188</v>
      </c>
      <c r="E16371" t="s">
        <v>3189</v>
      </c>
      <c r="F16371">
        <v>31.82</v>
      </c>
      <c r="G16371">
        <v>231031</v>
      </c>
      <c r="H16371">
        <v>4820</v>
      </c>
      <c r="I16371" t="s">
        <v>50</v>
      </c>
      <c r="J16371">
        <v>35</v>
      </c>
      <c r="K16371">
        <v>3.18</v>
      </c>
      <c r="L16371">
        <v>56562</v>
      </c>
      <c r="M16371" t="s">
        <v>126</v>
      </c>
      <c r="N16371" t="str">
        <f>"10077658    "</f>
        <v xml:space="preserve">10077658    </v>
      </c>
      <c r="O16371">
        <v>231116</v>
      </c>
    </row>
    <row r="16372" spans="1:15" x14ac:dyDescent="0.25">
      <c r="A16372" t="s">
        <v>16</v>
      </c>
      <c r="B16372" t="s">
        <v>3221</v>
      </c>
      <c r="C16372">
        <v>931</v>
      </c>
      <c r="D16372" t="s">
        <v>3691</v>
      </c>
      <c r="E16372" t="s">
        <v>803</v>
      </c>
      <c r="F16372">
        <v>462.99</v>
      </c>
      <c r="G16372">
        <v>230130</v>
      </c>
      <c r="H16372">
        <v>4390</v>
      </c>
      <c r="I16372" t="s">
        <v>98</v>
      </c>
      <c r="J16372">
        <v>574.11</v>
      </c>
      <c r="K16372">
        <v>111.12</v>
      </c>
      <c r="L16372">
        <v>59502</v>
      </c>
      <c r="M16372" t="s">
        <v>70</v>
      </c>
      <c r="N16372" t="str">
        <f>"7716        "</f>
        <v xml:space="preserve">7716        </v>
      </c>
      <c r="O16372">
        <v>230201</v>
      </c>
    </row>
    <row r="16373" spans="1:15" x14ac:dyDescent="0.25">
      <c r="A16373" t="s">
        <v>16</v>
      </c>
      <c r="B16373" t="s">
        <v>3221</v>
      </c>
      <c r="C16373">
        <v>931</v>
      </c>
      <c r="D16373" t="s">
        <v>3691</v>
      </c>
      <c r="E16373" t="s">
        <v>803</v>
      </c>
      <c r="F16373">
        <v>296.01</v>
      </c>
      <c r="G16373">
        <v>230130</v>
      </c>
      <c r="H16373">
        <v>4390</v>
      </c>
      <c r="I16373" t="s">
        <v>98</v>
      </c>
      <c r="J16373">
        <v>367.05</v>
      </c>
      <c r="K16373">
        <v>71.040000000000006</v>
      </c>
      <c r="L16373">
        <v>59802</v>
      </c>
      <c r="M16373" t="s">
        <v>73</v>
      </c>
      <c r="N16373" t="str">
        <f>"7716        "</f>
        <v xml:space="preserve">7716        </v>
      </c>
      <c r="O16373">
        <v>230201</v>
      </c>
    </row>
    <row r="16374" spans="1:15" x14ac:dyDescent="0.25">
      <c r="A16374" t="s">
        <v>16</v>
      </c>
      <c r="B16374" t="s">
        <v>3221</v>
      </c>
      <c r="C16374">
        <v>2710</v>
      </c>
      <c r="D16374" t="s">
        <v>3691</v>
      </c>
      <c r="E16374" t="s">
        <v>803</v>
      </c>
      <c r="F16374">
        <v>759</v>
      </c>
      <c r="G16374">
        <v>230228</v>
      </c>
      <c r="H16374">
        <v>4390</v>
      </c>
      <c r="I16374" t="s">
        <v>98</v>
      </c>
      <c r="J16374">
        <v>941.16</v>
      </c>
      <c r="K16374">
        <v>182.16</v>
      </c>
      <c r="L16374">
        <v>59502</v>
      </c>
      <c r="M16374" t="s">
        <v>70</v>
      </c>
      <c r="N16374" t="str">
        <f>"7756        "</f>
        <v xml:space="preserve">7756        </v>
      </c>
      <c r="O16374">
        <v>230307</v>
      </c>
    </row>
    <row r="16375" spans="1:15" x14ac:dyDescent="0.25">
      <c r="A16375" t="s">
        <v>16</v>
      </c>
      <c r="B16375" t="s">
        <v>3221</v>
      </c>
      <c r="C16375">
        <v>4287</v>
      </c>
      <c r="D16375" t="s">
        <v>3691</v>
      </c>
      <c r="E16375" t="s">
        <v>803</v>
      </c>
      <c r="F16375">
        <v>759</v>
      </c>
      <c r="G16375">
        <v>230331</v>
      </c>
      <c r="H16375">
        <v>4390</v>
      </c>
      <c r="I16375" t="s">
        <v>98</v>
      </c>
      <c r="J16375">
        <v>941.16</v>
      </c>
      <c r="K16375">
        <v>182.16</v>
      </c>
      <c r="L16375">
        <v>59502</v>
      </c>
      <c r="M16375" t="s">
        <v>70</v>
      </c>
      <c r="N16375" t="str">
        <f>"7820        "</f>
        <v xml:space="preserve">7820        </v>
      </c>
      <c r="O16375">
        <v>230404</v>
      </c>
    </row>
    <row r="16376" spans="1:15" x14ac:dyDescent="0.25">
      <c r="A16376" t="s">
        <v>16</v>
      </c>
      <c r="B16376" t="s">
        <v>3221</v>
      </c>
      <c r="C16376">
        <v>5868</v>
      </c>
      <c r="D16376" t="s">
        <v>3691</v>
      </c>
      <c r="E16376" t="s">
        <v>803</v>
      </c>
      <c r="F16376">
        <v>462.99</v>
      </c>
      <c r="G16376">
        <v>230331</v>
      </c>
      <c r="H16376">
        <v>4390</v>
      </c>
      <c r="I16376" t="s">
        <v>98</v>
      </c>
      <c r="J16376">
        <v>574.11</v>
      </c>
      <c r="K16376">
        <v>111.12</v>
      </c>
      <c r="L16376">
        <v>59502</v>
      </c>
      <c r="M16376" t="s">
        <v>70</v>
      </c>
      <c r="N16376" t="str">
        <f>"7862        "</f>
        <v xml:space="preserve">7862        </v>
      </c>
      <c r="O16376">
        <v>230503</v>
      </c>
    </row>
    <row r="16377" spans="1:15" x14ac:dyDescent="0.25">
      <c r="A16377" t="s">
        <v>16</v>
      </c>
      <c r="B16377" t="s">
        <v>3221</v>
      </c>
      <c r="C16377">
        <v>5868</v>
      </c>
      <c r="D16377" t="s">
        <v>3691</v>
      </c>
      <c r="E16377" t="s">
        <v>803</v>
      </c>
      <c r="F16377">
        <v>296.01</v>
      </c>
      <c r="G16377">
        <v>230331</v>
      </c>
      <c r="H16377">
        <v>4390</v>
      </c>
      <c r="I16377" t="s">
        <v>98</v>
      </c>
      <c r="J16377">
        <v>367.05</v>
      </c>
      <c r="K16377">
        <v>71.040000000000006</v>
      </c>
      <c r="L16377">
        <v>59802</v>
      </c>
      <c r="M16377" t="s">
        <v>73</v>
      </c>
      <c r="N16377" t="str">
        <f>"7862        "</f>
        <v xml:space="preserve">7862        </v>
      </c>
      <c r="O16377">
        <v>230503</v>
      </c>
    </row>
    <row r="16378" spans="1:15" x14ac:dyDescent="0.25">
      <c r="A16378" t="s">
        <v>16</v>
      </c>
      <c r="B16378" t="s">
        <v>3221</v>
      </c>
      <c r="C16378">
        <v>9367</v>
      </c>
      <c r="D16378" t="s">
        <v>3691</v>
      </c>
      <c r="E16378" t="s">
        <v>803</v>
      </c>
      <c r="F16378">
        <v>612.5</v>
      </c>
      <c r="G16378">
        <v>230706</v>
      </c>
      <c r="H16378">
        <v>4390</v>
      </c>
      <c r="I16378" t="s">
        <v>98</v>
      </c>
      <c r="J16378">
        <v>759.5</v>
      </c>
      <c r="K16378">
        <v>147</v>
      </c>
      <c r="L16378">
        <v>59501</v>
      </c>
      <c r="M16378" t="s">
        <v>69</v>
      </c>
      <c r="N16378" t="str">
        <f>"8704        "</f>
        <v xml:space="preserve">8704        </v>
      </c>
      <c r="O16378">
        <v>230710</v>
      </c>
    </row>
    <row r="16379" spans="1:15" x14ac:dyDescent="0.25">
      <c r="A16379" t="s">
        <v>16</v>
      </c>
      <c r="B16379" t="s">
        <v>3221</v>
      </c>
      <c r="C16379">
        <v>9367</v>
      </c>
      <c r="D16379" t="s">
        <v>3691</v>
      </c>
      <c r="E16379" t="s">
        <v>803</v>
      </c>
      <c r="F16379">
        <v>262.5</v>
      </c>
      <c r="G16379">
        <v>230706</v>
      </c>
      <c r="H16379">
        <v>4390</v>
      </c>
      <c r="I16379" t="s">
        <v>98</v>
      </c>
      <c r="J16379">
        <v>325.5</v>
      </c>
      <c r="K16379">
        <v>63</v>
      </c>
      <c r="L16379">
        <v>59505</v>
      </c>
      <c r="M16379" t="s">
        <v>72</v>
      </c>
      <c r="N16379" t="str">
        <f>"8704        "</f>
        <v xml:space="preserve">8704        </v>
      </c>
      <c r="O16379">
        <v>230710</v>
      </c>
    </row>
    <row r="16380" spans="1:15" x14ac:dyDescent="0.25">
      <c r="A16380" t="s">
        <v>16</v>
      </c>
      <c r="B16380" t="s">
        <v>3221</v>
      </c>
      <c r="C16380">
        <v>9367</v>
      </c>
      <c r="D16380" t="s">
        <v>3691</v>
      </c>
      <c r="E16380" t="s">
        <v>803</v>
      </c>
      <c r="F16380">
        <v>450</v>
      </c>
      <c r="G16380">
        <v>230706</v>
      </c>
      <c r="H16380">
        <v>4390</v>
      </c>
      <c r="I16380" t="s">
        <v>98</v>
      </c>
      <c r="J16380">
        <v>558</v>
      </c>
      <c r="K16380">
        <v>108</v>
      </c>
      <c r="L16380">
        <v>59505</v>
      </c>
      <c r="M16380" t="s">
        <v>72</v>
      </c>
      <c r="N16380" t="str">
        <f>"8704        "</f>
        <v xml:space="preserve">8704        </v>
      </c>
      <c r="O16380">
        <v>230710</v>
      </c>
    </row>
    <row r="16381" spans="1:15" x14ac:dyDescent="0.25">
      <c r="A16381" t="s">
        <v>16</v>
      </c>
      <c r="B16381" t="s">
        <v>3221</v>
      </c>
      <c r="C16381">
        <v>16331</v>
      </c>
      <c r="D16381" t="s">
        <v>3691</v>
      </c>
      <c r="E16381" t="s">
        <v>803</v>
      </c>
      <c r="F16381">
        <v>319.76</v>
      </c>
      <c r="G16381">
        <v>231124</v>
      </c>
      <c r="H16381">
        <v>4390</v>
      </c>
      <c r="I16381" t="s">
        <v>98</v>
      </c>
      <c r="J16381">
        <v>396.5</v>
      </c>
      <c r="K16381">
        <v>76.739999999999995</v>
      </c>
      <c r="L16381">
        <v>59502</v>
      </c>
      <c r="M16381" t="s">
        <v>70</v>
      </c>
      <c r="N16381" t="str">
        <f>"9454        "</f>
        <v xml:space="preserve">9454        </v>
      </c>
      <c r="O16381">
        <v>231128</v>
      </c>
    </row>
    <row r="16382" spans="1:15" x14ac:dyDescent="0.25">
      <c r="A16382" t="s">
        <v>16</v>
      </c>
      <c r="B16382" t="s">
        <v>3221</v>
      </c>
      <c r="C16382">
        <v>16331</v>
      </c>
      <c r="D16382" t="s">
        <v>3691</v>
      </c>
      <c r="E16382" t="s">
        <v>803</v>
      </c>
      <c r="F16382">
        <v>204.44</v>
      </c>
      <c r="G16382">
        <v>231124</v>
      </c>
      <c r="H16382">
        <v>4390</v>
      </c>
      <c r="I16382" t="s">
        <v>98</v>
      </c>
      <c r="J16382">
        <v>253.5</v>
      </c>
      <c r="K16382">
        <v>49.06</v>
      </c>
      <c r="L16382">
        <v>59802</v>
      </c>
      <c r="M16382" t="s">
        <v>73</v>
      </c>
      <c r="N16382" t="str">
        <f>"9454        "</f>
        <v xml:space="preserve">9454        </v>
      </c>
      <c r="O16382">
        <v>231128</v>
      </c>
    </row>
    <row r="16383" spans="1:15" x14ac:dyDescent="0.25">
      <c r="A16383" t="s">
        <v>16</v>
      </c>
      <c r="B16383" t="s">
        <v>3221</v>
      </c>
      <c r="C16383">
        <v>18803</v>
      </c>
      <c r="D16383" t="s">
        <v>3691</v>
      </c>
      <c r="E16383" t="s">
        <v>803</v>
      </c>
      <c r="F16383">
        <v>524.19000000000005</v>
      </c>
      <c r="G16383">
        <v>240103</v>
      </c>
      <c r="H16383">
        <v>4390</v>
      </c>
      <c r="I16383" t="s">
        <v>98</v>
      </c>
      <c r="J16383">
        <v>650</v>
      </c>
      <c r="K16383">
        <v>125.81</v>
      </c>
      <c r="L16383">
        <v>59502</v>
      </c>
      <c r="M16383" t="s">
        <v>70</v>
      </c>
      <c r="N16383" t="str">
        <f>"9783        "</f>
        <v xml:space="preserve">9783        </v>
      </c>
      <c r="O16383">
        <v>240108</v>
      </c>
    </row>
    <row r="16384" spans="1:15" x14ac:dyDescent="0.25">
      <c r="A16384" t="s">
        <v>16</v>
      </c>
      <c r="B16384" t="s">
        <v>3221</v>
      </c>
      <c r="C16384">
        <v>2680</v>
      </c>
      <c r="D16384" t="s">
        <v>580</v>
      </c>
      <c r="E16384" t="s">
        <v>581</v>
      </c>
      <c r="F16384">
        <v>64.349999999999994</v>
      </c>
      <c r="G16384">
        <v>230228</v>
      </c>
      <c r="H16384">
        <v>4520</v>
      </c>
      <c r="I16384" t="s">
        <v>254</v>
      </c>
      <c r="J16384">
        <v>79.8</v>
      </c>
      <c r="K16384">
        <v>15.45</v>
      </c>
      <c r="L16384">
        <v>18972</v>
      </c>
      <c r="M16384" t="s">
        <v>163</v>
      </c>
      <c r="N16384" t="str">
        <f>"9703        "</f>
        <v xml:space="preserve">9703        </v>
      </c>
      <c r="O16384">
        <v>230306</v>
      </c>
    </row>
    <row r="16385" spans="1:15" x14ac:dyDescent="0.25">
      <c r="A16385" t="s">
        <v>16</v>
      </c>
      <c r="B16385" t="s">
        <v>3221</v>
      </c>
      <c r="C16385">
        <v>494</v>
      </c>
      <c r="D16385" t="s">
        <v>580</v>
      </c>
      <c r="E16385" t="s">
        <v>581</v>
      </c>
      <c r="F16385">
        <v>144.35</v>
      </c>
      <c r="G16385">
        <v>230119</v>
      </c>
      <c r="H16385">
        <v>4580</v>
      </c>
      <c r="I16385" t="s">
        <v>35</v>
      </c>
      <c r="J16385">
        <v>179</v>
      </c>
      <c r="K16385">
        <v>34.65</v>
      </c>
      <c r="L16385">
        <v>18972</v>
      </c>
      <c r="M16385" t="s">
        <v>163</v>
      </c>
      <c r="N16385" t="str">
        <f>"190123      "</f>
        <v xml:space="preserve">190123      </v>
      </c>
      <c r="O16385">
        <v>230124</v>
      </c>
    </row>
    <row r="16386" spans="1:15" x14ac:dyDescent="0.25">
      <c r="A16386" t="s">
        <v>16</v>
      </c>
      <c r="B16386" t="s">
        <v>3221</v>
      </c>
      <c r="C16386">
        <v>7169</v>
      </c>
      <c r="D16386" t="s">
        <v>580</v>
      </c>
      <c r="E16386" t="s">
        <v>581</v>
      </c>
      <c r="F16386">
        <v>241.94</v>
      </c>
      <c r="G16386">
        <v>230524</v>
      </c>
      <c r="H16386">
        <v>4580</v>
      </c>
      <c r="I16386" t="s">
        <v>35</v>
      </c>
      <c r="J16386">
        <v>300</v>
      </c>
      <c r="K16386">
        <v>58.06</v>
      </c>
      <c r="L16386">
        <v>59112</v>
      </c>
      <c r="M16386" t="s">
        <v>182</v>
      </c>
      <c r="N16386" t="str">
        <f>"9956        "</f>
        <v xml:space="preserve">9956        </v>
      </c>
      <c r="O16386">
        <v>230525</v>
      </c>
    </row>
    <row r="16387" spans="1:15" x14ac:dyDescent="0.25">
      <c r="A16387" t="s">
        <v>16</v>
      </c>
      <c r="B16387" t="s">
        <v>3221</v>
      </c>
      <c r="C16387">
        <v>7491</v>
      </c>
      <c r="D16387" t="s">
        <v>580</v>
      </c>
      <c r="E16387" t="s">
        <v>581</v>
      </c>
      <c r="F16387">
        <v>400</v>
      </c>
      <c r="G16387">
        <v>230525</v>
      </c>
      <c r="H16387">
        <v>4580</v>
      </c>
      <c r="I16387" t="s">
        <v>35</v>
      </c>
      <c r="J16387">
        <v>400</v>
      </c>
      <c r="K16387">
        <v>0</v>
      </c>
      <c r="L16387">
        <v>59501</v>
      </c>
      <c r="M16387" t="s">
        <v>69</v>
      </c>
      <c r="N16387" t="str">
        <f>"9963        "</f>
        <v xml:space="preserve">9963        </v>
      </c>
      <c r="O16387">
        <v>230531</v>
      </c>
    </row>
    <row r="16388" spans="1:15" x14ac:dyDescent="0.25">
      <c r="A16388" t="s">
        <v>16</v>
      </c>
      <c r="B16388" t="s">
        <v>3221</v>
      </c>
      <c r="C16388">
        <v>9306</v>
      </c>
      <c r="D16388" t="s">
        <v>580</v>
      </c>
      <c r="E16388" t="s">
        <v>581</v>
      </c>
      <c r="F16388">
        <v>281.45</v>
      </c>
      <c r="G16388">
        <v>230630</v>
      </c>
      <c r="H16388">
        <v>4580</v>
      </c>
      <c r="I16388" t="s">
        <v>35</v>
      </c>
      <c r="J16388">
        <v>349</v>
      </c>
      <c r="K16388">
        <v>67.55</v>
      </c>
      <c r="L16388">
        <v>11401</v>
      </c>
      <c r="M16388" t="s">
        <v>84</v>
      </c>
      <c r="N16388" t="str">
        <f>"10046       "</f>
        <v xml:space="preserve">10046       </v>
      </c>
      <c r="O16388">
        <v>230705</v>
      </c>
    </row>
    <row r="16389" spans="1:15" x14ac:dyDescent="0.25">
      <c r="A16389" t="s">
        <v>16</v>
      </c>
      <c r="B16389" t="s">
        <v>3221</v>
      </c>
      <c r="C16389">
        <v>9756</v>
      </c>
      <c r="D16389" t="s">
        <v>580</v>
      </c>
      <c r="E16389" t="s">
        <v>581</v>
      </c>
      <c r="F16389">
        <v>215.32</v>
      </c>
      <c r="G16389">
        <v>230707</v>
      </c>
      <c r="H16389">
        <v>4580</v>
      </c>
      <c r="I16389" t="s">
        <v>35</v>
      </c>
      <c r="J16389">
        <v>267</v>
      </c>
      <c r="K16389">
        <v>51.68</v>
      </c>
      <c r="L16389">
        <v>59111</v>
      </c>
      <c r="M16389" t="s">
        <v>1010</v>
      </c>
      <c r="N16389" t="str">
        <f>"10054       "</f>
        <v xml:space="preserve">10054       </v>
      </c>
      <c r="O16389">
        <v>230725</v>
      </c>
    </row>
    <row r="16390" spans="1:15" x14ac:dyDescent="0.25">
      <c r="A16390" t="s">
        <v>16</v>
      </c>
      <c r="B16390" t="s">
        <v>3221</v>
      </c>
      <c r="C16390">
        <v>10956</v>
      </c>
      <c r="D16390" t="s">
        <v>580</v>
      </c>
      <c r="E16390" t="s">
        <v>581</v>
      </c>
      <c r="F16390">
        <v>721.77</v>
      </c>
      <c r="G16390">
        <v>230821</v>
      </c>
      <c r="H16390">
        <v>4600</v>
      </c>
      <c r="I16390" t="s">
        <v>105</v>
      </c>
      <c r="J16390">
        <v>895</v>
      </c>
      <c r="K16390">
        <v>173.23</v>
      </c>
      <c r="L16390">
        <v>54252</v>
      </c>
      <c r="M16390" t="s">
        <v>534</v>
      </c>
      <c r="N16390" t="str">
        <f>"10191       "</f>
        <v xml:space="preserve">10191       </v>
      </c>
      <c r="O16390">
        <v>230825</v>
      </c>
    </row>
    <row r="16391" spans="1:15" x14ac:dyDescent="0.25">
      <c r="A16391" t="s">
        <v>16</v>
      </c>
      <c r="B16391" t="s">
        <v>3221</v>
      </c>
      <c r="C16391">
        <v>10187</v>
      </c>
      <c r="D16391" t="s">
        <v>3692</v>
      </c>
      <c r="E16391" t="s">
        <v>782</v>
      </c>
      <c r="F16391">
        <v>133.69999999999999</v>
      </c>
      <c r="G16391">
        <v>230808</v>
      </c>
      <c r="H16391">
        <v>4600</v>
      </c>
      <c r="I16391" t="s">
        <v>105</v>
      </c>
      <c r="J16391">
        <v>165.79</v>
      </c>
      <c r="K16391">
        <v>32.090000000000003</v>
      </c>
      <c r="L16391">
        <v>59504</v>
      </c>
      <c r="M16391" t="s">
        <v>71</v>
      </c>
      <c r="N16391" t="str">
        <f>"2023290328  "</f>
        <v xml:space="preserve">2023290328  </v>
      </c>
      <c r="O16391">
        <v>230809</v>
      </c>
    </row>
    <row r="16392" spans="1:15" x14ac:dyDescent="0.25">
      <c r="A16392" t="s">
        <v>16</v>
      </c>
      <c r="B16392" t="s">
        <v>3221</v>
      </c>
      <c r="C16392">
        <v>10845</v>
      </c>
      <c r="D16392" t="s">
        <v>3692</v>
      </c>
      <c r="E16392" t="s">
        <v>782</v>
      </c>
      <c r="F16392">
        <v>229.25</v>
      </c>
      <c r="G16392">
        <v>230822</v>
      </c>
      <c r="H16392">
        <v>4600</v>
      </c>
      <c r="I16392" t="s">
        <v>105</v>
      </c>
      <c r="J16392">
        <v>284.27</v>
      </c>
      <c r="K16392">
        <v>55.02</v>
      </c>
      <c r="L16392">
        <v>59501</v>
      </c>
      <c r="M16392" t="s">
        <v>69</v>
      </c>
      <c r="N16392" t="str">
        <f>"2023290385  "</f>
        <v xml:space="preserve">2023290385  </v>
      </c>
      <c r="O16392">
        <v>230824</v>
      </c>
    </row>
    <row r="16393" spans="1:15" x14ac:dyDescent="0.25">
      <c r="A16393" t="s">
        <v>16</v>
      </c>
      <c r="B16393" t="s">
        <v>3221</v>
      </c>
      <c r="C16393">
        <v>15869</v>
      </c>
      <c r="D16393" t="s">
        <v>3692</v>
      </c>
      <c r="E16393" t="s">
        <v>782</v>
      </c>
      <c r="F16393">
        <v>343.15</v>
      </c>
      <c r="G16393">
        <v>231117</v>
      </c>
      <c r="H16393">
        <v>4600</v>
      </c>
      <c r="I16393" t="s">
        <v>105</v>
      </c>
      <c r="J16393">
        <v>425.51</v>
      </c>
      <c r="K16393">
        <v>82.36</v>
      </c>
      <c r="L16393">
        <v>69111</v>
      </c>
      <c r="M16393" t="s">
        <v>471</v>
      </c>
      <c r="N16393" t="str">
        <f>"2023290664  "</f>
        <v xml:space="preserve">2023290664  </v>
      </c>
      <c r="O16393">
        <v>231120</v>
      </c>
    </row>
    <row r="16394" spans="1:15" x14ac:dyDescent="0.25">
      <c r="A16394" t="s">
        <v>16</v>
      </c>
      <c r="B16394" t="s">
        <v>3221</v>
      </c>
      <c r="C16394">
        <v>2394</v>
      </c>
      <c r="D16394" t="s">
        <v>3692</v>
      </c>
      <c r="E16394" t="s">
        <v>782</v>
      </c>
      <c r="F16394">
        <v>291.77</v>
      </c>
      <c r="G16394">
        <v>230224</v>
      </c>
      <c r="H16394">
        <v>4470</v>
      </c>
      <c r="I16394" t="s">
        <v>83</v>
      </c>
      <c r="J16394">
        <v>361.79</v>
      </c>
      <c r="K16394">
        <v>70.02</v>
      </c>
      <c r="L16394">
        <v>69501</v>
      </c>
      <c r="M16394" t="s">
        <v>185</v>
      </c>
      <c r="N16394" t="str">
        <f>"20231150    "</f>
        <v xml:space="preserve">20231150    </v>
      </c>
      <c r="O16394">
        <v>230227</v>
      </c>
    </row>
    <row r="16395" spans="1:15" x14ac:dyDescent="0.25">
      <c r="A16395" t="s">
        <v>16</v>
      </c>
      <c r="B16395" t="s">
        <v>3221</v>
      </c>
      <c r="C16395">
        <v>884</v>
      </c>
      <c r="D16395" t="s">
        <v>3692</v>
      </c>
      <c r="E16395" t="s">
        <v>782</v>
      </c>
      <c r="F16395">
        <v>657.17</v>
      </c>
      <c r="G16395">
        <v>230130</v>
      </c>
      <c r="H16395">
        <v>4390</v>
      </c>
      <c r="I16395" t="s">
        <v>98</v>
      </c>
      <c r="J16395">
        <v>814.89</v>
      </c>
      <c r="K16395">
        <v>157.72</v>
      </c>
      <c r="L16395">
        <v>69501</v>
      </c>
      <c r="M16395" t="s">
        <v>185</v>
      </c>
      <c r="N16395" t="str">
        <f>"20231078    "</f>
        <v xml:space="preserve">20231078    </v>
      </c>
      <c r="O16395">
        <v>230131</v>
      </c>
    </row>
    <row r="16396" spans="1:15" x14ac:dyDescent="0.25">
      <c r="A16396" t="s">
        <v>16</v>
      </c>
      <c r="B16396" t="s">
        <v>3221</v>
      </c>
      <c r="C16396">
        <v>6602</v>
      </c>
      <c r="D16396" t="s">
        <v>3692</v>
      </c>
      <c r="E16396" t="s">
        <v>782</v>
      </c>
      <c r="F16396">
        <v>350.73</v>
      </c>
      <c r="G16396">
        <v>230512</v>
      </c>
      <c r="H16396">
        <v>4390</v>
      </c>
      <c r="I16396" t="s">
        <v>98</v>
      </c>
      <c r="J16396">
        <v>434.9</v>
      </c>
      <c r="K16396">
        <v>84.17</v>
      </c>
      <c r="L16396">
        <v>69501</v>
      </c>
      <c r="M16396" t="s">
        <v>185</v>
      </c>
      <c r="N16396" t="str">
        <f>"2023290033  "</f>
        <v xml:space="preserve">2023290033  </v>
      </c>
      <c r="O16396">
        <v>230516</v>
      </c>
    </row>
    <row r="16397" spans="1:15" x14ac:dyDescent="0.25">
      <c r="A16397" t="s">
        <v>16</v>
      </c>
      <c r="B16397" t="s">
        <v>3221</v>
      </c>
      <c r="C16397">
        <v>2642</v>
      </c>
      <c r="D16397" t="s">
        <v>3692</v>
      </c>
      <c r="E16397" t="s">
        <v>782</v>
      </c>
      <c r="F16397">
        <v>191.02</v>
      </c>
      <c r="G16397">
        <v>230228</v>
      </c>
      <c r="H16397">
        <v>4590</v>
      </c>
      <c r="I16397" t="s">
        <v>203</v>
      </c>
      <c r="J16397">
        <v>236.86</v>
      </c>
      <c r="K16397">
        <v>45.84</v>
      </c>
      <c r="L16397">
        <v>59504</v>
      </c>
      <c r="M16397" t="s">
        <v>71</v>
      </c>
      <c r="N16397" t="str">
        <f>"20231156    "</f>
        <v xml:space="preserve">20231156    </v>
      </c>
      <c r="O16397">
        <v>230306</v>
      </c>
    </row>
    <row r="16398" spans="1:15" x14ac:dyDescent="0.25">
      <c r="A16398" t="s">
        <v>16</v>
      </c>
      <c r="B16398" t="s">
        <v>3221</v>
      </c>
      <c r="C16398">
        <v>5959</v>
      </c>
      <c r="D16398" t="s">
        <v>3692</v>
      </c>
      <c r="E16398" t="s">
        <v>782</v>
      </c>
      <c r="F16398">
        <v>60.52</v>
      </c>
      <c r="G16398">
        <v>230503</v>
      </c>
      <c r="H16398">
        <v>4590</v>
      </c>
      <c r="I16398" t="s">
        <v>203</v>
      </c>
      <c r="J16398">
        <v>75.040000000000006</v>
      </c>
      <c r="K16398">
        <v>14.52</v>
      </c>
      <c r="L16398">
        <v>59504</v>
      </c>
      <c r="M16398" t="s">
        <v>71</v>
      </c>
      <c r="N16398" t="str">
        <f>"2023290006  "</f>
        <v xml:space="preserve">2023290006  </v>
      </c>
      <c r="O16398">
        <v>230504</v>
      </c>
    </row>
    <row r="16399" spans="1:15" x14ac:dyDescent="0.25">
      <c r="A16399" t="s">
        <v>16</v>
      </c>
      <c r="B16399" t="s">
        <v>3221</v>
      </c>
      <c r="C16399">
        <v>8489</v>
      </c>
      <c r="D16399" t="s">
        <v>3692</v>
      </c>
      <c r="E16399" t="s">
        <v>782</v>
      </c>
      <c r="F16399">
        <v>81.569999999999993</v>
      </c>
      <c r="G16399">
        <v>230608</v>
      </c>
      <c r="H16399">
        <v>4590</v>
      </c>
      <c r="I16399" t="s">
        <v>203</v>
      </c>
      <c r="J16399">
        <v>101.15</v>
      </c>
      <c r="K16399">
        <v>19.579999999999998</v>
      </c>
      <c r="L16399">
        <v>59504</v>
      </c>
      <c r="M16399" t="s">
        <v>71</v>
      </c>
      <c r="N16399" t="str">
        <f>"2023290144  "</f>
        <v xml:space="preserve">2023290144  </v>
      </c>
      <c r="O16399">
        <v>230609</v>
      </c>
    </row>
    <row r="16400" spans="1:15" x14ac:dyDescent="0.25">
      <c r="A16400" t="s">
        <v>16</v>
      </c>
      <c r="B16400" t="s">
        <v>3221</v>
      </c>
      <c r="C16400">
        <v>12898</v>
      </c>
      <c r="D16400" t="s">
        <v>3692</v>
      </c>
      <c r="E16400" t="s">
        <v>782</v>
      </c>
      <c r="F16400">
        <v>3049.52</v>
      </c>
      <c r="G16400">
        <v>230925</v>
      </c>
      <c r="H16400">
        <v>4590</v>
      </c>
      <c r="I16400" t="s">
        <v>203</v>
      </c>
      <c r="J16400">
        <v>3781.4</v>
      </c>
      <c r="K16400">
        <v>731.88</v>
      </c>
      <c r="L16400">
        <v>59504</v>
      </c>
      <c r="M16400" t="s">
        <v>71</v>
      </c>
      <c r="N16400" t="str">
        <f>"2023290480  "</f>
        <v xml:space="preserve">2023290480  </v>
      </c>
      <c r="O16400">
        <v>230929</v>
      </c>
    </row>
    <row r="16401" spans="1:15" x14ac:dyDescent="0.25">
      <c r="A16401" t="s">
        <v>16</v>
      </c>
      <c r="B16401" t="s">
        <v>3221</v>
      </c>
      <c r="C16401">
        <v>1997</v>
      </c>
      <c r="D16401" t="s">
        <v>1253</v>
      </c>
      <c r="E16401" t="s">
        <v>1254</v>
      </c>
      <c r="F16401">
        <v>1842.01</v>
      </c>
      <c r="G16401">
        <v>230206</v>
      </c>
      <c r="H16401">
        <v>4571</v>
      </c>
      <c r="I16401" t="s">
        <v>181</v>
      </c>
      <c r="J16401">
        <v>2284.09</v>
      </c>
      <c r="K16401">
        <v>442.08</v>
      </c>
      <c r="L16401">
        <v>59502</v>
      </c>
      <c r="M16401" t="s">
        <v>70</v>
      </c>
      <c r="N16401" t="str">
        <f>"54301       "</f>
        <v xml:space="preserve">54301       </v>
      </c>
      <c r="O16401">
        <v>230217</v>
      </c>
    </row>
    <row r="16402" spans="1:15" x14ac:dyDescent="0.25">
      <c r="A16402" t="s">
        <v>16</v>
      </c>
      <c r="B16402" t="s">
        <v>3221</v>
      </c>
      <c r="C16402">
        <v>1997</v>
      </c>
      <c r="D16402" t="s">
        <v>1253</v>
      </c>
      <c r="E16402" t="s">
        <v>1254</v>
      </c>
      <c r="F16402">
        <v>3420.88</v>
      </c>
      <c r="G16402">
        <v>230206</v>
      </c>
      <c r="H16402">
        <v>4571</v>
      </c>
      <c r="I16402" t="s">
        <v>181</v>
      </c>
      <c r="J16402">
        <v>4241.8900000000003</v>
      </c>
      <c r="K16402">
        <v>821.01</v>
      </c>
      <c r="L16402">
        <v>59802</v>
      </c>
      <c r="M16402" t="s">
        <v>73</v>
      </c>
      <c r="N16402" t="str">
        <f>"54301       "</f>
        <v xml:space="preserve">54301       </v>
      </c>
      <c r="O16402">
        <v>230217</v>
      </c>
    </row>
    <row r="16403" spans="1:15" x14ac:dyDescent="0.25">
      <c r="A16403" t="s">
        <v>16</v>
      </c>
      <c r="B16403" t="s">
        <v>3221</v>
      </c>
      <c r="C16403">
        <v>1998</v>
      </c>
      <c r="D16403" t="s">
        <v>1253</v>
      </c>
      <c r="E16403" t="s">
        <v>1254</v>
      </c>
      <c r="F16403">
        <v>1392.47</v>
      </c>
      <c r="G16403">
        <v>230206</v>
      </c>
      <c r="H16403">
        <v>4571</v>
      </c>
      <c r="I16403" t="s">
        <v>181</v>
      </c>
      <c r="J16403">
        <v>1726.66</v>
      </c>
      <c r="K16403">
        <v>334.19</v>
      </c>
      <c r="L16403">
        <v>59111</v>
      </c>
      <c r="M16403" t="s">
        <v>1010</v>
      </c>
      <c r="N16403" t="str">
        <f>"54296       "</f>
        <v xml:space="preserve">54296       </v>
      </c>
      <c r="O16403">
        <v>230217</v>
      </c>
    </row>
    <row r="16404" spans="1:15" x14ac:dyDescent="0.25">
      <c r="A16404" t="s">
        <v>16</v>
      </c>
      <c r="B16404" t="s">
        <v>3221</v>
      </c>
      <c r="C16404">
        <v>1998</v>
      </c>
      <c r="D16404" t="s">
        <v>1253</v>
      </c>
      <c r="E16404" t="s">
        <v>1254</v>
      </c>
      <c r="F16404">
        <v>16013.36</v>
      </c>
      <c r="G16404">
        <v>230206</v>
      </c>
      <c r="H16404">
        <v>4571</v>
      </c>
      <c r="I16404" t="s">
        <v>181</v>
      </c>
      <c r="J16404">
        <v>19856.57</v>
      </c>
      <c r="K16404">
        <v>3843.21</v>
      </c>
      <c r="L16404">
        <v>59501</v>
      </c>
      <c r="M16404" t="s">
        <v>69</v>
      </c>
      <c r="N16404" t="str">
        <f>"54296       "</f>
        <v xml:space="preserve">54296       </v>
      </c>
      <c r="O16404">
        <v>230217</v>
      </c>
    </row>
    <row r="16405" spans="1:15" x14ac:dyDescent="0.25">
      <c r="A16405" t="s">
        <v>16</v>
      </c>
      <c r="B16405" t="s">
        <v>3221</v>
      </c>
      <c r="C16405">
        <v>1999</v>
      </c>
      <c r="D16405" t="s">
        <v>1253</v>
      </c>
      <c r="E16405" t="s">
        <v>1254</v>
      </c>
      <c r="F16405">
        <v>6225.26</v>
      </c>
      <c r="G16405">
        <v>230206</v>
      </c>
      <c r="H16405">
        <v>4571</v>
      </c>
      <c r="I16405" t="s">
        <v>181</v>
      </c>
      <c r="J16405">
        <v>7719.32</v>
      </c>
      <c r="K16405">
        <v>1494.06</v>
      </c>
      <c r="L16405">
        <v>59505</v>
      </c>
      <c r="M16405" t="s">
        <v>72</v>
      </c>
      <c r="N16405" t="str">
        <f>"54220       "</f>
        <v xml:space="preserve">54220       </v>
      </c>
      <c r="O16405">
        <v>230217</v>
      </c>
    </row>
    <row r="16406" spans="1:15" x14ac:dyDescent="0.25">
      <c r="A16406" t="s">
        <v>16</v>
      </c>
      <c r="B16406" t="s">
        <v>3221</v>
      </c>
      <c r="C16406">
        <v>1999</v>
      </c>
      <c r="D16406" t="s">
        <v>1253</v>
      </c>
      <c r="E16406" t="s">
        <v>1254</v>
      </c>
      <c r="F16406">
        <v>848.9</v>
      </c>
      <c r="G16406">
        <v>230206</v>
      </c>
      <c r="H16406">
        <v>4571</v>
      </c>
      <c r="I16406" t="s">
        <v>181</v>
      </c>
      <c r="J16406">
        <v>1052.6400000000001</v>
      </c>
      <c r="K16406">
        <v>203.74</v>
      </c>
      <c r="L16406">
        <v>59812</v>
      </c>
      <c r="M16406" t="s">
        <v>74</v>
      </c>
      <c r="N16406" t="str">
        <f>"54220       "</f>
        <v xml:space="preserve">54220       </v>
      </c>
      <c r="O16406">
        <v>230217</v>
      </c>
    </row>
    <row r="16407" spans="1:15" x14ac:dyDescent="0.25">
      <c r="A16407" t="s">
        <v>16</v>
      </c>
      <c r="B16407" t="s">
        <v>3221</v>
      </c>
      <c r="C16407">
        <v>2000</v>
      </c>
      <c r="D16407" t="s">
        <v>1253</v>
      </c>
      <c r="E16407" t="s">
        <v>1254</v>
      </c>
      <c r="F16407">
        <v>5194.26</v>
      </c>
      <c r="G16407">
        <v>230206</v>
      </c>
      <c r="H16407">
        <v>4571</v>
      </c>
      <c r="I16407" t="s">
        <v>181</v>
      </c>
      <c r="J16407">
        <v>6440.88</v>
      </c>
      <c r="K16407">
        <v>1246.6199999999999</v>
      </c>
      <c r="L16407">
        <v>59502</v>
      </c>
      <c r="M16407" t="s">
        <v>70</v>
      </c>
      <c r="N16407" t="str">
        <f>"54300       "</f>
        <v xml:space="preserve">54300       </v>
      </c>
      <c r="O16407">
        <v>230217</v>
      </c>
    </row>
    <row r="16408" spans="1:15" x14ac:dyDescent="0.25">
      <c r="A16408" t="s">
        <v>16</v>
      </c>
      <c r="B16408" t="s">
        <v>3221</v>
      </c>
      <c r="C16408">
        <v>2001</v>
      </c>
      <c r="D16408" t="s">
        <v>1253</v>
      </c>
      <c r="E16408" t="s">
        <v>1254</v>
      </c>
      <c r="F16408">
        <v>5530.92</v>
      </c>
      <c r="G16408">
        <v>230206</v>
      </c>
      <c r="H16408">
        <v>4571</v>
      </c>
      <c r="I16408" t="s">
        <v>181</v>
      </c>
      <c r="J16408">
        <v>6858.34</v>
      </c>
      <c r="K16408">
        <v>1327.42</v>
      </c>
      <c r="L16408">
        <v>59501</v>
      </c>
      <c r="M16408" t="s">
        <v>69</v>
      </c>
      <c r="N16408" t="str">
        <f>"54305       "</f>
        <v xml:space="preserve">54305       </v>
      </c>
      <c r="O16408">
        <v>230217</v>
      </c>
    </row>
    <row r="16409" spans="1:15" x14ac:dyDescent="0.25">
      <c r="A16409" t="s">
        <v>16</v>
      </c>
      <c r="B16409" t="s">
        <v>3221</v>
      </c>
      <c r="C16409">
        <v>2006</v>
      </c>
      <c r="D16409" t="s">
        <v>1253</v>
      </c>
      <c r="E16409" t="s">
        <v>1254</v>
      </c>
      <c r="F16409">
        <v>6060.06</v>
      </c>
      <c r="G16409">
        <v>230206</v>
      </c>
      <c r="H16409">
        <v>4571</v>
      </c>
      <c r="I16409" t="s">
        <v>181</v>
      </c>
      <c r="J16409">
        <v>7514.47</v>
      </c>
      <c r="K16409">
        <v>1454.41</v>
      </c>
      <c r="L16409">
        <v>59501</v>
      </c>
      <c r="M16409" t="s">
        <v>69</v>
      </c>
      <c r="N16409" t="str">
        <f>"54297       "</f>
        <v xml:space="preserve">54297       </v>
      </c>
      <c r="O16409">
        <v>230217</v>
      </c>
    </row>
    <row r="16410" spans="1:15" x14ac:dyDescent="0.25">
      <c r="A16410" t="s">
        <v>16</v>
      </c>
      <c r="B16410" t="s">
        <v>3221</v>
      </c>
      <c r="C16410">
        <v>3138</v>
      </c>
      <c r="D16410" t="s">
        <v>1253</v>
      </c>
      <c r="E16410" t="s">
        <v>1254</v>
      </c>
      <c r="F16410">
        <v>5709.66</v>
      </c>
      <c r="G16410">
        <v>230308</v>
      </c>
      <c r="H16410">
        <v>4571</v>
      </c>
      <c r="I16410" t="s">
        <v>181</v>
      </c>
      <c r="J16410">
        <v>7079.98</v>
      </c>
      <c r="K16410">
        <v>1370.32</v>
      </c>
      <c r="L16410">
        <v>59501</v>
      </c>
      <c r="M16410" t="s">
        <v>69</v>
      </c>
      <c r="N16410" t="str">
        <f>"54487       "</f>
        <v xml:space="preserve">54487       </v>
      </c>
      <c r="O16410">
        <v>230309</v>
      </c>
    </row>
    <row r="16411" spans="1:15" x14ac:dyDescent="0.25">
      <c r="A16411" t="s">
        <v>16</v>
      </c>
      <c r="B16411" t="s">
        <v>3221</v>
      </c>
      <c r="C16411">
        <v>3139</v>
      </c>
      <c r="D16411" t="s">
        <v>1253</v>
      </c>
      <c r="E16411" t="s">
        <v>1254</v>
      </c>
      <c r="F16411">
        <v>1769.77</v>
      </c>
      <c r="G16411">
        <v>230308</v>
      </c>
      <c r="H16411">
        <v>4571</v>
      </c>
      <c r="I16411" t="s">
        <v>181</v>
      </c>
      <c r="J16411">
        <v>2194.5100000000002</v>
      </c>
      <c r="K16411">
        <v>424.74</v>
      </c>
      <c r="L16411">
        <v>59502</v>
      </c>
      <c r="M16411" t="s">
        <v>70</v>
      </c>
      <c r="N16411" t="str">
        <f>"54491       "</f>
        <v xml:space="preserve">54491       </v>
      </c>
      <c r="O16411">
        <v>230309</v>
      </c>
    </row>
    <row r="16412" spans="1:15" x14ac:dyDescent="0.25">
      <c r="A16412" t="s">
        <v>16</v>
      </c>
      <c r="B16412" t="s">
        <v>3221</v>
      </c>
      <c r="C16412">
        <v>3139</v>
      </c>
      <c r="D16412" t="s">
        <v>1253</v>
      </c>
      <c r="E16412" t="s">
        <v>1254</v>
      </c>
      <c r="F16412">
        <v>3286.72</v>
      </c>
      <c r="G16412">
        <v>230308</v>
      </c>
      <c r="H16412">
        <v>4571</v>
      </c>
      <c r="I16412" t="s">
        <v>181</v>
      </c>
      <c r="J16412">
        <v>4075.53</v>
      </c>
      <c r="K16412">
        <v>788.81</v>
      </c>
      <c r="L16412">
        <v>59802</v>
      </c>
      <c r="M16412" t="s">
        <v>73</v>
      </c>
      <c r="N16412" t="str">
        <f>"54491       "</f>
        <v xml:space="preserve">54491       </v>
      </c>
      <c r="O16412">
        <v>230309</v>
      </c>
    </row>
    <row r="16413" spans="1:15" x14ac:dyDescent="0.25">
      <c r="A16413" t="s">
        <v>16</v>
      </c>
      <c r="B16413" t="s">
        <v>3221</v>
      </c>
      <c r="C16413">
        <v>3140</v>
      </c>
      <c r="D16413" t="s">
        <v>1253</v>
      </c>
      <c r="E16413" t="s">
        <v>1254</v>
      </c>
      <c r="F16413">
        <v>5941.2</v>
      </c>
      <c r="G16413">
        <v>230308</v>
      </c>
      <c r="H16413">
        <v>4571</v>
      </c>
      <c r="I16413" t="s">
        <v>181</v>
      </c>
      <c r="J16413">
        <v>7367.09</v>
      </c>
      <c r="K16413">
        <v>1425.89</v>
      </c>
      <c r="L16413">
        <v>59505</v>
      </c>
      <c r="M16413" t="s">
        <v>72</v>
      </c>
      <c r="N16413" t="str">
        <f>"54410       "</f>
        <v xml:space="preserve">54410       </v>
      </c>
      <c r="O16413">
        <v>230309</v>
      </c>
    </row>
    <row r="16414" spans="1:15" x14ac:dyDescent="0.25">
      <c r="A16414" t="s">
        <v>16</v>
      </c>
      <c r="B16414" t="s">
        <v>3221</v>
      </c>
      <c r="C16414">
        <v>3140</v>
      </c>
      <c r="D16414" t="s">
        <v>1253</v>
      </c>
      <c r="E16414" t="s">
        <v>1254</v>
      </c>
      <c r="F16414">
        <v>810.16</v>
      </c>
      <c r="G16414">
        <v>230308</v>
      </c>
      <c r="H16414">
        <v>4571</v>
      </c>
      <c r="I16414" t="s">
        <v>181</v>
      </c>
      <c r="J16414">
        <v>1004.6</v>
      </c>
      <c r="K16414">
        <v>194.44</v>
      </c>
      <c r="L16414">
        <v>59812</v>
      </c>
      <c r="M16414" t="s">
        <v>74</v>
      </c>
      <c r="N16414" t="str">
        <f>"54410       "</f>
        <v xml:space="preserve">54410       </v>
      </c>
      <c r="O16414">
        <v>230309</v>
      </c>
    </row>
    <row r="16415" spans="1:15" x14ac:dyDescent="0.25">
      <c r="A16415" t="s">
        <v>16</v>
      </c>
      <c r="B16415" t="s">
        <v>3221</v>
      </c>
      <c r="C16415">
        <v>3141</v>
      </c>
      <c r="D16415" t="s">
        <v>1253</v>
      </c>
      <c r="E16415" t="s">
        <v>1254</v>
      </c>
      <c r="F16415">
        <v>4631.5200000000004</v>
      </c>
      <c r="G16415">
        <v>230308</v>
      </c>
      <c r="H16415">
        <v>4571</v>
      </c>
      <c r="I16415" t="s">
        <v>181</v>
      </c>
      <c r="J16415">
        <v>5743.08</v>
      </c>
      <c r="K16415">
        <v>1111.56</v>
      </c>
      <c r="L16415">
        <v>59501</v>
      </c>
      <c r="M16415" t="s">
        <v>69</v>
      </c>
      <c r="N16415" t="str">
        <f>"54493       "</f>
        <v xml:space="preserve">54493       </v>
      </c>
      <c r="O16415">
        <v>230309</v>
      </c>
    </row>
    <row r="16416" spans="1:15" x14ac:dyDescent="0.25">
      <c r="A16416" t="s">
        <v>16</v>
      </c>
      <c r="B16416" t="s">
        <v>3221</v>
      </c>
      <c r="C16416">
        <v>3143</v>
      </c>
      <c r="D16416" t="s">
        <v>1253</v>
      </c>
      <c r="E16416" t="s">
        <v>1254</v>
      </c>
      <c r="F16416">
        <v>1331.07</v>
      </c>
      <c r="G16416">
        <v>230308</v>
      </c>
      <c r="H16416">
        <v>4571</v>
      </c>
      <c r="I16416" t="s">
        <v>181</v>
      </c>
      <c r="J16416">
        <v>1650.53</v>
      </c>
      <c r="K16416">
        <v>319.45999999999998</v>
      </c>
      <c r="L16416">
        <v>59111</v>
      </c>
      <c r="M16416" t="s">
        <v>1010</v>
      </c>
      <c r="N16416" t="str">
        <f>"54486       "</f>
        <v xml:space="preserve">54486       </v>
      </c>
      <c r="O16416">
        <v>230309</v>
      </c>
    </row>
    <row r="16417" spans="1:15" x14ac:dyDescent="0.25">
      <c r="A16417" t="s">
        <v>16</v>
      </c>
      <c r="B16417" t="s">
        <v>3221</v>
      </c>
      <c r="C16417">
        <v>3143</v>
      </c>
      <c r="D16417" t="s">
        <v>1253</v>
      </c>
      <c r="E16417" t="s">
        <v>1254</v>
      </c>
      <c r="F16417">
        <v>15307.36</v>
      </c>
      <c r="G16417">
        <v>230308</v>
      </c>
      <c r="H16417">
        <v>4571</v>
      </c>
      <c r="I16417" t="s">
        <v>181</v>
      </c>
      <c r="J16417">
        <v>18981.13</v>
      </c>
      <c r="K16417">
        <v>3673.77</v>
      </c>
      <c r="L16417">
        <v>59501</v>
      </c>
      <c r="M16417" t="s">
        <v>69</v>
      </c>
      <c r="N16417" t="str">
        <f>"54486       "</f>
        <v xml:space="preserve">54486       </v>
      </c>
      <c r="O16417">
        <v>230309</v>
      </c>
    </row>
    <row r="16418" spans="1:15" x14ac:dyDescent="0.25">
      <c r="A16418" t="s">
        <v>16</v>
      </c>
      <c r="B16418" t="s">
        <v>3221</v>
      </c>
      <c r="C16418">
        <v>3144</v>
      </c>
      <c r="D16418" t="s">
        <v>1253</v>
      </c>
      <c r="E16418" t="s">
        <v>1254</v>
      </c>
      <c r="F16418">
        <v>5160.66</v>
      </c>
      <c r="G16418">
        <v>230308</v>
      </c>
      <c r="H16418">
        <v>4571</v>
      </c>
      <c r="I16418" t="s">
        <v>181</v>
      </c>
      <c r="J16418">
        <v>6399.22</v>
      </c>
      <c r="K16418">
        <v>1238.56</v>
      </c>
      <c r="L16418">
        <v>59502</v>
      </c>
      <c r="M16418" t="s">
        <v>70</v>
      </c>
      <c r="N16418" t="str">
        <f>"54490       "</f>
        <v xml:space="preserve">54490       </v>
      </c>
      <c r="O16418">
        <v>230309</v>
      </c>
    </row>
    <row r="16419" spans="1:15" x14ac:dyDescent="0.25">
      <c r="A16419" t="s">
        <v>16</v>
      </c>
      <c r="B16419" t="s">
        <v>3221</v>
      </c>
      <c r="C16419">
        <v>4483</v>
      </c>
      <c r="D16419" t="s">
        <v>1253</v>
      </c>
      <c r="E16419" t="s">
        <v>1254</v>
      </c>
      <c r="F16419">
        <v>1387.23</v>
      </c>
      <c r="G16419">
        <v>230405</v>
      </c>
      <c r="H16419">
        <v>4571</v>
      </c>
      <c r="I16419" t="s">
        <v>181</v>
      </c>
      <c r="J16419">
        <v>1720.17</v>
      </c>
      <c r="K16419">
        <v>332.94</v>
      </c>
      <c r="L16419">
        <v>59111</v>
      </c>
      <c r="M16419" t="s">
        <v>1010</v>
      </c>
      <c r="N16419" t="str">
        <f>"54677       "</f>
        <v xml:space="preserve">54677       </v>
      </c>
      <c r="O16419">
        <v>230406</v>
      </c>
    </row>
    <row r="16420" spans="1:15" x14ac:dyDescent="0.25">
      <c r="A16420" t="s">
        <v>16</v>
      </c>
      <c r="B16420" t="s">
        <v>3221</v>
      </c>
      <c r="C16420">
        <v>4483</v>
      </c>
      <c r="D16420" t="s">
        <v>1253</v>
      </c>
      <c r="E16420" t="s">
        <v>1254</v>
      </c>
      <c r="F16420">
        <v>15953.2</v>
      </c>
      <c r="G16420">
        <v>230405</v>
      </c>
      <c r="H16420">
        <v>4571</v>
      </c>
      <c r="I16420" t="s">
        <v>181</v>
      </c>
      <c r="J16420">
        <v>19781.97</v>
      </c>
      <c r="K16420">
        <v>3828.77</v>
      </c>
      <c r="L16420">
        <v>59501</v>
      </c>
      <c r="M16420" t="s">
        <v>69</v>
      </c>
      <c r="N16420" t="str">
        <f>"54677       "</f>
        <v xml:space="preserve">54677       </v>
      </c>
      <c r="O16420">
        <v>230406</v>
      </c>
    </row>
    <row r="16421" spans="1:15" x14ac:dyDescent="0.25">
      <c r="A16421" t="s">
        <v>16</v>
      </c>
      <c r="B16421" t="s">
        <v>3221</v>
      </c>
      <c r="C16421">
        <v>4484</v>
      </c>
      <c r="D16421" t="s">
        <v>1253</v>
      </c>
      <c r="E16421" t="s">
        <v>1254</v>
      </c>
      <c r="F16421">
        <v>5489.46</v>
      </c>
      <c r="G16421">
        <v>230405</v>
      </c>
      <c r="H16421">
        <v>4571</v>
      </c>
      <c r="I16421" t="s">
        <v>181</v>
      </c>
      <c r="J16421">
        <v>6806.93</v>
      </c>
      <c r="K16421">
        <v>1317.47</v>
      </c>
      <c r="L16421">
        <v>59501</v>
      </c>
      <c r="M16421" t="s">
        <v>69</v>
      </c>
      <c r="N16421" t="str">
        <f>"54678       "</f>
        <v xml:space="preserve">54678       </v>
      </c>
      <c r="O16421">
        <v>230406</v>
      </c>
    </row>
    <row r="16422" spans="1:15" x14ac:dyDescent="0.25">
      <c r="A16422" t="s">
        <v>16</v>
      </c>
      <c r="B16422" t="s">
        <v>3221</v>
      </c>
      <c r="C16422">
        <v>4486</v>
      </c>
      <c r="D16422" t="s">
        <v>1253</v>
      </c>
      <c r="E16422" t="s">
        <v>1254</v>
      </c>
      <c r="F16422">
        <v>6196.75</v>
      </c>
      <c r="G16422">
        <v>230405</v>
      </c>
      <c r="H16422">
        <v>4571</v>
      </c>
      <c r="I16422" t="s">
        <v>181</v>
      </c>
      <c r="J16422">
        <v>7683.97</v>
      </c>
      <c r="K16422">
        <v>1487.22</v>
      </c>
      <c r="L16422">
        <v>59505</v>
      </c>
      <c r="M16422" t="s">
        <v>72</v>
      </c>
      <c r="N16422" t="str">
        <f>"54600       "</f>
        <v xml:space="preserve">54600       </v>
      </c>
      <c r="O16422">
        <v>230406</v>
      </c>
    </row>
    <row r="16423" spans="1:15" x14ac:dyDescent="0.25">
      <c r="A16423" t="s">
        <v>16</v>
      </c>
      <c r="B16423" t="s">
        <v>3221</v>
      </c>
      <c r="C16423">
        <v>4486</v>
      </c>
      <c r="D16423" t="s">
        <v>1253</v>
      </c>
      <c r="E16423" t="s">
        <v>1254</v>
      </c>
      <c r="F16423">
        <v>845.01</v>
      </c>
      <c r="G16423">
        <v>230405</v>
      </c>
      <c r="H16423">
        <v>4571</v>
      </c>
      <c r="I16423" t="s">
        <v>181</v>
      </c>
      <c r="J16423">
        <v>1047.81</v>
      </c>
      <c r="K16423">
        <v>202.8</v>
      </c>
      <c r="L16423">
        <v>59812</v>
      </c>
      <c r="M16423" t="s">
        <v>74</v>
      </c>
      <c r="N16423" t="str">
        <f>"54600       "</f>
        <v xml:space="preserve">54600       </v>
      </c>
      <c r="O16423">
        <v>230406</v>
      </c>
    </row>
    <row r="16424" spans="1:15" x14ac:dyDescent="0.25">
      <c r="A16424" t="s">
        <v>16</v>
      </c>
      <c r="B16424" t="s">
        <v>3221</v>
      </c>
      <c r="C16424">
        <v>4487</v>
      </c>
      <c r="D16424" t="s">
        <v>1253</v>
      </c>
      <c r="E16424" t="s">
        <v>1254</v>
      </c>
      <c r="F16424">
        <v>5323.26</v>
      </c>
      <c r="G16424">
        <v>230405</v>
      </c>
      <c r="H16424">
        <v>4571</v>
      </c>
      <c r="I16424" t="s">
        <v>181</v>
      </c>
      <c r="J16424">
        <v>6600.84</v>
      </c>
      <c r="K16424">
        <v>1277.58</v>
      </c>
      <c r="L16424">
        <v>59502</v>
      </c>
      <c r="M16424" t="s">
        <v>70</v>
      </c>
      <c r="N16424" t="str">
        <f>"54681       "</f>
        <v xml:space="preserve">54681       </v>
      </c>
      <c r="O16424">
        <v>230406</v>
      </c>
    </row>
    <row r="16425" spans="1:15" x14ac:dyDescent="0.25">
      <c r="A16425" t="s">
        <v>16</v>
      </c>
      <c r="B16425" t="s">
        <v>3221</v>
      </c>
      <c r="C16425">
        <v>4488</v>
      </c>
      <c r="D16425" t="s">
        <v>1253</v>
      </c>
      <c r="E16425" t="s">
        <v>1254</v>
      </c>
      <c r="F16425">
        <v>1859.23</v>
      </c>
      <c r="G16425">
        <v>230405</v>
      </c>
      <c r="H16425">
        <v>4571</v>
      </c>
      <c r="I16425" t="s">
        <v>181</v>
      </c>
      <c r="J16425">
        <v>2305.4499999999998</v>
      </c>
      <c r="K16425">
        <v>446.22</v>
      </c>
      <c r="L16425">
        <v>59502</v>
      </c>
      <c r="M16425" t="s">
        <v>70</v>
      </c>
      <c r="N16425" t="str">
        <f>"54682       "</f>
        <v xml:space="preserve">54682       </v>
      </c>
      <c r="O16425">
        <v>230406</v>
      </c>
    </row>
    <row r="16426" spans="1:15" x14ac:dyDescent="0.25">
      <c r="A16426" t="s">
        <v>16</v>
      </c>
      <c r="B16426" t="s">
        <v>3221</v>
      </c>
      <c r="C16426">
        <v>4488</v>
      </c>
      <c r="D16426" t="s">
        <v>1253</v>
      </c>
      <c r="E16426" t="s">
        <v>1254</v>
      </c>
      <c r="F16426">
        <v>3452.85</v>
      </c>
      <c r="G16426">
        <v>230405</v>
      </c>
      <c r="H16426">
        <v>4571</v>
      </c>
      <c r="I16426" t="s">
        <v>181</v>
      </c>
      <c r="J16426">
        <v>4281.54</v>
      </c>
      <c r="K16426">
        <v>828.69</v>
      </c>
      <c r="L16426">
        <v>59802</v>
      </c>
      <c r="M16426" t="s">
        <v>73</v>
      </c>
      <c r="N16426" t="str">
        <f>"54682       "</f>
        <v xml:space="preserve">54682       </v>
      </c>
      <c r="O16426">
        <v>230406</v>
      </c>
    </row>
    <row r="16427" spans="1:15" x14ac:dyDescent="0.25">
      <c r="A16427" t="s">
        <v>16</v>
      </c>
      <c r="B16427" t="s">
        <v>3221</v>
      </c>
      <c r="C16427">
        <v>4489</v>
      </c>
      <c r="D16427" t="s">
        <v>1253</v>
      </c>
      <c r="E16427" t="s">
        <v>1254</v>
      </c>
      <c r="F16427">
        <v>238.67</v>
      </c>
      <c r="G16427">
        <v>230405</v>
      </c>
      <c r="H16427">
        <v>4571</v>
      </c>
      <c r="I16427" t="s">
        <v>181</v>
      </c>
      <c r="J16427">
        <v>295.95</v>
      </c>
      <c r="K16427">
        <v>57.28</v>
      </c>
      <c r="L16427">
        <v>59111</v>
      </c>
      <c r="M16427" t="s">
        <v>1010</v>
      </c>
      <c r="N16427" t="str">
        <f>"54684       "</f>
        <v xml:space="preserve">54684       </v>
      </c>
      <c r="O16427">
        <v>230406</v>
      </c>
    </row>
    <row r="16428" spans="1:15" x14ac:dyDescent="0.25">
      <c r="A16428" t="s">
        <v>16</v>
      </c>
      <c r="B16428" t="s">
        <v>3221</v>
      </c>
      <c r="C16428">
        <v>4489</v>
      </c>
      <c r="D16428" t="s">
        <v>1253</v>
      </c>
      <c r="E16428" t="s">
        <v>1254</v>
      </c>
      <c r="F16428">
        <v>2744.65</v>
      </c>
      <c r="G16428">
        <v>230405</v>
      </c>
      <c r="H16428">
        <v>4571</v>
      </c>
      <c r="I16428" t="s">
        <v>181</v>
      </c>
      <c r="J16428">
        <v>3403.37</v>
      </c>
      <c r="K16428">
        <v>658.72</v>
      </c>
      <c r="L16428">
        <v>59501</v>
      </c>
      <c r="M16428" t="s">
        <v>69</v>
      </c>
      <c r="N16428" t="str">
        <f>"54684       "</f>
        <v xml:space="preserve">54684       </v>
      </c>
      <c r="O16428">
        <v>230406</v>
      </c>
    </row>
    <row r="16429" spans="1:15" x14ac:dyDescent="0.25">
      <c r="A16429" t="s">
        <v>16</v>
      </c>
      <c r="B16429" t="s">
        <v>3221</v>
      </c>
      <c r="C16429">
        <v>6468</v>
      </c>
      <c r="D16429" t="s">
        <v>1253</v>
      </c>
      <c r="E16429" t="s">
        <v>1254</v>
      </c>
      <c r="F16429">
        <v>4182.43</v>
      </c>
      <c r="G16429">
        <v>230510</v>
      </c>
      <c r="H16429">
        <v>4571</v>
      </c>
      <c r="I16429" t="s">
        <v>181</v>
      </c>
      <c r="J16429">
        <v>5186.21</v>
      </c>
      <c r="K16429">
        <v>1003.78</v>
      </c>
      <c r="L16429">
        <v>59505</v>
      </c>
      <c r="M16429" t="s">
        <v>72</v>
      </c>
      <c r="N16429" t="str">
        <f>"54789       "</f>
        <v xml:space="preserve">54789       </v>
      </c>
      <c r="O16429">
        <v>230512</v>
      </c>
    </row>
    <row r="16430" spans="1:15" x14ac:dyDescent="0.25">
      <c r="A16430" t="s">
        <v>16</v>
      </c>
      <c r="B16430" t="s">
        <v>3221</v>
      </c>
      <c r="C16430">
        <v>6468</v>
      </c>
      <c r="D16430" t="s">
        <v>1253</v>
      </c>
      <c r="E16430" t="s">
        <v>1254</v>
      </c>
      <c r="F16430">
        <v>570.33000000000004</v>
      </c>
      <c r="G16430">
        <v>230510</v>
      </c>
      <c r="H16430">
        <v>4571</v>
      </c>
      <c r="I16430" t="s">
        <v>181</v>
      </c>
      <c r="J16430">
        <v>707.21</v>
      </c>
      <c r="K16430">
        <v>136.88</v>
      </c>
      <c r="L16430">
        <v>59812</v>
      </c>
      <c r="M16430" t="s">
        <v>74</v>
      </c>
      <c r="N16430" t="str">
        <f>"54789       "</f>
        <v xml:space="preserve">54789       </v>
      </c>
      <c r="O16430">
        <v>230512</v>
      </c>
    </row>
    <row r="16431" spans="1:15" x14ac:dyDescent="0.25">
      <c r="A16431" t="s">
        <v>16</v>
      </c>
      <c r="B16431" t="s">
        <v>3221</v>
      </c>
      <c r="C16431">
        <v>6469</v>
      </c>
      <c r="D16431" t="s">
        <v>1253</v>
      </c>
      <c r="E16431" t="s">
        <v>1254</v>
      </c>
      <c r="F16431">
        <v>3869.46</v>
      </c>
      <c r="G16431">
        <v>230510</v>
      </c>
      <c r="H16431">
        <v>4571</v>
      </c>
      <c r="I16431" t="s">
        <v>181</v>
      </c>
      <c r="J16431">
        <v>4798.13</v>
      </c>
      <c r="K16431">
        <v>928.67</v>
      </c>
      <c r="L16431">
        <v>59502</v>
      </c>
      <c r="M16431" t="s">
        <v>70</v>
      </c>
      <c r="N16431" t="str">
        <f>"54870       "</f>
        <v xml:space="preserve">54870       </v>
      </c>
      <c r="O16431">
        <v>230512</v>
      </c>
    </row>
    <row r="16432" spans="1:15" x14ac:dyDescent="0.25">
      <c r="A16432" t="s">
        <v>16</v>
      </c>
      <c r="B16432" t="s">
        <v>3221</v>
      </c>
      <c r="C16432">
        <v>6473</v>
      </c>
      <c r="D16432" t="s">
        <v>1253</v>
      </c>
      <c r="E16432" t="s">
        <v>1254</v>
      </c>
      <c r="F16432">
        <v>980.24</v>
      </c>
      <c r="G16432">
        <v>230510</v>
      </c>
      <c r="H16432">
        <v>4571</v>
      </c>
      <c r="I16432" t="s">
        <v>181</v>
      </c>
      <c r="J16432">
        <v>1215.5</v>
      </c>
      <c r="K16432">
        <v>235.26</v>
      </c>
      <c r="L16432">
        <v>59111</v>
      </c>
      <c r="M16432" t="s">
        <v>1010</v>
      </c>
      <c r="N16432" t="str">
        <f>"54866       "</f>
        <v xml:space="preserve">54866       </v>
      </c>
      <c r="O16432">
        <v>230512</v>
      </c>
    </row>
    <row r="16433" spans="1:15" x14ac:dyDescent="0.25">
      <c r="A16433" t="s">
        <v>16</v>
      </c>
      <c r="B16433" t="s">
        <v>3221</v>
      </c>
      <c r="C16433">
        <v>6473</v>
      </c>
      <c r="D16433" t="s">
        <v>1253</v>
      </c>
      <c r="E16433" t="s">
        <v>1254</v>
      </c>
      <c r="F16433">
        <v>11272.79</v>
      </c>
      <c r="G16433">
        <v>230510</v>
      </c>
      <c r="H16433">
        <v>4571</v>
      </c>
      <c r="I16433" t="s">
        <v>181</v>
      </c>
      <c r="J16433">
        <v>13978.26</v>
      </c>
      <c r="K16433">
        <v>2705.47</v>
      </c>
      <c r="L16433">
        <v>59501</v>
      </c>
      <c r="M16433" t="s">
        <v>69</v>
      </c>
      <c r="N16433" t="str">
        <f>"54866       "</f>
        <v xml:space="preserve">54866       </v>
      </c>
      <c r="O16433">
        <v>230512</v>
      </c>
    </row>
    <row r="16434" spans="1:15" x14ac:dyDescent="0.25">
      <c r="A16434" t="s">
        <v>16</v>
      </c>
      <c r="B16434" t="s">
        <v>3221</v>
      </c>
      <c r="C16434">
        <v>6474</v>
      </c>
      <c r="D16434" t="s">
        <v>1253</v>
      </c>
      <c r="E16434" t="s">
        <v>1254</v>
      </c>
      <c r="F16434">
        <v>4005.66</v>
      </c>
      <c r="G16434">
        <v>230510</v>
      </c>
      <c r="H16434">
        <v>4571</v>
      </c>
      <c r="I16434" t="s">
        <v>181</v>
      </c>
      <c r="J16434">
        <v>4967.0200000000004</v>
      </c>
      <c r="K16434">
        <v>961.36</v>
      </c>
      <c r="L16434">
        <v>59501</v>
      </c>
      <c r="M16434" t="s">
        <v>69</v>
      </c>
      <c r="N16434" t="str">
        <f>"54867       "</f>
        <v xml:space="preserve">54867       </v>
      </c>
      <c r="O16434">
        <v>230512</v>
      </c>
    </row>
    <row r="16435" spans="1:15" x14ac:dyDescent="0.25">
      <c r="A16435" t="s">
        <v>16</v>
      </c>
      <c r="B16435" t="s">
        <v>3221</v>
      </c>
      <c r="C16435">
        <v>6475</v>
      </c>
      <c r="D16435" t="s">
        <v>1253</v>
      </c>
      <c r="E16435" t="s">
        <v>1254</v>
      </c>
      <c r="F16435">
        <v>1344.94</v>
      </c>
      <c r="G16435">
        <v>230510</v>
      </c>
      <c r="H16435">
        <v>4571</v>
      </c>
      <c r="I16435" t="s">
        <v>181</v>
      </c>
      <c r="J16435">
        <v>1667.73</v>
      </c>
      <c r="K16435">
        <v>322.79000000000002</v>
      </c>
      <c r="L16435">
        <v>59502</v>
      </c>
      <c r="M16435" t="s">
        <v>70</v>
      </c>
      <c r="N16435" t="str">
        <f>"54871       "</f>
        <v xml:space="preserve">54871       </v>
      </c>
      <c r="O16435">
        <v>230512</v>
      </c>
    </row>
    <row r="16436" spans="1:15" x14ac:dyDescent="0.25">
      <c r="A16436" t="s">
        <v>16</v>
      </c>
      <c r="B16436" t="s">
        <v>3221</v>
      </c>
      <c r="C16436">
        <v>6475</v>
      </c>
      <c r="D16436" t="s">
        <v>1253</v>
      </c>
      <c r="E16436" t="s">
        <v>1254</v>
      </c>
      <c r="F16436">
        <v>2497.7399999999998</v>
      </c>
      <c r="G16436">
        <v>230510</v>
      </c>
      <c r="H16436">
        <v>4571</v>
      </c>
      <c r="I16436" t="s">
        <v>181</v>
      </c>
      <c r="J16436">
        <v>3097.2</v>
      </c>
      <c r="K16436">
        <v>599.46</v>
      </c>
      <c r="L16436">
        <v>59802</v>
      </c>
      <c r="M16436" t="s">
        <v>73</v>
      </c>
      <c r="N16436" t="str">
        <f>"54871       "</f>
        <v xml:space="preserve">54871       </v>
      </c>
      <c r="O16436">
        <v>230512</v>
      </c>
    </row>
    <row r="16437" spans="1:15" x14ac:dyDescent="0.25">
      <c r="A16437" t="s">
        <v>16</v>
      </c>
      <c r="B16437" t="s">
        <v>3221</v>
      </c>
      <c r="C16437">
        <v>6476</v>
      </c>
      <c r="D16437" t="s">
        <v>1253</v>
      </c>
      <c r="E16437" t="s">
        <v>1254</v>
      </c>
      <c r="F16437">
        <v>2124.7199999999998</v>
      </c>
      <c r="G16437">
        <v>230510</v>
      </c>
      <c r="H16437">
        <v>4571</v>
      </c>
      <c r="I16437" t="s">
        <v>181</v>
      </c>
      <c r="J16437">
        <v>2634.65</v>
      </c>
      <c r="K16437">
        <v>509.93</v>
      </c>
      <c r="L16437">
        <v>59501</v>
      </c>
      <c r="M16437" t="s">
        <v>69</v>
      </c>
      <c r="N16437" t="str">
        <f>"54873       "</f>
        <v xml:space="preserve">54873       </v>
      </c>
      <c r="O16437">
        <v>230512</v>
      </c>
    </row>
    <row r="16438" spans="1:15" x14ac:dyDescent="0.25">
      <c r="A16438" t="s">
        <v>16</v>
      </c>
      <c r="B16438" t="s">
        <v>3221</v>
      </c>
      <c r="C16438">
        <v>8380</v>
      </c>
      <c r="D16438" t="s">
        <v>1253</v>
      </c>
      <c r="E16438" t="s">
        <v>1254</v>
      </c>
      <c r="F16438">
        <v>3018.06</v>
      </c>
      <c r="G16438">
        <v>230607</v>
      </c>
      <c r="H16438">
        <v>4571</v>
      </c>
      <c r="I16438" t="s">
        <v>181</v>
      </c>
      <c r="J16438">
        <v>3742.39</v>
      </c>
      <c r="K16438">
        <v>724.33</v>
      </c>
      <c r="L16438">
        <v>59502</v>
      </c>
      <c r="M16438" t="s">
        <v>70</v>
      </c>
      <c r="N16438" t="str">
        <f>"55060       "</f>
        <v xml:space="preserve">55060       </v>
      </c>
      <c r="O16438">
        <v>230608</v>
      </c>
    </row>
    <row r="16439" spans="1:15" x14ac:dyDescent="0.25">
      <c r="A16439" t="s">
        <v>16</v>
      </c>
      <c r="B16439" t="s">
        <v>3221</v>
      </c>
      <c r="C16439">
        <v>8381</v>
      </c>
      <c r="D16439" t="s">
        <v>1253</v>
      </c>
      <c r="E16439" t="s">
        <v>1254</v>
      </c>
      <c r="F16439">
        <v>2247.12</v>
      </c>
      <c r="G16439">
        <v>230607</v>
      </c>
      <c r="H16439">
        <v>4571</v>
      </c>
      <c r="I16439" t="s">
        <v>181</v>
      </c>
      <c r="J16439">
        <v>2786.43</v>
      </c>
      <c r="K16439">
        <v>539.30999999999995</v>
      </c>
      <c r="L16439">
        <v>59501</v>
      </c>
      <c r="M16439" t="s">
        <v>69</v>
      </c>
      <c r="N16439" t="str">
        <f>"55063       "</f>
        <v xml:space="preserve">55063       </v>
      </c>
      <c r="O16439">
        <v>230608</v>
      </c>
    </row>
    <row r="16440" spans="1:15" x14ac:dyDescent="0.25">
      <c r="A16440" t="s">
        <v>16</v>
      </c>
      <c r="B16440" t="s">
        <v>3221</v>
      </c>
      <c r="C16440">
        <v>8382</v>
      </c>
      <c r="D16440" t="s">
        <v>1253</v>
      </c>
      <c r="E16440" t="s">
        <v>1254</v>
      </c>
      <c r="F16440">
        <v>2861.38</v>
      </c>
      <c r="G16440">
        <v>230607</v>
      </c>
      <c r="H16440">
        <v>4571</v>
      </c>
      <c r="I16440" t="s">
        <v>181</v>
      </c>
      <c r="J16440">
        <v>3548.11</v>
      </c>
      <c r="K16440">
        <v>686.73</v>
      </c>
      <c r="L16440">
        <v>59505</v>
      </c>
      <c r="M16440" t="s">
        <v>72</v>
      </c>
      <c r="N16440" t="str">
        <f>"54979       "</f>
        <v xml:space="preserve">54979       </v>
      </c>
      <c r="O16440">
        <v>230608</v>
      </c>
    </row>
    <row r="16441" spans="1:15" x14ac:dyDescent="0.25">
      <c r="A16441" t="s">
        <v>16</v>
      </c>
      <c r="B16441" t="s">
        <v>3221</v>
      </c>
      <c r="C16441">
        <v>8382</v>
      </c>
      <c r="D16441" t="s">
        <v>1253</v>
      </c>
      <c r="E16441" t="s">
        <v>1254</v>
      </c>
      <c r="F16441">
        <v>390.19</v>
      </c>
      <c r="G16441">
        <v>230607</v>
      </c>
      <c r="H16441">
        <v>4571</v>
      </c>
      <c r="I16441" t="s">
        <v>181</v>
      </c>
      <c r="J16441">
        <v>483.83</v>
      </c>
      <c r="K16441">
        <v>93.64</v>
      </c>
      <c r="L16441">
        <v>59812</v>
      </c>
      <c r="M16441" t="s">
        <v>74</v>
      </c>
      <c r="N16441" t="str">
        <f>"54979       "</f>
        <v xml:space="preserve">54979       </v>
      </c>
      <c r="O16441">
        <v>230608</v>
      </c>
    </row>
    <row r="16442" spans="1:15" x14ac:dyDescent="0.25">
      <c r="A16442" t="s">
        <v>16</v>
      </c>
      <c r="B16442" t="s">
        <v>3221</v>
      </c>
      <c r="C16442">
        <v>8384</v>
      </c>
      <c r="D16442" t="s">
        <v>1253</v>
      </c>
      <c r="E16442" t="s">
        <v>1254</v>
      </c>
      <c r="F16442">
        <v>1031.6199999999999</v>
      </c>
      <c r="G16442">
        <v>230607</v>
      </c>
      <c r="H16442">
        <v>4571</v>
      </c>
      <c r="I16442" t="s">
        <v>181</v>
      </c>
      <c r="J16442">
        <v>1279.21</v>
      </c>
      <c r="K16442">
        <v>247.59</v>
      </c>
      <c r="L16442">
        <v>59502</v>
      </c>
      <c r="M16442" t="s">
        <v>70</v>
      </c>
      <c r="N16442" t="str">
        <f>"55061       "</f>
        <v xml:space="preserve">55061       </v>
      </c>
      <c r="O16442">
        <v>230608</v>
      </c>
    </row>
    <row r="16443" spans="1:15" x14ac:dyDescent="0.25">
      <c r="A16443" t="s">
        <v>16</v>
      </c>
      <c r="B16443" t="s">
        <v>3221</v>
      </c>
      <c r="C16443">
        <v>8384</v>
      </c>
      <c r="D16443" t="s">
        <v>1253</v>
      </c>
      <c r="E16443" t="s">
        <v>1254</v>
      </c>
      <c r="F16443">
        <v>1915.86</v>
      </c>
      <c r="G16443">
        <v>230607</v>
      </c>
      <c r="H16443">
        <v>4571</v>
      </c>
      <c r="I16443" t="s">
        <v>181</v>
      </c>
      <c r="J16443">
        <v>2375.67</v>
      </c>
      <c r="K16443">
        <v>459.81</v>
      </c>
      <c r="L16443">
        <v>59802</v>
      </c>
      <c r="M16443" t="s">
        <v>73</v>
      </c>
      <c r="N16443" t="str">
        <f>"55061       "</f>
        <v xml:space="preserve">55061       </v>
      </c>
      <c r="O16443">
        <v>230608</v>
      </c>
    </row>
    <row r="16444" spans="1:15" x14ac:dyDescent="0.25">
      <c r="A16444" t="s">
        <v>16</v>
      </c>
      <c r="B16444" t="s">
        <v>3221</v>
      </c>
      <c r="C16444">
        <v>8385</v>
      </c>
      <c r="D16444" t="s">
        <v>1253</v>
      </c>
      <c r="E16444" t="s">
        <v>1254</v>
      </c>
      <c r="F16444">
        <v>687.3</v>
      </c>
      <c r="G16444">
        <v>230607</v>
      </c>
      <c r="H16444">
        <v>4571</v>
      </c>
      <c r="I16444" t="s">
        <v>181</v>
      </c>
      <c r="J16444">
        <v>852.25</v>
      </c>
      <c r="K16444">
        <v>164.95</v>
      </c>
      <c r="L16444">
        <v>59111</v>
      </c>
      <c r="M16444" t="s">
        <v>1010</v>
      </c>
      <c r="N16444" t="str">
        <f>"55056       "</f>
        <v xml:space="preserve">55056       </v>
      </c>
      <c r="O16444">
        <v>230608</v>
      </c>
    </row>
    <row r="16445" spans="1:15" x14ac:dyDescent="0.25">
      <c r="A16445" t="s">
        <v>16</v>
      </c>
      <c r="B16445" t="s">
        <v>3221</v>
      </c>
      <c r="C16445">
        <v>8385</v>
      </c>
      <c r="D16445" t="s">
        <v>1253</v>
      </c>
      <c r="E16445" t="s">
        <v>1254</v>
      </c>
      <c r="F16445">
        <v>7903.94</v>
      </c>
      <c r="G16445">
        <v>230607</v>
      </c>
      <c r="H16445">
        <v>4571</v>
      </c>
      <c r="I16445" t="s">
        <v>181</v>
      </c>
      <c r="J16445">
        <v>9800.8799999999992</v>
      </c>
      <c r="K16445">
        <v>1896.94</v>
      </c>
      <c r="L16445">
        <v>59501</v>
      </c>
      <c r="M16445" t="s">
        <v>69</v>
      </c>
      <c r="N16445" t="str">
        <f>"55056       "</f>
        <v xml:space="preserve">55056       </v>
      </c>
      <c r="O16445">
        <v>230608</v>
      </c>
    </row>
    <row r="16446" spans="1:15" x14ac:dyDescent="0.25">
      <c r="A16446" t="s">
        <v>16</v>
      </c>
      <c r="B16446" t="s">
        <v>3221</v>
      </c>
      <c r="C16446">
        <v>8388</v>
      </c>
      <c r="D16446" t="s">
        <v>1253</v>
      </c>
      <c r="E16446" t="s">
        <v>1254</v>
      </c>
      <c r="F16446">
        <v>2734.85</v>
      </c>
      <c r="G16446">
        <v>230607</v>
      </c>
      <c r="H16446">
        <v>4571</v>
      </c>
      <c r="I16446" t="s">
        <v>181</v>
      </c>
      <c r="J16446">
        <v>3391.22</v>
      </c>
      <c r="K16446">
        <v>656.37</v>
      </c>
      <c r="L16446">
        <v>59501</v>
      </c>
      <c r="M16446" t="s">
        <v>69</v>
      </c>
      <c r="N16446" t="str">
        <f>"55057       "</f>
        <v xml:space="preserve">55057       </v>
      </c>
      <c r="O16446">
        <v>230608</v>
      </c>
    </row>
    <row r="16447" spans="1:15" x14ac:dyDescent="0.25">
      <c r="A16447" t="s">
        <v>16</v>
      </c>
      <c r="B16447" t="s">
        <v>3221</v>
      </c>
      <c r="C16447">
        <v>9638</v>
      </c>
      <c r="D16447" t="s">
        <v>1253</v>
      </c>
      <c r="E16447" t="s">
        <v>1254</v>
      </c>
      <c r="F16447">
        <v>773.32</v>
      </c>
      <c r="G16447">
        <v>230707</v>
      </c>
      <c r="H16447">
        <v>4571</v>
      </c>
      <c r="I16447" t="s">
        <v>181</v>
      </c>
      <c r="J16447">
        <v>958.92</v>
      </c>
      <c r="K16447">
        <v>185.6</v>
      </c>
      <c r="L16447">
        <v>59502</v>
      </c>
      <c r="M16447" t="s">
        <v>70</v>
      </c>
      <c r="N16447" t="str">
        <f>"55250       "</f>
        <v xml:space="preserve">55250       </v>
      </c>
      <c r="O16447">
        <v>230718</v>
      </c>
    </row>
    <row r="16448" spans="1:15" x14ac:dyDescent="0.25">
      <c r="A16448" t="s">
        <v>16</v>
      </c>
      <c r="B16448" t="s">
        <v>3221</v>
      </c>
      <c r="C16448">
        <v>9638</v>
      </c>
      <c r="D16448" t="s">
        <v>1253</v>
      </c>
      <c r="E16448" t="s">
        <v>1254</v>
      </c>
      <c r="F16448">
        <v>1436.16</v>
      </c>
      <c r="G16448">
        <v>230707</v>
      </c>
      <c r="H16448">
        <v>4571</v>
      </c>
      <c r="I16448" t="s">
        <v>181</v>
      </c>
      <c r="J16448">
        <v>1780.84</v>
      </c>
      <c r="K16448">
        <v>344.68</v>
      </c>
      <c r="L16448">
        <v>59802</v>
      </c>
      <c r="M16448" t="s">
        <v>73</v>
      </c>
      <c r="N16448" t="str">
        <f>"55250       "</f>
        <v xml:space="preserve">55250       </v>
      </c>
      <c r="O16448">
        <v>230718</v>
      </c>
    </row>
    <row r="16449" spans="1:15" x14ac:dyDescent="0.25">
      <c r="A16449" t="s">
        <v>16</v>
      </c>
      <c r="B16449" t="s">
        <v>3221</v>
      </c>
      <c r="C16449">
        <v>9639</v>
      </c>
      <c r="D16449" t="s">
        <v>1253</v>
      </c>
      <c r="E16449" t="s">
        <v>1254</v>
      </c>
      <c r="F16449">
        <v>442.35</v>
      </c>
      <c r="G16449">
        <v>230707</v>
      </c>
      <c r="H16449">
        <v>4571</v>
      </c>
      <c r="I16449" t="s">
        <v>181</v>
      </c>
      <c r="J16449">
        <v>548.52</v>
      </c>
      <c r="K16449">
        <v>106.17</v>
      </c>
      <c r="L16449">
        <v>59111</v>
      </c>
      <c r="M16449" t="s">
        <v>1010</v>
      </c>
      <c r="N16449" t="str">
        <f>"55245       "</f>
        <v xml:space="preserve">55245       </v>
      </c>
      <c r="O16449">
        <v>230718</v>
      </c>
    </row>
    <row r="16450" spans="1:15" x14ac:dyDescent="0.25">
      <c r="A16450" t="s">
        <v>16</v>
      </c>
      <c r="B16450" t="s">
        <v>3221</v>
      </c>
      <c r="C16450">
        <v>9639</v>
      </c>
      <c r="D16450" t="s">
        <v>1253</v>
      </c>
      <c r="E16450" t="s">
        <v>1254</v>
      </c>
      <c r="F16450">
        <v>5087.08</v>
      </c>
      <c r="G16450">
        <v>230707</v>
      </c>
      <c r="H16450">
        <v>4571</v>
      </c>
      <c r="I16450" t="s">
        <v>181</v>
      </c>
      <c r="J16450">
        <v>6307.98</v>
      </c>
      <c r="K16450">
        <v>1220.9000000000001</v>
      </c>
      <c r="L16450">
        <v>59501</v>
      </c>
      <c r="M16450" t="s">
        <v>69</v>
      </c>
      <c r="N16450" t="str">
        <f>"55245       "</f>
        <v xml:space="preserve">55245       </v>
      </c>
      <c r="O16450">
        <v>230718</v>
      </c>
    </row>
    <row r="16451" spans="1:15" x14ac:dyDescent="0.25">
      <c r="A16451" t="s">
        <v>16</v>
      </c>
      <c r="B16451" t="s">
        <v>3221</v>
      </c>
      <c r="C16451">
        <v>9640</v>
      </c>
      <c r="D16451" t="s">
        <v>1253</v>
      </c>
      <c r="E16451" t="s">
        <v>1254</v>
      </c>
      <c r="F16451">
        <v>2083.2600000000002</v>
      </c>
      <c r="G16451">
        <v>230707</v>
      </c>
      <c r="H16451">
        <v>4571</v>
      </c>
      <c r="I16451" t="s">
        <v>181</v>
      </c>
      <c r="J16451">
        <v>2583.2399999999998</v>
      </c>
      <c r="K16451">
        <v>499.98</v>
      </c>
      <c r="L16451">
        <v>59501</v>
      </c>
      <c r="M16451" t="s">
        <v>69</v>
      </c>
      <c r="N16451" t="str">
        <f>"55246       "</f>
        <v xml:space="preserve">55246       </v>
      </c>
      <c r="O16451">
        <v>230718</v>
      </c>
    </row>
    <row r="16452" spans="1:15" x14ac:dyDescent="0.25">
      <c r="A16452" t="s">
        <v>16</v>
      </c>
      <c r="B16452" t="s">
        <v>3221</v>
      </c>
      <c r="C16452">
        <v>9641</v>
      </c>
      <c r="D16452" t="s">
        <v>1253</v>
      </c>
      <c r="E16452" t="s">
        <v>1254</v>
      </c>
      <c r="F16452">
        <v>2068.85</v>
      </c>
      <c r="G16452">
        <v>230707</v>
      </c>
      <c r="H16452">
        <v>4571</v>
      </c>
      <c r="I16452" t="s">
        <v>181</v>
      </c>
      <c r="J16452">
        <v>2565.37</v>
      </c>
      <c r="K16452">
        <v>496.52</v>
      </c>
      <c r="L16452">
        <v>59505</v>
      </c>
      <c r="M16452" t="s">
        <v>72</v>
      </c>
      <c r="N16452" t="str">
        <f>"55168       "</f>
        <v xml:space="preserve">55168       </v>
      </c>
      <c r="O16452">
        <v>230718</v>
      </c>
    </row>
    <row r="16453" spans="1:15" x14ac:dyDescent="0.25">
      <c r="A16453" t="s">
        <v>16</v>
      </c>
      <c r="B16453" t="s">
        <v>3221</v>
      </c>
      <c r="C16453">
        <v>9641</v>
      </c>
      <c r="D16453" t="s">
        <v>1253</v>
      </c>
      <c r="E16453" t="s">
        <v>1254</v>
      </c>
      <c r="F16453">
        <v>282.11</v>
      </c>
      <c r="G16453">
        <v>230707</v>
      </c>
      <c r="H16453">
        <v>4571</v>
      </c>
      <c r="I16453" t="s">
        <v>181</v>
      </c>
      <c r="J16453">
        <v>349.82</v>
      </c>
      <c r="K16453">
        <v>67.709999999999994</v>
      </c>
      <c r="L16453">
        <v>59812</v>
      </c>
      <c r="M16453" t="s">
        <v>74</v>
      </c>
      <c r="N16453" t="str">
        <f>"55168       "</f>
        <v xml:space="preserve">55168       </v>
      </c>
      <c r="O16453">
        <v>230718</v>
      </c>
    </row>
    <row r="16454" spans="1:15" x14ac:dyDescent="0.25">
      <c r="A16454" t="s">
        <v>16</v>
      </c>
      <c r="B16454" t="s">
        <v>3221</v>
      </c>
      <c r="C16454">
        <v>9642</v>
      </c>
      <c r="D16454" t="s">
        <v>1253</v>
      </c>
      <c r="E16454" t="s">
        <v>1254</v>
      </c>
      <c r="F16454">
        <v>1873.92</v>
      </c>
      <c r="G16454">
        <v>230707</v>
      </c>
      <c r="H16454">
        <v>4571</v>
      </c>
      <c r="I16454" t="s">
        <v>181</v>
      </c>
      <c r="J16454">
        <v>2323.66</v>
      </c>
      <c r="K16454">
        <v>449.74</v>
      </c>
      <c r="L16454">
        <v>59501</v>
      </c>
      <c r="M16454" t="s">
        <v>69</v>
      </c>
      <c r="N16454" t="str">
        <f>"55252       "</f>
        <v xml:space="preserve">55252       </v>
      </c>
      <c r="O16454">
        <v>230718</v>
      </c>
    </row>
    <row r="16455" spans="1:15" x14ac:dyDescent="0.25">
      <c r="A16455" t="s">
        <v>16</v>
      </c>
      <c r="B16455" t="s">
        <v>3221</v>
      </c>
      <c r="C16455">
        <v>9643</v>
      </c>
      <c r="D16455" t="s">
        <v>1253</v>
      </c>
      <c r="E16455" t="s">
        <v>1254</v>
      </c>
      <c r="F16455">
        <v>2208.66</v>
      </c>
      <c r="G16455">
        <v>230707</v>
      </c>
      <c r="H16455">
        <v>4571</v>
      </c>
      <c r="I16455" t="s">
        <v>181</v>
      </c>
      <c r="J16455">
        <v>2738.74</v>
      </c>
      <c r="K16455">
        <v>530.08000000000004</v>
      </c>
      <c r="L16455">
        <v>59502</v>
      </c>
      <c r="M16455" t="s">
        <v>70</v>
      </c>
      <c r="N16455" t="str">
        <f>"55249       "</f>
        <v xml:space="preserve">55249       </v>
      </c>
      <c r="O16455">
        <v>230718</v>
      </c>
    </row>
    <row r="16456" spans="1:15" x14ac:dyDescent="0.25">
      <c r="A16456" t="s">
        <v>16</v>
      </c>
      <c r="B16456" t="s">
        <v>3221</v>
      </c>
      <c r="C16456">
        <v>10060</v>
      </c>
      <c r="D16456" t="s">
        <v>1253</v>
      </c>
      <c r="E16456" t="s">
        <v>1254</v>
      </c>
      <c r="F16456">
        <v>372.08</v>
      </c>
      <c r="G16456">
        <v>230803</v>
      </c>
      <c r="H16456">
        <v>4571</v>
      </c>
      <c r="I16456" t="s">
        <v>181</v>
      </c>
      <c r="J16456">
        <v>461.38</v>
      </c>
      <c r="K16456">
        <v>89.3</v>
      </c>
      <c r="L16456">
        <v>59111</v>
      </c>
      <c r="M16456" t="s">
        <v>1010</v>
      </c>
      <c r="N16456" t="str">
        <f>"55435       "</f>
        <v xml:space="preserve">55435       </v>
      </c>
      <c r="O16456">
        <v>230808</v>
      </c>
    </row>
    <row r="16457" spans="1:15" x14ac:dyDescent="0.25">
      <c r="A16457" t="s">
        <v>16</v>
      </c>
      <c r="B16457" t="s">
        <v>3221</v>
      </c>
      <c r="C16457">
        <v>10060</v>
      </c>
      <c r="D16457" t="s">
        <v>1253</v>
      </c>
      <c r="E16457" t="s">
        <v>1254</v>
      </c>
      <c r="F16457">
        <v>4278.95</v>
      </c>
      <c r="G16457">
        <v>230803</v>
      </c>
      <c r="H16457">
        <v>4571</v>
      </c>
      <c r="I16457" t="s">
        <v>181</v>
      </c>
      <c r="J16457">
        <v>5305.9</v>
      </c>
      <c r="K16457">
        <v>1026.95</v>
      </c>
      <c r="L16457">
        <v>59501</v>
      </c>
      <c r="M16457" t="s">
        <v>69</v>
      </c>
      <c r="N16457" t="str">
        <f>"55435       "</f>
        <v xml:space="preserve">55435       </v>
      </c>
      <c r="O16457">
        <v>230808</v>
      </c>
    </row>
    <row r="16458" spans="1:15" x14ac:dyDescent="0.25">
      <c r="A16458" t="s">
        <v>16</v>
      </c>
      <c r="B16458" t="s">
        <v>3221</v>
      </c>
      <c r="C16458">
        <v>10063</v>
      </c>
      <c r="D16458" t="s">
        <v>1253</v>
      </c>
      <c r="E16458" t="s">
        <v>1254</v>
      </c>
      <c r="F16458">
        <v>171.34</v>
      </c>
      <c r="G16458">
        <v>230803</v>
      </c>
      <c r="H16458">
        <v>4571</v>
      </c>
      <c r="I16458" t="s">
        <v>181</v>
      </c>
      <c r="J16458">
        <v>212.46</v>
      </c>
      <c r="K16458">
        <v>41.12</v>
      </c>
      <c r="L16458">
        <v>59111</v>
      </c>
      <c r="M16458" t="s">
        <v>1010</v>
      </c>
      <c r="N16458" t="str">
        <f>"55440       "</f>
        <v xml:space="preserve">55440       </v>
      </c>
      <c r="O16458">
        <v>230808</v>
      </c>
    </row>
    <row r="16459" spans="1:15" x14ac:dyDescent="0.25">
      <c r="A16459" t="s">
        <v>16</v>
      </c>
      <c r="B16459" t="s">
        <v>3221</v>
      </c>
      <c r="C16459">
        <v>10063</v>
      </c>
      <c r="D16459" t="s">
        <v>1253</v>
      </c>
      <c r="E16459" t="s">
        <v>1254</v>
      </c>
      <c r="F16459">
        <v>1970.35</v>
      </c>
      <c r="G16459">
        <v>230803</v>
      </c>
      <c r="H16459">
        <v>4571</v>
      </c>
      <c r="I16459" t="s">
        <v>181</v>
      </c>
      <c r="J16459">
        <v>2443.23</v>
      </c>
      <c r="K16459">
        <v>472.88</v>
      </c>
      <c r="L16459">
        <v>59501</v>
      </c>
      <c r="M16459" t="s">
        <v>69</v>
      </c>
      <c r="N16459" t="str">
        <f>"55440       "</f>
        <v xml:space="preserve">55440       </v>
      </c>
      <c r="O16459">
        <v>230808</v>
      </c>
    </row>
    <row r="16460" spans="1:15" x14ac:dyDescent="0.25">
      <c r="A16460" t="s">
        <v>16</v>
      </c>
      <c r="B16460" t="s">
        <v>3221</v>
      </c>
      <c r="C16460">
        <v>10065</v>
      </c>
      <c r="D16460" t="s">
        <v>1253</v>
      </c>
      <c r="E16460" t="s">
        <v>1254</v>
      </c>
      <c r="F16460">
        <v>1842.34</v>
      </c>
      <c r="G16460">
        <v>230803</v>
      </c>
      <c r="H16460">
        <v>4571</v>
      </c>
      <c r="I16460" t="s">
        <v>181</v>
      </c>
      <c r="J16460">
        <v>2284.5</v>
      </c>
      <c r="K16460">
        <v>442.16</v>
      </c>
      <c r="L16460">
        <v>59505</v>
      </c>
      <c r="M16460" t="s">
        <v>72</v>
      </c>
      <c r="N16460" t="str">
        <f>"55358       "</f>
        <v xml:space="preserve">55358       </v>
      </c>
      <c r="O16460">
        <v>230808</v>
      </c>
    </row>
    <row r="16461" spans="1:15" x14ac:dyDescent="0.25">
      <c r="A16461" t="s">
        <v>16</v>
      </c>
      <c r="B16461" t="s">
        <v>3221</v>
      </c>
      <c r="C16461">
        <v>10065</v>
      </c>
      <c r="D16461" t="s">
        <v>1253</v>
      </c>
      <c r="E16461" t="s">
        <v>1254</v>
      </c>
      <c r="F16461">
        <v>251.23</v>
      </c>
      <c r="G16461">
        <v>230803</v>
      </c>
      <c r="H16461">
        <v>4571</v>
      </c>
      <c r="I16461" t="s">
        <v>181</v>
      </c>
      <c r="J16461">
        <v>311.52</v>
      </c>
      <c r="K16461">
        <v>60.29</v>
      </c>
      <c r="L16461">
        <v>59812</v>
      </c>
      <c r="M16461" t="s">
        <v>74</v>
      </c>
      <c r="N16461" t="str">
        <f>"55358       "</f>
        <v xml:space="preserve">55358       </v>
      </c>
      <c r="O16461">
        <v>230808</v>
      </c>
    </row>
    <row r="16462" spans="1:15" x14ac:dyDescent="0.25">
      <c r="A16462" t="s">
        <v>16</v>
      </c>
      <c r="B16462" t="s">
        <v>3221</v>
      </c>
      <c r="C16462">
        <v>10071</v>
      </c>
      <c r="D16462" t="s">
        <v>1253</v>
      </c>
      <c r="E16462" t="s">
        <v>1254</v>
      </c>
      <c r="F16462">
        <v>1821.06</v>
      </c>
      <c r="G16462">
        <v>230803</v>
      </c>
      <c r="H16462">
        <v>4571</v>
      </c>
      <c r="I16462" t="s">
        <v>181</v>
      </c>
      <c r="J16462">
        <v>2258.11</v>
      </c>
      <c r="K16462">
        <v>437.05</v>
      </c>
      <c r="L16462">
        <v>59501</v>
      </c>
      <c r="M16462" t="s">
        <v>69</v>
      </c>
      <c r="N16462" t="str">
        <f>"55436       "</f>
        <v xml:space="preserve">55436       </v>
      </c>
      <c r="O16462">
        <v>230808</v>
      </c>
    </row>
    <row r="16463" spans="1:15" x14ac:dyDescent="0.25">
      <c r="A16463" t="s">
        <v>16</v>
      </c>
      <c r="B16463" t="s">
        <v>3221</v>
      </c>
      <c r="C16463">
        <v>10092</v>
      </c>
      <c r="D16463" t="s">
        <v>1253</v>
      </c>
      <c r="E16463" t="s">
        <v>1254</v>
      </c>
      <c r="F16463">
        <v>2110.2600000000002</v>
      </c>
      <c r="G16463">
        <v>230803</v>
      </c>
      <c r="H16463">
        <v>4571</v>
      </c>
      <c r="I16463" t="s">
        <v>181</v>
      </c>
      <c r="J16463">
        <v>2616.7199999999998</v>
      </c>
      <c r="K16463">
        <v>506.46</v>
      </c>
      <c r="L16463">
        <v>59502</v>
      </c>
      <c r="M16463" t="s">
        <v>70</v>
      </c>
      <c r="N16463" t="str">
        <f>"55439       "</f>
        <v xml:space="preserve">55439       </v>
      </c>
      <c r="O16463">
        <v>230808</v>
      </c>
    </row>
    <row r="16464" spans="1:15" x14ac:dyDescent="0.25">
      <c r="A16464" t="s">
        <v>16</v>
      </c>
      <c r="B16464" t="s">
        <v>3221</v>
      </c>
      <c r="C16464">
        <v>10097</v>
      </c>
      <c r="D16464" t="s">
        <v>1253</v>
      </c>
      <c r="E16464" t="s">
        <v>1254</v>
      </c>
      <c r="F16464">
        <v>150.1</v>
      </c>
      <c r="G16464">
        <v>230803</v>
      </c>
      <c r="H16464">
        <v>4571</v>
      </c>
      <c r="I16464" t="s">
        <v>181</v>
      </c>
      <c r="J16464">
        <v>186.13</v>
      </c>
      <c r="K16464">
        <v>36.03</v>
      </c>
      <c r="L16464">
        <v>59111</v>
      </c>
      <c r="M16464" t="s">
        <v>1010</v>
      </c>
      <c r="N16464" t="str">
        <f>"55442       "</f>
        <v xml:space="preserve">55442       </v>
      </c>
      <c r="O16464">
        <v>230808</v>
      </c>
    </row>
    <row r="16465" spans="1:15" x14ac:dyDescent="0.25">
      <c r="A16465" t="s">
        <v>16</v>
      </c>
      <c r="B16465" t="s">
        <v>3221</v>
      </c>
      <c r="C16465">
        <v>10097</v>
      </c>
      <c r="D16465" t="s">
        <v>1253</v>
      </c>
      <c r="E16465" t="s">
        <v>1254</v>
      </c>
      <c r="F16465">
        <v>1726.22</v>
      </c>
      <c r="G16465">
        <v>230803</v>
      </c>
      <c r="H16465">
        <v>4571</v>
      </c>
      <c r="I16465" t="s">
        <v>181</v>
      </c>
      <c r="J16465">
        <v>2140.5100000000002</v>
      </c>
      <c r="K16465">
        <v>414.29</v>
      </c>
      <c r="L16465">
        <v>59501</v>
      </c>
      <c r="M16465" t="s">
        <v>69</v>
      </c>
      <c r="N16465" t="str">
        <f>"55442       "</f>
        <v xml:space="preserve">55442       </v>
      </c>
      <c r="O16465">
        <v>230808</v>
      </c>
    </row>
    <row r="16466" spans="1:15" x14ac:dyDescent="0.25">
      <c r="A16466" t="s">
        <v>16</v>
      </c>
      <c r="B16466" t="s">
        <v>3221</v>
      </c>
      <c r="C16466">
        <v>12206</v>
      </c>
      <c r="D16466" t="s">
        <v>1253</v>
      </c>
      <c r="E16466" t="s">
        <v>1254</v>
      </c>
      <c r="F16466">
        <v>2196.06</v>
      </c>
      <c r="G16466">
        <v>230908</v>
      </c>
      <c r="H16466">
        <v>4571</v>
      </c>
      <c r="I16466" t="s">
        <v>181</v>
      </c>
      <c r="J16466">
        <v>2723.11</v>
      </c>
      <c r="K16466">
        <v>527.04999999999995</v>
      </c>
      <c r="L16466">
        <v>59502</v>
      </c>
      <c r="M16466" t="s">
        <v>70</v>
      </c>
      <c r="N16466" t="str">
        <f>"55641       "</f>
        <v xml:space="preserve">55641       </v>
      </c>
      <c r="O16466">
        <v>230915</v>
      </c>
    </row>
    <row r="16467" spans="1:15" x14ac:dyDescent="0.25">
      <c r="A16467" t="s">
        <v>16</v>
      </c>
      <c r="B16467" t="s">
        <v>3221</v>
      </c>
      <c r="C16467">
        <v>12207</v>
      </c>
      <c r="D16467" t="s">
        <v>1253</v>
      </c>
      <c r="E16467" t="s">
        <v>1254</v>
      </c>
      <c r="F16467">
        <v>1865.04</v>
      </c>
      <c r="G16467">
        <v>230908</v>
      </c>
      <c r="H16467">
        <v>4571</v>
      </c>
      <c r="I16467" t="s">
        <v>181</v>
      </c>
      <c r="J16467">
        <v>2312.65</v>
      </c>
      <c r="K16467">
        <v>447.61</v>
      </c>
      <c r="L16467">
        <v>59505</v>
      </c>
      <c r="M16467" t="s">
        <v>72</v>
      </c>
      <c r="N16467" t="str">
        <f>"55558       "</f>
        <v xml:space="preserve">55558       </v>
      </c>
      <c r="O16467">
        <v>230915</v>
      </c>
    </row>
    <row r="16468" spans="1:15" x14ac:dyDescent="0.25">
      <c r="A16468" t="s">
        <v>16</v>
      </c>
      <c r="B16468" t="s">
        <v>3221</v>
      </c>
      <c r="C16468">
        <v>12207</v>
      </c>
      <c r="D16468" t="s">
        <v>1253</v>
      </c>
      <c r="E16468" t="s">
        <v>1254</v>
      </c>
      <c r="F16468">
        <v>254.32</v>
      </c>
      <c r="G16468">
        <v>230908</v>
      </c>
      <c r="H16468">
        <v>4571</v>
      </c>
      <c r="I16468" t="s">
        <v>181</v>
      </c>
      <c r="J16468">
        <v>315.36</v>
      </c>
      <c r="K16468">
        <v>61.04</v>
      </c>
      <c r="L16468">
        <v>59812</v>
      </c>
      <c r="M16468" t="s">
        <v>74</v>
      </c>
      <c r="N16468" t="str">
        <f>"55558       "</f>
        <v xml:space="preserve">55558       </v>
      </c>
      <c r="O16468">
        <v>230915</v>
      </c>
    </row>
    <row r="16469" spans="1:15" x14ac:dyDescent="0.25">
      <c r="A16469" t="s">
        <v>16</v>
      </c>
      <c r="B16469" t="s">
        <v>3221</v>
      </c>
      <c r="C16469">
        <v>12208</v>
      </c>
      <c r="D16469" t="s">
        <v>1253</v>
      </c>
      <c r="E16469" t="s">
        <v>1254</v>
      </c>
      <c r="F16469">
        <v>1834.85</v>
      </c>
      <c r="G16469">
        <v>230908</v>
      </c>
      <c r="H16469">
        <v>4571</v>
      </c>
      <c r="I16469" t="s">
        <v>181</v>
      </c>
      <c r="J16469">
        <v>2275.2199999999998</v>
      </c>
      <c r="K16469">
        <v>440.37</v>
      </c>
      <c r="L16469">
        <v>59501</v>
      </c>
      <c r="M16469" t="s">
        <v>69</v>
      </c>
      <c r="N16469" t="str">
        <f>"55638       "</f>
        <v xml:space="preserve">55638       </v>
      </c>
      <c r="O16469">
        <v>230915</v>
      </c>
    </row>
    <row r="16470" spans="1:15" x14ac:dyDescent="0.25">
      <c r="A16470" t="s">
        <v>16</v>
      </c>
      <c r="B16470" t="s">
        <v>3221</v>
      </c>
      <c r="C16470">
        <v>12211</v>
      </c>
      <c r="D16470" t="s">
        <v>1253</v>
      </c>
      <c r="E16470" t="s">
        <v>1254</v>
      </c>
      <c r="F16470">
        <v>374.19</v>
      </c>
      <c r="G16470">
        <v>230908</v>
      </c>
      <c r="H16470">
        <v>4571</v>
      </c>
      <c r="I16470" t="s">
        <v>181</v>
      </c>
      <c r="J16470">
        <v>464</v>
      </c>
      <c r="K16470">
        <v>89.81</v>
      </c>
      <c r="L16470">
        <v>59111</v>
      </c>
      <c r="M16470" t="s">
        <v>1010</v>
      </c>
      <c r="N16470" t="str">
        <f>"55637       "</f>
        <v xml:space="preserve">55637       </v>
      </c>
      <c r="O16470">
        <v>230915</v>
      </c>
    </row>
    <row r="16471" spans="1:15" x14ac:dyDescent="0.25">
      <c r="A16471" t="s">
        <v>16</v>
      </c>
      <c r="B16471" t="s">
        <v>3221</v>
      </c>
      <c r="C16471">
        <v>12211</v>
      </c>
      <c r="D16471" t="s">
        <v>1253</v>
      </c>
      <c r="E16471" t="s">
        <v>1254</v>
      </c>
      <c r="F16471">
        <v>4303.24</v>
      </c>
      <c r="G16471">
        <v>230908</v>
      </c>
      <c r="H16471">
        <v>4571</v>
      </c>
      <c r="I16471" t="s">
        <v>181</v>
      </c>
      <c r="J16471">
        <v>5336.02</v>
      </c>
      <c r="K16471">
        <v>1032.78</v>
      </c>
      <c r="L16471">
        <v>59501</v>
      </c>
      <c r="M16471" t="s">
        <v>69</v>
      </c>
      <c r="N16471" t="str">
        <f>"55637       "</f>
        <v xml:space="preserve">55637       </v>
      </c>
      <c r="O16471">
        <v>230915</v>
      </c>
    </row>
    <row r="16472" spans="1:15" x14ac:dyDescent="0.25">
      <c r="A16472" t="s">
        <v>16</v>
      </c>
      <c r="B16472" t="s">
        <v>3221</v>
      </c>
      <c r="C16472">
        <v>12212</v>
      </c>
      <c r="D16472" t="s">
        <v>1253</v>
      </c>
      <c r="E16472" t="s">
        <v>1254</v>
      </c>
      <c r="F16472">
        <v>712.63</v>
      </c>
      <c r="G16472">
        <v>230908</v>
      </c>
      <c r="H16472">
        <v>4571</v>
      </c>
      <c r="I16472" t="s">
        <v>181</v>
      </c>
      <c r="J16472">
        <v>883.66</v>
      </c>
      <c r="K16472">
        <v>171.03</v>
      </c>
      <c r="L16472">
        <v>59502</v>
      </c>
      <c r="M16472" t="s">
        <v>70</v>
      </c>
      <c r="N16472" t="str">
        <f>"55642       "</f>
        <v xml:space="preserve">55642       </v>
      </c>
      <c r="O16472">
        <v>230915</v>
      </c>
    </row>
    <row r="16473" spans="1:15" x14ac:dyDescent="0.25">
      <c r="A16473" t="s">
        <v>16</v>
      </c>
      <c r="B16473" t="s">
        <v>3221</v>
      </c>
      <c r="C16473">
        <v>12212</v>
      </c>
      <c r="D16473" t="s">
        <v>1253</v>
      </c>
      <c r="E16473" t="s">
        <v>1254</v>
      </c>
      <c r="F16473">
        <v>1323.46</v>
      </c>
      <c r="G16473">
        <v>230908</v>
      </c>
      <c r="H16473">
        <v>4571</v>
      </c>
      <c r="I16473" t="s">
        <v>181</v>
      </c>
      <c r="J16473">
        <v>1641.09</v>
      </c>
      <c r="K16473">
        <v>317.63</v>
      </c>
      <c r="L16473">
        <v>59802</v>
      </c>
      <c r="M16473" t="s">
        <v>73</v>
      </c>
      <c r="N16473" t="str">
        <f>"55642       "</f>
        <v xml:space="preserve">55642       </v>
      </c>
      <c r="O16473">
        <v>230915</v>
      </c>
    </row>
    <row r="16474" spans="1:15" x14ac:dyDescent="0.25">
      <c r="A16474" t="s">
        <v>16</v>
      </c>
      <c r="B16474" t="s">
        <v>3221</v>
      </c>
      <c r="C16474">
        <v>12213</v>
      </c>
      <c r="D16474" t="s">
        <v>1253</v>
      </c>
      <c r="E16474" t="s">
        <v>1254</v>
      </c>
      <c r="F16474">
        <v>2047.92</v>
      </c>
      <c r="G16474">
        <v>230908</v>
      </c>
      <c r="H16474">
        <v>4571</v>
      </c>
      <c r="I16474" t="s">
        <v>181</v>
      </c>
      <c r="J16474">
        <v>2539.42</v>
      </c>
      <c r="K16474">
        <v>491.5</v>
      </c>
      <c r="L16474">
        <v>59501</v>
      </c>
      <c r="M16474" t="s">
        <v>69</v>
      </c>
      <c r="N16474" t="str">
        <f>"55644       "</f>
        <v xml:space="preserve">55644       </v>
      </c>
      <c r="O16474">
        <v>230915</v>
      </c>
    </row>
    <row r="16475" spans="1:15" x14ac:dyDescent="0.25">
      <c r="A16475" t="s">
        <v>16</v>
      </c>
      <c r="B16475" t="s">
        <v>3221</v>
      </c>
      <c r="C16475">
        <v>14083</v>
      </c>
      <c r="D16475" t="s">
        <v>1253</v>
      </c>
      <c r="E16475" t="s">
        <v>1254</v>
      </c>
      <c r="F16475">
        <v>2064.1</v>
      </c>
      <c r="G16475">
        <v>231005</v>
      </c>
      <c r="H16475">
        <v>4571</v>
      </c>
      <c r="I16475" t="s">
        <v>181</v>
      </c>
      <c r="J16475">
        <v>2559.48</v>
      </c>
      <c r="K16475">
        <v>495.38</v>
      </c>
      <c r="L16475">
        <v>59505</v>
      </c>
      <c r="M16475" t="s">
        <v>72</v>
      </c>
      <c r="N16475" t="str">
        <f>"55750       "</f>
        <v xml:space="preserve">55750       </v>
      </c>
      <c r="O16475">
        <v>231018</v>
      </c>
    </row>
    <row r="16476" spans="1:15" x14ac:dyDescent="0.25">
      <c r="A16476" t="s">
        <v>16</v>
      </c>
      <c r="B16476" t="s">
        <v>3221</v>
      </c>
      <c r="C16476">
        <v>14083</v>
      </c>
      <c r="D16476" t="s">
        <v>1253</v>
      </c>
      <c r="E16476" t="s">
        <v>1254</v>
      </c>
      <c r="F16476">
        <v>281.47000000000003</v>
      </c>
      <c r="G16476">
        <v>231005</v>
      </c>
      <c r="H16476">
        <v>4571</v>
      </c>
      <c r="I16476" t="s">
        <v>181</v>
      </c>
      <c r="J16476">
        <v>349.02</v>
      </c>
      <c r="K16476">
        <v>67.55</v>
      </c>
      <c r="L16476">
        <v>59812</v>
      </c>
      <c r="M16476" t="s">
        <v>74</v>
      </c>
      <c r="N16476" t="str">
        <f>"55750       "</f>
        <v xml:space="preserve">55750       </v>
      </c>
      <c r="O16476">
        <v>231018</v>
      </c>
    </row>
    <row r="16477" spans="1:15" x14ac:dyDescent="0.25">
      <c r="A16477" t="s">
        <v>16</v>
      </c>
      <c r="B16477" t="s">
        <v>3221</v>
      </c>
      <c r="C16477">
        <v>14084</v>
      </c>
      <c r="D16477" t="s">
        <v>1253</v>
      </c>
      <c r="E16477" t="s">
        <v>1254</v>
      </c>
      <c r="F16477">
        <v>367.1</v>
      </c>
      <c r="G16477">
        <v>231005</v>
      </c>
      <c r="H16477">
        <v>4571</v>
      </c>
      <c r="I16477" t="s">
        <v>181</v>
      </c>
      <c r="J16477">
        <v>455.2</v>
      </c>
      <c r="K16477">
        <v>88.1</v>
      </c>
      <c r="L16477">
        <v>59111</v>
      </c>
      <c r="M16477" t="s">
        <v>1010</v>
      </c>
      <c r="N16477" t="str">
        <f>"55829       "</f>
        <v xml:space="preserve">55829       </v>
      </c>
      <c r="O16477">
        <v>231018</v>
      </c>
    </row>
    <row r="16478" spans="1:15" x14ac:dyDescent="0.25">
      <c r="A16478" t="s">
        <v>16</v>
      </c>
      <c r="B16478" t="s">
        <v>3221</v>
      </c>
      <c r="C16478">
        <v>14084</v>
      </c>
      <c r="D16478" t="s">
        <v>1253</v>
      </c>
      <c r="E16478" t="s">
        <v>1254</v>
      </c>
      <c r="F16478">
        <v>4221.6000000000004</v>
      </c>
      <c r="G16478">
        <v>231005</v>
      </c>
      <c r="H16478">
        <v>4571</v>
      </c>
      <c r="I16478" t="s">
        <v>181</v>
      </c>
      <c r="J16478">
        <v>5234.78</v>
      </c>
      <c r="K16478">
        <v>1013.18</v>
      </c>
      <c r="L16478">
        <v>59501</v>
      </c>
      <c r="M16478" t="s">
        <v>69</v>
      </c>
      <c r="N16478" t="str">
        <f>"55829       "</f>
        <v xml:space="preserve">55829       </v>
      </c>
      <c r="O16478">
        <v>231018</v>
      </c>
    </row>
    <row r="16479" spans="1:15" x14ac:dyDescent="0.25">
      <c r="A16479" t="s">
        <v>16</v>
      </c>
      <c r="B16479" t="s">
        <v>3221</v>
      </c>
      <c r="C16479">
        <v>14085</v>
      </c>
      <c r="D16479" t="s">
        <v>1253</v>
      </c>
      <c r="E16479" t="s">
        <v>1254</v>
      </c>
      <c r="F16479">
        <v>862.36</v>
      </c>
      <c r="G16479">
        <v>231005</v>
      </c>
      <c r="H16479">
        <v>4571</v>
      </c>
      <c r="I16479" t="s">
        <v>181</v>
      </c>
      <c r="J16479">
        <v>1069.33</v>
      </c>
      <c r="K16479">
        <v>206.97</v>
      </c>
      <c r="L16479">
        <v>59502</v>
      </c>
      <c r="M16479" t="s">
        <v>70</v>
      </c>
      <c r="N16479" t="str">
        <f>"55834       "</f>
        <v xml:space="preserve">55834       </v>
      </c>
      <c r="O16479">
        <v>231018</v>
      </c>
    </row>
    <row r="16480" spans="1:15" x14ac:dyDescent="0.25">
      <c r="A16480" t="s">
        <v>16</v>
      </c>
      <c r="B16480" t="s">
        <v>3221</v>
      </c>
      <c r="C16480">
        <v>14085</v>
      </c>
      <c r="D16480" t="s">
        <v>1253</v>
      </c>
      <c r="E16480" t="s">
        <v>1254</v>
      </c>
      <c r="F16480">
        <v>1601.52</v>
      </c>
      <c r="G16480">
        <v>231005</v>
      </c>
      <c r="H16480">
        <v>4571</v>
      </c>
      <c r="I16480" t="s">
        <v>181</v>
      </c>
      <c r="J16480">
        <v>1985.89</v>
      </c>
      <c r="K16480">
        <v>384.37</v>
      </c>
      <c r="L16480">
        <v>59802</v>
      </c>
      <c r="M16480" t="s">
        <v>73</v>
      </c>
      <c r="N16480" t="str">
        <f>"55834       "</f>
        <v xml:space="preserve">55834       </v>
      </c>
      <c r="O16480">
        <v>231018</v>
      </c>
    </row>
    <row r="16481" spans="1:15" x14ac:dyDescent="0.25">
      <c r="A16481" t="s">
        <v>16</v>
      </c>
      <c r="B16481" t="s">
        <v>3221</v>
      </c>
      <c r="C16481">
        <v>14086</v>
      </c>
      <c r="D16481" t="s">
        <v>1253</v>
      </c>
      <c r="E16481" t="s">
        <v>1254</v>
      </c>
      <c r="F16481">
        <v>2638.26</v>
      </c>
      <c r="G16481">
        <v>231005</v>
      </c>
      <c r="H16481">
        <v>4571</v>
      </c>
      <c r="I16481" t="s">
        <v>181</v>
      </c>
      <c r="J16481">
        <v>3271.44</v>
      </c>
      <c r="K16481">
        <v>633.17999999999995</v>
      </c>
      <c r="L16481">
        <v>59502</v>
      </c>
      <c r="M16481" t="s">
        <v>70</v>
      </c>
      <c r="N16481" t="str">
        <f>"55833       "</f>
        <v xml:space="preserve">55833       </v>
      </c>
      <c r="O16481">
        <v>231018</v>
      </c>
    </row>
    <row r="16482" spans="1:15" x14ac:dyDescent="0.25">
      <c r="A16482" t="s">
        <v>16</v>
      </c>
      <c r="B16482" t="s">
        <v>3221</v>
      </c>
      <c r="C16482">
        <v>14087</v>
      </c>
      <c r="D16482" t="s">
        <v>1253</v>
      </c>
      <c r="E16482" t="s">
        <v>1254</v>
      </c>
      <c r="F16482">
        <v>2528.52</v>
      </c>
      <c r="G16482">
        <v>231005</v>
      </c>
      <c r="H16482">
        <v>4571</v>
      </c>
      <c r="I16482" t="s">
        <v>181</v>
      </c>
      <c r="J16482">
        <v>3135.36</v>
      </c>
      <c r="K16482">
        <v>606.84</v>
      </c>
      <c r="L16482">
        <v>59501</v>
      </c>
      <c r="M16482" t="s">
        <v>69</v>
      </c>
      <c r="N16482" t="str">
        <f>"55836       "</f>
        <v xml:space="preserve">55836       </v>
      </c>
      <c r="O16482">
        <v>231018</v>
      </c>
    </row>
    <row r="16483" spans="1:15" x14ac:dyDescent="0.25">
      <c r="A16483" t="s">
        <v>16</v>
      </c>
      <c r="B16483" t="s">
        <v>3221</v>
      </c>
      <c r="C16483">
        <v>14088</v>
      </c>
      <c r="D16483" t="s">
        <v>1253</v>
      </c>
      <c r="E16483" t="s">
        <v>1254</v>
      </c>
      <c r="F16483">
        <v>2122.85</v>
      </c>
      <c r="G16483">
        <v>231005</v>
      </c>
      <c r="H16483">
        <v>4571</v>
      </c>
      <c r="I16483" t="s">
        <v>181</v>
      </c>
      <c r="J16483">
        <v>2632.34</v>
      </c>
      <c r="K16483">
        <v>509.49</v>
      </c>
      <c r="L16483">
        <v>59501</v>
      </c>
      <c r="M16483" t="s">
        <v>69</v>
      </c>
      <c r="N16483" t="str">
        <f>"55830       "</f>
        <v xml:space="preserve">55830       </v>
      </c>
      <c r="O16483">
        <v>231018</v>
      </c>
    </row>
    <row r="16484" spans="1:15" x14ac:dyDescent="0.25">
      <c r="A16484" t="s">
        <v>16</v>
      </c>
      <c r="B16484" t="s">
        <v>3221</v>
      </c>
      <c r="C16484">
        <v>15036</v>
      </c>
      <c r="D16484" t="s">
        <v>1253</v>
      </c>
      <c r="E16484" t="s">
        <v>1254</v>
      </c>
      <c r="F16484">
        <v>459.82</v>
      </c>
      <c r="G16484">
        <v>231103</v>
      </c>
      <c r="H16484">
        <v>4571</v>
      </c>
      <c r="I16484" t="s">
        <v>181</v>
      </c>
      <c r="J16484">
        <v>570.17999999999995</v>
      </c>
      <c r="K16484">
        <v>110.36</v>
      </c>
      <c r="L16484">
        <v>59111</v>
      </c>
      <c r="M16484" t="s">
        <v>1010</v>
      </c>
      <c r="N16484" t="str">
        <f>"56028       "</f>
        <v xml:space="preserve">56028       </v>
      </c>
      <c r="O16484">
        <v>231108</v>
      </c>
    </row>
    <row r="16485" spans="1:15" x14ac:dyDescent="0.25">
      <c r="A16485" t="s">
        <v>16</v>
      </c>
      <c r="B16485" t="s">
        <v>3221</v>
      </c>
      <c r="C16485">
        <v>15036</v>
      </c>
      <c r="D16485" t="s">
        <v>1253</v>
      </c>
      <c r="E16485" t="s">
        <v>1254</v>
      </c>
      <c r="F16485">
        <v>5287.98</v>
      </c>
      <c r="G16485">
        <v>231103</v>
      </c>
      <c r="H16485">
        <v>4571</v>
      </c>
      <c r="I16485" t="s">
        <v>181</v>
      </c>
      <c r="J16485">
        <v>6557.1</v>
      </c>
      <c r="K16485">
        <v>1269.1199999999999</v>
      </c>
      <c r="L16485">
        <v>59501</v>
      </c>
      <c r="M16485" t="s">
        <v>69</v>
      </c>
      <c r="N16485" t="str">
        <f>"56028       "</f>
        <v xml:space="preserve">56028       </v>
      </c>
      <c r="O16485">
        <v>231108</v>
      </c>
    </row>
    <row r="16486" spans="1:15" x14ac:dyDescent="0.25">
      <c r="A16486" t="s">
        <v>16</v>
      </c>
      <c r="B16486" t="s">
        <v>3221</v>
      </c>
      <c r="C16486">
        <v>15042</v>
      </c>
      <c r="D16486" t="s">
        <v>1253</v>
      </c>
      <c r="E16486" t="s">
        <v>1254</v>
      </c>
      <c r="F16486">
        <v>949.65</v>
      </c>
      <c r="G16486">
        <v>231103</v>
      </c>
      <c r="H16486">
        <v>4571</v>
      </c>
      <c r="I16486" t="s">
        <v>181</v>
      </c>
      <c r="J16486">
        <v>1177.56</v>
      </c>
      <c r="K16486">
        <v>227.91</v>
      </c>
      <c r="L16486">
        <v>59111</v>
      </c>
      <c r="M16486" t="s">
        <v>1010</v>
      </c>
      <c r="N16486" t="str">
        <f>"56021       "</f>
        <v xml:space="preserve">56021       </v>
      </c>
      <c r="O16486">
        <v>231108</v>
      </c>
    </row>
    <row r="16487" spans="1:15" x14ac:dyDescent="0.25">
      <c r="A16487" t="s">
        <v>16</v>
      </c>
      <c r="B16487" t="s">
        <v>3221</v>
      </c>
      <c r="C16487">
        <v>15042</v>
      </c>
      <c r="D16487" t="s">
        <v>1253</v>
      </c>
      <c r="E16487" t="s">
        <v>1254</v>
      </c>
      <c r="F16487">
        <v>10920.95</v>
      </c>
      <c r="G16487">
        <v>231103</v>
      </c>
      <c r="H16487">
        <v>4571</v>
      </c>
      <c r="I16487" t="s">
        <v>181</v>
      </c>
      <c r="J16487">
        <v>13541.98</v>
      </c>
      <c r="K16487">
        <v>2621.0300000000002</v>
      </c>
      <c r="L16487">
        <v>59501</v>
      </c>
      <c r="M16487" t="s">
        <v>69</v>
      </c>
      <c r="N16487" t="str">
        <f>"56021       "</f>
        <v xml:space="preserve">56021       </v>
      </c>
      <c r="O16487">
        <v>231108</v>
      </c>
    </row>
    <row r="16488" spans="1:15" x14ac:dyDescent="0.25">
      <c r="A16488" t="s">
        <v>16</v>
      </c>
      <c r="B16488" t="s">
        <v>3221</v>
      </c>
      <c r="C16488">
        <v>15046</v>
      </c>
      <c r="D16488" t="s">
        <v>1253</v>
      </c>
      <c r="E16488" t="s">
        <v>1254</v>
      </c>
      <c r="F16488">
        <v>5500.25</v>
      </c>
      <c r="G16488">
        <v>231103</v>
      </c>
      <c r="H16488">
        <v>4571</v>
      </c>
      <c r="I16488" t="s">
        <v>181</v>
      </c>
      <c r="J16488">
        <v>6820.31</v>
      </c>
      <c r="K16488">
        <v>1320.06</v>
      </c>
      <c r="L16488">
        <v>59505</v>
      </c>
      <c r="M16488" t="s">
        <v>72</v>
      </c>
      <c r="N16488" t="str">
        <f>"55942       "</f>
        <v xml:space="preserve">55942       </v>
      </c>
      <c r="O16488">
        <v>231108</v>
      </c>
    </row>
    <row r="16489" spans="1:15" x14ac:dyDescent="0.25">
      <c r="A16489" t="s">
        <v>16</v>
      </c>
      <c r="B16489" t="s">
        <v>3221</v>
      </c>
      <c r="C16489">
        <v>15046</v>
      </c>
      <c r="D16489" t="s">
        <v>1253</v>
      </c>
      <c r="E16489" t="s">
        <v>1254</v>
      </c>
      <c r="F16489">
        <v>750.03</v>
      </c>
      <c r="G16489">
        <v>231103</v>
      </c>
      <c r="H16489">
        <v>4571</v>
      </c>
      <c r="I16489" t="s">
        <v>181</v>
      </c>
      <c r="J16489">
        <v>930.04</v>
      </c>
      <c r="K16489">
        <v>180.01</v>
      </c>
      <c r="L16489">
        <v>59812</v>
      </c>
      <c r="M16489" t="s">
        <v>74</v>
      </c>
      <c r="N16489" t="str">
        <f>"55942       "</f>
        <v xml:space="preserve">55942       </v>
      </c>
      <c r="O16489">
        <v>231108</v>
      </c>
    </row>
    <row r="16490" spans="1:15" x14ac:dyDescent="0.25">
      <c r="A16490" t="s">
        <v>16</v>
      </c>
      <c r="B16490" t="s">
        <v>3221</v>
      </c>
      <c r="C16490">
        <v>15107</v>
      </c>
      <c r="D16490" t="s">
        <v>1253</v>
      </c>
      <c r="E16490" t="s">
        <v>1254</v>
      </c>
      <c r="F16490">
        <v>6159.19</v>
      </c>
      <c r="G16490">
        <v>231103</v>
      </c>
      <c r="H16490">
        <v>4571</v>
      </c>
      <c r="I16490" t="s">
        <v>181</v>
      </c>
      <c r="J16490">
        <v>7637.39</v>
      </c>
      <c r="K16490">
        <v>1478.2</v>
      </c>
      <c r="L16490">
        <v>59502</v>
      </c>
      <c r="M16490" t="s">
        <v>70</v>
      </c>
      <c r="N16490" t="str">
        <f>"56025       "</f>
        <v xml:space="preserve">56025       </v>
      </c>
      <c r="O16490">
        <v>231108</v>
      </c>
    </row>
    <row r="16491" spans="1:15" x14ac:dyDescent="0.25">
      <c r="A16491" t="s">
        <v>16</v>
      </c>
      <c r="B16491" t="s">
        <v>3221</v>
      </c>
      <c r="C16491">
        <v>15109</v>
      </c>
      <c r="D16491" t="s">
        <v>1253</v>
      </c>
      <c r="E16491" t="s">
        <v>1254</v>
      </c>
      <c r="F16491">
        <v>2284.9299999999998</v>
      </c>
      <c r="G16491">
        <v>231103</v>
      </c>
      <c r="H16491">
        <v>4571</v>
      </c>
      <c r="I16491" t="s">
        <v>181</v>
      </c>
      <c r="J16491">
        <v>2833.31</v>
      </c>
      <c r="K16491">
        <v>548.38</v>
      </c>
      <c r="L16491">
        <v>59502</v>
      </c>
      <c r="M16491" t="s">
        <v>70</v>
      </c>
      <c r="N16491" t="str">
        <f>"56026       "</f>
        <v xml:space="preserve">56026       </v>
      </c>
      <c r="O16491">
        <v>231108</v>
      </c>
    </row>
    <row r="16492" spans="1:15" x14ac:dyDescent="0.25">
      <c r="A16492" t="s">
        <v>16</v>
      </c>
      <c r="B16492" t="s">
        <v>3221</v>
      </c>
      <c r="C16492">
        <v>15109</v>
      </c>
      <c r="D16492" t="s">
        <v>1253</v>
      </c>
      <c r="E16492" t="s">
        <v>1254</v>
      </c>
      <c r="F16492">
        <v>4243.4399999999996</v>
      </c>
      <c r="G16492">
        <v>231103</v>
      </c>
      <c r="H16492">
        <v>4571</v>
      </c>
      <c r="I16492" t="s">
        <v>181</v>
      </c>
      <c r="J16492">
        <v>5261.87</v>
      </c>
      <c r="K16492">
        <v>1018.43</v>
      </c>
      <c r="L16492">
        <v>59802</v>
      </c>
      <c r="M16492" t="s">
        <v>73</v>
      </c>
      <c r="N16492" t="str">
        <f>"56026       "</f>
        <v xml:space="preserve">56026       </v>
      </c>
      <c r="O16492">
        <v>231108</v>
      </c>
    </row>
    <row r="16493" spans="1:15" x14ac:dyDescent="0.25">
      <c r="A16493" t="s">
        <v>16</v>
      </c>
      <c r="B16493" t="s">
        <v>3221</v>
      </c>
      <c r="C16493">
        <v>15110</v>
      </c>
      <c r="D16493" t="s">
        <v>1253</v>
      </c>
      <c r="E16493" t="s">
        <v>1254</v>
      </c>
      <c r="F16493">
        <v>4895.7299999999996</v>
      </c>
      <c r="G16493">
        <v>231103</v>
      </c>
      <c r="H16493">
        <v>4571</v>
      </c>
      <c r="I16493" t="s">
        <v>181</v>
      </c>
      <c r="J16493">
        <v>6070.7</v>
      </c>
      <c r="K16493">
        <v>1174.97</v>
      </c>
      <c r="L16493">
        <v>59501</v>
      </c>
      <c r="M16493" t="s">
        <v>69</v>
      </c>
      <c r="N16493" t="str">
        <f>"56022       "</f>
        <v xml:space="preserve">56022       </v>
      </c>
      <c r="O16493">
        <v>231108</v>
      </c>
    </row>
    <row r="16494" spans="1:15" x14ac:dyDescent="0.25">
      <c r="A16494" t="s">
        <v>16</v>
      </c>
      <c r="B16494" t="s">
        <v>3221</v>
      </c>
      <c r="C16494">
        <v>17572</v>
      </c>
      <c r="D16494" t="s">
        <v>1253</v>
      </c>
      <c r="E16494" t="s">
        <v>1254</v>
      </c>
      <c r="F16494">
        <v>2079.2800000000002</v>
      </c>
      <c r="G16494">
        <v>231207</v>
      </c>
      <c r="H16494">
        <v>4571</v>
      </c>
      <c r="I16494" t="s">
        <v>181</v>
      </c>
      <c r="J16494">
        <v>2578.31</v>
      </c>
      <c r="K16494">
        <v>499.03</v>
      </c>
      <c r="L16494">
        <v>59502</v>
      </c>
      <c r="M16494" t="s">
        <v>70</v>
      </c>
      <c r="N16494" t="str">
        <f>"56220       "</f>
        <v xml:space="preserve">56220       </v>
      </c>
      <c r="O16494">
        <v>231215</v>
      </c>
    </row>
    <row r="16495" spans="1:15" x14ac:dyDescent="0.25">
      <c r="A16495" t="s">
        <v>16</v>
      </c>
      <c r="B16495" t="s">
        <v>3221</v>
      </c>
      <c r="C16495">
        <v>17572</v>
      </c>
      <c r="D16495" t="s">
        <v>1253</v>
      </c>
      <c r="E16495" t="s">
        <v>1254</v>
      </c>
      <c r="F16495">
        <v>3861.52</v>
      </c>
      <c r="G16495">
        <v>231207</v>
      </c>
      <c r="H16495">
        <v>4571</v>
      </c>
      <c r="I16495" t="s">
        <v>181</v>
      </c>
      <c r="J16495">
        <v>4788.28</v>
      </c>
      <c r="K16495">
        <v>926.76</v>
      </c>
      <c r="L16495">
        <v>59802</v>
      </c>
      <c r="M16495" t="s">
        <v>73</v>
      </c>
      <c r="N16495" t="str">
        <f>"56220       "</f>
        <v xml:space="preserve">56220       </v>
      </c>
      <c r="O16495">
        <v>231215</v>
      </c>
    </row>
    <row r="16496" spans="1:15" x14ac:dyDescent="0.25">
      <c r="A16496" t="s">
        <v>16</v>
      </c>
      <c r="B16496" t="s">
        <v>3221</v>
      </c>
      <c r="C16496">
        <v>17573</v>
      </c>
      <c r="D16496" t="s">
        <v>1253</v>
      </c>
      <c r="E16496" t="s">
        <v>1254</v>
      </c>
      <c r="F16496">
        <v>7509.03</v>
      </c>
      <c r="G16496">
        <v>231207</v>
      </c>
      <c r="H16496">
        <v>4571</v>
      </c>
      <c r="I16496" t="s">
        <v>181</v>
      </c>
      <c r="J16496">
        <v>9311.2000000000007</v>
      </c>
      <c r="K16496">
        <v>1802.17</v>
      </c>
      <c r="L16496">
        <v>59501</v>
      </c>
      <c r="M16496" t="s">
        <v>69</v>
      </c>
      <c r="N16496" t="str">
        <f>"56222       "</f>
        <v xml:space="preserve">56222       </v>
      </c>
      <c r="O16496">
        <v>231215</v>
      </c>
    </row>
    <row r="16497" spans="1:15" x14ac:dyDescent="0.25">
      <c r="A16497" t="s">
        <v>16</v>
      </c>
      <c r="B16497" t="s">
        <v>3221</v>
      </c>
      <c r="C16497">
        <v>17575</v>
      </c>
      <c r="D16497" t="s">
        <v>1253</v>
      </c>
      <c r="E16497" t="s">
        <v>1254</v>
      </c>
      <c r="F16497">
        <v>6837.36</v>
      </c>
      <c r="G16497">
        <v>231207</v>
      </c>
      <c r="H16497">
        <v>4571</v>
      </c>
      <c r="I16497" t="s">
        <v>181</v>
      </c>
      <c r="J16497">
        <v>8478.33</v>
      </c>
      <c r="K16497">
        <v>1640.97</v>
      </c>
      <c r="L16497">
        <v>59505</v>
      </c>
      <c r="M16497" t="s">
        <v>72</v>
      </c>
      <c r="N16497" t="str">
        <f>"56136       "</f>
        <v xml:space="preserve">56136       </v>
      </c>
      <c r="O16497">
        <v>231215</v>
      </c>
    </row>
    <row r="16498" spans="1:15" x14ac:dyDescent="0.25">
      <c r="A16498" t="s">
        <v>16</v>
      </c>
      <c r="B16498" t="s">
        <v>3221</v>
      </c>
      <c r="C16498">
        <v>17575</v>
      </c>
      <c r="D16498" t="s">
        <v>1253</v>
      </c>
      <c r="E16498" t="s">
        <v>1254</v>
      </c>
      <c r="F16498">
        <v>932.37</v>
      </c>
      <c r="G16498">
        <v>231207</v>
      </c>
      <c r="H16498">
        <v>4571</v>
      </c>
      <c r="I16498" t="s">
        <v>181</v>
      </c>
      <c r="J16498">
        <v>1156.1400000000001</v>
      </c>
      <c r="K16498">
        <v>223.77</v>
      </c>
      <c r="L16498">
        <v>59812</v>
      </c>
      <c r="M16498" t="s">
        <v>74</v>
      </c>
      <c r="N16498" t="str">
        <f>"56136       "</f>
        <v xml:space="preserve">56136       </v>
      </c>
      <c r="O16498">
        <v>231215</v>
      </c>
    </row>
    <row r="16499" spans="1:15" x14ac:dyDescent="0.25">
      <c r="A16499" t="s">
        <v>16</v>
      </c>
      <c r="B16499" t="s">
        <v>3221</v>
      </c>
      <c r="C16499">
        <v>17578</v>
      </c>
      <c r="D16499" t="s">
        <v>1253</v>
      </c>
      <c r="E16499" t="s">
        <v>1254</v>
      </c>
      <c r="F16499">
        <v>6589.58</v>
      </c>
      <c r="G16499">
        <v>231207</v>
      </c>
      <c r="H16499">
        <v>4571</v>
      </c>
      <c r="I16499" t="s">
        <v>181</v>
      </c>
      <c r="J16499">
        <v>8171.08</v>
      </c>
      <c r="K16499">
        <v>1581.5</v>
      </c>
      <c r="L16499">
        <v>59502</v>
      </c>
      <c r="M16499" t="s">
        <v>70</v>
      </c>
      <c r="N16499" t="str">
        <f>"56219       "</f>
        <v xml:space="preserve">56219       </v>
      </c>
      <c r="O16499">
        <v>231215</v>
      </c>
    </row>
    <row r="16500" spans="1:15" x14ac:dyDescent="0.25">
      <c r="A16500" t="s">
        <v>16</v>
      </c>
      <c r="B16500" t="s">
        <v>3221</v>
      </c>
      <c r="C16500">
        <v>17579</v>
      </c>
      <c r="D16500" t="s">
        <v>1253</v>
      </c>
      <c r="E16500" t="s">
        <v>1254</v>
      </c>
      <c r="F16500">
        <v>7289.43</v>
      </c>
      <c r="G16500">
        <v>231207</v>
      </c>
      <c r="H16500">
        <v>4571</v>
      </c>
      <c r="I16500" t="s">
        <v>181</v>
      </c>
      <c r="J16500">
        <v>9038.89</v>
      </c>
      <c r="K16500">
        <v>1749.46</v>
      </c>
      <c r="L16500">
        <v>59501</v>
      </c>
      <c r="M16500" t="s">
        <v>69</v>
      </c>
      <c r="N16500" t="str">
        <f>"56216       "</f>
        <v xml:space="preserve">56216       </v>
      </c>
      <c r="O16500">
        <v>231215</v>
      </c>
    </row>
    <row r="16501" spans="1:15" x14ac:dyDescent="0.25">
      <c r="A16501" t="s">
        <v>16</v>
      </c>
      <c r="B16501" t="s">
        <v>3221</v>
      </c>
      <c r="C16501">
        <v>17581</v>
      </c>
      <c r="D16501" t="s">
        <v>1253</v>
      </c>
      <c r="E16501" t="s">
        <v>1254</v>
      </c>
      <c r="F16501">
        <v>1228.8699999999999</v>
      </c>
      <c r="G16501">
        <v>231207</v>
      </c>
      <c r="H16501">
        <v>4571</v>
      </c>
      <c r="I16501" t="s">
        <v>181</v>
      </c>
      <c r="J16501">
        <v>1523.8</v>
      </c>
      <c r="K16501">
        <v>294.93</v>
      </c>
      <c r="L16501">
        <v>59111</v>
      </c>
      <c r="M16501" t="s">
        <v>1010</v>
      </c>
      <c r="N16501" t="str">
        <f>"56215       "</f>
        <v xml:space="preserve">56215       </v>
      </c>
      <c r="O16501">
        <v>231215</v>
      </c>
    </row>
    <row r="16502" spans="1:15" x14ac:dyDescent="0.25">
      <c r="A16502" t="s">
        <v>16</v>
      </c>
      <c r="B16502" t="s">
        <v>3221</v>
      </c>
      <c r="C16502">
        <v>17581</v>
      </c>
      <c r="D16502" t="s">
        <v>1253</v>
      </c>
      <c r="E16502" t="s">
        <v>1254</v>
      </c>
      <c r="F16502">
        <v>14131.99</v>
      </c>
      <c r="G16502">
        <v>231207</v>
      </c>
      <c r="H16502">
        <v>4571</v>
      </c>
      <c r="I16502" t="s">
        <v>181</v>
      </c>
      <c r="J16502">
        <v>17523.669999999998</v>
      </c>
      <c r="K16502">
        <v>3391.68</v>
      </c>
      <c r="L16502">
        <v>59501</v>
      </c>
      <c r="M16502" t="s">
        <v>69</v>
      </c>
      <c r="N16502" t="str">
        <f>"56215       "</f>
        <v xml:space="preserve">56215       </v>
      </c>
      <c r="O16502">
        <v>231215</v>
      </c>
    </row>
    <row r="16503" spans="1:15" x14ac:dyDescent="0.25">
      <c r="A16503" t="s">
        <v>16</v>
      </c>
      <c r="B16503" t="s">
        <v>3221</v>
      </c>
      <c r="C16503">
        <v>18839</v>
      </c>
      <c r="D16503" t="s">
        <v>1253</v>
      </c>
      <c r="E16503" t="s">
        <v>1254</v>
      </c>
      <c r="F16503">
        <v>2545.33</v>
      </c>
      <c r="G16503">
        <v>240104</v>
      </c>
      <c r="H16503">
        <v>4571</v>
      </c>
      <c r="I16503" t="s">
        <v>181</v>
      </c>
      <c r="J16503">
        <v>3156.21</v>
      </c>
      <c r="K16503">
        <v>610.88</v>
      </c>
      <c r="L16503">
        <v>59502</v>
      </c>
      <c r="M16503" t="s">
        <v>70</v>
      </c>
      <c r="N16503" t="str">
        <f>"56413       "</f>
        <v xml:space="preserve">56413       </v>
      </c>
      <c r="O16503">
        <v>240108</v>
      </c>
    </row>
    <row r="16504" spans="1:15" x14ac:dyDescent="0.25">
      <c r="A16504" t="s">
        <v>16</v>
      </c>
      <c r="B16504" t="s">
        <v>3221</v>
      </c>
      <c r="C16504">
        <v>18839</v>
      </c>
      <c r="D16504" t="s">
        <v>1253</v>
      </c>
      <c r="E16504" t="s">
        <v>1254</v>
      </c>
      <c r="F16504">
        <v>4727.05</v>
      </c>
      <c r="G16504">
        <v>240104</v>
      </c>
      <c r="H16504">
        <v>4571</v>
      </c>
      <c r="I16504" t="s">
        <v>181</v>
      </c>
      <c r="J16504">
        <v>5861.54</v>
      </c>
      <c r="K16504">
        <v>1134.49</v>
      </c>
      <c r="L16504">
        <v>59802</v>
      </c>
      <c r="M16504" t="s">
        <v>73</v>
      </c>
      <c r="N16504" t="str">
        <f>"56413       "</f>
        <v xml:space="preserve">56413       </v>
      </c>
      <c r="O16504">
        <v>240108</v>
      </c>
    </row>
    <row r="16505" spans="1:15" x14ac:dyDescent="0.25">
      <c r="A16505" t="s">
        <v>16</v>
      </c>
      <c r="B16505" t="s">
        <v>3221</v>
      </c>
      <c r="C16505">
        <v>18840</v>
      </c>
      <c r="D16505" t="s">
        <v>1253</v>
      </c>
      <c r="E16505" t="s">
        <v>1254</v>
      </c>
      <c r="F16505">
        <v>8051.97</v>
      </c>
      <c r="G16505">
        <v>240104</v>
      </c>
      <c r="H16505">
        <v>4571</v>
      </c>
      <c r="I16505" t="s">
        <v>181</v>
      </c>
      <c r="J16505">
        <v>9984.44</v>
      </c>
      <c r="K16505">
        <v>1932.47</v>
      </c>
      <c r="L16505">
        <v>59505</v>
      </c>
      <c r="M16505" t="s">
        <v>72</v>
      </c>
      <c r="N16505" t="str">
        <f>"56329       "</f>
        <v xml:space="preserve">56329       </v>
      </c>
      <c r="O16505">
        <v>240108</v>
      </c>
    </row>
    <row r="16506" spans="1:15" x14ac:dyDescent="0.25">
      <c r="A16506" t="s">
        <v>16</v>
      </c>
      <c r="B16506" t="s">
        <v>3221</v>
      </c>
      <c r="C16506">
        <v>18840</v>
      </c>
      <c r="D16506" t="s">
        <v>1253</v>
      </c>
      <c r="E16506" t="s">
        <v>1254</v>
      </c>
      <c r="F16506">
        <v>1098</v>
      </c>
      <c r="G16506">
        <v>240104</v>
      </c>
      <c r="H16506">
        <v>4571</v>
      </c>
      <c r="I16506" t="s">
        <v>181</v>
      </c>
      <c r="J16506">
        <v>1361.52</v>
      </c>
      <c r="K16506">
        <v>263.52</v>
      </c>
      <c r="L16506">
        <v>59812</v>
      </c>
      <c r="M16506" t="s">
        <v>74</v>
      </c>
      <c r="N16506" t="str">
        <f>"56329       "</f>
        <v xml:space="preserve">56329       </v>
      </c>
      <c r="O16506">
        <v>240108</v>
      </c>
    </row>
    <row r="16507" spans="1:15" x14ac:dyDescent="0.25">
      <c r="A16507" t="s">
        <v>16</v>
      </c>
      <c r="B16507" t="s">
        <v>3221</v>
      </c>
      <c r="C16507">
        <v>18865</v>
      </c>
      <c r="D16507" t="s">
        <v>1253</v>
      </c>
      <c r="E16507" t="s">
        <v>1254</v>
      </c>
      <c r="F16507">
        <v>10879.23</v>
      </c>
      <c r="G16507">
        <v>240104</v>
      </c>
      <c r="H16507">
        <v>4571</v>
      </c>
      <c r="I16507" t="s">
        <v>181</v>
      </c>
      <c r="J16507">
        <v>13490.24</v>
      </c>
      <c r="K16507">
        <v>2611.0100000000002</v>
      </c>
      <c r="L16507">
        <v>59501</v>
      </c>
      <c r="M16507" t="s">
        <v>69</v>
      </c>
      <c r="N16507" t="str">
        <f>"56409       "</f>
        <v xml:space="preserve">56409       </v>
      </c>
      <c r="O16507">
        <v>240108</v>
      </c>
    </row>
    <row r="16508" spans="1:15" x14ac:dyDescent="0.25">
      <c r="A16508" t="s">
        <v>16</v>
      </c>
      <c r="B16508" t="s">
        <v>3221</v>
      </c>
      <c r="C16508">
        <v>18868</v>
      </c>
      <c r="D16508" t="s">
        <v>1253</v>
      </c>
      <c r="E16508" t="s">
        <v>1254</v>
      </c>
      <c r="F16508">
        <v>7236.29</v>
      </c>
      <c r="G16508">
        <v>240104</v>
      </c>
      <c r="H16508">
        <v>4571</v>
      </c>
      <c r="I16508" t="s">
        <v>181</v>
      </c>
      <c r="J16508">
        <v>8973</v>
      </c>
      <c r="K16508">
        <v>1736.71</v>
      </c>
      <c r="L16508">
        <v>59502</v>
      </c>
      <c r="M16508" t="s">
        <v>70</v>
      </c>
      <c r="N16508" t="str">
        <f>"56412       "</f>
        <v xml:space="preserve">56412       </v>
      </c>
      <c r="O16508">
        <v>240108</v>
      </c>
    </row>
    <row r="16509" spans="1:15" x14ac:dyDescent="0.25">
      <c r="A16509" t="s">
        <v>16</v>
      </c>
      <c r="B16509" t="s">
        <v>3221</v>
      </c>
      <c r="C16509">
        <v>18870</v>
      </c>
      <c r="D16509" t="s">
        <v>1253</v>
      </c>
      <c r="E16509" t="s">
        <v>1254</v>
      </c>
      <c r="F16509">
        <v>6698.4</v>
      </c>
      <c r="G16509">
        <v>240104</v>
      </c>
      <c r="H16509">
        <v>4571</v>
      </c>
      <c r="I16509" t="s">
        <v>181</v>
      </c>
      <c r="J16509">
        <v>8306.02</v>
      </c>
      <c r="K16509">
        <v>1607.62</v>
      </c>
      <c r="L16509">
        <v>59501</v>
      </c>
      <c r="M16509" t="s">
        <v>69</v>
      </c>
      <c r="N16509" t="str">
        <f>"56415       "</f>
        <v xml:space="preserve">56415       </v>
      </c>
      <c r="O16509">
        <v>240108</v>
      </c>
    </row>
    <row r="16510" spans="1:15" x14ac:dyDescent="0.25">
      <c r="A16510" t="s">
        <v>16</v>
      </c>
      <c r="B16510" t="s">
        <v>3221</v>
      </c>
      <c r="C16510">
        <v>18901</v>
      </c>
      <c r="D16510" t="s">
        <v>1253</v>
      </c>
      <c r="E16510" t="s">
        <v>1254</v>
      </c>
      <c r="F16510">
        <v>1592.28</v>
      </c>
      <c r="G16510">
        <v>240104</v>
      </c>
      <c r="H16510">
        <v>4571</v>
      </c>
      <c r="I16510" t="s">
        <v>181</v>
      </c>
      <c r="J16510">
        <v>1974.43</v>
      </c>
      <c r="K16510">
        <v>382.15</v>
      </c>
      <c r="L16510">
        <v>59111</v>
      </c>
      <c r="M16510" t="s">
        <v>1010</v>
      </c>
      <c r="N16510" t="str">
        <f>"56408       "</f>
        <v xml:space="preserve">56408       </v>
      </c>
      <c r="O16510">
        <v>240108</v>
      </c>
    </row>
    <row r="16511" spans="1:15" x14ac:dyDescent="0.25">
      <c r="A16511" t="s">
        <v>16</v>
      </c>
      <c r="B16511" t="s">
        <v>3221</v>
      </c>
      <c r="C16511">
        <v>18901</v>
      </c>
      <c r="D16511" t="s">
        <v>1253</v>
      </c>
      <c r="E16511" t="s">
        <v>1254</v>
      </c>
      <c r="F16511">
        <v>18311.22</v>
      </c>
      <c r="G16511">
        <v>240104</v>
      </c>
      <c r="H16511">
        <v>4571</v>
      </c>
      <c r="I16511" t="s">
        <v>181</v>
      </c>
      <c r="J16511">
        <v>22705.91</v>
      </c>
      <c r="K16511">
        <v>4394.6899999999996</v>
      </c>
      <c r="L16511">
        <v>59501</v>
      </c>
      <c r="M16511" t="s">
        <v>69</v>
      </c>
      <c r="N16511" t="str">
        <f>"56408       "</f>
        <v xml:space="preserve">56408       </v>
      </c>
      <c r="O16511">
        <v>240108</v>
      </c>
    </row>
    <row r="16512" spans="1:15" x14ac:dyDescent="0.25">
      <c r="A16512" t="s">
        <v>16</v>
      </c>
      <c r="B16512" t="s">
        <v>3221</v>
      </c>
      <c r="C16512">
        <v>17956</v>
      </c>
      <c r="D16512" t="s">
        <v>3113</v>
      </c>
      <c r="E16512" t="s">
        <v>3114</v>
      </c>
      <c r="F16512">
        <v>380</v>
      </c>
      <c r="G16512">
        <v>231219</v>
      </c>
      <c r="H16512">
        <v>4840</v>
      </c>
      <c r="I16512" t="s">
        <v>19</v>
      </c>
      <c r="J16512">
        <v>471.2</v>
      </c>
      <c r="K16512">
        <v>91.2</v>
      </c>
      <c r="L16512">
        <v>56561</v>
      </c>
      <c r="M16512" t="s">
        <v>358</v>
      </c>
      <c r="N16512" t="str">
        <f>"7051        "</f>
        <v xml:space="preserve">7051        </v>
      </c>
      <c r="O16512">
        <v>231228</v>
      </c>
    </row>
    <row r="16513" spans="1:15" x14ac:dyDescent="0.25">
      <c r="A16513" t="s">
        <v>16</v>
      </c>
      <c r="B16513" t="s">
        <v>3221</v>
      </c>
      <c r="C16513">
        <v>18815</v>
      </c>
      <c r="D16513" t="s">
        <v>3113</v>
      </c>
      <c r="E16513" t="s">
        <v>3114</v>
      </c>
      <c r="F16513">
        <v>285</v>
      </c>
      <c r="G16513">
        <v>231222</v>
      </c>
      <c r="H16513">
        <v>4840</v>
      </c>
      <c r="I16513" t="s">
        <v>19</v>
      </c>
      <c r="J16513">
        <v>353.4</v>
      </c>
      <c r="K16513">
        <v>68.400000000000006</v>
      </c>
      <c r="L16513">
        <v>59501</v>
      </c>
      <c r="M16513" t="s">
        <v>69</v>
      </c>
      <c r="N16513" t="str">
        <f>"7056        "</f>
        <v xml:space="preserve">7056        </v>
      </c>
      <c r="O16513">
        <v>240108</v>
      </c>
    </row>
    <row r="16514" spans="1:15" x14ac:dyDescent="0.25">
      <c r="A16514" t="s">
        <v>16</v>
      </c>
      <c r="B16514" t="s">
        <v>3221</v>
      </c>
      <c r="C16514">
        <v>1614</v>
      </c>
      <c r="D16514" t="s">
        <v>3693</v>
      </c>
      <c r="E16514" t="s">
        <v>1100</v>
      </c>
      <c r="F16514">
        <v>61.05</v>
      </c>
      <c r="G16514">
        <v>230131</v>
      </c>
      <c r="H16514">
        <v>4410</v>
      </c>
      <c r="I16514" t="s">
        <v>517</v>
      </c>
      <c r="J16514">
        <v>69.599999999999994</v>
      </c>
      <c r="K16514">
        <v>8.5500000000000007</v>
      </c>
      <c r="L16514">
        <v>59113</v>
      </c>
      <c r="M16514" t="s">
        <v>235</v>
      </c>
      <c r="N16514" t="str">
        <f>"10032551    "</f>
        <v xml:space="preserve">10032551    </v>
      </c>
      <c r="O16514">
        <v>230210</v>
      </c>
    </row>
    <row r="16515" spans="1:15" x14ac:dyDescent="0.25">
      <c r="A16515" t="s">
        <v>16</v>
      </c>
      <c r="B16515" t="s">
        <v>3221</v>
      </c>
      <c r="C16515">
        <v>2089</v>
      </c>
      <c r="D16515" t="s">
        <v>3693</v>
      </c>
      <c r="E16515" t="s">
        <v>1100</v>
      </c>
      <c r="F16515">
        <v>39.68</v>
      </c>
      <c r="G16515">
        <v>230217</v>
      </c>
      <c r="H16515">
        <v>4410</v>
      </c>
      <c r="I16515" t="s">
        <v>517</v>
      </c>
      <c r="J16515">
        <v>45.24</v>
      </c>
      <c r="K16515">
        <v>5.56</v>
      </c>
      <c r="L16515">
        <v>59113</v>
      </c>
      <c r="M16515" t="s">
        <v>235</v>
      </c>
      <c r="N16515" t="str">
        <f>"10032603    "</f>
        <v xml:space="preserve">10032603    </v>
      </c>
      <c r="O16515">
        <v>230220</v>
      </c>
    </row>
    <row r="16516" spans="1:15" x14ac:dyDescent="0.25">
      <c r="A16516" t="s">
        <v>16</v>
      </c>
      <c r="B16516" t="s">
        <v>3221</v>
      </c>
      <c r="C16516">
        <v>3202</v>
      </c>
      <c r="D16516" t="s">
        <v>3693</v>
      </c>
      <c r="E16516" t="s">
        <v>1100</v>
      </c>
      <c r="F16516">
        <v>42.74</v>
      </c>
      <c r="G16516">
        <v>230228</v>
      </c>
      <c r="H16516">
        <v>4410</v>
      </c>
      <c r="I16516" t="s">
        <v>517</v>
      </c>
      <c r="J16516">
        <v>48.72</v>
      </c>
      <c r="K16516">
        <v>5.98</v>
      </c>
      <c r="L16516">
        <v>59113</v>
      </c>
      <c r="M16516" t="s">
        <v>235</v>
      </c>
      <c r="N16516" t="str">
        <f>"10032702    "</f>
        <v xml:space="preserve">10032702    </v>
      </c>
      <c r="O16516">
        <v>230310</v>
      </c>
    </row>
    <row r="16517" spans="1:15" x14ac:dyDescent="0.25">
      <c r="A16517" t="s">
        <v>16</v>
      </c>
      <c r="B16517" t="s">
        <v>3221</v>
      </c>
      <c r="C16517">
        <v>5105</v>
      </c>
      <c r="D16517" t="s">
        <v>3693</v>
      </c>
      <c r="E16517" t="s">
        <v>1100</v>
      </c>
      <c r="F16517">
        <v>58</v>
      </c>
      <c r="G16517">
        <v>230331</v>
      </c>
      <c r="H16517">
        <v>4410</v>
      </c>
      <c r="I16517" t="s">
        <v>517</v>
      </c>
      <c r="J16517">
        <v>66.12</v>
      </c>
      <c r="K16517">
        <v>8.1199999999999992</v>
      </c>
      <c r="L16517">
        <v>59113</v>
      </c>
      <c r="M16517" t="s">
        <v>235</v>
      </c>
      <c r="N16517" t="str">
        <f>"10032803    "</f>
        <v xml:space="preserve">10032803    </v>
      </c>
      <c r="O16517">
        <v>230418</v>
      </c>
    </row>
    <row r="16518" spans="1:15" x14ac:dyDescent="0.25">
      <c r="A16518" t="s">
        <v>16</v>
      </c>
      <c r="B16518" t="s">
        <v>3221</v>
      </c>
      <c r="C16518">
        <v>6548</v>
      </c>
      <c r="D16518" t="s">
        <v>3693</v>
      </c>
      <c r="E16518" t="s">
        <v>1100</v>
      </c>
      <c r="F16518">
        <v>45.79</v>
      </c>
      <c r="G16518">
        <v>230430</v>
      </c>
      <c r="H16518">
        <v>4410</v>
      </c>
      <c r="I16518" t="s">
        <v>517</v>
      </c>
      <c r="J16518">
        <v>52.2</v>
      </c>
      <c r="K16518">
        <v>6.41</v>
      </c>
      <c r="L16518">
        <v>59113</v>
      </c>
      <c r="M16518" t="s">
        <v>235</v>
      </c>
      <c r="N16518" t="str">
        <f>"10032968    "</f>
        <v xml:space="preserve">10032968    </v>
      </c>
      <c r="O16518">
        <v>230512</v>
      </c>
    </row>
    <row r="16519" spans="1:15" x14ac:dyDescent="0.25">
      <c r="A16519" t="s">
        <v>16</v>
      </c>
      <c r="B16519" t="s">
        <v>3221</v>
      </c>
      <c r="C16519">
        <v>8859</v>
      </c>
      <c r="D16519" t="s">
        <v>3693</v>
      </c>
      <c r="E16519" t="s">
        <v>1100</v>
      </c>
      <c r="F16519">
        <v>58</v>
      </c>
      <c r="G16519">
        <v>230531</v>
      </c>
      <c r="H16519">
        <v>4410</v>
      </c>
      <c r="I16519" t="s">
        <v>517</v>
      </c>
      <c r="J16519">
        <v>66.12</v>
      </c>
      <c r="K16519">
        <v>8.1199999999999992</v>
      </c>
      <c r="L16519">
        <v>59113</v>
      </c>
      <c r="M16519" t="s">
        <v>235</v>
      </c>
      <c r="N16519" t="str">
        <f>"10033090    "</f>
        <v xml:space="preserve">10033090    </v>
      </c>
      <c r="O16519">
        <v>230619</v>
      </c>
    </row>
    <row r="16520" spans="1:15" x14ac:dyDescent="0.25">
      <c r="A16520" t="s">
        <v>16</v>
      </c>
      <c r="B16520" t="s">
        <v>3221</v>
      </c>
      <c r="C16520">
        <v>13789</v>
      </c>
      <c r="D16520" t="s">
        <v>3693</v>
      </c>
      <c r="E16520" t="s">
        <v>1100</v>
      </c>
      <c r="F16520">
        <v>161.4</v>
      </c>
      <c r="G16520">
        <v>230930</v>
      </c>
      <c r="H16520">
        <v>4410</v>
      </c>
      <c r="I16520" t="s">
        <v>517</v>
      </c>
      <c r="J16520">
        <v>184</v>
      </c>
      <c r="K16520">
        <v>22.6</v>
      </c>
      <c r="L16520">
        <v>59113</v>
      </c>
      <c r="M16520" t="s">
        <v>235</v>
      </c>
      <c r="N16520" t="str">
        <f>"10033579    "</f>
        <v xml:space="preserve">10033579    </v>
      </c>
      <c r="O16520">
        <v>231013</v>
      </c>
    </row>
    <row r="16521" spans="1:15" x14ac:dyDescent="0.25">
      <c r="A16521" t="s">
        <v>16</v>
      </c>
      <c r="B16521" t="s">
        <v>3221</v>
      </c>
      <c r="C16521">
        <v>15551</v>
      </c>
      <c r="D16521" t="s">
        <v>3693</v>
      </c>
      <c r="E16521" t="s">
        <v>1100</v>
      </c>
      <c r="F16521">
        <v>129.82</v>
      </c>
      <c r="G16521">
        <v>231031</v>
      </c>
      <c r="H16521">
        <v>4410</v>
      </c>
      <c r="I16521" t="s">
        <v>517</v>
      </c>
      <c r="J16521">
        <v>147.99</v>
      </c>
      <c r="K16521">
        <v>18.170000000000002</v>
      </c>
      <c r="L16521">
        <v>59113</v>
      </c>
      <c r="M16521" t="s">
        <v>235</v>
      </c>
      <c r="N16521" t="str">
        <f>"10033693    "</f>
        <v xml:space="preserve">10033693    </v>
      </c>
      <c r="O16521">
        <v>231113</v>
      </c>
    </row>
    <row r="16522" spans="1:15" x14ac:dyDescent="0.25">
      <c r="A16522" t="s">
        <v>16</v>
      </c>
      <c r="B16522" t="s">
        <v>3221</v>
      </c>
      <c r="C16522">
        <v>17584</v>
      </c>
      <c r="D16522" t="s">
        <v>3693</v>
      </c>
      <c r="E16522" t="s">
        <v>1100</v>
      </c>
      <c r="F16522">
        <v>129.82</v>
      </c>
      <c r="G16522">
        <v>231130</v>
      </c>
      <c r="H16522">
        <v>4410</v>
      </c>
      <c r="I16522" t="s">
        <v>517</v>
      </c>
      <c r="J16522">
        <v>147.99</v>
      </c>
      <c r="K16522">
        <v>18.170000000000002</v>
      </c>
      <c r="L16522">
        <v>59113</v>
      </c>
      <c r="M16522" t="s">
        <v>235</v>
      </c>
      <c r="N16522" t="str">
        <f>"10033809    "</f>
        <v xml:space="preserve">10033809    </v>
      </c>
      <c r="O16522">
        <v>231215</v>
      </c>
    </row>
    <row r="16523" spans="1:15" x14ac:dyDescent="0.25">
      <c r="A16523" t="s">
        <v>16</v>
      </c>
      <c r="B16523" t="s">
        <v>3221</v>
      </c>
      <c r="C16523">
        <v>19097</v>
      </c>
      <c r="D16523" t="s">
        <v>3693</v>
      </c>
      <c r="E16523" t="s">
        <v>1100</v>
      </c>
      <c r="F16523">
        <v>115.79</v>
      </c>
      <c r="G16523">
        <v>231231</v>
      </c>
      <c r="H16523">
        <v>4410</v>
      </c>
      <c r="I16523" t="s">
        <v>517</v>
      </c>
      <c r="J16523">
        <v>132</v>
      </c>
      <c r="K16523">
        <v>16.21</v>
      </c>
      <c r="L16523">
        <v>59113</v>
      </c>
      <c r="M16523" t="s">
        <v>235</v>
      </c>
      <c r="N16523" t="str">
        <f>"10033912    "</f>
        <v xml:space="preserve">10033912    </v>
      </c>
      <c r="O16523">
        <v>240110</v>
      </c>
    </row>
    <row r="16524" spans="1:15" x14ac:dyDescent="0.25">
      <c r="A16524" t="s">
        <v>16</v>
      </c>
      <c r="B16524" t="s">
        <v>3221</v>
      </c>
      <c r="C16524">
        <v>10245</v>
      </c>
      <c r="D16524" t="s">
        <v>2359</v>
      </c>
      <c r="E16524" t="s">
        <v>2360</v>
      </c>
      <c r="F16524">
        <v>3.75</v>
      </c>
      <c r="G16524">
        <v>230806</v>
      </c>
      <c r="H16524">
        <v>4420</v>
      </c>
      <c r="I16524" t="s">
        <v>132</v>
      </c>
      <c r="J16524">
        <v>4.6500000000000004</v>
      </c>
      <c r="K16524">
        <v>0.9</v>
      </c>
      <c r="L16524">
        <v>59702</v>
      </c>
      <c r="M16524" t="s">
        <v>328</v>
      </c>
      <c r="N16524" t="str">
        <f>"10936       "</f>
        <v xml:space="preserve">10936       </v>
      </c>
      <c r="O16524">
        <v>230810</v>
      </c>
    </row>
    <row r="16525" spans="1:15" x14ac:dyDescent="0.25">
      <c r="A16525" t="s">
        <v>16</v>
      </c>
      <c r="B16525" t="s">
        <v>3221</v>
      </c>
      <c r="C16525">
        <v>10245</v>
      </c>
      <c r="D16525" t="s">
        <v>2359</v>
      </c>
      <c r="E16525" t="s">
        <v>2360</v>
      </c>
      <c r="F16525">
        <v>15</v>
      </c>
      <c r="G16525">
        <v>230806</v>
      </c>
      <c r="H16525">
        <v>4420</v>
      </c>
      <c r="I16525" t="s">
        <v>132</v>
      </c>
      <c r="J16525">
        <v>16.5</v>
      </c>
      <c r="K16525">
        <v>1.5</v>
      </c>
      <c r="L16525">
        <v>59702</v>
      </c>
      <c r="M16525" t="s">
        <v>328</v>
      </c>
      <c r="N16525" t="str">
        <f>"10936       "</f>
        <v xml:space="preserve">10936       </v>
      </c>
      <c r="O16525">
        <v>230810</v>
      </c>
    </row>
    <row r="16526" spans="1:15" x14ac:dyDescent="0.25">
      <c r="A16526" t="s">
        <v>16</v>
      </c>
      <c r="B16526" t="s">
        <v>3221</v>
      </c>
      <c r="C16526">
        <v>8432</v>
      </c>
      <c r="D16526" t="s">
        <v>3273</v>
      </c>
      <c r="E16526" t="s">
        <v>3189</v>
      </c>
      <c r="F16526">
        <v>613.27</v>
      </c>
      <c r="G16526">
        <v>230608</v>
      </c>
      <c r="H16526">
        <v>1196</v>
      </c>
      <c r="I16526" t="s">
        <v>392</v>
      </c>
      <c r="J16526">
        <v>760.45</v>
      </c>
      <c r="K16526">
        <v>147.18</v>
      </c>
      <c r="L16526">
        <v>95501</v>
      </c>
      <c r="M16526" t="s">
        <v>623</v>
      </c>
      <c r="N16526" t="str">
        <f>"32/20002433 "</f>
        <v xml:space="preserve">32/20002433 </v>
      </c>
      <c r="O16526">
        <v>230608</v>
      </c>
    </row>
    <row r="16527" spans="1:15" x14ac:dyDescent="0.25">
      <c r="A16527" t="s">
        <v>16</v>
      </c>
      <c r="B16527" t="s">
        <v>3221</v>
      </c>
      <c r="C16527">
        <v>6355</v>
      </c>
      <c r="D16527" t="s">
        <v>3273</v>
      </c>
      <c r="E16527" t="s">
        <v>3189</v>
      </c>
      <c r="F16527">
        <v>1108.9000000000001</v>
      </c>
      <c r="G16527">
        <v>230426</v>
      </c>
      <c r="H16527">
        <v>4380</v>
      </c>
      <c r="I16527" t="s">
        <v>113</v>
      </c>
      <c r="J16527">
        <v>1375.04</v>
      </c>
      <c r="K16527">
        <v>266.14</v>
      </c>
      <c r="L16527">
        <v>56575</v>
      </c>
      <c r="M16527" t="s">
        <v>95</v>
      </c>
      <c r="N16527" t="str">
        <f>"80189703    "</f>
        <v xml:space="preserve">80189703    </v>
      </c>
      <c r="O16527">
        <v>230510</v>
      </c>
    </row>
    <row r="16528" spans="1:15" x14ac:dyDescent="0.25">
      <c r="A16528" t="s">
        <v>16</v>
      </c>
      <c r="B16528" t="s">
        <v>3221</v>
      </c>
      <c r="C16528">
        <v>11314</v>
      </c>
      <c r="D16528" t="s">
        <v>3273</v>
      </c>
      <c r="E16528" t="s">
        <v>3189</v>
      </c>
      <c r="F16528">
        <v>1131.06</v>
      </c>
      <c r="G16528">
        <v>230822</v>
      </c>
      <c r="H16528">
        <v>4380</v>
      </c>
      <c r="I16528" t="s">
        <v>113</v>
      </c>
      <c r="J16528">
        <v>1402.52</v>
      </c>
      <c r="K16528">
        <v>271.45999999999998</v>
      </c>
      <c r="L16528">
        <v>56575</v>
      </c>
      <c r="M16528" t="s">
        <v>95</v>
      </c>
      <c r="N16528" t="str">
        <f>"80193441    "</f>
        <v xml:space="preserve">80193441    </v>
      </c>
      <c r="O16528">
        <v>230904</v>
      </c>
    </row>
    <row r="16529" spans="1:15" x14ac:dyDescent="0.25">
      <c r="A16529" t="s">
        <v>16</v>
      </c>
      <c r="B16529" t="s">
        <v>3221</v>
      </c>
      <c r="C16529">
        <v>18998</v>
      </c>
      <c r="D16529" t="s">
        <v>3273</v>
      </c>
      <c r="E16529" t="s">
        <v>3189</v>
      </c>
      <c r="F16529">
        <v>-1029.54</v>
      </c>
      <c r="G16529">
        <v>231229</v>
      </c>
      <c r="H16529">
        <v>4380</v>
      </c>
      <c r="I16529" t="s">
        <v>113</v>
      </c>
      <c r="J16529">
        <v>-1276.6300000000001</v>
      </c>
      <c r="K16529">
        <v>-247.09</v>
      </c>
      <c r="L16529">
        <v>56575</v>
      </c>
      <c r="M16529" t="s">
        <v>95</v>
      </c>
      <c r="N16529" t="str">
        <f>"80203936    "</f>
        <v xml:space="preserve">80203936    </v>
      </c>
      <c r="O16529">
        <v>240109</v>
      </c>
    </row>
    <row r="16530" spans="1:15" x14ac:dyDescent="0.25">
      <c r="A16530" t="s">
        <v>16</v>
      </c>
      <c r="B16530" t="s">
        <v>3221</v>
      </c>
      <c r="C16530">
        <v>5657</v>
      </c>
      <c r="D16530" t="s">
        <v>3273</v>
      </c>
      <c r="E16530" t="s">
        <v>3189</v>
      </c>
      <c r="F16530">
        <v>413.81</v>
      </c>
      <c r="G16530">
        <v>230425</v>
      </c>
      <c r="H16530">
        <v>4573</v>
      </c>
      <c r="I16530" t="s">
        <v>46</v>
      </c>
      <c r="J16530">
        <v>513.12</v>
      </c>
      <c r="K16530">
        <v>99.31</v>
      </c>
      <c r="L16530">
        <v>59812</v>
      </c>
      <c r="M16530" t="s">
        <v>74</v>
      </c>
      <c r="N16530" t="str">
        <f>"80188819    "</f>
        <v xml:space="preserve">80188819    </v>
      </c>
      <c r="O16530">
        <v>230428</v>
      </c>
    </row>
    <row r="16531" spans="1:15" x14ac:dyDescent="0.25">
      <c r="A16531" t="s">
        <v>16</v>
      </c>
      <c r="B16531" t="s">
        <v>3221</v>
      </c>
      <c r="C16531">
        <v>5658</v>
      </c>
      <c r="D16531" t="s">
        <v>3273</v>
      </c>
      <c r="E16531" t="s">
        <v>3189</v>
      </c>
      <c r="F16531">
        <v>1173.83</v>
      </c>
      <c r="G16531">
        <v>230425</v>
      </c>
      <c r="H16531">
        <v>4573</v>
      </c>
      <c r="I16531" t="s">
        <v>46</v>
      </c>
      <c r="J16531">
        <v>1455.55</v>
      </c>
      <c r="K16531">
        <v>281.72000000000003</v>
      </c>
      <c r="L16531">
        <v>59503</v>
      </c>
      <c r="M16531" t="s">
        <v>194</v>
      </c>
      <c r="N16531" t="str">
        <f>"80188802    "</f>
        <v xml:space="preserve">80188802    </v>
      </c>
      <c r="O16531">
        <v>230428</v>
      </c>
    </row>
    <row r="16532" spans="1:15" x14ac:dyDescent="0.25">
      <c r="A16532" t="s">
        <v>16</v>
      </c>
      <c r="B16532" t="s">
        <v>3221</v>
      </c>
      <c r="C16532">
        <v>5659</v>
      </c>
      <c r="D16532" t="s">
        <v>3273</v>
      </c>
      <c r="E16532" t="s">
        <v>3189</v>
      </c>
      <c r="F16532">
        <v>753.19</v>
      </c>
      <c r="G16532">
        <v>230425</v>
      </c>
      <c r="H16532">
        <v>4573</v>
      </c>
      <c r="I16532" t="s">
        <v>46</v>
      </c>
      <c r="J16532">
        <v>933.96</v>
      </c>
      <c r="K16532">
        <v>180.77</v>
      </c>
      <c r="L16532">
        <v>59505</v>
      </c>
      <c r="M16532" t="s">
        <v>72</v>
      </c>
      <c r="N16532" t="str">
        <f>"80188698    "</f>
        <v xml:space="preserve">80188698    </v>
      </c>
      <c r="O16532">
        <v>230428</v>
      </c>
    </row>
    <row r="16533" spans="1:15" x14ac:dyDescent="0.25">
      <c r="A16533" t="s">
        <v>16</v>
      </c>
      <c r="B16533" t="s">
        <v>3221</v>
      </c>
      <c r="C16533">
        <v>5660</v>
      </c>
      <c r="D16533" t="s">
        <v>3273</v>
      </c>
      <c r="E16533" t="s">
        <v>3189</v>
      </c>
      <c r="F16533">
        <v>266.51</v>
      </c>
      <c r="G16533">
        <v>230425</v>
      </c>
      <c r="H16533">
        <v>4573</v>
      </c>
      <c r="I16533" t="s">
        <v>46</v>
      </c>
      <c r="J16533">
        <v>330.47</v>
      </c>
      <c r="K16533">
        <v>63.96</v>
      </c>
      <c r="L16533">
        <v>59111</v>
      </c>
      <c r="M16533" t="s">
        <v>1010</v>
      </c>
      <c r="N16533" t="str">
        <f>"80188514    "</f>
        <v xml:space="preserve">80188514    </v>
      </c>
      <c r="O16533">
        <v>230428</v>
      </c>
    </row>
    <row r="16534" spans="1:15" x14ac:dyDescent="0.25">
      <c r="A16534" t="s">
        <v>16</v>
      </c>
      <c r="B16534" t="s">
        <v>3221</v>
      </c>
      <c r="C16534">
        <v>5660</v>
      </c>
      <c r="D16534" t="s">
        <v>3273</v>
      </c>
      <c r="E16534" t="s">
        <v>3189</v>
      </c>
      <c r="F16534">
        <v>4175.26</v>
      </c>
      <c r="G16534">
        <v>230425</v>
      </c>
      <c r="H16534">
        <v>4573</v>
      </c>
      <c r="I16534" t="s">
        <v>46</v>
      </c>
      <c r="J16534">
        <v>5177.32</v>
      </c>
      <c r="K16534">
        <v>1002.06</v>
      </c>
      <c r="L16534">
        <v>59501</v>
      </c>
      <c r="M16534" t="s">
        <v>69</v>
      </c>
      <c r="N16534" t="str">
        <f>"80188514    "</f>
        <v xml:space="preserve">80188514    </v>
      </c>
      <c r="O16534">
        <v>230428</v>
      </c>
    </row>
    <row r="16535" spans="1:15" x14ac:dyDescent="0.25">
      <c r="A16535" t="s">
        <v>16</v>
      </c>
      <c r="B16535" t="s">
        <v>3221</v>
      </c>
      <c r="C16535">
        <v>5661</v>
      </c>
      <c r="D16535" t="s">
        <v>3273</v>
      </c>
      <c r="E16535" t="s">
        <v>3189</v>
      </c>
      <c r="F16535">
        <v>1356.95</v>
      </c>
      <c r="G16535">
        <v>230426</v>
      </c>
      <c r="H16535">
        <v>4573</v>
      </c>
      <c r="I16535" t="s">
        <v>46</v>
      </c>
      <c r="J16535">
        <v>1682.62</v>
      </c>
      <c r="K16535">
        <v>325.67</v>
      </c>
      <c r="L16535">
        <v>59502</v>
      </c>
      <c r="M16535" t="s">
        <v>70</v>
      </c>
      <c r="N16535" t="str">
        <f>"80189701    "</f>
        <v xml:space="preserve">80189701    </v>
      </c>
      <c r="O16535">
        <v>230428</v>
      </c>
    </row>
    <row r="16536" spans="1:15" x14ac:dyDescent="0.25">
      <c r="A16536" t="s">
        <v>16</v>
      </c>
      <c r="B16536" t="s">
        <v>3221</v>
      </c>
      <c r="C16536">
        <v>5676</v>
      </c>
      <c r="D16536" t="s">
        <v>3273</v>
      </c>
      <c r="E16536" t="s">
        <v>3189</v>
      </c>
      <c r="F16536">
        <v>400.82</v>
      </c>
      <c r="G16536">
        <v>230426</v>
      </c>
      <c r="H16536">
        <v>4573</v>
      </c>
      <c r="I16536" t="s">
        <v>46</v>
      </c>
      <c r="J16536">
        <v>497.02</v>
      </c>
      <c r="K16536">
        <v>96.2</v>
      </c>
      <c r="L16536">
        <v>59112</v>
      </c>
      <c r="M16536" t="s">
        <v>182</v>
      </c>
      <c r="N16536" t="str">
        <f>"80190803    "</f>
        <v xml:space="preserve">80190803    </v>
      </c>
      <c r="O16536">
        <v>230428</v>
      </c>
    </row>
    <row r="16537" spans="1:15" x14ac:dyDescent="0.25">
      <c r="A16537" t="s">
        <v>16</v>
      </c>
      <c r="B16537" t="s">
        <v>3221</v>
      </c>
      <c r="C16537">
        <v>5676</v>
      </c>
      <c r="D16537" t="s">
        <v>3273</v>
      </c>
      <c r="E16537" t="s">
        <v>3189</v>
      </c>
      <c r="F16537">
        <v>1083.71</v>
      </c>
      <c r="G16537">
        <v>230426</v>
      </c>
      <c r="H16537">
        <v>4573</v>
      </c>
      <c r="I16537" t="s">
        <v>46</v>
      </c>
      <c r="J16537">
        <v>1343.8</v>
      </c>
      <c r="K16537">
        <v>260.08999999999997</v>
      </c>
      <c r="L16537">
        <v>59504</v>
      </c>
      <c r="M16537" t="s">
        <v>71</v>
      </c>
      <c r="N16537" t="str">
        <f>"80190803    "</f>
        <v xml:space="preserve">80190803    </v>
      </c>
      <c r="O16537">
        <v>230428</v>
      </c>
    </row>
    <row r="16538" spans="1:15" x14ac:dyDescent="0.25">
      <c r="A16538" t="s">
        <v>16</v>
      </c>
      <c r="B16538" t="s">
        <v>3221</v>
      </c>
      <c r="C16538">
        <v>5775</v>
      </c>
      <c r="D16538" t="s">
        <v>3273</v>
      </c>
      <c r="E16538" t="s">
        <v>3189</v>
      </c>
      <c r="F16538">
        <v>221.49</v>
      </c>
      <c r="G16538">
        <v>230425</v>
      </c>
      <c r="H16538">
        <v>4573</v>
      </c>
      <c r="I16538" t="s">
        <v>46</v>
      </c>
      <c r="J16538">
        <v>221.49</v>
      </c>
      <c r="K16538">
        <v>0</v>
      </c>
      <c r="L16538">
        <v>59813</v>
      </c>
      <c r="M16538" t="s">
        <v>915</v>
      </c>
      <c r="N16538" t="str">
        <f>"80188695    "</f>
        <v xml:space="preserve">80188695    </v>
      </c>
      <c r="O16538">
        <v>230502</v>
      </c>
    </row>
    <row r="16539" spans="1:15" x14ac:dyDescent="0.25">
      <c r="A16539" t="s">
        <v>16</v>
      </c>
      <c r="B16539" t="s">
        <v>3221</v>
      </c>
      <c r="C16539">
        <v>5777</v>
      </c>
      <c r="D16539" t="s">
        <v>3273</v>
      </c>
      <c r="E16539" t="s">
        <v>3189</v>
      </c>
      <c r="F16539">
        <v>386.09</v>
      </c>
      <c r="G16539">
        <v>230426</v>
      </c>
      <c r="H16539">
        <v>4573</v>
      </c>
      <c r="I16539" t="s">
        <v>46</v>
      </c>
      <c r="J16539">
        <v>478.75</v>
      </c>
      <c r="K16539">
        <v>92.66</v>
      </c>
      <c r="L16539">
        <v>59502</v>
      </c>
      <c r="M16539" t="s">
        <v>70</v>
      </c>
      <c r="N16539" t="str">
        <f>"80189702    "</f>
        <v xml:space="preserve">80189702    </v>
      </c>
      <c r="O16539">
        <v>230502</v>
      </c>
    </row>
    <row r="16540" spans="1:15" x14ac:dyDescent="0.25">
      <c r="A16540" t="s">
        <v>16</v>
      </c>
      <c r="B16540" t="s">
        <v>3221</v>
      </c>
      <c r="C16540">
        <v>5777</v>
      </c>
      <c r="D16540" t="s">
        <v>3273</v>
      </c>
      <c r="E16540" t="s">
        <v>3189</v>
      </c>
      <c r="F16540">
        <v>246.84</v>
      </c>
      <c r="G16540">
        <v>230426</v>
      </c>
      <c r="H16540">
        <v>4573</v>
      </c>
      <c r="I16540" t="s">
        <v>46</v>
      </c>
      <c r="J16540">
        <v>306.08</v>
      </c>
      <c r="K16540">
        <v>59.24</v>
      </c>
      <c r="L16540">
        <v>59802</v>
      </c>
      <c r="M16540" t="s">
        <v>73</v>
      </c>
      <c r="N16540" t="str">
        <f>"80189702    "</f>
        <v xml:space="preserve">80189702    </v>
      </c>
      <c r="O16540">
        <v>230502</v>
      </c>
    </row>
    <row r="16541" spans="1:15" x14ac:dyDescent="0.25">
      <c r="A16541" t="s">
        <v>16</v>
      </c>
      <c r="B16541" t="s">
        <v>3221</v>
      </c>
      <c r="C16541">
        <v>5813</v>
      </c>
      <c r="D16541" t="s">
        <v>3273</v>
      </c>
      <c r="E16541" t="s">
        <v>3189</v>
      </c>
      <c r="F16541">
        <v>128</v>
      </c>
      <c r="G16541">
        <v>230426</v>
      </c>
      <c r="H16541">
        <v>4573</v>
      </c>
      <c r="I16541" t="s">
        <v>46</v>
      </c>
      <c r="J16541">
        <v>158.72</v>
      </c>
      <c r="K16541">
        <v>30.72</v>
      </c>
      <c r="L16541">
        <v>56571</v>
      </c>
      <c r="M16541" t="s">
        <v>204</v>
      </c>
      <c r="N16541" t="str">
        <f>"80189745    "</f>
        <v xml:space="preserve">80189745    </v>
      </c>
      <c r="O16541">
        <v>230503</v>
      </c>
    </row>
    <row r="16542" spans="1:15" x14ac:dyDescent="0.25">
      <c r="A16542" t="s">
        <v>16</v>
      </c>
      <c r="B16542" t="s">
        <v>3221</v>
      </c>
      <c r="C16542">
        <v>6355</v>
      </c>
      <c r="D16542" t="s">
        <v>3273</v>
      </c>
      <c r="E16542" t="s">
        <v>3189</v>
      </c>
      <c r="F16542">
        <v>762.85</v>
      </c>
      <c r="G16542">
        <v>230426</v>
      </c>
      <c r="H16542">
        <v>4573</v>
      </c>
      <c r="I16542" t="s">
        <v>46</v>
      </c>
      <c r="J16542">
        <v>945.93</v>
      </c>
      <c r="K16542">
        <v>183.08</v>
      </c>
      <c r="L16542">
        <v>56575</v>
      </c>
      <c r="M16542" t="s">
        <v>95</v>
      </c>
      <c r="N16542" t="str">
        <f>"80189703    "</f>
        <v xml:space="preserve">80189703    </v>
      </c>
      <c r="O16542">
        <v>230510</v>
      </c>
    </row>
    <row r="16543" spans="1:15" x14ac:dyDescent="0.25">
      <c r="A16543" t="s">
        <v>16</v>
      </c>
      <c r="B16543" t="s">
        <v>3221</v>
      </c>
      <c r="C16543">
        <v>11295</v>
      </c>
      <c r="D16543" t="s">
        <v>3273</v>
      </c>
      <c r="E16543" t="s">
        <v>3189</v>
      </c>
      <c r="F16543">
        <v>1385.63</v>
      </c>
      <c r="G16543">
        <v>230822</v>
      </c>
      <c r="H16543">
        <v>4573</v>
      </c>
      <c r="I16543" t="s">
        <v>46</v>
      </c>
      <c r="J16543">
        <v>1718.18</v>
      </c>
      <c r="K16543">
        <v>332.55</v>
      </c>
      <c r="L16543">
        <v>59502</v>
      </c>
      <c r="M16543" t="s">
        <v>70</v>
      </c>
      <c r="N16543" t="str">
        <f>"80193439    "</f>
        <v xml:space="preserve">80193439    </v>
      </c>
      <c r="O16543">
        <v>230904</v>
      </c>
    </row>
    <row r="16544" spans="1:15" x14ac:dyDescent="0.25">
      <c r="A16544" t="s">
        <v>16</v>
      </c>
      <c r="B16544" t="s">
        <v>3221</v>
      </c>
      <c r="C16544">
        <v>11296</v>
      </c>
      <c r="D16544" t="s">
        <v>3273</v>
      </c>
      <c r="E16544" t="s">
        <v>3189</v>
      </c>
      <c r="F16544">
        <v>226.54</v>
      </c>
      <c r="G16544">
        <v>230822</v>
      </c>
      <c r="H16544">
        <v>4573</v>
      </c>
      <c r="I16544" t="s">
        <v>46</v>
      </c>
      <c r="J16544">
        <v>280.91000000000003</v>
      </c>
      <c r="K16544">
        <v>54.37</v>
      </c>
      <c r="L16544">
        <v>59502</v>
      </c>
      <c r="M16544" t="s">
        <v>70</v>
      </c>
      <c r="N16544" t="str">
        <f>"80193440    "</f>
        <v xml:space="preserve">80193440    </v>
      </c>
      <c r="O16544">
        <v>230904</v>
      </c>
    </row>
    <row r="16545" spans="1:15" x14ac:dyDescent="0.25">
      <c r="A16545" t="s">
        <v>16</v>
      </c>
      <c r="B16545" t="s">
        <v>3221</v>
      </c>
      <c r="C16545">
        <v>11296</v>
      </c>
      <c r="D16545" t="s">
        <v>3273</v>
      </c>
      <c r="E16545" t="s">
        <v>3189</v>
      </c>
      <c r="F16545">
        <v>420.73</v>
      </c>
      <c r="G16545">
        <v>230822</v>
      </c>
      <c r="H16545">
        <v>4573</v>
      </c>
      <c r="I16545" t="s">
        <v>46</v>
      </c>
      <c r="J16545">
        <v>521.70000000000005</v>
      </c>
      <c r="K16545">
        <v>100.97</v>
      </c>
      <c r="L16545">
        <v>59802</v>
      </c>
      <c r="M16545" t="s">
        <v>73</v>
      </c>
      <c r="N16545" t="str">
        <f>"80193440    "</f>
        <v xml:space="preserve">80193440    </v>
      </c>
      <c r="O16545">
        <v>230904</v>
      </c>
    </row>
    <row r="16546" spans="1:15" x14ac:dyDescent="0.25">
      <c r="A16546" t="s">
        <v>16</v>
      </c>
      <c r="B16546" t="s">
        <v>3221</v>
      </c>
      <c r="C16546">
        <v>11297</v>
      </c>
      <c r="D16546" t="s">
        <v>3273</v>
      </c>
      <c r="E16546" t="s">
        <v>3189</v>
      </c>
      <c r="F16546">
        <v>409.85</v>
      </c>
      <c r="G16546">
        <v>230822</v>
      </c>
      <c r="H16546">
        <v>4573</v>
      </c>
      <c r="I16546" t="s">
        <v>46</v>
      </c>
      <c r="J16546">
        <v>508.22</v>
      </c>
      <c r="K16546">
        <v>98.37</v>
      </c>
      <c r="L16546">
        <v>59112</v>
      </c>
      <c r="M16546" t="s">
        <v>182</v>
      </c>
      <c r="N16546" t="str">
        <f>"80192950    "</f>
        <v xml:space="preserve">80192950    </v>
      </c>
      <c r="O16546">
        <v>230904</v>
      </c>
    </row>
    <row r="16547" spans="1:15" x14ac:dyDescent="0.25">
      <c r="A16547" t="s">
        <v>16</v>
      </c>
      <c r="B16547" t="s">
        <v>3221</v>
      </c>
      <c r="C16547">
        <v>11297</v>
      </c>
      <c r="D16547" t="s">
        <v>3273</v>
      </c>
      <c r="E16547" t="s">
        <v>3189</v>
      </c>
      <c r="F16547">
        <v>1108.1400000000001</v>
      </c>
      <c r="G16547">
        <v>230822</v>
      </c>
      <c r="H16547">
        <v>4573</v>
      </c>
      <c r="I16547" t="s">
        <v>46</v>
      </c>
      <c r="J16547">
        <v>1374.09</v>
      </c>
      <c r="K16547">
        <v>265.95</v>
      </c>
      <c r="L16547">
        <v>59504</v>
      </c>
      <c r="M16547" t="s">
        <v>71</v>
      </c>
      <c r="N16547" t="str">
        <f>"80192950    "</f>
        <v xml:space="preserve">80192950    </v>
      </c>
      <c r="O16547">
        <v>230904</v>
      </c>
    </row>
    <row r="16548" spans="1:15" x14ac:dyDescent="0.25">
      <c r="A16548" t="s">
        <v>16</v>
      </c>
      <c r="B16548" t="s">
        <v>3221</v>
      </c>
      <c r="C16548">
        <v>11298</v>
      </c>
      <c r="D16548" t="s">
        <v>3273</v>
      </c>
      <c r="E16548" t="s">
        <v>3189</v>
      </c>
      <c r="F16548">
        <v>272.52999999999997</v>
      </c>
      <c r="G16548">
        <v>230823</v>
      </c>
      <c r="H16548">
        <v>4573</v>
      </c>
      <c r="I16548" t="s">
        <v>46</v>
      </c>
      <c r="J16548">
        <v>337.94</v>
      </c>
      <c r="K16548">
        <v>65.41</v>
      </c>
      <c r="L16548">
        <v>59111</v>
      </c>
      <c r="M16548" t="s">
        <v>1010</v>
      </c>
      <c r="N16548" t="str">
        <f>"80197024    "</f>
        <v xml:space="preserve">80197024    </v>
      </c>
      <c r="O16548">
        <v>230904</v>
      </c>
    </row>
    <row r="16549" spans="1:15" x14ac:dyDescent="0.25">
      <c r="A16549" t="s">
        <v>16</v>
      </c>
      <c r="B16549" t="s">
        <v>3221</v>
      </c>
      <c r="C16549">
        <v>11298</v>
      </c>
      <c r="D16549" t="s">
        <v>3273</v>
      </c>
      <c r="E16549" t="s">
        <v>3189</v>
      </c>
      <c r="F16549">
        <v>4269.62</v>
      </c>
      <c r="G16549">
        <v>230823</v>
      </c>
      <c r="H16549">
        <v>4573</v>
      </c>
      <c r="I16549" t="s">
        <v>46</v>
      </c>
      <c r="J16549">
        <v>5294.33</v>
      </c>
      <c r="K16549">
        <v>1024.71</v>
      </c>
      <c r="L16549">
        <v>59501</v>
      </c>
      <c r="M16549" t="s">
        <v>69</v>
      </c>
      <c r="N16549" t="str">
        <f>"80197024    "</f>
        <v xml:space="preserve">80197024    </v>
      </c>
      <c r="O16549">
        <v>230904</v>
      </c>
    </row>
    <row r="16550" spans="1:15" x14ac:dyDescent="0.25">
      <c r="A16550" t="s">
        <v>16</v>
      </c>
      <c r="B16550" t="s">
        <v>3221</v>
      </c>
      <c r="C16550">
        <v>11299</v>
      </c>
      <c r="D16550" t="s">
        <v>3273</v>
      </c>
      <c r="E16550" t="s">
        <v>3189</v>
      </c>
      <c r="F16550">
        <v>227.42</v>
      </c>
      <c r="G16550">
        <v>230823</v>
      </c>
      <c r="H16550">
        <v>4573</v>
      </c>
      <c r="I16550" t="s">
        <v>46</v>
      </c>
      <c r="J16550">
        <v>227.42</v>
      </c>
      <c r="K16550">
        <v>0</v>
      </c>
      <c r="L16550">
        <v>59813</v>
      </c>
      <c r="M16550" t="s">
        <v>915</v>
      </c>
      <c r="N16550" t="str">
        <f>"80197206    "</f>
        <v xml:space="preserve">80197206    </v>
      </c>
      <c r="O16550">
        <v>230904</v>
      </c>
    </row>
    <row r="16551" spans="1:15" x14ac:dyDescent="0.25">
      <c r="A16551" t="s">
        <v>16</v>
      </c>
      <c r="B16551" t="s">
        <v>3221</v>
      </c>
      <c r="C16551">
        <v>11300</v>
      </c>
      <c r="D16551" t="s">
        <v>3273</v>
      </c>
      <c r="E16551" t="s">
        <v>3189</v>
      </c>
      <c r="F16551">
        <v>418.59</v>
      </c>
      <c r="G16551">
        <v>230823</v>
      </c>
      <c r="H16551">
        <v>4573</v>
      </c>
      <c r="I16551" t="s">
        <v>46</v>
      </c>
      <c r="J16551">
        <v>519.04999999999995</v>
      </c>
      <c r="K16551">
        <v>100.46</v>
      </c>
      <c r="L16551">
        <v>59505</v>
      </c>
      <c r="M16551" t="s">
        <v>72</v>
      </c>
      <c r="N16551" t="str">
        <f>"80197328    "</f>
        <v xml:space="preserve">80197328    </v>
      </c>
      <c r="O16551">
        <v>230904</v>
      </c>
    </row>
    <row r="16552" spans="1:15" x14ac:dyDescent="0.25">
      <c r="A16552" t="s">
        <v>16</v>
      </c>
      <c r="B16552" t="s">
        <v>3221</v>
      </c>
      <c r="C16552">
        <v>11302</v>
      </c>
      <c r="D16552" t="s">
        <v>3273</v>
      </c>
      <c r="E16552" t="s">
        <v>3189</v>
      </c>
      <c r="F16552">
        <v>767.53</v>
      </c>
      <c r="G16552">
        <v>230823</v>
      </c>
      <c r="H16552">
        <v>4573</v>
      </c>
      <c r="I16552" t="s">
        <v>46</v>
      </c>
      <c r="J16552">
        <v>951.74</v>
      </c>
      <c r="K16552">
        <v>184.21</v>
      </c>
      <c r="L16552">
        <v>59505</v>
      </c>
      <c r="M16552" t="s">
        <v>72</v>
      </c>
      <c r="N16552" t="str">
        <f>"80197209    "</f>
        <v xml:space="preserve">80197209    </v>
      </c>
      <c r="O16552">
        <v>230904</v>
      </c>
    </row>
    <row r="16553" spans="1:15" x14ac:dyDescent="0.25">
      <c r="A16553" t="s">
        <v>16</v>
      </c>
      <c r="B16553" t="s">
        <v>3221</v>
      </c>
      <c r="C16553">
        <v>11314</v>
      </c>
      <c r="D16553" t="s">
        <v>3273</v>
      </c>
      <c r="E16553" t="s">
        <v>3189</v>
      </c>
      <c r="F16553">
        <v>778.93</v>
      </c>
      <c r="G16553">
        <v>230822</v>
      </c>
      <c r="H16553">
        <v>4573</v>
      </c>
      <c r="I16553" t="s">
        <v>46</v>
      </c>
      <c r="J16553">
        <v>965.87</v>
      </c>
      <c r="K16553">
        <v>186.94</v>
      </c>
      <c r="L16553">
        <v>56575</v>
      </c>
      <c r="M16553" t="s">
        <v>95</v>
      </c>
      <c r="N16553" t="str">
        <f>"80193441    "</f>
        <v xml:space="preserve">80193441    </v>
      </c>
      <c r="O16553">
        <v>230904</v>
      </c>
    </row>
    <row r="16554" spans="1:15" x14ac:dyDescent="0.25">
      <c r="A16554" t="s">
        <v>16</v>
      </c>
      <c r="B16554" t="s">
        <v>3221</v>
      </c>
      <c r="C16554">
        <v>11497</v>
      </c>
      <c r="D16554" t="s">
        <v>3273</v>
      </c>
      <c r="E16554" t="s">
        <v>3189</v>
      </c>
      <c r="F16554">
        <v>128</v>
      </c>
      <c r="G16554">
        <v>230822</v>
      </c>
      <c r="H16554">
        <v>4573</v>
      </c>
      <c r="I16554" t="s">
        <v>46</v>
      </c>
      <c r="J16554">
        <v>158.72</v>
      </c>
      <c r="K16554">
        <v>30.72</v>
      </c>
      <c r="L16554">
        <v>56571</v>
      </c>
      <c r="M16554" t="s">
        <v>204</v>
      </c>
      <c r="N16554" t="str">
        <f>"80193484    "</f>
        <v xml:space="preserve">80193484    </v>
      </c>
      <c r="O16554">
        <v>230907</v>
      </c>
    </row>
    <row r="16555" spans="1:15" x14ac:dyDescent="0.25">
      <c r="A16555" t="s">
        <v>16</v>
      </c>
      <c r="B16555" t="s">
        <v>3221</v>
      </c>
      <c r="C16555">
        <v>11718</v>
      </c>
      <c r="D16555" t="s">
        <v>3273</v>
      </c>
      <c r="E16555" t="s">
        <v>3189</v>
      </c>
      <c r="F16555">
        <v>261.87</v>
      </c>
      <c r="G16555">
        <v>230906</v>
      </c>
      <c r="H16555">
        <v>4573</v>
      </c>
      <c r="I16555" t="s">
        <v>46</v>
      </c>
      <c r="J16555">
        <v>324.72000000000003</v>
      </c>
      <c r="K16555">
        <v>62.85</v>
      </c>
      <c r="L16555">
        <v>59503</v>
      </c>
      <c r="M16555" t="s">
        <v>194</v>
      </c>
      <c r="N16555" t="str">
        <f>"80198211    "</f>
        <v xml:space="preserve">80198211    </v>
      </c>
      <c r="O16555">
        <v>230908</v>
      </c>
    </row>
    <row r="16556" spans="1:15" x14ac:dyDescent="0.25">
      <c r="A16556" t="s">
        <v>16</v>
      </c>
      <c r="B16556" t="s">
        <v>3221</v>
      </c>
      <c r="C16556">
        <v>18827</v>
      </c>
      <c r="D16556" t="s">
        <v>3273</v>
      </c>
      <c r="E16556" t="s">
        <v>3189</v>
      </c>
      <c r="F16556">
        <v>248.53</v>
      </c>
      <c r="G16556">
        <v>231229</v>
      </c>
      <c r="H16556">
        <v>4573</v>
      </c>
      <c r="I16556" t="s">
        <v>46</v>
      </c>
      <c r="J16556">
        <v>308.18</v>
      </c>
      <c r="K16556">
        <v>59.65</v>
      </c>
      <c r="L16556">
        <v>59112</v>
      </c>
      <c r="M16556" t="s">
        <v>182</v>
      </c>
      <c r="N16556" t="str">
        <f>"80205075    "</f>
        <v xml:space="preserve">80205075    </v>
      </c>
      <c r="O16556">
        <v>240108</v>
      </c>
    </row>
    <row r="16557" spans="1:15" x14ac:dyDescent="0.25">
      <c r="A16557" t="s">
        <v>16</v>
      </c>
      <c r="B16557" t="s">
        <v>3221</v>
      </c>
      <c r="C16557">
        <v>18827</v>
      </c>
      <c r="D16557" t="s">
        <v>3273</v>
      </c>
      <c r="E16557" t="s">
        <v>3189</v>
      </c>
      <c r="F16557">
        <v>671.96</v>
      </c>
      <c r="G16557">
        <v>231229</v>
      </c>
      <c r="H16557">
        <v>4573</v>
      </c>
      <c r="I16557" t="s">
        <v>46</v>
      </c>
      <c r="J16557">
        <v>833.23</v>
      </c>
      <c r="K16557">
        <v>161.27000000000001</v>
      </c>
      <c r="L16557">
        <v>59504</v>
      </c>
      <c r="M16557" t="s">
        <v>71</v>
      </c>
      <c r="N16557" t="str">
        <f>"80205075    "</f>
        <v xml:space="preserve">80205075    </v>
      </c>
      <c r="O16557">
        <v>240108</v>
      </c>
    </row>
    <row r="16558" spans="1:15" x14ac:dyDescent="0.25">
      <c r="A16558" t="s">
        <v>16</v>
      </c>
      <c r="B16558" t="s">
        <v>3221</v>
      </c>
      <c r="C16558">
        <v>18828</v>
      </c>
      <c r="D16558" t="s">
        <v>3273</v>
      </c>
      <c r="E16558" t="s">
        <v>3189</v>
      </c>
      <c r="F16558">
        <v>335.05</v>
      </c>
      <c r="G16558">
        <v>231229</v>
      </c>
      <c r="H16558">
        <v>4573</v>
      </c>
      <c r="I16558" t="s">
        <v>46</v>
      </c>
      <c r="J16558">
        <v>415.46</v>
      </c>
      <c r="K16558">
        <v>80.41</v>
      </c>
      <c r="L16558">
        <v>59111</v>
      </c>
      <c r="M16558" t="s">
        <v>1010</v>
      </c>
      <c r="N16558" t="str">
        <f>"80202745    "</f>
        <v xml:space="preserve">80202745    </v>
      </c>
      <c r="O16558">
        <v>240108</v>
      </c>
    </row>
    <row r="16559" spans="1:15" x14ac:dyDescent="0.25">
      <c r="A16559" t="s">
        <v>16</v>
      </c>
      <c r="B16559" t="s">
        <v>3221</v>
      </c>
      <c r="C16559">
        <v>18828</v>
      </c>
      <c r="D16559" t="s">
        <v>3273</v>
      </c>
      <c r="E16559" t="s">
        <v>3189</v>
      </c>
      <c r="F16559">
        <v>5249.15</v>
      </c>
      <c r="G16559">
        <v>231229</v>
      </c>
      <c r="H16559">
        <v>4573</v>
      </c>
      <c r="I16559" t="s">
        <v>46</v>
      </c>
      <c r="J16559">
        <v>6508.94</v>
      </c>
      <c r="K16559">
        <v>1259.79</v>
      </c>
      <c r="L16559">
        <v>59501</v>
      </c>
      <c r="M16559" t="s">
        <v>69</v>
      </c>
      <c r="N16559" t="str">
        <f>"80202745    "</f>
        <v xml:space="preserve">80202745    </v>
      </c>
      <c r="O16559">
        <v>240108</v>
      </c>
    </row>
    <row r="16560" spans="1:15" x14ac:dyDescent="0.25">
      <c r="A16560" t="s">
        <v>16</v>
      </c>
      <c r="B16560" t="s">
        <v>3221</v>
      </c>
      <c r="C16560">
        <v>18834</v>
      </c>
      <c r="D16560" t="s">
        <v>3273</v>
      </c>
      <c r="E16560" t="s">
        <v>3189</v>
      </c>
      <c r="F16560">
        <v>1470.19</v>
      </c>
      <c r="G16560">
        <v>231229</v>
      </c>
      <c r="H16560">
        <v>4573</v>
      </c>
      <c r="I16560" t="s">
        <v>46</v>
      </c>
      <c r="J16560">
        <v>1823.04</v>
      </c>
      <c r="K16560">
        <v>352.85</v>
      </c>
      <c r="L16560">
        <v>59812</v>
      </c>
      <c r="M16560" t="s">
        <v>74</v>
      </c>
      <c r="N16560" t="str">
        <f>"80203051    "</f>
        <v xml:space="preserve">80203051    </v>
      </c>
      <c r="O16560">
        <v>240108</v>
      </c>
    </row>
    <row r="16561" spans="1:15" x14ac:dyDescent="0.25">
      <c r="A16561" t="s">
        <v>16</v>
      </c>
      <c r="B16561" t="s">
        <v>3221</v>
      </c>
      <c r="C16561">
        <v>18835</v>
      </c>
      <c r="D16561" t="s">
        <v>3273</v>
      </c>
      <c r="E16561" t="s">
        <v>3189</v>
      </c>
      <c r="F16561">
        <v>1704.41</v>
      </c>
      <c r="G16561">
        <v>231229</v>
      </c>
      <c r="H16561">
        <v>4573</v>
      </c>
      <c r="I16561" t="s">
        <v>46</v>
      </c>
      <c r="J16561">
        <v>2113.4699999999998</v>
      </c>
      <c r="K16561">
        <v>409.06</v>
      </c>
      <c r="L16561">
        <v>59505</v>
      </c>
      <c r="M16561" t="s">
        <v>72</v>
      </c>
      <c r="N16561" t="str">
        <f>"80202930    "</f>
        <v xml:space="preserve">80202930    </v>
      </c>
      <c r="O16561">
        <v>240108</v>
      </c>
    </row>
    <row r="16562" spans="1:15" x14ac:dyDescent="0.25">
      <c r="A16562" t="s">
        <v>16</v>
      </c>
      <c r="B16562" t="s">
        <v>3221</v>
      </c>
      <c r="C16562">
        <v>18836</v>
      </c>
      <c r="D16562" t="s">
        <v>3273</v>
      </c>
      <c r="E16562" t="s">
        <v>3189</v>
      </c>
      <c r="F16562">
        <v>1667.65</v>
      </c>
      <c r="G16562">
        <v>231229</v>
      </c>
      <c r="H16562">
        <v>4573</v>
      </c>
      <c r="I16562" t="s">
        <v>46</v>
      </c>
      <c r="J16562">
        <v>2067.89</v>
      </c>
      <c r="K16562">
        <v>400.24</v>
      </c>
      <c r="L16562">
        <v>59502</v>
      </c>
      <c r="M16562" t="s">
        <v>70</v>
      </c>
      <c r="N16562" t="str">
        <f>"80203934    "</f>
        <v xml:space="preserve">80203934    </v>
      </c>
      <c r="O16562">
        <v>240108</v>
      </c>
    </row>
    <row r="16563" spans="1:15" x14ac:dyDescent="0.25">
      <c r="A16563" t="s">
        <v>16</v>
      </c>
      <c r="B16563" t="s">
        <v>3221</v>
      </c>
      <c r="C16563">
        <v>18998</v>
      </c>
      <c r="D16563" t="s">
        <v>3273</v>
      </c>
      <c r="E16563" t="s">
        <v>3189</v>
      </c>
      <c r="F16563">
        <v>-788.87</v>
      </c>
      <c r="G16563">
        <v>231229</v>
      </c>
      <c r="H16563">
        <v>4573</v>
      </c>
      <c r="I16563" t="s">
        <v>46</v>
      </c>
      <c r="J16563">
        <v>-978.2</v>
      </c>
      <c r="K16563">
        <v>-189.33</v>
      </c>
      <c r="L16563">
        <v>56575</v>
      </c>
      <c r="M16563" t="s">
        <v>95</v>
      </c>
      <c r="N16563" t="str">
        <f>"80203936    "</f>
        <v xml:space="preserve">80203936    </v>
      </c>
      <c r="O16563">
        <v>240109</v>
      </c>
    </row>
    <row r="16564" spans="1:15" x14ac:dyDescent="0.25">
      <c r="A16564" t="s">
        <v>16</v>
      </c>
      <c r="B16564" t="s">
        <v>3221</v>
      </c>
      <c r="C16564">
        <v>19002</v>
      </c>
      <c r="D16564" t="s">
        <v>3273</v>
      </c>
      <c r="E16564" t="s">
        <v>3189</v>
      </c>
      <c r="F16564">
        <v>138.51</v>
      </c>
      <c r="G16564">
        <v>231229</v>
      </c>
      <c r="H16564">
        <v>4573</v>
      </c>
      <c r="I16564" t="s">
        <v>46</v>
      </c>
      <c r="J16564">
        <v>138.51</v>
      </c>
      <c r="K16564">
        <v>0</v>
      </c>
      <c r="L16564">
        <v>59813</v>
      </c>
      <c r="M16564" t="s">
        <v>915</v>
      </c>
      <c r="N16564" t="str">
        <f>"80202927    "</f>
        <v xml:space="preserve">80202927    </v>
      </c>
      <c r="O16564">
        <v>240109</v>
      </c>
    </row>
    <row r="16565" spans="1:15" x14ac:dyDescent="0.25">
      <c r="A16565" t="s">
        <v>16</v>
      </c>
      <c r="B16565" t="s">
        <v>3221</v>
      </c>
      <c r="C16565">
        <v>19003</v>
      </c>
      <c r="D16565" t="s">
        <v>3273</v>
      </c>
      <c r="E16565" t="s">
        <v>3189</v>
      </c>
      <c r="F16565">
        <v>260.01</v>
      </c>
      <c r="G16565">
        <v>231229</v>
      </c>
      <c r="H16565">
        <v>4573</v>
      </c>
      <c r="I16565" t="s">
        <v>46</v>
      </c>
      <c r="J16565">
        <v>322.41000000000003</v>
      </c>
      <c r="K16565">
        <v>62.4</v>
      </c>
      <c r="L16565">
        <v>59502</v>
      </c>
      <c r="M16565" t="s">
        <v>70</v>
      </c>
      <c r="N16565" t="str">
        <f>"80203935    "</f>
        <v xml:space="preserve">80203935    </v>
      </c>
      <c r="O16565">
        <v>240109</v>
      </c>
    </row>
    <row r="16566" spans="1:15" x14ac:dyDescent="0.25">
      <c r="A16566" t="s">
        <v>16</v>
      </c>
      <c r="B16566" t="s">
        <v>3221</v>
      </c>
      <c r="C16566">
        <v>19003</v>
      </c>
      <c r="D16566" t="s">
        <v>3273</v>
      </c>
      <c r="E16566" t="s">
        <v>3189</v>
      </c>
      <c r="F16566">
        <v>482.86</v>
      </c>
      <c r="G16566">
        <v>231229</v>
      </c>
      <c r="H16566">
        <v>4573</v>
      </c>
      <c r="I16566" t="s">
        <v>46</v>
      </c>
      <c r="J16566">
        <v>598.75</v>
      </c>
      <c r="K16566">
        <v>115.89</v>
      </c>
      <c r="L16566">
        <v>59802</v>
      </c>
      <c r="M16566" t="s">
        <v>73</v>
      </c>
      <c r="N16566" t="str">
        <f>"80203935    "</f>
        <v xml:space="preserve">80203935    </v>
      </c>
      <c r="O16566">
        <v>240109</v>
      </c>
    </row>
    <row r="16567" spans="1:15" x14ac:dyDescent="0.25">
      <c r="A16567" t="s">
        <v>16</v>
      </c>
      <c r="B16567" t="s">
        <v>3221</v>
      </c>
      <c r="C16567">
        <v>19333</v>
      </c>
      <c r="D16567" t="s">
        <v>3273</v>
      </c>
      <c r="E16567" t="s">
        <v>3189</v>
      </c>
      <c r="F16567">
        <v>128</v>
      </c>
      <c r="G16567">
        <v>231229</v>
      </c>
      <c r="H16567">
        <v>4573</v>
      </c>
      <c r="I16567" t="s">
        <v>46</v>
      </c>
      <c r="J16567">
        <v>158.72</v>
      </c>
      <c r="K16567">
        <v>30.72</v>
      </c>
      <c r="L16567">
        <v>56571</v>
      </c>
      <c r="M16567" t="s">
        <v>204</v>
      </c>
      <c r="N16567" t="str">
        <f>"80203979    "</f>
        <v xml:space="preserve">80203979    </v>
      </c>
      <c r="O16567">
        <v>240117</v>
      </c>
    </row>
    <row r="16568" spans="1:15" x14ac:dyDescent="0.25">
      <c r="A16568" t="s">
        <v>16</v>
      </c>
      <c r="B16568" t="s">
        <v>3221</v>
      </c>
      <c r="C16568">
        <v>7998</v>
      </c>
      <c r="D16568" t="s">
        <v>2148</v>
      </c>
      <c r="E16568" t="s">
        <v>2149</v>
      </c>
      <c r="F16568">
        <v>40</v>
      </c>
      <c r="G16568">
        <v>230602</v>
      </c>
      <c r="H16568">
        <v>4590</v>
      </c>
      <c r="I16568" t="s">
        <v>203</v>
      </c>
      <c r="J16568">
        <v>49.6</v>
      </c>
      <c r="K16568">
        <v>9.6</v>
      </c>
      <c r="L16568">
        <v>66756</v>
      </c>
      <c r="M16568" t="s">
        <v>209</v>
      </c>
      <c r="N16568" t="str">
        <f>"12394       "</f>
        <v xml:space="preserve">12394       </v>
      </c>
      <c r="O16568">
        <v>230606</v>
      </c>
    </row>
    <row r="16569" spans="1:15" x14ac:dyDescent="0.25">
      <c r="A16569" t="s">
        <v>16</v>
      </c>
      <c r="B16569" t="s">
        <v>3221</v>
      </c>
      <c r="C16569">
        <v>9806</v>
      </c>
      <c r="D16569" t="s">
        <v>2023</v>
      </c>
      <c r="E16569" t="s">
        <v>2024</v>
      </c>
      <c r="F16569">
        <v>175</v>
      </c>
      <c r="G16569">
        <v>230720</v>
      </c>
      <c r="H16569">
        <v>4470</v>
      </c>
      <c r="I16569" t="s">
        <v>83</v>
      </c>
      <c r="J16569">
        <v>217</v>
      </c>
      <c r="K16569">
        <v>42</v>
      </c>
      <c r="L16569">
        <v>66754</v>
      </c>
      <c r="M16569" t="s">
        <v>239</v>
      </c>
      <c r="N16569" t="str">
        <f>"3216        "</f>
        <v xml:space="preserve">3216        </v>
      </c>
      <c r="O16569">
        <v>230725</v>
      </c>
    </row>
    <row r="16570" spans="1:15" x14ac:dyDescent="0.25">
      <c r="A16570" t="s">
        <v>16</v>
      </c>
      <c r="B16570" t="s">
        <v>3221</v>
      </c>
      <c r="C16570">
        <v>6813</v>
      </c>
      <c r="D16570" t="s">
        <v>2023</v>
      </c>
      <c r="E16570" t="s">
        <v>2024</v>
      </c>
      <c r="F16570">
        <v>305</v>
      </c>
      <c r="G16570">
        <v>230515</v>
      </c>
      <c r="H16570">
        <v>4350</v>
      </c>
      <c r="I16570" t="s">
        <v>546</v>
      </c>
      <c r="J16570">
        <v>378.2</v>
      </c>
      <c r="K16570">
        <v>73.2</v>
      </c>
      <c r="L16570">
        <v>66754</v>
      </c>
      <c r="M16570" t="s">
        <v>239</v>
      </c>
      <c r="N16570" t="str">
        <f>"3089        "</f>
        <v xml:space="preserve">3089        </v>
      </c>
      <c r="O16570">
        <v>230522</v>
      </c>
    </row>
    <row r="16571" spans="1:15" x14ac:dyDescent="0.25">
      <c r="A16571" t="s">
        <v>16</v>
      </c>
      <c r="B16571" t="s">
        <v>3221</v>
      </c>
      <c r="C16571">
        <v>17837</v>
      </c>
      <c r="D16571" t="s">
        <v>2023</v>
      </c>
      <c r="E16571" t="s">
        <v>2024</v>
      </c>
      <c r="F16571">
        <v>1400</v>
      </c>
      <c r="G16571">
        <v>231213</v>
      </c>
      <c r="H16571">
        <v>4350</v>
      </c>
      <c r="I16571" t="s">
        <v>546</v>
      </c>
      <c r="J16571">
        <v>1736</v>
      </c>
      <c r="K16571">
        <v>336</v>
      </c>
      <c r="L16571">
        <v>11301</v>
      </c>
      <c r="M16571" t="s">
        <v>29</v>
      </c>
      <c r="N16571" t="str">
        <f>"3520        "</f>
        <v xml:space="preserve">3520        </v>
      </c>
      <c r="O16571">
        <v>231227</v>
      </c>
    </row>
    <row r="16572" spans="1:15" x14ac:dyDescent="0.25">
      <c r="A16572" t="s">
        <v>16</v>
      </c>
      <c r="B16572" t="s">
        <v>3221</v>
      </c>
      <c r="C16572">
        <v>8858</v>
      </c>
      <c r="D16572" t="s">
        <v>2222</v>
      </c>
      <c r="E16572" t="s">
        <v>2223</v>
      </c>
      <c r="F16572">
        <v>8954</v>
      </c>
      <c r="G16572">
        <v>230609</v>
      </c>
      <c r="H16572">
        <v>4420</v>
      </c>
      <c r="I16572" t="s">
        <v>132</v>
      </c>
      <c r="J16572">
        <v>11102.96</v>
      </c>
      <c r="K16572">
        <v>2148.96</v>
      </c>
      <c r="L16572">
        <v>56561</v>
      </c>
      <c r="M16572" t="s">
        <v>358</v>
      </c>
      <c r="N16572" t="str">
        <f>"14255       "</f>
        <v xml:space="preserve">14255       </v>
      </c>
      <c r="O16572">
        <v>230619</v>
      </c>
    </row>
    <row r="16573" spans="1:15" x14ac:dyDescent="0.25">
      <c r="A16573" t="s">
        <v>16</v>
      </c>
      <c r="B16573" t="s">
        <v>3221</v>
      </c>
      <c r="C16573">
        <v>5464</v>
      </c>
      <c r="D16573" t="s">
        <v>3433</v>
      </c>
      <c r="E16573" t="s">
        <v>3434</v>
      </c>
      <c r="F16573">
        <v>156.65</v>
      </c>
      <c r="G16573">
        <v>230421</v>
      </c>
      <c r="H16573">
        <v>4350</v>
      </c>
      <c r="I16573" t="s">
        <v>546</v>
      </c>
      <c r="J16573">
        <v>156.65</v>
      </c>
      <c r="K16573">
        <v>0</v>
      </c>
      <c r="L16573">
        <v>13501</v>
      </c>
      <c r="M16573" t="s">
        <v>20</v>
      </c>
      <c r="N16573" t="str">
        <f>"1088        "</f>
        <v xml:space="preserve">1088        </v>
      </c>
      <c r="O16573">
        <v>230425</v>
      </c>
    </row>
    <row r="16574" spans="1:15" x14ac:dyDescent="0.25">
      <c r="A16574" t="s">
        <v>16</v>
      </c>
      <c r="B16574" t="s">
        <v>3221</v>
      </c>
      <c r="C16574">
        <v>5464</v>
      </c>
      <c r="D16574" t="s">
        <v>3433</v>
      </c>
      <c r="E16574" t="s">
        <v>3434</v>
      </c>
      <c r="F16574">
        <v>313.35000000000002</v>
      </c>
      <c r="G16574">
        <v>230421</v>
      </c>
      <c r="H16574">
        <v>4350</v>
      </c>
      <c r="I16574" t="s">
        <v>546</v>
      </c>
      <c r="J16574">
        <v>313.35000000000002</v>
      </c>
      <c r="K16574">
        <v>0</v>
      </c>
      <c r="L16574">
        <v>17972</v>
      </c>
      <c r="M16574" t="s">
        <v>248</v>
      </c>
      <c r="N16574" t="str">
        <f>"1088        "</f>
        <v xml:space="preserve">1088        </v>
      </c>
      <c r="O16574">
        <v>230425</v>
      </c>
    </row>
    <row r="16575" spans="1:15" x14ac:dyDescent="0.25">
      <c r="A16575" t="s">
        <v>16</v>
      </c>
      <c r="B16575" t="s">
        <v>3221</v>
      </c>
      <c r="C16575">
        <v>6944</v>
      </c>
      <c r="D16575" t="s">
        <v>3278</v>
      </c>
      <c r="E16575" t="s">
        <v>3279</v>
      </c>
      <c r="F16575">
        <v>100</v>
      </c>
      <c r="G16575">
        <v>230522</v>
      </c>
      <c r="H16575">
        <v>4470</v>
      </c>
      <c r="I16575" t="s">
        <v>83</v>
      </c>
      <c r="J16575">
        <v>100</v>
      </c>
      <c r="K16575">
        <v>0</v>
      </c>
      <c r="L16575">
        <v>69501</v>
      </c>
      <c r="M16575" t="s">
        <v>185</v>
      </c>
      <c r="N16575" t="str">
        <f>"6600000262  "</f>
        <v xml:space="preserve">6600000262  </v>
      </c>
      <c r="O16575">
        <v>230523</v>
      </c>
    </row>
    <row r="16576" spans="1:15" x14ac:dyDescent="0.25">
      <c r="A16576" t="s">
        <v>16</v>
      </c>
      <c r="B16576" t="s">
        <v>3221</v>
      </c>
      <c r="C16576">
        <v>13434</v>
      </c>
      <c r="D16576" t="s">
        <v>2677</v>
      </c>
      <c r="E16576" t="s">
        <v>2678</v>
      </c>
      <c r="F16576">
        <v>135.09</v>
      </c>
      <c r="G16576">
        <v>230930</v>
      </c>
      <c r="H16576">
        <v>4410</v>
      </c>
      <c r="I16576" t="s">
        <v>517</v>
      </c>
      <c r="J16576">
        <v>154</v>
      </c>
      <c r="K16576">
        <v>18.91</v>
      </c>
      <c r="L16576">
        <v>11908</v>
      </c>
      <c r="M16576" t="s">
        <v>598</v>
      </c>
      <c r="N16576" t="str">
        <f>"3003479663  "</f>
        <v xml:space="preserve">3003479663  </v>
      </c>
      <c r="O16576">
        <v>231010</v>
      </c>
    </row>
    <row r="16577" spans="1:15" x14ac:dyDescent="0.25">
      <c r="A16577" t="s">
        <v>16</v>
      </c>
      <c r="B16577" t="s">
        <v>3221</v>
      </c>
      <c r="C16577">
        <v>13434</v>
      </c>
      <c r="D16577" t="s">
        <v>2677</v>
      </c>
      <c r="E16577" t="s">
        <v>2678</v>
      </c>
      <c r="F16577">
        <v>27.42</v>
      </c>
      <c r="G16577">
        <v>230930</v>
      </c>
      <c r="H16577">
        <v>4820</v>
      </c>
      <c r="I16577" t="s">
        <v>50</v>
      </c>
      <c r="J16577">
        <v>34</v>
      </c>
      <c r="K16577">
        <v>6.58</v>
      </c>
      <c r="L16577">
        <v>11908</v>
      </c>
      <c r="M16577" t="s">
        <v>598</v>
      </c>
      <c r="N16577" t="str">
        <f>"3003479663  "</f>
        <v xml:space="preserve">3003479663  </v>
      </c>
      <c r="O16577">
        <v>231010</v>
      </c>
    </row>
    <row r="16578" spans="1:15" x14ac:dyDescent="0.25">
      <c r="A16578" t="s">
        <v>16</v>
      </c>
      <c r="B16578" t="s">
        <v>3221</v>
      </c>
      <c r="C16578">
        <v>12173</v>
      </c>
      <c r="D16578" t="s">
        <v>2547</v>
      </c>
      <c r="E16578" t="s">
        <v>2548</v>
      </c>
      <c r="F16578">
        <v>685.48</v>
      </c>
      <c r="G16578">
        <v>230907</v>
      </c>
      <c r="H16578">
        <v>4390</v>
      </c>
      <c r="I16578" t="s">
        <v>98</v>
      </c>
      <c r="J16578">
        <v>850</v>
      </c>
      <c r="K16578">
        <v>164.52</v>
      </c>
      <c r="L16578">
        <v>69501</v>
      </c>
      <c r="M16578" t="s">
        <v>185</v>
      </c>
      <c r="N16578" t="str">
        <f>"24115       "</f>
        <v xml:space="preserve">24115       </v>
      </c>
      <c r="O16578">
        <v>230914</v>
      </c>
    </row>
    <row r="16579" spans="1:15" x14ac:dyDescent="0.25">
      <c r="A16579" t="s">
        <v>16</v>
      </c>
      <c r="B16579" t="s">
        <v>3221</v>
      </c>
      <c r="C16579">
        <v>17117</v>
      </c>
      <c r="D16579" t="s">
        <v>2547</v>
      </c>
      <c r="E16579" t="s">
        <v>2548</v>
      </c>
      <c r="F16579">
        <v>225.81</v>
      </c>
      <c r="G16579">
        <v>231128</v>
      </c>
      <c r="H16579">
        <v>4390</v>
      </c>
      <c r="I16579" t="s">
        <v>98</v>
      </c>
      <c r="J16579">
        <v>280</v>
      </c>
      <c r="K16579">
        <v>54.19</v>
      </c>
      <c r="L16579">
        <v>69111</v>
      </c>
      <c r="M16579" t="s">
        <v>471</v>
      </c>
      <c r="N16579" t="str">
        <f>"24487       "</f>
        <v xml:space="preserve">24487       </v>
      </c>
      <c r="O16579">
        <v>231212</v>
      </c>
    </row>
    <row r="16580" spans="1:15" x14ac:dyDescent="0.25">
      <c r="A16580" t="s">
        <v>16</v>
      </c>
      <c r="B16580" t="s">
        <v>3221</v>
      </c>
      <c r="C16580">
        <v>6288</v>
      </c>
      <c r="D16580" t="s">
        <v>3610</v>
      </c>
      <c r="E16580" t="s">
        <v>1948</v>
      </c>
      <c r="F16580">
        <v>948.5</v>
      </c>
      <c r="G16580">
        <v>230504</v>
      </c>
      <c r="H16580">
        <v>4557</v>
      </c>
      <c r="I16580" t="s">
        <v>238</v>
      </c>
      <c r="J16580">
        <v>1176.1400000000001</v>
      </c>
      <c r="K16580">
        <v>227.64</v>
      </c>
      <c r="L16580">
        <v>66754</v>
      </c>
      <c r="M16580" t="s">
        <v>239</v>
      </c>
      <c r="N16580" t="str">
        <f>"44909       "</f>
        <v xml:space="preserve">44909       </v>
      </c>
      <c r="O16580">
        <v>230509</v>
      </c>
    </row>
    <row r="16581" spans="1:15" x14ac:dyDescent="0.25">
      <c r="A16581" t="s">
        <v>16</v>
      </c>
      <c r="B16581" t="s">
        <v>3221</v>
      </c>
      <c r="C16581">
        <v>17883</v>
      </c>
      <c r="D16581" t="s">
        <v>3107</v>
      </c>
      <c r="E16581" t="s">
        <v>3108</v>
      </c>
      <c r="F16581">
        <v>968.06</v>
      </c>
      <c r="G16581">
        <v>231214</v>
      </c>
      <c r="H16581">
        <v>4400</v>
      </c>
      <c r="I16581" t="s">
        <v>348</v>
      </c>
      <c r="J16581">
        <v>1200.3900000000001</v>
      </c>
      <c r="K16581">
        <v>232.33</v>
      </c>
      <c r="L16581">
        <v>69501</v>
      </c>
      <c r="M16581" t="s">
        <v>185</v>
      </c>
      <c r="N16581" t="str">
        <f>"1001004435  "</f>
        <v xml:space="preserve">1001004435  </v>
      </c>
      <c r="O16581">
        <v>231227</v>
      </c>
    </row>
    <row r="16582" spans="1:15" x14ac:dyDescent="0.25">
      <c r="A16582" t="s">
        <v>16</v>
      </c>
      <c r="B16582" t="s">
        <v>3221</v>
      </c>
      <c r="C16582">
        <v>6763</v>
      </c>
      <c r="D16582" t="s">
        <v>2016</v>
      </c>
      <c r="E16582" t="s">
        <v>2017</v>
      </c>
      <c r="F16582">
        <v>800</v>
      </c>
      <c r="G16582">
        <v>230517</v>
      </c>
      <c r="H16582">
        <v>4440</v>
      </c>
      <c r="I16582" t="s">
        <v>250</v>
      </c>
      <c r="J16582">
        <v>992</v>
      </c>
      <c r="K16582">
        <v>192</v>
      </c>
      <c r="L16582">
        <v>16930</v>
      </c>
      <c r="M16582" t="s">
        <v>450</v>
      </c>
      <c r="N16582" t="str">
        <f>"20230164    "</f>
        <v xml:space="preserve">20230164    </v>
      </c>
      <c r="O16582">
        <v>230522</v>
      </c>
    </row>
    <row r="16583" spans="1:15" x14ac:dyDescent="0.25">
      <c r="A16583" t="s">
        <v>16</v>
      </c>
      <c r="B16583" t="s">
        <v>3221</v>
      </c>
      <c r="C16583">
        <v>3114</v>
      </c>
      <c r="D16583" t="s">
        <v>682</v>
      </c>
      <c r="E16583" t="s">
        <v>683</v>
      </c>
      <c r="F16583">
        <v>53.6</v>
      </c>
      <c r="G16583">
        <v>230309</v>
      </c>
      <c r="H16583">
        <v>4400</v>
      </c>
      <c r="I16583" t="s">
        <v>348</v>
      </c>
      <c r="J16583">
        <v>66.459999999999994</v>
      </c>
      <c r="K16583">
        <v>12.86</v>
      </c>
      <c r="L16583">
        <v>67522</v>
      </c>
      <c r="M16583" t="s">
        <v>397</v>
      </c>
      <c r="N16583" t="str">
        <f>"36070       "</f>
        <v xml:space="preserve">36070       </v>
      </c>
      <c r="O16583">
        <v>230309</v>
      </c>
    </row>
    <row r="16584" spans="1:15" x14ac:dyDescent="0.25">
      <c r="A16584" t="s">
        <v>16</v>
      </c>
      <c r="B16584" t="s">
        <v>3221</v>
      </c>
      <c r="C16584">
        <v>4779</v>
      </c>
      <c r="D16584" t="s">
        <v>682</v>
      </c>
      <c r="E16584" t="s">
        <v>683</v>
      </c>
      <c r="F16584">
        <v>152.19999999999999</v>
      </c>
      <c r="G16584">
        <v>230406</v>
      </c>
      <c r="H16584">
        <v>4400</v>
      </c>
      <c r="I16584" t="s">
        <v>348</v>
      </c>
      <c r="J16584">
        <v>188.73</v>
      </c>
      <c r="K16584">
        <v>36.53</v>
      </c>
      <c r="L16584">
        <v>67554</v>
      </c>
      <c r="M16584" t="s">
        <v>60</v>
      </c>
      <c r="N16584" t="str">
        <f>"36193       "</f>
        <v xml:space="preserve">36193       </v>
      </c>
      <c r="O16584">
        <v>230412</v>
      </c>
    </row>
    <row r="16585" spans="1:15" x14ac:dyDescent="0.25">
      <c r="A16585" t="s">
        <v>16</v>
      </c>
      <c r="B16585" t="s">
        <v>3221</v>
      </c>
      <c r="C16585">
        <v>4037</v>
      </c>
      <c r="D16585" t="s">
        <v>682</v>
      </c>
      <c r="E16585" t="s">
        <v>683</v>
      </c>
      <c r="F16585">
        <v>757.4</v>
      </c>
      <c r="G16585">
        <v>230328</v>
      </c>
      <c r="H16585">
        <v>4600</v>
      </c>
      <c r="I16585" t="s">
        <v>105</v>
      </c>
      <c r="J16585">
        <v>939.18</v>
      </c>
      <c r="K16585">
        <v>181.78</v>
      </c>
      <c r="L16585">
        <v>69111</v>
      </c>
      <c r="M16585" t="s">
        <v>471</v>
      </c>
      <c r="N16585" t="str">
        <f>"36157       "</f>
        <v xml:space="preserve">36157       </v>
      </c>
      <c r="O16585">
        <v>230329</v>
      </c>
    </row>
    <row r="16586" spans="1:15" x14ac:dyDescent="0.25">
      <c r="A16586" t="s">
        <v>16</v>
      </c>
      <c r="B16586" t="s">
        <v>3221</v>
      </c>
      <c r="C16586">
        <v>687</v>
      </c>
      <c r="D16586" t="s">
        <v>682</v>
      </c>
      <c r="E16586" t="s">
        <v>683</v>
      </c>
      <c r="F16586">
        <v>5073.84</v>
      </c>
      <c r="G16586">
        <v>230126</v>
      </c>
      <c r="H16586">
        <v>4390</v>
      </c>
      <c r="I16586" t="s">
        <v>98</v>
      </c>
      <c r="J16586">
        <v>5073.84</v>
      </c>
      <c r="K16586">
        <v>0</v>
      </c>
      <c r="L16586">
        <v>69501</v>
      </c>
      <c r="M16586" t="s">
        <v>185</v>
      </c>
      <c r="N16586" t="str">
        <f>"35813       "</f>
        <v xml:space="preserve">35813       </v>
      </c>
      <c r="O16586">
        <v>230126</v>
      </c>
    </row>
    <row r="16587" spans="1:15" x14ac:dyDescent="0.25">
      <c r="A16587" t="s">
        <v>16</v>
      </c>
      <c r="B16587" t="s">
        <v>3221</v>
      </c>
      <c r="C16587">
        <v>802</v>
      </c>
      <c r="D16587" t="s">
        <v>682</v>
      </c>
      <c r="E16587" t="s">
        <v>683</v>
      </c>
      <c r="F16587">
        <v>2104.5</v>
      </c>
      <c r="G16587">
        <v>230127</v>
      </c>
      <c r="H16587">
        <v>4390</v>
      </c>
      <c r="I16587" t="s">
        <v>98</v>
      </c>
      <c r="J16587">
        <v>2104.5</v>
      </c>
      <c r="K16587">
        <v>0</v>
      </c>
      <c r="L16587">
        <v>69501</v>
      </c>
      <c r="M16587" t="s">
        <v>185</v>
      </c>
      <c r="N16587" t="str">
        <f>"35857       "</f>
        <v xml:space="preserve">35857       </v>
      </c>
      <c r="O16587">
        <v>230130</v>
      </c>
    </row>
    <row r="16588" spans="1:15" x14ac:dyDescent="0.25">
      <c r="A16588" t="s">
        <v>16</v>
      </c>
      <c r="B16588" t="s">
        <v>3221</v>
      </c>
      <c r="C16588">
        <v>2183</v>
      </c>
      <c r="D16588" t="s">
        <v>682</v>
      </c>
      <c r="E16588" t="s">
        <v>683</v>
      </c>
      <c r="F16588">
        <v>215.41</v>
      </c>
      <c r="G16588">
        <v>230213</v>
      </c>
      <c r="H16588">
        <v>4390</v>
      </c>
      <c r="I16588" t="s">
        <v>98</v>
      </c>
      <c r="J16588">
        <v>215.41</v>
      </c>
      <c r="K16588">
        <v>0</v>
      </c>
      <c r="L16588">
        <v>69501</v>
      </c>
      <c r="M16588" t="s">
        <v>185</v>
      </c>
      <c r="N16588" t="str">
        <f>"35891       "</f>
        <v xml:space="preserve">35891       </v>
      </c>
      <c r="O16588">
        <v>230222</v>
      </c>
    </row>
    <row r="16589" spans="1:15" x14ac:dyDescent="0.25">
      <c r="A16589" t="s">
        <v>16</v>
      </c>
      <c r="B16589" t="s">
        <v>3221</v>
      </c>
      <c r="C16589">
        <v>3155</v>
      </c>
      <c r="D16589" t="s">
        <v>682</v>
      </c>
      <c r="E16589" t="s">
        <v>683</v>
      </c>
      <c r="F16589">
        <v>585.34</v>
      </c>
      <c r="G16589">
        <v>230308</v>
      </c>
      <c r="H16589">
        <v>4390</v>
      </c>
      <c r="I16589" t="s">
        <v>98</v>
      </c>
      <c r="J16589">
        <v>585.34</v>
      </c>
      <c r="K16589">
        <v>0</v>
      </c>
      <c r="L16589">
        <v>69501</v>
      </c>
      <c r="M16589" t="s">
        <v>185</v>
      </c>
      <c r="N16589" t="str">
        <f>"36027       "</f>
        <v xml:space="preserve">36027       </v>
      </c>
      <c r="O16589">
        <v>230309</v>
      </c>
    </row>
    <row r="16590" spans="1:15" x14ac:dyDescent="0.25">
      <c r="A16590" t="s">
        <v>16</v>
      </c>
      <c r="B16590" t="s">
        <v>3221</v>
      </c>
      <c r="C16590">
        <v>3157</v>
      </c>
      <c r="D16590" t="s">
        <v>682</v>
      </c>
      <c r="E16590" t="s">
        <v>683</v>
      </c>
      <c r="F16590">
        <v>2662.93</v>
      </c>
      <c r="G16590">
        <v>230309</v>
      </c>
      <c r="H16590">
        <v>4390</v>
      </c>
      <c r="I16590" t="s">
        <v>98</v>
      </c>
      <c r="J16590">
        <v>2662.93</v>
      </c>
      <c r="K16590">
        <v>0</v>
      </c>
      <c r="L16590">
        <v>69501</v>
      </c>
      <c r="M16590" t="s">
        <v>185</v>
      </c>
      <c r="N16590" t="str">
        <f>"36069       "</f>
        <v xml:space="preserve">36069       </v>
      </c>
      <c r="O16590">
        <v>230309</v>
      </c>
    </row>
    <row r="16591" spans="1:15" x14ac:dyDescent="0.25">
      <c r="A16591" t="s">
        <v>16</v>
      </c>
      <c r="B16591" t="s">
        <v>3221</v>
      </c>
      <c r="C16591">
        <v>3386</v>
      </c>
      <c r="D16591" t="s">
        <v>682</v>
      </c>
      <c r="E16591" t="s">
        <v>683</v>
      </c>
      <c r="F16591">
        <v>1140.6099999999999</v>
      </c>
      <c r="G16591">
        <v>230313</v>
      </c>
      <c r="H16591">
        <v>4390</v>
      </c>
      <c r="I16591" t="s">
        <v>98</v>
      </c>
      <c r="J16591">
        <v>1140.6099999999999</v>
      </c>
      <c r="K16591">
        <v>0</v>
      </c>
      <c r="L16591">
        <v>69501</v>
      </c>
      <c r="M16591" t="s">
        <v>185</v>
      </c>
      <c r="N16591" t="str">
        <f>"36087       "</f>
        <v xml:space="preserve">36087       </v>
      </c>
      <c r="O16591">
        <v>230315</v>
      </c>
    </row>
    <row r="16592" spans="1:15" x14ac:dyDescent="0.25">
      <c r="A16592" t="s">
        <v>16</v>
      </c>
      <c r="B16592" t="s">
        <v>3221</v>
      </c>
      <c r="C16592">
        <v>4591</v>
      </c>
      <c r="D16592" t="s">
        <v>682</v>
      </c>
      <c r="E16592" t="s">
        <v>683</v>
      </c>
      <c r="F16592">
        <v>928.95</v>
      </c>
      <c r="G16592">
        <v>230328</v>
      </c>
      <c r="H16592">
        <v>4390</v>
      </c>
      <c r="I16592" t="s">
        <v>98</v>
      </c>
      <c r="J16592">
        <v>928.95</v>
      </c>
      <c r="K16592">
        <v>0</v>
      </c>
      <c r="L16592">
        <v>69501</v>
      </c>
      <c r="M16592" t="s">
        <v>185</v>
      </c>
      <c r="N16592" t="str">
        <f>"36156       "</f>
        <v xml:space="preserve">36156       </v>
      </c>
      <c r="O16592">
        <v>230411</v>
      </c>
    </row>
    <row r="16593" spans="1:15" x14ac:dyDescent="0.25">
      <c r="A16593" t="s">
        <v>16</v>
      </c>
      <c r="B16593" t="s">
        <v>3221</v>
      </c>
      <c r="C16593">
        <v>6392</v>
      </c>
      <c r="D16593" t="s">
        <v>682</v>
      </c>
      <c r="E16593" t="s">
        <v>683</v>
      </c>
      <c r="F16593">
        <v>1329.46</v>
      </c>
      <c r="G16593">
        <v>230504</v>
      </c>
      <c r="H16593">
        <v>4390</v>
      </c>
      <c r="I16593" t="s">
        <v>98</v>
      </c>
      <c r="J16593">
        <v>1648.53</v>
      </c>
      <c r="K16593">
        <v>319.07</v>
      </c>
      <c r="L16593">
        <v>69501</v>
      </c>
      <c r="M16593" t="s">
        <v>185</v>
      </c>
      <c r="N16593" t="str">
        <f>"36286       "</f>
        <v xml:space="preserve">36286       </v>
      </c>
      <c r="O16593">
        <v>230510</v>
      </c>
    </row>
    <row r="16594" spans="1:15" x14ac:dyDescent="0.25">
      <c r="A16594" t="s">
        <v>16</v>
      </c>
      <c r="B16594" t="s">
        <v>3221</v>
      </c>
      <c r="C16594">
        <v>8178</v>
      </c>
      <c r="D16594" t="s">
        <v>682</v>
      </c>
      <c r="E16594" t="s">
        <v>683</v>
      </c>
      <c r="F16594">
        <v>1268.83</v>
      </c>
      <c r="G16594">
        <v>230606</v>
      </c>
      <c r="H16594">
        <v>4390</v>
      </c>
      <c r="I16594" t="s">
        <v>98</v>
      </c>
      <c r="J16594">
        <v>1268.83</v>
      </c>
      <c r="K16594">
        <v>0</v>
      </c>
      <c r="L16594">
        <v>69501</v>
      </c>
      <c r="M16594" t="s">
        <v>185</v>
      </c>
      <c r="N16594" t="str">
        <f>"36386       "</f>
        <v xml:space="preserve">36386       </v>
      </c>
      <c r="O16594">
        <v>230607</v>
      </c>
    </row>
    <row r="16595" spans="1:15" x14ac:dyDescent="0.25">
      <c r="A16595" t="s">
        <v>16</v>
      </c>
      <c r="B16595" t="s">
        <v>3221</v>
      </c>
      <c r="C16595">
        <v>12178</v>
      </c>
      <c r="D16595" t="s">
        <v>682</v>
      </c>
      <c r="E16595" t="s">
        <v>683</v>
      </c>
      <c r="F16595">
        <v>193.33</v>
      </c>
      <c r="G16595">
        <v>230913</v>
      </c>
      <c r="H16595">
        <v>4390</v>
      </c>
      <c r="I16595" t="s">
        <v>98</v>
      </c>
      <c r="J16595">
        <v>193.33</v>
      </c>
      <c r="K16595">
        <v>0</v>
      </c>
      <c r="L16595">
        <v>69501</v>
      </c>
      <c r="M16595" t="s">
        <v>185</v>
      </c>
      <c r="N16595" t="str">
        <f>"36794       "</f>
        <v xml:space="preserve">36794       </v>
      </c>
      <c r="O16595">
        <v>230915</v>
      </c>
    </row>
    <row r="16596" spans="1:15" x14ac:dyDescent="0.25">
      <c r="A16596" t="s">
        <v>16</v>
      </c>
      <c r="B16596" t="s">
        <v>3221</v>
      </c>
      <c r="C16596">
        <v>13951</v>
      </c>
      <c r="D16596" t="s">
        <v>682</v>
      </c>
      <c r="E16596" t="s">
        <v>683</v>
      </c>
      <c r="F16596">
        <v>681.28</v>
      </c>
      <c r="G16596">
        <v>231013</v>
      </c>
      <c r="H16596">
        <v>4390</v>
      </c>
      <c r="I16596" t="s">
        <v>98</v>
      </c>
      <c r="J16596">
        <v>681.28</v>
      </c>
      <c r="K16596">
        <v>0</v>
      </c>
      <c r="L16596">
        <v>69501</v>
      </c>
      <c r="M16596" t="s">
        <v>185</v>
      </c>
      <c r="N16596" t="str">
        <f>"36902       "</f>
        <v xml:space="preserve">36902       </v>
      </c>
      <c r="O16596">
        <v>231017</v>
      </c>
    </row>
    <row r="16597" spans="1:15" x14ac:dyDescent="0.25">
      <c r="A16597" t="s">
        <v>16</v>
      </c>
      <c r="B16597" t="s">
        <v>3221</v>
      </c>
      <c r="C16597">
        <v>15424</v>
      </c>
      <c r="D16597" t="s">
        <v>682</v>
      </c>
      <c r="E16597" t="s">
        <v>683</v>
      </c>
      <c r="F16597">
        <v>406.85</v>
      </c>
      <c r="G16597">
        <v>231108</v>
      </c>
      <c r="H16597">
        <v>4390</v>
      </c>
      <c r="I16597" t="s">
        <v>98</v>
      </c>
      <c r="J16597">
        <v>406.85</v>
      </c>
      <c r="K16597">
        <v>0</v>
      </c>
      <c r="L16597">
        <v>69501</v>
      </c>
      <c r="M16597" t="s">
        <v>185</v>
      </c>
      <c r="N16597" t="str">
        <f>"37021       "</f>
        <v xml:space="preserve">37021       </v>
      </c>
      <c r="O16597">
        <v>231113</v>
      </c>
    </row>
    <row r="16598" spans="1:15" x14ac:dyDescent="0.25">
      <c r="A16598" t="s">
        <v>16</v>
      </c>
      <c r="B16598" t="s">
        <v>3221</v>
      </c>
      <c r="C16598">
        <v>19030</v>
      </c>
      <c r="D16598" t="s">
        <v>682</v>
      </c>
      <c r="E16598" t="s">
        <v>683</v>
      </c>
      <c r="F16598">
        <v>240.36</v>
      </c>
      <c r="G16598">
        <v>231229</v>
      </c>
      <c r="H16598">
        <v>4390</v>
      </c>
      <c r="I16598" t="s">
        <v>98</v>
      </c>
      <c r="J16598">
        <v>240.36</v>
      </c>
      <c r="K16598">
        <v>0</v>
      </c>
      <c r="L16598">
        <v>69501</v>
      </c>
      <c r="M16598" t="s">
        <v>185</v>
      </c>
      <c r="N16598" t="str">
        <f>"37238       "</f>
        <v xml:space="preserve">37238       </v>
      </c>
      <c r="O16598">
        <v>240110</v>
      </c>
    </row>
    <row r="16599" spans="1:15" x14ac:dyDescent="0.25">
      <c r="A16599" t="s">
        <v>16</v>
      </c>
      <c r="B16599" t="s">
        <v>3221</v>
      </c>
      <c r="C16599">
        <v>19032</v>
      </c>
      <c r="D16599" t="s">
        <v>682</v>
      </c>
      <c r="E16599" t="s">
        <v>683</v>
      </c>
      <c r="F16599">
        <v>597.37</v>
      </c>
      <c r="G16599">
        <v>231229</v>
      </c>
      <c r="H16599">
        <v>4390</v>
      </c>
      <c r="I16599" t="s">
        <v>98</v>
      </c>
      <c r="J16599">
        <v>740.74</v>
      </c>
      <c r="K16599">
        <v>143.37</v>
      </c>
      <c r="L16599">
        <v>69501</v>
      </c>
      <c r="M16599" t="s">
        <v>185</v>
      </c>
      <c r="N16599" t="str">
        <f>"37237       "</f>
        <v xml:space="preserve">37237       </v>
      </c>
      <c r="O16599">
        <v>240110</v>
      </c>
    </row>
    <row r="16600" spans="1:15" x14ac:dyDescent="0.25">
      <c r="A16600" t="s">
        <v>16</v>
      </c>
      <c r="B16600" t="s">
        <v>3221</v>
      </c>
      <c r="C16600">
        <v>19033</v>
      </c>
      <c r="D16600" t="s">
        <v>682</v>
      </c>
      <c r="E16600" t="s">
        <v>683</v>
      </c>
      <c r="F16600">
        <v>266.20999999999998</v>
      </c>
      <c r="G16600">
        <v>231229</v>
      </c>
      <c r="H16600">
        <v>4390</v>
      </c>
      <c r="I16600" t="s">
        <v>98</v>
      </c>
      <c r="J16600">
        <v>266.20999999999998</v>
      </c>
      <c r="K16600">
        <v>0</v>
      </c>
      <c r="L16600">
        <v>69501</v>
      </c>
      <c r="M16600" t="s">
        <v>185</v>
      </c>
      <c r="N16600" t="str">
        <f>"37236       "</f>
        <v xml:space="preserve">37236       </v>
      </c>
      <c r="O16600">
        <v>240110</v>
      </c>
    </row>
    <row r="16601" spans="1:15" x14ac:dyDescent="0.25">
      <c r="A16601" t="s">
        <v>16</v>
      </c>
      <c r="B16601" t="s">
        <v>3221</v>
      </c>
      <c r="C16601">
        <v>19035</v>
      </c>
      <c r="D16601" t="s">
        <v>682</v>
      </c>
      <c r="E16601" t="s">
        <v>683</v>
      </c>
      <c r="F16601">
        <v>953.64</v>
      </c>
      <c r="G16601">
        <v>231229</v>
      </c>
      <c r="H16601">
        <v>4390</v>
      </c>
      <c r="I16601" t="s">
        <v>98</v>
      </c>
      <c r="J16601">
        <v>953.64</v>
      </c>
      <c r="K16601">
        <v>0</v>
      </c>
      <c r="L16601">
        <v>69501</v>
      </c>
      <c r="M16601" t="s">
        <v>185</v>
      </c>
      <c r="N16601" t="str">
        <f>"37235       "</f>
        <v xml:space="preserve">37235       </v>
      </c>
      <c r="O16601">
        <v>240110</v>
      </c>
    </row>
    <row r="16602" spans="1:15" x14ac:dyDescent="0.25">
      <c r="A16602" t="s">
        <v>16</v>
      </c>
      <c r="B16602" t="s">
        <v>3221</v>
      </c>
      <c r="C16602">
        <v>4037</v>
      </c>
      <c r="D16602" t="s">
        <v>682</v>
      </c>
      <c r="E16602" t="s">
        <v>683</v>
      </c>
      <c r="F16602">
        <v>28.2</v>
      </c>
      <c r="G16602">
        <v>230328</v>
      </c>
      <c r="H16602">
        <v>4590</v>
      </c>
      <c r="I16602" t="s">
        <v>203</v>
      </c>
      <c r="J16602">
        <v>34.97</v>
      </c>
      <c r="K16602">
        <v>6.77</v>
      </c>
      <c r="L16602">
        <v>69501</v>
      </c>
      <c r="M16602" t="s">
        <v>185</v>
      </c>
      <c r="N16602" t="str">
        <f>"36157       "</f>
        <v xml:space="preserve">36157       </v>
      </c>
      <c r="O16602">
        <v>230329</v>
      </c>
    </row>
    <row r="16603" spans="1:15" x14ac:dyDescent="0.25">
      <c r="A16603" t="s">
        <v>16</v>
      </c>
      <c r="B16603" t="s">
        <v>3221</v>
      </c>
      <c r="C16603">
        <v>2428</v>
      </c>
      <c r="D16603" t="s">
        <v>682</v>
      </c>
      <c r="E16603" t="s">
        <v>683</v>
      </c>
      <c r="F16603">
        <v>28.48</v>
      </c>
      <c r="G16603">
        <v>230224</v>
      </c>
      <c r="H16603">
        <v>4572</v>
      </c>
      <c r="I16603" t="s">
        <v>122</v>
      </c>
      <c r="J16603">
        <v>35.32</v>
      </c>
      <c r="K16603">
        <v>6.84</v>
      </c>
      <c r="L16603">
        <v>69501</v>
      </c>
      <c r="M16603" t="s">
        <v>185</v>
      </c>
      <c r="N16603" t="str">
        <f>"35985       "</f>
        <v xml:space="preserve">35985       </v>
      </c>
      <c r="O16603">
        <v>230227</v>
      </c>
    </row>
    <row r="16604" spans="1:15" x14ac:dyDescent="0.25">
      <c r="A16604" t="s">
        <v>16</v>
      </c>
      <c r="B16604" t="s">
        <v>3221</v>
      </c>
      <c r="C16604">
        <v>3156</v>
      </c>
      <c r="D16604" t="s">
        <v>682</v>
      </c>
      <c r="E16604" t="s">
        <v>683</v>
      </c>
      <c r="F16604">
        <v>49.12</v>
      </c>
      <c r="G16604">
        <v>230308</v>
      </c>
      <c r="H16604">
        <v>4572</v>
      </c>
      <c r="I16604" t="s">
        <v>122</v>
      </c>
      <c r="J16604">
        <v>60.91</v>
      </c>
      <c r="K16604">
        <v>11.79</v>
      </c>
      <c r="L16604">
        <v>69501</v>
      </c>
      <c r="M16604" t="s">
        <v>185</v>
      </c>
      <c r="N16604" t="str">
        <f>"36060       "</f>
        <v xml:space="preserve">36060       </v>
      </c>
      <c r="O16604">
        <v>230309</v>
      </c>
    </row>
    <row r="16605" spans="1:15" x14ac:dyDescent="0.25">
      <c r="A16605" t="s">
        <v>16</v>
      </c>
      <c r="B16605" t="s">
        <v>3221</v>
      </c>
      <c r="C16605">
        <v>4037</v>
      </c>
      <c r="D16605" t="s">
        <v>682</v>
      </c>
      <c r="E16605" t="s">
        <v>683</v>
      </c>
      <c r="F16605">
        <v>15.59</v>
      </c>
      <c r="G16605">
        <v>230328</v>
      </c>
      <c r="H16605">
        <v>4572</v>
      </c>
      <c r="I16605" t="s">
        <v>122</v>
      </c>
      <c r="J16605">
        <v>19.329999999999998</v>
      </c>
      <c r="K16605">
        <v>3.74</v>
      </c>
      <c r="L16605">
        <v>67554</v>
      </c>
      <c r="M16605" t="s">
        <v>60</v>
      </c>
      <c r="N16605" t="str">
        <f>"36157       "</f>
        <v xml:space="preserve">36157       </v>
      </c>
      <c r="O16605">
        <v>230329</v>
      </c>
    </row>
    <row r="16606" spans="1:15" x14ac:dyDescent="0.25">
      <c r="A16606" t="s">
        <v>16</v>
      </c>
      <c r="B16606" t="s">
        <v>3221</v>
      </c>
      <c r="C16606">
        <v>4037</v>
      </c>
      <c r="D16606" t="s">
        <v>682</v>
      </c>
      <c r="E16606" t="s">
        <v>683</v>
      </c>
      <c r="F16606">
        <v>94.48</v>
      </c>
      <c r="G16606">
        <v>230328</v>
      </c>
      <c r="H16606">
        <v>4572</v>
      </c>
      <c r="I16606" t="s">
        <v>122</v>
      </c>
      <c r="J16606">
        <v>117.15</v>
      </c>
      <c r="K16606">
        <v>22.67</v>
      </c>
      <c r="L16606">
        <v>69501</v>
      </c>
      <c r="M16606" t="s">
        <v>185</v>
      </c>
      <c r="N16606" t="str">
        <f>"36157       "</f>
        <v xml:space="preserve">36157       </v>
      </c>
      <c r="O16606">
        <v>230329</v>
      </c>
    </row>
    <row r="16607" spans="1:15" x14ac:dyDescent="0.25">
      <c r="A16607" t="s">
        <v>16</v>
      </c>
      <c r="B16607" t="s">
        <v>3221</v>
      </c>
      <c r="C16607">
        <v>12179</v>
      </c>
      <c r="D16607" t="s">
        <v>682</v>
      </c>
      <c r="E16607" t="s">
        <v>683</v>
      </c>
      <c r="F16607">
        <v>181.77</v>
      </c>
      <c r="G16607">
        <v>230913</v>
      </c>
      <c r="H16607">
        <v>4572</v>
      </c>
      <c r="I16607" t="s">
        <v>122</v>
      </c>
      <c r="J16607">
        <v>225.4</v>
      </c>
      <c r="K16607">
        <v>43.63</v>
      </c>
      <c r="L16607">
        <v>69501</v>
      </c>
      <c r="M16607" t="s">
        <v>185</v>
      </c>
      <c r="N16607" t="str">
        <f>"36795       "</f>
        <v xml:space="preserve">36795       </v>
      </c>
      <c r="O16607">
        <v>230915</v>
      </c>
    </row>
    <row r="16608" spans="1:15" x14ac:dyDescent="0.25">
      <c r="A16608" t="s">
        <v>16</v>
      </c>
      <c r="B16608" t="s">
        <v>3221</v>
      </c>
      <c r="C16608">
        <v>13999</v>
      </c>
      <c r="D16608" t="s">
        <v>682</v>
      </c>
      <c r="E16608" t="s">
        <v>683</v>
      </c>
      <c r="F16608">
        <v>100.23</v>
      </c>
      <c r="G16608">
        <v>231013</v>
      </c>
      <c r="H16608">
        <v>4572</v>
      </c>
      <c r="I16608" t="s">
        <v>122</v>
      </c>
      <c r="J16608">
        <v>124.29</v>
      </c>
      <c r="K16608">
        <v>24.06</v>
      </c>
      <c r="L16608">
        <v>69501</v>
      </c>
      <c r="M16608" t="s">
        <v>185</v>
      </c>
      <c r="N16608" t="str">
        <f>"36903       "</f>
        <v xml:space="preserve">36903       </v>
      </c>
      <c r="O16608">
        <v>231017</v>
      </c>
    </row>
    <row r="16609" spans="1:15" x14ac:dyDescent="0.25">
      <c r="A16609" t="s">
        <v>16</v>
      </c>
      <c r="B16609" t="s">
        <v>3221</v>
      </c>
      <c r="C16609">
        <v>15423</v>
      </c>
      <c r="D16609" t="s">
        <v>682</v>
      </c>
      <c r="E16609" t="s">
        <v>683</v>
      </c>
      <c r="F16609">
        <v>1024.9000000000001</v>
      </c>
      <c r="G16609">
        <v>231108</v>
      </c>
      <c r="H16609">
        <v>4572</v>
      </c>
      <c r="I16609" t="s">
        <v>122</v>
      </c>
      <c r="J16609">
        <v>1270.8800000000001</v>
      </c>
      <c r="K16609">
        <v>245.98</v>
      </c>
      <c r="L16609">
        <v>69501</v>
      </c>
      <c r="M16609" t="s">
        <v>185</v>
      </c>
      <c r="N16609" t="str">
        <f>"37022       "</f>
        <v xml:space="preserve">37022       </v>
      </c>
      <c r="O16609">
        <v>231113</v>
      </c>
    </row>
    <row r="16610" spans="1:15" x14ac:dyDescent="0.25">
      <c r="A16610" t="s">
        <v>16</v>
      </c>
      <c r="B16610" t="s">
        <v>3221</v>
      </c>
      <c r="C16610">
        <v>8577</v>
      </c>
      <c r="D16610" t="s">
        <v>255</v>
      </c>
      <c r="E16610" t="s">
        <v>256</v>
      </c>
      <c r="F16610">
        <v>29.76</v>
      </c>
      <c r="G16610">
        <v>230611</v>
      </c>
      <c r="H16610">
        <v>4341</v>
      </c>
      <c r="I16610" t="s">
        <v>32</v>
      </c>
      <c r="J16610">
        <v>36.9</v>
      </c>
      <c r="K16610">
        <v>7.14</v>
      </c>
      <c r="L16610">
        <v>17975</v>
      </c>
      <c r="M16610" t="s">
        <v>798</v>
      </c>
      <c r="N16610" t="str">
        <f>"90407036856 "</f>
        <v xml:space="preserve">90407036856 </v>
      </c>
      <c r="O16610">
        <v>230612</v>
      </c>
    </row>
    <row r="16611" spans="1:15" x14ac:dyDescent="0.25">
      <c r="A16611" t="s">
        <v>16</v>
      </c>
      <c r="B16611" t="s">
        <v>3221</v>
      </c>
      <c r="C16611">
        <v>167</v>
      </c>
      <c r="D16611" t="s">
        <v>255</v>
      </c>
      <c r="E16611" t="s">
        <v>256</v>
      </c>
      <c r="F16611">
        <v>11.22</v>
      </c>
      <c r="G16611">
        <v>230108</v>
      </c>
      <c r="H16611">
        <v>4362</v>
      </c>
      <c r="I16611" t="s">
        <v>79</v>
      </c>
      <c r="J16611">
        <v>13.91</v>
      </c>
      <c r="K16611">
        <v>2.69</v>
      </c>
      <c r="L16611">
        <v>69501</v>
      </c>
      <c r="M16611" t="s">
        <v>185</v>
      </c>
      <c r="N16611" t="str">
        <f>"90394518923 "</f>
        <v xml:space="preserve">90394518923 </v>
      </c>
      <c r="O16611">
        <v>230116</v>
      </c>
    </row>
    <row r="16612" spans="1:15" x14ac:dyDescent="0.25">
      <c r="A16612" t="s">
        <v>16</v>
      </c>
      <c r="B16612" t="s">
        <v>3221</v>
      </c>
      <c r="C16612">
        <v>248</v>
      </c>
      <c r="D16612" t="s">
        <v>255</v>
      </c>
      <c r="E16612" t="s">
        <v>256</v>
      </c>
      <c r="F16612">
        <v>29.76</v>
      </c>
      <c r="G16612">
        <v>230111</v>
      </c>
      <c r="H16612">
        <v>4362</v>
      </c>
      <c r="I16612" t="s">
        <v>79</v>
      </c>
      <c r="J16612">
        <v>36.9</v>
      </c>
      <c r="K16612">
        <v>7.14</v>
      </c>
      <c r="L16612">
        <v>17538</v>
      </c>
      <c r="M16612" t="s">
        <v>24</v>
      </c>
      <c r="N16612" t="str">
        <f>"90395332768 "</f>
        <v xml:space="preserve">90395332768 </v>
      </c>
      <c r="O16612">
        <v>230116</v>
      </c>
    </row>
    <row r="16613" spans="1:15" x14ac:dyDescent="0.25">
      <c r="A16613" t="s">
        <v>16</v>
      </c>
      <c r="B16613" t="s">
        <v>3221</v>
      </c>
      <c r="C16613">
        <v>573</v>
      </c>
      <c r="D16613" t="s">
        <v>255</v>
      </c>
      <c r="E16613" t="s">
        <v>256</v>
      </c>
      <c r="F16613">
        <v>28.15</v>
      </c>
      <c r="G16613">
        <v>230124</v>
      </c>
      <c r="H16613">
        <v>4362</v>
      </c>
      <c r="I16613" t="s">
        <v>79</v>
      </c>
      <c r="J16613">
        <v>34.9</v>
      </c>
      <c r="K16613">
        <v>6.75</v>
      </c>
      <c r="L16613">
        <v>59702</v>
      </c>
      <c r="M16613" t="s">
        <v>328</v>
      </c>
      <c r="N16613" t="str">
        <f>"90396351341 "</f>
        <v xml:space="preserve">90396351341 </v>
      </c>
      <c r="O16613">
        <v>230124</v>
      </c>
    </row>
    <row r="16614" spans="1:15" x14ac:dyDescent="0.25">
      <c r="A16614" t="s">
        <v>16</v>
      </c>
      <c r="B16614" t="s">
        <v>3221</v>
      </c>
      <c r="C16614">
        <v>1293</v>
      </c>
      <c r="D16614" t="s">
        <v>255</v>
      </c>
      <c r="E16614" t="s">
        <v>256</v>
      </c>
      <c r="F16614">
        <v>11.22</v>
      </c>
      <c r="G16614">
        <v>230208</v>
      </c>
      <c r="H16614">
        <v>4362</v>
      </c>
      <c r="I16614" t="s">
        <v>79</v>
      </c>
      <c r="J16614">
        <v>13.91</v>
      </c>
      <c r="K16614">
        <v>2.69</v>
      </c>
      <c r="L16614">
        <v>69501</v>
      </c>
      <c r="M16614" t="s">
        <v>185</v>
      </c>
      <c r="N16614" t="str">
        <f>"90396822984 "</f>
        <v xml:space="preserve">90396822984 </v>
      </c>
      <c r="O16614">
        <v>230207</v>
      </c>
    </row>
    <row r="16615" spans="1:15" x14ac:dyDescent="0.25">
      <c r="A16615" t="s">
        <v>16</v>
      </c>
      <c r="B16615" t="s">
        <v>3221</v>
      </c>
      <c r="C16615">
        <v>2228</v>
      </c>
      <c r="D16615" t="s">
        <v>255</v>
      </c>
      <c r="E16615" t="s">
        <v>256</v>
      </c>
      <c r="F16615">
        <v>28.15</v>
      </c>
      <c r="G16615">
        <v>230223</v>
      </c>
      <c r="H16615">
        <v>4362</v>
      </c>
      <c r="I16615" t="s">
        <v>79</v>
      </c>
      <c r="J16615">
        <v>34.9</v>
      </c>
      <c r="K16615">
        <v>6.75</v>
      </c>
      <c r="L16615">
        <v>59702</v>
      </c>
      <c r="M16615" t="s">
        <v>328</v>
      </c>
      <c r="N16615" t="str">
        <f>"90398678891 "</f>
        <v xml:space="preserve">90398678891 </v>
      </c>
      <c r="O16615">
        <v>230222</v>
      </c>
    </row>
    <row r="16616" spans="1:15" x14ac:dyDescent="0.25">
      <c r="A16616" t="s">
        <v>16</v>
      </c>
      <c r="B16616" t="s">
        <v>3221</v>
      </c>
      <c r="C16616">
        <v>2506</v>
      </c>
      <c r="D16616" t="s">
        <v>255</v>
      </c>
      <c r="E16616" t="s">
        <v>256</v>
      </c>
      <c r="F16616">
        <v>29.76</v>
      </c>
      <c r="G16616">
        <v>230211</v>
      </c>
      <c r="H16616">
        <v>4362</v>
      </c>
      <c r="I16616" t="s">
        <v>79</v>
      </c>
      <c r="J16616">
        <v>36.9</v>
      </c>
      <c r="K16616">
        <v>7.14</v>
      </c>
      <c r="L16616">
        <v>17974</v>
      </c>
      <c r="M16616" t="s">
        <v>460</v>
      </c>
      <c r="N16616" t="str">
        <f>"90397697966 "</f>
        <v xml:space="preserve">90397697966 </v>
      </c>
      <c r="O16616">
        <v>230301</v>
      </c>
    </row>
    <row r="16617" spans="1:15" x14ac:dyDescent="0.25">
      <c r="A16617" t="s">
        <v>16</v>
      </c>
      <c r="B16617" t="s">
        <v>3221</v>
      </c>
      <c r="C16617">
        <v>3159</v>
      </c>
      <c r="D16617" t="s">
        <v>255</v>
      </c>
      <c r="E16617" t="s">
        <v>256</v>
      </c>
      <c r="F16617">
        <v>12.96</v>
      </c>
      <c r="G16617">
        <v>230312</v>
      </c>
      <c r="H16617">
        <v>4362</v>
      </c>
      <c r="I16617" t="s">
        <v>79</v>
      </c>
      <c r="J16617">
        <v>16.07</v>
      </c>
      <c r="K16617">
        <v>3.11</v>
      </c>
      <c r="L16617">
        <v>69501</v>
      </c>
      <c r="M16617" t="s">
        <v>185</v>
      </c>
      <c r="N16617" t="str">
        <f>"90399678978 "</f>
        <v xml:space="preserve">90399678978 </v>
      </c>
      <c r="O16617">
        <v>230309</v>
      </c>
    </row>
    <row r="16618" spans="1:15" x14ac:dyDescent="0.25">
      <c r="A16618" t="s">
        <v>16</v>
      </c>
      <c r="B16618" t="s">
        <v>3221</v>
      </c>
      <c r="C16618">
        <v>3196</v>
      </c>
      <c r="D16618" t="s">
        <v>255</v>
      </c>
      <c r="E16618" t="s">
        <v>256</v>
      </c>
      <c r="F16618">
        <v>29.76</v>
      </c>
      <c r="G16618">
        <v>230311</v>
      </c>
      <c r="H16618">
        <v>4362</v>
      </c>
      <c r="I16618" t="s">
        <v>79</v>
      </c>
      <c r="J16618">
        <v>36.9</v>
      </c>
      <c r="K16618">
        <v>7.14</v>
      </c>
      <c r="L16618">
        <v>17975</v>
      </c>
      <c r="M16618" t="s">
        <v>798</v>
      </c>
      <c r="N16618" t="str">
        <f>"90400035749 "</f>
        <v xml:space="preserve">90400035749 </v>
      </c>
      <c r="O16618">
        <v>230310</v>
      </c>
    </row>
    <row r="16619" spans="1:15" x14ac:dyDescent="0.25">
      <c r="A16619" t="s">
        <v>16</v>
      </c>
      <c r="B16619" t="s">
        <v>3221</v>
      </c>
      <c r="C16619">
        <v>3917</v>
      </c>
      <c r="D16619" t="s">
        <v>255</v>
      </c>
      <c r="E16619" t="s">
        <v>256</v>
      </c>
      <c r="F16619">
        <v>28.15</v>
      </c>
      <c r="G16619">
        <v>230323</v>
      </c>
      <c r="H16619">
        <v>4362</v>
      </c>
      <c r="I16619" t="s">
        <v>79</v>
      </c>
      <c r="J16619">
        <v>34.9</v>
      </c>
      <c r="K16619">
        <v>6.75</v>
      </c>
      <c r="L16619">
        <v>59702</v>
      </c>
      <c r="M16619" t="s">
        <v>328</v>
      </c>
      <c r="N16619" t="str">
        <f>"90401070511 "</f>
        <v xml:space="preserve">90401070511 </v>
      </c>
      <c r="O16619">
        <v>230324</v>
      </c>
    </row>
    <row r="16620" spans="1:15" x14ac:dyDescent="0.25">
      <c r="A16620" t="s">
        <v>16</v>
      </c>
      <c r="B16620" t="s">
        <v>3221</v>
      </c>
      <c r="C16620">
        <v>4780</v>
      </c>
      <c r="D16620" t="s">
        <v>255</v>
      </c>
      <c r="E16620" t="s">
        <v>256</v>
      </c>
      <c r="F16620">
        <v>12.9</v>
      </c>
      <c r="G16620">
        <v>230408</v>
      </c>
      <c r="H16620">
        <v>4362</v>
      </c>
      <c r="I16620" t="s">
        <v>79</v>
      </c>
      <c r="J16620">
        <v>16</v>
      </c>
      <c r="K16620">
        <v>3.1</v>
      </c>
      <c r="L16620">
        <v>69501</v>
      </c>
      <c r="M16620" t="s">
        <v>185</v>
      </c>
      <c r="N16620" t="str">
        <f>"90401592070 "</f>
        <v xml:space="preserve">90401592070 </v>
      </c>
      <c r="O16620">
        <v>230412</v>
      </c>
    </row>
    <row r="16621" spans="1:15" x14ac:dyDescent="0.25">
      <c r="A16621" t="s">
        <v>16</v>
      </c>
      <c r="B16621" t="s">
        <v>3221</v>
      </c>
      <c r="C16621">
        <v>4805</v>
      </c>
      <c r="D16621" t="s">
        <v>255</v>
      </c>
      <c r="E16621" t="s">
        <v>256</v>
      </c>
      <c r="F16621">
        <v>29.76</v>
      </c>
      <c r="G16621">
        <v>230411</v>
      </c>
      <c r="H16621">
        <v>4362</v>
      </c>
      <c r="I16621" t="s">
        <v>79</v>
      </c>
      <c r="J16621">
        <v>36.9</v>
      </c>
      <c r="K16621">
        <v>7.14</v>
      </c>
      <c r="L16621">
        <v>17975</v>
      </c>
      <c r="M16621" t="s">
        <v>798</v>
      </c>
      <c r="N16621" t="str">
        <f>"90402405508 "</f>
        <v xml:space="preserve">90402405508 </v>
      </c>
      <c r="O16621">
        <v>230412</v>
      </c>
    </row>
    <row r="16622" spans="1:15" x14ac:dyDescent="0.25">
      <c r="A16622" t="s">
        <v>16</v>
      </c>
      <c r="B16622" t="s">
        <v>3221</v>
      </c>
      <c r="C16622">
        <v>5459</v>
      </c>
      <c r="D16622" t="s">
        <v>255</v>
      </c>
      <c r="E16622" t="s">
        <v>256</v>
      </c>
      <c r="F16622">
        <v>28.15</v>
      </c>
      <c r="G16622">
        <v>230423</v>
      </c>
      <c r="H16622">
        <v>4362</v>
      </c>
      <c r="I16622" t="s">
        <v>79</v>
      </c>
      <c r="J16622">
        <v>34.9</v>
      </c>
      <c r="K16622">
        <v>6.75</v>
      </c>
      <c r="L16622">
        <v>59702</v>
      </c>
      <c r="M16622" t="s">
        <v>328</v>
      </c>
      <c r="N16622" t="str">
        <f>"90403391695 "</f>
        <v xml:space="preserve">90403391695 </v>
      </c>
      <c r="O16622">
        <v>230425</v>
      </c>
    </row>
    <row r="16623" spans="1:15" x14ac:dyDescent="0.25">
      <c r="A16623" t="s">
        <v>16</v>
      </c>
      <c r="B16623" t="s">
        <v>3221</v>
      </c>
      <c r="C16623">
        <v>6363</v>
      </c>
      <c r="D16623" t="s">
        <v>255</v>
      </c>
      <c r="E16623" t="s">
        <v>256</v>
      </c>
      <c r="F16623">
        <v>12.9</v>
      </c>
      <c r="G16623">
        <v>230508</v>
      </c>
      <c r="H16623">
        <v>4362</v>
      </c>
      <c r="I16623" t="s">
        <v>79</v>
      </c>
      <c r="J16623">
        <v>16</v>
      </c>
      <c r="K16623">
        <v>3.1</v>
      </c>
      <c r="L16623">
        <v>69501</v>
      </c>
      <c r="M16623" t="s">
        <v>185</v>
      </c>
      <c r="N16623" t="str">
        <f>"90403868099 "</f>
        <v xml:space="preserve">90403868099 </v>
      </c>
      <c r="O16623">
        <v>230510</v>
      </c>
    </row>
    <row r="16624" spans="1:15" x14ac:dyDescent="0.25">
      <c r="A16624" t="s">
        <v>16</v>
      </c>
      <c r="B16624" t="s">
        <v>3221</v>
      </c>
      <c r="C16624">
        <v>6401</v>
      </c>
      <c r="D16624" t="s">
        <v>255</v>
      </c>
      <c r="E16624" t="s">
        <v>256</v>
      </c>
      <c r="F16624">
        <v>29.76</v>
      </c>
      <c r="G16624">
        <v>230511</v>
      </c>
      <c r="H16624">
        <v>4362</v>
      </c>
      <c r="I16624" t="s">
        <v>79</v>
      </c>
      <c r="J16624">
        <v>36.9</v>
      </c>
      <c r="K16624">
        <v>7.14</v>
      </c>
      <c r="L16624">
        <v>17975</v>
      </c>
      <c r="M16624" t="s">
        <v>798</v>
      </c>
      <c r="N16624" t="str">
        <f>"90404705328 "</f>
        <v xml:space="preserve">90404705328 </v>
      </c>
      <c r="O16624">
        <v>230510</v>
      </c>
    </row>
    <row r="16625" spans="1:15" x14ac:dyDescent="0.25">
      <c r="A16625" t="s">
        <v>16</v>
      </c>
      <c r="B16625" t="s">
        <v>3221</v>
      </c>
      <c r="C16625">
        <v>7130</v>
      </c>
      <c r="D16625" t="s">
        <v>255</v>
      </c>
      <c r="E16625" t="s">
        <v>256</v>
      </c>
      <c r="F16625">
        <v>28.15</v>
      </c>
      <c r="G16625">
        <v>230523</v>
      </c>
      <c r="H16625">
        <v>4362</v>
      </c>
      <c r="I16625" t="s">
        <v>79</v>
      </c>
      <c r="J16625">
        <v>34.9</v>
      </c>
      <c r="K16625">
        <v>6.75</v>
      </c>
      <c r="L16625">
        <v>59702</v>
      </c>
      <c r="M16625" t="s">
        <v>328</v>
      </c>
      <c r="N16625" t="str">
        <f>"90405719268 "</f>
        <v xml:space="preserve">90405719268 </v>
      </c>
      <c r="O16625">
        <v>230525</v>
      </c>
    </row>
    <row r="16626" spans="1:15" x14ac:dyDescent="0.25">
      <c r="A16626" t="s">
        <v>16</v>
      </c>
      <c r="B16626" t="s">
        <v>3221</v>
      </c>
      <c r="C16626">
        <v>8182</v>
      </c>
      <c r="D16626" t="s">
        <v>255</v>
      </c>
      <c r="E16626" t="s">
        <v>256</v>
      </c>
      <c r="F16626">
        <v>13.4</v>
      </c>
      <c r="G16626">
        <v>230608</v>
      </c>
      <c r="H16626">
        <v>4362</v>
      </c>
      <c r="I16626" t="s">
        <v>79</v>
      </c>
      <c r="J16626">
        <v>16.62</v>
      </c>
      <c r="K16626">
        <v>3.22</v>
      </c>
      <c r="L16626">
        <v>69501</v>
      </c>
      <c r="M16626" t="s">
        <v>185</v>
      </c>
      <c r="N16626" t="str">
        <f>"90406247808 "</f>
        <v xml:space="preserve">90406247808 </v>
      </c>
      <c r="O16626">
        <v>230607</v>
      </c>
    </row>
    <row r="16627" spans="1:15" x14ac:dyDescent="0.25">
      <c r="A16627" t="s">
        <v>16</v>
      </c>
      <c r="B16627" t="s">
        <v>3221</v>
      </c>
      <c r="C16627">
        <v>9068</v>
      </c>
      <c r="D16627" t="s">
        <v>255</v>
      </c>
      <c r="E16627" t="s">
        <v>256</v>
      </c>
      <c r="F16627">
        <v>28.15</v>
      </c>
      <c r="G16627">
        <v>230623</v>
      </c>
      <c r="H16627">
        <v>4362</v>
      </c>
      <c r="I16627" t="s">
        <v>79</v>
      </c>
      <c r="J16627">
        <v>34.9</v>
      </c>
      <c r="K16627">
        <v>6.75</v>
      </c>
      <c r="L16627">
        <v>59702</v>
      </c>
      <c r="M16627" t="s">
        <v>328</v>
      </c>
      <c r="N16627" t="str">
        <f>"90408051192 "</f>
        <v xml:space="preserve">90408051192 </v>
      </c>
      <c r="O16627">
        <v>230622</v>
      </c>
    </row>
    <row r="16628" spans="1:15" x14ac:dyDescent="0.25">
      <c r="A16628" t="s">
        <v>16</v>
      </c>
      <c r="B16628" t="s">
        <v>3221</v>
      </c>
      <c r="C16628">
        <v>9773</v>
      </c>
      <c r="D16628" t="s">
        <v>255</v>
      </c>
      <c r="E16628" t="s">
        <v>256</v>
      </c>
      <c r="F16628">
        <v>29.76</v>
      </c>
      <c r="G16628">
        <v>230711</v>
      </c>
      <c r="H16628">
        <v>4362</v>
      </c>
      <c r="I16628" t="s">
        <v>79</v>
      </c>
      <c r="J16628">
        <v>36.9</v>
      </c>
      <c r="K16628">
        <v>7.14</v>
      </c>
      <c r="L16628">
        <v>17975</v>
      </c>
      <c r="M16628" t="s">
        <v>798</v>
      </c>
      <c r="N16628" t="str">
        <f>"90409353435 "</f>
        <v xml:space="preserve">90409353435 </v>
      </c>
      <c r="O16628">
        <v>230725</v>
      </c>
    </row>
    <row r="16629" spans="1:15" x14ac:dyDescent="0.25">
      <c r="A16629" t="s">
        <v>16</v>
      </c>
      <c r="B16629" t="s">
        <v>3221</v>
      </c>
      <c r="C16629">
        <v>9878</v>
      </c>
      <c r="D16629" t="s">
        <v>255</v>
      </c>
      <c r="E16629" t="s">
        <v>256</v>
      </c>
      <c r="F16629">
        <v>28.15</v>
      </c>
      <c r="G16629">
        <v>230723</v>
      </c>
      <c r="H16629">
        <v>4362</v>
      </c>
      <c r="I16629" t="s">
        <v>79</v>
      </c>
      <c r="J16629">
        <v>34.9</v>
      </c>
      <c r="K16629">
        <v>6.75</v>
      </c>
      <c r="L16629">
        <v>59702</v>
      </c>
      <c r="M16629" t="s">
        <v>328</v>
      </c>
      <c r="N16629" t="str">
        <f>"90410357669 "</f>
        <v xml:space="preserve">90410357669 </v>
      </c>
      <c r="O16629">
        <v>230731</v>
      </c>
    </row>
    <row r="16630" spans="1:15" x14ac:dyDescent="0.25">
      <c r="A16630" t="s">
        <v>16</v>
      </c>
      <c r="B16630" t="s">
        <v>3221</v>
      </c>
      <c r="C16630">
        <v>10298</v>
      </c>
      <c r="D16630" t="s">
        <v>255</v>
      </c>
      <c r="E16630" t="s">
        <v>256</v>
      </c>
      <c r="F16630">
        <v>12.9</v>
      </c>
      <c r="G16630">
        <v>230808</v>
      </c>
      <c r="H16630">
        <v>4362</v>
      </c>
      <c r="I16630" t="s">
        <v>79</v>
      </c>
      <c r="J16630">
        <v>16</v>
      </c>
      <c r="K16630">
        <v>3.1</v>
      </c>
      <c r="L16630">
        <v>69501</v>
      </c>
      <c r="M16630" t="s">
        <v>185</v>
      </c>
      <c r="N16630" t="str">
        <f>"90410829113 "</f>
        <v xml:space="preserve">90410829113 </v>
      </c>
      <c r="O16630">
        <v>230814</v>
      </c>
    </row>
    <row r="16631" spans="1:15" x14ac:dyDescent="0.25">
      <c r="A16631" t="s">
        <v>16</v>
      </c>
      <c r="B16631" t="s">
        <v>3221</v>
      </c>
      <c r="C16631">
        <v>10715</v>
      </c>
      <c r="D16631" t="s">
        <v>255</v>
      </c>
      <c r="E16631" t="s">
        <v>256</v>
      </c>
      <c r="F16631">
        <v>28.15</v>
      </c>
      <c r="G16631">
        <v>230823</v>
      </c>
      <c r="H16631">
        <v>4362</v>
      </c>
      <c r="I16631" t="s">
        <v>79</v>
      </c>
      <c r="J16631">
        <v>34.9</v>
      </c>
      <c r="K16631">
        <v>6.75</v>
      </c>
      <c r="L16631">
        <v>59702</v>
      </c>
      <c r="M16631" t="s">
        <v>328</v>
      </c>
      <c r="N16631" t="str">
        <f>"90412586727 "</f>
        <v xml:space="preserve">90412586727 </v>
      </c>
      <c r="O16631">
        <v>230822</v>
      </c>
    </row>
    <row r="16632" spans="1:15" x14ac:dyDescent="0.25">
      <c r="A16632" t="s">
        <v>16</v>
      </c>
      <c r="B16632" t="s">
        <v>3221</v>
      </c>
      <c r="C16632">
        <v>10801</v>
      </c>
      <c r="D16632" t="s">
        <v>255</v>
      </c>
      <c r="E16632" t="s">
        <v>256</v>
      </c>
      <c r="F16632">
        <v>29.76</v>
      </c>
      <c r="G16632">
        <v>230811</v>
      </c>
      <c r="H16632">
        <v>4362</v>
      </c>
      <c r="I16632" t="s">
        <v>79</v>
      </c>
      <c r="J16632">
        <v>36.9</v>
      </c>
      <c r="K16632">
        <v>7.14</v>
      </c>
      <c r="L16632">
        <v>17538</v>
      </c>
      <c r="M16632" t="s">
        <v>24</v>
      </c>
      <c r="N16632" t="str">
        <f>"90411662849 "</f>
        <v xml:space="preserve">90411662849 </v>
      </c>
      <c r="O16632">
        <v>230823</v>
      </c>
    </row>
    <row r="16633" spans="1:15" x14ac:dyDescent="0.25">
      <c r="A16633" t="s">
        <v>16</v>
      </c>
      <c r="B16633" t="s">
        <v>3221</v>
      </c>
      <c r="C16633">
        <v>11887</v>
      </c>
      <c r="D16633" t="s">
        <v>255</v>
      </c>
      <c r="E16633" t="s">
        <v>256</v>
      </c>
      <c r="F16633">
        <v>12.9</v>
      </c>
      <c r="G16633">
        <v>230908</v>
      </c>
      <c r="H16633">
        <v>4362</v>
      </c>
      <c r="I16633" t="s">
        <v>79</v>
      </c>
      <c r="J16633">
        <v>16</v>
      </c>
      <c r="K16633">
        <v>3.1</v>
      </c>
      <c r="L16633">
        <v>69501</v>
      </c>
      <c r="M16633" t="s">
        <v>185</v>
      </c>
      <c r="N16633" t="str">
        <f>"90413101534 "</f>
        <v xml:space="preserve">90413101534 </v>
      </c>
      <c r="O16633">
        <v>230911</v>
      </c>
    </row>
    <row r="16634" spans="1:15" x14ac:dyDescent="0.25">
      <c r="A16634" t="s">
        <v>16</v>
      </c>
      <c r="B16634" t="s">
        <v>3221</v>
      </c>
      <c r="C16634">
        <v>12711</v>
      </c>
      <c r="D16634" t="s">
        <v>255</v>
      </c>
      <c r="E16634" t="s">
        <v>256</v>
      </c>
      <c r="F16634">
        <v>28.15</v>
      </c>
      <c r="G16634">
        <v>230923</v>
      </c>
      <c r="H16634">
        <v>4362</v>
      </c>
      <c r="I16634" t="s">
        <v>79</v>
      </c>
      <c r="J16634">
        <v>34.9</v>
      </c>
      <c r="K16634">
        <v>6.75</v>
      </c>
      <c r="L16634">
        <v>59702</v>
      </c>
      <c r="M16634" t="s">
        <v>328</v>
      </c>
      <c r="N16634" t="str">
        <f>"90414900775 "</f>
        <v xml:space="preserve">90414900775 </v>
      </c>
      <c r="O16634">
        <v>230925</v>
      </c>
    </row>
    <row r="16635" spans="1:15" x14ac:dyDescent="0.25">
      <c r="A16635" t="s">
        <v>16</v>
      </c>
      <c r="B16635" t="s">
        <v>3221</v>
      </c>
      <c r="C16635">
        <v>12728</v>
      </c>
      <c r="D16635" t="s">
        <v>255</v>
      </c>
      <c r="E16635" t="s">
        <v>256</v>
      </c>
      <c r="F16635">
        <v>29.76</v>
      </c>
      <c r="G16635">
        <v>230911</v>
      </c>
      <c r="H16635">
        <v>4362</v>
      </c>
      <c r="I16635" t="s">
        <v>79</v>
      </c>
      <c r="J16635">
        <v>36.9</v>
      </c>
      <c r="K16635">
        <v>7.14</v>
      </c>
      <c r="L16635">
        <v>17538</v>
      </c>
      <c r="M16635" t="s">
        <v>24</v>
      </c>
      <c r="N16635" t="str">
        <f>"90413897073 "</f>
        <v xml:space="preserve">90413897073 </v>
      </c>
      <c r="O16635">
        <v>230925</v>
      </c>
    </row>
    <row r="16636" spans="1:15" x14ac:dyDescent="0.25">
      <c r="A16636" t="s">
        <v>16</v>
      </c>
      <c r="B16636" t="s">
        <v>3221</v>
      </c>
      <c r="C16636">
        <v>14030</v>
      </c>
      <c r="D16636" t="s">
        <v>255</v>
      </c>
      <c r="E16636" t="s">
        <v>256</v>
      </c>
      <c r="F16636">
        <v>12.9</v>
      </c>
      <c r="G16636">
        <v>231008</v>
      </c>
      <c r="H16636">
        <v>4362</v>
      </c>
      <c r="I16636" t="s">
        <v>79</v>
      </c>
      <c r="J16636">
        <v>16</v>
      </c>
      <c r="K16636">
        <v>3.1</v>
      </c>
      <c r="L16636">
        <v>69501</v>
      </c>
      <c r="M16636" t="s">
        <v>185</v>
      </c>
      <c r="N16636" t="str">
        <f>"90415405411 "</f>
        <v xml:space="preserve">90415405411 </v>
      </c>
      <c r="O16636">
        <v>231017</v>
      </c>
    </row>
    <row r="16637" spans="1:15" x14ac:dyDescent="0.25">
      <c r="A16637" t="s">
        <v>16</v>
      </c>
      <c r="B16637" t="s">
        <v>3221</v>
      </c>
      <c r="C16637">
        <v>14436</v>
      </c>
      <c r="D16637" t="s">
        <v>255</v>
      </c>
      <c r="E16637" t="s">
        <v>256</v>
      </c>
      <c r="F16637">
        <v>28.15</v>
      </c>
      <c r="G16637">
        <v>231022</v>
      </c>
      <c r="H16637">
        <v>4362</v>
      </c>
      <c r="I16637" t="s">
        <v>79</v>
      </c>
      <c r="J16637">
        <v>34.9</v>
      </c>
      <c r="K16637">
        <v>6.75</v>
      </c>
      <c r="L16637">
        <v>59702</v>
      </c>
      <c r="M16637" t="s">
        <v>328</v>
      </c>
      <c r="N16637" t="str">
        <f>"90417437216 "</f>
        <v xml:space="preserve">90417437216 </v>
      </c>
      <c r="O16637">
        <v>231030</v>
      </c>
    </row>
    <row r="16638" spans="1:15" x14ac:dyDescent="0.25">
      <c r="A16638" t="s">
        <v>16</v>
      </c>
      <c r="B16638" t="s">
        <v>3221</v>
      </c>
      <c r="C16638">
        <v>14442</v>
      </c>
      <c r="D16638" t="s">
        <v>255</v>
      </c>
      <c r="E16638" t="s">
        <v>256</v>
      </c>
      <c r="F16638">
        <v>29.76</v>
      </c>
      <c r="G16638">
        <v>231011</v>
      </c>
      <c r="H16638">
        <v>4362</v>
      </c>
      <c r="I16638" t="s">
        <v>79</v>
      </c>
      <c r="J16638">
        <v>36.9</v>
      </c>
      <c r="K16638">
        <v>7.14</v>
      </c>
      <c r="L16638">
        <v>17538</v>
      </c>
      <c r="M16638" t="s">
        <v>24</v>
      </c>
      <c r="N16638" t="str">
        <f>"90416400820 "</f>
        <v xml:space="preserve">90416400820 </v>
      </c>
      <c r="O16638">
        <v>231030</v>
      </c>
    </row>
    <row r="16639" spans="1:15" x14ac:dyDescent="0.25">
      <c r="A16639" t="s">
        <v>16</v>
      </c>
      <c r="B16639" t="s">
        <v>3221</v>
      </c>
      <c r="C16639">
        <v>15174</v>
      </c>
      <c r="D16639" t="s">
        <v>255</v>
      </c>
      <c r="E16639" t="s">
        <v>256</v>
      </c>
      <c r="F16639">
        <v>12.9</v>
      </c>
      <c r="G16639">
        <v>231108</v>
      </c>
      <c r="H16639">
        <v>4362</v>
      </c>
      <c r="I16639" t="s">
        <v>79</v>
      </c>
      <c r="J16639">
        <v>16</v>
      </c>
      <c r="K16639">
        <v>3.1</v>
      </c>
      <c r="L16639">
        <v>69501</v>
      </c>
      <c r="M16639" t="s">
        <v>185</v>
      </c>
      <c r="N16639" t="str">
        <f>"90417917847 "</f>
        <v xml:space="preserve">90417917847 </v>
      </c>
      <c r="O16639">
        <v>231109</v>
      </c>
    </row>
    <row r="16640" spans="1:15" x14ac:dyDescent="0.25">
      <c r="A16640" t="s">
        <v>16</v>
      </c>
      <c r="B16640" t="s">
        <v>3221</v>
      </c>
      <c r="C16640">
        <v>15724</v>
      </c>
      <c r="D16640" t="s">
        <v>255</v>
      </c>
      <c r="E16640" t="s">
        <v>256</v>
      </c>
      <c r="F16640">
        <v>29.81</v>
      </c>
      <c r="G16640">
        <v>231111</v>
      </c>
      <c r="H16640">
        <v>4362</v>
      </c>
      <c r="I16640" t="s">
        <v>79</v>
      </c>
      <c r="J16640">
        <v>36.96</v>
      </c>
      <c r="K16640">
        <v>7.15</v>
      </c>
      <c r="L16640">
        <v>17538</v>
      </c>
      <c r="M16640" t="s">
        <v>24</v>
      </c>
      <c r="N16640" t="str">
        <f>"90418742529 "</f>
        <v xml:space="preserve">90418742529 </v>
      </c>
      <c r="O16640">
        <v>231116</v>
      </c>
    </row>
    <row r="16641" spans="1:15" x14ac:dyDescent="0.25">
      <c r="A16641" t="s">
        <v>16</v>
      </c>
      <c r="B16641" t="s">
        <v>3221</v>
      </c>
      <c r="C16641">
        <v>16130</v>
      </c>
      <c r="D16641" t="s">
        <v>255</v>
      </c>
      <c r="E16641" t="s">
        <v>256</v>
      </c>
      <c r="F16641">
        <v>28.15</v>
      </c>
      <c r="G16641">
        <v>231121</v>
      </c>
      <c r="H16641">
        <v>4362</v>
      </c>
      <c r="I16641" t="s">
        <v>79</v>
      </c>
      <c r="J16641">
        <v>34.9</v>
      </c>
      <c r="K16641">
        <v>6.75</v>
      </c>
      <c r="L16641">
        <v>59702</v>
      </c>
      <c r="M16641" t="s">
        <v>328</v>
      </c>
      <c r="N16641" t="str">
        <f>"90419713128 "</f>
        <v xml:space="preserve">90419713128 </v>
      </c>
      <c r="O16641">
        <v>231123</v>
      </c>
    </row>
    <row r="16642" spans="1:15" x14ac:dyDescent="0.25">
      <c r="A16642" t="s">
        <v>16</v>
      </c>
      <c r="B16642" t="s">
        <v>3221</v>
      </c>
      <c r="C16642">
        <v>17522</v>
      </c>
      <c r="D16642" t="s">
        <v>255</v>
      </c>
      <c r="E16642" t="s">
        <v>256</v>
      </c>
      <c r="F16642">
        <v>12.9</v>
      </c>
      <c r="G16642">
        <v>231208</v>
      </c>
      <c r="H16642">
        <v>4362</v>
      </c>
      <c r="I16642" t="s">
        <v>79</v>
      </c>
      <c r="J16642">
        <v>16</v>
      </c>
      <c r="K16642">
        <v>3.1</v>
      </c>
      <c r="L16642">
        <v>69501</v>
      </c>
      <c r="M16642" t="s">
        <v>185</v>
      </c>
      <c r="N16642" t="str">
        <f>"90420229940 "</f>
        <v xml:space="preserve">90420229940 </v>
      </c>
      <c r="O16642">
        <v>231215</v>
      </c>
    </row>
    <row r="16643" spans="1:15" x14ac:dyDescent="0.25">
      <c r="A16643" t="s">
        <v>16</v>
      </c>
      <c r="B16643" t="s">
        <v>3221</v>
      </c>
      <c r="C16643">
        <v>17833</v>
      </c>
      <c r="D16643" t="s">
        <v>255</v>
      </c>
      <c r="E16643" t="s">
        <v>256</v>
      </c>
      <c r="F16643">
        <v>29.76</v>
      </c>
      <c r="G16643">
        <v>231211</v>
      </c>
      <c r="H16643">
        <v>4362</v>
      </c>
      <c r="I16643" t="s">
        <v>79</v>
      </c>
      <c r="J16643">
        <v>36.9</v>
      </c>
      <c r="K16643">
        <v>7.14</v>
      </c>
      <c r="L16643">
        <v>17538</v>
      </c>
      <c r="M16643" t="s">
        <v>24</v>
      </c>
      <c r="N16643" t="str">
        <f>"90421083387 "</f>
        <v xml:space="preserve">90421083387 </v>
      </c>
      <c r="O16643">
        <v>231227</v>
      </c>
    </row>
    <row r="16644" spans="1:15" x14ac:dyDescent="0.25">
      <c r="A16644" t="s">
        <v>16</v>
      </c>
      <c r="B16644" t="s">
        <v>3221</v>
      </c>
      <c r="C16644">
        <v>18526</v>
      </c>
      <c r="D16644" t="s">
        <v>255</v>
      </c>
      <c r="E16644" t="s">
        <v>256</v>
      </c>
      <c r="F16644">
        <v>28.15</v>
      </c>
      <c r="G16644">
        <v>231222</v>
      </c>
      <c r="H16644">
        <v>4362</v>
      </c>
      <c r="I16644" t="s">
        <v>79</v>
      </c>
      <c r="J16644">
        <v>34.9</v>
      </c>
      <c r="K16644">
        <v>6.75</v>
      </c>
      <c r="L16644">
        <v>59702</v>
      </c>
      <c r="M16644" t="s">
        <v>328</v>
      </c>
      <c r="N16644" t="str">
        <f>"90422026689 "</f>
        <v xml:space="preserve">90422026689 </v>
      </c>
      <c r="O16644">
        <v>240103</v>
      </c>
    </row>
    <row r="16645" spans="1:15" x14ac:dyDescent="0.25">
      <c r="A16645" t="s">
        <v>16</v>
      </c>
      <c r="B16645" t="s">
        <v>3221</v>
      </c>
      <c r="C16645">
        <v>4379</v>
      </c>
      <c r="D16645" t="s">
        <v>1706</v>
      </c>
      <c r="E16645" t="s">
        <v>1707</v>
      </c>
      <c r="F16645">
        <v>171.1</v>
      </c>
      <c r="G16645">
        <v>230331</v>
      </c>
      <c r="H16645">
        <v>4350</v>
      </c>
      <c r="I16645" t="s">
        <v>546</v>
      </c>
      <c r="J16645">
        <v>212.16</v>
      </c>
      <c r="K16645">
        <v>41.06</v>
      </c>
      <c r="L16645">
        <v>49702</v>
      </c>
      <c r="M16645" t="s">
        <v>584</v>
      </c>
      <c r="N16645" t="str">
        <f>"16335732    "</f>
        <v xml:space="preserve">16335732    </v>
      </c>
      <c r="O16645">
        <v>230405</v>
      </c>
    </row>
    <row r="16646" spans="1:15" x14ac:dyDescent="0.25">
      <c r="A16646" t="s">
        <v>16</v>
      </c>
      <c r="B16646" t="s">
        <v>3221</v>
      </c>
      <c r="C16646">
        <v>15586</v>
      </c>
      <c r="D16646" t="s">
        <v>1706</v>
      </c>
      <c r="E16646" t="s">
        <v>1707</v>
      </c>
      <c r="F16646">
        <v>187.71</v>
      </c>
      <c r="G16646">
        <v>231108</v>
      </c>
      <c r="H16646">
        <v>4350</v>
      </c>
      <c r="I16646" t="s">
        <v>546</v>
      </c>
      <c r="J16646">
        <v>232.76</v>
      </c>
      <c r="K16646">
        <v>45.05</v>
      </c>
      <c r="L16646">
        <v>49702</v>
      </c>
      <c r="M16646" t="s">
        <v>584</v>
      </c>
      <c r="N16646" t="str">
        <f>"16350783    "</f>
        <v xml:space="preserve">16350783    </v>
      </c>
      <c r="O16646">
        <v>231114</v>
      </c>
    </row>
    <row r="16647" spans="1:15" x14ac:dyDescent="0.25">
      <c r="A16647" t="s">
        <v>16</v>
      </c>
      <c r="B16647" t="s">
        <v>3221</v>
      </c>
      <c r="C16647">
        <v>11937</v>
      </c>
      <c r="D16647" t="s">
        <v>3519</v>
      </c>
      <c r="E16647" t="s">
        <v>3520</v>
      </c>
      <c r="F16647">
        <v>250</v>
      </c>
      <c r="G16647">
        <v>230901</v>
      </c>
      <c r="H16647">
        <v>4470</v>
      </c>
      <c r="I16647" t="s">
        <v>83</v>
      </c>
      <c r="J16647">
        <v>250</v>
      </c>
      <c r="K16647">
        <v>0</v>
      </c>
      <c r="L16647">
        <v>13601</v>
      </c>
      <c r="M16647" t="s">
        <v>147</v>
      </c>
      <c r="N16647" t="str">
        <f>"123/54      "</f>
        <v xml:space="preserve">123/54      </v>
      </c>
      <c r="O16647">
        <v>230912</v>
      </c>
    </row>
    <row r="16648" spans="1:15" x14ac:dyDescent="0.25">
      <c r="A16648" t="s">
        <v>16</v>
      </c>
      <c r="B16648" t="s">
        <v>3221</v>
      </c>
      <c r="C16648">
        <v>1173</v>
      </c>
      <c r="D16648" t="s">
        <v>3231</v>
      </c>
      <c r="E16648" t="s">
        <v>3232</v>
      </c>
      <c r="F16648">
        <v>378.54</v>
      </c>
      <c r="G16648">
        <v>230131</v>
      </c>
      <c r="H16648">
        <v>4520</v>
      </c>
      <c r="I16648" t="s">
        <v>254</v>
      </c>
      <c r="J16648">
        <v>431.53</v>
      </c>
      <c r="K16648">
        <v>52.99</v>
      </c>
      <c r="L16648">
        <v>54422</v>
      </c>
      <c r="M16648" t="s">
        <v>234</v>
      </c>
      <c r="N16648" t="str">
        <f>"19759748    "</f>
        <v xml:space="preserve">19759748    </v>
      </c>
      <c r="O16648">
        <v>230206</v>
      </c>
    </row>
    <row r="16649" spans="1:15" x14ac:dyDescent="0.25">
      <c r="A16649" t="s">
        <v>16</v>
      </c>
      <c r="B16649" t="s">
        <v>3221</v>
      </c>
      <c r="C16649">
        <v>1180</v>
      </c>
      <c r="D16649" t="s">
        <v>3231</v>
      </c>
      <c r="E16649" t="s">
        <v>3232</v>
      </c>
      <c r="F16649">
        <v>38.909999999999997</v>
      </c>
      <c r="G16649">
        <v>230131</v>
      </c>
      <c r="H16649">
        <v>4520</v>
      </c>
      <c r="I16649" t="s">
        <v>254</v>
      </c>
      <c r="J16649">
        <v>44.36</v>
      </c>
      <c r="K16649">
        <v>5.45</v>
      </c>
      <c r="L16649">
        <v>17912</v>
      </c>
      <c r="M16649" t="s">
        <v>419</v>
      </c>
      <c r="N16649" t="str">
        <f>"19755128    "</f>
        <v xml:space="preserve">19755128    </v>
      </c>
      <c r="O16649">
        <v>230206</v>
      </c>
    </row>
    <row r="16650" spans="1:15" x14ac:dyDescent="0.25">
      <c r="A16650" t="s">
        <v>16</v>
      </c>
      <c r="B16650" t="s">
        <v>3221</v>
      </c>
      <c r="C16650">
        <v>1183</v>
      </c>
      <c r="D16650" t="s">
        <v>3231</v>
      </c>
      <c r="E16650" t="s">
        <v>3232</v>
      </c>
      <c r="F16650">
        <v>8.08</v>
      </c>
      <c r="G16650">
        <v>230131</v>
      </c>
      <c r="H16650">
        <v>4520</v>
      </c>
      <c r="I16650" t="s">
        <v>254</v>
      </c>
      <c r="J16650">
        <v>10.02</v>
      </c>
      <c r="K16650">
        <v>1.94</v>
      </c>
      <c r="L16650">
        <v>16431</v>
      </c>
      <c r="M16650" t="s">
        <v>231</v>
      </c>
      <c r="N16650" t="str">
        <f>"19755127    "</f>
        <v xml:space="preserve">19755127    </v>
      </c>
      <c r="O16650">
        <v>230206</v>
      </c>
    </row>
    <row r="16651" spans="1:15" x14ac:dyDescent="0.25">
      <c r="A16651" t="s">
        <v>16</v>
      </c>
      <c r="B16651" t="s">
        <v>3221</v>
      </c>
      <c r="C16651">
        <v>1183</v>
      </c>
      <c r="D16651" t="s">
        <v>3231</v>
      </c>
      <c r="E16651" t="s">
        <v>3232</v>
      </c>
      <c r="F16651">
        <v>94.59</v>
      </c>
      <c r="G16651">
        <v>230131</v>
      </c>
      <c r="H16651">
        <v>4520</v>
      </c>
      <c r="I16651" t="s">
        <v>254</v>
      </c>
      <c r="J16651">
        <v>107.83</v>
      </c>
      <c r="K16651">
        <v>13.24</v>
      </c>
      <c r="L16651">
        <v>16431</v>
      </c>
      <c r="M16651" t="s">
        <v>231</v>
      </c>
      <c r="N16651" t="str">
        <f>"19755127    "</f>
        <v xml:space="preserve">19755127    </v>
      </c>
      <c r="O16651">
        <v>230206</v>
      </c>
    </row>
    <row r="16652" spans="1:15" x14ac:dyDescent="0.25">
      <c r="A16652" t="s">
        <v>16</v>
      </c>
      <c r="B16652" t="s">
        <v>3221</v>
      </c>
      <c r="C16652">
        <v>1262</v>
      </c>
      <c r="D16652" t="s">
        <v>3231</v>
      </c>
      <c r="E16652" t="s">
        <v>3232</v>
      </c>
      <c r="F16652">
        <v>121.11</v>
      </c>
      <c r="G16652">
        <v>230131</v>
      </c>
      <c r="H16652">
        <v>4520</v>
      </c>
      <c r="I16652" t="s">
        <v>254</v>
      </c>
      <c r="J16652">
        <v>138.06</v>
      </c>
      <c r="K16652">
        <v>16.95</v>
      </c>
      <c r="L16652">
        <v>67522</v>
      </c>
      <c r="M16652" t="s">
        <v>397</v>
      </c>
      <c r="N16652" t="str">
        <f>"19755129    "</f>
        <v xml:space="preserve">19755129    </v>
      </c>
      <c r="O16652">
        <v>230207</v>
      </c>
    </row>
    <row r="16653" spans="1:15" x14ac:dyDescent="0.25">
      <c r="A16653" t="s">
        <v>16</v>
      </c>
      <c r="B16653" t="s">
        <v>3221</v>
      </c>
      <c r="C16653">
        <v>1262</v>
      </c>
      <c r="D16653" t="s">
        <v>3231</v>
      </c>
      <c r="E16653" t="s">
        <v>3232</v>
      </c>
      <c r="F16653">
        <v>18.260000000000002</v>
      </c>
      <c r="G16653">
        <v>230131</v>
      </c>
      <c r="H16653">
        <v>4520</v>
      </c>
      <c r="I16653" t="s">
        <v>254</v>
      </c>
      <c r="J16653">
        <v>20.82</v>
      </c>
      <c r="K16653">
        <v>2.56</v>
      </c>
      <c r="L16653">
        <v>69111</v>
      </c>
      <c r="M16653" t="s">
        <v>471</v>
      </c>
      <c r="N16653" t="str">
        <f>"19755129    "</f>
        <v xml:space="preserve">19755129    </v>
      </c>
      <c r="O16653">
        <v>230207</v>
      </c>
    </row>
    <row r="16654" spans="1:15" x14ac:dyDescent="0.25">
      <c r="A16654" t="s">
        <v>16</v>
      </c>
      <c r="B16654" t="s">
        <v>3221</v>
      </c>
      <c r="C16654">
        <v>1263</v>
      </c>
      <c r="D16654" t="s">
        <v>3231</v>
      </c>
      <c r="E16654" t="s">
        <v>3232</v>
      </c>
      <c r="F16654">
        <v>67.180000000000007</v>
      </c>
      <c r="G16654">
        <v>230131</v>
      </c>
      <c r="H16654">
        <v>4520</v>
      </c>
      <c r="I16654" t="s">
        <v>254</v>
      </c>
      <c r="J16654">
        <v>76.58</v>
      </c>
      <c r="K16654">
        <v>9.4</v>
      </c>
      <c r="L16654">
        <v>69112</v>
      </c>
      <c r="M16654" t="s">
        <v>313</v>
      </c>
      <c r="N16654" t="str">
        <f>"19774789    "</f>
        <v xml:space="preserve">19774789    </v>
      </c>
      <c r="O16654">
        <v>230207</v>
      </c>
    </row>
    <row r="16655" spans="1:15" x14ac:dyDescent="0.25">
      <c r="A16655" t="s">
        <v>16</v>
      </c>
      <c r="B16655" t="s">
        <v>3221</v>
      </c>
      <c r="C16655">
        <v>1263</v>
      </c>
      <c r="D16655" t="s">
        <v>3231</v>
      </c>
      <c r="E16655" t="s">
        <v>3232</v>
      </c>
      <c r="F16655">
        <v>3.74</v>
      </c>
      <c r="G16655">
        <v>230131</v>
      </c>
      <c r="H16655">
        <v>4520</v>
      </c>
      <c r="I16655" t="s">
        <v>254</v>
      </c>
      <c r="J16655">
        <v>4.26</v>
      </c>
      <c r="K16655">
        <v>0.52</v>
      </c>
      <c r="L16655">
        <v>69810</v>
      </c>
      <c r="M16655" t="s">
        <v>314</v>
      </c>
      <c r="N16655" t="str">
        <f>"19774789    "</f>
        <v xml:space="preserve">19774789    </v>
      </c>
      <c r="O16655">
        <v>230207</v>
      </c>
    </row>
    <row r="16656" spans="1:15" x14ac:dyDescent="0.25">
      <c r="A16656" t="s">
        <v>16</v>
      </c>
      <c r="B16656" t="s">
        <v>3221</v>
      </c>
      <c r="C16656">
        <v>1263</v>
      </c>
      <c r="D16656" t="s">
        <v>3231</v>
      </c>
      <c r="E16656" t="s">
        <v>3232</v>
      </c>
      <c r="F16656">
        <v>3.73</v>
      </c>
      <c r="G16656">
        <v>230131</v>
      </c>
      <c r="H16656">
        <v>4520</v>
      </c>
      <c r="I16656" t="s">
        <v>254</v>
      </c>
      <c r="J16656">
        <v>4.25</v>
      </c>
      <c r="K16656">
        <v>0.52</v>
      </c>
      <c r="L16656">
        <v>69811</v>
      </c>
      <c r="M16656" t="s">
        <v>315</v>
      </c>
      <c r="N16656" t="str">
        <f>"19774789    "</f>
        <v xml:space="preserve">19774789    </v>
      </c>
      <c r="O16656">
        <v>230207</v>
      </c>
    </row>
    <row r="16657" spans="1:15" x14ac:dyDescent="0.25">
      <c r="A16657" t="s">
        <v>16</v>
      </c>
      <c r="B16657" t="s">
        <v>3221</v>
      </c>
      <c r="C16657">
        <v>1453</v>
      </c>
      <c r="D16657" t="s">
        <v>3231</v>
      </c>
      <c r="E16657" t="s">
        <v>3232</v>
      </c>
      <c r="F16657">
        <v>242.73</v>
      </c>
      <c r="G16657">
        <v>230131</v>
      </c>
      <c r="H16657">
        <v>4520</v>
      </c>
      <c r="I16657" t="s">
        <v>254</v>
      </c>
      <c r="J16657">
        <v>276.70999999999998</v>
      </c>
      <c r="K16657">
        <v>33.979999999999997</v>
      </c>
      <c r="L16657">
        <v>44253</v>
      </c>
      <c r="M16657" t="s">
        <v>1058</v>
      </c>
      <c r="N16657" t="str">
        <f>"19759607    "</f>
        <v xml:space="preserve">19759607    </v>
      </c>
      <c r="O16657">
        <v>230209</v>
      </c>
    </row>
    <row r="16658" spans="1:15" x14ac:dyDescent="0.25">
      <c r="A16658" t="s">
        <v>16</v>
      </c>
      <c r="B16658" t="s">
        <v>3221</v>
      </c>
      <c r="C16658">
        <v>1454</v>
      </c>
      <c r="D16658" t="s">
        <v>3231</v>
      </c>
      <c r="E16658" t="s">
        <v>3232</v>
      </c>
      <c r="F16658">
        <v>37.4</v>
      </c>
      <c r="G16658">
        <v>230131</v>
      </c>
      <c r="H16658">
        <v>4520</v>
      </c>
      <c r="I16658" t="s">
        <v>254</v>
      </c>
      <c r="J16658">
        <v>42.64</v>
      </c>
      <c r="K16658">
        <v>5.24</v>
      </c>
      <c r="L16658">
        <v>44251</v>
      </c>
      <c r="M16658" t="s">
        <v>156</v>
      </c>
      <c r="N16658" t="str">
        <f>"19755123    "</f>
        <v xml:space="preserve">19755123    </v>
      </c>
      <c r="O16658">
        <v>230209</v>
      </c>
    </row>
    <row r="16659" spans="1:15" x14ac:dyDescent="0.25">
      <c r="A16659" t="s">
        <v>16</v>
      </c>
      <c r="B16659" t="s">
        <v>3221</v>
      </c>
      <c r="C16659">
        <v>1454</v>
      </c>
      <c r="D16659" t="s">
        <v>3231</v>
      </c>
      <c r="E16659" t="s">
        <v>3232</v>
      </c>
      <c r="F16659">
        <v>34.380000000000003</v>
      </c>
      <c r="G16659">
        <v>230131</v>
      </c>
      <c r="H16659">
        <v>4520</v>
      </c>
      <c r="I16659" t="s">
        <v>254</v>
      </c>
      <c r="J16659">
        <v>39.19</v>
      </c>
      <c r="K16659">
        <v>4.8099999999999996</v>
      </c>
      <c r="L16659">
        <v>48601</v>
      </c>
      <c r="M16659" t="s">
        <v>1047</v>
      </c>
      <c r="N16659" t="str">
        <f>"19755123    "</f>
        <v xml:space="preserve">19755123    </v>
      </c>
      <c r="O16659">
        <v>230209</v>
      </c>
    </row>
    <row r="16660" spans="1:15" x14ac:dyDescent="0.25">
      <c r="A16660" t="s">
        <v>16</v>
      </c>
      <c r="B16660" t="s">
        <v>3221</v>
      </c>
      <c r="C16660">
        <v>1538</v>
      </c>
      <c r="D16660" t="s">
        <v>3231</v>
      </c>
      <c r="E16660" t="s">
        <v>3232</v>
      </c>
      <c r="F16660">
        <v>61.37</v>
      </c>
      <c r="G16660">
        <v>230131</v>
      </c>
      <c r="H16660">
        <v>4520</v>
      </c>
      <c r="I16660" t="s">
        <v>254</v>
      </c>
      <c r="J16660">
        <v>69.959999999999994</v>
      </c>
      <c r="K16660">
        <v>8.59</v>
      </c>
      <c r="L16660">
        <v>59111</v>
      </c>
      <c r="M16660" t="s">
        <v>1010</v>
      </c>
      <c r="N16660" t="str">
        <f>"19759747    "</f>
        <v xml:space="preserve">19759747    </v>
      </c>
      <c r="O16660">
        <v>230209</v>
      </c>
    </row>
    <row r="16661" spans="1:15" x14ac:dyDescent="0.25">
      <c r="A16661" t="s">
        <v>16</v>
      </c>
      <c r="B16661" t="s">
        <v>3221</v>
      </c>
      <c r="C16661">
        <v>1538</v>
      </c>
      <c r="D16661" t="s">
        <v>3231</v>
      </c>
      <c r="E16661" t="s">
        <v>3232</v>
      </c>
      <c r="F16661">
        <v>18.18</v>
      </c>
      <c r="G16661">
        <v>230131</v>
      </c>
      <c r="H16661">
        <v>4520</v>
      </c>
      <c r="I16661" t="s">
        <v>254</v>
      </c>
      <c r="J16661">
        <v>20.73</v>
      </c>
      <c r="K16661">
        <v>2.5499999999999998</v>
      </c>
      <c r="L16661">
        <v>59113</v>
      </c>
      <c r="M16661" t="s">
        <v>235</v>
      </c>
      <c r="N16661" t="str">
        <f>"19759747    "</f>
        <v xml:space="preserve">19759747    </v>
      </c>
      <c r="O16661">
        <v>230209</v>
      </c>
    </row>
    <row r="16662" spans="1:15" x14ac:dyDescent="0.25">
      <c r="A16662" t="s">
        <v>16</v>
      </c>
      <c r="B16662" t="s">
        <v>3221</v>
      </c>
      <c r="C16662">
        <v>1846</v>
      </c>
      <c r="D16662" t="s">
        <v>3231</v>
      </c>
      <c r="E16662" t="s">
        <v>3232</v>
      </c>
      <c r="F16662">
        <v>0.56000000000000005</v>
      </c>
      <c r="G16662">
        <v>230131</v>
      </c>
      <c r="H16662">
        <v>4520</v>
      </c>
      <c r="I16662" t="s">
        <v>254</v>
      </c>
      <c r="J16662">
        <v>0.69</v>
      </c>
      <c r="K16662">
        <v>0.13</v>
      </c>
      <c r="L16662">
        <v>14121</v>
      </c>
      <c r="M16662" t="s">
        <v>880</v>
      </c>
      <c r="N16662" t="str">
        <f>"19755124    "</f>
        <v xml:space="preserve">19755124    </v>
      </c>
      <c r="O16662">
        <v>230214</v>
      </c>
    </row>
    <row r="16663" spans="1:15" x14ac:dyDescent="0.25">
      <c r="A16663" t="s">
        <v>16</v>
      </c>
      <c r="B16663" t="s">
        <v>3221</v>
      </c>
      <c r="C16663">
        <v>1846</v>
      </c>
      <c r="D16663" t="s">
        <v>3231</v>
      </c>
      <c r="E16663" t="s">
        <v>3232</v>
      </c>
      <c r="F16663">
        <v>37.340000000000003</v>
      </c>
      <c r="G16663">
        <v>230131</v>
      </c>
      <c r="H16663">
        <v>4520</v>
      </c>
      <c r="I16663" t="s">
        <v>254</v>
      </c>
      <c r="J16663">
        <v>42.57</v>
      </c>
      <c r="K16663">
        <v>5.23</v>
      </c>
      <c r="L16663">
        <v>14121</v>
      </c>
      <c r="M16663" t="s">
        <v>880</v>
      </c>
      <c r="N16663" t="str">
        <f>"19755124    "</f>
        <v xml:space="preserve">19755124    </v>
      </c>
      <c r="O16663">
        <v>230214</v>
      </c>
    </row>
    <row r="16664" spans="1:15" x14ac:dyDescent="0.25">
      <c r="A16664" t="s">
        <v>16</v>
      </c>
      <c r="B16664" t="s">
        <v>3221</v>
      </c>
      <c r="C16664">
        <v>1846</v>
      </c>
      <c r="D16664" t="s">
        <v>3231</v>
      </c>
      <c r="E16664" t="s">
        <v>3232</v>
      </c>
      <c r="F16664">
        <v>0.19</v>
      </c>
      <c r="G16664">
        <v>230131</v>
      </c>
      <c r="H16664">
        <v>4520</v>
      </c>
      <c r="I16664" t="s">
        <v>254</v>
      </c>
      <c r="J16664">
        <v>0.24</v>
      </c>
      <c r="K16664">
        <v>0.05</v>
      </c>
      <c r="L16664">
        <v>14432</v>
      </c>
      <c r="M16664" t="s">
        <v>862</v>
      </c>
      <c r="N16664" t="str">
        <f>"19755124    "</f>
        <v xml:space="preserve">19755124    </v>
      </c>
      <c r="O16664">
        <v>230214</v>
      </c>
    </row>
    <row r="16665" spans="1:15" x14ac:dyDescent="0.25">
      <c r="A16665" t="s">
        <v>16</v>
      </c>
      <c r="B16665" t="s">
        <v>3221</v>
      </c>
      <c r="C16665">
        <v>1846</v>
      </c>
      <c r="D16665" t="s">
        <v>3231</v>
      </c>
      <c r="E16665" t="s">
        <v>3232</v>
      </c>
      <c r="F16665">
        <v>17.25</v>
      </c>
      <c r="G16665">
        <v>230131</v>
      </c>
      <c r="H16665">
        <v>4520</v>
      </c>
      <c r="I16665" t="s">
        <v>254</v>
      </c>
      <c r="J16665">
        <v>19.670000000000002</v>
      </c>
      <c r="K16665">
        <v>2.42</v>
      </c>
      <c r="L16665">
        <v>14432</v>
      </c>
      <c r="M16665" t="s">
        <v>862</v>
      </c>
      <c r="N16665" t="str">
        <f>"19755124    "</f>
        <v xml:space="preserve">19755124    </v>
      </c>
      <c r="O16665">
        <v>230214</v>
      </c>
    </row>
    <row r="16666" spans="1:15" x14ac:dyDescent="0.25">
      <c r="A16666" t="s">
        <v>16</v>
      </c>
      <c r="B16666" t="s">
        <v>3221</v>
      </c>
      <c r="C16666">
        <v>1846</v>
      </c>
      <c r="D16666" t="s">
        <v>3231</v>
      </c>
      <c r="E16666" t="s">
        <v>3232</v>
      </c>
      <c r="F16666">
        <v>37.96</v>
      </c>
      <c r="G16666">
        <v>230131</v>
      </c>
      <c r="H16666">
        <v>4520</v>
      </c>
      <c r="I16666" t="s">
        <v>254</v>
      </c>
      <c r="J16666">
        <v>43.28</v>
      </c>
      <c r="K16666">
        <v>5.32</v>
      </c>
      <c r="L16666">
        <v>14541</v>
      </c>
      <c r="M16666" t="s">
        <v>626</v>
      </c>
      <c r="N16666" t="str">
        <f>"19755124    "</f>
        <v xml:space="preserve">19755124    </v>
      </c>
      <c r="O16666">
        <v>230214</v>
      </c>
    </row>
    <row r="16667" spans="1:15" x14ac:dyDescent="0.25">
      <c r="A16667" t="s">
        <v>16</v>
      </c>
      <c r="B16667" t="s">
        <v>3221</v>
      </c>
      <c r="C16667">
        <v>1847</v>
      </c>
      <c r="D16667" t="s">
        <v>3231</v>
      </c>
      <c r="E16667" t="s">
        <v>3232</v>
      </c>
      <c r="F16667">
        <v>16.95</v>
      </c>
      <c r="G16667">
        <v>230131</v>
      </c>
      <c r="H16667">
        <v>4520</v>
      </c>
      <c r="I16667" t="s">
        <v>254</v>
      </c>
      <c r="J16667">
        <v>19.32</v>
      </c>
      <c r="K16667">
        <v>2.37</v>
      </c>
      <c r="L16667">
        <v>14432</v>
      </c>
      <c r="M16667" t="s">
        <v>862</v>
      </c>
      <c r="N16667" t="str">
        <f>"19755125    "</f>
        <v xml:space="preserve">19755125    </v>
      </c>
      <c r="O16667">
        <v>230214</v>
      </c>
    </row>
    <row r="16668" spans="1:15" x14ac:dyDescent="0.25">
      <c r="A16668" t="s">
        <v>16</v>
      </c>
      <c r="B16668" t="s">
        <v>3221</v>
      </c>
      <c r="C16668">
        <v>2778</v>
      </c>
      <c r="D16668" t="s">
        <v>3231</v>
      </c>
      <c r="E16668" t="s">
        <v>3232</v>
      </c>
      <c r="F16668">
        <v>11.91</v>
      </c>
      <c r="G16668">
        <v>230228</v>
      </c>
      <c r="H16668">
        <v>4520</v>
      </c>
      <c r="I16668" t="s">
        <v>254</v>
      </c>
      <c r="J16668">
        <v>13.58</v>
      </c>
      <c r="K16668">
        <v>1.67</v>
      </c>
      <c r="L16668">
        <v>48601</v>
      </c>
      <c r="M16668" t="s">
        <v>1047</v>
      </c>
      <c r="N16668" t="str">
        <f>"19789955    "</f>
        <v xml:space="preserve">19789955    </v>
      </c>
      <c r="O16668">
        <v>230307</v>
      </c>
    </row>
    <row r="16669" spans="1:15" x14ac:dyDescent="0.25">
      <c r="A16669" t="s">
        <v>16</v>
      </c>
      <c r="B16669" t="s">
        <v>3221</v>
      </c>
      <c r="C16669">
        <v>2779</v>
      </c>
      <c r="D16669" t="s">
        <v>3231</v>
      </c>
      <c r="E16669" t="s">
        <v>3232</v>
      </c>
      <c r="F16669">
        <v>53.55</v>
      </c>
      <c r="G16669">
        <v>230228</v>
      </c>
      <c r="H16669">
        <v>4520</v>
      </c>
      <c r="I16669" t="s">
        <v>254</v>
      </c>
      <c r="J16669">
        <v>61.05</v>
      </c>
      <c r="K16669">
        <v>7.5</v>
      </c>
      <c r="L16669">
        <v>49112</v>
      </c>
      <c r="M16669" t="s">
        <v>233</v>
      </c>
      <c r="N16669" t="str">
        <f>"19788440    "</f>
        <v xml:space="preserve">19788440    </v>
      </c>
      <c r="O16669">
        <v>230307</v>
      </c>
    </row>
    <row r="16670" spans="1:15" x14ac:dyDescent="0.25">
      <c r="A16670" t="s">
        <v>16</v>
      </c>
      <c r="B16670" t="s">
        <v>3221</v>
      </c>
      <c r="C16670">
        <v>2783</v>
      </c>
      <c r="D16670" t="s">
        <v>3231</v>
      </c>
      <c r="E16670" t="s">
        <v>3232</v>
      </c>
      <c r="F16670">
        <v>284.52</v>
      </c>
      <c r="G16670">
        <v>230228</v>
      </c>
      <c r="H16670">
        <v>4520</v>
      </c>
      <c r="I16670" t="s">
        <v>254</v>
      </c>
      <c r="J16670">
        <v>324.35000000000002</v>
      </c>
      <c r="K16670">
        <v>39.83</v>
      </c>
      <c r="L16670">
        <v>54422</v>
      </c>
      <c r="M16670" t="s">
        <v>234</v>
      </c>
      <c r="N16670" t="str">
        <f>"19793132    "</f>
        <v xml:space="preserve">19793132    </v>
      </c>
      <c r="O16670">
        <v>230307</v>
      </c>
    </row>
    <row r="16671" spans="1:15" x14ac:dyDescent="0.25">
      <c r="A16671" t="s">
        <v>16</v>
      </c>
      <c r="B16671" t="s">
        <v>3221</v>
      </c>
      <c r="C16671">
        <v>2785</v>
      </c>
      <c r="D16671" t="s">
        <v>3231</v>
      </c>
      <c r="E16671" t="s">
        <v>3232</v>
      </c>
      <c r="F16671">
        <v>30.88</v>
      </c>
      <c r="G16671">
        <v>230228</v>
      </c>
      <c r="H16671">
        <v>4520</v>
      </c>
      <c r="I16671" t="s">
        <v>254</v>
      </c>
      <c r="J16671">
        <v>35.200000000000003</v>
      </c>
      <c r="K16671">
        <v>4.32</v>
      </c>
      <c r="L16671">
        <v>14422</v>
      </c>
      <c r="M16671" t="s">
        <v>228</v>
      </c>
      <c r="N16671" t="str">
        <f>"19788441    "</f>
        <v xml:space="preserve">19788441    </v>
      </c>
      <c r="O16671">
        <v>230307</v>
      </c>
    </row>
    <row r="16672" spans="1:15" x14ac:dyDescent="0.25">
      <c r="A16672" t="s">
        <v>16</v>
      </c>
      <c r="B16672" t="s">
        <v>3221</v>
      </c>
      <c r="C16672">
        <v>2786</v>
      </c>
      <c r="D16672" t="s">
        <v>3231</v>
      </c>
      <c r="E16672" t="s">
        <v>3232</v>
      </c>
      <c r="F16672">
        <v>54.23</v>
      </c>
      <c r="G16672">
        <v>230228</v>
      </c>
      <c r="H16672">
        <v>4520</v>
      </c>
      <c r="I16672" t="s">
        <v>254</v>
      </c>
      <c r="J16672">
        <v>61.82</v>
      </c>
      <c r="K16672">
        <v>7.59</v>
      </c>
      <c r="L16672">
        <v>44251</v>
      </c>
      <c r="M16672" t="s">
        <v>156</v>
      </c>
      <c r="N16672" t="str">
        <f>"19788439    "</f>
        <v xml:space="preserve">19788439    </v>
      </c>
      <c r="O16672">
        <v>230307</v>
      </c>
    </row>
    <row r="16673" spans="1:15" x14ac:dyDescent="0.25">
      <c r="A16673" t="s">
        <v>16</v>
      </c>
      <c r="B16673" t="s">
        <v>3221</v>
      </c>
      <c r="C16673">
        <v>2786</v>
      </c>
      <c r="D16673" t="s">
        <v>3231</v>
      </c>
      <c r="E16673" t="s">
        <v>3232</v>
      </c>
      <c r="F16673">
        <v>23.04</v>
      </c>
      <c r="G16673">
        <v>230228</v>
      </c>
      <c r="H16673">
        <v>4520</v>
      </c>
      <c r="I16673" t="s">
        <v>254</v>
      </c>
      <c r="J16673">
        <v>26.26</v>
      </c>
      <c r="K16673">
        <v>3.22</v>
      </c>
      <c r="L16673">
        <v>48601</v>
      </c>
      <c r="M16673" t="s">
        <v>1047</v>
      </c>
      <c r="N16673" t="str">
        <f>"19788439    "</f>
        <v xml:space="preserve">19788439    </v>
      </c>
      <c r="O16673">
        <v>230307</v>
      </c>
    </row>
    <row r="16674" spans="1:15" x14ac:dyDescent="0.25">
      <c r="A16674" t="s">
        <v>16</v>
      </c>
      <c r="B16674" t="s">
        <v>3221</v>
      </c>
      <c r="C16674">
        <v>2797</v>
      </c>
      <c r="D16674" t="s">
        <v>3231</v>
      </c>
      <c r="E16674" t="s">
        <v>3232</v>
      </c>
      <c r="F16674">
        <v>14.6</v>
      </c>
      <c r="G16674">
        <v>230228</v>
      </c>
      <c r="H16674">
        <v>4520</v>
      </c>
      <c r="I16674" t="s">
        <v>254</v>
      </c>
      <c r="J16674">
        <v>18.11</v>
      </c>
      <c r="K16674">
        <v>3.51</v>
      </c>
      <c r="L16674">
        <v>16431</v>
      </c>
      <c r="M16674" t="s">
        <v>231</v>
      </c>
      <c r="N16674" t="str">
        <f>"19788443    "</f>
        <v xml:space="preserve">19788443    </v>
      </c>
      <c r="O16674">
        <v>230307</v>
      </c>
    </row>
    <row r="16675" spans="1:15" x14ac:dyDescent="0.25">
      <c r="A16675" t="s">
        <v>16</v>
      </c>
      <c r="B16675" t="s">
        <v>3221</v>
      </c>
      <c r="C16675">
        <v>2797</v>
      </c>
      <c r="D16675" t="s">
        <v>3231</v>
      </c>
      <c r="E16675" t="s">
        <v>3232</v>
      </c>
      <c r="F16675">
        <v>42.46</v>
      </c>
      <c r="G16675">
        <v>230228</v>
      </c>
      <c r="H16675">
        <v>4520</v>
      </c>
      <c r="I16675" t="s">
        <v>254</v>
      </c>
      <c r="J16675">
        <v>48.4</v>
      </c>
      <c r="K16675">
        <v>5.94</v>
      </c>
      <c r="L16675">
        <v>16431</v>
      </c>
      <c r="M16675" t="s">
        <v>231</v>
      </c>
      <c r="N16675" t="str">
        <f>"19788443    "</f>
        <v xml:space="preserve">19788443    </v>
      </c>
      <c r="O16675">
        <v>230307</v>
      </c>
    </row>
    <row r="16676" spans="1:15" x14ac:dyDescent="0.25">
      <c r="A16676" t="s">
        <v>16</v>
      </c>
      <c r="B16676" t="s">
        <v>3221</v>
      </c>
      <c r="C16676">
        <v>2821</v>
      </c>
      <c r="D16676" t="s">
        <v>3231</v>
      </c>
      <c r="E16676" t="s">
        <v>3232</v>
      </c>
      <c r="F16676">
        <v>162.96</v>
      </c>
      <c r="G16676">
        <v>230228</v>
      </c>
      <c r="H16676">
        <v>4520</v>
      </c>
      <c r="I16676" t="s">
        <v>254</v>
      </c>
      <c r="J16676">
        <v>185.77</v>
      </c>
      <c r="K16676">
        <v>22.81</v>
      </c>
      <c r="L16676">
        <v>44253</v>
      </c>
      <c r="M16676" t="s">
        <v>1058</v>
      </c>
      <c r="N16676" t="str">
        <f>"19792989    "</f>
        <v xml:space="preserve">19792989    </v>
      </c>
      <c r="O16676">
        <v>230307</v>
      </c>
    </row>
    <row r="16677" spans="1:15" x14ac:dyDescent="0.25">
      <c r="A16677" t="s">
        <v>16</v>
      </c>
      <c r="B16677" t="s">
        <v>3221</v>
      </c>
      <c r="C16677">
        <v>2871</v>
      </c>
      <c r="D16677" t="s">
        <v>3231</v>
      </c>
      <c r="E16677" t="s">
        <v>3232</v>
      </c>
      <c r="F16677">
        <v>47.58</v>
      </c>
      <c r="G16677">
        <v>230228</v>
      </c>
      <c r="H16677">
        <v>4520</v>
      </c>
      <c r="I16677" t="s">
        <v>254</v>
      </c>
      <c r="J16677">
        <v>54.24</v>
      </c>
      <c r="K16677">
        <v>6.66</v>
      </c>
      <c r="L16677">
        <v>13501</v>
      </c>
      <c r="M16677" t="s">
        <v>20</v>
      </c>
      <c r="N16677" t="str">
        <f>"19797053    "</f>
        <v xml:space="preserve">19797053    </v>
      </c>
      <c r="O16677">
        <v>230308</v>
      </c>
    </row>
    <row r="16678" spans="1:15" x14ac:dyDescent="0.25">
      <c r="A16678" t="s">
        <v>16</v>
      </c>
      <c r="B16678" t="s">
        <v>3221</v>
      </c>
      <c r="C16678">
        <v>2931</v>
      </c>
      <c r="D16678" t="s">
        <v>3231</v>
      </c>
      <c r="E16678" t="s">
        <v>3232</v>
      </c>
      <c r="F16678">
        <v>55.7</v>
      </c>
      <c r="G16678">
        <v>230228</v>
      </c>
      <c r="H16678">
        <v>4520</v>
      </c>
      <c r="I16678" t="s">
        <v>254</v>
      </c>
      <c r="J16678">
        <v>63.5</v>
      </c>
      <c r="K16678">
        <v>7.8</v>
      </c>
      <c r="L16678">
        <v>13801</v>
      </c>
      <c r="M16678" t="s">
        <v>162</v>
      </c>
      <c r="N16678" t="str">
        <f>"19807365    "</f>
        <v xml:space="preserve">19807365    </v>
      </c>
      <c r="O16678">
        <v>230308</v>
      </c>
    </row>
    <row r="16679" spans="1:15" x14ac:dyDescent="0.25">
      <c r="A16679" t="s">
        <v>16</v>
      </c>
      <c r="B16679" t="s">
        <v>3221</v>
      </c>
      <c r="C16679">
        <v>2932</v>
      </c>
      <c r="D16679" t="s">
        <v>3231</v>
      </c>
      <c r="E16679" t="s">
        <v>3232</v>
      </c>
      <c r="F16679">
        <v>61.18</v>
      </c>
      <c r="G16679">
        <v>230228</v>
      </c>
      <c r="H16679">
        <v>4520</v>
      </c>
      <c r="I16679" t="s">
        <v>254</v>
      </c>
      <c r="J16679">
        <v>69.75</v>
      </c>
      <c r="K16679">
        <v>8.57</v>
      </c>
      <c r="L16679">
        <v>67522</v>
      </c>
      <c r="M16679" t="s">
        <v>397</v>
      </c>
      <c r="N16679" t="str">
        <f>"19788444    "</f>
        <v xml:space="preserve">19788444    </v>
      </c>
      <c r="O16679">
        <v>230308</v>
      </c>
    </row>
    <row r="16680" spans="1:15" x14ac:dyDescent="0.25">
      <c r="A16680" t="s">
        <v>16</v>
      </c>
      <c r="B16680" t="s">
        <v>3221</v>
      </c>
      <c r="C16680">
        <v>2932</v>
      </c>
      <c r="D16680" t="s">
        <v>3231</v>
      </c>
      <c r="E16680" t="s">
        <v>3232</v>
      </c>
      <c r="F16680">
        <v>13.97</v>
      </c>
      <c r="G16680">
        <v>230228</v>
      </c>
      <c r="H16680">
        <v>4520</v>
      </c>
      <c r="I16680" t="s">
        <v>254</v>
      </c>
      <c r="J16680">
        <v>17.32</v>
      </c>
      <c r="K16680">
        <v>3.35</v>
      </c>
      <c r="L16680">
        <v>67522</v>
      </c>
      <c r="M16680" t="s">
        <v>397</v>
      </c>
      <c r="N16680" t="str">
        <f>"19788444    "</f>
        <v xml:space="preserve">19788444    </v>
      </c>
      <c r="O16680">
        <v>230308</v>
      </c>
    </row>
    <row r="16681" spans="1:15" x14ac:dyDescent="0.25">
      <c r="A16681" t="s">
        <v>16</v>
      </c>
      <c r="B16681" t="s">
        <v>3221</v>
      </c>
      <c r="C16681">
        <v>3101</v>
      </c>
      <c r="D16681" t="s">
        <v>3231</v>
      </c>
      <c r="E16681" t="s">
        <v>3232</v>
      </c>
      <c r="F16681">
        <v>126.5</v>
      </c>
      <c r="G16681">
        <v>230228</v>
      </c>
      <c r="H16681">
        <v>4520</v>
      </c>
      <c r="I16681" t="s">
        <v>254</v>
      </c>
      <c r="J16681">
        <v>144.21</v>
      </c>
      <c r="K16681">
        <v>17.71</v>
      </c>
      <c r="L16681">
        <v>59111</v>
      </c>
      <c r="M16681" t="s">
        <v>1010</v>
      </c>
      <c r="N16681" t="str">
        <f>"19793131    "</f>
        <v xml:space="preserve">19793131    </v>
      </c>
      <c r="O16681">
        <v>230309</v>
      </c>
    </row>
    <row r="16682" spans="1:15" x14ac:dyDescent="0.25">
      <c r="A16682" t="s">
        <v>16</v>
      </c>
      <c r="B16682" t="s">
        <v>3221</v>
      </c>
      <c r="C16682">
        <v>3101</v>
      </c>
      <c r="D16682" t="s">
        <v>3231</v>
      </c>
      <c r="E16682" t="s">
        <v>3232</v>
      </c>
      <c r="F16682">
        <v>3.78</v>
      </c>
      <c r="G16682">
        <v>230228</v>
      </c>
      <c r="H16682">
        <v>4520</v>
      </c>
      <c r="I16682" t="s">
        <v>254</v>
      </c>
      <c r="J16682">
        <v>4.3099999999999996</v>
      </c>
      <c r="K16682">
        <v>0.53</v>
      </c>
      <c r="L16682">
        <v>59112</v>
      </c>
      <c r="M16682" t="s">
        <v>182</v>
      </c>
      <c r="N16682" t="str">
        <f>"19793131    "</f>
        <v xml:space="preserve">19793131    </v>
      </c>
      <c r="O16682">
        <v>230309</v>
      </c>
    </row>
    <row r="16683" spans="1:15" x14ac:dyDescent="0.25">
      <c r="A16683" t="s">
        <v>16</v>
      </c>
      <c r="B16683" t="s">
        <v>3221</v>
      </c>
      <c r="C16683">
        <v>3152</v>
      </c>
      <c r="D16683" t="s">
        <v>3231</v>
      </c>
      <c r="E16683" t="s">
        <v>3232</v>
      </c>
      <c r="F16683">
        <v>37.590000000000003</v>
      </c>
      <c r="G16683">
        <v>230228</v>
      </c>
      <c r="H16683">
        <v>4520</v>
      </c>
      <c r="I16683" t="s">
        <v>254</v>
      </c>
      <c r="J16683">
        <v>42.85</v>
      </c>
      <c r="K16683">
        <v>5.26</v>
      </c>
      <c r="L16683">
        <v>69113</v>
      </c>
      <c r="M16683" t="s">
        <v>282</v>
      </c>
      <c r="N16683" t="str">
        <f>"19788445    "</f>
        <v xml:space="preserve">19788445    </v>
      </c>
      <c r="O16683">
        <v>230309</v>
      </c>
    </row>
    <row r="16684" spans="1:15" x14ac:dyDescent="0.25">
      <c r="A16684" t="s">
        <v>16</v>
      </c>
      <c r="B16684" t="s">
        <v>3221</v>
      </c>
      <c r="C16684">
        <v>3152</v>
      </c>
      <c r="D16684" t="s">
        <v>3231</v>
      </c>
      <c r="E16684" t="s">
        <v>3232</v>
      </c>
      <c r="F16684">
        <v>4.42</v>
      </c>
      <c r="G16684">
        <v>230228</v>
      </c>
      <c r="H16684">
        <v>4520</v>
      </c>
      <c r="I16684" t="s">
        <v>254</v>
      </c>
      <c r="J16684">
        <v>5.04</v>
      </c>
      <c r="K16684">
        <v>0.62</v>
      </c>
      <c r="L16684">
        <v>69802</v>
      </c>
      <c r="M16684" t="s">
        <v>283</v>
      </c>
      <c r="N16684" t="str">
        <f>"19788445    "</f>
        <v xml:space="preserve">19788445    </v>
      </c>
      <c r="O16684">
        <v>230309</v>
      </c>
    </row>
    <row r="16685" spans="1:15" x14ac:dyDescent="0.25">
      <c r="A16685" t="s">
        <v>16</v>
      </c>
      <c r="B16685" t="s">
        <v>3221</v>
      </c>
      <c r="C16685">
        <v>3152</v>
      </c>
      <c r="D16685" t="s">
        <v>3231</v>
      </c>
      <c r="E16685" t="s">
        <v>3232</v>
      </c>
      <c r="F16685">
        <v>2.21</v>
      </c>
      <c r="G16685">
        <v>230228</v>
      </c>
      <c r="H16685">
        <v>4520</v>
      </c>
      <c r="I16685" t="s">
        <v>254</v>
      </c>
      <c r="J16685">
        <v>2.52</v>
      </c>
      <c r="K16685">
        <v>0.31</v>
      </c>
      <c r="L16685">
        <v>69804</v>
      </c>
      <c r="M16685" t="s">
        <v>284</v>
      </c>
      <c r="N16685" t="str">
        <f>"19788445    "</f>
        <v xml:space="preserve">19788445    </v>
      </c>
      <c r="O16685">
        <v>230309</v>
      </c>
    </row>
    <row r="16686" spans="1:15" x14ac:dyDescent="0.25">
      <c r="A16686" t="s">
        <v>16</v>
      </c>
      <c r="B16686" t="s">
        <v>3221</v>
      </c>
      <c r="C16686">
        <v>3403</v>
      </c>
      <c r="D16686" t="s">
        <v>3231</v>
      </c>
      <c r="E16686" t="s">
        <v>3232</v>
      </c>
      <c r="F16686">
        <v>66.61</v>
      </c>
      <c r="G16686">
        <v>230228</v>
      </c>
      <c r="H16686">
        <v>4520</v>
      </c>
      <c r="I16686" t="s">
        <v>254</v>
      </c>
      <c r="J16686">
        <v>75.94</v>
      </c>
      <c r="K16686">
        <v>9.33</v>
      </c>
      <c r="L16686">
        <v>69112</v>
      </c>
      <c r="M16686" t="s">
        <v>313</v>
      </c>
      <c r="N16686" t="str">
        <f>"19808117    "</f>
        <v xml:space="preserve">19808117    </v>
      </c>
      <c r="O16686">
        <v>230315</v>
      </c>
    </row>
    <row r="16687" spans="1:15" x14ac:dyDescent="0.25">
      <c r="A16687" t="s">
        <v>16</v>
      </c>
      <c r="B16687" t="s">
        <v>3221</v>
      </c>
      <c r="C16687">
        <v>3403</v>
      </c>
      <c r="D16687" t="s">
        <v>3231</v>
      </c>
      <c r="E16687" t="s">
        <v>3232</v>
      </c>
      <c r="F16687">
        <v>3.7</v>
      </c>
      <c r="G16687">
        <v>230228</v>
      </c>
      <c r="H16687">
        <v>4520</v>
      </c>
      <c r="I16687" t="s">
        <v>254</v>
      </c>
      <c r="J16687">
        <v>4.22</v>
      </c>
      <c r="K16687">
        <v>0.52</v>
      </c>
      <c r="L16687">
        <v>69810</v>
      </c>
      <c r="M16687" t="s">
        <v>314</v>
      </c>
      <c r="N16687" t="str">
        <f>"19808117    "</f>
        <v xml:space="preserve">19808117    </v>
      </c>
      <c r="O16687">
        <v>230315</v>
      </c>
    </row>
    <row r="16688" spans="1:15" x14ac:dyDescent="0.25">
      <c r="A16688" t="s">
        <v>16</v>
      </c>
      <c r="B16688" t="s">
        <v>3221</v>
      </c>
      <c r="C16688">
        <v>3403</v>
      </c>
      <c r="D16688" t="s">
        <v>3231</v>
      </c>
      <c r="E16688" t="s">
        <v>3232</v>
      </c>
      <c r="F16688">
        <v>3.7</v>
      </c>
      <c r="G16688">
        <v>230228</v>
      </c>
      <c r="H16688">
        <v>4520</v>
      </c>
      <c r="I16688" t="s">
        <v>254</v>
      </c>
      <c r="J16688">
        <v>4.22</v>
      </c>
      <c r="K16688">
        <v>0.52</v>
      </c>
      <c r="L16688">
        <v>69811</v>
      </c>
      <c r="M16688" t="s">
        <v>315</v>
      </c>
      <c r="N16688" t="str">
        <f>"19808117    "</f>
        <v xml:space="preserve">19808117    </v>
      </c>
      <c r="O16688">
        <v>230315</v>
      </c>
    </row>
    <row r="16689" spans="1:15" x14ac:dyDescent="0.25">
      <c r="A16689" t="s">
        <v>16</v>
      </c>
      <c r="B16689" t="s">
        <v>3221</v>
      </c>
      <c r="C16689">
        <v>4480</v>
      </c>
      <c r="D16689" t="s">
        <v>3231</v>
      </c>
      <c r="E16689" t="s">
        <v>3232</v>
      </c>
      <c r="F16689">
        <v>54.87</v>
      </c>
      <c r="G16689">
        <v>230331</v>
      </c>
      <c r="H16689">
        <v>4520</v>
      </c>
      <c r="I16689" t="s">
        <v>254</v>
      </c>
      <c r="J16689">
        <v>62.55</v>
      </c>
      <c r="K16689">
        <v>7.68</v>
      </c>
      <c r="L16689">
        <v>17131</v>
      </c>
      <c r="M16689" t="s">
        <v>64</v>
      </c>
      <c r="N16689" t="str">
        <f>"19822827    "</f>
        <v xml:space="preserve">19822827    </v>
      </c>
      <c r="O16689">
        <v>230406</v>
      </c>
    </row>
    <row r="16690" spans="1:15" x14ac:dyDescent="0.25">
      <c r="A16690" t="s">
        <v>16</v>
      </c>
      <c r="B16690" t="s">
        <v>3221</v>
      </c>
      <c r="C16690">
        <v>4480</v>
      </c>
      <c r="D16690" t="s">
        <v>3231</v>
      </c>
      <c r="E16690" t="s">
        <v>3232</v>
      </c>
      <c r="F16690">
        <v>64.400000000000006</v>
      </c>
      <c r="G16690">
        <v>230331</v>
      </c>
      <c r="H16690">
        <v>4520</v>
      </c>
      <c r="I16690" t="s">
        <v>254</v>
      </c>
      <c r="J16690">
        <v>73.42</v>
      </c>
      <c r="K16690">
        <v>9.02</v>
      </c>
      <c r="L16690">
        <v>17912</v>
      </c>
      <c r="M16690" t="s">
        <v>419</v>
      </c>
      <c r="N16690" t="str">
        <f>"19822827    "</f>
        <v xml:space="preserve">19822827    </v>
      </c>
      <c r="O16690">
        <v>230406</v>
      </c>
    </row>
    <row r="16691" spans="1:15" x14ac:dyDescent="0.25">
      <c r="A16691" t="s">
        <v>16</v>
      </c>
      <c r="B16691" t="s">
        <v>3221</v>
      </c>
      <c r="C16691">
        <v>4481</v>
      </c>
      <c r="D16691" t="s">
        <v>3231</v>
      </c>
      <c r="E16691" t="s">
        <v>3232</v>
      </c>
      <c r="F16691">
        <v>6.13</v>
      </c>
      <c r="G16691">
        <v>230331</v>
      </c>
      <c r="H16691">
        <v>4520</v>
      </c>
      <c r="I16691" t="s">
        <v>254</v>
      </c>
      <c r="J16691">
        <v>6.99</v>
      </c>
      <c r="K16691">
        <v>0.86</v>
      </c>
      <c r="L16691">
        <v>49112</v>
      </c>
      <c r="M16691" t="s">
        <v>233</v>
      </c>
      <c r="N16691" t="str">
        <f>"19822823    "</f>
        <v xml:space="preserve">19822823    </v>
      </c>
      <c r="O16691">
        <v>230406</v>
      </c>
    </row>
    <row r="16692" spans="1:15" x14ac:dyDescent="0.25">
      <c r="A16692" t="s">
        <v>16</v>
      </c>
      <c r="B16692" t="s">
        <v>3221</v>
      </c>
      <c r="C16692">
        <v>4544</v>
      </c>
      <c r="D16692" t="s">
        <v>3231</v>
      </c>
      <c r="E16692" t="s">
        <v>3232</v>
      </c>
      <c r="F16692">
        <v>67.67</v>
      </c>
      <c r="G16692">
        <v>230331</v>
      </c>
      <c r="H16692">
        <v>4520</v>
      </c>
      <c r="I16692" t="s">
        <v>254</v>
      </c>
      <c r="J16692">
        <v>77.14</v>
      </c>
      <c r="K16692">
        <v>9.4700000000000006</v>
      </c>
      <c r="L16692">
        <v>69112</v>
      </c>
      <c r="M16692" t="s">
        <v>313</v>
      </c>
      <c r="N16692" t="str">
        <f>"19842887    "</f>
        <v xml:space="preserve">19842887    </v>
      </c>
      <c r="O16692">
        <v>230406</v>
      </c>
    </row>
    <row r="16693" spans="1:15" x14ac:dyDescent="0.25">
      <c r="A16693" t="s">
        <v>16</v>
      </c>
      <c r="B16693" t="s">
        <v>3221</v>
      </c>
      <c r="C16693">
        <v>4544</v>
      </c>
      <c r="D16693" t="s">
        <v>3231</v>
      </c>
      <c r="E16693" t="s">
        <v>3232</v>
      </c>
      <c r="F16693">
        <v>3.76</v>
      </c>
      <c r="G16693">
        <v>230331</v>
      </c>
      <c r="H16693">
        <v>4520</v>
      </c>
      <c r="I16693" t="s">
        <v>254</v>
      </c>
      <c r="J16693">
        <v>4.29</v>
      </c>
      <c r="K16693">
        <v>0.53</v>
      </c>
      <c r="L16693">
        <v>69810</v>
      </c>
      <c r="M16693" t="s">
        <v>314</v>
      </c>
      <c r="N16693" t="str">
        <f>"19842887    "</f>
        <v xml:space="preserve">19842887    </v>
      </c>
      <c r="O16693">
        <v>230406</v>
      </c>
    </row>
    <row r="16694" spans="1:15" x14ac:dyDescent="0.25">
      <c r="A16694" t="s">
        <v>16</v>
      </c>
      <c r="B16694" t="s">
        <v>3221</v>
      </c>
      <c r="C16694">
        <v>4544</v>
      </c>
      <c r="D16694" t="s">
        <v>3231</v>
      </c>
      <c r="E16694" t="s">
        <v>3232</v>
      </c>
      <c r="F16694">
        <v>3.75</v>
      </c>
      <c r="G16694">
        <v>230331</v>
      </c>
      <c r="H16694">
        <v>4520</v>
      </c>
      <c r="I16694" t="s">
        <v>254</v>
      </c>
      <c r="J16694">
        <v>4.28</v>
      </c>
      <c r="K16694">
        <v>0.53</v>
      </c>
      <c r="L16694">
        <v>69811</v>
      </c>
      <c r="M16694" t="s">
        <v>315</v>
      </c>
      <c r="N16694" t="str">
        <f>"19842887    "</f>
        <v xml:space="preserve">19842887    </v>
      </c>
      <c r="O16694">
        <v>230406</v>
      </c>
    </row>
    <row r="16695" spans="1:15" x14ac:dyDescent="0.25">
      <c r="A16695" t="s">
        <v>16</v>
      </c>
      <c r="B16695" t="s">
        <v>3221</v>
      </c>
      <c r="C16695">
        <v>4557</v>
      </c>
      <c r="D16695" t="s">
        <v>3231</v>
      </c>
      <c r="E16695" t="s">
        <v>3232</v>
      </c>
      <c r="F16695">
        <v>17.64</v>
      </c>
      <c r="G16695">
        <v>230331</v>
      </c>
      <c r="H16695">
        <v>4520</v>
      </c>
      <c r="I16695" t="s">
        <v>254</v>
      </c>
      <c r="J16695">
        <v>21.87</v>
      </c>
      <c r="K16695">
        <v>4.2300000000000004</v>
      </c>
      <c r="L16695">
        <v>14432</v>
      </c>
      <c r="M16695" t="s">
        <v>862</v>
      </c>
      <c r="N16695" t="str">
        <f>"19822824    "</f>
        <v xml:space="preserve">19822824    </v>
      </c>
      <c r="O16695">
        <v>230406</v>
      </c>
    </row>
    <row r="16696" spans="1:15" x14ac:dyDescent="0.25">
      <c r="A16696" t="s">
        <v>16</v>
      </c>
      <c r="B16696" t="s">
        <v>3221</v>
      </c>
      <c r="C16696">
        <v>4681</v>
      </c>
      <c r="D16696" t="s">
        <v>3231</v>
      </c>
      <c r="E16696" t="s">
        <v>3232</v>
      </c>
      <c r="F16696">
        <v>56.59</v>
      </c>
      <c r="G16696">
        <v>230331</v>
      </c>
      <c r="H16696">
        <v>4520</v>
      </c>
      <c r="I16696" t="s">
        <v>254</v>
      </c>
      <c r="J16696">
        <v>64.510000000000005</v>
      </c>
      <c r="K16696">
        <v>7.92</v>
      </c>
      <c r="L16696">
        <v>67522</v>
      </c>
      <c r="M16696" t="s">
        <v>397</v>
      </c>
      <c r="N16696" t="str">
        <f>"19822828    "</f>
        <v xml:space="preserve">19822828    </v>
      </c>
      <c r="O16696">
        <v>230411</v>
      </c>
    </row>
    <row r="16697" spans="1:15" x14ac:dyDescent="0.25">
      <c r="A16697" t="s">
        <v>16</v>
      </c>
      <c r="B16697" t="s">
        <v>3221</v>
      </c>
      <c r="C16697">
        <v>4736</v>
      </c>
      <c r="D16697" t="s">
        <v>3231</v>
      </c>
      <c r="E16697" t="s">
        <v>3232</v>
      </c>
      <c r="F16697">
        <v>8.08</v>
      </c>
      <c r="G16697">
        <v>230331</v>
      </c>
      <c r="H16697">
        <v>4520</v>
      </c>
      <c r="I16697" t="s">
        <v>254</v>
      </c>
      <c r="J16697">
        <v>10.02</v>
      </c>
      <c r="K16697">
        <v>1.94</v>
      </c>
      <c r="L16697">
        <v>16431</v>
      </c>
      <c r="M16697" t="s">
        <v>231</v>
      </c>
      <c r="N16697" t="str">
        <f>"19822826    "</f>
        <v xml:space="preserve">19822826    </v>
      </c>
      <c r="O16697">
        <v>230412</v>
      </c>
    </row>
    <row r="16698" spans="1:15" x14ac:dyDescent="0.25">
      <c r="A16698" t="s">
        <v>16</v>
      </c>
      <c r="B16698" t="s">
        <v>3221</v>
      </c>
      <c r="C16698">
        <v>4736</v>
      </c>
      <c r="D16698" t="s">
        <v>3231</v>
      </c>
      <c r="E16698" t="s">
        <v>3232</v>
      </c>
      <c r="F16698">
        <v>165.28</v>
      </c>
      <c r="G16698">
        <v>230331</v>
      </c>
      <c r="H16698">
        <v>4520</v>
      </c>
      <c r="I16698" t="s">
        <v>254</v>
      </c>
      <c r="J16698">
        <v>188.42</v>
      </c>
      <c r="K16698">
        <v>23.14</v>
      </c>
      <c r="L16698">
        <v>16431</v>
      </c>
      <c r="M16698" t="s">
        <v>231</v>
      </c>
      <c r="N16698" t="str">
        <f>"19822826    "</f>
        <v xml:space="preserve">19822826    </v>
      </c>
      <c r="O16698">
        <v>230412</v>
      </c>
    </row>
    <row r="16699" spans="1:15" x14ac:dyDescent="0.25">
      <c r="A16699" t="s">
        <v>16</v>
      </c>
      <c r="B16699" t="s">
        <v>3221</v>
      </c>
      <c r="C16699">
        <v>4815</v>
      </c>
      <c r="D16699" t="s">
        <v>3231</v>
      </c>
      <c r="E16699" t="s">
        <v>3232</v>
      </c>
      <c r="F16699">
        <v>83.13</v>
      </c>
      <c r="G16699">
        <v>230331</v>
      </c>
      <c r="H16699">
        <v>4520</v>
      </c>
      <c r="I16699" t="s">
        <v>254</v>
      </c>
      <c r="J16699">
        <v>94.77</v>
      </c>
      <c r="K16699">
        <v>11.64</v>
      </c>
      <c r="L16699">
        <v>69113</v>
      </c>
      <c r="M16699" t="s">
        <v>282</v>
      </c>
      <c r="N16699" t="str">
        <f>"19822829    "</f>
        <v xml:space="preserve">19822829    </v>
      </c>
      <c r="O16699">
        <v>230412</v>
      </c>
    </row>
    <row r="16700" spans="1:15" x14ac:dyDescent="0.25">
      <c r="A16700" t="s">
        <v>16</v>
      </c>
      <c r="B16700" t="s">
        <v>3221</v>
      </c>
      <c r="C16700">
        <v>4815</v>
      </c>
      <c r="D16700" t="s">
        <v>3231</v>
      </c>
      <c r="E16700" t="s">
        <v>3232</v>
      </c>
      <c r="F16700">
        <v>9.7799999999999994</v>
      </c>
      <c r="G16700">
        <v>230331</v>
      </c>
      <c r="H16700">
        <v>4520</v>
      </c>
      <c r="I16700" t="s">
        <v>254</v>
      </c>
      <c r="J16700">
        <v>11.15</v>
      </c>
      <c r="K16700">
        <v>1.37</v>
      </c>
      <c r="L16700">
        <v>69802</v>
      </c>
      <c r="M16700" t="s">
        <v>283</v>
      </c>
      <c r="N16700" t="str">
        <f>"19822829    "</f>
        <v xml:space="preserve">19822829    </v>
      </c>
      <c r="O16700">
        <v>230412</v>
      </c>
    </row>
    <row r="16701" spans="1:15" x14ac:dyDescent="0.25">
      <c r="A16701" t="s">
        <v>16</v>
      </c>
      <c r="B16701" t="s">
        <v>3221</v>
      </c>
      <c r="C16701">
        <v>4815</v>
      </c>
      <c r="D16701" t="s">
        <v>3231</v>
      </c>
      <c r="E16701" t="s">
        <v>3232</v>
      </c>
      <c r="F16701">
        <v>4.8899999999999997</v>
      </c>
      <c r="G16701">
        <v>230331</v>
      </c>
      <c r="H16701">
        <v>4520</v>
      </c>
      <c r="I16701" t="s">
        <v>254</v>
      </c>
      <c r="J16701">
        <v>5.58</v>
      </c>
      <c r="K16701">
        <v>0.69</v>
      </c>
      <c r="L16701">
        <v>69804</v>
      </c>
      <c r="M16701" t="s">
        <v>284</v>
      </c>
      <c r="N16701" t="str">
        <f>"19822829    "</f>
        <v xml:space="preserve">19822829    </v>
      </c>
      <c r="O16701">
        <v>230412</v>
      </c>
    </row>
    <row r="16702" spans="1:15" x14ac:dyDescent="0.25">
      <c r="A16702" t="s">
        <v>16</v>
      </c>
      <c r="B16702" t="s">
        <v>3221</v>
      </c>
      <c r="C16702">
        <v>4890</v>
      </c>
      <c r="D16702" t="s">
        <v>3231</v>
      </c>
      <c r="E16702" t="s">
        <v>3232</v>
      </c>
      <c r="F16702">
        <v>138.28</v>
      </c>
      <c r="G16702">
        <v>230331</v>
      </c>
      <c r="H16702">
        <v>4520</v>
      </c>
      <c r="I16702" t="s">
        <v>254</v>
      </c>
      <c r="J16702">
        <v>157.63999999999999</v>
      </c>
      <c r="K16702">
        <v>19.36</v>
      </c>
      <c r="L16702">
        <v>44253</v>
      </c>
      <c r="M16702" t="s">
        <v>1058</v>
      </c>
      <c r="N16702" t="str">
        <f>"19827450    "</f>
        <v xml:space="preserve">19827450    </v>
      </c>
      <c r="O16702">
        <v>230414</v>
      </c>
    </row>
    <row r="16703" spans="1:15" x14ac:dyDescent="0.25">
      <c r="A16703" t="s">
        <v>16</v>
      </c>
      <c r="B16703" t="s">
        <v>3221</v>
      </c>
      <c r="C16703">
        <v>4905</v>
      </c>
      <c r="D16703" t="s">
        <v>3231</v>
      </c>
      <c r="E16703" t="s">
        <v>3232</v>
      </c>
      <c r="F16703">
        <v>227.13</v>
      </c>
      <c r="G16703">
        <v>230331</v>
      </c>
      <c r="H16703">
        <v>4520</v>
      </c>
      <c r="I16703" t="s">
        <v>254</v>
      </c>
      <c r="J16703">
        <v>258.93</v>
      </c>
      <c r="K16703">
        <v>31.8</v>
      </c>
      <c r="L16703">
        <v>44251</v>
      </c>
      <c r="M16703" t="s">
        <v>156</v>
      </c>
      <c r="N16703" t="str">
        <f>"19822822    "</f>
        <v xml:space="preserve">19822822    </v>
      </c>
      <c r="O16703">
        <v>230414</v>
      </c>
    </row>
    <row r="16704" spans="1:15" x14ac:dyDescent="0.25">
      <c r="A16704" t="s">
        <v>16</v>
      </c>
      <c r="B16704" t="s">
        <v>3221</v>
      </c>
      <c r="C16704">
        <v>4905</v>
      </c>
      <c r="D16704" t="s">
        <v>3231</v>
      </c>
      <c r="E16704" t="s">
        <v>3232</v>
      </c>
      <c r="F16704">
        <v>40.19</v>
      </c>
      <c r="G16704">
        <v>230331</v>
      </c>
      <c r="H16704">
        <v>4520</v>
      </c>
      <c r="I16704" t="s">
        <v>254</v>
      </c>
      <c r="J16704">
        <v>45.82</v>
      </c>
      <c r="K16704">
        <v>5.63</v>
      </c>
      <c r="L16704">
        <v>48601</v>
      </c>
      <c r="M16704" t="s">
        <v>1047</v>
      </c>
      <c r="N16704" t="str">
        <f>"19822822    "</f>
        <v xml:space="preserve">19822822    </v>
      </c>
      <c r="O16704">
        <v>230414</v>
      </c>
    </row>
    <row r="16705" spans="1:15" x14ac:dyDescent="0.25">
      <c r="A16705" t="s">
        <v>16</v>
      </c>
      <c r="B16705" t="s">
        <v>3221</v>
      </c>
      <c r="C16705">
        <v>4906</v>
      </c>
      <c r="D16705" t="s">
        <v>3231</v>
      </c>
      <c r="E16705" t="s">
        <v>3232</v>
      </c>
      <c r="F16705">
        <v>147.18</v>
      </c>
      <c r="G16705">
        <v>230331</v>
      </c>
      <c r="H16705">
        <v>4520</v>
      </c>
      <c r="I16705" t="s">
        <v>254</v>
      </c>
      <c r="J16705">
        <v>167.79</v>
      </c>
      <c r="K16705">
        <v>20.61</v>
      </c>
      <c r="L16705">
        <v>59111</v>
      </c>
      <c r="M16705" t="s">
        <v>1010</v>
      </c>
      <c r="N16705" t="str">
        <f>"19827588    "</f>
        <v xml:space="preserve">19827588    </v>
      </c>
      <c r="O16705">
        <v>230414</v>
      </c>
    </row>
    <row r="16706" spans="1:15" x14ac:dyDescent="0.25">
      <c r="A16706" t="s">
        <v>16</v>
      </c>
      <c r="B16706" t="s">
        <v>3221</v>
      </c>
      <c r="C16706">
        <v>5036</v>
      </c>
      <c r="D16706" t="s">
        <v>3231</v>
      </c>
      <c r="E16706" t="s">
        <v>3232</v>
      </c>
      <c r="F16706">
        <v>196.73</v>
      </c>
      <c r="G16706">
        <v>230331</v>
      </c>
      <c r="H16706">
        <v>4520</v>
      </c>
      <c r="I16706" t="s">
        <v>254</v>
      </c>
      <c r="J16706">
        <v>224.27</v>
      </c>
      <c r="K16706">
        <v>27.54</v>
      </c>
      <c r="L16706">
        <v>54422</v>
      </c>
      <c r="M16706" t="s">
        <v>234</v>
      </c>
      <c r="N16706" t="str">
        <f>"19827589    "</f>
        <v xml:space="preserve">19827589    </v>
      </c>
      <c r="O16706">
        <v>230417</v>
      </c>
    </row>
    <row r="16707" spans="1:15" x14ac:dyDescent="0.25">
      <c r="A16707" t="s">
        <v>16</v>
      </c>
      <c r="B16707" t="s">
        <v>3221</v>
      </c>
      <c r="C16707">
        <v>5903</v>
      </c>
      <c r="D16707" t="s">
        <v>3231</v>
      </c>
      <c r="E16707" t="s">
        <v>3232</v>
      </c>
      <c r="F16707">
        <v>24.85</v>
      </c>
      <c r="G16707">
        <v>230430</v>
      </c>
      <c r="H16707">
        <v>4520</v>
      </c>
      <c r="I16707" t="s">
        <v>254</v>
      </c>
      <c r="J16707">
        <v>28.33</v>
      </c>
      <c r="K16707">
        <v>3.48</v>
      </c>
      <c r="L16707">
        <v>13801</v>
      </c>
      <c r="M16707" t="s">
        <v>162</v>
      </c>
      <c r="N16707" t="str">
        <f>"19877998    "</f>
        <v xml:space="preserve">19877998    </v>
      </c>
      <c r="O16707">
        <v>230503</v>
      </c>
    </row>
    <row r="16708" spans="1:15" x14ac:dyDescent="0.25">
      <c r="A16708" t="s">
        <v>16</v>
      </c>
      <c r="B16708" t="s">
        <v>3221</v>
      </c>
      <c r="C16708">
        <v>5909</v>
      </c>
      <c r="D16708" t="s">
        <v>3231</v>
      </c>
      <c r="E16708" t="s">
        <v>3232</v>
      </c>
      <c r="F16708">
        <v>63.38</v>
      </c>
      <c r="G16708">
        <v>230430</v>
      </c>
      <c r="H16708">
        <v>4520</v>
      </c>
      <c r="I16708" t="s">
        <v>254</v>
      </c>
      <c r="J16708">
        <v>72.25</v>
      </c>
      <c r="K16708">
        <v>8.8699999999999992</v>
      </c>
      <c r="L16708">
        <v>67522</v>
      </c>
      <c r="M16708" t="s">
        <v>397</v>
      </c>
      <c r="N16708" t="str">
        <f>"19858630    "</f>
        <v xml:space="preserve">19858630    </v>
      </c>
      <c r="O16708">
        <v>230503</v>
      </c>
    </row>
    <row r="16709" spans="1:15" x14ac:dyDescent="0.25">
      <c r="A16709" t="s">
        <v>16</v>
      </c>
      <c r="B16709" t="s">
        <v>3221</v>
      </c>
      <c r="C16709">
        <v>5997</v>
      </c>
      <c r="D16709" t="s">
        <v>3231</v>
      </c>
      <c r="E16709" t="s">
        <v>3232</v>
      </c>
      <c r="F16709">
        <v>23.57</v>
      </c>
      <c r="G16709">
        <v>230430</v>
      </c>
      <c r="H16709">
        <v>4520</v>
      </c>
      <c r="I16709" t="s">
        <v>254</v>
      </c>
      <c r="J16709">
        <v>26.87</v>
      </c>
      <c r="K16709">
        <v>3.3</v>
      </c>
      <c r="L16709">
        <v>17131</v>
      </c>
      <c r="M16709" t="s">
        <v>64</v>
      </c>
      <c r="N16709" t="str">
        <f>"19858629    "</f>
        <v xml:space="preserve">19858629    </v>
      </c>
      <c r="O16709">
        <v>230505</v>
      </c>
    </row>
    <row r="16710" spans="1:15" x14ac:dyDescent="0.25">
      <c r="A16710" t="s">
        <v>16</v>
      </c>
      <c r="B16710" t="s">
        <v>3221</v>
      </c>
      <c r="C16710">
        <v>5997</v>
      </c>
      <c r="D16710" t="s">
        <v>3231</v>
      </c>
      <c r="E16710" t="s">
        <v>3232</v>
      </c>
      <c r="F16710">
        <v>99.43</v>
      </c>
      <c r="G16710">
        <v>230430</v>
      </c>
      <c r="H16710">
        <v>4520</v>
      </c>
      <c r="I16710" t="s">
        <v>254</v>
      </c>
      <c r="J16710">
        <v>113.35</v>
      </c>
      <c r="K16710">
        <v>13.92</v>
      </c>
      <c r="L16710">
        <v>17131</v>
      </c>
      <c r="M16710" t="s">
        <v>64</v>
      </c>
      <c r="N16710" t="str">
        <f>"19858629    "</f>
        <v xml:space="preserve">19858629    </v>
      </c>
      <c r="O16710">
        <v>230505</v>
      </c>
    </row>
    <row r="16711" spans="1:15" x14ac:dyDescent="0.25">
      <c r="A16711" t="s">
        <v>16</v>
      </c>
      <c r="B16711" t="s">
        <v>3221</v>
      </c>
      <c r="C16711">
        <v>5997</v>
      </c>
      <c r="D16711" t="s">
        <v>3231</v>
      </c>
      <c r="E16711" t="s">
        <v>3232</v>
      </c>
      <c r="F16711">
        <v>175.78</v>
      </c>
      <c r="G16711">
        <v>230430</v>
      </c>
      <c r="H16711">
        <v>4520</v>
      </c>
      <c r="I16711" t="s">
        <v>254</v>
      </c>
      <c r="J16711">
        <v>200.39</v>
      </c>
      <c r="K16711">
        <v>24.61</v>
      </c>
      <c r="L16711">
        <v>17131</v>
      </c>
      <c r="M16711" t="s">
        <v>64</v>
      </c>
      <c r="N16711" t="str">
        <f>"19858629    "</f>
        <v xml:space="preserve">19858629    </v>
      </c>
      <c r="O16711">
        <v>230505</v>
      </c>
    </row>
    <row r="16712" spans="1:15" x14ac:dyDescent="0.25">
      <c r="A16712" t="s">
        <v>16</v>
      </c>
      <c r="B16712" t="s">
        <v>3221</v>
      </c>
      <c r="C16712">
        <v>5997</v>
      </c>
      <c r="D16712" t="s">
        <v>3231</v>
      </c>
      <c r="E16712" t="s">
        <v>3232</v>
      </c>
      <c r="F16712">
        <v>79.09</v>
      </c>
      <c r="G16712">
        <v>230430</v>
      </c>
      <c r="H16712">
        <v>4520</v>
      </c>
      <c r="I16712" t="s">
        <v>254</v>
      </c>
      <c r="J16712">
        <v>90.16</v>
      </c>
      <c r="K16712">
        <v>11.07</v>
      </c>
      <c r="L16712">
        <v>17912</v>
      </c>
      <c r="M16712" t="s">
        <v>419</v>
      </c>
      <c r="N16712" t="str">
        <f>"19858629    "</f>
        <v xml:space="preserve">19858629    </v>
      </c>
      <c r="O16712">
        <v>230505</v>
      </c>
    </row>
    <row r="16713" spans="1:15" x14ac:dyDescent="0.25">
      <c r="A16713" t="s">
        <v>16</v>
      </c>
      <c r="B16713" t="s">
        <v>3221</v>
      </c>
      <c r="C16713">
        <v>6108</v>
      </c>
      <c r="D16713" t="s">
        <v>3231</v>
      </c>
      <c r="E16713" t="s">
        <v>3232</v>
      </c>
      <c r="F16713">
        <v>111.89</v>
      </c>
      <c r="G16713">
        <v>230430</v>
      </c>
      <c r="H16713">
        <v>4520</v>
      </c>
      <c r="I16713" t="s">
        <v>254</v>
      </c>
      <c r="J16713">
        <v>127.56</v>
      </c>
      <c r="K16713">
        <v>15.67</v>
      </c>
      <c r="L16713">
        <v>54451</v>
      </c>
      <c r="M16713" t="s">
        <v>158</v>
      </c>
      <c r="N16713" t="str">
        <f>"19863441    "</f>
        <v xml:space="preserve">19863441    </v>
      </c>
      <c r="O16713">
        <v>230508</v>
      </c>
    </row>
    <row r="16714" spans="1:15" x14ac:dyDescent="0.25">
      <c r="A16714" t="s">
        <v>16</v>
      </c>
      <c r="B16714" t="s">
        <v>3221</v>
      </c>
      <c r="C16714">
        <v>6109</v>
      </c>
      <c r="D16714" t="s">
        <v>3231</v>
      </c>
      <c r="E16714" t="s">
        <v>3232</v>
      </c>
      <c r="F16714">
        <v>0.52</v>
      </c>
      <c r="G16714">
        <v>230430</v>
      </c>
      <c r="H16714">
        <v>4520</v>
      </c>
      <c r="I16714" t="s">
        <v>254</v>
      </c>
      <c r="J16714">
        <v>0.64</v>
      </c>
      <c r="K16714">
        <v>0.12</v>
      </c>
      <c r="L16714">
        <v>16431</v>
      </c>
      <c r="M16714" t="s">
        <v>231</v>
      </c>
      <c r="N16714" t="str">
        <f>"19858628    "</f>
        <v xml:space="preserve">19858628    </v>
      </c>
      <c r="O16714">
        <v>230508</v>
      </c>
    </row>
    <row r="16715" spans="1:15" x14ac:dyDescent="0.25">
      <c r="A16715" t="s">
        <v>16</v>
      </c>
      <c r="B16715" t="s">
        <v>3221</v>
      </c>
      <c r="C16715">
        <v>6109</v>
      </c>
      <c r="D16715" t="s">
        <v>3231</v>
      </c>
      <c r="E16715" t="s">
        <v>3232</v>
      </c>
      <c r="F16715">
        <v>106.08</v>
      </c>
      <c r="G16715">
        <v>230430</v>
      </c>
      <c r="H16715">
        <v>4520</v>
      </c>
      <c r="I16715" t="s">
        <v>254</v>
      </c>
      <c r="J16715">
        <v>120.93</v>
      </c>
      <c r="K16715">
        <v>14.85</v>
      </c>
      <c r="L16715">
        <v>16431</v>
      </c>
      <c r="M16715" t="s">
        <v>231</v>
      </c>
      <c r="N16715" t="str">
        <f>"19858628    "</f>
        <v xml:space="preserve">19858628    </v>
      </c>
      <c r="O16715">
        <v>230508</v>
      </c>
    </row>
    <row r="16716" spans="1:15" x14ac:dyDescent="0.25">
      <c r="A16716" t="s">
        <v>16</v>
      </c>
      <c r="B16716" t="s">
        <v>3221</v>
      </c>
      <c r="C16716">
        <v>6109</v>
      </c>
      <c r="D16716" t="s">
        <v>3231</v>
      </c>
      <c r="E16716" t="s">
        <v>3232</v>
      </c>
      <c r="F16716">
        <v>24.3</v>
      </c>
      <c r="G16716">
        <v>230430</v>
      </c>
      <c r="H16716">
        <v>4520</v>
      </c>
      <c r="I16716" t="s">
        <v>254</v>
      </c>
      <c r="J16716">
        <v>27.7</v>
      </c>
      <c r="K16716">
        <v>3.4</v>
      </c>
      <c r="L16716">
        <v>17913</v>
      </c>
      <c r="M16716" t="s">
        <v>431</v>
      </c>
      <c r="N16716" t="str">
        <f>"19858628    "</f>
        <v xml:space="preserve">19858628    </v>
      </c>
      <c r="O16716">
        <v>230508</v>
      </c>
    </row>
    <row r="16717" spans="1:15" x14ac:dyDescent="0.25">
      <c r="A16717" t="s">
        <v>16</v>
      </c>
      <c r="B16717" t="s">
        <v>3221</v>
      </c>
      <c r="C16717">
        <v>6128</v>
      </c>
      <c r="D16717" t="s">
        <v>3231</v>
      </c>
      <c r="E16717" t="s">
        <v>3232</v>
      </c>
      <c r="F16717">
        <v>126.93</v>
      </c>
      <c r="G16717">
        <v>230430</v>
      </c>
      <c r="H16717">
        <v>4520</v>
      </c>
      <c r="I16717" t="s">
        <v>254</v>
      </c>
      <c r="J16717">
        <v>144.69999999999999</v>
      </c>
      <c r="K16717">
        <v>17.77</v>
      </c>
      <c r="L16717">
        <v>49112</v>
      </c>
      <c r="M16717" t="s">
        <v>233</v>
      </c>
      <c r="N16717" t="str">
        <f>"19858625    "</f>
        <v xml:space="preserve">19858625    </v>
      </c>
      <c r="O16717">
        <v>230508</v>
      </c>
    </row>
    <row r="16718" spans="1:15" x14ac:dyDescent="0.25">
      <c r="A16718" t="s">
        <v>16</v>
      </c>
      <c r="B16718" t="s">
        <v>3221</v>
      </c>
      <c r="C16718">
        <v>6325</v>
      </c>
      <c r="D16718" t="s">
        <v>3231</v>
      </c>
      <c r="E16718" t="s">
        <v>3232</v>
      </c>
      <c r="F16718">
        <v>88.34</v>
      </c>
      <c r="G16718">
        <v>230430</v>
      </c>
      <c r="H16718">
        <v>4520</v>
      </c>
      <c r="I16718" t="s">
        <v>254</v>
      </c>
      <c r="J16718">
        <v>100.71</v>
      </c>
      <c r="K16718">
        <v>12.37</v>
      </c>
      <c r="L16718">
        <v>69112</v>
      </c>
      <c r="M16718" t="s">
        <v>313</v>
      </c>
      <c r="N16718" t="str">
        <f>"19878802    "</f>
        <v xml:space="preserve">19878802    </v>
      </c>
      <c r="O16718">
        <v>230510</v>
      </c>
    </row>
    <row r="16719" spans="1:15" x14ac:dyDescent="0.25">
      <c r="A16719" t="s">
        <v>16</v>
      </c>
      <c r="B16719" t="s">
        <v>3221</v>
      </c>
      <c r="C16719">
        <v>6325</v>
      </c>
      <c r="D16719" t="s">
        <v>3231</v>
      </c>
      <c r="E16719" t="s">
        <v>3232</v>
      </c>
      <c r="F16719">
        <v>4.91</v>
      </c>
      <c r="G16719">
        <v>230430</v>
      </c>
      <c r="H16719">
        <v>4520</v>
      </c>
      <c r="I16719" t="s">
        <v>254</v>
      </c>
      <c r="J16719">
        <v>5.6</v>
      </c>
      <c r="K16719">
        <v>0.69</v>
      </c>
      <c r="L16719">
        <v>69810</v>
      </c>
      <c r="M16719" t="s">
        <v>314</v>
      </c>
      <c r="N16719" t="str">
        <f>"19878802    "</f>
        <v xml:space="preserve">19878802    </v>
      </c>
      <c r="O16719">
        <v>230510</v>
      </c>
    </row>
    <row r="16720" spans="1:15" x14ac:dyDescent="0.25">
      <c r="A16720" t="s">
        <v>16</v>
      </c>
      <c r="B16720" t="s">
        <v>3221</v>
      </c>
      <c r="C16720">
        <v>6325</v>
      </c>
      <c r="D16720" t="s">
        <v>3231</v>
      </c>
      <c r="E16720" t="s">
        <v>3232</v>
      </c>
      <c r="F16720">
        <v>4.9000000000000004</v>
      </c>
      <c r="G16720">
        <v>230430</v>
      </c>
      <c r="H16720">
        <v>4520</v>
      </c>
      <c r="I16720" t="s">
        <v>254</v>
      </c>
      <c r="J16720">
        <v>5.59</v>
      </c>
      <c r="K16720">
        <v>0.69</v>
      </c>
      <c r="L16720">
        <v>69811</v>
      </c>
      <c r="M16720" t="s">
        <v>315</v>
      </c>
      <c r="N16720" t="str">
        <f>"19878802    "</f>
        <v xml:space="preserve">19878802    </v>
      </c>
      <c r="O16720">
        <v>230510</v>
      </c>
    </row>
    <row r="16721" spans="1:15" x14ac:dyDescent="0.25">
      <c r="A16721" t="s">
        <v>16</v>
      </c>
      <c r="B16721" t="s">
        <v>3221</v>
      </c>
      <c r="C16721">
        <v>6411</v>
      </c>
      <c r="D16721" t="s">
        <v>3231</v>
      </c>
      <c r="E16721" t="s">
        <v>3232</v>
      </c>
      <c r="F16721">
        <v>31.59</v>
      </c>
      <c r="G16721">
        <v>230430</v>
      </c>
      <c r="H16721">
        <v>4520</v>
      </c>
      <c r="I16721" t="s">
        <v>254</v>
      </c>
      <c r="J16721">
        <v>36.01</v>
      </c>
      <c r="K16721">
        <v>4.42</v>
      </c>
      <c r="L16721">
        <v>59111</v>
      </c>
      <c r="M16721" t="s">
        <v>1010</v>
      </c>
      <c r="N16721" t="str">
        <f>"19863440    "</f>
        <v xml:space="preserve">19863440    </v>
      </c>
      <c r="O16721">
        <v>230511</v>
      </c>
    </row>
    <row r="16722" spans="1:15" x14ac:dyDescent="0.25">
      <c r="A16722" t="s">
        <v>16</v>
      </c>
      <c r="B16722" t="s">
        <v>3221</v>
      </c>
      <c r="C16722">
        <v>6483</v>
      </c>
      <c r="D16722" t="s">
        <v>3231</v>
      </c>
      <c r="E16722" t="s">
        <v>3232</v>
      </c>
      <c r="F16722">
        <v>30.14</v>
      </c>
      <c r="G16722">
        <v>230430</v>
      </c>
      <c r="H16722">
        <v>4520</v>
      </c>
      <c r="I16722" t="s">
        <v>254</v>
      </c>
      <c r="J16722">
        <v>34.36</v>
      </c>
      <c r="K16722">
        <v>4.22</v>
      </c>
      <c r="L16722">
        <v>48601</v>
      </c>
      <c r="M16722" t="s">
        <v>1047</v>
      </c>
      <c r="N16722" t="str">
        <f>"19860166    "</f>
        <v xml:space="preserve">19860166    </v>
      </c>
      <c r="O16722">
        <v>230512</v>
      </c>
    </row>
    <row r="16723" spans="1:15" x14ac:dyDescent="0.25">
      <c r="A16723" t="s">
        <v>16</v>
      </c>
      <c r="B16723" t="s">
        <v>3221</v>
      </c>
      <c r="C16723">
        <v>6484</v>
      </c>
      <c r="D16723" t="s">
        <v>3231</v>
      </c>
      <c r="E16723" t="s">
        <v>3232</v>
      </c>
      <c r="F16723">
        <v>86.33</v>
      </c>
      <c r="G16723">
        <v>230430</v>
      </c>
      <c r="H16723">
        <v>4520</v>
      </c>
      <c r="I16723" t="s">
        <v>254</v>
      </c>
      <c r="J16723">
        <v>98.42</v>
      </c>
      <c r="K16723">
        <v>12.09</v>
      </c>
      <c r="L16723">
        <v>44253</v>
      </c>
      <c r="M16723" t="s">
        <v>1058</v>
      </c>
      <c r="N16723" t="str">
        <f>"19863295    "</f>
        <v xml:space="preserve">19863295    </v>
      </c>
      <c r="O16723">
        <v>230512</v>
      </c>
    </row>
    <row r="16724" spans="1:15" x14ac:dyDescent="0.25">
      <c r="A16724" t="s">
        <v>16</v>
      </c>
      <c r="B16724" t="s">
        <v>3221</v>
      </c>
      <c r="C16724">
        <v>6718</v>
      </c>
      <c r="D16724" t="s">
        <v>3231</v>
      </c>
      <c r="E16724" t="s">
        <v>3232</v>
      </c>
      <c r="F16724">
        <v>49.41</v>
      </c>
      <c r="G16724">
        <v>230430</v>
      </c>
      <c r="H16724">
        <v>4520</v>
      </c>
      <c r="I16724" t="s">
        <v>254</v>
      </c>
      <c r="J16724">
        <v>56.33</v>
      </c>
      <c r="K16724">
        <v>6.92</v>
      </c>
      <c r="L16724">
        <v>11902</v>
      </c>
      <c r="M16724" t="s">
        <v>1443</v>
      </c>
      <c r="N16724" t="str">
        <f>"19858626    "</f>
        <v xml:space="preserve">19858626    </v>
      </c>
      <c r="O16724">
        <v>230522</v>
      </c>
    </row>
    <row r="16725" spans="1:15" x14ac:dyDescent="0.25">
      <c r="A16725" t="s">
        <v>16</v>
      </c>
      <c r="B16725" t="s">
        <v>3221</v>
      </c>
      <c r="C16725">
        <v>6718</v>
      </c>
      <c r="D16725" t="s">
        <v>3231</v>
      </c>
      <c r="E16725" t="s">
        <v>3232</v>
      </c>
      <c r="F16725">
        <v>0.19</v>
      </c>
      <c r="G16725">
        <v>230430</v>
      </c>
      <c r="H16725">
        <v>4520</v>
      </c>
      <c r="I16725" t="s">
        <v>254</v>
      </c>
      <c r="J16725">
        <v>0.24</v>
      </c>
      <c r="K16725">
        <v>0.05</v>
      </c>
      <c r="L16725">
        <v>14432</v>
      </c>
      <c r="M16725" t="s">
        <v>862</v>
      </c>
      <c r="N16725" t="str">
        <f>"19858626    "</f>
        <v xml:space="preserve">19858626    </v>
      </c>
      <c r="O16725">
        <v>230522</v>
      </c>
    </row>
    <row r="16726" spans="1:15" x14ac:dyDescent="0.25">
      <c r="A16726" t="s">
        <v>16</v>
      </c>
      <c r="B16726" t="s">
        <v>3221</v>
      </c>
      <c r="C16726">
        <v>6718</v>
      </c>
      <c r="D16726" t="s">
        <v>3231</v>
      </c>
      <c r="E16726" t="s">
        <v>3232</v>
      </c>
      <c r="F16726">
        <v>27.33</v>
      </c>
      <c r="G16726">
        <v>230430</v>
      </c>
      <c r="H16726">
        <v>4520</v>
      </c>
      <c r="I16726" t="s">
        <v>254</v>
      </c>
      <c r="J16726">
        <v>31.16</v>
      </c>
      <c r="K16726">
        <v>3.83</v>
      </c>
      <c r="L16726">
        <v>14432</v>
      </c>
      <c r="M16726" t="s">
        <v>862</v>
      </c>
      <c r="N16726" t="str">
        <f>"19858626    "</f>
        <v xml:space="preserve">19858626    </v>
      </c>
      <c r="O16726">
        <v>230522</v>
      </c>
    </row>
    <row r="16727" spans="1:15" x14ac:dyDescent="0.25">
      <c r="A16727" t="s">
        <v>16</v>
      </c>
      <c r="B16727" t="s">
        <v>3221</v>
      </c>
      <c r="C16727">
        <v>6718</v>
      </c>
      <c r="D16727" t="s">
        <v>3231</v>
      </c>
      <c r="E16727" t="s">
        <v>3232</v>
      </c>
      <c r="F16727">
        <v>39.729999999999997</v>
      </c>
      <c r="G16727">
        <v>230430</v>
      </c>
      <c r="H16727">
        <v>4520</v>
      </c>
      <c r="I16727" t="s">
        <v>254</v>
      </c>
      <c r="J16727">
        <v>45.29</v>
      </c>
      <c r="K16727">
        <v>5.56</v>
      </c>
      <c r="L16727">
        <v>14640</v>
      </c>
      <c r="M16727" t="s">
        <v>229</v>
      </c>
      <c r="N16727" t="str">
        <f>"19858626    "</f>
        <v xml:space="preserve">19858626    </v>
      </c>
      <c r="O16727">
        <v>230522</v>
      </c>
    </row>
    <row r="16728" spans="1:15" x14ac:dyDescent="0.25">
      <c r="A16728" t="s">
        <v>16</v>
      </c>
      <c r="B16728" t="s">
        <v>3221</v>
      </c>
      <c r="C16728">
        <v>7902</v>
      </c>
      <c r="D16728" t="s">
        <v>3231</v>
      </c>
      <c r="E16728" t="s">
        <v>3232</v>
      </c>
      <c r="F16728">
        <v>5.68</v>
      </c>
      <c r="G16728">
        <v>230531</v>
      </c>
      <c r="H16728">
        <v>4520</v>
      </c>
      <c r="I16728" t="s">
        <v>254</v>
      </c>
      <c r="J16728">
        <v>7.04</v>
      </c>
      <c r="K16728">
        <v>1.36</v>
      </c>
      <c r="L16728">
        <v>16431</v>
      </c>
      <c r="M16728" t="s">
        <v>231</v>
      </c>
      <c r="N16728" t="str">
        <f>"19895849    "</f>
        <v xml:space="preserve">19895849    </v>
      </c>
      <c r="O16728">
        <v>230605</v>
      </c>
    </row>
    <row r="16729" spans="1:15" x14ac:dyDescent="0.25">
      <c r="A16729" t="s">
        <v>16</v>
      </c>
      <c r="B16729" t="s">
        <v>3221</v>
      </c>
      <c r="C16729">
        <v>7902</v>
      </c>
      <c r="D16729" t="s">
        <v>3231</v>
      </c>
      <c r="E16729" t="s">
        <v>3232</v>
      </c>
      <c r="F16729">
        <v>175.4</v>
      </c>
      <c r="G16729">
        <v>230531</v>
      </c>
      <c r="H16729">
        <v>4520</v>
      </c>
      <c r="I16729" t="s">
        <v>254</v>
      </c>
      <c r="J16729">
        <v>199.96</v>
      </c>
      <c r="K16729">
        <v>24.56</v>
      </c>
      <c r="L16729">
        <v>16431</v>
      </c>
      <c r="M16729" t="s">
        <v>231</v>
      </c>
      <c r="N16729" t="str">
        <f>"19895849    "</f>
        <v xml:space="preserve">19895849    </v>
      </c>
      <c r="O16729">
        <v>230605</v>
      </c>
    </row>
    <row r="16730" spans="1:15" x14ac:dyDescent="0.25">
      <c r="A16730" t="s">
        <v>16</v>
      </c>
      <c r="B16730" t="s">
        <v>3221</v>
      </c>
      <c r="C16730">
        <v>7902</v>
      </c>
      <c r="D16730" t="s">
        <v>3231</v>
      </c>
      <c r="E16730" t="s">
        <v>3232</v>
      </c>
      <c r="F16730">
        <v>72.010000000000005</v>
      </c>
      <c r="G16730">
        <v>230531</v>
      </c>
      <c r="H16730">
        <v>4520</v>
      </c>
      <c r="I16730" t="s">
        <v>254</v>
      </c>
      <c r="J16730">
        <v>82.09</v>
      </c>
      <c r="K16730">
        <v>10.08</v>
      </c>
      <c r="L16730">
        <v>17913</v>
      </c>
      <c r="M16730" t="s">
        <v>431</v>
      </c>
      <c r="N16730" t="str">
        <f>"19895849    "</f>
        <v xml:space="preserve">19895849    </v>
      </c>
      <c r="O16730">
        <v>230605</v>
      </c>
    </row>
    <row r="16731" spans="1:15" x14ac:dyDescent="0.25">
      <c r="A16731" t="s">
        <v>16</v>
      </c>
      <c r="B16731" t="s">
        <v>3221</v>
      </c>
      <c r="C16731">
        <v>7902</v>
      </c>
      <c r="D16731" t="s">
        <v>3231</v>
      </c>
      <c r="E16731" t="s">
        <v>3232</v>
      </c>
      <c r="F16731">
        <v>50.36</v>
      </c>
      <c r="G16731">
        <v>230531</v>
      </c>
      <c r="H16731">
        <v>4520</v>
      </c>
      <c r="I16731" t="s">
        <v>254</v>
      </c>
      <c r="J16731">
        <v>57.41</v>
      </c>
      <c r="K16731">
        <v>7.05</v>
      </c>
      <c r="L16731">
        <v>17914</v>
      </c>
      <c r="M16731" t="s">
        <v>3289</v>
      </c>
      <c r="N16731" t="str">
        <f>"19895849    "</f>
        <v xml:space="preserve">19895849    </v>
      </c>
      <c r="O16731">
        <v>230605</v>
      </c>
    </row>
    <row r="16732" spans="1:15" x14ac:dyDescent="0.25">
      <c r="A16732" t="s">
        <v>16</v>
      </c>
      <c r="B16732" t="s">
        <v>3221</v>
      </c>
      <c r="C16732">
        <v>8065</v>
      </c>
      <c r="D16732" t="s">
        <v>3231</v>
      </c>
      <c r="E16732" t="s">
        <v>3232</v>
      </c>
      <c r="F16732">
        <v>74.37</v>
      </c>
      <c r="G16732">
        <v>230531</v>
      </c>
      <c r="H16732">
        <v>4520</v>
      </c>
      <c r="I16732" t="s">
        <v>254</v>
      </c>
      <c r="J16732">
        <v>84.78</v>
      </c>
      <c r="K16732">
        <v>10.41</v>
      </c>
      <c r="L16732">
        <v>44251</v>
      </c>
      <c r="M16732" t="s">
        <v>156</v>
      </c>
      <c r="N16732" t="str">
        <f>"19895845    "</f>
        <v xml:space="preserve">19895845    </v>
      </c>
      <c r="O16732">
        <v>230607</v>
      </c>
    </row>
    <row r="16733" spans="1:15" x14ac:dyDescent="0.25">
      <c r="A16733" t="s">
        <v>16</v>
      </c>
      <c r="B16733" t="s">
        <v>3221</v>
      </c>
      <c r="C16733">
        <v>8075</v>
      </c>
      <c r="D16733" t="s">
        <v>3231</v>
      </c>
      <c r="E16733" t="s">
        <v>3232</v>
      </c>
      <c r="F16733">
        <v>159.61000000000001</v>
      </c>
      <c r="G16733">
        <v>230531</v>
      </c>
      <c r="H16733">
        <v>4520</v>
      </c>
      <c r="I16733" t="s">
        <v>254</v>
      </c>
      <c r="J16733">
        <v>181.95</v>
      </c>
      <c r="K16733">
        <v>22.34</v>
      </c>
      <c r="L16733">
        <v>59111</v>
      </c>
      <c r="M16733" t="s">
        <v>1010</v>
      </c>
      <c r="N16733" t="str">
        <f>"19900988    "</f>
        <v xml:space="preserve">19900988    </v>
      </c>
      <c r="O16733">
        <v>230607</v>
      </c>
    </row>
    <row r="16734" spans="1:15" x14ac:dyDescent="0.25">
      <c r="A16734" t="s">
        <v>16</v>
      </c>
      <c r="B16734" t="s">
        <v>3221</v>
      </c>
      <c r="C16734">
        <v>8076</v>
      </c>
      <c r="D16734" t="s">
        <v>3231</v>
      </c>
      <c r="E16734" t="s">
        <v>3232</v>
      </c>
      <c r="F16734">
        <v>46.51</v>
      </c>
      <c r="G16734">
        <v>230531</v>
      </c>
      <c r="H16734">
        <v>4520</v>
      </c>
      <c r="I16734" t="s">
        <v>254</v>
      </c>
      <c r="J16734">
        <v>53.02</v>
      </c>
      <c r="K16734">
        <v>6.51</v>
      </c>
      <c r="L16734">
        <v>17131</v>
      </c>
      <c r="M16734" t="s">
        <v>64</v>
      </c>
      <c r="N16734" t="str">
        <f>"19895850    "</f>
        <v xml:space="preserve">19895850    </v>
      </c>
      <c r="O16734">
        <v>230607</v>
      </c>
    </row>
    <row r="16735" spans="1:15" x14ac:dyDescent="0.25">
      <c r="A16735" t="s">
        <v>16</v>
      </c>
      <c r="B16735" t="s">
        <v>3221</v>
      </c>
      <c r="C16735">
        <v>8076</v>
      </c>
      <c r="D16735" t="s">
        <v>3231</v>
      </c>
      <c r="E16735" t="s">
        <v>3232</v>
      </c>
      <c r="F16735">
        <v>83.02</v>
      </c>
      <c r="G16735">
        <v>230531</v>
      </c>
      <c r="H16735">
        <v>4520</v>
      </c>
      <c r="I16735" t="s">
        <v>254</v>
      </c>
      <c r="J16735">
        <v>94.64</v>
      </c>
      <c r="K16735">
        <v>11.62</v>
      </c>
      <c r="L16735">
        <v>17131</v>
      </c>
      <c r="M16735" t="s">
        <v>64</v>
      </c>
      <c r="N16735" t="str">
        <f>"19895850    "</f>
        <v xml:space="preserve">19895850    </v>
      </c>
      <c r="O16735">
        <v>230607</v>
      </c>
    </row>
    <row r="16736" spans="1:15" x14ac:dyDescent="0.25">
      <c r="A16736" t="s">
        <v>16</v>
      </c>
      <c r="B16736" t="s">
        <v>3221</v>
      </c>
      <c r="C16736">
        <v>8076</v>
      </c>
      <c r="D16736" t="s">
        <v>3231</v>
      </c>
      <c r="E16736" t="s">
        <v>3232</v>
      </c>
      <c r="F16736">
        <v>86.32</v>
      </c>
      <c r="G16736">
        <v>230531</v>
      </c>
      <c r="H16736">
        <v>4520</v>
      </c>
      <c r="I16736" t="s">
        <v>254</v>
      </c>
      <c r="J16736">
        <v>98.41</v>
      </c>
      <c r="K16736">
        <v>12.09</v>
      </c>
      <c r="L16736">
        <v>17131</v>
      </c>
      <c r="M16736" t="s">
        <v>64</v>
      </c>
      <c r="N16736" t="str">
        <f>"19895850    "</f>
        <v xml:space="preserve">19895850    </v>
      </c>
      <c r="O16736">
        <v>230607</v>
      </c>
    </row>
    <row r="16737" spans="1:15" x14ac:dyDescent="0.25">
      <c r="A16737" t="s">
        <v>16</v>
      </c>
      <c r="B16737" t="s">
        <v>3221</v>
      </c>
      <c r="C16737">
        <v>8076</v>
      </c>
      <c r="D16737" t="s">
        <v>3231</v>
      </c>
      <c r="E16737" t="s">
        <v>3232</v>
      </c>
      <c r="F16737">
        <v>154.77000000000001</v>
      </c>
      <c r="G16737">
        <v>230531</v>
      </c>
      <c r="H16737">
        <v>4520</v>
      </c>
      <c r="I16737" t="s">
        <v>254</v>
      </c>
      <c r="J16737">
        <v>176.44</v>
      </c>
      <c r="K16737">
        <v>21.67</v>
      </c>
      <c r="L16737">
        <v>17131</v>
      </c>
      <c r="M16737" t="s">
        <v>64</v>
      </c>
      <c r="N16737" t="str">
        <f>"19895850    "</f>
        <v xml:space="preserve">19895850    </v>
      </c>
      <c r="O16737">
        <v>230607</v>
      </c>
    </row>
    <row r="16738" spans="1:15" x14ac:dyDescent="0.25">
      <c r="A16738" t="s">
        <v>16</v>
      </c>
      <c r="B16738" t="s">
        <v>3221</v>
      </c>
      <c r="C16738">
        <v>8076</v>
      </c>
      <c r="D16738" t="s">
        <v>3231</v>
      </c>
      <c r="E16738" t="s">
        <v>3232</v>
      </c>
      <c r="F16738">
        <v>41.6</v>
      </c>
      <c r="G16738">
        <v>230531</v>
      </c>
      <c r="H16738">
        <v>4520</v>
      </c>
      <c r="I16738" t="s">
        <v>254</v>
      </c>
      <c r="J16738">
        <v>47.42</v>
      </c>
      <c r="K16738">
        <v>5.82</v>
      </c>
      <c r="L16738">
        <v>17972</v>
      </c>
      <c r="M16738" t="s">
        <v>248</v>
      </c>
      <c r="N16738" t="str">
        <f>"19895850    "</f>
        <v xml:space="preserve">19895850    </v>
      </c>
      <c r="O16738">
        <v>230607</v>
      </c>
    </row>
    <row r="16739" spans="1:15" x14ac:dyDescent="0.25">
      <c r="A16739" t="s">
        <v>16</v>
      </c>
      <c r="B16739" t="s">
        <v>3221</v>
      </c>
      <c r="C16739">
        <v>8077</v>
      </c>
      <c r="D16739" t="s">
        <v>3231</v>
      </c>
      <c r="E16739" t="s">
        <v>3232</v>
      </c>
      <c r="F16739">
        <v>110.71</v>
      </c>
      <c r="G16739">
        <v>230531</v>
      </c>
      <c r="H16739">
        <v>4520</v>
      </c>
      <c r="I16739" t="s">
        <v>254</v>
      </c>
      <c r="J16739">
        <v>126.21</v>
      </c>
      <c r="K16739">
        <v>15.5</v>
      </c>
      <c r="L16739">
        <v>44253</v>
      </c>
      <c r="M16739" t="s">
        <v>1058</v>
      </c>
      <c r="N16739" t="str">
        <f>"19900842    "</f>
        <v xml:space="preserve">19900842    </v>
      </c>
      <c r="O16739">
        <v>230607</v>
      </c>
    </row>
    <row r="16740" spans="1:15" x14ac:dyDescent="0.25">
      <c r="A16740" t="s">
        <v>16</v>
      </c>
      <c r="B16740" t="s">
        <v>3221</v>
      </c>
      <c r="C16740">
        <v>8174</v>
      </c>
      <c r="D16740" t="s">
        <v>3231</v>
      </c>
      <c r="E16740" t="s">
        <v>3232</v>
      </c>
      <c r="F16740">
        <v>113.74</v>
      </c>
      <c r="G16740">
        <v>230531</v>
      </c>
      <c r="H16740">
        <v>4520</v>
      </c>
      <c r="I16740" t="s">
        <v>254</v>
      </c>
      <c r="J16740">
        <v>129.66</v>
      </c>
      <c r="K16740">
        <v>15.92</v>
      </c>
      <c r="L16740">
        <v>69112</v>
      </c>
      <c r="M16740" t="s">
        <v>313</v>
      </c>
      <c r="N16740" t="str">
        <f>"19916976    "</f>
        <v xml:space="preserve">19916976    </v>
      </c>
      <c r="O16740">
        <v>230607</v>
      </c>
    </row>
    <row r="16741" spans="1:15" x14ac:dyDescent="0.25">
      <c r="A16741" t="s">
        <v>16</v>
      </c>
      <c r="B16741" t="s">
        <v>3221</v>
      </c>
      <c r="C16741">
        <v>8174</v>
      </c>
      <c r="D16741" t="s">
        <v>3231</v>
      </c>
      <c r="E16741" t="s">
        <v>3232</v>
      </c>
      <c r="F16741">
        <v>6.32</v>
      </c>
      <c r="G16741">
        <v>230531</v>
      </c>
      <c r="H16741">
        <v>4520</v>
      </c>
      <c r="I16741" t="s">
        <v>254</v>
      </c>
      <c r="J16741">
        <v>7.2</v>
      </c>
      <c r="K16741">
        <v>0.88</v>
      </c>
      <c r="L16741">
        <v>69810</v>
      </c>
      <c r="M16741" t="s">
        <v>314</v>
      </c>
      <c r="N16741" t="str">
        <f>"19916976    "</f>
        <v xml:space="preserve">19916976    </v>
      </c>
      <c r="O16741">
        <v>230607</v>
      </c>
    </row>
    <row r="16742" spans="1:15" x14ac:dyDescent="0.25">
      <c r="A16742" t="s">
        <v>16</v>
      </c>
      <c r="B16742" t="s">
        <v>3221</v>
      </c>
      <c r="C16742">
        <v>8174</v>
      </c>
      <c r="D16742" t="s">
        <v>3231</v>
      </c>
      <c r="E16742" t="s">
        <v>3232</v>
      </c>
      <c r="F16742">
        <v>6.32</v>
      </c>
      <c r="G16742">
        <v>230531</v>
      </c>
      <c r="H16742">
        <v>4520</v>
      </c>
      <c r="I16742" t="s">
        <v>254</v>
      </c>
      <c r="J16742">
        <v>7.21</v>
      </c>
      <c r="K16742">
        <v>0.89</v>
      </c>
      <c r="L16742">
        <v>69811</v>
      </c>
      <c r="M16742" t="s">
        <v>315</v>
      </c>
      <c r="N16742" t="str">
        <f>"19916976    "</f>
        <v xml:space="preserve">19916976    </v>
      </c>
      <c r="O16742">
        <v>230607</v>
      </c>
    </row>
    <row r="16743" spans="1:15" x14ac:dyDescent="0.25">
      <c r="A16743" t="s">
        <v>16</v>
      </c>
      <c r="B16743" t="s">
        <v>3221</v>
      </c>
      <c r="C16743">
        <v>8320</v>
      </c>
      <c r="D16743" t="s">
        <v>3231</v>
      </c>
      <c r="E16743" t="s">
        <v>3232</v>
      </c>
      <c r="F16743">
        <v>118.61</v>
      </c>
      <c r="G16743">
        <v>230531</v>
      </c>
      <c r="H16743">
        <v>4520</v>
      </c>
      <c r="I16743" t="s">
        <v>254</v>
      </c>
      <c r="J16743">
        <v>135.22</v>
      </c>
      <c r="K16743">
        <v>16.61</v>
      </c>
      <c r="L16743">
        <v>67522</v>
      </c>
      <c r="M16743" t="s">
        <v>397</v>
      </c>
      <c r="N16743" t="str">
        <f>"19895851    "</f>
        <v xml:space="preserve">19895851    </v>
      </c>
      <c r="O16743">
        <v>230608</v>
      </c>
    </row>
    <row r="16744" spans="1:15" x14ac:dyDescent="0.25">
      <c r="A16744" t="s">
        <v>16</v>
      </c>
      <c r="B16744" t="s">
        <v>3221</v>
      </c>
      <c r="C16744">
        <v>8320</v>
      </c>
      <c r="D16744" t="s">
        <v>3231</v>
      </c>
      <c r="E16744" t="s">
        <v>3232</v>
      </c>
      <c r="F16744">
        <v>29.84</v>
      </c>
      <c r="G16744">
        <v>230531</v>
      </c>
      <c r="H16744">
        <v>4520</v>
      </c>
      <c r="I16744" t="s">
        <v>254</v>
      </c>
      <c r="J16744">
        <v>34.020000000000003</v>
      </c>
      <c r="K16744">
        <v>4.18</v>
      </c>
      <c r="L16744">
        <v>69111</v>
      </c>
      <c r="M16744" t="s">
        <v>471</v>
      </c>
      <c r="N16744" t="str">
        <f>"19895851    "</f>
        <v xml:space="preserve">19895851    </v>
      </c>
      <c r="O16744">
        <v>230608</v>
      </c>
    </row>
    <row r="16745" spans="1:15" x14ac:dyDescent="0.25">
      <c r="A16745" t="s">
        <v>16</v>
      </c>
      <c r="B16745" t="s">
        <v>3221</v>
      </c>
      <c r="C16745">
        <v>8324</v>
      </c>
      <c r="D16745" t="s">
        <v>3231</v>
      </c>
      <c r="E16745" t="s">
        <v>3232</v>
      </c>
      <c r="F16745">
        <v>222.39</v>
      </c>
      <c r="G16745">
        <v>230531</v>
      </c>
      <c r="H16745">
        <v>4520</v>
      </c>
      <c r="I16745" t="s">
        <v>254</v>
      </c>
      <c r="J16745">
        <v>253.52</v>
      </c>
      <c r="K16745">
        <v>31.13</v>
      </c>
      <c r="L16745">
        <v>49112</v>
      </c>
      <c r="M16745" t="s">
        <v>233</v>
      </c>
      <c r="N16745" t="str">
        <f>"19895846    "</f>
        <v xml:space="preserve">19895846    </v>
      </c>
      <c r="O16745">
        <v>230608</v>
      </c>
    </row>
    <row r="16746" spans="1:15" x14ac:dyDescent="0.25">
      <c r="A16746" t="s">
        <v>16</v>
      </c>
      <c r="B16746" t="s">
        <v>3221</v>
      </c>
      <c r="C16746">
        <v>8528</v>
      </c>
      <c r="D16746" t="s">
        <v>3231</v>
      </c>
      <c r="E16746" t="s">
        <v>3232</v>
      </c>
      <c r="F16746">
        <v>190.89</v>
      </c>
      <c r="G16746">
        <v>230531</v>
      </c>
      <c r="H16746">
        <v>4520</v>
      </c>
      <c r="I16746" t="s">
        <v>254</v>
      </c>
      <c r="J16746">
        <v>217.62</v>
      </c>
      <c r="K16746">
        <v>26.73</v>
      </c>
      <c r="L16746">
        <v>54422</v>
      </c>
      <c r="M16746" t="s">
        <v>234</v>
      </c>
      <c r="N16746" t="str">
        <f>"19900989    "</f>
        <v xml:space="preserve">19900989    </v>
      </c>
      <c r="O16746">
        <v>230612</v>
      </c>
    </row>
    <row r="16747" spans="1:15" x14ac:dyDescent="0.25">
      <c r="A16747" t="s">
        <v>16</v>
      </c>
      <c r="B16747" t="s">
        <v>3221</v>
      </c>
      <c r="C16747">
        <v>8544</v>
      </c>
      <c r="D16747" t="s">
        <v>3231</v>
      </c>
      <c r="E16747" t="s">
        <v>3232</v>
      </c>
      <c r="F16747">
        <v>22.37</v>
      </c>
      <c r="G16747">
        <v>230531</v>
      </c>
      <c r="H16747">
        <v>4520</v>
      </c>
      <c r="I16747" t="s">
        <v>254</v>
      </c>
      <c r="J16747">
        <v>25.5</v>
      </c>
      <c r="K16747">
        <v>3.13</v>
      </c>
      <c r="L16747">
        <v>14321</v>
      </c>
      <c r="M16747" t="s">
        <v>717</v>
      </c>
      <c r="N16747" t="str">
        <f>"19895847    "</f>
        <v xml:space="preserve">19895847    </v>
      </c>
      <c r="O16747">
        <v>230612</v>
      </c>
    </row>
    <row r="16748" spans="1:15" x14ac:dyDescent="0.25">
      <c r="A16748" t="s">
        <v>16</v>
      </c>
      <c r="B16748" t="s">
        <v>3221</v>
      </c>
      <c r="C16748">
        <v>8544</v>
      </c>
      <c r="D16748" t="s">
        <v>3231</v>
      </c>
      <c r="E16748" t="s">
        <v>3232</v>
      </c>
      <c r="F16748">
        <v>87.74</v>
      </c>
      <c r="G16748">
        <v>230531</v>
      </c>
      <c r="H16748">
        <v>4520</v>
      </c>
      <c r="I16748" t="s">
        <v>254</v>
      </c>
      <c r="J16748">
        <v>100.02</v>
      </c>
      <c r="K16748">
        <v>12.28</v>
      </c>
      <c r="L16748">
        <v>14422</v>
      </c>
      <c r="M16748" t="s">
        <v>228</v>
      </c>
      <c r="N16748" t="str">
        <f>"19895847    "</f>
        <v xml:space="preserve">19895847    </v>
      </c>
      <c r="O16748">
        <v>230612</v>
      </c>
    </row>
    <row r="16749" spans="1:15" x14ac:dyDescent="0.25">
      <c r="A16749" t="s">
        <v>16</v>
      </c>
      <c r="B16749" t="s">
        <v>3221</v>
      </c>
      <c r="C16749">
        <v>9311</v>
      </c>
      <c r="D16749" t="s">
        <v>3231</v>
      </c>
      <c r="E16749" t="s">
        <v>3232</v>
      </c>
      <c r="F16749">
        <v>39.729999999999997</v>
      </c>
      <c r="G16749">
        <v>230630</v>
      </c>
      <c r="H16749">
        <v>4520</v>
      </c>
      <c r="I16749" t="s">
        <v>254</v>
      </c>
      <c r="J16749">
        <v>45.29</v>
      </c>
      <c r="K16749">
        <v>5.56</v>
      </c>
      <c r="L16749">
        <v>17915</v>
      </c>
      <c r="M16749" t="s">
        <v>572</v>
      </c>
      <c r="N16749" t="str">
        <f>"19934337    "</f>
        <v xml:space="preserve">19934337    </v>
      </c>
      <c r="O16749">
        <v>230705</v>
      </c>
    </row>
    <row r="16750" spans="1:15" x14ac:dyDescent="0.25">
      <c r="A16750" t="s">
        <v>16</v>
      </c>
      <c r="B16750" t="s">
        <v>3221</v>
      </c>
      <c r="C16750">
        <v>9388</v>
      </c>
      <c r="D16750" t="s">
        <v>3231</v>
      </c>
      <c r="E16750" t="s">
        <v>3232</v>
      </c>
      <c r="F16750">
        <v>57.82</v>
      </c>
      <c r="G16750">
        <v>230630</v>
      </c>
      <c r="H16750">
        <v>4520</v>
      </c>
      <c r="I16750" t="s">
        <v>254</v>
      </c>
      <c r="J16750">
        <v>65.92</v>
      </c>
      <c r="K16750">
        <v>8.1</v>
      </c>
      <c r="L16750">
        <v>67522</v>
      </c>
      <c r="M16750" t="s">
        <v>397</v>
      </c>
      <c r="N16750" t="str">
        <f>"19934338    "</f>
        <v xml:space="preserve">19934338    </v>
      </c>
      <c r="O16750">
        <v>230710</v>
      </c>
    </row>
    <row r="16751" spans="1:15" x14ac:dyDescent="0.25">
      <c r="A16751" t="s">
        <v>16</v>
      </c>
      <c r="B16751" t="s">
        <v>3221</v>
      </c>
      <c r="C16751">
        <v>9388</v>
      </c>
      <c r="D16751" t="s">
        <v>3231</v>
      </c>
      <c r="E16751" t="s">
        <v>3232</v>
      </c>
      <c r="F16751">
        <v>4.21</v>
      </c>
      <c r="G16751">
        <v>230630</v>
      </c>
      <c r="H16751">
        <v>4520</v>
      </c>
      <c r="I16751" t="s">
        <v>254</v>
      </c>
      <c r="J16751">
        <v>4.8</v>
      </c>
      <c r="K16751">
        <v>0.59</v>
      </c>
      <c r="L16751">
        <v>69111</v>
      </c>
      <c r="M16751" t="s">
        <v>471</v>
      </c>
      <c r="N16751" t="str">
        <f>"19934338    "</f>
        <v xml:space="preserve">19934338    </v>
      </c>
      <c r="O16751">
        <v>230710</v>
      </c>
    </row>
    <row r="16752" spans="1:15" x14ac:dyDescent="0.25">
      <c r="A16752" t="s">
        <v>16</v>
      </c>
      <c r="B16752" t="s">
        <v>3221</v>
      </c>
      <c r="C16752">
        <v>9391</v>
      </c>
      <c r="D16752" t="s">
        <v>3231</v>
      </c>
      <c r="E16752" t="s">
        <v>3232</v>
      </c>
      <c r="F16752">
        <v>98.13</v>
      </c>
      <c r="G16752">
        <v>230630</v>
      </c>
      <c r="H16752">
        <v>4520</v>
      </c>
      <c r="I16752" t="s">
        <v>254</v>
      </c>
      <c r="J16752">
        <v>111.87</v>
      </c>
      <c r="K16752">
        <v>13.74</v>
      </c>
      <c r="L16752">
        <v>54451</v>
      </c>
      <c r="M16752" t="s">
        <v>158</v>
      </c>
      <c r="N16752" t="str">
        <f>"19938928    "</f>
        <v xml:space="preserve">19938928    </v>
      </c>
      <c r="O16752">
        <v>230710</v>
      </c>
    </row>
    <row r="16753" spans="1:15" x14ac:dyDescent="0.25">
      <c r="A16753" t="s">
        <v>16</v>
      </c>
      <c r="B16753" t="s">
        <v>3221</v>
      </c>
      <c r="C16753">
        <v>9398</v>
      </c>
      <c r="D16753" t="s">
        <v>3231</v>
      </c>
      <c r="E16753" t="s">
        <v>3232</v>
      </c>
      <c r="F16753">
        <v>59.84</v>
      </c>
      <c r="G16753">
        <v>230630</v>
      </c>
      <c r="H16753">
        <v>4520</v>
      </c>
      <c r="I16753" t="s">
        <v>254</v>
      </c>
      <c r="J16753">
        <v>68.22</v>
      </c>
      <c r="K16753">
        <v>8.3800000000000008</v>
      </c>
      <c r="L16753">
        <v>14432</v>
      </c>
      <c r="M16753" t="s">
        <v>862</v>
      </c>
      <c r="N16753" t="str">
        <f>"19934336    "</f>
        <v xml:space="preserve">19934336    </v>
      </c>
      <c r="O16753">
        <v>230710</v>
      </c>
    </row>
    <row r="16754" spans="1:15" x14ac:dyDescent="0.25">
      <c r="A16754" t="s">
        <v>16</v>
      </c>
      <c r="B16754" t="s">
        <v>3221</v>
      </c>
      <c r="C16754">
        <v>9761</v>
      </c>
      <c r="D16754" t="s">
        <v>3231</v>
      </c>
      <c r="E16754" t="s">
        <v>3232</v>
      </c>
      <c r="F16754">
        <v>28.18</v>
      </c>
      <c r="G16754">
        <v>230630</v>
      </c>
      <c r="H16754">
        <v>4520</v>
      </c>
      <c r="I16754" t="s">
        <v>254</v>
      </c>
      <c r="J16754">
        <v>34.94</v>
      </c>
      <c r="K16754">
        <v>6.76</v>
      </c>
      <c r="L16754">
        <v>17971</v>
      </c>
      <c r="M16754" t="s">
        <v>138</v>
      </c>
      <c r="N16754" t="str">
        <f>"19942863    "</f>
        <v xml:space="preserve">19942863    </v>
      </c>
      <c r="O16754">
        <v>230725</v>
      </c>
    </row>
    <row r="16755" spans="1:15" x14ac:dyDescent="0.25">
      <c r="A16755" t="s">
        <v>16</v>
      </c>
      <c r="B16755" t="s">
        <v>3221</v>
      </c>
      <c r="C16755">
        <v>9761</v>
      </c>
      <c r="D16755" t="s">
        <v>3231</v>
      </c>
      <c r="E16755" t="s">
        <v>3232</v>
      </c>
      <c r="F16755">
        <v>161.99</v>
      </c>
      <c r="G16755">
        <v>230630</v>
      </c>
      <c r="H16755">
        <v>4520</v>
      </c>
      <c r="I16755" t="s">
        <v>254</v>
      </c>
      <c r="J16755">
        <v>184.67</v>
      </c>
      <c r="K16755">
        <v>22.68</v>
      </c>
      <c r="L16755">
        <v>17971</v>
      </c>
      <c r="M16755" t="s">
        <v>138</v>
      </c>
      <c r="N16755" t="str">
        <f>"19942863    "</f>
        <v xml:space="preserve">19942863    </v>
      </c>
      <c r="O16755">
        <v>230725</v>
      </c>
    </row>
    <row r="16756" spans="1:15" x14ac:dyDescent="0.25">
      <c r="A16756" t="s">
        <v>16</v>
      </c>
      <c r="B16756" t="s">
        <v>3221</v>
      </c>
      <c r="C16756">
        <v>10049</v>
      </c>
      <c r="D16756" t="s">
        <v>3231</v>
      </c>
      <c r="E16756" t="s">
        <v>3232</v>
      </c>
      <c r="F16756">
        <v>13.12</v>
      </c>
      <c r="G16756">
        <v>230731</v>
      </c>
      <c r="H16756">
        <v>4520</v>
      </c>
      <c r="I16756" t="s">
        <v>254</v>
      </c>
      <c r="J16756">
        <v>14.96</v>
      </c>
      <c r="K16756">
        <v>1.84</v>
      </c>
      <c r="L16756">
        <v>49112</v>
      </c>
      <c r="M16756" t="s">
        <v>233</v>
      </c>
      <c r="N16756" t="str">
        <f>"19970262    "</f>
        <v xml:space="preserve">19970262    </v>
      </c>
      <c r="O16756">
        <v>230807</v>
      </c>
    </row>
    <row r="16757" spans="1:15" x14ac:dyDescent="0.25">
      <c r="A16757" t="s">
        <v>16</v>
      </c>
      <c r="B16757" t="s">
        <v>3221</v>
      </c>
      <c r="C16757">
        <v>10280</v>
      </c>
      <c r="D16757" t="s">
        <v>3231</v>
      </c>
      <c r="E16757" t="s">
        <v>3232</v>
      </c>
      <c r="F16757">
        <v>47.85</v>
      </c>
      <c r="G16757">
        <v>230731</v>
      </c>
      <c r="H16757">
        <v>4520</v>
      </c>
      <c r="I16757" t="s">
        <v>254</v>
      </c>
      <c r="J16757">
        <v>54.55</v>
      </c>
      <c r="K16757">
        <v>6.7</v>
      </c>
      <c r="L16757">
        <v>69111</v>
      </c>
      <c r="M16757" t="s">
        <v>471</v>
      </c>
      <c r="N16757" t="str">
        <f>"19970263    "</f>
        <v xml:space="preserve">19970263    </v>
      </c>
      <c r="O16757">
        <v>230814</v>
      </c>
    </row>
    <row r="16758" spans="1:15" x14ac:dyDescent="0.25">
      <c r="A16758" t="s">
        <v>16</v>
      </c>
      <c r="B16758" t="s">
        <v>3221</v>
      </c>
      <c r="C16758">
        <v>11408</v>
      </c>
      <c r="D16758" t="s">
        <v>3231</v>
      </c>
      <c r="E16758" t="s">
        <v>3232</v>
      </c>
      <c r="F16758">
        <v>4.46</v>
      </c>
      <c r="G16758">
        <v>230831</v>
      </c>
      <c r="H16758">
        <v>4520</v>
      </c>
      <c r="I16758" t="s">
        <v>254</v>
      </c>
      <c r="J16758">
        <v>5.53</v>
      </c>
      <c r="K16758">
        <v>1.07</v>
      </c>
      <c r="L16758">
        <v>14432</v>
      </c>
      <c r="M16758" t="s">
        <v>862</v>
      </c>
      <c r="N16758" t="str">
        <f>"20004364    "</f>
        <v xml:space="preserve">20004364    </v>
      </c>
      <c r="O16758">
        <v>230905</v>
      </c>
    </row>
    <row r="16759" spans="1:15" x14ac:dyDescent="0.25">
      <c r="A16759" t="s">
        <v>16</v>
      </c>
      <c r="B16759" t="s">
        <v>3221</v>
      </c>
      <c r="C16759">
        <v>11410</v>
      </c>
      <c r="D16759" t="s">
        <v>3231</v>
      </c>
      <c r="E16759" t="s">
        <v>3232</v>
      </c>
      <c r="F16759">
        <v>38.340000000000003</v>
      </c>
      <c r="G16759">
        <v>230831</v>
      </c>
      <c r="H16759">
        <v>4520</v>
      </c>
      <c r="I16759" t="s">
        <v>254</v>
      </c>
      <c r="J16759">
        <v>43.71</v>
      </c>
      <c r="K16759">
        <v>5.37</v>
      </c>
      <c r="L16759">
        <v>16431</v>
      </c>
      <c r="M16759" t="s">
        <v>231</v>
      </c>
      <c r="N16759" t="str">
        <f>"20004366    "</f>
        <v xml:space="preserve">20004366    </v>
      </c>
      <c r="O16759">
        <v>230905</v>
      </c>
    </row>
    <row r="16760" spans="1:15" x14ac:dyDescent="0.25">
      <c r="A16760" t="s">
        <v>16</v>
      </c>
      <c r="B16760" t="s">
        <v>3221</v>
      </c>
      <c r="C16760">
        <v>11410</v>
      </c>
      <c r="D16760" t="s">
        <v>3231</v>
      </c>
      <c r="E16760" t="s">
        <v>3232</v>
      </c>
      <c r="F16760">
        <v>4.3899999999999997</v>
      </c>
      <c r="G16760">
        <v>230831</v>
      </c>
      <c r="H16760">
        <v>4520</v>
      </c>
      <c r="I16760" t="s">
        <v>254</v>
      </c>
      <c r="J16760">
        <v>5</v>
      </c>
      <c r="K16760">
        <v>0.61</v>
      </c>
      <c r="L16760">
        <v>17913</v>
      </c>
      <c r="M16760" t="s">
        <v>431</v>
      </c>
      <c r="N16760" t="str">
        <f>"20004366    "</f>
        <v xml:space="preserve">20004366    </v>
      </c>
      <c r="O16760">
        <v>230905</v>
      </c>
    </row>
    <row r="16761" spans="1:15" x14ac:dyDescent="0.25">
      <c r="A16761" t="s">
        <v>16</v>
      </c>
      <c r="B16761" t="s">
        <v>3221</v>
      </c>
      <c r="C16761">
        <v>11518</v>
      </c>
      <c r="D16761" t="s">
        <v>3231</v>
      </c>
      <c r="E16761" t="s">
        <v>3232</v>
      </c>
      <c r="F16761">
        <v>16.48</v>
      </c>
      <c r="G16761">
        <v>230831</v>
      </c>
      <c r="H16761">
        <v>4520</v>
      </c>
      <c r="I16761" t="s">
        <v>254</v>
      </c>
      <c r="J16761">
        <v>18.79</v>
      </c>
      <c r="K16761">
        <v>2.31</v>
      </c>
      <c r="L16761">
        <v>17131</v>
      </c>
      <c r="M16761" t="s">
        <v>64</v>
      </c>
      <c r="N16761" t="str">
        <f>"20004367    "</f>
        <v xml:space="preserve">20004367    </v>
      </c>
      <c r="O16761">
        <v>230907</v>
      </c>
    </row>
    <row r="16762" spans="1:15" x14ac:dyDescent="0.25">
      <c r="A16762" t="s">
        <v>16</v>
      </c>
      <c r="B16762" t="s">
        <v>3221</v>
      </c>
      <c r="C16762">
        <v>11518</v>
      </c>
      <c r="D16762" t="s">
        <v>3231</v>
      </c>
      <c r="E16762" t="s">
        <v>3232</v>
      </c>
      <c r="F16762">
        <v>28.63</v>
      </c>
      <c r="G16762">
        <v>230831</v>
      </c>
      <c r="H16762">
        <v>4520</v>
      </c>
      <c r="I16762" t="s">
        <v>254</v>
      </c>
      <c r="J16762">
        <v>32.64</v>
      </c>
      <c r="K16762">
        <v>4.01</v>
      </c>
      <c r="L16762">
        <v>17131</v>
      </c>
      <c r="M16762" t="s">
        <v>64</v>
      </c>
      <c r="N16762" t="str">
        <f>"20004367    "</f>
        <v xml:space="preserve">20004367    </v>
      </c>
      <c r="O16762">
        <v>230907</v>
      </c>
    </row>
    <row r="16763" spans="1:15" x14ac:dyDescent="0.25">
      <c r="A16763" t="s">
        <v>16</v>
      </c>
      <c r="B16763" t="s">
        <v>3221</v>
      </c>
      <c r="C16763">
        <v>11518</v>
      </c>
      <c r="D16763" t="s">
        <v>3231</v>
      </c>
      <c r="E16763" t="s">
        <v>3232</v>
      </c>
      <c r="F16763">
        <v>55.86</v>
      </c>
      <c r="G16763">
        <v>230831</v>
      </c>
      <c r="H16763">
        <v>4520</v>
      </c>
      <c r="I16763" t="s">
        <v>254</v>
      </c>
      <c r="J16763">
        <v>63.68</v>
      </c>
      <c r="K16763">
        <v>7.82</v>
      </c>
      <c r="L16763">
        <v>17131</v>
      </c>
      <c r="M16763" t="s">
        <v>64</v>
      </c>
      <c r="N16763" t="str">
        <f>"20004367    "</f>
        <v xml:space="preserve">20004367    </v>
      </c>
      <c r="O16763">
        <v>230907</v>
      </c>
    </row>
    <row r="16764" spans="1:15" x14ac:dyDescent="0.25">
      <c r="A16764" t="s">
        <v>16</v>
      </c>
      <c r="B16764" t="s">
        <v>3221</v>
      </c>
      <c r="C16764">
        <v>11518</v>
      </c>
      <c r="D16764" t="s">
        <v>3231</v>
      </c>
      <c r="E16764" t="s">
        <v>3232</v>
      </c>
      <c r="F16764">
        <v>44.63</v>
      </c>
      <c r="G16764">
        <v>230831</v>
      </c>
      <c r="H16764">
        <v>4520</v>
      </c>
      <c r="I16764" t="s">
        <v>254</v>
      </c>
      <c r="J16764">
        <v>50.88</v>
      </c>
      <c r="K16764">
        <v>6.25</v>
      </c>
      <c r="L16764">
        <v>17912</v>
      </c>
      <c r="M16764" t="s">
        <v>419</v>
      </c>
      <c r="N16764" t="str">
        <f>"20004367    "</f>
        <v xml:space="preserve">20004367    </v>
      </c>
      <c r="O16764">
        <v>230907</v>
      </c>
    </row>
    <row r="16765" spans="1:15" x14ac:dyDescent="0.25">
      <c r="A16765" t="s">
        <v>16</v>
      </c>
      <c r="B16765" t="s">
        <v>3221</v>
      </c>
      <c r="C16765">
        <v>11518</v>
      </c>
      <c r="D16765" t="s">
        <v>3231</v>
      </c>
      <c r="E16765" t="s">
        <v>3232</v>
      </c>
      <c r="F16765">
        <v>54.54</v>
      </c>
      <c r="G16765">
        <v>230831</v>
      </c>
      <c r="H16765">
        <v>4520</v>
      </c>
      <c r="I16765" t="s">
        <v>254</v>
      </c>
      <c r="J16765">
        <v>62.18</v>
      </c>
      <c r="K16765">
        <v>7.64</v>
      </c>
      <c r="L16765">
        <v>17912</v>
      </c>
      <c r="M16765" t="s">
        <v>419</v>
      </c>
      <c r="N16765" t="str">
        <f>"20004367    "</f>
        <v xml:space="preserve">20004367    </v>
      </c>
      <c r="O16765">
        <v>230907</v>
      </c>
    </row>
    <row r="16766" spans="1:15" x14ac:dyDescent="0.25">
      <c r="A16766" t="s">
        <v>16</v>
      </c>
      <c r="B16766" t="s">
        <v>3221</v>
      </c>
      <c r="C16766">
        <v>11752</v>
      </c>
      <c r="D16766" t="s">
        <v>3231</v>
      </c>
      <c r="E16766" t="s">
        <v>3232</v>
      </c>
      <c r="F16766">
        <v>142.07</v>
      </c>
      <c r="G16766">
        <v>230831</v>
      </c>
      <c r="H16766">
        <v>4520</v>
      </c>
      <c r="I16766" t="s">
        <v>254</v>
      </c>
      <c r="J16766">
        <v>161.96</v>
      </c>
      <c r="K16766">
        <v>19.89</v>
      </c>
      <c r="L16766">
        <v>59111</v>
      </c>
      <c r="M16766" t="s">
        <v>1010</v>
      </c>
      <c r="N16766" t="str">
        <f>"20009044    "</f>
        <v xml:space="preserve">20009044    </v>
      </c>
      <c r="O16766">
        <v>230908</v>
      </c>
    </row>
    <row r="16767" spans="1:15" x14ac:dyDescent="0.25">
      <c r="A16767" t="s">
        <v>16</v>
      </c>
      <c r="B16767" t="s">
        <v>3221</v>
      </c>
      <c r="C16767">
        <v>11785</v>
      </c>
      <c r="D16767" t="s">
        <v>3231</v>
      </c>
      <c r="E16767" t="s">
        <v>3232</v>
      </c>
      <c r="F16767">
        <v>92.53</v>
      </c>
      <c r="G16767">
        <v>230831</v>
      </c>
      <c r="H16767">
        <v>4520</v>
      </c>
      <c r="I16767" t="s">
        <v>254</v>
      </c>
      <c r="J16767">
        <v>105.48</v>
      </c>
      <c r="K16767">
        <v>12.95</v>
      </c>
      <c r="L16767">
        <v>67522</v>
      </c>
      <c r="M16767" t="s">
        <v>397</v>
      </c>
      <c r="N16767" t="str">
        <f>"20004368    "</f>
        <v xml:space="preserve">20004368    </v>
      </c>
      <c r="O16767">
        <v>230911</v>
      </c>
    </row>
    <row r="16768" spans="1:15" x14ac:dyDescent="0.25">
      <c r="A16768" t="s">
        <v>16</v>
      </c>
      <c r="B16768" t="s">
        <v>3221</v>
      </c>
      <c r="C16768">
        <v>11788</v>
      </c>
      <c r="D16768" t="s">
        <v>3231</v>
      </c>
      <c r="E16768" t="s">
        <v>3232</v>
      </c>
      <c r="F16768">
        <v>135.44</v>
      </c>
      <c r="G16768">
        <v>230831</v>
      </c>
      <c r="H16768">
        <v>4520</v>
      </c>
      <c r="I16768" t="s">
        <v>254</v>
      </c>
      <c r="J16768">
        <v>154.4</v>
      </c>
      <c r="K16768">
        <v>18.96</v>
      </c>
      <c r="L16768">
        <v>49112</v>
      </c>
      <c r="M16768" t="s">
        <v>233</v>
      </c>
      <c r="N16768" t="str">
        <f>"20004362    "</f>
        <v xml:space="preserve">20004362    </v>
      </c>
      <c r="O16768">
        <v>230911</v>
      </c>
    </row>
    <row r="16769" spans="1:15" x14ac:dyDescent="0.25">
      <c r="A16769" t="s">
        <v>16</v>
      </c>
      <c r="B16769" t="s">
        <v>3221</v>
      </c>
      <c r="C16769">
        <v>11812</v>
      </c>
      <c r="D16769" t="s">
        <v>3231</v>
      </c>
      <c r="E16769" t="s">
        <v>3232</v>
      </c>
      <c r="F16769">
        <v>104.11</v>
      </c>
      <c r="G16769">
        <v>230831</v>
      </c>
      <c r="H16769">
        <v>4520</v>
      </c>
      <c r="I16769" t="s">
        <v>254</v>
      </c>
      <c r="J16769">
        <v>118.68</v>
      </c>
      <c r="K16769">
        <v>14.57</v>
      </c>
      <c r="L16769">
        <v>54422</v>
      </c>
      <c r="M16769" t="s">
        <v>234</v>
      </c>
      <c r="N16769" t="str">
        <f>"20009045    "</f>
        <v xml:space="preserve">20009045    </v>
      </c>
      <c r="O16769">
        <v>230911</v>
      </c>
    </row>
    <row r="16770" spans="1:15" x14ac:dyDescent="0.25">
      <c r="A16770" t="s">
        <v>16</v>
      </c>
      <c r="B16770" t="s">
        <v>3221</v>
      </c>
      <c r="C16770">
        <v>11941</v>
      </c>
      <c r="D16770" t="s">
        <v>3231</v>
      </c>
      <c r="E16770" t="s">
        <v>3232</v>
      </c>
      <c r="F16770">
        <v>124.32</v>
      </c>
      <c r="G16770">
        <v>230831</v>
      </c>
      <c r="H16770">
        <v>4520</v>
      </c>
      <c r="I16770" t="s">
        <v>254</v>
      </c>
      <c r="J16770">
        <v>141.72999999999999</v>
      </c>
      <c r="K16770">
        <v>17.41</v>
      </c>
      <c r="L16770">
        <v>44253</v>
      </c>
      <c r="M16770" t="s">
        <v>1058</v>
      </c>
      <c r="N16770" t="str">
        <f>"20008901    "</f>
        <v xml:space="preserve">20008901    </v>
      </c>
      <c r="O16770">
        <v>230912</v>
      </c>
    </row>
    <row r="16771" spans="1:15" x14ac:dyDescent="0.25">
      <c r="A16771" t="s">
        <v>16</v>
      </c>
      <c r="B16771" t="s">
        <v>3221</v>
      </c>
      <c r="C16771">
        <v>11942</v>
      </c>
      <c r="D16771" t="s">
        <v>3231</v>
      </c>
      <c r="E16771" t="s">
        <v>3232</v>
      </c>
      <c r="F16771">
        <v>18.440000000000001</v>
      </c>
      <c r="G16771">
        <v>230831</v>
      </c>
      <c r="H16771">
        <v>4520</v>
      </c>
      <c r="I16771" t="s">
        <v>254</v>
      </c>
      <c r="J16771">
        <v>21.02</v>
      </c>
      <c r="K16771">
        <v>2.58</v>
      </c>
      <c r="L16771">
        <v>44251</v>
      </c>
      <c r="M16771" t="s">
        <v>156</v>
      </c>
      <c r="N16771" t="str">
        <f>"20004361    "</f>
        <v xml:space="preserve">20004361    </v>
      </c>
      <c r="O16771">
        <v>230912</v>
      </c>
    </row>
    <row r="16772" spans="1:15" x14ac:dyDescent="0.25">
      <c r="A16772" t="s">
        <v>16</v>
      </c>
      <c r="B16772" t="s">
        <v>3221</v>
      </c>
      <c r="C16772">
        <v>11980</v>
      </c>
      <c r="D16772" t="s">
        <v>3231</v>
      </c>
      <c r="E16772" t="s">
        <v>3232</v>
      </c>
      <c r="F16772">
        <v>25.65</v>
      </c>
      <c r="G16772">
        <v>230831</v>
      </c>
      <c r="H16772">
        <v>4520</v>
      </c>
      <c r="I16772" t="s">
        <v>254</v>
      </c>
      <c r="J16772">
        <v>31.81</v>
      </c>
      <c r="K16772">
        <v>6.16</v>
      </c>
      <c r="L16772">
        <v>13561</v>
      </c>
      <c r="M16772" t="s">
        <v>246</v>
      </c>
      <c r="N16772" t="str">
        <f>"20012954    "</f>
        <v xml:space="preserve">20012954    </v>
      </c>
      <c r="O16772">
        <v>230912</v>
      </c>
    </row>
    <row r="16773" spans="1:15" x14ac:dyDescent="0.25">
      <c r="A16773" t="s">
        <v>16</v>
      </c>
      <c r="B16773" t="s">
        <v>3221</v>
      </c>
      <c r="C16773">
        <v>11980</v>
      </c>
      <c r="D16773" t="s">
        <v>3231</v>
      </c>
      <c r="E16773" t="s">
        <v>3232</v>
      </c>
      <c r="F16773">
        <v>91.47</v>
      </c>
      <c r="G16773">
        <v>230831</v>
      </c>
      <c r="H16773">
        <v>4520</v>
      </c>
      <c r="I16773" t="s">
        <v>254</v>
      </c>
      <c r="J16773">
        <v>104.28</v>
      </c>
      <c r="K16773">
        <v>12.81</v>
      </c>
      <c r="L16773">
        <v>13561</v>
      </c>
      <c r="M16773" t="s">
        <v>246</v>
      </c>
      <c r="N16773" t="str">
        <f>"20012954    "</f>
        <v xml:space="preserve">20012954    </v>
      </c>
      <c r="O16773">
        <v>230912</v>
      </c>
    </row>
    <row r="16774" spans="1:15" x14ac:dyDescent="0.25">
      <c r="A16774" t="s">
        <v>16</v>
      </c>
      <c r="B16774" t="s">
        <v>3221</v>
      </c>
      <c r="C16774">
        <v>11980</v>
      </c>
      <c r="D16774" t="s">
        <v>3231</v>
      </c>
      <c r="E16774" t="s">
        <v>3232</v>
      </c>
      <c r="F16774">
        <v>51.31</v>
      </c>
      <c r="G16774">
        <v>230831</v>
      </c>
      <c r="H16774">
        <v>4520</v>
      </c>
      <c r="I16774" t="s">
        <v>254</v>
      </c>
      <c r="J16774">
        <v>63.63</v>
      </c>
      <c r="K16774">
        <v>12.32</v>
      </c>
      <c r="L16774">
        <v>17972</v>
      </c>
      <c r="M16774" t="s">
        <v>248</v>
      </c>
      <c r="N16774" t="str">
        <f>"20012954    "</f>
        <v xml:space="preserve">20012954    </v>
      </c>
      <c r="O16774">
        <v>230912</v>
      </c>
    </row>
    <row r="16775" spans="1:15" x14ac:dyDescent="0.25">
      <c r="A16775" t="s">
        <v>16</v>
      </c>
      <c r="B16775" t="s">
        <v>3221</v>
      </c>
      <c r="C16775">
        <v>11980</v>
      </c>
      <c r="D16775" t="s">
        <v>3231</v>
      </c>
      <c r="E16775" t="s">
        <v>3232</v>
      </c>
      <c r="F16775">
        <v>108.48</v>
      </c>
      <c r="G16775">
        <v>230831</v>
      </c>
      <c r="H16775">
        <v>4520</v>
      </c>
      <c r="I16775" t="s">
        <v>254</v>
      </c>
      <c r="J16775">
        <v>123.67</v>
      </c>
      <c r="K16775">
        <v>15.19</v>
      </c>
      <c r="L16775">
        <v>17972</v>
      </c>
      <c r="M16775" t="s">
        <v>248</v>
      </c>
      <c r="N16775" t="str">
        <f>"20012954    "</f>
        <v xml:space="preserve">20012954    </v>
      </c>
      <c r="O16775">
        <v>230912</v>
      </c>
    </row>
    <row r="16776" spans="1:15" x14ac:dyDescent="0.25">
      <c r="A16776" t="s">
        <v>16</v>
      </c>
      <c r="B16776" t="s">
        <v>3221</v>
      </c>
      <c r="C16776">
        <v>12044</v>
      </c>
      <c r="D16776" t="s">
        <v>3231</v>
      </c>
      <c r="E16776" t="s">
        <v>3232</v>
      </c>
      <c r="F16776">
        <v>0.19</v>
      </c>
      <c r="G16776">
        <v>230831</v>
      </c>
      <c r="H16776">
        <v>4520</v>
      </c>
      <c r="I16776" t="s">
        <v>254</v>
      </c>
      <c r="J16776">
        <v>0.24</v>
      </c>
      <c r="K16776">
        <v>0.05</v>
      </c>
      <c r="L16776">
        <v>14422</v>
      </c>
      <c r="M16776" t="s">
        <v>228</v>
      </c>
      <c r="N16776" t="str">
        <f>"20004363    "</f>
        <v xml:space="preserve">20004363    </v>
      </c>
      <c r="O16776">
        <v>230913</v>
      </c>
    </row>
    <row r="16777" spans="1:15" x14ac:dyDescent="0.25">
      <c r="A16777" t="s">
        <v>16</v>
      </c>
      <c r="B16777" t="s">
        <v>3221</v>
      </c>
      <c r="C16777">
        <v>12044</v>
      </c>
      <c r="D16777" t="s">
        <v>3231</v>
      </c>
      <c r="E16777" t="s">
        <v>3232</v>
      </c>
      <c r="F16777">
        <v>22.32</v>
      </c>
      <c r="G16777">
        <v>230831</v>
      </c>
      <c r="H16777">
        <v>4520</v>
      </c>
      <c r="I16777" t="s">
        <v>254</v>
      </c>
      <c r="J16777">
        <v>25.44</v>
      </c>
      <c r="K16777">
        <v>3.12</v>
      </c>
      <c r="L16777">
        <v>14422</v>
      </c>
      <c r="M16777" t="s">
        <v>228</v>
      </c>
      <c r="N16777" t="str">
        <f>"20004363    "</f>
        <v xml:space="preserve">20004363    </v>
      </c>
      <c r="O16777">
        <v>230913</v>
      </c>
    </row>
    <row r="16778" spans="1:15" x14ac:dyDescent="0.25">
      <c r="A16778" t="s">
        <v>16</v>
      </c>
      <c r="B16778" t="s">
        <v>3221</v>
      </c>
      <c r="C16778">
        <v>12044</v>
      </c>
      <c r="D16778" t="s">
        <v>3231</v>
      </c>
      <c r="E16778" t="s">
        <v>3232</v>
      </c>
      <c r="F16778">
        <v>57.98</v>
      </c>
      <c r="G16778">
        <v>230831</v>
      </c>
      <c r="H16778">
        <v>4520</v>
      </c>
      <c r="I16778" t="s">
        <v>254</v>
      </c>
      <c r="J16778">
        <v>66.099999999999994</v>
      </c>
      <c r="K16778">
        <v>8.1199999999999992</v>
      </c>
      <c r="L16778">
        <v>14422</v>
      </c>
      <c r="M16778" t="s">
        <v>228</v>
      </c>
      <c r="N16778" t="str">
        <f>"20004363    "</f>
        <v xml:space="preserve">20004363    </v>
      </c>
      <c r="O16778">
        <v>230913</v>
      </c>
    </row>
    <row r="16779" spans="1:15" x14ac:dyDescent="0.25">
      <c r="A16779" t="s">
        <v>16</v>
      </c>
      <c r="B16779" t="s">
        <v>3221</v>
      </c>
      <c r="C16779">
        <v>12044</v>
      </c>
      <c r="D16779" t="s">
        <v>3231</v>
      </c>
      <c r="E16779" t="s">
        <v>3232</v>
      </c>
      <c r="F16779">
        <v>8.91</v>
      </c>
      <c r="G16779">
        <v>230831</v>
      </c>
      <c r="H16779">
        <v>4520</v>
      </c>
      <c r="I16779" t="s">
        <v>254</v>
      </c>
      <c r="J16779">
        <v>11.05</v>
      </c>
      <c r="K16779">
        <v>2.14</v>
      </c>
      <c r="L16779">
        <v>14541</v>
      </c>
      <c r="M16779" t="s">
        <v>626</v>
      </c>
      <c r="N16779" t="str">
        <f>"20004363    "</f>
        <v xml:space="preserve">20004363    </v>
      </c>
      <c r="O16779">
        <v>230913</v>
      </c>
    </row>
    <row r="16780" spans="1:15" x14ac:dyDescent="0.25">
      <c r="A16780" t="s">
        <v>16</v>
      </c>
      <c r="B16780" t="s">
        <v>3221</v>
      </c>
      <c r="C16780">
        <v>12044</v>
      </c>
      <c r="D16780" t="s">
        <v>3231</v>
      </c>
      <c r="E16780" t="s">
        <v>3232</v>
      </c>
      <c r="F16780">
        <v>106.28</v>
      </c>
      <c r="G16780">
        <v>230831</v>
      </c>
      <c r="H16780">
        <v>4520</v>
      </c>
      <c r="I16780" t="s">
        <v>254</v>
      </c>
      <c r="J16780">
        <v>121.16</v>
      </c>
      <c r="K16780">
        <v>14.88</v>
      </c>
      <c r="L16780">
        <v>14541</v>
      </c>
      <c r="M16780" t="s">
        <v>626</v>
      </c>
      <c r="N16780" t="str">
        <f>"20004363    "</f>
        <v xml:space="preserve">20004363    </v>
      </c>
      <c r="O16780">
        <v>230913</v>
      </c>
    </row>
    <row r="16781" spans="1:15" x14ac:dyDescent="0.25">
      <c r="A16781" t="s">
        <v>16</v>
      </c>
      <c r="B16781" t="s">
        <v>3221</v>
      </c>
      <c r="C16781">
        <v>12236</v>
      </c>
      <c r="D16781" t="s">
        <v>3231</v>
      </c>
      <c r="E16781" t="s">
        <v>3232</v>
      </c>
      <c r="F16781">
        <v>130.87</v>
      </c>
      <c r="G16781">
        <v>230831</v>
      </c>
      <c r="H16781">
        <v>4520</v>
      </c>
      <c r="I16781" t="s">
        <v>254</v>
      </c>
      <c r="J16781">
        <v>149.19</v>
      </c>
      <c r="K16781">
        <v>18.32</v>
      </c>
      <c r="L16781">
        <v>69112</v>
      </c>
      <c r="M16781" t="s">
        <v>313</v>
      </c>
      <c r="N16781" t="str">
        <f>"20023880    "</f>
        <v xml:space="preserve">20023880    </v>
      </c>
      <c r="O16781">
        <v>230918</v>
      </c>
    </row>
    <row r="16782" spans="1:15" x14ac:dyDescent="0.25">
      <c r="A16782" t="s">
        <v>16</v>
      </c>
      <c r="B16782" t="s">
        <v>3221</v>
      </c>
      <c r="C16782">
        <v>12236</v>
      </c>
      <c r="D16782" t="s">
        <v>3231</v>
      </c>
      <c r="E16782" t="s">
        <v>3232</v>
      </c>
      <c r="F16782">
        <v>7.27</v>
      </c>
      <c r="G16782">
        <v>230831</v>
      </c>
      <c r="H16782">
        <v>4520</v>
      </c>
      <c r="I16782" t="s">
        <v>254</v>
      </c>
      <c r="J16782">
        <v>8.2899999999999991</v>
      </c>
      <c r="K16782">
        <v>1.02</v>
      </c>
      <c r="L16782">
        <v>69810</v>
      </c>
      <c r="M16782" t="s">
        <v>314</v>
      </c>
      <c r="N16782" t="str">
        <f>"20023880    "</f>
        <v xml:space="preserve">20023880    </v>
      </c>
      <c r="O16782">
        <v>230918</v>
      </c>
    </row>
    <row r="16783" spans="1:15" x14ac:dyDescent="0.25">
      <c r="A16783" t="s">
        <v>16</v>
      </c>
      <c r="B16783" t="s">
        <v>3221</v>
      </c>
      <c r="C16783">
        <v>12236</v>
      </c>
      <c r="D16783" t="s">
        <v>3231</v>
      </c>
      <c r="E16783" t="s">
        <v>3232</v>
      </c>
      <c r="F16783">
        <v>7.27</v>
      </c>
      <c r="G16783">
        <v>230831</v>
      </c>
      <c r="H16783">
        <v>4520</v>
      </c>
      <c r="I16783" t="s">
        <v>254</v>
      </c>
      <c r="J16783">
        <v>8.2899999999999991</v>
      </c>
      <c r="K16783">
        <v>1.02</v>
      </c>
      <c r="L16783">
        <v>69811</v>
      </c>
      <c r="M16783" t="s">
        <v>315</v>
      </c>
      <c r="N16783" t="str">
        <f>"20023880    "</f>
        <v xml:space="preserve">20023880    </v>
      </c>
      <c r="O16783">
        <v>230918</v>
      </c>
    </row>
    <row r="16784" spans="1:15" x14ac:dyDescent="0.25">
      <c r="A16784" t="s">
        <v>16</v>
      </c>
      <c r="B16784" t="s">
        <v>3221</v>
      </c>
      <c r="C16784">
        <v>13255</v>
      </c>
      <c r="D16784" t="s">
        <v>3231</v>
      </c>
      <c r="E16784" t="s">
        <v>3232</v>
      </c>
      <c r="F16784">
        <v>11.91</v>
      </c>
      <c r="G16784">
        <v>230930</v>
      </c>
      <c r="H16784">
        <v>4520</v>
      </c>
      <c r="I16784" t="s">
        <v>254</v>
      </c>
      <c r="J16784">
        <v>13.58</v>
      </c>
      <c r="K16784">
        <v>1.67</v>
      </c>
      <c r="L16784">
        <v>13801</v>
      </c>
      <c r="M16784" t="s">
        <v>162</v>
      </c>
      <c r="N16784" t="str">
        <f>"20061031    "</f>
        <v xml:space="preserve">20061031    </v>
      </c>
      <c r="O16784">
        <v>231006</v>
      </c>
    </row>
    <row r="16785" spans="1:15" x14ac:dyDescent="0.25">
      <c r="A16785" t="s">
        <v>16</v>
      </c>
      <c r="B16785" t="s">
        <v>3221</v>
      </c>
      <c r="C16785">
        <v>13256</v>
      </c>
      <c r="D16785" t="s">
        <v>3231</v>
      </c>
      <c r="E16785" t="s">
        <v>3232</v>
      </c>
      <c r="F16785">
        <v>9.08</v>
      </c>
      <c r="G16785">
        <v>230930</v>
      </c>
      <c r="H16785">
        <v>4520</v>
      </c>
      <c r="I16785" t="s">
        <v>254</v>
      </c>
      <c r="J16785">
        <v>11.26</v>
      </c>
      <c r="K16785">
        <v>2.1800000000000002</v>
      </c>
      <c r="L16785">
        <v>54451</v>
      </c>
      <c r="M16785" t="s">
        <v>158</v>
      </c>
      <c r="N16785" t="str">
        <f>"20047043    "</f>
        <v xml:space="preserve">20047043    </v>
      </c>
      <c r="O16785">
        <v>231006</v>
      </c>
    </row>
    <row r="16786" spans="1:15" x14ac:dyDescent="0.25">
      <c r="A16786" t="s">
        <v>16</v>
      </c>
      <c r="B16786" t="s">
        <v>3221</v>
      </c>
      <c r="C16786">
        <v>13256</v>
      </c>
      <c r="D16786" t="s">
        <v>3231</v>
      </c>
      <c r="E16786" t="s">
        <v>3232</v>
      </c>
      <c r="F16786">
        <v>39.04</v>
      </c>
      <c r="G16786">
        <v>230930</v>
      </c>
      <c r="H16786">
        <v>4520</v>
      </c>
      <c r="I16786" t="s">
        <v>254</v>
      </c>
      <c r="J16786">
        <v>44.51</v>
      </c>
      <c r="K16786">
        <v>5.47</v>
      </c>
      <c r="L16786">
        <v>54451</v>
      </c>
      <c r="M16786" t="s">
        <v>158</v>
      </c>
      <c r="N16786" t="str">
        <f>"20047043    "</f>
        <v xml:space="preserve">20047043    </v>
      </c>
      <c r="O16786">
        <v>231006</v>
      </c>
    </row>
    <row r="16787" spans="1:15" x14ac:dyDescent="0.25">
      <c r="A16787" t="s">
        <v>16</v>
      </c>
      <c r="B16787" t="s">
        <v>3221</v>
      </c>
      <c r="C16787">
        <v>13286</v>
      </c>
      <c r="D16787" t="s">
        <v>3231</v>
      </c>
      <c r="E16787" t="s">
        <v>3232</v>
      </c>
      <c r="F16787">
        <v>18.75</v>
      </c>
      <c r="G16787">
        <v>230930</v>
      </c>
      <c r="H16787">
        <v>4520</v>
      </c>
      <c r="I16787" t="s">
        <v>254</v>
      </c>
      <c r="J16787">
        <v>21.38</v>
      </c>
      <c r="K16787">
        <v>2.63</v>
      </c>
      <c r="L16787">
        <v>17131</v>
      </c>
      <c r="M16787" t="s">
        <v>64</v>
      </c>
      <c r="N16787" t="str">
        <f>"20042439    "</f>
        <v xml:space="preserve">20042439    </v>
      </c>
      <c r="O16787">
        <v>231009</v>
      </c>
    </row>
    <row r="16788" spans="1:15" x14ac:dyDescent="0.25">
      <c r="A16788" t="s">
        <v>16</v>
      </c>
      <c r="B16788" t="s">
        <v>3221</v>
      </c>
      <c r="C16788">
        <v>13286</v>
      </c>
      <c r="D16788" t="s">
        <v>3231</v>
      </c>
      <c r="E16788" t="s">
        <v>3232</v>
      </c>
      <c r="F16788">
        <v>34.82</v>
      </c>
      <c r="G16788">
        <v>230930</v>
      </c>
      <c r="H16788">
        <v>4520</v>
      </c>
      <c r="I16788" t="s">
        <v>254</v>
      </c>
      <c r="J16788">
        <v>39.700000000000003</v>
      </c>
      <c r="K16788">
        <v>4.88</v>
      </c>
      <c r="L16788">
        <v>17131</v>
      </c>
      <c r="M16788" t="s">
        <v>64</v>
      </c>
      <c r="N16788" t="str">
        <f>"20042439    "</f>
        <v xml:space="preserve">20042439    </v>
      </c>
      <c r="O16788">
        <v>231009</v>
      </c>
    </row>
    <row r="16789" spans="1:15" x14ac:dyDescent="0.25">
      <c r="A16789" t="s">
        <v>16</v>
      </c>
      <c r="B16789" t="s">
        <v>3221</v>
      </c>
      <c r="C16789">
        <v>13286</v>
      </c>
      <c r="D16789" t="s">
        <v>3231</v>
      </c>
      <c r="E16789" t="s">
        <v>3232</v>
      </c>
      <c r="F16789">
        <v>40.15</v>
      </c>
      <c r="G16789">
        <v>230930</v>
      </c>
      <c r="H16789">
        <v>4520</v>
      </c>
      <c r="I16789" t="s">
        <v>254</v>
      </c>
      <c r="J16789">
        <v>45.77</v>
      </c>
      <c r="K16789">
        <v>5.62</v>
      </c>
      <c r="L16789">
        <v>17131</v>
      </c>
      <c r="M16789" t="s">
        <v>64</v>
      </c>
      <c r="N16789" t="str">
        <f>"20042439    "</f>
        <v xml:space="preserve">20042439    </v>
      </c>
      <c r="O16789">
        <v>231009</v>
      </c>
    </row>
    <row r="16790" spans="1:15" x14ac:dyDescent="0.25">
      <c r="A16790" t="s">
        <v>16</v>
      </c>
      <c r="B16790" t="s">
        <v>3221</v>
      </c>
      <c r="C16790">
        <v>13286</v>
      </c>
      <c r="D16790" t="s">
        <v>3231</v>
      </c>
      <c r="E16790" t="s">
        <v>3232</v>
      </c>
      <c r="F16790">
        <v>49.18</v>
      </c>
      <c r="G16790">
        <v>230930</v>
      </c>
      <c r="H16790">
        <v>4520</v>
      </c>
      <c r="I16790" t="s">
        <v>254</v>
      </c>
      <c r="J16790">
        <v>56.07</v>
      </c>
      <c r="K16790">
        <v>6.89</v>
      </c>
      <c r="L16790">
        <v>17131</v>
      </c>
      <c r="M16790" t="s">
        <v>64</v>
      </c>
      <c r="N16790" t="str">
        <f>"20042439    "</f>
        <v xml:space="preserve">20042439    </v>
      </c>
      <c r="O16790">
        <v>231009</v>
      </c>
    </row>
    <row r="16791" spans="1:15" x14ac:dyDescent="0.25">
      <c r="A16791" t="s">
        <v>16</v>
      </c>
      <c r="B16791" t="s">
        <v>3221</v>
      </c>
      <c r="C16791">
        <v>13291</v>
      </c>
      <c r="D16791" t="s">
        <v>3231</v>
      </c>
      <c r="E16791" t="s">
        <v>3232</v>
      </c>
      <c r="F16791">
        <v>27.77</v>
      </c>
      <c r="G16791">
        <v>230930</v>
      </c>
      <c r="H16791">
        <v>4520</v>
      </c>
      <c r="I16791" t="s">
        <v>254</v>
      </c>
      <c r="J16791">
        <v>34.44</v>
      </c>
      <c r="K16791">
        <v>6.67</v>
      </c>
      <c r="L16791">
        <v>14432</v>
      </c>
      <c r="M16791" t="s">
        <v>862</v>
      </c>
      <c r="N16791" t="str">
        <f>"20042436    "</f>
        <v xml:space="preserve">20042436    </v>
      </c>
      <c r="O16791">
        <v>231009</v>
      </c>
    </row>
    <row r="16792" spans="1:15" x14ac:dyDescent="0.25">
      <c r="A16792" t="s">
        <v>16</v>
      </c>
      <c r="B16792" t="s">
        <v>3221</v>
      </c>
      <c r="C16792">
        <v>13303</v>
      </c>
      <c r="D16792" t="s">
        <v>3231</v>
      </c>
      <c r="E16792" t="s">
        <v>3232</v>
      </c>
      <c r="F16792">
        <v>149.4</v>
      </c>
      <c r="G16792">
        <v>230930</v>
      </c>
      <c r="H16792">
        <v>4520</v>
      </c>
      <c r="I16792" t="s">
        <v>254</v>
      </c>
      <c r="J16792">
        <v>170.32</v>
      </c>
      <c r="K16792">
        <v>20.92</v>
      </c>
      <c r="L16792">
        <v>16431</v>
      </c>
      <c r="M16792" t="s">
        <v>231</v>
      </c>
      <c r="N16792" t="str">
        <f>"20042438    "</f>
        <v xml:space="preserve">20042438    </v>
      </c>
      <c r="O16792">
        <v>231009</v>
      </c>
    </row>
    <row r="16793" spans="1:15" x14ac:dyDescent="0.25">
      <c r="A16793" t="s">
        <v>16</v>
      </c>
      <c r="B16793" t="s">
        <v>3221</v>
      </c>
      <c r="C16793">
        <v>13665</v>
      </c>
      <c r="D16793" t="s">
        <v>3231</v>
      </c>
      <c r="E16793" t="s">
        <v>3232</v>
      </c>
      <c r="F16793">
        <v>191.16</v>
      </c>
      <c r="G16793">
        <v>230930</v>
      </c>
      <c r="H16793">
        <v>4520</v>
      </c>
      <c r="I16793" t="s">
        <v>254</v>
      </c>
      <c r="J16793">
        <v>217.92</v>
      </c>
      <c r="K16793">
        <v>26.76</v>
      </c>
      <c r="L16793">
        <v>44253</v>
      </c>
      <c r="M16793" t="s">
        <v>1058</v>
      </c>
      <c r="N16793" t="str">
        <f>"20046901    "</f>
        <v xml:space="preserve">20046901    </v>
      </c>
      <c r="O16793">
        <v>231012</v>
      </c>
    </row>
    <row r="16794" spans="1:15" x14ac:dyDescent="0.25">
      <c r="A16794" t="s">
        <v>16</v>
      </c>
      <c r="B16794" t="s">
        <v>3221</v>
      </c>
      <c r="C16794">
        <v>13671</v>
      </c>
      <c r="D16794" t="s">
        <v>3231</v>
      </c>
      <c r="E16794" t="s">
        <v>3232</v>
      </c>
      <c r="F16794">
        <v>7.12</v>
      </c>
      <c r="G16794">
        <v>230930</v>
      </c>
      <c r="H16794">
        <v>4520</v>
      </c>
      <c r="I16794" t="s">
        <v>254</v>
      </c>
      <c r="J16794">
        <v>8.1199999999999992</v>
      </c>
      <c r="K16794">
        <v>1</v>
      </c>
      <c r="L16794">
        <v>14321</v>
      </c>
      <c r="M16794" t="s">
        <v>717</v>
      </c>
      <c r="N16794" t="str">
        <f t="shared" ref="N16794:N16800" si="230">"20042435    "</f>
        <v xml:space="preserve">20042435    </v>
      </c>
      <c r="O16794">
        <v>231012</v>
      </c>
    </row>
    <row r="16795" spans="1:15" x14ac:dyDescent="0.25">
      <c r="A16795" t="s">
        <v>16</v>
      </c>
      <c r="B16795" t="s">
        <v>3221</v>
      </c>
      <c r="C16795">
        <v>13671</v>
      </c>
      <c r="D16795" t="s">
        <v>3231</v>
      </c>
      <c r="E16795" t="s">
        <v>3232</v>
      </c>
      <c r="F16795">
        <v>17.260000000000002</v>
      </c>
      <c r="G16795">
        <v>230930</v>
      </c>
      <c r="H16795">
        <v>4520</v>
      </c>
      <c r="I16795" t="s">
        <v>254</v>
      </c>
      <c r="J16795">
        <v>19.68</v>
      </c>
      <c r="K16795">
        <v>2.42</v>
      </c>
      <c r="L16795">
        <v>14422</v>
      </c>
      <c r="M16795" t="s">
        <v>228</v>
      </c>
      <c r="N16795" t="str">
        <f t="shared" si="230"/>
        <v xml:space="preserve">20042435    </v>
      </c>
      <c r="O16795">
        <v>231012</v>
      </c>
    </row>
    <row r="16796" spans="1:15" x14ac:dyDescent="0.25">
      <c r="A16796" t="s">
        <v>16</v>
      </c>
      <c r="B16796" t="s">
        <v>3221</v>
      </c>
      <c r="C16796">
        <v>13671</v>
      </c>
      <c r="D16796" t="s">
        <v>3231</v>
      </c>
      <c r="E16796" t="s">
        <v>3232</v>
      </c>
      <c r="F16796">
        <v>48.26</v>
      </c>
      <c r="G16796">
        <v>230930</v>
      </c>
      <c r="H16796">
        <v>4520</v>
      </c>
      <c r="I16796" t="s">
        <v>254</v>
      </c>
      <c r="J16796">
        <v>55.02</v>
      </c>
      <c r="K16796">
        <v>6.76</v>
      </c>
      <c r="L16796">
        <v>14422</v>
      </c>
      <c r="M16796" t="s">
        <v>228</v>
      </c>
      <c r="N16796" t="str">
        <f t="shared" si="230"/>
        <v xml:space="preserve">20042435    </v>
      </c>
      <c r="O16796">
        <v>231012</v>
      </c>
    </row>
    <row r="16797" spans="1:15" x14ac:dyDescent="0.25">
      <c r="A16797" t="s">
        <v>16</v>
      </c>
      <c r="B16797" t="s">
        <v>3221</v>
      </c>
      <c r="C16797">
        <v>13671</v>
      </c>
      <c r="D16797" t="s">
        <v>3231</v>
      </c>
      <c r="E16797" t="s">
        <v>3232</v>
      </c>
      <c r="F16797">
        <v>0.65</v>
      </c>
      <c r="G16797">
        <v>230930</v>
      </c>
      <c r="H16797">
        <v>4520</v>
      </c>
      <c r="I16797" t="s">
        <v>254</v>
      </c>
      <c r="J16797">
        <v>0.8</v>
      </c>
      <c r="K16797">
        <v>0.15</v>
      </c>
      <c r="L16797">
        <v>14541</v>
      </c>
      <c r="M16797" t="s">
        <v>626</v>
      </c>
      <c r="N16797" t="str">
        <f t="shared" si="230"/>
        <v xml:space="preserve">20042435    </v>
      </c>
      <c r="O16797">
        <v>231012</v>
      </c>
    </row>
    <row r="16798" spans="1:15" x14ac:dyDescent="0.25">
      <c r="A16798" t="s">
        <v>16</v>
      </c>
      <c r="B16798" t="s">
        <v>3221</v>
      </c>
      <c r="C16798">
        <v>13671</v>
      </c>
      <c r="D16798" t="s">
        <v>3231</v>
      </c>
      <c r="E16798" t="s">
        <v>3232</v>
      </c>
      <c r="F16798">
        <v>14.64</v>
      </c>
      <c r="G16798">
        <v>230930</v>
      </c>
      <c r="H16798">
        <v>4520</v>
      </c>
      <c r="I16798" t="s">
        <v>254</v>
      </c>
      <c r="J16798">
        <v>16.690000000000001</v>
      </c>
      <c r="K16798">
        <v>2.0499999999999998</v>
      </c>
      <c r="L16798">
        <v>14541</v>
      </c>
      <c r="M16798" t="s">
        <v>626</v>
      </c>
      <c r="N16798" t="str">
        <f t="shared" si="230"/>
        <v xml:space="preserve">20042435    </v>
      </c>
      <c r="O16798">
        <v>231012</v>
      </c>
    </row>
    <row r="16799" spans="1:15" x14ac:dyDescent="0.25">
      <c r="A16799" t="s">
        <v>16</v>
      </c>
      <c r="B16799" t="s">
        <v>3221</v>
      </c>
      <c r="C16799">
        <v>13671</v>
      </c>
      <c r="D16799" t="s">
        <v>3231</v>
      </c>
      <c r="E16799" t="s">
        <v>3232</v>
      </c>
      <c r="F16799">
        <v>22.94</v>
      </c>
      <c r="G16799">
        <v>230930</v>
      </c>
      <c r="H16799">
        <v>4520</v>
      </c>
      <c r="I16799" t="s">
        <v>254</v>
      </c>
      <c r="J16799">
        <v>26.15</v>
      </c>
      <c r="K16799">
        <v>3.21</v>
      </c>
      <c r="L16799">
        <v>14541</v>
      </c>
      <c r="M16799" t="s">
        <v>626</v>
      </c>
      <c r="N16799" t="str">
        <f t="shared" si="230"/>
        <v xml:space="preserve">20042435    </v>
      </c>
      <c r="O16799">
        <v>231012</v>
      </c>
    </row>
    <row r="16800" spans="1:15" x14ac:dyDescent="0.25">
      <c r="A16800" t="s">
        <v>16</v>
      </c>
      <c r="B16800" t="s">
        <v>3221</v>
      </c>
      <c r="C16800">
        <v>13671</v>
      </c>
      <c r="D16800" t="s">
        <v>3231</v>
      </c>
      <c r="E16800" t="s">
        <v>3232</v>
      </c>
      <c r="F16800">
        <v>17.260000000000002</v>
      </c>
      <c r="G16800">
        <v>230930</v>
      </c>
      <c r="H16800">
        <v>4520</v>
      </c>
      <c r="I16800" t="s">
        <v>254</v>
      </c>
      <c r="J16800">
        <v>19.68</v>
      </c>
      <c r="K16800">
        <v>2.42</v>
      </c>
      <c r="L16800">
        <v>14640</v>
      </c>
      <c r="M16800" t="s">
        <v>229</v>
      </c>
      <c r="N16800" t="str">
        <f t="shared" si="230"/>
        <v xml:space="preserve">20042435    </v>
      </c>
      <c r="O16800">
        <v>231012</v>
      </c>
    </row>
    <row r="16801" spans="1:15" x14ac:dyDescent="0.25">
      <c r="A16801" t="s">
        <v>16</v>
      </c>
      <c r="B16801" t="s">
        <v>3221</v>
      </c>
      <c r="C16801">
        <v>13680</v>
      </c>
      <c r="D16801" t="s">
        <v>3231</v>
      </c>
      <c r="E16801" t="s">
        <v>3232</v>
      </c>
      <c r="F16801">
        <v>135.62</v>
      </c>
      <c r="G16801">
        <v>230930</v>
      </c>
      <c r="H16801">
        <v>4520</v>
      </c>
      <c r="I16801" t="s">
        <v>254</v>
      </c>
      <c r="J16801">
        <v>154.61000000000001</v>
      </c>
      <c r="K16801">
        <v>18.989999999999998</v>
      </c>
      <c r="L16801">
        <v>59111</v>
      </c>
      <c r="M16801" t="s">
        <v>1010</v>
      </c>
      <c r="N16801" t="str">
        <f>"20047042    "</f>
        <v xml:space="preserve">20047042    </v>
      </c>
      <c r="O16801">
        <v>231012</v>
      </c>
    </row>
    <row r="16802" spans="1:15" x14ac:dyDescent="0.25">
      <c r="A16802" t="s">
        <v>16</v>
      </c>
      <c r="B16802" t="s">
        <v>3221</v>
      </c>
      <c r="C16802">
        <v>13761</v>
      </c>
      <c r="D16802" t="s">
        <v>3231</v>
      </c>
      <c r="E16802" t="s">
        <v>3232</v>
      </c>
      <c r="F16802">
        <v>59.59</v>
      </c>
      <c r="G16802">
        <v>230930</v>
      </c>
      <c r="H16802">
        <v>4520</v>
      </c>
      <c r="I16802" t="s">
        <v>254</v>
      </c>
      <c r="J16802">
        <v>67.930000000000007</v>
      </c>
      <c r="K16802">
        <v>8.34</v>
      </c>
      <c r="L16802">
        <v>67522</v>
      </c>
      <c r="M16802" t="s">
        <v>397</v>
      </c>
      <c r="N16802" t="str">
        <f>"20042440    "</f>
        <v xml:space="preserve">20042440    </v>
      </c>
      <c r="O16802">
        <v>231013</v>
      </c>
    </row>
    <row r="16803" spans="1:15" x14ac:dyDescent="0.25">
      <c r="A16803" t="s">
        <v>16</v>
      </c>
      <c r="B16803" t="s">
        <v>3221</v>
      </c>
      <c r="C16803">
        <v>13762</v>
      </c>
      <c r="D16803" t="s">
        <v>3231</v>
      </c>
      <c r="E16803" t="s">
        <v>3232</v>
      </c>
      <c r="F16803">
        <v>35.840000000000003</v>
      </c>
      <c r="G16803">
        <v>230930</v>
      </c>
      <c r="H16803">
        <v>4520</v>
      </c>
      <c r="I16803" t="s">
        <v>254</v>
      </c>
      <c r="J16803">
        <v>40.86</v>
      </c>
      <c r="K16803">
        <v>5.0199999999999996</v>
      </c>
      <c r="L16803">
        <v>69112</v>
      </c>
      <c r="M16803" t="s">
        <v>313</v>
      </c>
      <c r="N16803" t="str">
        <f>"20061772    "</f>
        <v xml:space="preserve">20061772    </v>
      </c>
      <c r="O16803">
        <v>231013</v>
      </c>
    </row>
    <row r="16804" spans="1:15" x14ac:dyDescent="0.25">
      <c r="A16804" t="s">
        <v>16</v>
      </c>
      <c r="B16804" t="s">
        <v>3221</v>
      </c>
      <c r="C16804">
        <v>13762</v>
      </c>
      <c r="D16804" t="s">
        <v>3231</v>
      </c>
      <c r="E16804" t="s">
        <v>3232</v>
      </c>
      <c r="F16804">
        <v>1.99</v>
      </c>
      <c r="G16804">
        <v>230930</v>
      </c>
      <c r="H16804">
        <v>4520</v>
      </c>
      <c r="I16804" t="s">
        <v>254</v>
      </c>
      <c r="J16804">
        <v>2.27</v>
      </c>
      <c r="K16804">
        <v>0.28000000000000003</v>
      </c>
      <c r="L16804">
        <v>69810</v>
      </c>
      <c r="M16804" t="s">
        <v>314</v>
      </c>
      <c r="N16804" t="str">
        <f>"20061772    "</f>
        <v xml:space="preserve">20061772    </v>
      </c>
      <c r="O16804">
        <v>231013</v>
      </c>
    </row>
    <row r="16805" spans="1:15" x14ac:dyDescent="0.25">
      <c r="A16805" t="s">
        <v>16</v>
      </c>
      <c r="B16805" t="s">
        <v>3221</v>
      </c>
      <c r="C16805">
        <v>13762</v>
      </c>
      <c r="D16805" t="s">
        <v>3231</v>
      </c>
      <c r="E16805" t="s">
        <v>3232</v>
      </c>
      <c r="F16805">
        <v>1.99</v>
      </c>
      <c r="G16805">
        <v>230930</v>
      </c>
      <c r="H16805">
        <v>4520</v>
      </c>
      <c r="I16805" t="s">
        <v>254</v>
      </c>
      <c r="J16805">
        <v>2.27</v>
      </c>
      <c r="K16805">
        <v>0.28000000000000003</v>
      </c>
      <c r="L16805">
        <v>69810</v>
      </c>
      <c r="M16805" t="s">
        <v>314</v>
      </c>
      <c r="N16805" t="str">
        <f>"20061772    "</f>
        <v xml:space="preserve">20061772    </v>
      </c>
      <c r="O16805">
        <v>231013</v>
      </c>
    </row>
    <row r="16806" spans="1:15" x14ac:dyDescent="0.25">
      <c r="A16806" t="s">
        <v>16</v>
      </c>
      <c r="B16806" t="s">
        <v>3221</v>
      </c>
      <c r="C16806">
        <v>14979</v>
      </c>
      <c r="D16806" t="s">
        <v>3231</v>
      </c>
      <c r="E16806" t="s">
        <v>3232</v>
      </c>
      <c r="F16806">
        <v>147.01</v>
      </c>
      <c r="G16806">
        <v>231031</v>
      </c>
      <c r="H16806">
        <v>4520</v>
      </c>
      <c r="I16806" t="s">
        <v>254</v>
      </c>
      <c r="J16806">
        <v>167.59</v>
      </c>
      <c r="K16806">
        <v>20.58</v>
      </c>
      <c r="L16806">
        <v>44253</v>
      </c>
      <c r="M16806" t="s">
        <v>1058</v>
      </c>
      <c r="N16806" t="str">
        <f>"20085537    "</f>
        <v xml:space="preserve">20085537    </v>
      </c>
      <c r="O16806">
        <v>231107</v>
      </c>
    </row>
    <row r="16807" spans="1:15" x14ac:dyDescent="0.25">
      <c r="A16807" t="s">
        <v>16</v>
      </c>
      <c r="B16807" t="s">
        <v>3221</v>
      </c>
      <c r="C16807">
        <v>14981</v>
      </c>
      <c r="D16807" t="s">
        <v>3231</v>
      </c>
      <c r="E16807" t="s">
        <v>3232</v>
      </c>
      <c r="F16807">
        <v>0.23</v>
      </c>
      <c r="G16807">
        <v>231031</v>
      </c>
      <c r="H16807">
        <v>4520</v>
      </c>
      <c r="I16807" t="s">
        <v>254</v>
      </c>
      <c r="J16807">
        <v>0.28000000000000003</v>
      </c>
      <c r="K16807">
        <v>0.05</v>
      </c>
      <c r="L16807">
        <v>17913</v>
      </c>
      <c r="M16807" t="s">
        <v>431</v>
      </c>
      <c r="N16807" t="str">
        <f>"20080973    "</f>
        <v xml:space="preserve">20080973    </v>
      </c>
      <c r="O16807">
        <v>231107</v>
      </c>
    </row>
    <row r="16808" spans="1:15" x14ac:dyDescent="0.25">
      <c r="A16808" t="s">
        <v>16</v>
      </c>
      <c r="B16808" t="s">
        <v>3221</v>
      </c>
      <c r="C16808">
        <v>14981</v>
      </c>
      <c r="D16808" t="s">
        <v>3231</v>
      </c>
      <c r="E16808" t="s">
        <v>3232</v>
      </c>
      <c r="F16808">
        <v>18.239999999999998</v>
      </c>
      <c r="G16808">
        <v>231031</v>
      </c>
      <c r="H16808">
        <v>4520</v>
      </c>
      <c r="I16808" t="s">
        <v>254</v>
      </c>
      <c r="J16808">
        <v>20.79</v>
      </c>
      <c r="K16808">
        <v>2.5499999999999998</v>
      </c>
      <c r="L16808">
        <v>17913</v>
      </c>
      <c r="M16808" t="s">
        <v>431</v>
      </c>
      <c r="N16808" t="str">
        <f>"20080973    "</f>
        <v xml:space="preserve">20080973    </v>
      </c>
      <c r="O16808">
        <v>231107</v>
      </c>
    </row>
    <row r="16809" spans="1:15" x14ac:dyDescent="0.25">
      <c r="A16809" t="s">
        <v>16</v>
      </c>
      <c r="B16809" t="s">
        <v>3221</v>
      </c>
      <c r="C16809">
        <v>14982</v>
      </c>
      <c r="D16809" t="s">
        <v>3231</v>
      </c>
      <c r="E16809" t="s">
        <v>3232</v>
      </c>
      <c r="F16809">
        <v>32.74</v>
      </c>
      <c r="G16809">
        <v>231031</v>
      </c>
      <c r="H16809">
        <v>4520</v>
      </c>
      <c r="I16809" t="s">
        <v>254</v>
      </c>
      <c r="J16809">
        <v>37.32</v>
      </c>
      <c r="K16809">
        <v>4.58</v>
      </c>
      <c r="L16809">
        <v>69113</v>
      </c>
      <c r="M16809" t="s">
        <v>282</v>
      </c>
      <c r="N16809" t="str">
        <f>"20080976    "</f>
        <v xml:space="preserve">20080976    </v>
      </c>
      <c r="O16809">
        <v>231107</v>
      </c>
    </row>
    <row r="16810" spans="1:15" x14ac:dyDescent="0.25">
      <c r="A16810" t="s">
        <v>16</v>
      </c>
      <c r="B16810" t="s">
        <v>3221</v>
      </c>
      <c r="C16810">
        <v>14982</v>
      </c>
      <c r="D16810" t="s">
        <v>3231</v>
      </c>
      <c r="E16810" t="s">
        <v>3232</v>
      </c>
      <c r="F16810">
        <v>3.85</v>
      </c>
      <c r="G16810">
        <v>231031</v>
      </c>
      <c r="H16810">
        <v>4520</v>
      </c>
      <c r="I16810" t="s">
        <v>254</v>
      </c>
      <c r="J16810">
        <v>4.3899999999999997</v>
      </c>
      <c r="K16810">
        <v>0.54</v>
      </c>
      <c r="L16810">
        <v>69802</v>
      </c>
      <c r="M16810" t="s">
        <v>283</v>
      </c>
      <c r="N16810" t="str">
        <f>"20080976    "</f>
        <v xml:space="preserve">20080976    </v>
      </c>
      <c r="O16810">
        <v>231107</v>
      </c>
    </row>
    <row r="16811" spans="1:15" x14ac:dyDescent="0.25">
      <c r="A16811" t="s">
        <v>16</v>
      </c>
      <c r="B16811" t="s">
        <v>3221</v>
      </c>
      <c r="C16811">
        <v>14982</v>
      </c>
      <c r="D16811" t="s">
        <v>3231</v>
      </c>
      <c r="E16811" t="s">
        <v>3232</v>
      </c>
      <c r="F16811">
        <v>1.92</v>
      </c>
      <c r="G16811">
        <v>231031</v>
      </c>
      <c r="H16811">
        <v>4520</v>
      </c>
      <c r="I16811" t="s">
        <v>254</v>
      </c>
      <c r="J16811">
        <v>2.19</v>
      </c>
      <c r="K16811">
        <v>0.27</v>
      </c>
      <c r="L16811">
        <v>69804</v>
      </c>
      <c r="M16811" t="s">
        <v>284</v>
      </c>
      <c r="N16811" t="str">
        <f>"20080976    "</f>
        <v xml:space="preserve">20080976    </v>
      </c>
      <c r="O16811">
        <v>231107</v>
      </c>
    </row>
    <row r="16812" spans="1:15" x14ac:dyDescent="0.25">
      <c r="A16812" t="s">
        <v>16</v>
      </c>
      <c r="B16812" t="s">
        <v>3221</v>
      </c>
      <c r="C16812">
        <v>14984</v>
      </c>
      <c r="D16812" t="s">
        <v>3231</v>
      </c>
      <c r="E16812" t="s">
        <v>3232</v>
      </c>
      <c r="F16812">
        <v>8.57</v>
      </c>
      <c r="G16812">
        <v>231031</v>
      </c>
      <c r="H16812">
        <v>4520</v>
      </c>
      <c r="I16812" t="s">
        <v>254</v>
      </c>
      <c r="J16812">
        <v>9.77</v>
      </c>
      <c r="K16812">
        <v>1.2</v>
      </c>
      <c r="L16812">
        <v>17131</v>
      </c>
      <c r="M16812" t="s">
        <v>64</v>
      </c>
      <c r="N16812" t="str">
        <f>"20080974    "</f>
        <v xml:space="preserve">20080974    </v>
      </c>
      <c r="O16812">
        <v>231107</v>
      </c>
    </row>
    <row r="16813" spans="1:15" x14ac:dyDescent="0.25">
      <c r="A16813" t="s">
        <v>16</v>
      </c>
      <c r="B16813" t="s">
        <v>3221</v>
      </c>
      <c r="C16813">
        <v>14984</v>
      </c>
      <c r="D16813" t="s">
        <v>3231</v>
      </c>
      <c r="E16813" t="s">
        <v>3232</v>
      </c>
      <c r="F16813">
        <v>30.68</v>
      </c>
      <c r="G16813">
        <v>231031</v>
      </c>
      <c r="H16813">
        <v>4520</v>
      </c>
      <c r="I16813" t="s">
        <v>254</v>
      </c>
      <c r="J16813">
        <v>34.979999999999997</v>
      </c>
      <c r="K16813">
        <v>4.3</v>
      </c>
      <c r="L16813">
        <v>17131</v>
      </c>
      <c r="M16813" t="s">
        <v>64</v>
      </c>
      <c r="N16813" t="str">
        <f>"20080974    "</f>
        <v xml:space="preserve">20080974    </v>
      </c>
      <c r="O16813">
        <v>231107</v>
      </c>
    </row>
    <row r="16814" spans="1:15" x14ac:dyDescent="0.25">
      <c r="A16814" t="s">
        <v>16</v>
      </c>
      <c r="B16814" t="s">
        <v>3221</v>
      </c>
      <c r="C16814">
        <v>14984</v>
      </c>
      <c r="D16814" t="s">
        <v>3231</v>
      </c>
      <c r="E16814" t="s">
        <v>3232</v>
      </c>
      <c r="F16814">
        <v>41.57</v>
      </c>
      <c r="G16814">
        <v>231031</v>
      </c>
      <c r="H16814">
        <v>4520</v>
      </c>
      <c r="I16814" t="s">
        <v>254</v>
      </c>
      <c r="J16814">
        <v>47.39</v>
      </c>
      <c r="K16814">
        <v>5.82</v>
      </c>
      <c r="L16814">
        <v>17131</v>
      </c>
      <c r="M16814" t="s">
        <v>64</v>
      </c>
      <c r="N16814" t="str">
        <f>"20080974    "</f>
        <v xml:space="preserve">20080974    </v>
      </c>
      <c r="O16814">
        <v>231107</v>
      </c>
    </row>
    <row r="16815" spans="1:15" x14ac:dyDescent="0.25">
      <c r="A16815" t="s">
        <v>16</v>
      </c>
      <c r="B16815" t="s">
        <v>3221</v>
      </c>
      <c r="C16815">
        <v>14984</v>
      </c>
      <c r="D16815" t="s">
        <v>3231</v>
      </c>
      <c r="E16815" t="s">
        <v>3232</v>
      </c>
      <c r="F16815">
        <v>62.47</v>
      </c>
      <c r="G16815">
        <v>231031</v>
      </c>
      <c r="H16815">
        <v>4520</v>
      </c>
      <c r="I16815" t="s">
        <v>254</v>
      </c>
      <c r="J16815">
        <v>71.22</v>
      </c>
      <c r="K16815">
        <v>8.75</v>
      </c>
      <c r="L16815">
        <v>17131</v>
      </c>
      <c r="M16815" t="s">
        <v>64</v>
      </c>
      <c r="N16815" t="str">
        <f>"20080974    "</f>
        <v xml:space="preserve">20080974    </v>
      </c>
      <c r="O16815">
        <v>231107</v>
      </c>
    </row>
    <row r="16816" spans="1:15" x14ac:dyDescent="0.25">
      <c r="A16816" t="s">
        <v>16</v>
      </c>
      <c r="B16816" t="s">
        <v>3221</v>
      </c>
      <c r="C16816">
        <v>14984</v>
      </c>
      <c r="D16816" t="s">
        <v>3231</v>
      </c>
      <c r="E16816" t="s">
        <v>3232</v>
      </c>
      <c r="F16816">
        <v>34.61</v>
      </c>
      <c r="G16816">
        <v>231031</v>
      </c>
      <c r="H16816">
        <v>4520</v>
      </c>
      <c r="I16816" t="s">
        <v>254</v>
      </c>
      <c r="J16816">
        <v>39.450000000000003</v>
      </c>
      <c r="K16816">
        <v>4.84</v>
      </c>
      <c r="L16816">
        <v>17912</v>
      </c>
      <c r="M16816" t="s">
        <v>419</v>
      </c>
      <c r="N16816" t="str">
        <f>"20080974    "</f>
        <v xml:space="preserve">20080974    </v>
      </c>
      <c r="O16816">
        <v>231107</v>
      </c>
    </row>
    <row r="16817" spans="1:15" x14ac:dyDescent="0.25">
      <c r="A16817" t="s">
        <v>16</v>
      </c>
      <c r="B16817" t="s">
        <v>3221</v>
      </c>
      <c r="C16817">
        <v>14986</v>
      </c>
      <c r="D16817" t="s">
        <v>3231</v>
      </c>
      <c r="E16817" t="s">
        <v>3232</v>
      </c>
      <c r="F16817">
        <v>199.68</v>
      </c>
      <c r="G16817">
        <v>231031</v>
      </c>
      <c r="H16817">
        <v>4520</v>
      </c>
      <c r="I16817" t="s">
        <v>254</v>
      </c>
      <c r="J16817">
        <v>227.64</v>
      </c>
      <c r="K16817">
        <v>27.96</v>
      </c>
      <c r="L16817">
        <v>69112</v>
      </c>
      <c r="M16817" t="s">
        <v>313</v>
      </c>
      <c r="N16817" t="str">
        <f>"20100418    "</f>
        <v xml:space="preserve">20100418    </v>
      </c>
      <c r="O16817">
        <v>231107</v>
      </c>
    </row>
    <row r="16818" spans="1:15" x14ac:dyDescent="0.25">
      <c r="A16818" t="s">
        <v>16</v>
      </c>
      <c r="B16818" t="s">
        <v>3221</v>
      </c>
      <c r="C16818">
        <v>14986</v>
      </c>
      <c r="D16818" t="s">
        <v>3231</v>
      </c>
      <c r="E16818" t="s">
        <v>3232</v>
      </c>
      <c r="F16818">
        <v>11.1</v>
      </c>
      <c r="G16818">
        <v>231031</v>
      </c>
      <c r="H16818">
        <v>4520</v>
      </c>
      <c r="I16818" t="s">
        <v>254</v>
      </c>
      <c r="J16818">
        <v>12.65</v>
      </c>
      <c r="K16818">
        <v>1.55</v>
      </c>
      <c r="L16818">
        <v>69810</v>
      </c>
      <c r="M16818" t="s">
        <v>314</v>
      </c>
      <c r="N16818" t="str">
        <f>"20100418    "</f>
        <v xml:space="preserve">20100418    </v>
      </c>
      <c r="O16818">
        <v>231107</v>
      </c>
    </row>
    <row r="16819" spans="1:15" x14ac:dyDescent="0.25">
      <c r="A16819" t="s">
        <v>16</v>
      </c>
      <c r="B16819" t="s">
        <v>3221</v>
      </c>
      <c r="C16819">
        <v>14986</v>
      </c>
      <c r="D16819" t="s">
        <v>3231</v>
      </c>
      <c r="E16819" t="s">
        <v>3232</v>
      </c>
      <c r="F16819">
        <v>11.09</v>
      </c>
      <c r="G16819">
        <v>231031</v>
      </c>
      <c r="H16819">
        <v>4520</v>
      </c>
      <c r="I16819" t="s">
        <v>254</v>
      </c>
      <c r="J16819">
        <v>12.64</v>
      </c>
      <c r="K16819">
        <v>1.55</v>
      </c>
      <c r="L16819">
        <v>69811</v>
      </c>
      <c r="M16819" t="s">
        <v>315</v>
      </c>
      <c r="N16819" t="str">
        <f>"20100418    "</f>
        <v xml:space="preserve">20100418    </v>
      </c>
      <c r="O16819">
        <v>231107</v>
      </c>
    </row>
    <row r="16820" spans="1:15" x14ac:dyDescent="0.25">
      <c r="A16820" t="s">
        <v>16</v>
      </c>
      <c r="B16820" t="s">
        <v>3221</v>
      </c>
      <c r="C16820">
        <v>14996</v>
      </c>
      <c r="D16820" t="s">
        <v>3231</v>
      </c>
      <c r="E16820" t="s">
        <v>3232</v>
      </c>
      <c r="F16820">
        <v>16.82</v>
      </c>
      <c r="G16820">
        <v>231031</v>
      </c>
      <c r="H16820">
        <v>4520</v>
      </c>
      <c r="I16820" t="s">
        <v>254</v>
      </c>
      <c r="J16820">
        <v>19.170000000000002</v>
      </c>
      <c r="K16820">
        <v>2.35</v>
      </c>
      <c r="L16820">
        <v>14422</v>
      </c>
      <c r="M16820" t="s">
        <v>228</v>
      </c>
      <c r="N16820" t="str">
        <f>"20080970    "</f>
        <v xml:space="preserve">20080970    </v>
      </c>
      <c r="O16820">
        <v>231108</v>
      </c>
    </row>
    <row r="16821" spans="1:15" x14ac:dyDescent="0.25">
      <c r="A16821" t="s">
        <v>16</v>
      </c>
      <c r="B16821" t="s">
        <v>3221</v>
      </c>
      <c r="C16821">
        <v>15032</v>
      </c>
      <c r="D16821" t="s">
        <v>3231</v>
      </c>
      <c r="E16821" t="s">
        <v>3232</v>
      </c>
      <c r="F16821">
        <v>35.25</v>
      </c>
      <c r="G16821">
        <v>231031</v>
      </c>
      <c r="H16821">
        <v>4520</v>
      </c>
      <c r="I16821" t="s">
        <v>254</v>
      </c>
      <c r="J16821">
        <v>40.18</v>
      </c>
      <c r="K16821">
        <v>4.93</v>
      </c>
      <c r="L16821">
        <v>17971</v>
      </c>
      <c r="M16821" t="s">
        <v>138</v>
      </c>
      <c r="N16821" t="str">
        <f>"20089609    "</f>
        <v xml:space="preserve">20089609    </v>
      </c>
      <c r="O16821">
        <v>231108</v>
      </c>
    </row>
    <row r="16822" spans="1:15" x14ac:dyDescent="0.25">
      <c r="A16822" t="s">
        <v>16</v>
      </c>
      <c r="B16822" t="s">
        <v>3221</v>
      </c>
      <c r="C16822">
        <v>15035</v>
      </c>
      <c r="D16822" t="s">
        <v>3231</v>
      </c>
      <c r="E16822" t="s">
        <v>3232</v>
      </c>
      <c r="F16822">
        <v>57.32</v>
      </c>
      <c r="G16822">
        <v>231031</v>
      </c>
      <c r="H16822">
        <v>4520</v>
      </c>
      <c r="I16822" t="s">
        <v>254</v>
      </c>
      <c r="J16822">
        <v>65.349999999999994</v>
      </c>
      <c r="K16822">
        <v>8.0299999999999994</v>
      </c>
      <c r="L16822">
        <v>54451</v>
      </c>
      <c r="M16822" t="s">
        <v>158</v>
      </c>
      <c r="N16822" t="str">
        <f>"20085676    "</f>
        <v xml:space="preserve">20085676    </v>
      </c>
      <c r="O16822">
        <v>231108</v>
      </c>
    </row>
    <row r="16823" spans="1:15" x14ac:dyDescent="0.25">
      <c r="A16823" t="s">
        <v>16</v>
      </c>
      <c r="B16823" t="s">
        <v>3221</v>
      </c>
      <c r="C16823">
        <v>15139</v>
      </c>
      <c r="D16823" t="s">
        <v>3231</v>
      </c>
      <c r="E16823" t="s">
        <v>3232</v>
      </c>
      <c r="F16823">
        <v>12.37</v>
      </c>
      <c r="G16823">
        <v>231031</v>
      </c>
      <c r="H16823">
        <v>4520</v>
      </c>
      <c r="I16823" t="s">
        <v>254</v>
      </c>
      <c r="J16823">
        <v>14.1</v>
      </c>
      <c r="K16823">
        <v>1.73</v>
      </c>
      <c r="L16823">
        <v>13801</v>
      </c>
      <c r="M16823" t="s">
        <v>162</v>
      </c>
      <c r="N16823" t="str">
        <f>"20099690    "</f>
        <v xml:space="preserve">20099690    </v>
      </c>
      <c r="O16823">
        <v>231109</v>
      </c>
    </row>
    <row r="16824" spans="1:15" x14ac:dyDescent="0.25">
      <c r="A16824" t="s">
        <v>16</v>
      </c>
      <c r="B16824" t="s">
        <v>3221</v>
      </c>
      <c r="C16824">
        <v>15353</v>
      </c>
      <c r="D16824" t="s">
        <v>3231</v>
      </c>
      <c r="E16824" t="s">
        <v>3232</v>
      </c>
      <c r="F16824">
        <v>114.23</v>
      </c>
      <c r="G16824">
        <v>231031</v>
      </c>
      <c r="H16824">
        <v>4520</v>
      </c>
      <c r="I16824" t="s">
        <v>254</v>
      </c>
      <c r="J16824">
        <v>130.22</v>
      </c>
      <c r="K16824">
        <v>15.99</v>
      </c>
      <c r="L16824">
        <v>66722</v>
      </c>
      <c r="M16824" t="s">
        <v>518</v>
      </c>
      <c r="N16824" t="str">
        <f>"20080975    "</f>
        <v xml:space="preserve">20080975    </v>
      </c>
      <c r="O16824">
        <v>231113</v>
      </c>
    </row>
    <row r="16825" spans="1:15" x14ac:dyDescent="0.25">
      <c r="A16825" t="s">
        <v>16</v>
      </c>
      <c r="B16825" t="s">
        <v>3221</v>
      </c>
      <c r="C16825">
        <v>15353</v>
      </c>
      <c r="D16825" t="s">
        <v>3231</v>
      </c>
      <c r="E16825" t="s">
        <v>3232</v>
      </c>
      <c r="F16825">
        <v>128.66999999999999</v>
      </c>
      <c r="G16825">
        <v>231031</v>
      </c>
      <c r="H16825">
        <v>4520</v>
      </c>
      <c r="I16825" t="s">
        <v>254</v>
      </c>
      <c r="J16825">
        <v>146.68</v>
      </c>
      <c r="K16825">
        <v>18.010000000000002</v>
      </c>
      <c r="L16825">
        <v>67522</v>
      </c>
      <c r="M16825" t="s">
        <v>397</v>
      </c>
      <c r="N16825" t="str">
        <f>"20080975    "</f>
        <v xml:space="preserve">20080975    </v>
      </c>
      <c r="O16825">
        <v>231113</v>
      </c>
    </row>
    <row r="16826" spans="1:15" x14ac:dyDescent="0.25">
      <c r="A16826" t="s">
        <v>16</v>
      </c>
      <c r="B16826" t="s">
        <v>3221</v>
      </c>
      <c r="C16826">
        <v>15413</v>
      </c>
      <c r="D16826" t="s">
        <v>3231</v>
      </c>
      <c r="E16826" t="s">
        <v>3232</v>
      </c>
      <c r="F16826">
        <v>101.81</v>
      </c>
      <c r="G16826">
        <v>231031</v>
      </c>
      <c r="H16826">
        <v>4520</v>
      </c>
      <c r="I16826" t="s">
        <v>254</v>
      </c>
      <c r="J16826">
        <v>116.06</v>
      </c>
      <c r="K16826">
        <v>14.25</v>
      </c>
      <c r="L16826">
        <v>59111</v>
      </c>
      <c r="M16826" t="s">
        <v>1010</v>
      </c>
      <c r="N16826" t="str">
        <f>"20085675    "</f>
        <v xml:space="preserve">20085675    </v>
      </c>
      <c r="O16826">
        <v>231113</v>
      </c>
    </row>
    <row r="16827" spans="1:15" x14ac:dyDescent="0.25">
      <c r="A16827" t="s">
        <v>16</v>
      </c>
      <c r="B16827" t="s">
        <v>3221</v>
      </c>
      <c r="C16827">
        <v>15638</v>
      </c>
      <c r="D16827" t="s">
        <v>3231</v>
      </c>
      <c r="E16827" t="s">
        <v>3232</v>
      </c>
      <c r="F16827">
        <v>0.23</v>
      </c>
      <c r="G16827">
        <v>231031</v>
      </c>
      <c r="H16827">
        <v>4520</v>
      </c>
      <c r="I16827" t="s">
        <v>254</v>
      </c>
      <c r="J16827">
        <v>0.28000000000000003</v>
      </c>
      <c r="K16827">
        <v>0.05</v>
      </c>
      <c r="L16827">
        <v>14431</v>
      </c>
      <c r="M16827" t="s">
        <v>861</v>
      </c>
      <c r="N16827" t="str">
        <f>"20080971    "</f>
        <v xml:space="preserve">20080971    </v>
      </c>
      <c r="O16827">
        <v>231114</v>
      </c>
    </row>
    <row r="16828" spans="1:15" x14ac:dyDescent="0.25">
      <c r="A16828" t="s">
        <v>16</v>
      </c>
      <c r="B16828" t="s">
        <v>3221</v>
      </c>
      <c r="C16828">
        <v>15638</v>
      </c>
      <c r="D16828" t="s">
        <v>3231</v>
      </c>
      <c r="E16828" t="s">
        <v>3232</v>
      </c>
      <c r="F16828">
        <v>6.28</v>
      </c>
      <c r="G16828">
        <v>231031</v>
      </c>
      <c r="H16828">
        <v>4520</v>
      </c>
      <c r="I16828" t="s">
        <v>254</v>
      </c>
      <c r="J16828">
        <v>7.16</v>
      </c>
      <c r="K16828">
        <v>0.88</v>
      </c>
      <c r="L16828">
        <v>14431</v>
      </c>
      <c r="M16828" t="s">
        <v>861</v>
      </c>
      <c r="N16828" t="str">
        <f>"20080971    "</f>
        <v xml:space="preserve">20080971    </v>
      </c>
      <c r="O16828">
        <v>231114</v>
      </c>
    </row>
    <row r="16829" spans="1:15" x14ac:dyDescent="0.25">
      <c r="A16829" t="s">
        <v>16</v>
      </c>
      <c r="B16829" t="s">
        <v>3221</v>
      </c>
      <c r="C16829">
        <v>16848</v>
      </c>
      <c r="D16829" t="s">
        <v>3231</v>
      </c>
      <c r="E16829" t="s">
        <v>3232</v>
      </c>
      <c r="F16829">
        <v>56.42</v>
      </c>
      <c r="G16829">
        <v>231130</v>
      </c>
      <c r="H16829">
        <v>4520</v>
      </c>
      <c r="I16829" t="s">
        <v>254</v>
      </c>
      <c r="J16829">
        <v>64.319999999999993</v>
      </c>
      <c r="K16829">
        <v>7.9</v>
      </c>
      <c r="L16829">
        <v>17912</v>
      </c>
      <c r="M16829" t="s">
        <v>419</v>
      </c>
      <c r="N16829" t="str">
        <f>"20120346    "</f>
        <v xml:space="preserve">20120346    </v>
      </c>
      <c r="O16829">
        <v>231211</v>
      </c>
    </row>
    <row r="16830" spans="1:15" x14ac:dyDescent="0.25">
      <c r="A16830" t="s">
        <v>16</v>
      </c>
      <c r="B16830" t="s">
        <v>3221</v>
      </c>
      <c r="C16830">
        <v>16848</v>
      </c>
      <c r="D16830" t="s">
        <v>3231</v>
      </c>
      <c r="E16830" t="s">
        <v>3232</v>
      </c>
      <c r="F16830">
        <v>60.17</v>
      </c>
      <c r="G16830">
        <v>231130</v>
      </c>
      <c r="H16830">
        <v>4520</v>
      </c>
      <c r="I16830" t="s">
        <v>254</v>
      </c>
      <c r="J16830">
        <v>68.59</v>
      </c>
      <c r="K16830">
        <v>8.42</v>
      </c>
      <c r="L16830">
        <v>17912</v>
      </c>
      <c r="M16830" t="s">
        <v>419</v>
      </c>
      <c r="N16830" t="str">
        <f>"20120346    "</f>
        <v xml:space="preserve">20120346    </v>
      </c>
      <c r="O16830">
        <v>231211</v>
      </c>
    </row>
    <row r="16831" spans="1:15" x14ac:dyDescent="0.25">
      <c r="A16831" t="s">
        <v>16</v>
      </c>
      <c r="B16831" t="s">
        <v>3221</v>
      </c>
      <c r="C16831">
        <v>16890</v>
      </c>
      <c r="D16831" t="s">
        <v>3231</v>
      </c>
      <c r="E16831" t="s">
        <v>3232</v>
      </c>
      <c r="F16831">
        <v>162.02000000000001</v>
      </c>
      <c r="G16831">
        <v>231130</v>
      </c>
      <c r="H16831">
        <v>4520</v>
      </c>
      <c r="I16831" t="s">
        <v>254</v>
      </c>
      <c r="J16831">
        <v>184.7</v>
      </c>
      <c r="K16831">
        <v>22.68</v>
      </c>
      <c r="L16831">
        <v>54422</v>
      </c>
      <c r="M16831" t="s">
        <v>234</v>
      </c>
      <c r="N16831" t="str">
        <f>"20125109    "</f>
        <v xml:space="preserve">20125109    </v>
      </c>
      <c r="O16831">
        <v>231211</v>
      </c>
    </row>
    <row r="16832" spans="1:15" x14ac:dyDescent="0.25">
      <c r="A16832" t="s">
        <v>16</v>
      </c>
      <c r="B16832" t="s">
        <v>3221</v>
      </c>
      <c r="C16832">
        <v>16890</v>
      </c>
      <c r="D16832" t="s">
        <v>3231</v>
      </c>
      <c r="E16832" t="s">
        <v>3232</v>
      </c>
      <c r="F16832">
        <v>3.18</v>
      </c>
      <c r="G16832">
        <v>231130</v>
      </c>
      <c r="H16832">
        <v>4520</v>
      </c>
      <c r="I16832" t="s">
        <v>254</v>
      </c>
      <c r="J16832">
        <v>3.94</v>
      </c>
      <c r="K16832">
        <v>0.76</v>
      </c>
      <c r="L16832">
        <v>54451</v>
      </c>
      <c r="M16832" t="s">
        <v>158</v>
      </c>
      <c r="N16832" t="str">
        <f>"20125109    "</f>
        <v xml:space="preserve">20125109    </v>
      </c>
      <c r="O16832">
        <v>231211</v>
      </c>
    </row>
    <row r="16833" spans="1:15" x14ac:dyDescent="0.25">
      <c r="A16833" t="s">
        <v>16</v>
      </c>
      <c r="B16833" t="s">
        <v>3221</v>
      </c>
      <c r="C16833">
        <v>16890</v>
      </c>
      <c r="D16833" t="s">
        <v>3231</v>
      </c>
      <c r="E16833" t="s">
        <v>3232</v>
      </c>
      <c r="F16833">
        <v>89.84</v>
      </c>
      <c r="G16833">
        <v>231130</v>
      </c>
      <c r="H16833">
        <v>4520</v>
      </c>
      <c r="I16833" t="s">
        <v>254</v>
      </c>
      <c r="J16833">
        <v>102.42</v>
      </c>
      <c r="K16833">
        <v>12.58</v>
      </c>
      <c r="L16833">
        <v>54451</v>
      </c>
      <c r="M16833" t="s">
        <v>158</v>
      </c>
      <c r="N16833" t="str">
        <f>"20125109    "</f>
        <v xml:space="preserve">20125109    </v>
      </c>
      <c r="O16833">
        <v>231211</v>
      </c>
    </row>
    <row r="16834" spans="1:15" x14ac:dyDescent="0.25">
      <c r="A16834" t="s">
        <v>16</v>
      </c>
      <c r="B16834" t="s">
        <v>3221</v>
      </c>
      <c r="C16834">
        <v>16899</v>
      </c>
      <c r="D16834" t="s">
        <v>3231</v>
      </c>
      <c r="E16834" t="s">
        <v>3232</v>
      </c>
      <c r="F16834">
        <v>106.77</v>
      </c>
      <c r="G16834">
        <v>231130</v>
      </c>
      <c r="H16834">
        <v>4520</v>
      </c>
      <c r="I16834" t="s">
        <v>254</v>
      </c>
      <c r="J16834">
        <v>121.72</v>
      </c>
      <c r="K16834">
        <v>14.95</v>
      </c>
      <c r="L16834">
        <v>69112</v>
      </c>
      <c r="M16834" t="s">
        <v>313</v>
      </c>
      <c r="N16834" t="str">
        <f>"20139728    "</f>
        <v xml:space="preserve">20139728    </v>
      </c>
      <c r="O16834">
        <v>231211</v>
      </c>
    </row>
    <row r="16835" spans="1:15" x14ac:dyDescent="0.25">
      <c r="A16835" t="s">
        <v>16</v>
      </c>
      <c r="B16835" t="s">
        <v>3221</v>
      </c>
      <c r="C16835">
        <v>16899</v>
      </c>
      <c r="D16835" t="s">
        <v>3231</v>
      </c>
      <c r="E16835" t="s">
        <v>3232</v>
      </c>
      <c r="F16835">
        <v>5.94</v>
      </c>
      <c r="G16835">
        <v>231130</v>
      </c>
      <c r="H16835">
        <v>4520</v>
      </c>
      <c r="I16835" t="s">
        <v>254</v>
      </c>
      <c r="J16835">
        <v>6.77</v>
      </c>
      <c r="K16835">
        <v>0.83</v>
      </c>
      <c r="L16835">
        <v>69810</v>
      </c>
      <c r="M16835" t="s">
        <v>314</v>
      </c>
      <c r="N16835" t="str">
        <f>"20139728    "</f>
        <v xml:space="preserve">20139728    </v>
      </c>
      <c r="O16835">
        <v>231211</v>
      </c>
    </row>
    <row r="16836" spans="1:15" x14ac:dyDescent="0.25">
      <c r="A16836" t="s">
        <v>16</v>
      </c>
      <c r="B16836" t="s">
        <v>3221</v>
      </c>
      <c r="C16836">
        <v>16899</v>
      </c>
      <c r="D16836" t="s">
        <v>3231</v>
      </c>
      <c r="E16836" t="s">
        <v>3232</v>
      </c>
      <c r="F16836">
        <v>5.93</v>
      </c>
      <c r="G16836">
        <v>231130</v>
      </c>
      <c r="H16836">
        <v>4520</v>
      </c>
      <c r="I16836" t="s">
        <v>254</v>
      </c>
      <c r="J16836">
        <v>6.76</v>
      </c>
      <c r="K16836">
        <v>0.83</v>
      </c>
      <c r="L16836">
        <v>69811</v>
      </c>
      <c r="M16836" t="s">
        <v>315</v>
      </c>
      <c r="N16836" t="str">
        <f>"20139728    "</f>
        <v xml:space="preserve">20139728    </v>
      </c>
      <c r="O16836">
        <v>231211</v>
      </c>
    </row>
    <row r="16837" spans="1:15" x14ac:dyDescent="0.25">
      <c r="A16837" t="s">
        <v>16</v>
      </c>
      <c r="B16837" t="s">
        <v>3221</v>
      </c>
      <c r="C16837">
        <v>16957</v>
      </c>
      <c r="D16837" t="s">
        <v>3231</v>
      </c>
      <c r="E16837" t="s">
        <v>3232</v>
      </c>
      <c r="F16837">
        <v>108.14</v>
      </c>
      <c r="G16837">
        <v>231130</v>
      </c>
      <c r="H16837">
        <v>4520</v>
      </c>
      <c r="I16837" t="s">
        <v>254</v>
      </c>
      <c r="J16837">
        <v>123.28</v>
      </c>
      <c r="K16837">
        <v>15.14</v>
      </c>
      <c r="L16837">
        <v>69113</v>
      </c>
      <c r="M16837" t="s">
        <v>282</v>
      </c>
      <c r="N16837" t="str">
        <f>"20120348    "</f>
        <v xml:space="preserve">20120348    </v>
      </c>
      <c r="O16837">
        <v>231211</v>
      </c>
    </row>
    <row r="16838" spans="1:15" x14ac:dyDescent="0.25">
      <c r="A16838" t="s">
        <v>16</v>
      </c>
      <c r="B16838" t="s">
        <v>3221</v>
      </c>
      <c r="C16838">
        <v>16957</v>
      </c>
      <c r="D16838" t="s">
        <v>3231</v>
      </c>
      <c r="E16838" t="s">
        <v>3232</v>
      </c>
      <c r="F16838">
        <v>12.72</v>
      </c>
      <c r="G16838">
        <v>231130</v>
      </c>
      <c r="H16838">
        <v>4520</v>
      </c>
      <c r="I16838" t="s">
        <v>254</v>
      </c>
      <c r="J16838">
        <v>14.5</v>
      </c>
      <c r="K16838">
        <v>1.78</v>
      </c>
      <c r="L16838">
        <v>69802</v>
      </c>
      <c r="M16838" t="s">
        <v>283</v>
      </c>
      <c r="N16838" t="str">
        <f>"20120348    "</f>
        <v xml:space="preserve">20120348    </v>
      </c>
      <c r="O16838">
        <v>231211</v>
      </c>
    </row>
    <row r="16839" spans="1:15" x14ac:dyDescent="0.25">
      <c r="A16839" t="s">
        <v>16</v>
      </c>
      <c r="B16839" t="s">
        <v>3221</v>
      </c>
      <c r="C16839">
        <v>16957</v>
      </c>
      <c r="D16839" t="s">
        <v>3231</v>
      </c>
      <c r="E16839" t="s">
        <v>3232</v>
      </c>
      <c r="F16839">
        <v>6.37</v>
      </c>
      <c r="G16839">
        <v>231130</v>
      </c>
      <c r="H16839">
        <v>4520</v>
      </c>
      <c r="I16839" t="s">
        <v>254</v>
      </c>
      <c r="J16839">
        <v>7.26</v>
      </c>
      <c r="K16839">
        <v>0.89</v>
      </c>
      <c r="L16839">
        <v>69804</v>
      </c>
      <c r="M16839" t="s">
        <v>284</v>
      </c>
      <c r="N16839" t="str">
        <f>"20120348    "</f>
        <v xml:space="preserve">20120348    </v>
      </c>
      <c r="O16839">
        <v>231211</v>
      </c>
    </row>
    <row r="16840" spans="1:15" x14ac:dyDescent="0.25">
      <c r="A16840" t="s">
        <v>16</v>
      </c>
      <c r="B16840" t="s">
        <v>3221</v>
      </c>
      <c r="C16840">
        <v>16958</v>
      </c>
      <c r="D16840" t="s">
        <v>3231</v>
      </c>
      <c r="E16840" t="s">
        <v>3232</v>
      </c>
      <c r="F16840">
        <v>41.52</v>
      </c>
      <c r="G16840">
        <v>231130</v>
      </c>
      <c r="H16840">
        <v>4520</v>
      </c>
      <c r="I16840" t="s">
        <v>254</v>
      </c>
      <c r="J16840">
        <v>47.33</v>
      </c>
      <c r="K16840">
        <v>5.81</v>
      </c>
      <c r="L16840">
        <v>48601</v>
      </c>
      <c r="M16840" t="s">
        <v>1047</v>
      </c>
      <c r="N16840" t="str">
        <f>"20120342    "</f>
        <v xml:space="preserve">20120342    </v>
      </c>
      <c r="O16840">
        <v>231211</v>
      </c>
    </row>
    <row r="16841" spans="1:15" x14ac:dyDescent="0.25">
      <c r="A16841" t="s">
        <v>16</v>
      </c>
      <c r="B16841" t="s">
        <v>3221</v>
      </c>
      <c r="C16841">
        <v>16960</v>
      </c>
      <c r="D16841" t="s">
        <v>3231</v>
      </c>
      <c r="E16841" t="s">
        <v>3232</v>
      </c>
      <c r="F16841">
        <v>10.65</v>
      </c>
      <c r="G16841">
        <v>231130</v>
      </c>
      <c r="H16841">
        <v>4520</v>
      </c>
      <c r="I16841" t="s">
        <v>254</v>
      </c>
      <c r="J16841">
        <v>13.2</v>
      </c>
      <c r="K16841">
        <v>2.5499999999999998</v>
      </c>
      <c r="L16841">
        <v>16431</v>
      </c>
      <c r="M16841" t="s">
        <v>231</v>
      </c>
      <c r="N16841" t="str">
        <f>"20120345    "</f>
        <v xml:space="preserve">20120345    </v>
      </c>
      <c r="O16841">
        <v>231211</v>
      </c>
    </row>
    <row r="16842" spans="1:15" x14ac:dyDescent="0.25">
      <c r="A16842" t="s">
        <v>16</v>
      </c>
      <c r="B16842" t="s">
        <v>3221</v>
      </c>
      <c r="C16842">
        <v>16960</v>
      </c>
      <c r="D16842" t="s">
        <v>3231</v>
      </c>
      <c r="E16842" t="s">
        <v>3232</v>
      </c>
      <c r="F16842">
        <v>147.87</v>
      </c>
      <c r="G16842">
        <v>231130</v>
      </c>
      <c r="H16842">
        <v>4520</v>
      </c>
      <c r="I16842" t="s">
        <v>254</v>
      </c>
      <c r="J16842">
        <v>168.57</v>
      </c>
      <c r="K16842">
        <v>20.7</v>
      </c>
      <c r="L16842">
        <v>16431</v>
      </c>
      <c r="M16842" t="s">
        <v>231</v>
      </c>
      <c r="N16842" t="str">
        <f>"20120345    "</f>
        <v xml:space="preserve">20120345    </v>
      </c>
      <c r="O16842">
        <v>231211</v>
      </c>
    </row>
    <row r="16843" spans="1:15" x14ac:dyDescent="0.25">
      <c r="A16843" t="s">
        <v>16</v>
      </c>
      <c r="B16843" t="s">
        <v>3221</v>
      </c>
      <c r="C16843">
        <v>16960</v>
      </c>
      <c r="D16843" t="s">
        <v>3231</v>
      </c>
      <c r="E16843" t="s">
        <v>3232</v>
      </c>
      <c r="F16843">
        <v>61.93</v>
      </c>
      <c r="G16843">
        <v>231130</v>
      </c>
      <c r="H16843">
        <v>4520</v>
      </c>
      <c r="I16843" t="s">
        <v>254</v>
      </c>
      <c r="J16843">
        <v>70.599999999999994</v>
      </c>
      <c r="K16843">
        <v>8.67</v>
      </c>
      <c r="L16843">
        <v>17913</v>
      </c>
      <c r="M16843" t="s">
        <v>431</v>
      </c>
      <c r="N16843" t="str">
        <f>"20120345    "</f>
        <v xml:space="preserve">20120345    </v>
      </c>
      <c r="O16843">
        <v>231211</v>
      </c>
    </row>
    <row r="16844" spans="1:15" x14ac:dyDescent="0.25">
      <c r="A16844" t="s">
        <v>16</v>
      </c>
      <c r="B16844" t="s">
        <v>3221</v>
      </c>
      <c r="C16844">
        <v>17040</v>
      </c>
      <c r="D16844" t="s">
        <v>3231</v>
      </c>
      <c r="E16844" t="s">
        <v>3232</v>
      </c>
      <c r="F16844">
        <v>164.97</v>
      </c>
      <c r="G16844">
        <v>231130</v>
      </c>
      <c r="H16844">
        <v>4520</v>
      </c>
      <c r="I16844" t="s">
        <v>254</v>
      </c>
      <c r="J16844">
        <v>188.07</v>
      </c>
      <c r="K16844">
        <v>23.1</v>
      </c>
      <c r="L16844">
        <v>59111</v>
      </c>
      <c r="M16844" t="s">
        <v>1010</v>
      </c>
      <c r="N16844" t="str">
        <f>"20125108    "</f>
        <v xml:space="preserve">20125108    </v>
      </c>
      <c r="O16844">
        <v>231212</v>
      </c>
    </row>
    <row r="16845" spans="1:15" x14ac:dyDescent="0.25">
      <c r="A16845" t="s">
        <v>16</v>
      </c>
      <c r="B16845" t="s">
        <v>3221</v>
      </c>
      <c r="C16845">
        <v>17040</v>
      </c>
      <c r="D16845" t="s">
        <v>3231</v>
      </c>
      <c r="E16845" t="s">
        <v>3232</v>
      </c>
      <c r="F16845">
        <v>57.01</v>
      </c>
      <c r="G16845">
        <v>231130</v>
      </c>
      <c r="H16845">
        <v>4520</v>
      </c>
      <c r="I16845" t="s">
        <v>254</v>
      </c>
      <c r="J16845">
        <v>64.989999999999995</v>
      </c>
      <c r="K16845">
        <v>7.98</v>
      </c>
      <c r="L16845">
        <v>59112</v>
      </c>
      <c r="M16845" t="s">
        <v>182</v>
      </c>
      <c r="N16845" t="str">
        <f>"20125108    "</f>
        <v xml:space="preserve">20125108    </v>
      </c>
      <c r="O16845">
        <v>231212</v>
      </c>
    </row>
    <row r="16846" spans="1:15" x14ac:dyDescent="0.25">
      <c r="A16846" t="s">
        <v>16</v>
      </c>
      <c r="B16846" t="s">
        <v>3221</v>
      </c>
      <c r="C16846">
        <v>17040</v>
      </c>
      <c r="D16846" t="s">
        <v>3231</v>
      </c>
      <c r="E16846" t="s">
        <v>3232</v>
      </c>
      <c r="F16846">
        <v>38.6</v>
      </c>
      <c r="G16846">
        <v>231130</v>
      </c>
      <c r="H16846">
        <v>4520</v>
      </c>
      <c r="I16846" t="s">
        <v>254</v>
      </c>
      <c r="J16846">
        <v>44</v>
      </c>
      <c r="K16846">
        <v>5.4</v>
      </c>
      <c r="L16846">
        <v>59806</v>
      </c>
      <c r="M16846" t="s">
        <v>170</v>
      </c>
      <c r="N16846" t="str">
        <f>"20125108    "</f>
        <v xml:space="preserve">20125108    </v>
      </c>
      <c r="O16846">
        <v>231212</v>
      </c>
    </row>
    <row r="16847" spans="1:15" x14ac:dyDescent="0.25">
      <c r="A16847" t="s">
        <v>16</v>
      </c>
      <c r="B16847" t="s">
        <v>3221</v>
      </c>
      <c r="C16847">
        <v>17314</v>
      </c>
      <c r="D16847" t="s">
        <v>3231</v>
      </c>
      <c r="E16847" t="s">
        <v>3232</v>
      </c>
      <c r="F16847">
        <v>61.04</v>
      </c>
      <c r="G16847">
        <v>231130</v>
      </c>
      <c r="H16847">
        <v>4520</v>
      </c>
      <c r="I16847" t="s">
        <v>254</v>
      </c>
      <c r="J16847">
        <v>69.59</v>
      </c>
      <c r="K16847">
        <v>8.5500000000000007</v>
      </c>
      <c r="L16847">
        <v>11902</v>
      </c>
      <c r="M16847" t="s">
        <v>1443</v>
      </c>
      <c r="N16847" t="str">
        <f>"20120343    "</f>
        <v xml:space="preserve">20120343    </v>
      </c>
      <c r="O16847">
        <v>231213</v>
      </c>
    </row>
    <row r="16848" spans="1:15" x14ac:dyDescent="0.25">
      <c r="A16848" t="s">
        <v>16</v>
      </c>
      <c r="B16848" t="s">
        <v>3221</v>
      </c>
      <c r="C16848">
        <v>17314</v>
      </c>
      <c r="D16848" t="s">
        <v>3231</v>
      </c>
      <c r="E16848" t="s">
        <v>3232</v>
      </c>
      <c r="F16848">
        <v>71.78</v>
      </c>
      <c r="G16848">
        <v>231130</v>
      </c>
      <c r="H16848">
        <v>4520</v>
      </c>
      <c r="I16848" t="s">
        <v>254</v>
      </c>
      <c r="J16848">
        <v>81.83</v>
      </c>
      <c r="K16848">
        <v>10.050000000000001</v>
      </c>
      <c r="L16848">
        <v>14541</v>
      </c>
      <c r="M16848" t="s">
        <v>626</v>
      </c>
      <c r="N16848" t="str">
        <f>"20120343    "</f>
        <v xml:space="preserve">20120343    </v>
      </c>
      <c r="O16848">
        <v>231213</v>
      </c>
    </row>
    <row r="16849" spans="1:15" x14ac:dyDescent="0.25">
      <c r="A16849" t="s">
        <v>16</v>
      </c>
      <c r="B16849" t="s">
        <v>3221</v>
      </c>
      <c r="C16849">
        <v>17314</v>
      </c>
      <c r="D16849" t="s">
        <v>3231</v>
      </c>
      <c r="E16849" t="s">
        <v>3232</v>
      </c>
      <c r="F16849">
        <v>14.81</v>
      </c>
      <c r="G16849">
        <v>231130</v>
      </c>
      <c r="H16849">
        <v>4520</v>
      </c>
      <c r="I16849" t="s">
        <v>254</v>
      </c>
      <c r="J16849">
        <v>16.88</v>
      </c>
      <c r="K16849">
        <v>2.0699999999999998</v>
      </c>
      <c r="L16849">
        <v>14640</v>
      </c>
      <c r="M16849" t="s">
        <v>229</v>
      </c>
      <c r="N16849" t="str">
        <f>"20120343    "</f>
        <v xml:space="preserve">20120343    </v>
      </c>
      <c r="O16849">
        <v>231213</v>
      </c>
    </row>
    <row r="16850" spans="1:15" x14ac:dyDescent="0.25">
      <c r="A16850" t="s">
        <v>16</v>
      </c>
      <c r="B16850" t="s">
        <v>3221</v>
      </c>
      <c r="C16850">
        <v>17314</v>
      </c>
      <c r="D16850" t="s">
        <v>3231</v>
      </c>
      <c r="E16850" t="s">
        <v>3232</v>
      </c>
      <c r="F16850">
        <v>17.64</v>
      </c>
      <c r="G16850">
        <v>231130</v>
      </c>
      <c r="H16850">
        <v>4520</v>
      </c>
      <c r="I16850" t="s">
        <v>254</v>
      </c>
      <c r="J16850">
        <v>20.11</v>
      </c>
      <c r="K16850">
        <v>2.4700000000000002</v>
      </c>
      <c r="L16850">
        <v>14640</v>
      </c>
      <c r="M16850" t="s">
        <v>229</v>
      </c>
      <c r="N16850" t="str">
        <f>"20120343    "</f>
        <v xml:space="preserve">20120343    </v>
      </c>
      <c r="O16850">
        <v>231213</v>
      </c>
    </row>
    <row r="16851" spans="1:15" x14ac:dyDescent="0.25">
      <c r="A16851" t="s">
        <v>16</v>
      </c>
      <c r="B16851" t="s">
        <v>3221</v>
      </c>
      <c r="C16851">
        <v>17387</v>
      </c>
      <c r="D16851" t="s">
        <v>3231</v>
      </c>
      <c r="E16851" t="s">
        <v>3232</v>
      </c>
      <c r="F16851">
        <v>85.97</v>
      </c>
      <c r="G16851">
        <v>231130</v>
      </c>
      <c r="H16851">
        <v>4520</v>
      </c>
      <c r="I16851" t="s">
        <v>254</v>
      </c>
      <c r="J16851">
        <v>98.01</v>
      </c>
      <c r="K16851">
        <v>12.04</v>
      </c>
      <c r="L16851">
        <v>66722</v>
      </c>
      <c r="M16851" t="s">
        <v>518</v>
      </c>
      <c r="N16851" t="str">
        <f>"20120347    "</f>
        <v xml:space="preserve">20120347    </v>
      </c>
      <c r="O16851">
        <v>231213</v>
      </c>
    </row>
    <row r="16852" spans="1:15" x14ac:dyDescent="0.25">
      <c r="A16852" t="s">
        <v>16</v>
      </c>
      <c r="B16852" t="s">
        <v>3221</v>
      </c>
      <c r="C16852">
        <v>17387</v>
      </c>
      <c r="D16852" t="s">
        <v>3231</v>
      </c>
      <c r="E16852" t="s">
        <v>3232</v>
      </c>
      <c r="F16852">
        <v>85.98</v>
      </c>
      <c r="G16852">
        <v>231130</v>
      </c>
      <c r="H16852">
        <v>4520</v>
      </c>
      <c r="I16852" t="s">
        <v>254</v>
      </c>
      <c r="J16852">
        <v>98.02</v>
      </c>
      <c r="K16852">
        <v>12.04</v>
      </c>
      <c r="L16852">
        <v>66754</v>
      </c>
      <c r="M16852" t="s">
        <v>239</v>
      </c>
      <c r="N16852" t="str">
        <f>"20120347    "</f>
        <v xml:space="preserve">20120347    </v>
      </c>
      <c r="O16852">
        <v>231213</v>
      </c>
    </row>
    <row r="16853" spans="1:15" x14ac:dyDescent="0.25">
      <c r="A16853" t="s">
        <v>16</v>
      </c>
      <c r="B16853" t="s">
        <v>3221</v>
      </c>
      <c r="C16853">
        <v>17387</v>
      </c>
      <c r="D16853" t="s">
        <v>3231</v>
      </c>
      <c r="E16853" t="s">
        <v>3232</v>
      </c>
      <c r="F16853">
        <v>108.82</v>
      </c>
      <c r="G16853">
        <v>231130</v>
      </c>
      <c r="H16853">
        <v>4520</v>
      </c>
      <c r="I16853" t="s">
        <v>254</v>
      </c>
      <c r="J16853">
        <v>124.06</v>
      </c>
      <c r="K16853">
        <v>15.24</v>
      </c>
      <c r="L16853">
        <v>67522</v>
      </c>
      <c r="M16853" t="s">
        <v>397</v>
      </c>
      <c r="N16853" t="str">
        <f>"20120347    "</f>
        <v xml:space="preserve">20120347    </v>
      </c>
      <c r="O16853">
        <v>231213</v>
      </c>
    </row>
    <row r="16854" spans="1:15" x14ac:dyDescent="0.25">
      <c r="A16854" t="s">
        <v>16</v>
      </c>
      <c r="B16854" t="s">
        <v>3221</v>
      </c>
      <c r="C16854">
        <v>17390</v>
      </c>
      <c r="D16854" t="s">
        <v>3231</v>
      </c>
      <c r="E16854" t="s">
        <v>3232</v>
      </c>
      <c r="F16854">
        <v>33</v>
      </c>
      <c r="G16854">
        <v>231130</v>
      </c>
      <c r="H16854">
        <v>4520</v>
      </c>
      <c r="I16854" t="s">
        <v>254</v>
      </c>
      <c r="J16854">
        <v>37.619999999999997</v>
      </c>
      <c r="K16854">
        <v>4.62</v>
      </c>
      <c r="L16854">
        <v>13561</v>
      </c>
      <c r="M16854" t="s">
        <v>246</v>
      </c>
      <c r="N16854" t="str">
        <f>"20129027    "</f>
        <v xml:space="preserve">20129027    </v>
      </c>
      <c r="O16854">
        <v>231213</v>
      </c>
    </row>
    <row r="16855" spans="1:15" x14ac:dyDescent="0.25">
      <c r="A16855" t="s">
        <v>16</v>
      </c>
      <c r="B16855" t="s">
        <v>3221</v>
      </c>
      <c r="C16855">
        <v>17697</v>
      </c>
      <c r="D16855" t="s">
        <v>3231</v>
      </c>
      <c r="E16855" t="s">
        <v>3232</v>
      </c>
      <c r="F16855">
        <v>169.65</v>
      </c>
      <c r="G16855">
        <v>231201</v>
      </c>
      <c r="H16855">
        <v>4520</v>
      </c>
      <c r="I16855" t="s">
        <v>254</v>
      </c>
      <c r="J16855">
        <v>193.4</v>
      </c>
      <c r="K16855">
        <v>23.75</v>
      </c>
      <c r="L16855">
        <v>44253</v>
      </c>
      <c r="M16855" t="s">
        <v>1058</v>
      </c>
      <c r="N16855" t="str">
        <f>"20124969    "</f>
        <v xml:space="preserve">20124969    </v>
      </c>
      <c r="O16855">
        <v>231221</v>
      </c>
    </row>
    <row r="16856" spans="1:15" x14ac:dyDescent="0.25">
      <c r="A16856" t="s">
        <v>16</v>
      </c>
      <c r="B16856" t="s">
        <v>3221</v>
      </c>
      <c r="C16856">
        <v>18599</v>
      </c>
      <c r="D16856" t="s">
        <v>3231</v>
      </c>
      <c r="E16856" t="s">
        <v>3232</v>
      </c>
      <c r="F16856">
        <v>56.89</v>
      </c>
      <c r="G16856">
        <v>231231</v>
      </c>
      <c r="H16856">
        <v>4520</v>
      </c>
      <c r="I16856" t="s">
        <v>254</v>
      </c>
      <c r="J16856">
        <v>64.849999999999994</v>
      </c>
      <c r="K16856">
        <v>7.96</v>
      </c>
      <c r="L16856">
        <v>69112</v>
      </c>
      <c r="M16856" t="s">
        <v>313</v>
      </c>
      <c r="N16856" t="str">
        <f>"20179590    "</f>
        <v xml:space="preserve">20179590    </v>
      </c>
      <c r="O16856">
        <v>240104</v>
      </c>
    </row>
    <row r="16857" spans="1:15" x14ac:dyDescent="0.25">
      <c r="A16857" t="s">
        <v>16</v>
      </c>
      <c r="B16857" t="s">
        <v>3221</v>
      </c>
      <c r="C16857">
        <v>18599</v>
      </c>
      <c r="D16857" t="s">
        <v>3231</v>
      </c>
      <c r="E16857" t="s">
        <v>3232</v>
      </c>
      <c r="F16857">
        <v>3.17</v>
      </c>
      <c r="G16857">
        <v>231231</v>
      </c>
      <c r="H16857">
        <v>4520</v>
      </c>
      <c r="I16857" t="s">
        <v>254</v>
      </c>
      <c r="J16857">
        <v>3.61</v>
      </c>
      <c r="K16857">
        <v>0.44</v>
      </c>
      <c r="L16857">
        <v>69810</v>
      </c>
      <c r="M16857" t="s">
        <v>314</v>
      </c>
      <c r="N16857" t="str">
        <f>"20179590    "</f>
        <v xml:space="preserve">20179590    </v>
      </c>
      <c r="O16857">
        <v>240104</v>
      </c>
    </row>
    <row r="16858" spans="1:15" x14ac:dyDescent="0.25">
      <c r="A16858" t="s">
        <v>16</v>
      </c>
      <c r="B16858" t="s">
        <v>3221</v>
      </c>
      <c r="C16858">
        <v>18599</v>
      </c>
      <c r="D16858" t="s">
        <v>3231</v>
      </c>
      <c r="E16858" t="s">
        <v>3232</v>
      </c>
      <c r="F16858">
        <v>3.16</v>
      </c>
      <c r="G16858">
        <v>231231</v>
      </c>
      <c r="H16858">
        <v>4520</v>
      </c>
      <c r="I16858" t="s">
        <v>254</v>
      </c>
      <c r="J16858">
        <v>3.6</v>
      </c>
      <c r="K16858">
        <v>0.44</v>
      </c>
      <c r="L16858">
        <v>69811</v>
      </c>
      <c r="M16858" t="s">
        <v>315</v>
      </c>
      <c r="N16858" t="str">
        <f>"20179590    "</f>
        <v xml:space="preserve">20179590    </v>
      </c>
      <c r="O16858">
        <v>240104</v>
      </c>
    </row>
    <row r="16859" spans="1:15" x14ac:dyDescent="0.25">
      <c r="A16859" t="s">
        <v>16</v>
      </c>
      <c r="B16859" t="s">
        <v>3221</v>
      </c>
      <c r="C16859">
        <v>18600</v>
      </c>
      <c r="D16859" t="s">
        <v>3231</v>
      </c>
      <c r="E16859" t="s">
        <v>3232</v>
      </c>
      <c r="F16859">
        <v>35.200000000000003</v>
      </c>
      <c r="G16859">
        <v>231231</v>
      </c>
      <c r="H16859">
        <v>4520</v>
      </c>
      <c r="I16859" t="s">
        <v>254</v>
      </c>
      <c r="J16859">
        <v>40.130000000000003</v>
      </c>
      <c r="K16859">
        <v>4.93</v>
      </c>
      <c r="L16859">
        <v>17915</v>
      </c>
      <c r="M16859" t="s">
        <v>572</v>
      </c>
      <c r="N16859" t="str">
        <f>"20160414    "</f>
        <v xml:space="preserve">20160414    </v>
      </c>
      <c r="O16859">
        <v>240104</v>
      </c>
    </row>
    <row r="16860" spans="1:15" x14ac:dyDescent="0.25">
      <c r="A16860" t="s">
        <v>16</v>
      </c>
      <c r="B16860" t="s">
        <v>3221</v>
      </c>
      <c r="C16860">
        <v>18600</v>
      </c>
      <c r="D16860" t="s">
        <v>3231</v>
      </c>
      <c r="E16860" t="s">
        <v>3232</v>
      </c>
      <c r="F16860">
        <v>142.59</v>
      </c>
      <c r="G16860">
        <v>231231</v>
      </c>
      <c r="H16860">
        <v>4520</v>
      </c>
      <c r="I16860" t="s">
        <v>254</v>
      </c>
      <c r="J16860">
        <v>162.55000000000001</v>
      </c>
      <c r="K16860">
        <v>19.96</v>
      </c>
      <c r="L16860">
        <v>17972</v>
      </c>
      <c r="M16860" t="s">
        <v>248</v>
      </c>
      <c r="N16860" t="str">
        <f>"20160414    "</f>
        <v xml:space="preserve">20160414    </v>
      </c>
      <c r="O16860">
        <v>240104</v>
      </c>
    </row>
    <row r="16861" spans="1:15" x14ac:dyDescent="0.25">
      <c r="A16861" t="s">
        <v>16</v>
      </c>
      <c r="B16861" t="s">
        <v>3221</v>
      </c>
      <c r="C16861">
        <v>18601</v>
      </c>
      <c r="D16861" t="s">
        <v>3231</v>
      </c>
      <c r="E16861" t="s">
        <v>3232</v>
      </c>
      <c r="F16861">
        <v>58.61</v>
      </c>
      <c r="G16861">
        <v>231231</v>
      </c>
      <c r="H16861">
        <v>4520</v>
      </c>
      <c r="I16861" t="s">
        <v>254</v>
      </c>
      <c r="J16861">
        <v>66.81</v>
      </c>
      <c r="K16861">
        <v>8.1999999999999993</v>
      </c>
      <c r="L16861">
        <v>14121</v>
      </c>
      <c r="M16861" t="s">
        <v>880</v>
      </c>
      <c r="N16861" t="str">
        <f>"20160410    "</f>
        <v xml:space="preserve">20160410    </v>
      </c>
      <c r="O16861">
        <v>240104</v>
      </c>
    </row>
    <row r="16862" spans="1:15" x14ac:dyDescent="0.25">
      <c r="A16862" t="s">
        <v>16</v>
      </c>
      <c r="B16862" t="s">
        <v>3221</v>
      </c>
      <c r="C16862">
        <v>18740</v>
      </c>
      <c r="D16862" t="s">
        <v>3231</v>
      </c>
      <c r="E16862" t="s">
        <v>3232</v>
      </c>
      <c r="F16862">
        <v>95.82</v>
      </c>
      <c r="G16862">
        <v>231231</v>
      </c>
      <c r="H16862">
        <v>4520</v>
      </c>
      <c r="I16862" t="s">
        <v>254</v>
      </c>
      <c r="J16862">
        <v>109.24</v>
      </c>
      <c r="K16862">
        <v>13.42</v>
      </c>
      <c r="L16862">
        <v>16431</v>
      </c>
      <c r="M16862" t="s">
        <v>231</v>
      </c>
      <c r="N16862" t="str">
        <f>"20160413    "</f>
        <v xml:space="preserve">20160413    </v>
      </c>
      <c r="O16862">
        <v>240105</v>
      </c>
    </row>
    <row r="16863" spans="1:15" x14ac:dyDescent="0.25">
      <c r="A16863" t="s">
        <v>16</v>
      </c>
      <c r="B16863" t="s">
        <v>3221</v>
      </c>
      <c r="C16863">
        <v>18740</v>
      </c>
      <c r="D16863" t="s">
        <v>3231</v>
      </c>
      <c r="E16863" t="s">
        <v>3232</v>
      </c>
      <c r="F16863">
        <v>52.94</v>
      </c>
      <c r="G16863">
        <v>231231</v>
      </c>
      <c r="H16863">
        <v>4520</v>
      </c>
      <c r="I16863" t="s">
        <v>254</v>
      </c>
      <c r="J16863">
        <v>60.35</v>
      </c>
      <c r="K16863">
        <v>7.41</v>
      </c>
      <c r="L16863">
        <v>17913</v>
      </c>
      <c r="M16863" t="s">
        <v>431</v>
      </c>
      <c r="N16863" t="str">
        <f>"20160413    "</f>
        <v xml:space="preserve">20160413    </v>
      </c>
      <c r="O16863">
        <v>240105</v>
      </c>
    </row>
    <row r="16864" spans="1:15" x14ac:dyDescent="0.25">
      <c r="A16864" t="s">
        <v>16</v>
      </c>
      <c r="B16864" t="s">
        <v>3221</v>
      </c>
      <c r="C16864">
        <v>18741</v>
      </c>
      <c r="D16864" t="s">
        <v>3231</v>
      </c>
      <c r="E16864" t="s">
        <v>3232</v>
      </c>
      <c r="F16864">
        <v>13.77</v>
      </c>
      <c r="G16864">
        <v>231231</v>
      </c>
      <c r="H16864">
        <v>4520</v>
      </c>
      <c r="I16864" t="s">
        <v>254</v>
      </c>
      <c r="J16864">
        <v>15.7</v>
      </c>
      <c r="K16864">
        <v>1.93</v>
      </c>
      <c r="L16864">
        <v>54451</v>
      </c>
      <c r="M16864" t="s">
        <v>158</v>
      </c>
      <c r="N16864" t="str">
        <f>"20165153    "</f>
        <v xml:space="preserve">20165153    </v>
      </c>
      <c r="O16864">
        <v>240105</v>
      </c>
    </row>
    <row r="16865" spans="1:15" x14ac:dyDescent="0.25">
      <c r="A16865" t="s">
        <v>16</v>
      </c>
      <c r="B16865" t="s">
        <v>3221</v>
      </c>
      <c r="C16865">
        <v>18745</v>
      </c>
      <c r="D16865" t="s">
        <v>3231</v>
      </c>
      <c r="E16865" t="s">
        <v>3232</v>
      </c>
      <c r="F16865">
        <v>86.68</v>
      </c>
      <c r="G16865">
        <v>231231</v>
      </c>
      <c r="H16865">
        <v>4520</v>
      </c>
      <c r="I16865" t="s">
        <v>254</v>
      </c>
      <c r="J16865">
        <v>98.81</v>
      </c>
      <c r="K16865">
        <v>12.13</v>
      </c>
      <c r="L16865">
        <v>67522</v>
      </c>
      <c r="M16865" t="s">
        <v>397</v>
      </c>
      <c r="N16865" t="str">
        <f>"20160415    "</f>
        <v xml:space="preserve">20160415    </v>
      </c>
      <c r="O16865">
        <v>240105</v>
      </c>
    </row>
    <row r="16866" spans="1:15" x14ac:dyDescent="0.25">
      <c r="A16866" t="s">
        <v>16</v>
      </c>
      <c r="B16866" t="s">
        <v>3221</v>
      </c>
      <c r="C16866">
        <v>18947</v>
      </c>
      <c r="D16866" t="s">
        <v>3231</v>
      </c>
      <c r="E16866" t="s">
        <v>3232</v>
      </c>
      <c r="F16866">
        <v>88.46</v>
      </c>
      <c r="G16866">
        <v>231231</v>
      </c>
      <c r="H16866">
        <v>4520</v>
      </c>
      <c r="I16866" t="s">
        <v>254</v>
      </c>
      <c r="J16866">
        <v>100.85</v>
      </c>
      <c r="K16866">
        <v>12.39</v>
      </c>
      <c r="L16866">
        <v>14432</v>
      </c>
      <c r="M16866" t="s">
        <v>862</v>
      </c>
      <c r="N16866" t="str">
        <f>"20160411    "</f>
        <v xml:space="preserve">20160411    </v>
      </c>
      <c r="O16866">
        <v>240109</v>
      </c>
    </row>
    <row r="16867" spans="1:15" x14ac:dyDescent="0.25">
      <c r="A16867" t="s">
        <v>16</v>
      </c>
      <c r="B16867" t="s">
        <v>3221</v>
      </c>
      <c r="C16867">
        <v>18977</v>
      </c>
      <c r="D16867" t="s">
        <v>3231</v>
      </c>
      <c r="E16867" t="s">
        <v>3232</v>
      </c>
      <c r="F16867">
        <v>105.98</v>
      </c>
      <c r="G16867">
        <v>231231</v>
      </c>
      <c r="H16867">
        <v>4520</v>
      </c>
      <c r="I16867" t="s">
        <v>254</v>
      </c>
      <c r="J16867">
        <v>120.82</v>
      </c>
      <c r="K16867">
        <v>14.84</v>
      </c>
      <c r="L16867">
        <v>59111</v>
      </c>
      <c r="M16867" t="s">
        <v>1010</v>
      </c>
      <c r="N16867" t="str">
        <f>"20165152    "</f>
        <v xml:space="preserve">20165152    </v>
      </c>
      <c r="O16867">
        <v>240109</v>
      </c>
    </row>
    <row r="16868" spans="1:15" x14ac:dyDescent="0.25">
      <c r="A16868" t="s">
        <v>16</v>
      </c>
      <c r="B16868" t="s">
        <v>3221</v>
      </c>
      <c r="C16868">
        <v>18977</v>
      </c>
      <c r="D16868" t="s">
        <v>3231</v>
      </c>
      <c r="E16868" t="s">
        <v>3232</v>
      </c>
      <c r="F16868">
        <v>31.64</v>
      </c>
      <c r="G16868">
        <v>231231</v>
      </c>
      <c r="H16868">
        <v>4520</v>
      </c>
      <c r="I16868" t="s">
        <v>254</v>
      </c>
      <c r="J16868">
        <v>36.07</v>
      </c>
      <c r="K16868">
        <v>4.43</v>
      </c>
      <c r="L16868">
        <v>59702</v>
      </c>
      <c r="M16868" t="s">
        <v>328</v>
      </c>
      <c r="N16868" t="str">
        <f>"20165152    "</f>
        <v xml:space="preserve">20165152    </v>
      </c>
      <c r="O16868">
        <v>240109</v>
      </c>
    </row>
    <row r="16869" spans="1:15" x14ac:dyDescent="0.25">
      <c r="A16869" t="s">
        <v>16</v>
      </c>
      <c r="B16869" t="s">
        <v>3221</v>
      </c>
      <c r="C16869">
        <v>18977</v>
      </c>
      <c r="D16869" t="s">
        <v>3231</v>
      </c>
      <c r="E16869" t="s">
        <v>3232</v>
      </c>
      <c r="F16869">
        <v>32.07</v>
      </c>
      <c r="G16869">
        <v>231231</v>
      </c>
      <c r="H16869">
        <v>4520</v>
      </c>
      <c r="I16869" t="s">
        <v>254</v>
      </c>
      <c r="J16869">
        <v>36.56</v>
      </c>
      <c r="K16869">
        <v>4.49</v>
      </c>
      <c r="L16869">
        <v>59806</v>
      </c>
      <c r="M16869" t="s">
        <v>170</v>
      </c>
      <c r="N16869" t="str">
        <f>"20165152    "</f>
        <v xml:space="preserve">20165152    </v>
      </c>
      <c r="O16869">
        <v>240109</v>
      </c>
    </row>
    <row r="16870" spans="1:15" x14ac:dyDescent="0.25">
      <c r="A16870" t="s">
        <v>16</v>
      </c>
      <c r="B16870" t="s">
        <v>3221</v>
      </c>
      <c r="C16870">
        <v>19043</v>
      </c>
      <c r="D16870" t="s">
        <v>3231</v>
      </c>
      <c r="E16870" t="s">
        <v>3232</v>
      </c>
      <c r="F16870">
        <v>31.91</v>
      </c>
      <c r="G16870">
        <v>231231</v>
      </c>
      <c r="H16870">
        <v>4520</v>
      </c>
      <c r="I16870" t="s">
        <v>254</v>
      </c>
      <c r="J16870">
        <v>36.380000000000003</v>
      </c>
      <c r="K16870">
        <v>4.47</v>
      </c>
      <c r="L16870">
        <v>49112</v>
      </c>
      <c r="M16870" t="s">
        <v>233</v>
      </c>
      <c r="N16870" t="str">
        <f>"20160409    "</f>
        <v xml:space="preserve">20160409    </v>
      </c>
      <c r="O16870">
        <v>240110</v>
      </c>
    </row>
    <row r="16871" spans="1:15" x14ac:dyDescent="0.25">
      <c r="A16871" t="s">
        <v>16</v>
      </c>
      <c r="B16871" t="s">
        <v>3221</v>
      </c>
      <c r="C16871">
        <v>19045</v>
      </c>
      <c r="D16871" t="s">
        <v>3231</v>
      </c>
      <c r="E16871" t="s">
        <v>3232</v>
      </c>
      <c r="F16871">
        <v>20.260000000000002</v>
      </c>
      <c r="G16871">
        <v>231231</v>
      </c>
      <c r="H16871">
        <v>4520</v>
      </c>
      <c r="I16871" t="s">
        <v>254</v>
      </c>
      <c r="J16871">
        <v>23.1</v>
      </c>
      <c r="K16871">
        <v>2.84</v>
      </c>
      <c r="L16871">
        <v>44222</v>
      </c>
      <c r="M16871" t="s">
        <v>232</v>
      </c>
      <c r="N16871" t="str">
        <f>"20160408    "</f>
        <v xml:space="preserve">20160408    </v>
      </c>
      <c r="O16871">
        <v>240110</v>
      </c>
    </row>
    <row r="16872" spans="1:15" x14ac:dyDescent="0.25">
      <c r="A16872" t="s">
        <v>16</v>
      </c>
      <c r="B16872" t="s">
        <v>3221</v>
      </c>
      <c r="C16872">
        <v>19045</v>
      </c>
      <c r="D16872" t="s">
        <v>3231</v>
      </c>
      <c r="E16872" t="s">
        <v>3232</v>
      </c>
      <c r="F16872">
        <v>20.260000000000002</v>
      </c>
      <c r="G16872">
        <v>231231</v>
      </c>
      <c r="H16872">
        <v>4520</v>
      </c>
      <c r="I16872" t="s">
        <v>254</v>
      </c>
      <c r="J16872">
        <v>23.1</v>
      </c>
      <c r="K16872">
        <v>2.84</v>
      </c>
      <c r="L16872">
        <v>44222</v>
      </c>
      <c r="M16872" t="s">
        <v>232</v>
      </c>
      <c r="N16872" t="str">
        <f>"20160408    "</f>
        <v xml:space="preserve">20160408    </v>
      </c>
      <c r="O16872">
        <v>240110</v>
      </c>
    </row>
    <row r="16873" spans="1:15" x14ac:dyDescent="0.25">
      <c r="A16873" t="s">
        <v>16</v>
      </c>
      <c r="B16873" t="s">
        <v>3221</v>
      </c>
      <c r="C16873">
        <v>19045</v>
      </c>
      <c r="D16873" t="s">
        <v>3231</v>
      </c>
      <c r="E16873" t="s">
        <v>3232</v>
      </c>
      <c r="F16873">
        <v>44.17</v>
      </c>
      <c r="G16873">
        <v>231231</v>
      </c>
      <c r="H16873">
        <v>4520</v>
      </c>
      <c r="I16873" t="s">
        <v>254</v>
      </c>
      <c r="J16873">
        <v>50.35</v>
      </c>
      <c r="K16873">
        <v>6.18</v>
      </c>
      <c r="L16873">
        <v>44251</v>
      </c>
      <c r="M16873" t="s">
        <v>156</v>
      </c>
      <c r="N16873" t="str">
        <f>"20160408    "</f>
        <v xml:space="preserve">20160408    </v>
      </c>
      <c r="O16873">
        <v>240110</v>
      </c>
    </row>
    <row r="16874" spans="1:15" x14ac:dyDescent="0.25">
      <c r="A16874" t="s">
        <v>16</v>
      </c>
      <c r="B16874" t="s">
        <v>3221</v>
      </c>
      <c r="C16874">
        <v>19045</v>
      </c>
      <c r="D16874" t="s">
        <v>3231</v>
      </c>
      <c r="E16874" t="s">
        <v>3232</v>
      </c>
      <c r="F16874">
        <v>45.5</v>
      </c>
      <c r="G16874">
        <v>231231</v>
      </c>
      <c r="H16874">
        <v>4520</v>
      </c>
      <c r="I16874" t="s">
        <v>254</v>
      </c>
      <c r="J16874">
        <v>51.87</v>
      </c>
      <c r="K16874">
        <v>6.37</v>
      </c>
      <c r="L16874">
        <v>44251</v>
      </c>
      <c r="M16874" t="s">
        <v>156</v>
      </c>
      <c r="N16874" t="str">
        <f>"20160408    "</f>
        <v xml:space="preserve">20160408    </v>
      </c>
      <c r="O16874">
        <v>240110</v>
      </c>
    </row>
    <row r="16875" spans="1:15" x14ac:dyDescent="0.25">
      <c r="A16875" t="s">
        <v>16</v>
      </c>
      <c r="B16875" t="s">
        <v>3221</v>
      </c>
      <c r="C16875">
        <v>19045</v>
      </c>
      <c r="D16875" t="s">
        <v>3231</v>
      </c>
      <c r="E16875" t="s">
        <v>3232</v>
      </c>
      <c r="F16875">
        <v>118.75</v>
      </c>
      <c r="G16875">
        <v>231231</v>
      </c>
      <c r="H16875">
        <v>4520</v>
      </c>
      <c r="I16875" t="s">
        <v>254</v>
      </c>
      <c r="J16875">
        <v>135.37</v>
      </c>
      <c r="K16875">
        <v>16.62</v>
      </c>
      <c r="L16875">
        <v>44251</v>
      </c>
      <c r="M16875" t="s">
        <v>156</v>
      </c>
      <c r="N16875" t="str">
        <f>"20160408    "</f>
        <v xml:space="preserve">20160408    </v>
      </c>
      <c r="O16875">
        <v>240110</v>
      </c>
    </row>
    <row r="16876" spans="1:15" x14ac:dyDescent="0.25">
      <c r="A16876" t="s">
        <v>16</v>
      </c>
      <c r="B16876" t="s">
        <v>3221</v>
      </c>
      <c r="C16876">
        <v>19176</v>
      </c>
      <c r="D16876" t="s">
        <v>3231</v>
      </c>
      <c r="E16876" t="s">
        <v>3232</v>
      </c>
      <c r="F16876">
        <v>38.35</v>
      </c>
      <c r="G16876">
        <v>231231</v>
      </c>
      <c r="H16876">
        <v>4520</v>
      </c>
      <c r="I16876" t="s">
        <v>254</v>
      </c>
      <c r="J16876">
        <v>43.72</v>
      </c>
      <c r="K16876">
        <v>5.37</v>
      </c>
      <c r="L16876">
        <v>44253</v>
      </c>
      <c r="M16876" t="s">
        <v>1058</v>
      </c>
      <c r="N16876" t="str">
        <f>"20165018    "</f>
        <v xml:space="preserve">20165018    </v>
      </c>
      <c r="O16876">
        <v>240129</v>
      </c>
    </row>
    <row r="16877" spans="1:15" x14ac:dyDescent="0.25">
      <c r="A16877" t="s">
        <v>16</v>
      </c>
      <c r="B16877" t="s">
        <v>3221</v>
      </c>
      <c r="C16877">
        <v>15417</v>
      </c>
      <c r="D16877" t="s">
        <v>3231</v>
      </c>
      <c r="E16877" t="s">
        <v>3232</v>
      </c>
      <c r="F16877">
        <v>1457</v>
      </c>
      <c r="G16877">
        <v>231031</v>
      </c>
      <c r="H16877">
        <v>4571</v>
      </c>
      <c r="I16877" t="s">
        <v>181</v>
      </c>
      <c r="J16877">
        <v>1457</v>
      </c>
      <c r="K16877">
        <v>0</v>
      </c>
      <c r="L16877">
        <v>59813</v>
      </c>
      <c r="M16877" t="s">
        <v>915</v>
      </c>
      <c r="N16877" t="str">
        <f>"20095292    "</f>
        <v xml:space="preserve">20095292    </v>
      </c>
      <c r="O16877">
        <v>231113</v>
      </c>
    </row>
    <row r="16878" spans="1:15" x14ac:dyDescent="0.25">
      <c r="A16878" t="s">
        <v>16</v>
      </c>
      <c r="B16878" t="s">
        <v>3221</v>
      </c>
      <c r="C16878">
        <v>8544</v>
      </c>
      <c r="D16878" t="s">
        <v>3231</v>
      </c>
      <c r="E16878" t="s">
        <v>3232</v>
      </c>
      <c r="F16878">
        <v>77.95</v>
      </c>
      <c r="G16878">
        <v>230531</v>
      </c>
      <c r="H16878">
        <v>4410</v>
      </c>
      <c r="I16878" t="s">
        <v>517</v>
      </c>
      <c r="J16878">
        <v>88.86</v>
      </c>
      <c r="K16878">
        <v>10.91</v>
      </c>
      <c r="L16878">
        <v>14861</v>
      </c>
      <c r="M16878" t="s">
        <v>785</v>
      </c>
      <c r="N16878" t="str">
        <f>"19895847    "</f>
        <v xml:space="preserve">19895847    </v>
      </c>
      <c r="O16878">
        <v>230612</v>
      </c>
    </row>
    <row r="16879" spans="1:15" x14ac:dyDescent="0.25">
      <c r="A16879" t="s">
        <v>16</v>
      </c>
      <c r="B16879" t="s">
        <v>3221</v>
      </c>
      <c r="C16879">
        <v>1173</v>
      </c>
      <c r="D16879" t="s">
        <v>3231</v>
      </c>
      <c r="E16879" t="s">
        <v>3232</v>
      </c>
      <c r="F16879">
        <v>13.76</v>
      </c>
      <c r="G16879">
        <v>230131</v>
      </c>
      <c r="H16879">
        <v>4600</v>
      </c>
      <c r="I16879" t="s">
        <v>105</v>
      </c>
      <c r="J16879">
        <v>17.059999999999999</v>
      </c>
      <c r="K16879">
        <v>3.3</v>
      </c>
      <c r="L16879">
        <v>54451</v>
      </c>
      <c r="M16879" t="s">
        <v>158</v>
      </c>
      <c r="N16879" t="str">
        <f>"19759748    "</f>
        <v xml:space="preserve">19759748    </v>
      </c>
      <c r="O16879">
        <v>230206</v>
      </c>
    </row>
    <row r="16880" spans="1:15" x14ac:dyDescent="0.25">
      <c r="A16880" t="s">
        <v>16</v>
      </c>
      <c r="B16880" t="s">
        <v>3221</v>
      </c>
      <c r="C16880">
        <v>1180</v>
      </c>
      <c r="D16880" t="s">
        <v>3231</v>
      </c>
      <c r="E16880" t="s">
        <v>3232</v>
      </c>
      <c r="F16880">
        <v>7.69</v>
      </c>
      <c r="G16880">
        <v>230131</v>
      </c>
      <c r="H16880">
        <v>4600</v>
      </c>
      <c r="I16880" t="s">
        <v>105</v>
      </c>
      <c r="J16880">
        <v>9.5399999999999991</v>
      </c>
      <c r="K16880">
        <v>1.85</v>
      </c>
      <c r="L16880">
        <v>17912</v>
      </c>
      <c r="M16880" t="s">
        <v>419</v>
      </c>
      <c r="N16880" t="str">
        <f>"19755128    "</f>
        <v xml:space="preserve">19755128    </v>
      </c>
      <c r="O16880">
        <v>230206</v>
      </c>
    </row>
    <row r="16881" spans="1:15" x14ac:dyDescent="0.25">
      <c r="A16881" t="s">
        <v>16</v>
      </c>
      <c r="B16881" t="s">
        <v>3221</v>
      </c>
      <c r="C16881">
        <v>1262</v>
      </c>
      <c r="D16881" t="s">
        <v>3231</v>
      </c>
      <c r="E16881" t="s">
        <v>3232</v>
      </c>
      <c r="F16881">
        <v>1.54</v>
      </c>
      <c r="G16881">
        <v>230131</v>
      </c>
      <c r="H16881">
        <v>4600</v>
      </c>
      <c r="I16881" t="s">
        <v>105</v>
      </c>
      <c r="J16881">
        <v>1.91</v>
      </c>
      <c r="K16881">
        <v>0.37</v>
      </c>
      <c r="L16881">
        <v>67522</v>
      </c>
      <c r="M16881" t="s">
        <v>397</v>
      </c>
      <c r="N16881" t="str">
        <f>"19755129    "</f>
        <v xml:space="preserve">19755129    </v>
      </c>
      <c r="O16881">
        <v>230207</v>
      </c>
    </row>
    <row r="16882" spans="1:15" x14ac:dyDescent="0.25">
      <c r="A16882" t="s">
        <v>16</v>
      </c>
      <c r="B16882" t="s">
        <v>3221</v>
      </c>
      <c r="C16882">
        <v>1262</v>
      </c>
      <c r="D16882" t="s">
        <v>3231</v>
      </c>
      <c r="E16882" t="s">
        <v>3232</v>
      </c>
      <c r="F16882">
        <v>0.19</v>
      </c>
      <c r="G16882">
        <v>230131</v>
      </c>
      <c r="H16882">
        <v>4600</v>
      </c>
      <c r="I16882" t="s">
        <v>105</v>
      </c>
      <c r="J16882">
        <v>0.24</v>
      </c>
      <c r="K16882">
        <v>0.05</v>
      </c>
      <c r="L16882">
        <v>69111</v>
      </c>
      <c r="M16882" t="s">
        <v>471</v>
      </c>
      <c r="N16882" t="str">
        <f>"19755129    "</f>
        <v xml:space="preserve">19755129    </v>
      </c>
      <c r="O16882">
        <v>230207</v>
      </c>
    </row>
    <row r="16883" spans="1:15" x14ac:dyDescent="0.25">
      <c r="A16883" t="s">
        <v>16</v>
      </c>
      <c r="B16883" t="s">
        <v>3221</v>
      </c>
      <c r="C16883">
        <v>1263</v>
      </c>
      <c r="D16883" t="s">
        <v>3231</v>
      </c>
      <c r="E16883" t="s">
        <v>3232</v>
      </c>
      <c r="F16883">
        <v>0.39</v>
      </c>
      <c r="G16883">
        <v>230131</v>
      </c>
      <c r="H16883">
        <v>4600</v>
      </c>
      <c r="I16883" t="s">
        <v>105</v>
      </c>
      <c r="J16883">
        <v>0.48</v>
      </c>
      <c r="K16883">
        <v>0.09</v>
      </c>
      <c r="L16883">
        <v>69112</v>
      </c>
      <c r="M16883" t="s">
        <v>313</v>
      </c>
      <c r="N16883" t="str">
        <f>"19774789    "</f>
        <v xml:space="preserve">19774789    </v>
      </c>
      <c r="O16883">
        <v>230207</v>
      </c>
    </row>
    <row r="16884" spans="1:15" x14ac:dyDescent="0.25">
      <c r="A16884" t="s">
        <v>16</v>
      </c>
      <c r="B16884" t="s">
        <v>3221</v>
      </c>
      <c r="C16884">
        <v>1454</v>
      </c>
      <c r="D16884" t="s">
        <v>3231</v>
      </c>
      <c r="E16884" t="s">
        <v>3232</v>
      </c>
      <c r="F16884">
        <v>0.19</v>
      </c>
      <c r="G16884">
        <v>230131</v>
      </c>
      <c r="H16884">
        <v>4600</v>
      </c>
      <c r="I16884" t="s">
        <v>105</v>
      </c>
      <c r="J16884">
        <v>0.24</v>
      </c>
      <c r="K16884">
        <v>0.05</v>
      </c>
      <c r="L16884">
        <v>44251</v>
      </c>
      <c r="M16884" t="s">
        <v>156</v>
      </c>
      <c r="N16884" t="str">
        <f>"19755123    "</f>
        <v xml:space="preserve">19755123    </v>
      </c>
      <c r="O16884">
        <v>230209</v>
      </c>
    </row>
    <row r="16885" spans="1:15" x14ac:dyDescent="0.25">
      <c r="A16885" t="s">
        <v>16</v>
      </c>
      <c r="B16885" t="s">
        <v>3221</v>
      </c>
      <c r="C16885">
        <v>1454</v>
      </c>
      <c r="D16885" t="s">
        <v>3231</v>
      </c>
      <c r="E16885" t="s">
        <v>3232</v>
      </c>
      <c r="F16885">
        <v>1.9</v>
      </c>
      <c r="G16885">
        <v>230131</v>
      </c>
      <c r="H16885">
        <v>4600</v>
      </c>
      <c r="I16885" t="s">
        <v>105</v>
      </c>
      <c r="J16885">
        <v>2.35</v>
      </c>
      <c r="K16885">
        <v>0.45</v>
      </c>
      <c r="L16885">
        <v>48601</v>
      </c>
      <c r="M16885" t="s">
        <v>1047</v>
      </c>
      <c r="N16885" t="str">
        <f>"19755123    "</f>
        <v xml:space="preserve">19755123    </v>
      </c>
      <c r="O16885">
        <v>230209</v>
      </c>
    </row>
    <row r="16886" spans="1:15" x14ac:dyDescent="0.25">
      <c r="A16886" t="s">
        <v>16</v>
      </c>
      <c r="B16886" t="s">
        <v>3221</v>
      </c>
      <c r="C16886">
        <v>1538</v>
      </c>
      <c r="D16886" t="s">
        <v>3231</v>
      </c>
      <c r="E16886" t="s">
        <v>3232</v>
      </c>
      <c r="F16886">
        <v>0.39</v>
      </c>
      <c r="G16886">
        <v>230131</v>
      </c>
      <c r="H16886">
        <v>4600</v>
      </c>
      <c r="I16886" t="s">
        <v>105</v>
      </c>
      <c r="J16886">
        <v>0.48</v>
      </c>
      <c r="K16886">
        <v>0.09</v>
      </c>
      <c r="L16886">
        <v>59111</v>
      </c>
      <c r="M16886" t="s">
        <v>1010</v>
      </c>
      <c r="N16886" t="str">
        <f>"19759747    "</f>
        <v xml:space="preserve">19759747    </v>
      </c>
      <c r="O16886">
        <v>230209</v>
      </c>
    </row>
    <row r="16887" spans="1:15" x14ac:dyDescent="0.25">
      <c r="A16887" t="s">
        <v>16</v>
      </c>
      <c r="B16887" t="s">
        <v>3221</v>
      </c>
      <c r="C16887">
        <v>2778</v>
      </c>
      <c r="D16887" t="s">
        <v>3231</v>
      </c>
      <c r="E16887" t="s">
        <v>3232</v>
      </c>
      <c r="F16887">
        <v>0.19</v>
      </c>
      <c r="G16887">
        <v>230228</v>
      </c>
      <c r="H16887">
        <v>4600</v>
      </c>
      <c r="I16887" t="s">
        <v>105</v>
      </c>
      <c r="J16887">
        <v>0.24</v>
      </c>
      <c r="K16887">
        <v>0.05</v>
      </c>
      <c r="L16887">
        <v>48601</v>
      </c>
      <c r="M16887" t="s">
        <v>1047</v>
      </c>
      <c r="N16887" t="str">
        <f>"19789955    "</f>
        <v xml:space="preserve">19789955    </v>
      </c>
      <c r="O16887">
        <v>230307</v>
      </c>
    </row>
    <row r="16888" spans="1:15" x14ac:dyDescent="0.25">
      <c r="A16888" t="s">
        <v>16</v>
      </c>
      <c r="B16888" t="s">
        <v>3221</v>
      </c>
      <c r="C16888">
        <v>2783</v>
      </c>
      <c r="D16888" t="s">
        <v>3231</v>
      </c>
      <c r="E16888" t="s">
        <v>3232</v>
      </c>
      <c r="F16888">
        <v>80.900000000000006</v>
      </c>
      <c r="G16888">
        <v>230228</v>
      </c>
      <c r="H16888">
        <v>4600</v>
      </c>
      <c r="I16888" t="s">
        <v>105</v>
      </c>
      <c r="J16888">
        <v>100.32</v>
      </c>
      <c r="K16888">
        <v>19.420000000000002</v>
      </c>
      <c r="L16888">
        <v>54422</v>
      </c>
      <c r="M16888" t="s">
        <v>234</v>
      </c>
      <c r="N16888" t="str">
        <f>"19793132    "</f>
        <v xml:space="preserve">19793132    </v>
      </c>
      <c r="O16888">
        <v>230307</v>
      </c>
    </row>
    <row r="16889" spans="1:15" x14ac:dyDescent="0.25">
      <c r="A16889" t="s">
        <v>16</v>
      </c>
      <c r="B16889" t="s">
        <v>3221</v>
      </c>
      <c r="C16889">
        <v>2785</v>
      </c>
      <c r="D16889" t="s">
        <v>3231</v>
      </c>
      <c r="E16889" t="s">
        <v>3232</v>
      </c>
      <c r="F16889">
        <v>0.19</v>
      </c>
      <c r="G16889">
        <v>230228</v>
      </c>
      <c r="H16889">
        <v>4600</v>
      </c>
      <c r="I16889" t="s">
        <v>105</v>
      </c>
      <c r="J16889">
        <v>0.24</v>
      </c>
      <c r="K16889">
        <v>0.05</v>
      </c>
      <c r="L16889">
        <v>14422</v>
      </c>
      <c r="M16889" t="s">
        <v>228</v>
      </c>
      <c r="N16889" t="str">
        <f>"19788441    "</f>
        <v xml:space="preserve">19788441    </v>
      </c>
      <c r="O16889">
        <v>230307</v>
      </c>
    </row>
    <row r="16890" spans="1:15" x14ac:dyDescent="0.25">
      <c r="A16890" t="s">
        <v>16</v>
      </c>
      <c r="B16890" t="s">
        <v>3221</v>
      </c>
      <c r="C16890">
        <v>2786</v>
      </c>
      <c r="D16890" t="s">
        <v>3231</v>
      </c>
      <c r="E16890" t="s">
        <v>3232</v>
      </c>
      <c r="F16890">
        <v>0.19</v>
      </c>
      <c r="G16890">
        <v>230228</v>
      </c>
      <c r="H16890">
        <v>4600</v>
      </c>
      <c r="I16890" t="s">
        <v>105</v>
      </c>
      <c r="J16890">
        <v>0.24</v>
      </c>
      <c r="K16890">
        <v>0.05</v>
      </c>
      <c r="L16890">
        <v>48601</v>
      </c>
      <c r="M16890" t="s">
        <v>1047</v>
      </c>
      <c r="N16890" t="str">
        <f>"19788439    "</f>
        <v xml:space="preserve">19788439    </v>
      </c>
      <c r="O16890">
        <v>230307</v>
      </c>
    </row>
    <row r="16891" spans="1:15" x14ac:dyDescent="0.25">
      <c r="A16891" t="s">
        <v>16</v>
      </c>
      <c r="B16891" t="s">
        <v>3221</v>
      </c>
      <c r="C16891">
        <v>2871</v>
      </c>
      <c r="D16891" t="s">
        <v>3231</v>
      </c>
      <c r="E16891" t="s">
        <v>3232</v>
      </c>
      <c r="F16891">
        <v>6.24</v>
      </c>
      <c r="G16891">
        <v>230228</v>
      </c>
      <c r="H16891">
        <v>4600</v>
      </c>
      <c r="I16891" t="s">
        <v>105</v>
      </c>
      <c r="J16891">
        <v>7.74</v>
      </c>
      <c r="K16891">
        <v>1.5</v>
      </c>
      <c r="L16891">
        <v>13501</v>
      </c>
      <c r="M16891" t="s">
        <v>20</v>
      </c>
      <c r="N16891" t="str">
        <f>"19797053    "</f>
        <v xml:space="preserve">19797053    </v>
      </c>
      <c r="O16891">
        <v>230308</v>
      </c>
    </row>
    <row r="16892" spans="1:15" x14ac:dyDescent="0.25">
      <c r="A16892" t="s">
        <v>16</v>
      </c>
      <c r="B16892" t="s">
        <v>3221</v>
      </c>
      <c r="C16892">
        <v>3101</v>
      </c>
      <c r="D16892" t="s">
        <v>3231</v>
      </c>
      <c r="E16892" t="s">
        <v>3232</v>
      </c>
      <c r="F16892">
        <v>7.22</v>
      </c>
      <c r="G16892">
        <v>230228</v>
      </c>
      <c r="H16892">
        <v>4600</v>
      </c>
      <c r="I16892" t="s">
        <v>105</v>
      </c>
      <c r="J16892">
        <v>8.9499999999999993</v>
      </c>
      <c r="K16892">
        <v>1.73</v>
      </c>
      <c r="L16892">
        <v>59111</v>
      </c>
      <c r="M16892" t="s">
        <v>1010</v>
      </c>
      <c r="N16892" t="str">
        <f>"19793131    "</f>
        <v xml:space="preserve">19793131    </v>
      </c>
      <c r="O16892">
        <v>230309</v>
      </c>
    </row>
    <row r="16893" spans="1:15" x14ac:dyDescent="0.25">
      <c r="A16893" t="s">
        <v>16</v>
      </c>
      <c r="B16893" t="s">
        <v>3221</v>
      </c>
      <c r="C16893">
        <v>3101</v>
      </c>
      <c r="D16893" t="s">
        <v>3231</v>
      </c>
      <c r="E16893" t="s">
        <v>3232</v>
      </c>
      <c r="F16893">
        <v>3.87</v>
      </c>
      <c r="G16893">
        <v>230228</v>
      </c>
      <c r="H16893">
        <v>4600</v>
      </c>
      <c r="I16893" t="s">
        <v>105</v>
      </c>
      <c r="J16893">
        <v>4.8</v>
      </c>
      <c r="K16893">
        <v>0.93</v>
      </c>
      <c r="L16893">
        <v>59112</v>
      </c>
      <c r="M16893" t="s">
        <v>182</v>
      </c>
      <c r="N16893" t="str">
        <f>"19793131    "</f>
        <v xml:space="preserve">19793131    </v>
      </c>
      <c r="O16893">
        <v>230309</v>
      </c>
    </row>
    <row r="16894" spans="1:15" x14ac:dyDescent="0.25">
      <c r="A16894" t="s">
        <v>16</v>
      </c>
      <c r="B16894" t="s">
        <v>3221</v>
      </c>
      <c r="C16894">
        <v>3152</v>
      </c>
      <c r="D16894" t="s">
        <v>3231</v>
      </c>
      <c r="E16894" t="s">
        <v>3232</v>
      </c>
      <c r="F16894">
        <v>3.18</v>
      </c>
      <c r="G16894">
        <v>230228</v>
      </c>
      <c r="H16894">
        <v>4600</v>
      </c>
      <c r="I16894" t="s">
        <v>105</v>
      </c>
      <c r="J16894">
        <v>3.94</v>
      </c>
      <c r="K16894">
        <v>0.76</v>
      </c>
      <c r="L16894">
        <v>69113</v>
      </c>
      <c r="M16894" t="s">
        <v>282</v>
      </c>
      <c r="N16894" t="str">
        <f>"19788445    "</f>
        <v xml:space="preserve">19788445    </v>
      </c>
      <c r="O16894">
        <v>230309</v>
      </c>
    </row>
    <row r="16895" spans="1:15" x14ac:dyDescent="0.25">
      <c r="A16895" t="s">
        <v>16</v>
      </c>
      <c r="B16895" t="s">
        <v>3221</v>
      </c>
      <c r="C16895">
        <v>3152</v>
      </c>
      <c r="D16895" t="s">
        <v>3231</v>
      </c>
      <c r="E16895" t="s">
        <v>3232</v>
      </c>
      <c r="F16895">
        <v>0.35</v>
      </c>
      <c r="G16895">
        <v>230228</v>
      </c>
      <c r="H16895">
        <v>4600</v>
      </c>
      <c r="I16895" t="s">
        <v>105</v>
      </c>
      <c r="J16895">
        <v>0.44</v>
      </c>
      <c r="K16895">
        <v>0.09</v>
      </c>
      <c r="L16895">
        <v>69802</v>
      </c>
      <c r="M16895" t="s">
        <v>283</v>
      </c>
      <c r="N16895" t="str">
        <f>"19788445    "</f>
        <v xml:space="preserve">19788445    </v>
      </c>
      <c r="O16895">
        <v>230309</v>
      </c>
    </row>
    <row r="16896" spans="1:15" x14ac:dyDescent="0.25">
      <c r="A16896" t="s">
        <v>16</v>
      </c>
      <c r="B16896" t="s">
        <v>3221</v>
      </c>
      <c r="C16896">
        <v>3403</v>
      </c>
      <c r="D16896" t="s">
        <v>3231</v>
      </c>
      <c r="E16896" t="s">
        <v>3232</v>
      </c>
      <c r="F16896">
        <v>0.78</v>
      </c>
      <c r="G16896">
        <v>230228</v>
      </c>
      <c r="H16896">
        <v>4600</v>
      </c>
      <c r="I16896" t="s">
        <v>105</v>
      </c>
      <c r="J16896">
        <v>0.97</v>
      </c>
      <c r="K16896">
        <v>0.19</v>
      </c>
      <c r="L16896">
        <v>69811</v>
      </c>
      <c r="M16896" t="s">
        <v>315</v>
      </c>
      <c r="N16896" t="str">
        <f>"19808117    "</f>
        <v xml:space="preserve">19808117    </v>
      </c>
      <c r="O16896">
        <v>230315</v>
      </c>
    </row>
    <row r="16897" spans="1:15" x14ac:dyDescent="0.25">
      <c r="A16897" t="s">
        <v>16</v>
      </c>
      <c r="B16897" t="s">
        <v>3221</v>
      </c>
      <c r="C16897">
        <v>4480</v>
      </c>
      <c r="D16897" t="s">
        <v>3231</v>
      </c>
      <c r="E16897" t="s">
        <v>3232</v>
      </c>
      <c r="F16897">
        <v>8.69</v>
      </c>
      <c r="G16897">
        <v>230331</v>
      </c>
      <c r="H16897">
        <v>4600</v>
      </c>
      <c r="I16897" t="s">
        <v>105</v>
      </c>
      <c r="J16897">
        <v>10.77</v>
      </c>
      <c r="K16897">
        <v>2.08</v>
      </c>
      <c r="L16897">
        <v>17912</v>
      </c>
      <c r="M16897" t="s">
        <v>419</v>
      </c>
      <c r="N16897" t="str">
        <f>"19822827    "</f>
        <v xml:space="preserve">19822827    </v>
      </c>
      <c r="O16897">
        <v>230406</v>
      </c>
    </row>
    <row r="16898" spans="1:15" x14ac:dyDescent="0.25">
      <c r="A16898" t="s">
        <v>16</v>
      </c>
      <c r="B16898" t="s">
        <v>3221</v>
      </c>
      <c r="C16898">
        <v>4815</v>
      </c>
      <c r="D16898" t="s">
        <v>3231</v>
      </c>
      <c r="E16898" t="s">
        <v>3232</v>
      </c>
      <c r="F16898">
        <v>8.48</v>
      </c>
      <c r="G16898">
        <v>230331</v>
      </c>
      <c r="H16898">
        <v>4600</v>
      </c>
      <c r="I16898" t="s">
        <v>105</v>
      </c>
      <c r="J16898">
        <v>10.51</v>
      </c>
      <c r="K16898">
        <v>2.0299999999999998</v>
      </c>
      <c r="L16898">
        <v>69113</v>
      </c>
      <c r="M16898" t="s">
        <v>282</v>
      </c>
      <c r="N16898" t="str">
        <f>"19822829    "</f>
        <v xml:space="preserve">19822829    </v>
      </c>
      <c r="O16898">
        <v>230412</v>
      </c>
    </row>
    <row r="16899" spans="1:15" x14ac:dyDescent="0.25">
      <c r="A16899" t="s">
        <v>16</v>
      </c>
      <c r="B16899" t="s">
        <v>3221</v>
      </c>
      <c r="C16899">
        <v>4815</v>
      </c>
      <c r="D16899" t="s">
        <v>3231</v>
      </c>
      <c r="E16899" t="s">
        <v>3232</v>
      </c>
      <c r="F16899">
        <v>0.94</v>
      </c>
      <c r="G16899">
        <v>230331</v>
      </c>
      <c r="H16899">
        <v>4600</v>
      </c>
      <c r="I16899" t="s">
        <v>105</v>
      </c>
      <c r="J16899">
        <v>1.17</v>
      </c>
      <c r="K16899">
        <v>0.23</v>
      </c>
      <c r="L16899">
        <v>69802</v>
      </c>
      <c r="M16899" t="s">
        <v>283</v>
      </c>
      <c r="N16899" t="str">
        <f>"19822829    "</f>
        <v xml:space="preserve">19822829    </v>
      </c>
      <c r="O16899">
        <v>230412</v>
      </c>
    </row>
    <row r="16900" spans="1:15" x14ac:dyDescent="0.25">
      <c r="A16900" t="s">
        <v>16</v>
      </c>
      <c r="B16900" t="s">
        <v>3221</v>
      </c>
      <c r="C16900">
        <v>4905</v>
      </c>
      <c r="D16900" t="s">
        <v>3231</v>
      </c>
      <c r="E16900" t="s">
        <v>3232</v>
      </c>
      <c r="F16900">
        <v>6.53</v>
      </c>
      <c r="G16900">
        <v>230331</v>
      </c>
      <c r="H16900">
        <v>4600</v>
      </c>
      <c r="I16900" t="s">
        <v>105</v>
      </c>
      <c r="J16900">
        <v>8.1</v>
      </c>
      <c r="K16900">
        <v>1.57</v>
      </c>
      <c r="L16900">
        <v>44251</v>
      </c>
      <c r="M16900" t="s">
        <v>156</v>
      </c>
      <c r="N16900" t="str">
        <f>"19822822    "</f>
        <v xml:space="preserve">19822822    </v>
      </c>
      <c r="O16900">
        <v>230414</v>
      </c>
    </row>
    <row r="16901" spans="1:15" x14ac:dyDescent="0.25">
      <c r="A16901" t="s">
        <v>16</v>
      </c>
      <c r="B16901" t="s">
        <v>3221</v>
      </c>
      <c r="C16901">
        <v>4905</v>
      </c>
      <c r="D16901" t="s">
        <v>3231</v>
      </c>
      <c r="E16901" t="s">
        <v>3232</v>
      </c>
      <c r="F16901">
        <v>0.19</v>
      </c>
      <c r="G16901">
        <v>230331</v>
      </c>
      <c r="H16901">
        <v>4600</v>
      </c>
      <c r="I16901" t="s">
        <v>105</v>
      </c>
      <c r="J16901">
        <v>0.24</v>
      </c>
      <c r="K16901">
        <v>0.05</v>
      </c>
      <c r="L16901">
        <v>48601</v>
      </c>
      <c r="M16901" t="s">
        <v>1047</v>
      </c>
      <c r="N16901" t="str">
        <f>"19822822    "</f>
        <v xml:space="preserve">19822822    </v>
      </c>
      <c r="O16901">
        <v>230414</v>
      </c>
    </row>
    <row r="16902" spans="1:15" x14ac:dyDescent="0.25">
      <c r="A16902" t="s">
        <v>16</v>
      </c>
      <c r="B16902" t="s">
        <v>3221</v>
      </c>
      <c r="C16902">
        <v>4906</v>
      </c>
      <c r="D16902" t="s">
        <v>3231</v>
      </c>
      <c r="E16902" t="s">
        <v>3232</v>
      </c>
      <c r="F16902">
        <v>2.15</v>
      </c>
      <c r="G16902">
        <v>230331</v>
      </c>
      <c r="H16902">
        <v>4600</v>
      </c>
      <c r="I16902" t="s">
        <v>105</v>
      </c>
      <c r="J16902">
        <v>2.67</v>
      </c>
      <c r="K16902">
        <v>0.52</v>
      </c>
      <c r="L16902">
        <v>59111</v>
      </c>
      <c r="M16902" t="s">
        <v>1010</v>
      </c>
      <c r="N16902" t="str">
        <f>"19827588    "</f>
        <v xml:space="preserve">19827588    </v>
      </c>
      <c r="O16902">
        <v>230414</v>
      </c>
    </row>
    <row r="16903" spans="1:15" x14ac:dyDescent="0.25">
      <c r="A16903" t="s">
        <v>16</v>
      </c>
      <c r="B16903" t="s">
        <v>3221</v>
      </c>
      <c r="C16903">
        <v>5036</v>
      </c>
      <c r="D16903" t="s">
        <v>3231</v>
      </c>
      <c r="E16903" t="s">
        <v>3232</v>
      </c>
      <c r="F16903">
        <v>2.44</v>
      </c>
      <c r="G16903">
        <v>230331</v>
      </c>
      <c r="H16903">
        <v>4600</v>
      </c>
      <c r="I16903" t="s">
        <v>105</v>
      </c>
      <c r="J16903">
        <v>3.03</v>
      </c>
      <c r="K16903">
        <v>0.59</v>
      </c>
      <c r="L16903">
        <v>54451</v>
      </c>
      <c r="M16903" t="s">
        <v>158</v>
      </c>
      <c r="N16903" t="str">
        <f>"19827589    "</f>
        <v xml:space="preserve">19827589    </v>
      </c>
      <c r="O16903">
        <v>230417</v>
      </c>
    </row>
    <row r="16904" spans="1:15" x14ac:dyDescent="0.25">
      <c r="A16904" t="s">
        <v>16</v>
      </c>
      <c r="B16904" t="s">
        <v>3221</v>
      </c>
      <c r="C16904">
        <v>5903</v>
      </c>
      <c r="D16904" t="s">
        <v>3231</v>
      </c>
      <c r="E16904" t="s">
        <v>3232</v>
      </c>
      <c r="F16904">
        <v>14.38</v>
      </c>
      <c r="G16904">
        <v>230430</v>
      </c>
      <c r="H16904">
        <v>4600</v>
      </c>
      <c r="I16904" t="s">
        <v>105</v>
      </c>
      <c r="J16904">
        <v>17.829999999999998</v>
      </c>
      <c r="K16904">
        <v>3.45</v>
      </c>
      <c r="L16904">
        <v>13801</v>
      </c>
      <c r="M16904" t="s">
        <v>162</v>
      </c>
      <c r="N16904" t="str">
        <f>"19877998    "</f>
        <v xml:space="preserve">19877998    </v>
      </c>
      <c r="O16904">
        <v>230503</v>
      </c>
    </row>
    <row r="16905" spans="1:15" x14ac:dyDescent="0.25">
      <c r="A16905" t="s">
        <v>16</v>
      </c>
      <c r="B16905" t="s">
        <v>3221</v>
      </c>
      <c r="C16905">
        <v>5997</v>
      </c>
      <c r="D16905" t="s">
        <v>3231</v>
      </c>
      <c r="E16905" t="s">
        <v>3232</v>
      </c>
      <c r="F16905">
        <v>0.89</v>
      </c>
      <c r="G16905">
        <v>230430</v>
      </c>
      <c r="H16905">
        <v>4600</v>
      </c>
      <c r="I16905" t="s">
        <v>105</v>
      </c>
      <c r="J16905">
        <v>1.1000000000000001</v>
      </c>
      <c r="K16905">
        <v>0.21</v>
      </c>
      <c r="L16905">
        <v>17131</v>
      </c>
      <c r="M16905" t="s">
        <v>64</v>
      </c>
      <c r="N16905" t="str">
        <f>"19858629    "</f>
        <v xml:space="preserve">19858629    </v>
      </c>
      <c r="O16905">
        <v>230505</v>
      </c>
    </row>
    <row r="16906" spans="1:15" x14ac:dyDescent="0.25">
      <c r="A16906" t="s">
        <v>16</v>
      </c>
      <c r="B16906" t="s">
        <v>3221</v>
      </c>
      <c r="C16906">
        <v>5997</v>
      </c>
      <c r="D16906" t="s">
        <v>3231</v>
      </c>
      <c r="E16906" t="s">
        <v>3232</v>
      </c>
      <c r="F16906">
        <v>5.59</v>
      </c>
      <c r="G16906">
        <v>230430</v>
      </c>
      <c r="H16906">
        <v>4600</v>
      </c>
      <c r="I16906" t="s">
        <v>105</v>
      </c>
      <c r="J16906">
        <v>6.93</v>
      </c>
      <c r="K16906">
        <v>1.34</v>
      </c>
      <c r="L16906">
        <v>17131</v>
      </c>
      <c r="M16906" t="s">
        <v>64</v>
      </c>
      <c r="N16906" t="str">
        <f>"19858629    "</f>
        <v xml:space="preserve">19858629    </v>
      </c>
      <c r="O16906">
        <v>230505</v>
      </c>
    </row>
    <row r="16907" spans="1:15" x14ac:dyDescent="0.25">
      <c r="A16907" t="s">
        <v>16</v>
      </c>
      <c r="B16907" t="s">
        <v>3221</v>
      </c>
      <c r="C16907">
        <v>5997</v>
      </c>
      <c r="D16907" t="s">
        <v>3231</v>
      </c>
      <c r="E16907" t="s">
        <v>3232</v>
      </c>
      <c r="F16907">
        <v>11.19</v>
      </c>
      <c r="G16907">
        <v>230430</v>
      </c>
      <c r="H16907">
        <v>4600</v>
      </c>
      <c r="I16907" t="s">
        <v>105</v>
      </c>
      <c r="J16907">
        <v>13.88</v>
      </c>
      <c r="K16907">
        <v>2.69</v>
      </c>
      <c r="L16907">
        <v>17131</v>
      </c>
      <c r="M16907" t="s">
        <v>64</v>
      </c>
      <c r="N16907" t="str">
        <f>"19858629    "</f>
        <v xml:space="preserve">19858629    </v>
      </c>
      <c r="O16907">
        <v>230505</v>
      </c>
    </row>
    <row r="16908" spans="1:15" x14ac:dyDescent="0.25">
      <c r="A16908" t="s">
        <v>16</v>
      </c>
      <c r="B16908" t="s">
        <v>3221</v>
      </c>
      <c r="C16908">
        <v>5997</v>
      </c>
      <c r="D16908" t="s">
        <v>3231</v>
      </c>
      <c r="E16908" t="s">
        <v>3232</v>
      </c>
      <c r="F16908">
        <v>4.5999999999999996</v>
      </c>
      <c r="G16908">
        <v>230430</v>
      </c>
      <c r="H16908">
        <v>4600</v>
      </c>
      <c r="I16908" t="s">
        <v>105</v>
      </c>
      <c r="J16908">
        <v>5.7</v>
      </c>
      <c r="K16908">
        <v>1.1000000000000001</v>
      </c>
      <c r="L16908">
        <v>17912</v>
      </c>
      <c r="M16908" t="s">
        <v>419</v>
      </c>
      <c r="N16908" t="str">
        <f>"19858629    "</f>
        <v xml:space="preserve">19858629    </v>
      </c>
      <c r="O16908">
        <v>230505</v>
      </c>
    </row>
    <row r="16909" spans="1:15" x14ac:dyDescent="0.25">
      <c r="A16909" t="s">
        <v>16</v>
      </c>
      <c r="B16909" t="s">
        <v>3221</v>
      </c>
      <c r="C16909">
        <v>6108</v>
      </c>
      <c r="D16909" t="s">
        <v>3231</v>
      </c>
      <c r="E16909" t="s">
        <v>3232</v>
      </c>
      <c r="F16909">
        <v>70.16</v>
      </c>
      <c r="G16909">
        <v>230430</v>
      </c>
      <c r="H16909">
        <v>4600</v>
      </c>
      <c r="I16909" t="s">
        <v>105</v>
      </c>
      <c r="J16909">
        <v>87</v>
      </c>
      <c r="K16909">
        <v>16.84</v>
      </c>
      <c r="L16909">
        <v>54451</v>
      </c>
      <c r="M16909" t="s">
        <v>158</v>
      </c>
      <c r="N16909" t="str">
        <f>"19863441    "</f>
        <v xml:space="preserve">19863441    </v>
      </c>
      <c r="O16909">
        <v>230508</v>
      </c>
    </row>
    <row r="16910" spans="1:15" x14ac:dyDescent="0.25">
      <c r="A16910" t="s">
        <v>16</v>
      </c>
      <c r="B16910" t="s">
        <v>3221</v>
      </c>
      <c r="C16910">
        <v>6128</v>
      </c>
      <c r="D16910" t="s">
        <v>3231</v>
      </c>
      <c r="E16910" t="s">
        <v>3232</v>
      </c>
      <c r="F16910">
        <v>0.4</v>
      </c>
      <c r="G16910">
        <v>230430</v>
      </c>
      <c r="H16910">
        <v>4600</v>
      </c>
      <c r="I16910" t="s">
        <v>105</v>
      </c>
      <c r="J16910">
        <v>0.49</v>
      </c>
      <c r="K16910">
        <v>0.09</v>
      </c>
      <c r="L16910">
        <v>49112</v>
      </c>
      <c r="M16910" t="s">
        <v>233</v>
      </c>
      <c r="N16910" t="str">
        <f>"19858625    "</f>
        <v xml:space="preserve">19858625    </v>
      </c>
      <c r="O16910">
        <v>230508</v>
      </c>
    </row>
    <row r="16911" spans="1:15" x14ac:dyDescent="0.25">
      <c r="A16911" t="s">
        <v>16</v>
      </c>
      <c r="B16911" t="s">
        <v>3221</v>
      </c>
      <c r="C16911">
        <v>6325</v>
      </c>
      <c r="D16911" t="s">
        <v>3231</v>
      </c>
      <c r="E16911" t="s">
        <v>3232</v>
      </c>
      <c r="F16911">
        <v>1.05</v>
      </c>
      <c r="G16911">
        <v>230430</v>
      </c>
      <c r="H16911">
        <v>4600</v>
      </c>
      <c r="I16911" t="s">
        <v>105</v>
      </c>
      <c r="J16911">
        <v>1.3</v>
      </c>
      <c r="K16911">
        <v>0.25</v>
      </c>
      <c r="L16911">
        <v>69811</v>
      </c>
      <c r="M16911" t="s">
        <v>315</v>
      </c>
      <c r="N16911" t="str">
        <f>"19878802    "</f>
        <v xml:space="preserve">19878802    </v>
      </c>
      <c r="O16911">
        <v>230510</v>
      </c>
    </row>
    <row r="16912" spans="1:15" x14ac:dyDescent="0.25">
      <c r="A16912" t="s">
        <v>16</v>
      </c>
      <c r="B16912" t="s">
        <v>3221</v>
      </c>
      <c r="C16912">
        <v>6411</v>
      </c>
      <c r="D16912" t="s">
        <v>3231</v>
      </c>
      <c r="E16912" t="s">
        <v>3232</v>
      </c>
      <c r="F16912">
        <v>0.19</v>
      </c>
      <c r="G16912">
        <v>230430</v>
      </c>
      <c r="H16912">
        <v>4600</v>
      </c>
      <c r="I16912" t="s">
        <v>105</v>
      </c>
      <c r="J16912">
        <v>0.24</v>
      </c>
      <c r="K16912">
        <v>0.05</v>
      </c>
      <c r="L16912">
        <v>59111</v>
      </c>
      <c r="M16912" t="s">
        <v>1010</v>
      </c>
      <c r="N16912" t="str">
        <f>"19863440    "</f>
        <v xml:space="preserve">19863440    </v>
      </c>
      <c r="O16912">
        <v>230511</v>
      </c>
    </row>
    <row r="16913" spans="1:15" x14ac:dyDescent="0.25">
      <c r="A16913" t="s">
        <v>16</v>
      </c>
      <c r="B16913" t="s">
        <v>3221</v>
      </c>
      <c r="C16913">
        <v>6483</v>
      </c>
      <c r="D16913" t="s">
        <v>3231</v>
      </c>
      <c r="E16913" t="s">
        <v>3232</v>
      </c>
      <c r="F16913">
        <v>0.4</v>
      </c>
      <c r="G16913">
        <v>230430</v>
      </c>
      <c r="H16913">
        <v>4600</v>
      </c>
      <c r="I16913" t="s">
        <v>105</v>
      </c>
      <c r="J16913">
        <v>0.49</v>
      </c>
      <c r="K16913">
        <v>0.09</v>
      </c>
      <c r="L16913">
        <v>48601</v>
      </c>
      <c r="M16913" t="s">
        <v>1047</v>
      </c>
      <c r="N16913" t="str">
        <f>"19860166    "</f>
        <v xml:space="preserve">19860166    </v>
      </c>
      <c r="O16913">
        <v>230512</v>
      </c>
    </row>
    <row r="16914" spans="1:15" x14ac:dyDescent="0.25">
      <c r="A16914" t="s">
        <v>16</v>
      </c>
      <c r="B16914" t="s">
        <v>3221</v>
      </c>
      <c r="C16914">
        <v>6718</v>
      </c>
      <c r="D16914" t="s">
        <v>3231</v>
      </c>
      <c r="E16914" t="s">
        <v>3232</v>
      </c>
      <c r="F16914">
        <v>44.81</v>
      </c>
      <c r="G16914">
        <v>230430</v>
      </c>
      <c r="H16914">
        <v>4600</v>
      </c>
      <c r="I16914" t="s">
        <v>105</v>
      </c>
      <c r="J16914">
        <v>55.57</v>
      </c>
      <c r="K16914">
        <v>10.76</v>
      </c>
      <c r="L16914">
        <v>11902</v>
      </c>
      <c r="M16914" t="s">
        <v>1443</v>
      </c>
      <c r="N16914" t="str">
        <f>"19858626    "</f>
        <v xml:space="preserve">19858626    </v>
      </c>
      <c r="O16914">
        <v>230522</v>
      </c>
    </row>
    <row r="16915" spans="1:15" x14ac:dyDescent="0.25">
      <c r="A16915" t="s">
        <v>16</v>
      </c>
      <c r="B16915" t="s">
        <v>3221</v>
      </c>
      <c r="C16915">
        <v>8065</v>
      </c>
      <c r="D16915" t="s">
        <v>3231</v>
      </c>
      <c r="E16915" t="s">
        <v>3232</v>
      </c>
      <c r="F16915">
        <v>1.1000000000000001</v>
      </c>
      <c r="G16915">
        <v>230531</v>
      </c>
      <c r="H16915">
        <v>4600</v>
      </c>
      <c r="I16915" t="s">
        <v>105</v>
      </c>
      <c r="J16915">
        <v>1.37</v>
      </c>
      <c r="K16915">
        <v>0.27</v>
      </c>
      <c r="L16915">
        <v>44251</v>
      </c>
      <c r="M16915" t="s">
        <v>156</v>
      </c>
      <c r="N16915" t="str">
        <f>"19895845    "</f>
        <v xml:space="preserve">19895845    </v>
      </c>
      <c r="O16915">
        <v>230607</v>
      </c>
    </row>
    <row r="16916" spans="1:15" x14ac:dyDescent="0.25">
      <c r="A16916" t="s">
        <v>16</v>
      </c>
      <c r="B16916" t="s">
        <v>3221</v>
      </c>
      <c r="C16916">
        <v>8075</v>
      </c>
      <c r="D16916" t="s">
        <v>3231</v>
      </c>
      <c r="E16916" t="s">
        <v>3232</v>
      </c>
      <c r="F16916">
        <v>26.57</v>
      </c>
      <c r="G16916">
        <v>230531</v>
      </c>
      <c r="H16916">
        <v>4600</v>
      </c>
      <c r="I16916" t="s">
        <v>105</v>
      </c>
      <c r="J16916">
        <v>32.950000000000003</v>
      </c>
      <c r="K16916">
        <v>6.38</v>
      </c>
      <c r="L16916">
        <v>59111</v>
      </c>
      <c r="M16916" t="s">
        <v>1010</v>
      </c>
      <c r="N16916" t="str">
        <f>"19900988    "</f>
        <v xml:space="preserve">19900988    </v>
      </c>
      <c r="O16916">
        <v>230607</v>
      </c>
    </row>
    <row r="16917" spans="1:15" x14ac:dyDescent="0.25">
      <c r="A16917" t="s">
        <v>16</v>
      </c>
      <c r="B16917" t="s">
        <v>3221</v>
      </c>
      <c r="C16917">
        <v>8076</v>
      </c>
      <c r="D16917" t="s">
        <v>3231</v>
      </c>
      <c r="E16917" t="s">
        <v>3232</v>
      </c>
      <c r="F16917">
        <v>1.1499999999999999</v>
      </c>
      <c r="G16917">
        <v>230531</v>
      </c>
      <c r="H16917">
        <v>4600</v>
      </c>
      <c r="I16917" t="s">
        <v>105</v>
      </c>
      <c r="J16917">
        <v>1.42</v>
      </c>
      <c r="K16917">
        <v>0.27</v>
      </c>
      <c r="L16917">
        <v>17131</v>
      </c>
      <c r="M16917" t="s">
        <v>64</v>
      </c>
      <c r="N16917" t="str">
        <f>"19895850    "</f>
        <v xml:space="preserve">19895850    </v>
      </c>
      <c r="O16917">
        <v>230607</v>
      </c>
    </row>
    <row r="16918" spans="1:15" x14ac:dyDescent="0.25">
      <c r="A16918" t="s">
        <v>16</v>
      </c>
      <c r="B16918" t="s">
        <v>3221</v>
      </c>
      <c r="C16918">
        <v>8076</v>
      </c>
      <c r="D16918" t="s">
        <v>3231</v>
      </c>
      <c r="E16918" t="s">
        <v>3232</v>
      </c>
      <c r="F16918">
        <v>10.82</v>
      </c>
      <c r="G16918">
        <v>230531</v>
      </c>
      <c r="H16918">
        <v>4600</v>
      </c>
      <c r="I16918" t="s">
        <v>105</v>
      </c>
      <c r="J16918">
        <v>13.42</v>
      </c>
      <c r="K16918">
        <v>2.6</v>
      </c>
      <c r="L16918">
        <v>17131</v>
      </c>
      <c r="M16918" t="s">
        <v>64</v>
      </c>
      <c r="N16918" t="str">
        <f>"19895850    "</f>
        <v xml:space="preserve">19895850    </v>
      </c>
      <c r="O16918">
        <v>230607</v>
      </c>
    </row>
    <row r="16919" spans="1:15" x14ac:dyDescent="0.25">
      <c r="A16919" t="s">
        <v>16</v>
      </c>
      <c r="B16919" t="s">
        <v>3221</v>
      </c>
      <c r="C16919">
        <v>8076</v>
      </c>
      <c r="D16919" t="s">
        <v>3231</v>
      </c>
      <c r="E16919" t="s">
        <v>3232</v>
      </c>
      <c r="F16919">
        <v>3.44</v>
      </c>
      <c r="G16919">
        <v>230531</v>
      </c>
      <c r="H16919">
        <v>4600</v>
      </c>
      <c r="I16919" t="s">
        <v>105</v>
      </c>
      <c r="J16919">
        <v>4.26</v>
      </c>
      <c r="K16919">
        <v>0.82</v>
      </c>
      <c r="L16919">
        <v>17972</v>
      </c>
      <c r="M16919" t="s">
        <v>248</v>
      </c>
      <c r="N16919" t="str">
        <f>"19895850    "</f>
        <v xml:space="preserve">19895850    </v>
      </c>
      <c r="O16919">
        <v>230607</v>
      </c>
    </row>
    <row r="16920" spans="1:15" x14ac:dyDescent="0.25">
      <c r="A16920" t="s">
        <v>16</v>
      </c>
      <c r="B16920" t="s">
        <v>3221</v>
      </c>
      <c r="C16920">
        <v>8320</v>
      </c>
      <c r="D16920" t="s">
        <v>3231</v>
      </c>
      <c r="E16920" t="s">
        <v>3232</v>
      </c>
      <c r="F16920">
        <v>0.82</v>
      </c>
      <c r="G16920">
        <v>230531</v>
      </c>
      <c r="H16920">
        <v>4600</v>
      </c>
      <c r="I16920" t="s">
        <v>105</v>
      </c>
      <c r="J16920">
        <v>1.02</v>
      </c>
      <c r="K16920">
        <v>0.2</v>
      </c>
      <c r="L16920">
        <v>69111</v>
      </c>
      <c r="M16920" t="s">
        <v>471</v>
      </c>
      <c r="N16920" t="str">
        <f>"19895851    "</f>
        <v xml:space="preserve">19895851    </v>
      </c>
      <c r="O16920">
        <v>230608</v>
      </c>
    </row>
    <row r="16921" spans="1:15" x14ac:dyDescent="0.25">
      <c r="A16921" t="s">
        <v>16</v>
      </c>
      <c r="B16921" t="s">
        <v>3221</v>
      </c>
      <c r="C16921">
        <v>8528</v>
      </c>
      <c r="D16921" t="s">
        <v>3231</v>
      </c>
      <c r="E16921" t="s">
        <v>3232</v>
      </c>
      <c r="F16921">
        <v>0.23</v>
      </c>
      <c r="G16921">
        <v>230531</v>
      </c>
      <c r="H16921">
        <v>4600</v>
      </c>
      <c r="I16921" t="s">
        <v>105</v>
      </c>
      <c r="J16921">
        <v>0.28000000000000003</v>
      </c>
      <c r="K16921">
        <v>0.05</v>
      </c>
      <c r="L16921">
        <v>54451</v>
      </c>
      <c r="M16921" t="s">
        <v>158</v>
      </c>
      <c r="N16921" t="str">
        <f>"19900989    "</f>
        <v xml:space="preserve">19900989    </v>
      </c>
      <c r="O16921">
        <v>230612</v>
      </c>
    </row>
    <row r="16922" spans="1:15" x14ac:dyDescent="0.25">
      <c r="A16922" t="s">
        <v>16</v>
      </c>
      <c r="B16922" t="s">
        <v>3221</v>
      </c>
      <c r="C16922">
        <v>8544</v>
      </c>
      <c r="D16922" t="s">
        <v>3231</v>
      </c>
      <c r="E16922" t="s">
        <v>3232</v>
      </c>
      <c r="F16922">
        <v>23.72</v>
      </c>
      <c r="G16922">
        <v>230531</v>
      </c>
      <c r="H16922">
        <v>4600</v>
      </c>
      <c r="I16922" t="s">
        <v>105</v>
      </c>
      <c r="J16922">
        <v>29.41</v>
      </c>
      <c r="K16922">
        <v>5.69</v>
      </c>
      <c r="L16922">
        <v>14321</v>
      </c>
      <c r="M16922" t="s">
        <v>717</v>
      </c>
      <c r="N16922" t="str">
        <f>"19895847    "</f>
        <v xml:space="preserve">19895847    </v>
      </c>
      <c r="O16922">
        <v>230612</v>
      </c>
    </row>
    <row r="16923" spans="1:15" x14ac:dyDescent="0.25">
      <c r="A16923" t="s">
        <v>16</v>
      </c>
      <c r="B16923" t="s">
        <v>3221</v>
      </c>
      <c r="C16923">
        <v>8544</v>
      </c>
      <c r="D16923" t="s">
        <v>3231</v>
      </c>
      <c r="E16923" t="s">
        <v>3232</v>
      </c>
      <c r="F16923">
        <v>50</v>
      </c>
      <c r="G16923">
        <v>230531</v>
      </c>
      <c r="H16923">
        <v>4600</v>
      </c>
      <c r="I16923" t="s">
        <v>105</v>
      </c>
      <c r="J16923">
        <v>50</v>
      </c>
      <c r="K16923">
        <v>0</v>
      </c>
      <c r="L16923">
        <v>14321</v>
      </c>
      <c r="M16923" t="s">
        <v>717</v>
      </c>
      <c r="N16923" t="str">
        <f>"19895847    "</f>
        <v xml:space="preserve">19895847    </v>
      </c>
      <c r="O16923">
        <v>230612</v>
      </c>
    </row>
    <row r="16924" spans="1:15" x14ac:dyDescent="0.25">
      <c r="A16924" t="s">
        <v>16</v>
      </c>
      <c r="B16924" t="s">
        <v>3221</v>
      </c>
      <c r="C16924">
        <v>8544</v>
      </c>
      <c r="D16924" t="s">
        <v>3231</v>
      </c>
      <c r="E16924" t="s">
        <v>3232</v>
      </c>
      <c r="F16924">
        <v>0.65</v>
      </c>
      <c r="G16924">
        <v>230531</v>
      </c>
      <c r="H16924">
        <v>4600</v>
      </c>
      <c r="I16924" t="s">
        <v>105</v>
      </c>
      <c r="J16924">
        <v>0.8</v>
      </c>
      <c r="K16924">
        <v>0.15</v>
      </c>
      <c r="L16924">
        <v>14422</v>
      </c>
      <c r="M16924" t="s">
        <v>228</v>
      </c>
      <c r="N16924" t="str">
        <f>"19895847    "</f>
        <v xml:space="preserve">19895847    </v>
      </c>
      <c r="O16924">
        <v>230612</v>
      </c>
    </row>
    <row r="16925" spans="1:15" x14ac:dyDescent="0.25">
      <c r="A16925" t="s">
        <v>16</v>
      </c>
      <c r="B16925" t="s">
        <v>3221</v>
      </c>
      <c r="C16925">
        <v>9311</v>
      </c>
      <c r="D16925" t="s">
        <v>3231</v>
      </c>
      <c r="E16925" t="s">
        <v>3232</v>
      </c>
      <c r="F16925">
        <v>7.29</v>
      </c>
      <c r="G16925">
        <v>230630</v>
      </c>
      <c r="H16925">
        <v>4600</v>
      </c>
      <c r="I16925" t="s">
        <v>105</v>
      </c>
      <c r="J16925">
        <v>9.0399999999999991</v>
      </c>
      <c r="K16925">
        <v>1.75</v>
      </c>
      <c r="L16925">
        <v>17915</v>
      </c>
      <c r="M16925" t="s">
        <v>572</v>
      </c>
      <c r="N16925" t="str">
        <f>"19934337    "</f>
        <v xml:space="preserve">19934337    </v>
      </c>
      <c r="O16925">
        <v>230705</v>
      </c>
    </row>
    <row r="16926" spans="1:15" x14ac:dyDescent="0.25">
      <c r="A16926" t="s">
        <v>16</v>
      </c>
      <c r="B16926" t="s">
        <v>3221</v>
      </c>
      <c r="C16926">
        <v>9388</v>
      </c>
      <c r="D16926" t="s">
        <v>3231</v>
      </c>
      <c r="E16926" t="s">
        <v>3232</v>
      </c>
      <c r="F16926">
        <v>0.23</v>
      </c>
      <c r="G16926">
        <v>230630</v>
      </c>
      <c r="H16926">
        <v>4600</v>
      </c>
      <c r="I16926" t="s">
        <v>105</v>
      </c>
      <c r="J16926">
        <v>0.28000000000000003</v>
      </c>
      <c r="K16926">
        <v>0.05</v>
      </c>
      <c r="L16926">
        <v>69111</v>
      </c>
      <c r="M16926" t="s">
        <v>471</v>
      </c>
      <c r="N16926" t="str">
        <f>"19934338    "</f>
        <v xml:space="preserve">19934338    </v>
      </c>
      <c r="O16926">
        <v>230710</v>
      </c>
    </row>
    <row r="16927" spans="1:15" x14ac:dyDescent="0.25">
      <c r="A16927" t="s">
        <v>16</v>
      </c>
      <c r="B16927" t="s">
        <v>3221</v>
      </c>
      <c r="C16927">
        <v>9400</v>
      </c>
      <c r="D16927" t="s">
        <v>3231</v>
      </c>
      <c r="E16927" t="s">
        <v>3232</v>
      </c>
      <c r="F16927">
        <v>22.25</v>
      </c>
      <c r="G16927">
        <v>230630</v>
      </c>
      <c r="H16927">
        <v>4600</v>
      </c>
      <c r="I16927" t="s">
        <v>105</v>
      </c>
      <c r="J16927">
        <v>27.59</v>
      </c>
      <c r="K16927">
        <v>5.34</v>
      </c>
      <c r="L16927">
        <v>14972</v>
      </c>
      <c r="M16927" t="s">
        <v>898</v>
      </c>
      <c r="N16927" t="str">
        <f>"19934335    "</f>
        <v xml:space="preserve">19934335    </v>
      </c>
      <c r="O16927">
        <v>230710</v>
      </c>
    </row>
    <row r="16928" spans="1:15" x14ac:dyDescent="0.25">
      <c r="A16928" t="s">
        <v>16</v>
      </c>
      <c r="B16928" t="s">
        <v>3221</v>
      </c>
      <c r="C16928">
        <v>10280</v>
      </c>
      <c r="D16928" t="s">
        <v>3231</v>
      </c>
      <c r="E16928" t="s">
        <v>3232</v>
      </c>
      <c r="F16928">
        <v>1.94</v>
      </c>
      <c r="G16928">
        <v>230731</v>
      </c>
      <c r="H16928">
        <v>4600</v>
      </c>
      <c r="I16928" t="s">
        <v>105</v>
      </c>
      <c r="J16928">
        <v>2.4</v>
      </c>
      <c r="K16928">
        <v>0.46</v>
      </c>
      <c r="L16928">
        <v>69111</v>
      </c>
      <c r="M16928" t="s">
        <v>471</v>
      </c>
      <c r="N16928" t="str">
        <f>"19970263    "</f>
        <v xml:space="preserve">19970263    </v>
      </c>
      <c r="O16928">
        <v>230814</v>
      </c>
    </row>
    <row r="16929" spans="1:15" x14ac:dyDescent="0.25">
      <c r="A16929" t="s">
        <v>16</v>
      </c>
      <c r="B16929" t="s">
        <v>3221</v>
      </c>
      <c r="C16929">
        <v>11410</v>
      </c>
      <c r="D16929" t="s">
        <v>3231</v>
      </c>
      <c r="E16929" t="s">
        <v>3232</v>
      </c>
      <c r="F16929">
        <v>0.23</v>
      </c>
      <c r="G16929">
        <v>230831</v>
      </c>
      <c r="H16929">
        <v>4600</v>
      </c>
      <c r="I16929" t="s">
        <v>105</v>
      </c>
      <c r="J16929">
        <v>0.28000000000000003</v>
      </c>
      <c r="K16929">
        <v>0.05</v>
      </c>
      <c r="L16929">
        <v>16431</v>
      </c>
      <c r="M16929" t="s">
        <v>231</v>
      </c>
      <c r="N16929" t="str">
        <f>"20004366    "</f>
        <v xml:space="preserve">20004366    </v>
      </c>
      <c r="O16929">
        <v>230905</v>
      </c>
    </row>
    <row r="16930" spans="1:15" x14ac:dyDescent="0.25">
      <c r="A16930" t="s">
        <v>16</v>
      </c>
      <c r="B16930" t="s">
        <v>3221</v>
      </c>
      <c r="C16930">
        <v>11518</v>
      </c>
      <c r="D16930" t="s">
        <v>3231</v>
      </c>
      <c r="E16930" t="s">
        <v>3232</v>
      </c>
      <c r="F16930">
        <v>3.77</v>
      </c>
      <c r="G16930">
        <v>230831</v>
      </c>
      <c r="H16930">
        <v>4600</v>
      </c>
      <c r="I16930" t="s">
        <v>105</v>
      </c>
      <c r="J16930">
        <v>4.68</v>
      </c>
      <c r="K16930">
        <v>0.91</v>
      </c>
      <c r="L16930">
        <v>17131</v>
      </c>
      <c r="M16930" t="s">
        <v>64</v>
      </c>
      <c r="N16930" t="str">
        <f>"20004367    "</f>
        <v xml:space="preserve">20004367    </v>
      </c>
      <c r="O16930">
        <v>230907</v>
      </c>
    </row>
    <row r="16931" spans="1:15" x14ac:dyDescent="0.25">
      <c r="A16931" t="s">
        <v>16</v>
      </c>
      <c r="B16931" t="s">
        <v>3221</v>
      </c>
      <c r="C16931">
        <v>11518</v>
      </c>
      <c r="D16931" t="s">
        <v>3231</v>
      </c>
      <c r="E16931" t="s">
        <v>3232</v>
      </c>
      <c r="F16931">
        <v>0.46</v>
      </c>
      <c r="G16931">
        <v>230831</v>
      </c>
      <c r="H16931">
        <v>4600</v>
      </c>
      <c r="I16931" t="s">
        <v>105</v>
      </c>
      <c r="J16931">
        <v>0.56999999999999995</v>
      </c>
      <c r="K16931">
        <v>0.11</v>
      </c>
      <c r="L16931">
        <v>17912</v>
      </c>
      <c r="M16931" t="s">
        <v>419</v>
      </c>
      <c r="N16931" t="str">
        <f>"20004367    "</f>
        <v xml:space="preserve">20004367    </v>
      </c>
      <c r="O16931">
        <v>230907</v>
      </c>
    </row>
    <row r="16932" spans="1:15" x14ac:dyDescent="0.25">
      <c r="A16932" t="s">
        <v>16</v>
      </c>
      <c r="B16932" t="s">
        <v>3221</v>
      </c>
      <c r="C16932">
        <v>11518</v>
      </c>
      <c r="D16932" t="s">
        <v>3231</v>
      </c>
      <c r="E16932" t="s">
        <v>3232</v>
      </c>
      <c r="F16932">
        <v>0.46</v>
      </c>
      <c r="G16932">
        <v>230831</v>
      </c>
      <c r="H16932">
        <v>4600</v>
      </c>
      <c r="I16932" t="s">
        <v>105</v>
      </c>
      <c r="J16932">
        <v>0.56999999999999995</v>
      </c>
      <c r="K16932">
        <v>0.11</v>
      </c>
      <c r="L16932">
        <v>17912</v>
      </c>
      <c r="M16932" t="s">
        <v>419</v>
      </c>
      <c r="N16932" t="str">
        <f>"20004367    "</f>
        <v xml:space="preserve">20004367    </v>
      </c>
      <c r="O16932">
        <v>230907</v>
      </c>
    </row>
    <row r="16933" spans="1:15" x14ac:dyDescent="0.25">
      <c r="A16933" t="s">
        <v>16</v>
      </c>
      <c r="B16933" t="s">
        <v>3221</v>
      </c>
      <c r="C16933">
        <v>11752</v>
      </c>
      <c r="D16933" t="s">
        <v>3231</v>
      </c>
      <c r="E16933" t="s">
        <v>3232</v>
      </c>
      <c r="F16933">
        <v>2.12</v>
      </c>
      <c r="G16933">
        <v>230831</v>
      </c>
      <c r="H16933">
        <v>4600</v>
      </c>
      <c r="I16933" t="s">
        <v>105</v>
      </c>
      <c r="J16933">
        <v>2.63</v>
      </c>
      <c r="K16933">
        <v>0.51</v>
      </c>
      <c r="L16933">
        <v>59111</v>
      </c>
      <c r="M16933" t="s">
        <v>1010</v>
      </c>
      <c r="N16933" t="str">
        <f>"20009044    "</f>
        <v xml:space="preserve">20009044    </v>
      </c>
      <c r="O16933">
        <v>230908</v>
      </c>
    </row>
    <row r="16934" spans="1:15" x14ac:dyDescent="0.25">
      <c r="A16934" t="s">
        <v>16</v>
      </c>
      <c r="B16934" t="s">
        <v>3221</v>
      </c>
      <c r="C16934">
        <v>11785</v>
      </c>
      <c r="D16934" t="s">
        <v>3231</v>
      </c>
      <c r="E16934" t="s">
        <v>3232</v>
      </c>
      <c r="F16934">
        <v>3.12</v>
      </c>
      <c r="G16934">
        <v>230831</v>
      </c>
      <c r="H16934">
        <v>4600</v>
      </c>
      <c r="I16934" t="s">
        <v>105</v>
      </c>
      <c r="J16934">
        <v>3.87</v>
      </c>
      <c r="K16934">
        <v>0.75</v>
      </c>
      <c r="L16934">
        <v>67522</v>
      </c>
      <c r="M16934" t="s">
        <v>397</v>
      </c>
      <c r="N16934" t="str">
        <f>"20004368    "</f>
        <v xml:space="preserve">20004368    </v>
      </c>
      <c r="O16934">
        <v>230911</v>
      </c>
    </row>
    <row r="16935" spans="1:15" x14ac:dyDescent="0.25">
      <c r="A16935" t="s">
        <v>16</v>
      </c>
      <c r="B16935" t="s">
        <v>3221</v>
      </c>
      <c r="C16935">
        <v>11788</v>
      </c>
      <c r="D16935" t="s">
        <v>3231</v>
      </c>
      <c r="E16935" t="s">
        <v>3232</v>
      </c>
      <c r="F16935">
        <v>0.46</v>
      </c>
      <c r="G16935">
        <v>230831</v>
      </c>
      <c r="H16935">
        <v>4600</v>
      </c>
      <c r="I16935" t="s">
        <v>105</v>
      </c>
      <c r="J16935">
        <v>0.56999999999999995</v>
      </c>
      <c r="K16935">
        <v>0.11</v>
      </c>
      <c r="L16935">
        <v>49112</v>
      </c>
      <c r="M16935" t="s">
        <v>233</v>
      </c>
      <c r="N16935" t="str">
        <f>"20004362    "</f>
        <v xml:space="preserve">20004362    </v>
      </c>
      <c r="O16935">
        <v>230911</v>
      </c>
    </row>
    <row r="16936" spans="1:15" x14ac:dyDescent="0.25">
      <c r="A16936" t="s">
        <v>16</v>
      </c>
      <c r="B16936" t="s">
        <v>3221</v>
      </c>
      <c r="C16936">
        <v>11942</v>
      </c>
      <c r="D16936" t="s">
        <v>3231</v>
      </c>
      <c r="E16936" t="s">
        <v>3232</v>
      </c>
      <c r="F16936">
        <v>0.23</v>
      </c>
      <c r="G16936">
        <v>230831</v>
      </c>
      <c r="H16936">
        <v>4600</v>
      </c>
      <c r="I16936" t="s">
        <v>105</v>
      </c>
      <c r="J16936">
        <v>0.28000000000000003</v>
      </c>
      <c r="K16936">
        <v>0.05</v>
      </c>
      <c r="L16936">
        <v>44251</v>
      </c>
      <c r="M16936" t="s">
        <v>156</v>
      </c>
      <c r="N16936" t="str">
        <f>"20004361    "</f>
        <v xml:space="preserve">20004361    </v>
      </c>
      <c r="O16936">
        <v>230912</v>
      </c>
    </row>
    <row r="16937" spans="1:15" x14ac:dyDescent="0.25">
      <c r="A16937" t="s">
        <v>16</v>
      </c>
      <c r="B16937" t="s">
        <v>3221</v>
      </c>
      <c r="C16937">
        <v>11980</v>
      </c>
      <c r="D16937" t="s">
        <v>3231</v>
      </c>
      <c r="E16937" t="s">
        <v>3232</v>
      </c>
      <c r="F16937">
        <v>10.45</v>
      </c>
      <c r="G16937">
        <v>230831</v>
      </c>
      <c r="H16937">
        <v>4600</v>
      </c>
      <c r="I16937" t="s">
        <v>105</v>
      </c>
      <c r="J16937">
        <v>12.96</v>
      </c>
      <c r="K16937">
        <v>2.5099999999999998</v>
      </c>
      <c r="L16937">
        <v>13561</v>
      </c>
      <c r="M16937" t="s">
        <v>246</v>
      </c>
      <c r="N16937" t="str">
        <f>"20012954    "</f>
        <v xml:space="preserve">20012954    </v>
      </c>
      <c r="O16937">
        <v>230912</v>
      </c>
    </row>
    <row r="16938" spans="1:15" x14ac:dyDescent="0.25">
      <c r="A16938" t="s">
        <v>16</v>
      </c>
      <c r="B16938" t="s">
        <v>3221</v>
      </c>
      <c r="C16938">
        <v>11980</v>
      </c>
      <c r="D16938" t="s">
        <v>3231</v>
      </c>
      <c r="E16938" t="s">
        <v>3232</v>
      </c>
      <c r="F16938">
        <v>20.45</v>
      </c>
      <c r="G16938">
        <v>230831</v>
      </c>
      <c r="H16938">
        <v>4600</v>
      </c>
      <c r="I16938" t="s">
        <v>105</v>
      </c>
      <c r="J16938">
        <v>25.36</v>
      </c>
      <c r="K16938">
        <v>4.91</v>
      </c>
      <c r="L16938">
        <v>17972</v>
      </c>
      <c r="M16938" t="s">
        <v>248</v>
      </c>
      <c r="N16938" t="str">
        <f>"20012954    "</f>
        <v xml:space="preserve">20012954    </v>
      </c>
      <c r="O16938">
        <v>230912</v>
      </c>
    </row>
    <row r="16939" spans="1:15" x14ac:dyDescent="0.25">
      <c r="A16939" t="s">
        <v>16</v>
      </c>
      <c r="B16939" t="s">
        <v>3221</v>
      </c>
      <c r="C16939">
        <v>12044</v>
      </c>
      <c r="D16939" t="s">
        <v>3231</v>
      </c>
      <c r="E16939" t="s">
        <v>3232</v>
      </c>
      <c r="F16939">
        <v>2.89</v>
      </c>
      <c r="G16939">
        <v>230831</v>
      </c>
      <c r="H16939">
        <v>4600</v>
      </c>
      <c r="I16939" t="s">
        <v>105</v>
      </c>
      <c r="J16939">
        <v>2.89</v>
      </c>
      <c r="K16939">
        <v>0</v>
      </c>
      <c r="L16939">
        <v>14972</v>
      </c>
      <c r="M16939" t="s">
        <v>898</v>
      </c>
      <c r="N16939" t="str">
        <f>"20004363    "</f>
        <v xml:space="preserve">20004363    </v>
      </c>
      <c r="O16939">
        <v>230913</v>
      </c>
    </row>
    <row r="16940" spans="1:15" x14ac:dyDescent="0.25">
      <c r="A16940" t="s">
        <v>16</v>
      </c>
      <c r="B16940" t="s">
        <v>3221</v>
      </c>
      <c r="C16940">
        <v>12044</v>
      </c>
      <c r="D16940" t="s">
        <v>3231</v>
      </c>
      <c r="E16940" t="s">
        <v>3232</v>
      </c>
      <c r="F16940">
        <v>39.200000000000003</v>
      </c>
      <c r="G16940">
        <v>230831</v>
      </c>
      <c r="H16940">
        <v>4600</v>
      </c>
      <c r="I16940" t="s">
        <v>105</v>
      </c>
      <c r="J16940">
        <v>39.200000000000003</v>
      </c>
      <c r="K16940">
        <v>0</v>
      </c>
      <c r="L16940">
        <v>14972</v>
      </c>
      <c r="M16940" t="s">
        <v>898</v>
      </c>
      <c r="N16940" t="str">
        <f>"20004363    "</f>
        <v xml:space="preserve">20004363    </v>
      </c>
      <c r="O16940">
        <v>230913</v>
      </c>
    </row>
    <row r="16941" spans="1:15" x14ac:dyDescent="0.25">
      <c r="A16941" t="s">
        <v>16</v>
      </c>
      <c r="B16941" t="s">
        <v>3221</v>
      </c>
      <c r="C16941">
        <v>13286</v>
      </c>
      <c r="D16941" t="s">
        <v>3231</v>
      </c>
      <c r="E16941" t="s">
        <v>3232</v>
      </c>
      <c r="F16941">
        <v>1.31</v>
      </c>
      <c r="G16941">
        <v>230930</v>
      </c>
      <c r="H16941">
        <v>4600</v>
      </c>
      <c r="I16941" t="s">
        <v>105</v>
      </c>
      <c r="J16941">
        <v>1.62</v>
      </c>
      <c r="K16941">
        <v>0.31</v>
      </c>
      <c r="L16941">
        <v>17131</v>
      </c>
      <c r="M16941" t="s">
        <v>64</v>
      </c>
      <c r="N16941" t="str">
        <f>"20042439    "</f>
        <v xml:space="preserve">20042439    </v>
      </c>
      <c r="O16941">
        <v>231009</v>
      </c>
    </row>
    <row r="16942" spans="1:15" x14ac:dyDescent="0.25">
      <c r="A16942" t="s">
        <v>16</v>
      </c>
      <c r="B16942" t="s">
        <v>3221</v>
      </c>
      <c r="C16942">
        <v>13286</v>
      </c>
      <c r="D16942" t="s">
        <v>3231</v>
      </c>
      <c r="E16942" t="s">
        <v>3232</v>
      </c>
      <c r="F16942">
        <v>9.4</v>
      </c>
      <c r="G16942">
        <v>230930</v>
      </c>
      <c r="H16942">
        <v>4600</v>
      </c>
      <c r="I16942" t="s">
        <v>105</v>
      </c>
      <c r="J16942">
        <v>11.66</v>
      </c>
      <c r="K16942">
        <v>2.2599999999999998</v>
      </c>
      <c r="L16942">
        <v>17131</v>
      </c>
      <c r="M16942" t="s">
        <v>64</v>
      </c>
      <c r="N16942" t="str">
        <f>"20042439    "</f>
        <v xml:space="preserve">20042439    </v>
      </c>
      <c r="O16942">
        <v>231009</v>
      </c>
    </row>
    <row r="16943" spans="1:15" x14ac:dyDescent="0.25">
      <c r="A16943" t="s">
        <v>16</v>
      </c>
      <c r="B16943" t="s">
        <v>3221</v>
      </c>
      <c r="C16943">
        <v>13286</v>
      </c>
      <c r="D16943" t="s">
        <v>3231</v>
      </c>
      <c r="E16943" t="s">
        <v>3232</v>
      </c>
      <c r="F16943">
        <v>7.56</v>
      </c>
      <c r="G16943">
        <v>230930</v>
      </c>
      <c r="H16943">
        <v>4600</v>
      </c>
      <c r="I16943" t="s">
        <v>105</v>
      </c>
      <c r="J16943">
        <v>9.3800000000000008</v>
      </c>
      <c r="K16943">
        <v>1.82</v>
      </c>
      <c r="L16943">
        <v>17131</v>
      </c>
      <c r="M16943" t="s">
        <v>64</v>
      </c>
      <c r="N16943" t="str">
        <f>"20042439    "</f>
        <v xml:space="preserve">20042439    </v>
      </c>
      <c r="O16943">
        <v>231009</v>
      </c>
    </row>
    <row r="16944" spans="1:15" x14ac:dyDescent="0.25">
      <c r="A16944" t="s">
        <v>16</v>
      </c>
      <c r="B16944" t="s">
        <v>3221</v>
      </c>
      <c r="C16944">
        <v>13303</v>
      </c>
      <c r="D16944" t="s">
        <v>3231</v>
      </c>
      <c r="E16944" t="s">
        <v>3232</v>
      </c>
      <c r="F16944">
        <v>8.6999999999999993</v>
      </c>
      <c r="G16944">
        <v>230930</v>
      </c>
      <c r="H16944">
        <v>4600</v>
      </c>
      <c r="I16944" t="s">
        <v>105</v>
      </c>
      <c r="J16944">
        <v>10.79</v>
      </c>
      <c r="K16944">
        <v>2.09</v>
      </c>
      <c r="L16944">
        <v>16431</v>
      </c>
      <c r="M16944" t="s">
        <v>231</v>
      </c>
      <c r="N16944" t="str">
        <f>"20042438    "</f>
        <v xml:space="preserve">20042438    </v>
      </c>
      <c r="O16944">
        <v>231009</v>
      </c>
    </row>
    <row r="16945" spans="1:15" x14ac:dyDescent="0.25">
      <c r="A16945" t="s">
        <v>16</v>
      </c>
      <c r="B16945" t="s">
        <v>3221</v>
      </c>
      <c r="C16945">
        <v>13671</v>
      </c>
      <c r="D16945" t="s">
        <v>3231</v>
      </c>
      <c r="E16945" t="s">
        <v>3232</v>
      </c>
      <c r="F16945">
        <v>0.19</v>
      </c>
      <c r="G16945">
        <v>230930</v>
      </c>
      <c r="H16945">
        <v>4600</v>
      </c>
      <c r="I16945" t="s">
        <v>105</v>
      </c>
      <c r="J16945">
        <v>0.24</v>
      </c>
      <c r="K16945">
        <v>0.05</v>
      </c>
      <c r="L16945">
        <v>14422</v>
      </c>
      <c r="M16945" t="s">
        <v>228</v>
      </c>
      <c r="N16945" t="str">
        <f>"20042435    "</f>
        <v xml:space="preserve">20042435    </v>
      </c>
      <c r="O16945">
        <v>231012</v>
      </c>
    </row>
    <row r="16946" spans="1:15" x14ac:dyDescent="0.25">
      <c r="A16946" t="s">
        <v>16</v>
      </c>
      <c r="B16946" t="s">
        <v>3221</v>
      </c>
      <c r="C16946">
        <v>13680</v>
      </c>
      <c r="D16946" t="s">
        <v>3231</v>
      </c>
      <c r="E16946" t="s">
        <v>3232</v>
      </c>
      <c r="F16946">
        <v>0.77</v>
      </c>
      <c r="G16946">
        <v>230930</v>
      </c>
      <c r="H16946">
        <v>4600</v>
      </c>
      <c r="I16946" t="s">
        <v>105</v>
      </c>
      <c r="J16946">
        <v>0.96</v>
      </c>
      <c r="K16946">
        <v>0.19</v>
      </c>
      <c r="L16946">
        <v>59111</v>
      </c>
      <c r="M16946" t="s">
        <v>1010</v>
      </c>
      <c r="N16946" t="str">
        <f>"20047042    "</f>
        <v xml:space="preserve">20047042    </v>
      </c>
      <c r="O16946">
        <v>231012</v>
      </c>
    </row>
    <row r="16947" spans="1:15" x14ac:dyDescent="0.25">
      <c r="A16947" t="s">
        <v>16</v>
      </c>
      <c r="B16947" t="s">
        <v>3221</v>
      </c>
      <c r="C16947">
        <v>13762</v>
      </c>
      <c r="D16947" t="s">
        <v>3231</v>
      </c>
      <c r="E16947" t="s">
        <v>3232</v>
      </c>
      <c r="F16947">
        <v>13.69</v>
      </c>
      <c r="G16947">
        <v>230930</v>
      </c>
      <c r="H16947">
        <v>4600</v>
      </c>
      <c r="I16947" t="s">
        <v>105</v>
      </c>
      <c r="J16947">
        <v>16.97</v>
      </c>
      <c r="K16947">
        <v>3.28</v>
      </c>
      <c r="L16947">
        <v>69112</v>
      </c>
      <c r="M16947" t="s">
        <v>313</v>
      </c>
      <c r="N16947" t="str">
        <f>"20061772    "</f>
        <v xml:space="preserve">20061772    </v>
      </c>
      <c r="O16947">
        <v>231013</v>
      </c>
    </row>
    <row r="16948" spans="1:15" x14ac:dyDescent="0.25">
      <c r="A16948" t="s">
        <v>16</v>
      </c>
      <c r="B16948" t="s">
        <v>3221</v>
      </c>
      <c r="C16948">
        <v>13762</v>
      </c>
      <c r="D16948" t="s">
        <v>3231</v>
      </c>
      <c r="E16948" t="s">
        <v>3232</v>
      </c>
      <c r="F16948">
        <v>0.76</v>
      </c>
      <c r="G16948">
        <v>230930</v>
      </c>
      <c r="H16948">
        <v>4600</v>
      </c>
      <c r="I16948" t="s">
        <v>105</v>
      </c>
      <c r="J16948">
        <v>0.94</v>
      </c>
      <c r="K16948">
        <v>0.18</v>
      </c>
      <c r="L16948">
        <v>69810</v>
      </c>
      <c r="M16948" t="s">
        <v>314</v>
      </c>
      <c r="N16948" t="str">
        <f>"20061772    "</f>
        <v xml:space="preserve">20061772    </v>
      </c>
      <c r="O16948">
        <v>231013</v>
      </c>
    </row>
    <row r="16949" spans="1:15" x14ac:dyDescent="0.25">
      <c r="A16949" t="s">
        <v>16</v>
      </c>
      <c r="B16949" t="s">
        <v>3221</v>
      </c>
      <c r="C16949">
        <v>13762</v>
      </c>
      <c r="D16949" t="s">
        <v>3231</v>
      </c>
      <c r="E16949" t="s">
        <v>3232</v>
      </c>
      <c r="F16949">
        <v>0.76</v>
      </c>
      <c r="G16949">
        <v>230930</v>
      </c>
      <c r="H16949">
        <v>4600</v>
      </c>
      <c r="I16949" t="s">
        <v>105</v>
      </c>
      <c r="J16949">
        <v>0.94</v>
      </c>
      <c r="K16949">
        <v>0.18</v>
      </c>
      <c r="L16949">
        <v>69811</v>
      </c>
      <c r="M16949" t="s">
        <v>315</v>
      </c>
      <c r="N16949" t="str">
        <f>"20061772    "</f>
        <v xml:space="preserve">20061772    </v>
      </c>
      <c r="O16949">
        <v>231013</v>
      </c>
    </row>
    <row r="16950" spans="1:15" x14ac:dyDescent="0.25">
      <c r="A16950" t="s">
        <v>16</v>
      </c>
      <c r="B16950" t="s">
        <v>3221</v>
      </c>
      <c r="C16950">
        <v>14984</v>
      </c>
      <c r="D16950" t="s">
        <v>3231</v>
      </c>
      <c r="E16950" t="s">
        <v>3232</v>
      </c>
      <c r="F16950">
        <v>0.23</v>
      </c>
      <c r="G16950">
        <v>231031</v>
      </c>
      <c r="H16950">
        <v>4600</v>
      </c>
      <c r="I16950" t="s">
        <v>105</v>
      </c>
      <c r="J16950">
        <v>0.28000000000000003</v>
      </c>
      <c r="K16950">
        <v>0.05</v>
      </c>
      <c r="L16950">
        <v>17131</v>
      </c>
      <c r="M16950" t="s">
        <v>64</v>
      </c>
      <c r="N16950" t="str">
        <f>"20080974    "</f>
        <v xml:space="preserve">20080974    </v>
      </c>
      <c r="O16950">
        <v>231107</v>
      </c>
    </row>
    <row r="16951" spans="1:15" x14ac:dyDescent="0.25">
      <c r="A16951" t="s">
        <v>16</v>
      </c>
      <c r="B16951" t="s">
        <v>3221</v>
      </c>
      <c r="C16951">
        <v>14984</v>
      </c>
      <c r="D16951" t="s">
        <v>3231</v>
      </c>
      <c r="E16951" t="s">
        <v>3232</v>
      </c>
      <c r="F16951">
        <v>4.45</v>
      </c>
      <c r="G16951">
        <v>231031</v>
      </c>
      <c r="H16951">
        <v>4600</v>
      </c>
      <c r="I16951" t="s">
        <v>105</v>
      </c>
      <c r="J16951">
        <v>5.52</v>
      </c>
      <c r="K16951">
        <v>1.07</v>
      </c>
      <c r="L16951">
        <v>17131</v>
      </c>
      <c r="M16951" t="s">
        <v>64</v>
      </c>
      <c r="N16951" t="str">
        <f>"20080974    "</f>
        <v xml:space="preserve">20080974    </v>
      </c>
      <c r="O16951">
        <v>231107</v>
      </c>
    </row>
    <row r="16952" spans="1:15" x14ac:dyDescent="0.25">
      <c r="A16952" t="s">
        <v>16</v>
      </c>
      <c r="B16952" t="s">
        <v>3221</v>
      </c>
      <c r="C16952">
        <v>14984</v>
      </c>
      <c r="D16952" t="s">
        <v>3231</v>
      </c>
      <c r="E16952" t="s">
        <v>3232</v>
      </c>
      <c r="F16952">
        <v>7.4</v>
      </c>
      <c r="G16952">
        <v>231031</v>
      </c>
      <c r="H16952">
        <v>4600</v>
      </c>
      <c r="I16952" t="s">
        <v>105</v>
      </c>
      <c r="J16952">
        <v>9.18</v>
      </c>
      <c r="K16952">
        <v>1.78</v>
      </c>
      <c r="L16952">
        <v>17131</v>
      </c>
      <c r="M16952" t="s">
        <v>64</v>
      </c>
      <c r="N16952" t="str">
        <f>"20080974    "</f>
        <v xml:space="preserve">20080974    </v>
      </c>
      <c r="O16952">
        <v>231107</v>
      </c>
    </row>
    <row r="16953" spans="1:15" x14ac:dyDescent="0.25">
      <c r="A16953" t="s">
        <v>16</v>
      </c>
      <c r="B16953" t="s">
        <v>3221</v>
      </c>
      <c r="C16953">
        <v>14984</v>
      </c>
      <c r="D16953" t="s">
        <v>3231</v>
      </c>
      <c r="E16953" t="s">
        <v>3232</v>
      </c>
      <c r="F16953">
        <v>0.23</v>
      </c>
      <c r="G16953">
        <v>231031</v>
      </c>
      <c r="H16953">
        <v>4600</v>
      </c>
      <c r="I16953" t="s">
        <v>105</v>
      </c>
      <c r="J16953">
        <v>0.28000000000000003</v>
      </c>
      <c r="K16953">
        <v>0.05</v>
      </c>
      <c r="L16953">
        <v>17912</v>
      </c>
      <c r="M16953" t="s">
        <v>419</v>
      </c>
      <c r="N16953" t="str">
        <f>"20080974    "</f>
        <v xml:space="preserve">20080974    </v>
      </c>
      <c r="O16953">
        <v>231107</v>
      </c>
    </row>
    <row r="16954" spans="1:15" x14ac:dyDescent="0.25">
      <c r="A16954" t="s">
        <v>16</v>
      </c>
      <c r="B16954" t="s">
        <v>3221</v>
      </c>
      <c r="C16954">
        <v>14986</v>
      </c>
      <c r="D16954" t="s">
        <v>3231</v>
      </c>
      <c r="E16954" t="s">
        <v>3232</v>
      </c>
      <c r="F16954">
        <v>4.4800000000000004</v>
      </c>
      <c r="G16954">
        <v>231031</v>
      </c>
      <c r="H16954">
        <v>4600</v>
      </c>
      <c r="I16954" t="s">
        <v>105</v>
      </c>
      <c r="J16954">
        <v>5.55</v>
      </c>
      <c r="K16954">
        <v>1.07</v>
      </c>
      <c r="L16954">
        <v>69112</v>
      </c>
      <c r="M16954" t="s">
        <v>313</v>
      </c>
      <c r="N16954" t="str">
        <f>"20100418    "</f>
        <v xml:space="preserve">20100418    </v>
      </c>
      <c r="O16954">
        <v>231107</v>
      </c>
    </row>
    <row r="16955" spans="1:15" x14ac:dyDescent="0.25">
      <c r="A16955" t="s">
        <v>16</v>
      </c>
      <c r="B16955" t="s">
        <v>3221</v>
      </c>
      <c r="C16955">
        <v>14986</v>
      </c>
      <c r="D16955" t="s">
        <v>3231</v>
      </c>
      <c r="E16955" t="s">
        <v>3232</v>
      </c>
      <c r="F16955">
        <v>0.25</v>
      </c>
      <c r="G16955">
        <v>231031</v>
      </c>
      <c r="H16955">
        <v>4600</v>
      </c>
      <c r="I16955" t="s">
        <v>105</v>
      </c>
      <c r="J16955">
        <v>0.31</v>
      </c>
      <c r="K16955">
        <v>0.06</v>
      </c>
      <c r="L16955">
        <v>69810</v>
      </c>
      <c r="M16955" t="s">
        <v>314</v>
      </c>
      <c r="N16955" t="str">
        <f>"20100418    "</f>
        <v xml:space="preserve">20100418    </v>
      </c>
      <c r="O16955">
        <v>231107</v>
      </c>
    </row>
    <row r="16956" spans="1:15" x14ac:dyDescent="0.25">
      <c r="A16956" t="s">
        <v>16</v>
      </c>
      <c r="B16956" t="s">
        <v>3221</v>
      </c>
      <c r="C16956">
        <v>14986</v>
      </c>
      <c r="D16956" t="s">
        <v>3231</v>
      </c>
      <c r="E16956" t="s">
        <v>3232</v>
      </c>
      <c r="F16956">
        <v>0.25</v>
      </c>
      <c r="G16956">
        <v>231031</v>
      </c>
      <c r="H16956">
        <v>4600</v>
      </c>
      <c r="I16956" t="s">
        <v>105</v>
      </c>
      <c r="J16956">
        <v>0.31</v>
      </c>
      <c r="K16956">
        <v>0.06</v>
      </c>
      <c r="L16956">
        <v>69811</v>
      </c>
      <c r="M16956" t="s">
        <v>315</v>
      </c>
      <c r="N16956" t="str">
        <f>"20100418    "</f>
        <v xml:space="preserve">20100418    </v>
      </c>
      <c r="O16956">
        <v>231107</v>
      </c>
    </row>
    <row r="16957" spans="1:15" x14ac:dyDescent="0.25">
      <c r="A16957" t="s">
        <v>16</v>
      </c>
      <c r="B16957" t="s">
        <v>3221</v>
      </c>
      <c r="C16957">
        <v>14996</v>
      </c>
      <c r="D16957" t="s">
        <v>3231</v>
      </c>
      <c r="E16957" t="s">
        <v>3232</v>
      </c>
      <c r="F16957">
        <v>0.19</v>
      </c>
      <c r="G16957">
        <v>231031</v>
      </c>
      <c r="H16957">
        <v>4600</v>
      </c>
      <c r="I16957" t="s">
        <v>105</v>
      </c>
      <c r="J16957">
        <v>0.24</v>
      </c>
      <c r="K16957">
        <v>0.05</v>
      </c>
      <c r="L16957">
        <v>14422</v>
      </c>
      <c r="M16957" t="s">
        <v>228</v>
      </c>
      <c r="N16957" t="str">
        <f>"20080970    "</f>
        <v xml:space="preserve">20080970    </v>
      </c>
      <c r="O16957">
        <v>231108</v>
      </c>
    </row>
    <row r="16958" spans="1:15" x14ac:dyDescent="0.25">
      <c r="A16958" t="s">
        <v>16</v>
      </c>
      <c r="B16958" t="s">
        <v>3221</v>
      </c>
      <c r="C16958">
        <v>15032</v>
      </c>
      <c r="D16958" t="s">
        <v>3231</v>
      </c>
      <c r="E16958" t="s">
        <v>3232</v>
      </c>
      <c r="F16958">
        <v>47.2</v>
      </c>
      <c r="G16958">
        <v>231031</v>
      </c>
      <c r="H16958">
        <v>4600</v>
      </c>
      <c r="I16958" t="s">
        <v>105</v>
      </c>
      <c r="J16958">
        <v>58.53</v>
      </c>
      <c r="K16958">
        <v>11.33</v>
      </c>
      <c r="L16958">
        <v>17971</v>
      </c>
      <c r="M16958" t="s">
        <v>138</v>
      </c>
      <c r="N16958" t="str">
        <f>"20089609    "</f>
        <v xml:space="preserve">20089609    </v>
      </c>
      <c r="O16958">
        <v>231108</v>
      </c>
    </row>
    <row r="16959" spans="1:15" x14ac:dyDescent="0.25">
      <c r="A16959" t="s">
        <v>16</v>
      </c>
      <c r="B16959" t="s">
        <v>3221</v>
      </c>
      <c r="C16959">
        <v>15353</v>
      </c>
      <c r="D16959" t="s">
        <v>3231</v>
      </c>
      <c r="E16959" t="s">
        <v>3232</v>
      </c>
      <c r="F16959">
        <v>2.84</v>
      </c>
      <c r="G16959">
        <v>231031</v>
      </c>
      <c r="H16959">
        <v>4600</v>
      </c>
      <c r="I16959" t="s">
        <v>105</v>
      </c>
      <c r="J16959">
        <v>3.52</v>
      </c>
      <c r="K16959">
        <v>0.68</v>
      </c>
      <c r="L16959">
        <v>66722</v>
      </c>
      <c r="M16959" t="s">
        <v>518</v>
      </c>
      <c r="N16959" t="str">
        <f>"20080975    "</f>
        <v xml:space="preserve">20080975    </v>
      </c>
      <c r="O16959">
        <v>231113</v>
      </c>
    </row>
    <row r="16960" spans="1:15" x14ac:dyDescent="0.25">
      <c r="A16960" t="s">
        <v>16</v>
      </c>
      <c r="B16960" t="s">
        <v>3221</v>
      </c>
      <c r="C16960">
        <v>16848</v>
      </c>
      <c r="D16960" t="s">
        <v>3231</v>
      </c>
      <c r="E16960" t="s">
        <v>3232</v>
      </c>
      <c r="F16960">
        <v>0.86</v>
      </c>
      <c r="G16960">
        <v>231130</v>
      </c>
      <c r="H16960">
        <v>4600</v>
      </c>
      <c r="I16960" t="s">
        <v>105</v>
      </c>
      <c r="J16960">
        <v>1.07</v>
      </c>
      <c r="K16960">
        <v>0.21</v>
      </c>
      <c r="L16960">
        <v>17912</v>
      </c>
      <c r="M16960" t="s">
        <v>419</v>
      </c>
      <c r="N16960" t="str">
        <f>"20120346    "</f>
        <v xml:space="preserve">20120346    </v>
      </c>
      <c r="O16960">
        <v>231211</v>
      </c>
    </row>
    <row r="16961" spans="1:15" x14ac:dyDescent="0.25">
      <c r="A16961" t="s">
        <v>16</v>
      </c>
      <c r="B16961" t="s">
        <v>3221</v>
      </c>
      <c r="C16961">
        <v>16848</v>
      </c>
      <c r="D16961" t="s">
        <v>3231</v>
      </c>
      <c r="E16961" t="s">
        <v>3232</v>
      </c>
      <c r="F16961">
        <v>5.55</v>
      </c>
      <c r="G16961">
        <v>231130</v>
      </c>
      <c r="H16961">
        <v>4600</v>
      </c>
      <c r="I16961" t="s">
        <v>105</v>
      </c>
      <c r="J16961">
        <v>6.88</v>
      </c>
      <c r="K16961">
        <v>1.33</v>
      </c>
      <c r="L16961">
        <v>17912</v>
      </c>
      <c r="M16961" t="s">
        <v>419</v>
      </c>
      <c r="N16961" t="str">
        <f>"20120346    "</f>
        <v xml:space="preserve">20120346    </v>
      </c>
      <c r="O16961">
        <v>231211</v>
      </c>
    </row>
    <row r="16962" spans="1:15" x14ac:dyDescent="0.25">
      <c r="A16962" t="s">
        <v>16</v>
      </c>
      <c r="B16962" t="s">
        <v>3221</v>
      </c>
      <c r="C16962">
        <v>16957</v>
      </c>
      <c r="D16962" t="s">
        <v>3231</v>
      </c>
      <c r="E16962" t="s">
        <v>3232</v>
      </c>
      <c r="F16962">
        <v>11.31</v>
      </c>
      <c r="G16962">
        <v>231130</v>
      </c>
      <c r="H16962">
        <v>4600</v>
      </c>
      <c r="I16962" t="s">
        <v>105</v>
      </c>
      <c r="J16962">
        <v>14.02</v>
      </c>
      <c r="K16962">
        <v>2.71</v>
      </c>
      <c r="L16962">
        <v>69113</v>
      </c>
      <c r="M16962" t="s">
        <v>282</v>
      </c>
      <c r="N16962" t="str">
        <f>"20120348    "</f>
        <v xml:space="preserve">20120348    </v>
      </c>
      <c r="O16962">
        <v>231211</v>
      </c>
    </row>
    <row r="16963" spans="1:15" x14ac:dyDescent="0.25">
      <c r="A16963" t="s">
        <v>16</v>
      </c>
      <c r="B16963" t="s">
        <v>3221</v>
      </c>
      <c r="C16963">
        <v>16957</v>
      </c>
      <c r="D16963" t="s">
        <v>3231</v>
      </c>
      <c r="E16963" t="s">
        <v>3232</v>
      </c>
      <c r="F16963">
        <v>1.26</v>
      </c>
      <c r="G16963">
        <v>231130</v>
      </c>
      <c r="H16963">
        <v>4600</v>
      </c>
      <c r="I16963" t="s">
        <v>105</v>
      </c>
      <c r="J16963">
        <v>1.56</v>
      </c>
      <c r="K16963">
        <v>0.3</v>
      </c>
      <c r="L16963">
        <v>69802</v>
      </c>
      <c r="M16963" t="s">
        <v>283</v>
      </c>
      <c r="N16963" t="str">
        <f>"20120348    "</f>
        <v xml:space="preserve">20120348    </v>
      </c>
      <c r="O16963">
        <v>231211</v>
      </c>
    </row>
    <row r="16964" spans="1:15" x14ac:dyDescent="0.25">
      <c r="A16964" t="s">
        <v>16</v>
      </c>
      <c r="B16964" t="s">
        <v>3221</v>
      </c>
      <c r="C16964">
        <v>16958</v>
      </c>
      <c r="D16964" t="s">
        <v>3231</v>
      </c>
      <c r="E16964" t="s">
        <v>3232</v>
      </c>
      <c r="F16964">
        <v>1.33</v>
      </c>
      <c r="G16964">
        <v>231130</v>
      </c>
      <c r="H16964">
        <v>4600</v>
      </c>
      <c r="I16964" t="s">
        <v>105</v>
      </c>
      <c r="J16964">
        <v>1.65</v>
      </c>
      <c r="K16964">
        <v>0.32</v>
      </c>
      <c r="L16964">
        <v>48601</v>
      </c>
      <c r="M16964" t="s">
        <v>1047</v>
      </c>
      <c r="N16964" t="str">
        <f>"20120342    "</f>
        <v xml:space="preserve">20120342    </v>
      </c>
      <c r="O16964">
        <v>231211</v>
      </c>
    </row>
    <row r="16965" spans="1:15" x14ac:dyDescent="0.25">
      <c r="A16965" t="s">
        <v>16</v>
      </c>
      <c r="B16965" t="s">
        <v>3221</v>
      </c>
      <c r="C16965">
        <v>17040</v>
      </c>
      <c r="D16965" t="s">
        <v>3231</v>
      </c>
      <c r="E16965" t="s">
        <v>3232</v>
      </c>
      <c r="F16965">
        <v>2.4500000000000002</v>
      </c>
      <c r="G16965">
        <v>231130</v>
      </c>
      <c r="H16965">
        <v>4600</v>
      </c>
      <c r="I16965" t="s">
        <v>105</v>
      </c>
      <c r="J16965">
        <v>3.04</v>
      </c>
      <c r="K16965">
        <v>0.59</v>
      </c>
      <c r="L16965">
        <v>59111</v>
      </c>
      <c r="M16965" t="s">
        <v>1010</v>
      </c>
      <c r="N16965" t="str">
        <f>"20125108    "</f>
        <v xml:space="preserve">20125108    </v>
      </c>
      <c r="O16965">
        <v>231212</v>
      </c>
    </row>
    <row r="16966" spans="1:15" x14ac:dyDescent="0.25">
      <c r="A16966" t="s">
        <v>16</v>
      </c>
      <c r="B16966" t="s">
        <v>3221</v>
      </c>
      <c r="C16966">
        <v>17040</v>
      </c>
      <c r="D16966" t="s">
        <v>3231</v>
      </c>
      <c r="E16966" t="s">
        <v>3232</v>
      </c>
      <c r="F16966">
        <v>0.19</v>
      </c>
      <c r="G16966">
        <v>231130</v>
      </c>
      <c r="H16966">
        <v>4600</v>
      </c>
      <c r="I16966" t="s">
        <v>105</v>
      </c>
      <c r="J16966">
        <v>0.24</v>
      </c>
      <c r="K16966">
        <v>0.05</v>
      </c>
      <c r="L16966">
        <v>59806</v>
      </c>
      <c r="M16966" t="s">
        <v>170</v>
      </c>
      <c r="N16966" t="str">
        <f>"20125108    "</f>
        <v xml:space="preserve">20125108    </v>
      </c>
      <c r="O16966">
        <v>231212</v>
      </c>
    </row>
    <row r="16967" spans="1:15" x14ac:dyDescent="0.25">
      <c r="A16967" t="s">
        <v>16</v>
      </c>
      <c r="B16967" t="s">
        <v>3221</v>
      </c>
      <c r="C16967">
        <v>17314</v>
      </c>
      <c r="D16967" t="s">
        <v>3231</v>
      </c>
      <c r="E16967" t="s">
        <v>3232</v>
      </c>
      <c r="F16967">
        <v>10.46</v>
      </c>
      <c r="G16967">
        <v>231130</v>
      </c>
      <c r="H16967">
        <v>4600</v>
      </c>
      <c r="I16967" t="s">
        <v>105</v>
      </c>
      <c r="J16967">
        <v>12.97</v>
      </c>
      <c r="K16967">
        <v>2.5099999999999998</v>
      </c>
      <c r="L16967">
        <v>11902</v>
      </c>
      <c r="M16967" t="s">
        <v>1443</v>
      </c>
      <c r="N16967" t="str">
        <f>"20120343    "</f>
        <v xml:space="preserve">20120343    </v>
      </c>
      <c r="O16967">
        <v>231213</v>
      </c>
    </row>
    <row r="16968" spans="1:15" x14ac:dyDescent="0.25">
      <c r="A16968" t="s">
        <v>16</v>
      </c>
      <c r="B16968" t="s">
        <v>3221</v>
      </c>
      <c r="C16968">
        <v>17314</v>
      </c>
      <c r="D16968" t="s">
        <v>3231</v>
      </c>
      <c r="E16968" t="s">
        <v>3232</v>
      </c>
      <c r="F16968">
        <v>0.16</v>
      </c>
      <c r="G16968">
        <v>231130</v>
      </c>
      <c r="H16968">
        <v>4600</v>
      </c>
      <c r="I16968" t="s">
        <v>105</v>
      </c>
      <c r="J16968">
        <v>0.2</v>
      </c>
      <c r="K16968">
        <v>0.04</v>
      </c>
      <c r="L16968">
        <v>14541</v>
      </c>
      <c r="M16968" t="s">
        <v>626</v>
      </c>
      <c r="N16968" t="str">
        <f>"20120343    "</f>
        <v xml:space="preserve">20120343    </v>
      </c>
      <c r="O16968">
        <v>231213</v>
      </c>
    </row>
    <row r="16969" spans="1:15" x14ac:dyDescent="0.25">
      <c r="A16969" t="s">
        <v>16</v>
      </c>
      <c r="B16969" t="s">
        <v>3221</v>
      </c>
      <c r="C16969">
        <v>17314</v>
      </c>
      <c r="D16969" t="s">
        <v>3231</v>
      </c>
      <c r="E16969" t="s">
        <v>3232</v>
      </c>
      <c r="F16969">
        <v>182.01</v>
      </c>
      <c r="G16969">
        <v>231130</v>
      </c>
      <c r="H16969">
        <v>4600</v>
      </c>
      <c r="I16969" t="s">
        <v>105</v>
      </c>
      <c r="J16969">
        <v>225.69</v>
      </c>
      <c r="K16969">
        <v>43.68</v>
      </c>
      <c r="L16969">
        <v>14952</v>
      </c>
      <c r="M16969" t="s">
        <v>99</v>
      </c>
      <c r="N16969" t="str">
        <f>"20120343    "</f>
        <v xml:space="preserve">20120343    </v>
      </c>
      <c r="O16969">
        <v>231213</v>
      </c>
    </row>
    <row r="16970" spans="1:15" x14ac:dyDescent="0.25">
      <c r="A16970" t="s">
        <v>16</v>
      </c>
      <c r="B16970" t="s">
        <v>3221</v>
      </c>
      <c r="C16970">
        <v>17697</v>
      </c>
      <c r="D16970" t="s">
        <v>3231</v>
      </c>
      <c r="E16970" t="s">
        <v>3232</v>
      </c>
      <c r="F16970">
        <v>3.55</v>
      </c>
      <c r="G16970">
        <v>231201</v>
      </c>
      <c r="H16970">
        <v>4600</v>
      </c>
      <c r="I16970" t="s">
        <v>105</v>
      </c>
      <c r="J16970">
        <v>4.4000000000000004</v>
      </c>
      <c r="K16970">
        <v>0.85</v>
      </c>
      <c r="L16970">
        <v>44253</v>
      </c>
      <c r="M16970" t="s">
        <v>1058</v>
      </c>
      <c r="N16970" t="str">
        <f>"20124969    "</f>
        <v xml:space="preserve">20124969    </v>
      </c>
      <c r="O16970">
        <v>231221</v>
      </c>
    </row>
    <row r="16971" spans="1:15" x14ac:dyDescent="0.25">
      <c r="A16971" t="s">
        <v>16</v>
      </c>
      <c r="B16971" t="s">
        <v>3221</v>
      </c>
      <c r="C16971">
        <v>18599</v>
      </c>
      <c r="D16971" t="s">
        <v>3231</v>
      </c>
      <c r="E16971" t="s">
        <v>3232</v>
      </c>
      <c r="F16971">
        <v>30.69</v>
      </c>
      <c r="G16971">
        <v>231231</v>
      </c>
      <c r="H16971">
        <v>4600</v>
      </c>
      <c r="I16971" t="s">
        <v>105</v>
      </c>
      <c r="J16971">
        <v>38.049999999999997</v>
      </c>
      <c r="K16971">
        <v>7.36</v>
      </c>
      <c r="L16971">
        <v>69112</v>
      </c>
      <c r="M16971" t="s">
        <v>313</v>
      </c>
      <c r="N16971" t="str">
        <f>"20179590    "</f>
        <v xml:space="preserve">20179590    </v>
      </c>
      <c r="O16971">
        <v>240104</v>
      </c>
    </row>
    <row r="16972" spans="1:15" x14ac:dyDescent="0.25">
      <c r="A16972" t="s">
        <v>16</v>
      </c>
      <c r="B16972" t="s">
        <v>3221</v>
      </c>
      <c r="C16972">
        <v>18599</v>
      </c>
      <c r="D16972" t="s">
        <v>3231</v>
      </c>
      <c r="E16972" t="s">
        <v>3232</v>
      </c>
      <c r="F16972">
        <v>1.71</v>
      </c>
      <c r="G16972">
        <v>231231</v>
      </c>
      <c r="H16972">
        <v>4600</v>
      </c>
      <c r="I16972" t="s">
        <v>105</v>
      </c>
      <c r="J16972">
        <v>2.12</v>
      </c>
      <c r="K16972">
        <v>0.41</v>
      </c>
      <c r="L16972">
        <v>69810</v>
      </c>
      <c r="M16972" t="s">
        <v>314</v>
      </c>
      <c r="N16972" t="str">
        <f>"20179590    "</f>
        <v xml:space="preserve">20179590    </v>
      </c>
      <c r="O16972">
        <v>240104</v>
      </c>
    </row>
    <row r="16973" spans="1:15" x14ac:dyDescent="0.25">
      <c r="A16973" t="s">
        <v>16</v>
      </c>
      <c r="B16973" t="s">
        <v>3221</v>
      </c>
      <c r="C16973">
        <v>18599</v>
      </c>
      <c r="D16973" t="s">
        <v>3231</v>
      </c>
      <c r="E16973" t="s">
        <v>3232</v>
      </c>
      <c r="F16973">
        <v>1.7</v>
      </c>
      <c r="G16973">
        <v>231231</v>
      </c>
      <c r="H16973">
        <v>4600</v>
      </c>
      <c r="I16973" t="s">
        <v>105</v>
      </c>
      <c r="J16973">
        <v>2.11</v>
      </c>
      <c r="K16973">
        <v>0.41</v>
      </c>
      <c r="L16973">
        <v>69811</v>
      </c>
      <c r="M16973" t="s">
        <v>315</v>
      </c>
      <c r="N16973" t="str">
        <f>"20179590    "</f>
        <v xml:space="preserve">20179590    </v>
      </c>
      <c r="O16973">
        <v>240104</v>
      </c>
    </row>
    <row r="16974" spans="1:15" x14ac:dyDescent="0.25">
      <c r="A16974" t="s">
        <v>16</v>
      </c>
      <c r="B16974" t="s">
        <v>3221</v>
      </c>
      <c r="C16974">
        <v>18600</v>
      </c>
      <c r="D16974" t="s">
        <v>3231</v>
      </c>
      <c r="E16974" t="s">
        <v>3232</v>
      </c>
      <c r="F16974">
        <v>0.46</v>
      </c>
      <c r="G16974">
        <v>231231</v>
      </c>
      <c r="H16974">
        <v>4600</v>
      </c>
      <c r="I16974" t="s">
        <v>105</v>
      </c>
      <c r="J16974">
        <v>0.56999999999999995</v>
      </c>
      <c r="K16974">
        <v>0.11</v>
      </c>
      <c r="L16974">
        <v>17915</v>
      </c>
      <c r="M16974" t="s">
        <v>572</v>
      </c>
      <c r="N16974" t="str">
        <f>"20160414    "</f>
        <v xml:space="preserve">20160414    </v>
      </c>
      <c r="O16974">
        <v>240104</v>
      </c>
    </row>
    <row r="16975" spans="1:15" x14ac:dyDescent="0.25">
      <c r="A16975" t="s">
        <v>16</v>
      </c>
      <c r="B16975" t="s">
        <v>3221</v>
      </c>
      <c r="C16975">
        <v>18600</v>
      </c>
      <c r="D16975" t="s">
        <v>3231</v>
      </c>
      <c r="E16975" t="s">
        <v>3232</v>
      </c>
      <c r="F16975">
        <v>3.37</v>
      </c>
      <c r="G16975">
        <v>231231</v>
      </c>
      <c r="H16975">
        <v>4600</v>
      </c>
      <c r="I16975" t="s">
        <v>105</v>
      </c>
      <c r="J16975">
        <v>4.18</v>
      </c>
      <c r="K16975">
        <v>0.81</v>
      </c>
      <c r="L16975">
        <v>17972</v>
      </c>
      <c r="M16975" t="s">
        <v>248</v>
      </c>
      <c r="N16975" t="str">
        <f>"20160414    "</f>
        <v xml:space="preserve">20160414    </v>
      </c>
      <c r="O16975">
        <v>240104</v>
      </c>
    </row>
    <row r="16976" spans="1:15" x14ac:dyDescent="0.25">
      <c r="A16976" t="s">
        <v>16</v>
      </c>
      <c r="B16976" t="s">
        <v>3221</v>
      </c>
      <c r="C16976">
        <v>18601</v>
      </c>
      <c r="D16976" t="s">
        <v>3231</v>
      </c>
      <c r="E16976" t="s">
        <v>3232</v>
      </c>
      <c r="F16976">
        <v>0.56000000000000005</v>
      </c>
      <c r="G16976">
        <v>231231</v>
      </c>
      <c r="H16976">
        <v>4600</v>
      </c>
      <c r="I16976" t="s">
        <v>105</v>
      </c>
      <c r="J16976">
        <v>0.7</v>
      </c>
      <c r="K16976">
        <v>0.14000000000000001</v>
      </c>
      <c r="L16976">
        <v>14121</v>
      </c>
      <c r="M16976" t="s">
        <v>880</v>
      </c>
      <c r="N16976" t="str">
        <f>"20160410    "</f>
        <v xml:space="preserve">20160410    </v>
      </c>
      <c r="O16976">
        <v>240104</v>
      </c>
    </row>
    <row r="16977" spans="1:15" x14ac:dyDescent="0.25">
      <c r="A16977" t="s">
        <v>16</v>
      </c>
      <c r="B16977" t="s">
        <v>3221</v>
      </c>
      <c r="C16977">
        <v>18601</v>
      </c>
      <c r="D16977" t="s">
        <v>3231</v>
      </c>
      <c r="E16977" t="s">
        <v>3232</v>
      </c>
      <c r="F16977">
        <v>29.44</v>
      </c>
      <c r="G16977">
        <v>231231</v>
      </c>
      <c r="H16977">
        <v>4600</v>
      </c>
      <c r="I16977" t="s">
        <v>105</v>
      </c>
      <c r="J16977">
        <v>36.51</v>
      </c>
      <c r="K16977">
        <v>7.07</v>
      </c>
      <c r="L16977">
        <v>14972</v>
      </c>
      <c r="M16977" t="s">
        <v>898</v>
      </c>
      <c r="N16977" t="str">
        <f>"20160410    "</f>
        <v xml:space="preserve">20160410    </v>
      </c>
      <c r="O16977">
        <v>240104</v>
      </c>
    </row>
    <row r="16978" spans="1:15" x14ac:dyDescent="0.25">
      <c r="A16978" t="s">
        <v>16</v>
      </c>
      <c r="B16978" t="s">
        <v>3221</v>
      </c>
      <c r="C16978">
        <v>18601</v>
      </c>
      <c r="D16978" t="s">
        <v>3231</v>
      </c>
      <c r="E16978" t="s">
        <v>3232</v>
      </c>
      <c r="F16978">
        <v>84.87</v>
      </c>
      <c r="G16978">
        <v>231231</v>
      </c>
      <c r="H16978">
        <v>4600</v>
      </c>
      <c r="I16978" t="s">
        <v>105</v>
      </c>
      <c r="J16978">
        <v>105.24</v>
      </c>
      <c r="K16978">
        <v>20.37</v>
      </c>
      <c r="L16978">
        <v>14972</v>
      </c>
      <c r="M16978" t="s">
        <v>898</v>
      </c>
      <c r="N16978" t="str">
        <f>"20160410    "</f>
        <v xml:space="preserve">20160410    </v>
      </c>
      <c r="O16978">
        <v>240104</v>
      </c>
    </row>
    <row r="16979" spans="1:15" x14ac:dyDescent="0.25">
      <c r="A16979" t="s">
        <v>16</v>
      </c>
      <c r="B16979" t="s">
        <v>3221</v>
      </c>
      <c r="C16979">
        <v>18977</v>
      </c>
      <c r="D16979" t="s">
        <v>3231</v>
      </c>
      <c r="E16979" t="s">
        <v>3232</v>
      </c>
      <c r="F16979">
        <v>0.39</v>
      </c>
      <c r="G16979">
        <v>231231</v>
      </c>
      <c r="H16979">
        <v>4600</v>
      </c>
      <c r="I16979" t="s">
        <v>105</v>
      </c>
      <c r="J16979">
        <v>0.48</v>
      </c>
      <c r="K16979">
        <v>0.09</v>
      </c>
      <c r="L16979">
        <v>59111</v>
      </c>
      <c r="M16979" t="s">
        <v>1010</v>
      </c>
      <c r="N16979" t="str">
        <f>"20165152    "</f>
        <v xml:space="preserve">20165152    </v>
      </c>
      <c r="O16979">
        <v>240109</v>
      </c>
    </row>
    <row r="16980" spans="1:15" x14ac:dyDescent="0.25">
      <c r="A16980" t="s">
        <v>16</v>
      </c>
      <c r="B16980" t="s">
        <v>3221</v>
      </c>
      <c r="C16980">
        <v>18977</v>
      </c>
      <c r="D16980" t="s">
        <v>3231</v>
      </c>
      <c r="E16980" t="s">
        <v>3232</v>
      </c>
      <c r="F16980">
        <v>0.19</v>
      </c>
      <c r="G16980">
        <v>231231</v>
      </c>
      <c r="H16980">
        <v>4600</v>
      </c>
      <c r="I16980" t="s">
        <v>105</v>
      </c>
      <c r="J16980">
        <v>0.24</v>
      </c>
      <c r="K16980">
        <v>0.05</v>
      </c>
      <c r="L16980">
        <v>59702</v>
      </c>
      <c r="M16980" t="s">
        <v>328</v>
      </c>
      <c r="N16980" t="str">
        <f>"20165152    "</f>
        <v xml:space="preserve">20165152    </v>
      </c>
      <c r="O16980">
        <v>240109</v>
      </c>
    </row>
    <row r="16981" spans="1:15" x14ac:dyDescent="0.25">
      <c r="A16981" t="s">
        <v>16</v>
      </c>
      <c r="B16981" t="s">
        <v>3221</v>
      </c>
      <c r="C16981">
        <v>18977</v>
      </c>
      <c r="D16981" t="s">
        <v>3231</v>
      </c>
      <c r="E16981" t="s">
        <v>3232</v>
      </c>
      <c r="F16981">
        <v>0.92</v>
      </c>
      <c r="G16981">
        <v>231231</v>
      </c>
      <c r="H16981">
        <v>4600</v>
      </c>
      <c r="I16981" t="s">
        <v>105</v>
      </c>
      <c r="J16981">
        <v>1.1399999999999999</v>
      </c>
      <c r="K16981">
        <v>0.22</v>
      </c>
      <c r="L16981">
        <v>59806</v>
      </c>
      <c r="M16981" t="s">
        <v>170</v>
      </c>
      <c r="N16981" t="str">
        <f>"20165152    "</f>
        <v xml:space="preserve">20165152    </v>
      </c>
      <c r="O16981">
        <v>240109</v>
      </c>
    </row>
    <row r="16982" spans="1:15" x14ac:dyDescent="0.25">
      <c r="A16982" t="s">
        <v>16</v>
      </c>
      <c r="B16982" t="s">
        <v>3221</v>
      </c>
      <c r="C16982">
        <v>19045</v>
      </c>
      <c r="D16982" t="s">
        <v>3231</v>
      </c>
      <c r="E16982" t="s">
        <v>3232</v>
      </c>
      <c r="F16982">
        <v>1.84</v>
      </c>
      <c r="G16982">
        <v>231231</v>
      </c>
      <c r="H16982">
        <v>4600</v>
      </c>
      <c r="I16982" t="s">
        <v>105</v>
      </c>
      <c r="J16982">
        <v>2.2799999999999998</v>
      </c>
      <c r="K16982">
        <v>0.44</v>
      </c>
      <c r="L16982">
        <v>44222</v>
      </c>
      <c r="M16982" t="s">
        <v>232</v>
      </c>
      <c r="N16982" t="str">
        <f>"20160408    "</f>
        <v xml:space="preserve">20160408    </v>
      </c>
      <c r="O16982">
        <v>240110</v>
      </c>
    </row>
    <row r="16983" spans="1:15" x14ac:dyDescent="0.25">
      <c r="A16983" t="s">
        <v>16</v>
      </c>
      <c r="B16983" t="s">
        <v>3221</v>
      </c>
      <c r="C16983">
        <v>19045</v>
      </c>
      <c r="D16983" t="s">
        <v>3231</v>
      </c>
      <c r="E16983" t="s">
        <v>3232</v>
      </c>
      <c r="F16983">
        <v>0.45</v>
      </c>
      <c r="G16983">
        <v>231231</v>
      </c>
      <c r="H16983">
        <v>4600</v>
      </c>
      <c r="I16983" t="s">
        <v>105</v>
      </c>
      <c r="J16983">
        <v>0.56000000000000005</v>
      </c>
      <c r="K16983">
        <v>0.11</v>
      </c>
      <c r="L16983">
        <v>44251</v>
      </c>
      <c r="M16983" t="s">
        <v>156</v>
      </c>
      <c r="N16983" t="str">
        <f>"20160408    "</f>
        <v xml:space="preserve">20160408    </v>
      </c>
      <c r="O16983">
        <v>240110</v>
      </c>
    </row>
    <row r="16984" spans="1:15" x14ac:dyDescent="0.25">
      <c r="A16984" t="s">
        <v>16</v>
      </c>
      <c r="B16984" t="s">
        <v>3221</v>
      </c>
      <c r="C16984">
        <v>19045</v>
      </c>
      <c r="D16984" t="s">
        <v>3231</v>
      </c>
      <c r="E16984" t="s">
        <v>3232</v>
      </c>
      <c r="F16984">
        <v>38.729999999999997</v>
      </c>
      <c r="G16984">
        <v>231231</v>
      </c>
      <c r="H16984">
        <v>4600</v>
      </c>
      <c r="I16984" t="s">
        <v>105</v>
      </c>
      <c r="J16984">
        <v>48.02</v>
      </c>
      <c r="K16984">
        <v>9.2899999999999991</v>
      </c>
      <c r="L16984">
        <v>44251</v>
      </c>
      <c r="M16984" t="s">
        <v>156</v>
      </c>
      <c r="N16984" t="str">
        <f>"20160408    "</f>
        <v xml:space="preserve">20160408    </v>
      </c>
      <c r="O16984">
        <v>240110</v>
      </c>
    </row>
    <row r="16985" spans="1:15" x14ac:dyDescent="0.25">
      <c r="A16985" t="s">
        <v>16</v>
      </c>
      <c r="B16985" t="s">
        <v>3221</v>
      </c>
      <c r="C16985">
        <v>1177</v>
      </c>
      <c r="D16985" t="s">
        <v>3231</v>
      </c>
      <c r="E16985" t="s">
        <v>3232</v>
      </c>
      <c r="F16985">
        <v>60.21</v>
      </c>
      <c r="G16985">
        <v>230131</v>
      </c>
      <c r="H16985">
        <v>4560</v>
      </c>
      <c r="I16985" t="s">
        <v>345</v>
      </c>
      <c r="J16985">
        <v>74.66</v>
      </c>
      <c r="K16985">
        <v>14.45</v>
      </c>
      <c r="L16985">
        <v>56559</v>
      </c>
      <c r="M16985" t="s">
        <v>129</v>
      </c>
      <c r="N16985" t="str">
        <f>"19762424    "</f>
        <v xml:space="preserve">19762424    </v>
      </c>
      <c r="O16985">
        <v>230206</v>
      </c>
    </row>
    <row r="16986" spans="1:15" x14ac:dyDescent="0.25">
      <c r="A16986" t="s">
        <v>16</v>
      </c>
      <c r="B16986" t="s">
        <v>3221</v>
      </c>
      <c r="C16986">
        <v>1177</v>
      </c>
      <c r="D16986" t="s">
        <v>3231</v>
      </c>
      <c r="E16986" t="s">
        <v>3232</v>
      </c>
      <c r="F16986">
        <v>239.75</v>
      </c>
      <c r="G16986">
        <v>230131</v>
      </c>
      <c r="H16986">
        <v>4560</v>
      </c>
      <c r="I16986" t="s">
        <v>345</v>
      </c>
      <c r="J16986">
        <v>297.29000000000002</v>
      </c>
      <c r="K16986">
        <v>57.54</v>
      </c>
      <c r="L16986">
        <v>59702</v>
      </c>
      <c r="M16986" t="s">
        <v>328</v>
      </c>
      <c r="N16986" t="str">
        <f>"19762424    "</f>
        <v xml:space="preserve">19762424    </v>
      </c>
      <c r="O16986">
        <v>230206</v>
      </c>
    </row>
    <row r="16987" spans="1:15" x14ac:dyDescent="0.25">
      <c r="A16987" t="s">
        <v>16</v>
      </c>
      <c r="B16987" t="s">
        <v>3221</v>
      </c>
      <c r="C16987">
        <v>1179</v>
      </c>
      <c r="D16987" t="s">
        <v>3231</v>
      </c>
      <c r="E16987" t="s">
        <v>3232</v>
      </c>
      <c r="F16987">
        <v>33.35</v>
      </c>
      <c r="G16987">
        <v>230131</v>
      </c>
      <c r="H16987">
        <v>4560</v>
      </c>
      <c r="I16987" t="s">
        <v>345</v>
      </c>
      <c r="J16987">
        <v>41.36</v>
      </c>
      <c r="K16987">
        <v>8.01</v>
      </c>
      <c r="L16987">
        <v>17802</v>
      </c>
      <c r="M16987" t="s">
        <v>174</v>
      </c>
      <c r="N16987" t="str">
        <f>"19755126    "</f>
        <v xml:space="preserve">19755126    </v>
      </c>
      <c r="O16987">
        <v>230206</v>
      </c>
    </row>
    <row r="16988" spans="1:15" x14ac:dyDescent="0.25">
      <c r="A16988" t="s">
        <v>16</v>
      </c>
      <c r="B16988" t="s">
        <v>3221</v>
      </c>
      <c r="C16988">
        <v>1179</v>
      </c>
      <c r="D16988" t="s">
        <v>3231</v>
      </c>
      <c r="E16988" t="s">
        <v>3232</v>
      </c>
      <c r="F16988">
        <v>95.25</v>
      </c>
      <c r="G16988">
        <v>230131</v>
      </c>
      <c r="H16988">
        <v>4560</v>
      </c>
      <c r="I16988" t="s">
        <v>345</v>
      </c>
      <c r="J16988">
        <v>118.11</v>
      </c>
      <c r="K16988">
        <v>22.86</v>
      </c>
      <c r="L16988">
        <v>17806</v>
      </c>
      <c r="M16988" t="s">
        <v>265</v>
      </c>
      <c r="N16988" t="str">
        <f>"19755126    "</f>
        <v xml:space="preserve">19755126    </v>
      </c>
      <c r="O16988">
        <v>230206</v>
      </c>
    </row>
    <row r="16989" spans="1:15" x14ac:dyDescent="0.25">
      <c r="A16989" t="s">
        <v>16</v>
      </c>
      <c r="B16989" t="s">
        <v>3221</v>
      </c>
      <c r="C16989">
        <v>1179</v>
      </c>
      <c r="D16989" t="s">
        <v>3231</v>
      </c>
      <c r="E16989" t="s">
        <v>3232</v>
      </c>
      <c r="F16989">
        <v>71.44</v>
      </c>
      <c r="G16989">
        <v>230131</v>
      </c>
      <c r="H16989">
        <v>4560</v>
      </c>
      <c r="I16989" t="s">
        <v>345</v>
      </c>
      <c r="J16989">
        <v>88.59</v>
      </c>
      <c r="K16989">
        <v>17.149999999999999</v>
      </c>
      <c r="L16989">
        <v>17809</v>
      </c>
      <c r="M16989" t="s">
        <v>376</v>
      </c>
      <c r="N16989" t="str">
        <f>"19755126    "</f>
        <v xml:space="preserve">19755126    </v>
      </c>
      <c r="O16989">
        <v>230206</v>
      </c>
    </row>
    <row r="16990" spans="1:15" x14ac:dyDescent="0.25">
      <c r="A16990" t="s">
        <v>16</v>
      </c>
      <c r="B16990" t="s">
        <v>3221</v>
      </c>
      <c r="C16990">
        <v>1261</v>
      </c>
      <c r="D16990" t="s">
        <v>3231</v>
      </c>
      <c r="E16990" t="s">
        <v>3232</v>
      </c>
      <c r="F16990">
        <v>195.13</v>
      </c>
      <c r="G16990">
        <v>230131</v>
      </c>
      <c r="H16990">
        <v>4560</v>
      </c>
      <c r="I16990" t="s">
        <v>345</v>
      </c>
      <c r="J16990">
        <v>241.96</v>
      </c>
      <c r="K16990">
        <v>46.83</v>
      </c>
      <c r="L16990">
        <v>56564</v>
      </c>
      <c r="M16990" t="s">
        <v>327</v>
      </c>
      <c r="N16990" t="str">
        <f>"19769444    "</f>
        <v xml:space="preserve">19769444    </v>
      </c>
      <c r="O16990">
        <v>230207</v>
      </c>
    </row>
    <row r="16991" spans="1:15" x14ac:dyDescent="0.25">
      <c r="A16991" t="s">
        <v>16</v>
      </c>
      <c r="B16991" t="s">
        <v>3221</v>
      </c>
      <c r="C16991">
        <v>1262</v>
      </c>
      <c r="D16991" t="s">
        <v>3231</v>
      </c>
      <c r="E16991" t="s">
        <v>3232</v>
      </c>
      <c r="F16991">
        <v>82.07</v>
      </c>
      <c r="G16991">
        <v>230131</v>
      </c>
      <c r="H16991">
        <v>4560</v>
      </c>
      <c r="I16991" t="s">
        <v>345</v>
      </c>
      <c r="J16991">
        <v>101.77</v>
      </c>
      <c r="K16991">
        <v>19.7</v>
      </c>
      <c r="L16991">
        <v>67522</v>
      </c>
      <c r="M16991" t="s">
        <v>397</v>
      </c>
      <c r="N16991" t="str">
        <f>"19755129    "</f>
        <v xml:space="preserve">19755129    </v>
      </c>
      <c r="O16991">
        <v>230207</v>
      </c>
    </row>
    <row r="16992" spans="1:15" x14ac:dyDescent="0.25">
      <c r="A16992" t="s">
        <v>16</v>
      </c>
      <c r="B16992" t="s">
        <v>3221</v>
      </c>
      <c r="C16992">
        <v>1537</v>
      </c>
      <c r="D16992" t="s">
        <v>3231</v>
      </c>
      <c r="E16992" t="s">
        <v>3232</v>
      </c>
      <c r="F16992">
        <v>308.83999999999997</v>
      </c>
      <c r="G16992">
        <v>230131</v>
      </c>
      <c r="H16992">
        <v>4560</v>
      </c>
      <c r="I16992" t="s">
        <v>345</v>
      </c>
      <c r="J16992">
        <v>382.96</v>
      </c>
      <c r="K16992">
        <v>74.12</v>
      </c>
      <c r="L16992">
        <v>59505</v>
      </c>
      <c r="M16992" t="s">
        <v>72</v>
      </c>
      <c r="N16992" t="str">
        <f>"19769445    "</f>
        <v xml:space="preserve">19769445    </v>
      </c>
      <c r="O16992">
        <v>230209</v>
      </c>
    </row>
    <row r="16993" spans="1:15" x14ac:dyDescent="0.25">
      <c r="A16993" t="s">
        <v>16</v>
      </c>
      <c r="B16993" t="s">
        <v>3221</v>
      </c>
      <c r="C16993">
        <v>1658</v>
      </c>
      <c r="D16993" t="s">
        <v>3231</v>
      </c>
      <c r="E16993" t="s">
        <v>3232</v>
      </c>
      <c r="F16993">
        <v>204.36</v>
      </c>
      <c r="G16993">
        <v>230131</v>
      </c>
      <c r="H16993">
        <v>4560</v>
      </c>
      <c r="I16993" t="s">
        <v>345</v>
      </c>
      <c r="J16993">
        <v>204.36</v>
      </c>
      <c r="K16993">
        <v>0</v>
      </c>
      <c r="L16993">
        <v>11001</v>
      </c>
      <c r="M16993" t="s">
        <v>326</v>
      </c>
      <c r="N16993" t="str">
        <f>"19762423    "</f>
        <v xml:space="preserve">19762423    </v>
      </c>
      <c r="O16993">
        <v>230213</v>
      </c>
    </row>
    <row r="16994" spans="1:15" x14ac:dyDescent="0.25">
      <c r="A16994" t="s">
        <v>16</v>
      </c>
      <c r="B16994" t="s">
        <v>3221</v>
      </c>
      <c r="C16994">
        <v>1913</v>
      </c>
      <c r="D16994" t="s">
        <v>3231</v>
      </c>
      <c r="E16994" t="s">
        <v>3232</v>
      </c>
      <c r="F16994">
        <v>10.76</v>
      </c>
      <c r="G16994">
        <v>230131</v>
      </c>
      <c r="H16994">
        <v>4560</v>
      </c>
      <c r="I16994" t="s">
        <v>345</v>
      </c>
      <c r="J16994">
        <v>13.34</v>
      </c>
      <c r="K16994">
        <v>2.58</v>
      </c>
      <c r="L16994">
        <v>13501</v>
      </c>
      <c r="M16994" t="s">
        <v>20</v>
      </c>
      <c r="N16994" t="str">
        <f t="shared" ref="N16994:N16999" si="231">"19763652    "</f>
        <v xml:space="preserve">19763652    </v>
      </c>
      <c r="O16994">
        <v>230216</v>
      </c>
    </row>
    <row r="16995" spans="1:15" x14ac:dyDescent="0.25">
      <c r="A16995" t="s">
        <v>16</v>
      </c>
      <c r="B16995" t="s">
        <v>3221</v>
      </c>
      <c r="C16995">
        <v>1913</v>
      </c>
      <c r="D16995" t="s">
        <v>3231</v>
      </c>
      <c r="E16995" t="s">
        <v>3232</v>
      </c>
      <c r="F16995">
        <v>33.229999999999997</v>
      </c>
      <c r="G16995">
        <v>230131</v>
      </c>
      <c r="H16995">
        <v>4560</v>
      </c>
      <c r="I16995" t="s">
        <v>345</v>
      </c>
      <c r="J16995">
        <v>41.21</v>
      </c>
      <c r="K16995">
        <v>7.98</v>
      </c>
      <c r="L16995">
        <v>16121</v>
      </c>
      <c r="M16995" t="s">
        <v>21</v>
      </c>
      <c r="N16995" t="str">
        <f t="shared" si="231"/>
        <v xml:space="preserve">19763652    </v>
      </c>
      <c r="O16995">
        <v>230216</v>
      </c>
    </row>
    <row r="16996" spans="1:15" x14ac:dyDescent="0.25">
      <c r="A16996" t="s">
        <v>16</v>
      </c>
      <c r="B16996" t="s">
        <v>3221</v>
      </c>
      <c r="C16996">
        <v>1913</v>
      </c>
      <c r="D16996" t="s">
        <v>3231</v>
      </c>
      <c r="E16996" t="s">
        <v>3232</v>
      </c>
      <c r="F16996">
        <v>33.299999999999997</v>
      </c>
      <c r="G16996">
        <v>230131</v>
      </c>
      <c r="H16996">
        <v>4560</v>
      </c>
      <c r="I16996" t="s">
        <v>345</v>
      </c>
      <c r="J16996">
        <v>41.29</v>
      </c>
      <c r="K16996">
        <v>7.99</v>
      </c>
      <c r="L16996">
        <v>17521</v>
      </c>
      <c r="M16996" t="s">
        <v>133</v>
      </c>
      <c r="N16996" t="str">
        <f t="shared" si="231"/>
        <v xml:space="preserve">19763652    </v>
      </c>
      <c r="O16996">
        <v>230216</v>
      </c>
    </row>
    <row r="16997" spans="1:15" x14ac:dyDescent="0.25">
      <c r="A16997" t="s">
        <v>16</v>
      </c>
      <c r="B16997" t="s">
        <v>3221</v>
      </c>
      <c r="C16997">
        <v>1913</v>
      </c>
      <c r="D16997" t="s">
        <v>3231</v>
      </c>
      <c r="E16997" t="s">
        <v>3232</v>
      </c>
      <c r="F16997">
        <v>68.709999999999994</v>
      </c>
      <c r="G16997">
        <v>230131</v>
      </c>
      <c r="H16997">
        <v>4560</v>
      </c>
      <c r="I16997" t="s">
        <v>345</v>
      </c>
      <c r="J16997">
        <v>85.2</v>
      </c>
      <c r="K16997">
        <v>16.489999999999998</v>
      </c>
      <c r="L16997">
        <v>17523</v>
      </c>
      <c r="M16997" t="s">
        <v>134</v>
      </c>
      <c r="N16997" t="str">
        <f t="shared" si="231"/>
        <v xml:space="preserve">19763652    </v>
      </c>
      <c r="O16997">
        <v>230216</v>
      </c>
    </row>
    <row r="16998" spans="1:15" x14ac:dyDescent="0.25">
      <c r="A16998" t="s">
        <v>16</v>
      </c>
      <c r="B16998" t="s">
        <v>3221</v>
      </c>
      <c r="C16998">
        <v>1913</v>
      </c>
      <c r="D16998" t="s">
        <v>3231</v>
      </c>
      <c r="E16998" t="s">
        <v>3232</v>
      </c>
      <c r="F16998">
        <v>86.81</v>
      </c>
      <c r="G16998">
        <v>230131</v>
      </c>
      <c r="H16998">
        <v>4560</v>
      </c>
      <c r="I16998" t="s">
        <v>345</v>
      </c>
      <c r="J16998">
        <v>107.65</v>
      </c>
      <c r="K16998">
        <v>20.84</v>
      </c>
      <c r="L16998">
        <v>17527</v>
      </c>
      <c r="M16998" t="s">
        <v>422</v>
      </c>
      <c r="N16998" t="str">
        <f t="shared" si="231"/>
        <v xml:space="preserve">19763652    </v>
      </c>
      <c r="O16998">
        <v>230216</v>
      </c>
    </row>
    <row r="16999" spans="1:15" x14ac:dyDescent="0.25">
      <c r="A16999" t="s">
        <v>16</v>
      </c>
      <c r="B16999" t="s">
        <v>3221</v>
      </c>
      <c r="C16999">
        <v>1913</v>
      </c>
      <c r="D16999" t="s">
        <v>3231</v>
      </c>
      <c r="E16999" t="s">
        <v>3232</v>
      </c>
      <c r="F16999">
        <v>16.87</v>
      </c>
      <c r="G16999">
        <v>230131</v>
      </c>
      <c r="H16999">
        <v>4560</v>
      </c>
      <c r="I16999" t="s">
        <v>345</v>
      </c>
      <c r="J16999">
        <v>20.92</v>
      </c>
      <c r="K16999">
        <v>4.05</v>
      </c>
      <c r="L16999">
        <v>17971</v>
      </c>
      <c r="M16999" t="s">
        <v>138</v>
      </c>
      <c r="N16999" t="str">
        <f t="shared" si="231"/>
        <v xml:space="preserve">19763652    </v>
      </c>
      <c r="O16999">
        <v>230216</v>
      </c>
    </row>
    <row r="17000" spans="1:15" x14ac:dyDescent="0.25">
      <c r="A17000" t="s">
        <v>16</v>
      </c>
      <c r="B17000" t="s">
        <v>3221</v>
      </c>
      <c r="C17000">
        <v>2780</v>
      </c>
      <c r="D17000" t="s">
        <v>3231</v>
      </c>
      <c r="E17000" t="s">
        <v>3232</v>
      </c>
      <c r="F17000">
        <v>334.67</v>
      </c>
      <c r="G17000">
        <v>230228</v>
      </c>
      <c r="H17000">
        <v>4560</v>
      </c>
      <c r="I17000" t="s">
        <v>345</v>
      </c>
      <c r="J17000">
        <v>334.67</v>
      </c>
      <c r="K17000">
        <v>0</v>
      </c>
      <c r="L17000">
        <v>11001</v>
      </c>
      <c r="M17000" t="s">
        <v>326</v>
      </c>
      <c r="N17000" t="str">
        <f>"19795785    "</f>
        <v xml:space="preserve">19795785    </v>
      </c>
      <c r="O17000">
        <v>230307</v>
      </c>
    </row>
    <row r="17001" spans="1:15" x14ac:dyDescent="0.25">
      <c r="A17001" t="s">
        <v>16</v>
      </c>
      <c r="B17001" t="s">
        <v>3221</v>
      </c>
      <c r="C17001">
        <v>2781</v>
      </c>
      <c r="D17001" t="s">
        <v>3231</v>
      </c>
      <c r="E17001" t="s">
        <v>3232</v>
      </c>
      <c r="F17001">
        <v>142.85</v>
      </c>
      <c r="G17001">
        <v>230228</v>
      </c>
      <c r="H17001">
        <v>4560</v>
      </c>
      <c r="I17001" t="s">
        <v>345</v>
      </c>
      <c r="J17001">
        <v>177.13</v>
      </c>
      <c r="K17001">
        <v>34.28</v>
      </c>
      <c r="L17001">
        <v>17809</v>
      </c>
      <c r="M17001" t="s">
        <v>376</v>
      </c>
      <c r="N17001" t="str">
        <f>"19788442    "</f>
        <v xml:space="preserve">19788442    </v>
      </c>
      <c r="O17001">
        <v>230307</v>
      </c>
    </row>
    <row r="17002" spans="1:15" x14ac:dyDescent="0.25">
      <c r="A17002" t="s">
        <v>16</v>
      </c>
      <c r="B17002" t="s">
        <v>3221</v>
      </c>
      <c r="C17002">
        <v>2788</v>
      </c>
      <c r="D17002" t="s">
        <v>3231</v>
      </c>
      <c r="E17002" t="s">
        <v>3232</v>
      </c>
      <c r="F17002">
        <v>172.13</v>
      </c>
      <c r="G17002">
        <v>230228</v>
      </c>
      <c r="H17002">
        <v>4560</v>
      </c>
      <c r="I17002" t="s">
        <v>345</v>
      </c>
      <c r="J17002">
        <v>213.44</v>
      </c>
      <c r="K17002">
        <v>41.31</v>
      </c>
      <c r="L17002">
        <v>56562</v>
      </c>
      <c r="M17002" t="s">
        <v>126</v>
      </c>
      <c r="N17002" t="str">
        <f>"19795786    "</f>
        <v xml:space="preserve">19795786    </v>
      </c>
      <c r="O17002">
        <v>230307</v>
      </c>
    </row>
    <row r="17003" spans="1:15" x14ac:dyDescent="0.25">
      <c r="A17003" t="s">
        <v>16</v>
      </c>
      <c r="B17003" t="s">
        <v>3221</v>
      </c>
      <c r="C17003">
        <v>2788</v>
      </c>
      <c r="D17003" t="s">
        <v>3231</v>
      </c>
      <c r="E17003" t="s">
        <v>3232</v>
      </c>
      <c r="F17003">
        <v>231.41</v>
      </c>
      <c r="G17003">
        <v>230228</v>
      </c>
      <c r="H17003">
        <v>4560</v>
      </c>
      <c r="I17003" t="s">
        <v>345</v>
      </c>
      <c r="J17003">
        <v>286.95</v>
      </c>
      <c r="K17003">
        <v>55.54</v>
      </c>
      <c r="L17003">
        <v>59702</v>
      </c>
      <c r="M17003" t="s">
        <v>328</v>
      </c>
      <c r="N17003" t="str">
        <f>"19795786    "</f>
        <v xml:space="preserve">19795786    </v>
      </c>
      <c r="O17003">
        <v>230307</v>
      </c>
    </row>
    <row r="17004" spans="1:15" x14ac:dyDescent="0.25">
      <c r="A17004" t="s">
        <v>16</v>
      </c>
      <c r="B17004" t="s">
        <v>3221</v>
      </c>
      <c r="C17004">
        <v>2792</v>
      </c>
      <c r="D17004" t="s">
        <v>3231</v>
      </c>
      <c r="E17004" t="s">
        <v>3232</v>
      </c>
      <c r="F17004">
        <v>161.68</v>
      </c>
      <c r="G17004">
        <v>230228</v>
      </c>
      <c r="H17004">
        <v>4560</v>
      </c>
      <c r="I17004" t="s">
        <v>345</v>
      </c>
      <c r="J17004">
        <v>200.48</v>
      </c>
      <c r="K17004">
        <v>38.799999999999997</v>
      </c>
      <c r="L17004">
        <v>56564</v>
      </c>
      <c r="M17004" t="s">
        <v>327</v>
      </c>
      <c r="N17004" t="str">
        <f>"19802778    "</f>
        <v xml:space="preserve">19802778    </v>
      </c>
      <c r="O17004">
        <v>230307</v>
      </c>
    </row>
    <row r="17005" spans="1:15" x14ac:dyDescent="0.25">
      <c r="A17005" t="s">
        <v>16</v>
      </c>
      <c r="B17005" t="s">
        <v>3221</v>
      </c>
      <c r="C17005">
        <v>2871</v>
      </c>
      <c r="D17005" t="s">
        <v>3231</v>
      </c>
      <c r="E17005" t="s">
        <v>3232</v>
      </c>
      <c r="F17005">
        <v>70.52</v>
      </c>
      <c r="G17005">
        <v>230228</v>
      </c>
      <c r="H17005">
        <v>4560</v>
      </c>
      <c r="I17005" t="s">
        <v>345</v>
      </c>
      <c r="J17005">
        <v>87.44</v>
      </c>
      <c r="K17005">
        <v>16.920000000000002</v>
      </c>
      <c r="L17005">
        <v>13501</v>
      </c>
      <c r="M17005" t="s">
        <v>20</v>
      </c>
      <c r="N17005" t="str">
        <f>"19797053    "</f>
        <v xml:space="preserve">19797053    </v>
      </c>
      <c r="O17005">
        <v>230308</v>
      </c>
    </row>
    <row r="17006" spans="1:15" x14ac:dyDescent="0.25">
      <c r="A17006" t="s">
        <v>16</v>
      </c>
      <c r="B17006" t="s">
        <v>3221</v>
      </c>
      <c r="C17006">
        <v>2871</v>
      </c>
      <c r="D17006" t="s">
        <v>3231</v>
      </c>
      <c r="E17006" t="s">
        <v>3232</v>
      </c>
      <c r="F17006">
        <v>16.809999999999999</v>
      </c>
      <c r="G17006">
        <v>230228</v>
      </c>
      <c r="H17006">
        <v>4560</v>
      </c>
      <c r="I17006" t="s">
        <v>345</v>
      </c>
      <c r="J17006">
        <v>20.84</v>
      </c>
      <c r="K17006">
        <v>4.03</v>
      </c>
      <c r="L17006">
        <v>17527</v>
      </c>
      <c r="M17006" t="s">
        <v>422</v>
      </c>
      <c r="N17006" t="str">
        <f>"19797053    "</f>
        <v xml:space="preserve">19797053    </v>
      </c>
      <c r="O17006">
        <v>230308</v>
      </c>
    </row>
    <row r="17007" spans="1:15" x14ac:dyDescent="0.25">
      <c r="A17007" t="s">
        <v>16</v>
      </c>
      <c r="B17007" t="s">
        <v>3221</v>
      </c>
      <c r="C17007">
        <v>2871</v>
      </c>
      <c r="D17007" t="s">
        <v>3231</v>
      </c>
      <c r="E17007" t="s">
        <v>3232</v>
      </c>
      <c r="F17007">
        <v>109.26</v>
      </c>
      <c r="G17007">
        <v>230228</v>
      </c>
      <c r="H17007">
        <v>4560</v>
      </c>
      <c r="I17007" t="s">
        <v>345</v>
      </c>
      <c r="J17007">
        <v>135.47999999999999</v>
      </c>
      <c r="K17007">
        <v>26.22</v>
      </c>
      <c r="L17007">
        <v>17537</v>
      </c>
      <c r="M17007" t="s">
        <v>455</v>
      </c>
      <c r="N17007" t="str">
        <f>"19797053    "</f>
        <v xml:space="preserve">19797053    </v>
      </c>
      <c r="O17007">
        <v>230308</v>
      </c>
    </row>
    <row r="17008" spans="1:15" x14ac:dyDescent="0.25">
      <c r="A17008" t="s">
        <v>16</v>
      </c>
      <c r="B17008" t="s">
        <v>3221</v>
      </c>
      <c r="C17008">
        <v>2871</v>
      </c>
      <c r="D17008" t="s">
        <v>3231</v>
      </c>
      <c r="E17008" t="s">
        <v>3232</v>
      </c>
      <c r="F17008">
        <v>23.63</v>
      </c>
      <c r="G17008">
        <v>230228</v>
      </c>
      <c r="H17008">
        <v>4560</v>
      </c>
      <c r="I17008" t="s">
        <v>345</v>
      </c>
      <c r="J17008">
        <v>29.3</v>
      </c>
      <c r="K17008">
        <v>5.67</v>
      </c>
      <c r="L17008">
        <v>17538</v>
      </c>
      <c r="M17008" t="s">
        <v>24</v>
      </c>
      <c r="N17008" t="str">
        <f>"19797053    "</f>
        <v xml:space="preserve">19797053    </v>
      </c>
      <c r="O17008">
        <v>230308</v>
      </c>
    </row>
    <row r="17009" spans="1:15" x14ac:dyDescent="0.25">
      <c r="A17009" t="s">
        <v>16</v>
      </c>
      <c r="B17009" t="s">
        <v>3221</v>
      </c>
      <c r="C17009">
        <v>3099</v>
      </c>
      <c r="D17009" t="s">
        <v>3231</v>
      </c>
      <c r="E17009" t="s">
        <v>3232</v>
      </c>
      <c r="F17009">
        <v>314.04000000000002</v>
      </c>
      <c r="G17009">
        <v>230228</v>
      </c>
      <c r="H17009">
        <v>4560</v>
      </c>
      <c r="I17009" t="s">
        <v>345</v>
      </c>
      <c r="J17009">
        <v>389.41</v>
      </c>
      <c r="K17009">
        <v>75.37</v>
      </c>
      <c r="L17009">
        <v>59501</v>
      </c>
      <c r="M17009" t="s">
        <v>69</v>
      </c>
      <c r="N17009" t="str">
        <f>"19802779    "</f>
        <v xml:space="preserve">19802779    </v>
      </c>
      <c r="O17009">
        <v>230309</v>
      </c>
    </row>
    <row r="17010" spans="1:15" x14ac:dyDescent="0.25">
      <c r="A17010" t="s">
        <v>16</v>
      </c>
      <c r="B17010" t="s">
        <v>3221</v>
      </c>
      <c r="C17010">
        <v>3100</v>
      </c>
      <c r="D17010" t="s">
        <v>3231</v>
      </c>
      <c r="E17010" t="s">
        <v>3232</v>
      </c>
      <c r="F17010">
        <v>71.42</v>
      </c>
      <c r="G17010">
        <v>230228</v>
      </c>
      <c r="H17010">
        <v>4560</v>
      </c>
      <c r="I17010" t="s">
        <v>345</v>
      </c>
      <c r="J17010">
        <v>88.56</v>
      </c>
      <c r="K17010">
        <v>17.14</v>
      </c>
      <c r="L17010">
        <v>59702</v>
      </c>
      <c r="M17010" t="s">
        <v>328</v>
      </c>
      <c r="N17010" t="str">
        <f>"19802780    "</f>
        <v xml:space="preserve">19802780    </v>
      </c>
      <c r="O17010">
        <v>230309</v>
      </c>
    </row>
    <row r="17011" spans="1:15" x14ac:dyDescent="0.25">
      <c r="A17011" t="s">
        <v>16</v>
      </c>
      <c r="B17011" t="s">
        <v>3221</v>
      </c>
      <c r="C17011">
        <v>4327</v>
      </c>
      <c r="D17011" t="s">
        <v>3231</v>
      </c>
      <c r="E17011" t="s">
        <v>3232</v>
      </c>
      <c r="F17011">
        <v>538.29</v>
      </c>
      <c r="G17011">
        <v>230331</v>
      </c>
      <c r="H17011">
        <v>4560</v>
      </c>
      <c r="I17011" t="s">
        <v>345</v>
      </c>
      <c r="J17011">
        <v>667.48</v>
      </c>
      <c r="K17011">
        <v>129.19</v>
      </c>
      <c r="L17011">
        <v>56564</v>
      </c>
      <c r="M17011" t="s">
        <v>327</v>
      </c>
      <c r="N17011" t="str">
        <f>"19837478    "</f>
        <v xml:space="preserve">19837478    </v>
      </c>
      <c r="O17011">
        <v>230404</v>
      </c>
    </row>
    <row r="17012" spans="1:15" x14ac:dyDescent="0.25">
      <c r="A17012" t="s">
        <v>16</v>
      </c>
      <c r="B17012" t="s">
        <v>3221</v>
      </c>
      <c r="C17012">
        <v>4382</v>
      </c>
      <c r="D17012" t="s">
        <v>3231</v>
      </c>
      <c r="E17012" t="s">
        <v>3232</v>
      </c>
      <c r="F17012">
        <v>95.2</v>
      </c>
      <c r="G17012">
        <v>230331</v>
      </c>
      <c r="H17012">
        <v>4560</v>
      </c>
      <c r="I17012" t="s">
        <v>345</v>
      </c>
      <c r="J17012">
        <v>118.05</v>
      </c>
      <c r="K17012">
        <v>22.85</v>
      </c>
      <c r="L17012">
        <v>56562</v>
      </c>
      <c r="M17012" t="s">
        <v>126</v>
      </c>
      <c r="N17012" t="str">
        <f>"19830324    "</f>
        <v xml:space="preserve">19830324    </v>
      </c>
      <c r="O17012">
        <v>230405</v>
      </c>
    </row>
    <row r="17013" spans="1:15" x14ac:dyDescent="0.25">
      <c r="A17013" t="s">
        <v>16</v>
      </c>
      <c r="B17013" t="s">
        <v>3221</v>
      </c>
      <c r="C17013">
        <v>4382</v>
      </c>
      <c r="D17013" t="s">
        <v>3231</v>
      </c>
      <c r="E17013" t="s">
        <v>3232</v>
      </c>
      <c r="F17013">
        <v>510.73</v>
      </c>
      <c r="G17013">
        <v>230331</v>
      </c>
      <c r="H17013">
        <v>4560</v>
      </c>
      <c r="I17013" t="s">
        <v>345</v>
      </c>
      <c r="J17013">
        <v>633.29999999999995</v>
      </c>
      <c r="K17013">
        <v>122.57</v>
      </c>
      <c r="L17013">
        <v>59702</v>
      </c>
      <c r="M17013" t="s">
        <v>328</v>
      </c>
      <c r="N17013" t="str">
        <f>"19830324    "</f>
        <v xml:space="preserve">19830324    </v>
      </c>
      <c r="O17013">
        <v>230405</v>
      </c>
    </row>
    <row r="17014" spans="1:15" x14ac:dyDescent="0.25">
      <c r="A17014" t="s">
        <v>16</v>
      </c>
      <c r="B17014" t="s">
        <v>3221</v>
      </c>
      <c r="C17014">
        <v>4465</v>
      </c>
      <c r="D17014" t="s">
        <v>3231</v>
      </c>
      <c r="E17014" t="s">
        <v>3232</v>
      </c>
      <c r="F17014">
        <v>322.52</v>
      </c>
      <c r="G17014">
        <v>230331</v>
      </c>
      <c r="H17014">
        <v>4560</v>
      </c>
      <c r="I17014" t="s">
        <v>345</v>
      </c>
      <c r="J17014">
        <v>399.93</v>
      </c>
      <c r="K17014">
        <v>77.41</v>
      </c>
      <c r="L17014">
        <v>59501</v>
      </c>
      <c r="M17014" t="s">
        <v>69</v>
      </c>
      <c r="N17014" t="str">
        <f>"19837479    "</f>
        <v xml:space="preserve">19837479    </v>
      </c>
      <c r="O17014">
        <v>230406</v>
      </c>
    </row>
    <row r="17015" spans="1:15" x14ac:dyDescent="0.25">
      <c r="A17015" t="s">
        <v>16</v>
      </c>
      <c r="B17015" t="s">
        <v>3221</v>
      </c>
      <c r="C17015">
        <v>4628</v>
      </c>
      <c r="D17015" t="s">
        <v>3231</v>
      </c>
      <c r="E17015" t="s">
        <v>3232</v>
      </c>
      <c r="F17015">
        <v>154.87</v>
      </c>
      <c r="G17015">
        <v>230331</v>
      </c>
      <c r="H17015">
        <v>4560</v>
      </c>
      <c r="I17015" t="s">
        <v>345</v>
      </c>
      <c r="J17015">
        <v>154.87</v>
      </c>
      <c r="K17015">
        <v>0</v>
      </c>
      <c r="L17015">
        <v>11001</v>
      </c>
      <c r="M17015" t="s">
        <v>326</v>
      </c>
      <c r="N17015" t="str">
        <f>"19830323    "</f>
        <v xml:space="preserve">19830323    </v>
      </c>
      <c r="O17015">
        <v>230411</v>
      </c>
    </row>
    <row r="17016" spans="1:15" x14ac:dyDescent="0.25">
      <c r="A17016" t="s">
        <v>16</v>
      </c>
      <c r="B17016" t="s">
        <v>3221</v>
      </c>
      <c r="C17016">
        <v>4681</v>
      </c>
      <c r="D17016" t="s">
        <v>3231</v>
      </c>
      <c r="E17016" t="s">
        <v>3232</v>
      </c>
      <c r="F17016">
        <v>60.27</v>
      </c>
      <c r="G17016">
        <v>230331</v>
      </c>
      <c r="H17016">
        <v>4560</v>
      </c>
      <c r="I17016" t="s">
        <v>345</v>
      </c>
      <c r="J17016">
        <v>74.73</v>
      </c>
      <c r="K17016">
        <v>14.46</v>
      </c>
      <c r="L17016">
        <v>67522</v>
      </c>
      <c r="M17016" t="s">
        <v>397</v>
      </c>
      <c r="N17016" t="str">
        <f>"19822828    "</f>
        <v xml:space="preserve">19822828    </v>
      </c>
      <c r="O17016">
        <v>230411</v>
      </c>
    </row>
    <row r="17017" spans="1:15" x14ac:dyDescent="0.25">
      <c r="A17017" t="s">
        <v>16</v>
      </c>
      <c r="B17017" t="s">
        <v>3221</v>
      </c>
      <c r="C17017">
        <v>4723</v>
      </c>
      <c r="D17017" t="s">
        <v>3231</v>
      </c>
      <c r="E17017" t="s">
        <v>3232</v>
      </c>
      <c r="F17017">
        <v>36.1</v>
      </c>
      <c r="G17017">
        <v>230331</v>
      </c>
      <c r="H17017">
        <v>4560</v>
      </c>
      <c r="I17017" t="s">
        <v>345</v>
      </c>
      <c r="J17017">
        <v>44.77</v>
      </c>
      <c r="K17017">
        <v>8.67</v>
      </c>
      <c r="L17017">
        <v>17804</v>
      </c>
      <c r="M17017" t="s">
        <v>549</v>
      </c>
      <c r="N17017" t="str">
        <f>"19822825    "</f>
        <v xml:space="preserve">19822825    </v>
      </c>
      <c r="O17017">
        <v>230412</v>
      </c>
    </row>
    <row r="17018" spans="1:15" x14ac:dyDescent="0.25">
      <c r="A17018" t="s">
        <v>16</v>
      </c>
      <c r="B17018" t="s">
        <v>3221</v>
      </c>
      <c r="C17018">
        <v>4723</v>
      </c>
      <c r="D17018" t="s">
        <v>3231</v>
      </c>
      <c r="E17018" t="s">
        <v>3232</v>
      </c>
      <c r="F17018">
        <v>36.1</v>
      </c>
      <c r="G17018">
        <v>230331</v>
      </c>
      <c r="H17018">
        <v>4560</v>
      </c>
      <c r="I17018" t="s">
        <v>345</v>
      </c>
      <c r="J17018">
        <v>44.76</v>
      </c>
      <c r="K17018">
        <v>8.66</v>
      </c>
      <c r="L17018">
        <v>17806</v>
      </c>
      <c r="M17018" t="s">
        <v>265</v>
      </c>
      <c r="N17018" t="str">
        <f>"19822825    "</f>
        <v xml:space="preserve">19822825    </v>
      </c>
      <c r="O17018">
        <v>230412</v>
      </c>
    </row>
    <row r="17019" spans="1:15" x14ac:dyDescent="0.25">
      <c r="A17019" t="s">
        <v>16</v>
      </c>
      <c r="B17019" t="s">
        <v>3221</v>
      </c>
      <c r="C17019">
        <v>4907</v>
      </c>
      <c r="D17019" t="s">
        <v>3231</v>
      </c>
      <c r="E17019" t="s">
        <v>3232</v>
      </c>
      <c r="F17019">
        <v>95.28</v>
      </c>
      <c r="G17019">
        <v>230331</v>
      </c>
      <c r="H17019">
        <v>4560</v>
      </c>
      <c r="I17019" t="s">
        <v>345</v>
      </c>
      <c r="J17019">
        <v>118.15</v>
      </c>
      <c r="K17019">
        <v>22.87</v>
      </c>
      <c r="L17019">
        <v>59806</v>
      </c>
      <c r="M17019" t="s">
        <v>170</v>
      </c>
      <c r="N17019" t="str">
        <f>"19837480    "</f>
        <v xml:space="preserve">19837480    </v>
      </c>
      <c r="O17019">
        <v>230414</v>
      </c>
    </row>
    <row r="17020" spans="1:15" x14ac:dyDescent="0.25">
      <c r="A17020" t="s">
        <v>16</v>
      </c>
      <c r="B17020" t="s">
        <v>3221</v>
      </c>
      <c r="C17020">
        <v>5873</v>
      </c>
      <c r="D17020" t="s">
        <v>3231</v>
      </c>
      <c r="E17020" t="s">
        <v>3232</v>
      </c>
      <c r="F17020">
        <v>453.69</v>
      </c>
      <c r="G17020">
        <v>230430</v>
      </c>
      <c r="H17020">
        <v>4560</v>
      </c>
      <c r="I17020" t="s">
        <v>345</v>
      </c>
      <c r="J17020">
        <v>562.57000000000005</v>
      </c>
      <c r="K17020">
        <v>108.88</v>
      </c>
      <c r="L17020">
        <v>59702</v>
      </c>
      <c r="M17020" t="s">
        <v>328</v>
      </c>
      <c r="N17020" t="str">
        <f>"19866168    "</f>
        <v xml:space="preserve">19866168    </v>
      </c>
      <c r="O17020">
        <v>230503</v>
      </c>
    </row>
    <row r="17021" spans="1:15" x14ac:dyDescent="0.25">
      <c r="A17021" t="s">
        <v>16</v>
      </c>
      <c r="B17021" t="s">
        <v>3221</v>
      </c>
      <c r="C17021">
        <v>5909</v>
      </c>
      <c r="D17021" t="s">
        <v>3231</v>
      </c>
      <c r="E17021" t="s">
        <v>3232</v>
      </c>
      <c r="F17021">
        <v>62.76</v>
      </c>
      <c r="G17021">
        <v>230430</v>
      </c>
      <c r="H17021">
        <v>4560</v>
      </c>
      <c r="I17021" t="s">
        <v>345</v>
      </c>
      <c r="J17021">
        <v>77.819999999999993</v>
      </c>
      <c r="K17021">
        <v>15.06</v>
      </c>
      <c r="L17021">
        <v>69111</v>
      </c>
      <c r="M17021" t="s">
        <v>471</v>
      </c>
      <c r="N17021" t="str">
        <f>"19858630    "</f>
        <v xml:space="preserve">19858630    </v>
      </c>
      <c r="O17021">
        <v>230503</v>
      </c>
    </row>
    <row r="17022" spans="1:15" x14ac:dyDescent="0.25">
      <c r="A17022" t="s">
        <v>16</v>
      </c>
      <c r="B17022" t="s">
        <v>3221</v>
      </c>
      <c r="C17022">
        <v>5945</v>
      </c>
      <c r="D17022" t="s">
        <v>3231</v>
      </c>
      <c r="E17022" t="s">
        <v>3232</v>
      </c>
      <c r="F17022">
        <v>437.89</v>
      </c>
      <c r="G17022">
        <v>230430</v>
      </c>
      <c r="H17022">
        <v>4560</v>
      </c>
      <c r="I17022" t="s">
        <v>345</v>
      </c>
      <c r="J17022">
        <v>437.89</v>
      </c>
      <c r="K17022">
        <v>0</v>
      </c>
      <c r="L17022">
        <v>11001</v>
      </c>
      <c r="M17022" t="s">
        <v>326</v>
      </c>
      <c r="N17022" t="str">
        <f>"19866167    "</f>
        <v xml:space="preserve">19866167    </v>
      </c>
      <c r="O17022">
        <v>230504</v>
      </c>
    </row>
    <row r="17023" spans="1:15" x14ac:dyDescent="0.25">
      <c r="A17023" t="s">
        <v>16</v>
      </c>
      <c r="B17023" t="s">
        <v>3221</v>
      </c>
      <c r="C17023">
        <v>6111</v>
      </c>
      <c r="D17023" t="s">
        <v>3231</v>
      </c>
      <c r="E17023" t="s">
        <v>3232</v>
      </c>
      <c r="F17023">
        <v>71.349999999999994</v>
      </c>
      <c r="G17023">
        <v>230430</v>
      </c>
      <c r="H17023">
        <v>4560</v>
      </c>
      <c r="I17023" t="s">
        <v>345</v>
      </c>
      <c r="J17023">
        <v>88.47</v>
      </c>
      <c r="K17023">
        <v>17.12</v>
      </c>
      <c r="L17023">
        <v>17809</v>
      </c>
      <c r="M17023" t="s">
        <v>376</v>
      </c>
      <c r="N17023" t="str">
        <f>"19858627    "</f>
        <v xml:space="preserve">19858627    </v>
      </c>
      <c r="O17023">
        <v>230508</v>
      </c>
    </row>
    <row r="17024" spans="1:15" x14ac:dyDescent="0.25">
      <c r="A17024" t="s">
        <v>16</v>
      </c>
      <c r="B17024" t="s">
        <v>3221</v>
      </c>
      <c r="C17024">
        <v>6302</v>
      </c>
      <c r="D17024" t="s">
        <v>3231</v>
      </c>
      <c r="E17024" t="s">
        <v>3232</v>
      </c>
      <c r="F17024">
        <v>5.44</v>
      </c>
      <c r="G17024">
        <v>230430</v>
      </c>
      <c r="H17024">
        <v>4560</v>
      </c>
      <c r="I17024" t="s">
        <v>345</v>
      </c>
      <c r="J17024">
        <v>6.74</v>
      </c>
      <c r="K17024">
        <v>1.3</v>
      </c>
      <c r="L17024">
        <v>13501</v>
      </c>
      <c r="M17024" t="s">
        <v>20</v>
      </c>
      <c r="N17024" t="str">
        <f>"19867517    "</f>
        <v xml:space="preserve">19867517    </v>
      </c>
      <c r="O17024">
        <v>230510</v>
      </c>
    </row>
    <row r="17025" spans="1:15" x14ac:dyDescent="0.25">
      <c r="A17025" t="s">
        <v>16</v>
      </c>
      <c r="B17025" t="s">
        <v>3221</v>
      </c>
      <c r="C17025">
        <v>6302</v>
      </c>
      <c r="D17025" t="s">
        <v>3231</v>
      </c>
      <c r="E17025" t="s">
        <v>3232</v>
      </c>
      <c r="F17025">
        <v>44.2</v>
      </c>
      <c r="G17025">
        <v>230430</v>
      </c>
      <c r="H17025">
        <v>4560</v>
      </c>
      <c r="I17025" t="s">
        <v>345</v>
      </c>
      <c r="J17025">
        <v>54.81</v>
      </c>
      <c r="K17025">
        <v>10.61</v>
      </c>
      <c r="L17025">
        <v>17526</v>
      </c>
      <c r="M17025" t="s">
        <v>437</v>
      </c>
      <c r="N17025" t="str">
        <f>"19867517    "</f>
        <v xml:space="preserve">19867517    </v>
      </c>
      <c r="O17025">
        <v>230510</v>
      </c>
    </row>
    <row r="17026" spans="1:15" x14ac:dyDescent="0.25">
      <c r="A17026" t="s">
        <v>16</v>
      </c>
      <c r="B17026" t="s">
        <v>3221</v>
      </c>
      <c r="C17026">
        <v>6302</v>
      </c>
      <c r="D17026" t="s">
        <v>3231</v>
      </c>
      <c r="E17026" t="s">
        <v>3232</v>
      </c>
      <c r="F17026">
        <v>40.799999999999997</v>
      </c>
      <c r="G17026">
        <v>230430</v>
      </c>
      <c r="H17026">
        <v>4560</v>
      </c>
      <c r="I17026" t="s">
        <v>345</v>
      </c>
      <c r="J17026">
        <v>50.59</v>
      </c>
      <c r="K17026">
        <v>9.7899999999999991</v>
      </c>
      <c r="L17026">
        <v>17538</v>
      </c>
      <c r="M17026" t="s">
        <v>24</v>
      </c>
      <c r="N17026" t="str">
        <f>"19867517    "</f>
        <v xml:space="preserve">19867517    </v>
      </c>
      <c r="O17026">
        <v>230510</v>
      </c>
    </row>
    <row r="17027" spans="1:15" x14ac:dyDescent="0.25">
      <c r="A17027" t="s">
        <v>16</v>
      </c>
      <c r="B17027" t="s">
        <v>3221</v>
      </c>
      <c r="C17027">
        <v>6354</v>
      </c>
      <c r="D17027" t="s">
        <v>3231</v>
      </c>
      <c r="E17027" t="s">
        <v>3232</v>
      </c>
      <c r="F17027">
        <v>108.66</v>
      </c>
      <c r="G17027">
        <v>230430</v>
      </c>
      <c r="H17027">
        <v>4560</v>
      </c>
      <c r="I17027" t="s">
        <v>345</v>
      </c>
      <c r="J17027">
        <v>134.74</v>
      </c>
      <c r="K17027">
        <v>26.08</v>
      </c>
      <c r="L17027">
        <v>59501</v>
      </c>
      <c r="M17027" t="s">
        <v>69</v>
      </c>
      <c r="N17027" t="str">
        <f>"19873368    "</f>
        <v xml:space="preserve">19873368    </v>
      </c>
      <c r="O17027">
        <v>230510</v>
      </c>
    </row>
    <row r="17028" spans="1:15" x14ac:dyDescent="0.25">
      <c r="A17028" t="s">
        <v>16</v>
      </c>
      <c r="B17028" t="s">
        <v>3221</v>
      </c>
      <c r="C17028">
        <v>6582</v>
      </c>
      <c r="D17028" t="s">
        <v>3231</v>
      </c>
      <c r="E17028" t="s">
        <v>3232</v>
      </c>
      <c r="F17028">
        <v>414.66</v>
      </c>
      <c r="G17028">
        <v>230430</v>
      </c>
      <c r="H17028">
        <v>4560</v>
      </c>
      <c r="I17028" t="s">
        <v>345</v>
      </c>
      <c r="J17028">
        <v>514.17999999999995</v>
      </c>
      <c r="K17028">
        <v>99.52</v>
      </c>
      <c r="L17028">
        <v>56564</v>
      </c>
      <c r="M17028" t="s">
        <v>327</v>
      </c>
      <c r="N17028" t="str">
        <f>"19873367    "</f>
        <v xml:space="preserve">19873367    </v>
      </c>
      <c r="O17028">
        <v>230515</v>
      </c>
    </row>
    <row r="17029" spans="1:15" x14ac:dyDescent="0.25">
      <c r="A17029" t="s">
        <v>16</v>
      </c>
      <c r="B17029" t="s">
        <v>3221</v>
      </c>
      <c r="C17029">
        <v>7895</v>
      </c>
      <c r="D17029" t="s">
        <v>3231</v>
      </c>
      <c r="E17029" t="s">
        <v>3232</v>
      </c>
      <c r="F17029">
        <v>460.86</v>
      </c>
      <c r="G17029">
        <v>230531</v>
      </c>
      <c r="H17029">
        <v>4560</v>
      </c>
      <c r="I17029" t="s">
        <v>345</v>
      </c>
      <c r="J17029">
        <v>571.47</v>
      </c>
      <c r="K17029">
        <v>110.61</v>
      </c>
      <c r="L17029">
        <v>56564</v>
      </c>
      <c r="M17029" t="s">
        <v>327</v>
      </c>
      <c r="N17029" t="str">
        <f>"19911385    "</f>
        <v xml:space="preserve">19911385    </v>
      </c>
      <c r="O17029">
        <v>230605</v>
      </c>
    </row>
    <row r="17030" spans="1:15" x14ac:dyDescent="0.25">
      <c r="A17030" t="s">
        <v>16</v>
      </c>
      <c r="B17030" t="s">
        <v>3221</v>
      </c>
      <c r="C17030">
        <v>7901</v>
      </c>
      <c r="D17030" t="s">
        <v>3231</v>
      </c>
      <c r="E17030" t="s">
        <v>3232</v>
      </c>
      <c r="F17030">
        <v>134.49</v>
      </c>
      <c r="G17030">
        <v>230531</v>
      </c>
      <c r="H17030">
        <v>4560</v>
      </c>
      <c r="I17030" t="s">
        <v>345</v>
      </c>
      <c r="J17030">
        <v>166.77</v>
      </c>
      <c r="K17030">
        <v>32.28</v>
      </c>
      <c r="L17030">
        <v>17804</v>
      </c>
      <c r="M17030" t="s">
        <v>549</v>
      </c>
      <c r="N17030" t="str">
        <f>"19895848    "</f>
        <v xml:space="preserve">19895848    </v>
      </c>
      <c r="O17030">
        <v>230605</v>
      </c>
    </row>
    <row r="17031" spans="1:15" x14ac:dyDescent="0.25">
      <c r="A17031" t="s">
        <v>16</v>
      </c>
      <c r="B17031" t="s">
        <v>3221</v>
      </c>
      <c r="C17031">
        <v>7901</v>
      </c>
      <c r="D17031" t="s">
        <v>3231</v>
      </c>
      <c r="E17031" t="s">
        <v>3232</v>
      </c>
      <c r="F17031">
        <v>88.2</v>
      </c>
      <c r="G17031">
        <v>230531</v>
      </c>
      <c r="H17031">
        <v>4560</v>
      </c>
      <c r="I17031" t="s">
        <v>345</v>
      </c>
      <c r="J17031">
        <v>109.37</v>
      </c>
      <c r="K17031">
        <v>21.17</v>
      </c>
      <c r="L17031">
        <v>17809</v>
      </c>
      <c r="M17031" t="s">
        <v>376</v>
      </c>
      <c r="N17031" t="str">
        <f>"19895848    "</f>
        <v xml:space="preserve">19895848    </v>
      </c>
      <c r="O17031">
        <v>230605</v>
      </c>
    </row>
    <row r="17032" spans="1:15" x14ac:dyDescent="0.25">
      <c r="A17032" t="s">
        <v>16</v>
      </c>
      <c r="B17032" t="s">
        <v>3221</v>
      </c>
      <c r="C17032">
        <v>8003</v>
      </c>
      <c r="D17032" t="s">
        <v>3231</v>
      </c>
      <c r="E17032" t="s">
        <v>3232</v>
      </c>
      <c r="F17032">
        <v>170.38</v>
      </c>
      <c r="G17032">
        <v>230531</v>
      </c>
      <c r="H17032">
        <v>4560</v>
      </c>
      <c r="I17032" t="s">
        <v>345</v>
      </c>
      <c r="J17032">
        <v>211.27</v>
      </c>
      <c r="K17032">
        <v>40.89</v>
      </c>
      <c r="L17032">
        <v>59505</v>
      </c>
      <c r="M17032" t="s">
        <v>72</v>
      </c>
      <c r="N17032" t="str">
        <f>"19911386    "</f>
        <v xml:space="preserve">19911386    </v>
      </c>
      <c r="O17032">
        <v>230606</v>
      </c>
    </row>
    <row r="17033" spans="1:15" x14ac:dyDescent="0.25">
      <c r="A17033" t="s">
        <v>16</v>
      </c>
      <c r="B17033" t="s">
        <v>3221</v>
      </c>
      <c r="C17033">
        <v>8066</v>
      </c>
      <c r="D17033" t="s">
        <v>3231</v>
      </c>
      <c r="E17033" t="s">
        <v>3232</v>
      </c>
      <c r="F17033">
        <v>208.81</v>
      </c>
      <c r="G17033">
        <v>230531</v>
      </c>
      <c r="H17033">
        <v>4560</v>
      </c>
      <c r="I17033" t="s">
        <v>345</v>
      </c>
      <c r="J17033">
        <v>258.92</v>
      </c>
      <c r="K17033">
        <v>50.11</v>
      </c>
      <c r="L17033">
        <v>59702</v>
      </c>
      <c r="M17033" t="s">
        <v>328</v>
      </c>
      <c r="N17033" t="str">
        <f>"19911387    "</f>
        <v xml:space="preserve">19911387    </v>
      </c>
      <c r="O17033">
        <v>230607</v>
      </c>
    </row>
    <row r="17034" spans="1:15" x14ac:dyDescent="0.25">
      <c r="A17034" t="s">
        <v>16</v>
      </c>
      <c r="B17034" t="s">
        <v>3221</v>
      </c>
      <c r="C17034">
        <v>8072</v>
      </c>
      <c r="D17034" t="s">
        <v>3231</v>
      </c>
      <c r="E17034" t="s">
        <v>3232</v>
      </c>
      <c r="F17034">
        <v>82.54</v>
      </c>
      <c r="G17034">
        <v>230531</v>
      </c>
      <c r="H17034">
        <v>4560</v>
      </c>
      <c r="I17034" t="s">
        <v>345</v>
      </c>
      <c r="J17034">
        <v>102.35</v>
      </c>
      <c r="K17034">
        <v>19.809999999999999</v>
      </c>
      <c r="L17034">
        <v>56562</v>
      </c>
      <c r="M17034" t="s">
        <v>126</v>
      </c>
      <c r="N17034" t="str">
        <f>"19903728    "</f>
        <v xml:space="preserve">19903728    </v>
      </c>
      <c r="O17034">
        <v>230607</v>
      </c>
    </row>
    <row r="17035" spans="1:15" x14ac:dyDescent="0.25">
      <c r="A17035" t="s">
        <v>16</v>
      </c>
      <c r="B17035" t="s">
        <v>3221</v>
      </c>
      <c r="C17035">
        <v>8072</v>
      </c>
      <c r="D17035" t="s">
        <v>3231</v>
      </c>
      <c r="E17035" t="s">
        <v>3232</v>
      </c>
      <c r="F17035">
        <v>423.5</v>
      </c>
      <c r="G17035">
        <v>230531</v>
      </c>
      <c r="H17035">
        <v>4560</v>
      </c>
      <c r="I17035" t="s">
        <v>345</v>
      </c>
      <c r="J17035">
        <v>525.14</v>
      </c>
      <c r="K17035">
        <v>101.64</v>
      </c>
      <c r="L17035">
        <v>59702</v>
      </c>
      <c r="M17035" t="s">
        <v>328</v>
      </c>
      <c r="N17035" t="str">
        <f>"19903728    "</f>
        <v xml:space="preserve">19903728    </v>
      </c>
      <c r="O17035">
        <v>230607</v>
      </c>
    </row>
    <row r="17036" spans="1:15" x14ac:dyDescent="0.25">
      <c r="A17036" t="s">
        <v>16</v>
      </c>
      <c r="B17036" t="s">
        <v>3221</v>
      </c>
      <c r="C17036">
        <v>8320</v>
      </c>
      <c r="D17036" t="s">
        <v>3231</v>
      </c>
      <c r="E17036" t="s">
        <v>3232</v>
      </c>
      <c r="F17036">
        <v>101.96</v>
      </c>
      <c r="G17036">
        <v>230531</v>
      </c>
      <c r="H17036">
        <v>4560</v>
      </c>
      <c r="I17036" t="s">
        <v>345</v>
      </c>
      <c r="J17036">
        <v>126.43</v>
      </c>
      <c r="K17036">
        <v>24.47</v>
      </c>
      <c r="L17036">
        <v>66756</v>
      </c>
      <c r="M17036" t="s">
        <v>209</v>
      </c>
      <c r="N17036" t="str">
        <f>"19895851    "</f>
        <v xml:space="preserve">19895851    </v>
      </c>
      <c r="O17036">
        <v>230608</v>
      </c>
    </row>
    <row r="17037" spans="1:15" x14ac:dyDescent="0.25">
      <c r="A17037" t="s">
        <v>16</v>
      </c>
      <c r="B17037" t="s">
        <v>3221</v>
      </c>
      <c r="C17037">
        <v>8320</v>
      </c>
      <c r="D17037" t="s">
        <v>3231</v>
      </c>
      <c r="E17037" t="s">
        <v>3232</v>
      </c>
      <c r="F17037">
        <v>123.89</v>
      </c>
      <c r="G17037">
        <v>230531</v>
      </c>
      <c r="H17037">
        <v>4560</v>
      </c>
      <c r="I17037" t="s">
        <v>345</v>
      </c>
      <c r="J17037">
        <v>153.62</v>
      </c>
      <c r="K17037">
        <v>29.73</v>
      </c>
      <c r="L17037">
        <v>69501</v>
      </c>
      <c r="M17037" t="s">
        <v>185</v>
      </c>
      <c r="N17037" t="str">
        <f>"19895851    "</f>
        <v xml:space="preserve">19895851    </v>
      </c>
      <c r="O17037">
        <v>230608</v>
      </c>
    </row>
    <row r="17038" spans="1:15" x14ac:dyDescent="0.25">
      <c r="A17038" t="s">
        <v>16</v>
      </c>
      <c r="B17038" t="s">
        <v>3221</v>
      </c>
      <c r="C17038">
        <v>8543</v>
      </c>
      <c r="D17038" t="s">
        <v>3231</v>
      </c>
      <c r="E17038" t="s">
        <v>3232</v>
      </c>
      <c r="F17038">
        <v>64.02</v>
      </c>
      <c r="G17038">
        <v>230531</v>
      </c>
      <c r="H17038">
        <v>4560</v>
      </c>
      <c r="I17038" t="s">
        <v>345</v>
      </c>
      <c r="J17038">
        <v>79.39</v>
      </c>
      <c r="K17038">
        <v>15.37</v>
      </c>
      <c r="L17038">
        <v>11902</v>
      </c>
      <c r="M17038" t="s">
        <v>1443</v>
      </c>
      <c r="N17038" t="str">
        <f t="shared" ref="N17038:N17043" si="232">"19905234    "</f>
        <v xml:space="preserve">19905234    </v>
      </c>
      <c r="O17038">
        <v>230612</v>
      </c>
    </row>
    <row r="17039" spans="1:15" x14ac:dyDescent="0.25">
      <c r="A17039" t="s">
        <v>16</v>
      </c>
      <c r="B17039" t="s">
        <v>3221</v>
      </c>
      <c r="C17039">
        <v>8543</v>
      </c>
      <c r="D17039" t="s">
        <v>3231</v>
      </c>
      <c r="E17039" t="s">
        <v>3232</v>
      </c>
      <c r="F17039">
        <v>36.42</v>
      </c>
      <c r="G17039">
        <v>230531</v>
      </c>
      <c r="H17039">
        <v>4560</v>
      </c>
      <c r="I17039" t="s">
        <v>345</v>
      </c>
      <c r="J17039">
        <v>45.16</v>
      </c>
      <c r="K17039">
        <v>8.74</v>
      </c>
      <c r="L17039">
        <v>13501</v>
      </c>
      <c r="M17039" t="s">
        <v>20</v>
      </c>
      <c r="N17039" t="str">
        <f t="shared" si="232"/>
        <v xml:space="preserve">19905234    </v>
      </c>
      <c r="O17039">
        <v>230612</v>
      </c>
    </row>
    <row r="17040" spans="1:15" x14ac:dyDescent="0.25">
      <c r="A17040" t="s">
        <v>16</v>
      </c>
      <c r="B17040" t="s">
        <v>3221</v>
      </c>
      <c r="C17040">
        <v>8543</v>
      </c>
      <c r="D17040" t="s">
        <v>3231</v>
      </c>
      <c r="E17040" t="s">
        <v>3232</v>
      </c>
      <c r="F17040">
        <v>71.010000000000005</v>
      </c>
      <c r="G17040">
        <v>230531</v>
      </c>
      <c r="H17040">
        <v>4560</v>
      </c>
      <c r="I17040" t="s">
        <v>345</v>
      </c>
      <c r="J17040">
        <v>88.05</v>
      </c>
      <c r="K17040">
        <v>17.04</v>
      </c>
      <c r="L17040">
        <v>17521</v>
      </c>
      <c r="M17040" t="s">
        <v>133</v>
      </c>
      <c r="N17040" t="str">
        <f t="shared" si="232"/>
        <v xml:space="preserve">19905234    </v>
      </c>
      <c r="O17040">
        <v>230612</v>
      </c>
    </row>
    <row r="17041" spans="1:15" x14ac:dyDescent="0.25">
      <c r="A17041" t="s">
        <v>16</v>
      </c>
      <c r="B17041" t="s">
        <v>3221</v>
      </c>
      <c r="C17041">
        <v>8543</v>
      </c>
      <c r="D17041" t="s">
        <v>3231</v>
      </c>
      <c r="E17041" t="s">
        <v>3232</v>
      </c>
      <c r="F17041">
        <v>56.62</v>
      </c>
      <c r="G17041">
        <v>230531</v>
      </c>
      <c r="H17041">
        <v>4560</v>
      </c>
      <c r="I17041" t="s">
        <v>345</v>
      </c>
      <c r="J17041">
        <v>70.209999999999994</v>
      </c>
      <c r="K17041">
        <v>13.59</v>
      </c>
      <c r="L17041">
        <v>17525</v>
      </c>
      <c r="M17041" t="s">
        <v>135</v>
      </c>
      <c r="N17041" t="str">
        <f t="shared" si="232"/>
        <v xml:space="preserve">19905234    </v>
      </c>
      <c r="O17041">
        <v>230612</v>
      </c>
    </row>
    <row r="17042" spans="1:15" x14ac:dyDescent="0.25">
      <c r="A17042" t="s">
        <v>16</v>
      </c>
      <c r="B17042" t="s">
        <v>3221</v>
      </c>
      <c r="C17042">
        <v>8543</v>
      </c>
      <c r="D17042" t="s">
        <v>3231</v>
      </c>
      <c r="E17042" t="s">
        <v>3232</v>
      </c>
      <c r="F17042">
        <v>23.63</v>
      </c>
      <c r="G17042">
        <v>230531</v>
      </c>
      <c r="H17042">
        <v>4560</v>
      </c>
      <c r="I17042" t="s">
        <v>345</v>
      </c>
      <c r="J17042">
        <v>29.3</v>
      </c>
      <c r="K17042">
        <v>5.67</v>
      </c>
      <c r="L17042">
        <v>17538</v>
      </c>
      <c r="M17042" t="s">
        <v>24</v>
      </c>
      <c r="N17042" t="str">
        <f t="shared" si="232"/>
        <v xml:space="preserve">19905234    </v>
      </c>
      <c r="O17042">
        <v>230612</v>
      </c>
    </row>
    <row r="17043" spans="1:15" x14ac:dyDescent="0.25">
      <c r="A17043" t="s">
        <v>16</v>
      </c>
      <c r="B17043" t="s">
        <v>3221</v>
      </c>
      <c r="C17043">
        <v>8543</v>
      </c>
      <c r="D17043" t="s">
        <v>3231</v>
      </c>
      <c r="E17043" t="s">
        <v>3232</v>
      </c>
      <c r="F17043">
        <v>85.95</v>
      </c>
      <c r="G17043">
        <v>230531</v>
      </c>
      <c r="H17043">
        <v>4560</v>
      </c>
      <c r="I17043" t="s">
        <v>345</v>
      </c>
      <c r="J17043">
        <v>106.58</v>
      </c>
      <c r="K17043">
        <v>20.63</v>
      </c>
      <c r="L17043">
        <v>18010</v>
      </c>
      <c r="M17043" t="s">
        <v>1344</v>
      </c>
      <c r="N17043" t="str">
        <f t="shared" si="232"/>
        <v xml:space="preserve">19905234    </v>
      </c>
      <c r="O17043">
        <v>230612</v>
      </c>
    </row>
    <row r="17044" spans="1:15" x14ac:dyDescent="0.25">
      <c r="A17044" t="s">
        <v>16</v>
      </c>
      <c r="B17044" t="s">
        <v>3221</v>
      </c>
      <c r="C17044">
        <v>9388</v>
      </c>
      <c r="D17044" t="s">
        <v>3231</v>
      </c>
      <c r="E17044" t="s">
        <v>3232</v>
      </c>
      <c r="F17044">
        <v>62.6</v>
      </c>
      <c r="G17044">
        <v>230630</v>
      </c>
      <c r="H17044">
        <v>4560</v>
      </c>
      <c r="I17044" t="s">
        <v>345</v>
      </c>
      <c r="J17044">
        <v>77.62</v>
      </c>
      <c r="K17044">
        <v>15.02</v>
      </c>
      <c r="L17044">
        <v>69111</v>
      </c>
      <c r="M17044" t="s">
        <v>471</v>
      </c>
      <c r="N17044" t="str">
        <f>"19934338    "</f>
        <v xml:space="preserve">19934338    </v>
      </c>
      <c r="O17044">
        <v>230710</v>
      </c>
    </row>
    <row r="17045" spans="1:15" x14ac:dyDescent="0.25">
      <c r="A17045" t="s">
        <v>16</v>
      </c>
      <c r="B17045" t="s">
        <v>3221</v>
      </c>
      <c r="C17045">
        <v>9388</v>
      </c>
      <c r="D17045" t="s">
        <v>3231</v>
      </c>
      <c r="E17045" t="s">
        <v>3232</v>
      </c>
      <c r="F17045">
        <v>249.33</v>
      </c>
      <c r="G17045">
        <v>230630</v>
      </c>
      <c r="H17045">
        <v>4560</v>
      </c>
      <c r="I17045" t="s">
        <v>345</v>
      </c>
      <c r="J17045">
        <v>309.17</v>
      </c>
      <c r="K17045">
        <v>59.84</v>
      </c>
      <c r="L17045">
        <v>69501</v>
      </c>
      <c r="M17045" t="s">
        <v>185</v>
      </c>
      <c r="N17045" t="str">
        <f>"19934338    "</f>
        <v xml:space="preserve">19934338    </v>
      </c>
      <c r="O17045">
        <v>230710</v>
      </c>
    </row>
    <row r="17046" spans="1:15" x14ac:dyDescent="0.25">
      <c r="A17046" t="s">
        <v>16</v>
      </c>
      <c r="B17046" t="s">
        <v>3221</v>
      </c>
      <c r="C17046">
        <v>9393</v>
      </c>
      <c r="D17046" t="s">
        <v>3231</v>
      </c>
      <c r="E17046" t="s">
        <v>3232</v>
      </c>
      <c r="F17046">
        <v>139.54</v>
      </c>
      <c r="G17046">
        <v>230630</v>
      </c>
      <c r="H17046">
        <v>4560</v>
      </c>
      <c r="I17046" t="s">
        <v>345</v>
      </c>
      <c r="J17046">
        <v>173.03</v>
      </c>
      <c r="K17046">
        <v>33.49</v>
      </c>
      <c r="L17046">
        <v>59501</v>
      </c>
      <c r="M17046" t="s">
        <v>69</v>
      </c>
      <c r="N17046" t="str">
        <f>"19948666    "</f>
        <v xml:space="preserve">19948666    </v>
      </c>
      <c r="O17046">
        <v>230710</v>
      </c>
    </row>
    <row r="17047" spans="1:15" x14ac:dyDescent="0.25">
      <c r="A17047" t="s">
        <v>16</v>
      </c>
      <c r="B17047" t="s">
        <v>3221</v>
      </c>
      <c r="C17047">
        <v>9481</v>
      </c>
      <c r="D17047" t="s">
        <v>3231</v>
      </c>
      <c r="E17047" t="s">
        <v>3232</v>
      </c>
      <c r="F17047">
        <v>226.4</v>
      </c>
      <c r="G17047">
        <v>230630</v>
      </c>
      <c r="H17047">
        <v>4560</v>
      </c>
      <c r="I17047" t="s">
        <v>345</v>
      </c>
      <c r="J17047">
        <v>280.74</v>
      </c>
      <c r="K17047">
        <v>54.34</v>
      </c>
      <c r="L17047">
        <v>59702</v>
      </c>
      <c r="M17047" t="s">
        <v>328</v>
      </c>
      <c r="N17047" t="str">
        <f>"19941533    "</f>
        <v xml:space="preserve">19941533    </v>
      </c>
      <c r="O17047">
        <v>230712</v>
      </c>
    </row>
    <row r="17048" spans="1:15" x14ac:dyDescent="0.25">
      <c r="A17048" t="s">
        <v>16</v>
      </c>
      <c r="B17048" t="s">
        <v>3221</v>
      </c>
      <c r="C17048">
        <v>10066</v>
      </c>
      <c r="D17048" t="s">
        <v>3231</v>
      </c>
      <c r="E17048" t="s">
        <v>3232</v>
      </c>
      <c r="F17048">
        <v>40.840000000000003</v>
      </c>
      <c r="G17048">
        <v>230731</v>
      </c>
      <c r="H17048">
        <v>4560</v>
      </c>
      <c r="I17048" t="s">
        <v>345</v>
      </c>
      <c r="J17048">
        <v>50.64</v>
      </c>
      <c r="K17048">
        <v>9.8000000000000007</v>
      </c>
      <c r="L17048">
        <v>59702</v>
      </c>
      <c r="M17048" t="s">
        <v>328</v>
      </c>
      <c r="N17048" t="str">
        <f>"19976253    "</f>
        <v xml:space="preserve">19976253    </v>
      </c>
      <c r="O17048">
        <v>230808</v>
      </c>
    </row>
    <row r="17049" spans="1:15" x14ac:dyDescent="0.25">
      <c r="A17049" t="s">
        <v>16</v>
      </c>
      <c r="B17049" t="s">
        <v>3221</v>
      </c>
      <c r="C17049">
        <v>10233</v>
      </c>
      <c r="D17049" t="s">
        <v>3231</v>
      </c>
      <c r="E17049" t="s">
        <v>3232</v>
      </c>
      <c r="F17049">
        <v>188.94</v>
      </c>
      <c r="G17049">
        <v>230731</v>
      </c>
      <c r="H17049">
        <v>4560</v>
      </c>
      <c r="I17049" t="s">
        <v>345</v>
      </c>
      <c r="J17049">
        <v>234.29</v>
      </c>
      <c r="K17049">
        <v>45.35</v>
      </c>
      <c r="L17049">
        <v>59501</v>
      </c>
      <c r="M17049" t="s">
        <v>69</v>
      </c>
      <c r="N17049" t="str">
        <f>"19982391    "</f>
        <v xml:space="preserve">19982391    </v>
      </c>
      <c r="O17049">
        <v>230810</v>
      </c>
    </row>
    <row r="17050" spans="1:15" x14ac:dyDescent="0.25">
      <c r="A17050" t="s">
        <v>16</v>
      </c>
      <c r="B17050" t="s">
        <v>3221</v>
      </c>
      <c r="C17050">
        <v>10269</v>
      </c>
      <c r="D17050" t="s">
        <v>3231</v>
      </c>
      <c r="E17050" t="s">
        <v>3232</v>
      </c>
      <c r="F17050">
        <v>341.73</v>
      </c>
      <c r="G17050">
        <v>230731</v>
      </c>
      <c r="H17050">
        <v>4560</v>
      </c>
      <c r="I17050" t="s">
        <v>345</v>
      </c>
      <c r="J17050">
        <v>341.73</v>
      </c>
      <c r="K17050">
        <v>0</v>
      </c>
      <c r="L17050">
        <v>11001</v>
      </c>
      <c r="M17050" t="s">
        <v>326</v>
      </c>
      <c r="N17050" t="str">
        <f>"19976252    "</f>
        <v xml:space="preserve">19976252    </v>
      </c>
      <c r="O17050">
        <v>230814</v>
      </c>
    </row>
    <row r="17051" spans="1:15" x14ac:dyDescent="0.25">
      <c r="A17051" t="s">
        <v>16</v>
      </c>
      <c r="B17051" t="s">
        <v>3221</v>
      </c>
      <c r="C17051">
        <v>10280</v>
      </c>
      <c r="D17051" t="s">
        <v>3231</v>
      </c>
      <c r="E17051" t="s">
        <v>3232</v>
      </c>
      <c r="F17051">
        <v>204.83</v>
      </c>
      <c r="G17051">
        <v>230731</v>
      </c>
      <c r="H17051">
        <v>4560</v>
      </c>
      <c r="I17051" t="s">
        <v>345</v>
      </c>
      <c r="J17051">
        <v>253.99</v>
      </c>
      <c r="K17051">
        <v>49.16</v>
      </c>
      <c r="L17051">
        <v>69501</v>
      </c>
      <c r="M17051" t="s">
        <v>185</v>
      </c>
      <c r="N17051" t="str">
        <f>"19970263    "</f>
        <v xml:space="preserve">19970263    </v>
      </c>
      <c r="O17051">
        <v>230814</v>
      </c>
    </row>
    <row r="17052" spans="1:15" x14ac:dyDescent="0.25">
      <c r="A17052" t="s">
        <v>16</v>
      </c>
      <c r="B17052" t="s">
        <v>3221</v>
      </c>
      <c r="C17052">
        <v>11549</v>
      </c>
      <c r="D17052" t="s">
        <v>3231</v>
      </c>
      <c r="E17052" t="s">
        <v>3232</v>
      </c>
      <c r="F17052">
        <v>142.94999999999999</v>
      </c>
      <c r="G17052">
        <v>230831</v>
      </c>
      <c r="H17052">
        <v>4560</v>
      </c>
      <c r="I17052" t="s">
        <v>345</v>
      </c>
      <c r="J17052">
        <v>177.26</v>
      </c>
      <c r="K17052">
        <v>34.31</v>
      </c>
      <c r="L17052">
        <v>17809</v>
      </c>
      <c r="M17052" t="s">
        <v>376</v>
      </c>
      <c r="N17052" t="str">
        <f>"20004365    "</f>
        <v xml:space="preserve">20004365    </v>
      </c>
      <c r="O17052">
        <v>230907</v>
      </c>
    </row>
    <row r="17053" spans="1:15" x14ac:dyDescent="0.25">
      <c r="A17053" t="s">
        <v>16</v>
      </c>
      <c r="B17053" t="s">
        <v>3221</v>
      </c>
      <c r="C17053">
        <v>11750</v>
      </c>
      <c r="D17053" t="s">
        <v>3231</v>
      </c>
      <c r="E17053" t="s">
        <v>3232</v>
      </c>
      <c r="F17053">
        <v>117.43</v>
      </c>
      <c r="G17053">
        <v>230831</v>
      </c>
      <c r="H17053">
        <v>4560</v>
      </c>
      <c r="I17053" t="s">
        <v>345</v>
      </c>
      <c r="J17053">
        <v>145.61000000000001</v>
      </c>
      <c r="K17053">
        <v>28.18</v>
      </c>
      <c r="L17053">
        <v>59501</v>
      </c>
      <c r="M17053" t="s">
        <v>69</v>
      </c>
      <c r="N17053" t="str">
        <f>"20018681    "</f>
        <v xml:space="preserve">20018681    </v>
      </c>
      <c r="O17053">
        <v>230908</v>
      </c>
    </row>
    <row r="17054" spans="1:15" x14ac:dyDescent="0.25">
      <c r="A17054" t="s">
        <v>16</v>
      </c>
      <c r="B17054" t="s">
        <v>3221</v>
      </c>
      <c r="C17054">
        <v>11785</v>
      </c>
      <c r="D17054" t="s">
        <v>3231</v>
      </c>
      <c r="E17054" t="s">
        <v>3232</v>
      </c>
      <c r="F17054">
        <v>97.73</v>
      </c>
      <c r="G17054">
        <v>230831</v>
      </c>
      <c r="H17054">
        <v>4560</v>
      </c>
      <c r="I17054" t="s">
        <v>345</v>
      </c>
      <c r="J17054">
        <v>121.18</v>
      </c>
      <c r="K17054">
        <v>23.45</v>
      </c>
      <c r="L17054">
        <v>66756</v>
      </c>
      <c r="M17054" t="s">
        <v>209</v>
      </c>
      <c r="N17054" t="str">
        <f>"20004368    "</f>
        <v xml:space="preserve">20004368    </v>
      </c>
      <c r="O17054">
        <v>230911</v>
      </c>
    </row>
    <row r="17055" spans="1:15" x14ac:dyDescent="0.25">
      <c r="A17055" t="s">
        <v>16</v>
      </c>
      <c r="B17055" t="s">
        <v>3221</v>
      </c>
      <c r="C17055">
        <v>11785</v>
      </c>
      <c r="D17055" t="s">
        <v>3231</v>
      </c>
      <c r="E17055" t="s">
        <v>3232</v>
      </c>
      <c r="F17055">
        <v>88.67</v>
      </c>
      <c r="G17055">
        <v>230831</v>
      </c>
      <c r="H17055">
        <v>4560</v>
      </c>
      <c r="I17055" t="s">
        <v>345</v>
      </c>
      <c r="J17055">
        <v>109.95</v>
      </c>
      <c r="K17055">
        <v>21.28</v>
      </c>
      <c r="L17055">
        <v>67522</v>
      </c>
      <c r="M17055" t="s">
        <v>397</v>
      </c>
      <c r="N17055" t="str">
        <f>"20004368    "</f>
        <v xml:space="preserve">20004368    </v>
      </c>
      <c r="O17055">
        <v>230911</v>
      </c>
    </row>
    <row r="17056" spans="1:15" x14ac:dyDescent="0.25">
      <c r="A17056" t="s">
        <v>16</v>
      </c>
      <c r="B17056" t="s">
        <v>3221</v>
      </c>
      <c r="C17056">
        <v>11785</v>
      </c>
      <c r="D17056" t="s">
        <v>3231</v>
      </c>
      <c r="E17056" t="s">
        <v>3232</v>
      </c>
      <c r="F17056">
        <v>71.459999999999994</v>
      </c>
      <c r="G17056">
        <v>230831</v>
      </c>
      <c r="H17056">
        <v>4560</v>
      </c>
      <c r="I17056" t="s">
        <v>345</v>
      </c>
      <c r="J17056">
        <v>88.61</v>
      </c>
      <c r="K17056">
        <v>17.149999999999999</v>
      </c>
      <c r="L17056">
        <v>69702</v>
      </c>
      <c r="M17056" t="s">
        <v>489</v>
      </c>
      <c r="N17056" t="str">
        <f>"20004368    "</f>
        <v xml:space="preserve">20004368    </v>
      </c>
      <c r="O17056">
        <v>230911</v>
      </c>
    </row>
    <row r="17057" spans="1:15" x14ac:dyDescent="0.25">
      <c r="A17057" t="s">
        <v>16</v>
      </c>
      <c r="B17057" t="s">
        <v>3221</v>
      </c>
      <c r="C17057">
        <v>11851</v>
      </c>
      <c r="D17057" t="s">
        <v>3231</v>
      </c>
      <c r="E17057" t="s">
        <v>3232</v>
      </c>
      <c r="F17057">
        <v>534.25</v>
      </c>
      <c r="G17057">
        <v>230831</v>
      </c>
      <c r="H17057">
        <v>4560</v>
      </c>
      <c r="I17057" t="s">
        <v>345</v>
      </c>
      <c r="J17057">
        <v>662.47</v>
      </c>
      <c r="K17057">
        <v>128.22</v>
      </c>
      <c r="L17057">
        <v>56564</v>
      </c>
      <c r="M17057" t="s">
        <v>327</v>
      </c>
      <c r="N17057" t="str">
        <f>"20018680    "</f>
        <v xml:space="preserve">20018680    </v>
      </c>
      <c r="O17057">
        <v>230911</v>
      </c>
    </row>
    <row r="17058" spans="1:15" x14ac:dyDescent="0.25">
      <c r="A17058" t="s">
        <v>16</v>
      </c>
      <c r="B17058" t="s">
        <v>3221</v>
      </c>
      <c r="C17058">
        <v>11981</v>
      </c>
      <c r="D17058" t="s">
        <v>3231</v>
      </c>
      <c r="E17058" t="s">
        <v>3232</v>
      </c>
      <c r="F17058">
        <v>84.52</v>
      </c>
      <c r="G17058">
        <v>230831</v>
      </c>
      <c r="H17058">
        <v>4560</v>
      </c>
      <c r="I17058" t="s">
        <v>345</v>
      </c>
      <c r="J17058">
        <v>104.8</v>
      </c>
      <c r="K17058">
        <v>20.28</v>
      </c>
      <c r="L17058">
        <v>56562</v>
      </c>
      <c r="M17058" t="s">
        <v>126</v>
      </c>
      <c r="N17058" t="str">
        <f>"20011651    "</f>
        <v xml:space="preserve">20011651    </v>
      </c>
      <c r="O17058">
        <v>230912</v>
      </c>
    </row>
    <row r="17059" spans="1:15" x14ac:dyDescent="0.25">
      <c r="A17059" t="s">
        <v>16</v>
      </c>
      <c r="B17059" t="s">
        <v>3221</v>
      </c>
      <c r="C17059">
        <v>11981</v>
      </c>
      <c r="D17059" t="s">
        <v>3231</v>
      </c>
      <c r="E17059" t="s">
        <v>3232</v>
      </c>
      <c r="F17059">
        <v>245.82</v>
      </c>
      <c r="G17059">
        <v>230831</v>
      </c>
      <c r="H17059">
        <v>4560</v>
      </c>
      <c r="I17059" t="s">
        <v>345</v>
      </c>
      <c r="J17059">
        <v>304.82</v>
      </c>
      <c r="K17059">
        <v>59</v>
      </c>
      <c r="L17059">
        <v>59702</v>
      </c>
      <c r="M17059" t="s">
        <v>328</v>
      </c>
      <c r="N17059" t="str">
        <f>"20011651    "</f>
        <v xml:space="preserve">20011651    </v>
      </c>
      <c r="O17059">
        <v>230912</v>
      </c>
    </row>
    <row r="17060" spans="1:15" x14ac:dyDescent="0.25">
      <c r="A17060" t="s">
        <v>16</v>
      </c>
      <c r="B17060" t="s">
        <v>3221</v>
      </c>
      <c r="C17060">
        <v>13245</v>
      </c>
      <c r="D17060" t="s">
        <v>3231</v>
      </c>
      <c r="E17060" t="s">
        <v>3232</v>
      </c>
      <c r="F17060">
        <v>95.27</v>
      </c>
      <c r="G17060">
        <v>230930</v>
      </c>
      <c r="H17060">
        <v>4560</v>
      </c>
      <c r="I17060" t="s">
        <v>345</v>
      </c>
      <c r="J17060">
        <v>118.14</v>
      </c>
      <c r="K17060">
        <v>22.87</v>
      </c>
      <c r="L17060">
        <v>59702</v>
      </c>
      <c r="M17060" t="s">
        <v>328</v>
      </c>
      <c r="N17060" t="str">
        <f>"20056576    "</f>
        <v xml:space="preserve">20056576    </v>
      </c>
      <c r="O17060">
        <v>231006</v>
      </c>
    </row>
    <row r="17061" spans="1:15" x14ac:dyDescent="0.25">
      <c r="A17061" t="s">
        <v>16</v>
      </c>
      <c r="B17061" t="s">
        <v>3221</v>
      </c>
      <c r="C17061">
        <v>13288</v>
      </c>
      <c r="D17061" t="s">
        <v>3231</v>
      </c>
      <c r="E17061" t="s">
        <v>3232</v>
      </c>
      <c r="F17061">
        <v>572.96</v>
      </c>
      <c r="G17061">
        <v>230930</v>
      </c>
      <c r="H17061">
        <v>4560</v>
      </c>
      <c r="I17061" t="s">
        <v>345</v>
      </c>
      <c r="J17061">
        <v>710.47</v>
      </c>
      <c r="K17061">
        <v>137.51</v>
      </c>
      <c r="L17061">
        <v>59702</v>
      </c>
      <c r="M17061" t="s">
        <v>328</v>
      </c>
      <c r="N17061" t="str">
        <f>"20049615    "</f>
        <v xml:space="preserve">20049615    </v>
      </c>
      <c r="O17061">
        <v>231009</v>
      </c>
    </row>
    <row r="17062" spans="1:15" x14ac:dyDescent="0.25">
      <c r="A17062" t="s">
        <v>16</v>
      </c>
      <c r="B17062" t="s">
        <v>3221</v>
      </c>
      <c r="C17062">
        <v>13305</v>
      </c>
      <c r="D17062" t="s">
        <v>3231</v>
      </c>
      <c r="E17062" t="s">
        <v>3232</v>
      </c>
      <c r="F17062">
        <v>69.19</v>
      </c>
      <c r="G17062">
        <v>230930</v>
      </c>
      <c r="H17062">
        <v>4560</v>
      </c>
      <c r="I17062" t="s">
        <v>345</v>
      </c>
      <c r="J17062">
        <v>85.8</v>
      </c>
      <c r="K17062">
        <v>16.61</v>
      </c>
      <c r="L17062">
        <v>17804</v>
      </c>
      <c r="M17062" t="s">
        <v>549</v>
      </c>
      <c r="N17062" t="str">
        <f>"20042437    "</f>
        <v xml:space="preserve">20042437    </v>
      </c>
      <c r="O17062">
        <v>231009</v>
      </c>
    </row>
    <row r="17063" spans="1:15" x14ac:dyDescent="0.25">
      <c r="A17063" t="s">
        <v>16</v>
      </c>
      <c r="B17063" t="s">
        <v>3221</v>
      </c>
      <c r="C17063">
        <v>13305</v>
      </c>
      <c r="D17063" t="s">
        <v>3231</v>
      </c>
      <c r="E17063" t="s">
        <v>3232</v>
      </c>
      <c r="F17063">
        <v>71.45</v>
      </c>
      <c r="G17063">
        <v>230930</v>
      </c>
      <c r="H17063">
        <v>4560</v>
      </c>
      <c r="I17063" t="s">
        <v>345</v>
      </c>
      <c r="J17063">
        <v>88.6</v>
      </c>
      <c r="K17063">
        <v>17.149999999999999</v>
      </c>
      <c r="L17063">
        <v>17809</v>
      </c>
      <c r="M17063" t="s">
        <v>376</v>
      </c>
      <c r="N17063" t="str">
        <f>"20042437    "</f>
        <v xml:space="preserve">20042437    </v>
      </c>
      <c r="O17063">
        <v>231009</v>
      </c>
    </row>
    <row r="17064" spans="1:15" x14ac:dyDescent="0.25">
      <c r="A17064" t="s">
        <v>16</v>
      </c>
      <c r="B17064" t="s">
        <v>3221</v>
      </c>
      <c r="C17064">
        <v>13414</v>
      </c>
      <c r="D17064" t="s">
        <v>3231</v>
      </c>
      <c r="E17064" t="s">
        <v>3232</v>
      </c>
      <c r="F17064">
        <v>264.73</v>
      </c>
      <c r="G17064">
        <v>230930</v>
      </c>
      <c r="H17064">
        <v>4560</v>
      </c>
      <c r="I17064" t="s">
        <v>345</v>
      </c>
      <c r="J17064">
        <v>328.27</v>
      </c>
      <c r="K17064">
        <v>63.54</v>
      </c>
      <c r="L17064">
        <v>56564</v>
      </c>
      <c r="M17064" t="s">
        <v>327</v>
      </c>
      <c r="N17064" t="str">
        <f>"20056574    "</f>
        <v xml:space="preserve">20056574    </v>
      </c>
      <c r="O17064">
        <v>231010</v>
      </c>
    </row>
    <row r="17065" spans="1:15" x14ac:dyDescent="0.25">
      <c r="A17065" t="s">
        <v>16</v>
      </c>
      <c r="B17065" t="s">
        <v>3221</v>
      </c>
      <c r="C17065">
        <v>13679</v>
      </c>
      <c r="D17065" t="s">
        <v>3231</v>
      </c>
      <c r="E17065" t="s">
        <v>3232</v>
      </c>
      <c r="F17065">
        <v>250.84</v>
      </c>
      <c r="G17065">
        <v>230930</v>
      </c>
      <c r="H17065">
        <v>4560</v>
      </c>
      <c r="I17065" t="s">
        <v>345</v>
      </c>
      <c r="J17065">
        <v>311.04000000000002</v>
      </c>
      <c r="K17065">
        <v>60.2</v>
      </c>
      <c r="L17065">
        <v>59501</v>
      </c>
      <c r="M17065" t="s">
        <v>69</v>
      </c>
      <c r="N17065" t="str">
        <f>"20056575    "</f>
        <v xml:space="preserve">20056575    </v>
      </c>
      <c r="O17065">
        <v>231012</v>
      </c>
    </row>
    <row r="17066" spans="1:15" x14ac:dyDescent="0.25">
      <c r="A17066" t="s">
        <v>16</v>
      </c>
      <c r="B17066" t="s">
        <v>3221</v>
      </c>
      <c r="C17066">
        <v>13761</v>
      </c>
      <c r="D17066" t="s">
        <v>3231</v>
      </c>
      <c r="E17066" t="s">
        <v>3232</v>
      </c>
      <c r="F17066">
        <v>95.23</v>
      </c>
      <c r="G17066">
        <v>230930</v>
      </c>
      <c r="H17066">
        <v>4560</v>
      </c>
      <c r="I17066" t="s">
        <v>345</v>
      </c>
      <c r="J17066">
        <v>118.08</v>
      </c>
      <c r="K17066">
        <v>22.85</v>
      </c>
      <c r="L17066">
        <v>66756</v>
      </c>
      <c r="M17066" t="s">
        <v>209</v>
      </c>
      <c r="N17066" t="str">
        <f>"20042440    "</f>
        <v xml:space="preserve">20042440    </v>
      </c>
      <c r="O17066">
        <v>231013</v>
      </c>
    </row>
    <row r="17067" spans="1:15" x14ac:dyDescent="0.25">
      <c r="A17067" t="s">
        <v>16</v>
      </c>
      <c r="B17067" t="s">
        <v>3221</v>
      </c>
      <c r="C17067">
        <v>13761</v>
      </c>
      <c r="D17067" t="s">
        <v>3231</v>
      </c>
      <c r="E17067" t="s">
        <v>3232</v>
      </c>
      <c r="F17067">
        <v>42.66</v>
      </c>
      <c r="G17067">
        <v>230930</v>
      </c>
      <c r="H17067">
        <v>4560</v>
      </c>
      <c r="I17067" t="s">
        <v>345</v>
      </c>
      <c r="J17067">
        <v>52.9</v>
      </c>
      <c r="K17067">
        <v>10.24</v>
      </c>
      <c r="L17067">
        <v>67522</v>
      </c>
      <c r="M17067" t="s">
        <v>397</v>
      </c>
      <c r="N17067" t="str">
        <f>"20042440    "</f>
        <v xml:space="preserve">20042440    </v>
      </c>
      <c r="O17067">
        <v>231013</v>
      </c>
    </row>
    <row r="17068" spans="1:15" x14ac:dyDescent="0.25">
      <c r="A17068" t="s">
        <v>16</v>
      </c>
      <c r="B17068" t="s">
        <v>3221</v>
      </c>
      <c r="C17068">
        <v>13761</v>
      </c>
      <c r="D17068" t="s">
        <v>3231</v>
      </c>
      <c r="E17068" t="s">
        <v>3232</v>
      </c>
      <c r="F17068">
        <v>157.31</v>
      </c>
      <c r="G17068">
        <v>230930</v>
      </c>
      <c r="H17068">
        <v>4560</v>
      </c>
      <c r="I17068" t="s">
        <v>345</v>
      </c>
      <c r="J17068">
        <v>195.07</v>
      </c>
      <c r="K17068">
        <v>37.76</v>
      </c>
      <c r="L17068">
        <v>69501</v>
      </c>
      <c r="M17068" t="s">
        <v>185</v>
      </c>
      <c r="N17068" t="str">
        <f>"20042440    "</f>
        <v xml:space="preserve">20042440    </v>
      </c>
      <c r="O17068">
        <v>231013</v>
      </c>
    </row>
    <row r="17069" spans="1:15" x14ac:dyDescent="0.25">
      <c r="A17069" t="s">
        <v>16</v>
      </c>
      <c r="B17069" t="s">
        <v>3221</v>
      </c>
      <c r="C17069">
        <v>13857</v>
      </c>
      <c r="D17069" t="s">
        <v>3231</v>
      </c>
      <c r="E17069" t="s">
        <v>3232</v>
      </c>
      <c r="F17069">
        <v>11.37</v>
      </c>
      <c r="G17069">
        <v>230930</v>
      </c>
      <c r="H17069">
        <v>4560</v>
      </c>
      <c r="I17069" t="s">
        <v>345</v>
      </c>
      <c r="J17069">
        <v>14.1</v>
      </c>
      <c r="K17069">
        <v>2.73</v>
      </c>
      <c r="L17069">
        <v>17538</v>
      </c>
      <c r="M17069" t="s">
        <v>24</v>
      </c>
      <c r="N17069" t="str">
        <f>"20050931    "</f>
        <v xml:space="preserve">20050931    </v>
      </c>
      <c r="O17069">
        <v>231016</v>
      </c>
    </row>
    <row r="17070" spans="1:15" x14ac:dyDescent="0.25">
      <c r="A17070" t="s">
        <v>16</v>
      </c>
      <c r="B17070" t="s">
        <v>3221</v>
      </c>
      <c r="C17070">
        <v>13857</v>
      </c>
      <c r="D17070" t="s">
        <v>3231</v>
      </c>
      <c r="E17070" t="s">
        <v>3232</v>
      </c>
      <c r="F17070">
        <v>15.76</v>
      </c>
      <c r="G17070">
        <v>230930</v>
      </c>
      <c r="H17070">
        <v>4560</v>
      </c>
      <c r="I17070" t="s">
        <v>345</v>
      </c>
      <c r="J17070">
        <v>19.54</v>
      </c>
      <c r="K17070">
        <v>3.78</v>
      </c>
      <c r="L17070">
        <v>17971</v>
      </c>
      <c r="M17070" t="s">
        <v>138</v>
      </c>
      <c r="N17070" t="str">
        <f>"20050931    "</f>
        <v xml:space="preserve">20050931    </v>
      </c>
      <c r="O17070">
        <v>231016</v>
      </c>
    </row>
    <row r="17071" spans="1:15" x14ac:dyDescent="0.25">
      <c r="A17071" t="s">
        <v>16</v>
      </c>
      <c r="B17071" t="s">
        <v>3221</v>
      </c>
      <c r="C17071">
        <v>14978</v>
      </c>
      <c r="D17071" t="s">
        <v>3231</v>
      </c>
      <c r="E17071" t="s">
        <v>3232</v>
      </c>
      <c r="F17071">
        <v>92.73</v>
      </c>
      <c r="G17071">
        <v>231031</v>
      </c>
      <c r="H17071">
        <v>4560</v>
      </c>
      <c r="I17071" t="s">
        <v>345</v>
      </c>
      <c r="J17071">
        <v>114.98</v>
      </c>
      <c r="K17071">
        <v>22.25</v>
      </c>
      <c r="L17071">
        <v>56559</v>
      </c>
      <c r="M17071" t="s">
        <v>129</v>
      </c>
      <c r="N17071" t="str">
        <f>"20088231    "</f>
        <v xml:space="preserve">20088231    </v>
      </c>
      <c r="O17071">
        <v>231107</v>
      </c>
    </row>
    <row r="17072" spans="1:15" x14ac:dyDescent="0.25">
      <c r="A17072" t="s">
        <v>16</v>
      </c>
      <c r="B17072" t="s">
        <v>3221</v>
      </c>
      <c r="C17072">
        <v>14978</v>
      </c>
      <c r="D17072" t="s">
        <v>3231</v>
      </c>
      <c r="E17072" t="s">
        <v>3232</v>
      </c>
      <c r="F17072">
        <v>145.51</v>
      </c>
      <c r="G17072">
        <v>231031</v>
      </c>
      <c r="H17072">
        <v>4560</v>
      </c>
      <c r="I17072" t="s">
        <v>345</v>
      </c>
      <c r="J17072">
        <v>180.43</v>
      </c>
      <c r="K17072">
        <v>34.92</v>
      </c>
      <c r="L17072">
        <v>59702</v>
      </c>
      <c r="M17072" t="s">
        <v>328</v>
      </c>
      <c r="N17072" t="str">
        <f>"20088231    "</f>
        <v xml:space="preserve">20088231    </v>
      </c>
      <c r="O17072">
        <v>231107</v>
      </c>
    </row>
    <row r="17073" spans="1:15" x14ac:dyDescent="0.25">
      <c r="A17073" t="s">
        <v>16</v>
      </c>
      <c r="B17073" t="s">
        <v>3221</v>
      </c>
      <c r="C17073">
        <v>14978</v>
      </c>
      <c r="D17073" t="s">
        <v>3231</v>
      </c>
      <c r="E17073" t="s">
        <v>3232</v>
      </c>
      <c r="F17073">
        <v>61.76</v>
      </c>
      <c r="G17073">
        <v>231031</v>
      </c>
      <c r="H17073">
        <v>4560</v>
      </c>
      <c r="I17073" t="s">
        <v>345</v>
      </c>
      <c r="J17073">
        <v>76.58</v>
      </c>
      <c r="K17073">
        <v>14.82</v>
      </c>
      <c r="L17073">
        <v>59801</v>
      </c>
      <c r="M17073" t="s">
        <v>3301</v>
      </c>
      <c r="N17073" t="str">
        <f>"20088231    "</f>
        <v xml:space="preserve">20088231    </v>
      </c>
      <c r="O17073">
        <v>231107</v>
      </c>
    </row>
    <row r="17074" spans="1:15" x14ac:dyDescent="0.25">
      <c r="A17074" t="s">
        <v>16</v>
      </c>
      <c r="B17074" t="s">
        <v>3221</v>
      </c>
      <c r="C17074">
        <v>14980</v>
      </c>
      <c r="D17074" t="s">
        <v>3231</v>
      </c>
      <c r="E17074" t="s">
        <v>3232</v>
      </c>
      <c r="F17074">
        <v>266.26</v>
      </c>
      <c r="G17074">
        <v>231031</v>
      </c>
      <c r="H17074">
        <v>4560</v>
      </c>
      <c r="I17074" t="s">
        <v>345</v>
      </c>
      <c r="J17074">
        <v>330.16</v>
      </c>
      <c r="K17074">
        <v>63.9</v>
      </c>
      <c r="L17074">
        <v>56564</v>
      </c>
      <c r="M17074" t="s">
        <v>327</v>
      </c>
      <c r="N17074" t="str">
        <f>"20095291    "</f>
        <v xml:space="preserve">20095291    </v>
      </c>
      <c r="O17074">
        <v>231107</v>
      </c>
    </row>
    <row r="17075" spans="1:15" x14ac:dyDescent="0.25">
      <c r="A17075" t="s">
        <v>16</v>
      </c>
      <c r="B17075" t="s">
        <v>3221</v>
      </c>
      <c r="C17075">
        <v>14983</v>
      </c>
      <c r="D17075" t="s">
        <v>3231</v>
      </c>
      <c r="E17075" t="s">
        <v>3232</v>
      </c>
      <c r="F17075">
        <v>187.21</v>
      </c>
      <c r="G17075">
        <v>231031</v>
      </c>
      <c r="H17075">
        <v>4560</v>
      </c>
      <c r="I17075" t="s">
        <v>345</v>
      </c>
      <c r="J17075">
        <v>232.14</v>
      </c>
      <c r="K17075">
        <v>44.93</v>
      </c>
      <c r="L17075">
        <v>17809</v>
      </c>
      <c r="M17075" t="s">
        <v>376</v>
      </c>
      <c r="N17075" t="str">
        <f>"20080972    "</f>
        <v xml:space="preserve">20080972    </v>
      </c>
      <c r="O17075">
        <v>231107</v>
      </c>
    </row>
    <row r="17076" spans="1:15" x14ac:dyDescent="0.25">
      <c r="A17076" t="s">
        <v>16</v>
      </c>
      <c r="B17076" t="s">
        <v>3221</v>
      </c>
      <c r="C17076">
        <v>15032</v>
      </c>
      <c r="D17076" t="s">
        <v>3231</v>
      </c>
      <c r="E17076" t="s">
        <v>3232</v>
      </c>
      <c r="F17076">
        <v>88.76</v>
      </c>
      <c r="G17076">
        <v>231031</v>
      </c>
      <c r="H17076">
        <v>4560</v>
      </c>
      <c r="I17076" t="s">
        <v>345</v>
      </c>
      <c r="J17076">
        <v>110.06</v>
      </c>
      <c r="K17076">
        <v>21.3</v>
      </c>
      <c r="L17076">
        <v>13601</v>
      </c>
      <c r="M17076" t="s">
        <v>147</v>
      </c>
      <c r="N17076" t="str">
        <f>"20089609    "</f>
        <v xml:space="preserve">20089609    </v>
      </c>
      <c r="O17076">
        <v>231108</v>
      </c>
    </row>
    <row r="17077" spans="1:15" x14ac:dyDescent="0.25">
      <c r="A17077" t="s">
        <v>16</v>
      </c>
      <c r="B17077" t="s">
        <v>3221</v>
      </c>
      <c r="C17077">
        <v>15032</v>
      </c>
      <c r="D17077" t="s">
        <v>3231</v>
      </c>
      <c r="E17077" t="s">
        <v>3232</v>
      </c>
      <c r="F17077">
        <v>13.72</v>
      </c>
      <c r="G17077">
        <v>231031</v>
      </c>
      <c r="H17077">
        <v>4560</v>
      </c>
      <c r="I17077" t="s">
        <v>345</v>
      </c>
      <c r="J17077">
        <v>17.010000000000002</v>
      </c>
      <c r="K17077">
        <v>3.29</v>
      </c>
      <c r="L17077">
        <v>17526</v>
      </c>
      <c r="M17077" t="s">
        <v>437</v>
      </c>
      <c r="N17077" t="str">
        <f>"20089609    "</f>
        <v xml:space="preserve">20089609    </v>
      </c>
      <c r="O17077">
        <v>231108</v>
      </c>
    </row>
    <row r="17078" spans="1:15" x14ac:dyDescent="0.25">
      <c r="A17078" t="s">
        <v>16</v>
      </c>
      <c r="B17078" t="s">
        <v>3221</v>
      </c>
      <c r="C17078">
        <v>15350</v>
      </c>
      <c r="D17078" t="s">
        <v>3231</v>
      </c>
      <c r="E17078" t="s">
        <v>3232</v>
      </c>
      <c r="F17078">
        <v>318.22000000000003</v>
      </c>
      <c r="G17078">
        <v>231031</v>
      </c>
      <c r="H17078">
        <v>4560</v>
      </c>
      <c r="I17078" t="s">
        <v>345</v>
      </c>
      <c r="J17078">
        <v>318.22000000000003</v>
      </c>
      <c r="K17078">
        <v>0</v>
      </c>
      <c r="L17078">
        <v>11001</v>
      </c>
      <c r="M17078" t="s">
        <v>326</v>
      </c>
      <c r="N17078" t="str">
        <f>"20088230    "</f>
        <v xml:space="preserve">20088230    </v>
      </c>
      <c r="O17078">
        <v>231113</v>
      </c>
    </row>
    <row r="17079" spans="1:15" x14ac:dyDescent="0.25">
      <c r="A17079" t="s">
        <v>16</v>
      </c>
      <c r="B17079" t="s">
        <v>3221</v>
      </c>
      <c r="C17079">
        <v>15353</v>
      </c>
      <c r="D17079" t="s">
        <v>3231</v>
      </c>
      <c r="E17079" t="s">
        <v>3232</v>
      </c>
      <c r="F17079">
        <v>73.17</v>
      </c>
      <c r="G17079">
        <v>231031</v>
      </c>
      <c r="H17079">
        <v>4560</v>
      </c>
      <c r="I17079" t="s">
        <v>345</v>
      </c>
      <c r="J17079">
        <v>90.73</v>
      </c>
      <c r="K17079">
        <v>17.559999999999999</v>
      </c>
      <c r="L17079">
        <v>67522</v>
      </c>
      <c r="M17079" t="s">
        <v>397</v>
      </c>
      <c r="N17079" t="str">
        <f>"20080975    "</f>
        <v xml:space="preserve">20080975    </v>
      </c>
      <c r="O17079">
        <v>231113</v>
      </c>
    </row>
    <row r="17080" spans="1:15" x14ac:dyDescent="0.25">
      <c r="A17080" t="s">
        <v>16</v>
      </c>
      <c r="B17080" t="s">
        <v>3221</v>
      </c>
      <c r="C17080">
        <v>15353</v>
      </c>
      <c r="D17080" t="s">
        <v>3231</v>
      </c>
      <c r="E17080" t="s">
        <v>3232</v>
      </c>
      <c r="F17080">
        <v>71.44</v>
      </c>
      <c r="G17080">
        <v>231031</v>
      </c>
      <c r="H17080">
        <v>4560</v>
      </c>
      <c r="I17080" t="s">
        <v>345</v>
      </c>
      <c r="J17080">
        <v>88.58</v>
      </c>
      <c r="K17080">
        <v>17.14</v>
      </c>
      <c r="L17080">
        <v>69111</v>
      </c>
      <c r="M17080" t="s">
        <v>471</v>
      </c>
      <c r="N17080" t="str">
        <f>"20080975    "</f>
        <v xml:space="preserve">20080975    </v>
      </c>
      <c r="O17080">
        <v>231113</v>
      </c>
    </row>
    <row r="17081" spans="1:15" x14ac:dyDescent="0.25">
      <c r="A17081" t="s">
        <v>16</v>
      </c>
      <c r="B17081" t="s">
        <v>3221</v>
      </c>
      <c r="C17081">
        <v>15353</v>
      </c>
      <c r="D17081" t="s">
        <v>3231</v>
      </c>
      <c r="E17081" t="s">
        <v>3232</v>
      </c>
      <c r="F17081">
        <v>91.9</v>
      </c>
      <c r="G17081">
        <v>231031</v>
      </c>
      <c r="H17081">
        <v>4560</v>
      </c>
      <c r="I17081" t="s">
        <v>345</v>
      </c>
      <c r="J17081">
        <v>113.96</v>
      </c>
      <c r="K17081">
        <v>22.06</v>
      </c>
      <c r="L17081">
        <v>69501</v>
      </c>
      <c r="M17081" t="s">
        <v>185</v>
      </c>
      <c r="N17081" t="str">
        <f>"20080975    "</f>
        <v xml:space="preserve">20080975    </v>
      </c>
      <c r="O17081">
        <v>231113</v>
      </c>
    </row>
    <row r="17082" spans="1:15" x14ac:dyDescent="0.25">
      <c r="A17082" t="s">
        <v>16</v>
      </c>
      <c r="B17082" t="s">
        <v>3221</v>
      </c>
      <c r="C17082">
        <v>15414</v>
      </c>
      <c r="D17082" t="s">
        <v>3231</v>
      </c>
      <c r="E17082" t="s">
        <v>3232</v>
      </c>
      <c r="F17082">
        <v>71.400000000000006</v>
      </c>
      <c r="G17082">
        <v>231031</v>
      </c>
      <c r="H17082">
        <v>4560</v>
      </c>
      <c r="I17082" t="s">
        <v>345</v>
      </c>
      <c r="J17082">
        <v>88.54</v>
      </c>
      <c r="K17082">
        <v>17.14</v>
      </c>
      <c r="L17082">
        <v>59702</v>
      </c>
      <c r="M17082" t="s">
        <v>328</v>
      </c>
      <c r="N17082" t="str">
        <f>"20095293    "</f>
        <v xml:space="preserve">20095293    </v>
      </c>
      <c r="O17082">
        <v>231113</v>
      </c>
    </row>
    <row r="17083" spans="1:15" x14ac:dyDescent="0.25">
      <c r="A17083" t="s">
        <v>16</v>
      </c>
      <c r="B17083" t="s">
        <v>3221</v>
      </c>
      <c r="C17083">
        <v>15417</v>
      </c>
      <c r="D17083" t="s">
        <v>3231</v>
      </c>
      <c r="E17083" t="s">
        <v>3232</v>
      </c>
      <c r="F17083">
        <v>204.63</v>
      </c>
      <c r="G17083">
        <v>231031</v>
      </c>
      <c r="H17083">
        <v>4560</v>
      </c>
      <c r="I17083" t="s">
        <v>345</v>
      </c>
      <c r="J17083">
        <v>253.74</v>
      </c>
      <c r="K17083">
        <v>49.11</v>
      </c>
      <c r="L17083">
        <v>59501</v>
      </c>
      <c r="M17083" t="s">
        <v>69</v>
      </c>
      <c r="N17083" t="str">
        <f>"20095292    "</f>
        <v xml:space="preserve">20095292    </v>
      </c>
      <c r="O17083">
        <v>231113</v>
      </c>
    </row>
    <row r="17084" spans="1:15" x14ac:dyDescent="0.25">
      <c r="A17084" t="s">
        <v>16</v>
      </c>
      <c r="B17084" t="s">
        <v>3221</v>
      </c>
      <c r="C17084">
        <v>16914</v>
      </c>
      <c r="D17084" t="s">
        <v>3231</v>
      </c>
      <c r="E17084" t="s">
        <v>3232</v>
      </c>
      <c r="F17084">
        <v>95.23</v>
      </c>
      <c r="G17084">
        <v>231130</v>
      </c>
      <c r="H17084">
        <v>4560</v>
      </c>
      <c r="I17084" t="s">
        <v>345</v>
      </c>
      <c r="J17084">
        <v>118.08</v>
      </c>
      <c r="K17084">
        <v>22.85</v>
      </c>
      <c r="L17084">
        <v>17806</v>
      </c>
      <c r="M17084" t="s">
        <v>265</v>
      </c>
      <c r="N17084" t="str">
        <f>"20120344    "</f>
        <v xml:space="preserve">20120344    </v>
      </c>
      <c r="O17084">
        <v>231211</v>
      </c>
    </row>
    <row r="17085" spans="1:15" x14ac:dyDescent="0.25">
      <c r="A17085" t="s">
        <v>16</v>
      </c>
      <c r="B17085" t="s">
        <v>3221</v>
      </c>
      <c r="C17085">
        <v>16914</v>
      </c>
      <c r="D17085" t="s">
        <v>3231</v>
      </c>
      <c r="E17085" t="s">
        <v>3232</v>
      </c>
      <c r="F17085">
        <v>95.23</v>
      </c>
      <c r="G17085">
        <v>231130</v>
      </c>
      <c r="H17085">
        <v>4560</v>
      </c>
      <c r="I17085" t="s">
        <v>345</v>
      </c>
      <c r="J17085">
        <v>118.08</v>
      </c>
      <c r="K17085">
        <v>22.85</v>
      </c>
      <c r="L17085">
        <v>17809</v>
      </c>
      <c r="M17085" t="s">
        <v>376</v>
      </c>
      <c r="N17085" t="str">
        <f>"20120344    "</f>
        <v xml:space="preserve">20120344    </v>
      </c>
      <c r="O17085">
        <v>231211</v>
      </c>
    </row>
    <row r="17086" spans="1:15" x14ac:dyDescent="0.25">
      <c r="A17086" t="s">
        <v>16</v>
      </c>
      <c r="B17086" t="s">
        <v>3221</v>
      </c>
      <c r="C17086">
        <v>16920</v>
      </c>
      <c r="D17086" t="s">
        <v>3231</v>
      </c>
      <c r="E17086" t="s">
        <v>3232</v>
      </c>
      <c r="F17086">
        <v>339.94</v>
      </c>
      <c r="G17086">
        <v>231130</v>
      </c>
      <c r="H17086">
        <v>4560</v>
      </c>
      <c r="I17086" t="s">
        <v>345</v>
      </c>
      <c r="J17086">
        <v>421.52</v>
      </c>
      <c r="K17086">
        <v>81.58</v>
      </c>
      <c r="L17086">
        <v>59702</v>
      </c>
      <c r="M17086" t="s">
        <v>328</v>
      </c>
      <c r="N17086" t="str">
        <f>"20127694    "</f>
        <v xml:space="preserve">20127694    </v>
      </c>
      <c r="O17086">
        <v>231211</v>
      </c>
    </row>
    <row r="17087" spans="1:15" x14ac:dyDescent="0.25">
      <c r="A17087" t="s">
        <v>16</v>
      </c>
      <c r="B17087" t="s">
        <v>3221</v>
      </c>
      <c r="C17087">
        <v>16920</v>
      </c>
      <c r="D17087" t="s">
        <v>3231</v>
      </c>
      <c r="E17087" t="s">
        <v>3232</v>
      </c>
      <c r="F17087">
        <v>42.51</v>
      </c>
      <c r="G17087">
        <v>231130</v>
      </c>
      <c r="H17087">
        <v>4560</v>
      </c>
      <c r="I17087" t="s">
        <v>345</v>
      </c>
      <c r="J17087">
        <v>52.71</v>
      </c>
      <c r="K17087">
        <v>10.199999999999999</v>
      </c>
      <c r="L17087">
        <v>59801</v>
      </c>
      <c r="M17087" t="s">
        <v>3301</v>
      </c>
      <c r="N17087" t="str">
        <f>"20127694    "</f>
        <v xml:space="preserve">20127694    </v>
      </c>
      <c r="O17087">
        <v>231211</v>
      </c>
    </row>
    <row r="17088" spans="1:15" x14ac:dyDescent="0.25">
      <c r="A17088" t="s">
        <v>16</v>
      </c>
      <c r="B17088" t="s">
        <v>3221</v>
      </c>
      <c r="C17088">
        <v>16959</v>
      </c>
      <c r="D17088" t="s">
        <v>3231</v>
      </c>
      <c r="E17088" t="s">
        <v>3232</v>
      </c>
      <c r="F17088">
        <v>95.35</v>
      </c>
      <c r="G17088">
        <v>231204</v>
      </c>
      <c r="H17088">
        <v>4560</v>
      </c>
      <c r="I17088" t="s">
        <v>345</v>
      </c>
      <c r="J17088">
        <v>118.23</v>
      </c>
      <c r="K17088">
        <v>22.88</v>
      </c>
      <c r="L17088">
        <v>56564</v>
      </c>
      <c r="M17088" t="s">
        <v>327</v>
      </c>
      <c r="N17088" t="str">
        <f>"20134588    "</f>
        <v xml:space="preserve">20134588    </v>
      </c>
      <c r="O17088">
        <v>231211</v>
      </c>
    </row>
    <row r="17089" spans="1:15" x14ac:dyDescent="0.25">
      <c r="A17089" t="s">
        <v>16</v>
      </c>
      <c r="B17089" t="s">
        <v>3221</v>
      </c>
      <c r="C17089">
        <v>17032</v>
      </c>
      <c r="D17089" t="s">
        <v>3231</v>
      </c>
      <c r="E17089" t="s">
        <v>3232</v>
      </c>
      <c r="F17089">
        <v>323.27</v>
      </c>
      <c r="G17089">
        <v>231130</v>
      </c>
      <c r="H17089">
        <v>4560</v>
      </c>
      <c r="I17089" t="s">
        <v>345</v>
      </c>
      <c r="J17089">
        <v>400.85</v>
      </c>
      <c r="K17089">
        <v>77.58</v>
      </c>
      <c r="L17089">
        <v>59501</v>
      </c>
      <c r="M17089" t="s">
        <v>69</v>
      </c>
      <c r="N17089" t="str">
        <f>"20134589    "</f>
        <v xml:space="preserve">20134589    </v>
      </c>
      <c r="O17089">
        <v>231212</v>
      </c>
    </row>
    <row r="17090" spans="1:15" x14ac:dyDescent="0.25">
      <c r="A17090" t="s">
        <v>16</v>
      </c>
      <c r="B17090" t="s">
        <v>3221</v>
      </c>
      <c r="C17090">
        <v>17040</v>
      </c>
      <c r="D17090" t="s">
        <v>3231</v>
      </c>
      <c r="E17090" t="s">
        <v>3232</v>
      </c>
      <c r="F17090">
        <v>87.62</v>
      </c>
      <c r="G17090">
        <v>231130</v>
      </c>
      <c r="H17090">
        <v>4560</v>
      </c>
      <c r="I17090" t="s">
        <v>345</v>
      </c>
      <c r="J17090">
        <v>108.65</v>
      </c>
      <c r="K17090">
        <v>21.03</v>
      </c>
      <c r="L17090">
        <v>59702</v>
      </c>
      <c r="M17090" t="s">
        <v>328</v>
      </c>
      <c r="N17090" t="str">
        <f>"20125108    "</f>
        <v xml:space="preserve">20125108    </v>
      </c>
      <c r="O17090">
        <v>231212</v>
      </c>
    </row>
    <row r="17091" spans="1:15" x14ac:dyDescent="0.25">
      <c r="A17091" t="s">
        <v>16</v>
      </c>
      <c r="B17091" t="s">
        <v>3221</v>
      </c>
      <c r="C17091">
        <v>17390</v>
      </c>
      <c r="D17091" t="s">
        <v>3231</v>
      </c>
      <c r="E17091" t="s">
        <v>3232</v>
      </c>
      <c r="F17091">
        <v>38.71</v>
      </c>
      <c r="G17091">
        <v>231130</v>
      </c>
      <c r="H17091">
        <v>4560</v>
      </c>
      <c r="I17091" t="s">
        <v>345</v>
      </c>
      <c r="J17091">
        <v>48</v>
      </c>
      <c r="K17091">
        <v>9.2899999999999991</v>
      </c>
      <c r="L17091">
        <v>13601</v>
      </c>
      <c r="M17091" t="s">
        <v>147</v>
      </c>
      <c r="N17091" t="str">
        <f>"20129027    "</f>
        <v xml:space="preserve">20129027    </v>
      </c>
      <c r="O17091">
        <v>231213</v>
      </c>
    </row>
    <row r="17092" spans="1:15" x14ac:dyDescent="0.25">
      <c r="A17092" t="s">
        <v>16</v>
      </c>
      <c r="B17092" t="s">
        <v>3221</v>
      </c>
      <c r="C17092">
        <v>17390</v>
      </c>
      <c r="D17092" t="s">
        <v>3231</v>
      </c>
      <c r="E17092" t="s">
        <v>3232</v>
      </c>
      <c r="F17092">
        <v>166.79</v>
      </c>
      <c r="G17092">
        <v>231130</v>
      </c>
      <c r="H17092">
        <v>4560</v>
      </c>
      <c r="I17092" t="s">
        <v>345</v>
      </c>
      <c r="J17092">
        <v>206.82</v>
      </c>
      <c r="K17092">
        <v>40.03</v>
      </c>
      <c r="L17092">
        <v>17538</v>
      </c>
      <c r="M17092" t="s">
        <v>24</v>
      </c>
      <c r="N17092" t="str">
        <f>"20129027    "</f>
        <v xml:space="preserve">20129027    </v>
      </c>
      <c r="O17092">
        <v>231213</v>
      </c>
    </row>
    <row r="17093" spans="1:15" x14ac:dyDescent="0.25">
      <c r="A17093" t="s">
        <v>16</v>
      </c>
      <c r="B17093" t="s">
        <v>3221</v>
      </c>
      <c r="C17093">
        <v>17390</v>
      </c>
      <c r="D17093" t="s">
        <v>3231</v>
      </c>
      <c r="E17093" t="s">
        <v>3232</v>
      </c>
      <c r="F17093">
        <v>30.19</v>
      </c>
      <c r="G17093">
        <v>231130</v>
      </c>
      <c r="H17093">
        <v>4560</v>
      </c>
      <c r="I17093" t="s">
        <v>345</v>
      </c>
      <c r="J17093">
        <v>37.44</v>
      </c>
      <c r="K17093">
        <v>7.25</v>
      </c>
      <c r="L17093">
        <v>17862</v>
      </c>
      <c r="M17093" t="s">
        <v>319</v>
      </c>
      <c r="N17093" t="str">
        <f>"20129027    "</f>
        <v xml:space="preserve">20129027    </v>
      </c>
      <c r="O17093">
        <v>231213</v>
      </c>
    </row>
    <row r="17094" spans="1:15" x14ac:dyDescent="0.25">
      <c r="A17094" t="s">
        <v>16</v>
      </c>
      <c r="B17094" t="s">
        <v>3221</v>
      </c>
      <c r="C17094">
        <v>17390</v>
      </c>
      <c r="D17094" t="s">
        <v>3231</v>
      </c>
      <c r="E17094" t="s">
        <v>3232</v>
      </c>
      <c r="F17094">
        <v>66.680000000000007</v>
      </c>
      <c r="G17094">
        <v>231130</v>
      </c>
      <c r="H17094">
        <v>4560</v>
      </c>
      <c r="I17094" t="s">
        <v>345</v>
      </c>
      <c r="J17094">
        <v>82.68</v>
      </c>
      <c r="K17094">
        <v>16</v>
      </c>
      <c r="L17094">
        <v>17974</v>
      </c>
      <c r="M17094" t="s">
        <v>460</v>
      </c>
      <c r="N17094" t="str">
        <f>"20129027    "</f>
        <v xml:space="preserve">20129027    </v>
      </c>
      <c r="O17094">
        <v>231213</v>
      </c>
    </row>
    <row r="17095" spans="1:15" x14ac:dyDescent="0.25">
      <c r="A17095" t="s">
        <v>16</v>
      </c>
      <c r="B17095" t="s">
        <v>3221</v>
      </c>
      <c r="C17095">
        <v>18739</v>
      </c>
      <c r="D17095" t="s">
        <v>3231</v>
      </c>
      <c r="E17095" t="s">
        <v>3232</v>
      </c>
      <c r="F17095">
        <v>179.57</v>
      </c>
      <c r="G17095">
        <v>231231</v>
      </c>
      <c r="H17095">
        <v>4560</v>
      </c>
      <c r="I17095" t="s">
        <v>345</v>
      </c>
      <c r="J17095">
        <v>179.57</v>
      </c>
      <c r="K17095">
        <v>0</v>
      </c>
      <c r="L17095">
        <v>11001</v>
      </c>
      <c r="M17095" t="s">
        <v>326</v>
      </c>
      <c r="N17095" t="str">
        <f>"20167676    "</f>
        <v xml:space="preserve">20167676    </v>
      </c>
      <c r="O17095">
        <v>240105</v>
      </c>
    </row>
    <row r="17096" spans="1:15" x14ac:dyDescent="0.25">
      <c r="A17096" t="s">
        <v>16</v>
      </c>
      <c r="B17096" t="s">
        <v>3221</v>
      </c>
      <c r="C17096">
        <v>18859</v>
      </c>
      <c r="D17096" t="s">
        <v>3231</v>
      </c>
      <c r="E17096" t="s">
        <v>3232</v>
      </c>
      <c r="F17096">
        <v>287.04000000000002</v>
      </c>
      <c r="G17096">
        <v>231231</v>
      </c>
      <c r="H17096">
        <v>4560</v>
      </c>
      <c r="I17096" t="s">
        <v>345</v>
      </c>
      <c r="J17096">
        <v>355.93</v>
      </c>
      <c r="K17096">
        <v>68.89</v>
      </c>
      <c r="L17096">
        <v>59501</v>
      </c>
      <c r="M17096" t="s">
        <v>69</v>
      </c>
      <c r="N17096" t="str">
        <f>"20174503    "</f>
        <v xml:space="preserve">20174503    </v>
      </c>
      <c r="O17096">
        <v>240108</v>
      </c>
    </row>
    <row r="17097" spans="1:15" x14ac:dyDescent="0.25">
      <c r="A17097" t="s">
        <v>16</v>
      </c>
      <c r="B17097" t="s">
        <v>3221</v>
      </c>
      <c r="C17097">
        <v>18934</v>
      </c>
      <c r="D17097" t="s">
        <v>3231</v>
      </c>
      <c r="E17097" t="s">
        <v>3232</v>
      </c>
      <c r="F17097">
        <v>56.27</v>
      </c>
      <c r="G17097">
        <v>231231</v>
      </c>
      <c r="H17097">
        <v>4560</v>
      </c>
      <c r="I17097" t="s">
        <v>345</v>
      </c>
      <c r="J17097">
        <v>69.78</v>
      </c>
      <c r="K17097">
        <v>13.51</v>
      </c>
      <c r="L17097">
        <v>56559</v>
      </c>
      <c r="M17097" t="s">
        <v>129</v>
      </c>
      <c r="N17097" t="str">
        <f>"20167677    "</f>
        <v xml:space="preserve">20167677    </v>
      </c>
      <c r="O17097">
        <v>240108</v>
      </c>
    </row>
    <row r="17098" spans="1:15" x14ac:dyDescent="0.25">
      <c r="A17098" t="s">
        <v>16</v>
      </c>
      <c r="B17098" t="s">
        <v>3221</v>
      </c>
      <c r="C17098">
        <v>18934</v>
      </c>
      <c r="D17098" t="s">
        <v>3231</v>
      </c>
      <c r="E17098" t="s">
        <v>3232</v>
      </c>
      <c r="F17098">
        <v>349.29</v>
      </c>
      <c r="G17098">
        <v>231231</v>
      </c>
      <c r="H17098">
        <v>4560</v>
      </c>
      <c r="I17098" t="s">
        <v>345</v>
      </c>
      <c r="J17098">
        <v>433.12</v>
      </c>
      <c r="K17098">
        <v>83.83</v>
      </c>
      <c r="L17098">
        <v>59702</v>
      </c>
      <c r="M17098" t="s">
        <v>328</v>
      </c>
      <c r="N17098" t="str">
        <f>"20167677    "</f>
        <v xml:space="preserve">20167677    </v>
      </c>
      <c r="O17098">
        <v>240108</v>
      </c>
    </row>
    <row r="17099" spans="1:15" x14ac:dyDescent="0.25">
      <c r="A17099" t="s">
        <v>16</v>
      </c>
      <c r="B17099" t="s">
        <v>3221</v>
      </c>
      <c r="C17099">
        <v>18969</v>
      </c>
      <c r="D17099" t="s">
        <v>3231</v>
      </c>
      <c r="E17099" t="s">
        <v>3232</v>
      </c>
      <c r="F17099">
        <v>166.6</v>
      </c>
      <c r="G17099">
        <v>231231</v>
      </c>
      <c r="H17099">
        <v>4560</v>
      </c>
      <c r="I17099" t="s">
        <v>345</v>
      </c>
      <c r="J17099">
        <v>206.58</v>
      </c>
      <c r="K17099">
        <v>39.979999999999997</v>
      </c>
      <c r="L17099">
        <v>56564</v>
      </c>
      <c r="M17099" t="s">
        <v>327</v>
      </c>
      <c r="N17099" t="str">
        <f>"20174502    "</f>
        <v xml:space="preserve">20174502    </v>
      </c>
      <c r="O17099">
        <v>240109</v>
      </c>
    </row>
    <row r="17100" spans="1:15" x14ac:dyDescent="0.25">
      <c r="A17100" t="s">
        <v>16</v>
      </c>
      <c r="B17100" t="s">
        <v>3221</v>
      </c>
      <c r="C17100">
        <v>19107</v>
      </c>
      <c r="D17100" t="s">
        <v>3231</v>
      </c>
      <c r="E17100" t="s">
        <v>3232</v>
      </c>
      <c r="F17100">
        <v>81.52</v>
      </c>
      <c r="G17100">
        <v>231231</v>
      </c>
      <c r="H17100">
        <v>4560</v>
      </c>
      <c r="I17100" t="s">
        <v>345</v>
      </c>
      <c r="J17100">
        <v>101.08</v>
      </c>
      <c r="K17100">
        <v>19.559999999999999</v>
      </c>
      <c r="L17100">
        <v>17804</v>
      </c>
      <c r="M17100" t="s">
        <v>549</v>
      </c>
      <c r="N17100" t="str">
        <f>"20160412    "</f>
        <v xml:space="preserve">20160412    </v>
      </c>
      <c r="O17100">
        <v>240110</v>
      </c>
    </row>
    <row r="17101" spans="1:15" x14ac:dyDescent="0.25">
      <c r="A17101" t="s">
        <v>16</v>
      </c>
      <c r="B17101" t="s">
        <v>3221</v>
      </c>
      <c r="C17101">
        <v>19107</v>
      </c>
      <c r="D17101" t="s">
        <v>3231</v>
      </c>
      <c r="E17101" t="s">
        <v>3232</v>
      </c>
      <c r="F17101">
        <v>101.28</v>
      </c>
      <c r="G17101">
        <v>231231</v>
      </c>
      <c r="H17101">
        <v>4560</v>
      </c>
      <c r="I17101" t="s">
        <v>345</v>
      </c>
      <c r="J17101">
        <v>125.59</v>
      </c>
      <c r="K17101">
        <v>24.31</v>
      </c>
      <c r="L17101">
        <v>17972</v>
      </c>
      <c r="M17101" t="s">
        <v>248</v>
      </c>
      <c r="N17101" t="str">
        <f>"20160412    "</f>
        <v xml:space="preserve">20160412    </v>
      </c>
      <c r="O17101">
        <v>240110</v>
      </c>
    </row>
    <row r="17102" spans="1:15" x14ac:dyDescent="0.25">
      <c r="A17102" t="s">
        <v>16</v>
      </c>
      <c r="B17102" t="s">
        <v>3221</v>
      </c>
      <c r="C17102">
        <v>19237</v>
      </c>
      <c r="D17102" t="s">
        <v>3231</v>
      </c>
      <c r="E17102" t="s">
        <v>3232</v>
      </c>
      <c r="F17102">
        <v>48.44</v>
      </c>
      <c r="G17102">
        <v>231231</v>
      </c>
      <c r="H17102">
        <v>4560</v>
      </c>
      <c r="I17102" t="s">
        <v>345</v>
      </c>
      <c r="J17102">
        <v>60.07</v>
      </c>
      <c r="K17102">
        <v>11.63</v>
      </c>
      <c r="L17102">
        <v>17974</v>
      </c>
      <c r="M17102" t="s">
        <v>460</v>
      </c>
      <c r="N17102" t="str">
        <f>"20169023    "</f>
        <v xml:space="preserve">20169023    </v>
      </c>
      <c r="O17102">
        <v>240115</v>
      </c>
    </row>
    <row r="17103" spans="1:15" x14ac:dyDescent="0.25">
      <c r="A17103" t="s">
        <v>16</v>
      </c>
      <c r="B17103" t="s">
        <v>3221</v>
      </c>
      <c r="C17103">
        <v>8320</v>
      </c>
      <c r="D17103" t="s">
        <v>3231</v>
      </c>
      <c r="E17103" t="s">
        <v>3232</v>
      </c>
      <c r="F17103">
        <v>5.0999999999999996</v>
      </c>
      <c r="G17103">
        <v>230531</v>
      </c>
      <c r="H17103">
        <v>4550</v>
      </c>
      <c r="I17103" t="s">
        <v>312</v>
      </c>
      <c r="J17103">
        <v>6.32</v>
      </c>
      <c r="K17103">
        <v>1.22</v>
      </c>
      <c r="L17103">
        <v>67522</v>
      </c>
      <c r="M17103" t="s">
        <v>397</v>
      </c>
      <c r="N17103" t="str">
        <f>"19895851    "</f>
        <v xml:space="preserve">19895851    </v>
      </c>
      <c r="O17103">
        <v>230608</v>
      </c>
    </row>
    <row r="17104" spans="1:15" x14ac:dyDescent="0.25">
      <c r="A17104" t="s">
        <v>16</v>
      </c>
      <c r="B17104" t="s">
        <v>3221</v>
      </c>
      <c r="C17104">
        <v>11518</v>
      </c>
      <c r="D17104" t="s">
        <v>3231</v>
      </c>
      <c r="E17104" t="s">
        <v>3232</v>
      </c>
      <c r="F17104">
        <v>5.12</v>
      </c>
      <c r="G17104">
        <v>230831</v>
      </c>
      <c r="H17104">
        <v>4550</v>
      </c>
      <c r="I17104" t="s">
        <v>312</v>
      </c>
      <c r="J17104">
        <v>6.35</v>
      </c>
      <c r="K17104">
        <v>1.23</v>
      </c>
      <c r="L17104">
        <v>17131</v>
      </c>
      <c r="M17104" t="s">
        <v>64</v>
      </c>
      <c r="N17104" t="str">
        <f>"20004367    "</f>
        <v xml:space="preserve">20004367    </v>
      </c>
      <c r="O17104">
        <v>230907</v>
      </c>
    </row>
    <row r="17105" spans="1:15" x14ac:dyDescent="0.25">
      <c r="A17105" t="s">
        <v>16</v>
      </c>
      <c r="B17105" t="s">
        <v>3221</v>
      </c>
      <c r="C17105">
        <v>14996</v>
      </c>
      <c r="D17105" t="s">
        <v>3231</v>
      </c>
      <c r="E17105" t="s">
        <v>3232</v>
      </c>
      <c r="F17105">
        <v>10.98</v>
      </c>
      <c r="G17105">
        <v>231031</v>
      </c>
      <c r="H17105">
        <v>4550</v>
      </c>
      <c r="I17105" t="s">
        <v>312</v>
      </c>
      <c r="J17105">
        <v>13.62</v>
      </c>
      <c r="K17105">
        <v>2.64</v>
      </c>
      <c r="L17105">
        <v>11401</v>
      </c>
      <c r="M17105" t="s">
        <v>84</v>
      </c>
      <c r="N17105" t="str">
        <f>"20080970    "</f>
        <v xml:space="preserve">20080970    </v>
      </c>
      <c r="O17105">
        <v>231108</v>
      </c>
    </row>
    <row r="17106" spans="1:15" x14ac:dyDescent="0.25">
      <c r="A17106" t="s">
        <v>16</v>
      </c>
      <c r="B17106" t="s">
        <v>3221</v>
      </c>
      <c r="C17106">
        <v>11980</v>
      </c>
      <c r="D17106" t="s">
        <v>3231</v>
      </c>
      <c r="E17106" t="s">
        <v>3232</v>
      </c>
      <c r="F17106">
        <v>3.35</v>
      </c>
      <c r="G17106">
        <v>230831</v>
      </c>
      <c r="H17106">
        <v>4500</v>
      </c>
      <c r="I17106" t="s">
        <v>212</v>
      </c>
      <c r="J17106">
        <v>4.16</v>
      </c>
      <c r="K17106">
        <v>0.81</v>
      </c>
      <c r="L17106">
        <v>13501</v>
      </c>
      <c r="M17106" t="s">
        <v>20</v>
      </c>
      <c r="N17106" t="str">
        <f>"20012954    "</f>
        <v xml:space="preserve">20012954    </v>
      </c>
      <c r="O17106">
        <v>230912</v>
      </c>
    </row>
    <row r="17107" spans="1:15" x14ac:dyDescent="0.25">
      <c r="A17107" t="s">
        <v>16</v>
      </c>
      <c r="B17107" t="s">
        <v>3221</v>
      </c>
      <c r="C17107">
        <v>13671</v>
      </c>
      <c r="D17107" t="s">
        <v>3231</v>
      </c>
      <c r="E17107" t="s">
        <v>3232</v>
      </c>
      <c r="F17107">
        <v>31.74</v>
      </c>
      <c r="G17107">
        <v>230930</v>
      </c>
      <c r="H17107">
        <v>4500</v>
      </c>
      <c r="I17107" t="s">
        <v>212</v>
      </c>
      <c r="J17107">
        <v>39.36</v>
      </c>
      <c r="K17107">
        <v>7.62</v>
      </c>
      <c r="L17107">
        <v>14121</v>
      </c>
      <c r="M17107" t="s">
        <v>880</v>
      </c>
      <c r="N17107" t="str">
        <f>"20042435    "</f>
        <v xml:space="preserve">20042435    </v>
      </c>
      <c r="O17107">
        <v>231012</v>
      </c>
    </row>
    <row r="17108" spans="1:15" x14ac:dyDescent="0.25">
      <c r="A17108" t="s">
        <v>16</v>
      </c>
      <c r="B17108" t="s">
        <v>3221</v>
      </c>
      <c r="C17108">
        <v>13671</v>
      </c>
      <c r="D17108" t="s">
        <v>3231</v>
      </c>
      <c r="E17108" t="s">
        <v>3232</v>
      </c>
      <c r="F17108">
        <v>10.6</v>
      </c>
      <c r="G17108">
        <v>230930</v>
      </c>
      <c r="H17108">
        <v>4500</v>
      </c>
      <c r="I17108" t="s">
        <v>212</v>
      </c>
      <c r="J17108">
        <v>13.15</v>
      </c>
      <c r="K17108">
        <v>2.5499999999999998</v>
      </c>
      <c r="L17108">
        <v>14321</v>
      </c>
      <c r="M17108" t="s">
        <v>717</v>
      </c>
      <c r="N17108" t="str">
        <f>"20042435    "</f>
        <v xml:space="preserve">20042435    </v>
      </c>
      <c r="O17108">
        <v>231012</v>
      </c>
    </row>
    <row r="17109" spans="1:15" x14ac:dyDescent="0.25">
      <c r="A17109" t="s">
        <v>16</v>
      </c>
      <c r="B17109" t="s">
        <v>3221</v>
      </c>
      <c r="C17109">
        <v>13671</v>
      </c>
      <c r="D17109" t="s">
        <v>3231</v>
      </c>
      <c r="E17109" t="s">
        <v>3232</v>
      </c>
      <c r="F17109">
        <v>10.65</v>
      </c>
      <c r="G17109">
        <v>230930</v>
      </c>
      <c r="H17109">
        <v>4500</v>
      </c>
      <c r="I17109" t="s">
        <v>212</v>
      </c>
      <c r="J17109">
        <v>13.21</v>
      </c>
      <c r="K17109">
        <v>2.56</v>
      </c>
      <c r="L17109">
        <v>14541</v>
      </c>
      <c r="M17109" t="s">
        <v>626</v>
      </c>
      <c r="N17109" t="str">
        <f>"20042435    "</f>
        <v xml:space="preserve">20042435    </v>
      </c>
      <c r="O17109">
        <v>231012</v>
      </c>
    </row>
    <row r="17110" spans="1:15" x14ac:dyDescent="0.25">
      <c r="A17110" t="s">
        <v>16</v>
      </c>
      <c r="B17110" t="s">
        <v>3221</v>
      </c>
      <c r="C17110">
        <v>15139</v>
      </c>
      <c r="D17110" t="s">
        <v>3231</v>
      </c>
      <c r="E17110" t="s">
        <v>3232</v>
      </c>
      <c r="F17110">
        <v>1.38</v>
      </c>
      <c r="G17110">
        <v>231031</v>
      </c>
      <c r="H17110">
        <v>4500</v>
      </c>
      <c r="I17110" t="s">
        <v>212</v>
      </c>
      <c r="J17110">
        <v>1.71</v>
      </c>
      <c r="K17110">
        <v>0.33</v>
      </c>
      <c r="L17110">
        <v>13801</v>
      </c>
      <c r="M17110" t="s">
        <v>162</v>
      </c>
      <c r="N17110" t="str">
        <f>"20099690    "</f>
        <v xml:space="preserve">20099690    </v>
      </c>
      <c r="O17110">
        <v>231109</v>
      </c>
    </row>
    <row r="17111" spans="1:15" x14ac:dyDescent="0.25">
      <c r="A17111" t="s">
        <v>16</v>
      </c>
      <c r="B17111" t="s">
        <v>3221</v>
      </c>
      <c r="C17111">
        <v>17314</v>
      </c>
      <c r="D17111" t="s">
        <v>3231</v>
      </c>
      <c r="E17111" t="s">
        <v>3232</v>
      </c>
      <c r="F17111">
        <v>11.73</v>
      </c>
      <c r="G17111">
        <v>231130</v>
      </c>
      <c r="H17111">
        <v>4500</v>
      </c>
      <c r="I17111" t="s">
        <v>212</v>
      </c>
      <c r="J17111">
        <v>14.55</v>
      </c>
      <c r="K17111">
        <v>2.82</v>
      </c>
      <c r="L17111">
        <v>14640</v>
      </c>
      <c r="M17111" t="s">
        <v>229</v>
      </c>
      <c r="N17111" t="str">
        <f>"20120343    "</f>
        <v xml:space="preserve">20120343    </v>
      </c>
      <c r="O17111">
        <v>231213</v>
      </c>
    </row>
    <row r="17112" spans="1:15" x14ac:dyDescent="0.25">
      <c r="A17112" t="s">
        <v>16</v>
      </c>
      <c r="B17112" t="s">
        <v>3221</v>
      </c>
      <c r="C17112">
        <v>9398</v>
      </c>
      <c r="D17112" t="s">
        <v>3231</v>
      </c>
      <c r="E17112" t="s">
        <v>3232</v>
      </c>
      <c r="F17112">
        <v>8.56</v>
      </c>
      <c r="G17112">
        <v>230630</v>
      </c>
      <c r="H17112">
        <v>4530</v>
      </c>
      <c r="I17112" t="s">
        <v>342</v>
      </c>
      <c r="J17112">
        <v>10.61</v>
      </c>
      <c r="K17112">
        <v>2.0499999999999998</v>
      </c>
      <c r="L17112">
        <v>14432</v>
      </c>
      <c r="M17112" t="s">
        <v>862</v>
      </c>
      <c r="N17112" t="str">
        <f>"19934336    "</f>
        <v xml:space="preserve">19934336    </v>
      </c>
      <c r="O17112">
        <v>230710</v>
      </c>
    </row>
    <row r="17113" spans="1:15" x14ac:dyDescent="0.25">
      <c r="A17113" t="s">
        <v>16</v>
      </c>
      <c r="B17113" t="s">
        <v>3221</v>
      </c>
      <c r="C17113">
        <v>448</v>
      </c>
      <c r="D17113" t="s">
        <v>550</v>
      </c>
      <c r="E17113" t="s">
        <v>551</v>
      </c>
      <c r="F17113">
        <v>9.1999999999999993</v>
      </c>
      <c r="G17113">
        <v>230119</v>
      </c>
      <c r="H17113">
        <v>4412</v>
      </c>
      <c r="I17113" t="s">
        <v>149</v>
      </c>
      <c r="J17113">
        <v>9.1999999999999993</v>
      </c>
      <c r="K17113">
        <v>0</v>
      </c>
      <c r="L17113">
        <v>13501</v>
      </c>
      <c r="M17113" t="s">
        <v>20</v>
      </c>
      <c r="N17113" t="str">
        <f>"85016604    "</f>
        <v xml:space="preserve">85016604    </v>
      </c>
      <c r="O17113">
        <v>230123</v>
      </c>
    </row>
    <row r="17114" spans="1:15" x14ac:dyDescent="0.25">
      <c r="A17114" t="s">
        <v>16</v>
      </c>
      <c r="B17114" t="s">
        <v>3221</v>
      </c>
      <c r="C17114">
        <v>448</v>
      </c>
      <c r="D17114" t="s">
        <v>550</v>
      </c>
      <c r="E17114" t="s">
        <v>551</v>
      </c>
      <c r="F17114">
        <v>81.55</v>
      </c>
      <c r="G17114">
        <v>230119</v>
      </c>
      <c r="H17114">
        <v>4412</v>
      </c>
      <c r="I17114" t="s">
        <v>149</v>
      </c>
      <c r="J17114">
        <v>89.7</v>
      </c>
      <c r="K17114">
        <v>8.15</v>
      </c>
      <c r="L17114">
        <v>13501</v>
      </c>
      <c r="M17114" t="s">
        <v>20</v>
      </c>
      <c r="N17114" t="str">
        <f>"85016604    "</f>
        <v xml:space="preserve">85016604    </v>
      </c>
      <c r="O17114">
        <v>230123</v>
      </c>
    </row>
    <row r="17115" spans="1:15" x14ac:dyDescent="0.25">
      <c r="A17115" t="s">
        <v>16</v>
      </c>
      <c r="B17115" t="s">
        <v>3221</v>
      </c>
      <c r="C17115">
        <v>3941</v>
      </c>
      <c r="D17115" t="s">
        <v>550</v>
      </c>
      <c r="E17115" t="s">
        <v>551</v>
      </c>
      <c r="F17115">
        <v>9.1999999999999993</v>
      </c>
      <c r="G17115">
        <v>230323</v>
      </c>
      <c r="H17115">
        <v>4412</v>
      </c>
      <c r="I17115" t="s">
        <v>149</v>
      </c>
      <c r="J17115">
        <v>9.1999999999999993</v>
      </c>
      <c r="K17115">
        <v>0</v>
      </c>
      <c r="L17115">
        <v>18972</v>
      </c>
      <c r="M17115" t="s">
        <v>163</v>
      </c>
      <c r="N17115" t="str">
        <f>"23035334    "</f>
        <v xml:space="preserve">23035334    </v>
      </c>
      <c r="O17115">
        <v>230327</v>
      </c>
    </row>
    <row r="17116" spans="1:15" x14ac:dyDescent="0.25">
      <c r="A17116" t="s">
        <v>16</v>
      </c>
      <c r="B17116" t="s">
        <v>3221</v>
      </c>
      <c r="C17116">
        <v>3941</v>
      </c>
      <c r="D17116" t="s">
        <v>550</v>
      </c>
      <c r="E17116" t="s">
        <v>551</v>
      </c>
      <c r="F17116">
        <v>90.55</v>
      </c>
      <c r="G17116">
        <v>230323</v>
      </c>
      <c r="H17116">
        <v>4412</v>
      </c>
      <c r="I17116" t="s">
        <v>149</v>
      </c>
      <c r="J17116">
        <v>99.6</v>
      </c>
      <c r="K17116">
        <v>9.0500000000000007</v>
      </c>
      <c r="L17116">
        <v>18972</v>
      </c>
      <c r="M17116" t="s">
        <v>163</v>
      </c>
      <c r="N17116" t="str">
        <f>"23035334    "</f>
        <v xml:space="preserve">23035334    </v>
      </c>
      <c r="O17116">
        <v>230327</v>
      </c>
    </row>
    <row r="17117" spans="1:15" x14ac:dyDescent="0.25">
      <c r="A17117" t="s">
        <v>16</v>
      </c>
      <c r="B17117" t="s">
        <v>3221</v>
      </c>
      <c r="C17117">
        <v>4273</v>
      </c>
      <c r="D17117" t="s">
        <v>550</v>
      </c>
      <c r="E17117" t="s">
        <v>551</v>
      </c>
      <c r="F17117">
        <v>18.399999999999999</v>
      </c>
      <c r="G17117">
        <v>230324</v>
      </c>
      <c r="H17117">
        <v>4412</v>
      </c>
      <c r="I17117" t="s">
        <v>149</v>
      </c>
      <c r="J17117">
        <v>18.399999999999999</v>
      </c>
      <c r="K17117">
        <v>0</v>
      </c>
      <c r="L17117">
        <v>18972</v>
      </c>
      <c r="M17117" t="s">
        <v>163</v>
      </c>
      <c r="N17117" t="str">
        <f>"23035398    "</f>
        <v xml:space="preserve">23035398    </v>
      </c>
      <c r="O17117">
        <v>230404</v>
      </c>
    </row>
    <row r="17118" spans="1:15" x14ac:dyDescent="0.25">
      <c r="A17118" t="s">
        <v>16</v>
      </c>
      <c r="B17118" t="s">
        <v>3221</v>
      </c>
      <c r="C17118">
        <v>4273</v>
      </c>
      <c r="D17118" t="s">
        <v>550</v>
      </c>
      <c r="E17118" t="s">
        <v>551</v>
      </c>
      <c r="F17118">
        <v>122.36</v>
      </c>
      <c r="G17118">
        <v>230324</v>
      </c>
      <c r="H17118">
        <v>4412</v>
      </c>
      <c r="I17118" t="s">
        <v>149</v>
      </c>
      <c r="J17118">
        <v>134.6</v>
      </c>
      <c r="K17118">
        <v>12.24</v>
      </c>
      <c r="L17118">
        <v>18972</v>
      </c>
      <c r="M17118" t="s">
        <v>163</v>
      </c>
      <c r="N17118" t="str">
        <f>"23035398    "</f>
        <v xml:space="preserve">23035398    </v>
      </c>
      <c r="O17118">
        <v>230404</v>
      </c>
    </row>
    <row r="17119" spans="1:15" x14ac:dyDescent="0.25">
      <c r="A17119" t="s">
        <v>16</v>
      </c>
      <c r="B17119" t="s">
        <v>3221</v>
      </c>
      <c r="C17119">
        <v>6707</v>
      </c>
      <c r="D17119" t="s">
        <v>550</v>
      </c>
      <c r="E17119" t="s">
        <v>551</v>
      </c>
      <c r="F17119">
        <v>9.1999999999999993</v>
      </c>
      <c r="G17119">
        <v>230511</v>
      </c>
      <c r="H17119">
        <v>4412</v>
      </c>
      <c r="I17119" t="s">
        <v>149</v>
      </c>
      <c r="J17119">
        <v>9.1999999999999993</v>
      </c>
      <c r="K17119">
        <v>0</v>
      </c>
      <c r="L17119">
        <v>48601</v>
      </c>
      <c r="M17119" t="s">
        <v>1047</v>
      </c>
      <c r="N17119" t="str">
        <f>"41016000    "</f>
        <v xml:space="preserve">41016000    </v>
      </c>
      <c r="O17119">
        <v>230517</v>
      </c>
    </row>
    <row r="17120" spans="1:15" x14ac:dyDescent="0.25">
      <c r="A17120" t="s">
        <v>16</v>
      </c>
      <c r="B17120" t="s">
        <v>3221</v>
      </c>
      <c r="C17120">
        <v>6707</v>
      </c>
      <c r="D17120" t="s">
        <v>550</v>
      </c>
      <c r="E17120" t="s">
        <v>551</v>
      </c>
      <c r="F17120">
        <v>44.05</v>
      </c>
      <c r="G17120">
        <v>230511</v>
      </c>
      <c r="H17120">
        <v>4412</v>
      </c>
      <c r="I17120" t="s">
        <v>149</v>
      </c>
      <c r="J17120">
        <v>48.45</v>
      </c>
      <c r="K17120">
        <v>4.4000000000000004</v>
      </c>
      <c r="L17120">
        <v>48601</v>
      </c>
      <c r="M17120" t="s">
        <v>1047</v>
      </c>
      <c r="N17120" t="str">
        <f>"41016000    "</f>
        <v xml:space="preserve">41016000    </v>
      </c>
      <c r="O17120">
        <v>230517</v>
      </c>
    </row>
    <row r="17121" spans="1:15" x14ac:dyDescent="0.25">
      <c r="A17121" t="s">
        <v>16</v>
      </c>
      <c r="B17121" t="s">
        <v>3221</v>
      </c>
      <c r="C17121">
        <v>6707</v>
      </c>
      <c r="D17121" t="s">
        <v>550</v>
      </c>
      <c r="E17121" t="s">
        <v>551</v>
      </c>
      <c r="F17121">
        <v>9.1999999999999993</v>
      </c>
      <c r="G17121">
        <v>230511</v>
      </c>
      <c r="H17121">
        <v>4412</v>
      </c>
      <c r="I17121" t="s">
        <v>149</v>
      </c>
      <c r="J17121">
        <v>9.1999999999999993</v>
      </c>
      <c r="K17121">
        <v>0</v>
      </c>
      <c r="L17121">
        <v>49704</v>
      </c>
      <c r="M17121" t="s">
        <v>1065</v>
      </c>
      <c r="N17121" t="str">
        <f>"41016000    "</f>
        <v xml:space="preserve">41016000    </v>
      </c>
      <c r="O17121">
        <v>230517</v>
      </c>
    </row>
    <row r="17122" spans="1:15" x14ac:dyDescent="0.25">
      <c r="A17122" t="s">
        <v>16</v>
      </c>
      <c r="B17122" t="s">
        <v>3221</v>
      </c>
      <c r="C17122">
        <v>6707</v>
      </c>
      <c r="D17122" t="s">
        <v>550</v>
      </c>
      <c r="E17122" t="s">
        <v>551</v>
      </c>
      <c r="F17122">
        <v>44.05</v>
      </c>
      <c r="G17122">
        <v>230511</v>
      </c>
      <c r="H17122">
        <v>4412</v>
      </c>
      <c r="I17122" t="s">
        <v>149</v>
      </c>
      <c r="J17122">
        <v>48.45</v>
      </c>
      <c r="K17122">
        <v>4.4000000000000004</v>
      </c>
      <c r="L17122">
        <v>49704</v>
      </c>
      <c r="M17122" t="s">
        <v>1065</v>
      </c>
      <c r="N17122" t="str">
        <f>"41016000    "</f>
        <v xml:space="preserve">41016000    </v>
      </c>
      <c r="O17122">
        <v>230517</v>
      </c>
    </row>
    <row r="17123" spans="1:15" x14ac:dyDescent="0.25">
      <c r="A17123" t="s">
        <v>16</v>
      </c>
      <c r="B17123" t="s">
        <v>3221</v>
      </c>
      <c r="C17123">
        <v>7099</v>
      </c>
      <c r="D17123" t="s">
        <v>550</v>
      </c>
      <c r="E17123" t="s">
        <v>551</v>
      </c>
      <c r="F17123">
        <v>18.399999999999999</v>
      </c>
      <c r="G17123">
        <v>230504</v>
      </c>
      <c r="H17123">
        <v>4412</v>
      </c>
      <c r="I17123" t="s">
        <v>149</v>
      </c>
      <c r="J17123">
        <v>18.399999999999999</v>
      </c>
      <c r="K17123">
        <v>0</v>
      </c>
      <c r="L17123">
        <v>17131</v>
      </c>
      <c r="M17123" t="s">
        <v>64</v>
      </c>
      <c r="N17123" t="str">
        <f>"75005435    "</f>
        <v xml:space="preserve">75005435    </v>
      </c>
      <c r="O17123">
        <v>230525</v>
      </c>
    </row>
    <row r="17124" spans="1:15" x14ac:dyDescent="0.25">
      <c r="A17124" t="s">
        <v>16</v>
      </c>
      <c r="B17124" t="s">
        <v>3221</v>
      </c>
      <c r="C17124">
        <v>7099</v>
      </c>
      <c r="D17124" t="s">
        <v>550</v>
      </c>
      <c r="E17124" t="s">
        <v>551</v>
      </c>
      <c r="F17124">
        <v>95.09</v>
      </c>
      <c r="G17124">
        <v>230504</v>
      </c>
      <c r="H17124">
        <v>4412</v>
      </c>
      <c r="I17124" t="s">
        <v>149</v>
      </c>
      <c r="J17124">
        <v>104.6</v>
      </c>
      <c r="K17124">
        <v>9.51</v>
      </c>
      <c r="L17124">
        <v>17131</v>
      </c>
      <c r="M17124" t="s">
        <v>64</v>
      </c>
      <c r="N17124" t="str">
        <f>"75005435    "</f>
        <v xml:space="preserve">75005435    </v>
      </c>
      <c r="O17124">
        <v>230525</v>
      </c>
    </row>
    <row r="17125" spans="1:15" x14ac:dyDescent="0.25">
      <c r="A17125" t="s">
        <v>16</v>
      </c>
      <c r="B17125" t="s">
        <v>3221</v>
      </c>
      <c r="C17125">
        <v>9781</v>
      </c>
      <c r="D17125" t="s">
        <v>550</v>
      </c>
      <c r="E17125" t="s">
        <v>551</v>
      </c>
      <c r="F17125">
        <v>9.1999999999999993</v>
      </c>
      <c r="G17125">
        <v>230712</v>
      </c>
      <c r="H17125">
        <v>4412</v>
      </c>
      <c r="I17125" t="s">
        <v>149</v>
      </c>
      <c r="J17125">
        <v>9.1999999999999993</v>
      </c>
      <c r="K17125">
        <v>0</v>
      </c>
      <c r="L17125">
        <v>17974</v>
      </c>
      <c r="M17125" t="s">
        <v>460</v>
      </c>
      <c r="N17125" t="str">
        <f>"73012107    "</f>
        <v xml:space="preserve">73012107    </v>
      </c>
      <c r="O17125">
        <v>230725</v>
      </c>
    </row>
    <row r="17126" spans="1:15" x14ac:dyDescent="0.25">
      <c r="A17126" t="s">
        <v>16</v>
      </c>
      <c r="B17126" t="s">
        <v>3221</v>
      </c>
      <c r="C17126">
        <v>9781</v>
      </c>
      <c r="D17126" t="s">
        <v>550</v>
      </c>
      <c r="E17126" t="s">
        <v>551</v>
      </c>
      <c r="F17126">
        <v>113.45</v>
      </c>
      <c r="G17126">
        <v>230712</v>
      </c>
      <c r="H17126">
        <v>4412</v>
      </c>
      <c r="I17126" t="s">
        <v>149</v>
      </c>
      <c r="J17126">
        <v>124.8</v>
      </c>
      <c r="K17126">
        <v>11.35</v>
      </c>
      <c r="L17126">
        <v>17974</v>
      </c>
      <c r="M17126" t="s">
        <v>460</v>
      </c>
      <c r="N17126" t="str">
        <f>"73012107    "</f>
        <v xml:space="preserve">73012107    </v>
      </c>
      <c r="O17126">
        <v>230725</v>
      </c>
    </row>
    <row r="17127" spans="1:15" x14ac:dyDescent="0.25">
      <c r="A17127" t="s">
        <v>16</v>
      </c>
      <c r="B17127" t="s">
        <v>3221</v>
      </c>
      <c r="C17127">
        <v>10153</v>
      </c>
      <c r="D17127" t="s">
        <v>550</v>
      </c>
      <c r="E17127" t="s">
        <v>551</v>
      </c>
      <c r="F17127">
        <v>9.1999999999999993</v>
      </c>
      <c r="G17127">
        <v>230802</v>
      </c>
      <c r="H17127">
        <v>4412</v>
      </c>
      <c r="I17127" t="s">
        <v>149</v>
      </c>
      <c r="J17127">
        <v>9.1999999999999993</v>
      </c>
      <c r="K17127">
        <v>0</v>
      </c>
      <c r="L17127">
        <v>18972</v>
      </c>
      <c r="M17127" t="s">
        <v>163</v>
      </c>
      <c r="N17127" t="str">
        <f>"69412601    "</f>
        <v xml:space="preserve">69412601    </v>
      </c>
      <c r="O17127">
        <v>230808</v>
      </c>
    </row>
    <row r="17128" spans="1:15" x14ac:dyDescent="0.25">
      <c r="A17128" t="s">
        <v>16</v>
      </c>
      <c r="B17128" t="s">
        <v>3221</v>
      </c>
      <c r="C17128">
        <v>10153</v>
      </c>
      <c r="D17128" t="s">
        <v>550</v>
      </c>
      <c r="E17128" t="s">
        <v>551</v>
      </c>
      <c r="F17128">
        <v>57.58</v>
      </c>
      <c r="G17128">
        <v>230802</v>
      </c>
      <c r="H17128">
        <v>4412</v>
      </c>
      <c r="I17128" t="s">
        <v>149</v>
      </c>
      <c r="J17128">
        <v>71.400000000000006</v>
      </c>
      <c r="K17128">
        <v>13.82</v>
      </c>
      <c r="L17128">
        <v>18972</v>
      </c>
      <c r="M17128" t="s">
        <v>163</v>
      </c>
      <c r="N17128" t="str">
        <f>"69412601    "</f>
        <v xml:space="preserve">69412601    </v>
      </c>
      <c r="O17128">
        <v>230808</v>
      </c>
    </row>
    <row r="17129" spans="1:15" x14ac:dyDescent="0.25">
      <c r="A17129" t="s">
        <v>16</v>
      </c>
      <c r="B17129" t="s">
        <v>3221</v>
      </c>
      <c r="C17129">
        <v>10153</v>
      </c>
      <c r="D17129" t="s">
        <v>550</v>
      </c>
      <c r="E17129" t="s">
        <v>551</v>
      </c>
      <c r="F17129">
        <v>86.55</v>
      </c>
      <c r="G17129">
        <v>230802</v>
      </c>
      <c r="H17129">
        <v>4412</v>
      </c>
      <c r="I17129" t="s">
        <v>149</v>
      </c>
      <c r="J17129">
        <v>95.2</v>
      </c>
      <c r="K17129">
        <v>8.65</v>
      </c>
      <c r="L17129">
        <v>18972</v>
      </c>
      <c r="M17129" t="s">
        <v>163</v>
      </c>
      <c r="N17129" t="str">
        <f>"69412601    "</f>
        <v xml:space="preserve">69412601    </v>
      </c>
      <c r="O17129">
        <v>230808</v>
      </c>
    </row>
    <row r="17130" spans="1:15" x14ac:dyDescent="0.25">
      <c r="A17130" t="s">
        <v>16</v>
      </c>
      <c r="B17130" t="s">
        <v>3221</v>
      </c>
      <c r="C17130">
        <v>10153</v>
      </c>
      <c r="D17130" t="s">
        <v>550</v>
      </c>
      <c r="E17130" t="s">
        <v>551</v>
      </c>
      <c r="F17130">
        <v>718.42</v>
      </c>
      <c r="G17130">
        <v>230802</v>
      </c>
      <c r="H17130">
        <v>4412</v>
      </c>
      <c r="I17130" t="s">
        <v>149</v>
      </c>
      <c r="J17130">
        <v>819</v>
      </c>
      <c r="K17130">
        <v>100.58</v>
      </c>
      <c r="L17130">
        <v>18972</v>
      </c>
      <c r="M17130" t="s">
        <v>163</v>
      </c>
      <c r="N17130" t="str">
        <f>"69412601    "</f>
        <v xml:space="preserve">69412601    </v>
      </c>
      <c r="O17130">
        <v>230808</v>
      </c>
    </row>
    <row r="17131" spans="1:15" x14ac:dyDescent="0.25">
      <c r="A17131" t="s">
        <v>16</v>
      </c>
      <c r="B17131" t="s">
        <v>3221</v>
      </c>
      <c r="C17131">
        <v>13596</v>
      </c>
      <c r="D17131" t="s">
        <v>550</v>
      </c>
      <c r="E17131" t="s">
        <v>551</v>
      </c>
      <c r="F17131">
        <v>18.399999999999999</v>
      </c>
      <c r="G17131">
        <v>231006</v>
      </c>
      <c r="H17131">
        <v>4412</v>
      </c>
      <c r="I17131" t="s">
        <v>149</v>
      </c>
      <c r="J17131">
        <v>18.399999999999999</v>
      </c>
      <c r="K17131">
        <v>0</v>
      </c>
      <c r="L17131">
        <v>10003</v>
      </c>
      <c r="M17131" t="s">
        <v>2070</v>
      </c>
      <c r="N17131" t="str">
        <f>"76003355    "</f>
        <v xml:space="preserve">76003355    </v>
      </c>
      <c r="O17131">
        <v>231011</v>
      </c>
    </row>
    <row r="17132" spans="1:15" x14ac:dyDescent="0.25">
      <c r="A17132" t="s">
        <v>16</v>
      </c>
      <c r="B17132" t="s">
        <v>3221</v>
      </c>
      <c r="C17132">
        <v>13596</v>
      </c>
      <c r="D17132" t="s">
        <v>550</v>
      </c>
      <c r="E17132" t="s">
        <v>551</v>
      </c>
      <c r="F17132">
        <v>236</v>
      </c>
      <c r="G17132">
        <v>231006</v>
      </c>
      <c r="H17132">
        <v>4412</v>
      </c>
      <c r="I17132" t="s">
        <v>149</v>
      </c>
      <c r="J17132">
        <v>259.60000000000002</v>
      </c>
      <c r="K17132">
        <v>23.6</v>
      </c>
      <c r="L17132">
        <v>10003</v>
      </c>
      <c r="M17132" t="s">
        <v>2070</v>
      </c>
      <c r="N17132" t="str">
        <f>"76003355    "</f>
        <v xml:space="preserve">76003355    </v>
      </c>
      <c r="O17132">
        <v>231011</v>
      </c>
    </row>
    <row r="17133" spans="1:15" x14ac:dyDescent="0.25">
      <c r="A17133" t="s">
        <v>16</v>
      </c>
      <c r="B17133" t="s">
        <v>3221</v>
      </c>
      <c r="C17133">
        <v>14157</v>
      </c>
      <c r="D17133" t="s">
        <v>550</v>
      </c>
      <c r="E17133" t="s">
        <v>551</v>
      </c>
      <c r="F17133">
        <v>18.399999999999999</v>
      </c>
      <c r="G17133">
        <v>230929</v>
      </c>
      <c r="H17133">
        <v>4412</v>
      </c>
      <c r="I17133" t="s">
        <v>149</v>
      </c>
      <c r="J17133">
        <v>18.399999999999999</v>
      </c>
      <c r="K17133">
        <v>0</v>
      </c>
      <c r="L17133">
        <v>46557</v>
      </c>
      <c r="M17133" t="s">
        <v>221</v>
      </c>
      <c r="N17133" t="str">
        <f>"69413381    "</f>
        <v xml:space="preserve">69413381    </v>
      </c>
      <c r="O17133">
        <v>231023</v>
      </c>
    </row>
    <row r="17134" spans="1:15" x14ac:dyDescent="0.25">
      <c r="A17134" t="s">
        <v>16</v>
      </c>
      <c r="B17134" t="s">
        <v>3221</v>
      </c>
      <c r="C17134">
        <v>14157</v>
      </c>
      <c r="D17134" t="s">
        <v>550</v>
      </c>
      <c r="E17134" t="s">
        <v>551</v>
      </c>
      <c r="F17134">
        <v>158.09</v>
      </c>
      <c r="G17134">
        <v>230929</v>
      </c>
      <c r="H17134">
        <v>4412</v>
      </c>
      <c r="I17134" t="s">
        <v>149</v>
      </c>
      <c r="J17134">
        <v>173.9</v>
      </c>
      <c r="K17134">
        <v>15.81</v>
      </c>
      <c r="L17134">
        <v>46557</v>
      </c>
      <c r="M17134" t="s">
        <v>221</v>
      </c>
      <c r="N17134" t="str">
        <f>"69413381    "</f>
        <v xml:space="preserve">69413381    </v>
      </c>
      <c r="O17134">
        <v>231023</v>
      </c>
    </row>
    <row r="17135" spans="1:15" x14ac:dyDescent="0.25">
      <c r="A17135" t="s">
        <v>16</v>
      </c>
      <c r="B17135" t="s">
        <v>3221</v>
      </c>
      <c r="C17135">
        <v>14197</v>
      </c>
      <c r="D17135" t="s">
        <v>550</v>
      </c>
      <c r="E17135" t="s">
        <v>551</v>
      </c>
      <c r="F17135">
        <v>18.399999999999999</v>
      </c>
      <c r="G17135">
        <v>230929</v>
      </c>
      <c r="H17135">
        <v>4412</v>
      </c>
      <c r="I17135" t="s">
        <v>149</v>
      </c>
      <c r="J17135">
        <v>18.399999999999999</v>
      </c>
      <c r="K17135">
        <v>0</v>
      </c>
      <c r="L17135">
        <v>46554</v>
      </c>
      <c r="M17135" t="s">
        <v>117</v>
      </c>
      <c r="N17135" t="str">
        <f>"69413382    "</f>
        <v xml:space="preserve">69413382    </v>
      </c>
      <c r="O17135">
        <v>231024</v>
      </c>
    </row>
    <row r="17136" spans="1:15" x14ac:dyDescent="0.25">
      <c r="A17136" t="s">
        <v>16</v>
      </c>
      <c r="B17136" t="s">
        <v>3221</v>
      </c>
      <c r="C17136">
        <v>14197</v>
      </c>
      <c r="D17136" t="s">
        <v>550</v>
      </c>
      <c r="E17136" t="s">
        <v>551</v>
      </c>
      <c r="F17136">
        <v>16.940000000000001</v>
      </c>
      <c r="G17136">
        <v>230929</v>
      </c>
      <c r="H17136">
        <v>4412</v>
      </c>
      <c r="I17136" t="s">
        <v>149</v>
      </c>
      <c r="J17136">
        <v>21.01</v>
      </c>
      <c r="K17136">
        <v>4.07</v>
      </c>
      <c r="L17136">
        <v>46554</v>
      </c>
      <c r="M17136" t="s">
        <v>117</v>
      </c>
      <c r="N17136" t="str">
        <f>"69413382    "</f>
        <v xml:space="preserve">69413382    </v>
      </c>
      <c r="O17136">
        <v>231024</v>
      </c>
    </row>
    <row r="17137" spans="1:15" x14ac:dyDescent="0.25">
      <c r="A17137" t="s">
        <v>16</v>
      </c>
      <c r="B17137" t="s">
        <v>3221</v>
      </c>
      <c r="C17137">
        <v>14197</v>
      </c>
      <c r="D17137" t="s">
        <v>550</v>
      </c>
      <c r="E17137" t="s">
        <v>551</v>
      </c>
      <c r="F17137">
        <v>158.08000000000001</v>
      </c>
      <c r="G17137">
        <v>230929</v>
      </c>
      <c r="H17137">
        <v>4412</v>
      </c>
      <c r="I17137" t="s">
        <v>149</v>
      </c>
      <c r="J17137">
        <v>173.89</v>
      </c>
      <c r="K17137">
        <v>15.81</v>
      </c>
      <c r="L17137">
        <v>46554</v>
      </c>
      <c r="M17137" t="s">
        <v>117</v>
      </c>
      <c r="N17137" t="str">
        <f>"69413382    "</f>
        <v xml:space="preserve">69413382    </v>
      </c>
      <c r="O17137">
        <v>231024</v>
      </c>
    </row>
    <row r="17138" spans="1:15" x14ac:dyDescent="0.25">
      <c r="A17138" t="s">
        <v>16</v>
      </c>
      <c r="B17138" t="s">
        <v>3221</v>
      </c>
      <c r="C17138">
        <v>14846</v>
      </c>
      <c r="D17138" t="s">
        <v>550</v>
      </c>
      <c r="E17138" t="s">
        <v>551</v>
      </c>
      <c r="F17138">
        <v>4.5999999999999996</v>
      </c>
      <c r="G17138">
        <v>231030</v>
      </c>
      <c r="H17138">
        <v>4412</v>
      </c>
      <c r="I17138" t="s">
        <v>149</v>
      </c>
      <c r="J17138">
        <v>4.5999999999999996</v>
      </c>
      <c r="K17138">
        <v>0</v>
      </c>
      <c r="L17138">
        <v>13401</v>
      </c>
      <c r="M17138" t="s">
        <v>80</v>
      </c>
      <c r="N17138" t="str">
        <f>"64616757    "</f>
        <v xml:space="preserve">64616757    </v>
      </c>
      <c r="O17138">
        <v>231107</v>
      </c>
    </row>
    <row r="17139" spans="1:15" x14ac:dyDescent="0.25">
      <c r="A17139" t="s">
        <v>16</v>
      </c>
      <c r="B17139" t="s">
        <v>3221</v>
      </c>
      <c r="C17139">
        <v>14846</v>
      </c>
      <c r="D17139" t="s">
        <v>550</v>
      </c>
      <c r="E17139" t="s">
        <v>551</v>
      </c>
      <c r="F17139">
        <v>50.24</v>
      </c>
      <c r="G17139">
        <v>231030</v>
      </c>
      <c r="H17139">
        <v>4412</v>
      </c>
      <c r="I17139" t="s">
        <v>149</v>
      </c>
      <c r="J17139">
        <v>55.26</v>
      </c>
      <c r="K17139">
        <v>5.0199999999999996</v>
      </c>
      <c r="L17139">
        <v>13401</v>
      </c>
      <c r="M17139" t="s">
        <v>80</v>
      </c>
      <c r="N17139" t="str">
        <f>"64616757    "</f>
        <v xml:space="preserve">64616757    </v>
      </c>
      <c r="O17139">
        <v>231107</v>
      </c>
    </row>
    <row r="17140" spans="1:15" x14ac:dyDescent="0.25">
      <c r="A17140" t="s">
        <v>16</v>
      </c>
      <c r="B17140" t="s">
        <v>3221</v>
      </c>
      <c r="C17140">
        <v>14846</v>
      </c>
      <c r="D17140" t="s">
        <v>550</v>
      </c>
      <c r="E17140" t="s">
        <v>551</v>
      </c>
      <c r="F17140">
        <v>4.5999999999999996</v>
      </c>
      <c r="G17140">
        <v>231030</v>
      </c>
      <c r="H17140">
        <v>4412</v>
      </c>
      <c r="I17140" t="s">
        <v>149</v>
      </c>
      <c r="J17140">
        <v>4.5999999999999996</v>
      </c>
      <c r="K17140">
        <v>0</v>
      </c>
      <c r="L17140">
        <v>13501</v>
      </c>
      <c r="M17140" t="s">
        <v>20</v>
      </c>
      <c r="N17140" t="str">
        <f>"64616757    "</f>
        <v xml:space="preserve">64616757    </v>
      </c>
      <c r="O17140">
        <v>231107</v>
      </c>
    </row>
    <row r="17141" spans="1:15" x14ac:dyDescent="0.25">
      <c r="A17141" t="s">
        <v>16</v>
      </c>
      <c r="B17141" t="s">
        <v>3221</v>
      </c>
      <c r="C17141">
        <v>14846</v>
      </c>
      <c r="D17141" t="s">
        <v>550</v>
      </c>
      <c r="E17141" t="s">
        <v>551</v>
      </c>
      <c r="F17141">
        <v>50.22</v>
      </c>
      <c r="G17141">
        <v>231030</v>
      </c>
      <c r="H17141">
        <v>4412</v>
      </c>
      <c r="I17141" t="s">
        <v>149</v>
      </c>
      <c r="J17141">
        <v>55.24</v>
      </c>
      <c r="K17141">
        <v>5.0199999999999996</v>
      </c>
      <c r="L17141">
        <v>13501</v>
      </c>
      <c r="M17141" t="s">
        <v>20</v>
      </c>
      <c r="N17141" t="str">
        <f>"64616757    "</f>
        <v xml:space="preserve">64616757    </v>
      </c>
      <c r="O17141">
        <v>231107</v>
      </c>
    </row>
    <row r="17142" spans="1:15" x14ac:dyDescent="0.25">
      <c r="A17142" t="s">
        <v>16</v>
      </c>
      <c r="B17142" t="s">
        <v>3221</v>
      </c>
      <c r="C17142">
        <v>14860</v>
      </c>
      <c r="D17142" t="s">
        <v>550</v>
      </c>
      <c r="E17142" t="s">
        <v>551</v>
      </c>
      <c r="F17142">
        <v>9.1999999999999993</v>
      </c>
      <c r="G17142">
        <v>231031</v>
      </c>
      <c r="H17142">
        <v>4412</v>
      </c>
      <c r="I17142" t="s">
        <v>149</v>
      </c>
      <c r="J17142">
        <v>9.1999999999999993</v>
      </c>
      <c r="K17142">
        <v>0</v>
      </c>
      <c r="L17142">
        <v>11901</v>
      </c>
      <c r="M17142" t="s">
        <v>36</v>
      </c>
      <c r="N17142" t="str">
        <f>"64616776    "</f>
        <v xml:space="preserve">64616776    </v>
      </c>
      <c r="O17142">
        <v>231107</v>
      </c>
    </row>
    <row r="17143" spans="1:15" x14ac:dyDescent="0.25">
      <c r="A17143" t="s">
        <v>16</v>
      </c>
      <c r="B17143" t="s">
        <v>3221</v>
      </c>
      <c r="C17143">
        <v>14860</v>
      </c>
      <c r="D17143" t="s">
        <v>550</v>
      </c>
      <c r="E17143" t="s">
        <v>551</v>
      </c>
      <c r="F17143">
        <v>100.45</v>
      </c>
      <c r="G17143">
        <v>231031</v>
      </c>
      <c r="H17143">
        <v>4412</v>
      </c>
      <c r="I17143" t="s">
        <v>149</v>
      </c>
      <c r="J17143">
        <v>110.5</v>
      </c>
      <c r="K17143">
        <v>10.050000000000001</v>
      </c>
      <c r="L17143">
        <v>11901</v>
      </c>
      <c r="M17143" t="s">
        <v>36</v>
      </c>
      <c r="N17143" t="str">
        <f>"64616776    "</f>
        <v xml:space="preserve">64616776    </v>
      </c>
      <c r="O17143">
        <v>231107</v>
      </c>
    </row>
    <row r="17144" spans="1:15" x14ac:dyDescent="0.25">
      <c r="A17144" t="s">
        <v>16</v>
      </c>
      <c r="B17144" t="s">
        <v>3221</v>
      </c>
      <c r="C17144">
        <v>16010</v>
      </c>
      <c r="D17144" t="s">
        <v>550</v>
      </c>
      <c r="E17144" t="s">
        <v>551</v>
      </c>
      <c r="F17144">
        <v>18.399999999999999</v>
      </c>
      <c r="G17144">
        <v>231116</v>
      </c>
      <c r="H17144">
        <v>4412</v>
      </c>
      <c r="I17144" t="s">
        <v>149</v>
      </c>
      <c r="J17144">
        <v>18.399999999999999</v>
      </c>
      <c r="K17144">
        <v>0</v>
      </c>
      <c r="L17144">
        <v>58601</v>
      </c>
      <c r="M17144" t="s">
        <v>251</v>
      </c>
      <c r="N17144" t="str">
        <f>"35025899    "</f>
        <v xml:space="preserve">35025899    </v>
      </c>
      <c r="O17144">
        <v>231122</v>
      </c>
    </row>
    <row r="17145" spans="1:15" x14ac:dyDescent="0.25">
      <c r="A17145" t="s">
        <v>16</v>
      </c>
      <c r="B17145" t="s">
        <v>3221</v>
      </c>
      <c r="C17145">
        <v>16010</v>
      </c>
      <c r="D17145" t="s">
        <v>550</v>
      </c>
      <c r="E17145" t="s">
        <v>551</v>
      </c>
      <c r="F17145">
        <v>54.84</v>
      </c>
      <c r="G17145">
        <v>231116</v>
      </c>
      <c r="H17145">
        <v>4412</v>
      </c>
      <c r="I17145" t="s">
        <v>149</v>
      </c>
      <c r="J17145">
        <v>68</v>
      </c>
      <c r="K17145">
        <v>13.16</v>
      </c>
      <c r="L17145">
        <v>58601</v>
      </c>
      <c r="M17145" t="s">
        <v>251</v>
      </c>
      <c r="N17145" t="str">
        <f>"35025899    "</f>
        <v xml:space="preserve">35025899    </v>
      </c>
      <c r="O17145">
        <v>231122</v>
      </c>
    </row>
    <row r="17146" spans="1:15" x14ac:dyDescent="0.25">
      <c r="A17146" t="s">
        <v>16</v>
      </c>
      <c r="B17146" t="s">
        <v>3221</v>
      </c>
      <c r="C17146">
        <v>16010</v>
      </c>
      <c r="D17146" t="s">
        <v>550</v>
      </c>
      <c r="E17146" t="s">
        <v>551</v>
      </c>
      <c r="F17146">
        <v>90.09</v>
      </c>
      <c r="G17146">
        <v>231116</v>
      </c>
      <c r="H17146">
        <v>4412</v>
      </c>
      <c r="I17146" t="s">
        <v>149</v>
      </c>
      <c r="J17146">
        <v>99.1</v>
      </c>
      <c r="K17146">
        <v>9.01</v>
      </c>
      <c r="L17146">
        <v>58601</v>
      </c>
      <c r="M17146" t="s">
        <v>251</v>
      </c>
      <c r="N17146" t="str">
        <f>"35025899    "</f>
        <v xml:space="preserve">35025899    </v>
      </c>
      <c r="O17146">
        <v>231122</v>
      </c>
    </row>
    <row r="17147" spans="1:15" x14ac:dyDescent="0.25">
      <c r="A17147" t="s">
        <v>16</v>
      </c>
      <c r="B17147" t="s">
        <v>3221</v>
      </c>
      <c r="C17147">
        <v>513</v>
      </c>
      <c r="D17147" t="s">
        <v>550</v>
      </c>
      <c r="E17147" t="s">
        <v>551</v>
      </c>
      <c r="F17147">
        <v>18.399999999999999</v>
      </c>
      <c r="G17147">
        <v>230119</v>
      </c>
      <c r="H17147">
        <v>4410</v>
      </c>
      <c r="I17147" t="s">
        <v>517</v>
      </c>
      <c r="J17147">
        <v>18.399999999999999</v>
      </c>
      <c r="K17147">
        <v>0</v>
      </c>
      <c r="L17147">
        <v>13401</v>
      </c>
      <c r="M17147" t="s">
        <v>80</v>
      </c>
      <c r="N17147" t="str">
        <f>"85016605    "</f>
        <v xml:space="preserve">85016605    </v>
      </c>
      <c r="O17147">
        <v>230124</v>
      </c>
    </row>
    <row r="17148" spans="1:15" x14ac:dyDescent="0.25">
      <c r="A17148" t="s">
        <v>16</v>
      </c>
      <c r="B17148" t="s">
        <v>3221</v>
      </c>
      <c r="C17148">
        <v>513</v>
      </c>
      <c r="D17148" t="s">
        <v>550</v>
      </c>
      <c r="E17148" t="s">
        <v>551</v>
      </c>
      <c r="F17148">
        <v>93.09</v>
      </c>
      <c r="G17148">
        <v>230119</v>
      </c>
      <c r="H17148">
        <v>4410</v>
      </c>
      <c r="I17148" t="s">
        <v>517</v>
      </c>
      <c r="J17148">
        <v>102.4</v>
      </c>
      <c r="K17148">
        <v>9.31</v>
      </c>
      <c r="L17148">
        <v>13401</v>
      </c>
      <c r="M17148" t="s">
        <v>80</v>
      </c>
      <c r="N17148" t="str">
        <f>"85016605    "</f>
        <v xml:space="preserve">85016605    </v>
      </c>
      <c r="O17148">
        <v>230124</v>
      </c>
    </row>
    <row r="17149" spans="1:15" x14ac:dyDescent="0.25">
      <c r="A17149" t="s">
        <v>16</v>
      </c>
      <c r="B17149" t="s">
        <v>3221</v>
      </c>
      <c r="C17149">
        <v>518</v>
      </c>
      <c r="D17149" t="s">
        <v>550</v>
      </c>
      <c r="E17149" t="s">
        <v>551</v>
      </c>
      <c r="F17149">
        <v>18.399999999999999</v>
      </c>
      <c r="G17149">
        <v>230119</v>
      </c>
      <c r="H17149">
        <v>4410</v>
      </c>
      <c r="I17149" t="s">
        <v>517</v>
      </c>
      <c r="J17149">
        <v>18.399999999999999</v>
      </c>
      <c r="K17149">
        <v>0</v>
      </c>
      <c r="L17149">
        <v>11908</v>
      </c>
      <c r="M17149" t="s">
        <v>598</v>
      </c>
      <c r="N17149" t="str">
        <f>"49158307    "</f>
        <v xml:space="preserve">49158307    </v>
      </c>
      <c r="O17149">
        <v>230124</v>
      </c>
    </row>
    <row r="17150" spans="1:15" x14ac:dyDescent="0.25">
      <c r="A17150" t="s">
        <v>16</v>
      </c>
      <c r="B17150" t="s">
        <v>3221</v>
      </c>
      <c r="C17150">
        <v>518</v>
      </c>
      <c r="D17150" t="s">
        <v>550</v>
      </c>
      <c r="E17150" t="s">
        <v>551</v>
      </c>
      <c r="F17150">
        <v>185.18</v>
      </c>
      <c r="G17150">
        <v>230119</v>
      </c>
      <c r="H17150">
        <v>4410</v>
      </c>
      <c r="I17150" t="s">
        <v>517</v>
      </c>
      <c r="J17150">
        <v>203.7</v>
      </c>
      <c r="K17150">
        <v>18.52</v>
      </c>
      <c r="L17150">
        <v>11908</v>
      </c>
      <c r="M17150" t="s">
        <v>598</v>
      </c>
      <c r="N17150" t="str">
        <f>"49158307    "</f>
        <v xml:space="preserve">49158307    </v>
      </c>
      <c r="O17150">
        <v>230124</v>
      </c>
    </row>
    <row r="17151" spans="1:15" x14ac:dyDescent="0.25">
      <c r="A17151" t="s">
        <v>16</v>
      </c>
      <c r="B17151" t="s">
        <v>3221</v>
      </c>
      <c r="C17151">
        <v>874</v>
      </c>
      <c r="D17151" t="s">
        <v>550</v>
      </c>
      <c r="E17151" t="s">
        <v>551</v>
      </c>
      <c r="F17151">
        <v>8.07</v>
      </c>
      <c r="G17151">
        <v>230127</v>
      </c>
      <c r="H17151">
        <v>4410</v>
      </c>
      <c r="I17151" t="s">
        <v>517</v>
      </c>
      <c r="J17151">
        <v>9.1999999999999993</v>
      </c>
      <c r="K17151">
        <v>1.1299999999999999</v>
      </c>
      <c r="L17151">
        <v>13801</v>
      </c>
      <c r="M17151" t="s">
        <v>162</v>
      </c>
      <c r="N17151" t="str">
        <f>"37010755    "</f>
        <v xml:space="preserve">37010755    </v>
      </c>
      <c r="O17151">
        <v>230131</v>
      </c>
    </row>
    <row r="17152" spans="1:15" x14ac:dyDescent="0.25">
      <c r="A17152" t="s">
        <v>16</v>
      </c>
      <c r="B17152" t="s">
        <v>3221</v>
      </c>
      <c r="C17152">
        <v>874</v>
      </c>
      <c r="D17152" t="s">
        <v>550</v>
      </c>
      <c r="E17152" t="s">
        <v>551</v>
      </c>
      <c r="F17152">
        <v>94.36</v>
      </c>
      <c r="G17152">
        <v>230127</v>
      </c>
      <c r="H17152">
        <v>4410</v>
      </c>
      <c r="I17152" t="s">
        <v>517</v>
      </c>
      <c r="J17152">
        <v>103.8</v>
      </c>
      <c r="K17152">
        <v>9.44</v>
      </c>
      <c r="L17152">
        <v>13801</v>
      </c>
      <c r="M17152" t="s">
        <v>162</v>
      </c>
      <c r="N17152" t="str">
        <f>"37010755    "</f>
        <v xml:space="preserve">37010755    </v>
      </c>
      <c r="O17152">
        <v>230131</v>
      </c>
    </row>
    <row r="17153" spans="1:15" x14ac:dyDescent="0.25">
      <c r="A17153" t="s">
        <v>16</v>
      </c>
      <c r="B17153" t="s">
        <v>3221</v>
      </c>
      <c r="C17153">
        <v>894</v>
      </c>
      <c r="D17153" t="s">
        <v>550</v>
      </c>
      <c r="E17153" t="s">
        <v>551</v>
      </c>
      <c r="F17153">
        <v>9.1999999999999993</v>
      </c>
      <c r="G17153">
        <v>230128</v>
      </c>
      <c r="H17153">
        <v>4410</v>
      </c>
      <c r="I17153" t="s">
        <v>517</v>
      </c>
      <c r="J17153">
        <v>9.1999999999999993</v>
      </c>
      <c r="K17153">
        <v>0</v>
      </c>
      <c r="L17153">
        <v>11905</v>
      </c>
      <c r="M17153" t="s">
        <v>39</v>
      </c>
      <c r="N17153" t="str">
        <f>"27009820    "</f>
        <v xml:space="preserve">27009820    </v>
      </c>
      <c r="O17153">
        <v>230201</v>
      </c>
    </row>
    <row r="17154" spans="1:15" x14ac:dyDescent="0.25">
      <c r="A17154" t="s">
        <v>16</v>
      </c>
      <c r="B17154" t="s">
        <v>3221</v>
      </c>
      <c r="C17154">
        <v>894</v>
      </c>
      <c r="D17154" t="s">
        <v>550</v>
      </c>
      <c r="E17154" t="s">
        <v>551</v>
      </c>
      <c r="F17154">
        <v>98.91</v>
      </c>
      <c r="G17154">
        <v>230128</v>
      </c>
      <c r="H17154">
        <v>4410</v>
      </c>
      <c r="I17154" t="s">
        <v>517</v>
      </c>
      <c r="J17154">
        <v>108.8</v>
      </c>
      <c r="K17154">
        <v>9.89</v>
      </c>
      <c r="L17154">
        <v>11905</v>
      </c>
      <c r="M17154" t="s">
        <v>39</v>
      </c>
      <c r="N17154" t="str">
        <f>"27009820    "</f>
        <v xml:space="preserve">27009820    </v>
      </c>
      <c r="O17154">
        <v>230201</v>
      </c>
    </row>
    <row r="17155" spans="1:15" x14ac:dyDescent="0.25">
      <c r="A17155" t="s">
        <v>16</v>
      </c>
      <c r="B17155" t="s">
        <v>3221</v>
      </c>
      <c r="C17155">
        <v>1125</v>
      </c>
      <c r="D17155" t="s">
        <v>550</v>
      </c>
      <c r="E17155" t="s">
        <v>551</v>
      </c>
      <c r="F17155">
        <v>9.1999999999999993</v>
      </c>
      <c r="G17155">
        <v>230127</v>
      </c>
      <c r="H17155">
        <v>4410</v>
      </c>
      <c r="I17155" t="s">
        <v>517</v>
      </c>
      <c r="J17155">
        <v>9.1999999999999993</v>
      </c>
      <c r="K17155">
        <v>0</v>
      </c>
      <c r="L17155">
        <v>13801</v>
      </c>
      <c r="M17155" t="s">
        <v>162</v>
      </c>
      <c r="N17155" t="str">
        <f>"37010754    "</f>
        <v xml:space="preserve">37010754    </v>
      </c>
      <c r="O17155">
        <v>230206</v>
      </c>
    </row>
    <row r="17156" spans="1:15" x14ac:dyDescent="0.25">
      <c r="A17156" t="s">
        <v>16</v>
      </c>
      <c r="B17156" t="s">
        <v>3221</v>
      </c>
      <c r="C17156">
        <v>1125</v>
      </c>
      <c r="D17156" t="s">
        <v>550</v>
      </c>
      <c r="E17156" t="s">
        <v>551</v>
      </c>
      <c r="F17156">
        <v>94.36</v>
      </c>
      <c r="G17156">
        <v>230127</v>
      </c>
      <c r="H17156">
        <v>4410</v>
      </c>
      <c r="I17156" t="s">
        <v>517</v>
      </c>
      <c r="J17156">
        <v>103.8</v>
      </c>
      <c r="K17156">
        <v>9.44</v>
      </c>
      <c r="L17156">
        <v>13801</v>
      </c>
      <c r="M17156" t="s">
        <v>162</v>
      </c>
      <c r="N17156" t="str">
        <f>"37010754    "</f>
        <v xml:space="preserve">37010754    </v>
      </c>
      <c r="O17156">
        <v>230206</v>
      </c>
    </row>
    <row r="17157" spans="1:15" x14ac:dyDescent="0.25">
      <c r="A17157" t="s">
        <v>16</v>
      </c>
      <c r="B17157" t="s">
        <v>3221</v>
      </c>
      <c r="C17157">
        <v>1168</v>
      </c>
      <c r="D17157" t="s">
        <v>550</v>
      </c>
      <c r="E17157" t="s">
        <v>551</v>
      </c>
      <c r="F17157">
        <v>24.21</v>
      </c>
      <c r="G17157">
        <v>230201</v>
      </c>
      <c r="H17157">
        <v>4410</v>
      </c>
      <c r="I17157" t="s">
        <v>517</v>
      </c>
      <c r="J17157">
        <v>27.6</v>
      </c>
      <c r="K17157">
        <v>3.39</v>
      </c>
      <c r="L17157">
        <v>56559</v>
      </c>
      <c r="M17157" t="s">
        <v>129</v>
      </c>
      <c r="N17157" t="str">
        <f>"91016148    "</f>
        <v xml:space="preserve">91016148    </v>
      </c>
      <c r="O17157">
        <v>230206</v>
      </c>
    </row>
    <row r="17158" spans="1:15" x14ac:dyDescent="0.25">
      <c r="A17158" t="s">
        <v>16</v>
      </c>
      <c r="B17158" t="s">
        <v>3221</v>
      </c>
      <c r="C17158">
        <v>1168</v>
      </c>
      <c r="D17158" t="s">
        <v>550</v>
      </c>
      <c r="E17158" t="s">
        <v>551</v>
      </c>
      <c r="F17158">
        <v>155.82</v>
      </c>
      <c r="G17158">
        <v>230201</v>
      </c>
      <c r="H17158">
        <v>4410</v>
      </c>
      <c r="I17158" t="s">
        <v>517</v>
      </c>
      <c r="J17158">
        <v>171.4</v>
      </c>
      <c r="K17158">
        <v>15.58</v>
      </c>
      <c r="L17158">
        <v>56559</v>
      </c>
      <c r="M17158" t="s">
        <v>129</v>
      </c>
      <c r="N17158" t="str">
        <f>"91016148    "</f>
        <v xml:space="preserve">91016148    </v>
      </c>
      <c r="O17158">
        <v>230206</v>
      </c>
    </row>
    <row r="17159" spans="1:15" x14ac:dyDescent="0.25">
      <c r="A17159" t="s">
        <v>16</v>
      </c>
      <c r="B17159" t="s">
        <v>3221</v>
      </c>
      <c r="C17159">
        <v>1249</v>
      </c>
      <c r="D17159" t="s">
        <v>550</v>
      </c>
      <c r="E17159" t="s">
        <v>551</v>
      </c>
      <c r="F17159">
        <v>18.399999999999999</v>
      </c>
      <c r="G17159">
        <v>230203</v>
      </c>
      <c r="H17159">
        <v>4410</v>
      </c>
      <c r="I17159" t="s">
        <v>517</v>
      </c>
      <c r="J17159">
        <v>18.399999999999999</v>
      </c>
      <c r="K17159">
        <v>0</v>
      </c>
      <c r="L17159">
        <v>65422</v>
      </c>
      <c r="M17159" t="s">
        <v>602</v>
      </c>
      <c r="N17159" t="str">
        <f>"67164320    "</f>
        <v xml:space="preserve">67164320    </v>
      </c>
      <c r="O17159">
        <v>230207</v>
      </c>
    </row>
    <row r="17160" spans="1:15" x14ac:dyDescent="0.25">
      <c r="A17160" t="s">
        <v>16</v>
      </c>
      <c r="B17160" t="s">
        <v>3221</v>
      </c>
      <c r="C17160">
        <v>1249</v>
      </c>
      <c r="D17160" t="s">
        <v>550</v>
      </c>
      <c r="E17160" t="s">
        <v>551</v>
      </c>
      <c r="F17160">
        <v>108.73</v>
      </c>
      <c r="G17160">
        <v>230203</v>
      </c>
      <c r="H17160">
        <v>4410</v>
      </c>
      <c r="I17160" t="s">
        <v>517</v>
      </c>
      <c r="J17160">
        <v>119.6</v>
      </c>
      <c r="K17160">
        <v>10.87</v>
      </c>
      <c r="L17160">
        <v>65422</v>
      </c>
      <c r="M17160" t="s">
        <v>602</v>
      </c>
      <c r="N17160" t="str">
        <f>"67164320    "</f>
        <v xml:space="preserve">67164320    </v>
      </c>
      <c r="O17160">
        <v>230207</v>
      </c>
    </row>
    <row r="17161" spans="1:15" x14ac:dyDescent="0.25">
      <c r="A17161" t="s">
        <v>16</v>
      </c>
      <c r="B17161" t="s">
        <v>3221</v>
      </c>
      <c r="C17161">
        <v>1249</v>
      </c>
      <c r="D17161" t="s">
        <v>550</v>
      </c>
      <c r="E17161" t="s">
        <v>551</v>
      </c>
      <c r="F17161">
        <v>18.399999999999999</v>
      </c>
      <c r="G17161">
        <v>230203</v>
      </c>
      <c r="H17161">
        <v>4410</v>
      </c>
      <c r="I17161" t="s">
        <v>517</v>
      </c>
      <c r="J17161">
        <v>18.399999999999999</v>
      </c>
      <c r="K17161">
        <v>0</v>
      </c>
      <c r="L17161">
        <v>66722</v>
      </c>
      <c r="M17161" t="s">
        <v>518</v>
      </c>
      <c r="N17161" t="str">
        <f>"67164320    "</f>
        <v xml:space="preserve">67164320    </v>
      </c>
      <c r="O17161">
        <v>230207</v>
      </c>
    </row>
    <row r="17162" spans="1:15" x14ac:dyDescent="0.25">
      <c r="A17162" t="s">
        <v>16</v>
      </c>
      <c r="B17162" t="s">
        <v>3221</v>
      </c>
      <c r="C17162">
        <v>1249</v>
      </c>
      <c r="D17162" t="s">
        <v>550</v>
      </c>
      <c r="E17162" t="s">
        <v>551</v>
      </c>
      <c r="F17162">
        <v>108.73</v>
      </c>
      <c r="G17162">
        <v>230203</v>
      </c>
      <c r="H17162">
        <v>4410</v>
      </c>
      <c r="I17162" t="s">
        <v>517</v>
      </c>
      <c r="J17162">
        <v>119.6</v>
      </c>
      <c r="K17162">
        <v>10.87</v>
      </c>
      <c r="L17162">
        <v>66722</v>
      </c>
      <c r="M17162" t="s">
        <v>518</v>
      </c>
      <c r="N17162" t="str">
        <f>"67164320    "</f>
        <v xml:space="preserve">67164320    </v>
      </c>
      <c r="O17162">
        <v>230207</v>
      </c>
    </row>
    <row r="17163" spans="1:15" x14ac:dyDescent="0.25">
      <c r="A17163" t="s">
        <v>16</v>
      </c>
      <c r="B17163" t="s">
        <v>3221</v>
      </c>
      <c r="C17163">
        <v>1549</v>
      </c>
      <c r="D17163" t="s">
        <v>550</v>
      </c>
      <c r="E17163" t="s">
        <v>551</v>
      </c>
      <c r="F17163">
        <v>229.21</v>
      </c>
      <c r="G17163">
        <v>230206</v>
      </c>
      <c r="H17163">
        <v>4410</v>
      </c>
      <c r="I17163" t="s">
        <v>517</v>
      </c>
      <c r="J17163">
        <v>261.3</v>
      </c>
      <c r="K17163">
        <v>32.090000000000003</v>
      </c>
      <c r="L17163">
        <v>13401</v>
      </c>
      <c r="M17163" t="s">
        <v>80</v>
      </c>
      <c r="N17163" t="str">
        <f>"70032811    "</f>
        <v xml:space="preserve">70032811    </v>
      </c>
      <c r="O17163">
        <v>230209</v>
      </c>
    </row>
    <row r="17164" spans="1:15" x14ac:dyDescent="0.25">
      <c r="A17164" t="s">
        <v>16</v>
      </c>
      <c r="B17164" t="s">
        <v>3221</v>
      </c>
      <c r="C17164">
        <v>1549</v>
      </c>
      <c r="D17164" t="s">
        <v>550</v>
      </c>
      <c r="E17164" t="s">
        <v>551</v>
      </c>
      <c r="F17164">
        <v>519.27</v>
      </c>
      <c r="G17164">
        <v>230206</v>
      </c>
      <c r="H17164">
        <v>4410</v>
      </c>
      <c r="I17164" t="s">
        <v>517</v>
      </c>
      <c r="J17164">
        <v>571.20000000000005</v>
      </c>
      <c r="K17164">
        <v>51.93</v>
      </c>
      <c r="L17164">
        <v>13401</v>
      </c>
      <c r="M17164" t="s">
        <v>80</v>
      </c>
      <c r="N17164" t="str">
        <f>"70032811    "</f>
        <v xml:space="preserve">70032811    </v>
      </c>
      <c r="O17164">
        <v>230209</v>
      </c>
    </row>
    <row r="17165" spans="1:15" x14ac:dyDescent="0.25">
      <c r="A17165" t="s">
        <v>16</v>
      </c>
      <c r="B17165" t="s">
        <v>3221</v>
      </c>
      <c r="C17165">
        <v>1553</v>
      </c>
      <c r="D17165" t="s">
        <v>550</v>
      </c>
      <c r="E17165" t="s">
        <v>551</v>
      </c>
      <c r="F17165">
        <v>106.05</v>
      </c>
      <c r="G17165">
        <v>230206</v>
      </c>
      <c r="H17165">
        <v>4410</v>
      </c>
      <c r="I17165" t="s">
        <v>517</v>
      </c>
      <c r="J17165">
        <v>120.9</v>
      </c>
      <c r="K17165">
        <v>14.85</v>
      </c>
      <c r="L17165">
        <v>13401</v>
      </c>
      <c r="M17165" t="s">
        <v>80</v>
      </c>
      <c r="N17165" t="str">
        <f>"70032810    "</f>
        <v xml:space="preserve">70032810    </v>
      </c>
      <c r="O17165">
        <v>230209</v>
      </c>
    </row>
    <row r="17166" spans="1:15" x14ac:dyDescent="0.25">
      <c r="A17166" t="s">
        <v>16</v>
      </c>
      <c r="B17166" t="s">
        <v>3221</v>
      </c>
      <c r="C17166">
        <v>1553</v>
      </c>
      <c r="D17166" t="s">
        <v>550</v>
      </c>
      <c r="E17166" t="s">
        <v>551</v>
      </c>
      <c r="F17166">
        <v>519.27</v>
      </c>
      <c r="G17166">
        <v>230206</v>
      </c>
      <c r="H17166">
        <v>4410</v>
      </c>
      <c r="I17166" t="s">
        <v>517</v>
      </c>
      <c r="J17166">
        <v>571.20000000000005</v>
      </c>
      <c r="K17166">
        <v>51.93</v>
      </c>
      <c r="L17166">
        <v>13401</v>
      </c>
      <c r="M17166" t="s">
        <v>80</v>
      </c>
      <c r="N17166" t="str">
        <f>"70032810    "</f>
        <v xml:space="preserve">70032810    </v>
      </c>
      <c r="O17166">
        <v>230209</v>
      </c>
    </row>
    <row r="17167" spans="1:15" x14ac:dyDescent="0.25">
      <c r="A17167" t="s">
        <v>16</v>
      </c>
      <c r="B17167" t="s">
        <v>3221</v>
      </c>
      <c r="C17167">
        <v>1912</v>
      </c>
      <c r="D17167" t="s">
        <v>550</v>
      </c>
      <c r="E17167" t="s">
        <v>551</v>
      </c>
      <c r="F17167">
        <v>46</v>
      </c>
      <c r="G17167">
        <v>230202</v>
      </c>
      <c r="H17167">
        <v>4410</v>
      </c>
      <c r="I17167" t="s">
        <v>517</v>
      </c>
      <c r="J17167">
        <v>46</v>
      </c>
      <c r="K17167">
        <v>0</v>
      </c>
      <c r="L17167">
        <v>41126</v>
      </c>
      <c r="M17167" t="s">
        <v>761</v>
      </c>
      <c r="N17167" t="str">
        <f>"23034291    "</f>
        <v xml:space="preserve">23034291    </v>
      </c>
      <c r="O17167">
        <v>230216</v>
      </c>
    </row>
    <row r="17168" spans="1:15" x14ac:dyDescent="0.25">
      <c r="A17168" t="s">
        <v>16</v>
      </c>
      <c r="B17168" t="s">
        <v>3221</v>
      </c>
      <c r="C17168">
        <v>1912</v>
      </c>
      <c r="D17168" t="s">
        <v>550</v>
      </c>
      <c r="E17168" t="s">
        <v>551</v>
      </c>
      <c r="F17168">
        <v>274.73</v>
      </c>
      <c r="G17168">
        <v>230202</v>
      </c>
      <c r="H17168">
        <v>4410</v>
      </c>
      <c r="I17168" t="s">
        <v>517</v>
      </c>
      <c r="J17168">
        <v>302.2</v>
      </c>
      <c r="K17168">
        <v>27.47</v>
      </c>
      <c r="L17168">
        <v>41126</v>
      </c>
      <c r="M17168" t="s">
        <v>761</v>
      </c>
      <c r="N17168" t="str">
        <f>"23034291    "</f>
        <v xml:space="preserve">23034291    </v>
      </c>
      <c r="O17168">
        <v>230216</v>
      </c>
    </row>
    <row r="17169" spans="1:15" x14ac:dyDescent="0.25">
      <c r="A17169" t="s">
        <v>16</v>
      </c>
      <c r="B17169" t="s">
        <v>3221</v>
      </c>
      <c r="C17169">
        <v>4150</v>
      </c>
      <c r="D17169" t="s">
        <v>550</v>
      </c>
      <c r="E17169" t="s">
        <v>551</v>
      </c>
      <c r="F17169">
        <v>36.799999999999997</v>
      </c>
      <c r="G17169">
        <v>230324</v>
      </c>
      <c r="H17169">
        <v>4410</v>
      </c>
      <c r="I17169" t="s">
        <v>517</v>
      </c>
      <c r="J17169">
        <v>36.799999999999997</v>
      </c>
      <c r="K17169">
        <v>0</v>
      </c>
      <c r="L17169">
        <v>18974</v>
      </c>
      <c r="M17169" t="s">
        <v>1663</v>
      </c>
      <c r="N17169" t="str">
        <f>"23035395    "</f>
        <v xml:space="preserve">23035395    </v>
      </c>
      <c r="O17169">
        <v>230330</v>
      </c>
    </row>
    <row r="17170" spans="1:15" x14ac:dyDescent="0.25">
      <c r="A17170" t="s">
        <v>16</v>
      </c>
      <c r="B17170" t="s">
        <v>3221</v>
      </c>
      <c r="C17170">
        <v>4150</v>
      </c>
      <c r="D17170" t="s">
        <v>550</v>
      </c>
      <c r="E17170" t="s">
        <v>551</v>
      </c>
      <c r="F17170">
        <v>244.73</v>
      </c>
      <c r="G17170">
        <v>230324</v>
      </c>
      <c r="H17170">
        <v>4410</v>
      </c>
      <c r="I17170" t="s">
        <v>517</v>
      </c>
      <c r="J17170">
        <v>269.2</v>
      </c>
      <c r="K17170">
        <v>24.47</v>
      </c>
      <c r="L17170">
        <v>18974</v>
      </c>
      <c r="M17170" t="s">
        <v>1663</v>
      </c>
      <c r="N17170" t="str">
        <f>"23035395    "</f>
        <v xml:space="preserve">23035395    </v>
      </c>
      <c r="O17170">
        <v>230330</v>
      </c>
    </row>
    <row r="17171" spans="1:15" x14ac:dyDescent="0.25">
      <c r="A17171" t="s">
        <v>16</v>
      </c>
      <c r="B17171" t="s">
        <v>3221</v>
      </c>
      <c r="C17171">
        <v>4151</v>
      </c>
      <c r="D17171" t="s">
        <v>550</v>
      </c>
      <c r="E17171" t="s">
        <v>551</v>
      </c>
      <c r="F17171">
        <v>18.399999999999999</v>
      </c>
      <c r="G17171">
        <v>230324</v>
      </c>
      <c r="H17171">
        <v>4410</v>
      </c>
      <c r="I17171" t="s">
        <v>517</v>
      </c>
      <c r="J17171">
        <v>18.399999999999999</v>
      </c>
      <c r="K17171">
        <v>0</v>
      </c>
      <c r="L17171">
        <v>18974</v>
      </c>
      <c r="M17171" t="s">
        <v>1663</v>
      </c>
      <c r="N17171" t="str">
        <f>"23035396    "</f>
        <v xml:space="preserve">23035396    </v>
      </c>
      <c r="O17171">
        <v>230330</v>
      </c>
    </row>
    <row r="17172" spans="1:15" x14ac:dyDescent="0.25">
      <c r="A17172" t="s">
        <v>16</v>
      </c>
      <c r="B17172" t="s">
        <v>3221</v>
      </c>
      <c r="C17172">
        <v>4151</v>
      </c>
      <c r="D17172" t="s">
        <v>550</v>
      </c>
      <c r="E17172" t="s">
        <v>551</v>
      </c>
      <c r="F17172">
        <v>122.36</v>
      </c>
      <c r="G17172">
        <v>230324</v>
      </c>
      <c r="H17172">
        <v>4410</v>
      </c>
      <c r="I17172" t="s">
        <v>517</v>
      </c>
      <c r="J17172">
        <v>134.6</v>
      </c>
      <c r="K17172">
        <v>12.24</v>
      </c>
      <c r="L17172">
        <v>18974</v>
      </c>
      <c r="M17172" t="s">
        <v>1663</v>
      </c>
      <c r="N17172" t="str">
        <f>"23035396    "</f>
        <v xml:space="preserve">23035396    </v>
      </c>
      <c r="O17172">
        <v>230330</v>
      </c>
    </row>
    <row r="17173" spans="1:15" x14ac:dyDescent="0.25">
      <c r="A17173" t="s">
        <v>16</v>
      </c>
      <c r="B17173" t="s">
        <v>3221</v>
      </c>
      <c r="C17173">
        <v>4155</v>
      </c>
      <c r="D17173" t="s">
        <v>550</v>
      </c>
      <c r="E17173" t="s">
        <v>551</v>
      </c>
      <c r="F17173">
        <v>18.399999999999999</v>
      </c>
      <c r="G17173">
        <v>230324</v>
      </c>
      <c r="H17173">
        <v>4410</v>
      </c>
      <c r="I17173" t="s">
        <v>517</v>
      </c>
      <c r="J17173">
        <v>18.399999999999999</v>
      </c>
      <c r="K17173">
        <v>0</v>
      </c>
      <c r="L17173">
        <v>18972</v>
      </c>
      <c r="M17173" t="s">
        <v>163</v>
      </c>
      <c r="N17173" t="str">
        <f>"23035399    "</f>
        <v xml:space="preserve">23035399    </v>
      </c>
      <c r="O17173">
        <v>230330</v>
      </c>
    </row>
    <row r="17174" spans="1:15" x14ac:dyDescent="0.25">
      <c r="A17174" t="s">
        <v>16</v>
      </c>
      <c r="B17174" t="s">
        <v>3221</v>
      </c>
      <c r="C17174">
        <v>4155</v>
      </c>
      <c r="D17174" t="s">
        <v>550</v>
      </c>
      <c r="E17174" t="s">
        <v>551</v>
      </c>
      <c r="F17174">
        <v>228.73</v>
      </c>
      <c r="G17174">
        <v>230324</v>
      </c>
      <c r="H17174">
        <v>4410</v>
      </c>
      <c r="I17174" t="s">
        <v>517</v>
      </c>
      <c r="J17174">
        <v>251.6</v>
      </c>
      <c r="K17174">
        <v>22.87</v>
      </c>
      <c r="L17174">
        <v>18972</v>
      </c>
      <c r="M17174" t="s">
        <v>163</v>
      </c>
      <c r="N17174" t="str">
        <f>"23035399    "</f>
        <v xml:space="preserve">23035399    </v>
      </c>
      <c r="O17174">
        <v>230330</v>
      </c>
    </row>
    <row r="17175" spans="1:15" x14ac:dyDescent="0.25">
      <c r="A17175" t="s">
        <v>16</v>
      </c>
      <c r="B17175" t="s">
        <v>3221</v>
      </c>
      <c r="C17175">
        <v>4170</v>
      </c>
      <c r="D17175" t="s">
        <v>550</v>
      </c>
      <c r="E17175" t="s">
        <v>551</v>
      </c>
      <c r="F17175">
        <v>9.1999999999999993</v>
      </c>
      <c r="G17175">
        <v>230324</v>
      </c>
      <c r="H17175">
        <v>4410</v>
      </c>
      <c r="I17175" t="s">
        <v>517</v>
      </c>
      <c r="J17175">
        <v>9.1999999999999993</v>
      </c>
      <c r="K17175">
        <v>0</v>
      </c>
      <c r="L17175">
        <v>18972</v>
      </c>
      <c r="M17175" t="s">
        <v>163</v>
      </c>
      <c r="N17175" t="str">
        <f>"23035397    "</f>
        <v xml:space="preserve">23035397    </v>
      </c>
      <c r="O17175">
        <v>230331</v>
      </c>
    </row>
    <row r="17176" spans="1:15" x14ac:dyDescent="0.25">
      <c r="A17176" t="s">
        <v>16</v>
      </c>
      <c r="B17176" t="s">
        <v>3221</v>
      </c>
      <c r="C17176">
        <v>4170</v>
      </c>
      <c r="D17176" t="s">
        <v>550</v>
      </c>
      <c r="E17176" t="s">
        <v>551</v>
      </c>
      <c r="F17176">
        <v>114.36</v>
      </c>
      <c r="G17176">
        <v>230324</v>
      </c>
      <c r="H17176">
        <v>4410</v>
      </c>
      <c r="I17176" t="s">
        <v>517</v>
      </c>
      <c r="J17176">
        <v>125.8</v>
      </c>
      <c r="K17176">
        <v>11.44</v>
      </c>
      <c r="L17176">
        <v>18972</v>
      </c>
      <c r="M17176" t="s">
        <v>163</v>
      </c>
      <c r="N17176" t="str">
        <f>"23035397    "</f>
        <v xml:space="preserve">23035397    </v>
      </c>
      <c r="O17176">
        <v>230331</v>
      </c>
    </row>
    <row r="17177" spans="1:15" x14ac:dyDescent="0.25">
      <c r="A17177" t="s">
        <v>16</v>
      </c>
      <c r="B17177" t="s">
        <v>3221</v>
      </c>
      <c r="C17177">
        <v>4836</v>
      </c>
      <c r="D17177" t="s">
        <v>550</v>
      </c>
      <c r="E17177" t="s">
        <v>551</v>
      </c>
      <c r="F17177">
        <v>9.2100000000000009</v>
      </c>
      <c r="G17177">
        <v>230331</v>
      </c>
      <c r="H17177">
        <v>4410</v>
      </c>
      <c r="I17177" t="s">
        <v>517</v>
      </c>
      <c r="J17177">
        <v>9.2100000000000009</v>
      </c>
      <c r="K17177">
        <v>0</v>
      </c>
      <c r="L17177">
        <v>17524</v>
      </c>
      <c r="M17177" t="s">
        <v>452</v>
      </c>
      <c r="N17177" t="str">
        <f>"33020212    "</f>
        <v xml:space="preserve">33020212    </v>
      </c>
      <c r="O17177">
        <v>230413</v>
      </c>
    </row>
    <row r="17178" spans="1:15" x14ac:dyDescent="0.25">
      <c r="A17178" t="s">
        <v>16</v>
      </c>
      <c r="B17178" t="s">
        <v>3221</v>
      </c>
      <c r="C17178">
        <v>4836</v>
      </c>
      <c r="D17178" t="s">
        <v>550</v>
      </c>
      <c r="E17178" t="s">
        <v>551</v>
      </c>
      <c r="F17178">
        <v>90.54</v>
      </c>
      <c r="G17178">
        <v>230331</v>
      </c>
      <c r="H17178">
        <v>4410</v>
      </c>
      <c r="I17178" t="s">
        <v>517</v>
      </c>
      <c r="J17178">
        <v>99.59</v>
      </c>
      <c r="K17178">
        <v>9.0500000000000007</v>
      </c>
      <c r="L17178">
        <v>17524</v>
      </c>
      <c r="M17178" t="s">
        <v>452</v>
      </c>
      <c r="N17178" t="str">
        <f>"33020212    "</f>
        <v xml:space="preserve">33020212    </v>
      </c>
      <c r="O17178">
        <v>230413</v>
      </c>
    </row>
    <row r="17179" spans="1:15" x14ac:dyDescent="0.25">
      <c r="A17179" t="s">
        <v>16</v>
      </c>
      <c r="B17179" t="s">
        <v>3221</v>
      </c>
      <c r="C17179">
        <v>5932</v>
      </c>
      <c r="D17179" t="s">
        <v>550</v>
      </c>
      <c r="E17179" t="s">
        <v>551</v>
      </c>
      <c r="F17179">
        <v>18.399999999999999</v>
      </c>
      <c r="G17179">
        <v>230421</v>
      </c>
      <c r="H17179">
        <v>4410</v>
      </c>
      <c r="I17179" t="s">
        <v>517</v>
      </c>
      <c r="J17179">
        <v>18.399999999999999</v>
      </c>
      <c r="K17179">
        <v>0</v>
      </c>
      <c r="L17179">
        <v>18991</v>
      </c>
      <c r="M17179" t="s">
        <v>1106</v>
      </c>
      <c r="N17179" t="str">
        <f>"27010447    "</f>
        <v xml:space="preserve">27010447    </v>
      </c>
      <c r="O17179">
        <v>230504</v>
      </c>
    </row>
    <row r="17180" spans="1:15" x14ac:dyDescent="0.25">
      <c r="A17180" t="s">
        <v>16</v>
      </c>
      <c r="B17180" t="s">
        <v>3221</v>
      </c>
      <c r="C17180">
        <v>5932</v>
      </c>
      <c r="D17180" t="s">
        <v>550</v>
      </c>
      <c r="E17180" t="s">
        <v>551</v>
      </c>
      <c r="F17180">
        <v>454.18</v>
      </c>
      <c r="G17180">
        <v>230421</v>
      </c>
      <c r="H17180">
        <v>4410</v>
      </c>
      <c r="I17180" t="s">
        <v>517</v>
      </c>
      <c r="J17180">
        <v>499.6</v>
      </c>
      <c r="K17180">
        <v>45.42</v>
      </c>
      <c r="L17180">
        <v>18991</v>
      </c>
      <c r="M17180" t="s">
        <v>1106</v>
      </c>
      <c r="N17180" t="str">
        <f>"27010447    "</f>
        <v xml:space="preserve">27010447    </v>
      </c>
      <c r="O17180">
        <v>230504</v>
      </c>
    </row>
    <row r="17181" spans="1:15" x14ac:dyDescent="0.25">
      <c r="A17181" t="s">
        <v>16</v>
      </c>
      <c r="B17181" t="s">
        <v>3221</v>
      </c>
      <c r="C17181">
        <v>6048</v>
      </c>
      <c r="D17181" t="s">
        <v>550</v>
      </c>
      <c r="E17181" t="s">
        <v>551</v>
      </c>
      <c r="F17181">
        <v>18.399999999999999</v>
      </c>
      <c r="G17181">
        <v>230421</v>
      </c>
      <c r="H17181">
        <v>4410</v>
      </c>
      <c r="I17181" t="s">
        <v>517</v>
      </c>
      <c r="J17181">
        <v>18.399999999999999</v>
      </c>
      <c r="K17181">
        <v>0</v>
      </c>
      <c r="L17181">
        <v>18991</v>
      </c>
      <c r="M17181" t="s">
        <v>1106</v>
      </c>
      <c r="N17181" t="str">
        <f>"27010446    "</f>
        <v xml:space="preserve">27010446    </v>
      </c>
      <c r="O17181">
        <v>230508</v>
      </c>
    </row>
    <row r="17182" spans="1:15" x14ac:dyDescent="0.25">
      <c r="A17182" t="s">
        <v>16</v>
      </c>
      <c r="B17182" t="s">
        <v>3221</v>
      </c>
      <c r="C17182">
        <v>6048</v>
      </c>
      <c r="D17182" t="s">
        <v>550</v>
      </c>
      <c r="E17182" t="s">
        <v>551</v>
      </c>
      <c r="F17182">
        <v>454.18</v>
      </c>
      <c r="G17182">
        <v>230421</v>
      </c>
      <c r="H17182">
        <v>4410</v>
      </c>
      <c r="I17182" t="s">
        <v>517</v>
      </c>
      <c r="J17182">
        <v>499.6</v>
      </c>
      <c r="K17182">
        <v>45.42</v>
      </c>
      <c r="L17182">
        <v>18991</v>
      </c>
      <c r="M17182" t="s">
        <v>1106</v>
      </c>
      <c r="N17182" t="str">
        <f>"27010446    "</f>
        <v xml:space="preserve">27010446    </v>
      </c>
      <c r="O17182">
        <v>230508</v>
      </c>
    </row>
    <row r="17183" spans="1:15" x14ac:dyDescent="0.25">
      <c r="A17183" t="s">
        <v>16</v>
      </c>
      <c r="B17183" t="s">
        <v>3221</v>
      </c>
      <c r="C17183">
        <v>6219</v>
      </c>
      <c r="D17183" t="s">
        <v>550</v>
      </c>
      <c r="E17183" t="s">
        <v>551</v>
      </c>
      <c r="F17183">
        <v>165.6</v>
      </c>
      <c r="G17183">
        <v>230427</v>
      </c>
      <c r="H17183">
        <v>4410</v>
      </c>
      <c r="I17183" t="s">
        <v>517</v>
      </c>
      <c r="J17183">
        <v>165.6</v>
      </c>
      <c r="K17183">
        <v>0</v>
      </c>
      <c r="L17183">
        <v>17972</v>
      </c>
      <c r="M17183" t="s">
        <v>248</v>
      </c>
      <c r="N17183" t="str">
        <f t="shared" ref="N17183:N17190" si="233">"85017786    "</f>
        <v xml:space="preserve">85017786    </v>
      </c>
      <c r="O17183">
        <v>230509</v>
      </c>
    </row>
    <row r="17184" spans="1:15" x14ac:dyDescent="0.25">
      <c r="A17184" t="s">
        <v>16</v>
      </c>
      <c r="B17184" t="s">
        <v>3221</v>
      </c>
      <c r="C17184">
        <v>6219</v>
      </c>
      <c r="D17184" t="s">
        <v>550</v>
      </c>
      <c r="E17184" t="s">
        <v>551</v>
      </c>
      <c r="F17184">
        <v>823.09</v>
      </c>
      <c r="G17184">
        <v>230427</v>
      </c>
      <c r="H17184">
        <v>4410</v>
      </c>
      <c r="I17184" t="s">
        <v>517</v>
      </c>
      <c r="J17184">
        <v>905.4</v>
      </c>
      <c r="K17184">
        <v>82.31</v>
      </c>
      <c r="L17184">
        <v>17972</v>
      </c>
      <c r="M17184" t="s">
        <v>248</v>
      </c>
      <c r="N17184" t="str">
        <f t="shared" si="233"/>
        <v xml:space="preserve">85017786    </v>
      </c>
      <c r="O17184">
        <v>230509</v>
      </c>
    </row>
    <row r="17185" spans="1:15" x14ac:dyDescent="0.25">
      <c r="A17185" t="s">
        <v>16</v>
      </c>
      <c r="B17185" t="s">
        <v>3221</v>
      </c>
      <c r="C17185">
        <v>6219</v>
      </c>
      <c r="D17185" t="s">
        <v>550</v>
      </c>
      <c r="E17185" t="s">
        <v>551</v>
      </c>
      <c r="F17185">
        <v>429.88</v>
      </c>
      <c r="G17185">
        <v>230427</v>
      </c>
      <c r="H17185">
        <v>4410</v>
      </c>
      <c r="I17185" t="s">
        <v>517</v>
      </c>
      <c r="J17185">
        <v>429.88</v>
      </c>
      <c r="K17185">
        <v>0</v>
      </c>
      <c r="L17185">
        <v>18994</v>
      </c>
      <c r="M17185" t="s">
        <v>1940</v>
      </c>
      <c r="N17185" t="str">
        <f t="shared" si="233"/>
        <v xml:space="preserve">85017786    </v>
      </c>
      <c r="O17185">
        <v>230509</v>
      </c>
    </row>
    <row r="17186" spans="1:15" x14ac:dyDescent="0.25">
      <c r="A17186" t="s">
        <v>16</v>
      </c>
      <c r="B17186" t="s">
        <v>3221</v>
      </c>
      <c r="C17186">
        <v>6219</v>
      </c>
      <c r="D17186" t="s">
        <v>550</v>
      </c>
      <c r="E17186" t="s">
        <v>551</v>
      </c>
      <c r="F17186">
        <v>2328.75</v>
      </c>
      <c r="G17186">
        <v>230427</v>
      </c>
      <c r="H17186">
        <v>4410</v>
      </c>
      <c r="I17186" t="s">
        <v>517</v>
      </c>
      <c r="J17186">
        <v>2561.62</v>
      </c>
      <c r="K17186">
        <v>232.87</v>
      </c>
      <c r="L17186">
        <v>18994</v>
      </c>
      <c r="M17186" t="s">
        <v>1940</v>
      </c>
      <c r="N17186" t="str">
        <f t="shared" si="233"/>
        <v xml:space="preserve">85017786    </v>
      </c>
      <c r="O17186">
        <v>230509</v>
      </c>
    </row>
    <row r="17187" spans="1:15" x14ac:dyDescent="0.25">
      <c r="A17187" t="s">
        <v>16</v>
      </c>
      <c r="B17187" t="s">
        <v>3221</v>
      </c>
      <c r="C17187">
        <v>6219</v>
      </c>
      <c r="D17187" t="s">
        <v>550</v>
      </c>
      <c r="E17187" t="s">
        <v>551</v>
      </c>
      <c r="F17187">
        <v>36.799999999999997</v>
      </c>
      <c r="G17187">
        <v>230427</v>
      </c>
      <c r="H17187">
        <v>4410</v>
      </c>
      <c r="I17187" t="s">
        <v>517</v>
      </c>
      <c r="J17187">
        <v>36.799999999999997</v>
      </c>
      <c r="K17187">
        <v>0</v>
      </c>
      <c r="L17187">
        <v>59702</v>
      </c>
      <c r="M17187" t="s">
        <v>328</v>
      </c>
      <c r="N17187" t="str">
        <f t="shared" si="233"/>
        <v xml:space="preserve">85017786    </v>
      </c>
      <c r="O17187">
        <v>230509</v>
      </c>
    </row>
    <row r="17188" spans="1:15" x14ac:dyDescent="0.25">
      <c r="A17188" t="s">
        <v>16</v>
      </c>
      <c r="B17188" t="s">
        <v>3221</v>
      </c>
      <c r="C17188">
        <v>6219</v>
      </c>
      <c r="D17188" t="s">
        <v>550</v>
      </c>
      <c r="E17188" t="s">
        <v>551</v>
      </c>
      <c r="F17188">
        <v>182.91</v>
      </c>
      <c r="G17188">
        <v>230427</v>
      </c>
      <c r="H17188">
        <v>4410</v>
      </c>
      <c r="I17188" t="s">
        <v>517</v>
      </c>
      <c r="J17188">
        <v>201.2</v>
      </c>
      <c r="K17188">
        <v>18.29</v>
      </c>
      <c r="L17188">
        <v>59702</v>
      </c>
      <c r="M17188" t="s">
        <v>328</v>
      </c>
      <c r="N17188" t="str">
        <f t="shared" si="233"/>
        <v xml:space="preserve">85017786    </v>
      </c>
      <c r="O17188">
        <v>230509</v>
      </c>
    </row>
    <row r="17189" spans="1:15" x14ac:dyDescent="0.25">
      <c r="A17189" t="s">
        <v>16</v>
      </c>
      <c r="B17189" t="s">
        <v>3221</v>
      </c>
      <c r="C17189">
        <v>6219</v>
      </c>
      <c r="D17189" t="s">
        <v>550</v>
      </c>
      <c r="E17189" t="s">
        <v>551</v>
      </c>
      <c r="F17189">
        <v>94.5</v>
      </c>
      <c r="G17189">
        <v>230427</v>
      </c>
      <c r="H17189">
        <v>4410</v>
      </c>
      <c r="I17189" t="s">
        <v>517</v>
      </c>
      <c r="J17189">
        <v>94.5</v>
      </c>
      <c r="K17189">
        <v>0</v>
      </c>
      <c r="L17189">
        <v>69702</v>
      </c>
      <c r="M17189" t="s">
        <v>489</v>
      </c>
      <c r="N17189" t="str">
        <f t="shared" si="233"/>
        <v xml:space="preserve">85017786    </v>
      </c>
      <c r="O17189">
        <v>230509</v>
      </c>
    </row>
    <row r="17190" spans="1:15" x14ac:dyDescent="0.25">
      <c r="A17190" t="s">
        <v>16</v>
      </c>
      <c r="B17190" t="s">
        <v>3221</v>
      </c>
      <c r="C17190">
        <v>6219</v>
      </c>
      <c r="D17190" t="s">
        <v>550</v>
      </c>
      <c r="E17190" t="s">
        <v>551</v>
      </c>
      <c r="F17190">
        <v>457.27</v>
      </c>
      <c r="G17190">
        <v>230427</v>
      </c>
      <c r="H17190">
        <v>4410</v>
      </c>
      <c r="I17190" t="s">
        <v>517</v>
      </c>
      <c r="J17190">
        <v>503</v>
      </c>
      <c r="K17190">
        <v>45.73</v>
      </c>
      <c r="L17190">
        <v>69702</v>
      </c>
      <c r="M17190" t="s">
        <v>489</v>
      </c>
      <c r="N17190" t="str">
        <f t="shared" si="233"/>
        <v xml:space="preserve">85017786    </v>
      </c>
      <c r="O17190">
        <v>230509</v>
      </c>
    </row>
    <row r="17191" spans="1:15" x14ac:dyDescent="0.25">
      <c r="A17191" t="s">
        <v>16</v>
      </c>
      <c r="B17191" t="s">
        <v>3221</v>
      </c>
      <c r="C17191">
        <v>7753</v>
      </c>
      <c r="D17191" t="s">
        <v>550</v>
      </c>
      <c r="E17191" t="s">
        <v>551</v>
      </c>
      <c r="F17191">
        <v>18.399999999999999</v>
      </c>
      <c r="G17191">
        <v>230520</v>
      </c>
      <c r="H17191">
        <v>4410</v>
      </c>
      <c r="I17191" t="s">
        <v>517</v>
      </c>
      <c r="J17191">
        <v>18.399999999999999</v>
      </c>
      <c r="K17191">
        <v>0</v>
      </c>
      <c r="L17191">
        <v>17521</v>
      </c>
      <c r="M17191" t="s">
        <v>133</v>
      </c>
      <c r="N17191" t="str">
        <f>"90026001    "</f>
        <v xml:space="preserve">90026001    </v>
      </c>
      <c r="O17191">
        <v>230602</v>
      </c>
    </row>
    <row r="17192" spans="1:15" x14ac:dyDescent="0.25">
      <c r="A17192" t="s">
        <v>16</v>
      </c>
      <c r="B17192" t="s">
        <v>3221</v>
      </c>
      <c r="C17192">
        <v>7753</v>
      </c>
      <c r="D17192" t="s">
        <v>550</v>
      </c>
      <c r="E17192" t="s">
        <v>551</v>
      </c>
      <c r="F17192">
        <v>16.12</v>
      </c>
      <c r="G17192">
        <v>230520</v>
      </c>
      <c r="H17192">
        <v>4410</v>
      </c>
      <c r="I17192" t="s">
        <v>517</v>
      </c>
      <c r="J17192">
        <v>19.989999999999998</v>
      </c>
      <c r="K17192">
        <v>3.87</v>
      </c>
      <c r="L17192">
        <v>17521</v>
      </c>
      <c r="M17192" t="s">
        <v>133</v>
      </c>
      <c r="N17192" t="str">
        <f>"90026001    "</f>
        <v xml:space="preserve">90026001    </v>
      </c>
      <c r="O17192">
        <v>230602</v>
      </c>
    </row>
    <row r="17193" spans="1:15" x14ac:dyDescent="0.25">
      <c r="A17193" t="s">
        <v>16</v>
      </c>
      <c r="B17193" t="s">
        <v>3221</v>
      </c>
      <c r="C17193">
        <v>7753</v>
      </c>
      <c r="D17193" t="s">
        <v>550</v>
      </c>
      <c r="E17193" t="s">
        <v>551</v>
      </c>
      <c r="F17193">
        <v>181.1</v>
      </c>
      <c r="G17193">
        <v>230520</v>
      </c>
      <c r="H17193">
        <v>4410</v>
      </c>
      <c r="I17193" t="s">
        <v>517</v>
      </c>
      <c r="J17193">
        <v>199.21</v>
      </c>
      <c r="K17193">
        <v>18.11</v>
      </c>
      <c r="L17193">
        <v>17521</v>
      </c>
      <c r="M17193" t="s">
        <v>133</v>
      </c>
      <c r="N17193" t="str">
        <f>"90026001    "</f>
        <v xml:space="preserve">90026001    </v>
      </c>
      <c r="O17193">
        <v>230602</v>
      </c>
    </row>
    <row r="17194" spans="1:15" x14ac:dyDescent="0.25">
      <c r="A17194" t="s">
        <v>16</v>
      </c>
      <c r="B17194" t="s">
        <v>3221</v>
      </c>
      <c r="C17194">
        <v>8518</v>
      </c>
      <c r="D17194" t="s">
        <v>550</v>
      </c>
      <c r="E17194" t="s">
        <v>551</v>
      </c>
      <c r="F17194">
        <v>116.13</v>
      </c>
      <c r="G17194">
        <v>230606</v>
      </c>
      <c r="H17194">
        <v>4410</v>
      </c>
      <c r="I17194" t="s">
        <v>517</v>
      </c>
      <c r="J17194">
        <v>144</v>
      </c>
      <c r="K17194">
        <v>27.87</v>
      </c>
      <c r="L17194">
        <v>18972</v>
      </c>
      <c r="M17194" t="s">
        <v>163</v>
      </c>
      <c r="N17194" t="str">
        <f>"68259501    "</f>
        <v xml:space="preserve">68259501    </v>
      </c>
      <c r="O17194">
        <v>230612</v>
      </c>
    </row>
    <row r="17195" spans="1:15" x14ac:dyDescent="0.25">
      <c r="A17195" t="s">
        <v>16</v>
      </c>
      <c r="B17195" t="s">
        <v>3221</v>
      </c>
      <c r="C17195">
        <v>8518</v>
      </c>
      <c r="D17195" t="s">
        <v>550</v>
      </c>
      <c r="E17195" t="s">
        <v>551</v>
      </c>
      <c r="F17195">
        <v>2163.16</v>
      </c>
      <c r="G17195">
        <v>230606</v>
      </c>
      <c r="H17195">
        <v>4410</v>
      </c>
      <c r="I17195" t="s">
        <v>517</v>
      </c>
      <c r="J17195">
        <v>2466</v>
      </c>
      <c r="K17195">
        <v>302.83999999999997</v>
      </c>
      <c r="L17195">
        <v>18972</v>
      </c>
      <c r="M17195" t="s">
        <v>163</v>
      </c>
      <c r="N17195" t="str">
        <f>"68259501    "</f>
        <v xml:space="preserve">68259501    </v>
      </c>
      <c r="O17195">
        <v>230612</v>
      </c>
    </row>
    <row r="17196" spans="1:15" x14ac:dyDescent="0.25">
      <c r="A17196" t="s">
        <v>16</v>
      </c>
      <c r="B17196" t="s">
        <v>3221</v>
      </c>
      <c r="C17196">
        <v>12102</v>
      </c>
      <c r="D17196" t="s">
        <v>550</v>
      </c>
      <c r="E17196" t="s">
        <v>551</v>
      </c>
      <c r="F17196">
        <v>9.1999999999999993</v>
      </c>
      <c r="G17196">
        <v>230909</v>
      </c>
      <c r="H17196">
        <v>4410</v>
      </c>
      <c r="I17196" t="s">
        <v>517</v>
      </c>
      <c r="J17196">
        <v>9.1999999999999993</v>
      </c>
      <c r="K17196">
        <v>0</v>
      </c>
      <c r="L17196">
        <v>11605</v>
      </c>
      <c r="M17196" t="s">
        <v>106</v>
      </c>
      <c r="N17196" t="str">
        <f>"37012436    "</f>
        <v xml:space="preserve">37012436    </v>
      </c>
      <c r="O17196">
        <v>230914</v>
      </c>
    </row>
    <row r="17197" spans="1:15" x14ac:dyDescent="0.25">
      <c r="A17197" t="s">
        <v>16</v>
      </c>
      <c r="B17197" t="s">
        <v>3221</v>
      </c>
      <c r="C17197">
        <v>12102</v>
      </c>
      <c r="D17197" t="s">
        <v>550</v>
      </c>
      <c r="E17197" t="s">
        <v>551</v>
      </c>
      <c r="F17197">
        <v>168.91</v>
      </c>
      <c r="G17197">
        <v>230909</v>
      </c>
      <c r="H17197">
        <v>4410</v>
      </c>
      <c r="I17197" t="s">
        <v>517</v>
      </c>
      <c r="J17197">
        <v>185.8</v>
      </c>
      <c r="K17197">
        <v>16.89</v>
      </c>
      <c r="L17197">
        <v>11605</v>
      </c>
      <c r="M17197" t="s">
        <v>106</v>
      </c>
      <c r="N17197" t="str">
        <f>"37012436    "</f>
        <v xml:space="preserve">37012436    </v>
      </c>
      <c r="O17197">
        <v>230914</v>
      </c>
    </row>
    <row r="17198" spans="1:15" x14ac:dyDescent="0.25">
      <c r="A17198" t="s">
        <v>16</v>
      </c>
      <c r="B17198" t="s">
        <v>3221</v>
      </c>
      <c r="C17198">
        <v>12103</v>
      </c>
      <c r="D17198" t="s">
        <v>550</v>
      </c>
      <c r="E17198" t="s">
        <v>551</v>
      </c>
      <c r="F17198">
        <v>18.399999999999999</v>
      </c>
      <c r="G17198">
        <v>230909</v>
      </c>
      <c r="H17198">
        <v>4410</v>
      </c>
      <c r="I17198" t="s">
        <v>517</v>
      </c>
      <c r="J17198">
        <v>18.399999999999999</v>
      </c>
      <c r="K17198">
        <v>0</v>
      </c>
      <c r="L17198">
        <v>11605</v>
      </c>
      <c r="M17198" t="s">
        <v>106</v>
      </c>
      <c r="N17198" t="str">
        <f>"37012439    "</f>
        <v xml:space="preserve">37012439    </v>
      </c>
      <c r="O17198">
        <v>230914</v>
      </c>
    </row>
    <row r="17199" spans="1:15" x14ac:dyDescent="0.25">
      <c r="A17199" t="s">
        <v>16</v>
      </c>
      <c r="B17199" t="s">
        <v>3221</v>
      </c>
      <c r="C17199">
        <v>12103</v>
      </c>
      <c r="D17199" t="s">
        <v>550</v>
      </c>
      <c r="E17199" t="s">
        <v>551</v>
      </c>
      <c r="F17199">
        <v>188</v>
      </c>
      <c r="G17199">
        <v>230909</v>
      </c>
      <c r="H17199">
        <v>4410</v>
      </c>
      <c r="I17199" t="s">
        <v>517</v>
      </c>
      <c r="J17199">
        <v>206.8</v>
      </c>
      <c r="K17199">
        <v>18.8</v>
      </c>
      <c r="L17199">
        <v>11605</v>
      </c>
      <c r="M17199" t="s">
        <v>106</v>
      </c>
      <c r="N17199" t="str">
        <f>"37012439    "</f>
        <v xml:space="preserve">37012439    </v>
      </c>
      <c r="O17199">
        <v>230914</v>
      </c>
    </row>
    <row r="17200" spans="1:15" x14ac:dyDescent="0.25">
      <c r="A17200" t="s">
        <v>16</v>
      </c>
      <c r="B17200" t="s">
        <v>3221</v>
      </c>
      <c r="C17200">
        <v>13955</v>
      </c>
      <c r="D17200" t="s">
        <v>550</v>
      </c>
      <c r="E17200" t="s">
        <v>551</v>
      </c>
      <c r="F17200">
        <v>9.1999999999999993</v>
      </c>
      <c r="G17200">
        <v>231014</v>
      </c>
      <c r="H17200">
        <v>4410</v>
      </c>
      <c r="I17200" t="s">
        <v>517</v>
      </c>
      <c r="J17200">
        <v>9.1999999999999993</v>
      </c>
      <c r="K17200">
        <v>0</v>
      </c>
      <c r="L17200">
        <v>11902</v>
      </c>
      <c r="M17200" t="s">
        <v>1443</v>
      </c>
      <c r="N17200" t="str">
        <f>"23039116    "</f>
        <v xml:space="preserve">23039116    </v>
      </c>
      <c r="O17200">
        <v>231017</v>
      </c>
    </row>
    <row r="17201" spans="1:15" x14ac:dyDescent="0.25">
      <c r="A17201" t="s">
        <v>16</v>
      </c>
      <c r="B17201" t="s">
        <v>3221</v>
      </c>
      <c r="C17201">
        <v>13955</v>
      </c>
      <c r="D17201" t="s">
        <v>550</v>
      </c>
      <c r="E17201" t="s">
        <v>551</v>
      </c>
      <c r="F17201">
        <v>90.55</v>
      </c>
      <c r="G17201">
        <v>231014</v>
      </c>
      <c r="H17201">
        <v>4410</v>
      </c>
      <c r="I17201" t="s">
        <v>517</v>
      </c>
      <c r="J17201">
        <v>99.6</v>
      </c>
      <c r="K17201">
        <v>9.0500000000000007</v>
      </c>
      <c r="L17201">
        <v>11902</v>
      </c>
      <c r="M17201" t="s">
        <v>1443</v>
      </c>
      <c r="N17201" t="str">
        <f>"23039116    "</f>
        <v xml:space="preserve">23039116    </v>
      </c>
      <c r="O17201">
        <v>231017</v>
      </c>
    </row>
    <row r="17202" spans="1:15" x14ac:dyDescent="0.25">
      <c r="A17202" t="s">
        <v>16</v>
      </c>
      <c r="B17202" t="s">
        <v>3221</v>
      </c>
      <c r="C17202">
        <v>14240</v>
      </c>
      <c r="D17202" t="s">
        <v>550</v>
      </c>
      <c r="E17202" t="s">
        <v>551</v>
      </c>
      <c r="F17202">
        <v>9.1999999999999993</v>
      </c>
      <c r="G17202">
        <v>231011</v>
      </c>
      <c r="H17202">
        <v>4410</v>
      </c>
      <c r="I17202" t="s">
        <v>517</v>
      </c>
      <c r="J17202">
        <v>9.1999999999999993</v>
      </c>
      <c r="K17202">
        <v>0</v>
      </c>
      <c r="L17202">
        <v>11903</v>
      </c>
      <c r="M17202" t="s">
        <v>406</v>
      </c>
      <c r="N17202" t="str">
        <f>"75006780    "</f>
        <v xml:space="preserve">75006780    </v>
      </c>
      <c r="O17202">
        <v>231025</v>
      </c>
    </row>
    <row r="17203" spans="1:15" x14ac:dyDescent="0.25">
      <c r="A17203" t="s">
        <v>16</v>
      </c>
      <c r="B17203" t="s">
        <v>3221</v>
      </c>
      <c r="C17203">
        <v>14240</v>
      </c>
      <c r="D17203" t="s">
        <v>550</v>
      </c>
      <c r="E17203" t="s">
        <v>551</v>
      </c>
      <c r="F17203">
        <v>93.45</v>
      </c>
      <c r="G17203">
        <v>231011</v>
      </c>
      <c r="H17203">
        <v>4410</v>
      </c>
      <c r="I17203" t="s">
        <v>517</v>
      </c>
      <c r="J17203">
        <v>102.8</v>
      </c>
      <c r="K17203">
        <v>9.35</v>
      </c>
      <c r="L17203">
        <v>11903</v>
      </c>
      <c r="M17203" t="s">
        <v>406</v>
      </c>
      <c r="N17203" t="str">
        <f>"75006780    "</f>
        <v xml:space="preserve">75006780    </v>
      </c>
      <c r="O17203">
        <v>231025</v>
      </c>
    </row>
    <row r="17204" spans="1:15" x14ac:dyDescent="0.25">
      <c r="A17204" t="s">
        <v>16</v>
      </c>
      <c r="B17204" t="s">
        <v>3221</v>
      </c>
      <c r="C17204">
        <v>15761</v>
      </c>
      <c r="D17204" t="s">
        <v>550</v>
      </c>
      <c r="E17204" t="s">
        <v>551</v>
      </c>
      <c r="F17204">
        <v>9.1999999999999993</v>
      </c>
      <c r="G17204">
        <v>231113</v>
      </c>
      <c r="H17204">
        <v>4410</v>
      </c>
      <c r="I17204" t="s">
        <v>517</v>
      </c>
      <c r="J17204">
        <v>9.1999999999999993</v>
      </c>
      <c r="K17204">
        <v>0</v>
      </c>
      <c r="L17204">
        <v>11902</v>
      </c>
      <c r="M17204" t="s">
        <v>1443</v>
      </c>
      <c r="N17204" t="str">
        <f>"23039659    "</f>
        <v xml:space="preserve">23039659    </v>
      </c>
      <c r="O17204">
        <v>231116</v>
      </c>
    </row>
    <row r="17205" spans="1:15" x14ac:dyDescent="0.25">
      <c r="A17205" t="s">
        <v>16</v>
      </c>
      <c r="B17205" t="s">
        <v>3221</v>
      </c>
      <c r="C17205">
        <v>15761</v>
      </c>
      <c r="D17205" t="s">
        <v>550</v>
      </c>
      <c r="E17205" t="s">
        <v>551</v>
      </c>
      <c r="F17205">
        <v>90.55</v>
      </c>
      <c r="G17205">
        <v>231113</v>
      </c>
      <c r="H17205">
        <v>4410</v>
      </c>
      <c r="I17205" t="s">
        <v>517</v>
      </c>
      <c r="J17205">
        <v>99.6</v>
      </c>
      <c r="K17205">
        <v>9.0500000000000007</v>
      </c>
      <c r="L17205">
        <v>11902</v>
      </c>
      <c r="M17205" t="s">
        <v>1443</v>
      </c>
      <c r="N17205" t="str">
        <f>"23039659    "</f>
        <v xml:space="preserve">23039659    </v>
      </c>
      <c r="O17205">
        <v>231116</v>
      </c>
    </row>
    <row r="17206" spans="1:15" x14ac:dyDescent="0.25">
      <c r="A17206" t="s">
        <v>16</v>
      </c>
      <c r="B17206" t="s">
        <v>3221</v>
      </c>
      <c r="C17206">
        <v>16007</v>
      </c>
      <c r="D17206" t="s">
        <v>550</v>
      </c>
      <c r="E17206" t="s">
        <v>551</v>
      </c>
      <c r="F17206">
        <v>18.399999999999999</v>
      </c>
      <c r="G17206">
        <v>231116</v>
      </c>
      <c r="H17206">
        <v>4410</v>
      </c>
      <c r="I17206" t="s">
        <v>517</v>
      </c>
      <c r="J17206">
        <v>18.399999999999999</v>
      </c>
      <c r="K17206">
        <v>0</v>
      </c>
      <c r="L17206">
        <v>11900</v>
      </c>
      <c r="M17206" t="s">
        <v>1105</v>
      </c>
      <c r="N17206" t="str">
        <f>"23039711    "</f>
        <v xml:space="preserve">23039711    </v>
      </c>
      <c r="O17206">
        <v>231122</v>
      </c>
    </row>
    <row r="17207" spans="1:15" x14ac:dyDescent="0.25">
      <c r="A17207" t="s">
        <v>16</v>
      </c>
      <c r="B17207" t="s">
        <v>3221</v>
      </c>
      <c r="C17207">
        <v>16007</v>
      </c>
      <c r="D17207" t="s">
        <v>550</v>
      </c>
      <c r="E17207" t="s">
        <v>551</v>
      </c>
      <c r="F17207">
        <v>181.09</v>
      </c>
      <c r="G17207">
        <v>231116</v>
      </c>
      <c r="H17207">
        <v>4410</v>
      </c>
      <c r="I17207" t="s">
        <v>517</v>
      </c>
      <c r="J17207">
        <v>199.2</v>
      </c>
      <c r="K17207">
        <v>18.11</v>
      </c>
      <c r="L17207">
        <v>11900</v>
      </c>
      <c r="M17207" t="s">
        <v>1105</v>
      </c>
      <c r="N17207" t="str">
        <f>"23039711    "</f>
        <v xml:space="preserve">23039711    </v>
      </c>
      <c r="O17207">
        <v>231122</v>
      </c>
    </row>
    <row r="17208" spans="1:15" x14ac:dyDescent="0.25">
      <c r="A17208" t="s">
        <v>16</v>
      </c>
      <c r="B17208" t="s">
        <v>3221</v>
      </c>
      <c r="C17208">
        <v>16375</v>
      </c>
      <c r="D17208" t="s">
        <v>550</v>
      </c>
      <c r="E17208" t="s">
        <v>551</v>
      </c>
      <c r="F17208">
        <v>18.399999999999999</v>
      </c>
      <c r="G17208">
        <v>231117</v>
      </c>
      <c r="H17208">
        <v>4410</v>
      </c>
      <c r="I17208" t="s">
        <v>517</v>
      </c>
      <c r="J17208">
        <v>18.399999999999999</v>
      </c>
      <c r="K17208">
        <v>0</v>
      </c>
      <c r="L17208">
        <v>13661</v>
      </c>
      <c r="M17208" t="s">
        <v>247</v>
      </c>
      <c r="N17208" t="str">
        <f>"92013853    "</f>
        <v xml:space="preserve">92013853    </v>
      </c>
      <c r="O17208">
        <v>231128</v>
      </c>
    </row>
    <row r="17209" spans="1:15" x14ac:dyDescent="0.25">
      <c r="A17209" t="s">
        <v>16</v>
      </c>
      <c r="B17209" t="s">
        <v>3221</v>
      </c>
      <c r="C17209">
        <v>16375</v>
      </c>
      <c r="D17209" t="s">
        <v>550</v>
      </c>
      <c r="E17209" t="s">
        <v>551</v>
      </c>
      <c r="F17209">
        <v>199.64</v>
      </c>
      <c r="G17209">
        <v>231117</v>
      </c>
      <c r="H17209">
        <v>4410</v>
      </c>
      <c r="I17209" t="s">
        <v>517</v>
      </c>
      <c r="J17209">
        <v>219.6</v>
      </c>
      <c r="K17209">
        <v>19.96</v>
      </c>
      <c r="L17209">
        <v>13661</v>
      </c>
      <c r="M17209" t="s">
        <v>247</v>
      </c>
      <c r="N17209" t="str">
        <f>"92013853    "</f>
        <v xml:space="preserve">92013853    </v>
      </c>
      <c r="O17209">
        <v>231128</v>
      </c>
    </row>
    <row r="17210" spans="1:15" x14ac:dyDescent="0.25">
      <c r="A17210" t="s">
        <v>16</v>
      </c>
      <c r="B17210" t="s">
        <v>3221</v>
      </c>
      <c r="C17210">
        <v>16872</v>
      </c>
      <c r="D17210" t="s">
        <v>550</v>
      </c>
      <c r="E17210" t="s">
        <v>551</v>
      </c>
      <c r="F17210">
        <v>33</v>
      </c>
      <c r="G17210">
        <v>231129</v>
      </c>
      <c r="H17210">
        <v>4410</v>
      </c>
      <c r="I17210" t="s">
        <v>517</v>
      </c>
      <c r="J17210">
        <v>33</v>
      </c>
      <c r="K17210">
        <v>0</v>
      </c>
      <c r="L17210">
        <v>17538</v>
      </c>
      <c r="M17210" t="s">
        <v>24</v>
      </c>
      <c r="N17210" t="str">
        <f>"13007480    "</f>
        <v xml:space="preserve">13007480    </v>
      </c>
      <c r="O17210">
        <v>231211</v>
      </c>
    </row>
    <row r="17211" spans="1:15" x14ac:dyDescent="0.25">
      <c r="A17211" t="s">
        <v>16</v>
      </c>
      <c r="B17211" t="s">
        <v>3221</v>
      </c>
      <c r="C17211">
        <v>16872</v>
      </c>
      <c r="D17211" t="s">
        <v>550</v>
      </c>
      <c r="E17211" t="s">
        <v>551</v>
      </c>
      <c r="F17211">
        <v>359.09</v>
      </c>
      <c r="G17211">
        <v>231129</v>
      </c>
      <c r="H17211">
        <v>4410</v>
      </c>
      <c r="I17211" t="s">
        <v>517</v>
      </c>
      <c r="J17211">
        <v>395</v>
      </c>
      <c r="K17211">
        <v>35.909999999999997</v>
      </c>
      <c r="L17211">
        <v>17538</v>
      </c>
      <c r="M17211" t="s">
        <v>24</v>
      </c>
      <c r="N17211" t="str">
        <f>"13007480    "</f>
        <v xml:space="preserve">13007480    </v>
      </c>
      <c r="O17211">
        <v>231211</v>
      </c>
    </row>
    <row r="17212" spans="1:15" x14ac:dyDescent="0.25">
      <c r="A17212" t="s">
        <v>16</v>
      </c>
      <c r="B17212" t="s">
        <v>3221</v>
      </c>
      <c r="C17212">
        <v>18005</v>
      </c>
      <c r="D17212" t="s">
        <v>550</v>
      </c>
      <c r="E17212" t="s">
        <v>551</v>
      </c>
      <c r="F17212">
        <v>9.1999999999999993</v>
      </c>
      <c r="G17212">
        <v>231211</v>
      </c>
      <c r="H17212">
        <v>4410</v>
      </c>
      <c r="I17212" t="s">
        <v>517</v>
      </c>
      <c r="J17212">
        <v>9.1999999999999993</v>
      </c>
      <c r="K17212">
        <v>0</v>
      </c>
      <c r="L17212">
        <v>11903</v>
      </c>
      <c r="M17212" t="s">
        <v>406</v>
      </c>
      <c r="N17212" t="str">
        <f>"75007487    "</f>
        <v xml:space="preserve">75007487    </v>
      </c>
      <c r="O17212">
        <v>231228</v>
      </c>
    </row>
    <row r="17213" spans="1:15" x14ac:dyDescent="0.25">
      <c r="A17213" t="s">
        <v>16</v>
      </c>
      <c r="B17213" t="s">
        <v>3221</v>
      </c>
      <c r="C17213">
        <v>18005</v>
      </c>
      <c r="D17213" t="s">
        <v>550</v>
      </c>
      <c r="E17213" t="s">
        <v>551</v>
      </c>
      <c r="F17213">
        <v>93.45</v>
      </c>
      <c r="G17213">
        <v>231211</v>
      </c>
      <c r="H17213">
        <v>4410</v>
      </c>
      <c r="I17213" t="s">
        <v>517</v>
      </c>
      <c r="J17213">
        <v>102.8</v>
      </c>
      <c r="K17213">
        <v>9.35</v>
      </c>
      <c r="L17213">
        <v>11903</v>
      </c>
      <c r="M17213" t="s">
        <v>406</v>
      </c>
      <c r="N17213" t="str">
        <f>"75007487    "</f>
        <v xml:space="preserve">75007487    </v>
      </c>
      <c r="O17213">
        <v>231228</v>
      </c>
    </row>
    <row r="17214" spans="1:15" x14ac:dyDescent="0.25">
      <c r="A17214" t="s">
        <v>16</v>
      </c>
      <c r="B17214" t="s">
        <v>3221</v>
      </c>
      <c r="C17214">
        <v>18006</v>
      </c>
      <c r="D17214" t="s">
        <v>550</v>
      </c>
      <c r="E17214" t="s">
        <v>551</v>
      </c>
      <c r="F17214">
        <v>9.1999999999999993</v>
      </c>
      <c r="G17214">
        <v>231211</v>
      </c>
      <c r="H17214">
        <v>4410</v>
      </c>
      <c r="I17214" t="s">
        <v>517</v>
      </c>
      <c r="J17214">
        <v>9.1999999999999993</v>
      </c>
      <c r="K17214">
        <v>0</v>
      </c>
      <c r="L17214">
        <v>11903</v>
      </c>
      <c r="M17214" t="s">
        <v>406</v>
      </c>
      <c r="N17214" t="str">
        <f>"75007489    "</f>
        <v xml:space="preserve">75007489    </v>
      </c>
      <c r="O17214">
        <v>231228</v>
      </c>
    </row>
    <row r="17215" spans="1:15" x14ac:dyDescent="0.25">
      <c r="A17215" t="s">
        <v>16</v>
      </c>
      <c r="B17215" t="s">
        <v>3221</v>
      </c>
      <c r="C17215">
        <v>18006</v>
      </c>
      <c r="D17215" t="s">
        <v>550</v>
      </c>
      <c r="E17215" t="s">
        <v>551</v>
      </c>
      <c r="F17215">
        <v>93.45</v>
      </c>
      <c r="G17215">
        <v>231211</v>
      </c>
      <c r="H17215">
        <v>4410</v>
      </c>
      <c r="I17215" t="s">
        <v>517</v>
      </c>
      <c r="J17215">
        <v>102.8</v>
      </c>
      <c r="K17215">
        <v>9.35</v>
      </c>
      <c r="L17215">
        <v>11903</v>
      </c>
      <c r="M17215" t="s">
        <v>406</v>
      </c>
      <c r="N17215" t="str">
        <f>"75007489    "</f>
        <v xml:space="preserve">75007489    </v>
      </c>
      <c r="O17215">
        <v>231228</v>
      </c>
    </row>
    <row r="17216" spans="1:15" x14ac:dyDescent="0.25">
      <c r="A17216" t="s">
        <v>16</v>
      </c>
      <c r="B17216" t="s">
        <v>3221</v>
      </c>
      <c r="C17216">
        <v>18007</v>
      </c>
      <c r="D17216" t="s">
        <v>550</v>
      </c>
      <c r="E17216" t="s">
        <v>551</v>
      </c>
      <c r="F17216">
        <v>18.399999999999999</v>
      </c>
      <c r="G17216">
        <v>231211</v>
      </c>
      <c r="H17216">
        <v>4410</v>
      </c>
      <c r="I17216" t="s">
        <v>517</v>
      </c>
      <c r="J17216">
        <v>18.399999999999999</v>
      </c>
      <c r="K17216">
        <v>0</v>
      </c>
      <c r="L17216">
        <v>11903</v>
      </c>
      <c r="M17216" t="s">
        <v>406</v>
      </c>
      <c r="N17216" t="str">
        <f>"75007488    "</f>
        <v xml:space="preserve">75007488    </v>
      </c>
      <c r="O17216">
        <v>231228</v>
      </c>
    </row>
    <row r="17217" spans="1:15" x14ac:dyDescent="0.25">
      <c r="A17217" t="s">
        <v>16</v>
      </c>
      <c r="B17217" t="s">
        <v>3221</v>
      </c>
      <c r="C17217">
        <v>18007</v>
      </c>
      <c r="D17217" t="s">
        <v>550</v>
      </c>
      <c r="E17217" t="s">
        <v>551</v>
      </c>
      <c r="F17217">
        <v>186.91</v>
      </c>
      <c r="G17217">
        <v>231211</v>
      </c>
      <c r="H17217">
        <v>4410</v>
      </c>
      <c r="I17217" t="s">
        <v>517</v>
      </c>
      <c r="J17217">
        <v>205.6</v>
      </c>
      <c r="K17217">
        <v>18.690000000000001</v>
      </c>
      <c r="L17217">
        <v>11903</v>
      </c>
      <c r="M17217" t="s">
        <v>406</v>
      </c>
      <c r="N17217" t="str">
        <f>"75007488    "</f>
        <v xml:space="preserve">75007488    </v>
      </c>
      <c r="O17217">
        <v>231228</v>
      </c>
    </row>
    <row r="17218" spans="1:15" x14ac:dyDescent="0.25">
      <c r="A17218" t="s">
        <v>16</v>
      </c>
      <c r="B17218" t="s">
        <v>3221</v>
      </c>
      <c r="C17218">
        <v>18344</v>
      </c>
      <c r="D17218" t="s">
        <v>550</v>
      </c>
      <c r="E17218" t="s">
        <v>551</v>
      </c>
      <c r="F17218">
        <v>65.989999999999995</v>
      </c>
      <c r="G17218">
        <v>231129</v>
      </c>
      <c r="H17218">
        <v>4410</v>
      </c>
      <c r="I17218" t="s">
        <v>517</v>
      </c>
      <c r="J17218">
        <v>65.989999999999995</v>
      </c>
      <c r="K17218">
        <v>0</v>
      </c>
      <c r="L17218">
        <v>17974</v>
      </c>
      <c r="M17218" t="s">
        <v>460</v>
      </c>
      <c r="N17218" t="str">
        <f>"13007464    "</f>
        <v xml:space="preserve">13007464    </v>
      </c>
      <c r="O17218">
        <v>240103</v>
      </c>
    </row>
    <row r="17219" spans="1:15" x14ac:dyDescent="0.25">
      <c r="A17219" t="s">
        <v>16</v>
      </c>
      <c r="B17219" t="s">
        <v>3221</v>
      </c>
      <c r="C17219">
        <v>18344</v>
      </c>
      <c r="D17219" t="s">
        <v>550</v>
      </c>
      <c r="E17219" t="s">
        <v>551</v>
      </c>
      <c r="F17219">
        <v>365.45</v>
      </c>
      <c r="G17219">
        <v>231129</v>
      </c>
      <c r="H17219">
        <v>4410</v>
      </c>
      <c r="I17219" t="s">
        <v>517</v>
      </c>
      <c r="J17219">
        <v>402</v>
      </c>
      <c r="K17219">
        <v>36.549999999999997</v>
      </c>
      <c r="L17219">
        <v>17974</v>
      </c>
      <c r="M17219" t="s">
        <v>460</v>
      </c>
      <c r="N17219" t="str">
        <f>"13007464    "</f>
        <v xml:space="preserve">13007464    </v>
      </c>
      <c r="O17219">
        <v>240103</v>
      </c>
    </row>
    <row r="17220" spans="1:15" x14ac:dyDescent="0.25">
      <c r="A17220" t="s">
        <v>16</v>
      </c>
      <c r="B17220" t="s">
        <v>3221</v>
      </c>
      <c r="C17220">
        <v>18435</v>
      </c>
      <c r="D17220" t="s">
        <v>550</v>
      </c>
      <c r="E17220" t="s">
        <v>551</v>
      </c>
      <c r="F17220">
        <v>9.1999999999999993</v>
      </c>
      <c r="G17220">
        <v>231219</v>
      </c>
      <c r="H17220">
        <v>4410</v>
      </c>
      <c r="I17220" t="s">
        <v>517</v>
      </c>
      <c r="J17220">
        <v>9.1999999999999993</v>
      </c>
      <c r="K17220">
        <v>0</v>
      </c>
      <c r="L17220">
        <v>11903</v>
      </c>
      <c r="M17220" t="s">
        <v>406</v>
      </c>
      <c r="N17220" t="str">
        <f>"6972000071  "</f>
        <v xml:space="preserve">6972000071  </v>
      </c>
      <c r="O17220">
        <v>240103</v>
      </c>
    </row>
    <row r="17221" spans="1:15" x14ac:dyDescent="0.25">
      <c r="A17221" t="s">
        <v>16</v>
      </c>
      <c r="B17221" t="s">
        <v>3221</v>
      </c>
      <c r="C17221">
        <v>18435</v>
      </c>
      <c r="D17221" t="s">
        <v>550</v>
      </c>
      <c r="E17221" t="s">
        <v>551</v>
      </c>
      <c r="F17221">
        <v>93.45</v>
      </c>
      <c r="G17221">
        <v>231219</v>
      </c>
      <c r="H17221">
        <v>4410</v>
      </c>
      <c r="I17221" t="s">
        <v>517</v>
      </c>
      <c r="J17221">
        <v>102.8</v>
      </c>
      <c r="K17221">
        <v>9.35</v>
      </c>
      <c r="L17221">
        <v>11903</v>
      </c>
      <c r="M17221" t="s">
        <v>406</v>
      </c>
      <c r="N17221" t="str">
        <f>"6972000071  "</f>
        <v xml:space="preserve">6972000071  </v>
      </c>
      <c r="O17221">
        <v>240103</v>
      </c>
    </row>
    <row r="17222" spans="1:15" x14ac:dyDescent="0.25">
      <c r="A17222" t="s">
        <v>16</v>
      </c>
      <c r="B17222" t="s">
        <v>3221</v>
      </c>
      <c r="C17222">
        <v>2245</v>
      </c>
      <c r="D17222" t="s">
        <v>550</v>
      </c>
      <c r="E17222" t="s">
        <v>551</v>
      </c>
      <c r="F17222">
        <v>18.399999999999999</v>
      </c>
      <c r="G17222">
        <v>230202</v>
      </c>
      <c r="H17222">
        <v>4420</v>
      </c>
      <c r="I17222" t="s">
        <v>132</v>
      </c>
      <c r="J17222">
        <v>18.399999999999999</v>
      </c>
      <c r="K17222">
        <v>0</v>
      </c>
      <c r="L17222">
        <v>17807</v>
      </c>
      <c r="M17222" t="s">
        <v>318</v>
      </c>
      <c r="N17222" t="str">
        <f>"19006871    "</f>
        <v xml:space="preserve">19006871    </v>
      </c>
      <c r="O17222">
        <v>230223</v>
      </c>
    </row>
    <row r="17223" spans="1:15" x14ac:dyDescent="0.25">
      <c r="A17223" t="s">
        <v>16</v>
      </c>
      <c r="B17223" t="s">
        <v>3221</v>
      </c>
      <c r="C17223">
        <v>2245</v>
      </c>
      <c r="D17223" t="s">
        <v>550</v>
      </c>
      <c r="E17223" t="s">
        <v>551</v>
      </c>
      <c r="F17223">
        <v>18.55</v>
      </c>
      <c r="G17223">
        <v>230202</v>
      </c>
      <c r="H17223">
        <v>4420</v>
      </c>
      <c r="I17223" t="s">
        <v>132</v>
      </c>
      <c r="J17223">
        <v>23</v>
      </c>
      <c r="K17223">
        <v>4.45</v>
      </c>
      <c r="L17223">
        <v>17807</v>
      </c>
      <c r="M17223" t="s">
        <v>318</v>
      </c>
      <c r="N17223" t="str">
        <f>"19006871    "</f>
        <v xml:space="preserve">19006871    </v>
      </c>
      <c r="O17223">
        <v>230223</v>
      </c>
    </row>
    <row r="17224" spans="1:15" x14ac:dyDescent="0.25">
      <c r="A17224" t="s">
        <v>16</v>
      </c>
      <c r="B17224" t="s">
        <v>3221</v>
      </c>
      <c r="C17224">
        <v>2245</v>
      </c>
      <c r="D17224" t="s">
        <v>550</v>
      </c>
      <c r="E17224" t="s">
        <v>551</v>
      </c>
      <c r="F17224">
        <v>200.91</v>
      </c>
      <c r="G17224">
        <v>230202</v>
      </c>
      <c r="H17224">
        <v>4420</v>
      </c>
      <c r="I17224" t="s">
        <v>132</v>
      </c>
      <c r="J17224">
        <v>221</v>
      </c>
      <c r="K17224">
        <v>20.09</v>
      </c>
      <c r="L17224">
        <v>17807</v>
      </c>
      <c r="M17224" t="s">
        <v>318</v>
      </c>
      <c r="N17224" t="str">
        <f>"19006871    "</f>
        <v xml:space="preserve">19006871    </v>
      </c>
      <c r="O17224">
        <v>230223</v>
      </c>
    </row>
    <row r="17225" spans="1:15" x14ac:dyDescent="0.25">
      <c r="A17225" t="s">
        <v>16</v>
      </c>
      <c r="B17225" t="s">
        <v>3221</v>
      </c>
      <c r="C17225">
        <v>1549</v>
      </c>
      <c r="D17225" t="s">
        <v>550</v>
      </c>
      <c r="E17225" t="s">
        <v>551</v>
      </c>
      <c r="F17225">
        <v>27.74</v>
      </c>
      <c r="G17225">
        <v>230206</v>
      </c>
      <c r="H17225">
        <v>4600</v>
      </c>
      <c r="I17225" t="s">
        <v>105</v>
      </c>
      <c r="J17225">
        <v>34.4</v>
      </c>
      <c r="K17225">
        <v>6.66</v>
      </c>
      <c r="L17225">
        <v>13401</v>
      </c>
      <c r="M17225" t="s">
        <v>80</v>
      </c>
      <c r="N17225" t="str">
        <f>"70032811    "</f>
        <v xml:space="preserve">70032811    </v>
      </c>
      <c r="O17225">
        <v>230209</v>
      </c>
    </row>
    <row r="17226" spans="1:15" x14ac:dyDescent="0.25">
      <c r="A17226" t="s">
        <v>16</v>
      </c>
      <c r="B17226" t="s">
        <v>3221</v>
      </c>
      <c r="C17226">
        <v>1553</v>
      </c>
      <c r="D17226" t="s">
        <v>550</v>
      </c>
      <c r="E17226" t="s">
        <v>551</v>
      </c>
      <c r="F17226">
        <v>7.5</v>
      </c>
      <c r="G17226">
        <v>230206</v>
      </c>
      <c r="H17226">
        <v>4600</v>
      </c>
      <c r="I17226" t="s">
        <v>105</v>
      </c>
      <c r="J17226">
        <v>9.3000000000000007</v>
      </c>
      <c r="K17226">
        <v>1.8</v>
      </c>
      <c r="L17226">
        <v>13401</v>
      </c>
      <c r="M17226" t="s">
        <v>80</v>
      </c>
      <c r="N17226" t="str">
        <f>"70032810    "</f>
        <v xml:space="preserve">70032810    </v>
      </c>
      <c r="O17226">
        <v>230209</v>
      </c>
    </row>
    <row r="17227" spans="1:15" x14ac:dyDescent="0.25">
      <c r="A17227" t="s">
        <v>16</v>
      </c>
      <c r="B17227" t="s">
        <v>3221</v>
      </c>
      <c r="C17227">
        <v>18344</v>
      </c>
      <c r="D17227" t="s">
        <v>550</v>
      </c>
      <c r="E17227" t="s">
        <v>551</v>
      </c>
      <c r="F17227">
        <v>41.94</v>
      </c>
      <c r="G17227">
        <v>231129</v>
      </c>
      <c r="H17227">
        <v>4600</v>
      </c>
      <c r="I17227" t="s">
        <v>105</v>
      </c>
      <c r="J17227">
        <v>52.01</v>
      </c>
      <c r="K17227">
        <v>10.07</v>
      </c>
      <c r="L17227">
        <v>17974</v>
      </c>
      <c r="M17227" t="s">
        <v>460</v>
      </c>
      <c r="N17227" t="str">
        <f>"13007464    "</f>
        <v xml:space="preserve">13007464    </v>
      </c>
      <c r="O17227">
        <v>240103</v>
      </c>
    </row>
    <row r="17228" spans="1:15" x14ac:dyDescent="0.25">
      <c r="A17228" t="s">
        <v>16</v>
      </c>
      <c r="B17228" t="s">
        <v>3221</v>
      </c>
      <c r="C17228">
        <v>2877</v>
      </c>
      <c r="D17228" t="s">
        <v>3386</v>
      </c>
      <c r="E17228" t="s">
        <v>3387</v>
      </c>
      <c r="F17228">
        <v>598.39</v>
      </c>
      <c r="G17228">
        <v>230228</v>
      </c>
      <c r="H17228">
        <v>4580</v>
      </c>
      <c r="I17228" t="s">
        <v>35</v>
      </c>
      <c r="J17228">
        <v>742</v>
      </c>
      <c r="K17228">
        <v>143.61000000000001</v>
      </c>
      <c r="L17228">
        <v>17537</v>
      </c>
      <c r="M17228" t="s">
        <v>455</v>
      </c>
      <c r="N17228" t="str">
        <f>"FO2030951   "</f>
        <v xml:space="preserve">FO2030951   </v>
      </c>
      <c r="O17228">
        <v>230308</v>
      </c>
    </row>
    <row r="17229" spans="1:15" x14ac:dyDescent="0.25">
      <c r="A17229" t="s">
        <v>16</v>
      </c>
      <c r="B17229" t="s">
        <v>3221</v>
      </c>
      <c r="C17229">
        <v>18032</v>
      </c>
      <c r="D17229" t="s">
        <v>3116</v>
      </c>
      <c r="E17229" t="s">
        <v>3117</v>
      </c>
      <c r="F17229">
        <v>4000</v>
      </c>
      <c r="G17229">
        <v>231219</v>
      </c>
      <c r="H17229">
        <v>1198</v>
      </c>
      <c r="I17229" t="s">
        <v>1128</v>
      </c>
      <c r="J17229">
        <v>4000</v>
      </c>
      <c r="K17229">
        <v>0</v>
      </c>
      <c r="L17229">
        <v>96511</v>
      </c>
      <c r="M17229" t="s">
        <v>2452</v>
      </c>
      <c r="N17229" t="str">
        <f>"3           "</f>
        <v xml:space="preserve">3           </v>
      </c>
      <c r="O17229">
        <v>231229</v>
      </c>
    </row>
    <row r="17230" spans="1:15" x14ac:dyDescent="0.25">
      <c r="A17230" t="s">
        <v>16</v>
      </c>
      <c r="B17230" t="s">
        <v>3221</v>
      </c>
      <c r="C17230">
        <v>1749</v>
      </c>
      <c r="D17230" t="s">
        <v>336</v>
      </c>
      <c r="E17230" t="s">
        <v>337</v>
      </c>
      <c r="F17230">
        <v>194.1</v>
      </c>
      <c r="G17230">
        <v>230207</v>
      </c>
      <c r="H17230">
        <v>4557</v>
      </c>
      <c r="I17230" t="s">
        <v>238</v>
      </c>
      <c r="J17230">
        <v>240.68</v>
      </c>
      <c r="K17230">
        <v>46.58</v>
      </c>
      <c r="L17230">
        <v>66754</v>
      </c>
      <c r="M17230" t="s">
        <v>239</v>
      </c>
      <c r="N17230" t="str">
        <f>"90797531    "</f>
        <v xml:space="preserve">90797531    </v>
      </c>
      <c r="O17230">
        <v>230213</v>
      </c>
    </row>
    <row r="17231" spans="1:15" x14ac:dyDescent="0.25">
      <c r="A17231" t="s">
        <v>16</v>
      </c>
      <c r="B17231" t="s">
        <v>3221</v>
      </c>
      <c r="C17231">
        <v>2575</v>
      </c>
      <c r="D17231" t="s">
        <v>336</v>
      </c>
      <c r="E17231" t="s">
        <v>337</v>
      </c>
      <c r="F17231">
        <v>217.29</v>
      </c>
      <c r="G17231">
        <v>230227</v>
      </c>
      <c r="H17231">
        <v>4557</v>
      </c>
      <c r="I17231" t="s">
        <v>238</v>
      </c>
      <c r="J17231">
        <v>269.44</v>
      </c>
      <c r="K17231">
        <v>52.15</v>
      </c>
      <c r="L17231">
        <v>66754</v>
      </c>
      <c r="M17231" t="s">
        <v>239</v>
      </c>
      <c r="N17231" t="str">
        <f>"90799987    "</f>
        <v xml:space="preserve">90799987    </v>
      </c>
      <c r="O17231">
        <v>230302</v>
      </c>
    </row>
    <row r="17232" spans="1:15" x14ac:dyDescent="0.25">
      <c r="A17232" t="s">
        <v>16</v>
      </c>
      <c r="B17232" t="s">
        <v>3221</v>
      </c>
      <c r="C17232">
        <v>2610</v>
      </c>
      <c r="D17232" t="s">
        <v>336</v>
      </c>
      <c r="E17232" t="s">
        <v>337</v>
      </c>
      <c r="F17232">
        <v>357.98</v>
      </c>
      <c r="G17232">
        <v>230227</v>
      </c>
      <c r="H17232">
        <v>4557</v>
      </c>
      <c r="I17232" t="s">
        <v>238</v>
      </c>
      <c r="J17232">
        <v>443.9</v>
      </c>
      <c r="K17232">
        <v>85.92</v>
      </c>
      <c r="L17232">
        <v>66754</v>
      </c>
      <c r="M17232" t="s">
        <v>239</v>
      </c>
      <c r="N17232" t="str">
        <f>"90799986    "</f>
        <v xml:space="preserve">90799986    </v>
      </c>
      <c r="O17232">
        <v>230302</v>
      </c>
    </row>
    <row r="17233" spans="1:15" x14ac:dyDescent="0.25">
      <c r="A17233" t="s">
        <v>16</v>
      </c>
      <c r="B17233" t="s">
        <v>3221</v>
      </c>
      <c r="C17233">
        <v>3371</v>
      </c>
      <c r="D17233" t="s">
        <v>336</v>
      </c>
      <c r="E17233" t="s">
        <v>337</v>
      </c>
      <c r="F17233">
        <v>103.06</v>
      </c>
      <c r="G17233">
        <v>230313</v>
      </c>
      <c r="H17233">
        <v>4557</v>
      </c>
      <c r="I17233" t="s">
        <v>238</v>
      </c>
      <c r="J17233">
        <v>127.79</v>
      </c>
      <c r="K17233">
        <v>24.73</v>
      </c>
      <c r="L17233">
        <v>66754</v>
      </c>
      <c r="M17233" t="s">
        <v>239</v>
      </c>
      <c r="N17233" t="str">
        <f>"90802403    "</f>
        <v xml:space="preserve">90802403    </v>
      </c>
      <c r="O17233">
        <v>230315</v>
      </c>
    </row>
    <row r="17234" spans="1:15" x14ac:dyDescent="0.25">
      <c r="A17234" t="s">
        <v>16</v>
      </c>
      <c r="B17234" t="s">
        <v>3221</v>
      </c>
      <c r="C17234">
        <v>3866</v>
      </c>
      <c r="D17234" t="s">
        <v>336</v>
      </c>
      <c r="E17234" t="s">
        <v>337</v>
      </c>
      <c r="F17234">
        <v>1271.67</v>
      </c>
      <c r="G17234">
        <v>230321</v>
      </c>
      <c r="H17234">
        <v>4557</v>
      </c>
      <c r="I17234" t="s">
        <v>238</v>
      </c>
      <c r="J17234">
        <v>1576.87</v>
      </c>
      <c r="K17234">
        <v>305.2</v>
      </c>
      <c r="L17234">
        <v>66754</v>
      </c>
      <c r="M17234" t="s">
        <v>239</v>
      </c>
      <c r="N17234" t="str">
        <f>"90804257    "</f>
        <v xml:space="preserve">90804257    </v>
      </c>
      <c r="O17234">
        <v>230323</v>
      </c>
    </row>
    <row r="17235" spans="1:15" x14ac:dyDescent="0.25">
      <c r="A17235" t="s">
        <v>16</v>
      </c>
      <c r="B17235" t="s">
        <v>3221</v>
      </c>
      <c r="C17235">
        <v>3867</v>
      </c>
      <c r="D17235" t="s">
        <v>336</v>
      </c>
      <c r="E17235" t="s">
        <v>337</v>
      </c>
      <c r="F17235">
        <v>1327.06</v>
      </c>
      <c r="G17235">
        <v>230321</v>
      </c>
      <c r="H17235">
        <v>4557</v>
      </c>
      <c r="I17235" t="s">
        <v>238</v>
      </c>
      <c r="J17235">
        <v>1645.55</v>
      </c>
      <c r="K17235">
        <v>318.49</v>
      </c>
      <c r="L17235">
        <v>66754</v>
      </c>
      <c r="M17235" t="s">
        <v>239</v>
      </c>
      <c r="N17235" t="str">
        <f>"90804258    "</f>
        <v xml:space="preserve">90804258    </v>
      </c>
      <c r="O17235">
        <v>230323</v>
      </c>
    </row>
    <row r="17236" spans="1:15" x14ac:dyDescent="0.25">
      <c r="A17236" t="s">
        <v>16</v>
      </c>
      <c r="B17236" t="s">
        <v>3221</v>
      </c>
      <c r="C17236">
        <v>4689</v>
      </c>
      <c r="D17236" t="s">
        <v>336</v>
      </c>
      <c r="E17236" t="s">
        <v>337</v>
      </c>
      <c r="F17236">
        <v>268.43</v>
      </c>
      <c r="G17236">
        <v>230404</v>
      </c>
      <c r="H17236">
        <v>4557</v>
      </c>
      <c r="I17236" t="s">
        <v>238</v>
      </c>
      <c r="J17236">
        <v>332.85</v>
      </c>
      <c r="K17236">
        <v>64.42</v>
      </c>
      <c r="L17236">
        <v>66754</v>
      </c>
      <c r="M17236" t="s">
        <v>239</v>
      </c>
      <c r="N17236" t="str">
        <f>"90807326    "</f>
        <v xml:space="preserve">90807326    </v>
      </c>
      <c r="O17236">
        <v>230411</v>
      </c>
    </row>
    <row r="17237" spans="1:15" x14ac:dyDescent="0.25">
      <c r="A17237" t="s">
        <v>16</v>
      </c>
      <c r="B17237" t="s">
        <v>3221</v>
      </c>
      <c r="C17237">
        <v>4719</v>
      </c>
      <c r="D17237" t="s">
        <v>336</v>
      </c>
      <c r="E17237" t="s">
        <v>337</v>
      </c>
      <c r="F17237">
        <v>348.87</v>
      </c>
      <c r="G17237">
        <v>230403</v>
      </c>
      <c r="H17237">
        <v>4557</v>
      </c>
      <c r="I17237" t="s">
        <v>238</v>
      </c>
      <c r="J17237">
        <v>432.6</v>
      </c>
      <c r="K17237">
        <v>83.73</v>
      </c>
      <c r="L17237">
        <v>66754</v>
      </c>
      <c r="M17237" t="s">
        <v>239</v>
      </c>
      <c r="N17237" t="str">
        <f>"90806938    "</f>
        <v xml:space="preserve">90806938    </v>
      </c>
      <c r="O17237">
        <v>230412</v>
      </c>
    </row>
    <row r="17238" spans="1:15" x14ac:dyDescent="0.25">
      <c r="A17238" t="s">
        <v>16</v>
      </c>
      <c r="B17238" t="s">
        <v>3221</v>
      </c>
      <c r="C17238">
        <v>5292</v>
      </c>
      <c r="D17238" t="s">
        <v>336</v>
      </c>
      <c r="E17238" t="s">
        <v>337</v>
      </c>
      <c r="F17238">
        <v>86.94</v>
      </c>
      <c r="G17238">
        <v>230417</v>
      </c>
      <c r="H17238">
        <v>4557</v>
      </c>
      <c r="I17238" t="s">
        <v>238</v>
      </c>
      <c r="J17238">
        <v>107.81</v>
      </c>
      <c r="K17238">
        <v>20.87</v>
      </c>
      <c r="L17238">
        <v>66754</v>
      </c>
      <c r="M17238" t="s">
        <v>239</v>
      </c>
      <c r="N17238" t="str">
        <f>"90809384    "</f>
        <v xml:space="preserve">90809384    </v>
      </c>
      <c r="O17238">
        <v>230420</v>
      </c>
    </row>
    <row r="17239" spans="1:15" x14ac:dyDescent="0.25">
      <c r="A17239" t="s">
        <v>16</v>
      </c>
      <c r="B17239" t="s">
        <v>3221</v>
      </c>
      <c r="C17239">
        <v>9186</v>
      </c>
      <c r="D17239" t="s">
        <v>336</v>
      </c>
      <c r="E17239" t="s">
        <v>337</v>
      </c>
      <c r="F17239">
        <v>205.51</v>
      </c>
      <c r="G17239">
        <v>230626</v>
      </c>
      <c r="H17239">
        <v>4557</v>
      </c>
      <c r="I17239" t="s">
        <v>238</v>
      </c>
      <c r="J17239">
        <v>254.83</v>
      </c>
      <c r="K17239">
        <v>49.32</v>
      </c>
      <c r="L17239">
        <v>66754</v>
      </c>
      <c r="M17239" t="s">
        <v>239</v>
      </c>
      <c r="N17239" t="str">
        <f>"90820481    "</f>
        <v xml:space="preserve">90820481    </v>
      </c>
      <c r="O17239">
        <v>230629</v>
      </c>
    </row>
    <row r="17240" spans="1:15" x14ac:dyDescent="0.25">
      <c r="A17240" t="s">
        <v>16</v>
      </c>
      <c r="B17240" t="s">
        <v>3221</v>
      </c>
      <c r="C17240">
        <v>14556</v>
      </c>
      <c r="D17240" t="s">
        <v>336</v>
      </c>
      <c r="E17240" t="s">
        <v>337</v>
      </c>
      <c r="F17240">
        <v>46.65</v>
      </c>
      <c r="G17240">
        <v>231016</v>
      </c>
      <c r="H17240">
        <v>4557</v>
      </c>
      <c r="I17240" t="s">
        <v>238</v>
      </c>
      <c r="J17240">
        <v>57.85</v>
      </c>
      <c r="K17240">
        <v>11.2</v>
      </c>
      <c r="L17240">
        <v>66722</v>
      </c>
      <c r="M17240" t="s">
        <v>518</v>
      </c>
      <c r="N17240" t="str">
        <f>"90829985    "</f>
        <v xml:space="preserve">90829985    </v>
      </c>
      <c r="O17240">
        <v>231030</v>
      </c>
    </row>
    <row r="17241" spans="1:15" x14ac:dyDescent="0.25">
      <c r="A17241" t="s">
        <v>16</v>
      </c>
      <c r="B17241" t="s">
        <v>3221</v>
      </c>
      <c r="C17241">
        <v>14631</v>
      </c>
      <c r="D17241" t="s">
        <v>336</v>
      </c>
      <c r="E17241" t="s">
        <v>337</v>
      </c>
      <c r="F17241">
        <v>66.91</v>
      </c>
      <c r="G17241">
        <v>231027</v>
      </c>
      <c r="H17241">
        <v>4420</v>
      </c>
      <c r="I17241" t="s">
        <v>132</v>
      </c>
      <c r="J17241">
        <v>82.97</v>
      </c>
      <c r="K17241">
        <v>16.059999999999999</v>
      </c>
      <c r="L17241">
        <v>66754</v>
      </c>
      <c r="M17241" t="s">
        <v>239</v>
      </c>
      <c r="N17241" t="str">
        <f>"90830796    "</f>
        <v xml:space="preserve">90830796    </v>
      </c>
      <c r="O17241">
        <v>231030</v>
      </c>
    </row>
    <row r="17242" spans="1:15" x14ac:dyDescent="0.25">
      <c r="A17242" t="s">
        <v>16</v>
      </c>
      <c r="B17242" t="s">
        <v>3221</v>
      </c>
      <c r="C17242">
        <v>3127</v>
      </c>
      <c r="D17242" t="s">
        <v>336</v>
      </c>
      <c r="E17242" t="s">
        <v>337</v>
      </c>
      <c r="F17242">
        <v>41.18</v>
      </c>
      <c r="G17242">
        <v>230306</v>
      </c>
      <c r="H17242">
        <v>4600</v>
      </c>
      <c r="I17242" t="s">
        <v>105</v>
      </c>
      <c r="J17242">
        <v>51.06</v>
      </c>
      <c r="K17242">
        <v>9.8800000000000008</v>
      </c>
      <c r="L17242">
        <v>66754</v>
      </c>
      <c r="M17242" t="s">
        <v>239</v>
      </c>
      <c r="N17242" t="str">
        <f>"90801098    "</f>
        <v xml:space="preserve">90801098    </v>
      </c>
      <c r="O17242">
        <v>230309</v>
      </c>
    </row>
    <row r="17243" spans="1:15" x14ac:dyDescent="0.25">
      <c r="A17243" t="s">
        <v>16</v>
      </c>
      <c r="B17243" t="s">
        <v>3221</v>
      </c>
      <c r="C17243">
        <v>3127</v>
      </c>
      <c r="D17243" t="s">
        <v>336</v>
      </c>
      <c r="E17243" t="s">
        <v>337</v>
      </c>
      <c r="F17243">
        <v>207.53</v>
      </c>
      <c r="G17243">
        <v>230306</v>
      </c>
      <c r="H17243">
        <v>4600</v>
      </c>
      <c r="I17243" t="s">
        <v>105</v>
      </c>
      <c r="J17243">
        <v>257.33999999999997</v>
      </c>
      <c r="K17243">
        <v>49.81</v>
      </c>
      <c r="L17243">
        <v>66754</v>
      </c>
      <c r="M17243" t="s">
        <v>239</v>
      </c>
      <c r="N17243" t="str">
        <f>"90801098    "</f>
        <v xml:space="preserve">90801098    </v>
      </c>
      <c r="O17243">
        <v>230309</v>
      </c>
    </row>
    <row r="17244" spans="1:15" x14ac:dyDescent="0.25">
      <c r="A17244" t="s">
        <v>16</v>
      </c>
      <c r="B17244" t="s">
        <v>3221</v>
      </c>
      <c r="C17244">
        <v>5291</v>
      </c>
      <c r="D17244" t="s">
        <v>336</v>
      </c>
      <c r="E17244" t="s">
        <v>337</v>
      </c>
      <c r="F17244">
        <v>134.75</v>
      </c>
      <c r="G17244">
        <v>230417</v>
      </c>
      <c r="H17244">
        <v>4600</v>
      </c>
      <c r="I17244" t="s">
        <v>105</v>
      </c>
      <c r="J17244">
        <v>167.09</v>
      </c>
      <c r="K17244">
        <v>32.340000000000003</v>
      </c>
      <c r="L17244">
        <v>66754</v>
      </c>
      <c r="M17244" t="s">
        <v>239</v>
      </c>
      <c r="N17244" t="str">
        <f>"90809385    "</f>
        <v xml:space="preserve">90809385    </v>
      </c>
      <c r="O17244">
        <v>230420</v>
      </c>
    </row>
    <row r="17245" spans="1:15" x14ac:dyDescent="0.25">
      <c r="A17245" t="s">
        <v>16</v>
      </c>
      <c r="B17245" t="s">
        <v>3221</v>
      </c>
      <c r="C17245">
        <v>13361</v>
      </c>
      <c r="D17245" t="s">
        <v>336</v>
      </c>
      <c r="E17245" t="s">
        <v>337</v>
      </c>
      <c r="F17245">
        <v>87.02</v>
      </c>
      <c r="G17245">
        <v>230929</v>
      </c>
      <c r="H17245">
        <v>4600</v>
      </c>
      <c r="I17245" t="s">
        <v>105</v>
      </c>
      <c r="J17245">
        <v>107.9</v>
      </c>
      <c r="K17245">
        <v>20.88</v>
      </c>
      <c r="L17245">
        <v>66754</v>
      </c>
      <c r="M17245" t="s">
        <v>239</v>
      </c>
      <c r="N17245" t="str">
        <f>"90829024    "</f>
        <v xml:space="preserve">90829024    </v>
      </c>
      <c r="O17245">
        <v>231009</v>
      </c>
    </row>
    <row r="17246" spans="1:15" x14ac:dyDescent="0.25">
      <c r="A17246" t="s">
        <v>16</v>
      </c>
      <c r="B17246" t="s">
        <v>3221</v>
      </c>
      <c r="C17246">
        <v>13715</v>
      </c>
      <c r="D17246" t="s">
        <v>336</v>
      </c>
      <c r="E17246" t="s">
        <v>337</v>
      </c>
      <c r="F17246">
        <v>131.13999999999999</v>
      </c>
      <c r="G17246">
        <v>231009</v>
      </c>
      <c r="H17246">
        <v>4600</v>
      </c>
      <c r="I17246" t="s">
        <v>105</v>
      </c>
      <c r="J17246">
        <v>162.61000000000001</v>
      </c>
      <c r="K17246">
        <v>31.47</v>
      </c>
      <c r="L17246">
        <v>66754</v>
      </c>
      <c r="M17246" t="s">
        <v>239</v>
      </c>
      <c r="N17246" t="str">
        <f>"90829546    "</f>
        <v xml:space="preserve">90829546    </v>
      </c>
      <c r="O17246">
        <v>231012</v>
      </c>
    </row>
    <row r="17247" spans="1:15" x14ac:dyDescent="0.25">
      <c r="A17247" t="s">
        <v>16</v>
      </c>
      <c r="B17247" t="s">
        <v>3221</v>
      </c>
      <c r="C17247">
        <v>14631</v>
      </c>
      <c r="D17247" t="s">
        <v>336</v>
      </c>
      <c r="E17247" t="s">
        <v>337</v>
      </c>
      <c r="F17247">
        <v>797.47</v>
      </c>
      <c r="G17247">
        <v>231027</v>
      </c>
      <c r="H17247">
        <v>4600</v>
      </c>
      <c r="I17247" t="s">
        <v>105</v>
      </c>
      <c r="J17247">
        <v>988.86</v>
      </c>
      <c r="K17247">
        <v>191.39</v>
      </c>
      <c r="L17247">
        <v>66754</v>
      </c>
      <c r="M17247" t="s">
        <v>239</v>
      </c>
      <c r="N17247" t="str">
        <f>"90830796    "</f>
        <v xml:space="preserve">90830796    </v>
      </c>
      <c r="O17247">
        <v>231030</v>
      </c>
    </row>
    <row r="17248" spans="1:15" x14ac:dyDescent="0.25">
      <c r="A17248" t="s">
        <v>16</v>
      </c>
      <c r="B17248" t="s">
        <v>3221</v>
      </c>
      <c r="C17248">
        <v>14631</v>
      </c>
      <c r="D17248" t="s">
        <v>336</v>
      </c>
      <c r="E17248" t="s">
        <v>337</v>
      </c>
      <c r="F17248">
        <v>91</v>
      </c>
      <c r="G17248">
        <v>231027</v>
      </c>
      <c r="H17248">
        <v>4600</v>
      </c>
      <c r="I17248" t="s">
        <v>105</v>
      </c>
      <c r="J17248">
        <v>112.84</v>
      </c>
      <c r="K17248">
        <v>21.84</v>
      </c>
      <c r="L17248">
        <v>66754</v>
      </c>
      <c r="M17248" t="s">
        <v>239</v>
      </c>
      <c r="N17248" t="str">
        <f>"90830796    "</f>
        <v xml:space="preserve">90830796    </v>
      </c>
      <c r="O17248">
        <v>231030</v>
      </c>
    </row>
    <row r="17249" spans="1:15" x14ac:dyDescent="0.25">
      <c r="A17249" t="s">
        <v>16</v>
      </c>
      <c r="B17249" t="s">
        <v>3221</v>
      </c>
      <c r="C17249">
        <v>1432</v>
      </c>
      <c r="D17249" t="s">
        <v>336</v>
      </c>
      <c r="E17249" t="s">
        <v>337</v>
      </c>
      <c r="F17249">
        <v>122.04</v>
      </c>
      <c r="G17249">
        <v>230206</v>
      </c>
      <c r="H17249">
        <v>4590</v>
      </c>
      <c r="I17249" t="s">
        <v>203</v>
      </c>
      <c r="J17249">
        <v>151.33000000000001</v>
      </c>
      <c r="K17249">
        <v>29.29</v>
      </c>
      <c r="L17249">
        <v>66754</v>
      </c>
      <c r="M17249" t="s">
        <v>239</v>
      </c>
      <c r="N17249" t="str">
        <f>"90797413    "</f>
        <v xml:space="preserve">90797413    </v>
      </c>
      <c r="O17249">
        <v>230208</v>
      </c>
    </row>
    <row r="17250" spans="1:15" x14ac:dyDescent="0.25">
      <c r="A17250" t="s">
        <v>16</v>
      </c>
      <c r="B17250" t="s">
        <v>3221</v>
      </c>
      <c r="C17250">
        <v>219</v>
      </c>
      <c r="D17250" t="s">
        <v>336</v>
      </c>
      <c r="E17250" t="s">
        <v>337</v>
      </c>
      <c r="F17250">
        <v>5348</v>
      </c>
      <c r="G17250">
        <v>230110</v>
      </c>
      <c r="H17250">
        <v>4552</v>
      </c>
      <c r="I17250" t="s">
        <v>338</v>
      </c>
      <c r="J17250">
        <v>6631.52</v>
      </c>
      <c r="K17250">
        <v>1283.52</v>
      </c>
      <c r="L17250">
        <v>66754</v>
      </c>
      <c r="M17250" t="s">
        <v>239</v>
      </c>
      <c r="N17250" t="str">
        <f>"90794908    "</f>
        <v xml:space="preserve">90794908    </v>
      </c>
      <c r="O17250">
        <v>230116</v>
      </c>
    </row>
    <row r="17251" spans="1:15" x14ac:dyDescent="0.25">
      <c r="A17251" t="s">
        <v>16</v>
      </c>
      <c r="B17251" t="s">
        <v>3221</v>
      </c>
      <c r="C17251">
        <v>220</v>
      </c>
      <c r="D17251" t="s">
        <v>336</v>
      </c>
      <c r="E17251" t="s">
        <v>337</v>
      </c>
      <c r="F17251">
        <v>-4266.3999999999996</v>
      </c>
      <c r="G17251">
        <v>230112</v>
      </c>
      <c r="H17251">
        <v>4552</v>
      </c>
      <c r="I17251" t="s">
        <v>338</v>
      </c>
      <c r="J17251">
        <v>-5290.34</v>
      </c>
      <c r="K17251">
        <v>-1023.94</v>
      </c>
      <c r="L17251">
        <v>66754</v>
      </c>
      <c r="M17251" t="s">
        <v>239</v>
      </c>
      <c r="N17251" t="str">
        <f>"90795083    "</f>
        <v xml:space="preserve">90795083    </v>
      </c>
      <c r="O17251">
        <v>230116</v>
      </c>
    </row>
    <row r="17252" spans="1:15" x14ac:dyDescent="0.25">
      <c r="A17252" t="s">
        <v>16</v>
      </c>
      <c r="B17252" t="s">
        <v>3221</v>
      </c>
      <c r="C17252">
        <v>13361</v>
      </c>
      <c r="D17252" t="s">
        <v>336</v>
      </c>
      <c r="E17252" t="s">
        <v>337</v>
      </c>
      <c r="F17252">
        <v>213.35</v>
      </c>
      <c r="G17252">
        <v>230929</v>
      </c>
      <c r="H17252">
        <v>4530</v>
      </c>
      <c r="I17252" t="s">
        <v>342</v>
      </c>
      <c r="J17252">
        <v>264.56</v>
      </c>
      <c r="K17252">
        <v>51.21</v>
      </c>
      <c r="L17252">
        <v>66754</v>
      </c>
      <c r="M17252" t="s">
        <v>239</v>
      </c>
      <c r="N17252" t="str">
        <f>"90829024    "</f>
        <v xml:space="preserve">90829024    </v>
      </c>
      <c r="O17252">
        <v>231009</v>
      </c>
    </row>
    <row r="17253" spans="1:15" x14ac:dyDescent="0.25">
      <c r="A17253" t="s">
        <v>16</v>
      </c>
      <c r="B17253" t="s">
        <v>3221</v>
      </c>
      <c r="C17253">
        <v>3557</v>
      </c>
      <c r="D17253" t="s">
        <v>1572</v>
      </c>
      <c r="E17253" t="s">
        <v>1573</v>
      </c>
      <c r="F17253">
        <v>45</v>
      </c>
      <c r="G17253">
        <v>230314</v>
      </c>
      <c r="H17253">
        <v>4341</v>
      </c>
      <c r="I17253" t="s">
        <v>32</v>
      </c>
      <c r="J17253">
        <v>55.8</v>
      </c>
      <c r="K17253">
        <v>10.8</v>
      </c>
      <c r="L17253">
        <v>11401</v>
      </c>
      <c r="M17253" t="s">
        <v>84</v>
      </c>
      <c r="N17253" t="str">
        <f>"1003587     "</f>
        <v xml:space="preserve">1003587     </v>
      </c>
      <c r="O17253">
        <v>230316</v>
      </c>
    </row>
    <row r="17254" spans="1:15" x14ac:dyDescent="0.25">
      <c r="A17254" t="s">
        <v>16</v>
      </c>
      <c r="B17254" t="s">
        <v>3221</v>
      </c>
      <c r="C17254">
        <v>3557</v>
      </c>
      <c r="D17254" t="s">
        <v>1572</v>
      </c>
      <c r="E17254" t="s">
        <v>1573</v>
      </c>
      <c r="F17254">
        <v>90</v>
      </c>
      <c r="G17254">
        <v>230314</v>
      </c>
      <c r="H17254">
        <v>4341</v>
      </c>
      <c r="I17254" t="s">
        <v>32</v>
      </c>
      <c r="J17254">
        <v>111.6</v>
      </c>
      <c r="K17254">
        <v>21.6</v>
      </c>
      <c r="L17254">
        <v>14952</v>
      </c>
      <c r="M17254" t="s">
        <v>99</v>
      </c>
      <c r="N17254" t="str">
        <f>"1003587     "</f>
        <v xml:space="preserve">1003587     </v>
      </c>
      <c r="O17254">
        <v>230316</v>
      </c>
    </row>
    <row r="17255" spans="1:15" x14ac:dyDescent="0.25">
      <c r="A17255" t="s">
        <v>16</v>
      </c>
      <c r="B17255" t="s">
        <v>3221</v>
      </c>
      <c r="C17255">
        <v>3581</v>
      </c>
      <c r="D17255" t="s">
        <v>1572</v>
      </c>
      <c r="E17255" t="s">
        <v>1573</v>
      </c>
      <c r="F17255">
        <v>135</v>
      </c>
      <c r="G17255">
        <v>230314</v>
      </c>
      <c r="H17255">
        <v>4341</v>
      </c>
      <c r="I17255" t="s">
        <v>32</v>
      </c>
      <c r="J17255">
        <v>167.4</v>
      </c>
      <c r="K17255">
        <v>32.4</v>
      </c>
      <c r="L17255">
        <v>59501</v>
      </c>
      <c r="M17255" t="s">
        <v>69</v>
      </c>
      <c r="N17255" t="str">
        <f>"1003583     "</f>
        <v xml:space="preserve">1003583     </v>
      </c>
      <c r="O17255">
        <v>230317</v>
      </c>
    </row>
    <row r="17256" spans="1:15" x14ac:dyDescent="0.25">
      <c r="A17256" t="s">
        <v>16</v>
      </c>
      <c r="B17256" t="s">
        <v>3221</v>
      </c>
      <c r="C17256">
        <v>3582</v>
      </c>
      <c r="D17256" t="s">
        <v>1572</v>
      </c>
      <c r="E17256" t="s">
        <v>1573</v>
      </c>
      <c r="F17256">
        <v>120</v>
      </c>
      <c r="G17256">
        <v>230314</v>
      </c>
      <c r="H17256">
        <v>4341</v>
      </c>
      <c r="I17256" t="s">
        <v>32</v>
      </c>
      <c r="J17256">
        <v>148.80000000000001</v>
      </c>
      <c r="K17256">
        <v>28.8</v>
      </c>
      <c r="L17256">
        <v>59505</v>
      </c>
      <c r="M17256" t="s">
        <v>72</v>
      </c>
      <c r="N17256" t="str">
        <f>"1003584     "</f>
        <v xml:space="preserve">1003584     </v>
      </c>
      <c r="O17256">
        <v>230317</v>
      </c>
    </row>
    <row r="17257" spans="1:15" x14ac:dyDescent="0.25">
      <c r="A17257" t="s">
        <v>16</v>
      </c>
      <c r="B17257" t="s">
        <v>3221</v>
      </c>
      <c r="C17257">
        <v>3604</v>
      </c>
      <c r="D17257" t="s">
        <v>1572</v>
      </c>
      <c r="E17257" t="s">
        <v>1573</v>
      </c>
      <c r="F17257">
        <v>240</v>
      </c>
      <c r="G17257">
        <v>230314</v>
      </c>
      <c r="H17257">
        <v>4341</v>
      </c>
      <c r="I17257" t="s">
        <v>32</v>
      </c>
      <c r="J17257">
        <v>297.60000000000002</v>
      </c>
      <c r="K17257">
        <v>57.6</v>
      </c>
      <c r="L17257">
        <v>69501</v>
      </c>
      <c r="M17257" t="s">
        <v>185</v>
      </c>
      <c r="N17257" t="str">
        <f>"1003586     "</f>
        <v xml:space="preserve">1003586     </v>
      </c>
      <c r="O17257">
        <v>230317</v>
      </c>
    </row>
    <row r="17258" spans="1:15" x14ac:dyDescent="0.25">
      <c r="A17258" t="s">
        <v>16</v>
      </c>
      <c r="B17258" t="s">
        <v>3221</v>
      </c>
      <c r="C17258">
        <v>9030</v>
      </c>
      <c r="D17258" t="s">
        <v>1572</v>
      </c>
      <c r="E17258" t="s">
        <v>1573</v>
      </c>
      <c r="F17258">
        <v>47.52</v>
      </c>
      <c r="G17258">
        <v>230615</v>
      </c>
      <c r="H17258">
        <v>4341</v>
      </c>
      <c r="I17258" t="s">
        <v>32</v>
      </c>
      <c r="J17258">
        <v>58.93</v>
      </c>
      <c r="K17258">
        <v>11.41</v>
      </c>
      <c r="L17258">
        <v>11401</v>
      </c>
      <c r="M17258" t="s">
        <v>84</v>
      </c>
      <c r="N17258" t="str">
        <f>"1010956     "</f>
        <v xml:space="preserve">1010956     </v>
      </c>
      <c r="O17258">
        <v>230621</v>
      </c>
    </row>
    <row r="17259" spans="1:15" x14ac:dyDescent="0.25">
      <c r="A17259" t="s">
        <v>16</v>
      </c>
      <c r="B17259" t="s">
        <v>3221</v>
      </c>
      <c r="C17259">
        <v>9030</v>
      </c>
      <c r="D17259" t="s">
        <v>1572</v>
      </c>
      <c r="E17259" t="s">
        <v>1573</v>
      </c>
      <c r="F17259">
        <v>95.06</v>
      </c>
      <c r="G17259">
        <v>230615</v>
      </c>
      <c r="H17259">
        <v>4341</v>
      </c>
      <c r="I17259" t="s">
        <v>32</v>
      </c>
      <c r="J17259">
        <v>117.87</v>
      </c>
      <c r="K17259">
        <v>22.81</v>
      </c>
      <c r="L17259">
        <v>14952</v>
      </c>
      <c r="M17259" t="s">
        <v>99</v>
      </c>
      <c r="N17259" t="str">
        <f>"1010956     "</f>
        <v xml:space="preserve">1010956     </v>
      </c>
      <c r="O17259">
        <v>230621</v>
      </c>
    </row>
    <row r="17260" spans="1:15" x14ac:dyDescent="0.25">
      <c r="A17260" t="s">
        <v>16</v>
      </c>
      <c r="B17260" t="s">
        <v>3221</v>
      </c>
      <c r="C17260">
        <v>9148</v>
      </c>
      <c r="D17260" t="s">
        <v>1572</v>
      </c>
      <c r="E17260" t="s">
        <v>1573</v>
      </c>
      <c r="F17260">
        <v>126.74</v>
      </c>
      <c r="G17260">
        <v>230615</v>
      </c>
      <c r="H17260">
        <v>4341</v>
      </c>
      <c r="I17260" t="s">
        <v>32</v>
      </c>
      <c r="J17260">
        <v>157.16</v>
      </c>
      <c r="K17260">
        <v>30.42</v>
      </c>
      <c r="L17260">
        <v>49501</v>
      </c>
      <c r="M17260" t="s">
        <v>177</v>
      </c>
      <c r="N17260" t="str">
        <f>"1010954     "</f>
        <v xml:space="preserve">1010954     </v>
      </c>
      <c r="O17260">
        <v>230628</v>
      </c>
    </row>
    <row r="17261" spans="1:15" x14ac:dyDescent="0.25">
      <c r="A17261" t="s">
        <v>16</v>
      </c>
      <c r="B17261" t="s">
        <v>3221</v>
      </c>
      <c r="C17261">
        <v>9148</v>
      </c>
      <c r="D17261" t="s">
        <v>1572</v>
      </c>
      <c r="E17261" t="s">
        <v>1573</v>
      </c>
      <c r="F17261">
        <v>126.74</v>
      </c>
      <c r="G17261">
        <v>230615</v>
      </c>
      <c r="H17261">
        <v>4341</v>
      </c>
      <c r="I17261" t="s">
        <v>32</v>
      </c>
      <c r="J17261">
        <v>157.16</v>
      </c>
      <c r="K17261">
        <v>30.42</v>
      </c>
      <c r="L17261">
        <v>49503</v>
      </c>
      <c r="M17261" t="s">
        <v>178</v>
      </c>
      <c r="N17261" t="str">
        <f>"1010954     "</f>
        <v xml:space="preserve">1010954     </v>
      </c>
      <c r="O17261">
        <v>230628</v>
      </c>
    </row>
    <row r="17262" spans="1:15" x14ac:dyDescent="0.25">
      <c r="A17262" t="s">
        <v>16</v>
      </c>
      <c r="B17262" t="s">
        <v>3221</v>
      </c>
      <c r="C17262">
        <v>9212</v>
      </c>
      <c r="D17262" t="s">
        <v>1572</v>
      </c>
      <c r="E17262" t="s">
        <v>1573</v>
      </c>
      <c r="F17262">
        <v>461.46</v>
      </c>
      <c r="G17262">
        <v>230615</v>
      </c>
      <c r="H17262">
        <v>4341</v>
      </c>
      <c r="I17262" t="s">
        <v>32</v>
      </c>
      <c r="J17262">
        <v>572.21</v>
      </c>
      <c r="K17262">
        <v>110.75</v>
      </c>
      <c r="L17262">
        <v>13540</v>
      </c>
      <c r="M17262" t="s">
        <v>85</v>
      </c>
      <c r="N17262" t="str">
        <f>"1010950     "</f>
        <v xml:space="preserve">1010950     </v>
      </c>
      <c r="O17262">
        <v>230629</v>
      </c>
    </row>
    <row r="17263" spans="1:15" x14ac:dyDescent="0.25">
      <c r="A17263" t="s">
        <v>16</v>
      </c>
      <c r="B17263" t="s">
        <v>3221</v>
      </c>
      <c r="C17263">
        <v>9212</v>
      </c>
      <c r="D17263" t="s">
        <v>1572</v>
      </c>
      <c r="E17263" t="s">
        <v>1573</v>
      </c>
      <c r="F17263">
        <v>3733.6</v>
      </c>
      <c r="G17263">
        <v>230615</v>
      </c>
      <c r="H17263">
        <v>4341</v>
      </c>
      <c r="I17263" t="s">
        <v>32</v>
      </c>
      <c r="J17263">
        <v>4629.66</v>
      </c>
      <c r="K17263">
        <v>896.06</v>
      </c>
      <c r="L17263">
        <v>17950</v>
      </c>
      <c r="M17263" t="s">
        <v>86</v>
      </c>
      <c r="N17263" t="str">
        <f>"1010950     "</f>
        <v xml:space="preserve">1010950     </v>
      </c>
      <c r="O17263">
        <v>230629</v>
      </c>
    </row>
    <row r="17264" spans="1:15" x14ac:dyDescent="0.25">
      <c r="A17264" t="s">
        <v>16</v>
      </c>
      <c r="B17264" t="s">
        <v>3221</v>
      </c>
      <c r="C17264">
        <v>9993</v>
      </c>
      <c r="D17264" t="s">
        <v>1572</v>
      </c>
      <c r="E17264" t="s">
        <v>1573</v>
      </c>
      <c r="F17264">
        <v>1513.25</v>
      </c>
      <c r="G17264">
        <v>230714</v>
      </c>
      <c r="H17264">
        <v>4341</v>
      </c>
      <c r="I17264" t="s">
        <v>32</v>
      </c>
      <c r="J17264">
        <v>1876.43</v>
      </c>
      <c r="K17264">
        <v>363.18</v>
      </c>
      <c r="L17264">
        <v>49501</v>
      </c>
      <c r="M17264" t="s">
        <v>177</v>
      </c>
      <c r="N17264" t="str">
        <f>"1013420     "</f>
        <v xml:space="preserve">1013420     </v>
      </c>
      <c r="O17264">
        <v>230807</v>
      </c>
    </row>
    <row r="17265" spans="1:15" x14ac:dyDescent="0.25">
      <c r="A17265" t="s">
        <v>16</v>
      </c>
      <c r="B17265" t="s">
        <v>3221</v>
      </c>
      <c r="C17265">
        <v>12084</v>
      </c>
      <c r="D17265" t="s">
        <v>1572</v>
      </c>
      <c r="E17265" t="s">
        <v>1573</v>
      </c>
      <c r="F17265">
        <v>253.48</v>
      </c>
      <c r="G17265">
        <v>230911</v>
      </c>
      <c r="H17265">
        <v>4341</v>
      </c>
      <c r="I17265" t="s">
        <v>32</v>
      </c>
      <c r="J17265">
        <v>314.32</v>
      </c>
      <c r="K17265">
        <v>60.84</v>
      </c>
      <c r="L17265">
        <v>69501</v>
      </c>
      <c r="M17265" t="s">
        <v>185</v>
      </c>
      <c r="N17265" t="str">
        <f>"1016870     "</f>
        <v xml:space="preserve">1016870     </v>
      </c>
      <c r="O17265">
        <v>230913</v>
      </c>
    </row>
    <row r="17266" spans="1:15" x14ac:dyDescent="0.25">
      <c r="A17266" t="s">
        <v>16</v>
      </c>
      <c r="B17266" t="s">
        <v>3221</v>
      </c>
      <c r="C17266">
        <v>12216</v>
      </c>
      <c r="D17266" t="s">
        <v>1572</v>
      </c>
      <c r="E17266" t="s">
        <v>1573</v>
      </c>
      <c r="F17266">
        <v>142.58000000000001</v>
      </c>
      <c r="G17266">
        <v>230911</v>
      </c>
      <c r="H17266">
        <v>4341</v>
      </c>
      <c r="I17266" t="s">
        <v>32</v>
      </c>
      <c r="J17266">
        <v>176.8</v>
      </c>
      <c r="K17266">
        <v>34.22</v>
      </c>
      <c r="L17266">
        <v>59501</v>
      </c>
      <c r="M17266" t="s">
        <v>69</v>
      </c>
      <c r="N17266" t="str">
        <f>"1016867     "</f>
        <v xml:space="preserve">1016867     </v>
      </c>
      <c r="O17266">
        <v>230915</v>
      </c>
    </row>
    <row r="17267" spans="1:15" x14ac:dyDescent="0.25">
      <c r="A17267" t="s">
        <v>16</v>
      </c>
      <c r="B17267" t="s">
        <v>3221</v>
      </c>
      <c r="C17267">
        <v>12217</v>
      </c>
      <c r="D17267" t="s">
        <v>1572</v>
      </c>
      <c r="E17267" t="s">
        <v>1573</v>
      </c>
      <c r="F17267">
        <v>126.74</v>
      </c>
      <c r="G17267">
        <v>230911</v>
      </c>
      <c r="H17267">
        <v>4341</v>
      </c>
      <c r="I17267" t="s">
        <v>32</v>
      </c>
      <c r="J17267">
        <v>157.16</v>
      </c>
      <c r="K17267">
        <v>30.42</v>
      </c>
      <c r="L17267">
        <v>59505</v>
      </c>
      <c r="M17267" t="s">
        <v>72</v>
      </c>
      <c r="N17267" t="str">
        <f>"1016868     "</f>
        <v xml:space="preserve">1016868     </v>
      </c>
      <c r="O17267">
        <v>230915</v>
      </c>
    </row>
    <row r="17268" spans="1:15" x14ac:dyDescent="0.25">
      <c r="A17268" t="s">
        <v>16</v>
      </c>
      <c r="B17268" t="s">
        <v>3221</v>
      </c>
      <c r="C17268">
        <v>12232</v>
      </c>
      <c r="D17268" t="s">
        <v>1572</v>
      </c>
      <c r="E17268" t="s">
        <v>1573</v>
      </c>
      <c r="F17268">
        <v>47.52</v>
      </c>
      <c r="G17268">
        <v>230911</v>
      </c>
      <c r="H17268">
        <v>4341</v>
      </c>
      <c r="I17268" t="s">
        <v>32</v>
      </c>
      <c r="J17268">
        <v>58.93</v>
      </c>
      <c r="K17268">
        <v>11.41</v>
      </c>
      <c r="L17268">
        <v>11401</v>
      </c>
      <c r="M17268" t="s">
        <v>84</v>
      </c>
      <c r="N17268" t="str">
        <f>"1016871     "</f>
        <v xml:space="preserve">1016871     </v>
      </c>
      <c r="O17268">
        <v>230915</v>
      </c>
    </row>
    <row r="17269" spans="1:15" x14ac:dyDescent="0.25">
      <c r="A17269" t="s">
        <v>16</v>
      </c>
      <c r="B17269" t="s">
        <v>3221</v>
      </c>
      <c r="C17269">
        <v>12232</v>
      </c>
      <c r="D17269" t="s">
        <v>1572</v>
      </c>
      <c r="E17269" t="s">
        <v>1573</v>
      </c>
      <c r="F17269">
        <v>95.06</v>
      </c>
      <c r="G17269">
        <v>230911</v>
      </c>
      <c r="H17269">
        <v>4341</v>
      </c>
      <c r="I17269" t="s">
        <v>32</v>
      </c>
      <c r="J17269">
        <v>117.87</v>
      </c>
      <c r="K17269">
        <v>22.81</v>
      </c>
      <c r="L17269">
        <v>14952</v>
      </c>
      <c r="M17269" t="s">
        <v>99</v>
      </c>
      <c r="N17269" t="str">
        <f>"1016871     "</f>
        <v xml:space="preserve">1016871     </v>
      </c>
      <c r="O17269">
        <v>230915</v>
      </c>
    </row>
    <row r="17270" spans="1:15" x14ac:dyDescent="0.25">
      <c r="A17270" t="s">
        <v>16</v>
      </c>
      <c r="B17270" t="s">
        <v>3221</v>
      </c>
      <c r="C17270">
        <v>12365</v>
      </c>
      <c r="D17270" t="s">
        <v>1572</v>
      </c>
      <c r="E17270" t="s">
        <v>1573</v>
      </c>
      <c r="F17270">
        <v>253.48</v>
      </c>
      <c r="G17270">
        <v>230911</v>
      </c>
      <c r="H17270">
        <v>4341</v>
      </c>
      <c r="I17270" t="s">
        <v>32</v>
      </c>
      <c r="J17270">
        <v>314.32</v>
      </c>
      <c r="K17270">
        <v>60.84</v>
      </c>
      <c r="L17270">
        <v>49501</v>
      </c>
      <c r="M17270" t="s">
        <v>177</v>
      </c>
      <c r="N17270" t="str">
        <f>"1016869     "</f>
        <v xml:space="preserve">1016869     </v>
      </c>
      <c r="O17270">
        <v>230918</v>
      </c>
    </row>
    <row r="17271" spans="1:15" x14ac:dyDescent="0.25">
      <c r="A17271" t="s">
        <v>16</v>
      </c>
      <c r="B17271" t="s">
        <v>3221</v>
      </c>
      <c r="C17271">
        <v>18140</v>
      </c>
      <c r="D17271" t="s">
        <v>1572</v>
      </c>
      <c r="E17271" t="s">
        <v>1573</v>
      </c>
      <c r="F17271">
        <v>126.74</v>
      </c>
      <c r="G17271">
        <v>231211</v>
      </c>
      <c r="H17271">
        <v>4341</v>
      </c>
      <c r="I17271" t="s">
        <v>32</v>
      </c>
      <c r="J17271">
        <v>157.16</v>
      </c>
      <c r="K17271">
        <v>30.42</v>
      </c>
      <c r="L17271">
        <v>49501</v>
      </c>
      <c r="M17271" t="s">
        <v>177</v>
      </c>
      <c r="N17271" t="str">
        <f>"1024866     "</f>
        <v xml:space="preserve">1024866     </v>
      </c>
      <c r="O17271">
        <v>240102</v>
      </c>
    </row>
    <row r="17272" spans="1:15" x14ac:dyDescent="0.25">
      <c r="A17272" t="s">
        <v>16</v>
      </c>
      <c r="B17272" t="s">
        <v>3221</v>
      </c>
      <c r="C17272">
        <v>18140</v>
      </c>
      <c r="D17272" t="s">
        <v>1572</v>
      </c>
      <c r="E17272" t="s">
        <v>1573</v>
      </c>
      <c r="F17272">
        <v>126.74</v>
      </c>
      <c r="G17272">
        <v>231211</v>
      </c>
      <c r="H17272">
        <v>4341</v>
      </c>
      <c r="I17272" t="s">
        <v>32</v>
      </c>
      <c r="J17272">
        <v>157.16</v>
      </c>
      <c r="K17272">
        <v>30.42</v>
      </c>
      <c r="L17272">
        <v>49503</v>
      </c>
      <c r="M17272" t="s">
        <v>178</v>
      </c>
      <c r="N17272" t="str">
        <f>"1024866     "</f>
        <v xml:space="preserve">1024866     </v>
      </c>
      <c r="O17272">
        <v>240102</v>
      </c>
    </row>
    <row r="17273" spans="1:15" x14ac:dyDescent="0.25">
      <c r="A17273" t="s">
        <v>16</v>
      </c>
      <c r="B17273" t="s">
        <v>3221</v>
      </c>
      <c r="C17273">
        <v>18141</v>
      </c>
      <c r="D17273" t="s">
        <v>1572</v>
      </c>
      <c r="E17273" t="s">
        <v>1573</v>
      </c>
      <c r="F17273">
        <v>15.84</v>
      </c>
      <c r="G17273">
        <v>231211</v>
      </c>
      <c r="H17273">
        <v>4341</v>
      </c>
      <c r="I17273" t="s">
        <v>32</v>
      </c>
      <c r="J17273">
        <v>19.64</v>
      </c>
      <c r="K17273">
        <v>3.8</v>
      </c>
      <c r="L17273">
        <v>11401</v>
      </c>
      <c r="M17273" t="s">
        <v>84</v>
      </c>
      <c r="N17273" t="str">
        <f>"1024868     "</f>
        <v xml:space="preserve">1024868     </v>
      </c>
      <c r="O17273">
        <v>240102</v>
      </c>
    </row>
    <row r="17274" spans="1:15" x14ac:dyDescent="0.25">
      <c r="A17274" t="s">
        <v>16</v>
      </c>
      <c r="B17274" t="s">
        <v>3221</v>
      </c>
      <c r="C17274">
        <v>18141</v>
      </c>
      <c r="D17274" t="s">
        <v>1572</v>
      </c>
      <c r="E17274" t="s">
        <v>1573</v>
      </c>
      <c r="F17274">
        <v>31.69</v>
      </c>
      <c r="G17274">
        <v>231211</v>
      </c>
      <c r="H17274">
        <v>4341</v>
      </c>
      <c r="I17274" t="s">
        <v>32</v>
      </c>
      <c r="J17274">
        <v>39.29</v>
      </c>
      <c r="K17274">
        <v>7.6</v>
      </c>
      <c r="L17274">
        <v>14952</v>
      </c>
      <c r="M17274" t="s">
        <v>99</v>
      </c>
      <c r="N17274" t="str">
        <f>"1024868     "</f>
        <v xml:space="preserve">1024868     </v>
      </c>
      <c r="O17274">
        <v>240102</v>
      </c>
    </row>
    <row r="17275" spans="1:15" x14ac:dyDescent="0.25">
      <c r="A17275" t="s">
        <v>16</v>
      </c>
      <c r="B17275" t="s">
        <v>3221</v>
      </c>
      <c r="C17275">
        <v>18142</v>
      </c>
      <c r="D17275" t="s">
        <v>1572</v>
      </c>
      <c r="E17275" t="s">
        <v>1573</v>
      </c>
      <c r="F17275">
        <v>86.35</v>
      </c>
      <c r="G17275">
        <v>231211</v>
      </c>
      <c r="H17275">
        <v>4341</v>
      </c>
      <c r="I17275" t="s">
        <v>32</v>
      </c>
      <c r="J17275">
        <v>107.08</v>
      </c>
      <c r="K17275">
        <v>20.73</v>
      </c>
      <c r="L17275">
        <v>69501</v>
      </c>
      <c r="M17275" t="s">
        <v>185</v>
      </c>
      <c r="N17275" t="str">
        <f>"1024867     "</f>
        <v xml:space="preserve">1024867     </v>
      </c>
      <c r="O17275">
        <v>240102</v>
      </c>
    </row>
    <row r="17276" spans="1:15" x14ac:dyDescent="0.25">
      <c r="A17276" t="s">
        <v>16</v>
      </c>
      <c r="B17276" t="s">
        <v>3221</v>
      </c>
      <c r="C17276">
        <v>3841</v>
      </c>
      <c r="D17276" t="s">
        <v>1572</v>
      </c>
      <c r="E17276" t="s">
        <v>1573</v>
      </c>
      <c r="F17276">
        <v>120</v>
      </c>
      <c r="G17276">
        <v>230314</v>
      </c>
      <c r="H17276">
        <v>4343</v>
      </c>
      <c r="I17276" t="s">
        <v>91</v>
      </c>
      <c r="J17276">
        <v>148.80000000000001</v>
      </c>
      <c r="K17276">
        <v>28.8</v>
      </c>
      <c r="L17276">
        <v>49501</v>
      </c>
      <c r="M17276" t="s">
        <v>177</v>
      </c>
      <c r="N17276" t="str">
        <f>"1003585     "</f>
        <v xml:space="preserve">1003585     </v>
      </c>
      <c r="O17276">
        <v>230323</v>
      </c>
    </row>
    <row r="17277" spans="1:15" x14ac:dyDescent="0.25">
      <c r="A17277" t="s">
        <v>16</v>
      </c>
      <c r="B17277" t="s">
        <v>3221</v>
      </c>
      <c r="C17277">
        <v>3841</v>
      </c>
      <c r="D17277" t="s">
        <v>1572</v>
      </c>
      <c r="E17277" t="s">
        <v>1573</v>
      </c>
      <c r="F17277">
        <v>120</v>
      </c>
      <c r="G17277">
        <v>230314</v>
      </c>
      <c r="H17277">
        <v>4343</v>
      </c>
      <c r="I17277" t="s">
        <v>91</v>
      </c>
      <c r="J17277">
        <v>148.80000000000001</v>
      </c>
      <c r="K17277">
        <v>28.8</v>
      </c>
      <c r="L17277">
        <v>49503</v>
      </c>
      <c r="M17277" t="s">
        <v>178</v>
      </c>
      <c r="N17277" t="str">
        <f>"1003585     "</f>
        <v xml:space="preserve">1003585     </v>
      </c>
      <c r="O17277">
        <v>230323</v>
      </c>
    </row>
    <row r="17278" spans="1:15" x14ac:dyDescent="0.25">
      <c r="A17278" t="s">
        <v>16</v>
      </c>
      <c r="B17278" t="s">
        <v>3221</v>
      </c>
      <c r="C17278">
        <v>8993</v>
      </c>
      <c r="D17278" t="s">
        <v>1572</v>
      </c>
      <c r="E17278" t="s">
        <v>1573</v>
      </c>
      <c r="F17278">
        <v>253.48</v>
      </c>
      <c r="G17278">
        <v>230615</v>
      </c>
      <c r="H17278">
        <v>4343</v>
      </c>
      <c r="I17278" t="s">
        <v>91</v>
      </c>
      <c r="J17278">
        <v>314.32</v>
      </c>
      <c r="K17278">
        <v>60.84</v>
      </c>
      <c r="L17278">
        <v>69501</v>
      </c>
      <c r="M17278" t="s">
        <v>185</v>
      </c>
      <c r="N17278" t="str">
        <f>"1010955     "</f>
        <v xml:space="preserve">1010955     </v>
      </c>
      <c r="O17278">
        <v>230620</v>
      </c>
    </row>
    <row r="17279" spans="1:15" x14ac:dyDescent="0.25">
      <c r="A17279" t="s">
        <v>16</v>
      </c>
      <c r="B17279" t="s">
        <v>3221</v>
      </c>
      <c r="C17279">
        <v>9141</v>
      </c>
      <c r="D17279" t="s">
        <v>1572</v>
      </c>
      <c r="E17279" t="s">
        <v>1573</v>
      </c>
      <c r="F17279">
        <v>142.58000000000001</v>
      </c>
      <c r="G17279">
        <v>230615</v>
      </c>
      <c r="H17279">
        <v>4343</v>
      </c>
      <c r="I17279" t="s">
        <v>91</v>
      </c>
      <c r="J17279">
        <v>176.8</v>
      </c>
      <c r="K17279">
        <v>34.22</v>
      </c>
      <c r="L17279">
        <v>59501</v>
      </c>
      <c r="M17279" t="s">
        <v>69</v>
      </c>
      <c r="N17279" t="str">
        <f>"1010952     "</f>
        <v xml:space="preserve">1010952     </v>
      </c>
      <c r="O17279">
        <v>230628</v>
      </c>
    </row>
    <row r="17280" spans="1:15" x14ac:dyDescent="0.25">
      <c r="A17280" t="s">
        <v>16</v>
      </c>
      <c r="B17280" t="s">
        <v>3221</v>
      </c>
      <c r="C17280">
        <v>9144</v>
      </c>
      <c r="D17280" t="s">
        <v>1572</v>
      </c>
      <c r="E17280" t="s">
        <v>1573</v>
      </c>
      <c r="F17280">
        <v>126.74</v>
      </c>
      <c r="G17280">
        <v>230615</v>
      </c>
      <c r="H17280">
        <v>4343</v>
      </c>
      <c r="I17280" t="s">
        <v>91</v>
      </c>
      <c r="J17280">
        <v>157.16</v>
      </c>
      <c r="K17280">
        <v>30.42</v>
      </c>
      <c r="L17280">
        <v>59505</v>
      </c>
      <c r="M17280" t="s">
        <v>72</v>
      </c>
      <c r="N17280" t="str">
        <f>"1010953     "</f>
        <v xml:space="preserve">1010953     </v>
      </c>
      <c r="O17280">
        <v>230628</v>
      </c>
    </row>
    <row r="17281" spans="1:15" x14ac:dyDescent="0.25">
      <c r="A17281" t="s">
        <v>16</v>
      </c>
      <c r="B17281" t="s">
        <v>3221</v>
      </c>
      <c r="C17281">
        <v>14415</v>
      </c>
      <c r="D17281" t="s">
        <v>1572</v>
      </c>
      <c r="E17281" t="s">
        <v>1573</v>
      </c>
      <c r="F17281">
        <v>1725</v>
      </c>
      <c r="G17281">
        <v>231020</v>
      </c>
      <c r="H17281">
        <v>1197</v>
      </c>
      <c r="I17281" t="s">
        <v>868</v>
      </c>
      <c r="J17281">
        <v>1725</v>
      </c>
      <c r="K17281">
        <v>0</v>
      </c>
      <c r="L17281">
        <v>97501</v>
      </c>
      <c r="M17281" t="s">
        <v>393</v>
      </c>
      <c r="N17281" t="str">
        <f>"1020926     "</f>
        <v xml:space="preserve">1020926     </v>
      </c>
      <c r="O17281">
        <v>231030</v>
      </c>
    </row>
    <row r="17282" spans="1:15" x14ac:dyDescent="0.25">
      <c r="A17282" t="s">
        <v>16</v>
      </c>
      <c r="B17282" t="s">
        <v>3221</v>
      </c>
      <c r="C17282">
        <v>14416</v>
      </c>
      <c r="D17282" t="s">
        <v>1572</v>
      </c>
      <c r="E17282" t="s">
        <v>1573</v>
      </c>
      <c r="F17282">
        <v>1620</v>
      </c>
      <c r="G17282">
        <v>231020</v>
      </c>
      <c r="H17282">
        <v>1197</v>
      </c>
      <c r="I17282" t="s">
        <v>868</v>
      </c>
      <c r="J17282">
        <v>1620</v>
      </c>
      <c r="K17282">
        <v>0</v>
      </c>
      <c r="L17282">
        <v>97501</v>
      </c>
      <c r="M17282" t="s">
        <v>393</v>
      </c>
      <c r="N17282" t="str">
        <f>"1020927     "</f>
        <v xml:space="preserve">1020927     </v>
      </c>
      <c r="O17282">
        <v>231030</v>
      </c>
    </row>
    <row r="17283" spans="1:15" x14ac:dyDescent="0.25">
      <c r="A17283" t="s">
        <v>16</v>
      </c>
      <c r="B17283" t="s">
        <v>3221</v>
      </c>
      <c r="C17283">
        <v>17525</v>
      </c>
      <c r="D17283" t="s">
        <v>1572</v>
      </c>
      <c r="E17283" t="s">
        <v>1573</v>
      </c>
      <c r="F17283">
        <v>1697.73</v>
      </c>
      <c r="G17283">
        <v>231211</v>
      </c>
      <c r="H17283">
        <v>1197</v>
      </c>
      <c r="I17283" t="s">
        <v>868</v>
      </c>
      <c r="J17283">
        <v>1697.73</v>
      </c>
      <c r="K17283">
        <v>0</v>
      </c>
      <c r="L17283">
        <v>97501</v>
      </c>
      <c r="M17283" t="s">
        <v>393</v>
      </c>
      <c r="N17283" t="str">
        <f>"1024846     "</f>
        <v xml:space="preserve">1024846     </v>
      </c>
      <c r="O17283">
        <v>231215</v>
      </c>
    </row>
    <row r="17284" spans="1:15" x14ac:dyDescent="0.25">
      <c r="A17284" t="s">
        <v>16</v>
      </c>
      <c r="B17284" t="s">
        <v>3221</v>
      </c>
      <c r="C17284">
        <v>17755</v>
      </c>
      <c r="D17284" t="s">
        <v>1572</v>
      </c>
      <c r="E17284" t="s">
        <v>1573</v>
      </c>
      <c r="F17284">
        <v>11770</v>
      </c>
      <c r="G17284">
        <v>231211</v>
      </c>
      <c r="H17284">
        <v>1197</v>
      </c>
      <c r="I17284" t="s">
        <v>868</v>
      </c>
      <c r="J17284">
        <v>11770</v>
      </c>
      <c r="K17284">
        <v>0</v>
      </c>
      <c r="L17284">
        <v>97501</v>
      </c>
      <c r="M17284" t="s">
        <v>393</v>
      </c>
      <c r="N17284" t="str">
        <f>"1024844     "</f>
        <v xml:space="preserve">1024844     </v>
      </c>
      <c r="O17284">
        <v>231222</v>
      </c>
    </row>
    <row r="17285" spans="1:15" x14ac:dyDescent="0.25">
      <c r="A17285" t="s">
        <v>16</v>
      </c>
      <c r="B17285" t="s">
        <v>3221</v>
      </c>
      <c r="C17285">
        <v>17884</v>
      </c>
      <c r="D17285" t="s">
        <v>1572</v>
      </c>
      <c r="E17285" t="s">
        <v>1573</v>
      </c>
      <c r="F17285">
        <v>3450</v>
      </c>
      <c r="G17285">
        <v>231214</v>
      </c>
      <c r="H17285">
        <v>1197</v>
      </c>
      <c r="I17285" t="s">
        <v>868</v>
      </c>
      <c r="J17285">
        <v>3450</v>
      </c>
      <c r="K17285">
        <v>0</v>
      </c>
      <c r="L17285">
        <v>97501</v>
      </c>
      <c r="M17285" t="s">
        <v>393</v>
      </c>
      <c r="N17285" t="str">
        <f>"1025821     "</f>
        <v xml:space="preserve">1025821     </v>
      </c>
      <c r="O17285">
        <v>231227</v>
      </c>
    </row>
    <row r="17286" spans="1:15" x14ac:dyDescent="0.25">
      <c r="A17286" t="s">
        <v>16</v>
      </c>
      <c r="B17286" t="s">
        <v>3221</v>
      </c>
      <c r="C17286">
        <v>17884</v>
      </c>
      <c r="D17286" t="s">
        <v>1572</v>
      </c>
      <c r="E17286" t="s">
        <v>1573</v>
      </c>
      <c r="F17286">
        <v>5175</v>
      </c>
      <c r="G17286">
        <v>231214</v>
      </c>
      <c r="H17286">
        <v>1197</v>
      </c>
      <c r="I17286" t="s">
        <v>868</v>
      </c>
      <c r="J17286">
        <v>5175</v>
      </c>
      <c r="K17286">
        <v>0</v>
      </c>
      <c r="L17286">
        <v>97501</v>
      </c>
      <c r="M17286" t="s">
        <v>393</v>
      </c>
      <c r="N17286" t="str">
        <f>"1025821     "</f>
        <v xml:space="preserve">1025821     </v>
      </c>
      <c r="O17286">
        <v>231227</v>
      </c>
    </row>
    <row r="17287" spans="1:15" x14ac:dyDescent="0.25">
      <c r="A17287" t="s">
        <v>16</v>
      </c>
      <c r="B17287" t="s">
        <v>3221</v>
      </c>
      <c r="C17287">
        <v>17935</v>
      </c>
      <c r="D17287" t="s">
        <v>1572</v>
      </c>
      <c r="E17287" t="s">
        <v>1573</v>
      </c>
      <c r="F17287">
        <v>3240</v>
      </c>
      <c r="G17287">
        <v>231214</v>
      </c>
      <c r="H17287">
        <v>1197</v>
      </c>
      <c r="I17287" t="s">
        <v>868</v>
      </c>
      <c r="J17287">
        <v>3240</v>
      </c>
      <c r="K17287">
        <v>0</v>
      </c>
      <c r="L17287">
        <v>97501</v>
      </c>
      <c r="M17287" t="s">
        <v>393</v>
      </c>
      <c r="N17287" t="str">
        <f>"1025820     "</f>
        <v xml:space="preserve">1025820     </v>
      </c>
      <c r="O17287">
        <v>231228</v>
      </c>
    </row>
    <row r="17288" spans="1:15" x14ac:dyDescent="0.25">
      <c r="A17288" t="s">
        <v>16</v>
      </c>
      <c r="B17288" t="s">
        <v>3221</v>
      </c>
      <c r="C17288">
        <v>17935</v>
      </c>
      <c r="D17288" t="s">
        <v>1572</v>
      </c>
      <c r="E17288" t="s">
        <v>1573</v>
      </c>
      <c r="F17288">
        <v>4860</v>
      </c>
      <c r="G17288">
        <v>231214</v>
      </c>
      <c r="H17288">
        <v>1197</v>
      </c>
      <c r="I17288" t="s">
        <v>868</v>
      </c>
      <c r="J17288">
        <v>4860</v>
      </c>
      <c r="K17288">
        <v>0</v>
      </c>
      <c r="L17288">
        <v>97501</v>
      </c>
      <c r="M17288" t="s">
        <v>393</v>
      </c>
      <c r="N17288" t="str">
        <f>"1025820     "</f>
        <v xml:space="preserve">1025820     </v>
      </c>
      <c r="O17288">
        <v>231228</v>
      </c>
    </row>
    <row r="17289" spans="1:15" x14ac:dyDescent="0.25">
      <c r="A17289" t="s">
        <v>16</v>
      </c>
      <c r="B17289" t="s">
        <v>3221</v>
      </c>
      <c r="C17289">
        <v>18541</v>
      </c>
      <c r="D17289" t="s">
        <v>1572</v>
      </c>
      <c r="E17289" t="s">
        <v>1573</v>
      </c>
      <c r="F17289">
        <v>24150</v>
      </c>
      <c r="G17289">
        <v>231222</v>
      </c>
      <c r="H17289">
        <v>1197</v>
      </c>
      <c r="I17289" t="s">
        <v>868</v>
      </c>
      <c r="J17289">
        <v>24150</v>
      </c>
      <c r="K17289">
        <v>0</v>
      </c>
      <c r="L17289">
        <v>97501</v>
      </c>
      <c r="M17289" t="s">
        <v>393</v>
      </c>
      <c r="N17289" t="str">
        <f>"1026664     "</f>
        <v xml:space="preserve">1026664     </v>
      </c>
      <c r="O17289">
        <v>240103</v>
      </c>
    </row>
    <row r="17290" spans="1:15" x14ac:dyDescent="0.25">
      <c r="A17290" t="s">
        <v>16</v>
      </c>
      <c r="B17290" t="s">
        <v>3221</v>
      </c>
      <c r="C17290">
        <v>18814</v>
      </c>
      <c r="D17290" t="s">
        <v>1572</v>
      </c>
      <c r="E17290" t="s">
        <v>1573</v>
      </c>
      <c r="F17290">
        <v>2684.27</v>
      </c>
      <c r="G17290">
        <v>231221</v>
      </c>
      <c r="H17290">
        <v>1197</v>
      </c>
      <c r="I17290" t="s">
        <v>868</v>
      </c>
      <c r="J17290">
        <v>2684.27</v>
      </c>
      <c r="K17290">
        <v>0</v>
      </c>
      <c r="L17290">
        <v>95501</v>
      </c>
      <c r="M17290" t="s">
        <v>623</v>
      </c>
      <c r="N17290" t="str">
        <f>"1026494     "</f>
        <v xml:space="preserve">1026494     </v>
      </c>
      <c r="O17290">
        <v>240108</v>
      </c>
    </row>
    <row r="17291" spans="1:15" x14ac:dyDescent="0.25">
      <c r="A17291" t="s">
        <v>16</v>
      </c>
      <c r="B17291" t="s">
        <v>3221</v>
      </c>
      <c r="C17291">
        <v>18816</v>
      </c>
      <c r="D17291" t="s">
        <v>1572</v>
      </c>
      <c r="E17291" t="s">
        <v>1573</v>
      </c>
      <c r="F17291">
        <v>14400</v>
      </c>
      <c r="G17291">
        <v>231222</v>
      </c>
      <c r="H17291">
        <v>1197</v>
      </c>
      <c r="I17291" t="s">
        <v>868</v>
      </c>
      <c r="J17291">
        <v>14400</v>
      </c>
      <c r="K17291">
        <v>0</v>
      </c>
      <c r="L17291">
        <v>95501</v>
      </c>
      <c r="M17291" t="s">
        <v>623</v>
      </c>
      <c r="N17291" t="str">
        <f>"1026714     "</f>
        <v xml:space="preserve">1026714     </v>
      </c>
      <c r="O17291">
        <v>240108</v>
      </c>
    </row>
    <row r="17292" spans="1:15" x14ac:dyDescent="0.25">
      <c r="A17292" t="s">
        <v>16</v>
      </c>
      <c r="B17292" t="s">
        <v>3221</v>
      </c>
      <c r="C17292">
        <v>9686</v>
      </c>
      <c r="D17292" t="s">
        <v>1572</v>
      </c>
      <c r="E17292" t="s">
        <v>1573</v>
      </c>
      <c r="F17292">
        <v>1166.71</v>
      </c>
      <c r="G17292">
        <v>230714</v>
      </c>
      <c r="H17292">
        <v>4400</v>
      </c>
      <c r="I17292" t="s">
        <v>348</v>
      </c>
      <c r="J17292">
        <v>1446.72</v>
      </c>
      <c r="K17292">
        <v>280.01</v>
      </c>
      <c r="L17292">
        <v>49501</v>
      </c>
      <c r="M17292" t="s">
        <v>177</v>
      </c>
      <c r="N17292" t="str">
        <f>"1013419     "</f>
        <v xml:space="preserve">1013419     </v>
      </c>
      <c r="O17292">
        <v>230719</v>
      </c>
    </row>
    <row r="17293" spans="1:15" x14ac:dyDescent="0.25">
      <c r="A17293" t="s">
        <v>16</v>
      </c>
      <c r="B17293" t="s">
        <v>3221</v>
      </c>
      <c r="C17293">
        <v>18186</v>
      </c>
      <c r="D17293" t="s">
        <v>1572</v>
      </c>
      <c r="E17293" t="s">
        <v>1573</v>
      </c>
      <c r="F17293">
        <v>181.56</v>
      </c>
      <c r="G17293">
        <v>231220</v>
      </c>
      <c r="H17293">
        <v>4420</v>
      </c>
      <c r="I17293" t="s">
        <v>132</v>
      </c>
      <c r="J17293">
        <v>181.56</v>
      </c>
      <c r="K17293">
        <v>0</v>
      </c>
      <c r="L17293">
        <v>17950</v>
      </c>
      <c r="M17293" t="s">
        <v>86</v>
      </c>
      <c r="N17293" t="str">
        <f>"1026369     "</f>
        <v xml:space="preserve">1026369     </v>
      </c>
      <c r="O17293">
        <v>240102</v>
      </c>
    </row>
    <row r="17294" spans="1:15" x14ac:dyDescent="0.25">
      <c r="A17294" t="s">
        <v>16</v>
      </c>
      <c r="B17294" t="s">
        <v>3221</v>
      </c>
      <c r="C17294">
        <v>3539</v>
      </c>
      <c r="D17294" t="s">
        <v>1572</v>
      </c>
      <c r="E17294" t="s">
        <v>1573</v>
      </c>
      <c r="F17294">
        <v>66.400000000000006</v>
      </c>
      <c r="G17294">
        <v>230314</v>
      </c>
      <c r="H17294">
        <v>4390</v>
      </c>
      <c r="I17294" t="s">
        <v>98</v>
      </c>
      <c r="J17294">
        <v>82.34</v>
      </c>
      <c r="K17294">
        <v>15.94</v>
      </c>
      <c r="L17294">
        <v>13540</v>
      </c>
      <c r="M17294" t="s">
        <v>85</v>
      </c>
      <c r="N17294" t="str">
        <f>"1003582     "</f>
        <v xml:space="preserve">1003582     </v>
      </c>
      <c r="O17294">
        <v>230316</v>
      </c>
    </row>
    <row r="17295" spans="1:15" x14ac:dyDescent="0.25">
      <c r="A17295" t="s">
        <v>16</v>
      </c>
      <c r="B17295" t="s">
        <v>3221</v>
      </c>
      <c r="C17295">
        <v>3539</v>
      </c>
      <c r="D17295" t="s">
        <v>1572</v>
      </c>
      <c r="E17295" t="s">
        <v>1573</v>
      </c>
      <c r="F17295">
        <v>533.6</v>
      </c>
      <c r="G17295">
        <v>230314</v>
      </c>
      <c r="H17295">
        <v>4390</v>
      </c>
      <c r="I17295" t="s">
        <v>98</v>
      </c>
      <c r="J17295">
        <v>661.66</v>
      </c>
      <c r="K17295">
        <v>128.06</v>
      </c>
      <c r="L17295">
        <v>17950</v>
      </c>
      <c r="M17295" t="s">
        <v>86</v>
      </c>
      <c r="N17295" t="str">
        <f>"1003582     "</f>
        <v xml:space="preserve">1003582     </v>
      </c>
      <c r="O17295">
        <v>230316</v>
      </c>
    </row>
    <row r="17296" spans="1:15" x14ac:dyDescent="0.25">
      <c r="A17296" t="s">
        <v>16</v>
      </c>
      <c r="B17296" t="s">
        <v>3221</v>
      </c>
      <c r="C17296">
        <v>3778</v>
      </c>
      <c r="D17296" t="s">
        <v>1572</v>
      </c>
      <c r="E17296" t="s">
        <v>1573</v>
      </c>
      <c r="F17296">
        <v>136</v>
      </c>
      <c r="G17296">
        <v>230314</v>
      </c>
      <c r="H17296">
        <v>4390</v>
      </c>
      <c r="I17296" t="s">
        <v>98</v>
      </c>
      <c r="J17296">
        <v>168.64</v>
      </c>
      <c r="K17296">
        <v>32.64</v>
      </c>
      <c r="L17296">
        <v>13540</v>
      </c>
      <c r="M17296" t="s">
        <v>85</v>
      </c>
      <c r="N17296" t="str">
        <f>"1003581     "</f>
        <v xml:space="preserve">1003581     </v>
      </c>
      <c r="O17296">
        <v>230322</v>
      </c>
    </row>
    <row r="17297" spans="1:15" x14ac:dyDescent="0.25">
      <c r="A17297" t="s">
        <v>16</v>
      </c>
      <c r="B17297" t="s">
        <v>3221</v>
      </c>
      <c r="C17297">
        <v>3778</v>
      </c>
      <c r="D17297" t="s">
        <v>1572</v>
      </c>
      <c r="E17297" t="s">
        <v>1573</v>
      </c>
      <c r="F17297">
        <v>1188</v>
      </c>
      <c r="G17297">
        <v>230314</v>
      </c>
      <c r="H17297">
        <v>4390</v>
      </c>
      <c r="I17297" t="s">
        <v>98</v>
      </c>
      <c r="J17297">
        <v>1473.12</v>
      </c>
      <c r="K17297">
        <v>285.12</v>
      </c>
      <c r="L17297">
        <v>17950</v>
      </c>
      <c r="M17297" t="s">
        <v>86</v>
      </c>
      <c r="N17297" t="str">
        <f>"1003581     "</f>
        <v xml:space="preserve">1003581     </v>
      </c>
      <c r="O17297">
        <v>230322</v>
      </c>
    </row>
    <row r="17298" spans="1:15" x14ac:dyDescent="0.25">
      <c r="A17298" t="s">
        <v>16</v>
      </c>
      <c r="B17298" t="s">
        <v>3221</v>
      </c>
      <c r="C17298">
        <v>8991</v>
      </c>
      <c r="D17298" t="s">
        <v>1572</v>
      </c>
      <c r="E17298" t="s">
        <v>1573</v>
      </c>
      <c r="F17298">
        <v>70.13</v>
      </c>
      <c r="G17298">
        <v>230615</v>
      </c>
      <c r="H17298">
        <v>4390</v>
      </c>
      <c r="I17298" t="s">
        <v>98</v>
      </c>
      <c r="J17298">
        <v>86.96</v>
      </c>
      <c r="K17298">
        <v>16.829999999999998</v>
      </c>
      <c r="L17298">
        <v>13540</v>
      </c>
      <c r="M17298" t="s">
        <v>85</v>
      </c>
      <c r="N17298" t="str">
        <f>"1010951     "</f>
        <v xml:space="preserve">1010951     </v>
      </c>
      <c r="O17298">
        <v>230620</v>
      </c>
    </row>
    <row r="17299" spans="1:15" x14ac:dyDescent="0.25">
      <c r="A17299" t="s">
        <v>16</v>
      </c>
      <c r="B17299" t="s">
        <v>3221</v>
      </c>
      <c r="C17299">
        <v>8991</v>
      </c>
      <c r="D17299" t="s">
        <v>1572</v>
      </c>
      <c r="E17299" t="s">
        <v>1573</v>
      </c>
      <c r="F17299">
        <v>563.57000000000005</v>
      </c>
      <c r="G17299">
        <v>230615</v>
      </c>
      <c r="H17299">
        <v>4390</v>
      </c>
      <c r="I17299" t="s">
        <v>98</v>
      </c>
      <c r="J17299">
        <v>698.83</v>
      </c>
      <c r="K17299">
        <v>135.26</v>
      </c>
      <c r="L17299">
        <v>17950</v>
      </c>
      <c r="M17299" t="s">
        <v>86</v>
      </c>
      <c r="N17299" t="str">
        <f>"1010951     "</f>
        <v xml:space="preserve">1010951     </v>
      </c>
      <c r="O17299">
        <v>230620</v>
      </c>
    </row>
    <row r="17300" spans="1:15" x14ac:dyDescent="0.25">
      <c r="A17300" t="s">
        <v>16</v>
      </c>
      <c r="B17300" t="s">
        <v>3221</v>
      </c>
      <c r="C17300">
        <v>9665</v>
      </c>
      <c r="D17300" t="s">
        <v>1572</v>
      </c>
      <c r="E17300" t="s">
        <v>1573</v>
      </c>
      <c r="F17300">
        <v>440.42</v>
      </c>
      <c r="G17300">
        <v>230706</v>
      </c>
      <c r="H17300">
        <v>4390</v>
      </c>
      <c r="I17300" t="s">
        <v>98</v>
      </c>
      <c r="J17300">
        <v>440.42</v>
      </c>
      <c r="K17300">
        <v>0</v>
      </c>
      <c r="L17300">
        <v>59501</v>
      </c>
      <c r="M17300" t="s">
        <v>69</v>
      </c>
      <c r="N17300" t="str">
        <f>"1012271     "</f>
        <v xml:space="preserve">1012271     </v>
      </c>
      <c r="O17300">
        <v>230718</v>
      </c>
    </row>
    <row r="17301" spans="1:15" x14ac:dyDescent="0.25">
      <c r="A17301" t="s">
        <v>16</v>
      </c>
      <c r="B17301" t="s">
        <v>3221</v>
      </c>
      <c r="C17301">
        <v>12800</v>
      </c>
      <c r="D17301" t="s">
        <v>1572</v>
      </c>
      <c r="E17301" t="s">
        <v>1573</v>
      </c>
      <c r="F17301">
        <v>70.13</v>
      </c>
      <c r="G17301">
        <v>230911</v>
      </c>
      <c r="H17301">
        <v>4390</v>
      </c>
      <c r="I17301" t="s">
        <v>98</v>
      </c>
      <c r="J17301">
        <v>86.96</v>
      </c>
      <c r="K17301">
        <v>16.829999999999998</v>
      </c>
      <c r="L17301">
        <v>13540</v>
      </c>
      <c r="M17301" t="s">
        <v>85</v>
      </c>
      <c r="N17301" t="str">
        <f>"1016866     "</f>
        <v xml:space="preserve">1016866     </v>
      </c>
      <c r="O17301">
        <v>230926</v>
      </c>
    </row>
    <row r="17302" spans="1:15" x14ac:dyDescent="0.25">
      <c r="A17302" t="s">
        <v>16</v>
      </c>
      <c r="B17302" t="s">
        <v>3221</v>
      </c>
      <c r="C17302">
        <v>12800</v>
      </c>
      <c r="D17302" t="s">
        <v>1572</v>
      </c>
      <c r="E17302" t="s">
        <v>1573</v>
      </c>
      <c r="F17302">
        <v>563.57000000000005</v>
      </c>
      <c r="G17302">
        <v>230911</v>
      </c>
      <c r="H17302">
        <v>4390</v>
      </c>
      <c r="I17302" t="s">
        <v>98</v>
      </c>
      <c r="J17302">
        <v>698.83</v>
      </c>
      <c r="K17302">
        <v>135.26</v>
      </c>
      <c r="L17302">
        <v>17950</v>
      </c>
      <c r="M17302" t="s">
        <v>86</v>
      </c>
      <c r="N17302" t="str">
        <f>"1016866     "</f>
        <v xml:space="preserve">1016866     </v>
      </c>
      <c r="O17302">
        <v>230926</v>
      </c>
    </row>
    <row r="17303" spans="1:15" x14ac:dyDescent="0.25">
      <c r="A17303" t="s">
        <v>16</v>
      </c>
      <c r="B17303" t="s">
        <v>3221</v>
      </c>
      <c r="C17303">
        <v>12801</v>
      </c>
      <c r="D17303" t="s">
        <v>1572</v>
      </c>
      <c r="E17303" t="s">
        <v>1573</v>
      </c>
      <c r="F17303">
        <v>534.33000000000004</v>
      </c>
      <c r="G17303">
        <v>230911</v>
      </c>
      <c r="H17303">
        <v>4390</v>
      </c>
      <c r="I17303" t="s">
        <v>98</v>
      </c>
      <c r="J17303">
        <v>662.57</v>
      </c>
      <c r="K17303">
        <v>128.24</v>
      </c>
      <c r="L17303">
        <v>13540</v>
      </c>
      <c r="M17303" t="s">
        <v>85</v>
      </c>
      <c r="N17303" t="str">
        <f>"1016865     "</f>
        <v xml:space="preserve">1016865     </v>
      </c>
      <c r="O17303">
        <v>230926</v>
      </c>
    </row>
    <row r="17304" spans="1:15" x14ac:dyDescent="0.25">
      <c r="A17304" t="s">
        <v>16</v>
      </c>
      <c r="B17304" t="s">
        <v>3221</v>
      </c>
      <c r="C17304">
        <v>12801</v>
      </c>
      <c r="D17304" t="s">
        <v>1572</v>
      </c>
      <c r="E17304" t="s">
        <v>1573</v>
      </c>
      <c r="F17304">
        <v>3660.73</v>
      </c>
      <c r="G17304">
        <v>230911</v>
      </c>
      <c r="H17304">
        <v>4390</v>
      </c>
      <c r="I17304" t="s">
        <v>98</v>
      </c>
      <c r="J17304">
        <v>4539.3</v>
      </c>
      <c r="K17304">
        <v>878.57</v>
      </c>
      <c r="L17304">
        <v>17950</v>
      </c>
      <c r="M17304" t="s">
        <v>86</v>
      </c>
      <c r="N17304" t="str">
        <f>"1016865     "</f>
        <v xml:space="preserve">1016865     </v>
      </c>
      <c r="O17304">
        <v>230926</v>
      </c>
    </row>
    <row r="17305" spans="1:15" x14ac:dyDescent="0.25">
      <c r="A17305" t="s">
        <v>16</v>
      </c>
      <c r="B17305" t="s">
        <v>3221</v>
      </c>
      <c r="C17305">
        <v>13753</v>
      </c>
      <c r="D17305" t="s">
        <v>1572</v>
      </c>
      <c r="E17305" t="s">
        <v>1573</v>
      </c>
      <c r="F17305">
        <v>4661.2299999999996</v>
      </c>
      <c r="G17305">
        <v>230629</v>
      </c>
      <c r="H17305">
        <v>4390</v>
      </c>
      <c r="I17305" t="s">
        <v>98</v>
      </c>
      <c r="J17305">
        <v>4661.2299999999996</v>
      </c>
      <c r="K17305">
        <v>0</v>
      </c>
      <c r="L17305">
        <v>69501</v>
      </c>
      <c r="M17305" t="s">
        <v>185</v>
      </c>
      <c r="N17305" t="str">
        <f>"1011887     "</f>
        <v xml:space="preserve">1011887     </v>
      </c>
      <c r="O17305">
        <v>231012</v>
      </c>
    </row>
    <row r="17306" spans="1:15" x14ac:dyDescent="0.25">
      <c r="A17306" t="s">
        <v>16</v>
      </c>
      <c r="B17306" t="s">
        <v>3221</v>
      </c>
      <c r="C17306">
        <v>14817</v>
      </c>
      <c r="D17306" t="s">
        <v>1572</v>
      </c>
      <c r="E17306" t="s">
        <v>1573</v>
      </c>
      <c r="F17306">
        <v>448.62</v>
      </c>
      <c r="G17306">
        <v>231027</v>
      </c>
      <c r="H17306">
        <v>4390</v>
      </c>
      <c r="I17306" t="s">
        <v>98</v>
      </c>
      <c r="J17306">
        <v>448.62</v>
      </c>
      <c r="K17306">
        <v>0</v>
      </c>
      <c r="L17306">
        <v>59501</v>
      </c>
      <c r="M17306" t="s">
        <v>69</v>
      </c>
      <c r="N17306" t="str">
        <f>"1021390     "</f>
        <v xml:space="preserve">1021390     </v>
      </c>
      <c r="O17306">
        <v>231106</v>
      </c>
    </row>
    <row r="17307" spans="1:15" x14ac:dyDescent="0.25">
      <c r="A17307" t="s">
        <v>16</v>
      </c>
      <c r="B17307" t="s">
        <v>3221</v>
      </c>
      <c r="C17307">
        <v>16388</v>
      </c>
      <c r="D17307" t="s">
        <v>1572</v>
      </c>
      <c r="E17307" t="s">
        <v>1573</v>
      </c>
      <c r="F17307">
        <v>496.85</v>
      </c>
      <c r="G17307">
        <v>231123</v>
      </c>
      <c r="H17307">
        <v>4390</v>
      </c>
      <c r="I17307" t="s">
        <v>98</v>
      </c>
      <c r="J17307">
        <v>616.09</v>
      </c>
      <c r="K17307">
        <v>119.24</v>
      </c>
      <c r="L17307">
        <v>14952</v>
      </c>
      <c r="M17307" t="s">
        <v>99</v>
      </c>
      <c r="N17307" t="str">
        <f>"1023765     "</f>
        <v xml:space="preserve">1023765     </v>
      </c>
      <c r="O17307">
        <v>231128</v>
      </c>
    </row>
    <row r="17308" spans="1:15" x14ac:dyDescent="0.25">
      <c r="A17308" t="s">
        <v>16</v>
      </c>
      <c r="B17308" t="s">
        <v>3221</v>
      </c>
      <c r="C17308">
        <v>18144</v>
      </c>
      <c r="D17308" t="s">
        <v>1572</v>
      </c>
      <c r="E17308" t="s">
        <v>1573</v>
      </c>
      <c r="F17308">
        <v>143.63</v>
      </c>
      <c r="G17308">
        <v>231211</v>
      </c>
      <c r="H17308">
        <v>4390</v>
      </c>
      <c r="I17308" t="s">
        <v>98</v>
      </c>
      <c r="J17308">
        <v>178.1</v>
      </c>
      <c r="K17308">
        <v>34.47</v>
      </c>
      <c r="L17308">
        <v>13540</v>
      </c>
      <c r="M17308" t="s">
        <v>85</v>
      </c>
      <c r="N17308" t="str">
        <f>"1024862     "</f>
        <v xml:space="preserve">1024862     </v>
      </c>
      <c r="O17308">
        <v>240102</v>
      </c>
    </row>
    <row r="17309" spans="1:15" x14ac:dyDescent="0.25">
      <c r="A17309" t="s">
        <v>16</v>
      </c>
      <c r="B17309" t="s">
        <v>3221</v>
      </c>
      <c r="C17309">
        <v>18144</v>
      </c>
      <c r="D17309" t="s">
        <v>1572</v>
      </c>
      <c r="E17309" t="s">
        <v>1573</v>
      </c>
      <c r="F17309">
        <v>1254.73</v>
      </c>
      <c r="G17309">
        <v>231211</v>
      </c>
      <c r="H17309">
        <v>4390</v>
      </c>
      <c r="I17309" t="s">
        <v>98</v>
      </c>
      <c r="J17309">
        <v>1555.86</v>
      </c>
      <c r="K17309">
        <v>301.13</v>
      </c>
      <c r="L17309">
        <v>17950</v>
      </c>
      <c r="M17309" t="s">
        <v>86</v>
      </c>
      <c r="N17309" t="str">
        <f>"1024862     "</f>
        <v xml:space="preserve">1024862     </v>
      </c>
      <c r="O17309">
        <v>240102</v>
      </c>
    </row>
    <row r="17310" spans="1:15" x14ac:dyDescent="0.25">
      <c r="A17310" t="s">
        <v>16</v>
      </c>
      <c r="B17310" t="s">
        <v>3221</v>
      </c>
      <c r="C17310">
        <v>18186</v>
      </c>
      <c r="D17310" t="s">
        <v>1572</v>
      </c>
      <c r="E17310" t="s">
        <v>1573</v>
      </c>
      <c r="F17310">
        <v>887.12</v>
      </c>
      <c r="G17310">
        <v>231220</v>
      </c>
      <c r="H17310">
        <v>4390</v>
      </c>
      <c r="I17310" t="s">
        <v>98</v>
      </c>
      <c r="J17310">
        <v>887.12</v>
      </c>
      <c r="K17310">
        <v>0</v>
      </c>
      <c r="L17310">
        <v>17950</v>
      </c>
      <c r="M17310" t="s">
        <v>86</v>
      </c>
      <c r="N17310" t="str">
        <f>"1026369     "</f>
        <v xml:space="preserve">1026369     </v>
      </c>
      <c r="O17310">
        <v>240102</v>
      </c>
    </row>
    <row r="17311" spans="1:15" x14ac:dyDescent="0.25">
      <c r="A17311" t="s">
        <v>16</v>
      </c>
      <c r="B17311" t="s">
        <v>3221</v>
      </c>
      <c r="C17311">
        <v>18143</v>
      </c>
      <c r="D17311" t="s">
        <v>1572</v>
      </c>
      <c r="E17311" t="s">
        <v>1573</v>
      </c>
      <c r="F17311">
        <v>14.33</v>
      </c>
      <c r="G17311">
        <v>231211</v>
      </c>
      <c r="H17311">
        <v>4370</v>
      </c>
      <c r="I17311" t="s">
        <v>25</v>
      </c>
      <c r="J17311">
        <v>17.77</v>
      </c>
      <c r="K17311">
        <v>3.44</v>
      </c>
      <c r="L17311">
        <v>13540</v>
      </c>
      <c r="M17311" t="s">
        <v>85</v>
      </c>
      <c r="N17311" t="str">
        <f>"1024863     "</f>
        <v xml:space="preserve">1024863     </v>
      </c>
      <c r="O17311">
        <v>240102</v>
      </c>
    </row>
    <row r="17312" spans="1:15" x14ac:dyDescent="0.25">
      <c r="A17312" t="s">
        <v>16</v>
      </c>
      <c r="B17312" t="s">
        <v>3221</v>
      </c>
      <c r="C17312">
        <v>18143</v>
      </c>
      <c r="D17312" t="s">
        <v>1572</v>
      </c>
      <c r="E17312" t="s">
        <v>1573</v>
      </c>
      <c r="F17312">
        <v>196.9</v>
      </c>
      <c r="G17312">
        <v>231211</v>
      </c>
      <c r="H17312">
        <v>4370</v>
      </c>
      <c r="I17312" t="s">
        <v>25</v>
      </c>
      <c r="J17312">
        <v>244.16</v>
      </c>
      <c r="K17312">
        <v>47.26</v>
      </c>
      <c r="L17312">
        <v>17950</v>
      </c>
      <c r="M17312" t="s">
        <v>86</v>
      </c>
      <c r="N17312" t="str">
        <f>"1024863     "</f>
        <v xml:space="preserve">1024863     </v>
      </c>
      <c r="O17312">
        <v>240102</v>
      </c>
    </row>
    <row r="17313" spans="1:15" x14ac:dyDescent="0.25">
      <c r="A17313" t="s">
        <v>16</v>
      </c>
      <c r="B17313" t="s">
        <v>3221</v>
      </c>
      <c r="C17313">
        <v>13055</v>
      </c>
      <c r="D17313" t="s">
        <v>2618</v>
      </c>
      <c r="E17313" t="s">
        <v>2619</v>
      </c>
      <c r="F17313">
        <v>865</v>
      </c>
      <c r="G17313">
        <v>230925</v>
      </c>
      <c r="H17313">
        <v>4343</v>
      </c>
      <c r="I17313" t="s">
        <v>91</v>
      </c>
      <c r="J17313">
        <v>1072.5999999999999</v>
      </c>
      <c r="K17313">
        <v>207.6</v>
      </c>
      <c r="L17313">
        <v>13501</v>
      </c>
      <c r="M17313" t="s">
        <v>20</v>
      </c>
      <c r="N17313" t="str">
        <f>"3014        "</f>
        <v xml:space="preserve">3014        </v>
      </c>
      <c r="O17313">
        <v>231003</v>
      </c>
    </row>
    <row r="17314" spans="1:15" x14ac:dyDescent="0.25">
      <c r="A17314" t="s">
        <v>16</v>
      </c>
      <c r="B17314" t="s">
        <v>3221</v>
      </c>
      <c r="C17314">
        <v>13057</v>
      </c>
      <c r="D17314" t="s">
        <v>2618</v>
      </c>
      <c r="E17314" t="s">
        <v>2619</v>
      </c>
      <c r="F17314">
        <v>805.33</v>
      </c>
      <c r="G17314">
        <v>230925</v>
      </c>
      <c r="H17314">
        <v>4343</v>
      </c>
      <c r="I17314" t="s">
        <v>91</v>
      </c>
      <c r="J17314">
        <v>998.61</v>
      </c>
      <c r="K17314">
        <v>193.28</v>
      </c>
      <c r="L17314">
        <v>13401</v>
      </c>
      <c r="M17314" t="s">
        <v>80</v>
      </c>
      <c r="N17314" t="str">
        <f>"3015        "</f>
        <v xml:space="preserve">3015        </v>
      </c>
      <c r="O17314">
        <v>231003</v>
      </c>
    </row>
    <row r="17315" spans="1:15" x14ac:dyDescent="0.25">
      <c r="A17315" t="s">
        <v>16</v>
      </c>
      <c r="B17315" t="s">
        <v>3221</v>
      </c>
      <c r="C17315">
        <v>1796</v>
      </c>
      <c r="D17315" t="s">
        <v>3229</v>
      </c>
      <c r="E17315" t="s">
        <v>3230</v>
      </c>
      <c r="F17315">
        <v>108.41</v>
      </c>
      <c r="G17315">
        <v>230131</v>
      </c>
      <c r="H17315">
        <v>4341</v>
      </c>
      <c r="I17315" t="s">
        <v>32</v>
      </c>
      <c r="J17315">
        <v>108.41</v>
      </c>
      <c r="K17315">
        <v>0</v>
      </c>
      <c r="L17315">
        <v>11801</v>
      </c>
      <c r="M17315" t="s">
        <v>92</v>
      </c>
      <c r="N17315" t="str">
        <f>"753587443   "</f>
        <v xml:space="preserve">753587443   </v>
      </c>
      <c r="O17315">
        <v>230214</v>
      </c>
    </row>
    <row r="17316" spans="1:15" x14ac:dyDescent="0.25">
      <c r="A17316" t="s">
        <v>16</v>
      </c>
      <c r="B17316" t="s">
        <v>3221</v>
      </c>
      <c r="C17316">
        <v>17411</v>
      </c>
      <c r="D17316" t="s">
        <v>3229</v>
      </c>
      <c r="E17316" t="s">
        <v>3230</v>
      </c>
      <c r="F17316">
        <v>8.7799999999999994</v>
      </c>
      <c r="G17316">
        <v>231130</v>
      </c>
      <c r="H17316">
        <v>4341</v>
      </c>
      <c r="I17316" t="s">
        <v>32</v>
      </c>
      <c r="J17316">
        <v>8.7799999999999994</v>
      </c>
      <c r="K17316">
        <v>0</v>
      </c>
      <c r="L17316">
        <v>11801</v>
      </c>
      <c r="M17316" t="s">
        <v>92</v>
      </c>
      <c r="N17316" t="str">
        <f>"758980270   "</f>
        <v xml:space="preserve">758980270   </v>
      </c>
      <c r="O17316">
        <v>231214</v>
      </c>
    </row>
    <row r="17317" spans="1:15" x14ac:dyDescent="0.25">
      <c r="A17317" t="s">
        <v>16</v>
      </c>
      <c r="B17317" t="s">
        <v>3221</v>
      </c>
      <c r="C17317">
        <v>1194</v>
      </c>
      <c r="D17317" t="s">
        <v>3229</v>
      </c>
      <c r="E17317" t="s">
        <v>3230</v>
      </c>
      <c r="F17317">
        <v>0.8</v>
      </c>
      <c r="G17317">
        <v>230131</v>
      </c>
      <c r="H17317">
        <v>4343</v>
      </c>
      <c r="I17317" t="s">
        <v>91</v>
      </c>
      <c r="J17317">
        <v>0.99</v>
      </c>
      <c r="K17317">
        <v>0.19</v>
      </c>
      <c r="L17317">
        <v>11301</v>
      </c>
      <c r="M17317" t="s">
        <v>29</v>
      </c>
      <c r="N17317" t="str">
        <f>"753587401   "</f>
        <v xml:space="preserve">753587401   </v>
      </c>
      <c r="O17317">
        <v>230206</v>
      </c>
    </row>
    <row r="17318" spans="1:15" x14ac:dyDescent="0.25">
      <c r="A17318" t="s">
        <v>16</v>
      </c>
      <c r="B17318" t="s">
        <v>3221</v>
      </c>
      <c r="C17318">
        <v>2887</v>
      </c>
      <c r="D17318" t="s">
        <v>3229</v>
      </c>
      <c r="E17318" t="s">
        <v>3230</v>
      </c>
      <c r="F17318">
        <v>0.8</v>
      </c>
      <c r="G17318">
        <v>230228</v>
      </c>
      <c r="H17318">
        <v>4343</v>
      </c>
      <c r="I17318" t="s">
        <v>91</v>
      </c>
      <c r="J17318">
        <v>0.99</v>
      </c>
      <c r="K17318">
        <v>0.19</v>
      </c>
      <c r="L17318">
        <v>11301</v>
      </c>
      <c r="M17318" t="s">
        <v>29</v>
      </c>
      <c r="N17318" t="str">
        <f>"754131209   "</f>
        <v xml:space="preserve">754131209   </v>
      </c>
      <c r="O17318">
        <v>230308</v>
      </c>
    </row>
    <row r="17319" spans="1:15" x14ac:dyDescent="0.25">
      <c r="A17319" t="s">
        <v>16</v>
      </c>
      <c r="B17319" t="s">
        <v>3221</v>
      </c>
      <c r="C17319">
        <v>3328</v>
      </c>
      <c r="D17319" t="s">
        <v>3229</v>
      </c>
      <c r="E17319" t="s">
        <v>3230</v>
      </c>
      <c r="F17319">
        <v>1615.45</v>
      </c>
      <c r="G17319">
        <v>230228</v>
      </c>
      <c r="H17319">
        <v>4343</v>
      </c>
      <c r="I17319" t="s">
        <v>91</v>
      </c>
      <c r="J17319">
        <v>1615.45</v>
      </c>
      <c r="K17319">
        <v>0</v>
      </c>
      <c r="L17319">
        <v>11801</v>
      </c>
      <c r="M17319" t="s">
        <v>92</v>
      </c>
      <c r="N17319" t="str">
        <f>"754131241   "</f>
        <v xml:space="preserve">754131241   </v>
      </c>
      <c r="O17319">
        <v>230314</v>
      </c>
    </row>
    <row r="17320" spans="1:15" x14ac:dyDescent="0.25">
      <c r="A17320" t="s">
        <v>16</v>
      </c>
      <c r="B17320" t="s">
        <v>3221</v>
      </c>
      <c r="C17320">
        <v>4547</v>
      </c>
      <c r="D17320" t="s">
        <v>3229</v>
      </c>
      <c r="E17320" t="s">
        <v>3230</v>
      </c>
      <c r="F17320">
        <v>0.8</v>
      </c>
      <c r="G17320">
        <v>230331</v>
      </c>
      <c r="H17320">
        <v>4343</v>
      </c>
      <c r="I17320" t="s">
        <v>91</v>
      </c>
      <c r="J17320">
        <v>0.99</v>
      </c>
      <c r="K17320">
        <v>0.19</v>
      </c>
      <c r="L17320">
        <v>11301</v>
      </c>
      <c r="M17320" t="s">
        <v>29</v>
      </c>
      <c r="N17320" t="str">
        <f>"754682441   "</f>
        <v xml:space="preserve">754682441   </v>
      </c>
      <c r="O17320">
        <v>230406</v>
      </c>
    </row>
    <row r="17321" spans="1:15" x14ac:dyDescent="0.25">
      <c r="A17321" t="s">
        <v>16</v>
      </c>
      <c r="B17321" t="s">
        <v>3221</v>
      </c>
      <c r="C17321">
        <v>6115</v>
      </c>
      <c r="D17321" t="s">
        <v>3229</v>
      </c>
      <c r="E17321" t="s">
        <v>3230</v>
      </c>
      <c r="F17321">
        <v>0.8</v>
      </c>
      <c r="G17321">
        <v>230430</v>
      </c>
      <c r="H17321">
        <v>4343</v>
      </c>
      <c r="I17321" t="s">
        <v>91</v>
      </c>
      <c r="J17321">
        <v>0.99</v>
      </c>
      <c r="K17321">
        <v>0.19</v>
      </c>
      <c r="L17321">
        <v>11301</v>
      </c>
      <c r="M17321" t="s">
        <v>29</v>
      </c>
      <c r="N17321" t="str">
        <f>"755240801   "</f>
        <v xml:space="preserve">755240801   </v>
      </c>
      <c r="O17321">
        <v>230508</v>
      </c>
    </row>
    <row r="17322" spans="1:15" x14ac:dyDescent="0.25">
      <c r="A17322" t="s">
        <v>16</v>
      </c>
      <c r="B17322" t="s">
        <v>3221</v>
      </c>
      <c r="C17322">
        <v>6315</v>
      </c>
      <c r="D17322" t="s">
        <v>3229</v>
      </c>
      <c r="E17322" t="s">
        <v>3230</v>
      </c>
      <c r="F17322">
        <v>2.41</v>
      </c>
      <c r="G17322">
        <v>230430</v>
      </c>
      <c r="H17322">
        <v>4343</v>
      </c>
      <c r="I17322" t="s">
        <v>91</v>
      </c>
      <c r="J17322">
        <v>2.99</v>
      </c>
      <c r="K17322">
        <v>0.57999999999999996</v>
      </c>
      <c r="L17322">
        <v>11301</v>
      </c>
      <c r="M17322" t="s">
        <v>29</v>
      </c>
      <c r="N17322" t="str">
        <f>"755240835   "</f>
        <v xml:space="preserve">755240835   </v>
      </c>
      <c r="O17322">
        <v>230510</v>
      </c>
    </row>
    <row r="17323" spans="1:15" x14ac:dyDescent="0.25">
      <c r="A17323" t="s">
        <v>16</v>
      </c>
      <c r="B17323" t="s">
        <v>3221</v>
      </c>
      <c r="C17323">
        <v>8247</v>
      </c>
      <c r="D17323" t="s">
        <v>3229</v>
      </c>
      <c r="E17323" t="s">
        <v>3230</v>
      </c>
      <c r="F17323">
        <v>2.41</v>
      </c>
      <c r="G17323">
        <v>230531</v>
      </c>
      <c r="H17323">
        <v>4343</v>
      </c>
      <c r="I17323" t="s">
        <v>91</v>
      </c>
      <c r="J17323">
        <v>2.99</v>
      </c>
      <c r="K17323">
        <v>0.57999999999999996</v>
      </c>
      <c r="L17323">
        <v>11301</v>
      </c>
      <c r="M17323" t="s">
        <v>29</v>
      </c>
      <c r="N17323" t="str">
        <f>"755790870   "</f>
        <v xml:space="preserve">755790870   </v>
      </c>
      <c r="O17323">
        <v>230608</v>
      </c>
    </row>
    <row r="17324" spans="1:15" x14ac:dyDescent="0.25">
      <c r="A17324" t="s">
        <v>16</v>
      </c>
      <c r="B17324" t="s">
        <v>3221</v>
      </c>
      <c r="C17324">
        <v>8247</v>
      </c>
      <c r="D17324" t="s">
        <v>3229</v>
      </c>
      <c r="E17324" t="s">
        <v>3230</v>
      </c>
      <c r="F17324">
        <v>112.82</v>
      </c>
      <c r="G17324">
        <v>230531</v>
      </c>
      <c r="H17324">
        <v>4343</v>
      </c>
      <c r="I17324" t="s">
        <v>91</v>
      </c>
      <c r="J17324">
        <v>139.9</v>
      </c>
      <c r="K17324">
        <v>27.08</v>
      </c>
      <c r="L17324">
        <v>11301</v>
      </c>
      <c r="M17324" t="s">
        <v>29</v>
      </c>
      <c r="N17324" t="str">
        <f>"755790870   "</f>
        <v xml:space="preserve">755790870   </v>
      </c>
      <c r="O17324">
        <v>230608</v>
      </c>
    </row>
    <row r="17325" spans="1:15" x14ac:dyDescent="0.25">
      <c r="A17325" t="s">
        <v>16</v>
      </c>
      <c r="B17325" t="s">
        <v>3221</v>
      </c>
      <c r="C17325">
        <v>9480</v>
      </c>
      <c r="D17325" t="s">
        <v>3229</v>
      </c>
      <c r="E17325" t="s">
        <v>3230</v>
      </c>
      <c r="F17325">
        <v>2.41</v>
      </c>
      <c r="G17325">
        <v>230630</v>
      </c>
      <c r="H17325">
        <v>4343</v>
      </c>
      <c r="I17325" t="s">
        <v>91</v>
      </c>
      <c r="J17325">
        <v>2.99</v>
      </c>
      <c r="K17325">
        <v>0.57999999999999996</v>
      </c>
      <c r="L17325">
        <v>11301</v>
      </c>
      <c r="M17325" t="s">
        <v>29</v>
      </c>
      <c r="N17325" t="str">
        <f>"756348025   "</f>
        <v xml:space="preserve">756348025   </v>
      </c>
      <c r="O17325">
        <v>230712</v>
      </c>
    </row>
    <row r="17326" spans="1:15" x14ac:dyDescent="0.25">
      <c r="A17326" t="s">
        <v>16</v>
      </c>
      <c r="B17326" t="s">
        <v>3221</v>
      </c>
      <c r="C17326">
        <v>9480</v>
      </c>
      <c r="D17326" t="s">
        <v>3229</v>
      </c>
      <c r="E17326" t="s">
        <v>3230</v>
      </c>
      <c r="F17326">
        <v>11.28</v>
      </c>
      <c r="G17326">
        <v>230630</v>
      </c>
      <c r="H17326">
        <v>4343</v>
      </c>
      <c r="I17326" t="s">
        <v>91</v>
      </c>
      <c r="J17326">
        <v>11.28</v>
      </c>
      <c r="K17326">
        <v>0</v>
      </c>
      <c r="L17326">
        <v>11301</v>
      </c>
      <c r="M17326" t="s">
        <v>29</v>
      </c>
      <c r="N17326" t="str">
        <f>"756348025   "</f>
        <v xml:space="preserve">756348025   </v>
      </c>
      <c r="O17326">
        <v>230712</v>
      </c>
    </row>
    <row r="17327" spans="1:15" x14ac:dyDescent="0.25">
      <c r="A17327" t="s">
        <v>16</v>
      </c>
      <c r="B17327" t="s">
        <v>3221</v>
      </c>
      <c r="C17327">
        <v>9480</v>
      </c>
      <c r="D17327" t="s">
        <v>3229</v>
      </c>
      <c r="E17327" t="s">
        <v>3230</v>
      </c>
      <c r="F17327">
        <v>480</v>
      </c>
      <c r="G17327">
        <v>230630</v>
      </c>
      <c r="H17327">
        <v>4343</v>
      </c>
      <c r="I17327" t="s">
        <v>91</v>
      </c>
      <c r="J17327">
        <v>480</v>
      </c>
      <c r="K17327">
        <v>0</v>
      </c>
      <c r="L17327">
        <v>11301</v>
      </c>
      <c r="M17327" t="s">
        <v>29</v>
      </c>
      <c r="N17327" t="str">
        <f>"756348025   "</f>
        <v xml:space="preserve">756348025   </v>
      </c>
      <c r="O17327">
        <v>230712</v>
      </c>
    </row>
    <row r="17328" spans="1:15" x14ac:dyDescent="0.25">
      <c r="A17328" t="s">
        <v>16</v>
      </c>
      <c r="B17328" t="s">
        <v>3221</v>
      </c>
      <c r="C17328">
        <v>10257</v>
      </c>
      <c r="D17328" t="s">
        <v>3229</v>
      </c>
      <c r="E17328" t="s">
        <v>3230</v>
      </c>
      <c r="F17328">
        <v>2.41</v>
      </c>
      <c r="G17328">
        <v>230731</v>
      </c>
      <c r="H17328">
        <v>4343</v>
      </c>
      <c r="I17328" t="s">
        <v>91</v>
      </c>
      <c r="J17328">
        <v>2.99</v>
      </c>
      <c r="K17328">
        <v>0.57999999999999996</v>
      </c>
      <c r="L17328">
        <v>11301</v>
      </c>
      <c r="M17328" t="s">
        <v>29</v>
      </c>
      <c r="N17328" t="str">
        <f>"756863361   "</f>
        <v xml:space="preserve">756863361   </v>
      </c>
      <c r="O17328">
        <v>230814</v>
      </c>
    </row>
    <row r="17329" spans="1:15" x14ac:dyDescent="0.25">
      <c r="A17329" t="s">
        <v>16</v>
      </c>
      <c r="B17329" t="s">
        <v>3221</v>
      </c>
      <c r="C17329">
        <v>10257</v>
      </c>
      <c r="D17329" t="s">
        <v>3229</v>
      </c>
      <c r="E17329" t="s">
        <v>3230</v>
      </c>
      <c r="F17329">
        <v>11.01</v>
      </c>
      <c r="G17329">
        <v>230731</v>
      </c>
      <c r="H17329">
        <v>4343</v>
      </c>
      <c r="I17329" t="s">
        <v>91</v>
      </c>
      <c r="J17329">
        <v>11.01</v>
      </c>
      <c r="K17329">
        <v>0</v>
      </c>
      <c r="L17329">
        <v>11301</v>
      </c>
      <c r="M17329" t="s">
        <v>29</v>
      </c>
      <c r="N17329" t="str">
        <f>"756863361   "</f>
        <v xml:space="preserve">756863361   </v>
      </c>
      <c r="O17329">
        <v>230814</v>
      </c>
    </row>
    <row r="17330" spans="1:15" x14ac:dyDescent="0.25">
      <c r="A17330" t="s">
        <v>16</v>
      </c>
      <c r="B17330" t="s">
        <v>3221</v>
      </c>
      <c r="C17330">
        <v>12043</v>
      </c>
      <c r="D17330" t="s">
        <v>3229</v>
      </c>
      <c r="E17330" t="s">
        <v>3230</v>
      </c>
      <c r="F17330">
        <v>8.82</v>
      </c>
      <c r="G17330">
        <v>230831</v>
      </c>
      <c r="H17330">
        <v>4343</v>
      </c>
      <c r="I17330" t="s">
        <v>91</v>
      </c>
      <c r="J17330">
        <v>8.82</v>
      </c>
      <c r="K17330">
        <v>0</v>
      </c>
      <c r="L17330">
        <v>13540</v>
      </c>
      <c r="M17330" t="s">
        <v>85</v>
      </c>
      <c r="N17330" t="str">
        <f>"757338231   "</f>
        <v xml:space="preserve">757338231   </v>
      </c>
      <c r="O17330">
        <v>230913</v>
      </c>
    </row>
    <row r="17331" spans="1:15" x14ac:dyDescent="0.25">
      <c r="A17331" t="s">
        <v>16</v>
      </c>
      <c r="B17331" t="s">
        <v>3221</v>
      </c>
      <c r="C17331">
        <v>12043</v>
      </c>
      <c r="D17331" t="s">
        <v>3229</v>
      </c>
      <c r="E17331" t="s">
        <v>3230</v>
      </c>
      <c r="F17331">
        <v>71.33</v>
      </c>
      <c r="G17331">
        <v>230831</v>
      </c>
      <c r="H17331">
        <v>4343</v>
      </c>
      <c r="I17331" t="s">
        <v>91</v>
      </c>
      <c r="J17331">
        <v>71.33</v>
      </c>
      <c r="K17331">
        <v>0</v>
      </c>
      <c r="L17331">
        <v>17950</v>
      </c>
      <c r="M17331" t="s">
        <v>86</v>
      </c>
      <c r="N17331" t="str">
        <f>"757338231   "</f>
        <v xml:space="preserve">757338231   </v>
      </c>
      <c r="O17331">
        <v>230913</v>
      </c>
    </row>
    <row r="17332" spans="1:15" x14ac:dyDescent="0.25">
      <c r="A17332" t="s">
        <v>16</v>
      </c>
      <c r="B17332" t="s">
        <v>3221</v>
      </c>
      <c r="C17332">
        <v>12043</v>
      </c>
      <c r="D17332" t="s">
        <v>3229</v>
      </c>
      <c r="E17332" t="s">
        <v>3230</v>
      </c>
      <c r="F17332">
        <v>80.13</v>
      </c>
      <c r="G17332">
        <v>230831</v>
      </c>
      <c r="H17332">
        <v>4343</v>
      </c>
      <c r="I17332" t="s">
        <v>91</v>
      </c>
      <c r="J17332">
        <v>80.13</v>
      </c>
      <c r="K17332">
        <v>0</v>
      </c>
      <c r="L17332">
        <v>17952</v>
      </c>
      <c r="M17332" t="s">
        <v>88</v>
      </c>
      <c r="N17332" t="str">
        <f>"757338231   "</f>
        <v xml:space="preserve">757338231   </v>
      </c>
      <c r="O17332">
        <v>230913</v>
      </c>
    </row>
    <row r="17333" spans="1:15" x14ac:dyDescent="0.25">
      <c r="A17333" t="s">
        <v>16</v>
      </c>
      <c r="B17333" t="s">
        <v>3221</v>
      </c>
      <c r="C17333">
        <v>12146</v>
      </c>
      <c r="D17333" t="s">
        <v>3229</v>
      </c>
      <c r="E17333" t="s">
        <v>3230</v>
      </c>
      <c r="F17333">
        <v>2.41</v>
      </c>
      <c r="G17333">
        <v>230831</v>
      </c>
      <c r="H17333">
        <v>4343</v>
      </c>
      <c r="I17333" t="s">
        <v>91</v>
      </c>
      <c r="J17333">
        <v>2.99</v>
      </c>
      <c r="K17333">
        <v>0.57999999999999996</v>
      </c>
      <c r="L17333">
        <v>11301</v>
      </c>
      <c r="M17333" t="s">
        <v>29</v>
      </c>
      <c r="N17333" t="str">
        <f>"757338249   "</f>
        <v xml:space="preserve">757338249   </v>
      </c>
      <c r="O17333">
        <v>230914</v>
      </c>
    </row>
    <row r="17334" spans="1:15" x14ac:dyDescent="0.25">
      <c r="A17334" t="s">
        <v>16</v>
      </c>
      <c r="B17334" t="s">
        <v>3221</v>
      </c>
      <c r="C17334">
        <v>12146</v>
      </c>
      <c r="D17334" t="s">
        <v>3229</v>
      </c>
      <c r="E17334" t="s">
        <v>3230</v>
      </c>
      <c r="F17334">
        <v>11.34</v>
      </c>
      <c r="G17334">
        <v>230831</v>
      </c>
      <c r="H17334">
        <v>4343</v>
      </c>
      <c r="I17334" t="s">
        <v>91</v>
      </c>
      <c r="J17334">
        <v>11.34</v>
      </c>
      <c r="K17334">
        <v>0</v>
      </c>
      <c r="L17334">
        <v>11301</v>
      </c>
      <c r="M17334" t="s">
        <v>29</v>
      </c>
      <c r="N17334" t="str">
        <f>"757338249   "</f>
        <v xml:space="preserve">757338249   </v>
      </c>
      <c r="O17334">
        <v>230914</v>
      </c>
    </row>
    <row r="17335" spans="1:15" x14ac:dyDescent="0.25">
      <c r="A17335" t="s">
        <v>16</v>
      </c>
      <c r="B17335" t="s">
        <v>3221</v>
      </c>
      <c r="C17335">
        <v>13617</v>
      </c>
      <c r="D17335" t="s">
        <v>3229</v>
      </c>
      <c r="E17335" t="s">
        <v>3230</v>
      </c>
      <c r="F17335">
        <v>108</v>
      </c>
      <c r="G17335">
        <v>230930</v>
      </c>
      <c r="H17335">
        <v>4343</v>
      </c>
      <c r="I17335" t="s">
        <v>91</v>
      </c>
      <c r="J17335">
        <v>108</v>
      </c>
      <c r="K17335">
        <v>0</v>
      </c>
      <c r="L17335">
        <v>18991</v>
      </c>
      <c r="M17335" t="s">
        <v>1106</v>
      </c>
      <c r="N17335" t="str">
        <f>"757866132   "</f>
        <v xml:space="preserve">757866132   </v>
      </c>
      <c r="O17335">
        <v>231012</v>
      </c>
    </row>
    <row r="17336" spans="1:15" x14ac:dyDescent="0.25">
      <c r="A17336" t="s">
        <v>16</v>
      </c>
      <c r="B17336" t="s">
        <v>3221</v>
      </c>
      <c r="C17336">
        <v>13647</v>
      </c>
      <c r="D17336" t="s">
        <v>3229</v>
      </c>
      <c r="E17336" t="s">
        <v>3230</v>
      </c>
      <c r="F17336">
        <v>2.41</v>
      </c>
      <c r="G17336">
        <v>230930</v>
      </c>
      <c r="H17336">
        <v>4343</v>
      </c>
      <c r="I17336" t="s">
        <v>91</v>
      </c>
      <c r="J17336">
        <v>2.99</v>
      </c>
      <c r="K17336">
        <v>0.57999999999999996</v>
      </c>
      <c r="L17336">
        <v>11301</v>
      </c>
      <c r="M17336" t="s">
        <v>29</v>
      </c>
      <c r="N17336" t="str">
        <f>"757866181   "</f>
        <v xml:space="preserve">757866181   </v>
      </c>
      <c r="O17336">
        <v>231012</v>
      </c>
    </row>
    <row r="17337" spans="1:15" x14ac:dyDescent="0.25">
      <c r="A17337" t="s">
        <v>16</v>
      </c>
      <c r="B17337" t="s">
        <v>3221</v>
      </c>
      <c r="C17337">
        <v>13647</v>
      </c>
      <c r="D17337" t="s">
        <v>3229</v>
      </c>
      <c r="E17337" t="s">
        <v>3230</v>
      </c>
      <c r="F17337">
        <v>11.53</v>
      </c>
      <c r="G17337">
        <v>230930</v>
      </c>
      <c r="H17337">
        <v>4343</v>
      </c>
      <c r="I17337" t="s">
        <v>91</v>
      </c>
      <c r="J17337">
        <v>11.53</v>
      </c>
      <c r="K17337">
        <v>0</v>
      </c>
      <c r="L17337">
        <v>11301</v>
      </c>
      <c r="M17337" t="s">
        <v>29</v>
      </c>
      <c r="N17337" t="str">
        <f>"757866181   "</f>
        <v xml:space="preserve">757866181   </v>
      </c>
      <c r="O17337">
        <v>231012</v>
      </c>
    </row>
    <row r="17338" spans="1:15" x14ac:dyDescent="0.25">
      <c r="A17338" t="s">
        <v>16</v>
      </c>
      <c r="B17338" t="s">
        <v>3221</v>
      </c>
      <c r="C17338">
        <v>15079</v>
      </c>
      <c r="D17338" t="s">
        <v>3229</v>
      </c>
      <c r="E17338" t="s">
        <v>3230</v>
      </c>
      <c r="F17338">
        <v>434.39</v>
      </c>
      <c r="G17338">
        <v>231031</v>
      </c>
      <c r="H17338">
        <v>4343</v>
      </c>
      <c r="I17338" t="s">
        <v>91</v>
      </c>
      <c r="J17338">
        <v>495.2</v>
      </c>
      <c r="K17338">
        <v>60.81</v>
      </c>
      <c r="L17338">
        <v>11801</v>
      </c>
      <c r="M17338" t="s">
        <v>92</v>
      </c>
      <c r="N17338" t="str">
        <f>"758412175   "</f>
        <v xml:space="preserve">758412175   </v>
      </c>
      <c r="O17338">
        <v>231108</v>
      </c>
    </row>
    <row r="17339" spans="1:15" x14ac:dyDescent="0.25">
      <c r="A17339" t="s">
        <v>16</v>
      </c>
      <c r="B17339" t="s">
        <v>3221</v>
      </c>
      <c r="C17339">
        <v>17411</v>
      </c>
      <c r="D17339" t="s">
        <v>3229</v>
      </c>
      <c r="E17339" t="s">
        <v>3230</v>
      </c>
      <c r="F17339">
        <v>47.23</v>
      </c>
      <c r="G17339">
        <v>231130</v>
      </c>
      <c r="H17339">
        <v>4343</v>
      </c>
      <c r="I17339" t="s">
        <v>91</v>
      </c>
      <c r="J17339">
        <v>47.23</v>
      </c>
      <c r="K17339">
        <v>0</v>
      </c>
      <c r="L17339">
        <v>11801</v>
      </c>
      <c r="M17339" t="s">
        <v>92</v>
      </c>
      <c r="N17339" t="str">
        <f>"758980270   "</f>
        <v xml:space="preserve">758980270   </v>
      </c>
      <c r="O17339">
        <v>231214</v>
      </c>
    </row>
    <row r="17340" spans="1:15" x14ac:dyDescent="0.25">
      <c r="A17340" t="s">
        <v>16</v>
      </c>
      <c r="B17340" t="s">
        <v>3221</v>
      </c>
      <c r="C17340">
        <v>19175</v>
      </c>
      <c r="D17340" t="s">
        <v>3229</v>
      </c>
      <c r="E17340" t="s">
        <v>3230</v>
      </c>
      <c r="F17340">
        <v>2.99</v>
      </c>
      <c r="G17340">
        <v>231231</v>
      </c>
      <c r="H17340">
        <v>4343</v>
      </c>
      <c r="I17340" t="s">
        <v>91</v>
      </c>
      <c r="J17340">
        <v>2.99</v>
      </c>
      <c r="K17340">
        <v>0</v>
      </c>
      <c r="L17340">
        <v>11301</v>
      </c>
      <c r="M17340" t="s">
        <v>29</v>
      </c>
      <c r="N17340" t="str">
        <f>"759536600   "</f>
        <v xml:space="preserve">759536600   </v>
      </c>
      <c r="O17340">
        <v>240129</v>
      </c>
    </row>
    <row r="17341" spans="1:15" x14ac:dyDescent="0.25">
      <c r="A17341" t="s">
        <v>16</v>
      </c>
      <c r="B17341" t="s">
        <v>3221</v>
      </c>
      <c r="C17341">
        <v>19175</v>
      </c>
      <c r="D17341" t="s">
        <v>3229</v>
      </c>
      <c r="E17341" t="s">
        <v>3230</v>
      </c>
      <c r="F17341">
        <v>11.27</v>
      </c>
      <c r="G17341">
        <v>231231</v>
      </c>
      <c r="H17341">
        <v>4343</v>
      </c>
      <c r="I17341" t="s">
        <v>91</v>
      </c>
      <c r="J17341">
        <v>11.27</v>
      </c>
      <c r="K17341">
        <v>0</v>
      </c>
      <c r="L17341">
        <v>11301</v>
      </c>
      <c r="M17341" t="s">
        <v>29</v>
      </c>
      <c r="N17341" t="str">
        <f>"759536600   "</f>
        <v xml:space="preserve">759536600   </v>
      </c>
      <c r="O17341">
        <v>240129</v>
      </c>
    </row>
    <row r="17342" spans="1:15" x14ac:dyDescent="0.25">
      <c r="A17342" t="s">
        <v>16</v>
      </c>
      <c r="B17342" t="s">
        <v>3221</v>
      </c>
      <c r="C17342">
        <v>19175</v>
      </c>
      <c r="D17342" t="s">
        <v>3229</v>
      </c>
      <c r="E17342" t="s">
        <v>3230</v>
      </c>
      <c r="F17342">
        <v>174.19</v>
      </c>
      <c r="G17342">
        <v>231231</v>
      </c>
      <c r="H17342">
        <v>4343</v>
      </c>
      <c r="I17342" t="s">
        <v>91</v>
      </c>
      <c r="J17342">
        <v>216</v>
      </c>
      <c r="K17342">
        <v>41.81</v>
      </c>
      <c r="L17342">
        <v>11301</v>
      </c>
      <c r="M17342" t="s">
        <v>29</v>
      </c>
      <c r="N17342" t="str">
        <f>"759536600   "</f>
        <v xml:space="preserve">759536600   </v>
      </c>
      <c r="O17342">
        <v>240129</v>
      </c>
    </row>
    <row r="17343" spans="1:15" x14ac:dyDescent="0.25">
      <c r="A17343" t="s">
        <v>16</v>
      </c>
      <c r="B17343" t="s">
        <v>3221</v>
      </c>
      <c r="C17343">
        <v>1544</v>
      </c>
      <c r="D17343" t="s">
        <v>3229</v>
      </c>
      <c r="E17343" t="s">
        <v>3230</v>
      </c>
      <c r="F17343">
        <v>3.85</v>
      </c>
      <c r="G17343">
        <v>230131</v>
      </c>
      <c r="H17343">
        <v>4520</v>
      </c>
      <c r="I17343" t="s">
        <v>254</v>
      </c>
      <c r="J17343">
        <v>4.3899999999999997</v>
      </c>
      <c r="K17343">
        <v>0.54</v>
      </c>
      <c r="L17343">
        <v>11905</v>
      </c>
      <c r="M17343" t="s">
        <v>39</v>
      </c>
      <c r="N17343" t="str">
        <f>"753587385   "</f>
        <v xml:space="preserve">753587385   </v>
      </c>
      <c r="O17343">
        <v>230209</v>
      </c>
    </row>
    <row r="17344" spans="1:15" x14ac:dyDescent="0.25">
      <c r="A17344" t="s">
        <v>16</v>
      </c>
      <c r="B17344" t="s">
        <v>3221</v>
      </c>
      <c r="C17344">
        <v>4824</v>
      </c>
      <c r="D17344" t="s">
        <v>3229</v>
      </c>
      <c r="E17344" t="s">
        <v>3230</v>
      </c>
      <c r="F17344">
        <v>12.8</v>
      </c>
      <c r="G17344">
        <v>230331</v>
      </c>
      <c r="H17344">
        <v>4520</v>
      </c>
      <c r="I17344" t="s">
        <v>254</v>
      </c>
      <c r="J17344">
        <v>12.8</v>
      </c>
      <c r="K17344">
        <v>0</v>
      </c>
      <c r="L17344">
        <v>11101</v>
      </c>
      <c r="M17344" t="s">
        <v>110</v>
      </c>
      <c r="N17344" t="str">
        <f>"754682433   "</f>
        <v xml:space="preserve">754682433   </v>
      </c>
      <c r="O17344">
        <v>230413</v>
      </c>
    </row>
    <row r="17345" spans="1:15" x14ac:dyDescent="0.25">
      <c r="A17345" t="s">
        <v>16</v>
      </c>
      <c r="B17345" t="s">
        <v>3221</v>
      </c>
      <c r="C17345">
        <v>4954</v>
      </c>
      <c r="D17345" t="s">
        <v>3229</v>
      </c>
      <c r="E17345" t="s">
        <v>3230</v>
      </c>
      <c r="F17345">
        <v>28.54</v>
      </c>
      <c r="G17345">
        <v>230331</v>
      </c>
      <c r="H17345">
        <v>4520</v>
      </c>
      <c r="I17345" t="s">
        <v>254</v>
      </c>
      <c r="J17345">
        <v>32.54</v>
      </c>
      <c r="K17345">
        <v>4</v>
      </c>
      <c r="L17345">
        <v>11901</v>
      </c>
      <c r="M17345" t="s">
        <v>36</v>
      </c>
      <c r="N17345" t="str">
        <f>"754682474   "</f>
        <v xml:space="preserve">754682474   </v>
      </c>
      <c r="O17345">
        <v>230414</v>
      </c>
    </row>
    <row r="17346" spans="1:15" x14ac:dyDescent="0.25">
      <c r="A17346" t="s">
        <v>16</v>
      </c>
      <c r="B17346" t="s">
        <v>3221</v>
      </c>
      <c r="C17346">
        <v>6426</v>
      </c>
      <c r="D17346" t="s">
        <v>3229</v>
      </c>
      <c r="E17346" t="s">
        <v>3230</v>
      </c>
      <c r="F17346">
        <v>5.96</v>
      </c>
      <c r="G17346">
        <v>230430</v>
      </c>
      <c r="H17346">
        <v>4520</v>
      </c>
      <c r="I17346" t="s">
        <v>254</v>
      </c>
      <c r="J17346">
        <v>6.79</v>
      </c>
      <c r="K17346">
        <v>0.83</v>
      </c>
      <c r="L17346">
        <v>11902</v>
      </c>
      <c r="M17346" t="s">
        <v>1443</v>
      </c>
      <c r="N17346" t="str">
        <f>"755240785   "</f>
        <v xml:space="preserve">755240785   </v>
      </c>
      <c r="O17346">
        <v>230511</v>
      </c>
    </row>
    <row r="17347" spans="1:15" x14ac:dyDescent="0.25">
      <c r="A17347" t="s">
        <v>16</v>
      </c>
      <c r="B17347" t="s">
        <v>3221</v>
      </c>
      <c r="C17347">
        <v>9300</v>
      </c>
      <c r="D17347" t="s">
        <v>3229</v>
      </c>
      <c r="E17347" t="s">
        <v>3230</v>
      </c>
      <c r="F17347">
        <v>66.95</v>
      </c>
      <c r="G17347">
        <v>230630</v>
      </c>
      <c r="H17347">
        <v>4520</v>
      </c>
      <c r="I17347" t="s">
        <v>254</v>
      </c>
      <c r="J17347">
        <v>76.319999999999993</v>
      </c>
      <c r="K17347">
        <v>9.3699999999999992</v>
      </c>
      <c r="L17347">
        <v>11905</v>
      </c>
      <c r="M17347" t="s">
        <v>39</v>
      </c>
      <c r="N17347" t="str">
        <f>"756348009   "</f>
        <v xml:space="preserve">756348009   </v>
      </c>
      <c r="O17347">
        <v>230705</v>
      </c>
    </row>
    <row r="17348" spans="1:15" x14ac:dyDescent="0.25">
      <c r="A17348" t="s">
        <v>16</v>
      </c>
      <c r="B17348" t="s">
        <v>3221</v>
      </c>
      <c r="C17348">
        <v>11846</v>
      </c>
      <c r="D17348" t="s">
        <v>3229</v>
      </c>
      <c r="E17348" t="s">
        <v>3230</v>
      </c>
      <c r="F17348">
        <v>73.75</v>
      </c>
      <c r="G17348">
        <v>230831</v>
      </c>
      <c r="H17348">
        <v>4520</v>
      </c>
      <c r="I17348" t="s">
        <v>254</v>
      </c>
      <c r="J17348">
        <v>84.08</v>
      </c>
      <c r="K17348">
        <v>10.33</v>
      </c>
      <c r="L17348">
        <v>11905</v>
      </c>
      <c r="M17348" t="s">
        <v>39</v>
      </c>
      <c r="N17348" t="str">
        <f>"757338215   "</f>
        <v xml:space="preserve">757338215   </v>
      </c>
      <c r="O17348">
        <v>230911</v>
      </c>
    </row>
    <row r="17349" spans="1:15" x14ac:dyDescent="0.25">
      <c r="A17349" t="s">
        <v>16</v>
      </c>
      <c r="B17349" t="s">
        <v>3221</v>
      </c>
      <c r="C17349">
        <v>12038</v>
      </c>
      <c r="D17349" t="s">
        <v>3229</v>
      </c>
      <c r="E17349" t="s">
        <v>3230</v>
      </c>
      <c r="F17349">
        <v>5</v>
      </c>
      <c r="G17349">
        <v>230831</v>
      </c>
      <c r="H17349">
        <v>4520</v>
      </c>
      <c r="I17349" t="s">
        <v>254</v>
      </c>
      <c r="J17349">
        <v>5</v>
      </c>
      <c r="K17349">
        <v>0</v>
      </c>
      <c r="L17349">
        <v>11901</v>
      </c>
      <c r="M17349" t="s">
        <v>36</v>
      </c>
      <c r="N17349" t="str">
        <f>"757338223   "</f>
        <v xml:space="preserve">757338223   </v>
      </c>
      <c r="O17349">
        <v>230913</v>
      </c>
    </row>
    <row r="17350" spans="1:15" x14ac:dyDescent="0.25">
      <c r="A17350" t="s">
        <v>16</v>
      </c>
      <c r="B17350" t="s">
        <v>3221</v>
      </c>
      <c r="C17350">
        <v>12038</v>
      </c>
      <c r="D17350" t="s">
        <v>3229</v>
      </c>
      <c r="E17350" t="s">
        <v>3230</v>
      </c>
      <c r="F17350">
        <v>8.1</v>
      </c>
      <c r="G17350">
        <v>230831</v>
      </c>
      <c r="H17350">
        <v>4520</v>
      </c>
      <c r="I17350" t="s">
        <v>254</v>
      </c>
      <c r="J17350">
        <v>8.1</v>
      </c>
      <c r="K17350">
        <v>0</v>
      </c>
      <c r="L17350">
        <v>11901</v>
      </c>
      <c r="M17350" t="s">
        <v>36</v>
      </c>
      <c r="N17350" t="str">
        <f>"757338223   "</f>
        <v xml:space="preserve">757338223   </v>
      </c>
      <c r="O17350">
        <v>230913</v>
      </c>
    </row>
    <row r="17351" spans="1:15" x14ac:dyDescent="0.25">
      <c r="A17351" t="s">
        <v>16</v>
      </c>
      <c r="B17351" t="s">
        <v>3221</v>
      </c>
      <c r="C17351">
        <v>13458</v>
      </c>
      <c r="D17351" t="s">
        <v>3229</v>
      </c>
      <c r="E17351" t="s">
        <v>3230</v>
      </c>
      <c r="F17351">
        <v>23.75</v>
      </c>
      <c r="G17351">
        <v>230930</v>
      </c>
      <c r="H17351">
        <v>4520</v>
      </c>
      <c r="I17351" t="s">
        <v>254</v>
      </c>
      <c r="J17351">
        <v>27.07</v>
      </c>
      <c r="K17351">
        <v>3.32</v>
      </c>
      <c r="L17351">
        <v>11901</v>
      </c>
      <c r="M17351" t="s">
        <v>36</v>
      </c>
      <c r="N17351" t="str">
        <f>"757866165   "</f>
        <v xml:space="preserve">757866165   </v>
      </c>
      <c r="O17351">
        <v>231010</v>
      </c>
    </row>
    <row r="17352" spans="1:15" x14ac:dyDescent="0.25">
      <c r="A17352" t="s">
        <v>16</v>
      </c>
      <c r="B17352" t="s">
        <v>3221</v>
      </c>
      <c r="C17352">
        <v>15133</v>
      </c>
      <c r="D17352" t="s">
        <v>3229</v>
      </c>
      <c r="E17352" t="s">
        <v>3230</v>
      </c>
      <c r="F17352">
        <v>181.44</v>
      </c>
      <c r="G17352">
        <v>231031</v>
      </c>
      <c r="H17352">
        <v>4520</v>
      </c>
      <c r="I17352" t="s">
        <v>254</v>
      </c>
      <c r="J17352">
        <v>206.84</v>
      </c>
      <c r="K17352">
        <v>25.4</v>
      </c>
      <c r="L17352">
        <v>12982</v>
      </c>
      <c r="M17352" t="s">
        <v>1518</v>
      </c>
      <c r="N17352" t="str">
        <f>"758412126   "</f>
        <v xml:space="preserve">758412126   </v>
      </c>
      <c r="O17352">
        <v>231109</v>
      </c>
    </row>
    <row r="17353" spans="1:15" x14ac:dyDescent="0.25">
      <c r="A17353" t="s">
        <v>16</v>
      </c>
      <c r="B17353" t="s">
        <v>3221</v>
      </c>
      <c r="C17353">
        <v>15605</v>
      </c>
      <c r="D17353" t="s">
        <v>3229</v>
      </c>
      <c r="E17353" t="s">
        <v>3230</v>
      </c>
      <c r="F17353">
        <v>30.47</v>
      </c>
      <c r="G17353">
        <v>231031</v>
      </c>
      <c r="H17353">
        <v>4520</v>
      </c>
      <c r="I17353" t="s">
        <v>254</v>
      </c>
      <c r="J17353">
        <v>34.74</v>
      </c>
      <c r="K17353">
        <v>4.2699999999999996</v>
      </c>
      <c r="L17353">
        <v>11902</v>
      </c>
      <c r="M17353" t="s">
        <v>1443</v>
      </c>
      <c r="N17353" t="str">
        <f>"758412118   "</f>
        <v xml:space="preserve">758412118   </v>
      </c>
      <c r="O17353">
        <v>231114</v>
      </c>
    </row>
    <row r="17354" spans="1:15" x14ac:dyDescent="0.25">
      <c r="A17354" t="s">
        <v>16</v>
      </c>
      <c r="B17354" t="s">
        <v>3221</v>
      </c>
      <c r="C17354">
        <v>16640</v>
      </c>
      <c r="D17354" t="s">
        <v>3229</v>
      </c>
      <c r="E17354" t="s">
        <v>3230</v>
      </c>
      <c r="F17354">
        <v>0.4</v>
      </c>
      <c r="G17354">
        <v>231130</v>
      </c>
      <c r="H17354">
        <v>4520</v>
      </c>
      <c r="I17354" t="s">
        <v>254</v>
      </c>
      <c r="J17354">
        <v>0.49</v>
      </c>
      <c r="K17354">
        <v>0.09</v>
      </c>
      <c r="L17354">
        <v>11301</v>
      </c>
      <c r="M17354" t="s">
        <v>29</v>
      </c>
      <c r="N17354" t="str">
        <f>"758980254   "</f>
        <v xml:space="preserve">758980254   </v>
      </c>
      <c r="O17354">
        <v>231205</v>
      </c>
    </row>
    <row r="17355" spans="1:15" x14ac:dyDescent="0.25">
      <c r="A17355" t="s">
        <v>16</v>
      </c>
      <c r="B17355" t="s">
        <v>3221</v>
      </c>
      <c r="C17355">
        <v>16640</v>
      </c>
      <c r="D17355" t="s">
        <v>3229</v>
      </c>
      <c r="E17355" t="s">
        <v>3230</v>
      </c>
      <c r="F17355">
        <v>59.1</v>
      </c>
      <c r="G17355">
        <v>231130</v>
      </c>
      <c r="H17355">
        <v>4520</v>
      </c>
      <c r="I17355" t="s">
        <v>254</v>
      </c>
      <c r="J17355">
        <v>67.37</v>
      </c>
      <c r="K17355">
        <v>8.27</v>
      </c>
      <c r="L17355">
        <v>11301</v>
      </c>
      <c r="M17355" t="s">
        <v>29</v>
      </c>
      <c r="N17355" t="str">
        <f>"758980254   "</f>
        <v xml:space="preserve">758980254   </v>
      </c>
      <c r="O17355">
        <v>231205</v>
      </c>
    </row>
    <row r="17356" spans="1:15" x14ac:dyDescent="0.25">
      <c r="A17356" t="s">
        <v>16</v>
      </c>
      <c r="B17356" t="s">
        <v>3221</v>
      </c>
      <c r="C17356">
        <v>16750</v>
      </c>
      <c r="D17356" t="s">
        <v>3229</v>
      </c>
      <c r="E17356" t="s">
        <v>3230</v>
      </c>
      <c r="F17356">
        <v>106.31</v>
      </c>
      <c r="G17356">
        <v>231130</v>
      </c>
      <c r="H17356">
        <v>4520</v>
      </c>
      <c r="I17356" t="s">
        <v>254</v>
      </c>
      <c r="J17356">
        <v>121.19</v>
      </c>
      <c r="K17356">
        <v>14.88</v>
      </c>
      <c r="L17356">
        <v>12982</v>
      </c>
      <c r="M17356" t="s">
        <v>1518</v>
      </c>
      <c r="N17356" t="str">
        <f>"758980239   "</f>
        <v xml:space="preserve">758980239   </v>
      </c>
      <c r="O17356">
        <v>231208</v>
      </c>
    </row>
    <row r="17357" spans="1:15" x14ac:dyDescent="0.25">
      <c r="A17357" t="s">
        <v>16</v>
      </c>
      <c r="B17357" t="s">
        <v>3221</v>
      </c>
      <c r="C17357">
        <v>17044</v>
      </c>
      <c r="D17357" t="s">
        <v>3229</v>
      </c>
      <c r="E17357" t="s">
        <v>3230</v>
      </c>
      <c r="F17357">
        <v>15.61</v>
      </c>
      <c r="G17357">
        <v>231130</v>
      </c>
      <c r="H17357">
        <v>4520</v>
      </c>
      <c r="I17357" t="s">
        <v>254</v>
      </c>
      <c r="J17357">
        <v>17.8</v>
      </c>
      <c r="K17357">
        <v>2.19</v>
      </c>
      <c r="L17357">
        <v>11605</v>
      </c>
      <c r="M17357" t="s">
        <v>106</v>
      </c>
      <c r="N17357" t="str">
        <f>"758980262   "</f>
        <v xml:space="preserve">758980262   </v>
      </c>
      <c r="O17357">
        <v>231212</v>
      </c>
    </row>
    <row r="17358" spans="1:15" x14ac:dyDescent="0.25">
      <c r="A17358" t="s">
        <v>16</v>
      </c>
      <c r="B17358" t="s">
        <v>3221</v>
      </c>
      <c r="C17358">
        <v>18806</v>
      </c>
      <c r="D17358" t="s">
        <v>3229</v>
      </c>
      <c r="E17358" t="s">
        <v>3230</v>
      </c>
      <c r="F17358">
        <v>3.55</v>
      </c>
      <c r="G17358">
        <v>231231</v>
      </c>
      <c r="H17358">
        <v>4520</v>
      </c>
      <c r="I17358" t="s">
        <v>254</v>
      </c>
      <c r="J17358">
        <v>4.05</v>
      </c>
      <c r="K17358">
        <v>0.5</v>
      </c>
      <c r="L17358">
        <v>11301</v>
      </c>
      <c r="M17358" t="s">
        <v>29</v>
      </c>
      <c r="N17358" t="str">
        <f>"759536568   "</f>
        <v xml:space="preserve">759536568   </v>
      </c>
      <c r="O17358">
        <v>240108</v>
      </c>
    </row>
    <row r="17359" spans="1:15" x14ac:dyDescent="0.25">
      <c r="A17359" t="s">
        <v>16</v>
      </c>
      <c r="B17359" t="s">
        <v>3221</v>
      </c>
      <c r="C17359">
        <v>19115</v>
      </c>
      <c r="D17359" t="s">
        <v>3229</v>
      </c>
      <c r="E17359" t="s">
        <v>3230</v>
      </c>
      <c r="F17359">
        <v>21.58</v>
      </c>
      <c r="G17359">
        <v>231231</v>
      </c>
      <c r="H17359">
        <v>4520</v>
      </c>
      <c r="I17359" t="s">
        <v>254</v>
      </c>
      <c r="J17359">
        <v>24.6</v>
      </c>
      <c r="K17359">
        <v>3.02</v>
      </c>
      <c r="L17359">
        <v>11901</v>
      </c>
      <c r="M17359" t="s">
        <v>36</v>
      </c>
      <c r="N17359" t="str">
        <f>"759536535   "</f>
        <v xml:space="preserve">759536535   </v>
      </c>
      <c r="O17359">
        <v>240110</v>
      </c>
    </row>
    <row r="17360" spans="1:15" x14ac:dyDescent="0.25">
      <c r="A17360" t="s">
        <v>16</v>
      </c>
      <c r="B17360" t="s">
        <v>3221</v>
      </c>
      <c r="C17360">
        <v>19210</v>
      </c>
      <c r="D17360" t="s">
        <v>3229</v>
      </c>
      <c r="E17360" t="s">
        <v>3230</v>
      </c>
      <c r="F17360">
        <v>112.51</v>
      </c>
      <c r="G17360">
        <v>231231</v>
      </c>
      <c r="H17360">
        <v>4520</v>
      </c>
      <c r="I17360" t="s">
        <v>254</v>
      </c>
      <c r="J17360">
        <v>128.26</v>
      </c>
      <c r="K17360">
        <v>15.75</v>
      </c>
      <c r="L17360">
        <v>11901</v>
      </c>
      <c r="M17360" t="s">
        <v>36</v>
      </c>
      <c r="N17360" t="str">
        <f>"759536543   "</f>
        <v xml:space="preserve">759536543   </v>
      </c>
      <c r="O17360">
        <v>240112</v>
      </c>
    </row>
    <row r="17361" spans="1:15" x14ac:dyDescent="0.25">
      <c r="A17361" t="s">
        <v>16</v>
      </c>
      <c r="B17361" t="s">
        <v>3221</v>
      </c>
      <c r="C17361">
        <v>19210</v>
      </c>
      <c r="D17361" t="s">
        <v>3229</v>
      </c>
      <c r="E17361" t="s">
        <v>3230</v>
      </c>
      <c r="F17361">
        <v>59.37</v>
      </c>
      <c r="G17361">
        <v>231231</v>
      </c>
      <c r="H17361">
        <v>4520</v>
      </c>
      <c r="I17361" t="s">
        <v>254</v>
      </c>
      <c r="J17361">
        <v>67.680000000000007</v>
      </c>
      <c r="K17361">
        <v>8.31</v>
      </c>
      <c r="L17361">
        <v>12982</v>
      </c>
      <c r="M17361" t="s">
        <v>1518</v>
      </c>
      <c r="N17361" t="str">
        <f>"759536543   "</f>
        <v xml:space="preserve">759536543   </v>
      </c>
      <c r="O17361">
        <v>240112</v>
      </c>
    </row>
    <row r="17362" spans="1:15" x14ac:dyDescent="0.25">
      <c r="A17362" t="s">
        <v>16</v>
      </c>
      <c r="B17362" t="s">
        <v>3221</v>
      </c>
      <c r="C17362">
        <v>1668</v>
      </c>
      <c r="D17362" t="s">
        <v>3229</v>
      </c>
      <c r="E17362" t="s">
        <v>3230</v>
      </c>
      <c r="F17362">
        <v>8.06</v>
      </c>
      <c r="G17362">
        <v>230131</v>
      </c>
      <c r="H17362">
        <v>4362</v>
      </c>
      <c r="I17362" t="s">
        <v>79</v>
      </c>
      <c r="J17362">
        <v>9.99</v>
      </c>
      <c r="K17362">
        <v>1.93</v>
      </c>
      <c r="L17362">
        <v>11001</v>
      </c>
      <c r="M17362" t="s">
        <v>326</v>
      </c>
      <c r="N17362" t="str">
        <f>"753587369   "</f>
        <v xml:space="preserve">753587369   </v>
      </c>
      <c r="O17362">
        <v>230213</v>
      </c>
    </row>
    <row r="17363" spans="1:15" x14ac:dyDescent="0.25">
      <c r="A17363" t="s">
        <v>16</v>
      </c>
      <c r="B17363" t="s">
        <v>3221</v>
      </c>
      <c r="C17363">
        <v>3225</v>
      </c>
      <c r="D17363" t="s">
        <v>3229</v>
      </c>
      <c r="E17363" t="s">
        <v>3230</v>
      </c>
      <c r="F17363">
        <v>8.06</v>
      </c>
      <c r="G17363">
        <v>230228</v>
      </c>
      <c r="H17363">
        <v>4362</v>
      </c>
      <c r="I17363" t="s">
        <v>79</v>
      </c>
      <c r="J17363">
        <v>9.99</v>
      </c>
      <c r="K17363">
        <v>1.93</v>
      </c>
      <c r="L17363">
        <v>11001</v>
      </c>
      <c r="M17363" t="s">
        <v>326</v>
      </c>
      <c r="N17363" t="str">
        <f>"754131175   "</f>
        <v xml:space="preserve">754131175   </v>
      </c>
      <c r="O17363">
        <v>230310</v>
      </c>
    </row>
    <row r="17364" spans="1:15" x14ac:dyDescent="0.25">
      <c r="A17364" t="s">
        <v>16</v>
      </c>
      <c r="B17364" t="s">
        <v>3221</v>
      </c>
      <c r="C17364">
        <v>3332</v>
      </c>
      <c r="D17364" t="s">
        <v>3229</v>
      </c>
      <c r="E17364" t="s">
        <v>3230</v>
      </c>
      <c r="F17364">
        <v>9.5500000000000007</v>
      </c>
      <c r="G17364">
        <v>230228</v>
      </c>
      <c r="H17364">
        <v>4362</v>
      </c>
      <c r="I17364" t="s">
        <v>79</v>
      </c>
      <c r="J17364">
        <v>9.5500000000000007</v>
      </c>
      <c r="K17364">
        <v>0</v>
      </c>
      <c r="L17364">
        <v>11902</v>
      </c>
      <c r="M17364" t="s">
        <v>1443</v>
      </c>
      <c r="N17364" t="str">
        <f>"754131183   "</f>
        <v xml:space="preserve">754131183   </v>
      </c>
      <c r="O17364">
        <v>230314</v>
      </c>
    </row>
    <row r="17365" spans="1:15" x14ac:dyDescent="0.25">
      <c r="A17365" t="s">
        <v>16</v>
      </c>
      <c r="B17365" t="s">
        <v>3221</v>
      </c>
      <c r="C17365">
        <v>4605</v>
      </c>
      <c r="D17365" t="s">
        <v>3229</v>
      </c>
      <c r="E17365" t="s">
        <v>3230</v>
      </c>
      <c r="F17365">
        <v>8.06</v>
      </c>
      <c r="G17365">
        <v>230331</v>
      </c>
      <c r="H17365">
        <v>4362</v>
      </c>
      <c r="I17365" t="s">
        <v>79</v>
      </c>
      <c r="J17365">
        <v>9.99</v>
      </c>
      <c r="K17365">
        <v>1.93</v>
      </c>
      <c r="L17365">
        <v>11001</v>
      </c>
      <c r="M17365" t="s">
        <v>326</v>
      </c>
      <c r="N17365" t="str">
        <f>"754682417   "</f>
        <v xml:space="preserve">754682417   </v>
      </c>
      <c r="O17365">
        <v>230411</v>
      </c>
    </row>
    <row r="17366" spans="1:15" x14ac:dyDescent="0.25">
      <c r="A17366" t="s">
        <v>16</v>
      </c>
      <c r="B17366" t="s">
        <v>3221</v>
      </c>
      <c r="C17366">
        <v>5940</v>
      </c>
      <c r="D17366" t="s">
        <v>3229</v>
      </c>
      <c r="E17366" t="s">
        <v>3230</v>
      </c>
      <c r="F17366">
        <v>8.06</v>
      </c>
      <c r="G17366">
        <v>230430</v>
      </c>
      <c r="H17366">
        <v>4362</v>
      </c>
      <c r="I17366" t="s">
        <v>79</v>
      </c>
      <c r="J17366">
        <v>9.99</v>
      </c>
      <c r="K17366">
        <v>1.93</v>
      </c>
      <c r="L17366">
        <v>11001</v>
      </c>
      <c r="M17366" t="s">
        <v>326</v>
      </c>
      <c r="N17366" t="str">
        <f>"755240769   "</f>
        <v xml:space="preserve">755240769   </v>
      </c>
      <c r="O17366">
        <v>230504</v>
      </c>
    </row>
    <row r="17367" spans="1:15" x14ac:dyDescent="0.25">
      <c r="A17367" t="s">
        <v>16</v>
      </c>
      <c r="B17367" t="s">
        <v>3221</v>
      </c>
      <c r="C17367">
        <v>8646</v>
      </c>
      <c r="D17367" t="s">
        <v>3229</v>
      </c>
      <c r="E17367" t="s">
        <v>3230</v>
      </c>
      <c r="F17367">
        <v>8.06</v>
      </c>
      <c r="G17367">
        <v>230531</v>
      </c>
      <c r="H17367">
        <v>4362</v>
      </c>
      <c r="I17367" t="s">
        <v>79</v>
      </c>
      <c r="J17367">
        <v>9.99</v>
      </c>
      <c r="K17367">
        <v>1.93</v>
      </c>
      <c r="L17367">
        <v>11001</v>
      </c>
      <c r="M17367" t="s">
        <v>326</v>
      </c>
      <c r="N17367" t="str">
        <f>"755790797   "</f>
        <v xml:space="preserve">755790797   </v>
      </c>
      <c r="O17367">
        <v>230613</v>
      </c>
    </row>
    <row r="17368" spans="1:15" x14ac:dyDescent="0.25">
      <c r="A17368" t="s">
        <v>16</v>
      </c>
      <c r="B17368" t="s">
        <v>3221</v>
      </c>
      <c r="C17368">
        <v>9366</v>
      </c>
      <c r="D17368" t="s">
        <v>3229</v>
      </c>
      <c r="E17368" t="s">
        <v>3230</v>
      </c>
      <c r="F17368">
        <v>11.44</v>
      </c>
      <c r="G17368">
        <v>230630</v>
      </c>
      <c r="H17368">
        <v>4362</v>
      </c>
      <c r="I17368" t="s">
        <v>79</v>
      </c>
      <c r="J17368">
        <v>14.18</v>
      </c>
      <c r="K17368">
        <v>2.74</v>
      </c>
      <c r="L17368">
        <v>11001</v>
      </c>
      <c r="M17368" t="s">
        <v>326</v>
      </c>
      <c r="N17368" t="str">
        <f>"756347951   "</f>
        <v xml:space="preserve">756347951   </v>
      </c>
      <c r="O17368">
        <v>230710</v>
      </c>
    </row>
    <row r="17369" spans="1:15" x14ac:dyDescent="0.25">
      <c r="A17369" t="s">
        <v>16</v>
      </c>
      <c r="B17369" t="s">
        <v>3221</v>
      </c>
      <c r="C17369">
        <v>9540</v>
      </c>
      <c r="D17369" t="s">
        <v>3229</v>
      </c>
      <c r="E17369" t="s">
        <v>3230</v>
      </c>
      <c r="F17369">
        <v>189</v>
      </c>
      <c r="G17369">
        <v>230630</v>
      </c>
      <c r="H17369">
        <v>4362</v>
      </c>
      <c r="I17369" t="s">
        <v>79</v>
      </c>
      <c r="J17369">
        <v>234.36</v>
      </c>
      <c r="K17369">
        <v>45.36</v>
      </c>
      <c r="L17369">
        <v>11801</v>
      </c>
      <c r="M17369" t="s">
        <v>92</v>
      </c>
      <c r="N17369" t="str">
        <f>"756347969   "</f>
        <v xml:space="preserve">756347969   </v>
      </c>
      <c r="O17369">
        <v>230717</v>
      </c>
    </row>
    <row r="17370" spans="1:15" x14ac:dyDescent="0.25">
      <c r="A17370" t="s">
        <v>16</v>
      </c>
      <c r="B17370" t="s">
        <v>3221</v>
      </c>
      <c r="C17370">
        <v>10018</v>
      </c>
      <c r="D17370" t="s">
        <v>3229</v>
      </c>
      <c r="E17370" t="s">
        <v>3230</v>
      </c>
      <c r="F17370">
        <v>45</v>
      </c>
      <c r="G17370">
        <v>230731</v>
      </c>
      <c r="H17370">
        <v>4362</v>
      </c>
      <c r="I17370" t="s">
        <v>79</v>
      </c>
      <c r="J17370">
        <v>45</v>
      </c>
      <c r="K17370">
        <v>0</v>
      </c>
      <c r="L17370">
        <v>11900</v>
      </c>
      <c r="M17370" t="s">
        <v>1105</v>
      </c>
      <c r="N17370" t="str">
        <f>"756863346   "</f>
        <v xml:space="preserve">756863346   </v>
      </c>
      <c r="O17370">
        <v>230807</v>
      </c>
    </row>
    <row r="17371" spans="1:15" x14ac:dyDescent="0.25">
      <c r="A17371" t="s">
        <v>16</v>
      </c>
      <c r="B17371" t="s">
        <v>3221</v>
      </c>
      <c r="C17371">
        <v>10255</v>
      </c>
      <c r="D17371" t="s">
        <v>3229</v>
      </c>
      <c r="E17371" t="s">
        <v>3230</v>
      </c>
      <c r="F17371">
        <v>8.06</v>
      </c>
      <c r="G17371">
        <v>230731</v>
      </c>
      <c r="H17371">
        <v>4362</v>
      </c>
      <c r="I17371" t="s">
        <v>79</v>
      </c>
      <c r="J17371">
        <v>9.99</v>
      </c>
      <c r="K17371">
        <v>1.93</v>
      </c>
      <c r="L17371">
        <v>11001</v>
      </c>
      <c r="M17371" t="s">
        <v>326</v>
      </c>
      <c r="N17371" t="str">
        <f>"756863320   "</f>
        <v xml:space="preserve">756863320   </v>
      </c>
      <c r="O17371">
        <v>230814</v>
      </c>
    </row>
    <row r="17372" spans="1:15" x14ac:dyDescent="0.25">
      <c r="A17372" t="s">
        <v>16</v>
      </c>
      <c r="B17372" t="s">
        <v>3221</v>
      </c>
      <c r="C17372">
        <v>11777</v>
      </c>
      <c r="D17372" t="s">
        <v>3229</v>
      </c>
      <c r="E17372" t="s">
        <v>3230</v>
      </c>
      <c r="F17372">
        <v>14.5</v>
      </c>
      <c r="G17372">
        <v>230831</v>
      </c>
      <c r="H17372">
        <v>4362</v>
      </c>
      <c r="I17372" t="s">
        <v>79</v>
      </c>
      <c r="J17372">
        <v>17.98</v>
      </c>
      <c r="K17372">
        <v>3.48</v>
      </c>
      <c r="L17372">
        <v>11001</v>
      </c>
      <c r="M17372" t="s">
        <v>326</v>
      </c>
      <c r="N17372" t="str">
        <f>"757338140   "</f>
        <v xml:space="preserve">757338140   </v>
      </c>
      <c r="O17372">
        <v>230911</v>
      </c>
    </row>
    <row r="17373" spans="1:15" x14ac:dyDescent="0.25">
      <c r="A17373" t="s">
        <v>16</v>
      </c>
      <c r="B17373" t="s">
        <v>3221</v>
      </c>
      <c r="C17373">
        <v>13618</v>
      </c>
      <c r="D17373" t="s">
        <v>3229</v>
      </c>
      <c r="E17373" t="s">
        <v>3230</v>
      </c>
      <c r="F17373">
        <v>8.06</v>
      </c>
      <c r="G17373">
        <v>230930</v>
      </c>
      <c r="H17373">
        <v>4362</v>
      </c>
      <c r="I17373" t="s">
        <v>79</v>
      </c>
      <c r="J17373">
        <v>9.99</v>
      </c>
      <c r="K17373">
        <v>1.93</v>
      </c>
      <c r="L17373">
        <v>11001</v>
      </c>
      <c r="M17373" t="s">
        <v>326</v>
      </c>
      <c r="N17373" t="str">
        <f>"757866116   "</f>
        <v xml:space="preserve">757866116   </v>
      </c>
      <c r="O17373">
        <v>231012</v>
      </c>
    </row>
    <row r="17374" spans="1:15" x14ac:dyDescent="0.25">
      <c r="A17374" t="s">
        <v>16</v>
      </c>
      <c r="B17374" t="s">
        <v>3221</v>
      </c>
      <c r="C17374">
        <v>15309</v>
      </c>
      <c r="D17374" t="s">
        <v>3229</v>
      </c>
      <c r="E17374" t="s">
        <v>3230</v>
      </c>
      <c r="F17374">
        <v>8.06</v>
      </c>
      <c r="G17374">
        <v>231031</v>
      </c>
      <c r="H17374">
        <v>4362</v>
      </c>
      <c r="I17374" t="s">
        <v>79</v>
      </c>
      <c r="J17374">
        <v>9.99</v>
      </c>
      <c r="K17374">
        <v>1.93</v>
      </c>
      <c r="L17374">
        <v>11001</v>
      </c>
      <c r="M17374" t="s">
        <v>326</v>
      </c>
      <c r="N17374" t="str">
        <f>"758412092   "</f>
        <v xml:space="preserve">758412092   </v>
      </c>
      <c r="O17374">
        <v>231113</v>
      </c>
    </row>
    <row r="17375" spans="1:15" x14ac:dyDescent="0.25">
      <c r="A17375" t="s">
        <v>16</v>
      </c>
      <c r="B17375" t="s">
        <v>3221</v>
      </c>
      <c r="C17375">
        <v>15563</v>
      </c>
      <c r="D17375" t="s">
        <v>3229</v>
      </c>
      <c r="E17375" t="s">
        <v>3230</v>
      </c>
      <c r="F17375">
        <v>2.99</v>
      </c>
      <c r="G17375">
        <v>231031</v>
      </c>
      <c r="H17375">
        <v>4362</v>
      </c>
      <c r="I17375" t="s">
        <v>79</v>
      </c>
      <c r="J17375">
        <v>2.99</v>
      </c>
      <c r="K17375">
        <v>0</v>
      </c>
      <c r="L17375">
        <v>11301</v>
      </c>
      <c r="M17375" t="s">
        <v>29</v>
      </c>
      <c r="N17375" t="str">
        <f>"758412183   "</f>
        <v xml:space="preserve">758412183   </v>
      </c>
      <c r="O17375">
        <v>231114</v>
      </c>
    </row>
    <row r="17376" spans="1:15" x14ac:dyDescent="0.25">
      <c r="A17376" t="s">
        <v>16</v>
      </c>
      <c r="B17376" t="s">
        <v>3221</v>
      </c>
      <c r="C17376">
        <v>15563</v>
      </c>
      <c r="D17376" t="s">
        <v>3229</v>
      </c>
      <c r="E17376" t="s">
        <v>3230</v>
      </c>
      <c r="F17376">
        <v>11.69</v>
      </c>
      <c r="G17376">
        <v>231031</v>
      </c>
      <c r="H17376">
        <v>4362</v>
      </c>
      <c r="I17376" t="s">
        <v>79</v>
      </c>
      <c r="J17376">
        <v>11.69</v>
      </c>
      <c r="K17376">
        <v>0</v>
      </c>
      <c r="L17376">
        <v>11301</v>
      </c>
      <c r="M17376" t="s">
        <v>29</v>
      </c>
      <c r="N17376" t="str">
        <f>"758412183   "</f>
        <v xml:space="preserve">758412183   </v>
      </c>
      <c r="O17376">
        <v>231114</v>
      </c>
    </row>
    <row r="17377" spans="1:15" x14ac:dyDescent="0.25">
      <c r="A17377" t="s">
        <v>16</v>
      </c>
      <c r="B17377" t="s">
        <v>3221</v>
      </c>
      <c r="C17377">
        <v>17036</v>
      </c>
      <c r="D17377" t="s">
        <v>3229</v>
      </c>
      <c r="E17377" t="s">
        <v>3230</v>
      </c>
      <c r="F17377">
        <v>8.06</v>
      </c>
      <c r="G17377">
        <v>231130</v>
      </c>
      <c r="H17377">
        <v>4362</v>
      </c>
      <c r="I17377" t="s">
        <v>79</v>
      </c>
      <c r="J17377">
        <v>9.99</v>
      </c>
      <c r="K17377">
        <v>1.93</v>
      </c>
      <c r="L17377">
        <v>11001</v>
      </c>
      <c r="M17377" t="s">
        <v>326</v>
      </c>
      <c r="N17377" t="str">
        <f>"758980213   "</f>
        <v xml:space="preserve">758980213   </v>
      </c>
      <c r="O17377">
        <v>231212</v>
      </c>
    </row>
    <row r="17378" spans="1:15" x14ac:dyDescent="0.25">
      <c r="A17378" t="s">
        <v>16</v>
      </c>
      <c r="B17378" t="s">
        <v>3221</v>
      </c>
      <c r="C17378">
        <v>17310</v>
      </c>
      <c r="D17378" t="s">
        <v>3229</v>
      </c>
      <c r="E17378" t="s">
        <v>3230</v>
      </c>
      <c r="F17378">
        <v>2.99</v>
      </c>
      <c r="G17378">
        <v>231130</v>
      </c>
      <c r="H17378">
        <v>4362</v>
      </c>
      <c r="I17378" t="s">
        <v>79</v>
      </c>
      <c r="J17378">
        <v>2.99</v>
      </c>
      <c r="K17378">
        <v>0</v>
      </c>
      <c r="L17378">
        <v>11301</v>
      </c>
      <c r="M17378" t="s">
        <v>29</v>
      </c>
      <c r="N17378" t="str">
        <f>"758980288   "</f>
        <v xml:space="preserve">758980288   </v>
      </c>
      <c r="O17378">
        <v>231213</v>
      </c>
    </row>
    <row r="17379" spans="1:15" x14ac:dyDescent="0.25">
      <c r="A17379" t="s">
        <v>16</v>
      </c>
      <c r="B17379" t="s">
        <v>3221</v>
      </c>
      <c r="C17379">
        <v>17310</v>
      </c>
      <c r="D17379" t="s">
        <v>3229</v>
      </c>
      <c r="E17379" t="s">
        <v>3230</v>
      </c>
      <c r="F17379">
        <v>11.36</v>
      </c>
      <c r="G17379">
        <v>231130</v>
      </c>
      <c r="H17379">
        <v>4362</v>
      </c>
      <c r="I17379" t="s">
        <v>79</v>
      </c>
      <c r="J17379">
        <v>11.36</v>
      </c>
      <c r="K17379">
        <v>0</v>
      </c>
      <c r="L17379">
        <v>11301</v>
      </c>
      <c r="M17379" t="s">
        <v>29</v>
      </c>
      <c r="N17379" t="str">
        <f>"758980288   "</f>
        <v xml:space="preserve">758980288   </v>
      </c>
      <c r="O17379">
        <v>231213</v>
      </c>
    </row>
    <row r="17380" spans="1:15" x14ac:dyDescent="0.25">
      <c r="A17380" t="s">
        <v>16</v>
      </c>
      <c r="B17380" t="s">
        <v>3221</v>
      </c>
      <c r="C17380">
        <v>17310</v>
      </c>
      <c r="D17380" t="s">
        <v>3229</v>
      </c>
      <c r="E17380" t="s">
        <v>3230</v>
      </c>
      <c r="F17380">
        <v>54</v>
      </c>
      <c r="G17380">
        <v>231130</v>
      </c>
      <c r="H17380">
        <v>4362</v>
      </c>
      <c r="I17380" t="s">
        <v>79</v>
      </c>
      <c r="J17380">
        <v>54</v>
      </c>
      <c r="K17380">
        <v>0</v>
      </c>
      <c r="L17380">
        <v>11301</v>
      </c>
      <c r="M17380" t="s">
        <v>29</v>
      </c>
      <c r="N17380" t="str">
        <f>"758980288   "</f>
        <v xml:space="preserve">758980288   </v>
      </c>
      <c r="O17380">
        <v>231213</v>
      </c>
    </row>
    <row r="17381" spans="1:15" x14ac:dyDescent="0.25">
      <c r="A17381" t="s">
        <v>16</v>
      </c>
      <c r="B17381" t="s">
        <v>3221</v>
      </c>
      <c r="C17381">
        <v>17310</v>
      </c>
      <c r="D17381" t="s">
        <v>3229</v>
      </c>
      <c r="E17381" t="s">
        <v>3230</v>
      </c>
      <c r="F17381">
        <v>96.36</v>
      </c>
      <c r="G17381">
        <v>231130</v>
      </c>
      <c r="H17381">
        <v>4362</v>
      </c>
      <c r="I17381" t="s">
        <v>79</v>
      </c>
      <c r="J17381">
        <v>96.36</v>
      </c>
      <c r="K17381">
        <v>0</v>
      </c>
      <c r="L17381">
        <v>13401</v>
      </c>
      <c r="M17381" t="s">
        <v>80</v>
      </c>
      <c r="N17381" t="str">
        <f>"758980288   "</f>
        <v xml:space="preserve">758980288   </v>
      </c>
      <c r="O17381">
        <v>231213</v>
      </c>
    </row>
    <row r="17382" spans="1:15" x14ac:dyDescent="0.25">
      <c r="A17382" t="s">
        <v>16</v>
      </c>
      <c r="B17382" t="s">
        <v>3221</v>
      </c>
      <c r="C17382">
        <v>17310</v>
      </c>
      <c r="D17382" t="s">
        <v>3229</v>
      </c>
      <c r="E17382" t="s">
        <v>3230</v>
      </c>
      <c r="F17382">
        <v>96.36</v>
      </c>
      <c r="G17382">
        <v>231130</v>
      </c>
      <c r="H17382">
        <v>4362</v>
      </c>
      <c r="I17382" t="s">
        <v>79</v>
      </c>
      <c r="J17382">
        <v>96.36</v>
      </c>
      <c r="K17382">
        <v>0</v>
      </c>
      <c r="L17382">
        <v>13501</v>
      </c>
      <c r="M17382" t="s">
        <v>20</v>
      </c>
      <c r="N17382" t="str">
        <f>"758980288   "</f>
        <v xml:space="preserve">758980288   </v>
      </c>
      <c r="O17382">
        <v>231213</v>
      </c>
    </row>
    <row r="17383" spans="1:15" x14ac:dyDescent="0.25">
      <c r="A17383" t="s">
        <v>16</v>
      </c>
      <c r="B17383" t="s">
        <v>3221</v>
      </c>
      <c r="C17383">
        <v>18728</v>
      </c>
      <c r="D17383" t="s">
        <v>3229</v>
      </c>
      <c r="E17383" t="s">
        <v>3230</v>
      </c>
      <c r="F17383">
        <v>9.99</v>
      </c>
      <c r="G17383">
        <v>231231</v>
      </c>
      <c r="H17383">
        <v>4362</v>
      </c>
      <c r="I17383" t="s">
        <v>79</v>
      </c>
      <c r="J17383">
        <v>9.99</v>
      </c>
      <c r="K17383">
        <v>0</v>
      </c>
      <c r="L17383">
        <v>11001</v>
      </c>
      <c r="M17383" t="s">
        <v>326</v>
      </c>
      <c r="N17383" t="str">
        <f>"759536527   "</f>
        <v xml:space="preserve">759536527   </v>
      </c>
      <c r="O17383">
        <v>240105</v>
      </c>
    </row>
    <row r="17384" spans="1:15" x14ac:dyDescent="0.25">
      <c r="A17384" t="s">
        <v>16</v>
      </c>
      <c r="B17384" t="s">
        <v>3221</v>
      </c>
      <c r="C17384">
        <v>1194</v>
      </c>
      <c r="D17384" t="s">
        <v>3229</v>
      </c>
      <c r="E17384" t="s">
        <v>3230</v>
      </c>
      <c r="F17384">
        <v>910.9</v>
      </c>
      <c r="G17384">
        <v>230131</v>
      </c>
      <c r="H17384">
        <v>4580</v>
      </c>
      <c r="I17384" t="s">
        <v>35</v>
      </c>
      <c r="J17384">
        <v>910.9</v>
      </c>
      <c r="K17384">
        <v>0</v>
      </c>
      <c r="L17384">
        <v>11301</v>
      </c>
      <c r="M17384" t="s">
        <v>29</v>
      </c>
      <c r="N17384" t="str">
        <f>"753587401   "</f>
        <v xml:space="preserve">753587401   </v>
      </c>
      <c r="O17384">
        <v>230206</v>
      </c>
    </row>
    <row r="17385" spans="1:15" x14ac:dyDescent="0.25">
      <c r="A17385" t="s">
        <v>16</v>
      </c>
      <c r="B17385" t="s">
        <v>3221</v>
      </c>
      <c r="C17385">
        <v>6315</v>
      </c>
      <c r="D17385" t="s">
        <v>3229</v>
      </c>
      <c r="E17385" t="s">
        <v>3230</v>
      </c>
      <c r="F17385">
        <v>409.68</v>
      </c>
      <c r="G17385">
        <v>230430</v>
      </c>
      <c r="H17385">
        <v>4580</v>
      </c>
      <c r="I17385" t="s">
        <v>35</v>
      </c>
      <c r="J17385">
        <v>508</v>
      </c>
      <c r="K17385">
        <v>98.32</v>
      </c>
      <c r="L17385">
        <v>11301</v>
      </c>
      <c r="M17385" t="s">
        <v>29</v>
      </c>
      <c r="N17385" t="str">
        <f>"755240835   "</f>
        <v xml:space="preserve">755240835   </v>
      </c>
      <c r="O17385">
        <v>230510</v>
      </c>
    </row>
    <row r="17386" spans="1:15" x14ac:dyDescent="0.25">
      <c r="A17386" t="s">
        <v>16</v>
      </c>
      <c r="B17386" t="s">
        <v>3221</v>
      </c>
      <c r="C17386">
        <v>8247</v>
      </c>
      <c r="D17386" t="s">
        <v>3229</v>
      </c>
      <c r="E17386" t="s">
        <v>3230</v>
      </c>
      <c r="F17386">
        <v>322.5</v>
      </c>
      <c r="G17386">
        <v>230531</v>
      </c>
      <c r="H17386">
        <v>4580</v>
      </c>
      <c r="I17386" t="s">
        <v>35</v>
      </c>
      <c r="J17386">
        <v>399.9</v>
      </c>
      <c r="K17386">
        <v>77.400000000000006</v>
      </c>
      <c r="L17386">
        <v>11301</v>
      </c>
      <c r="M17386" t="s">
        <v>29</v>
      </c>
      <c r="N17386" t="str">
        <f>"755790870   "</f>
        <v xml:space="preserve">755790870   </v>
      </c>
      <c r="O17386">
        <v>230608</v>
      </c>
    </row>
    <row r="17387" spans="1:15" x14ac:dyDescent="0.25">
      <c r="A17387" t="s">
        <v>16</v>
      </c>
      <c r="B17387" t="s">
        <v>3221</v>
      </c>
      <c r="C17387">
        <v>10257</v>
      </c>
      <c r="D17387" t="s">
        <v>3229</v>
      </c>
      <c r="E17387" t="s">
        <v>3230</v>
      </c>
      <c r="F17387">
        <v>649.9</v>
      </c>
      <c r="G17387">
        <v>230731</v>
      </c>
      <c r="H17387">
        <v>4580</v>
      </c>
      <c r="I17387" t="s">
        <v>35</v>
      </c>
      <c r="J17387">
        <v>805.88</v>
      </c>
      <c r="K17387">
        <v>155.97999999999999</v>
      </c>
      <c r="L17387">
        <v>11301</v>
      </c>
      <c r="M17387" t="s">
        <v>29</v>
      </c>
      <c r="N17387" t="str">
        <f>"756863361   "</f>
        <v xml:space="preserve">756863361   </v>
      </c>
      <c r="O17387">
        <v>230814</v>
      </c>
    </row>
    <row r="17388" spans="1:15" x14ac:dyDescent="0.25">
      <c r="A17388" t="s">
        <v>16</v>
      </c>
      <c r="B17388" t="s">
        <v>3221</v>
      </c>
      <c r="C17388">
        <v>11382</v>
      </c>
      <c r="D17388" t="s">
        <v>3229</v>
      </c>
      <c r="E17388" t="s">
        <v>3230</v>
      </c>
      <c r="F17388">
        <v>147.34</v>
      </c>
      <c r="G17388">
        <v>230831</v>
      </c>
      <c r="H17388">
        <v>4580</v>
      </c>
      <c r="I17388" t="s">
        <v>35</v>
      </c>
      <c r="J17388">
        <v>182.7</v>
      </c>
      <c r="K17388">
        <v>35.36</v>
      </c>
      <c r="L17388">
        <v>47522</v>
      </c>
      <c r="M17388" t="s">
        <v>410</v>
      </c>
      <c r="N17388" t="str">
        <f>"757338207   "</f>
        <v xml:space="preserve">757338207   </v>
      </c>
      <c r="O17388">
        <v>230905</v>
      </c>
    </row>
    <row r="17389" spans="1:15" x14ac:dyDescent="0.25">
      <c r="A17389" t="s">
        <v>16</v>
      </c>
      <c r="B17389" t="s">
        <v>3221</v>
      </c>
      <c r="C17389">
        <v>11801</v>
      </c>
      <c r="D17389" t="s">
        <v>3229</v>
      </c>
      <c r="E17389" t="s">
        <v>3230</v>
      </c>
      <c r="F17389">
        <v>252.42</v>
      </c>
      <c r="G17389">
        <v>230831</v>
      </c>
      <c r="H17389">
        <v>4580</v>
      </c>
      <c r="I17389" t="s">
        <v>35</v>
      </c>
      <c r="J17389">
        <v>313</v>
      </c>
      <c r="K17389">
        <v>60.58</v>
      </c>
      <c r="L17389">
        <v>11001</v>
      </c>
      <c r="M17389" t="s">
        <v>326</v>
      </c>
      <c r="N17389" t="str">
        <f>"757338199   "</f>
        <v xml:space="preserve">757338199   </v>
      </c>
      <c r="O17389">
        <v>230911</v>
      </c>
    </row>
    <row r="17390" spans="1:15" x14ac:dyDescent="0.25">
      <c r="A17390" t="s">
        <v>16</v>
      </c>
      <c r="B17390" t="s">
        <v>3221</v>
      </c>
      <c r="C17390">
        <v>13647</v>
      </c>
      <c r="D17390" t="s">
        <v>3229</v>
      </c>
      <c r="E17390" t="s">
        <v>3230</v>
      </c>
      <c r="F17390">
        <v>2485.4</v>
      </c>
      <c r="G17390">
        <v>230930</v>
      </c>
      <c r="H17390">
        <v>4580</v>
      </c>
      <c r="I17390" t="s">
        <v>35</v>
      </c>
      <c r="J17390">
        <v>3081.9</v>
      </c>
      <c r="K17390">
        <v>596.5</v>
      </c>
      <c r="L17390">
        <v>11301</v>
      </c>
      <c r="M17390" t="s">
        <v>29</v>
      </c>
      <c r="N17390" t="str">
        <f>"757866181   "</f>
        <v xml:space="preserve">757866181   </v>
      </c>
      <c r="O17390">
        <v>231012</v>
      </c>
    </row>
    <row r="17391" spans="1:15" x14ac:dyDescent="0.25">
      <c r="A17391" t="s">
        <v>16</v>
      </c>
      <c r="B17391" t="s">
        <v>3221</v>
      </c>
      <c r="C17391">
        <v>14832</v>
      </c>
      <c r="D17391" t="s">
        <v>3229</v>
      </c>
      <c r="E17391" t="s">
        <v>3230</v>
      </c>
      <c r="F17391">
        <v>307.10000000000002</v>
      </c>
      <c r="G17391">
        <v>231031</v>
      </c>
      <c r="H17391">
        <v>4580</v>
      </c>
      <c r="I17391" t="s">
        <v>35</v>
      </c>
      <c r="J17391">
        <v>380.8</v>
      </c>
      <c r="K17391">
        <v>73.7</v>
      </c>
      <c r="L17391">
        <v>47522</v>
      </c>
      <c r="M17391" t="s">
        <v>410</v>
      </c>
      <c r="N17391" t="str">
        <f>"758412142   "</f>
        <v xml:space="preserve">758412142   </v>
      </c>
      <c r="O17391">
        <v>231106</v>
      </c>
    </row>
    <row r="17392" spans="1:15" x14ac:dyDescent="0.25">
      <c r="A17392" t="s">
        <v>16</v>
      </c>
      <c r="B17392" t="s">
        <v>3221</v>
      </c>
      <c r="C17392">
        <v>17310</v>
      </c>
      <c r="D17392" t="s">
        <v>3229</v>
      </c>
      <c r="E17392" t="s">
        <v>3230</v>
      </c>
      <c r="F17392">
        <v>1171.69</v>
      </c>
      <c r="G17392">
        <v>231130</v>
      </c>
      <c r="H17392">
        <v>4580</v>
      </c>
      <c r="I17392" t="s">
        <v>35</v>
      </c>
      <c r="J17392">
        <v>1452.9</v>
      </c>
      <c r="K17392">
        <v>281.20999999999998</v>
      </c>
      <c r="L17392">
        <v>11301</v>
      </c>
      <c r="M17392" t="s">
        <v>29</v>
      </c>
      <c r="N17392" t="str">
        <f>"758980288   "</f>
        <v xml:space="preserve">758980288   </v>
      </c>
      <c r="O17392">
        <v>231213</v>
      </c>
    </row>
    <row r="17393" spans="1:15" x14ac:dyDescent="0.25">
      <c r="A17393" t="s">
        <v>16</v>
      </c>
      <c r="B17393" t="s">
        <v>3221</v>
      </c>
      <c r="C17393">
        <v>17411</v>
      </c>
      <c r="D17393" t="s">
        <v>3229</v>
      </c>
      <c r="E17393" t="s">
        <v>3230</v>
      </c>
      <c r="F17393">
        <v>1317.34</v>
      </c>
      <c r="G17393">
        <v>231130</v>
      </c>
      <c r="H17393">
        <v>4580</v>
      </c>
      <c r="I17393" t="s">
        <v>35</v>
      </c>
      <c r="J17393">
        <v>1633.5</v>
      </c>
      <c r="K17393">
        <v>316.16000000000003</v>
      </c>
      <c r="L17393">
        <v>11801</v>
      </c>
      <c r="M17393" t="s">
        <v>92</v>
      </c>
      <c r="N17393" t="str">
        <f>"758980270   "</f>
        <v xml:space="preserve">758980270   </v>
      </c>
      <c r="O17393">
        <v>231214</v>
      </c>
    </row>
    <row r="17394" spans="1:15" x14ac:dyDescent="0.25">
      <c r="A17394" t="s">
        <v>16</v>
      </c>
      <c r="B17394" t="s">
        <v>3221</v>
      </c>
      <c r="C17394">
        <v>18806</v>
      </c>
      <c r="D17394" t="s">
        <v>3229</v>
      </c>
      <c r="E17394" t="s">
        <v>3230</v>
      </c>
      <c r="F17394">
        <v>115.41</v>
      </c>
      <c r="G17394">
        <v>231231</v>
      </c>
      <c r="H17394">
        <v>4580</v>
      </c>
      <c r="I17394" t="s">
        <v>35</v>
      </c>
      <c r="J17394">
        <v>143.11000000000001</v>
      </c>
      <c r="K17394">
        <v>27.7</v>
      </c>
      <c r="L17394">
        <v>11301</v>
      </c>
      <c r="M17394" t="s">
        <v>29</v>
      </c>
      <c r="N17394" t="str">
        <f>"759536568   "</f>
        <v xml:space="preserve">759536568   </v>
      </c>
      <c r="O17394">
        <v>240108</v>
      </c>
    </row>
    <row r="17395" spans="1:15" x14ac:dyDescent="0.25">
      <c r="A17395" t="s">
        <v>16</v>
      </c>
      <c r="B17395" t="s">
        <v>3221</v>
      </c>
      <c r="C17395">
        <v>19175</v>
      </c>
      <c r="D17395" t="s">
        <v>3229</v>
      </c>
      <c r="E17395" t="s">
        <v>3230</v>
      </c>
      <c r="F17395">
        <v>458.05</v>
      </c>
      <c r="G17395">
        <v>231231</v>
      </c>
      <c r="H17395">
        <v>4580</v>
      </c>
      <c r="I17395" t="s">
        <v>35</v>
      </c>
      <c r="J17395">
        <v>567.98</v>
      </c>
      <c r="K17395">
        <v>109.93</v>
      </c>
      <c r="L17395">
        <v>11301</v>
      </c>
      <c r="M17395" t="s">
        <v>29</v>
      </c>
      <c r="N17395" t="str">
        <f>"759536600   "</f>
        <v xml:space="preserve">759536600   </v>
      </c>
      <c r="O17395">
        <v>240129</v>
      </c>
    </row>
    <row r="17396" spans="1:15" x14ac:dyDescent="0.25">
      <c r="A17396" t="s">
        <v>16</v>
      </c>
      <c r="B17396" t="s">
        <v>3221</v>
      </c>
      <c r="C17396">
        <v>19209</v>
      </c>
      <c r="D17396" t="s">
        <v>3229</v>
      </c>
      <c r="E17396" t="s">
        <v>3230</v>
      </c>
      <c r="F17396">
        <v>425.69</v>
      </c>
      <c r="G17396">
        <v>231231</v>
      </c>
      <c r="H17396">
        <v>4580</v>
      </c>
      <c r="I17396" t="s">
        <v>35</v>
      </c>
      <c r="J17396">
        <v>425.69</v>
      </c>
      <c r="K17396">
        <v>0</v>
      </c>
      <c r="L17396">
        <v>11801</v>
      </c>
      <c r="M17396" t="s">
        <v>92</v>
      </c>
      <c r="N17396" t="str">
        <f>"759536592   "</f>
        <v xml:space="preserve">759536592   </v>
      </c>
      <c r="O17396">
        <v>240112</v>
      </c>
    </row>
    <row r="17397" spans="1:15" x14ac:dyDescent="0.25">
      <c r="A17397" t="s">
        <v>16</v>
      </c>
      <c r="B17397" t="s">
        <v>3221</v>
      </c>
      <c r="C17397">
        <v>19209</v>
      </c>
      <c r="D17397" t="s">
        <v>3229</v>
      </c>
      <c r="E17397" t="s">
        <v>3230</v>
      </c>
      <c r="F17397">
        <v>397.53</v>
      </c>
      <c r="G17397">
        <v>231231</v>
      </c>
      <c r="H17397">
        <v>4580</v>
      </c>
      <c r="I17397" t="s">
        <v>35</v>
      </c>
      <c r="J17397">
        <v>397.53</v>
      </c>
      <c r="K17397">
        <v>0</v>
      </c>
      <c r="L17397">
        <v>14622</v>
      </c>
      <c r="M17397" t="s">
        <v>1005</v>
      </c>
      <c r="N17397" t="str">
        <f>"759536592   "</f>
        <v xml:space="preserve">759536592   </v>
      </c>
      <c r="O17397">
        <v>240112</v>
      </c>
    </row>
    <row r="17398" spans="1:15" x14ac:dyDescent="0.25">
      <c r="A17398" t="s">
        <v>16</v>
      </c>
      <c r="B17398" t="s">
        <v>3221</v>
      </c>
      <c r="C17398">
        <v>19209</v>
      </c>
      <c r="D17398" t="s">
        <v>3229</v>
      </c>
      <c r="E17398" t="s">
        <v>3230</v>
      </c>
      <c r="F17398">
        <v>397.52</v>
      </c>
      <c r="G17398">
        <v>231231</v>
      </c>
      <c r="H17398">
        <v>4580</v>
      </c>
      <c r="I17398" t="s">
        <v>35</v>
      </c>
      <c r="J17398">
        <v>397.52</v>
      </c>
      <c r="K17398">
        <v>0</v>
      </c>
      <c r="L17398">
        <v>16820</v>
      </c>
      <c r="M17398" t="s">
        <v>23</v>
      </c>
      <c r="N17398" t="str">
        <f>"759536592   "</f>
        <v xml:space="preserve">759536592   </v>
      </c>
      <c r="O17398">
        <v>240112</v>
      </c>
    </row>
    <row r="17399" spans="1:15" x14ac:dyDescent="0.25">
      <c r="A17399" t="s">
        <v>16</v>
      </c>
      <c r="B17399" t="s">
        <v>3221</v>
      </c>
      <c r="C17399">
        <v>19209</v>
      </c>
      <c r="D17399" t="s">
        <v>3229</v>
      </c>
      <c r="E17399" t="s">
        <v>3230</v>
      </c>
      <c r="F17399">
        <v>397.52</v>
      </c>
      <c r="G17399">
        <v>231231</v>
      </c>
      <c r="H17399">
        <v>4580</v>
      </c>
      <c r="I17399" t="s">
        <v>35</v>
      </c>
      <c r="J17399">
        <v>397.52</v>
      </c>
      <c r="K17399">
        <v>0</v>
      </c>
      <c r="L17399">
        <v>46222</v>
      </c>
      <c r="M17399" t="s">
        <v>293</v>
      </c>
      <c r="N17399" t="str">
        <f>"759536592   "</f>
        <v xml:space="preserve">759536592   </v>
      </c>
      <c r="O17399">
        <v>240112</v>
      </c>
    </row>
    <row r="17400" spans="1:15" x14ac:dyDescent="0.25">
      <c r="A17400" t="s">
        <v>16</v>
      </c>
      <c r="B17400" t="s">
        <v>3221</v>
      </c>
      <c r="C17400">
        <v>19209</v>
      </c>
      <c r="D17400" t="s">
        <v>3229</v>
      </c>
      <c r="E17400" t="s">
        <v>3230</v>
      </c>
      <c r="F17400">
        <v>96.77</v>
      </c>
      <c r="G17400">
        <v>231231</v>
      </c>
      <c r="H17400">
        <v>4580</v>
      </c>
      <c r="I17400" t="s">
        <v>35</v>
      </c>
      <c r="J17400">
        <v>119.99</v>
      </c>
      <c r="K17400">
        <v>23.22</v>
      </c>
      <c r="L17400">
        <v>47522</v>
      </c>
      <c r="M17400" t="s">
        <v>410</v>
      </c>
      <c r="N17400" t="str">
        <f>"759536592   "</f>
        <v xml:space="preserve">759536592   </v>
      </c>
      <c r="O17400">
        <v>240112</v>
      </c>
    </row>
    <row r="17401" spans="1:15" x14ac:dyDescent="0.25">
      <c r="A17401" t="s">
        <v>16</v>
      </c>
      <c r="B17401" t="s">
        <v>3221</v>
      </c>
      <c r="C17401">
        <v>9287</v>
      </c>
      <c r="D17401" t="s">
        <v>3229</v>
      </c>
      <c r="E17401" t="s">
        <v>3230</v>
      </c>
      <c r="F17401">
        <v>6</v>
      </c>
      <c r="G17401">
        <v>230630</v>
      </c>
      <c r="H17401">
        <v>4412</v>
      </c>
      <c r="I17401" t="s">
        <v>149</v>
      </c>
      <c r="J17401">
        <v>6</v>
      </c>
      <c r="K17401">
        <v>0</v>
      </c>
      <c r="L17401">
        <v>11101</v>
      </c>
      <c r="M17401" t="s">
        <v>110</v>
      </c>
      <c r="N17401" t="str">
        <f>"756347977   "</f>
        <v xml:space="preserve">756347977   </v>
      </c>
      <c r="O17401">
        <v>230704</v>
      </c>
    </row>
    <row r="17402" spans="1:15" x14ac:dyDescent="0.25">
      <c r="A17402" t="s">
        <v>16</v>
      </c>
      <c r="B17402" t="s">
        <v>3221</v>
      </c>
      <c r="C17402">
        <v>9287</v>
      </c>
      <c r="D17402" t="s">
        <v>3229</v>
      </c>
      <c r="E17402" t="s">
        <v>3230</v>
      </c>
      <c r="F17402">
        <v>134.55000000000001</v>
      </c>
      <c r="G17402">
        <v>230630</v>
      </c>
      <c r="H17402">
        <v>4412</v>
      </c>
      <c r="I17402" t="s">
        <v>149</v>
      </c>
      <c r="J17402">
        <v>148</v>
      </c>
      <c r="K17402">
        <v>13.45</v>
      </c>
      <c r="L17402">
        <v>11101</v>
      </c>
      <c r="M17402" t="s">
        <v>110</v>
      </c>
      <c r="N17402" t="str">
        <f>"756347977   "</f>
        <v xml:space="preserve">756347977   </v>
      </c>
      <c r="O17402">
        <v>230704</v>
      </c>
    </row>
    <row r="17403" spans="1:15" x14ac:dyDescent="0.25">
      <c r="A17403" t="s">
        <v>16</v>
      </c>
      <c r="B17403" t="s">
        <v>3221</v>
      </c>
      <c r="C17403">
        <v>15079</v>
      </c>
      <c r="D17403" t="s">
        <v>3229</v>
      </c>
      <c r="E17403" t="s">
        <v>3230</v>
      </c>
      <c r="F17403">
        <v>269.35000000000002</v>
      </c>
      <c r="G17403">
        <v>231031</v>
      </c>
      <c r="H17403">
        <v>4412</v>
      </c>
      <c r="I17403" t="s">
        <v>149</v>
      </c>
      <c r="J17403">
        <v>334</v>
      </c>
      <c r="K17403">
        <v>64.650000000000006</v>
      </c>
      <c r="L17403">
        <v>11801</v>
      </c>
      <c r="M17403" t="s">
        <v>92</v>
      </c>
      <c r="N17403" t="str">
        <f>"758412175   "</f>
        <v xml:space="preserve">758412175   </v>
      </c>
      <c r="O17403">
        <v>231108</v>
      </c>
    </row>
    <row r="17404" spans="1:15" x14ac:dyDescent="0.25">
      <c r="A17404" t="s">
        <v>16</v>
      </c>
      <c r="B17404" t="s">
        <v>3221</v>
      </c>
      <c r="C17404">
        <v>3225</v>
      </c>
      <c r="D17404" t="s">
        <v>3229</v>
      </c>
      <c r="E17404" t="s">
        <v>3230</v>
      </c>
      <c r="F17404">
        <v>75.349999999999994</v>
      </c>
      <c r="G17404">
        <v>230228</v>
      </c>
      <c r="H17404">
        <v>4410</v>
      </c>
      <c r="I17404" t="s">
        <v>517</v>
      </c>
      <c r="J17404">
        <v>85.9</v>
      </c>
      <c r="K17404">
        <v>10.55</v>
      </c>
      <c r="L17404">
        <v>11001</v>
      </c>
      <c r="M17404" t="s">
        <v>326</v>
      </c>
      <c r="N17404" t="str">
        <f>"754131175   "</f>
        <v xml:space="preserve">754131175   </v>
      </c>
      <c r="O17404">
        <v>230310</v>
      </c>
    </row>
    <row r="17405" spans="1:15" x14ac:dyDescent="0.25">
      <c r="A17405" t="s">
        <v>16</v>
      </c>
      <c r="B17405" t="s">
        <v>3221</v>
      </c>
      <c r="C17405">
        <v>3225</v>
      </c>
      <c r="D17405" t="s">
        <v>3229</v>
      </c>
      <c r="E17405" t="s">
        <v>3230</v>
      </c>
      <c r="F17405">
        <v>90</v>
      </c>
      <c r="G17405">
        <v>230228</v>
      </c>
      <c r="H17405">
        <v>4410</v>
      </c>
      <c r="I17405" t="s">
        <v>517</v>
      </c>
      <c r="J17405">
        <v>90</v>
      </c>
      <c r="K17405">
        <v>0</v>
      </c>
      <c r="L17405">
        <v>11001</v>
      </c>
      <c r="M17405" t="s">
        <v>326</v>
      </c>
      <c r="N17405" t="str">
        <f>"754131175   "</f>
        <v xml:space="preserve">754131175   </v>
      </c>
      <c r="O17405">
        <v>230310</v>
      </c>
    </row>
    <row r="17406" spans="1:15" x14ac:dyDescent="0.25">
      <c r="A17406" t="s">
        <v>16</v>
      </c>
      <c r="B17406" t="s">
        <v>3221</v>
      </c>
      <c r="C17406">
        <v>3332</v>
      </c>
      <c r="D17406" t="s">
        <v>3229</v>
      </c>
      <c r="E17406" t="s">
        <v>3230</v>
      </c>
      <c r="F17406">
        <v>125.64</v>
      </c>
      <c r="G17406">
        <v>230228</v>
      </c>
      <c r="H17406">
        <v>4410</v>
      </c>
      <c r="I17406" t="s">
        <v>517</v>
      </c>
      <c r="J17406">
        <v>125.64</v>
      </c>
      <c r="K17406">
        <v>0</v>
      </c>
      <c r="L17406">
        <v>11900</v>
      </c>
      <c r="M17406" t="s">
        <v>1105</v>
      </c>
      <c r="N17406" t="str">
        <f>"754131183   "</f>
        <v xml:space="preserve">754131183   </v>
      </c>
      <c r="O17406">
        <v>230314</v>
      </c>
    </row>
    <row r="17407" spans="1:15" x14ac:dyDescent="0.25">
      <c r="A17407" t="s">
        <v>16</v>
      </c>
      <c r="B17407" t="s">
        <v>3221</v>
      </c>
      <c r="C17407">
        <v>3450</v>
      </c>
      <c r="D17407" t="s">
        <v>3229</v>
      </c>
      <c r="E17407" t="s">
        <v>3230</v>
      </c>
      <c r="F17407">
        <v>137.46</v>
      </c>
      <c r="G17407">
        <v>230228</v>
      </c>
      <c r="H17407">
        <v>4410</v>
      </c>
      <c r="I17407" t="s">
        <v>517</v>
      </c>
      <c r="J17407">
        <v>156.69999999999999</v>
      </c>
      <c r="K17407">
        <v>19.239999999999998</v>
      </c>
      <c r="L17407">
        <v>47522</v>
      </c>
      <c r="M17407" t="s">
        <v>410</v>
      </c>
      <c r="N17407" t="str">
        <f>"754131225   "</f>
        <v xml:space="preserve">754131225   </v>
      </c>
      <c r="O17407">
        <v>230316</v>
      </c>
    </row>
    <row r="17408" spans="1:15" x14ac:dyDescent="0.25">
      <c r="A17408" t="s">
        <v>16</v>
      </c>
      <c r="B17408" t="s">
        <v>3221</v>
      </c>
      <c r="C17408">
        <v>4604</v>
      </c>
      <c r="D17408" t="s">
        <v>3229</v>
      </c>
      <c r="E17408" t="s">
        <v>3230</v>
      </c>
      <c r="F17408">
        <v>115.89</v>
      </c>
      <c r="G17408">
        <v>230331</v>
      </c>
      <c r="H17408">
        <v>4410</v>
      </c>
      <c r="I17408" t="s">
        <v>517</v>
      </c>
      <c r="J17408">
        <v>132.12</v>
      </c>
      <c r="K17408">
        <v>16.23</v>
      </c>
      <c r="L17408">
        <v>47522</v>
      </c>
      <c r="M17408" t="s">
        <v>410</v>
      </c>
      <c r="N17408" t="str">
        <f>"754682458   "</f>
        <v xml:space="preserve">754682458   </v>
      </c>
      <c r="O17408">
        <v>230411</v>
      </c>
    </row>
    <row r="17409" spans="1:15" x14ac:dyDescent="0.25">
      <c r="A17409" t="s">
        <v>16</v>
      </c>
      <c r="B17409" t="s">
        <v>3221</v>
      </c>
      <c r="C17409">
        <v>4605</v>
      </c>
      <c r="D17409" t="s">
        <v>3229</v>
      </c>
      <c r="E17409" t="s">
        <v>3230</v>
      </c>
      <c r="F17409">
        <v>3.6</v>
      </c>
      <c r="G17409">
        <v>230331</v>
      </c>
      <c r="H17409">
        <v>4410</v>
      </c>
      <c r="I17409" t="s">
        <v>517</v>
      </c>
      <c r="J17409">
        <v>4.0999999999999996</v>
      </c>
      <c r="K17409">
        <v>0.5</v>
      </c>
      <c r="L17409">
        <v>13281</v>
      </c>
      <c r="M17409" t="s">
        <v>1296</v>
      </c>
      <c r="N17409" t="str">
        <f>"754682417   "</f>
        <v xml:space="preserve">754682417   </v>
      </c>
      <c r="O17409">
        <v>230411</v>
      </c>
    </row>
    <row r="17410" spans="1:15" x14ac:dyDescent="0.25">
      <c r="A17410" t="s">
        <v>16</v>
      </c>
      <c r="B17410" t="s">
        <v>3221</v>
      </c>
      <c r="C17410">
        <v>4605</v>
      </c>
      <c r="D17410" t="s">
        <v>3229</v>
      </c>
      <c r="E17410" t="s">
        <v>3230</v>
      </c>
      <c r="F17410">
        <v>27.6</v>
      </c>
      <c r="G17410">
        <v>230331</v>
      </c>
      <c r="H17410">
        <v>4410</v>
      </c>
      <c r="I17410" t="s">
        <v>517</v>
      </c>
      <c r="J17410">
        <v>31.46</v>
      </c>
      <c r="K17410">
        <v>3.86</v>
      </c>
      <c r="L17410">
        <v>13461</v>
      </c>
      <c r="M17410" t="s">
        <v>1413</v>
      </c>
      <c r="N17410" t="str">
        <f>"754682417   "</f>
        <v xml:space="preserve">754682417   </v>
      </c>
      <c r="O17410">
        <v>230411</v>
      </c>
    </row>
    <row r="17411" spans="1:15" x14ac:dyDescent="0.25">
      <c r="A17411" t="s">
        <v>16</v>
      </c>
      <c r="B17411" t="s">
        <v>3221</v>
      </c>
      <c r="C17411">
        <v>4605</v>
      </c>
      <c r="D17411" t="s">
        <v>3229</v>
      </c>
      <c r="E17411" t="s">
        <v>3230</v>
      </c>
      <c r="F17411">
        <v>27.6</v>
      </c>
      <c r="G17411">
        <v>230331</v>
      </c>
      <c r="H17411">
        <v>4410</v>
      </c>
      <c r="I17411" t="s">
        <v>517</v>
      </c>
      <c r="J17411">
        <v>31.46</v>
      </c>
      <c r="K17411">
        <v>3.86</v>
      </c>
      <c r="L17411">
        <v>13561</v>
      </c>
      <c r="M17411" t="s">
        <v>246</v>
      </c>
      <c r="N17411" t="str">
        <f>"754682417   "</f>
        <v xml:space="preserve">754682417   </v>
      </c>
      <c r="O17411">
        <v>230411</v>
      </c>
    </row>
    <row r="17412" spans="1:15" x14ac:dyDescent="0.25">
      <c r="A17412" t="s">
        <v>16</v>
      </c>
      <c r="B17412" t="s">
        <v>3221</v>
      </c>
      <c r="C17412">
        <v>4605</v>
      </c>
      <c r="D17412" t="s">
        <v>3229</v>
      </c>
      <c r="E17412" t="s">
        <v>3230</v>
      </c>
      <c r="F17412">
        <v>26.39</v>
      </c>
      <c r="G17412">
        <v>230331</v>
      </c>
      <c r="H17412">
        <v>4410</v>
      </c>
      <c r="I17412" t="s">
        <v>517</v>
      </c>
      <c r="J17412">
        <v>30.09</v>
      </c>
      <c r="K17412">
        <v>3.7</v>
      </c>
      <c r="L17412">
        <v>13661</v>
      </c>
      <c r="M17412" t="s">
        <v>247</v>
      </c>
      <c r="N17412" t="str">
        <f>"754682417   "</f>
        <v xml:space="preserve">754682417   </v>
      </c>
      <c r="O17412">
        <v>230411</v>
      </c>
    </row>
    <row r="17413" spans="1:15" x14ac:dyDescent="0.25">
      <c r="A17413" t="s">
        <v>16</v>
      </c>
      <c r="B17413" t="s">
        <v>3221</v>
      </c>
      <c r="C17413">
        <v>4605</v>
      </c>
      <c r="D17413" t="s">
        <v>3229</v>
      </c>
      <c r="E17413" t="s">
        <v>3230</v>
      </c>
      <c r="F17413">
        <v>34.82</v>
      </c>
      <c r="G17413">
        <v>230331</v>
      </c>
      <c r="H17413">
        <v>4410</v>
      </c>
      <c r="I17413" t="s">
        <v>517</v>
      </c>
      <c r="J17413">
        <v>39.69</v>
      </c>
      <c r="K17413">
        <v>4.87</v>
      </c>
      <c r="L17413">
        <v>13861</v>
      </c>
      <c r="M17413" t="s">
        <v>1143</v>
      </c>
      <c r="N17413" t="str">
        <f>"754682417   "</f>
        <v xml:space="preserve">754682417   </v>
      </c>
      <c r="O17413">
        <v>230411</v>
      </c>
    </row>
    <row r="17414" spans="1:15" x14ac:dyDescent="0.25">
      <c r="A17414" t="s">
        <v>16</v>
      </c>
      <c r="B17414" t="s">
        <v>3221</v>
      </c>
      <c r="C17414">
        <v>4808</v>
      </c>
      <c r="D17414" t="s">
        <v>3229</v>
      </c>
      <c r="E17414" t="s">
        <v>3230</v>
      </c>
      <c r="F17414">
        <v>803.2</v>
      </c>
      <c r="G17414">
        <v>230331</v>
      </c>
      <c r="H17414">
        <v>4410</v>
      </c>
      <c r="I17414" t="s">
        <v>517</v>
      </c>
      <c r="J17414">
        <v>803.2</v>
      </c>
      <c r="K17414">
        <v>0</v>
      </c>
      <c r="L17414">
        <v>13501</v>
      </c>
      <c r="M17414" t="s">
        <v>20</v>
      </c>
      <c r="N17414" t="str">
        <f>"754682425   "</f>
        <v xml:space="preserve">754682425   </v>
      </c>
      <c r="O17414">
        <v>230412</v>
      </c>
    </row>
    <row r="17415" spans="1:15" x14ac:dyDescent="0.25">
      <c r="A17415" t="s">
        <v>16</v>
      </c>
      <c r="B17415" t="s">
        <v>3221</v>
      </c>
      <c r="C17415">
        <v>5809</v>
      </c>
      <c r="D17415" t="s">
        <v>3229</v>
      </c>
      <c r="E17415" t="s">
        <v>3230</v>
      </c>
      <c r="F17415">
        <v>1.17</v>
      </c>
      <c r="G17415">
        <v>230430</v>
      </c>
      <c r="H17415">
        <v>4410</v>
      </c>
      <c r="I17415" t="s">
        <v>517</v>
      </c>
      <c r="J17415">
        <v>1.45</v>
      </c>
      <c r="K17415">
        <v>0.28000000000000003</v>
      </c>
      <c r="L17415">
        <v>47522</v>
      </c>
      <c r="M17415" t="s">
        <v>410</v>
      </c>
      <c r="N17415" t="str">
        <f>"755240819   "</f>
        <v xml:space="preserve">755240819   </v>
      </c>
      <c r="O17415">
        <v>230503</v>
      </c>
    </row>
    <row r="17416" spans="1:15" x14ac:dyDescent="0.25">
      <c r="A17416" t="s">
        <v>16</v>
      </c>
      <c r="B17416" t="s">
        <v>3221</v>
      </c>
      <c r="C17416">
        <v>5809</v>
      </c>
      <c r="D17416" t="s">
        <v>3229</v>
      </c>
      <c r="E17416" t="s">
        <v>3230</v>
      </c>
      <c r="F17416">
        <v>24.41</v>
      </c>
      <c r="G17416">
        <v>230430</v>
      </c>
      <c r="H17416">
        <v>4410</v>
      </c>
      <c r="I17416" t="s">
        <v>517</v>
      </c>
      <c r="J17416">
        <v>27.83</v>
      </c>
      <c r="K17416">
        <v>3.42</v>
      </c>
      <c r="L17416">
        <v>47522</v>
      </c>
      <c r="M17416" t="s">
        <v>410</v>
      </c>
      <c r="N17416" t="str">
        <f>"755240819   "</f>
        <v xml:space="preserve">755240819   </v>
      </c>
      <c r="O17416">
        <v>230503</v>
      </c>
    </row>
    <row r="17417" spans="1:15" x14ac:dyDescent="0.25">
      <c r="A17417" t="s">
        <v>16</v>
      </c>
      <c r="B17417" t="s">
        <v>3221</v>
      </c>
      <c r="C17417">
        <v>5809</v>
      </c>
      <c r="D17417" t="s">
        <v>3229</v>
      </c>
      <c r="E17417" t="s">
        <v>3230</v>
      </c>
      <c r="F17417">
        <v>42.11</v>
      </c>
      <c r="G17417">
        <v>230430</v>
      </c>
      <c r="H17417">
        <v>4410</v>
      </c>
      <c r="I17417" t="s">
        <v>517</v>
      </c>
      <c r="J17417">
        <v>48</v>
      </c>
      <c r="K17417">
        <v>5.89</v>
      </c>
      <c r="L17417">
        <v>47522</v>
      </c>
      <c r="M17417" t="s">
        <v>410</v>
      </c>
      <c r="N17417" t="str">
        <f>"755240819   "</f>
        <v xml:space="preserve">755240819   </v>
      </c>
      <c r="O17417">
        <v>230503</v>
      </c>
    </row>
    <row r="17418" spans="1:15" x14ac:dyDescent="0.25">
      <c r="A17418" t="s">
        <v>16</v>
      </c>
      <c r="B17418" t="s">
        <v>3221</v>
      </c>
      <c r="C17418">
        <v>5809</v>
      </c>
      <c r="D17418" t="s">
        <v>3229</v>
      </c>
      <c r="E17418" t="s">
        <v>3230</v>
      </c>
      <c r="F17418">
        <v>85.34</v>
      </c>
      <c r="G17418">
        <v>230430</v>
      </c>
      <c r="H17418">
        <v>4410</v>
      </c>
      <c r="I17418" t="s">
        <v>517</v>
      </c>
      <c r="J17418">
        <v>93.87</v>
      </c>
      <c r="K17418">
        <v>8.5299999999999994</v>
      </c>
      <c r="L17418">
        <v>47522</v>
      </c>
      <c r="M17418" t="s">
        <v>410</v>
      </c>
      <c r="N17418" t="str">
        <f>"755240819   "</f>
        <v xml:space="preserve">755240819   </v>
      </c>
      <c r="O17418">
        <v>230503</v>
      </c>
    </row>
    <row r="17419" spans="1:15" x14ac:dyDescent="0.25">
      <c r="A17419" t="s">
        <v>16</v>
      </c>
      <c r="B17419" t="s">
        <v>3221</v>
      </c>
      <c r="C17419">
        <v>5990</v>
      </c>
      <c r="D17419" t="s">
        <v>3229</v>
      </c>
      <c r="E17419" t="s">
        <v>3230</v>
      </c>
      <c r="F17419">
        <v>221.67</v>
      </c>
      <c r="G17419">
        <v>230430</v>
      </c>
      <c r="H17419">
        <v>4410</v>
      </c>
      <c r="I17419" t="s">
        <v>517</v>
      </c>
      <c r="J17419">
        <v>252.7</v>
      </c>
      <c r="K17419">
        <v>31.03</v>
      </c>
      <c r="L17419">
        <v>11905</v>
      </c>
      <c r="M17419" t="s">
        <v>39</v>
      </c>
      <c r="N17419" t="str">
        <f>"755240827   "</f>
        <v xml:space="preserve">755240827   </v>
      </c>
      <c r="O17419">
        <v>230505</v>
      </c>
    </row>
    <row r="17420" spans="1:15" x14ac:dyDescent="0.25">
      <c r="A17420" t="s">
        <v>16</v>
      </c>
      <c r="B17420" t="s">
        <v>3221</v>
      </c>
      <c r="C17420">
        <v>6426</v>
      </c>
      <c r="D17420" t="s">
        <v>3229</v>
      </c>
      <c r="E17420" t="s">
        <v>3230</v>
      </c>
      <c r="F17420">
        <v>360.79</v>
      </c>
      <c r="G17420">
        <v>230430</v>
      </c>
      <c r="H17420">
        <v>4410</v>
      </c>
      <c r="I17420" t="s">
        <v>517</v>
      </c>
      <c r="J17420">
        <v>411.3</v>
      </c>
      <c r="K17420">
        <v>50.51</v>
      </c>
      <c r="L17420">
        <v>11902</v>
      </c>
      <c r="M17420" t="s">
        <v>1443</v>
      </c>
      <c r="N17420" t="str">
        <f>"755240785   "</f>
        <v xml:space="preserve">755240785   </v>
      </c>
      <c r="O17420">
        <v>230511</v>
      </c>
    </row>
    <row r="17421" spans="1:15" x14ac:dyDescent="0.25">
      <c r="A17421" t="s">
        <v>16</v>
      </c>
      <c r="B17421" t="s">
        <v>3221</v>
      </c>
      <c r="C17421">
        <v>6427</v>
      </c>
      <c r="D17421" t="s">
        <v>3229</v>
      </c>
      <c r="E17421" t="s">
        <v>3230</v>
      </c>
      <c r="F17421">
        <v>70.260000000000005</v>
      </c>
      <c r="G17421">
        <v>230430</v>
      </c>
      <c r="H17421">
        <v>4410</v>
      </c>
      <c r="I17421" t="s">
        <v>517</v>
      </c>
      <c r="J17421">
        <v>80.099999999999994</v>
      </c>
      <c r="K17421">
        <v>9.84</v>
      </c>
      <c r="L17421">
        <v>11902</v>
      </c>
      <c r="M17421" t="s">
        <v>1443</v>
      </c>
      <c r="N17421" t="str">
        <f>"755240793   "</f>
        <v xml:space="preserve">755240793   </v>
      </c>
      <c r="O17421">
        <v>230511</v>
      </c>
    </row>
    <row r="17422" spans="1:15" x14ac:dyDescent="0.25">
      <c r="A17422" t="s">
        <v>16</v>
      </c>
      <c r="B17422" t="s">
        <v>3221</v>
      </c>
      <c r="C17422">
        <v>6427</v>
      </c>
      <c r="D17422" t="s">
        <v>3229</v>
      </c>
      <c r="E17422" t="s">
        <v>3230</v>
      </c>
      <c r="F17422">
        <v>93.95</v>
      </c>
      <c r="G17422">
        <v>230430</v>
      </c>
      <c r="H17422">
        <v>4410</v>
      </c>
      <c r="I17422" t="s">
        <v>517</v>
      </c>
      <c r="J17422">
        <v>107.1</v>
      </c>
      <c r="K17422">
        <v>13.15</v>
      </c>
      <c r="L17422">
        <v>11902</v>
      </c>
      <c r="M17422" t="s">
        <v>1443</v>
      </c>
      <c r="N17422" t="str">
        <f>"755240793   "</f>
        <v xml:space="preserve">755240793   </v>
      </c>
      <c r="O17422">
        <v>230511</v>
      </c>
    </row>
    <row r="17423" spans="1:15" x14ac:dyDescent="0.25">
      <c r="A17423" t="s">
        <v>16</v>
      </c>
      <c r="B17423" t="s">
        <v>3221</v>
      </c>
      <c r="C17423">
        <v>6427</v>
      </c>
      <c r="D17423" t="s">
        <v>3229</v>
      </c>
      <c r="E17423" t="s">
        <v>3230</v>
      </c>
      <c r="F17423">
        <v>352.19</v>
      </c>
      <c r="G17423">
        <v>230430</v>
      </c>
      <c r="H17423">
        <v>4410</v>
      </c>
      <c r="I17423" t="s">
        <v>517</v>
      </c>
      <c r="J17423">
        <v>401.5</v>
      </c>
      <c r="K17423">
        <v>49.31</v>
      </c>
      <c r="L17423">
        <v>11902</v>
      </c>
      <c r="M17423" t="s">
        <v>1443</v>
      </c>
      <c r="N17423" t="str">
        <f>"755240793   "</f>
        <v xml:space="preserve">755240793   </v>
      </c>
      <c r="O17423">
        <v>230511</v>
      </c>
    </row>
    <row r="17424" spans="1:15" x14ac:dyDescent="0.25">
      <c r="A17424" t="s">
        <v>16</v>
      </c>
      <c r="B17424" t="s">
        <v>3221</v>
      </c>
      <c r="C17424">
        <v>6427</v>
      </c>
      <c r="D17424" t="s">
        <v>3229</v>
      </c>
      <c r="E17424" t="s">
        <v>3230</v>
      </c>
      <c r="F17424">
        <v>160</v>
      </c>
      <c r="G17424">
        <v>230430</v>
      </c>
      <c r="H17424">
        <v>4410</v>
      </c>
      <c r="I17424" t="s">
        <v>517</v>
      </c>
      <c r="J17424">
        <v>176</v>
      </c>
      <c r="K17424">
        <v>16</v>
      </c>
      <c r="L17424">
        <v>11902</v>
      </c>
      <c r="M17424" t="s">
        <v>1443</v>
      </c>
      <c r="N17424" t="str">
        <f>"755240793   "</f>
        <v xml:space="preserve">755240793   </v>
      </c>
      <c r="O17424">
        <v>230511</v>
      </c>
    </row>
    <row r="17425" spans="1:15" x14ac:dyDescent="0.25">
      <c r="A17425" t="s">
        <v>16</v>
      </c>
      <c r="B17425" t="s">
        <v>3221</v>
      </c>
      <c r="C17425">
        <v>6427</v>
      </c>
      <c r="D17425" t="s">
        <v>3229</v>
      </c>
      <c r="E17425" t="s">
        <v>3230</v>
      </c>
      <c r="F17425">
        <v>800</v>
      </c>
      <c r="G17425">
        <v>230430</v>
      </c>
      <c r="H17425">
        <v>4410</v>
      </c>
      <c r="I17425" t="s">
        <v>517</v>
      </c>
      <c r="J17425">
        <v>800</v>
      </c>
      <c r="K17425">
        <v>0</v>
      </c>
      <c r="L17425">
        <v>11902</v>
      </c>
      <c r="M17425" t="s">
        <v>1443</v>
      </c>
      <c r="N17425" t="str">
        <f>"755240793   "</f>
        <v xml:space="preserve">755240793   </v>
      </c>
      <c r="O17425">
        <v>230511</v>
      </c>
    </row>
    <row r="17426" spans="1:15" x14ac:dyDescent="0.25">
      <c r="A17426" t="s">
        <v>16</v>
      </c>
      <c r="B17426" t="s">
        <v>3221</v>
      </c>
      <c r="C17426">
        <v>7945</v>
      </c>
      <c r="D17426" t="s">
        <v>3229</v>
      </c>
      <c r="E17426" t="s">
        <v>3230</v>
      </c>
      <c r="F17426">
        <v>873.86</v>
      </c>
      <c r="G17426">
        <v>230531</v>
      </c>
      <c r="H17426">
        <v>4410</v>
      </c>
      <c r="I17426" t="s">
        <v>517</v>
      </c>
      <c r="J17426">
        <v>996.2</v>
      </c>
      <c r="K17426">
        <v>122.34</v>
      </c>
      <c r="L17426">
        <v>11902</v>
      </c>
      <c r="M17426" t="s">
        <v>1443</v>
      </c>
      <c r="N17426" t="str">
        <f>"755790805   "</f>
        <v xml:space="preserve">755790805   </v>
      </c>
      <c r="O17426">
        <v>230606</v>
      </c>
    </row>
    <row r="17427" spans="1:15" x14ac:dyDescent="0.25">
      <c r="A17427" t="s">
        <v>16</v>
      </c>
      <c r="B17427" t="s">
        <v>3221</v>
      </c>
      <c r="C17427">
        <v>8239</v>
      </c>
      <c r="D17427" t="s">
        <v>3229</v>
      </c>
      <c r="E17427" t="s">
        <v>3230</v>
      </c>
      <c r="F17427">
        <v>15.35</v>
      </c>
      <c r="G17427">
        <v>230531</v>
      </c>
      <c r="H17427">
        <v>4410</v>
      </c>
      <c r="I17427" t="s">
        <v>517</v>
      </c>
      <c r="J17427">
        <v>17.5</v>
      </c>
      <c r="K17427">
        <v>2.15</v>
      </c>
      <c r="L17427">
        <v>11901</v>
      </c>
      <c r="M17427" t="s">
        <v>36</v>
      </c>
      <c r="N17427" t="str">
        <f>"755790862   "</f>
        <v xml:space="preserve">755790862   </v>
      </c>
      <c r="O17427">
        <v>230608</v>
      </c>
    </row>
    <row r="17428" spans="1:15" x14ac:dyDescent="0.25">
      <c r="A17428" t="s">
        <v>16</v>
      </c>
      <c r="B17428" t="s">
        <v>3221</v>
      </c>
      <c r="C17428">
        <v>8646</v>
      </c>
      <c r="D17428" t="s">
        <v>3229</v>
      </c>
      <c r="E17428" t="s">
        <v>3230</v>
      </c>
      <c r="F17428">
        <v>139.65</v>
      </c>
      <c r="G17428">
        <v>230531</v>
      </c>
      <c r="H17428">
        <v>4410</v>
      </c>
      <c r="I17428" t="s">
        <v>517</v>
      </c>
      <c r="J17428">
        <v>159.19999999999999</v>
      </c>
      <c r="K17428">
        <v>19.55</v>
      </c>
      <c r="L17428">
        <v>11001</v>
      </c>
      <c r="M17428" t="s">
        <v>326</v>
      </c>
      <c r="N17428" t="str">
        <f>"755790797   "</f>
        <v xml:space="preserve">755790797   </v>
      </c>
      <c r="O17428">
        <v>230613</v>
      </c>
    </row>
    <row r="17429" spans="1:15" x14ac:dyDescent="0.25">
      <c r="A17429" t="s">
        <v>16</v>
      </c>
      <c r="B17429" t="s">
        <v>3221</v>
      </c>
      <c r="C17429">
        <v>8646</v>
      </c>
      <c r="D17429" t="s">
        <v>3229</v>
      </c>
      <c r="E17429" t="s">
        <v>3230</v>
      </c>
      <c r="F17429">
        <v>192</v>
      </c>
      <c r="G17429">
        <v>230531</v>
      </c>
      <c r="H17429">
        <v>4410</v>
      </c>
      <c r="I17429" t="s">
        <v>517</v>
      </c>
      <c r="J17429">
        <v>192</v>
      </c>
      <c r="K17429">
        <v>0</v>
      </c>
      <c r="L17429">
        <v>11001</v>
      </c>
      <c r="M17429" t="s">
        <v>326</v>
      </c>
      <c r="N17429" t="str">
        <f>"755790797   "</f>
        <v xml:space="preserve">755790797   </v>
      </c>
      <c r="O17429">
        <v>230613</v>
      </c>
    </row>
    <row r="17430" spans="1:15" x14ac:dyDescent="0.25">
      <c r="A17430" t="s">
        <v>16</v>
      </c>
      <c r="B17430" t="s">
        <v>3221</v>
      </c>
      <c r="C17430">
        <v>9287</v>
      </c>
      <c r="D17430" t="s">
        <v>3229</v>
      </c>
      <c r="E17430" t="s">
        <v>3230</v>
      </c>
      <c r="F17430">
        <v>174.56</v>
      </c>
      <c r="G17430">
        <v>230630</v>
      </c>
      <c r="H17430">
        <v>4410</v>
      </c>
      <c r="I17430" t="s">
        <v>517</v>
      </c>
      <c r="J17430">
        <v>199</v>
      </c>
      <c r="K17430">
        <v>24.44</v>
      </c>
      <c r="L17430">
        <v>11101</v>
      </c>
      <c r="M17430" t="s">
        <v>110</v>
      </c>
      <c r="N17430" t="str">
        <f>"756347977   "</f>
        <v xml:space="preserve">756347977   </v>
      </c>
      <c r="O17430">
        <v>230704</v>
      </c>
    </row>
    <row r="17431" spans="1:15" x14ac:dyDescent="0.25">
      <c r="A17431" t="s">
        <v>16</v>
      </c>
      <c r="B17431" t="s">
        <v>3221</v>
      </c>
      <c r="C17431">
        <v>9301</v>
      </c>
      <c r="D17431" t="s">
        <v>3229</v>
      </c>
      <c r="E17431" t="s">
        <v>3230</v>
      </c>
      <c r="F17431">
        <v>66.84</v>
      </c>
      <c r="G17431">
        <v>230630</v>
      </c>
      <c r="H17431">
        <v>4410</v>
      </c>
      <c r="I17431" t="s">
        <v>517</v>
      </c>
      <c r="J17431">
        <v>76.2</v>
      </c>
      <c r="K17431">
        <v>9.36</v>
      </c>
      <c r="L17431">
        <v>11901</v>
      </c>
      <c r="M17431" t="s">
        <v>36</v>
      </c>
      <c r="N17431" t="str">
        <f>"756347993   "</f>
        <v xml:space="preserve">756347993   </v>
      </c>
      <c r="O17431">
        <v>230705</v>
      </c>
    </row>
    <row r="17432" spans="1:15" x14ac:dyDescent="0.25">
      <c r="A17432" t="s">
        <v>16</v>
      </c>
      <c r="B17432" t="s">
        <v>3221</v>
      </c>
      <c r="C17432">
        <v>9301</v>
      </c>
      <c r="D17432" t="s">
        <v>3229</v>
      </c>
      <c r="E17432" t="s">
        <v>3230</v>
      </c>
      <c r="F17432">
        <v>131.58000000000001</v>
      </c>
      <c r="G17432">
        <v>230630</v>
      </c>
      <c r="H17432">
        <v>4410</v>
      </c>
      <c r="I17432" t="s">
        <v>517</v>
      </c>
      <c r="J17432">
        <v>150</v>
      </c>
      <c r="K17432">
        <v>18.420000000000002</v>
      </c>
      <c r="L17432">
        <v>11908</v>
      </c>
      <c r="M17432" t="s">
        <v>598</v>
      </c>
      <c r="N17432" t="str">
        <f>"756347993   "</f>
        <v xml:space="preserve">756347993   </v>
      </c>
      <c r="O17432">
        <v>230705</v>
      </c>
    </row>
    <row r="17433" spans="1:15" x14ac:dyDescent="0.25">
      <c r="A17433" t="s">
        <v>16</v>
      </c>
      <c r="B17433" t="s">
        <v>3221</v>
      </c>
      <c r="C17433">
        <v>9366</v>
      </c>
      <c r="D17433" t="s">
        <v>3229</v>
      </c>
      <c r="E17433" t="s">
        <v>3230</v>
      </c>
      <c r="F17433">
        <v>184.35</v>
      </c>
      <c r="G17433">
        <v>230630</v>
      </c>
      <c r="H17433">
        <v>4410</v>
      </c>
      <c r="I17433" t="s">
        <v>517</v>
      </c>
      <c r="J17433">
        <v>228.6</v>
      </c>
      <c r="K17433">
        <v>44.25</v>
      </c>
      <c r="L17433">
        <v>11001</v>
      </c>
      <c r="M17433" t="s">
        <v>326</v>
      </c>
      <c r="N17433" t="str">
        <f>"756347951   "</f>
        <v xml:space="preserve">756347951   </v>
      </c>
      <c r="O17433">
        <v>230710</v>
      </c>
    </row>
    <row r="17434" spans="1:15" x14ac:dyDescent="0.25">
      <c r="A17434" t="s">
        <v>16</v>
      </c>
      <c r="B17434" t="s">
        <v>3221</v>
      </c>
      <c r="C17434">
        <v>9541</v>
      </c>
      <c r="D17434" t="s">
        <v>3229</v>
      </c>
      <c r="E17434" t="s">
        <v>3230</v>
      </c>
      <c r="F17434">
        <v>61.4</v>
      </c>
      <c r="G17434">
        <v>230630</v>
      </c>
      <c r="H17434">
        <v>4410</v>
      </c>
      <c r="I17434" t="s">
        <v>517</v>
      </c>
      <c r="J17434">
        <v>70</v>
      </c>
      <c r="K17434">
        <v>8.6</v>
      </c>
      <c r="L17434">
        <v>47522</v>
      </c>
      <c r="M17434" t="s">
        <v>410</v>
      </c>
      <c r="N17434" t="str">
        <f>"756347985   "</f>
        <v xml:space="preserve">756347985   </v>
      </c>
      <c r="O17434">
        <v>230717</v>
      </c>
    </row>
    <row r="17435" spans="1:15" x14ac:dyDescent="0.25">
      <c r="A17435" t="s">
        <v>16</v>
      </c>
      <c r="B17435" t="s">
        <v>3221</v>
      </c>
      <c r="C17435">
        <v>11846</v>
      </c>
      <c r="D17435" t="s">
        <v>3229</v>
      </c>
      <c r="E17435" t="s">
        <v>3230</v>
      </c>
      <c r="F17435">
        <v>8</v>
      </c>
      <c r="G17435">
        <v>230831</v>
      </c>
      <c r="H17435">
        <v>4410</v>
      </c>
      <c r="I17435" t="s">
        <v>517</v>
      </c>
      <c r="J17435">
        <v>8</v>
      </c>
      <c r="K17435">
        <v>0</v>
      </c>
      <c r="L17435">
        <v>11900</v>
      </c>
      <c r="M17435" t="s">
        <v>1105</v>
      </c>
      <c r="N17435" t="str">
        <f>"757338215   "</f>
        <v xml:space="preserve">757338215   </v>
      </c>
      <c r="O17435">
        <v>230911</v>
      </c>
    </row>
    <row r="17436" spans="1:15" x14ac:dyDescent="0.25">
      <c r="A17436" t="s">
        <v>16</v>
      </c>
      <c r="B17436" t="s">
        <v>3221</v>
      </c>
      <c r="C17436">
        <v>11846</v>
      </c>
      <c r="D17436" t="s">
        <v>3229</v>
      </c>
      <c r="E17436" t="s">
        <v>3230</v>
      </c>
      <c r="F17436">
        <v>59.85</v>
      </c>
      <c r="G17436">
        <v>230831</v>
      </c>
      <c r="H17436">
        <v>4410</v>
      </c>
      <c r="I17436" t="s">
        <v>517</v>
      </c>
      <c r="J17436">
        <v>65.84</v>
      </c>
      <c r="K17436">
        <v>5.99</v>
      </c>
      <c r="L17436">
        <v>11900</v>
      </c>
      <c r="M17436" t="s">
        <v>1105</v>
      </c>
      <c r="N17436" t="str">
        <f>"757338215   "</f>
        <v xml:space="preserve">757338215   </v>
      </c>
      <c r="O17436">
        <v>230911</v>
      </c>
    </row>
    <row r="17437" spans="1:15" x14ac:dyDescent="0.25">
      <c r="A17437" t="s">
        <v>16</v>
      </c>
      <c r="B17437" t="s">
        <v>3221</v>
      </c>
      <c r="C17437">
        <v>11846</v>
      </c>
      <c r="D17437" t="s">
        <v>3229</v>
      </c>
      <c r="E17437" t="s">
        <v>3230</v>
      </c>
      <c r="F17437">
        <v>32</v>
      </c>
      <c r="G17437">
        <v>230831</v>
      </c>
      <c r="H17437">
        <v>4410</v>
      </c>
      <c r="I17437" t="s">
        <v>517</v>
      </c>
      <c r="J17437">
        <v>32</v>
      </c>
      <c r="K17437">
        <v>0</v>
      </c>
      <c r="L17437">
        <v>11901</v>
      </c>
      <c r="M17437" t="s">
        <v>36</v>
      </c>
      <c r="N17437" t="str">
        <f>"757338215   "</f>
        <v xml:space="preserve">757338215   </v>
      </c>
      <c r="O17437">
        <v>230911</v>
      </c>
    </row>
    <row r="17438" spans="1:15" x14ac:dyDescent="0.25">
      <c r="A17438" t="s">
        <v>16</v>
      </c>
      <c r="B17438" t="s">
        <v>3221</v>
      </c>
      <c r="C17438">
        <v>11846</v>
      </c>
      <c r="D17438" t="s">
        <v>3229</v>
      </c>
      <c r="E17438" t="s">
        <v>3230</v>
      </c>
      <c r="F17438">
        <v>239.43</v>
      </c>
      <c r="G17438">
        <v>230831</v>
      </c>
      <c r="H17438">
        <v>4410</v>
      </c>
      <c r="I17438" t="s">
        <v>517</v>
      </c>
      <c r="J17438">
        <v>263.37</v>
      </c>
      <c r="K17438">
        <v>23.94</v>
      </c>
      <c r="L17438">
        <v>11901</v>
      </c>
      <c r="M17438" t="s">
        <v>36</v>
      </c>
      <c r="N17438" t="str">
        <f>"757338215   "</f>
        <v xml:space="preserve">757338215   </v>
      </c>
      <c r="O17438">
        <v>230911</v>
      </c>
    </row>
    <row r="17439" spans="1:15" x14ac:dyDescent="0.25">
      <c r="A17439" t="s">
        <v>16</v>
      </c>
      <c r="B17439" t="s">
        <v>3221</v>
      </c>
      <c r="C17439">
        <v>13618</v>
      </c>
      <c r="D17439" t="s">
        <v>3229</v>
      </c>
      <c r="E17439" t="s">
        <v>3230</v>
      </c>
      <c r="F17439">
        <v>130.09</v>
      </c>
      <c r="G17439">
        <v>230930</v>
      </c>
      <c r="H17439">
        <v>4410</v>
      </c>
      <c r="I17439" t="s">
        <v>517</v>
      </c>
      <c r="J17439">
        <v>148.30000000000001</v>
      </c>
      <c r="K17439">
        <v>18.21</v>
      </c>
      <c r="L17439">
        <v>11001</v>
      </c>
      <c r="M17439" t="s">
        <v>326</v>
      </c>
      <c r="N17439" t="str">
        <f>"757866116   "</f>
        <v xml:space="preserve">757866116   </v>
      </c>
      <c r="O17439">
        <v>231012</v>
      </c>
    </row>
    <row r="17440" spans="1:15" x14ac:dyDescent="0.25">
      <c r="A17440" t="s">
        <v>16</v>
      </c>
      <c r="B17440" t="s">
        <v>3221</v>
      </c>
      <c r="C17440">
        <v>13681</v>
      </c>
      <c r="D17440" t="s">
        <v>3229</v>
      </c>
      <c r="E17440" t="s">
        <v>3230</v>
      </c>
      <c r="F17440">
        <v>6</v>
      </c>
      <c r="G17440">
        <v>230930</v>
      </c>
      <c r="H17440">
        <v>4410</v>
      </c>
      <c r="I17440" t="s">
        <v>517</v>
      </c>
      <c r="J17440">
        <v>6</v>
      </c>
      <c r="K17440">
        <v>0</v>
      </c>
      <c r="L17440">
        <v>11902</v>
      </c>
      <c r="M17440" t="s">
        <v>1443</v>
      </c>
      <c r="N17440" t="str">
        <f>"757866124   "</f>
        <v xml:space="preserve">757866124   </v>
      </c>
      <c r="O17440">
        <v>231012</v>
      </c>
    </row>
    <row r="17441" spans="1:15" x14ac:dyDescent="0.25">
      <c r="A17441" t="s">
        <v>16</v>
      </c>
      <c r="B17441" t="s">
        <v>3221</v>
      </c>
      <c r="C17441">
        <v>13681</v>
      </c>
      <c r="D17441" t="s">
        <v>3229</v>
      </c>
      <c r="E17441" t="s">
        <v>3230</v>
      </c>
      <c r="F17441">
        <v>107.27</v>
      </c>
      <c r="G17441">
        <v>230930</v>
      </c>
      <c r="H17441">
        <v>4410</v>
      </c>
      <c r="I17441" t="s">
        <v>517</v>
      </c>
      <c r="J17441">
        <v>118</v>
      </c>
      <c r="K17441">
        <v>10.73</v>
      </c>
      <c r="L17441">
        <v>11902</v>
      </c>
      <c r="M17441" t="s">
        <v>1443</v>
      </c>
      <c r="N17441" t="str">
        <f>"757866124   "</f>
        <v xml:space="preserve">757866124   </v>
      </c>
      <c r="O17441">
        <v>231012</v>
      </c>
    </row>
    <row r="17442" spans="1:15" x14ac:dyDescent="0.25">
      <c r="A17442" t="s">
        <v>16</v>
      </c>
      <c r="B17442" t="s">
        <v>3221</v>
      </c>
      <c r="C17442">
        <v>15133</v>
      </c>
      <c r="D17442" t="s">
        <v>3229</v>
      </c>
      <c r="E17442" t="s">
        <v>3230</v>
      </c>
      <c r="F17442">
        <v>184.3</v>
      </c>
      <c r="G17442">
        <v>231031</v>
      </c>
      <c r="H17442">
        <v>4410</v>
      </c>
      <c r="I17442" t="s">
        <v>517</v>
      </c>
      <c r="J17442">
        <v>210.1</v>
      </c>
      <c r="K17442">
        <v>25.8</v>
      </c>
      <c r="L17442">
        <v>11901</v>
      </c>
      <c r="M17442" t="s">
        <v>36</v>
      </c>
      <c r="N17442" t="str">
        <f>"758412126   "</f>
        <v xml:space="preserve">758412126   </v>
      </c>
      <c r="O17442">
        <v>231109</v>
      </c>
    </row>
    <row r="17443" spans="1:15" x14ac:dyDescent="0.25">
      <c r="A17443" t="s">
        <v>16</v>
      </c>
      <c r="B17443" t="s">
        <v>3221</v>
      </c>
      <c r="C17443">
        <v>15134</v>
      </c>
      <c r="D17443" t="s">
        <v>3229</v>
      </c>
      <c r="E17443" t="s">
        <v>3230</v>
      </c>
      <c r="F17443">
        <v>90</v>
      </c>
      <c r="G17443">
        <v>231031</v>
      </c>
      <c r="H17443">
        <v>4410</v>
      </c>
      <c r="I17443" t="s">
        <v>517</v>
      </c>
      <c r="J17443">
        <v>90</v>
      </c>
      <c r="K17443">
        <v>0</v>
      </c>
      <c r="L17443">
        <v>11901</v>
      </c>
      <c r="M17443" t="s">
        <v>36</v>
      </c>
      <c r="N17443" t="str">
        <f>"758412167   "</f>
        <v xml:space="preserve">758412167   </v>
      </c>
      <c r="O17443">
        <v>231109</v>
      </c>
    </row>
    <row r="17444" spans="1:15" x14ac:dyDescent="0.25">
      <c r="A17444" t="s">
        <v>16</v>
      </c>
      <c r="B17444" t="s">
        <v>3221</v>
      </c>
      <c r="C17444">
        <v>15605</v>
      </c>
      <c r="D17444" t="s">
        <v>3229</v>
      </c>
      <c r="E17444" t="s">
        <v>3230</v>
      </c>
      <c r="F17444">
        <v>17.54</v>
      </c>
      <c r="G17444">
        <v>231031</v>
      </c>
      <c r="H17444">
        <v>4410</v>
      </c>
      <c r="I17444" t="s">
        <v>517</v>
      </c>
      <c r="J17444">
        <v>20</v>
      </c>
      <c r="K17444">
        <v>2.46</v>
      </c>
      <c r="L17444">
        <v>11900</v>
      </c>
      <c r="M17444" t="s">
        <v>1105</v>
      </c>
      <c r="N17444" t="str">
        <f>"758412118   "</f>
        <v xml:space="preserve">758412118   </v>
      </c>
      <c r="O17444">
        <v>231114</v>
      </c>
    </row>
    <row r="17445" spans="1:15" x14ac:dyDescent="0.25">
      <c r="A17445" t="s">
        <v>16</v>
      </c>
      <c r="B17445" t="s">
        <v>3221</v>
      </c>
      <c r="C17445">
        <v>15605</v>
      </c>
      <c r="D17445" t="s">
        <v>3229</v>
      </c>
      <c r="E17445" t="s">
        <v>3230</v>
      </c>
      <c r="F17445">
        <v>100</v>
      </c>
      <c r="G17445">
        <v>231031</v>
      </c>
      <c r="H17445">
        <v>4410</v>
      </c>
      <c r="I17445" t="s">
        <v>517</v>
      </c>
      <c r="J17445">
        <v>110</v>
      </c>
      <c r="K17445">
        <v>10</v>
      </c>
      <c r="L17445">
        <v>11900</v>
      </c>
      <c r="M17445" t="s">
        <v>1105</v>
      </c>
      <c r="N17445" t="str">
        <f>"758412118   "</f>
        <v xml:space="preserve">758412118   </v>
      </c>
      <c r="O17445">
        <v>231114</v>
      </c>
    </row>
    <row r="17446" spans="1:15" x14ac:dyDescent="0.25">
      <c r="A17446" t="s">
        <v>16</v>
      </c>
      <c r="B17446" t="s">
        <v>3221</v>
      </c>
      <c r="C17446">
        <v>15605</v>
      </c>
      <c r="D17446" t="s">
        <v>3229</v>
      </c>
      <c r="E17446" t="s">
        <v>3230</v>
      </c>
      <c r="F17446">
        <v>318.01</v>
      </c>
      <c r="G17446">
        <v>231031</v>
      </c>
      <c r="H17446">
        <v>4410</v>
      </c>
      <c r="I17446" t="s">
        <v>517</v>
      </c>
      <c r="J17446">
        <v>318.01</v>
      </c>
      <c r="K17446">
        <v>0</v>
      </c>
      <c r="L17446">
        <v>11900</v>
      </c>
      <c r="M17446" t="s">
        <v>1105</v>
      </c>
      <c r="N17446" t="str">
        <f>"758412118   "</f>
        <v xml:space="preserve">758412118   </v>
      </c>
      <c r="O17446">
        <v>231114</v>
      </c>
    </row>
    <row r="17447" spans="1:15" x14ac:dyDescent="0.25">
      <c r="A17447" t="s">
        <v>16</v>
      </c>
      <c r="B17447" t="s">
        <v>3221</v>
      </c>
      <c r="C17447">
        <v>15605</v>
      </c>
      <c r="D17447" t="s">
        <v>3229</v>
      </c>
      <c r="E17447" t="s">
        <v>3230</v>
      </c>
      <c r="F17447">
        <v>2000</v>
      </c>
      <c r="G17447">
        <v>231031</v>
      </c>
      <c r="H17447">
        <v>4410</v>
      </c>
      <c r="I17447" t="s">
        <v>517</v>
      </c>
      <c r="J17447">
        <v>2000</v>
      </c>
      <c r="K17447">
        <v>0</v>
      </c>
      <c r="L17447">
        <v>11902</v>
      </c>
      <c r="M17447" t="s">
        <v>1443</v>
      </c>
      <c r="N17447" t="str">
        <f>"758412118   "</f>
        <v xml:space="preserve">758412118   </v>
      </c>
      <c r="O17447">
        <v>231114</v>
      </c>
    </row>
    <row r="17448" spans="1:15" x14ac:dyDescent="0.25">
      <c r="A17448" t="s">
        <v>16</v>
      </c>
      <c r="B17448" t="s">
        <v>3221</v>
      </c>
      <c r="C17448">
        <v>16750</v>
      </c>
      <c r="D17448" t="s">
        <v>3229</v>
      </c>
      <c r="E17448" t="s">
        <v>3230</v>
      </c>
      <c r="F17448">
        <v>263.16000000000003</v>
      </c>
      <c r="G17448">
        <v>231130</v>
      </c>
      <c r="H17448">
        <v>4410</v>
      </c>
      <c r="I17448" t="s">
        <v>517</v>
      </c>
      <c r="J17448">
        <v>300</v>
      </c>
      <c r="K17448">
        <v>36.840000000000003</v>
      </c>
      <c r="L17448">
        <v>12982</v>
      </c>
      <c r="M17448" t="s">
        <v>1518</v>
      </c>
      <c r="N17448" t="str">
        <f>"758980239   "</f>
        <v xml:space="preserve">758980239   </v>
      </c>
      <c r="O17448">
        <v>231208</v>
      </c>
    </row>
    <row r="17449" spans="1:15" x14ac:dyDescent="0.25">
      <c r="A17449" t="s">
        <v>16</v>
      </c>
      <c r="B17449" t="s">
        <v>3221</v>
      </c>
      <c r="C17449">
        <v>17036</v>
      </c>
      <c r="D17449" t="s">
        <v>3229</v>
      </c>
      <c r="E17449" t="s">
        <v>3230</v>
      </c>
      <c r="F17449">
        <v>10.53</v>
      </c>
      <c r="G17449">
        <v>231130</v>
      </c>
      <c r="H17449">
        <v>4410</v>
      </c>
      <c r="I17449" t="s">
        <v>517</v>
      </c>
      <c r="J17449">
        <v>12</v>
      </c>
      <c r="K17449">
        <v>1.47</v>
      </c>
      <c r="L17449">
        <v>11001</v>
      </c>
      <c r="M17449" t="s">
        <v>326</v>
      </c>
      <c r="N17449" t="str">
        <f>"758980213   "</f>
        <v xml:space="preserve">758980213   </v>
      </c>
      <c r="O17449">
        <v>231212</v>
      </c>
    </row>
    <row r="17450" spans="1:15" x14ac:dyDescent="0.25">
      <c r="A17450" t="s">
        <v>16</v>
      </c>
      <c r="B17450" t="s">
        <v>3221</v>
      </c>
      <c r="C17450">
        <v>18581</v>
      </c>
      <c r="D17450" t="s">
        <v>3229</v>
      </c>
      <c r="E17450" t="s">
        <v>3230</v>
      </c>
      <c r="F17450">
        <v>395</v>
      </c>
      <c r="G17450">
        <v>231231</v>
      </c>
      <c r="H17450">
        <v>4410</v>
      </c>
      <c r="I17450" t="s">
        <v>517</v>
      </c>
      <c r="J17450">
        <v>395</v>
      </c>
      <c r="K17450">
        <v>0</v>
      </c>
      <c r="L17450">
        <v>11601</v>
      </c>
      <c r="M17450" t="s">
        <v>535</v>
      </c>
      <c r="N17450" t="str">
        <f>"759536550   "</f>
        <v xml:space="preserve">759536550   </v>
      </c>
      <c r="O17450">
        <v>240104</v>
      </c>
    </row>
    <row r="17451" spans="1:15" x14ac:dyDescent="0.25">
      <c r="A17451" t="s">
        <v>16</v>
      </c>
      <c r="B17451" t="s">
        <v>3221</v>
      </c>
      <c r="C17451">
        <v>18917</v>
      </c>
      <c r="D17451" t="s">
        <v>3229</v>
      </c>
      <c r="E17451" t="s">
        <v>3230</v>
      </c>
      <c r="F17451">
        <v>675.44</v>
      </c>
      <c r="G17451">
        <v>231231</v>
      </c>
      <c r="H17451">
        <v>4410</v>
      </c>
      <c r="I17451" t="s">
        <v>517</v>
      </c>
      <c r="J17451">
        <v>770</v>
      </c>
      <c r="K17451">
        <v>94.56</v>
      </c>
      <c r="L17451">
        <v>11605</v>
      </c>
      <c r="M17451" t="s">
        <v>106</v>
      </c>
      <c r="N17451" t="str">
        <f>"759536584   "</f>
        <v xml:space="preserve">759536584   </v>
      </c>
      <c r="O17451">
        <v>240108</v>
      </c>
    </row>
    <row r="17452" spans="1:15" x14ac:dyDescent="0.25">
      <c r="A17452" t="s">
        <v>16</v>
      </c>
      <c r="B17452" t="s">
        <v>3221</v>
      </c>
      <c r="C17452">
        <v>18917</v>
      </c>
      <c r="D17452" t="s">
        <v>3229</v>
      </c>
      <c r="E17452" t="s">
        <v>3230</v>
      </c>
      <c r="F17452">
        <v>49.12</v>
      </c>
      <c r="G17452">
        <v>231231</v>
      </c>
      <c r="H17452">
        <v>4410</v>
      </c>
      <c r="I17452" t="s">
        <v>517</v>
      </c>
      <c r="J17452">
        <v>56</v>
      </c>
      <c r="K17452">
        <v>6.88</v>
      </c>
      <c r="L17452">
        <v>11901</v>
      </c>
      <c r="M17452" t="s">
        <v>36</v>
      </c>
      <c r="N17452" t="str">
        <f>"759536584   "</f>
        <v xml:space="preserve">759536584   </v>
      </c>
      <c r="O17452">
        <v>240108</v>
      </c>
    </row>
    <row r="17453" spans="1:15" x14ac:dyDescent="0.25">
      <c r="A17453" t="s">
        <v>16</v>
      </c>
      <c r="B17453" t="s">
        <v>3221</v>
      </c>
      <c r="C17453">
        <v>19210</v>
      </c>
      <c r="D17453" t="s">
        <v>3229</v>
      </c>
      <c r="E17453" t="s">
        <v>3230</v>
      </c>
      <c r="F17453">
        <v>1485</v>
      </c>
      <c r="G17453">
        <v>231231</v>
      </c>
      <c r="H17453">
        <v>4410</v>
      </c>
      <c r="I17453" t="s">
        <v>517</v>
      </c>
      <c r="J17453">
        <v>1485</v>
      </c>
      <c r="K17453">
        <v>0</v>
      </c>
      <c r="L17453">
        <v>11902</v>
      </c>
      <c r="M17453" t="s">
        <v>1443</v>
      </c>
      <c r="N17453" t="str">
        <f>"759536543   "</f>
        <v xml:space="preserve">759536543   </v>
      </c>
      <c r="O17453">
        <v>240112</v>
      </c>
    </row>
    <row r="17454" spans="1:15" x14ac:dyDescent="0.25">
      <c r="A17454" t="s">
        <v>16</v>
      </c>
      <c r="B17454" t="s">
        <v>3221</v>
      </c>
      <c r="C17454">
        <v>19210</v>
      </c>
      <c r="D17454" t="s">
        <v>3229</v>
      </c>
      <c r="E17454" t="s">
        <v>3230</v>
      </c>
      <c r="F17454">
        <v>111.4</v>
      </c>
      <c r="G17454">
        <v>231231</v>
      </c>
      <c r="H17454">
        <v>4410</v>
      </c>
      <c r="I17454" t="s">
        <v>517</v>
      </c>
      <c r="J17454">
        <v>127</v>
      </c>
      <c r="K17454">
        <v>15.6</v>
      </c>
      <c r="L17454">
        <v>12982</v>
      </c>
      <c r="M17454" t="s">
        <v>1518</v>
      </c>
      <c r="N17454" t="str">
        <f>"759536543   "</f>
        <v xml:space="preserve">759536543   </v>
      </c>
      <c r="O17454">
        <v>240112</v>
      </c>
    </row>
    <row r="17455" spans="1:15" x14ac:dyDescent="0.25">
      <c r="A17455" t="s">
        <v>16</v>
      </c>
      <c r="B17455" t="s">
        <v>3221</v>
      </c>
      <c r="C17455">
        <v>14831</v>
      </c>
      <c r="D17455" t="s">
        <v>3229</v>
      </c>
      <c r="E17455" t="s">
        <v>3230</v>
      </c>
      <c r="F17455">
        <v>34.36</v>
      </c>
      <c r="G17455">
        <v>231031</v>
      </c>
      <c r="H17455">
        <v>4425</v>
      </c>
      <c r="I17455" t="s">
        <v>1345</v>
      </c>
      <c r="J17455">
        <v>37.799999999999997</v>
      </c>
      <c r="K17455">
        <v>3.44</v>
      </c>
      <c r="L17455">
        <v>11901</v>
      </c>
      <c r="M17455" t="s">
        <v>36</v>
      </c>
      <c r="N17455" t="str">
        <f>"758412159   "</f>
        <v xml:space="preserve">758412159   </v>
      </c>
      <c r="O17455">
        <v>231106</v>
      </c>
    </row>
    <row r="17456" spans="1:15" x14ac:dyDescent="0.25">
      <c r="A17456" t="s">
        <v>16</v>
      </c>
      <c r="B17456" t="s">
        <v>3221</v>
      </c>
      <c r="C17456">
        <v>14831</v>
      </c>
      <c r="D17456" t="s">
        <v>3229</v>
      </c>
      <c r="E17456" t="s">
        <v>3230</v>
      </c>
      <c r="F17456">
        <v>34.36</v>
      </c>
      <c r="G17456">
        <v>231031</v>
      </c>
      <c r="H17456">
        <v>4425</v>
      </c>
      <c r="I17456" t="s">
        <v>1345</v>
      </c>
      <c r="J17456">
        <v>37.799999999999997</v>
      </c>
      <c r="K17456">
        <v>3.44</v>
      </c>
      <c r="L17456">
        <v>13501</v>
      </c>
      <c r="M17456" t="s">
        <v>20</v>
      </c>
      <c r="N17456" t="str">
        <f>"758412159   "</f>
        <v xml:space="preserve">758412159   </v>
      </c>
      <c r="O17456">
        <v>231106</v>
      </c>
    </row>
    <row r="17457" spans="1:15" x14ac:dyDescent="0.25">
      <c r="A17457" t="s">
        <v>16</v>
      </c>
      <c r="B17457" t="s">
        <v>3221</v>
      </c>
      <c r="C17457">
        <v>1039</v>
      </c>
      <c r="D17457" t="s">
        <v>3229</v>
      </c>
      <c r="E17457" t="s">
        <v>3230</v>
      </c>
      <c r="F17457">
        <v>66.599999999999994</v>
      </c>
      <c r="G17457">
        <v>230131</v>
      </c>
      <c r="H17457">
        <v>4420</v>
      </c>
      <c r="I17457" t="s">
        <v>132</v>
      </c>
      <c r="J17457">
        <v>66.599999999999994</v>
      </c>
      <c r="K17457">
        <v>0</v>
      </c>
      <c r="L17457">
        <v>11901</v>
      </c>
      <c r="M17457" t="s">
        <v>36</v>
      </c>
      <c r="N17457" t="str">
        <f>"753587427   "</f>
        <v xml:space="preserve">753587427   </v>
      </c>
      <c r="O17457">
        <v>230202</v>
      </c>
    </row>
    <row r="17458" spans="1:15" x14ac:dyDescent="0.25">
      <c r="A17458" t="s">
        <v>16</v>
      </c>
      <c r="B17458" t="s">
        <v>3221</v>
      </c>
      <c r="C17458">
        <v>1191</v>
      </c>
      <c r="D17458" t="s">
        <v>3229</v>
      </c>
      <c r="E17458" t="s">
        <v>3230</v>
      </c>
      <c r="F17458">
        <v>8.65</v>
      </c>
      <c r="G17458">
        <v>230131</v>
      </c>
      <c r="H17458">
        <v>4420</v>
      </c>
      <c r="I17458" t="s">
        <v>132</v>
      </c>
      <c r="J17458">
        <v>10.72</v>
      </c>
      <c r="K17458">
        <v>2.0699999999999998</v>
      </c>
      <c r="L17458">
        <v>11101</v>
      </c>
      <c r="M17458" t="s">
        <v>110</v>
      </c>
      <c r="N17458" t="str">
        <f>"753587393   "</f>
        <v xml:space="preserve">753587393   </v>
      </c>
      <c r="O17458">
        <v>230206</v>
      </c>
    </row>
    <row r="17459" spans="1:15" x14ac:dyDescent="0.25">
      <c r="A17459" t="s">
        <v>16</v>
      </c>
      <c r="B17459" t="s">
        <v>3221</v>
      </c>
      <c r="C17459">
        <v>1668</v>
      </c>
      <c r="D17459" t="s">
        <v>3229</v>
      </c>
      <c r="E17459" t="s">
        <v>3230</v>
      </c>
      <c r="F17459">
        <v>32.590000000000003</v>
      </c>
      <c r="G17459">
        <v>230131</v>
      </c>
      <c r="H17459">
        <v>4420</v>
      </c>
      <c r="I17459" t="s">
        <v>132</v>
      </c>
      <c r="J17459">
        <v>40.409999999999997</v>
      </c>
      <c r="K17459">
        <v>7.82</v>
      </c>
      <c r="L17459">
        <v>11001</v>
      </c>
      <c r="M17459" t="s">
        <v>326</v>
      </c>
      <c r="N17459" t="str">
        <f>"753587369   "</f>
        <v xml:space="preserve">753587369   </v>
      </c>
      <c r="O17459">
        <v>230213</v>
      </c>
    </row>
    <row r="17460" spans="1:15" x14ac:dyDescent="0.25">
      <c r="A17460" t="s">
        <v>16</v>
      </c>
      <c r="B17460" t="s">
        <v>3221</v>
      </c>
      <c r="C17460">
        <v>1668</v>
      </c>
      <c r="D17460" t="s">
        <v>3229</v>
      </c>
      <c r="E17460" t="s">
        <v>3230</v>
      </c>
      <c r="F17460">
        <v>288.2</v>
      </c>
      <c r="G17460">
        <v>230131</v>
      </c>
      <c r="H17460">
        <v>4420</v>
      </c>
      <c r="I17460" t="s">
        <v>132</v>
      </c>
      <c r="J17460">
        <v>317.02</v>
      </c>
      <c r="K17460">
        <v>28.82</v>
      </c>
      <c r="L17460">
        <v>11001</v>
      </c>
      <c r="M17460" t="s">
        <v>326</v>
      </c>
      <c r="N17460" t="str">
        <f>"753587369   "</f>
        <v xml:space="preserve">753587369   </v>
      </c>
      <c r="O17460">
        <v>230213</v>
      </c>
    </row>
    <row r="17461" spans="1:15" x14ac:dyDescent="0.25">
      <c r="A17461" t="s">
        <v>16</v>
      </c>
      <c r="B17461" t="s">
        <v>3221</v>
      </c>
      <c r="C17461">
        <v>3225</v>
      </c>
      <c r="D17461" t="s">
        <v>3229</v>
      </c>
      <c r="E17461" t="s">
        <v>3230</v>
      </c>
      <c r="F17461">
        <v>38.49</v>
      </c>
      <c r="G17461">
        <v>230228</v>
      </c>
      <c r="H17461">
        <v>4420</v>
      </c>
      <c r="I17461" t="s">
        <v>132</v>
      </c>
      <c r="J17461">
        <v>47.73</v>
      </c>
      <c r="K17461">
        <v>9.24</v>
      </c>
      <c r="L17461">
        <v>11001</v>
      </c>
      <c r="M17461" t="s">
        <v>326</v>
      </c>
      <c r="N17461" t="str">
        <f>"754131175   "</f>
        <v xml:space="preserve">754131175   </v>
      </c>
      <c r="O17461">
        <v>230310</v>
      </c>
    </row>
    <row r="17462" spans="1:15" x14ac:dyDescent="0.25">
      <c r="A17462" t="s">
        <v>16</v>
      </c>
      <c r="B17462" t="s">
        <v>3221</v>
      </c>
      <c r="C17462">
        <v>3225</v>
      </c>
      <c r="D17462" t="s">
        <v>3229</v>
      </c>
      <c r="E17462" t="s">
        <v>3230</v>
      </c>
      <c r="F17462">
        <v>65.099999999999994</v>
      </c>
      <c r="G17462">
        <v>230228</v>
      </c>
      <c r="H17462">
        <v>4420</v>
      </c>
      <c r="I17462" t="s">
        <v>132</v>
      </c>
      <c r="J17462">
        <v>65.099999999999994</v>
      </c>
      <c r="K17462">
        <v>0</v>
      </c>
      <c r="L17462">
        <v>11001</v>
      </c>
      <c r="M17462" t="s">
        <v>326</v>
      </c>
      <c r="N17462" t="str">
        <f>"754131175   "</f>
        <v xml:space="preserve">754131175   </v>
      </c>
      <c r="O17462">
        <v>230310</v>
      </c>
    </row>
    <row r="17463" spans="1:15" x14ac:dyDescent="0.25">
      <c r="A17463" t="s">
        <v>16</v>
      </c>
      <c r="B17463" t="s">
        <v>3221</v>
      </c>
      <c r="C17463">
        <v>3332</v>
      </c>
      <c r="D17463" t="s">
        <v>3229</v>
      </c>
      <c r="E17463" t="s">
        <v>3230</v>
      </c>
      <c r="F17463">
        <v>247.46</v>
      </c>
      <c r="G17463">
        <v>230228</v>
      </c>
      <c r="H17463">
        <v>4420</v>
      </c>
      <c r="I17463" t="s">
        <v>132</v>
      </c>
      <c r="J17463">
        <v>247.46</v>
      </c>
      <c r="K17463">
        <v>0</v>
      </c>
      <c r="L17463">
        <v>11900</v>
      </c>
      <c r="M17463" t="s">
        <v>1105</v>
      </c>
      <c r="N17463" t="str">
        <f>"754131183   "</f>
        <v xml:space="preserve">754131183   </v>
      </c>
      <c r="O17463">
        <v>230314</v>
      </c>
    </row>
    <row r="17464" spans="1:15" x14ac:dyDescent="0.25">
      <c r="A17464" t="s">
        <v>16</v>
      </c>
      <c r="B17464" t="s">
        <v>3221</v>
      </c>
      <c r="C17464">
        <v>4605</v>
      </c>
      <c r="D17464" t="s">
        <v>3229</v>
      </c>
      <c r="E17464" t="s">
        <v>3230</v>
      </c>
      <c r="F17464">
        <v>23.08</v>
      </c>
      <c r="G17464">
        <v>230331</v>
      </c>
      <c r="H17464">
        <v>4420</v>
      </c>
      <c r="I17464" t="s">
        <v>132</v>
      </c>
      <c r="J17464">
        <v>28.62</v>
      </c>
      <c r="K17464">
        <v>5.54</v>
      </c>
      <c r="L17464">
        <v>11001</v>
      </c>
      <c r="M17464" t="s">
        <v>326</v>
      </c>
      <c r="N17464" t="str">
        <f>"754682417   "</f>
        <v xml:space="preserve">754682417   </v>
      </c>
      <c r="O17464">
        <v>230411</v>
      </c>
    </row>
    <row r="17465" spans="1:15" x14ac:dyDescent="0.25">
      <c r="A17465" t="s">
        <v>16</v>
      </c>
      <c r="B17465" t="s">
        <v>3221</v>
      </c>
      <c r="C17465">
        <v>4808</v>
      </c>
      <c r="D17465" t="s">
        <v>3229</v>
      </c>
      <c r="E17465" t="s">
        <v>3230</v>
      </c>
      <c r="F17465">
        <v>937.34</v>
      </c>
      <c r="G17465">
        <v>230331</v>
      </c>
      <c r="H17465">
        <v>4420</v>
      </c>
      <c r="I17465" t="s">
        <v>132</v>
      </c>
      <c r="J17465">
        <v>937.34</v>
      </c>
      <c r="K17465">
        <v>0</v>
      </c>
      <c r="L17465">
        <v>11902</v>
      </c>
      <c r="M17465" t="s">
        <v>1443</v>
      </c>
      <c r="N17465" t="str">
        <f>"754682425   "</f>
        <v xml:space="preserve">754682425   </v>
      </c>
      <c r="O17465">
        <v>230412</v>
      </c>
    </row>
    <row r="17466" spans="1:15" x14ac:dyDescent="0.25">
      <c r="A17466" t="s">
        <v>16</v>
      </c>
      <c r="B17466" t="s">
        <v>3221</v>
      </c>
      <c r="C17466">
        <v>4808</v>
      </c>
      <c r="D17466" t="s">
        <v>3229</v>
      </c>
      <c r="E17466" t="s">
        <v>3230</v>
      </c>
      <c r="F17466">
        <v>654.36</v>
      </c>
      <c r="G17466">
        <v>230331</v>
      </c>
      <c r="H17466">
        <v>4420</v>
      </c>
      <c r="I17466" t="s">
        <v>132</v>
      </c>
      <c r="J17466">
        <v>654.36</v>
      </c>
      <c r="K17466">
        <v>0</v>
      </c>
      <c r="L17466">
        <v>13401</v>
      </c>
      <c r="M17466" t="s">
        <v>80</v>
      </c>
      <c r="N17466" t="str">
        <f>"754682425   "</f>
        <v xml:space="preserve">754682425   </v>
      </c>
      <c r="O17466">
        <v>230412</v>
      </c>
    </row>
    <row r="17467" spans="1:15" x14ac:dyDescent="0.25">
      <c r="A17467" t="s">
        <v>16</v>
      </c>
      <c r="B17467" t="s">
        <v>3221</v>
      </c>
      <c r="C17467">
        <v>4808</v>
      </c>
      <c r="D17467" t="s">
        <v>3229</v>
      </c>
      <c r="E17467" t="s">
        <v>3230</v>
      </c>
      <c r="F17467">
        <v>762.94</v>
      </c>
      <c r="G17467">
        <v>230331</v>
      </c>
      <c r="H17467">
        <v>4420</v>
      </c>
      <c r="I17467" t="s">
        <v>132</v>
      </c>
      <c r="J17467">
        <v>762.94</v>
      </c>
      <c r="K17467">
        <v>0</v>
      </c>
      <c r="L17467">
        <v>13501</v>
      </c>
      <c r="M17467" t="s">
        <v>20</v>
      </c>
      <c r="N17467" t="str">
        <f>"754682425   "</f>
        <v xml:space="preserve">754682425   </v>
      </c>
      <c r="O17467">
        <v>230412</v>
      </c>
    </row>
    <row r="17468" spans="1:15" x14ac:dyDescent="0.25">
      <c r="A17468" t="s">
        <v>16</v>
      </c>
      <c r="B17468" t="s">
        <v>3221</v>
      </c>
      <c r="C17468">
        <v>4808</v>
      </c>
      <c r="D17468" t="s">
        <v>3229</v>
      </c>
      <c r="E17468" t="s">
        <v>3230</v>
      </c>
      <c r="F17468">
        <v>1474.84</v>
      </c>
      <c r="G17468">
        <v>230331</v>
      </c>
      <c r="H17468">
        <v>4420</v>
      </c>
      <c r="I17468" t="s">
        <v>132</v>
      </c>
      <c r="J17468">
        <v>1474.84</v>
      </c>
      <c r="K17468">
        <v>0</v>
      </c>
      <c r="L17468">
        <v>13501</v>
      </c>
      <c r="M17468" t="s">
        <v>20</v>
      </c>
      <c r="N17468" t="str">
        <f>"754682425   "</f>
        <v xml:space="preserve">754682425   </v>
      </c>
      <c r="O17468">
        <v>230412</v>
      </c>
    </row>
    <row r="17469" spans="1:15" x14ac:dyDescent="0.25">
      <c r="A17469" t="s">
        <v>16</v>
      </c>
      <c r="B17469" t="s">
        <v>3221</v>
      </c>
      <c r="C17469">
        <v>4809</v>
      </c>
      <c r="D17469" t="s">
        <v>3229</v>
      </c>
      <c r="E17469" t="s">
        <v>3230</v>
      </c>
      <c r="F17469">
        <v>48</v>
      </c>
      <c r="G17469">
        <v>230331</v>
      </c>
      <c r="H17469">
        <v>4420</v>
      </c>
      <c r="I17469" t="s">
        <v>132</v>
      </c>
      <c r="J17469">
        <v>48</v>
      </c>
      <c r="K17469">
        <v>0</v>
      </c>
      <c r="L17469">
        <v>11908</v>
      </c>
      <c r="M17469" t="s">
        <v>598</v>
      </c>
      <c r="N17469" t="str">
        <f>"754682466   "</f>
        <v xml:space="preserve">754682466   </v>
      </c>
      <c r="O17469">
        <v>230412</v>
      </c>
    </row>
    <row r="17470" spans="1:15" x14ac:dyDescent="0.25">
      <c r="A17470" t="s">
        <v>16</v>
      </c>
      <c r="B17470" t="s">
        <v>3221</v>
      </c>
      <c r="C17470">
        <v>4809</v>
      </c>
      <c r="D17470" t="s">
        <v>3229</v>
      </c>
      <c r="E17470" t="s">
        <v>3230</v>
      </c>
      <c r="F17470">
        <v>-48</v>
      </c>
      <c r="G17470">
        <v>230331</v>
      </c>
      <c r="H17470">
        <v>4420</v>
      </c>
      <c r="I17470" t="s">
        <v>132</v>
      </c>
      <c r="J17470">
        <v>-48</v>
      </c>
      <c r="K17470">
        <v>0</v>
      </c>
      <c r="L17470">
        <v>11908</v>
      </c>
      <c r="M17470" t="s">
        <v>598</v>
      </c>
      <c r="N17470" t="str">
        <f>"754682466   "</f>
        <v xml:space="preserve">754682466   </v>
      </c>
      <c r="O17470">
        <v>230412</v>
      </c>
    </row>
    <row r="17471" spans="1:15" x14ac:dyDescent="0.25">
      <c r="A17471" t="s">
        <v>16</v>
      </c>
      <c r="B17471" t="s">
        <v>3221</v>
      </c>
      <c r="C17471">
        <v>4868</v>
      </c>
      <c r="D17471" t="s">
        <v>3229</v>
      </c>
      <c r="E17471" t="s">
        <v>3230</v>
      </c>
      <c r="F17471">
        <v>5.54</v>
      </c>
      <c r="G17471">
        <v>230331</v>
      </c>
      <c r="H17471">
        <v>4420</v>
      </c>
      <c r="I17471" t="s">
        <v>132</v>
      </c>
      <c r="J17471">
        <v>6.87</v>
      </c>
      <c r="K17471">
        <v>1.33</v>
      </c>
      <c r="L17471">
        <v>11801</v>
      </c>
      <c r="M17471" t="s">
        <v>92</v>
      </c>
      <c r="N17471" t="str">
        <f>"754682482   "</f>
        <v xml:space="preserve">754682482   </v>
      </c>
      <c r="O17471">
        <v>230413</v>
      </c>
    </row>
    <row r="17472" spans="1:15" x14ac:dyDescent="0.25">
      <c r="A17472" t="s">
        <v>16</v>
      </c>
      <c r="B17472" t="s">
        <v>3221</v>
      </c>
      <c r="C17472">
        <v>5809</v>
      </c>
      <c r="D17472" t="s">
        <v>3229</v>
      </c>
      <c r="E17472" t="s">
        <v>3230</v>
      </c>
      <c r="F17472">
        <v>45.2</v>
      </c>
      <c r="G17472">
        <v>230430</v>
      </c>
      <c r="H17472">
        <v>4420</v>
      </c>
      <c r="I17472" t="s">
        <v>132</v>
      </c>
      <c r="J17472">
        <v>45.2</v>
      </c>
      <c r="K17472">
        <v>0</v>
      </c>
      <c r="L17472">
        <v>47522</v>
      </c>
      <c r="M17472" t="s">
        <v>410</v>
      </c>
      <c r="N17472" t="str">
        <f>"755240819   "</f>
        <v xml:space="preserve">755240819   </v>
      </c>
      <c r="O17472">
        <v>230503</v>
      </c>
    </row>
    <row r="17473" spans="1:15" x14ac:dyDescent="0.25">
      <c r="A17473" t="s">
        <v>16</v>
      </c>
      <c r="B17473" t="s">
        <v>3221</v>
      </c>
      <c r="C17473">
        <v>5940</v>
      </c>
      <c r="D17473" t="s">
        <v>3229</v>
      </c>
      <c r="E17473" t="s">
        <v>3230</v>
      </c>
      <c r="F17473">
        <v>14.81</v>
      </c>
      <c r="G17473">
        <v>230430</v>
      </c>
      <c r="H17473">
        <v>4420</v>
      </c>
      <c r="I17473" t="s">
        <v>132</v>
      </c>
      <c r="J17473">
        <v>18.37</v>
      </c>
      <c r="K17473">
        <v>3.56</v>
      </c>
      <c r="L17473">
        <v>11001</v>
      </c>
      <c r="M17473" t="s">
        <v>326</v>
      </c>
      <c r="N17473" t="str">
        <f>"755240769   "</f>
        <v xml:space="preserve">755240769   </v>
      </c>
      <c r="O17473">
        <v>230504</v>
      </c>
    </row>
    <row r="17474" spans="1:15" x14ac:dyDescent="0.25">
      <c r="A17474" t="s">
        <v>16</v>
      </c>
      <c r="B17474" t="s">
        <v>3221</v>
      </c>
      <c r="C17474">
        <v>5990</v>
      </c>
      <c r="D17474" t="s">
        <v>3229</v>
      </c>
      <c r="E17474" t="s">
        <v>3230</v>
      </c>
      <c r="F17474">
        <v>61.4</v>
      </c>
      <c r="G17474">
        <v>230430</v>
      </c>
      <c r="H17474">
        <v>4420</v>
      </c>
      <c r="I17474" t="s">
        <v>132</v>
      </c>
      <c r="J17474">
        <v>61.4</v>
      </c>
      <c r="K17474">
        <v>0</v>
      </c>
      <c r="L17474">
        <v>11901</v>
      </c>
      <c r="M17474" t="s">
        <v>36</v>
      </c>
      <c r="N17474" t="str">
        <f>"755240827   "</f>
        <v xml:space="preserve">755240827   </v>
      </c>
      <c r="O17474">
        <v>230505</v>
      </c>
    </row>
    <row r="17475" spans="1:15" x14ac:dyDescent="0.25">
      <c r="A17475" t="s">
        <v>16</v>
      </c>
      <c r="B17475" t="s">
        <v>3221</v>
      </c>
      <c r="C17475">
        <v>5990</v>
      </c>
      <c r="D17475" t="s">
        <v>3229</v>
      </c>
      <c r="E17475" t="s">
        <v>3230</v>
      </c>
      <c r="F17475">
        <v>29.8</v>
      </c>
      <c r="G17475">
        <v>230430</v>
      </c>
      <c r="H17475">
        <v>4420</v>
      </c>
      <c r="I17475" t="s">
        <v>132</v>
      </c>
      <c r="J17475">
        <v>29.8</v>
      </c>
      <c r="K17475">
        <v>0</v>
      </c>
      <c r="L17475">
        <v>13401</v>
      </c>
      <c r="M17475" t="s">
        <v>80</v>
      </c>
      <c r="N17475" t="str">
        <f>"755240827   "</f>
        <v xml:space="preserve">755240827   </v>
      </c>
      <c r="O17475">
        <v>230505</v>
      </c>
    </row>
    <row r="17476" spans="1:15" x14ac:dyDescent="0.25">
      <c r="A17476" t="s">
        <v>16</v>
      </c>
      <c r="B17476" t="s">
        <v>3221</v>
      </c>
      <c r="C17476">
        <v>5990</v>
      </c>
      <c r="D17476" t="s">
        <v>3229</v>
      </c>
      <c r="E17476" t="s">
        <v>3230</v>
      </c>
      <c r="F17476">
        <v>29.8</v>
      </c>
      <c r="G17476">
        <v>230430</v>
      </c>
      <c r="H17476">
        <v>4420</v>
      </c>
      <c r="I17476" t="s">
        <v>132</v>
      </c>
      <c r="J17476">
        <v>29.8</v>
      </c>
      <c r="K17476">
        <v>0</v>
      </c>
      <c r="L17476">
        <v>13501</v>
      </c>
      <c r="M17476" t="s">
        <v>20</v>
      </c>
      <c r="N17476" t="str">
        <f>"755240827   "</f>
        <v xml:space="preserve">755240827   </v>
      </c>
      <c r="O17476">
        <v>230505</v>
      </c>
    </row>
    <row r="17477" spans="1:15" x14ac:dyDescent="0.25">
      <c r="A17477" t="s">
        <v>16</v>
      </c>
      <c r="B17477" t="s">
        <v>3221</v>
      </c>
      <c r="C17477">
        <v>6426</v>
      </c>
      <c r="D17477" t="s">
        <v>3229</v>
      </c>
      <c r="E17477" t="s">
        <v>3230</v>
      </c>
      <c r="F17477">
        <v>4.84</v>
      </c>
      <c r="G17477">
        <v>230430</v>
      </c>
      <c r="H17477">
        <v>4420</v>
      </c>
      <c r="I17477" t="s">
        <v>132</v>
      </c>
      <c r="J17477">
        <v>6</v>
      </c>
      <c r="K17477">
        <v>1.1599999999999999</v>
      </c>
      <c r="L17477">
        <v>11902</v>
      </c>
      <c r="M17477" t="s">
        <v>1443</v>
      </c>
      <c r="N17477" t="str">
        <f>"755240785   "</f>
        <v xml:space="preserve">755240785   </v>
      </c>
      <c r="O17477">
        <v>230511</v>
      </c>
    </row>
    <row r="17478" spans="1:15" x14ac:dyDescent="0.25">
      <c r="A17478" t="s">
        <v>16</v>
      </c>
      <c r="B17478" t="s">
        <v>3221</v>
      </c>
      <c r="C17478">
        <v>6427</v>
      </c>
      <c r="D17478" t="s">
        <v>3229</v>
      </c>
      <c r="E17478" t="s">
        <v>3230</v>
      </c>
      <c r="F17478">
        <v>5</v>
      </c>
      <c r="G17478">
        <v>230430</v>
      </c>
      <c r="H17478">
        <v>4420</v>
      </c>
      <c r="I17478" t="s">
        <v>132</v>
      </c>
      <c r="J17478">
        <v>6.2</v>
      </c>
      <c r="K17478">
        <v>1.2</v>
      </c>
      <c r="L17478">
        <v>11902</v>
      </c>
      <c r="M17478" t="s">
        <v>1443</v>
      </c>
      <c r="N17478" t="str">
        <f>"755240793   "</f>
        <v xml:space="preserve">755240793   </v>
      </c>
      <c r="O17478">
        <v>230511</v>
      </c>
    </row>
    <row r="17479" spans="1:15" x14ac:dyDescent="0.25">
      <c r="A17479" t="s">
        <v>16</v>
      </c>
      <c r="B17479" t="s">
        <v>3221</v>
      </c>
      <c r="C17479">
        <v>6427</v>
      </c>
      <c r="D17479" t="s">
        <v>3229</v>
      </c>
      <c r="E17479" t="s">
        <v>3230</v>
      </c>
      <c r="F17479">
        <v>126.3</v>
      </c>
      <c r="G17479">
        <v>230430</v>
      </c>
      <c r="H17479">
        <v>4420</v>
      </c>
      <c r="I17479" t="s">
        <v>132</v>
      </c>
      <c r="J17479">
        <v>126.3</v>
      </c>
      <c r="K17479">
        <v>0</v>
      </c>
      <c r="L17479">
        <v>11902</v>
      </c>
      <c r="M17479" t="s">
        <v>1443</v>
      </c>
      <c r="N17479" t="str">
        <f>"755240793   "</f>
        <v xml:space="preserve">755240793   </v>
      </c>
      <c r="O17479">
        <v>230511</v>
      </c>
    </row>
    <row r="17480" spans="1:15" x14ac:dyDescent="0.25">
      <c r="A17480" t="s">
        <v>16</v>
      </c>
      <c r="B17480" t="s">
        <v>3221</v>
      </c>
      <c r="C17480">
        <v>6427</v>
      </c>
      <c r="D17480" t="s">
        <v>3229</v>
      </c>
      <c r="E17480" t="s">
        <v>3230</v>
      </c>
      <c r="F17480">
        <v>198.4</v>
      </c>
      <c r="G17480">
        <v>230430</v>
      </c>
      <c r="H17480">
        <v>4420</v>
      </c>
      <c r="I17480" t="s">
        <v>132</v>
      </c>
      <c r="J17480">
        <v>198.4</v>
      </c>
      <c r="K17480">
        <v>0</v>
      </c>
      <c r="L17480">
        <v>11902</v>
      </c>
      <c r="M17480" t="s">
        <v>1443</v>
      </c>
      <c r="N17480" t="str">
        <f>"755240793   "</f>
        <v xml:space="preserve">755240793   </v>
      </c>
      <c r="O17480">
        <v>230511</v>
      </c>
    </row>
    <row r="17481" spans="1:15" x14ac:dyDescent="0.25">
      <c r="A17481" t="s">
        <v>16</v>
      </c>
      <c r="B17481" t="s">
        <v>3221</v>
      </c>
      <c r="C17481">
        <v>7843</v>
      </c>
      <c r="D17481" t="s">
        <v>3229</v>
      </c>
      <c r="E17481" t="s">
        <v>3230</v>
      </c>
      <c r="F17481">
        <v>5.23</v>
      </c>
      <c r="G17481">
        <v>230531</v>
      </c>
      <c r="H17481">
        <v>4420</v>
      </c>
      <c r="I17481" t="s">
        <v>132</v>
      </c>
      <c r="J17481">
        <v>6.49</v>
      </c>
      <c r="K17481">
        <v>1.26</v>
      </c>
      <c r="L17481">
        <v>11101</v>
      </c>
      <c r="M17481" t="s">
        <v>110</v>
      </c>
      <c r="N17481" t="str">
        <f>"755790821   "</f>
        <v xml:space="preserve">755790821   </v>
      </c>
      <c r="O17481">
        <v>230605</v>
      </c>
    </row>
    <row r="17482" spans="1:15" x14ac:dyDescent="0.25">
      <c r="A17482" t="s">
        <v>16</v>
      </c>
      <c r="B17482" t="s">
        <v>3221</v>
      </c>
      <c r="C17482">
        <v>8646</v>
      </c>
      <c r="D17482" t="s">
        <v>3229</v>
      </c>
      <c r="E17482" t="s">
        <v>3230</v>
      </c>
      <c r="F17482">
        <v>47.47</v>
      </c>
      <c r="G17482">
        <v>230531</v>
      </c>
      <c r="H17482">
        <v>4420</v>
      </c>
      <c r="I17482" t="s">
        <v>132</v>
      </c>
      <c r="J17482">
        <v>58.86</v>
      </c>
      <c r="K17482">
        <v>11.39</v>
      </c>
      <c r="L17482">
        <v>11001</v>
      </c>
      <c r="M17482" t="s">
        <v>326</v>
      </c>
      <c r="N17482" t="str">
        <f>"755790797   "</f>
        <v xml:space="preserve">755790797   </v>
      </c>
      <c r="O17482">
        <v>230613</v>
      </c>
    </row>
    <row r="17483" spans="1:15" x14ac:dyDescent="0.25">
      <c r="A17483" t="s">
        <v>16</v>
      </c>
      <c r="B17483" t="s">
        <v>3221</v>
      </c>
      <c r="C17483">
        <v>9287</v>
      </c>
      <c r="D17483" t="s">
        <v>3229</v>
      </c>
      <c r="E17483" t="s">
        <v>3230</v>
      </c>
      <c r="F17483">
        <v>6.81</v>
      </c>
      <c r="G17483">
        <v>230630</v>
      </c>
      <c r="H17483">
        <v>4420</v>
      </c>
      <c r="I17483" t="s">
        <v>132</v>
      </c>
      <c r="J17483">
        <v>8.4499999999999993</v>
      </c>
      <c r="K17483">
        <v>1.64</v>
      </c>
      <c r="L17483">
        <v>11101</v>
      </c>
      <c r="M17483" t="s">
        <v>110</v>
      </c>
      <c r="N17483" t="str">
        <f>"756347977   "</f>
        <v xml:space="preserve">756347977   </v>
      </c>
      <c r="O17483">
        <v>230704</v>
      </c>
    </row>
    <row r="17484" spans="1:15" x14ac:dyDescent="0.25">
      <c r="A17484" t="s">
        <v>16</v>
      </c>
      <c r="B17484" t="s">
        <v>3221</v>
      </c>
      <c r="C17484">
        <v>9301</v>
      </c>
      <c r="D17484" t="s">
        <v>3229</v>
      </c>
      <c r="E17484" t="s">
        <v>3230</v>
      </c>
      <c r="F17484">
        <v>59.82</v>
      </c>
      <c r="G17484">
        <v>230630</v>
      </c>
      <c r="H17484">
        <v>4420</v>
      </c>
      <c r="I17484" t="s">
        <v>132</v>
      </c>
      <c r="J17484">
        <v>65.8</v>
      </c>
      <c r="K17484">
        <v>5.98</v>
      </c>
      <c r="L17484">
        <v>18991</v>
      </c>
      <c r="M17484" t="s">
        <v>1106</v>
      </c>
      <c r="N17484" t="str">
        <f>"756347993   "</f>
        <v xml:space="preserve">756347993   </v>
      </c>
      <c r="O17484">
        <v>230705</v>
      </c>
    </row>
    <row r="17485" spans="1:15" x14ac:dyDescent="0.25">
      <c r="A17485" t="s">
        <v>16</v>
      </c>
      <c r="B17485" t="s">
        <v>3221</v>
      </c>
      <c r="C17485">
        <v>9366</v>
      </c>
      <c r="D17485" t="s">
        <v>3229</v>
      </c>
      <c r="E17485" t="s">
        <v>3230</v>
      </c>
      <c r="F17485">
        <v>11.3</v>
      </c>
      <c r="G17485">
        <v>230630</v>
      </c>
      <c r="H17485">
        <v>4420</v>
      </c>
      <c r="I17485" t="s">
        <v>132</v>
      </c>
      <c r="J17485">
        <v>11.3</v>
      </c>
      <c r="K17485">
        <v>0</v>
      </c>
      <c r="L17485">
        <v>11001</v>
      </c>
      <c r="M17485" t="s">
        <v>326</v>
      </c>
      <c r="N17485" t="str">
        <f>"756347951   "</f>
        <v xml:space="preserve">756347951   </v>
      </c>
      <c r="O17485">
        <v>230710</v>
      </c>
    </row>
    <row r="17486" spans="1:15" x14ac:dyDescent="0.25">
      <c r="A17486" t="s">
        <v>16</v>
      </c>
      <c r="B17486" t="s">
        <v>3221</v>
      </c>
      <c r="C17486">
        <v>9366</v>
      </c>
      <c r="D17486" t="s">
        <v>3229</v>
      </c>
      <c r="E17486" t="s">
        <v>3230</v>
      </c>
      <c r="F17486">
        <v>41.53</v>
      </c>
      <c r="G17486">
        <v>230630</v>
      </c>
      <c r="H17486">
        <v>4420</v>
      </c>
      <c r="I17486" t="s">
        <v>132</v>
      </c>
      <c r="J17486">
        <v>51.5</v>
      </c>
      <c r="K17486">
        <v>9.9700000000000006</v>
      </c>
      <c r="L17486">
        <v>11001</v>
      </c>
      <c r="M17486" t="s">
        <v>326</v>
      </c>
      <c r="N17486" t="str">
        <f>"756347951   "</f>
        <v xml:space="preserve">756347951   </v>
      </c>
      <c r="O17486">
        <v>230710</v>
      </c>
    </row>
    <row r="17487" spans="1:15" x14ac:dyDescent="0.25">
      <c r="A17487" t="s">
        <v>16</v>
      </c>
      <c r="B17487" t="s">
        <v>3221</v>
      </c>
      <c r="C17487">
        <v>9541</v>
      </c>
      <c r="D17487" t="s">
        <v>3229</v>
      </c>
      <c r="E17487" t="s">
        <v>3230</v>
      </c>
      <c r="F17487">
        <v>12.82</v>
      </c>
      <c r="G17487">
        <v>230630</v>
      </c>
      <c r="H17487">
        <v>4420</v>
      </c>
      <c r="I17487" t="s">
        <v>132</v>
      </c>
      <c r="J17487">
        <v>15.9</v>
      </c>
      <c r="K17487">
        <v>3.08</v>
      </c>
      <c r="L17487">
        <v>47522</v>
      </c>
      <c r="M17487" t="s">
        <v>410</v>
      </c>
      <c r="N17487" t="str">
        <f>"756347985   "</f>
        <v xml:space="preserve">756347985   </v>
      </c>
      <c r="O17487">
        <v>230717</v>
      </c>
    </row>
    <row r="17488" spans="1:15" x14ac:dyDescent="0.25">
      <c r="A17488" t="s">
        <v>16</v>
      </c>
      <c r="B17488" t="s">
        <v>3221</v>
      </c>
      <c r="C17488">
        <v>9541</v>
      </c>
      <c r="D17488" t="s">
        <v>3229</v>
      </c>
      <c r="E17488" t="s">
        <v>3230</v>
      </c>
      <c r="F17488">
        <v>83.91</v>
      </c>
      <c r="G17488">
        <v>230630</v>
      </c>
      <c r="H17488">
        <v>4420</v>
      </c>
      <c r="I17488" t="s">
        <v>132</v>
      </c>
      <c r="J17488">
        <v>92.3</v>
      </c>
      <c r="K17488">
        <v>8.39</v>
      </c>
      <c r="L17488">
        <v>47522</v>
      </c>
      <c r="M17488" t="s">
        <v>410</v>
      </c>
      <c r="N17488" t="str">
        <f>"756347985   "</f>
        <v xml:space="preserve">756347985   </v>
      </c>
      <c r="O17488">
        <v>230717</v>
      </c>
    </row>
    <row r="17489" spans="1:15" x14ac:dyDescent="0.25">
      <c r="A17489" t="s">
        <v>16</v>
      </c>
      <c r="B17489" t="s">
        <v>3221</v>
      </c>
      <c r="C17489">
        <v>9629</v>
      </c>
      <c r="D17489" t="s">
        <v>3229</v>
      </c>
      <c r="E17489" t="s">
        <v>3230</v>
      </c>
      <c r="F17489">
        <v>11.1</v>
      </c>
      <c r="G17489">
        <v>230630</v>
      </c>
      <c r="H17489">
        <v>4420</v>
      </c>
      <c r="I17489" t="s">
        <v>132</v>
      </c>
      <c r="J17489">
        <v>13.76</v>
      </c>
      <c r="K17489">
        <v>2.66</v>
      </c>
      <c r="L17489">
        <v>11801</v>
      </c>
      <c r="M17489" t="s">
        <v>92</v>
      </c>
      <c r="N17489" t="str">
        <f>"756348017   "</f>
        <v xml:space="preserve">756348017   </v>
      </c>
      <c r="O17489">
        <v>230718</v>
      </c>
    </row>
    <row r="17490" spans="1:15" x14ac:dyDescent="0.25">
      <c r="A17490" t="s">
        <v>16</v>
      </c>
      <c r="B17490" t="s">
        <v>3221</v>
      </c>
      <c r="C17490">
        <v>10255</v>
      </c>
      <c r="D17490" t="s">
        <v>3229</v>
      </c>
      <c r="E17490" t="s">
        <v>3230</v>
      </c>
      <c r="F17490">
        <v>6.2</v>
      </c>
      <c r="G17490">
        <v>230731</v>
      </c>
      <c r="H17490">
        <v>4420</v>
      </c>
      <c r="I17490" t="s">
        <v>132</v>
      </c>
      <c r="J17490">
        <v>6.2</v>
      </c>
      <c r="K17490">
        <v>0</v>
      </c>
      <c r="L17490">
        <v>11001</v>
      </c>
      <c r="M17490" t="s">
        <v>326</v>
      </c>
      <c r="N17490" t="str">
        <f>"756863320   "</f>
        <v xml:space="preserve">756863320   </v>
      </c>
      <c r="O17490">
        <v>230814</v>
      </c>
    </row>
    <row r="17491" spans="1:15" x14ac:dyDescent="0.25">
      <c r="A17491" t="s">
        <v>16</v>
      </c>
      <c r="B17491" t="s">
        <v>3221</v>
      </c>
      <c r="C17491">
        <v>10255</v>
      </c>
      <c r="D17491" t="s">
        <v>3229</v>
      </c>
      <c r="E17491" t="s">
        <v>3230</v>
      </c>
      <c r="F17491">
        <v>16</v>
      </c>
      <c r="G17491">
        <v>230731</v>
      </c>
      <c r="H17491">
        <v>4420</v>
      </c>
      <c r="I17491" t="s">
        <v>132</v>
      </c>
      <c r="J17491">
        <v>19.84</v>
      </c>
      <c r="K17491">
        <v>3.84</v>
      </c>
      <c r="L17491">
        <v>11001</v>
      </c>
      <c r="M17491" t="s">
        <v>326</v>
      </c>
      <c r="N17491" t="str">
        <f>"756863320   "</f>
        <v xml:space="preserve">756863320   </v>
      </c>
      <c r="O17491">
        <v>230814</v>
      </c>
    </row>
    <row r="17492" spans="1:15" x14ac:dyDescent="0.25">
      <c r="A17492" t="s">
        <v>16</v>
      </c>
      <c r="B17492" t="s">
        <v>3221</v>
      </c>
      <c r="C17492">
        <v>11384</v>
      </c>
      <c r="D17492" t="s">
        <v>3229</v>
      </c>
      <c r="E17492" t="s">
        <v>3230</v>
      </c>
      <c r="F17492">
        <v>9.16</v>
      </c>
      <c r="G17492">
        <v>230831</v>
      </c>
      <c r="H17492">
        <v>4420</v>
      </c>
      <c r="I17492" t="s">
        <v>132</v>
      </c>
      <c r="J17492">
        <v>11.36</v>
      </c>
      <c r="K17492">
        <v>2.2000000000000002</v>
      </c>
      <c r="L17492">
        <v>11101</v>
      </c>
      <c r="M17492" t="s">
        <v>110</v>
      </c>
      <c r="N17492" t="str">
        <f>"757338173   "</f>
        <v xml:space="preserve">757338173   </v>
      </c>
      <c r="O17492">
        <v>230905</v>
      </c>
    </row>
    <row r="17493" spans="1:15" x14ac:dyDescent="0.25">
      <c r="A17493" t="s">
        <v>16</v>
      </c>
      <c r="B17493" t="s">
        <v>3221</v>
      </c>
      <c r="C17493">
        <v>11777</v>
      </c>
      <c r="D17493" t="s">
        <v>3229</v>
      </c>
      <c r="E17493" t="s">
        <v>3230</v>
      </c>
      <c r="F17493">
        <v>9.9</v>
      </c>
      <c r="G17493">
        <v>230831</v>
      </c>
      <c r="H17493">
        <v>4420</v>
      </c>
      <c r="I17493" t="s">
        <v>132</v>
      </c>
      <c r="J17493">
        <v>9.9</v>
      </c>
      <c r="K17493">
        <v>0</v>
      </c>
      <c r="L17493">
        <v>11001</v>
      </c>
      <c r="M17493" t="s">
        <v>326</v>
      </c>
      <c r="N17493" t="str">
        <f>"757338140   "</f>
        <v xml:space="preserve">757338140   </v>
      </c>
      <c r="O17493">
        <v>230911</v>
      </c>
    </row>
    <row r="17494" spans="1:15" x14ac:dyDescent="0.25">
      <c r="A17494" t="s">
        <v>16</v>
      </c>
      <c r="B17494" t="s">
        <v>3221</v>
      </c>
      <c r="C17494">
        <v>11777</v>
      </c>
      <c r="D17494" t="s">
        <v>3229</v>
      </c>
      <c r="E17494" t="s">
        <v>3230</v>
      </c>
      <c r="F17494">
        <v>42.25</v>
      </c>
      <c r="G17494">
        <v>230831</v>
      </c>
      <c r="H17494">
        <v>4420</v>
      </c>
      <c r="I17494" t="s">
        <v>132</v>
      </c>
      <c r="J17494">
        <v>52.39</v>
      </c>
      <c r="K17494">
        <v>10.14</v>
      </c>
      <c r="L17494">
        <v>11001</v>
      </c>
      <c r="M17494" t="s">
        <v>326</v>
      </c>
      <c r="N17494" t="str">
        <f>"757338140   "</f>
        <v xml:space="preserve">757338140   </v>
      </c>
      <c r="O17494">
        <v>230911</v>
      </c>
    </row>
    <row r="17495" spans="1:15" x14ac:dyDescent="0.25">
      <c r="A17495" t="s">
        <v>16</v>
      </c>
      <c r="B17495" t="s">
        <v>3221</v>
      </c>
      <c r="C17495">
        <v>11777</v>
      </c>
      <c r="D17495" t="s">
        <v>3229</v>
      </c>
      <c r="E17495" t="s">
        <v>3230</v>
      </c>
      <c r="F17495">
        <v>73</v>
      </c>
      <c r="G17495">
        <v>230831</v>
      </c>
      <c r="H17495">
        <v>4420</v>
      </c>
      <c r="I17495" t="s">
        <v>132</v>
      </c>
      <c r="J17495">
        <v>80.3</v>
      </c>
      <c r="K17495">
        <v>7.3</v>
      </c>
      <c r="L17495">
        <v>11001</v>
      </c>
      <c r="M17495" t="s">
        <v>326</v>
      </c>
      <c r="N17495" t="str">
        <f>"757338140   "</f>
        <v xml:space="preserve">757338140   </v>
      </c>
      <c r="O17495">
        <v>230911</v>
      </c>
    </row>
    <row r="17496" spans="1:15" x14ac:dyDescent="0.25">
      <c r="A17496" t="s">
        <v>16</v>
      </c>
      <c r="B17496" t="s">
        <v>3221</v>
      </c>
      <c r="C17496">
        <v>11845</v>
      </c>
      <c r="D17496" t="s">
        <v>3229</v>
      </c>
      <c r="E17496" t="s">
        <v>3230</v>
      </c>
      <c r="F17496">
        <v>14.27</v>
      </c>
      <c r="G17496">
        <v>230831</v>
      </c>
      <c r="H17496">
        <v>4420</v>
      </c>
      <c r="I17496" t="s">
        <v>132</v>
      </c>
      <c r="J17496">
        <v>17.7</v>
      </c>
      <c r="K17496">
        <v>3.43</v>
      </c>
      <c r="L17496">
        <v>11900</v>
      </c>
      <c r="M17496" t="s">
        <v>1105</v>
      </c>
      <c r="N17496" t="str">
        <f>"757338165   "</f>
        <v xml:space="preserve">757338165   </v>
      </c>
      <c r="O17496">
        <v>230911</v>
      </c>
    </row>
    <row r="17497" spans="1:15" x14ac:dyDescent="0.25">
      <c r="A17497" t="s">
        <v>16</v>
      </c>
      <c r="B17497" t="s">
        <v>3221</v>
      </c>
      <c r="C17497">
        <v>11845</v>
      </c>
      <c r="D17497" t="s">
        <v>3229</v>
      </c>
      <c r="E17497" t="s">
        <v>3230</v>
      </c>
      <c r="F17497">
        <v>3.23</v>
      </c>
      <c r="G17497">
        <v>230831</v>
      </c>
      <c r="H17497">
        <v>4420</v>
      </c>
      <c r="I17497" t="s">
        <v>132</v>
      </c>
      <c r="J17497">
        <v>4</v>
      </c>
      <c r="K17497">
        <v>0.77</v>
      </c>
      <c r="L17497">
        <v>12010</v>
      </c>
      <c r="M17497" t="s">
        <v>2189</v>
      </c>
      <c r="N17497" t="str">
        <f>"757338165   "</f>
        <v xml:space="preserve">757338165   </v>
      </c>
      <c r="O17497">
        <v>230911</v>
      </c>
    </row>
    <row r="17498" spans="1:15" x14ac:dyDescent="0.25">
      <c r="A17498" t="s">
        <v>16</v>
      </c>
      <c r="B17498" t="s">
        <v>3221</v>
      </c>
      <c r="C17498">
        <v>11846</v>
      </c>
      <c r="D17498" t="s">
        <v>3229</v>
      </c>
      <c r="E17498" t="s">
        <v>3230</v>
      </c>
      <c r="F17498">
        <v>88.36</v>
      </c>
      <c r="G17498">
        <v>230831</v>
      </c>
      <c r="H17498">
        <v>4420</v>
      </c>
      <c r="I17498" t="s">
        <v>132</v>
      </c>
      <c r="J17498">
        <v>97.2</v>
      </c>
      <c r="K17498">
        <v>8.84</v>
      </c>
      <c r="L17498">
        <v>11900</v>
      </c>
      <c r="M17498" t="s">
        <v>1105</v>
      </c>
      <c r="N17498" t="str">
        <f>"757338215   "</f>
        <v xml:space="preserve">757338215   </v>
      </c>
      <c r="O17498">
        <v>230911</v>
      </c>
    </row>
    <row r="17499" spans="1:15" x14ac:dyDescent="0.25">
      <c r="A17499" t="s">
        <v>16</v>
      </c>
      <c r="B17499" t="s">
        <v>3221</v>
      </c>
      <c r="C17499">
        <v>11846</v>
      </c>
      <c r="D17499" t="s">
        <v>3229</v>
      </c>
      <c r="E17499" t="s">
        <v>3230</v>
      </c>
      <c r="F17499">
        <v>460.09</v>
      </c>
      <c r="G17499">
        <v>230831</v>
      </c>
      <c r="H17499">
        <v>4420</v>
      </c>
      <c r="I17499" t="s">
        <v>132</v>
      </c>
      <c r="J17499">
        <v>506.1</v>
      </c>
      <c r="K17499">
        <v>46.01</v>
      </c>
      <c r="L17499">
        <v>11901</v>
      </c>
      <c r="M17499" t="s">
        <v>36</v>
      </c>
      <c r="N17499" t="str">
        <f>"757338215   "</f>
        <v xml:space="preserve">757338215   </v>
      </c>
      <c r="O17499">
        <v>230911</v>
      </c>
    </row>
    <row r="17500" spans="1:15" x14ac:dyDescent="0.25">
      <c r="A17500" t="s">
        <v>16</v>
      </c>
      <c r="B17500" t="s">
        <v>3221</v>
      </c>
      <c r="C17500">
        <v>11847</v>
      </c>
      <c r="D17500" t="s">
        <v>3229</v>
      </c>
      <c r="E17500" t="s">
        <v>3230</v>
      </c>
      <c r="F17500">
        <v>74.73</v>
      </c>
      <c r="G17500">
        <v>230831</v>
      </c>
      <c r="H17500">
        <v>4420</v>
      </c>
      <c r="I17500" t="s">
        <v>132</v>
      </c>
      <c r="J17500">
        <v>82.2</v>
      </c>
      <c r="K17500">
        <v>7.47</v>
      </c>
      <c r="L17500">
        <v>11901</v>
      </c>
      <c r="M17500" t="s">
        <v>36</v>
      </c>
      <c r="N17500" t="str">
        <f>"757338157   "</f>
        <v xml:space="preserve">757338157   </v>
      </c>
      <c r="O17500">
        <v>230911</v>
      </c>
    </row>
    <row r="17501" spans="1:15" x14ac:dyDescent="0.25">
      <c r="A17501" t="s">
        <v>16</v>
      </c>
      <c r="B17501" t="s">
        <v>3221</v>
      </c>
      <c r="C17501">
        <v>13458</v>
      </c>
      <c r="D17501" t="s">
        <v>3229</v>
      </c>
      <c r="E17501" t="s">
        <v>3230</v>
      </c>
      <c r="F17501">
        <v>18</v>
      </c>
      <c r="G17501">
        <v>230930</v>
      </c>
      <c r="H17501">
        <v>4420</v>
      </c>
      <c r="I17501" t="s">
        <v>132</v>
      </c>
      <c r="J17501">
        <v>19.8</v>
      </c>
      <c r="K17501">
        <v>1.8</v>
      </c>
      <c r="L17501">
        <v>11903</v>
      </c>
      <c r="M17501" t="s">
        <v>406</v>
      </c>
      <c r="N17501" t="str">
        <f>"757866165   "</f>
        <v xml:space="preserve">757866165   </v>
      </c>
      <c r="O17501">
        <v>231010</v>
      </c>
    </row>
    <row r="17502" spans="1:15" x14ac:dyDescent="0.25">
      <c r="A17502" t="s">
        <v>16</v>
      </c>
      <c r="B17502" t="s">
        <v>3221</v>
      </c>
      <c r="C17502">
        <v>13458</v>
      </c>
      <c r="D17502" t="s">
        <v>3229</v>
      </c>
      <c r="E17502" t="s">
        <v>3230</v>
      </c>
      <c r="F17502">
        <v>41.14</v>
      </c>
      <c r="G17502">
        <v>230930</v>
      </c>
      <c r="H17502">
        <v>4420</v>
      </c>
      <c r="I17502" t="s">
        <v>132</v>
      </c>
      <c r="J17502">
        <v>45.25</v>
      </c>
      <c r="K17502">
        <v>4.1100000000000003</v>
      </c>
      <c r="L17502">
        <v>13401</v>
      </c>
      <c r="M17502" t="s">
        <v>80</v>
      </c>
      <c r="N17502" t="str">
        <f>"757866165   "</f>
        <v xml:space="preserve">757866165   </v>
      </c>
      <c r="O17502">
        <v>231010</v>
      </c>
    </row>
    <row r="17503" spans="1:15" x14ac:dyDescent="0.25">
      <c r="A17503" t="s">
        <v>16</v>
      </c>
      <c r="B17503" t="s">
        <v>3221</v>
      </c>
      <c r="C17503">
        <v>13458</v>
      </c>
      <c r="D17503" t="s">
        <v>3229</v>
      </c>
      <c r="E17503" t="s">
        <v>3230</v>
      </c>
      <c r="F17503">
        <v>41.14</v>
      </c>
      <c r="G17503">
        <v>230930</v>
      </c>
      <c r="H17503">
        <v>4420</v>
      </c>
      <c r="I17503" t="s">
        <v>132</v>
      </c>
      <c r="J17503">
        <v>45.25</v>
      </c>
      <c r="K17503">
        <v>4.1100000000000003</v>
      </c>
      <c r="L17503">
        <v>13501</v>
      </c>
      <c r="M17503" t="s">
        <v>20</v>
      </c>
      <c r="N17503" t="str">
        <f>"757866165   "</f>
        <v xml:space="preserve">757866165   </v>
      </c>
      <c r="O17503">
        <v>231010</v>
      </c>
    </row>
    <row r="17504" spans="1:15" x14ac:dyDescent="0.25">
      <c r="A17504" t="s">
        <v>16</v>
      </c>
      <c r="B17504" t="s">
        <v>3221</v>
      </c>
      <c r="C17504">
        <v>13458</v>
      </c>
      <c r="D17504" t="s">
        <v>3229</v>
      </c>
      <c r="E17504" t="s">
        <v>3230</v>
      </c>
      <c r="F17504">
        <v>28</v>
      </c>
      <c r="G17504">
        <v>230930</v>
      </c>
      <c r="H17504">
        <v>4420</v>
      </c>
      <c r="I17504" t="s">
        <v>132</v>
      </c>
      <c r="J17504">
        <v>30.8</v>
      </c>
      <c r="K17504">
        <v>2.8</v>
      </c>
      <c r="L17504">
        <v>13501</v>
      </c>
      <c r="M17504" t="s">
        <v>20</v>
      </c>
      <c r="N17504" t="str">
        <f>"757866165   "</f>
        <v xml:space="preserve">757866165   </v>
      </c>
      <c r="O17504">
        <v>231010</v>
      </c>
    </row>
    <row r="17505" spans="1:15" x14ac:dyDescent="0.25">
      <c r="A17505" t="s">
        <v>16</v>
      </c>
      <c r="B17505" t="s">
        <v>3221</v>
      </c>
      <c r="C17505">
        <v>13458</v>
      </c>
      <c r="D17505" t="s">
        <v>3229</v>
      </c>
      <c r="E17505" t="s">
        <v>3230</v>
      </c>
      <c r="F17505">
        <v>38.909999999999997</v>
      </c>
      <c r="G17505">
        <v>230930</v>
      </c>
      <c r="H17505">
        <v>4420</v>
      </c>
      <c r="I17505" t="s">
        <v>132</v>
      </c>
      <c r="J17505">
        <v>42.8</v>
      </c>
      <c r="K17505">
        <v>3.89</v>
      </c>
      <c r="L17505">
        <v>18991</v>
      </c>
      <c r="M17505" t="s">
        <v>1106</v>
      </c>
      <c r="N17505" t="str">
        <f>"757866165   "</f>
        <v xml:space="preserve">757866165   </v>
      </c>
      <c r="O17505">
        <v>231010</v>
      </c>
    </row>
    <row r="17506" spans="1:15" x14ac:dyDescent="0.25">
      <c r="A17506" t="s">
        <v>16</v>
      </c>
      <c r="B17506" t="s">
        <v>3221</v>
      </c>
      <c r="C17506">
        <v>13618</v>
      </c>
      <c r="D17506" t="s">
        <v>3229</v>
      </c>
      <c r="E17506" t="s">
        <v>3230</v>
      </c>
      <c r="F17506">
        <v>39.89</v>
      </c>
      <c r="G17506">
        <v>230930</v>
      </c>
      <c r="H17506">
        <v>4420</v>
      </c>
      <c r="I17506" t="s">
        <v>132</v>
      </c>
      <c r="J17506">
        <v>49.46</v>
      </c>
      <c r="K17506">
        <v>9.57</v>
      </c>
      <c r="L17506">
        <v>11001</v>
      </c>
      <c r="M17506" t="s">
        <v>326</v>
      </c>
      <c r="N17506" t="str">
        <f>"757866116   "</f>
        <v xml:space="preserve">757866116   </v>
      </c>
      <c r="O17506">
        <v>231012</v>
      </c>
    </row>
    <row r="17507" spans="1:15" x14ac:dyDescent="0.25">
      <c r="A17507" t="s">
        <v>16</v>
      </c>
      <c r="B17507" t="s">
        <v>3221</v>
      </c>
      <c r="C17507">
        <v>13649</v>
      </c>
      <c r="D17507" t="s">
        <v>3229</v>
      </c>
      <c r="E17507" t="s">
        <v>3230</v>
      </c>
      <c r="F17507">
        <v>31.82</v>
      </c>
      <c r="G17507">
        <v>230930</v>
      </c>
      <c r="H17507">
        <v>4420</v>
      </c>
      <c r="I17507" t="s">
        <v>132</v>
      </c>
      <c r="J17507">
        <v>35</v>
      </c>
      <c r="K17507">
        <v>3.18</v>
      </c>
      <c r="L17507">
        <v>11901</v>
      </c>
      <c r="M17507" t="s">
        <v>36</v>
      </c>
      <c r="N17507" t="str">
        <f>"757866173   "</f>
        <v xml:space="preserve">757866173   </v>
      </c>
      <c r="O17507">
        <v>231012</v>
      </c>
    </row>
    <row r="17508" spans="1:15" x14ac:dyDescent="0.25">
      <c r="A17508" t="s">
        <v>16</v>
      </c>
      <c r="B17508" t="s">
        <v>3221</v>
      </c>
      <c r="C17508">
        <v>13649</v>
      </c>
      <c r="D17508" t="s">
        <v>3229</v>
      </c>
      <c r="E17508" t="s">
        <v>3230</v>
      </c>
      <c r="F17508">
        <v>201.18</v>
      </c>
      <c r="G17508">
        <v>230930</v>
      </c>
      <c r="H17508">
        <v>4420</v>
      </c>
      <c r="I17508" t="s">
        <v>132</v>
      </c>
      <c r="J17508">
        <v>221.3</v>
      </c>
      <c r="K17508">
        <v>20.12</v>
      </c>
      <c r="L17508">
        <v>11901</v>
      </c>
      <c r="M17508" t="s">
        <v>36</v>
      </c>
      <c r="N17508" t="str">
        <f>"757866173   "</f>
        <v xml:space="preserve">757866173   </v>
      </c>
      <c r="O17508">
        <v>231012</v>
      </c>
    </row>
    <row r="17509" spans="1:15" x14ac:dyDescent="0.25">
      <c r="A17509" t="s">
        <v>16</v>
      </c>
      <c r="B17509" t="s">
        <v>3221</v>
      </c>
      <c r="C17509">
        <v>14831</v>
      </c>
      <c r="D17509" t="s">
        <v>3229</v>
      </c>
      <c r="E17509" t="s">
        <v>3230</v>
      </c>
      <c r="F17509">
        <v>10</v>
      </c>
      <c r="G17509">
        <v>231031</v>
      </c>
      <c r="H17509">
        <v>4420</v>
      </c>
      <c r="I17509" t="s">
        <v>132</v>
      </c>
      <c r="J17509">
        <v>11</v>
      </c>
      <c r="K17509">
        <v>1</v>
      </c>
      <c r="L17509">
        <v>11903</v>
      </c>
      <c r="M17509" t="s">
        <v>406</v>
      </c>
      <c r="N17509" t="str">
        <f>"758412159   "</f>
        <v xml:space="preserve">758412159   </v>
      </c>
      <c r="O17509">
        <v>231106</v>
      </c>
    </row>
    <row r="17510" spans="1:15" x14ac:dyDescent="0.25">
      <c r="A17510" t="s">
        <v>16</v>
      </c>
      <c r="B17510" t="s">
        <v>3221</v>
      </c>
      <c r="C17510">
        <v>14832</v>
      </c>
      <c r="D17510" t="s">
        <v>3229</v>
      </c>
      <c r="E17510" t="s">
        <v>3230</v>
      </c>
      <c r="F17510">
        <v>36.18</v>
      </c>
      <c r="G17510">
        <v>231031</v>
      </c>
      <c r="H17510">
        <v>4420</v>
      </c>
      <c r="I17510" t="s">
        <v>132</v>
      </c>
      <c r="J17510">
        <v>39.799999999999997</v>
      </c>
      <c r="K17510">
        <v>3.62</v>
      </c>
      <c r="L17510">
        <v>47522</v>
      </c>
      <c r="M17510" t="s">
        <v>410</v>
      </c>
      <c r="N17510" t="str">
        <f>"758412142   "</f>
        <v xml:space="preserve">758412142   </v>
      </c>
      <c r="O17510">
        <v>231106</v>
      </c>
    </row>
    <row r="17511" spans="1:15" x14ac:dyDescent="0.25">
      <c r="A17511" t="s">
        <v>16</v>
      </c>
      <c r="B17511" t="s">
        <v>3221</v>
      </c>
      <c r="C17511">
        <v>14838</v>
      </c>
      <c r="D17511" t="s">
        <v>3229</v>
      </c>
      <c r="E17511" t="s">
        <v>3230</v>
      </c>
      <c r="F17511">
        <v>7.69</v>
      </c>
      <c r="G17511">
        <v>231031</v>
      </c>
      <c r="H17511">
        <v>4420</v>
      </c>
      <c r="I17511" t="s">
        <v>132</v>
      </c>
      <c r="J17511">
        <v>9.5299999999999994</v>
      </c>
      <c r="K17511">
        <v>1.84</v>
      </c>
      <c r="L17511">
        <v>11501</v>
      </c>
      <c r="M17511" t="s">
        <v>339</v>
      </c>
      <c r="N17511" t="str">
        <f>"758412134   "</f>
        <v xml:space="preserve">758412134   </v>
      </c>
      <c r="O17511">
        <v>231107</v>
      </c>
    </row>
    <row r="17512" spans="1:15" x14ac:dyDescent="0.25">
      <c r="A17512" t="s">
        <v>16</v>
      </c>
      <c r="B17512" t="s">
        <v>3221</v>
      </c>
      <c r="C17512">
        <v>15133</v>
      </c>
      <c r="D17512" t="s">
        <v>3229</v>
      </c>
      <c r="E17512" t="s">
        <v>3230</v>
      </c>
      <c r="F17512">
        <v>880</v>
      </c>
      <c r="G17512">
        <v>231031</v>
      </c>
      <c r="H17512">
        <v>4420</v>
      </c>
      <c r="I17512" t="s">
        <v>132</v>
      </c>
      <c r="J17512">
        <v>880</v>
      </c>
      <c r="K17512">
        <v>0</v>
      </c>
      <c r="L17512">
        <v>11902</v>
      </c>
      <c r="M17512" t="s">
        <v>1443</v>
      </c>
      <c r="N17512" t="str">
        <f>"758412126   "</f>
        <v xml:space="preserve">758412126   </v>
      </c>
      <c r="O17512">
        <v>231109</v>
      </c>
    </row>
    <row r="17513" spans="1:15" x14ac:dyDescent="0.25">
      <c r="A17513" t="s">
        <v>16</v>
      </c>
      <c r="B17513" t="s">
        <v>3221</v>
      </c>
      <c r="C17513">
        <v>15133</v>
      </c>
      <c r="D17513" t="s">
        <v>3229</v>
      </c>
      <c r="E17513" t="s">
        <v>3230</v>
      </c>
      <c r="F17513">
        <v>2.2599999999999998</v>
      </c>
      <c r="G17513">
        <v>231031</v>
      </c>
      <c r="H17513">
        <v>4420</v>
      </c>
      <c r="I17513" t="s">
        <v>132</v>
      </c>
      <c r="J17513">
        <v>2.8</v>
      </c>
      <c r="K17513">
        <v>0.54</v>
      </c>
      <c r="L17513">
        <v>12010</v>
      </c>
      <c r="M17513" t="s">
        <v>2189</v>
      </c>
      <c r="N17513" t="str">
        <f>"758412126   "</f>
        <v xml:space="preserve">758412126   </v>
      </c>
      <c r="O17513">
        <v>231109</v>
      </c>
    </row>
    <row r="17514" spans="1:15" x14ac:dyDescent="0.25">
      <c r="A17514" t="s">
        <v>16</v>
      </c>
      <c r="B17514" t="s">
        <v>3221</v>
      </c>
      <c r="C17514">
        <v>15134</v>
      </c>
      <c r="D17514" t="s">
        <v>3229</v>
      </c>
      <c r="E17514" t="s">
        <v>3230</v>
      </c>
      <c r="F17514">
        <v>93.64</v>
      </c>
      <c r="G17514">
        <v>231031</v>
      </c>
      <c r="H17514">
        <v>4420</v>
      </c>
      <c r="I17514" t="s">
        <v>132</v>
      </c>
      <c r="J17514">
        <v>103</v>
      </c>
      <c r="K17514">
        <v>9.36</v>
      </c>
      <c r="L17514">
        <v>11901</v>
      </c>
      <c r="M17514" t="s">
        <v>36</v>
      </c>
      <c r="N17514" t="str">
        <f>"758412167   "</f>
        <v xml:space="preserve">758412167   </v>
      </c>
      <c r="O17514">
        <v>231109</v>
      </c>
    </row>
    <row r="17515" spans="1:15" x14ac:dyDescent="0.25">
      <c r="A17515" t="s">
        <v>16</v>
      </c>
      <c r="B17515" t="s">
        <v>3221</v>
      </c>
      <c r="C17515">
        <v>15309</v>
      </c>
      <c r="D17515" t="s">
        <v>3229</v>
      </c>
      <c r="E17515" t="s">
        <v>3230</v>
      </c>
      <c r="F17515">
        <v>44.89</v>
      </c>
      <c r="G17515">
        <v>231031</v>
      </c>
      <c r="H17515">
        <v>4420</v>
      </c>
      <c r="I17515" t="s">
        <v>132</v>
      </c>
      <c r="J17515">
        <v>55.66</v>
      </c>
      <c r="K17515">
        <v>10.77</v>
      </c>
      <c r="L17515">
        <v>11001</v>
      </c>
      <c r="M17515" t="s">
        <v>326</v>
      </c>
      <c r="N17515" t="str">
        <f>"758412092   "</f>
        <v xml:space="preserve">758412092   </v>
      </c>
      <c r="O17515">
        <v>231113</v>
      </c>
    </row>
    <row r="17516" spans="1:15" x14ac:dyDescent="0.25">
      <c r="A17516" t="s">
        <v>16</v>
      </c>
      <c r="B17516" t="s">
        <v>3221</v>
      </c>
      <c r="C17516">
        <v>15605</v>
      </c>
      <c r="D17516" t="s">
        <v>3229</v>
      </c>
      <c r="E17516" t="s">
        <v>3230</v>
      </c>
      <c r="F17516">
        <v>48.71</v>
      </c>
      <c r="G17516">
        <v>231031</v>
      </c>
      <c r="H17516">
        <v>4420</v>
      </c>
      <c r="I17516" t="s">
        <v>132</v>
      </c>
      <c r="J17516">
        <v>48.71</v>
      </c>
      <c r="K17516">
        <v>0</v>
      </c>
      <c r="L17516">
        <v>11900</v>
      </c>
      <c r="M17516" t="s">
        <v>1105</v>
      </c>
      <c r="N17516" t="str">
        <f>"758412118   "</f>
        <v xml:space="preserve">758412118   </v>
      </c>
      <c r="O17516">
        <v>231114</v>
      </c>
    </row>
    <row r="17517" spans="1:15" x14ac:dyDescent="0.25">
      <c r="A17517" t="s">
        <v>16</v>
      </c>
      <c r="B17517" t="s">
        <v>3221</v>
      </c>
      <c r="C17517">
        <v>15605</v>
      </c>
      <c r="D17517" t="s">
        <v>3229</v>
      </c>
      <c r="E17517" t="s">
        <v>3230</v>
      </c>
      <c r="F17517">
        <v>60.4</v>
      </c>
      <c r="G17517">
        <v>231031</v>
      </c>
      <c r="H17517">
        <v>4420</v>
      </c>
      <c r="I17517" t="s">
        <v>132</v>
      </c>
      <c r="J17517">
        <v>60.4</v>
      </c>
      <c r="K17517">
        <v>0</v>
      </c>
      <c r="L17517">
        <v>11902</v>
      </c>
      <c r="M17517" t="s">
        <v>1443</v>
      </c>
      <c r="N17517" t="str">
        <f>"758412118   "</f>
        <v xml:space="preserve">758412118   </v>
      </c>
      <c r="O17517">
        <v>231114</v>
      </c>
    </row>
    <row r="17518" spans="1:15" x14ac:dyDescent="0.25">
      <c r="A17518" t="s">
        <v>16</v>
      </c>
      <c r="B17518" t="s">
        <v>3221</v>
      </c>
      <c r="C17518">
        <v>16637</v>
      </c>
      <c r="D17518" t="s">
        <v>3229</v>
      </c>
      <c r="E17518" t="s">
        <v>3230</v>
      </c>
      <c r="F17518">
        <v>5.58</v>
      </c>
      <c r="G17518">
        <v>231130</v>
      </c>
      <c r="H17518">
        <v>4420</v>
      </c>
      <c r="I17518" t="s">
        <v>132</v>
      </c>
      <c r="J17518">
        <v>6.92</v>
      </c>
      <c r="K17518">
        <v>1.34</v>
      </c>
      <c r="L17518">
        <v>11101</v>
      </c>
      <c r="M17518" t="s">
        <v>110</v>
      </c>
      <c r="N17518" t="str">
        <f>"758980247   "</f>
        <v xml:space="preserve">758980247   </v>
      </c>
      <c r="O17518">
        <v>231205</v>
      </c>
    </row>
    <row r="17519" spans="1:15" x14ac:dyDescent="0.25">
      <c r="A17519" t="s">
        <v>16</v>
      </c>
      <c r="B17519" t="s">
        <v>3221</v>
      </c>
      <c r="C17519">
        <v>16750</v>
      </c>
      <c r="D17519" t="s">
        <v>3229</v>
      </c>
      <c r="E17519" t="s">
        <v>3230</v>
      </c>
      <c r="F17519">
        <v>3.23</v>
      </c>
      <c r="G17519">
        <v>231130</v>
      </c>
      <c r="H17519">
        <v>4420</v>
      </c>
      <c r="I17519" t="s">
        <v>132</v>
      </c>
      <c r="J17519">
        <v>4</v>
      </c>
      <c r="K17519">
        <v>0.77</v>
      </c>
      <c r="L17519">
        <v>12010</v>
      </c>
      <c r="M17519" t="s">
        <v>2189</v>
      </c>
      <c r="N17519" t="str">
        <f>"758980239   "</f>
        <v xml:space="preserve">758980239   </v>
      </c>
      <c r="O17519">
        <v>231208</v>
      </c>
    </row>
    <row r="17520" spans="1:15" x14ac:dyDescent="0.25">
      <c r="A17520" t="s">
        <v>16</v>
      </c>
      <c r="B17520" t="s">
        <v>3221</v>
      </c>
      <c r="C17520">
        <v>17036</v>
      </c>
      <c r="D17520" t="s">
        <v>3229</v>
      </c>
      <c r="E17520" t="s">
        <v>3230</v>
      </c>
      <c r="F17520">
        <v>37.6</v>
      </c>
      <c r="G17520">
        <v>231130</v>
      </c>
      <c r="H17520">
        <v>4420</v>
      </c>
      <c r="I17520" t="s">
        <v>132</v>
      </c>
      <c r="J17520">
        <v>46.63</v>
      </c>
      <c r="K17520">
        <v>9.0299999999999994</v>
      </c>
      <c r="L17520">
        <v>11001</v>
      </c>
      <c r="M17520" t="s">
        <v>326</v>
      </c>
      <c r="N17520" t="str">
        <f>"758980213   "</f>
        <v xml:space="preserve">758980213   </v>
      </c>
      <c r="O17520">
        <v>231212</v>
      </c>
    </row>
    <row r="17521" spans="1:15" x14ac:dyDescent="0.25">
      <c r="A17521" t="s">
        <v>16</v>
      </c>
      <c r="B17521" t="s">
        <v>3221</v>
      </c>
      <c r="C17521">
        <v>17409</v>
      </c>
      <c r="D17521" t="s">
        <v>3229</v>
      </c>
      <c r="E17521" t="s">
        <v>3230</v>
      </c>
      <c r="F17521">
        <v>50.69</v>
      </c>
      <c r="G17521">
        <v>231130</v>
      </c>
      <c r="H17521">
        <v>4420</v>
      </c>
      <c r="I17521" t="s">
        <v>132</v>
      </c>
      <c r="J17521">
        <v>50.69</v>
      </c>
      <c r="K17521">
        <v>0</v>
      </c>
      <c r="L17521">
        <v>11902</v>
      </c>
      <c r="M17521" t="s">
        <v>1443</v>
      </c>
      <c r="N17521" t="str">
        <f>"758980221   "</f>
        <v xml:space="preserve">758980221   </v>
      </c>
      <c r="O17521">
        <v>231214</v>
      </c>
    </row>
    <row r="17522" spans="1:15" x14ac:dyDescent="0.25">
      <c r="A17522" t="s">
        <v>16</v>
      </c>
      <c r="B17522" t="s">
        <v>3221</v>
      </c>
      <c r="C17522">
        <v>17411</v>
      </c>
      <c r="D17522" t="s">
        <v>3229</v>
      </c>
      <c r="E17522" t="s">
        <v>3230</v>
      </c>
      <c r="F17522">
        <v>1.32</v>
      </c>
      <c r="G17522">
        <v>231130</v>
      </c>
      <c r="H17522">
        <v>4420</v>
      </c>
      <c r="I17522" t="s">
        <v>132</v>
      </c>
      <c r="J17522">
        <v>1.64</v>
      </c>
      <c r="K17522">
        <v>0.32</v>
      </c>
      <c r="L17522">
        <v>11801</v>
      </c>
      <c r="M17522" t="s">
        <v>92</v>
      </c>
      <c r="N17522" t="str">
        <f>"758980270   "</f>
        <v xml:space="preserve">758980270   </v>
      </c>
      <c r="O17522">
        <v>231214</v>
      </c>
    </row>
    <row r="17523" spans="1:15" x14ac:dyDescent="0.25">
      <c r="A17523" t="s">
        <v>16</v>
      </c>
      <c r="B17523" t="s">
        <v>3221</v>
      </c>
      <c r="C17523">
        <v>18728</v>
      </c>
      <c r="D17523" t="s">
        <v>3229</v>
      </c>
      <c r="E17523" t="s">
        <v>3230</v>
      </c>
      <c r="F17523">
        <v>23.44</v>
      </c>
      <c r="G17523">
        <v>231231</v>
      </c>
      <c r="H17523">
        <v>4420</v>
      </c>
      <c r="I17523" t="s">
        <v>132</v>
      </c>
      <c r="J17523">
        <v>29.07</v>
      </c>
      <c r="K17523">
        <v>5.63</v>
      </c>
      <c r="L17523">
        <v>11001</v>
      </c>
      <c r="M17523" t="s">
        <v>326</v>
      </c>
      <c r="N17523" t="str">
        <f>"759536527   "</f>
        <v xml:space="preserve">759536527   </v>
      </c>
      <c r="O17523">
        <v>240105</v>
      </c>
    </row>
    <row r="17524" spans="1:15" x14ac:dyDescent="0.25">
      <c r="A17524" t="s">
        <v>16</v>
      </c>
      <c r="B17524" t="s">
        <v>3221</v>
      </c>
      <c r="C17524">
        <v>18917</v>
      </c>
      <c r="D17524" t="s">
        <v>3229</v>
      </c>
      <c r="E17524" t="s">
        <v>3230</v>
      </c>
      <c r="F17524">
        <v>23.55</v>
      </c>
      <c r="G17524">
        <v>231231</v>
      </c>
      <c r="H17524">
        <v>4420</v>
      </c>
      <c r="I17524" t="s">
        <v>132</v>
      </c>
      <c r="J17524">
        <v>25.9</v>
      </c>
      <c r="K17524">
        <v>2.35</v>
      </c>
      <c r="L17524">
        <v>18991</v>
      </c>
      <c r="M17524" t="s">
        <v>1106</v>
      </c>
      <c r="N17524" t="str">
        <f>"759536584   "</f>
        <v xml:space="preserve">759536584   </v>
      </c>
      <c r="O17524">
        <v>240108</v>
      </c>
    </row>
    <row r="17525" spans="1:15" x14ac:dyDescent="0.25">
      <c r="A17525" t="s">
        <v>16</v>
      </c>
      <c r="B17525" t="s">
        <v>3221</v>
      </c>
      <c r="C17525">
        <v>1191</v>
      </c>
      <c r="D17525" t="s">
        <v>3229</v>
      </c>
      <c r="E17525" t="s">
        <v>3230</v>
      </c>
      <c r="F17525">
        <v>30.65</v>
      </c>
      <c r="G17525">
        <v>230131</v>
      </c>
      <c r="H17525">
        <v>4600</v>
      </c>
      <c r="I17525" t="s">
        <v>105</v>
      </c>
      <c r="J17525">
        <v>38</v>
      </c>
      <c r="K17525">
        <v>7.35</v>
      </c>
      <c r="L17525">
        <v>11001</v>
      </c>
      <c r="M17525" t="s">
        <v>326</v>
      </c>
      <c r="N17525" t="str">
        <f>"753587393   "</f>
        <v xml:space="preserve">753587393   </v>
      </c>
      <c r="O17525">
        <v>230206</v>
      </c>
    </row>
    <row r="17526" spans="1:15" x14ac:dyDescent="0.25">
      <c r="A17526" t="s">
        <v>16</v>
      </c>
      <c r="B17526" t="s">
        <v>3221</v>
      </c>
      <c r="C17526">
        <v>3450</v>
      </c>
      <c r="D17526" t="s">
        <v>3229</v>
      </c>
      <c r="E17526" t="s">
        <v>3230</v>
      </c>
      <c r="F17526">
        <v>99.71</v>
      </c>
      <c r="G17526">
        <v>230228</v>
      </c>
      <c r="H17526">
        <v>4600</v>
      </c>
      <c r="I17526" t="s">
        <v>105</v>
      </c>
      <c r="J17526">
        <v>99.71</v>
      </c>
      <c r="K17526">
        <v>0</v>
      </c>
      <c r="L17526">
        <v>47522</v>
      </c>
      <c r="M17526" t="s">
        <v>410</v>
      </c>
      <c r="N17526" t="str">
        <f>"754131225   "</f>
        <v xml:space="preserve">754131225   </v>
      </c>
      <c r="O17526">
        <v>230316</v>
      </c>
    </row>
    <row r="17527" spans="1:15" x14ac:dyDescent="0.25">
      <c r="A17527" t="s">
        <v>16</v>
      </c>
      <c r="B17527" t="s">
        <v>3221</v>
      </c>
      <c r="C17527">
        <v>4605</v>
      </c>
      <c r="D17527" t="s">
        <v>3229</v>
      </c>
      <c r="E17527" t="s">
        <v>3230</v>
      </c>
      <c r="F17527">
        <v>0.9</v>
      </c>
      <c r="G17527">
        <v>230331</v>
      </c>
      <c r="H17527">
        <v>4600</v>
      </c>
      <c r="I17527" t="s">
        <v>105</v>
      </c>
      <c r="J17527">
        <v>1.1200000000000001</v>
      </c>
      <c r="K17527">
        <v>0.22</v>
      </c>
      <c r="L17527">
        <v>13281</v>
      </c>
      <c r="M17527" t="s">
        <v>1296</v>
      </c>
      <c r="N17527" t="str">
        <f t="shared" ref="N17527:N17536" si="234">"754682417   "</f>
        <v xml:space="preserve">754682417   </v>
      </c>
      <c r="O17527">
        <v>230411</v>
      </c>
    </row>
    <row r="17528" spans="1:15" x14ac:dyDescent="0.25">
      <c r="A17528" t="s">
        <v>16</v>
      </c>
      <c r="B17528" t="s">
        <v>3221</v>
      </c>
      <c r="C17528">
        <v>4605</v>
      </c>
      <c r="D17528" t="s">
        <v>3229</v>
      </c>
      <c r="E17528" t="s">
        <v>3230</v>
      </c>
      <c r="F17528">
        <v>15</v>
      </c>
      <c r="G17528">
        <v>230331</v>
      </c>
      <c r="H17528">
        <v>4600</v>
      </c>
      <c r="I17528" t="s">
        <v>105</v>
      </c>
      <c r="J17528">
        <v>15</v>
      </c>
      <c r="K17528">
        <v>0</v>
      </c>
      <c r="L17528">
        <v>13281</v>
      </c>
      <c r="M17528" t="s">
        <v>1296</v>
      </c>
      <c r="N17528" t="str">
        <f t="shared" si="234"/>
        <v xml:space="preserve">754682417   </v>
      </c>
      <c r="O17528">
        <v>230411</v>
      </c>
    </row>
    <row r="17529" spans="1:15" x14ac:dyDescent="0.25">
      <c r="A17529" t="s">
        <v>16</v>
      </c>
      <c r="B17529" t="s">
        <v>3221</v>
      </c>
      <c r="C17529">
        <v>4605</v>
      </c>
      <c r="D17529" t="s">
        <v>3229</v>
      </c>
      <c r="E17529" t="s">
        <v>3230</v>
      </c>
      <c r="F17529">
        <v>6.95</v>
      </c>
      <c r="G17529">
        <v>230331</v>
      </c>
      <c r="H17529">
        <v>4600</v>
      </c>
      <c r="I17529" t="s">
        <v>105</v>
      </c>
      <c r="J17529">
        <v>8.6199999999999992</v>
      </c>
      <c r="K17529">
        <v>1.67</v>
      </c>
      <c r="L17529">
        <v>13461</v>
      </c>
      <c r="M17529" t="s">
        <v>1413</v>
      </c>
      <c r="N17529" t="str">
        <f t="shared" si="234"/>
        <v xml:space="preserve">754682417   </v>
      </c>
      <c r="O17529">
        <v>230411</v>
      </c>
    </row>
    <row r="17530" spans="1:15" x14ac:dyDescent="0.25">
      <c r="A17530" t="s">
        <v>16</v>
      </c>
      <c r="B17530" t="s">
        <v>3221</v>
      </c>
      <c r="C17530">
        <v>4605</v>
      </c>
      <c r="D17530" t="s">
        <v>3229</v>
      </c>
      <c r="E17530" t="s">
        <v>3230</v>
      </c>
      <c r="F17530">
        <v>115</v>
      </c>
      <c r="G17530">
        <v>230331</v>
      </c>
      <c r="H17530">
        <v>4600</v>
      </c>
      <c r="I17530" t="s">
        <v>105</v>
      </c>
      <c r="J17530">
        <v>115</v>
      </c>
      <c r="K17530">
        <v>0</v>
      </c>
      <c r="L17530">
        <v>13461</v>
      </c>
      <c r="M17530" t="s">
        <v>1413</v>
      </c>
      <c r="N17530" t="str">
        <f t="shared" si="234"/>
        <v xml:space="preserve">754682417   </v>
      </c>
      <c r="O17530">
        <v>230411</v>
      </c>
    </row>
    <row r="17531" spans="1:15" x14ac:dyDescent="0.25">
      <c r="A17531" t="s">
        <v>16</v>
      </c>
      <c r="B17531" t="s">
        <v>3221</v>
      </c>
      <c r="C17531">
        <v>4605</v>
      </c>
      <c r="D17531" t="s">
        <v>3229</v>
      </c>
      <c r="E17531" t="s">
        <v>3230</v>
      </c>
      <c r="F17531">
        <v>6.95</v>
      </c>
      <c r="G17531">
        <v>230331</v>
      </c>
      <c r="H17531">
        <v>4600</v>
      </c>
      <c r="I17531" t="s">
        <v>105</v>
      </c>
      <c r="J17531">
        <v>8.6199999999999992</v>
      </c>
      <c r="K17531">
        <v>1.67</v>
      </c>
      <c r="L17531">
        <v>13561</v>
      </c>
      <c r="M17531" t="s">
        <v>246</v>
      </c>
      <c r="N17531" t="str">
        <f t="shared" si="234"/>
        <v xml:space="preserve">754682417   </v>
      </c>
      <c r="O17531">
        <v>230411</v>
      </c>
    </row>
    <row r="17532" spans="1:15" x14ac:dyDescent="0.25">
      <c r="A17532" t="s">
        <v>16</v>
      </c>
      <c r="B17532" t="s">
        <v>3221</v>
      </c>
      <c r="C17532">
        <v>4605</v>
      </c>
      <c r="D17532" t="s">
        <v>3229</v>
      </c>
      <c r="E17532" t="s">
        <v>3230</v>
      </c>
      <c r="F17532">
        <v>115</v>
      </c>
      <c r="G17532">
        <v>230331</v>
      </c>
      <c r="H17532">
        <v>4600</v>
      </c>
      <c r="I17532" t="s">
        <v>105</v>
      </c>
      <c r="J17532">
        <v>115</v>
      </c>
      <c r="K17532">
        <v>0</v>
      </c>
      <c r="L17532">
        <v>13561</v>
      </c>
      <c r="M17532" t="s">
        <v>246</v>
      </c>
      <c r="N17532" t="str">
        <f t="shared" si="234"/>
        <v xml:space="preserve">754682417   </v>
      </c>
      <c r="O17532">
        <v>230411</v>
      </c>
    </row>
    <row r="17533" spans="1:15" x14ac:dyDescent="0.25">
      <c r="A17533" t="s">
        <v>16</v>
      </c>
      <c r="B17533" t="s">
        <v>3221</v>
      </c>
      <c r="C17533">
        <v>4605</v>
      </c>
      <c r="D17533" t="s">
        <v>3229</v>
      </c>
      <c r="E17533" t="s">
        <v>3230</v>
      </c>
      <c r="F17533">
        <v>6.65</v>
      </c>
      <c r="G17533">
        <v>230331</v>
      </c>
      <c r="H17533">
        <v>4600</v>
      </c>
      <c r="I17533" t="s">
        <v>105</v>
      </c>
      <c r="J17533">
        <v>8.25</v>
      </c>
      <c r="K17533">
        <v>1.6</v>
      </c>
      <c r="L17533">
        <v>13661</v>
      </c>
      <c r="M17533" t="s">
        <v>247</v>
      </c>
      <c r="N17533" t="str">
        <f t="shared" si="234"/>
        <v xml:space="preserve">754682417   </v>
      </c>
      <c r="O17533">
        <v>230411</v>
      </c>
    </row>
    <row r="17534" spans="1:15" x14ac:dyDescent="0.25">
      <c r="A17534" t="s">
        <v>16</v>
      </c>
      <c r="B17534" t="s">
        <v>3221</v>
      </c>
      <c r="C17534">
        <v>4605</v>
      </c>
      <c r="D17534" t="s">
        <v>3229</v>
      </c>
      <c r="E17534" t="s">
        <v>3230</v>
      </c>
      <c r="F17534">
        <v>110</v>
      </c>
      <c r="G17534">
        <v>230331</v>
      </c>
      <c r="H17534">
        <v>4600</v>
      </c>
      <c r="I17534" t="s">
        <v>105</v>
      </c>
      <c r="J17534">
        <v>110</v>
      </c>
      <c r="K17534">
        <v>0</v>
      </c>
      <c r="L17534">
        <v>13661</v>
      </c>
      <c r="M17534" t="s">
        <v>247</v>
      </c>
      <c r="N17534" t="str">
        <f t="shared" si="234"/>
        <v xml:space="preserve">754682417   </v>
      </c>
      <c r="O17534">
        <v>230411</v>
      </c>
    </row>
    <row r="17535" spans="1:15" x14ac:dyDescent="0.25">
      <c r="A17535" t="s">
        <v>16</v>
      </c>
      <c r="B17535" t="s">
        <v>3221</v>
      </c>
      <c r="C17535">
        <v>4605</v>
      </c>
      <c r="D17535" t="s">
        <v>3229</v>
      </c>
      <c r="E17535" t="s">
        <v>3230</v>
      </c>
      <c r="F17535">
        <v>8.7799999999999994</v>
      </c>
      <c r="G17535">
        <v>230331</v>
      </c>
      <c r="H17535">
        <v>4600</v>
      </c>
      <c r="I17535" t="s">
        <v>105</v>
      </c>
      <c r="J17535">
        <v>10.89</v>
      </c>
      <c r="K17535">
        <v>2.11</v>
      </c>
      <c r="L17535">
        <v>13861</v>
      </c>
      <c r="M17535" t="s">
        <v>1143</v>
      </c>
      <c r="N17535" t="str">
        <f t="shared" si="234"/>
        <v xml:space="preserve">754682417   </v>
      </c>
      <c r="O17535">
        <v>230411</v>
      </c>
    </row>
    <row r="17536" spans="1:15" x14ac:dyDescent="0.25">
      <c r="A17536" t="s">
        <v>16</v>
      </c>
      <c r="B17536" t="s">
        <v>3221</v>
      </c>
      <c r="C17536">
        <v>4605</v>
      </c>
      <c r="D17536" t="s">
        <v>3229</v>
      </c>
      <c r="E17536" t="s">
        <v>3230</v>
      </c>
      <c r="F17536">
        <v>145</v>
      </c>
      <c r="G17536">
        <v>230331</v>
      </c>
      <c r="H17536">
        <v>4600</v>
      </c>
      <c r="I17536" t="s">
        <v>105</v>
      </c>
      <c r="J17536">
        <v>145</v>
      </c>
      <c r="K17536">
        <v>0</v>
      </c>
      <c r="L17536">
        <v>13861</v>
      </c>
      <c r="M17536" t="s">
        <v>1143</v>
      </c>
      <c r="N17536" t="str">
        <f t="shared" si="234"/>
        <v xml:space="preserve">754682417   </v>
      </c>
      <c r="O17536">
        <v>230411</v>
      </c>
    </row>
    <row r="17537" spans="1:15" x14ac:dyDescent="0.25">
      <c r="A17537" t="s">
        <v>16</v>
      </c>
      <c r="B17537" t="s">
        <v>3221</v>
      </c>
      <c r="C17537">
        <v>4808</v>
      </c>
      <c r="D17537" t="s">
        <v>3229</v>
      </c>
      <c r="E17537" t="s">
        <v>3230</v>
      </c>
      <c r="F17537">
        <v>635.23</v>
      </c>
      <c r="G17537">
        <v>230331</v>
      </c>
      <c r="H17537">
        <v>4600</v>
      </c>
      <c r="I17537" t="s">
        <v>105</v>
      </c>
      <c r="J17537">
        <v>698.75</v>
      </c>
      <c r="K17537">
        <v>63.52</v>
      </c>
      <c r="L17537">
        <v>13401</v>
      </c>
      <c r="M17537" t="s">
        <v>80</v>
      </c>
      <c r="N17537" t="str">
        <f>"754682425   "</f>
        <v xml:space="preserve">754682425   </v>
      </c>
      <c r="O17537">
        <v>230412</v>
      </c>
    </row>
    <row r="17538" spans="1:15" x14ac:dyDescent="0.25">
      <c r="A17538" t="s">
        <v>16</v>
      </c>
      <c r="B17538" t="s">
        <v>3221</v>
      </c>
      <c r="C17538">
        <v>4954</v>
      </c>
      <c r="D17538" t="s">
        <v>3229</v>
      </c>
      <c r="E17538" t="s">
        <v>3230</v>
      </c>
      <c r="F17538">
        <v>0.65</v>
      </c>
      <c r="G17538">
        <v>230331</v>
      </c>
      <c r="H17538">
        <v>4600</v>
      </c>
      <c r="I17538" t="s">
        <v>105</v>
      </c>
      <c r="J17538">
        <v>0.8</v>
      </c>
      <c r="K17538">
        <v>0.15</v>
      </c>
      <c r="L17538">
        <v>11901</v>
      </c>
      <c r="M17538" t="s">
        <v>36</v>
      </c>
      <c r="N17538" t="str">
        <f>"754682474   "</f>
        <v xml:space="preserve">754682474   </v>
      </c>
      <c r="O17538">
        <v>230414</v>
      </c>
    </row>
    <row r="17539" spans="1:15" x14ac:dyDescent="0.25">
      <c r="A17539" t="s">
        <v>16</v>
      </c>
      <c r="B17539" t="s">
        <v>3221</v>
      </c>
      <c r="C17539">
        <v>7768</v>
      </c>
      <c r="D17539" t="s">
        <v>3229</v>
      </c>
      <c r="E17539" t="s">
        <v>3230</v>
      </c>
      <c r="F17539">
        <v>36.22</v>
      </c>
      <c r="G17539">
        <v>230531</v>
      </c>
      <c r="H17539">
        <v>4600</v>
      </c>
      <c r="I17539" t="s">
        <v>105</v>
      </c>
      <c r="J17539">
        <v>36.22</v>
      </c>
      <c r="K17539">
        <v>0</v>
      </c>
      <c r="L17539">
        <v>11301</v>
      </c>
      <c r="M17539" t="s">
        <v>29</v>
      </c>
      <c r="N17539" t="str">
        <f>"755790839   "</f>
        <v xml:space="preserve">755790839   </v>
      </c>
      <c r="O17539">
        <v>230602</v>
      </c>
    </row>
    <row r="17540" spans="1:15" x14ac:dyDescent="0.25">
      <c r="A17540" t="s">
        <v>16</v>
      </c>
      <c r="B17540" t="s">
        <v>3221</v>
      </c>
      <c r="C17540">
        <v>8239</v>
      </c>
      <c r="D17540" t="s">
        <v>3229</v>
      </c>
      <c r="E17540" t="s">
        <v>3230</v>
      </c>
      <c r="F17540">
        <v>135</v>
      </c>
      <c r="G17540">
        <v>230531</v>
      </c>
      <c r="H17540">
        <v>4600</v>
      </c>
      <c r="I17540" t="s">
        <v>105</v>
      </c>
      <c r="J17540">
        <v>135</v>
      </c>
      <c r="K17540">
        <v>0</v>
      </c>
      <c r="L17540">
        <v>11901</v>
      </c>
      <c r="M17540" t="s">
        <v>36</v>
      </c>
      <c r="N17540" t="str">
        <f>"755790862   "</f>
        <v xml:space="preserve">755790862   </v>
      </c>
      <c r="O17540">
        <v>230608</v>
      </c>
    </row>
    <row r="17541" spans="1:15" x14ac:dyDescent="0.25">
      <c r="A17541" t="s">
        <v>16</v>
      </c>
      <c r="B17541" t="s">
        <v>3221</v>
      </c>
      <c r="C17541">
        <v>8646</v>
      </c>
      <c r="D17541" t="s">
        <v>3229</v>
      </c>
      <c r="E17541" t="s">
        <v>3230</v>
      </c>
      <c r="F17541">
        <v>1200</v>
      </c>
      <c r="G17541">
        <v>230531</v>
      </c>
      <c r="H17541">
        <v>4600</v>
      </c>
      <c r="I17541" t="s">
        <v>105</v>
      </c>
      <c r="J17541">
        <v>1200</v>
      </c>
      <c r="K17541">
        <v>0</v>
      </c>
      <c r="L17541">
        <v>11001</v>
      </c>
      <c r="M17541" t="s">
        <v>326</v>
      </c>
      <c r="N17541" t="str">
        <f>"755790797   "</f>
        <v xml:space="preserve">755790797   </v>
      </c>
      <c r="O17541">
        <v>230613</v>
      </c>
    </row>
    <row r="17542" spans="1:15" x14ac:dyDescent="0.25">
      <c r="A17542" t="s">
        <v>16</v>
      </c>
      <c r="B17542" t="s">
        <v>3221</v>
      </c>
      <c r="C17542">
        <v>9300</v>
      </c>
      <c r="D17542" t="s">
        <v>3229</v>
      </c>
      <c r="E17542" t="s">
        <v>3230</v>
      </c>
      <c r="F17542">
        <v>53</v>
      </c>
      <c r="G17542">
        <v>230630</v>
      </c>
      <c r="H17542">
        <v>4600</v>
      </c>
      <c r="I17542" t="s">
        <v>105</v>
      </c>
      <c r="J17542">
        <v>53</v>
      </c>
      <c r="K17542">
        <v>0</v>
      </c>
      <c r="L17542">
        <v>11905</v>
      </c>
      <c r="M17542" t="s">
        <v>39</v>
      </c>
      <c r="N17542" t="str">
        <f>"756348009   "</f>
        <v xml:space="preserve">756348009   </v>
      </c>
      <c r="O17542">
        <v>230705</v>
      </c>
    </row>
    <row r="17543" spans="1:15" x14ac:dyDescent="0.25">
      <c r="A17543" t="s">
        <v>16</v>
      </c>
      <c r="B17543" t="s">
        <v>3221</v>
      </c>
      <c r="C17543">
        <v>11382</v>
      </c>
      <c r="D17543" t="s">
        <v>3229</v>
      </c>
      <c r="E17543" t="s">
        <v>3230</v>
      </c>
      <c r="F17543">
        <v>92.1</v>
      </c>
      <c r="G17543">
        <v>230831</v>
      </c>
      <c r="H17543">
        <v>4600</v>
      </c>
      <c r="I17543" t="s">
        <v>105</v>
      </c>
      <c r="J17543">
        <v>114.21</v>
      </c>
      <c r="K17543">
        <v>22.11</v>
      </c>
      <c r="L17543">
        <v>47522</v>
      </c>
      <c r="M17543" t="s">
        <v>410</v>
      </c>
      <c r="N17543" t="str">
        <f>"757338207   "</f>
        <v xml:space="preserve">757338207   </v>
      </c>
      <c r="O17543">
        <v>230905</v>
      </c>
    </row>
    <row r="17544" spans="1:15" x14ac:dyDescent="0.25">
      <c r="A17544" t="s">
        <v>16</v>
      </c>
      <c r="B17544" t="s">
        <v>3221</v>
      </c>
      <c r="C17544">
        <v>11384</v>
      </c>
      <c r="D17544" t="s">
        <v>3229</v>
      </c>
      <c r="E17544" t="s">
        <v>3230</v>
      </c>
      <c r="F17544">
        <v>87.4</v>
      </c>
      <c r="G17544">
        <v>230831</v>
      </c>
      <c r="H17544">
        <v>4600</v>
      </c>
      <c r="I17544" t="s">
        <v>105</v>
      </c>
      <c r="J17544">
        <v>87.4</v>
      </c>
      <c r="K17544">
        <v>0</v>
      </c>
      <c r="L17544">
        <v>11101</v>
      </c>
      <c r="M17544" t="s">
        <v>110</v>
      </c>
      <c r="N17544" t="str">
        <f>"757338173   "</f>
        <v xml:space="preserve">757338173   </v>
      </c>
      <c r="O17544">
        <v>230905</v>
      </c>
    </row>
    <row r="17545" spans="1:15" x14ac:dyDescent="0.25">
      <c r="A17545" t="s">
        <v>16</v>
      </c>
      <c r="B17545" t="s">
        <v>3221</v>
      </c>
      <c r="C17545">
        <v>11846</v>
      </c>
      <c r="D17545" t="s">
        <v>3229</v>
      </c>
      <c r="E17545" t="s">
        <v>3230</v>
      </c>
      <c r="F17545">
        <v>1.85</v>
      </c>
      <c r="G17545">
        <v>230831</v>
      </c>
      <c r="H17545">
        <v>4600</v>
      </c>
      <c r="I17545" t="s">
        <v>105</v>
      </c>
      <c r="J17545">
        <v>2.29</v>
      </c>
      <c r="K17545">
        <v>0.44</v>
      </c>
      <c r="L17545">
        <v>11905</v>
      </c>
      <c r="M17545" t="s">
        <v>39</v>
      </c>
      <c r="N17545" t="str">
        <f>"757338215   "</f>
        <v xml:space="preserve">757338215   </v>
      </c>
      <c r="O17545">
        <v>230911</v>
      </c>
    </row>
    <row r="17546" spans="1:15" x14ac:dyDescent="0.25">
      <c r="A17546" t="s">
        <v>16</v>
      </c>
      <c r="B17546" t="s">
        <v>3221</v>
      </c>
      <c r="C17546">
        <v>12038</v>
      </c>
      <c r="D17546" t="s">
        <v>3229</v>
      </c>
      <c r="E17546" t="s">
        <v>3230</v>
      </c>
      <c r="F17546">
        <v>55</v>
      </c>
      <c r="G17546">
        <v>230831</v>
      </c>
      <c r="H17546">
        <v>4600</v>
      </c>
      <c r="I17546" t="s">
        <v>105</v>
      </c>
      <c r="J17546">
        <v>55</v>
      </c>
      <c r="K17546">
        <v>0</v>
      </c>
      <c r="L17546">
        <v>11901</v>
      </c>
      <c r="M17546" t="s">
        <v>36</v>
      </c>
      <c r="N17546" t="str">
        <f>"757338223   "</f>
        <v xml:space="preserve">757338223   </v>
      </c>
      <c r="O17546">
        <v>230913</v>
      </c>
    </row>
    <row r="17547" spans="1:15" x14ac:dyDescent="0.25">
      <c r="A17547" t="s">
        <v>16</v>
      </c>
      <c r="B17547" t="s">
        <v>3221</v>
      </c>
      <c r="C17547">
        <v>13458</v>
      </c>
      <c r="D17547" t="s">
        <v>3229</v>
      </c>
      <c r="E17547" t="s">
        <v>3230</v>
      </c>
      <c r="F17547">
        <v>7.72</v>
      </c>
      <c r="G17547">
        <v>230930</v>
      </c>
      <c r="H17547">
        <v>4600</v>
      </c>
      <c r="I17547" t="s">
        <v>105</v>
      </c>
      <c r="J17547">
        <v>9.57</v>
      </c>
      <c r="K17547">
        <v>1.85</v>
      </c>
      <c r="L17547">
        <v>11901</v>
      </c>
      <c r="M17547" t="s">
        <v>36</v>
      </c>
      <c r="N17547" t="str">
        <f>"757866165   "</f>
        <v xml:space="preserve">757866165   </v>
      </c>
      <c r="O17547">
        <v>231010</v>
      </c>
    </row>
    <row r="17548" spans="1:15" x14ac:dyDescent="0.25">
      <c r="A17548" t="s">
        <v>16</v>
      </c>
      <c r="B17548" t="s">
        <v>3221</v>
      </c>
      <c r="C17548">
        <v>13649</v>
      </c>
      <c r="D17548" t="s">
        <v>3229</v>
      </c>
      <c r="E17548" t="s">
        <v>3230</v>
      </c>
      <c r="F17548">
        <v>50</v>
      </c>
      <c r="G17548">
        <v>230930</v>
      </c>
      <c r="H17548">
        <v>4600</v>
      </c>
      <c r="I17548" t="s">
        <v>105</v>
      </c>
      <c r="J17548">
        <v>50</v>
      </c>
      <c r="K17548">
        <v>0</v>
      </c>
      <c r="L17548">
        <v>11901</v>
      </c>
      <c r="M17548" t="s">
        <v>36</v>
      </c>
      <c r="N17548" t="str">
        <f>"757866173   "</f>
        <v xml:space="preserve">757866173   </v>
      </c>
      <c r="O17548">
        <v>231012</v>
      </c>
    </row>
    <row r="17549" spans="1:15" x14ac:dyDescent="0.25">
      <c r="A17549" t="s">
        <v>16</v>
      </c>
      <c r="B17549" t="s">
        <v>3221</v>
      </c>
      <c r="C17549">
        <v>14832</v>
      </c>
      <c r="D17549" t="s">
        <v>3229</v>
      </c>
      <c r="E17549" t="s">
        <v>3230</v>
      </c>
      <c r="F17549">
        <v>175.98</v>
      </c>
      <c r="G17549">
        <v>231031</v>
      </c>
      <c r="H17549">
        <v>4600</v>
      </c>
      <c r="I17549" t="s">
        <v>105</v>
      </c>
      <c r="J17549">
        <v>218.21</v>
      </c>
      <c r="K17549">
        <v>42.23</v>
      </c>
      <c r="L17549">
        <v>44222</v>
      </c>
      <c r="M17549" t="s">
        <v>232</v>
      </c>
      <c r="N17549" t="str">
        <f>"758412142   "</f>
        <v xml:space="preserve">758412142   </v>
      </c>
      <c r="O17549">
        <v>231106</v>
      </c>
    </row>
    <row r="17550" spans="1:15" x14ac:dyDescent="0.25">
      <c r="A17550" t="s">
        <v>16</v>
      </c>
      <c r="B17550" t="s">
        <v>3221</v>
      </c>
      <c r="C17550">
        <v>15133</v>
      </c>
      <c r="D17550" t="s">
        <v>3229</v>
      </c>
      <c r="E17550" t="s">
        <v>3230</v>
      </c>
      <c r="F17550">
        <v>39.61</v>
      </c>
      <c r="G17550">
        <v>231031</v>
      </c>
      <c r="H17550">
        <v>4600</v>
      </c>
      <c r="I17550" t="s">
        <v>105</v>
      </c>
      <c r="J17550">
        <v>49.12</v>
      </c>
      <c r="K17550">
        <v>9.51</v>
      </c>
      <c r="L17550">
        <v>12982</v>
      </c>
      <c r="M17550" t="s">
        <v>1518</v>
      </c>
      <c r="N17550" t="str">
        <f>"758412126   "</f>
        <v xml:space="preserve">758412126   </v>
      </c>
      <c r="O17550">
        <v>231109</v>
      </c>
    </row>
    <row r="17551" spans="1:15" x14ac:dyDescent="0.25">
      <c r="A17551" t="s">
        <v>16</v>
      </c>
      <c r="B17551" t="s">
        <v>3221</v>
      </c>
      <c r="C17551">
        <v>15134</v>
      </c>
      <c r="D17551" t="s">
        <v>3229</v>
      </c>
      <c r="E17551" t="s">
        <v>3230</v>
      </c>
      <c r="F17551">
        <v>55.95</v>
      </c>
      <c r="G17551">
        <v>231031</v>
      </c>
      <c r="H17551">
        <v>4600</v>
      </c>
      <c r="I17551" t="s">
        <v>105</v>
      </c>
      <c r="J17551">
        <v>55.95</v>
      </c>
      <c r="K17551">
        <v>0</v>
      </c>
      <c r="L17551">
        <v>11901</v>
      </c>
      <c r="M17551" t="s">
        <v>36</v>
      </c>
      <c r="N17551" t="str">
        <f>"758412167   "</f>
        <v xml:space="preserve">758412167   </v>
      </c>
      <c r="O17551">
        <v>231109</v>
      </c>
    </row>
    <row r="17552" spans="1:15" x14ac:dyDescent="0.25">
      <c r="A17552" t="s">
        <v>16</v>
      </c>
      <c r="B17552" t="s">
        <v>3221</v>
      </c>
      <c r="C17552">
        <v>15605</v>
      </c>
      <c r="D17552" t="s">
        <v>3229</v>
      </c>
      <c r="E17552" t="s">
        <v>3230</v>
      </c>
      <c r="F17552">
        <v>0.15</v>
      </c>
      <c r="G17552">
        <v>231031</v>
      </c>
      <c r="H17552">
        <v>4600</v>
      </c>
      <c r="I17552" t="s">
        <v>105</v>
      </c>
      <c r="J17552">
        <v>0.19</v>
      </c>
      <c r="K17552">
        <v>0.04</v>
      </c>
      <c r="L17552">
        <v>11902</v>
      </c>
      <c r="M17552" t="s">
        <v>1443</v>
      </c>
      <c r="N17552" t="str">
        <f>"758412118   "</f>
        <v xml:space="preserve">758412118   </v>
      </c>
      <c r="O17552">
        <v>231114</v>
      </c>
    </row>
    <row r="17553" spans="1:15" x14ac:dyDescent="0.25">
      <c r="A17553" t="s">
        <v>16</v>
      </c>
      <c r="B17553" t="s">
        <v>3221</v>
      </c>
      <c r="C17553">
        <v>16750</v>
      </c>
      <c r="D17553" t="s">
        <v>3229</v>
      </c>
      <c r="E17553" t="s">
        <v>3230</v>
      </c>
      <c r="F17553">
        <v>2.73</v>
      </c>
      <c r="G17553">
        <v>231130</v>
      </c>
      <c r="H17553">
        <v>4600</v>
      </c>
      <c r="I17553" t="s">
        <v>105</v>
      </c>
      <c r="J17553">
        <v>3.38</v>
      </c>
      <c r="K17553">
        <v>0.65</v>
      </c>
      <c r="L17553">
        <v>12982</v>
      </c>
      <c r="M17553" t="s">
        <v>1518</v>
      </c>
      <c r="N17553" t="str">
        <f>"758980239   "</f>
        <v xml:space="preserve">758980239   </v>
      </c>
      <c r="O17553">
        <v>231208</v>
      </c>
    </row>
    <row r="17554" spans="1:15" x14ac:dyDescent="0.25">
      <c r="A17554" t="s">
        <v>16</v>
      </c>
      <c r="B17554" t="s">
        <v>3221</v>
      </c>
      <c r="C17554">
        <v>17036</v>
      </c>
      <c r="D17554" t="s">
        <v>3229</v>
      </c>
      <c r="E17554" t="s">
        <v>3230</v>
      </c>
      <c r="F17554">
        <v>25</v>
      </c>
      <c r="G17554">
        <v>231130</v>
      </c>
      <c r="H17554">
        <v>4600</v>
      </c>
      <c r="I17554" t="s">
        <v>105</v>
      </c>
      <c r="J17554">
        <v>31</v>
      </c>
      <c r="K17554">
        <v>6</v>
      </c>
      <c r="L17554">
        <v>11001</v>
      </c>
      <c r="M17554" t="s">
        <v>326</v>
      </c>
      <c r="N17554" t="str">
        <f>"758980213   "</f>
        <v xml:space="preserve">758980213   </v>
      </c>
      <c r="O17554">
        <v>231212</v>
      </c>
    </row>
    <row r="17555" spans="1:15" x14ac:dyDescent="0.25">
      <c r="A17555" t="s">
        <v>16</v>
      </c>
      <c r="B17555" t="s">
        <v>3221</v>
      </c>
      <c r="C17555">
        <v>17044</v>
      </c>
      <c r="D17555" t="s">
        <v>3229</v>
      </c>
      <c r="E17555" t="s">
        <v>3230</v>
      </c>
      <c r="F17555">
        <v>31.94</v>
      </c>
      <c r="G17555">
        <v>231130</v>
      </c>
      <c r="H17555">
        <v>4600</v>
      </c>
      <c r="I17555" t="s">
        <v>105</v>
      </c>
      <c r="J17555">
        <v>39.6</v>
      </c>
      <c r="K17555">
        <v>7.66</v>
      </c>
      <c r="L17555">
        <v>11605</v>
      </c>
      <c r="M17555" t="s">
        <v>106</v>
      </c>
      <c r="N17555" t="str">
        <f>"758980262   "</f>
        <v xml:space="preserve">758980262   </v>
      </c>
      <c r="O17555">
        <v>231212</v>
      </c>
    </row>
    <row r="17556" spans="1:15" x14ac:dyDescent="0.25">
      <c r="A17556" t="s">
        <v>16</v>
      </c>
      <c r="B17556" t="s">
        <v>3221</v>
      </c>
      <c r="C17556">
        <v>18581</v>
      </c>
      <c r="D17556" t="s">
        <v>3229</v>
      </c>
      <c r="E17556" t="s">
        <v>3230</v>
      </c>
      <c r="F17556">
        <v>58.84</v>
      </c>
      <c r="G17556">
        <v>231231</v>
      </c>
      <c r="H17556">
        <v>4600</v>
      </c>
      <c r="I17556" t="s">
        <v>105</v>
      </c>
      <c r="J17556">
        <v>72.959999999999994</v>
      </c>
      <c r="K17556">
        <v>14.12</v>
      </c>
      <c r="L17556">
        <v>11101</v>
      </c>
      <c r="M17556" t="s">
        <v>110</v>
      </c>
      <c r="N17556" t="str">
        <f>"759536550   "</f>
        <v xml:space="preserve">759536550   </v>
      </c>
      <c r="O17556">
        <v>240104</v>
      </c>
    </row>
    <row r="17557" spans="1:15" x14ac:dyDescent="0.25">
      <c r="A17557" t="s">
        <v>16</v>
      </c>
      <c r="B17557" t="s">
        <v>3221</v>
      </c>
      <c r="C17557">
        <v>18581</v>
      </c>
      <c r="D17557" t="s">
        <v>3229</v>
      </c>
      <c r="E17557" t="s">
        <v>3230</v>
      </c>
      <c r="F17557">
        <v>142.38</v>
      </c>
      <c r="G17557">
        <v>231231</v>
      </c>
      <c r="H17557">
        <v>4600</v>
      </c>
      <c r="I17557" t="s">
        <v>105</v>
      </c>
      <c r="J17557">
        <v>142.38</v>
      </c>
      <c r="K17557">
        <v>0</v>
      </c>
      <c r="L17557">
        <v>11601</v>
      </c>
      <c r="M17557" t="s">
        <v>535</v>
      </c>
      <c r="N17557" t="str">
        <f>"759536550   "</f>
        <v xml:space="preserve">759536550   </v>
      </c>
      <c r="O17557">
        <v>240104</v>
      </c>
    </row>
    <row r="17558" spans="1:15" x14ac:dyDescent="0.25">
      <c r="A17558" t="s">
        <v>16</v>
      </c>
      <c r="B17558" t="s">
        <v>3221</v>
      </c>
      <c r="C17558">
        <v>19115</v>
      </c>
      <c r="D17558" t="s">
        <v>3229</v>
      </c>
      <c r="E17558" t="s">
        <v>3230</v>
      </c>
      <c r="F17558">
        <v>0.23</v>
      </c>
      <c r="G17558">
        <v>231231</v>
      </c>
      <c r="H17558">
        <v>4600</v>
      </c>
      <c r="I17558" t="s">
        <v>105</v>
      </c>
      <c r="J17558">
        <v>0.28999999999999998</v>
      </c>
      <c r="K17558">
        <v>0.06</v>
      </c>
      <c r="L17558">
        <v>11901</v>
      </c>
      <c r="M17558" t="s">
        <v>36</v>
      </c>
      <c r="N17558" t="str">
        <f>"759536535   "</f>
        <v xml:space="preserve">759536535   </v>
      </c>
      <c r="O17558">
        <v>240110</v>
      </c>
    </row>
    <row r="17559" spans="1:15" x14ac:dyDescent="0.25">
      <c r="A17559" t="s">
        <v>16</v>
      </c>
      <c r="B17559" t="s">
        <v>3221</v>
      </c>
      <c r="C17559">
        <v>19175</v>
      </c>
      <c r="D17559" t="s">
        <v>3229</v>
      </c>
      <c r="E17559" t="s">
        <v>3230</v>
      </c>
      <c r="F17559">
        <v>1305.95</v>
      </c>
      <c r="G17559">
        <v>231231</v>
      </c>
      <c r="H17559">
        <v>4600</v>
      </c>
      <c r="I17559" t="s">
        <v>105</v>
      </c>
      <c r="J17559">
        <v>1619.38</v>
      </c>
      <c r="K17559">
        <v>313.43</v>
      </c>
      <c r="L17559">
        <v>11301</v>
      </c>
      <c r="M17559" t="s">
        <v>29</v>
      </c>
      <c r="N17559" t="str">
        <f>"759536600   "</f>
        <v xml:space="preserve">759536600   </v>
      </c>
      <c r="O17559">
        <v>240129</v>
      </c>
    </row>
    <row r="17560" spans="1:15" x14ac:dyDescent="0.25">
      <c r="A17560" t="s">
        <v>16</v>
      </c>
      <c r="B17560" t="s">
        <v>3221</v>
      </c>
      <c r="C17560">
        <v>19210</v>
      </c>
      <c r="D17560" t="s">
        <v>3229</v>
      </c>
      <c r="E17560" t="s">
        <v>3230</v>
      </c>
      <c r="F17560">
        <v>26.7</v>
      </c>
      <c r="G17560">
        <v>231231</v>
      </c>
      <c r="H17560">
        <v>4600</v>
      </c>
      <c r="I17560" t="s">
        <v>105</v>
      </c>
      <c r="J17560">
        <v>33.11</v>
      </c>
      <c r="K17560">
        <v>6.41</v>
      </c>
      <c r="L17560">
        <v>11901</v>
      </c>
      <c r="M17560" t="s">
        <v>36</v>
      </c>
      <c r="N17560" t="str">
        <f>"759536543   "</f>
        <v xml:space="preserve">759536543   </v>
      </c>
      <c r="O17560">
        <v>240112</v>
      </c>
    </row>
    <row r="17561" spans="1:15" x14ac:dyDescent="0.25">
      <c r="A17561" t="s">
        <v>16</v>
      </c>
      <c r="B17561" t="s">
        <v>3221</v>
      </c>
      <c r="C17561">
        <v>19210</v>
      </c>
      <c r="D17561" t="s">
        <v>3229</v>
      </c>
      <c r="E17561" t="s">
        <v>3230</v>
      </c>
      <c r="F17561">
        <v>36.85</v>
      </c>
      <c r="G17561">
        <v>231231</v>
      </c>
      <c r="H17561">
        <v>4600</v>
      </c>
      <c r="I17561" t="s">
        <v>105</v>
      </c>
      <c r="J17561">
        <v>45.7</v>
      </c>
      <c r="K17561">
        <v>8.85</v>
      </c>
      <c r="L17561">
        <v>11901</v>
      </c>
      <c r="M17561" t="s">
        <v>36</v>
      </c>
      <c r="N17561" t="str">
        <f>"759536543   "</f>
        <v xml:space="preserve">759536543   </v>
      </c>
      <c r="O17561">
        <v>240112</v>
      </c>
    </row>
    <row r="17562" spans="1:15" x14ac:dyDescent="0.25">
      <c r="A17562" t="s">
        <v>16</v>
      </c>
      <c r="B17562" t="s">
        <v>3221</v>
      </c>
      <c r="C17562">
        <v>19210</v>
      </c>
      <c r="D17562" t="s">
        <v>3229</v>
      </c>
      <c r="E17562" t="s">
        <v>3230</v>
      </c>
      <c r="F17562">
        <v>15.02</v>
      </c>
      <c r="G17562">
        <v>231231</v>
      </c>
      <c r="H17562">
        <v>4600</v>
      </c>
      <c r="I17562" t="s">
        <v>105</v>
      </c>
      <c r="J17562">
        <v>18.63</v>
      </c>
      <c r="K17562">
        <v>3.61</v>
      </c>
      <c r="L17562">
        <v>12982</v>
      </c>
      <c r="M17562" t="s">
        <v>1518</v>
      </c>
      <c r="N17562" t="str">
        <f>"759536543   "</f>
        <v xml:space="preserve">759536543   </v>
      </c>
      <c r="O17562">
        <v>240112</v>
      </c>
    </row>
    <row r="17563" spans="1:15" x14ac:dyDescent="0.25">
      <c r="A17563" t="s">
        <v>16</v>
      </c>
      <c r="B17563" t="s">
        <v>3221</v>
      </c>
      <c r="C17563">
        <v>19210</v>
      </c>
      <c r="D17563" t="s">
        <v>3229</v>
      </c>
      <c r="E17563" t="s">
        <v>3230</v>
      </c>
      <c r="F17563">
        <v>47.58</v>
      </c>
      <c r="G17563">
        <v>231231</v>
      </c>
      <c r="H17563">
        <v>4600</v>
      </c>
      <c r="I17563" t="s">
        <v>105</v>
      </c>
      <c r="J17563">
        <v>59</v>
      </c>
      <c r="K17563">
        <v>11.42</v>
      </c>
      <c r="L17563">
        <v>18991</v>
      </c>
      <c r="M17563" t="s">
        <v>1106</v>
      </c>
      <c r="N17563" t="str">
        <f>"759536543   "</f>
        <v xml:space="preserve">759536543   </v>
      </c>
      <c r="O17563">
        <v>240112</v>
      </c>
    </row>
    <row r="17564" spans="1:15" x14ac:dyDescent="0.25">
      <c r="A17564" t="s">
        <v>16</v>
      </c>
      <c r="B17564" t="s">
        <v>3221</v>
      </c>
      <c r="C17564">
        <v>1210</v>
      </c>
      <c r="D17564" t="s">
        <v>3229</v>
      </c>
      <c r="E17564" t="s">
        <v>3230</v>
      </c>
      <c r="F17564">
        <v>20</v>
      </c>
      <c r="G17564">
        <v>230131</v>
      </c>
      <c r="H17564">
        <v>4940</v>
      </c>
      <c r="I17564" t="s">
        <v>514</v>
      </c>
      <c r="J17564">
        <v>20</v>
      </c>
      <c r="K17564">
        <v>0</v>
      </c>
      <c r="L17564">
        <v>69702</v>
      </c>
      <c r="M17564" t="s">
        <v>489</v>
      </c>
      <c r="N17564" t="str">
        <f>"753587377   "</f>
        <v xml:space="preserve">753587377   </v>
      </c>
      <c r="O17564">
        <v>230206</v>
      </c>
    </row>
    <row r="17565" spans="1:15" x14ac:dyDescent="0.25">
      <c r="A17565" t="s">
        <v>16</v>
      </c>
      <c r="B17565" t="s">
        <v>3221</v>
      </c>
      <c r="C17565">
        <v>1210</v>
      </c>
      <c r="D17565" t="s">
        <v>3229</v>
      </c>
      <c r="E17565" t="s">
        <v>3230</v>
      </c>
      <c r="F17565">
        <v>20</v>
      </c>
      <c r="G17565">
        <v>230131</v>
      </c>
      <c r="H17565">
        <v>4940</v>
      </c>
      <c r="I17565" t="s">
        <v>514</v>
      </c>
      <c r="J17565">
        <v>20</v>
      </c>
      <c r="K17565">
        <v>0</v>
      </c>
      <c r="L17565">
        <v>69704</v>
      </c>
      <c r="M17565" t="s">
        <v>325</v>
      </c>
      <c r="N17565" t="str">
        <f>"753587377   "</f>
        <v xml:space="preserve">753587377   </v>
      </c>
      <c r="O17565">
        <v>230206</v>
      </c>
    </row>
    <row r="17566" spans="1:15" x14ac:dyDescent="0.25">
      <c r="A17566" t="s">
        <v>16</v>
      </c>
      <c r="B17566" t="s">
        <v>3221</v>
      </c>
      <c r="C17566">
        <v>7843</v>
      </c>
      <c r="D17566" t="s">
        <v>3229</v>
      </c>
      <c r="E17566" t="s">
        <v>3230</v>
      </c>
      <c r="F17566">
        <v>45</v>
      </c>
      <c r="G17566">
        <v>230531</v>
      </c>
      <c r="H17566">
        <v>4940</v>
      </c>
      <c r="I17566" t="s">
        <v>514</v>
      </c>
      <c r="J17566">
        <v>45</v>
      </c>
      <c r="K17566">
        <v>0</v>
      </c>
      <c r="L17566">
        <v>11101</v>
      </c>
      <c r="M17566" t="s">
        <v>110</v>
      </c>
      <c r="N17566" t="str">
        <f>"755790821   "</f>
        <v xml:space="preserve">755790821   </v>
      </c>
      <c r="O17566">
        <v>230605</v>
      </c>
    </row>
    <row r="17567" spans="1:15" x14ac:dyDescent="0.25">
      <c r="A17567" t="s">
        <v>16</v>
      </c>
      <c r="B17567" t="s">
        <v>3221</v>
      </c>
      <c r="C17567">
        <v>16637</v>
      </c>
      <c r="D17567" t="s">
        <v>3229</v>
      </c>
      <c r="E17567" t="s">
        <v>3230</v>
      </c>
      <c r="F17567">
        <v>12</v>
      </c>
      <c r="G17567">
        <v>231130</v>
      </c>
      <c r="H17567">
        <v>4940</v>
      </c>
      <c r="I17567" t="s">
        <v>514</v>
      </c>
      <c r="J17567">
        <v>12</v>
      </c>
      <c r="K17567">
        <v>0</v>
      </c>
      <c r="L17567">
        <v>18972</v>
      </c>
      <c r="M17567" t="s">
        <v>163</v>
      </c>
      <c r="N17567" t="str">
        <f>"758980247   "</f>
        <v xml:space="preserve">758980247   </v>
      </c>
      <c r="O17567">
        <v>231205</v>
      </c>
    </row>
    <row r="17568" spans="1:15" x14ac:dyDescent="0.25">
      <c r="A17568" t="s">
        <v>16</v>
      </c>
      <c r="B17568" t="s">
        <v>3221</v>
      </c>
      <c r="C17568">
        <v>16637</v>
      </c>
      <c r="D17568" t="s">
        <v>3229</v>
      </c>
      <c r="E17568" t="s">
        <v>3230</v>
      </c>
      <c r="F17568">
        <v>84</v>
      </c>
      <c r="G17568">
        <v>231130</v>
      </c>
      <c r="H17568">
        <v>4940</v>
      </c>
      <c r="I17568" t="s">
        <v>514</v>
      </c>
      <c r="J17568">
        <v>84</v>
      </c>
      <c r="K17568">
        <v>0</v>
      </c>
      <c r="L17568">
        <v>69501</v>
      </c>
      <c r="M17568" t="s">
        <v>185</v>
      </c>
      <c r="N17568" t="str">
        <f>"758980247   "</f>
        <v xml:space="preserve">758980247   </v>
      </c>
      <c r="O17568">
        <v>231205</v>
      </c>
    </row>
    <row r="17569" spans="1:15" x14ac:dyDescent="0.25">
      <c r="A17569" t="s">
        <v>16</v>
      </c>
      <c r="B17569" t="s">
        <v>3221</v>
      </c>
      <c r="C17569">
        <v>2622</v>
      </c>
      <c r="D17569" t="s">
        <v>3229</v>
      </c>
      <c r="E17569" t="s">
        <v>3230</v>
      </c>
      <c r="F17569">
        <v>37.74</v>
      </c>
      <c r="G17569">
        <v>230302</v>
      </c>
      <c r="H17569">
        <v>4470</v>
      </c>
      <c r="I17569" t="s">
        <v>83</v>
      </c>
      <c r="J17569">
        <v>46.8</v>
      </c>
      <c r="K17569">
        <v>9.06</v>
      </c>
      <c r="L17569">
        <v>11101</v>
      </c>
      <c r="M17569" t="s">
        <v>110</v>
      </c>
      <c r="N17569" t="str">
        <f>"754131191   "</f>
        <v xml:space="preserve">754131191   </v>
      </c>
      <c r="O17569">
        <v>230303</v>
      </c>
    </row>
    <row r="17570" spans="1:15" x14ac:dyDescent="0.25">
      <c r="A17570" t="s">
        <v>16</v>
      </c>
      <c r="B17570" t="s">
        <v>3221</v>
      </c>
      <c r="C17570">
        <v>6427</v>
      </c>
      <c r="D17570" t="s">
        <v>3229</v>
      </c>
      <c r="E17570" t="s">
        <v>3230</v>
      </c>
      <c r="F17570">
        <v>121.77</v>
      </c>
      <c r="G17570">
        <v>230430</v>
      </c>
      <c r="H17570">
        <v>4470</v>
      </c>
      <c r="I17570" t="s">
        <v>83</v>
      </c>
      <c r="J17570">
        <v>151</v>
      </c>
      <c r="K17570">
        <v>29.23</v>
      </c>
      <c r="L17570">
        <v>11902</v>
      </c>
      <c r="M17570" t="s">
        <v>1443</v>
      </c>
      <c r="N17570" t="str">
        <f>"755240793   "</f>
        <v xml:space="preserve">755240793   </v>
      </c>
      <c r="O17570">
        <v>230511</v>
      </c>
    </row>
    <row r="17571" spans="1:15" x14ac:dyDescent="0.25">
      <c r="A17571" t="s">
        <v>16</v>
      </c>
      <c r="B17571" t="s">
        <v>3221</v>
      </c>
      <c r="C17571">
        <v>12146</v>
      </c>
      <c r="D17571" t="s">
        <v>3229</v>
      </c>
      <c r="E17571" t="s">
        <v>3230</v>
      </c>
      <c r="F17571">
        <v>130</v>
      </c>
      <c r="G17571">
        <v>230831</v>
      </c>
      <c r="H17571">
        <v>4470</v>
      </c>
      <c r="I17571" t="s">
        <v>83</v>
      </c>
      <c r="J17571">
        <v>130</v>
      </c>
      <c r="K17571">
        <v>0</v>
      </c>
      <c r="L17571">
        <v>11605</v>
      </c>
      <c r="M17571" t="s">
        <v>106</v>
      </c>
      <c r="N17571" t="str">
        <f>"757338249   "</f>
        <v xml:space="preserve">757338249   </v>
      </c>
      <c r="O17571">
        <v>230914</v>
      </c>
    </row>
    <row r="17572" spans="1:15" x14ac:dyDescent="0.25">
      <c r="A17572" t="s">
        <v>16</v>
      </c>
      <c r="B17572" t="s">
        <v>3221</v>
      </c>
      <c r="C17572">
        <v>13649</v>
      </c>
      <c r="D17572" t="s">
        <v>3229</v>
      </c>
      <c r="E17572" t="s">
        <v>3230</v>
      </c>
      <c r="F17572">
        <v>41</v>
      </c>
      <c r="G17572">
        <v>230930</v>
      </c>
      <c r="H17572">
        <v>4470</v>
      </c>
      <c r="I17572" t="s">
        <v>83</v>
      </c>
      <c r="J17572">
        <v>41</v>
      </c>
      <c r="K17572">
        <v>0</v>
      </c>
      <c r="L17572">
        <v>11901</v>
      </c>
      <c r="M17572" t="s">
        <v>36</v>
      </c>
      <c r="N17572" t="str">
        <f>"757866173   "</f>
        <v xml:space="preserve">757866173   </v>
      </c>
      <c r="O17572">
        <v>231012</v>
      </c>
    </row>
    <row r="17573" spans="1:15" x14ac:dyDescent="0.25">
      <c r="A17573" t="s">
        <v>16</v>
      </c>
      <c r="B17573" t="s">
        <v>3221</v>
      </c>
      <c r="C17573">
        <v>13649</v>
      </c>
      <c r="D17573" t="s">
        <v>3229</v>
      </c>
      <c r="E17573" t="s">
        <v>3230</v>
      </c>
      <c r="F17573">
        <v>44.5</v>
      </c>
      <c r="G17573">
        <v>230930</v>
      </c>
      <c r="H17573">
        <v>4470</v>
      </c>
      <c r="I17573" t="s">
        <v>83</v>
      </c>
      <c r="J17573">
        <v>44.5</v>
      </c>
      <c r="K17573">
        <v>0</v>
      </c>
      <c r="L17573">
        <v>11901</v>
      </c>
      <c r="M17573" t="s">
        <v>36</v>
      </c>
      <c r="N17573" t="str">
        <f>"757866173   "</f>
        <v xml:space="preserve">757866173   </v>
      </c>
      <c r="O17573">
        <v>231012</v>
      </c>
    </row>
    <row r="17574" spans="1:15" x14ac:dyDescent="0.25">
      <c r="A17574" t="s">
        <v>16</v>
      </c>
      <c r="B17574" t="s">
        <v>3221</v>
      </c>
      <c r="C17574">
        <v>13649</v>
      </c>
      <c r="D17574" t="s">
        <v>3229</v>
      </c>
      <c r="E17574" t="s">
        <v>3230</v>
      </c>
      <c r="F17574">
        <v>76</v>
      </c>
      <c r="G17574">
        <v>230930</v>
      </c>
      <c r="H17574">
        <v>4470</v>
      </c>
      <c r="I17574" t="s">
        <v>83</v>
      </c>
      <c r="J17574">
        <v>76</v>
      </c>
      <c r="K17574">
        <v>0</v>
      </c>
      <c r="L17574">
        <v>11901</v>
      </c>
      <c r="M17574" t="s">
        <v>36</v>
      </c>
      <c r="N17574" t="str">
        <f>"757866173   "</f>
        <v xml:space="preserve">757866173   </v>
      </c>
      <c r="O17574">
        <v>231012</v>
      </c>
    </row>
    <row r="17575" spans="1:15" x14ac:dyDescent="0.25">
      <c r="A17575" t="s">
        <v>16</v>
      </c>
      <c r="B17575" t="s">
        <v>3221</v>
      </c>
      <c r="C17575">
        <v>14838</v>
      </c>
      <c r="D17575" t="s">
        <v>3229</v>
      </c>
      <c r="E17575" t="s">
        <v>3230</v>
      </c>
      <c r="F17575">
        <v>14</v>
      </c>
      <c r="G17575">
        <v>231031</v>
      </c>
      <c r="H17575">
        <v>4470</v>
      </c>
      <c r="I17575" t="s">
        <v>83</v>
      </c>
      <c r="J17575">
        <v>14</v>
      </c>
      <c r="K17575">
        <v>0</v>
      </c>
      <c r="L17575">
        <v>11401</v>
      </c>
      <c r="M17575" t="s">
        <v>84</v>
      </c>
      <c r="N17575" t="str">
        <f>"758412134   "</f>
        <v xml:space="preserve">758412134   </v>
      </c>
      <c r="O17575">
        <v>231107</v>
      </c>
    </row>
    <row r="17576" spans="1:15" x14ac:dyDescent="0.25">
      <c r="A17576" t="s">
        <v>16</v>
      </c>
      <c r="B17576" t="s">
        <v>3221</v>
      </c>
      <c r="C17576">
        <v>16750</v>
      </c>
      <c r="D17576" t="s">
        <v>3229</v>
      </c>
      <c r="E17576" t="s">
        <v>3230</v>
      </c>
      <c r="F17576">
        <v>32.26</v>
      </c>
      <c r="G17576">
        <v>231130</v>
      </c>
      <c r="H17576">
        <v>4860</v>
      </c>
      <c r="I17576" t="s">
        <v>28</v>
      </c>
      <c r="J17576">
        <v>40</v>
      </c>
      <c r="K17576">
        <v>7.74</v>
      </c>
      <c r="L17576">
        <v>12982</v>
      </c>
      <c r="M17576" t="s">
        <v>1518</v>
      </c>
      <c r="N17576" t="str">
        <f>"758980239   "</f>
        <v xml:space="preserve">758980239   </v>
      </c>
      <c r="O17576">
        <v>231208</v>
      </c>
    </row>
    <row r="17577" spans="1:15" x14ac:dyDescent="0.25">
      <c r="A17577" t="s">
        <v>16</v>
      </c>
      <c r="B17577" t="s">
        <v>3221</v>
      </c>
      <c r="C17577">
        <v>11846</v>
      </c>
      <c r="D17577" t="s">
        <v>3229</v>
      </c>
      <c r="E17577" t="s">
        <v>3230</v>
      </c>
      <c r="F17577">
        <v>34</v>
      </c>
      <c r="G17577">
        <v>230831</v>
      </c>
      <c r="H17577">
        <v>4441</v>
      </c>
      <c r="I17577" t="s">
        <v>109</v>
      </c>
      <c r="J17577">
        <v>34</v>
      </c>
      <c r="K17577">
        <v>0</v>
      </c>
      <c r="L17577">
        <v>11901</v>
      </c>
      <c r="M17577" t="s">
        <v>36</v>
      </c>
      <c r="N17577" t="str">
        <f>"757338215   "</f>
        <v xml:space="preserve">757338215   </v>
      </c>
      <c r="O17577">
        <v>230911</v>
      </c>
    </row>
    <row r="17578" spans="1:15" x14ac:dyDescent="0.25">
      <c r="A17578" t="s">
        <v>16</v>
      </c>
      <c r="B17578" t="s">
        <v>3221</v>
      </c>
      <c r="C17578">
        <v>6427</v>
      </c>
      <c r="D17578" t="s">
        <v>3229</v>
      </c>
      <c r="E17578" t="s">
        <v>3230</v>
      </c>
      <c r="F17578">
        <v>90.32</v>
      </c>
      <c r="G17578">
        <v>230430</v>
      </c>
      <c r="H17578">
        <v>4440</v>
      </c>
      <c r="I17578" t="s">
        <v>250</v>
      </c>
      <c r="J17578">
        <v>112</v>
      </c>
      <c r="K17578">
        <v>21.68</v>
      </c>
      <c r="L17578">
        <v>11902</v>
      </c>
      <c r="M17578" t="s">
        <v>1443</v>
      </c>
      <c r="N17578" t="str">
        <f>"755240793   "</f>
        <v xml:space="preserve">755240793   </v>
      </c>
      <c r="O17578">
        <v>230511</v>
      </c>
    </row>
    <row r="17579" spans="1:15" x14ac:dyDescent="0.25">
      <c r="A17579" t="s">
        <v>16</v>
      </c>
      <c r="B17579" t="s">
        <v>3221</v>
      </c>
      <c r="C17579">
        <v>13618</v>
      </c>
      <c r="D17579" t="s">
        <v>3229</v>
      </c>
      <c r="E17579" t="s">
        <v>3230</v>
      </c>
      <c r="F17579">
        <v>200</v>
      </c>
      <c r="G17579">
        <v>230930</v>
      </c>
      <c r="H17579">
        <v>4440</v>
      </c>
      <c r="I17579" t="s">
        <v>250</v>
      </c>
      <c r="J17579">
        <v>200</v>
      </c>
      <c r="K17579">
        <v>0</v>
      </c>
      <c r="L17579">
        <v>11001</v>
      </c>
      <c r="M17579" t="s">
        <v>326</v>
      </c>
      <c r="N17579" t="str">
        <f>"757866116   "</f>
        <v xml:space="preserve">757866116   </v>
      </c>
      <c r="O17579">
        <v>231012</v>
      </c>
    </row>
    <row r="17580" spans="1:15" x14ac:dyDescent="0.25">
      <c r="A17580" t="s">
        <v>16</v>
      </c>
      <c r="B17580" t="s">
        <v>3221</v>
      </c>
      <c r="C17580">
        <v>18917</v>
      </c>
      <c r="D17580" t="s">
        <v>3229</v>
      </c>
      <c r="E17580" t="s">
        <v>3230</v>
      </c>
      <c r="F17580">
        <v>122.58</v>
      </c>
      <c r="G17580">
        <v>231231</v>
      </c>
      <c r="H17580">
        <v>4440</v>
      </c>
      <c r="I17580" t="s">
        <v>250</v>
      </c>
      <c r="J17580">
        <v>152</v>
      </c>
      <c r="K17580">
        <v>29.42</v>
      </c>
      <c r="L17580">
        <v>11605</v>
      </c>
      <c r="M17580" t="s">
        <v>106</v>
      </c>
      <c r="N17580" t="str">
        <f>"759536584   "</f>
        <v xml:space="preserve">759536584   </v>
      </c>
      <c r="O17580">
        <v>240108</v>
      </c>
    </row>
    <row r="17581" spans="1:15" x14ac:dyDescent="0.25">
      <c r="A17581" t="s">
        <v>16</v>
      </c>
      <c r="B17581" t="s">
        <v>3221</v>
      </c>
      <c r="C17581">
        <v>1194</v>
      </c>
      <c r="D17581" t="s">
        <v>3229</v>
      </c>
      <c r="E17581" t="s">
        <v>3230</v>
      </c>
      <c r="F17581">
        <v>193.1</v>
      </c>
      <c r="G17581">
        <v>230131</v>
      </c>
      <c r="H17581">
        <v>4350</v>
      </c>
      <c r="I17581" t="s">
        <v>546</v>
      </c>
      <c r="J17581">
        <v>193.1</v>
      </c>
      <c r="K17581">
        <v>0</v>
      </c>
      <c r="L17581">
        <v>11301</v>
      </c>
      <c r="M17581" t="s">
        <v>29</v>
      </c>
      <c r="N17581" t="str">
        <f>"753587401   "</f>
        <v xml:space="preserve">753587401   </v>
      </c>
      <c r="O17581">
        <v>230206</v>
      </c>
    </row>
    <row r="17582" spans="1:15" x14ac:dyDescent="0.25">
      <c r="A17582" t="s">
        <v>16</v>
      </c>
      <c r="B17582" t="s">
        <v>3221</v>
      </c>
      <c r="C17582">
        <v>1194</v>
      </c>
      <c r="D17582" t="s">
        <v>3229</v>
      </c>
      <c r="E17582" t="s">
        <v>3230</v>
      </c>
      <c r="F17582">
        <v>10.39</v>
      </c>
      <c r="G17582">
        <v>230131</v>
      </c>
      <c r="H17582">
        <v>4350</v>
      </c>
      <c r="I17582" t="s">
        <v>546</v>
      </c>
      <c r="J17582">
        <v>10.39</v>
      </c>
      <c r="K17582">
        <v>0</v>
      </c>
      <c r="L17582">
        <v>49702</v>
      </c>
      <c r="M17582" t="s">
        <v>584</v>
      </c>
      <c r="N17582" t="str">
        <f>"753587401   "</f>
        <v xml:space="preserve">753587401   </v>
      </c>
      <c r="O17582">
        <v>230206</v>
      </c>
    </row>
    <row r="17583" spans="1:15" x14ac:dyDescent="0.25">
      <c r="A17583" t="s">
        <v>16</v>
      </c>
      <c r="B17583" t="s">
        <v>3221</v>
      </c>
      <c r="C17583">
        <v>2887</v>
      </c>
      <c r="D17583" t="s">
        <v>3229</v>
      </c>
      <c r="E17583" t="s">
        <v>3230</v>
      </c>
      <c r="F17583">
        <v>1166.29</v>
      </c>
      <c r="G17583">
        <v>230228</v>
      </c>
      <c r="H17583">
        <v>4350</v>
      </c>
      <c r="I17583" t="s">
        <v>546</v>
      </c>
      <c r="J17583">
        <v>1166.29</v>
      </c>
      <c r="K17583">
        <v>0</v>
      </c>
      <c r="L17583">
        <v>11301</v>
      </c>
      <c r="M17583" t="s">
        <v>29</v>
      </c>
      <c r="N17583" t="str">
        <f>"754131209   "</f>
        <v xml:space="preserve">754131209   </v>
      </c>
      <c r="O17583">
        <v>230308</v>
      </c>
    </row>
    <row r="17584" spans="1:15" x14ac:dyDescent="0.25">
      <c r="A17584" t="s">
        <v>16</v>
      </c>
      <c r="B17584" t="s">
        <v>3221</v>
      </c>
      <c r="C17584">
        <v>2887</v>
      </c>
      <c r="D17584" t="s">
        <v>3229</v>
      </c>
      <c r="E17584" t="s">
        <v>3230</v>
      </c>
      <c r="F17584">
        <v>910</v>
      </c>
      <c r="G17584">
        <v>230228</v>
      </c>
      <c r="H17584">
        <v>4350</v>
      </c>
      <c r="I17584" t="s">
        <v>546</v>
      </c>
      <c r="J17584">
        <v>910</v>
      </c>
      <c r="K17584">
        <v>0</v>
      </c>
      <c r="L17584">
        <v>14972</v>
      </c>
      <c r="M17584" t="s">
        <v>898</v>
      </c>
      <c r="N17584" t="str">
        <f>"754131209   "</f>
        <v xml:space="preserve">754131209   </v>
      </c>
      <c r="O17584">
        <v>230308</v>
      </c>
    </row>
    <row r="17585" spans="1:15" x14ac:dyDescent="0.25">
      <c r="A17585" t="s">
        <v>16</v>
      </c>
      <c r="B17585" t="s">
        <v>3221</v>
      </c>
      <c r="C17585">
        <v>2887</v>
      </c>
      <c r="D17585" t="s">
        <v>3229</v>
      </c>
      <c r="E17585" t="s">
        <v>3230</v>
      </c>
      <c r="F17585">
        <v>298.72000000000003</v>
      </c>
      <c r="G17585">
        <v>230228</v>
      </c>
      <c r="H17585">
        <v>4350</v>
      </c>
      <c r="I17585" t="s">
        <v>546</v>
      </c>
      <c r="J17585">
        <v>298.72000000000003</v>
      </c>
      <c r="K17585">
        <v>0</v>
      </c>
      <c r="L17585">
        <v>17711</v>
      </c>
      <c r="M17585" t="s">
        <v>65</v>
      </c>
      <c r="N17585" t="str">
        <f>"754131209   "</f>
        <v xml:space="preserve">754131209   </v>
      </c>
      <c r="O17585">
        <v>230308</v>
      </c>
    </row>
    <row r="17586" spans="1:15" x14ac:dyDescent="0.25">
      <c r="A17586" t="s">
        <v>16</v>
      </c>
      <c r="B17586" t="s">
        <v>3221</v>
      </c>
      <c r="C17586">
        <v>2887</v>
      </c>
      <c r="D17586" t="s">
        <v>3229</v>
      </c>
      <c r="E17586" t="s">
        <v>3230</v>
      </c>
      <c r="F17586">
        <v>133</v>
      </c>
      <c r="G17586">
        <v>230228</v>
      </c>
      <c r="H17586">
        <v>4350</v>
      </c>
      <c r="I17586" t="s">
        <v>546</v>
      </c>
      <c r="J17586">
        <v>133</v>
      </c>
      <c r="K17586">
        <v>0</v>
      </c>
      <c r="L17586">
        <v>49702</v>
      </c>
      <c r="M17586" t="s">
        <v>584</v>
      </c>
      <c r="N17586" t="str">
        <f>"754131209   "</f>
        <v xml:space="preserve">754131209   </v>
      </c>
      <c r="O17586">
        <v>230308</v>
      </c>
    </row>
    <row r="17587" spans="1:15" x14ac:dyDescent="0.25">
      <c r="A17587" t="s">
        <v>16</v>
      </c>
      <c r="B17587" t="s">
        <v>3221</v>
      </c>
      <c r="C17587">
        <v>4547</v>
      </c>
      <c r="D17587" t="s">
        <v>3229</v>
      </c>
      <c r="E17587" t="s">
        <v>3230</v>
      </c>
      <c r="F17587">
        <v>1753.53</v>
      </c>
      <c r="G17587">
        <v>230331</v>
      </c>
      <c r="H17587">
        <v>4350</v>
      </c>
      <c r="I17587" t="s">
        <v>546</v>
      </c>
      <c r="J17587">
        <v>1753.53</v>
      </c>
      <c r="K17587">
        <v>0</v>
      </c>
      <c r="L17587">
        <v>11301</v>
      </c>
      <c r="M17587" t="s">
        <v>29</v>
      </c>
      <c r="N17587" t="str">
        <f>"754682441   "</f>
        <v xml:space="preserve">754682441   </v>
      </c>
      <c r="O17587">
        <v>230406</v>
      </c>
    </row>
    <row r="17588" spans="1:15" x14ac:dyDescent="0.25">
      <c r="A17588" t="s">
        <v>16</v>
      </c>
      <c r="B17588" t="s">
        <v>3221</v>
      </c>
      <c r="C17588">
        <v>4547</v>
      </c>
      <c r="D17588" t="s">
        <v>3229</v>
      </c>
      <c r="E17588" t="s">
        <v>3230</v>
      </c>
      <c r="F17588">
        <v>51.28</v>
      </c>
      <c r="G17588">
        <v>230331</v>
      </c>
      <c r="H17588">
        <v>4350</v>
      </c>
      <c r="I17588" t="s">
        <v>546</v>
      </c>
      <c r="J17588">
        <v>51.28</v>
      </c>
      <c r="K17588">
        <v>0</v>
      </c>
      <c r="L17588">
        <v>17711</v>
      </c>
      <c r="M17588" t="s">
        <v>65</v>
      </c>
      <c r="N17588" t="str">
        <f>"754682441   "</f>
        <v xml:space="preserve">754682441   </v>
      </c>
      <c r="O17588">
        <v>230406</v>
      </c>
    </row>
    <row r="17589" spans="1:15" x14ac:dyDescent="0.25">
      <c r="A17589" t="s">
        <v>16</v>
      </c>
      <c r="B17589" t="s">
        <v>3221</v>
      </c>
      <c r="C17589">
        <v>4547</v>
      </c>
      <c r="D17589" t="s">
        <v>3229</v>
      </c>
      <c r="E17589" t="s">
        <v>3230</v>
      </c>
      <c r="F17589">
        <v>17</v>
      </c>
      <c r="G17589">
        <v>230331</v>
      </c>
      <c r="H17589">
        <v>4350</v>
      </c>
      <c r="I17589" t="s">
        <v>546</v>
      </c>
      <c r="J17589">
        <v>17</v>
      </c>
      <c r="K17589">
        <v>0</v>
      </c>
      <c r="L17589">
        <v>49702</v>
      </c>
      <c r="M17589" t="s">
        <v>584</v>
      </c>
      <c r="N17589" t="str">
        <f>"754682441   "</f>
        <v xml:space="preserve">754682441   </v>
      </c>
      <c r="O17589">
        <v>230406</v>
      </c>
    </row>
    <row r="17590" spans="1:15" x14ac:dyDescent="0.25">
      <c r="A17590" t="s">
        <v>16</v>
      </c>
      <c r="B17590" t="s">
        <v>3221</v>
      </c>
      <c r="C17590">
        <v>4809</v>
      </c>
      <c r="D17590" t="s">
        <v>3229</v>
      </c>
      <c r="E17590" t="s">
        <v>3230</v>
      </c>
      <c r="F17590">
        <v>56</v>
      </c>
      <c r="G17590">
        <v>230331</v>
      </c>
      <c r="H17590">
        <v>4350</v>
      </c>
      <c r="I17590" t="s">
        <v>546</v>
      </c>
      <c r="J17590">
        <v>56</v>
      </c>
      <c r="K17590">
        <v>0</v>
      </c>
      <c r="L17590">
        <v>11905</v>
      </c>
      <c r="M17590" t="s">
        <v>39</v>
      </c>
      <c r="N17590" t="str">
        <f>"754682466   "</f>
        <v xml:space="preserve">754682466   </v>
      </c>
      <c r="O17590">
        <v>230412</v>
      </c>
    </row>
    <row r="17591" spans="1:15" x14ac:dyDescent="0.25">
      <c r="A17591" t="s">
        <v>16</v>
      </c>
      <c r="B17591" t="s">
        <v>3221</v>
      </c>
      <c r="C17591">
        <v>5990</v>
      </c>
      <c r="D17591" t="s">
        <v>3229</v>
      </c>
      <c r="E17591" t="s">
        <v>3230</v>
      </c>
      <c r="F17591">
        <v>3.7</v>
      </c>
      <c r="G17591">
        <v>230430</v>
      </c>
      <c r="H17591">
        <v>4350</v>
      </c>
      <c r="I17591" t="s">
        <v>546</v>
      </c>
      <c r="J17591">
        <v>3.7</v>
      </c>
      <c r="K17591">
        <v>0</v>
      </c>
      <c r="L17591">
        <v>11905</v>
      </c>
      <c r="M17591" t="s">
        <v>39</v>
      </c>
      <c r="N17591" t="str">
        <f>"755240827   "</f>
        <v xml:space="preserve">755240827   </v>
      </c>
      <c r="O17591">
        <v>230505</v>
      </c>
    </row>
    <row r="17592" spans="1:15" x14ac:dyDescent="0.25">
      <c r="A17592" t="s">
        <v>16</v>
      </c>
      <c r="B17592" t="s">
        <v>3221</v>
      </c>
      <c r="C17592">
        <v>6115</v>
      </c>
      <c r="D17592" t="s">
        <v>3229</v>
      </c>
      <c r="E17592" t="s">
        <v>3230</v>
      </c>
      <c r="F17592">
        <v>25.03</v>
      </c>
      <c r="G17592">
        <v>230430</v>
      </c>
      <c r="H17592">
        <v>4350</v>
      </c>
      <c r="I17592" t="s">
        <v>546</v>
      </c>
      <c r="J17592">
        <v>25.03</v>
      </c>
      <c r="K17592">
        <v>0</v>
      </c>
      <c r="L17592">
        <v>11301</v>
      </c>
      <c r="M17592" t="s">
        <v>29</v>
      </c>
      <c r="N17592" t="str">
        <f>"755240801   "</f>
        <v xml:space="preserve">755240801   </v>
      </c>
      <c r="O17592">
        <v>230508</v>
      </c>
    </row>
    <row r="17593" spans="1:15" x14ac:dyDescent="0.25">
      <c r="A17593" t="s">
        <v>16</v>
      </c>
      <c r="B17593" t="s">
        <v>3221</v>
      </c>
      <c r="C17593">
        <v>6115</v>
      </c>
      <c r="D17593" t="s">
        <v>3229</v>
      </c>
      <c r="E17593" t="s">
        <v>3230</v>
      </c>
      <c r="F17593">
        <v>97.92</v>
      </c>
      <c r="G17593">
        <v>230430</v>
      </c>
      <c r="H17593">
        <v>4350</v>
      </c>
      <c r="I17593" t="s">
        <v>546</v>
      </c>
      <c r="J17593">
        <v>97.92</v>
      </c>
      <c r="K17593">
        <v>0</v>
      </c>
      <c r="L17593">
        <v>11301</v>
      </c>
      <c r="M17593" t="s">
        <v>29</v>
      </c>
      <c r="N17593" t="str">
        <f>"755240801   "</f>
        <v xml:space="preserve">755240801   </v>
      </c>
      <c r="O17593">
        <v>230508</v>
      </c>
    </row>
    <row r="17594" spans="1:15" x14ac:dyDescent="0.25">
      <c r="A17594" t="s">
        <v>16</v>
      </c>
      <c r="B17594" t="s">
        <v>3221</v>
      </c>
      <c r="C17594">
        <v>6115</v>
      </c>
      <c r="D17594" t="s">
        <v>3229</v>
      </c>
      <c r="E17594" t="s">
        <v>3230</v>
      </c>
      <c r="F17594">
        <v>7.65</v>
      </c>
      <c r="G17594">
        <v>230430</v>
      </c>
      <c r="H17594">
        <v>4350</v>
      </c>
      <c r="I17594" t="s">
        <v>546</v>
      </c>
      <c r="J17594">
        <v>7.65</v>
      </c>
      <c r="K17594">
        <v>0</v>
      </c>
      <c r="L17594">
        <v>49702</v>
      </c>
      <c r="M17594" t="s">
        <v>584</v>
      </c>
      <c r="N17594" t="str">
        <f>"755240801   "</f>
        <v xml:space="preserve">755240801   </v>
      </c>
      <c r="O17594">
        <v>230508</v>
      </c>
    </row>
    <row r="17595" spans="1:15" x14ac:dyDescent="0.25">
      <c r="A17595" t="s">
        <v>16</v>
      </c>
      <c r="B17595" t="s">
        <v>3221</v>
      </c>
      <c r="C17595">
        <v>8247</v>
      </c>
      <c r="D17595" t="s">
        <v>3229</v>
      </c>
      <c r="E17595" t="s">
        <v>3230</v>
      </c>
      <c r="F17595">
        <v>237.87</v>
      </c>
      <c r="G17595">
        <v>230531</v>
      </c>
      <c r="H17595">
        <v>4350</v>
      </c>
      <c r="I17595" t="s">
        <v>546</v>
      </c>
      <c r="J17595">
        <v>237.87</v>
      </c>
      <c r="K17595">
        <v>0</v>
      </c>
      <c r="L17595">
        <v>49702</v>
      </c>
      <c r="M17595" t="s">
        <v>584</v>
      </c>
      <c r="N17595" t="str">
        <f>"755790870   "</f>
        <v xml:space="preserve">755790870   </v>
      </c>
      <c r="O17595">
        <v>230608</v>
      </c>
    </row>
    <row r="17596" spans="1:15" x14ac:dyDescent="0.25">
      <c r="A17596" t="s">
        <v>16</v>
      </c>
      <c r="B17596" t="s">
        <v>3221</v>
      </c>
      <c r="C17596">
        <v>9301</v>
      </c>
      <c r="D17596" t="s">
        <v>3229</v>
      </c>
      <c r="E17596" t="s">
        <v>3230</v>
      </c>
      <c r="F17596">
        <v>60</v>
      </c>
      <c r="G17596">
        <v>230630</v>
      </c>
      <c r="H17596">
        <v>4350</v>
      </c>
      <c r="I17596" t="s">
        <v>546</v>
      </c>
      <c r="J17596">
        <v>60</v>
      </c>
      <c r="K17596">
        <v>0</v>
      </c>
      <c r="L17596">
        <v>11905</v>
      </c>
      <c r="M17596" t="s">
        <v>39</v>
      </c>
      <c r="N17596" t="str">
        <f>"756347993   "</f>
        <v xml:space="preserve">756347993   </v>
      </c>
      <c r="O17596">
        <v>230705</v>
      </c>
    </row>
    <row r="17597" spans="1:15" x14ac:dyDescent="0.25">
      <c r="A17597" t="s">
        <v>16</v>
      </c>
      <c r="B17597" t="s">
        <v>3221</v>
      </c>
      <c r="C17597">
        <v>9301</v>
      </c>
      <c r="D17597" t="s">
        <v>3229</v>
      </c>
      <c r="E17597" t="s">
        <v>3230</v>
      </c>
      <c r="F17597">
        <v>9.61</v>
      </c>
      <c r="G17597">
        <v>230630</v>
      </c>
      <c r="H17597">
        <v>4350</v>
      </c>
      <c r="I17597" t="s">
        <v>546</v>
      </c>
      <c r="J17597">
        <v>9.61</v>
      </c>
      <c r="K17597">
        <v>0</v>
      </c>
      <c r="L17597">
        <v>11905</v>
      </c>
      <c r="M17597" t="s">
        <v>39</v>
      </c>
      <c r="N17597" t="str">
        <f>"756347993   "</f>
        <v xml:space="preserve">756347993   </v>
      </c>
      <c r="O17597">
        <v>230705</v>
      </c>
    </row>
    <row r="17598" spans="1:15" x14ac:dyDescent="0.25">
      <c r="A17598" t="s">
        <v>16</v>
      </c>
      <c r="B17598" t="s">
        <v>3221</v>
      </c>
      <c r="C17598">
        <v>9480</v>
      </c>
      <c r="D17598" t="s">
        <v>3229</v>
      </c>
      <c r="E17598" t="s">
        <v>3230</v>
      </c>
      <c r="F17598">
        <v>150</v>
      </c>
      <c r="G17598">
        <v>230630</v>
      </c>
      <c r="H17598">
        <v>4350</v>
      </c>
      <c r="I17598" t="s">
        <v>546</v>
      </c>
      <c r="J17598">
        <v>150</v>
      </c>
      <c r="K17598">
        <v>0</v>
      </c>
      <c r="L17598">
        <v>11601</v>
      </c>
      <c r="M17598" t="s">
        <v>535</v>
      </c>
      <c r="N17598" t="str">
        <f>"756348025   "</f>
        <v xml:space="preserve">756348025   </v>
      </c>
      <c r="O17598">
        <v>230712</v>
      </c>
    </row>
    <row r="17599" spans="1:15" x14ac:dyDescent="0.25">
      <c r="A17599" t="s">
        <v>16</v>
      </c>
      <c r="B17599" t="s">
        <v>3221</v>
      </c>
      <c r="C17599">
        <v>9480</v>
      </c>
      <c r="D17599" t="s">
        <v>3229</v>
      </c>
      <c r="E17599" t="s">
        <v>3230</v>
      </c>
      <c r="F17599">
        <v>5.19</v>
      </c>
      <c r="G17599">
        <v>230630</v>
      </c>
      <c r="H17599">
        <v>4350</v>
      </c>
      <c r="I17599" t="s">
        <v>546</v>
      </c>
      <c r="J17599">
        <v>5.19</v>
      </c>
      <c r="K17599">
        <v>0</v>
      </c>
      <c r="L17599">
        <v>14972</v>
      </c>
      <c r="M17599" t="s">
        <v>898</v>
      </c>
      <c r="N17599" t="str">
        <f>"756348025   "</f>
        <v xml:space="preserve">756348025   </v>
      </c>
      <c r="O17599">
        <v>230712</v>
      </c>
    </row>
    <row r="17600" spans="1:15" x14ac:dyDescent="0.25">
      <c r="A17600" t="s">
        <v>16</v>
      </c>
      <c r="B17600" t="s">
        <v>3221</v>
      </c>
      <c r="C17600">
        <v>9480</v>
      </c>
      <c r="D17600" t="s">
        <v>3229</v>
      </c>
      <c r="E17600" t="s">
        <v>3230</v>
      </c>
      <c r="F17600">
        <v>208.11</v>
      </c>
      <c r="G17600">
        <v>230630</v>
      </c>
      <c r="H17600">
        <v>4350</v>
      </c>
      <c r="I17600" t="s">
        <v>546</v>
      </c>
      <c r="J17600">
        <v>208.11</v>
      </c>
      <c r="K17600">
        <v>0</v>
      </c>
      <c r="L17600">
        <v>14972</v>
      </c>
      <c r="M17600" t="s">
        <v>898</v>
      </c>
      <c r="N17600" t="str">
        <f>"756348025   "</f>
        <v xml:space="preserve">756348025   </v>
      </c>
      <c r="O17600">
        <v>230712</v>
      </c>
    </row>
    <row r="17601" spans="1:15" x14ac:dyDescent="0.25">
      <c r="A17601" t="s">
        <v>16</v>
      </c>
      <c r="B17601" t="s">
        <v>3221</v>
      </c>
      <c r="C17601">
        <v>9480</v>
      </c>
      <c r="D17601" t="s">
        <v>3229</v>
      </c>
      <c r="E17601" t="s">
        <v>3230</v>
      </c>
      <c r="F17601">
        <v>649.91999999999996</v>
      </c>
      <c r="G17601">
        <v>230630</v>
      </c>
      <c r="H17601">
        <v>4350</v>
      </c>
      <c r="I17601" t="s">
        <v>546</v>
      </c>
      <c r="J17601">
        <v>649.91999999999996</v>
      </c>
      <c r="K17601">
        <v>0</v>
      </c>
      <c r="L17601">
        <v>18972</v>
      </c>
      <c r="M17601" t="s">
        <v>163</v>
      </c>
      <c r="N17601" t="str">
        <f>"756348025   "</f>
        <v xml:space="preserve">756348025   </v>
      </c>
      <c r="O17601">
        <v>230712</v>
      </c>
    </row>
    <row r="17602" spans="1:15" x14ac:dyDescent="0.25">
      <c r="A17602" t="s">
        <v>16</v>
      </c>
      <c r="B17602" t="s">
        <v>3221</v>
      </c>
      <c r="C17602">
        <v>9480</v>
      </c>
      <c r="D17602" t="s">
        <v>3229</v>
      </c>
      <c r="E17602" t="s">
        <v>3230</v>
      </c>
      <c r="F17602">
        <v>335.41</v>
      </c>
      <c r="G17602">
        <v>230630</v>
      </c>
      <c r="H17602">
        <v>4350</v>
      </c>
      <c r="I17602" t="s">
        <v>546</v>
      </c>
      <c r="J17602">
        <v>335.41</v>
      </c>
      <c r="K17602">
        <v>0</v>
      </c>
      <c r="L17602">
        <v>49702</v>
      </c>
      <c r="M17602" t="s">
        <v>584</v>
      </c>
      <c r="N17602" t="str">
        <f>"756348025   "</f>
        <v xml:space="preserve">756348025   </v>
      </c>
      <c r="O17602">
        <v>230712</v>
      </c>
    </row>
    <row r="17603" spans="1:15" x14ac:dyDescent="0.25">
      <c r="A17603" t="s">
        <v>16</v>
      </c>
      <c r="B17603" t="s">
        <v>3221</v>
      </c>
      <c r="C17603">
        <v>10257</v>
      </c>
      <c r="D17603" t="s">
        <v>3229</v>
      </c>
      <c r="E17603" t="s">
        <v>3230</v>
      </c>
      <c r="F17603">
        <v>5.96</v>
      </c>
      <c r="G17603">
        <v>230731</v>
      </c>
      <c r="H17603">
        <v>4350</v>
      </c>
      <c r="I17603" t="s">
        <v>546</v>
      </c>
      <c r="J17603">
        <v>5.96</v>
      </c>
      <c r="K17603">
        <v>0</v>
      </c>
      <c r="L17603">
        <v>14972</v>
      </c>
      <c r="M17603" t="s">
        <v>898</v>
      </c>
      <c r="N17603" t="str">
        <f>"756863361   "</f>
        <v xml:space="preserve">756863361   </v>
      </c>
      <c r="O17603">
        <v>230814</v>
      </c>
    </row>
    <row r="17604" spans="1:15" x14ac:dyDescent="0.25">
      <c r="A17604" t="s">
        <v>16</v>
      </c>
      <c r="B17604" t="s">
        <v>3221</v>
      </c>
      <c r="C17604">
        <v>10257</v>
      </c>
      <c r="D17604" t="s">
        <v>3229</v>
      </c>
      <c r="E17604" t="s">
        <v>3230</v>
      </c>
      <c r="F17604">
        <v>178</v>
      </c>
      <c r="G17604">
        <v>230731</v>
      </c>
      <c r="H17604">
        <v>4350</v>
      </c>
      <c r="I17604" t="s">
        <v>546</v>
      </c>
      <c r="J17604">
        <v>178</v>
      </c>
      <c r="K17604">
        <v>0</v>
      </c>
      <c r="L17604">
        <v>14972</v>
      </c>
      <c r="M17604" t="s">
        <v>898</v>
      </c>
      <c r="N17604" t="str">
        <f>"756863361   "</f>
        <v xml:space="preserve">756863361   </v>
      </c>
      <c r="O17604">
        <v>230814</v>
      </c>
    </row>
    <row r="17605" spans="1:15" x14ac:dyDescent="0.25">
      <c r="A17605" t="s">
        <v>16</v>
      </c>
      <c r="B17605" t="s">
        <v>3221</v>
      </c>
      <c r="C17605">
        <v>10257</v>
      </c>
      <c r="D17605" t="s">
        <v>3229</v>
      </c>
      <c r="E17605" t="s">
        <v>3230</v>
      </c>
      <c r="F17605">
        <v>150.08000000000001</v>
      </c>
      <c r="G17605">
        <v>230731</v>
      </c>
      <c r="H17605">
        <v>4350</v>
      </c>
      <c r="I17605" t="s">
        <v>546</v>
      </c>
      <c r="J17605">
        <v>150.08000000000001</v>
      </c>
      <c r="K17605">
        <v>0</v>
      </c>
      <c r="L17605">
        <v>18972</v>
      </c>
      <c r="M17605" t="s">
        <v>163</v>
      </c>
      <c r="N17605" t="str">
        <f>"756863361   "</f>
        <v xml:space="preserve">756863361   </v>
      </c>
      <c r="O17605">
        <v>230814</v>
      </c>
    </row>
    <row r="17606" spans="1:15" x14ac:dyDescent="0.25">
      <c r="A17606" t="s">
        <v>16</v>
      </c>
      <c r="B17606" t="s">
        <v>3221</v>
      </c>
      <c r="C17606">
        <v>10257</v>
      </c>
      <c r="D17606" t="s">
        <v>3229</v>
      </c>
      <c r="E17606" t="s">
        <v>3230</v>
      </c>
      <c r="F17606">
        <v>167.24</v>
      </c>
      <c r="G17606">
        <v>230731</v>
      </c>
      <c r="H17606">
        <v>4350</v>
      </c>
      <c r="I17606" t="s">
        <v>546</v>
      </c>
      <c r="J17606">
        <v>167.24</v>
      </c>
      <c r="K17606">
        <v>0</v>
      </c>
      <c r="L17606">
        <v>18972</v>
      </c>
      <c r="M17606" t="s">
        <v>163</v>
      </c>
      <c r="N17606" t="str">
        <f>"756863361   "</f>
        <v xml:space="preserve">756863361   </v>
      </c>
      <c r="O17606">
        <v>230814</v>
      </c>
    </row>
    <row r="17607" spans="1:15" x14ac:dyDescent="0.25">
      <c r="A17607" t="s">
        <v>16</v>
      </c>
      <c r="B17607" t="s">
        <v>3221</v>
      </c>
      <c r="C17607">
        <v>10408</v>
      </c>
      <c r="D17607" t="s">
        <v>3229</v>
      </c>
      <c r="E17607" t="s">
        <v>3230</v>
      </c>
      <c r="F17607">
        <v>10.39</v>
      </c>
      <c r="G17607">
        <v>230731</v>
      </c>
      <c r="H17607">
        <v>4350</v>
      </c>
      <c r="I17607" t="s">
        <v>546</v>
      </c>
      <c r="J17607">
        <v>10.39</v>
      </c>
      <c r="K17607">
        <v>0</v>
      </c>
      <c r="L17607">
        <v>11905</v>
      </c>
      <c r="M17607" t="s">
        <v>39</v>
      </c>
      <c r="N17607" t="str">
        <f>"756863353   "</f>
        <v xml:space="preserve">756863353   </v>
      </c>
      <c r="O17607">
        <v>230815</v>
      </c>
    </row>
    <row r="17608" spans="1:15" x14ac:dyDescent="0.25">
      <c r="A17608" t="s">
        <v>16</v>
      </c>
      <c r="B17608" t="s">
        <v>3221</v>
      </c>
      <c r="C17608">
        <v>11846</v>
      </c>
      <c r="D17608" t="s">
        <v>3229</v>
      </c>
      <c r="E17608" t="s">
        <v>3230</v>
      </c>
      <c r="F17608">
        <v>80</v>
      </c>
      <c r="G17608">
        <v>230831</v>
      </c>
      <c r="H17608">
        <v>4350</v>
      </c>
      <c r="I17608" t="s">
        <v>546</v>
      </c>
      <c r="J17608">
        <v>80</v>
      </c>
      <c r="K17608">
        <v>0</v>
      </c>
      <c r="L17608">
        <v>11905</v>
      </c>
      <c r="M17608" t="s">
        <v>39</v>
      </c>
      <c r="N17608" t="str">
        <f>"757338215   "</f>
        <v xml:space="preserve">757338215   </v>
      </c>
      <c r="O17608">
        <v>230911</v>
      </c>
    </row>
    <row r="17609" spans="1:15" x14ac:dyDescent="0.25">
      <c r="A17609" t="s">
        <v>16</v>
      </c>
      <c r="B17609" t="s">
        <v>3221</v>
      </c>
      <c r="C17609">
        <v>12146</v>
      </c>
      <c r="D17609" t="s">
        <v>3229</v>
      </c>
      <c r="E17609" t="s">
        <v>3230</v>
      </c>
      <c r="F17609">
        <v>71.75</v>
      </c>
      <c r="G17609">
        <v>230831</v>
      </c>
      <c r="H17609">
        <v>4350</v>
      </c>
      <c r="I17609" t="s">
        <v>546</v>
      </c>
      <c r="J17609">
        <v>71.75</v>
      </c>
      <c r="K17609">
        <v>0</v>
      </c>
      <c r="L17609">
        <v>14972</v>
      </c>
      <c r="M17609" t="s">
        <v>898</v>
      </c>
      <c r="N17609" t="str">
        <f>"757338249   "</f>
        <v xml:space="preserve">757338249   </v>
      </c>
      <c r="O17609">
        <v>230914</v>
      </c>
    </row>
    <row r="17610" spans="1:15" x14ac:dyDescent="0.25">
      <c r="A17610" t="s">
        <v>16</v>
      </c>
      <c r="B17610" t="s">
        <v>3221</v>
      </c>
      <c r="C17610">
        <v>12146</v>
      </c>
      <c r="D17610" t="s">
        <v>3229</v>
      </c>
      <c r="E17610" t="s">
        <v>3230</v>
      </c>
      <c r="F17610">
        <v>172.85</v>
      </c>
      <c r="G17610">
        <v>230831</v>
      </c>
      <c r="H17610">
        <v>4350</v>
      </c>
      <c r="I17610" t="s">
        <v>546</v>
      </c>
      <c r="J17610">
        <v>172.85</v>
      </c>
      <c r="K17610">
        <v>0</v>
      </c>
      <c r="L17610">
        <v>18972</v>
      </c>
      <c r="M17610" t="s">
        <v>163</v>
      </c>
      <c r="N17610" t="str">
        <f>"757338249   "</f>
        <v xml:space="preserve">757338249   </v>
      </c>
      <c r="O17610">
        <v>230914</v>
      </c>
    </row>
    <row r="17611" spans="1:15" x14ac:dyDescent="0.25">
      <c r="A17611" t="s">
        <v>16</v>
      </c>
      <c r="B17611" t="s">
        <v>3221</v>
      </c>
      <c r="C17611">
        <v>12146</v>
      </c>
      <c r="D17611" t="s">
        <v>3229</v>
      </c>
      <c r="E17611" t="s">
        <v>3230</v>
      </c>
      <c r="F17611">
        <v>199.99</v>
      </c>
      <c r="G17611">
        <v>230831</v>
      </c>
      <c r="H17611">
        <v>4350</v>
      </c>
      <c r="I17611" t="s">
        <v>546</v>
      </c>
      <c r="J17611">
        <v>199.99</v>
      </c>
      <c r="K17611">
        <v>0</v>
      </c>
      <c r="L17611">
        <v>18972</v>
      </c>
      <c r="M17611" t="s">
        <v>163</v>
      </c>
      <c r="N17611" t="str">
        <f>"757338249   "</f>
        <v xml:space="preserve">757338249   </v>
      </c>
      <c r="O17611">
        <v>230914</v>
      </c>
    </row>
    <row r="17612" spans="1:15" x14ac:dyDescent="0.25">
      <c r="A17612" t="s">
        <v>16</v>
      </c>
      <c r="B17612" t="s">
        <v>3221</v>
      </c>
      <c r="C17612">
        <v>12146</v>
      </c>
      <c r="D17612" t="s">
        <v>3229</v>
      </c>
      <c r="E17612" t="s">
        <v>3230</v>
      </c>
      <c r="F17612">
        <v>41.97</v>
      </c>
      <c r="G17612">
        <v>230831</v>
      </c>
      <c r="H17612">
        <v>4350</v>
      </c>
      <c r="I17612" t="s">
        <v>546</v>
      </c>
      <c r="J17612">
        <v>41.97</v>
      </c>
      <c r="K17612">
        <v>0</v>
      </c>
      <c r="L17612">
        <v>49702</v>
      </c>
      <c r="M17612" t="s">
        <v>584</v>
      </c>
      <c r="N17612" t="str">
        <f>"757338249   "</f>
        <v xml:space="preserve">757338249   </v>
      </c>
      <c r="O17612">
        <v>230914</v>
      </c>
    </row>
    <row r="17613" spans="1:15" x14ac:dyDescent="0.25">
      <c r="A17613" t="s">
        <v>16</v>
      </c>
      <c r="B17613" t="s">
        <v>3221</v>
      </c>
      <c r="C17613">
        <v>13458</v>
      </c>
      <c r="D17613" t="s">
        <v>3229</v>
      </c>
      <c r="E17613" t="s">
        <v>3230</v>
      </c>
      <c r="F17613">
        <v>19.989999999999998</v>
      </c>
      <c r="G17613">
        <v>230930</v>
      </c>
      <c r="H17613">
        <v>4350</v>
      </c>
      <c r="I17613" t="s">
        <v>546</v>
      </c>
      <c r="J17613">
        <v>19.989999999999998</v>
      </c>
      <c r="K17613">
        <v>0</v>
      </c>
      <c r="L17613">
        <v>11905</v>
      </c>
      <c r="M17613" t="s">
        <v>39</v>
      </c>
      <c r="N17613" t="str">
        <f>"757866165   "</f>
        <v xml:space="preserve">757866165   </v>
      </c>
      <c r="O17613">
        <v>231010</v>
      </c>
    </row>
    <row r="17614" spans="1:15" x14ac:dyDescent="0.25">
      <c r="A17614" t="s">
        <v>16</v>
      </c>
      <c r="B17614" t="s">
        <v>3221</v>
      </c>
      <c r="C17614">
        <v>13647</v>
      </c>
      <c r="D17614" t="s">
        <v>3229</v>
      </c>
      <c r="E17614" t="s">
        <v>3230</v>
      </c>
      <c r="F17614">
        <v>169.85</v>
      </c>
      <c r="G17614">
        <v>230930</v>
      </c>
      <c r="H17614">
        <v>4350</v>
      </c>
      <c r="I17614" t="s">
        <v>546</v>
      </c>
      <c r="J17614">
        <v>169.85</v>
      </c>
      <c r="K17614">
        <v>0</v>
      </c>
      <c r="L17614">
        <v>11908</v>
      </c>
      <c r="M17614" t="s">
        <v>598</v>
      </c>
      <c r="N17614" t="str">
        <f>"757866181   "</f>
        <v xml:space="preserve">757866181   </v>
      </c>
      <c r="O17614">
        <v>231012</v>
      </c>
    </row>
    <row r="17615" spans="1:15" x14ac:dyDescent="0.25">
      <c r="A17615" t="s">
        <v>16</v>
      </c>
      <c r="B17615" t="s">
        <v>3221</v>
      </c>
      <c r="C17615">
        <v>13647</v>
      </c>
      <c r="D17615" t="s">
        <v>3229</v>
      </c>
      <c r="E17615" t="s">
        <v>3230</v>
      </c>
      <c r="F17615">
        <v>230.46</v>
      </c>
      <c r="G17615">
        <v>230930</v>
      </c>
      <c r="H17615">
        <v>4350</v>
      </c>
      <c r="I17615" t="s">
        <v>546</v>
      </c>
      <c r="J17615">
        <v>230.46</v>
      </c>
      <c r="K17615">
        <v>0</v>
      </c>
      <c r="L17615">
        <v>14972</v>
      </c>
      <c r="M17615" t="s">
        <v>898</v>
      </c>
      <c r="N17615" t="str">
        <f>"757866181   "</f>
        <v xml:space="preserve">757866181   </v>
      </c>
      <c r="O17615">
        <v>231012</v>
      </c>
    </row>
    <row r="17616" spans="1:15" x14ac:dyDescent="0.25">
      <c r="A17616" t="s">
        <v>16</v>
      </c>
      <c r="B17616" t="s">
        <v>3221</v>
      </c>
      <c r="C17616">
        <v>13647</v>
      </c>
      <c r="D17616" t="s">
        <v>3229</v>
      </c>
      <c r="E17616" t="s">
        <v>3230</v>
      </c>
      <c r="F17616">
        <v>419.71</v>
      </c>
      <c r="G17616">
        <v>230930</v>
      </c>
      <c r="H17616">
        <v>4350</v>
      </c>
      <c r="I17616" t="s">
        <v>546</v>
      </c>
      <c r="J17616">
        <v>419.71</v>
      </c>
      <c r="K17616">
        <v>0</v>
      </c>
      <c r="L17616">
        <v>14972</v>
      </c>
      <c r="M17616" t="s">
        <v>898</v>
      </c>
      <c r="N17616" t="str">
        <f>"757866181   "</f>
        <v xml:space="preserve">757866181   </v>
      </c>
      <c r="O17616">
        <v>231012</v>
      </c>
    </row>
    <row r="17617" spans="1:15" x14ac:dyDescent="0.25">
      <c r="A17617" t="s">
        <v>16</v>
      </c>
      <c r="B17617" t="s">
        <v>3221</v>
      </c>
      <c r="C17617">
        <v>13647</v>
      </c>
      <c r="D17617" t="s">
        <v>3229</v>
      </c>
      <c r="E17617" t="s">
        <v>3230</v>
      </c>
      <c r="F17617">
        <v>179.22</v>
      </c>
      <c r="G17617">
        <v>230930</v>
      </c>
      <c r="H17617">
        <v>4350</v>
      </c>
      <c r="I17617" t="s">
        <v>546</v>
      </c>
      <c r="J17617">
        <v>179.22</v>
      </c>
      <c r="K17617">
        <v>0</v>
      </c>
      <c r="L17617">
        <v>17972</v>
      </c>
      <c r="M17617" t="s">
        <v>248</v>
      </c>
      <c r="N17617" t="str">
        <f>"757866181   "</f>
        <v xml:space="preserve">757866181   </v>
      </c>
      <c r="O17617">
        <v>231012</v>
      </c>
    </row>
    <row r="17618" spans="1:15" x14ac:dyDescent="0.25">
      <c r="A17618" t="s">
        <v>16</v>
      </c>
      <c r="B17618" t="s">
        <v>3221</v>
      </c>
      <c r="C17618">
        <v>13647</v>
      </c>
      <c r="D17618" t="s">
        <v>3229</v>
      </c>
      <c r="E17618" t="s">
        <v>3230</v>
      </c>
      <c r="F17618">
        <v>257.01</v>
      </c>
      <c r="G17618">
        <v>230930</v>
      </c>
      <c r="H17618">
        <v>4350</v>
      </c>
      <c r="I17618" t="s">
        <v>546</v>
      </c>
      <c r="J17618">
        <v>257.01</v>
      </c>
      <c r="K17618">
        <v>0</v>
      </c>
      <c r="L17618">
        <v>49702</v>
      </c>
      <c r="M17618" t="s">
        <v>584</v>
      </c>
      <c r="N17618" t="str">
        <f>"757866181   "</f>
        <v xml:space="preserve">757866181   </v>
      </c>
      <c r="O17618">
        <v>231012</v>
      </c>
    </row>
    <row r="17619" spans="1:15" x14ac:dyDescent="0.25">
      <c r="A17619" t="s">
        <v>16</v>
      </c>
      <c r="B17619" t="s">
        <v>3221</v>
      </c>
      <c r="C17619">
        <v>15563</v>
      </c>
      <c r="D17619" t="s">
        <v>3229</v>
      </c>
      <c r="E17619" t="s">
        <v>3230</v>
      </c>
      <c r="F17619">
        <v>529.15</v>
      </c>
      <c r="G17619">
        <v>231031</v>
      </c>
      <c r="H17619">
        <v>4350</v>
      </c>
      <c r="I17619" t="s">
        <v>546</v>
      </c>
      <c r="J17619">
        <v>529.15</v>
      </c>
      <c r="K17619">
        <v>0</v>
      </c>
      <c r="L17619">
        <v>11301</v>
      </c>
      <c r="M17619" t="s">
        <v>29</v>
      </c>
      <c r="N17619" t="str">
        <f>"758412183   "</f>
        <v xml:space="preserve">758412183   </v>
      </c>
      <c r="O17619">
        <v>231114</v>
      </c>
    </row>
    <row r="17620" spans="1:15" x14ac:dyDescent="0.25">
      <c r="A17620" t="s">
        <v>16</v>
      </c>
      <c r="B17620" t="s">
        <v>3221</v>
      </c>
      <c r="C17620">
        <v>15563</v>
      </c>
      <c r="D17620" t="s">
        <v>3229</v>
      </c>
      <c r="E17620" t="s">
        <v>3230</v>
      </c>
      <c r="F17620">
        <v>120.11</v>
      </c>
      <c r="G17620">
        <v>231031</v>
      </c>
      <c r="H17620">
        <v>4350</v>
      </c>
      <c r="I17620" t="s">
        <v>546</v>
      </c>
      <c r="J17620">
        <v>120.11</v>
      </c>
      <c r="K17620">
        <v>0</v>
      </c>
      <c r="L17620">
        <v>11903</v>
      </c>
      <c r="M17620" t="s">
        <v>406</v>
      </c>
      <c r="N17620" t="str">
        <f>"758412183   "</f>
        <v xml:space="preserve">758412183   </v>
      </c>
      <c r="O17620">
        <v>231114</v>
      </c>
    </row>
    <row r="17621" spans="1:15" x14ac:dyDescent="0.25">
      <c r="A17621" t="s">
        <v>16</v>
      </c>
      <c r="B17621" t="s">
        <v>3221</v>
      </c>
      <c r="C17621">
        <v>15563</v>
      </c>
      <c r="D17621" t="s">
        <v>3229</v>
      </c>
      <c r="E17621" t="s">
        <v>3230</v>
      </c>
      <c r="F17621">
        <v>80.5</v>
      </c>
      <c r="G17621">
        <v>231031</v>
      </c>
      <c r="H17621">
        <v>4350</v>
      </c>
      <c r="I17621" t="s">
        <v>546</v>
      </c>
      <c r="J17621">
        <v>80.5</v>
      </c>
      <c r="K17621">
        <v>0</v>
      </c>
      <c r="L17621">
        <v>14972</v>
      </c>
      <c r="M17621" t="s">
        <v>898</v>
      </c>
      <c r="N17621" t="str">
        <f>"758412183   "</f>
        <v xml:space="preserve">758412183   </v>
      </c>
      <c r="O17621">
        <v>231114</v>
      </c>
    </row>
    <row r="17622" spans="1:15" x14ac:dyDescent="0.25">
      <c r="A17622" t="s">
        <v>16</v>
      </c>
      <c r="B17622" t="s">
        <v>3221</v>
      </c>
      <c r="C17622">
        <v>15563</v>
      </c>
      <c r="D17622" t="s">
        <v>3229</v>
      </c>
      <c r="E17622" t="s">
        <v>3230</v>
      </c>
      <c r="F17622">
        <v>182.4</v>
      </c>
      <c r="G17622">
        <v>231031</v>
      </c>
      <c r="H17622">
        <v>4350</v>
      </c>
      <c r="I17622" t="s">
        <v>546</v>
      </c>
      <c r="J17622">
        <v>182.4</v>
      </c>
      <c r="K17622">
        <v>0</v>
      </c>
      <c r="L17622">
        <v>14972</v>
      </c>
      <c r="M17622" t="s">
        <v>898</v>
      </c>
      <c r="N17622" t="str">
        <f>"758412183   "</f>
        <v xml:space="preserve">758412183   </v>
      </c>
      <c r="O17622">
        <v>231114</v>
      </c>
    </row>
    <row r="17623" spans="1:15" x14ac:dyDescent="0.25">
      <c r="A17623" t="s">
        <v>16</v>
      </c>
      <c r="B17623" t="s">
        <v>3221</v>
      </c>
      <c r="C17623">
        <v>15563</v>
      </c>
      <c r="D17623" t="s">
        <v>3229</v>
      </c>
      <c r="E17623" t="s">
        <v>3230</v>
      </c>
      <c r="F17623">
        <v>115.95</v>
      </c>
      <c r="G17623">
        <v>231031</v>
      </c>
      <c r="H17623">
        <v>4350</v>
      </c>
      <c r="I17623" t="s">
        <v>546</v>
      </c>
      <c r="J17623">
        <v>115.95</v>
      </c>
      <c r="K17623">
        <v>0</v>
      </c>
      <c r="L17623">
        <v>49702</v>
      </c>
      <c r="M17623" t="s">
        <v>584</v>
      </c>
      <c r="N17623" t="str">
        <f>"758412183   "</f>
        <v xml:space="preserve">758412183   </v>
      </c>
      <c r="O17623">
        <v>231114</v>
      </c>
    </row>
    <row r="17624" spans="1:15" x14ac:dyDescent="0.25">
      <c r="A17624" t="s">
        <v>16</v>
      </c>
      <c r="B17624" t="s">
        <v>3221</v>
      </c>
      <c r="C17624">
        <v>17310</v>
      </c>
      <c r="D17624" t="s">
        <v>3229</v>
      </c>
      <c r="E17624" t="s">
        <v>3230</v>
      </c>
      <c r="F17624">
        <v>182.4</v>
      </c>
      <c r="G17624">
        <v>231130</v>
      </c>
      <c r="H17624">
        <v>4350</v>
      </c>
      <c r="I17624" t="s">
        <v>546</v>
      </c>
      <c r="J17624">
        <v>182.4</v>
      </c>
      <c r="K17624">
        <v>0</v>
      </c>
      <c r="L17624">
        <v>11301</v>
      </c>
      <c r="M17624" t="s">
        <v>29</v>
      </c>
      <c r="N17624" t="str">
        <f>"758980288   "</f>
        <v xml:space="preserve">758980288   </v>
      </c>
      <c r="O17624">
        <v>231213</v>
      </c>
    </row>
    <row r="17625" spans="1:15" x14ac:dyDescent="0.25">
      <c r="A17625" t="s">
        <v>16</v>
      </c>
      <c r="B17625" t="s">
        <v>3221</v>
      </c>
      <c r="C17625">
        <v>17310</v>
      </c>
      <c r="D17625" t="s">
        <v>3229</v>
      </c>
      <c r="E17625" t="s">
        <v>3230</v>
      </c>
      <c r="F17625">
        <v>628.9</v>
      </c>
      <c r="G17625">
        <v>231130</v>
      </c>
      <c r="H17625">
        <v>4350</v>
      </c>
      <c r="I17625" t="s">
        <v>546</v>
      </c>
      <c r="J17625">
        <v>779.83</v>
      </c>
      <c r="K17625">
        <v>150.93</v>
      </c>
      <c r="L17625">
        <v>11301</v>
      </c>
      <c r="M17625" t="s">
        <v>29</v>
      </c>
      <c r="N17625" t="str">
        <f>"758980288   "</f>
        <v xml:space="preserve">758980288   </v>
      </c>
      <c r="O17625">
        <v>231213</v>
      </c>
    </row>
    <row r="17626" spans="1:15" x14ac:dyDescent="0.25">
      <c r="A17626" t="s">
        <v>16</v>
      </c>
      <c r="B17626" t="s">
        <v>3221</v>
      </c>
      <c r="C17626">
        <v>17310</v>
      </c>
      <c r="D17626" t="s">
        <v>3229</v>
      </c>
      <c r="E17626" t="s">
        <v>3230</v>
      </c>
      <c r="F17626">
        <v>10.039999999999999</v>
      </c>
      <c r="G17626">
        <v>231130</v>
      </c>
      <c r="H17626">
        <v>4350</v>
      </c>
      <c r="I17626" t="s">
        <v>546</v>
      </c>
      <c r="J17626">
        <v>10.039999999999999</v>
      </c>
      <c r="K17626">
        <v>0</v>
      </c>
      <c r="L17626">
        <v>11903</v>
      </c>
      <c r="M17626" t="s">
        <v>406</v>
      </c>
      <c r="N17626" t="str">
        <f>"758980288   "</f>
        <v xml:space="preserve">758980288   </v>
      </c>
      <c r="O17626">
        <v>231213</v>
      </c>
    </row>
    <row r="17627" spans="1:15" x14ac:dyDescent="0.25">
      <c r="A17627" t="s">
        <v>16</v>
      </c>
      <c r="B17627" t="s">
        <v>3221</v>
      </c>
      <c r="C17627">
        <v>17310</v>
      </c>
      <c r="D17627" t="s">
        <v>3229</v>
      </c>
      <c r="E17627" t="s">
        <v>3230</v>
      </c>
      <c r="F17627">
        <v>57.34</v>
      </c>
      <c r="G17627">
        <v>231130</v>
      </c>
      <c r="H17627">
        <v>4350</v>
      </c>
      <c r="I17627" t="s">
        <v>546</v>
      </c>
      <c r="J17627">
        <v>57.34</v>
      </c>
      <c r="K17627">
        <v>0</v>
      </c>
      <c r="L17627">
        <v>14972</v>
      </c>
      <c r="M17627" t="s">
        <v>898</v>
      </c>
      <c r="N17627" t="str">
        <f>"758980288   "</f>
        <v xml:space="preserve">758980288   </v>
      </c>
      <c r="O17627">
        <v>231213</v>
      </c>
    </row>
    <row r="17628" spans="1:15" x14ac:dyDescent="0.25">
      <c r="A17628" t="s">
        <v>16</v>
      </c>
      <c r="B17628" t="s">
        <v>3221</v>
      </c>
      <c r="C17628">
        <v>17310</v>
      </c>
      <c r="D17628" t="s">
        <v>3229</v>
      </c>
      <c r="E17628" t="s">
        <v>3230</v>
      </c>
      <c r="F17628">
        <v>141.63</v>
      </c>
      <c r="G17628">
        <v>231130</v>
      </c>
      <c r="H17628">
        <v>4350</v>
      </c>
      <c r="I17628" t="s">
        <v>546</v>
      </c>
      <c r="J17628">
        <v>141.63</v>
      </c>
      <c r="K17628">
        <v>0</v>
      </c>
      <c r="L17628">
        <v>17131</v>
      </c>
      <c r="M17628" t="s">
        <v>64</v>
      </c>
      <c r="N17628" t="str">
        <f>"758980288   "</f>
        <v xml:space="preserve">758980288   </v>
      </c>
      <c r="O17628">
        <v>231213</v>
      </c>
    </row>
    <row r="17629" spans="1:15" x14ac:dyDescent="0.25">
      <c r="A17629" t="s">
        <v>16</v>
      </c>
      <c r="B17629" t="s">
        <v>3221</v>
      </c>
      <c r="C17629">
        <v>18806</v>
      </c>
      <c r="D17629" t="s">
        <v>3229</v>
      </c>
      <c r="E17629" t="s">
        <v>3230</v>
      </c>
      <c r="F17629">
        <v>200</v>
      </c>
      <c r="G17629">
        <v>231231</v>
      </c>
      <c r="H17629">
        <v>4350</v>
      </c>
      <c r="I17629" t="s">
        <v>546</v>
      </c>
      <c r="J17629">
        <v>200</v>
      </c>
      <c r="K17629">
        <v>0</v>
      </c>
      <c r="L17629">
        <v>53222</v>
      </c>
      <c r="M17629" t="s">
        <v>445</v>
      </c>
      <c r="N17629" t="str">
        <f>"759536568   "</f>
        <v xml:space="preserve">759536568   </v>
      </c>
      <c r="O17629">
        <v>240108</v>
      </c>
    </row>
    <row r="17630" spans="1:15" x14ac:dyDescent="0.25">
      <c r="A17630" t="s">
        <v>16</v>
      </c>
      <c r="B17630" t="s">
        <v>3221</v>
      </c>
      <c r="C17630">
        <v>19175</v>
      </c>
      <c r="D17630" t="s">
        <v>3229</v>
      </c>
      <c r="E17630" t="s">
        <v>3230</v>
      </c>
      <c r="F17630">
        <v>71.319999999999993</v>
      </c>
      <c r="G17630">
        <v>231231</v>
      </c>
      <c r="H17630">
        <v>4350</v>
      </c>
      <c r="I17630" t="s">
        <v>546</v>
      </c>
      <c r="J17630">
        <v>71.319999999999993</v>
      </c>
      <c r="K17630">
        <v>0</v>
      </c>
      <c r="L17630">
        <v>11301</v>
      </c>
      <c r="M17630" t="s">
        <v>29</v>
      </c>
      <c r="N17630" t="str">
        <f t="shared" ref="N17630:N17635" si="235">"759536600   "</f>
        <v xml:space="preserve">759536600   </v>
      </c>
      <c r="O17630">
        <v>240129</v>
      </c>
    </row>
    <row r="17631" spans="1:15" x14ac:dyDescent="0.25">
      <c r="A17631" t="s">
        <v>16</v>
      </c>
      <c r="B17631" t="s">
        <v>3221</v>
      </c>
      <c r="C17631">
        <v>19175</v>
      </c>
      <c r="D17631" t="s">
        <v>3229</v>
      </c>
      <c r="E17631" t="s">
        <v>3230</v>
      </c>
      <c r="F17631">
        <v>182.18</v>
      </c>
      <c r="G17631">
        <v>231231</v>
      </c>
      <c r="H17631">
        <v>4350</v>
      </c>
      <c r="I17631" t="s">
        <v>546</v>
      </c>
      <c r="J17631">
        <v>182.18</v>
      </c>
      <c r="K17631">
        <v>0</v>
      </c>
      <c r="L17631">
        <v>11301</v>
      </c>
      <c r="M17631" t="s">
        <v>29</v>
      </c>
      <c r="N17631" t="str">
        <f t="shared" si="235"/>
        <v xml:space="preserve">759536600   </v>
      </c>
      <c r="O17631">
        <v>240129</v>
      </c>
    </row>
    <row r="17632" spans="1:15" x14ac:dyDescent="0.25">
      <c r="A17632" t="s">
        <v>16</v>
      </c>
      <c r="B17632" t="s">
        <v>3221</v>
      </c>
      <c r="C17632">
        <v>19175</v>
      </c>
      <c r="D17632" t="s">
        <v>3229</v>
      </c>
      <c r="E17632" t="s">
        <v>3230</v>
      </c>
      <c r="F17632">
        <v>669.6</v>
      </c>
      <c r="G17632">
        <v>231231</v>
      </c>
      <c r="H17632">
        <v>4350</v>
      </c>
      <c r="I17632" t="s">
        <v>546</v>
      </c>
      <c r="J17632">
        <v>669.6</v>
      </c>
      <c r="K17632">
        <v>0</v>
      </c>
      <c r="L17632">
        <v>11301</v>
      </c>
      <c r="M17632" t="s">
        <v>29</v>
      </c>
      <c r="N17632" t="str">
        <f t="shared" si="235"/>
        <v xml:space="preserve">759536600   </v>
      </c>
      <c r="O17632">
        <v>240129</v>
      </c>
    </row>
    <row r="17633" spans="1:15" x14ac:dyDescent="0.25">
      <c r="A17633" t="s">
        <v>16</v>
      </c>
      <c r="B17633" t="s">
        <v>3221</v>
      </c>
      <c r="C17633">
        <v>19175</v>
      </c>
      <c r="D17633" t="s">
        <v>3229</v>
      </c>
      <c r="E17633" t="s">
        <v>3230</v>
      </c>
      <c r="F17633">
        <v>628.9</v>
      </c>
      <c r="G17633">
        <v>231231</v>
      </c>
      <c r="H17633">
        <v>4350</v>
      </c>
      <c r="I17633" t="s">
        <v>546</v>
      </c>
      <c r="J17633">
        <v>779.83</v>
      </c>
      <c r="K17633">
        <v>150.93</v>
      </c>
      <c r="L17633">
        <v>11301</v>
      </c>
      <c r="M17633" t="s">
        <v>29</v>
      </c>
      <c r="N17633" t="str">
        <f t="shared" si="235"/>
        <v xml:space="preserve">759536600   </v>
      </c>
      <c r="O17633">
        <v>240129</v>
      </c>
    </row>
    <row r="17634" spans="1:15" x14ac:dyDescent="0.25">
      <c r="A17634" t="s">
        <v>16</v>
      </c>
      <c r="B17634" t="s">
        <v>3221</v>
      </c>
      <c r="C17634">
        <v>19175</v>
      </c>
      <c r="D17634" t="s">
        <v>3229</v>
      </c>
      <c r="E17634" t="s">
        <v>3230</v>
      </c>
      <c r="F17634">
        <v>70.67</v>
      </c>
      <c r="G17634">
        <v>231231</v>
      </c>
      <c r="H17634">
        <v>4350</v>
      </c>
      <c r="I17634" t="s">
        <v>546</v>
      </c>
      <c r="J17634">
        <v>70.67</v>
      </c>
      <c r="K17634">
        <v>0</v>
      </c>
      <c r="L17634">
        <v>14972</v>
      </c>
      <c r="M17634" t="s">
        <v>898</v>
      </c>
      <c r="N17634" t="str">
        <f t="shared" si="235"/>
        <v xml:space="preserve">759536600   </v>
      </c>
      <c r="O17634">
        <v>240129</v>
      </c>
    </row>
    <row r="17635" spans="1:15" x14ac:dyDescent="0.25">
      <c r="A17635" t="s">
        <v>16</v>
      </c>
      <c r="B17635" t="s">
        <v>3221</v>
      </c>
      <c r="C17635">
        <v>19175</v>
      </c>
      <c r="D17635" t="s">
        <v>3229</v>
      </c>
      <c r="E17635" t="s">
        <v>3230</v>
      </c>
      <c r="F17635">
        <v>60.13</v>
      </c>
      <c r="G17635">
        <v>231231</v>
      </c>
      <c r="H17635">
        <v>4350</v>
      </c>
      <c r="I17635" t="s">
        <v>546</v>
      </c>
      <c r="J17635">
        <v>60.13</v>
      </c>
      <c r="K17635">
        <v>0</v>
      </c>
      <c r="L17635">
        <v>49702</v>
      </c>
      <c r="M17635" t="s">
        <v>584</v>
      </c>
      <c r="N17635" t="str">
        <f t="shared" si="235"/>
        <v xml:space="preserve">759536600   </v>
      </c>
      <c r="O17635">
        <v>240129</v>
      </c>
    </row>
    <row r="17636" spans="1:15" x14ac:dyDescent="0.25">
      <c r="A17636" t="s">
        <v>16</v>
      </c>
      <c r="B17636" t="s">
        <v>3221</v>
      </c>
      <c r="C17636">
        <v>6427</v>
      </c>
      <c r="D17636" t="s">
        <v>3229</v>
      </c>
      <c r="E17636" t="s">
        <v>3230</v>
      </c>
      <c r="F17636">
        <v>127.45</v>
      </c>
      <c r="G17636">
        <v>230430</v>
      </c>
      <c r="H17636">
        <v>4560</v>
      </c>
      <c r="I17636" t="s">
        <v>345</v>
      </c>
      <c r="J17636">
        <v>158.04</v>
      </c>
      <c r="K17636">
        <v>30.59</v>
      </c>
      <c r="L17636">
        <v>11902</v>
      </c>
      <c r="M17636" t="s">
        <v>1443</v>
      </c>
      <c r="N17636" t="str">
        <f>"755240793   "</f>
        <v xml:space="preserve">755240793   </v>
      </c>
      <c r="O17636">
        <v>230511</v>
      </c>
    </row>
    <row r="17637" spans="1:15" x14ac:dyDescent="0.25">
      <c r="A17637" t="s">
        <v>16</v>
      </c>
      <c r="B17637" t="s">
        <v>3221</v>
      </c>
      <c r="C17637">
        <v>8250</v>
      </c>
      <c r="D17637" t="s">
        <v>3229</v>
      </c>
      <c r="E17637" t="s">
        <v>3230</v>
      </c>
      <c r="F17637">
        <v>23.19</v>
      </c>
      <c r="G17637">
        <v>230531</v>
      </c>
      <c r="H17637">
        <v>4560</v>
      </c>
      <c r="I17637" t="s">
        <v>345</v>
      </c>
      <c r="J17637">
        <v>28.75</v>
      </c>
      <c r="K17637">
        <v>5.56</v>
      </c>
      <c r="L17637">
        <v>47522</v>
      </c>
      <c r="M17637" t="s">
        <v>410</v>
      </c>
      <c r="N17637" t="str">
        <f>"755790854   "</f>
        <v xml:space="preserve">755790854   </v>
      </c>
      <c r="O17637">
        <v>230608</v>
      </c>
    </row>
    <row r="17638" spans="1:15" x14ac:dyDescent="0.25">
      <c r="A17638" t="s">
        <v>16</v>
      </c>
      <c r="B17638" t="s">
        <v>3221</v>
      </c>
      <c r="C17638">
        <v>11382</v>
      </c>
      <c r="D17638" t="s">
        <v>3229</v>
      </c>
      <c r="E17638" t="s">
        <v>3230</v>
      </c>
      <c r="F17638">
        <v>524.19000000000005</v>
      </c>
      <c r="G17638">
        <v>230831</v>
      </c>
      <c r="H17638">
        <v>4560</v>
      </c>
      <c r="I17638" t="s">
        <v>345</v>
      </c>
      <c r="J17638">
        <v>650</v>
      </c>
      <c r="K17638">
        <v>125.81</v>
      </c>
      <c r="L17638">
        <v>47522</v>
      </c>
      <c r="M17638" t="s">
        <v>410</v>
      </c>
      <c r="N17638" t="str">
        <f>"757338207   "</f>
        <v xml:space="preserve">757338207   </v>
      </c>
      <c r="O17638">
        <v>230905</v>
      </c>
    </row>
    <row r="17639" spans="1:15" x14ac:dyDescent="0.25">
      <c r="A17639" t="s">
        <v>16</v>
      </c>
      <c r="B17639" t="s">
        <v>3221</v>
      </c>
      <c r="C17639">
        <v>15133</v>
      </c>
      <c r="D17639" t="s">
        <v>3229</v>
      </c>
      <c r="E17639" t="s">
        <v>3230</v>
      </c>
      <c r="F17639">
        <v>11.3</v>
      </c>
      <c r="G17639">
        <v>231031</v>
      </c>
      <c r="H17639">
        <v>4560</v>
      </c>
      <c r="I17639" t="s">
        <v>345</v>
      </c>
      <c r="J17639">
        <v>14.01</v>
      </c>
      <c r="K17639">
        <v>2.71</v>
      </c>
      <c r="L17639">
        <v>12010</v>
      </c>
      <c r="M17639" t="s">
        <v>2189</v>
      </c>
      <c r="N17639" t="str">
        <f>"758412126   "</f>
        <v xml:space="preserve">758412126   </v>
      </c>
      <c r="O17639">
        <v>231109</v>
      </c>
    </row>
    <row r="17640" spans="1:15" x14ac:dyDescent="0.25">
      <c r="A17640" t="s">
        <v>16</v>
      </c>
      <c r="B17640" t="s">
        <v>3221</v>
      </c>
      <c r="C17640">
        <v>15133</v>
      </c>
      <c r="D17640" t="s">
        <v>3229</v>
      </c>
      <c r="E17640" t="s">
        <v>3230</v>
      </c>
      <c r="F17640">
        <v>20.98</v>
      </c>
      <c r="G17640">
        <v>231031</v>
      </c>
      <c r="H17640">
        <v>4560</v>
      </c>
      <c r="I17640" t="s">
        <v>345</v>
      </c>
      <c r="J17640">
        <v>26.01</v>
      </c>
      <c r="K17640">
        <v>5.03</v>
      </c>
      <c r="L17640">
        <v>12982</v>
      </c>
      <c r="M17640" t="s">
        <v>1518</v>
      </c>
      <c r="N17640" t="str">
        <f>"758412126   "</f>
        <v xml:space="preserve">758412126   </v>
      </c>
      <c r="O17640">
        <v>231109</v>
      </c>
    </row>
    <row r="17641" spans="1:15" x14ac:dyDescent="0.25">
      <c r="A17641" t="s">
        <v>16</v>
      </c>
      <c r="B17641" t="s">
        <v>3221</v>
      </c>
      <c r="C17641">
        <v>18574</v>
      </c>
      <c r="D17641" t="s">
        <v>3229</v>
      </c>
      <c r="E17641" t="s">
        <v>3230</v>
      </c>
      <c r="F17641">
        <v>40</v>
      </c>
      <c r="G17641">
        <v>231231</v>
      </c>
      <c r="H17641">
        <v>4560</v>
      </c>
      <c r="I17641" t="s">
        <v>345</v>
      </c>
      <c r="J17641">
        <v>49.6</v>
      </c>
      <c r="K17641">
        <v>9.6</v>
      </c>
      <c r="L17641">
        <v>47522</v>
      </c>
      <c r="M17641" t="s">
        <v>410</v>
      </c>
      <c r="N17641" t="str">
        <f>"759536576   "</f>
        <v xml:space="preserve">759536576   </v>
      </c>
      <c r="O17641">
        <v>240104</v>
      </c>
    </row>
    <row r="17642" spans="1:15" x14ac:dyDescent="0.25">
      <c r="A17642" t="s">
        <v>16</v>
      </c>
      <c r="B17642" t="s">
        <v>3221</v>
      </c>
      <c r="C17642">
        <v>19209</v>
      </c>
      <c r="D17642" t="s">
        <v>3229</v>
      </c>
      <c r="E17642" t="s">
        <v>3230</v>
      </c>
      <c r="F17642">
        <v>22.26</v>
      </c>
      <c r="G17642">
        <v>231231</v>
      </c>
      <c r="H17642">
        <v>4364</v>
      </c>
      <c r="I17642" t="s">
        <v>296</v>
      </c>
      <c r="J17642">
        <v>27.6</v>
      </c>
      <c r="K17642">
        <v>5.34</v>
      </c>
      <c r="L17642">
        <v>11801</v>
      </c>
      <c r="M17642" t="s">
        <v>92</v>
      </c>
      <c r="N17642" t="str">
        <f>"759536592   "</f>
        <v xml:space="preserve">759536592   </v>
      </c>
      <c r="O17642">
        <v>240112</v>
      </c>
    </row>
    <row r="17643" spans="1:15" x14ac:dyDescent="0.25">
      <c r="A17643" t="s">
        <v>16</v>
      </c>
      <c r="B17643" t="s">
        <v>3221</v>
      </c>
      <c r="C17643">
        <v>3225</v>
      </c>
      <c r="D17643" t="s">
        <v>3229</v>
      </c>
      <c r="E17643" t="s">
        <v>3230</v>
      </c>
      <c r="F17643">
        <v>24.9</v>
      </c>
      <c r="G17643">
        <v>230228</v>
      </c>
      <c r="H17643">
        <v>4380</v>
      </c>
      <c r="I17643" t="s">
        <v>113</v>
      </c>
      <c r="J17643">
        <v>24.9</v>
      </c>
      <c r="K17643">
        <v>0</v>
      </c>
      <c r="L17643">
        <v>11001</v>
      </c>
      <c r="M17643" t="s">
        <v>326</v>
      </c>
      <c r="N17643" t="str">
        <f>"754131175   "</f>
        <v xml:space="preserve">754131175   </v>
      </c>
      <c r="O17643">
        <v>230310</v>
      </c>
    </row>
    <row r="17644" spans="1:15" x14ac:dyDescent="0.25">
      <c r="A17644" t="s">
        <v>16</v>
      </c>
      <c r="B17644" t="s">
        <v>3221</v>
      </c>
      <c r="C17644">
        <v>5940</v>
      </c>
      <c r="D17644" t="s">
        <v>3229</v>
      </c>
      <c r="E17644" t="s">
        <v>3230</v>
      </c>
      <c r="F17644">
        <v>49.8</v>
      </c>
      <c r="G17644">
        <v>230430</v>
      </c>
      <c r="H17644">
        <v>4380</v>
      </c>
      <c r="I17644" t="s">
        <v>113</v>
      </c>
      <c r="J17644">
        <v>49.8</v>
      </c>
      <c r="K17644">
        <v>0</v>
      </c>
      <c r="L17644">
        <v>11001</v>
      </c>
      <c r="M17644" t="s">
        <v>326</v>
      </c>
      <c r="N17644" t="str">
        <f>"755240769   "</f>
        <v xml:space="preserve">755240769   </v>
      </c>
      <c r="O17644">
        <v>230504</v>
      </c>
    </row>
    <row r="17645" spans="1:15" x14ac:dyDescent="0.25">
      <c r="A17645" t="s">
        <v>16</v>
      </c>
      <c r="B17645" t="s">
        <v>3221</v>
      </c>
      <c r="C17645">
        <v>1039</v>
      </c>
      <c r="D17645" t="s">
        <v>3229</v>
      </c>
      <c r="E17645" t="s">
        <v>3230</v>
      </c>
      <c r="F17645">
        <v>40</v>
      </c>
      <c r="G17645">
        <v>230131</v>
      </c>
      <c r="H17645">
        <v>4363</v>
      </c>
      <c r="I17645" t="s">
        <v>947</v>
      </c>
      <c r="J17645">
        <v>40</v>
      </c>
      <c r="K17645">
        <v>0</v>
      </c>
      <c r="L17645">
        <v>11901</v>
      </c>
      <c r="M17645" t="s">
        <v>36</v>
      </c>
      <c r="N17645" t="str">
        <f>"753587427   "</f>
        <v xml:space="preserve">753587427   </v>
      </c>
      <c r="O17645">
        <v>230202</v>
      </c>
    </row>
    <row r="17646" spans="1:15" x14ac:dyDescent="0.25">
      <c r="A17646" t="s">
        <v>16</v>
      </c>
      <c r="B17646" t="s">
        <v>3221</v>
      </c>
      <c r="C17646">
        <v>1192</v>
      </c>
      <c r="D17646" t="s">
        <v>3229</v>
      </c>
      <c r="E17646" t="s">
        <v>3230</v>
      </c>
      <c r="F17646">
        <v>40</v>
      </c>
      <c r="G17646">
        <v>230131</v>
      </c>
      <c r="H17646">
        <v>4363</v>
      </c>
      <c r="I17646" t="s">
        <v>947</v>
      </c>
      <c r="J17646">
        <v>40</v>
      </c>
      <c r="K17646">
        <v>0</v>
      </c>
      <c r="L17646">
        <v>11901</v>
      </c>
      <c r="M17646" t="s">
        <v>36</v>
      </c>
      <c r="N17646" t="str">
        <f>"753587435   "</f>
        <v xml:space="preserve">753587435   </v>
      </c>
      <c r="O17646">
        <v>230206</v>
      </c>
    </row>
    <row r="17647" spans="1:15" x14ac:dyDescent="0.25">
      <c r="A17647" t="s">
        <v>16</v>
      </c>
      <c r="B17647" t="s">
        <v>3221</v>
      </c>
      <c r="C17647">
        <v>1193</v>
      </c>
      <c r="D17647" t="s">
        <v>3229</v>
      </c>
      <c r="E17647" t="s">
        <v>3230</v>
      </c>
      <c r="F17647">
        <v>44.7</v>
      </c>
      <c r="G17647">
        <v>230131</v>
      </c>
      <c r="H17647">
        <v>4363</v>
      </c>
      <c r="I17647" t="s">
        <v>947</v>
      </c>
      <c r="J17647">
        <v>44.7</v>
      </c>
      <c r="K17647">
        <v>0</v>
      </c>
      <c r="L17647">
        <v>47522</v>
      </c>
      <c r="M17647" t="s">
        <v>410</v>
      </c>
      <c r="N17647" t="str">
        <f>"753587419   "</f>
        <v xml:space="preserve">753587419   </v>
      </c>
      <c r="O17647">
        <v>230206</v>
      </c>
    </row>
    <row r="17648" spans="1:15" x14ac:dyDescent="0.25">
      <c r="A17648" t="s">
        <v>16</v>
      </c>
      <c r="B17648" t="s">
        <v>3221</v>
      </c>
      <c r="C17648">
        <v>1544</v>
      </c>
      <c r="D17648" t="s">
        <v>3229</v>
      </c>
      <c r="E17648" t="s">
        <v>3230</v>
      </c>
      <c r="F17648">
        <v>40</v>
      </c>
      <c r="G17648">
        <v>230131</v>
      </c>
      <c r="H17648">
        <v>4363</v>
      </c>
      <c r="I17648" t="s">
        <v>947</v>
      </c>
      <c r="J17648">
        <v>40</v>
      </c>
      <c r="K17648">
        <v>0</v>
      </c>
      <c r="L17648">
        <v>11900</v>
      </c>
      <c r="M17648" t="s">
        <v>1105</v>
      </c>
      <c r="N17648" t="str">
        <f>"753587385   "</f>
        <v xml:space="preserve">753587385   </v>
      </c>
      <c r="O17648">
        <v>230209</v>
      </c>
    </row>
    <row r="17649" spans="1:15" x14ac:dyDescent="0.25">
      <c r="A17649" t="s">
        <v>16</v>
      </c>
      <c r="B17649" t="s">
        <v>3221</v>
      </c>
      <c r="C17649">
        <v>3408</v>
      </c>
      <c r="D17649" t="s">
        <v>3229</v>
      </c>
      <c r="E17649" t="s">
        <v>3230</v>
      </c>
      <c r="F17649">
        <v>52.5</v>
      </c>
      <c r="G17649">
        <v>230228</v>
      </c>
      <c r="H17649">
        <v>4363</v>
      </c>
      <c r="I17649" t="s">
        <v>947</v>
      </c>
      <c r="J17649">
        <v>52.5</v>
      </c>
      <c r="K17649">
        <v>0</v>
      </c>
      <c r="L17649">
        <v>59702</v>
      </c>
      <c r="M17649" t="s">
        <v>328</v>
      </c>
      <c r="N17649" t="str">
        <f>"754131217   "</f>
        <v xml:space="preserve">754131217   </v>
      </c>
      <c r="O17649">
        <v>230315</v>
      </c>
    </row>
    <row r="17650" spans="1:15" x14ac:dyDescent="0.25">
      <c r="A17650" t="s">
        <v>16</v>
      </c>
      <c r="B17650" t="s">
        <v>3221</v>
      </c>
      <c r="C17650">
        <v>6315</v>
      </c>
      <c r="D17650" t="s">
        <v>3229</v>
      </c>
      <c r="E17650" t="s">
        <v>3230</v>
      </c>
      <c r="F17650">
        <v>45</v>
      </c>
      <c r="G17650">
        <v>230430</v>
      </c>
      <c r="H17650">
        <v>4363</v>
      </c>
      <c r="I17650" t="s">
        <v>947</v>
      </c>
      <c r="J17650">
        <v>45</v>
      </c>
      <c r="K17650">
        <v>0</v>
      </c>
      <c r="L17650">
        <v>11301</v>
      </c>
      <c r="M17650" t="s">
        <v>29</v>
      </c>
      <c r="N17650" t="str">
        <f>"755240835   "</f>
        <v xml:space="preserve">755240835   </v>
      </c>
      <c r="O17650">
        <v>230510</v>
      </c>
    </row>
    <row r="17651" spans="1:15" x14ac:dyDescent="0.25">
      <c r="A17651" t="s">
        <v>16</v>
      </c>
      <c r="B17651" t="s">
        <v>3221</v>
      </c>
      <c r="C17651">
        <v>10017</v>
      </c>
      <c r="D17651" t="s">
        <v>3229</v>
      </c>
      <c r="E17651" t="s">
        <v>3230</v>
      </c>
      <c r="F17651">
        <v>45</v>
      </c>
      <c r="G17651">
        <v>230731</v>
      </c>
      <c r="H17651">
        <v>4363</v>
      </c>
      <c r="I17651" t="s">
        <v>947</v>
      </c>
      <c r="J17651">
        <v>45</v>
      </c>
      <c r="K17651">
        <v>0</v>
      </c>
      <c r="L17651">
        <v>17972</v>
      </c>
      <c r="M17651" t="s">
        <v>248</v>
      </c>
      <c r="N17651" t="str">
        <f>"756863338   "</f>
        <v xml:space="preserve">756863338   </v>
      </c>
      <c r="O17651">
        <v>230807</v>
      </c>
    </row>
    <row r="17652" spans="1:15" x14ac:dyDescent="0.25">
      <c r="A17652" t="s">
        <v>16</v>
      </c>
      <c r="B17652" t="s">
        <v>3221</v>
      </c>
      <c r="C17652">
        <v>11382</v>
      </c>
      <c r="D17652" t="s">
        <v>3229</v>
      </c>
      <c r="E17652" t="s">
        <v>3230</v>
      </c>
      <c r="F17652">
        <v>0.31</v>
      </c>
      <c r="G17652">
        <v>230831</v>
      </c>
      <c r="H17652">
        <v>4363</v>
      </c>
      <c r="I17652" t="s">
        <v>947</v>
      </c>
      <c r="J17652">
        <v>0.31</v>
      </c>
      <c r="K17652">
        <v>0</v>
      </c>
      <c r="L17652">
        <v>47522</v>
      </c>
      <c r="M17652" t="s">
        <v>410</v>
      </c>
      <c r="N17652" t="str">
        <f>"757338207   "</f>
        <v xml:space="preserve">757338207   </v>
      </c>
      <c r="O17652">
        <v>230905</v>
      </c>
    </row>
    <row r="17653" spans="1:15" x14ac:dyDescent="0.25">
      <c r="A17653" t="s">
        <v>16</v>
      </c>
      <c r="B17653" t="s">
        <v>3221</v>
      </c>
      <c r="C17653">
        <v>13400</v>
      </c>
      <c r="D17653" t="s">
        <v>3229</v>
      </c>
      <c r="E17653" t="s">
        <v>3230</v>
      </c>
      <c r="F17653">
        <v>45</v>
      </c>
      <c r="G17653">
        <v>230930</v>
      </c>
      <c r="H17653">
        <v>4363</v>
      </c>
      <c r="I17653" t="s">
        <v>947</v>
      </c>
      <c r="J17653">
        <v>45</v>
      </c>
      <c r="K17653">
        <v>0</v>
      </c>
      <c r="L17653">
        <v>11301</v>
      </c>
      <c r="M17653" t="s">
        <v>29</v>
      </c>
      <c r="N17653" t="str">
        <f>"757866140   "</f>
        <v xml:space="preserve">757866140   </v>
      </c>
      <c r="O17653">
        <v>231010</v>
      </c>
    </row>
    <row r="17654" spans="1:15" x14ac:dyDescent="0.25">
      <c r="A17654" t="s">
        <v>16</v>
      </c>
      <c r="B17654" t="s">
        <v>3221</v>
      </c>
      <c r="C17654">
        <v>2615</v>
      </c>
      <c r="D17654" t="s">
        <v>3229</v>
      </c>
      <c r="E17654" t="s">
        <v>3230</v>
      </c>
      <c r="F17654">
        <v>22.98</v>
      </c>
      <c r="G17654">
        <v>230228</v>
      </c>
      <c r="H17654">
        <v>4820</v>
      </c>
      <c r="I17654" t="s">
        <v>50</v>
      </c>
      <c r="J17654">
        <v>28.5</v>
      </c>
      <c r="K17654">
        <v>5.52</v>
      </c>
      <c r="L17654">
        <v>11908</v>
      </c>
      <c r="M17654" t="s">
        <v>598</v>
      </c>
      <c r="N17654" t="str">
        <f>"754131233   "</f>
        <v xml:space="preserve">754131233   </v>
      </c>
      <c r="O17654">
        <v>230303</v>
      </c>
    </row>
    <row r="17655" spans="1:15" x14ac:dyDescent="0.25">
      <c r="A17655" t="s">
        <v>16</v>
      </c>
      <c r="B17655" t="s">
        <v>3221</v>
      </c>
      <c r="C17655">
        <v>4809</v>
      </c>
      <c r="D17655" t="s">
        <v>3229</v>
      </c>
      <c r="E17655" t="s">
        <v>3230</v>
      </c>
      <c r="F17655">
        <v>22.98</v>
      </c>
      <c r="G17655">
        <v>230331</v>
      </c>
      <c r="H17655">
        <v>4820</v>
      </c>
      <c r="I17655" t="s">
        <v>50</v>
      </c>
      <c r="J17655">
        <v>28.5</v>
      </c>
      <c r="K17655">
        <v>5.52</v>
      </c>
      <c r="L17655">
        <v>11908</v>
      </c>
      <c r="M17655" t="s">
        <v>598</v>
      </c>
      <c r="N17655" t="str">
        <f>"754682466   "</f>
        <v xml:space="preserve">754682466   </v>
      </c>
      <c r="O17655">
        <v>230412</v>
      </c>
    </row>
    <row r="17656" spans="1:15" x14ac:dyDescent="0.25">
      <c r="A17656" t="s">
        <v>16</v>
      </c>
      <c r="B17656" t="s">
        <v>3221</v>
      </c>
      <c r="C17656">
        <v>1668</v>
      </c>
      <c r="D17656" t="s">
        <v>3229</v>
      </c>
      <c r="E17656" t="s">
        <v>3230</v>
      </c>
      <c r="F17656">
        <v>60</v>
      </c>
      <c r="G17656">
        <v>230131</v>
      </c>
      <c r="H17656">
        <v>4572</v>
      </c>
      <c r="I17656" t="s">
        <v>122</v>
      </c>
      <c r="J17656">
        <v>60</v>
      </c>
      <c r="K17656">
        <v>0</v>
      </c>
      <c r="L17656">
        <v>11001</v>
      </c>
      <c r="M17656" t="s">
        <v>326</v>
      </c>
      <c r="N17656" t="str">
        <f>"753587369   "</f>
        <v xml:space="preserve">753587369   </v>
      </c>
      <c r="O17656">
        <v>230213</v>
      </c>
    </row>
    <row r="17657" spans="1:15" x14ac:dyDescent="0.25">
      <c r="A17657" t="s">
        <v>16</v>
      </c>
      <c r="B17657" t="s">
        <v>3221</v>
      </c>
      <c r="C17657">
        <v>3225</v>
      </c>
      <c r="D17657" t="s">
        <v>3229</v>
      </c>
      <c r="E17657" t="s">
        <v>3230</v>
      </c>
      <c r="F17657">
        <v>30</v>
      </c>
      <c r="G17657">
        <v>230228</v>
      </c>
      <c r="H17657">
        <v>4572</v>
      </c>
      <c r="I17657" t="s">
        <v>122</v>
      </c>
      <c r="J17657">
        <v>30</v>
      </c>
      <c r="K17657">
        <v>0</v>
      </c>
      <c r="L17657">
        <v>11001</v>
      </c>
      <c r="M17657" t="s">
        <v>326</v>
      </c>
      <c r="N17657" t="str">
        <f>"754131175   "</f>
        <v xml:space="preserve">754131175   </v>
      </c>
      <c r="O17657">
        <v>230310</v>
      </c>
    </row>
    <row r="17658" spans="1:15" x14ac:dyDescent="0.25">
      <c r="A17658" t="s">
        <v>16</v>
      </c>
      <c r="B17658" t="s">
        <v>3221</v>
      </c>
      <c r="C17658">
        <v>4605</v>
      </c>
      <c r="D17658" t="s">
        <v>3229</v>
      </c>
      <c r="E17658" t="s">
        <v>3230</v>
      </c>
      <c r="F17658">
        <v>60</v>
      </c>
      <c r="G17658">
        <v>230331</v>
      </c>
      <c r="H17658">
        <v>4572</v>
      </c>
      <c r="I17658" t="s">
        <v>122</v>
      </c>
      <c r="J17658">
        <v>60</v>
      </c>
      <c r="K17658">
        <v>0</v>
      </c>
      <c r="L17658">
        <v>11001</v>
      </c>
      <c r="M17658" t="s">
        <v>326</v>
      </c>
      <c r="N17658" t="str">
        <f>"754682417   "</f>
        <v xml:space="preserve">754682417   </v>
      </c>
      <c r="O17658">
        <v>230411</v>
      </c>
    </row>
    <row r="17659" spans="1:15" x14ac:dyDescent="0.25">
      <c r="A17659" t="s">
        <v>16</v>
      </c>
      <c r="B17659" t="s">
        <v>3221</v>
      </c>
      <c r="C17659">
        <v>5940</v>
      </c>
      <c r="D17659" t="s">
        <v>3229</v>
      </c>
      <c r="E17659" t="s">
        <v>3230</v>
      </c>
      <c r="F17659">
        <v>0.81</v>
      </c>
      <c r="G17659">
        <v>230430</v>
      </c>
      <c r="H17659">
        <v>4572</v>
      </c>
      <c r="I17659" t="s">
        <v>122</v>
      </c>
      <c r="J17659">
        <v>0.81</v>
      </c>
      <c r="K17659">
        <v>0</v>
      </c>
      <c r="L17659">
        <v>11001</v>
      </c>
      <c r="M17659" t="s">
        <v>326</v>
      </c>
      <c r="N17659" t="str">
        <f>"755240769   "</f>
        <v xml:space="preserve">755240769   </v>
      </c>
      <c r="O17659">
        <v>230504</v>
      </c>
    </row>
    <row r="17660" spans="1:15" x14ac:dyDescent="0.25">
      <c r="A17660" t="s">
        <v>16</v>
      </c>
      <c r="B17660" t="s">
        <v>3221</v>
      </c>
      <c r="C17660">
        <v>8646</v>
      </c>
      <c r="D17660" t="s">
        <v>3229</v>
      </c>
      <c r="E17660" t="s">
        <v>3230</v>
      </c>
      <c r="F17660">
        <v>4.1900000000000004</v>
      </c>
      <c r="G17660">
        <v>230531</v>
      </c>
      <c r="H17660">
        <v>4572</v>
      </c>
      <c r="I17660" t="s">
        <v>122</v>
      </c>
      <c r="J17660">
        <v>4.1900000000000004</v>
      </c>
      <c r="K17660">
        <v>0</v>
      </c>
      <c r="L17660">
        <v>11001</v>
      </c>
      <c r="M17660" t="s">
        <v>326</v>
      </c>
      <c r="N17660" t="str">
        <f>"755790797   "</f>
        <v xml:space="preserve">755790797   </v>
      </c>
      <c r="O17660">
        <v>230613</v>
      </c>
    </row>
    <row r="17661" spans="1:15" x14ac:dyDescent="0.25">
      <c r="A17661" t="s">
        <v>16</v>
      </c>
      <c r="B17661" t="s">
        <v>3221</v>
      </c>
      <c r="C17661">
        <v>10255</v>
      </c>
      <c r="D17661" t="s">
        <v>3229</v>
      </c>
      <c r="E17661" t="s">
        <v>3230</v>
      </c>
      <c r="F17661">
        <v>4.0199999999999996</v>
      </c>
      <c r="G17661">
        <v>230731</v>
      </c>
      <c r="H17661">
        <v>4572</v>
      </c>
      <c r="I17661" t="s">
        <v>122</v>
      </c>
      <c r="J17661">
        <v>4.0199999999999996</v>
      </c>
      <c r="K17661">
        <v>0</v>
      </c>
      <c r="L17661">
        <v>11001</v>
      </c>
      <c r="M17661" t="s">
        <v>326</v>
      </c>
      <c r="N17661" t="str">
        <f>"756863320   "</f>
        <v xml:space="preserve">756863320   </v>
      </c>
      <c r="O17661">
        <v>230814</v>
      </c>
    </row>
    <row r="17662" spans="1:15" x14ac:dyDescent="0.25">
      <c r="A17662" t="s">
        <v>16</v>
      </c>
      <c r="B17662" t="s">
        <v>3221</v>
      </c>
      <c r="C17662">
        <v>11777</v>
      </c>
      <c r="D17662" t="s">
        <v>3229</v>
      </c>
      <c r="E17662" t="s">
        <v>3230</v>
      </c>
      <c r="F17662">
        <v>4.0199999999999996</v>
      </c>
      <c r="G17662">
        <v>230831</v>
      </c>
      <c r="H17662">
        <v>4572</v>
      </c>
      <c r="I17662" t="s">
        <v>122</v>
      </c>
      <c r="J17662">
        <v>4.0199999999999996</v>
      </c>
      <c r="K17662">
        <v>0</v>
      </c>
      <c r="L17662">
        <v>11001</v>
      </c>
      <c r="M17662" t="s">
        <v>326</v>
      </c>
      <c r="N17662" t="str">
        <f>"757338140   "</f>
        <v xml:space="preserve">757338140   </v>
      </c>
      <c r="O17662">
        <v>230911</v>
      </c>
    </row>
    <row r="17663" spans="1:15" x14ac:dyDescent="0.25">
      <c r="A17663" t="s">
        <v>16</v>
      </c>
      <c r="B17663" t="s">
        <v>3221</v>
      </c>
      <c r="C17663">
        <v>13618</v>
      </c>
      <c r="D17663" t="s">
        <v>3229</v>
      </c>
      <c r="E17663" t="s">
        <v>3230</v>
      </c>
      <c r="F17663">
        <v>4.0199999999999996</v>
      </c>
      <c r="G17663">
        <v>230930</v>
      </c>
      <c r="H17663">
        <v>4572</v>
      </c>
      <c r="I17663" t="s">
        <v>122</v>
      </c>
      <c r="J17663">
        <v>4.0199999999999996</v>
      </c>
      <c r="K17663">
        <v>0</v>
      </c>
      <c r="L17663">
        <v>11001</v>
      </c>
      <c r="M17663" t="s">
        <v>326</v>
      </c>
      <c r="N17663" t="str">
        <f>"757866116   "</f>
        <v xml:space="preserve">757866116   </v>
      </c>
      <c r="O17663">
        <v>231012</v>
      </c>
    </row>
    <row r="17664" spans="1:15" x14ac:dyDescent="0.25">
      <c r="A17664" t="s">
        <v>16</v>
      </c>
      <c r="B17664" t="s">
        <v>3221</v>
      </c>
      <c r="C17664">
        <v>15309</v>
      </c>
      <c r="D17664" t="s">
        <v>3229</v>
      </c>
      <c r="E17664" t="s">
        <v>3230</v>
      </c>
      <c r="F17664">
        <v>4.0199999999999996</v>
      </c>
      <c r="G17664">
        <v>231031</v>
      </c>
      <c r="H17664">
        <v>4572</v>
      </c>
      <c r="I17664" t="s">
        <v>122</v>
      </c>
      <c r="J17664">
        <v>4.0199999999999996</v>
      </c>
      <c r="K17664">
        <v>0</v>
      </c>
      <c r="L17664">
        <v>11001</v>
      </c>
      <c r="M17664" t="s">
        <v>326</v>
      </c>
      <c r="N17664" t="str">
        <f>"758412092   "</f>
        <v xml:space="preserve">758412092   </v>
      </c>
      <c r="O17664">
        <v>231113</v>
      </c>
    </row>
    <row r="17665" spans="1:15" x14ac:dyDescent="0.25">
      <c r="A17665" t="s">
        <v>16</v>
      </c>
      <c r="B17665" t="s">
        <v>3221</v>
      </c>
      <c r="C17665">
        <v>17036</v>
      </c>
      <c r="D17665" t="s">
        <v>3229</v>
      </c>
      <c r="E17665" t="s">
        <v>3230</v>
      </c>
      <c r="F17665">
        <v>4.0199999999999996</v>
      </c>
      <c r="G17665">
        <v>231130</v>
      </c>
      <c r="H17665">
        <v>4572</v>
      </c>
      <c r="I17665" t="s">
        <v>122</v>
      </c>
      <c r="J17665">
        <v>4.0199999999999996</v>
      </c>
      <c r="K17665">
        <v>0</v>
      </c>
      <c r="L17665">
        <v>11001</v>
      </c>
      <c r="M17665" t="s">
        <v>326</v>
      </c>
      <c r="N17665" t="str">
        <f>"758980213   "</f>
        <v xml:space="preserve">758980213   </v>
      </c>
      <c r="O17665">
        <v>231212</v>
      </c>
    </row>
    <row r="17666" spans="1:15" x14ac:dyDescent="0.25">
      <c r="A17666" t="s">
        <v>16</v>
      </c>
      <c r="B17666" t="s">
        <v>3221</v>
      </c>
      <c r="C17666">
        <v>18728</v>
      </c>
      <c r="D17666" t="s">
        <v>3229</v>
      </c>
      <c r="E17666" t="s">
        <v>3230</v>
      </c>
      <c r="F17666">
        <v>63.7</v>
      </c>
      <c r="G17666">
        <v>231231</v>
      </c>
      <c r="H17666">
        <v>4572</v>
      </c>
      <c r="I17666" t="s">
        <v>122</v>
      </c>
      <c r="J17666">
        <v>63.7</v>
      </c>
      <c r="K17666">
        <v>0</v>
      </c>
      <c r="L17666">
        <v>11001</v>
      </c>
      <c r="M17666" t="s">
        <v>326</v>
      </c>
      <c r="N17666" t="str">
        <f>"759536527   "</f>
        <v xml:space="preserve">759536527   </v>
      </c>
      <c r="O17666">
        <v>240105</v>
      </c>
    </row>
    <row r="17667" spans="1:15" x14ac:dyDescent="0.25">
      <c r="A17667" t="s">
        <v>16</v>
      </c>
      <c r="B17667" t="s">
        <v>3221</v>
      </c>
      <c r="C17667">
        <v>4868</v>
      </c>
      <c r="D17667" t="s">
        <v>3229</v>
      </c>
      <c r="E17667" t="s">
        <v>3230</v>
      </c>
      <c r="F17667">
        <v>18.43</v>
      </c>
      <c r="G17667">
        <v>230331</v>
      </c>
      <c r="H17667">
        <v>4500</v>
      </c>
      <c r="I17667" t="s">
        <v>212</v>
      </c>
      <c r="J17667">
        <v>22.85</v>
      </c>
      <c r="K17667">
        <v>4.42</v>
      </c>
      <c r="L17667">
        <v>11801</v>
      </c>
      <c r="M17667" t="s">
        <v>92</v>
      </c>
      <c r="N17667" t="str">
        <f>"754682482   "</f>
        <v xml:space="preserve">754682482   </v>
      </c>
      <c r="O17667">
        <v>230413</v>
      </c>
    </row>
    <row r="17668" spans="1:15" x14ac:dyDescent="0.25">
      <c r="A17668" t="s">
        <v>16</v>
      </c>
      <c r="B17668" t="s">
        <v>3221</v>
      </c>
      <c r="C17668">
        <v>4954</v>
      </c>
      <c r="D17668" t="s">
        <v>3229</v>
      </c>
      <c r="E17668" t="s">
        <v>3230</v>
      </c>
      <c r="F17668">
        <v>42.86</v>
      </c>
      <c r="G17668">
        <v>230331</v>
      </c>
      <c r="H17668">
        <v>4500</v>
      </c>
      <c r="I17668" t="s">
        <v>212</v>
      </c>
      <c r="J17668">
        <v>53.15</v>
      </c>
      <c r="K17668">
        <v>10.29</v>
      </c>
      <c r="L17668">
        <v>11901</v>
      </c>
      <c r="M17668" t="s">
        <v>36</v>
      </c>
      <c r="N17668" t="str">
        <f>"754682474   "</f>
        <v xml:space="preserve">754682474   </v>
      </c>
      <c r="O17668">
        <v>230414</v>
      </c>
    </row>
    <row r="17669" spans="1:15" x14ac:dyDescent="0.25">
      <c r="A17669" t="s">
        <v>16</v>
      </c>
      <c r="B17669" t="s">
        <v>3221</v>
      </c>
      <c r="C17669">
        <v>9300</v>
      </c>
      <c r="D17669" t="s">
        <v>3229</v>
      </c>
      <c r="E17669" t="s">
        <v>3230</v>
      </c>
      <c r="F17669">
        <v>8.59</v>
      </c>
      <c r="G17669">
        <v>230630</v>
      </c>
      <c r="H17669">
        <v>4500</v>
      </c>
      <c r="I17669" t="s">
        <v>212</v>
      </c>
      <c r="J17669">
        <v>9.4499999999999993</v>
      </c>
      <c r="K17669">
        <v>0.86</v>
      </c>
      <c r="L17669">
        <v>11905</v>
      </c>
      <c r="M17669" t="s">
        <v>39</v>
      </c>
      <c r="N17669" t="str">
        <f>"756348009   "</f>
        <v xml:space="preserve">756348009   </v>
      </c>
      <c r="O17669">
        <v>230705</v>
      </c>
    </row>
    <row r="17670" spans="1:15" x14ac:dyDescent="0.25">
      <c r="A17670" t="s">
        <v>16</v>
      </c>
      <c r="B17670" t="s">
        <v>3221</v>
      </c>
      <c r="C17670">
        <v>9300</v>
      </c>
      <c r="D17670" t="s">
        <v>3229</v>
      </c>
      <c r="E17670" t="s">
        <v>3230</v>
      </c>
      <c r="F17670">
        <v>17.95</v>
      </c>
      <c r="G17670">
        <v>230630</v>
      </c>
      <c r="H17670">
        <v>4500</v>
      </c>
      <c r="I17670" t="s">
        <v>212</v>
      </c>
      <c r="J17670">
        <v>22.26</v>
      </c>
      <c r="K17670">
        <v>4.3099999999999996</v>
      </c>
      <c r="L17670">
        <v>11905</v>
      </c>
      <c r="M17670" t="s">
        <v>39</v>
      </c>
      <c r="N17670" t="str">
        <f>"756348009   "</f>
        <v xml:space="preserve">756348009   </v>
      </c>
      <c r="O17670">
        <v>230705</v>
      </c>
    </row>
    <row r="17671" spans="1:15" x14ac:dyDescent="0.25">
      <c r="A17671" t="s">
        <v>16</v>
      </c>
      <c r="B17671" t="s">
        <v>3221</v>
      </c>
      <c r="C17671">
        <v>12146</v>
      </c>
      <c r="D17671" t="s">
        <v>3229</v>
      </c>
      <c r="E17671" t="s">
        <v>3230</v>
      </c>
      <c r="F17671">
        <v>36.29</v>
      </c>
      <c r="G17671">
        <v>230831</v>
      </c>
      <c r="H17671">
        <v>4500</v>
      </c>
      <c r="I17671" t="s">
        <v>212</v>
      </c>
      <c r="J17671">
        <v>36.29</v>
      </c>
      <c r="K17671">
        <v>0</v>
      </c>
      <c r="L17671">
        <v>11301</v>
      </c>
      <c r="M17671" t="s">
        <v>29</v>
      </c>
      <c r="N17671" t="str">
        <f>"757338249   "</f>
        <v xml:space="preserve">757338249   </v>
      </c>
      <c r="O17671">
        <v>230914</v>
      </c>
    </row>
    <row r="17672" spans="1:15" x14ac:dyDescent="0.25">
      <c r="A17672" t="s">
        <v>16</v>
      </c>
      <c r="B17672" t="s">
        <v>3221</v>
      </c>
      <c r="C17672">
        <v>15563</v>
      </c>
      <c r="D17672" t="s">
        <v>3229</v>
      </c>
      <c r="E17672" t="s">
        <v>3230</v>
      </c>
      <c r="F17672">
        <v>20.12</v>
      </c>
      <c r="G17672">
        <v>231031</v>
      </c>
      <c r="H17672">
        <v>4500</v>
      </c>
      <c r="I17672" t="s">
        <v>212</v>
      </c>
      <c r="J17672">
        <v>24.95</v>
      </c>
      <c r="K17672">
        <v>4.83</v>
      </c>
      <c r="L17672">
        <v>11301</v>
      </c>
      <c r="M17672" t="s">
        <v>29</v>
      </c>
      <c r="N17672" t="str">
        <f>"758412183   "</f>
        <v xml:space="preserve">758412183   </v>
      </c>
      <c r="O17672">
        <v>231114</v>
      </c>
    </row>
    <row r="17673" spans="1:15" x14ac:dyDescent="0.25">
      <c r="A17673" t="s">
        <v>16</v>
      </c>
      <c r="B17673" t="s">
        <v>3221</v>
      </c>
      <c r="C17673">
        <v>17411</v>
      </c>
      <c r="D17673" t="s">
        <v>3229</v>
      </c>
      <c r="E17673" t="s">
        <v>3230</v>
      </c>
      <c r="F17673">
        <v>79.84</v>
      </c>
      <c r="G17673">
        <v>231130</v>
      </c>
      <c r="H17673">
        <v>4500</v>
      </c>
      <c r="I17673" t="s">
        <v>212</v>
      </c>
      <c r="J17673">
        <v>99</v>
      </c>
      <c r="K17673">
        <v>19.16</v>
      </c>
      <c r="L17673">
        <v>11001</v>
      </c>
      <c r="M17673" t="s">
        <v>326</v>
      </c>
      <c r="N17673" t="str">
        <f>"758980270   "</f>
        <v xml:space="preserve">758980270   </v>
      </c>
      <c r="O17673">
        <v>231214</v>
      </c>
    </row>
    <row r="17674" spans="1:15" x14ac:dyDescent="0.25">
      <c r="A17674" t="s">
        <v>16</v>
      </c>
      <c r="B17674" t="s">
        <v>3221</v>
      </c>
      <c r="C17674">
        <v>19175</v>
      </c>
      <c r="D17674" t="s">
        <v>3229</v>
      </c>
      <c r="E17674" t="s">
        <v>3230</v>
      </c>
      <c r="F17674">
        <v>40.31</v>
      </c>
      <c r="G17674">
        <v>231231</v>
      </c>
      <c r="H17674">
        <v>4500</v>
      </c>
      <c r="I17674" t="s">
        <v>212</v>
      </c>
      <c r="J17674">
        <v>49.98</v>
      </c>
      <c r="K17674">
        <v>9.67</v>
      </c>
      <c r="L17674">
        <v>11301</v>
      </c>
      <c r="M17674" t="s">
        <v>29</v>
      </c>
      <c r="N17674" t="str">
        <f>"759536600   "</f>
        <v xml:space="preserve">759536600   </v>
      </c>
      <c r="O17674">
        <v>240129</v>
      </c>
    </row>
    <row r="17675" spans="1:15" x14ac:dyDescent="0.25">
      <c r="A17675" t="s">
        <v>16</v>
      </c>
      <c r="B17675" t="s">
        <v>3221</v>
      </c>
      <c r="C17675">
        <v>16640</v>
      </c>
      <c r="D17675" t="s">
        <v>3229</v>
      </c>
      <c r="E17675" t="s">
        <v>3230</v>
      </c>
      <c r="F17675">
        <v>478.24</v>
      </c>
      <c r="G17675">
        <v>231130</v>
      </c>
      <c r="H17675">
        <v>4530</v>
      </c>
      <c r="I17675" t="s">
        <v>342</v>
      </c>
      <c r="J17675">
        <v>593.02</v>
      </c>
      <c r="K17675">
        <v>114.78</v>
      </c>
      <c r="L17675">
        <v>11301</v>
      </c>
      <c r="M17675" t="s">
        <v>29</v>
      </c>
      <c r="N17675" t="str">
        <f>"758980254   "</f>
        <v xml:space="preserve">758980254   </v>
      </c>
      <c r="O17675">
        <v>231205</v>
      </c>
    </row>
    <row r="17676" spans="1:15" x14ac:dyDescent="0.25">
      <c r="A17676" t="s">
        <v>16</v>
      </c>
      <c r="B17676" t="s">
        <v>3221</v>
      </c>
      <c r="C17676">
        <v>11815</v>
      </c>
      <c r="D17676" t="s">
        <v>2518</v>
      </c>
      <c r="E17676" t="s">
        <v>2519</v>
      </c>
      <c r="F17676">
        <v>1993.47</v>
      </c>
      <c r="G17676">
        <v>230905</v>
      </c>
      <c r="H17676">
        <v>4840</v>
      </c>
      <c r="I17676" t="s">
        <v>19</v>
      </c>
      <c r="J17676">
        <v>1993.47</v>
      </c>
      <c r="K17676">
        <v>0</v>
      </c>
      <c r="L17676">
        <v>11001</v>
      </c>
      <c r="M17676" t="s">
        <v>326</v>
      </c>
      <c r="N17676" t="str">
        <f>"23177071    "</f>
        <v xml:space="preserve">23177071    </v>
      </c>
      <c r="O17676">
        <v>230911</v>
      </c>
    </row>
    <row r="17677" spans="1:15" x14ac:dyDescent="0.25">
      <c r="A17677" t="s">
        <v>16</v>
      </c>
      <c r="B17677" t="s">
        <v>3221</v>
      </c>
      <c r="C17677">
        <v>12451</v>
      </c>
      <c r="D17677" t="s">
        <v>2518</v>
      </c>
      <c r="E17677" t="s">
        <v>2519</v>
      </c>
      <c r="F17677">
        <v>1929.49</v>
      </c>
      <c r="G17677">
        <v>230915</v>
      </c>
      <c r="H17677">
        <v>4840</v>
      </c>
      <c r="I17677" t="s">
        <v>19</v>
      </c>
      <c r="J17677">
        <v>1929.49</v>
      </c>
      <c r="K17677">
        <v>0</v>
      </c>
      <c r="L17677">
        <v>11001</v>
      </c>
      <c r="M17677" t="s">
        <v>326</v>
      </c>
      <c r="N17677" t="str">
        <f>"23184116    "</f>
        <v xml:space="preserve">23184116    </v>
      </c>
      <c r="O17677">
        <v>230920</v>
      </c>
    </row>
    <row r="17678" spans="1:15" x14ac:dyDescent="0.25">
      <c r="A17678" t="s">
        <v>16</v>
      </c>
      <c r="B17678" t="s">
        <v>3221</v>
      </c>
      <c r="C17678">
        <v>14335</v>
      </c>
      <c r="D17678" t="s">
        <v>2518</v>
      </c>
      <c r="E17678" t="s">
        <v>2519</v>
      </c>
      <c r="F17678">
        <v>1929.49</v>
      </c>
      <c r="G17678">
        <v>231017</v>
      </c>
      <c r="H17678">
        <v>4840</v>
      </c>
      <c r="I17678" t="s">
        <v>19</v>
      </c>
      <c r="J17678">
        <v>1929.49</v>
      </c>
      <c r="K17678">
        <v>0</v>
      </c>
      <c r="L17678">
        <v>11001</v>
      </c>
      <c r="M17678" t="s">
        <v>326</v>
      </c>
      <c r="N17678" t="str">
        <f>"23193642    "</f>
        <v xml:space="preserve">23193642    </v>
      </c>
      <c r="O17678">
        <v>231027</v>
      </c>
    </row>
    <row r="17679" spans="1:15" x14ac:dyDescent="0.25">
      <c r="A17679" t="s">
        <v>16</v>
      </c>
      <c r="B17679" t="s">
        <v>3221</v>
      </c>
      <c r="C17679">
        <v>16036</v>
      </c>
      <c r="D17679" t="s">
        <v>2518</v>
      </c>
      <c r="E17679" t="s">
        <v>2519</v>
      </c>
      <c r="F17679">
        <v>1929.49</v>
      </c>
      <c r="G17679">
        <v>231115</v>
      </c>
      <c r="H17679">
        <v>4840</v>
      </c>
      <c r="I17679" t="s">
        <v>19</v>
      </c>
      <c r="J17679">
        <v>1929.49</v>
      </c>
      <c r="K17679">
        <v>0</v>
      </c>
      <c r="L17679">
        <v>11001</v>
      </c>
      <c r="M17679" t="s">
        <v>326</v>
      </c>
      <c r="N17679" t="str">
        <f>"23202953    "</f>
        <v xml:space="preserve">23202953    </v>
      </c>
      <c r="O17679">
        <v>231122</v>
      </c>
    </row>
    <row r="17680" spans="1:15" x14ac:dyDescent="0.25">
      <c r="A17680" t="s">
        <v>16</v>
      </c>
      <c r="B17680" t="s">
        <v>3221</v>
      </c>
      <c r="C17680">
        <v>78</v>
      </c>
      <c r="D17680" t="s">
        <v>66</v>
      </c>
      <c r="E17680" t="s">
        <v>67</v>
      </c>
      <c r="F17680">
        <v>290.72000000000003</v>
      </c>
      <c r="G17680">
        <v>230101</v>
      </c>
      <c r="H17680">
        <v>4471</v>
      </c>
      <c r="I17680" t="s">
        <v>68</v>
      </c>
      <c r="J17680">
        <v>360.49</v>
      </c>
      <c r="K17680">
        <v>69.77</v>
      </c>
      <c r="L17680">
        <v>59501</v>
      </c>
      <c r="M17680" t="s">
        <v>69</v>
      </c>
      <c r="N17680" t="str">
        <f t="shared" ref="N17680:N17685" si="236">"2211418     "</f>
        <v xml:space="preserve">2211418     </v>
      </c>
      <c r="O17680">
        <v>230109</v>
      </c>
    </row>
    <row r="17681" spans="1:15" x14ac:dyDescent="0.25">
      <c r="A17681" t="s">
        <v>16</v>
      </c>
      <c r="B17681" t="s">
        <v>3221</v>
      </c>
      <c r="C17681">
        <v>78</v>
      </c>
      <c r="D17681" t="s">
        <v>66</v>
      </c>
      <c r="E17681" t="s">
        <v>67</v>
      </c>
      <c r="F17681">
        <v>177.34</v>
      </c>
      <c r="G17681">
        <v>230101</v>
      </c>
      <c r="H17681">
        <v>4471</v>
      </c>
      <c r="I17681" t="s">
        <v>68</v>
      </c>
      <c r="J17681">
        <v>219.9</v>
      </c>
      <c r="K17681">
        <v>42.56</v>
      </c>
      <c r="L17681">
        <v>59502</v>
      </c>
      <c r="M17681" t="s">
        <v>70</v>
      </c>
      <c r="N17681" t="str">
        <f t="shared" si="236"/>
        <v xml:space="preserve">2211418     </v>
      </c>
      <c r="O17681">
        <v>230109</v>
      </c>
    </row>
    <row r="17682" spans="1:15" x14ac:dyDescent="0.25">
      <c r="A17682" t="s">
        <v>16</v>
      </c>
      <c r="B17682" t="s">
        <v>3221</v>
      </c>
      <c r="C17682">
        <v>78</v>
      </c>
      <c r="D17682" t="s">
        <v>66</v>
      </c>
      <c r="E17682" t="s">
        <v>67</v>
      </c>
      <c r="F17682">
        <v>290.72000000000003</v>
      </c>
      <c r="G17682">
        <v>230101</v>
      </c>
      <c r="H17682">
        <v>4471</v>
      </c>
      <c r="I17682" t="s">
        <v>68</v>
      </c>
      <c r="J17682">
        <v>360.49</v>
      </c>
      <c r="K17682">
        <v>69.77</v>
      </c>
      <c r="L17682">
        <v>59504</v>
      </c>
      <c r="M17682" t="s">
        <v>71</v>
      </c>
      <c r="N17682" t="str">
        <f t="shared" si="236"/>
        <v xml:space="preserve">2211418     </v>
      </c>
      <c r="O17682">
        <v>230109</v>
      </c>
    </row>
    <row r="17683" spans="1:15" x14ac:dyDescent="0.25">
      <c r="A17683" t="s">
        <v>16</v>
      </c>
      <c r="B17683" t="s">
        <v>3221</v>
      </c>
      <c r="C17683">
        <v>78</v>
      </c>
      <c r="D17683" t="s">
        <v>66</v>
      </c>
      <c r="E17683" t="s">
        <v>67</v>
      </c>
      <c r="F17683">
        <v>212.4</v>
      </c>
      <c r="G17683">
        <v>230101</v>
      </c>
      <c r="H17683">
        <v>4471</v>
      </c>
      <c r="I17683" t="s">
        <v>68</v>
      </c>
      <c r="J17683">
        <v>263.38</v>
      </c>
      <c r="K17683">
        <v>50.98</v>
      </c>
      <c r="L17683">
        <v>59505</v>
      </c>
      <c r="M17683" t="s">
        <v>72</v>
      </c>
      <c r="N17683" t="str">
        <f t="shared" si="236"/>
        <v xml:space="preserve">2211418     </v>
      </c>
      <c r="O17683">
        <v>230109</v>
      </c>
    </row>
    <row r="17684" spans="1:15" x14ac:dyDescent="0.25">
      <c r="A17684" t="s">
        <v>16</v>
      </c>
      <c r="B17684" t="s">
        <v>3221</v>
      </c>
      <c r="C17684">
        <v>78</v>
      </c>
      <c r="D17684" t="s">
        <v>66</v>
      </c>
      <c r="E17684" t="s">
        <v>67</v>
      </c>
      <c r="F17684">
        <v>113.38</v>
      </c>
      <c r="G17684">
        <v>230101</v>
      </c>
      <c r="H17684">
        <v>4471</v>
      </c>
      <c r="I17684" t="s">
        <v>68</v>
      </c>
      <c r="J17684">
        <v>140.59</v>
      </c>
      <c r="K17684">
        <v>27.21</v>
      </c>
      <c r="L17684">
        <v>59802</v>
      </c>
      <c r="M17684" t="s">
        <v>73</v>
      </c>
      <c r="N17684" t="str">
        <f t="shared" si="236"/>
        <v xml:space="preserve">2211418     </v>
      </c>
      <c r="O17684">
        <v>230109</v>
      </c>
    </row>
    <row r="17685" spans="1:15" x14ac:dyDescent="0.25">
      <c r="A17685" t="s">
        <v>16</v>
      </c>
      <c r="B17685" t="s">
        <v>3221</v>
      </c>
      <c r="C17685">
        <v>78</v>
      </c>
      <c r="D17685" t="s">
        <v>66</v>
      </c>
      <c r="E17685" t="s">
        <v>67</v>
      </c>
      <c r="F17685">
        <v>28.97</v>
      </c>
      <c r="G17685">
        <v>230101</v>
      </c>
      <c r="H17685">
        <v>4471</v>
      </c>
      <c r="I17685" t="s">
        <v>68</v>
      </c>
      <c r="J17685">
        <v>35.92</v>
      </c>
      <c r="K17685">
        <v>6.95</v>
      </c>
      <c r="L17685">
        <v>59812</v>
      </c>
      <c r="M17685" t="s">
        <v>74</v>
      </c>
      <c r="N17685" t="str">
        <f t="shared" si="236"/>
        <v xml:space="preserve">2211418     </v>
      </c>
      <c r="O17685">
        <v>230109</v>
      </c>
    </row>
    <row r="17686" spans="1:15" x14ac:dyDescent="0.25">
      <c r="A17686" t="s">
        <v>16</v>
      </c>
      <c r="B17686" t="s">
        <v>3221</v>
      </c>
      <c r="C17686">
        <v>84</v>
      </c>
      <c r="D17686" t="s">
        <v>66</v>
      </c>
      <c r="E17686" t="s">
        <v>67</v>
      </c>
      <c r="F17686">
        <v>29.67</v>
      </c>
      <c r="G17686">
        <v>230101</v>
      </c>
      <c r="H17686">
        <v>4471</v>
      </c>
      <c r="I17686" t="s">
        <v>68</v>
      </c>
      <c r="J17686">
        <v>36.79</v>
      </c>
      <c r="K17686">
        <v>7.12</v>
      </c>
      <c r="L17686">
        <v>13540</v>
      </c>
      <c r="M17686" t="s">
        <v>85</v>
      </c>
      <c r="N17686" t="str">
        <f>"2212833     "</f>
        <v xml:space="preserve">2212833     </v>
      </c>
      <c r="O17686">
        <v>230109</v>
      </c>
    </row>
    <row r="17687" spans="1:15" x14ac:dyDescent="0.25">
      <c r="A17687" t="s">
        <v>16</v>
      </c>
      <c r="B17687" t="s">
        <v>3221</v>
      </c>
      <c r="C17687">
        <v>84</v>
      </c>
      <c r="D17687" t="s">
        <v>66</v>
      </c>
      <c r="E17687" t="s">
        <v>67</v>
      </c>
      <c r="F17687">
        <v>240.07</v>
      </c>
      <c r="G17687">
        <v>230101</v>
      </c>
      <c r="H17687">
        <v>4471</v>
      </c>
      <c r="I17687" t="s">
        <v>68</v>
      </c>
      <c r="J17687">
        <v>297.69</v>
      </c>
      <c r="K17687">
        <v>57.62</v>
      </c>
      <c r="L17687">
        <v>17950</v>
      </c>
      <c r="M17687" t="s">
        <v>86</v>
      </c>
      <c r="N17687" t="str">
        <f>"2212833     "</f>
        <v xml:space="preserve">2212833     </v>
      </c>
      <c r="O17687">
        <v>230109</v>
      </c>
    </row>
    <row r="17688" spans="1:15" x14ac:dyDescent="0.25">
      <c r="A17688" t="s">
        <v>16</v>
      </c>
      <c r="B17688" t="s">
        <v>3221</v>
      </c>
      <c r="C17688">
        <v>84</v>
      </c>
      <c r="D17688" t="s">
        <v>66</v>
      </c>
      <c r="E17688" t="s">
        <v>67</v>
      </c>
      <c r="F17688">
        <v>220.84</v>
      </c>
      <c r="G17688">
        <v>230101</v>
      </c>
      <c r="H17688">
        <v>4471</v>
      </c>
      <c r="I17688" t="s">
        <v>68</v>
      </c>
      <c r="J17688">
        <v>273.83999999999997</v>
      </c>
      <c r="K17688">
        <v>53</v>
      </c>
      <c r="L17688">
        <v>17951</v>
      </c>
      <c r="M17688" t="s">
        <v>87</v>
      </c>
      <c r="N17688" t="str">
        <f>"2212833     "</f>
        <v xml:space="preserve">2212833     </v>
      </c>
      <c r="O17688">
        <v>230109</v>
      </c>
    </row>
    <row r="17689" spans="1:15" x14ac:dyDescent="0.25">
      <c r="A17689" t="s">
        <v>16</v>
      </c>
      <c r="B17689" t="s">
        <v>3221</v>
      </c>
      <c r="C17689">
        <v>84</v>
      </c>
      <c r="D17689" t="s">
        <v>66</v>
      </c>
      <c r="E17689" t="s">
        <v>67</v>
      </c>
      <c r="F17689">
        <v>357.98</v>
      </c>
      <c r="G17689">
        <v>230101</v>
      </c>
      <c r="H17689">
        <v>4471</v>
      </c>
      <c r="I17689" t="s">
        <v>68</v>
      </c>
      <c r="J17689">
        <v>443.9</v>
      </c>
      <c r="K17689">
        <v>85.92</v>
      </c>
      <c r="L17689">
        <v>17952</v>
      </c>
      <c r="M17689" t="s">
        <v>88</v>
      </c>
      <c r="N17689" t="str">
        <f>"2212833     "</f>
        <v xml:space="preserve">2212833     </v>
      </c>
      <c r="O17689">
        <v>230109</v>
      </c>
    </row>
    <row r="17690" spans="1:15" x14ac:dyDescent="0.25">
      <c r="A17690" t="s">
        <v>16</v>
      </c>
      <c r="B17690" t="s">
        <v>3221</v>
      </c>
      <c r="C17690">
        <v>84</v>
      </c>
      <c r="D17690" t="s">
        <v>66</v>
      </c>
      <c r="E17690" t="s">
        <v>67</v>
      </c>
      <c r="F17690">
        <v>134.01</v>
      </c>
      <c r="G17690">
        <v>230101</v>
      </c>
      <c r="H17690">
        <v>4471</v>
      </c>
      <c r="I17690" t="s">
        <v>68</v>
      </c>
      <c r="J17690">
        <v>166.17</v>
      </c>
      <c r="K17690">
        <v>32.159999999999997</v>
      </c>
      <c r="L17690">
        <v>17956</v>
      </c>
      <c r="M17690" t="s">
        <v>53</v>
      </c>
      <c r="N17690" t="str">
        <f>"2212833     "</f>
        <v xml:space="preserve">2212833     </v>
      </c>
      <c r="O17690">
        <v>230109</v>
      </c>
    </row>
    <row r="17691" spans="1:15" x14ac:dyDescent="0.25">
      <c r="A17691" t="s">
        <v>16</v>
      </c>
      <c r="B17691" t="s">
        <v>3221</v>
      </c>
      <c r="C17691">
        <v>305</v>
      </c>
      <c r="D17691" t="s">
        <v>66</v>
      </c>
      <c r="E17691" t="s">
        <v>67</v>
      </c>
      <c r="F17691">
        <v>91</v>
      </c>
      <c r="G17691">
        <v>230117</v>
      </c>
      <c r="H17691">
        <v>4471</v>
      </c>
      <c r="I17691" t="s">
        <v>68</v>
      </c>
      <c r="J17691">
        <v>112.84</v>
      </c>
      <c r="K17691">
        <v>21.84</v>
      </c>
      <c r="L17691">
        <v>17950</v>
      </c>
      <c r="M17691" t="s">
        <v>86</v>
      </c>
      <c r="N17691" t="str">
        <f>"7407338     "</f>
        <v xml:space="preserve">7407338     </v>
      </c>
      <c r="O17691">
        <v>230118</v>
      </c>
    </row>
    <row r="17692" spans="1:15" x14ac:dyDescent="0.25">
      <c r="A17692" t="s">
        <v>16</v>
      </c>
      <c r="B17692" t="s">
        <v>3221</v>
      </c>
      <c r="C17692">
        <v>865</v>
      </c>
      <c r="D17692" t="s">
        <v>66</v>
      </c>
      <c r="E17692" t="s">
        <v>67</v>
      </c>
      <c r="F17692">
        <v>29.88</v>
      </c>
      <c r="G17692">
        <v>230201</v>
      </c>
      <c r="H17692">
        <v>4471</v>
      </c>
      <c r="I17692" t="s">
        <v>68</v>
      </c>
      <c r="J17692">
        <v>37.049999999999997</v>
      </c>
      <c r="K17692">
        <v>7.17</v>
      </c>
      <c r="L17692">
        <v>13540</v>
      </c>
      <c r="M17692" t="s">
        <v>85</v>
      </c>
      <c r="N17692" t="str">
        <f>"2231192     "</f>
        <v xml:space="preserve">2231192     </v>
      </c>
      <c r="O17692">
        <v>230131</v>
      </c>
    </row>
    <row r="17693" spans="1:15" x14ac:dyDescent="0.25">
      <c r="A17693" t="s">
        <v>16</v>
      </c>
      <c r="B17693" t="s">
        <v>3221</v>
      </c>
      <c r="C17693">
        <v>865</v>
      </c>
      <c r="D17693" t="s">
        <v>66</v>
      </c>
      <c r="E17693" t="s">
        <v>67</v>
      </c>
      <c r="F17693">
        <v>241.22</v>
      </c>
      <c r="G17693">
        <v>230201</v>
      </c>
      <c r="H17693">
        <v>4471</v>
      </c>
      <c r="I17693" t="s">
        <v>68</v>
      </c>
      <c r="J17693">
        <v>299.11</v>
      </c>
      <c r="K17693">
        <v>57.89</v>
      </c>
      <c r="L17693">
        <v>17950</v>
      </c>
      <c r="M17693" t="s">
        <v>86</v>
      </c>
      <c r="N17693" t="str">
        <f>"2231192     "</f>
        <v xml:space="preserve">2231192     </v>
      </c>
      <c r="O17693">
        <v>230131</v>
      </c>
    </row>
    <row r="17694" spans="1:15" x14ac:dyDescent="0.25">
      <c r="A17694" t="s">
        <v>16</v>
      </c>
      <c r="B17694" t="s">
        <v>3221</v>
      </c>
      <c r="C17694">
        <v>865</v>
      </c>
      <c r="D17694" t="s">
        <v>66</v>
      </c>
      <c r="E17694" t="s">
        <v>67</v>
      </c>
      <c r="F17694">
        <v>220.88</v>
      </c>
      <c r="G17694">
        <v>230201</v>
      </c>
      <c r="H17694">
        <v>4471</v>
      </c>
      <c r="I17694" t="s">
        <v>68</v>
      </c>
      <c r="J17694">
        <v>273.89</v>
      </c>
      <c r="K17694">
        <v>53.01</v>
      </c>
      <c r="L17694">
        <v>17951</v>
      </c>
      <c r="M17694" t="s">
        <v>87</v>
      </c>
      <c r="N17694" t="str">
        <f>"2231192     "</f>
        <v xml:space="preserve">2231192     </v>
      </c>
      <c r="O17694">
        <v>230131</v>
      </c>
    </row>
    <row r="17695" spans="1:15" x14ac:dyDescent="0.25">
      <c r="A17695" t="s">
        <v>16</v>
      </c>
      <c r="B17695" t="s">
        <v>3221</v>
      </c>
      <c r="C17695">
        <v>865</v>
      </c>
      <c r="D17695" t="s">
        <v>66</v>
      </c>
      <c r="E17695" t="s">
        <v>67</v>
      </c>
      <c r="F17695">
        <v>357.06</v>
      </c>
      <c r="G17695">
        <v>230201</v>
      </c>
      <c r="H17695">
        <v>4471</v>
      </c>
      <c r="I17695" t="s">
        <v>68</v>
      </c>
      <c r="J17695">
        <v>442.76</v>
      </c>
      <c r="K17695">
        <v>85.7</v>
      </c>
      <c r="L17695">
        <v>17952</v>
      </c>
      <c r="M17695" t="s">
        <v>88</v>
      </c>
      <c r="N17695" t="str">
        <f>"2231192     "</f>
        <v xml:space="preserve">2231192     </v>
      </c>
      <c r="O17695">
        <v>230131</v>
      </c>
    </row>
    <row r="17696" spans="1:15" x14ac:dyDescent="0.25">
      <c r="A17696" t="s">
        <v>16</v>
      </c>
      <c r="B17696" t="s">
        <v>3221</v>
      </c>
      <c r="C17696">
        <v>865</v>
      </c>
      <c r="D17696" t="s">
        <v>66</v>
      </c>
      <c r="E17696" t="s">
        <v>67</v>
      </c>
      <c r="F17696">
        <v>133.53</v>
      </c>
      <c r="G17696">
        <v>230201</v>
      </c>
      <c r="H17696">
        <v>4471</v>
      </c>
      <c r="I17696" t="s">
        <v>68</v>
      </c>
      <c r="J17696">
        <v>165.58</v>
      </c>
      <c r="K17696">
        <v>32.049999999999997</v>
      </c>
      <c r="L17696">
        <v>17956</v>
      </c>
      <c r="M17696" t="s">
        <v>53</v>
      </c>
      <c r="N17696" t="str">
        <f>"2231192     "</f>
        <v xml:space="preserve">2231192     </v>
      </c>
      <c r="O17696">
        <v>230131</v>
      </c>
    </row>
    <row r="17697" spans="1:15" x14ac:dyDescent="0.25">
      <c r="A17697" t="s">
        <v>16</v>
      </c>
      <c r="B17697" t="s">
        <v>3221</v>
      </c>
      <c r="C17697">
        <v>942</v>
      </c>
      <c r="D17697" t="s">
        <v>66</v>
      </c>
      <c r="E17697" t="s">
        <v>67</v>
      </c>
      <c r="F17697">
        <v>290.72000000000003</v>
      </c>
      <c r="G17697">
        <v>230201</v>
      </c>
      <c r="H17697">
        <v>4471</v>
      </c>
      <c r="I17697" t="s">
        <v>68</v>
      </c>
      <c r="J17697">
        <v>360.49</v>
      </c>
      <c r="K17697">
        <v>69.77</v>
      </c>
      <c r="L17697">
        <v>59501</v>
      </c>
      <c r="M17697" t="s">
        <v>69</v>
      </c>
      <c r="N17697" t="str">
        <f t="shared" ref="N17697:N17702" si="237">"2229771     "</f>
        <v xml:space="preserve">2229771     </v>
      </c>
      <c r="O17697">
        <v>230201</v>
      </c>
    </row>
    <row r="17698" spans="1:15" x14ac:dyDescent="0.25">
      <c r="A17698" t="s">
        <v>16</v>
      </c>
      <c r="B17698" t="s">
        <v>3221</v>
      </c>
      <c r="C17698">
        <v>942</v>
      </c>
      <c r="D17698" t="s">
        <v>66</v>
      </c>
      <c r="E17698" t="s">
        <v>67</v>
      </c>
      <c r="F17698">
        <v>177.34</v>
      </c>
      <c r="G17698">
        <v>230201</v>
      </c>
      <c r="H17698">
        <v>4471</v>
      </c>
      <c r="I17698" t="s">
        <v>68</v>
      </c>
      <c r="J17698">
        <v>219.9</v>
      </c>
      <c r="K17698">
        <v>42.56</v>
      </c>
      <c r="L17698">
        <v>59502</v>
      </c>
      <c r="M17698" t="s">
        <v>70</v>
      </c>
      <c r="N17698" t="str">
        <f t="shared" si="237"/>
        <v xml:space="preserve">2229771     </v>
      </c>
      <c r="O17698">
        <v>230201</v>
      </c>
    </row>
    <row r="17699" spans="1:15" x14ac:dyDescent="0.25">
      <c r="A17699" t="s">
        <v>16</v>
      </c>
      <c r="B17699" t="s">
        <v>3221</v>
      </c>
      <c r="C17699">
        <v>942</v>
      </c>
      <c r="D17699" t="s">
        <v>66</v>
      </c>
      <c r="E17699" t="s">
        <v>67</v>
      </c>
      <c r="F17699">
        <v>290.72000000000003</v>
      </c>
      <c r="G17699">
        <v>230201</v>
      </c>
      <c r="H17699">
        <v>4471</v>
      </c>
      <c r="I17699" t="s">
        <v>68</v>
      </c>
      <c r="J17699">
        <v>360.49</v>
      </c>
      <c r="K17699">
        <v>69.77</v>
      </c>
      <c r="L17699">
        <v>59504</v>
      </c>
      <c r="M17699" t="s">
        <v>71</v>
      </c>
      <c r="N17699" t="str">
        <f t="shared" si="237"/>
        <v xml:space="preserve">2229771     </v>
      </c>
      <c r="O17699">
        <v>230201</v>
      </c>
    </row>
    <row r="17700" spans="1:15" x14ac:dyDescent="0.25">
      <c r="A17700" t="s">
        <v>16</v>
      </c>
      <c r="B17700" t="s">
        <v>3221</v>
      </c>
      <c r="C17700">
        <v>942</v>
      </c>
      <c r="D17700" t="s">
        <v>66</v>
      </c>
      <c r="E17700" t="s">
        <v>67</v>
      </c>
      <c r="F17700">
        <v>212.4</v>
      </c>
      <c r="G17700">
        <v>230201</v>
      </c>
      <c r="H17700">
        <v>4471</v>
      </c>
      <c r="I17700" t="s">
        <v>68</v>
      </c>
      <c r="J17700">
        <v>263.38</v>
      </c>
      <c r="K17700">
        <v>50.98</v>
      </c>
      <c r="L17700">
        <v>59505</v>
      </c>
      <c r="M17700" t="s">
        <v>72</v>
      </c>
      <c r="N17700" t="str">
        <f t="shared" si="237"/>
        <v xml:space="preserve">2229771     </v>
      </c>
      <c r="O17700">
        <v>230201</v>
      </c>
    </row>
    <row r="17701" spans="1:15" x14ac:dyDescent="0.25">
      <c r="A17701" t="s">
        <v>16</v>
      </c>
      <c r="B17701" t="s">
        <v>3221</v>
      </c>
      <c r="C17701">
        <v>942</v>
      </c>
      <c r="D17701" t="s">
        <v>66</v>
      </c>
      <c r="E17701" t="s">
        <v>67</v>
      </c>
      <c r="F17701">
        <v>113.38</v>
      </c>
      <c r="G17701">
        <v>230201</v>
      </c>
      <c r="H17701">
        <v>4471</v>
      </c>
      <c r="I17701" t="s">
        <v>68</v>
      </c>
      <c r="J17701">
        <v>140.59</v>
      </c>
      <c r="K17701">
        <v>27.21</v>
      </c>
      <c r="L17701">
        <v>59802</v>
      </c>
      <c r="M17701" t="s">
        <v>73</v>
      </c>
      <c r="N17701" t="str">
        <f t="shared" si="237"/>
        <v xml:space="preserve">2229771     </v>
      </c>
      <c r="O17701">
        <v>230201</v>
      </c>
    </row>
    <row r="17702" spans="1:15" x14ac:dyDescent="0.25">
      <c r="A17702" t="s">
        <v>16</v>
      </c>
      <c r="B17702" t="s">
        <v>3221</v>
      </c>
      <c r="C17702">
        <v>942</v>
      </c>
      <c r="D17702" t="s">
        <v>66</v>
      </c>
      <c r="E17702" t="s">
        <v>67</v>
      </c>
      <c r="F17702">
        <v>28.97</v>
      </c>
      <c r="G17702">
        <v>230201</v>
      </c>
      <c r="H17702">
        <v>4471</v>
      </c>
      <c r="I17702" t="s">
        <v>68</v>
      </c>
      <c r="J17702">
        <v>35.92</v>
      </c>
      <c r="K17702">
        <v>6.95</v>
      </c>
      <c r="L17702">
        <v>59812</v>
      </c>
      <c r="M17702" t="s">
        <v>74</v>
      </c>
      <c r="N17702" t="str">
        <f t="shared" si="237"/>
        <v xml:space="preserve">2229771     </v>
      </c>
      <c r="O17702">
        <v>230201</v>
      </c>
    </row>
    <row r="17703" spans="1:15" x14ac:dyDescent="0.25">
      <c r="A17703" t="s">
        <v>16</v>
      </c>
      <c r="B17703" t="s">
        <v>3221</v>
      </c>
      <c r="C17703">
        <v>1158</v>
      </c>
      <c r="D17703" t="s">
        <v>66</v>
      </c>
      <c r="E17703" t="s">
        <v>67</v>
      </c>
      <c r="F17703">
        <v>106</v>
      </c>
      <c r="G17703">
        <v>230202</v>
      </c>
      <c r="H17703">
        <v>4471</v>
      </c>
      <c r="I17703" t="s">
        <v>68</v>
      </c>
      <c r="J17703">
        <v>131.44</v>
      </c>
      <c r="K17703">
        <v>25.44</v>
      </c>
      <c r="L17703">
        <v>17950</v>
      </c>
      <c r="M17703" t="s">
        <v>86</v>
      </c>
      <c r="N17703" t="str">
        <f>"7409458     "</f>
        <v xml:space="preserve">7409458     </v>
      </c>
      <c r="O17703">
        <v>230206</v>
      </c>
    </row>
    <row r="17704" spans="1:15" x14ac:dyDescent="0.25">
      <c r="A17704" t="s">
        <v>16</v>
      </c>
      <c r="B17704" t="s">
        <v>3221</v>
      </c>
      <c r="C17704">
        <v>2083</v>
      </c>
      <c r="D17704" t="s">
        <v>66</v>
      </c>
      <c r="E17704" t="s">
        <v>67</v>
      </c>
      <c r="F17704">
        <v>91</v>
      </c>
      <c r="G17704">
        <v>230217</v>
      </c>
      <c r="H17704">
        <v>4471</v>
      </c>
      <c r="I17704" t="s">
        <v>68</v>
      </c>
      <c r="J17704">
        <v>112.84</v>
      </c>
      <c r="K17704">
        <v>21.84</v>
      </c>
      <c r="L17704">
        <v>17950</v>
      </c>
      <c r="M17704" t="s">
        <v>86</v>
      </c>
      <c r="N17704" t="str">
        <f>"7411712     "</f>
        <v xml:space="preserve">7411712     </v>
      </c>
      <c r="O17704">
        <v>230220</v>
      </c>
    </row>
    <row r="17705" spans="1:15" x14ac:dyDescent="0.25">
      <c r="A17705" t="s">
        <v>16</v>
      </c>
      <c r="B17705" t="s">
        <v>3221</v>
      </c>
      <c r="C17705">
        <v>2696</v>
      </c>
      <c r="D17705" t="s">
        <v>66</v>
      </c>
      <c r="E17705" t="s">
        <v>67</v>
      </c>
      <c r="F17705">
        <v>290.72000000000003</v>
      </c>
      <c r="G17705">
        <v>230301</v>
      </c>
      <c r="H17705">
        <v>4471</v>
      </c>
      <c r="I17705" t="s">
        <v>68</v>
      </c>
      <c r="J17705">
        <v>360.49</v>
      </c>
      <c r="K17705">
        <v>69.77</v>
      </c>
      <c r="L17705">
        <v>59501</v>
      </c>
      <c r="M17705" t="s">
        <v>69</v>
      </c>
      <c r="N17705" t="str">
        <f t="shared" ref="N17705:N17710" si="238">"2242337     "</f>
        <v xml:space="preserve">2242337     </v>
      </c>
      <c r="O17705">
        <v>230307</v>
      </c>
    </row>
    <row r="17706" spans="1:15" x14ac:dyDescent="0.25">
      <c r="A17706" t="s">
        <v>16</v>
      </c>
      <c r="B17706" t="s">
        <v>3221</v>
      </c>
      <c r="C17706">
        <v>2696</v>
      </c>
      <c r="D17706" t="s">
        <v>66</v>
      </c>
      <c r="E17706" t="s">
        <v>67</v>
      </c>
      <c r="F17706">
        <v>177.34</v>
      </c>
      <c r="G17706">
        <v>230301</v>
      </c>
      <c r="H17706">
        <v>4471</v>
      </c>
      <c r="I17706" t="s">
        <v>68</v>
      </c>
      <c r="J17706">
        <v>219.9</v>
      </c>
      <c r="K17706">
        <v>42.56</v>
      </c>
      <c r="L17706">
        <v>59502</v>
      </c>
      <c r="M17706" t="s">
        <v>70</v>
      </c>
      <c r="N17706" t="str">
        <f t="shared" si="238"/>
        <v xml:space="preserve">2242337     </v>
      </c>
      <c r="O17706">
        <v>230307</v>
      </c>
    </row>
    <row r="17707" spans="1:15" x14ac:dyDescent="0.25">
      <c r="A17707" t="s">
        <v>16</v>
      </c>
      <c r="B17707" t="s">
        <v>3221</v>
      </c>
      <c r="C17707">
        <v>2696</v>
      </c>
      <c r="D17707" t="s">
        <v>66</v>
      </c>
      <c r="E17707" t="s">
        <v>67</v>
      </c>
      <c r="F17707">
        <v>290.72000000000003</v>
      </c>
      <c r="G17707">
        <v>230301</v>
      </c>
      <c r="H17707">
        <v>4471</v>
      </c>
      <c r="I17707" t="s">
        <v>68</v>
      </c>
      <c r="J17707">
        <v>360.49</v>
      </c>
      <c r="K17707">
        <v>69.77</v>
      </c>
      <c r="L17707">
        <v>59504</v>
      </c>
      <c r="M17707" t="s">
        <v>71</v>
      </c>
      <c r="N17707" t="str">
        <f t="shared" si="238"/>
        <v xml:space="preserve">2242337     </v>
      </c>
      <c r="O17707">
        <v>230307</v>
      </c>
    </row>
    <row r="17708" spans="1:15" x14ac:dyDescent="0.25">
      <c r="A17708" t="s">
        <v>16</v>
      </c>
      <c r="B17708" t="s">
        <v>3221</v>
      </c>
      <c r="C17708">
        <v>2696</v>
      </c>
      <c r="D17708" t="s">
        <v>66</v>
      </c>
      <c r="E17708" t="s">
        <v>67</v>
      </c>
      <c r="F17708">
        <v>212.4</v>
      </c>
      <c r="G17708">
        <v>230301</v>
      </c>
      <c r="H17708">
        <v>4471</v>
      </c>
      <c r="I17708" t="s">
        <v>68</v>
      </c>
      <c r="J17708">
        <v>263.38</v>
      </c>
      <c r="K17708">
        <v>50.98</v>
      </c>
      <c r="L17708">
        <v>59505</v>
      </c>
      <c r="M17708" t="s">
        <v>72</v>
      </c>
      <c r="N17708" t="str">
        <f t="shared" si="238"/>
        <v xml:space="preserve">2242337     </v>
      </c>
      <c r="O17708">
        <v>230307</v>
      </c>
    </row>
    <row r="17709" spans="1:15" x14ac:dyDescent="0.25">
      <c r="A17709" t="s">
        <v>16</v>
      </c>
      <c r="B17709" t="s">
        <v>3221</v>
      </c>
      <c r="C17709">
        <v>2696</v>
      </c>
      <c r="D17709" t="s">
        <v>66</v>
      </c>
      <c r="E17709" t="s">
        <v>67</v>
      </c>
      <c r="F17709">
        <v>113.38</v>
      </c>
      <c r="G17709">
        <v>230301</v>
      </c>
      <c r="H17709">
        <v>4471</v>
      </c>
      <c r="I17709" t="s">
        <v>68</v>
      </c>
      <c r="J17709">
        <v>140.59</v>
      </c>
      <c r="K17709">
        <v>27.21</v>
      </c>
      <c r="L17709">
        <v>59802</v>
      </c>
      <c r="M17709" t="s">
        <v>73</v>
      </c>
      <c r="N17709" t="str">
        <f t="shared" si="238"/>
        <v xml:space="preserve">2242337     </v>
      </c>
      <c r="O17709">
        <v>230307</v>
      </c>
    </row>
    <row r="17710" spans="1:15" x14ac:dyDescent="0.25">
      <c r="A17710" t="s">
        <v>16</v>
      </c>
      <c r="B17710" t="s">
        <v>3221</v>
      </c>
      <c r="C17710">
        <v>2696</v>
      </c>
      <c r="D17710" t="s">
        <v>66</v>
      </c>
      <c r="E17710" t="s">
        <v>67</v>
      </c>
      <c r="F17710">
        <v>28.97</v>
      </c>
      <c r="G17710">
        <v>230301</v>
      </c>
      <c r="H17710">
        <v>4471</v>
      </c>
      <c r="I17710" t="s">
        <v>68</v>
      </c>
      <c r="J17710">
        <v>35.92</v>
      </c>
      <c r="K17710">
        <v>6.95</v>
      </c>
      <c r="L17710">
        <v>59812</v>
      </c>
      <c r="M17710" t="s">
        <v>74</v>
      </c>
      <c r="N17710" t="str">
        <f t="shared" si="238"/>
        <v xml:space="preserve">2242337     </v>
      </c>
      <c r="O17710">
        <v>230307</v>
      </c>
    </row>
    <row r="17711" spans="1:15" x14ac:dyDescent="0.25">
      <c r="A17711" t="s">
        <v>16</v>
      </c>
      <c r="B17711" t="s">
        <v>3221</v>
      </c>
      <c r="C17711">
        <v>2859</v>
      </c>
      <c r="D17711" t="s">
        <v>66</v>
      </c>
      <c r="E17711" t="s">
        <v>67</v>
      </c>
      <c r="F17711">
        <v>29.88</v>
      </c>
      <c r="G17711">
        <v>230301</v>
      </c>
      <c r="H17711">
        <v>4471</v>
      </c>
      <c r="I17711" t="s">
        <v>68</v>
      </c>
      <c r="J17711">
        <v>37.049999999999997</v>
      </c>
      <c r="K17711">
        <v>7.17</v>
      </c>
      <c r="L17711">
        <v>13540</v>
      </c>
      <c r="M17711" t="s">
        <v>85</v>
      </c>
      <c r="N17711" t="str">
        <f>"2243747     "</f>
        <v xml:space="preserve">2243747     </v>
      </c>
      <c r="O17711">
        <v>230308</v>
      </c>
    </row>
    <row r="17712" spans="1:15" x14ac:dyDescent="0.25">
      <c r="A17712" t="s">
        <v>16</v>
      </c>
      <c r="B17712" t="s">
        <v>3221</v>
      </c>
      <c r="C17712">
        <v>2859</v>
      </c>
      <c r="D17712" t="s">
        <v>66</v>
      </c>
      <c r="E17712" t="s">
        <v>67</v>
      </c>
      <c r="F17712">
        <v>241.22</v>
      </c>
      <c r="G17712">
        <v>230301</v>
      </c>
      <c r="H17712">
        <v>4471</v>
      </c>
      <c r="I17712" t="s">
        <v>68</v>
      </c>
      <c r="J17712">
        <v>299.11</v>
      </c>
      <c r="K17712">
        <v>57.89</v>
      </c>
      <c r="L17712">
        <v>17950</v>
      </c>
      <c r="M17712" t="s">
        <v>86</v>
      </c>
      <c r="N17712" t="str">
        <f>"2243747     "</f>
        <v xml:space="preserve">2243747     </v>
      </c>
      <c r="O17712">
        <v>230308</v>
      </c>
    </row>
    <row r="17713" spans="1:15" x14ac:dyDescent="0.25">
      <c r="A17713" t="s">
        <v>16</v>
      </c>
      <c r="B17713" t="s">
        <v>3221</v>
      </c>
      <c r="C17713">
        <v>2859</v>
      </c>
      <c r="D17713" t="s">
        <v>66</v>
      </c>
      <c r="E17713" t="s">
        <v>67</v>
      </c>
      <c r="F17713">
        <v>220.88</v>
      </c>
      <c r="G17713">
        <v>230301</v>
      </c>
      <c r="H17713">
        <v>4471</v>
      </c>
      <c r="I17713" t="s">
        <v>68</v>
      </c>
      <c r="J17713">
        <v>273.89</v>
      </c>
      <c r="K17713">
        <v>53.01</v>
      </c>
      <c r="L17713">
        <v>17951</v>
      </c>
      <c r="M17713" t="s">
        <v>87</v>
      </c>
      <c r="N17713" t="str">
        <f>"2243747     "</f>
        <v xml:space="preserve">2243747     </v>
      </c>
      <c r="O17713">
        <v>230308</v>
      </c>
    </row>
    <row r="17714" spans="1:15" x14ac:dyDescent="0.25">
      <c r="A17714" t="s">
        <v>16</v>
      </c>
      <c r="B17714" t="s">
        <v>3221</v>
      </c>
      <c r="C17714">
        <v>2859</v>
      </c>
      <c r="D17714" t="s">
        <v>66</v>
      </c>
      <c r="E17714" t="s">
        <v>67</v>
      </c>
      <c r="F17714">
        <v>357.06</v>
      </c>
      <c r="G17714">
        <v>230301</v>
      </c>
      <c r="H17714">
        <v>4471</v>
      </c>
      <c r="I17714" t="s">
        <v>68</v>
      </c>
      <c r="J17714">
        <v>442.76</v>
      </c>
      <c r="K17714">
        <v>85.7</v>
      </c>
      <c r="L17714">
        <v>17952</v>
      </c>
      <c r="M17714" t="s">
        <v>88</v>
      </c>
      <c r="N17714" t="str">
        <f>"2243747     "</f>
        <v xml:space="preserve">2243747     </v>
      </c>
      <c r="O17714">
        <v>230308</v>
      </c>
    </row>
    <row r="17715" spans="1:15" x14ac:dyDescent="0.25">
      <c r="A17715" t="s">
        <v>16</v>
      </c>
      <c r="B17715" t="s">
        <v>3221</v>
      </c>
      <c r="C17715">
        <v>2859</v>
      </c>
      <c r="D17715" t="s">
        <v>66</v>
      </c>
      <c r="E17715" t="s">
        <v>67</v>
      </c>
      <c r="F17715">
        <v>133.53</v>
      </c>
      <c r="G17715">
        <v>230301</v>
      </c>
      <c r="H17715">
        <v>4471</v>
      </c>
      <c r="I17715" t="s">
        <v>68</v>
      </c>
      <c r="J17715">
        <v>165.58</v>
      </c>
      <c r="K17715">
        <v>32.049999999999997</v>
      </c>
      <c r="L17715">
        <v>17956</v>
      </c>
      <c r="M17715" t="s">
        <v>53</v>
      </c>
      <c r="N17715" t="str">
        <f>"2243747     "</f>
        <v xml:space="preserve">2243747     </v>
      </c>
      <c r="O17715">
        <v>230308</v>
      </c>
    </row>
    <row r="17716" spans="1:15" x14ac:dyDescent="0.25">
      <c r="A17716" t="s">
        <v>16</v>
      </c>
      <c r="B17716" t="s">
        <v>3221</v>
      </c>
      <c r="C17716">
        <v>2867</v>
      </c>
      <c r="D17716" t="s">
        <v>66</v>
      </c>
      <c r="E17716" t="s">
        <v>67</v>
      </c>
      <c r="F17716">
        <v>176</v>
      </c>
      <c r="G17716">
        <v>230302</v>
      </c>
      <c r="H17716">
        <v>4471</v>
      </c>
      <c r="I17716" t="s">
        <v>68</v>
      </c>
      <c r="J17716">
        <v>218.24</v>
      </c>
      <c r="K17716">
        <v>42.24</v>
      </c>
      <c r="L17716">
        <v>17950</v>
      </c>
      <c r="M17716" t="s">
        <v>86</v>
      </c>
      <c r="N17716" t="str">
        <f>"7413292     "</f>
        <v xml:space="preserve">7413292     </v>
      </c>
      <c r="O17716">
        <v>230308</v>
      </c>
    </row>
    <row r="17717" spans="1:15" x14ac:dyDescent="0.25">
      <c r="A17717" t="s">
        <v>16</v>
      </c>
      <c r="B17717" t="s">
        <v>3221</v>
      </c>
      <c r="C17717">
        <v>3683</v>
      </c>
      <c r="D17717" t="s">
        <v>66</v>
      </c>
      <c r="E17717" t="s">
        <v>67</v>
      </c>
      <c r="F17717">
        <v>106</v>
      </c>
      <c r="G17717">
        <v>230317</v>
      </c>
      <c r="H17717">
        <v>4471</v>
      </c>
      <c r="I17717" t="s">
        <v>68</v>
      </c>
      <c r="J17717">
        <v>131.44</v>
      </c>
      <c r="K17717">
        <v>25.44</v>
      </c>
      <c r="L17717">
        <v>17950</v>
      </c>
      <c r="M17717" t="s">
        <v>86</v>
      </c>
      <c r="N17717" t="str">
        <f>"7415894     "</f>
        <v xml:space="preserve">7415894     </v>
      </c>
      <c r="O17717">
        <v>230321</v>
      </c>
    </row>
    <row r="17718" spans="1:15" x14ac:dyDescent="0.25">
      <c r="A17718" t="s">
        <v>16</v>
      </c>
      <c r="B17718" t="s">
        <v>3221</v>
      </c>
      <c r="C17718">
        <v>3684</v>
      </c>
      <c r="D17718" t="s">
        <v>66</v>
      </c>
      <c r="E17718" t="s">
        <v>67</v>
      </c>
      <c r="F17718">
        <v>-50</v>
      </c>
      <c r="G17718">
        <v>230320</v>
      </c>
      <c r="H17718">
        <v>4471</v>
      </c>
      <c r="I17718" t="s">
        <v>68</v>
      </c>
      <c r="J17718">
        <v>-62</v>
      </c>
      <c r="K17718">
        <v>-12</v>
      </c>
      <c r="L17718">
        <v>17950</v>
      </c>
      <c r="M17718" t="s">
        <v>86</v>
      </c>
      <c r="N17718" t="str">
        <f>"7417215     "</f>
        <v xml:space="preserve">7417215     </v>
      </c>
      <c r="O17718">
        <v>230321</v>
      </c>
    </row>
    <row r="17719" spans="1:15" x14ac:dyDescent="0.25">
      <c r="A17719" t="s">
        <v>16</v>
      </c>
      <c r="B17719" t="s">
        <v>3221</v>
      </c>
      <c r="C17719">
        <v>3908</v>
      </c>
      <c r="D17719" t="s">
        <v>66</v>
      </c>
      <c r="E17719" t="s">
        <v>67</v>
      </c>
      <c r="F17719">
        <v>94</v>
      </c>
      <c r="G17719">
        <v>230319</v>
      </c>
      <c r="H17719">
        <v>4471</v>
      </c>
      <c r="I17719" t="s">
        <v>68</v>
      </c>
      <c r="J17719">
        <v>116.56</v>
      </c>
      <c r="K17719">
        <v>22.56</v>
      </c>
      <c r="L17719">
        <v>59501</v>
      </c>
      <c r="M17719" t="s">
        <v>69</v>
      </c>
      <c r="N17719" t="str">
        <f>"7417192     "</f>
        <v xml:space="preserve">7417192     </v>
      </c>
      <c r="O17719">
        <v>230324</v>
      </c>
    </row>
    <row r="17720" spans="1:15" x14ac:dyDescent="0.25">
      <c r="A17720" t="s">
        <v>16</v>
      </c>
      <c r="B17720" t="s">
        <v>3221</v>
      </c>
      <c r="C17720">
        <v>4137</v>
      </c>
      <c r="D17720" t="s">
        <v>66</v>
      </c>
      <c r="E17720" t="s">
        <v>67</v>
      </c>
      <c r="F17720">
        <v>29.88</v>
      </c>
      <c r="G17720">
        <v>230401</v>
      </c>
      <c r="H17720">
        <v>4471</v>
      </c>
      <c r="I17720" t="s">
        <v>68</v>
      </c>
      <c r="J17720">
        <v>37.049999999999997</v>
      </c>
      <c r="K17720">
        <v>7.17</v>
      </c>
      <c r="L17720">
        <v>13540</v>
      </c>
      <c r="M17720" t="s">
        <v>85</v>
      </c>
      <c r="N17720" t="str">
        <f>"2256363     "</f>
        <v xml:space="preserve">2256363     </v>
      </c>
      <c r="O17720">
        <v>230330</v>
      </c>
    </row>
    <row r="17721" spans="1:15" x14ac:dyDescent="0.25">
      <c r="A17721" t="s">
        <v>16</v>
      </c>
      <c r="B17721" t="s">
        <v>3221</v>
      </c>
      <c r="C17721">
        <v>4137</v>
      </c>
      <c r="D17721" t="s">
        <v>66</v>
      </c>
      <c r="E17721" t="s">
        <v>67</v>
      </c>
      <c r="F17721">
        <v>241.22</v>
      </c>
      <c r="G17721">
        <v>230401</v>
      </c>
      <c r="H17721">
        <v>4471</v>
      </c>
      <c r="I17721" t="s">
        <v>68</v>
      </c>
      <c r="J17721">
        <v>299.11</v>
      </c>
      <c r="K17721">
        <v>57.89</v>
      </c>
      <c r="L17721">
        <v>17950</v>
      </c>
      <c r="M17721" t="s">
        <v>86</v>
      </c>
      <c r="N17721" t="str">
        <f>"2256363     "</f>
        <v xml:space="preserve">2256363     </v>
      </c>
      <c r="O17721">
        <v>230330</v>
      </c>
    </row>
    <row r="17722" spans="1:15" x14ac:dyDescent="0.25">
      <c r="A17722" t="s">
        <v>16</v>
      </c>
      <c r="B17722" t="s">
        <v>3221</v>
      </c>
      <c r="C17722">
        <v>4137</v>
      </c>
      <c r="D17722" t="s">
        <v>66</v>
      </c>
      <c r="E17722" t="s">
        <v>67</v>
      </c>
      <c r="F17722">
        <v>220.88</v>
      </c>
      <c r="G17722">
        <v>230401</v>
      </c>
      <c r="H17722">
        <v>4471</v>
      </c>
      <c r="I17722" t="s">
        <v>68</v>
      </c>
      <c r="J17722">
        <v>273.89</v>
      </c>
      <c r="K17722">
        <v>53.01</v>
      </c>
      <c r="L17722">
        <v>17951</v>
      </c>
      <c r="M17722" t="s">
        <v>87</v>
      </c>
      <c r="N17722" t="str">
        <f>"2256363     "</f>
        <v xml:space="preserve">2256363     </v>
      </c>
      <c r="O17722">
        <v>230330</v>
      </c>
    </row>
    <row r="17723" spans="1:15" x14ac:dyDescent="0.25">
      <c r="A17723" t="s">
        <v>16</v>
      </c>
      <c r="B17723" t="s">
        <v>3221</v>
      </c>
      <c r="C17723">
        <v>4137</v>
      </c>
      <c r="D17723" t="s">
        <v>66</v>
      </c>
      <c r="E17723" t="s">
        <v>67</v>
      </c>
      <c r="F17723">
        <v>357.06</v>
      </c>
      <c r="G17723">
        <v>230401</v>
      </c>
      <c r="H17723">
        <v>4471</v>
      </c>
      <c r="I17723" t="s">
        <v>68</v>
      </c>
      <c r="J17723">
        <v>442.76</v>
      </c>
      <c r="K17723">
        <v>85.7</v>
      </c>
      <c r="L17723">
        <v>17952</v>
      </c>
      <c r="M17723" t="s">
        <v>88</v>
      </c>
      <c r="N17723" t="str">
        <f>"2256363     "</f>
        <v xml:space="preserve">2256363     </v>
      </c>
      <c r="O17723">
        <v>230330</v>
      </c>
    </row>
    <row r="17724" spans="1:15" x14ac:dyDescent="0.25">
      <c r="A17724" t="s">
        <v>16</v>
      </c>
      <c r="B17724" t="s">
        <v>3221</v>
      </c>
      <c r="C17724">
        <v>4137</v>
      </c>
      <c r="D17724" t="s">
        <v>66</v>
      </c>
      <c r="E17724" t="s">
        <v>67</v>
      </c>
      <c r="F17724">
        <v>133.53</v>
      </c>
      <c r="G17724">
        <v>230401</v>
      </c>
      <c r="H17724">
        <v>4471</v>
      </c>
      <c r="I17724" t="s">
        <v>68</v>
      </c>
      <c r="J17724">
        <v>165.58</v>
      </c>
      <c r="K17724">
        <v>32.049999999999997</v>
      </c>
      <c r="L17724">
        <v>17956</v>
      </c>
      <c r="M17724" t="s">
        <v>53</v>
      </c>
      <c r="N17724" t="str">
        <f>"2256363     "</f>
        <v xml:space="preserve">2256363     </v>
      </c>
      <c r="O17724">
        <v>230330</v>
      </c>
    </row>
    <row r="17725" spans="1:15" x14ac:dyDescent="0.25">
      <c r="A17725" t="s">
        <v>16</v>
      </c>
      <c r="B17725" t="s">
        <v>3221</v>
      </c>
      <c r="C17725">
        <v>4462</v>
      </c>
      <c r="D17725" t="s">
        <v>66</v>
      </c>
      <c r="E17725" t="s">
        <v>67</v>
      </c>
      <c r="F17725">
        <v>176</v>
      </c>
      <c r="G17725">
        <v>230404</v>
      </c>
      <c r="H17725">
        <v>4471</v>
      </c>
      <c r="I17725" t="s">
        <v>68</v>
      </c>
      <c r="J17725">
        <v>218.24</v>
      </c>
      <c r="K17725">
        <v>42.24</v>
      </c>
      <c r="L17725">
        <v>17950</v>
      </c>
      <c r="M17725" t="s">
        <v>86</v>
      </c>
      <c r="N17725" t="str">
        <f>"7417949     "</f>
        <v xml:space="preserve">7417949     </v>
      </c>
      <c r="O17725">
        <v>230406</v>
      </c>
    </row>
    <row r="17726" spans="1:15" x14ac:dyDescent="0.25">
      <c r="A17726" t="s">
        <v>16</v>
      </c>
      <c r="B17726" t="s">
        <v>3221</v>
      </c>
      <c r="C17726">
        <v>4841</v>
      </c>
      <c r="D17726" t="s">
        <v>66</v>
      </c>
      <c r="E17726" t="s">
        <v>67</v>
      </c>
      <c r="F17726">
        <v>290.72000000000003</v>
      </c>
      <c r="G17726">
        <v>230401</v>
      </c>
      <c r="H17726">
        <v>4471</v>
      </c>
      <c r="I17726" t="s">
        <v>68</v>
      </c>
      <c r="J17726">
        <v>360.49</v>
      </c>
      <c r="K17726">
        <v>69.77</v>
      </c>
      <c r="L17726">
        <v>59501</v>
      </c>
      <c r="M17726" t="s">
        <v>69</v>
      </c>
      <c r="N17726" t="str">
        <f t="shared" ref="N17726:N17731" si="239">"2254963     "</f>
        <v xml:space="preserve">2254963     </v>
      </c>
      <c r="O17726">
        <v>230413</v>
      </c>
    </row>
    <row r="17727" spans="1:15" x14ac:dyDescent="0.25">
      <c r="A17727" t="s">
        <v>16</v>
      </c>
      <c r="B17727" t="s">
        <v>3221</v>
      </c>
      <c r="C17727">
        <v>4841</v>
      </c>
      <c r="D17727" t="s">
        <v>66</v>
      </c>
      <c r="E17727" t="s">
        <v>67</v>
      </c>
      <c r="F17727">
        <v>177.34</v>
      </c>
      <c r="G17727">
        <v>230401</v>
      </c>
      <c r="H17727">
        <v>4471</v>
      </c>
      <c r="I17727" t="s">
        <v>68</v>
      </c>
      <c r="J17727">
        <v>219.9</v>
      </c>
      <c r="K17727">
        <v>42.56</v>
      </c>
      <c r="L17727">
        <v>59502</v>
      </c>
      <c r="M17727" t="s">
        <v>70</v>
      </c>
      <c r="N17727" t="str">
        <f t="shared" si="239"/>
        <v xml:space="preserve">2254963     </v>
      </c>
      <c r="O17727">
        <v>230413</v>
      </c>
    </row>
    <row r="17728" spans="1:15" x14ac:dyDescent="0.25">
      <c r="A17728" t="s">
        <v>16</v>
      </c>
      <c r="B17728" t="s">
        <v>3221</v>
      </c>
      <c r="C17728">
        <v>4841</v>
      </c>
      <c r="D17728" t="s">
        <v>66</v>
      </c>
      <c r="E17728" t="s">
        <v>67</v>
      </c>
      <c r="F17728">
        <v>290.72000000000003</v>
      </c>
      <c r="G17728">
        <v>230401</v>
      </c>
      <c r="H17728">
        <v>4471</v>
      </c>
      <c r="I17728" t="s">
        <v>68</v>
      </c>
      <c r="J17728">
        <v>360.49</v>
      </c>
      <c r="K17728">
        <v>69.77</v>
      </c>
      <c r="L17728">
        <v>59504</v>
      </c>
      <c r="M17728" t="s">
        <v>71</v>
      </c>
      <c r="N17728" t="str">
        <f t="shared" si="239"/>
        <v xml:space="preserve">2254963     </v>
      </c>
      <c r="O17728">
        <v>230413</v>
      </c>
    </row>
    <row r="17729" spans="1:15" x14ac:dyDescent="0.25">
      <c r="A17729" t="s">
        <v>16</v>
      </c>
      <c r="B17729" t="s">
        <v>3221</v>
      </c>
      <c r="C17729">
        <v>4841</v>
      </c>
      <c r="D17729" t="s">
        <v>66</v>
      </c>
      <c r="E17729" t="s">
        <v>67</v>
      </c>
      <c r="F17729">
        <v>212.4</v>
      </c>
      <c r="G17729">
        <v>230401</v>
      </c>
      <c r="H17729">
        <v>4471</v>
      </c>
      <c r="I17729" t="s">
        <v>68</v>
      </c>
      <c r="J17729">
        <v>263.38</v>
      </c>
      <c r="K17729">
        <v>50.98</v>
      </c>
      <c r="L17729">
        <v>59505</v>
      </c>
      <c r="M17729" t="s">
        <v>72</v>
      </c>
      <c r="N17729" t="str">
        <f t="shared" si="239"/>
        <v xml:space="preserve">2254963     </v>
      </c>
      <c r="O17729">
        <v>230413</v>
      </c>
    </row>
    <row r="17730" spans="1:15" x14ac:dyDescent="0.25">
      <c r="A17730" t="s">
        <v>16</v>
      </c>
      <c r="B17730" t="s">
        <v>3221</v>
      </c>
      <c r="C17730">
        <v>4841</v>
      </c>
      <c r="D17730" t="s">
        <v>66</v>
      </c>
      <c r="E17730" t="s">
        <v>67</v>
      </c>
      <c r="F17730">
        <v>113.38</v>
      </c>
      <c r="G17730">
        <v>230401</v>
      </c>
      <c r="H17730">
        <v>4471</v>
      </c>
      <c r="I17730" t="s">
        <v>68</v>
      </c>
      <c r="J17730">
        <v>140.59</v>
      </c>
      <c r="K17730">
        <v>27.21</v>
      </c>
      <c r="L17730">
        <v>59802</v>
      </c>
      <c r="M17730" t="s">
        <v>73</v>
      </c>
      <c r="N17730" t="str">
        <f t="shared" si="239"/>
        <v xml:space="preserve">2254963     </v>
      </c>
      <c r="O17730">
        <v>230413</v>
      </c>
    </row>
    <row r="17731" spans="1:15" x14ac:dyDescent="0.25">
      <c r="A17731" t="s">
        <v>16</v>
      </c>
      <c r="B17731" t="s">
        <v>3221</v>
      </c>
      <c r="C17731">
        <v>4841</v>
      </c>
      <c r="D17731" t="s">
        <v>66</v>
      </c>
      <c r="E17731" t="s">
        <v>67</v>
      </c>
      <c r="F17731">
        <v>28.97</v>
      </c>
      <c r="G17731">
        <v>230401</v>
      </c>
      <c r="H17731">
        <v>4471</v>
      </c>
      <c r="I17731" t="s">
        <v>68</v>
      </c>
      <c r="J17731">
        <v>35.92</v>
      </c>
      <c r="K17731">
        <v>6.95</v>
      </c>
      <c r="L17731">
        <v>59812</v>
      </c>
      <c r="M17731" t="s">
        <v>74</v>
      </c>
      <c r="N17731" t="str">
        <f t="shared" si="239"/>
        <v xml:space="preserve">2254963     </v>
      </c>
      <c r="O17731">
        <v>230413</v>
      </c>
    </row>
    <row r="17732" spans="1:15" x14ac:dyDescent="0.25">
      <c r="A17732" t="s">
        <v>16</v>
      </c>
      <c r="B17732" t="s">
        <v>3221</v>
      </c>
      <c r="C17732">
        <v>4931</v>
      </c>
      <c r="D17732" t="s">
        <v>66</v>
      </c>
      <c r="E17732" t="s">
        <v>67</v>
      </c>
      <c r="F17732">
        <v>50</v>
      </c>
      <c r="G17732">
        <v>230404</v>
      </c>
      <c r="H17732">
        <v>4471</v>
      </c>
      <c r="I17732" t="s">
        <v>68</v>
      </c>
      <c r="J17732">
        <v>62</v>
      </c>
      <c r="K17732">
        <v>12</v>
      </c>
      <c r="L17732">
        <v>59501</v>
      </c>
      <c r="M17732" t="s">
        <v>69</v>
      </c>
      <c r="N17732" t="str">
        <f>"7417629     "</f>
        <v xml:space="preserve">7417629     </v>
      </c>
      <c r="O17732">
        <v>230414</v>
      </c>
    </row>
    <row r="17733" spans="1:15" x14ac:dyDescent="0.25">
      <c r="A17733" t="s">
        <v>16</v>
      </c>
      <c r="B17733" t="s">
        <v>3221</v>
      </c>
      <c r="C17733">
        <v>5307</v>
      </c>
      <c r="D17733" t="s">
        <v>66</v>
      </c>
      <c r="E17733" t="s">
        <v>67</v>
      </c>
      <c r="F17733">
        <v>91</v>
      </c>
      <c r="G17733">
        <v>230418</v>
      </c>
      <c r="H17733">
        <v>4471</v>
      </c>
      <c r="I17733" t="s">
        <v>68</v>
      </c>
      <c r="J17733">
        <v>112.84</v>
      </c>
      <c r="K17733">
        <v>21.84</v>
      </c>
      <c r="L17733">
        <v>17950</v>
      </c>
      <c r="M17733" t="s">
        <v>86</v>
      </c>
      <c r="N17733" t="str">
        <f>"7420424     "</f>
        <v xml:space="preserve">7420424     </v>
      </c>
      <c r="O17733">
        <v>230420</v>
      </c>
    </row>
    <row r="17734" spans="1:15" x14ac:dyDescent="0.25">
      <c r="A17734" t="s">
        <v>16</v>
      </c>
      <c r="B17734" t="s">
        <v>3221</v>
      </c>
      <c r="C17734">
        <v>5771</v>
      </c>
      <c r="D17734" t="s">
        <v>66</v>
      </c>
      <c r="E17734" t="s">
        <v>67</v>
      </c>
      <c r="F17734">
        <v>29.88</v>
      </c>
      <c r="G17734">
        <v>230501</v>
      </c>
      <c r="H17734">
        <v>4471</v>
      </c>
      <c r="I17734" t="s">
        <v>68</v>
      </c>
      <c r="J17734">
        <v>37.049999999999997</v>
      </c>
      <c r="K17734">
        <v>7.17</v>
      </c>
      <c r="L17734">
        <v>13540</v>
      </c>
      <c r="M17734" t="s">
        <v>85</v>
      </c>
      <c r="N17734" t="str">
        <f>"2274286     "</f>
        <v xml:space="preserve">2274286     </v>
      </c>
      <c r="O17734">
        <v>230502</v>
      </c>
    </row>
    <row r="17735" spans="1:15" x14ac:dyDescent="0.25">
      <c r="A17735" t="s">
        <v>16</v>
      </c>
      <c r="B17735" t="s">
        <v>3221</v>
      </c>
      <c r="C17735">
        <v>5771</v>
      </c>
      <c r="D17735" t="s">
        <v>66</v>
      </c>
      <c r="E17735" t="s">
        <v>67</v>
      </c>
      <c r="F17735">
        <v>241.22</v>
      </c>
      <c r="G17735">
        <v>230501</v>
      </c>
      <c r="H17735">
        <v>4471</v>
      </c>
      <c r="I17735" t="s">
        <v>68</v>
      </c>
      <c r="J17735">
        <v>299.11</v>
      </c>
      <c r="K17735">
        <v>57.89</v>
      </c>
      <c r="L17735">
        <v>17950</v>
      </c>
      <c r="M17735" t="s">
        <v>86</v>
      </c>
      <c r="N17735" t="str">
        <f>"2274286     "</f>
        <v xml:space="preserve">2274286     </v>
      </c>
      <c r="O17735">
        <v>230502</v>
      </c>
    </row>
    <row r="17736" spans="1:15" x14ac:dyDescent="0.25">
      <c r="A17736" t="s">
        <v>16</v>
      </c>
      <c r="B17736" t="s">
        <v>3221</v>
      </c>
      <c r="C17736">
        <v>5771</v>
      </c>
      <c r="D17736" t="s">
        <v>66</v>
      </c>
      <c r="E17736" t="s">
        <v>67</v>
      </c>
      <c r="F17736">
        <v>220.88</v>
      </c>
      <c r="G17736">
        <v>230501</v>
      </c>
      <c r="H17736">
        <v>4471</v>
      </c>
      <c r="I17736" t="s">
        <v>68</v>
      </c>
      <c r="J17736">
        <v>273.89</v>
      </c>
      <c r="K17736">
        <v>53.01</v>
      </c>
      <c r="L17736">
        <v>17951</v>
      </c>
      <c r="M17736" t="s">
        <v>87</v>
      </c>
      <c r="N17736" t="str">
        <f>"2274286     "</f>
        <v xml:space="preserve">2274286     </v>
      </c>
      <c r="O17736">
        <v>230502</v>
      </c>
    </row>
    <row r="17737" spans="1:15" x14ac:dyDescent="0.25">
      <c r="A17737" t="s">
        <v>16</v>
      </c>
      <c r="B17737" t="s">
        <v>3221</v>
      </c>
      <c r="C17737">
        <v>5771</v>
      </c>
      <c r="D17737" t="s">
        <v>66</v>
      </c>
      <c r="E17737" t="s">
        <v>67</v>
      </c>
      <c r="F17737">
        <v>357.06</v>
      </c>
      <c r="G17737">
        <v>230501</v>
      </c>
      <c r="H17737">
        <v>4471</v>
      </c>
      <c r="I17737" t="s">
        <v>68</v>
      </c>
      <c r="J17737">
        <v>442.76</v>
      </c>
      <c r="K17737">
        <v>85.7</v>
      </c>
      <c r="L17737">
        <v>17952</v>
      </c>
      <c r="M17737" t="s">
        <v>88</v>
      </c>
      <c r="N17737" t="str">
        <f>"2274286     "</f>
        <v xml:space="preserve">2274286     </v>
      </c>
      <c r="O17737">
        <v>230502</v>
      </c>
    </row>
    <row r="17738" spans="1:15" x14ac:dyDescent="0.25">
      <c r="A17738" t="s">
        <v>16</v>
      </c>
      <c r="B17738" t="s">
        <v>3221</v>
      </c>
      <c r="C17738">
        <v>5771</v>
      </c>
      <c r="D17738" t="s">
        <v>66</v>
      </c>
      <c r="E17738" t="s">
        <v>67</v>
      </c>
      <c r="F17738">
        <v>133.53</v>
      </c>
      <c r="G17738">
        <v>230501</v>
      </c>
      <c r="H17738">
        <v>4471</v>
      </c>
      <c r="I17738" t="s">
        <v>68</v>
      </c>
      <c r="J17738">
        <v>165.58</v>
      </c>
      <c r="K17738">
        <v>32.049999999999997</v>
      </c>
      <c r="L17738">
        <v>17956</v>
      </c>
      <c r="M17738" t="s">
        <v>53</v>
      </c>
      <c r="N17738" t="str">
        <f>"2274286     "</f>
        <v xml:space="preserve">2274286     </v>
      </c>
      <c r="O17738">
        <v>230502</v>
      </c>
    </row>
    <row r="17739" spans="1:15" x14ac:dyDescent="0.25">
      <c r="A17739" t="s">
        <v>16</v>
      </c>
      <c r="B17739" t="s">
        <v>3221</v>
      </c>
      <c r="C17739">
        <v>5870</v>
      </c>
      <c r="D17739" t="s">
        <v>66</v>
      </c>
      <c r="E17739" t="s">
        <v>67</v>
      </c>
      <c r="F17739">
        <v>290.72000000000003</v>
      </c>
      <c r="G17739">
        <v>230501</v>
      </c>
      <c r="H17739">
        <v>4471</v>
      </c>
      <c r="I17739" t="s">
        <v>68</v>
      </c>
      <c r="J17739">
        <v>360.49</v>
      </c>
      <c r="K17739">
        <v>69.77</v>
      </c>
      <c r="L17739">
        <v>59501</v>
      </c>
      <c r="M17739" t="s">
        <v>69</v>
      </c>
      <c r="N17739" t="str">
        <f t="shared" ref="N17739:N17744" si="240">"2272901     "</f>
        <v xml:space="preserve">2272901     </v>
      </c>
      <c r="O17739">
        <v>230503</v>
      </c>
    </row>
    <row r="17740" spans="1:15" x14ac:dyDescent="0.25">
      <c r="A17740" t="s">
        <v>16</v>
      </c>
      <c r="B17740" t="s">
        <v>3221</v>
      </c>
      <c r="C17740">
        <v>5870</v>
      </c>
      <c r="D17740" t="s">
        <v>66</v>
      </c>
      <c r="E17740" t="s">
        <v>67</v>
      </c>
      <c r="F17740">
        <v>177.34</v>
      </c>
      <c r="G17740">
        <v>230501</v>
      </c>
      <c r="H17740">
        <v>4471</v>
      </c>
      <c r="I17740" t="s">
        <v>68</v>
      </c>
      <c r="J17740">
        <v>219.9</v>
      </c>
      <c r="K17740">
        <v>42.56</v>
      </c>
      <c r="L17740">
        <v>59502</v>
      </c>
      <c r="M17740" t="s">
        <v>70</v>
      </c>
      <c r="N17740" t="str">
        <f t="shared" si="240"/>
        <v xml:space="preserve">2272901     </v>
      </c>
      <c r="O17740">
        <v>230503</v>
      </c>
    </row>
    <row r="17741" spans="1:15" x14ac:dyDescent="0.25">
      <c r="A17741" t="s">
        <v>16</v>
      </c>
      <c r="B17741" t="s">
        <v>3221</v>
      </c>
      <c r="C17741">
        <v>5870</v>
      </c>
      <c r="D17741" t="s">
        <v>66</v>
      </c>
      <c r="E17741" t="s">
        <v>67</v>
      </c>
      <c r="F17741">
        <v>290.72000000000003</v>
      </c>
      <c r="G17741">
        <v>230501</v>
      </c>
      <c r="H17741">
        <v>4471</v>
      </c>
      <c r="I17741" t="s">
        <v>68</v>
      </c>
      <c r="J17741">
        <v>360.49</v>
      </c>
      <c r="K17741">
        <v>69.77</v>
      </c>
      <c r="L17741">
        <v>59504</v>
      </c>
      <c r="M17741" t="s">
        <v>71</v>
      </c>
      <c r="N17741" t="str">
        <f t="shared" si="240"/>
        <v xml:space="preserve">2272901     </v>
      </c>
      <c r="O17741">
        <v>230503</v>
      </c>
    </row>
    <row r="17742" spans="1:15" x14ac:dyDescent="0.25">
      <c r="A17742" t="s">
        <v>16</v>
      </c>
      <c r="B17742" t="s">
        <v>3221</v>
      </c>
      <c r="C17742">
        <v>5870</v>
      </c>
      <c r="D17742" t="s">
        <v>66</v>
      </c>
      <c r="E17742" t="s">
        <v>67</v>
      </c>
      <c r="F17742">
        <v>212.4</v>
      </c>
      <c r="G17742">
        <v>230501</v>
      </c>
      <c r="H17742">
        <v>4471</v>
      </c>
      <c r="I17742" t="s">
        <v>68</v>
      </c>
      <c r="J17742">
        <v>263.38</v>
      </c>
      <c r="K17742">
        <v>50.98</v>
      </c>
      <c r="L17742">
        <v>59505</v>
      </c>
      <c r="M17742" t="s">
        <v>72</v>
      </c>
      <c r="N17742" t="str">
        <f t="shared" si="240"/>
        <v xml:space="preserve">2272901     </v>
      </c>
      <c r="O17742">
        <v>230503</v>
      </c>
    </row>
    <row r="17743" spans="1:15" x14ac:dyDescent="0.25">
      <c r="A17743" t="s">
        <v>16</v>
      </c>
      <c r="B17743" t="s">
        <v>3221</v>
      </c>
      <c r="C17743">
        <v>5870</v>
      </c>
      <c r="D17743" t="s">
        <v>66</v>
      </c>
      <c r="E17743" t="s">
        <v>67</v>
      </c>
      <c r="F17743">
        <v>113.38</v>
      </c>
      <c r="G17743">
        <v>230501</v>
      </c>
      <c r="H17743">
        <v>4471</v>
      </c>
      <c r="I17743" t="s">
        <v>68</v>
      </c>
      <c r="J17743">
        <v>140.59</v>
      </c>
      <c r="K17743">
        <v>27.21</v>
      </c>
      <c r="L17743">
        <v>59802</v>
      </c>
      <c r="M17743" t="s">
        <v>73</v>
      </c>
      <c r="N17743" t="str">
        <f t="shared" si="240"/>
        <v xml:space="preserve">2272901     </v>
      </c>
      <c r="O17743">
        <v>230503</v>
      </c>
    </row>
    <row r="17744" spans="1:15" x14ac:dyDescent="0.25">
      <c r="A17744" t="s">
        <v>16</v>
      </c>
      <c r="B17744" t="s">
        <v>3221</v>
      </c>
      <c r="C17744">
        <v>5870</v>
      </c>
      <c r="D17744" t="s">
        <v>66</v>
      </c>
      <c r="E17744" t="s">
        <v>67</v>
      </c>
      <c r="F17744">
        <v>28.97</v>
      </c>
      <c r="G17744">
        <v>230501</v>
      </c>
      <c r="H17744">
        <v>4471</v>
      </c>
      <c r="I17744" t="s">
        <v>68</v>
      </c>
      <c r="J17744">
        <v>35.92</v>
      </c>
      <c r="K17744">
        <v>6.95</v>
      </c>
      <c r="L17744">
        <v>59812</v>
      </c>
      <c r="M17744" t="s">
        <v>74</v>
      </c>
      <c r="N17744" t="str">
        <f t="shared" si="240"/>
        <v xml:space="preserve">2272901     </v>
      </c>
      <c r="O17744">
        <v>230503</v>
      </c>
    </row>
    <row r="17745" spans="1:15" x14ac:dyDescent="0.25">
      <c r="A17745" t="s">
        <v>16</v>
      </c>
      <c r="B17745" t="s">
        <v>3221</v>
      </c>
      <c r="C17745">
        <v>6036</v>
      </c>
      <c r="D17745" t="s">
        <v>66</v>
      </c>
      <c r="E17745" t="s">
        <v>67</v>
      </c>
      <c r="F17745">
        <v>176</v>
      </c>
      <c r="G17745">
        <v>230503</v>
      </c>
      <c r="H17745">
        <v>4471</v>
      </c>
      <c r="I17745" t="s">
        <v>68</v>
      </c>
      <c r="J17745">
        <v>218.24</v>
      </c>
      <c r="K17745">
        <v>42.24</v>
      </c>
      <c r="L17745">
        <v>17950</v>
      </c>
      <c r="M17745" t="s">
        <v>86</v>
      </c>
      <c r="N17745" t="str">
        <f>"7422646     "</f>
        <v xml:space="preserve">7422646     </v>
      </c>
      <c r="O17745">
        <v>230505</v>
      </c>
    </row>
    <row r="17746" spans="1:15" x14ac:dyDescent="0.25">
      <c r="A17746" t="s">
        <v>16</v>
      </c>
      <c r="B17746" t="s">
        <v>3221</v>
      </c>
      <c r="C17746">
        <v>7986</v>
      </c>
      <c r="D17746" t="s">
        <v>66</v>
      </c>
      <c r="E17746" t="s">
        <v>67</v>
      </c>
      <c r="F17746">
        <v>91</v>
      </c>
      <c r="G17746">
        <v>230602</v>
      </c>
      <c r="H17746">
        <v>4471</v>
      </c>
      <c r="I17746" t="s">
        <v>68</v>
      </c>
      <c r="J17746">
        <v>112.84</v>
      </c>
      <c r="K17746">
        <v>21.84</v>
      </c>
      <c r="L17746">
        <v>17950</v>
      </c>
      <c r="M17746" t="s">
        <v>86</v>
      </c>
      <c r="N17746" t="str">
        <f>"7427409     "</f>
        <v xml:space="preserve">7427409     </v>
      </c>
      <c r="O17746">
        <v>230606</v>
      </c>
    </row>
    <row r="17747" spans="1:15" x14ac:dyDescent="0.25">
      <c r="A17747" t="s">
        <v>16</v>
      </c>
      <c r="B17747" t="s">
        <v>3221</v>
      </c>
      <c r="C17747">
        <v>9754</v>
      </c>
      <c r="D17747" t="s">
        <v>66</v>
      </c>
      <c r="E17747" t="s">
        <v>67</v>
      </c>
      <c r="F17747">
        <v>289.22000000000003</v>
      </c>
      <c r="G17747">
        <v>230629</v>
      </c>
      <c r="H17747">
        <v>4471</v>
      </c>
      <c r="I17747" t="s">
        <v>68</v>
      </c>
      <c r="J17747">
        <v>358.63</v>
      </c>
      <c r="K17747">
        <v>69.41</v>
      </c>
      <c r="L17747">
        <v>59501</v>
      </c>
      <c r="M17747" t="s">
        <v>69</v>
      </c>
      <c r="N17747" t="str">
        <f>"110004784   "</f>
        <v xml:space="preserve">110004784   </v>
      </c>
      <c r="O17747">
        <v>230725</v>
      </c>
    </row>
    <row r="17748" spans="1:15" x14ac:dyDescent="0.25">
      <c r="A17748" t="s">
        <v>16</v>
      </c>
      <c r="B17748" t="s">
        <v>3221</v>
      </c>
      <c r="C17748">
        <v>9754</v>
      </c>
      <c r="D17748" t="s">
        <v>66</v>
      </c>
      <c r="E17748" t="s">
        <v>67</v>
      </c>
      <c r="F17748">
        <v>289.22000000000003</v>
      </c>
      <c r="G17748">
        <v>230629</v>
      </c>
      <c r="H17748">
        <v>4471</v>
      </c>
      <c r="I17748" t="s">
        <v>68</v>
      </c>
      <c r="J17748">
        <v>358.63</v>
      </c>
      <c r="K17748">
        <v>69.41</v>
      </c>
      <c r="L17748">
        <v>59502</v>
      </c>
      <c r="M17748" t="s">
        <v>70</v>
      </c>
      <c r="N17748" t="str">
        <f>"110004784   "</f>
        <v xml:space="preserve">110004784   </v>
      </c>
      <c r="O17748">
        <v>230725</v>
      </c>
    </row>
    <row r="17749" spans="1:15" x14ac:dyDescent="0.25">
      <c r="A17749" t="s">
        <v>16</v>
      </c>
      <c r="B17749" t="s">
        <v>3221</v>
      </c>
      <c r="C17749">
        <v>9754</v>
      </c>
      <c r="D17749" t="s">
        <v>66</v>
      </c>
      <c r="E17749" t="s">
        <v>67</v>
      </c>
      <c r="F17749">
        <v>289.22000000000003</v>
      </c>
      <c r="G17749">
        <v>230629</v>
      </c>
      <c r="H17749">
        <v>4471</v>
      </c>
      <c r="I17749" t="s">
        <v>68</v>
      </c>
      <c r="J17749">
        <v>358.63</v>
      </c>
      <c r="K17749">
        <v>69.41</v>
      </c>
      <c r="L17749">
        <v>59504</v>
      </c>
      <c r="M17749" t="s">
        <v>71</v>
      </c>
      <c r="N17749" t="str">
        <f>"110004784   "</f>
        <v xml:space="preserve">110004784   </v>
      </c>
      <c r="O17749">
        <v>230725</v>
      </c>
    </row>
    <row r="17750" spans="1:15" x14ac:dyDescent="0.25">
      <c r="A17750" t="s">
        <v>16</v>
      </c>
      <c r="B17750" t="s">
        <v>3221</v>
      </c>
      <c r="C17750">
        <v>9754</v>
      </c>
      <c r="D17750" t="s">
        <v>66</v>
      </c>
      <c r="E17750" t="s">
        <v>67</v>
      </c>
      <c r="F17750">
        <v>245.87</v>
      </c>
      <c r="G17750">
        <v>230629</v>
      </c>
      <c r="H17750">
        <v>4471</v>
      </c>
      <c r="I17750" t="s">
        <v>68</v>
      </c>
      <c r="J17750">
        <v>304.88</v>
      </c>
      <c r="K17750">
        <v>59.01</v>
      </c>
      <c r="L17750">
        <v>59505</v>
      </c>
      <c r="M17750" t="s">
        <v>72</v>
      </c>
      <c r="N17750" t="str">
        <f>"110004784   "</f>
        <v xml:space="preserve">110004784   </v>
      </c>
      <c r="O17750">
        <v>230725</v>
      </c>
    </row>
    <row r="17751" spans="1:15" x14ac:dyDescent="0.25">
      <c r="A17751" t="s">
        <v>16</v>
      </c>
      <c r="B17751" t="s">
        <v>3221</v>
      </c>
      <c r="C17751">
        <v>9767</v>
      </c>
      <c r="D17751" t="s">
        <v>66</v>
      </c>
      <c r="E17751" t="s">
        <v>67</v>
      </c>
      <c r="F17751">
        <v>29.88</v>
      </c>
      <c r="G17751">
        <v>230629</v>
      </c>
      <c r="H17751">
        <v>4471</v>
      </c>
      <c r="I17751" t="s">
        <v>68</v>
      </c>
      <c r="J17751">
        <v>37.049999999999997</v>
      </c>
      <c r="K17751">
        <v>7.17</v>
      </c>
      <c r="L17751">
        <v>13540</v>
      </c>
      <c r="M17751" t="s">
        <v>85</v>
      </c>
      <c r="N17751" t="str">
        <f>"110006105   "</f>
        <v xml:space="preserve">110006105   </v>
      </c>
      <c r="O17751">
        <v>230725</v>
      </c>
    </row>
    <row r="17752" spans="1:15" x14ac:dyDescent="0.25">
      <c r="A17752" t="s">
        <v>16</v>
      </c>
      <c r="B17752" t="s">
        <v>3221</v>
      </c>
      <c r="C17752">
        <v>9767</v>
      </c>
      <c r="D17752" t="s">
        <v>66</v>
      </c>
      <c r="E17752" t="s">
        <v>67</v>
      </c>
      <c r="F17752">
        <v>241.22</v>
      </c>
      <c r="G17752">
        <v>230629</v>
      </c>
      <c r="H17752">
        <v>4471</v>
      </c>
      <c r="I17752" t="s">
        <v>68</v>
      </c>
      <c r="J17752">
        <v>299.11</v>
      </c>
      <c r="K17752">
        <v>57.89</v>
      </c>
      <c r="L17752">
        <v>17950</v>
      </c>
      <c r="M17752" t="s">
        <v>86</v>
      </c>
      <c r="N17752" t="str">
        <f>"110006105   "</f>
        <v xml:space="preserve">110006105   </v>
      </c>
      <c r="O17752">
        <v>230725</v>
      </c>
    </row>
    <row r="17753" spans="1:15" x14ac:dyDescent="0.25">
      <c r="A17753" t="s">
        <v>16</v>
      </c>
      <c r="B17753" t="s">
        <v>3221</v>
      </c>
      <c r="C17753">
        <v>9767</v>
      </c>
      <c r="D17753" t="s">
        <v>66</v>
      </c>
      <c r="E17753" t="s">
        <v>67</v>
      </c>
      <c r="F17753">
        <v>220.88</v>
      </c>
      <c r="G17753">
        <v>230629</v>
      </c>
      <c r="H17753">
        <v>4471</v>
      </c>
      <c r="I17753" t="s">
        <v>68</v>
      </c>
      <c r="J17753">
        <v>273.89</v>
      </c>
      <c r="K17753">
        <v>53.01</v>
      </c>
      <c r="L17753">
        <v>17951</v>
      </c>
      <c r="M17753" t="s">
        <v>87</v>
      </c>
      <c r="N17753" t="str">
        <f>"110006105   "</f>
        <v xml:space="preserve">110006105   </v>
      </c>
      <c r="O17753">
        <v>230725</v>
      </c>
    </row>
    <row r="17754" spans="1:15" x14ac:dyDescent="0.25">
      <c r="A17754" t="s">
        <v>16</v>
      </c>
      <c r="B17754" t="s">
        <v>3221</v>
      </c>
      <c r="C17754">
        <v>9767</v>
      </c>
      <c r="D17754" t="s">
        <v>66</v>
      </c>
      <c r="E17754" t="s">
        <v>67</v>
      </c>
      <c r="F17754">
        <v>357.06</v>
      </c>
      <c r="G17754">
        <v>230629</v>
      </c>
      <c r="H17754">
        <v>4471</v>
      </c>
      <c r="I17754" t="s">
        <v>68</v>
      </c>
      <c r="J17754">
        <v>442.76</v>
      </c>
      <c r="K17754">
        <v>85.7</v>
      </c>
      <c r="L17754">
        <v>17952</v>
      </c>
      <c r="M17754" t="s">
        <v>88</v>
      </c>
      <c r="N17754" t="str">
        <f>"110006105   "</f>
        <v xml:space="preserve">110006105   </v>
      </c>
      <c r="O17754">
        <v>230725</v>
      </c>
    </row>
    <row r="17755" spans="1:15" x14ac:dyDescent="0.25">
      <c r="A17755" t="s">
        <v>16</v>
      </c>
      <c r="B17755" t="s">
        <v>3221</v>
      </c>
      <c r="C17755">
        <v>9767</v>
      </c>
      <c r="D17755" t="s">
        <v>66</v>
      </c>
      <c r="E17755" t="s">
        <v>67</v>
      </c>
      <c r="F17755">
        <v>133.53</v>
      </c>
      <c r="G17755">
        <v>230629</v>
      </c>
      <c r="H17755">
        <v>4471</v>
      </c>
      <c r="I17755" t="s">
        <v>68</v>
      </c>
      <c r="J17755">
        <v>165.58</v>
      </c>
      <c r="K17755">
        <v>32.049999999999997</v>
      </c>
      <c r="L17755">
        <v>17956</v>
      </c>
      <c r="M17755" t="s">
        <v>53</v>
      </c>
      <c r="N17755" t="str">
        <f>"110006105   "</f>
        <v xml:space="preserve">110006105   </v>
      </c>
      <c r="O17755">
        <v>230725</v>
      </c>
    </row>
    <row r="17756" spans="1:15" x14ac:dyDescent="0.25">
      <c r="A17756" t="s">
        <v>16</v>
      </c>
      <c r="B17756" t="s">
        <v>3221</v>
      </c>
      <c r="C17756">
        <v>10050</v>
      </c>
      <c r="D17756" t="s">
        <v>66</v>
      </c>
      <c r="E17756" t="s">
        <v>67</v>
      </c>
      <c r="F17756">
        <v>29.67</v>
      </c>
      <c r="G17756">
        <v>230803</v>
      </c>
      <c r="H17756">
        <v>4471</v>
      </c>
      <c r="I17756" t="s">
        <v>68</v>
      </c>
      <c r="J17756">
        <v>36.79</v>
      </c>
      <c r="K17756">
        <v>7.12</v>
      </c>
      <c r="L17756">
        <v>13540</v>
      </c>
      <c r="M17756" t="s">
        <v>85</v>
      </c>
      <c r="N17756" t="str">
        <f>"110022919   "</f>
        <v xml:space="preserve">110022919   </v>
      </c>
      <c r="O17756">
        <v>230807</v>
      </c>
    </row>
    <row r="17757" spans="1:15" x14ac:dyDescent="0.25">
      <c r="A17757" t="s">
        <v>16</v>
      </c>
      <c r="B17757" t="s">
        <v>3221</v>
      </c>
      <c r="C17757">
        <v>10050</v>
      </c>
      <c r="D17757" t="s">
        <v>66</v>
      </c>
      <c r="E17757" t="s">
        <v>67</v>
      </c>
      <c r="F17757">
        <v>240.07</v>
      </c>
      <c r="G17757">
        <v>230803</v>
      </c>
      <c r="H17757">
        <v>4471</v>
      </c>
      <c r="I17757" t="s">
        <v>68</v>
      </c>
      <c r="J17757">
        <v>297.69</v>
      </c>
      <c r="K17757">
        <v>57.62</v>
      </c>
      <c r="L17757">
        <v>17950</v>
      </c>
      <c r="M17757" t="s">
        <v>86</v>
      </c>
      <c r="N17757" t="str">
        <f>"110022919   "</f>
        <v xml:space="preserve">110022919   </v>
      </c>
      <c r="O17757">
        <v>230807</v>
      </c>
    </row>
    <row r="17758" spans="1:15" x14ac:dyDescent="0.25">
      <c r="A17758" t="s">
        <v>16</v>
      </c>
      <c r="B17758" t="s">
        <v>3221</v>
      </c>
      <c r="C17758">
        <v>10050</v>
      </c>
      <c r="D17758" t="s">
        <v>66</v>
      </c>
      <c r="E17758" t="s">
        <v>67</v>
      </c>
      <c r="F17758">
        <v>220.84</v>
      </c>
      <c r="G17758">
        <v>230803</v>
      </c>
      <c r="H17758">
        <v>4471</v>
      </c>
      <c r="I17758" t="s">
        <v>68</v>
      </c>
      <c r="J17758">
        <v>273.83999999999997</v>
      </c>
      <c r="K17758">
        <v>53</v>
      </c>
      <c r="L17758">
        <v>17951</v>
      </c>
      <c r="M17758" t="s">
        <v>87</v>
      </c>
      <c r="N17758" t="str">
        <f>"110022919   "</f>
        <v xml:space="preserve">110022919   </v>
      </c>
      <c r="O17758">
        <v>230807</v>
      </c>
    </row>
    <row r="17759" spans="1:15" x14ac:dyDescent="0.25">
      <c r="A17759" t="s">
        <v>16</v>
      </c>
      <c r="B17759" t="s">
        <v>3221</v>
      </c>
      <c r="C17759">
        <v>10050</v>
      </c>
      <c r="D17759" t="s">
        <v>66</v>
      </c>
      <c r="E17759" t="s">
        <v>67</v>
      </c>
      <c r="F17759">
        <v>357.98</v>
      </c>
      <c r="G17759">
        <v>230803</v>
      </c>
      <c r="H17759">
        <v>4471</v>
      </c>
      <c r="I17759" t="s">
        <v>68</v>
      </c>
      <c r="J17759">
        <v>443.9</v>
      </c>
      <c r="K17759">
        <v>85.92</v>
      </c>
      <c r="L17759">
        <v>17952</v>
      </c>
      <c r="M17759" t="s">
        <v>88</v>
      </c>
      <c r="N17759" t="str">
        <f>"110022919   "</f>
        <v xml:space="preserve">110022919   </v>
      </c>
      <c r="O17759">
        <v>230807</v>
      </c>
    </row>
    <row r="17760" spans="1:15" x14ac:dyDescent="0.25">
      <c r="A17760" t="s">
        <v>16</v>
      </c>
      <c r="B17760" t="s">
        <v>3221</v>
      </c>
      <c r="C17760">
        <v>10050</v>
      </c>
      <c r="D17760" t="s">
        <v>66</v>
      </c>
      <c r="E17760" t="s">
        <v>67</v>
      </c>
      <c r="F17760">
        <v>134.01</v>
      </c>
      <c r="G17760">
        <v>230803</v>
      </c>
      <c r="H17760">
        <v>4471</v>
      </c>
      <c r="I17760" t="s">
        <v>68</v>
      </c>
      <c r="J17760">
        <v>166.17</v>
      </c>
      <c r="K17760">
        <v>32.159999999999997</v>
      </c>
      <c r="L17760">
        <v>17956</v>
      </c>
      <c r="M17760" t="s">
        <v>53</v>
      </c>
      <c r="N17760" t="str">
        <f>"110022919   "</f>
        <v xml:space="preserve">110022919   </v>
      </c>
      <c r="O17760">
        <v>230807</v>
      </c>
    </row>
    <row r="17761" spans="1:15" x14ac:dyDescent="0.25">
      <c r="A17761" t="s">
        <v>16</v>
      </c>
      <c r="B17761" t="s">
        <v>3221</v>
      </c>
      <c r="C17761">
        <v>10226</v>
      </c>
      <c r="D17761" t="s">
        <v>66</v>
      </c>
      <c r="E17761" t="s">
        <v>67</v>
      </c>
      <c r="F17761">
        <v>290.72000000000003</v>
      </c>
      <c r="G17761">
        <v>230803</v>
      </c>
      <c r="H17761">
        <v>4471</v>
      </c>
      <c r="I17761" t="s">
        <v>68</v>
      </c>
      <c r="J17761">
        <v>360.49</v>
      </c>
      <c r="K17761">
        <v>69.77</v>
      </c>
      <c r="L17761">
        <v>59501</v>
      </c>
      <c r="M17761" t="s">
        <v>69</v>
      </c>
      <c r="N17761" t="str">
        <f t="shared" ref="N17761:N17766" si="241">"110018700   "</f>
        <v xml:space="preserve">110018700   </v>
      </c>
      <c r="O17761">
        <v>230810</v>
      </c>
    </row>
    <row r="17762" spans="1:15" x14ac:dyDescent="0.25">
      <c r="A17762" t="s">
        <v>16</v>
      </c>
      <c r="B17762" t="s">
        <v>3221</v>
      </c>
      <c r="C17762">
        <v>10226</v>
      </c>
      <c r="D17762" t="s">
        <v>66</v>
      </c>
      <c r="E17762" t="s">
        <v>67</v>
      </c>
      <c r="F17762">
        <v>177.34</v>
      </c>
      <c r="G17762">
        <v>230803</v>
      </c>
      <c r="H17762">
        <v>4471</v>
      </c>
      <c r="I17762" t="s">
        <v>68</v>
      </c>
      <c r="J17762">
        <v>219.9</v>
      </c>
      <c r="K17762">
        <v>42.56</v>
      </c>
      <c r="L17762">
        <v>59502</v>
      </c>
      <c r="M17762" t="s">
        <v>70</v>
      </c>
      <c r="N17762" t="str">
        <f t="shared" si="241"/>
        <v xml:space="preserve">110018700   </v>
      </c>
      <c r="O17762">
        <v>230810</v>
      </c>
    </row>
    <row r="17763" spans="1:15" x14ac:dyDescent="0.25">
      <c r="A17763" t="s">
        <v>16</v>
      </c>
      <c r="B17763" t="s">
        <v>3221</v>
      </c>
      <c r="C17763">
        <v>10226</v>
      </c>
      <c r="D17763" t="s">
        <v>66</v>
      </c>
      <c r="E17763" t="s">
        <v>67</v>
      </c>
      <c r="F17763">
        <v>290.72000000000003</v>
      </c>
      <c r="G17763">
        <v>230803</v>
      </c>
      <c r="H17763">
        <v>4471</v>
      </c>
      <c r="I17763" t="s">
        <v>68</v>
      </c>
      <c r="J17763">
        <v>360.49</v>
      </c>
      <c r="K17763">
        <v>69.77</v>
      </c>
      <c r="L17763">
        <v>59504</v>
      </c>
      <c r="M17763" t="s">
        <v>71</v>
      </c>
      <c r="N17763" t="str">
        <f t="shared" si="241"/>
        <v xml:space="preserve">110018700   </v>
      </c>
      <c r="O17763">
        <v>230810</v>
      </c>
    </row>
    <row r="17764" spans="1:15" x14ac:dyDescent="0.25">
      <c r="A17764" t="s">
        <v>16</v>
      </c>
      <c r="B17764" t="s">
        <v>3221</v>
      </c>
      <c r="C17764">
        <v>10226</v>
      </c>
      <c r="D17764" t="s">
        <v>66</v>
      </c>
      <c r="E17764" t="s">
        <v>67</v>
      </c>
      <c r="F17764">
        <v>212.4</v>
      </c>
      <c r="G17764">
        <v>230803</v>
      </c>
      <c r="H17764">
        <v>4471</v>
      </c>
      <c r="I17764" t="s">
        <v>68</v>
      </c>
      <c r="J17764">
        <v>263.38</v>
      </c>
      <c r="K17764">
        <v>50.98</v>
      </c>
      <c r="L17764">
        <v>59505</v>
      </c>
      <c r="M17764" t="s">
        <v>72</v>
      </c>
      <c r="N17764" t="str">
        <f t="shared" si="241"/>
        <v xml:space="preserve">110018700   </v>
      </c>
      <c r="O17764">
        <v>230810</v>
      </c>
    </row>
    <row r="17765" spans="1:15" x14ac:dyDescent="0.25">
      <c r="A17765" t="s">
        <v>16</v>
      </c>
      <c r="B17765" t="s">
        <v>3221</v>
      </c>
      <c r="C17765">
        <v>10226</v>
      </c>
      <c r="D17765" t="s">
        <v>66</v>
      </c>
      <c r="E17765" t="s">
        <v>67</v>
      </c>
      <c r="F17765">
        <v>113.38</v>
      </c>
      <c r="G17765">
        <v>230803</v>
      </c>
      <c r="H17765">
        <v>4471</v>
      </c>
      <c r="I17765" t="s">
        <v>68</v>
      </c>
      <c r="J17765">
        <v>140.59</v>
      </c>
      <c r="K17765">
        <v>27.21</v>
      </c>
      <c r="L17765">
        <v>59802</v>
      </c>
      <c r="M17765" t="s">
        <v>73</v>
      </c>
      <c r="N17765" t="str">
        <f t="shared" si="241"/>
        <v xml:space="preserve">110018700   </v>
      </c>
      <c r="O17765">
        <v>230810</v>
      </c>
    </row>
    <row r="17766" spans="1:15" x14ac:dyDescent="0.25">
      <c r="A17766" t="s">
        <v>16</v>
      </c>
      <c r="B17766" t="s">
        <v>3221</v>
      </c>
      <c r="C17766">
        <v>10226</v>
      </c>
      <c r="D17766" t="s">
        <v>66</v>
      </c>
      <c r="E17766" t="s">
        <v>67</v>
      </c>
      <c r="F17766">
        <v>28.97</v>
      </c>
      <c r="G17766">
        <v>230803</v>
      </c>
      <c r="H17766">
        <v>4471</v>
      </c>
      <c r="I17766" t="s">
        <v>68</v>
      </c>
      <c r="J17766">
        <v>35.92</v>
      </c>
      <c r="K17766">
        <v>6.95</v>
      </c>
      <c r="L17766">
        <v>59812</v>
      </c>
      <c r="M17766" t="s">
        <v>74</v>
      </c>
      <c r="N17766" t="str">
        <f t="shared" si="241"/>
        <v xml:space="preserve">110018700   </v>
      </c>
      <c r="O17766">
        <v>230810</v>
      </c>
    </row>
    <row r="17767" spans="1:15" x14ac:dyDescent="0.25">
      <c r="A17767" t="s">
        <v>16</v>
      </c>
      <c r="B17767" t="s">
        <v>3221</v>
      </c>
      <c r="C17767">
        <v>10535</v>
      </c>
      <c r="D17767" t="s">
        <v>66</v>
      </c>
      <c r="E17767" t="s">
        <v>67</v>
      </c>
      <c r="F17767">
        <v>290.72000000000003</v>
      </c>
      <c r="G17767">
        <v>230815</v>
      </c>
      <c r="H17767">
        <v>4471</v>
      </c>
      <c r="I17767" t="s">
        <v>68</v>
      </c>
      <c r="J17767">
        <v>360.49</v>
      </c>
      <c r="K17767">
        <v>69.77</v>
      </c>
      <c r="L17767">
        <v>59501</v>
      </c>
      <c r="M17767" t="s">
        <v>69</v>
      </c>
      <c r="N17767" t="str">
        <f t="shared" ref="N17767:N17772" si="242">"110035507   "</f>
        <v xml:space="preserve">110035507   </v>
      </c>
      <c r="O17767">
        <v>230818</v>
      </c>
    </row>
    <row r="17768" spans="1:15" x14ac:dyDescent="0.25">
      <c r="A17768" t="s">
        <v>16</v>
      </c>
      <c r="B17768" t="s">
        <v>3221</v>
      </c>
      <c r="C17768">
        <v>10535</v>
      </c>
      <c r="D17768" t="s">
        <v>66</v>
      </c>
      <c r="E17768" t="s">
        <v>67</v>
      </c>
      <c r="F17768">
        <v>177.34</v>
      </c>
      <c r="G17768">
        <v>230815</v>
      </c>
      <c r="H17768">
        <v>4471</v>
      </c>
      <c r="I17768" t="s">
        <v>68</v>
      </c>
      <c r="J17768">
        <v>219.9</v>
      </c>
      <c r="K17768">
        <v>42.56</v>
      </c>
      <c r="L17768">
        <v>59502</v>
      </c>
      <c r="M17768" t="s">
        <v>70</v>
      </c>
      <c r="N17768" t="str">
        <f t="shared" si="242"/>
        <v xml:space="preserve">110035507   </v>
      </c>
      <c r="O17768">
        <v>230818</v>
      </c>
    </row>
    <row r="17769" spans="1:15" x14ac:dyDescent="0.25">
      <c r="A17769" t="s">
        <v>16</v>
      </c>
      <c r="B17769" t="s">
        <v>3221</v>
      </c>
      <c r="C17769">
        <v>10535</v>
      </c>
      <c r="D17769" t="s">
        <v>66</v>
      </c>
      <c r="E17769" t="s">
        <v>67</v>
      </c>
      <c r="F17769">
        <v>290.72000000000003</v>
      </c>
      <c r="G17769">
        <v>230815</v>
      </c>
      <c r="H17769">
        <v>4471</v>
      </c>
      <c r="I17769" t="s">
        <v>68</v>
      </c>
      <c r="J17769">
        <v>360.49</v>
      </c>
      <c r="K17769">
        <v>69.77</v>
      </c>
      <c r="L17769">
        <v>59504</v>
      </c>
      <c r="M17769" t="s">
        <v>71</v>
      </c>
      <c r="N17769" t="str">
        <f t="shared" si="242"/>
        <v xml:space="preserve">110035507   </v>
      </c>
      <c r="O17769">
        <v>230818</v>
      </c>
    </row>
    <row r="17770" spans="1:15" x14ac:dyDescent="0.25">
      <c r="A17770" t="s">
        <v>16</v>
      </c>
      <c r="B17770" t="s">
        <v>3221</v>
      </c>
      <c r="C17770">
        <v>10535</v>
      </c>
      <c r="D17770" t="s">
        <v>66</v>
      </c>
      <c r="E17770" t="s">
        <v>67</v>
      </c>
      <c r="F17770">
        <v>212.4</v>
      </c>
      <c r="G17770">
        <v>230815</v>
      </c>
      <c r="H17770">
        <v>4471</v>
      </c>
      <c r="I17770" t="s">
        <v>68</v>
      </c>
      <c r="J17770">
        <v>263.38</v>
      </c>
      <c r="K17770">
        <v>50.98</v>
      </c>
      <c r="L17770">
        <v>59505</v>
      </c>
      <c r="M17770" t="s">
        <v>72</v>
      </c>
      <c r="N17770" t="str">
        <f t="shared" si="242"/>
        <v xml:space="preserve">110035507   </v>
      </c>
      <c r="O17770">
        <v>230818</v>
      </c>
    </row>
    <row r="17771" spans="1:15" x14ac:dyDescent="0.25">
      <c r="A17771" t="s">
        <v>16</v>
      </c>
      <c r="B17771" t="s">
        <v>3221</v>
      </c>
      <c r="C17771">
        <v>10535</v>
      </c>
      <c r="D17771" t="s">
        <v>66</v>
      </c>
      <c r="E17771" t="s">
        <v>67</v>
      </c>
      <c r="F17771">
        <v>113.38</v>
      </c>
      <c r="G17771">
        <v>230815</v>
      </c>
      <c r="H17771">
        <v>4471</v>
      </c>
      <c r="I17771" t="s">
        <v>68</v>
      </c>
      <c r="J17771">
        <v>140.59</v>
      </c>
      <c r="K17771">
        <v>27.21</v>
      </c>
      <c r="L17771">
        <v>59802</v>
      </c>
      <c r="M17771" t="s">
        <v>73</v>
      </c>
      <c r="N17771" t="str">
        <f t="shared" si="242"/>
        <v xml:space="preserve">110035507   </v>
      </c>
      <c r="O17771">
        <v>230818</v>
      </c>
    </row>
    <row r="17772" spans="1:15" x14ac:dyDescent="0.25">
      <c r="A17772" t="s">
        <v>16</v>
      </c>
      <c r="B17772" t="s">
        <v>3221</v>
      </c>
      <c r="C17772">
        <v>10535</v>
      </c>
      <c r="D17772" t="s">
        <v>66</v>
      </c>
      <c r="E17772" t="s">
        <v>67</v>
      </c>
      <c r="F17772">
        <v>28.97</v>
      </c>
      <c r="G17772">
        <v>230815</v>
      </c>
      <c r="H17772">
        <v>4471</v>
      </c>
      <c r="I17772" t="s">
        <v>68</v>
      </c>
      <c r="J17772">
        <v>35.92</v>
      </c>
      <c r="K17772">
        <v>6.95</v>
      </c>
      <c r="L17772">
        <v>59812</v>
      </c>
      <c r="M17772" t="s">
        <v>74</v>
      </c>
      <c r="N17772" t="str">
        <f t="shared" si="242"/>
        <v xml:space="preserve">110035507   </v>
      </c>
      <c r="O17772">
        <v>230818</v>
      </c>
    </row>
    <row r="17773" spans="1:15" x14ac:dyDescent="0.25">
      <c r="A17773" t="s">
        <v>16</v>
      </c>
      <c r="B17773" t="s">
        <v>3221</v>
      </c>
      <c r="C17773">
        <v>10588</v>
      </c>
      <c r="D17773" t="s">
        <v>66</v>
      </c>
      <c r="E17773" t="s">
        <v>67</v>
      </c>
      <c r="F17773">
        <v>29.67</v>
      </c>
      <c r="G17773">
        <v>230815</v>
      </c>
      <c r="H17773">
        <v>4471</v>
      </c>
      <c r="I17773" t="s">
        <v>68</v>
      </c>
      <c r="J17773">
        <v>36.79</v>
      </c>
      <c r="K17773">
        <v>7.12</v>
      </c>
      <c r="L17773">
        <v>13540</v>
      </c>
      <c r="M17773" t="s">
        <v>85</v>
      </c>
      <c r="N17773" t="str">
        <f>"110037784   "</f>
        <v xml:space="preserve">110037784   </v>
      </c>
      <c r="O17773">
        <v>230818</v>
      </c>
    </row>
    <row r="17774" spans="1:15" x14ac:dyDescent="0.25">
      <c r="A17774" t="s">
        <v>16</v>
      </c>
      <c r="B17774" t="s">
        <v>3221</v>
      </c>
      <c r="C17774">
        <v>10588</v>
      </c>
      <c r="D17774" t="s">
        <v>66</v>
      </c>
      <c r="E17774" t="s">
        <v>67</v>
      </c>
      <c r="F17774">
        <v>240.07</v>
      </c>
      <c r="G17774">
        <v>230815</v>
      </c>
      <c r="H17774">
        <v>4471</v>
      </c>
      <c r="I17774" t="s">
        <v>68</v>
      </c>
      <c r="J17774">
        <v>297.69</v>
      </c>
      <c r="K17774">
        <v>57.62</v>
      </c>
      <c r="L17774">
        <v>17950</v>
      </c>
      <c r="M17774" t="s">
        <v>86</v>
      </c>
      <c r="N17774" t="str">
        <f>"110037784   "</f>
        <v xml:space="preserve">110037784   </v>
      </c>
      <c r="O17774">
        <v>230818</v>
      </c>
    </row>
    <row r="17775" spans="1:15" x14ac:dyDescent="0.25">
      <c r="A17775" t="s">
        <v>16</v>
      </c>
      <c r="B17775" t="s">
        <v>3221</v>
      </c>
      <c r="C17775">
        <v>10588</v>
      </c>
      <c r="D17775" t="s">
        <v>66</v>
      </c>
      <c r="E17775" t="s">
        <v>67</v>
      </c>
      <c r="F17775">
        <v>220.84</v>
      </c>
      <c r="G17775">
        <v>230815</v>
      </c>
      <c r="H17775">
        <v>4471</v>
      </c>
      <c r="I17775" t="s">
        <v>68</v>
      </c>
      <c r="J17775">
        <v>273.83999999999997</v>
      </c>
      <c r="K17775">
        <v>53</v>
      </c>
      <c r="L17775">
        <v>17951</v>
      </c>
      <c r="M17775" t="s">
        <v>87</v>
      </c>
      <c r="N17775" t="str">
        <f>"110037784   "</f>
        <v xml:space="preserve">110037784   </v>
      </c>
      <c r="O17775">
        <v>230818</v>
      </c>
    </row>
    <row r="17776" spans="1:15" x14ac:dyDescent="0.25">
      <c r="A17776" t="s">
        <v>16</v>
      </c>
      <c r="B17776" t="s">
        <v>3221</v>
      </c>
      <c r="C17776">
        <v>10588</v>
      </c>
      <c r="D17776" t="s">
        <v>66</v>
      </c>
      <c r="E17776" t="s">
        <v>67</v>
      </c>
      <c r="F17776">
        <v>357.98</v>
      </c>
      <c r="G17776">
        <v>230815</v>
      </c>
      <c r="H17776">
        <v>4471</v>
      </c>
      <c r="I17776" t="s">
        <v>68</v>
      </c>
      <c r="J17776">
        <v>443.9</v>
      </c>
      <c r="K17776">
        <v>85.92</v>
      </c>
      <c r="L17776">
        <v>17952</v>
      </c>
      <c r="M17776" t="s">
        <v>88</v>
      </c>
      <c r="N17776" t="str">
        <f>"110037784   "</f>
        <v xml:space="preserve">110037784   </v>
      </c>
      <c r="O17776">
        <v>230818</v>
      </c>
    </row>
    <row r="17777" spans="1:15" x14ac:dyDescent="0.25">
      <c r="A17777" t="s">
        <v>16</v>
      </c>
      <c r="B17777" t="s">
        <v>3221</v>
      </c>
      <c r="C17777">
        <v>10588</v>
      </c>
      <c r="D17777" t="s">
        <v>66</v>
      </c>
      <c r="E17777" t="s">
        <v>67</v>
      </c>
      <c r="F17777">
        <v>134.01</v>
      </c>
      <c r="G17777">
        <v>230815</v>
      </c>
      <c r="H17777">
        <v>4471</v>
      </c>
      <c r="I17777" t="s">
        <v>68</v>
      </c>
      <c r="J17777">
        <v>166.17</v>
      </c>
      <c r="K17777">
        <v>32.159999999999997</v>
      </c>
      <c r="L17777">
        <v>17956</v>
      </c>
      <c r="M17777" t="s">
        <v>53</v>
      </c>
      <c r="N17777" t="str">
        <f>"110037784   "</f>
        <v xml:space="preserve">110037784   </v>
      </c>
      <c r="O17777">
        <v>230818</v>
      </c>
    </row>
    <row r="17778" spans="1:15" x14ac:dyDescent="0.25">
      <c r="A17778" t="s">
        <v>16</v>
      </c>
      <c r="B17778" t="s">
        <v>3221</v>
      </c>
      <c r="C17778">
        <v>11749</v>
      </c>
      <c r="D17778" t="s">
        <v>66</v>
      </c>
      <c r="E17778" t="s">
        <v>67</v>
      </c>
      <c r="F17778">
        <v>290.72000000000003</v>
      </c>
      <c r="G17778">
        <v>230907</v>
      </c>
      <c r="H17778">
        <v>4471</v>
      </c>
      <c r="I17778" t="s">
        <v>68</v>
      </c>
      <c r="J17778">
        <v>360.49</v>
      </c>
      <c r="K17778">
        <v>69.77</v>
      </c>
      <c r="L17778">
        <v>59501</v>
      </c>
      <c r="M17778" t="s">
        <v>69</v>
      </c>
      <c r="N17778" t="str">
        <f t="shared" ref="N17778:N17783" si="243">"110049566   "</f>
        <v xml:space="preserve">110049566   </v>
      </c>
      <c r="O17778">
        <v>230908</v>
      </c>
    </row>
    <row r="17779" spans="1:15" x14ac:dyDescent="0.25">
      <c r="A17779" t="s">
        <v>16</v>
      </c>
      <c r="B17779" t="s">
        <v>3221</v>
      </c>
      <c r="C17779">
        <v>11749</v>
      </c>
      <c r="D17779" t="s">
        <v>66</v>
      </c>
      <c r="E17779" t="s">
        <v>67</v>
      </c>
      <c r="F17779">
        <v>177.34</v>
      </c>
      <c r="G17779">
        <v>230907</v>
      </c>
      <c r="H17779">
        <v>4471</v>
      </c>
      <c r="I17779" t="s">
        <v>68</v>
      </c>
      <c r="J17779">
        <v>219.9</v>
      </c>
      <c r="K17779">
        <v>42.56</v>
      </c>
      <c r="L17779">
        <v>59502</v>
      </c>
      <c r="M17779" t="s">
        <v>70</v>
      </c>
      <c r="N17779" t="str">
        <f t="shared" si="243"/>
        <v xml:space="preserve">110049566   </v>
      </c>
      <c r="O17779">
        <v>230908</v>
      </c>
    </row>
    <row r="17780" spans="1:15" x14ac:dyDescent="0.25">
      <c r="A17780" t="s">
        <v>16</v>
      </c>
      <c r="B17780" t="s">
        <v>3221</v>
      </c>
      <c r="C17780">
        <v>11749</v>
      </c>
      <c r="D17780" t="s">
        <v>66</v>
      </c>
      <c r="E17780" t="s">
        <v>67</v>
      </c>
      <c r="F17780">
        <v>290.72000000000003</v>
      </c>
      <c r="G17780">
        <v>230907</v>
      </c>
      <c r="H17780">
        <v>4471</v>
      </c>
      <c r="I17780" t="s">
        <v>68</v>
      </c>
      <c r="J17780">
        <v>360.49</v>
      </c>
      <c r="K17780">
        <v>69.77</v>
      </c>
      <c r="L17780">
        <v>59504</v>
      </c>
      <c r="M17780" t="s">
        <v>71</v>
      </c>
      <c r="N17780" t="str">
        <f t="shared" si="243"/>
        <v xml:space="preserve">110049566   </v>
      </c>
      <c r="O17780">
        <v>230908</v>
      </c>
    </row>
    <row r="17781" spans="1:15" x14ac:dyDescent="0.25">
      <c r="A17781" t="s">
        <v>16</v>
      </c>
      <c r="B17781" t="s">
        <v>3221</v>
      </c>
      <c r="C17781">
        <v>11749</v>
      </c>
      <c r="D17781" t="s">
        <v>66</v>
      </c>
      <c r="E17781" t="s">
        <v>67</v>
      </c>
      <c r="F17781">
        <v>211.24</v>
      </c>
      <c r="G17781">
        <v>230907</v>
      </c>
      <c r="H17781">
        <v>4471</v>
      </c>
      <c r="I17781" t="s">
        <v>68</v>
      </c>
      <c r="J17781">
        <v>261.94</v>
      </c>
      <c r="K17781">
        <v>50.7</v>
      </c>
      <c r="L17781">
        <v>59505</v>
      </c>
      <c r="M17781" t="s">
        <v>72</v>
      </c>
      <c r="N17781" t="str">
        <f t="shared" si="243"/>
        <v xml:space="preserve">110049566   </v>
      </c>
      <c r="O17781">
        <v>230908</v>
      </c>
    </row>
    <row r="17782" spans="1:15" x14ac:dyDescent="0.25">
      <c r="A17782" t="s">
        <v>16</v>
      </c>
      <c r="B17782" t="s">
        <v>3221</v>
      </c>
      <c r="C17782">
        <v>11749</v>
      </c>
      <c r="D17782" t="s">
        <v>66</v>
      </c>
      <c r="E17782" t="s">
        <v>67</v>
      </c>
      <c r="F17782">
        <v>113.38</v>
      </c>
      <c r="G17782">
        <v>230907</v>
      </c>
      <c r="H17782">
        <v>4471</v>
      </c>
      <c r="I17782" t="s">
        <v>68</v>
      </c>
      <c r="J17782">
        <v>140.59</v>
      </c>
      <c r="K17782">
        <v>27.21</v>
      </c>
      <c r="L17782">
        <v>59802</v>
      </c>
      <c r="M17782" t="s">
        <v>73</v>
      </c>
      <c r="N17782" t="str">
        <f t="shared" si="243"/>
        <v xml:space="preserve">110049566   </v>
      </c>
      <c r="O17782">
        <v>230908</v>
      </c>
    </row>
    <row r="17783" spans="1:15" x14ac:dyDescent="0.25">
      <c r="A17783" t="s">
        <v>16</v>
      </c>
      <c r="B17783" t="s">
        <v>3221</v>
      </c>
      <c r="C17783">
        <v>11749</v>
      </c>
      <c r="D17783" t="s">
        <v>66</v>
      </c>
      <c r="E17783" t="s">
        <v>67</v>
      </c>
      <c r="F17783">
        <v>28.97</v>
      </c>
      <c r="G17783">
        <v>230907</v>
      </c>
      <c r="H17783">
        <v>4471</v>
      </c>
      <c r="I17783" t="s">
        <v>68</v>
      </c>
      <c r="J17783">
        <v>35.92</v>
      </c>
      <c r="K17783">
        <v>6.95</v>
      </c>
      <c r="L17783">
        <v>59812</v>
      </c>
      <c r="M17783" t="s">
        <v>74</v>
      </c>
      <c r="N17783" t="str">
        <f t="shared" si="243"/>
        <v xml:space="preserve">110049566   </v>
      </c>
      <c r="O17783">
        <v>230908</v>
      </c>
    </row>
    <row r="17784" spans="1:15" x14ac:dyDescent="0.25">
      <c r="A17784" t="s">
        <v>16</v>
      </c>
      <c r="B17784" t="s">
        <v>3221</v>
      </c>
      <c r="C17784">
        <v>12041</v>
      </c>
      <c r="D17784" t="s">
        <v>66</v>
      </c>
      <c r="E17784" t="s">
        <v>67</v>
      </c>
      <c r="F17784">
        <v>29.67</v>
      </c>
      <c r="G17784">
        <v>230907</v>
      </c>
      <c r="H17784">
        <v>4471</v>
      </c>
      <c r="I17784" t="s">
        <v>68</v>
      </c>
      <c r="J17784">
        <v>36.79</v>
      </c>
      <c r="K17784">
        <v>7.12</v>
      </c>
      <c r="L17784">
        <v>13540</v>
      </c>
      <c r="M17784" t="s">
        <v>85</v>
      </c>
      <c r="N17784" t="str">
        <f>"110051666   "</f>
        <v xml:space="preserve">110051666   </v>
      </c>
      <c r="O17784">
        <v>230913</v>
      </c>
    </row>
    <row r="17785" spans="1:15" x14ac:dyDescent="0.25">
      <c r="A17785" t="s">
        <v>16</v>
      </c>
      <c r="B17785" t="s">
        <v>3221</v>
      </c>
      <c r="C17785">
        <v>12041</v>
      </c>
      <c r="D17785" t="s">
        <v>66</v>
      </c>
      <c r="E17785" t="s">
        <v>67</v>
      </c>
      <c r="F17785">
        <v>240.07</v>
      </c>
      <c r="G17785">
        <v>230907</v>
      </c>
      <c r="H17785">
        <v>4471</v>
      </c>
      <c r="I17785" t="s">
        <v>68</v>
      </c>
      <c r="J17785">
        <v>297.69</v>
      </c>
      <c r="K17785">
        <v>57.62</v>
      </c>
      <c r="L17785">
        <v>17950</v>
      </c>
      <c r="M17785" t="s">
        <v>86</v>
      </c>
      <c r="N17785" t="str">
        <f>"110051666   "</f>
        <v xml:space="preserve">110051666   </v>
      </c>
      <c r="O17785">
        <v>230913</v>
      </c>
    </row>
    <row r="17786" spans="1:15" x14ac:dyDescent="0.25">
      <c r="A17786" t="s">
        <v>16</v>
      </c>
      <c r="B17786" t="s">
        <v>3221</v>
      </c>
      <c r="C17786">
        <v>12041</v>
      </c>
      <c r="D17786" t="s">
        <v>66</v>
      </c>
      <c r="E17786" t="s">
        <v>67</v>
      </c>
      <c r="F17786">
        <v>220.84</v>
      </c>
      <c r="G17786">
        <v>230907</v>
      </c>
      <c r="H17786">
        <v>4471</v>
      </c>
      <c r="I17786" t="s">
        <v>68</v>
      </c>
      <c r="J17786">
        <v>273.83999999999997</v>
      </c>
      <c r="K17786">
        <v>53</v>
      </c>
      <c r="L17786">
        <v>17951</v>
      </c>
      <c r="M17786" t="s">
        <v>87</v>
      </c>
      <c r="N17786" t="str">
        <f>"110051666   "</f>
        <v xml:space="preserve">110051666   </v>
      </c>
      <c r="O17786">
        <v>230913</v>
      </c>
    </row>
    <row r="17787" spans="1:15" x14ac:dyDescent="0.25">
      <c r="A17787" t="s">
        <v>16</v>
      </c>
      <c r="B17787" t="s">
        <v>3221</v>
      </c>
      <c r="C17787">
        <v>12041</v>
      </c>
      <c r="D17787" t="s">
        <v>66</v>
      </c>
      <c r="E17787" t="s">
        <v>67</v>
      </c>
      <c r="F17787">
        <v>357.98</v>
      </c>
      <c r="G17787">
        <v>230907</v>
      </c>
      <c r="H17787">
        <v>4471</v>
      </c>
      <c r="I17787" t="s">
        <v>68</v>
      </c>
      <c r="J17787">
        <v>443.9</v>
      </c>
      <c r="K17787">
        <v>85.92</v>
      </c>
      <c r="L17787">
        <v>17952</v>
      </c>
      <c r="M17787" t="s">
        <v>88</v>
      </c>
      <c r="N17787" t="str">
        <f>"110051666   "</f>
        <v xml:space="preserve">110051666   </v>
      </c>
      <c r="O17787">
        <v>230913</v>
      </c>
    </row>
    <row r="17788" spans="1:15" x14ac:dyDescent="0.25">
      <c r="A17788" t="s">
        <v>16</v>
      </c>
      <c r="B17788" t="s">
        <v>3221</v>
      </c>
      <c r="C17788">
        <v>12041</v>
      </c>
      <c r="D17788" t="s">
        <v>66</v>
      </c>
      <c r="E17788" t="s">
        <v>67</v>
      </c>
      <c r="F17788">
        <v>134.01</v>
      </c>
      <c r="G17788">
        <v>230907</v>
      </c>
      <c r="H17788">
        <v>4471</v>
      </c>
      <c r="I17788" t="s">
        <v>68</v>
      </c>
      <c r="J17788">
        <v>166.17</v>
      </c>
      <c r="K17788">
        <v>32.159999999999997</v>
      </c>
      <c r="L17788">
        <v>17956</v>
      </c>
      <c r="M17788" t="s">
        <v>53</v>
      </c>
      <c r="N17788" t="str">
        <f>"110051666   "</f>
        <v xml:space="preserve">110051666   </v>
      </c>
      <c r="O17788">
        <v>230913</v>
      </c>
    </row>
    <row r="17789" spans="1:15" x14ac:dyDescent="0.25">
      <c r="A17789" t="s">
        <v>16</v>
      </c>
      <c r="B17789" t="s">
        <v>3221</v>
      </c>
      <c r="C17789">
        <v>14224</v>
      </c>
      <c r="D17789" t="s">
        <v>66</v>
      </c>
      <c r="E17789" t="s">
        <v>67</v>
      </c>
      <c r="F17789">
        <v>290.72000000000003</v>
      </c>
      <c r="G17789">
        <v>231007</v>
      </c>
      <c r="H17789">
        <v>4471</v>
      </c>
      <c r="I17789" t="s">
        <v>68</v>
      </c>
      <c r="J17789">
        <v>360.49</v>
      </c>
      <c r="K17789">
        <v>69.77</v>
      </c>
      <c r="L17789">
        <v>59501</v>
      </c>
      <c r="M17789" t="s">
        <v>69</v>
      </c>
      <c r="N17789" t="str">
        <f t="shared" ref="N17789:N17794" si="244">"110069531   "</f>
        <v xml:space="preserve">110069531   </v>
      </c>
      <c r="O17789">
        <v>231024</v>
      </c>
    </row>
    <row r="17790" spans="1:15" x14ac:dyDescent="0.25">
      <c r="A17790" t="s">
        <v>16</v>
      </c>
      <c r="B17790" t="s">
        <v>3221</v>
      </c>
      <c r="C17790">
        <v>14224</v>
      </c>
      <c r="D17790" t="s">
        <v>66</v>
      </c>
      <c r="E17790" t="s">
        <v>67</v>
      </c>
      <c r="F17790">
        <v>177.34</v>
      </c>
      <c r="G17790">
        <v>231007</v>
      </c>
      <c r="H17790">
        <v>4471</v>
      </c>
      <c r="I17790" t="s">
        <v>68</v>
      </c>
      <c r="J17790">
        <v>219.9</v>
      </c>
      <c r="K17790">
        <v>42.56</v>
      </c>
      <c r="L17790">
        <v>59502</v>
      </c>
      <c r="M17790" t="s">
        <v>70</v>
      </c>
      <c r="N17790" t="str">
        <f t="shared" si="244"/>
        <v xml:space="preserve">110069531   </v>
      </c>
      <c r="O17790">
        <v>231024</v>
      </c>
    </row>
    <row r="17791" spans="1:15" x14ac:dyDescent="0.25">
      <c r="A17791" t="s">
        <v>16</v>
      </c>
      <c r="B17791" t="s">
        <v>3221</v>
      </c>
      <c r="C17791">
        <v>14224</v>
      </c>
      <c r="D17791" t="s">
        <v>66</v>
      </c>
      <c r="E17791" t="s">
        <v>67</v>
      </c>
      <c r="F17791">
        <v>290.72000000000003</v>
      </c>
      <c r="G17791">
        <v>231007</v>
      </c>
      <c r="H17791">
        <v>4471</v>
      </c>
      <c r="I17791" t="s">
        <v>68</v>
      </c>
      <c r="J17791">
        <v>360.49</v>
      </c>
      <c r="K17791">
        <v>69.77</v>
      </c>
      <c r="L17791">
        <v>59504</v>
      </c>
      <c r="M17791" t="s">
        <v>71</v>
      </c>
      <c r="N17791" t="str">
        <f t="shared" si="244"/>
        <v xml:space="preserve">110069531   </v>
      </c>
      <c r="O17791">
        <v>231024</v>
      </c>
    </row>
    <row r="17792" spans="1:15" x14ac:dyDescent="0.25">
      <c r="A17792" t="s">
        <v>16</v>
      </c>
      <c r="B17792" t="s">
        <v>3221</v>
      </c>
      <c r="C17792">
        <v>14224</v>
      </c>
      <c r="D17792" t="s">
        <v>66</v>
      </c>
      <c r="E17792" t="s">
        <v>67</v>
      </c>
      <c r="F17792">
        <v>212.4</v>
      </c>
      <c r="G17792">
        <v>231007</v>
      </c>
      <c r="H17792">
        <v>4471</v>
      </c>
      <c r="I17792" t="s">
        <v>68</v>
      </c>
      <c r="J17792">
        <v>263.38</v>
      </c>
      <c r="K17792">
        <v>50.98</v>
      </c>
      <c r="L17792">
        <v>59505</v>
      </c>
      <c r="M17792" t="s">
        <v>72</v>
      </c>
      <c r="N17792" t="str">
        <f t="shared" si="244"/>
        <v xml:space="preserve">110069531   </v>
      </c>
      <c r="O17792">
        <v>231024</v>
      </c>
    </row>
    <row r="17793" spans="1:15" x14ac:dyDescent="0.25">
      <c r="A17793" t="s">
        <v>16</v>
      </c>
      <c r="B17793" t="s">
        <v>3221</v>
      </c>
      <c r="C17793">
        <v>14224</v>
      </c>
      <c r="D17793" t="s">
        <v>66</v>
      </c>
      <c r="E17793" t="s">
        <v>67</v>
      </c>
      <c r="F17793">
        <v>113.38</v>
      </c>
      <c r="G17793">
        <v>231007</v>
      </c>
      <c r="H17793">
        <v>4471</v>
      </c>
      <c r="I17793" t="s">
        <v>68</v>
      </c>
      <c r="J17793">
        <v>140.59</v>
      </c>
      <c r="K17793">
        <v>27.21</v>
      </c>
      <c r="L17793">
        <v>59802</v>
      </c>
      <c r="M17793" t="s">
        <v>73</v>
      </c>
      <c r="N17793" t="str">
        <f t="shared" si="244"/>
        <v xml:space="preserve">110069531   </v>
      </c>
      <c r="O17793">
        <v>231024</v>
      </c>
    </row>
    <row r="17794" spans="1:15" x14ac:dyDescent="0.25">
      <c r="A17794" t="s">
        <v>16</v>
      </c>
      <c r="B17794" t="s">
        <v>3221</v>
      </c>
      <c r="C17794">
        <v>14224</v>
      </c>
      <c r="D17794" t="s">
        <v>66</v>
      </c>
      <c r="E17794" t="s">
        <v>67</v>
      </c>
      <c r="F17794">
        <v>28.97</v>
      </c>
      <c r="G17794">
        <v>231007</v>
      </c>
      <c r="H17794">
        <v>4471</v>
      </c>
      <c r="I17794" t="s">
        <v>68</v>
      </c>
      <c r="J17794">
        <v>35.92</v>
      </c>
      <c r="K17794">
        <v>6.95</v>
      </c>
      <c r="L17794">
        <v>59812</v>
      </c>
      <c r="M17794" t="s">
        <v>74</v>
      </c>
      <c r="N17794" t="str">
        <f t="shared" si="244"/>
        <v xml:space="preserve">110069531   </v>
      </c>
      <c r="O17794">
        <v>231024</v>
      </c>
    </row>
    <row r="17795" spans="1:15" x14ac:dyDescent="0.25">
      <c r="A17795" t="s">
        <v>16</v>
      </c>
      <c r="B17795" t="s">
        <v>3221</v>
      </c>
      <c r="C17795">
        <v>14254</v>
      </c>
      <c r="D17795" t="s">
        <v>66</v>
      </c>
      <c r="E17795" t="s">
        <v>67</v>
      </c>
      <c r="F17795">
        <v>91</v>
      </c>
      <c r="G17795">
        <v>231017</v>
      </c>
      <c r="H17795">
        <v>4471</v>
      </c>
      <c r="I17795" t="s">
        <v>68</v>
      </c>
      <c r="J17795">
        <v>112.84</v>
      </c>
      <c r="K17795">
        <v>21.84</v>
      </c>
      <c r="L17795">
        <v>17950</v>
      </c>
      <c r="M17795" t="s">
        <v>86</v>
      </c>
      <c r="N17795" t="str">
        <f>"110087140   "</f>
        <v xml:space="preserve">110087140   </v>
      </c>
      <c r="O17795">
        <v>231025</v>
      </c>
    </row>
    <row r="17796" spans="1:15" x14ac:dyDescent="0.25">
      <c r="A17796" t="s">
        <v>16</v>
      </c>
      <c r="B17796" t="s">
        <v>3221</v>
      </c>
      <c r="C17796">
        <v>14265</v>
      </c>
      <c r="D17796" t="s">
        <v>66</v>
      </c>
      <c r="E17796" t="s">
        <v>67</v>
      </c>
      <c r="F17796">
        <v>276</v>
      </c>
      <c r="G17796">
        <v>231017</v>
      </c>
      <c r="H17796">
        <v>4471</v>
      </c>
      <c r="I17796" t="s">
        <v>68</v>
      </c>
      <c r="J17796">
        <v>342.24</v>
      </c>
      <c r="K17796">
        <v>66.239999999999995</v>
      </c>
      <c r="L17796">
        <v>17951</v>
      </c>
      <c r="M17796" t="s">
        <v>87</v>
      </c>
      <c r="N17796" t="str">
        <f>"110087255   "</f>
        <v xml:space="preserve">110087255   </v>
      </c>
      <c r="O17796">
        <v>231025</v>
      </c>
    </row>
    <row r="17797" spans="1:15" x14ac:dyDescent="0.25">
      <c r="A17797" t="s">
        <v>16</v>
      </c>
      <c r="B17797" t="s">
        <v>3221</v>
      </c>
      <c r="C17797">
        <v>14319</v>
      </c>
      <c r="D17797" t="s">
        <v>66</v>
      </c>
      <c r="E17797" t="s">
        <v>67</v>
      </c>
      <c r="F17797">
        <v>29.61</v>
      </c>
      <c r="G17797">
        <v>231007</v>
      </c>
      <c r="H17797">
        <v>4471</v>
      </c>
      <c r="I17797" t="s">
        <v>68</v>
      </c>
      <c r="J17797">
        <v>36.72</v>
      </c>
      <c r="K17797">
        <v>7.11</v>
      </c>
      <c r="L17797">
        <v>13540</v>
      </c>
      <c r="M17797" t="s">
        <v>85</v>
      </c>
      <c r="N17797" t="str">
        <f t="shared" ref="N17797:N17803" si="245">"110073825   "</f>
        <v xml:space="preserve">110073825   </v>
      </c>
      <c r="O17797">
        <v>231026</v>
      </c>
    </row>
    <row r="17798" spans="1:15" x14ac:dyDescent="0.25">
      <c r="A17798" t="s">
        <v>16</v>
      </c>
      <c r="B17798" t="s">
        <v>3221</v>
      </c>
      <c r="C17798">
        <v>14319</v>
      </c>
      <c r="D17798" t="s">
        <v>66</v>
      </c>
      <c r="E17798" t="s">
        <v>67</v>
      </c>
      <c r="F17798">
        <v>239.63</v>
      </c>
      <c r="G17798">
        <v>231007</v>
      </c>
      <c r="H17798">
        <v>4471</v>
      </c>
      <c r="I17798" t="s">
        <v>68</v>
      </c>
      <c r="J17798">
        <v>297.14</v>
      </c>
      <c r="K17798">
        <v>57.51</v>
      </c>
      <c r="L17798">
        <v>17950</v>
      </c>
      <c r="M17798" t="s">
        <v>86</v>
      </c>
      <c r="N17798" t="str">
        <f t="shared" si="245"/>
        <v xml:space="preserve">110073825   </v>
      </c>
      <c r="O17798">
        <v>231026</v>
      </c>
    </row>
    <row r="17799" spans="1:15" x14ac:dyDescent="0.25">
      <c r="A17799" t="s">
        <v>16</v>
      </c>
      <c r="B17799" t="s">
        <v>3221</v>
      </c>
      <c r="C17799">
        <v>14319</v>
      </c>
      <c r="D17799" t="s">
        <v>66</v>
      </c>
      <c r="E17799" t="s">
        <v>67</v>
      </c>
      <c r="F17799">
        <v>220.34</v>
      </c>
      <c r="G17799">
        <v>231007</v>
      </c>
      <c r="H17799">
        <v>4471</v>
      </c>
      <c r="I17799" t="s">
        <v>68</v>
      </c>
      <c r="J17799">
        <v>273.22000000000003</v>
      </c>
      <c r="K17799">
        <v>52.88</v>
      </c>
      <c r="L17799">
        <v>17951</v>
      </c>
      <c r="M17799" t="s">
        <v>87</v>
      </c>
      <c r="N17799" t="str">
        <f t="shared" si="245"/>
        <v xml:space="preserve">110073825   </v>
      </c>
      <c r="O17799">
        <v>231026</v>
      </c>
    </row>
    <row r="17800" spans="1:15" x14ac:dyDescent="0.25">
      <c r="A17800" t="s">
        <v>16</v>
      </c>
      <c r="B17800" t="s">
        <v>3221</v>
      </c>
      <c r="C17800">
        <v>14319</v>
      </c>
      <c r="D17800" t="s">
        <v>66</v>
      </c>
      <c r="E17800" t="s">
        <v>67</v>
      </c>
      <c r="F17800">
        <v>357.48</v>
      </c>
      <c r="G17800">
        <v>231007</v>
      </c>
      <c r="H17800">
        <v>4471</v>
      </c>
      <c r="I17800" t="s">
        <v>68</v>
      </c>
      <c r="J17800">
        <v>443.28</v>
      </c>
      <c r="K17800">
        <v>85.8</v>
      </c>
      <c r="L17800">
        <v>17952</v>
      </c>
      <c r="M17800" t="s">
        <v>88</v>
      </c>
      <c r="N17800" t="str">
        <f t="shared" si="245"/>
        <v xml:space="preserve">110073825   </v>
      </c>
      <c r="O17800">
        <v>231026</v>
      </c>
    </row>
    <row r="17801" spans="1:15" x14ac:dyDescent="0.25">
      <c r="A17801" t="s">
        <v>16</v>
      </c>
      <c r="B17801" t="s">
        <v>3221</v>
      </c>
      <c r="C17801">
        <v>14319</v>
      </c>
      <c r="D17801" t="s">
        <v>66</v>
      </c>
      <c r="E17801" t="s">
        <v>67</v>
      </c>
      <c r="F17801">
        <v>16.25</v>
      </c>
      <c r="G17801">
        <v>231007</v>
      </c>
      <c r="H17801">
        <v>4471</v>
      </c>
      <c r="I17801" t="s">
        <v>68</v>
      </c>
      <c r="J17801">
        <v>20.149999999999999</v>
      </c>
      <c r="K17801">
        <v>3.9</v>
      </c>
      <c r="L17801">
        <v>17955</v>
      </c>
      <c r="M17801" t="s">
        <v>933</v>
      </c>
      <c r="N17801" t="str">
        <f t="shared" si="245"/>
        <v xml:space="preserve">110073825   </v>
      </c>
      <c r="O17801">
        <v>231026</v>
      </c>
    </row>
    <row r="17802" spans="1:15" x14ac:dyDescent="0.25">
      <c r="A17802" t="s">
        <v>16</v>
      </c>
      <c r="B17802" t="s">
        <v>3221</v>
      </c>
      <c r="C17802">
        <v>14319</v>
      </c>
      <c r="D17802" t="s">
        <v>66</v>
      </c>
      <c r="E17802" t="s">
        <v>67</v>
      </c>
      <c r="F17802">
        <v>59.63</v>
      </c>
      <c r="G17802">
        <v>231007</v>
      </c>
      <c r="H17802">
        <v>4471</v>
      </c>
      <c r="I17802" t="s">
        <v>68</v>
      </c>
      <c r="J17802">
        <v>73.94</v>
      </c>
      <c r="K17802">
        <v>14.31</v>
      </c>
      <c r="L17802">
        <v>17955</v>
      </c>
      <c r="M17802" t="s">
        <v>933</v>
      </c>
      <c r="N17802" t="str">
        <f t="shared" si="245"/>
        <v xml:space="preserve">110073825   </v>
      </c>
      <c r="O17802">
        <v>231026</v>
      </c>
    </row>
    <row r="17803" spans="1:15" x14ac:dyDescent="0.25">
      <c r="A17803" t="s">
        <v>16</v>
      </c>
      <c r="B17803" t="s">
        <v>3221</v>
      </c>
      <c r="C17803">
        <v>14319</v>
      </c>
      <c r="D17803" t="s">
        <v>66</v>
      </c>
      <c r="E17803" t="s">
        <v>67</v>
      </c>
      <c r="F17803">
        <v>59.63</v>
      </c>
      <c r="G17803">
        <v>231007</v>
      </c>
      <c r="H17803">
        <v>4471</v>
      </c>
      <c r="I17803" t="s">
        <v>68</v>
      </c>
      <c r="J17803">
        <v>73.94</v>
      </c>
      <c r="K17803">
        <v>14.31</v>
      </c>
      <c r="L17803">
        <v>17955</v>
      </c>
      <c r="M17803" t="s">
        <v>933</v>
      </c>
      <c r="N17803" t="str">
        <f t="shared" si="245"/>
        <v xml:space="preserve">110073825   </v>
      </c>
      <c r="O17803">
        <v>231026</v>
      </c>
    </row>
    <row r="17804" spans="1:15" x14ac:dyDescent="0.25">
      <c r="A17804" t="s">
        <v>16</v>
      </c>
      <c r="B17804" t="s">
        <v>3221</v>
      </c>
      <c r="C17804">
        <v>14716</v>
      </c>
      <c r="D17804" t="s">
        <v>66</v>
      </c>
      <c r="E17804" t="s">
        <v>67</v>
      </c>
      <c r="F17804">
        <v>290.72000000000003</v>
      </c>
      <c r="G17804">
        <v>231101</v>
      </c>
      <c r="H17804">
        <v>4471</v>
      </c>
      <c r="I17804" t="s">
        <v>68</v>
      </c>
      <c r="J17804">
        <v>360.49</v>
      </c>
      <c r="K17804">
        <v>69.77</v>
      </c>
      <c r="L17804">
        <v>59501</v>
      </c>
      <c r="M17804" t="s">
        <v>69</v>
      </c>
      <c r="N17804" t="str">
        <f t="shared" ref="N17804:N17809" si="246">"110090882   "</f>
        <v xml:space="preserve">110090882   </v>
      </c>
      <c r="O17804">
        <v>231101</v>
      </c>
    </row>
    <row r="17805" spans="1:15" x14ac:dyDescent="0.25">
      <c r="A17805" t="s">
        <v>16</v>
      </c>
      <c r="B17805" t="s">
        <v>3221</v>
      </c>
      <c r="C17805">
        <v>14716</v>
      </c>
      <c r="D17805" t="s">
        <v>66</v>
      </c>
      <c r="E17805" t="s">
        <v>67</v>
      </c>
      <c r="F17805">
        <v>177.34</v>
      </c>
      <c r="G17805">
        <v>231101</v>
      </c>
      <c r="H17805">
        <v>4471</v>
      </c>
      <c r="I17805" t="s">
        <v>68</v>
      </c>
      <c r="J17805">
        <v>219.9</v>
      </c>
      <c r="K17805">
        <v>42.56</v>
      </c>
      <c r="L17805">
        <v>59502</v>
      </c>
      <c r="M17805" t="s">
        <v>70</v>
      </c>
      <c r="N17805" t="str">
        <f t="shared" si="246"/>
        <v xml:space="preserve">110090882   </v>
      </c>
      <c r="O17805">
        <v>231101</v>
      </c>
    </row>
    <row r="17806" spans="1:15" x14ac:dyDescent="0.25">
      <c r="A17806" t="s">
        <v>16</v>
      </c>
      <c r="B17806" t="s">
        <v>3221</v>
      </c>
      <c r="C17806">
        <v>14716</v>
      </c>
      <c r="D17806" t="s">
        <v>66</v>
      </c>
      <c r="E17806" t="s">
        <v>67</v>
      </c>
      <c r="F17806">
        <v>290.72000000000003</v>
      </c>
      <c r="G17806">
        <v>231101</v>
      </c>
      <c r="H17806">
        <v>4471</v>
      </c>
      <c r="I17806" t="s">
        <v>68</v>
      </c>
      <c r="J17806">
        <v>360.49</v>
      </c>
      <c r="K17806">
        <v>69.77</v>
      </c>
      <c r="L17806">
        <v>59504</v>
      </c>
      <c r="M17806" t="s">
        <v>71</v>
      </c>
      <c r="N17806" t="str">
        <f t="shared" si="246"/>
        <v xml:space="preserve">110090882   </v>
      </c>
      <c r="O17806">
        <v>231101</v>
      </c>
    </row>
    <row r="17807" spans="1:15" x14ac:dyDescent="0.25">
      <c r="A17807" t="s">
        <v>16</v>
      </c>
      <c r="B17807" t="s">
        <v>3221</v>
      </c>
      <c r="C17807">
        <v>14716</v>
      </c>
      <c r="D17807" t="s">
        <v>66</v>
      </c>
      <c r="E17807" t="s">
        <v>67</v>
      </c>
      <c r="F17807">
        <v>212.4</v>
      </c>
      <c r="G17807">
        <v>231101</v>
      </c>
      <c r="H17807">
        <v>4471</v>
      </c>
      <c r="I17807" t="s">
        <v>68</v>
      </c>
      <c r="J17807">
        <v>263.38</v>
      </c>
      <c r="K17807">
        <v>50.98</v>
      </c>
      <c r="L17807">
        <v>59505</v>
      </c>
      <c r="M17807" t="s">
        <v>72</v>
      </c>
      <c r="N17807" t="str">
        <f t="shared" si="246"/>
        <v xml:space="preserve">110090882   </v>
      </c>
      <c r="O17807">
        <v>231101</v>
      </c>
    </row>
    <row r="17808" spans="1:15" x14ac:dyDescent="0.25">
      <c r="A17808" t="s">
        <v>16</v>
      </c>
      <c r="B17808" t="s">
        <v>3221</v>
      </c>
      <c r="C17808">
        <v>14716</v>
      </c>
      <c r="D17808" t="s">
        <v>66</v>
      </c>
      <c r="E17808" t="s">
        <v>67</v>
      </c>
      <c r="F17808">
        <v>113.38</v>
      </c>
      <c r="G17808">
        <v>231101</v>
      </c>
      <c r="H17808">
        <v>4471</v>
      </c>
      <c r="I17808" t="s">
        <v>68</v>
      </c>
      <c r="J17808">
        <v>140.59</v>
      </c>
      <c r="K17808">
        <v>27.21</v>
      </c>
      <c r="L17808">
        <v>59802</v>
      </c>
      <c r="M17808" t="s">
        <v>73</v>
      </c>
      <c r="N17808" t="str">
        <f t="shared" si="246"/>
        <v xml:space="preserve">110090882   </v>
      </c>
      <c r="O17808">
        <v>231101</v>
      </c>
    </row>
    <row r="17809" spans="1:15" x14ac:dyDescent="0.25">
      <c r="A17809" t="s">
        <v>16</v>
      </c>
      <c r="B17809" t="s">
        <v>3221</v>
      </c>
      <c r="C17809">
        <v>14716</v>
      </c>
      <c r="D17809" t="s">
        <v>66</v>
      </c>
      <c r="E17809" t="s">
        <v>67</v>
      </c>
      <c r="F17809">
        <v>28.97</v>
      </c>
      <c r="G17809">
        <v>231101</v>
      </c>
      <c r="H17809">
        <v>4471</v>
      </c>
      <c r="I17809" t="s">
        <v>68</v>
      </c>
      <c r="J17809">
        <v>35.92</v>
      </c>
      <c r="K17809">
        <v>6.95</v>
      </c>
      <c r="L17809">
        <v>59812</v>
      </c>
      <c r="M17809" t="s">
        <v>74</v>
      </c>
      <c r="N17809" t="str">
        <f t="shared" si="246"/>
        <v xml:space="preserve">110090882   </v>
      </c>
      <c r="O17809">
        <v>231101</v>
      </c>
    </row>
    <row r="17810" spans="1:15" x14ac:dyDescent="0.25">
      <c r="A17810" t="s">
        <v>16</v>
      </c>
      <c r="B17810" t="s">
        <v>3221</v>
      </c>
      <c r="C17810">
        <v>14875</v>
      </c>
      <c r="D17810" t="s">
        <v>66</v>
      </c>
      <c r="E17810" t="s">
        <v>67</v>
      </c>
      <c r="F17810">
        <v>29.67</v>
      </c>
      <c r="G17810">
        <v>231101</v>
      </c>
      <c r="H17810">
        <v>4471</v>
      </c>
      <c r="I17810" t="s">
        <v>68</v>
      </c>
      <c r="J17810">
        <v>36.79</v>
      </c>
      <c r="K17810">
        <v>7.12</v>
      </c>
      <c r="L17810">
        <v>13540</v>
      </c>
      <c r="M17810" t="s">
        <v>85</v>
      </c>
      <c r="N17810" t="str">
        <f>"110093281   "</f>
        <v xml:space="preserve">110093281   </v>
      </c>
      <c r="O17810">
        <v>231107</v>
      </c>
    </row>
    <row r="17811" spans="1:15" x14ac:dyDescent="0.25">
      <c r="A17811" t="s">
        <v>16</v>
      </c>
      <c r="B17811" t="s">
        <v>3221</v>
      </c>
      <c r="C17811">
        <v>14875</v>
      </c>
      <c r="D17811" t="s">
        <v>66</v>
      </c>
      <c r="E17811" t="s">
        <v>67</v>
      </c>
      <c r="F17811">
        <v>240.07</v>
      </c>
      <c r="G17811">
        <v>231101</v>
      </c>
      <c r="H17811">
        <v>4471</v>
      </c>
      <c r="I17811" t="s">
        <v>68</v>
      </c>
      <c r="J17811">
        <v>297.69</v>
      </c>
      <c r="K17811">
        <v>57.62</v>
      </c>
      <c r="L17811">
        <v>17950</v>
      </c>
      <c r="M17811" t="s">
        <v>86</v>
      </c>
      <c r="N17811" t="str">
        <f>"110093281   "</f>
        <v xml:space="preserve">110093281   </v>
      </c>
      <c r="O17811">
        <v>231107</v>
      </c>
    </row>
    <row r="17812" spans="1:15" x14ac:dyDescent="0.25">
      <c r="A17812" t="s">
        <v>16</v>
      </c>
      <c r="B17812" t="s">
        <v>3221</v>
      </c>
      <c r="C17812">
        <v>14875</v>
      </c>
      <c r="D17812" t="s">
        <v>66</v>
      </c>
      <c r="E17812" t="s">
        <v>67</v>
      </c>
      <c r="F17812">
        <v>220.84</v>
      </c>
      <c r="G17812">
        <v>231101</v>
      </c>
      <c r="H17812">
        <v>4471</v>
      </c>
      <c r="I17812" t="s">
        <v>68</v>
      </c>
      <c r="J17812">
        <v>273.83999999999997</v>
      </c>
      <c r="K17812">
        <v>53</v>
      </c>
      <c r="L17812">
        <v>17951</v>
      </c>
      <c r="M17812" t="s">
        <v>87</v>
      </c>
      <c r="N17812" t="str">
        <f>"110093281   "</f>
        <v xml:space="preserve">110093281   </v>
      </c>
      <c r="O17812">
        <v>231107</v>
      </c>
    </row>
    <row r="17813" spans="1:15" x14ac:dyDescent="0.25">
      <c r="A17813" t="s">
        <v>16</v>
      </c>
      <c r="B17813" t="s">
        <v>3221</v>
      </c>
      <c r="C17813">
        <v>14875</v>
      </c>
      <c r="D17813" t="s">
        <v>66</v>
      </c>
      <c r="E17813" t="s">
        <v>67</v>
      </c>
      <c r="F17813">
        <v>357.98</v>
      </c>
      <c r="G17813">
        <v>231101</v>
      </c>
      <c r="H17813">
        <v>4471</v>
      </c>
      <c r="I17813" t="s">
        <v>68</v>
      </c>
      <c r="J17813">
        <v>443.9</v>
      </c>
      <c r="K17813">
        <v>85.92</v>
      </c>
      <c r="L17813">
        <v>17952</v>
      </c>
      <c r="M17813" t="s">
        <v>88</v>
      </c>
      <c r="N17813" t="str">
        <f>"110093281   "</f>
        <v xml:space="preserve">110093281   </v>
      </c>
      <c r="O17813">
        <v>231107</v>
      </c>
    </row>
    <row r="17814" spans="1:15" x14ac:dyDescent="0.25">
      <c r="A17814" t="s">
        <v>16</v>
      </c>
      <c r="B17814" t="s">
        <v>3221</v>
      </c>
      <c r="C17814">
        <v>14875</v>
      </c>
      <c r="D17814" t="s">
        <v>66</v>
      </c>
      <c r="E17814" t="s">
        <v>67</v>
      </c>
      <c r="F17814">
        <v>134.01</v>
      </c>
      <c r="G17814">
        <v>231101</v>
      </c>
      <c r="H17814">
        <v>4471</v>
      </c>
      <c r="I17814" t="s">
        <v>68</v>
      </c>
      <c r="J17814">
        <v>166.17</v>
      </c>
      <c r="K17814">
        <v>32.159999999999997</v>
      </c>
      <c r="L17814">
        <v>17956</v>
      </c>
      <c r="M17814" t="s">
        <v>53</v>
      </c>
      <c r="N17814" t="str">
        <f>"110093281   "</f>
        <v xml:space="preserve">110093281   </v>
      </c>
      <c r="O17814">
        <v>231107</v>
      </c>
    </row>
    <row r="17815" spans="1:15" x14ac:dyDescent="0.25">
      <c r="A17815" t="s">
        <v>16</v>
      </c>
      <c r="B17815" t="s">
        <v>3221</v>
      </c>
      <c r="C17815">
        <v>16622</v>
      </c>
      <c r="D17815" t="s">
        <v>66</v>
      </c>
      <c r="E17815" t="s">
        <v>67</v>
      </c>
      <c r="F17815">
        <v>29.67</v>
      </c>
      <c r="G17815">
        <v>231201</v>
      </c>
      <c r="H17815">
        <v>4471</v>
      </c>
      <c r="I17815" t="s">
        <v>68</v>
      </c>
      <c r="J17815">
        <v>36.79</v>
      </c>
      <c r="K17815">
        <v>7.12</v>
      </c>
      <c r="L17815">
        <v>13540</v>
      </c>
      <c r="M17815" t="s">
        <v>85</v>
      </c>
      <c r="N17815" t="str">
        <f>"110114974   "</f>
        <v xml:space="preserve">110114974   </v>
      </c>
      <c r="O17815">
        <v>231204</v>
      </c>
    </row>
    <row r="17816" spans="1:15" x14ac:dyDescent="0.25">
      <c r="A17816" t="s">
        <v>16</v>
      </c>
      <c r="B17816" t="s">
        <v>3221</v>
      </c>
      <c r="C17816">
        <v>16622</v>
      </c>
      <c r="D17816" t="s">
        <v>66</v>
      </c>
      <c r="E17816" t="s">
        <v>67</v>
      </c>
      <c r="F17816">
        <v>240.07</v>
      </c>
      <c r="G17816">
        <v>231201</v>
      </c>
      <c r="H17816">
        <v>4471</v>
      </c>
      <c r="I17816" t="s">
        <v>68</v>
      </c>
      <c r="J17816">
        <v>297.69</v>
      </c>
      <c r="K17816">
        <v>57.62</v>
      </c>
      <c r="L17816">
        <v>17950</v>
      </c>
      <c r="M17816" t="s">
        <v>86</v>
      </c>
      <c r="N17816" t="str">
        <f>"110114974   "</f>
        <v xml:space="preserve">110114974   </v>
      </c>
      <c r="O17816">
        <v>231204</v>
      </c>
    </row>
    <row r="17817" spans="1:15" x14ac:dyDescent="0.25">
      <c r="A17817" t="s">
        <v>16</v>
      </c>
      <c r="B17817" t="s">
        <v>3221</v>
      </c>
      <c r="C17817">
        <v>16622</v>
      </c>
      <c r="D17817" t="s">
        <v>66</v>
      </c>
      <c r="E17817" t="s">
        <v>67</v>
      </c>
      <c r="F17817">
        <v>220.84</v>
      </c>
      <c r="G17817">
        <v>231201</v>
      </c>
      <c r="H17817">
        <v>4471</v>
      </c>
      <c r="I17817" t="s">
        <v>68</v>
      </c>
      <c r="J17817">
        <v>273.83999999999997</v>
      </c>
      <c r="K17817">
        <v>53</v>
      </c>
      <c r="L17817">
        <v>17951</v>
      </c>
      <c r="M17817" t="s">
        <v>87</v>
      </c>
      <c r="N17817" t="str">
        <f>"110114974   "</f>
        <v xml:space="preserve">110114974   </v>
      </c>
      <c r="O17817">
        <v>231204</v>
      </c>
    </row>
    <row r="17818" spans="1:15" x14ac:dyDescent="0.25">
      <c r="A17818" t="s">
        <v>16</v>
      </c>
      <c r="B17818" t="s">
        <v>3221</v>
      </c>
      <c r="C17818">
        <v>16622</v>
      </c>
      <c r="D17818" t="s">
        <v>66</v>
      </c>
      <c r="E17818" t="s">
        <v>67</v>
      </c>
      <c r="F17818">
        <v>357.98</v>
      </c>
      <c r="G17818">
        <v>231201</v>
      </c>
      <c r="H17818">
        <v>4471</v>
      </c>
      <c r="I17818" t="s">
        <v>68</v>
      </c>
      <c r="J17818">
        <v>443.9</v>
      </c>
      <c r="K17818">
        <v>85.92</v>
      </c>
      <c r="L17818">
        <v>17952</v>
      </c>
      <c r="M17818" t="s">
        <v>88</v>
      </c>
      <c r="N17818" t="str">
        <f>"110114974   "</f>
        <v xml:space="preserve">110114974   </v>
      </c>
      <c r="O17818">
        <v>231204</v>
      </c>
    </row>
    <row r="17819" spans="1:15" x14ac:dyDescent="0.25">
      <c r="A17819" t="s">
        <v>16</v>
      </c>
      <c r="B17819" t="s">
        <v>3221</v>
      </c>
      <c r="C17819">
        <v>16622</v>
      </c>
      <c r="D17819" t="s">
        <v>66</v>
      </c>
      <c r="E17819" t="s">
        <v>67</v>
      </c>
      <c r="F17819">
        <v>134.01</v>
      </c>
      <c r="G17819">
        <v>231201</v>
      </c>
      <c r="H17819">
        <v>4471</v>
      </c>
      <c r="I17819" t="s">
        <v>68</v>
      </c>
      <c r="J17819">
        <v>166.17</v>
      </c>
      <c r="K17819">
        <v>32.159999999999997</v>
      </c>
      <c r="L17819">
        <v>17956</v>
      </c>
      <c r="M17819" t="s">
        <v>53</v>
      </c>
      <c r="N17819" t="str">
        <f>"110114974   "</f>
        <v xml:space="preserve">110114974   </v>
      </c>
      <c r="O17819">
        <v>231204</v>
      </c>
    </row>
    <row r="17820" spans="1:15" x14ac:dyDescent="0.25">
      <c r="A17820" t="s">
        <v>16</v>
      </c>
      <c r="B17820" t="s">
        <v>3221</v>
      </c>
      <c r="C17820">
        <v>16711</v>
      </c>
      <c r="D17820" t="s">
        <v>66</v>
      </c>
      <c r="E17820" t="s">
        <v>67</v>
      </c>
      <c r="F17820">
        <v>290.72000000000003</v>
      </c>
      <c r="G17820">
        <v>231201</v>
      </c>
      <c r="H17820">
        <v>4471</v>
      </c>
      <c r="I17820" t="s">
        <v>68</v>
      </c>
      <c r="J17820">
        <v>360.49</v>
      </c>
      <c r="K17820">
        <v>69.77</v>
      </c>
      <c r="L17820">
        <v>59501</v>
      </c>
      <c r="M17820" t="s">
        <v>69</v>
      </c>
      <c r="N17820" t="str">
        <f t="shared" ref="N17820:N17825" si="247">"110112609   "</f>
        <v xml:space="preserve">110112609   </v>
      </c>
      <c r="O17820">
        <v>231208</v>
      </c>
    </row>
    <row r="17821" spans="1:15" x14ac:dyDescent="0.25">
      <c r="A17821" t="s">
        <v>16</v>
      </c>
      <c r="B17821" t="s">
        <v>3221</v>
      </c>
      <c r="C17821">
        <v>16711</v>
      </c>
      <c r="D17821" t="s">
        <v>66</v>
      </c>
      <c r="E17821" t="s">
        <v>67</v>
      </c>
      <c r="F17821">
        <v>177.34</v>
      </c>
      <c r="G17821">
        <v>231201</v>
      </c>
      <c r="H17821">
        <v>4471</v>
      </c>
      <c r="I17821" t="s">
        <v>68</v>
      </c>
      <c r="J17821">
        <v>219.9</v>
      </c>
      <c r="K17821">
        <v>42.56</v>
      </c>
      <c r="L17821">
        <v>59502</v>
      </c>
      <c r="M17821" t="s">
        <v>70</v>
      </c>
      <c r="N17821" t="str">
        <f t="shared" si="247"/>
        <v xml:space="preserve">110112609   </v>
      </c>
      <c r="O17821">
        <v>231208</v>
      </c>
    </row>
    <row r="17822" spans="1:15" x14ac:dyDescent="0.25">
      <c r="A17822" t="s">
        <v>16</v>
      </c>
      <c r="B17822" t="s">
        <v>3221</v>
      </c>
      <c r="C17822">
        <v>16711</v>
      </c>
      <c r="D17822" t="s">
        <v>66</v>
      </c>
      <c r="E17822" t="s">
        <v>67</v>
      </c>
      <c r="F17822">
        <v>290.72000000000003</v>
      </c>
      <c r="G17822">
        <v>231201</v>
      </c>
      <c r="H17822">
        <v>4471</v>
      </c>
      <c r="I17822" t="s">
        <v>68</v>
      </c>
      <c r="J17822">
        <v>360.49</v>
      </c>
      <c r="K17822">
        <v>69.77</v>
      </c>
      <c r="L17822">
        <v>59504</v>
      </c>
      <c r="M17822" t="s">
        <v>71</v>
      </c>
      <c r="N17822" t="str">
        <f t="shared" si="247"/>
        <v xml:space="preserve">110112609   </v>
      </c>
      <c r="O17822">
        <v>231208</v>
      </c>
    </row>
    <row r="17823" spans="1:15" x14ac:dyDescent="0.25">
      <c r="A17823" t="s">
        <v>16</v>
      </c>
      <c r="B17823" t="s">
        <v>3221</v>
      </c>
      <c r="C17823">
        <v>16711</v>
      </c>
      <c r="D17823" t="s">
        <v>66</v>
      </c>
      <c r="E17823" t="s">
        <v>67</v>
      </c>
      <c r="F17823">
        <v>212.4</v>
      </c>
      <c r="G17823">
        <v>231201</v>
      </c>
      <c r="H17823">
        <v>4471</v>
      </c>
      <c r="I17823" t="s">
        <v>68</v>
      </c>
      <c r="J17823">
        <v>263.38</v>
      </c>
      <c r="K17823">
        <v>50.98</v>
      </c>
      <c r="L17823">
        <v>59505</v>
      </c>
      <c r="M17823" t="s">
        <v>72</v>
      </c>
      <c r="N17823" t="str">
        <f t="shared" si="247"/>
        <v xml:space="preserve">110112609   </v>
      </c>
      <c r="O17823">
        <v>231208</v>
      </c>
    </row>
    <row r="17824" spans="1:15" x14ac:dyDescent="0.25">
      <c r="A17824" t="s">
        <v>16</v>
      </c>
      <c r="B17824" t="s">
        <v>3221</v>
      </c>
      <c r="C17824">
        <v>16711</v>
      </c>
      <c r="D17824" t="s">
        <v>66</v>
      </c>
      <c r="E17824" t="s">
        <v>67</v>
      </c>
      <c r="F17824">
        <v>113.38</v>
      </c>
      <c r="G17824">
        <v>231201</v>
      </c>
      <c r="H17824">
        <v>4471</v>
      </c>
      <c r="I17824" t="s">
        <v>68</v>
      </c>
      <c r="J17824">
        <v>140.59</v>
      </c>
      <c r="K17824">
        <v>27.21</v>
      </c>
      <c r="L17824">
        <v>59802</v>
      </c>
      <c r="M17824" t="s">
        <v>73</v>
      </c>
      <c r="N17824" t="str">
        <f t="shared" si="247"/>
        <v xml:space="preserve">110112609   </v>
      </c>
      <c r="O17824">
        <v>231208</v>
      </c>
    </row>
    <row r="17825" spans="1:15" x14ac:dyDescent="0.25">
      <c r="A17825" t="s">
        <v>16</v>
      </c>
      <c r="B17825" t="s">
        <v>3221</v>
      </c>
      <c r="C17825">
        <v>16711</v>
      </c>
      <c r="D17825" t="s">
        <v>66</v>
      </c>
      <c r="E17825" t="s">
        <v>67</v>
      </c>
      <c r="F17825">
        <v>28.97</v>
      </c>
      <c r="G17825">
        <v>231201</v>
      </c>
      <c r="H17825">
        <v>4471</v>
      </c>
      <c r="I17825" t="s">
        <v>68</v>
      </c>
      <c r="J17825">
        <v>35.92</v>
      </c>
      <c r="K17825">
        <v>6.95</v>
      </c>
      <c r="L17825">
        <v>59812</v>
      </c>
      <c r="M17825" t="s">
        <v>74</v>
      </c>
      <c r="N17825" t="str">
        <f t="shared" si="247"/>
        <v xml:space="preserve">110112609   </v>
      </c>
      <c r="O17825">
        <v>231208</v>
      </c>
    </row>
    <row r="17826" spans="1:15" x14ac:dyDescent="0.25">
      <c r="A17826" t="s">
        <v>16</v>
      </c>
      <c r="B17826" t="s">
        <v>3221</v>
      </c>
      <c r="C17826">
        <v>18120</v>
      </c>
      <c r="D17826" t="s">
        <v>66</v>
      </c>
      <c r="E17826" t="s">
        <v>67</v>
      </c>
      <c r="F17826">
        <v>141</v>
      </c>
      <c r="G17826">
        <v>231219</v>
      </c>
      <c r="H17826">
        <v>4471</v>
      </c>
      <c r="I17826" t="s">
        <v>68</v>
      </c>
      <c r="J17826">
        <v>174.84</v>
      </c>
      <c r="K17826">
        <v>33.840000000000003</v>
      </c>
      <c r="L17826">
        <v>17950</v>
      </c>
      <c r="M17826" t="s">
        <v>86</v>
      </c>
      <c r="N17826" t="str">
        <f>"110135942   "</f>
        <v xml:space="preserve">110135942   </v>
      </c>
      <c r="O17826">
        <v>240102</v>
      </c>
    </row>
    <row r="17827" spans="1:15" x14ac:dyDescent="0.25">
      <c r="A17827" t="s">
        <v>16</v>
      </c>
      <c r="B17827" t="s">
        <v>3221</v>
      </c>
      <c r="C17827">
        <v>18748</v>
      </c>
      <c r="D17827" t="s">
        <v>66</v>
      </c>
      <c r="E17827" t="s">
        <v>67</v>
      </c>
      <c r="F17827">
        <v>56</v>
      </c>
      <c r="G17827">
        <v>240104</v>
      </c>
      <c r="H17827">
        <v>4471</v>
      </c>
      <c r="I17827" t="s">
        <v>68</v>
      </c>
      <c r="J17827">
        <v>69.44</v>
      </c>
      <c r="K17827">
        <v>13.44</v>
      </c>
      <c r="L17827">
        <v>17950</v>
      </c>
      <c r="M17827" t="s">
        <v>86</v>
      </c>
      <c r="N17827" t="str">
        <f>"110162433   "</f>
        <v xml:space="preserve">110162433   </v>
      </c>
      <c r="O17827">
        <v>240105</v>
      </c>
    </row>
    <row r="17828" spans="1:15" x14ac:dyDescent="0.25">
      <c r="A17828" t="s">
        <v>16</v>
      </c>
      <c r="B17828" t="s">
        <v>3221</v>
      </c>
      <c r="C17828">
        <v>18905</v>
      </c>
      <c r="D17828" t="s">
        <v>66</v>
      </c>
      <c r="E17828" t="s">
        <v>67</v>
      </c>
      <c r="F17828">
        <v>91</v>
      </c>
      <c r="G17828">
        <v>240106</v>
      </c>
      <c r="H17828">
        <v>4471</v>
      </c>
      <c r="I17828" t="s">
        <v>68</v>
      </c>
      <c r="J17828">
        <v>112.84</v>
      </c>
      <c r="K17828">
        <v>21.84</v>
      </c>
      <c r="L17828">
        <v>17951</v>
      </c>
      <c r="M17828" t="s">
        <v>87</v>
      </c>
      <c r="N17828" t="str">
        <f>"110164351   "</f>
        <v xml:space="preserve">110164351   </v>
      </c>
      <c r="O17828">
        <v>240108</v>
      </c>
    </row>
    <row r="17829" spans="1:15" x14ac:dyDescent="0.25">
      <c r="A17829" t="s">
        <v>16</v>
      </c>
      <c r="B17829" t="s">
        <v>3221</v>
      </c>
      <c r="C17829">
        <v>18976</v>
      </c>
      <c r="D17829" t="s">
        <v>66</v>
      </c>
      <c r="E17829" t="s">
        <v>67</v>
      </c>
      <c r="F17829">
        <v>50</v>
      </c>
      <c r="G17829">
        <v>240106</v>
      </c>
      <c r="H17829">
        <v>4471</v>
      </c>
      <c r="I17829" t="s">
        <v>68</v>
      </c>
      <c r="J17829">
        <v>62</v>
      </c>
      <c r="K17829">
        <v>12</v>
      </c>
      <c r="L17829">
        <v>59504</v>
      </c>
      <c r="M17829" t="s">
        <v>71</v>
      </c>
      <c r="N17829" t="str">
        <f>"110163510   "</f>
        <v xml:space="preserve">110163510   </v>
      </c>
      <c r="O17829">
        <v>240109</v>
      </c>
    </row>
    <row r="17830" spans="1:15" x14ac:dyDescent="0.25">
      <c r="A17830" t="s">
        <v>16</v>
      </c>
      <c r="B17830" t="s">
        <v>3221</v>
      </c>
      <c r="C17830">
        <v>18981</v>
      </c>
      <c r="D17830" t="s">
        <v>66</v>
      </c>
      <c r="E17830" t="s">
        <v>67</v>
      </c>
      <c r="F17830">
        <v>91</v>
      </c>
      <c r="G17830">
        <v>240106</v>
      </c>
      <c r="H17830">
        <v>4471</v>
      </c>
      <c r="I17830" t="s">
        <v>68</v>
      </c>
      <c r="J17830">
        <v>112.84</v>
      </c>
      <c r="K17830">
        <v>21.84</v>
      </c>
      <c r="L17830">
        <v>17950</v>
      </c>
      <c r="M17830" t="s">
        <v>86</v>
      </c>
      <c r="N17830" t="str">
        <f>"110164317   "</f>
        <v xml:space="preserve">110164317   </v>
      </c>
      <c r="O17830">
        <v>240109</v>
      </c>
    </row>
    <row r="17831" spans="1:15" x14ac:dyDescent="0.25">
      <c r="A17831" t="s">
        <v>16</v>
      </c>
      <c r="B17831" t="s">
        <v>3221</v>
      </c>
      <c r="C17831">
        <v>2942</v>
      </c>
      <c r="D17831" t="s">
        <v>1492</v>
      </c>
      <c r="E17831" t="s">
        <v>1493</v>
      </c>
      <c r="F17831">
        <v>48.8</v>
      </c>
      <c r="G17831">
        <v>230306</v>
      </c>
      <c r="H17831">
        <v>4532</v>
      </c>
      <c r="I17831" t="s">
        <v>116</v>
      </c>
      <c r="J17831">
        <v>60.51</v>
      </c>
      <c r="K17831">
        <v>11.71</v>
      </c>
      <c r="L17831">
        <v>17737</v>
      </c>
      <c r="M17831" t="s">
        <v>279</v>
      </c>
      <c r="N17831" t="str">
        <f>"12515       "</f>
        <v xml:space="preserve">12515       </v>
      </c>
      <c r="O17831">
        <v>230308</v>
      </c>
    </row>
    <row r="17832" spans="1:15" x14ac:dyDescent="0.25">
      <c r="A17832" t="s">
        <v>16</v>
      </c>
      <c r="B17832" t="s">
        <v>3221</v>
      </c>
      <c r="C17832">
        <v>14131</v>
      </c>
      <c r="D17832" t="s">
        <v>1492</v>
      </c>
      <c r="E17832" t="s">
        <v>1493</v>
      </c>
      <c r="F17832">
        <v>269</v>
      </c>
      <c r="G17832">
        <v>231017</v>
      </c>
      <c r="H17832">
        <v>4580</v>
      </c>
      <c r="I17832" t="s">
        <v>35</v>
      </c>
      <c r="J17832">
        <v>333.56</v>
      </c>
      <c r="K17832">
        <v>64.56</v>
      </c>
      <c r="L17832">
        <v>17711</v>
      </c>
      <c r="M17832" t="s">
        <v>65</v>
      </c>
      <c r="N17832" t="str">
        <f>"15201       "</f>
        <v xml:space="preserve">15201       </v>
      </c>
      <c r="O17832">
        <v>231019</v>
      </c>
    </row>
    <row r="17833" spans="1:15" x14ac:dyDescent="0.25">
      <c r="A17833" t="s">
        <v>16</v>
      </c>
      <c r="B17833" t="s">
        <v>3221</v>
      </c>
      <c r="C17833">
        <v>2906</v>
      </c>
      <c r="D17833" t="s">
        <v>1492</v>
      </c>
      <c r="E17833" t="s">
        <v>1493</v>
      </c>
      <c r="F17833">
        <v>165.6</v>
      </c>
      <c r="G17833">
        <v>230306</v>
      </c>
      <c r="H17833">
        <v>4600</v>
      </c>
      <c r="I17833" t="s">
        <v>105</v>
      </c>
      <c r="J17833">
        <v>205.34</v>
      </c>
      <c r="K17833">
        <v>39.74</v>
      </c>
      <c r="L17833">
        <v>17527</v>
      </c>
      <c r="M17833" t="s">
        <v>422</v>
      </c>
      <c r="N17833" t="str">
        <f>"12522       "</f>
        <v xml:space="preserve">12522       </v>
      </c>
      <c r="O17833">
        <v>230308</v>
      </c>
    </row>
    <row r="17834" spans="1:15" x14ac:dyDescent="0.25">
      <c r="A17834" t="s">
        <v>16</v>
      </c>
      <c r="B17834" t="s">
        <v>3221</v>
      </c>
      <c r="C17834">
        <v>3688</v>
      </c>
      <c r="D17834" t="s">
        <v>1492</v>
      </c>
      <c r="E17834" t="s">
        <v>1493</v>
      </c>
      <c r="F17834">
        <v>438.2</v>
      </c>
      <c r="G17834">
        <v>230316</v>
      </c>
      <c r="H17834">
        <v>4600</v>
      </c>
      <c r="I17834" t="s">
        <v>105</v>
      </c>
      <c r="J17834">
        <v>543.37</v>
      </c>
      <c r="K17834">
        <v>105.17</v>
      </c>
      <c r="L17834">
        <v>46555</v>
      </c>
      <c r="M17834" t="s">
        <v>597</v>
      </c>
      <c r="N17834" t="str">
        <f>"12623       "</f>
        <v xml:space="preserve">12623       </v>
      </c>
      <c r="O17834">
        <v>230321</v>
      </c>
    </row>
    <row r="17835" spans="1:15" x14ac:dyDescent="0.25">
      <c r="A17835" t="s">
        <v>16</v>
      </c>
      <c r="B17835" t="s">
        <v>3221</v>
      </c>
      <c r="C17835">
        <v>14006</v>
      </c>
      <c r="D17835" t="s">
        <v>1492</v>
      </c>
      <c r="E17835" t="s">
        <v>1493</v>
      </c>
      <c r="F17835">
        <v>106.61</v>
      </c>
      <c r="G17835">
        <v>231011</v>
      </c>
      <c r="H17835">
        <v>4600</v>
      </c>
      <c r="I17835" t="s">
        <v>105</v>
      </c>
      <c r="J17835">
        <v>132.19999999999999</v>
      </c>
      <c r="K17835">
        <v>25.59</v>
      </c>
      <c r="L17835">
        <v>17524</v>
      </c>
      <c r="M17835" t="s">
        <v>452</v>
      </c>
      <c r="N17835" t="str">
        <f>"15167       "</f>
        <v xml:space="preserve">15167       </v>
      </c>
      <c r="O17835">
        <v>231017</v>
      </c>
    </row>
    <row r="17836" spans="1:15" x14ac:dyDescent="0.25">
      <c r="A17836" t="s">
        <v>16</v>
      </c>
      <c r="B17836" t="s">
        <v>3221</v>
      </c>
      <c r="C17836">
        <v>14659</v>
      </c>
      <c r="D17836" t="s">
        <v>1492</v>
      </c>
      <c r="E17836" t="s">
        <v>1493</v>
      </c>
      <c r="F17836">
        <v>625.5</v>
      </c>
      <c r="G17836">
        <v>231027</v>
      </c>
      <c r="H17836">
        <v>4600</v>
      </c>
      <c r="I17836" t="s">
        <v>105</v>
      </c>
      <c r="J17836">
        <v>775.62</v>
      </c>
      <c r="K17836">
        <v>150.12</v>
      </c>
      <c r="L17836">
        <v>17527</v>
      </c>
      <c r="M17836" t="s">
        <v>422</v>
      </c>
      <c r="N17836" t="str">
        <f>"15260       "</f>
        <v xml:space="preserve">15260       </v>
      </c>
      <c r="O17836">
        <v>231031</v>
      </c>
    </row>
    <row r="17837" spans="1:15" x14ac:dyDescent="0.25">
      <c r="A17837" t="s">
        <v>16</v>
      </c>
      <c r="B17837" t="s">
        <v>3221</v>
      </c>
      <c r="C17837">
        <v>2957</v>
      </c>
      <c r="D17837" t="s">
        <v>1492</v>
      </c>
      <c r="E17837" t="s">
        <v>1493</v>
      </c>
      <c r="F17837">
        <v>215</v>
      </c>
      <c r="G17837">
        <v>230306</v>
      </c>
      <c r="H17837">
        <v>4500</v>
      </c>
      <c r="I17837" t="s">
        <v>212</v>
      </c>
      <c r="J17837">
        <v>266.60000000000002</v>
      </c>
      <c r="K17837">
        <v>51.6</v>
      </c>
      <c r="L17837">
        <v>17972</v>
      </c>
      <c r="M17837" t="s">
        <v>248</v>
      </c>
      <c r="N17837" t="str">
        <f>"12518       "</f>
        <v xml:space="preserve">12518       </v>
      </c>
      <c r="O17837">
        <v>230308</v>
      </c>
    </row>
    <row r="17838" spans="1:15" x14ac:dyDescent="0.25">
      <c r="A17838" t="s">
        <v>16</v>
      </c>
      <c r="B17838" t="s">
        <v>3221</v>
      </c>
      <c r="C17838">
        <v>18442</v>
      </c>
      <c r="D17838" t="s">
        <v>644</v>
      </c>
      <c r="E17838" t="s">
        <v>645</v>
      </c>
      <c r="F17838">
        <v>39.799999999999997</v>
      </c>
      <c r="G17838">
        <v>231220</v>
      </c>
      <c r="H17838">
        <v>4346</v>
      </c>
      <c r="I17838" t="s">
        <v>197</v>
      </c>
      <c r="J17838">
        <v>49.35</v>
      </c>
      <c r="K17838">
        <v>9.5500000000000007</v>
      </c>
      <c r="L17838">
        <v>67522</v>
      </c>
      <c r="M17838" t="s">
        <v>397</v>
      </c>
      <c r="N17838" t="str">
        <f>"61066968    "</f>
        <v xml:space="preserve">61066968    </v>
      </c>
      <c r="O17838">
        <v>240103</v>
      </c>
    </row>
    <row r="17839" spans="1:15" x14ac:dyDescent="0.25">
      <c r="A17839" t="s">
        <v>16</v>
      </c>
      <c r="B17839" t="s">
        <v>3221</v>
      </c>
      <c r="C17839">
        <v>18442</v>
      </c>
      <c r="D17839" t="s">
        <v>644</v>
      </c>
      <c r="E17839" t="s">
        <v>645</v>
      </c>
      <c r="F17839">
        <v>39.799999999999997</v>
      </c>
      <c r="G17839">
        <v>231220</v>
      </c>
      <c r="H17839">
        <v>4346</v>
      </c>
      <c r="I17839" t="s">
        <v>197</v>
      </c>
      <c r="J17839">
        <v>49.35</v>
      </c>
      <c r="K17839">
        <v>9.5500000000000007</v>
      </c>
      <c r="L17839">
        <v>67554</v>
      </c>
      <c r="M17839" t="s">
        <v>60</v>
      </c>
      <c r="N17839" t="str">
        <f>"61066968    "</f>
        <v xml:space="preserve">61066968    </v>
      </c>
      <c r="O17839">
        <v>240103</v>
      </c>
    </row>
    <row r="17840" spans="1:15" x14ac:dyDescent="0.25">
      <c r="A17840" t="s">
        <v>16</v>
      </c>
      <c r="B17840" t="s">
        <v>3221</v>
      </c>
      <c r="C17840">
        <v>18469</v>
      </c>
      <c r="D17840" t="s">
        <v>644</v>
      </c>
      <c r="E17840" t="s">
        <v>645</v>
      </c>
      <c r="F17840">
        <v>76.599999999999994</v>
      </c>
      <c r="G17840">
        <v>231220</v>
      </c>
      <c r="H17840">
        <v>4346</v>
      </c>
      <c r="I17840" t="s">
        <v>197</v>
      </c>
      <c r="J17840">
        <v>94.99</v>
      </c>
      <c r="K17840">
        <v>18.39</v>
      </c>
      <c r="L17840">
        <v>67522</v>
      </c>
      <c r="M17840" t="s">
        <v>397</v>
      </c>
      <c r="N17840" t="str">
        <f>"61066967    "</f>
        <v xml:space="preserve">61066967    </v>
      </c>
      <c r="O17840">
        <v>240103</v>
      </c>
    </row>
    <row r="17841" spans="1:15" x14ac:dyDescent="0.25">
      <c r="A17841" t="s">
        <v>16</v>
      </c>
      <c r="B17841" t="s">
        <v>3221</v>
      </c>
      <c r="C17841">
        <v>18469</v>
      </c>
      <c r="D17841" t="s">
        <v>644</v>
      </c>
      <c r="E17841" t="s">
        <v>645</v>
      </c>
      <c r="F17841">
        <v>76.599999999999994</v>
      </c>
      <c r="G17841">
        <v>231220</v>
      </c>
      <c r="H17841">
        <v>4346</v>
      </c>
      <c r="I17841" t="s">
        <v>197</v>
      </c>
      <c r="J17841">
        <v>94.98</v>
      </c>
      <c r="K17841">
        <v>18.38</v>
      </c>
      <c r="L17841">
        <v>67554</v>
      </c>
      <c r="M17841" t="s">
        <v>60</v>
      </c>
      <c r="N17841" t="str">
        <f>"61066967    "</f>
        <v xml:space="preserve">61066967    </v>
      </c>
      <c r="O17841">
        <v>240103</v>
      </c>
    </row>
    <row r="17842" spans="1:15" x14ac:dyDescent="0.25">
      <c r="A17842" t="s">
        <v>16</v>
      </c>
      <c r="B17842" t="s">
        <v>3221</v>
      </c>
      <c r="C17842">
        <v>7661</v>
      </c>
      <c r="D17842" t="s">
        <v>3245</v>
      </c>
      <c r="E17842" t="s">
        <v>3246</v>
      </c>
      <c r="F17842">
        <v>144.97</v>
      </c>
      <c r="G17842">
        <v>230515</v>
      </c>
      <c r="H17842">
        <v>4412</v>
      </c>
      <c r="I17842" t="s">
        <v>149</v>
      </c>
      <c r="J17842">
        <v>179.76</v>
      </c>
      <c r="K17842">
        <v>34.79</v>
      </c>
      <c r="L17842">
        <v>17918</v>
      </c>
      <c r="M17842" t="s">
        <v>137</v>
      </c>
      <c r="N17842" t="str">
        <f>"800/521750  "</f>
        <v xml:space="preserve">800/521750  </v>
      </c>
      <c r="O17842">
        <v>230601</v>
      </c>
    </row>
    <row r="17843" spans="1:15" x14ac:dyDescent="0.25">
      <c r="A17843" t="s">
        <v>16</v>
      </c>
      <c r="B17843" t="s">
        <v>3221</v>
      </c>
      <c r="C17843">
        <v>7661</v>
      </c>
      <c r="D17843" t="s">
        <v>3245</v>
      </c>
      <c r="E17843" t="s">
        <v>3246</v>
      </c>
      <c r="F17843">
        <v>21.53</v>
      </c>
      <c r="G17843">
        <v>230515</v>
      </c>
      <c r="H17843">
        <v>4412</v>
      </c>
      <c r="I17843" t="s">
        <v>149</v>
      </c>
      <c r="J17843">
        <v>26.7</v>
      </c>
      <c r="K17843">
        <v>5.17</v>
      </c>
      <c r="L17843">
        <v>17918</v>
      </c>
      <c r="M17843" t="s">
        <v>137</v>
      </c>
      <c r="N17843" t="str">
        <f>"800/521750  "</f>
        <v xml:space="preserve">800/521750  </v>
      </c>
      <c r="O17843">
        <v>230601</v>
      </c>
    </row>
    <row r="17844" spans="1:15" x14ac:dyDescent="0.25">
      <c r="A17844" t="s">
        <v>16</v>
      </c>
      <c r="B17844" t="s">
        <v>3221</v>
      </c>
      <c r="C17844">
        <v>7661</v>
      </c>
      <c r="D17844" t="s">
        <v>3245</v>
      </c>
      <c r="E17844" t="s">
        <v>3246</v>
      </c>
      <c r="F17844">
        <v>145</v>
      </c>
      <c r="G17844">
        <v>230515</v>
      </c>
      <c r="H17844">
        <v>4412</v>
      </c>
      <c r="I17844" t="s">
        <v>149</v>
      </c>
      <c r="J17844">
        <v>179.8</v>
      </c>
      <c r="K17844">
        <v>34.799999999999997</v>
      </c>
      <c r="L17844">
        <v>17918</v>
      </c>
      <c r="M17844" t="s">
        <v>137</v>
      </c>
      <c r="N17844" t="str">
        <f>"800/521750  "</f>
        <v xml:space="preserve">800/521750  </v>
      </c>
      <c r="O17844">
        <v>230601</v>
      </c>
    </row>
    <row r="17845" spans="1:15" x14ac:dyDescent="0.25">
      <c r="A17845" t="s">
        <v>16</v>
      </c>
      <c r="B17845" t="s">
        <v>3221</v>
      </c>
      <c r="C17845">
        <v>7703</v>
      </c>
      <c r="D17845" t="s">
        <v>3245</v>
      </c>
      <c r="E17845" t="s">
        <v>3246</v>
      </c>
      <c r="F17845">
        <v>48</v>
      </c>
      <c r="G17845">
        <v>230515</v>
      </c>
      <c r="H17845">
        <v>4410</v>
      </c>
      <c r="I17845" t="s">
        <v>517</v>
      </c>
      <c r="J17845">
        <v>59.52</v>
      </c>
      <c r="K17845">
        <v>11.52</v>
      </c>
      <c r="L17845">
        <v>14912</v>
      </c>
      <c r="M17845" t="s">
        <v>230</v>
      </c>
      <c r="N17845" t="str">
        <f t="shared" ref="N17845:N17853" si="248">"800/521752  "</f>
        <v xml:space="preserve">800/521752  </v>
      </c>
      <c r="O17845">
        <v>230602</v>
      </c>
    </row>
    <row r="17846" spans="1:15" x14ac:dyDescent="0.25">
      <c r="A17846" t="s">
        <v>16</v>
      </c>
      <c r="B17846" t="s">
        <v>3221</v>
      </c>
      <c r="C17846">
        <v>7703</v>
      </c>
      <c r="D17846" t="s">
        <v>3245</v>
      </c>
      <c r="E17846" t="s">
        <v>3246</v>
      </c>
      <c r="F17846">
        <v>393</v>
      </c>
      <c r="G17846">
        <v>230515</v>
      </c>
      <c r="H17846">
        <v>4410</v>
      </c>
      <c r="I17846" t="s">
        <v>517</v>
      </c>
      <c r="J17846">
        <v>487.32</v>
      </c>
      <c r="K17846">
        <v>94.32</v>
      </c>
      <c r="L17846">
        <v>18994</v>
      </c>
      <c r="M17846" t="s">
        <v>1940</v>
      </c>
      <c r="N17846" t="str">
        <f t="shared" si="248"/>
        <v xml:space="preserve">800/521752  </v>
      </c>
      <c r="O17846">
        <v>230602</v>
      </c>
    </row>
    <row r="17847" spans="1:15" x14ac:dyDescent="0.25">
      <c r="A17847" t="s">
        <v>16</v>
      </c>
      <c r="B17847" t="s">
        <v>3221</v>
      </c>
      <c r="C17847">
        <v>7703</v>
      </c>
      <c r="D17847" t="s">
        <v>3245</v>
      </c>
      <c r="E17847" t="s">
        <v>3246</v>
      </c>
      <c r="F17847">
        <v>423</v>
      </c>
      <c r="G17847">
        <v>230515</v>
      </c>
      <c r="H17847">
        <v>4410</v>
      </c>
      <c r="I17847" t="s">
        <v>517</v>
      </c>
      <c r="J17847">
        <v>524.52</v>
      </c>
      <c r="K17847">
        <v>101.52</v>
      </c>
      <c r="L17847">
        <v>69113</v>
      </c>
      <c r="M17847" t="s">
        <v>282</v>
      </c>
      <c r="N17847" t="str">
        <f t="shared" si="248"/>
        <v xml:space="preserve">800/521752  </v>
      </c>
      <c r="O17847">
        <v>230602</v>
      </c>
    </row>
    <row r="17848" spans="1:15" x14ac:dyDescent="0.25">
      <c r="A17848" t="s">
        <v>16</v>
      </c>
      <c r="B17848" t="s">
        <v>3221</v>
      </c>
      <c r="C17848">
        <v>7703</v>
      </c>
      <c r="D17848" t="s">
        <v>3245</v>
      </c>
      <c r="E17848" t="s">
        <v>3246</v>
      </c>
      <c r="F17848">
        <v>80</v>
      </c>
      <c r="G17848">
        <v>230515</v>
      </c>
      <c r="H17848">
        <v>4440</v>
      </c>
      <c r="I17848" t="s">
        <v>250</v>
      </c>
      <c r="J17848">
        <v>99.2</v>
      </c>
      <c r="K17848">
        <v>19.2</v>
      </c>
      <c r="L17848">
        <v>14972</v>
      </c>
      <c r="M17848" t="s">
        <v>898</v>
      </c>
      <c r="N17848" t="str">
        <f t="shared" si="248"/>
        <v xml:space="preserve">800/521752  </v>
      </c>
      <c r="O17848">
        <v>230602</v>
      </c>
    </row>
    <row r="17849" spans="1:15" x14ac:dyDescent="0.25">
      <c r="A17849" t="s">
        <v>16</v>
      </c>
      <c r="B17849" t="s">
        <v>3221</v>
      </c>
      <c r="C17849">
        <v>7703</v>
      </c>
      <c r="D17849" t="s">
        <v>3245</v>
      </c>
      <c r="E17849" t="s">
        <v>3246</v>
      </c>
      <c r="F17849">
        <v>1143</v>
      </c>
      <c r="G17849">
        <v>230515</v>
      </c>
      <c r="H17849">
        <v>4440</v>
      </c>
      <c r="I17849" t="s">
        <v>250</v>
      </c>
      <c r="J17849">
        <v>1417.32</v>
      </c>
      <c r="K17849">
        <v>274.32</v>
      </c>
      <c r="L17849">
        <v>17918</v>
      </c>
      <c r="M17849" t="s">
        <v>137</v>
      </c>
      <c r="N17849" t="str">
        <f t="shared" si="248"/>
        <v xml:space="preserve">800/521752  </v>
      </c>
      <c r="O17849">
        <v>230602</v>
      </c>
    </row>
    <row r="17850" spans="1:15" x14ac:dyDescent="0.25">
      <c r="A17850" t="s">
        <v>16</v>
      </c>
      <c r="B17850" t="s">
        <v>3221</v>
      </c>
      <c r="C17850">
        <v>7703</v>
      </c>
      <c r="D17850" t="s">
        <v>3245</v>
      </c>
      <c r="E17850" t="s">
        <v>3246</v>
      </c>
      <c r="F17850">
        <v>2720</v>
      </c>
      <c r="G17850">
        <v>230515</v>
      </c>
      <c r="H17850">
        <v>4440</v>
      </c>
      <c r="I17850" t="s">
        <v>250</v>
      </c>
      <c r="J17850">
        <v>3372.8</v>
      </c>
      <c r="K17850">
        <v>652.79999999999995</v>
      </c>
      <c r="L17850">
        <v>17972</v>
      </c>
      <c r="M17850" t="s">
        <v>248</v>
      </c>
      <c r="N17850" t="str">
        <f t="shared" si="248"/>
        <v xml:space="preserve">800/521752  </v>
      </c>
      <c r="O17850">
        <v>230602</v>
      </c>
    </row>
    <row r="17851" spans="1:15" x14ac:dyDescent="0.25">
      <c r="A17851" t="s">
        <v>16</v>
      </c>
      <c r="B17851" t="s">
        <v>3221</v>
      </c>
      <c r="C17851">
        <v>7703</v>
      </c>
      <c r="D17851" t="s">
        <v>3245</v>
      </c>
      <c r="E17851" t="s">
        <v>3246</v>
      </c>
      <c r="F17851">
        <v>423</v>
      </c>
      <c r="G17851">
        <v>230515</v>
      </c>
      <c r="H17851">
        <v>4440</v>
      </c>
      <c r="I17851" t="s">
        <v>250</v>
      </c>
      <c r="J17851">
        <v>524.52</v>
      </c>
      <c r="K17851">
        <v>101.52</v>
      </c>
      <c r="L17851">
        <v>59113</v>
      </c>
      <c r="M17851" t="s">
        <v>235</v>
      </c>
      <c r="N17851" t="str">
        <f t="shared" si="248"/>
        <v xml:space="preserve">800/521752  </v>
      </c>
      <c r="O17851">
        <v>230602</v>
      </c>
    </row>
    <row r="17852" spans="1:15" x14ac:dyDescent="0.25">
      <c r="A17852" t="s">
        <v>16</v>
      </c>
      <c r="B17852" t="s">
        <v>3221</v>
      </c>
      <c r="C17852">
        <v>7703</v>
      </c>
      <c r="D17852" t="s">
        <v>3245</v>
      </c>
      <c r="E17852" t="s">
        <v>3246</v>
      </c>
      <c r="F17852">
        <v>680</v>
      </c>
      <c r="G17852">
        <v>230515</v>
      </c>
      <c r="H17852">
        <v>4440</v>
      </c>
      <c r="I17852" t="s">
        <v>250</v>
      </c>
      <c r="J17852">
        <v>843.2</v>
      </c>
      <c r="K17852">
        <v>163.19999999999999</v>
      </c>
      <c r="L17852">
        <v>59702</v>
      </c>
      <c r="M17852" t="s">
        <v>328</v>
      </c>
      <c r="N17852" t="str">
        <f t="shared" si="248"/>
        <v xml:space="preserve">800/521752  </v>
      </c>
      <c r="O17852">
        <v>230602</v>
      </c>
    </row>
    <row r="17853" spans="1:15" x14ac:dyDescent="0.25">
      <c r="A17853" t="s">
        <v>16</v>
      </c>
      <c r="B17853" t="s">
        <v>3221</v>
      </c>
      <c r="C17853">
        <v>7703</v>
      </c>
      <c r="D17853" t="s">
        <v>3245</v>
      </c>
      <c r="E17853" t="s">
        <v>3246</v>
      </c>
      <c r="F17853">
        <v>320</v>
      </c>
      <c r="G17853">
        <v>230515</v>
      </c>
      <c r="H17853">
        <v>4440</v>
      </c>
      <c r="I17853" t="s">
        <v>250</v>
      </c>
      <c r="J17853">
        <v>396.8</v>
      </c>
      <c r="K17853">
        <v>76.8</v>
      </c>
      <c r="L17853">
        <v>69702</v>
      </c>
      <c r="M17853" t="s">
        <v>489</v>
      </c>
      <c r="N17853" t="str">
        <f t="shared" si="248"/>
        <v xml:space="preserve">800/521752  </v>
      </c>
      <c r="O17853">
        <v>230602</v>
      </c>
    </row>
    <row r="17854" spans="1:15" x14ac:dyDescent="0.25">
      <c r="A17854" t="s">
        <v>16</v>
      </c>
      <c r="B17854" t="s">
        <v>3221</v>
      </c>
      <c r="C17854">
        <v>2184</v>
      </c>
      <c r="D17854" t="s">
        <v>3245</v>
      </c>
      <c r="E17854" t="s">
        <v>3246</v>
      </c>
      <c r="F17854">
        <v>483.87</v>
      </c>
      <c r="G17854">
        <v>230214</v>
      </c>
      <c r="H17854">
        <v>4347</v>
      </c>
      <c r="I17854" t="s">
        <v>193</v>
      </c>
      <c r="J17854">
        <v>600</v>
      </c>
      <c r="K17854">
        <v>116.13</v>
      </c>
      <c r="L17854">
        <v>11301</v>
      </c>
      <c r="M17854" t="s">
        <v>29</v>
      </c>
      <c r="N17854" t="str">
        <f>"800/521331  "</f>
        <v xml:space="preserve">800/521331  </v>
      </c>
      <c r="O17854">
        <v>230222</v>
      </c>
    </row>
    <row r="17855" spans="1:15" x14ac:dyDescent="0.25">
      <c r="A17855" t="s">
        <v>16</v>
      </c>
      <c r="B17855" t="s">
        <v>3221</v>
      </c>
      <c r="C17855">
        <v>2184</v>
      </c>
      <c r="D17855" t="s">
        <v>3245</v>
      </c>
      <c r="E17855" t="s">
        <v>3246</v>
      </c>
      <c r="F17855">
        <v>400.37</v>
      </c>
      <c r="G17855">
        <v>230214</v>
      </c>
      <c r="H17855">
        <v>4347</v>
      </c>
      <c r="I17855" t="s">
        <v>193</v>
      </c>
      <c r="J17855">
        <v>496.46</v>
      </c>
      <c r="K17855">
        <v>96.09</v>
      </c>
      <c r="L17855">
        <v>13401</v>
      </c>
      <c r="M17855" t="s">
        <v>80</v>
      </c>
      <c r="N17855" t="str">
        <f>"800/521331  "</f>
        <v xml:space="preserve">800/521331  </v>
      </c>
      <c r="O17855">
        <v>230222</v>
      </c>
    </row>
    <row r="17856" spans="1:15" x14ac:dyDescent="0.25">
      <c r="A17856" t="s">
        <v>16</v>
      </c>
      <c r="B17856" t="s">
        <v>3221</v>
      </c>
      <c r="C17856">
        <v>2184</v>
      </c>
      <c r="D17856" t="s">
        <v>3245</v>
      </c>
      <c r="E17856" t="s">
        <v>3246</v>
      </c>
      <c r="F17856">
        <v>400.38</v>
      </c>
      <c r="G17856">
        <v>230214</v>
      </c>
      <c r="H17856">
        <v>4347</v>
      </c>
      <c r="I17856" t="s">
        <v>193</v>
      </c>
      <c r="J17856">
        <v>496.47</v>
      </c>
      <c r="K17856">
        <v>96.09</v>
      </c>
      <c r="L17856">
        <v>13501</v>
      </c>
      <c r="M17856" t="s">
        <v>20</v>
      </c>
      <c r="N17856" t="str">
        <f>"800/521331  "</f>
        <v xml:space="preserve">800/521331  </v>
      </c>
      <c r="O17856">
        <v>230222</v>
      </c>
    </row>
    <row r="17857" spans="1:15" x14ac:dyDescent="0.25">
      <c r="A17857" t="s">
        <v>16</v>
      </c>
      <c r="B17857" t="s">
        <v>3221</v>
      </c>
      <c r="C17857">
        <v>2184</v>
      </c>
      <c r="D17857" t="s">
        <v>3245</v>
      </c>
      <c r="E17857" t="s">
        <v>3246</v>
      </c>
      <c r="F17857">
        <v>400.38</v>
      </c>
      <c r="G17857">
        <v>230214</v>
      </c>
      <c r="H17857">
        <v>4347</v>
      </c>
      <c r="I17857" t="s">
        <v>193</v>
      </c>
      <c r="J17857">
        <v>496.47</v>
      </c>
      <c r="K17857">
        <v>96.09</v>
      </c>
      <c r="L17857">
        <v>17974</v>
      </c>
      <c r="M17857" t="s">
        <v>460</v>
      </c>
      <c r="N17857" t="str">
        <f>"800/521331  "</f>
        <v xml:space="preserve">800/521331  </v>
      </c>
      <c r="O17857">
        <v>230222</v>
      </c>
    </row>
    <row r="17858" spans="1:15" x14ac:dyDescent="0.25">
      <c r="A17858" t="s">
        <v>16</v>
      </c>
      <c r="B17858" t="s">
        <v>3221</v>
      </c>
      <c r="C17858">
        <v>5300</v>
      </c>
      <c r="D17858" t="s">
        <v>1828</v>
      </c>
      <c r="E17858" t="s">
        <v>1829</v>
      </c>
      <c r="F17858">
        <v>344.03</v>
      </c>
      <c r="G17858">
        <v>230413</v>
      </c>
      <c r="H17858">
        <v>4530</v>
      </c>
      <c r="I17858" t="s">
        <v>342</v>
      </c>
      <c r="J17858">
        <v>426.6</v>
      </c>
      <c r="K17858">
        <v>82.57</v>
      </c>
      <c r="L17858">
        <v>17522</v>
      </c>
      <c r="M17858" t="s">
        <v>451</v>
      </c>
      <c r="N17858" t="str">
        <f>"163455      "</f>
        <v xml:space="preserve">163455      </v>
      </c>
      <c r="O17858">
        <v>230420</v>
      </c>
    </row>
    <row r="17859" spans="1:15" x14ac:dyDescent="0.25">
      <c r="A17859" t="s">
        <v>16</v>
      </c>
      <c r="B17859" t="s">
        <v>3221</v>
      </c>
      <c r="C17859">
        <v>5091</v>
      </c>
      <c r="D17859" t="s">
        <v>1791</v>
      </c>
      <c r="E17859" t="s">
        <v>1792</v>
      </c>
      <c r="F17859">
        <v>164.68</v>
      </c>
      <c r="G17859">
        <v>230413</v>
      </c>
      <c r="H17859">
        <v>4534</v>
      </c>
      <c r="I17859" t="s">
        <v>273</v>
      </c>
      <c r="J17859">
        <v>204.2</v>
      </c>
      <c r="K17859">
        <v>39.520000000000003</v>
      </c>
      <c r="L17859">
        <v>17711</v>
      </c>
      <c r="M17859" t="s">
        <v>65</v>
      </c>
      <c r="N17859" t="str">
        <f>"8047        "</f>
        <v xml:space="preserve">8047        </v>
      </c>
      <c r="O17859">
        <v>230418</v>
      </c>
    </row>
    <row r="17860" spans="1:15" x14ac:dyDescent="0.25">
      <c r="A17860" t="s">
        <v>16</v>
      </c>
      <c r="B17860" t="s">
        <v>3221</v>
      </c>
      <c r="C17860">
        <v>8878</v>
      </c>
      <c r="D17860" t="s">
        <v>1791</v>
      </c>
      <c r="E17860" t="s">
        <v>1792</v>
      </c>
      <c r="F17860">
        <v>151.31</v>
      </c>
      <c r="G17860">
        <v>230613</v>
      </c>
      <c r="H17860">
        <v>4534</v>
      </c>
      <c r="I17860" t="s">
        <v>273</v>
      </c>
      <c r="J17860">
        <v>187.62</v>
      </c>
      <c r="K17860">
        <v>36.31</v>
      </c>
      <c r="L17860">
        <v>17711</v>
      </c>
      <c r="M17860" t="s">
        <v>65</v>
      </c>
      <c r="N17860" t="str">
        <f>"8211        "</f>
        <v xml:space="preserve">8211        </v>
      </c>
      <c r="O17860">
        <v>230619</v>
      </c>
    </row>
    <row r="17861" spans="1:15" x14ac:dyDescent="0.25">
      <c r="A17861" t="s">
        <v>16</v>
      </c>
      <c r="B17861" t="s">
        <v>3221</v>
      </c>
      <c r="C17861">
        <v>9819</v>
      </c>
      <c r="D17861" t="s">
        <v>1791</v>
      </c>
      <c r="E17861" t="s">
        <v>1792</v>
      </c>
      <c r="F17861">
        <v>189.63</v>
      </c>
      <c r="G17861">
        <v>230725</v>
      </c>
      <c r="H17861">
        <v>4534</v>
      </c>
      <c r="I17861" t="s">
        <v>273</v>
      </c>
      <c r="J17861">
        <v>235.14</v>
      </c>
      <c r="K17861">
        <v>45.51</v>
      </c>
      <c r="L17861">
        <v>17711</v>
      </c>
      <c r="M17861" t="s">
        <v>65</v>
      </c>
      <c r="N17861" t="str">
        <f>"8356        "</f>
        <v xml:space="preserve">8356        </v>
      </c>
      <c r="O17861">
        <v>230726</v>
      </c>
    </row>
    <row r="17862" spans="1:15" x14ac:dyDescent="0.25">
      <c r="A17862" t="s">
        <v>16</v>
      </c>
      <c r="B17862" t="s">
        <v>3221</v>
      </c>
      <c r="C17862">
        <v>5091</v>
      </c>
      <c r="D17862" t="s">
        <v>1791</v>
      </c>
      <c r="E17862" t="s">
        <v>1792</v>
      </c>
      <c r="F17862">
        <v>289.23</v>
      </c>
      <c r="G17862">
        <v>230413</v>
      </c>
      <c r="H17862">
        <v>4580</v>
      </c>
      <c r="I17862" t="s">
        <v>35</v>
      </c>
      <c r="J17862">
        <v>358.64</v>
      </c>
      <c r="K17862">
        <v>69.41</v>
      </c>
      <c r="L17862">
        <v>17711</v>
      </c>
      <c r="M17862" t="s">
        <v>65</v>
      </c>
      <c r="N17862" t="str">
        <f>"8047        "</f>
        <v xml:space="preserve">8047        </v>
      </c>
      <c r="O17862">
        <v>230418</v>
      </c>
    </row>
    <row r="17863" spans="1:15" x14ac:dyDescent="0.25">
      <c r="A17863" t="s">
        <v>16</v>
      </c>
      <c r="B17863" t="s">
        <v>3221</v>
      </c>
      <c r="C17863">
        <v>19331</v>
      </c>
      <c r="D17863" t="s">
        <v>1791</v>
      </c>
      <c r="E17863" t="s">
        <v>1792</v>
      </c>
      <c r="F17863">
        <v>106.53</v>
      </c>
      <c r="G17863">
        <v>231231</v>
      </c>
      <c r="H17863">
        <v>4600</v>
      </c>
      <c r="I17863" t="s">
        <v>105</v>
      </c>
      <c r="J17863">
        <v>132.1</v>
      </c>
      <c r="K17863">
        <v>25.57</v>
      </c>
      <c r="L17863">
        <v>17711</v>
      </c>
      <c r="M17863" t="s">
        <v>65</v>
      </c>
      <c r="N17863" t="str">
        <f>"8549        "</f>
        <v xml:space="preserve">8549        </v>
      </c>
      <c r="O17863">
        <v>240117</v>
      </c>
    </row>
    <row r="17864" spans="1:15" x14ac:dyDescent="0.25">
      <c r="A17864" t="s">
        <v>16</v>
      </c>
      <c r="B17864" t="s">
        <v>3221</v>
      </c>
      <c r="C17864">
        <v>8878</v>
      </c>
      <c r="D17864" t="s">
        <v>1791</v>
      </c>
      <c r="E17864" t="s">
        <v>1792</v>
      </c>
      <c r="F17864">
        <v>6.77</v>
      </c>
      <c r="G17864">
        <v>230613</v>
      </c>
      <c r="H17864">
        <v>4364</v>
      </c>
      <c r="I17864" t="s">
        <v>296</v>
      </c>
      <c r="J17864">
        <v>8.4</v>
      </c>
      <c r="K17864">
        <v>1.63</v>
      </c>
      <c r="L17864">
        <v>17711</v>
      </c>
      <c r="M17864" t="s">
        <v>65</v>
      </c>
      <c r="N17864" t="str">
        <f>"8211        "</f>
        <v xml:space="preserve">8211        </v>
      </c>
      <c r="O17864">
        <v>230619</v>
      </c>
    </row>
    <row r="17865" spans="1:15" x14ac:dyDescent="0.25">
      <c r="A17865" t="s">
        <v>16</v>
      </c>
      <c r="B17865" t="s">
        <v>3221</v>
      </c>
      <c r="C17865">
        <v>1944</v>
      </c>
      <c r="D17865" t="s">
        <v>1239</v>
      </c>
      <c r="E17865" t="s">
        <v>1240</v>
      </c>
      <c r="F17865">
        <v>272.73</v>
      </c>
      <c r="G17865">
        <v>230214</v>
      </c>
      <c r="H17865">
        <v>4410</v>
      </c>
      <c r="I17865" t="s">
        <v>517</v>
      </c>
      <c r="J17865">
        <v>300</v>
      </c>
      <c r="K17865">
        <v>27.27</v>
      </c>
      <c r="L17865">
        <v>17131</v>
      </c>
      <c r="M17865" t="s">
        <v>64</v>
      </c>
      <c r="N17865" t="str">
        <f>"1016        "</f>
        <v xml:space="preserve">1016        </v>
      </c>
      <c r="O17865">
        <v>230216</v>
      </c>
    </row>
    <row r="17866" spans="1:15" x14ac:dyDescent="0.25">
      <c r="A17866" t="s">
        <v>16</v>
      </c>
      <c r="B17866" t="s">
        <v>3221</v>
      </c>
      <c r="C17866">
        <v>6872</v>
      </c>
      <c r="D17866" t="s">
        <v>1239</v>
      </c>
      <c r="E17866" t="s">
        <v>1240</v>
      </c>
      <c r="F17866">
        <v>272.73</v>
      </c>
      <c r="G17866">
        <v>230516</v>
      </c>
      <c r="H17866">
        <v>4820</v>
      </c>
      <c r="I17866" t="s">
        <v>50</v>
      </c>
      <c r="J17866">
        <v>300</v>
      </c>
      <c r="K17866">
        <v>27.27</v>
      </c>
      <c r="L17866">
        <v>17131</v>
      </c>
      <c r="M17866" t="s">
        <v>64</v>
      </c>
      <c r="N17866" t="str">
        <f>"1379        "</f>
        <v xml:space="preserve">1379        </v>
      </c>
      <c r="O17866">
        <v>230523</v>
      </c>
    </row>
    <row r="17867" spans="1:15" x14ac:dyDescent="0.25">
      <c r="A17867" t="s">
        <v>16</v>
      </c>
      <c r="B17867" t="s">
        <v>3221</v>
      </c>
      <c r="C17867">
        <v>11281</v>
      </c>
      <c r="D17867" t="s">
        <v>1239</v>
      </c>
      <c r="E17867" t="s">
        <v>1240</v>
      </c>
      <c r="F17867">
        <v>93.64</v>
      </c>
      <c r="G17867">
        <v>230817</v>
      </c>
      <c r="H17867">
        <v>4820</v>
      </c>
      <c r="I17867" t="s">
        <v>50</v>
      </c>
      <c r="J17867">
        <v>103</v>
      </c>
      <c r="K17867">
        <v>9.36</v>
      </c>
      <c r="L17867">
        <v>13401</v>
      </c>
      <c r="M17867" t="s">
        <v>80</v>
      </c>
      <c r="N17867" t="str">
        <f>"4644        "</f>
        <v xml:space="preserve">4644        </v>
      </c>
      <c r="O17867">
        <v>230904</v>
      </c>
    </row>
    <row r="17868" spans="1:15" x14ac:dyDescent="0.25">
      <c r="A17868" t="s">
        <v>16</v>
      </c>
      <c r="B17868" t="s">
        <v>3221</v>
      </c>
      <c r="C17868">
        <v>2372</v>
      </c>
      <c r="D17868" t="s">
        <v>1372</v>
      </c>
      <c r="E17868" t="s">
        <v>1373</v>
      </c>
      <c r="F17868">
        <v>435</v>
      </c>
      <c r="G17868">
        <v>230221</v>
      </c>
      <c r="H17868">
        <v>4384</v>
      </c>
      <c r="I17868" t="s">
        <v>1374</v>
      </c>
      <c r="J17868">
        <v>539.4</v>
      </c>
      <c r="K17868">
        <v>104.4</v>
      </c>
      <c r="L17868">
        <v>17737</v>
      </c>
      <c r="M17868" t="s">
        <v>279</v>
      </c>
      <c r="N17868" t="str">
        <f>"3023622     "</f>
        <v xml:space="preserve">3023622     </v>
      </c>
      <c r="O17868">
        <v>230224</v>
      </c>
    </row>
    <row r="17869" spans="1:15" x14ac:dyDescent="0.25">
      <c r="A17869" t="s">
        <v>16</v>
      </c>
      <c r="B17869" t="s">
        <v>3221</v>
      </c>
      <c r="C17869">
        <v>3972</v>
      </c>
      <c r="D17869" t="s">
        <v>1372</v>
      </c>
      <c r="E17869" t="s">
        <v>1373</v>
      </c>
      <c r="F17869">
        <v>84.9</v>
      </c>
      <c r="G17869">
        <v>230327</v>
      </c>
      <c r="H17869">
        <v>4384</v>
      </c>
      <c r="I17869" t="s">
        <v>1374</v>
      </c>
      <c r="J17869">
        <v>105.28</v>
      </c>
      <c r="K17869">
        <v>20.38</v>
      </c>
      <c r="L17869">
        <v>17737</v>
      </c>
      <c r="M17869" t="s">
        <v>279</v>
      </c>
      <c r="N17869" t="str">
        <f>"30231108    "</f>
        <v xml:space="preserve">30231108    </v>
      </c>
      <c r="O17869">
        <v>230328</v>
      </c>
    </row>
    <row r="17870" spans="1:15" x14ac:dyDescent="0.25">
      <c r="A17870" t="s">
        <v>16</v>
      </c>
      <c r="B17870" t="s">
        <v>3221</v>
      </c>
      <c r="C17870">
        <v>9000</v>
      </c>
      <c r="D17870" t="s">
        <v>1372</v>
      </c>
      <c r="E17870" t="s">
        <v>1373</v>
      </c>
      <c r="F17870">
        <v>100</v>
      </c>
      <c r="G17870">
        <v>230616</v>
      </c>
      <c r="H17870">
        <v>4384</v>
      </c>
      <c r="I17870" t="s">
        <v>1374</v>
      </c>
      <c r="J17870">
        <v>124</v>
      </c>
      <c r="K17870">
        <v>24</v>
      </c>
      <c r="L17870">
        <v>17737</v>
      </c>
      <c r="M17870" t="s">
        <v>279</v>
      </c>
      <c r="N17870" t="str">
        <f>"30232108    "</f>
        <v xml:space="preserve">30232108    </v>
      </c>
      <c r="O17870">
        <v>230620</v>
      </c>
    </row>
    <row r="17871" spans="1:15" x14ac:dyDescent="0.25">
      <c r="A17871" t="s">
        <v>16</v>
      </c>
      <c r="B17871" t="s">
        <v>3221</v>
      </c>
      <c r="C17871">
        <v>15197</v>
      </c>
      <c r="D17871" t="s">
        <v>1372</v>
      </c>
      <c r="E17871" t="s">
        <v>1373</v>
      </c>
      <c r="F17871">
        <v>761</v>
      </c>
      <c r="G17871">
        <v>231030</v>
      </c>
      <c r="H17871">
        <v>4384</v>
      </c>
      <c r="I17871" t="s">
        <v>1374</v>
      </c>
      <c r="J17871">
        <v>943.64</v>
      </c>
      <c r="K17871">
        <v>182.64</v>
      </c>
      <c r="L17871">
        <v>17737</v>
      </c>
      <c r="M17871" t="s">
        <v>279</v>
      </c>
      <c r="N17871" t="str">
        <f>"30233514    "</f>
        <v xml:space="preserve">30233514    </v>
      </c>
      <c r="O17871">
        <v>231109</v>
      </c>
    </row>
    <row r="17872" spans="1:15" x14ac:dyDescent="0.25">
      <c r="A17872" t="s">
        <v>16</v>
      </c>
      <c r="B17872" t="s">
        <v>3221</v>
      </c>
      <c r="C17872">
        <v>17104</v>
      </c>
      <c r="D17872" t="s">
        <v>1372</v>
      </c>
      <c r="E17872" t="s">
        <v>1373</v>
      </c>
      <c r="F17872">
        <v>8</v>
      </c>
      <c r="G17872">
        <v>231204</v>
      </c>
      <c r="H17872">
        <v>4384</v>
      </c>
      <c r="I17872" t="s">
        <v>1374</v>
      </c>
      <c r="J17872">
        <v>9.92</v>
      </c>
      <c r="K17872">
        <v>1.92</v>
      </c>
      <c r="L17872">
        <v>17737</v>
      </c>
      <c r="M17872" t="s">
        <v>279</v>
      </c>
      <c r="N17872" t="str">
        <f>"30233950    "</f>
        <v xml:space="preserve">30233950    </v>
      </c>
      <c r="O17872">
        <v>231212</v>
      </c>
    </row>
    <row r="17873" spans="1:15" x14ac:dyDescent="0.25">
      <c r="A17873" t="s">
        <v>16</v>
      </c>
      <c r="B17873" t="s">
        <v>3221</v>
      </c>
      <c r="C17873">
        <v>14331</v>
      </c>
      <c r="D17873" t="s">
        <v>690</v>
      </c>
      <c r="E17873" t="s">
        <v>691</v>
      </c>
      <c r="F17873">
        <v>48.39</v>
      </c>
      <c r="G17873">
        <v>231011</v>
      </c>
      <c r="H17873">
        <v>4580</v>
      </c>
      <c r="I17873" t="s">
        <v>35</v>
      </c>
      <c r="J17873">
        <v>60</v>
      </c>
      <c r="K17873">
        <v>11.61</v>
      </c>
      <c r="L17873">
        <v>17521</v>
      </c>
      <c r="M17873" t="s">
        <v>133</v>
      </c>
      <c r="N17873" t="str">
        <f>"666         "</f>
        <v xml:space="preserve">666         </v>
      </c>
      <c r="O17873">
        <v>231027</v>
      </c>
    </row>
    <row r="17874" spans="1:15" x14ac:dyDescent="0.25">
      <c r="A17874" t="s">
        <v>16</v>
      </c>
      <c r="B17874" t="s">
        <v>3221</v>
      </c>
      <c r="C17874">
        <v>697</v>
      </c>
      <c r="D17874" t="s">
        <v>690</v>
      </c>
      <c r="E17874" t="s">
        <v>691</v>
      </c>
      <c r="F17874">
        <v>75.81</v>
      </c>
      <c r="G17874">
        <v>230125</v>
      </c>
      <c r="H17874">
        <v>4600</v>
      </c>
      <c r="I17874" t="s">
        <v>105</v>
      </c>
      <c r="J17874">
        <v>94</v>
      </c>
      <c r="K17874">
        <v>18.190000000000001</v>
      </c>
      <c r="L17874">
        <v>17525</v>
      </c>
      <c r="M17874" t="s">
        <v>135</v>
      </c>
      <c r="N17874" t="str">
        <f>"409         "</f>
        <v xml:space="preserve">409         </v>
      </c>
      <c r="O17874">
        <v>230127</v>
      </c>
    </row>
    <row r="17875" spans="1:15" x14ac:dyDescent="0.25">
      <c r="A17875" t="s">
        <v>16</v>
      </c>
      <c r="B17875" t="s">
        <v>3221</v>
      </c>
      <c r="C17875">
        <v>3031</v>
      </c>
      <c r="D17875" t="s">
        <v>690</v>
      </c>
      <c r="E17875" t="s">
        <v>691</v>
      </c>
      <c r="F17875">
        <v>39.520000000000003</v>
      </c>
      <c r="G17875">
        <v>230224</v>
      </c>
      <c r="H17875">
        <v>4600</v>
      </c>
      <c r="I17875" t="s">
        <v>105</v>
      </c>
      <c r="J17875">
        <v>49</v>
      </c>
      <c r="K17875">
        <v>9.48</v>
      </c>
      <c r="L17875">
        <v>17523</v>
      </c>
      <c r="M17875" t="s">
        <v>134</v>
      </c>
      <c r="N17875" t="str">
        <f>"445         "</f>
        <v xml:space="preserve">445         </v>
      </c>
      <c r="O17875">
        <v>230308</v>
      </c>
    </row>
    <row r="17876" spans="1:15" x14ac:dyDescent="0.25">
      <c r="A17876" t="s">
        <v>16</v>
      </c>
      <c r="B17876" t="s">
        <v>3221</v>
      </c>
      <c r="C17876">
        <v>10627</v>
      </c>
      <c r="D17876" t="s">
        <v>690</v>
      </c>
      <c r="E17876" t="s">
        <v>691</v>
      </c>
      <c r="F17876">
        <v>173.15</v>
      </c>
      <c r="G17876">
        <v>230815</v>
      </c>
      <c r="H17876">
        <v>4600</v>
      </c>
      <c r="I17876" t="s">
        <v>105</v>
      </c>
      <c r="J17876">
        <v>214.7</v>
      </c>
      <c r="K17876">
        <v>41.55</v>
      </c>
      <c r="L17876">
        <v>17524</v>
      </c>
      <c r="M17876" t="s">
        <v>452</v>
      </c>
      <c r="N17876" t="str">
        <f>"597         "</f>
        <v xml:space="preserve">597         </v>
      </c>
      <c r="O17876">
        <v>230821</v>
      </c>
    </row>
    <row r="17877" spans="1:15" x14ac:dyDescent="0.25">
      <c r="A17877" t="s">
        <v>16</v>
      </c>
      <c r="B17877" t="s">
        <v>3221</v>
      </c>
      <c r="C17877">
        <v>11264</v>
      </c>
      <c r="D17877" t="s">
        <v>690</v>
      </c>
      <c r="E17877" t="s">
        <v>691</v>
      </c>
      <c r="F17877">
        <v>101.85</v>
      </c>
      <c r="G17877">
        <v>230824</v>
      </c>
      <c r="H17877">
        <v>4600</v>
      </c>
      <c r="I17877" t="s">
        <v>105</v>
      </c>
      <c r="J17877">
        <v>126.29</v>
      </c>
      <c r="K17877">
        <v>24.44</v>
      </c>
      <c r="L17877">
        <v>17525</v>
      </c>
      <c r="M17877" t="s">
        <v>135</v>
      </c>
      <c r="N17877" t="str">
        <f>"616         "</f>
        <v xml:space="preserve">616         </v>
      </c>
      <c r="O17877">
        <v>230904</v>
      </c>
    </row>
    <row r="17878" spans="1:15" x14ac:dyDescent="0.25">
      <c r="A17878" t="s">
        <v>16</v>
      </c>
      <c r="B17878" t="s">
        <v>3221</v>
      </c>
      <c r="C17878">
        <v>11264</v>
      </c>
      <c r="D17878" t="s">
        <v>690</v>
      </c>
      <c r="E17878" t="s">
        <v>691</v>
      </c>
      <c r="F17878">
        <v>251.3</v>
      </c>
      <c r="G17878">
        <v>230824</v>
      </c>
      <c r="H17878">
        <v>4600</v>
      </c>
      <c r="I17878" t="s">
        <v>105</v>
      </c>
      <c r="J17878">
        <v>311.61</v>
      </c>
      <c r="K17878">
        <v>60.31</v>
      </c>
      <c r="L17878">
        <v>17529</v>
      </c>
      <c r="M17878" t="s">
        <v>453</v>
      </c>
      <c r="N17878" t="str">
        <f>"616         "</f>
        <v xml:space="preserve">616         </v>
      </c>
      <c r="O17878">
        <v>230904</v>
      </c>
    </row>
    <row r="17879" spans="1:15" x14ac:dyDescent="0.25">
      <c r="A17879" t="s">
        <v>16</v>
      </c>
      <c r="B17879" t="s">
        <v>3221</v>
      </c>
      <c r="C17879">
        <v>14303</v>
      </c>
      <c r="D17879" t="s">
        <v>690</v>
      </c>
      <c r="E17879" t="s">
        <v>691</v>
      </c>
      <c r="F17879">
        <v>14.52</v>
      </c>
      <c r="G17879">
        <v>231011</v>
      </c>
      <c r="H17879">
        <v>4600</v>
      </c>
      <c r="I17879" t="s">
        <v>105</v>
      </c>
      <c r="J17879">
        <v>18</v>
      </c>
      <c r="K17879">
        <v>3.48</v>
      </c>
      <c r="L17879">
        <v>17638</v>
      </c>
      <c r="M17879" t="s">
        <v>765</v>
      </c>
      <c r="N17879" t="str">
        <f>"669         "</f>
        <v xml:space="preserve">669         </v>
      </c>
      <c r="O17879">
        <v>231026</v>
      </c>
    </row>
    <row r="17880" spans="1:15" x14ac:dyDescent="0.25">
      <c r="A17880" t="s">
        <v>16</v>
      </c>
      <c r="B17880" t="s">
        <v>3221</v>
      </c>
      <c r="C17880">
        <v>15645</v>
      </c>
      <c r="D17880" t="s">
        <v>690</v>
      </c>
      <c r="E17880" t="s">
        <v>691</v>
      </c>
      <c r="F17880">
        <v>60.48</v>
      </c>
      <c r="G17880">
        <v>231107</v>
      </c>
      <c r="H17880">
        <v>4600</v>
      </c>
      <c r="I17880" t="s">
        <v>105</v>
      </c>
      <c r="J17880">
        <v>75</v>
      </c>
      <c r="K17880">
        <v>14.52</v>
      </c>
      <c r="L17880">
        <v>17526</v>
      </c>
      <c r="M17880" t="s">
        <v>437</v>
      </c>
      <c r="N17880" t="str">
        <f>"697         "</f>
        <v xml:space="preserve">697         </v>
      </c>
      <c r="O17880">
        <v>231116</v>
      </c>
    </row>
    <row r="17881" spans="1:15" x14ac:dyDescent="0.25">
      <c r="A17881" t="s">
        <v>16</v>
      </c>
      <c r="B17881" t="s">
        <v>3221</v>
      </c>
      <c r="C17881">
        <v>17989</v>
      </c>
      <c r="D17881" t="s">
        <v>690</v>
      </c>
      <c r="E17881" t="s">
        <v>691</v>
      </c>
      <c r="F17881">
        <v>121.77</v>
      </c>
      <c r="G17881">
        <v>231222</v>
      </c>
      <c r="H17881">
        <v>4600</v>
      </c>
      <c r="I17881" t="s">
        <v>105</v>
      </c>
      <c r="J17881">
        <v>151</v>
      </c>
      <c r="K17881">
        <v>29.23</v>
      </c>
      <c r="L17881">
        <v>17950</v>
      </c>
      <c r="M17881" t="s">
        <v>86</v>
      </c>
      <c r="N17881" t="str">
        <f>"754         "</f>
        <v xml:space="preserve">754         </v>
      </c>
      <c r="O17881">
        <v>231228</v>
      </c>
    </row>
    <row r="17882" spans="1:15" x14ac:dyDescent="0.25">
      <c r="A17882" t="s">
        <v>16</v>
      </c>
      <c r="B17882" t="s">
        <v>3221</v>
      </c>
      <c r="C17882">
        <v>18079</v>
      </c>
      <c r="D17882" t="s">
        <v>690</v>
      </c>
      <c r="E17882" t="s">
        <v>691</v>
      </c>
      <c r="F17882">
        <v>79.03</v>
      </c>
      <c r="G17882">
        <v>231222</v>
      </c>
      <c r="H17882">
        <v>4600</v>
      </c>
      <c r="I17882" t="s">
        <v>105</v>
      </c>
      <c r="J17882">
        <v>98</v>
      </c>
      <c r="K17882">
        <v>18.97</v>
      </c>
      <c r="L17882">
        <v>17527</v>
      </c>
      <c r="M17882" t="s">
        <v>422</v>
      </c>
      <c r="N17882" t="str">
        <f>"755         "</f>
        <v xml:space="preserve">755         </v>
      </c>
      <c r="O17882">
        <v>240102</v>
      </c>
    </row>
    <row r="17883" spans="1:15" x14ac:dyDescent="0.25">
      <c r="A17883" t="s">
        <v>16</v>
      </c>
      <c r="B17883" t="s">
        <v>3221</v>
      </c>
      <c r="C17883">
        <v>3031</v>
      </c>
      <c r="D17883" t="s">
        <v>690</v>
      </c>
      <c r="E17883" t="s">
        <v>691</v>
      </c>
      <c r="F17883">
        <v>386.29</v>
      </c>
      <c r="G17883">
        <v>230224</v>
      </c>
      <c r="H17883">
        <v>4590</v>
      </c>
      <c r="I17883" t="s">
        <v>203</v>
      </c>
      <c r="J17883">
        <v>479</v>
      </c>
      <c r="K17883">
        <v>92.71</v>
      </c>
      <c r="L17883">
        <v>17538</v>
      </c>
      <c r="M17883" t="s">
        <v>24</v>
      </c>
      <c r="N17883" t="str">
        <f>"445         "</f>
        <v xml:space="preserve">445         </v>
      </c>
      <c r="O17883">
        <v>230308</v>
      </c>
    </row>
    <row r="17884" spans="1:15" x14ac:dyDescent="0.25">
      <c r="A17884" t="s">
        <v>16</v>
      </c>
      <c r="B17884" t="s">
        <v>3221</v>
      </c>
      <c r="C17884">
        <v>4283</v>
      </c>
      <c r="D17884" t="s">
        <v>1683</v>
      </c>
      <c r="E17884" t="s">
        <v>1684</v>
      </c>
      <c r="F17884">
        <v>420</v>
      </c>
      <c r="G17884">
        <v>230329</v>
      </c>
      <c r="H17884">
        <v>4470</v>
      </c>
      <c r="I17884" t="s">
        <v>83</v>
      </c>
      <c r="J17884">
        <v>462</v>
      </c>
      <c r="K17884">
        <v>42</v>
      </c>
      <c r="L17884">
        <v>49807</v>
      </c>
      <c r="M17884" t="s">
        <v>914</v>
      </c>
      <c r="N17884" t="str">
        <f>"6123030039  "</f>
        <v xml:space="preserve">6123030039  </v>
      </c>
      <c r="O17884">
        <v>230404</v>
      </c>
    </row>
    <row r="17885" spans="1:15" x14ac:dyDescent="0.25">
      <c r="A17885" t="s">
        <v>16</v>
      </c>
      <c r="B17885" t="s">
        <v>3221</v>
      </c>
      <c r="C17885">
        <v>12819</v>
      </c>
      <c r="D17885" t="s">
        <v>1683</v>
      </c>
      <c r="E17885" t="s">
        <v>1684</v>
      </c>
      <c r="F17885">
        <v>350</v>
      </c>
      <c r="G17885">
        <v>230922</v>
      </c>
      <c r="H17885">
        <v>4470</v>
      </c>
      <c r="I17885" t="s">
        <v>83</v>
      </c>
      <c r="J17885">
        <v>385</v>
      </c>
      <c r="K17885">
        <v>35</v>
      </c>
      <c r="L17885">
        <v>49807</v>
      </c>
      <c r="M17885" t="s">
        <v>914</v>
      </c>
      <c r="N17885" t="str">
        <f>"6123090039  "</f>
        <v xml:space="preserve">6123090039  </v>
      </c>
      <c r="O17885">
        <v>230926</v>
      </c>
    </row>
    <row r="17886" spans="1:15" x14ac:dyDescent="0.25">
      <c r="A17886" t="s">
        <v>16</v>
      </c>
      <c r="B17886" t="s">
        <v>3221</v>
      </c>
      <c r="C17886">
        <v>15123</v>
      </c>
      <c r="D17886" t="s">
        <v>1683</v>
      </c>
      <c r="E17886" t="s">
        <v>1684</v>
      </c>
      <c r="F17886">
        <v>210</v>
      </c>
      <c r="G17886">
        <v>231102</v>
      </c>
      <c r="H17886">
        <v>4470</v>
      </c>
      <c r="I17886" t="s">
        <v>83</v>
      </c>
      <c r="J17886">
        <v>231</v>
      </c>
      <c r="K17886">
        <v>21</v>
      </c>
      <c r="L17886">
        <v>49807</v>
      </c>
      <c r="M17886" t="s">
        <v>914</v>
      </c>
      <c r="N17886" t="str">
        <f>"6123110009  "</f>
        <v xml:space="preserve">6123110009  </v>
      </c>
      <c r="O17886">
        <v>231109</v>
      </c>
    </row>
    <row r="17887" spans="1:15" x14ac:dyDescent="0.25">
      <c r="A17887" t="s">
        <v>16</v>
      </c>
      <c r="B17887" t="s">
        <v>3221</v>
      </c>
      <c r="C17887">
        <v>7662</v>
      </c>
      <c r="D17887" t="s">
        <v>2110</v>
      </c>
      <c r="E17887" t="s">
        <v>2111</v>
      </c>
      <c r="F17887">
        <v>544.94000000000005</v>
      </c>
      <c r="G17887">
        <v>230515</v>
      </c>
      <c r="H17887">
        <v>4600</v>
      </c>
      <c r="I17887" t="s">
        <v>105</v>
      </c>
      <c r="J17887">
        <v>675.73</v>
      </c>
      <c r="K17887">
        <v>130.79</v>
      </c>
      <c r="L17887">
        <v>17530</v>
      </c>
      <c r="M17887" t="s">
        <v>454</v>
      </c>
      <c r="N17887" t="str">
        <f>"381287      "</f>
        <v xml:space="preserve">381287      </v>
      </c>
      <c r="O17887">
        <v>230601</v>
      </c>
    </row>
    <row r="17888" spans="1:15" x14ac:dyDescent="0.25">
      <c r="A17888" t="s">
        <v>16</v>
      </c>
      <c r="B17888" t="s">
        <v>3221</v>
      </c>
      <c r="C17888">
        <v>7662</v>
      </c>
      <c r="D17888" t="s">
        <v>2110</v>
      </c>
      <c r="E17888" t="s">
        <v>2111</v>
      </c>
      <c r="F17888">
        <v>362.99</v>
      </c>
      <c r="G17888">
        <v>230515</v>
      </c>
      <c r="H17888">
        <v>4600</v>
      </c>
      <c r="I17888" t="s">
        <v>105</v>
      </c>
      <c r="J17888">
        <v>450.11</v>
      </c>
      <c r="K17888">
        <v>87.12</v>
      </c>
      <c r="L17888">
        <v>17538</v>
      </c>
      <c r="M17888" t="s">
        <v>24</v>
      </c>
      <c r="N17888" t="str">
        <f>"381287      "</f>
        <v xml:space="preserve">381287      </v>
      </c>
      <c r="O17888">
        <v>230601</v>
      </c>
    </row>
    <row r="17889" spans="1:15" x14ac:dyDescent="0.25">
      <c r="A17889" t="s">
        <v>16</v>
      </c>
      <c r="B17889" t="s">
        <v>3221</v>
      </c>
      <c r="C17889">
        <v>7662</v>
      </c>
      <c r="D17889" t="s">
        <v>2110</v>
      </c>
      <c r="E17889" t="s">
        <v>2111</v>
      </c>
      <c r="F17889">
        <v>35.700000000000003</v>
      </c>
      <c r="G17889">
        <v>230515</v>
      </c>
      <c r="H17889">
        <v>4364</v>
      </c>
      <c r="I17889" t="s">
        <v>296</v>
      </c>
      <c r="J17889">
        <v>44.27</v>
      </c>
      <c r="K17889">
        <v>8.57</v>
      </c>
      <c r="L17889">
        <v>17530</v>
      </c>
      <c r="M17889" t="s">
        <v>454</v>
      </c>
      <c r="N17889" t="str">
        <f>"381287      "</f>
        <v xml:space="preserve">381287      </v>
      </c>
      <c r="O17889">
        <v>230601</v>
      </c>
    </row>
    <row r="17890" spans="1:15" x14ac:dyDescent="0.25">
      <c r="A17890" t="s">
        <v>16</v>
      </c>
      <c r="B17890" t="s">
        <v>3221</v>
      </c>
      <c r="C17890">
        <v>17500</v>
      </c>
      <c r="D17890" t="s">
        <v>2110</v>
      </c>
      <c r="E17890" t="s">
        <v>2111</v>
      </c>
      <c r="F17890">
        <v>35.700000000000003</v>
      </c>
      <c r="G17890">
        <v>231211</v>
      </c>
      <c r="H17890">
        <v>4364</v>
      </c>
      <c r="I17890" t="s">
        <v>296</v>
      </c>
      <c r="J17890">
        <v>44.27</v>
      </c>
      <c r="K17890">
        <v>8.57</v>
      </c>
      <c r="L17890">
        <v>17538</v>
      </c>
      <c r="M17890" t="s">
        <v>24</v>
      </c>
      <c r="N17890" t="str">
        <f>"386834      "</f>
        <v xml:space="preserve">386834      </v>
      </c>
      <c r="O17890">
        <v>231214</v>
      </c>
    </row>
    <row r="17891" spans="1:15" x14ac:dyDescent="0.25">
      <c r="A17891" t="s">
        <v>16</v>
      </c>
      <c r="B17891" t="s">
        <v>3221</v>
      </c>
      <c r="C17891">
        <v>13858</v>
      </c>
      <c r="D17891" t="s">
        <v>2110</v>
      </c>
      <c r="E17891" t="s">
        <v>2111</v>
      </c>
      <c r="F17891">
        <v>665.56</v>
      </c>
      <c r="G17891">
        <v>231003</v>
      </c>
      <c r="H17891">
        <v>4500</v>
      </c>
      <c r="I17891" t="s">
        <v>212</v>
      </c>
      <c r="J17891">
        <v>825.29</v>
      </c>
      <c r="K17891">
        <v>159.72999999999999</v>
      </c>
      <c r="L17891">
        <v>17538</v>
      </c>
      <c r="M17891" t="s">
        <v>24</v>
      </c>
      <c r="N17891" t="str">
        <f>"385099      "</f>
        <v xml:space="preserve">385099      </v>
      </c>
      <c r="O17891">
        <v>231016</v>
      </c>
    </row>
    <row r="17892" spans="1:15" x14ac:dyDescent="0.25">
      <c r="A17892" t="s">
        <v>16</v>
      </c>
      <c r="B17892" t="s">
        <v>3221</v>
      </c>
      <c r="C17892">
        <v>17500</v>
      </c>
      <c r="D17892" t="s">
        <v>2110</v>
      </c>
      <c r="E17892" t="s">
        <v>2111</v>
      </c>
      <c r="F17892">
        <v>1071.3699999999999</v>
      </c>
      <c r="G17892">
        <v>231211</v>
      </c>
      <c r="H17892">
        <v>4500</v>
      </c>
      <c r="I17892" t="s">
        <v>212</v>
      </c>
      <c r="J17892">
        <v>1328.5</v>
      </c>
      <c r="K17892">
        <v>257.13</v>
      </c>
      <c r="L17892">
        <v>17538</v>
      </c>
      <c r="M17892" t="s">
        <v>24</v>
      </c>
      <c r="N17892" t="str">
        <f>"386834      "</f>
        <v xml:space="preserve">386834      </v>
      </c>
      <c r="O17892">
        <v>231214</v>
      </c>
    </row>
    <row r="17893" spans="1:15" x14ac:dyDescent="0.25">
      <c r="A17893" t="s">
        <v>16</v>
      </c>
      <c r="B17893" t="s">
        <v>3221</v>
      </c>
      <c r="C17893">
        <v>19239</v>
      </c>
      <c r="D17893" t="s">
        <v>3170</v>
      </c>
      <c r="E17893" t="s">
        <v>3171</v>
      </c>
      <c r="F17893">
        <v>19143.27</v>
      </c>
      <c r="G17893">
        <v>231231</v>
      </c>
      <c r="H17893">
        <v>1196</v>
      </c>
      <c r="I17893" t="s">
        <v>392</v>
      </c>
      <c r="J17893">
        <v>23737.65</v>
      </c>
      <c r="K17893">
        <v>4594.38</v>
      </c>
      <c r="L17893">
        <v>97604</v>
      </c>
      <c r="M17893" t="s">
        <v>2687</v>
      </c>
      <c r="N17893" t="str">
        <f>"10610       "</f>
        <v xml:space="preserve">10610       </v>
      </c>
      <c r="O17893">
        <v>240115</v>
      </c>
    </row>
    <row r="17894" spans="1:15" x14ac:dyDescent="0.25">
      <c r="A17894" t="s">
        <v>16</v>
      </c>
      <c r="B17894" t="s">
        <v>3221</v>
      </c>
      <c r="C17894">
        <v>19240</v>
      </c>
      <c r="D17894" t="s">
        <v>3170</v>
      </c>
      <c r="E17894" t="s">
        <v>3171</v>
      </c>
      <c r="F17894">
        <v>6359.72</v>
      </c>
      <c r="G17894">
        <v>231231</v>
      </c>
      <c r="H17894">
        <v>1196</v>
      </c>
      <c r="I17894" t="s">
        <v>392</v>
      </c>
      <c r="J17894">
        <v>7886.05</v>
      </c>
      <c r="K17894">
        <v>1526.33</v>
      </c>
      <c r="L17894">
        <v>97604</v>
      </c>
      <c r="M17894" t="s">
        <v>2687</v>
      </c>
      <c r="N17894" t="str">
        <f>"10609       "</f>
        <v xml:space="preserve">10609       </v>
      </c>
      <c r="O17894">
        <v>240115</v>
      </c>
    </row>
    <row r="17895" spans="1:15" x14ac:dyDescent="0.25">
      <c r="A17895" t="s">
        <v>16</v>
      </c>
      <c r="B17895" t="s">
        <v>3221</v>
      </c>
      <c r="C17895">
        <v>9019</v>
      </c>
      <c r="D17895" t="s">
        <v>2239</v>
      </c>
      <c r="E17895" t="s">
        <v>2240</v>
      </c>
      <c r="F17895">
        <v>1110.23</v>
      </c>
      <c r="G17895">
        <v>230619</v>
      </c>
      <c r="H17895">
        <v>4600</v>
      </c>
      <c r="I17895" t="s">
        <v>105</v>
      </c>
      <c r="J17895">
        <v>1376.68</v>
      </c>
      <c r="K17895">
        <v>266.45</v>
      </c>
      <c r="L17895">
        <v>44422</v>
      </c>
      <c r="M17895" t="s">
        <v>482</v>
      </c>
      <c r="N17895" t="str">
        <f>"23000137    "</f>
        <v xml:space="preserve">23000137    </v>
      </c>
      <c r="O17895">
        <v>230621</v>
      </c>
    </row>
    <row r="17896" spans="1:15" x14ac:dyDescent="0.25">
      <c r="A17896" t="s">
        <v>16</v>
      </c>
      <c r="B17896" t="s">
        <v>3221</v>
      </c>
      <c r="C17896">
        <v>10481</v>
      </c>
      <c r="D17896" t="s">
        <v>2239</v>
      </c>
      <c r="E17896" t="s">
        <v>2240</v>
      </c>
      <c r="F17896">
        <v>577.86</v>
      </c>
      <c r="G17896">
        <v>230814</v>
      </c>
      <c r="H17896">
        <v>4600</v>
      </c>
      <c r="I17896" t="s">
        <v>105</v>
      </c>
      <c r="J17896">
        <v>716.55</v>
      </c>
      <c r="K17896">
        <v>138.69</v>
      </c>
      <c r="L17896">
        <v>54222</v>
      </c>
      <c r="M17896" t="s">
        <v>308</v>
      </c>
      <c r="N17896" t="str">
        <f>"23000183    "</f>
        <v xml:space="preserve">23000183    </v>
      </c>
      <c r="O17896">
        <v>230817</v>
      </c>
    </row>
    <row r="17897" spans="1:15" x14ac:dyDescent="0.25">
      <c r="A17897" t="s">
        <v>16</v>
      </c>
      <c r="B17897" t="s">
        <v>3221</v>
      </c>
      <c r="C17897">
        <v>10482</v>
      </c>
      <c r="D17897" t="s">
        <v>2239</v>
      </c>
      <c r="E17897" t="s">
        <v>2240</v>
      </c>
      <c r="F17897">
        <v>7455.19</v>
      </c>
      <c r="G17897">
        <v>230814</v>
      </c>
      <c r="H17897">
        <v>4600</v>
      </c>
      <c r="I17897" t="s">
        <v>105</v>
      </c>
      <c r="J17897">
        <v>9244.43</v>
      </c>
      <c r="K17897">
        <v>1789.24</v>
      </c>
      <c r="L17897">
        <v>54222</v>
      </c>
      <c r="M17897" t="s">
        <v>308</v>
      </c>
      <c r="N17897" t="str">
        <f>"23000182    "</f>
        <v xml:space="preserve">23000182    </v>
      </c>
      <c r="O17897">
        <v>230817</v>
      </c>
    </row>
    <row r="17898" spans="1:15" x14ac:dyDescent="0.25">
      <c r="A17898" t="s">
        <v>16</v>
      </c>
      <c r="B17898" t="s">
        <v>3221</v>
      </c>
      <c r="C17898">
        <v>11799</v>
      </c>
      <c r="D17898" t="s">
        <v>2239</v>
      </c>
      <c r="E17898" t="s">
        <v>2240</v>
      </c>
      <c r="F17898">
        <v>84.39</v>
      </c>
      <c r="G17898">
        <v>230901</v>
      </c>
      <c r="H17898">
        <v>4600</v>
      </c>
      <c r="I17898" t="s">
        <v>105</v>
      </c>
      <c r="J17898">
        <v>104.64</v>
      </c>
      <c r="K17898">
        <v>20.25</v>
      </c>
      <c r="L17898">
        <v>54222</v>
      </c>
      <c r="M17898" t="s">
        <v>308</v>
      </c>
      <c r="N17898" t="str">
        <f>"23000212    "</f>
        <v xml:space="preserve">23000212    </v>
      </c>
      <c r="O17898">
        <v>230911</v>
      </c>
    </row>
    <row r="17899" spans="1:15" x14ac:dyDescent="0.25">
      <c r="A17899" t="s">
        <v>16</v>
      </c>
      <c r="B17899" t="s">
        <v>3221</v>
      </c>
      <c r="C17899">
        <v>11799</v>
      </c>
      <c r="D17899" t="s">
        <v>2239</v>
      </c>
      <c r="E17899" t="s">
        <v>2240</v>
      </c>
      <c r="F17899">
        <v>84.39</v>
      </c>
      <c r="G17899">
        <v>230901</v>
      </c>
      <c r="H17899">
        <v>4600</v>
      </c>
      <c r="I17899" t="s">
        <v>105</v>
      </c>
      <c r="J17899">
        <v>104.64</v>
      </c>
      <c r="K17899">
        <v>20.25</v>
      </c>
      <c r="L17899">
        <v>54251</v>
      </c>
      <c r="M17899" t="s">
        <v>309</v>
      </c>
      <c r="N17899" t="str">
        <f>"23000212    "</f>
        <v xml:space="preserve">23000212    </v>
      </c>
      <c r="O17899">
        <v>230911</v>
      </c>
    </row>
    <row r="17900" spans="1:15" x14ac:dyDescent="0.25">
      <c r="A17900" t="s">
        <v>16</v>
      </c>
      <c r="B17900" t="s">
        <v>3221</v>
      </c>
      <c r="C17900">
        <v>12151</v>
      </c>
      <c r="D17900" t="s">
        <v>2239</v>
      </c>
      <c r="E17900" t="s">
        <v>2240</v>
      </c>
      <c r="F17900">
        <v>79.94</v>
      </c>
      <c r="G17900">
        <v>230831</v>
      </c>
      <c r="H17900">
        <v>4600</v>
      </c>
      <c r="I17900" t="s">
        <v>105</v>
      </c>
      <c r="J17900">
        <v>99.12</v>
      </c>
      <c r="K17900">
        <v>19.18</v>
      </c>
      <c r="L17900">
        <v>44422</v>
      </c>
      <c r="M17900" t="s">
        <v>482</v>
      </c>
      <c r="N17900" t="str">
        <f>"23000206    "</f>
        <v xml:space="preserve">23000206    </v>
      </c>
      <c r="O17900">
        <v>230914</v>
      </c>
    </row>
    <row r="17901" spans="1:15" x14ac:dyDescent="0.25">
      <c r="A17901" t="s">
        <v>16</v>
      </c>
      <c r="B17901" t="s">
        <v>3221</v>
      </c>
      <c r="C17901">
        <v>268</v>
      </c>
      <c r="D17901" t="s">
        <v>394</v>
      </c>
      <c r="E17901" t="s">
        <v>395</v>
      </c>
      <c r="F17901">
        <v>1133</v>
      </c>
      <c r="G17901">
        <v>230116</v>
      </c>
      <c r="H17901">
        <v>4380</v>
      </c>
      <c r="I17901" t="s">
        <v>113</v>
      </c>
      <c r="J17901">
        <v>1404.92</v>
      </c>
      <c r="K17901">
        <v>271.92</v>
      </c>
      <c r="L17901">
        <v>13841</v>
      </c>
      <c r="M17901" t="s">
        <v>47</v>
      </c>
      <c r="N17901" t="str">
        <f>"2352        "</f>
        <v xml:space="preserve">2352        </v>
      </c>
      <c r="O17901">
        <v>230117</v>
      </c>
    </row>
    <row r="17902" spans="1:15" x14ac:dyDescent="0.25">
      <c r="A17902" t="s">
        <v>16</v>
      </c>
      <c r="B17902" t="s">
        <v>3221</v>
      </c>
      <c r="C17902">
        <v>1955</v>
      </c>
      <c r="D17902" t="s">
        <v>394</v>
      </c>
      <c r="E17902" t="s">
        <v>395</v>
      </c>
      <c r="F17902">
        <v>217.5</v>
      </c>
      <c r="G17902">
        <v>230213</v>
      </c>
      <c r="H17902">
        <v>4380</v>
      </c>
      <c r="I17902" t="s">
        <v>113</v>
      </c>
      <c r="J17902">
        <v>269.7</v>
      </c>
      <c r="K17902">
        <v>52.2</v>
      </c>
      <c r="L17902">
        <v>13841</v>
      </c>
      <c r="M17902" t="s">
        <v>47</v>
      </c>
      <c r="N17902" t="str">
        <f>"2406        "</f>
        <v xml:space="preserve">2406        </v>
      </c>
      <c r="O17902">
        <v>230216</v>
      </c>
    </row>
    <row r="17903" spans="1:15" x14ac:dyDescent="0.25">
      <c r="A17903" t="s">
        <v>16</v>
      </c>
      <c r="B17903" t="s">
        <v>3221</v>
      </c>
      <c r="C17903">
        <v>2459</v>
      </c>
      <c r="D17903" t="s">
        <v>394</v>
      </c>
      <c r="E17903" t="s">
        <v>395</v>
      </c>
      <c r="F17903">
        <v>1157.55</v>
      </c>
      <c r="G17903">
        <v>230216</v>
      </c>
      <c r="H17903">
        <v>4380</v>
      </c>
      <c r="I17903" t="s">
        <v>113</v>
      </c>
      <c r="J17903">
        <v>1435.36</v>
      </c>
      <c r="K17903">
        <v>277.81</v>
      </c>
      <c r="L17903">
        <v>13841</v>
      </c>
      <c r="M17903" t="s">
        <v>47</v>
      </c>
      <c r="N17903" t="str">
        <f>"2431        "</f>
        <v xml:space="preserve">2431        </v>
      </c>
      <c r="O17903">
        <v>230228</v>
      </c>
    </row>
    <row r="17904" spans="1:15" x14ac:dyDescent="0.25">
      <c r="A17904" t="s">
        <v>16</v>
      </c>
      <c r="B17904" t="s">
        <v>3221</v>
      </c>
      <c r="C17904">
        <v>3417</v>
      </c>
      <c r="D17904" t="s">
        <v>394</v>
      </c>
      <c r="E17904" t="s">
        <v>395</v>
      </c>
      <c r="F17904">
        <v>1705</v>
      </c>
      <c r="G17904">
        <v>230314</v>
      </c>
      <c r="H17904">
        <v>4380</v>
      </c>
      <c r="I17904" t="s">
        <v>113</v>
      </c>
      <c r="J17904">
        <v>2114.1999999999998</v>
      </c>
      <c r="K17904">
        <v>409.2</v>
      </c>
      <c r="L17904">
        <v>13841</v>
      </c>
      <c r="M17904" t="s">
        <v>47</v>
      </c>
      <c r="N17904" t="str">
        <f>"2492        "</f>
        <v xml:space="preserve">2492        </v>
      </c>
      <c r="O17904">
        <v>230315</v>
      </c>
    </row>
    <row r="17905" spans="1:15" x14ac:dyDescent="0.25">
      <c r="A17905" t="s">
        <v>16</v>
      </c>
      <c r="B17905" t="s">
        <v>3221</v>
      </c>
      <c r="C17905">
        <v>5256</v>
      </c>
      <c r="D17905" t="s">
        <v>394</v>
      </c>
      <c r="E17905" t="s">
        <v>395</v>
      </c>
      <c r="F17905">
        <v>1070</v>
      </c>
      <c r="G17905">
        <v>230417</v>
      </c>
      <c r="H17905">
        <v>4380</v>
      </c>
      <c r="I17905" t="s">
        <v>113</v>
      </c>
      <c r="J17905">
        <v>1326.8</v>
      </c>
      <c r="K17905">
        <v>256.8</v>
      </c>
      <c r="L17905">
        <v>13841</v>
      </c>
      <c r="M17905" t="s">
        <v>47</v>
      </c>
      <c r="N17905" t="str">
        <f>"2557        "</f>
        <v xml:space="preserve">2557        </v>
      </c>
      <c r="O17905">
        <v>230419</v>
      </c>
    </row>
    <row r="17906" spans="1:15" x14ac:dyDescent="0.25">
      <c r="A17906" t="s">
        <v>16</v>
      </c>
      <c r="B17906" t="s">
        <v>3221</v>
      </c>
      <c r="C17906">
        <v>6804</v>
      </c>
      <c r="D17906" t="s">
        <v>394</v>
      </c>
      <c r="E17906" t="s">
        <v>395</v>
      </c>
      <c r="F17906">
        <v>674</v>
      </c>
      <c r="G17906">
        <v>230515</v>
      </c>
      <c r="H17906">
        <v>4380</v>
      </c>
      <c r="I17906" t="s">
        <v>113</v>
      </c>
      <c r="J17906">
        <v>835.76</v>
      </c>
      <c r="K17906">
        <v>161.76</v>
      </c>
      <c r="L17906">
        <v>13841</v>
      </c>
      <c r="M17906" t="s">
        <v>47</v>
      </c>
      <c r="N17906" t="str">
        <f>"2647        "</f>
        <v xml:space="preserve">2647        </v>
      </c>
      <c r="O17906">
        <v>230522</v>
      </c>
    </row>
    <row r="17907" spans="1:15" x14ac:dyDescent="0.25">
      <c r="A17907" t="s">
        <v>16</v>
      </c>
      <c r="B17907" t="s">
        <v>3221</v>
      </c>
      <c r="C17907">
        <v>8893</v>
      </c>
      <c r="D17907" t="s">
        <v>394</v>
      </c>
      <c r="E17907" t="s">
        <v>395</v>
      </c>
      <c r="F17907">
        <v>596</v>
      </c>
      <c r="G17907">
        <v>230615</v>
      </c>
      <c r="H17907">
        <v>4380</v>
      </c>
      <c r="I17907" t="s">
        <v>113</v>
      </c>
      <c r="J17907">
        <v>739.04</v>
      </c>
      <c r="K17907">
        <v>143.04</v>
      </c>
      <c r="L17907">
        <v>13841</v>
      </c>
      <c r="M17907" t="s">
        <v>47</v>
      </c>
      <c r="N17907" t="str">
        <f>"2728        "</f>
        <v xml:space="preserve">2728        </v>
      </c>
      <c r="O17907">
        <v>230619</v>
      </c>
    </row>
    <row r="17908" spans="1:15" x14ac:dyDescent="0.25">
      <c r="A17908" t="s">
        <v>16</v>
      </c>
      <c r="B17908" t="s">
        <v>3221</v>
      </c>
      <c r="C17908">
        <v>9833</v>
      </c>
      <c r="D17908" t="s">
        <v>394</v>
      </c>
      <c r="E17908" t="s">
        <v>395</v>
      </c>
      <c r="F17908">
        <v>2175</v>
      </c>
      <c r="G17908">
        <v>230703</v>
      </c>
      <c r="H17908">
        <v>4380</v>
      </c>
      <c r="I17908" t="s">
        <v>113</v>
      </c>
      <c r="J17908">
        <v>2697</v>
      </c>
      <c r="K17908">
        <v>522</v>
      </c>
      <c r="L17908">
        <v>13841</v>
      </c>
      <c r="M17908" t="s">
        <v>47</v>
      </c>
      <c r="N17908" t="str">
        <f>"2768        "</f>
        <v xml:space="preserve">2768        </v>
      </c>
      <c r="O17908">
        <v>230727</v>
      </c>
    </row>
    <row r="17909" spans="1:15" x14ac:dyDescent="0.25">
      <c r="A17909" t="s">
        <v>16</v>
      </c>
      <c r="B17909" t="s">
        <v>3221</v>
      </c>
      <c r="C17909">
        <v>9836</v>
      </c>
      <c r="D17909" t="s">
        <v>394</v>
      </c>
      <c r="E17909" t="s">
        <v>395</v>
      </c>
      <c r="F17909">
        <v>440</v>
      </c>
      <c r="G17909">
        <v>230707</v>
      </c>
      <c r="H17909">
        <v>4380</v>
      </c>
      <c r="I17909" t="s">
        <v>113</v>
      </c>
      <c r="J17909">
        <v>545.6</v>
      </c>
      <c r="K17909">
        <v>105.6</v>
      </c>
      <c r="L17909">
        <v>13841</v>
      </c>
      <c r="M17909" t="s">
        <v>47</v>
      </c>
      <c r="N17909" t="str">
        <f>"2801        "</f>
        <v xml:space="preserve">2801        </v>
      </c>
      <c r="O17909">
        <v>230727</v>
      </c>
    </row>
    <row r="17910" spans="1:15" x14ac:dyDescent="0.25">
      <c r="A17910" t="s">
        <v>16</v>
      </c>
      <c r="B17910" t="s">
        <v>3221</v>
      </c>
      <c r="C17910">
        <v>10655</v>
      </c>
      <c r="D17910" t="s">
        <v>394</v>
      </c>
      <c r="E17910" t="s">
        <v>395</v>
      </c>
      <c r="F17910">
        <v>949</v>
      </c>
      <c r="G17910">
        <v>230816</v>
      </c>
      <c r="H17910">
        <v>4380</v>
      </c>
      <c r="I17910" t="s">
        <v>113</v>
      </c>
      <c r="J17910">
        <v>1176.76</v>
      </c>
      <c r="K17910">
        <v>227.76</v>
      </c>
      <c r="L17910">
        <v>13841</v>
      </c>
      <c r="M17910" t="s">
        <v>47</v>
      </c>
      <c r="N17910" t="str">
        <f>"2871        "</f>
        <v xml:space="preserve">2871        </v>
      </c>
      <c r="O17910">
        <v>230821</v>
      </c>
    </row>
    <row r="17911" spans="1:15" x14ac:dyDescent="0.25">
      <c r="A17911" t="s">
        <v>16</v>
      </c>
      <c r="B17911" t="s">
        <v>3221</v>
      </c>
      <c r="C17911">
        <v>10673</v>
      </c>
      <c r="D17911" t="s">
        <v>394</v>
      </c>
      <c r="E17911" t="s">
        <v>395</v>
      </c>
      <c r="F17911">
        <v>319</v>
      </c>
      <c r="G17911">
        <v>230818</v>
      </c>
      <c r="H17911">
        <v>4380</v>
      </c>
      <c r="I17911" t="s">
        <v>113</v>
      </c>
      <c r="J17911">
        <v>395.56</v>
      </c>
      <c r="K17911">
        <v>76.56</v>
      </c>
      <c r="L17911">
        <v>13841</v>
      </c>
      <c r="M17911" t="s">
        <v>47</v>
      </c>
      <c r="N17911" t="str">
        <f>"2889        "</f>
        <v xml:space="preserve">2889        </v>
      </c>
      <c r="O17911">
        <v>230821</v>
      </c>
    </row>
    <row r="17912" spans="1:15" x14ac:dyDescent="0.25">
      <c r="A17912" t="s">
        <v>16</v>
      </c>
      <c r="B17912" t="s">
        <v>3221</v>
      </c>
      <c r="C17912">
        <v>12434</v>
      </c>
      <c r="D17912" t="s">
        <v>394</v>
      </c>
      <c r="E17912" t="s">
        <v>395</v>
      </c>
      <c r="F17912">
        <v>1364</v>
      </c>
      <c r="G17912">
        <v>230915</v>
      </c>
      <c r="H17912">
        <v>4380</v>
      </c>
      <c r="I17912" t="s">
        <v>113</v>
      </c>
      <c r="J17912">
        <v>1691.36</v>
      </c>
      <c r="K17912">
        <v>327.36</v>
      </c>
      <c r="L17912">
        <v>13841</v>
      </c>
      <c r="M17912" t="s">
        <v>47</v>
      </c>
      <c r="N17912" t="str">
        <f>"2966        "</f>
        <v xml:space="preserve">2966        </v>
      </c>
      <c r="O17912">
        <v>230919</v>
      </c>
    </row>
    <row r="17913" spans="1:15" x14ac:dyDescent="0.25">
      <c r="A17913" t="s">
        <v>16</v>
      </c>
      <c r="B17913" t="s">
        <v>3221</v>
      </c>
      <c r="C17913">
        <v>14125</v>
      </c>
      <c r="D17913" t="s">
        <v>394</v>
      </c>
      <c r="E17913" t="s">
        <v>395</v>
      </c>
      <c r="F17913">
        <v>1160</v>
      </c>
      <c r="G17913">
        <v>231016</v>
      </c>
      <c r="H17913">
        <v>4380</v>
      </c>
      <c r="I17913" t="s">
        <v>113</v>
      </c>
      <c r="J17913">
        <v>1438.4</v>
      </c>
      <c r="K17913">
        <v>278.39999999999998</v>
      </c>
      <c r="L17913">
        <v>13841</v>
      </c>
      <c r="M17913" t="s">
        <v>47</v>
      </c>
      <c r="N17913" t="str">
        <f>"3063        "</f>
        <v xml:space="preserve">3063        </v>
      </c>
      <c r="O17913">
        <v>231019</v>
      </c>
    </row>
    <row r="17914" spans="1:15" x14ac:dyDescent="0.25">
      <c r="A17914" t="s">
        <v>16</v>
      </c>
      <c r="B17914" t="s">
        <v>3221</v>
      </c>
      <c r="C17914">
        <v>15994</v>
      </c>
      <c r="D17914" t="s">
        <v>394</v>
      </c>
      <c r="E17914" t="s">
        <v>395</v>
      </c>
      <c r="F17914">
        <v>1705</v>
      </c>
      <c r="G17914">
        <v>231116</v>
      </c>
      <c r="H17914">
        <v>4380</v>
      </c>
      <c r="I17914" t="s">
        <v>113</v>
      </c>
      <c r="J17914">
        <v>2114.1999999999998</v>
      </c>
      <c r="K17914">
        <v>409.2</v>
      </c>
      <c r="L17914">
        <v>13841</v>
      </c>
      <c r="M17914" t="s">
        <v>47</v>
      </c>
      <c r="N17914" t="str">
        <f>"3137        "</f>
        <v xml:space="preserve">3137        </v>
      </c>
      <c r="O17914">
        <v>231122</v>
      </c>
    </row>
    <row r="17915" spans="1:15" x14ac:dyDescent="0.25">
      <c r="A17915" t="s">
        <v>16</v>
      </c>
      <c r="B17915" t="s">
        <v>3221</v>
      </c>
      <c r="C17915">
        <v>17974</v>
      </c>
      <c r="D17915" t="s">
        <v>394</v>
      </c>
      <c r="E17915" t="s">
        <v>395</v>
      </c>
      <c r="F17915">
        <v>464</v>
      </c>
      <c r="G17915">
        <v>231215</v>
      </c>
      <c r="H17915">
        <v>4380</v>
      </c>
      <c r="I17915" t="s">
        <v>113</v>
      </c>
      <c r="J17915">
        <v>575.36</v>
      </c>
      <c r="K17915">
        <v>111.36</v>
      </c>
      <c r="L17915">
        <v>13841</v>
      </c>
      <c r="M17915" t="s">
        <v>47</v>
      </c>
      <c r="N17915" t="str">
        <f>"3231        "</f>
        <v xml:space="preserve">3231        </v>
      </c>
      <c r="O17915">
        <v>231228</v>
      </c>
    </row>
    <row r="17916" spans="1:15" x14ac:dyDescent="0.25">
      <c r="A17916" t="s">
        <v>16</v>
      </c>
      <c r="B17916" t="s">
        <v>3221</v>
      </c>
      <c r="C17916">
        <v>1354</v>
      </c>
      <c r="D17916" t="s">
        <v>578</v>
      </c>
      <c r="E17916" t="s">
        <v>579</v>
      </c>
      <c r="F17916">
        <v>33.6</v>
      </c>
      <c r="G17916">
        <v>230131</v>
      </c>
      <c r="H17916">
        <v>4557</v>
      </c>
      <c r="I17916" t="s">
        <v>238</v>
      </c>
      <c r="J17916">
        <v>41.66</v>
      </c>
      <c r="K17916">
        <v>8.06</v>
      </c>
      <c r="L17916">
        <v>66754</v>
      </c>
      <c r="M17916" t="s">
        <v>239</v>
      </c>
      <c r="N17916" t="str">
        <f>"820300      "</f>
        <v xml:space="preserve">820300      </v>
      </c>
      <c r="O17916">
        <v>230208</v>
      </c>
    </row>
    <row r="17917" spans="1:15" x14ac:dyDescent="0.25">
      <c r="A17917" t="s">
        <v>16</v>
      </c>
      <c r="B17917" t="s">
        <v>3221</v>
      </c>
      <c r="C17917">
        <v>1354</v>
      </c>
      <c r="D17917" t="s">
        <v>578</v>
      </c>
      <c r="E17917" t="s">
        <v>579</v>
      </c>
      <c r="F17917">
        <v>55.2</v>
      </c>
      <c r="G17917">
        <v>230131</v>
      </c>
      <c r="H17917">
        <v>4551</v>
      </c>
      <c r="I17917" t="s">
        <v>1020</v>
      </c>
      <c r="J17917">
        <v>68.45</v>
      </c>
      <c r="K17917">
        <v>13.25</v>
      </c>
      <c r="L17917">
        <v>66754</v>
      </c>
      <c r="M17917" t="s">
        <v>239</v>
      </c>
      <c r="N17917" t="str">
        <f>"820300      "</f>
        <v xml:space="preserve">820300      </v>
      </c>
      <c r="O17917">
        <v>230208</v>
      </c>
    </row>
    <row r="17918" spans="1:15" x14ac:dyDescent="0.25">
      <c r="A17918" t="s">
        <v>16</v>
      </c>
      <c r="B17918" t="s">
        <v>3221</v>
      </c>
      <c r="C17918">
        <v>484</v>
      </c>
      <c r="D17918" t="s">
        <v>578</v>
      </c>
      <c r="E17918" t="s">
        <v>579</v>
      </c>
      <c r="F17918">
        <v>352.8</v>
      </c>
      <c r="G17918">
        <v>230113</v>
      </c>
      <c r="H17918">
        <v>4600</v>
      </c>
      <c r="I17918" t="s">
        <v>105</v>
      </c>
      <c r="J17918">
        <v>437.47</v>
      </c>
      <c r="K17918">
        <v>84.67</v>
      </c>
      <c r="L17918">
        <v>66722</v>
      </c>
      <c r="M17918" t="s">
        <v>518</v>
      </c>
      <c r="N17918" t="str">
        <f>"820046      "</f>
        <v xml:space="preserve">820046      </v>
      </c>
      <c r="O17918">
        <v>230124</v>
      </c>
    </row>
    <row r="17919" spans="1:15" x14ac:dyDescent="0.25">
      <c r="A17919" t="s">
        <v>16</v>
      </c>
      <c r="B17919" t="s">
        <v>3221</v>
      </c>
      <c r="C17919">
        <v>566</v>
      </c>
      <c r="D17919" t="s">
        <v>578</v>
      </c>
      <c r="E17919" t="s">
        <v>579</v>
      </c>
      <c r="F17919">
        <v>35.1</v>
      </c>
      <c r="G17919">
        <v>230116</v>
      </c>
      <c r="H17919">
        <v>4600</v>
      </c>
      <c r="I17919" t="s">
        <v>105</v>
      </c>
      <c r="J17919">
        <v>43.52</v>
      </c>
      <c r="K17919">
        <v>8.42</v>
      </c>
      <c r="L17919">
        <v>66722</v>
      </c>
      <c r="M17919" t="s">
        <v>518</v>
      </c>
      <c r="N17919" t="str">
        <f>"820070      "</f>
        <v xml:space="preserve">820070      </v>
      </c>
      <c r="O17919">
        <v>230124</v>
      </c>
    </row>
    <row r="17920" spans="1:15" x14ac:dyDescent="0.25">
      <c r="A17920" t="s">
        <v>16</v>
      </c>
      <c r="B17920" t="s">
        <v>3221</v>
      </c>
      <c r="C17920">
        <v>860</v>
      </c>
      <c r="D17920" t="s">
        <v>578</v>
      </c>
      <c r="E17920" t="s">
        <v>579</v>
      </c>
      <c r="F17920">
        <v>316</v>
      </c>
      <c r="G17920">
        <v>230130</v>
      </c>
      <c r="H17920">
        <v>4600</v>
      </c>
      <c r="I17920" t="s">
        <v>105</v>
      </c>
      <c r="J17920">
        <v>391.84</v>
      </c>
      <c r="K17920">
        <v>75.84</v>
      </c>
      <c r="L17920">
        <v>65422</v>
      </c>
      <c r="M17920" t="s">
        <v>602</v>
      </c>
      <c r="N17920" t="str">
        <f>"820245      "</f>
        <v xml:space="preserve">820245      </v>
      </c>
      <c r="O17920">
        <v>230131</v>
      </c>
    </row>
    <row r="17921" spans="1:15" x14ac:dyDescent="0.25">
      <c r="A17921" t="s">
        <v>16</v>
      </c>
      <c r="B17921" t="s">
        <v>3221</v>
      </c>
      <c r="C17921">
        <v>1354</v>
      </c>
      <c r="D17921" t="s">
        <v>578</v>
      </c>
      <c r="E17921" t="s">
        <v>579</v>
      </c>
      <c r="F17921">
        <v>81.349999999999994</v>
      </c>
      <c r="G17921">
        <v>230131</v>
      </c>
      <c r="H17921">
        <v>4600</v>
      </c>
      <c r="I17921" t="s">
        <v>105</v>
      </c>
      <c r="J17921">
        <v>100.88</v>
      </c>
      <c r="K17921">
        <v>19.53</v>
      </c>
      <c r="L17921">
        <v>66754</v>
      </c>
      <c r="M17921" t="s">
        <v>239</v>
      </c>
      <c r="N17921" t="str">
        <f>"820300      "</f>
        <v xml:space="preserve">820300      </v>
      </c>
      <c r="O17921">
        <v>230208</v>
      </c>
    </row>
    <row r="17922" spans="1:15" x14ac:dyDescent="0.25">
      <c r="A17922" t="s">
        <v>16</v>
      </c>
      <c r="B17922" t="s">
        <v>3221</v>
      </c>
      <c r="C17922">
        <v>2381</v>
      </c>
      <c r="D17922" t="s">
        <v>578</v>
      </c>
      <c r="E17922" t="s">
        <v>579</v>
      </c>
      <c r="F17922">
        <v>188.2</v>
      </c>
      <c r="G17922">
        <v>230209</v>
      </c>
      <c r="H17922">
        <v>4600</v>
      </c>
      <c r="I17922" t="s">
        <v>105</v>
      </c>
      <c r="J17922">
        <v>233.37</v>
      </c>
      <c r="K17922">
        <v>45.17</v>
      </c>
      <c r="L17922">
        <v>66722</v>
      </c>
      <c r="M17922" t="s">
        <v>518</v>
      </c>
      <c r="N17922" t="str">
        <f>"820399      "</f>
        <v xml:space="preserve">820399      </v>
      </c>
      <c r="O17922">
        <v>230227</v>
      </c>
    </row>
    <row r="17923" spans="1:15" x14ac:dyDescent="0.25">
      <c r="A17923" t="s">
        <v>16</v>
      </c>
      <c r="B17923" t="s">
        <v>3221</v>
      </c>
      <c r="C17923">
        <v>3606</v>
      </c>
      <c r="D17923" t="s">
        <v>578</v>
      </c>
      <c r="E17923" t="s">
        <v>579</v>
      </c>
      <c r="F17923">
        <v>134.05000000000001</v>
      </c>
      <c r="G17923">
        <v>230315</v>
      </c>
      <c r="H17923">
        <v>4600</v>
      </c>
      <c r="I17923" t="s">
        <v>105</v>
      </c>
      <c r="J17923">
        <v>166.22</v>
      </c>
      <c r="K17923">
        <v>32.17</v>
      </c>
      <c r="L17923">
        <v>66754</v>
      </c>
      <c r="M17923" t="s">
        <v>239</v>
      </c>
      <c r="N17923" t="str">
        <f>"820770      "</f>
        <v xml:space="preserve">820770      </v>
      </c>
      <c r="O17923">
        <v>230317</v>
      </c>
    </row>
    <row r="17924" spans="1:15" x14ac:dyDescent="0.25">
      <c r="A17924" t="s">
        <v>16</v>
      </c>
      <c r="B17924" t="s">
        <v>3221</v>
      </c>
      <c r="C17924">
        <v>3896</v>
      </c>
      <c r="D17924" t="s">
        <v>578</v>
      </c>
      <c r="E17924" t="s">
        <v>579</v>
      </c>
      <c r="F17924">
        <v>30.7</v>
      </c>
      <c r="G17924">
        <v>230323</v>
      </c>
      <c r="H17924">
        <v>4600</v>
      </c>
      <c r="I17924" t="s">
        <v>105</v>
      </c>
      <c r="J17924">
        <v>38.07</v>
      </c>
      <c r="K17924">
        <v>7.37</v>
      </c>
      <c r="L17924">
        <v>66754</v>
      </c>
      <c r="M17924" t="s">
        <v>239</v>
      </c>
      <c r="N17924" t="str">
        <f>"673490      "</f>
        <v xml:space="preserve">673490      </v>
      </c>
      <c r="O17924">
        <v>230324</v>
      </c>
    </row>
    <row r="17925" spans="1:15" x14ac:dyDescent="0.25">
      <c r="A17925" t="s">
        <v>16</v>
      </c>
      <c r="B17925" t="s">
        <v>3221</v>
      </c>
      <c r="C17925">
        <v>4184</v>
      </c>
      <c r="D17925" t="s">
        <v>578</v>
      </c>
      <c r="E17925" t="s">
        <v>579</v>
      </c>
      <c r="F17925">
        <v>29.7</v>
      </c>
      <c r="G17925">
        <v>230329</v>
      </c>
      <c r="H17925">
        <v>4600</v>
      </c>
      <c r="I17925" t="s">
        <v>105</v>
      </c>
      <c r="J17925">
        <v>36.83</v>
      </c>
      <c r="K17925">
        <v>7.13</v>
      </c>
      <c r="L17925">
        <v>65422</v>
      </c>
      <c r="M17925" t="s">
        <v>602</v>
      </c>
      <c r="N17925" t="str">
        <f>"673512      "</f>
        <v xml:space="preserve">673512      </v>
      </c>
      <c r="O17925">
        <v>230331</v>
      </c>
    </row>
    <row r="17926" spans="1:15" x14ac:dyDescent="0.25">
      <c r="A17926" t="s">
        <v>16</v>
      </c>
      <c r="B17926" t="s">
        <v>3221</v>
      </c>
      <c r="C17926">
        <v>4184</v>
      </c>
      <c r="D17926" t="s">
        <v>578</v>
      </c>
      <c r="E17926" t="s">
        <v>579</v>
      </c>
      <c r="F17926">
        <v>48.99</v>
      </c>
      <c r="G17926">
        <v>230329</v>
      </c>
      <c r="H17926">
        <v>4600</v>
      </c>
      <c r="I17926" t="s">
        <v>105</v>
      </c>
      <c r="J17926">
        <v>60.75</v>
      </c>
      <c r="K17926">
        <v>11.76</v>
      </c>
      <c r="L17926">
        <v>66722</v>
      </c>
      <c r="M17926" t="s">
        <v>518</v>
      </c>
      <c r="N17926" t="str">
        <f>"673512      "</f>
        <v xml:space="preserve">673512      </v>
      </c>
      <c r="O17926">
        <v>230331</v>
      </c>
    </row>
    <row r="17927" spans="1:15" x14ac:dyDescent="0.25">
      <c r="A17927" t="s">
        <v>16</v>
      </c>
      <c r="B17927" t="s">
        <v>3221</v>
      </c>
      <c r="C17927">
        <v>4184</v>
      </c>
      <c r="D17927" t="s">
        <v>578</v>
      </c>
      <c r="E17927" t="s">
        <v>579</v>
      </c>
      <c r="F17927">
        <v>21.52</v>
      </c>
      <c r="G17927">
        <v>230329</v>
      </c>
      <c r="H17927">
        <v>4600</v>
      </c>
      <c r="I17927" t="s">
        <v>105</v>
      </c>
      <c r="J17927">
        <v>26.68</v>
      </c>
      <c r="K17927">
        <v>5.16</v>
      </c>
      <c r="L17927">
        <v>66754</v>
      </c>
      <c r="M17927" t="s">
        <v>239</v>
      </c>
      <c r="N17927" t="str">
        <f>"673512      "</f>
        <v xml:space="preserve">673512      </v>
      </c>
      <c r="O17927">
        <v>230331</v>
      </c>
    </row>
    <row r="17928" spans="1:15" x14ac:dyDescent="0.25">
      <c r="A17928" t="s">
        <v>16</v>
      </c>
      <c r="B17928" t="s">
        <v>3221</v>
      </c>
      <c r="C17928">
        <v>5187</v>
      </c>
      <c r="D17928" t="s">
        <v>578</v>
      </c>
      <c r="E17928" t="s">
        <v>579</v>
      </c>
      <c r="F17928">
        <v>381.09</v>
      </c>
      <c r="G17928">
        <v>230323</v>
      </c>
      <c r="H17928">
        <v>4600</v>
      </c>
      <c r="I17928" t="s">
        <v>105</v>
      </c>
      <c r="J17928">
        <v>472.55</v>
      </c>
      <c r="K17928">
        <v>91.46</v>
      </c>
      <c r="L17928">
        <v>66722</v>
      </c>
      <c r="M17928" t="s">
        <v>518</v>
      </c>
      <c r="N17928" t="str">
        <f>"673489      "</f>
        <v xml:space="preserve">673489      </v>
      </c>
      <c r="O17928">
        <v>230419</v>
      </c>
    </row>
    <row r="17929" spans="1:15" x14ac:dyDescent="0.25">
      <c r="A17929" t="s">
        <v>16</v>
      </c>
      <c r="B17929" t="s">
        <v>3221</v>
      </c>
      <c r="C17929">
        <v>5187</v>
      </c>
      <c r="D17929" t="s">
        <v>578</v>
      </c>
      <c r="E17929" t="s">
        <v>579</v>
      </c>
      <c r="F17929">
        <v>90.36</v>
      </c>
      <c r="G17929">
        <v>230323</v>
      </c>
      <c r="H17929">
        <v>4600</v>
      </c>
      <c r="I17929" t="s">
        <v>105</v>
      </c>
      <c r="J17929">
        <v>112.05</v>
      </c>
      <c r="K17929">
        <v>21.69</v>
      </c>
      <c r="L17929">
        <v>66754</v>
      </c>
      <c r="M17929" t="s">
        <v>239</v>
      </c>
      <c r="N17929" t="str">
        <f>"673489      "</f>
        <v xml:space="preserve">673489      </v>
      </c>
      <c r="O17929">
        <v>230419</v>
      </c>
    </row>
    <row r="17930" spans="1:15" x14ac:dyDescent="0.25">
      <c r="A17930" t="s">
        <v>16</v>
      </c>
      <c r="B17930" t="s">
        <v>3221</v>
      </c>
      <c r="C17930">
        <v>11092</v>
      </c>
      <c r="D17930" t="s">
        <v>578</v>
      </c>
      <c r="E17930" t="s">
        <v>579</v>
      </c>
      <c r="F17930">
        <v>361.35</v>
      </c>
      <c r="G17930">
        <v>230828</v>
      </c>
      <c r="H17930">
        <v>4600</v>
      </c>
      <c r="I17930" t="s">
        <v>105</v>
      </c>
      <c r="J17930">
        <v>448.07</v>
      </c>
      <c r="K17930">
        <v>86.72</v>
      </c>
      <c r="L17930">
        <v>66754</v>
      </c>
      <c r="M17930" t="s">
        <v>239</v>
      </c>
      <c r="N17930" t="str">
        <f>"822565      "</f>
        <v xml:space="preserve">822565      </v>
      </c>
      <c r="O17930">
        <v>230830</v>
      </c>
    </row>
    <row r="17931" spans="1:15" x14ac:dyDescent="0.25">
      <c r="A17931" t="s">
        <v>16</v>
      </c>
      <c r="B17931" t="s">
        <v>3221</v>
      </c>
      <c r="C17931">
        <v>14512</v>
      </c>
      <c r="D17931" t="s">
        <v>578</v>
      </c>
      <c r="E17931" t="s">
        <v>579</v>
      </c>
      <c r="F17931">
        <v>181.9</v>
      </c>
      <c r="G17931">
        <v>231025</v>
      </c>
      <c r="H17931">
        <v>4600</v>
      </c>
      <c r="I17931" t="s">
        <v>105</v>
      </c>
      <c r="J17931">
        <v>225.56</v>
      </c>
      <c r="K17931">
        <v>43.66</v>
      </c>
      <c r="L17931">
        <v>66754</v>
      </c>
      <c r="M17931" t="s">
        <v>239</v>
      </c>
      <c r="N17931" t="str">
        <f>"823202      "</f>
        <v xml:space="preserve">823202      </v>
      </c>
      <c r="O17931">
        <v>231030</v>
      </c>
    </row>
    <row r="17932" spans="1:15" x14ac:dyDescent="0.25">
      <c r="A17932" t="s">
        <v>16</v>
      </c>
      <c r="B17932" t="s">
        <v>3221</v>
      </c>
      <c r="C17932">
        <v>14512</v>
      </c>
      <c r="D17932" t="s">
        <v>578</v>
      </c>
      <c r="E17932" t="s">
        <v>579</v>
      </c>
      <c r="F17932">
        <v>334.75</v>
      </c>
      <c r="G17932">
        <v>231025</v>
      </c>
      <c r="H17932">
        <v>4600</v>
      </c>
      <c r="I17932" t="s">
        <v>105</v>
      </c>
      <c r="J17932">
        <v>415.09</v>
      </c>
      <c r="K17932">
        <v>80.34</v>
      </c>
      <c r="L17932">
        <v>66754</v>
      </c>
      <c r="M17932" t="s">
        <v>239</v>
      </c>
      <c r="N17932" t="str">
        <f>"823202      "</f>
        <v xml:space="preserve">823202      </v>
      </c>
      <c r="O17932">
        <v>231030</v>
      </c>
    </row>
    <row r="17933" spans="1:15" x14ac:dyDescent="0.25">
      <c r="A17933" t="s">
        <v>16</v>
      </c>
      <c r="B17933" t="s">
        <v>3221</v>
      </c>
      <c r="C17933">
        <v>16454</v>
      </c>
      <c r="D17933" t="s">
        <v>578</v>
      </c>
      <c r="E17933" t="s">
        <v>579</v>
      </c>
      <c r="F17933">
        <v>175.81</v>
      </c>
      <c r="G17933">
        <v>231128</v>
      </c>
      <c r="H17933">
        <v>4600</v>
      </c>
      <c r="I17933" t="s">
        <v>105</v>
      </c>
      <c r="J17933">
        <v>218</v>
      </c>
      <c r="K17933">
        <v>42.19</v>
      </c>
      <c r="L17933">
        <v>66754</v>
      </c>
      <c r="M17933" t="s">
        <v>239</v>
      </c>
      <c r="N17933" t="str">
        <f>"823660      "</f>
        <v xml:space="preserve">823660      </v>
      </c>
      <c r="O17933">
        <v>231129</v>
      </c>
    </row>
    <row r="17934" spans="1:15" x14ac:dyDescent="0.25">
      <c r="A17934" t="s">
        <v>16</v>
      </c>
      <c r="B17934" t="s">
        <v>3221</v>
      </c>
      <c r="C17934">
        <v>10368</v>
      </c>
      <c r="D17934" t="s">
        <v>578</v>
      </c>
      <c r="E17934" t="s">
        <v>579</v>
      </c>
      <c r="F17934">
        <v>128.05000000000001</v>
      </c>
      <c r="G17934">
        <v>230809</v>
      </c>
      <c r="H17934">
        <v>4460</v>
      </c>
      <c r="I17934" t="s">
        <v>524</v>
      </c>
      <c r="J17934">
        <v>158.78</v>
      </c>
      <c r="K17934">
        <v>30.73</v>
      </c>
      <c r="L17934">
        <v>65422</v>
      </c>
      <c r="M17934" t="s">
        <v>602</v>
      </c>
      <c r="N17934" t="str">
        <f>"673859      "</f>
        <v xml:space="preserve">673859      </v>
      </c>
      <c r="O17934">
        <v>230814</v>
      </c>
    </row>
    <row r="17935" spans="1:15" x14ac:dyDescent="0.25">
      <c r="A17935" t="s">
        <v>16</v>
      </c>
      <c r="B17935" t="s">
        <v>3221</v>
      </c>
      <c r="C17935">
        <v>298</v>
      </c>
      <c r="D17935" t="s">
        <v>433</v>
      </c>
      <c r="E17935" t="s">
        <v>434</v>
      </c>
      <c r="F17935">
        <v>90.44</v>
      </c>
      <c r="G17935">
        <v>230111</v>
      </c>
      <c r="H17935">
        <v>4600</v>
      </c>
      <c r="I17935" t="s">
        <v>105</v>
      </c>
      <c r="J17935">
        <v>112.15</v>
      </c>
      <c r="K17935">
        <v>21.71</v>
      </c>
      <c r="L17935">
        <v>17807</v>
      </c>
      <c r="M17935" t="s">
        <v>318</v>
      </c>
      <c r="N17935" t="str">
        <f>"4500041899  "</f>
        <v xml:space="preserve">4500041899  </v>
      </c>
      <c r="O17935">
        <v>230118</v>
      </c>
    </row>
    <row r="17936" spans="1:15" x14ac:dyDescent="0.25">
      <c r="A17936" t="s">
        <v>16</v>
      </c>
      <c r="B17936" t="s">
        <v>3221</v>
      </c>
      <c r="C17936">
        <v>3921</v>
      </c>
      <c r="D17936" t="s">
        <v>433</v>
      </c>
      <c r="E17936" t="s">
        <v>434</v>
      </c>
      <c r="F17936">
        <v>367.2</v>
      </c>
      <c r="G17936">
        <v>230316</v>
      </c>
      <c r="H17936">
        <v>4600</v>
      </c>
      <c r="I17936" t="s">
        <v>105</v>
      </c>
      <c r="J17936">
        <v>455.33</v>
      </c>
      <c r="K17936">
        <v>88.13</v>
      </c>
      <c r="L17936">
        <v>17807</v>
      </c>
      <c r="M17936" t="s">
        <v>318</v>
      </c>
      <c r="N17936" t="str">
        <f>"4500044624  "</f>
        <v xml:space="preserve">4500044624  </v>
      </c>
      <c r="O17936">
        <v>230327</v>
      </c>
    </row>
    <row r="17937" spans="1:15" x14ac:dyDescent="0.25">
      <c r="A17937" t="s">
        <v>16</v>
      </c>
      <c r="B17937" t="s">
        <v>3221</v>
      </c>
      <c r="C17937">
        <v>4701</v>
      </c>
      <c r="D17937" t="s">
        <v>433</v>
      </c>
      <c r="E17937" t="s">
        <v>434</v>
      </c>
      <c r="F17937">
        <v>297.8</v>
      </c>
      <c r="G17937">
        <v>230330</v>
      </c>
      <c r="H17937">
        <v>4600</v>
      </c>
      <c r="I17937" t="s">
        <v>105</v>
      </c>
      <c r="J17937">
        <v>369.27</v>
      </c>
      <c r="K17937">
        <v>71.47</v>
      </c>
      <c r="L17937">
        <v>17807</v>
      </c>
      <c r="M17937" t="s">
        <v>318</v>
      </c>
      <c r="N17937" t="str">
        <f>"4500045161  "</f>
        <v xml:space="preserve">4500045161  </v>
      </c>
      <c r="O17937">
        <v>230412</v>
      </c>
    </row>
    <row r="17938" spans="1:15" x14ac:dyDescent="0.25">
      <c r="A17938" t="s">
        <v>16</v>
      </c>
      <c r="B17938" t="s">
        <v>3221</v>
      </c>
      <c r="C17938">
        <v>18373</v>
      </c>
      <c r="D17938" t="s">
        <v>3034</v>
      </c>
      <c r="E17938" t="s">
        <v>3035</v>
      </c>
      <c r="F17938">
        <v>75.459999999999994</v>
      </c>
      <c r="G17938">
        <v>231201</v>
      </c>
      <c r="H17938">
        <v>4940</v>
      </c>
      <c r="I17938" t="s">
        <v>514</v>
      </c>
      <c r="J17938">
        <v>93.57</v>
      </c>
      <c r="K17938">
        <v>18.11</v>
      </c>
      <c r="L17938">
        <v>67554</v>
      </c>
      <c r="M17938" t="s">
        <v>60</v>
      </c>
      <c r="N17938" t="str">
        <f>"716093      "</f>
        <v xml:space="preserve">716093      </v>
      </c>
      <c r="O17938">
        <v>240103</v>
      </c>
    </row>
    <row r="17939" spans="1:15" x14ac:dyDescent="0.25">
      <c r="A17939" t="s">
        <v>16</v>
      </c>
      <c r="B17939" t="s">
        <v>3221</v>
      </c>
      <c r="C17939">
        <v>17054</v>
      </c>
      <c r="D17939" t="s">
        <v>3034</v>
      </c>
      <c r="E17939" t="s">
        <v>3035</v>
      </c>
      <c r="F17939">
        <v>268.70999999999998</v>
      </c>
      <c r="G17939">
        <v>231201</v>
      </c>
      <c r="H17939">
        <v>4552</v>
      </c>
      <c r="I17939" t="s">
        <v>338</v>
      </c>
      <c r="J17939">
        <v>333.2</v>
      </c>
      <c r="K17939">
        <v>64.489999999999995</v>
      </c>
      <c r="L17939">
        <v>17737</v>
      </c>
      <c r="M17939" t="s">
        <v>279</v>
      </c>
      <c r="N17939" t="str">
        <f>"712511      "</f>
        <v xml:space="preserve">712511      </v>
      </c>
      <c r="O17939">
        <v>231212</v>
      </c>
    </row>
    <row r="17940" spans="1:15" x14ac:dyDescent="0.25">
      <c r="A17940" t="s">
        <v>16</v>
      </c>
      <c r="B17940" t="s">
        <v>3221</v>
      </c>
      <c r="C17940">
        <v>14505</v>
      </c>
      <c r="D17940" t="s">
        <v>640</v>
      </c>
      <c r="E17940" t="s">
        <v>641</v>
      </c>
      <c r="F17940">
        <v>200</v>
      </c>
      <c r="G17940">
        <v>231025</v>
      </c>
      <c r="H17940">
        <v>4420</v>
      </c>
      <c r="I17940" t="s">
        <v>132</v>
      </c>
      <c r="J17940">
        <v>248</v>
      </c>
      <c r="K17940">
        <v>48</v>
      </c>
      <c r="L17940">
        <v>66754</v>
      </c>
      <c r="M17940" t="s">
        <v>239</v>
      </c>
      <c r="N17940" t="str">
        <f>"101854      "</f>
        <v xml:space="preserve">101854      </v>
      </c>
      <c r="O17940">
        <v>231030</v>
      </c>
    </row>
    <row r="17941" spans="1:15" x14ac:dyDescent="0.25">
      <c r="A17941" t="s">
        <v>16</v>
      </c>
      <c r="B17941" t="s">
        <v>3221</v>
      </c>
      <c r="C17941">
        <v>710</v>
      </c>
      <c r="D17941" t="s">
        <v>640</v>
      </c>
      <c r="E17941" t="s">
        <v>641</v>
      </c>
      <c r="F17941">
        <v>993.66</v>
      </c>
      <c r="G17941">
        <v>230126</v>
      </c>
      <c r="H17941">
        <v>4600</v>
      </c>
      <c r="I17941" t="s">
        <v>105</v>
      </c>
      <c r="J17941">
        <v>1232.1400000000001</v>
      </c>
      <c r="K17941">
        <v>238.48</v>
      </c>
      <c r="L17941">
        <v>66754</v>
      </c>
      <c r="M17941" t="s">
        <v>239</v>
      </c>
      <c r="N17941" t="str">
        <f>"99799       "</f>
        <v xml:space="preserve">99799       </v>
      </c>
      <c r="O17941">
        <v>230127</v>
      </c>
    </row>
    <row r="17942" spans="1:15" x14ac:dyDescent="0.25">
      <c r="A17942" t="s">
        <v>16</v>
      </c>
      <c r="B17942" t="s">
        <v>3221</v>
      </c>
      <c r="C17942">
        <v>710</v>
      </c>
      <c r="D17942" t="s">
        <v>640</v>
      </c>
      <c r="E17942" t="s">
        <v>641</v>
      </c>
      <c r="F17942">
        <v>335.88</v>
      </c>
      <c r="G17942">
        <v>230126</v>
      </c>
      <c r="H17942">
        <v>4600</v>
      </c>
      <c r="I17942" t="s">
        <v>105</v>
      </c>
      <c r="J17942">
        <v>416.49</v>
      </c>
      <c r="K17942">
        <v>80.61</v>
      </c>
      <c r="L17942">
        <v>66754</v>
      </c>
      <c r="M17942" t="s">
        <v>239</v>
      </c>
      <c r="N17942" t="str">
        <f>"99799       "</f>
        <v xml:space="preserve">99799       </v>
      </c>
      <c r="O17942">
        <v>230127</v>
      </c>
    </row>
    <row r="17943" spans="1:15" x14ac:dyDescent="0.25">
      <c r="A17943" t="s">
        <v>16</v>
      </c>
      <c r="B17943" t="s">
        <v>3221</v>
      </c>
      <c r="C17943">
        <v>710</v>
      </c>
      <c r="D17943" t="s">
        <v>640</v>
      </c>
      <c r="E17943" t="s">
        <v>641</v>
      </c>
      <c r="F17943">
        <v>2565.0700000000002</v>
      </c>
      <c r="G17943">
        <v>230126</v>
      </c>
      <c r="H17943">
        <v>4600</v>
      </c>
      <c r="I17943" t="s">
        <v>105</v>
      </c>
      <c r="J17943">
        <v>3180.69</v>
      </c>
      <c r="K17943">
        <v>615.62</v>
      </c>
      <c r="L17943">
        <v>66754</v>
      </c>
      <c r="M17943" t="s">
        <v>239</v>
      </c>
      <c r="N17943" t="str">
        <f>"99799       "</f>
        <v xml:space="preserve">99799       </v>
      </c>
      <c r="O17943">
        <v>230127</v>
      </c>
    </row>
    <row r="17944" spans="1:15" x14ac:dyDescent="0.25">
      <c r="A17944" t="s">
        <v>16</v>
      </c>
      <c r="B17944" t="s">
        <v>3221</v>
      </c>
      <c r="C17944">
        <v>12765</v>
      </c>
      <c r="D17944" t="s">
        <v>640</v>
      </c>
      <c r="E17944" t="s">
        <v>641</v>
      </c>
      <c r="F17944">
        <v>118</v>
      </c>
      <c r="G17944">
        <v>230920</v>
      </c>
      <c r="H17944">
        <v>4600</v>
      </c>
      <c r="I17944" t="s">
        <v>105</v>
      </c>
      <c r="J17944">
        <v>146.32</v>
      </c>
      <c r="K17944">
        <v>28.32</v>
      </c>
      <c r="L17944">
        <v>66754</v>
      </c>
      <c r="M17944" t="s">
        <v>239</v>
      </c>
      <c r="N17944" t="str">
        <f>"101682      "</f>
        <v xml:space="preserve">101682      </v>
      </c>
      <c r="O17944">
        <v>230926</v>
      </c>
    </row>
    <row r="17945" spans="1:15" x14ac:dyDescent="0.25">
      <c r="A17945" t="s">
        <v>16</v>
      </c>
      <c r="B17945" t="s">
        <v>3221</v>
      </c>
      <c r="C17945">
        <v>14505</v>
      </c>
      <c r="D17945" t="s">
        <v>640</v>
      </c>
      <c r="E17945" t="s">
        <v>641</v>
      </c>
      <c r="F17945">
        <v>2533.5300000000002</v>
      </c>
      <c r="G17945">
        <v>231025</v>
      </c>
      <c r="H17945">
        <v>4600</v>
      </c>
      <c r="I17945" t="s">
        <v>105</v>
      </c>
      <c r="J17945">
        <v>3141.58</v>
      </c>
      <c r="K17945">
        <v>608.04999999999995</v>
      </c>
      <c r="L17945">
        <v>66754</v>
      </c>
      <c r="M17945" t="s">
        <v>239</v>
      </c>
      <c r="N17945" t="str">
        <f>"101854      "</f>
        <v xml:space="preserve">101854      </v>
      </c>
      <c r="O17945">
        <v>231030</v>
      </c>
    </row>
    <row r="17946" spans="1:15" x14ac:dyDescent="0.25">
      <c r="A17946" t="s">
        <v>16</v>
      </c>
      <c r="B17946" t="s">
        <v>3221</v>
      </c>
      <c r="C17946">
        <v>615</v>
      </c>
      <c r="D17946" t="s">
        <v>640</v>
      </c>
      <c r="E17946" t="s">
        <v>641</v>
      </c>
      <c r="F17946">
        <v>607.71</v>
      </c>
      <c r="G17946">
        <v>230124</v>
      </c>
      <c r="H17946">
        <v>4552</v>
      </c>
      <c r="I17946" t="s">
        <v>338</v>
      </c>
      <c r="J17946">
        <v>753.56</v>
      </c>
      <c r="K17946">
        <v>145.85</v>
      </c>
      <c r="L17946">
        <v>66754</v>
      </c>
      <c r="M17946" t="s">
        <v>239</v>
      </c>
      <c r="N17946" t="str">
        <f>"99785       "</f>
        <v xml:space="preserve">99785       </v>
      </c>
      <c r="O17946">
        <v>230125</v>
      </c>
    </row>
    <row r="17947" spans="1:15" x14ac:dyDescent="0.25">
      <c r="A17947" t="s">
        <v>16</v>
      </c>
      <c r="B17947" t="s">
        <v>3221</v>
      </c>
      <c r="C17947">
        <v>973</v>
      </c>
      <c r="D17947" t="s">
        <v>3227</v>
      </c>
      <c r="E17947" t="s">
        <v>3228</v>
      </c>
      <c r="F17947">
        <v>356.44</v>
      </c>
      <c r="G17947">
        <v>230101</v>
      </c>
      <c r="H17947">
        <v>4840</v>
      </c>
      <c r="I17947" t="s">
        <v>19</v>
      </c>
      <c r="J17947">
        <v>441.99</v>
      </c>
      <c r="K17947">
        <v>85.55</v>
      </c>
      <c r="L17947">
        <v>59701</v>
      </c>
      <c r="M17947" t="s">
        <v>297</v>
      </c>
      <c r="N17947" t="str">
        <f>"649230032961"</f>
        <v>649230032961</v>
      </c>
      <c r="O17947">
        <v>230202</v>
      </c>
    </row>
    <row r="17948" spans="1:15" x14ac:dyDescent="0.25">
      <c r="A17948" t="s">
        <v>16</v>
      </c>
      <c r="B17948" t="s">
        <v>3221</v>
      </c>
      <c r="C17948">
        <v>1231</v>
      </c>
      <c r="D17948" t="s">
        <v>3227</v>
      </c>
      <c r="E17948" t="s">
        <v>3228</v>
      </c>
      <c r="F17948">
        <v>526.42999999999995</v>
      </c>
      <c r="G17948">
        <v>230301</v>
      </c>
      <c r="H17948">
        <v>4840</v>
      </c>
      <c r="I17948" t="s">
        <v>19</v>
      </c>
      <c r="J17948">
        <v>652.77</v>
      </c>
      <c r="K17948">
        <v>126.34</v>
      </c>
      <c r="L17948">
        <v>69113</v>
      </c>
      <c r="M17948" t="s">
        <v>282</v>
      </c>
      <c r="N17948" t="str">
        <f>"649230067975"</f>
        <v>649230067975</v>
      </c>
      <c r="O17948">
        <v>230206</v>
      </c>
    </row>
    <row r="17949" spans="1:15" x14ac:dyDescent="0.25">
      <c r="A17949" t="s">
        <v>16</v>
      </c>
      <c r="B17949" t="s">
        <v>3221</v>
      </c>
      <c r="C17949">
        <v>1231</v>
      </c>
      <c r="D17949" t="s">
        <v>3227</v>
      </c>
      <c r="E17949" t="s">
        <v>3228</v>
      </c>
      <c r="F17949">
        <v>58.56</v>
      </c>
      <c r="G17949">
        <v>230301</v>
      </c>
      <c r="H17949">
        <v>4840</v>
      </c>
      <c r="I17949" t="s">
        <v>19</v>
      </c>
      <c r="J17949">
        <v>72.61</v>
      </c>
      <c r="K17949">
        <v>14.05</v>
      </c>
      <c r="L17949">
        <v>69802</v>
      </c>
      <c r="M17949" t="s">
        <v>283</v>
      </c>
      <c r="N17949" t="str">
        <f>"649230067975"</f>
        <v>649230067975</v>
      </c>
      <c r="O17949">
        <v>230206</v>
      </c>
    </row>
    <row r="17950" spans="1:15" x14ac:dyDescent="0.25">
      <c r="A17950" t="s">
        <v>16</v>
      </c>
      <c r="B17950" t="s">
        <v>3221</v>
      </c>
      <c r="C17950">
        <v>9232</v>
      </c>
      <c r="D17950" t="s">
        <v>3227</v>
      </c>
      <c r="E17950" t="s">
        <v>3228</v>
      </c>
      <c r="F17950">
        <v>356.44</v>
      </c>
      <c r="G17950">
        <v>230701</v>
      </c>
      <c r="H17950">
        <v>4840</v>
      </c>
      <c r="I17950" t="s">
        <v>19</v>
      </c>
      <c r="J17950">
        <v>441.99</v>
      </c>
      <c r="K17950">
        <v>85.55</v>
      </c>
      <c r="L17950">
        <v>59701</v>
      </c>
      <c r="M17950" t="s">
        <v>297</v>
      </c>
      <c r="N17950" t="str">
        <f>"649230150557"</f>
        <v>649230150557</v>
      </c>
      <c r="O17950">
        <v>230703</v>
      </c>
    </row>
    <row r="17951" spans="1:15" x14ac:dyDescent="0.25">
      <c r="A17951" t="s">
        <v>16</v>
      </c>
      <c r="B17951" t="s">
        <v>3221</v>
      </c>
      <c r="C17951">
        <v>9840</v>
      </c>
      <c r="D17951" t="s">
        <v>3227</v>
      </c>
      <c r="E17951" t="s">
        <v>3228</v>
      </c>
      <c r="F17951">
        <v>555.02</v>
      </c>
      <c r="G17951">
        <v>230603</v>
      </c>
      <c r="H17951">
        <v>4840</v>
      </c>
      <c r="I17951" t="s">
        <v>19</v>
      </c>
      <c r="J17951">
        <v>688.22</v>
      </c>
      <c r="K17951">
        <v>133.19999999999999</v>
      </c>
      <c r="L17951">
        <v>17913</v>
      </c>
      <c r="M17951" t="s">
        <v>431</v>
      </c>
      <c r="N17951" t="str">
        <f>"9230136633/2"</f>
        <v>9230136633/2</v>
      </c>
      <c r="O17951">
        <v>230731</v>
      </c>
    </row>
    <row r="17952" spans="1:15" x14ac:dyDescent="0.25">
      <c r="A17952" t="s">
        <v>16</v>
      </c>
      <c r="B17952" t="s">
        <v>3221</v>
      </c>
      <c r="C17952">
        <v>9840</v>
      </c>
      <c r="D17952" t="s">
        <v>3227</v>
      </c>
      <c r="E17952" t="s">
        <v>3228</v>
      </c>
      <c r="F17952">
        <v>555.02</v>
      </c>
      <c r="G17952">
        <v>230603</v>
      </c>
      <c r="H17952">
        <v>4840</v>
      </c>
      <c r="I17952" t="s">
        <v>19</v>
      </c>
      <c r="J17952">
        <v>688.22</v>
      </c>
      <c r="K17952">
        <v>133.19999999999999</v>
      </c>
      <c r="L17952">
        <v>17915</v>
      </c>
      <c r="M17952" t="s">
        <v>572</v>
      </c>
      <c r="N17952" t="str">
        <f>"9230136633/2"</f>
        <v>9230136633/2</v>
      </c>
      <c r="O17952">
        <v>230731</v>
      </c>
    </row>
    <row r="17953" spans="1:15" x14ac:dyDescent="0.25">
      <c r="A17953" t="s">
        <v>16</v>
      </c>
      <c r="B17953" t="s">
        <v>3221</v>
      </c>
      <c r="C17953">
        <v>10148</v>
      </c>
      <c r="D17953" t="s">
        <v>3227</v>
      </c>
      <c r="E17953" t="s">
        <v>3228</v>
      </c>
      <c r="F17953">
        <v>526.48</v>
      </c>
      <c r="G17953">
        <v>230901</v>
      </c>
      <c r="H17953">
        <v>4840</v>
      </c>
      <c r="I17953" t="s">
        <v>19</v>
      </c>
      <c r="J17953">
        <v>652.84</v>
      </c>
      <c r="K17953">
        <v>126.36</v>
      </c>
      <c r="L17953">
        <v>69113</v>
      </c>
      <c r="M17953" t="s">
        <v>282</v>
      </c>
      <c r="N17953" t="str">
        <f>"649230170397"</f>
        <v>649230170397</v>
      </c>
      <c r="O17953">
        <v>230808</v>
      </c>
    </row>
    <row r="17954" spans="1:15" x14ac:dyDescent="0.25">
      <c r="A17954" t="s">
        <v>16</v>
      </c>
      <c r="B17954" t="s">
        <v>3221</v>
      </c>
      <c r="C17954">
        <v>10148</v>
      </c>
      <c r="D17954" t="s">
        <v>3227</v>
      </c>
      <c r="E17954" t="s">
        <v>3228</v>
      </c>
      <c r="F17954">
        <v>58.5</v>
      </c>
      <c r="G17954">
        <v>230901</v>
      </c>
      <c r="H17954">
        <v>4840</v>
      </c>
      <c r="I17954" t="s">
        <v>19</v>
      </c>
      <c r="J17954">
        <v>72.540000000000006</v>
      </c>
      <c r="K17954">
        <v>14.04</v>
      </c>
      <c r="L17954">
        <v>69802</v>
      </c>
      <c r="M17954" t="s">
        <v>283</v>
      </c>
      <c r="N17954" t="str">
        <f>"649230170397"</f>
        <v>649230170397</v>
      </c>
      <c r="O17954">
        <v>230808</v>
      </c>
    </row>
    <row r="17955" spans="1:15" x14ac:dyDescent="0.25">
      <c r="A17955" t="s">
        <v>16</v>
      </c>
      <c r="B17955" t="s">
        <v>3221</v>
      </c>
      <c r="C17955">
        <v>973</v>
      </c>
      <c r="D17955" t="s">
        <v>3227</v>
      </c>
      <c r="E17955" t="s">
        <v>3228</v>
      </c>
      <c r="F17955">
        <v>51.6</v>
      </c>
      <c r="G17955">
        <v>230101</v>
      </c>
      <c r="H17955">
        <v>4370</v>
      </c>
      <c r="I17955" t="s">
        <v>25</v>
      </c>
      <c r="J17955">
        <v>51.6</v>
      </c>
      <c r="K17955">
        <v>0</v>
      </c>
      <c r="L17955">
        <v>59701</v>
      </c>
      <c r="M17955" t="s">
        <v>297</v>
      </c>
      <c r="N17955" t="str">
        <f>"649230032961"</f>
        <v>649230032961</v>
      </c>
      <c r="O17955">
        <v>230202</v>
      </c>
    </row>
    <row r="17956" spans="1:15" x14ac:dyDescent="0.25">
      <c r="A17956" t="s">
        <v>16</v>
      </c>
      <c r="B17956" t="s">
        <v>3221</v>
      </c>
      <c r="C17956">
        <v>9232</v>
      </c>
      <c r="D17956" t="s">
        <v>3227</v>
      </c>
      <c r="E17956" t="s">
        <v>3228</v>
      </c>
      <c r="F17956">
        <v>51.6</v>
      </c>
      <c r="G17956">
        <v>230701</v>
      </c>
      <c r="H17956">
        <v>4370</v>
      </c>
      <c r="I17956" t="s">
        <v>25</v>
      </c>
      <c r="J17956">
        <v>51.6</v>
      </c>
      <c r="K17956">
        <v>0</v>
      </c>
      <c r="L17956">
        <v>59701</v>
      </c>
      <c r="M17956" t="s">
        <v>297</v>
      </c>
      <c r="N17956" t="str">
        <f>"649230150557"</f>
        <v>649230150557</v>
      </c>
      <c r="O17956">
        <v>230703</v>
      </c>
    </row>
    <row r="17957" spans="1:15" x14ac:dyDescent="0.25">
      <c r="A17957" t="s">
        <v>16</v>
      </c>
      <c r="B17957" t="s">
        <v>3221</v>
      </c>
      <c r="C17957">
        <v>1710</v>
      </c>
      <c r="D17957" t="s">
        <v>1154</v>
      </c>
      <c r="E17957" t="s">
        <v>1155</v>
      </c>
      <c r="F17957">
        <v>101.53</v>
      </c>
      <c r="G17957">
        <v>230208</v>
      </c>
      <c r="H17957">
        <v>4552</v>
      </c>
      <c r="I17957" t="s">
        <v>338</v>
      </c>
      <c r="J17957">
        <v>125.9</v>
      </c>
      <c r="K17957">
        <v>24.37</v>
      </c>
      <c r="L17957">
        <v>66754</v>
      </c>
      <c r="M17957" t="s">
        <v>239</v>
      </c>
      <c r="N17957" t="str">
        <f>"13196       "</f>
        <v xml:space="preserve">13196       </v>
      </c>
      <c r="O17957">
        <v>230213</v>
      </c>
    </row>
    <row r="17958" spans="1:15" x14ac:dyDescent="0.25">
      <c r="A17958" t="s">
        <v>16</v>
      </c>
      <c r="B17958" t="s">
        <v>3221</v>
      </c>
      <c r="C17958">
        <v>6406</v>
      </c>
      <c r="D17958" t="s">
        <v>1154</v>
      </c>
      <c r="E17958" t="s">
        <v>1155</v>
      </c>
      <c r="F17958">
        <v>23.63</v>
      </c>
      <c r="G17958">
        <v>230503</v>
      </c>
      <c r="H17958">
        <v>4552</v>
      </c>
      <c r="I17958" t="s">
        <v>338</v>
      </c>
      <c r="J17958">
        <v>29.3</v>
      </c>
      <c r="K17958">
        <v>5.67</v>
      </c>
      <c r="L17958">
        <v>66722</v>
      </c>
      <c r="M17958" t="s">
        <v>518</v>
      </c>
      <c r="N17958" t="str">
        <f>"2517        "</f>
        <v xml:space="preserve">2517        </v>
      </c>
      <c r="O17958">
        <v>230511</v>
      </c>
    </row>
    <row r="17959" spans="1:15" x14ac:dyDescent="0.25">
      <c r="A17959" t="s">
        <v>16</v>
      </c>
      <c r="B17959" t="s">
        <v>3221</v>
      </c>
      <c r="C17959">
        <v>10149</v>
      </c>
      <c r="D17959" t="s">
        <v>2349</v>
      </c>
      <c r="E17959" t="s">
        <v>2350</v>
      </c>
      <c r="F17959">
        <v>261.51</v>
      </c>
      <c r="G17959">
        <v>230803</v>
      </c>
      <c r="H17959">
        <v>4600</v>
      </c>
      <c r="I17959" t="s">
        <v>105</v>
      </c>
      <c r="J17959">
        <v>324.27</v>
      </c>
      <c r="K17959">
        <v>62.76</v>
      </c>
      <c r="L17959">
        <v>17952</v>
      </c>
      <c r="M17959" t="s">
        <v>88</v>
      </c>
      <c r="N17959" t="str">
        <f>"1831326     "</f>
        <v xml:space="preserve">1831326     </v>
      </c>
      <c r="O17959">
        <v>230808</v>
      </c>
    </row>
    <row r="17960" spans="1:15" x14ac:dyDescent="0.25">
      <c r="A17960" t="s">
        <v>16</v>
      </c>
      <c r="B17960" t="s">
        <v>3221</v>
      </c>
      <c r="C17960">
        <v>18364</v>
      </c>
      <c r="D17960" t="s">
        <v>2715</v>
      </c>
      <c r="E17960" t="s">
        <v>2716</v>
      </c>
      <c r="F17960">
        <v>362.9</v>
      </c>
      <c r="G17960">
        <v>231231</v>
      </c>
      <c r="H17960">
        <v>4380</v>
      </c>
      <c r="I17960" t="s">
        <v>113</v>
      </c>
      <c r="J17960">
        <v>450</v>
      </c>
      <c r="K17960">
        <v>87.1</v>
      </c>
      <c r="L17960">
        <v>13641</v>
      </c>
      <c r="M17960" t="s">
        <v>1471</v>
      </c>
      <c r="N17960" t="str">
        <f>"6378        "</f>
        <v xml:space="preserve">6378        </v>
      </c>
      <c r="O17960">
        <v>240103</v>
      </c>
    </row>
    <row r="17961" spans="1:15" x14ac:dyDescent="0.25">
      <c r="A17961" t="s">
        <v>16</v>
      </c>
      <c r="B17961" t="s">
        <v>3221</v>
      </c>
      <c r="C17961">
        <v>13914</v>
      </c>
      <c r="D17961" t="s">
        <v>2715</v>
      </c>
      <c r="E17961" t="s">
        <v>2716</v>
      </c>
      <c r="F17961">
        <v>600.80999999999995</v>
      </c>
      <c r="G17961">
        <v>231003</v>
      </c>
      <c r="H17961">
        <v>4550</v>
      </c>
      <c r="I17961" t="s">
        <v>312</v>
      </c>
      <c r="J17961">
        <v>745</v>
      </c>
      <c r="K17961">
        <v>144.19</v>
      </c>
      <c r="L17961">
        <v>13641</v>
      </c>
      <c r="M17961" t="s">
        <v>1471</v>
      </c>
      <c r="N17961" t="str">
        <f>"6276        "</f>
        <v xml:space="preserve">6276        </v>
      </c>
      <c r="O17961">
        <v>231016</v>
      </c>
    </row>
    <row r="17962" spans="1:15" x14ac:dyDescent="0.25">
      <c r="A17962" t="s">
        <v>16</v>
      </c>
      <c r="B17962" t="s">
        <v>3221</v>
      </c>
      <c r="C17962">
        <v>14911</v>
      </c>
      <c r="D17962" t="s">
        <v>2715</v>
      </c>
      <c r="E17962" t="s">
        <v>2716</v>
      </c>
      <c r="F17962">
        <v>362.9</v>
      </c>
      <c r="G17962">
        <v>231102</v>
      </c>
      <c r="H17962">
        <v>4550</v>
      </c>
      <c r="I17962" t="s">
        <v>312</v>
      </c>
      <c r="J17962">
        <v>450</v>
      </c>
      <c r="K17962">
        <v>87.1</v>
      </c>
      <c r="L17962">
        <v>13641</v>
      </c>
      <c r="M17962" t="s">
        <v>1471</v>
      </c>
      <c r="N17962" t="str">
        <f>"6307        "</f>
        <v xml:space="preserve">6307        </v>
      </c>
      <c r="O17962">
        <v>231107</v>
      </c>
    </row>
    <row r="17963" spans="1:15" x14ac:dyDescent="0.25">
      <c r="A17963" t="s">
        <v>16</v>
      </c>
      <c r="B17963" t="s">
        <v>3221</v>
      </c>
      <c r="C17963">
        <v>16594</v>
      </c>
      <c r="D17963" t="s">
        <v>2715</v>
      </c>
      <c r="E17963" t="s">
        <v>2716</v>
      </c>
      <c r="F17963">
        <v>362.9</v>
      </c>
      <c r="G17963">
        <v>231201</v>
      </c>
      <c r="H17963">
        <v>4550</v>
      </c>
      <c r="I17963" t="s">
        <v>312</v>
      </c>
      <c r="J17963">
        <v>450</v>
      </c>
      <c r="K17963">
        <v>87.1</v>
      </c>
      <c r="L17963">
        <v>13641</v>
      </c>
      <c r="M17963" t="s">
        <v>1471</v>
      </c>
      <c r="N17963" t="str">
        <f>"6340        "</f>
        <v xml:space="preserve">6340        </v>
      </c>
      <c r="O17963">
        <v>231204</v>
      </c>
    </row>
    <row r="17964" spans="1:15" x14ac:dyDescent="0.25">
      <c r="A17964" t="s">
        <v>16</v>
      </c>
      <c r="B17964" t="s">
        <v>3221</v>
      </c>
      <c r="C17964">
        <v>1032</v>
      </c>
      <c r="D17964" t="s">
        <v>841</v>
      </c>
      <c r="E17964" t="s">
        <v>842</v>
      </c>
      <c r="F17964">
        <v>1201.76</v>
      </c>
      <c r="G17964">
        <v>230131</v>
      </c>
      <c r="H17964">
        <v>4380</v>
      </c>
      <c r="I17964" t="s">
        <v>113</v>
      </c>
      <c r="J17964">
        <v>1490.18</v>
      </c>
      <c r="K17964">
        <v>288.42</v>
      </c>
      <c r="L17964">
        <v>13841</v>
      </c>
      <c r="M17964" t="s">
        <v>47</v>
      </c>
      <c r="N17964" t="str">
        <f>"18657       "</f>
        <v xml:space="preserve">18657       </v>
      </c>
      <c r="O17964">
        <v>230202</v>
      </c>
    </row>
    <row r="17965" spans="1:15" x14ac:dyDescent="0.25">
      <c r="A17965" t="s">
        <v>16</v>
      </c>
      <c r="B17965" t="s">
        <v>3221</v>
      </c>
      <c r="C17965">
        <v>2912</v>
      </c>
      <c r="D17965" t="s">
        <v>841</v>
      </c>
      <c r="E17965" t="s">
        <v>842</v>
      </c>
      <c r="F17965">
        <v>1274.24</v>
      </c>
      <c r="G17965">
        <v>230228</v>
      </c>
      <c r="H17965">
        <v>4380</v>
      </c>
      <c r="I17965" t="s">
        <v>113</v>
      </c>
      <c r="J17965">
        <v>1580.06</v>
      </c>
      <c r="K17965">
        <v>305.82</v>
      </c>
      <c r="L17965">
        <v>13841</v>
      </c>
      <c r="M17965" t="s">
        <v>47</v>
      </c>
      <c r="N17965" t="str">
        <f>"18786       "</f>
        <v xml:space="preserve">18786       </v>
      </c>
      <c r="O17965">
        <v>230308</v>
      </c>
    </row>
    <row r="17966" spans="1:15" x14ac:dyDescent="0.25">
      <c r="A17966" t="s">
        <v>16</v>
      </c>
      <c r="B17966" t="s">
        <v>3221</v>
      </c>
      <c r="C17966">
        <v>4324</v>
      </c>
      <c r="D17966" t="s">
        <v>841</v>
      </c>
      <c r="E17966" t="s">
        <v>842</v>
      </c>
      <c r="F17966">
        <v>1798.6</v>
      </c>
      <c r="G17966">
        <v>230402</v>
      </c>
      <c r="H17966">
        <v>4380</v>
      </c>
      <c r="I17966" t="s">
        <v>113</v>
      </c>
      <c r="J17966">
        <v>2230.2600000000002</v>
      </c>
      <c r="K17966">
        <v>431.66</v>
      </c>
      <c r="L17966">
        <v>13841</v>
      </c>
      <c r="M17966" t="s">
        <v>47</v>
      </c>
      <c r="N17966" t="str">
        <f>"18915       "</f>
        <v xml:space="preserve">18915       </v>
      </c>
      <c r="O17966">
        <v>230404</v>
      </c>
    </row>
    <row r="17967" spans="1:15" x14ac:dyDescent="0.25">
      <c r="A17967" t="s">
        <v>16</v>
      </c>
      <c r="B17967" t="s">
        <v>3221</v>
      </c>
      <c r="C17967">
        <v>5723</v>
      </c>
      <c r="D17967" t="s">
        <v>841</v>
      </c>
      <c r="E17967" t="s">
        <v>842</v>
      </c>
      <c r="F17967">
        <v>1330.7</v>
      </c>
      <c r="G17967">
        <v>230427</v>
      </c>
      <c r="H17967">
        <v>4380</v>
      </c>
      <c r="I17967" t="s">
        <v>113</v>
      </c>
      <c r="J17967">
        <v>1650.07</v>
      </c>
      <c r="K17967">
        <v>319.37</v>
      </c>
      <c r="L17967">
        <v>13841</v>
      </c>
      <c r="M17967" t="s">
        <v>47</v>
      </c>
      <c r="N17967" t="str">
        <f>"19048       "</f>
        <v xml:space="preserve">19048       </v>
      </c>
      <c r="O17967">
        <v>230502</v>
      </c>
    </row>
    <row r="17968" spans="1:15" x14ac:dyDescent="0.25">
      <c r="A17968" t="s">
        <v>16</v>
      </c>
      <c r="B17968" t="s">
        <v>3221</v>
      </c>
      <c r="C17968">
        <v>7988</v>
      </c>
      <c r="D17968" t="s">
        <v>841</v>
      </c>
      <c r="E17968" t="s">
        <v>842</v>
      </c>
      <c r="F17968">
        <v>1568.74</v>
      </c>
      <c r="G17968">
        <v>230601</v>
      </c>
      <c r="H17968">
        <v>4380</v>
      </c>
      <c r="I17968" t="s">
        <v>113</v>
      </c>
      <c r="J17968">
        <v>1945.24</v>
      </c>
      <c r="K17968">
        <v>376.5</v>
      </c>
      <c r="L17968">
        <v>13841</v>
      </c>
      <c r="M17968" t="s">
        <v>47</v>
      </c>
      <c r="N17968" t="str">
        <f>"19174       "</f>
        <v xml:space="preserve">19174       </v>
      </c>
      <c r="O17968">
        <v>230606</v>
      </c>
    </row>
    <row r="17969" spans="1:15" x14ac:dyDescent="0.25">
      <c r="A17969" t="s">
        <v>16</v>
      </c>
      <c r="B17969" t="s">
        <v>3221</v>
      </c>
      <c r="C17969">
        <v>9879</v>
      </c>
      <c r="D17969" t="s">
        <v>841</v>
      </c>
      <c r="E17969" t="s">
        <v>842</v>
      </c>
      <c r="F17969">
        <v>1680</v>
      </c>
      <c r="G17969">
        <v>230724</v>
      </c>
      <c r="H17969">
        <v>4380</v>
      </c>
      <c r="I17969" t="s">
        <v>113</v>
      </c>
      <c r="J17969">
        <v>2083.1999999999998</v>
      </c>
      <c r="K17969">
        <v>403.2</v>
      </c>
      <c r="L17969">
        <v>13841</v>
      </c>
      <c r="M17969" t="s">
        <v>47</v>
      </c>
      <c r="N17969" t="str">
        <f>"19409       "</f>
        <v xml:space="preserve">19409       </v>
      </c>
      <c r="O17969">
        <v>230731</v>
      </c>
    </row>
    <row r="17970" spans="1:15" x14ac:dyDescent="0.25">
      <c r="A17970" t="s">
        <v>16</v>
      </c>
      <c r="B17970" t="s">
        <v>3221</v>
      </c>
      <c r="C17970">
        <v>11511</v>
      </c>
      <c r="D17970" t="s">
        <v>841</v>
      </c>
      <c r="E17970" t="s">
        <v>842</v>
      </c>
      <c r="F17970">
        <v>1375</v>
      </c>
      <c r="G17970">
        <v>230831</v>
      </c>
      <c r="H17970">
        <v>4380</v>
      </c>
      <c r="I17970" t="s">
        <v>113</v>
      </c>
      <c r="J17970">
        <v>1705</v>
      </c>
      <c r="K17970">
        <v>330</v>
      </c>
      <c r="L17970">
        <v>13841</v>
      </c>
      <c r="M17970" t="s">
        <v>47</v>
      </c>
      <c r="N17970" t="str">
        <f>"19546       "</f>
        <v xml:space="preserve">19546       </v>
      </c>
      <c r="O17970">
        <v>230907</v>
      </c>
    </row>
    <row r="17971" spans="1:15" x14ac:dyDescent="0.25">
      <c r="A17971" t="s">
        <v>16</v>
      </c>
      <c r="B17971" t="s">
        <v>3221</v>
      </c>
      <c r="C17971">
        <v>13030</v>
      </c>
      <c r="D17971" t="s">
        <v>841</v>
      </c>
      <c r="E17971" t="s">
        <v>842</v>
      </c>
      <c r="F17971">
        <v>1375</v>
      </c>
      <c r="G17971">
        <v>230927</v>
      </c>
      <c r="H17971">
        <v>4380</v>
      </c>
      <c r="I17971" t="s">
        <v>113</v>
      </c>
      <c r="J17971">
        <v>1705</v>
      </c>
      <c r="K17971">
        <v>330</v>
      </c>
      <c r="L17971">
        <v>13841</v>
      </c>
      <c r="M17971" t="s">
        <v>47</v>
      </c>
      <c r="N17971" t="str">
        <f>"19677       "</f>
        <v xml:space="preserve">19677       </v>
      </c>
      <c r="O17971">
        <v>231002</v>
      </c>
    </row>
    <row r="17972" spans="1:15" x14ac:dyDescent="0.25">
      <c r="A17972" t="s">
        <v>16</v>
      </c>
      <c r="B17972" t="s">
        <v>3221</v>
      </c>
      <c r="C17972">
        <v>14827</v>
      </c>
      <c r="D17972" t="s">
        <v>841</v>
      </c>
      <c r="E17972" t="s">
        <v>842</v>
      </c>
      <c r="F17972">
        <v>1375</v>
      </c>
      <c r="G17972">
        <v>231029</v>
      </c>
      <c r="H17972">
        <v>4380</v>
      </c>
      <c r="I17972" t="s">
        <v>113</v>
      </c>
      <c r="J17972">
        <v>1705</v>
      </c>
      <c r="K17972">
        <v>330</v>
      </c>
      <c r="L17972">
        <v>13841</v>
      </c>
      <c r="M17972" t="s">
        <v>47</v>
      </c>
      <c r="N17972" t="str">
        <f>"19827       "</f>
        <v xml:space="preserve">19827       </v>
      </c>
      <c r="O17972">
        <v>231106</v>
      </c>
    </row>
    <row r="17973" spans="1:15" x14ac:dyDescent="0.25">
      <c r="A17973" t="s">
        <v>16</v>
      </c>
      <c r="B17973" t="s">
        <v>3221</v>
      </c>
      <c r="C17973">
        <v>16617</v>
      </c>
      <c r="D17973" t="s">
        <v>841</v>
      </c>
      <c r="E17973" t="s">
        <v>842</v>
      </c>
      <c r="F17973">
        <v>1375</v>
      </c>
      <c r="G17973">
        <v>231129</v>
      </c>
      <c r="H17973">
        <v>4380</v>
      </c>
      <c r="I17973" t="s">
        <v>113</v>
      </c>
      <c r="J17973">
        <v>1705</v>
      </c>
      <c r="K17973">
        <v>330</v>
      </c>
      <c r="L17973">
        <v>13841</v>
      </c>
      <c r="M17973" t="s">
        <v>47</v>
      </c>
      <c r="N17973" t="str">
        <f>"19981       "</f>
        <v xml:space="preserve">19981       </v>
      </c>
      <c r="O17973">
        <v>231204</v>
      </c>
    </row>
    <row r="17974" spans="1:15" x14ac:dyDescent="0.25">
      <c r="A17974" t="s">
        <v>16</v>
      </c>
      <c r="B17974" t="s">
        <v>3221</v>
      </c>
      <c r="C17974">
        <v>18860</v>
      </c>
      <c r="D17974" t="s">
        <v>841</v>
      </c>
      <c r="E17974" t="s">
        <v>842</v>
      </c>
      <c r="F17974">
        <v>1375</v>
      </c>
      <c r="G17974">
        <v>231226</v>
      </c>
      <c r="H17974">
        <v>4380</v>
      </c>
      <c r="I17974" t="s">
        <v>113</v>
      </c>
      <c r="J17974">
        <v>1705</v>
      </c>
      <c r="K17974">
        <v>330</v>
      </c>
      <c r="L17974">
        <v>13841</v>
      </c>
      <c r="M17974" t="s">
        <v>47</v>
      </c>
      <c r="N17974" t="str">
        <f>"20141       "</f>
        <v xml:space="preserve">20141       </v>
      </c>
      <c r="O17974">
        <v>240108</v>
      </c>
    </row>
    <row r="17975" spans="1:15" x14ac:dyDescent="0.25">
      <c r="A17975" t="s">
        <v>16</v>
      </c>
      <c r="B17975" t="s">
        <v>3221</v>
      </c>
      <c r="C17975">
        <v>421</v>
      </c>
      <c r="D17975" t="s">
        <v>525</v>
      </c>
      <c r="E17975" t="s">
        <v>526</v>
      </c>
      <c r="F17975">
        <v>70</v>
      </c>
      <c r="G17975">
        <v>230118</v>
      </c>
      <c r="H17975">
        <v>4510</v>
      </c>
      <c r="I17975" t="s">
        <v>42</v>
      </c>
      <c r="J17975">
        <v>77</v>
      </c>
      <c r="K17975">
        <v>7</v>
      </c>
      <c r="L17975">
        <v>59504</v>
      </c>
      <c r="M17975" t="s">
        <v>71</v>
      </c>
      <c r="N17975" t="str">
        <f>"102452      "</f>
        <v xml:space="preserve">102452      </v>
      </c>
      <c r="O17975">
        <v>230120</v>
      </c>
    </row>
    <row r="17976" spans="1:15" x14ac:dyDescent="0.25">
      <c r="A17976" t="s">
        <v>16</v>
      </c>
      <c r="B17976" t="s">
        <v>3221</v>
      </c>
      <c r="C17976">
        <v>16719</v>
      </c>
      <c r="D17976" t="s">
        <v>525</v>
      </c>
      <c r="E17976" t="s">
        <v>526</v>
      </c>
      <c r="F17976">
        <v>96.77</v>
      </c>
      <c r="G17976">
        <v>231127</v>
      </c>
      <c r="H17976">
        <v>4440</v>
      </c>
      <c r="I17976" t="s">
        <v>250</v>
      </c>
      <c r="J17976">
        <v>120</v>
      </c>
      <c r="K17976">
        <v>23.23</v>
      </c>
      <c r="L17976">
        <v>16431</v>
      </c>
      <c r="M17976" t="s">
        <v>231</v>
      </c>
      <c r="N17976" t="str">
        <f>"103577      "</f>
        <v xml:space="preserve">103577      </v>
      </c>
      <c r="O17976">
        <v>231208</v>
      </c>
    </row>
    <row r="17977" spans="1:15" x14ac:dyDescent="0.25">
      <c r="A17977" t="s">
        <v>16</v>
      </c>
      <c r="B17977" t="s">
        <v>3221</v>
      </c>
      <c r="C17977">
        <v>424</v>
      </c>
      <c r="D17977" t="s">
        <v>529</v>
      </c>
      <c r="E17977" t="s">
        <v>530</v>
      </c>
      <c r="F17977">
        <v>154.31</v>
      </c>
      <c r="G17977">
        <v>230117</v>
      </c>
      <c r="H17977">
        <v>4550</v>
      </c>
      <c r="I17977" t="s">
        <v>312</v>
      </c>
      <c r="J17977">
        <v>191.35</v>
      </c>
      <c r="K17977">
        <v>37.04</v>
      </c>
      <c r="L17977">
        <v>59501</v>
      </c>
      <c r="M17977" t="s">
        <v>69</v>
      </c>
      <c r="N17977" t="str">
        <f>"105937      "</f>
        <v xml:space="preserve">105937      </v>
      </c>
      <c r="O17977">
        <v>230123</v>
      </c>
    </row>
    <row r="17978" spans="1:15" x14ac:dyDescent="0.25">
      <c r="A17978" t="s">
        <v>16</v>
      </c>
      <c r="B17978" t="s">
        <v>3221</v>
      </c>
      <c r="C17978">
        <v>3934</v>
      </c>
      <c r="D17978" t="s">
        <v>529</v>
      </c>
      <c r="E17978" t="s">
        <v>530</v>
      </c>
      <c r="F17978">
        <v>296.61</v>
      </c>
      <c r="G17978">
        <v>230324</v>
      </c>
      <c r="H17978">
        <v>4550</v>
      </c>
      <c r="I17978" t="s">
        <v>312</v>
      </c>
      <c r="J17978">
        <v>367.8</v>
      </c>
      <c r="K17978">
        <v>71.19</v>
      </c>
      <c r="L17978">
        <v>59501</v>
      </c>
      <c r="M17978" t="s">
        <v>69</v>
      </c>
      <c r="N17978" t="str">
        <f>"106656      "</f>
        <v xml:space="preserve">106656      </v>
      </c>
      <c r="O17978">
        <v>230327</v>
      </c>
    </row>
    <row r="17979" spans="1:15" x14ac:dyDescent="0.25">
      <c r="A17979" t="s">
        <v>16</v>
      </c>
      <c r="B17979" t="s">
        <v>3221</v>
      </c>
      <c r="C17979">
        <v>4255</v>
      </c>
      <c r="D17979" t="s">
        <v>1588</v>
      </c>
      <c r="E17979" t="s">
        <v>1589</v>
      </c>
      <c r="F17979">
        <v>241.94</v>
      </c>
      <c r="G17979">
        <v>230327</v>
      </c>
      <c r="H17979">
        <v>4532</v>
      </c>
      <c r="I17979" t="s">
        <v>116</v>
      </c>
      <c r="J17979">
        <v>300</v>
      </c>
      <c r="K17979">
        <v>58.06</v>
      </c>
      <c r="L17979">
        <v>56558</v>
      </c>
      <c r="M17979" t="s">
        <v>217</v>
      </c>
      <c r="N17979" t="str">
        <f>"123/13915   "</f>
        <v xml:space="preserve">123/13915   </v>
      </c>
      <c r="O17979">
        <v>230403</v>
      </c>
    </row>
    <row r="17980" spans="1:15" x14ac:dyDescent="0.25">
      <c r="A17980" t="s">
        <v>16</v>
      </c>
      <c r="B17980" t="s">
        <v>3221</v>
      </c>
      <c r="C17980">
        <v>5649</v>
      </c>
      <c r="D17980" t="s">
        <v>1588</v>
      </c>
      <c r="E17980" t="s">
        <v>1589</v>
      </c>
      <c r="F17980">
        <v>241.94</v>
      </c>
      <c r="G17980">
        <v>230426</v>
      </c>
      <c r="H17980">
        <v>4532</v>
      </c>
      <c r="I17980" t="s">
        <v>116</v>
      </c>
      <c r="J17980">
        <v>300</v>
      </c>
      <c r="K17980">
        <v>58.06</v>
      </c>
      <c r="L17980">
        <v>56558</v>
      </c>
      <c r="M17980" t="s">
        <v>217</v>
      </c>
      <c r="N17980" t="str">
        <f>"123/19382   "</f>
        <v xml:space="preserve">123/19382   </v>
      </c>
      <c r="O17980">
        <v>230428</v>
      </c>
    </row>
    <row r="17981" spans="1:15" x14ac:dyDescent="0.25">
      <c r="A17981" t="s">
        <v>16</v>
      </c>
      <c r="B17981" t="s">
        <v>3221</v>
      </c>
      <c r="C17981">
        <v>7444</v>
      </c>
      <c r="D17981" t="s">
        <v>1588</v>
      </c>
      <c r="E17981" t="s">
        <v>1589</v>
      </c>
      <c r="F17981">
        <v>241.94</v>
      </c>
      <c r="G17981">
        <v>230524</v>
      </c>
      <c r="H17981">
        <v>4532</v>
      </c>
      <c r="I17981" t="s">
        <v>116</v>
      </c>
      <c r="J17981">
        <v>300</v>
      </c>
      <c r="K17981">
        <v>58.06</v>
      </c>
      <c r="L17981">
        <v>56565</v>
      </c>
      <c r="M17981" t="s">
        <v>758</v>
      </c>
      <c r="N17981" t="str">
        <f>"123/24298   "</f>
        <v xml:space="preserve">123/24298   </v>
      </c>
      <c r="O17981">
        <v>230530</v>
      </c>
    </row>
    <row r="17982" spans="1:15" x14ac:dyDescent="0.25">
      <c r="A17982" t="s">
        <v>16</v>
      </c>
      <c r="B17982" t="s">
        <v>3221</v>
      </c>
      <c r="C17982">
        <v>9365</v>
      </c>
      <c r="D17982" t="s">
        <v>1588</v>
      </c>
      <c r="E17982" t="s">
        <v>1589</v>
      </c>
      <c r="F17982">
        <v>238.79</v>
      </c>
      <c r="G17982">
        <v>230629</v>
      </c>
      <c r="H17982">
        <v>4532</v>
      </c>
      <c r="I17982" t="s">
        <v>116</v>
      </c>
      <c r="J17982">
        <v>296.10000000000002</v>
      </c>
      <c r="K17982">
        <v>57.31</v>
      </c>
      <c r="L17982">
        <v>56558</v>
      </c>
      <c r="M17982" t="s">
        <v>217</v>
      </c>
      <c r="N17982" t="str">
        <f>"123/30981   "</f>
        <v xml:space="preserve">123/30981   </v>
      </c>
      <c r="O17982">
        <v>230710</v>
      </c>
    </row>
    <row r="17983" spans="1:15" x14ac:dyDescent="0.25">
      <c r="A17983" t="s">
        <v>16</v>
      </c>
      <c r="B17983" t="s">
        <v>3221</v>
      </c>
      <c r="C17983">
        <v>12732</v>
      </c>
      <c r="D17983" t="s">
        <v>1588</v>
      </c>
      <c r="E17983" t="s">
        <v>1589</v>
      </c>
      <c r="F17983">
        <v>296.85000000000002</v>
      </c>
      <c r="G17983">
        <v>230918</v>
      </c>
      <c r="H17983">
        <v>4532</v>
      </c>
      <c r="I17983" t="s">
        <v>116</v>
      </c>
      <c r="J17983">
        <v>368.1</v>
      </c>
      <c r="K17983">
        <v>71.25</v>
      </c>
      <c r="L17983">
        <v>56561</v>
      </c>
      <c r="M17983" t="s">
        <v>358</v>
      </c>
      <c r="N17983" t="str">
        <f>"123/44208   "</f>
        <v xml:space="preserve">123/44208   </v>
      </c>
      <c r="O17983">
        <v>230925</v>
      </c>
    </row>
    <row r="17984" spans="1:15" x14ac:dyDescent="0.25">
      <c r="A17984" t="s">
        <v>16</v>
      </c>
      <c r="B17984" t="s">
        <v>3221</v>
      </c>
      <c r="C17984">
        <v>13250</v>
      </c>
      <c r="D17984" t="s">
        <v>1588</v>
      </c>
      <c r="E17984" t="s">
        <v>1589</v>
      </c>
      <c r="F17984">
        <v>241.94</v>
      </c>
      <c r="G17984">
        <v>230928</v>
      </c>
      <c r="H17984">
        <v>4532</v>
      </c>
      <c r="I17984" t="s">
        <v>116</v>
      </c>
      <c r="J17984">
        <v>300</v>
      </c>
      <c r="K17984">
        <v>58.06</v>
      </c>
      <c r="L17984">
        <v>56522</v>
      </c>
      <c r="M17984" t="s">
        <v>43</v>
      </c>
      <c r="N17984" t="str">
        <f>"123/46182   "</f>
        <v xml:space="preserve">123/46182   </v>
      </c>
      <c r="O17984">
        <v>231006</v>
      </c>
    </row>
    <row r="17985" spans="1:15" x14ac:dyDescent="0.25">
      <c r="A17985" t="s">
        <v>16</v>
      </c>
      <c r="B17985" t="s">
        <v>3221</v>
      </c>
      <c r="C17985">
        <v>15553</v>
      </c>
      <c r="D17985" t="s">
        <v>1588</v>
      </c>
      <c r="E17985" t="s">
        <v>1589</v>
      </c>
      <c r="F17985">
        <v>209</v>
      </c>
      <c r="G17985">
        <v>231109</v>
      </c>
      <c r="H17985">
        <v>4532</v>
      </c>
      <c r="I17985" t="s">
        <v>116</v>
      </c>
      <c r="J17985">
        <v>259.16000000000003</v>
      </c>
      <c r="K17985">
        <v>50.16</v>
      </c>
      <c r="L17985">
        <v>59704</v>
      </c>
      <c r="M17985" t="s">
        <v>1103</v>
      </c>
      <c r="N17985" t="str">
        <f>"123/54110   "</f>
        <v xml:space="preserve">123/54110   </v>
      </c>
      <c r="O17985">
        <v>231113</v>
      </c>
    </row>
    <row r="17986" spans="1:15" x14ac:dyDescent="0.25">
      <c r="A17986" t="s">
        <v>16</v>
      </c>
      <c r="B17986" t="s">
        <v>3221</v>
      </c>
      <c r="C17986">
        <v>16998</v>
      </c>
      <c r="D17986" t="s">
        <v>1588</v>
      </c>
      <c r="E17986" t="s">
        <v>1589</v>
      </c>
      <c r="F17986">
        <v>241.94</v>
      </c>
      <c r="G17986">
        <v>231203</v>
      </c>
      <c r="H17986">
        <v>4400</v>
      </c>
      <c r="I17986" t="s">
        <v>348</v>
      </c>
      <c r="J17986">
        <v>300</v>
      </c>
      <c r="K17986">
        <v>58.06</v>
      </c>
      <c r="L17986">
        <v>17523</v>
      </c>
      <c r="M17986" t="s">
        <v>134</v>
      </c>
      <c r="N17986" t="str">
        <f>"123/58527   "</f>
        <v xml:space="preserve">123/58527   </v>
      </c>
      <c r="O17986">
        <v>231211</v>
      </c>
    </row>
    <row r="17987" spans="1:15" x14ac:dyDescent="0.25">
      <c r="A17987" t="s">
        <v>16</v>
      </c>
      <c r="B17987" t="s">
        <v>3221</v>
      </c>
      <c r="C17987">
        <v>3668</v>
      </c>
      <c r="D17987" t="s">
        <v>1588</v>
      </c>
      <c r="E17987" t="s">
        <v>1589</v>
      </c>
      <c r="F17987">
        <v>97.66</v>
      </c>
      <c r="G17987">
        <v>230316</v>
      </c>
      <c r="H17987">
        <v>4600</v>
      </c>
      <c r="I17987" t="s">
        <v>105</v>
      </c>
      <c r="J17987">
        <v>121.1</v>
      </c>
      <c r="K17987">
        <v>23.44</v>
      </c>
      <c r="L17987">
        <v>17805</v>
      </c>
      <c r="M17987" t="s">
        <v>102</v>
      </c>
      <c r="N17987" t="str">
        <f>"123/11963   "</f>
        <v xml:space="preserve">123/11963   </v>
      </c>
      <c r="O17987">
        <v>230320</v>
      </c>
    </row>
    <row r="17988" spans="1:15" x14ac:dyDescent="0.25">
      <c r="A17988" t="s">
        <v>16</v>
      </c>
      <c r="B17988" t="s">
        <v>3221</v>
      </c>
      <c r="C17988">
        <v>12059</v>
      </c>
      <c r="D17988" t="s">
        <v>1588</v>
      </c>
      <c r="E17988" t="s">
        <v>1589</v>
      </c>
      <c r="F17988">
        <v>329</v>
      </c>
      <c r="G17988">
        <v>230909</v>
      </c>
      <c r="H17988">
        <v>4600</v>
      </c>
      <c r="I17988" t="s">
        <v>105</v>
      </c>
      <c r="J17988">
        <v>407.96</v>
      </c>
      <c r="K17988">
        <v>78.959999999999994</v>
      </c>
      <c r="L17988">
        <v>69703</v>
      </c>
      <c r="M17988" t="s">
        <v>1036</v>
      </c>
      <c r="N17988" t="str">
        <f>"123/42850   "</f>
        <v xml:space="preserve">123/42850   </v>
      </c>
      <c r="O17988">
        <v>230913</v>
      </c>
    </row>
    <row r="17989" spans="1:15" x14ac:dyDescent="0.25">
      <c r="A17989" t="s">
        <v>16</v>
      </c>
      <c r="B17989" t="s">
        <v>3221</v>
      </c>
      <c r="C17989">
        <v>15978</v>
      </c>
      <c r="D17989" t="s">
        <v>1588</v>
      </c>
      <c r="E17989" t="s">
        <v>1589</v>
      </c>
      <c r="F17989">
        <v>179</v>
      </c>
      <c r="G17989">
        <v>231115</v>
      </c>
      <c r="H17989">
        <v>4600</v>
      </c>
      <c r="I17989" t="s">
        <v>105</v>
      </c>
      <c r="J17989">
        <v>221.96</v>
      </c>
      <c r="K17989">
        <v>42.96</v>
      </c>
      <c r="L17989">
        <v>11604</v>
      </c>
      <c r="M17989" t="s">
        <v>1277</v>
      </c>
      <c r="N17989" t="str">
        <f>"123/55167   "</f>
        <v xml:space="preserve">123/55167   </v>
      </c>
      <c r="O17989">
        <v>231122</v>
      </c>
    </row>
    <row r="17990" spans="1:15" x14ac:dyDescent="0.25">
      <c r="A17990" t="s">
        <v>16</v>
      </c>
      <c r="B17990" t="s">
        <v>3221</v>
      </c>
      <c r="C17990">
        <v>18817</v>
      </c>
      <c r="D17990" t="s">
        <v>1588</v>
      </c>
      <c r="E17990" t="s">
        <v>1589</v>
      </c>
      <c r="F17990">
        <v>344</v>
      </c>
      <c r="G17990">
        <v>231227</v>
      </c>
      <c r="H17990">
        <v>4600</v>
      </c>
      <c r="I17990" t="s">
        <v>105</v>
      </c>
      <c r="J17990">
        <v>426.56</v>
      </c>
      <c r="K17990">
        <v>82.56</v>
      </c>
      <c r="L17990">
        <v>59701</v>
      </c>
      <c r="M17990" t="s">
        <v>297</v>
      </c>
      <c r="N17990" t="str">
        <f>"123/62630   "</f>
        <v xml:space="preserve">123/62630   </v>
      </c>
      <c r="O17990">
        <v>240108</v>
      </c>
    </row>
    <row r="17991" spans="1:15" x14ac:dyDescent="0.25">
      <c r="A17991" t="s">
        <v>16</v>
      </c>
      <c r="B17991" t="s">
        <v>3221</v>
      </c>
      <c r="C17991">
        <v>18879</v>
      </c>
      <c r="D17991" t="s">
        <v>1588</v>
      </c>
      <c r="E17991" t="s">
        <v>1589</v>
      </c>
      <c r="F17991">
        <v>275.08</v>
      </c>
      <c r="G17991">
        <v>231230</v>
      </c>
      <c r="H17991">
        <v>4600</v>
      </c>
      <c r="I17991" t="s">
        <v>105</v>
      </c>
      <c r="J17991">
        <v>341.1</v>
      </c>
      <c r="K17991">
        <v>66.02</v>
      </c>
      <c r="L17991">
        <v>17536</v>
      </c>
      <c r="M17991" t="s">
        <v>734</v>
      </c>
      <c r="N17991" t="str">
        <f>"123/63213   "</f>
        <v xml:space="preserve">123/63213   </v>
      </c>
      <c r="O17991">
        <v>240108</v>
      </c>
    </row>
    <row r="17992" spans="1:15" x14ac:dyDescent="0.25">
      <c r="A17992" t="s">
        <v>16</v>
      </c>
      <c r="B17992" t="s">
        <v>3221</v>
      </c>
      <c r="C17992">
        <v>197</v>
      </c>
      <c r="D17992" t="s">
        <v>306</v>
      </c>
      <c r="E17992" t="s">
        <v>307</v>
      </c>
      <c r="F17992">
        <v>144.41999999999999</v>
      </c>
      <c r="G17992">
        <v>230109</v>
      </c>
      <c r="H17992">
        <v>4600</v>
      </c>
      <c r="I17992" t="s">
        <v>105</v>
      </c>
      <c r="J17992">
        <v>179.08</v>
      </c>
      <c r="K17992">
        <v>34.659999999999997</v>
      </c>
      <c r="L17992">
        <v>54222</v>
      </c>
      <c r="M17992" t="s">
        <v>308</v>
      </c>
      <c r="N17992" t="str">
        <f>"712870      "</f>
        <v xml:space="preserve">712870      </v>
      </c>
      <c r="O17992">
        <v>230116</v>
      </c>
    </row>
    <row r="17993" spans="1:15" x14ac:dyDescent="0.25">
      <c r="A17993" t="s">
        <v>16</v>
      </c>
      <c r="B17993" t="s">
        <v>3221</v>
      </c>
      <c r="C17993">
        <v>197</v>
      </c>
      <c r="D17993" t="s">
        <v>306</v>
      </c>
      <c r="E17993" t="s">
        <v>307</v>
      </c>
      <c r="F17993">
        <v>144.41999999999999</v>
      </c>
      <c r="G17993">
        <v>230109</v>
      </c>
      <c r="H17993">
        <v>4600</v>
      </c>
      <c r="I17993" t="s">
        <v>105</v>
      </c>
      <c r="J17993">
        <v>179.08</v>
      </c>
      <c r="K17993">
        <v>34.659999999999997</v>
      </c>
      <c r="L17993">
        <v>54251</v>
      </c>
      <c r="M17993" t="s">
        <v>309</v>
      </c>
      <c r="N17993" t="str">
        <f>"712870      "</f>
        <v xml:space="preserve">712870      </v>
      </c>
      <c r="O17993">
        <v>230116</v>
      </c>
    </row>
    <row r="17994" spans="1:15" x14ac:dyDescent="0.25">
      <c r="A17994" t="s">
        <v>16</v>
      </c>
      <c r="B17994" t="s">
        <v>3221</v>
      </c>
      <c r="C17994">
        <v>324</v>
      </c>
      <c r="D17994" t="s">
        <v>306</v>
      </c>
      <c r="E17994" t="s">
        <v>307</v>
      </c>
      <c r="F17994">
        <v>146.58000000000001</v>
      </c>
      <c r="G17994">
        <v>230112</v>
      </c>
      <c r="H17994">
        <v>4600</v>
      </c>
      <c r="I17994" t="s">
        <v>105</v>
      </c>
      <c r="J17994">
        <v>181.76</v>
      </c>
      <c r="K17994">
        <v>35.18</v>
      </c>
      <c r="L17994">
        <v>54222</v>
      </c>
      <c r="M17994" t="s">
        <v>308</v>
      </c>
      <c r="N17994" t="str">
        <f>"713387      "</f>
        <v xml:space="preserve">713387      </v>
      </c>
      <c r="O17994">
        <v>230118</v>
      </c>
    </row>
    <row r="17995" spans="1:15" x14ac:dyDescent="0.25">
      <c r="A17995" t="s">
        <v>16</v>
      </c>
      <c r="B17995" t="s">
        <v>3221</v>
      </c>
      <c r="C17995">
        <v>324</v>
      </c>
      <c r="D17995" t="s">
        <v>306</v>
      </c>
      <c r="E17995" t="s">
        <v>307</v>
      </c>
      <c r="F17995">
        <v>146.57</v>
      </c>
      <c r="G17995">
        <v>230112</v>
      </c>
      <c r="H17995">
        <v>4600</v>
      </c>
      <c r="I17995" t="s">
        <v>105</v>
      </c>
      <c r="J17995">
        <v>181.75</v>
      </c>
      <c r="K17995">
        <v>35.18</v>
      </c>
      <c r="L17995">
        <v>54251</v>
      </c>
      <c r="M17995" t="s">
        <v>309</v>
      </c>
      <c r="N17995" t="str">
        <f>"713387      "</f>
        <v xml:space="preserve">713387      </v>
      </c>
      <c r="O17995">
        <v>230118</v>
      </c>
    </row>
    <row r="17996" spans="1:15" x14ac:dyDescent="0.25">
      <c r="A17996" t="s">
        <v>16</v>
      </c>
      <c r="B17996" t="s">
        <v>3221</v>
      </c>
      <c r="C17996">
        <v>551</v>
      </c>
      <c r="D17996" t="s">
        <v>306</v>
      </c>
      <c r="E17996" t="s">
        <v>307</v>
      </c>
      <c r="F17996">
        <v>59.23</v>
      </c>
      <c r="G17996">
        <v>230118</v>
      </c>
      <c r="H17996">
        <v>4600</v>
      </c>
      <c r="I17996" t="s">
        <v>105</v>
      </c>
      <c r="J17996">
        <v>73.44</v>
      </c>
      <c r="K17996">
        <v>14.21</v>
      </c>
      <c r="L17996">
        <v>54222</v>
      </c>
      <c r="M17996" t="s">
        <v>308</v>
      </c>
      <c r="N17996" t="str">
        <f>"714000      "</f>
        <v xml:space="preserve">714000      </v>
      </c>
      <c r="O17996">
        <v>230124</v>
      </c>
    </row>
    <row r="17997" spans="1:15" x14ac:dyDescent="0.25">
      <c r="A17997" t="s">
        <v>16</v>
      </c>
      <c r="B17997" t="s">
        <v>3221</v>
      </c>
      <c r="C17997">
        <v>551</v>
      </c>
      <c r="D17997" t="s">
        <v>306</v>
      </c>
      <c r="E17997" t="s">
        <v>307</v>
      </c>
      <c r="F17997">
        <v>59.23</v>
      </c>
      <c r="G17997">
        <v>230118</v>
      </c>
      <c r="H17997">
        <v>4600</v>
      </c>
      <c r="I17997" t="s">
        <v>105</v>
      </c>
      <c r="J17997">
        <v>73.45</v>
      </c>
      <c r="K17997">
        <v>14.22</v>
      </c>
      <c r="L17997">
        <v>54251</v>
      </c>
      <c r="M17997" t="s">
        <v>309</v>
      </c>
      <c r="N17997" t="str">
        <f>"714000      "</f>
        <v xml:space="preserve">714000      </v>
      </c>
      <c r="O17997">
        <v>230124</v>
      </c>
    </row>
    <row r="17998" spans="1:15" x14ac:dyDescent="0.25">
      <c r="A17998" t="s">
        <v>16</v>
      </c>
      <c r="B17998" t="s">
        <v>3221</v>
      </c>
      <c r="C17998">
        <v>1196</v>
      </c>
      <c r="D17998" t="s">
        <v>306</v>
      </c>
      <c r="E17998" t="s">
        <v>307</v>
      </c>
      <c r="F17998">
        <v>155.47999999999999</v>
      </c>
      <c r="G17998">
        <v>230131</v>
      </c>
      <c r="H17998">
        <v>4600</v>
      </c>
      <c r="I17998" t="s">
        <v>105</v>
      </c>
      <c r="J17998">
        <v>192.8</v>
      </c>
      <c r="K17998">
        <v>37.32</v>
      </c>
      <c r="L17998">
        <v>54222</v>
      </c>
      <c r="M17998" t="s">
        <v>308</v>
      </c>
      <c r="N17998" t="str">
        <f>"715347      "</f>
        <v xml:space="preserve">715347      </v>
      </c>
      <c r="O17998">
        <v>230206</v>
      </c>
    </row>
    <row r="17999" spans="1:15" x14ac:dyDescent="0.25">
      <c r="A17999" t="s">
        <v>16</v>
      </c>
      <c r="B17999" t="s">
        <v>3221</v>
      </c>
      <c r="C17999">
        <v>1196</v>
      </c>
      <c r="D17999" t="s">
        <v>306</v>
      </c>
      <c r="E17999" t="s">
        <v>307</v>
      </c>
      <c r="F17999">
        <v>155.47999999999999</v>
      </c>
      <c r="G17999">
        <v>230131</v>
      </c>
      <c r="H17999">
        <v>4600</v>
      </c>
      <c r="I17999" t="s">
        <v>105</v>
      </c>
      <c r="J17999">
        <v>192.79</v>
      </c>
      <c r="K17999">
        <v>37.31</v>
      </c>
      <c r="L17999">
        <v>54251</v>
      </c>
      <c r="M17999" t="s">
        <v>309</v>
      </c>
      <c r="N17999" t="str">
        <f>"715347      "</f>
        <v xml:space="preserve">715347      </v>
      </c>
      <c r="O17999">
        <v>230206</v>
      </c>
    </row>
    <row r="18000" spans="1:15" x14ac:dyDescent="0.25">
      <c r="A18000" t="s">
        <v>16</v>
      </c>
      <c r="B18000" t="s">
        <v>3221</v>
      </c>
      <c r="C18000">
        <v>1506</v>
      </c>
      <c r="D18000" t="s">
        <v>306</v>
      </c>
      <c r="E18000" t="s">
        <v>307</v>
      </c>
      <c r="F18000">
        <v>137.46</v>
      </c>
      <c r="G18000">
        <v>230207</v>
      </c>
      <c r="H18000">
        <v>4600</v>
      </c>
      <c r="I18000" t="s">
        <v>105</v>
      </c>
      <c r="J18000">
        <v>170.45</v>
      </c>
      <c r="K18000">
        <v>32.99</v>
      </c>
      <c r="L18000">
        <v>54222</v>
      </c>
      <c r="M18000" t="s">
        <v>308</v>
      </c>
      <c r="N18000" t="str">
        <f>"716049      "</f>
        <v xml:space="preserve">716049      </v>
      </c>
      <c r="O18000">
        <v>230209</v>
      </c>
    </row>
    <row r="18001" spans="1:15" x14ac:dyDescent="0.25">
      <c r="A18001" t="s">
        <v>16</v>
      </c>
      <c r="B18001" t="s">
        <v>3221</v>
      </c>
      <c r="C18001">
        <v>1506</v>
      </c>
      <c r="D18001" t="s">
        <v>306</v>
      </c>
      <c r="E18001" t="s">
        <v>307</v>
      </c>
      <c r="F18001">
        <v>137.46</v>
      </c>
      <c r="G18001">
        <v>230207</v>
      </c>
      <c r="H18001">
        <v>4600</v>
      </c>
      <c r="I18001" t="s">
        <v>105</v>
      </c>
      <c r="J18001">
        <v>170.45</v>
      </c>
      <c r="K18001">
        <v>32.99</v>
      </c>
      <c r="L18001">
        <v>54251</v>
      </c>
      <c r="M18001" t="s">
        <v>309</v>
      </c>
      <c r="N18001" t="str">
        <f>"716049      "</f>
        <v xml:space="preserve">716049      </v>
      </c>
      <c r="O18001">
        <v>230209</v>
      </c>
    </row>
    <row r="18002" spans="1:15" x14ac:dyDescent="0.25">
      <c r="A18002" t="s">
        <v>16</v>
      </c>
      <c r="B18002" t="s">
        <v>3221</v>
      </c>
      <c r="C18002">
        <v>2911</v>
      </c>
      <c r="D18002" t="s">
        <v>306</v>
      </c>
      <c r="E18002" t="s">
        <v>307</v>
      </c>
      <c r="F18002">
        <v>206.46</v>
      </c>
      <c r="G18002">
        <v>230228</v>
      </c>
      <c r="H18002">
        <v>4600</v>
      </c>
      <c r="I18002" t="s">
        <v>105</v>
      </c>
      <c r="J18002">
        <v>256.01</v>
      </c>
      <c r="K18002">
        <v>49.55</v>
      </c>
      <c r="L18002">
        <v>54222</v>
      </c>
      <c r="M18002" t="s">
        <v>308</v>
      </c>
      <c r="N18002" t="str">
        <f>"718011      "</f>
        <v xml:space="preserve">718011      </v>
      </c>
      <c r="O18002">
        <v>230308</v>
      </c>
    </row>
    <row r="18003" spans="1:15" x14ac:dyDescent="0.25">
      <c r="A18003" t="s">
        <v>16</v>
      </c>
      <c r="B18003" t="s">
        <v>3221</v>
      </c>
      <c r="C18003">
        <v>2911</v>
      </c>
      <c r="D18003" t="s">
        <v>306</v>
      </c>
      <c r="E18003" t="s">
        <v>307</v>
      </c>
      <c r="F18003">
        <v>206.46</v>
      </c>
      <c r="G18003">
        <v>230228</v>
      </c>
      <c r="H18003">
        <v>4600</v>
      </c>
      <c r="I18003" t="s">
        <v>105</v>
      </c>
      <c r="J18003">
        <v>256.01</v>
      </c>
      <c r="K18003">
        <v>49.55</v>
      </c>
      <c r="L18003">
        <v>54251</v>
      </c>
      <c r="M18003" t="s">
        <v>309</v>
      </c>
      <c r="N18003" t="str">
        <f>"718011      "</f>
        <v xml:space="preserve">718011      </v>
      </c>
      <c r="O18003">
        <v>230308</v>
      </c>
    </row>
    <row r="18004" spans="1:15" x14ac:dyDescent="0.25">
      <c r="A18004" t="s">
        <v>16</v>
      </c>
      <c r="B18004" t="s">
        <v>3221</v>
      </c>
      <c r="C18004">
        <v>3549</v>
      </c>
      <c r="D18004" t="s">
        <v>306</v>
      </c>
      <c r="E18004" t="s">
        <v>307</v>
      </c>
      <c r="F18004">
        <v>167.76</v>
      </c>
      <c r="G18004">
        <v>230309</v>
      </c>
      <c r="H18004">
        <v>4600</v>
      </c>
      <c r="I18004" t="s">
        <v>105</v>
      </c>
      <c r="J18004">
        <v>208.02</v>
      </c>
      <c r="K18004">
        <v>40.26</v>
      </c>
      <c r="L18004">
        <v>54222</v>
      </c>
      <c r="M18004" t="s">
        <v>308</v>
      </c>
      <c r="N18004" t="str">
        <f>"718748      "</f>
        <v xml:space="preserve">718748      </v>
      </c>
      <c r="O18004">
        <v>230316</v>
      </c>
    </row>
    <row r="18005" spans="1:15" x14ac:dyDescent="0.25">
      <c r="A18005" t="s">
        <v>16</v>
      </c>
      <c r="B18005" t="s">
        <v>3221</v>
      </c>
      <c r="C18005">
        <v>3549</v>
      </c>
      <c r="D18005" t="s">
        <v>306</v>
      </c>
      <c r="E18005" t="s">
        <v>307</v>
      </c>
      <c r="F18005">
        <v>167.76</v>
      </c>
      <c r="G18005">
        <v>230309</v>
      </c>
      <c r="H18005">
        <v>4600</v>
      </c>
      <c r="I18005" t="s">
        <v>105</v>
      </c>
      <c r="J18005">
        <v>208.02</v>
      </c>
      <c r="K18005">
        <v>40.26</v>
      </c>
      <c r="L18005">
        <v>54251</v>
      </c>
      <c r="M18005" t="s">
        <v>309</v>
      </c>
      <c r="N18005" t="str">
        <f>"718748      "</f>
        <v xml:space="preserve">718748      </v>
      </c>
      <c r="O18005">
        <v>230316</v>
      </c>
    </row>
    <row r="18006" spans="1:15" x14ac:dyDescent="0.25">
      <c r="A18006" t="s">
        <v>16</v>
      </c>
      <c r="B18006" t="s">
        <v>3221</v>
      </c>
      <c r="C18006">
        <v>4019</v>
      </c>
      <c r="D18006" t="s">
        <v>306</v>
      </c>
      <c r="E18006" t="s">
        <v>307</v>
      </c>
      <c r="F18006">
        <v>182.76</v>
      </c>
      <c r="G18006">
        <v>230323</v>
      </c>
      <c r="H18006">
        <v>4600</v>
      </c>
      <c r="I18006" t="s">
        <v>105</v>
      </c>
      <c r="J18006">
        <v>226.62</v>
      </c>
      <c r="K18006">
        <v>43.86</v>
      </c>
      <c r="L18006">
        <v>54222</v>
      </c>
      <c r="M18006" t="s">
        <v>308</v>
      </c>
      <c r="N18006" t="str">
        <f>"719991      "</f>
        <v xml:space="preserve">719991      </v>
      </c>
      <c r="O18006">
        <v>230329</v>
      </c>
    </row>
    <row r="18007" spans="1:15" x14ac:dyDescent="0.25">
      <c r="A18007" t="s">
        <v>16</v>
      </c>
      <c r="B18007" t="s">
        <v>3221</v>
      </c>
      <c r="C18007">
        <v>4019</v>
      </c>
      <c r="D18007" t="s">
        <v>306</v>
      </c>
      <c r="E18007" t="s">
        <v>307</v>
      </c>
      <c r="F18007">
        <v>182.76</v>
      </c>
      <c r="G18007">
        <v>230323</v>
      </c>
      <c r="H18007">
        <v>4600</v>
      </c>
      <c r="I18007" t="s">
        <v>105</v>
      </c>
      <c r="J18007">
        <v>226.62</v>
      </c>
      <c r="K18007">
        <v>43.86</v>
      </c>
      <c r="L18007">
        <v>54251</v>
      </c>
      <c r="M18007" t="s">
        <v>309</v>
      </c>
      <c r="N18007" t="str">
        <f>"719991      "</f>
        <v xml:space="preserve">719991      </v>
      </c>
      <c r="O18007">
        <v>230329</v>
      </c>
    </row>
    <row r="18008" spans="1:15" x14ac:dyDescent="0.25">
      <c r="A18008" t="s">
        <v>16</v>
      </c>
      <c r="B18008" t="s">
        <v>3221</v>
      </c>
      <c r="C18008">
        <v>5342</v>
      </c>
      <c r="D18008" t="s">
        <v>306</v>
      </c>
      <c r="E18008" t="s">
        <v>307</v>
      </c>
      <c r="F18008">
        <v>219.79</v>
      </c>
      <c r="G18008">
        <v>230417</v>
      </c>
      <c r="H18008">
        <v>4600</v>
      </c>
      <c r="I18008" t="s">
        <v>105</v>
      </c>
      <c r="J18008">
        <v>272.54000000000002</v>
      </c>
      <c r="K18008">
        <v>52.75</v>
      </c>
      <c r="L18008">
        <v>54222</v>
      </c>
      <c r="M18008" t="s">
        <v>308</v>
      </c>
      <c r="N18008" t="str">
        <f>"721972      "</f>
        <v xml:space="preserve">721972      </v>
      </c>
      <c r="O18008">
        <v>230421</v>
      </c>
    </row>
    <row r="18009" spans="1:15" x14ac:dyDescent="0.25">
      <c r="A18009" t="s">
        <v>16</v>
      </c>
      <c r="B18009" t="s">
        <v>3221</v>
      </c>
      <c r="C18009">
        <v>5342</v>
      </c>
      <c r="D18009" t="s">
        <v>306</v>
      </c>
      <c r="E18009" t="s">
        <v>307</v>
      </c>
      <c r="F18009">
        <v>219.78</v>
      </c>
      <c r="G18009">
        <v>230417</v>
      </c>
      <c r="H18009">
        <v>4600</v>
      </c>
      <c r="I18009" t="s">
        <v>105</v>
      </c>
      <c r="J18009">
        <v>272.52999999999997</v>
      </c>
      <c r="K18009">
        <v>52.75</v>
      </c>
      <c r="L18009">
        <v>54251</v>
      </c>
      <c r="M18009" t="s">
        <v>309</v>
      </c>
      <c r="N18009" t="str">
        <f>"721972      "</f>
        <v xml:space="preserve">721972      </v>
      </c>
      <c r="O18009">
        <v>230421</v>
      </c>
    </row>
    <row r="18010" spans="1:15" x14ac:dyDescent="0.25">
      <c r="A18010" t="s">
        <v>16</v>
      </c>
      <c r="B18010" t="s">
        <v>3221</v>
      </c>
      <c r="C18010">
        <v>6367</v>
      </c>
      <c r="D18010" t="s">
        <v>306</v>
      </c>
      <c r="E18010" t="s">
        <v>307</v>
      </c>
      <c r="F18010">
        <v>441.42</v>
      </c>
      <c r="G18010">
        <v>230504</v>
      </c>
      <c r="H18010">
        <v>4600</v>
      </c>
      <c r="I18010" t="s">
        <v>105</v>
      </c>
      <c r="J18010">
        <v>547.36</v>
      </c>
      <c r="K18010">
        <v>105.94</v>
      </c>
      <c r="L18010">
        <v>54222</v>
      </c>
      <c r="M18010" t="s">
        <v>308</v>
      </c>
      <c r="N18010" t="str">
        <f>"724082      "</f>
        <v xml:space="preserve">724082      </v>
      </c>
      <c r="O18010">
        <v>230510</v>
      </c>
    </row>
    <row r="18011" spans="1:15" x14ac:dyDescent="0.25">
      <c r="A18011" t="s">
        <v>16</v>
      </c>
      <c r="B18011" t="s">
        <v>3221</v>
      </c>
      <c r="C18011">
        <v>6367</v>
      </c>
      <c r="D18011" t="s">
        <v>306</v>
      </c>
      <c r="E18011" t="s">
        <v>307</v>
      </c>
      <c r="F18011">
        <v>441.42</v>
      </c>
      <c r="G18011">
        <v>230504</v>
      </c>
      <c r="H18011">
        <v>4600</v>
      </c>
      <c r="I18011" t="s">
        <v>105</v>
      </c>
      <c r="J18011">
        <v>547.36</v>
      </c>
      <c r="K18011">
        <v>105.94</v>
      </c>
      <c r="L18011">
        <v>54251</v>
      </c>
      <c r="M18011" t="s">
        <v>309</v>
      </c>
      <c r="N18011" t="str">
        <f>"724082      "</f>
        <v xml:space="preserve">724082      </v>
      </c>
      <c r="O18011">
        <v>230510</v>
      </c>
    </row>
    <row r="18012" spans="1:15" x14ac:dyDescent="0.25">
      <c r="A18012" t="s">
        <v>16</v>
      </c>
      <c r="B18012" t="s">
        <v>3221</v>
      </c>
      <c r="C18012">
        <v>8104</v>
      </c>
      <c r="D18012" t="s">
        <v>306</v>
      </c>
      <c r="E18012" t="s">
        <v>307</v>
      </c>
      <c r="F18012">
        <v>152.65</v>
      </c>
      <c r="G18012">
        <v>230531</v>
      </c>
      <c r="H18012">
        <v>4600</v>
      </c>
      <c r="I18012" t="s">
        <v>105</v>
      </c>
      <c r="J18012">
        <v>189.28</v>
      </c>
      <c r="K18012">
        <v>36.630000000000003</v>
      </c>
      <c r="L18012">
        <v>54222</v>
      </c>
      <c r="M18012" t="s">
        <v>308</v>
      </c>
      <c r="N18012" t="str">
        <f>"726657      "</f>
        <v xml:space="preserve">726657      </v>
      </c>
      <c r="O18012">
        <v>230607</v>
      </c>
    </row>
    <row r="18013" spans="1:15" x14ac:dyDescent="0.25">
      <c r="A18013" t="s">
        <v>16</v>
      </c>
      <c r="B18013" t="s">
        <v>3221</v>
      </c>
      <c r="C18013">
        <v>8104</v>
      </c>
      <c r="D18013" t="s">
        <v>306</v>
      </c>
      <c r="E18013" t="s">
        <v>307</v>
      </c>
      <c r="F18013">
        <v>152.63999999999999</v>
      </c>
      <c r="G18013">
        <v>230531</v>
      </c>
      <c r="H18013">
        <v>4600</v>
      </c>
      <c r="I18013" t="s">
        <v>105</v>
      </c>
      <c r="J18013">
        <v>189.27</v>
      </c>
      <c r="K18013">
        <v>36.630000000000003</v>
      </c>
      <c r="L18013">
        <v>54251</v>
      </c>
      <c r="M18013" t="s">
        <v>309</v>
      </c>
      <c r="N18013" t="str">
        <f>"726657      "</f>
        <v xml:space="preserve">726657      </v>
      </c>
      <c r="O18013">
        <v>230607</v>
      </c>
    </row>
    <row r="18014" spans="1:15" x14ac:dyDescent="0.25">
      <c r="A18014" t="s">
        <v>16</v>
      </c>
      <c r="B18014" t="s">
        <v>3221</v>
      </c>
      <c r="C18014">
        <v>10968</v>
      </c>
      <c r="D18014" t="s">
        <v>306</v>
      </c>
      <c r="E18014" t="s">
        <v>307</v>
      </c>
      <c r="F18014">
        <v>393.99</v>
      </c>
      <c r="G18014">
        <v>230821</v>
      </c>
      <c r="H18014">
        <v>4600</v>
      </c>
      <c r="I18014" t="s">
        <v>105</v>
      </c>
      <c r="J18014">
        <v>488.55</v>
      </c>
      <c r="K18014">
        <v>94.56</v>
      </c>
      <c r="L18014">
        <v>54222</v>
      </c>
      <c r="M18014" t="s">
        <v>308</v>
      </c>
      <c r="N18014" t="str">
        <f>"734459      "</f>
        <v xml:space="preserve">734459      </v>
      </c>
      <c r="O18014">
        <v>230825</v>
      </c>
    </row>
    <row r="18015" spans="1:15" x14ac:dyDescent="0.25">
      <c r="A18015" t="s">
        <v>16</v>
      </c>
      <c r="B18015" t="s">
        <v>3221</v>
      </c>
      <c r="C18015">
        <v>10968</v>
      </c>
      <c r="D18015" t="s">
        <v>306</v>
      </c>
      <c r="E18015" t="s">
        <v>307</v>
      </c>
      <c r="F18015">
        <v>393.99</v>
      </c>
      <c r="G18015">
        <v>230821</v>
      </c>
      <c r="H18015">
        <v>4600</v>
      </c>
      <c r="I18015" t="s">
        <v>105</v>
      </c>
      <c r="J18015">
        <v>488.55</v>
      </c>
      <c r="K18015">
        <v>94.56</v>
      </c>
      <c r="L18015">
        <v>54251</v>
      </c>
      <c r="M18015" t="s">
        <v>309</v>
      </c>
      <c r="N18015" t="str">
        <f>"734459      "</f>
        <v xml:space="preserve">734459      </v>
      </c>
      <c r="O18015">
        <v>230825</v>
      </c>
    </row>
    <row r="18016" spans="1:15" x14ac:dyDescent="0.25">
      <c r="A18016" t="s">
        <v>16</v>
      </c>
      <c r="B18016" t="s">
        <v>3221</v>
      </c>
      <c r="C18016">
        <v>11820</v>
      </c>
      <c r="D18016" t="s">
        <v>306</v>
      </c>
      <c r="E18016" t="s">
        <v>307</v>
      </c>
      <c r="F18016">
        <v>130.84</v>
      </c>
      <c r="G18016">
        <v>230830</v>
      </c>
      <c r="H18016">
        <v>4600</v>
      </c>
      <c r="I18016" t="s">
        <v>105</v>
      </c>
      <c r="J18016">
        <v>162.24</v>
      </c>
      <c r="K18016">
        <v>31.4</v>
      </c>
      <c r="L18016">
        <v>54222</v>
      </c>
      <c r="M18016" t="s">
        <v>308</v>
      </c>
      <c r="N18016" t="str">
        <f>"735499      "</f>
        <v xml:space="preserve">735499      </v>
      </c>
      <c r="O18016">
        <v>230911</v>
      </c>
    </row>
    <row r="18017" spans="1:15" x14ac:dyDescent="0.25">
      <c r="A18017" t="s">
        <v>16</v>
      </c>
      <c r="B18017" t="s">
        <v>3221</v>
      </c>
      <c r="C18017">
        <v>11820</v>
      </c>
      <c r="D18017" t="s">
        <v>306</v>
      </c>
      <c r="E18017" t="s">
        <v>307</v>
      </c>
      <c r="F18017">
        <v>130.83000000000001</v>
      </c>
      <c r="G18017">
        <v>230830</v>
      </c>
      <c r="H18017">
        <v>4600</v>
      </c>
      <c r="I18017" t="s">
        <v>105</v>
      </c>
      <c r="J18017">
        <v>162.22999999999999</v>
      </c>
      <c r="K18017">
        <v>31.4</v>
      </c>
      <c r="L18017">
        <v>54251</v>
      </c>
      <c r="M18017" t="s">
        <v>309</v>
      </c>
      <c r="N18017" t="str">
        <f>"735499      "</f>
        <v xml:space="preserve">735499      </v>
      </c>
      <c r="O18017">
        <v>230911</v>
      </c>
    </row>
    <row r="18018" spans="1:15" x14ac:dyDescent="0.25">
      <c r="A18018" t="s">
        <v>16</v>
      </c>
      <c r="B18018" t="s">
        <v>3221</v>
      </c>
      <c r="C18018">
        <v>12614</v>
      </c>
      <c r="D18018" t="s">
        <v>306</v>
      </c>
      <c r="E18018" t="s">
        <v>307</v>
      </c>
      <c r="F18018">
        <v>222.07</v>
      </c>
      <c r="G18018">
        <v>230913</v>
      </c>
      <c r="H18018">
        <v>4600</v>
      </c>
      <c r="I18018" t="s">
        <v>105</v>
      </c>
      <c r="J18018">
        <v>275.37</v>
      </c>
      <c r="K18018">
        <v>53.3</v>
      </c>
      <c r="L18018">
        <v>54222</v>
      </c>
      <c r="M18018" t="s">
        <v>308</v>
      </c>
      <c r="N18018" t="str">
        <f>"736877      "</f>
        <v xml:space="preserve">736877      </v>
      </c>
      <c r="O18018">
        <v>230922</v>
      </c>
    </row>
    <row r="18019" spans="1:15" x14ac:dyDescent="0.25">
      <c r="A18019" t="s">
        <v>16</v>
      </c>
      <c r="B18019" t="s">
        <v>3221</v>
      </c>
      <c r="C18019">
        <v>12614</v>
      </c>
      <c r="D18019" t="s">
        <v>306</v>
      </c>
      <c r="E18019" t="s">
        <v>307</v>
      </c>
      <c r="F18019">
        <v>222.07</v>
      </c>
      <c r="G18019">
        <v>230913</v>
      </c>
      <c r="H18019">
        <v>4600</v>
      </c>
      <c r="I18019" t="s">
        <v>105</v>
      </c>
      <c r="J18019">
        <v>275.37</v>
      </c>
      <c r="K18019">
        <v>53.3</v>
      </c>
      <c r="L18019">
        <v>54251</v>
      </c>
      <c r="M18019" t="s">
        <v>309</v>
      </c>
      <c r="N18019" t="str">
        <f>"736877      "</f>
        <v xml:space="preserve">736877      </v>
      </c>
      <c r="O18019">
        <v>230922</v>
      </c>
    </row>
    <row r="18020" spans="1:15" x14ac:dyDescent="0.25">
      <c r="A18020" t="s">
        <v>16</v>
      </c>
      <c r="B18020" t="s">
        <v>3221</v>
      </c>
      <c r="C18020">
        <v>13963</v>
      </c>
      <c r="D18020" t="s">
        <v>306</v>
      </c>
      <c r="E18020" t="s">
        <v>307</v>
      </c>
      <c r="F18020">
        <v>168.47</v>
      </c>
      <c r="G18020">
        <v>231010</v>
      </c>
      <c r="H18020">
        <v>4600</v>
      </c>
      <c r="I18020" t="s">
        <v>105</v>
      </c>
      <c r="J18020">
        <v>208.9</v>
      </c>
      <c r="K18020">
        <v>40.43</v>
      </c>
      <c r="L18020">
        <v>54222</v>
      </c>
      <c r="M18020" t="s">
        <v>308</v>
      </c>
      <c r="N18020" t="str">
        <f>"738977      "</f>
        <v xml:space="preserve">738977      </v>
      </c>
      <c r="O18020">
        <v>231017</v>
      </c>
    </row>
    <row r="18021" spans="1:15" x14ac:dyDescent="0.25">
      <c r="A18021" t="s">
        <v>16</v>
      </c>
      <c r="B18021" t="s">
        <v>3221</v>
      </c>
      <c r="C18021">
        <v>13963</v>
      </c>
      <c r="D18021" t="s">
        <v>306</v>
      </c>
      <c r="E18021" t="s">
        <v>307</v>
      </c>
      <c r="F18021">
        <v>168.46</v>
      </c>
      <c r="G18021">
        <v>231010</v>
      </c>
      <c r="H18021">
        <v>4600</v>
      </c>
      <c r="I18021" t="s">
        <v>105</v>
      </c>
      <c r="J18021">
        <v>208.89</v>
      </c>
      <c r="K18021">
        <v>40.43</v>
      </c>
      <c r="L18021">
        <v>54251</v>
      </c>
      <c r="M18021" t="s">
        <v>309</v>
      </c>
      <c r="N18021" t="str">
        <f>"738977      "</f>
        <v xml:space="preserve">738977      </v>
      </c>
      <c r="O18021">
        <v>231017</v>
      </c>
    </row>
    <row r="18022" spans="1:15" x14ac:dyDescent="0.25">
      <c r="A18022" t="s">
        <v>16</v>
      </c>
      <c r="B18022" t="s">
        <v>3221</v>
      </c>
      <c r="C18022">
        <v>14703</v>
      </c>
      <c r="D18022" t="s">
        <v>306</v>
      </c>
      <c r="E18022" t="s">
        <v>307</v>
      </c>
      <c r="F18022">
        <v>346.49</v>
      </c>
      <c r="G18022">
        <v>230929</v>
      </c>
      <c r="H18022">
        <v>4600</v>
      </c>
      <c r="I18022" t="s">
        <v>105</v>
      </c>
      <c r="J18022">
        <v>429.65</v>
      </c>
      <c r="K18022">
        <v>83.16</v>
      </c>
      <c r="L18022">
        <v>44453</v>
      </c>
      <c r="M18022" t="s">
        <v>492</v>
      </c>
      <c r="N18022" t="str">
        <f>"738230      "</f>
        <v xml:space="preserve">738230      </v>
      </c>
      <c r="O18022">
        <v>231101</v>
      </c>
    </row>
    <row r="18023" spans="1:15" x14ac:dyDescent="0.25">
      <c r="A18023" t="s">
        <v>16</v>
      </c>
      <c r="B18023" t="s">
        <v>3221</v>
      </c>
      <c r="C18023">
        <v>14746</v>
      </c>
      <c r="D18023" t="s">
        <v>306</v>
      </c>
      <c r="E18023" t="s">
        <v>307</v>
      </c>
      <c r="F18023">
        <v>69.3</v>
      </c>
      <c r="G18023">
        <v>231004</v>
      </c>
      <c r="H18023">
        <v>4600</v>
      </c>
      <c r="I18023" t="s">
        <v>105</v>
      </c>
      <c r="J18023">
        <v>85.93</v>
      </c>
      <c r="K18023">
        <v>16.63</v>
      </c>
      <c r="L18023">
        <v>44422</v>
      </c>
      <c r="M18023" t="s">
        <v>482</v>
      </c>
      <c r="N18023" t="str">
        <f>"738571      "</f>
        <v xml:space="preserve">738571      </v>
      </c>
      <c r="O18023">
        <v>231103</v>
      </c>
    </row>
    <row r="18024" spans="1:15" x14ac:dyDescent="0.25">
      <c r="A18024" t="s">
        <v>16</v>
      </c>
      <c r="B18024" t="s">
        <v>3221</v>
      </c>
      <c r="C18024">
        <v>14948</v>
      </c>
      <c r="D18024" t="s">
        <v>306</v>
      </c>
      <c r="E18024" t="s">
        <v>307</v>
      </c>
      <c r="F18024">
        <v>264.08</v>
      </c>
      <c r="G18024">
        <v>231026</v>
      </c>
      <c r="H18024">
        <v>4600</v>
      </c>
      <c r="I18024" t="s">
        <v>105</v>
      </c>
      <c r="J18024">
        <v>327.45999999999998</v>
      </c>
      <c r="K18024">
        <v>63.38</v>
      </c>
      <c r="L18024">
        <v>54222</v>
      </c>
      <c r="M18024" t="s">
        <v>308</v>
      </c>
      <c r="N18024" t="str">
        <f>"740407      "</f>
        <v xml:space="preserve">740407      </v>
      </c>
      <c r="O18024">
        <v>231107</v>
      </c>
    </row>
    <row r="18025" spans="1:15" x14ac:dyDescent="0.25">
      <c r="A18025" t="s">
        <v>16</v>
      </c>
      <c r="B18025" t="s">
        <v>3221</v>
      </c>
      <c r="C18025">
        <v>14948</v>
      </c>
      <c r="D18025" t="s">
        <v>306</v>
      </c>
      <c r="E18025" t="s">
        <v>307</v>
      </c>
      <c r="F18025">
        <v>264.08</v>
      </c>
      <c r="G18025">
        <v>231026</v>
      </c>
      <c r="H18025">
        <v>4600</v>
      </c>
      <c r="I18025" t="s">
        <v>105</v>
      </c>
      <c r="J18025">
        <v>327.45999999999998</v>
      </c>
      <c r="K18025">
        <v>63.38</v>
      </c>
      <c r="L18025">
        <v>54251</v>
      </c>
      <c r="M18025" t="s">
        <v>309</v>
      </c>
      <c r="N18025" t="str">
        <f>"740407      "</f>
        <v xml:space="preserve">740407      </v>
      </c>
      <c r="O18025">
        <v>231107</v>
      </c>
    </row>
    <row r="18026" spans="1:15" x14ac:dyDescent="0.25">
      <c r="A18026" t="s">
        <v>16</v>
      </c>
      <c r="B18026" t="s">
        <v>3221</v>
      </c>
      <c r="C18026">
        <v>16285</v>
      </c>
      <c r="D18026" t="s">
        <v>306</v>
      </c>
      <c r="E18026" t="s">
        <v>307</v>
      </c>
      <c r="F18026">
        <v>576.75</v>
      </c>
      <c r="G18026">
        <v>231121</v>
      </c>
      <c r="H18026">
        <v>4600</v>
      </c>
      <c r="I18026" t="s">
        <v>105</v>
      </c>
      <c r="J18026">
        <v>715.17</v>
      </c>
      <c r="K18026">
        <v>138.41999999999999</v>
      </c>
      <c r="L18026">
        <v>54251</v>
      </c>
      <c r="M18026" t="s">
        <v>309</v>
      </c>
      <c r="N18026" t="str">
        <f>"742309      "</f>
        <v xml:space="preserve">742309      </v>
      </c>
      <c r="O18026">
        <v>231127</v>
      </c>
    </row>
    <row r="18027" spans="1:15" x14ac:dyDescent="0.25">
      <c r="A18027" t="s">
        <v>16</v>
      </c>
      <c r="B18027" t="s">
        <v>3221</v>
      </c>
      <c r="C18027">
        <v>1587</v>
      </c>
      <c r="D18027" t="s">
        <v>306</v>
      </c>
      <c r="E18027" t="s">
        <v>307</v>
      </c>
      <c r="F18027">
        <v>313.17</v>
      </c>
      <c r="G18027">
        <v>230126</v>
      </c>
      <c r="H18027">
        <v>4555</v>
      </c>
      <c r="I18027" t="s">
        <v>481</v>
      </c>
      <c r="J18027">
        <v>388.33</v>
      </c>
      <c r="K18027">
        <v>75.16</v>
      </c>
      <c r="L18027">
        <v>44453</v>
      </c>
      <c r="M18027" t="s">
        <v>492</v>
      </c>
      <c r="N18027" t="str">
        <f>"714970      "</f>
        <v xml:space="preserve">714970      </v>
      </c>
      <c r="O18027">
        <v>230210</v>
      </c>
    </row>
    <row r="18028" spans="1:15" x14ac:dyDescent="0.25">
      <c r="A18028" t="s">
        <v>16</v>
      </c>
      <c r="B18028" t="s">
        <v>3221</v>
      </c>
      <c r="C18028">
        <v>1603</v>
      </c>
      <c r="D18028" t="s">
        <v>306</v>
      </c>
      <c r="E18028" t="s">
        <v>307</v>
      </c>
      <c r="F18028">
        <v>124.36</v>
      </c>
      <c r="G18028">
        <v>230207</v>
      </c>
      <c r="H18028">
        <v>4555</v>
      </c>
      <c r="I18028" t="s">
        <v>481</v>
      </c>
      <c r="J18028">
        <v>154.21</v>
      </c>
      <c r="K18028">
        <v>29.85</v>
      </c>
      <c r="L18028">
        <v>44422</v>
      </c>
      <c r="M18028" t="s">
        <v>482</v>
      </c>
      <c r="N18028" t="str">
        <f>"716084      "</f>
        <v xml:space="preserve">716084      </v>
      </c>
      <c r="O18028">
        <v>230210</v>
      </c>
    </row>
    <row r="18029" spans="1:15" x14ac:dyDescent="0.25">
      <c r="A18029" t="s">
        <v>16</v>
      </c>
      <c r="B18029" t="s">
        <v>3221</v>
      </c>
      <c r="C18029">
        <v>5881</v>
      </c>
      <c r="D18029" t="s">
        <v>306</v>
      </c>
      <c r="E18029" t="s">
        <v>307</v>
      </c>
      <c r="F18029">
        <v>940.65</v>
      </c>
      <c r="G18029">
        <v>230413</v>
      </c>
      <c r="H18029">
        <v>4555</v>
      </c>
      <c r="I18029" t="s">
        <v>481</v>
      </c>
      <c r="J18029">
        <v>1166.4100000000001</v>
      </c>
      <c r="K18029">
        <v>225.76</v>
      </c>
      <c r="L18029">
        <v>44453</v>
      </c>
      <c r="M18029" t="s">
        <v>492</v>
      </c>
      <c r="N18029" t="str">
        <f>"721715      "</f>
        <v xml:space="preserve">721715      </v>
      </c>
      <c r="O18029">
        <v>230503</v>
      </c>
    </row>
    <row r="18030" spans="1:15" x14ac:dyDescent="0.25">
      <c r="A18030" t="s">
        <v>16</v>
      </c>
      <c r="B18030" t="s">
        <v>3221</v>
      </c>
      <c r="C18030">
        <v>12181</v>
      </c>
      <c r="D18030" t="s">
        <v>306</v>
      </c>
      <c r="E18030" t="s">
        <v>307</v>
      </c>
      <c r="F18030">
        <v>601.13</v>
      </c>
      <c r="G18030">
        <v>230912</v>
      </c>
      <c r="H18030">
        <v>4555</v>
      </c>
      <c r="I18030" t="s">
        <v>481</v>
      </c>
      <c r="J18030">
        <v>745.4</v>
      </c>
      <c r="K18030">
        <v>144.27000000000001</v>
      </c>
      <c r="L18030">
        <v>44453</v>
      </c>
      <c r="M18030" t="s">
        <v>492</v>
      </c>
      <c r="N18030" t="str">
        <f>"736601      "</f>
        <v xml:space="preserve">736601      </v>
      </c>
      <c r="O18030">
        <v>230915</v>
      </c>
    </row>
    <row r="18031" spans="1:15" x14ac:dyDescent="0.25">
      <c r="A18031" t="s">
        <v>16</v>
      </c>
      <c r="B18031" t="s">
        <v>3221</v>
      </c>
      <c r="C18031">
        <v>14727</v>
      </c>
      <c r="D18031" t="s">
        <v>306</v>
      </c>
      <c r="E18031" t="s">
        <v>307</v>
      </c>
      <c r="F18031">
        <v>636.13</v>
      </c>
      <c r="G18031">
        <v>231023</v>
      </c>
      <c r="H18031">
        <v>4555</v>
      </c>
      <c r="I18031" t="s">
        <v>481</v>
      </c>
      <c r="J18031">
        <v>788.8</v>
      </c>
      <c r="K18031">
        <v>152.66999999999999</v>
      </c>
      <c r="L18031">
        <v>44453</v>
      </c>
      <c r="M18031" t="s">
        <v>492</v>
      </c>
      <c r="N18031" t="str">
        <f>"739996      "</f>
        <v xml:space="preserve">739996      </v>
      </c>
      <c r="O18031">
        <v>231101</v>
      </c>
    </row>
    <row r="18032" spans="1:15" x14ac:dyDescent="0.25">
      <c r="A18032" t="s">
        <v>16</v>
      </c>
      <c r="B18032" t="s">
        <v>3221</v>
      </c>
      <c r="C18032">
        <v>2665</v>
      </c>
      <c r="D18032" t="s">
        <v>1448</v>
      </c>
      <c r="E18032" t="s">
        <v>1449</v>
      </c>
      <c r="F18032">
        <v>2239.79</v>
      </c>
      <c r="G18032">
        <v>230224</v>
      </c>
      <c r="H18032">
        <v>4400</v>
      </c>
      <c r="I18032" t="s">
        <v>348</v>
      </c>
      <c r="J18032">
        <v>2777.34</v>
      </c>
      <c r="K18032">
        <v>537.54999999999995</v>
      </c>
      <c r="L18032">
        <v>17534</v>
      </c>
      <c r="M18032" t="s">
        <v>440</v>
      </c>
      <c r="N18032" t="str">
        <f>"004472      "</f>
        <v xml:space="preserve">004472      </v>
      </c>
      <c r="O18032">
        <v>230306</v>
      </c>
    </row>
    <row r="18033" spans="1:15" x14ac:dyDescent="0.25">
      <c r="A18033" t="s">
        <v>16</v>
      </c>
      <c r="B18033" t="s">
        <v>3221</v>
      </c>
      <c r="C18033">
        <v>5695</v>
      </c>
      <c r="D18033" t="s">
        <v>1448</v>
      </c>
      <c r="E18033" t="s">
        <v>1449</v>
      </c>
      <c r="F18033">
        <v>0</v>
      </c>
      <c r="G18033">
        <v>230424</v>
      </c>
      <c r="H18033">
        <v>4400</v>
      </c>
      <c r="I18033" t="s">
        <v>348</v>
      </c>
      <c r="J18033">
        <v>0</v>
      </c>
      <c r="K18033">
        <v>0</v>
      </c>
      <c r="L18033">
        <v>17534</v>
      </c>
      <c r="M18033" t="s">
        <v>440</v>
      </c>
      <c r="N18033" t="str">
        <f>"004745      "</f>
        <v xml:space="preserve">004745      </v>
      </c>
      <c r="O18033">
        <v>230502</v>
      </c>
    </row>
    <row r="18034" spans="1:15" x14ac:dyDescent="0.25">
      <c r="A18034" t="s">
        <v>16</v>
      </c>
      <c r="B18034" t="s">
        <v>3221</v>
      </c>
      <c r="C18034">
        <v>5695</v>
      </c>
      <c r="D18034" t="s">
        <v>1448</v>
      </c>
      <c r="E18034" t="s">
        <v>1449</v>
      </c>
      <c r="F18034">
        <v>329.1</v>
      </c>
      <c r="G18034">
        <v>230424</v>
      </c>
      <c r="H18034">
        <v>4400</v>
      </c>
      <c r="I18034" t="s">
        <v>348</v>
      </c>
      <c r="J18034">
        <v>408.08</v>
      </c>
      <c r="K18034">
        <v>78.98</v>
      </c>
      <c r="L18034">
        <v>17535</v>
      </c>
      <c r="M18034" t="s">
        <v>357</v>
      </c>
      <c r="N18034" t="str">
        <f>"004745      "</f>
        <v xml:space="preserve">004745      </v>
      </c>
      <c r="O18034">
        <v>230502</v>
      </c>
    </row>
    <row r="18035" spans="1:15" x14ac:dyDescent="0.25">
      <c r="A18035" t="s">
        <v>16</v>
      </c>
      <c r="B18035" t="s">
        <v>3221</v>
      </c>
      <c r="C18035">
        <v>8954</v>
      </c>
      <c r="D18035" t="s">
        <v>1448</v>
      </c>
      <c r="E18035" t="s">
        <v>1449</v>
      </c>
      <c r="F18035">
        <v>426.45</v>
      </c>
      <c r="G18035">
        <v>230616</v>
      </c>
      <c r="H18035">
        <v>4400</v>
      </c>
      <c r="I18035" t="s">
        <v>348</v>
      </c>
      <c r="J18035">
        <v>528.79999999999995</v>
      </c>
      <c r="K18035">
        <v>102.35</v>
      </c>
      <c r="L18035">
        <v>17803</v>
      </c>
      <c r="M18035" t="s">
        <v>389</v>
      </c>
      <c r="N18035" t="str">
        <f>"004972      "</f>
        <v xml:space="preserve">004972      </v>
      </c>
      <c r="O18035">
        <v>230620</v>
      </c>
    </row>
    <row r="18036" spans="1:15" x14ac:dyDescent="0.25">
      <c r="A18036" t="s">
        <v>16</v>
      </c>
      <c r="B18036" t="s">
        <v>3221</v>
      </c>
      <c r="C18036">
        <v>14524</v>
      </c>
      <c r="D18036" t="s">
        <v>1448</v>
      </c>
      <c r="E18036" t="s">
        <v>1449</v>
      </c>
      <c r="F18036">
        <v>196</v>
      </c>
      <c r="G18036">
        <v>231026</v>
      </c>
      <c r="H18036">
        <v>4400</v>
      </c>
      <c r="I18036" t="s">
        <v>348</v>
      </c>
      <c r="J18036">
        <v>243.04</v>
      </c>
      <c r="K18036">
        <v>47.04</v>
      </c>
      <c r="L18036">
        <v>17804</v>
      </c>
      <c r="M18036" t="s">
        <v>549</v>
      </c>
      <c r="N18036" t="str">
        <f>"005555      "</f>
        <v xml:space="preserve">005555      </v>
      </c>
      <c r="O18036">
        <v>231030</v>
      </c>
    </row>
    <row r="18037" spans="1:15" x14ac:dyDescent="0.25">
      <c r="A18037" t="s">
        <v>16</v>
      </c>
      <c r="B18037" t="s">
        <v>3221</v>
      </c>
      <c r="C18037">
        <v>14883</v>
      </c>
      <c r="D18037" t="s">
        <v>1448</v>
      </c>
      <c r="E18037" t="s">
        <v>1449</v>
      </c>
      <c r="F18037">
        <v>615.75</v>
      </c>
      <c r="G18037">
        <v>231031</v>
      </c>
      <c r="H18037">
        <v>4400</v>
      </c>
      <c r="I18037" t="s">
        <v>348</v>
      </c>
      <c r="J18037">
        <v>763.53</v>
      </c>
      <c r="K18037">
        <v>147.78</v>
      </c>
      <c r="L18037">
        <v>17804</v>
      </c>
      <c r="M18037" t="s">
        <v>549</v>
      </c>
      <c r="N18037" t="str">
        <f>"005577      "</f>
        <v xml:space="preserve">005577      </v>
      </c>
      <c r="O18037">
        <v>231107</v>
      </c>
    </row>
    <row r="18038" spans="1:15" x14ac:dyDescent="0.25">
      <c r="A18038" t="s">
        <v>16</v>
      </c>
      <c r="B18038" t="s">
        <v>3221</v>
      </c>
      <c r="C18038">
        <v>17815</v>
      </c>
      <c r="D18038" t="s">
        <v>1448</v>
      </c>
      <c r="E18038" t="s">
        <v>1449</v>
      </c>
      <c r="F18038">
        <v>118.4</v>
      </c>
      <c r="G18038">
        <v>231213</v>
      </c>
      <c r="H18038">
        <v>4400</v>
      </c>
      <c r="I18038" t="s">
        <v>348</v>
      </c>
      <c r="J18038">
        <v>146.82</v>
      </c>
      <c r="K18038">
        <v>28.42</v>
      </c>
      <c r="L18038">
        <v>17804</v>
      </c>
      <c r="M18038" t="s">
        <v>549</v>
      </c>
      <c r="N18038" t="str">
        <f>"005818      "</f>
        <v xml:space="preserve">005818      </v>
      </c>
      <c r="O18038">
        <v>231227</v>
      </c>
    </row>
    <row r="18039" spans="1:15" x14ac:dyDescent="0.25">
      <c r="A18039" t="s">
        <v>16</v>
      </c>
      <c r="B18039" t="s">
        <v>3221</v>
      </c>
      <c r="C18039">
        <v>8954</v>
      </c>
      <c r="D18039" t="s">
        <v>1448</v>
      </c>
      <c r="E18039" t="s">
        <v>1449</v>
      </c>
      <c r="F18039">
        <v>68.55</v>
      </c>
      <c r="G18039">
        <v>230616</v>
      </c>
      <c r="H18039">
        <v>4420</v>
      </c>
      <c r="I18039" t="s">
        <v>132</v>
      </c>
      <c r="J18039">
        <v>85</v>
      </c>
      <c r="K18039">
        <v>16.45</v>
      </c>
      <c r="L18039">
        <v>17803</v>
      </c>
      <c r="M18039" t="s">
        <v>389</v>
      </c>
      <c r="N18039" t="str">
        <f>"004972      "</f>
        <v xml:space="preserve">004972      </v>
      </c>
      <c r="O18039">
        <v>230620</v>
      </c>
    </row>
    <row r="18040" spans="1:15" x14ac:dyDescent="0.25">
      <c r="A18040" t="s">
        <v>16</v>
      </c>
      <c r="B18040" t="s">
        <v>3221</v>
      </c>
      <c r="C18040">
        <v>264</v>
      </c>
      <c r="D18040" t="s">
        <v>3694</v>
      </c>
      <c r="E18040" t="s">
        <v>386</v>
      </c>
      <c r="F18040">
        <v>325.75</v>
      </c>
      <c r="G18040">
        <v>230112</v>
      </c>
      <c r="H18040">
        <v>4520</v>
      </c>
      <c r="I18040" t="s">
        <v>254</v>
      </c>
      <c r="J18040">
        <v>371.36</v>
      </c>
      <c r="K18040">
        <v>45.61</v>
      </c>
      <c r="L18040">
        <v>69804</v>
      </c>
      <c r="M18040" t="s">
        <v>284</v>
      </c>
      <c r="N18040" t="str">
        <f>"0868790219  "</f>
        <v xml:space="preserve">0868790219  </v>
      </c>
      <c r="O18040">
        <v>230117</v>
      </c>
    </row>
    <row r="18041" spans="1:15" x14ac:dyDescent="0.25">
      <c r="A18041" t="s">
        <v>16</v>
      </c>
      <c r="B18041" t="s">
        <v>3221</v>
      </c>
      <c r="C18041">
        <v>479</v>
      </c>
      <c r="D18041" t="s">
        <v>385</v>
      </c>
      <c r="E18041" t="s">
        <v>386</v>
      </c>
      <c r="F18041">
        <v>210.61</v>
      </c>
      <c r="G18041">
        <v>230119</v>
      </c>
      <c r="H18041">
        <v>4520</v>
      </c>
      <c r="I18041" t="s">
        <v>254</v>
      </c>
      <c r="J18041">
        <v>240.1</v>
      </c>
      <c r="K18041">
        <v>29.49</v>
      </c>
      <c r="L18041">
        <v>69811</v>
      </c>
      <c r="M18041" t="s">
        <v>315</v>
      </c>
      <c r="N18041" t="str">
        <f>"0868806903  "</f>
        <v xml:space="preserve">0868806903  </v>
      </c>
      <c r="O18041">
        <v>230123</v>
      </c>
    </row>
    <row r="18042" spans="1:15" x14ac:dyDescent="0.25">
      <c r="A18042" t="s">
        <v>16</v>
      </c>
      <c r="B18042" t="s">
        <v>3221</v>
      </c>
      <c r="C18042">
        <v>734</v>
      </c>
      <c r="D18042" t="s">
        <v>385</v>
      </c>
      <c r="E18042" t="s">
        <v>386</v>
      </c>
      <c r="F18042">
        <v>28.85</v>
      </c>
      <c r="G18042">
        <v>230126</v>
      </c>
      <c r="H18042">
        <v>4520</v>
      </c>
      <c r="I18042" t="s">
        <v>254</v>
      </c>
      <c r="J18042">
        <v>35.770000000000003</v>
      </c>
      <c r="K18042">
        <v>6.92</v>
      </c>
      <c r="L18042">
        <v>54451</v>
      </c>
      <c r="M18042" t="s">
        <v>158</v>
      </c>
      <c r="N18042" t="str">
        <f>"0868826762  "</f>
        <v xml:space="preserve">0868826762  </v>
      </c>
      <c r="O18042">
        <v>230127</v>
      </c>
    </row>
    <row r="18043" spans="1:15" x14ac:dyDescent="0.25">
      <c r="A18043" t="s">
        <v>16</v>
      </c>
      <c r="B18043" t="s">
        <v>3221</v>
      </c>
      <c r="C18043">
        <v>734</v>
      </c>
      <c r="D18043" t="s">
        <v>385</v>
      </c>
      <c r="E18043" t="s">
        <v>386</v>
      </c>
      <c r="F18043">
        <v>956.3</v>
      </c>
      <c r="G18043">
        <v>230126</v>
      </c>
      <c r="H18043">
        <v>4520</v>
      </c>
      <c r="I18043" t="s">
        <v>254</v>
      </c>
      <c r="J18043">
        <v>1090.18</v>
      </c>
      <c r="K18043">
        <v>133.88</v>
      </c>
      <c r="L18043">
        <v>54451</v>
      </c>
      <c r="M18043" t="s">
        <v>158</v>
      </c>
      <c r="N18043" t="str">
        <f>"0868826762  "</f>
        <v xml:space="preserve">0868826762  </v>
      </c>
      <c r="O18043">
        <v>230127</v>
      </c>
    </row>
    <row r="18044" spans="1:15" x14ac:dyDescent="0.25">
      <c r="A18044" t="s">
        <v>16</v>
      </c>
      <c r="B18044" t="s">
        <v>3221</v>
      </c>
      <c r="C18044">
        <v>3149</v>
      </c>
      <c r="D18044" t="s">
        <v>385</v>
      </c>
      <c r="E18044" t="s">
        <v>386</v>
      </c>
      <c r="F18044">
        <v>447.56</v>
      </c>
      <c r="G18044">
        <v>230301</v>
      </c>
      <c r="H18044">
        <v>4520</v>
      </c>
      <c r="I18044" t="s">
        <v>254</v>
      </c>
      <c r="J18044">
        <v>510.22</v>
      </c>
      <c r="K18044">
        <v>62.66</v>
      </c>
      <c r="L18044">
        <v>69804</v>
      </c>
      <c r="M18044" t="s">
        <v>284</v>
      </c>
      <c r="N18044" t="str">
        <f>"0868911369  "</f>
        <v xml:space="preserve">0868911369  </v>
      </c>
      <c r="O18044">
        <v>230309</v>
      </c>
    </row>
    <row r="18045" spans="1:15" x14ac:dyDescent="0.25">
      <c r="A18045" t="s">
        <v>16</v>
      </c>
      <c r="B18045" t="s">
        <v>3221</v>
      </c>
      <c r="C18045">
        <v>5046</v>
      </c>
      <c r="D18045" t="s">
        <v>385</v>
      </c>
      <c r="E18045" t="s">
        <v>386</v>
      </c>
      <c r="F18045">
        <v>1076.57</v>
      </c>
      <c r="G18045">
        <v>230406</v>
      </c>
      <c r="H18045">
        <v>4520</v>
      </c>
      <c r="I18045" t="s">
        <v>254</v>
      </c>
      <c r="J18045">
        <v>1227.29</v>
      </c>
      <c r="K18045">
        <v>150.72</v>
      </c>
      <c r="L18045">
        <v>54451</v>
      </c>
      <c r="M18045" t="s">
        <v>158</v>
      </c>
      <c r="N18045" t="str">
        <f>"0869016919  "</f>
        <v xml:space="preserve">0869016919  </v>
      </c>
      <c r="O18045">
        <v>230417</v>
      </c>
    </row>
    <row r="18046" spans="1:15" x14ac:dyDescent="0.25">
      <c r="A18046" t="s">
        <v>16</v>
      </c>
      <c r="B18046" t="s">
        <v>3221</v>
      </c>
      <c r="C18046">
        <v>5579</v>
      </c>
      <c r="D18046" t="s">
        <v>385</v>
      </c>
      <c r="E18046" t="s">
        <v>386</v>
      </c>
      <c r="F18046">
        <v>447.56</v>
      </c>
      <c r="G18046">
        <v>230420</v>
      </c>
      <c r="H18046">
        <v>4520</v>
      </c>
      <c r="I18046" t="s">
        <v>254</v>
      </c>
      <c r="J18046">
        <v>510.22</v>
      </c>
      <c r="K18046">
        <v>62.66</v>
      </c>
      <c r="L18046">
        <v>69804</v>
      </c>
      <c r="M18046" t="s">
        <v>284</v>
      </c>
      <c r="N18046" t="str">
        <f>"0869044974  "</f>
        <v xml:space="preserve">0869044974  </v>
      </c>
      <c r="O18046">
        <v>230427</v>
      </c>
    </row>
    <row r="18047" spans="1:15" x14ac:dyDescent="0.25">
      <c r="A18047" t="s">
        <v>16</v>
      </c>
      <c r="B18047" t="s">
        <v>3221</v>
      </c>
      <c r="C18047">
        <v>10665</v>
      </c>
      <c r="D18047" t="s">
        <v>385</v>
      </c>
      <c r="E18047" t="s">
        <v>386</v>
      </c>
      <c r="F18047">
        <v>14.68</v>
      </c>
      <c r="G18047">
        <v>230817</v>
      </c>
      <c r="H18047">
        <v>4520</v>
      </c>
      <c r="I18047" t="s">
        <v>254</v>
      </c>
      <c r="J18047">
        <v>18.2</v>
      </c>
      <c r="K18047">
        <v>3.52</v>
      </c>
      <c r="L18047">
        <v>54451</v>
      </c>
      <c r="M18047" t="s">
        <v>158</v>
      </c>
      <c r="N18047" t="str">
        <f>"0869391004  "</f>
        <v xml:space="preserve">0869391004  </v>
      </c>
      <c r="O18047">
        <v>230821</v>
      </c>
    </row>
    <row r="18048" spans="1:15" x14ac:dyDescent="0.25">
      <c r="A18048" t="s">
        <v>16</v>
      </c>
      <c r="B18048" t="s">
        <v>3221</v>
      </c>
      <c r="C18048">
        <v>10665</v>
      </c>
      <c r="D18048" t="s">
        <v>385</v>
      </c>
      <c r="E18048" t="s">
        <v>386</v>
      </c>
      <c r="F18048">
        <v>521.75</v>
      </c>
      <c r="G18048">
        <v>230817</v>
      </c>
      <c r="H18048">
        <v>4520</v>
      </c>
      <c r="I18048" t="s">
        <v>254</v>
      </c>
      <c r="J18048">
        <v>594.79999999999995</v>
      </c>
      <c r="K18048">
        <v>73.05</v>
      </c>
      <c r="L18048">
        <v>54451</v>
      </c>
      <c r="M18048" t="s">
        <v>158</v>
      </c>
      <c r="N18048" t="str">
        <f>"0869391004  "</f>
        <v xml:space="preserve">0869391004  </v>
      </c>
      <c r="O18048">
        <v>230821</v>
      </c>
    </row>
    <row r="18049" spans="1:15" x14ac:dyDescent="0.25">
      <c r="A18049" t="s">
        <v>16</v>
      </c>
      <c r="B18049" t="s">
        <v>3221</v>
      </c>
      <c r="C18049">
        <v>10905</v>
      </c>
      <c r="D18049" t="s">
        <v>385</v>
      </c>
      <c r="E18049" t="s">
        <v>386</v>
      </c>
      <c r="F18049">
        <v>365.12</v>
      </c>
      <c r="G18049">
        <v>230816</v>
      </c>
      <c r="H18049">
        <v>4520</v>
      </c>
      <c r="I18049" t="s">
        <v>254</v>
      </c>
      <c r="J18049">
        <v>416.24</v>
      </c>
      <c r="K18049">
        <v>51.12</v>
      </c>
      <c r="L18049">
        <v>69804</v>
      </c>
      <c r="M18049" t="s">
        <v>284</v>
      </c>
      <c r="N18049" t="str">
        <f>"0869384325  "</f>
        <v xml:space="preserve">0869384325  </v>
      </c>
      <c r="O18049">
        <v>230825</v>
      </c>
    </row>
    <row r="18050" spans="1:15" x14ac:dyDescent="0.25">
      <c r="A18050" t="s">
        <v>16</v>
      </c>
      <c r="B18050" t="s">
        <v>3221</v>
      </c>
      <c r="C18050">
        <v>12258</v>
      </c>
      <c r="D18050" t="s">
        <v>385</v>
      </c>
      <c r="E18050" t="s">
        <v>386</v>
      </c>
      <c r="F18050">
        <v>82.88</v>
      </c>
      <c r="G18050">
        <v>230907</v>
      </c>
      <c r="H18050">
        <v>4520</v>
      </c>
      <c r="I18050" t="s">
        <v>254</v>
      </c>
      <c r="J18050">
        <v>102.77</v>
      </c>
      <c r="K18050">
        <v>19.89</v>
      </c>
      <c r="L18050">
        <v>54451</v>
      </c>
      <c r="M18050" t="s">
        <v>158</v>
      </c>
      <c r="N18050" t="str">
        <f>"0869450644  "</f>
        <v xml:space="preserve">0869450644  </v>
      </c>
      <c r="O18050">
        <v>230918</v>
      </c>
    </row>
    <row r="18051" spans="1:15" x14ac:dyDescent="0.25">
      <c r="A18051" t="s">
        <v>16</v>
      </c>
      <c r="B18051" t="s">
        <v>3221</v>
      </c>
      <c r="C18051">
        <v>12258</v>
      </c>
      <c r="D18051" t="s">
        <v>385</v>
      </c>
      <c r="E18051" t="s">
        <v>386</v>
      </c>
      <c r="F18051">
        <v>520.30999999999995</v>
      </c>
      <c r="G18051">
        <v>230907</v>
      </c>
      <c r="H18051">
        <v>4520</v>
      </c>
      <c r="I18051" t="s">
        <v>254</v>
      </c>
      <c r="J18051">
        <v>593.15</v>
      </c>
      <c r="K18051">
        <v>72.84</v>
      </c>
      <c r="L18051">
        <v>54451</v>
      </c>
      <c r="M18051" t="s">
        <v>158</v>
      </c>
      <c r="N18051" t="str">
        <f>"0869450644  "</f>
        <v xml:space="preserve">0869450644  </v>
      </c>
      <c r="O18051">
        <v>230918</v>
      </c>
    </row>
    <row r="18052" spans="1:15" x14ac:dyDescent="0.25">
      <c r="A18052" t="s">
        <v>16</v>
      </c>
      <c r="B18052" t="s">
        <v>3221</v>
      </c>
      <c r="C18052">
        <v>12361</v>
      </c>
      <c r="D18052" t="s">
        <v>385</v>
      </c>
      <c r="E18052" t="s">
        <v>386</v>
      </c>
      <c r="F18052">
        <v>570.24</v>
      </c>
      <c r="G18052">
        <v>230912</v>
      </c>
      <c r="H18052">
        <v>4520</v>
      </c>
      <c r="I18052" t="s">
        <v>254</v>
      </c>
      <c r="J18052">
        <v>650.07000000000005</v>
      </c>
      <c r="K18052">
        <v>79.83</v>
      </c>
      <c r="L18052">
        <v>69804</v>
      </c>
      <c r="M18052" t="s">
        <v>284</v>
      </c>
      <c r="N18052" t="str">
        <f>"0869458727  "</f>
        <v xml:space="preserve">0869458727  </v>
      </c>
      <c r="O18052">
        <v>230918</v>
      </c>
    </row>
    <row r="18053" spans="1:15" x14ac:dyDescent="0.25">
      <c r="A18053" t="s">
        <v>16</v>
      </c>
      <c r="B18053" t="s">
        <v>3221</v>
      </c>
      <c r="C18053">
        <v>14580</v>
      </c>
      <c r="D18053" t="s">
        <v>385</v>
      </c>
      <c r="E18053" t="s">
        <v>386</v>
      </c>
      <c r="F18053">
        <v>111.73</v>
      </c>
      <c r="G18053">
        <v>231026</v>
      </c>
      <c r="H18053">
        <v>4520</v>
      </c>
      <c r="I18053" t="s">
        <v>254</v>
      </c>
      <c r="J18053">
        <v>138.55000000000001</v>
      </c>
      <c r="K18053">
        <v>26.82</v>
      </c>
      <c r="L18053">
        <v>54451</v>
      </c>
      <c r="M18053" t="s">
        <v>158</v>
      </c>
      <c r="N18053" t="str">
        <f>"0869581816  "</f>
        <v xml:space="preserve">0869581816  </v>
      </c>
      <c r="O18053">
        <v>231030</v>
      </c>
    </row>
    <row r="18054" spans="1:15" x14ac:dyDescent="0.25">
      <c r="A18054" t="s">
        <v>16</v>
      </c>
      <c r="B18054" t="s">
        <v>3221</v>
      </c>
      <c r="C18054">
        <v>14580</v>
      </c>
      <c r="D18054" t="s">
        <v>385</v>
      </c>
      <c r="E18054" t="s">
        <v>386</v>
      </c>
      <c r="F18054">
        <v>973.58</v>
      </c>
      <c r="G18054">
        <v>231026</v>
      </c>
      <c r="H18054">
        <v>4520</v>
      </c>
      <c r="I18054" t="s">
        <v>254</v>
      </c>
      <c r="J18054">
        <v>1109.8800000000001</v>
      </c>
      <c r="K18054">
        <v>136.30000000000001</v>
      </c>
      <c r="L18054">
        <v>54451</v>
      </c>
      <c r="M18054" t="s">
        <v>158</v>
      </c>
      <c r="N18054" t="str">
        <f>"0869581816  "</f>
        <v xml:space="preserve">0869581816  </v>
      </c>
      <c r="O18054">
        <v>231030</v>
      </c>
    </row>
    <row r="18055" spans="1:15" x14ac:dyDescent="0.25">
      <c r="A18055" t="s">
        <v>16</v>
      </c>
      <c r="B18055" t="s">
        <v>3221</v>
      </c>
      <c r="C18055">
        <v>15610</v>
      </c>
      <c r="D18055" t="s">
        <v>385</v>
      </c>
      <c r="E18055" t="s">
        <v>386</v>
      </c>
      <c r="F18055">
        <v>405.73</v>
      </c>
      <c r="G18055">
        <v>231102</v>
      </c>
      <c r="H18055">
        <v>4520</v>
      </c>
      <c r="I18055" t="s">
        <v>254</v>
      </c>
      <c r="J18055">
        <v>462.53</v>
      </c>
      <c r="K18055">
        <v>56.8</v>
      </c>
      <c r="L18055">
        <v>69804</v>
      </c>
      <c r="M18055" t="s">
        <v>284</v>
      </c>
      <c r="N18055" t="str">
        <f>"0869598932  "</f>
        <v xml:space="preserve">0869598932  </v>
      </c>
      <c r="O18055">
        <v>231114</v>
      </c>
    </row>
    <row r="18056" spans="1:15" x14ac:dyDescent="0.25">
      <c r="A18056" t="s">
        <v>16</v>
      </c>
      <c r="B18056" t="s">
        <v>3221</v>
      </c>
      <c r="C18056">
        <v>16272</v>
      </c>
      <c r="D18056" t="s">
        <v>385</v>
      </c>
      <c r="E18056" t="s">
        <v>386</v>
      </c>
      <c r="F18056">
        <v>424.96</v>
      </c>
      <c r="G18056">
        <v>231123</v>
      </c>
      <c r="H18056">
        <v>4520</v>
      </c>
      <c r="I18056" t="s">
        <v>254</v>
      </c>
      <c r="J18056">
        <v>526.95000000000005</v>
      </c>
      <c r="K18056">
        <v>101.99</v>
      </c>
      <c r="L18056">
        <v>54451</v>
      </c>
      <c r="M18056" t="s">
        <v>158</v>
      </c>
      <c r="N18056" t="str">
        <f>"0869651630  "</f>
        <v xml:space="preserve">0869651630  </v>
      </c>
      <c r="O18056">
        <v>231127</v>
      </c>
    </row>
    <row r="18057" spans="1:15" x14ac:dyDescent="0.25">
      <c r="A18057" t="s">
        <v>16</v>
      </c>
      <c r="B18057" t="s">
        <v>3221</v>
      </c>
      <c r="C18057">
        <v>18283</v>
      </c>
      <c r="D18057" t="s">
        <v>385</v>
      </c>
      <c r="E18057" t="s">
        <v>386</v>
      </c>
      <c r="F18057">
        <v>358.63</v>
      </c>
      <c r="G18057">
        <v>231221</v>
      </c>
      <c r="H18057">
        <v>4520</v>
      </c>
      <c r="I18057" t="s">
        <v>254</v>
      </c>
      <c r="J18057">
        <v>408.84</v>
      </c>
      <c r="K18057">
        <v>50.21</v>
      </c>
      <c r="L18057">
        <v>69804</v>
      </c>
      <c r="M18057" t="s">
        <v>284</v>
      </c>
      <c r="N18057" t="str">
        <f>"0869721083  "</f>
        <v xml:space="preserve">0869721083  </v>
      </c>
      <c r="O18057">
        <v>240102</v>
      </c>
    </row>
    <row r="18058" spans="1:15" x14ac:dyDescent="0.25">
      <c r="A18058" t="s">
        <v>16</v>
      </c>
      <c r="B18058" t="s">
        <v>3221</v>
      </c>
      <c r="C18058">
        <v>264</v>
      </c>
      <c r="D18058" t="s">
        <v>385</v>
      </c>
      <c r="E18058" t="s">
        <v>386</v>
      </c>
      <c r="F18058">
        <v>47.74</v>
      </c>
      <c r="G18058">
        <v>230112</v>
      </c>
      <c r="H18058">
        <v>4600</v>
      </c>
      <c r="I18058" t="s">
        <v>105</v>
      </c>
      <c r="J18058">
        <v>59.2</v>
      </c>
      <c r="K18058">
        <v>11.46</v>
      </c>
      <c r="L18058">
        <v>69804</v>
      </c>
      <c r="M18058" t="s">
        <v>284</v>
      </c>
      <c r="N18058" t="str">
        <f>"0868790219  "</f>
        <v xml:space="preserve">0868790219  </v>
      </c>
      <c r="O18058">
        <v>230117</v>
      </c>
    </row>
    <row r="18059" spans="1:15" x14ac:dyDescent="0.25">
      <c r="A18059" t="s">
        <v>16</v>
      </c>
      <c r="B18059" t="s">
        <v>3221</v>
      </c>
      <c r="C18059">
        <v>265</v>
      </c>
      <c r="D18059" t="s">
        <v>385</v>
      </c>
      <c r="E18059" t="s">
        <v>386</v>
      </c>
      <c r="F18059">
        <v>-14.68</v>
      </c>
      <c r="G18059">
        <v>230112</v>
      </c>
      <c r="H18059">
        <v>4600</v>
      </c>
      <c r="I18059" t="s">
        <v>105</v>
      </c>
      <c r="J18059">
        <v>-18.2</v>
      </c>
      <c r="K18059">
        <v>-3.52</v>
      </c>
      <c r="L18059">
        <v>69804</v>
      </c>
      <c r="M18059" t="s">
        <v>284</v>
      </c>
      <c r="N18059" t="str">
        <f>"0868790268  "</f>
        <v xml:space="preserve">0868790268  </v>
      </c>
      <c r="O18059">
        <v>230117</v>
      </c>
    </row>
    <row r="18060" spans="1:15" x14ac:dyDescent="0.25">
      <c r="A18060" t="s">
        <v>16</v>
      </c>
      <c r="B18060" t="s">
        <v>3221</v>
      </c>
      <c r="C18060">
        <v>479</v>
      </c>
      <c r="D18060" t="s">
        <v>385</v>
      </c>
      <c r="E18060" t="s">
        <v>386</v>
      </c>
      <c r="F18060">
        <v>29.85</v>
      </c>
      <c r="G18060">
        <v>230119</v>
      </c>
      <c r="H18060">
        <v>4600</v>
      </c>
      <c r="I18060" t="s">
        <v>105</v>
      </c>
      <c r="J18060">
        <v>37.01</v>
      </c>
      <c r="K18060">
        <v>7.16</v>
      </c>
      <c r="L18060">
        <v>69811</v>
      </c>
      <c r="M18060" t="s">
        <v>315</v>
      </c>
      <c r="N18060" t="str">
        <f>"0868806903  "</f>
        <v xml:space="preserve">0868806903  </v>
      </c>
      <c r="O18060">
        <v>230123</v>
      </c>
    </row>
    <row r="18061" spans="1:15" x14ac:dyDescent="0.25">
      <c r="A18061" t="s">
        <v>16</v>
      </c>
      <c r="B18061" t="s">
        <v>3221</v>
      </c>
      <c r="C18061">
        <v>3149</v>
      </c>
      <c r="D18061" t="s">
        <v>385</v>
      </c>
      <c r="E18061" t="s">
        <v>386</v>
      </c>
      <c r="F18061">
        <v>65.64</v>
      </c>
      <c r="G18061">
        <v>230301</v>
      </c>
      <c r="H18061">
        <v>4600</v>
      </c>
      <c r="I18061" t="s">
        <v>105</v>
      </c>
      <c r="J18061">
        <v>81.39</v>
      </c>
      <c r="K18061">
        <v>15.75</v>
      </c>
      <c r="L18061">
        <v>69804</v>
      </c>
      <c r="M18061" t="s">
        <v>284</v>
      </c>
      <c r="N18061" t="str">
        <f>"0868911369  "</f>
        <v xml:space="preserve">0868911369  </v>
      </c>
      <c r="O18061">
        <v>230309</v>
      </c>
    </row>
    <row r="18062" spans="1:15" x14ac:dyDescent="0.25">
      <c r="A18062" t="s">
        <v>16</v>
      </c>
      <c r="B18062" t="s">
        <v>3221</v>
      </c>
      <c r="C18062">
        <v>3150</v>
      </c>
      <c r="D18062" t="s">
        <v>385</v>
      </c>
      <c r="E18062" t="s">
        <v>386</v>
      </c>
      <c r="F18062">
        <v>-16.77</v>
      </c>
      <c r="G18062">
        <v>230301</v>
      </c>
      <c r="H18062">
        <v>4600</v>
      </c>
      <c r="I18062" t="s">
        <v>105</v>
      </c>
      <c r="J18062">
        <v>-20.79</v>
      </c>
      <c r="K18062">
        <v>-4.0199999999999996</v>
      </c>
      <c r="L18062">
        <v>69804</v>
      </c>
      <c r="M18062" t="s">
        <v>284</v>
      </c>
      <c r="N18062" t="str">
        <f>"0868911378  "</f>
        <v xml:space="preserve">0868911378  </v>
      </c>
      <c r="O18062">
        <v>230309</v>
      </c>
    </row>
    <row r="18063" spans="1:15" x14ac:dyDescent="0.25">
      <c r="A18063" t="s">
        <v>16</v>
      </c>
      <c r="B18063" t="s">
        <v>3221</v>
      </c>
      <c r="C18063">
        <v>5046</v>
      </c>
      <c r="D18063" t="s">
        <v>385</v>
      </c>
      <c r="E18063" t="s">
        <v>386</v>
      </c>
      <c r="F18063">
        <v>110.79</v>
      </c>
      <c r="G18063">
        <v>230406</v>
      </c>
      <c r="H18063">
        <v>4600</v>
      </c>
      <c r="I18063" t="s">
        <v>105</v>
      </c>
      <c r="J18063">
        <v>137.38</v>
      </c>
      <c r="K18063">
        <v>26.59</v>
      </c>
      <c r="L18063">
        <v>54451</v>
      </c>
      <c r="M18063" t="s">
        <v>158</v>
      </c>
      <c r="N18063" t="str">
        <f>"0869016919  "</f>
        <v xml:space="preserve">0869016919  </v>
      </c>
      <c r="O18063">
        <v>230417</v>
      </c>
    </row>
    <row r="18064" spans="1:15" x14ac:dyDescent="0.25">
      <c r="A18064" t="s">
        <v>16</v>
      </c>
      <c r="B18064" t="s">
        <v>3221</v>
      </c>
      <c r="C18064">
        <v>5579</v>
      </c>
      <c r="D18064" t="s">
        <v>385</v>
      </c>
      <c r="E18064" t="s">
        <v>386</v>
      </c>
      <c r="F18064">
        <v>65.63</v>
      </c>
      <c r="G18064">
        <v>230420</v>
      </c>
      <c r="H18064">
        <v>4600</v>
      </c>
      <c r="I18064" t="s">
        <v>105</v>
      </c>
      <c r="J18064">
        <v>81.38</v>
      </c>
      <c r="K18064">
        <v>15.75</v>
      </c>
      <c r="L18064">
        <v>69804</v>
      </c>
      <c r="M18064" t="s">
        <v>284</v>
      </c>
      <c r="N18064" t="str">
        <f>"0869044974  "</f>
        <v xml:space="preserve">0869044974  </v>
      </c>
      <c r="O18064">
        <v>230427</v>
      </c>
    </row>
    <row r="18065" spans="1:16" x14ac:dyDescent="0.25">
      <c r="A18065" t="s">
        <v>16</v>
      </c>
      <c r="B18065" t="s">
        <v>3221</v>
      </c>
      <c r="C18065">
        <v>5580</v>
      </c>
      <c r="D18065" t="s">
        <v>385</v>
      </c>
      <c r="E18065" t="s">
        <v>386</v>
      </c>
      <c r="F18065">
        <v>-20.97</v>
      </c>
      <c r="G18065">
        <v>230420</v>
      </c>
      <c r="H18065">
        <v>4600</v>
      </c>
      <c r="I18065" t="s">
        <v>105</v>
      </c>
      <c r="J18065">
        <v>-26</v>
      </c>
      <c r="K18065">
        <v>-5.03</v>
      </c>
      <c r="L18065">
        <v>69804</v>
      </c>
      <c r="M18065" t="s">
        <v>284</v>
      </c>
      <c r="N18065" t="str">
        <f>"0869045002  "</f>
        <v xml:space="preserve">0869045002  </v>
      </c>
      <c r="O18065">
        <v>230427</v>
      </c>
    </row>
    <row r="18066" spans="1:16" x14ac:dyDescent="0.25">
      <c r="A18066" t="s">
        <v>16</v>
      </c>
      <c r="B18066" t="s">
        <v>3221</v>
      </c>
      <c r="C18066">
        <v>10904</v>
      </c>
      <c r="D18066" t="s">
        <v>385</v>
      </c>
      <c r="E18066" t="s">
        <v>386</v>
      </c>
      <c r="F18066">
        <v>-27.26</v>
      </c>
      <c r="G18066">
        <v>230816</v>
      </c>
      <c r="H18066">
        <v>4600</v>
      </c>
      <c r="I18066" t="s">
        <v>105</v>
      </c>
      <c r="J18066">
        <v>-33.799999999999997</v>
      </c>
      <c r="K18066">
        <v>-6.54</v>
      </c>
      <c r="L18066">
        <v>69804</v>
      </c>
      <c r="M18066" t="s">
        <v>284</v>
      </c>
      <c r="N18066" t="str">
        <f>"0869384311  "</f>
        <v xml:space="preserve">0869384311  </v>
      </c>
      <c r="O18066">
        <v>230825</v>
      </c>
    </row>
    <row r="18067" spans="1:16" x14ac:dyDescent="0.25">
      <c r="A18067" t="s">
        <v>16</v>
      </c>
      <c r="B18067" t="s">
        <v>3221</v>
      </c>
      <c r="C18067">
        <v>10905</v>
      </c>
      <c r="D18067" t="s">
        <v>385</v>
      </c>
      <c r="E18067" t="s">
        <v>386</v>
      </c>
      <c r="F18067">
        <v>53.7</v>
      </c>
      <c r="G18067">
        <v>230816</v>
      </c>
      <c r="H18067">
        <v>4600</v>
      </c>
      <c r="I18067" t="s">
        <v>105</v>
      </c>
      <c r="J18067">
        <v>66.59</v>
      </c>
      <c r="K18067">
        <v>12.89</v>
      </c>
      <c r="L18067">
        <v>69804</v>
      </c>
      <c r="M18067" t="s">
        <v>284</v>
      </c>
      <c r="N18067" t="str">
        <f>"0869384325  "</f>
        <v xml:space="preserve">0869384325  </v>
      </c>
      <c r="O18067">
        <v>230825</v>
      </c>
    </row>
    <row r="18068" spans="1:16" x14ac:dyDescent="0.25">
      <c r="A18068" t="s">
        <v>16</v>
      </c>
      <c r="B18068" t="s">
        <v>3221</v>
      </c>
      <c r="C18068">
        <v>12316</v>
      </c>
      <c r="D18068" t="s">
        <v>385</v>
      </c>
      <c r="E18068" t="s">
        <v>386</v>
      </c>
      <c r="F18068">
        <v>-18.87</v>
      </c>
      <c r="G18068">
        <v>230912</v>
      </c>
      <c r="H18068">
        <v>4600</v>
      </c>
      <c r="I18068" t="s">
        <v>105</v>
      </c>
      <c r="J18068">
        <v>-23.4</v>
      </c>
      <c r="K18068">
        <v>-4.53</v>
      </c>
      <c r="L18068">
        <v>69804</v>
      </c>
      <c r="M18068" t="s">
        <v>284</v>
      </c>
      <c r="N18068" t="str">
        <f>"0869458752  "</f>
        <v xml:space="preserve">0869458752  </v>
      </c>
      <c r="O18068">
        <v>230918</v>
      </c>
    </row>
    <row r="18069" spans="1:16" x14ac:dyDescent="0.25">
      <c r="A18069" t="s">
        <v>16</v>
      </c>
      <c r="B18069" t="s">
        <v>3221</v>
      </c>
      <c r="C18069">
        <v>15610</v>
      </c>
      <c r="D18069" t="s">
        <v>385</v>
      </c>
      <c r="E18069" t="s">
        <v>386</v>
      </c>
      <c r="F18069">
        <v>59.67</v>
      </c>
      <c r="G18069">
        <v>231102</v>
      </c>
      <c r="H18069">
        <v>4600</v>
      </c>
      <c r="I18069" t="s">
        <v>105</v>
      </c>
      <c r="J18069">
        <v>73.989999999999995</v>
      </c>
      <c r="K18069">
        <v>14.32</v>
      </c>
      <c r="L18069">
        <v>69804</v>
      </c>
      <c r="M18069" t="s">
        <v>284</v>
      </c>
      <c r="N18069" t="str">
        <f>"0869598932  "</f>
        <v xml:space="preserve">0869598932  </v>
      </c>
      <c r="O18069">
        <v>231114</v>
      </c>
    </row>
    <row r="18070" spans="1:16" x14ac:dyDescent="0.25">
      <c r="A18070" t="s">
        <v>16</v>
      </c>
      <c r="B18070" t="s">
        <v>3221</v>
      </c>
      <c r="C18070">
        <v>15611</v>
      </c>
      <c r="D18070" t="s">
        <v>385</v>
      </c>
      <c r="E18070" t="s">
        <v>386</v>
      </c>
      <c r="F18070">
        <v>-25.16</v>
      </c>
      <c r="G18070">
        <v>231102</v>
      </c>
      <c r="H18070">
        <v>4600</v>
      </c>
      <c r="I18070" t="s">
        <v>105</v>
      </c>
      <c r="J18070">
        <v>-31.2</v>
      </c>
      <c r="K18070">
        <v>-6.04</v>
      </c>
      <c r="L18070">
        <v>69804</v>
      </c>
      <c r="M18070" t="s">
        <v>284</v>
      </c>
      <c r="N18070" t="str">
        <f>"0869598898  "</f>
        <v xml:space="preserve">0869598898  </v>
      </c>
      <c r="O18070">
        <v>231114</v>
      </c>
    </row>
    <row r="18071" spans="1:16" x14ac:dyDescent="0.25">
      <c r="A18071" t="s">
        <v>16</v>
      </c>
      <c r="B18071" t="s">
        <v>3221</v>
      </c>
      <c r="C18071">
        <v>18283</v>
      </c>
      <c r="D18071" t="s">
        <v>385</v>
      </c>
      <c r="E18071" t="s">
        <v>386</v>
      </c>
      <c r="F18071">
        <v>61.76</v>
      </c>
      <c r="G18071">
        <v>231221</v>
      </c>
      <c r="H18071">
        <v>4600</v>
      </c>
      <c r="I18071" t="s">
        <v>105</v>
      </c>
      <c r="J18071">
        <v>76.58</v>
      </c>
      <c r="K18071">
        <v>14.82</v>
      </c>
      <c r="L18071">
        <v>69804</v>
      </c>
      <c r="M18071" t="s">
        <v>284</v>
      </c>
      <c r="N18071" t="str">
        <f>"0869721083  "</f>
        <v xml:space="preserve">0869721083  </v>
      </c>
      <c r="O18071">
        <v>240102</v>
      </c>
    </row>
    <row r="18072" spans="1:16" x14ac:dyDescent="0.25">
      <c r="A18072" t="s">
        <v>16</v>
      </c>
      <c r="B18072" t="s">
        <v>3221</v>
      </c>
      <c r="C18072">
        <v>18284</v>
      </c>
      <c r="D18072" t="s">
        <v>385</v>
      </c>
      <c r="E18072" t="s">
        <v>386</v>
      </c>
      <c r="F18072">
        <v>-20.97</v>
      </c>
      <c r="G18072">
        <v>231221</v>
      </c>
      <c r="H18072">
        <v>4600</v>
      </c>
      <c r="I18072" t="s">
        <v>105</v>
      </c>
      <c r="J18072">
        <v>-26</v>
      </c>
      <c r="K18072">
        <v>-5.03</v>
      </c>
      <c r="L18072">
        <v>69804</v>
      </c>
      <c r="M18072" t="s">
        <v>284</v>
      </c>
      <c r="N18072" t="str">
        <f>"0869721089  "</f>
        <v xml:space="preserve">0869721089  </v>
      </c>
      <c r="O18072">
        <v>240102</v>
      </c>
    </row>
    <row r="18073" spans="1:16" x14ac:dyDescent="0.25">
      <c r="A18073" t="s">
        <v>16</v>
      </c>
      <c r="B18073" t="s">
        <v>3221</v>
      </c>
      <c r="C18073">
        <v>13907</v>
      </c>
      <c r="D18073" t="s">
        <v>2713</v>
      </c>
      <c r="E18073" t="s">
        <v>2714</v>
      </c>
      <c r="F18073">
        <v>2589.6799999999998</v>
      </c>
      <c r="G18073">
        <v>231008</v>
      </c>
      <c r="H18073">
        <v>4420</v>
      </c>
      <c r="I18073" t="s">
        <v>132</v>
      </c>
      <c r="J18073">
        <v>3211.2</v>
      </c>
      <c r="K18073">
        <v>621.52</v>
      </c>
      <c r="L18073">
        <v>17803</v>
      </c>
      <c r="M18073" t="s">
        <v>389</v>
      </c>
      <c r="N18073" t="str">
        <f>"5313        "</f>
        <v xml:space="preserve">5313        </v>
      </c>
      <c r="O18073">
        <v>231016</v>
      </c>
    </row>
    <row r="18074" spans="1:16" x14ac:dyDescent="0.25">
      <c r="A18074" t="s">
        <v>16</v>
      </c>
      <c r="B18074" t="s">
        <v>3221</v>
      </c>
      <c r="C18074">
        <v>17138</v>
      </c>
      <c r="D18074" t="s">
        <v>3578</v>
      </c>
      <c r="E18074" t="s">
        <v>3579</v>
      </c>
      <c r="F18074">
        <v>64.2</v>
      </c>
      <c r="G18074">
        <v>231205</v>
      </c>
      <c r="H18074">
        <v>4420</v>
      </c>
      <c r="I18074" t="s">
        <v>132</v>
      </c>
      <c r="J18074">
        <v>64.2</v>
      </c>
      <c r="K18074">
        <v>0</v>
      </c>
      <c r="L18074">
        <v>16930</v>
      </c>
      <c r="M18074" t="s">
        <v>450</v>
      </c>
      <c r="N18074" t="str">
        <f>"34          "</f>
        <v xml:space="preserve">34          </v>
      </c>
      <c r="O18074">
        <v>231212</v>
      </c>
    </row>
    <row r="18075" spans="1:16" x14ac:dyDescent="0.25">
      <c r="A18075" t="s">
        <v>16</v>
      </c>
      <c r="B18075" t="s">
        <v>3221</v>
      </c>
      <c r="C18075">
        <v>17138</v>
      </c>
      <c r="D18075" t="s">
        <v>3578</v>
      </c>
      <c r="E18075" t="s">
        <v>3579</v>
      </c>
      <c r="F18075">
        <v>800</v>
      </c>
      <c r="G18075">
        <v>231205</v>
      </c>
      <c r="H18075">
        <v>4440</v>
      </c>
      <c r="I18075" t="s">
        <v>250</v>
      </c>
      <c r="J18075">
        <v>992</v>
      </c>
      <c r="K18075">
        <v>192</v>
      </c>
      <c r="L18075">
        <v>16930</v>
      </c>
      <c r="M18075" t="s">
        <v>450</v>
      </c>
      <c r="N18075" t="str">
        <f>"34          "</f>
        <v xml:space="preserve">34          </v>
      </c>
      <c r="O18075">
        <v>231212</v>
      </c>
    </row>
    <row r="18076" spans="1:16" x14ac:dyDescent="0.25">
      <c r="A18076" t="s">
        <v>16</v>
      </c>
      <c r="B18076" t="s">
        <v>3221</v>
      </c>
      <c r="C18076">
        <v>16475</v>
      </c>
      <c r="D18076" t="s">
        <v>2596</v>
      </c>
      <c r="E18076" t="s">
        <v>2597</v>
      </c>
      <c r="F18076">
        <v>64.19</v>
      </c>
      <c r="G18076">
        <v>231123</v>
      </c>
      <c r="H18076">
        <v>4580</v>
      </c>
      <c r="I18076" t="s">
        <v>35</v>
      </c>
      <c r="J18076">
        <v>79.599999999999994</v>
      </c>
      <c r="K18076">
        <v>15.41</v>
      </c>
      <c r="L18076">
        <v>17521</v>
      </c>
      <c r="M18076" t="s">
        <v>133</v>
      </c>
      <c r="N18076" t="str">
        <f>"31303       "</f>
        <v xml:space="preserve">31303       </v>
      </c>
      <c r="O18076">
        <v>231201</v>
      </c>
    </row>
    <row r="18077" spans="1:16" x14ac:dyDescent="0.25">
      <c r="A18077" t="s">
        <v>16</v>
      </c>
      <c r="B18077" t="s">
        <v>3221</v>
      </c>
      <c r="C18077">
        <v>12675</v>
      </c>
      <c r="D18077" t="s">
        <v>2596</v>
      </c>
      <c r="E18077" t="s">
        <v>2597</v>
      </c>
      <c r="F18077">
        <v>183.83</v>
      </c>
      <c r="G18077">
        <v>230918</v>
      </c>
      <c r="H18077">
        <v>4600</v>
      </c>
      <c r="I18077" t="s">
        <v>105</v>
      </c>
      <c r="J18077">
        <v>227.95</v>
      </c>
      <c r="K18077">
        <v>44.12</v>
      </c>
      <c r="L18077">
        <v>17632</v>
      </c>
      <c r="M18077" t="s">
        <v>495</v>
      </c>
      <c r="N18077" t="str">
        <f>"30960       "</f>
        <v xml:space="preserve">30960       </v>
      </c>
      <c r="O18077">
        <v>230925</v>
      </c>
    </row>
    <row r="18078" spans="1:16" x14ac:dyDescent="0.25">
      <c r="A18078" t="s">
        <v>16</v>
      </c>
      <c r="B18078" t="s">
        <v>3221</v>
      </c>
      <c r="C18078">
        <v>11236</v>
      </c>
      <c r="D18078" t="s">
        <v>2465</v>
      </c>
      <c r="F18078">
        <v>1800</v>
      </c>
      <c r="G18078">
        <v>230829</v>
      </c>
      <c r="H18078">
        <v>4440</v>
      </c>
      <c r="I18078" t="s">
        <v>250</v>
      </c>
      <c r="J18078">
        <v>1800</v>
      </c>
      <c r="K18078">
        <v>0</v>
      </c>
      <c r="L18078">
        <v>11902</v>
      </c>
      <c r="M18078" t="s">
        <v>1443</v>
      </c>
      <c r="N18078" t="str">
        <f>"108/2023    "</f>
        <v xml:space="preserve">108/2023    </v>
      </c>
      <c r="O18078">
        <v>230901</v>
      </c>
      <c r="P18078" t="s">
        <v>2466</v>
      </c>
    </row>
    <row r="18079" spans="1:16" x14ac:dyDescent="0.25">
      <c r="A18079" t="s">
        <v>16</v>
      </c>
      <c r="B18079" t="s">
        <v>3221</v>
      </c>
      <c r="C18079">
        <v>10694</v>
      </c>
      <c r="D18079" t="s">
        <v>2411</v>
      </c>
      <c r="E18079" t="s">
        <v>2412</v>
      </c>
      <c r="F18079">
        <v>47.57</v>
      </c>
      <c r="G18079">
        <v>230814</v>
      </c>
      <c r="H18079">
        <v>4390</v>
      </c>
      <c r="I18079" t="s">
        <v>98</v>
      </c>
      <c r="J18079">
        <v>58.99</v>
      </c>
      <c r="K18079">
        <v>11.42</v>
      </c>
      <c r="L18079">
        <v>13540</v>
      </c>
      <c r="M18079" t="s">
        <v>85</v>
      </c>
      <c r="N18079" t="str">
        <f>"401729      "</f>
        <v xml:space="preserve">401729      </v>
      </c>
      <c r="O18079">
        <v>230822</v>
      </c>
    </row>
    <row r="18080" spans="1:16" x14ac:dyDescent="0.25">
      <c r="A18080" t="s">
        <v>16</v>
      </c>
      <c r="B18080" t="s">
        <v>3221</v>
      </c>
      <c r="C18080">
        <v>10694</v>
      </c>
      <c r="D18080" t="s">
        <v>2411</v>
      </c>
      <c r="E18080" t="s">
        <v>2412</v>
      </c>
      <c r="F18080">
        <v>384.87</v>
      </c>
      <c r="G18080">
        <v>230814</v>
      </c>
      <c r="H18080">
        <v>4390</v>
      </c>
      <c r="I18080" t="s">
        <v>98</v>
      </c>
      <c r="J18080">
        <v>477.24</v>
      </c>
      <c r="K18080">
        <v>92.37</v>
      </c>
      <c r="L18080">
        <v>17950</v>
      </c>
      <c r="M18080" t="s">
        <v>86</v>
      </c>
      <c r="N18080" t="str">
        <f>"401729      "</f>
        <v xml:space="preserve">401729      </v>
      </c>
      <c r="O18080">
        <v>230822</v>
      </c>
    </row>
    <row r="18081" spans="1:15" x14ac:dyDescent="0.25">
      <c r="A18081" t="s">
        <v>16</v>
      </c>
      <c r="B18081" t="s">
        <v>3221</v>
      </c>
      <c r="C18081">
        <v>14582</v>
      </c>
      <c r="D18081" t="s">
        <v>2411</v>
      </c>
      <c r="E18081" t="s">
        <v>2412</v>
      </c>
      <c r="F18081">
        <v>6319.48</v>
      </c>
      <c r="G18081">
        <v>231023</v>
      </c>
      <c r="H18081">
        <v>4390</v>
      </c>
      <c r="I18081" t="s">
        <v>98</v>
      </c>
      <c r="J18081">
        <v>6319.48</v>
      </c>
      <c r="K18081">
        <v>0</v>
      </c>
      <c r="L18081">
        <v>59505</v>
      </c>
      <c r="M18081" t="s">
        <v>72</v>
      </c>
      <c r="N18081" t="str">
        <f>"701662      "</f>
        <v xml:space="preserve">701662      </v>
      </c>
      <c r="O18081">
        <v>231030</v>
      </c>
    </row>
    <row r="18082" spans="1:15" x14ac:dyDescent="0.25">
      <c r="A18082" t="s">
        <v>16</v>
      </c>
      <c r="B18082" t="s">
        <v>3221</v>
      </c>
      <c r="C18082">
        <v>16079</v>
      </c>
      <c r="D18082" t="s">
        <v>2926</v>
      </c>
      <c r="E18082" t="s">
        <v>2927</v>
      </c>
      <c r="F18082">
        <v>397.5</v>
      </c>
      <c r="G18082">
        <v>231115</v>
      </c>
      <c r="H18082">
        <v>4600</v>
      </c>
      <c r="I18082" t="s">
        <v>105</v>
      </c>
      <c r="J18082">
        <v>492.9</v>
      </c>
      <c r="K18082">
        <v>95.4</v>
      </c>
      <c r="L18082">
        <v>59501</v>
      </c>
      <c r="M18082" t="s">
        <v>69</v>
      </c>
      <c r="N18082" t="str">
        <f>"493         "</f>
        <v xml:space="preserve">493         </v>
      </c>
      <c r="O18082">
        <v>231122</v>
      </c>
    </row>
    <row r="18083" spans="1:15" x14ac:dyDescent="0.25">
      <c r="A18083" t="s">
        <v>16</v>
      </c>
      <c r="B18083" t="s">
        <v>3221</v>
      </c>
      <c r="C18083">
        <v>11042</v>
      </c>
      <c r="D18083" t="s">
        <v>2441</v>
      </c>
      <c r="E18083" t="s">
        <v>2442</v>
      </c>
      <c r="F18083">
        <v>1850</v>
      </c>
      <c r="G18083">
        <v>230825</v>
      </c>
      <c r="H18083">
        <v>4390</v>
      </c>
      <c r="I18083" t="s">
        <v>98</v>
      </c>
      <c r="J18083">
        <v>1850</v>
      </c>
      <c r="K18083">
        <v>0</v>
      </c>
      <c r="L18083">
        <v>17951</v>
      </c>
      <c r="M18083" t="s">
        <v>87</v>
      </c>
      <c r="N18083" t="str">
        <f>"150         "</f>
        <v xml:space="preserve">150         </v>
      </c>
      <c r="O18083">
        <v>230828</v>
      </c>
    </row>
    <row r="18084" spans="1:15" x14ac:dyDescent="0.25">
      <c r="A18084" t="s">
        <v>16</v>
      </c>
      <c r="B18084" t="s">
        <v>3221</v>
      </c>
      <c r="C18084">
        <v>15508</v>
      </c>
      <c r="D18084" t="s">
        <v>2441</v>
      </c>
      <c r="E18084" t="s">
        <v>2442</v>
      </c>
      <c r="F18084">
        <v>5625</v>
      </c>
      <c r="G18084">
        <v>231109</v>
      </c>
      <c r="H18084">
        <v>4390</v>
      </c>
      <c r="I18084" t="s">
        <v>98</v>
      </c>
      <c r="J18084">
        <v>5625</v>
      </c>
      <c r="K18084">
        <v>0</v>
      </c>
      <c r="L18084">
        <v>17951</v>
      </c>
      <c r="M18084" t="s">
        <v>87</v>
      </c>
      <c r="N18084" t="str">
        <f>"174         "</f>
        <v xml:space="preserve">174         </v>
      </c>
      <c r="O18084">
        <v>231113</v>
      </c>
    </row>
    <row r="18085" spans="1:15" x14ac:dyDescent="0.25">
      <c r="A18085" t="s">
        <v>16</v>
      </c>
      <c r="B18085" t="s">
        <v>3221</v>
      </c>
      <c r="C18085">
        <v>1630</v>
      </c>
      <c r="D18085" t="s">
        <v>1107</v>
      </c>
      <c r="E18085" t="s">
        <v>1108</v>
      </c>
      <c r="F18085">
        <v>1718</v>
      </c>
      <c r="G18085">
        <v>230131</v>
      </c>
      <c r="H18085">
        <v>1196</v>
      </c>
      <c r="I18085" t="s">
        <v>392</v>
      </c>
      <c r="J18085">
        <v>2130.3200000000002</v>
      </c>
      <c r="K18085">
        <v>412.32</v>
      </c>
      <c r="L18085">
        <v>95501</v>
      </c>
      <c r="M18085" t="s">
        <v>623</v>
      </c>
      <c r="N18085" t="str">
        <f>"23125019    "</f>
        <v xml:space="preserve">23125019    </v>
      </c>
      <c r="O18085">
        <v>230210</v>
      </c>
    </row>
    <row r="18086" spans="1:15" x14ac:dyDescent="0.25">
      <c r="A18086" t="s">
        <v>16</v>
      </c>
      <c r="B18086" t="s">
        <v>3221</v>
      </c>
      <c r="C18086">
        <v>13799</v>
      </c>
      <c r="D18086" t="s">
        <v>1107</v>
      </c>
      <c r="E18086" t="s">
        <v>1108</v>
      </c>
      <c r="F18086">
        <v>2578</v>
      </c>
      <c r="G18086">
        <v>230930</v>
      </c>
      <c r="H18086">
        <v>1196</v>
      </c>
      <c r="I18086" t="s">
        <v>392</v>
      </c>
      <c r="J18086">
        <v>3196.72</v>
      </c>
      <c r="K18086">
        <v>618.72</v>
      </c>
      <c r="L18086">
        <v>95501</v>
      </c>
      <c r="M18086" t="s">
        <v>623</v>
      </c>
      <c r="N18086" t="str">
        <f>"23152368    "</f>
        <v xml:space="preserve">23152368    </v>
      </c>
      <c r="O18086">
        <v>231013</v>
      </c>
    </row>
    <row r="18087" spans="1:15" x14ac:dyDescent="0.25">
      <c r="A18087" t="s">
        <v>16</v>
      </c>
      <c r="B18087" t="s">
        <v>3221</v>
      </c>
      <c r="C18087">
        <v>17377</v>
      </c>
      <c r="D18087" t="s">
        <v>1107</v>
      </c>
      <c r="E18087" t="s">
        <v>1108</v>
      </c>
      <c r="F18087">
        <v>1432</v>
      </c>
      <c r="G18087">
        <v>231130</v>
      </c>
      <c r="H18087">
        <v>1196</v>
      </c>
      <c r="I18087" t="s">
        <v>392</v>
      </c>
      <c r="J18087">
        <v>1775.68</v>
      </c>
      <c r="K18087">
        <v>343.68</v>
      </c>
      <c r="L18087">
        <v>95501</v>
      </c>
      <c r="M18087" t="s">
        <v>623</v>
      </c>
      <c r="N18087" t="str">
        <f>"64000137    "</f>
        <v xml:space="preserve">64000137    </v>
      </c>
      <c r="O18087">
        <v>231213</v>
      </c>
    </row>
    <row r="18088" spans="1:15" x14ac:dyDescent="0.25">
      <c r="A18088" t="s">
        <v>16</v>
      </c>
      <c r="B18088" t="s">
        <v>3221</v>
      </c>
      <c r="C18088">
        <v>4460</v>
      </c>
      <c r="D18088" t="s">
        <v>3417</v>
      </c>
      <c r="E18088" t="s">
        <v>3418</v>
      </c>
      <c r="F18088">
        <v>9360</v>
      </c>
      <c r="G18088">
        <v>230402</v>
      </c>
      <c r="H18088">
        <v>4470</v>
      </c>
      <c r="I18088" t="s">
        <v>83</v>
      </c>
      <c r="J18088">
        <v>9360</v>
      </c>
      <c r="K18088">
        <v>0</v>
      </c>
      <c r="L18088">
        <v>18972</v>
      </c>
      <c r="M18088" t="s">
        <v>163</v>
      </c>
      <c r="N18088" t="str">
        <f>"1238        "</f>
        <v xml:space="preserve">1238        </v>
      </c>
      <c r="O18088">
        <v>230406</v>
      </c>
    </row>
    <row r="18089" spans="1:15" x14ac:dyDescent="0.25">
      <c r="A18089" t="s">
        <v>16</v>
      </c>
      <c r="B18089" t="s">
        <v>3221</v>
      </c>
      <c r="C18089">
        <v>7844</v>
      </c>
      <c r="D18089" t="s">
        <v>3417</v>
      </c>
      <c r="E18089" t="s">
        <v>3418</v>
      </c>
      <c r="F18089">
        <v>300</v>
      </c>
      <c r="G18089">
        <v>230530</v>
      </c>
      <c r="H18089">
        <v>4440</v>
      </c>
      <c r="I18089" t="s">
        <v>250</v>
      </c>
      <c r="J18089">
        <v>300</v>
      </c>
      <c r="K18089">
        <v>0</v>
      </c>
      <c r="L18089">
        <v>18992</v>
      </c>
      <c r="M18089" t="s">
        <v>2445</v>
      </c>
      <c r="N18089" t="str">
        <f>"1375        "</f>
        <v xml:space="preserve">1375        </v>
      </c>
      <c r="O18089">
        <v>230605</v>
      </c>
    </row>
    <row r="18090" spans="1:15" x14ac:dyDescent="0.25">
      <c r="A18090" t="s">
        <v>16</v>
      </c>
      <c r="B18090" t="s">
        <v>3221</v>
      </c>
      <c r="C18090">
        <v>7844</v>
      </c>
      <c r="D18090" t="s">
        <v>3417</v>
      </c>
      <c r="E18090" t="s">
        <v>3418</v>
      </c>
      <c r="F18090">
        <v>5460</v>
      </c>
      <c r="G18090">
        <v>230530</v>
      </c>
      <c r="H18090">
        <v>4440</v>
      </c>
      <c r="I18090" t="s">
        <v>250</v>
      </c>
      <c r="J18090">
        <v>5460</v>
      </c>
      <c r="K18090">
        <v>0</v>
      </c>
      <c r="L18090">
        <v>18992</v>
      </c>
      <c r="M18090" t="s">
        <v>2445</v>
      </c>
      <c r="N18090" t="str">
        <f>"1375        "</f>
        <v xml:space="preserve">1375        </v>
      </c>
      <c r="O18090">
        <v>230605</v>
      </c>
    </row>
    <row r="18091" spans="1:15" x14ac:dyDescent="0.25">
      <c r="A18091" t="s">
        <v>16</v>
      </c>
      <c r="B18091" t="s">
        <v>3221</v>
      </c>
      <c r="C18091">
        <v>10489</v>
      </c>
      <c r="D18091" t="s">
        <v>2386</v>
      </c>
      <c r="E18091" t="s">
        <v>2387</v>
      </c>
      <c r="F18091">
        <v>82.73</v>
      </c>
      <c r="G18091">
        <v>230816</v>
      </c>
      <c r="H18091">
        <v>4470</v>
      </c>
      <c r="I18091" t="s">
        <v>83</v>
      </c>
      <c r="J18091">
        <v>91</v>
      </c>
      <c r="K18091">
        <v>8.27</v>
      </c>
      <c r="L18091">
        <v>17971</v>
      </c>
      <c r="M18091" t="s">
        <v>138</v>
      </c>
      <c r="N18091" t="str">
        <f>"1941        "</f>
        <v xml:space="preserve">1941        </v>
      </c>
      <c r="O18091">
        <v>230817</v>
      </c>
    </row>
    <row r="18092" spans="1:15" x14ac:dyDescent="0.25">
      <c r="A18092" t="s">
        <v>16</v>
      </c>
      <c r="B18092" t="s">
        <v>3221</v>
      </c>
      <c r="C18092">
        <v>927</v>
      </c>
      <c r="D18092" t="s">
        <v>799</v>
      </c>
      <c r="E18092" t="s">
        <v>800</v>
      </c>
      <c r="F18092">
        <v>126.72</v>
      </c>
      <c r="G18092">
        <v>230126</v>
      </c>
      <c r="H18092">
        <v>4580</v>
      </c>
      <c r="I18092" t="s">
        <v>35</v>
      </c>
      <c r="J18092">
        <v>157.13</v>
      </c>
      <c r="K18092">
        <v>30.41</v>
      </c>
      <c r="L18092">
        <v>17711</v>
      </c>
      <c r="M18092" t="s">
        <v>65</v>
      </c>
      <c r="N18092" t="str">
        <f>"0430739425  "</f>
        <v xml:space="preserve">0430739425  </v>
      </c>
      <c r="O18092">
        <v>230201</v>
      </c>
    </row>
    <row r="18093" spans="1:15" x14ac:dyDescent="0.25">
      <c r="A18093" t="s">
        <v>16</v>
      </c>
      <c r="B18093" t="s">
        <v>3221</v>
      </c>
      <c r="C18093">
        <v>3168</v>
      </c>
      <c r="D18093" t="s">
        <v>799</v>
      </c>
      <c r="E18093" t="s">
        <v>800</v>
      </c>
      <c r="F18093">
        <v>135.81</v>
      </c>
      <c r="G18093">
        <v>230206</v>
      </c>
      <c r="H18093">
        <v>4600</v>
      </c>
      <c r="I18093" t="s">
        <v>105</v>
      </c>
      <c r="J18093">
        <v>168.4</v>
      </c>
      <c r="K18093">
        <v>32.590000000000003</v>
      </c>
      <c r="L18093">
        <v>46554</v>
      </c>
      <c r="M18093" t="s">
        <v>117</v>
      </c>
      <c r="N18093" t="str">
        <f>"0430740985  "</f>
        <v xml:space="preserve">0430740985  </v>
      </c>
      <c r="O18093">
        <v>230310</v>
      </c>
    </row>
    <row r="18094" spans="1:15" x14ac:dyDescent="0.25">
      <c r="A18094" t="s">
        <v>16</v>
      </c>
      <c r="B18094" t="s">
        <v>3221</v>
      </c>
      <c r="C18094">
        <v>667</v>
      </c>
      <c r="D18094" t="s">
        <v>674</v>
      </c>
      <c r="E18094" t="s">
        <v>675</v>
      </c>
      <c r="F18094">
        <v>30.58</v>
      </c>
      <c r="G18094">
        <v>230124</v>
      </c>
      <c r="H18094">
        <v>4580</v>
      </c>
      <c r="I18094" t="s">
        <v>35</v>
      </c>
      <c r="J18094">
        <v>37.92</v>
      </c>
      <c r="K18094">
        <v>7.34</v>
      </c>
      <c r="L18094">
        <v>17531</v>
      </c>
      <c r="M18094" t="s">
        <v>136</v>
      </c>
      <c r="N18094" t="str">
        <f>"60785       "</f>
        <v xml:space="preserve">60785       </v>
      </c>
      <c r="O18094">
        <v>230126</v>
      </c>
    </row>
    <row r="18095" spans="1:15" x14ac:dyDescent="0.25">
      <c r="A18095" t="s">
        <v>16</v>
      </c>
      <c r="B18095" t="s">
        <v>3221</v>
      </c>
      <c r="C18095">
        <v>7018</v>
      </c>
      <c r="D18095" t="s">
        <v>674</v>
      </c>
      <c r="E18095" t="s">
        <v>675</v>
      </c>
      <c r="F18095">
        <v>2605</v>
      </c>
      <c r="G18095">
        <v>230517</v>
      </c>
      <c r="H18095">
        <v>4580</v>
      </c>
      <c r="I18095" t="s">
        <v>35</v>
      </c>
      <c r="J18095">
        <v>3230.2</v>
      </c>
      <c r="K18095">
        <v>625.20000000000005</v>
      </c>
      <c r="L18095">
        <v>17533</v>
      </c>
      <c r="M18095" t="s">
        <v>990</v>
      </c>
      <c r="N18095" t="str">
        <f>"61109       "</f>
        <v xml:space="preserve">61109       </v>
      </c>
      <c r="O18095">
        <v>230524</v>
      </c>
    </row>
    <row r="18096" spans="1:15" x14ac:dyDescent="0.25">
      <c r="A18096" t="s">
        <v>16</v>
      </c>
      <c r="B18096" t="s">
        <v>3221</v>
      </c>
      <c r="C18096">
        <v>9205</v>
      </c>
      <c r="D18096" t="s">
        <v>674</v>
      </c>
      <c r="E18096" t="s">
        <v>675</v>
      </c>
      <c r="F18096">
        <v>2609</v>
      </c>
      <c r="G18096">
        <v>230628</v>
      </c>
      <c r="H18096">
        <v>4580</v>
      </c>
      <c r="I18096" t="s">
        <v>35</v>
      </c>
      <c r="J18096">
        <v>3235.16</v>
      </c>
      <c r="K18096">
        <v>626.16</v>
      </c>
      <c r="L18096">
        <v>17533</v>
      </c>
      <c r="M18096" t="s">
        <v>990</v>
      </c>
      <c r="N18096" t="str">
        <f>"61223       "</f>
        <v xml:space="preserve">61223       </v>
      </c>
      <c r="O18096">
        <v>230629</v>
      </c>
    </row>
    <row r="18097" spans="1:15" x14ac:dyDescent="0.25">
      <c r="A18097" t="s">
        <v>16</v>
      </c>
      <c r="B18097" t="s">
        <v>3221</v>
      </c>
      <c r="C18097">
        <v>11706</v>
      </c>
      <c r="D18097" t="s">
        <v>674</v>
      </c>
      <c r="E18097" t="s">
        <v>675</v>
      </c>
      <c r="F18097">
        <v>50.39</v>
      </c>
      <c r="G18097">
        <v>230905</v>
      </c>
      <c r="H18097">
        <v>4580</v>
      </c>
      <c r="I18097" t="s">
        <v>35</v>
      </c>
      <c r="J18097">
        <v>62.48</v>
      </c>
      <c r="K18097">
        <v>12.09</v>
      </c>
      <c r="L18097">
        <v>17531</v>
      </c>
      <c r="M18097" t="s">
        <v>136</v>
      </c>
      <c r="N18097" t="str">
        <f>"61371       "</f>
        <v xml:space="preserve">61371       </v>
      </c>
      <c r="O18097">
        <v>230908</v>
      </c>
    </row>
    <row r="18098" spans="1:15" x14ac:dyDescent="0.25">
      <c r="A18098" t="s">
        <v>16</v>
      </c>
      <c r="B18098" t="s">
        <v>3221</v>
      </c>
      <c r="C18098">
        <v>16482</v>
      </c>
      <c r="D18098" t="s">
        <v>674</v>
      </c>
      <c r="E18098" t="s">
        <v>675</v>
      </c>
      <c r="F18098">
        <v>70</v>
      </c>
      <c r="G18098">
        <v>231124</v>
      </c>
      <c r="H18098">
        <v>4580</v>
      </c>
      <c r="I18098" t="s">
        <v>35</v>
      </c>
      <c r="J18098">
        <v>86.8</v>
      </c>
      <c r="K18098">
        <v>16.8</v>
      </c>
      <c r="L18098">
        <v>17533</v>
      </c>
      <c r="M18098" t="s">
        <v>990</v>
      </c>
      <c r="N18098" t="str">
        <f>"61627       "</f>
        <v xml:space="preserve">61627       </v>
      </c>
      <c r="O18098">
        <v>231201</v>
      </c>
    </row>
    <row r="18099" spans="1:15" x14ac:dyDescent="0.25">
      <c r="A18099" t="s">
        <v>16</v>
      </c>
      <c r="B18099" t="s">
        <v>3221</v>
      </c>
      <c r="C18099">
        <v>6223</v>
      </c>
      <c r="D18099" t="s">
        <v>674</v>
      </c>
      <c r="E18099" t="s">
        <v>675</v>
      </c>
      <c r="F18099">
        <v>152.6</v>
      </c>
      <c r="G18099">
        <v>230421</v>
      </c>
      <c r="H18099">
        <v>4400</v>
      </c>
      <c r="I18099" t="s">
        <v>348</v>
      </c>
      <c r="J18099">
        <v>189.22</v>
      </c>
      <c r="K18099">
        <v>36.619999999999997</v>
      </c>
      <c r="L18099">
        <v>17533</v>
      </c>
      <c r="M18099" t="s">
        <v>990</v>
      </c>
      <c r="N18099" t="str">
        <f>"61033       "</f>
        <v xml:space="preserve">61033       </v>
      </c>
      <c r="O18099">
        <v>230509</v>
      </c>
    </row>
    <row r="18100" spans="1:15" x14ac:dyDescent="0.25">
      <c r="A18100" t="s">
        <v>16</v>
      </c>
      <c r="B18100" t="s">
        <v>3221</v>
      </c>
      <c r="C18100">
        <v>8270</v>
      </c>
      <c r="D18100" t="s">
        <v>674</v>
      </c>
      <c r="E18100" t="s">
        <v>675</v>
      </c>
      <c r="F18100">
        <v>298.89</v>
      </c>
      <c r="G18100">
        <v>230531</v>
      </c>
      <c r="H18100">
        <v>4400</v>
      </c>
      <c r="I18100" t="s">
        <v>348</v>
      </c>
      <c r="J18100">
        <v>370.62</v>
      </c>
      <c r="K18100">
        <v>71.73</v>
      </c>
      <c r="L18100">
        <v>17533</v>
      </c>
      <c r="M18100" t="s">
        <v>990</v>
      </c>
      <c r="N18100" t="str">
        <f>"61146       "</f>
        <v xml:space="preserve">61146       </v>
      </c>
      <c r="O18100">
        <v>230608</v>
      </c>
    </row>
    <row r="18101" spans="1:15" x14ac:dyDescent="0.25">
      <c r="A18101" t="s">
        <v>16</v>
      </c>
      <c r="B18101" t="s">
        <v>3221</v>
      </c>
      <c r="C18101">
        <v>13547</v>
      </c>
      <c r="D18101" t="s">
        <v>674</v>
      </c>
      <c r="E18101" t="s">
        <v>675</v>
      </c>
      <c r="F18101">
        <v>56.45</v>
      </c>
      <c r="G18101">
        <v>230929</v>
      </c>
      <c r="H18101">
        <v>4400</v>
      </c>
      <c r="I18101" t="s">
        <v>348</v>
      </c>
      <c r="J18101">
        <v>70</v>
      </c>
      <c r="K18101">
        <v>13.55</v>
      </c>
      <c r="L18101">
        <v>17531</v>
      </c>
      <c r="M18101" t="s">
        <v>136</v>
      </c>
      <c r="N18101" t="str">
        <f>"61444       "</f>
        <v xml:space="preserve">61444       </v>
      </c>
      <c r="O18101">
        <v>231011</v>
      </c>
    </row>
    <row r="18102" spans="1:15" x14ac:dyDescent="0.25">
      <c r="A18102" t="s">
        <v>16</v>
      </c>
      <c r="B18102" t="s">
        <v>3221</v>
      </c>
      <c r="C18102">
        <v>13547</v>
      </c>
      <c r="D18102" t="s">
        <v>674</v>
      </c>
      <c r="E18102" t="s">
        <v>675</v>
      </c>
      <c r="F18102">
        <v>213.55</v>
      </c>
      <c r="G18102">
        <v>230929</v>
      </c>
      <c r="H18102">
        <v>4400</v>
      </c>
      <c r="I18102" t="s">
        <v>348</v>
      </c>
      <c r="J18102">
        <v>264.8</v>
      </c>
      <c r="K18102">
        <v>51.25</v>
      </c>
      <c r="L18102">
        <v>17533</v>
      </c>
      <c r="M18102" t="s">
        <v>990</v>
      </c>
      <c r="N18102" t="str">
        <f>"61444       "</f>
        <v xml:space="preserve">61444       </v>
      </c>
      <c r="O18102">
        <v>231011</v>
      </c>
    </row>
    <row r="18103" spans="1:15" x14ac:dyDescent="0.25">
      <c r="A18103" t="s">
        <v>16</v>
      </c>
      <c r="B18103" t="s">
        <v>3221</v>
      </c>
      <c r="C18103">
        <v>16424</v>
      </c>
      <c r="D18103" t="s">
        <v>674</v>
      </c>
      <c r="E18103" t="s">
        <v>675</v>
      </c>
      <c r="F18103">
        <v>65.400000000000006</v>
      </c>
      <c r="G18103">
        <v>231124</v>
      </c>
      <c r="H18103">
        <v>4400</v>
      </c>
      <c r="I18103" t="s">
        <v>348</v>
      </c>
      <c r="J18103">
        <v>81.099999999999994</v>
      </c>
      <c r="K18103">
        <v>15.7</v>
      </c>
      <c r="L18103">
        <v>17532</v>
      </c>
      <c r="M18103" t="s">
        <v>543</v>
      </c>
      <c r="N18103" t="str">
        <f>"61628       "</f>
        <v xml:space="preserve">61628       </v>
      </c>
      <c r="O18103">
        <v>231129</v>
      </c>
    </row>
    <row r="18104" spans="1:15" x14ac:dyDescent="0.25">
      <c r="A18104" t="s">
        <v>16</v>
      </c>
      <c r="B18104" t="s">
        <v>3221</v>
      </c>
      <c r="C18104">
        <v>16482</v>
      </c>
      <c r="D18104" t="s">
        <v>674</v>
      </c>
      <c r="E18104" t="s">
        <v>675</v>
      </c>
      <c r="F18104">
        <v>220</v>
      </c>
      <c r="G18104">
        <v>231124</v>
      </c>
      <c r="H18104">
        <v>4400</v>
      </c>
      <c r="I18104" t="s">
        <v>348</v>
      </c>
      <c r="J18104">
        <v>272.8</v>
      </c>
      <c r="K18104">
        <v>52.8</v>
      </c>
      <c r="L18104">
        <v>17533</v>
      </c>
      <c r="M18104" t="s">
        <v>990</v>
      </c>
      <c r="N18104" t="str">
        <f>"61627       "</f>
        <v xml:space="preserve">61627       </v>
      </c>
      <c r="O18104">
        <v>231201</v>
      </c>
    </row>
    <row r="18105" spans="1:15" x14ac:dyDescent="0.25">
      <c r="A18105" t="s">
        <v>16</v>
      </c>
      <c r="B18105" t="s">
        <v>3221</v>
      </c>
      <c r="C18105">
        <v>18874</v>
      </c>
      <c r="D18105" t="s">
        <v>674</v>
      </c>
      <c r="E18105" t="s">
        <v>675</v>
      </c>
      <c r="F18105">
        <v>93.09</v>
      </c>
      <c r="G18105">
        <v>231219</v>
      </c>
      <c r="H18105">
        <v>4400</v>
      </c>
      <c r="I18105" t="s">
        <v>348</v>
      </c>
      <c r="J18105">
        <v>115.43</v>
      </c>
      <c r="K18105">
        <v>22.34</v>
      </c>
      <c r="L18105">
        <v>17533</v>
      </c>
      <c r="M18105" t="s">
        <v>990</v>
      </c>
      <c r="N18105" t="str">
        <f>"61689       "</f>
        <v xml:space="preserve">61689       </v>
      </c>
      <c r="O18105">
        <v>240108</v>
      </c>
    </row>
    <row r="18106" spans="1:15" x14ac:dyDescent="0.25">
      <c r="A18106" t="s">
        <v>16</v>
      </c>
      <c r="B18106" t="s">
        <v>3221</v>
      </c>
      <c r="C18106">
        <v>6223</v>
      </c>
      <c r="D18106" t="s">
        <v>674</v>
      </c>
      <c r="E18106" t="s">
        <v>675</v>
      </c>
      <c r="F18106">
        <v>30</v>
      </c>
      <c r="G18106">
        <v>230421</v>
      </c>
      <c r="H18106">
        <v>4600</v>
      </c>
      <c r="I18106" t="s">
        <v>105</v>
      </c>
      <c r="J18106">
        <v>37.200000000000003</v>
      </c>
      <c r="K18106">
        <v>7.2</v>
      </c>
      <c r="L18106">
        <v>17647</v>
      </c>
      <c r="M18106" t="s">
        <v>1132</v>
      </c>
      <c r="N18106" t="str">
        <f>"61033       "</f>
        <v xml:space="preserve">61033       </v>
      </c>
      <c r="O18106">
        <v>230509</v>
      </c>
    </row>
    <row r="18107" spans="1:15" x14ac:dyDescent="0.25">
      <c r="A18107" t="s">
        <v>16</v>
      </c>
      <c r="B18107" t="s">
        <v>3221</v>
      </c>
      <c r="C18107">
        <v>9082</v>
      </c>
      <c r="D18107" t="s">
        <v>441</v>
      </c>
      <c r="E18107" t="s">
        <v>442</v>
      </c>
      <c r="F18107">
        <v>542.52</v>
      </c>
      <c r="G18107">
        <v>230620</v>
      </c>
      <c r="H18107">
        <v>4580</v>
      </c>
      <c r="I18107" t="s">
        <v>35</v>
      </c>
      <c r="J18107">
        <v>672.72</v>
      </c>
      <c r="K18107">
        <v>130.19999999999999</v>
      </c>
      <c r="L18107">
        <v>17807</v>
      </c>
      <c r="M18107" t="s">
        <v>318</v>
      </c>
      <c r="N18107" t="str">
        <f>"230005348   "</f>
        <v xml:space="preserve">230005348   </v>
      </c>
      <c r="O18107">
        <v>230622</v>
      </c>
    </row>
    <row r="18108" spans="1:15" x14ac:dyDescent="0.25">
      <c r="A18108" t="s">
        <v>16</v>
      </c>
      <c r="B18108" t="s">
        <v>3221</v>
      </c>
      <c r="C18108">
        <v>16614</v>
      </c>
      <c r="D18108" t="s">
        <v>441</v>
      </c>
      <c r="E18108" t="s">
        <v>442</v>
      </c>
      <c r="F18108">
        <v>19790</v>
      </c>
      <c r="G18108">
        <v>231128</v>
      </c>
      <c r="H18108">
        <v>1198</v>
      </c>
      <c r="I18108" t="s">
        <v>1128</v>
      </c>
      <c r="J18108">
        <v>24539.599999999999</v>
      </c>
      <c r="K18108">
        <v>4749.6000000000004</v>
      </c>
      <c r="L18108">
        <v>97627</v>
      </c>
      <c r="M18108" t="s">
        <v>2332</v>
      </c>
      <c r="N18108" t="str">
        <f>"230015199   "</f>
        <v xml:space="preserve">230015199   </v>
      </c>
      <c r="O18108">
        <v>231204</v>
      </c>
    </row>
    <row r="18109" spans="1:15" x14ac:dyDescent="0.25">
      <c r="A18109" t="s">
        <v>16</v>
      </c>
      <c r="B18109" t="s">
        <v>3221</v>
      </c>
      <c r="C18109">
        <v>304</v>
      </c>
      <c r="D18109" t="s">
        <v>441</v>
      </c>
      <c r="E18109" t="s">
        <v>442</v>
      </c>
      <c r="F18109">
        <v>147.6</v>
      </c>
      <c r="G18109">
        <v>230113</v>
      </c>
      <c r="H18109">
        <v>4600</v>
      </c>
      <c r="I18109" t="s">
        <v>105</v>
      </c>
      <c r="J18109">
        <v>183.02</v>
      </c>
      <c r="K18109">
        <v>35.42</v>
      </c>
      <c r="L18109">
        <v>17807</v>
      </c>
      <c r="M18109" t="s">
        <v>318</v>
      </c>
      <c r="N18109" t="str">
        <f>"220021002   "</f>
        <v xml:space="preserve">220021002   </v>
      </c>
      <c r="O18109">
        <v>230118</v>
      </c>
    </row>
    <row r="18110" spans="1:15" x14ac:dyDescent="0.25">
      <c r="A18110" t="s">
        <v>16</v>
      </c>
      <c r="B18110" t="s">
        <v>3221</v>
      </c>
      <c r="C18110">
        <v>315</v>
      </c>
      <c r="D18110" t="s">
        <v>441</v>
      </c>
      <c r="E18110" t="s">
        <v>442</v>
      </c>
      <c r="F18110">
        <v>636.20000000000005</v>
      </c>
      <c r="G18110">
        <v>230116</v>
      </c>
      <c r="H18110">
        <v>4600</v>
      </c>
      <c r="I18110" t="s">
        <v>105</v>
      </c>
      <c r="J18110">
        <v>788.89</v>
      </c>
      <c r="K18110">
        <v>152.69</v>
      </c>
      <c r="L18110">
        <v>17807</v>
      </c>
      <c r="M18110" t="s">
        <v>318</v>
      </c>
      <c r="N18110" t="str">
        <f>"220021104   "</f>
        <v xml:space="preserve">220021104   </v>
      </c>
      <c r="O18110">
        <v>230118</v>
      </c>
    </row>
    <row r="18111" spans="1:15" x14ac:dyDescent="0.25">
      <c r="A18111" t="s">
        <v>16</v>
      </c>
      <c r="B18111" t="s">
        <v>3221</v>
      </c>
      <c r="C18111">
        <v>838</v>
      </c>
      <c r="D18111" t="s">
        <v>441</v>
      </c>
      <c r="E18111" t="s">
        <v>442</v>
      </c>
      <c r="F18111">
        <v>1107.58</v>
      </c>
      <c r="G18111">
        <v>230127</v>
      </c>
      <c r="H18111">
        <v>4600</v>
      </c>
      <c r="I18111" t="s">
        <v>105</v>
      </c>
      <c r="J18111">
        <v>1373.4</v>
      </c>
      <c r="K18111">
        <v>265.82</v>
      </c>
      <c r="L18111">
        <v>17807</v>
      </c>
      <c r="M18111" t="s">
        <v>318</v>
      </c>
      <c r="N18111" t="str">
        <f>"220022079   "</f>
        <v xml:space="preserve">220022079   </v>
      </c>
      <c r="O18111">
        <v>230131</v>
      </c>
    </row>
    <row r="18112" spans="1:15" x14ac:dyDescent="0.25">
      <c r="A18112" t="s">
        <v>16</v>
      </c>
      <c r="B18112" t="s">
        <v>3221</v>
      </c>
      <c r="C18112">
        <v>5352</v>
      </c>
      <c r="D18112" t="s">
        <v>441</v>
      </c>
      <c r="E18112" t="s">
        <v>442</v>
      </c>
      <c r="F18112">
        <v>-509</v>
      </c>
      <c r="G18112">
        <v>230324</v>
      </c>
      <c r="H18112">
        <v>4600</v>
      </c>
      <c r="I18112" t="s">
        <v>105</v>
      </c>
      <c r="J18112">
        <v>-631.16</v>
      </c>
      <c r="K18112">
        <v>-122.16</v>
      </c>
      <c r="L18112">
        <v>17807</v>
      </c>
      <c r="M18112" t="s">
        <v>318</v>
      </c>
      <c r="N18112" t="str">
        <f>"225801161   "</f>
        <v xml:space="preserve">225801161   </v>
      </c>
      <c r="O18112">
        <v>230421</v>
      </c>
    </row>
    <row r="18113" spans="1:15" x14ac:dyDescent="0.25">
      <c r="A18113" t="s">
        <v>16</v>
      </c>
      <c r="B18113" t="s">
        <v>3221</v>
      </c>
      <c r="C18113">
        <v>6377</v>
      </c>
      <c r="D18113" t="s">
        <v>3451</v>
      </c>
      <c r="E18113" t="s">
        <v>3452</v>
      </c>
      <c r="F18113">
        <v>1000</v>
      </c>
      <c r="G18113">
        <v>230414</v>
      </c>
      <c r="H18113">
        <v>4440</v>
      </c>
      <c r="I18113" t="s">
        <v>250</v>
      </c>
      <c r="J18113">
        <v>1240</v>
      </c>
      <c r="K18113">
        <v>240</v>
      </c>
      <c r="L18113">
        <v>18974</v>
      </c>
      <c r="M18113" t="s">
        <v>1663</v>
      </c>
      <c r="N18113" t="str">
        <f>"223/5       "</f>
        <v xml:space="preserve">223/5       </v>
      </c>
      <c r="O18113">
        <v>230510</v>
      </c>
    </row>
    <row r="18114" spans="1:15" x14ac:dyDescent="0.25">
      <c r="A18114" t="s">
        <v>16</v>
      </c>
      <c r="B18114" t="s">
        <v>3221</v>
      </c>
      <c r="C18114">
        <v>8216</v>
      </c>
      <c r="D18114" t="s">
        <v>2158</v>
      </c>
      <c r="E18114" t="s">
        <v>2159</v>
      </c>
      <c r="F18114">
        <v>2326.9499999999998</v>
      </c>
      <c r="G18114">
        <v>230517</v>
      </c>
      <c r="H18114">
        <v>4580</v>
      </c>
      <c r="I18114" t="s">
        <v>35</v>
      </c>
      <c r="J18114">
        <v>2885.42</v>
      </c>
      <c r="K18114">
        <v>558.47</v>
      </c>
      <c r="L18114">
        <v>17526</v>
      </c>
      <c r="M18114" t="s">
        <v>437</v>
      </c>
      <c r="N18114" t="str">
        <f>"209         "</f>
        <v xml:space="preserve">209         </v>
      </c>
      <c r="O18114">
        <v>230608</v>
      </c>
    </row>
    <row r="18115" spans="1:15" x14ac:dyDescent="0.25">
      <c r="A18115" t="s">
        <v>16</v>
      </c>
      <c r="B18115" t="s">
        <v>3221</v>
      </c>
      <c r="C18115">
        <v>14269</v>
      </c>
      <c r="D18115" t="s">
        <v>2158</v>
      </c>
      <c r="E18115" t="s">
        <v>2159</v>
      </c>
      <c r="F18115">
        <v>287.32</v>
      </c>
      <c r="G18115">
        <v>231016</v>
      </c>
      <c r="H18115">
        <v>4580</v>
      </c>
      <c r="I18115" t="s">
        <v>35</v>
      </c>
      <c r="J18115">
        <v>356.28</v>
      </c>
      <c r="K18115">
        <v>68.959999999999994</v>
      </c>
      <c r="L18115">
        <v>17523</v>
      </c>
      <c r="M18115" t="s">
        <v>134</v>
      </c>
      <c r="N18115" t="str">
        <f>"856         "</f>
        <v xml:space="preserve">856         </v>
      </c>
      <c r="O18115">
        <v>231025</v>
      </c>
    </row>
    <row r="18116" spans="1:15" x14ac:dyDescent="0.25">
      <c r="A18116" t="s">
        <v>16</v>
      </c>
      <c r="B18116" t="s">
        <v>3221</v>
      </c>
      <c r="C18116">
        <v>11189</v>
      </c>
      <c r="D18116" t="s">
        <v>2158</v>
      </c>
      <c r="E18116" t="s">
        <v>2159</v>
      </c>
      <c r="F18116">
        <v>104.24</v>
      </c>
      <c r="G18116">
        <v>230828</v>
      </c>
      <c r="H18116">
        <v>4600</v>
      </c>
      <c r="I18116" t="s">
        <v>105</v>
      </c>
      <c r="J18116">
        <v>129.26</v>
      </c>
      <c r="K18116">
        <v>25.02</v>
      </c>
      <c r="L18116">
        <v>17526</v>
      </c>
      <c r="M18116" t="s">
        <v>437</v>
      </c>
      <c r="N18116" t="str">
        <f>"616         "</f>
        <v xml:space="preserve">616         </v>
      </c>
      <c r="O18116">
        <v>230831</v>
      </c>
    </row>
    <row r="18117" spans="1:15" x14ac:dyDescent="0.25">
      <c r="A18117" t="s">
        <v>16</v>
      </c>
      <c r="B18117" t="s">
        <v>3221</v>
      </c>
      <c r="C18117">
        <v>16782</v>
      </c>
      <c r="D18117" t="s">
        <v>2158</v>
      </c>
      <c r="E18117" t="s">
        <v>2159</v>
      </c>
      <c r="F18117">
        <v>26.27</v>
      </c>
      <c r="G18117">
        <v>231130</v>
      </c>
      <c r="H18117">
        <v>4600</v>
      </c>
      <c r="I18117" t="s">
        <v>105</v>
      </c>
      <c r="J18117">
        <v>32.57</v>
      </c>
      <c r="K18117">
        <v>6.3</v>
      </c>
      <c r="L18117">
        <v>17523</v>
      </c>
      <c r="M18117" t="s">
        <v>134</v>
      </c>
      <c r="N18117" t="str">
        <f>"1066        "</f>
        <v xml:space="preserve">1066        </v>
      </c>
      <c r="O18117">
        <v>231208</v>
      </c>
    </row>
    <row r="18118" spans="1:15" x14ac:dyDescent="0.25">
      <c r="A18118" t="s">
        <v>16</v>
      </c>
      <c r="B18118" t="s">
        <v>3221</v>
      </c>
      <c r="C18118">
        <v>4473</v>
      </c>
      <c r="D18118" t="s">
        <v>515</v>
      </c>
      <c r="E18118" t="s">
        <v>516</v>
      </c>
      <c r="F18118">
        <v>26.32</v>
      </c>
      <c r="G18118">
        <v>230404</v>
      </c>
      <c r="H18118">
        <v>4412</v>
      </c>
      <c r="I18118" t="s">
        <v>149</v>
      </c>
      <c r="J18118">
        <v>30</v>
      </c>
      <c r="K18118">
        <v>3.68</v>
      </c>
      <c r="L18118">
        <v>17972</v>
      </c>
      <c r="M18118" t="s">
        <v>248</v>
      </c>
      <c r="N18118" t="str">
        <f>"9099235376  "</f>
        <v xml:space="preserve">9099235376  </v>
      </c>
      <c r="O18118">
        <v>230406</v>
      </c>
    </row>
    <row r="18119" spans="1:15" x14ac:dyDescent="0.25">
      <c r="A18119" t="s">
        <v>16</v>
      </c>
      <c r="B18119" t="s">
        <v>3221</v>
      </c>
      <c r="C18119">
        <v>393</v>
      </c>
      <c r="D18119" t="s">
        <v>515</v>
      </c>
      <c r="E18119" t="s">
        <v>516</v>
      </c>
      <c r="F18119">
        <v>36.840000000000003</v>
      </c>
      <c r="G18119">
        <v>230118</v>
      </c>
      <c r="H18119">
        <v>4410</v>
      </c>
      <c r="I18119" t="s">
        <v>517</v>
      </c>
      <c r="J18119">
        <v>42</v>
      </c>
      <c r="K18119">
        <v>5.16</v>
      </c>
      <c r="L18119">
        <v>11605</v>
      </c>
      <c r="M18119" t="s">
        <v>106</v>
      </c>
      <c r="N18119" t="str">
        <f>"9099226637  "</f>
        <v xml:space="preserve">9099226637  </v>
      </c>
      <c r="O18119">
        <v>230119</v>
      </c>
    </row>
    <row r="18120" spans="1:15" x14ac:dyDescent="0.25">
      <c r="A18120" t="s">
        <v>16</v>
      </c>
      <c r="B18120" t="s">
        <v>3221</v>
      </c>
      <c r="C18120">
        <v>410</v>
      </c>
      <c r="D18120" t="s">
        <v>515</v>
      </c>
      <c r="E18120" t="s">
        <v>516</v>
      </c>
      <c r="F18120">
        <v>22.5</v>
      </c>
      <c r="G18120">
        <v>230118</v>
      </c>
      <c r="H18120">
        <v>4410</v>
      </c>
      <c r="I18120" t="s">
        <v>517</v>
      </c>
      <c r="J18120">
        <v>22.5</v>
      </c>
      <c r="K18120">
        <v>0</v>
      </c>
      <c r="L18120">
        <v>17918</v>
      </c>
      <c r="M18120" t="s">
        <v>137</v>
      </c>
      <c r="N18120" t="str">
        <f>"9099226638  "</f>
        <v xml:space="preserve">9099226638  </v>
      </c>
      <c r="O18120">
        <v>230120</v>
      </c>
    </row>
    <row r="18121" spans="1:15" x14ac:dyDescent="0.25">
      <c r="A18121" t="s">
        <v>16</v>
      </c>
      <c r="B18121" t="s">
        <v>3221</v>
      </c>
      <c r="C18121">
        <v>577</v>
      </c>
      <c r="D18121" t="s">
        <v>515</v>
      </c>
      <c r="E18121" t="s">
        <v>516</v>
      </c>
      <c r="F18121">
        <v>12.6</v>
      </c>
      <c r="G18121">
        <v>230118</v>
      </c>
      <c r="H18121">
        <v>4410</v>
      </c>
      <c r="I18121" t="s">
        <v>517</v>
      </c>
      <c r="J18121">
        <v>12.6</v>
      </c>
      <c r="K18121">
        <v>0</v>
      </c>
      <c r="L18121">
        <v>13552</v>
      </c>
      <c r="M18121" t="s">
        <v>624</v>
      </c>
      <c r="N18121" t="str">
        <f>"9099226639  "</f>
        <v xml:space="preserve">9099226639  </v>
      </c>
      <c r="O18121">
        <v>230124</v>
      </c>
    </row>
    <row r="18122" spans="1:15" x14ac:dyDescent="0.25">
      <c r="A18122" t="s">
        <v>16</v>
      </c>
      <c r="B18122" t="s">
        <v>3221</v>
      </c>
      <c r="C18122">
        <v>577</v>
      </c>
      <c r="D18122" t="s">
        <v>515</v>
      </c>
      <c r="E18122" t="s">
        <v>516</v>
      </c>
      <c r="F18122">
        <v>25.4</v>
      </c>
      <c r="G18122">
        <v>230118</v>
      </c>
      <c r="H18122">
        <v>4410</v>
      </c>
      <c r="I18122" t="s">
        <v>517</v>
      </c>
      <c r="J18122">
        <v>25.4</v>
      </c>
      <c r="K18122">
        <v>0</v>
      </c>
      <c r="L18122">
        <v>17918</v>
      </c>
      <c r="M18122" t="s">
        <v>137</v>
      </c>
      <c r="N18122" t="str">
        <f>"9099226639  "</f>
        <v xml:space="preserve">9099226639  </v>
      </c>
      <c r="O18122">
        <v>230124</v>
      </c>
    </row>
    <row r="18123" spans="1:15" x14ac:dyDescent="0.25">
      <c r="A18123" t="s">
        <v>16</v>
      </c>
      <c r="B18123" t="s">
        <v>3221</v>
      </c>
      <c r="C18123">
        <v>654</v>
      </c>
      <c r="D18123" t="s">
        <v>515</v>
      </c>
      <c r="E18123" t="s">
        <v>516</v>
      </c>
      <c r="F18123">
        <v>5.26</v>
      </c>
      <c r="G18123">
        <v>230118</v>
      </c>
      <c r="H18123">
        <v>4410</v>
      </c>
      <c r="I18123" t="s">
        <v>517</v>
      </c>
      <c r="J18123">
        <v>6</v>
      </c>
      <c r="K18123">
        <v>0.74</v>
      </c>
      <c r="L18123">
        <v>17918</v>
      </c>
      <c r="M18123" t="s">
        <v>137</v>
      </c>
      <c r="N18123" t="str">
        <f>"9099226640  "</f>
        <v xml:space="preserve">9099226640  </v>
      </c>
      <c r="O18123">
        <v>230126</v>
      </c>
    </row>
    <row r="18124" spans="1:15" x14ac:dyDescent="0.25">
      <c r="A18124" t="s">
        <v>16</v>
      </c>
      <c r="B18124" t="s">
        <v>3221</v>
      </c>
      <c r="C18124">
        <v>654</v>
      </c>
      <c r="D18124" t="s">
        <v>515</v>
      </c>
      <c r="E18124" t="s">
        <v>516</v>
      </c>
      <c r="F18124">
        <v>32</v>
      </c>
      <c r="G18124">
        <v>230118</v>
      </c>
      <c r="H18124">
        <v>4410</v>
      </c>
      <c r="I18124" t="s">
        <v>517</v>
      </c>
      <c r="J18124">
        <v>32</v>
      </c>
      <c r="K18124">
        <v>0</v>
      </c>
      <c r="L18124">
        <v>17918</v>
      </c>
      <c r="M18124" t="s">
        <v>137</v>
      </c>
      <c r="N18124" t="str">
        <f>"9099226640  "</f>
        <v xml:space="preserve">9099226640  </v>
      </c>
      <c r="O18124">
        <v>230126</v>
      </c>
    </row>
    <row r="18125" spans="1:15" x14ac:dyDescent="0.25">
      <c r="A18125" t="s">
        <v>16</v>
      </c>
      <c r="B18125" t="s">
        <v>3221</v>
      </c>
      <c r="C18125">
        <v>1212</v>
      </c>
      <c r="D18125" t="s">
        <v>515</v>
      </c>
      <c r="E18125" t="s">
        <v>516</v>
      </c>
      <c r="F18125">
        <v>99.12</v>
      </c>
      <c r="G18125">
        <v>230203</v>
      </c>
      <c r="H18125">
        <v>4410</v>
      </c>
      <c r="I18125" t="s">
        <v>517</v>
      </c>
      <c r="J18125">
        <v>113</v>
      </c>
      <c r="K18125">
        <v>13.88</v>
      </c>
      <c r="L18125">
        <v>17971</v>
      </c>
      <c r="M18125" t="s">
        <v>138</v>
      </c>
      <c r="N18125" t="str">
        <f>"9099227383  "</f>
        <v xml:space="preserve">9099227383  </v>
      </c>
      <c r="O18125">
        <v>230206</v>
      </c>
    </row>
    <row r="18126" spans="1:15" x14ac:dyDescent="0.25">
      <c r="A18126" t="s">
        <v>16</v>
      </c>
      <c r="B18126" t="s">
        <v>3221</v>
      </c>
      <c r="C18126">
        <v>1212</v>
      </c>
      <c r="D18126" t="s">
        <v>515</v>
      </c>
      <c r="E18126" t="s">
        <v>516</v>
      </c>
      <c r="F18126">
        <v>99.12</v>
      </c>
      <c r="G18126">
        <v>230203</v>
      </c>
      <c r="H18126">
        <v>4410</v>
      </c>
      <c r="I18126" t="s">
        <v>517</v>
      </c>
      <c r="J18126">
        <v>113</v>
      </c>
      <c r="K18126">
        <v>13.88</v>
      </c>
      <c r="L18126">
        <v>17974</v>
      </c>
      <c r="M18126" t="s">
        <v>460</v>
      </c>
      <c r="N18126" t="str">
        <f>"9099227383  "</f>
        <v xml:space="preserve">9099227383  </v>
      </c>
      <c r="O18126">
        <v>230206</v>
      </c>
    </row>
    <row r="18127" spans="1:15" x14ac:dyDescent="0.25">
      <c r="A18127" t="s">
        <v>16</v>
      </c>
      <c r="B18127" t="s">
        <v>3221</v>
      </c>
      <c r="C18127">
        <v>1248</v>
      </c>
      <c r="D18127" t="s">
        <v>515</v>
      </c>
      <c r="E18127" t="s">
        <v>516</v>
      </c>
      <c r="F18127">
        <v>3770</v>
      </c>
      <c r="G18127">
        <v>230203</v>
      </c>
      <c r="H18127">
        <v>4410</v>
      </c>
      <c r="I18127" t="s">
        <v>517</v>
      </c>
      <c r="J18127">
        <v>3770</v>
      </c>
      <c r="K18127">
        <v>0</v>
      </c>
      <c r="L18127">
        <v>13552</v>
      </c>
      <c r="M18127" t="s">
        <v>624</v>
      </c>
      <c r="N18127" t="str">
        <f>"9099227387  "</f>
        <v xml:space="preserve">9099227387  </v>
      </c>
      <c r="O18127">
        <v>230207</v>
      </c>
    </row>
    <row r="18128" spans="1:15" x14ac:dyDescent="0.25">
      <c r="A18128" t="s">
        <v>16</v>
      </c>
      <c r="B18128" t="s">
        <v>3221</v>
      </c>
      <c r="C18128">
        <v>1274</v>
      </c>
      <c r="D18128" t="s">
        <v>515</v>
      </c>
      <c r="E18128" t="s">
        <v>516</v>
      </c>
      <c r="F18128">
        <v>9.6</v>
      </c>
      <c r="G18128">
        <v>230203</v>
      </c>
      <c r="H18128">
        <v>4410</v>
      </c>
      <c r="I18128" t="s">
        <v>517</v>
      </c>
      <c r="J18128">
        <v>9.6</v>
      </c>
      <c r="K18128">
        <v>0</v>
      </c>
      <c r="L18128">
        <v>13501</v>
      </c>
      <c r="M18128" t="s">
        <v>20</v>
      </c>
      <c r="N18128" t="str">
        <f>"9099227378  "</f>
        <v xml:space="preserve">9099227378  </v>
      </c>
      <c r="O18128">
        <v>230207</v>
      </c>
    </row>
    <row r="18129" spans="1:15" x14ac:dyDescent="0.25">
      <c r="A18129" t="s">
        <v>16</v>
      </c>
      <c r="B18129" t="s">
        <v>3221</v>
      </c>
      <c r="C18129">
        <v>1275</v>
      </c>
      <c r="D18129" t="s">
        <v>515</v>
      </c>
      <c r="E18129" t="s">
        <v>516</v>
      </c>
      <c r="F18129">
        <v>33.6</v>
      </c>
      <c r="G18129">
        <v>230203</v>
      </c>
      <c r="H18129">
        <v>4410</v>
      </c>
      <c r="I18129" t="s">
        <v>517</v>
      </c>
      <c r="J18129">
        <v>33.6</v>
      </c>
      <c r="K18129">
        <v>0</v>
      </c>
      <c r="L18129">
        <v>17523</v>
      </c>
      <c r="M18129" t="s">
        <v>134</v>
      </c>
      <c r="N18129" t="str">
        <f>"9099227379  "</f>
        <v xml:space="preserve">9099227379  </v>
      </c>
      <c r="O18129">
        <v>230207</v>
      </c>
    </row>
    <row r="18130" spans="1:15" x14ac:dyDescent="0.25">
      <c r="A18130" t="s">
        <v>16</v>
      </c>
      <c r="B18130" t="s">
        <v>3221</v>
      </c>
      <c r="C18130">
        <v>1362</v>
      </c>
      <c r="D18130" t="s">
        <v>515</v>
      </c>
      <c r="E18130" t="s">
        <v>516</v>
      </c>
      <c r="F18130">
        <v>46</v>
      </c>
      <c r="G18130">
        <v>230203</v>
      </c>
      <c r="H18130">
        <v>4410</v>
      </c>
      <c r="I18130" t="s">
        <v>517</v>
      </c>
      <c r="J18130">
        <v>46</v>
      </c>
      <c r="K18130">
        <v>0</v>
      </c>
      <c r="L18130">
        <v>13552</v>
      </c>
      <c r="M18130" t="s">
        <v>624</v>
      </c>
      <c r="N18130" t="str">
        <f>"9099227384  "</f>
        <v xml:space="preserve">9099227384  </v>
      </c>
      <c r="O18130">
        <v>230208</v>
      </c>
    </row>
    <row r="18131" spans="1:15" x14ac:dyDescent="0.25">
      <c r="A18131" t="s">
        <v>16</v>
      </c>
      <c r="B18131" t="s">
        <v>3221</v>
      </c>
      <c r="C18131">
        <v>1362</v>
      </c>
      <c r="D18131" t="s">
        <v>515</v>
      </c>
      <c r="E18131" t="s">
        <v>516</v>
      </c>
      <c r="F18131">
        <v>36.799999999999997</v>
      </c>
      <c r="G18131">
        <v>230203</v>
      </c>
      <c r="H18131">
        <v>4410</v>
      </c>
      <c r="I18131" t="s">
        <v>517</v>
      </c>
      <c r="J18131">
        <v>36.799999999999997</v>
      </c>
      <c r="K18131">
        <v>0</v>
      </c>
      <c r="L18131">
        <v>17527</v>
      </c>
      <c r="M18131" t="s">
        <v>422</v>
      </c>
      <c r="N18131" t="str">
        <f>"9099227384  "</f>
        <v xml:space="preserve">9099227384  </v>
      </c>
      <c r="O18131">
        <v>230208</v>
      </c>
    </row>
    <row r="18132" spans="1:15" x14ac:dyDescent="0.25">
      <c r="A18132" t="s">
        <v>16</v>
      </c>
      <c r="B18132" t="s">
        <v>3221</v>
      </c>
      <c r="C18132">
        <v>1435</v>
      </c>
      <c r="D18132" t="s">
        <v>515</v>
      </c>
      <c r="E18132" t="s">
        <v>516</v>
      </c>
      <c r="F18132">
        <v>44.68</v>
      </c>
      <c r="G18132">
        <v>230203</v>
      </c>
      <c r="H18132">
        <v>4410</v>
      </c>
      <c r="I18132" t="s">
        <v>517</v>
      </c>
      <c r="J18132">
        <v>50.94</v>
      </c>
      <c r="K18132">
        <v>6.26</v>
      </c>
      <c r="L18132">
        <v>11601</v>
      </c>
      <c r="M18132" t="s">
        <v>535</v>
      </c>
      <c r="N18132" t="str">
        <f>"9099227380  "</f>
        <v xml:space="preserve">9099227380  </v>
      </c>
      <c r="O18132">
        <v>230208</v>
      </c>
    </row>
    <row r="18133" spans="1:15" x14ac:dyDescent="0.25">
      <c r="A18133" t="s">
        <v>16</v>
      </c>
      <c r="B18133" t="s">
        <v>3221</v>
      </c>
      <c r="C18133">
        <v>1541</v>
      </c>
      <c r="D18133" t="s">
        <v>515</v>
      </c>
      <c r="E18133" t="s">
        <v>516</v>
      </c>
      <c r="F18133">
        <v>19.3</v>
      </c>
      <c r="G18133">
        <v>230203</v>
      </c>
      <c r="H18133">
        <v>4410</v>
      </c>
      <c r="I18133" t="s">
        <v>517</v>
      </c>
      <c r="J18133">
        <v>22</v>
      </c>
      <c r="K18133">
        <v>2.7</v>
      </c>
      <c r="L18133">
        <v>17974</v>
      </c>
      <c r="M18133" t="s">
        <v>460</v>
      </c>
      <c r="N18133" t="str">
        <f>"9099227382  "</f>
        <v xml:space="preserve">9099227382  </v>
      </c>
      <c r="O18133">
        <v>230209</v>
      </c>
    </row>
    <row r="18134" spans="1:15" x14ac:dyDescent="0.25">
      <c r="A18134" t="s">
        <v>16</v>
      </c>
      <c r="B18134" t="s">
        <v>3221</v>
      </c>
      <c r="C18134">
        <v>1547</v>
      </c>
      <c r="D18134" t="s">
        <v>515</v>
      </c>
      <c r="E18134" t="s">
        <v>516</v>
      </c>
      <c r="F18134">
        <v>14885</v>
      </c>
      <c r="G18134">
        <v>230203</v>
      </c>
      <c r="H18134">
        <v>4410</v>
      </c>
      <c r="I18134" t="s">
        <v>517</v>
      </c>
      <c r="J18134">
        <v>14885</v>
      </c>
      <c r="K18134">
        <v>0</v>
      </c>
      <c r="L18134">
        <v>17918</v>
      </c>
      <c r="M18134" t="s">
        <v>137</v>
      </c>
      <c r="N18134" t="str">
        <f>"9099227386  "</f>
        <v xml:space="preserve">9099227386  </v>
      </c>
      <c r="O18134">
        <v>230209</v>
      </c>
    </row>
    <row r="18135" spans="1:15" x14ac:dyDescent="0.25">
      <c r="A18135" t="s">
        <v>16</v>
      </c>
      <c r="B18135" t="s">
        <v>3221</v>
      </c>
      <c r="C18135">
        <v>1563</v>
      </c>
      <c r="D18135" t="s">
        <v>515</v>
      </c>
      <c r="E18135" t="s">
        <v>516</v>
      </c>
      <c r="F18135">
        <v>68.290000000000006</v>
      </c>
      <c r="G18135">
        <v>230203</v>
      </c>
      <c r="H18135">
        <v>4410</v>
      </c>
      <c r="I18135" t="s">
        <v>517</v>
      </c>
      <c r="J18135">
        <v>77.849999999999994</v>
      </c>
      <c r="K18135">
        <v>9.56</v>
      </c>
      <c r="L18135">
        <v>17972</v>
      </c>
      <c r="M18135" t="s">
        <v>248</v>
      </c>
      <c r="N18135" t="str">
        <f>"9099227381  "</f>
        <v xml:space="preserve">9099227381  </v>
      </c>
      <c r="O18135">
        <v>230209</v>
      </c>
    </row>
    <row r="18136" spans="1:15" x14ac:dyDescent="0.25">
      <c r="A18136" t="s">
        <v>16</v>
      </c>
      <c r="B18136" t="s">
        <v>3221</v>
      </c>
      <c r="C18136">
        <v>1670</v>
      </c>
      <c r="D18136" t="s">
        <v>515</v>
      </c>
      <c r="E18136" t="s">
        <v>516</v>
      </c>
      <c r="F18136">
        <v>3.16</v>
      </c>
      <c r="G18136">
        <v>230203</v>
      </c>
      <c r="H18136">
        <v>4410</v>
      </c>
      <c r="I18136" t="s">
        <v>517</v>
      </c>
      <c r="J18136">
        <v>3.6</v>
      </c>
      <c r="K18136">
        <v>0.44</v>
      </c>
      <c r="L18136">
        <v>17523</v>
      </c>
      <c r="M18136" t="s">
        <v>134</v>
      </c>
      <c r="N18136" t="str">
        <f>"9099227375  "</f>
        <v xml:space="preserve">9099227375  </v>
      </c>
      <c r="O18136">
        <v>230213</v>
      </c>
    </row>
    <row r="18137" spans="1:15" x14ac:dyDescent="0.25">
      <c r="A18137" t="s">
        <v>16</v>
      </c>
      <c r="B18137" t="s">
        <v>3221</v>
      </c>
      <c r="C18137">
        <v>1675</v>
      </c>
      <c r="D18137" t="s">
        <v>515</v>
      </c>
      <c r="E18137" t="s">
        <v>516</v>
      </c>
      <c r="F18137">
        <v>6</v>
      </c>
      <c r="G18137">
        <v>230203</v>
      </c>
      <c r="H18137">
        <v>4410</v>
      </c>
      <c r="I18137" t="s">
        <v>517</v>
      </c>
      <c r="J18137">
        <v>6</v>
      </c>
      <c r="K18137">
        <v>0</v>
      </c>
      <c r="L18137">
        <v>17918</v>
      </c>
      <c r="M18137" t="s">
        <v>137</v>
      </c>
      <c r="N18137" t="str">
        <f>"9099227385  "</f>
        <v xml:space="preserve">9099227385  </v>
      </c>
      <c r="O18137">
        <v>230213</v>
      </c>
    </row>
    <row r="18138" spans="1:15" x14ac:dyDescent="0.25">
      <c r="A18138" t="s">
        <v>16</v>
      </c>
      <c r="B18138" t="s">
        <v>3221</v>
      </c>
      <c r="C18138">
        <v>1895</v>
      </c>
      <c r="D18138" t="s">
        <v>515</v>
      </c>
      <c r="E18138" t="s">
        <v>516</v>
      </c>
      <c r="F18138">
        <v>43.2</v>
      </c>
      <c r="G18138">
        <v>230203</v>
      </c>
      <c r="H18138">
        <v>4410</v>
      </c>
      <c r="I18138" t="s">
        <v>517</v>
      </c>
      <c r="J18138">
        <v>43.2</v>
      </c>
      <c r="K18138">
        <v>0</v>
      </c>
      <c r="L18138">
        <v>17918</v>
      </c>
      <c r="M18138" t="s">
        <v>137</v>
      </c>
      <c r="N18138" t="str">
        <f>"9099227377  "</f>
        <v xml:space="preserve">9099227377  </v>
      </c>
      <c r="O18138">
        <v>230215</v>
      </c>
    </row>
    <row r="18139" spans="1:15" x14ac:dyDescent="0.25">
      <c r="A18139" t="s">
        <v>16</v>
      </c>
      <c r="B18139" t="s">
        <v>3221</v>
      </c>
      <c r="C18139">
        <v>1896</v>
      </c>
      <c r="D18139" t="s">
        <v>515</v>
      </c>
      <c r="E18139" t="s">
        <v>516</v>
      </c>
      <c r="F18139">
        <v>58.33</v>
      </c>
      <c r="G18139">
        <v>230203</v>
      </c>
      <c r="H18139">
        <v>4410</v>
      </c>
      <c r="I18139" t="s">
        <v>517</v>
      </c>
      <c r="J18139">
        <v>66.5</v>
      </c>
      <c r="K18139">
        <v>8.17</v>
      </c>
      <c r="L18139">
        <v>17538</v>
      </c>
      <c r="M18139" t="s">
        <v>24</v>
      </c>
      <c r="N18139" t="str">
        <f>"9099227374  "</f>
        <v xml:space="preserve">9099227374  </v>
      </c>
      <c r="O18139">
        <v>230215</v>
      </c>
    </row>
    <row r="18140" spans="1:15" x14ac:dyDescent="0.25">
      <c r="A18140" t="s">
        <v>16</v>
      </c>
      <c r="B18140" t="s">
        <v>3221</v>
      </c>
      <c r="C18140">
        <v>1897</v>
      </c>
      <c r="D18140" t="s">
        <v>515</v>
      </c>
      <c r="E18140" t="s">
        <v>516</v>
      </c>
      <c r="F18140">
        <v>33.6</v>
      </c>
      <c r="G18140">
        <v>230203</v>
      </c>
      <c r="H18140">
        <v>4410</v>
      </c>
      <c r="I18140" t="s">
        <v>517</v>
      </c>
      <c r="J18140">
        <v>33.6</v>
      </c>
      <c r="K18140">
        <v>0</v>
      </c>
      <c r="L18140">
        <v>17538</v>
      </c>
      <c r="M18140" t="s">
        <v>24</v>
      </c>
      <c r="N18140" t="str">
        <f>"9099227376  "</f>
        <v xml:space="preserve">9099227376  </v>
      </c>
      <c r="O18140">
        <v>230215</v>
      </c>
    </row>
    <row r="18141" spans="1:15" x14ac:dyDescent="0.25">
      <c r="A18141" t="s">
        <v>16</v>
      </c>
      <c r="B18141" t="s">
        <v>3221</v>
      </c>
      <c r="C18141">
        <v>2154</v>
      </c>
      <c r="D18141" t="s">
        <v>515</v>
      </c>
      <c r="E18141" t="s">
        <v>516</v>
      </c>
      <c r="F18141">
        <v>111.33</v>
      </c>
      <c r="G18141">
        <v>230220</v>
      </c>
      <c r="H18141">
        <v>4410</v>
      </c>
      <c r="I18141" t="s">
        <v>517</v>
      </c>
      <c r="J18141">
        <v>126.92</v>
      </c>
      <c r="K18141">
        <v>15.59</v>
      </c>
      <c r="L18141">
        <v>11605</v>
      </c>
      <c r="M18141" t="s">
        <v>106</v>
      </c>
      <c r="N18141" t="str">
        <f>"9099230210  "</f>
        <v xml:space="preserve">9099230210  </v>
      </c>
      <c r="O18141">
        <v>230221</v>
      </c>
    </row>
    <row r="18142" spans="1:15" x14ac:dyDescent="0.25">
      <c r="A18142" t="s">
        <v>16</v>
      </c>
      <c r="B18142" t="s">
        <v>3221</v>
      </c>
      <c r="C18142">
        <v>2220</v>
      </c>
      <c r="D18142" t="s">
        <v>515</v>
      </c>
      <c r="E18142" t="s">
        <v>516</v>
      </c>
      <c r="F18142">
        <v>29.56</v>
      </c>
      <c r="G18142">
        <v>230220</v>
      </c>
      <c r="H18142">
        <v>4410</v>
      </c>
      <c r="I18142" t="s">
        <v>517</v>
      </c>
      <c r="J18142">
        <v>33.700000000000003</v>
      </c>
      <c r="K18142">
        <v>4.1399999999999997</v>
      </c>
      <c r="L18142">
        <v>17918</v>
      </c>
      <c r="M18142" t="s">
        <v>137</v>
      </c>
      <c r="N18142" t="str">
        <f>"9099230213  "</f>
        <v xml:space="preserve">9099230213  </v>
      </c>
      <c r="O18142">
        <v>230222</v>
      </c>
    </row>
    <row r="18143" spans="1:15" x14ac:dyDescent="0.25">
      <c r="A18143" t="s">
        <v>16</v>
      </c>
      <c r="B18143" t="s">
        <v>3221</v>
      </c>
      <c r="C18143">
        <v>2221</v>
      </c>
      <c r="D18143" t="s">
        <v>515</v>
      </c>
      <c r="E18143" t="s">
        <v>516</v>
      </c>
      <c r="F18143">
        <v>73.95</v>
      </c>
      <c r="G18143">
        <v>230220</v>
      </c>
      <c r="H18143">
        <v>4410</v>
      </c>
      <c r="I18143" t="s">
        <v>517</v>
      </c>
      <c r="J18143">
        <v>84.3</v>
      </c>
      <c r="K18143">
        <v>10.35</v>
      </c>
      <c r="L18143">
        <v>17972</v>
      </c>
      <c r="M18143" t="s">
        <v>248</v>
      </c>
      <c r="N18143" t="str">
        <f>"9099230211  "</f>
        <v xml:space="preserve">9099230211  </v>
      </c>
      <c r="O18143">
        <v>230222</v>
      </c>
    </row>
    <row r="18144" spans="1:15" x14ac:dyDescent="0.25">
      <c r="A18144" t="s">
        <v>16</v>
      </c>
      <c r="B18144" t="s">
        <v>3221</v>
      </c>
      <c r="C18144">
        <v>2240</v>
      </c>
      <c r="D18144" t="s">
        <v>515</v>
      </c>
      <c r="E18144" t="s">
        <v>516</v>
      </c>
      <c r="F18144">
        <v>25</v>
      </c>
      <c r="G18144">
        <v>230220</v>
      </c>
      <c r="H18144">
        <v>4410</v>
      </c>
      <c r="I18144" t="s">
        <v>517</v>
      </c>
      <c r="J18144">
        <v>25</v>
      </c>
      <c r="K18144">
        <v>0</v>
      </c>
      <c r="L18144">
        <v>17131</v>
      </c>
      <c r="M18144" t="s">
        <v>64</v>
      </c>
      <c r="N18144" t="str">
        <f>"9099230207  "</f>
        <v xml:space="preserve">9099230207  </v>
      </c>
      <c r="O18144">
        <v>230222</v>
      </c>
    </row>
    <row r="18145" spans="1:15" x14ac:dyDescent="0.25">
      <c r="A18145" t="s">
        <v>16</v>
      </c>
      <c r="B18145" t="s">
        <v>3221</v>
      </c>
      <c r="C18145">
        <v>2274</v>
      </c>
      <c r="D18145" t="s">
        <v>515</v>
      </c>
      <c r="E18145" t="s">
        <v>516</v>
      </c>
      <c r="F18145">
        <v>102.54</v>
      </c>
      <c r="G18145">
        <v>230220</v>
      </c>
      <c r="H18145">
        <v>4410</v>
      </c>
      <c r="I18145" t="s">
        <v>517</v>
      </c>
      <c r="J18145">
        <v>116.9</v>
      </c>
      <c r="K18145">
        <v>14.36</v>
      </c>
      <c r="L18145">
        <v>17538</v>
      </c>
      <c r="M18145" t="s">
        <v>24</v>
      </c>
      <c r="N18145" t="str">
        <f>"9099230212  "</f>
        <v xml:space="preserve">9099230212  </v>
      </c>
      <c r="O18145">
        <v>230223</v>
      </c>
    </row>
    <row r="18146" spans="1:15" x14ac:dyDescent="0.25">
      <c r="A18146" t="s">
        <v>16</v>
      </c>
      <c r="B18146" t="s">
        <v>3221</v>
      </c>
      <c r="C18146">
        <v>2279</v>
      </c>
      <c r="D18146" t="s">
        <v>515</v>
      </c>
      <c r="E18146" t="s">
        <v>516</v>
      </c>
      <c r="F18146">
        <v>15.79</v>
      </c>
      <c r="G18146">
        <v>230220</v>
      </c>
      <c r="H18146">
        <v>4410</v>
      </c>
      <c r="I18146" t="s">
        <v>517</v>
      </c>
      <c r="J18146">
        <v>18</v>
      </c>
      <c r="K18146">
        <v>2.21</v>
      </c>
      <c r="L18146">
        <v>17538</v>
      </c>
      <c r="M18146" t="s">
        <v>24</v>
      </c>
      <c r="N18146" t="str">
        <f>"9099230208  "</f>
        <v xml:space="preserve">9099230208  </v>
      </c>
      <c r="O18146">
        <v>230223</v>
      </c>
    </row>
    <row r="18147" spans="1:15" x14ac:dyDescent="0.25">
      <c r="A18147" t="s">
        <v>16</v>
      </c>
      <c r="B18147" t="s">
        <v>3221</v>
      </c>
      <c r="C18147">
        <v>2659</v>
      </c>
      <c r="D18147" t="s">
        <v>515</v>
      </c>
      <c r="E18147" t="s">
        <v>516</v>
      </c>
      <c r="F18147">
        <v>15.25</v>
      </c>
      <c r="G18147">
        <v>230220</v>
      </c>
      <c r="H18147">
        <v>4410</v>
      </c>
      <c r="I18147" t="s">
        <v>517</v>
      </c>
      <c r="J18147">
        <v>17.39</v>
      </c>
      <c r="K18147">
        <v>2.14</v>
      </c>
      <c r="L18147">
        <v>11902</v>
      </c>
      <c r="M18147" t="s">
        <v>1443</v>
      </c>
      <c r="N18147" t="str">
        <f>"9099230209  "</f>
        <v xml:space="preserve">9099230209  </v>
      </c>
      <c r="O18147">
        <v>230306</v>
      </c>
    </row>
    <row r="18148" spans="1:15" x14ac:dyDescent="0.25">
      <c r="A18148" t="s">
        <v>16</v>
      </c>
      <c r="B18148" t="s">
        <v>3221</v>
      </c>
      <c r="C18148">
        <v>2804</v>
      </c>
      <c r="D18148" t="s">
        <v>515</v>
      </c>
      <c r="E18148" t="s">
        <v>516</v>
      </c>
      <c r="F18148">
        <v>3320</v>
      </c>
      <c r="G18148">
        <v>230303</v>
      </c>
      <c r="H18148">
        <v>4410</v>
      </c>
      <c r="I18148" t="s">
        <v>517</v>
      </c>
      <c r="J18148">
        <v>3320</v>
      </c>
      <c r="K18148">
        <v>0</v>
      </c>
      <c r="L18148">
        <v>13552</v>
      </c>
      <c r="M18148" t="s">
        <v>624</v>
      </c>
      <c r="N18148" t="str">
        <f>"9099230648  "</f>
        <v xml:space="preserve">9099230648  </v>
      </c>
      <c r="O18148">
        <v>230307</v>
      </c>
    </row>
    <row r="18149" spans="1:15" x14ac:dyDescent="0.25">
      <c r="A18149" t="s">
        <v>16</v>
      </c>
      <c r="B18149" t="s">
        <v>3221</v>
      </c>
      <c r="C18149">
        <v>2823</v>
      </c>
      <c r="D18149" t="s">
        <v>515</v>
      </c>
      <c r="E18149" t="s">
        <v>516</v>
      </c>
      <c r="F18149">
        <v>2.2799999999999998</v>
      </c>
      <c r="G18149">
        <v>230303</v>
      </c>
      <c r="H18149">
        <v>4410</v>
      </c>
      <c r="I18149" t="s">
        <v>517</v>
      </c>
      <c r="J18149">
        <v>2.6</v>
      </c>
      <c r="K18149">
        <v>0.32</v>
      </c>
      <c r="L18149">
        <v>13501</v>
      </c>
      <c r="M18149" t="s">
        <v>20</v>
      </c>
      <c r="N18149" t="str">
        <f>"9099230646  "</f>
        <v xml:space="preserve">9099230646  </v>
      </c>
      <c r="O18149">
        <v>230307</v>
      </c>
    </row>
    <row r="18150" spans="1:15" x14ac:dyDescent="0.25">
      <c r="A18150" t="s">
        <v>16</v>
      </c>
      <c r="B18150" t="s">
        <v>3221</v>
      </c>
      <c r="C18150">
        <v>2823</v>
      </c>
      <c r="D18150" t="s">
        <v>515</v>
      </c>
      <c r="E18150" t="s">
        <v>516</v>
      </c>
      <c r="F18150">
        <v>5</v>
      </c>
      <c r="G18150">
        <v>230303</v>
      </c>
      <c r="H18150">
        <v>4410</v>
      </c>
      <c r="I18150" t="s">
        <v>517</v>
      </c>
      <c r="J18150">
        <v>5</v>
      </c>
      <c r="K18150">
        <v>0</v>
      </c>
      <c r="L18150">
        <v>13501</v>
      </c>
      <c r="M18150" t="s">
        <v>20</v>
      </c>
      <c r="N18150" t="str">
        <f>"9099230646  "</f>
        <v xml:space="preserve">9099230646  </v>
      </c>
      <c r="O18150">
        <v>230307</v>
      </c>
    </row>
    <row r="18151" spans="1:15" x14ac:dyDescent="0.25">
      <c r="A18151" t="s">
        <v>16</v>
      </c>
      <c r="B18151" t="s">
        <v>3221</v>
      </c>
      <c r="C18151">
        <v>2883</v>
      </c>
      <c r="D18151" t="s">
        <v>515</v>
      </c>
      <c r="E18151" t="s">
        <v>516</v>
      </c>
      <c r="F18151">
        <v>19.350000000000001</v>
      </c>
      <c r="G18151">
        <v>230303</v>
      </c>
      <c r="H18151">
        <v>4410</v>
      </c>
      <c r="I18151" t="s">
        <v>517</v>
      </c>
      <c r="J18151">
        <v>24</v>
      </c>
      <c r="K18151">
        <v>4.6500000000000004</v>
      </c>
      <c r="L18151">
        <v>17526</v>
      </c>
      <c r="M18151" t="s">
        <v>437</v>
      </c>
      <c r="N18151" t="str">
        <f>"9099230643  "</f>
        <v xml:space="preserve">9099230643  </v>
      </c>
      <c r="O18151">
        <v>230308</v>
      </c>
    </row>
    <row r="18152" spans="1:15" x14ac:dyDescent="0.25">
      <c r="A18152" t="s">
        <v>16</v>
      </c>
      <c r="B18152" t="s">
        <v>3221</v>
      </c>
      <c r="C18152">
        <v>2885</v>
      </c>
      <c r="D18152" t="s">
        <v>515</v>
      </c>
      <c r="E18152" t="s">
        <v>516</v>
      </c>
      <c r="F18152">
        <v>14725</v>
      </c>
      <c r="G18152">
        <v>230303</v>
      </c>
      <c r="H18152">
        <v>4410</v>
      </c>
      <c r="I18152" t="s">
        <v>517</v>
      </c>
      <c r="J18152">
        <v>14725</v>
      </c>
      <c r="K18152">
        <v>0</v>
      </c>
      <c r="L18152">
        <v>17918</v>
      </c>
      <c r="M18152" t="s">
        <v>137</v>
      </c>
      <c r="N18152" t="str">
        <f>"9099230647  "</f>
        <v xml:space="preserve">9099230647  </v>
      </c>
      <c r="O18152">
        <v>230308</v>
      </c>
    </row>
    <row r="18153" spans="1:15" x14ac:dyDescent="0.25">
      <c r="A18153" t="s">
        <v>16</v>
      </c>
      <c r="B18153" t="s">
        <v>3221</v>
      </c>
      <c r="C18153">
        <v>3033</v>
      </c>
      <c r="D18153" t="s">
        <v>515</v>
      </c>
      <c r="E18153" t="s">
        <v>516</v>
      </c>
      <c r="F18153">
        <v>17.190000000000001</v>
      </c>
      <c r="G18153">
        <v>230303</v>
      </c>
      <c r="H18153">
        <v>4410</v>
      </c>
      <c r="I18153" t="s">
        <v>517</v>
      </c>
      <c r="J18153">
        <v>19.600000000000001</v>
      </c>
      <c r="K18153">
        <v>2.41</v>
      </c>
      <c r="L18153">
        <v>17538</v>
      </c>
      <c r="M18153" t="s">
        <v>24</v>
      </c>
      <c r="N18153" t="str">
        <f>"9099230644  "</f>
        <v xml:space="preserve">9099230644  </v>
      </c>
      <c r="O18153">
        <v>230308</v>
      </c>
    </row>
    <row r="18154" spans="1:15" x14ac:dyDescent="0.25">
      <c r="A18154" t="s">
        <v>16</v>
      </c>
      <c r="B18154" t="s">
        <v>3221</v>
      </c>
      <c r="C18154">
        <v>3088</v>
      </c>
      <c r="D18154" t="s">
        <v>515</v>
      </c>
      <c r="E18154" t="s">
        <v>516</v>
      </c>
      <c r="F18154">
        <v>33.6</v>
      </c>
      <c r="G18154">
        <v>230303</v>
      </c>
      <c r="H18154">
        <v>4410</v>
      </c>
      <c r="I18154" t="s">
        <v>517</v>
      </c>
      <c r="J18154">
        <v>33.6</v>
      </c>
      <c r="K18154">
        <v>0</v>
      </c>
      <c r="L18154">
        <v>17918</v>
      </c>
      <c r="M18154" t="s">
        <v>137</v>
      </c>
      <c r="N18154" t="str">
        <f>"9099230642  "</f>
        <v xml:space="preserve">9099230642  </v>
      </c>
      <c r="O18154">
        <v>230309</v>
      </c>
    </row>
    <row r="18155" spans="1:15" x14ac:dyDescent="0.25">
      <c r="A18155" t="s">
        <v>16</v>
      </c>
      <c r="B18155" t="s">
        <v>3221</v>
      </c>
      <c r="C18155">
        <v>3254</v>
      </c>
      <c r="D18155" t="s">
        <v>515</v>
      </c>
      <c r="E18155" t="s">
        <v>516</v>
      </c>
      <c r="F18155">
        <v>13.89</v>
      </c>
      <c r="G18155">
        <v>230303</v>
      </c>
      <c r="H18155">
        <v>4410</v>
      </c>
      <c r="I18155" t="s">
        <v>517</v>
      </c>
      <c r="J18155">
        <v>15.84</v>
      </c>
      <c r="K18155">
        <v>1.95</v>
      </c>
      <c r="L18155">
        <v>17974</v>
      </c>
      <c r="M18155" t="s">
        <v>460</v>
      </c>
      <c r="N18155" t="str">
        <f>"9099230641  "</f>
        <v xml:space="preserve">9099230641  </v>
      </c>
      <c r="O18155">
        <v>230313</v>
      </c>
    </row>
    <row r="18156" spans="1:15" x14ac:dyDescent="0.25">
      <c r="A18156" t="s">
        <v>16</v>
      </c>
      <c r="B18156" t="s">
        <v>3221</v>
      </c>
      <c r="C18156">
        <v>3537</v>
      </c>
      <c r="D18156" t="s">
        <v>515</v>
      </c>
      <c r="E18156" t="s">
        <v>516</v>
      </c>
      <c r="F18156">
        <v>5</v>
      </c>
      <c r="G18156">
        <v>230303</v>
      </c>
      <c r="H18156">
        <v>4410</v>
      </c>
      <c r="I18156" t="s">
        <v>517</v>
      </c>
      <c r="J18156">
        <v>5</v>
      </c>
      <c r="K18156">
        <v>0</v>
      </c>
      <c r="L18156">
        <v>17974</v>
      </c>
      <c r="M18156" t="s">
        <v>460</v>
      </c>
      <c r="N18156" t="str">
        <f>"9099230645  "</f>
        <v xml:space="preserve">9099230645  </v>
      </c>
      <c r="O18156">
        <v>230316</v>
      </c>
    </row>
    <row r="18157" spans="1:15" x14ac:dyDescent="0.25">
      <c r="A18157" t="s">
        <v>16</v>
      </c>
      <c r="B18157" t="s">
        <v>3221</v>
      </c>
      <c r="C18157">
        <v>3720</v>
      </c>
      <c r="D18157" t="s">
        <v>515</v>
      </c>
      <c r="E18157" t="s">
        <v>516</v>
      </c>
      <c r="F18157">
        <v>306.57</v>
      </c>
      <c r="G18157">
        <v>230320</v>
      </c>
      <c r="H18157">
        <v>4410</v>
      </c>
      <c r="I18157" t="s">
        <v>517</v>
      </c>
      <c r="J18157">
        <v>349.49</v>
      </c>
      <c r="K18157">
        <v>42.92</v>
      </c>
      <c r="L18157">
        <v>17972</v>
      </c>
      <c r="M18157" t="s">
        <v>248</v>
      </c>
      <c r="N18157" t="str">
        <f>"9099232715  "</f>
        <v xml:space="preserve">9099232715  </v>
      </c>
      <c r="O18157">
        <v>230321</v>
      </c>
    </row>
    <row r="18158" spans="1:15" x14ac:dyDescent="0.25">
      <c r="A18158" t="s">
        <v>16</v>
      </c>
      <c r="B18158" t="s">
        <v>3221</v>
      </c>
      <c r="C18158">
        <v>3777</v>
      </c>
      <c r="D18158" t="s">
        <v>515</v>
      </c>
      <c r="E18158" t="s">
        <v>516</v>
      </c>
      <c r="F18158">
        <v>115.2</v>
      </c>
      <c r="G18158">
        <v>230320</v>
      </c>
      <c r="H18158">
        <v>4410</v>
      </c>
      <c r="I18158" t="s">
        <v>517</v>
      </c>
      <c r="J18158">
        <v>115.2</v>
      </c>
      <c r="K18158">
        <v>0</v>
      </c>
      <c r="L18158">
        <v>13552</v>
      </c>
      <c r="M18158" t="s">
        <v>624</v>
      </c>
      <c r="N18158" t="str">
        <f>"9099232711  "</f>
        <v xml:space="preserve">9099232711  </v>
      </c>
      <c r="O18158">
        <v>230322</v>
      </c>
    </row>
    <row r="18159" spans="1:15" x14ac:dyDescent="0.25">
      <c r="A18159" t="s">
        <v>16</v>
      </c>
      <c r="B18159" t="s">
        <v>3221</v>
      </c>
      <c r="C18159">
        <v>3884</v>
      </c>
      <c r="D18159" t="s">
        <v>515</v>
      </c>
      <c r="E18159" t="s">
        <v>516</v>
      </c>
      <c r="F18159">
        <v>33.6</v>
      </c>
      <c r="G18159">
        <v>230320</v>
      </c>
      <c r="H18159">
        <v>4410</v>
      </c>
      <c r="I18159" t="s">
        <v>517</v>
      </c>
      <c r="J18159">
        <v>33.6</v>
      </c>
      <c r="K18159">
        <v>0</v>
      </c>
      <c r="L18159">
        <v>17918</v>
      </c>
      <c r="M18159" t="s">
        <v>137</v>
      </c>
      <c r="N18159" t="str">
        <f>"9099232716  "</f>
        <v xml:space="preserve">9099232716  </v>
      </c>
      <c r="O18159">
        <v>230324</v>
      </c>
    </row>
    <row r="18160" spans="1:15" x14ac:dyDescent="0.25">
      <c r="A18160" t="s">
        <v>16</v>
      </c>
      <c r="B18160" t="s">
        <v>3221</v>
      </c>
      <c r="C18160">
        <v>3885</v>
      </c>
      <c r="D18160" t="s">
        <v>515</v>
      </c>
      <c r="E18160" t="s">
        <v>516</v>
      </c>
      <c r="F18160">
        <v>117.19</v>
      </c>
      <c r="G18160">
        <v>230320</v>
      </c>
      <c r="H18160">
        <v>4410</v>
      </c>
      <c r="I18160" t="s">
        <v>517</v>
      </c>
      <c r="J18160">
        <v>133.6</v>
      </c>
      <c r="K18160">
        <v>16.41</v>
      </c>
      <c r="L18160">
        <v>17538</v>
      </c>
      <c r="M18160" t="s">
        <v>24</v>
      </c>
      <c r="N18160" t="str">
        <f>"9099232714  "</f>
        <v xml:space="preserve">9099232714  </v>
      </c>
      <c r="O18160">
        <v>230324</v>
      </c>
    </row>
    <row r="18161" spans="1:15" x14ac:dyDescent="0.25">
      <c r="A18161" t="s">
        <v>16</v>
      </c>
      <c r="B18161" t="s">
        <v>3221</v>
      </c>
      <c r="C18161">
        <v>3939</v>
      </c>
      <c r="D18161" t="s">
        <v>515</v>
      </c>
      <c r="E18161" t="s">
        <v>516</v>
      </c>
      <c r="F18161">
        <v>9.49</v>
      </c>
      <c r="G18161">
        <v>230320</v>
      </c>
      <c r="H18161">
        <v>4410</v>
      </c>
      <c r="I18161" t="s">
        <v>517</v>
      </c>
      <c r="J18161">
        <v>10.82</v>
      </c>
      <c r="K18161">
        <v>1.33</v>
      </c>
      <c r="L18161">
        <v>13561</v>
      </c>
      <c r="M18161" t="s">
        <v>246</v>
      </c>
      <c r="N18161" t="str">
        <f>"9099232713  "</f>
        <v xml:space="preserve">9099232713  </v>
      </c>
      <c r="O18161">
        <v>230327</v>
      </c>
    </row>
    <row r="18162" spans="1:15" x14ac:dyDescent="0.25">
      <c r="A18162" t="s">
        <v>16</v>
      </c>
      <c r="B18162" t="s">
        <v>3221</v>
      </c>
      <c r="C18162">
        <v>3939</v>
      </c>
      <c r="D18162" t="s">
        <v>515</v>
      </c>
      <c r="E18162" t="s">
        <v>516</v>
      </c>
      <c r="F18162">
        <v>76.760000000000005</v>
      </c>
      <c r="G18162">
        <v>230320</v>
      </c>
      <c r="H18162">
        <v>4410</v>
      </c>
      <c r="I18162" t="s">
        <v>517</v>
      </c>
      <c r="J18162">
        <v>87.51</v>
      </c>
      <c r="K18162">
        <v>10.75</v>
      </c>
      <c r="L18162">
        <v>17971</v>
      </c>
      <c r="M18162" t="s">
        <v>138</v>
      </c>
      <c r="N18162" t="str">
        <f>"9099232713  "</f>
        <v xml:space="preserve">9099232713  </v>
      </c>
      <c r="O18162">
        <v>230327</v>
      </c>
    </row>
    <row r="18163" spans="1:15" x14ac:dyDescent="0.25">
      <c r="A18163" t="s">
        <v>16</v>
      </c>
      <c r="B18163" t="s">
        <v>3221</v>
      </c>
      <c r="C18163">
        <v>3954</v>
      </c>
      <c r="D18163" t="s">
        <v>515</v>
      </c>
      <c r="E18163" t="s">
        <v>516</v>
      </c>
      <c r="F18163">
        <v>10</v>
      </c>
      <c r="G18163">
        <v>230320</v>
      </c>
      <c r="H18163">
        <v>4410</v>
      </c>
      <c r="I18163" t="s">
        <v>517</v>
      </c>
      <c r="J18163">
        <v>10</v>
      </c>
      <c r="K18163">
        <v>0</v>
      </c>
      <c r="L18163">
        <v>17974</v>
      </c>
      <c r="M18163" t="s">
        <v>460</v>
      </c>
      <c r="N18163" t="str">
        <f>"9099232712  "</f>
        <v xml:space="preserve">9099232712  </v>
      </c>
      <c r="O18163">
        <v>230328</v>
      </c>
    </row>
    <row r="18164" spans="1:15" x14ac:dyDescent="0.25">
      <c r="A18164" t="s">
        <v>16</v>
      </c>
      <c r="B18164" t="s">
        <v>3221</v>
      </c>
      <c r="C18164">
        <v>3961</v>
      </c>
      <c r="D18164" t="s">
        <v>515</v>
      </c>
      <c r="E18164" t="s">
        <v>516</v>
      </c>
      <c r="F18164">
        <v>117.19</v>
      </c>
      <c r="G18164">
        <v>230320</v>
      </c>
      <c r="H18164">
        <v>4410</v>
      </c>
      <c r="I18164" t="s">
        <v>517</v>
      </c>
      <c r="J18164">
        <v>133.6</v>
      </c>
      <c r="K18164">
        <v>16.41</v>
      </c>
      <c r="L18164">
        <v>11605</v>
      </c>
      <c r="M18164" t="s">
        <v>106</v>
      </c>
      <c r="N18164" t="str">
        <f>"9099232710  "</f>
        <v xml:space="preserve">9099232710  </v>
      </c>
      <c r="O18164">
        <v>230328</v>
      </c>
    </row>
    <row r="18165" spans="1:15" x14ac:dyDescent="0.25">
      <c r="A18165" t="s">
        <v>16</v>
      </c>
      <c r="B18165" t="s">
        <v>3221</v>
      </c>
      <c r="C18165">
        <v>4403</v>
      </c>
      <c r="D18165" t="s">
        <v>515</v>
      </c>
      <c r="E18165" t="s">
        <v>516</v>
      </c>
      <c r="F18165">
        <v>21.58</v>
      </c>
      <c r="G18165">
        <v>230404</v>
      </c>
      <c r="H18165">
        <v>4410</v>
      </c>
      <c r="I18165" t="s">
        <v>517</v>
      </c>
      <c r="J18165">
        <v>24.6</v>
      </c>
      <c r="K18165">
        <v>3.02</v>
      </c>
      <c r="L18165">
        <v>11301</v>
      </c>
      <c r="M18165" t="s">
        <v>29</v>
      </c>
      <c r="N18165" t="str">
        <f>"9099235375  "</f>
        <v xml:space="preserve">9099235375  </v>
      </c>
      <c r="O18165">
        <v>230405</v>
      </c>
    </row>
    <row r="18166" spans="1:15" x14ac:dyDescent="0.25">
      <c r="A18166" t="s">
        <v>16</v>
      </c>
      <c r="B18166" t="s">
        <v>3221</v>
      </c>
      <c r="C18166">
        <v>4416</v>
      </c>
      <c r="D18166" t="s">
        <v>515</v>
      </c>
      <c r="E18166" t="s">
        <v>516</v>
      </c>
      <c r="F18166">
        <v>2325</v>
      </c>
      <c r="G18166">
        <v>230404</v>
      </c>
      <c r="H18166">
        <v>4410</v>
      </c>
      <c r="I18166" t="s">
        <v>517</v>
      </c>
      <c r="J18166">
        <v>2325</v>
      </c>
      <c r="K18166">
        <v>0</v>
      </c>
      <c r="L18166">
        <v>13552</v>
      </c>
      <c r="M18166" t="s">
        <v>624</v>
      </c>
      <c r="N18166" t="str">
        <f>"9099235383  "</f>
        <v xml:space="preserve">9099235383  </v>
      </c>
      <c r="O18166">
        <v>230405</v>
      </c>
    </row>
    <row r="18167" spans="1:15" x14ac:dyDescent="0.25">
      <c r="A18167" t="s">
        <v>16</v>
      </c>
      <c r="B18167" t="s">
        <v>3221</v>
      </c>
      <c r="C18167">
        <v>4559</v>
      </c>
      <c r="D18167" t="s">
        <v>515</v>
      </c>
      <c r="E18167" t="s">
        <v>516</v>
      </c>
      <c r="F18167">
        <v>10.53</v>
      </c>
      <c r="G18167">
        <v>230404</v>
      </c>
      <c r="H18167">
        <v>4410</v>
      </c>
      <c r="I18167" t="s">
        <v>517</v>
      </c>
      <c r="J18167">
        <v>12</v>
      </c>
      <c r="K18167">
        <v>1.47</v>
      </c>
      <c r="L18167">
        <v>17972</v>
      </c>
      <c r="M18167" t="s">
        <v>248</v>
      </c>
      <c r="N18167" t="str">
        <f>"9099235378  "</f>
        <v xml:space="preserve">9099235378  </v>
      </c>
      <c r="O18167">
        <v>230406</v>
      </c>
    </row>
    <row r="18168" spans="1:15" x14ac:dyDescent="0.25">
      <c r="A18168" t="s">
        <v>16</v>
      </c>
      <c r="B18168" t="s">
        <v>3221</v>
      </c>
      <c r="C18168">
        <v>4565</v>
      </c>
      <c r="D18168" t="s">
        <v>515</v>
      </c>
      <c r="E18168" t="s">
        <v>516</v>
      </c>
      <c r="F18168">
        <v>57</v>
      </c>
      <c r="G18168">
        <v>230404</v>
      </c>
      <c r="H18168">
        <v>4410</v>
      </c>
      <c r="I18168" t="s">
        <v>517</v>
      </c>
      <c r="J18168">
        <v>64.98</v>
      </c>
      <c r="K18168">
        <v>7.98</v>
      </c>
      <c r="L18168">
        <v>17530</v>
      </c>
      <c r="M18168" t="s">
        <v>454</v>
      </c>
      <c r="N18168" t="str">
        <f>"9099235377  "</f>
        <v xml:space="preserve">9099235377  </v>
      </c>
      <c r="O18168">
        <v>230406</v>
      </c>
    </row>
    <row r="18169" spans="1:15" x14ac:dyDescent="0.25">
      <c r="A18169" t="s">
        <v>16</v>
      </c>
      <c r="B18169" t="s">
        <v>3221</v>
      </c>
      <c r="C18169">
        <v>4566</v>
      </c>
      <c r="D18169" t="s">
        <v>515</v>
      </c>
      <c r="E18169" t="s">
        <v>516</v>
      </c>
      <c r="F18169">
        <v>27.89</v>
      </c>
      <c r="G18169">
        <v>230404</v>
      </c>
      <c r="H18169">
        <v>4410</v>
      </c>
      <c r="I18169" t="s">
        <v>517</v>
      </c>
      <c r="J18169">
        <v>31.8</v>
      </c>
      <c r="K18169">
        <v>3.91</v>
      </c>
      <c r="L18169">
        <v>17538</v>
      </c>
      <c r="M18169" t="s">
        <v>24</v>
      </c>
      <c r="N18169" t="str">
        <f>"9099235379  "</f>
        <v xml:space="preserve">9099235379  </v>
      </c>
      <c r="O18169">
        <v>230406</v>
      </c>
    </row>
    <row r="18170" spans="1:15" x14ac:dyDescent="0.25">
      <c r="A18170" t="s">
        <v>16</v>
      </c>
      <c r="B18170" t="s">
        <v>3221</v>
      </c>
      <c r="C18170">
        <v>4567</v>
      </c>
      <c r="D18170" t="s">
        <v>515</v>
      </c>
      <c r="E18170" t="s">
        <v>516</v>
      </c>
      <c r="F18170">
        <v>81.599999999999994</v>
      </c>
      <c r="G18170">
        <v>230404</v>
      </c>
      <c r="H18170">
        <v>4410</v>
      </c>
      <c r="I18170" t="s">
        <v>517</v>
      </c>
      <c r="J18170">
        <v>81.599999999999994</v>
      </c>
      <c r="K18170">
        <v>0</v>
      </c>
      <c r="L18170">
        <v>17529</v>
      </c>
      <c r="M18170" t="s">
        <v>453</v>
      </c>
      <c r="N18170" t="str">
        <f>"9099235381  "</f>
        <v xml:space="preserve">9099235381  </v>
      </c>
      <c r="O18170">
        <v>230406</v>
      </c>
    </row>
    <row r="18171" spans="1:15" x14ac:dyDescent="0.25">
      <c r="A18171" t="s">
        <v>16</v>
      </c>
      <c r="B18171" t="s">
        <v>3221</v>
      </c>
      <c r="C18171">
        <v>5038</v>
      </c>
      <c r="D18171" t="s">
        <v>515</v>
      </c>
      <c r="E18171" t="s">
        <v>516</v>
      </c>
      <c r="F18171">
        <v>15230</v>
      </c>
      <c r="G18171">
        <v>230404</v>
      </c>
      <c r="H18171">
        <v>4410</v>
      </c>
      <c r="I18171" t="s">
        <v>517</v>
      </c>
      <c r="J18171">
        <v>15230</v>
      </c>
      <c r="K18171">
        <v>0</v>
      </c>
      <c r="L18171">
        <v>17918</v>
      </c>
      <c r="M18171" t="s">
        <v>137</v>
      </c>
      <c r="N18171" t="str">
        <f>"9099235382  "</f>
        <v xml:space="preserve">9099235382  </v>
      </c>
      <c r="O18171">
        <v>230417</v>
      </c>
    </row>
    <row r="18172" spans="1:15" x14ac:dyDescent="0.25">
      <c r="A18172" t="s">
        <v>16</v>
      </c>
      <c r="B18172" t="s">
        <v>3221</v>
      </c>
      <c r="C18172">
        <v>5336</v>
      </c>
      <c r="D18172" t="s">
        <v>515</v>
      </c>
      <c r="E18172" t="s">
        <v>516</v>
      </c>
      <c r="F18172">
        <v>23.11</v>
      </c>
      <c r="G18172">
        <v>230419</v>
      </c>
      <c r="H18172">
        <v>4410</v>
      </c>
      <c r="I18172" t="s">
        <v>517</v>
      </c>
      <c r="J18172">
        <v>26.34</v>
      </c>
      <c r="K18172">
        <v>3.23</v>
      </c>
      <c r="L18172">
        <v>13561</v>
      </c>
      <c r="M18172" t="s">
        <v>246</v>
      </c>
      <c r="N18172" t="str">
        <f>"9099236043  "</f>
        <v xml:space="preserve">9099236043  </v>
      </c>
      <c r="O18172">
        <v>230421</v>
      </c>
    </row>
    <row r="18173" spans="1:15" x14ac:dyDescent="0.25">
      <c r="A18173" t="s">
        <v>16</v>
      </c>
      <c r="B18173" t="s">
        <v>3221</v>
      </c>
      <c r="C18173">
        <v>5340</v>
      </c>
      <c r="D18173" t="s">
        <v>515</v>
      </c>
      <c r="E18173" t="s">
        <v>516</v>
      </c>
      <c r="F18173">
        <v>102.54</v>
      </c>
      <c r="G18173">
        <v>230419</v>
      </c>
      <c r="H18173">
        <v>4410</v>
      </c>
      <c r="I18173" t="s">
        <v>517</v>
      </c>
      <c r="J18173">
        <v>116.9</v>
      </c>
      <c r="K18173">
        <v>14.36</v>
      </c>
      <c r="L18173">
        <v>11605</v>
      </c>
      <c r="M18173" t="s">
        <v>106</v>
      </c>
      <c r="N18173" t="str">
        <f>"9099236039  "</f>
        <v xml:space="preserve">9099236039  </v>
      </c>
      <c r="O18173">
        <v>230421</v>
      </c>
    </row>
    <row r="18174" spans="1:15" x14ac:dyDescent="0.25">
      <c r="A18174" t="s">
        <v>16</v>
      </c>
      <c r="B18174" t="s">
        <v>3221</v>
      </c>
      <c r="C18174">
        <v>5414</v>
      </c>
      <c r="D18174" t="s">
        <v>515</v>
      </c>
      <c r="E18174" t="s">
        <v>516</v>
      </c>
      <c r="F18174">
        <v>38.42</v>
      </c>
      <c r="G18174">
        <v>230419</v>
      </c>
      <c r="H18174">
        <v>4410</v>
      </c>
      <c r="I18174" t="s">
        <v>517</v>
      </c>
      <c r="J18174">
        <v>43.8</v>
      </c>
      <c r="K18174">
        <v>5.38</v>
      </c>
      <c r="L18174">
        <v>11602</v>
      </c>
      <c r="M18174" t="s">
        <v>714</v>
      </c>
      <c r="N18174" t="str">
        <f>"9099236041  "</f>
        <v xml:space="preserve">9099236041  </v>
      </c>
      <c r="O18174">
        <v>230424</v>
      </c>
    </row>
    <row r="18175" spans="1:15" x14ac:dyDescent="0.25">
      <c r="A18175" t="s">
        <v>16</v>
      </c>
      <c r="B18175" t="s">
        <v>3221</v>
      </c>
      <c r="C18175">
        <v>5465</v>
      </c>
      <c r="D18175" t="s">
        <v>515</v>
      </c>
      <c r="E18175" t="s">
        <v>516</v>
      </c>
      <c r="F18175">
        <v>29.9</v>
      </c>
      <c r="G18175">
        <v>230419</v>
      </c>
      <c r="H18175">
        <v>4410</v>
      </c>
      <c r="I18175" t="s">
        <v>517</v>
      </c>
      <c r="J18175">
        <v>34.090000000000003</v>
      </c>
      <c r="K18175">
        <v>4.1900000000000004</v>
      </c>
      <c r="L18175">
        <v>13401</v>
      </c>
      <c r="M18175" t="s">
        <v>80</v>
      </c>
      <c r="N18175" t="str">
        <f>"9099236042  "</f>
        <v xml:space="preserve">9099236042  </v>
      </c>
      <c r="O18175">
        <v>230425</v>
      </c>
    </row>
    <row r="18176" spans="1:15" x14ac:dyDescent="0.25">
      <c r="A18176" t="s">
        <v>16</v>
      </c>
      <c r="B18176" t="s">
        <v>3221</v>
      </c>
      <c r="C18176">
        <v>5465</v>
      </c>
      <c r="D18176" t="s">
        <v>515</v>
      </c>
      <c r="E18176" t="s">
        <v>516</v>
      </c>
      <c r="F18176">
        <v>29.89</v>
      </c>
      <c r="G18176">
        <v>230419</v>
      </c>
      <c r="H18176">
        <v>4410</v>
      </c>
      <c r="I18176" t="s">
        <v>517</v>
      </c>
      <c r="J18176">
        <v>34.08</v>
      </c>
      <c r="K18176">
        <v>4.1900000000000004</v>
      </c>
      <c r="L18176">
        <v>13501</v>
      </c>
      <c r="M18176" t="s">
        <v>20</v>
      </c>
      <c r="N18176" t="str">
        <f>"9099236042  "</f>
        <v xml:space="preserve">9099236042  </v>
      </c>
      <c r="O18176">
        <v>230425</v>
      </c>
    </row>
    <row r="18177" spans="1:15" x14ac:dyDescent="0.25">
      <c r="A18177" t="s">
        <v>16</v>
      </c>
      <c r="B18177" t="s">
        <v>3221</v>
      </c>
      <c r="C18177">
        <v>5502</v>
      </c>
      <c r="D18177" t="s">
        <v>515</v>
      </c>
      <c r="E18177" t="s">
        <v>516</v>
      </c>
      <c r="F18177">
        <v>32.979999999999997</v>
      </c>
      <c r="G18177">
        <v>230419</v>
      </c>
      <c r="H18177">
        <v>4410</v>
      </c>
      <c r="I18177" t="s">
        <v>517</v>
      </c>
      <c r="J18177">
        <v>37.6</v>
      </c>
      <c r="K18177">
        <v>4.62</v>
      </c>
      <c r="L18177">
        <v>13401</v>
      </c>
      <c r="M18177" t="s">
        <v>80</v>
      </c>
      <c r="N18177" t="str">
        <f>"9099236040  "</f>
        <v xml:space="preserve">9099236040  </v>
      </c>
      <c r="O18177">
        <v>230426</v>
      </c>
    </row>
    <row r="18178" spans="1:15" x14ac:dyDescent="0.25">
      <c r="A18178" t="s">
        <v>16</v>
      </c>
      <c r="B18178" t="s">
        <v>3221</v>
      </c>
      <c r="C18178">
        <v>5502</v>
      </c>
      <c r="D18178" t="s">
        <v>515</v>
      </c>
      <c r="E18178" t="s">
        <v>516</v>
      </c>
      <c r="F18178">
        <v>32.99</v>
      </c>
      <c r="G18178">
        <v>230419</v>
      </c>
      <c r="H18178">
        <v>4410</v>
      </c>
      <c r="I18178" t="s">
        <v>517</v>
      </c>
      <c r="J18178">
        <v>37.61</v>
      </c>
      <c r="K18178">
        <v>4.62</v>
      </c>
      <c r="L18178">
        <v>13501</v>
      </c>
      <c r="M18178" t="s">
        <v>20</v>
      </c>
      <c r="N18178" t="str">
        <f>"9099236040  "</f>
        <v xml:space="preserve">9099236040  </v>
      </c>
      <c r="O18178">
        <v>230426</v>
      </c>
    </row>
    <row r="18179" spans="1:15" x14ac:dyDescent="0.25">
      <c r="A18179" t="s">
        <v>16</v>
      </c>
      <c r="B18179" t="s">
        <v>3221</v>
      </c>
      <c r="C18179">
        <v>5574</v>
      </c>
      <c r="D18179" t="s">
        <v>515</v>
      </c>
      <c r="E18179" t="s">
        <v>516</v>
      </c>
      <c r="F18179">
        <v>10.53</v>
      </c>
      <c r="G18179">
        <v>230404</v>
      </c>
      <c r="H18179">
        <v>4410</v>
      </c>
      <c r="I18179" t="s">
        <v>517</v>
      </c>
      <c r="J18179">
        <v>12</v>
      </c>
      <c r="K18179">
        <v>1.47</v>
      </c>
      <c r="L18179">
        <v>16121</v>
      </c>
      <c r="M18179" t="s">
        <v>21</v>
      </c>
      <c r="N18179" t="str">
        <f>"9099235380  "</f>
        <v xml:space="preserve">9099235380  </v>
      </c>
      <c r="O18179">
        <v>230426</v>
      </c>
    </row>
    <row r="18180" spans="1:15" x14ac:dyDescent="0.25">
      <c r="A18180" t="s">
        <v>16</v>
      </c>
      <c r="B18180" t="s">
        <v>3221</v>
      </c>
      <c r="C18180">
        <v>6043</v>
      </c>
      <c r="D18180" t="s">
        <v>515</v>
      </c>
      <c r="E18180" t="s">
        <v>516</v>
      </c>
      <c r="F18180">
        <v>2455</v>
      </c>
      <c r="G18180">
        <v>230504</v>
      </c>
      <c r="H18180">
        <v>4410</v>
      </c>
      <c r="I18180" t="s">
        <v>517</v>
      </c>
      <c r="J18180">
        <v>2455</v>
      </c>
      <c r="K18180">
        <v>0</v>
      </c>
      <c r="L18180">
        <v>13552</v>
      </c>
      <c r="M18180" t="s">
        <v>624</v>
      </c>
      <c r="N18180" t="str">
        <f>"9099238478  "</f>
        <v xml:space="preserve">9099238478  </v>
      </c>
      <c r="O18180">
        <v>230505</v>
      </c>
    </row>
    <row r="18181" spans="1:15" x14ac:dyDescent="0.25">
      <c r="A18181" t="s">
        <v>16</v>
      </c>
      <c r="B18181" t="s">
        <v>3221</v>
      </c>
      <c r="C18181">
        <v>6230</v>
      </c>
      <c r="D18181" t="s">
        <v>515</v>
      </c>
      <c r="E18181" t="s">
        <v>516</v>
      </c>
      <c r="F18181">
        <v>66.72</v>
      </c>
      <c r="G18181">
        <v>230504</v>
      </c>
      <c r="H18181">
        <v>4410</v>
      </c>
      <c r="I18181" t="s">
        <v>517</v>
      </c>
      <c r="J18181">
        <v>76.06</v>
      </c>
      <c r="K18181">
        <v>9.34</v>
      </c>
      <c r="L18181">
        <v>17972</v>
      </c>
      <c r="M18181" t="s">
        <v>248</v>
      </c>
      <c r="N18181" t="str">
        <f>"9099238473  "</f>
        <v xml:space="preserve">9099238473  </v>
      </c>
      <c r="O18181">
        <v>230509</v>
      </c>
    </row>
    <row r="18182" spans="1:15" x14ac:dyDescent="0.25">
      <c r="A18182" t="s">
        <v>16</v>
      </c>
      <c r="B18182" t="s">
        <v>3221</v>
      </c>
      <c r="C18182">
        <v>6252</v>
      </c>
      <c r="D18182" t="s">
        <v>515</v>
      </c>
      <c r="E18182" t="s">
        <v>516</v>
      </c>
      <c r="F18182">
        <v>57.89</v>
      </c>
      <c r="G18182">
        <v>230504</v>
      </c>
      <c r="H18182">
        <v>4410</v>
      </c>
      <c r="I18182" t="s">
        <v>517</v>
      </c>
      <c r="J18182">
        <v>65.989999999999995</v>
      </c>
      <c r="K18182">
        <v>8.1</v>
      </c>
      <c r="L18182">
        <v>13501</v>
      </c>
      <c r="M18182" t="s">
        <v>20</v>
      </c>
      <c r="N18182" t="str">
        <f>"9099238472  "</f>
        <v xml:space="preserve">9099238472  </v>
      </c>
      <c r="O18182">
        <v>230509</v>
      </c>
    </row>
    <row r="18183" spans="1:15" x14ac:dyDescent="0.25">
      <c r="A18183" t="s">
        <v>16</v>
      </c>
      <c r="B18183" t="s">
        <v>3221</v>
      </c>
      <c r="C18183">
        <v>6305</v>
      </c>
      <c r="D18183" t="s">
        <v>515</v>
      </c>
      <c r="E18183" t="s">
        <v>516</v>
      </c>
      <c r="F18183">
        <v>10.53</v>
      </c>
      <c r="G18183">
        <v>230504</v>
      </c>
      <c r="H18183">
        <v>4410</v>
      </c>
      <c r="I18183" t="s">
        <v>517</v>
      </c>
      <c r="J18183">
        <v>12</v>
      </c>
      <c r="K18183">
        <v>1.47</v>
      </c>
      <c r="L18183">
        <v>17537</v>
      </c>
      <c r="M18183" t="s">
        <v>455</v>
      </c>
      <c r="N18183" t="str">
        <f>"9099238475  "</f>
        <v xml:space="preserve">9099238475  </v>
      </c>
      <c r="O18183">
        <v>230510</v>
      </c>
    </row>
    <row r="18184" spans="1:15" x14ac:dyDescent="0.25">
      <c r="A18184" t="s">
        <v>16</v>
      </c>
      <c r="B18184" t="s">
        <v>3221</v>
      </c>
      <c r="C18184">
        <v>6306</v>
      </c>
      <c r="D18184" t="s">
        <v>515</v>
      </c>
      <c r="E18184" t="s">
        <v>516</v>
      </c>
      <c r="F18184">
        <v>102.54</v>
      </c>
      <c r="G18184">
        <v>230504</v>
      </c>
      <c r="H18184">
        <v>4410</v>
      </c>
      <c r="I18184" t="s">
        <v>517</v>
      </c>
      <c r="J18184">
        <v>116.9</v>
      </c>
      <c r="K18184">
        <v>14.36</v>
      </c>
      <c r="L18184">
        <v>17538</v>
      </c>
      <c r="M18184" t="s">
        <v>24</v>
      </c>
      <c r="N18184" t="str">
        <f>"9099238469  "</f>
        <v xml:space="preserve">9099238469  </v>
      </c>
      <c r="O18184">
        <v>230510</v>
      </c>
    </row>
    <row r="18185" spans="1:15" x14ac:dyDescent="0.25">
      <c r="A18185" t="s">
        <v>16</v>
      </c>
      <c r="B18185" t="s">
        <v>3221</v>
      </c>
      <c r="C18185">
        <v>6307</v>
      </c>
      <c r="D18185" t="s">
        <v>515</v>
      </c>
      <c r="E18185" t="s">
        <v>516</v>
      </c>
      <c r="F18185">
        <v>46.12</v>
      </c>
      <c r="G18185">
        <v>230504</v>
      </c>
      <c r="H18185">
        <v>4410</v>
      </c>
      <c r="I18185" t="s">
        <v>517</v>
      </c>
      <c r="J18185">
        <v>52.58</v>
      </c>
      <c r="K18185">
        <v>6.46</v>
      </c>
      <c r="L18185">
        <v>17538</v>
      </c>
      <c r="M18185" t="s">
        <v>24</v>
      </c>
      <c r="N18185" t="str">
        <f>"9099238474  "</f>
        <v xml:space="preserve">9099238474  </v>
      </c>
      <c r="O18185">
        <v>230510</v>
      </c>
    </row>
    <row r="18186" spans="1:15" x14ac:dyDescent="0.25">
      <c r="A18186" t="s">
        <v>16</v>
      </c>
      <c r="B18186" t="s">
        <v>3221</v>
      </c>
      <c r="C18186">
        <v>6310</v>
      </c>
      <c r="D18186" t="s">
        <v>515</v>
      </c>
      <c r="E18186" t="s">
        <v>516</v>
      </c>
      <c r="F18186">
        <v>12085</v>
      </c>
      <c r="G18186">
        <v>230504</v>
      </c>
      <c r="H18186">
        <v>4410</v>
      </c>
      <c r="I18186" t="s">
        <v>517</v>
      </c>
      <c r="J18186">
        <v>12085</v>
      </c>
      <c r="K18186">
        <v>0</v>
      </c>
      <c r="L18186">
        <v>17918</v>
      </c>
      <c r="M18186" t="s">
        <v>137</v>
      </c>
      <c r="N18186" t="str">
        <f>"9099238477  "</f>
        <v xml:space="preserve">9099238477  </v>
      </c>
      <c r="O18186">
        <v>230510</v>
      </c>
    </row>
    <row r="18187" spans="1:15" x14ac:dyDescent="0.25">
      <c r="A18187" t="s">
        <v>16</v>
      </c>
      <c r="B18187" t="s">
        <v>3221</v>
      </c>
      <c r="C18187">
        <v>6338</v>
      </c>
      <c r="D18187" t="s">
        <v>515</v>
      </c>
      <c r="E18187" t="s">
        <v>516</v>
      </c>
      <c r="F18187">
        <v>15</v>
      </c>
      <c r="G18187">
        <v>230504</v>
      </c>
      <c r="H18187">
        <v>4410</v>
      </c>
      <c r="I18187" t="s">
        <v>517</v>
      </c>
      <c r="J18187">
        <v>15</v>
      </c>
      <c r="K18187">
        <v>0</v>
      </c>
      <c r="L18187">
        <v>17538</v>
      </c>
      <c r="M18187" t="s">
        <v>24</v>
      </c>
      <c r="N18187" t="str">
        <f>"9099238476  "</f>
        <v xml:space="preserve">9099238476  </v>
      </c>
      <c r="O18187">
        <v>230510</v>
      </c>
    </row>
    <row r="18188" spans="1:15" x14ac:dyDescent="0.25">
      <c r="A18188" t="s">
        <v>16</v>
      </c>
      <c r="B18188" t="s">
        <v>3221</v>
      </c>
      <c r="C18188">
        <v>6384</v>
      </c>
      <c r="D18188" t="s">
        <v>515</v>
      </c>
      <c r="E18188" t="s">
        <v>516</v>
      </c>
      <c r="F18188">
        <v>15.93</v>
      </c>
      <c r="G18188">
        <v>230504</v>
      </c>
      <c r="H18188">
        <v>4410</v>
      </c>
      <c r="I18188" t="s">
        <v>517</v>
      </c>
      <c r="J18188">
        <v>18.16</v>
      </c>
      <c r="K18188">
        <v>2.23</v>
      </c>
      <c r="L18188">
        <v>13561</v>
      </c>
      <c r="M18188" t="s">
        <v>246</v>
      </c>
      <c r="N18188" t="str">
        <f>"9099238470  "</f>
        <v xml:space="preserve">9099238470  </v>
      </c>
      <c r="O18188">
        <v>230510</v>
      </c>
    </row>
    <row r="18189" spans="1:15" x14ac:dyDescent="0.25">
      <c r="A18189" t="s">
        <v>16</v>
      </c>
      <c r="B18189" t="s">
        <v>3221</v>
      </c>
      <c r="C18189">
        <v>6384</v>
      </c>
      <c r="D18189" t="s">
        <v>515</v>
      </c>
      <c r="E18189" t="s">
        <v>516</v>
      </c>
      <c r="F18189">
        <v>128.91999999999999</v>
      </c>
      <c r="G18189">
        <v>230504</v>
      </c>
      <c r="H18189">
        <v>4410</v>
      </c>
      <c r="I18189" t="s">
        <v>517</v>
      </c>
      <c r="J18189">
        <v>146.97</v>
      </c>
      <c r="K18189">
        <v>18.05</v>
      </c>
      <c r="L18189">
        <v>17971</v>
      </c>
      <c r="M18189" t="s">
        <v>138</v>
      </c>
      <c r="N18189" t="str">
        <f>"9099238470  "</f>
        <v xml:space="preserve">9099238470  </v>
      </c>
      <c r="O18189">
        <v>230510</v>
      </c>
    </row>
    <row r="18190" spans="1:15" x14ac:dyDescent="0.25">
      <c r="A18190" t="s">
        <v>16</v>
      </c>
      <c r="B18190" t="s">
        <v>3221</v>
      </c>
      <c r="C18190">
        <v>6485</v>
      </c>
      <c r="D18190" t="s">
        <v>515</v>
      </c>
      <c r="E18190" t="s">
        <v>516</v>
      </c>
      <c r="F18190">
        <v>84.21</v>
      </c>
      <c r="G18190">
        <v>230504</v>
      </c>
      <c r="H18190">
        <v>4410</v>
      </c>
      <c r="I18190" t="s">
        <v>517</v>
      </c>
      <c r="J18190">
        <v>96</v>
      </c>
      <c r="K18190">
        <v>11.79</v>
      </c>
      <c r="L18190">
        <v>17975</v>
      </c>
      <c r="M18190" t="s">
        <v>798</v>
      </c>
      <c r="N18190" t="str">
        <f>"9099238471  "</f>
        <v xml:space="preserve">9099238471  </v>
      </c>
      <c r="O18190">
        <v>230512</v>
      </c>
    </row>
    <row r="18191" spans="1:15" x14ac:dyDescent="0.25">
      <c r="A18191" t="s">
        <v>16</v>
      </c>
      <c r="B18191" t="s">
        <v>3221</v>
      </c>
      <c r="C18191">
        <v>7058</v>
      </c>
      <c r="D18191" t="s">
        <v>515</v>
      </c>
      <c r="E18191" t="s">
        <v>516</v>
      </c>
      <c r="F18191">
        <v>23.16</v>
      </c>
      <c r="G18191">
        <v>230519</v>
      </c>
      <c r="H18191">
        <v>4410</v>
      </c>
      <c r="I18191" t="s">
        <v>517</v>
      </c>
      <c r="J18191">
        <v>26.4</v>
      </c>
      <c r="K18191">
        <v>3.24</v>
      </c>
      <c r="L18191">
        <v>11604</v>
      </c>
      <c r="M18191" t="s">
        <v>1277</v>
      </c>
      <c r="N18191" t="str">
        <f>"9099239222  "</f>
        <v xml:space="preserve">9099239222  </v>
      </c>
      <c r="O18191">
        <v>230525</v>
      </c>
    </row>
    <row r="18192" spans="1:15" x14ac:dyDescent="0.25">
      <c r="A18192" t="s">
        <v>16</v>
      </c>
      <c r="B18192" t="s">
        <v>3221</v>
      </c>
      <c r="C18192">
        <v>7062</v>
      </c>
      <c r="D18192" t="s">
        <v>515</v>
      </c>
      <c r="E18192" t="s">
        <v>516</v>
      </c>
      <c r="F18192">
        <v>48</v>
      </c>
      <c r="G18192">
        <v>230519</v>
      </c>
      <c r="H18192">
        <v>4410</v>
      </c>
      <c r="I18192" t="s">
        <v>517</v>
      </c>
      <c r="J18192">
        <v>48</v>
      </c>
      <c r="K18192">
        <v>0</v>
      </c>
      <c r="L18192">
        <v>17918</v>
      </c>
      <c r="M18192" t="s">
        <v>137</v>
      </c>
      <c r="N18192" t="str">
        <f>"9099239223  "</f>
        <v xml:space="preserve">9099239223  </v>
      </c>
      <c r="O18192">
        <v>230525</v>
      </c>
    </row>
    <row r="18193" spans="1:15" x14ac:dyDescent="0.25">
      <c r="A18193" t="s">
        <v>16</v>
      </c>
      <c r="B18193" t="s">
        <v>3221</v>
      </c>
      <c r="C18193">
        <v>7063</v>
      </c>
      <c r="D18193" t="s">
        <v>515</v>
      </c>
      <c r="E18193" t="s">
        <v>516</v>
      </c>
      <c r="F18193">
        <v>102.54</v>
      </c>
      <c r="G18193">
        <v>230519</v>
      </c>
      <c r="H18193">
        <v>4410</v>
      </c>
      <c r="I18193" t="s">
        <v>517</v>
      </c>
      <c r="J18193">
        <v>116.9</v>
      </c>
      <c r="K18193">
        <v>14.36</v>
      </c>
      <c r="L18193">
        <v>17538</v>
      </c>
      <c r="M18193" t="s">
        <v>24</v>
      </c>
      <c r="N18193" t="str">
        <f>"9099239221  "</f>
        <v xml:space="preserve">9099239221  </v>
      </c>
      <c r="O18193">
        <v>230525</v>
      </c>
    </row>
    <row r="18194" spans="1:15" x14ac:dyDescent="0.25">
      <c r="A18194" t="s">
        <v>16</v>
      </c>
      <c r="B18194" t="s">
        <v>3221</v>
      </c>
      <c r="C18194">
        <v>7064</v>
      </c>
      <c r="D18194" t="s">
        <v>515</v>
      </c>
      <c r="E18194" t="s">
        <v>516</v>
      </c>
      <c r="F18194">
        <v>162.06</v>
      </c>
      <c r="G18194">
        <v>230519</v>
      </c>
      <c r="H18194">
        <v>4410</v>
      </c>
      <c r="I18194" t="s">
        <v>517</v>
      </c>
      <c r="J18194">
        <v>184.75</v>
      </c>
      <c r="K18194">
        <v>22.69</v>
      </c>
      <c r="L18194">
        <v>17971</v>
      </c>
      <c r="M18194" t="s">
        <v>138</v>
      </c>
      <c r="N18194" t="str">
        <f>"9099239220  "</f>
        <v xml:space="preserve">9099239220  </v>
      </c>
      <c r="O18194">
        <v>230525</v>
      </c>
    </row>
    <row r="18195" spans="1:15" x14ac:dyDescent="0.25">
      <c r="A18195" t="s">
        <v>16</v>
      </c>
      <c r="B18195" t="s">
        <v>3221</v>
      </c>
      <c r="C18195">
        <v>7076</v>
      </c>
      <c r="D18195" t="s">
        <v>515</v>
      </c>
      <c r="E18195" t="s">
        <v>516</v>
      </c>
      <c r="F18195">
        <v>42.98</v>
      </c>
      <c r="G18195">
        <v>230519</v>
      </c>
      <c r="H18195">
        <v>4410</v>
      </c>
      <c r="I18195" t="s">
        <v>517</v>
      </c>
      <c r="J18195">
        <v>49</v>
      </c>
      <c r="K18195">
        <v>6.02</v>
      </c>
      <c r="L18195">
        <v>17971</v>
      </c>
      <c r="M18195" t="s">
        <v>138</v>
      </c>
      <c r="N18195" t="str">
        <f>"9099239224  "</f>
        <v xml:space="preserve">9099239224  </v>
      </c>
      <c r="O18195">
        <v>230525</v>
      </c>
    </row>
    <row r="18196" spans="1:15" x14ac:dyDescent="0.25">
      <c r="A18196" t="s">
        <v>16</v>
      </c>
      <c r="B18196" t="s">
        <v>3221</v>
      </c>
      <c r="C18196">
        <v>7082</v>
      </c>
      <c r="D18196" t="s">
        <v>515</v>
      </c>
      <c r="E18196" t="s">
        <v>516</v>
      </c>
      <c r="F18196">
        <v>80.180000000000007</v>
      </c>
      <c r="G18196">
        <v>230519</v>
      </c>
      <c r="H18196">
        <v>4410</v>
      </c>
      <c r="I18196" t="s">
        <v>517</v>
      </c>
      <c r="J18196">
        <v>91.41</v>
      </c>
      <c r="K18196">
        <v>11.23</v>
      </c>
      <c r="L18196">
        <v>13561</v>
      </c>
      <c r="M18196" t="s">
        <v>246</v>
      </c>
      <c r="N18196" t="str">
        <f>"9099239218  "</f>
        <v xml:space="preserve">9099239218  </v>
      </c>
      <c r="O18196">
        <v>230525</v>
      </c>
    </row>
    <row r="18197" spans="1:15" x14ac:dyDescent="0.25">
      <c r="A18197" t="s">
        <v>16</v>
      </c>
      <c r="B18197" t="s">
        <v>3221</v>
      </c>
      <c r="C18197">
        <v>7084</v>
      </c>
      <c r="D18197" t="s">
        <v>515</v>
      </c>
      <c r="E18197" t="s">
        <v>516</v>
      </c>
      <c r="F18197">
        <v>33.58</v>
      </c>
      <c r="G18197">
        <v>230519</v>
      </c>
      <c r="H18197">
        <v>4410</v>
      </c>
      <c r="I18197" t="s">
        <v>517</v>
      </c>
      <c r="J18197">
        <v>38.28</v>
      </c>
      <c r="K18197">
        <v>4.7</v>
      </c>
      <c r="L18197">
        <v>17538</v>
      </c>
      <c r="M18197" t="s">
        <v>24</v>
      </c>
      <c r="N18197" t="str">
        <f>"9099239225  "</f>
        <v xml:space="preserve">9099239225  </v>
      </c>
      <c r="O18197">
        <v>230525</v>
      </c>
    </row>
    <row r="18198" spans="1:15" x14ac:dyDescent="0.25">
      <c r="A18198" t="s">
        <v>16</v>
      </c>
      <c r="B18198" t="s">
        <v>3221</v>
      </c>
      <c r="C18198">
        <v>7165</v>
      </c>
      <c r="D18198" t="s">
        <v>515</v>
      </c>
      <c r="E18198" t="s">
        <v>516</v>
      </c>
      <c r="F18198">
        <v>11.66</v>
      </c>
      <c r="G18198">
        <v>230519</v>
      </c>
      <c r="H18198">
        <v>4410</v>
      </c>
      <c r="I18198" t="s">
        <v>517</v>
      </c>
      <c r="J18198">
        <v>13.29</v>
      </c>
      <c r="K18198">
        <v>1.63</v>
      </c>
      <c r="L18198">
        <v>17918</v>
      </c>
      <c r="M18198" t="s">
        <v>137</v>
      </c>
      <c r="N18198" t="str">
        <f>"9099239219  "</f>
        <v xml:space="preserve">9099239219  </v>
      </c>
      <c r="O18198">
        <v>230525</v>
      </c>
    </row>
    <row r="18199" spans="1:15" x14ac:dyDescent="0.25">
      <c r="A18199" t="s">
        <v>16</v>
      </c>
      <c r="B18199" t="s">
        <v>3221</v>
      </c>
      <c r="C18199">
        <v>7194</v>
      </c>
      <c r="D18199" t="s">
        <v>515</v>
      </c>
      <c r="E18199" t="s">
        <v>516</v>
      </c>
      <c r="F18199">
        <v>68.16</v>
      </c>
      <c r="G18199">
        <v>230519</v>
      </c>
      <c r="H18199">
        <v>4410</v>
      </c>
      <c r="I18199" t="s">
        <v>517</v>
      </c>
      <c r="J18199">
        <v>77.7</v>
      </c>
      <c r="K18199">
        <v>9.5399999999999991</v>
      </c>
      <c r="L18199">
        <v>11902</v>
      </c>
      <c r="M18199" t="s">
        <v>1443</v>
      </c>
      <c r="N18199" t="str">
        <f>"9099239226  "</f>
        <v xml:space="preserve">9099239226  </v>
      </c>
      <c r="O18199">
        <v>230526</v>
      </c>
    </row>
    <row r="18200" spans="1:15" x14ac:dyDescent="0.25">
      <c r="A18200" t="s">
        <v>16</v>
      </c>
      <c r="B18200" t="s">
        <v>3221</v>
      </c>
      <c r="C18200">
        <v>8085</v>
      </c>
      <c r="D18200" t="s">
        <v>515</v>
      </c>
      <c r="E18200" t="s">
        <v>516</v>
      </c>
      <c r="F18200">
        <v>1955</v>
      </c>
      <c r="G18200">
        <v>230605</v>
      </c>
      <c r="H18200">
        <v>4410</v>
      </c>
      <c r="I18200" t="s">
        <v>517</v>
      </c>
      <c r="J18200">
        <v>1955</v>
      </c>
      <c r="K18200">
        <v>0</v>
      </c>
      <c r="L18200">
        <v>13552</v>
      </c>
      <c r="M18200" t="s">
        <v>624</v>
      </c>
      <c r="N18200" t="str">
        <f>"9099240213  "</f>
        <v xml:space="preserve">9099240213  </v>
      </c>
      <c r="O18200">
        <v>230607</v>
      </c>
    </row>
    <row r="18201" spans="1:15" x14ac:dyDescent="0.25">
      <c r="A18201" t="s">
        <v>16</v>
      </c>
      <c r="B18201" t="s">
        <v>3221</v>
      </c>
      <c r="C18201">
        <v>8088</v>
      </c>
      <c r="D18201" t="s">
        <v>515</v>
      </c>
      <c r="E18201" t="s">
        <v>516</v>
      </c>
      <c r="F18201">
        <v>110.53</v>
      </c>
      <c r="G18201">
        <v>230605</v>
      </c>
      <c r="H18201">
        <v>4410</v>
      </c>
      <c r="I18201" t="s">
        <v>517</v>
      </c>
      <c r="J18201">
        <v>126</v>
      </c>
      <c r="K18201">
        <v>15.47</v>
      </c>
      <c r="L18201">
        <v>18994</v>
      </c>
      <c r="M18201" t="s">
        <v>1940</v>
      </c>
      <c r="N18201" t="str">
        <f>"9099240203  "</f>
        <v xml:space="preserve">9099240203  </v>
      </c>
      <c r="O18201">
        <v>230607</v>
      </c>
    </row>
    <row r="18202" spans="1:15" x14ac:dyDescent="0.25">
      <c r="A18202" t="s">
        <v>16</v>
      </c>
      <c r="B18202" t="s">
        <v>3221</v>
      </c>
      <c r="C18202">
        <v>8091</v>
      </c>
      <c r="D18202" t="s">
        <v>515</v>
      </c>
      <c r="E18202" t="s">
        <v>516</v>
      </c>
      <c r="F18202">
        <v>165</v>
      </c>
      <c r="G18202">
        <v>230605</v>
      </c>
      <c r="H18202">
        <v>4410</v>
      </c>
      <c r="I18202" t="s">
        <v>517</v>
      </c>
      <c r="J18202">
        <v>165</v>
      </c>
      <c r="K18202">
        <v>0</v>
      </c>
      <c r="L18202">
        <v>59113</v>
      </c>
      <c r="M18202" t="s">
        <v>235</v>
      </c>
      <c r="N18202" t="str">
        <f>"9099240208  "</f>
        <v xml:space="preserve">9099240208  </v>
      </c>
      <c r="O18202">
        <v>230607</v>
      </c>
    </row>
    <row r="18203" spans="1:15" x14ac:dyDescent="0.25">
      <c r="A18203" t="s">
        <v>16</v>
      </c>
      <c r="B18203" t="s">
        <v>3221</v>
      </c>
      <c r="C18203">
        <v>8093</v>
      </c>
      <c r="D18203" t="s">
        <v>515</v>
      </c>
      <c r="E18203" t="s">
        <v>516</v>
      </c>
      <c r="F18203">
        <v>100</v>
      </c>
      <c r="G18203">
        <v>230605</v>
      </c>
      <c r="H18203">
        <v>4410</v>
      </c>
      <c r="I18203" t="s">
        <v>517</v>
      </c>
      <c r="J18203">
        <v>100</v>
      </c>
      <c r="K18203">
        <v>0</v>
      </c>
      <c r="L18203">
        <v>17913</v>
      </c>
      <c r="M18203" t="s">
        <v>431</v>
      </c>
      <c r="N18203" t="str">
        <f>"9099240207  "</f>
        <v xml:space="preserve">9099240207  </v>
      </c>
      <c r="O18203">
        <v>230607</v>
      </c>
    </row>
    <row r="18204" spans="1:15" x14ac:dyDescent="0.25">
      <c r="A18204" t="s">
        <v>16</v>
      </c>
      <c r="B18204" t="s">
        <v>3221</v>
      </c>
      <c r="C18204">
        <v>8332</v>
      </c>
      <c r="D18204" t="s">
        <v>515</v>
      </c>
      <c r="E18204" t="s">
        <v>516</v>
      </c>
      <c r="F18204">
        <v>538.67999999999995</v>
      </c>
      <c r="G18204">
        <v>230605</v>
      </c>
      <c r="H18204">
        <v>4410</v>
      </c>
      <c r="I18204" t="s">
        <v>517</v>
      </c>
      <c r="J18204">
        <v>614.1</v>
      </c>
      <c r="K18204">
        <v>75.42</v>
      </c>
      <c r="L18204">
        <v>17971</v>
      </c>
      <c r="M18204" t="s">
        <v>138</v>
      </c>
      <c r="N18204" t="str">
        <f>"9099240202  "</f>
        <v xml:space="preserve">9099240202  </v>
      </c>
      <c r="O18204">
        <v>230608</v>
      </c>
    </row>
    <row r="18205" spans="1:15" x14ac:dyDescent="0.25">
      <c r="A18205" t="s">
        <v>16</v>
      </c>
      <c r="B18205" t="s">
        <v>3221</v>
      </c>
      <c r="C18205">
        <v>8333</v>
      </c>
      <c r="D18205" t="s">
        <v>515</v>
      </c>
      <c r="E18205" t="s">
        <v>516</v>
      </c>
      <c r="F18205">
        <v>1182.46</v>
      </c>
      <c r="G18205">
        <v>230605</v>
      </c>
      <c r="H18205">
        <v>4410</v>
      </c>
      <c r="I18205" t="s">
        <v>517</v>
      </c>
      <c r="J18205">
        <v>1348</v>
      </c>
      <c r="K18205">
        <v>165.54</v>
      </c>
      <c r="L18205">
        <v>17971</v>
      </c>
      <c r="M18205" t="s">
        <v>138</v>
      </c>
      <c r="N18205" t="str">
        <f>"9099240210  "</f>
        <v xml:space="preserve">9099240210  </v>
      </c>
      <c r="O18205">
        <v>230608</v>
      </c>
    </row>
    <row r="18206" spans="1:15" x14ac:dyDescent="0.25">
      <c r="A18206" t="s">
        <v>16</v>
      </c>
      <c r="B18206" t="s">
        <v>3221</v>
      </c>
      <c r="C18206">
        <v>8334</v>
      </c>
      <c r="D18206" t="s">
        <v>515</v>
      </c>
      <c r="E18206" t="s">
        <v>516</v>
      </c>
      <c r="F18206">
        <v>11935</v>
      </c>
      <c r="G18206">
        <v>230605</v>
      </c>
      <c r="H18206">
        <v>4410</v>
      </c>
      <c r="I18206" t="s">
        <v>517</v>
      </c>
      <c r="J18206">
        <v>11935</v>
      </c>
      <c r="K18206">
        <v>0</v>
      </c>
      <c r="L18206">
        <v>17918</v>
      </c>
      <c r="M18206" t="s">
        <v>137</v>
      </c>
      <c r="N18206" t="str">
        <f>"9099240212  "</f>
        <v xml:space="preserve">9099240212  </v>
      </c>
      <c r="O18206">
        <v>230608</v>
      </c>
    </row>
    <row r="18207" spans="1:15" x14ac:dyDescent="0.25">
      <c r="A18207" t="s">
        <v>16</v>
      </c>
      <c r="B18207" t="s">
        <v>3221</v>
      </c>
      <c r="C18207">
        <v>8335</v>
      </c>
      <c r="D18207" t="s">
        <v>515</v>
      </c>
      <c r="E18207" t="s">
        <v>516</v>
      </c>
      <c r="F18207">
        <v>21.05</v>
      </c>
      <c r="G18207">
        <v>230605</v>
      </c>
      <c r="H18207">
        <v>4410</v>
      </c>
      <c r="I18207" t="s">
        <v>517</v>
      </c>
      <c r="J18207">
        <v>24</v>
      </c>
      <c r="K18207">
        <v>2.95</v>
      </c>
      <c r="L18207">
        <v>17521</v>
      </c>
      <c r="M18207" t="s">
        <v>133</v>
      </c>
      <c r="N18207" t="str">
        <f>"9099240204  "</f>
        <v xml:space="preserve">9099240204  </v>
      </c>
      <c r="O18207">
        <v>230608</v>
      </c>
    </row>
    <row r="18208" spans="1:15" x14ac:dyDescent="0.25">
      <c r="A18208" t="s">
        <v>16</v>
      </c>
      <c r="B18208" t="s">
        <v>3221</v>
      </c>
      <c r="C18208">
        <v>8336</v>
      </c>
      <c r="D18208" t="s">
        <v>515</v>
      </c>
      <c r="E18208" t="s">
        <v>516</v>
      </c>
      <c r="F18208">
        <v>23.33</v>
      </c>
      <c r="G18208">
        <v>230605</v>
      </c>
      <c r="H18208">
        <v>4410</v>
      </c>
      <c r="I18208" t="s">
        <v>517</v>
      </c>
      <c r="J18208">
        <v>26.6</v>
      </c>
      <c r="K18208">
        <v>3.27</v>
      </c>
      <c r="L18208">
        <v>17538</v>
      </c>
      <c r="M18208" t="s">
        <v>24</v>
      </c>
      <c r="N18208" t="str">
        <f>"9099240205  "</f>
        <v xml:space="preserve">9099240205  </v>
      </c>
      <c r="O18208">
        <v>230608</v>
      </c>
    </row>
    <row r="18209" spans="1:15" x14ac:dyDescent="0.25">
      <c r="A18209" t="s">
        <v>16</v>
      </c>
      <c r="B18209" t="s">
        <v>3221</v>
      </c>
      <c r="C18209">
        <v>8337</v>
      </c>
      <c r="D18209" t="s">
        <v>515</v>
      </c>
      <c r="E18209" t="s">
        <v>516</v>
      </c>
      <c r="F18209">
        <v>182.4</v>
      </c>
      <c r="G18209">
        <v>230605</v>
      </c>
      <c r="H18209">
        <v>4410</v>
      </c>
      <c r="I18209" t="s">
        <v>517</v>
      </c>
      <c r="J18209">
        <v>182.4</v>
      </c>
      <c r="K18209">
        <v>0</v>
      </c>
      <c r="L18209">
        <v>17918</v>
      </c>
      <c r="M18209" t="s">
        <v>137</v>
      </c>
      <c r="N18209" t="str">
        <f>"9099240201  "</f>
        <v xml:space="preserve">9099240201  </v>
      </c>
      <c r="O18209">
        <v>230608</v>
      </c>
    </row>
    <row r="18210" spans="1:15" x14ac:dyDescent="0.25">
      <c r="A18210" t="s">
        <v>16</v>
      </c>
      <c r="B18210" t="s">
        <v>3221</v>
      </c>
      <c r="C18210">
        <v>8338</v>
      </c>
      <c r="D18210" t="s">
        <v>515</v>
      </c>
      <c r="E18210" t="s">
        <v>516</v>
      </c>
      <c r="F18210">
        <v>5.26</v>
      </c>
      <c r="G18210">
        <v>230605</v>
      </c>
      <c r="H18210">
        <v>4410</v>
      </c>
      <c r="I18210" t="s">
        <v>517</v>
      </c>
      <c r="J18210">
        <v>6</v>
      </c>
      <c r="K18210">
        <v>0.74</v>
      </c>
      <c r="L18210">
        <v>17529</v>
      </c>
      <c r="M18210" t="s">
        <v>453</v>
      </c>
      <c r="N18210" t="str">
        <f>"9099240209  "</f>
        <v xml:space="preserve">9099240209  </v>
      </c>
      <c r="O18210">
        <v>230608</v>
      </c>
    </row>
    <row r="18211" spans="1:15" x14ac:dyDescent="0.25">
      <c r="A18211" t="s">
        <v>16</v>
      </c>
      <c r="B18211" t="s">
        <v>3221</v>
      </c>
      <c r="C18211">
        <v>8339</v>
      </c>
      <c r="D18211" t="s">
        <v>515</v>
      </c>
      <c r="E18211" t="s">
        <v>516</v>
      </c>
      <c r="F18211">
        <v>38.81</v>
      </c>
      <c r="G18211">
        <v>230605</v>
      </c>
      <c r="H18211">
        <v>4410</v>
      </c>
      <c r="I18211" t="s">
        <v>517</v>
      </c>
      <c r="J18211">
        <v>44.24</v>
      </c>
      <c r="K18211">
        <v>5.43</v>
      </c>
      <c r="L18211">
        <v>16930</v>
      </c>
      <c r="M18211" t="s">
        <v>450</v>
      </c>
      <c r="N18211" t="str">
        <f>"9099240211  "</f>
        <v xml:space="preserve">9099240211  </v>
      </c>
      <c r="O18211">
        <v>230608</v>
      </c>
    </row>
    <row r="18212" spans="1:15" x14ac:dyDescent="0.25">
      <c r="A18212" t="s">
        <v>16</v>
      </c>
      <c r="B18212" t="s">
        <v>3221</v>
      </c>
      <c r="C18212">
        <v>8340</v>
      </c>
      <c r="D18212" t="s">
        <v>515</v>
      </c>
      <c r="E18212" t="s">
        <v>516</v>
      </c>
      <c r="F18212">
        <v>59.56</v>
      </c>
      <c r="G18212">
        <v>230605</v>
      </c>
      <c r="H18212">
        <v>4410</v>
      </c>
      <c r="I18212" t="s">
        <v>517</v>
      </c>
      <c r="J18212">
        <v>67.900000000000006</v>
      </c>
      <c r="K18212">
        <v>8.34</v>
      </c>
      <c r="L18212">
        <v>17538</v>
      </c>
      <c r="M18212" t="s">
        <v>24</v>
      </c>
      <c r="N18212" t="str">
        <f>"9099242408  "</f>
        <v xml:space="preserve">9099242408  </v>
      </c>
      <c r="O18212">
        <v>230608</v>
      </c>
    </row>
    <row r="18213" spans="1:15" x14ac:dyDescent="0.25">
      <c r="A18213" t="s">
        <v>16</v>
      </c>
      <c r="B18213" t="s">
        <v>3221</v>
      </c>
      <c r="C18213">
        <v>8341</v>
      </c>
      <c r="D18213" t="s">
        <v>515</v>
      </c>
      <c r="E18213" t="s">
        <v>516</v>
      </c>
      <c r="F18213">
        <v>5.26</v>
      </c>
      <c r="G18213">
        <v>230605</v>
      </c>
      <c r="H18213">
        <v>4410</v>
      </c>
      <c r="I18213" t="s">
        <v>517</v>
      </c>
      <c r="J18213">
        <v>6</v>
      </c>
      <c r="K18213">
        <v>0.74</v>
      </c>
      <c r="L18213">
        <v>17532</v>
      </c>
      <c r="M18213" t="s">
        <v>543</v>
      </c>
      <c r="N18213" t="str">
        <f>"9099240206  "</f>
        <v xml:space="preserve">9099240206  </v>
      </c>
      <c r="O18213">
        <v>230608</v>
      </c>
    </row>
    <row r="18214" spans="1:15" x14ac:dyDescent="0.25">
      <c r="A18214" t="s">
        <v>16</v>
      </c>
      <c r="B18214" t="s">
        <v>3221</v>
      </c>
      <c r="C18214">
        <v>8343</v>
      </c>
      <c r="D18214" t="s">
        <v>515</v>
      </c>
      <c r="E18214" t="s">
        <v>516</v>
      </c>
      <c r="F18214">
        <v>96.84</v>
      </c>
      <c r="G18214">
        <v>230605</v>
      </c>
      <c r="H18214">
        <v>4410</v>
      </c>
      <c r="I18214" t="s">
        <v>517</v>
      </c>
      <c r="J18214">
        <v>110.4</v>
      </c>
      <c r="K18214">
        <v>13.56</v>
      </c>
      <c r="L18214">
        <v>17521</v>
      </c>
      <c r="M18214" t="s">
        <v>133</v>
      </c>
      <c r="N18214" t="str">
        <f>"9099240199  "</f>
        <v xml:space="preserve">9099240199  </v>
      </c>
      <c r="O18214">
        <v>230608</v>
      </c>
    </row>
    <row r="18215" spans="1:15" x14ac:dyDescent="0.25">
      <c r="A18215" t="s">
        <v>16</v>
      </c>
      <c r="B18215" t="s">
        <v>3221</v>
      </c>
      <c r="C18215">
        <v>8379</v>
      </c>
      <c r="D18215" t="s">
        <v>515</v>
      </c>
      <c r="E18215" t="s">
        <v>516</v>
      </c>
      <c r="F18215">
        <v>21.05</v>
      </c>
      <c r="G18215">
        <v>230605</v>
      </c>
      <c r="H18215">
        <v>4410</v>
      </c>
      <c r="I18215" t="s">
        <v>517</v>
      </c>
      <c r="J18215">
        <v>24</v>
      </c>
      <c r="K18215">
        <v>2.95</v>
      </c>
      <c r="L18215">
        <v>16121</v>
      </c>
      <c r="M18215" t="s">
        <v>21</v>
      </c>
      <c r="N18215" t="str">
        <f>"9099240200  "</f>
        <v xml:space="preserve">9099240200  </v>
      </c>
      <c r="O18215">
        <v>230608</v>
      </c>
    </row>
    <row r="18216" spans="1:15" x14ac:dyDescent="0.25">
      <c r="A18216" t="s">
        <v>16</v>
      </c>
      <c r="B18216" t="s">
        <v>3221</v>
      </c>
      <c r="C18216">
        <v>8379</v>
      </c>
      <c r="D18216" t="s">
        <v>515</v>
      </c>
      <c r="E18216" t="s">
        <v>516</v>
      </c>
      <c r="F18216">
        <v>150</v>
      </c>
      <c r="G18216">
        <v>230605</v>
      </c>
      <c r="H18216">
        <v>4410</v>
      </c>
      <c r="I18216" t="s">
        <v>517</v>
      </c>
      <c r="J18216">
        <v>150</v>
      </c>
      <c r="K18216">
        <v>0</v>
      </c>
      <c r="L18216">
        <v>16121</v>
      </c>
      <c r="M18216" t="s">
        <v>21</v>
      </c>
      <c r="N18216" t="str">
        <f>"9099240200  "</f>
        <v xml:space="preserve">9099240200  </v>
      </c>
      <c r="O18216">
        <v>230608</v>
      </c>
    </row>
    <row r="18217" spans="1:15" x14ac:dyDescent="0.25">
      <c r="A18217" t="s">
        <v>16</v>
      </c>
      <c r="B18217" t="s">
        <v>3221</v>
      </c>
      <c r="C18217">
        <v>8567</v>
      </c>
      <c r="D18217" t="s">
        <v>515</v>
      </c>
      <c r="E18217" t="s">
        <v>516</v>
      </c>
      <c r="F18217">
        <v>109.37</v>
      </c>
      <c r="G18217">
        <v>230605</v>
      </c>
      <c r="H18217">
        <v>4410</v>
      </c>
      <c r="I18217" t="s">
        <v>517</v>
      </c>
      <c r="J18217">
        <v>124.68</v>
      </c>
      <c r="K18217">
        <v>15.31</v>
      </c>
      <c r="L18217">
        <v>11902</v>
      </c>
      <c r="M18217" t="s">
        <v>1443</v>
      </c>
      <c r="N18217" t="str">
        <f>"9099240197  "</f>
        <v xml:space="preserve">9099240197  </v>
      </c>
      <c r="O18217">
        <v>230612</v>
      </c>
    </row>
    <row r="18218" spans="1:15" x14ac:dyDescent="0.25">
      <c r="A18218" t="s">
        <v>16</v>
      </c>
      <c r="B18218" t="s">
        <v>3221</v>
      </c>
      <c r="C18218">
        <v>8815</v>
      </c>
      <c r="D18218" t="s">
        <v>515</v>
      </c>
      <c r="E18218" t="s">
        <v>516</v>
      </c>
      <c r="F18218">
        <v>23.77</v>
      </c>
      <c r="G18218">
        <v>230605</v>
      </c>
      <c r="H18218">
        <v>4410</v>
      </c>
      <c r="I18218" t="s">
        <v>517</v>
      </c>
      <c r="J18218">
        <v>27.1</v>
      </c>
      <c r="K18218">
        <v>3.33</v>
      </c>
      <c r="L18218">
        <v>11602</v>
      </c>
      <c r="M18218" t="s">
        <v>714</v>
      </c>
      <c r="N18218" t="str">
        <f>"9099240198  "</f>
        <v xml:space="preserve">9099240198  </v>
      </c>
      <c r="O18218">
        <v>230616</v>
      </c>
    </row>
    <row r="18219" spans="1:15" x14ac:dyDescent="0.25">
      <c r="A18219" t="s">
        <v>16</v>
      </c>
      <c r="B18219" t="s">
        <v>3221</v>
      </c>
      <c r="C18219">
        <v>9076</v>
      </c>
      <c r="D18219" t="s">
        <v>515</v>
      </c>
      <c r="E18219" t="s">
        <v>516</v>
      </c>
      <c r="F18219">
        <v>97.06</v>
      </c>
      <c r="G18219">
        <v>230620</v>
      </c>
      <c r="H18219">
        <v>4410</v>
      </c>
      <c r="I18219" t="s">
        <v>517</v>
      </c>
      <c r="J18219">
        <v>110.65</v>
      </c>
      <c r="K18219">
        <v>13.59</v>
      </c>
      <c r="L18219">
        <v>12010</v>
      </c>
      <c r="M18219" t="s">
        <v>2189</v>
      </c>
      <c r="N18219" t="str">
        <f>"9099242674  "</f>
        <v xml:space="preserve">9099242674  </v>
      </c>
      <c r="O18219">
        <v>230622</v>
      </c>
    </row>
    <row r="18220" spans="1:15" x14ac:dyDescent="0.25">
      <c r="A18220" t="s">
        <v>16</v>
      </c>
      <c r="B18220" t="s">
        <v>3221</v>
      </c>
      <c r="C18220">
        <v>9124</v>
      </c>
      <c r="D18220" t="s">
        <v>515</v>
      </c>
      <c r="E18220" t="s">
        <v>516</v>
      </c>
      <c r="F18220">
        <v>106.57</v>
      </c>
      <c r="G18220">
        <v>230620</v>
      </c>
      <c r="H18220">
        <v>4410</v>
      </c>
      <c r="I18220" t="s">
        <v>517</v>
      </c>
      <c r="J18220">
        <v>121.49</v>
      </c>
      <c r="K18220">
        <v>14.92</v>
      </c>
      <c r="L18220">
        <v>13561</v>
      </c>
      <c r="M18220" t="s">
        <v>246</v>
      </c>
      <c r="N18220" t="str">
        <f>"9099242676  "</f>
        <v xml:space="preserve">9099242676  </v>
      </c>
      <c r="O18220">
        <v>230628</v>
      </c>
    </row>
    <row r="18221" spans="1:15" x14ac:dyDescent="0.25">
      <c r="A18221" t="s">
        <v>16</v>
      </c>
      <c r="B18221" t="s">
        <v>3221</v>
      </c>
      <c r="C18221">
        <v>9125</v>
      </c>
      <c r="D18221" t="s">
        <v>515</v>
      </c>
      <c r="E18221" t="s">
        <v>516</v>
      </c>
      <c r="F18221">
        <v>5</v>
      </c>
      <c r="G18221">
        <v>230620</v>
      </c>
      <c r="H18221">
        <v>4410</v>
      </c>
      <c r="I18221" t="s">
        <v>517</v>
      </c>
      <c r="J18221">
        <v>5.7</v>
      </c>
      <c r="K18221">
        <v>0.7</v>
      </c>
      <c r="L18221">
        <v>17538</v>
      </c>
      <c r="M18221" t="s">
        <v>24</v>
      </c>
      <c r="N18221" t="str">
        <f>"9099242677  "</f>
        <v xml:space="preserve">9099242677  </v>
      </c>
      <c r="O18221">
        <v>230628</v>
      </c>
    </row>
    <row r="18222" spans="1:15" x14ac:dyDescent="0.25">
      <c r="A18222" t="s">
        <v>16</v>
      </c>
      <c r="B18222" t="s">
        <v>3221</v>
      </c>
      <c r="C18222">
        <v>9127</v>
      </c>
      <c r="D18222" t="s">
        <v>515</v>
      </c>
      <c r="E18222" t="s">
        <v>516</v>
      </c>
      <c r="F18222">
        <v>117.19</v>
      </c>
      <c r="G18222">
        <v>230620</v>
      </c>
      <c r="H18222">
        <v>4410</v>
      </c>
      <c r="I18222" t="s">
        <v>517</v>
      </c>
      <c r="J18222">
        <v>133.6</v>
      </c>
      <c r="K18222">
        <v>16.41</v>
      </c>
      <c r="L18222">
        <v>17538</v>
      </c>
      <c r="M18222" t="s">
        <v>24</v>
      </c>
      <c r="N18222" t="str">
        <f>"9099242675  "</f>
        <v xml:space="preserve">9099242675  </v>
      </c>
      <c r="O18222">
        <v>230628</v>
      </c>
    </row>
    <row r="18223" spans="1:15" x14ac:dyDescent="0.25">
      <c r="A18223" t="s">
        <v>16</v>
      </c>
      <c r="B18223" t="s">
        <v>3221</v>
      </c>
      <c r="C18223">
        <v>10680</v>
      </c>
      <c r="D18223" t="s">
        <v>515</v>
      </c>
      <c r="E18223" t="s">
        <v>516</v>
      </c>
      <c r="F18223">
        <v>54.47</v>
      </c>
      <c r="G18223">
        <v>230818</v>
      </c>
      <c r="H18223">
        <v>4410</v>
      </c>
      <c r="I18223" t="s">
        <v>517</v>
      </c>
      <c r="J18223">
        <v>62.1</v>
      </c>
      <c r="K18223">
        <v>7.63</v>
      </c>
      <c r="L18223">
        <v>17950</v>
      </c>
      <c r="M18223" t="s">
        <v>86</v>
      </c>
      <c r="N18223" t="str">
        <f>"9099246673  "</f>
        <v xml:space="preserve">9099246673  </v>
      </c>
      <c r="O18223">
        <v>230821</v>
      </c>
    </row>
    <row r="18224" spans="1:15" x14ac:dyDescent="0.25">
      <c r="A18224" t="s">
        <v>16</v>
      </c>
      <c r="B18224" t="s">
        <v>3221</v>
      </c>
      <c r="C18224">
        <v>10681</v>
      </c>
      <c r="D18224" t="s">
        <v>515</v>
      </c>
      <c r="E18224" t="s">
        <v>516</v>
      </c>
      <c r="F18224">
        <v>131.84</v>
      </c>
      <c r="G18224">
        <v>230818</v>
      </c>
      <c r="H18224">
        <v>4410</v>
      </c>
      <c r="I18224" t="s">
        <v>517</v>
      </c>
      <c r="J18224">
        <v>150.30000000000001</v>
      </c>
      <c r="K18224">
        <v>18.46</v>
      </c>
      <c r="L18224">
        <v>11605</v>
      </c>
      <c r="M18224" t="s">
        <v>106</v>
      </c>
      <c r="N18224" t="str">
        <f>"9099246676  "</f>
        <v xml:space="preserve">9099246676  </v>
      </c>
      <c r="O18224">
        <v>230821</v>
      </c>
    </row>
    <row r="18225" spans="1:15" x14ac:dyDescent="0.25">
      <c r="A18225" t="s">
        <v>16</v>
      </c>
      <c r="B18225" t="s">
        <v>3221</v>
      </c>
      <c r="C18225">
        <v>10691</v>
      </c>
      <c r="D18225" t="s">
        <v>515</v>
      </c>
      <c r="E18225" t="s">
        <v>516</v>
      </c>
      <c r="F18225">
        <v>108.52</v>
      </c>
      <c r="G18225">
        <v>230818</v>
      </c>
      <c r="H18225">
        <v>4410</v>
      </c>
      <c r="I18225" t="s">
        <v>517</v>
      </c>
      <c r="J18225">
        <v>123.71</v>
      </c>
      <c r="K18225">
        <v>15.19</v>
      </c>
      <c r="L18225">
        <v>16121</v>
      </c>
      <c r="M18225" t="s">
        <v>21</v>
      </c>
      <c r="N18225" t="str">
        <f>"9099246678  "</f>
        <v xml:space="preserve">9099246678  </v>
      </c>
      <c r="O18225">
        <v>230822</v>
      </c>
    </row>
    <row r="18226" spans="1:15" x14ac:dyDescent="0.25">
      <c r="A18226" t="s">
        <v>16</v>
      </c>
      <c r="B18226" t="s">
        <v>3221</v>
      </c>
      <c r="C18226">
        <v>10691</v>
      </c>
      <c r="D18226" t="s">
        <v>515</v>
      </c>
      <c r="E18226" t="s">
        <v>516</v>
      </c>
      <c r="F18226">
        <v>32.82</v>
      </c>
      <c r="G18226">
        <v>230818</v>
      </c>
      <c r="H18226">
        <v>4410</v>
      </c>
      <c r="I18226" t="s">
        <v>517</v>
      </c>
      <c r="J18226">
        <v>37.42</v>
      </c>
      <c r="K18226">
        <v>4.5999999999999996</v>
      </c>
      <c r="L18226">
        <v>16322</v>
      </c>
      <c r="M18226" t="s">
        <v>22</v>
      </c>
      <c r="N18226" t="str">
        <f>"9099246678  "</f>
        <v xml:space="preserve">9099246678  </v>
      </c>
      <c r="O18226">
        <v>230822</v>
      </c>
    </row>
    <row r="18227" spans="1:15" x14ac:dyDescent="0.25">
      <c r="A18227" t="s">
        <v>16</v>
      </c>
      <c r="B18227" t="s">
        <v>3221</v>
      </c>
      <c r="C18227">
        <v>10691</v>
      </c>
      <c r="D18227" t="s">
        <v>515</v>
      </c>
      <c r="E18227" t="s">
        <v>516</v>
      </c>
      <c r="F18227">
        <v>28.28</v>
      </c>
      <c r="G18227">
        <v>230818</v>
      </c>
      <c r="H18227">
        <v>4410</v>
      </c>
      <c r="I18227" t="s">
        <v>517</v>
      </c>
      <c r="J18227">
        <v>32.24</v>
      </c>
      <c r="K18227">
        <v>3.96</v>
      </c>
      <c r="L18227">
        <v>16820</v>
      </c>
      <c r="M18227" t="s">
        <v>23</v>
      </c>
      <c r="N18227" t="str">
        <f>"9099246678  "</f>
        <v xml:space="preserve">9099246678  </v>
      </c>
      <c r="O18227">
        <v>230822</v>
      </c>
    </row>
    <row r="18228" spans="1:15" x14ac:dyDescent="0.25">
      <c r="A18228" t="s">
        <v>16</v>
      </c>
      <c r="B18228" t="s">
        <v>3221</v>
      </c>
      <c r="C18228">
        <v>10691</v>
      </c>
      <c r="D18228" t="s">
        <v>515</v>
      </c>
      <c r="E18228" t="s">
        <v>516</v>
      </c>
      <c r="F18228">
        <v>14.59</v>
      </c>
      <c r="G18228">
        <v>230818</v>
      </c>
      <c r="H18228">
        <v>4410</v>
      </c>
      <c r="I18228" t="s">
        <v>517</v>
      </c>
      <c r="J18228">
        <v>16.63</v>
      </c>
      <c r="K18228">
        <v>2.04</v>
      </c>
      <c r="L18228">
        <v>17862</v>
      </c>
      <c r="M18228" t="s">
        <v>319</v>
      </c>
      <c r="N18228" t="str">
        <f>"9099246678  "</f>
        <v xml:space="preserve">9099246678  </v>
      </c>
      <c r="O18228">
        <v>230822</v>
      </c>
    </row>
    <row r="18229" spans="1:15" x14ac:dyDescent="0.25">
      <c r="A18229" t="s">
        <v>16</v>
      </c>
      <c r="B18229" t="s">
        <v>3221</v>
      </c>
      <c r="C18229">
        <v>10733</v>
      </c>
      <c r="D18229" t="s">
        <v>515</v>
      </c>
      <c r="E18229" t="s">
        <v>516</v>
      </c>
      <c r="F18229">
        <v>47.37</v>
      </c>
      <c r="G18229">
        <v>230818</v>
      </c>
      <c r="H18229">
        <v>4410</v>
      </c>
      <c r="I18229" t="s">
        <v>517</v>
      </c>
      <c r="J18229">
        <v>54</v>
      </c>
      <c r="K18229">
        <v>6.63</v>
      </c>
      <c r="L18229">
        <v>13561</v>
      </c>
      <c r="M18229" t="s">
        <v>246</v>
      </c>
      <c r="N18229" t="str">
        <f>"9099246674  "</f>
        <v xml:space="preserve">9099246674  </v>
      </c>
      <c r="O18229">
        <v>230822</v>
      </c>
    </row>
    <row r="18230" spans="1:15" x14ac:dyDescent="0.25">
      <c r="A18230" t="s">
        <v>16</v>
      </c>
      <c r="B18230" t="s">
        <v>3221</v>
      </c>
      <c r="C18230">
        <v>10734</v>
      </c>
      <c r="D18230" t="s">
        <v>515</v>
      </c>
      <c r="E18230" t="s">
        <v>516</v>
      </c>
      <c r="F18230">
        <v>124.8</v>
      </c>
      <c r="G18230">
        <v>230818</v>
      </c>
      <c r="H18230">
        <v>4410</v>
      </c>
      <c r="I18230" t="s">
        <v>517</v>
      </c>
      <c r="J18230">
        <v>124.8</v>
      </c>
      <c r="K18230">
        <v>0</v>
      </c>
      <c r="L18230">
        <v>13552</v>
      </c>
      <c r="M18230" t="s">
        <v>624</v>
      </c>
      <c r="N18230" t="str">
        <f>"9099246681  "</f>
        <v xml:space="preserve">9099246681  </v>
      </c>
      <c r="O18230">
        <v>230822</v>
      </c>
    </row>
    <row r="18231" spans="1:15" x14ac:dyDescent="0.25">
      <c r="A18231" t="s">
        <v>16</v>
      </c>
      <c r="B18231" t="s">
        <v>3221</v>
      </c>
      <c r="C18231">
        <v>10767</v>
      </c>
      <c r="D18231" t="s">
        <v>515</v>
      </c>
      <c r="E18231" t="s">
        <v>516</v>
      </c>
      <c r="F18231">
        <v>28.46</v>
      </c>
      <c r="G18231">
        <v>230818</v>
      </c>
      <c r="H18231">
        <v>4410</v>
      </c>
      <c r="I18231" t="s">
        <v>517</v>
      </c>
      <c r="J18231">
        <v>32.450000000000003</v>
      </c>
      <c r="K18231">
        <v>3.99</v>
      </c>
      <c r="L18231">
        <v>13501</v>
      </c>
      <c r="M18231" t="s">
        <v>20</v>
      </c>
      <c r="N18231" t="str">
        <f>"9099246679  "</f>
        <v xml:space="preserve">9099246679  </v>
      </c>
      <c r="O18231">
        <v>230822</v>
      </c>
    </row>
    <row r="18232" spans="1:15" x14ac:dyDescent="0.25">
      <c r="A18232" t="s">
        <v>16</v>
      </c>
      <c r="B18232" t="s">
        <v>3221</v>
      </c>
      <c r="C18232">
        <v>10768</v>
      </c>
      <c r="D18232" t="s">
        <v>515</v>
      </c>
      <c r="E18232" t="s">
        <v>516</v>
      </c>
      <c r="F18232">
        <v>37.299999999999997</v>
      </c>
      <c r="G18232">
        <v>230818</v>
      </c>
      <c r="H18232">
        <v>4410</v>
      </c>
      <c r="I18232" t="s">
        <v>517</v>
      </c>
      <c r="J18232">
        <v>42.52</v>
      </c>
      <c r="K18232">
        <v>5.22</v>
      </c>
      <c r="L18232">
        <v>11908</v>
      </c>
      <c r="M18232" t="s">
        <v>598</v>
      </c>
      <c r="N18232" t="str">
        <f>"9099246680  "</f>
        <v xml:space="preserve">9099246680  </v>
      </c>
      <c r="O18232">
        <v>230822</v>
      </c>
    </row>
    <row r="18233" spans="1:15" x14ac:dyDescent="0.25">
      <c r="A18233" t="s">
        <v>16</v>
      </c>
      <c r="B18233" t="s">
        <v>3221</v>
      </c>
      <c r="C18233">
        <v>10816</v>
      </c>
      <c r="D18233" t="s">
        <v>515</v>
      </c>
      <c r="E18233" t="s">
        <v>516</v>
      </c>
      <c r="F18233">
        <v>41.4</v>
      </c>
      <c r="G18233">
        <v>230818</v>
      </c>
      <c r="H18233">
        <v>4410</v>
      </c>
      <c r="I18233" t="s">
        <v>517</v>
      </c>
      <c r="J18233">
        <v>41.4</v>
      </c>
      <c r="K18233">
        <v>0</v>
      </c>
      <c r="L18233">
        <v>17918</v>
      </c>
      <c r="M18233" t="s">
        <v>137</v>
      </c>
      <c r="N18233" t="str">
        <f>"9099246677  "</f>
        <v xml:space="preserve">9099246677  </v>
      </c>
      <c r="O18233">
        <v>230823</v>
      </c>
    </row>
    <row r="18234" spans="1:15" x14ac:dyDescent="0.25">
      <c r="A18234" t="s">
        <v>16</v>
      </c>
      <c r="B18234" t="s">
        <v>3221</v>
      </c>
      <c r="C18234">
        <v>11024</v>
      </c>
      <c r="D18234" t="s">
        <v>515</v>
      </c>
      <c r="E18234" t="s">
        <v>516</v>
      </c>
      <c r="F18234">
        <v>114</v>
      </c>
      <c r="G18234">
        <v>230818</v>
      </c>
      <c r="H18234">
        <v>4410</v>
      </c>
      <c r="I18234" t="s">
        <v>517</v>
      </c>
      <c r="J18234">
        <v>114</v>
      </c>
      <c r="K18234">
        <v>0</v>
      </c>
      <c r="L18234">
        <v>17918</v>
      </c>
      <c r="M18234" t="s">
        <v>137</v>
      </c>
      <c r="N18234" t="str">
        <f>"9099246675  "</f>
        <v xml:space="preserve">9099246675  </v>
      </c>
      <c r="O18234">
        <v>230828</v>
      </c>
    </row>
    <row r="18235" spans="1:15" x14ac:dyDescent="0.25">
      <c r="A18235" t="s">
        <v>16</v>
      </c>
      <c r="B18235" t="s">
        <v>3221</v>
      </c>
      <c r="C18235">
        <v>11524</v>
      </c>
      <c r="D18235" t="s">
        <v>515</v>
      </c>
      <c r="E18235" t="s">
        <v>516</v>
      </c>
      <c r="F18235">
        <v>414.18</v>
      </c>
      <c r="G18235">
        <v>230905</v>
      </c>
      <c r="H18235">
        <v>4410</v>
      </c>
      <c r="I18235" t="s">
        <v>517</v>
      </c>
      <c r="J18235">
        <v>472.17</v>
      </c>
      <c r="K18235">
        <v>57.99</v>
      </c>
      <c r="L18235">
        <v>13561</v>
      </c>
      <c r="M18235" t="s">
        <v>246</v>
      </c>
      <c r="N18235" t="str">
        <f>"9099247306  "</f>
        <v xml:space="preserve">9099247306  </v>
      </c>
      <c r="O18235">
        <v>230907</v>
      </c>
    </row>
    <row r="18236" spans="1:15" x14ac:dyDescent="0.25">
      <c r="A18236" t="s">
        <v>16</v>
      </c>
      <c r="B18236" t="s">
        <v>3221</v>
      </c>
      <c r="C18236">
        <v>11524</v>
      </c>
      <c r="D18236" t="s">
        <v>515</v>
      </c>
      <c r="E18236" t="s">
        <v>516</v>
      </c>
      <c r="F18236">
        <v>828.36</v>
      </c>
      <c r="G18236">
        <v>230905</v>
      </c>
      <c r="H18236">
        <v>4410</v>
      </c>
      <c r="I18236" t="s">
        <v>517</v>
      </c>
      <c r="J18236">
        <v>944.33</v>
      </c>
      <c r="K18236">
        <v>115.97</v>
      </c>
      <c r="L18236">
        <v>17971</v>
      </c>
      <c r="M18236" t="s">
        <v>138</v>
      </c>
      <c r="N18236" t="str">
        <f>"9099247306  "</f>
        <v xml:space="preserve">9099247306  </v>
      </c>
      <c r="O18236">
        <v>230907</v>
      </c>
    </row>
    <row r="18237" spans="1:15" x14ac:dyDescent="0.25">
      <c r="A18237" t="s">
        <v>16</v>
      </c>
      <c r="B18237" t="s">
        <v>3221</v>
      </c>
      <c r="C18237">
        <v>11525</v>
      </c>
      <c r="D18237" t="s">
        <v>515</v>
      </c>
      <c r="E18237" t="s">
        <v>516</v>
      </c>
      <c r="F18237">
        <v>165</v>
      </c>
      <c r="G18237">
        <v>230905</v>
      </c>
      <c r="H18237">
        <v>4410</v>
      </c>
      <c r="I18237" t="s">
        <v>517</v>
      </c>
      <c r="J18237">
        <v>165</v>
      </c>
      <c r="K18237">
        <v>0</v>
      </c>
      <c r="L18237">
        <v>13552</v>
      </c>
      <c r="M18237" t="s">
        <v>624</v>
      </c>
      <c r="N18237" t="str">
        <f>"9099247309  "</f>
        <v xml:space="preserve">9099247309  </v>
      </c>
      <c r="O18237">
        <v>230907</v>
      </c>
    </row>
    <row r="18238" spans="1:15" x14ac:dyDescent="0.25">
      <c r="A18238" t="s">
        <v>16</v>
      </c>
      <c r="B18238" t="s">
        <v>3221</v>
      </c>
      <c r="C18238">
        <v>11528</v>
      </c>
      <c r="D18238" t="s">
        <v>515</v>
      </c>
      <c r="E18238" t="s">
        <v>516</v>
      </c>
      <c r="F18238">
        <v>4650</v>
      </c>
      <c r="G18238">
        <v>230905</v>
      </c>
      <c r="H18238">
        <v>4410</v>
      </c>
      <c r="I18238" t="s">
        <v>517</v>
      </c>
      <c r="J18238">
        <v>4650</v>
      </c>
      <c r="K18238">
        <v>0</v>
      </c>
      <c r="L18238">
        <v>13552</v>
      </c>
      <c r="M18238" t="s">
        <v>624</v>
      </c>
      <c r="N18238" t="str">
        <f>"9099247308  "</f>
        <v xml:space="preserve">9099247308  </v>
      </c>
      <c r="O18238">
        <v>230907</v>
      </c>
    </row>
    <row r="18239" spans="1:15" x14ac:dyDescent="0.25">
      <c r="A18239" t="s">
        <v>16</v>
      </c>
      <c r="B18239" t="s">
        <v>3221</v>
      </c>
      <c r="C18239">
        <v>11529</v>
      </c>
      <c r="D18239" t="s">
        <v>515</v>
      </c>
      <c r="E18239" t="s">
        <v>516</v>
      </c>
      <c r="F18239">
        <v>18020</v>
      </c>
      <c r="G18239">
        <v>230905</v>
      </c>
      <c r="H18239">
        <v>4410</v>
      </c>
      <c r="I18239" t="s">
        <v>517</v>
      </c>
      <c r="J18239">
        <v>18020</v>
      </c>
      <c r="K18239">
        <v>0</v>
      </c>
      <c r="L18239">
        <v>17918</v>
      </c>
      <c r="M18239" t="s">
        <v>137</v>
      </c>
      <c r="N18239" t="str">
        <f>"9099247307  "</f>
        <v xml:space="preserve">9099247307  </v>
      </c>
      <c r="O18239">
        <v>230907</v>
      </c>
    </row>
    <row r="18240" spans="1:15" x14ac:dyDescent="0.25">
      <c r="A18240" t="s">
        <v>16</v>
      </c>
      <c r="B18240" t="s">
        <v>3221</v>
      </c>
      <c r="C18240">
        <v>11530</v>
      </c>
      <c r="D18240" t="s">
        <v>515</v>
      </c>
      <c r="E18240" t="s">
        <v>516</v>
      </c>
      <c r="F18240">
        <v>51.05</v>
      </c>
      <c r="G18240">
        <v>230905</v>
      </c>
      <c r="H18240">
        <v>4410</v>
      </c>
      <c r="I18240" t="s">
        <v>517</v>
      </c>
      <c r="J18240">
        <v>58.2</v>
      </c>
      <c r="K18240">
        <v>7.15</v>
      </c>
      <c r="L18240">
        <v>16121</v>
      </c>
      <c r="M18240" t="s">
        <v>21</v>
      </c>
      <c r="N18240" t="str">
        <f>"9099247299  "</f>
        <v xml:space="preserve">9099247299  </v>
      </c>
      <c r="O18240">
        <v>230907</v>
      </c>
    </row>
    <row r="18241" spans="1:15" x14ac:dyDescent="0.25">
      <c r="A18241" t="s">
        <v>16</v>
      </c>
      <c r="B18241" t="s">
        <v>3221</v>
      </c>
      <c r="C18241">
        <v>11530</v>
      </c>
      <c r="D18241" t="s">
        <v>515</v>
      </c>
      <c r="E18241" t="s">
        <v>516</v>
      </c>
      <c r="F18241">
        <v>15.44</v>
      </c>
      <c r="G18241">
        <v>230905</v>
      </c>
      <c r="H18241">
        <v>4410</v>
      </c>
      <c r="I18241" t="s">
        <v>517</v>
      </c>
      <c r="J18241">
        <v>17.600000000000001</v>
      </c>
      <c r="K18241">
        <v>2.16</v>
      </c>
      <c r="L18241">
        <v>16322</v>
      </c>
      <c r="M18241" t="s">
        <v>22</v>
      </c>
      <c r="N18241" t="str">
        <f>"9099247299  "</f>
        <v xml:space="preserve">9099247299  </v>
      </c>
      <c r="O18241">
        <v>230907</v>
      </c>
    </row>
    <row r="18242" spans="1:15" x14ac:dyDescent="0.25">
      <c r="A18242" t="s">
        <v>16</v>
      </c>
      <c r="B18242" t="s">
        <v>3221</v>
      </c>
      <c r="C18242">
        <v>11530</v>
      </c>
      <c r="D18242" t="s">
        <v>515</v>
      </c>
      <c r="E18242" t="s">
        <v>516</v>
      </c>
      <c r="F18242">
        <v>13.31</v>
      </c>
      <c r="G18242">
        <v>230905</v>
      </c>
      <c r="H18242">
        <v>4410</v>
      </c>
      <c r="I18242" t="s">
        <v>517</v>
      </c>
      <c r="J18242">
        <v>15.17</v>
      </c>
      <c r="K18242">
        <v>1.86</v>
      </c>
      <c r="L18242">
        <v>16820</v>
      </c>
      <c r="M18242" t="s">
        <v>23</v>
      </c>
      <c r="N18242" t="str">
        <f>"9099247299  "</f>
        <v xml:space="preserve">9099247299  </v>
      </c>
      <c r="O18242">
        <v>230907</v>
      </c>
    </row>
    <row r="18243" spans="1:15" x14ac:dyDescent="0.25">
      <c r="A18243" t="s">
        <v>16</v>
      </c>
      <c r="B18243" t="s">
        <v>3221</v>
      </c>
      <c r="C18243">
        <v>11530</v>
      </c>
      <c r="D18243" t="s">
        <v>515</v>
      </c>
      <c r="E18243" t="s">
        <v>516</v>
      </c>
      <c r="F18243">
        <v>6.87</v>
      </c>
      <c r="G18243">
        <v>230905</v>
      </c>
      <c r="H18243">
        <v>4410</v>
      </c>
      <c r="I18243" t="s">
        <v>517</v>
      </c>
      <c r="J18243">
        <v>7.83</v>
      </c>
      <c r="K18243">
        <v>0.96</v>
      </c>
      <c r="L18243">
        <v>17862</v>
      </c>
      <c r="M18243" t="s">
        <v>319</v>
      </c>
      <c r="N18243" t="str">
        <f>"9099247299  "</f>
        <v xml:space="preserve">9099247299  </v>
      </c>
      <c r="O18243">
        <v>230907</v>
      </c>
    </row>
    <row r="18244" spans="1:15" x14ac:dyDescent="0.25">
      <c r="A18244" t="s">
        <v>16</v>
      </c>
      <c r="B18244" t="s">
        <v>3221</v>
      </c>
      <c r="C18244">
        <v>11534</v>
      </c>
      <c r="D18244" t="s">
        <v>515</v>
      </c>
      <c r="E18244" t="s">
        <v>516</v>
      </c>
      <c r="F18244">
        <v>35</v>
      </c>
      <c r="G18244">
        <v>230905</v>
      </c>
      <c r="H18244">
        <v>4410</v>
      </c>
      <c r="I18244" t="s">
        <v>517</v>
      </c>
      <c r="J18244">
        <v>35</v>
      </c>
      <c r="K18244">
        <v>0</v>
      </c>
      <c r="L18244">
        <v>17918</v>
      </c>
      <c r="M18244" t="s">
        <v>137</v>
      </c>
      <c r="N18244" t="str">
        <f>"9099247303  "</f>
        <v xml:space="preserve">9099247303  </v>
      </c>
      <c r="O18244">
        <v>230907</v>
      </c>
    </row>
    <row r="18245" spans="1:15" x14ac:dyDescent="0.25">
      <c r="A18245" t="s">
        <v>16</v>
      </c>
      <c r="B18245" t="s">
        <v>3221</v>
      </c>
      <c r="C18245">
        <v>11576</v>
      </c>
      <c r="D18245" t="s">
        <v>515</v>
      </c>
      <c r="E18245" t="s">
        <v>516</v>
      </c>
      <c r="F18245">
        <v>855</v>
      </c>
      <c r="G18245">
        <v>230905</v>
      </c>
      <c r="H18245">
        <v>4410</v>
      </c>
      <c r="I18245" t="s">
        <v>517</v>
      </c>
      <c r="J18245">
        <v>855</v>
      </c>
      <c r="K18245">
        <v>0</v>
      </c>
      <c r="L18245">
        <v>17972</v>
      </c>
      <c r="M18245" t="s">
        <v>248</v>
      </c>
      <c r="N18245" t="str">
        <f>"9099247298  "</f>
        <v xml:space="preserve">9099247298  </v>
      </c>
      <c r="O18245">
        <v>230907</v>
      </c>
    </row>
    <row r="18246" spans="1:15" x14ac:dyDescent="0.25">
      <c r="A18246" t="s">
        <v>16</v>
      </c>
      <c r="B18246" t="s">
        <v>3221</v>
      </c>
      <c r="C18246">
        <v>11685</v>
      </c>
      <c r="D18246" t="s">
        <v>515</v>
      </c>
      <c r="E18246" t="s">
        <v>516</v>
      </c>
      <c r="F18246">
        <v>84.21</v>
      </c>
      <c r="G18246">
        <v>230905</v>
      </c>
      <c r="H18246">
        <v>4410</v>
      </c>
      <c r="I18246" t="s">
        <v>517</v>
      </c>
      <c r="J18246">
        <v>96</v>
      </c>
      <c r="K18246">
        <v>11.79</v>
      </c>
      <c r="L18246">
        <v>17524</v>
      </c>
      <c r="M18246" t="s">
        <v>452</v>
      </c>
      <c r="N18246" t="str">
        <f>"9099247300  "</f>
        <v xml:space="preserve">9099247300  </v>
      </c>
      <c r="O18246">
        <v>230908</v>
      </c>
    </row>
    <row r="18247" spans="1:15" x14ac:dyDescent="0.25">
      <c r="A18247" t="s">
        <v>16</v>
      </c>
      <c r="B18247" t="s">
        <v>3221</v>
      </c>
      <c r="C18247">
        <v>11686</v>
      </c>
      <c r="D18247" t="s">
        <v>515</v>
      </c>
      <c r="E18247" t="s">
        <v>516</v>
      </c>
      <c r="F18247">
        <v>60</v>
      </c>
      <c r="G18247">
        <v>230905</v>
      </c>
      <c r="H18247">
        <v>4410</v>
      </c>
      <c r="I18247" t="s">
        <v>517</v>
      </c>
      <c r="J18247">
        <v>60</v>
      </c>
      <c r="K18247">
        <v>0</v>
      </c>
      <c r="L18247">
        <v>17918</v>
      </c>
      <c r="M18247" t="s">
        <v>137</v>
      </c>
      <c r="N18247" t="str">
        <f>"9099247302  "</f>
        <v xml:space="preserve">9099247302  </v>
      </c>
      <c r="O18247">
        <v>230908</v>
      </c>
    </row>
    <row r="18248" spans="1:15" x14ac:dyDescent="0.25">
      <c r="A18248" t="s">
        <v>16</v>
      </c>
      <c r="B18248" t="s">
        <v>3221</v>
      </c>
      <c r="C18248">
        <v>11687</v>
      </c>
      <c r="D18248" t="s">
        <v>515</v>
      </c>
      <c r="E18248" t="s">
        <v>516</v>
      </c>
      <c r="F18248">
        <v>95</v>
      </c>
      <c r="G18248">
        <v>230905</v>
      </c>
      <c r="H18248">
        <v>4410</v>
      </c>
      <c r="I18248" t="s">
        <v>517</v>
      </c>
      <c r="J18248">
        <v>95</v>
      </c>
      <c r="K18248">
        <v>0</v>
      </c>
      <c r="L18248">
        <v>17918</v>
      </c>
      <c r="M18248" t="s">
        <v>137</v>
      </c>
      <c r="N18248" t="str">
        <f>"9099247301  "</f>
        <v xml:space="preserve">9099247301  </v>
      </c>
      <c r="O18248">
        <v>230908</v>
      </c>
    </row>
    <row r="18249" spans="1:15" x14ac:dyDescent="0.25">
      <c r="A18249" t="s">
        <v>16</v>
      </c>
      <c r="B18249" t="s">
        <v>3221</v>
      </c>
      <c r="C18249">
        <v>12040</v>
      </c>
      <c r="D18249" t="s">
        <v>515</v>
      </c>
      <c r="E18249" t="s">
        <v>516</v>
      </c>
      <c r="F18249">
        <v>50.11</v>
      </c>
      <c r="G18249">
        <v>230905</v>
      </c>
      <c r="H18249">
        <v>4410</v>
      </c>
      <c r="I18249" t="s">
        <v>517</v>
      </c>
      <c r="J18249">
        <v>57.12</v>
      </c>
      <c r="K18249">
        <v>7.01</v>
      </c>
      <c r="L18249">
        <v>13561</v>
      </c>
      <c r="M18249" t="s">
        <v>246</v>
      </c>
      <c r="N18249" t="str">
        <f t="shared" ref="N18249:N18255" si="249">"9099247305  "</f>
        <v xml:space="preserve">9099247305  </v>
      </c>
      <c r="O18249">
        <v>230913</v>
      </c>
    </row>
    <row r="18250" spans="1:15" x14ac:dyDescent="0.25">
      <c r="A18250" t="s">
        <v>16</v>
      </c>
      <c r="B18250" t="s">
        <v>3221</v>
      </c>
      <c r="C18250">
        <v>12040</v>
      </c>
      <c r="D18250" t="s">
        <v>515</v>
      </c>
      <c r="E18250" t="s">
        <v>516</v>
      </c>
      <c r="F18250">
        <v>73.790000000000006</v>
      </c>
      <c r="G18250">
        <v>230905</v>
      </c>
      <c r="H18250">
        <v>4410</v>
      </c>
      <c r="I18250" t="s">
        <v>517</v>
      </c>
      <c r="J18250">
        <v>84.12</v>
      </c>
      <c r="K18250">
        <v>10.33</v>
      </c>
      <c r="L18250">
        <v>16121</v>
      </c>
      <c r="M18250" t="s">
        <v>21</v>
      </c>
      <c r="N18250" t="str">
        <f t="shared" si="249"/>
        <v xml:space="preserve">9099247305  </v>
      </c>
      <c r="O18250">
        <v>230913</v>
      </c>
    </row>
    <row r="18251" spans="1:15" x14ac:dyDescent="0.25">
      <c r="A18251" t="s">
        <v>16</v>
      </c>
      <c r="B18251" t="s">
        <v>3221</v>
      </c>
      <c r="C18251">
        <v>12040</v>
      </c>
      <c r="D18251" t="s">
        <v>515</v>
      </c>
      <c r="E18251" t="s">
        <v>516</v>
      </c>
      <c r="F18251">
        <v>22.33</v>
      </c>
      <c r="G18251">
        <v>230905</v>
      </c>
      <c r="H18251">
        <v>4410</v>
      </c>
      <c r="I18251" t="s">
        <v>517</v>
      </c>
      <c r="J18251">
        <v>25.46</v>
      </c>
      <c r="K18251">
        <v>3.13</v>
      </c>
      <c r="L18251">
        <v>16322</v>
      </c>
      <c r="M18251" t="s">
        <v>22</v>
      </c>
      <c r="N18251" t="str">
        <f t="shared" si="249"/>
        <v xml:space="preserve">9099247305  </v>
      </c>
      <c r="O18251">
        <v>230913</v>
      </c>
    </row>
    <row r="18252" spans="1:15" x14ac:dyDescent="0.25">
      <c r="A18252" t="s">
        <v>16</v>
      </c>
      <c r="B18252" t="s">
        <v>3221</v>
      </c>
      <c r="C18252">
        <v>12040</v>
      </c>
      <c r="D18252" t="s">
        <v>515</v>
      </c>
      <c r="E18252" t="s">
        <v>516</v>
      </c>
      <c r="F18252">
        <v>19.239999999999998</v>
      </c>
      <c r="G18252">
        <v>230905</v>
      </c>
      <c r="H18252">
        <v>4410</v>
      </c>
      <c r="I18252" t="s">
        <v>517</v>
      </c>
      <c r="J18252">
        <v>21.93</v>
      </c>
      <c r="K18252">
        <v>2.69</v>
      </c>
      <c r="L18252">
        <v>16820</v>
      </c>
      <c r="M18252" t="s">
        <v>23</v>
      </c>
      <c r="N18252" t="str">
        <f t="shared" si="249"/>
        <v xml:space="preserve">9099247305  </v>
      </c>
      <c r="O18252">
        <v>230913</v>
      </c>
    </row>
    <row r="18253" spans="1:15" x14ac:dyDescent="0.25">
      <c r="A18253" t="s">
        <v>16</v>
      </c>
      <c r="B18253" t="s">
        <v>3221</v>
      </c>
      <c r="C18253">
        <v>12040</v>
      </c>
      <c r="D18253" t="s">
        <v>515</v>
      </c>
      <c r="E18253" t="s">
        <v>516</v>
      </c>
      <c r="F18253">
        <v>6.75</v>
      </c>
      <c r="G18253">
        <v>230905</v>
      </c>
      <c r="H18253">
        <v>4410</v>
      </c>
      <c r="I18253" t="s">
        <v>517</v>
      </c>
      <c r="J18253">
        <v>7.7</v>
      </c>
      <c r="K18253">
        <v>0.95</v>
      </c>
      <c r="L18253">
        <v>17538</v>
      </c>
      <c r="M18253" t="s">
        <v>24</v>
      </c>
      <c r="N18253" t="str">
        <f t="shared" si="249"/>
        <v xml:space="preserve">9099247305  </v>
      </c>
      <c r="O18253">
        <v>230913</v>
      </c>
    </row>
    <row r="18254" spans="1:15" x14ac:dyDescent="0.25">
      <c r="A18254" t="s">
        <v>16</v>
      </c>
      <c r="B18254" t="s">
        <v>3221</v>
      </c>
      <c r="C18254">
        <v>12040</v>
      </c>
      <c r="D18254" t="s">
        <v>515</v>
      </c>
      <c r="E18254" t="s">
        <v>516</v>
      </c>
      <c r="F18254">
        <v>125.28</v>
      </c>
      <c r="G18254">
        <v>230905</v>
      </c>
      <c r="H18254">
        <v>4410</v>
      </c>
      <c r="I18254" t="s">
        <v>517</v>
      </c>
      <c r="J18254">
        <v>142.82</v>
      </c>
      <c r="K18254">
        <v>17.54</v>
      </c>
      <c r="L18254">
        <v>17538</v>
      </c>
      <c r="M18254" t="s">
        <v>24</v>
      </c>
      <c r="N18254" t="str">
        <f t="shared" si="249"/>
        <v xml:space="preserve">9099247305  </v>
      </c>
      <c r="O18254">
        <v>230913</v>
      </c>
    </row>
    <row r="18255" spans="1:15" x14ac:dyDescent="0.25">
      <c r="A18255" t="s">
        <v>16</v>
      </c>
      <c r="B18255" t="s">
        <v>3221</v>
      </c>
      <c r="C18255">
        <v>12040</v>
      </c>
      <c r="D18255" t="s">
        <v>515</v>
      </c>
      <c r="E18255" t="s">
        <v>516</v>
      </c>
      <c r="F18255">
        <v>9.92</v>
      </c>
      <c r="G18255">
        <v>230905</v>
      </c>
      <c r="H18255">
        <v>4410</v>
      </c>
      <c r="I18255" t="s">
        <v>517</v>
      </c>
      <c r="J18255">
        <v>11.31</v>
      </c>
      <c r="K18255">
        <v>1.39</v>
      </c>
      <c r="L18255">
        <v>17862</v>
      </c>
      <c r="M18255" t="s">
        <v>319</v>
      </c>
      <c r="N18255" t="str">
        <f t="shared" si="249"/>
        <v xml:space="preserve">9099247305  </v>
      </c>
      <c r="O18255">
        <v>230913</v>
      </c>
    </row>
    <row r="18256" spans="1:15" x14ac:dyDescent="0.25">
      <c r="A18256" t="s">
        <v>16</v>
      </c>
      <c r="B18256" t="s">
        <v>3221</v>
      </c>
      <c r="C18256">
        <v>12045</v>
      </c>
      <c r="D18256" t="s">
        <v>515</v>
      </c>
      <c r="E18256" t="s">
        <v>516</v>
      </c>
      <c r="F18256">
        <v>115</v>
      </c>
      <c r="G18256">
        <v>230905</v>
      </c>
      <c r="H18256">
        <v>4410</v>
      </c>
      <c r="I18256" t="s">
        <v>517</v>
      </c>
      <c r="J18256">
        <v>115</v>
      </c>
      <c r="K18256">
        <v>0</v>
      </c>
      <c r="L18256">
        <v>17913</v>
      </c>
      <c r="M18256" t="s">
        <v>431</v>
      </c>
      <c r="N18256" t="str">
        <f>"9099247304  "</f>
        <v xml:space="preserve">9099247304  </v>
      </c>
      <c r="O18256">
        <v>230913</v>
      </c>
    </row>
    <row r="18257" spans="1:15" x14ac:dyDescent="0.25">
      <c r="A18257" t="s">
        <v>16</v>
      </c>
      <c r="B18257" t="s">
        <v>3221</v>
      </c>
      <c r="C18257">
        <v>12618</v>
      </c>
      <c r="D18257" t="s">
        <v>515</v>
      </c>
      <c r="E18257" t="s">
        <v>516</v>
      </c>
      <c r="F18257">
        <v>117.19</v>
      </c>
      <c r="G18257">
        <v>230920</v>
      </c>
      <c r="H18257">
        <v>4410</v>
      </c>
      <c r="I18257" t="s">
        <v>517</v>
      </c>
      <c r="J18257">
        <v>133.6</v>
      </c>
      <c r="K18257">
        <v>16.41</v>
      </c>
      <c r="L18257">
        <v>11605</v>
      </c>
      <c r="M18257" t="s">
        <v>106</v>
      </c>
      <c r="N18257" t="str">
        <f>"9099249405  "</f>
        <v xml:space="preserve">9099249405  </v>
      </c>
      <c r="O18257">
        <v>230922</v>
      </c>
    </row>
    <row r="18258" spans="1:15" x14ac:dyDescent="0.25">
      <c r="A18258" t="s">
        <v>16</v>
      </c>
      <c r="B18258" t="s">
        <v>3221</v>
      </c>
      <c r="C18258">
        <v>12687</v>
      </c>
      <c r="D18258" t="s">
        <v>515</v>
      </c>
      <c r="E18258" t="s">
        <v>516</v>
      </c>
      <c r="F18258">
        <v>80</v>
      </c>
      <c r="G18258">
        <v>230920</v>
      </c>
      <c r="H18258">
        <v>4410</v>
      </c>
      <c r="I18258" t="s">
        <v>517</v>
      </c>
      <c r="J18258">
        <v>80</v>
      </c>
      <c r="K18258">
        <v>0</v>
      </c>
      <c r="L18258">
        <v>17523</v>
      </c>
      <c r="M18258" t="s">
        <v>134</v>
      </c>
      <c r="N18258" t="str">
        <f>"9099249407  "</f>
        <v xml:space="preserve">9099249407  </v>
      </c>
      <c r="O18258">
        <v>230925</v>
      </c>
    </row>
    <row r="18259" spans="1:15" x14ac:dyDescent="0.25">
      <c r="A18259" t="s">
        <v>16</v>
      </c>
      <c r="B18259" t="s">
        <v>3221</v>
      </c>
      <c r="C18259">
        <v>12688</v>
      </c>
      <c r="D18259" t="s">
        <v>515</v>
      </c>
      <c r="E18259" t="s">
        <v>516</v>
      </c>
      <c r="F18259">
        <v>235.54</v>
      </c>
      <c r="G18259">
        <v>230920</v>
      </c>
      <c r="H18259">
        <v>4410</v>
      </c>
      <c r="I18259" t="s">
        <v>517</v>
      </c>
      <c r="J18259">
        <v>268.52</v>
      </c>
      <c r="K18259">
        <v>32.979999999999997</v>
      </c>
      <c r="L18259">
        <v>18972</v>
      </c>
      <c r="M18259" t="s">
        <v>163</v>
      </c>
      <c r="N18259" t="str">
        <f>"9099249412  "</f>
        <v xml:space="preserve">9099249412  </v>
      </c>
      <c r="O18259">
        <v>230925</v>
      </c>
    </row>
    <row r="18260" spans="1:15" x14ac:dyDescent="0.25">
      <c r="A18260" t="s">
        <v>16</v>
      </c>
      <c r="B18260" t="s">
        <v>3221</v>
      </c>
      <c r="C18260">
        <v>12733</v>
      </c>
      <c r="D18260" t="s">
        <v>515</v>
      </c>
      <c r="E18260" t="s">
        <v>516</v>
      </c>
      <c r="F18260">
        <v>978.95</v>
      </c>
      <c r="G18260">
        <v>230920</v>
      </c>
      <c r="H18260">
        <v>4410</v>
      </c>
      <c r="I18260" t="s">
        <v>517</v>
      </c>
      <c r="J18260">
        <v>1116</v>
      </c>
      <c r="K18260">
        <v>137.05000000000001</v>
      </c>
      <c r="L18260">
        <v>17538</v>
      </c>
      <c r="M18260" t="s">
        <v>24</v>
      </c>
      <c r="N18260" t="str">
        <f>"9099249411  "</f>
        <v xml:space="preserve">9099249411  </v>
      </c>
      <c r="O18260">
        <v>230925</v>
      </c>
    </row>
    <row r="18261" spans="1:15" x14ac:dyDescent="0.25">
      <c r="A18261" t="s">
        <v>16</v>
      </c>
      <c r="B18261" t="s">
        <v>3221</v>
      </c>
      <c r="C18261">
        <v>12750</v>
      </c>
      <c r="D18261" t="s">
        <v>515</v>
      </c>
      <c r="E18261" t="s">
        <v>516</v>
      </c>
      <c r="F18261">
        <v>245.3</v>
      </c>
      <c r="G18261">
        <v>230920</v>
      </c>
      <c r="H18261">
        <v>4410</v>
      </c>
      <c r="I18261" t="s">
        <v>517</v>
      </c>
      <c r="J18261">
        <v>279.64</v>
      </c>
      <c r="K18261">
        <v>34.340000000000003</v>
      </c>
      <c r="L18261">
        <v>11908</v>
      </c>
      <c r="M18261" t="s">
        <v>598</v>
      </c>
      <c r="N18261" t="str">
        <f>"9099249406  "</f>
        <v xml:space="preserve">9099249406  </v>
      </c>
      <c r="O18261">
        <v>230925</v>
      </c>
    </row>
    <row r="18262" spans="1:15" x14ac:dyDescent="0.25">
      <c r="A18262" t="s">
        <v>16</v>
      </c>
      <c r="B18262" t="s">
        <v>3221</v>
      </c>
      <c r="C18262">
        <v>12766</v>
      </c>
      <c r="D18262" t="s">
        <v>515</v>
      </c>
      <c r="E18262" t="s">
        <v>516</v>
      </c>
      <c r="F18262">
        <v>39.47</v>
      </c>
      <c r="G18262">
        <v>230920</v>
      </c>
      <c r="H18262">
        <v>4410</v>
      </c>
      <c r="I18262" t="s">
        <v>517</v>
      </c>
      <c r="J18262">
        <v>45</v>
      </c>
      <c r="K18262">
        <v>5.53</v>
      </c>
      <c r="L18262">
        <v>11908</v>
      </c>
      <c r="M18262" t="s">
        <v>598</v>
      </c>
      <c r="N18262" t="str">
        <f>"9099249410  "</f>
        <v xml:space="preserve">9099249410  </v>
      </c>
      <c r="O18262">
        <v>230926</v>
      </c>
    </row>
    <row r="18263" spans="1:15" x14ac:dyDescent="0.25">
      <c r="A18263" t="s">
        <v>16</v>
      </c>
      <c r="B18263" t="s">
        <v>3221</v>
      </c>
      <c r="C18263">
        <v>13117</v>
      </c>
      <c r="D18263" t="s">
        <v>515</v>
      </c>
      <c r="E18263" t="s">
        <v>516</v>
      </c>
      <c r="F18263">
        <v>117.19</v>
      </c>
      <c r="G18263">
        <v>230920</v>
      </c>
      <c r="H18263">
        <v>4410</v>
      </c>
      <c r="I18263" t="s">
        <v>517</v>
      </c>
      <c r="J18263">
        <v>133.6</v>
      </c>
      <c r="K18263">
        <v>16.41</v>
      </c>
      <c r="L18263">
        <v>17538</v>
      </c>
      <c r="M18263" t="s">
        <v>24</v>
      </c>
      <c r="N18263" t="str">
        <f>"9099249408  "</f>
        <v xml:space="preserve">9099249408  </v>
      </c>
      <c r="O18263">
        <v>231004</v>
      </c>
    </row>
    <row r="18264" spans="1:15" x14ac:dyDescent="0.25">
      <c r="A18264" t="s">
        <v>16</v>
      </c>
      <c r="B18264" t="s">
        <v>3221</v>
      </c>
      <c r="C18264">
        <v>13118</v>
      </c>
      <c r="D18264" t="s">
        <v>515</v>
      </c>
      <c r="E18264" t="s">
        <v>516</v>
      </c>
      <c r="F18264">
        <v>295</v>
      </c>
      <c r="G18264">
        <v>230920</v>
      </c>
      <c r="H18264">
        <v>4410</v>
      </c>
      <c r="I18264" t="s">
        <v>517</v>
      </c>
      <c r="J18264">
        <v>295</v>
      </c>
      <c r="K18264">
        <v>0</v>
      </c>
      <c r="L18264">
        <v>17918</v>
      </c>
      <c r="M18264" t="s">
        <v>137</v>
      </c>
      <c r="N18264" t="str">
        <f>"9099249409  "</f>
        <v xml:space="preserve">9099249409  </v>
      </c>
      <c r="O18264">
        <v>231004</v>
      </c>
    </row>
    <row r="18265" spans="1:15" x14ac:dyDescent="0.25">
      <c r="A18265" t="s">
        <v>16</v>
      </c>
      <c r="B18265" t="s">
        <v>3221</v>
      </c>
      <c r="C18265">
        <v>13241</v>
      </c>
      <c r="D18265" t="s">
        <v>515</v>
      </c>
      <c r="E18265" t="s">
        <v>516</v>
      </c>
      <c r="F18265">
        <v>4050</v>
      </c>
      <c r="G18265">
        <v>231004</v>
      </c>
      <c r="H18265">
        <v>4410</v>
      </c>
      <c r="I18265" t="s">
        <v>517</v>
      </c>
      <c r="J18265">
        <v>4050</v>
      </c>
      <c r="K18265">
        <v>0</v>
      </c>
      <c r="L18265">
        <v>13552</v>
      </c>
      <c r="M18265" t="s">
        <v>624</v>
      </c>
      <c r="N18265" t="str">
        <f>"9099250324  "</f>
        <v xml:space="preserve">9099250324  </v>
      </c>
      <c r="O18265">
        <v>231006</v>
      </c>
    </row>
    <row r="18266" spans="1:15" x14ac:dyDescent="0.25">
      <c r="A18266" t="s">
        <v>16</v>
      </c>
      <c r="B18266" t="s">
        <v>3221</v>
      </c>
      <c r="C18266">
        <v>13313</v>
      </c>
      <c r="D18266" t="s">
        <v>515</v>
      </c>
      <c r="E18266" t="s">
        <v>516</v>
      </c>
      <c r="F18266">
        <v>22.79</v>
      </c>
      <c r="G18266">
        <v>231004</v>
      </c>
      <c r="H18266">
        <v>4410</v>
      </c>
      <c r="I18266" t="s">
        <v>517</v>
      </c>
      <c r="J18266">
        <v>25.98</v>
      </c>
      <c r="K18266">
        <v>3.19</v>
      </c>
      <c r="L18266">
        <v>13401</v>
      </c>
      <c r="M18266" t="s">
        <v>80</v>
      </c>
      <c r="N18266" t="str">
        <f>"9099250318  "</f>
        <v xml:space="preserve">9099250318  </v>
      </c>
      <c r="O18266">
        <v>231009</v>
      </c>
    </row>
    <row r="18267" spans="1:15" x14ac:dyDescent="0.25">
      <c r="A18267" t="s">
        <v>16</v>
      </c>
      <c r="B18267" t="s">
        <v>3221</v>
      </c>
      <c r="C18267">
        <v>13313</v>
      </c>
      <c r="D18267" t="s">
        <v>515</v>
      </c>
      <c r="E18267" t="s">
        <v>516</v>
      </c>
      <c r="F18267">
        <v>21.93</v>
      </c>
      <c r="G18267">
        <v>231004</v>
      </c>
      <c r="H18267">
        <v>4410</v>
      </c>
      <c r="I18267" t="s">
        <v>517</v>
      </c>
      <c r="J18267">
        <v>25</v>
      </c>
      <c r="K18267">
        <v>3.07</v>
      </c>
      <c r="L18267">
        <v>13501</v>
      </c>
      <c r="M18267" t="s">
        <v>20</v>
      </c>
      <c r="N18267" t="str">
        <f>"9099250318  "</f>
        <v xml:space="preserve">9099250318  </v>
      </c>
      <c r="O18267">
        <v>231009</v>
      </c>
    </row>
    <row r="18268" spans="1:15" x14ac:dyDescent="0.25">
      <c r="A18268" t="s">
        <v>16</v>
      </c>
      <c r="B18268" t="s">
        <v>3221</v>
      </c>
      <c r="C18268">
        <v>13346</v>
      </c>
      <c r="D18268" t="s">
        <v>515</v>
      </c>
      <c r="E18268" t="s">
        <v>516</v>
      </c>
      <c r="F18268">
        <v>5.7</v>
      </c>
      <c r="G18268">
        <v>231004</v>
      </c>
      <c r="H18268">
        <v>4410</v>
      </c>
      <c r="I18268" t="s">
        <v>517</v>
      </c>
      <c r="J18268">
        <v>6.5</v>
      </c>
      <c r="K18268">
        <v>0.8</v>
      </c>
      <c r="L18268">
        <v>17972</v>
      </c>
      <c r="M18268" t="s">
        <v>248</v>
      </c>
      <c r="N18268" t="str">
        <f>"9099250323  "</f>
        <v xml:space="preserve">9099250323  </v>
      </c>
      <c r="O18268">
        <v>231009</v>
      </c>
    </row>
    <row r="18269" spans="1:15" x14ac:dyDescent="0.25">
      <c r="A18269" t="s">
        <v>16</v>
      </c>
      <c r="B18269" t="s">
        <v>3221</v>
      </c>
      <c r="C18269">
        <v>13417</v>
      </c>
      <c r="D18269" t="s">
        <v>515</v>
      </c>
      <c r="E18269" t="s">
        <v>516</v>
      </c>
      <c r="F18269">
        <v>51.71</v>
      </c>
      <c r="G18269">
        <v>231004</v>
      </c>
      <c r="H18269">
        <v>4410</v>
      </c>
      <c r="I18269" t="s">
        <v>517</v>
      </c>
      <c r="J18269">
        <v>58.95</v>
      </c>
      <c r="K18269">
        <v>7.24</v>
      </c>
      <c r="L18269">
        <v>11908</v>
      </c>
      <c r="M18269" t="s">
        <v>598</v>
      </c>
      <c r="N18269" t="str">
        <f>"9099250322  "</f>
        <v xml:space="preserve">9099250322  </v>
      </c>
      <c r="O18269">
        <v>231010</v>
      </c>
    </row>
    <row r="18270" spans="1:15" x14ac:dyDescent="0.25">
      <c r="A18270" t="s">
        <v>16</v>
      </c>
      <c r="B18270" t="s">
        <v>3221</v>
      </c>
      <c r="C18270">
        <v>13427</v>
      </c>
      <c r="D18270" t="s">
        <v>515</v>
      </c>
      <c r="E18270" t="s">
        <v>516</v>
      </c>
      <c r="F18270">
        <v>17380</v>
      </c>
      <c r="G18270">
        <v>231004</v>
      </c>
      <c r="H18270">
        <v>4410</v>
      </c>
      <c r="I18270" t="s">
        <v>517</v>
      </c>
      <c r="J18270">
        <v>17380</v>
      </c>
      <c r="K18270">
        <v>0</v>
      </c>
      <c r="L18270">
        <v>17918</v>
      </c>
      <c r="M18270" t="s">
        <v>137</v>
      </c>
      <c r="N18270" t="str">
        <f>"9099250325  "</f>
        <v xml:space="preserve">9099250325  </v>
      </c>
      <c r="O18270">
        <v>231010</v>
      </c>
    </row>
    <row r="18271" spans="1:15" x14ac:dyDescent="0.25">
      <c r="A18271" t="s">
        <v>16</v>
      </c>
      <c r="B18271" t="s">
        <v>3221</v>
      </c>
      <c r="C18271">
        <v>13471</v>
      </c>
      <c r="D18271" t="s">
        <v>515</v>
      </c>
      <c r="E18271" t="s">
        <v>516</v>
      </c>
      <c r="F18271">
        <v>175</v>
      </c>
      <c r="G18271">
        <v>231004</v>
      </c>
      <c r="H18271">
        <v>4410</v>
      </c>
      <c r="I18271" t="s">
        <v>517</v>
      </c>
      <c r="J18271">
        <v>175</v>
      </c>
      <c r="K18271">
        <v>0</v>
      </c>
      <c r="L18271">
        <v>17913</v>
      </c>
      <c r="M18271" t="s">
        <v>431</v>
      </c>
      <c r="N18271" t="str">
        <f>"9099250321  "</f>
        <v xml:space="preserve">9099250321  </v>
      </c>
      <c r="O18271">
        <v>231010</v>
      </c>
    </row>
    <row r="18272" spans="1:15" x14ac:dyDescent="0.25">
      <c r="A18272" t="s">
        <v>16</v>
      </c>
      <c r="B18272" t="s">
        <v>3221</v>
      </c>
      <c r="C18272">
        <v>13472</v>
      </c>
      <c r="D18272" t="s">
        <v>515</v>
      </c>
      <c r="E18272" t="s">
        <v>516</v>
      </c>
      <c r="F18272">
        <v>5.26</v>
      </c>
      <c r="G18272">
        <v>231004</v>
      </c>
      <c r="H18272">
        <v>4410</v>
      </c>
      <c r="I18272" t="s">
        <v>517</v>
      </c>
      <c r="J18272">
        <v>6</v>
      </c>
      <c r="K18272">
        <v>0.74</v>
      </c>
      <c r="L18272">
        <v>16121</v>
      </c>
      <c r="M18272" t="s">
        <v>21</v>
      </c>
      <c r="N18272" t="str">
        <f>"9099250319  "</f>
        <v xml:space="preserve">9099250319  </v>
      </c>
      <c r="O18272">
        <v>231010</v>
      </c>
    </row>
    <row r="18273" spans="1:15" x14ac:dyDescent="0.25">
      <c r="A18273" t="s">
        <v>16</v>
      </c>
      <c r="B18273" t="s">
        <v>3221</v>
      </c>
      <c r="C18273">
        <v>13509</v>
      </c>
      <c r="D18273" t="s">
        <v>515</v>
      </c>
      <c r="E18273" t="s">
        <v>516</v>
      </c>
      <c r="F18273">
        <v>50</v>
      </c>
      <c r="G18273">
        <v>231004</v>
      </c>
      <c r="H18273">
        <v>4410</v>
      </c>
      <c r="I18273" t="s">
        <v>517</v>
      </c>
      <c r="J18273">
        <v>50</v>
      </c>
      <c r="K18273">
        <v>0</v>
      </c>
      <c r="L18273">
        <v>17525</v>
      </c>
      <c r="M18273" t="s">
        <v>135</v>
      </c>
      <c r="N18273" t="str">
        <f>"9099250320  "</f>
        <v xml:space="preserve">9099250320  </v>
      </c>
      <c r="O18273">
        <v>231010</v>
      </c>
    </row>
    <row r="18274" spans="1:15" x14ac:dyDescent="0.25">
      <c r="A18274" t="s">
        <v>16</v>
      </c>
      <c r="B18274" t="s">
        <v>3221</v>
      </c>
      <c r="C18274">
        <v>13588</v>
      </c>
      <c r="D18274" t="s">
        <v>515</v>
      </c>
      <c r="E18274" t="s">
        <v>516</v>
      </c>
      <c r="F18274">
        <v>51.22</v>
      </c>
      <c r="G18274">
        <v>231004</v>
      </c>
      <c r="H18274">
        <v>4410</v>
      </c>
      <c r="I18274" t="s">
        <v>517</v>
      </c>
      <c r="J18274">
        <v>58.39</v>
      </c>
      <c r="K18274">
        <v>7.17</v>
      </c>
      <c r="L18274">
        <v>11601</v>
      </c>
      <c r="M18274" t="s">
        <v>535</v>
      </c>
      <c r="N18274" t="str">
        <f>"9099250317  "</f>
        <v xml:space="preserve">9099250317  </v>
      </c>
      <c r="O18274">
        <v>231011</v>
      </c>
    </row>
    <row r="18275" spans="1:15" x14ac:dyDescent="0.25">
      <c r="A18275" t="s">
        <v>16</v>
      </c>
      <c r="B18275" t="s">
        <v>3221</v>
      </c>
      <c r="C18275">
        <v>14320</v>
      </c>
      <c r="D18275" t="s">
        <v>515</v>
      </c>
      <c r="E18275" t="s">
        <v>516</v>
      </c>
      <c r="F18275">
        <v>40</v>
      </c>
      <c r="G18275">
        <v>231018</v>
      </c>
      <c r="H18275">
        <v>4410</v>
      </c>
      <c r="I18275" t="s">
        <v>517</v>
      </c>
      <c r="J18275">
        <v>40</v>
      </c>
      <c r="K18275">
        <v>0</v>
      </c>
      <c r="L18275">
        <v>17918</v>
      </c>
      <c r="M18275" t="s">
        <v>137</v>
      </c>
      <c r="N18275" t="str">
        <f>"9099252628  "</f>
        <v xml:space="preserve">9099252628  </v>
      </c>
      <c r="O18275">
        <v>231026</v>
      </c>
    </row>
    <row r="18276" spans="1:15" x14ac:dyDescent="0.25">
      <c r="A18276" t="s">
        <v>16</v>
      </c>
      <c r="B18276" t="s">
        <v>3221</v>
      </c>
      <c r="C18276">
        <v>14320</v>
      </c>
      <c r="D18276" t="s">
        <v>515</v>
      </c>
      <c r="E18276" t="s">
        <v>516</v>
      </c>
      <c r="F18276">
        <v>45</v>
      </c>
      <c r="G18276">
        <v>231018</v>
      </c>
      <c r="H18276">
        <v>4410</v>
      </c>
      <c r="I18276" t="s">
        <v>517</v>
      </c>
      <c r="J18276">
        <v>45</v>
      </c>
      <c r="K18276">
        <v>0</v>
      </c>
      <c r="L18276">
        <v>17918</v>
      </c>
      <c r="M18276" t="s">
        <v>137</v>
      </c>
      <c r="N18276" t="str">
        <f>"9099252628  "</f>
        <v xml:space="preserve">9099252628  </v>
      </c>
      <c r="O18276">
        <v>231026</v>
      </c>
    </row>
    <row r="18277" spans="1:15" x14ac:dyDescent="0.25">
      <c r="A18277" t="s">
        <v>16</v>
      </c>
      <c r="B18277" t="s">
        <v>3221</v>
      </c>
      <c r="C18277">
        <v>14321</v>
      </c>
      <c r="D18277" t="s">
        <v>515</v>
      </c>
      <c r="E18277" t="s">
        <v>516</v>
      </c>
      <c r="F18277">
        <v>40</v>
      </c>
      <c r="G18277">
        <v>231018</v>
      </c>
      <c r="H18277">
        <v>4410</v>
      </c>
      <c r="I18277" t="s">
        <v>517</v>
      </c>
      <c r="J18277">
        <v>40</v>
      </c>
      <c r="K18277">
        <v>0</v>
      </c>
      <c r="L18277">
        <v>17918</v>
      </c>
      <c r="M18277" t="s">
        <v>137</v>
      </c>
      <c r="N18277" t="str">
        <f>"9099252630  "</f>
        <v xml:space="preserve">9099252630  </v>
      </c>
      <c r="O18277">
        <v>231026</v>
      </c>
    </row>
    <row r="18278" spans="1:15" x14ac:dyDescent="0.25">
      <c r="A18278" t="s">
        <v>16</v>
      </c>
      <c r="B18278" t="s">
        <v>3221</v>
      </c>
      <c r="C18278">
        <v>14329</v>
      </c>
      <c r="D18278" t="s">
        <v>515</v>
      </c>
      <c r="E18278" t="s">
        <v>516</v>
      </c>
      <c r="F18278">
        <v>227.5</v>
      </c>
      <c r="G18278">
        <v>231018</v>
      </c>
      <c r="H18278">
        <v>4410</v>
      </c>
      <c r="I18278" t="s">
        <v>517</v>
      </c>
      <c r="J18278">
        <v>227.5</v>
      </c>
      <c r="K18278">
        <v>0</v>
      </c>
      <c r="L18278">
        <v>13552</v>
      </c>
      <c r="M18278" t="s">
        <v>624</v>
      </c>
      <c r="N18278" t="str">
        <f>"9099252627  "</f>
        <v xml:space="preserve">9099252627  </v>
      </c>
      <c r="O18278">
        <v>231027</v>
      </c>
    </row>
    <row r="18279" spans="1:15" x14ac:dyDescent="0.25">
      <c r="A18279" t="s">
        <v>16</v>
      </c>
      <c r="B18279" t="s">
        <v>3221</v>
      </c>
      <c r="C18279">
        <v>14329</v>
      </c>
      <c r="D18279" t="s">
        <v>515</v>
      </c>
      <c r="E18279" t="s">
        <v>516</v>
      </c>
      <c r="F18279">
        <v>455</v>
      </c>
      <c r="G18279">
        <v>231018</v>
      </c>
      <c r="H18279">
        <v>4410</v>
      </c>
      <c r="I18279" t="s">
        <v>517</v>
      </c>
      <c r="J18279">
        <v>455</v>
      </c>
      <c r="K18279">
        <v>0</v>
      </c>
      <c r="L18279">
        <v>17918</v>
      </c>
      <c r="M18279" t="s">
        <v>137</v>
      </c>
      <c r="N18279" t="str">
        <f>"9099252627  "</f>
        <v xml:space="preserve">9099252627  </v>
      </c>
      <c r="O18279">
        <v>231027</v>
      </c>
    </row>
    <row r="18280" spans="1:15" x14ac:dyDescent="0.25">
      <c r="A18280" t="s">
        <v>16</v>
      </c>
      <c r="B18280" t="s">
        <v>3221</v>
      </c>
      <c r="C18280">
        <v>14333</v>
      </c>
      <c r="D18280" t="s">
        <v>515</v>
      </c>
      <c r="E18280" t="s">
        <v>516</v>
      </c>
      <c r="F18280">
        <v>4.84</v>
      </c>
      <c r="G18280">
        <v>231018</v>
      </c>
      <c r="H18280">
        <v>4410</v>
      </c>
      <c r="I18280" t="s">
        <v>517</v>
      </c>
      <c r="J18280">
        <v>6</v>
      </c>
      <c r="K18280">
        <v>1.1599999999999999</v>
      </c>
      <c r="L18280">
        <v>17523</v>
      </c>
      <c r="M18280" t="s">
        <v>134</v>
      </c>
      <c r="N18280" t="str">
        <f>"9099252634  "</f>
        <v xml:space="preserve">9099252634  </v>
      </c>
      <c r="O18280">
        <v>231027</v>
      </c>
    </row>
    <row r="18281" spans="1:15" x14ac:dyDescent="0.25">
      <c r="A18281" t="s">
        <v>16</v>
      </c>
      <c r="B18281" t="s">
        <v>3221</v>
      </c>
      <c r="C18281">
        <v>14337</v>
      </c>
      <c r="D18281" t="s">
        <v>515</v>
      </c>
      <c r="E18281" t="s">
        <v>516</v>
      </c>
      <c r="F18281">
        <v>110</v>
      </c>
      <c r="G18281">
        <v>231018</v>
      </c>
      <c r="H18281">
        <v>4410</v>
      </c>
      <c r="I18281" t="s">
        <v>517</v>
      </c>
      <c r="J18281">
        <v>110</v>
      </c>
      <c r="K18281">
        <v>0</v>
      </c>
      <c r="L18281">
        <v>17529</v>
      </c>
      <c r="M18281" t="s">
        <v>453</v>
      </c>
      <c r="N18281" t="str">
        <f>"9099252629  "</f>
        <v xml:space="preserve">9099252629  </v>
      </c>
      <c r="O18281">
        <v>231027</v>
      </c>
    </row>
    <row r="18282" spans="1:15" x14ac:dyDescent="0.25">
      <c r="A18282" t="s">
        <v>16</v>
      </c>
      <c r="B18282" t="s">
        <v>3221</v>
      </c>
      <c r="C18282">
        <v>14338</v>
      </c>
      <c r="D18282" t="s">
        <v>515</v>
      </c>
      <c r="E18282" t="s">
        <v>516</v>
      </c>
      <c r="F18282">
        <v>11.67</v>
      </c>
      <c r="G18282">
        <v>231018</v>
      </c>
      <c r="H18282">
        <v>4410</v>
      </c>
      <c r="I18282" t="s">
        <v>517</v>
      </c>
      <c r="J18282">
        <v>13.3</v>
      </c>
      <c r="K18282">
        <v>1.63</v>
      </c>
      <c r="L18282">
        <v>11001</v>
      </c>
      <c r="M18282" t="s">
        <v>326</v>
      </c>
      <c r="N18282" t="str">
        <f>"9099252633  "</f>
        <v xml:space="preserve">9099252633  </v>
      </c>
      <c r="O18282">
        <v>231027</v>
      </c>
    </row>
    <row r="18283" spans="1:15" x14ac:dyDescent="0.25">
      <c r="A18283" t="s">
        <v>16</v>
      </c>
      <c r="B18283" t="s">
        <v>3221</v>
      </c>
      <c r="C18283">
        <v>14344</v>
      </c>
      <c r="D18283" t="s">
        <v>515</v>
      </c>
      <c r="E18283" t="s">
        <v>516</v>
      </c>
      <c r="F18283">
        <v>6.94</v>
      </c>
      <c r="G18283">
        <v>231018</v>
      </c>
      <c r="H18283">
        <v>4410</v>
      </c>
      <c r="I18283" t="s">
        <v>517</v>
      </c>
      <c r="J18283">
        <v>7.91</v>
      </c>
      <c r="K18283">
        <v>0.97</v>
      </c>
      <c r="L18283">
        <v>17918</v>
      </c>
      <c r="M18283" t="s">
        <v>137</v>
      </c>
      <c r="N18283" t="str">
        <f>"9099252631  "</f>
        <v xml:space="preserve">9099252631  </v>
      </c>
      <c r="O18283">
        <v>231027</v>
      </c>
    </row>
    <row r="18284" spans="1:15" x14ac:dyDescent="0.25">
      <c r="A18284" t="s">
        <v>16</v>
      </c>
      <c r="B18284" t="s">
        <v>3221</v>
      </c>
      <c r="C18284">
        <v>14756</v>
      </c>
      <c r="D18284" t="s">
        <v>515</v>
      </c>
      <c r="E18284" t="s">
        <v>516</v>
      </c>
      <c r="F18284">
        <v>117.19</v>
      </c>
      <c r="G18284">
        <v>231018</v>
      </c>
      <c r="H18284">
        <v>4410</v>
      </c>
      <c r="I18284" t="s">
        <v>517</v>
      </c>
      <c r="J18284">
        <v>133.6</v>
      </c>
      <c r="K18284">
        <v>16.41</v>
      </c>
      <c r="L18284">
        <v>11605</v>
      </c>
      <c r="M18284" t="s">
        <v>106</v>
      </c>
      <c r="N18284" t="str">
        <f>"9099252626  "</f>
        <v xml:space="preserve">9099252626  </v>
      </c>
      <c r="O18284">
        <v>231106</v>
      </c>
    </row>
    <row r="18285" spans="1:15" x14ac:dyDescent="0.25">
      <c r="A18285" t="s">
        <v>16</v>
      </c>
      <c r="B18285" t="s">
        <v>3221</v>
      </c>
      <c r="C18285">
        <v>15009</v>
      </c>
      <c r="D18285" t="s">
        <v>515</v>
      </c>
      <c r="E18285" t="s">
        <v>516</v>
      </c>
      <c r="F18285">
        <v>3505</v>
      </c>
      <c r="G18285">
        <v>231103</v>
      </c>
      <c r="H18285">
        <v>4410</v>
      </c>
      <c r="I18285" t="s">
        <v>517</v>
      </c>
      <c r="J18285">
        <v>3505</v>
      </c>
      <c r="K18285">
        <v>0</v>
      </c>
      <c r="L18285">
        <v>13552</v>
      </c>
      <c r="M18285" t="s">
        <v>624</v>
      </c>
      <c r="N18285" t="str">
        <f>"9099253600  "</f>
        <v xml:space="preserve">9099253600  </v>
      </c>
      <c r="O18285">
        <v>231108</v>
      </c>
    </row>
    <row r="18286" spans="1:15" x14ac:dyDescent="0.25">
      <c r="A18286" t="s">
        <v>16</v>
      </c>
      <c r="B18286" t="s">
        <v>3221</v>
      </c>
      <c r="C18286">
        <v>15012</v>
      </c>
      <c r="D18286" t="s">
        <v>515</v>
      </c>
      <c r="E18286" t="s">
        <v>516</v>
      </c>
      <c r="F18286">
        <v>117.19</v>
      </c>
      <c r="G18286">
        <v>231018</v>
      </c>
      <c r="H18286">
        <v>4410</v>
      </c>
      <c r="I18286" t="s">
        <v>517</v>
      </c>
      <c r="J18286">
        <v>133.6</v>
      </c>
      <c r="K18286">
        <v>16.41</v>
      </c>
      <c r="L18286">
        <v>17538</v>
      </c>
      <c r="M18286" t="s">
        <v>24</v>
      </c>
      <c r="N18286" t="str">
        <f>"9099252632  "</f>
        <v xml:space="preserve">9099252632  </v>
      </c>
      <c r="O18286">
        <v>231108</v>
      </c>
    </row>
    <row r="18287" spans="1:15" x14ac:dyDescent="0.25">
      <c r="A18287" t="s">
        <v>16</v>
      </c>
      <c r="B18287" t="s">
        <v>3221</v>
      </c>
      <c r="C18287">
        <v>15067</v>
      </c>
      <c r="D18287" t="s">
        <v>515</v>
      </c>
      <c r="E18287" t="s">
        <v>516</v>
      </c>
      <c r="F18287">
        <v>20</v>
      </c>
      <c r="G18287">
        <v>231103</v>
      </c>
      <c r="H18287">
        <v>4410</v>
      </c>
      <c r="I18287" t="s">
        <v>517</v>
      </c>
      <c r="J18287">
        <v>20</v>
      </c>
      <c r="K18287">
        <v>0</v>
      </c>
      <c r="L18287">
        <v>17531</v>
      </c>
      <c r="M18287" t="s">
        <v>136</v>
      </c>
      <c r="N18287" t="str">
        <f>"9099253594  "</f>
        <v xml:space="preserve">9099253594  </v>
      </c>
      <c r="O18287">
        <v>231108</v>
      </c>
    </row>
    <row r="18288" spans="1:15" x14ac:dyDescent="0.25">
      <c r="A18288" t="s">
        <v>16</v>
      </c>
      <c r="B18288" t="s">
        <v>3221</v>
      </c>
      <c r="C18288">
        <v>15068</v>
      </c>
      <c r="D18288" t="s">
        <v>515</v>
      </c>
      <c r="E18288" t="s">
        <v>516</v>
      </c>
      <c r="F18288">
        <v>14940</v>
      </c>
      <c r="G18288">
        <v>231103</v>
      </c>
      <c r="H18288">
        <v>4410</v>
      </c>
      <c r="I18288" t="s">
        <v>517</v>
      </c>
      <c r="J18288">
        <v>14940</v>
      </c>
      <c r="K18288">
        <v>0</v>
      </c>
      <c r="L18288">
        <v>17918</v>
      </c>
      <c r="M18288" t="s">
        <v>137</v>
      </c>
      <c r="N18288" t="str">
        <f>"9099253599  "</f>
        <v xml:space="preserve">9099253599  </v>
      </c>
      <c r="O18288">
        <v>231108</v>
      </c>
    </row>
    <row r="18289" spans="1:15" x14ac:dyDescent="0.25">
      <c r="A18289" t="s">
        <v>16</v>
      </c>
      <c r="B18289" t="s">
        <v>3221</v>
      </c>
      <c r="C18289">
        <v>15360</v>
      </c>
      <c r="D18289" t="s">
        <v>515</v>
      </c>
      <c r="E18289" t="s">
        <v>516</v>
      </c>
      <c r="F18289">
        <v>31.14</v>
      </c>
      <c r="G18289">
        <v>231103</v>
      </c>
      <c r="H18289">
        <v>4410</v>
      </c>
      <c r="I18289" t="s">
        <v>517</v>
      </c>
      <c r="J18289">
        <v>35.5</v>
      </c>
      <c r="K18289">
        <v>4.3600000000000003</v>
      </c>
      <c r="L18289">
        <v>17538</v>
      </c>
      <c r="M18289" t="s">
        <v>24</v>
      </c>
      <c r="N18289" t="str">
        <f>"9099253598  "</f>
        <v xml:space="preserve">9099253598  </v>
      </c>
      <c r="O18289">
        <v>231113</v>
      </c>
    </row>
    <row r="18290" spans="1:15" x14ac:dyDescent="0.25">
      <c r="A18290" t="s">
        <v>16</v>
      </c>
      <c r="B18290" t="s">
        <v>3221</v>
      </c>
      <c r="C18290">
        <v>15363</v>
      </c>
      <c r="D18290" t="s">
        <v>515</v>
      </c>
      <c r="E18290" t="s">
        <v>516</v>
      </c>
      <c r="F18290">
        <v>21.3</v>
      </c>
      <c r="G18290">
        <v>231103</v>
      </c>
      <c r="H18290">
        <v>4410</v>
      </c>
      <c r="I18290" t="s">
        <v>517</v>
      </c>
      <c r="J18290">
        <v>24.28</v>
      </c>
      <c r="K18290">
        <v>2.98</v>
      </c>
      <c r="L18290">
        <v>11601</v>
      </c>
      <c r="M18290" t="s">
        <v>535</v>
      </c>
      <c r="N18290" t="str">
        <f>"9099253596  "</f>
        <v xml:space="preserve">9099253596  </v>
      </c>
      <c r="O18290">
        <v>231113</v>
      </c>
    </row>
    <row r="18291" spans="1:15" x14ac:dyDescent="0.25">
      <c r="A18291" t="s">
        <v>16</v>
      </c>
      <c r="B18291" t="s">
        <v>3221</v>
      </c>
      <c r="C18291">
        <v>15367</v>
      </c>
      <c r="D18291" t="s">
        <v>515</v>
      </c>
      <c r="E18291" t="s">
        <v>516</v>
      </c>
      <c r="F18291">
        <v>95</v>
      </c>
      <c r="G18291">
        <v>231103</v>
      </c>
      <c r="H18291">
        <v>4410</v>
      </c>
      <c r="I18291" t="s">
        <v>517</v>
      </c>
      <c r="J18291">
        <v>95</v>
      </c>
      <c r="K18291">
        <v>0</v>
      </c>
      <c r="L18291">
        <v>17913</v>
      </c>
      <c r="M18291" t="s">
        <v>431</v>
      </c>
      <c r="N18291" t="str">
        <f>"9099253597  "</f>
        <v xml:space="preserve">9099253597  </v>
      </c>
      <c r="O18291">
        <v>231113</v>
      </c>
    </row>
    <row r="18292" spans="1:15" x14ac:dyDescent="0.25">
      <c r="A18292" t="s">
        <v>16</v>
      </c>
      <c r="B18292" t="s">
        <v>3221</v>
      </c>
      <c r="C18292">
        <v>15369</v>
      </c>
      <c r="D18292" t="s">
        <v>515</v>
      </c>
      <c r="E18292" t="s">
        <v>516</v>
      </c>
      <c r="F18292">
        <v>10.53</v>
      </c>
      <c r="G18292">
        <v>231103</v>
      </c>
      <c r="H18292">
        <v>4410</v>
      </c>
      <c r="I18292" t="s">
        <v>517</v>
      </c>
      <c r="J18292">
        <v>12</v>
      </c>
      <c r="K18292">
        <v>1.47</v>
      </c>
      <c r="L18292">
        <v>17538</v>
      </c>
      <c r="M18292" t="s">
        <v>24</v>
      </c>
      <c r="N18292" t="str">
        <f>"9099253595  "</f>
        <v xml:space="preserve">9099253595  </v>
      </c>
      <c r="O18292">
        <v>231113</v>
      </c>
    </row>
    <row r="18293" spans="1:15" x14ac:dyDescent="0.25">
      <c r="A18293" t="s">
        <v>16</v>
      </c>
      <c r="B18293" t="s">
        <v>3221</v>
      </c>
      <c r="C18293">
        <v>16054</v>
      </c>
      <c r="D18293" t="s">
        <v>515</v>
      </c>
      <c r="E18293" t="s">
        <v>516</v>
      </c>
      <c r="F18293">
        <v>75</v>
      </c>
      <c r="G18293">
        <v>231120</v>
      </c>
      <c r="H18293">
        <v>4410</v>
      </c>
      <c r="I18293" t="s">
        <v>517</v>
      </c>
      <c r="J18293">
        <v>75</v>
      </c>
      <c r="K18293">
        <v>0</v>
      </c>
      <c r="L18293">
        <v>17918</v>
      </c>
      <c r="M18293" t="s">
        <v>137</v>
      </c>
      <c r="N18293" t="str">
        <f>"9099255815  "</f>
        <v xml:space="preserve">9099255815  </v>
      </c>
      <c r="O18293">
        <v>231122</v>
      </c>
    </row>
    <row r="18294" spans="1:15" x14ac:dyDescent="0.25">
      <c r="A18294" t="s">
        <v>16</v>
      </c>
      <c r="B18294" t="s">
        <v>3221</v>
      </c>
      <c r="C18294">
        <v>16060</v>
      </c>
      <c r="D18294" t="s">
        <v>515</v>
      </c>
      <c r="E18294" t="s">
        <v>516</v>
      </c>
      <c r="F18294">
        <v>117.19</v>
      </c>
      <c r="G18294">
        <v>231120</v>
      </c>
      <c r="H18294">
        <v>4410</v>
      </c>
      <c r="I18294" t="s">
        <v>517</v>
      </c>
      <c r="J18294">
        <v>133.6</v>
      </c>
      <c r="K18294">
        <v>16.41</v>
      </c>
      <c r="L18294">
        <v>17538</v>
      </c>
      <c r="M18294" t="s">
        <v>24</v>
      </c>
      <c r="N18294" t="str">
        <f>"9099255816  "</f>
        <v xml:space="preserve">9099255816  </v>
      </c>
      <c r="O18294">
        <v>231122</v>
      </c>
    </row>
    <row r="18295" spans="1:15" x14ac:dyDescent="0.25">
      <c r="A18295" t="s">
        <v>16</v>
      </c>
      <c r="B18295" t="s">
        <v>3221</v>
      </c>
      <c r="C18295">
        <v>16067</v>
      </c>
      <c r="D18295" t="s">
        <v>515</v>
      </c>
      <c r="E18295" t="s">
        <v>516</v>
      </c>
      <c r="F18295">
        <v>250</v>
      </c>
      <c r="G18295">
        <v>231120</v>
      </c>
      <c r="H18295">
        <v>4410</v>
      </c>
      <c r="I18295" t="s">
        <v>517</v>
      </c>
      <c r="J18295">
        <v>250</v>
      </c>
      <c r="K18295">
        <v>0</v>
      </c>
      <c r="L18295">
        <v>17918</v>
      </c>
      <c r="M18295" t="s">
        <v>137</v>
      </c>
      <c r="N18295" t="str">
        <f>"9099255814  "</f>
        <v xml:space="preserve">9099255814  </v>
      </c>
      <c r="O18295">
        <v>231122</v>
      </c>
    </row>
    <row r="18296" spans="1:15" x14ac:dyDescent="0.25">
      <c r="A18296" t="s">
        <v>16</v>
      </c>
      <c r="B18296" t="s">
        <v>3221</v>
      </c>
      <c r="C18296">
        <v>16124</v>
      </c>
      <c r="D18296" t="s">
        <v>515</v>
      </c>
      <c r="E18296" t="s">
        <v>516</v>
      </c>
      <c r="F18296">
        <v>5.26</v>
      </c>
      <c r="G18296">
        <v>231120</v>
      </c>
      <c r="H18296">
        <v>4410</v>
      </c>
      <c r="I18296" t="s">
        <v>517</v>
      </c>
      <c r="J18296">
        <v>6</v>
      </c>
      <c r="K18296">
        <v>0.74</v>
      </c>
      <c r="L18296">
        <v>13561</v>
      </c>
      <c r="M18296" t="s">
        <v>246</v>
      </c>
      <c r="N18296" t="str">
        <f>"9099255809  "</f>
        <v xml:space="preserve">9099255809  </v>
      </c>
      <c r="O18296">
        <v>231123</v>
      </c>
    </row>
    <row r="18297" spans="1:15" x14ac:dyDescent="0.25">
      <c r="A18297" t="s">
        <v>16</v>
      </c>
      <c r="B18297" t="s">
        <v>3221</v>
      </c>
      <c r="C18297">
        <v>16154</v>
      </c>
      <c r="D18297" t="s">
        <v>515</v>
      </c>
      <c r="E18297" t="s">
        <v>516</v>
      </c>
      <c r="F18297">
        <v>14.79</v>
      </c>
      <c r="G18297">
        <v>231120</v>
      </c>
      <c r="H18297">
        <v>4410</v>
      </c>
      <c r="I18297" t="s">
        <v>517</v>
      </c>
      <c r="J18297">
        <v>16.86</v>
      </c>
      <c r="K18297">
        <v>2.0699999999999998</v>
      </c>
      <c r="L18297">
        <v>13401</v>
      </c>
      <c r="M18297" t="s">
        <v>80</v>
      </c>
      <c r="N18297" t="str">
        <f>"9099255812  "</f>
        <v xml:space="preserve">9099255812  </v>
      </c>
      <c r="O18297">
        <v>231123</v>
      </c>
    </row>
    <row r="18298" spans="1:15" x14ac:dyDescent="0.25">
      <c r="A18298" t="s">
        <v>16</v>
      </c>
      <c r="B18298" t="s">
        <v>3221</v>
      </c>
      <c r="C18298">
        <v>16154</v>
      </c>
      <c r="D18298" t="s">
        <v>515</v>
      </c>
      <c r="E18298" t="s">
        <v>516</v>
      </c>
      <c r="F18298">
        <v>13.16</v>
      </c>
      <c r="G18298">
        <v>231120</v>
      </c>
      <c r="H18298">
        <v>4410</v>
      </c>
      <c r="I18298" t="s">
        <v>517</v>
      </c>
      <c r="J18298">
        <v>15</v>
      </c>
      <c r="K18298">
        <v>1.84</v>
      </c>
      <c r="L18298">
        <v>13501</v>
      </c>
      <c r="M18298" t="s">
        <v>20</v>
      </c>
      <c r="N18298" t="str">
        <f>"9099255812  "</f>
        <v xml:space="preserve">9099255812  </v>
      </c>
      <c r="O18298">
        <v>231123</v>
      </c>
    </row>
    <row r="18299" spans="1:15" x14ac:dyDescent="0.25">
      <c r="A18299" t="s">
        <v>16</v>
      </c>
      <c r="B18299" t="s">
        <v>3221</v>
      </c>
      <c r="C18299">
        <v>16155</v>
      </c>
      <c r="D18299" t="s">
        <v>515</v>
      </c>
      <c r="E18299" t="s">
        <v>516</v>
      </c>
      <c r="F18299">
        <v>160.54</v>
      </c>
      <c r="G18299">
        <v>231120</v>
      </c>
      <c r="H18299">
        <v>4410</v>
      </c>
      <c r="I18299" t="s">
        <v>517</v>
      </c>
      <c r="J18299">
        <v>183.01</v>
      </c>
      <c r="K18299">
        <v>22.47</v>
      </c>
      <c r="L18299">
        <v>12010</v>
      </c>
      <c r="M18299" t="s">
        <v>2189</v>
      </c>
      <c r="N18299" t="str">
        <f>"9099255813  "</f>
        <v xml:space="preserve">9099255813  </v>
      </c>
      <c r="O18299">
        <v>231123</v>
      </c>
    </row>
    <row r="18300" spans="1:15" x14ac:dyDescent="0.25">
      <c r="A18300" t="s">
        <v>16</v>
      </c>
      <c r="B18300" t="s">
        <v>3221</v>
      </c>
      <c r="C18300">
        <v>16204</v>
      </c>
      <c r="D18300" t="s">
        <v>515</v>
      </c>
      <c r="E18300" t="s">
        <v>516</v>
      </c>
      <c r="F18300">
        <v>33.159999999999997</v>
      </c>
      <c r="G18300">
        <v>231120</v>
      </c>
      <c r="H18300">
        <v>4410</v>
      </c>
      <c r="I18300" t="s">
        <v>517</v>
      </c>
      <c r="J18300">
        <v>37.799999999999997</v>
      </c>
      <c r="K18300">
        <v>4.6399999999999997</v>
      </c>
      <c r="L18300">
        <v>17538</v>
      </c>
      <c r="M18300" t="s">
        <v>24</v>
      </c>
      <c r="N18300" t="str">
        <f>"9099255808  "</f>
        <v xml:space="preserve">9099255808  </v>
      </c>
      <c r="O18300">
        <v>231127</v>
      </c>
    </row>
    <row r="18301" spans="1:15" x14ac:dyDescent="0.25">
      <c r="A18301" t="s">
        <v>16</v>
      </c>
      <c r="B18301" t="s">
        <v>3221</v>
      </c>
      <c r="C18301">
        <v>16313</v>
      </c>
      <c r="D18301" t="s">
        <v>515</v>
      </c>
      <c r="E18301" t="s">
        <v>516</v>
      </c>
      <c r="F18301">
        <v>21.05</v>
      </c>
      <c r="G18301">
        <v>231120</v>
      </c>
      <c r="H18301">
        <v>4410</v>
      </c>
      <c r="I18301" t="s">
        <v>517</v>
      </c>
      <c r="J18301">
        <v>24</v>
      </c>
      <c r="K18301">
        <v>2.95</v>
      </c>
      <c r="L18301">
        <v>17972</v>
      </c>
      <c r="M18301" t="s">
        <v>248</v>
      </c>
      <c r="N18301" t="str">
        <f>"9099255811  "</f>
        <v xml:space="preserve">9099255811  </v>
      </c>
      <c r="O18301">
        <v>231127</v>
      </c>
    </row>
    <row r="18302" spans="1:15" x14ac:dyDescent="0.25">
      <c r="A18302" t="s">
        <v>16</v>
      </c>
      <c r="B18302" t="s">
        <v>3221</v>
      </c>
      <c r="C18302">
        <v>16395</v>
      </c>
      <c r="D18302" t="s">
        <v>515</v>
      </c>
      <c r="E18302" t="s">
        <v>516</v>
      </c>
      <c r="F18302">
        <v>93.68</v>
      </c>
      <c r="G18302">
        <v>231120</v>
      </c>
      <c r="H18302">
        <v>4410</v>
      </c>
      <c r="I18302" t="s">
        <v>517</v>
      </c>
      <c r="J18302">
        <v>106.8</v>
      </c>
      <c r="K18302">
        <v>13.12</v>
      </c>
      <c r="L18302">
        <v>11605</v>
      </c>
      <c r="M18302" t="s">
        <v>106</v>
      </c>
      <c r="N18302" t="str">
        <f>"9099255810  "</f>
        <v xml:space="preserve">9099255810  </v>
      </c>
      <c r="O18302">
        <v>231129</v>
      </c>
    </row>
    <row r="18303" spans="1:15" x14ac:dyDescent="0.25">
      <c r="A18303" t="s">
        <v>16</v>
      </c>
      <c r="B18303" t="s">
        <v>3221</v>
      </c>
      <c r="C18303">
        <v>16850</v>
      </c>
      <c r="D18303" t="s">
        <v>515</v>
      </c>
      <c r="E18303" t="s">
        <v>516</v>
      </c>
      <c r="F18303">
        <v>75</v>
      </c>
      <c r="G18303">
        <v>231204</v>
      </c>
      <c r="H18303">
        <v>4410</v>
      </c>
      <c r="I18303" t="s">
        <v>517</v>
      </c>
      <c r="J18303">
        <v>75</v>
      </c>
      <c r="K18303">
        <v>0</v>
      </c>
      <c r="L18303">
        <v>17918</v>
      </c>
      <c r="M18303" t="s">
        <v>137</v>
      </c>
      <c r="N18303" t="str">
        <f>"9099258594  "</f>
        <v xml:space="preserve">9099258594  </v>
      </c>
      <c r="O18303">
        <v>231211</v>
      </c>
    </row>
    <row r="18304" spans="1:15" x14ac:dyDescent="0.25">
      <c r="A18304" t="s">
        <v>16</v>
      </c>
      <c r="B18304" t="s">
        <v>3221</v>
      </c>
      <c r="C18304">
        <v>16874</v>
      </c>
      <c r="D18304" t="s">
        <v>515</v>
      </c>
      <c r="E18304" t="s">
        <v>516</v>
      </c>
      <c r="F18304">
        <v>46.64</v>
      </c>
      <c r="G18304">
        <v>231204</v>
      </c>
      <c r="H18304">
        <v>4410</v>
      </c>
      <c r="I18304" t="s">
        <v>517</v>
      </c>
      <c r="J18304">
        <v>53.17</v>
      </c>
      <c r="K18304">
        <v>6.53</v>
      </c>
      <c r="L18304">
        <v>17538</v>
      </c>
      <c r="M18304" t="s">
        <v>24</v>
      </c>
      <c r="N18304" t="str">
        <f>"9099258599  "</f>
        <v xml:space="preserve">9099258599  </v>
      </c>
      <c r="O18304">
        <v>231211</v>
      </c>
    </row>
    <row r="18305" spans="1:15" x14ac:dyDescent="0.25">
      <c r="A18305" t="s">
        <v>16</v>
      </c>
      <c r="B18305" t="s">
        <v>3221</v>
      </c>
      <c r="C18305">
        <v>16888</v>
      </c>
      <c r="D18305" t="s">
        <v>515</v>
      </c>
      <c r="E18305" t="s">
        <v>516</v>
      </c>
      <c r="F18305">
        <v>265</v>
      </c>
      <c r="G18305">
        <v>231204</v>
      </c>
      <c r="H18305">
        <v>4410</v>
      </c>
      <c r="I18305" t="s">
        <v>517</v>
      </c>
      <c r="J18305">
        <v>265</v>
      </c>
      <c r="K18305">
        <v>0</v>
      </c>
      <c r="L18305">
        <v>13552</v>
      </c>
      <c r="M18305" t="s">
        <v>624</v>
      </c>
      <c r="N18305" t="str">
        <f>"9099258597  "</f>
        <v xml:space="preserve">9099258597  </v>
      </c>
      <c r="O18305">
        <v>231211</v>
      </c>
    </row>
    <row r="18306" spans="1:15" x14ac:dyDescent="0.25">
      <c r="A18306" t="s">
        <v>16</v>
      </c>
      <c r="B18306" t="s">
        <v>3221</v>
      </c>
      <c r="C18306">
        <v>16908</v>
      </c>
      <c r="D18306" t="s">
        <v>515</v>
      </c>
      <c r="E18306" t="s">
        <v>516</v>
      </c>
      <c r="F18306">
        <v>5115</v>
      </c>
      <c r="G18306">
        <v>231204</v>
      </c>
      <c r="H18306">
        <v>4410</v>
      </c>
      <c r="I18306" t="s">
        <v>517</v>
      </c>
      <c r="J18306">
        <v>5115</v>
      </c>
      <c r="K18306">
        <v>0</v>
      </c>
      <c r="L18306">
        <v>13552</v>
      </c>
      <c r="M18306" t="s">
        <v>624</v>
      </c>
      <c r="N18306" t="str">
        <f>"9099258600  "</f>
        <v xml:space="preserve">9099258600  </v>
      </c>
      <c r="O18306">
        <v>231211</v>
      </c>
    </row>
    <row r="18307" spans="1:15" x14ac:dyDescent="0.25">
      <c r="A18307" t="s">
        <v>16</v>
      </c>
      <c r="B18307" t="s">
        <v>3221</v>
      </c>
      <c r="C18307">
        <v>16913</v>
      </c>
      <c r="D18307" t="s">
        <v>515</v>
      </c>
      <c r="E18307" t="s">
        <v>516</v>
      </c>
      <c r="F18307">
        <v>75</v>
      </c>
      <c r="G18307">
        <v>231204</v>
      </c>
      <c r="H18307">
        <v>4410</v>
      </c>
      <c r="I18307" t="s">
        <v>517</v>
      </c>
      <c r="J18307">
        <v>75</v>
      </c>
      <c r="K18307">
        <v>0</v>
      </c>
      <c r="L18307">
        <v>17918</v>
      </c>
      <c r="M18307" t="s">
        <v>137</v>
      </c>
      <c r="N18307" t="str">
        <f>"9099258595  "</f>
        <v xml:space="preserve">9099258595  </v>
      </c>
      <c r="O18307">
        <v>231211</v>
      </c>
    </row>
    <row r="18308" spans="1:15" x14ac:dyDescent="0.25">
      <c r="A18308" t="s">
        <v>16</v>
      </c>
      <c r="B18308" t="s">
        <v>3221</v>
      </c>
      <c r="C18308">
        <v>17192</v>
      </c>
      <c r="D18308" t="s">
        <v>515</v>
      </c>
      <c r="E18308" t="s">
        <v>516</v>
      </c>
      <c r="F18308">
        <v>18280</v>
      </c>
      <c r="G18308">
        <v>231204</v>
      </c>
      <c r="H18308">
        <v>4410</v>
      </c>
      <c r="I18308" t="s">
        <v>517</v>
      </c>
      <c r="J18308">
        <v>18280</v>
      </c>
      <c r="K18308">
        <v>0</v>
      </c>
      <c r="L18308">
        <v>17918</v>
      </c>
      <c r="M18308" t="s">
        <v>137</v>
      </c>
      <c r="N18308" t="str">
        <f>"9099258601  "</f>
        <v xml:space="preserve">9099258601  </v>
      </c>
      <c r="O18308">
        <v>231212</v>
      </c>
    </row>
    <row r="18309" spans="1:15" x14ac:dyDescent="0.25">
      <c r="A18309" t="s">
        <v>16</v>
      </c>
      <c r="B18309" t="s">
        <v>3221</v>
      </c>
      <c r="C18309">
        <v>17315</v>
      </c>
      <c r="D18309" t="s">
        <v>515</v>
      </c>
      <c r="E18309" t="s">
        <v>516</v>
      </c>
      <c r="F18309">
        <v>111.26</v>
      </c>
      <c r="G18309">
        <v>231204</v>
      </c>
      <c r="H18309">
        <v>4410</v>
      </c>
      <c r="I18309" t="s">
        <v>517</v>
      </c>
      <c r="J18309">
        <v>126.84</v>
      </c>
      <c r="K18309">
        <v>15.58</v>
      </c>
      <c r="L18309">
        <v>11903</v>
      </c>
      <c r="M18309" t="s">
        <v>406</v>
      </c>
      <c r="N18309" t="str">
        <f>"9099258596  "</f>
        <v xml:space="preserve">9099258596  </v>
      </c>
      <c r="O18309">
        <v>231213</v>
      </c>
    </row>
    <row r="18310" spans="1:15" x14ac:dyDescent="0.25">
      <c r="A18310" t="s">
        <v>16</v>
      </c>
      <c r="B18310" t="s">
        <v>3221</v>
      </c>
      <c r="C18310">
        <v>17424</v>
      </c>
      <c r="D18310" t="s">
        <v>515</v>
      </c>
      <c r="E18310" t="s">
        <v>516</v>
      </c>
      <c r="F18310">
        <v>70</v>
      </c>
      <c r="G18310">
        <v>231204</v>
      </c>
      <c r="H18310">
        <v>4410</v>
      </c>
      <c r="I18310" t="s">
        <v>517</v>
      </c>
      <c r="J18310">
        <v>70</v>
      </c>
      <c r="K18310">
        <v>0</v>
      </c>
      <c r="L18310">
        <v>17918</v>
      </c>
      <c r="M18310" t="s">
        <v>137</v>
      </c>
      <c r="N18310" t="str">
        <f>"9099258598  "</f>
        <v xml:space="preserve">9099258598  </v>
      </c>
      <c r="O18310">
        <v>231214</v>
      </c>
    </row>
    <row r="18311" spans="1:15" x14ac:dyDescent="0.25">
      <c r="A18311" t="s">
        <v>16</v>
      </c>
      <c r="B18311" t="s">
        <v>3221</v>
      </c>
      <c r="C18311">
        <v>18187</v>
      </c>
      <c r="D18311" t="s">
        <v>515</v>
      </c>
      <c r="E18311" t="s">
        <v>516</v>
      </c>
      <c r="F18311">
        <v>187.89</v>
      </c>
      <c r="G18311">
        <v>231220</v>
      </c>
      <c r="H18311">
        <v>4410</v>
      </c>
      <c r="I18311" t="s">
        <v>517</v>
      </c>
      <c r="J18311">
        <v>214.19</v>
      </c>
      <c r="K18311">
        <v>26.3</v>
      </c>
      <c r="L18311">
        <v>17971</v>
      </c>
      <c r="M18311" t="s">
        <v>138</v>
      </c>
      <c r="N18311" t="str">
        <f>"9099259339  "</f>
        <v xml:space="preserve">9099259339  </v>
      </c>
      <c r="O18311">
        <v>240102</v>
      </c>
    </row>
    <row r="18312" spans="1:15" x14ac:dyDescent="0.25">
      <c r="A18312" t="s">
        <v>16</v>
      </c>
      <c r="B18312" t="s">
        <v>3221</v>
      </c>
      <c r="C18312">
        <v>18189</v>
      </c>
      <c r="D18312" t="s">
        <v>515</v>
      </c>
      <c r="E18312" t="s">
        <v>516</v>
      </c>
      <c r="F18312">
        <v>32.61</v>
      </c>
      <c r="G18312">
        <v>231220</v>
      </c>
      <c r="H18312">
        <v>4410</v>
      </c>
      <c r="I18312" t="s">
        <v>517</v>
      </c>
      <c r="J18312">
        <v>37.18</v>
      </c>
      <c r="K18312">
        <v>4.57</v>
      </c>
      <c r="L18312">
        <v>13501</v>
      </c>
      <c r="M18312" t="s">
        <v>20</v>
      </c>
      <c r="N18312" t="str">
        <f>"9099259343  "</f>
        <v xml:space="preserve">9099259343  </v>
      </c>
      <c r="O18312">
        <v>240102</v>
      </c>
    </row>
    <row r="18313" spans="1:15" x14ac:dyDescent="0.25">
      <c r="A18313" t="s">
        <v>16</v>
      </c>
      <c r="B18313" t="s">
        <v>3221</v>
      </c>
      <c r="C18313">
        <v>18202</v>
      </c>
      <c r="D18313" t="s">
        <v>515</v>
      </c>
      <c r="E18313" t="s">
        <v>516</v>
      </c>
      <c r="F18313">
        <v>117.19</v>
      </c>
      <c r="G18313">
        <v>231220</v>
      </c>
      <c r="H18313">
        <v>4410</v>
      </c>
      <c r="I18313" t="s">
        <v>517</v>
      </c>
      <c r="J18313">
        <v>133.6</v>
      </c>
      <c r="K18313">
        <v>16.41</v>
      </c>
      <c r="L18313">
        <v>11605</v>
      </c>
      <c r="M18313" t="s">
        <v>106</v>
      </c>
      <c r="N18313" t="str">
        <f>"9099259336  "</f>
        <v xml:space="preserve">9099259336  </v>
      </c>
      <c r="O18313">
        <v>240102</v>
      </c>
    </row>
    <row r="18314" spans="1:15" x14ac:dyDescent="0.25">
      <c r="A18314" t="s">
        <v>16</v>
      </c>
      <c r="B18314" t="s">
        <v>3221</v>
      </c>
      <c r="C18314">
        <v>18205</v>
      </c>
      <c r="D18314" t="s">
        <v>515</v>
      </c>
      <c r="E18314" t="s">
        <v>516</v>
      </c>
      <c r="F18314">
        <v>25.05</v>
      </c>
      <c r="G18314">
        <v>231220</v>
      </c>
      <c r="H18314">
        <v>4410</v>
      </c>
      <c r="I18314" t="s">
        <v>517</v>
      </c>
      <c r="J18314">
        <v>28.56</v>
      </c>
      <c r="K18314">
        <v>3.51</v>
      </c>
      <c r="L18314">
        <v>11201</v>
      </c>
      <c r="M18314" t="s">
        <v>305</v>
      </c>
      <c r="N18314" t="str">
        <f>"9099259338  "</f>
        <v xml:space="preserve">9099259338  </v>
      </c>
      <c r="O18314">
        <v>240102</v>
      </c>
    </row>
    <row r="18315" spans="1:15" x14ac:dyDescent="0.25">
      <c r="A18315" t="s">
        <v>16</v>
      </c>
      <c r="B18315" t="s">
        <v>3221</v>
      </c>
      <c r="C18315">
        <v>18210</v>
      </c>
      <c r="D18315" t="s">
        <v>515</v>
      </c>
      <c r="E18315" t="s">
        <v>516</v>
      </c>
      <c r="F18315">
        <v>488.53</v>
      </c>
      <c r="G18315">
        <v>231220</v>
      </c>
      <c r="H18315">
        <v>4410</v>
      </c>
      <c r="I18315" t="s">
        <v>517</v>
      </c>
      <c r="J18315">
        <v>556.91999999999996</v>
      </c>
      <c r="K18315">
        <v>68.39</v>
      </c>
      <c r="L18315">
        <v>17918</v>
      </c>
      <c r="M18315" t="s">
        <v>137</v>
      </c>
      <c r="N18315" t="str">
        <f>"9099259341  "</f>
        <v xml:space="preserve">9099259341  </v>
      </c>
      <c r="O18315">
        <v>240102</v>
      </c>
    </row>
    <row r="18316" spans="1:15" x14ac:dyDescent="0.25">
      <c r="A18316" t="s">
        <v>16</v>
      </c>
      <c r="B18316" t="s">
        <v>3221</v>
      </c>
      <c r="C18316">
        <v>18217</v>
      </c>
      <c r="D18316" t="s">
        <v>515</v>
      </c>
      <c r="E18316" t="s">
        <v>516</v>
      </c>
      <c r="F18316">
        <v>47.37</v>
      </c>
      <c r="G18316">
        <v>231220</v>
      </c>
      <c r="H18316">
        <v>4410</v>
      </c>
      <c r="I18316" t="s">
        <v>517</v>
      </c>
      <c r="J18316">
        <v>54</v>
      </c>
      <c r="K18316">
        <v>6.63</v>
      </c>
      <c r="L18316">
        <v>13561</v>
      </c>
      <c r="M18316" t="s">
        <v>246</v>
      </c>
      <c r="N18316" t="str">
        <f>"9099259334  "</f>
        <v xml:space="preserve">9099259334  </v>
      </c>
      <c r="O18316">
        <v>240102</v>
      </c>
    </row>
    <row r="18317" spans="1:15" x14ac:dyDescent="0.25">
      <c r="A18317" t="s">
        <v>16</v>
      </c>
      <c r="B18317" t="s">
        <v>3221</v>
      </c>
      <c r="C18317">
        <v>18219</v>
      </c>
      <c r="D18317" t="s">
        <v>515</v>
      </c>
      <c r="E18317" t="s">
        <v>516</v>
      </c>
      <c r="F18317">
        <v>11.58</v>
      </c>
      <c r="G18317">
        <v>231220</v>
      </c>
      <c r="H18317">
        <v>4410</v>
      </c>
      <c r="I18317" t="s">
        <v>517</v>
      </c>
      <c r="J18317">
        <v>13.2</v>
      </c>
      <c r="K18317">
        <v>1.62</v>
      </c>
      <c r="L18317">
        <v>13401</v>
      </c>
      <c r="M18317" t="s">
        <v>80</v>
      </c>
      <c r="N18317" t="str">
        <f>"9099259342  "</f>
        <v xml:space="preserve">9099259342  </v>
      </c>
      <c r="O18317">
        <v>240102</v>
      </c>
    </row>
    <row r="18318" spans="1:15" x14ac:dyDescent="0.25">
      <c r="A18318" t="s">
        <v>16</v>
      </c>
      <c r="B18318" t="s">
        <v>3221</v>
      </c>
      <c r="C18318">
        <v>18219</v>
      </c>
      <c r="D18318" t="s">
        <v>515</v>
      </c>
      <c r="E18318" t="s">
        <v>516</v>
      </c>
      <c r="F18318">
        <v>11.58</v>
      </c>
      <c r="G18318">
        <v>231220</v>
      </c>
      <c r="H18318">
        <v>4410</v>
      </c>
      <c r="I18318" t="s">
        <v>517</v>
      </c>
      <c r="J18318">
        <v>13.2</v>
      </c>
      <c r="K18318">
        <v>1.62</v>
      </c>
      <c r="L18318">
        <v>13501</v>
      </c>
      <c r="M18318" t="s">
        <v>20</v>
      </c>
      <c r="N18318" t="str">
        <f>"9099259342  "</f>
        <v xml:space="preserve">9099259342  </v>
      </c>
      <c r="O18318">
        <v>240102</v>
      </c>
    </row>
    <row r="18319" spans="1:15" x14ac:dyDescent="0.25">
      <c r="A18319" t="s">
        <v>16</v>
      </c>
      <c r="B18319" t="s">
        <v>3221</v>
      </c>
      <c r="C18319">
        <v>18226</v>
      </c>
      <c r="D18319" t="s">
        <v>515</v>
      </c>
      <c r="E18319" t="s">
        <v>516</v>
      </c>
      <c r="F18319">
        <v>175.37</v>
      </c>
      <c r="G18319">
        <v>231220</v>
      </c>
      <c r="H18319">
        <v>4410</v>
      </c>
      <c r="I18319" t="s">
        <v>517</v>
      </c>
      <c r="J18319">
        <v>199.92</v>
      </c>
      <c r="K18319">
        <v>24.55</v>
      </c>
      <c r="L18319">
        <v>13561</v>
      </c>
      <c r="M18319" t="s">
        <v>246</v>
      </c>
      <c r="N18319" t="str">
        <f>"9099259340  "</f>
        <v xml:space="preserve">9099259340  </v>
      </c>
      <c r="O18319">
        <v>240102</v>
      </c>
    </row>
    <row r="18320" spans="1:15" x14ac:dyDescent="0.25">
      <c r="A18320" t="s">
        <v>16</v>
      </c>
      <c r="B18320" t="s">
        <v>3221</v>
      </c>
      <c r="C18320">
        <v>18235</v>
      </c>
      <c r="D18320" t="s">
        <v>515</v>
      </c>
      <c r="E18320" t="s">
        <v>516</v>
      </c>
      <c r="F18320">
        <v>65</v>
      </c>
      <c r="G18320">
        <v>231220</v>
      </c>
      <c r="H18320">
        <v>4410</v>
      </c>
      <c r="I18320" t="s">
        <v>517</v>
      </c>
      <c r="J18320">
        <v>65</v>
      </c>
      <c r="K18320">
        <v>0</v>
      </c>
      <c r="L18320">
        <v>17918</v>
      </c>
      <c r="M18320" t="s">
        <v>137</v>
      </c>
      <c r="N18320" t="str">
        <f>"9099259335  "</f>
        <v xml:space="preserve">9099259335  </v>
      </c>
      <c r="O18320">
        <v>240102</v>
      </c>
    </row>
    <row r="18321" spans="1:15" x14ac:dyDescent="0.25">
      <c r="A18321" t="s">
        <v>16</v>
      </c>
      <c r="B18321" t="s">
        <v>3221</v>
      </c>
      <c r="C18321">
        <v>18236</v>
      </c>
      <c r="D18321" t="s">
        <v>515</v>
      </c>
      <c r="E18321" t="s">
        <v>516</v>
      </c>
      <c r="F18321">
        <v>137.04</v>
      </c>
      <c r="G18321">
        <v>231220</v>
      </c>
      <c r="H18321">
        <v>4410</v>
      </c>
      <c r="I18321" t="s">
        <v>517</v>
      </c>
      <c r="J18321">
        <v>156.22999999999999</v>
      </c>
      <c r="K18321">
        <v>19.190000000000001</v>
      </c>
      <c r="L18321">
        <v>17971</v>
      </c>
      <c r="M18321" t="s">
        <v>138</v>
      </c>
      <c r="N18321" t="str">
        <f>"9099259337  "</f>
        <v xml:space="preserve">9099259337  </v>
      </c>
      <c r="O18321">
        <v>240102</v>
      </c>
    </row>
    <row r="18322" spans="1:15" x14ac:dyDescent="0.25">
      <c r="A18322" t="s">
        <v>16</v>
      </c>
      <c r="B18322" t="s">
        <v>3221</v>
      </c>
      <c r="C18322">
        <v>18247</v>
      </c>
      <c r="D18322" t="s">
        <v>515</v>
      </c>
      <c r="E18322" t="s">
        <v>516</v>
      </c>
      <c r="F18322">
        <v>35</v>
      </c>
      <c r="G18322">
        <v>231220</v>
      </c>
      <c r="H18322">
        <v>4410</v>
      </c>
      <c r="I18322" t="s">
        <v>517</v>
      </c>
      <c r="J18322">
        <v>35</v>
      </c>
      <c r="K18322">
        <v>0</v>
      </c>
      <c r="L18322">
        <v>17913</v>
      </c>
      <c r="M18322" t="s">
        <v>431</v>
      </c>
      <c r="N18322" t="str">
        <f>"9099259333  "</f>
        <v xml:space="preserve">9099259333  </v>
      </c>
      <c r="O18322">
        <v>240102</v>
      </c>
    </row>
    <row r="18323" spans="1:15" x14ac:dyDescent="0.25">
      <c r="A18323" t="s">
        <v>16</v>
      </c>
      <c r="B18323" t="s">
        <v>3221</v>
      </c>
      <c r="C18323">
        <v>18753</v>
      </c>
      <c r="D18323" t="s">
        <v>515</v>
      </c>
      <c r="E18323" t="s">
        <v>516</v>
      </c>
      <c r="F18323">
        <v>11920</v>
      </c>
      <c r="G18323">
        <v>240104</v>
      </c>
      <c r="H18323">
        <v>4410</v>
      </c>
      <c r="I18323" t="s">
        <v>517</v>
      </c>
      <c r="J18323">
        <v>11920</v>
      </c>
      <c r="K18323">
        <v>0</v>
      </c>
      <c r="L18323">
        <v>17918</v>
      </c>
      <c r="M18323" t="s">
        <v>137</v>
      </c>
      <c r="N18323" t="str">
        <f>"9099260429  "</f>
        <v xml:space="preserve">9099260429  </v>
      </c>
      <c r="O18323">
        <v>240105</v>
      </c>
    </row>
    <row r="18324" spans="1:15" x14ac:dyDescent="0.25">
      <c r="A18324" t="s">
        <v>16</v>
      </c>
      <c r="B18324" t="s">
        <v>3221</v>
      </c>
      <c r="C18324">
        <v>18893</v>
      </c>
      <c r="D18324" t="s">
        <v>515</v>
      </c>
      <c r="E18324" t="s">
        <v>516</v>
      </c>
      <c r="F18324">
        <v>51.58</v>
      </c>
      <c r="G18324">
        <v>240104</v>
      </c>
      <c r="H18324">
        <v>4410</v>
      </c>
      <c r="I18324" t="s">
        <v>517</v>
      </c>
      <c r="J18324">
        <v>58.8</v>
      </c>
      <c r="K18324">
        <v>7.22</v>
      </c>
      <c r="L18324">
        <v>16930</v>
      </c>
      <c r="M18324" t="s">
        <v>450</v>
      </c>
      <c r="N18324" t="str">
        <f>"9099260427  "</f>
        <v xml:space="preserve">9099260427  </v>
      </c>
      <c r="O18324">
        <v>240108</v>
      </c>
    </row>
    <row r="18325" spans="1:15" x14ac:dyDescent="0.25">
      <c r="A18325" t="s">
        <v>16</v>
      </c>
      <c r="B18325" t="s">
        <v>3221</v>
      </c>
      <c r="C18325">
        <v>18911</v>
      </c>
      <c r="D18325" t="s">
        <v>515</v>
      </c>
      <c r="E18325" t="s">
        <v>516</v>
      </c>
      <c r="F18325">
        <v>3015</v>
      </c>
      <c r="G18325">
        <v>240104</v>
      </c>
      <c r="H18325">
        <v>4410</v>
      </c>
      <c r="I18325" t="s">
        <v>517</v>
      </c>
      <c r="J18325">
        <v>3015</v>
      </c>
      <c r="K18325">
        <v>0</v>
      </c>
      <c r="L18325">
        <v>13552</v>
      </c>
      <c r="M18325" t="s">
        <v>624</v>
      </c>
      <c r="N18325" t="str">
        <f>"9099260428  "</f>
        <v xml:space="preserve">9099260428  </v>
      </c>
      <c r="O18325">
        <v>240108</v>
      </c>
    </row>
    <row r="18326" spans="1:15" x14ac:dyDescent="0.25">
      <c r="A18326" t="s">
        <v>16</v>
      </c>
      <c r="B18326" t="s">
        <v>3221</v>
      </c>
      <c r="C18326">
        <v>19194</v>
      </c>
      <c r="D18326" t="s">
        <v>515</v>
      </c>
      <c r="E18326" t="s">
        <v>516</v>
      </c>
      <c r="F18326">
        <v>201.02</v>
      </c>
      <c r="G18326">
        <v>240104</v>
      </c>
      <c r="H18326">
        <v>4410</v>
      </c>
      <c r="I18326" t="s">
        <v>517</v>
      </c>
      <c r="J18326">
        <v>229.16</v>
      </c>
      <c r="K18326">
        <v>28.14</v>
      </c>
      <c r="L18326">
        <v>16322</v>
      </c>
      <c r="M18326" t="s">
        <v>22</v>
      </c>
      <c r="N18326" t="str">
        <f>"9099260426  "</f>
        <v xml:space="preserve">9099260426  </v>
      </c>
      <c r="O18326">
        <v>240112</v>
      </c>
    </row>
    <row r="18327" spans="1:15" x14ac:dyDescent="0.25">
      <c r="A18327" t="s">
        <v>16</v>
      </c>
      <c r="B18327" t="s">
        <v>3221</v>
      </c>
      <c r="C18327">
        <v>19194</v>
      </c>
      <c r="D18327" t="s">
        <v>515</v>
      </c>
      <c r="E18327" t="s">
        <v>516</v>
      </c>
      <c r="F18327">
        <v>804.07</v>
      </c>
      <c r="G18327">
        <v>240104</v>
      </c>
      <c r="H18327">
        <v>4410</v>
      </c>
      <c r="I18327" t="s">
        <v>517</v>
      </c>
      <c r="J18327">
        <v>916.64</v>
      </c>
      <c r="K18327">
        <v>112.57</v>
      </c>
      <c r="L18327">
        <v>17538</v>
      </c>
      <c r="M18327" t="s">
        <v>24</v>
      </c>
      <c r="N18327" t="str">
        <f>"9099260426  "</f>
        <v xml:space="preserve">9099260426  </v>
      </c>
      <c r="O18327">
        <v>240112</v>
      </c>
    </row>
    <row r="18328" spans="1:15" x14ac:dyDescent="0.25">
      <c r="A18328" t="s">
        <v>16</v>
      </c>
      <c r="B18328" t="s">
        <v>3221</v>
      </c>
      <c r="C18328">
        <v>11824</v>
      </c>
      <c r="D18328" t="s">
        <v>515</v>
      </c>
      <c r="E18328" t="s">
        <v>516</v>
      </c>
      <c r="F18328">
        <v>21.05</v>
      </c>
      <c r="G18328">
        <v>230905</v>
      </c>
      <c r="H18328">
        <v>4420</v>
      </c>
      <c r="I18328" t="s">
        <v>132</v>
      </c>
      <c r="J18328">
        <v>24</v>
      </c>
      <c r="K18328">
        <v>2.95</v>
      </c>
      <c r="L18328">
        <v>16321</v>
      </c>
      <c r="M18328" t="s">
        <v>423</v>
      </c>
      <c r="N18328" t="str">
        <f>"9099247297  "</f>
        <v xml:space="preserve">9099247297  </v>
      </c>
      <c r="O18328">
        <v>230911</v>
      </c>
    </row>
    <row r="18329" spans="1:15" x14ac:dyDescent="0.25">
      <c r="A18329" t="s">
        <v>16</v>
      </c>
      <c r="B18329" t="s">
        <v>3221</v>
      </c>
      <c r="C18329">
        <v>1269</v>
      </c>
      <c r="D18329" t="s">
        <v>968</v>
      </c>
      <c r="E18329" t="s">
        <v>969</v>
      </c>
      <c r="F18329">
        <v>395.16</v>
      </c>
      <c r="G18329">
        <v>230203</v>
      </c>
      <c r="H18329">
        <v>4580</v>
      </c>
      <c r="I18329" t="s">
        <v>35</v>
      </c>
      <c r="J18329">
        <v>490</v>
      </c>
      <c r="K18329">
        <v>94.84</v>
      </c>
      <c r="L18329">
        <v>13601</v>
      </c>
      <c r="M18329" t="s">
        <v>147</v>
      </c>
      <c r="N18329" t="str">
        <f>"202757      "</f>
        <v xml:space="preserve">202757      </v>
      </c>
      <c r="O18329">
        <v>230207</v>
      </c>
    </row>
    <row r="18330" spans="1:15" x14ac:dyDescent="0.25">
      <c r="A18330" t="s">
        <v>16</v>
      </c>
      <c r="B18330" t="s">
        <v>3221</v>
      </c>
      <c r="C18330">
        <v>1092</v>
      </c>
      <c r="D18330" t="s">
        <v>621</v>
      </c>
      <c r="E18330" t="s">
        <v>622</v>
      </c>
      <c r="F18330">
        <v>70</v>
      </c>
      <c r="G18330">
        <v>230123</v>
      </c>
      <c r="H18330">
        <v>4362</v>
      </c>
      <c r="I18330" t="s">
        <v>79</v>
      </c>
      <c r="J18330">
        <v>86.8</v>
      </c>
      <c r="K18330">
        <v>16.8</v>
      </c>
      <c r="L18330">
        <v>11401</v>
      </c>
      <c r="M18330" t="s">
        <v>84</v>
      </c>
      <c r="N18330" t="str">
        <f>"10016068    "</f>
        <v xml:space="preserve">10016068    </v>
      </c>
      <c r="O18330">
        <v>230203</v>
      </c>
    </row>
    <row r="18331" spans="1:15" x14ac:dyDescent="0.25">
      <c r="A18331" t="s">
        <v>16</v>
      </c>
      <c r="B18331" t="s">
        <v>3221</v>
      </c>
      <c r="C18331">
        <v>1092</v>
      </c>
      <c r="D18331" t="s">
        <v>621</v>
      </c>
      <c r="E18331" t="s">
        <v>622</v>
      </c>
      <c r="F18331">
        <v>140</v>
      </c>
      <c r="G18331">
        <v>230123</v>
      </c>
      <c r="H18331">
        <v>4362</v>
      </c>
      <c r="I18331" t="s">
        <v>79</v>
      </c>
      <c r="J18331">
        <v>173.6</v>
      </c>
      <c r="K18331">
        <v>33.6</v>
      </c>
      <c r="L18331">
        <v>14952</v>
      </c>
      <c r="M18331" t="s">
        <v>99</v>
      </c>
      <c r="N18331" t="str">
        <f>"10016068    "</f>
        <v xml:space="preserve">10016068    </v>
      </c>
      <c r="O18331">
        <v>230203</v>
      </c>
    </row>
    <row r="18332" spans="1:15" x14ac:dyDescent="0.25">
      <c r="A18332" t="s">
        <v>16</v>
      </c>
      <c r="B18332" t="s">
        <v>3221</v>
      </c>
      <c r="C18332">
        <v>2312</v>
      </c>
      <c r="D18332" t="s">
        <v>621</v>
      </c>
      <c r="E18332" t="s">
        <v>622</v>
      </c>
      <c r="F18332">
        <v>70</v>
      </c>
      <c r="G18332">
        <v>230215</v>
      </c>
      <c r="H18332">
        <v>4362</v>
      </c>
      <c r="I18332" t="s">
        <v>79</v>
      </c>
      <c r="J18332">
        <v>86.8</v>
      </c>
      <c r="K18332">
        <v>16.8</v>
      </c>
      <c r="L18332">
        <v>11401</v>
      </c>
      <c r="M18332" t="s">
        <v>84</v>
      </c>
      <c r="N18332" t="str">
        <f>"10019330    "</f>
        <v xml:space="preserve">10019330    </v>
      </c>
      <c r="O18332">
        <v>230224</v>
      </c>
    </row>
    <row r="18333" spans="1:15" x14ac:dyDescent="0.25">
      <c r="A18333" t="s">
        <v>16</v>
      </c>
      <c r="B18333" t="s">
        <v>3221</v>
      </c>
      <c r="C18333">
        <v>2312</v>
      </c>
      <c r="D18333" t="s">
        <v>621</v>
      </c>
      <c r="E18333" t="s">
        <v>622</v>
      </c>
      <c r="F18333">
        <v>140</v>
      </c>
      <c r="G18333">
        <v>230215</v>
      </c>
      <c r="H18333">
        <v>4362</v>
      </c>
      <c r="I18333" t="s">
        <v>79</v>
      </c>
      <c r="J18333">
        <v>173.6</v>
      </c>
      <c r="K18333">
        <v>33.6</v>
      </c>
      <c r="L18333">
        <v>14952</v>
      </c>
      <c r="M18333" t="s">
        <v>99</v>
      </c>
      <c r="N18333" t="str">
        <f>"10019330    "</f>
        <v xml:space="preserve">10019330    </v>
      </c>
      <c r="O18333">
        <v>230224</v>
      </c>
    </row>
    <row r="18334" spans="1:15" x14ac:dyDescent="0.25">
      <c r="A18334" t="s">
        <v>16</v>
      </c>
      <c r="B18334" t="s">
        <v>3221</v>
      </c>
      <c r="C18334">
        <v>3364</v>
      </c>
      <c r="D18334" t="s">
        <v>621</v>
      </c>
      <c r="E18334" t="s">
        <v>622</v>
      </c>
      <c r="F18334">
        <v>70</v>
      </c>
      <c r="G18334">
        <v>230314</v>
      </c>
      <c r="H18334">
        <v>4362</v>
      </c>
      <c r="I18334" t="s">
        <v>79</v>
      </c>
      <c r="J18334">
        <v>86.8</v>
      </c>
      <c r="K18334">
        <v>16.8</v>
      </c>
      <c r="L18334">
        <v>11401</v>
      </c>
      <c r="M18334" t="s">
        <v>84</v>
      </c>
      <c r="N18334" t="str">
        <f>"10022212    "</f>
        <v xml:space="preserve">10022212    </v>
      </c>
      <c r="O18334">
        <v>230315</v>
      </c>
    </row>
    <row r="18335" spans="1:15" x14ac:dyDescent="0.25">
      <c r="A18335" t="s">
        <v>16</v>
      </c>
      <c r="B18335" t="s">
        <v>3221</v>
      </c>
      <c r="C18335">
        <v>3364</v>
      </c>
      <c r="D18335" t="s">
        <v>621</v>
      </c>
      <c r="E18335" t="s">
        <v>622</v>
      </c>
      <c r="F18335">
        <v>140</v>
      </c>
      <c r="G18335">
        <v>230314</v>
      </c>
      <c r="H18335">
        <v>4362</v>
      </c>
      <c r="I18335" t="s">
        <v>79</v>
      </c>
      <c r="J18335">
        <v>173.6</v>
      </c>
      <c r="K18335">
        <v>33.6</v>
      </c>
      <c r="L18335">
        <v>14952</v>
      </c>
      <c r="M18335" t="s">
        <v>99</v>
      </c>
      <c r="N18335" t="str">
        <f>"10022212    "</f>
        <v xml:space="preserve">10022212    </v>
      </c>
      <c r="O18335">
        <v>230315</v>
      </c>
    </row>
    <row r="18336" spans="1:15" x14ac:dyDescent="0.25">
      <c r="A18336" t="s">
        <v>16</v>
      </c>
      <c r="B18336" t="s">
        <v>3221</v>
      </c>
      <c r="C18336">
        <v>5405</v>
      </c>
      <c r="D18336" t="s">
        <v>621</v>
      </c>
      <c r="E18336" t="s">
        <v>622</v>
      </c>
      <c r="F18336">
        <v>70</v>
      </c>
      <c r="G18336">
        <v>230420</v>
      </c>
      <c r="H18336">
        <v>4362</v>
      </c>
      <c r="I18336" t="s">
        <v>79</v>
      </c>
      <c r="J18336">
        <v>86.8</v>
      </c>
      <c r="K18336">
        <v>16.8</v>
      </c>
      <c r="L18336">
        <v>11401</v>
      </c>
      <c r="M18336" t="s">
        <v>84</v>
      </c>
      <c r="N18336" t="str">
        <f>"10024257    "</f>
        <v xml:space="preserve">10024257    </v>
      </c>
      <c r="O18336">
        <v>230424</v>
      </c>
    </row>
    <row r="18337" spans="1:15" x14ac:dyDescent="0.25">
      <c r="A18337" t="s">
        <v>16</v>
      </c>
      <c r="B18337" t="s">
        <v>3221</v>
      </c>
      <c r="C18337">
        <v>5405</v>
      </c>
      <c r="D18337" t="s">
        <v>621</v>
      </c>
      <c r="E18337" t="s">
        <v>622</v>
      </c>
      <c r="F18337">
        <v>140</v>
      </c>
      <c r="G18337">
        <v>230420</v>
      </c>
      <c r="H18337">
        <v>4362</v>
      </c>
      <c r="I18337" t="s">
        <v>79</v>
      </c>
      <c r="J18337">
        <v>173.6</v>
      </c>
      <c r="K18337">
        <v>33.6</v>
      </c>
      <c r="L18337">
        <v>14952</v>
      </c>
      <c r="M18337" t="s">
        <v>99</v>
      </c>
      <c r="N18337" t="str">
        <f>"10024257    "</f>
        <v xml:space="preserve">10024257    </v>
      </c>
      <c r="O18337">
        <v>230424</v>
      </c>
    </row>
    <row r="18338" spans="1:15" x14ac:dyDescent="0.25">
      <c r="A18338" t="s">
        <v>16</v>
      </c>
      <c r="B18338" t="s">
        <v>3221</v>
      </c>
      <c r="C18338">
        <v>6781</v>
      </c>
      <c r="D18338" t="s">
        <v>621</v>
      </c>
      <c r="E18338" t="s">
        <v>622</v>
      </c>
      <c r="F18338">
        <v>70</v>
      </c>
      <c r="G18338">
        <v>230515</v>
      </c>
      <c r="H18338">
        <v>4362</v>
      </c>
      <c r="I18338" t="s">
        <v>79</v>
      </c>
      <c r="J18338">
        <v>86.8</v>
      </c>
      <c r="K18338">
        <v>16.8</v>
      </c>
      <c r="L18338">
        <v>11401</v>
      </c>
      <c r="M18338" t="s">
        <v>84</v>
      </c>
      <c r="N18338" t="str">
        <f>"10027615    "</f>
        <v xml:space="preserve">10027615    </v>
      </c>
      <c r="O18338">
        <v>230522</v>
      </c>
    </row>
    <row r="18339" spans="1:15" x14ac:dyDescent="0.25">
      <c r="A18339" t="s">
        <v>16</v>
      </c>
      <c r="B18339" t="s">
        <v>3221</v>
      </c>
      <c r="C18339">
        <v>6781</v>
      </c>
      <c r="D18339" t="s">
        <v>621</v>
      </c>
      <c r="E18339" t="s">
        <v>622</v>
      </c>
      <c r="F18339">
        <v>140</v>
      </c>
      <c r="G18339">
        <v>230515</v>
      </c>
      <c r="H18339">
        <v>4362</v>
      </c>
      <c r="I18339" t="s">
        <v>79</v>
      </c>
      <c r="J18339">
        <v>173.6</v>
      </c>
      <c r="K18339">
        <v>33.6</v>
      </c>
      <c r="L18339">
        <v>14952</v>
      </c>
      <c r="M18339" t="s">
        <v>99</v>
      </c>
      <c r="N18339" t="str">
        <f>"10027615    "</f>
        <v xml:space="preserve">10027615    </v>
      </c>
      <c r="O18339">
        <v>230522</v>
      </c>
    </row>
    <row r="18340" spans="1:15" x14ac:dyDescent="0.25">
      <c r="A18340" t="s">
        <v>16</v>
      </c>
      <c r="B18340" t="s">
        <v>3221</v>
      </c>
      <c r="C18340">
        <v>8948</v>
      </c>
      <c r="D18340" t="s">
        <v>621</v>
      </c>
      <c r="E18340" t="s">
        <v>622</v>
      </c>
      <c r="F18340">
        <v>70</v>
      </c>
      <c r="G18340">
        <v>230615</v>
      </c>
      <c r="H18340">
        <v>4362</v>
      </c>
      <c r="I18340" t="s">
        <v>79</v>
      </c>
      <c r="J18340">
        <v>86.8</v>
      </c>
      <c r="K18340">
        <v>16.8</v>
      </c>
      <c r="L18340">
        <v>11401</v>
      </c>
      <c r="M18340" t="s">
        <v>84</v>
      </c>
      <c r="N18340" t="str">
        <f>"10030273    "</f>
        <v xml:space="preserve">10030273    </v>
      </c>
      <c r="O18340">
        <v>230620</v>
      </c>
    </row>
    <row r="18341" spans="1:15" x14ac:dyDescent="0.25">
      <c r="A18341" t="s">
        <v>16</v>
      </c>
      <c r="B18341" t="s">
        <v>3221</v>
      </c>
      <c r="C18341">
        <v>8948</v>
      </c>
      <c r="D18341" t="s">
        <v>621</v>
      </c>
      <c r="E18341" t="s">
        <v>622</v>
      </c>
      <c r="F18341">
        <v>140</v>
      </c>
      <c r="G18341">
        <v>230615</v>
      </c>
      <c r="H18341">
        <v>4362</v>
      </c>
      <c r="I18341" t="s">
        <v>79</v>
      </c>
      <c r="J18341">
        <v>173.6</v>
      </c>
      <c r="K18341">
        <v>33.6</v>
      </c>
      <c r="L18341">
        <v>14952</v>
      </c>
      <c r="M18341" t="s">
        <v>99</v>
      </c>
      <c r="N18341" t="str">
        <f>"10030273    "</f>
        <v xml:space="preserve">10030273    </v>
      </c>
      <c r="O18341">
        <v>230620</v>
      </c>
    </row>
    <row r="18342" spans="1:15" x14ac:dyDescent="0.25">
      <c r="A18342" t="s">
        <v>16</v>
      </c>
      <c r="B18342" t="s">
        <v>3221</v>
      </c>
      <c r="C18342">
        <v>9831</v>
      </c>
      <c r="D18342" t="s">
        <v>621</v>
      </c>
      <c r="E18342" t="s">
        <v>622</v>
      </c>
      <c r="F18342">
        <v>70</v>
      </c>
      <c r="G18342">
        <v>230717</v>
      </c>
      <c r="H18342">
        <v>4362</v>
      </c>
      <c r="I18342" t="s">
        <v>79</v>
      </c>
      <c r="J18342">
        <v>86.8</v>
      </c>
      <c r="K18342">
        <v>16.8</v>
      </c>
      <c r="L18342">
        <v>11401</v>
      </c>
      <c r="M18342" t="s">
        <v>84</v>
      </c>
      <c r="N18342" t="str">
        <f>"10033129    "</f>
        <v xml:space="preserve">10033129    </v>
      </c>
      <c r="O18342">
        <v>230726</v>
      </c>
    </row>
    <row r="18343" spans="1:15" x14ac:dyDescent="0.25">
      <c r="A18343" t="s">
        <v>16</v>
      </c>
      <c r="B18343" t="s">
        <v>3221</v>
      </c>
      <c r="C18343">
        <v>9831</v>
      </c>
      <c r="D18343" t="s">
        <v>621</v>
      </c>
      <c r="E18343" t="s">
        <v>622</v>
      </c>
      <c r="F18343">
        <v>140</v>
      </c>
      <c r="G18343">
        <v>230717</v>
      </c>
      <c r="H18343">
        <v>4362</v>
      </c>
      <c r="I18343" t="s">
        <v>79</v>
      </c>
      <c r="J18343">
        <v>173.6</v>
      </c>
      <c r="K18343">
        <v>33.6</v>
      </c>
      <c r="L18343">
        <v>14952</v>
      </c>
      <c r="M18343" t="s">
        <v>99</v>
      </c>
      <c r="N18343" t="str">
        <f>"10033129    "</f>
        <v xml:space="preserve">10033129    </v>
      </c>
      <c r="O18343">
        <v>230726</v>
      </c>
    </row>
    <row r="18344" spans="1:15" x14ac:dyDescent="0.25">
      <c r="A18344" t="s">
        <v>16</v>
      </c>
      <c r="B18344" t="s">
        <v>3221</v>
      </c>
      <c r="C18344">
        <v>10662</v>
      </c>
      <c r="D18344" t="s">
        <v>621</v>
      </c>
      <c r="E18344" t="s">
        <v>622</v>
      </c>
      <c r="F18344">
        <v>70</v>
      </c>
      <c r="G18344">
        <v>230817</v>
      </c>
      <c r="H18344">
        <v>4362</v>
      </c>
      <c r="I18344" t="s">
        <v>79</v>
      </c>
      <c r="J18344">
        <v>86.8</v>
      </c>
      <c r="K18344">
        <v>16.8</v>
      </c>
      <c r="L18344">
        <v>11401</v>
      </c>
      <c r="M18344" t="s">
        <v>84</v>
      </c>
      <c r="N18344" t="str">
        <f>"10036636    "</f>
        <v xml:space="preserve">10036636    </v>
      </c>
      <c r="O18344">
        <v>230821</v>
      </c>
    </row>
    <row r="18345" spans="1:15" x14ac:dyDescent="0.25">
      <c r="A18345" t="s">
        <v>16</v>
      </c>
      <c r="B18345" t="s">
        <v>3221</v>
      </c>
      <c r="C18345">
        <v>10662</v>
      </c>
      <c r="D18345" t="s">
        <v>621</v>
      </c>
      <c r="E18345" t="s">
        <v>622</v>
      </c>
      <c r="F18345">
        <v>140</v>
      </c>
      <c r="G18345">
        <v>230817</v>
      </c>
      <c r="H18345">
        <v>4362</v>
      </c>
      <c r="I18345" t="s">
        <v>79</v>
      </c>
      <c r="J18345">
        <v>173.6</v>
      </c>
      <c r="K18345">
        <v>33.6</v>
      </c>
      <c r="L18345">
        <v>14952</v>
      </c>
      <c r="M18345" t="s">
        <v>99</v>
      </c>
      <c r="N18345" t="str">
        <f>"10036636    "</f>
        <v xml:space="preserve">10036636    </v>
      </c>
      <c r="O18345">
        <v>230821</v>
      </c>
    </row>
    <row r="18346" spans="1:15" x14ac:dyDescent="0.25">
      <c r="A18346" t="s">
        <v>16</v>
      </c>
      <c r="B18346" t="s">
        <v>3221</v>
      </c>
      <c r="C18346">
        <v>12483</v>
      </c>
      <c r="D18346" t="s">
        <v>621</v>
      </c>
      <c r="E18346" t="s">
        <v>622</v>
      </c>
      <c r="F18346">
        <v>70</v>
      </c>
      <c r="G18346">
        <v>230918</v>
      </c>
      <c r="H18346">
        <v>4362</v>
      </c>
      <c r="I18346" t="s">
        <v>79</v>
      </c>
      <c r="J18346">
        <v>86.8</v>
      </c>
      <c r="K18346">
        <v>16.8</v>
      </c>
      <c r="L18346">
        <v>11401</v>
      </c>
      <c r="M18346" t="s">
        <v>84</v>
      </c>
      <c r="N18346" t="str">
        <f>"10039237    "</f>
        <v xml:space="preserve">10039237    </v>
      </c>
      <c r="O18346">
        <v>230920</v>
      </c>
    </row>
    <row r="18347" spans="1:15" x14ac:dyDescent="0.25">
      <c r="A18347" t="s">
        <v>16</v>
      </c>
      <c r="B18347" t="s">
        <v>3221</v>
      </c>
      <c r="C18347">
        <v>12483</v>
      </c>
      <c r="D18347" t="s">
        <v>621</v>
      </c>
      <c r="E18347" t="s">
        <v>622</v>
      </c>
      <c r="F18347">
        <v>140</v>
      </c>
      <c r="G18347">
        <v>230918</v>
      </c>
      <c r="H18347">
        <v>4362</v>
      </c>
      <c r="I18347" t="s">
        <v>79</v>
      </c>
      <c r="J18347">
        <v>173.6</v>
      </c>
      <c r="K18347">
        <v>33.6</v>
      </c>
      <c r="L18347">
        <v>14952</v>
      </c>
      <c r="M18347" t="s">
        <v>99</v>
      </c>
      <c r="N18347" t="str">
        <f>"10039237    "</f>
        <v xml:space="preserve">10039237    </v>
      </c>
      <c r="O18347">
        <v>230920</v>
      </c>
    </row>
    <row r="18348" spans="1:15" x14ac:dyDescent="0.25">
      <c r="A18348" t="s">
        <v>16</v>
      </c>
      <c r="B18348" t="s">
        <v>3221</v>
      </c>
      <c r="C18348">
        <v>14150</v>
      </c>
      <c r="D18348" t="s">
        <v>621</v>
      </c>
      <c r="E18348" t="s">
        <v>622</v>
      </c>
      <c r="F18348">
        <v>70</v>
      </c>
      <c r="G18348">
        <v>231018</v>
      </c>
      <c r="H18348">
        <v>4362</v>
      </c>
      <c r="I18348" t="s">
        <v>79</v>
      </c>
      <c r="J18348">
        <v>86.8</v>
      </c>
      <c r="K18348">
        <v>16.8</v>
      </c>
      <c r="L18348">
        <v>11401</v>
      </c>
      <c r="M18348" t="s">
        <v>84</v>
      </c>
      <c r="N18348" t="str">
        <f>"10043483    "</f>
        <v xml:space="preserve">10043483    </v>
      </c>
      <c r="O18348">
        <v>231019</v>
      </c>
    </row>
    <row r="18349" spans="1:15" x14ac:dyDescent="0.25">
      <c r="A18349" t="s">
        <v>16</v>
      </c>
      <c r="B18349" t="s">
        <v>3221</v>
      </c>
      <c r="C18349">
        <v>14150</v>
      </c>
      <c r="D18349" t="s">
        <v>621</v>
      </c>
      <c r="E18349" t="s">
        <v>622</v>
      </c>
      <c r="F18349">
        <v>140</v>
      </c>
      <c r="G18349">
        <v>231018</v>
      </c>
      <c r="H18349">
        <v>4362</v>
      </c>
      <c r="I18349" t="s">
        <v>79</v>
      </c>
      <c r="J18349">
        <v>173.6</v>
      </c>
      <c r="K18349">
        <v>33.6</v>
      </c>
      <c r="L18349">
        <v>14952</v>
      </c>
      <c r="M18349" t="s">
        <v>99</v>
      </c>
      <c r="N18349" t="str">
        <f>"10043483    "</f>
        <v xml:space="preserve">10043483    </v>
      </c>
      <c r="O18349">
        <v>231019</v>
      </c>
    </row>
    <row r="18350" spans="1:15" x14ac:dyDescent="0.25">
      <c r="A18350" t="s">
        <v>16</v>
      </c>
      <c r="B18350" t="s">
        <v>3221</v>
      </c>
      <c r="C18350">
        <v>16049</v>
      </c>
      <c r="D18350" t="s">
        <v>621</v>
      </c>
      <c r="E18350" t="s">
        <v>622</v>
      </c>
      <c r="F18350">
        <v>72.63</v>
      </c>
      <c r="G18350">
        <v>231117</v>
      </c>
      <c r="H18350">
        <v>4362</v>
      </c>
      <c r="I18350" t="s">
        <v>79</v>
      </c>
      <c r="J18350">
        <v>90.06</v>
      </c>
      <c r="K18350">
        <v>17.43</v>
      </c>
      <c r="L18350">
        <v>11401</v>
      </c>
      <c r="M18350" t="s">
        <v>84</v>
      </c>
      <c r="N18350" t="str">
        <f>"10045480    "</f>
        <v xml:space="preserve">10045480    </v>
      </c>
      <c r="O18350">
        <v>231122</v>
      </c>
    </row>
    <row r="18351" spans="1:15" x14ac:dyDescent="0.25">
      <c r="A18351" t="s">
        <v>16</v>
      </c>
      <c r="B18351" t="s">
        <v>3221</v>
      </c>
      <c r="C18351">
        <v>16049</v>
      </c>
      <c r="D18351" t="s">
        <v>621</v>
      </c>
      <c r="E18351" t="s">
        <v>622</v>
      </c>
      <c r="F18351">
        <v>145.27000000000001</v>
      </c>
      <c r="G18351">
        <v>231117</v>
      </c>
      <c r="H18351">
        <v>4362</v>
      </c>
      <c r="I18351" t="s">
        <v>79</v>
      </c>
      <c r="J18351">
        <v>180.14</v>
      </c>
      <c r="K18351">
        <v>34.869999999999997</v>
      </c>
      <c r="L18351">
        <v>14952</v>
      </c>
      <c r="M18351" t="s">
        <v>99</v>
      </c>
      <c r="N18351" t="str">
        <f>"10045480    "</f>
        <v xml:space="preserve">10045480    </v>
      </c>
      <c r="O18351">
        <v>231122</v>
      </c>
    </row>
    <row r="18352" spans="1:15" x14ac:dyDescent="0.25">
      <c r="A18352" t="s">
        <v>16</v>
      </c>
      <c r="B18352" t="s">
        <v>3221</v>
      </c>
      <c r="C18352">
        <v>16611</v>
      </c>
      <c r="D18352" t="s">
        <v>621</v>
      </c>
      <c r="E18352" t="s">
        <v>622</v>
      </c>
      <c r="F18352">
        <v>190.17</v>
      </c>
      <c r="G18352">
        <v>231128</v>
      </c>
      <c r="H18352">
        <v>4362</v>
      </c>
      <c r="I18352" t="s">
        <v>79</v>
      </c>
      <c r="J18352">
        <v>235.81</v>
      </c>
      <c r="K18352">
        <v>45.64</v>
      </c>
      <c r="L18352">
        <v>14952</v>
      </c>
      <c r="M18352" t="s">
        <v>99</v>
      </c>
      <c r="N18352" t="str">
        <f>"10047216    "</f>
        <v xml:space="preserve">10047216    </v>
      </c>
      <c r="O18352">
        <v>231204</v>
      </c>
    </row>
    <row r="18353" spans="1:15" x14ac:dyDescent="0.25">
      <c r="A18353" t="s">
        <v>16</v>
      </c>
      <c r="B18353" t="s">
        <v>3221</v>
      </c>
      <c r="C18353">
        <v>16611</v>
      </c>
      <c r="D18353" t="s">
        <v>621</v>
      </c>
      <c r="E18353" t="s">
        <v>622</v>
      </c>
      <c r="F18353">
        <v>443.73</v>
      </c>
      <c r="G18353">
        <v>231128</v>
      </c>
      <c r="H18353">
        <v>4362</v>
      </c>
      <c r="I18353" t="s">
        <v>79</v>
      </c>
      <c r="J18353">
        <v>550.23</v>
      </c>
      <c r="K18353">
        <v>106.5</v>
      </c>
      <c r="L18353">
        <v>14981</v>
      </c>
      <c r="M18353" t="s">
        <v>1211</v>
      </c>
      <c r="N18353" t="str">
        <f>"10047216    "</f>
        <v xml:space="preserve">10047216    </v>
      </c>
      <c r="O18353">
        <v>231204</v>
      </c>
    </row>
    <row r="18354" spans="1:15" x14ac:dyDescent="0.25">
      <c r="A18354" t="s">
        <v>16</v>
      </c>
      <c r="B18354" t="s">
        <v>3221</v>
      </c>
      <c r="C18354">
        <v>18228</v>
      </c>
      <c r="D18354" t="s">
        <v>621</v>
      </c>
      <c r="E18354" t="s">
        <v>622</v>
      </c>
      <c r="F18354">
        <v>70.17</v>
      </c>
      <c r="G18354">
        <v>231220</v>
      </c>
      <c r="H18354">
        <v>4362</v>
      </c>
      <c r="I18354" t="s">
        <v>79</v>
      </c>
      <c r="J18354">
        <v>87.01</v>
      </c>
      <c r="K18354">
        <v>16.84</v>
      </c>
      <c r="L18354">
        <v>14952</v>
      </c>
      <c r="M18354" t="s">
        <v>99</v>
      </c>
      <c r="N18354" t="str">
        <f>"10048038    "</f>
        <v xml:space="preserve">10048038    </v>
      </c>
      <c r="O18354">
        <v>240102</v>
      </c>
    </row>
    <row r="18355" spans="1:15" x14ac:dyDescent="0.25">
      <c r="A18355" t="s">
        <v>16</v>
      </c>
      <c r="B18355" t="s">
        <v>3221</v>
      </c>
      <c r="C18355">
        <v>18228</v>
      </c>
      <c r="D18355" t="s">
        <v>621</v>
      </c>
      <c r="E18355" t="s">
        <v>622</v>
      </c>
      <c r="F18355">
        <v>163.72999999999999</v>
      </c>
      <c r="G18355">
        <v>231220</v>
      </c>
      <c r="H18355">
        <v>4362</v>
      </c>
      <c r="I18355" t="s">
        <v>79</v>
      </c>
      <c r="J18355">
        <v>203.03</v>
      </c>
      <c r="K18355">
        <v>39.299999999999997</v>
      </c>
      <c r="L18355">
        <v>14981</v>
      </c>
      <c r="M18355" t="s">
        <v>1211</v>
      </c>
      <c r="N18355" t="str">
        <f>"10048038    "</f>
        <v xml:space="preserve">10048038    </v>
      </c>
      <c r="O18355">
        <v>240102</v>
      </c>
    </row>
    <row r="18356" spans="1:15" x14ac:dyDescent="0.25">
      <c r="A18356" t="s">
        <v>16</v>
      </c>
      <c r="B18356" t="s">
        <v>3221</v>
      </c>
      <c r="C18356">
        <v>18249</v>
      </c>
      <c r="D18356" t="s">
        <v>621</v>
      </c>
      <c r="E18356" t="s">
        <v>622</v>
      </c>
      <c r="F18356">
        <v>72.63</v>
      </c>
      <c r="G18356">
        <v>231220</v>
      </c>
      <c r="H18356">
        <v>4362</v>
      </c>
      <c r="I18356" t="s">
        <v>79</v>
      </c>
      <c r="J18356">
        <v>90.06</v>
      </c>
      <c r="K18356">
        <v>17.43</v>
      </c>
      <c r="L18356">
        <v>11401</v>
      </c>
      <c r="M18356" t="s">
        <v>84</v>
      </c>
      <c r="N18356" t="str">
        <f>"10048035    "</f>
        <v xml:space="preserve">10048035    </v>
      </c>
      <c r="O18356">
        <v>240102</v>
      </c>
    </row>
    <row r="18357" spans="1:15" x14ac:dyDescent="0.25">
      <c r="A18357" t="s">
        <v>16</v>
      </c>
      <c r="B18357" t="s">
        <v>3221</v>
      </c>
      <c r="C18357">
        <v>18249</v>
      </c>
      <c r="D18357" t="s">
        <v>621</v>
      </c>
      <c r="E18357" t="s">
        <v>622</v>
      </c>
      <c r="F18357">
        <v>145.27000000000001</v>
      </c>
      <c r="G18357">
        <v>231220</v>
      </c>
      <c r="H18357">
        <v>4362</v>
      </c>
      <c r="I18357" t="s">
        <v>79</v>
      </c>
      <c r="J18357">
        <v>180.14</v>
      </c>
      <c r="K18357">
        <v>34.869999999999997</v>
      </c>
      <c r="L18357">
        <v>14952</v>
      </c>
      <c r="M18357" t="s">
        <v>99</v>
      </c>
      <c r="N18357" t="str">
        <f>"10048035    "</f>
        <v xml:space="preserve">10048035    </v>
      </c>
      <c r="O18357">
        <v>240102</v>
      </c>
    </row>
    <row r="18358" spans="1:15" x14ac:dyDescent="0.25">
      <c r="A18358" t="s">
        <v>16</v>
      </c>
      <c r="B18358" t="s">
        <v>3221</v>
      </c>
      <c r="C18358">
        <v>572</v>
      </c>
      <c r="D18358" t="s">
        <v>621</v>
      </c>
      <c r="E18358" t="s">
        <v>622</v>
      </c>
      <c r="F18358">
        <v>210</v>
      </c>
      <c r="G18358">
        <v>230123</v>
      </c>
      <c r="H18358">
        <v>1196</v>
      </c>
      <c r="I18358" t="s">
        <v>392</v>
      </c>
      <c r="J18358">
        <v>260.39999999999998</v>
      </c>
      <c r="K18358">
        <v>50.4</v>
      </c>
      <c r="L18358">
        <v>95501</v>
      </c>
      <c r="M18358" t="s">
        <v>623</v>
      </c>
      <c r="N18358" t="str">
        <f>"10016069    "</f>
        <v xml:space="preserve">10016069    </v>
      </c>
      <c r="O18358">
        <v>230124</v>
      </c>
    </row>
    <row r="18359" spans="1:15" x14ac:dyDescent="0.25">
      <c r="A18359" t="s">
        <v>16</v>
      </c>
      <c r="B18359" t="s">
        <v>3221</v>
      </c>
      <c r="C18359">
        <v>2072</v>
      </c>
      <c r="D18359" t="s">
        <v>621</v>
      </c>
      <c r="E18359" t="s">
        <v>622</v>
      </c>
      <c r="F18359">
        <v>210</v>
      </c>
      <c r="G18359">
        <v>230215</v>
      </c>
      <c r="H18359">
        <v>1196</v>
      </c>
      <c r="I18359" t="s">
        <v>392</v>
      </c>
      <c r="J18359">
        <v>260.39999999999998</v>
      </c>
      <c r="K18359">
        <v>50.4</v>
      </c>
      <c r="L18359">
        <v>95501</v>
      </c>
      <c r="M18359" t="s">
        <v>623</v>
      </c>
      <c r="N18359" t="str">
        <f>"10019331    "</f>
        <v xml:space="preserve">10019331    </v>
      </c>
      <c r="O18359">
        <v>230220</v>
      </c>
    </row>
    <row r="18360" spans="1:15" x14ac:dyDescent="0.25">
      <c r="A18360" t="s">
        <v>16</v>
      </c>
      <c r="B18360" t="s">
        <v>3221</v>
      </c>
      <c r="C18360">
        <v>3363</v>
      </c>
      <c r="D18360" t="s">
        <v>621</v>
      </c>
      <c r="E18360" t="s">
        <v>622</v>
      </c>
      <c r="F18360">
        <v>210</v>
      </c>
      <c r="G18360">
        <v>230314</v>
      </c>
      <c r="H18360">
        <v>1196</v>
      </c>
      <c r="I18360" t="s">
        <v>392</v>
      </c>
      <c r="J18360">
        <v>260.39999999999998</v>
      </c>
      <c r="K18360">
        <v>50.4</v>
      </c>
      <c r="L18360">
        <v>95501</v>
      </c>
      <c r="M18360" t="s">
        <v>623</v>
      </c>
      <c r="N18360" t="str">
        <f>"10022213    "</f>
        <v xml:space="preserve">10022213    </v>
      </c>
      <c r="O18360">
        <v>230315</v>
      </c>
    </row>
    <row r="18361" spans="1:15" x14ac:dyDescent="0.25">
      <c r="A18361" t="s">
        <v>16</v>
      </c>
      <c r="B18361" t="s">
        <v>3221</v>
      </c>
      <c r="C18361">
        <v>5436</v>
      </c>
      <c r="D18361" t="s">
        <v>621</v>
      </c>
      <c r="E18361" t="s">
        <v>622</v>
      </c>
      <c r="F18361">
        <v>210</v>
      </c>
      <c r="G18361">
        <v>230420</v>
      </c>
      <c r="H18361">
        <v>1196</v>
      </c>
      <c r="I18361" t="s">
        <v>392</v>
      </c>
      <c r="J18361">
        <v>260.39999999999998</v>
      </c>
      <c r="K18361">
        <v>50.4</v>
      </c>
      <c r="L18361">
        <v>95501</v>
      </c>
      <c r="M18361" t="s">
        <v>623</v>
      </c>
      <c r="N18361" t="str">
        <f>"10024258    "</f>
        <v xml:space="preserve">10024258    </v>
      </c>
      <c r="O18361">
        <v>230424</v>
      </c>
    </row>
    <row r="18362" spans="1:15" x14ac:dyDescent="0.25">
      <c r="A18362" t="s">
        <v>16</v>
      </c>
      <c r="B18362" t="s">
        <v>3221</v>
      </c>
      <c r="C18362">
        <v>6778</v>
      </c>
      <c r="D18362" t="s">
        <v>621</v>
      </c>
      <c r="E18362" t="s">
        <v>622</v>
      </c>
      <c r="F18362">
        <v>210</v>
      </c>
      <c r="G18362">
        <v>230515</v>
      </c>
      <c r="H18362">
        <v>1196</v>
      </c>
      <c r="I18362" t="s">
        <v>392</v>
      </c>
      <c r="J18362">
        <v>260.39999999999998</v>
      </c>
      <c r="K18362">
        <v>50.4</v>
      </c>
      <c r="L18362">
        <v>95501</v>
      </c>
      <c r="M18362" t="s">
        <v>623</v>
      </c>
      <c r="N18362" t="str">
        <f>"10027616    "</f>
        <v xml:space="preserve">10027616    </v>
      </c>
      <c r="O18362">
        <v>230522</v>
      </c>
    </row>
    <row r="18363" spans="1:15" x14ac:dyDescent="0.25">
      <c r="A18363" t="s">
        <v>16</v>
      </c>
      <c r="B18363" t="s">
        <v>3221</v>
      </c>
      <c r="C18363">
        <v>9058</v>
      </c>
      <c r="D18363" t="s">
        <v>621</v>
      </c>
      <c r="E18363" t="s">
        <v>622</v>
      </c>
      <c r="F18363">
        <v>210</v>
      </c>
      <c r="G18363">
        <v>230615</v>
      </c>
      <c r="H18363">
        <v>1196</v>
      </c>
      <c r="I18363" t="s">
        <v>392</v>
      </c>
      <c r="J18363">
        <v>260.39999999999998</v>
      </c>
      <c r="K18363">
        <v>50.4</v>
      </c>
      <c r="L18363">
        <v>95501</v>
      </c>
      <c r="M18363" t="s">
        <v>623</v>
      </c>
      <c r="N18363" t="str">
        <f>"10030274    "</f>
        <v xml:space="preserve">10030274    </v>
      </c>
      <c r="O18363">
        <v>230622</v>
      </c>
    </row>
    <row r="18364" spans="1:15" x14ac:dyDescent="0.25">
      <c r="A18364" t="s">
        <v>16</v>
      </c>
      <c r="B18364" t="s">
        <v>3221</v>
      </c>
      <c r="C18364">
        <v>9682</v>
      </c>
      <c r="D18364" t="s">
        <v>621</v>
      </c>
      <c r="E18364" t="s">
        <v>622</v>
      </c>
      <c r="F18364">
        <v>210</v>
      </c>
      <c r="G18364">
        <v>230717</v>
      </c>
      <c r="H18364">
        <v>1196</v>
      </c>
      <c r="I18364" t="s">
        <v>392</v>
      </c>
      <c r="J18364">
        <v>260.39999999999998</v>
      </c>
      <c r="K18364">
        <v>50.4</v>
      </c>
      <c r="L18364">
        <v>95501</v>
      </c>
      <c r="M18364" t="s">
        <v>623</v>
      </c>
      <c r="N18364" t="str">
        <f>"10033130    "</f>
        <v xml:space="preserve">10033130    </v>
      </c>
      <c r="O18364">
        <v>230719</v>
      </c>
    </row>
    <row r="18365" spans="1:15" x14ac:dyDescent="0.25">
      <c r="A18365" t="s">
        <v>16</v>
      </c>
      <c r="B18365" t="s">
        <v>3221</v>
      </c>
      <c r="C18365">
        <v>10660</v>
      </c>
      <c r="D18365" t="s">
        <v>621</v>
      </c>
      <c r="E18365" t="s">
        <v>622</v>
      </c>
      <c r="F18365">
        <v>210</v>
      </c>
      <c r="G18365">
        <v>230817</v>
      </c>
      <c r="H18365">
        <v>1196</v>
      </c>
      <c r="I18365" t="s">
        <v>392</v>
      </c>
      <c r="J18365">
        <v>260.39999999999998</v>
      </c>
      <c r="K18365">
        <v>50.4</v>
      </c>
      <c r="L18365">
        <v>95501</v>
      </c>
      <c r="M18365" t="s">
        <v>623</v>
      </c>
      <c r="N18365" t="str">
        <f>"10036637    "</f>
        <v xml:space="preserve">10036637    </v>
      </c>
      <c r="O18365">
        <v>230821</v>
      </c>
    </row>
    <row r="18366" spans="1:15" x14ac:dyDescent="0.25">
      <c r="A18366" t="s">
        <v>16</v>
      </c>
      <c r="B18366" t="s">
        <v>3221</v>
      </c>
      <c r="C18366">
        <v>12445</v>
      </c>
      <c r="D18366" t="s">
        <v>621</v>
      </c>
      <c r="E18366" t="s">
        <v>622</v>
      </c>
      <c r="F18366">
        <v>210</v>
      </c>
      <c r="G18366">
        <v>230918</v>
      </c>
      <c r="H18366">
        <v>1196</v>
      </c>
      <c r="I18366" t="s">
        <v>392</v>
      </c>
      <c r="J18366">
        <v>260.39999999999998</v>
      </c>
      <c r="K18366">
        <v>50.4</v>
      </c>
      <c r="L18366">
        <v>95501</v>
      </c>
      <c r="M18366" t="s">
        <v>623</v>
      </c>
      <c r="N18366" t="str">
        <f>"10039238    "</f>
        <v xml:space="preserve">10039238    </v>
      </c>
      <c r="O18366">
        <v>230920</v>
      </c>
    </row>
    <row r="18367" spans="1:15" x14ac:dyDescent="0.25">
      <c r="A18367" t="s">
        <v>16</v>
      </c>
      <c r="B18367" t="s">
        <v>3221</v>
      </c>
      <c r="C18367">
        <v>14334</v>
      </c>
      <c r="D18367" t="s">
        <v>621</v>
      </c>
      <c r="E18367" t="s">
        <v>622</v>
      </c>
      <c r="F18367">
        <v>210</v>
      </c>
      <c r="G18367">
        <v>231018</v>
      </c>
      <c r="H18367">
        <v>1196</v>
      </c>
      <c r="I18367" t="s">
        <v>392</v>
      </c>
      <c r="J18367">
        <v>260.39999999999998</v>
      </c>
      <c r="K18367">
        <v>50.4</v>
      </c>
      <c r="L18367">
        <v>95501</v>
      </c>
      <c r="M18367" t="s">
        <v>623</v>
      </c>
      <c r="N18367" t="str">
        <f>"10043484    "</f>
        <v xml:space="preserve">10043484    </v>
      </c>
      <c r="O18367">
        <v>231027</v>
      </c>
    </row>
    <row r="18368" spans="1:15" x14ac:dyDescent="0.25">
      <c r="A18368" t="s">
        <v>16</v>
      </c>
      <c r="B18368" t="s">
        <v>3221</v>
      </c>
      <c r="C18368">
        <v>16051</v>
      </c>
      <c r="D18368" t="s">
        <v>621</v>
      </c>
      <c r="E18368" t="s">
        <v>622</v>
      </c>
      <c r="F18368">
        <v>217.9</v>
      </c>
      <c r="G18368">
        <v>231117</v>
      </c>
      <c r="H18368">
        <v>1196</v>
      </c>
      <c r="I18368" t="s">
        <v>392</v>
      </c>
      <c r="J18368">
        <v>270.2</v>
      </c>
      <c r="K18368">
        <v>52.3</v>
      </c>
      <c r="L18368">
        <v>95501</v>
      </c>
      <c r="M18368" t="s">
        <v>623</v>
      </c>
      <c r="N18368" t="str">
        <f>"10045481    "</f>
        <v xml:space="preserve">10045481    </v>
      </c>
      <c r="O18368">
        <v>231122</v>
      </c>
    </row>
    <row r="18369" spans="1:15" x14ac:dyDescent="0.25">
      <c r="A18369" t="s">
        <v>16</v>
      </c>
      <c r="B18369" t="s">
        <v>3221</v>
      </c>
      <c r="C18369">
        <v>16612</v>
      </c>
      <c r="D18369" t="s">
        <v>621</v>
      </c>
      <c r="E18369" t="s">
        <v>622</v>
      </c>
      <c r="F18369">
        <v>633.9</v>
      </c>
      <c r="G18369">
        <v>231128</v>
      </c>
      <c r="H18369">
        <v>1196</v>
      </c>
      <c r="I18369" t="s">
        <v>392</v>
      </c>
      <c r="J18369">
        <v>786.04</v>
      </c>
      <c r="K18369">
        <v>152.13999999999999</v>
      </c>
      <c r="L18369">
        <v>97604</v>
      </c>
      <c r="M18369" t="s">
        <v>2687</v>
      </c>
      <c r="N18369" t="str">
        <f>"10047213    "</f>
        <v xml:space="preserve">10047213    </v>
      </c>
      <c r="O18369">
        <v>231204</v>
      </c>
    </row>
    <row r="18370" spans="1:15" x14ac:dyDescent="0.25">
      <c r="A18370" t="s">
        <v>16</v>
      </c>
      <c r="B18370" t="s">
        <v>3221</v>
      </c>
      <c r="C18370">
        <v>18185</v>
      </c>
      <c r="D18370" t="s">
        <v>621</v>
      </c>
      <c r="E18370" t="s">
        <v>622</v>
      </c>
      <c r="F18370">
        <v>217.9</v>
      </c>
      <c r="G18370">
        <v>231220</v>
      </c>
      <c r="H18370">
        <v>1196</v>
      </c>
      <c r="I18370" t="s">
        <v>392</v>
      </c>
      <c r="J18370">
        <v>270.2</v>
      </c>
      <c r="K18370">
        <v>52.3</v>
      </c>
      <c r="L18370">
        <v>95501</v>
      </c>
      <c r="M18370" t="s">
        <v>623</v>
      </c>
      <c r="N18370" t="str">
        <f>"10048037    "</f>
        <v xml:space="preserve">10048037    </v>
      </c>
      <c r="O18370">
        <v>240102</v>
      </c>
    </row>
    <row r="18371" spans="1:15" x14ac:dyDescent="0.25">
      <c r="A18371" t="s">
        <v>16</v>
      </c>
      <c r="B18371" t="s">
        <v>3221</v>
      </c>
      <c r="C18371">
        <v>18229</v>
      </c>
      <c r="D18371" t="s">
        <v>621</v>
      </c>
      <c r="E18371" t="s">
        <v>622</v>
      </c>
      <c r="F18371">
        <v>233.9</v>
      </c>
      <c r="G18371">
        <v>231220</v>
      </c>
      <c r="H18371">
        <v>1196</v>
      </c>
      <c r="I18371" t="s">
        <v>392</v>
      </c>
      <c r="J18371">
        <v>290.04000000000002</v>
      </c>
      <c r="K18371">
        <v>56.14</v>
      </c>
      <c r="L18371">
        <v>97604</v>
      </c>
      <c r="M18371" t="s">
        <v>2687</v>
      </c>
      <c r="N18371" t="str">
        <f>"10048036    "</f>
        <v xml:space="preserve">10048036    </v>
      </c>
      <c r="O18371">
        <v>240102</v>
      </c>
    </row>
    <row r="18372" spans="1:15" x14ac:dyDescent="0.25">
      <c r="A18372" t="s">
        <v>16</v>
      </c>
      <c r="B18372" t="s">
        <v>3221</v>
      </c>
      <c r="C18372">
        <v>1297</v>
      </c>
      <c r="D18372" t="s">
        <v>987</v>
      </c>
      <c r="E18372" t="s">
        <v>988</v>
      </c>
      <c r="F18372">
        <v>12</v>
      </c>
      <c r="G18372">
        <v>230202</v>
      </c>
      <c r="H18372">
        <v>4410</v>
      </c>
      <c r="I18372" t="s">
        <v>517</v>
      </c>
      <c r="J18372">
        <v>12</v>
      </c>
      <c r="K18372">
        <v>0</v>
      </c>
      <c r="L18372">
        <v>56564</v>
      </c>
      <c r="M18372" t="s">
        <v>327</v>
      </c>
      <c r="N18372" t="str">
        <f>"3002934739  "</f>
        <v xml:space="preserve">3002934739  </v>
      </c>
      <c r="O18372">
        <v>230207</v>
      </c>
    </row>
    <row r="18373" spans="1:15" x14ac:dyDescent="0.25">
      <c r="A18373" t="s">
        <v>16</v>
      </c>
      <c r="B18373" t="s">
        <v>3221</v>
      </c>
      <c r="C18373">
        <v>1297</v>
      </c>
      <c r="D18373" t="s">
        <v>987</v>
      </c>
      <c r="E18373" t="s">
        <v>988</v>
      </c>
      <c r="F18373">
        <v>198.18</v>
      </c>
      <c r="G18373">
        <v>230202</v>
      </c>
      <c r="H18373">
        <v>4410</v>
      </c>
      <c r="I18373" t="s">
        <v>517</v>
      </c>
      <c r="J18373">
        <v>218</v>
      </c>
      <c r="K18373">
        <v>19.82</v>
      </c>
      <c r="L18373">
        <v>56564</v>
      </c>
      <c r="M18373" t="s">
        <v>327</v>
      </c>
      <c r="N18373" t="str">
        <f>"3002934739  "</f>
        <v xml:space="preserve">3002934739  </v>
      </c>
      <c r="O18373">
        <v>230207</v>
      </c>
    </row>
    <row r="18374" spans="1:15" x14ac:dyDescent="0.25">
      <c r="A18374" t="s">
        <v>16</v>
      </c>
      <c r="B18374" t="s">
        <v>3221</v>
      </c>
      <c r="C18374">
        <v>1319</v>
      </c>
      <c r="D18374" t="s">
        <v>987</v>
      </c>
      <c r="E18374" t="s">
        <v>988</v>
      </c>
      <c r="F18374">
        <v>6</v>
      </c>
      <c r="G18374">
        <v>230202</v>
      </c>
      <c r="H18374">
        <v>4410</v>
      </c>
      <c r="I18374" t="s">
        <v>517</v>
      </c>
      <c r="J18374">
        <v>6</v>
      </c>
      <c r="K18374">
        <v>0</v>
      </c>
      <c r="L18374">
        <v>66722</v>
      </c>
      <c r="M18374" t="s">
        <v>518</v>
      </c>
      <c r="N18374" t="str">
        <f>"3002934738  "</f>
        <v xml:space="preserve">3002934738  </v>
      </c>
      <c r="O18374">
        <v>230207</v>
      </c>
    </row>
    <row r="18375" spans="1:15" x14ac:dyDescent="0.25">
      <c r="A18375" t="s">
        <v>16</v>
      </c>
      <c r="B18375" t="s">
        <v>3221</v>
      </c>
      <c r="C18375">
        <v>1319</v>
      </c>
      <c r="D18375" t="s">
        <v>987</v>
      </c>
      <c r="E18375" t="s">
        <v>988</v>
      </c>
      <c r="F18375">
        <v>95.61</v>
      </c>
      <c r="G18375">
        <v>230202</v>
      </c>
      <c r="H18375">
        <v>4410</v>
      </c>
      <c r="I18375" t="s">
        <v>517</v>
      </c>
      <c r="J18375">
        <v>109</v>
      </c>
      <c r="K18375">
        <v>13.39</v>
      </c>
      <c r="L18375">
        <v>66722</v>
      </c>
      <c r="M18375" t="s">
        <v>518</v>
      </c>
      <c r="N18375" t="str">
        <f>"3002934738  "</f>
        <v xml:space="preserve">3002934738  </v>
      </c>
      <c r="O18375">
        <v>230207</v>
      </c>
    </row>
    <row r="18376" spans="1:15" x14ac:dyDescent="0.25">
      <c r="A18376" t="s">
        <v>16</v>
      </c>
      <c r="B18376" t="s">
        <v>3221</v>
      </c>
      <c r="C18376">
        <v>5021</v>
      </c>
      <c r="D18376" t="s">
        <v>987</v>
      </c>
      <c r="E18376" t="s">
        <v>988</v>
      </c>
      <c r="F18376">
        <v>9</v>
      </c>
      <c r="G18376">
        <v>230324</v>
      </c>
      <c r="H18376">
        <v>4410</v>
      </c>
      <c r="I18376" t="s">
        <v>517</v>
      </c>
      <c r="J18376">
        <v>9</v>
      </c>
      <c r="K18376">
        <v>0</v>
      </c>
      <c r="L18376">
        <v>56564</v>
      </c>
      <c r="M18376" t="s">
        <v>327</v>
      </c>
      <c r="N18376" t="str">
        <f>"3003057341  "</f>
        <v xml:space="preserve">3003057341  </v>
      </c>
      <c r="O18376">
        <v>230417</v>
      </c>
    </row>
    <row r="18377" spans="1:15" x14ac:dyDescent="0.25">
      <c r="A18377" t="s">
        <v>16</v>
      </c>
      <c r="B18377" t="s">
        <v>3221</v>
      </c>
      <c r="C18377">
        <v>5021</v>
      </c>
      <c r="D18377" t="s">
        <v>987</v>
      </c>
      <c r="E18377" t="s">
        <v>988</v>
      </c>
      <c r="F18377">
        <v>27.42</v>
      </c>
      <c r="G18377">
        <v>230324</v>
      </c>
      <c r="H18377">
        <v>4410</v>
      </c>
      <c r="I18377" t="s">
        <v>517</v>
      </c>
      <c r="J18377">
        <v>34</v>
      </c>
      <c r="K18377">
        <v>6.58</v>
      </c>
      <c r="L18377">
        <v>56564</v>
      </c>
      <c r="M18377" t="s">
        <v>327</v>
      </c>
      <c r="N18377" t="str">
        <f>"3003057341  "</f>
        <v xml:space="preserve">3003057341  </v>
      </c>
      <c r="O18377">
        <v>230417</v>
      </c>
    </row>
    <row r="18378" spans="1:15" x14ac:dyDescent="0.25">
      <c r="A18378" t="s">
        <v>16</v>
      </c>
      <c r="B18378" t="s">
        <v>3221</v>
      </c>
      <c r="C18378">
        <v>5021</v>
      </c>
      <c r="D18378" t="s">
        <v>987</v>
      </c>
      <c r="E18378" t="s">
        <v>988</v>
      </c>
      <c r="F18378">
        <v>136.36000000000001</v>
      </c>
      <c r="G18378">
        <v>230324</v>
      </c>
      <c r="H18378">
        <v>4410</v>
      </c>
      <c r="I18378" t="s">
        <v>517</v>
      </c>
      <c r="J18378">
        <v>150</v>
      </c>
      <c r="K18378">
        <v>13.64</v>
      </c>
      <c r="L18378">
        <v>56564</v>
      </c>
      <c r="M18378" t="s">
        <v>327</v>
      </c>
      <c r="N18378" t="str">
        <f>"3003057341  "</f>
        <v xml:space="preserve">3003057341  </v>
      </c>
      <c r="O18378">
        <v>230417</v>
      </c>
    </row>
    <row r="18379" spans="1:15" x14ac:dyDescent="0.25">
      <c r="A18379" t="s">
        <v>16</v>
      </c>
      <c r="B18379" t="s">
        <v>3221</v>
      </c>
      <c r="C18379">
        <v>6937</v>
      </c>
      <c r="D18379" t="s">
        <v>987</v>
      </c>
      <c r="E18379" t="s">
        <v>988</v>
      </c>
      <c r="F18379">
        <v>12.1</v>
      </c>
      <c r="G18379">
        <v>230511</v>
      </c>
      <c r="H18379">
        <v>4410</v>
      </c>
      <c r="I18379" t="s">
        <v>517</v>
      </c>
      <c r="J18379">
        <v>15</v>
      </c>
      <c r="K18379">
        <v>2.9</v>
      </c>
      <c r="L18379">
        <v>18010</v>
      </c>
      <c r="M18379" t="s">
        <v>1344</v>
      </c>
      <c r="N18379" t="str">
        <f>"3003174208  "</f>
        <v xml:space="preserve">3003174208  </v>
      </c>
      <c r="O18379">
        <v>230523</v>
      </c>
    </row>
    <row r="18380" spans="1:15" x14ac:dyDescent="0.25">
      <c r="A18380" t="s">
        <v>16</v>
      </c>
      <c r="B18380" t="s">
        <v>3221</v>
      </c>
      <c r="C18380">
        <v>6937</v>
      </c>
      <c r="D18380" t="s">
        <v>987</v>
      </c>
      <c r="E18380" t="s">
        <v>988</v>
      </c>
      <c r="F18380">
        <v>216</v>
      </c>
      <c r="G18380">
        <v>230511</v>
      </c>
      <c r="H18380">
        <v>4410</v>
      </c>
      <c r="I18380" t="s">
        <v>517</v>
      </c>
      <c r="J18380">
        <v>216</v>
      </c>
      <c r="K18380">
        <v>0</v>
      </c>
      <c r="L18380">
        <v>18010</v>
      </c>
      <c r="M18380" t="s">
        <v>1344</v>
      </c>
      <c r="N18380" t="str">
        <f>"3003174208  "</f>
        <v xml:space="preserve">3003174208  </v>
      </c>
      <c r="O18380">
        <v>230523</v>
      </c>
    </row>
    <row r="18381" spans="1:15" x14ac:dyDescent="0.25">
      <c r="A18381" t="s">
        <v>16</v>
      </c>
      <c r="B18381" t="s">
        <v>3221</v>
      </c>
      <c r="C18381">
        <v>6937</v>
      </c>
      <c r="D18381" t="s">
        <v>987</v>
      </c>
      <c r="E18381" t="s">
        <v>988</v>
      </c>
      <c r="F18381">
        <v>213.16</v>
      </c>
      <c r="G18381">
        <v>230511</v>
      </c>
      <c r="H18381">
        <v>4410</v>
      </c>
      <c r="I18381" t="s">
        <v>517</v>
      </c>
      <c r="J18381">
        <v>243</v>
      </c>
      <c r="K18381">
        <v>29.84</v>
      </c>
      <c r="L18381">
        <v>18010</v>
      </c>
      <c r="M18381" t="s">
        <v>1344</v>
      </c>
      <c r="N18381" t="str">
        <f>"3003174208  "</f>
        <v xml:space="preserve">3003174208  </v>
      </c>
      <c r="O18381">
        <v>230523</v>
      </c>
    </row>
    <row r="18382" spans="1:15" x14ac:dyDescent="0.25">
      <c r="A18382" t="s">
        <v>16</v>
      </c>
      <c r="B18382" t="s">
        <v>3221</v>
      </c>
      <c r="C18382">
        <v>6937</v>
      </c>
      <c r="D18382" t="s">
        <v>987</v>
      </c>
      <c r="E18382" t="s">
        <v>988</v>
      </c>
      <c r="F18382">
        <v>4519.09</v>
      </c>
      <c r="G18382">
        <v>230511</v>
      </c>
      <c r="H18382">
        <v>4410</v>
      </c>
      <c r="I18382" t="s">
        <v>517</v>
      </c>
      <c r="J18382">
        <v>4971</v>
      </c>
      <c r="K18382">
        <v>451.91</v>
      </c>
      <c r="L18382">
        <v>18010</v>
      </c>
      <c r="M18382" t="s">
        <v>1344</v>
      </c>
      <c r="N18382" t="str">
        <f>"3003174208  "</f>
        <v xml:space="preserve">3003174208  </v>
      </c>
      <c r="O18382">
        <v>230523</v>
      </c>
    </row>
    <row r="18383" spans="1:15" x14ac:dyDescent="0.25">
      <c r="A18383" t="s">
        <v>16</v>
      </c>
      <c r="B18383" t="s">
        <v>3221</v>
      </c>
      <c r="C18383">
        <v>11913</v>
      </c>
      <c r="D18383" t="s">
        <v>987</v>
      </c>
      <c r="E18383" t="s">
        <v>988</v>
      </c>
      <c r="F18383">
        <v>9</v>
      </c>
      <c r="G18383">
        <v>230906</v>
      </c>
      <c r="H18383">
        <v>4410</v>
      </c>
      <c r="I18383" t="s">
        <v>517</v>
      </c>
      <c r="J18383">
        <v>9</v>
      </c>
      <c r="K18383">
        <v>0</v>
      </c>
      <c r="L18383">
        <v>47522</v>
      </c>
      <c r="M18383" t="s">
        <v>410</v>
      </c>
      <c r="N18383" t="str">
        <f>"3003420420  "</f>
        <v xml:space="preserve">3003420420  </v>
      </c>
      <c r="O18383">
        <v>230911</v>
      </c>
    </row>
    <row r="18384" spans="1:15" x14ac:dyDescent="0.25">
      <c r="A18384" t="s">
        <v>16</v>
      </c>
      <c r="B18384" t="s">
        <v>3221</v>
      </c>
      <c r="C18384">
        <v>11913</v>
      </c>
      <c r="D18384" t="s">
        <v>987</v>
      </c>
      <c r="E18384" t="s">
        <v>988</v>
      </c>
      <c r="F18384">
        <v>12.1</v>
      </c>
      <c r="G18384">
        <v>230906</v>
      </c>
      <c r="H18384">
        <v>4410</v>
      </c>
      <c r="I18384" t="s">
        <v>517</v>
      </c>
      <c r="J18384">
        <v>15</v>
      </c>
      <c r="K18384">
        <v>2.9</v>
      </c>
      <c r="L18384">
        <v>47522</v>
      </c>
      <c r="M18384" t="s">
        <v>410</v>
      </c>
      <c r="N18384" t="str">
        <f>"3003420420  "</f>
        <v xml:space="preserve">3003420420  </v>
      </c>
      <c r="O18384">
        <v>230911</v>
      </c>
    </row>
    <row r="18385" spans="1:15" x14ac:dyDescent="0.25">
      <c r="A18385" t="s">
        <v>16</v>
      </c>
      <c r="B18385" t="s">
        <v>3221</v>
      </c>
      <c r="C18385">
        <v>11913</v>
      </c>
      <c r="D18385" t="s">
        <v>987</v>
      </c>
      <c r="E18385" t="s">
        <v>988</v>
      </c>
      <c r="F18385">
        <v>84.74</v>
      </c>
      <c r="G18385">
        <v>230906</v>
      </c>
      <c r="H18385">
        <v>4410</v>
      </c>
      <c r="I18385" t="s">
        <v>517</v>
      </c>
      <c r="J18385">
        <v>93.21</v>
      </c>
      <c r="K18385">
        <v>8.4700000000000006</v>
      </c>
      <c r="L18385">
        <v>47522</v>
      </c>
      <c r="M18385" t="s">
        <v>410</v>
      </c>
      <c r="N18385" t="str">
        <f>"3003420420  "</f>
        <v xml:space="preserve">3003420420  </v>
      </c>
      <c r="O18385">
        <v>230911</v>
      </c>
    </row>
    <row r="18386" spans="1:15" x14ac:dyDescent="0.25">
      <c r="A18386" t="s">
        <v>16</v>
      </c>
      <c r="B18386" t="s">
        <v>3221</v>
      </c>
      <c r="C18386">
        <v>14345</v>
      </c>
      <c r="D18386" t="s">
        <v>987</v>
      </c>
      <c r="E18386" t="s">
        <v>988</v>
      </c>
      <c r="F18386">
        <v>9</v>
      </c>
      <c r="G18386">
        <v>231011</v>
      </c>
      <c r="H18386">
        <v>4410</v>
      </c>
      <c r="I18386" t="s">
        <v>517</v>
      </c>
      <c r="J18386">
        <v>9</v>
      </c>
      <c r="K18386">
        <v>0</v>
      </c>
      <c r="L18386">
        <v>47522</v>
      </c>
      <c r="M18386" t="s">
        <v>410</v>
      </c>
      <c r="N18386" t="str">
        <f>"3003497291  "</f>
        <v xml:space="preserve">3003497291  </v>
      </c>
      <c r="O18386">
        <v>231027</v>
      </c>
    </row>
    <row r="18387" spans="1:15" x14ac:dyDescent="0.25">
      <c r="A18387" t="s">
        <v>16</v>
      </c>
      <c r="B18387" t="s">
        <v>3221</v>
      </c>
      <c r="C18387">
        <v>14345</v>
      </c>
      <c r="D18387" t="s">
        <v>987</v>
      </c>
      <c r="E18387" t="s">
        <v>988</v>
      </c>
      <c r="F18387">
        <v>12.1</v>
      </c>
      <c r="G18387">
        <v>231011</v>
      </c>
      <c r="H18387">
        <v>4410</v>
      </c>
      <c r="I18387" t="s">
        <v>517</v>
      </c>
      <c r="J18387">
        <v>15</v>
      </c>
      <c r="K18387">
        <v>2.9</v>
      </c>
      <c r="L18387">
        <v>47522</v>
      </c>
      <c r="M18387" t="s">
        <v>410</v>
      </c>
      <c r="N18387" t="str">
        <f>"3003497291  "</f>
        <v xml:space="preserve">3003497291  </v>
      </c>
      <c r="O18387">
        <v>231027</v>
      </c>
    </row>
    <row r="18388" spans="1:15" x14ac:dyDescent="0.25">
      <c r="A18388" t="s">
        <v>16</v>
      </c>
      <c r="B18388" t="s">
        <v>3221</v>
      </c>
      <c r="C18388">
        <v>14345</v>
      </c>
      <c r="D18388" t="s">
        <v>987</v>
      </c>
      <c r="E18388" t="s">
        <v>988</v>
      </c>
      <c r="F18388">
        <v>84.74</v>
      </c>
      <c r="G18388">
        <v>231011</v>
      </c>
      <c r="H18388">
        <v>4410</v>
      </c>
      <c r="I18388" t="s">
        <v>517</v>
      </c>
      <c r="J18388">
        <v>93.21</v>
      </c>
      <c r="K18388">
        <v>8.4700000000000006</v>
      </c>
      <c r="L18388">
        <v>47522</v>
      </c>
      <c r="M18388" t="s">
        <v>410</v>
      </c>
      <c r="N18388" t="str">
        <f>"3003497291  "</f>
        <v xml:space="preserve">3003497291  </v>
      </c>
      <c r="O18388">
        <v>231027</v>
      </c>
    </row>
    <row r="18389" spans="1:15" x14ac:dyDescent="0.25">
      <c r="A18389" t="s">
        <v>16</v>
      </c>
      <c r="B18389" t="s">
        <v>3221</v>
      </c>
      <c r="C18389">
        <v>7911</v>
      </c>
      <c r="D18389" t="s">
        <v>987</v>
      </c>
      <c r="E18389" t="s">
        <v>988</v>
      </c>
      <c r="F18389">
        <v>18</v>
      </c>
      <c r="G18389">
        <v>230531</v>
      </c>
      <c r="H18389">
        <v>4425</v>
      </c>
      <c r="I18389" t="s">
        <v>1345</v>
      </c>
      <c r="J18389">
        <v>18</v>
      </c>
      <c r="K18389">
        <v>0</v>
      </c>
      <c r="L18389">
        <v>17805</v>
      </c>
      <c r="M18389" t="s">
        <v>102</v>
      </c>
      <c r="N18389" t="str">
        <f>"3003199486  "</f>
        <v xml:space="preserve">3003199486  </v>
      </c>
      <c r="O18389">
        <v>230605</v>
      </c>
    </row>
    <row r="18390" spans="1:15" x14ac:dyDescent="0.25">
      <c r="A18390" t="s">
        <v>16</v>
      </c>
      <c r="B18390" t="s">
        <v>3221</v>
      </c>
      <c r="C18390">
        <v>7911</v>
      </c>
      <c r="D18390" t="s">
        <v>987</v>
      </c>
      <c r="E18390" t="s">
        <v>988</v>
      </c>
      <c r="F18390">
        <v>18</v>
      </c>
      <c r="G18390">
        <v>230531</v>
      </c>
      <c r="H18390">
        <v>4425</v>
      </c>
      <c r="I18390" t="s">
        <v>1345</v>
      </c>
      <c r="J18390">
        <v>18</v>
      </c>
      <c r="K18390">
        <v>0</v>
      </c>
      <c r="L18390">
        <v>17805</v>
      </c>
      <c r="M18390" t="s">
        <v>102</v>
      </c>
      <c r="N18390" t="str">
        <f>"3003199486  "</f>
        <v xml:space="preserve">3003199486  </v>
      </c>
      <c r="O18390">
        <v>230605</v>
      </c>
    </row>
    <row r="18391" spans="1:15" x14ac:dyDescent="0.25">
      <c r="A18391" t="s">
        <v>16</v>
      </c>
      <c r="B18391" t="s">
        <v>3221</v>
      </c>
      <c r="C18391">
        <v>7911</v>
      </c>
      <c r="D18391" t="s">
        <v>987</v>
      </c>
      <c r="E18391" t="s">
        <v>988</v>
      </c>
      <c r="F18391">
        <v>126.82</v>
      </c>
      <c r="G18391">
        <v>230531</v>
      </c>
      <c r="H18391">
        <v>4425</v>
      </c>
      <c r="I18391" t="s">
        <v>1345</v>
      </c>
      <c r="J18391">
        <v>139.5</v>
      </c>
      <c r="K18391">
        <v>12.68</v>
      </c>
      <c r="L18391">
        <v>17805</v>
      </c>
      <c r="M18391" t="s">
        <v>102</v>
      </c>
      <c r="N18391" t="str">
        <f>"3003199486  "</f>
        <v xml:space="preserve">3003199486  </v>
      </c>
      <c r="O18391">
        <v>230605</v>
      </c>
    </row>
    <row r="18392" spans="1:15" x14ac:dyDescent="0.25">
      <c r="A18392" t="s">
        <v>16</v>
      </c>
      <c r="B18392" t="s">
        <v>3221</v>
      </c>
      <c r="C18392">
        <v>7911</v>
      </c>
      <c r="D18392" t="s">
        <v>987</v>
      </c>
      <c r="E18392" t="s">
        <v>988</v>
      </c>
      <c r="F18392">
        <v>126.82</v>
      </c>
      <c r="G18392">
        <v>230531</v>
      </c>
      <c r="H18392">
        <v>4425</v>
      </c>
      <c r="I18392" t="s">
        <v>1345</v>
      </c>
      <c r="J18392">
        <v>139.5</v>
      </c>
      <c r="K18392">
        <v>12.68</v>
      </c>
      <c r="L18392">
        <v>17805</v>
      </c>
      <c r="M18392" t="s">
        <v>102</v>
      </c>
      <c r="N18392" t="str">
        <f>"3003199486  "</f>
        <v xml:space="preserve">3003199486  </v>
      </c>
      <c r="O18392">
        <v>230605</v>
      </c>
    </row>
    <row r="18393" spans="1:15" x14ac:dyDescent="0.25">
      <c r="A18393" t="s">
        <v>16</v>
      </c>
      <c r="B18393" t="s">
        <v>3221</v>
      </c>
      <c r="C18393">
        <v>1297</v>
      </c>
      <c r="D18393" t="s">
        <v>987</v>
      </c>
      <c r="E18393" t="s">
        <v>988</v>
      </c>
      <c r="F18393">
        <v>20.97</v>
      </c>
      <c r="G18393">
        <v>230202</v>
      </c>
      <c r="H18393">
        <v>4420</v>
      </c>
      <c r="I18393" t="s">
        <v>132</v>
      </c>
      <c r="J18393">
        <v>26</v>
      </c>
      <c r="K18393">
        <v>5.03</v>
      </c>
      <c r="L18393">
        <v>56564</v>
      </c>
      <c r="M18393" t="s">
        <v>327</v>
      </c>
      <c r="N18393" t="str">
        <f>"3002934739  "</f>
        <v xml:space="preserve">3002934739  </v>
      </c>
      <c r="O18393">
        <v>230207</v>
      </c>
    </row>
    <row r="18394" spans="1:15" x14ac:dyDescent="0.25">
      <c r="A18394" t="s">
        <v>16</v>
      </c>
      <c r="B18394" t="s">
        <v>3221</v>
      </c>
      <c r="C18394">
        <v>1319</v>
      </c>
      <c r="D18394" t="s">
        <v>987</v>
      </c>
      <c r="E18394" t="s">
        <v>988</v>
      </c>
      <c r="F18394">
        <v>12.1</v>
      </c>
      <c r="G18394">
        <v>230202</v>
      </c>
      <c r="H18394">
        <v>4470</v>
      </c>
      <c r="I18394" t="s">
        <v>83</v>
      </c>
      <c r="J18394">
        <v>15</v>
      </c>
      <c r="K18394">
        <v>2.9</v>
      </c>
      <c r="L18394">
        <v>66722</v>
      </c>
      <c r="M18394" t="s">
        <v>518</v>
      </c>
      <c r="N18394" t="str">
        <f>"3002934738  "</f>
        <v xml:space="preserve">3002934738  </v>
      </c>
      <c r="O18394">
        <v>230207</v>
      </c>
    </row>
    <row r="18395" spans="1:15" x14ac:dyDescent="0.25">
      <c r="A18395" t="s">
        <v>16</v>
      </c>
      <c r="B18395" t="s">
        <v>3221</v>
      </c>
      <c r="C18395">
        <v>11217</v>
      </c>
      <c r="D18395" t="s">
        <v>611</v>
      </c>
      <c r="E18395" t="s">
        <v>612</v>
      </c>
      <c r="F18395">
        <v>328.97</v>
      </c>
      <c r="G18395">
        <v>230817</v>
      </c>
      <c r="H18395">
        <v>4600</v>
      </c>
      <c r="I18395" t="s">
        <v>105</v>
      </c>
      <c r="J18395">
        <v>407.92</v>
      </c>
      <c r="K18395">
        <v>78.95</v>
      </c>
      <c r="L18395">
        <v>17802</v>
      </c>
      <c r="M18395" t="s">
        <v>174</v>
      </c>
      <c r="N18395" t="str">
        <f>"263352      "</f>
        <v xml:space="preserve">263352      </v>
      </c>
      <c r="O18395">
        <v>230901</v>
      </c>
    </row>
    <row r="18396" spans="1:15" x14ac:dyDescent="0.25">
      <c r="A18396" t="s">
        <v>16</v>
      </c>
      <c r="B18396" t="s">
        <v>3221</v>
      </c>
      <c r="C18396">
        <v>17002</v>
      </c>
      <c r="D18396" t="s">
        <v>611</v>
      </c>
      <c r="E18396" t="s">
        <v>612</v>
      </c>
      <c r="F18396">
        <v>92</v>
      </c>
      <c r="G18396">
        <v>231204</v>
      </c>
      <c r="H18396">
        <v>4600</v>
      </c>
      <c r="I18396" t="s">
        <v>105</v>
      </c>
      <c r="J18396">
        <v>114.08</v>
      </c>
      <c r="K18396">
        <v>22.08</v>
      </c>
      <c r="L18396">
        <v>17802</v>
      </c>
      <c r="M18396" t="s">
        <v>174</v>
      </c>
      <c r="N18396" t="str">
        <f>"264725      "</f>
        <v xml:space="preserve">264725      </v>
      </c>
      <c r="O18396">
        <v>231211</v>
      </c>
    </row>
    <row r="18397" spans="1:15" x14ac:dyDescent="0.25">
      <c r="A18397" t="s">
        <v>16</v>
      </c>
      <c r="B18397" t="s">
        <v>3221</v>
      </c>
      <c r="C18397">
        <v>556</v>
      </c>
      <c r="D18397" t="s">
        <v>611</v>
      </c>
      <c r="E18397" t="s">
        <v>612</v>
      </c>
      <c r="F18397">
        <v>1277</v>
      </c>
      <c r="G18397">
        <v>230123</v>
      </c>
      <c r="H18397">
        <v>4560</v>
      </c>
      <c r="I18397" t="s">
        <v>345</v>
      </c>
      <c r="J18397">
        <v>1583.48</v>
      </c>
      <c r="K18397">
        <v>306.48</v>
      </c>
      <c r="L18397">
        <v>17803</v>
      </c>
      <c r="M18397" t="s">
        <v>389</v>
      </c>
      <c r="N18397" t="str">
        <f>"260498      "</f>
        <v xml:space="preserve">260498      </v>
      </c>
      <c r="O18397">
        <v>230124</v>
      </c>
    </row>
    <row r="18398" spans="1:15" x14ac:dyDescent="0.25">
      <c r="A18398" t="s">
        <v>16</v>
      </c>
      <c r="B18398" t="s">
        <v>3221</v>
      </c>
      <c r="C18398">
        <v>10674</v>
      </c>
      <c r="D18398" t="s">
        <v>611</v>
      </c>
      <c r="E18398" t="s">
        <v>612</v>
      </c>
      <c r="F18398">
        <v>107</v>
      </c>
      <c r="G18398">
        <v>230818</v>
      </c>
      <c r="H18398">
        <v>4560</v>
      </c>
      <c r="I18398" t="s">
        <v>345</v>
      </c>
      <c r="J18398">
        <v>132.68</v>
      </c>
      <c r="K18398">
        <v>25.68</v>
      </c>
      <c r="L18398">
        <v>56558</v>
      </c>
      <c r="M18398" t="s">
        <v>217</v>
      </c>
      <c r="N18398" t="str">
        <f>"263377      "</f>
        <v xml:space="preserve">263377      </v>
      </c>
      <c r="O18398">
        <v>230821</v>
      </c>
    </row>
    <row r="18399" spans="1:15" x14ac:dyDescent="0.25">
      <c r="A18399" t="s">
        <v>16</v>
      </c>
      <c r="B18399" t="s">
        <v>3221</v>
      </c>
      <c r="C18399">
        <v>10741</v>
      </c>
      <c r="D18399" t="s">
        <v>611</v>
      </c>
      <c r="E18399" t="s">
        <v>612</v>
      </c>
      <c r="F18399">
        <v>959</v>
      </c>
      <c r="G18399">
        <v>230817</v>
      </c>
      <c r="H18399">
        <v>4560</v>
      </c>
      <c r="I18399" t="s">
        <v>345</v>
      </c>
      <c r="J18399">
        <v>1189.1600000000001</v>
      </c>
      <c r="K18399">
        <v>230.16</v>
      </c>
      <c r="L18399">
        <v>17803</v>
      </c>
      <c r="M18399" t="s">
        <v>389</v>
      </c>
      <c r="N18399" t="str">
        <f>"263353      "</f>
        <v xml:space="preserve">263353      </v>
      </c>
      <c r="O18399">
        <v>230822</v>
      </c>
    </row>
    <row r="18400" spans="1:15" x14ac:dyDescent="0.25">
      <c r="A18400" t="s">
        <v>16</v>
      </c>
      <c r="B18400" t="s">
        <v>3221</v>
      </c>
      <c r="C18400">
        <v>17086</v>
      </c>
      <c r="D18400" t="s">
        <v>611</v>
      </c>
      <c r="E18400" t="s">
        <v>612</v>
      </c>
      <c r="F18400">
        <v>720.5</v>
      </c>
      <c r="G18400">
        <v>231204</v>
      </c>
      <c r="H18400">
        <v>4560</v>
      </c>
      <c r="I18400" t="s">
        <v>345</v>
      </c>
      <c r="J18400">
        <v>893.42</v>
      </c>
      <c r="K18400">
        <v>172.92</v>
      </c>
      <c r="L18400">
        <v>17803</v>
      </c>
      <c r="M18400" t="s">
        <v>389</v>
      </c>
      <c r="N18400" t="str">
        <f>"264722      "</f>
        <v xml:space="preserve">264722      </v>
      </c>
      <c r="O18400">
        <v>231212</v>
      </c>
    </row>
    <row r="18401" spans="1:15" x14ac:dyDescent="0.25">
      <c r="A18401" t="s">
        <v>16</v>
      </c>
      <c r="B18401" t="s">
        <v>3221</v>
      </c>
      <c r="C18401">
        <v>11217</v>
      </c>
      <c r="D18401" t="s">
        <v>611</v>
      </c>
      <c r="E18401" t="s">
        <v>612</v>
      </c>
      <c r="F18401">
        <v>179.03</v>
      </c>
      <c r="G18401">
        <v>230817</v>
      </c>
      <c r="H18401">
        <v>4550</v>
      </c>
      <c r="I18401" t="s">
        <v>312</v>
      </c>
      <c r="J18401">
        <v>222</v>
      </c>
      <c r="K18401">
        <v>42.97</v>
      </c>
      <c r="L18401">
        <v>17802</v>
      </c>
      <c r="M18401" t="s">
        <v>174</v>
      </c>
      <c r="N18401" t="str">
        <f>"263352      "</f>
        <v xml:space="preserve">263352      </v>
      </c>
      <c r="O18401">
        <v>230901</v>
      </c>
    </row>
    <row r="18402" spans="1:15" x14ac:dyDescent="0.25">
      <c r="A18402" t="s">
        <v>16</v>
      </c>
      <c r="B18402" t="s">
        <v>3221</v>
      </c>
      <c r="C18402">
        <v>17002</v>
      </c>
      <c r="D18402" t="s">
        <v>611</v>
      </c>
      <c r="E18402" t="s">
        <v>612</v>
      </c>
      <c r="F18402">
        <v>92</v>
      </c>
      <c r="G18402">
        <v>231204</v>
      </c>
      <c r="H18402">
        <v>4550</v>
      </c>
      <c r="I18402" t="s">
        <v>312</v>
      </c>
      <c r="J18402">
        <v>114.08</v>
      </c>
      <c r="K18402">
        <v>22.08</v>
      </c>
      <c r="L18402">
        <v>17802</v>
      </c>
      <c r="M18402" t="s">
        <v>174</v>
      </c>
      <c r="N18402" t="str">
        <f>"264725      "</f>
        <v xml:space="preserve">264725      </v>
      </c>
      <c r="O18402">
        <v>231211</v>
      </c>
    </row>
    <row r="18403" spans="1:15" x14ac:dyDescent="0.25">
      <c r="A18403" t="s">
        <v>16</v>
      </c>
      <c r="B18403" t="s">
        <v>3221</v>
      </c>
      <c r="C18403">
        <v>5592</v>
      </c>
      <c r="D18403" t="s">
        <v>1861</v>
      </c>
      <c r="E18403" t="s">
        <v>1862</v>
      </c>
      <c r="F18403">
        <v>825.35</v>
      </c>
      <c r="G18403">
        <v>230426</v>
      </c>
      <c r="H18403">
        <v>4600</v>
      </c>
      <c r="I18403" t="s">
        <v>105</v>
      </c>
      <c r="J18403">
        <v>1023.43</v>
      </c>
      <c r="K18403">
        <v>198.08</v>
      </c>
      <c r="L18403">
        <v>46555</v>
      </c>
      <c r="M18403" t="s">
        <v>597</v>
      </c>
      <c r="N18403" t="str">
        <f>"91715991    "</f>
        <v xml:space="preserve">91715991    </v>
      </c>
      <c r="O18403">
        <v>230427</v>
      </c>
    </row>
    <row r="18404" spans="1:15" x14ac:dyDescent="0.25">
      <c r="A18404" t="s">
        <v>16</v>
      </c>
      <c r="B18404" t="s">
        <v>3221</v>
      </c>
      <c r="C18404">
        <v>9729</v>
      </c>
      <c r="D18404" t="s">
        <v>2297</v>
      </c>
      <c r="E18404" t="s">
        <v>2298</v>
      </c>
      <c r="F18404">
        <v>40.32</v>
      </c>
      <c r="G18404">
        <v>230630</v>
      </c>
      <c r="H18404">
        <v>4470</v>
      </c>
      <c r="I18404" t="s">
        <v>83</v>
      </c>
      <c r="J18404">
        <v>50</v>
      </c>
      <c r="K18404">
        <v>9.68</v>
      </c>
      <c r="L18404">
        <v>13601</v>
      </c>
      <c r="M18404" t="s">
        <v>147</v>
      </c>
      <c r="N18404" t="str">
        <f>"2282        "</f>
        <v xml:space="preserve">2282        </v>
      </c>
      <c r="O18404">
        <v>230724</v>
      </c>
    </row>
    <row r="18405" spans="1:15" x14ac:dyDescent="0.25">
      <c r="A18405" t="s">
        <v>16</v>
      </c>
      <c r="B18405" t="s">
        <v>3221</v>
      </c>
      <c r="C18405">
        <v>6231</v>
      </c>
      <c r="D18405" t="s">
        <v>1942</v>
      </c>
      <c r="E18405" t="s">
        <v>1943</v>
      </c>
      <c r="F18405">
        <v>569.47</v>
      </c>
      <c r="G18405">
        <v>230430</v>
      </c>
      <c r="H18405">
        <v>4590</v>
      </c>
      <c r="I18405" t="s">
        <v>203</v>
      </c>
      <c r="J18405">
        <v>706.14</v>
      </c>
      <c r="K18405">
        <v>136.66999999999999</v>
      </c>
      <c r="L18405">
        <v>66722</v>
      </c>
      <c r="M18405" t="s">
        <v>518</v>
      </c>
      <c r="N18405" t="str">
        <f>"16196       "</f>
        <v xml:space="preserve">16196       </v>
      </c>
      <c r="O18405">
        <v>230509</v>
      </c>
    </row>
    <row r="18406" spans="1:15" x14ac:dyDescent="0.25">
      <c r="A18406" t="s">
        <v>16</v>
      </c>
      <c r="B18406" t="s">
        <v>3221</v>
      </c>
      <c r="C18406">
        <v>15790</v>
      </c>
      <c r="D18406" t="s">
        <v>1942</v>
      </c>
      <c r="E18406" t="s">
        <v>1943</v>
      </c>
      <c r="F18406">
        <v>985.1</v>
      </c>
      <c r="G18406">
        <v>231116</v>
      </c>
      <c r="H18406">
        <v>4590</v>
      </c>
      <c r="I18406" t="s">
        <v>203</v>
      </c>
      <c r="J18406">
        <v>1221.52</v>
      </c>
      <c r="K18406">
        <v>236.42</v>
      </c>
      <c r="L18406">
        <v>69501</v>
      </c>
      <c r="M18406" t="s">
        <v>185</v>
      </c>
      <c r="N18406" t="str">
        <f>"16502       "</f>
        <v xml:space="preserve">16502       </v>
      </c>
      <c r="O18406">
        <v>231120</v>
      </c>
    </row>
    <row r="18407" spans="1:15" x14ac:dyDescent="0.25">
      <c r="A18407" t="s">
        <v>16</v>
      </c>
      <c r="B18407" t="s">
        <v>3221</v>
      </c>
      <c r="C18407">
        <v>5216</v>
      </c>
      <c r="D18407" t="s">
        <v>1811</v>
      </c>
      <c r="E18407" t="s">
        <v>1812</v>
      </c>
      <c r="F18407">
        <v>123.39</v>
      </c>
      <c r="G18407">
        <v>230416</v>
      </c>
      <c r="H18407">
        <v>4580</v>
      </c>
      <c r="I18407" t="s">
        <v>35</v>
      </c>
      <c r="J18407">
        <v>153</v>
      </c>
      <c r="K18407">
        <v>29.61</v>
      </c>
      <c r="L18407">
        <v>17524</v>
      </c>
      <c r="M18407" t="s">
        <v>452</v>
      </c>
      <c r="N18407" t="str">
        <f>"7           "</f>
        <v xml:space="preserve">7           </v>
      </c>
      <c r="O18407">
        <v>230419</v>
      </c>
    </row>
    <row r="18408" spans="1:15" x14ac:dyDescent="0.25">
      <c r="A18408" t="s">
        <v>16</v>
      </c>
      <c r="B18408" t="s">
        <v>3221</v>
      </c>
      <c r="C18408">
        <v>14249</v>
      </c>
      <c r="D18408" t="s">
        <v>1811</v>
      </c>
      <c r="E18408" t="s">
        <v>1812</v>
      </c>
      <c r="F18408">
        <v>3886.04</v>
      </c>
      <c r="G18408">
        <v>231013</v>
      </c>
      <c r="H18408">
        <v>4580</v>
      </c>
      <c r="I18408" t="s">
        <v>35</v>
      </c>
      <c r="J18408">
        <v>4818.6899999999996</v>
      </c>
      <c r="K18408">
        <v>932.65</v>
      </c>
      <c r="L18408">
        <v>17523</v>
      </c>
      <c r="M18408" t="s">
        <v>134</v>
      </c>
      <c r="N18408" t="str">
        <f>"16          "</f>
        <v xml:space="preserve">16          </v>
      </c>
      <c r="O18408">
        <v>231025</v>
      </c>
    </row>
    <row r="18409" spans="1:15" x14ac:dyDescent="0.25">
      <c r="A18409" t="s">
        <v>16</v>
      </c>
      <c r="B18409" t="s">
        <v>3221</v>
      </c>
      <c r="C18409">
        <v>14249</v>
      </c>
      <c r="D18409" t="s">
        <v>1811</v>
      </c>
      <c r="E18409" t="s">
        <v>1812</v>
      </c>
      <c r="F18409">
        <v>1295.3499999999999</v>
      </c>
      <c r="G18409">
        <v>231013</v>
      </c>
      <c r="H18409">
        <v>4580</v>
      </c>
      <c r="I18409" t="s">
        <v>35</v>
      </c>
      <c r="J18409">
        <v>1606.23</v>
      </c>
      <c r="K18409">
        <v>310.88</v>
      </c>
      <c r="L18409">
        <v>17526</v>
      </c>
      <c r="M18409" t="s">
        <v>437</v>
      </c>
      <c r="N18409" t="str">
        <f>"16          "</f>
        <v xml:space="preserve">16          </v>
      </c>
      <c r="O18409">
        <v>231025</v>
      </c>
    </row>
    <row r="18410" spans="1:15" x14ac:dyDescent="0.25">
      <c r="A18410" t="s">
        <v>16</v>
      </c>
      <c r="B18410" t="s">
        <v>3221</v>
      </c>
      <c r="C18410">
        <v>5216</v>
      </c>
      <c r="D18410" t="s">
        <v>1811</v>
      </c>
      <c r="E18410" t="s">
        <v>1812</v>
      </c>
      <c r="F18410">
        <v>252.02</v>
      </c>
      <c r="G18410">
        <v>230416</v>
      </c>
      <c r="H18410">
        <v>4600</v>
      </c>
      <c r="I18410" t="s">
        <v>105</v>
      </c>
      <c r="J18410">
        <v>312.5</v>
      </c>
      <c r="K18410">
        <v>60.48</v>
      </c>
      <c r="L18410">
        <v>17635</v>
      </c>
      <c r="M18410" t="s">
        <v>349</v>
      </c>
      <c r="N18410" t="str">
        <f>"7           "</f>
        <v xml:space="preserve">7           </v>
      </c>
      <c r="O18410">
        <v>230419</v>
      </c>
    </row>
    <row r="18411" spans="1:15" x14ac:dyDescent="0.25">
      <c r="A18411" t="s">
        <v>16</v>
      </c>
      <c r="B18411" t="s">
        <v>3221</v>
      </c>
      <c r="C18411">
        <v>18755</v>
      </c>
      <c r="D18411" t="s">
        <v>3156</v>
      </c>
      <c r="E18411" t="s">
        <v>3157</v>
      </c>
      <c r="F18411">
        <v>560</v>
      </c>
      <c r="G18411">
        <v>231221</v>
      </c>
      <c r="H18411">
        <v>4580</v>
      </c>
      <c r="I18411" t="s">
        <v>35</v>
      </c>
      <c r="J18411">
        <v>694.4</v>
      </c>
      <c r="K18411">
        <v>134.4</v>
      </c>
      <c r="L18411">
        <v>54252</v>
      </c>
      <c r="M18411" t="s">
        <v>534</v>
      </c>
      <c r="N18411" t="str">
        <f>"106405      "</f>
        <v xml:space="preserve">106405      </v>
      </c>
      <c r="O18411">
        <v>240105</v>
      </c>
    </row>
    <row r="18412" spans="1:15" x14ac:dyDescent="0.25">
      <c r="A18412" t="s">
        <v>16</v>
      </c>
      <c r="B18412" t="s">
        <v>3221</v>
      </c>
      <c r="C18412">
        <v>2457</v>
      </c>
      <c r="D18412" t="s">
        <v>1402</v>
      </c>
      <c r="E18412" t="s">
        <v>1403</v>
      </c>
      <c r="F18412">
        <v>1495</v>
      </c>
      <c r="G18412">
        <v>230216</v>
      </c>
      <c r="H18412">
        <v>4346</v>
      </c>
      <c r="I18412" t="s">
        <v>197</v>
      </c>
      <c r="J18412">
        <v>1853.8</v>
      </c>
      <c r="K18412">
        <v>358.8</v>
      </c>
      <c r="L18412">
        <v>11905</v>
      </c>
      <c r="M18412" t="s">
        <v>39</v>
      </c>
      <c r="N18412" t="str">
        <f>"107846      "</f>
        <v xml:space="preserve">107846      </v>
      </c>
      <c r="O18412">
        <v>230228</v>
      </c>
    </row>
    <row r="18413" spans="1:15" x14ac:dyDescent="0.25">
      <c r="A18413" t="s">
        <v>16</v>
      </c>
      <c r="B18413" t="s">
        <v>3221</v>
      </c>
      <c r="C18413">
        <v>2461</v>
      </c>
      <c r="D18413" t="s">
        <v>1402</v>
      </c>
      <c r="E18413" t="s">
        <v>1403</v>
      </c>
      <c r="F18413">
        <v>1650</v>
      </c>
      <c r="G18413">
        <v>230217</v>
      </c>
      <c r="H18413">
        <v>4346</v>
      </c>
      <c r="I18413" t="s">
        <v>197</v>
      </c>
      <c r="J18413">
        <v>2046</v>
      </c>
      <c r="K18413">
        <v>396</v>
      </c>
      <c r="L18413">
        <v>11905</v>
      </c>
      <c r="M18413" t="s">
        <v>39</v>
      </c>
      <c r="N18413" t="str">
        <f>"107854      "</f>
        <v xml:space="preserve">107854      </v>
      </c>
      <c r="O18413">
        <v>230228</v>
      </c>
    </row>
    <row r="18414" spans="1:15" x14ac:dyDescent="0.25">
      <c r="A18414" t="s">
        <v>16</v>
      </c>
      <c r="B18414" t="s">
        <v>3221</v>
      </c>
      <c r="C18414">
        <v>5457</v>
      </c>
      <c r="D18414" t="s">
        <v>1402</v>
      </c>
      <c r="E18414" t="s">
        <v>1403</v>
      </c>
      <c r="F18414">
        <v>1495</v>
      </c>
      <c r="G18414">
        <v>230423</v>
      </c>
      <c r="H18414">
        <v>4346</v>
      </c>
      <c r="I18414" t="s">
        <v>197</v>
      </c>
      <c r="J18414">
        <v>1853.8</v>
      </c>
      <c r="K18414">
        <v>358.8</v>
      </c>
      <c r="L18414">
        <v>11905</v>
      </c>
      <c r="M18414" t="s">
        <v>39</v>
      </c>
      <c r="N18414" t="str">
        <f>"108395      "</f>
        <v xml:space="preserve">108395      </v>
      </c>
      <c r="O18414">
        <v>230425</v>
      </c>
    </row>
    <row r="18415" spans="1:15" x14ac:dyDescent="0.25">
      <c r="A18415" t="s">
        <v>16</v>
      </c>
      <c r="B18415" t="s">
        <v>3221</v>
      </c>
      <c r="C18415">
        <v>5458</v>
      </c>
      <c r="D18415" t="s">
        <v>1402</v>
      </c>
      <c r="E18415" t="s">
        <v>1403</v>
      </c>
      <c r="F18415">
        <v>1650</v>
      </c>
      <c r="G18415">
        <v>230423</v>
      </c>
      <c r="H18415">
        <v>4346</v>
      </c>
      <c r="I18415" t="s">
        <v>197</v>
      </c>
      <c r="J18415">
        <v>2046</v>
      </c>
      <c r="K18415">
        <v>396</v>
      </c>
      <c r="L18415">
        <v>11905</v>
      </c>
      <c r="M18415" t="s">
        <v>39</v>
      </c>
      <c r="N18415" t="str">
        <f>"108396      "</f>
        <v xml:space="preserve">108396      </v>
      </c>
      <c r="O18415">
        <v>230425</v>
      </c>
    </row>
    <row r="18416" spans="1:15" x14ac:dyDescent="0.25">
      <c r="A18416" t="s">
        <v>16</v>
      </c>
      <c r="B18416" t="s">
        <v>3221</v>
      </c>
      <c r="C18416">
        <v>9846</v>
      </c>
      <c r="D18416" t="s">
        <v>1402</v>
      </c>
      <c r="E18416" t="s">
        <v>1403</v>
      </c>
      <c r="F18416">
        <v>106</v>
      </c>
      <c r="G18416">
        <v>230630</v>
      </c>
      <c r="H18416">
        <v>4420</v>
      </c>
      <c r="I18416" t="s">
        <v>132</v>
      </c>
      <c r="J18416">
        <v>131.44</v>
      </c>
      <c r="K18416">
        <v>25.44</v>
      </c>
      <c r="L18416">
        <v>11905</v>
      </c>
      <c r="M18416" t="s">
        <v>39</v>
      </c>
      <c r="N18416" t="str">
        <f>"109030      "</f>
        <v xml:space="preserve">109030      </v>
      </c>
      <c r="O18416">
        <v>230731</v>
      </c>
    </row>
    <row r="18417" spans="1:16" x14ac:dyDescent="0.25">
      <c r="A18417" t="s">
        <v>16</v>
      </c>
      <c r="B18417" t="s">
        <v>3221</v>
      </c>
      <c r="C18417">
        <v>17927</v>
      </c>
      <c r="D18417" t="s">
        <v>3109</v>
      </c>
      <c r="E18417" t="s">
        <v>3110</v>
      </c>
      <c r="F18417">
        <v>43.15</v>
      </c>
      <c r="G18417">
        <v>231218</v>
      </c>
      <c r="H18417">
        <v>4600</v>
      </c>
      <c r="I18417" t="s">
        <v>105</v>
      </c>
      <c r="J18417">
        <v>53.5</v>
      </c>
      <c r="K18417">
        <v>10.35</v>
      </c>
      <c r="L18417">
        <v>17635</v>
      </c>
      <c r="M18417" t="s">
        <v>349</v>
      </c>
      <c r="N18417" t="str">
        <f>"12112       "</f>
        <v xml:space="preserve">12112       </v>
      </c>
      <c r="O18417">
        <v>231227</v>
      </c>
    </row>
    <row r="18418" spans="1:16" x14ac:dyDescent="0.25">
      <c r="A18418" t="s">
        <v>16</v>
      </c>
      <c r="B18418" t="s">
        <v>3221</v>
      </c>
      <c r="C18418">
        <v>5469</v>
      </c>
      <c r="D18418" t="s">
        <v>3435</v>
      </c>
      <c r="E18418" t="s">
        <v>3436</v>
      </c>
      <c r="F18418">
        <v>3279.23</v>
      </c>
      <c r="G18418">
        <v>230421</v>
      </c>
      <c r="H18418">
        <v>4600</v>
      </c>
      <c r="I18418" t="s">
        <v>105</v>
      </c>
      <c r="J18418">
        <v>3279.23</v>
      </c>
      <c r="K18418">
        <v>0</v>
      </c>
      <c r="L18418">
        <v>17534</v>
      </c>
      <c r="M18418" t="s">
        <v>440</v>
      </c>
      <c r="N18418" t="str">
        <f>"210423      "</f>
        <v xml:space="preserve">210423      </v>
      </c>
      <c r="O18418">
        <v>230425</v>
      </c>
      <c r="P18418" t="s">
        <v>937</v>
      </c>
    </row>
    <row r="18419" spans="1:16" x14ac:dyDescent="0.25">
      <c r="A18419" t="s">
        <v>16</v>
      </c>
      <c r="B18419" t="s">
        <v>3221</v>
      </c>
      <c r="C18419">
        <v>16407</v>
      </c>
      <c r="D18419" t="s">
        <v>3435</v>
      </c>
      <c r="E18419" t="s">
        <v>3436</v>
      </c>
      <c r="F18419">
        <v>2411.9499999999998</v>
      </c>
      <c r="G18419">
        <v>231116</v>
      </c>
      <c r="H18419">
        <v>4600</v>
      </c>
      <c r="I18419" t="s">
        <v>105</v>
      </c>
      <c r="J18419">
        <v>2411.9499999999998</v>
      </c>
      <c r="K18419">
        <v>0</v>
      </c>
      <c r="L18419">
        <v>17534</v>
      </c>
      <c r="M18419" t="s">
        <v>440</v>
      </c>
      <c r="N18419" t="str">
        <f>"AU230973    "</f>
        <v xml:space="preserve">AU230973    </v>
      </c>
      <c r="O18419">
        <v>231129</v>
      </c>
      <c r="P18419" t="s">
        <v>937</v>
      </c>
    </row>
    <row r="18420" spans="1:16" x14ac:dyDescent="0.25">
      <c r="A18420" t="s">
        <v>16</v>
      </c>
      <c r="B18420" t="s">
        <v>3221</v>
      </c>
      <c r="C18420">
        <v>16407</v>
      </c>
      <c r="D18420" t="s">
        <v>3435</v>
      </c>
      <c r="E18420" t="s">
        <v>3436</v>
      </c>
      <c r="F18420">
        <v>679</v>
      </c>
      <c r="G18420">
        <v>231116</v>
      </c>
      <c r="H18420">
        <v>4364</v>
      </c>
      <c r="I18420" t="s">
        <v>296</v>
      </c>
      <c r="J18420">
        <v>679</v>
      </c>
      <c r="K18420">
        <v>0</v>
      </c>
      <c r="L18420">
        <v>17534</v>
      </c>
      <c r="M18420" t="s">
        <v>440</v>
      </c>
      <c r="N18420" t="str">
        <f>"AU230973    "</f>
        <v xml:space="preserve">AU230973    </v>
      </c>
      <c r="O18420">
        <v>231129</v>
      </c>
      <c r="P18420" t="s">
        <v>937</v>
      </c>
    </row>
    <row r="18421" spans="1:16" x14ac:dyDescent="0.25">
      <c r="A18421" t="s">
        <v>16</v>
      </c>
      <c r="B18421" t="s">
        <v>3221</v>
      </c>
      <c r="C18421">
        <v>12830</v>
      </c>
      <c r="D18421" t="s">
        <v>3695</v>
      </c>
      <c r="E18421" t="s">
        <v>2607</v>
      </c>
      <c r="F18421">
        <v>4.03</v>
      </c>
      <c r="G18421">
        <v>230920</v>
      </c>
      <c r="H18421">
        <v>4412</v>
      </c>
      <c r="I18421" t="s">
        <v>149</v>
      </c>
      <c r="J18421">
        <v>5</v>
      </c>
      <c r="K18421">
        <v>0.97</v>
      </c>
      <c r="L18421">
        <v>56563</v>
      </c>
      <c r="M18421" t="s">
        <v>953</v>
      </c>
      <c r="N18421" t="str">
        <f>"0000074022  "</f>
        <v xml:space="preserve">0000074022  </v>
      </c>
      <c r="O18421">
        <v>230928</v>
      </c>
    </row>
    <row r="18422" spans="1:16" x14ac:dyDescent="0.25">
      <c r="A18422" t="s">
        <v>16</v>
      </c>
      <c r="B18422" t="s">
        <v>3221</v>
      </c>
      <c r="C18422">
        <v>12830</v>
      </c>
      <c r="D18422" t="s">
        <v>3695</v>
      </c>
      <c r="E18422" t="s">
        <v>2607</v>
      </c>
      <c r="F18422">
        <v>6.9</v>
      </c>
      <c r="G18422">
        <v>230920</v>
      </c>
      <c r="H18422">
        <v>4412</v>
      </c>
      <c r="I18422" t="s">
        <v>149</v>
      </c>
      <c r="J18422">
        <v>6.9</v>
      </c>
      <c r="K18422">
        <v>0</v>
      </c>
      <c r="L18422">
        <v>56563</v>
      </c>
      <c r="M18422" t="s">
        <v>953</v>
      </c>
      <c r="N18422" t="str">
        <f>"0000074022  "</f>
        <v xml:space="preserve">0000074022  </v>
      </c>
      <c r="O18422">
        <v>230928</v>
      </c>
    </row>
    <row r="18423" spans="1:16" x14ac:dyDescent="0.25">
      <c r="A18423" t="s">
        <v>16</v>
      </c>
      <c r="B18423" t="s">
        <v>3221</v>
      </c>
      <c r="C18423">
        <v>12830</v>
      </c>
      <c r="D18423" t="s">
        <v>3695</v>
      </c>
      <c r="E18423" t="s">
        <v>2607</v>
      </c>
      <c r="F18423">
        <v>110.09</v>
      </c>
      <c r="G18423">
        <v>230920</v>
      </c>
      <c r="H18423">
        <v>4412</v>
      </c>
      <c r="I18423" t="s">
        <v>149</v>
      </c>
      <c r="J18423">
        <v>121.1</v>
      </c>
      <c r="K18423">
        <v>11.01</v>
      </c>
      <c r="L18423">
        <v>56563</v>
      </c>
      <c r="M18423" t="s">
        <v>953</v>
      </c>
      <c r="N18423" t="str">
        <f>"0000074022  "</f>
        <v xml:space="preserve">0000074022  </v>
      </c>
      <c r="O18423">
        <v>230928</v>
      </c>
    </row>
    <row r="18424" spans="1:16" x14ac:dyDescent="0.25">
      <c r="A18424" t="s">
        <v>16</v>
      </c>
      <c r="B18424" t="s">
        <v>3221</v>
      </c>
      <c r="C18424">
        <v>14866</v>
      </c>
      <c r="D18424" t="s">
        <v>2810</v>
      </c>
      <c r="E18424" t="s">
        <v>2811</v>
      </c>
      <c r="F18424">
        <v>9.68</v>
      </c>
      <c r="G18424">
        <v>231031</v>
      </c>
      <c r="H18424">
        <v>4470</v>
      </c>
      <c r="I18424" t="s">
        <v>83</v>
      </c>
      <c r="J18424">
        <v>12</v>
      </c>
      <c r="K18424">
        <v>2.3199999999999998</v>
      </c>
      <c r="L18424">
        <v>14986</v>
      </c>
      <c r="M18424" t="s">
        <v>2059</v>
      </c>
      <c r="N18424" t="str">
        <f>"5331        "</f>
        <v xml:space="preserve">5331        </v>
      </c>
      <c r="O18424">
        <v>231107</v>
      </c>
    </row>
    <row r="18425" spans="1:16" x14ac:dyDescent="0.25">
      <c r="A18425" t="s">
        <v>16</v>
      </c>
      <c r="B18425" t="s">
        <v>3221</v>
      </c>
      <c r="C18425">
        <v>14866</v>
      </c>
      <c r="D18425" t="s">
        <v>2810</v>
      </c>
      <c r="E18425" t="s">
        <v>2811</v>
      </c>
      <c r="F18425">
        <v>207.27</v>
      </c>
      <c r="G18425">
        <v>231031</v>
      </c>
      <c r="H18425">
        <v>4440</v>
      </c>
      <c r="I18425" t="s">
        <v>250</v>
      </c>
      <c r="J18425">
        <v>228</v>
      </c>
      <c r="K18425">
        <v>20.73</v>
      </c>
      <c r="L18425">
        <v>14986</v>
      </c>
      <c r="M18425" t="s">
        <v>2059</v>
      </c>
      <c r="N18425" t="str">
        <f>"5331        "</f>
        <v xml:space="preserve">5331        </v>
      </c>
      <c r="O18425">
        <v>231107</v>
      </c>
    </row>
    <row r="18426" spans="1:16" x14ac:dyDescent="0.25">
      <c r="A18426" t="s">
        <v>16</v>
      </c>
      <c r="B18426" t="s">
        <v>3221</v>
      </c>
      <c r="C18426">
        <v>12401</v>
      </c>
      <c r="D18426" t="s">
        <v>3526</v>
      </c>
      <c r="E18426" t="s">
        <v>3527</v>
      </c>
      <c r="F18426">
        <v>56.18</v>
      </c>
      <c r="G18426">
        <v>230913</v>
      </c>
      <c r="H18426">
        <v>4420</v>
      </c>
      <c r="I18426" t="s">
        <v>132</v>
      </c>
      <c r="J18426">
        <v>56.18</v>
      </c>
      <c r="K18426">
        <v>0</v>
      </c>
      <c r="L18426">
        <v>13801</v>
      </c>
      <c r="M18426" t="s">
        <v>162</v>
      </c>
      <c r="N18426" t="str">
        <f>"130923      "</f>
        <v xml:space="preserve">130923      </v>
      </c>
      <c r="O18426">
        <v>230919</v>
      </c>
    </row>
    <row r="18427" spans="1:16" x14ac:dyDescent="0.25">
      <c r="A18427" t="s">
        <v>16</v>
      </c>
      <c r="B18427" t="s">
        <v>3221</v>
      </c>
      <c r="C18427">
        <v>16333</v>
      </c>
      <c r="D18427" t="s">
        <v>2951</v>
      </c>
      <c r="E18427" t="s">
        <v>2952</v>
      </c>
      <c r="F18427">
        <v>101.77</v>
      </c>
      <c r="G18427">
        <v>231120</v>
      </c>
      <c r="H18427">
        <v>4534</v>
      </c>
      <c r="I18427" t="s">
        <v>273</v>
      </c>
      <c r="J18427">
        <v>126.2</v>
      </c>
      <c r="K18427">
        <v>24.43</v>
      </c>
      <c r="L18427">
        <v>53222</v>
      </c>
      <c r="M18427" t="s">
        <v>445</v>
      </c>
      <c r="N18427" t="str">
        <f>"8219        "</f>
        <v xml:space="preserve">8219        </v>
      </c>
      <c r="O18427">
        <v>231128</v>
      </c>
    </row>
    <row r="18428" spans="1:16" x14ac:dyDescent="0.25">
      <c r="A18428" t="s">
        <v>16</v>
      </c>
      <c r="B18428" t="s">
        <v>3221</v>
      </c>
      <c r="C18428">
        <v>11604</v>
      </c>
      <c r="D18428" t="s">
        <v>2501</v>
      </c>
      <c r="E18428" t="s">
        <v>2502</v>
      </c>
      <c r="F18428">
        <v>779.9</v>
      </c>
      <c r="G18428">
        <v>230825</v>
      </c>
      <c r="H18428">
        <v>4400</v>
      </c>
      <c r="I18428" t="s">
        <v>348</v>
      </c>
      <c r="J18428">
        <v>967.08</v>
      </c>
      <c r="K18428">
        <v>187.18</v>
      </c>
      <c r="L18428">
        <v>69501</v>
      </c>
      <c r="M18428" t="s">
        <v>185</v>
      </c>
      <c r="N18428" t="str">
        <f>"30231189    "</f>
        <v xml:space="preserve">30231189    </v>
      </c>
      <c r="O18428">
        <v>230907</v>
      </c>
    </row>
    <row r="18429" spans="1:16" x14ac:dyDescent="0.25">
      <c r="A18429" t="s">
        <v>16</v>
      </c>
      <c r="B18429" t="s">
        <v>3221</v>
      </c>
      <c r="C18429">
        <v>1159</v>
      </c>
      <c r="D18429" t="s">
        <v>927</v>
      </c>
      <c r="E18429" t="s">
        <v>928</v>
      </c>
      <c r="F18429">
        <v>158.16999999999999</v>
      </c>
      <c r="G18429">
        <v>230202</v>
      </c>
      <c r="H18429">
        <v>4560</v>
      </c>
      <c r="I18429" t="s">
        <v>345</v>
      </c>
      <c r="J18429">
        <v>196.13</v>
      </c>
      <c r="K18429">
        <v>37.96</v>
      </c>
      <c r="L18429">
        <v>17131</v>
      </c>
      <c r="M18429" t="s">
        <v>64</v>
      </c>
      <c r="N18429" t="str">
        <f>"11055812000 "</f>
        <v xml:space="preserve">11055812000 </v>
      </c>
      <c r="O18429">
        <v>230206</v>
      </c>
    </row>
    <row r="18430" spans="1:16" x14ac:dyDescent="0.25">
      <c r="A18430" t="s">
        <v>16</v>
      </c>
      <c r="B18430" t="s">
        <v>3221</v>
      </c>
      <c r="C18430">
        <v>1159</v>
      </c>
      <c r="D18430" t="s">
        <v>927</v>
      </c>
      <c r="E18430" t="s">
        <v>928</v>
      </c>
      <c r="F18430">
        <v>158.16999999999999</v>
      </c>
      <c r="G18430">
        <v>230202</v>
      </c>
      <c r="H18430">
        <v>4560</v>
      </c>
      <c r="I18430" t="s">
        <v>345</v>
      </c>
      <c r="J18430">
        <v>196.13</v>
      </c>
      <c r="K18430">
        <v>37.96</v>
      </c>
      <c r="L18430">
        <v>17711</v>
      </c>
      <c r="M18430" t="s">
        <v>65</v>
      </c>
      <c r="N18430" t="str">
        <f>"11055812000 "</f>
        <v xml:space="preserve">11055812000 </v>
      </c>
      <c r="O18430">
        <v>230206</v>
      </c>
    </row>
    <row r="18431" spans="1:16" x14ac:dyDescent="0.25">
      <c r="A18431" t="s">
        <v>16</v>
      </c>
      <c r="B18431" t="s">
        <v>3221</v>
      </c>
      <c r="C18431">
        <v>2819</v>
      </c>
      <c r="D18431" t="s">
        <v>927</v>
      </c>
      <c r="E18431" t="s">
        <v>928</v>
      </c>
      <c r="F18431">
        <v>212.08</v>
      </c>
      <c r="G18431">
        <v>230302</v>
      </c>
      <c r="H18431">
        <v>4560</v>
      </c>
      <c r="I18431" t="s">
        <v>345</v>
      </c>
      <c r="J18431">
        <v>262.98</v>
      </c>
      <c r="K18431">
        <v>50.9</v>
      </c>
      <c r="L18431">
        <v>17131</v>
      </c>
      <c r="M18431" t="s">
        <v>64</v>
      </c>
      <c r="N18431" t="str">
        <f>"11971344900 "</f>
        <v xml:space="preserve">11971344900 </v>
      </c>
      <c r="O18431">
        <v>230307</v>
      </c>
    </row>
    <row r="18432" spans="1:16" x14ac:dyDescent="0.25">
      <c r="A18432" t="s">
        <v>16</v>
      </c>
      <c r="B18432" t="s">
        <v>3221</v>
      </c>
      <c r="C18432">
        <v>2819</v>
      </c>
      <c r="D18432" t="s">
        <v>927</v>
      </c>
      <c r="E18432" t="s">
        <v>928</v>
      </c>
      <c r="F18432">
        <v>212.08</v>
      </c>
      <c r="G18432">
        <v>230302</v>
      </c>
      <c r="H18432">
        <v>4560</v>
      </c>
      <c r="I18432" t="s">
        <v>345</v>
      </c>
      <c r="J18432">
        <v>262.98</v>
      </c>
      <c r="K18432">
        <v>50.9</v>
      </c>
      <c r="L18432">
        <v>17711</v>
      </c>
      <c r="M18432" t="s">
        <v>65</v>
      </c>
      <c r="N18432" t="str">
        <f>"11971344900 "</f>
        <v xml:space="preserve">11971344900 </v>
      </c>
      <c r="O18432">
        <v>230307</v>
      </c>
    </row>
    <row r="18433" spans="1:15" x14ac:dyDescent="0.25">
      <c r="A18433" t="s">
        <v>16</v>
      </c>
      <c r="B18433" t="s">
        <v>3221</v>
      </c>
      <c r="C18433">
        <v>4325</v>
      </c>
      <c r="D18433" t="s">
        <v>927</v>
      </c>
      <c r="E18433" t="s">
        <v>928</v>
      </c>
      <c r="F18433">
        <v>41.28</v>
      </c>
      <c r="G18433">
        <v>230402</v>
      </c>
      <c r="H18433">
        <v>4560</v>
      </c>
      <c r="I18433" t="s">
        <v>345</v>
      </c>
      <c r="J18433">
        <v>51.19</v>
      </c>
      <c r="K18433">
        <v>9.91</v>
      </c>
      <c r="L18433">
        <v>17802</v>
      </c>
      <c r="M18433" t="s">
        <v>174</v>
      </c>
      <c r="N18433" t="str">
        <f>"13057382700 "</f>
        <v xml:space="preserve">13057382700 </v>
      </c>
      <c r="O18433">
        <v>230404</v>
      </c>
    </row>
    <row r="18434" spans="1:15" x14ac:dyDescent="0.25">
      <c r="A18434" t="s">
        <v>16</v>
      </c>
      <c r="B18434" t="s">
        <v>3221</v>
      </c>
      <c r="C18434">
        <v>4326</v>
      </c>
      <c r="D18434" t="s">
        <v>927</v>
      </c>
      <c r="E18434" t="s">
        <v>928</v>
      </c>
      <c r="F18434">
        <v>107.86</v>
      </c>
      <c r="G18434">
        <v>230402</v>
      </c>
      <c r="H18434">
        <v>4560</v>
      </c>
      <c r="I18434" t="s">
        <v>345</v>
      </c>
      <c r="J18434">
        <v>133.75</v>
      </c>
      <c r="K18434">
        <v>25.89</v>
      </c>
      <c r="L18434">
        <v>17131</v>
      </c>
      <c r="M18434" t="s">
        <v>64</v>
      </c>
      <c r="N18434" t="str">
        <f>"13057700500 "</f>
        <v xml:space="preserve">13057700500 </v>
      </c>
      <c r="O18434">
        <v>230404</v>
      </c>
    </row>
    <row r="18435" spans="1:15" x14ac:dyDescent="0.25">
      <c r="A18435" t="s">
        <v>16</v>
      </c>
      <c r="B18435" t="s">
        <v>3221</v>
      </c>
      <c r="C18435">
        <v>4326</v>
      </c>
      <c r="D18435" t="s">
        <v>927</v>
      </c>
      <c r="E18435" t="s">
        <v>928</v>
      </c>
      <c r="F18435">
        <v>107.86</v>
      </c>
      <c r="G18435">
        <v>230402</v>
      </c>
      <c r="H18435">
        <v>4560</v>
      </c>
      <c r="I18435" t="s">
        <v>345</v>
      </c>
      <c r="J18435">
        <v>133.75</v>
      </c>
      <c r="K18435">
        <v>25.89</v>
      </c>
      <c r="L18435">
        <v>17711</v>
      </c>
      <c r="M18435" t="s">
        <v>65</v>
      </c>
      <c r="N18435" t="str">
        <f>"13057700500 "</f>
        <v xml:space="preserve">13057700500 </v>
      </c>
      <c r="O18435">
        <v>230404</v>
      </c>
    </row>
    <row r="18436" spans="1:15" x14ac:dyDescent="0.25">
      <c r="A18436" t="s">
        <v>16</v>
      </c>
      <c r="B18436" t="s">
        <v>3221</v>
      </c>
      <c r="C18436">
        <v>5926</v>
      </c>
      <c r="D18436" t="s">
        <v>927</v>
      </c>
      <c r="E18436" t="s">
        <v>928</v>
      </c>
      <c r="F18436">
        <v>184.07</v>
      </c>
      <c r="G18436">
        <v>230502</v>
      </c>
      <c r="H18436">
        <v>4560</v>
      </c>
      <c r="I18436" t="s">
        <v>345</v>
      </c>
      <c r="J18436">
        <v>228.25</v>
      </c>
      <c r="K18436">
        <v>44.18</v>
      </c>
      <c r="L18436">
        <v>17131</v>
      </c>
      <c r="M18436" t="s">
        <v>64</v>
      </c>
      <c r="N18436" t="str">
        <f>"14073467500 "</f>
        <v xml:space="preserve">14073467500 </v>
      </c>
      <c r="O18436">
        <v>230504</v>
      </c>
    </row>
    <row r="18437" spans="1:15" x14ac:dyDescent="0.25">
      <c r="A18437" t="s">
        <v>16</v>
      </c>
      <c r="B18437" t="s">
        <v>3221</v>
      </c>
      <c r="C18437">
        <v>5926</v>
      </c>
      <c r="D18437" t="s">
        <v>927</v>
      </c>
      <c r="E18437" t="s">
        <v>928</v>
      </c>
      <c r="F18437">
        <v>184.06</v>
      </c>
      <c r="G18437">
        <v>230502</v>
      </c>
      <c r="H18437">
        <v>4560</v>
      </c>
      <c r="I18437" t="s">
        <v>345</v>
      </c>
      <c r="J18437">
        <v>228.24</v>
      </c>
      <c r="K18437">
        <v>44.18</v>
      </c>
      <c r="L18437">
        <v>17711</v>
      </c>
      <c r="M18437" t="s">
        <v>65</v>
      </c>
      <c r="N18437" t="str">
        <f>"14073467500 "</f>
        <v xml:space="preserve">14073467500 </v>
      </c>
      <c r="O18437">
        <v>230504</v>
      </c>
    </row>
    <row r="18438" spans="1:15" x14ac:dyDescent="0.25">
      <c r="A18438" t="s">
        <v>16</v>
      </c>
      <c r="B18438" t="s">
        <v>3221</v>
      </c>
      <c r="C18438">
        <v>6103</v>
      </c>
      <c r="D18438" t="s">
        <v>927</v>
      </c>
      <c r="E18438" t="s">
        <v>928</v>
      </c>
      <c r="F18438">
        <v>46.48</v>
      </c>
      <c r="G18438">
        <v>230502</v>
      </c>
      <c r="H18438">
        <v>4560</v>
      </c>
      <c r="I18438" t="s">
        <v>345</v>
      </c>
      <c r="J18438">
        <v>57.63</v>
      </c>
      <c r="K18438">
        <v>11.15</v>
      </c>
      <c r="L18438">
        <v>17803</v>
      </c>
      <c r="M18438" t="s">
        <v>389</v>
      </c>
      <c r="N18438" t="str">
        <f>"14073132100 "</f>
        <v xml:space="preserve">14073132100 </v>
      </c>
      <c r="O18438">
        <v>230508</v>
      </c>
    </row>
    <row r="18439" spans="1:15" x14ac:dyDescent="0.25">
      <c r="A18439" t="s">
        <v>16</v>
      </c>
      <c r="B18439" t="s">
        <v>3221</v>
      </c>
      <c r="C18439">
        <v>6103</v>
      </c>
      <c r="D18439" t="s">
        <v>927</v>
      </c>
      <c r="E18439" t="s">
        <v>928</v>
      </c>
      <c r="F18439">
        <v>46.48</v>
      </c>
      <c r="G18439">
        <v>230502</v>
      </c>
      <c r="H18439">
        <v>4560</v>
      </c>
      <c r="I18439" t="s">
        <v>345</v>
      </c>
      <c r="J18439">
        <v>57.63</v>
      </c>
      <c r="K18439">
        <v>11.15</v>
      </c>
      <c r="L18439">
        <v>17804</v>
      </c>
      <c r="M18439" t="s">
        <v>549</v>
      </c>
      <c r="N18439" t="str">
        <f>"14073132100 "</f>
        <v xml:space="preserve">14073132100 </v>
      </c>
      <c r="O18439">
        <v>230508</v>
      </c>
    </row>
    <row r="18440" spans="1:15" x14ac:dyDescent="0.25">
      <c r="A18440" t="s">
        <v>16</v>
      </c>
      <c r="B18440" t="s">
        <v>3221</v>
      </c>
      <c r="C18440">
        <v>7887</v>
      </c>
      <c r="D18440" t="s">
        <v>927</v>
      </c>
      <c r="E18440" t="s">
        <v>928</v>
      </c>
      <c r="F18440">
        <v>468.69</v>
      </c>
      <c r="G18440">
        <v>230602</v>
      </c>
      <c r="H18440">
        <v>4560</v>
      </c>
      <c r="I18440" t="s">
        <v>345</v>
      </c>
      <c r="J18440">
        <v>581.17999999999995</v>
      </c>
      <c r="K18440">
        <v>112.49</v>
      </c>
      <c r="L18440">
        <v>17808</v>
      </c>
      <c r="M18440" t="s">
        <v>322</v>
      </c>
      <c r="N18440" t="str">
        <f>"15238159200 "</f>
        <v xml:space="preserve">15238159200 </v>
      </c>
      <c r="O18440">
        <v>230605</v>
      </c>
    </row>
    <row r="18441" spans="1:15" x14ac:dyDescent="0.25">
      <c r="A18441" t="s">
        <v>16</v>
      </c>
      <c r="B18441" t="s">
        <v>3221</v>
      </c>
      <c r="C18441">
        <v>8063</v>
      </c>
      <c r="D18441" t="s">
        <v>927</v>
      </c>
      <c r="E18441" t="s">
        <v>928</v>
      </c>
      <c r="F18441">
        <v>46.71</v>
      </c>
      <c r="G18441">
        <v>230602</v>
      </c>
      <c r="H18441">
        <v>4560</v>
      </c>
      <c r="I18441" t="s">
        <v>345</v>
      </c>
      <c r="J18441">
        <v>57.92</v>
      </c>
      <c r="K18441">
        <v>11.21</v>
      </c>
      <c r="L18441">
        <v>17808</v>
      </c>
      <c r="M18441" t="s">
        <v>322</v>
      </c>
      <c r="N18441" t="str">
        <f>"15237798300 "</f>
        <v xml:space="preserve">15237798300 </v>
      </c>
      <c r="O18441">
        <v>230607</v>
      </c>
    </row>
    <row r="18442" spans="1:15" x14ac:dyDescent="0.25">
      <c r="A18442" t="s">
        <v>16</v>
      </c>
      <c r="B18442" t="s">
        <v>3221</v>
      </c>
      <c r="C18442">
        <v>9292</v>
      </c>
      <c r="D18442" t="s">
        <v>927</v>
      </c>
      <c r="E18442" t="s">
        <v>928</v>
      </c>
      <c r="F18442">
        <v>202.48</v>
      </c>
      <c r="G18442">
        <v>230702</v>
      </c>
      <c r="H18442">
        <v>4560</v>
      </c>
      <c r="I18442" t="s">
        <v>345</v>
      </c>
      <c r="J18442">
        <v>251.08</v>
      </c>
      <c r="K18442">
        <v>48.6</v>
      </c>
      <c r="L18442">
        <v>17131</v>
      </c>
      <c r="M18442" t="s">
        <v>64</v>
      </c>
      <c r="N18442" t="str">
        <f>"16472497800 "</f>
        <v xml:space="preserve">16472497800 </v>
      </c>
      <c r="O18442">
        <v>230704</v>
      </c>
    </row>
    <row r="18443" spans="1:15" x14ac:dyDescent="0.25">
      <c r="A18443" t="s">
        <v>16</v>
      </c>
      <c r="B18443" t="s">
        <v>3221</v>
      </c>
      <c r="C18443">
        <v>9292</v>
      </c>
      <c r="D18443" t="s">
        <v>927</v>
      </c>
      <c r="E18443" t="s">
        <v>928</v>
      </c>
      <c r="F18443">
        <v>202.48</v>
      </c>
      <c r="G18443">
        <v>230702</v>
      </c>
      <c r="H18443">
        <v>4560</v>
      </c>
      <c r="I18443" t="s">
        <v>345</v>
      </c>
      <c r="J18443">
        <v>251.07</v>
      </c>
      <c r="K18443">
        <v>48.59</v>
      </c>
      <c r="L18443">
        <v>17711</v>
      </c>
      <c r="M18443" t="s">
        <v>65</v>
      </c>
      <c r="N18443" t="str">
        <f>"16472497800 "</f>
        <v xml:space="preserve">16472497800 </v>
      </c>
      <c r="O18443">
        <v>230704</v>
      </c>
    </row>
    <row r="18444" spans="1:15" x14ac:dyDescent="0.25">
      <c r="A18444" t="s">
        <v>16</v>
      </c>
      <c r="B18444" t="s">
        <v>3221</v>
      </c>
      <c r="C18444">
        <v>10160</v>
      </c>
      <c r="D18444" t="s">
        <v>927</v>
      </c>
      <c r="E18444" t="s">
        <v>928</v>
      </c>
      <c r="F18444">
        <v>131.27000000000001</v>
      </c>
      <c r="G18444">
        <v>230802</v>
      </c>
      <c r="H18444">
        <v>4560</v>
      </c>
      <c r="I18444" t="s">
        <v>345</v>
      </c>
      <c r="J18444">
        <v>162.78</v>
      </c>
      <c r="K18444">
        <v>31.51</v>
      </c>
      <c r="L18444">
        <v>17131</v>
      </c>
      <c r="M18444" t="s">
        <v>64</v>
      </c>
      <c r="N18444" t="str">
        <f>"17654263300 "</f>
        <v xml:space="preserve">17654263300 </v>
      </c>
      <c r="O18444">
        <v>230809</v>
      </c>
    </row>
    <row r="18445" spans="1:15" x14ac:dyDescent="0.25">
      <c r="A18445" t="s">
        <v>16</v>
      </c>
      <c r="B18445" t="s">
        <v>3221</v>
      </c>
      <c r="C18445">
        <v>10160</v>
      </c>
      <c r="D18445" t="s">
        <v>927</v>
      </c>
      <c r="E18445" t="s">
        <v>928</v>
      </c>
      <c r="F18445">
        <v>131.27000000000001</v>
      </c>
      <c r="G18445">
        <v>230802</v>
      </c>
      <c r="H18445">
        <v>4560</v>
      </c>
      <c r="I18445" t="s">
        <v>345</v>
      </c>
      <c r="J18445">
        <v>162.78</v>
      </c>
      <c r="K18445">
        <v>31.51</v>
      </c>
      <c r="L18445">
        <v>17711</v>
      </c>
      <c r="M18445" t="s">
        <v>65</v>
      </c>
      <c r="N18445" t="str">
        <f>"17654263300 "</f>
        <v xml:space="preserve">17654263300 </v>
      </c>
      <c r="O18445">
        <v>230809</v>
      </c>
    </row>
    <row r="18446" spans="1:15" x14ac:dyDescent="0.25">
      <c r="A18446" t="s">
        <v>16</v>
      </c>
      <c r="B18446" t="s">
        <v>3221</v>
      </c>
      <c r="C18446">
        <v>11338</v>
      </c>
      <c r="D18446" t="s">
        <v>927</v>
      </c>
      <c r="E18446" t="s">
        <v>928</v>
      </c>
      <c r="F18446">
        <v>233</v>
      </c>
      <c r="G18446">
        <v>230902</v>
      </c>
      <c r="H18446">
        <v>4560</v>
      </c>
      <c r="I18446" t="s">
        <v>345</v>
      </c>
      <c r="J18446">
        <v>288.92</v>
      </c>
      <c r="K18446">
        <v>55.92</v>
      </c>
      <c r="L18446">
        <v>17131</v>
      </c>
      <c r="M18446" t="s">
        <v>64</v>
      </c>
      <c r="N18446" t="str">
        <f>"18890087800 "</f>
        <v xml:space="preserve">18890087800 </v>
      </c>
      <c r="O18446">
        <v>230904</v>
      </c>
    </row>
    <row r="18447" spans="1:15" x14ac:dyDescent="0.25">
      <c r="A18447" t="s">
        <v>16</v>
      </c>
      <c r="B18447" t="s">
        <v>3221</v>
      </c>
      <c r="C18447">
        <v>11338</v>
      </c>
      <c r="D18447" t="s">
        <v>927</v>
      </c>
      <c r="E18447" t="s">
        <v>928</v>
      </c>
      <c r="F18447">
        <v>233</v>
      </c>
      <c r="G18447">
        <v>230902</v>
      </c>
      <c r="H18447">
        <v>4560</v>
      </c>
      <c r="I18447" t="s">
        <v>345</v>
      </c>
      <c r="J18447">
        <v>288.92</v>
      </c>
      <c r="K18447">
        <v>55.92</v>
      </c>
      <c r="L18447">
        <v>17711</v>
      </c>
      <c r="M18447" t="s">
        <v>65</v>
      </c>
      <c r="N18447" t="str">
        <f>"18890087800 "</f>
        <v xml:space="preserve">18890087800 </v>
      </c>
      <c r="O18447">
        <v>230904</v>
      </c>
    </row>
    <row r="18448" spans="1:15" x14ac:dyDescent="0.25">
      <c r="A18448" t="s">
        <v>16</v>
      </c>
      <c r="B18448" t="s">
        <v>3221</v>
      </c>
      <c r="C18448">
        <v>13285</v>
      </c>
      <c r="D18448" t="s">
        <v>927</v>
      </c>
      <c r="E18448" t="s">
        <v>928</v>
      </c>
      <c r="F18448">
        <v>290.14999999999998</v>
      </c>
      <c r="G18448">
        <v>231002</v>
      </c>
      <c r="H18448">
        <v>4560</v>
      </c>
      <c r="I18448" t="s">
        <v>345</v>
      </c>
      <c r="J18448">
        <v>359.78</v>
      </c>
      <c r="K18448">
        <v>69.63</v>
      </c>
      <c r="L18448">
        <v>17131</v>
      </c>
      <c r="M18448" t="s">
        <v>64</v>
      </c>
      <c r="N18448" t="str">
        <f>"20222464500 "</f>
        <v xml:space="preserve">20222464500 </v>
      </c>
      <c r="O18448">
        <v>231009</v>
      </c>
    </row>
    <row r="18449" spans="1:15" x14ac:dyDescent="0.25">
      <c r="A18449" t="s">
        <v>16</v>
      </c>
      <c r="B18449" t="s">
        <v>3221</v>
      </c>
      <c r="C18449">
        <v>13285</v>
      </c>
      <c r="D18449" t="s">
        <v>927</v>
      </c>
      <c r="E18449" t="s">
        <v>928</v>
      </c>
      <c r="F18449">
        <v>290.14999999999998</v>
      </c>
      <c r="G18449">
        <v>231002</v>
      </c>
      <c r="H18449">
        <v>4560</v>
      </c>
      <c r="I18449" t="s">
        <v>345</v>
      </c>
      <c r="J18449">
        <v>359.78</v>
      </c>
      <c r="K18449">
        <v>69.63</v>
      </c>
      <c r="L18449">
        <v>17711</v>
      </c>
      <c r="M18449" t="s">
        <v>65</v>
      </c>
      <c r="N18449" t="str">
        <f>"20222464500 "</f>
        <v xml:space="preserve">20222464500 </v>
      </c>
      <c r="O18449">
        <v>231009</v>
      </c>
    </row>
    <row r="18450" spans="1:15" x14ac:dyDescent="0.25">
      <c r="A18450" t="s">
        <v>16</v>
      </c>
      <c r="B18450" t="s">
        <v>3221</v>
      </c>
      <c r="C18450">
        <v>13304</v>
      </c>
      <c r="D18450" t="s">
        <v>927</v>
      </c>
      <c r="E18450" t="s">
        <v>928</v>
      </c>
      <c r="F18450">
        <v>35.42</v>
      </c>
      <c r="G18450">
        <v>231002</v>
      </c>
      <c r="H18450">
        <v>4560</v>
      </c>
      <c r="I18450" t="s">
        <v>345</v>
      </c>
      <c r="J18450">
        <v>43.92</v>
      </c>
      <c r="K18450">
        <v>8.5</v>
      </c>
      <c r="L18450">
        <v>17802</v>
      </c>
      <c r="M18450" t="s">
        <v>174</v>
      </c>
      <c r="N18450" t="str">
        <f>"20221931900 "</f>
        <v xml:space="preserve">20221931900 </v>
      </c>
      <c r="O18450">
        <v>231009</v>
      </c>
    </row>
    <row r="18451" spans="1:15" x14ac:dyDescent="0.25">
      <c r="A18451" t="s">
        <v>16</v>
      </c>
      <c r="B18451" t="s">
        <v>3221</v>
      </c>
      <c r="C18451">
        <v>14976</v>
      </c>
      <c r="D18451" t="s">
        <v>927</v>
      </c>
      <c r="E18451" t="s">
        <v>928</v>
      </c>
      <c r="F18451">
        <v>111.27</v>
      </c>
      <c r="G18451">
        <v>231102</v>
      </c>
      <c r="H18451">
        <v>4560</v>
      </c>
      <c r="I18451" t="s">
        <v>345</v>
      </c>
      <c r="J18451">
        <v>137.97</v>
      </c>
      <c r="K18451">
        <v>26.7</v>
      </c>
      <c r="L18451">
        <v>17131</v>
      </c>
      <c r="M18451" t="s">
        <v>64</v>
      </c>
      <c r="N18451" t="str">
        <f>"21733514900 "</f>
        <v xml:space="preserve">21733514900 </v>
      </c>
      <c r="O18451">
        <v>231107</v>
      </c>
    </row>
    <row r="18452" spans="1:15" x14ac:dyDescent="0.25">
      <c r="A18452" t="s">
        <v>16</v>
      </c>
      <c r="B18452" t="s">
        <v>3221</v>
      </c>
      <c r="C18452">
        <v>14976</v>
      </c>
      <c r="D18452" t="s">
        <v>927</v>
      </c>
      <c r="E18452" t="s">
        <v>928</v>
      </c>
      <c r="F18452">
        <v>111.27</v>
      </c>
      <c r="G18452">
        <v>231102</v>
      </c>
      <c r="H18452">
        <v>4560</v>
      </c>
      <c r="I18452" t="s">
        <v>345</v>
      </c>
      <c r="J18452">
        <v>137.97</v>
      </c>
      <c r="K18452">
        <v>26.7</v>
      </c>
      <c r="L18452">
        <v>17711</v>
      </c>
      <c r="M18452" t="s">
        <v>65</v>
      </c>
      <c r="N18452" t="str">
        <f>"21733514900 "</f>
        <v xml:space="preserve">21733514900 </v>
      </c>
      <c r="O18452">
        <v>231107</v>
      </c>
    </row>
    <row r="18453" spans="1:15" x14ac:dyDescent="0.25">
      <c r="A18453" t="s">
        <v>16</v>
      </c>
      <c r="B18453" t="s">
        <v>3221</v>
      </c>
      <c r="C18453">
        <v>16651</v>
      </c>
      <c r="D18453" t="s">
        <v>927</v>
      </c>
      <c r="E18453" t="s">
        <v>928</v>
      </c>
      <c r="F18453">
        <v>241.6</v>
      </c>
      <c r="G18453">
        <v>231202</v>
      </c>
      <c r="H18453">
        <v>4560</v>
      </c>
      <c r="I18453" t="s">
        <v>345</v>
      </c>
      <c r="J18453">
        <v>299.58</v>
      </c>
      <c r="K18453">
        <v>57.98</v>
      </c>
      <c r="L18453">
        <v>17131</v>
      </c>
      <c r="M18453" t="s">
        <v>64</v>
      </c>
      <c r="N18453" t="str">
        <f>"23381927400 "</f>
        <v xml:space="preserve">23381927400 </v>
      </c>
      <c r="O18453">
        <v>231205</v>
      </c>
    </row>
    <row r="18454" spans="1:15" x14ac:dyDescent="0.25">
      <c r="A18454" t="s">
        <v>16</v>
      </c>
      <c r="B18454" t="s">
        <v>3221</v>
      </c>
      <c r="C18454">
        <v>16651</v>
      </c>
      <c r="D18454" t="s">
        <v>927</v>
      </c>
      <c r="E18454" t="s">
        <v>928</v>
      </c>
      <c r="F18454">
        <v>241.59</v>
      </c>
      <c r="G18454">
        <v>231202</v>
      </c>
      <c r="H18454">
        <v>4560</v>
      </c>
      <c r="I18454" t="s">
        <v>345</v>
      </c>
      <c r="J18454">
        <v>299.57</v>
      </c>
      <c r="K18454">
        <v>57.98</v>
      </c>
      <c r="L18454">
        <v>17711</v>
      </c>
      <c r="M18454" t="s">
        <v>65</v>
      </c>
      <c r="N18454" t="str">
        <f>"23381927400 "</f>
        <v xml:space="preserve">23381927400 </v>
      </c>
      <c r="O18454">
        <v>231205</v>
      </c>
    </row>
    <row r="18455" spans="1:15" x14ac:dyDescent="0.25">
      <c r="A18455" t="s">
        <v>16</v>
      </c>
      <c r="B18455" t="s">
        <v>3221</v>
      </c>
      <c r="C18455">
        <v>18681</v>
      </c>
      <c r="D18455" t="s">
        <v>927</v>
      </c>
      <c r="E18455" t="s">
        <v>928</v>
      </c>
      <c r="F18455">
        <v>138.61000000000001</v>
      </c>
      <c r="G18455">
        <v>240102</v>
      </c>
      <c r="H18455">
        <v>4560</v>
      </c>
      <c r="I18455" t="s">
        <v>345</v>
      </c>
      <c r="J18455">
        <v>171.88</v>
      </c>
      <c r="K18455">
        <v>33.270000000000003</v>
      </c>
      <c r="L18455">
        <v>17131</v>
      </c>
      <c r="M18455" t="s">
        <v>64</v>
      </c>
      <c r="N18455" t="str">
        <f>"24978124200 "</f>
        <v xml:space="preserve">24978124200 </v>
      </c>
      <c r="O18455">
        <v>240104</v>
      </c>
    </row>
    <row r="18456" spans="1:15" x14ac:dyDescent="0.25">
      <c r="A18456" t="s">
        <v>16</v>
      </c>
      <c r="B18456" t="s">
        <v>3221</v>
      </c>
      <c r="C18456">
        <v>18681</v>
      </c>
      <c r="D18456" t="s">
        <v>927</v>
      </c>
      <c r="E18456" t="s">
        <v>928</v>
      </c>
      <c r="F18456">
        <v>138.6</v>
      </c>
      <c r="G18456">
        <v>240102</v>
      </c>
      <c r="H18456">
        <v>4560</v>
      </c>
      <c r="I18456" t="s">
        <v>345</v>
      </c>
      <c r="J18456">
        <v>171.87</v>
      </c>
      <c r="K18456">
        <v>33.270000000000003</v>
      </c>
      <c r="L18456">
        <v>17711</v>
      </c>
      <c r="M18456" t="s">
        <v>65</v>
      </c>
      <c r="N18456" t="str">
        <f>"24978124200 "</f>
        <v xml:space="preserve">24978124200 </v>
      </c>
      <c r="O18456">
        <v>240104</v>
      </c>
    </row>
    <row r="18457" spans="1:15" x14ac:dyDescent="0.25">
      <c r="A18457" t="s">
        <v>16</v>
      </c>
      <c r="B18457" t="s">
        <v>3221</v>
      </c>
      <c r="C18457">
        <v>1980</v>
      </c>
      <c r="D18457" t="s">
        <v>573</v>
      </c>
      <c r="E18457" t="s">
        <v>574</v>
      </c>
      <c r="F18457">
        <v>516.41</v>
      </c>
      <c r="G18457">
        <v>230215</v>
      </c>
      <c r="H18457">
        <v>4410</v>
      </c>
      <c r="I18457" t="s">
        <v>517</v>
      </c>
      <c r="J18457">
        <v>640.35</v>
      </c>
      <c r="K18457">
        <v>123.94</v>
      </c>
      <c r="L18457">
        <v>69112</v>
      </c>
      <c r="M18457" t="s">
        <v>313</v>
      </c>
      <c r="N18457" t="str">
        <f>"7735-2023   "</f>
        <v xml:space="preserve">7735-2023   </v>
      </c>
      <c r="O18457">
        <v>230216</v>
      </c>
    </row>
    <row r="18458" spans="1:15" x14ac:dyDescent="0.25">
      <c r="A18458" t="s">
        <v>16</v>
      </c>
      <c r="B18458" t="s">
        <v>3221</v>
      </c>
      <c r="C18458">
        <v>1980</v>
      </c>
      <c r="D18458" t="s">
        <v>573</v>
      </c>
      <c r="E18458" t="s">
        <v>574</v>
      </c>
      <c r="F18458">
        <v>28.69</v>
      </c>
      <c r="G18458">
        <v>230215</v>
      </c>
      <c r="H18458">
        <v>4410</v>
      </c>
      <c r="I18458" t="s">
        <v>517</v>
      </c>
      <c r="J18458">
        <v>35.58</v>
      </c>
      <c r="K18458">
        <v>6.89</v>
      </c>
      <c r="L18458">
        <v>69810</v>
      </c>
      <c r="M18458" t="s">
        <v>314</v>
      </c>
      <c r="N18458" t="str">
        <f>"7735-2023   "</f>
        <v xml:space="preserve">7735-2023   </v>
      </c>
      <c r="O18458">
        <v>230216</v>
      </c>
    </row>
    <row r="18459" spans="1:15" x14ac:dyDescent="0.25">
      <c r="A18459" t="s">
        <v>16</v>
      </c>
      <c r="B18459" t="s">
        <v>3221</v>
      </c>
      <c r="C18459">
        <v>1980</v>
      </c>
      <c r="D18459" t="s">
        <v>573</v>
      </c>
      <c r="E18459" t="s">
        <v>574</v>
      </c>
      <c r="F18459">
        <v>28.69</v>
      </c>
      <c r="G18459">
        <v>230215</v>
      </c>
      <c r="H18459">
        <v>4410</v>
      </c>
      <c r="I18459" t="s">
        <v>517</v>
      </c>
      <c r="J18459">
        <v>35.57</v>
      </c>
      <c r="K18459">
        <v>6.88</v>
      </c>
      <c r="L18459">
        <v>69811</v>
      </c>
      <c r="M18459" t="s">
        <v>315</v>
      </c>
      <c r="N18459" t="str">
        <f>"7735-2023   "</f>
        <v xml:space="preserve">7735-2023   </v>
      </c>
      <c r="O18459">
        <v>230216</v>
      </c>
    </row>
    <row r="18460" spans="1:15" x14ac:dyDescent="0.25">
      <c r="A18460" t="s">
        <v>16</v>
      </c>
      <c r="B18460" t="s">
        <v>3221</v>
      </c>
      <c r="C18460">
        <v>4121</v>
      </c>
      <c r="D18460" t="s">
        <v>573</v>
      </c>
      <c r="E18460" t="s">
        <v>574</v>
      </c>
      <c r="F18460">
        <v>516.41999999999996</v>
      </c>
      <c r="G18460">
        <v>230329</v>
      </c>
      <c r="H18460">
        <v>4410</v>
      </c>
      <c r="I18460" t="s">
        <v>517</v>
      </c>
      <c r="J18460">
        <v>640.36</v>
      </c>
      <c r="K18460">
        <v>123.94</v>
      </c>
      <c r="L18460">
        <v>69112</v>
      </c>
      <c r="M18460" t="s">
        <v>313</v>
      </c>
      <c r="N18460" t="str">
        <f>"14783-2023  "</f>
        <v xml:space="preserve">14783-2023  </v>
      </c>
      <c r="O18460">
        <v>230330</v>
      </c>
    </row>
    <row r="18461" spans="1:15" x14ac:dyDescent="0.25">
      <c r="A18461" t="s">
        <v>16</v>
      </c>
      <c r="B18461" t="s">
        <v>3221</v>
      </c>
      <c r="C18461">
        <v>4121</v>
      </c>
      <c r="D18461" t="s">
        <v>573</v>
      </c>
      <c r="E18461" t="s">
        <v>574</v>
      </c>
      <c r="F18461">
        <v>28.69</v>
      </c>
      <c r="G18461">
        <v>230329</v>
      </c>
      <c r="H18461">
        <v>4410</v>
      </c>
      <c r="I18461" t="s">
        <v>517</v>
      </c>
      <c r="J18461">
        <v>35.57</v>
      </c>
      <c r="K18461">
        <v>6.88</v>
      </c>
      <c r="L18461">
        <v>69810</v>
      </c>
      <c r="M18461" t="s">
        <v>314</v>
      </c>
      <c r="N18461" t="str">
        <f>"14783-2023  "</f>
        <v xml:space="preserve">14783-2023  </v>
      </c>
      <c r="O18461">
        <v>230330</v>
      </c>
    </row>
    <row r="18462" spans="1:15" x14ac:dyDescent="0.25">
      <c r="A18462" t="s">
        <v>16</v>
      </c>
      <c r="B18462" t="s">
        <v>3221</v>
      </c>
      <c r="C18462">
        <v>4121</v>
      </c>
      <c r="D18462" t="s">
        <v>573</v>
      </c>
      <c r="E18462" t="s">
        <v>574</v>
      </c>
      <c r="F18462">
        <v>28.69</v>
      </c>
      <c r="G18462">
        <v>230329</v>
      </c>
      <c r="H18462">
        <v>4410</v>
      </c>
      <c r="I18462" t="s">
        <v>517</v>
      </c>
      <c r="J18462">
        <v>35.57</v>
      </c>
      <c r="K18462">
        <v>6.88</v>
      </c>
      <c r="L18462">
        <v>69811</v>
      </c>
      <c r="M18462" t="s">
        <v>315</v>
      </c>
      <c r="N18462" t="str">
        <f>"14783-2023  "</f>
        <v xml:space="preserve">14783-2023  </v>
      </c>
      <c r="O18462">
        <v>230330</v>
      </c>
    </row>
    <row r="18463" spans="1:15" x14ac:dyDescent="0.25">
      <c r="A18463" t="s">
        <v>16</v>
      </c>
      <c r="B18463" t="s">
        <v>3221</v>
      </c>
      <c r="C18463">
        <v>8293</v>
      </c>
      <c r="D18463" t="s">
        <v>573</v>
      </c>
      <c r="E18463" t="s">
        <v>574</v>
      </c>
      <c r="F18463">
        <v>213.17</v>
      </c>
      <c r="G18463">
        <v>230607</v>
      </c>
      <c r="H18463">
        <v>4410</v>
      </c>
      <c r="I18463" t="s">
        <v>517</v>
      </c>
      <c r="J18463">
        <v>264.33</v>
      </c>
      <c r="K18463">
        <v>51.16</v>
      </c>
      <c r="L18463">
        <v>69112</v>
      </c>
      <c r="M18463" t="s">
        <v>313</v>
      </c>
      <c r="N18463" t="str">
        <f>"26705-2023  "</f>
        <v xml:space="preserve">26705-2023  </v>
      </c>
      <c r="O18463">
        <v>230608</v>
      </c>
    </row>
    <row r="18464" spans="1:15" x14ac:dyDescent="0.25">
      <c r="A18464" t="s">
        <v>16</v>
      </c>
      <c r="B18464" t="s">
        <v>3221</v>
      </c>
      <c r="C18464">
        <v>8293</v>
      </c>
      <c r="D18464" t="s">
        <v>573</v>
      </c>
      <c r="E18464" t="s">
        <v>574</v>
      </c>
      <c r="F18464">
        <v>11.51</v>
      </c>
      <c r="G18464">
        <v>230607</v>
      </c>
      <c r="H18464">
        <v>4410</v>
      </c>
      <c r="I18464" t="s">
        <v>517</v>
      </c>
      <c r="J18464">
        <v>14.27</v>
      </c>
      <c r="K18464">
        <v>2.76</v>
      </c>
      <c r="L18464">
        <v>69810</v>
      </c>
      <c r="M18464" t="s">
        <v>314</v>
      </c>
      <c r="N18464" t="str">
        <f>"26705-2023  "</f>
        <v xml:space="preserve">26705-2023  </v>
      </c>
      <c r="O18464">
        <v>230608</v>
      </c>
    </row>
    <row r="18465" spans="1:15" x14ac:dyDescent="0.25">
      <c r="A18465" t="s">
        <v>16</v>
      </c>
      <c r="B18465" t="s">
        <v>3221</v>
      </c>
      <c r="C18465">
        <v>8293</v>
      </c>
      <c r="D18465" t="s">
        <v>573</v>
      </c>
      <c r="E18465" t="s">
        <v>574</v>
      </c>
      <c r="F18465">
        <v>11.52</v>
      </c>
      <c r="G18465">
        <v>230607</v>
      </c>
      <c r="H18465">
        <v>4410</v>
      </c>
      <c r="I18465" t="s">
        <v>517</v>
      </c>
      <c r="J18465">
        <v>14.28</v>
      </c>
      <c r="K18465">
        <v>2.76</v>
      </c>
      <c r="L18465">
        <v>69811</v>
      </c>
      <c r="M18465" t="s">
        <v>315</v>
      </c>
      <c r="N18465" t="str">
        <f>"26705-2023  "</f>
        <v xml:space="preserve">26705-2023  </v>
      </c>
      <c r="O18465">
        <v>230608</v>
      </c>
    </row>
    <row r="18466" spans="1:15" x14ac:dyDescent="0.25">
      <c r="A18466" t="s">
        <v>16</v>
      </c>
      <c r="B18466" t="s">
        <v>3221</v>
      </c>
      <c r="C18466">
        <v>9218</v>
      </c>
      <c r="D18466" t="s">
        <v>573</v>
      </c>
      <c r="E18466" t="s">
        <v>574</v>
      </c>
      <c r="F18466">
        <v>106.29</v>
      </c>
      <c r="G18466">
        <v>230628</v>
      </c>
      <c r="H18466">
        <v>4410</v>
      </c>
      <c r="I18466" t="s">
        <v>517</v>
      </c>
      <c r="J18466">
        <v>131.80000000000001</v>
      </c>
      <c r="K18466">
        <v>25.51</v>
      </c>
      <c r="L18466">
        <v>69112</v>
      </c>
      <c r="M18466" t="s">
        <v>313</v>
      </c>
      <c r="N18466" t="str">
        <f>"30152-2023  "</f>
        <v xml:space="preserve">30152-2023  </v>
      </c>
      <c r="O18466">
        <v>230630</v>
      </c>
    </row>
    <row r="18467" spans="1:15" x14ac:dyDescent="0.25">
      <c r="A18467" t="s">
        <v>16</v>
      </c>
      <c r="B18467" t="s">
        <v>3221</v>
      </c>
      <c r="C18467">
        <v>9218</v>
      </c>
      <c r="D18467" t="s">
        <v>573</v>
      </c>
      <c r="E18467" t="s">
        <v>574</v>
      </c>
      <c r="F18467">
        <v>5.9</v>
      </c>
      <c r="G18467">
        <v>230628</v>
      </c>
      <c r="H18467">
        <v>4410</v>
      </c>
      <c r="I18467" t="s">
        <v>517</v>
      </c>
      <c r="J18467">
        <v>7.32</v>
      </c>
      <c r="K18467">
        <v>1.42</v>
      </c>
      <c r="L18467">
        <v>69810</v>
      </c>
      <c r="M18467" t="s">
        <v>314</v>
      </c>
      <c r="N18467" t="str">
        <f>"30152-2023  "</f>
        <v xml:space="preserve">30152-2023  </v>
      </c>
      <c r="O18467">
        <v>230630</v>
      </c>
    </row>
    <row r="18468" spans="1:15" x14ac:dyDescent="0.25">
      <c r="A18468" t="s">
        <v>16</v>
      </c>
      <c r="B18468" t="s">
        <v>3221</v>
      </c>
      <c r="C18468">
        <v>9218</v>
      </c>
      <c r="D18468" t="s">
        <v>573</v>
      </c>
      <c r="E18468" t="s">
        <v>574</v>
      </c>
      <c r="F18468">
        <v>5.9</v>
      </c>
      <c r="G18468">
        <v>230628</v>
      </c>
      <c r="H18468">
        <v>4410</v>
      </c>
      <c r="I18468" t="s">
        <v>517</v>
      </c>
      <c r="J18468">
        <v>7.32</v>
      </c>
      <c r="K18468">
        <v>1.42</v>
      </c>
      <c r="L18468">
        <v>69811</v>
      </c>
      <c r="M18468" t="s">
        <v>315</v>
      </c>
      <c r="N18468" t="str">
        <f>"30152-2023  "</f>
        <v xml:space="preserve">30152-2023  </v>
      </c>
      <c r="O18468">
        <v>230630</v>
      </c>
    </row>
    <row r="18469" spans="1:15" x14ac:dyDescent="0.25">
      <c r="A18469" t="s">
        <v>16</v>
      </c>
      <c r="B18469" t="s">
        <v>3221</v>
      </c>
      <c r="C18469">
        <v>11211</v>
      </c>
      <c r="D18469" t="s">
        <v>573</v>
      </c>
      <c r="E18469" t="s">
        <v>574</v>
      </c>
      <c r="F18469">
        <v>545.99</v>
      </c>
      <c r="G18469">
        <v>230830</v>
      </c>
      <c r="H18469">
        <v>4410</v>
      </c>
      <c r="I18469" t="s">
        <v>517</v>
      </c>
      <c r="J18469">
        <v>677.03</v>
      </c>
      <c r="K18469">
        <v>131.04</v>
      </c>
      <c r="L18469">
        <v>69112</v>
      </c>
      <c r="M18469" t="s">
        <v>313</v>
      </c>
      <c r="N18469" t="str">
        <f>"39875-2023  "</f>
        <v xml:space="preserve">39875-2023  </v>
      </c>
      <c r="O18469">
        <v>230831</v>
      </c>
    </row>
    <row r="18470" spans="1:15" x14ac:dyDescent="0.25">
      <c r="A18470" t="s">
        <v>16</v>
      </c>
      <c r="B18470" t="s">
        <v>3221</v>
      </c>
      <c r="C18470">
        <v>11211</v>
      </c>
      <c r="D18470" t="s">
        <v>573</v>
      </c>
      <c r="E18470" t="s">
        <v>574</v>
      </c>
      <c r="F18470">
        <v>30.33</v>
      </c>
      <c r="G18470">
        <v>230830</v>
      </c>
      <c r="H18470">
        <v>4410</v>
      </c>
      <c r="I18470" t="s">
        <v>517</v>
      </c>
      <c r="J18470">
        <v>37.61</v>
      </c>
      <c r="K18470">
        <v>7.28</v>
      </c>
      <c r="L18470">
        <v>69810</v>
      </c>
      <c r="M18470" t="s">
        <v>314</v>
      </c>
      <c r="N18470" t="str">
        <f>"39875-2023  "</f>
        <v xml:space="preserve">39875-2023  </v>
      </c>
      <c r="O18470">
        <v>230831</v>
      </c>
    </row>
    <row r="18471" spans="1:15" x14ac:dyDescent="0.25">
      <c r="A18471" t="s">
        <v>16</v>
      </c>
      <c r="B18471" t="s">
        <v>3221</v>
      </c>
      <c r="C18471">
        <v>11211</v>
      </c>
      <c r="D18471" t="s">
        <v>573</v>
      </c>
      <c r="E18471" t="s">
        <v>574</v>
      </c>
      <c r="F18471">
        <v>30.33</v>
      </c>
      <c r="G18471">
        <v>230830</v>
      </c>
      <c r="H18471">
        <v>4410</v>
      </c>
      <c r="I18471" t="s">
        <v>517</v>
      </c>
      <c r="J18471">
        <v>37.61</v>
      </c>
      <c r="K18471">
        <v>7.28</v>
      </c>
      <c r="L18471">
        <v>69811</v>
      </c>
      <c r="M18471" t="s">
        <v>315</v>
      </c>
      <c r="N18471" t="str">
        <f>"39875-2023  "</f>
        <v xml:space="preserve">39875-2023  </v>
      </c>
      <c r="O18471">
        <v>230831</v>
      </c>
    </row>
    <row r="18472" spans="1:15" x14ac:dyDescent="0.25">
      <c r="A18472" t="s">
        <v>16</v>
      </c>
      <c r="B18472" t="s">
        <v>3221</v>
      </c>
      <c r="C18472">
        <v>10644</v>
      </c>
      <c r="D18472" t="s">
        <v>2405</v>
      </c>
      <c r="E18472" t="s">
        <v>2406</v>
      </c>
      <c r="F18472">
        <v>300</v>
      </c>
      <c r="G18472">
        <v>230821</v>
      </c>
      <c r="H18472">
        <v>4470</v>
      </c>
      <c r="I18472" t="s">
        <v>83</v>
      </c>
      <c r="J18472">
        <v>300</v>
      </c>
      <c r="K18472">
        <v>0</v>
      </c>
      <c r="L18472">
        <v>17972</v>
      </c>
      <c r="M18472" t="s">
        <v>248</v>
      </c>
      <c r="N18472" t="str">
        <f>"01921/23    "</f>
        <v xml:space="preserve">01921/23    </v>
      </c>
      <c r="O18472">
        <v>230821</v>
      </c>
    </row>
    <row r="18473" spans="1:15" x14ac:dyDescent="0.25">
      <c r="A18473" t="s">
        <v>16</v>
      </c>
      <c r="B18473" t="s">
        <v>3221</v>
      </c>
      <c r="C18473">
        <v>9120</v>
      </c>
      <c r="D18473" t="s">
        <v>2255</v>
      </c>
      <c r="E18473" t="s">
        <v>2256</v>
      </c>
      <c r="F18473">
        <v>26.97</v>
      </c>
      <c r="G18473">
        <v>230619</v>
      </c>
      <c r="H18473">
        <v>4530</v>
      </c>
      <c r="I18473" t="s">
        <v>342</v>
      </c>
      <c r="J18473">
        <v>33.44</v>
      </c>
      <c r="K18473">
        <v>6.47</v>
      </c>
      <c r="L18473">
        <v>13540</v>
      </c>
      <c r="M18473" t="s">
        <v>85</v>
      </c>
      <c r="N18473" t="str">
        <f>"3307        "</f>
        <v xml:space="preserve">3307        </v>
      </c>
      <c r="O18473">
        <v>230628</v>
      </c>
    </row>
    <row r="18474" spans="1:15" x14ac:dyDescent="0.25">
      <c r="A18474" t="s">
        <v>16</v>
      </c>
      <c r="B18474" t="s">
        <v>3221</v>
      </c>
      <c r="C18474">
        <v>9120</v>
      </c>
      <c r="D18474" t="s">
        <v>2255</v>
      </c>
      <c r="E18474" t="s">
        <v>2256</v>
      </c>
      <c r="F18474">
        <v>183.85</v>
      </c>
      <c r="G18474">
        <v>230619</v>
      </c>
      <c r="H18474">
        <v>4530</v>
      </c>
      <c r="I18474" t="s">
        <v>342</v>
      </c>
      <c r="J18474">
        <v>227.98</v>
      </c>
      <c r="K18474">
        <v>44.13</v>
      </c>
      <c r="L18474">
        <v>17950</v>
      </c>
      <c r="M18474" t="s">
        <v>86</v>
      </c>
      <c r="N18474" t="str">
        <f>"3307        "</f>
        <v xml:space="preserve">3307        </v>
      </c>
      <c r="O18474">
        <v>230628</v>
      </c>
    </row>
    <row r="18475" spans="1:15" x14ac:dyDescent="0.25">
      <c r="A18475" t="s">
        <v>16</v>
      </c>
      <c r="B18475" t="s">
        <v>3221</v>
      </c>
      <c r="C18475">
        <v>9120</v>
      </c>
      <c r="D18475" t="s">
        <v>2255</v>
      </c>
      <c r="E18475" t="s">
        <v>2256</v>
      </c>
      <c r="F18475">
        <v>126.57</v>
      </c>
      <c r="G18475">
        <v>230619</v>
      </c>
      <c r="H18475">
        <v>4530</v>
      </c>
      <c r="I18475" t="s">
        <v>342</v>
      </c>
      <c r="J18475">
        <v>156.94999999999999</v>
      </c>
      <c r="K18475">
        <v>30.38</v>
      </c>
      <c r="L18475">
        <v>17951</v>
      </c>
      <c r="M18475" t="s">
        <v>87</v>
      </c>
      <c r="N18475" t="str">
        <f>"3307        "</f>
        <v xml:space="preserve">3307        </v>
      </c>
      <c r="O18475">
        <v>230628</v>
      </c>
    </row>
    <row r="18476" spans="1:15" x14ac:dyDescent="0.25">
      <c r="A18476" t="s">
        <v>16</v>
      </c>
      <c r="B18476" t="s">
        <v>3221</v>
      </c>
      <c r="C18476">
        <v>9120</v>
      </c>
      <c r="D18476" t="s">
        <v>2255</v>
      </c>
      <c r="E18476" t="s">
        <v>2256</v>
      </c>
      <c r="F18476">
        <v>63.29</v>
      </c>
      <c r="G18476">
        <v>230619</v>
      </c>
      <c r="H18476">
        <v>4530</v>
      </c>
      <c r="I18476" t="s">
        <v>342</v>
      </c>
      <c r="J18476">
        <v>78.48</v>
      </c>
      <c r="K18476">
        <v>15.19</v>
      </c>
      <c r="L18476">
        <v>17952</v>
      </c>
      <c r="M18476" t="s">
        <v>88</v>
      </c>
      <c r="N18476" t="str">
        <f>"3307        "</f>
        <v xml:space="preserve">3307        </v>
      </c>
      <c r="O18476">
        <v>230628</v>
      </c>
    </row>
    <row r="18477" spans="1:15" x14ac:dyDescent="0.25">
      <c r="A18477" t="s">
        <v>16</v>
      </c>
      <c r="B18477" t="s">
        <v>3221</v>
      </c>
      <c r="C18477">
        <v>9120</v>
      </c>
      <c r="D18477" t="s">
        <v>2255</v>
      </c>
      <c r="E18477" t="s">
        <v>2256</v>
      </c>
      <c r="F18477">
        <v>34.31</v>
      </c>
      <c r="G18477">
        <v>230619</v>
      </c>
      <c r="H18477">
        <v>4530</v>
      </c>
      <c r="I18477" t="s">
        <v>342</v>
      </c>
      <c r="J18477">
        <v>42.55</v>
      </c>
      <c r="K18477">
        <v>8.24</v>
      </c>
      <c r="L18477">
        <v>17956</v>
      </c>
      <c r="M18477" t="s">
        <v>53</v>
      </c>
      <c r="N18477" t="str">
        <f>"3307        "</f>
        <v xml:space="preserve">3307        </v>
      </c>
      <c r="O18477">
        <v>230628</v>
      </c>
    </row>
    <row r="18478" spans="1:15" x14ac:dyDescent="0.25">
      <c r="A18478" t="s">
        <v>16</v>
      </c>
      <c r="B18478" t="s">
        <v>3221</v>
      </c>
      <c r="C18478">
        <v>16337</v>
      </c>
      <c r="D18478" t="s">
        <v>2953</v>
      </c>
      <c r="E18478" t="s">
        <v>2954</v>
      </c>
      <c r="F18478">
        <v>387.23</v>
      </c>
      <c r="G18478">
        <v>231117</v>
      </c>
      <c r="H18478">
        <v>1198</v>
      </c>
      <c r="I18478" t="s">
        <v>1128</v>
      </c>
      <c r="J18478">
        <v>480.16</v>
      </c>
      <c r="K18478">
        <v>92.93</v>
      </c>
      <c r="L18478">
        <v>95511</v>
      </c>
      <c r="M18478" t="s">
        <v>1129</v>
      </c>
      <c r="N18478" t="str">
        <f>"142512      "</f>
        <v xml:space="preserve">142512      </v>
      </c>
      <c r="O18478">
        <v>231128</v>
      </c>
    </row>
    <row r="18479" spans="1:15" x14ac:dyDescent="0.25">
      <c r="A18479" t="s">
        <v>16</v>
      </c>
      <c r="B18479" t="s">
        <v>3221</v>
      </c>
      <c r="C18479">
        <v>233</v>
      </c>
      <c r="D18479" t="s">
        <v>355</v>
      </c>
      <c r="E18479" t="s">
        <v>356</v>
      </c>
      <c r="F18479">
        <v>5720</v>
      </c>
      <c r="G18479">
        <v>230111</v>
      </c>
      <c r="H18479">
        <v>4440</v>
      </c>
      <c r="I18479" t="s">
        <v>250</v>
      </c>
      <c r="J18479">
        <v>7092.8</v>
      </c>
      <c r="K18479">
        <v>1372.8</v>
      </c>
      <c r="L18479">
        <v>18120</v>
      </c>
      <c r="M18479" t="s">
        <v>329</v>
      </c>
      <c r="N18479" t="str">
        <f>"1893        "</f>
        <v xml:space="preserve">1893        </v>
      </c>
      <c r="O18479">
        <v>230116</v>
      </c>
    </row>
    <row r="18480" spans="1:15" x14ac:dyDescent="0.25">
      <c r="A18480" t="s">
        <v>16</v>
      </c>
      <c r="B18480" t="s">
        <v>3221</v>
      </c>
      <c r="C18480">
        <v>982</v>
      </c>
      <c r="D18480" t="s">
        <v>355</v>
      </c>
      <c r="E18480" t="s">
        <v>356</v>
      </c>
      <c r="F18480">
        <v>4160</v>
      </c>
      <c r="G18480">
        <v>230129</v>
      </c>
      <c r="H18480">
        <v>4440</v>
      </c>
      <c r="I18480" t="s">
        <v>250</v>
      </c>
      <c r="J18480">
        <v>5158.3999999999996</v>
      </c>
      <c r="K18480">
        <v>998.4</v>
      </c>
      <c r="L18480">
        <v>18122</v>
      </c>
      <c r="M18480" t="s">
        <v>407</v>
      </c>
      <c r="N18480" t="str">
        <f>"1896        "</f>
        <v xml:space="preserve">1896        </v>
      </c>
      <c r="O18480">
        <v>230202</v>
      </c>
    </row>
    <row r="18481" spans="1:15" x14ac:dyDescent="0.25">
      <c r="A18481" t="s">
        <v>16</v>
      </c>
      <c r="B18481" t="s">
        <v>3221</v>
      </c>
      <c r="C18481">
        <v>2827</v>
      </c>
      <c r="D18481" t="s">
        <v>355</v>
      </c>
      <c r="E18481" t="s">
        <v>356</v>
      </c>
      <c r="F18481">
        <v>4800</v>
      </c>
      <c r="G18481">
        <v>230305</v>
      </c>
      <c r="H18481">
        <v>4440</v>
      </c>
      <c r="I18481" t="s">
        <v>250</v>
      </c>
      <c r="J18481">
        <v>5952</v>
      </c>
      <c r="K18481">
        <v>1152</v>
      </c>
      <c r="L18481">
        <v>18122</v>
      </c>
      <c r="M18481" t="s">
        <v>407</v>
      </c>
      <c r="N18481" t="str">
        <f>"1923        "</f>
        <v xml:space="preserve">1923        </v>
      </c>
      <c r="O18481">
        <v>230308</v>
      </c>
    </row>
    <row r="18482" spans="1:15" x14ac:dyDescent="0.25">
      <c r="A18482" t="s">
        <v>16</v>
      </c>
      <c r="B18482" t="s">
        <v>3221</v>
      </c>
      <c r="C18482">
        <v>2897</v>
      </c>
      <c r="D18482" t="s">
        <v>355</v>
      </c>
      <c r="E18482" t="s">
        <v>356</v>
      </c>
      <c r="F18482">
        <v>5720</v>
      </c>
      <c r="G18482">
        <v>230305</v>
      </c>
      <c r="H18482">
        <v>4440</v>
      </c>
      <c r="I18482" t="s">
        <v>250</v>
      </c>
      <c r="J18482">
        <v>7092.8</v>
      </c>
      <c r="K18482">
        <v>1372.8</v>
      </c>
      <c r="L18482">
        <v>18120</v>
      </c>
      <c r="M18482" t="s">
        <v>329</v>
      </c>
      <c r="N18482" t="str">
        <f>"1927        "</f>
        <v xml:space="preserve">1927        </v>
      </c>
      <c r="O18482">
        <v>230308</v>
      </c>
    </row>
    <row r="18483" spans="1:15" x14ac:dyDescent="0.25">
      <c r="A18483" t="s">
        <v>16</v>
      </c>
      <c r="B18483" t="s">
        <v>3221</v>
      </c>
      <c r="C18483">
        <v>2898</v>
      </c>
      <c r="D18483" t="s">
        <v>355</v>
      </c>
      <c r="E18483" t="s">
        <v>356</v>
      </c>
      <c r="F18483">
        <v>3520</v>
      </c>
      <c r="G18483">
        <v>230305</v>
      </c>
      <c r="H18483">
        <v>4440</v>
      </c>
      <c r="I18483" t="s">
        <v>250</v>
      </c>
      <c r="J18483">
        <v>4364.8</v>
      </c>
      <c r="K18483">
        <v>844.8</v>
      </c>
      <c r="L18483">
        <v>18120</v>
      </c>
      <c r="M18483" t="s">
        <v>329</v>
      </c>
      <c r="N18483" t="str">
        <f>"1928        "</f>
        <v xml:space="preserve">1928        </v>
      </c>
      <c r="O18483">
        <v>230308</v>
      </c>
    </row>
    <row r="18484" spans="1:15" x14ac:dyDescent="0.25">
      <c r="A18484" t="s">
        <v>16</v>
      </c>
      <c r="B18484" t="s">
        <v>3221</v>
      </c>
      <c r="C18484">
        <v>2899</v>
      </c>
      <c r="D18484" t="s">
        <v>355</v>
      </c>
      <c r="E18484" t="s">
        <v>356</v>
      </c>
      <c r="F18484">
        <v>4840</v>
      </c>
      <c r="G18484">
        <v>230305</v>
      </c>
      <c r="H18484">
        <v>4440</v>
      </c>
      <c r="I18484" t="s">
        <v>250</v>
      </c>
      <c r="J18484">
        <v>6001.6</v>
      </c>
      <c r="K18484">
        <v>1161.5999999999999</v>
      </c>
      <c r="L18484">
        <v>18120</v>
      </c>
      <c r="M18484" t="s">
        <v>329</v>
      </c>
      <c r="N18484" t="str">
        <f>"1924        "</f>
        <v xml:space="preserve">1924        </v>
      </c>
      <c r="O18484">
        <v>230308</v>
      </c>
    </row>
    <row r="18485" spans="1:15" x14ac:dyDescent="0.25">
      <c r="A18485" t="s">
        <v>16</v>
      </c>
      <c r="B18485" t="s">
        <v>3221</v>
      </c>
      <c r="C18485">
        <v>2900</v>
      </c>
      <c r="D18485" t="s">
        <v>355</v>
      </c>
      <c r="E18485" t="s">
        <v>356</v>
      </c>
      <c r="F18485">
        <v>4400</v>
      </c>
      <c r="G18485">
        <v>230305</v>
      </c>
      <c r="H18485">
        <v>4440</v>
      </c>
      <c r="I18485" t="s">
        <v>250</v>
      </c>
      <c r="J18485">
        <v>5456</v>
      </c>
      <c r="K18485">
        <v>1056</v>
      </c>
      <c r="L18485">
        <v>18120</v>
      </c>
      <c r="M18485" t="s">
        <v>329</v>
      </c>
      <c r="N18485" t="str">
        <f>"1926        "</f>
        <v xml:space="preserve">1926        </v>
      </c>
      <c r="O18485">
        <v>230308</v>
      </c>
    </row>
    <row r="18486" spans="1:15" x14ac:dyDescent="0.25">
      <c r="A18486" t="s">
        <v>16</v>
      </c>
      <c r="B18486" t="s">
        <v>3221</v>
      </c>
      <c r="C18486">
        <v>2901</v>
      </c>
      <c r="D18486" t="s">
        <v>355</v>
      </c>
      <c r="E18486" t="s">
        <v>356</v>
      </c>
      <c r="F18486">
        <v>3960</v>
      </c>
      <c r="G18486">
        <v>230305</v>
      </c>
      <c r="H18486">
        <v>4440</v>
      </c>
      <c r="I18486" t="s">
        <v>250</v>
      </c>
      <c r="J18486">
        <v>4910.3999999999996</v>
      </c>
      <c r="K18486">
        <v>950.4</v>
      </c>
      <c r="L18486">
        <v>18120</v>
      </c>
      <c r="M18486" t="s">
        <v>329</v>
      </c>
      <c r="N18486" t="str">
        <f>"1925        "</f>
        <v xml:space="preserve">1925        </v>
      </c>
      <c r="O18486">
        <v>230308</v>
      </c>
    </row>
    <row r="18487" spans="1:15" x14ac:dyDescent="0.25">
      <c r="A18487" t="s">
        <v>16</v>
      </c>
      <c r="B18487" t="s">
        <v>3221</v>
      </c>
      <c r="C18487">
        <v>3315</v>
      </c>
      <c r="D18487" t="s">
        <v>355</v>
      </c>
      <c r="E18487" t="s">
        <v>356</v>
      </c>
      <c r="F18487">
        <v>2000</v>
      </c>
      <c r="G18487">
        <v>230310</v>
      </c>
      <c r="H18487">
        <v>4440</v>
      </c>
      <c r="I18487" t="s">
        <v>250</v>
      </c>
      <c r="J18487">
        <v>2480</v>
      </c>
      <c r="K18487">
        <v>480</v>
      </c>
      <c r="L18487">
        <v>18122</v>
      </c>
      <c r="M18487" t="s">
        <v>407</v>
      </c>
      <c r="N18487" t="str">
        <f>"1930        "</f>
        <v xml:space="preserve">1930        </v>
      </c>
      <c r="O18487">
        <v>230314</v>
      </c>
    </row>
    <row r="18488" spans="1:15" x14ac:dyDescent="0.25">
      <c r="A18488" t="s">
        <v>16</v>
      </c>
      <c r="B18488" t="s">
        <v>3221</v>
      </c>
      <c r="C18488">
        <v>3533</v>
      </c>
      <c r="D18488" t="s">
        <v>355</v>
      </c>
      <c r="E18488" t="s">
        <v>356</v>
      </c>
      <c r="F18488">
        <v>7040</v>
      </c>
      <c r="G18488">
        <v>230315</v>
      </c>
      <c r="H18488">
        <v>4440</v>
      </c>
      <c r="I18488" t="s">
        <v>250</v>
      </c>
      <c r="J18488">
        <v>8729.6</v>
      </c>
      <c r="K18488">
        <v>1689.6</v>
      </c>
      <c r="L18488">
        <v>18120</v>
      </c>
      <c r="M18488" t="s">
        <v>329</v>
      </c>
      <c r="N18488" t="str">
        <f>"1932        "</f>
        <v xml:space="preserve">1932        </v>
      </c>
      <c r="O18488">
        <v>230316</v>
      </c>
    </row>
    <row r="18489" spans="1:15" x14ac:dyDescent="0.25">
      <c r="A18489" t="s">
        <v>16</v>
      </c>
      <c r="B18489" t="s">
        <v>3221</v>
      </c>
      <c r="C18489">
        <v>4258</v>
      </c>
      <c r="D18489" t="s">
        <v>355</v>
      </c>
      <c r="E18489" t="s">
        <v>356</v>
      </c>
      <c r="F18489">
        <v>4400</v>
      </c>
      <c r="G18489">
        <v>230330</v>
      </c>
      <c r="H18489">
        <v>4440</v>
      </c>
      <c r="I18489" t="s">
        <v>250</v>
      </c>
      <c r="J18489">
        <v>5456</v>
      </c>
      <c r="K18489">
        <v>1056</v>
      </c>
      <c r="L18489">
        <v>18120</v>
      </c>
      <c r="M18489" t="s">
        <v>329</v>
      </c>
      <c r="N18489" t="str">
        <f>"1936        "</f>
        <v xml:space="preserve">1936        </v>
      </c>
      <c r="O18489">
        <v>230403</v>
      </c>
    </row>
    <row r="18490" spans="1:15" x14ac:dyDescent="0.25">
      <c r="A18490" t="s">
        <v>16</v>
      </c>
      <c r="B18490" t="s">
        <v>3221</v>
      </c>
      <c r="C18490">
        <v>8373</v>
      </c>
      <c r="D18490" t="s">
        <v>355</v>
      </c>
      <c r="E18490" t="s">
        <v>356</v>
      </c>
      <c r="F18490">
        <v>8360</v>
      </c>
      <c r="G18490">
        <v>230601</v>
      </c>
      <c r="H18490">
        <v>4440</v>
      </c>
      <c r="I18490" t="s">
        <v>250</v>
      </c>
      <c r="J18490">
        <v>10366.4</v>
      </c>
      <c r="K18490">
        <v>2006.4</v>
      </c>
      <c r="L18490">
        <v>18120</v>
      </c>
      <c r="M18490" t="s">
        <v>329</v>
      </c>
      <c r="N18490" t="str">
        <f>"1977        "</f>
        <v xml:space="preserve">1977        </v>
      </c>
      <c r="O18490">
        <v>230608</v>
      </c>
    </row>
    <row r="18491" spans="1:15" x14ac:dyDescent="0.25">
      <c r="A18491" t="s">
        <v>16</v>
      </c>
      <c r="B18491" t="s">
        <v>3221</v>
      </c>
      <c r="C18491">
        <v>8374</v>
      </c>
      <c r="D18491" t="s">
        <v>355</v>
      </c>
      <c r="E18491" t="s">
        <v>356</v>
      </c>
      <c r="F18491">
        <v>3960</v>
      </c>
      <c r="G18491">
        <v>230601</v>
      </c>
      <c r="H18491">
        <v>4440</v>
      </c>
      <c r="I18491" t="s">
        <v>250</v>
      </c>
      <c r="J18491">
        <v>4910.3999999999996</v>
      </c>
      <c r="K18491">
        <v>950.4</v>
      </c>
      <c r="L18491">
        <v>18120</v>
      </c>
      <c r="M18491" t="s">
        <v>329</v>
      </c>
      <c r="N18491" t="str">
        <f>"1973        "</f>
        <v xml:space="preserve">1973        </v>
      </c>
      <c r="O18491">
        <v>230608</v>
      </c>
    </row>
    <row r="18492" spans="1:15" x14ac:dyDescent="0.25">
      <c r="A18492" t="s">
        <v>16</v>
      </c>
      <c r="B18492" t="s">
        <v>3221</v>
      </c>
      <c r="C18492">
        <v>8375</v>
      </c>
      <c r="D18492" t="s">
        <v>355</v>
      </c>
      <c r="E18492" t="s">
        <v>356</v>
      </c>
      <c r="F18492">
        <v>5720</v>
      </c>
      <c r="G18492">
        <v>230601</v>
      </c>
      <c r="H18492">
        <v>4440</v>
      </c>
      <c r="I18492" t="s">
        <v>250</v>
      </c>
      <c r="J18492">
        <v>7092.8</v>
      </c>
      <c r="K18492">
        <v>1372.8</v>
      </c>
      <c r="L18492">
        <v>18120</v>
      </c>
      <c r="M18492" t="s">
        <v>329</v>
      </c>
      <c r="N18492" t="str">
        <f>"1975        "</f>
        <v xml:space="preserve">1975        </v>
      </c>
      <c r="O18492">
        <v>230608</v>
      </c>
    </row>
    <row r="18493" spans="1:15" x14ac:dyDescent="0.25">
      <c r="A18493" t="s">
        <v>16</v>
      </c>
      <c r="B18493" t="s">
        <v>3221</v>
      </c>
      <c r="C18493">
        <v>8376</v>
      </c>
      <c r="D18493" t="s">
        <v>355</v>
      </c>
      <c r="E18493" t="s">
        <v>356</v>
      </c>
      <c r="F18493">
        <v>4810</v>
      </c>
      <c r="G18493">
        <v>230601</v>
      </c>
      <c r="H18493">
        <v>4440</v>
      </c>
      <c r="I18493" t="s">
        <v>250</v>
      </c>
      <c r="J18493">
        <v>5964.4</v>
      </c>
      <c r="K18493">
        <v>1154.4000000000001</v>
      </c>
      <c r="L18493">
        <v>18120</v>
      </c>
      <c r="M18493" t="s">
        <v>329</v>
      </c>
      <c r="N18493" t="str">
        <f>"1978        "</f>
        <v xml:space="preserve">1978        </v>
      </c>
      <c r="O18493">
        <v>230608</v>
      </c>
    </row>
    <row r="18494" spans="1:15" x14ac:dyDescent="0.25">
      <c r="A18494" t="s">
        <v>16</v>
      </c>
      <c r="B18494" t="s">
        <v>3221</v>
      </c>
      <c r="C18494">
        <v>8377</v>
      </c>
      <c r="D18494" t="s">
        <v>355</v>
      </c>
      <c r="E18494" t="s">
        <v>356</v>
      </c>
      <c r="F18494">
        <v>3520</v>
      </c>
      <c r="G18494">
        <v>230601</v>
      </c>
      <c r="H18494">
        <v>4440</v>
      </c>
      <c r="I18494" t="s">
        <v>250</v>
      </c>
      <c r="J18494">
        <v>4364.8</v>
      </c>
      <c r="K18494">
        <v>844.8</v>
      </c>
      <c r="L18494">
        <v>18120</v>
      </c>
      <c r="M18494" t="s">
        <v>329</v>
      </c>
      <c r="N18494" t="str">
        <f>"1976        "</f>
        <v xml:space="preserve">1976        </v>
      </c>
      <c r="O18494">
        <v>230608</v>
      </c>
    </row>
    <row r="18495" spans="1:15" x14ac:dyDescent="0.25">
      <c r="A18495" t="s">
        <v>16</v>
      </c>
      <c r="B18495" t="s">
        <v>3221</v>
      </c>
      <c r="C18495">
        <v>8378</v>
      </c>
      <c r="D18495" t="s">
        <v>355</v>
      </c>
      <c r="E18495" t="s">
        <v>356</v>
      </c>
      <c r="F18495">
        <v>3080</v>
      </c>
      <c r="G18495">
        <v>230601</v>
      </c>
      <c r="H18495">
        <v>4440</v>
      </c>
      <c r="I18495" t="s">
        <v>250</v>
      </c>
      <c r="J18495">
        <v>3819.2</v>
      </c>
      <c r="K18495">
        <v>739.2</v>
      </c>
      <c r="L18495">
        <v>18120</v>
      </c>
      <c r="M18495" t="s">
        <v>329</v>
      </c>
      <c r="N18495" t="str">
        <f>"1974        "</f>
        <v xml:space="preserve">1974        </v>
      </c>
      <c r="O18495">
        <v>230608</v>
      </c>
    </row>
    <row r="18496" spans="1:15" x14ac:dyDescent="0.25">
      <c r="A18496" t="s">
        <v>16</v>
      </c>
      <c r="B18496" t="s">
        <v>3221</v>
      </c>
      <c r="C18496">
        <v>8531</v>
      </c>
      <c r="D18496" t="s">
        <v>355</v>
      </c>
      <c r="E18496" t="s">
        <v>356</v>
      </c>
      <c r="F18496">
        <v>5180</v>
      </c>
      <c r="G18496">
        <v>230604</v>
      </c>
      <c r="H18496">
        <v>4440</v>
      </c>
      <c r="I18496" t="s">
        <v>250</v>
      </c>
      <c r="J18496">
        <v>6423.2</v>
      </c>
      <c r="K18496">
        <v>1243.2</v>
      </c>
      <c r="L18496">
        <v>18120</v>
      </c>
      <c r="M18496" t="s">
        <v>329</v>
      </c>
      <c r="N18496" t="str">
        <f>"1983        "</f>
        <v xml:space="preserve">1983        </v>
      </c>
      <c r="O18496">
        <v>230612</v>
      </c>
    </row>
    <row r="18497" spans="1:15" x14ac:dyDescent="0.25">
      <c r="A18497" t="s">
        <v>16</v>
      </c>
      <c r="B18497" t="s">
        <v>3221</v>
      </c>
      <c r="C18497">
        <v>8888</v>
      </c>
      <c r="D18497" t="s">
        <v>355</v>
      </c>
      <c r="E18497" t="s">
        <v>356</v>
      </c>
      <c r="F18497">
        <v>3960</v>
      </c>
      <c r="G18497">
        <v>230614</v>
      </c>
      <c r="H18497">
        <v>4440</v>
      </c>
      <c r="I18497" t="s">
        <v>250</v>
      </c>
      <c r="J18497">
        <v>4910.3999999999996</v>
      </c>
      <c r="K18497">
        <v>950.4</v>
      </c>
      <c r="L18497">
        <v>18120</v>
      </c>
      <c r="M18497" t="s">
        <v>329</v>
      </c>
      <c r="N18497" t="str">
        <f>"1990        "</f>
        <v xml:space="preserve">1990        </v>
      </c>
      <c r="O18497">
        <v>230619</v>
      </c>
    </row>
    <row r="18498" spans="1:15" x14ac:dyDescent="0.25">
      <c r="A18498" t="s">
        <v>16</v>
      </c>
      <c r="B18498" t="s">
        <v>3221</v>
      </c>
      <c r="C18498">
        <v>11307</v>
      </c>
      <c r="D18498" t="s">
        <v>355</v>
      </c>
      <c r="E18498" t="s">
        <v>356</v>
      </c>
      <c r="F18498">
        <v>3520</v>
      </c>
      <c r="G18498">
        <v>230901</v>
      </c>
      <c r="H18498">
        <v>4440</v>
      </c>
      <c r="I18498" t="s">
        <v>250</v>
      </c>
      <c r="J18498">
        <v>4364.8</v>
      </c>
      <c r="K18498">
        <v>844.8</v>
      </c>
      <c r="L18498">
        <v>18120</v>
      </c>
      <c r="M18498" t="s">
        <v>329</v>
      </c>
      <c r="N18498" t="str">
        <f>"2013        "</f>
        <v xml:space="preserve">2013        </v>
      </c>
      <c r="O18498">
        <v>230904</v>
      </c>
    </row>
    <row r="18499" spans="1:15" x14ac:dyDescent="0.25">
      <c r="A18499" t="s">
        <v>16</v>
      </c>
      <c r="B18499" t="s">
        <v>3221</v>
      </c>
      <c r="C18499">
        <v>11334</v>
      </c>
      <c r="D18499" t="s">
        <v>355</v>
      </c>
      <c r="E18499" t="s">
        <v>356</v>
      </c>
      <c r="F18499">
        <v>4440</v>
      </c>
      <c r="G18499">
        <v>230901</v>
      </c>
      <c r="H18499">
        <v>4440</v>
      </c>
      <c r="I18499" t="s">
        <v>250</v>
      </c>
      <c r="J18499">
        <v>5505.6</v>
      </c>
      <c r="K18499">
        <v>1065.5999999999999</v>
      </c>
      <c r="L18499">
        <v>18120</v>
      </c>
      <c r="M18499" t="s">
        <v>329</v>
      </c>
      <c r="N18499" t="str">
        <f>"2012        "</f>
        <v xml:space="preserve">2012        </v>
      </c>
      <c r="O18499">
        <v>230904</v>
      </c>
    </row>
    <row r="18500" spans="1:15" x14ac:dyDescent="0.25">
      <c r="A18500" t="s">
        <v>16</v>
      </c>
      <c r="B18500" t="s">
        <v>3221</v>
      </c>
      <c r="C18500">
        <v>11335</v>
      </c>
      <c r="D18500" t="s">
        <v>355</v>
      </c>
      <c r="E18500" t="s">
        <v>356</v>
      </c>
      <c r="F18500">
        <v>2640</v>
      </c>
      <c r="G18500">
        <v>230901</v>
      </c>
      <c r="H18500">
        <v>4440</v>
      </c>
      <c r="I18500" t="s">
        <v>250</v>
      </c>
      <c r="J18500">
        <v>3273.6</v>
      </c>
      <c r="K18500">
        <v>633.6</v>
      </c>
      <c r="L18500">
        <v>18120</v>
      </c>
      <c r="M18500" t="s">
        <v>329</v>
      </c>
      <c r="N18500" t="str">
        <f>"2008        "</f>
        <v xml:space="preserve">2008        </v>
      </c>
      <c r="O18500">
        <v>230904</v>
      </c>
    </row>
    <row r="18501" spans="1:15" x14ac:dyDescent="0.25">
      <c r="A18501" t="s">
        <v>16</v>
      </c>
      <c r="B18501" t="s">
        <v>3221</v>
      </c>
      <c r="C18501">
        <v>11337</v>
      </c>
      <c r="D18501" t="s">
        <v>355</v>
      </c>
      <c r="E18501" t="s">
        <v>356</v>
      </c>
      <c r="F18501">
        <v>5550</v>
      </c>
      <c r="G18501">
        <v>230901</v>
      </c>
      <c r="H18501">
        <v>4440</v>
      </c>
      <c r="I18501" t="s">
        <v>250</v>
      </c>
      <c r="J18501">
        <v>6882</v>
      </c>
      <c r="K18501">
        <v>1332</v>
      </c>
      <c r="L18501">
        <v>18120</v>
      </c>
      <c r="M18501" t="s">
        <v>329</v>
      </c>
      <c r="N18501" t="str">
        <f>"2009        "</f>
        <v xml:space="preserve">2009        </v>
      </c>
      <c r="O18501">
        <v>230904</v>
      </c>
    </row>
    <row r="18502" spans="1:15" x14ac:dyDescent="0.25">
      <c r="A18502" t="s">
        <v>16</v>
      </c>
      <c r="B18502" t="s">
        <v>3221</v>
      </c>
      <c r="C18502">
        <v>11339</v>
      </c>
      <c r="D18502" t="s">
        <v>355</v>
      </c>
      <c r="E18502" t="s">
        <v>356</v>
      </c>
      <c r="F18502">
        <v>8360</v>
      </c>
      <c r="G18502">
        <v>230901</v>
      </c>
      <c r="H18502">
        <v>4440</v>
      </c>
      <c r="I18502" t="s">
        <v>250</v>
      </c>
      <c r="J18502">
        <v>10366.4</v>
      </c>
      <c r="K18502">
        <v>2006.4</v>
      </c>
      <c r="L18502">
        <v>18120</v>
      </c>
      <c r="M18502" t="s">
        <v>329</v>
      </c>
      <c r="N18502" t="str">
        <f>"2011        "</f>
        <v xml:space="preserve">2011        </v>
      </c>
      <c r="O18502">
        <v>230904</v>
      </c>
    </row>
    <row r="18503" spans="1:15" x14ac:dyDescent="0.25">
      <c r="A18503" t="s">
        <v>16</v>
      </c>
      <c r="B18503" t="s">
        <v>3221</v>
      </c>
      <c r="C18503">
        <v>12154</v>
      </c>
      <c r="D18503" t="s">
        <v>355</v>
      </c>
      <c r="E18503" t="s">
        <v>356</v>
      </c>
      <c r="F18503">
        <v>5280</v>
      </c>
      <c r="G18503">
        <v>230901</v>
      </c>
      <c r="H18503">
        <v>4440</v>
      </c>
      <c r="I18503" t="s">
        <v>250</v>
      </c>
      <c r="J18503">
        <v>6547.2</v>
      </c>
      <c r="K18503">
        <v>1267.2</v>
      </c>
      <c r="L18503">
        <v>18120</v>
      </c>
      <c r="M18503" t="s">
        <v>329</v>
      </c>
      <c r="N18503" t="str">
        <f>"2021        "</f>
        <v xml:space="preserve">2021        </v>
      </c>
      <c r="O18503">
        <v>230914</v>
      </c>
    </row>
    <row r="18504" spans="1:15" x14ac:dyDescent="0.25">
      <c r="A18504" t="s">
        <v>16</v>
      </c>
      <c r="B18504" t="s">
        <v>3221</v>
      </c>
      <c r="C18504">
        <v>14567</v>
      </c>
      <c r="D18504" t="s">
        <v>355</v>
      </c>
      <c r="E18504" t="s">
        <v>356</v>
      </c>
      <c r="F18504">
        <v>3520</v>
      </c>
      <c r="G18504">
        <v>231026</v>
      </c>
      <c r="H18504">
        <v>4440</v>
      </c>
      <c r="I18504" t="s">
        <v>250</v>
      </c>
      <c r="J18504">
        <v>4364.8</v>
      </c>
      <c r="K18504">
        <v>844.8</v>
      </c>
      <c r="L18504">
        <v>18120</v>
      </c>
      <c r="M18504" t="s">
        <v>329</v>
      </c>
      <c r="N18504" t="str">
        <f>"2033        "</f>
        <v xml:space="preserve">2033        </v>
      </c>
      <c r="O18504">
        <v>231030</v>
      </c>
    </row>
    <row r="18505" spans="1:15" x14ac:dyDescent="0.25">
      <c r="A18505" t="s">
        <v>16</v>
      </c>
      <c r="B18505" t="s">
        <v>3221</v>
      </c>
      <c r="C18505">
        <v>14930</v>
      </c>
      <c r="D18505" t="s">
        <v>355</v>
      </c>
      <c r="E18505" t="s">
        <v>356</v>
      </c>
      <c r="F18505">
        <v>4840</v>
      </c>
      <c r="G18505">
        <v>231031</v>
      </c>
      <c r="H18505">
        <v>4440</v>
      </c>
      <c r="I18505" t="s">
        <v>250</v>
      </c>
      <c r="J18505">
        <v>6001.6</v>
      </c>
      <c r="K18505">
        <v>1161.5999999999999</v>
      </c>
      <c r="L18505">
        <v>18120</v>
      </c>
      <c r="M18505" t="s">
        <v>329</v>
      </c>
      <c r="N18505" t="str">
        <f>"2037        "</f>
        <v xml:space="preserve">2037        </v>
      </c>
      <c r="O18505">
        <v>231107</v>
      </c>
    </row>
    <row r="18506" spans="1:15" x14ac:dyDescent="0.25">
      <c r="A18506" t="s">
        <v>16</v>
      </c>
      <c r="B18506" t="s">
        <v>3221</v>
      </c>
      <c r="C18506">
        <v>15426</v>
      </c>
      <c r="D18506" t="s">
        <v>355</v>
      </c>
      <c r="E18506" t="s">
        <v>356</v>
      </c>
      <c r="F18506">
        <v>2200</v>
      </c>
      <c r="G18506">
        <v>231109</v>
      </c>
      <c r="H18506">
        <v>4440</v>
      </c>
      <c r="I18506" t="s">
        <v>250</v>
      </c>
      <c r="J18506">
        <v>2728</v>
      </c>
      <c r="K18506">
        <v>528</v>
      </c>
      <c r="L18506">
        <v>18120</v>
      </c>
      <c r="M18506" t="s">
        <v>329</v>
      </c>
      <c r="N18506" t="str">
        <f>"2038        "</f>
        <v xml:space="preserve">2038        </v>
      </c>
      <c r="O18506">
        <v>231113</v>
      </c>
    </row>
    <row r="18507" spans="1:15" x14ac:dyDescent="0.25">
      <c r="A18507" t="s">
        <v>16</v>
      </c>
      <c r="B18507" t="s">
        <v>3221</v>
      </c>
      <c r="C18507">
        <v>16974</v>
      </c>
      <c r="D18507" t="s">
        <v>355</v>
      </c>
      <c r="E18507" t="s">
        <v>356</v>
      </c>
      <c r="F18507">
        <v>4070</v>
      </c>
      <c r="G18507">
        <v>231201</v>
      </c>
      <c r="H18507">
        <v>4440</v>
      </c>
      <c r="I18507" t="s">
        <v>250</v>
      </c>
      <c r="J18507">
        <v>5046.8</v>
      </c>
      <c r="K18507">
        <v>976.8</v>
      </c>
      <c r="L18507">
        <v>18120</v>
      </c>
      <c r="M18507" t="s">
        <v>329</v>
      </c>
      <c r="N18507" t="str">
        <f>"2045        "</f>
        <v xml:space="preserve">2045        </v>
      </c>
      <c r="O18507">
        <v>231211</v>
      </c>
    </row>
    <row r="18508" spans="1:15" x14ac:dyDescent="0.25">
      <c r="A18508" t="s">
        <v>16</v>
      </c>
      <c r="B18508" t="s">
        <v>3221</v>
      </c>
      <c r="C18508">
        <v>16975</v>
      </c>
      <c r="D18508" t="s">
        <v>355</v>
      </c>
      <c r="E18508" t="s">
        <v>356</v>
      </c>
      <c r="F18508">
        <v>5550</v>
      </c>
      <c r="G18508">
        <v>231201</v>
      </c>
      <c r="H18508">
        <v>4440</v>
      </c>
      <c r="I18508" t="s">
        <v>250</v>
      </c>
      <c r="J18508">
        <v>6882</v>
      </c>
      <c r="K18508">
        <v>1332</v>
      </c>
      <c r="L18508">
        <v>18120</v>
      </c>
      <c r="M18508" t="s">
        <v>329</v>
      </c>
      <c r="N18508" t="str">
        <f>"2046        "</f>
        <v xml:space="preserve">2046        </v>
      </c>
      <c r="O18508">
        <v>231211</v>
      </c>
    </row>
    <row r="18509" spans="1:15" x14ac:dyDescent="0.25">
      <c r="A18509" t="s">
        <v>16</v>
      </c>
      <c r="B18509" t="s">
        <v>3221</v>
      </c>
      <c r="C18509">
        <v>16983</v>
      </c>
      <c r="D18509" t="s">
        <v>355</v>
      </c>
      <c r="E18509" t="s">
        <v>356</v>
      </c>
      <c r="F18509">
        <v>8360</v>
      </c>
      <c r="G18509">
        <v>231201</v>
      </c>
      <c r="H18509">
        <v>4440</v>
      </c>
      <c r="I18509" t="s">
        <v>250</v>
      </c>
      <c r="J18509">
        <v>10366.4</v>
      </c>
      <c r="K18509">
        <v>2006.4</v>
      </c>
      <c r="L18509">
        <v>18120</v>
      </c>
      <c r="M18509" t="s">
        <v>329</v>
      </c>
      <c r="N18509" t="str">
        <f>"2044        "</f>
        <v xml:space="preserve">2044        </v>
      </c>
      <c r="O18509">
        <v>231211</v>
      </c>
    </row>
    <row r="18510" spans="1:15" x14ac:dyDescent="0.25">
      <c r="A18510" t="s">
        <v>16</v>
      </c>
      <c r="B18510" t="s">
        <v>3221</v>
      </c>
      <c r="C18510">
        <v>17066</v>
      </c>
      <c r="D18510" t="s">
        <v>355</v>
      </c>
      <c r="E18510" t="s">
        <v>356</v>
      </c>
      <c r="F18510">
        <v>6160</v>
      </c>
      <c r="G18510">
        <v>231204</v>
      </c>
      <c r="H18510">
        <v>4440</v>
      </c>
      <c r="I18510" t="s">
        <v>250</v>
      </c>
      <c r="J18510">
        <v>7638.4</v>
      </c>
      <c r="K18510">
        <v>1478.4</v>
      </c>
      <c r="L18510">
        <v>18120</v>
      </c>
      <c r="M18510" t="s">
        <v>329</v>
      </c>
      <c r="N18510" t="str">
        <f>"2049        "</f>
        <v xml:space="preserve">2049        </v>
      </c>
      <c r="O18510">
        <v>231212</v>
      </c>
    </row>
    <row r="18511" spans="1:15" x14ac:dyDescent="0.25">
      <c r="A18511" t="s">
        <v>16</v>
      </c>
      <c r="B18511" t="s">
        <v>3221</v>
      </c>
      <c r="C18511">
        <v>17944</v>
      </c>
      <c r="D18511" t="s">
        <v>355</v>
      </c>
      <c r="E18511" t="s">
        <v>356</v>
      </c>
      <c r="F18511">
        <v>880</v>
      </c>
      <c r="G18511">
        <v>231215</v>
      </c>
      <c r="H18511">
        <v>4440</v>
      </c>
      <c r="I18511" t="s">
        <v>250</v>
      </c>
      <c r="J18511">
        <v>1091.2</v>
      </c>
      <c r="K18511">
        <v>211.2</v>
      </c>
      <c r="L18511">
        <v>18120</v>
      </c>
      <c r="M18511" t="s">
        <v>329</v>
      </c>
      <c r="N18511" t="str">
        <f>"2051        "</f>
        <v xml:space="preserve">2051        </v>
      </c>
      <c r="O18511">
        <v>231228</v>
      </c>
    </row>
    <row r="18512" spans="1:15" x14ac:dyDescent="0.25">
      <c r="A18512" t="s">
        <v>16</v>
      </c>
      <c r="B18512" t="s">
        <v>3221</v>
      </c>
      <c r="C18512">
        <v>18193</v>
      </c>
      <c r="D18512" t="s">
        <v>355</v>
      </c>
      <c r="E18512" t="s">
        <v>356</v>
      </c>
      <c r="F18512">
        <v>5250</v>
      </c>
      <c r="G18512">
        <v>231220</v>
      </c>
      <c r="H18512">
        <v>4440</v>
      </c>
      <c r="I18512" t="s">
        <v>250</v>
      </c>
      <c r="J18512">
        <v>6510</v>
      </c>
      <c r="K18512">
        <v>1260</v>
      </c>
      <c r="L18512">
        <v>18120</v>
      </c>
      <c r="M18512" t="s">
        <v>329</v>
      </c>
      <c r="N18512" t="str">
        <f>"2052        "</f>
        <v xml:space="preserve">2052        </v>
      </c>
      <c r="O18512">
        <v>240102</v>
      </c>
    </row>
    <row r="18513" spans="1:15" x14ac:dyDescent="0.25">
      <c r="A18513" t="s">
        <v>16</v>
      </c>
      <c r="B18513" t="s">
        <v>3221</v>
      </c>
      <c r="C18513">
        <v>19112</v>
      </c>
      <c r="D18513" t="s">
        <v>355</v>
      </c>
      <c r="E18513" t="s">
        <v>356</v>
      </c>
      <c r="F18513">
        <v>425</v>
      </c>
      <c r="G18513">
        <v>240109</v>
      </c>
      <c r="H18513">
        <v>4440</v>
      </c>
      <c r="I18513" t="s">
        <v>250</v>
      </c>
      <c r="J18513">
        <v>527</v>
      </c>
      <c r="K18513">
        <v>102</v>
      </c>
      <c r="L18513">
        <v>18120</v>
      </c>
      <c r="M18513" t="s">
        <v>329</v>
      </c>
      <c r="N18513" t="str">
        <f>"2061        "</f>
        <v xml:space="preserve">2061        </v>
      </c>
      <c r="O18513">
        <v>240110</v>
      </c>
    </row>
    <row r="18514" spans="1:15" x14ac:dyDescent="0.25">
      <c r="A18514" t="s">
        <v>16</v>
      </c>
      <c r="B18514" t="s">
        <v>3221</v>
      </c>
      <c r="C18514">
        <v>4555</v>
      </c>
      <c r="D18514" t="s">
        <v>1730</v>
      </c>
      <c r="E18514" t="s">
        <v>1731</v>
      </c>
      <c r="F18514">
        <v>95.28</v>
      </c>
      <c r="G18514">
        <v>230328</v>
      </c>
      <c r="H18514">
        <v>4580</v>
      </c>
      <c r="I18514" t="s">
        <v>35</v>
      </c>
      <c r="J18514">
        <v>118.15</v>
      </c>
      <c r="K18514">
        <v>22.87</v>
      </c>
      <c r="L18514">
        <v>17737</v>
      </c>
      <c r="M18514" t="s">
        <v>279</v>
      </c>
      <c r="N18514" t="str">
        <f>"5616096     "</f>
        <v xml:space="preserve">5616096     </v>
      </c>
      <c r="O18514">
        <v>230406</v>
      </c>
    </row>
    <row r="18515" spans="1:15" x14ac:dyDescent="0.25">
      <c r="A18515" t="s">
        <v>16</v>
      </c>
      <c r="B18515" t="s">
        <v>3221</v>
      </c>
      <c r="C18515">
        <v>12417</v>
      </c>
      <c r="D18515" t="s">
        <v>1730</v>
      </c>
      <c r="E18515" t="s">
        <v>1731</v>
      </c>
      <c r="F18515">
        <v>950</v>
      </c>
      <c r="G18515">
        <v>230818</v>
      </c>
      <c r="H18515">
        <v>4580</v>
      </c>
      <c r="I18515" t="s">
        <v>35</v>
      </c>
      <c r="J18515">
        <v>1178</v>
      </c>
      <c r="K18515">
        <v>228</v>
      </c>
      <c r="L18515">
        <v>17806</v>
      </c>
      <c r="M18515" t="s">
        <v>265</v>
      </c>
      <c r="N18515" t="str">
        <f>"5897441     "</f>
        <v xml:space="preserve">5897441     </v>
      </c>
      <c r="O18515">
        <v>230919</v>
      </c>
    </row>
    <row r="18516" spans="1:15" x14ac:dyDescent="0.25">
      <c r="A18516" t="s">
        <v>16</v>
      </c>
      <c r="B18516" t="s">
        <v>3221</v>
      </c>
      <c r="C18516">
        <v>12417</v>
      </c>
      <c r="D18516" t="s">
        <v>1730</v>
      </c>
      <c r="E18516" t="s">
        <v>1731</v>
      </c>
      <c r="F18516">
        <v>1550</v>
      </c>
      <c r="G18516">
        <v>230818</v>
      </c>
      <c r="H18516">
        <v>4580</v>
      </c>
      <c r="I18516" t="s">
        <v>35</v>
      </c>
      <c r="J18516">
        <v>1922</v>
      </c>
      <c r="K18516">
        <v>372</v>
      </c>
      <c r="L18516">
        <v>17806</v>
      </c>
      <c r="M18516" t="s">
        <v>265</v>
      </c>
      <c r="N18516" t="str">
        <f>"5897441     "</f>
        <v xml:space="preserve">5897441     </v>
      </c>
      <c r="O18516">
        <v>230919</v>
      </c>
    </row>
    <row r="18517" spans="1:15" x14ac:dyDescent="0.25">
      <c r="A18517" t="s">
        <v>16</v>
      </c>
      <c r="B18517" t="s">
        <v>3221</v>
      </c>
      <c r="C18517">
        <v>12418</v>
      </c>
      <c r="D18517" t="s">
        <v>1730</v>
      </c>
      <c r="E18517" t="s">
        <v>1731</v>
      </c>
      <c r="F18517">
        <v>-950</v>
      </c>
      <c r="G18517">
        <v>230906</v>
      </c>
      <c r="H18517">
        <v>4580</v>
      </c>
      <c r="I18517" t="s">
        <v>35</v>
      </c>
      <c r="J18517">
        <v>-1178</v>
      </c>
      <c r="K18517">
        <v>-228</v>
      </c>
      <c r="L18517">
        <v>17806</v>
      </c>
      <c r="M18517" t="s">
        <v>265</v>
      </c>
      <c r="N18517" t="str">
        <f>"9620595     "</f>
        <v xml:space="preserve">9620595     </v>
      </c>
      <c r="O18517">
        <v>230919</v>
      </c>
    </row>
    <row r="18518" spans="1:15" x14ac:dyDescent="0.25">
      <c r="A18518" t="s">
        <v>16</v>
      </c>
      <c r="B18518" t="s">
        <v>3221</v>
      </c>
      <c r="C18518">
        <v>4555</v>
      </c>
      <c r="D18518" t="s">
        <v>1730</v>
      </c>
      <c r="E18518" t="s">
        <v>1731</v>
      </c>
      <c r="F18518">
        <v>2441.61</v>
      </c>
      <c r="G18518">
        <v>230328</v>
      </c>
      <c r="H18518">
        <v>4600</v>
      </c>
      <c r="I18518" t="s">
        <v>105</v>
      </c>
      <c r="J18518">
        <v>3027.6</v>
      </c>
      <c r="K18518">
        <v>585.99</v>
      </c>
      <c r="L18518">
        <v>17737</v>
      </c>
      <c r="M18518" t="s">
        <v>279</v>
      </c>
      <c r="N18518" t="str">
        <f>"5616096     "</f>
        <v xml:space="preserve">5616096     </v>
      </c>
      <c r="O18518">
        <v>230406</v>
      </c>
    </row>
    <row r="18519" spans="1:15" x14ac:dyDescent="0.25">
      <c r="A18519" t="s">
        <v>16</v>
      </c>
      <c r="B18519" t="s">
        <v>3221</v>
      </c>
      <c r="C18519">
        <v>4593</v>
      </c>
      <c r="D18519" t="s">
        <v>1730</v>
      </c>
      <c r="E18519" t="s">
        <v>1731</v>
      </c>
      <c r="F18519">
        <v>1237.6300000000001</v>
      </c>
      <c r="G18519">
        <v>230328</v>
      </c>
      <c r="H18519">
        <v>4590</v>
      </c>
      <c r="I18519" t="s">
        <v>203</v>
      </c>
      <c r="J18519">
        <v>1534.66</v>
      </c>
      <c r="K18519">
        <v>297.02999999999997</v>
      </c>
      <c r="L18519">
        <v>17806</v>
      </c>
      <c r="M18519" t="s">
        <v>265</v>
      </c>
      <c r="N18519" t="str">
        <f>"5616095     "</f>
        <v xml:space="preserve">5616095     </v>
      </c>
      <c r="O18519">
        <v>230411</v>
      </c>
    </row>
    <row r="18520" spans="1:15" x14ac:dyDescent="0.25">
      <c r="A18520" t="s">
        <v>16</v>
      </c>
      <c r="B18520" t="s">
        <v>3221</v>
      </c>
      <c r="C18520">
        <v>11071</v>
      </c>
      <c r="D18520" t="s">
        <v>1730</v>
      </c>
      <c r="E18520" t="s">
        <v>1731</v>
      </c>
      <c r="F18520">
        <v>72.58</v>
      </c>
      <c r="G18520">
        <v>230823</v>
      </c>
      <c r="H18520">
        <v>4590</v>
      </c>
      <c r="I18520" t="s">
        <v>203</v>
      </c>
      <c r="J18520">
        <v>90</v>
      </c>
      <c r="K18520">
        <v>17.420000000000002</v>
      </c>
      <c r="L18520">
        <v>17806</v>
      </c>
      <c r="M18520" t="s">
        <v>265</v>
      </c>
      <c r="N18520" t="str">
        <f>"5908849     "</f>
        <v xml:space="preserve">5908849     </v>
      </c>
      <c r="O18520">
        <v>230830</v>
      </c>
    </row>
    <row r="18521" spans="1:15" x14ac:dyDescent="0.25">
      <c r="A18521" t="s">
        <v>16</v>
      </c>
      <c r="B18521" t="s">
        <v>3221</v>
      </c>
      <c r="C18521">
        <v>12417</v>
      </c>
      <c r="D18521" t="s">
        <v>1730</v>
      </c>
      <c r="E18521" t="s">
        <v>1731</v>
      </c>
      <c r="F18521">
        <v>5229.8100000000004</v>
      </c>
      <c r="G18521">
        <v>230818</v>
      </c>
      <c r="H18521">
        <v>4590</v>
      </c>
      <c r="I18521" t="s">
        <v>203</v>
      </c>
      <c r="J18521">
        <v>6484.96</v>
      </c>
      <c r="K18521">
        <v>1255.1500000000001</v>
      </c>
      <c r="L18521">
        <v>17806</v>
      </c>
      <c r="M18521" t="s">
        <v>265</v>
      </c>
      <c r="N18521" t="str">
        <f>"5897441     "</f>
        <v xml:space="preserve">5897441     </v>
      </c>
      <c r="O18521">
        <v>230919</v>
      </c>
    </row>
    <row r="18522" spans="1:15" x14ac:dyDescent="0.25">
      <c r="A18522" t="s">
        <v>16</v>
      </c>
      <c r="B18522" t="s">
        <v>3221</v>
      </c>
      <c r="C18522">
        <v>14513</v>
      </c>
      <c r="D18522" t="s">
        <v>1730</v>
      </c>
      <c r="E18522" t="s">
        <v>1731</v>
      </c>
      <c r="F18522">
        <v>862.5</v>
      </c>
      <c r="G18522">
        <v>231026</v>
      </c>
      <c r="H18522">
        <v>4590</v>
      </c>
      <c r="I18522" t="s">
        <v>203</v>
      </c>
      <c r="J18522">
        <v>1069.5</v>
      </c>
      <c r="K18522">
        <v>207</v>
      </c>
      <c r="L18522">
        <v>17806</v>
      </c>
      <c r="M18522" t="s">
        <v>265</v>
      </c>
      <c r="N18522" t="str">
        <f>"6038965     "</f>
        <v xml:space="preserve">6038965     </v>
      </c>
      <c r="O18522">
        <v>231030</v>
      </c>
    </row>
    <row r="18523" spans="1:15" x14ac:dyDescent="0.25">
      <c r="A18523" t="s">
        <v>16</v>
      </c>
      <c r="B18523" t="s">
        <v>3221</v>
      </c>
      <c r="C18523">
        <v>16192</v>
      </c>
      <c r="D18523" t="s">
        <v>2937</v>
      </c>
      <c r="E18523" t="s">
        <v>2938</v>
      </c>
      <c r="F18523">
        <v>34496.769999999997</v>
      </c>
      <c r="G18523">
        <v>231117</v>
      </c>
      <c r="H18523">
        <v>1198</v>
      </c>
      <c r="I18523" t="s">
        <v>1128</v>
      </c>
      <c r="J18523">
        <v>42775.99</v>
      </c>
      <c r="K18523">
        <v>8279.2199999999993</v>
      </c>
      <c r="L18523">
        <v>96511</v>
      </c>
      <c r="M18523" t="s">
        <v>2452</v>
      </c>
      <c r="N18523" t="str">
        <f>"62947       "</f>
        <v xml:space="preserve">62947       </v>
      </c>
      <c r="O18523">
        <v>231127</v>
      </c>
    </row>
    <row r="18524" spans="1:15" x14ac:dyDescent="0.25">
      <c r="A18524" t="s">
        <v>16</v>
      </c>
      <c r="B18524" t="s">
        <v>3221</v>
      </c>
      <c r="C18524">
        <v>15675</v>
      </c>
      <c r="D18524" t="s">
        <v>1819</v>
      </c>
      <c r="E18524" t="s">
        <v>1820</v>
      </c>
      <c r="F18524">
        <v>410.02</v>
      </c>
      <c r="G18524">
        <v>231106</v>
      </c>
      <c r="H18524">
        <v>4580</v>
      </c>
      <c r="I18524" t="s">
        <v>35</v>
      </c>
      <c r="J18524">
        <v>508.43</v>
      </c>
      <c r="K18524">
        <v>98.41</v>
      </c>
      <c r="L18524">
        <v>17521</v>
      </c>
      <c r="M18524" t="s">
        <v>133</v>
      </c>
      <c r="N18524" t="str">
        <f>"1079353     "</f>
        <v xml:space="preserve">1079353     </v>
      </c>
      <c r="O18524">
        <v>231116</v>
      </c>
    </row>
    <row r="18525" spans="1:15" x14ac:dyDescent="0.25">
      <c r="A18525" t="s">
        <v>16</v>
      </c>
      <c r="B18525" t="s">
        <v>3221</v>
      </c>
      <c r="C18525">
        <v>5246</v>
      </c>
      <c r="D18525" t="s">
        <v>1819</v>
      </c>
      <c r="E18525" t="s">
        <v>1820</v>
      </c>
      <c r="F18525">
        <v>224.66</v>
      </c>
      <c r="G18525">
        <v>230417</v>
      </c>
      <c r="H18525">
        <v>4600</v>
      </c>
      <c r="I18525" t="s">
        <v>105</v>
      </c>
      <c r="J18525">
        <v>278.58</v>
      </c>
      <c r="K18525">
        <v>53.92</v>
      </c>
      <c r="L18525">
        <v>17521</v>
      </c>
      <c r="M18525" t="s">
        <v>133</v>
      </c>
      <c r="N18525" t="str">
        <f>"1076173     "</f>
        <v xml:space="preserve">1076173     </v>
      </c>
      <c r="O18525">
        <v>230419</v>
      </c>
    </row>
    <row r="18526" spans="1:15" x14ac:dyDescent="0.25">
      <c r="A18526" t="s">
        <v>16</v>
      </c>
      <c r="B18526" t="s">
        <v>3221</v>
      </c>
      <c r="C18526">
        <v>12831</v>
      </c>
      <c r="D18526" t="s">
        <v>1819</v>
      </c>
      <c r="E18526" t="s">
        <v>1820</v>
      </c>
      <c r="F18526">
        <v>160.4</v>
      </c>
      <c r="G18526">
        <v>230908</v>
      </c>
      <c r="H18526">
        <v>4600</v>
      </c>
      <c r="I18526" t="s">
        <v>105</v>
      </c>
      <c r="J18526">
        <v>198.9</v>
      </c>
      <c r="K18526">
        <v>38.5</v>
      </c>
      <c r="L18526">
        <v>17632</v>
      </c>
      <c r="M18526" t="s">
        <v>495</v>
      </c>
      <c r="N18526" t="str">
        <f>"1078351     "</f>
        <v xml:space="preserve">1078351     </v>
      </c>
      <c r="O18526">
        <v>230928</v>
      </c>
    </row>
    <row r="18527" spans="1:15" x14ac:dyDescent="0.25">
      <c r="A18527" t="s">
        <v>16</v>
      </c>
      <c r="B18527" t="s">
        <v>3221</v>
      </c>
      <c r="C18527">
        <v>5241</v>
      </c>
      <c r="D18527" t="s">
        <v>1817</v>
      </c>
      <c r="E18527" t="s">
        <v>1818</v>
      </c>
      <c r="F18527">
        <v>81.69</v>
      </c>
      <c r="G18527">
        <v>230414</v>
      </c>
      <c r="H18527">
        <v>4380</v>
      </c>
      <c r="I18527" t="s">
        <v>113</v>
      </c>
      <c r="J18527">
        <v>101.3</v>
      </c>
      <c r="K18527">
        <v>19.61</v>
      </c>
      <c r="L18527">
        <v>16121</v>
      </c>
      <c r="M18527" t="s">
        <v>21</v>
      </c>
      <c r="N18527" t="str">
        <f>"183880      "</f>
        <v xml:space="preserve">183880      </v>
      </c>
      <c r="O18527">
        <v>230419</v>
      </c>
    </row>
    <row r="18528" spans="1:15" x14ac:dyDescent="0.25">
      <c r="A18528" t="s">
        <v>16</v>
      </c>
      <c r="B18528" t="s">
        <v>3221</v>
      </c>
      <c r="C18528">
        <v>5241</v>
      </c>
      <c r="D18528" t="s">
        <v>1817</v>
      </c>
      <c r="E18528" t="s">
        <v>1818</v>
      </c>
      <c r="F18528">
        <v>81.69</v>
      </c>
      <c r="G18528">
        <v>230414</v>
      </c>
      <c r="H18528">
        <v>4380</v>
      </c>
      <c r="I18528" t="s">
        <v>113</v>
      </c>
      <c r="J18528">
        <v>101.3</v>
      </c>
      <c r="K18528">
        <v>19.61</v>
      </c>
      <c r="L18528">
        <v>16820</v>
      </c>
      <c r="M18528" t="s">
        <v>23</v>
      </c>
      <c r="N18528" t="str">
        <f>"183880      "</f>
        <v xml:space="preserve">183880      </v>
      </c>
      <c r="O18528">
        <v>230419</v>
      </c>
    </row>
    <row r="18529" spans="1:15" x14ac:dyDescent="0.25">
      <c r="A18529" t="s">
        <v>16</v>
      </c>
      <c r="B18529" t="s">
        <v>3221</v>
      </c>
      <c r="C18529">
        <v>5241</v>
      </c>
      <c r="D18529" t="s">
        <v>1817</v>
      </c>
      <c r="E18529" t="s">
        <v>1818</v>
      </c>
      <c r="F18529">
        <v>163.4</v>
      </c>
      <c r="G18529">
        <v>230414</v>
      </c>
      <c r="H18529">
        <v>4380</v>
      </c>
      <c r="I18529" t="s">
        <v>113</v>
      </c>
      <c r="J18529">
        <v>202.61</v>
      </c>
      <c r="K18529">
        <v>39.21</v>
      </c>
      <c r="L18529">
        <v>17538</v>
      </c>
      <c r="M18529" t="s">
        <v>24</v>
      </c>
      <c r="N18529" t="str">
        <f>"183880      "</f>
        <v xml:space="preserve">183880      </v>
      </c>
      <c r="O18529">
        <v>230419</v>
      </c>
    </row>
    <row r="18530" spans="1:15" x14ac:dyDescent="0.25">
      <c r="A18530" t="s">
        <v>16</v>
      </c>
      <c r="B18530" t="s">
        <v>3221</v>
      </c>
      <c r="C18530">
        <v>9274</v>
      </c>
      <c r="D18530" t="s">
        <v>1817</v>
      </c>
      <c r="E18530" t="s">
        <v>1818</v>
      </c>
      <c r="F18530">
        <v>209.63</v>
      </c>
      <c r="G18530">
        <v>230630</v>
      </c>
      <c r="H18530">
        <v>4380</v>
      </c>
      <c r="I18530" t="s">
        <v>113</v>
      </c>
      <c r="J18530">
        <v>259.94</v>
      </c>
      <c r="K18530">
        <v>50.31</v>
      </c>
      <c r="L18530">
        <v>17951</v>
      </c>
      <c r="M18530" t="s">
        <v>87</v>
      </c>
      <c r="N18530" t="str">
        <f>"185184      "</f>
        <v xml:space="preserve">185184      </v>
      </c>
      <c r="O18530">
        <v>230703</v>
      </c>
    </row>
    <row r="18531" spans="1:15" x14ac:dyDescent="0.25">
      <c r="A18531" t="s">
        <v>16</v>
      </c>
      <c r="B18531" t="s">
        <v>3221</v>
      </c>
      <c r="C18531">
        <v>12749</v>
      </c>
      <c r="D18531" t="s">
        <v>1817</v>
      </c>
      <c r="E18531" t="s">
        <v>1818</v>
      </c>
      <c r="F18531">
        <v>24.05</v>
      </c>
      <c r="G18531">
        <v>230920</v>
      </c>
      <c r="H18531">
        <v>4380</v>
      </c>
      <c r="I18531" t="s">
        <v>113</v>
      </c>
      <c r="J18531">
        <v>29.82</v>
      </c>
      <c r="K18531">
        <v>5.77</v>
      </c>
      <c r="L18531">
        <v>13501</v>
      </c>
      <c r="M18531" t="s">
        <v>20</v>
      </c>
      <c r="N18531" t="str">
        <f>"190160      "</f>
        <v xml:space="preserve">190160      </v>
      </c>
      <c r="O18531">
        <v>230925</v>
      </c>
    </row>
    <row r="18532" spans="1:15" x14ac:dyDescent="0.25">
      <c r="A18532" t="s">
        <v>16</v>
      </c>
      <c r="B18532" t="s">
        <v>3221</v>
      </c>
      <c r="C18532">
        <v>12749</v>
      </c>
      <c r="D18532" t="s">
        <v>1817</v>
      </c>
      <c r="E18532" t="s">
        <v>1818</v>
      </c>
      <c r="F18532">
        <v>194.58</v>
      </c>
      <c r="G18532">
        <v>230920</v>
      </c>
      <c r="H18532">
        <v>4380</v>
      </c>
      <c r="I18532" t="s">
        <v>113</v>
      </c>
      <c r="J18532">
        <v>241.28</v>
      </c>
      <c r="K18532">
        <v>46.7</v>
      </c>
      <c r="L18532">
        <v>17971</v>
      </c>
      <c r="M18532" t="s">
        <v>138</v>
      </c>
      <c r="N18532" t="str">
        <f>"190160      "</f>
        <v xml:space="preserve">190160      </v>
      </c>
      <c r="O18532">
        <v>230925</v>
      </c>
    </row>
    <row r="18533" spans="1:15" x14ac:dyDescent="0.25">
      <c r="A18533" t="s">
        <v>16</v>
      </c>
      <c r="B18533" t="s">
        <v>3221</v>
      </c>
      <c r="C18533">
        <v>13067</v>
      </c>
      <c r="D18533" t="s">
        <v>1817</v>
      </c>
      <c r="E18533" t="s">
        <v>1818</v>
      </c>
      <c r="F18533">
        <v>218.63</v>
      </c>
      <c r="G18533">
        <v>230920</v>
      </c>
      <c r="H18533">
        <v>4380</v>
      </c>
      <c r="I18533" t="s">
        <v>113</v>
      </c>
      <c r="J18533">
        <v>271.10000000000002</v>
      </c>
      <c r="K18533">
        <v>52.47</v>
      </c>
      <c r="L18533">
        <v>13801</v>
      </c>
      <c r="M18533" t="s">
        <v>162</v>
      </c>
      <c r="N18533" t="str">
        <f>"190158      "</f>
        <v xml:space="preserve">190158      </v>
      </c>
      <c r="O18533">
        <v>231003</v>
      </c>
    </row>
    <row r="18534" spans="1:15" x14ac:dyDescent="0.25">
      <c r="A18534" t="s">
        <v>16</v>
      </c>
      <c r="B18534" t="s">
        <v>3221</v>
      </c>
      <c r="C18534">
        <v>16819</v>
      </c>
      <c r="D18534" t="s">
        <v>1817</v>
      </c>
      <c r="E18534" t="s">
        <v>1818</v>
      </c>
      <c r="F18534">
        <v>24.05</v>
      </c>
      <c r="G18534">
        <v>231130</v>
      </c>
      <c r="H18534">
        <v>4380</v>
      </c>
      <c r="I18534" t="s">
        <v>113</v>
      </c>
      <c r="J18534">
        <v>29.82</v>
      </c>
      <c r="K18534">
        <v>5.77</v>
      </c>
      <c r="L18534">
        <v>13501</v>
      </c>
      <c r="M18534" t="s">
        <v>20</v>
      </c>
      <c r="N18534" t="str">
        <f>"191355      "</f>
        <v xml:space="preserve">191355      </v>
      </c>
      <c r="O18534">
        <v>231211</v>
      </c>
    </row>
    <row r="18535" spans="1:15" x14ac:dyDescent="0.25">
      <c r="A18535" t="s">
        <v>16</v>
      </c>
      <c r="B18535" t="s">
        <v>3221</v>
      </c>
      <c r="C18535">
        <v>16819</v>
      </c>
      <c r="D18535" t="s">
        <v>1817</v>
      </c>
      <c r="E18535" t="s">
        <v>1818</v>
      </c>
      <c r="F18535">
        <v>194.58</v>
      </c>
      <c r="G18535">
        <v>231130</v>
      </c>
      <c r="H18535">
        <v>4380</v>
      </c>
      <c r="I18535" t="s">
        <v>113</v>
      </c>
      <c r="J18535">
        <v>241.28</v>
      </c>
      <c r="K18535">
        <v>46.7</v>
      </c>
      <c r="L18535">
        <v>17538</v>
      </c>
      <c r="M18535" t="s">
        <v>24</v>
      </c>
      <c r="N18535" t="str">
        <f>"191355      "</f>
        <v xml:space="preserve">191355      </v>
      </c>
      <c r="O18535">
        <v>231211</v>
      </c>
    </row>
    <row r="18536" spans="1:15" x14ac:dyDescent="0.25">
      <c r="A18536" t="s">
        <v>16</v>
      </c>
      <c r="B18536" t="s">
        <v>3221</v>
      </c>
      <c r="C18536">
        <v>17548</v>
      </c>
      <c r="D18536" t="s">
        <v>1817</v>
      </c>
      <c r="E18536" t="s">
        <v>1818</v>
      </c>
      <c r="F18536">
        <v>24.05</v>
      </c>
      <c r="G18536">
        <v>231212</v>
      </c>
      <c r="H18536">
        <v>4380</v>
      </c>
      <c r="I18536" t="s">
        <v>113</v>
      </c>
      <c r="J18536">
        <v>29.82</v>
      </c>
      <c r="K18536">
        <v>5.77</v>
      </c>
      <c r="L18536">
        <v>13501</v>
      </c>
      <c r="M18536" t="s">
        <v>20</v>
      </c>
      <c r="N18536" t="str">
        <f>"191580      "</f>
        <v xml:space="preserve">191580      </v>
      </c>
      <c r="O18536">
        <v>231215</v>
      </c>
    </row>
    <row r="18537" spans="1:15" x14ac:dyDescent="0.25">
      <c r="A18537" t="s">
        <v>16</v>
      </c>
      <c r="B18537" t="s">
        <v>3221</v>
      </c>
      <c r="C18537">
        <v>17548</v>
      </c>
      <c r="D18537" t="s">
        <v>1817</v>
      </c>
      <c r="E18537" t="s">
        <v>1818</v>
      </c>
      <c r="F18537">
        <v>194.58</v>
      </c>
      <c r="G18537">
        <v>231212</v>
      </c>
      <c r="H18537">
        <v>4380</v>
      </c>
      <c r="I18537" t="s">
        <v>113</v>
      </c>
      <c r="J18537">
        <v>241.28</v>
      </c>
      <c r="K18537">
        <v>46.7</v>
      </c>
      <c r="L18537">
        <v>17538</v>
      </c>
      <c r="M18537" t="s">
        <v>24</v>
      </c>
      <c r="N18537" t="str">
        <f>"191580      "</f>
        <v xml:space="preserve">191580      </v>
      </c>
      <c r="O18537">
        <v>231215</v>
      </c>
    </row>
    <row r="18538" spans="1:15" x14ac:dyDescent="0.25">
      <c r="A18538" t="s">
        <v>16</v>
      </c>
      <c r="B18538" t="s">
        <v>3221</v>
      </c>
      <c r="C18538">
        <v>11751</v>
      </c>
      <c r="D18538" t="s">
        <v>2511</v>
      </c>
      <c r="E18538" t="s">
        <v>2512</v>
      </c>
      <c r="F18538">
        <v>4800</v>
      </c>
      <c r="G18538">
        <v>230904</v>
      </c>
      <c r="H18538">
        <v>1198</v>
      </c>
      <c r="I18538" t="s">
        <v>1128</v>
      </c>
      <c r="J18538">
        <v>5952</v>
      </c>
      <c r="K18538">
        <v>1152</v>
      </c>
      <c r="L18538">
        <v>95511</v>
      </c>
      <c r="M18538" t="s">
        <v>1129</v>
      </c>
      <c r="N18538" t="str">
        <f>"50053       "</f>
        <v xml:space="preserve">50053       </v>
      </c>
      <c r="O18538">
        <v>230908</v>
      </c>
    </row>
    <row r="18539" spans="1:15" x14ac:dyDescent="0.25">
      <c r="A18539" t="s">
        <v>16</v>
      </c>
      <c r="B18539" t="s">
        <v>3221</v>
      </c>
      <c r="C18539">
        <v>17613</v>
      </c>
      <c r="D18539" t="s">
        <v>3081</v>
      </c>
      <c r="E18539" t="s">
        <v>3082</v>
      </c>
      <c r="F18539">
        <v>1987</v>
      </c>
      <c r="G18539">
        <v>231213</v>
      </c>
      <c r="H18539">
        <v>4347</v>
      </c>
      <c r="I18539" t="s">
        <v>193</v>
      </c>
      <c r="J18539">
        <v>2463.88</v>
      </c>
      <c r="K18539">
        <v>476.88</v>
      </c>
      <c r="L18539">
        <v>11301</v>
      </c>
      <c r="M18539" t="s">
        <v>29</v>
      </c>
      <c r="N18539" t="str">
        <f>"43-2023     "</f>
        <v xml:space="preserve">43-2023     </v>
      </c>
      <c r="O18539">
        <v>231215</v>
      </c>
    </row>
    <row r="18540" spans="1:15" x14ac:dyDescent="0.25">
      <c r="A18540" t="s">
        <v>16</v>
      </c>
      <c r="B18540" t="s">
        <v>3221</v>
      </c>
      <c r="C18540">
        <v>3463</v>
      </c>
      <c r="D18540" t="s">
        <v>1564</v>
      </c>
      <c r="E18540" t="s">
        <v>1565</v>
      </c>
      <c r="F18540">
        <v>81.05</v>
      </c>
      <c r="G18540">
        <v>230303</v>
      </c>
      <c r="H18540">
        <v>4574</v>
      </c>
      <c r="I18540" t="s">
        <v>396</v>
      </c>
      <c r="J18540">
        <v>100.5</v>
      </c>
      <c r="K18540">
        <v>19.45</v>
      </c>
      <c r="L18540">
        <v>49501</v>
      </c>
      <c r="M18540" t="s">
        <v>177</v>
      </c>
      <c r="N18540" t="str">
        <f>"1212188     "</f>
        <v xml:space="preserve">1212188     </v>
      </c>
      <c r="O18540">
        <v>230316</v>
      </c>
    </row>
    <row r="18541" spans="1:15" x14ac:dyDescent="0.25">
      <c r="A18541" t="s">
        <v>16</v>
      </c>
      <c r="B18541" t="s">
        <v>3221</v>
      </c>
      <c r="C18541">
        <v>15710</v>
      </c>
      <c r="D18541" t="s">
        <v>1564</v>
      </c>
      <c r="E18541" t="s">
        <v>1565</v>
      </c>
      <c r="F18541">
        <v>54.03</v>
      </c>
      <c r="G18541">
        <v>231108</v>
      </c>
      <c r="H18541">
        <v>4574</v>
      </c>
      <c r="I18541" t="s">
        <v>396</v>
      </c>
      <c r="J18541">
        <v>67</v>
      </c>
      <c r="K18541">
        <v>12.97</v>
      </c>
      <c r="L18541">
        <v>49501</v>
      </c>
      <c r="M18541" t="s">
        <v>177</v>
      </c>
      <c r="N18541" t="str">
        <f>"1212897     "</f>
        <v xml:space="preserve">1212897     </v>
      </c>
      <c r="O18541">
        <v>231116</v>
      </c>
    </row>
    <row r="18542" spans="1:15" x14ac:dyDescent="0.25">
      <c r="A18542" t="s">
        <v>16</v>
      </c>
      <c r="B18542" t="s">
        <v>3221</v>
      </c>
      <c r="C18542">
        <v>4581</v>
      </c>
      <c r="D18542" t="s">
        <v>1564</v>
      </c>
      <c r="E18542" t="s">
        <v>1565</v>
      </c>
      <c r="F18542">
        <v>20.16</v>
      </c>
      <c r="G18542">
        <v>230405</v>
      </c>
      <c r="H18542">
        <v>4580</v>
      </c>
      <c r="I18542" t="s">
        <v>35</v>
      </c>
      <c r="J18542">
        <v>25</v>
      </c>
      <c r="K18542">
        <v>4.84</v>
      </c>
      <c r="L18542">
        <v>47522</v>
      </c>
      <c r="M18542" t="s">
        <v>410</v>
      </c>
      <c r="N18542" t="str">
        <f>"1212255     "</f>
        <v xml:space="preserve">1212255     </v>
      </c>
      <c r="O18542">
        <v>230406</v>
      </c>
    </row>
    <row r="18543" spans="1:15" x14ac:dyDescent="0.25">
      <c r="A18543" t="s">
        <v>16</v>
      </c>
      <c r="B18543" t="s">
        <v>3221</v>
      </c>
      <c r="C18543">
        <v>7297</v>
      </c>
      <c r="D18543" t="s">
        <v>1564</v>
      </c>
      <c r="E18543" t="s">
        <v>1565</v>
      </c>
      <c r="F18543">
        <v>87.9</v>
      </c>
      <c r="G18543">
        <v>230525</v>
      </c>
      <c r="H18543">
        <v>4580</v>
      </c>
      <c r="I18543" t="s">
        <v>35</v>
      </c>
      <c r="J18543">
        <v>109</v>
      </c>
      <c r="K18543">
        <v>21.1</v>
      </c>
      <c r="L18543">
        <v>47522</v>
      </c>
      <c r="M18543" t="s">
        <v>410</v>
      </c>
      <c r="N18543" t="str">
        <f>"1212429     "</f>
        <v xml:space="preserve">1212429     </v>
      </c>
      <c r="O18543">
        <v>230526</v>
      </c>
    </row>
    <row r="18544" spans="1:15" x14ac:dyDescent="0.25">
      <c r="A18544" t="s">
        <v>16</v>
      </c>
      <c r="B18544" t="s">
        <v>3221</v>
      </c>
      <c r="C18544">
        <v>17515</v>
      </c>
      <c r="D18544" t="s">
        <v>1564</v>
      </c>
      <c r="E18544" t="s">
        <v>1565</v>
      </c>
      <c r="F18544">
        <v>50</v>
      </c>
      <c r="G18544">
        <v>231211</v>
      </c>
      <c r="H18544">
        <v>4580</v>
      </c>
      <c r="I18544" t="s">
        <v>35</v>
      </c>
      <c r="J18544">
        <v>62</v>
      </c>
      <c r="K18544">
        <v>12</v>
      </c>
      <c r="L18544">
        <v>47522</v>
      </c>
      <c r="M18544" t="s">
        <v>410</v>
      </c>
      <c r="N18544" t="str">
        <f>"1212971     "</f>
        <v xml:space="preserve">1212971     </v>
      </c>
      <c r="O18544">
        <v>231214</v>
      </c>
    </row>
    <row r="18545" spans="1:15" x14ac:dyDescent="0.25">
      <c r="A18545" t="s">
        <v>16</v>
      </c>
      <c r="B18545" t="s">
        <v>3221</v>
      </c>
      <c r="C18545">
        <v>4049</v>
      </c>
      <c r="D18545" t="s">
        <v>1564</v>
      </c>
      <c r="E18545" t="s">
        <v>1565</v>
      </c>
      <c r="F18545">
        <v>25.57</v>
      </c>
      <c r="G18545">
        <v>230316</v>
      </c>
      <c r="H18545">
        <v>4600</v>
      </c>
      <c r="I18545" t="s">
        <v>105</v>
      </c>
      <c r="J18545">
        <v>31.71</v>
      </c>
      <c r="K18545">
        <v>6.14</v>
      </c>
      <c r="L18545">
        <v>41126</v>
      </c>
      <c r="M18545" t="s">
        <v>761</v>
      </c>
      <c r="N18545" t="str">
        <f t="shared" ref="N18545:N18550" si="250">"1212228     "</f>
        <v xml:space="preserve">1212228     </v>
      </c>
      <c r="O18545">
        <v>230330</v>
      </c>
    </row>
    <row r="18546" spans="1:15" x14ac:dyDescent="0.25">
      <c r="A18546" t="s">
        <v>16</v>
      </c>
      <c r="B18546" t="s">
        <v>3221</v>
      </c>
      <c r="C18546">
        <v>4049</v>
      </c>
      <c r="D18546" t="s">
        <v>1564</v>
      </c>
      <c r="E18546" t="s">
        <v>1565</v>
      </c>
      <c r="F18546">
        <v>19.690000000000001</v>
      </c>
      <c r="G18546">
        <v>230316</v>
      </c>
      <c r="H18546">
        <v>4600</v>
      </c>
      <c r="I18546" t="s">
        <v>105</v>
      </c>
      <c r="J18546">
        <v>24.42</v>
      </c>
      <c r="K18546">
        <v>4.7300000000000004</v>
      </c>
      <c r="L18546">
        <v>43222</v>
      </c>
      <c r="M18546" t="s">
        <v>507</v>
      </c>
      <c r="N18546" t="str">
        <f t="shared" si="250"/>
        <v xml:space="preserve">1212228     </v>
      </c>
      <c r="O18546">
        <v>230330</v>
      </c>
    </row>
    <row r="18547" spans="1:15" x14ac:dyDescent="0.25">
      <c r="A18547" t="s">
        <v>16</v>
      </c>
      <c r="B18547" t="s">
        <v>3221</v>
      </c>
      <c r="C18547">
        <v>4049</v>
      </c>
      <c r="D18547" t="s">
        <v>1564</v>
      </c>
      <c r="E18547" t="s">
        <v>1565</v>
      </c>
      <c r="F18547">
        <v>23.63</v>
      </c>
      <c r="G18547">
        <v>230316</v>
      </c>
      <c r="H18547">
        <v>4600</v>
      </c>
      <c r="I18547" t="s">
        <v>105</v>
      </c>
      <c r="J18547">
        <v>29.3</v>
      </c>
      <c r="K18547">
        <v>5.67</v>
      </c>
      <c r="L18547">
        <v>44222</v>
      </c>
      <c r="M18547" t="s">
        <v>232</v>
      </c>
      <c r="N18547" t="str">
        <f t="shared" si="250"/>
        <v xml:space="preserve">1212228     </v>
      </c>
      <c r="O18547">
        <v>230330</v>
      </c>
    </row>
    <row r="18548" spans="1:15" x14ac:dyDescent="0.25">
      <c r="A18548" t="s">
        <v>16</v>
      </c>
      <c r="B18548" t="s">
        <v>3221</v>
      </c>
      <c r="C18548">
        <v>4049</v>
      </c>
      <c r="D18548" t="s">
        <v>1564</v>
      </c>
      <c r="E18548" t="s">
        <v>1565</v>
      </c>
      <c r="F18548">
        <v>25.54</v>
      </c>
      <c r="G18548">
        <v>230316</v>
      </c>
      <c r="H18548">
        <v>4600</v>
      </c>
      <c r="I18548" t="s">
        <v>105</v>
      </c>
      <c r="J18548">
        <v>31.67</v>
      </c>
      <c r="K18548">
        <v>6.13</v>
      </c>
      <c r="L18548">
        <v>44424</v>
      </c>
      <c r="M18548" t="s">
        <v>776</v>
      </c>
      <c r="N18548" t="str">
        <f t="shared" si="250"/>
        <v xml:space="preserve">1212228     </v>
      </c>
      <c r="O18548">
        <v>230330</v>
      </c>
    </row>
    <row r="18549" spans="1:15" x14ac:dyDescent="0.25">
      <c r="A18549" t="s">
        <v>16</v>
      </c>
      <c r="B18549" t="s">
        <v>3221</v>
      </c>
      <c r="C18549">
        <v>4049</v>
      </c>
      <c r="D18549" t="s">
        <v>1564</v>
      </c>
      <c r="E18549" t="s">
        <v>1565</v>
      </c>
      <c r="F18549">
        <v>13.79</v>
      </c>
      <c r="G18549">
        <v>230316</v>
      </c>
      <c r="H18549">
        <v>4600</v>
      </c>
      <c r="I18549" t="s">
        <v>105</v>
      </c>
      <c r="J18549">
        <v>17.100000000000001</v>
      </c>
      <c r="K18549">
        <v>3.31</v>
      </c>
      <c r="L18549">
        <v>46222</v>
      </c>
      <c r="M18549" t="s">
        <v>293</v>
      </c>
      <c r="N18549" t="str">
        <f t="shared" si="250"/>
        <v xml:space="preserve">1212228     </v>
      </c>
      <c r="O18549">
        <v>230330</v>
      </c>
    </row>
    <row r="18550" spans="1:15" x14ac:dyDescent="0.25">
      <c r="A18550" t="s">
        <v>16</v>
      </c>
      <c r="B18550" t="s">
        <v>3221</v>
      </c>
      <c r="C18550">
        <v>4049</v>
      </c>
      <c r="D18550" t="s">
        <v>1564</v>
      </c>
      <c r="E18550" t="s">
        <v>1565</v>
      </c>
      <c r="F18550">
        <v>88.55</v>
      </c>
      <c r="G18550">
        <v>230316</v>
      </c>
      <c r="H18550">
        <v>4600</v>
      </c>
      <c r="I18550" t="s">
        <v>105</v>
      </c>
      <c r="J18550">
        <v>109.8</v>
      </c>
      <c r="K18550">
        <v>21.25</v>
      </c>
      <c r="L18550">
        <v>46559</v>
      </c>
      <c r="M18550" t="s">
        <v>1104</v>
      </c>
      <c r="N18550" t="str">
        <f t="shared" si="250"/>
        <v xml:space="preserve">1212228     </v>
      </c>
      <c r="O18550">
        <v>230330</v>
      </c>
    </row>
    <row r="18551" spans="1:15" x14ac:dyDescent="0.25">
      <c r="A18551" t="s">
        <v>16</v>
      </c>
      <c r="B18551" t="s">
        <v>3221</v>
      </c>
      <c r="C18551">
        <v>4313</v>
      </c>
      <c r="D18551" t="s">
        <v>1564</v>
      </c>
      <c r="E18551" t="s">
        <v>1565</v>
      </c>
      <c r="F18551">
        <v>36.29</v>
      </c>
      <c r="G18551">
        <v>230331</v>
      </c>
      <c r="H18551">
        <v>4600</v>
      </c>
      <c r="I18551" t="s">
        <v>105</v>
      </c>
      <c r="J18551">
        <v>45</v>
      </c>
      <c r="K18551">
        <v>8.7100000000000009</v>
      </c>
      <c r="L18551">
        <v>46564</v>
      </c>
      <c r="M18551" t="s">
        <v>727</v>
      </c>
      <c r="N18551" t="str">
        <f>"1212248     "</f>
        <v xml:space="preserve">1212248     </v>
      </c>
      <c r="O18551">
        <v>230404</v>
      </c>
    </row>
    <row r="18552" spans="1:15" x14ac:dyDescent="0.25">
      <c r="A18552" t="s">
        <v>16</v>
      </c>
      <c r="B18552" t="s">
        <v>3221</v>
      </c>
      <c r="C18552">
        <v>12450</v>
      </c>
      <c r="D18552" t="s">
        <v>1564</v>
      </c>
      <c r="E18552" t="s">
        <v>1565</v>
      </c>
      <c r="F18552">
        <v>48.23</v>
      </c>
      <c r="G18552">
        <v>230918</v>
      </c>
      <c r="H18552">
        <v>4600</v>
      </c>
      <c r="I18552" t="s">
        <v>105</v>
      </c>
      <c r="J18552">
        <v>59.8</v>
      </c>
      <c r="K18552">
        <v>11.57</v>
      </c>
      <c r="L18552">
        <v>43222</v>
      </c>
      <c r="M18552" t="s">
        <v>507</v>
      </c>
      <c r="N18552" t="str">
        <f>"1212679     "</f>
        <v xml:space="preserve">1212679     </v>
      </c>
      <c r="O18552">
        <v>230920</v>
      </c>
    </row>
    <row r="18553" spans="1:15" x14ac:dyDescent="0.25">
      <c r="A18553" t="s">
        <v>16</v>
      </c>
      <c r="B18553" t="s">
        <v>3221</v>
      </c>
      <c r="C18553">
        <v>1552</v>
      </c>
      <c r="D18553" t="s">
        <v>1085</v>
      </c>
      <c r="E18553" t="s">
        <v>1086</v>
      </c>
      <c r="F18553">
        <v>354.6</v>
      </c>
      <c r="G18553">
        <v>230201</v>
      </c>
      <c r="H18553">
        <v>4350</v>
      </c>
      <c r="I18553" t="s">
        <v>546</v>
      </c>
      <c r="J18553">
        <v>439.7</v>
      </c>
      <c r="K18553">
        <v>85.1</v>
      </c>
      <c r="L18553">
        <v>13201</v>
      </c>
      <c r="M18553" t="s">
        <v>161</v>
      </c>
      <c r="N18553" t="str">
        <f t="shared" ref="N18553:N18562" si="251">"7962        "</f>
        <v xml:space="preserve">7962        </v>
      </c>
      <c r="O18553">
        <v>230209</v>
      </c>
    </row>
    <row r="18554" spans="1:15" x14ac:dyDescent="0.25">
      <c r="A18554" t="s">
        <v>16</v>
      </c>
      <c r="B18554" t="s">
        <v>3221</v>
      </c>
      <c r="C18554">
        <v>1552</v>
      </c>
      <c r="D18554" t="s">
        <v>1085</v>
      </c>
      <c r="E18554" t="s">
        <v>1086</v>
      </c>
      <c r="F18554">
        <v>354.6</v>
      </c>
      <c r="G18554">
        <v>230201</v>
      </c>
      <c r="H18554">
        <v>4350</v>
      </c>
      <c r="I18554" t="s">
        <v>546</v>
      </c>
      <c r="J18554">
        <v>439.7</v>
      </c>
      <c r="K18554">
        <v>85.1</v>
      </c>
      <c r="L18554">
        <v>13401</v>
      </c>
      <c r="M18554" t="s">
        <v>80</v>
      </c>
      <c r="N18554" t="str">
        <f t="shared" si="251"/>
        <v xml:space="preserve">7962        </v>
      </c>
      <c r="O18554">
        <v>230209</v>
      </c>
    </row>
    <row r="18555" spans="1:15" x14ac:dyDescent="0.25">
      <c r="A18555" t="s">
        <v>16</v>
      </c>
      <c r="B18555" t="s">
        <v>3221</v>
      </c>
      <c r="C18555">
        <v>1552</v>
      </c>
      <c r="D18555" t="s">
        <v>1085</v>
      </c>
      <c r="E18555" t="s">
        <v>1086</v>
      </c>
      <c r="F18555">
        <v>354.6</v>
      </c>
      <c r="G18555">
        <v>230201</v>
      </c>
      <c r="H18555">
        <v>4350</v>
      </c>
      <c r="I18555" t="s">
        <v>546</v>
      </c>
      <c r="J18555">
        <v>439.7</v>
      </c>
      <c r="K18555">
        <v>85.1</v>
      </c>
      <c r="L18555">
        <v>13501</v>
      </c>
      <c r="M18555" t="s">
        <v>20</v>
      </c>
      <c r="N18555" t="str">
        <f t="shared" si="251"/>
        <v xml:space="preserve">7962        </v>
      </c>
      <c r="O18555">
        <v>230209</v>
      </c>
    </row>
    <row r="18556" spans="1:15" x14ac:dyDescent="0.25">
      <c r="A18556" t="s">
        <v>16</v>
      </c>
      <c r="B18556" t="s">
        <v>3221</v>
      </c>
      <c r="C18556">
        <v>1552</v>
      </c>
      <c r="D18556" t="s">
        <v>1085</v>
      </c>
      <c r="E18556" t="s">
        <v>1086</v>
      </c>
      <c r="F18556">
        <v>945.56</v>
      </c>
      <c r="G18556">
        <v>230201</v>
      </c>
      <c r="H18556">
        <v>4350</v>
      </c>
      <c r="I18556" t="s">
        <v>546</v>
      </c>
      <c r="J18556">
        <v>1172.5</v>
      </c>
      <c r="K18556">
        <v>226.94</v>
      </c>
      <c r="L18556">
        <v>14972</v>
      </c>
      <c r="M18556" t="s">
        <v>898</v>
      </c>
      <c r="N18556" t="str">
        <f t="shared" si="251"/>
        <v xml:space="preserve">7962        </v>
      </c>
      <c r="O18556">
        <v>230209</v>
      </c>
    </row>
    <row r="18557" spans="1:15" x14ac:dyDescent="0.25">
      <c r="A18557" t="s">
        <v>16</v>
      </c>
      <c r="B18557" t="s">
        <v>3221</v>
      </c>
      <c r="C18557">
        <v>1552</v>
      </c>
      <c r="D18557" t="s">
        <v>1085</v>
      </c>
      <c r="E18557" t="s">
        <v>1086</v>
      </c>
      <c r="F18557">
        <v>7459.59</v>
      </c>
      <c r="G18557">
        <v>230201</v>
      </c>
      <c r="H18557">
        <v>4350</v>
      </c>
      <c r="I18557" t="s">
        <v>546</v>
      </c>
      <c r="J18557">
        <v>9249.89</v>
      </c>
      <c r="K18557">
        <v>1790.3</v>
      </c>
      <c r="L18557">
        <v>17972</v>
      </c>
      <c r="M18557" t="s">
        <v>248</v>
      </c>
      <c r="N18557" t="str">
        <f t="shared" si="251"/>
        <v xml:space="preserve">7962        </v>
      </c>
      <c r="O18557">
        <v>230209</v>
      </c>
    </row>
    <row r="18558" spans="1:15" x14ac:dyDescent="0.25">
      <c r="A18558" t="s">
        <v>16</v>
      </c>
      <c r="B18558" t="s">
        <v>3221</v>
      </c>
      <c r="C18558">
        <v>1552</v>
      </c>
      <c r="D18558" t="s">
        <v>1085</v>
      </c>
      <c r="E18558" t="s">
        <v>1086</v>
      </c>
      <c r="F18558">
        <v>472.82</v>
      </c>
      <c r="G18558">
        <v>230201</v>
      </c>
      <c r="H18558">
        <v>4350</v>
      </c>
      <c r="I18558" t="s">
        <v>546</v>
      </c>
      <c r="J18558">
        <v>586.29999999999995</v>
      </c>
      <c r="K18558">
        <v>113.48</v>
      </c>
      <c r="L18558">
        <v>18972</v>
      </c>
      <c r="M18558" t="s">
        <v>163</v>
      </c>
      <c r="N18558" t="str">
        <f t="shared" si="251"/>
        <v xml:space="preserve">7962        </v>
      </c>
      <c r="O18558">
        <v>230209</v>
      </c>
    </row>
    <row r="18559" spans="1:15" x14ac:dyDescent="0.25">
      <c r="A18559" t="s">
        <v>16</v>
      </c>
      <c r="B18559" t="s">
        <v>3221</v>
      </c>
      <c r="C18559">
        <v>1552</v>
      </c>
      <c r="D18559" t="s">
        <v>1085</v>
      </c>
      <c r="E18559" t="s">
        <v>1086</v>
      </c>
      <c r="F18559">
        <v>2359.44</v>
      </c>
      <c r="G18559">
        <v>230201</v>
      </c>
      <c r="H18559">
        <v>4350</v>
      </c>
      <c r="I18559" t="s">
        <v>546</v>
      </c>
      <c r="J18559">
        <v>2925.7</v>
      </c>
      <c r="K18559">
        <v>566.26</v>
      </c>
      <c r="L18559">
        <v>49702</v>
      </c>
      <c r="M18559" t="s">
        <v>584</v>
      </c>
      <c r="N18559" t="str">
        <f t="shared" si="251"/>
        <v xml:space="preserve">7962        </v>
      </c>
      <c r="O18559">
        <v>230209</v>
      </c>
    </row>
    <row r="18560" spans="1:15" x14ac:dyDescent="0.25">
      <c r="A18560" t="s">
        <v>16</v>
      </c>
      <c r="B18560" t="s">
        <v>3221</v>
      </c>
      <c r="C18560">
        <v>1552</v>
      </c>
      <c r="D18560" t="s">
        <v>1085</v>
      </c>
      <c r="E18560" t="s">
        <v>1086</v>
      </c>
      <c r="F18560">
        <v>2245.8000000000002</v>
      </c>
      <c r="G18560">
        <v>230201</v>
      </c>
      <c r="H18560">
        <v>4350</v>
      </c>
      <c r="I18560" t="s">
        <v>546</v>
      </c>
      <c r="J18560">
        <v>2784.79</v>
      </c>
      <c r="K18560">
        <v>538.99</v>
      </c>
      <c r="L18560">
        <v>59702</v>
      </c>
      <c r="M18560" t="s">
        <v>328</v>
      </c>
      <c r="N18560" t="str">
        <f t="shared" si="251"/>
        <v xml:space="preserve">7962        </v>
      </c>
      <c r="O18560">
        <v>230209</v>
      </c>
    </row>
    <row r="18561" spans="1:15" x14ac:dyDescent="0.25">
      <c r="A18561" t="s">
        <v>16</v>
      </c>
      <c r="B18561" t="s">
        <v>3221</v>
      </c>
      <c r="C18561">
        <v>1552</v>
      </c>
      <c r="D18561" t="s">
        <v>1085</v>
      </c>
      <c r="E18561" t="s">
        <v>1086</v>
      </c>
      <c r="F18561">
        <v>886.49</v>
      </c>
      <c r="G18561">
        <v>230201</v>
      </c>
      <c r="H18561">
        <v>4350</v>
      </c>
      <c r="I18561" t="s">
        <v>546</v>
      </c>
      <c r="J18561">
        <v>1099.25</v>
      </c>
      <c r="K18561">
        <v>212.76</v>
      </c>
      <c r="L18561">
        <v>69702</v>
      </c>
      <c r="M18561" t="s">
        <v>489</v>
      </c>
      <c r="N18561" t="str">
        <f t="shared" si="251"/>
        <v xml:space="preserve">7962        </v>
      </c>
      <c r="O18561">
        <v>230209</v>
      </c>
    </row>
    <row r="18562" spans="1:15" x14ac:dyDescent="0.25">
      <c r="A18562" t="s">
        <v>16</v>
      </c>
      <c r="B18562" t="s">
        <v>3221</v>
      </c>
      <c r="C18562">
        <v>1552</v>
      </c>
      <c r="D18562" t="s">
        <v>1085</v>
      </c>
      <c r="E18562" t="s">
        <v>1086</v>
      </c>
      <c r="F18562">
        <v>886.49</v>
      </c>
      <c r="G18562">
        <v>230201</v>
      </c>
      <c r="H18562">
        <v>4350</v>
      </c>
      <c r="I18562" t="s">
        <v>546</v>
      </c>
      <c r="J18562">
        <v>1099.25</v>
      </c>
      <c r="K18562">
        <v>212.76</v>
      </c>
      <c r="L18562">
        <v>69704</v>
      </c>
      <c r="M18562" t="s">
        <v>325</v>
      </c>
      <c r="N18562" t="str">
        <f t="shared" si="251"/>
        <v xml:space="preserve">7962        </v>
      </c>
      <c r="O18562">
        <v>230209</v>
      </c>
    </row>
    <row r="18563" spans="1:15" x14ac:dyDescent="0.25">
      <c r="A18563" t="s">
        <v>16</v>
      </c>
      <c r="B18563" t="s">
        <v>3221</v>
      </c>
      <c r="C18563">
        <v>10284</v>
      </c>
      <c r="D18563" t="s">
        <v>1085</v>
      </c>
      <c r="E18563" t="s">
        <v>1086</v>
      </c>
      <c r="F18563">
        <v>1350.31</v>
      </c>
      <c r="G18563">
        <v>230801</v>
      </c>
      <c r="H18563">
        <v>4350</v>
      </c>
      <c r="I18563" t="s">
        <v>546</v>
      </c>
      <c r="J18563">
        <v>1674.38</v>
      </c>
      <c r="K18563">
        <v>324.07</v>
      </c>
      <c r="L18563">
        <v>11301</v>
      </c>
      <c r="M18563" t="s">
        <v>29</v>
      </c>
      <c r="N18563" t="str">
        <f t="shared" ref="N18563:N18573" si="252">"8269        "</f>
        <v xml:space="preserve">8269        </v>
      </c>
      <c r="O18563">
        <v>230814</v>
      </c>
    </row>
    <row r="18564" spans="1:15" x14ac:dyDescent="0.25">
      <c r="A18564" t="s">
        <v>16</v>
      </c>
      <c r="B18564" t="s">
        <v>3221</v>
      </c>
      <c r="C18564">
        <v>10284</v>
      </c>
      <c r="D18564" t="s">
        <v>1085</v>
      </c>
      <c r="E18564" t="s">
        <v>1086</v>
      </c>
      <c r="F18564">
        <v>362.1</v>
      </c>
      <c r="G18564">
        <v>230801</v>
      </c>
      <c r="H18564">
        <v>4350</v>
      </c>
      <c r="I18564" t="s">
        <v>546</v>
      </c>
      <c r="J18564">
        <v>449</v>
      </c>
      <c r="K18564">
        <v>86.9</v>
      </c>
      <c r="L18564">
        <v>13201</v>
      </c>
      <c r="M18564" t="s">
        <v>161</v>
      </c>
      <c r="N18564" t="str">
        <f t="shared" si="252"/>
        <v xml:space="preserve">8269        </v>
      </c>
      <c r="O18564">
        <v>230814</v>
      </c>
    </row>
    <row r="18565" spans="1:15" x14ac:dyDescent="0.25">
      <c r="A18565" t="s">
        <v>16</v>
      </c>
      <c r="B18565" t="s">
        <v>3221</v>
      </c>
      <c r="C18565">
        <v>10284</v>
      </c>
      <c r="D18565" t="s">
        <v>1085</v>
      </c>
      <c r="E18565" t="s">
        <v>1086</v>
      </c>
      <c r="F18565">
        <v>362.1</v>
      </c>
      <c r="G18565">
        <v>230801</v>
      </c>
      <c r="H18565">
        <v>4350</v>
      </c>
      <c r="I18565" t="s">
        <v>546</v>
      </c>
      <c r="J18565">
        <v>449</v>
      </c>
      <c r="K18565">
        <v>86.9</v>
      </c>
      <c r="L18565">
        <v>13401</v>
      </c>
      <c r="M18565" t="s">
        <v>80</v>
      </c>
      <c r="N18565" t="str">
        <f t="shared" si="252"/>
        <v xml:space="preserve">8269        </v>
      </c>
      <c r="O18565">
        <v>230814</v>
      </c>
    </row>
    <row r="18566" spans="1:15" x14ac:dyDescent="0.25">
      <c r="A18566" t="s">
        <v>16</v>
      </c>
      <c r="B18566" t="s">
        <v>3221</v>
      </c>
      <c r="C18566">
        <v>10284</v>
      </c>
      <c r="D18566" t="s">
        <v>1085</v>
      </c>
      <c r="E18566" t="s">
        <v>1086</v>
      </c>
      <c r="F18566">
        <v>362.1</v>
      </c>
      <c r="G18566">
        <v>230801</v>
      </c>
      <c r="H18566">
        <v>4350</v>
      </c>
      <c r="I18566" t="s">
        <v>546</v>
      </c>
      <c r="J18566">
        <v>449</v>
      </c>
      <c r="K18566">
        <v>86.9</v>
      </c>
      <c r="L18566">
        <v>13501</v>
      </c>
      <c r="M18566" t="s">
        <v>20</v>
      </c>
      <c r="N18566" t="str">
        <f t="shared" si="252"/>
        <v xml:space="preserve">8269        </v>
      </c>
      <c r="O18566">
        <v>230814</v>
      </c>
    </row>
    <row r="18567" spans="1:15" x14ac:dyDescent="0.25">
      <c r="A18567" t="s">
        <v>16</v>
      </c>
      <c r="B18567" t="s">
        <v>3221</v>
      </c>
      <c r="C18567">
        <v>10284</v>
      </c>
      <c r="D18567" t="s">
        <v>1085</v>
      </c>
      <c r="E18567" t="s">
        <v>1086</v>
      </c>
      <c r="F18567">
        <v>964.52</v>
      </c>
      <c r="G18567">
        <v>230801</v>
      </c>
      <c r="H18567">
        <v>4350</v>
      </c>
      <c r="I18567" t="s">
        <v>546</v>
      </c>
      <c r="J18567">
        <v>1196</v>
      </c>
      <c r="K18567">
        <v>231.48</v>
      </c>
      <c r="L18567">
        <v>14972</v>
      </c>
      <c r="M18567" t="s">
        <v>898</v>
      </c>
      <c r="N18567" t="str">
        <f t="shared" si="252"/>
        <v xml:space="preserve">8269        </v>
      </c>
      <c r="O18567">
        <v>230814</v>
      </c>
    </row>
    <row r="18568" spans="1:15" x14ac:dyDescent="0.25">
      <c r="A18568" t="s">
        <v>16</v>
      </c>
      <c r="B18568" t="s">
        <v>3221</v>
      </c>
      <c r="C18568">
        <v>10284</v>
      </c>
      <c r="D18568" t="s">
        <v>1085</v>
      </c>
      <c r="E18568" t="s">
        <v>1086</v>
      </c>
      <c r="F18568">
        <v>7576.61</v>
      </c>
      <c r="G18568">
        <v>230801</v>
      </c>
      <c r="H18568">
        <v>4350</v>
      </c>
      <c r="I18568" t="s">
        <v>546</v>
      </c>
      <c r="J18568">
        <v>9395</v>
      </c>
      <c r="K18568">
        <v>1818.39</v>
      </c>
      <c r="L18568">
        <v>17972</v>
      </c>
      <c r="M18568" t="s">
        <v>248</v>
      </c>
      <c r="N18568" t="str">
        <f t="shared" si="252"/>
        <v xml:space="preserve">8269        </v>
      </c>
      <c r="O18568">
        <v>230814</v>
      </c>
    </row>
    <row r="18569" spans="1:15" x14ac:dyDescent="0.25">
      <c r="A18569" t="s">
        <v>16</v>
      </c>
      <c r="B18569" t="s">
        <v>3221</v>
      </c>
      <c r="C18569">
        <v>10284</v>
      </c>
      <c r="D18569" t="s">
        <v>1085</v>
      </c>
      <c r="E18569" t="s">
        <v>1086</v>
      </c>
      <c r="F18569">
        <v>482.26</v>
      </c>
      <c r="G18569">
        <v>230801</v>
      </c>
      <c r="H18569">
        <v>4350</v>
      </c>
      <c r="I18569" t="s">
        <v>546</v>
      </c>
      <c r="J18569">
        <v>598</v>
      </c>
      <c r="K18569">
        <v>115.74</v>
      </c>
      <c r="L18569">
        <v>18972</v>
      </c>
      <c r="M18569" t="s">
        <v>163</v>
      </c>
      <c r="N18569" t="str">
        <f t="shared" si="252"/>
        <v xml:space="preserve">8269        </v>
      </c>
      <c r="O18569">
        <v>230814</v>
      </c>
    </row>
    <row r="18570" spans="1:15" x14ac:dyDescent="0.25">
      <c r="A18570" t="s">
        <v>16</v>
      </c>
      <c r="B18570" t="s">
        <v>3221</v>
      </c>
      <c r="C18570">
        <v>10284</v>
      </c>
      <c r="D18570" t="s">
        <v>1085</v>
      </c>
      <c r="E18570" t="s">
        <v>1086</v>
      </c>
      <c r="F18570">
        <v>2400</v>
      </c>
      <c r="G18570">
        <v>230801</v>
      </c>
      <c r="H18570">
        <v>4350</v>
      </c>
      <c r="I18570" t="s">
        <v>546</v>
      </c>
      <c r="J18570">
        <v>2976</v>
      </c>
      <c r="K18570">
        <v>576</v>
      </c>
      <c r="L18570">
        <v>49702</v>
      </c>
      <c r="M18570" t="s">
        <v>584</v>
      </c>
      <c r="N18570" t="str">
        <f t="shared" si="252"/>
        <v xml:space="preserve">8269        </v>
      </c>
      <c r="O18570">
        <v>230814</v>
      </c>
    </row>
    <row r="18571" spans="1:15" x14ac:dyDescent="0.25">
      <c r="A18571" t="s">
        <v>16</v>
      </c>
      <c r="B18571" t="s">
        <v>3221</v>
      </c>
      <c r="C18571">
        <v>10284</v>
      </c>
      <c r="D18571" t="s">
        <v>1085</v>
      </c>
      <c r="E18571" t="s">
        <v>1086</v>
      </c>
      <c r="F18571">
        <v>2291.13</v>
      </c>
      <c r="G18571">
        <v>230801</v>
      </c>
      <c r="H18571">
        <v>4350</v>
      </c>
      <c r="I18571" t="s">
        <v>546</v>
      </c>
      <c r="J18571">
        <v>2841</v>
      </c>
      <c r="K18571">
        <v>549.87</v>
      </c>
      <c r="L18571">
        <v>59702</v>
      </c>
      <c r="M18571" t="s">
        <v>328</v>
      </c>
      <c r="N18571" t="str">
        <f t="shared" si="252"/>
        <v xml:space="preserve">8269        </v>
      </c>
      <c r="O18571">
        <v>230814</v>
      </c>
    </row>
    <row r="18572" spans="1:15" x14ac:dyDescent="0.25">
      <c r="A18572" t="s">
        <v>16</v>
      </c>
      <c r="B18572" t="s">
        <v>3221</v>
      </c>
      <c r="C18572">
        <v>10284</v>
      </c>
      <c r="D18572" t="s">
        <v>1085</v>
      </c>
      <c r="E18572" t="s">
        <v>1086</v>
      </c>
      <c r="F18572">
        <v>904.44</v>
      </c>
      <c r="G18572">
        <v>230801</v>
      </c>
      <c r="H18572">
        <v>4350</v>
      </c>
      <c r="I18572" t="s">
        <v>546</v>
      </c>
      <c r="J18572">
        <v>1121.5</v>
      </c>
      <c r="K18572">
        <v>217.06</v>
      </c>
      <c r="L18572">
        <v>69702</v>
      </c>
      <c r="M18572" t="s">
        <v>489</v>
      </c>
      <c r="N18572" t="str">
        <f t="shared" si="252"/>
        <v xml:space="preserve">8269        </v>
      </c>
      <c r="O18572">
        <v>230814</v>
      </c>
    </row>
    <row r="18573" spans="1:15" x14ac:dyDescent="0.25">
      <c r="A18573" t="s">
        <v>16</v>
      </c>
      <c r="B18573" t="s">
        <v>3221</v>
      </c>
      <c r="C18573">
        <v>10284</v>
      </c>
      <c r="D18573" t="s">
        <v>1085</v>
      </c>
      <c r="E18573" t="s">
        <v>1086</v>
      </c>
      <c r="F18573">
        <v>904.44</v>
      </c>
      <c r="G18573">
        <v>230801</v>
      </c>
      <c r="H18573">
        <v>4350</v>
      </c>
      <c r="I18573" t="s">
        <v>546</v>
      </c>
      <c r="J18573">
        <v>1121.5</v>
      </c>
      <c r="K18573">
        <v>217.06</v>
      </c>
      <c r="L18573">
        <v>69704</v>
      </c>
      <c r="M18573" t="s">
        <v>325</v>
      </c>
      <c r="N18573" t="str">
        <f t="shared" si="252"/>
        <v xml:space="preserve">8269        </v>
      </c>
      <c r="O18573">
        <v>230814</v>
      </c>
    </row>
    <row r="18574" spans="1:15" x14ac:dyDescent="0.25">
      <c r="A18574" t="s">
        <v>16</v>
      </c>
      <c r="B18574" t="s">
        <v>3221</v>
      </c>
      <c r="C18574">
        <v>14178</v>
      </c>
      <c r="D18574" t="s">
        <v>2748</v>
      </c>
      <c r="E18574" t="s">
        <v>2749</v>
      </c>
      <c r="F18574">
        <v>52.73</v>
      </c>
      <c r="G18574">
        <v>231004</v>
      </c>
      <c r="H18574">
        <v>4510</v>
      </c>
      <c r="I18574" t="s">
        <v>42</v>
      </c>
      <c r="J18574">
        <v>58</v>
      </c>
      <c r="K18574">
        <v>5.27</v>
      </c>
      <c r="L18574">
        <v>13801</v>
      </c>
      <c r="M18574" t="s">
        <v>162</v>
      </c>
      <c r="N18574" t="str">
        <f>"2306141     "</f>
        <v xml:space="preserve">2306141     </v>
      </c>
      <c r="O18574">
        <v>231023</v>
      </c>
    </row>
    <row r="18575" spans="1:15" x14ac:dyDescent="0.25">
      <c r="A18575" t="s">
        <v>16</v>
      </c>
      <c r="B18575" t="s">
        <v>3221</v>
      </c>
      <c r="C18575">
        <v>10840</v>
      </c>
      <c r="D18575" t="s">
        <v>2421</v>
      </c>
      <c r="E18575" t="s">
        <v>2422</v>
      </c>
      <c r="F18575">
        <v>19998</v>
      </c>
      <c r="G18575">
        <v>230822</v>
      </c>
      <c r="H18575">
        <v>1198</v>
      </c>
      <c r="I18575" t="s">
        <v>1128</v>
      </c>
      <c r="J18575">
        <v>24797.52</v>
      </c>
      <c r="K18575">
        <v>4799.5200000000004</v>
      </c>
      <c r="L18575">
        <v>95511</v>
      </c>
      <c r="M18575" t="s">
        <v>1129</v>
      </c>
      <c r="N18575" t="str">
        <f>"10000200    "</f>
        <v xml:space="preserve">10000200    </v>
      </c>
      <c r="O18575">
        <v>230824</v>
      </c>
    </row>
    <row r="18576" spans="1:15" x14ac:dyDescent="0.25">
      <c r="A18576" t="s">
        <v>16</v>
      </c>
      <c r="B18576" t="s">
        <v>3221</v>
      </c>
      <c r="C18576">
        <v>7849</v>
      </c>
      <c r="D18576" t="s">
        <v>2135</v>
      </c>
      <c r="E18576" t="s">
        <v>2136</v>
      </c>
      <c r="F18576">
        <v>92.11</v>
      </c>
      <c r="G18576">
        <v>230525</v>
      </c>
      <c r="H18576">
        <v>4520</v>
      </c>
      <c r="I18576" t="s">
        <v>254</v>
      </c>
      <c r="J18576">
        <v>105</v>
      </c>
      <c r="K18576">
        <v>12.89</v>
      </c>
      <c r="L18576">
        <v>18972</v>
      </c>
      <c r="M18576" t="s">
        <v>163</v>
      </c>
      <c r="N18576" t="str">
        <f>"22          "</f>
        <v xml:space="preserve">22          </v>
      </c>
      <c r="O18576">
        <v>230605</v>
      </c>
    </row>
    <row r="18577" spans="1:15" x14ac:dyDescent="0.25">
      <c r="A18577" t="s">
        <v>16</v>
      </c>
      <c r="B18577" t="s">
        <v>3221</v>
      </c>
      <c r="C18577">
        <v>9548</v>
      </c>
      <c r="D18577" t="s">
        <v>2203</v>
      </c>
      <c r="E18577" t="s">
        <v>2204</v>
      </c>
      <c r="F18577">
        <v>400</v>
      </c>
      <c r="G18577">
        <v>230628</v>
      </c>
      <c r="H18577">
        <v>4441</v>
      </c>
      <c r="I18577" t="s">
        <v>109</v>
      </c>
      <c r="J18577">
        <v>496</v>
      </c>
      <c r="K18577">
        <v>96</v>
      </c>
      <c r="L18577">
        <v>11801</v>
      </c>
      <c r="M18577" t="s">
        <v>92</v>
      </c>
      <c r="N18577" t="str">
        <f>"18371       "</f>
        <v xml:space="preserve">18371       </v>
      </c>
      <c r="O18577">
        <v>230717</v>
      </c>
    </row>
    <row r="18578" spans="1:15" x14ac:dyDescent="0.25">
      <c r="A18578" t="s">
        <v>16</v>
      </c>
      <c r="B18578" t="s">
        <v>3221</v>
      </c>
      <c r="C18578">
        <v>8763</v>
      </c>
      <c r="D18578" t="s">
        <v>2203</v>
      </c>
      <c r="E18578" t="s">
        <v>2204</v>
      </c>
      <c r="F18578">
        <v>100</v>
      </c>
      <c r="G18578">
        <v>230613</v>
      </c>
      <c r="H18578">
        <v>4440</v>
      </c>
      <c r="I18578" t="s">
        <v>250</v>
      </c>
      <c r="J18578">
        <v>124</v>
      </c>
      <c r="K18578">
        <v>24</v>
      </c>
      <c r="L18578">
        <v>18991</v>
      </c>
      <c r="M18578" t="s">
        <v>1106</v>
      </c>
      <c r="N18578" t="str">
        <f>"18213       "</f>
        <v xml:space="preserve">18213       </v>
      </c>
      <c r="O18578">
        <v>230614</v>
      </c>
    </row>
    <row r="18579" spans="1:15" x14ac:dyDescent="0.25">
      <c r="A18579" t="s">
        <v>16</v>
      </c>
      <c r="B18579" t="s">
        <v>3221</v>
      </c>
      <c r="C18579">
        <v>13382</v>
      </c>
      <c r="D18579" t="s">
        <v>2664</v>
      </c>
      <c r="E18579" t="s">
        <v>2665</v>
      </c>
      <c r="F18579">
        <v>750.9</v>
      </c>
      <c r="G18579">
        <v>231006</v>
      </c>
      <c r="H18579">
        <v>4400</v>
      </c>
      <c r="I18579" t="s">
        <v>348</v>
      </c>
      <c r="J18579">
        <v>931.12</v>
      </c>
      <c r="K18579">
        <v>180.22</v>
      </c>
      <c r="L18579">
        <v>69501</v>
      </c>
      <c r="M18579" t="s">
        <v>185</v>
      </c>
      <c r="N18579" t="str">
        <f>"100090      "</f>
        <v xml:space="preserve">100090      </v>
      </c>
      <c r="O18579">
        <v>231009</v>
      </c>
    </row>
    <row r="18580" spans="1:15" x14ac:dyDescent="0.25">
      <c r="A18580" t="s">
        <v>16</v>
      </c>
      <c r="B18580" t="s">
        <v>3221</v>
      </c>
      <c r="C18580">
        <v>2200</v>
      </c>
      <c r="D18580" t="s">
        <v>1323</v>
      </c>
      <c r="E18580" t="s">
        <v>1324</v>
      </c>
      <c r="F18580">
        <v>72.22</v>
      </c>
      <c r="G18580">
        <v>230215</v>
      </c>
      <c r="H18580">
        <v>4600</v>
      </c>
      <c r="I18580" t="s">
        <v>105</v>
      </c>
      <c r="J18580">
        <v>89.55</v>
      </c>
      <c r="K18580">
        <v>17.329999999999998</v>
      </c>
      <c r="L18580">
        <v>17649</v>
      </c>
      <c r="M18580" t="s">
        <v>1197</v>
      </c>
      <c r="N18580" t="str">
        <f>"INV20233795 "</f>
        <v xml:space="preserve">INV20233795 </v>
      </c>
      <c r="O18580">
        <v>230222</v>
      </c>
    </row>
    <row r="18581" spans="1:15" x14ac:dyDescent="0.25">
      <c r="A18581" t="s">
        <v>16</v>
      </c>
      <c r="B18581" t="s">
        <v>3221</v>
      </c>
      <c r="C18581">
        <v>7262</v>
      </c>
      <c r="D18581" t="s">
        <v>2081</v>
      </c>
      <c r="E18581" t="s">
        <v>2082</v>
      </c>
      <c r="F18581">
        <v>23445</v>
      </c>
      <c r="G18581">
        <v>230519</v>
      </c>
      <c r="H18581">
        <v>1198</v>
      </c>
      <c r="I18581" t="s">
        <v>1128</v>
      </c>
      <c r="J18581">
        <v>29071.8</v>
      </c>
      <c r="K18581">
        <v>5626.8</v>
      </c>
      <c r="L18581">
        <v>97629</v>
      </c>
      <c r="M18581" t="s">
        <v>2015</v>
      </c>
      <c r="N18581" t="str">
        <f>"201503      "</f>
        <v xml:space="preserve">201503      </v>
      </c>
      <c r="O18581">
        <v>230526</v>
      </c>
    </row>
    <row r="18582" spans="1:15" x14ac:dyDescent="0.25">
      <c r="A18582" t="s">
        <v>16</v>
      </c>
      <c r="B18582" t="s">
        <v>3221</v>
      </c>
      <c r="C18582">
        <v>16098</v>
      </c>
      <c r="D18582" t="s">
        <v>2081</v>
      </c>
      <c r="E18582" t="s">
        <v>2082</v>
      </c>
      <c r="F18582">
        <v>38.950000000000003</v>
      </c>
      <c r="G18582">
        <v>231115</v>
      </c>
      <c r="H18582">
        <v>4600</v>
      </c>
      <c r="I18582" t="s">
        <v>105</v>
      </c>
      <c r="J18582">
        <v>48.3</v>
      </c>
      <c r="K18582">
        <v>9.35</v>
      </c>
      <c r="L18582">
        <v>17529</v>
      </c>
      <c r="M18582" t="s">
        <v>453</v>
      </c>
      <c r="N18582" t="str">
        <f>"201605      "</f>
        <v xml:space="preserve">201605      </v>
      </c>
      <c r="O18582">
        <v>231122</v>
      </c>
    </row>
    <row r="18583" spans="1:15" x14ac:dyDescent="0.25">
      <c r="A18583" t="s">
        <v>16</v>
      </c>
      <c r="B18583" t="s">
        <v>3221</v>
      </c>
      <c r="C18583">
        <v>10137</v>
      </c>
      <c r="D18583" t="s">
        <v>2345</v>
      </c>
      <c r="E18583" t="s">
        <v>2346</v>
      </c>
      <c r="F18583">
        <v>82.26</v>
      </c>
      <c r="G18583">
        <v>230803</v>
      </c>
      <c r="H18583">
        <v>4580</v>
      </c>
      <c r="I18583" t="s">
        <v>35</v>
      </c>
      <c r="J18583">
        <v>102</v>
      </c>
      <c r="K18583">
        <v>19.739999999999998</v>
      </c>
      <c r="L18583">
        <v>17804</v>
      </c>
      <c r="M18583" t="s">
        <v>549</v>
      </c>
      <c r="N18583" t="str">
        <f>"703730      "</f>
        <v xml:space="preserve">703730      </v>
      </c>
      <c r="O18583">
        <v>230808</v>
      </c>
    </row>
    <row r="18584" spans="1:15" x14ac:dyDescent="0.25">
      <c r="A18584" t="s">
        <v>16</v>
      </c>
      <c r="B18584" t="s">
        <v>3221</v>
      </c>
      <c r="C18584">
        <v>16616</v>
      </c>
      <c r="D18584" t="s">
        <v>2345</v>
      </c>
      <c r="E18584" t="s">
        <v>2346</v>
      </c>
      <c r="F18584">
        <v>774.19</v>
      </c>
      <c r="G18584">
        <v>231129</v>
      </c>
      <c r="H18584">
        <v>4600</v>
      </c>
      <c r="I18584" t="s">
        <v>105</v>
      </c>
      <c r="J18584">
        <v>960</v>
      </c>
      <c r="K18584">
        <v>185.81</v>
      </c>
      <c r="L18584">
        <v>17951</v>
      </c>
      <c r="M18584" t="s">
        <v>87</v>
      </c>
      <c r="N18584" t="str">
        <f>"812593      "</f>
        <v xml:space="preserve">812593      </v>
      </c>
      <c r="O18584">
        <v>231204</v>
      </c>
    </row>
    <row r="18585" spans="1:15" x14ac:dyDescent="0.25">
      <c r="A18585" t="s">
        <v>16</v>
      </c>
      <c r="B18585" t="s">
        <v>3221</v>
      </c>
      <c r="C18585">
        <v>2820</v>
      </c>
      <c r="D18585" t="s">
        <v>1476</v>
      </c>
      <c r="E18585" t="s">
        <v>1477</v>
      </c>
      <c r="F18585">
        <v>180.01</v>
      </c>
      <c r="G18585">
        <v>230302</v>
      </c>
      <c r="H18585">
        <v>4600</v>
      </c>
      <c r="I18585" t="s">
        <v>105</v>
      </c>
      <c r="J18585">
        <v>223.21</v>
      </c>
      <c r="K18585">
        <v>43.2</v>
      </c>
      <c r="L18585">
        <v>56562</v>
      </c>
      <c r="M18585" t="s">
        <v>126</v>
      </c>
      <c r="N18585" t="str">
        <f t="shared" ref="N18585:N18595" si="253">"1447        "</f>
        <v xml:space="preserve">1447        </v>
      </c>
      <c r="O18585">
        <v>230307</v>
      </c>
    </row>
    <row r="18586" spans="1:15" x14ac:dyDescent="0.25">
      <c r="A18586" t="s">
        <v>16</v>
      </c>
      <c r="B18586" t="s">
        <v>3221</v>
      </c>
      <c r="C18586">
        <v>2820</v>
      </c>
      <c r="D18586" t="s">
        <v>1476</v>
      </c>
      <c r="E18586" t="s">
        <v>1477</v>
      </c>
      <c r="F18586">
        <v>650</v>
      </c>
      <c r="G18586">
        <v>230302</v>
      </c>
      <c r="H18586">
        <v>4440</v>
      </c>
      <c r="I18586" t="s">
        <v>250</v>
      </c>
      <c r="J18586">
        <v>806</v>
      </c>
      <c r="K18586">
        <v>156</v>
      </c>
      <c r="L18586">
        <v>56558</v>
      </c>
      <c r="M18586" t="s">
        <v>217</v>
      </c>
      <c r="N18586" t="str">
        <f t="shared" si="253"/>
        <v xml:space="preserve">1447        </v>
      </c>
      <c r="O18586">
        <v>230307</v>
      </c>
    </row>
    <row r="18587" spans="1:15" x14ac:dyDescent="0.25">
      <c r="A18587" t="s">
        <v>16</v>
      </c>
      <c r="B18587" t="s">
        <v>3221</v>
      </c>
      <c r="C18587">
        <v>2820</v>
      </c>
      <c r="D18587" t="s">
        <v>1476</v>
      </c>
      <c r="E18587" t="s">
        <v>1477</v>
      </c>
      <c r="F18587">
        <v>1300</v>
      </c>
      <c r="G18587">
        <v>230302</v>
      </c>
      <c r="H18587">
        <v>4440</v>
      </c>
      <c r="I18587" t="s">
        <v>250</v>
      </c>
      <c r="J18587">
        <v>1612</v>
      </c>
      <c r="K18587">
        <v>312</v>
      </c>
      <c r="L18587">
        <v>56558</v>
      </c>
      <c r="M18587" t="s">
        <v>217</v>
      </c>
      <c r="N18587" t="str">
        <f t="shared" si="253"/>
        <v xml:space="preserve">1447        </v>
      </c>
      <c r="O18587">
        <v>230307</v>
      </c>
    </row>
    <row r="18588" spans="1:15" x14ac:dyDescent="0.25">
      <c r="A18588" t="s">
        <v>16</v>
      </c>
      <c r="B18588" t="s">
        <v>3221</v>
      </c>
      <c r="C18588">
        <v>2820</v>
      </c>
      <c r="D18588" t="s">
        <v>1476</v>
      </c>
      <c r="E18588" t="s">
        <v>1477</v>
      </c>
      <c r="F18588">
        <v>1300</v>
      </c>
      <c r="G18588">
        <v>230302</v>
      </c>
      <c r="H18588">
        <v>4440</v>
      </c>
      <c r="I18588" t="s">
        <v>250</v>
      </c>
      <c r="J18588">
        <v>1612</v>
      </c>
      <c r="K18588">
        <v>312</v>
      </c>
      <c r="L18588">
        <v>56559</v>
      </c>
      <c r="M18588" t="s">
        <v>129</v>
      </c>
      <c r="N18588" t="str">
        <f t="shared" si="253"/>
        <v xml:space="preserve">1447        </v>
      </c>
      <c r="O18588">
        <v>230307</v>
      </c>
    </row>
    <row r="18589" spans="1:15" x14ac:dyDescent="0.25">
      <c r="A18589" t="s">
        <v>16</v>
      </c>
      <c r="B18589" t="s">
        <v>3221</v>
      </c>
      <c r="C18589">
        <v>2820</v>
      </c>
      <c r="D18589" t="s">
        <v>1476</v>
      </c>
      <c r="E18589" t="s">
        <v>1477</v>
      </c>
      <c r="F18589">
        <v>650</v>
      </c>
      <c r="G18589">
        <v>230302</v>
      </c>
      <c r="H18589">
        <v>4440</v>
      </c>
      <c r="I18589" t="s">
        <v>250</v>
      </c>
      <c r="J18589">
        <v>806</v>
      </c>
      <c r="K18589">
        <v>156</v>
      </c>
      <c r="L18589">
        <v>56560</v>
      </c>
      <c r="M18589" t="s">
        <v>654</v>
      </c>
      <c r="N18589" t="str">
        <f t="shared" si="253"/>
        <v xml:space="preserve">1447        </v>
      </c>
      <c r="O18589">
        <v>230307</v>
      </c>
    </row>
    <row r="18590" spans="1:15" x14ac:dyDescent="0.25">
      <c r="A18590" t="s">
        <v>16</v>
      </c>
      <c r="B18590" t="s">
        <v>3221</v>
      </c>
      <c r="C18590">
        <v>2820</v>
      </c>
      <c r="D18590" t="s">
        <v>1476</v>
      </c>
      <c r="E18590" t="s">
        <v>1477</v>
      </c>
      <c r="F18590">
        <v>1300</v>
      </c>
      <c r="G18590">
        <v>230302</v>
      </c>
      <c r="H18590">
        <v>4440</v>
      </c>
      <c r="I18590" t="s">
        <v>250</v>
      </c>
      <c r="J18590">
        <v>1612</v>
      </c>
      <c r="K18590">
        <v>312</v>
      </c>
      <c r="L18590">
        <v>56560</v>
      </c>
      <c r="M18590" t="s">
        <v>654</v>
      </c>
      <c r="N18590" t="str">
        <f t="shared" si="253"/>
        <v xml:space="preserve">1447        </v>
      </c>
      <c r="O18590">
        <v>230307</v>
      </c>
    </row>
    <row r="18591" spans="1:15" x14ac:dyDescent="0.25">
      <c r="A18591" t="s">
        <v>16</v>
      </c>
      <c r="B18591" t="s">
        <v>3221</v>
      </c>
      <c r="C18591">
        <v>2820</v>
      </c>
      <c r="D18591" t="s">
        <v>1476</v>
      </c>
      <c r="E18591" t="s">
        <v>1477</v>
      </c>
      <c r="F18591">
        <v>433.33</v>
      </c>
      <c r="G18591">
        <v>230302</v>
      </c>
      <c r="H18591">
        <v>4440</v>
      </c>
      <c r="I18591" t="s">
        <v>250</v>
      </c>
      <c r="J18591">
        <v>537.33000000000004</v>
      </c>
      <c r="K18591">
        <v>104</v>
      </c>
      <c r="L18591">
        <v>56561</v>
      </c>
      <c r="M18591" t="s">
        <v>358</v>
      </c>
      <c r="N18591" t="str">
        <f t="shared" si="253"/>
        <v xml:space="preserve">1447        </v>
      </c>
      <c r="O18591">
        <v>230307</v>
      </c>
    </row>
    <row r="18592" spans="1:15" x14ac:dyDescent="0.25">
      <c r="A18592" t="s">
        <v>16</v>
      </c>
      <c r="B18592" t="s">
        <v>3221</v>
      </c>
      <c r="C18592">
        <v>2820</v>
      </c>
      <c r="D18592" t="s">
        <v>1476</v>
      </c>
      <c r="E18592" t="s">
        <v>1477</v>
      </c>
      <c r="F18592">
        <v>433.33</v>
      </c>
      <c r="G18592">
        <v>230302</v>
      </c>
      <c r="H18592">
        <v>4440</v>
      </c>
      <c r="I18592" t="s">
        <v>250</v>
      </c>
      <c r="J18592">
        <v>537.33000000000004</v>
      </c>
      <c r="K18592">
        <v>104</v>
      </c>
      <c r="L18592">
        <v>56562</v>
      </c>
      <c r="M18592" t="s">
        <v>126</v>
      </c>
      <c r="N18592" t="str">
        <f t="shared" si="253"/>
        <v xml:space="preserve">1447        </v>
      </c>
      <c r="O18592">
        <v>230307</v>
      </c>
    </row>
    <row r="18593" spans="1:15" x14ac:dyDescent="0.25">
      <c r="A18593" t="s">
        <v>16</v>
      </c>
      <c r="B18593" t="s">
        <v>3221</v>
      </c>
      <c r="C18593">
        <v>2820</v>
      </c>
      <c r="D18593" t="s">
        <v>1476</v>
      </c>
      <c r="E18593" t="s">
        <v>1477</v>
      </c>
      <c r="F18593">
        <v>1300</v>
      </c>
      <c r="G18593">
        <v>230302</v>
      </c>
      <c r="H18593">
        <v>4440</v>
      </c>
      <c r="I18593" t="s">
        <v>250</v>
      </c>
      <c r="J18593">
        <v>1612</v>
      </c>
      <c r="K18593">
        <v>312</v>
      </c>
      <c r="L18593">
        <v>56562</v>
      </c>
      <c r="M18593" t="s">
        <v>126</v>
      </c>
      <c r="N18593" t="str">
        <f t="shared" si="253"/>
        <v xml:space="preserve">1447        </v>
      </c>
      <c r="O18593">
        <v>230307</v>
      </c>
    </row>
    <row r="18594" spans="1:15" x14ac:dyDescent="0.25">
      <c r="A18594" t="s">
        <v>16</v>
      </c>
      <c r="B18594" t="s">
        <v>3221</v>
      </c>
      <c r="C18594">
        <v>2820</v>
      </c>
      <c r="D18594" t="s">
        <v>1476</v>
      </c>
      <c r="E18594" t="s">
        <v>1477</v>
      </c>
      <c r="F18594">
        <v>1419.79</v>
      </c>
      <c r="G18594">
        <v>230302</v>
      </c>
      <c r="H18594">
        <v>4440</v>
      </c>
      <c r="I18594" t="s">
        <v>250</v>
      </c>
      <c r="J18594">
        <v>1760.54</v>
      </c>
      <c r="K18594">
        <v>340.75</v>
      </c>
      <c r="L18594">
        <v>56564</v>
      </c>
      <c r="M18594" t="s">
        <v>327</v>
      </c>
      <c r="N18594" t="str">
        <f t="shared" si="253"/>
        <v xml:space="preserve">1447        </v>
      </c>
      <c r="O18594">
        <v>230307</v>
      </c>
    </row>
    <row r="18595" spans="1:15" x14ac:dyDescent="0.25">
      <c r="A18595" t="s">
        <v>16</v>
      </c>
      <c r="B18595" t="s">
        <v>3221</v>
      </c>
      <c r="C18595">
        <v>2820</v>
      </c>
      <c r="D18595" t="s">
        <v>1476</v>
      </c>
      <c r="E18595" t="s">
        <v>1477</v>
      </c>
      <c r="F18595">
        <v>433.33</v>
      </c>
      <c r="G18595">
        <v>230302</v>
      </c>
      <c r="H18595">
        <v>4440</v>
      </c>
      <c r="I18595" t="s">
        <v>250</v>
      </c>
      <c r="J18595">
        <v>537.33000000000004</v>
      </c>
      <c r="K18595">
        <v>104</v>
      </c>
      <c r="L18595">
        <v>56565</v>
      </c>
      <c r="M18595" t="s">
        <v>758</v>
      </c>
      <c r="N18595" t="str">
        <f t="shared" si="253"/>
        <v xml:space="preserve">1447        </v>
      </c>
      <c r="O18595">
        <v>230307</v>
      </c>
    </row>
    <row r="18596" spans="1:15" x14ac:dyDescent="0.25">
      <c r="A18596" t="s">
        <v>16</v>
      </c>
      <c r="B18596" t="s">
        <v>3221</v>
      </c>
      <c r="C18596">
        <v>6803</v>
      </c>
      <c r="D18596" t="s">
        <v>3366</v>
      </c>
      <c r="E18596" t="s">
        <v>3367</v>
      </c>
      <c r="F18596">
        <v>558</v>
      </c>
      <c r="G18596">
        <v>230515</v>
      </c>
      <c r="H18596">
        <v>4600</v>
      </c>
      <c r="I18596" t="s">
        <v>105</v>
      </c>
      <c r="J18596">
        <v>558</v>
      </c>
      <c r="K18596">
        <v>0</v>
      </c>
      <c r="L18596">
        <v>17808</v>
      </c>
      <c r="M18596" t="s">
        <v>322</v>
      </c>
      <c r="N18596" t="str">
        <f>"11747       "</f>
        <v xml:space="preserve">11747       </v>
      </c>
      <c r="O18596">
        <v>230522</v>
      </c>
    </row>
    <row r="18597" spans="1:15" x14ac:dyDescent="0.25">
      <c r="A18597" t="s">
        <v>16</v>
      </c>
      <c r="B18597" t="s">
        <v>3221</v>
      </c>
      <c r="C18597">
        <v>15726</v>
      </c>
      <c r="D18597" t="s">
        <v>3366</v>
      </c>
      <c r="E18597" t="s">
        <v>3367</v>
      </c>
      <c r="F18597">
        <v>160</v>
      </c>
      <c r="G18597">
        <v>231114</v>
      </c>
      <c r="H18597">
        <v>4470</v>
      </c>
      <c r="I18597" t="s">
        <v>83</v>
      </c>
      <c r="J18597">
        <v>160</v>
      </c>
      <c r="K18597">
        <v>0</v>
      </c>
      <c r="L18597">
        <v>17808</v>
      </c>
      <c r="M18597" t="s">
        <v>322</v>
      </c>
      <c r="N18597" t="str">
        <f>"11902       "</f>
        <v xml:space="preserve">11902       </v>
      </c>
      <c r="O18597">
        <v>231116</v>
      </c>
    </row>
    <row r="18598" spans="1:15" x14ac:dyDescent="0.25">
      <c r="A18598" t="s">
        <v>16</v>
      </c>
      <c r="B18598" t="s">
        <v>3221</v>
      </c>
      <c r="C18598">
        <v>2913</v>
      </c>
      <c r="D18598" t="s">
        <v>3366</v>
      </c>
      <c r="E18598" t="s">
        <v>3367</v>
      </c>
      <c r="F18598">
        <v>894.9</v>
      </c>
      <c r="G18598">
        <v>230212</v>
      </c>
      <c r="H18598">
        <v>4441</v>
      </c>
      <c r="I18598" t="s">
        <v>109</v>
      </c>
      <c r="J18598">
        <v>894.9</v>
      </c>
      <c r="K18598">
        <v>0</v>
      </c>
      <c r="L18598">
        <v>11605</v>
      </c>
      <c r="M18598" t="s">
        <v>106</v>
      </c>
      <c r="N18598" t="str">
        <f>"11586       "</f>
        <v xml:space="preserve">11586       </v>
      </c>
      <c r="O18598">
        <v>230308</v>
      </c>
    </row>
    <row r="18599" spans="1:15" x14ac:dyDescent="0.25">
      <c r="A18599" t="s">
        <v>16</v>
      </c>
      <c r="B18599" t="s">
        <v>3221</v>
      </c>
      <c r="C18599">
        <v>3935</v>
      </c>
      <c r="D18599" t="s">
        <v>3366</v>
      </c>
      <c r="E18599" t="s">
        <v>3367</v>
      </c>
      <c r="F18599">
        <v>220</v>
      </c>
      <c r="G18599">
        <v>230323</v>
      </c>
      <c r="H18599">
        <v>4441</v>
      </c>
      <c r="I18599" t="s">
        <v>109</v>
      </c>
      <c r="J18599">
        <v>220</v>
      </c>
      <c r="K18599">
        <v>0</v>
      </c>
      <c r="L18599">
        <v>59702</v>
      </c>
      <c r="M18599" t="s">
        <v>328</v>
      </c>
      <c r="N18599" t="str">
        <f>"11592       "</f>
        <v xml:space="preserve">11592       </v>
      </c>
      <c r="O18599">
        <v>230327</v>
      </c>
    </row>
    <row r="18600" spans="1:15" x14ac:dyDescent="0.25">
      <c r="A18600" t="s">
        <v>16</v>
      </c>
      <c r="B18600" t="s">
        <v>3221</v>
      </c>
      <c r="C18600">
        <v>11383</v>
      </c>
      <c r="D18600" t="s">
        <v>3366</v>
      </c>
      <c r="E18600" t="s">
        <v>3367</v>
      </c>
      <c r="F18600">
        <v>670</v>
      </c>
      <c r="G18600">
        <v>230831</v>
      </c>
      <c r="H18600">
        <v>4441</v>
      </c>
      <c r="I18600" t="s">
        <v>109</v>
      </c>
      <c r="J18600">
        <v>670</v>
      </c>
      <c r="K18600">
        <v>0</v>
      </c>
      <c r="L18600">
        <v>11605</v>
      </c>
      <c r="M18600" t="s">
        <v>106</v>
      </c>
      <c r="N18600" t="str">
        <f>"11799       "</f>
        <v xml:space="preserve">11799       </v>
      </c>
      <c r="O18600">
        <v>230905</v>
      </c>
    </row>
    <row r="18601" spans="1:15" x14ac:dyDescent="0.25">
      <c r="A18601" t="s">
        <v>16</v>
      </c>
      <c r="B18601" t="s">
        <v>3221</v>
      </c>
      <c r="C18601">
        <v>13195</v>
      </c>
      <c r="D18601" t="s">
        <v>3366</v>
      </c>
      <c r="E18601" t="s">
        <v>3367</v>
      </c>
      <c r="F18601">
        <v>325</v>
      </c>
      <c r="G18601">
        <v>230920</v>
      </c>
      <c r="H18601">
        <v>4441</v>
      </c>
      <c r="I18601" t="s">
        <v>109</v>
      </c>
      <c r="J18601">
        <v>325</v>
      </c>
      <c r="K18601">
        <v>0</v>
      </c>
      <c r="L18601">
        <v>17972</v>
      </c>
      <c r="M18601" t="s">
        <v>248</v>
      </c>
      <c r="N18601" t="str">
        <f>"11853       "</f>
        <v xml:space="preserve">11853       </v>
      </c>
      <c r="O18601">
        <v>231005</v>
      </c>
    </row>
    <row r="18602" spans="1:15" x14ac:dyDescent="0.25">
      <c r="A18602" t="s">
        <v>16</v>
      </c>
      <c r="B18602" t="s">
        <v>3221</v>
      </c>
      <c r="C18602">
        <v>13195</v>
      </c>
      <c r="D18602" t="s">
        <v>3366</v>
      </c>
      <c r="E18602" t="s">
        <v>3367</v>
      </c>
      <c r="F18602">
        <v>325</v>
      </c>
      <c r="G18602">
        <v>230920</v>
      </c>
      <c r="H18602">
        <v>4441</v>
      </c>
      <c r="I18602" t="s">
        <v>109</v>
      </c>
      <c r="J18602">
        <v>325</v>
      </c>
      <c r="K18602">
        <v>0</v>
      </c>
      <c r="L18602">
        <v>59702</v>
      </c>
      <c r="M18602" t="s">
        <v>328</v>
      </c>
      <c r="N18602" t="str">
        <f>"11853       "</f>
        <v xml:space="preserve">11853       </v>
      </c>
      <c r="O18602">
        <v>231005</v>
      </c>
    </row>
    <row r="18603" spans="1:15" x14ac:dyDescent="0.25">
      <c r="A18603" t="s">
        <v>16</v>
      </c>
      <c r="B18603" t="s">
        <v>3221</v>
      </c>
      <c r="C18603">
        <v>16659</v>
      </c>
      <c r="D18603" t="s">
        <v>3366</v>
      </c>
      <c r="E18603" t="s">
        <v>3367</v>
      </c>
      <c r="F18603">
        <v>200</v>
      </c>
      <c r="G18603">
        <v>231121</v>
      </c>
      <c r="H18603">
        <v>4441</v>
      </c>
      <c r="I18603" t="s">
        <v>109</v>
      </c>
      <c r="J18603">
        <v>200</v>
      </c>
      <c r="K18603">
        <v>0</v>
      </c>
      <c r="L18603">
        <v>11901</v>
      </c>
      <c r="M18603" t="s">
        <v>36</v>
      </c>
      <c r="N18603" t="str">
        <f t="shared" ref="N18603:N18614" si="254">"11943       "</f>
        <v xml:space="preserve">11943       </v>
      </c>
      <c r="O18603">
        <v>231205</v>
      </c>
    </row>
    <row r="18604" spans="1:15" x14ac:dyDescent="0.25">
      <c r="A18604" t="s">
        <v>16</v>
      </c>
      <c r="B18604" t="s">
        <v>3221</v>
      </c>
      <c r="C18604">
        <v>16659</v>
      </c>
      <c r="D18604" t="s">
        <v>3366</v>
      </c>
      <c r="E18604" t="s">
        <v>3367</v>
      </c>
      <c r="F18604">
        <v>400</v>
      </c>
      <c r="G18604">
        <v>231121</v>
      </c>
      <c r="H18604">
        <v>4441</v>
      </c>
      <c r="I18604" t="s">
        <v>109</v>
      </c>
      <c r="J18604">
        <v>400</v>
      </c>
      <c r="K18604">
        <v>0</v>
      </c>
      <c r="L18604">
        <v>11903</v>
      </c>
      <c r="M18604" t="s">
        <v>406</v>
      </c>
      <c r="N18604" t="str">
        <f t="shared" si="254"/>
        <v xml:space="preserve">11943       </v>
      </c>
      <c r="O18604">
        <v>231205</v>
      </c>
    </row>
    <row r="18605" spans="1:15" x14ac:dyDescent="0.25">
      <c r="A18605" t="s">
        <v>16</v>
      </c>
      <c r="B18605" t="s">
        <v>3221</v>
      </c>
      <c r="C18605">
        <v>16659</v>
      </c>
      <c r="D18605" t="s">
        <v>3366</v>
      </c>
      <c r="E18605" t="s">
        <v>3367</v>
      </c>
      <c r="F18605">
        <v>100</v>
      </c>
      <c r="G18605">
        <v>231121</v>
      </c>
      <c r="H18605">
        <v>4441</v>
      </c>
      <c r="I18605" t="s">
        <v>109</v>
      </c>
      <c r="J18605">
        <v>100</v>
      </c>
      <c r="K18605">
        <v>0</v>
      </c>
      <c r="L18605">
        <v>13401</v>
      </c>
      <c r="M18605" t="s">
        <v>80</v>
      </c>
      <c r="N18605" t="str">
        <f t="shared" si="254"/>
        <v xml:space="preserve">11943       </v>
      </c>
      <c r="O18605">
        <v>231205</v>
      </c>
    </row>
    <row r="18606" spans="1:15" x14ac:dyDescent="0.25">
      <c r="A18606" t="s">
        <v>16</v>
      </c>
      <c r="B18606" t="s">
        <v>3221</v>
      </c>
      <c r="C18606">
        <v>16659</v>
      </c>
      <c r="D18606" t="s">
        <v>3366</v>
      </c>
      <c r="E18606" t="s">
        <v>3367</v>
      </c>
      <c r="F18606">
        <v>100</v>
      </c>
      <c r="G18606">
        <v>231121</v>
      </c>
      <c r="H18606">
        <v>4441</v>
      </c>
      <c r="I18606" t="s">
        <v>109</v>
      </c>
      <c r="J18606">
        <v>100</v>
      </c>
      <c r="K18606">
        <v>0</v>
      </c>
      <c r="L18606">
        <v>13501</v>
      </c>
      <c r="M18606" t="s">
        <v>20</v>
      </c>
      <c r="N18606" t="str">
        <f t="shared" si="254"/>
        <v xml:space="preserve">11943       </v>
      </c>
      <c r="O18606">
        <v>231205</v>
      </c>
    </row>
    <row r="18607" spans="1:15" x14ac:dyDescent="0.25">
      <c r="A18607" t="s">
        <v>16</v>
      </c>
      <c r="B18607" t="s">
        <v>3221</v>
      </c>
      <c r="C18607">
        <v>16659</v>
      </c>
      <c r="D18607" t="s">
        <v>3366</v>
      </c>
      <c r="E18607" t="s">
        <v>3367</v>
      </c>
      <c r="F18607">
        <v>400</v>
      </c>
      <c r="G18607">
        <v>231121</v>
      </c>
      <c r="H18607">
        <v>4441</v>
      </c>
      <c r="I18607" t="s">
        <v>109</v>
      </c>
      <c r="J18607">
        <v>400</v>
      </c>
      <c r="K18607">
        <v>0</v>
      </c>
      <c r="L18607">
        <v>14861</v>
      </c>
      <c r="M18607" t="s">
        <v>785</v>
      </c>
      <c r="N18607" t="str">
        <f t="shared" si="254"/>
        <v xml:space="preserve">11943       </v>
      </c>
      <c r="O18607">
        <v>231205</v>
      </c>
    </row>
    <row r="18608" spans="1:15" x14ac:dyDescent="0.25">
      <c r="A18608" t="s">
        <v>16</v>
      </c>
      <c r="B18608" t="s">
        <v>3221</v>
      </c>
      <c r="C18608">
        <v>16659</v>
      </c>
      <c r="D18608" t="s">
        <v>3366</v>
      </c>
      <c r="E18608" t="s">
        <v>3367</v>
      </c>
      <c r="F18608">
        <v>405</v>
      </c>
      <c r="G18608">
        <v>231121</v>
      </c>
      <c r="H18608">
        <v>4441</v>
      </c>
      <c r="I18608" t="s">
        <v>109</v>
      </c>
      <c r="J18608">
        <v>405</v>
      </c>
      <c r="K18608">
        <v>0</v>
      </c>
      <c r="L18608">
        <v>17862</v>
      </c>
      <c r="M18608" t="s">
        <v>319</v>
      </c>
      <c r="N18608" t="str">
        <f t="shared" si="254"/>
        <v xml:space="preserve">11943       </v>
      </c>
      <c r="O18608">
        <v>231205</v>
      </c>
    </row>
    <row r="18609" spans="1:15" x14ac:dyDescent="0.25">
      <c r="A18609" t="s">
        <v>16</v>
      </c>
      <c r="B18609" t="s">
        <v>3221</v>
      </c>
      <c r="C18609">
        <v>16659</v>
      </c>
      <c r="D18609" t="s">
        <v>3366</v>
      </c>
      <c r="E18609" t="s">
        <v>3367</v>
      </c>
      <c r="F18609">
        <v>450</v>
      </c>
      <c r="G18609">
        <v>231121</v>
      </c>
      <c r="H18609">
        <v>4441</v>
      </c>
      <c r="I18609" t="s">
        <v>109</v>
      </c>
      <c r="J18609">
        <v>450</v>
      </c>
      <c r="K18609">
        <v>0</v>
      </c>
      <c r="L18609">
        <v>17912</v>
      </c>
      <c r="M18609" t="s">
        <v>419</v>
      </c>
      <c r="N18609" t="str">
        <f t="shared" si="254"/>
        <v xml:space="preserve">11943       </v>
      </c>
      <c r="O18609">
        <v>231205</v>
      </c>
    </row>
    <row r="18610" spans="1:15" x14ac:dyDescent="0.25">
      <c r="A18610" t="s">
        <v>16</v>
      </c>
      <c r="B18610" t="s">
        <v>3221</v>
      </c>
      <c r="C18610">
        <v>16659</v>
      </c>
      <c r="D18610" t="s">
        <v>3366</v>
      </c>
      <c r="E18610" t="s">
        <v>3367</v>
      </c>
      <c r="F18610">
        <v>195</v>
      </c>
      <c r="G18610">
        <v>231121</v>
      </c>
      <c r="H18610">
        <v>4441</v>
      </c>
      <c r="I18610" t="s">
        <v>109</v>
      </c>
      <c r="J18610">
        <v>195</v>
      </c>
      <c r="K18610">
        <v>0</v>
      </c>
      <c r="L18610">
        <v>17974</v>
      </c>
      <c r="M18610" t="s">
        <v>460</v>
      </c>
      <c r="N18610" t="str">
        <f t="shared" si="254"/>
        <v xml:space="preserve">11943       </v>
      </c>
      <c r="O18610">
        <v>231205</v>
      </c>
    </row>
    <row r="18611" spans="1:15" x14ac:dyDescent="0.25">
      <c r="A18611" t="s">
        <v>16</v>
      </c>
      <c r="B18611" t="s">
        <v>3221</v>
      </c>
      <c r="C18611">
        <v>16659</v>
      </c>
      <c r="D18611" t="s">
        <v>3366</v>
      </c>
      <c r="E18611" t="s">
        <v>3367</v>
      </c>
      <c r="F18611">
        <v>750</v>
      </c>
      <c r="G18611">
        <v>231121</v>
      </c>
      <c r="H18611">
        <v>4441</v>
      </c>
      <c r="I18611" t="s">
        <v>109</v>
      </c>
      <c r="J18611">
        <v>750</v>
      </c>
      <c r="K18611">
        <v>0</v>
      </c>
      <c r="L18611">
        <v>58601</v>
      </c>
      <c r="M18611" t="s">
        <v>251</v>
      </c>
      <c r="N18611" t="str">
        <f t="shared" si="254"/>
        <v xml:space="preserve">11943       </v>
      </c>
      <c r="O18611">
        <v>231205</v>
      </c>
    </row>
    <row r="18612" spans="1:15" x14ac:dyDescent="0.25">
      <c r="A18612" t="s">
        <v>16</v>
      </c>
      <c r="B18612" t="s">
        <v>3221</v>
      </c>
      <c r="C18612">
        <v>16659</v>
      </c>
      <c r="D18612" t="s">
        <v>3366</v>
      </c>
      <c r="E18612" t="s">
        <v>3367</v>
      </c>
      <c r="F18612">
        <v>200</v>
      </c>
      <c r="G18612">
        <v>231121</v>
      </c>
      <c r="H18612">
        <v>4441</v>
      </c>
      <c r="I18612" t="s">
        <v>109</v>
      </c>
      <c r="J18612">
        <v>200</v>
      </c>
      <c r="K18612">
        <v>0</v>
      </c>
      <c r="L18612">
        <v>59111</v>
      </c>
      <c r="M18612" t="s">
        <v>1010</v>
      </c>
      <c r="N18612" t="str">
        <f t="shared" si="254"/>
        <v xml:space="preserve">11943       </v>
      </c>
      <c r="O18612">
        <v>231205</v>
      </c>
    </row>
    <row r="18613" spans="1:15" x14ac:dyDescent="0.25">
      <c r="A18613" t="s">
        <v>16</v>
      </c>
      <c r="B18613" t="s">
        <v>3221</v>
      </c>
      <c r="C18613">
        <v>16659</v>
      </c>
      <c r="D18613" t="s">
        <v>3366</v>
      </c>
      <c r="E18613" t="s">
        <v>3367</v>
      </c>
      <c r="F18613">
        <v>200</v>
      </c>
      <c r="G18613">
        <v>231121</v>
      </c>
      <c r="H18613">
        <v>4441</v>
      </c>
      <c r="I18613" t="s">
        <v>109</v>
      </c>
      <c r="J18613">
        <v>200</v>
      </c>
      <c r="K18613">
        <v>0</v>
      </c>
      <c r="L18613">
        <v>59112</v>
      </c>
      <c r="M18613" t="s">
        <v>182</v>
      </c>
      <c r="N18613" t="str">
        <f t="shared" si="254"/>
        <v xml:space="preserve">11943       </v>
      </c>
      <c r="O18613">
        <v>231205</v>
      </c>
    </row>
    <row r="18614" spans="1:15" x14ac:dyDescent="0.25">
      <c r="A18614" t="s">
        <v>16</v>
      </c>
      <c r="B18614" t="s">
        <v>3221</v>
      </c>
      <c r="C18614">
        <v>16659</v>
      </c>
      <c r="D18614" t="s">
        <v>3366</v>
      </c>
      <c r="E18614" t="s">
        <v>3367</v>
      </c>
      <c r="F18614">
        <v>200</v>
      </c>
      <c r="G18614">
        <v>231121</v>
      </c>
      <c r="H18614">
        <v>4441</v>
      </c>
      <c r="I18614" t="s">
        <v>109</v>
      </c>
      <c r="J18614">
        <v>200</v>
      </c>
      <c r="K18614">
        <v>0</v>
      </c>
      <c r="L18614">
        <v>69111</v>
      </c>
      <c r="M18614" t="s">
        <v>471</v>
      </c>
      <c r="N18614" t="str">
        <f t="shared" si="254"/>
        <v xml:space="preserve">11943       </v>
      </c>
      <c r="O18614">
        <v>231205</v>
      </c>
    </row>
    <row r="18615" spans="1:15" x14ac:dyDescent="0.25">
      <c r="A18615" t="s">
        <v>16</v>
      </c>
      <c r="B18615" t="s">
        <v>3221</v>
      </c>
      <c r="C18615">
        <v>5946</v>
      </c>
      <c r="D18615" t="s">
        <v>3366</v>
      </c>
      <c r="E18615" t="s">
        <v>3367</v>
      </c>
      <c r="F18615">
        <v>112.5</v>
      </c>
      <c r="G18615">
        <v>230425</v>
      </c>
      <c r="H18615">
        <v>4440</v>
      </c>
      <c r="I18615" t="s">
        <v>250</v>
      </c>
      <c r="J18615">
        <v>112.5</v>
      </c>
      <c r="K18615">
        <v>0</v>
      </c>
      <c r="L18615">
        <v>17131</v>
      </c>
      <c r="M18615" t="s">
        <v>64</v>
      </c>
      <c r="N18615" t="str">
        <f>"11707       "</f>
        <v xml:space="preserve">11707       </v>
      </c>
      <c r="O18615">
        <v>230504</v>
      </c>
    </row>
    <row r="18616" spans="1:15" x14ac:dyDescent="0.25">
      <c r="A18616" t="s">
        <v>16</v>
      </c>
      <c r="B18616" t="s">
        <v>3221</v>
      </c>
      <c r="C18616">
        <v>5946</v>
      </c>
      <c r="D18616" t="s">
        <v>3366</v>
      </c>
      <c r="E18616" t="s">
        <v>3367</v>
      </c>
      <c r="F18616">
        <v>112.5</v>
      </c>
      <c r="G18616">
        <v>230425</v>
      </c>
      <c r="H18616">
        <v>4440</v>
      </c>
      <c r="I18616" t="s">
        <v>250</v>
      </c>
      <c r="J18616">
        <v>112.5</v>
      </c>
      <c r="K18616">
        <v>0</v>
      </c>
      <c r="L18616">
        <v>17711</v>
      </c>
      <c r="M18616" t="s">
        <v>65</v>
      </c>
      <c r="N18616" t="str">
        <f>"11707       "</f>
        <v xml:space="preserve">11707       </v>
      </c>
      <c r="O18616">
        <v>230504</v>
      </c>
    </row>
    <row r="18617" spans="1:15" x14ac:dyDescent="0.25">
      <c r="A18617" t="s">
        <v>16</v>
      </c>
      <c r="B18617" t="s">
        <v>3221</v>
      </c>
      <c r="C18617">
        <v>5946</v>
      </c>
      <c r="D18617" t="s">
        <v>3366</v>
      </c>
      <c r="E18617" t="s">
        <v>3367</v>
      </c>
      <c r="F18617">
        <v>225</v>
      </c>
      <c r="G18617">
        <v>230425</v>
      </c>
      <c r="H18617">
        <v>4440</v>
      </c>
      <c r="I18617" t="s">
        <v>250</v>
      </c>
      <c r="J18617">
        <v>225</v>
      </c>
      <c r="K18617">
        <v>0</v>
      </c>
      <c r="L18617">
        <v>17808</v>
      </c>
      <c r="M18617" t="s">
        <v>322</v>
      </c>
      <c r="N18617" t="str">
        <f>"11707       "</f>
        <v xml:space="preserve">11707       </v>
      </c>
      <c r="O18617">
        <v>230504</v>
      </c>
    </row>
    <row r="18618" spans="1:15" x14ac:dyDescent="0.25">
      <c r="A18618" t="s">
        <v>16</v>
      </c>
      <c r="B18618" t="s">
        <v>3221</v>
      </c>
      <c r="C18618">
        <v>6226</v>
      </c>
      <c r="D18618" t="s">
        <v>3366</v>
      </c>
      <c r="E18618" t="s">
        <v>3367</v>
      </c>
      <c r="F18618">
        <v>66</v>
      </c>
      <c r="G18618">
        <v>230503</v>
      </c>
      <c r="H18618">
        <v>4440</v>
      </c>
      <c r="I18618" t="s">
        <v>250</v>
      </c>
      <c r="J18618">
        <v>66</v>
      </c>
      <c r="K18618">
        <v>0</v>
      </c>
      <c r="L18618">
        <v>11605</v>
      </c>
      <c r="M18618" t="s">
        <v>106</v>
      </c>
      <c r="N18618" t="str">
        <f>"11711       "</f>
        <v xml:space="preserve">11711       </v>
      </c>
      <c r="O18618">
        <v>230509</v>
      </c>
    </row>
    <row r="18619" spans="1:15" x14ac:dyDescent="0.25">
      <c r="A18619" t="s">
        <v>16</v>
      </c>
      <c r="B18619" t="s">
        <v>3221</v>
      </c>
      <c r="C18619">
        <v>6690</v>
      </c>
      <c r="D18619" t="s">
        <v>3366</v>
      </c>
      <c r="E18619" t="s">
        <v>3367</v>
      </c>
      <c r="F18619">
        <v>279.25</v>
      </c>
      <c r="G18619">
        <v>230509</v>
      </c>
      <c r="H18619">
        <v>4440</v>
      </c>
      <c r="I18619" t="s">
        <v>250</v>
      </c>
      <c r="J18619">
        <v>279.25</v>
      </c>
      <c r="K18619">
        <v>0</v>
      </c>
      <c r="L18619">
        <v>49702</v>
      </c>
      <c r="M18619" t="s">
        <v>584</v>
      </c>
      <c r="N18619" t="str">
        <f>"11730       "</f>
        <v xml:space="preserve">11730       </v>
      </c>
      <c r="O18619">
        <v>230517</v>
      </c>
    </row>
    <row r="18620" spans="1:15" x14ac:dyDescent="0.25">
      <c r="A18620" t="s">
        <v>16</v>
      </c>
      <c r="B18620" t="s">
        <v>3221</v>
      </c>
      <c r="C18620">
        <v>11948</v>
      </c>
      <c r="D18620" t="s">
        <v>3366</v>
      </c>
      <c r="E18620" t="s">
        <v>3367</v>
      </c>
      <c r="F18620">
        <v>760</v>
      </c>
      <c r="G18620">
        <v>230907</v>
      </c>
      <c r="H18620">
        <v>4440</v>
      </c>
      <c r="I18620" t="s">
        <v>250</v>
      </c>
      <c r="J18620">
        <v>760</v>
      </c>
      <c r="K18620">
        <v>0</v>
      </c>
      <c r="L18620">
        <v>11605</v>
      </c>
      <c r="M18620" t="s">
        <v>106</v>
      </c>
      <c r="N18620" t="str">
        <f>"11823       "</f>
        <v xml:space="preserve">11823       </v>
      </c>
      <c r="O18620">
        <v>230912</v>
      </c>
    </row>
    <row r="18621" spans="1:15" x14ac:dyDescent="0.25">
      <c r="A18621" t="s">
        <v>16</v>
      </c>
      <c r="B18621" t="s">
        <v>3221</v>
      </c>
      <c r="C18621">
        <v>16659</v>
      </c>
      <c r="D18621" t="s">
        <v>3366</v>
      </c>
      <c r="E18621" t="s">
        <v>3367</v>
      </c>
      <c r="F18621">
        <v>198</v>
      </c>
      <c r="G18621">
        <v>231121</v>
      </c>
      <c r="H18621">
        <v>4440</v>
      </c>
      <c r="I18621" t="s">
        <v>250</v>
      </c>
      <c r="J18621">
        <v>198</v>
      </c>
      <c r="K18621">
        <v>0</v>
      </c>
      <c r="L18621">
        <v>18994</v>
      </c>
      <c r="M18621" t="s">
        <v>1940</v>
      </c>
      <c r="N18621" t="str">
        <f>"11943       "</f>
        <v xml:space="preserve">11943       </v>
      </c>
      <c r="O18621">
        <v>231205</v>
      </c>
    </row>
    <row r="18622" spans="1:15" x14ac:dyDescent="0.25">
      <c r="A18622" t="s">
        <v>16</v>
      </c>
      <c r="B18622" t="s">
        <v>3221</v>
      </c>
      <c r="C18622">
        <v>7490</v>
      </c>
      <c r="D18622" t="s">
        <v>3696</v>
      </c>
      <c r="E18622" t="s">
        <v>3483</v>
      </c>
      <c r="F18622">
        <v>240</v>
      </c>
      <c r="G18622">
        <v>230525</v>
      </c>
      <c r="H18622">
        <v>4440</v>
      </c>
      <c r="I18622" t="s">
        <v>250</v>
      </c>
      <c r="J18622">
        <v>240</v>
      </c>
      <c r="K18622">
        <v>0</v>
      </c>
      <c r="L18622">
        <v>59702</v>
      </c>
      <c r="M18622" t="s">
        <v>328</v>
      </c>
      <c r="N18622" t="str">
        <f>"28902       "</f>
        <v xml:space="preserve">28902       </v>
      </c>
      <c r="O18622">
        <v>230531</v>
      </c>
    </row>
    <row r="18623" spans="1:15" x14ac:dyDescent="0.25">
      <c r="A18623" t="s">
        <v>16</v>
      </c>
      <c r="B18623" t="s">
        <v>3221</v>
      </c>
      <c r="C18623">
        <v>7845</v>
      </c>
      <c r="D18623" t="s">
        <v>3697</v>
      </c>
      <c r="E18623" t="s">
        <v>2132</v>
      </c>
      <c r="F18623">
        <v>590</v>
      </c>
      <c r="G18623">
        <v>230530</v>
      </c>
      <c r="H18623">
        <v>4441</v>
      </c>
      <c r="I18623" t="s">
        <v>109</v>
      </c>
      <c r="J18623">
        <v>590</v>
      </c>
      <c r="K18623">
        <v>0</v>
      </c>
      <c r="L18623">
        <v>69702</v>
      </c>
      <c r="M18623" t="s">
        <v>489</v>
      </c>
      <c r="N18623" t="str">
        <f>"6773        "</f>
        <v xml:space="preserve">6773        </v>
      </c>
      <c r="O18623">
        <v>230605</v>
      </c>
    </row>
    <row r="18624" spans="1:15" x14ac:dyDescent="0.25">
      <c r="A18624" t="s">
        <v>16</v>
      </c>
      <c r="B18624" t="s">
        <v>3221</v>
      </c>
      <c r="C18624">
        <v>7845</v>
      </c>
      <c r="D18624" t="s">
        <v>3697</v>
      </c>
      <c r="E18624" t="s">
        <v>2132</v>
      </c>
      <c r="F18624">
        <v>590</v>
      </c>
      <c r="G18624">
        <v>230530</v>
      </c>
      <c r="H18624">
        <v>4441</v>
      </c>
      <c r="I18624" t="s">
        <v>109</v>
      </c>
      <c r="J18624">
        <v>590</v>
      </c>
      <c r="K18624">
        <v>0</v>
      </c>
      <c r="L18624">
        <v>69704</v>
      </c>
      <c r="M18624" t="s">
        <v>325</v>
      </c>
      <c r="N18624" t="str">
        <f>"6773        "</f>
        <v xml:space="preserve">6773        </v>
      </c>
      <c r="O18624">
        <v>230605</v>
      </c>
    </row>
    <row r="18625" spans="1:15" x14ac:dyDescent="0.25">
      <c r="A18625" t="s">
        <v>16</v>
      </c>
      <c r="B18625" t="s">
        <v>3221</v>
      </c>
      <c r="C18625">
        <v>5610</v>
      </c>
      <c r="D18625" t="s">
        <v>1872</v>
      </c>
      <c r="E18625" t="s">
        <v>1873</v>
      </c>
      <c r="F18625">
        <v>160</v>
      </c>
      <c r="G18625">
        <v>230421</v>
      </c>
      <c r="H18625">
        <v>4440</v>
      </c>
      <c r="I18625" t="s">
        <v>250</v>
      </c>
      <c r="J18625">
        <v>198.4</v>
      </c>
      <c r="K18625">
        <v>38.4</v>
      </c>
      <c r="L18625">
        <v>11903</v>
      </c>
      <c r="M18625" t="s">
        <v>406</v>
      </c>
      <c r="N18625" t="str">
        <f>"220211858   "</f>
        <v xml:space="preserve">220211858   </v>
      </c>
      <c r="O18625">
        <v>230428</v>
      </c>
    </row>
    <row r="18626" spans="1:15" x14ac:dyDescent="0.25">
      <c r="A18626" t="s">
        <v>16</v>
      </c>
      <c r="B18626" t="s">
        <v>3221</v>
      </c>
      <c r="C18626">
        <v>5885</v>
      </c>
      <c r="D18626" t="s">
        <v>1872</v>
      </c>
      <c r="E18626" t="s">
        <v>1873</v>
      </c>
      <c r="F18626">
        <v>250</v>
      </c>
      <c r="G18626">
        <v>230421</v>
      </c>
      <c r="H18626">
        <v>4440</v>
      </c>
      <c r="I18626" t="s">
        <v>250</v>
      </c>
      <c r="J18626">
        <v>310</v>
      </c>
      <c r="K18626">
        <v>60</v>
      </c>
      <c r="L18626">
        <v>11903</v>
      </c>
      <c r="M18626" t="s">
        <v>406</v>
      </c>
      <c r="N18626" t="str">
        <f>"220211850   "</f>
        <v xml:space="preserve">220211850   </v>
      </c>
      <c r="O18626">
        <v>230503</v>
      </c>
    </row>
    <row r="18627" spans="1:15" x14ac:dyDescent="0.25">
      <c r="A18627" t="s">
        <v>16</v>
      </c>
      <c r="B18627" t="s">
        <v>3221</v>
      </c>
      <c r="C18627">
        <v>7597</v>
      </c>
      <c r="D18627" t="s">
        <v>1872</v>
      </c>
      <c r="E18627" t="s">
        <v>1873</v>
      </c>
      <c r="F18627">
        <v>250</v>
      </c>
      <c r="G18627">
        <v>230421</v>
      </c>
      <c r="H18627">
        <v>4440</v>
      </c>
      <c r="I18627" t="s">
        <v>250</v>
      </c>
      <c r="J18627">
        <v>310</v>
      </c>
      <c r="K18627">
        <v>60</v>
      </c>
      <c r="L18627">
        <v>11903</v>
      </c>
      <c r="M18627" t="s">
        <v>406</v>
      </c>
      <c r="N18627" t="str">
        <f>"220211699   "</f>
        <v xml:space="preserve">220211699   </v>
      </c>
      <c r="O18627">
        <v>230601</v>
      </c>
    </row>
    <row r="18628" spans="1:15" x14ac:dyDescent="0.25">
      <c r="A18628" t="s">
        <v>16</v>
      </c>
      <c r="B18628" t="s">
        <v>3221</v>
      </c>
      <c r="C18628">
        <v>7994</v>
      </c>
      <c r="D18628" t="s">
        <v>3364</v>
      </c>
      <c r="E18628" t="s">
        <v>3365</v>
      </c>
      <c r="F18628">
        <v>120</v>
      </c>
      <c r="G18628">
        <v>230602</v>
      </c>
      <c r="H18628">
        <v>4346</v>
      </c>
      <c r="I18628" t="s">
        <v>197</v>
      </c>
      <c r="J18628">
        <v>148.80000000000001</v>
      </c>
      <c r="K18628">
        <v>28.8</v>
      </c>
      <c r="L18628">
        <v>17737</v>
      </c>
      <c r="M18628" t="s">
        <v>279</v>
      </c>
      <c r="N18628" t="str">
        <f>"7239        "</f>
        <v xml:space="preserve">7239        </v>
      </c>
      <c r="O18628">
        <v>230606</v>
      </c>
    </row>
    <row r="18629" spans="1:15" x14ac:dyDescent="0.25">
      <c r="A18629" t="s">
        <v>16</v>
      </c>
      <c r="B18629" t="s">
        <v>3221</v>
      </c>
      <c r="C18629">
        <v>8070</v>
      </c>
      <c r="D18629" t="s">
        <v>3364</v>
      </c>
      <c r="E18629" t="s">
        <v>3365</v>
      </c>
      <c r="F18629">
        <v>57.26</v>
      </c>
      <c r="G18629">
        <v>230602</v>
      </c>
      <c r="H18629">
        <v>4532</v>
      </c>
      <c r="I18629" t="s">
        <v>116</v>
      </c>
      <c r="J18629">
        <v>71</v>
      </c>
      <c r="K18629">
        <v>13.74</v>
      </c>
      <c r="L18629">
        <v>17737</v>
      </c>
      <c r="M18629" t="s">
        <v>279</v>
      </c>
      <c r="N18629" t="str">
        <f>"7240        "</f>
        <v xml:space="preserve">7240        </v>
      </c>
      <c r="O18629">
        <v>230607</v>
      </c>
    </row>
    <row r="18630" spans="1:15" x14ac:dyDescent="0.25">
      <c r="A18630" t="s">
        <v>16</v>
      </c>
      <c r="B18630" t="s">
        <v>3221</v>
      </c>
      <c r="C18630">
        <v>1871</v>
      </c>
      <c r="D18630" t="s">
        <v>3364</v>
      </c>
      <c r="E18630" t="s">
        <v>3365</v>
      </c>
      <c r="F18630">
        <v>22.58</v>
      </c>
      <c r="G18630">
        <v>230214</v>
      </c>
      <c r="H18630">
        <v>4600</v>
      </c>
      <c r="I18630" t="s">
        <v>105</v>
      </c>
      <c r="J18630">
        <v>28</v>
      </c>
      <c r="K18630">
        <v>5.42</v>
      </c>
      <c r="L18630">
        <v>17737</v>
      </c>
      <c r="M18630" t="s">
        <v>279</v>
      </c>
      <c r="N18630" t="str">
        <f>"6926        "</f>
        <v xml:space="preserve">6926        </v>
      </c>
      <c r="O18630">
        <v>230215</v>
      </c>
    </row>
    <row r="18631" spans="1:15" x14ac:dyDescent="0.25">
      <c r="A18631" t="s">
        <v>16</v>
      </c>
      <c r="B18631" t="s">
        <v>3221</v>
      </c>
      <c r="C18631">
        <v>14689</v>
      </c>
      <c r="D18631" t="s">
        <v>3364</v>
      </c>
      <c r="E18631" t="s">
        <v>3365</v>
      </c>
      <c r="F18631">
        <v>12.1</v>
      </c>
      <c r="G18631">
        <v>231022</v>
      </c>
      <c r="H18631">
        <v>4600</v>
      </c>
      <c r="I18631" t="s">
        <v>105</v>
      </c>
      <c r="J18631">
        <v>15</v>
      </c>
      <c r="K18631">
        <v>2.9</v>
      </c>
      <c r="L18631">
        <v>17737</v>
      </c>
      <c r="M18631" t="s">
        <v>279</v>
      </c>
      <c r="N18631" t="str">
        <f>"7321        "</f>
        <v xml:space="preserve">7321        </v>
      </c>
      <c r="O18631">
        <v>231101</v>
      </c>
    </row>
    <row r="18632" spans="1:15" x14ac:dyDescent="0.25">
      <c r="A18632" t="s">
        <v>16</v>
      </c>
      <c r="B18632" t="s">
        <v>3221</v>
      </c>
      <c r="C18632">
        <v>18077</v>
      </c>
      <c r="D18632" t="s">
        <v>3364</v>
      </c>
      <c r="E18632" t="s">
        <v>3365</v>
      </c>
      <c r="F18632">
        <v>125</v>
      </c>
      <c r="G18632">
        <v>231221</v>
      </c>
      <c r="H18632">
        <v>4384</v>
      </c>
      <c r="I18632" t="s">
        <v>1374</v>
      </c>
      <c r="J18632">
        <v>155</v>
      </c>
      <c r="K18632">
        <v>30</v>
      </c>
      <c r="L18632">
        <v>17737</v>
      </c>
      <c r="M18632" t="s">
        <v>279</v>
      </c>
      <c r="N18632" t="str">
        <f>"7351        "</f>
        <v xml:space="preserve">7351        </v>
      </c>
      <c r="O18632">
        <v>240102</v>
      </c>
    </row>
    <row r="18633" spans="1:15" x14ac:dyDescent="0.25">
      <c r="A18633" t="s">
        <v>16</v>
      </c>
      <c r="B18633" t="s">
        <v>3221</v>
      </c>
      <c r="C18633">
        <v>1823</v>
      </c>
      <c r="D18633" t="s">
        <v>1212</v>
      </c>
      <c r="E18633" t="s">
        <v>1213</v>
      </c>
      <c r="F18633">
        <v>450</v>
      </c>
      <c r="G18633">
        <v>230209</v>
      </c>
      <c r="H18633">
        <v>4470</v>
      </c>
      <c r="I18633" t="s">
        <v>83</v>
      </c>
      <c r="J18633">
        <v>558</v>
      </c>
      <c r="K18633">
        <v>108</v>
      </c>
      <c r="L18633">
        <v>17972</v>
      </c>
      <c r="M18633" t="s">
        <v>248</v>
      </c>
      <c r="N18633" t="str">
        <f>"106356      "</f>
        <v xml:space="preserve">106356      </v>
      </c>
      <c r="O18633">
        <v>230214</v>
      </c>
    </row>
    <row r="18634" spans="1:15" x14ac:dyDescent="0.25">
      <c r="A18634" t="s">
        <v>16</v>
      </c>
      <c r="B18634" t="s">
        <v>3221</v>
      </c>
      <c r="C18634">
        <v>3524</v>
      </c>
      <c r="D18634" t="s">
        <v>1567</v>
      </c>
      <c r="E18634" t="s">
        <v>1568</v>
      </c>
      <c r="F18634">
        <v>839</v>
      </c>
      <c r="G18634">
        <v>230316</v>
      </c>
      <c r="H18634">
        <v>4400</v>
      </c>
      <c r="I18634" t="s">
        <v>348</v>
      </c>
      <c r="J18634">
        <v>1040.3599999999999</v>
      </c>
      <c r="K18634">
        <v>201.36</v>
      </c>
      <c r="L18634">
        <v>69501</v>
      </c>
      <c r="M18634" t="s">
        <v>185</v>
      </c>
      <c r="N18634" t="str">
        <f>"9854        "</f>
        <v xml:space="preserve">9854        </v>
      </c>
      <c r="O18634">
        <v>230316</v>
      </c>
    </row>
    <row r="18635" spans="1:15" x14ac:dyDescent="0.25">
      <c r="A18635" t="s">
        <v>16</v>
      </c>
      <c r="B18635" t="s">
        <v>3221</v>
      </c>
      <c r="C18635">
        <v>2150</v>
      </c>
      <c r="D18635" t="s">
        <v>1308</v>
      </c>
      <c r="E18635" t="s">
        <v>1309</v>
      </c>
      <c r="F18635">
        <v>16.690000000000001</v>
      </c>
      <c r="G18635">
        <v>230217</v>
      </c>
      <c r="H18635">
        <v>4600</v>
      </c>
      <c r="I18635" t="s">
        <v>105</v>
      </c>
      <c r="J18635">
        <v>20.7</v>
      </c>
      <c r="K18635">
        <v>4.01</v>
      </c>
      <c r="L18635">
        <v>17950</v>
      </c>
      <c r="M18635" t="s">
        <v>86</v>
      </c>
      <c r="N18635" t="str">
        <f>"23452       "</f>
        <v xml:space="preserve">23452       </v>
      </c>
      <c r="O18635">
        <v>230221</v>
      </c>
    </row>
    <row r="18636" spans="1:15" x14ac:dyDescent="0.25">
      <c r="A18636" t="s">
        <v>16</v>
      </c>
      <c r="B18636" t="s">
        <v>3221</v>
      </c>
      <c r="C18636">
        <v>2150</v>
      </c>
      <c r="D18636" t="s">
        <v>1308</v>
      </c>
      <c r="E18636" t="s">
        <v>1309</v>
      </c>
      <c r="F18636">
        <v>29.81</v>
      </c>
      <c r="G18636">
        <v>230217</v>
      </c>
      <c r="H18636">
        <v>4600</v>
      </c>
      <c r="I18636" t="s">
        <v>105</v>
      </c>
      <c r="J18636">
        <v>36.96</v>
      </c>
      <c r="K18636">
        <v>7.15</v>
      </c>
      <c r="L18636">
        <v>17950</v>
      </c>
      <c r="M18636" t="s">
        <v>86</v>
      </c>
      <c r="N18636" t="str">
        <f>"23452       "</f>
        <v xml:space="preserve">23452       </v>
      </c>
      <c r="O18636">
        <v>230221</v>
      </c>
    </row>
    <row r="18637" spans="1:15" x14ac:dyDescent="0.25">
      <c r="A18637" t="s">
        <v>16</v>
      </c>
      <c r="B18637" t="s">
        <v>3221</v>
      </c>
      <c r="C18637">
        <v>2150</v>
      </c>
      <c r="D18637" t="s">
        <v>1308</v>
      </c>
      <c r="E18637" t="s">
        <v>1309</v>
      </c>
      <c r="F18637">
        <v>19.52</v>
      </c>
      <c r="G18637">
        <v>230217</v>
      </c>
      <c r="H18637">
        <v>4600</v>
      </c>
      <c r="I18637" t="s">
        <v>105</v>
      </c>
      <c r="J18637">
        <v>24.2</v>
      </c>
      <c r="K18637">
        <v>4.68</v>
      </c>
      <c r="L18637">
        <v>59502</v>
      </c>
      <c r="M18637" t="s">
        <v>70</v>
      </c>
      <c r="N18637" t="str">
        <f>"23452       "</f>
        <v xml:space="preserve">23452       </v>
      </c>
      <c r="O18637">
        <v>230221</v>
      </c>
    </row>
    <row r="18638" spans="1:15" x14ac:dyDescent="0.25">
      <c r="A18638" t="s">
        <v>16</v>
      </c>
      <c r="B18638" t="s">
        <v>3221</v>
      </c>
      <c r="C18638">
        <v>3063</v>
      </c>
      <c r="D18638" t="s">
        <v>1308</v>
      </c>
      <c r="E18638" t="s">
        <v>1309</v>
      </c>
      <c r="F18638">
        <v>9.4700000000000006</v>
      </c>
      <c r="G18638">
        <v>230224</v>
      </c>
      <c r="H18638">
        <v>4600</v>
      </c>
      <c r="I18638" t="s">
        <v>105</v>
      </c>
      <c r="J18638">
        <v>11.74</v>
      </c>
      <c r="K18638">
        <v>2.27</v>
      </c>
      <c r="L18638">
        <v>17523</v>
      </c>
      <c r="M18638" t="s">
        <v>134</v>
      </c>
      <c r="N18638" t="str">
        <f>"23519       "</f>
        <v xml:space="preserve">23519       </v>
      </c>
      <c r="O18638">
        <v>230308</v>
      </c>
    </row>
    <row r="18639" spans="1:15" x14ac:dyDescent="0.25">
      <c r="A18639" t="s">
        <v>16</v>
      </c>
      <c r="B18639" t="s">
        <v>3221</v>
      </c>
      <c r="C18639">
        <v>3063</v>
      </c>
      <c r="D18639" t="s">
        <v>1308</v>
      </c>
      <c r="E18639" t="s">
        <v>1309</v>
      </c>
      <c r="F18639">
        <v>67.77</v>
      </c>
      <c r="G18639">
        <v>230224</v>
      </c>
      <c r="H18639">
        <v>4600</v>
      </c>
      <c r="I18639" t="s">
        <v>105</v>
      </c>
      <c r="J18639">
        <v>84.04</v>
      </c>
      <c r="K18639">
        <v>16.27</v>
      </c>
      <c r="L18639">
        <v>56560</v>
      </c>
      <c r="M18639" t="s">
        <v>654</v>
      </c>
      <c r="N18639" t="str">
        <f>"23519       "</f>
        <v xml:space="preserve">23519       </v>
      </c>
      <c r="O18639">
        <v>230308</v>
      </c>
    </row>
    <row r="18640" spans="1:15" x14ac:dyDescent="0.25">
      <c r="A18640" t="s">
        <v>16</v>
      </c>
      <c r="B18640" t="s">
        <v>3221</v>
      </c>
      <c r="C18640">
        <v>3076</v>
      </c>
      <c r="D18640" t="s">
        <v>1308</v>
      </c>
      <c r="E18640" t="s">
        <v>1309</v>
      </c>
      <c r="F18640">
        <v>86.11</v>
      </c>
      <c r="G18640">
        <v>230228</v>
      </c>
      <c r="H18640">
        <v>4600</v>
      </c>
      <c r="I18640" t="s">
        <v>105</v>
      </c>
      <c r="J18640">
        <v>106.78</v>
      </c>
      <c r="K18640">
        <v>20.67</v>
      </c>
      <c r="L18640">
        <v>56560</v>
      </c>
      <c r="M18640" t="s">
        <v>654</v>
      </c>
      <c r="N18640" t="str">
        <f>"23585       "</f>
        <v xml:space="preserve">23585       </v>
      </c>
      <c r="O18640">
        <v>230309</v>
      </c>
    </row>
    <row r="18641" spans="1:15" x14ac:dyDescent="0.25">
      <c r="A18641" t="s">
        <v>16</v>
      </c>
      <c r="B18641" t="s">
        <v>3221</v>
      </c>
      <c r="C18641">
        <v>7092</v>
      </c>
      <c r="D18641" t="s">
        <v>1308</v>
      </c>
      <c r="E18641" t="s">
        <v>1309</v>
      </c>
      <c r="F18641">
        <v>151.30000000000001</v>
      </c>
      <c r="G18641">
        <v>230522</v>
      </c>
      <c r="H18641">
        <v>4600</v>
      </c>
      <c r="I18641" t="s">
        <v>105</v>
      </c>
      <c r="J18641">
        <v>187.61</v>
      </c>
      <c r="K18641">
        <v>36.31</v>
      </c>
      <c r="L18641">
        <v>59504</v>
      </c>
      <c r="M18641" t="s">
        <v>71</v>
      </c>
      <c r="N18641" t="str">
        <f>"24279       "</f>
        <v xml:space="preserve">24279       </v>
      </c>
      <c r="O18641">
        <v>230525</v>
      </c>
    </row>
    <row r="18642" spans="1:15" x14ac:dyDescent="0.25">
      <c r="A18642" t="s">
        <v>16</v>
      </c>
      <c r="B18642" t="s">
        <v>3221</v>
      </c>
      <c r="C18642">
        <v>7309</v>
      </c>
      <c r="D18642" t="s">
        <v>1308</v>
      </c>
      <c r="E18642" t="s">
        <v>1309</v>
      </c>
      <c r="F18642">
        <v>45.1</v>
      </c>
      <c r="G18642">
        <v>230515</v>
      </c>
      <c r="H18642">
        <v>4600</v>
      </c>
      <c r="I18642" t="s">
        <v>105</v>
      </c>
      <c r="J18642">
        <v>55.92</v>
      </c>
      <c r="K18642">
        <v>10.82</v>
      </c>
      <c r="L18642">
        <v>56560</v>
      </c>
      <c r="M18642" t="s">
        <v>654</v>
      </c>
      <c r="N18642" t="str">
        <f>"24227       "</f>
        <v xml:space="preserve">24227       </v>
      </c>
      <c r="O18642">
        <v>230529</v>
      </c>
    </row>
    <row r="18643" spans="1:15" x14ac:dyDescent="0.25">
      <c r="A18643" t="s">
        <v>16</v>
      </c>
      <c r="B18643" t="s">
        <v>3221</v>
      </c>
      <c r="C18643">
        <v>11028</v>
      </c>
      <c r="D18643" t="s">
        <v>1308</v>
      </c>
      <c r="E18643" t="s">
        <v>1309</v>
      </c>
      <c r="F18643">
        <v>99.71</v>
      </c>
      <c r="G18643">
        <v>230825</v>
      </c>
      <c r="H18643">
        <v>4600</v>
      </c>
      <c r="I18643" t="s">
        <v>105</v>
      </c>
      <c r="J18643">
        <v>123.64</v>
      </c>
      <c r="K18643">
        <v>23.93</v>
      </c>
      <c r="L18643">
        <v>59504</v>
      </c>
      <c r="M18643" t="s">
        <v>71</v>
      </c>
      <c r="N18643" t="str">
        <f>"25110       "</f>
        <v xml:space="preserve">25110       </v>
      </c>
      <c r="O18643">
        <v>230828</v>
      </c>
    </row>
    <row r="18644" spans="1:15" x14ac:dyDescent="0.25">
      <c r="A18644" t="s">
        <v>16</v>
      </c>
      <c r="B18644" t="s">
        <v>3221</v>
      </c>
      <c r="C18644">
        <v>12220</v>
      </c>
      <c r="D18644" t="s">
        <v>1308</v>
      </c>
      <c r="E18644" t="s">
        <v>1309</v>
      </c>
      <c r="F18644">
        <v>44.16</v>
      </c>
      <c r="G18644">
        <v>230908</v>
      </c>
      <c r="H18644">
        <v>4600</v>
      </c>
      <c r="I18644" t="s">
        <v>105</v>
      </c>
      <c r="J18644">
        <v>54.76</v>
      </c>
      <c r="K18644">
        <v>10.6</v>
      </c>
      <c r="L18644">
        <v>59504</v>
      </c>
      <c r="M18644" t="s">
        <v>71</v>
      </c>
      <c r="N18644" t="str">
        <f>"25233       "</f>
        <v xml:space="preserve">25233       </v>
      </c>
      <c r="O18644">
        <v>230915</v>
      </c>
    </row>
    <row r="18645" spans="1:15" x14ac:dyDescent="0.25">
      <c r="A18645" t="s">
        <v>16</v>
      </c>
      <c r="B18645" t="s">
        <v>3221</v>
      </c>
      <c r="C18645">
        <v>12736</v>
      </c>
      <c r="D18645" t="s">
        <v>1308</v>
      </c>
      <c r="E18645" t="s">
        <v>1309</v>
      </c>
      <c r="F18645">
        <v>36.119999999999997</v>
      </c>
      <c r="G18645">
        <v>230922</v>
      </c>
      <c r="H18645">
        <v>4600</v>
      </c>
      <c r="I18645" t="s">
        <v>105</v>
      </c>
      <c r="J18645">
        <v>44.79</v>
      </c>
      <c r="K18645">
        <v>8.67</v>
      </c>
      <c r="L18645">
        <v>59504</v>
      </c>
      <c r="M18645" t="s">
        <v>71</v>
      </c>
      <c r="N18645" t="str">
        <f>"25379       "</f>
        <v xml:space="preserve">25379       </v>
      </c>
      <c r="O18645">
        <v>230925</v>
      </c>
    </row>
    <row r="18646" spans="1:15" x14ac:dyDescent="0.25">
      <c r="A18646" t="s">
        <v>16</v>
      </c>
      <c r="B18646" t="s">
        <v>3221</v>
      </c>
      <c r="C18646">
        <v>13144</v>
      </c>
      <c r="D18646" t="s">
        <v>1308</v>
      </c>
      <c r="E18646" t="s">
        <v>1309</v>
      </c>
      <c r="F18646">
        <v>25.07</v>
      </c>
      <c r="G18646">
        <v>230929</v>
      </c>
      <c r="H18646">
        <v>4600</v>
      </c>
      <c r="I18646" t="s">
        <v>105</v>
      </c>
      <c r="J18646">
        <v>31.09</v>
      </c>
      <c r="K18646">
        <v>6.02</v>
      </c>
      <c r="L18646">
        <v>59504</v>
      </c>
      <c r="M18646" t="s">
        <v>71</v>
      </c>
      <c r="N18646" t="str">
        <f>"25440       "</f>
        <v xml:space="preserve">25440       </v>
      </c>
      <c r="O18646">
        <v>231004</v>
      </c>
    </row>
    <row r="18647" spans="1:15" x14ac:dyDescent="0.25">
      <c r="A18647" t="s">
        <v>16</v>
      </c>
      <c r="B18647" t="s">
        <v>3221</v>
      </c>
      <c r="C18647">
        <v>14227</v>
      </c>
      <c r="D18647" t="s">
        <v>1308</v>
      </c>
      <c r="E18647" t="s">
        <v>1309</v>
      </c>
      <c r="F18647">
        <v>38.69</v>
      </c>
      <c r="G18647">
        <v>231013</v>
      </c>
      <c r="H18647">
        <v>4600</v>
      </c>
      <c r="I18647" t="s">
        <v>105</v>
      </c>
      <c r="J18647">
        <v>47.97</v>
      </c>
      <c r="K18647">
        <v>9.2799999999999994</v>
      </c>
      <c r="L18647">
        <v>59504</v>
      </c>
      <c r="M18647" t="s">
        <v>71</v>
      </c>
      <c r="N18647" t="str">
        <f>"25519       "</f>
        <v xml:space="preserve">25519       </v>
      </c>
      <c r="O18647">
        <v>231024</v>
      </c>
    </row>
    <row r="18648" spans="1:15" x14ac:dyDescent="0.25">
      <c r="A18648" t="s">
        <v>16</v>
      </c>
      <c r="B18648" t="s">
        <v>3221</v>
      </c>
      <c r="C18648">
        <v>16839</v>
      </c>
      <c r="D18648" t="s">
        <v>1308</v>
      </c>
      <c r="E18648" t="s">
        <v>1309</v>
      </c>
      <c r="F18648">
        <v>1153</v>
      </c>
      <c r="G18648">
        <v>231201</v>
      </c>
      <c r="H18648">
        <v>4600</v>
      </c>
      <c r="I18648" t="s">
        <v>105</v>
      </c>
      <c r="J18648">
        <v>1429.72</v>
      </c>
      <c r="K18648">
        <v>276.72000000000003</v>
      </c>
      <c r="L18648">
        <v>46555</v>
      </c>
      <c r="M18648" t="s">
        <v>597</v>
      </c>
      <c r="N18648" t="str">
        <f>"26068       "</f>
        <v xml:space="preserve">26068       </v>
      </c>
      <c r="O18648">
        <v>231211</v>
      </c>
    </row>
    <row r="18649" spans="1:15" x14ac:dyDescent="0.25">
      <c r="A18649" t="s">
        <v>16</v>
      </c>
      <c r="B18649" t="s">
        <v>3221</v>
      </c>
      <c r="C18649">
        <v>2150</v>
      </c>
      <c r="D18649" t="s">
        <v>1308</v>
      </c>
      <c r="E18649" t="s">
        <v>1309</v>
      </c>
      <c r="F18649">
        <v>2.82</v>
      </c>
      <c r="G18649">
        <v>230217</v>
      </c>
      <c r="H18649">
        <v>4572</v>
      </c>
      <c r="I18649" t="s">
        <v>122</v>
      </c>
      <c r="J18649">
        <v>3.5</v>
      </c>
      <c r="K18649">
        <v>0.68</v>
      </c>
      <c r="L18649">
        <v>17950</v>
      </c>
      <c r="M18649" t="s">
        <v>86</v>
      </c>
      <c r="N18649" t="str">
        <f>"23452       "</f>
        <v xml:space="preserve">23452       </v>
      </c>
      <c r="O18649">
        <v>230221</v>
      </c>
    </row>
    <row r="18650" spans="1:15" x14ac:dyDescent="0.25">
      <c r="A18650" t="s">
        <v>16</v>
      </c>
      <c r="B18650" t="s">
        <v>3221</v>
      </c>
      <c r="C18650">
        <v>458</v>
      </c>
      <c r="D18650" t="s">
        <v>558</v>
      </c>
      <c r="E18650" t="s">
        <v>559</v>
      </c>
      <c r="F18650">
        <v>150</v>
      </c>
      <c r="G18650">
        <v>230117</v>
      </c>
      <c r="H18650">
        <v>4510</v>
      </c>
      <c r="I18650" t="s">
        <v>42</v>
      </c>
      <c r="J18650">
        <v>150</v>
      </c>
      <c r="K18650">
        <v>0</v>
      </c>
      <c r="L18650">
        <v>13502</v>
      </c>
      <c r="M18650" t="s">
        <v>243</v>
      </c>
      <c r="N18650" t="str">
        <f>"2023090     "</f>
        <v xml:space="preserve">2023090     </v>
      </c>
      <c r="O18650">
        <v>230123</v>
      </c>
    </row>
    <row r="18651" spans="1:15" x14ac:dyDescent="0.25">
      <c r="A18651" t="s">
        <v>16</v>
      </c>
      <c r="B18651" t="s">
        <v>3221</v>
      </c>
      <c r="C18651">
        <v>17512</v>
      </c>
      <c r="D18651" t="s">
        <v>558</v>
      </c>
      <c r="E18651" t="s">
        <v>559</v>
      </c>
      <c r="F18651">
        <v>150</v>
      </c>
      <c r="G18651">
        <v>231211</v>
      </c>
      <c r="H18651">
        <v>4510</v>
      </c>
      <c r="I18651" t="s">
        <v>42</v>
      </c>
      <c r="J18651">
        <v>150</v>
      </c>
      <c r="K18651">
        <v>0</v>
      </c>
      <c r="L18651">
        <v>13402</v>
      </c>
      <c r="M18651" t="s">
        <v>242</v>
      </c>
      <c r="N18651" t="str">
        <f>"1248        "</f>
        <v xml:space="preserve">1248        </v>
      </c>
      <c r="O18651">
        <v>231214</v>
      </c>
    </row>
    <row r="18652" spans="1:15" x14ac:dyDescent="0.25">
      <c r="A18652" t="s">
        <v>16</v>
      </c>
      <c r="B18652" t="s">
        <v>3221</v>
      </c>
      <c r="C18652">
        <v>3123</v>
      </c>
      <c r="D18652" t="s">
        <v>558</v>
      </c>
      <c r="E18652" t="s">
        <v>559</v>
      </c>
      <c r="F18652">
        <v>30</v>
      </c>
      <c r="G18652">
        <v>230308</v>
      </c>
      <c r="H18652">
        <v>4441</v>
      </c>
      <c r="I18652" t="s">
        <v>109</v>
      </c>
      <c r="J18652">
        <v>30</v>
      </c>
      <c r="K18652">
        <v>0</v>
      </c>
      <c r="L18652">
        <v>61122</v>
      </c>
      <c r="M18652" t="s">
        <v>402</v>
      </c>
      <c r="N18652" t="str">
        <f>"2023202     "</f>
        <v xml:space="preserve">2023202     </v>
      </c>
      <c r="O18652">
        <v>230309</v>
      </c>
    </row>
    <row r="18653" spans="1:15" x14ac:dyDescent="0.25">
      <c r="A18653" t="s">
        <v>16</v>
      </c>
      <c r="B18653" t="s">
        <v>3221</v>
      </c>
      <c r="C18653">
        <v>7457</v>
      </c>
      <c r="D18653" t="s">
        <v>558</v>
      </c>
      <c r="E18653" t="s">
        <v>559</v>
      </c>
      <c r="F18653">
        <v>95</v>
      </c>
      <c r="G18653">
        <v>230529</v>
      </c>
      <c r="H18653">
        <v>4441</v>
      </c>
      <c r="I18653" t="s">
        <v>109</v>
      </c>
      <c r="J18653">
        <v>95</v>
      </c>
      <c r="K18653">
        <v>0</v>
      </c>
      <c r="L18653">
        <v>65222</v>
      </c>
      <c r="M18653" t="s">
        <v>487</v>
      </c>
      <c r="N18653" t="str">
        <f>"2023592     "</f>
        <v xml:space="preserve">2023592     </v>
      </c>
      <c r="O18653">
        <v>230531</v>
      </c>
    </row>
    <row r="18654" spans="1:15" x14ac:dyDescent="0.25">
      <c r="A18654" t="s">
        <v>16</v>
      </c>
      <c r="B18654" t="s">
        <v>3221</v>
      </c>
      <c r="C18654">
        <v>7458</v>
      </c>
      <c r="D18654" t="s">
        <v>558</v>
      </c>
      <c r="E18654" t="s">
        <v>559</v>
      </c>
      <c r="F18654">
        <v>130</v>
      </c>
      <c r="G18654">
        <v>230529</v>
      </c>
      <c r="H18654">
        <v>4441</v>
      </c>
      <c r="I18654" t="s">
        <v>109</v>
      </c>
      <c r="J18654">
        <v>130</v>
      </c>
      <c r="K18654">
        <v>0</v>
      </c>
      <c r="L18654">
        <v>61122</v>
      </c>
      <c r="M18654" t="s">
        <v>402</v>
      </c>
      <c r="N18654" t="str">
        <f>"2023598     "</f>
        <v xml:space="preserve">2023598     </v>
      </c>
      <c r="O18654">
        <v>230531</v>
      </c>
    </row>
    <row r="18655" spans="1:15" x14ac:dyDescent="0.25">
      <c r="A18655" t="s">
        <v>16</v>
      </c>
      <c r="B18655" t="s">
        <v>3221</v>
      </c>
      <c r="C18655">
        <v>12013</v>
      </c>
      <c r="D18655" t="s">
        <v>558</v>
      </c>
      <c r="E18655" t="s">
        <v>559</v>
      </c>
      <c r="F18655">
        <v>35</v>
      </c>
      <c r="G18655">
        <v>230906</v>
      </c>
      <c r="H18655">
        <v>4441</v>
      </c>
      <c r="I18655" t="s">
        <v>109</v>
      </c>
      <c r="J18655">
        <v>35</v>
      </c>
      <c r="K18655">
        <v>0</v>
      </c>
      <c r="L18655">
        <v>13501</v>
      </c>
      <c r="M18655" t="s">
        <v>20</v>
      </c>
      <c r="N18655" t="str">
        <f>"1112        "</f>
        <v xml:space="preserve">1112        </v>
      </c>
      <c r="O18655">
        <v>230912</v>
      </c>
    </row>
    <row r="18656" spans="1:15" x14ac:dyDescent="0.25">
      <c r="A18656" t="s">
        <v>16</v>
      </c>
      <c r="B18656" t="s">
        <v>3221</v>
      </c>
      <c r="C18656">
        <v>6011</v>
      </c>
      <c r="D18656" t="s">
        <v>1923</v>
      </c>
      <c r="E18656" t="s">
        <v>1924</v>
      </c>
      <c r="F18656">
        <v>156.97999999999999</v>
      </c>
      <c r="G18656">
        <v>230428</v>
      </c>
      <c r="H18656">
        <v>4600</v>
      </c>
      <c r="I18656" t="s">
        <v>105</v>
      </c>
      <c r="J18656">
        <v>194.66</v>
      </c>
      <c r="K18656">
        <v>37.68</v>
      </c>
      <c r="L18656">
        <v>56568</v>
      </c>
      <c r="M18656" t="s">
        <v>268</v>
      </c>
      <c r="N18656" t="str">
        <f>"2952096     "</f>
        <v xml:space="preserve">2952096     </v>
      </c>
      <c r="O18656">
        <v>230505</v>
      </c>
    </row>
    <row r="18657" spans="1:15" x14ac:dyDescent="0.25">
      <c r="A18657" t="s">
        <v>16</v>
      </c>
      <c r="B18657" t="s">
        <v>3221</v>
      </c>
      <c r="C18657">
        <v>1872</v>
      </c>
      <c r="D18657" t="s">
        <v>1077</v>
      </c>
      <c r="E18657" t="s">
        <v>1078</v>
      </c>
      <c r="F18657">
        <v>81.36</v>
      </c>
      <c r="G18657">
        <v>230213</v>
      </c>
      <c r="H18657">
        <v>4510</v>
      </c>
      <c r="I18657" t="s">
        <v>42</v>
      </c>
      <c r="J18657">
        <v>89.5</v>
      </c>
      <c r="K18657">
        <v>8.14</v>
      </c>
      <c r="L18657">
        <v>17131</v>
      </c>
      <c r="M18657" t="s">
        <v>64</v>
      </c>
      <c r="N18657" t="str">
        <f>"2369397     "</f>
        <v xml:space="preserve">2369397     </v>
      </c>
      <c r="O18657">
        <v>230215</v>
      </c>
    </row>
    <row r="18658" spans="1:15" x14ac:dyDescent="0.25">
      <c r="A18658" t="s">
        <v>16</v>
      </c>
      <c r="B18658" t="s">
        <v>3221</v>
      </c>
      <c r="C18658">
        <v>1872</v>
      </c>
      <c r="D18658" t="s">
        <v>1077</v>
      </c>
      <c r="E18658" t="s">
        <v>1078</v>
      </c>
      <c r="F18658">
        <v>81.36</v>
      </c>
      <c r="G18658">
        <v>230213</v>
      </c>
      <c r="H18658">
        <v>4510</v>
      </c>
      <c r="I18658" t="s">
        <v>42</v>
      </c>
      <c r="J18658">
        <v>89.5</v>
      </c>
      <c r="K18658">
        <v>8.14</v>
      </c>
      <c r="L18658">
        <v>17711</v>
      </c>
      <c r="M18658" t="s">
        <v>65</v>
      </c>
      <c r="N18658" t="str">
        <f>"2369397     "</f>
        <v xml:space="preserve">2369397     </v>
      </c>
      <c r="O18658">
        <v>230215</v>
      </c>
    </row>
    <row r="18659" spans="1:15" x14ac:dyDescent="0.25">
      <c r="A18659" t="s">
        <v>16</v>
      </c>
      <c r="B18659" t="s">
        <v>3221</v>
      </c>
      <c r="C18659">
        <v>1530</v>
      </c>
      <c r="D18659" t="s">
        <v>1077</v>
      </c>
      <c r="E18659" t="s">
        <v>1078</v>
      </c>
      <c r="F18659">
        <v>612.5</v>
      </c>
      <c r="G18659">
        <v>230125</v>
      </c>
      <c r="H18659">
        <v>4350</v>
      </c>
      <c r="I18659" t="s">
        <v>546</v>
      </c>
      <c r="J18659">
        <v>759.5</v>
      </c>
      <c r="K18659">
        <v>147</v>
      </c>
      <c r="L18659">
        <v>13401</v>
      </c>
      <c r="M18659" t="s">
        <v>80</v>
      </c>
      <c r="N18659" t="str">
        <f>"230016      "</f>
        <v xml:space="preserve">230016      </v>
      </c>
      <c r="O18659">
        <v>230209</v>
      </c>
    </row>
    <row r="18660" spans="1:15" x14ac:dyDescent="0.25">
      <c r="A18660" t="s">
        <v>16</v>
      </c>
      <c r="B18660" t="s">
        <v>3221</v>
      </c>
      <c r="C18660">
        <v>1530</v>
      </c>
      <c r="D18660" t="s">
        <v>1077</v>
      </c>
      <c r="E18660" t="s">
        <v>1078</v>
      </c>
      <c r="F18660">
        <v>612.5</v>
      </c>
      <c r="G18660">
        <v>230125</v>
      </c>
      <c r="H18660">
        <v>4350</v>
      </c>
      <c r="I18660" t="s">
        <v>546</v>
      </c>
      <c r="J18660">
        <v>759.5</v>
      </c>
      <c r="K18660">
        <v>147</v>
      </c>
      <c r="L18660">
        <v>17972</v>
      </c>
      <c r="M18660" t="s">
        <v>248</v>
      </c>
      <c r="N18660" t="str">
        <f>"230016      "</f>
        <v xml:space="preserve">230016      </v>
      </c>
      <c r="O18660">
        <v>230209</v>
      </c>
    </row>
    <row r="18661" spans="1:15" x14ac:dyDescent="0.25">
      <c r="A18661" t="s">
        <v>16</v>
      </c>
      <c r="B18661" t="s">
        <v>3221</v>
      </c>
      <c r="C18661">
        <v>13238</v>
      </c>
      <c r="D18661" t="s">
        <v>1077</v>
      </c>
      <c r="E18661" t="s">
        <v>1078</v>
      </c>
      <c r="F18661">
        <v>825</v>
      </c>
      <c r="G18661">
        <v>230920</v>
      </c>
      <c r="H18661">
        <v>4350</v>
      </c>
      <c r="I18661" t="s">
        <v>546</v>
      </c>
      <c r="J18661">
        <v>1023</v>
      </c>
      <c r="K18661">
        <v>198</v>
      </c>
      <c r="L18661">
        <v>13401</v>
      </c>
      <c r="M18661" t="s">
        <v>80</v>
      </c>
      <c r="N18661" t="str">
        <f>"10038       "</f>
        <v xml:space="preserve">10038       </v>
      </c>
      <c r="O18661">
        <v>231006</v>
      </c>
    </row>
    <row r="18662" spans="1:15" x14ac:dyDescent="0.25">
      <c r="A18662" t="s">
        <v>16</v>
      </c>
      <c r="B18662" t="s">
        <v>3221</v>
      </c>
      <c r="C18662">
        <v>17982</v>
      </c>
      <c r="D18662" t="s">
        <v>3583</v>
      </c>
      <c r="E18662" t="s">
        <v>3584</v>
      </c>
      <c r="F18662">
        <v>135</v>
      </c>
      <c r="G18662">
        <v>231215</v>
      </c>
      <c r="H18662">
        <v>4470</v>
      </c>
      <c r="I18662" t="s">
        <v>83</v>
      </c>
      <c r="J18662">
        <v>135</v>
      </c>
      <c r="K18662">
        <v>0</v>
      </c>
      <c r="L18662">
        <v>17711</v>
      </c>
      <c r="M18662" t="s">
        <v>65</v>
      </c>
      <c r="N18662" t="str">
        <f>"339618513984"</f>
        <v>339618513984</v>
      </c>
      <c r="O18662">
        <v>231228</v>
      </c>
    </row>
    <row r="18663" spans="1:15" x14ac:dyDescent="0.25">
      <c r="A18663" t="s">
        <v>16</v>
      </c>
      <c r="B18663" t="s">
        <v>3221</v>
      </c>
      <c r="C18663">
        <v>2354</v>
      </c>
      <c r="D18663" t="s">
        <v>3698</v>
      </c>
      <c r="E18663" t="s">
        <v>1368</v>
      </c>
      <c r="F18663">
        <v>80</v>
      </c>
      <c r="G18663">
        <v>230222</v>
      </c>
      <c r="H18663">
        <v>4510</v>
      </c>
      <c r="I18663" t="s">
        <v>42</v>
      </c>
      <c r="J18663">
        <v>88</v>
      </c>
      <c r="K18663">
        <v>8</v>
      </c>
      <c r="L18663">
        <v>17803</v>
      </c>
      <c r="M18663" t="s">
        <v>389</v>
      </c>
      <c r="N18663" t="str">
        <f>"6853        "</f>
        <v xml:space="preserve">6853        </v>
      </c>
      <c r="O18663">
        <v>230224</v>
      </c>
    </row>
    <row r="18664" spans="1:15" x14ac:dyDescent="0.25">
      <c r="A18664" t="s">
        <v>16</v>
      </c>
      <c r="B18664" t="s">
        <v>3221</v>
      </c>
      <c r="C18664">
        <v>13260</v>
      </c>
      <c r="D18664" t="s">
        <v>3699</v>
      </c>
      <c r="E18664" t="s">
        <v>1293</v>
      </c>
      <c r="F18664">
        <v>369.55</v>
      </c>
      <c r="G18664">
        <v>230927</v>
      </c>
      <c r="H18664">
        <v>4534</v>
      </c>
      <c r="I18664" t="s">
        <v>273</v>
      </c>
      <c r="J18664">
        <v>458.24</v>
      </c>
      <c r="K18664">
        <v>88.69</v>
      </c>
      <c r="L18664">
        <v>54252</v>
      </c>
      <c r="M18664" t="s">
        <v>534</v>
      </c>
      <c r="N18664" t="str">
        <f>"373799      "</f>
        <v xml:space="preserve">373799      </v>
      </c>
      <c r="O18664">
        <v>231006</v>
      </c>
    </row>
    <row r="18665" spans="1:15" x14ac:dyDescent="0.25">
      <c r="A18665" t="s">
        <v>16</v>
      </c>
      <c r="B18665" t="s">
        <v>3221</v>
      </c>
      <c r="C18665">
        <v>16948</v>
      </c>
      <c r="D18665" t="s">
        <v>3699</v>
      </c>
      <c r="E18665" t="s">
        <v>1293</v>
      </c>
      <c r="F18665">
        <v>325.45</v>
      </c>
      <c r="G18665">
        <v>231130</v>
      </c>
      <c r="H18665">
        <v>4534</v>
      </c>
      <c r="I18665" t="s">
        <v>273</v>
      </c>
      <c r="J18665">
        <v>403.56</v>
      </c>
      <c r="K18665">
        <v>78.11</v>
      </c>
      <c r="L18665">
        <v>54252</v>
      </c>
      <c r="M18665" t="s">
        <v>534</v>
      </c>
      <c r="N18665" t="str">
        <f>"377239      "</f>
        <v xml:space="preserve">377239      </v>
      </c>
      <c r="O18665">
        <v>231211</v>
      </c>
    </row>
    <row r="18666" spans="1:15" x14ac:dyDescent="0.25">
      <c r="A18666" t="s">
        <v>16</v>
      </c>
      <c r="B18666" t="s">
        <v>3221</v>
      </c>
      <c r="C18666">
        <v>2107</v>
      </c>
      <c r="D18666" t="s">
        <v>3699</v>
      </c>
      <c r="E18666" t="s">
        <v>1293</v>
      </c>
      <c r="F18666">
        <v>495.24</v>
      </c>
      <c r="G18666">
        <v>230209</v>
      </c>
      <c r="H18666">
        <v>4600</v>
      </c>
      <c r="I18666" t="s">
        <v>105</v>
      </c>
      <c r="J18666">
        <v>614.1</v>
      </c>
      <c r="K18666">
        <v>118.86</v>
      </c>
      <c r="L18666">
        <v>54252</v>
      </c>
      <c r="M18666" t="s">
        <v>534</v>
      </c>
      <c r="N18666" t="str">
        <f>"361681      "</f>
        <v xml:space="preserve">361681      </v>
      </c>
      <c r="O18666">
        <v>230221</v>
      </c>
    </row>
    <row r="18667" spans="1:15" x14ac:dyDescent="0.25">
      <c r="A18667" t="s">
        <v>16</v>
      </c>
      <c r="B18667" t="s">
        <v>3221</v>
      </c>
      <c r="C18667">
        <v>4202</v>
      </c>
      <c r="D18667" t="s">
        <v>3699</v>
      </c>
      <c r="E18667" t="s">
        <v>1293</v>
      </c>
      <c r="F18667">
        <v>1348.67</v>
      </c>
      <c r="G18667">
        <v>230322</v>
      </c>
      <c r="H18667">
        <v>4600</v>
      </c>
      <c r="I18667" t="s">
        <v>105</v>
      </c>
      <c r="J18667">
        <v>1672.35</v>
      </c>
      <c r="K18667">
        <v>323.68</v>
      </c>
      <c r="L18667">
        <v>54222</v>
      </c>
      <c r="M18667" t="s">
        <v>308</v>
      </c>
      <c r="N18667" t="str">
        <f>"363949      "</f>
        <v xml:space="preserve">363949      </v>
      </c>
      <c r="O18667">
        <v>230331</v>
      </c>
    </row>
    <row r="18668" spans="1:15" x14ac:dyDescent="0.25">
      <c r="A18668" t="s">
        <v>16</v>
      </c>
      <c r="B18668" t="s">
        <v>3221</v>
      </c>
      <c r="C18668">
        <v>5348</v>
      </c>
      <c r="D18668" t="s">
        <v>3699</v>
      </c>
      <c r="E18668" t="s">
        <v>1293</v>
      </c>
      <c r="F18668">
        <v>391.33</v>
      </c>
      <c r="G18668">
        <v>230414</v>
      </c>
      <c r="H18668">
        <v>4600</v>
      </c>
      <c r="I18668" t="s">
        <v>105</v>
      </c>
      <c r="J18668">
        <v>485.25</v>
      </c>
      <c r="K18668">
        <v>93.92</v>
      </c>
      <c r="L18668">
        <v>54252</v>
      </c>
      <c r="M18668" t="s">
        <v>534</v>
      </c>
      <c r="N18668" t="str">
        <f>"365159      "</f>
        <v xml:space="preserve">365159      </v>
      </c>
      <c r="O18668">
        <v>230421</v>
      </c>
    </row>
    <row r="18669" spans="1:15" x14ac:dyDescent="0.25">
      <c r="A18669" t="s">
        <v>16</v>
      </c>
      <c r="B18669" t="s">
        <v>3221</v>
      </c>
      <c r="C18669">
        <v>5573</v>
      </c>
      <c r="D18669" t="s">
        <v>3699</v>
      </c>
      <c r="E18669" t="s">
        <v>1293</v>
      </c>
      <c r="F18669">
        <v>343.67</v>
      </c>
      <c r="G18669">
        <v>230412</v>
      </c>
      <c r="H18669">
        <v>4600</v>
      </c>
      <c r="I18669" t="s">
        <v>105</v>
      </c>
      <c r="J18669">
        <v>426.15</v>
      </c>
      <c r="K18669">
        <v>82.48</v>
      </c>
      <c r="L18669">
        <v>44453</v>
      </c>
      <c r="M18669" t="s">
        <v>492</v>
      </c>
      <c r="N18669" t="str">
        <f>"364943      "</f>
        <v xml:space="preserve">364943      </v>
      </c>
      <c r="O18669">
        <v>230426</v>
      </c>
    </row>
    <row r="18670" spans="1:15" x14ac:dyDescent="0.25">
      <c r="A18670" t="s">
        <v>16</v>
      </c>
      <c r="B18670" t="s">
        <v>3221</v>
      </c>
      <c r="C18670">
        <v>7263</v>
      </c>
      <c r="D18670" t="s">
        <v>3699</v>
      </c>
      <c r="E18670" t="s">
        <v>1293</v>
      </c>
      <c r="F18670">
        <v>603</v>
      </c>
      <c r="G18670">
        <v>230519</v>
      </c>
      <c r="H18670">
        <v>4600</v>
      </c>
      <c r="I18670" t="s">
        <v>105</v>
      </c>
      <c r="J18670">
        <v>747.72</v>
      </c>
      <c r="K18670">
        <v>144.72</v>
      </c>
      <c r="L18670">
        <v>54252</v>
      </c>
      <c r="M18670" t="s">
        <v>534</v>
      </c>
      <c r="N18670" t="str">
        <f>"367032      "</f>
        <v xml:space="preserve">367032      </v>
      </c>
      <c r="O18670">
        <v>230526</v>
      </c>
    </row>
    <row r="18671" spans="1:15" x14ac:dyDescent="0.25">
      <c r="A18671" t="s">
        <v>16</v>
      </c>
      <c r="B18671" t="s">
        <v>3221</v>
      </c>
      <c r="C18671">
        <v>18391</v>
      </c>
      <c r="D18671" t="s">
        <v>3699</v>
      </c>
      <c r="E18671" t="s">
        <v>1293</v>
      </c>
      <c r="F18671">
        <v>268.89</v>
      </c>
      <c r="G18671">
        <v>231213</v>
      </c>
      <c r="H18671">
        <v>4600</v>
      </c>
      <c r="I18671" t="s">
        <v>105</v>
      </c>
      <c r="J18671">
        <v>333.42</v>
      </c>
      <c r="K18671">
        <v>64.53</v>
      </c>
      <c r="L18671">
        <v>53222</v>
      </c>
      <c r="M18671" t="s">
        <v>445</v>
      </c>
      <c r="N18671" t="str">
        <f>"377854      "</f>
        <v xml:space="preserve">377854      </v>
      </c>
      <c r="O18671">
        <v>240103</v>
      </c>
    </row>
    <row r="18672" spans="1:15" x14ac:dyDescent="0.25">
      <c r="A18672" t="s">
        <v>16</v>
      </c>
      <c r="B18672" t="s">
        <v>3221</v>
      </c>
      <c r="C18672">
        <v>18391</v>
      </c>
      <c r="D18672" t="s">
        <v>3699</v>
      </c>
      <c r="E18672" t="s">
        <v>1293</v>
      </c>
      <c r="F18672">
        <v>126.11</v>
      </c>
      <c r="G18672">
        <v>231213</v>
      </c>
      <c r="H18672">
        <v>4600</v>
      </c>
      <c r="I18672" t="s">
        <v>105</v>
      </c>
      <c r="J18672">
        <v>156.38</v>
      </c>
      <c r="K18672">
        <v>30.27</v>
      </c>
      <c r="L18672">
        <v>54252</v>
      </c>
      <c r="M18672" t="s">
        <v>534</v>
      </c>
      <c r="N18672" t="str">
        <f>"377854      "</f>
        <v xml:space="preserve">377854      </v>
      </c>
      <c r="O18672">
        <v>240103</v>
      </c>
    </row>
    <row r="18673" spans="1:15" x14ac:dyDescent="0.25">
      <c r="A18673" t="s">
        <v>16</v>
      </c>
      <c r="B18673" t="s">
        <v>3221</v>
      </c>
      <c r="C18673">
        <v>2256</v>
      </c>
      <c r="D18673" t="s">
        <v>1342</v>
      </c>
      <c r="E18673" t="s">
        <v>1343</v>
      </c>
      <c r="F18673">
        <v>361.44</v>
      </c>
      <c r="G18673">
        <v>230215</v>
      </c>
      <c r="H18673">
        <v>4534</v>
      </c>
      <c r="I18673" t="s">
        <v>273</v>
      </c>
      <c r="J18673">
        <v>448.19</v>
      </c>
      <c r="K18673">
        <v>86.75</v>
      </c>
      <c r="L18673">
        <v>14321</v>
      </c>
      <c r="M18673" t="s">
        <v>717</v>
      </c>
      <c r="N18673" t="str">
        <f>"83529       "</f>
        <v xml:space="preserve">83529       </v>
      </c>
      <c r="O18673">
        <v>230223</v>
      </c>
    </row>
    <row r="18674" spans="1:15" x14ac:dyDescent="0.25">
      <c r="A18674" t="s">
        <v>16</v>
      </c>
      <c r="B18674" t="s">
        <v>3221</v>
      </c>
      <c r="C18674">
        <v>7102</v>
      </c>
      <c r="D18674" t="s">
        <v>2064</v>
      </c>
      <c r="E18674" t="s">
        <v>2065</v>
      </c>
      <c r="F18674">
        <v>8.77</v>
      </c>
      <c r="G18674">
        <v>230524</v>
      </c>
      <c r="H18674">
        <v>4420</v>
      </c>
      <c r="I18674" t="s">
        <v>132</v>
      </c>
      <c r="J18674">
        <v>10</v>
      </c>
      <c r="K18674">
        <v>1.23</v>
      </c>
      <c r="L18674">
        <v>14972</v>
      </c>
      <c r="M18674" t="s">
        <v>898</v>
      </c>
      <c r="N18674" t="str">
        <f>"60686       "</f>
        <v xml:space="preserve">60686       </v>
      </c>
      <c r="O18674">
        <v>230525</v>
      </c>
    </row>
    <row r="18675" spans="1:15" x14ac:dyDescent="0.25">
      <c r="A18675" t="s">
        <v>16</v>
      </c>
      <c r="B18675" t="s">
        <v>3221</v>
      </c>
      <c r="C18675">
        <v>7102</v>
      </c>
      <c r="D18675" t="s">
        <v>2064</v>
      </c>
      <c r="E18675" t="s">
        <v>2065</v>
      </c>
      <c r="F18675">
        <v>381.82</v>
      </c>
      <c r="G18675">
        <v>230524</v>
      </c>
      <c r="H18675">
        <v>4420</v>
      </c>
      <c r="I18675" t="s">
        <v>132</v>
      </c>
      <c r="J18675">
        <v>420</v>
      </c>
      <c r="K18675">
        <v>38.18</v>
      </c>
      <c r="L18675">
        <v>14972</v>
      </c>
      <c r="M18675" t="s">
        <v>898</v>
      </c>
      <c r="N18675" t="str">
        <f>"60686       "</f>
        <v xml:space="preserve">60686       </v>
      </c>
      <c r="O18675">
        <v>230525</v>
      </c>
    </row>
    <row r="18676" spans="1:15" x14ac:dyDescent="0.25">
      <c r="A18676" t="s">
        <v>16</v>
      </c>
      <c r="B18676" t="s">
        <v>3221</v>
      </c>
      <c r="C18676">
        <v>4276</v>
      </c>
      <c r="D18676" t="s">
        <v>3415</v>
      </c>
      <c r="E18676" t="s">
        <v>3416</v>
      </c>
      <c r="F18676">
        <v>282.76</v>
      </c>
      <c r="G18676">
        <v>230317</v>
      </c>
      <c r="H18676">
        <v>4440</v>
      </c>
      <c r="I18676" t="s">
        <v>250</v>
      </c>
      <c r="J18676">
        <v>282.76</v>
      </c>
      <c r="K18676">
        <v>0</v>
      </c>
      <c r="L18676">
        <v>16121</v>
      </c>
      <c r="M18676" t="s">
        <v>21</v>
      </c>
      <c r="N18676" t="str">
        <f>"146033      "</f>
        <v xml:space="preserve">146033      </v>
      </c>
      <c r="O18676">
        <v>230404</v>
      </c>
    </row>
    <row r="18677" spans="1:15" x14ac:dyDescent="0.25">
      <c r="A18677" t="s">
        <v>16</v>
      </c>
      <c r="B18677" t="s">
        <v>3221</v>
      </c>
      <c r="C18677">
        <v>4276</v>
      </c>
      <c r="D18677" t="s">
        <v>3415</v>
      </c>
      <c r="E18677" t="s">
        <v>3416</v>
      </c>
      <c r="F18677">
        <v>85.54</v>
      </c>
      <c r="G18677">
        <v>230317</v>
      </c>
      <c r="H18677">
        <v>4440</v>
      </c>
      <c r="I18677" t="s">
        <v>250</v>
      </c>
      <c r="J18677">
        <v>85.54</v>
      </c>
      <c r="K18677">
        <v>0</v>
      </c>
      <c r="L18677">
        <v>16322</v>
      </c>
      <c r="M18677" t="s">
        <v>22</v>
      </c>
      <c r="N18677" t="str">
        <f>"146033      "</f>
        <v xml:space="preserve">146033      </v>
      </c>
      <c r="O18677">
        <v>230404</v>
      </c>
    </row>
    <row r="18678" spans="1:15" x14ac:dyDescent="0.25">
      <c r="A18678" t="s">
        <v>16</v>
      </c>
      <c r="B18678" t="s">
        <v>3221</v>
      </c>
      <c r="C18678">
        <v>4276</v>
      </c>
      <c r="D18678" t="s">
        <v>3415</v>
      </c>
      <c r="E18678" t="s">
        <v>3416</v>
      </c>
      <c r="F18678">
        <v>73.680000000000007</v>
      </c>
      <c r="G18678">
        <v>230317</v>
      </c>
      <c r="H18678">
        <v>4440</v>
      </c>
      <c r="I18678" t="s">
        <v>250</v>
      </c>
      <c r="J18678">
        <v>73.680000000000007</v>
      </c>
      <c r="K18678">
        <v>0</v>
      </c>
      <c r="L18678">
        <v>16820</v>
      </c>
      <c r="M18678" t="s">
        <v>23</v>
      </c>
      <c r="N18678" t="str">
        <f>"146033      "</f>
        <v xml:space="preserve">146033      </v>
      </c>
      <c r="O18678">
        <v>230404</v>
      </c>
    </row>
    <row r="18679" spans="1:15" x14ac:dyDescent="0.25">
      <c r="A18679" t="s">
        <v>16</v>
      </c>
      <c r="B18679" t="s">
        <v>3221</v>
      </c>
      <c r="C18679">
        <v>4276</v>
      </c>
      <c r="D18679" t="s">
        <v>3415</v>
      </c>
      <c r="E18679" t="s">
        <v>3416</v>
      </c>
      <c r="F18679">
        <v>38.020000000000003</v>
      </c>
      <c r="G18679">
        <v>230317</v>
      </c>
      <c r="H18679">
        <v>4440</v>
      </c>
      <c r="I18679" t="s">
        <v>250</v>
      </c>
      <c r="J18679">
        <v>38.020000000000003</v>
      </c>
      <c r="K18679">
        <v>0</v>
      </c>
      <c r="L18679">
        <v>17862</v>
      </c>
      <c r="M18679" t="s">
        <v>319</v>
      </c>
      <c r="N18679" t="str">
        <f>"146033      "</f>
        <v xml:space="preserve">146033      </v>
      </c>
      <c r="O18679">
        <v>230404</v>
      </c>
    </row>
    <row r="18680" spans="1:15" x14ac:dyDescent="0.25">
      <c r="A18680" t="s">
        <v>16</v>
      </c>
      <c r="B18680" t="s">
        <v>3221</v>
      </c>
      <c r="C18680">
        <v>4281</v>
      </c>
      <c r="D18680" t="s">
        <v>3415</v>
      </c>
      <c r="E18680" t="s">
        <v>3416</v>
      </c>
      <c r="F18680">
        <v>50.12</v>
      </c>
      <c r="G18680">
        <v>230401</v>
      </c>
      <c r="H18680">
        <v>4440</v>
      </c>
      <c r="I18680" t="s">
        <v>250</v>
      </c>
      <c r="J18680">
        <v>50.12</v>
      </c>
      <c r="K18680">
        <v>0</v>
      </c>
      <c r="L18680">
        <v>16121</v>
      </c>
      <c r="M18680" t="s">
        <v>21</v>
      </c>
      <c r="N18680" t="str">
        <f>"146098      "</f>
        <v xml:space="preserve">146098      </v>
      </c>
      <c r="O18680">
        <v>230404</v>
      </c>
    </row>
    <row r="18681" spans="1:15" x14ac:dyDescent="0.25">
      <c r="A18681" t="s">
        <v>16</v>
      </c>
      <c r="B18681" t="s">
        <v>3221</v>
      </c>
      <c r="C18681">
        <v>4281</v>
      </c>
      <c r="D18681" t="s">
        <v>3415</v>
      </c>
      <c r="E18681" t="s">
        <v>3416</v>
      </c>
      <c r="F18681">
        <v>15.1</v>
      </c>
      <c r="G18681">
        <v>230401</v>
      </c>
      <c r="H18681">
        <v>4440</v>
      </c>
      <c r="I18681" t="s">
        <v>250</v>
      </c>
      <c r="J18681">
        <v>15.1</v>
      </c>
      <c r="K18681">
        <v>0</v>
      </c>
      <c r="L18681">
        <v>16322</v>
      </c>
      <c r="M18681" t="s">
        <v>22</v>
      </c>
      <c r="N18681" t="str">
        <f>"146098      "</f>
        <v xml:space="preserve">146098      </v>
      </c>
      <c r="O18681">
        <v>230404</v>
      </c>
    </row>
    <row r="18682" spans="1:15" x14ac:dyDescent="0.25">
      <c r="A18682" t="s">
        <v>16</v>
      </c>
      <c r="B18682" t="s">
        <v>3221</v>
      </c>
      <c r="C18682">
        <v>4281</v>
      </c>
      <c r="D18682" t="s">
        <v>3415</v>
      </c>
      <c r="E18682" t="s">
        <v>3416</v>
      </c>
      <c r="F18682">
        <v>13.05</v>
      </c>
      <c r="G18682">
        <v>230401</v>
      </c>
      <c r="H18682">
        <v>4440</v>
      </c>
      <c r="I18682" t="s">
        <v>250</v>
      </c>
      <c r="J18682">
        <v>13.05</v>
      </c>
      <c r="K18682">
        <v>0</v>
      </c>
      <c r="L18682">
        <v>16820</v>
      </c>
      <c r="M18682" t="s">
        <v>23</v>
      </c>
      <c r="N18682" t="str">
        <f>"146098      "</f>
        <v xml:space="preserve">146098      </v>
      </c>
      <c r="O18682">
        <v>230404</v>
      </c>
    </row>
    <row r="18683" spans="1:15" x14ac:dyDescent="0.25">
      <c r="A18683" t="s">
        <v>16</v>
      </c>
      <c r="B18683" t="s">
        <v>3221</v>
      </c>
      <c r="C18683">
        <v>4281</v>
      </c>
      <c r="D18683" t="s">
        <v>3415</v>
      </c>
      <c r="E18683" t="s">
        <v>3416</v>
      </c>
      <c r="F18683">
        <v>6.73</v>
      </c>
      <c r="G18683">
        <v>230401</v>
      </c>
      <c r="H18683">
        <v>4440</v>
      </c>
      <c r="I18683" t="s">
        <v>250</v>
      </c>
      <c r="J18683">
        <v>6.73</v>
      </c>
      <c r="K18683">
        <v>0</v>
      </c>
      <c r="L18683">
        <v>17862</v>
      </c>
      <c r="M18683" t="s">
        <v>319</v>
      </c>
      <c r="N18683" t="str">
        <f>"146098      "</f>
        <v xml:space="preserve">146098      </v>
      </c>
      <c r="O18683">
        <v>230404</v>
      </c>
    </row>
    <row r="18684" spans="1:15" x14ac:dyDescent="0.25">
      <c r="A18684" t="s">
        <v>16</v>
      </c>
      <c r="B18684" t="s">
        <v>3221</v>
      </c>
      <c r="C18684">
        <v>16527</v>
      </c>
      <c r="D18684" t="s">
        <v>3700</v>
      </c>
      <c r="E18684" t="s">
        <v>2989</v>
      </c>
      <c r="F18684">
        <v>30</v>
      </c>
      <c r="G18684">
        <v>231129</v>
      </c>
      <c r="H18684">
        <v>4441</v>
      </c>
      <c r="I18684" t="s">
        <v>109</v>
      </c>
      <c r="J18684">
        <v>30</v>
      </c>
      <c r="K18684">
        <v>0</v>
      </c>
      <c r="L18684">
        <v>13501</v>
      </c>
      <c r="M18684" t="s">
        <v>20</v>
      </c>
      <c r="N18684" t="str">
        <f>"20230142101 "</f>
        <v xml:space="preserve">20230142101 </v>
      </c>
      <c r="O18684">
        <v>231201</v>
      </c>
    </row>
    <row r="18685" spans="1:15" x14ac:dyDescent="0.25">
      <c r="A18685" t="s">
        <v>16</v>
      </c>
      <c r="B18685" t="s">
        <v>3221</v>
      </c>
      <c r="C18685">
        <v>12939</v>
      </c>
      <c r="D18685" t="s">
        <v>3531</v>
      </c>
      <c r="E18685" t="s">
        <v>3532</v>
      </c>
      <c r="F18685">
        <v>28</v>
      </c>
      <c r="G18685">
        <v>230921</v>
      </c>
      <c r="H18685">
        <v>4440</v>
      </c>
      <c r="I18685" t="s">
        <v>250</v>
      </c>
      <c r="J18685">
        <v>28</v>
      </c>
      <c r="K18685">
        <v>0</v>
      </c>
      <c r="L18685">
        <v>56566</v>
      </c>
      <c r="M18685" t="s">
        <v>652</v>
      </c>
      <c r="N18685" t="str">
        <f>"70356       "</f>
        <v xml:space="preserve">70356       </v>
      </c>
      <c r="O18685">
        <v>231002</v>
      </c>
    </row>
    <row r="18686" spans="1:15" x14ac:dyDescent="0.25">
      <c r="A18686" t="s">
        <v>16</v>
      </c>
      <c r="B18686" t="s">
        <v>3221</v>
      </c>
      <c r="C18686">
        <v>12412</v>
      </c>
      <c r="D18686" t="s">
        <v>2574</v>
      </c>
      <c r="E18686" t="s">
        <v>2575</v>
      </c>
      <c r="F18686">
        <v>265.56</v>
      </c>
      <c r="G18686">
        <v>230906</v>
      </c>
      <c r="H18686">
        <v>4400</v>
      </c>
      <c r="I18686" t="s">
        <v>348</v>
      </c>
      <c r="J18686">
        <v>329.3</v>
      </c>
      <c r="K18686">
        <v>63.74</v>
      </c>
      <c r="L18686">
        <v>14951</v>
      </c>
      <c r="M18686" t="s">
        <v>57</v>
      </c>
      <c r="N18686" t="str">
        <f>"1691        "</f>
        <v xml:space="preserve">1691        </v>
      </c>
      <c r="O18686">
        <v>230919</v>
      </c>
    </row>
    <row r="18687" spans="1:15" x14ac:dyDescent="0.25">
      <c r="A18687" t="s">
        <v>16</v>
      </c>
      <c r="B18687" t="s">
        <v>3221</v>
      </c>
      <c r="C18687">
        <v>12642</v>
      </c>
      <c r="D18687" t="s">
        <v>2594</v>
      </c>
      <c r="E18687" t="s">
        <v>2595</v>
      </c>
      <c r="F18687">
        <v>450.75</v>
      </c>
      <c r="G18687">
        <v>230915</v>
      </c>
      <c r="H18687">
        <v>4600</v>
      </c>
      <c r="I18687" t="s">
        <v>105</v>
      </c>
      <c r="J18687">
        <v>558.92999999999995</v>
      </c>
      <c r="K18687">
        <v>108.18</v>
      </c>
      <c r="L18687">
        <v>54222</v>
      </c>
      <c r="M18687" t="s">
        <v>308</v>
      </c>
      <c r="N18687" t="str">
        <f>"9057        "</f>
        <v xml:space="preserve">9057        </v>
      </c>
      <c r="O18687">
        <v>230922</v>
      </c>
    </row>
    <row r="18688" spans="1:15" x14ac:dyDescent="0.25">
      <c r="A18688" t="s">
        <v>16</v>
      </c>
      <c r="B18688" t="s">
        <v>3221</v>
      </c>
      <c r="C18688">
        <v>12642</v>
      </c>
      <c r="D18688" t="s">
        <v>2594</v>
      </c>
      <c r="E18688" t="s">
        <v>2595</v>
      </c>
      <c r="F18688">
        <v>450.75</v>
      </c>
      <c r="G18688">
        <v>230915</v>
      </c>
      <c r="H18688">
        <v>4600</v>
      </c>
      <c r="I18688" t="s">
        <v>105</v>
      </c>
      <c r="J18688">
        <v>558.92999999999995</v>
      </c>
      <c r="K18688">
        <v>108.18</v>
      </c>
      <c r="L18688">
        <v>54251</v>
      </c>
      <c r="M18688" t="s">
        <v>309</v>
      </c>
      <c r="N18688" t="str">
        <f>"9057        "</f>
        <v xml:space="preserve">9057        </v>
      </c>
      <c r="O18688">
        <v>230922</v>
      </c>
    </row>
    <row r="18689" spans="1:15" x14ac:dyDescent="0.25">
      <c r="A18689" t="s">
        <v>16</v>
      </c>
      <c r="B18689" t="s">
        <v>3221</v>
      </c>
      <c r="C18689">
        <v>2392</v>
      </c>
      <c r="D18689" t="s">
        <v>1383</v>
      </c>
      <c r="E18689" t="s">
        <v>1384</v>
      </c>
      <c r="F18689">
        <v>10.35</v>
      </c>
      <c r="G18689">
        <v>230217</v>
      </c>
      <c r="H18689">
        <v>4553</v>
      </c>
      <c r="I18689" t="s">
        <v>1385</v>
      </c>
      <c r="J18689">
        <v>12.83</v>
      </c>
      <c r="K18689">
        <v>2.48</v>
      </c>
      <c r="L18689">
        <v>66754</v>
      </c>
      <c r="M18689" t="s">
        <v>239</v>
      </c>
      <c r="N18689" t="str">
        <f>"72558       "</f>
        <v xml:space="preserve">72558       </v>
      </c>
      <c r="O18689">
        <v>230227</v>
      </c>
    </row>
    <row r="18690" spans="1:15" x14ac:dyDescent="0.25">
      <c r="A18690" t="s">
        <v>16</v>
      </c>
      <c r="B18690" t="s">
        <v>3221</v>
      </c>
      <c r="C18690">
        <v>13960</v>
      </c>
      <c r="D18690" t="s">
        <v>1383</v>
      </c>
      <c r="E18690" t="s">
        <v>1384</v>
      </c>
      <c r="F18690">
        <v>17.91</v>
      </c>
      <c r="G18690">
        <v>231016</v>
      </c>
      <c r="H18690">
        <v>4553</v>
      </c>
      <c r="I18690" t="s">
        <v>1385</v>
      </c>
      <c r="J18690">
        <v>22.21</v>
      </c>
      <c r="K18690">
        <v>4.3</v>
      </c>
      <c r="L18690">
        <v>66754</v>
      </c>
      <c r="M18690" t="s">
        <v>239</v>
      </c>
      <c r="N18690" t="str">
        <f>"75947       "</f>
        <v xml:space="preserve">75947       </v>
      </c>
      <c r="O18690">
        <v>231017</v>
      </c>
    </row>
    <row r="18691" spans="1:15" x14ac:dyDescent="0.25">
      <c r="A18691" t="s">
        <v>16</v>
      </c>
      <c r="B18691" t="s">
        <v>3221</v>
      </c>
      <c r="C18691">
        <v>2392</v>
      </c>
      <c r="D18691" t="s">
        <v>1383</v>
      </c>
      <c r="E18691" t="s">
        <v>1384</v>
      </c>
      <c r="F18691">
        <v>48.87</v>
      </c>
      <c r="G18691">
        <v>230217</v>
      </c>
      <c r="H18691">
        <v>4557</v>
      </c>
      <c r="I18691" t="s">
        <v>238</v>
      </c>
      <c r="J18691">
        <v>60.6</v>
      </c>
      <c r="K18691">
        <v>11.73</v>
      </c>
      <c r="L18691">
        <v>66754</v>
      </c>
      <c r="M18691" t="s">
        <v>239</v>
      </c>
      <c r="N18691" t="str">
        <f>"72558       "</f>
        <v xml:space="preserve">72558       </v>
      </c>
      <c r="O18691">
        <v>230227</v>
      </c>
    </row>
    <row r="18692" spans="1:15" x14ac:dyDescent="0.25">
      <c r="A18692" t="s">
        <v>16</v>
      </c>
      <c r="B18692" t="s">
        <v>3221</v>
      </c>
      <c r="C18692">
        <v>2392</v>
      </c>
      <c r="D18692" t="s">
        <v>1383</v>
      </c>
      <c r="E18692" t="s">
        <v>1384</v>
      </c>
      <c r="F18692">
        <v>21.09</v>
      </c>
      <c r="G18692">
        <v>230217</v>
      </c>
      <c r="H18692">
        <v>4551</v>
      </c>
      <c r="I18692" t="s">
        <v>1020</v>
      </c>
      <c r="J18692">
        <v>26.15</v>
      </c>
      <c r="K18692">
        <v>5.0599999999999996</v>
      </c>
      <c r="L18692">
        <v>66754</v>
      </c>
      <c r="M18692" t="s">
        <v>239</v>
      </c>
      <c r="N18692" t="str">
        <f>"72558       "</f>
        <v xml:space="preserve">72558       </v>
      </c>
      <c r="O18692">
        <v>230227</v>
      </c>
    </row>
    <row r="18693" spans="1:15" x14ac:dyDescent="0.25">
      <c r="A18693" t="s">
        <v>16</v>
      </c>
      <c r="B18693" t="s">
        <v>3221</v>
      </c>
      <c r="C18693">
        <v>2392</v>
      </c>
      <c r="D18693" t="s">
        <v>1383</v>
      </c>
      <c r="E18693" t="s">
        <v>1384</v>
      </c>
      <c r="F18693">
        <v>504.85</v>
      </c>
      <c r="G18693">
        <v>230217</v>
      </c>
      <c r="H18693">
        <v>4600</v>
      </c>
      <c r="I18693" t="s">
        <v>105</v>
      </c>
      <c r="J18693">
        <v>626.01</v>
      </c>
      <c r="K18693">
        <v>121.16</v>
      </c>
      <c r="L18693">
        <v>66722</v>
      </c>
      <c r="M18693" t="s">
        <v>518</v>
      </c>
      <c r="N18693" t="str">
        <f>"72558       "</f>
        <v xml:space="preserve">72558       </v>
      </c>
      <c r="O18693">
        <v>230227</v>
      </c>
    </row>
    <row r="18694" spans="1:15" x14ac:dyDescent="0.25">
      <c r="A18694" t="s">
        <v>16</v>
      </c>
      <c r="B18694" t="s">
        <v>3221</v>
      </c>
      <c r="C18694">
        <v>2392</v>
      </c>
      <c r="D18694" t="s">
        <v>1383</v>
      </c>
      <c r="E18694" t="s">
        <v>1384</v>
      </c>
      <c r="F18694">
        <v>498.15</v>
      </c>
      <c r="G18694">
        <v>230217</v>
      </c>
      <c r="H18694">
        <v>4600</v>
      </c>
      <c r="I18694" t="s">
        <v>105</v>
      </c>
      <c r="J18694">
        <v>617.71</v>
      </c>
      <c r="K18694">
        <v>119.56</v>
      </c>
      <c r="L18694">
        <v>66754</v>
      </c>
      <c r="M18694" t="s">
        <v>239</v>
      </c>
      <c r="N18694" t="str">
        <f>"72558       "</f>
        <v xml:space="preserve">72558       </v>
      </c>
      <c r="O18694">
        <v>230227</v>
      </c>
    </row>
    <row r="18695" spans="1:15" x14ac:dyDescent="0.25">
      <c r="A18695" t="s">
        <v>16</v>
      </c>
      <c r="B18695" t="s">
        <v>3221</v>
      </c>
      <c r="C18695">
        <v>4630</v>
      </c>
      <c r="D18695" t="s">
        <v>1383</v>
      </c>
      <c r="E18695" t="s">
        <v>1384</v>
      </c>
      <c r="F18695">
        <v>107.15</v>
      </c>
      <c r="G18695">
        <v>230403</v>
      </c>
      <c r="H18695">
        <v>4600</v>
      </c>
      <c r="I18695" t="s">
        <v>105</v>
      </c>
      <c r="J18695">
        <v>132.86000000000001</v>
      </c>
      <c r="K18695">
        <v>25.71</v>
      </c>
      <c r="L18695">
        <v>66722</v>
      </c>
      <c r="M18695" t="s">
        <v>518</v>
      </c>
      <c r="N18695" t="str">
        <f>"73223       "</f>
        <v xml:space="preserve">73223       </v>
      </c>
      <c r="O18695">
        <v>230411</v>
      </c>
    </row>
    <row r="18696" spans="1:15" x14ac:dyDescent="0.25">
      <c r="A18696" t="s">
        <v>16</v>
      </c>
      <c r="B18696" t="s">
        <v>3221</v>
      </c>
      <c r="C18696">
        <v>4631</v>
      </c>
      <c r="D18696" t="s">
        <v>1383</v>
      </c>
      <c r="E18696" t="s">
        <v>1384</v>
      </c>
      <c r="F18696">
        <v>157.80000000000001</v>
      </c>
      <c r="G18696">
        <v>230403</v>
      </c>
      <c r="H18696">
        <v>4600</v>
      </c>
      <c r="I18696" t="s">
        <v>105</v>
      </c>
      <c r="J18696">
        <v>195.67</v>
      </c>
      <c r="K18696">
        <v>37.869999999999997</v>
      </c>
      <c r="L18696">
        <v>66754</v>
      </c>
      <c r="M18696" t="s">
        <v>239</v>
      </c>
      <c r="N18696" t="str">
        <f>"73225       "</f>
        <v xml:space="preserve">73225       </v>
      </c>
      <c r="O18696">
        <v>230411</v>
      </c>
    </row>
    <row r="18697" spans="1:15" x14ac:dyDescent="0.25">
      <c r="A18697" t="s">
        <v>16</v>
      </c>
      <c r="B18697" t="s">
        <v>3221</v>
      </c>
      <c r="C18697">
        <v>4640</v>
      </c>
      <c r="D18697" t="s">
        <v>1383</v>
      </c>
      <c r="E18697" t="s">
        <v>1384</v>
      </c>
      <c r="F18697">
        <v>58.14</v>
      </c>
      <c r="G18697">
        <v>230403</v>
      </c>
      <c r="H18697">
        <v>4600</v>
      </c>
      <c r="I18697" t="s">
        <v>105</v>
      </c>
      <c r="J18697">
        <v>72.09</v>
      </c>
      <c r="K18697">
        <v>13.95</v>
      </c>
      <c r="L18697">
        <v>65422</v>
      </c>
      <c r="M18697" t="s">
        <v>602</v>
      </c>
      <c r="N18697" t="str">
        <f>"73224       "</f>
        <v xml:space="preserve">73224       </v>
      </c>
      <c r="O18697">
        <v>230411</v>
      </c>
    </row>
    <row r="18698" spans="1:15" x14ac:dyDescent="0.25">
      <c r="A18698" t="s">
        <v>16</v>
      </c>
      <c r="B18698" t="s">
        <v>3221</v>
      </c>
      <c r="C18698">
        <v>6285</v>
      </c>
      <c r="D18698" t="s">
        <v>1383</v>
      </c>
      <c r="E18698" t="s">
        <v>1384</v>
      </c>
      <c r="F18698">
        <v>278.52</v>
      </c>
      <c r="G18698">
        <v>230506</v>
      </c>
      <c r="H18698">
        <v>4600</v>
      </c>
      <c r="I18698" t="s">
        <v>105</v>
      </c>
      <c r="J18698">
        <v>345.36</v>
      </c>
      <c r="K18698">
        <v>66.84</v>
      </c>
      <c r="L18698">
        <v>66754</v>
      </c>
      <c r="M18698" t="s">
        <v>239</v>
      </c>
      <c r="N18698" t="str">
        <f>"73676       "</f>
        <v xml:space="preserve">73676       </v>
      </c>
      <c r="O18698">
        <v>230509</v>
      </c>
    </row>
    <row r="18699" spans="1:15" x14ac:dyDescent="0.25">
      <c r="A18699" t="s">
        <v>16</v>
      </c>
      <c r="B18699" t="s">
        <v>3221</v>
      </c>
      <c r="C18699">
        <v>6605</v>
      </c>
      <c r="D18699" t="s">
        <v>1383</v>
      </c>
      <c r="E18699" t="s">
        <v>1384</v>
      </c>
      <c r="F18699">
        <v>718.06</v>
      </c>
      <c r="G18699">
        <v>230506</v>
      </c>
      <c r="H18699">
        <v>4600</v>
      </c>
      <c r="I18699" t="s">
        <v>105</v>
      </c>
      <c r="J18699">
        <v>890.39</v>
      </c>
      <c r="K18699">
        <v>172.33</v>
      </c>
      <c r="L18699">
        <v>66722</v>
      </c>
      <c r="M18699" t="s">
        <v>518</v>
      </c>
      <c r="N18699" t="str">
        <f>"73675       "</f>
        <v xml:space="preserve">73675       </v>
      </c>
      <c r="O18699">
        <v>230516</v>
      </c>
    </row>
    <row r="18700" spans="1:15" x14ac:dyDescent="0.25">
      <c r="A18700" t="s">
        <v>16</v>
      </c>
      <c r="B18700" t="s">
        <v>3221</v>
      </c>
      <c r="C18700">
        <v>9152</v>
      </c>
      <c r="D18700" t="s">
        <v>1383</v>
      </c>
      <c r="E18700" t="s">
        <v>1384</v>
      </c>
      <c r="F18700">
        <v>234.69</v>
      </c>
      <c r="G18700">
        <v>230626</v>
      </c>
      <c r="H18700">
        <v>4600</v>
      </c>
      <c r="I18700" t="s">
        <v>105</v>
      </c>
      <c r="J18700">
        <v>291.01</v>
      </c>
      <c r="K18700">
        <v>56.32</v>
      </c>
      <c r="L18700">
        <v>66754</v>
      </c>
      <c r="M18700" t="s">
        <v>239</v>
      </c>
      <c r="N18700" t="str">
        <f>"74549       "</f>
        <v xml:space="preserve">74549       </v>
      </c>
      <c r="O18700">
        <v>230628</v>
      </c>
    </row>
    <row r="18701" spans="1:15" x14ac:dyDescent="0.25">
      <c r="A18701" t="s">
        <v>16</v>
      </c>
      <c r="B18701" t="s">
        <v>3221</v>
      </c>
      <c r="C18701">
        <v>11088</v>
      </c>
      <c r="D18701" t="s">
        <v>1383</v>
      </c>
      <c r="E18701" t="s">
        <v>1384</v>
      </c>
      <c r="F18701">
        <v>560.77</v>
      </c>
      <c r="G18701">
        <v>230828</v>
      </c>
      <c r="H18701">
        <v>4600</v>
      </c>
      <c r="I18701" t="s">
        <v>105</v>
      </c>
      <c r="J18701">
        <v>695.35</v>
      </c>
      <c r="K18701">
        <v>134.58000000000001</v>
      </c>
      <c r="L18701">
        <v>66754</v>
      </c>
      <c r="M18701" t="s">
        <v>239</v>
      </c>
      <c r="N18701" t="str">
        <f>"75109       "</f>
        <v xml:space="preserve">75109       </v>
      </c>
      <c r="O18701">
        <v>230830</v>
      </c>
    </row>
    <row r="18702" spans="1:15" x14ac:dyDescent="0.25">
      <c r="A18702" t="s">
        <v>16</v>
      </c>
      <c r="B18702" t="s">
        <v>3221</v>
      </c>
      <c r="C18702">
        <v>12929</v>
      </c>
      <c r="D18702" t="s">
        <v>1383</v>
      </c>
      <c r="E18702" t="s">
        <v>1384</v>
      </c>
      <c r="F18702">
        <v>80.2</v>
      </c>
      <c r="G18702">
        <v>230921</v>
      </c>
      <c r="H18702">
        <v>4600</v>
      </c>
      <c r="I18702" t="s">
        <v>105</v>
      </c>
      <c r="J18702">
        <v>99.45</v>
      </c>
      <c r="K18702">
        <v>19.25</v>
      </c>
      <c r="L18702">
        <v>66754</v>
      </c>
      <c r="M18702" t="s">
        <v>239</v>
      </c>
      <c r="N18702" t="str">
        <f>"75513       "</f>
        <v xml:space="preserve">75513       </v>
      </c>
      <c r="O18702">
        <v>231002</v>
      </c>
    </row>
    <row r="18703" spans="1:15" x14ac:dyDescent="0.25">
      <c r="A18703" t="s">
        <v>16</v>
      </c>
      <c r="B18703" t="s">
        <v>3221</v>
      </c>
      <c r="C18703">
        <v>13960</v>
      </c>
      <c r="D18703" t="s">
        <v>1383</v>
      </c>
      <c r="E18703" t="s">
        <v>1384</v>
      </c>
      <c r="F18703">
        <v>292.95</v>
      </c>
      <c r="G18703">
        <v>231016</v>
      </c>
      <c r="H18703">
        <v>4600</v>
      </c>
      <c r="I18703" t="s">
        <v>105</v>
      </c>
      <c r="J18703">
        <v>363.26</v>
      </c>
      <c r="K18703">
        <v>70.31</v>
      </c>
      <c r="L18703">
        <v>66754</v>
      </c>
      <c r="M18703" t="s">
        <v>239</v>
      </c>
      <c r="N18703" t="str">
        <f>"75947       "</f>
        <v xml:space="preserve">75947       </v>
      </c>
      <c r="O18703">
        <v>231017</v>
      </c>
    </row>
    <row r="18704" spans="1:15" x14ac:dyDescent="0.25">
      <c r="A18704" t="s">
        <v>16</v>
      </c>
      <c r="B18704" t="s">
        <v>3221</v>
      </c>
      <c r="C18704">
        <v>14017</v>
      </c>
      <c r="D18704" t="s">
        <v>1383</v>
      </c>
      <c r="E18704" t="s">
        <v>1384</v>
      </c>
      <c r="F18704">
        <v>205.83</v>
      </c>
      <c r="G18704">
        <v>231010</v>
      </c>
      <c r="H18704">
        <v>4600</v>
      </c>
      <c r="I18704" t="s">
        <v>105</v>
      </c>
      <c r="J18704">
        <v>255.23</v>
      </c>
      <c r="K18704">
        <v>49.4</v>
      </c>
      <c r="L18704">
        <v>66754</v>
      </c>
      <c r="M18704" t="s">
        <v>239</v>
      </c>
      <c r="N18704" t="str">
        <f>"75841       "</f>
        <v xml:space="preserve">75841       </v>
      </c>
      <c r="O18704">
        <v>231017</v>
      </c>
    </row>
    <row r="18705" spans="1:15" x14ac:dyDescent="0.25">
      <c r="A18705" t="s">
        <v>16</v>
      </c>
      <c r="B18705" t="s">
        <v>3221</v>
      </c>
      <c r="C18705">
        <v>14274</v>
      </c>
      <c r="D18705" t="s">
        <v>1383</v>
      </c>
      <c r="E18705" t="s">
        <v>1384</v>
      </c>
      <c r="F18705">
        <v>606.55999999999995</v>
      </c>
      <c r="G18705">
        <v>231016</v>
      </c>
      <c r="H18705">
        <v>4600</v>
      </c>
      <c r="I18705" t="s">
        <v>105</v>
      </c>
      <c r="J18705">
        <v>752.13</v>
      </c>
      <c r="K18705">
        <v>145.57</v>
      </c>
      <c r="L18705">
        <v>65422</v>
      </c>
      <c r="M18705" t="s">
        <v>602</v>
      </c>
      <c r="N18705" t="str">
        <f>"75951       "</f>
        <v xml:space="preserve">75951       </v>
      </c>
      <c r="O18705">
        <v>231025</v>
      </c>
    </row>
    <row r="18706" spans="1:15" x14ac:dyDescent="0.25">
      <c r="A18706" t="s">
        <v>16</v>
      </c>
      <c r="B18706" t="s">
        <v>3221</v>
      </c>
      <c r="C18706">
        <v>16382</v>
      </c>
      <c r="D18706" t="s">
        <v>1383</v>
      </c>
      <c r="E18706" t="s">
        <v>1384</v>
      </c>
      <c r="F18706">
        <v>137.24</v>
      </c>
      <c r="G18706">
        <v>231120</v>
      </c>
      <c r="H18706">
        <v>4600</v>
      </c>
      <c r="I18706" t="s">
        <v>105</v>
      </c>
      <c r="J18706">
        <v>170.18</v>
      </c>
      <c r="K18706">
        <v>32.94</v>
      </c>
      <c r="L18706">
        <v>66754</v>
      </c>
      <c r="M18706" t="s">
        <v>239</v>
      </c>
      <c r="N18706" t="str">
        <f>"76538       "</f>
        <v xml:space="preserve">76538       </v>
      </c>
      <c r="O18706">
        <v>231128</v>
      </c>
    </row>
    <row r="18707" spans="1:15" x14ac:dyDescent="0.25">
      <c r="A18707" t="s">
        <v>16</v>
      </c>
      <c r="B18707" t="s">
        <v>3221</v>
      </c>
      <c r="C18707">
        <v>16382</v>
      </c>
      <c r="D18707" t="s">
        <v>1383</v>
      </c>
      <c r="E18707" t="s">
        <v>1384</v>
      </c>
      <c r="F18707">
        <v>53.55</v>
      </c>
      <c r="G18707">
        <v>231120</v>
      </c>
      <c r="H18707">
        <v>4600</v>
      </c>
      <c r="I18707" t="s">
        <v>105</v>
      </c>
      <c r="J18707">
        <v>66.400000000000006</v>
      </c>
      <c r="K18707">
        <v>12.85</v>
      </c>
      <c r="L18707">
        <v>66754</v>
      </c>
      <c r="M18707" t="s">
        <v>239</v>
      </c>
      <c r="N18707" t="str">
        <f>"76538       "</f>
        <v xml:space="preserve">76538       </v>
      </c>
      <c r="O18707">
        <v>231128</v>
      </c>
    </row>
    <row r="18708" spans="1:15" x14ac:dyDescent="0.25">
      <c r="A18708" t="s">
        <v>16</v>
      </c>
      <c r="B18708" t="s">
        <v>3221</v>
      </c>
      <c r="C18708">
        <v>16382</v>
      </c>
      <c r="D18708" t="s">
        <v>1383</v>
      </c>
      <c r="E18708" t="s">
        <v>1384</v>
      </c>
      <c r="F18708">
        <v>210.23</v>
      </c>
      <c r="G18708">
        <v>231120</v>
      </c>
      <c r="H18708">
        <v>4600</v>
      </c>
      <c r="I18708" t="s">
        <v>105</v>
      </c>
      <c r="J18708">
        <v>260.69</v>
      </c>
      <c r="K18708">
        <v>50.46</v>
      </c>
      <c r="L18708">
        <v>66754</v>
      </c>
      <c r="M18708" t="s">
        <v>239</v>
      </c>
      <c r="N18708" t="str">
        <f>"76538       "</f>
        <v xml:space="preserve">76538       </v>
      </c>
      <c r="O18708">
        <v>231128</v>
      </c>
    </row>
    <row r="18709" spans="1:15" x14ac:dyDescent="0.25">
      <c r="A18709" t="s">
        <v>16</v>
      </c>
      <c r="B18709" t="s">
        <v>3221</v>
      </c>
      <c r="C18709">
        <v>17392</v>
      </c>
      <c r="D18709" t="s">
        <v>1383</v>
      </c>
      <c r="E18709" t="s">
        <v>1384</v>
      </c>
      <c r="F18709">
        <v>965.35</v>
      </c>
      <c r="G18709">
        <v>231201</v>
      </c>
      <c r="H18709">
        <v>4600</v>
      </c>
      <c r="I18709" t="s">
        <v>105</v>
      </c>
      <c r="J18709">
        <v>1197.04</v>
      </c>
      <c r="K18709">
        <v>231.69</v>
      </c>
      <c r="L18709">
        <v>66722</v>
      </c>
      <c r="M18709" t="s">
        <v>518</v>
      </c>
      <c r="N18709" t="str">
        <f>"76810       "</f>
        <v xml:space="preserve">76810       </v>
      </c>
      <c r="O18709">
        <v>231213</v>
      </c>
    </row>
    <row r="18710" spans="1:15" x14ac:dyDescent="0.25">
      <c r="A18710" t="s">
        <v>16</v>
      </c>
      <c r="B18710" t="s">
        <v>3221</v>
      </c>
      <c r="C18710">
        <v>17392</v>
      </c>
      <c r="D18710" t="s">
        <v>1383</v>
      </c>
      <c r="E18710" t="s">
        <v>1384</v>
      </c>
      <c r="F18710">
        <v>89.64</v>
      </c>
      <c r="G18710">
        <v>231201</v>
      </c>
      <c r="H18710">
        <v>4600</v>
      </c>
      <c r="I18710" t="s">
        <v>105</v>
      </c>
      <c r="J18710">
        <v>111.15</v>
      </c>
      <c r="K18710">
        <v>21.51</v>
      </c>
      <c r="L18710">
        <v>66754</v>
      </c>
      <c r="M18710" t="s">
        <v>239</v>
      </c>
      <c r="N18710" t="str">
        <f>"76810       "</f>
        <v xml:space="preserve">76810       </v>
      </c>
      <c r="O18710">
        <v>231213</v>
      </c>
    </row>
    <row r="18711" spans="1:15" x14ac:dyDescent="0.25">
      <c r="A18711" t="s">
        <v>16</v>
      </c>
      <c r="B18711" t="s">
        <v>3221</v>
      </c>
      <c r="C18711">
        <v>18188</v>
      </c>
      <c r="D18711" t="s">
        <v>1383</v>
      </c>
      <c r="E18711" t="s">
        <v>1384</v>
      </c>
      <c r="F18711">
        <v>477.71</v>
      </c>
      <c r="G18711">
        <v>231220</v>
      </c>
      <c r="H18711">
        <v>4600</v>
      </c>
      <c r="I18711" t="s">
        <v>105</v>
      </c>
      <c r="J18711">
        <v>592.36</v>
      </c>
      <c r="K18711">
        <v>114.65</v>
      </c>
      <c r="L18711">
        <v>66722</v>
      </c>
      <c r="M18711" t="s">
        <v>518</v>
      </c>
      <c r="N18711" t="str">
        <f>"77255       "</f>
        <v xml:space="preserve">77255       </v>
      </c>
      <c r="O18711">
        <v>240102</v>
      </c>
    </row>
    <row r="18712" spans="1:15" x14ac:dyDescent="0.25">
      <c r="A18712" t="s">
        <v>16</v>
      </c>
      <c r="B18712" t="s">
        <v>3221</v>
      </c>
      <c r="C18712">
        <v>4631</v>
      </c>
      <c r="D18712" t="s">
        <v>1383</v>
      </c>
      <c r="E18712" t="s">
        <v>1384</v>
      </c>
      <c r="F18712">
        <v>21.7</v>
      </c>
      <c r="G18712">
        <v>230403</v>
      </c>
      <c r="H18712">
        <v>4500</v>
      </c>
      <c r="I18712" t="s">
        <v>212</v>
      </c>
      <c r="J18712">
        <v>26.91</v>
      </c>
      <c r="K18712">
        <v>5.21</v>
      </c>
      <c r="L18712">
        <v>66754</v>
      </c>
      <c r="M18712" t="s">
        <v>239</v>
      </c>
      <c r="N18712" t="str">
        <f>"73225       "</f>
        <v xml:space="preserve">73225       </v>
      </c>
      <c r="O18712">
        <v>230411</v>
      </c>
    </row>
    <row r="18713" spans="1:15" x14ac:dyDescent="0.25">
      <c r="A18713" t="s">
        <v>16</v>
      </c>
      <c r="B18713" t="s">
        <v>3221</v>
      </c>
      <c r="C18713">
        <v>14117</v>
      </c>
      <c r="D18713" t="s">
        <v>3217</v>
      </c>
      <c r="E18713" t="s">
        <v>3218</v>
      </c>
      <c r="F18713">
        <v>116</v>
      </c>
      <c r="G18713">
        <v>231012</v>
      </c>
      <c r="H18713">
        <v>4600</v>
      </c>
      <c r="I18713" t="s">
        <v>105</v>
      </c>
      <c r="J18713">
        <v>116</v>
      </c>
      <c r="K18713">
        <v>0</v>
      </c>
      <c r="L18713">
        <v>11001</v>
      </c>
      <c r="M18713" t="s">
        <v>326</v>
      </c>
      <c r="N18713" t="str">
        <f>"11205668    "</f>
        <v xml:space="preserve">11205668    </v>
      </c>
      <c r="O18713">
        <v>231019</v>
      </c>
    </row>
    <row r="18714" spans="1:15" x14ac:dyDescent="0.25">
      <c r="A18714" t="s">
        <v>16</v>
      </c>
      <c r="B18714" t="s">
        <v>3221</v>
      </c>
      <c r="C18714">
        <v>14309</v>
      </c>
      <c r="D18714" t="s">
        <v>3217</v>
      </c>
      <c r="E18714" t="s">
        <v>3218</v>
      </c>
      <c r="F18714">
        <v>141</v>
      </c>
      <c r="G18714">
        <v>231012</v>
      </c>
      <c r="H18714">
        <v>4600</v>
      </c>
      <c r="I18714" t="s">
        <v>105</v>
      </c>
      <c r="J18714">
        <v>141</v>
      </c>
      <c r="K18714">
        <v>0</v>
      </c>
      <c r="L18714">
        <v>14972</v>
      </c>
      <c r="M18714" t="s">
        <v>898</v>
      </c>
      <c r="N18714" t="str">
        <f>"11205667    "</f>
        <v xml:space="preserve">11205667    </v>
      </c>
      <c r="O18714">
        <v>231026</v>
      </c>
    </row>
    <row r="18715" spans="1:15" x14ac:dyDescent="0.25">
      <c r="A18715" t="s">
        <v>16</v>
      </c>
      <c r="B18715" t="s">
        <v>3221</v>
      </c>
      <c r="C18715">
        <v>14309</v>
      </c>
      <c r="D18715" t="s">
        <v>3217</v>
      </c>
      <c r="E18715" t="s">
        <v>3218</v>
      </c>
      <c r="F18715">
        <v>120</v>
      </c>
      <c r="G18715">
        <v>231012</v>
      </c>
      <c r="H18715">
        <v>4600</v>
      </c>
      <c r="I18715" t="s">
        <v>105</v>
      </c>
      <c r="J18715">
        <v>120</v>
      </c>
      <c r="K18715">
        <v>0</v>
      </c>
      <c r="L18715">
        <v>49702</v>
      </c>
      <c r="M18715" t="s">
        <v>584</v>
      </c>
      <c r="N18715" t="str">
        <f>"11205667    "</f>
        <v xml:space="preserve">11205667    </v>
      </c>
      <c r="O18715">
        <v>231026</v>
      </c>
    </row>
    <row r="18716" spans="1:15" x14ac:dyDescent="0.25">
      <c r="A18716" t="s">
        <v>16</v>
      </c>
      <c r="B18716" t="s">
        <v>3221</v>
      </c>
      <c r="C18716">
        <v>14309</v>
      </c>
      <c r="D18716" t="s">
        <v>3217</v>
      </c>
      <c r="E18716" t="s">
        <v>3218</v>
      </c>
      <c r="F18716">
        <v>120</v>
      </c>
      <c r="G18716">
        <v>231012</v>
      </c>
      <c r="H18716">
        <v>4600</v>
      </c>
      <c r="I18716" t="s">
        <v>105</v>
      </c>
      <c r="J18716">
        <v>120</v>
      </c>
      <c r="K18716">
        <v>0</v>
      </c>
      <c r="L18716">
        <v>69704</v>
      </c>
      <c r="M18716" t="s">
        <v>325</v>
      </c>
      <c r="N18716" t="str">
        <f>"11205667    "</f>
        <v xml:space="preserve">11205667    </v>
      </c>
      <c r="O18716">
        <v>231026</v>
      </c>
    </row>
    <row r="18717" spans="1:15" x14ac:dyDescent="0.25">
      <c r="A18717" t="s">
        <v>16</v>
      </c>
      <c r="B18717" t="s">
        <v>3221</v>
      </c>
      <c r="C18717">
        <v>664</v>
      </c>
      <c r="D18717" t="s">
        <v>3217</v>
      </c>
      <c r="E18717" t="s">
        <v>3218</v>
      </c>
      <c r="F18717">
        <v>1196.46</v>
      </c>
      <c r="G18717">
        <v>230124</v>
      </c>
      <c r="H18717">
        <v>4460</v>
      </c>
      <c r="I18717" t="s">
        <v>524</v>
      </c>
      <c r="J18717">
        <v>1196.46</v>
      </c>
      <c r="K18717">
        <v>0</v>
      </c>
      <c r="L18717">
        <v>11501</v>
      </c>
      <c r="M18717" t="s">
        <v>339</v>
      </c>
      <c r="N18717" t="str">
        <f>"90103185    "</f>
        <v xml:space="preserve">90103185    </v>
      </c>
      <c r="O18717">
        <v>230126</v>
      </c>
    </row>
    <row r="18718" spans="1:15" x14ac:dyDescent="0.25">
      <c r="A18718" t="s">
        <v>16</v>
      </c>
      <c r="B18718" t="s">
        <v>3221</v>
      </c>
      <c r="C18718">
        <v>2319</v>
      </c>
      <c r="D18718" t="s">
        <v>1360</v>
      </c>
      <c r="E18718" t="s">
        <v>1361</v>
      </c>
      <c r="F18718">
        <v>747.45</v>
      </c>
      <c r="G18718">
        <v>230223</v>
      </c>
      <c r="H18718">
        <v>4350</v>
      </c>
      <c r="I18718" t="s">
        <v>546</v>
      </c>
      <c r="J18718">
        <v>926.84</v>
      </c>
      <c r="K18718">
        <v>179.39</v>
      </c>
      <c r="L18718">
        <v>13201</v>
      </c>
      <c r="M18718" t="s">
        <v>161</v>
      </c>
      <c r="N18718" t="str">
        <f>"2218431     "</f>
        <v xml:space="preserve">2218431     </v>
      </c>
      <c r="O18718">
        <v>230224</v>
      </c>
    </row>
    <row r="18719" spans="1:15" x14ac:dyDescent="0.25">
      <c r="A18719" t="s">
        <v>16</v>
      </c>
      <c r="B18719" t="s">
        <v>3221</v>
      </c>
      <c r="C18719">
        <v>10516</v>
      </c>
      <c r="D18719" t="s">
        <v>3511</v>
      </c>
      <c r="E18719" t="s">
        <v>3512</v>
      </c>
      <c r="F18719">
        <v>166.66</v>
      </c>
      <c r="G18719">
        <v>230725</v>
      </c>
      <c r="H18719">
        <v>4350</v>
      </c>
      <c r="I18719" t="s">
        <v>546</v>
      </c>
      <c r="J18719">
        <v>166.66</v>
      </c>
      <c r="K18719">
        <v>0</v>
      </c>
      <c r="L18719">
        <v>17534</v>
      </c>
      <c r="M18719" t="s">
        <v>440</v>
      </c>
      <c r="N18719" t="str">
        <f>"90190010829 "</f>
        <v xml:space="preserve">90190010829 </v>
      </c>
      <c r="O18719">
        <v>230817</v>
      </c>
    </row>
    <row r="18720" spans="1:15" x14ac:dyDescent="0.25">
      <c r="A18720" t="s">
        <v>16</v>
      </c>
      <c r="B18720" t="s">
        <v>3221</v>
      </c>
      <c r="C18720">
        <v>10516</v>
      </c>
      <c r="D18720" t="s">
        <v>3511</v>
      </c>
      <c r="E18720" t="s">
        <v>3512</v>
      </c>
      <c r="F18720">
        <v>166.67</v>
      </c>
      <c r="G18720">
        <v>230725</v>
      </c>
      <c r="H18720">
        <v>4350</v>
      </c>
      <c r="I18720" t="s">
        <v>546</v>
      </c>
      <c r="J18720">
        <v>166.67</v>
      </c>
      <c r="K18720">
        <v>0</v>
      </c>
      <c r="L18720">
        <v>17535</v>
      </c>
      <c r="M18720" t="s">
        <v>357</v>
      </c>
      <c r="N18720" t="str">
        <f>"90190010829 "</f>
        <v xml:space="preserve">90190010829 </v>
      </c>
      <c r="O18720">
        <v>230817</v>
      </c>
    </row>
    <row r="18721" spans="1:15" x14ac:dyDescent="0.25">
      <c r="A18721" t="s">
        <v>16</v>
      </c>
      <c r="B18721" t="s">
        <v>3221</v>
      </c>
      <c r="C18721">
        <v>10516</v>
      </c>
      <c r="D18721" t="s">
        <v>3511</v>
      </c>
      <c r="E18721" t="s">
        <v>3512</v>
      </c>
      <c r="F18721">
        <v>166.67</v>
      </c>
      <c r="G18721">
        <v>230725</v>
      </c>
      <c r="H18721">
        <v>4350</v>
      </c>
      <c r="I18721" t="s">
        <v>546</v>
      </c>
      <c r="J18721">
        <v>166.67</v>
      </c>
      <c r="K18721">
        <v>0</v>
      </c>
      <c r="L18721">
        <v>17536</v>
      </c>
      <c r="M18721" t="s">
        <v>734</v>
      </c>
      <c r="N18721" t="str">
        <f>"90190010829 "</f>
        <v xml:space="preserve">90190010829 </v>
      </c>
      <c r="O18721">
        <v>230817</v>
      </c>
    </row>
    <row r="18722" spans="1:15" x14ac:dyDescent="0.25">
      <c r="A18722" t="s">
        <v>16</v>
      </c>
      <c r="B18722" t="s">
        <v>3221</v>
      </c>
      <c r="C18722">
        <v>3789</v>
      </c>
      <c r="D18722" t="s">
        <v>3407</v>
      </c>
      <c r="E18722" t="s">
        <v>3408</v>
      </c>
      <c r="F18722">
        <v>60</v>
      </c>
      <c r="G18722">
        <v>230320</v>
      </c>
      <c r="H18722">
        <v>4460</v>
      </c>
      <c r="I18722" t="s">
        <v>524</v>
      </c>
      <c r="J18722">
        <v>60</v>
      </c>
      <c r="K18722">
        <v>0</v>
      </c>
      <c r="L18722">
        <v>17534</v>
      </c>
      <c r="M18722" t="s">
        <v>440</v>
      </c>
      <c r="N18722" t="str">
        <f>"200323      "</f>
        <v xml:space="preserve">200323      </v>
      </c>
      <c r="O18722">
        <v>230322</v>
      </c>
    </row>
    <row r="18723" spans="1:15" x14ac:dyDescent="0.25">
      <c r="A18723" t="s">
        <v>16</v>
      </c>
      <c r="B18723" t="s">
        <v>3221</v>
      </c>
      <c r="C18723">
        <v>1550</v>
      </c>
      <c r="D18723" t="s">
        <v>1081</v>
      </c>
      <c r="E18723" t="s">
        <v>1082</v>
      </c>
      <c r="F18723">
        <v>65</v>
      </c>
      <c r="G18723">
        <v>230206</v>
      </c>
      <c r="H18723">
        <v>4510</v>
      </c>
      <c r="I18723" t="s">
        <v>42</v>
      </c>
      <c r="J18723">
        <v>71.5</v>
      </c>
      <c r="K18723">
        <v>6.5</v>
      </c>
      <c r="L18723">
        <v>56563</v>
      </c>
      <c r="M18723" t="s">
        <v>953</v>
      </c>
      <c r="N18723" t="str">
        <f>"151306      "</f>
        <v xml:space="preserve">151306      </v>
      </c>
      <c r="O18723">
        <v>230209</v>
      </c>
    </row>
    <row r="18724" spans="1:15" x14ac:dyDescent="0.25">
      <c r="A18724" t="s">
        <v>16</v>
      </c>
      <c r="B18724" t="s">
        <v>3221</v>
      </c>
      <c r="C18724">
        <v>9022</v>
      </c>
      <c r="D18724" t="s">
        <v>1081</v>
      </c>
      <c r="E18724" t="s">
        <v>1082</v>
      </c>
      <c r="F18724">
        <v>480</v>
      </c>
      <c r="G18724">
        <v>230703</v>
      </c>
      <c r="H18724">
        <v>4441</v>
      </c>
      <c r="I18724" t="s">
        <v>109</v>
      </c>
      <c r="J18724">
        <v>595.20000000000005</v>
      </c>
      <c r="K18724">
        <v>115.2</v>
      </c>
      <c r="L18724">
        <v>14640</v>
      </c>
      <c r="M18724" t="s">
        <v>229</v>
      </c>
      <c r="N18724" t="str">
        <f>"152111      "</f>
        <v xml:space="preserve">152111      </v>
      </c>
      <c r="O18724">
        <v>230621</v>
      </c>
    </row>
    <row r="18725" spans="1:15" x14ac:dyDescent="0.25">
      <c r="A18725" t="s">
        <v>16</v>
      </c>
      <c r="B18725" t="s">
        <v>3221</v>
      </c>
      <c r="C18725">
        <v>9071</v>
      </c>
      <c r="D18725" t="s">
        <v>1081</v>
      </c>
      <c r="E18725" t="s">
        <v>1082</v>
      </c>
      <c r="F18725">
        <v>120</v>
      </c>
      <c r="G18725">
        <v>230703</v>
      </c>
      <c r="H18725">
        <v>4441</v>
      </c>
      <c r="I18725" t="s">
        <v>109</v>
      </c>
      <c r="J18725">
        <v>148.80000000000001</v>
      </c>
      <c r="K18725">
        <v>28.8</v>
      </c>
      <c r="L18725">
        <v>56563</v>
      </c>
      <c r="M18725" t="s">
        <v>953</v>
      </c>
      <c r="N18725" t="str">
        <f>"152110      "</f>
        <v xml:space="preserve">152110      </v>
      </c>
      <c r="O18725">
        <v>230622</v>
      </c>
    </row>
    <row r="18726" spans="1:15" x14ac:dyDescent="0.25">
      <c r="A18726" t="s">
        <v>16</v>
      </c>
      <c r="B18726" t="s">
        <v>3221</v>
      </c>
      <c r="C18726">
        <v>16485</v>
      </c>
      <c r="D18726" t="s">
        <v>3576</v>
      </c>
      <c r="E18726" t="s">
        <v>3577</v>
      </c>
      <c r="F18726">
        <v>229</v>
      </c>
      <c r="G18726">
        <v>231124</v>
      </c>
      <c r="H18726">
        <v>4440</v>
      </c>
      <c r="I18726" t="s">
        <v>250</v>
      </c>
      <c r="J18726">
        <v>229</v>
      </c>
      <c r="K18726">
        <v>0</v>
      </c>
      <c r="L18726">
        <v>13501</v>
      </c>
      <c r="M18726" t="s">
        <v>20</v>
      </c>
      <c r="N18726" t="str">
        <f>"2321        "</f>
        <v xml:space="preserve">2321        </v>
      </c>
      <c r="O18726">
        <v>231201</v>
      </c>
    </row>
    <row r="18727" spans="1:15" x14ac:dyDescent="0.25">
      <c r="A18727" t="s">
        <v>16</v>
      </c>
      <c r="B18727" t="s">
        <v>3221</v>
      </c>
      <c r="C18727">
        <v>44</v>
      </c>
      <c r="D18727" t="s">
        <v>3321</v>
      </c>
      <c r="E18727" t="s">
        <v>3322</v>
      </c>
      <c r="F18727">
        <v>35</v>
      </c>
      <c r="G18727">
        <v>230101</v>
      </c>
      <c r="H18727">
        <v>4510</v>
      </c>
      <c r="I18727" t="s">
        <v>42</v>
      </c>
      <c r="J18727">
        <v>38.5</v>
      </c>
      <c r="K18727">
        <v>3.5</v>
      </c>
      <c r="L18727">
        <v>17131</v>
      </c>
      <c r="M18727" t="s">
        <v>64</v>
      </c>
      <c r="N18727" t="str">
        <f>"10370123    "</f>
        <v xml:space="preserve">10370123    </v>
      </c>
      <c r="O18727">
        <v>230103</v>
      </c>
    </row>
    <row r="18728" spans="1:15" x14ac:dyDescent="0.25">
      <c r="A18728" t="s">
        <v>16</v>
      </c>
      <c r="B18728" t="s">
        <v>3221</v>
      </c>
      <c r="C18728">
        <v>44</v>
      </c>
      <c r="D18728" t="s">
        <v>3321</v>
      </c>
      <c r="E18728" t="s">
        <v>3322</v>
      </c>
      <c r="F18728">
        <v>35</v>
      </c>
      <c r="G18728">
        <v>230101</v>
      </c>
      <c r="H18728">
        <v>4510</v>
      </c>
      <c r="I18728" t="s">
        <v>42</v>
      </c>
      <c r="J18728">
        <v>38.5</v>
      </c>
      <c r="K18728">
        <v>3.5</v>
      </c>
      <c r="L18728">
        <v>17711</v>
      </c>
      <c r="M18728" t="s">
        <v>65</v>
      </c>
      <c r="N18728" t="str">
        <f>"10370123    "</f>
        <v xml:space="preserve">10370123    </v>
      </c>
      <c r="O18728">
        <v>230103</v>
      </c>
    </row>
    <row r="18729" spans="1:15" x14ac:dyDescent="0.25">
      <c r="A18729" t="s">
        <v>16</v>
      </c>
      <c r="B18729" t="s">
        <v>3221</v>
      </c>
      <c r="C18729">
        <v>6134</v>
      </c>
      <c r="D18729" t="s">
        <v>3701</v>
      </c>
      <c r="E18729" t="s">
        <v>3450</v>
      </c>
      <c r="F18729">
        <v>160</v>
      </c>
      <c r="G18729">
        <v>230504</v>
      </c>
      <c r="H18729">
        <v>4940</v>
      </c>
      <c r="I18729" t="s">
        <v>514</v>
      </c>
      <c r="J18729">
        <v>160</v>
      </c>
      <c r="K18729">
        <v>0</v>
      </c>
      <c r="L18729">
        <v>17131</v>
      </c>
      <c r="M18729" t="s">
        <v>64</v>
      </c>
      <c r="N18729" t="str">
        <f>"1131        "</f>
        <v xml:space="preserve">1131        </v>
      </c>
      <c r="O18729">
        <v>230508</v>
      </c>
    </row>
    <row r="18730" spans="1:15" x14ac:dyDescent="0.25">
      <c r="A18730" t="s">
        <v>16</v>
      </c>
      <c r="B18730" t="s">
        <v>3221</v>
      </c>
      <c r="C18730">
        <v>16554</v>
      </c>
      <c r="D18730" t="s">
        <v>3701</v>
      </c>
      <c r="E18730" t="s">
        <v>3450</v>
      </c>
      <c r="F18730">
        <v>30</v>
      </c>
      <c r="G18730">
        <v>231129</v>
      </c>
      <c r="H18730">
        <v>4470</v>
      </c>
      <c r="I18730" t="s">
        <v>83</v>
      </c>
      <c r="J18730">
        <v>30</v>
      </c>
      <c r="K18730">
        <v>0</v>
      </c>
      <c r="L18730">
        <v>17131</v>
      </c>
      <c r="M18730" t="s">
        <v>64</v>
      </c>
      <c r="N18730" t="str">
        <f>"1311        "</f>
        <v xml:space="preserve">1311        </v>
      </c>
      <c r="O18730">
        <v>231201</v>
      </c>
    </row>
    <row r="18731" spans="1:15" x14ac:dyDescent="0.25">
      <c r="A18731" t="s">
        <v>16</v>
      </c>
      <c r="B18731" t="s">
        <v>3221</v>
      </c>
      <c r="C18731">
        <v>16505</v>
      </c>
      <c r="D18731" t="s">
        <v>3701</v>
      </c>
      <c r="E18731" t="s">
        <v>3450</v>
      </c>
      <c r="F18731">
        <v>84</v>
      </c>
      <c r="G18731">
        <v>231128</v>
      </c>
      <c r="H18731">
        <v>4440</v>
      </c>
      <c r="I18731" t="s">
        <v>250</v>
      </c>
      <c r="J18731">
        <v>84</v>
      </c>
      <c r="K18731">
        <v>0</v>
      </c>
      <c r="L18731">
        <v>17131</v>
      </c>
      <c r="M18731" t="s">
        <v>64</v>
      </c>
      <c r="N18731" t="str">
        <f>"1294        "</f>
        <v xml:space="preserve">1294        </v>
      </c>
      <c r="O18731">
        <v>231201</v>
      </c>
    </row>
    <row r="18732" spans="1:15" x14ac:dyDescent="0.25">
      <c r="A18732" t="s">
        <v>16</v>
      </c>
      <c r="B18732" t="s">
        <v>3221</v>
      </c>
      <c r="C18732">
        <v>16554</v>
      </c>
      <c r="D18732" t="s">
        <v>3701</v>
      </c>
      <c r="E18732" t="s">
        <v>3450</v>
      </c>
      <c r="F18732">
        <v>160</v>
      </c>
      <c r="G18732">
        <v>231129</v>
      </c>
      <c r="H18732">
        <v>4347</v>
      </c>
      <c r="I18732" t="s">
        <v>193</v>
      </c>
      <c r="J18732">
        <v>160</v>
      </c>
      <c r="K18732">
        <v>0</v>
      </c>
      <c r="L18732">
        <v>17131</v>
      </c>
      <c r="M18732" t="s">
        <v>64</v>
      </c>
      <c r="N18732" t="str">
        <f>"1311        "</f>
        <v xml:space="preserve">1311        </v>
      </c>
      <c r="O18732">
        <v>231201</v>
      </c>
    </row>
    <row r="18733" spans="1:15" x14ac:dyDescent="0.25">
      <c r="A18733" t="s">
        <v>16</v>
      </c>
      <c r="B18733" t="s">
        <v>3221</v>
      </c>
      <c r="C18733">
        <v>8944</v>
      </c>
      <c r="D18733" t="s">
        <v>3494</v>
      </c>
      <c r="F18733">
        <v>30</v>
      </c>
      <c r="G18733">
        <v>230613</v>
      </c>
      <c r="H18733">
        <v>4510</v>
      </c>
      <c r="I18733" t="s">
        <v>42</v>
      </c>
      <c r="J18733">
        <v>30</v>
      </c>
      <c r="K18733">
        <v>0</v>
      </c>
      <c r="L18733">
        <v>13561</v>
      </c>
      <c r="M18733" t="s">
        <v>246</v>
      </c>
      <c r="N18733" t="str">
        <f>"1083        "</f>
        <v xml:space="preserve">1083        </v>
      </c>
      <c r="O18733">
        <v>230620</v>
      </c>
    </row>
    <row r="18734" spans="1:15" x14ac:dyDescent="0.25">
      <c r="A18734" t="s">
        <v>16</v>
      </c>
      <c r="B18734" t="s">
        <v>3221</v>
      </c>
      <c r="C18734">
        <v>11956</v>
      </c>
      <c r="D18734" t="s">
        <v>310</v>
      </c>
      <c r="E18734" t="s">
        <v>311</v>
      </c>
      <c r="F18734">
        <v>226.4</v>
      </c>
      <c r="G18734">
        <v>230904</v>
      </c>
      <c r="H18734">
        <v>4520</v>
      </c>
      <c r="I18734" t="s">
        <v>254</v>
      </c>
      <c r="J18734">
        <v>280.74</v>
      </c>
      <c r="K18734">
        <v>54.34</v>
      </c>
      <c r="L18734">
        <v>14951</v>
      </c>
      <c r="M18734" t="s">
        <v>57</v>
      </c>
      <c r="N18734" t="str">
        <f>"154291      "</f>
        <v xml:space="preserve">154291      </v>
      </c>
      <c r="O18734">
        <v>230912</v>
      </c>
    </row>
    <row r="18735" spans="1:15" x14ac:dyDescent="0.25">
      <c r="A18735" t="s">
        <v>16</v>
      </c>
      <c r="B18735" t="s">
        <v>3221</v>
      </c>
      <c r="C18735">
        <v>11717</v>
      </c>
      <c r="D18735" t="s">
        <v>310</v>
      </c>
      <c r="E18735" t="s">
        <v>311</v>
      </c>
      <c r="F18735">
        <v>249.67</v>
      </c>
      <c r="G18735">
        <v>230905</v>
      </c>
      <c r="H18735">
        <v>4580</v>
      </c>
      <c r="I18735" t="s">
        <v>35</v>
      </c>
      <c r="J18735">
        <v>309.58999999999997</v>
      </c>
      <c r="K18735">
        <v>59.92</v>
      </c>
      <c r="L18735">
        <v>56561</v>
      </c>
      <c r="M18735" t="s">
        <v>358</v>
      </c>
      <c r="N18735" t="str">
        <f>"154479      "</f>
        <v xml:space="preserve">154479      </v>
      </c>
      <c r="O18735">
        <v>230908</v>
      </c>
    </row>
    <row r="18736" spans="1:15" x14ac:dyDescent="0.25">
      <c r="A18736" t="s">
        <v>16</v>
      </c>
      <c r="B18736" t="s">
        <v>3221</v>
      </c>
      <c r="C18736">
        <v>16669</v>
      </c>
      <c r="D18736" t="s">
        <v>310</v>
      </c>
      <c r="E18736" t="s">
        <v>311</v>
      </c>
      <c r="F18736">
        <v>16.55</v>
      </c>
      <c r="G18736">
        <v>231116</v>
      </c>
      <c r="H18736">
        <v>4580</v>
      </c>
      <c r="I18736" t="s">
        <v>35</v>
      </c>
      <c r="J18736">
        <v>20.52</v>
      </c>
      <c r="K18736">
        <v>3.97</v>
      </c>
      <c r="L18736">
        <v>17521</v>
      </c>
      <c r="M18736" t="s">
        <v>133</v>
      </c>
      <c r="N18736" t="str">
        <f>"161513      "</f>
        <v xml:space="preserve">161513      </v>
      </c>
      <c r="O18736">
        <v>231207</v>
      </c>
    </row>
    <row r="18737" spans="1:15" x14ac:dyDescent="0.25">
      <c r="A18737" t="s">
        <v>16</v>
      </c>
      <c r="B18737" t="s">
        <v>3221</v>
      </c>
      <c r="C18737">
        <v>9651</v>
      </c>
      <c r="D18737" t="s">
        <v>310</v>
      </c>
      <c r="E18737" t="s">
        <v>311</v>
      </c>
      <c r="F18737">
        <v>2262.44</v>
      </c>
      <c r="G18737">
        <v>230705</v>
      </c>
      <c r="H18737">
        <v>1198</v>
      </c>
      <c r="I18737" t="s">
        <v>1128</v>
      </c>
      <c r="J18737">
        <v>2805.42</v>
      </c>
      <c r="K18737">
        <v>542.98</v>
      </c>
      <c r="L18737">
        <v>95511</v>
      </c>
      <c r="M18737" t="s">
        <v>1129</v>
      </c>
      <c r="N18737" t="str">
        <f>"149112      "</f>
        <v xml:space="preserve">149112      </v>
      </c>
      <c r="O18737">
        <v>230718</v>
      </c>
    </row>
    <row r="18738" spans="1:15" x14ac:dyDescent="0.25">
      <c r="A18738" t="s">
        <v>16</v>
      </c>
      <c r="B18738" t="s">
        <v>3221</v>
      </c>
      <c r="C18738">
        <v>8152</v>
      </c>
      <c r="D18738" t="s">
        <v>310</v>
      </c>
      <c r="E18738" t="s">
        <v>311</v>
      </c>
      <c r="F18738">
        <v>6.74</v>
      </c>
      <c r="G18738">
        <v>230606</v>
      </c>
      <c r="H18738">
        <v>4420</v>
      </c>
      <c r="I18738" t="s">
        <v>132</v>
      </c>
      <c r="J18738">
        <v>8.36</v>
      </c>
      <c r="K18738">
        <v>1.62</v>
      </c>
      <c r="L18738">
        <v>17951</v>
      </c>
      <c r="M18738" t="s">
        <v>87</v>
      </c>
      <c r="N18738" t="str">
        <f>"146657      "</f>
        <v xml:space="preserve">146657      </v>
      </c>
      <c r="O18738">
        <v>230607</v>
      </c>
    </row>
    <row r="18739" spans="1:15" x14ac:dyDescent="0.25">
      <c r="A18739" t="s">
        <v>16</v>
      </c>
      <c r="B18739" t="s">
        <v>3221</v>
      </c>
      <c r="C18739">
        <v>10208</v>
      </c>
      <c r="D18739" t="s">
        <v>310</v>
      </c>
      <c r="E18739" t="s">
        <v>311</v>
      </c>
      <c r="F18739">
        <v>10.95</v>
      </c>
      <c r="G18739">
        <v>230808</v>
      </c>
      <c r="H18739">
        <v>4420</v>
      </c>
      <c r="I18739" t="s">
        <v>132</v>
      </c>
      <c r="J18739">
        <v>13.58</v>
      </c>
      <c r="K18739">
        <v>2.63</v>
      </c>
      <c r="L18739">
        <v>17951</v>
      </c>
      <c r="M18739" t="s">
        <v>87</v>
      </c>
      <c r="N18739" t="str">
        <f>"151483      "</f>
        <v xml:space="preserve">151483      </v>
      </c>
      <c r="O18739">
        <v>230809</v>
      </c>
    </row>
    <row r="18740" spans="1:15" x14ac:dyDescent="0.25">
      <c r="A18740" t="s">
        <v>16</v>
      </c>
      <c r="B18740" t="s">
        <v>3221</v>
      </c>
      <c r="C18740">
        <v>3299</v>
      </c>
      <c r="D18740" t="s">
        <v>310</v>
      </c>
      <c r="E18740" t="s">
        <v>311</v>
      </c>
      <c r="F18740">
        <v>10.84</v>
      </c>
      <c r="G18740">
        <v>230220</v>
      </c>
      <c r="H18740">
        <v>4600</v>
      </c>
      <c r="I18740" t="s">
        <v>105</v>
      </c>
      <c r="J18740">
        <v>13.44</v>
      </c>
      <c r="K18740">
        <v>2.6</v>
      </c>
      <c r="L18740">
        <v>17532</v>
      </c>
      <c r="M18740" t="s">
        <v>543</v>
      </c>
      <c r="N18740" t="str">
        <f>"136840      "</f>
        <v xml:space="preserve">136840      </v>
      </c>
      <c r="O18740">
        <v>230314</v>
      </c>
    </row>
    <row r="18741" spans="1:15" x14ac:dyDescent="0.25">
      <c r="A18741" t="s">
        <v>16</v>
      </c>
      <c r="B18741" t="s">
        <v>3221</v>
      </c>
      <c r="C18741">
        <v>14526</v>
      </c>
      <c r="D18741" t="s">
        <v>310</v>
      </c>
      <c r="E18741" t="s">
        <v>311</v>
      </c>
      <c r="F18741">
        <v>15.3</v>
      </c>
      <c r="G18741">
        <v>231020</v>
      </c>
      <c r="H18741">
        <v>4600</v>
      </c>
      <c r="I18741" t="s">
        <v>105</v>
      </c>
      <c r="J18741">
        <v>18.97</v>
      </c>
      <c r="K18741">
        <v>3.67</v>
      </c>
      <c r="L18741">
        <v>17952</v>
      </c>
      <c r="M18741" t="s">
        <v>88</v>
      </c>
      <c r="N18741" t="str">
        <f>"159029      "</f>
        <v xml:space="preserve">159029      </v>
      </c>
      <c r="O18741">
        <v>231030</v>
      </c>
    </row>
    <row r="18742" spans="1:15" x14ac:dyDescent="0.25">
      <c r="A18742" t="s">
        <v>16</v>
      </c>
      <c r="B18742" t="s">
        <v>3221</v>
      </c>
      <c r="C18742">
        <v>5729</v>
      </c>
      <c r="D18742" t="s">
        <v>310</v>
      </c>
      <c r="E18742" t="s">
        <v>311</v>
      </c>
      <c r="F18742">
        <v>776.27</v>
      </c>
      <c r="G18742">
        <v>230421</v>
      </c>
      <c r="H18742">
        <v>4380</v>
      </c>
      <c r="I18742" t="s">
        <v>113</v>
      </c>
      <c r="J18742">
        <v>962.57</v>
      </c>
      <c r="K18742">
        <v>186.3</v>
      </c>
      <c r="L18742">
        <v>54422</v>
      </c>
      <c r="M18742" t="s">
        <v>234</v>
      </c>
      <c r="N18742" t="str">
        <f>"142564      "</f>
        <v xml:space="preserve">142564      </v>
      </c>
      <c r="O18742">
        <v>230502</v>
      </c>
    </row>
    <row r="18743" spans="1:15" x14ac:dyDescent="0.25">
      <c r="A18743" t="s">
        <v>16</v>
      </c>
      <c r="B18743" t="s">
        <v>3221</v>
      </c>
      <c r="C18743">
        <v>11627</v>
      </c>
      <c r="D18743" t="s">
        <v>310</v>
      </c>
      <c r="E18743" t="s">
        <v>311</v>
      </c>
      <c r="F18743">
        <v>208.83</v>
      </c>
      <c r="G18743">
        <v>230905</v>
      </c>
      <c r="H18743">
        <v>4380</v>
      </c>
      <c r="I18743" t="s">
        <v>113</v>
      </c>
      <c r="J18743">
        <v>258.95</v>
      </c>
      <c r="K18743">
        <v>50.12</v>
      </c>
      <c r="L18743">
        <v>56562</v>
      </c>
      <c r="M18743" t="s">
        <v>126</v>
      </c>
      <c r="N18743" t="str">
        <f>"154480      "</f>
        <v xml:space="preserve">154480      </v>
      </c>
      <c r="O18743">
        <v>230907</v>
      </c>
    </row>
    <row r="18744" spans="1:15" x14ac:dyDescent="0.25">
      <c r="A18744" t="s">
        <v>16</v>
      </c>
      <c r="B18744" t="s">
        <v>3221</v>
      </c>
      <c r="C18744">
        <v>198</v>
      </c>
      <c r="D18744" t="s">
        <v>310</v>
      </c>
      <c r="E18744" t="s">
        <v>311</v>
      </c>
      <c r="F18744">
        <v>233.56</v>
      </c>
      <c r="G18744">
        <v>230109</v>
      </c>
      <c r="H18744">
        <v>4550</v>
      </c>
      <c r="I18744" t="s">
        <v>312</v>
      </c>
      <c r="J18744">
        <v>289.62</v>
      </c>
      <c r="K18744">
        <v>56.06</v>
      </c>
      <c r="L18744">
        <v>69112</v>
      </c>
      <c r="M18744" t="s">
        <v>313</v>
      </c>
      <c r="N18744" t="str">
        <f>"132336      "</f>
        <v xml:space="preserve">132336      </v>
      </c>
      <c r="O18744">
        <v>230116</v>
      </c>
    </row>
    <row r="18745" spans="1:15" x14ac:dyDescent="0.25">
      <c r="A18745" t="s">
        <v>16</v>
      </c>
      <c r="B18745" t="s">
        <v>3221</v>
      </c>
      <c r="C18745">
        <v>198</v>
      </c>
      <c r="D18745" t="s">
        <v>310</v>
      </c>
      <c r="E18745" t="s">
        <v>311</v>
      </c>
      <c r="F18745">
        <v>12.98</v>
      </c>
      <c r="G18745">
        <v>230109</v>
      </c>
      <c r="H18745">
        <v>4550</v>
      </c>
      <c r="I18745" t="s">
        <v>312</v>
      </c>
      <c r="J18745">
        <v>16.09</v>
      </c>
      <c r="K18745">
        <v>3.11</v>
      </c>
      <c r="L18745">
        <v>69810</v>
      </c>
      <c r="M18745" t="s">
        <v>314</v>
      </c>
      <c r="N18745" t="str">
        <f>"132336      "</f>
        <v xml:space="preserve">132336      </v>
      </c>
      <c r="O18745">
        <v>230116</v>
      </c>
    </row>
    <row r="18746" spans="1:15" x14ac:dyDescent="0.25">
      <c r="A18746" t="s">
        <v>16</v>
      </c>
      <c r="B18746" t="s">
        <v>3221</v>
      </c>
      <c r="C18746">
        <v>198</v>
      </c>
      <c r="D18746" t="s">
        <v>310</v>
      </c>
      <c r="E18746" t="s">
        <v>311</v>
      </c>
      <c r="F18746">
        <v>12.98</v>
      </c>
      <c r="G18746">
        <v>230109</v>
      </c>
      <c r="H18746">
        <v>4550</v>
      </c>
      <c r="I18746" t="s">
        <v>312</v>
      </c>
      <c r="J18746">
        <v>16.09</v>
      </c>
      <c r="K18746">
        <v>3.11</v>
      </c>
      <c r="L18746">
        <v>69811</v>
      </c>
      <c r="M18746" t="s">
        <v>315</v>
      </c>
      <c r="N18746" t="str">
        <f>"132336      "</f>
        <v xml:space="preserve">132336      </v>
      </c>
      <c r="O18746">
        <v>230116</v>
      </c>
    </row>
    <row r="18747" spans="1:15" x14ac:dyDescent="0.25">
      <c r="A18747" t="s">
        <v>16</v>
      </c>
      <c r="B18747" t="s">
        <v>3221</v>
      </c>
      <c r="C18747">
        <v>326</v>
      </c>
      <c r="D18747" t="s">
        <v>310</v>
      </c>
      <c r="E18747" t="s">
        <v>311</v>
      </c>
      <c r="F18747">
        <v>284.68</v>
      </c>
      <c r="G18747">
        <v>230111</v>
      </c>
      <c r="H18747">
        <v>4550</v>
      </c>
      <c r="I18747" t="s">
        <v>312</v>
      </c>
      <c r="J18747">
        <v>353</v>
      </c>
      <c r="K18747">
        <v>68.319999999999993</v>
      </c>
      <c r="L18747">
        <v>49112</v>
      </c>
      <c r="M18747" t="s">
        <v>233</v>
      </c>
      <c r="N18747" t="str">
        <f>"132637      "</f>
        <v xml:space="preserve">132637      </v>
      </c>
      <c r="O18747">
        <v>230118</v>
      </c>
    </row>
    <row r="18748" spans="1:15" x14ac:dyDescent="0.25">
      <c r="A18748" t="s">
        <v>16</v>
      </c>
      <c r="B18748" t="s">
        <v>3221</v>
      </c>
      <c r="C18748">
        <v>348</v>
      </c>
      <c r="D18748" t="s">
        <v>310</v>
      </c>
      <c r="E18748" t="s">
        <v>311</v>
      </c>
      <c r="F18748">
        <v>184.87</v>
      </c>
      <c r="G18748">
        <v>230117</v>
      </c>
      <c r="H18748">
        <v>4550</v>
      </c>
      <c r="I18748" t="s">
        <v>312</v>
      </c>
      <c r="J18748">
        <v>229.24</v>
      </c>
      <c r="K18748">
        <v>44.37</v>
      </c>
      <c r="L18748">
        <v>59504</v>
      </c>
      <c r="M18748" t="s">
        <v>71</v>
      </c>
      <c r="N18748" t="str">
        <f>"133183      "</f>
        <v xml:space="preserve">133183      </v>
      </c>
      <c r="O18748">
        <v>230118</v>
      </c>
    </row>
    <row r="18749" spans="1:15" x14ac:dyDescent="0.25">
      <c r="A18749" t="s">
        <v>16</v>
      </c>
      <c r="B18749" t="s">
        <v>3221</v>
      </c>
      <c r="C18749">
        <v>406</v>
      </c>
      <c r="D18749" t="s">
        <v>310</v>
      </c>
      <c r="E18749" t="s">
        <v>311</v>
      </c>
      <c r="F18749">
        <v>476.31</v>
      </c>
      <c r="G18749">
        <v>230118</v>
      </c>
      <c r="H18749">
        <v>4550</v>
      </c>
      <c r="I18749" t="s">
        <v>312</v>
      </c>
      <c r="J18749">
        <v>590.62</v>
      </c>
      <c r="K18749">
        <v>114.31</v>
      </c>
      <c r="L18749">
        <v>59505</v>
      </c>
      <c r="M18749" t="s">
        <v>72</v>
      </c>
      <c r="N18749" t="str">
        <f>"133385      "</f>
        <v xml:space="preserve">133385      </v>
      </c>
      <c r="O18749">
        <v>230120</v>
      </c>
    </row>
    <row r="18750" spans="1:15" x14ac:dyDescent="0.25">
      <c r="A18750" t="s">
        <v>16</v>
      </c>
      <c r="B18750" t="s">
        <v>3221</v>
      </c>
      <c r="C18750">
        <v>427</v>
      </c>
      <c r="D18750" t="s">
        <v>310</v>
      </c>
      <c r="E18750" t="s">
        <v>311</v>
      </c>
      <c r="F18750">
        <v>270.74</v>
      </c>
      <c r="G18750">
        <v>230118</v>
      </c>
      <c r="H18750">
        <v>4550</v>
      </c>
      <c r="I18750" t="s">
        <v>312</v>
      </c>
      <c r="J18750">
        <v>335.72</v>
      </c>
      <c r="K18750">
        <v>64.98</v>
      </c>
      <c r="L18750">
        <v>54252</v>
      </c>
      <c r="M18750" t="s">
        <v>534</v>
      </c>
      <c r="N18750" t="str">
        <f>"133393      "</f>
        <v xml:space="preserve">133393      </v>
      </c>
      <c r="O18750">
        <v>230123</v>
      </c>
    </row>
    <row r="18751" spans="1:15" x14ac:dyDescent="0.25">
      <c r="A18751" t="s">
        <v>16</v>
      </c>
      <c r="B18751" t="s">
        <v>3221</v>
      </c>
      <c r="C18751">
        <v>428</v>
      </c>
      <c r="D18751" t="s">
        <v>310</v>
      </c>
      <c r="E18751" t="s">
        <v>311</v>
      </c>
      <c r="F18751">
        <v>341.31</v>
      </c>
      <c r="G18751">
        <v>230119</v>
      </c>
      <c r="H18751">
        <v>4550</v>
      </c>
      <c r="I18751" t="s">
        <v>312</v>
      </c>
      <c r="J18751">
        <v>423.23</v>
      </c>
      <c r="K18751">
        <v>81.92</v>
      </c>
      <c r="L18751">
        <v>59502</v>
      </c>
      <c r="M18751" t="s">
        <v>70</v>
      </c>
      <c r="N18751" t="str">
        <f>"133459      "</f>
        <v xml:space="preserve">133459      </v>
      </c>
      <c r="O18751">
        <v>230123</v>
      </c>
    </row>
    <row r="18752" spans="1:15" x14ac:dyDescent="0.25">
      <c r="A18752" t="s">
        <v>16</v>
      </c>
      <c r="B18752" t="s">
        <v>3221</v>
      </c>
      <c r="C18752">
        <v>428</v>
      </c>
      <c r="D18752" t="s">
        <v>310</v>
      </c>
      <c r="E18752" t="s">
        <v>311</v>
      </c>
      <c r="F18752">
        <v>218.31</v>
      </c>
      <c r="G18752">
        <v>230119</v>
      </c>
      <c r="H18752">
        <v>4550</v>
      </c>
      <c r="I18752" t="s">
        <v>312</v>
      </c>
      <c r="J18752">
        <v>270.7</v>
      </c>
      <c r="K18752">
        <v>52.39</v>
      </c>
      <c r="L18752">
        <v>59802</v>
      </c>
      <c r="M18752" t="s">
        <v>73</v>
      </c>
      <c r="N18752" t="str">
        <f>"133459      "</f>
        <v xml:space="preserve">133459      </v>
      </c>
      <c r="O18752">
        <v>230123</v>
      </c>
    </row>
    <row r="18753" spans="1:15" x14ac:dyDescent="0.25">
      <c r="A18753" t="s">
        <v>16</v>
      </c>
      <c r="B18753" t="s">
        <v>3221</v>
      </c>
      <c r="C18753">
        <v>459</v>
      </c>
      <c r="D18753" t="s">
        <v>310</v>
      </c>
      <c r="E18753" t="s">
        <v>311</v>
      </c>
      <c r="F18753">
        <v>517.98</v>
      </c>
      <c r="G18753">
        <v>230120</v>
      </c>
      <c r="H18753">
        <v>4550</v>
      </c>
      <c r="I18753" t="s">
        <v>312</v>
      </c>
      <c r="J18753">
        <v>642.29999999999995</v>
      </c>
      <c r="K18753">
        <v>124.32</v>
      </c>
      <c r="L18753">
        <v>59501</v>
      </c>
      <c r="M18753" t="s">
        <v>69</v>
      </c>
      <c r="N18753" t="str">
        <f>"133721      "</f>
        <v xml:space="preserve">133721      </v>
      </c>
      <c r="O18753">
        <v>230123</v>
      </c>
    </row>
    <row r="18754" spans="1:15" x14ac:dyDescent="0.25">
      <c r="A18754" t="s">
        <v>16</v>
      </c>
      <c r="B18754" t="s">
        <v>3221</v>
      </c>
      <c r="C18754">
        <v>554</v>
      </c>
      <c r="D18754" t="s">
        <v>310</v>
      </c>
      <c r="E18754" t="s">
        <v>311</v>
      </c>
      <c r="F18754">
        <v>29.59</v>
      </c>
      <c r="G18754">
        <v>230123</v>
      </c>
      <c r="H18754">
        <v>4550</v>
      </c>
      <c r="I18754" t="s">
        <v>312</v>
      </c>
      <c r="J18754">
        <v>36.69</v>
      </c>
      <c r="K18754">
        <v>7.1</v>
      </c>
      <c r="L18754">
        <v>59501</v>
      </c>
      <c r="M18754" t="s">
        <v>69</v>
      </c>
      <c r="N18754" t="str">
        <f>"133747      "</f>
        <v xml:space="preserve">133747      </v>
      </c>
      <c r="O18754">
        <v>230124</v>
      </c>
    </row>
    <row r="18755" spans="1:15" x14ac:dyDescent="0.25">
      <c r="A18755" t="s">
        <v>16</v>
      </c>
      <c r="B18755" t="s">
        <v>3221</v>
      </c>
      <c r="C18755">
        <v>650</v>
      </c>
      <c r="D18755" t="s">
        <v>310</v>
      </c>
      <c r="E18755" t="s">
        <v>311</v>
      </c>
      <c r="F18755">
        <v>119.41</v>
      </c>
      <c r="G18755">
        <v>230112</v>
      </c>
      <c r="H18755">
        <v>4550</v>
      </c>
      <c r="I18755" t="s">
        <v>312</v>
      </c>
      <c r="J18755">
        <v>148.07</v>
      </c>
      <c r="K18755">
        <v>28.66</v>
      </c>
      <c r="L18755">
        <v>13540</v>
      </c>
      <c r="M18755" t="s">
        <v>85</v>
      </c>
      <c r="N18755" t="str">
        <f>"132854      "</f>
        <v xml:space="preserve">132854      </v>
      </c>
      <c r="O18755">
        <v>230126</v>
      </c>
    </row>
    <row r="18756" spans="1:15" x14ac:dyDescent="0.25">
      <c r="A18756" t="s">
        <v>16</v>
      </c>
      <c r="B18756" t="s">
        <v>3221</v>
      </c>
      <c r="C18756">
        <v>650</v>
      </c>
      <c r="D18756" t="s">
        <v>310</v>
      </c>
      <c r="E18756" t="s">
        <v>311</v>
      </c>
      <c r="F18756">
        <v>814.18</v>
      </c>
      <c r="G18756">
        <v>230112</v>
      </c>
      <c r="H18756">
        <v>4550</v>
      </c>
      <c r="I18756" t="s">
        <v>312</v>
      </c>
      <c r="J18756">
        <v>1009.58</v>
      </c>
      <c r="K18756">
        <v>195.4</v>
      </c>
      <c r="L18756">
        <v>17950</v>
      </c>
      <c r="M18756" t="s">
        <v>86</v>
      </c>
      <c r="N18756" t="str">
        <f>"132854      "</f>
        <v xml:space="preserve">132854      </v>
      </c>
      <c r="O18756">
        <v>230126</v>
      </c>
    </row>
    <row r="18757" spans="1:15" x14ac:dyDescent="0.25">
      <c r="A18757" t="s">
        <v>16</v>
      </c>
      <c r="B18757" t="s">
        <v>3221</v>
      </c>
      <c r="C18757">
        <v>650</v>
      </c>
      <c r="D18757" t="s">
        <v>310</v>
      </c>
      <c r="E18757" t="s">
        <v>311</v>
      </c>
      <c r="F18757">
        <v>151.97999999999999</v>
      </c>
      <c r="G18757">
        <v>230112</v>
      </c>
      <c r="H18757">
        <v>4550</v>
      </c>
      <c r="I18757" t="s">
        <v>312</v>
      </c>
      <c r="J18757">
        <v>188.46</v>
      </c>
      <c r="K18757">
        <v>36.479999999999997</v>
      </c>
      <c r="L18757">
        <v>17956</v>
      </c>
      <c r="M18757" t="s">
        <v>53</v>
      </c>
      <c r="N18757" t="str">
        <f>"132854      "</f>
        <v xml:space="preserve">132854      </v>
      </c>
      <c r="O18757">
        <v>230126</v>
      </c>
    </row>
    <row r="18758" spans="1:15" x14ac:dyDescent="0.25">
      <c r="A18758" t="s">
        <v>16</v>
      </c>
      <c r="B18758" t="s">
        <v>3221</v>
      </c>
      <c r="C18758">
        <v>688</v>
      </c>
      <c r="D18758" t="s">
        <v>310</v>
      </c>
      <c r="E18758" t="s">
        <v>311</v>
      </c>
      <c r="F18758">
        <v>114.9</v>
      </c>
      <c r="G18758">
        <v>230124</v>
      </c>
      <c r="H18758">
        <v>4550</v>
      </c>
      <c r="I18758" t="s">
        <v>312</v>
      </c>
      <c r="J18758">
        <v>142.47999999999999</v>
      </c>
      <c r="K18758">
        <v>27.58</v>
      </c>
      <c r="L18758">
        <v>17951</v>
      </c>
      <c r="M18758" t="s">
        <v>87</v>
      </c>
      <c r="N18758" t="str">
        <f>"133895      "</f>
        <v xml:space="preserve">133895      </v>
      </c>
      <c r="O18758">
        <v>230126</v>
      </c>
    </row>
    <row r="18759" spans="1:15" x14ac:dyDescent="0.25">
      <c r="A18759" t="s">
        <v>16</v>
      </c>
      <c r="B18759" t="s">
        <v>3221</v>
      </c>
      <c r="C18759">
        <v>689</v>
      </c>
      <c r="D18759" t="s">
        <v>310</v>
      </c>
      <c r="E18759" t="s">
        <v>311</v>
      </c>
      <c r="F18759">
        <v>177.02</v>
      </c>
      <c r="G18759">
        <v>230124</v>
      </c>
      <c r="H18759">
        <v>4550</v>
      </c>
      <c r="I18759" t="s">
        <v>312</v>
      </c>
      <c r="J18759">
        <v>219.5</v>
      </c>
      <c r="K18759">
        <v>42.48</v>
      </c>
      <c r="L18759">
        <v>16431</v>
      </c>
      <c r="M18759" t="s">
        <v>231</v>
      </c>
      <c r="N18759" t="str">
        <f>"133896      "</f>
        <v xml:space="preserve">133896      </v>
      </c>
      <c r="O18759">
        <v>230126</v>
      </c>
    </row>
    <row r="18760" spans="1:15" x14ac:dyDescent="0.25">
      <c r="A18760" t="s">
        <v>16</v>
      </c>
      <c r="B18760" t="s">
        <v>3221</v>
      </c>
      <c r="C18760">
        <v>689</v>
      </c>
      <c r="D18760" t="s">
        <v>310</v>
      </c>
      <c r="E18760" t="s">
        <v>311</v>
      </c>
      <c r="F18760">
        <v>676.89</v>
      </c>
      <c r="G18760">
        <v>230124</v>
      </c>
      <c r="H18760">
        <v>4550</v>
      </c>
      <c r="I18760" t="s">
        <v>312</v>
      </c>
      <c r="J18760">
        <v>839.34</v>
      </c>
      <c r="K18760">
        <v>162.44999999999999</v>
      </c>
      <c r="L18760">
        <v>17913</v>
      </c>
      <c r="M18760" t="s">
        <v>431</v>
      </c>
      <c r="N18760" t="str">
        <f>"133896      "</f>
        <v xml:space="preserve">133896      </v>
      </c>
      <c r="O18760">
        <v>230126</v>
      </c>
    </row>
    <row r="18761" spans="1:15" x14ac:dyDescent="0.25">
      <c r="A18761" t="s">
        <v>16</v>
      </c>
      <c r="B18761" t="s">
        <v>3221</v>
      </c>
      <c r="C18761">
        <v>689</v>
      </c>
      <c r="D18761" t="s">
        <v>310</v>
      </c>
      <c r="E18761" t="s">
        <v>311</v>
      </c>
      <c r="F18761">
        <v>24.73</v>
      </c>
      <c r="G18761">
        <v>230124</v>
      </c>
      <c r="H18761">
        <v>4550</v>
      </c>
      <c r="I18761" t="s">
        <v>312</v>
      </c>
      <c r="J18761">
        <v>30.66</v>
      </c>
      <c r="K18761">
        <v>5.93</v>
      </c>
      <c r="L18761">
        <v>17951</v>
      </c>
      <c r="M18761" t="s">
        <v>87</v>
      </c>
      <c r="N18761" t="str">
        <f>"133896      "</f>
        <v xml:space="preserve">133896      </v>
      </c>
      <c r="O18761">
        <v>230126</v>
      </c>
    </row>
    <row r="18762" spans="1:15" x14ac:dyDescent="0.25">
      <c r="A18762" t="s">
        <v>16</v>
      </c>
      <c r="B18762" t="s">
        <v>3221</v>
      </c>
      <c r="C18762">
        <v>864</v>
      </c>
      <c r="D18762" t="s">
        <v>310</v>
      </c>
      <c r="E18762" t="s">
        <v>311</v>
      </c>
      <c r="F18762">
        <v>784.59</v>
      </c>
      <c r="G18762">
        <v>230127</v>
      </c>
      <c r="H18762">
        <v>4550</v>
      </c>
      <c r="I18762" t="s">
        <v>312</v>
      </c>
      <c r="J18762">
        <v>972.89</v>
      </c>
      <c r="K18762">
        <v>188.3</v>
      </c>
      <c r="L18762">
        <v>17951</v>
      </c>
      <c r="M18762" t="s">
        <v>87</v>
      </c>
      <c r="N18762" t="str">
        <f>"134461      "</f>
        <v xml:space="preserve">134461      </v>
      </c>
      <c r="O18762">
        <v>230131</v>
      </c>
    </row>
    <row r="18763" spans="1:15" x14ac:dyDescent="0.25">
      <c r="A18763" t="s">
        <v>16</v>
      </c>
      <c r="B18763" t="s">
        <v>3221</v>
      </c>
      <c r="C18763">
        <v>1099</v>
      </c>
      <c r="D18763" t="s">
        <v>310</v>
      </c>
      <c r="E18763" t="s">
        <v>311</v>
      </c>
      <c r="F18763">
        <v>1040.1500000000001</v>
      </c>
      <c r="G18763">
        <v>230120</v>
      </c>
      <c r="H18763">
        <v>4550</v>
      </c>
      <c r="I18763" t="s">
        <v>312</v>
      </c>
      <c r="J18763">
        <v>1289.78</v>
      </c>
      <c r="K18763">
        <v>249.63</v>
      </c>
      <c r="L18763">
        <v>14951</v>
      </c>
      <c r="M18763" t="s">
        <v>57</v>
      </c>
      <c r="N18763" t="str">
        <f>"133649      "</f>
        <v xml:space="preserve">133649      </v>
      </c>
      <c r="O18763">
        <v>230203</v>
      </c>
    </row>
    <row r="18764" spans="1:15" x14ac:dyDescent="0.25">
      <c r="A18764" t="s">
        <v>16</v>
      </c>
      <c r="B18764" t="s">
        <v>3221</v>
      </c>
      <c r="C18764">
        <v>1115</v>
      </c>
      <c r="D18764" t="s">
        <v>310</v>
      </c>
      <c r="E18764" t="s">
        <v>311</v>
      </c>
      <c r="F18764">
        <v>-96.09</v>
      </c>
      <c r="G18764">
        <v>230126</v>
      </c>
      <c r="H18764">
        <v>4550</v>
      </c>
      <c r="I18764" t="s">
        <v>312</v>
      </c>
      <c r="J18764">
        <v>-119.15</v>
      </c>
      <c r="K18764">
        <v>-23.06</v>
      </c>
      <c r="L18764">
        <v>14951</v>
      </c>
      <c r="M18764" t="s">
        <v>57</v>
      </c>
      <c r="N18764" t="str">
        <f>"134279      "</f>
        <v xml:space="preserve">134279      </v>
      </c>
      <c r="O18764">
        <v>230203</v>
      </c>
    </row>
    <row r="18765" spans="1:15" x14ac:dyDescent="0.25">
      <c r="A18765" t="s">
        <v>16</v>
      </c>
      <c r="B18765" t="s">
        <v>3221</v>
      </c>
      <c r="C18765">
        <v>1937</v>
      </c>
      <c r="D18765" t="s">
        <v>310</v>
      </c>
      <c r="E18765" t="s">
        <v>311</v>
      </c>
      <c r="F18765">
        <v>1303.71</v>
      </c>
      <c r="G18765">
        <v>230209</v>
      </c>
      <c r="H18765">
        <v>4550</v>
      </c>
      <c r="I18765" t="s">
        <v>312</v>
      </c>
      <c r="J18765">
        <v>1616.6</v>
      </c>
      <c r="K18765">
        <v>312.89</v>
      </c>
      <c r="L18765">
        <v>49501</v>
      </c>
      <c r="M18765" t="s">
        <v>177</v>
      </c>
      <c r="N18765" t="str">
        <f>"135848      "</f>
        <v xml:space="preserve">135848      </v>
      </c>
      <c r="O18765">
        <v>230216</v>
      </c>
    </row>
    <row r="18766" spans="1:15" x14ac:dyDescent="0.25">
      <c r="A18766" t="s">
        <v>16</v>
      </c>
      <c r="B18766" t="s">
        <v>3221</v>
      </c>
      <c r="C18766">
        <v>1938</v>
      </c>
      <c r="D18766" t="s">
        <v>310</v>
      </c>
      <c r="E18766" t="s">
        <v>311</v>
      </c>
      <c r="F18766">
        <v>242.81</v>
      </c>
      <c r="G18766">
        <v>230209</v>
      </c>
      <c r="H18766">
        <v>4550</v>
      </c>
      <c r="I18766" t="s">
        <v>312</v>
      </c>
      <c r="J18766">
        <v>301.08999999999997</v>
      </c>
      <c r="K18766">
        <v>58.28</v>
      </c>
      <c r="L18766">
        <v>49501</v>
      </c>
      <c r="M18766" t="s">
        <v>177</v>
      </c>
      <c r="N18766" t="str">
        <f>"135847      "</f>
        <v xml:space="preserve">135847      </v>
      </c>
      <c r="O18766">
        <v>230216</v>
      </c>
    </row>
    <row r="18767" spans="1:15" x14ac:dyDescent="0.25">
      <c r="A18767" t="s">
        <v>16</v>
      </c>
      <c r="B18767" t="s">
        <v>3221</v>
      </c>
      <c r="C18767">
        <v>2104</v>
      </c>
      <c r="D18767" t="s">
        <v>310</v>
      </c>
      <c r="E18767" t="s">
        <v>311</v>
      </c>
      <c r="F18767">
        <v>176.46</v>
      </c>
      <c r="G18767">
        <v>230215</v>
      </c>
      <c r="H18767">
        <v>4550</v>
      </c>
      <c r="I18767" t="s">
        <v>312</v>
      </c>
      <c r="J18767">
        <v>218.81</v>
      </c>
      <c r="K18767">
        <v>42.35</v>
      </c>
      <c r="L18767">
        <v>69112</v>
      </c>
      <c r="M18767" t="s">
        <v>313</v>
      </c>
      <c r="N18767" t="str">
        <f>"136378      "</f>
        <v xml:space="preserve">136378      </v>
      </c>
      <c r="O18767">
        <v>230221</v>
      </c>
    </row>
    <row r="18768" spans="1:15" x14ac:dyDescent="0.25">
      <c r="A18768" t="s">
        <v>16</v>
      </c>
      <c r="B18768" t="s">
        <v>3221</v>
      </c>
      <c r="C18768">
        <v>2104</v>
      </c>
      <c r="D18768" t="s">
        <v>310</v>
      </c>
      <c r="E18768" t="s">
        <v>311</v>
      </c>
      <c r="F18768">
        <v>9.81</v>
      </c>
      <c r="G18768">
        <v>230215</v>
      </c>
      <c r="H18768">
        <v>4550</v>
      </c>
      <c r="I18768" t="s">
        <v>312</v>
      </c>
      <c r="J18768">
        <v>12.16</v>
      </c>
      <c r="K18768">
        <v>2.35</v>
      </c>
      <c r="L18768">
        <v>69810</v>
      </c>
      <c r="M18768" t="s">
        <v>314</v>
      </c>
      <c r="N18768" t="str">
        <f>"136378      "</f>
        <v xml:space="preserve">136378      </v>
      </c>
      <c r="O18768">
        <v>230221</v>
      </c>
    </row>
    <row r="18769" spans="1:15" x14ac:dyDescent="0.25">
      <c r="A18769" t="s">
        <v>16</v>
      </c>
      <c r="B18769" t="s">
        <v>3221</v>
      </c>
      <c r="C18769">
        <v>2104</v>
      </c>
      <c r="D18769" t="s">
        <v>310</v>
      </c>
      <c r="E18769" t="s">
        <v>311</v>
      </c>
      <c r="F18769">
        <v>9.8000000000000007</v>
      </c>
      <c r="G18769">
        <v>230215</v>
      </c>
      <c r="H18769">
        <v>4550</v>
      </c>
      <c r="I18769" t="s">
        <v>312</v>
      </c>
      <c r="J18769">
        <v>12.15</v>
      </c>
      <c r="K18769">
        <v>2.35</v>
      </c>
      <c r="L18769">
        <v>69811</v>
      </c>
      <c r="M18769" t="s">
        <v>315</v>
      </c>
      <c r="N18769" t="str">
        <f>"136378      "</f>
        <v xml:space="preserve">136378      </v>
      </c>
      <c r="O18769">
        <v>230221</v>
      </c>
    </row>
    <row r="18770" spans="1:15" x14ac:dyDescent="0.25">
      <c r="A18770" t="s">
        <v>16</v>
      </c>
      <c r="B18770" t="s">
        <v>3221</v>
      </c>
      <c r="C18770">
        <v>2185</v>
      </c>
      <c r="D18770" t="s">
        <v>310</v>
      </c>
      <c r="E18770" t="s">
        <v>311</v>
      </c>
      <c r="F18770">
        <v>298</v>
      </c>
      <c r="G18770">
        <v>230206</v>
      </c>
      <c r="H18770">
        <v>4550</v>
      </c>
      <c r="I18770" t="s">
        <v>312</v>
      </c>
      <c r="J18770">
        <v>369.52</v>
      </c>
      <c r="K18770">
        <v>71.52</v>
      </c>
      <c r="L18770">
        <v>17131</v>
      </c>
      <c r="M18770" t="s">
        <v>64</v>
      </c>
      <c r="N18770" t="str">
        <f>"135528      "</f>
        <v xml:space="preserve">135528      </v>
      </c>
      <c r="O18770">
        <v>230222</v>
      </c>
    </row>
    <row r="18771" spans="1:15" x14ac:dyDescent="0.25">
      <c r="A18771" t="s">
        <v>16</v>
      </c>
      <c r="B18771" t="s">
        <v>3221</v>
      </c>
      <c r="C18771">
        <v>2185</v>
      </c>
      <c r="D18771" t="s">
        <v>310</v>
      </c>
      <c r="E18771" t="s">
        <v>311</v>
      </c>
      <c r="F18771">
        <v>114.98</v>
      </c>
      <c r="G18771">
        <v>230206</v>
      </c>
      <c r="H18771">
        <v>4550</v>
      </c>
      <c r="I18771" t="s">
        <v>312</v>
      </c>
      <c r="J18771">
        <v>142.58000000000001</v>
      </c>
      <c r="K18771">
        <v>27.6</v>
      </c>
      <c r="L18771">
        <v>17711</v>
      </c>
      <c r="M18771" t="s">
        <v>65</v>
      </c>
      <c r="N18771" t="str">
        <f>"135528      "</f>
        <v xml:space="preserve">135528      </v>
      </c>
      <c r="O18771">
        <v>230222</v>
      </c>
    </row>
    <row r="18772" spans="1:15" x14ac:dyDescent="0.25">
      <c r="A18772" t="s">
        <v>16</v>
      </c>
      <c r="B18772" t="s">
        <v>3221</v>
      </c>
      <c r="C18772">
        <v>2185</v>
      </c>
      <c r="D18772" t="s">
        <v>310</v>
      </c>
      <c r="E18772" t="s">
        <v>311</v>
      </c>
      <c r="F18772">
        <v>2427.98</v>
      </c>
      <c r="G18772">
        <v>230206</v>
      </c>
      <c r="H18772">
        <v>4550</v>
      </c>
      <c r="I18772" t="s">
        <v>312</v>
      </c>
      <c r="J18772">
        <v>3010.7</v>
      </c>
      <c r="K18772">
        <v>582.72</v>
      </c>
      <c r="L18772">
        <v>17952</v>
      </c>
      <c r="M18772" t="s">
        <v>88</v>
      </c>
      <c r="N18772" t="str">
        <f>"135528      "</f>
        <v xml:space="preserve">135528      </v>
      </c>
      <c r="O18772">
        <v>230222</v>
      </c>
    </row>
    <row r="18773" spans="1:15" x14ac:dyDescent="0.25">
      <c r="A18773" t="s">
        <v>16</v>
      </c>
      <c r="B18773" t="s">
        <v>3221</v>
      </c>
      <c r="C18773">
        <v>2229</v>
      </c>
      <c r="D18773" t="s">
        <v>310</v>
      </c>
      <c r="E18773" t="s">
        <v>311</v>
      </c>
      <c r="F18773">
        <v>202.45</v>
      </c>
      <c r="G18773">
        <v>230216</v>
      </c>
      <c r="H18773">
        <v>4550</v>
      </c>
      <c r="I18773" t="s">
        <v>312</v>
      </c>
      <c r="J18773">
        <v>251.04</v>
      </c>
      <c r="K18773">
        <v>48.59</v>
      </c>
      <c r="L18773">
        <v>17952</v>
      </c>
      <c r="M18773" t="s">
        <v>88</v>
      </c>
      <c r="N18773" t="str">
        <f>"136661      "</f>
        <v xml:space="preserve">136661      </v>
      </c>
      <c r="O18773">
        <v>230222</v>
      </c>
    </row>
    <row r="18774" spans="1:15" x14ac:dyDescent="0.25">
      <c r="A18774" t="s">
        <v>16</v>
      </c>
      <c r="B18774" t="s">
        <v>3221</v>
      </c>
      <c r="C18774">
        <v>2364</v>
      </c>
      <c r="D18774" t="s">
        <v>310</v>
      </c>
      <c r="E18774" t="s">
        <v>311</v>
      </c>
      <c r="F18774">
        <v>59.95</v>
      </c>
      <c r="G18774">
        <v>230220</v>
      </c>
      <c r="H18774">
        <v>4550</v>
      </c>
      <c r="I18774" t="s">
        <v>312</v>
      </c>
      <c r="J18774">
        <v>74.34</v>
      </c>
      <c r="K18774">
        <v>14.39</v>
      </c>
      <c r="L18774">
        <v>49501</v>
      </c>
      <c r="M18774" t="s">
        <v>177</v>
      </c>
      <c r="N18774" t="str">
        <f>"136855      "</f>
        <v xml:space="preserve">136855      </v>
      </c>
      <c r="O18774">
        <v>230224</v>
      </c>
    </row>
    <row r="18775" spans="1:15" x14ac:dyDescent="0.25">
      <c r="A18775" t="s">
        <v>16</v>
      </c>
      <c r="B18775" t="s">
        <v>3221</v>
      </c>
      <c r="C18775">
        <v>2611</v>
      </c>
      <c r="D18775" t="s">
        <v>310</v>
      </c>
      <c r="E18775" t="s">
        <v>311</v>
      </c>
      <c r="F18775">
        <v>349.82</v>
      </c>
      <c r="G18775">
        <v>230227</v>
      </c>
      <c r="H18775">
        <v>4550</v>
      </c>
      <c r="I18775" t="s">
        <v>312</v>
      </c>
      <c r="J18775">
        <v>433.78</v>
      </c>
      <c r="K18775">
        <v>83.96</v>
      </c>
      <c r="L18775">
        <v>69111</v>
      </c>
      <c r="M18775" t="s">
        <v>471</v>
      </c>
      <c r="N18775" t="str">
        <f>"137602      "</f>
        <v xml:space="preserve">137602      </v>
      </c>
      <c r="O18775">
        <v>230302</v>
      </c>
    </row>
    <row r="18776" spans="1:15" x14ac:dyDescent="0.25">
      <c r="A18776" t="s">
        <v>16</v>
      </c>
      <c r="B18776" t="s">
        <v>3221</v>
      </c>
      <c r="C18776">
        <v>2611</v>
      </c>
      <c r="D18776" t="s">
        <v>310</v>
      </c>
      <c r="E18776" t="s">
        <v>311</v>
      </c>
      <c r="F18776">
        <v>816.24</v>
      </c>
      <c r="G18776">
        <v>230227</v>
      </c>
      <c r="H18776">
        <v>4550</v>
      </c>
      <c r="I18776" t="s">
        <v>312</v>
      </c>
      <c r="J18776">
        <v>1012.14</v>
      </c>
      <c r="K18776">
        <v>195.9</v>
      </c>
      <c r="L18776">
        <v>69501</v>
      </c>
      <c r="M18776" t="s">
        <v>185</v>
      </c>
      <c r="N18776" t="str">
        <f>"137602      "</f>
        <v xml:space="preserve">137602      </v>
      </c>
      <c r="O18776">
        <v>230302</v>
      </c>
    </row>
    <row r="18777" spans="1:15" x14ac:dyDescent="0.25">
      <c r="A18777" t="s">
        <v>16</v>
      </c>
      <c r="B18777" t="s">
        <v>3221</v>
      </c>
      <c r="C18777">
        <v>2968</v>
      </c>
      <c r="D18777" t="s">
        <v>310</v>
      </c>
      <c r="E18777" t="s">
        <v>311</v>
      </c>
      <c r="F18777">
        <v>1459.59</v>
      </c>
      <c r="G18777">
        <v>230306</v>
      </c>
      <c r="H18777">
        <v>4550</v>
      </c>
      <c r="I18777" t="s">
        <v>312</v>
      </c>
      <c r="J18777">
        <v>1809.89</v>
      </c>
      <c r="K18777">
        <v>350.3</v>
      </c>
      <c r="L18777">
        <v>59501</v>
      </c>
      <c r="M18777" t="s">
        <v>69</v>
      </c>
      <c r="N18777" t="str">
        <f>"138194      "</f>
        <v xml:space="preserve">138194      </v>
      </c>
      <c r="O18777">
        <v>230308</v>
      </c>
    </row>
    <row r="18778" spans="1:15" x14ac:dyDescent="0.25">
      <c r="A18778" t="s">
        <v>16</v>
      </c>
      <c r="B18778" t="s">
        <v>3221</v>
      </c>
      <c r="C18778">
        <v>3014</v>
      </c>
      <c r="D18778" t="s">
        <v>310</v>
      </c>
      <c r="E18778" t="s">
        <v>311</v>
      </c>
      <c r="F18778">
        <v>191.66</v>
      </c>
      <c r="G18778">
        <v>230307</v>
      </c>
      <c r="H18778">
        <v>4550</v>
      </c>
      <c r="I18778" t="s">
        <v>312</v>
      </c>
      <c r="J18778">
        <v>237.66</v>
      </c>
      <c r="K18778">
        <v>46</v>
      </c>
      <c r="L18778">
        <v>59502</v>
      </c>
      <c r="M18778" t="s">
        <v>70</v>
      </c>
      <c r="N18778" t="str">
        <f>"138333      "</f>
        <v xml:space="preserve">138333      </v>
      </c>
      <c r="O18778">
        <v>230308</v>
      </c>
    </row>
    <row r="18779" spans="1:15" x14ac:dyDescent="0.25">
      <c r="A18779" t="s">
        <v>16</v>
      </c>
      <c r="B18779" t="s">
        <v>3221</v>
      </c>
      <c r="C18779">
        <v>3014</v>
      </c>
      <c r="D18779" t="s">
        <v>310</v>
      </c>
      <c r="E18779" t="s">
        <v>311</v>
      </c>
      <c r="F18779">
        <v>122.59</v>
      </c>
      <c r="G18779">
        <v>230307</v>
      </c>
      <c r="H18779">
        <v>4550</v>
      </c>
      <c r="I18779" t="s">
        <v>312</v>
      </c>
      <c r="J18779">
        <v>152.01</v>
      </c>
      <c r="K18779">
        <v>29.42</v>
      </c>
      <c r="L18779">
        <v>59802</v>
      </c>
      <c r="M18779" t="s">
        <v>73</v>
      </c>
      <c r="N18779" t="str">
        <f>"138333      "</f>
        <v xml:space="preserve">138333      </v>
      </c>
      <c r="O18779">
        <v>230308</v>
      </c>
    </row>
    <row r="18780" spans="1:15" x14ac:dyDescent="0.25">
      <c r="A18780" t="s">
        <v>16</v>
      </c>
      <c r="B18780" t="s">
        <v>3221</v>
      </c>
      <c r="C18780">
        <v>3145</v>
      </c>
      <c r="D18780" t="s">
        <v>310</v>
      </c>
      <c r="E18780" t="s">
        <v>311</v>
      </c>
      <c r="F18780">
        <v>82.73</v>
      </c>
      <c r="G18780">
        <v>230308</v>
      </c>
      <c r="H18780">
        <v>4550</v>
      </c>
      <c r="I18780" t="s">
        <v>312</v>
      </c>
      <c r="J18780">
        <v>102.58</v>
      </c>
      <c r="K18780">
        <v>19.850000000000001</v>
      </c>
      <c r="L18780">
        <v>59502</v>
      </c>
      <c r="M18780" t="s">
        <v>70</v>
      </c>
      <c r="N18780" t="str">
        <f>"138395      "</f>
        <v xml:space="preserve">138395      </v>
      </c>
      <c r="O18780">
        <v>230309</v>
      </c>
    </row>
    <row r="18781" spans="1:15" x14ac:dyDescent="0.25">
      <c r="A18781" t="s">
        <v>16</v>
      </c>
      <c r="B18781" t="s">
        <v>3221</v>
      </c>
      <c r="C18781">
        <v>3145</v>
      </c>
      <c r="D18781" t="s">
        <v>310</v>
      </c>
      <c r="E18781" t="s">
        <v>311</v>
      </c>
      <c r="F18781">
        <v>52.91</v>
      </c>
      <c r="G18781">
        <v>230308</v>
      </c>
      <c r="H18781">
        <v>4550</v>
      </c>
      <c r="I18781" t="s">
        <v>312</v>
      </c>
      <c r="J18781">
        <v>65.61</v>
      </c>
      <c r="K18781">
        <v>12.7</v>
      </c>
      <c r="L18781">
        <v>59802</v>
      </c>
      <c r="M18781" t="s">
        <v>73</v>
      </c>
      <c r="N18781" t="str">
        <f>"138395      "</f>
        <v xml:space="preserve">138395      </v>
      </c>
      <c r="O18781">
        <v>230309</v>
      </c>
    </row>
    <row r="18782" spans="1:15" x14ac:dyDescent="0.25">
      <c r="A18782" t="s">
        <v>16</v>
      </c>
      <c r="B18782" t="s">
        <v>3221</v>
      </c>
      <c r="C18782">
        <v>3298</v>
      </c>
      <c r="D18782" t="s">
        <v>310</v>
      </c>
      <c r="E18782" t="s">
        <v>311</v>
      </c>
      <c r="F18782">
        <v>1.8</v>
      </c>
      <c r="G18782">
        <v>230220</v>
      </c>
      <c r="H18782">
        <v>4550</v>
      </c>
      <c r="I18782" t="s">
        <v>312</v>
      </c>
      <c r="J18782">
        <v>2.23</v>
      </c>
      <c r="K18782">
        <v>0.43</v>
      </c>
      <c r="L18782">
        <v>13540</v>
      </c>
      <c r="M18782" t="s">
        <v>85</v>
      </c>
      <c r="N18782" t="str">
        <f>"136839      "</f>
        <v xml:space="preserve">136839      </v>
      </c>
      <c r="O18782">
        <v>230314</v>
      </c>
    </row>
    <row r="18783" spans="1:15" x14ac:dyDescent="0.25">
      <c r="A18783" t="s">
        <v>16</v>
      </c>
      <c r="B18783" t="s">
        <v>3221</v>
      </c>
      <c r="C18783">
        <v>3298</v>
      </c>
      <c r="D18783" t="s">
        <v>310</v>
      </c>
      <c r="E18783" t="s">
        <v>311</v>
      </c>
      <c r="F18783">
        <v>12.28</v>
      </c>
      <c r="G18783">
        <v>230220</v>
      </c>
      <c r="H18783">
        <v>4550</v>
      </c>
      <c r="I18783" t="s">
        <v>312</v>
      </c>
      <c r="J18783">
        <v>15.23</v>
      </c>
      <c r="K18783">
        <v>2.95</v>
      </c>
      <c r="L18783">
        <v>17950</v>
      </c>
      <c r="M18783" t="s">
        <v>86</v>
      </c>
      <c r="N18783" t="str">
        <f>"136839      "</f>
        <v xml:space="preserve">136839      </v>
      </c>
      <c r="O18783">
        <v>230314</v>
      </c>
    </row>
    <row r="18784" spans="1:15" x14ac:dyDescent="0.25">
      <c r="A18784" t="s">
        <v>16</v>
      </c>
      <c r="B18784" t="s">
        <v>3221</v>
      </c>
      <c r="C18784">
        <v>3298</v>
      </c>
      <c r="D18784" t="s">
        <v>310</v>
      </c>
      <c r="E18784" t="s">
        <v>311</v>
      </c>
      <c r="F18784">
        <v>2.2999999999999998</v>
      </c>
      <c r="G18784">
        <v>230220</v>
      </c>
      <c r="H18784">
        <v>4550</v>
      </c>
      <c r="I18784" t="s">
        <v>312</v>
      </c>
      <c r="J18784">
        <v>2.85</v>
      </c>
      <c r="K18784">
        <v>0.55000000000000004</v>
      </c>
      <c r="L18784">
        <v>17956</v>
      </c>
      <c r="M18784" t="s">
        <v>53</v>
      </c>
      <c r="N18784" t="str">
        <f>"136839      "</f>
        <v xml:space="preserve">136839      </v>
      </c>
      <c r="O18784">
        <v>230314</v>
      </c>
    </row>
    <row r="18785" spans="1:15" x14ac:dyDescent="0.25">
      <c r="A18785" t="s">
        <v>16</v>
      </c>
      <c r="B18785" t="s">
        <v>3221</v>
      </c>
      <c r="C18785">
        <v>3299</v>
      </c>
      <c r="D18785" t="s">
        <v>310</v>
      </c>
      <c r="E18785" t="s">
        <v>311</v>
      </c>
      <c r="F18785">
        <v>153.4</v>
      </c>
      <c r="G18785">
        <v>230220</v>
      </c>
      <c r="H18785">
        <v>4550</v>
      </c>
      <c r="I18785" t="s">
        <v>312</v>
      </c>
      <c r="J18785">
        <v>190.21</v>
      </c>
      <c r="K18785">
        <v>36.81</v>
      </c>
      <c r="L18785">
        <v>13540</v>
      </c>
      <c r="M18785" t="s">
        <v>85</v>
      </c>
      <c r="N18785" t="str">
        <f>"136840      "</f>
        <v xml:space="preserve">136840      </v>
      </c>
      <c r="O18785">
        <v>230314</v>
      </c>
    </row>
    <row r="18786" spans="1:15" x14ac:dyDescent="0.25">
      <c r="A18786" t="s">
        <v>16</v>
      </c>
      <c r="B18786" t="s">
        <v>3221</v>
      </c>
      <c r="C18786">
        <v>3299</v>
      </c>
      <c r="D18786" t="s">
        <v>310</v>
      </c>
      <c r="E18786" t="s">
        <v>311</v>
      </c>
      <c r="F18786">
        <v>947.15</v>
      </c>
      <c r="G18786">
        <v>230220</v>
      </c>
      <c r="H18786">
        <v>4550</v>
      </c>
      <c r="I18786" t="s">
        <v>312</v>
      </c>
      <c r="J18786">
        <v>1174.46</v>
      </c>
      <c r="K18786">
        <v>227.31</v>
      </c>
      <c r="L18786">
        <v>17950</v>
      </c>
      <c r="M18786" t="s">
        <v>86</v>
      </c>
      <c r="N18786" t="str">
        <f>"136840      "</f>
        <v xml:space="preserve">136840      </v>
      </c>
      <c r="O18786">
        <v>230314</v>
      </c>
    </row>
    <row r="18787" spans="1:15" x14ac:dyDescent="0.25">
      <c r="A18787" t="s">
        <v>16</v>
      </c>
      <c r="B18787" t="s">
        <v>3221</v>
      </c>
      <c r="C18787">
        <v>3299</v>
      </c>
      <c r="D18787" t="s">
        <v>310</v>
      </c>
      <c r="E18787" t="s">
        <v>311</v>
      </c>
      <c r="F18787">
        <v>458.4</v>
      </c>
      <c r="G18787">
        <v>230220</v>
      </c>
      <c r="H18787">
        <v>4550</v>
      </c>
      <c r="I18787" t="s">
        <v>312</v>
      </c>
      <c r="J18787">
        <v>568.41999999999996</v>
      </c>
      <c r="K18787">
        <v>110.02</v>
      </c>
      <c r="L18787">
        <v>17956</v>
      </c>
      <c r="M18787" t="s">
        <v>53</v>
      </c>
      <c r="N18787" t="str">
        <f>"136840      "</f>
        <v xml:space="preserve">136840      </v>
      </c>
      <c r="O18787">
        <v>230314</v>
      </c>
    </row>
    <row r="18788" spans="1:15" x14ac:dyDescent="0.25">
      <c r="A18788" t="s">
        <v>16</v>
      </c>
      <c r="B18788" t="s">
        <v>3221</v>
      </c>
      <c r="C18788">
        <v>3518</v>
      </c>
      <c r="D18788" t="s">
        <v>310</v>
      </c>
      <c r="E18788" t="s">
        <v>311</v>
      </c>
      <c r="F18788">
        <v>339.02</v>
      </c>
      <c r="G18788">
        <v>230314</v>
      </c>
      <c r="H18788">
        <v>4550</v>
      </c>
      <c r="I18788" t="s">
        <v>312</v>
      </c>
      <c r="J18788">
        <v>420.38</v>
      </c>
      <c r="K18788">
        <v>81.36</v>
      </c>
      <c r="L18788">
        <v>59113</v>
      </c>
      <c r="M18788" t="s">
        <v>235</v>
      </c>
      <c r="N18788" t="str">
        <f>"138988      "</f>
        <v xml:space="preserve">138988      </v>
      </c>
      <c r="O18788">
        <v>230316</v>
      </c>
    </row>
    <row r="18789" spans="1:15" x14ac:dyDescent="0.25">
      <c r="A18789" t="s">
        <v>16</v>
      </c>
      <c r="B18789" t="s">
        <v>3221</v>
      </c>
      <c r="C18789">
        <v>3518</v>
      </c>
      <c r="D18789" t="s">
        <v>310</v>
      </c>
      <c r="E18789" t="s">
        <v>311</v>
      </c>
      <c r="F18789">
        <v>59.83</v>
      </c>
      <c r="G18789">
        <v>230314</v>
      </c>
      <c r="H18789">
        <v>4550</v>
      </c>
      <c r="I18789" t="s">
        <v>312</v>
      </c>
      <c r="J18789">
        <v>74.19</v>
      </c>
      <c r="K18789">
        <v>14.36</v>
      </c>
      <c r="L18789">
        <v>59803</v>
      </c>
      <c r="M18789" t="s">
        <v>533</v>
      </c>
      <c r="N18789" t="str">
        <f>"138988      "</f>
        <v xml:space="preserve">138988      </v>
      </c>
      <c r="O18789">
        <v>230316</v>
      </c>
    </row>
    <row r="18790" spans="1:15" x14ac:dyDescent="0.25">
      <c r="A18790" t="s">
        <v>16</v>
      </c>
      <c r="B18790" t="s">
        <v>3221</v>
      </c>
      <c r="C18790">
        <v>3590</v>
      </c>
      <c r="D18790" t="s">
        <v>310</v>
      </c>
      <c r="E18790" t="s">
        <v>311</v>
      </c>
      <c r="F18790">
        <v>693.38</v>
      </c>
      <c r="G18790">
        <v>230315</v>
      </c>
      <c r="H18790">
        <v>4550</v>
      </c>
      <c r="I18790" t="s">
        <v>312</v>
      </c>
      <c r="J18790">
        <v>859.79</v>
      </c>
      <c r="K18790">
        <v>166.41</v>
      </c>
      <c r="L18790">
        <v>59504</v>
      </c>
      <c r="M18790" t="s">
        <v>71</v>
      </c>
      <c r="N18790" t="str">
        <f>"139139      "</f>
        <v xml:space="preserve">139139      </v>
      </c>
      <c r="O18790">
        <v>230317</v>
      </c>
    </row>
    <row r="18791" spans="1:15" x14ac:dyDescent="0.25">
      <c r="A18791" t="s">
        <v>16</v>
      </c>
      <c r="B18791" t="s">
        <v>3221</v>
      </c>
      <c r="C18791">
        <v>3591</v>
      </c>
      <c r="D18791" t="s">
        <v>310</v>
      </c>
      <c r="E18791" t="s">
        <v>311</v>
      </c>
      <c r="F18791">
        <v>116.19</v>
      </c>
      <c r="G18791">
        <v>230316</v>
      </c>
      <c r="H18791">
        <v>4550</v>
      </c>
      <c r="I18791" t="s">
        <v>312</v>
      </c>
      <c r="J18791">
        <v>144.08000000000001</v>
      </c>
      <c r="K18791">
        <v>27.89</v>
      </c>
      <c r="L18791">
        <v>59503</v>
      </c>
      <c r="M18791" t="s">
        <v>194</v>
      </c>
      <c r="N18791" t="str">
        <f>"139309      "</f>
        <v xml:space="preserve">139309      </v>
      </c>
      <c r="O18791">
        <v>230317</v>
      </c>
    </row>
    <row r="18792" spans="1:15" x14ac:dyDescent="0.25">
      <c r="A18792" t="s">
        <v>16</v>
      </c>
      <c r="B18792" t="s">
        <v>3221</v>
      </c>
      <c r="C18792">
        <v>3739</v>
      </c>
      <c r="D18792" t="s">
        <v>310</v>
      </c>
      <c r="E18792" t="s">
        <v>311</v>
      </c>
      <c r="F18792">
        <v>53.35</v>
      </c>
      <c r="G18792">
        <v>230317</v>
      </c>
      <c r="H18792">
        <v>4550</v>
      </c>
      <c r="I18792" t="s">
        <v>312</v>
      </c>
      <c r="J18792">
        <v>66.16</v>
      </c>
      <c r="K18792">
        <v>12.81</v>
      </c>
      <c r="L18792">
        <v>17913</v>
      </c>
      <c r="M18792" t="s">
        <v>431</v>
      </c>
      <c r="N18792" t="str">
        <f>"139405      "</f>
        <v xml:space="preserve">139405      </v>
      </c>
      <c r="O18792">
        <v>230321</v>
      </c>
    </row>
    <row r="18793" spans="1:15" x14ac:dyDescent="0.25">
      <c r="A18793" t="s">
        <v>16</v>
      </c>
      <c r="B18793" t="s">
        <v>3221</v>
      </c>
      <c r="C18793">
        <v>3765</v>
      </c>
      <c r="D18793" t="s">
        <v>310</v>
      </c>
      <c r="E18793" t="s">
        <v>311</v>
      </c>
      <c r="F18793">
        <v>376.17</v>
      </c>
      <c r="G18793">
        <v>230320</v>
      </c>
      <c r="H18793">
        <v>4550</v>
      </c>
      <c r="I18793" t="s">
        <v>312</v>
      </c>
      <c r="J18793">
        <v>466.45</v>
      </c>
      <c r="K18793">
        <v>90.28</v>
      </c>
      <c r="L18793">
        <v>69113</v>
      </c>
      <c r="M18793" t="s">
        <v>282</v>
      </c>
      <c r="N18793" t="str">
        <f>"139493      "</f>
        <v xml:space="preserve">139493      </v>
      </c>
      <c r="O18793">
        <v>230321</v>
      </c>
    </row>
    <row r="18794" spans="1:15" x14ac:dyDescent="0.25">
      <c r="A18794" t="s">
        <v>16</v>
      </c>
      <c r="B18794" t="s">
        <v>3221</v>
      </c>
      <c r="C18794">
        <v>3765</v>
      </c>
      <c r="D18794" t="s">
        <v>310</v>
      </c>
      <c r="E18794" t="s">
        <v>311</v>
      </c>
      <c r="F18794">
        <v>41.8</v>
      </c>
      <c r="G18794">
        <v>230320</v>
      </c>
      <c r="H18794">
        <v>4550</v>
      </c>
      <c r="I18794" t="s">
        <v>312</v>
      </c>
      <c r="J18794">
        <v>51.83</v>
      </c>
      <c r="K18794">
        <v>10.029999999999999</v>
      </c>
      <c r="L18794">
        <v>69802</v>
      </c>
      <c r="M18794" t="s">
        <v>283</v>
      </c>
      <c r="N18794" t="str">
        <f>"139493      "</f>
        <v xml:space="preserve">139493      </v>
      </c>
      <c r="O18794">
        <v>230321</v>
      </c>
    </row>
    <row r="18795" spans="1:15" x14ac:dyDescent="0.25">
      <c r="A18795" t="s">
        <v>16</v>
      </c>
      <c r="B18795" t="s">
        <v>3221</v>
      </c>
      <c r="C18795">
        <v>3785</v>
      </c>
      <c r="D18795" t="s">
        <v>310</v>
      </c>
      <c r="E18795" t="s">
        <v>311</v>
      </c>
      <c r="F18795">
        <v>503.4</v>
      </c>
      <c r="G18795">
        <v>230316</v>
      </c>
      <c r="H18795">
        <v>4550</v>
      </c>
      <c r="I18795" t="s">
        <v>312</v>
      </c>
      <c r="J18795">
        <v>624.22</v>
      </c>
      <c r="K18795">
        <v>120.82</v>
      </c>
      <c r="L18795">
        <v>17915</v>
      </c>
      <c r="M18795" t="s">
        <v>572</v>
      </c>
      <c r="N18795" t="str">
        <f>"139202      "</f>
        <v xml:space="preserve">139202      </v>
      </c>
      <c r="O18795">
        <v>230322</v>
      </c>
    </row>
    <row r="18796" spans="1:15" x14ac:dyDescent="0.25">
      <c r="A18796" t="s">
        <v>16</v>
      </c>
      <c r="B18796" t="s">
        <v>3221</v>
      </c>
      <c r="C18796">
        <v>4014</v>
      </c>
      <c r="D18796" t="s">
        <v>310</v>
      </c>
      <c r="E18796" t="s">
        <v>311</v>
      </c>
      <c r="F18796">
        <v>57.23</v>
      </c>
      <c r="G18796">
        <v>230324</v>
      </c>
      <c r="H18796">
        <v>4550</v>
      </c>
      <c r="I18796" t="s">
        <v>312</v>
      </c>
      <c r="J18796">
        <v>70.97</v>
      </c>
      <c r="K18796">
        <v>13.74</v>
      </c>
      <c r="L18796">
        <v>54222</v>
      </c>
      <c r="M18796" t="s">
        <v>308</v>
      </c>
      <c r="N18796" t="str">
        <f>"140001      "</f>
        <v xml:space="preserve">140001      </v>
      </c>
      <c r="O18796">
        <v>230329</v>
      </c>
    </row>
    <row r="18797" spans="1:15" x14ac:dyDescent="0.25">
      <c r="A18797" t="s">
        <v>16</v>
      </c>
      <c r="B18797" t="s">
        <v>3221</v>
      </c>
      <c r="C18797">
        <v>4692</v>
      </c>
      <c r="D18797" t="s">
        <v>310</v>
      </c>
      <c r="E18797" t="s">
        <v>311</v>
      </c>
      <c r="F18797">
        <v>193.33</v>
      </c>
      <c r="G18797">
        <v>230405</v>
      </c>
      <c r="H18797">
        <v>4550</v>
      </c>
      <c r="I18797" t="s">
        <v>312</v>
      </c>
      <c r="J18797">
        <v>239.73</v>
      </c>
      <c r="K18797">
        <v>46.4</v>
      </c>
      <c r="L18797">
        <v>49501</v>
      </c>
      <c r="M18797" t="s">
        <v>177</v>
      </c>
      <c r="N18797" t="str">
        <f>"141258      "</f>
        <v xml:space="preserve">141258      </v>
      </c>
      <c r="O18797">
        <v>230411</v>
      </c>
    </row>
    <row r="18798" spans="1:15" x14ac:dyDescent="0.25">
      <c r="A18798" t="s">
        <v>16</v>
      </c>
      <c r="B18798" t="s">
        <v>3221</v>
      </c>
      <c r="C18798">
        <v>5051</v>
      </c>
      <c r="D18798" t="s">
        <v>310</v>
      </c>
      <c r="E18798" t="s">
        <v>311</v>
      </c>
      <c r="F18798">
        <v>118.14</v>
      </c>
      <c r="G18798">
        <v>230405</v>
      </c>
      <c r="H18798">
        <v>4550</v>
      </c>
      <c r="I18798" t="s">
        <v>312</v>
      </c>
      <c r="J18798">
        <v>146.49</v>
      </c>
      <c r="K18798">
        <v>28.35</v>
      </c>
      <c r="L18798">
        <v>44222</v>
      </c>
      <c r="M18798" t="s">
        <v>232</v>
      </c>
      <c r="N18798" t="str">
        <f>"141259      "</f>
        <v xml:space="preserve">141259      </v>
      </c>
      <c r="O18798">
        <v>230418</v>
      </c>
    </row>
    <row r="18799" spans="1:15" x14ac:dyDescent="0.25">
      <c r="A18799" t="s">
        <v>16</v>
      </c>
      <c r="B18799" t="s">
        <v>3221</v>
      </c>
      <c r="C18799">
        <v>5051</v>
      </c>
      <c r="D18799" t="s">
        <v>310</v>
      </c>
      <c r="E18799" t="s">
        <v>311</v>
      </c>
      <c r="F18799">
        <v>261.94</v>
      </c>
      <c r="G18799">
        <v>230405</v>
      </c>
      <c r="H18799">
        <v>4550</v>
      </c>
      <c r="I18799" t="s">
        <v>312</v>
      </c>
      <c r="J18799">
        <v>324.8</v>
      </c>
      <c r="K18799">
        <v>62.86</v>
      </c>
      <c r="L18799">
        <v>49501</v>
      </c>
      <c r="M18799" t="s">
        <v>177</v>
      </c>
      <c r="N18799" t="str">
        <f>"141259      "</f>
        <v xml:space="preserve">141259      </v>
      </c>
      <c r="O18799">
        <v>230418</v>
      </c>
    </row>
    <row r="18800" spans="1:15" x14ac:dyDescent="0.25">
      <c r="A18800" t="s">
        <v>16</v>
      </c>
      <c r="B18800" t="s">
        <v>3221</v>
      </c>
      <c r="C18800">
        <v>5096</v>
      </c>
      <c r="D18800" t="s">
        <v>310</v>
      </c>
      <c r="E18800" t="s">
        <v>311</v>
      </c>
      <c r="F18800">
        <v>27.66</v>
      </c>
      <c r="G18800">
        <v>230406</v>
      </c>
      <c r="H18800">
        <v>4550</v>
      </c>
      <c r="I18800" t="s">
        <v>312</v>
      </c>
      <c r="J18800">
        <v>34.299999999999997</v>
      </c>
      <c r="K18800">
        <v>6.64</v>
      </c>
      <c r="L18800">
        <v>54222</v>
      </c>
      <c r="M18800" t="s">
        <v>308</v>
      </c>
      <c r="N18800" t="str">
        <f>"141455      "</f>
        <v xml:space="preserve">141455      </v>
      </c>
      <c r="O18800">
        <v>230418</v>
      </c>
    </row>
    <row r="18801" spans="1:15" x14ac:dyDescent="0.25">
      <c r="A18801" t="s">
        <v>16</v>
      </c>
      <c r="B18801" t="s">
        <v>3221</v>
      </c>
      <c r="C18801">
        <v>5875</v>
      </c>
      <c r="D18801" t="s">
        <v>310</v>
      </c>
      <c r="E18801" t="s">
        <v>311</v>
      </c>
      <c r="F18801">
        <v>268.11</v>
      </c>
      <c r="G18801">
        <v>230502</v>
      </c>
      <c r="H18801">
        <v>4550</v>
      </c>
      <c r="I18801" t="s">
        <v>312</v>
      </c>
      <c r="J18801">
        <v>332.46</v>
      </c>
      <c r="K18801">
        <v>64.349999999999994</v>
      </c>
      <c r="L18801">
        <v>17951</v>
      </c>
      <c r="M18801" t="s">
        <v>87</v>
      </c>
      <c r="N18801" t="str">
        <f>"143453      "</f>
        <v xml:space="preserve">143453      </v>
      </c>
      <c r="O18801">
        <v>230503</v>
      </c>
    </row>
    <row r="18802" spans="1:15" x14ac:dyDescent="0.25">
      <c r="A18802" t="s">
        <v>16</v>
      </c>
      <c r="B18802" t="s">
        <v>3221</v>
      </c>
      <c r="C18802">
        <v>5960</v>
      </c>
      <c r="D18802" t="s">
        <v>310</v>
      </c>
      <c r="E18802" t="s">
        <v>311</v>
      </c>
      <c r="F18802">
        <v>1293.82</v>
      </c>
      <c r="G18802">
        <v>230502</v>
      </c>
      <c r="H18802">
        <v>4550</v>
      </c>
      <c r="I18802" t="s">
        <v>312</v>
      </c>
      <c r="J18802">
        <v>1604.34</v>
      </c>
      <c r="K18802">
        <v>310.52</v>
      </c>
      <c r="L18802">
        <v>59501</v>
      </c>
      <c r="M18802" t="s">
        <v>69</v>
      </c>
      <c r="N18802" t="str">
        <f>"143325      "</f>
        <v xml:space="preserve">143325      </v>
      </c>
      <c r="O18802">
        <v>230504</v>
      </c>
    </row>
    <row r="18803" spans="1:15" x14ac:dyDescent="0.25">
      <c r="A18803" t="s">
        <v>16</v>
      </c>
      <c r="B18803" t="s">
        <v>3221</v>
      </c>
      <c r="C18803">
        <v>5976</v>
      </c>
      <c r="D18803" t="s">
        <v>310</v>
      </c>
      <c r="E18803" t="s">
        <v>311</v>
      </c>
      <c r="F18803">
        <v>6</v>
      </c>
      <c r="G18803">
        <v>230503</v>
      </c>
      <c r="H18803">
        <v>4550</v>
      </c>
      <c r="I18803" t="s">
        <v>312</v>
      </c>
      <c r="J18803">
        <v>7.44</v>
      </c>
      <c r="K18803">
        <v>1.44</v>
      </c>
      <c r="L18803">
        <v>59501</v>
      </c>
      <c r="M18803" t="s">
        <v>69</v>
      </c>
      <c r="N18803" t="str">
        <f>"143534      "</f>
        <v xml:space="preserve">143534      </v>
      </c>
      <c r="O18803">
        <v>230504</v>
      </c>
    </row>
    <row r="18804" spans="1:15" x14ac:dyDescent="0.25">
      <c r="A18804" t="s">
        <v>16</v>
      </c>
      <c r="B18804" t="s">
        <v>3221</v>
      </c>
      <c r="C18804">
        <v>6140</v>
      </c>
      <c r="D18804" t="s">
        <v>310</v>
      </c>
      <c r="E18804" t="s">
        <v>311</v>
      </c>
      <c r="F18804">
        <v>1244.98</v>
      </c>
      <c r="G18804">
        <v>230428</v>
      </c>
      <c r="H18804">
        <v>4550</v>
      </c>
      <c r="I18804" t="s">
        <v>312</v>
      </c>
      <c r="J18804">
        <v>1543.78</v>
      </c>
      <c r="K18804">
        <v>298.8</v>
      </c>
      <c r="L18804">
        <v>49501</v>
      </c>
      <c r="M18804" t="s">
        <v>177</v>
      </c>
      <c r="N18804" t="str">
        <f>"143082      "</f>
        <v xml:space="preserve">143082      </v>
      </c>
      <c r="O18804">
        <v>230508</v>
      </c>
    </row>
    <row r="18805" spans="1:15" x14ac:dyDescent="0.25">
      <c r="A18805" t="s">
        <v>16</v>
      </c>
      <c r="B18805" t="s">
        <v>3221</v>
      </c>
      <c r="C18805">
        <v>6147</v>
      </c>
      <c r="D18805" t="s">
        <v>310</v>
      </c>
      <c r="E18805" t="s">
        <v>311</v>
      </c>
      <c r="F18805">
        <v>131.61000000000001</v>
      </c>
      <c r="G18805">
        <v>230428</v>
      </c>
      <c r="H18805">
        <v>4550</v>
      </c>
      <c r="I18805" t="s">
        <v>312</v>
      </c>
      <c r="J18805">
        <v>163.19999999999999</v>
      </c>
      <c r="K18805">
        <v>31.59</v>
      </c>
      <c r="L18805">
        <v>49112</v>
      </c>
      <c r="M18805" t="s">
        <v>233</v>
      </c>
      <c r="N18805" t="str">
        <f>"143226      "</f>
        <v xml:space="preserve">143226      </v>
      </c>
      <c r="O18805">
        <v>230508</v>
      </c>
    </row>
    <row r="18806" spans="1:15" x14ac:dyDescent="0.25">
      <c r="A18806" t="s">
        <v>16</v>
      </c>
      <c r="B18806" t="s">
        <v>3221</v>
      </c>
      <c r="C18806">
        <v>6148</v>
      </c>
      <c r="D18806" t="s">
        <v>310</v>
      </c>
      <c r="E18806" t="s">
        <v>311</v>
      </c>
      <c r="F18806">
        <v>2292.19</v>
      </c>
      <c r="G18806">
        <v>230428</v>
      </c>
      <c r="H18806">
        <v>4550</v>
      </c>
      <c r="I18806" t="s">
        <v>312</v>
      </c>
      <c r="J18806">
        <v>2842.32</v>
      </c>
      <c r="K18806">
        <v>550.13</v>
      </c>
      <c r="L18806">
        <v>49501</v>
      </c>
      <c r="M18806" t="s">
        <v>177</v>
      </c>
      <c r="N18806" t="str">
        <f>"143083      "</f>
        <v xml:space="preserve">143083      </v>
      </c>
      <c r="O18806">
        <v>230508</v>
      </c>
    </row>
    <row r="18807" spans="1:15" x14ac:dyDescent="0.25">
      <c r="A18807" t="s">
        <v>16</v>
      </c>
      <c r="B18807" t="s">
        <v>3221</v>
      </c>
      <c r="C18807">
        <v>6148</v>
      </c>
      <c r="D18807" t="s">
        <v>310</v>
      </c>
      <c r="E18807" t="s">
        <v>311</v>
      </c>
      <c r="F18807">
        <v>33.18</v>
      </c>
      <c r="G18807">
        <v>230428</v>
      </c>
      <c r="H18807">
        <v>4550</v>
      </c>
      <c r="I18807" t="s">
        <v>312</v>
      </c>
      <c r="J18807">
        <v>41.14</v>
      </c>
      <c r="K18807">
        <v>7.96</v>
      </c>
      <c r="L18807">
        <v>49503</v>
      </c>
      <c r="M18807" t="s">
        <v>178</v>
      </c>
      <c r="N18807" t="str">
        <f>"143083      "</f>
        <v xml:space="preserve">143083      </v>
      </c>
      <c r="O18807">
        <v>230508</v>
      </c>
    </row>
    <row r="18808" spans="1:15" x14ac:dyDescent="0.25">
      <c r="A18808" t="s">
        <v>16</v>
      </c>
      <c r="B18808" t="s">
        <v>3221</v>
      </c>
      <c r="C18808">
        <v>6176</v>
      </c>
      <c r="D18808" t="s">
        <v>310</v>
      </c>
      <c r="E18808" t="s">
        <v>311</v>
      </c>
      <c r="F18808">
        <v>217.69</v>
      </c>
      <c r="G18808">
        <v>230504</v>
      </c>
      <c r="H18808">
        <v>4550</v>
      </c>
      <c r="I18808" t="s">
        <v>312</v>
      </c>
      <c r="J18808">
        <v>269.93</v>
      </c>
      <c r="K18808">
        <v>52.24</v>
      </c>
      <c r="L18808">
        <v>59502</v>
      </c>
      <c r="M18808" t="s">
        <v>70</v>
      </c>
      <c r="N18808" t="str">
        <f>"143666      "</f>
        <v xml:space="preserve">143666      </v>
      </c>
      <c r="O18808">
        <v>230508</v>
      </c>
    </row>
    <row r="18809" spans="1:15" x14ac:dyDescent="0.25">
      <c r="A18809" t="s">
        <v>16</v>
      </c>
      <c r="B18809" t="s">
        <v>3221</v>
      </c>
      <c r="C18809">
        <v>6176</v>
      </c>
      <c r="D18809" t="s">
        <v>310</v>
      </c>
      <c r="E18809" t="s">
        <v>311</v>
      </c>
      <c r="F18809">
        <v>139.22999999999999</v>
      </c>
      <c r="G18809">
        <v>230504</v>
      </c>
      <c r="H18809">
        <v>4550</v>
      </c>
      <c r="I18809" t="s">
        <v>312</v>
      </c>
      <c r="J18809">
        <v>172.65</v>
      </c>
      <c r="K18809">
        <v>33.42</v>
      </c>
      <c r="L18809">
        <v>59802</v>
      </c>
      <c r="M18809" t="s">
        <v>73</v>
      </c>
      <c r="N18809" t="str">
        <f>"143666      "</f>
        <v xml:space="preserve">143666      </v>
      </c>
      <c r="O18809">
        <v>230508</v>
      </c>
    </row>
    <row r="18810" spans="1:15" x14ac:dyDescent="0.25">
      <c r="A18810" t="s">
        <v>16</v>
      </c>
      <c r="B18810" t="s">
        <v>3221</v>
      </c>
      <c r="C18810">
        <v>6209</v>
      </c>
      <c r="D18810" t="s">
        <v>310</v>
      </c>
      <c r="E18810" t="s">
        <v>311</v>
      </c>
      <c r="F18810">
        <v>-416.78</v>
      </c>
      <c r="G18810">
        <v>230504</v>
      </c>
      <c r="H18810">
        <v>4550</v>
      </c>
      <c r="I18810" t="s">
        <v>312</v>
      </c>
      <c r="J18810">
        <v>-516.80999999999995</v>
      </c>
      <c r="K18810">
        <v>-100.03</v>
      </c>
      <c r="L18810">
        <v>54451</v>
      </c>
      <c r="M18810" t="s">
        <v>158</v>
      </c>
      <c r="N18810" t="str">
        <f>"143689      "</f>
        <v xml:space="preserve">143689      </v>
      </c>
      <c r="O18810">
        <v>230508</v>
      </c>
    </row>
    <row r="18811" spans="1:15" x14ac:dyDescent="0.25">
      <c r="A18811" t="s">
        <v>16</v>
      </c>
      <c r="B18811" t="s">
        <v>3221</v>
      </c>
      <c r="C18811">
        <v>6216</v>
      </c>
      <c r="D18811" t="s">
        <v>310</v>
      </c>
      <c r="E18811" t="s">
        <v>311</v>
      </c>
      <c r="F18811">
        <v>103.03</v>
      </c>
      <c r="G18811">
        <v>230504</v>
      </c>
      <c r="H18811">
        <v>4550</v>
      </c>
      <c r="I18811" t="s">
        <v>312</v>
      </c>
      <c r="J18811">
        <v>127.76</v>
      </c>
      <c r="K18811">
        <v>24.73</v>
      </c>
      <c r="L18811">
        <v>59505</v>
      </c>
      <c r="M18811" t="s">
        <v>72</v>
      </c>
      <c r="N18811" t="str">
        <f>"143713      "</f>
        <v xml:space="preserve">143713      </v>
      </c>
      <c r="O18811">
        <v>230508</v>
      </c>
    </row>
    <row r="18812" spans="1:15" x14ac:dyDescent="0.25">
      <c r="A18812" t="s">
        <v>16</v>
      </c>
      <c r="B18812" t="s">
        <v>3221</v>
      </c>
      <c r="C18812">
        <v>6370</v>
      </c>
      <c r="D18812" t="s">
        <v>310</v>
      </c>
      <c r="E18812" t="s">
        <v>311</v>
      </c>
      <c r="F18812">
        <v>617.69000000000005</v>
      </c>
      <c r="G18812">
        <v>230505</v>
      </c>
      <c r="H18812">
        <v>4550</v>
      </c>
      <c r="I18812" t="s">
        <v>312</v>
      </c>
      <c r="J18812">
        <v>765.94</v>
      </c>
      <c r="K18812">
        <v>148.25</v>
      </c>
      <c r="L18812">
        <v>54451</v>
      </c>
      <c r="M18812" t="s">
        <v>158</v>
      </c>
      <c r="N18812" t="str">
        <f>"143775      "</f>
        <v xml:space="preserve">143775      </v>
      </c>
      <c r="O18812">
        <v>230510</v>
      </c>
    </row>
    <row r="18813" spans="1:15" x14ac:dyDescent="0.25">
      <c r="A18813" t="s">
        <v>16</v>
      </c>
      <c r="B18813" t="s">
        <v>3221</v>
      </c>
      <c r="C18813">
        <v>6371</v>
      </c>
      <c r="D18813" t="s">
        <v>310</v>
      </c>
      <c r="E18813" t="s">
        <v>311</v>
      </c>
      <c r="F18813">
        <v>32.19</v>
      </c>
      <c r="G18813">
        <v>230505</v>
      </c>
      <c r="H18813">
        <v>4550</v>
      </c>
      <c r="I18813" t="s">
        <v>312</v>
      </c>
      <c r="J18813">
        <v>39.92</v>
      </c>
      <c r="K18813">
        <v>7.73</v>
      </c>
      <c r="L18813">
        <v>59502</v>
      </c>
      <c r="M18813" t="s">
        <v>70</v>
      </c>
      <c r="N18813" t="str">
        <f>"143750      "</f>
        <v xml:space="preserve">143750      </v>
      </c>
      <c r="O18813">
        <v>230510</v>
      </c>
    </row>
    <row r="18814" spans="1:15" x14ac:dyDescent="0.25">
      <c r="A18814" t="s">
        <v>16</v>
      </c>
      <c r="B18814" t="s">
        <v>3221</v>
      </c>
      <c r="C18814">
        <v>6371</v>
      </c>
      <c r="D18814" t="s">
        <v>310</v>
      </c>
      <c r="E18814" t="s">
        <v>311</v>
      </c>
      <c r="F18814">
        <v>20.59</v>
      </c>
      <c r="G18814">
        <v>230505</v>
      </c>
      <c r="H18814">
        <v>4550</v>
      </c>
      <c r="I18814" t="s">
        <v>312</v>
      </c>
      <c r="J18814">
        <v>25.53</v>
      </c>
      <c r="K18814">
        <v>4.9400000000000004</v>
      </c>
      <c r="L18814">
        <v>59802</v>
      </c>
      <c r="M18814" t="s">
        <v>73</v>
      </c>
      <c r="N18814" t="str">
        <f>"143750      "</f>
        <v xml:space="preserve">143750      </v>
      </c>
      <c r="O18814">
        <v>230510</v>
      </c>
    </row>
    <row r="18815" spans="1:15" x14ac:dyDescent="0.25">
      <c r="A18815" t="s">
        <v>16</v>
      </c>
      <c r="B18815" t="s">
        <v>3221</v>
      </c>
      <c r="C18815">
        <v>6899</v>
      </c>
      <c r="D18815" t="s">
        <v>310</v>
      </c>
      <c r="E18815" t="s">
        <v>311</v>
      </c>
      <c r="F18815">
        <v>116.87</v>
      </c>
      <c r="G18815">
        <v>230511</v>
      </c>
      <c r="H18815">
        <v>4550</v>
      </c>
      <c r="I18815" t="s">
        <v>312</v>
      </c>
      <c r="J18815">
        <v>144.91999999999999</v>
      </c>
      <c r="K18815">
        <v>28.05</v>
      </c>
      <c r="L18815">
        <v>66754</v>
      </c>
      <c r="M18815" t="s">
        <v>239</v>
      </c>
      <c r="N18815" t="str">
        <f>"144416      "</f>
        <v xml:space="preserve">144416      </v>
      </c>
      <c r="O18815">
        <v>230523</v>
      </c>
    </row>
    <row r="18816" spans="1:15" x14ac:dyDescent="0.25">
      <c r="A18816" t="s">
        <v>16</v>
      </c>
      <c r="B18816" t="s">
        <v>3221</v>
      </c>
      <c r="C18816">
        <v>6899</v>
      </c>
      <c r="D18816" t="s">
        <v>310</v>
      </c>
      <c r="E18816" t="s">
        <v>311</v>
      </c>
      <c r="F18816">
        <v>116.94</v>
      </c>
      <c r="G18816">
        <v>230511</v>
      </c>
      <c r="H18816">
        <v>4550</v>
      </c>
      <c r="I18816" t="s">
        <v>312</v>
      </c>
      <c r="J18816">
        <v>145</v>
      </c>
      <c r="K18816">
        <v>28.06</v>
      </c>
      <c r="L18816">
        <v>67522</v>
      </c>
      <c r="M18816" t="s">
        <v>397</v>
      </c>
      <c r="N18816" t="str">
        <f>"144416      "</f>
        <v xml:space="preserve">144416      </v>
      </c>
      <c r="O18816">
        <v>230523</v>
      </c>
    </row>
    <row r="18817" spans="1:15" x14ac:dyDescent="0.25">
      <c r="A18817" t="s">
        <v>16</v>
      </c>
      <c r="B18817" t="s">
        <v>3221</v>
      </c>
      <c r="C18817">
        <v>6899</v>
      </c>
      <c r="D18817" t="s">
        <v>310</v>
      </c>
      <c r="E18817" t="s">
        <v>311</v>
      </c>
      <c r="F18817">
        <v>116.94</v>
      </c>
      <c r="G18817">
        <v>230511</v>
      </c>
      <c r="H18817">
        <v>4550</v>
      </c>
      <c r="I18817" t="s">
        <v>312</v>
      </c>
      <c r="J18817">
        <v>145</v>
      </c>
      <c r="K18817">
        <v>28.06</v>
      </c>
      <c r="L18817">
        <v>67554</v>
      </c>
      <c r="M18817" t="s">
        <v>60</v>
      </c>
      <c r="N18817" t="str">
        <f>"144416      "</f>
        <v xml:space="preserve">144416      </v>
      </c>
      <c r="O18817">
        <v>230523</v>
      </c>
    </row>
    <row r="18818" spans="1:15" x14ac:dyDescent="0.25">
      <c r="A18818" t="s">
        <v>16</v>
      </c>
      <c r="B18818" t="s">
        <v>3221</v>
      </c>
      <c r="C18818">
        <v>6899</v>
      </c>
      <c r="D18818" t="s">
        <v>310</v>
      </c>
      <c r="E18818" t="s">
        <v>311</v>
      </c>
      <c r="F18818">
        <v>486.95</v>
      </c>
      <c r="G18818">
        <v>230511</v>
      </c>
      <c r="H18818">
        <v>4550</v>
      </c>
      <c r="I18818" t="s">
        <v>312</v>
      </c>
      <c r="J18818">
        <v>603.82000000000005</v>
      </c>
      <c r="K18818">
        <v>116.87</v>
      </c>
      <c r="L18818">
        <v>69501</v>
      </c>
      <c r="M18818" t="s">
        <v>185</v>
      </c>
      <c r="N18818" t="str">
        <f>"144416      "</f>
        <v xml:space="preserve">144416      </v>
      </c>
      <c r="O18818">
        <v>230523</v>
      </c>
    </row>
    <row r="18819" spans="1:15" x14ac:dyDescent="0.25">
      <c r="A18819" t="s">
        <v>16</v>
      </c>
      <c r="B18819" t="s">
        <v>3221</v>
      </c>
      <c r="C18819">
        <v>7191</v>
      </c>
      <c r="D18819" t="s">
        <v>310</v>
      </c>
      <c r="E18819" t="s">
        <v>311</v>
      </c>
      <c r="F18819">
        <v>144.72999999999999</v>
      </c>
      <c r="G18819">
        <v>230510</v>
      </c>
      <c r="H18819">
        <v>4550</v>
      </c>
      <c r="I18819" t="s">
        <v>312</v>
      </c>
      <c r="J18819">
        <v>179.46</v>
      </c>
      <c r="K18819">
        <v>34.729999999999997</v>
      </c>
      <c r="L18819">
        <v>13540</v>
      </c>
      <c r="M18819" t="s">
        <v>85</v>
      </c>
      <c r="N18819" t="str">
        <f>"144229      "</f>
        <v xml:space="preserve">144229      </v>
      </c>
      <c r="O18819">
        <v>230526</v>
      </c>
    </row>
    <row r="18820" spans="1:15" x14ac:dyDescent="0.25">
      <c r="A18820" t="s">
        <v>16</v>
      </c>
      <c r="B18820" t="s">
        <v>3221</v>
      </c>
      <c r="C18820">
        <v>7191</v>
      </c>
      <c r="D18820" t="s">
        <v>310</v>
      </c>
      <c r="E18820" t="s">
        <v>311</v>
      </c>
      <c r="F18820">
        <v>47.2</v>
      </c>
      <c r="G18820">
        <v>230510</v>
      </c>
      <c r="H18820">
        <v>4550</v>
      </c>
      <c r="I18820" t="s">
        <v>312</v>
      </c>
      <c r="J18820">
        <v>58.53</v>
      </c>
      <c r="K18820">
        <v>11.33</v>
      </c>
      <c r="L18820">
        <v>17526</v>
      </c>
      <c r="M18820" t="s">
        <v>437</v>
      </c>
      <c r="N18820" t="str">
        <f>"144229      "</f>
        <v xml:space="preserve">144229      </v>
      </c>
      <c r="O18820">
        <v>230526</v>
      </c>
    </row>
    <row r="18821" spans="1:15" x14ac:dyDescent="0.25">
      <c r="A18821" t="s">
        <v>16</v>
      </c>
      <c r="B18821" t="s">
        <v>3221</v>
      </c>
      <c r="C18821">
        <v>7191</v>
      </c>
      <c r="D18821" t="s">
        <v>310</v>
      </c>
      <c r="E18821" t="s">
        <v>311</v>
      </c>
      <c r="F18821">
        <v>986.77</v>
      </c>
      <c r="G18821">
        <v>230510</v>
      </c>
      <c r="H18821">
        <v>4550</v>
      </c>
      <c r="I18821" t="s">
        <v>312</v>
      </c>
      <c r="J18821">
        <v>1223.5899999999999</v>
      </c>
      <c r="K18821">
        <v>236.82</v>
      </c>
      <c r="L18821">
        <v>17950</v>
      </c>
      <c r="M18821" t="s">
        <v>86</v>
      </c>
      <c r="N18821" t="str">
        <f>"144229      "</f>
        <v xml:space="preserve">144229      </v>
      </c>
      <c r="O18821">
        <v>230526</v>
      </c>
    </row>
    <row r="18822" spans="1:15" x14ac:dyDescent="0.25">
      <c r="A18822" t="s">
        <v>16</v>
      </c>
      <c r="B18822" t="s">
        <v>3221</v>
      </c>
      <c r="C18822">
        <v>7191</v>
      </c>
      <c r="D18822" t="s">
        <v>310</v>
      </c>
      <c r="E18822" t="s">
        <v>311</v>
      </c>
      <c r="F18822">
        <v>184.19</v>
      </c>
      <c r="G18822">
        <v>230510</v>
      </c>
      <c r="H18822">
        <v>4550</v>
      </c>
      <c r="I18822" t="s">
        <v>312</v>
      </c>
      <c r="J18822">
        <v>228.4</v>
      </c>
      <c r="K18822">
        <v>44.21</v>
      </c>
      <c r="L18822">
        <v>17956</v>
      </c>
      <c r="M18822" t="s">
        <v>53</v>
      </c>
      <c r="N18822" t="str">
        <f>"144229      "</f>
        <v xml:space="preserve">144229      </v>
      </c>
      <c r="O18822">
        <v>230526</v>
      </c>
    </row>
    <row r="18823" spans="1:15" x14ac:dyDescent="0.25">
      <c r="A18823" t="s">
        <v>16</v>
      </c>
      <c r="B18823" t="s">
        <v>3221</v>
      </c>
      <c r="C18823">
        <v>7731</v>
      </c>
      <c r="D18823" t="s">
        <v>310</v>
      </c>
      <c r="E18823" t="s">
        <v>311</v>
      </c>
      <c r="F18823">
        <v>557.4</v>
      </c>
      <c r="G18823">
        <v>230529</v>
      </c>
      <c r="H18823">
        <v>4550</v>
      </c>
      <c r="I18823" t="s">
        <v>312</v>
      </c>
      <c r="J18823">
        <v>691.18</v>
      </c>
      <c r="K18823">
        <v>133.78</v>
      </c>
      <c r="L18823">
        <v>49501</v>
      </c>
      <c r="M18823" t="s">
        <v>177</v>
      </c>
      <c r="N18823" t="str">
        <f>"145842      "</f>
        <v xml:space="preserve">145842      </v>
      </c>
      <c r="O18823">
        <v>230602</v>
      </c>
    </row>
    <row r="18824" spans="1:15" x14ac:dyDescent="0.25">
      <c r="A18824" t="s">
        <v>16</v>
      </c>
      <c r="B18824" t="s">
        <v>3221</v>
      </c>
      <c r="C18824">
        <v>7732</v>
      </c>
      <c r="D18824" t="s">
        <v>310</v>
      </c>
      <c r="E18824" t="s">
        <v>311</v>
      </c>
      <c r="F18824">
        <v>255</v>
      </c>
      <c r="G18824">
        <v>230529</v>
      </c>
      <c r="H18824">
        <v>4550</v>
      </c>
      <c r="I18824" t="s">
        <v>312</v>
      </c>
      <c r="J18824">
        <v>316.2</v>
      </c>
      <c r="K18824">
        <v>61.2</v>
      </c>
      <c r="L18824">
        <v>49501</v>
      </c>
      <c r="M18824" t="s">
        <v>177</v>
      </c>
      <c r="N18824" t="str">
        <f>"145841      "</f>
        <v xml:space="preserve">145841      </v>
      </c>
      <c r="O18824">
        <v>230602</v>
      </c>
    </row>
    <row r="18825" spans="1:15" x14ac:dyDescent="0.25">
      <c r="A18825" t="s">
        <v>16</v>
      </c>
      <c r="B18825" t="s">
        <v>3221</v>
      </c>
      <c r="C18825">
        <v>8152</v>
      </c>
      <c r="D18825" t="s">
        <v>310</v>
      </c>
      <c r="E18825" t="s">
        <v>311</v>
      </c>
      <c r="F18825">
        <v>149.72999999999999</v>
      </c>
      <c r="G18825">
        <v>230606</v>
      </c>
      <c r="H18825">
        <v>4550</v>
      </c>
      <c r="I18825" t="s">
        <v>312</v>
      </c>
      <c r="J18825">
        <v>185.67</v>
      </c>
      <c r="K18825">
        <v>35.94</v>
      </c>
      <c r="L18825">
        <v>17951</v>
      </c>
      <c r="M18825" t="s">
        <v>87</v>
      </c>
      <c r="N18825" t="str">
        <f>"146657      "</f>
        <v xml:space="preserve">146657      </v>
      </c>
      <c r="O18825">
        <v>230607</v>
      </c>
    </row>
    <row r="18826" spans="1:15" x14ac:dyDescent="0.25">
      <c r="A18826" t="s">
        <v>16</v>
      </c>
      <c r="B18826" t="s">
        <v>3221</v>
      </c>
      <c r="C18826">
        <v>8775</v>
      </c>
      <c r="D18826" t="s">
        <v>310</v>
      </c>
      <c r="E18826" t="s">
        <v>311</v>
      </c>
      <c r="F18826">
        <v>21.59</v>
      </c>
      <c r="G18826">
        <v>230613</v>
      </c>
      <c r="H18826">
        <v>4550</v>
      </c>
      <c r="I18826" t="s">
        <v>312</v>
      </c>
      <c r="J18826">
        <v>26.77</v>
      </c>
      <c r="K18826">
        <v>5.18</v>
      </c>
      <c r="L18826">
        <v>17951</v>
      </c>
      <c r="M18826" t="s">
        <v>87</v>
      </c>
      <c r="N18826" t="str">
        <f>"147506      "</f>
        <v xml:space="preserve">147506      </v>
      </c>
      <c r="O18826">
        <v>230614</v>
      </c>
    </row>
    <row r="18827" spans="1:15" x14ac:dyDescent="0.25">
      <c r="A18827" t="s">
        <v>16</v>
      </c>
      <c r="B18827" t="s">
        <v>3221</v>
      </c>
      <c r="C18827">
        <v>9130</v>
      </c>
      <c r="D18827" t="s">
        <v>310</v>
      </c>
      <c r="E18827" t="s">
        <v>311</v>
      </c>
      <c r="F18827">
        <v>182.14</v>
      </c>
      <c r="G18827">
        <v>230614</v>
      </c>
      <c r="H18827">
        <v>4550</v>
      </c>
      <c r="I18827" t="s">
        <v>312</v>
      </c>
      <c r="J18827">
        <v>225.85</v>
      </c>
      <c r="K18827">
        <v>43.71</v>
      </c>
      <c r="L18827">
        <v>49501</v>
      </c>
      <c r="M18827" t="s">
        <v>177</v>
      </c>
      <c r="N18827" t="str">
        <f>"147568      "</f>
        <v xml:space="preserve">147568      </v>
      </c>
      <c r="O18827">
        <v>230628</v>
      </c>
    </row>
    <row r="18828" spans="1:15" x14ac:dyDescent="0.25">
      <c r="A18828" t="s">
        <v>16</v>
      </c>
      <c r="B18828" t="s">
        <v>3221</v>
      </c>
      <c r="C18828">
        <v>9140</v>
      </c>
      <c r="D18828" t="s">
        <v>310</v>
      </c>
      <c r="E18828" t="s">
        <v>311</v>
      </c>
      <c r="F18828">
        <v>487.48</v>
      </c>
      <c r="G18828">
        <v>230614</v>
      </c>
      <c r="H18828">
        <v>4550</v>
      </c>
      <c r="I18828" t="s">
        <v>312</v>
      </c>
      <c r="J18828">
        <v>604.47</v>
      </c>
      <c r="K18828">
        <v>116.99</v>
      </c>
      <c r="L18828">
        <v>49501</v>
      </c>
      <c r="M18828" t="s">
        <v>177</v>
      </c>
      <c r="N18828" t="str">
        <f>"147567      "</f>
        <v xml:space="preserve">147567      </v>
      </c>
      <c r="O18828">
        <v>230628</v>
      </c>
    </row>
    <row r="18829" spans="1:15" x14ac:dyDescent="0.25">
      <c r="A18829" t="s">
        <v>16</v>
      </c>
      <c r="B18829" t="s">
        <v>3221</v>
      </c>
      <c r="C18829">
        <v>9995</v>
      </c>
      <c r="D18829" t="s">
        <v>310</v>
      </c>
      <c r="E18829" t="s">
        <v>311</v>
      </c>
      <c r="F18829">
        <v>10.02</v>
      </c>
      <c r="G18829">
        <v>230712</v>
      </c>
      <c r="H18829">
        <v>4550</v>
      </c>
      <c r="I18829" t="s">
        <v>312</v>
      </c>
      <c r="J18829">
        <v>12.43</v>
      </c>
      <c r="K18829">
        <v>2.41</v>
      </c>
      <c r="L18829">
        <v>49501</v>
      </c>
      <c r="M18829" t="s">
        <v>177</v>
      </c>
      <c r="N18829" t="str">
        <f>"149304      "</f>
        <v xml:space="preserve">149304      </v>
      </c>
      <c r="O18829">
        <v>230807</v>
      </c>
    </row>
    <row r="18830" spans="1:15" x14ac:dyDescent="0.25">
      <c r="A18830" t="s">
        <v>16</v>
      </c>
      <c r="B18830" t="s">
        <v>3221</v>
      </c>
      <c r="C18830">
        <v>10059</v>
      </c>
      <c r="D18830" t="s">
        <v>310</v>
      </c>
      <c r="E18830" t="s">
        <v>311</v>
      </c>
      <c r="F18830">
        <v>186.4</v>
      </c>
      <c r="G18830">
        <v>230729</v>
      </c>
      <c r="H18830">
        <v>4550</v>
      </c>
      <c r="I18830" t="s">
        <v>312</v>
      </c>
      <c r="J18830">
        <v>231.14</v>
      </c>
      <c r="K18830">
        <v>44.74</v>
      </c>
      <c r="L18830">
        <v>69112</v>
      </c>
      <c r="M18830" t="s">
        <v>313</v>
      </c>
      <c r="N18830" t="str">
        <f>"150345      "</f>
        <v xml:space="preserve">150345      </v>
      </c>
      <c r="O18830">
        <v>230808</v>
      </c>
    </row>
    <row r="18831" spans="1:15" x14ac:dyDescent="0.25">
      <c r="A18831" t="s">
        <v>16</v>
      </c>
      <c r="B18831" t="s">
        <v>3221</v>
      </c>
      <c r="C18831">
        <v>10059</v>
      </c>
      <c r="D18831" t="s">
        <v>310</v>
      </c>
      <c r="E18831" t="s">
        <v>311</v>
      </c>
      <c r="F18831">
        <v>10.35</v>
      </c>
      <c r="G18831">
        <v>230729</v>
      </c>
      <c r="H18831">
        <v>4550</v>
      </c>
      <c r="I18831" t="s">
        <v>312</v>
      </c>
      <c r="J18831">
        <v>12.84</v>
      </c>
      <c r="K18831">
        <v>2.4900000000000002</v>
      </c>
      <c r="L18831">
        <v>69810</v>
      </c>
      <c r="M18831" t="s">
        <v>314</v>
      </c>
      <c r="N18831" t="str">
        <f>"150345      "</f>
        <v xml:space="preserve">150345      </v>
      </c>
      <c r="O18831">
        <v>230808</v>
      </c>
    </row>
    <row r="18832" spans="1:15" x14ac:dyDescent="0.25">
      <c r="A18832" t="s">
        <v>16</v>
      </c>
      <c r="B18832" t="s">
        <v>3221</v>
      </c>
      <c r="C18832">
        <v>10059</v>
      </c>
      <c r="D18832" t="s">
        <v>310</v>
      </c>
      <c r="E18832" t="s">
        <v>311</v>
      </c>
      <c r="F18832">
        <v>10.35</v>
      </c>
      <c r="G18832">
        <v>230729</v>
      </c>
      <c r="H18832">
        <v>4550</v>
      </c>
      <c r="I18832" t="s">
        <v>312</v>
      </c>
      <c r="J18832">
        <v>12.84</v>
      </c>
      <c r="K18832">
        <v>2.4900000000000002</v>
      </c>
      <c r="L18832">
        <v>69811</v>
      </c>
      <c r="M18832" t="s">
        <v>315</v>
      </c>
      <c r="N18832" t="str">
        <f>"150345      "</f>
        <v xml:space="preserve">150345      </v>
      </c>
      <c r="O18832">
        <v>230808</v>
      </c>
    </row>
    <row r="18833" spans="1:15" x14ac:dyDescent="0.25">
      <c r="A18833" t="s">
        <v>16</v>
      </c>
      <c r="B18833" t="s">
        <v>3221</v>
      </c>
      <c r="C18833">
        <v>10072</v>
      </c>
      <c r="D18833" t="s">
        <v>310</v>
      </c>
      <c r="E18833" t="s">
        <v>311</v>
      </c>
      <c r="F18833">
        <v>364.29</v>
      </c>
      <c r="G18833">
        <v>230731</v>
      </c>
      <c r="H18833">
        <v>4550</v>
      </c>
      <c r="I18833" t="s">
        <v>312</v>
      </c>
      <c r="J18833">
        <v>451.72</v>
      </c>
      <c r="K18833">
        <v>87.43</v>
      </c>
      <c r="L18833">
        <v>49501</v>
      </c>
      <c r="M18833" t="s">
        <v>177</v>
      </c>
      <c r="N18833" t="str">
        <f>"150754      "</f>
        <v xml:space="preserve">150754      </v>
      </c>
      <c r="O18833">
        <v>230808</v>
      </c>
    </row>
    <row r="18834" spans="1:15" x14ac:dyDescent="0.25">
      <c r="A18834" t="s">
        <v>16</v>
      </c>
      <c r="B18834" t="s">
        <v>3221</v>
      </c>
      <c r="C18834">
        <v>10073</v>
      </c>
      <c r="D18834" t="s">
        <v>310</v>
      </c>
      <c r="E18834" t="s">
        <v>311</v>
      </c>
      <c r="F18834">
        <v>520.30999999999995</v>
      </c>
      <c r="G18834">
        <v>230731</v>
      </c>
      <c r="H18834">
        <v>4550</v>
      </c>
      <c r="I18834" t="s">
        <v>312</v>
      </c>
      <c r="J18834">
        <v>645.17999999999995</v>
      </c>
      <c r="K18834">
        <v>124.87</v>
      </c>
      <c r="L18834">
        <v>49112</v>
      </c>
      <c r="M18834" t="s">
        <v>233</v>
      </c>
      <c r="N18834" t="str">
        <f>"150700      "</f>
        <v xml:space="preserve">150700      </v>
      </c>
      <c r="O18834">
        <v>230808</v>
      </c>
    </row>
    <row r="18835" spans="1:15" x14ac:dyDescent="0.25">
      <c r="A18835" t="s">
        <v>16</v>
      </c>
      <c r="B18835" t="s">
        <v>3221</v>
      </c>
      <c r="C18835">
        <v>10208</v>
      </c>
      <c r="D18835" t="s">
        <v>310</v>
      </c>
      <c r="E18835" t="s">
        <v>311</v>
      </c>
      <c r="F18835">
        <v>21.12</v>
      </c>
      <c r="G18835">
        <v>230808</v>
      </c>
      <c r="H18835">
        <v>4550</v>
      </c>
      <c r="I18835" t="s">
        <v>312</v>
      </c>
      <c r="J18835">
        <v>26.19</v>
      </c>
      <c r="K18835">
        <v>5.07</v>
      </c>
      <c r="L18835">
        <v>17951</v>
      </c>
      <c r="M18835" t="s">
        <v>87</v>
      </c>
      <c r="N18835" t="str">
        <f>"151483      "</f>
        <v xml:space="preserve">151483      </v>
      </c>
      <c r="O18835">
        <v>230809</v>
      </c>
    </row>
    <row r="18836" spans="1:15" x14ac:dyDescent="0.25">
      <c r="A18836" t="s">
        <v>16</v>
      </c>
      <c r="B18836" t="s">
        <v>3221</v>
      </c>
      <c r="C18836">
        <v>10305</v>
      </c>
      <c r="D18836" t="s">
        <v>310</v>
      </c>
      <c r="E18836" t="s">
        <v>311</v>
      </c>
      <c r="F18836">
        <v>116.35</v>
      </c>
      <c r="G18836">
        <v>230802</v>
      </c>
      <c r="H18836">
        <v>4550</v>
      </c>
      <c r="I18836" t="s">
        <v>312</v>
      </c>
      <c r="J18836">
        <v>144.28</v>
      </c>
      <c r="K18836">
        <v>27.93</v>
      </c>
      <c r="L18836">
        <v>14951</v>
      </c>
      <c r="M18836" t="s">
        <v>57</v>
      </c>
      <c r="N18836" t="str">
        <f>"150889      "</f>
        <v xml:space="preserve">150889      </v>
      </c>
      <c r="O18836">
        <v>230814</v>
      </c>
    </row>
    <row r="18837" spans="1:15" x14ac:dyDescent="0.25">
      <c r="A18837" t="s">
        <v>16</v>
      </c>
      <c r="B18837" t="s">
        <v>3221</v>
      </c>
      <c r="C18837">
        <v>10351</v>
      </c>
      <c r="D18837" t="s">
        <v>310</v>
      </c>
      <c r="E18837" t="s">
        <v>311</v>
      </c>
      <c r="F18837">
        <v>902.48</v>
      </c>
      <c r="G18837">
        <v>230810</v>
      </c>
      <c r="H18837">
        <v>4550</v>
      </c>
      <c r="I18837" t="s">
        <v>312</v>
      </c>
      <c r="J18837">
        <v>1119.08</v>
      </c>
      <c r="K18837">
        <v>216.6</v>
      </c>
      <c r="L18837">
        <v>59113</v>
      </c>
      <c r="M18837" t="s">
        <v>235</v>
      </c>
      <c r="N18837" t="str">
        <f>"151749      "</f>
        <v xml:space="preserve">151749      </v>
      </c>
      <c r="O18837">
        <v>230814</v>
      </c>
    </row>
    <row r="18838" spans="1:15" x14ac:dyDescent="0.25">
      <c r="A18838" t="s">
        <v>16</v>
      </c>
      <c r="B18838" t="s">
        <v>3221</v>
      </c>
      <c r="C18838">
        <v>10422</v>
      </c>
      <c r="D18838" t="s">
        <v>310</v>
      </c>
      <c r="E18838" t="s">
        <v>311</v>
      </c>
      <c r="F18838">
        <v>366.23</v>
      </c>
      <c r="G18838">
        <v>230814</v>
      </c>
      <c r="H18838">
        <v>4550</v>
      </c>
      <c r="I18838" t="s">
        <v>312</v>
      </c>
      <c r="J18838">
        <v>454.12</v>
      </c>
      <c r="K18838">
        <v>87.89</v>
      </c>
      <c r="L18838">
        <v>59504</v>
      </c>
      <c r="M18838" t="s">
        <v>71</v>
      </c>
      <c r="N18838" t="str">
        <f>"152007      "</f>
        <v xml:space="preserve">152007      </v>
      </c>
      <c r="O18838">
        <v>230815</v>
      </c>
    </row>
    <row r="18839" spans="1:15" x14ac:dyDescent="0.25">
      <c r="A18839" t="s">
        <v>16</v>
      </c>
      <c r="B18839" t="s">
        <v>3221</v>
      </c>
      <c r="C18839">
        <v>10459</v>
      </c>
      <c r="D18839" t="s">
        <v>310</v>
      </c>
      <c r="E18839" t="s">
        <v>311</v>
      </c>
      <c r="F18839">
        <v>159.5</v>
      </c>
      <c r="G18839">
        <v>230815</v>
      </c>
      <c r="H18839">
        <v>4550</v>
      </c>
      <c r="I18839" t="s">
        <v>312</v>
      </c>
      <c r="J18839">
        <v>197.78</v>
      </c>
      <c r="K18839">
        <v>38.28</v>
      </c>
      <c r="L18839">
        <v>59503</v>
      </c>
      <c r="M18839" t="s">
        <v>194</v>
      </c>
      <c r="N18839" t="str">
        <f>"152259      "</f>
        <v xml:space="preserve">152259      </v>
      </c>
      <c r="O18839">
        <v>230816</v>
      </c>
    </row>
    <row r="18840" spans="1:15" x14ac:dyDescent="0.25">
      <c r="A18840" t="s">
        <v>16</v>
      </c>
      <c r="B18840" t="s">
        <v>3221</v>
      </c>
      <c r="C18840">
        <v>10586</v>
      </c>
      <c r="D18840" t="s">
        <v>310</v>
      </c>
      <c r="E18840" t="s">
        <v>311</v>
      </c>
      <c r="F18840">
        <v>77.66</v>
      </c>
      <c r="G18840">
        <v>230808</v>
      </c>
      <c r="H18840">
        <v>4550</v>
      </c>
      <c r="I18840" t="s">
        <v>312</v>
      </c>
      <c r="J18840">
        <v>96.3</v>
      </c>
      <c r="K18840">
        <v>18.64</v>
      </c>
      <c r="L18840">
        <v>13540</v>
      </c>
      <c r="M18840" t="s">
        <v>85</v>
      </c>
      <c r="N18840" t="str">
        <f>"151482      "</f>
        <v xml:space="preserve">151482      </v>
      </c>
      <c r="O18840">
        <v>230818</v>
      </c>
    </row>
    <row r="18841" spans="1:15" x14ac:dyDescent="0.25">
      <c r="A18841" t="s">
        <v>16</v>
      </c>
      <c r="B18841" t="s">
        <v>3221</v>
      </c>
      <c r="C18841">
        <v>10586</v>
      </c>
      <c r="D18841" t="s">
        <v>310</v>
      </c>
      <c r="E18841" t="s">
        <v>311</v>
      </c>
      <c r="F18841">
        <v>357.81</v>
      </c>
      <c r="G18841">
        <v>230808</v>
      </c>
      <c r="H18841">
        <v>4550</v>
      </c>
      <c r="I18841" t="s">
        <v>312</v>
      </c>
      <c r="J18841">
        <v>443.68</v>
      </c>
      <c r="K18841">
        <v>85.87</v>
      </c>
      <c r="L18841">
        <v>17950</v>
      </c>
      <c r="M18841" t="s">
        <v>86</v>
      </c>
      <c r="N18841" t="str">
        <f>"151482      "</f>
        <v xml:space="preserve">151482      </v>
      </c>
      <c r="O18841">
        <v>230818</v>
      </c>
    </row>
    <row r="18842" spans="1:15" x14ac:dyDescent="0.25">
      <c r="A18842" t="s">
        <v>16</v>
      </c>
      <c r="B18842" t="s">
        <v>3221</v>
      </c>
      <c r="C18842">
        <v>10586</v>
      </c>
      <c r="D18842" t="s">
        <v>310</v>
      </c>
      <c r="E18842" t="s">
        <v>311</v>
      </c>
      <c r="F18842">
        <v>270.52</v>
      </c>
      <c r="G18842">
        <v>230808</v>
      </c>
      <c r="H18842">
        <v>4550</v>
      </c>
      <c r="I18842" t="s">
        <v>312</v>
      </c>
      <c r="J18842">
        <v>335.44</v>
      </c>
      <c r="K18842">
        <v>64.92</v>
      </c>
      <c r="L18842">
        <v>17956</v>
      </c>
      <c r="M18842" t="s">
        <v>53</v>
      </c>
      <c r="N18842" t="str">
        <f>"151482      "</f>
        <v xml:space="preserve">151482      </v>
      </c>
      <c r="O18842">
        <v>230818</v>
      </c>
    </row>
    <row r="18843" spans="1:15" x14ac:dyDescent="0.25">
      <c r="A18843" t="s">
        <v>16</v>
      </c>
      <c r="B18843" t="s">
        <v>3221</v>
      </c>
      <c r="C18843">
        <v>10597</v>
      </c>
      <c r="D18843" t="s">
        <v>310</v>
      </c>
      <c r="E18843" t="s">
        <v>311</v>
      </c>
      <c r="F18843">
        <v>749.88</v>
      </c>
      <c r="G18843">
        <v>230817</v>
      </c>
      <c r="H18843">
        <v>4550</v>
      </c>
      <c r="I18843" t="s">
        <v>312</v>
      </c>
      <c r="J18843">
        <v>929.85</v>
      </c>
      <c r="K18843">
        <v>179.97</v>
      </c>
      <c r="L18843">
        <v>59501</v>
      </c>
      <c r="M18843" t="s">
        <v>69</v>
      </c>
      <c r="N18843" t="str">
        <f>"152497      "</f>
        <v xml:space="preserve">152497      </v>
      </c>
      <c r="O18843">
        <v>230818</v>
      </c>
    </row>
    <row r="18844" spans="1:15" x14ac:dyDescent="0.25">
      <c r="A18844" t="s">
        <v>16</v>
      </c>
      <c r="B18844" t="s">
        <v>3221</v>
      </c>
      <c r="C18844">
        <v>10600</v>
      </c>
      <c r="D18844" t="s">
        <v>310</v>
      </c>
      <c r="E18844" t="s">
        <v>311</v>
      </c>
      <c r="F18844">
        <v>112.07</v>
      </c>
      <c r="G18844">
        <v>230814</v>
      </c>
      <c r="H18844">
        <v>4550</v>
      </c>
      <c r="I18844" t="s">
        <v>312</v>
      </c>
      <c r="J18844">
        <v>138.97</v>
      </c>
      <c r="K18844">
        <v>26.9</v>
      </c>
      <c r="L18844">
        <v>59114</v>
      </c>
      <c r="M18844" t="s">
        <v>556</v>
      </c>
      <c r="N18844" t="str">
        <f>"152131      "</f>
        <v xml:space="preserve">152131      </v>
      </c>
      <c r="O18844">
        <v>230818</v>
      </c>
    </row>
    <row r="18845" spans="1:15" x14ac:dyDescent="0.25">
      <c r="A18845" t="s">
        <v>16</v>
      </c>
      <c r="B18845" t="s">
        <v>3221</v>
      </c>
      <c r="C18845">
        <v>10663</v>
      </c>
      <c r="D18845" t="s">
        <v>310</v>
      </c>
      <c r="E18845" t="s">
        <v>311</v>
      </c>
      <c r="F18845">
        <v>1059.6400000000001</v>
      </c>
      <c r="G18845">
        <v>230810</v>
      </c>
      <c r="H18845">
        <v>4550</v>
      </c>
      <c r="I18845" t="s">
        <v>312</v>
      </c>
      <c r="J18845">
        <v>1313.95</v>
      </c>
      <c r="K18845">
        <v>254.31</v>
      </c>
      <c r="L18845">
        <v>49501</v>
      </c>
      <c r="M18845" t="s">
        <v>177</v>
      </c>
      <c r="N18845" t="str">
        <f>"151767      "</f>
        <v xml:space="preserve">151767      </v>
      </c>
      <c r="O18845">
        <v>230821</v>
      </c>
    </row>
    <row r="18846" spans="1:15" x14ac:dyDescent="0.25">
      <c r="A18846" t="s">
        <v>16</v>
      </c>
      <c r="B18846" t="s">
        <v>3221</v>
      </c>
      <c r="C18846">
        <v>10672</v>
      </c>
      <c r="D18846" t="s">
        <v>310</v>
      </c>
      <c r="E18846" t="s">
        <v>311</v>
      </c>
      <c r="F18846">
        <v>2016.15</v>
      </c>
      <c r="G18846">
        <v>230811</v>
      </c>
      <c r="H18846">
        <v>4550</v>
      </c>
      <c r="I18846" t="s">
        <v>312</v>
      </c>
      <c r="J18846">
        <v>2500.0300000000002</v>
      </c>
      <c r="K18846">
        <v>483.88</v>
      </c>
      <c r="L18846">
        <v>49501</v>
      </c>
      <c r="M18846" t="s">
        <v>177</v>
      </c>
      <c r="N18846" t="str">
        <f>"151901      "</f>
        <v xml:space="preserve">151901      </v>
      </c>
      <c r="O18846">
        <v>230821</v>
      </c>
    </row>
    <row r="18847" spans="1:15" x14ac:dyDescent="0.25">
      <c r="A18847" t="s">
        <v>16</v>
      </c>
      <c r="B18847" t="s">
        <v>3221</v>
      </c>
      <c r="C18847">
        <v>10698</v>
      </c>
      <c r="D18847" t="s">
        <v>310</v>
      </c>
      <c r="E18847" t="s">
        <v>311</v>
      </c>
      <c r="F18847">
        <v>149.52000000000001</v>
      </c>
      <c r="G18847">
        <v>230814</v>
      </c>
      <c r="H18847">
        <v>4550</v>
      </c>
      <c r="I18847" t="s">
        <v>312</v>
      </c>
      <c r="J18847">
        <v>185.4</v>
      </c>
      <c r="K18847">
        <v>35.880000000000003</v>
      </c>
      <c r="L18847">
        <v>59111</v>
      </c>
      <c r="M18847" t="s">
        <v>1010</v>
      </c>
      <c r="N18847" t="str">
        <f>"152074      "</f>
        <v xml:space="preserve">152074      </v>
      </c>
      <c r="O18847">
        <v>230822</v>
      </c>
    </row>
    <row r="18848" spans="1:15" x14ac:dyDescent="0.25">
      <c r="A18848" t="s">
        <v>16</v>
      </c>
      <c r="B18848" t="s">
        <v>3221</v>
      </c>
      <c r="C18848">
        <v>10719</v>
      </c>
      <c r="D18848" t="s">
        <v>310</v>
      </c>
      <c r="E18848" t="s">
        <v>311</v>
      </c>
      <c r="F18848">
        <v>63.24</v>
      </c>
      <c r="G18848">
        <v>230817</v>
      </c>
      <c r="H18848">
        <v>4550</v>
      </c>
      <c r="I18848" t="s">
        <v>312</v>
      </c>
      <c r="J18848">
        <v>78.42</v>
      </c>
      <c r="K18848">
        <v>15.18</v>
      </c>
      <c r="L18848">
        <v>49501</v>
      </c>
      <c r="M18848" t="s">
        <v>177</v>
      </c>
      <c r="N18848" t="str">
        <f>"152417      "</f>
        <v xml:space="preserve">152417      </v>
      </c>
      <c r="O18848">
        <v>230822</v>
      </c>
    </row>
    <row r="18849" spans="1:15" x14ac:dyDescent="0.25">
      <c r="A18849" t="s">
        <v>16</v>
      </c>
      <c r="B18849" t="s">
        <v>3221</v>
      </c>
      <c r="C18849">
        <v>10719</v>
      </c>
      <c r="D18849" t="s">
        <v>310</v>
      </c>
      <c r="E18849" t="s">
        <v>311</v>
      </c>
      <c r="F18849">
        <v>20.51</v>
      </c>
      <c r="G18849">
        <v>230817</v>
      </c>
      <c r="H18849">
        <v>4550</v>
      </c>
      <c r="I18849" t="s">
        <v>312</v>
      </c>
      <c r="J18849">
        <v>25.43</v>
      </c>
      <c r="K18849">
        <v>4.92</v>
      </c>
      <c r="L18849">
        <v>49503</v>
      </c>
      <c r="M18849" t="s">
        <v>178</v>
      </c>
      <c r="N18849" t="str">
        <f>"152417      "</f>
        <v xml:space="preserve">152417      </v>
      </c>
      <c r="O18849">
        <v>230822</v>
      </c>
    </row>
    <row r="18850" spans="1:15" x14ac:dyDescent="0.25">
      <c r="A18850" t="s">
        <v>16</v>
      </c>
      <c r="B18850" t="s">
        <v>3221</v>
      </c>
      <c r="C18850">
        <v>10720</v>
      </c>
      <c r="D18850" t="s">
        <v>310</v>
      </c>
      <c r="E18850" t="s">
        <v>311</v>
      </c>
      <c r="F18850">
        <v>388.48</v>
      </c>
      <c r="G18850">
        <v>230818</v>
      </c>
      <c r="H18850">
        <v>4550</v>
      </c>
      <c r="I18850" t="s">
        <v>312</v>
      </c>
      <c r="J18850">
        <v>481.71</v>
      </c>
      <c r="K18850">
        <v>93.23</v>
      </c>
      <c r="L18850">
        <v>54422</v>
      </c>
      <c r="M18850" t="s">
        <v>234</v>
      </c>
      <c r="N18850" t="str">
        <f>"152639      "</f>
        <v xml:space="preserve">152639      </v>
      </c>
      <c r="O18850">
        <v>230822</v>
      </c>
    </row>
    <row r="18851" spans="1:15" x14ac:dyDescent="0.25">
      <c r="A18851" t="s">
        <v>16</v>
      </c>
      <c r="B18851" t="s">
        <v>3221</v>
      </c>
      <c r="C18851">
        <v>10720</v>
      </c>
      <c r="D18851" t="s">
        <v>310</v>
      </c>
      <c r="E18851" t="s">
        <v>311</v>
      </c>
      <c r="F18851">
        <v>388.48</v>
      </c>
      <c r="G18851">
        <v>230818</v>
      </c>
      <c r="H18851">
        <v>4550</v>
      </c>
      <c r="I18851" t="s">
        <v>312</v>
      </c>
      <c r="J18851">
        <v>481.72</v>
      </c>
      <c r="K18851">
        <v>93.24</v>
      </c>
      <c r="L18851">
        <v>54451</v>
      </c>
      <c r="M18851" t="s">
        <v>158</v>
      </c>
      <c r="N18851" t="str">
        <f>"152639      "</f>
        <v xml:space="preserve">152639      </v>
      </c>
      <c r="O18851">
        <v>230822</v>
      </c>
    </row>
    <row r="18852" spans="1:15" x14ac:dyDescent="0.25">
      <c r="A18852" t="s">
        <v>16</v>
      </c>
      <c r="B18852" t="s">
        <v>3221</v>
      </c>
      <c r="C18852">
        <v>10769</v>
      </c>
      <c r="D18852" t="s">
        <v>310</v>
      </c>
      <c r="E18852" t="s">
        <v>311</v>
      </c>
      <c r="F18852">
        <v>219.27</v>
      </c>
      <c r="G18852">
        <v>230818</v>
      </c>
      <c r="H18852">
        <v>4550</v>
      </c>
      <c r="I18852" t="s">
        <v>312</v>
      </c>
      <c r="J18852">
        <v>271.89</v>
      </c>
      <c r="K18852">
        <v>52.62</v>
      </c>
      <c r="L18852">
        <v>59502</v>
      </c>
      <c r="M18852" t="s">
        <v>70</v>
      </c>
      <c r="N18852" t="str">
        <f>"152582      "</f>
        <v xml:space="preserve">152582      </v>
      </c>
      <c r="O18852">
        <v>230822</v>
      </c>
    </row>
    <row r="18853" spans="1:15" x14ac:dyDescent="0.25">
      <c r="A18853" t="s">
        <v>16</v>
      </c>
      <c r="B18853" t="s">
        <v>3221</v>
      </c>
      <c r="C18853">
        <v>10769</v>
      </c>
      <c r="D18853" t="s">
        <v>310</v>
      </c>
      <c r="E18853" t="s">
        <v>311</v>
      </c>
      <c r="F18853">
        <v>140.25</v>
      </c>
      <c r="G18853">
        <v>230818</v>
      </c>
      <c r="H18853">
        <v>4550</v>
      </c>
      <c r="I18853" t="s">
        <v>312</v>
      </c>
      <c r="J18853">
        <v>173.91</v>
      </c>
      <c r="K18853">
        <v>33.659999999999997</v>
      </c>
      <c r="L18853">
        <v>59802</v>
      </c>
      <c r="M18853" t="s">
        <v>73</v>
      </c>
      <c r="N18853" t="str">
        <f>"152582      "</f>
        <v xml:space="preserve">152582      </v>
      </c>
      <c r="O18853">
        <v>230822</v>
      </c>
    </row>
    <row r="18854" spans="1:15" x14ac:dyDescent="0.25">
      <c r="A18854" t="s">
        <v>16</v>
      </c>
      <c r="B18854" t="s">
        <v>3221</v>
      </c>
      <c r="C18854">
        <v>10860</v>
      </c>
      <c r="D18854" t="s">
        <v>310</v>
      </c>
      <c r="E18854" t="s">
        <v>311</v>
      </c>
      <c r="F18854">
        <v>734.63</v>
      </c>
      <c r="G18854">
        <v>230814</v>
      </c>
      <c r="H18854">
        <v>4550</v>
      </c>
      <c r="I18854" t="s">
        <v>312</v>
      </c>
      <c r="J18854">
        <v>910.94</v>
      </c>
      <c r="K18854">
        <v>176.31</v>
      </c>
      <c r="L18854">
        <v>67554</v>
      </c>
      <c r="M18854" t="s">
        <v>60</v>
      </c>
      <c r="N18854" t="str">
        <f>"152105      "</f>
        <v xml:space="preserve">152105      </v>
      </c>
      <c r="O18854">
        <v>230824</v>
      </c>
    </row>
    <row r="18855" spans="1:15" x14ac:dyDescent="0.25">
      <c r="A18855" t="s">
        <v>16</v>
      </c>
      <c r="B18855" t="s">
        <v>3221</v>
      </c>
      <c r="C18855">
        <v>10860</v>
      </c>
      <c r="D18855" t="s">
        <v>310</v>
      </c>
      <c r="E18855" t="s">
        <v>311</v>
      </c>
      <c r="F18855">
        <v>107.04</v>
      </c>
      <c r="G18855">
        <v>230814</v>
      </c>
      <c r="H18855">
        <v>4550</v>
      </c>
      <c r="I18855" t="s">
        <v>312</v>
      </c>
      <c r="J18855">
        <v>132.72999999999999</v>
      </c>
      <c r="K18855">
        <v>25.69</v>
      </c>
      <c r="L18855">
        <v>69111</v>
      </c>
      <c r="M18855" t="s">
        <v>471</v>
      </c>
      <c r="N18855" t="str">
        <f>"152105      "</f>
        <v xml:space="preserve">152105      </v>
      </c>
      <c r="O18855">
        <v>230824</v>
      </c>
    </row>
    <row r="18856" spans="1:15" x14ac:dyDescent="0.25">
      <c r="A18856" t="s">
        <v>16</v>
      </c>
      <c r="B18856" t="s">
        <v>3221</v>
      </c>
      <c r="C18856">
        <v>10860</v>
      </c>
      <c r="D18856" t="s">
        <v>310</v>
      </c>
      <c r="E18856" t="s">
        <v>311</v>
      </c>
      <c r="F18856">
        <v>9.81</v>
      </c>
      <c r="G18856">
        <v>230814</v>
      </c>
      <c r="H18856">
        <v>4550</v>
      </c>
      <c r="I18856" t="s">
        <v>312</v>
      </c>
      <c r="J18856">
        <v>11.18</v>
      </c>
      <c r="K18856">
        <v>1.37</v>
      </c>
      <c r="L18856">
        <v>69501</v>
      </c>
      <c r="M18856" t="s">
        <v>185</v>
      </c>
      <c r="N18856" t="str">
        <f>"152105      "</f>
        <v xml:space="preserve">152105      </v>
      </c>
      <c r="O18856">
        <v>230824</v>
      </c>
    </row>
    <row r="18857" spans="1:15" x14ac:dyDescent="0.25">
      <c r="A18857" t="s">
        <v>16</v>
      </c>
      <c r="B18857" t="s">
        <v>3221</v>
      </c>
      <c r="C18857">
        <v>10860</v>
      </c>
      <c r="D18857" t="s">
        <v>310</v>
      </c>
      <c r="E18857" t="s">
        <v>311</v>
      </c>
      <c r="F18857">
        <v>728.52</v>
      </c>
      <c r="G18857">
        <v>230814</v>
      </c>
      <c r="H18857">
        <v>4550</v>
      </c>
      <c r="I18857" t="s">
        <v>312</v>
      </c>
      <c r="J18857">
        <v>903.36</v>
      </c>
      <c r="K18857">
        <v>174.84</v>
      </c>
      <c r="L18857">
        <v>69501</v>
      </c>
      <c r="M18857" t="s">
        <v>185</v>
      </c>
      <c r="N18857" t="str">
        <f>"152105      "</f>
        <v xml:space="preserve">152105      </v>
      </c>
      <c r="O18857">
        <v>230824</v>
      </c>
    </row>
    <row r="18858" spans="1:15" x14ac:dyDescent="0.25">
      <c r="A18858" t="s">
        <v>16</v>
      </c>
      <c r="B18858" t="s">
        <v>3221</v>
      </c>
      <c r="C18858">
        <v>10861</v>
      </c>
      <c r="D18858" t="s">
        <v>310</v>
      </c>
      <c r="E18858" t="s">
        <v>311</v>
      </c>
      <c r="F18858">
        <v>993.6</v>
      </c>
      <c r="G18858">
        <v>230814</v>
      </c>
      <c r="H18858">
        <v>4550</v>
      </c>
      <c r="I18858" t="s">
        <v>312</v>
      </c>
      <c r="J18858">
        <v>1232.07</v>
      </c>
      <c r="K18858">
        <v>238.47</v>
      </c>
      <c r="L18858">
        <v>69501</v>
      </c>
      <c r="M18858" t="s">
        <v>185</v>
      </c>
      <c r="N18858" t="str">
        <f>"152104      "</f>
        <v xml:space="preserve">152104      </v>
      </c>
      <c r="O18858">
        <v>230824</v>
      </c>
    </row>
    <row r="18859" spans="1:15" x14ac:dyDescent="0.25">
      <c r="A18859" t="s">
        <v>16</v>
      </c>
      <c r="B18859" t="s">
        <v>3221</v>
      </c>
      <c r="C18859">
        <v>10878</v>
      </c>
      <c r="D18859" t="s">
        <v>310</v>
      </c>
      <c r="E18859" t="s">
        <v>311</v>
      </c>
      <c r="F18859">
        <v>447.62</v>
      </c>
      <c r="G18859">
        <v>230822</v>
      </c>
      <c r="H18859">
        <v>4550</v>
      </c>
      <c r="I18859" t="s">
        <v>312</v>
      </c>
      <c r="J18859">
        <v>555.04999999999995</v>
      </c>
      <c r="K18859">
        <v>107.43</v>
      </c>
      <c r="L18859">
        <v>59505</v>
      </c>
      <c r="M18859" t="s">
        <v>72</v>
      </c>
      <c r="N18859" t="str">
        <f>"152902      "</f>
        <v xml:space="preserve">152902      </v>
      </c>
      <c r="O18859">
        <v>230824</v>
      </c>
    </row>
    <row r="18860" spans="1:15" x14ac:dyDescent="0.25">
      <c r="A18860" t="s">
        <v>16</v>
      </c>
      <c r="B18860" t="s">
        <v>3221</v>
      </c>
      <c r="C18860">
        <v>10927</v>
      </c>
      <c r="D18860" t="s">
        <v>310</v>
      </c>
      <c r="E18860" t="s">
        <v>311</v>
      </c>
      <c r="F18860">
        <v>92.18</v>
      </c>
      <c r="G18860">
        <v>230821</v>
      </c>
      <c r="H18860">
        <v>4550</v>
      </c>
      <c r="I18860" t="s">
        <v>312</v>
      </c>
      <c r="J18860">
        <v>114.3</v>
      </c>
      <c r="K18860">
        <v>22.12</v>
      </c>
      <c r="L18860">
        <v>16431</v>
      </c>
      <c r="M18860" t="s">
        <v>231</v>
      </c>
      <c r="N18860" t="str">
        <f>"152819      "</f>
        <v xml:space="preserve">152819      </v>
      </c>
      <c r="O18860">
        <v>230825</v>
      </c>
    </row>
    <row r="18861" spans="1:15" x14ac:dyDescent="0.25">
      <c r="A18861" t="s">
        <v>16</v>
      </c>
      <c r="B18861" t="s">
        <v>3221</v>
      </c>
      <c r="C18861">
        <v>10927</v>
      </c>
      <c r="D18861" t="s">
        <v>310</v>
      </c>
      <c r="E18861" t="s">
        <v>311</v>
      </c>
      <c r="F18861">
        <v>281.06</v>
      </c>
      <c r="G18861">
        <v>230821</v>
      </c>
      <c r="H18861">
        <v>4550</v>
      </c>
      <c r="I18861" t="s">
        <v>312</v>
      </c>
      <c r="J18861">
        <v>348.52</v>
      </c>
      <c r="K18861">
        <v>67.459999999999994</v>
      </c>
      <c r="L18861">
        <v>17913</v>
      </c>
      <c r="M18861" t="s">
        <v>431</v>
      </c>
      <c r="N18861" t="str">
        <f>"152819      "</f>
        <v xml:space="preserve">152819      </v>
      </c>
      <c r="O18861">
        <v>230825</v>
      </c>
    </row>
    <row r="18862" spans="1:15" x14ac:dyDescent="0.25">
      <c r="A18862" t="s">
        <v>16</v>
      </c>
      <c r="B18862" t="s">
        <v>3221</v>
      </c>
      <c r="C18862">
        <v>10927</v>
      </c>
      <c r="D18862" t="s">
        <v>310</v>
      </c>
      <c r="E18862" t="s">
        <v>311</v>
      </c>
      <c r="F18862">
        <v>24.9</v>
      </c>
      <c r="G18862">
        <v>230821</v>
      </c>
      <c r="H18862">
        <v>4550</v>
      </c>
      <c r="I18862" t="s">
        <v>312</v>
      </c>
      <c r="J18862">
        <v>30.88</v>
      </c>
      <c r="K18862">
        <v>5.98</v>
      </c>
      <c r="L18862">
        <v>17951</v>
      </c>
      <c r="M18862" t="s">
        <v>87</v>
      </c>
      <c r="N18862" t="str">
        <f>"152819      "</f>
        <v xml:space="preserve">152819      </v>
      </c>
      <c r="O18862">
        <v>230825</v>
      </c>
    </row>
    <row r="18863" spans="1:15" x14ac:dyDescent="0.25">
      <c r="A18863" t="s">
        <v>16</v>
      </c>
      <c r="B18863" t="s">
        <v>3221</v>
      </c>
      <c r="C18863">
        <v>10941</v>
      </c>
      <c r="D18863" t="s">
        <v>310</v>
      </c>
      <c r="E18863" t="s">
        <v>311</v>
      </c>
      <c r="F18863">
        <v>639.07000000000005</v>
      </c>
      <c r="G18863">
        <v>230817</v>
      </c>
      <c r="H18863">
        <v>4550</v>
      </c>
      <c r="I18863" t="s">
        <v>312</v>
      </c>
      <c r="J18863">
        <v>792.45</v>
      </c>
      <c r="K18863">
        <v>153.38</v>
      </c>
      <c r="L18863">
        <v>59501</v>
      </c>
      <c r="M18863" t="s">
        <v>69</v>
      </c>
      <c r="N18863" t="str">
        <f>"152416      "</f>
        <v xml:space="preserve">152416      </v>
      </c>
      <c r="O18863">
        <v>230825</v>
      </c>
    </row>
    <row r="18864" spans="1:15" x14ac:dyDescent="0.25">
      <c r="A18864" t="s">
        <v>16</v>
      </c>
      <c r="B18864" t="s">
        <v>3221</v>
      </c>
      <c r="C18864">
        <v>10948</v>
      </c>
      <c r="D18864" t="s">
        <v>310</v>
      </c>
      <c r="E18864" t="s">
        <v>311</v>
      </c>
      <c r="F18864">
        <v>159.19999999999999</v>
      </c>
      <c r="G18864">
        <v>230810</v>
      </c>
      <c r="H18864">
        <v>4550</v>
      </c>
      <c r="I18864" t="s">
        <v>312</v>
      </c>
      <c r="J18864">
        <v>197.41</v>
      </c>
      <c r="K18864">
        <v>38.21</v>
      </c>
      <c r="L18864">
        <v>54222</v>
      </c>
      <c r="M18864" t="s">
        <v>308</v>
      </c>
      <c r="N18864" t="str">
        <f>"151853      "</f>
        <v xml:space="preserve">151853      </v>
      </c>
      <c r="O18864">
        <v>230825</v>
      </c>
    </row>
    <row r="18865" spans="1:15" x14ac:dyDescent="0.25">
      <c r="A18865" t="s">
        <v>16</v>
      </c>
      <c r="B18865" t="s">
        <v>3221</v>
      </c>
      <c r="C18865">
        <v>10997</v>
      </c>
      <c r="D18865" t="s">
        <v>310</v>
      </c>
      <c r="E18865" t="s">
        <v>311</v>
      </c>
      <c r="F18865">
        <v>42</v>
      </c>
      <c r="G18865">
        <v>230824</v>
      </c>
      <c r="H18865">
        <v>4550</v>
      </c>
      <c r="I18865" t="s">
        <v>312</v>
      </c>
      <c r="J18865">
        <v>52.08</v>
      </c>
      <c r="K18865">
        <v>10.08</v>
      </c>
      <c r="L18865">
        <v>69501</v>
      </c>
      <c r="M18865" t="s">
        <v>185</v>
      </c>
      <c r="N18865" t="str">
        <f>"153118      "</f>
        <v xml:space="preserve">153118      </v>
      </c>
      <c r="O18865">
        <v>230828</v>
      </c>
    </row>
    <row r="18866" spans="1:15" x14ac:dyDescent="0.25">
      <c r="A18866" t="s">
        <v>16</v>
      </c>
      <c r="B18866" t="s">
        <v>3221</v>
      </c>
      <c r="C18866">
        <v>11146</v>
      </c>
      <c r="D18866" t="s">
        <v>310</v>
      </c>
      <c r="E18866" t="s">
        <v>311</v>
      </c>
      <c r="F18866">
        <v>136.84</v>
      </c>
      <c r="G18866">
        <v>230828</v>
      </c>
      <c r="H18866">
        <v>4550</v>
      </c>
      <c r="I18866" t="s">
        <v>312</v>
      </c>
      <c r="J18866">
        <v>169.68</v>
      </c>
      <c r="K18866">
        <v>32.840000000000003</v>
      </c>
      <c r="L18866">
        <v>59501</v>
      </c>
      <c r="M18866" t="s">
        <v>69</v>
      </c>
      <c r="N18866" t="str">
        <f>"153455      "</f>
        <v xml:space="preserve">153455      </v>
      </c>
      <c r="O18866">
        <v>230830</v>
      </c>
    </row>
    <row r="18867" spans="1:15" x14ac:dyDescent="0.25">
      <c r="A18867" t="s">
        <v>16</v>
      </c>
      <c r="B18867" t="s">
        <v>3221</v>
      </c>
      <c r="C18867">
        <v>11589</v>
      </c>
      <c r="D18867" t="s">
        <v>310</v>
      </c>
      <c r="E18867" t="s">
        <v>311</v>
      </c>
      <c r="F18867">
        <v>139.6</v>
      </c>
      <c r="G18867">
        <v>230905</v>
      </c>
      <c r="H18867">
        <v>4550</v>
      </c>
      <c r="I18867" t="s">
        <v>312</v>
      </c>
      <c r="J18867">
        <v>173.1</v>
      </c>
      <c r="K18867">
        <v>33.5</v>
      </c>
      <c r="L18867">
        <v>59501</v>
      </c>
      <c r="M18867" t="s">
        <v>69</v>
      </c>
      <c r="N18867" t="str">
        <f>"154478      "</f>
        <v xml:space="preserve">154478      </v>
      </c>
      <c r="O18867">
        <v>230907</v>
      </c>
    </row>
    <row r="18868" spans="1:15" x14ac:dyDescent="0.25">
      <c r="A18868" t="s">
        <v>16</v>
      </c>
      <c r="B18868" t="s">
        <v>3221</v>
      </c>
      <c r="C18868">
        <v>11590</v>
      </c>
      <c r="D18868" t="s">
        <v>310</v>
      </c>
      <c r="E18868" t="s">
        <v>311</v>
      </c>
      <c r="F18868">
        <v>79.19</v>
      </c>
      <c r="G18868">
        <v>230905</v>
      </c>
      <c r="H18868">
        <v>4550</v>
      </c>
      <c r="I18868" t="s">
        <v>312</v>
      </c>
      <c r="J18868">
        <v>98.19</v>
      </c>
      <c r="K18868">
        <v>19</v>
      </c>
      <c r="L18868">
        <v>17955</v>
      </c>
      <c r="M18868" t="s">
        <v>933</v>
      </c>
      <c r="N18868" t="str">
        <f>"154543      "</f>
        <v xml:space="preserve">154543      </v>
      </c>
      <c r="O18868">
        <v>230907</v>
      </c>
    </row>
    <row r="18869" spans="1:15" x14ac:dyDescent="0.25">
      <c r="A18869" t="s">
        <v>16</v>
      </c>
      <c r="B18869" t="s">
        <v>3221</v>
      </c>
      <c r="C18869">
        <v>11608</v>
      </c>
      <c r="D18869" t="s">
        <v>310</v>
      </c>
      <c r="E18869" t="s">
        <v>311</v>
      </c>
      <c r="F18869">
        <v>113.2</v>
      </c>
      <c r="G18869">
        <v>230821</v>
      </c>
      <c r="H18869">
        <v>4550</v>
      </c>
      <c r="I18869" t="s">
        <v>312</v>
      </c>
      <c r="J18869">
        <v>140.37</v>
      </c>
      <c r="K18869">
        <v>27.17</v>
      </c>
      <c r="L18869">
        <v>14951</v>
      </c>
      <c r="M18869" t="s">
        <v>57</v>
      </c>
      <c r="N18869" t="str">
        <f>"152803      "</f>
        <v xml:space="preserve">152803      </v>
      </c>
      <c r="O18869">
        <v>230907</v>
      </c>
    </row>
    <row r="18870" spans="1:15" x14ac:dyDescent="0.25">
      <c r="A18870" t="s">
        <v>16</v>
      </c>
      <c r="B18870" t="s">
        <v>3221</v>
      </c>
      <c r="C18870">
        <v>11762</v>
      </c>
      <c r="D18870" t="s">
        <v>310</v>
      </c>
      <c r="E18870" t="s">
        <v>311</v>
      </c>
      <c r="F18870">
        <v>48.17</v>
      </c>
      <c r="G18870">
        <v>230906</v>
      </c>
      <c r="H18870">
        <v>4550</v>
      </c>
      <c r="I18870" t="s">
        <v>312</v>
      </c>
      <c r="J18870">
        <v>59.73</v>
      </c>
      <c r="K18870">
        <v>11.56</v>
      </c>
      <c r="L18870">
        <v>59504</v>
      </c>
      <c r="M18870" t="s">
        <v>71</v>
      </c>
      <c r="N18870" t="str">
        <f>"154627      "</f>
        <v xml:space="preserve">154627      </v>
      </c>
      <c r="O18870">
        <v>230908</v>
      </c>
    </row>
    <row r="18871" spans="1:15" x14ac:dyDescent="0.25">
      <c r="A18871" t="s">
        <v>16</v>
      </c>
      <c r="B18871" t="s">
        <v>3221</v>
      </c>
      <c r="C18871">
        <v>11909</v>
      </c>
      <c r="D18871" t="s">
        <v>310</v>
      </c>
      <c r="E18871" t="s">
        <v>311</v>
      </c>
      <c r="F18871">
        <v>196.71</v>
      </c>
      <c r="G18871">
        <v>230905</v>
      </c>
      <c r="H18871">
        <v>4550</v>
      </c>
      <c r="I18871" t="s">
        <v>312</v>
      </c>
      <c r="J18871">
        <v>243.92</v>
      </c>
      <c r="K18871">
        <v>47.21</v>
      </c>
      <c r="L18871">
        <v>56564</v>
      </c>
      <c r="M18871" t="s">
        <v>327</v>
      </c>
      <c r="N18871" t="str">
        <f>"154481      "</f>
        <v xml:space="preserve">154481      </v>
      </c>
      <c r="O18871">
        <v>230911</v>
      </c>
    </row>
    <row r="18872" spans="1:15" x14ac:dyDescent="0.25">
      <c r="A18872" t="s">
        <v>16</v>
      </c>
      <c r="B18872" t="s">
        <v>3221</v>
      </c>
      <c r="C18872">
        <v>11914</v>
      </c>
      <c r="D18872" t="s">
        <v>310</v>
      </c>
      <c r="E18872" t="s">
        <v>311</v>
      </c>
      <c r="F18872">
        <v>1574.33</v>
      </c>
      <c r="G18872">
        <v>230907</v>
      </c>
      <c r="H18872">
        <v>4550</v>
      </c>
      <c r="I18872" t="s">
        <v>312</v>
      </c>
      <c r="J18872">
        <v>1952.17</v>
      </c>
      <c r="K18872">
        <v>377.84</v>
      </c>
      <c r="L18872">
        <v>17952</v>
      </c>
      <c r="M18872" t="s">
        <v>88</v>
      </c>
      <c r="N18872" t="str">
        <f>"154720      "</f>
        <v xml:space="preserve">154720      </v>
      </c>
      <c r="O18872">
        <v>230911</v>
      </c>
    </row>
    <row r="18873" spans="1:15" x14ac:dyDescent="0.25">
      <c r="A18873" t="s">
        <v>16</v>
      </c>
      <c r="B18873" t="s">
        <v>3221</v>
      </c>
      <c r="C18873">
        <v>12589</v>
      </c>
      <c r="D18873" t="s">
        <v>310</v>
      </c>
      <c r="E18873" t="s">
        <v>311</v>
      </c>
      <c r="F18873">
        <v>215.44</v>
      </c>
      <c r="G18873">
        <v>230905</v>
      </c>
      <c r="H18873">
        <v>4550</v>
      </c>
      <c r="I18873" t="s">
        <v>312</v>
      </c>
      <c r="J18873">
        <v>267.14</v>
      </c>
      <c r="K18873">
        <v>51.7</v>
      </c>
      <c r="L18873">
        <v>56522</v>
      </c>
      <c r="M18873" t="s">
        <v>43</v>
      </c>
      <c r="N18873" t="str">
        <f>"154482      "</f>
        <v xml:space="preserve">154482      </v>
      </c>
      <c r="O18873">
        <v>230922</v>
      </c>
    </row>
    <row r="18874" spans="1:15" x14ac:dyDescent="0.25">
      <c r="A18874" t="s">
        <v>16</v>
      </c>
      <c r="B18874" t="s">
        <v>3221</v>
      </c>
      <c r="C18874">
        <v>12627</v>
      </c>
      <c r="D18874" t="s">
        <v>310</v>
      </c>
      <c r="E18874" t="s">
        <v>311</v>
      </c>
      <c r="F18874">
        <v>398.83</v>
      </c>
      <c r="G18874">
        <v>230914</v>
      </c>
      <c r="H18874">
        <v>4550</v>
      </c>
      <c r="I18874" t="s">
        <v>312</v>
      </c>
      <c r="J18874">
        <v>494.55</v>
      </c>
      <c r="K18874">
        <v>95.72</v>
      </c>
      <c r="L18874">
        <v>69113</v>
      </c>
      <c r="M18874" t="s">
        <v>282</v>
      </c>
      <c r="N18874" t="str">
        <f>"155472      "</f>
        <v xml:space="preserve">155472      </v>
      </c>
      <c r="O18874">
        <v>230922</v>
      </c>
    </row>
    <row r="18875" spans="1:15" x14ac:dyDescent="0.25">
      <c r="A18875" t="s">
        <v>16</v>
      </c>
      <c r="B18875" t="s">
        <v>3221</v>
      </c>
      <c r="C18875">
        <v>12627</v>
      </c>
      <c r="D18875" t="s">
        <v>310</v>
      </c>
      <c r="E18875" t="s">
        <v>311</v>
      </c>
      <c r="F18875">
        <v>44.31</v>
      </c>
      <c r="G18875">
        <v>230914</v>
      </c>
      <c r="H18875">
        <v>4550</v>
      </c>
      <c r="I18875" t="s">
        <v>312</v>
      </c>
      <c r="J18875">
        <v>54.95</v>
      </c>
      <c r="K18875">
        <v>10.64</v>
      </c>
      <c r="L18875">
        <v>69802</v>
      </c>
      <c r="M18875" t="s">
        <v>283</v>
      </c>
      <c r="N18875" t="str">
        <f>"155472      "</f>
        <v xml:space="preserve">155472      </v>
      </c>
      <c r="O18875">
        <v>230922</v>
      </c>
    </row>
    <row r="18876" spans="1:15" x14ac:dyDescent="0.25">
      <c r="A18876" t="s">
        <v>16</v>
      </c>
      <c r="B18876" t="s">
        <v>3221</v>
      </c>
      <c r="C18876">
        <v>12640</v>
      </c>
      <c r="D18876" t="s">
        <v>310</v>
      </c>
      <c r="E18876" t="s">
        <v>311</v>
      </c>
      <c r="F18876">
        <v>25.29</v>
      </c>
      <c r="G18876">
        <v>230915</v>
      </c>
      <c r="H18876">
        <v>4550</v>
      </c>
      <c r="I18876" t="s">
        <v>312</v>
      </c>
      <c r="J18876">
        <v>31.36</v>
      </c>
      <c r="K18876">
        <v>6.07</v>
      </c>
      <c r="L18876">
        <v>69113</v>
      </c>
      <c r="M18876" t="s">
        <v>282</v>
      </c>
      <c r="N18876" t="str">
        <f>"155704      "</f>
        <v xml:space="preserve">155704      </v>
      </c>
      <c r="O18876">
        <v>230922</v>
      </c>
    </row>
    <row r="18877" spans="1:15" x14ac:dyDescent="0.25">
      <c r="A18877" t="s">
        <v>16</v>
      </c>
      <c r="B18877" t="s">
        <v>3221</v>
      </c>
      <c r="C18877">
        <v>12640</v>
      </c>
      <c r="D18877" t="s">
        <v>310</v>
      </c>
      <c r="E18877" t="s">
        <v>311</v>
      </c>
      <c r="F18877">
        <v>2.81</v>
      </c>
      <c r="G18877">
        <v>230915</v>
      </c>
      <c r="H18877">
        <v>4550</v>
      </c>
      <c r="I18877" t="s">
        <v>312</v>
      </c>
      <c r="J18877">
        <v>3.48</v>
      </c>
      <c r="K18877">
        <v>0.67</v>
      </c>
      <c r="L18877">
        <v>69802</v>
      </c>
      <c r="M18877" t="s">
        <v>283</v>
      </c>
      <c r="N18877" t="str">
        <f>"155704      "</f>
        <v xml:space="preserve">155704      </v>
      </c>
      <c r="O18877">
        <v>230922</v>
      </c>
    </row>
    <row r="18878" spans="1:15" x14ac:dyDescent="0.25">
      <c r="A18878" t="s">
        <v>16</v>
      </c>
      <c r="B18878" t="s">
        <v>3221</v>
      </c>
      <c r="C18878">
        <v>12647</v>
      </c>
      <c r="D18878" t="s">
        <v>310</v>
      </c>
      <c r="E18878" t="s">
        <v>311</v>
      </c>
      <c r="F18878">
        <v>408.16</v>
      </c>
      <c r="G18878">
        <v>230920</v>
      </c>
      <c r="H18878">
        <v>4550</v>
      </c>
      <c r="I18878" t="s">
        <v>312</v>
      </c>
      <c r="J18878">
        <v>506.12</v>
      </c>
      <c r="K18878">
        <v>97.96</v>
      </c>
      <c r="L18878">
        <v>59505</v>
      </c>
      <c r="M18878" t="s">
        <v>72</v>
      </c>
      <c r="N18878" t="str">
        <f>"156081      "</f>
        <v xml:space="preserve">156081      </v>
      </c>
      <c r="O18878">
        <v>230922</v>
      </c>
    </row>
    <row r="18879" spans="1:15" x14ac:dyDescent="0.25">
      <c r="A18879" t="s">
        <v>16</v>
      </c>
      <c r="B18879" t="s">
        <v>3221</v>
      </c>
      <c r="C18879">
        <v>12664</v>
      </c>
      <c r="D18879" t="s">
        <v>310</v>
      </c>
      <c r="E18879" t="s">
        <v>311</v>
      </c>
      <c r="F18879">
        <v>135.55000000000001</v>
      </c>
      <c r="G18879">
        <v>230921</v>
      </c>
      <c r="H18879">
        <v>4550</v>
      </c>
      <c r="I18879" t="s">
        <v>312</v>
      </c>
      <c r="J18879">
        <v>168.08</v>
      </c>
      <c r="K18879">
        <v>32.53</v>
      </c>
      <c r="L18879">
        <v>16431</v>
      </c>
      <c r="M18879" t="s">
        <v>231</v>
      </c>
      <c r="N18879" t="str">
        <f>"156171      "</f>
        <v xml:space="preserve">156171      </v>
      </c>
      <c r="O18879">
        <v>230922</v>
      </c>
    </row>
    <row r="18880" spans="1:15" x14ac:dyDescent="0.25">
      <c r="A18880" t="s">
        <v>16</v>
      </c>
      <c r="B18880" t="s">
        <v>3221</v>
      </c>
      <c r="C18880">
        <v>12664</v>
      </c>
      <c r="D18880" t="s">
        <v>310</v>
      </c>
      <c r="E18880" t="s">
        <v>311</v>
      </c>
      <c r="F18880">
        <v>580.35</v>
      </c>
      <c r="G18880">
        <v>230921</v>
      </c>
      <c r="H18880">
        <v>4550</v>
      </c>
      <c r="I18880" t="s">
        <v>312</v>
      </c>
      <c r="J18880">
        <v>719.63</v>
      </c>
      <c r="K18880">
        <v>139.28</v>
      </c>
      <c r="L18880">
        <v>17913</v>
      </c>
      <c r="M18880" t="s">
        <v>431</v>
      </c>
      <c r="N18880" t="str">
        <f>"156171      "</f>
        <v xml:space="preserve">156171      </v>
      </c>
      <c r="O18880">
        <v>230922</v>
      </c>
    </row>
    <row r="18881" spans="1:15" x14ac:dyDescent="0.25">
      <c r="A18881" t="s">
        <v>16</v>
      </c>
      <c r="B18881" t="s">
        <v>3221</v>
      </c>
      <c r="C18881">
        <v>12826</v>
      </c>
      <c r="D18881" t="s">
        <v>310</v>
      </c>
      <c r="E18881" t="s">
        <v>311</v>
      </c>
      <c r="F18881">
        <v>33.61</v>
      </c>
      <c r="G18881">
        <v>230922</v>
      </c>
      <c r="H18881">
        <v>4550</v>
      </c>
      <c r="I18881" t="s">
        <v>312</v>
      </c>
      <c r="J18881">
        <v>41.68</v>
      </c>
      <c r="K18881">
        <v>8.07</v>
      </c>
      <c r="L18881">
        <v>54222</v>
      </c>
      <c r="M18881" t="s">
        <v>308</v>
      </c>
      <c r="N18881" t="str">
        <f>"156372      "</f>
        <v xml:space="preserve">156372      </v>
      </c>
      <c r="O18881">
        <v>230926</v>
      </c>
    </row>
    <row r="18882" spans="1:15" x14ac:dyDescent="0.25">
      <c r="A18882" t="s">
        <v>16</v>
      </c>
      <c r="B18882" t="s">
        <v>3221</v>
      </c>
      <c r="C18882">
        <v>12899</v>
      </c>
      <c r="D18882" t="s">
        <v>310</v>
      </c>
      <c r="E18882" t="s">
        <v>311</v>
      </c>
      <c r="F18882">
        <v>45.55</v>
      </c>
      <c r="G18882">
        <v>230914</v>
      </c>
      <c r="H18882">
        <v>4550</v>
      </c>
      <c r="I18882" t="s">
        <v>312</v>
      </c>
      <c r="J18882">
        <v>56.48</v>
      </c>
      <c r="K18882">
        <v>10.93</v>
      </c>
      <c r="L18882">
        <v>59111</v>
      </c>
      <c r="M18882" t="s">
        <v>1010</v>
      </c>
      <c r="N18882" t="str">
        <f>"155413      "</f>
        <v xml:space="preserve">155413      </v>
      </c>
      <c r="O18882">
        <v>230929</v>
      </c>
    </row>
    <row r="18883" spans="1:15" x14ac:dyDescent="0.25">
      <c r="A18883" t="s">
        <v>16</v>
      </c>
      <c r="B18883" t="s">
        <v>3221</v>
      </c>
      <c r="C18883">
        <v>12914</v>
      </c>
      <c r="D18883" t="s">
        <v>310</v>
      </c>
      <c r="E18883" t="s">
        <v>311</v>
      </c>
      <c r="F18883">
        <v>271.19</v>
      </c>
      <c r="G18883">
        <v>230921</v>
      </c>
      <c r="H18883">
        <v>4550</v>
      </c>
      <c r="I18883" t="s">
        <v>312</v>
      </c>
      <c r="J18883">
        <v>336.27</v>
      </c>
      <c r="K18883">
        <v>65.08</v>
      </c>
      <c r="L18883">
        <v>59114</v>
      </c>
      <c r="M18883" t="s">
        <v>556</v>
      </c>
      <c r="N18883" t="str">
        <f>"156241      "</f>
        <v xml:space="preserve">156241      </v>
      </c>
      <c r="O18883">
        <v>230929</v>
      </c>
    </row>
    <row r="18884" spans="1:15" x14ac:dyDescent="0.25">
      <c r="A18884" t="s">
        <v>16</v>
      </c>
      <c r="B18884" t="s">
        <v>3221</v>
      </c>
      <c r="C18884">
        <v>12914</v>
      </c>
      <c r="D18884" t="s">
        <v>310</v>
      </c>
      <c r="E18884" t="s">
        <v>311</v>
      </c>
      <c r="F18884">
        <v>15.02</v>
      </c>
      <c r="G18884">
        <v>230921</v>
      </c>
      <c r="H18884">
        <v>4550</v>
      </c>
      <c r="I18884" t="s">
        <v>312</v>
      </c>
      <c r="J18884">
        <v>18.63</v>
      </c>
      <c r="K18884">
        <v>3.61</v>
      </c>
      <c r="L18884">
        <v>59808</v>
      </c>
      <c r="M18884" t="s">
        <v>557</v>
      </c>
      <c r="N18884" t="str">
        <f>"156241      "</f>
        <v xml:space="preserve">156241      </v>
      </c>
      <c r="O18884">
        <v>230929</v>
      </c>
    </row>
    <row r="18885" spans="1:15" x14ac:dyDescent="0.25">
      <c r="A18885" t="s">
        <v>16</v>
      </c>
      <c r="B18885" t="s">
        <v>3221</v>
      </c>
      <c r="C18885">
        <v>12914</v>
      </c>
      <c r="D18885" t="s">
        <v>310</v>
      </c>
      <c r="E18885" t="s">
        <v>311</v>
      </c>
      <c r="F18885">
        <v>14.27</v>
      </c>
      <c r="G18885">
        <v>230921</v>
      </c>
      <c r="H18885">
        <v>4550</v>
      </c>
      <c r="I18885" t="s">
        <v>312</v>
      </c>
      <c r="J18885">
        <v>17.7</v>
      </c>
      <c r="K18885">
        <v>3.43</v>
      </c>
      <c r="L18885">
        <v>59810</v>
      </c>
      <c r="M18885" t="s">
        <v>1840</v>
      </c>
      <c r="N18885" t="str">
        <f>"156241      "</f>
        <v xml:space="preserve">156241      </v>
      </c>
      <c r="O18885">
        <v>230929</v>
      </c>
    </row>
    <row r="18886" spans="1:15" x14ac:dyDescent="0.25">
      <c r="A18886" t="s">
        <v>16</v>
      </c>
      <c r="B18886" t="s">
        <v>3221</v>
      </c>
      <c r="C18886">
        <v>12920</v>
      </c>
      <c r="D18886" t="s">
        <v>310</v>
      </c>
      <c r="E18886" t="s">
        <v>311</v>
      </c>
      <c r="F18886">
        <v>69.37</v>
      </c>
      <c r="G18886">
        <v>230905</v>
      </c>
      <c r="H18886">
        <v>4550</v>
      </c>
      <c r="I18886" t="s">
        <v>312</v>
      </c>
      <c r="J18886">
        <v>86.02</v>
      </c>
      <c r="K18886">
        <v>16.649999999999999</v>
      </c>
      <c r="L18886">
        <v>13540</v>
      </c>
      <c r="M18886" t="s">
        <v>85</v>
      </c>
      <c r="N18886" t="str">
        <f t="shared" ref="N18886:N18891" si="255">"154541      "</f>
        <v xml:space="preserve">154541      </v>
      </c>
      <c r="O18886">
        <v>231002</v>
      </c>
    </row>
    <row r="18887" spans="1:15" x14ac:dyDescent="0.25">
      <c r="A18887" t="s">
        <v>16</v>
      </c>
      <c r="B18887" t="s">
        <v>3221</v>
      </c>
      <c r="C18887">
        <v>12920</v>
      </c>
      <c r="D18887" t="s">
        <v>310</v>
      </c>
      <c r="E18887" t="s">
        <v>311</v>
      </c>
      <c r="F18887">
        <v>49.14</v>
      </c>
      <c r="G18887">
        <v>230905</v>
      </c>
      <c r="H18887">
        <v>4550</v>
      </c>
      <c r="I18887" t="s">
        <v>312</v>
      </c>
      <c r="J18887">
        <v>60.93</v>
      </c>
      <c r="K18887">
        <v>11.79</v>
      </c>
      <c r="L18887">
        <v>17523</v>
      </c>
      <c r="M18887" t="s">
        <v>134</v>
      </c>
      <c r="N18887" t="str">
        <f t="shared" si="255"/>
        <v xml:space="preserve">154541      </v>
      </c>
      <c r="O18887">
        <v>231002</v>
      </c>
    </row>
    <row r="18888" spans="1:15" x14ac:dyDescent="0.25">
      <c r="A18888" t="s">
        <v>16</v>
      </c>
      <c r="B18888" t="s">
        <v>3221</v>
      </c>
      <c r="C18888">
        <v>12920</v>
      </c>
      <c r="D18888" t="s">
        <v>310</v>
      </c>
      <c r="E18888" t="s">
        <v>311</v>
      </c>
      <c r="F18888">
        <v>16.5</v>
      </c>
      <c r="G18888">
        <v>230905</v>
      </c>
      <c r="H18888">
        <v>4550</v>
      </c>
      <c r="I18888" t="s">
        <v>312</v>
      </c>
      <c r="J18888">
        <v>20.46</v>
      </c>
      <c r="K18888">
        <v>3.96</v>
      </c>
      <c r="L18888">
        <v>17526</v>
      </c>
      <c r="M18888" t="s">
        <v>437</v>
      </c>
      <c r="N18888" t="str">
        <f t="shared" si="255"/>
        <v xml:space="preserve">154541      </v>
      </c>
      <c r="O18888">
        <v>231002</v>
      </c>
    </row>
    <row r="18889" spans="1:15" x14ac:dyDescent="0.25">
      <c r="A18889" t="s">
        <v>16</v>
      </c>
      <c r="B18889" t="s">
        <v>3221</v>
      </c>
      <c r="C18889">
        <v>12920</v>
      </c>
      <c r="D18889" t="s">
        <v>310</v>
      </c>
      <c r="E18889" t="s">
        <v>311</v>
      </c>
      <c r="F18889">
        <v>14.38</v>
      </c>
      <c r="G18889">
        <v>230905</v>
      </c>
      <c r="H18889">
        <v>4550</v>
      </c>
      <c r="I18889" t="s">
        <v>312</v>
      </c>
      <c r="J18889">
        <v>17.829999999999998</v>
      </c>
      <c r="K18889">
        <v>3.45</v>
      </c>
      <c r="L18889">
        <v>17531</v>
      </c>
      <c r="M18889" t="s">
        <v>136</v>
      </c>
      <c r="N18889" t="str">
        <f t="shared" si="255"/>
        <v xml:space="preserve">154541      </v>
      </c>
      <c r="O18889">
        <v>231002</v>
      </c>
    </row>
    <row r="18890" spans="1:15" x14ac:dyDescent="0.25">
      <c r="A18890" t="s">
        <v>16</v>
      </c>
      <c r="B18890" t="s">
        <v>3221</v>
      </c>
      <c r="C18890">
        <v>12920</v>
      </c>
      <c r="D18890" t="s">
        <v>310</v>
      </c>
      <c r="E18890" t="s">
        <v>311</v>
      </c>
      <c r="F18890">
        <v>438.63</v>
      </c>
      <c r="G18890">
        <v>230905</v>
      </c>
      <c r="H18890">
        <v>4550</v>
      </c>
      <c r="I18890" t="s">
        <v>312</v>
      </c>
      <c r="J18890">
        <v>543.9</v>
      </c>
      <c r="K18890">
        <v>105.27</v>
      </c>
      <c r="L18890">
        <v>17950</v>
      </c>
      <c r="M18890" t="s">
        <v>86</v>
      </c>
      <c r="N18890" t="str">
        <f t="shared" si="255"/>
        <v xml:space="preserve">154541      </v>
      </c>
      <c r="O18890">
        <v>231002</v>
      </c>
    </row>
    <row r="18891" spans="1:15" x14ac:dyDescent="0.25">
      <c r="A18891" t="s">
        <v>16</v>
      </c>
      <c r="B18891" t="s">
        <v>3221</v>
      </c>
      <c r="C18891">
        <v>12920</v>
      </c>
      <c r="D18891" t="s">
        <v>310</v>
      </c>
      <c r="E18891" t="s">
        <v>311</v>
      </c>
      <c r="F18891">
        <v>81.88</v>
      </c>
      <c r="G18891">
        <v>230905</v>
      </c>
      <c r="H18891">
        <v>4550</v>
      </c>
      <c r="I18891" t="s">
        <v>312</v>
      </c>
      <c r="J18891">
        <v>101.53</v>
      </c>
      <c r="K18891">
        <v>19.649999999999999</v>
      </c>
      <c r="L18891">
        <v>17956</v>
      </c>
      <c r="M18891" t="s">
        <v>53</v>
      </c>
      <c r="N18891" t="str">
        <f t="shared" si="255"/>
        <v xml:space="preserve">154541      </v>
      </c>
      <c r="O18891">
        <v>231002</v>
      </c>
    </row>
    <row r="18892" spans="1:15" x14ac:dyDescent="0.25">
      <c r="A18892" t="s">
        <v>16</v>
      </c>
      <c r="B18892" t="s">
        <v>3221</v>
      </c>
      <c r="C18892">
        <v>13215</v>
      </c>
      <c r="D18892" t="s">
        <v>310</v>
      </c>
      <c r="E18892" t="s">
        <v>311</v>
      </c>
      <c r="F18892">
        <v>294.56</v>
      </c>
      <c r="G18892">
        <v>230929</v>
      </c>
      <c r="H18892">
        <v>4550</v>
      </c>
      <c r="I18892" t="s">
        <v>312</v>
      </c>
      <c r="J18892">
        <v>365.25</v>
      </c>
      <c r="K18892">
        <v>70.69</v>
      </c>
      <c r="L18892">
        <v>54422</v>
      </c>
      <c r="M18892" t="s">
        <v>234</v>
      </c>
      <c r="N18892" t="str">
        <f>"157005      "</f>
        <v xml:space="preserve">157005      </v>
      </c>
      <c r="O18892">
        <v>231005</v>
      </c>
    </row>
    <row r="18893" spans="1:15" x14ac:dyDescent="0.25">
      <c r="A18893" t="s">
        <v>16</v>
      </c>
      <c r="B18893" t="s">
        <v>3221</v>
      </c>
      <c r="C18893">
        <v>13215</v>
      </c>
      <c r="D18893" t="s">
        <v>310</v>
      </c>
      <c r="E18893" t="s">
        <v>311</v>
      </c>
      <c r="F18893">
        <v>294.56</v>
      </c>
      <c r="G18893">
        <v>230929</v>
      </c>
      <c r="H18893">
        <v>4550</v>
      </c>
      <c r="I18893" t="s">
        <v>312</v>
      </c>
      <c r="J18893">
        <v>365.25</v>
      </c>
      <c r="K18893">
        <v>70.69</v>
      </c>
      <c r="L18893">
        <v>54451</v>
      </c>
      <c r="M18893" t="s">
        <v>158</v>
      </c>
      <c r="N18893" t="str">
        <f>"157005      "</f>
        <v xml:space="preserve">157005      </v>
      </c>
      <c r="O18893">
        <v>231005</v>
      </c>
    </row>
    <row r="18894" spans="1:15" x14ac:dyDescent="0.25">
      <c r="A18894" t="s">
        <v>16</v>
      </c>
      <c r="B18894" t="s">
        <v>3221</v>
      </c>
      <c r="C18894">
        <v>14347</v>
      </c>
      <c r="D18894" t="s">
        <v>310</v>
      </c>
      <c r="E18894" t="s">
        <v>311</v>
      </c>
      <c r="F18894">
        <v>613.86</v>
      </c>
      <c r="G18894">
        <v>231012</v>
      </c>
      <c r="H18894">
        <v>4550</v>
      </c>
      <c r="I18894" t="s">
        <v>312</v>
      </c>
      <c r="J18894">
        <v>761.19</v>
      </c>
      <c r="K18894">
        <v>147.33000000000001</v>
      </c>
      <c r="L18894">
        <v>14951</v>
      </c>
      <c r="M18894" t="s">
        <v>57</v>
      </c>
      <c r="N18894" t="str">
        <f>"158192      "</f>
        <v xml:space="preserve">158192      </v>
      </c>
      <c r="O18894">
        <v>231027</v>
      </c>
    </row>
    <row r="18895" spans="1:15" x14ac:dyDescent="0.25">
      <c r="A18895" t="s">
        <v>16</v>
      </c>
      <c r="B18895" t="s">
        <v>3221</v>
      </c>
      <c r="C18895">
        <v>14380</v>
      </c>
      <c r="D18895" t="s">
        <v>310</v>
      </c>
      <c r="E18895" t="s">
        <v>311</v>
      </c>
      <c r="F18895">
        <v>1212.19</v>
      </c>
      <c r="G18895">
        <v>231013</v>
      </c>
      <c r="H18895">
        <v>4550</v>
      </c>
      <c r="I18895" t="s">
        <v>312</v>
      </c>
      <c r="J18895">
        <v>1503.11</v>
      </c>
      <c r="K18895">
        <v>290.92</v>
      </c>
      <c r="L18895">
        <v>49501</v>
      </c>
      <c r="M18895" t="s">
        <v>177</v>
      </c>
      <c r="N18895" t="str">
        <f>"158417      "</f>
        <v xml:space="preserve">158417      </v>
      </c>
      <c r="O18895">
        <v>231030</v>
      </c>
    </row>
    <row r="18896" spans="1:15" x14ac:dyDescent="0.25">
      <c r="A18896" t="s">
        <v>16</v>
      </c>
      <c r="B18896" t="s">
        <v>3221</v>
      </c>
      <c r="C18896">
        <v>14380</v>
      </c>
      <c r="D18896" t="s">
        <v>310</v>
      </c>
      <c r="E18896" t="s">
        <v>311</v>
      </c>
      <c r="F18896">
        <v>94.78</v>
      </c>
      <c r="G18896">
        <v>231013</v>
      </c>
      <c r="H18896">
        <v>4550</v>
      </c>
      <c r="I18896" t="s">
        <v>312</v>
      </c>
      <c r="J18896">
        <v>117.53</v>
      </c>
      <c r="K18896">
        <v>22.75</v>
      </c>
      <c r="L18896">
        <v>49503</v>
      </c>
      <c r="M18896" t="s">
        <v>178</v>
      </c>
      <c r="N18896" t="str">
        <f>"158417      "</f>
        <v xml:space="preserve">158417      </v>
      </c>
      <c r="O18896">
        <v>231030</v>
      </c>
    </row>
    <row r="18897" spans="1:15" x14ac:dyDescent="0.25">
      <c r="A18897" t="s">
        <v>16</v>
      </c>
      <c r="B18897" t="s">
        <v>3221</v>
      </c>
      <c r="C18897">
        <v>14519</v>
      </c>
      <c r="D18897" t="s">
        <v>310</v>
      </c>
      <c r="E18897" t="s">
        <v>311</v>
      </c>
      <c r="F18897">
        <v>244.65</v>
      </c>
      <c r="G18897">
        <v>231020</v>
      </c>
      <c r="H18897">
        <v>4550</v>
      </c>
      <c r="I18897" t="s">
        <v>312</v>
      </c>
      <c r="J18897">
        <v>303.36</v>
      </c>
      <c r="K18897">
        <v>58.71</v>
      </c>
      <c r="L18897">
        <v>59502</v>
      </c>
      <c r="M18897" t="s">
        <v>70</v>
      </c>
      <c r="N18897" t="str">
        <f>"159096      "</f>
        <v xml:space="preserve">159096      </v>
      </c>
      <c r="O18897">
        <v>231030</v>
      </c>
    </row>
    <row r="18898" spans="1:15" x14ac:dyDescent="0.25">
      <c r="A18898" t="s">
        <v>16</v>
      </c>
      <c r="B18898" t="s">
        <v>3221</v>
      </c>
      <c r="C18898">
        <v>14519</v>
      </c>
      <c r="D18898" t="s">
        <v>310</v>
      </c>
      <c r="E18898" t="s">
        <v>311</v>
      </c>
      <c r="F18898">
        <v>156.47999999999999</v>
      </c>
      <c r="G18898">
        <v>231020</v>
      </c>
      <c r="H18898">
        <v>4550</v>
      </c>
      <c r="I18898" t="s">
        <v>312</v>
      </c>
      <c r="J18898">
        <v>194.04</v>
      </c>
      <c r="K18898">
        <v>37.56</v>
      </c>
      <c r="L18898">
        <v>59802</v>
      </c>
      <c r="M18898" t="s">
        <v>73</v>
      </c>
      <c r="N18898" t="str">
        <f>"159096      "</f>
        <v xml:space="preserve">159096      </v>
      </c>
      <c r="O18898">
        <v>231030</v>
      </c>
    </row>
    <row r="18899" spans="1:15" x14ac:dyDescent="0.25">
      <c r="A18899" t="s">
        <v>16</v>
      </c>
      <c r="B18899" t="s">
        <v>3221</v>
      </c>
      <c r="C18899">
        <v>14523</v>
      </c>
      <c r="D18899" t="s">
        <v>310</v>
      </c>
      <c r="E18899" t="s">
        <v>311</v>
      </c>
      <c r="F18899">
        <v>26.48</v>
      </c>
      <c r="G18899">
        <v>231019</v>
      </c>
      <c r="H18899">
        <v>4550</v>
      </c>
      <c r="I18899" t="s">
        <v>312</v>
      </c>
      <c r="J18899">
        <v>30.19</v>
      </c>
      <c r="K18899">
        <v>3.71</v>
      </c>
      <c r="L18899">
        <v>69112</v>
      </c>
      <c r="M18899" t="s">
        <v>313</v>
      </c>
      <c r="N18899" t="str">
        <f t="shared" ref="N18899:N18904" si="256">"158960      "</f>
        <v xml:space="preserve">158960      </v>
      </c>
      <c r="O18899">
        <v>231030</v>
      </c>
    </row>
    <row r="18900" spans="1:15" x14ac:dyDescent="0.25">
      <c r="A18900" t="s">
        <v>16</v>
      </c>
      <c r="B18900" t="s">
        <v>3221</v>
      </c>
      <c r="C18900">
        <v>14523</v>
      </c>
      <c r="D18900" t="s">
        <v>310</v>
      </c>
      <c r="E18900" t="s">
        <v>311</v>
      </c>
      <c r="F18900">
        <v>247.85</v>
      </c>
      <c r="G18900">
        <v>231019</v>
      </c>
      <c r="H18900">
        <v>4550</v>
      </c>
      <c r="I18900" t="s">
        <v>312</v>
      </c>
      <c r="J18900">
        <v>307.33999999999997</v>
      </c>
      <c r="K18900">
        <v>59.49</v>
      </c>
      <c r="L18900">
        <v>69112</v>
      </c>
      <c r="M18900" t="s">
        <v>313</v>
      </c>
      <c r="N18900" t="str">
        <f t="shared" si="256"/>
        <v xml:space="preserve">158960      </v>
      </c>
      <c r="O18900">
        <v>231030</v>
      </c>
    </row>
    <row r="18901" spans="1:15" x14ac:dyDescent="0.25">
      <c r="A18901" t="s">
        <v>16</v>
      </c>
      <c r="B18901" t="s">
        <v>3221</v>
      </c>
      <c r="C18901">
        <v>14523</v>
      </c>
      <c r="D18901" t="s">
        <v>310</v>
      </c>
      <c r="E18901" t="s">
        <v>311</v>
      </c>
      <c r="F18901">
        <v>1.47</v>
      </c>
      <c r="G18901">
        <v>231019</v>
      </c>
      <c r="H18901">
        <v>4550</v>
      </c>
      <c r="I18901" t="s">
        <v>312</v>
      </c>
      <c r="J18901">
        <v>1.68</v>
      </c>
      <c r="K18901">
        <v>0.21</v>
      </c>
      <c r="L18901">
        <v>69810</v>
      </c>
      <c r="M18901" t="s">
        <v>314</v>
      </c>
      <c r="N18901" t="str">
        <f t="shared" si="256"/>
        <v xml:space="preserve">158960      </v>
      </c>
      <c r="O18901">
        <v>231030</v>
      </c>
    </row>
    <row r="18902" spans="1:15" x14ac:dyDescent="0.25">
      <c r="A18902" t="s">
        <v>16</v>
      </c>
      <c r="B18902" t="s">
        <v>3221</v>
      </c>
      <c r="C18902">
        <v>14523</v>
      </c>
      <c r="D18902" t="s">
        <v>310</v>
      </c>
      <c r="E18902" t="s">
        <v>311</v>
      </c>
      <c r="F18902">
        <v>13.77</v>
      </c>
      <c r="G18902">
        <v>231019</v>
      </c>
      <c r="H18902">
        <v>4550</v>
      </c>
      <c r="I18902" t="s">
        <v>312</v>
      </c>
      <c r="J18902">
        <v>17.07</v>
      </c>
      <c r="K18902">
        <v>3.3</v>
      </c>
      <c r="L18902">
        <v>69810</v>
      </c>
      <c r="M18902" t="s">
        <v>314</v>
      </c>
      <c r="N18902" t="str">
        <f t="shared" si="256"/>
        <v xml:space="preserve">158960      </v>
      </c>
      <c r="O18902">
        <v>231030</v>
      </c>
    </row>
    <row r="18903" spans="1:15" x14ac:dyDescent="0.25">
      <c r="A18903" t="s">
        <v>16</v>
      </c>
      <c r="B18903" t="s">
        <v>3221</v>
      </c>
      <c r="C18903">
        <v>14523</v>
      </c>
      <c r="D18903" t="s">
        <v>310</v>
      </c>
      <c r="E18903" t="s">
        <v>311</v>
      </c>
      <c r="F18903">
        <v>1.47</v>
      </c>
      <c r="G18903">
        <v>231019</v>
      </c>
      <c r="H18903">
        <v>4550</v>
      </c>
      <c r="I18903" t="s">
        <v>312</v>
      </c>
      <c r="J18903">
        <v>1.68</v>
      </c>
      <c r="K18903">
        <v>0.21</v>
      </c>
      <c r="L18903">
        <v>69811</v>
      </c>
      <c r="M18903" t="s">
        <v>315</v>
      </c>
      <c r="N18903" t="str">
        <f t="shared" si="256"/>
        <v xml:space="preserve">158960      </v>
      </c>
      <c r="O18903">
        <v>231030</v>
      </c>
    </row>
    <row r="18904" spans="1:15" x14ac:dyDescent="0.25">
      <c r="A18904" t="s">
        <v>16</v>
      </c>
      <c r="B18904" t="s">
        <v>3221</v>
      </c>
      <c r="C18904">
        <v>14523</v>
      </c>
      <c r="D18904" t="s">
        <v>310</v>
      </c>
      <c r="E18904" t="s">
        <v>311</v>
      </c>
      <c r="F18904">
        <v>13.77</v>
      </c>
      <c r="G18904">
        <v>231019</v>
      </c>
      <c r="H18904">
        <v>4550</v>
      </c>
      <c r="I18904" t="s">
        <v>312</v>
      </c>
      <c r="J18904">
        <v>17.079999999999998</v>
      </c>
      <c r="K18904">
        <v>3.31</v>
      </c>
      <c r="L18904">
        <v>69811</v>
      </c>
      <c r="M18904" t="s">
        <v>315</v>
      </c>
      <c r="N18904" t="str">
        <f t="shared" si="256"/>
        <v xml:space="preserve">158960      </v>
      </c>
      <c r="O18904">
        <v>231030</v>
      </c>
    </row>
    <row r="18905" spans="1:15" x14ac:dyDescent="0.25">
      <c r="A18905" t="s">
        <v>16</v>
      </c>
      <c r="B18905" t="s">
        <v>3221</v>
      </c>
      <c r="C18905">
        <v>14586</v>
      </c>
      <c r="D18905" t="s">
        <v>310</v>
      </c>
      <c r="E18905" t="s">
        <v>311</v>
      </c>
      <c r="F18905">
        <v>977.6</v>
      </c>
      <c r="G18905">
        <v>231024</v>
      </c>
      <c r="H18905">
        <v>4550</v>
      </c>
      <c r="I18905" t="s">
        <v>312</v>
      </c>
      <c r="J18905">
        <v>1212.22</v>
      </c>
      <c r="K18905">
        <v>234.62</v>
      </c>
      <c r="L18905">
        <v>59501</v>
      </c>
      <c r="M18905" t="s">
        <v>69</v>
      </c>
      <c r="N18905" t="str">
        <f>"159278      "</f>
        <v xml:space="preserve">159278      </v>
      </c>
      <c r="O18905">
        <v>231030</v>
      </c>
    </row>
    <row r="18906" spans="1:15" x14ac:dyDescent="0.25">
      <c r="A18906" t="s">
        <v>16</v>
      </c>
      <c r="B18906" t="s">
        <v>3221</v>
      </c>
      <c r="C18906">
        <v>15263</v>
      </c>
      <c r="D18906" t="s">
        <v>310</v>
      </c>
      <c r="E18906" t="s">
        <v>311</v>
      </c>
      <c r="F18906">
        <v>113.73</v>
      </c>
      <c r="G18906">
        <v>231024</v>
      </c>
      <c r="H18906">
        <v>4550</v>
      </c>
      <c r="I18906" t="s">
        <v>312</v>
      </c>
      <c r="J18906">
        <v>141.03</v>
      </c>
      <c r="K18906">
        <v>27.3</v>
      </c>
      <c r="L18906">
        <v>13540</v>
      </c>
      <c r="M18906" t="s">
        <v>85</v>
      </c>
      <c r="N18906" t="str">
        <f>"159281      "</f>
        <v xml:space="preserve">159281      </v>
      </c>
      <c r="O18906">
        <v>231109</v>
      </c>
    </row>
    <row r="18907" spans="1:15" x14ac:dyDescent="0.25">
      <c r="A18907" t="s">
        <v>16</v>
      </c>
      <c r="B18907" t="s">
        <v>3221</v>
      </c>
      <c r="C18907">
        <v>15263</v>
      </c>
      <c r="D18907" t="s">
        <v>310</v>
      </c>
      <c r="E18907" t="s">
        <v>311</v>
      </c>
      <c r="F18907">
        <v>6.6</v>
      </c>
      <c r="G18907">
        <v>231024</v>
      </c>
      <c r="H18907">
        <v>4550</v>
      </c>
      <c r="I18907" t="s">
        <v>312</v>
      </c>
      <c r="J18907">
        <v>8.18</v>
      </c>
      <c r="K18907">
        <v>1.58</v>
      </c>
      <c r="L18907">
        <v>17525</v>
      </c>
      <c r="M18907" t="s">
        <v>135</v>
      </c>
      <c r="N18907" t="str">
        <f>"159281      "</f>
        <v xml:space="preserve">159281      </v>
      </c>
      <c r="O18907">
        <v>231109</v>
      </c>
    </row>
    <row r="18908" spans="1:15" x14ac:dyDescent="0.25">
      <c r="A18908" t="s">
        <v>16</v>
      </c>
      <c r="B18908" t="s">
        <v>3221</v>
      </c>
      <c r="C18908">
        <v>15263</v>
      </c>
      <c r="D18908" t="s">
        <v>310</v>
      </c>
      <c r="E18908" t="s">
        <v>311</v>
      </c>
      <c r="F18908">
        <v>608.23</v>
      </c>
      <c r="G18908">
        <v>231024</v>
      </c>
      <c r="H18908">
        <v>4550</v>
      </c>
      <c r="I18908" t="s">
        <v>312</v>
      </c>
      <c r="J18908">
        <v>754.2</v>
      </c>
      <c r="K18908">
        <v>145.97</v>
      </c>
      <c r="L18908">
        <v>17950</v>
      </c>
      <c r="M18908" t="s">
        <v>86</v>
      </c>
      <c r="N18908" t="str">
        <f>"159281      "</f>
        <v xml:space="preserve">159281      </v>
      </c>
      <c r="O18908">
        <v>231109</v>
      </c>
    </row>
    <row r="18909" spans="1:15" x14ac:dyDescent="0.25">
      <c r="A18909" t="s">
        <v>16</v>
      </c>
      <c r="B18909" t="s">
        <v>3221</v>
      </c>
      <c r="C18909">
        <v>15263</v>
      </c>
      <c r="D18909" t="s">
        <v>310</v>
      </c>
      <c r="E18909" t="s">
        <v>311</v>
      </c>
      <c r="F18909">
        <v>305.56</v>
      </c>
      <c r="G18909">
        <v>231024</v>
      </c>
      <c r="H18909">
        <v>4550</v>
      </c>
      <c r="I18909" t="s">
        <v>312</v>
      </c>
      <c r="J18909">
        <v>378.9</v>
      </c>
      <c r="K18909">
        <v>73.34</v>
      </c>
      <c r="L18909">
        <v>17956</v>
      </c>
      <c r="M18909" t="s">
        <v>53</v>
      </c>
      <c r="N18909" t="str">
        <f>"159281      "</f>
        <v xml:space="preserve">159281      </v>
      </c>
      <c r="O18909">
        <v>231109</v>
      </c>
    </row>
    <row r="18910" spans="1:15" x14ac:dyDescent="0.25">
      <c r="A18910" t="s">
        <v>16</v>
      </c>
      <c r="B18910" t="s">
        <v>3221</v>
      </c>
      <c r="C18910">
        <v>15445</v>
      </c>
      <c r="D18910" t="s">
        <v>310</v>
      </c>
      <c r="E18910" t="s">
        <v>311</v>
      </c>
      <c r="F18910">
        <v>215.9</v>
      </c>
      <c r="G18910">
        <v>231102</v>
      </c>
      <c r="H18910">
        <v>4550</v>
      </c>
      <c r="I18910" t="s">
        <v>312</v>
      </c>
      <c r="J18910">
        <v>267.72000000000003</v>
      </c>
      <c r="K18910">
        <v>51.82</v>
      </c>
      <c r="L18910">
        <v>17913</v>
      </c>
      <c r="M18910" t="s">
        <v>431</v>
      </c>
      <c r="N18910" t="str">
        <f>"160244      "</f>
        <v xml:space="preserve">160244      </v>
      </c>
      <c r="O18910">
        <v>231113</v>
      </c>
    </row>
    <row r="18911" spans="1:15" x14ac:dyDescent="0.25">
      <c r="A18911" t="s">
        <v>16</v>
      </c>
      <c r="B18911" t="s">
        <v>3221</v>
      </c>
      <c r="C18911">
        <v>15470</v>
      </c>
      <c r="D18911" t="s">
        <v>310</v>
      </c>
      <c r="E18911" t="s">
        <v>311</v>
      </c>
      <c r="F18911">
        <v>28.74</v>
      </c>
      <c r="G18911">
        <v>231103</v>
      </c>
      <c r="H18911">
        <v>4550</v>
      </c>
      <c r="I18911" t="s">
        <v>312</v>
      </c>
      <c r="J18911">
        <v>35.64</v>
      </c>
      <c r="K18911">
        <v>6.9</v>
      </c>
      <c r="L18911">
        <v>67522</v>
      </c>
      <c r="M18911" t="s">
        <v>397</v>
      </c>
      <c r="N18911" t="str">
        <f>"160340      "</f>
        <v xml:space="preserve">160340      </v>
      </c>
      <c r="O18911">
        <v>231113</v>
      </c>
    </row>
    <row r="18912" spans="1:15" x14ac:dyDescent="0.25">
      <c r="A18912" t="s">
        <v>16</v>
      </c>
      <c r="B18912" t="s">
        <v>3221</v>
      </c>
      <c r="C18912">
        <v>15470</v>
      </c>
      <c r="D18912" t="s">
        <v>310</v>
      </c>
      <c r="E18912" t="s">
        <v>311</v>
      </c>
      <c r="F18912">
        <v>28.74</v>
      </c>
      <c r="G18912">
        <v>231103</v>
      </c>
      <c r="H18912">
        <v>4550</v>
      </c>
      <c r="I18912" t="s">
        <v>312</v>
      </c>
      <c r="J18912">
        <v>35.64</v>
      </c>
      <c r="K18912">
        <v>6.9</v>
      </c>
      <c r="L18912">
        <v>67554</v>
      </c>
      <c r="M18912" t="s">
        <v>60</v>
      </c>
      <c r="N18912" t="str">
        <f>"160340      "</f>
        <v xml:space="preserve">160340      </v>
      </c>
      <c r="O18912">
        <v>231113</v>
      </c>
    </row>
    <row r="18913" spans="1:15" x14ac:dyDescent="0.25">
      <c r="A18913" t="s">
        <v>16</v>
      </c>
      <c r="B18913" t="s">
        <v>3221</v>
      </c>
      <c r="C18913">
        <v>15470</v>
      </c>
      <c r="D18913" t="s">
        <v>310</v>
      </c>
      <c r="E18913" t="s">
        <v>311</v>
      </c>
      <c r="F18913">
        <v>382.31</v>
      </c>
      <c r="G18913">
        <v>231103</v>
      </c>
      <c r="H18913">
        <v>4550</v>
      </c>
      <c r="I18913" t="s">
        <v>312</v>
      </c>
      <c r="J18913">
        <v>474.06</v>
      </c>
      <c r="K18913">
        <v>91.75</v>
      </c>
      <c r="L18913">
        <v>69111</v>
      </c>
      <c r="M18913" t="s">
        <v>471</v>
      </c>
      <c r="N18913" t="str">
        <f>"160340      "</f>
        <v xml:space="preserve">160340      </v>
      </c>
      <c r="O18913">
        <v>231113</v>
      </c>
    </row>
    <row r="18914" spans="1:15" x14ac:dyDescent="0.25">
      <c r="A18914" t="s">
        <v>16</v>
      </c>
      <c r="B18914" t="s">
        <v>3221</v>
      </c>
      <c r="C18914">
        <v>15470</v>
      </c>
      <c r="D18914" t="s">
        <v>310</v>
      </c>
      <c r="E18914" t="s">
        <v>311</v>
      </c>
      <c r="F18914">
        <v>1529.23</v>
      </c>
      <c r="G18914">
        <v>231103</v>
      </c>
      <c r="H18914">
        <v>4550</v>
      </c>
      <c r="I18914" t="s">
        <v>312</v>
      </c>
      <c r="J18914">
        <v>1896.25</v>
      </c>
      <c r="K18914">
        <v>367.02</v>
      </c>
      <c r="L18914">
        <v>69501</v>
      </c>
      <c r="M18914" t="s">
        <v>185</v>
      </c>
      <c r="N18914" t="str">
        <f>"160340      "</f>
        <v xml:space="preserve">160340      </v>
      </c>
      <c r="O18914">
        <v>231113</v>
      </c>
    </row>
    <row r="18915" spans="1:15" x14ac:dyDescent="0.25">
      <c r="A18915" t="s">
        <v>16</v>
      </c>
      <c r="B18915" t="s">
        <v>3221</v>
      </c>
      <c r="C18915">
        <v>15503</v>
      </c>
      <c r="D18915" t="s">
        <v>310</v>
      </c>
      <c r="E18915" t="s">
        <v>311</v>
      </c>
      <c r="F18915">
        <v>57.37</v>
      </c>
      <c r="G18915">
        <v>231106</v>
      </c>
      <c r="H18915">
        <v>4550</v>
      </c>
      <c r="I18915" t="s">
        <v>312</v>
      </c>
      <c r="J18915">
        <v>71.14</v>
      </c>
      <c r="K18915">
        <v>13.77</v>
      </c>
      <c r="L18915">
        <v>56564</v>
      </c>
      <c r="M18915" t="s">
        <v>327</v>
      </c>
      <c r="N18915" t="str">
        <f>"160460      "</f>
        <v xml:space="preserve">160460      </v>
      </c>
      <c r="O18915">
        <v>231113</v>
      </c>
    </row>
    <row r="18916" spans="1:15" x14ac:dyDescent="0.25">
      <c r="A18916" t="s">
        <v>16</v>
      </c>
      <c r="B18916" t="s">
        <v>3221</v>
      </c>
      <c r="C18916">
        <v>15625</v>
      </c>
      <c r="D18916" t="s">
        <v>310</v>
      </c>
      <c r="E18916" t="s">
        <v>311</v>
      </c>
      <c r="F18916">
        <v>472.75</v>
      </c>
      <c r="G18916">
        <v>231113</v>
      </c>
      <c r="H18916">
        <v>4550</v>
      </c>
      <c r="I18916" t="s">
        <v>312</v>
      </c>
      <c r="J18916">
        <v>586.21</v>
      </c>
      <c r="K18916">
        <v>113.46</v>
      </c>
      <c r="L18916">
        <v>54422</v>
      </c>
      <c r="M18916" t="s">
        <v>234</v>
      </c>
      <c r="N18916" t="str">
        <f>"161086      "</f>
        <v xml:space="preserve">161086      </v>
      </c>
      <c r="O18916">
        <v>231114</v>
      </c>
    </row>
    <row r="18917" spans="1:15" x14ac:dyDescent="0.25">
      <c r="A18917" t="s">
        <v>16</v>
      </c>
      <c r="B18917" t="s">
        <v>3221</v>
      </c>
      <c r="C18917">
        <v>15625</v>
      </c>
      <c r="D18917" t="s">
        <v>310</v>
      </c>
      <c r="E18917" t="s">
        <v>311</v>
      </c>
      <c r="F18917">
        <v>472.75</v>
      </c>
      <c r="G18917">
        <v>231113</v>
      </c>
      <c r="H18917">
        <v>4550</v>
      </c>
      <c r="I18917" t="s">
        <v>312</v>
      </c>
      <c r="J18917">
        <v>586.21</v>
      </c>
      <c r="K18917">
        <v>113.46</v>
      </c>
      <c r="L18917">
        <v>54451</v>
      </c>
      <c r="M18917" t="s">
        <v>158</v>
      </c>
      <c r="N18917" t="str">
        <f>"161086      "</f>
        <v xml:space="preserve">161086      </v>
      </c>
      <c r="O18917">
        <v>231114</v>
      </c>
    </row>
    <row r="18918" spans="1:15" x14ac:dyDescent="0.25">
      <c r="A18918" t="s">
        <v>16</v>
      </c>
      <c r="B18918" t="s">
        <v>3221</v>
      </c>
      <c r="C18918">
        <v>15748</v>
      </c>
      <c r="D18918" t="s">
        <v>310</v>
      </c>
      <c r="E18918" t="s">
        <v>311</v>
      </c>
      <c r="F18918">
        <v>217.07</v>
      </c>
      <c r="G18918">
        <v>231113</v>
      </c>
      <c r="H18918">
        <v>4550</v>
      </c>
      <c r="I18918" t="s">
        <v>312</v>
      </c>
      <c r="J18918">
        <v>269.17</v>
      </c>
      <c r="K18918">
        <v>52.1</v>
      </c>
      <c r="L18918">
        <v>17951</v>
      </c>
      <c r="M18918" t="s">
        <v>87</v>
      </c>
      <c r="N18918" t="str">
        <f>"161198      "</f>
        <v xml:space="preserve">161198      </v>
      </c>
      <c r="O18918">
        <v>231116</v>
      </c>
    </row>
    <row r="18919" spans="1:15" x14ac:dyDescent="0.25">
      <c r="A18919" t="s">
        <v>16</v>
      </c>
      <c r="B18919" t="s">
        <v>3221</v>
      </c>
      <c r="C18919">
        <v>15985</v>
      </c>
      <c r="D18919" t="s">
        <v>310</v>
      </c>
      <c r="E18919" t="s">
        <v>311</v>
      </c>
      <c r="F18919">
        <v>202.52</v>
      </c>
      <c r="G18919">
        <v>231109</v>
      </c>
      <c r="H18919">
        <v>4550</v>
      </c>
      <c r="I18919" t="s">
        <v>312</v>
      </c>
      <c r="J18919">
        <v>251.13</v>
      </c>
      <c r="K18919">
        <v>48.61</v>
      </c>
      <c r="L18919">
        <v>69501</v>
      </c>
      <c r="M18919" t="s">
        <v>185</v>
      </c>
      <c r="N18919" t="str">
        <f>"160912      "</f>
        <v xml:space="preserve">160912      </v>
      </c>
      <c r="O18919">
        <v>231122</v>
      </c>
    </row>
    <row r="18920" spans="1:15" x14ac:dyDescent="0.25">
      <c r="A18920" t="s">
        <v>16</v>
      </c>
      <c r="B18920" t="s">
        <v>3221</v>
      </c>
      <c r="C18920">
        <v>16291</v>
      </c>
      <c r="D18920" t="s">
        <v>310</v>
      </c>
      <c r="E18920" t="s">
        <v>311</v>
      </c>
      <c r="F18920">
        <v>67.650000000000006</v>
      </c>
      <c r="G18920">
        <v>231123</v>
      </c>
      <c r="H18920">
        <v>4550</v>
      </c>
      <c r="I18920" t="s">
        <v>312</v>
      </c>
      <c r="J18920">
        <v>83.88</v>
      </c>
      <c r="K18920">
        <v>16.23</v>
      </c>
      <c r="L18920">
        <v>16431</v>
      </c>
      <c r="M18920" t="s">
        <v>231</v>
      </c>
      <c r="N18920" t="str">
        <f>"162137      "</f>
        <v xml:space="preserve">162137      </v>
      </c>
      <c r="O18920">
        <v>231127</v>
      </c>
    </row>
    <row r="18921" spans="1:15" x14ac:dyDescent="0.25">
      <c r="A18921" t="s">
        <v>16</v>
      </c>
      <c r="B18921" t="s">
        <v>3221</v>
      </c>
      <c r="C18921">
        <v>16456</v>
      </c>
      <c r="D18921" t="s">
        <v>310</v>
      </c>
      <c r="E18921" t="s">
        <v>311</v>
      </c>
      <c r="F18921">
        <v>212.18</v>
      </c>
      <c r="G18921">
        <v>231127</v>
      </c>
      <c r="H18921">
        <v>4550</v>
      </c>
      <c r="I18921" t="s">
        <v>312</v>
      </c>
      <c r="J18921">
        <v>263.10000000000002</v>
      </c>
      <c r="K18921">
        <v>50.92</v>
      </c>
      <c r="L18921">
        <v>59504</v>
      </c>
      <c r="M18921" t="s">
        <v>71</v>
      </c>
      <c r="N18921" t="str">
        <f>"162409      "</f>
        <v xml:space="preserve">162409      </v>
      </c>
      <c r="O18921">
        <v>231129</v>
      </c>
    </row>
    <row r="18922" spans="1:15" x14ac:dyDescent="0.25">
      <c r="A18922" t="s">
        <v>16</v>
      </c>
      <c r="B18922" t="s">
        <v>3221</v>
      </c>
      <c r="C18922">
        <v>16457</v>
      </c>
      <c r="D18922" t="s">
        <v>310</v>
      </c>
      <c r="E18922" t="s">
        <v>311</v>
      </c>
      <c r="F18922">
        <v>488.98</v>
      </c>
      <c r="G18922">
        <v>231127</v>
      </c>
      <c r="H18922">
        <v>4550</v>
      </c>
      <c r="I18922" t="s">
        <v>312</v>
      </c>
      <c r="J18922">
        <v>606.33000000000004</v>
      </c>
      <c r="K18922">
        <v>117.35</v>
      </c>
      <c r="L18922">
        <v>59501</v>
      </c>
      <c r="M18922" t="s">
        <v>69</v>
      </c>
      <c r="N18922" t="str">
        <f>"162421      "</f>
        <v xml:space="preserve">162421      </v>
      </c>
      <c r="O18922">
        <v>231129</v>
      </c>
    </row>
    <row r="18923" spans="1:15" x14ac:dyDescent="0.25">
      <c r="A18923" t="s">
        <v>16</v>
      </c>
      <c r="B18923" t="s">
        <v>3221</v>
      </c>
      <c r="C18923">
        <v>16669</v>
      </c>
      <c r="D18923" t="s">
        <v>310</v>
      </c>
      <c r="E18923" t="s">
        <v>311</v>
      </c>
      <c r="F18923">
        <v>30.66</v>
      </c>
      <c r="G18923">
        <v>231116</v>
      </c>
      <c r="H18923">
        <v>4550</v>
      </c>
      <c r="I18923" t="s">
        <v>312</v>
      </c>
      <c r="J18923">
        <v>38.020000000000003</v>
      </c>
      <c r="K18923">
        <v>7.36</v>
      </c>
      <c r="L18923">
        <v>13540</v>
      </c>
      <c r="M18923" t="s">
        <v>85</v>
      </c>
      <c r="N18923" t="str">
        <f>"161513      "</f>
        <v xml:space="preserve">161513      </v>
      </c>
      <c r="O18923">
        <v>231207</v>
      </c>
    </row>
    <row r="18924" spans="1:15" x14ac:dyDescent="0.25">
      <c r="A18924" t="s">
        <v>16</v>
      </c>
      <c r="B18924" t="s">
        <v>3221</v>
      </c>
      <c r="C18924">
        <v>16669</v>
      </c>
      <c r="D18924" t="s">
        <v>310</v>
      </c>
      <c r="E18924" t="s">
        <v>311</v>
      </c>
      <c r="F18924">
        <v>209.08</v>
      </c>
      <c r="G18924">
        <v>231116</v>
      </c>
      <c r="H18924">
        <v>4550</v>
      </c>
      <c r="I18924" t="s">
        <v>312</v>
      </c>
      <c r="J18924">
        <v>259.26</v>
      </c>
      <c r="K18924">
        <v>50.18</v>
      </c>
      <c r="L18924">
        <v>17950</v>
      </c>
      <c r="M18924" t="s">
        <v>86</v>
      </c>
      <c r="N18924" t="str">
        <f>"161513      "</f>
        <v xml:space="preserve">161513      </v>
      </c>
      <c r="O18924">
        <v>231207</v>
      </c>
    </row>
    <row r="18925" spans="1:15" x14ac:dyDescent="0.25">
      <c r="A18925" t="s">
        <v>16</v>
      </c>
      <c r="B18925" t="s">
        <v>3221</v>
      </c>
      <c r="C18925">
        <v>16669</v>
      </c>
      <c r="D18925" t="s">
        <v>310</v>
      </c>
      <c r="E18925" t="s">
        <v>311</v>
      </c>
      <c r="F18925">
        <v>39.03</v>
      </c>
      <c r="G18925">
        <v>231116</v>
      </c>
      <c r="H18925">
        <v>4550</v>
      </c>
      <c r="I18925" t="s">
        <v>312</v>
      </c>
      <c r="J18925">
        <v>48.4</v>
      </c>
      <c r="K18925">
        <v>9.3699999999999992</v>
      </c>
      <c r="L18925">
        <v>17956</v>
      </c>
      <c r="M18925" t="s">
        <v>53</v>
      </c>
      <c r="N18925" t="str">
        <f>"161513      "</f>
        <v xml:space="preserve">161513      </v>
      </c>
      <c r="O18925">
        <v>231207</v>
      </c>
    </row>
    <row r="18926" spans="1:15" x14ac:dyDescent="0.25">
      <c r="A18926" t="s">
        <v>16</v>
      </c>
      <c r="B18926" t="s">
        <v>3221</v>
      </c>
      <c r="C18926">
        <v>18246</v>
      </c>
      <c r="D18926" t="s">
        <v>310</v>
      </c>
      <c r="E18926" t="s">
        <v>311</v>
      </c>
      <c r="F18926">
        <v>494.86</v>
      </c>
      <c r="G18926">
        <v>231213</v>
      </c>
      <c r="H18926">
        <v>4550</v>
      </c>
      <c r="I18926" t="s">
        <v>312</v>
      </c>
      <c r="J18926">
        <v>613.63</v>
      </c>
      <c r="K18926">
        <v>118.77</v>
      </c>
      <c r="L18926">
        <v>49501</v>
      </c>
      <c r="M18926" t="s">
        <v>177</v>
      </c>
      <c r="N18926" t="str">
        <f>"164044      "</f>
        <v xml:space="preserve">164044      </v>
      </c>
      <c r="O18926">
        <v>240102</v>
      </c>
    </row>
    <row r="18927" spans="1:15" x14ac:dyDescent="0.25">
      <c r="A18927" t="s">
        <v>16</v>
      </c>
      <c r="B18927" t="s">
        <v>3221</v>
      </c>
      <c r="C18927">
        <v>18406</v>
      </c>
      <c r="D18927" t="s">
        <v>310</v>
      </c>
      <c r="E18927" t="s">
        <v>311</v>
      </c>
      <c r="F18927">
        <v>534.89</v>
      </c>
      <c r="G18927">
        <v>231218</v>
      </c>
      <c r="H18927">
        <v>4550</v>
      </c>
      <c r="I18927" t="s">
        <v>312</v>
      </c>
      <c r="J18927">
        <v>663.26</v>
      </c>
      <c r="K18927">
        <v>128.37</v>
      </c>
      <c r="L18927">
        <v>59505</v>
      </c>
      <c r="M18927" t="s">
        <v>72</v>
      </c>
      <c r="N18927" t="str">
        <f>"164434      "</f>
        <v xml:space="preserve">164434      </v>
      </c>
      <c r="O18927">
        <v>240103</v>
      </c>
    </row>
    <row r="18928" spans="1:15" x14ac:dyDescent="0.25">
      <c r="A18928" t="s">
        <v>16</v>
      </c>
      <c r="B18928" t="s">
        <v>3221</v>
      </c>
      <c r="C18928">
        <v>18475</v>
      </c>
      <c r="D18928" t="s">
        <v>310</v>
      </c>
      <c r="E18928" t="s">
        <v>311</v>
      </c>
      <c r="F18928">
        <v>169.49</v>
      </c>
      <c r="G18928">
        <v>231221</v>
      </c>
      <c r="H18928">
        <v>4550</v>
      </c>
      <c r="I18928" t="s">
        <v>312</v>
      </c>
      <c r="J18928">
        <v>210.17</v>
      </c>
      <c r="K18928">
        <v>40.68</v>
      </c>
      <c r="L18928">
        <v>69112</v>
      </c>
      <c r="M18928" t="s">
        <v>313</v>
      </c>
      <c r="N18928" t="str">
        <f>"164887      "</f>
        <v xml:space="preserve">164887      </v>
      </c>
      <c r="O18928">
        <v>240103</v>
      </c>
    </row>
    <row r="18929" spans="1:15" x14ac:dyDescent="0.25">
      <c r="A18929" t="s">
        <v>16</v>
      </c>
      <c r="B18929" t="s">
        <v>3221</v>
      </c>
      <c r="C18929">
        <v>18475</v>
      </c>
      <c r="D18929" t="s">
        <v>310</v>
      </c>
      <c r="E18929" t="s">
        <v>311</v>
      </c>
      <c r="F18929">
        <v>9.42</v>
      </c>
      <c r="G18929">
        <v>231221</v>
      </c>
      <c r="H18929">
        <v>4550</v>
      </c>
      <c r="I18929" t="s">
        <v>312</v>
      </c>
      <c r="J18929">
        <v>11.68</v>
      </c>
      <c r="K18929">
        <v>2.2599999999999998</v>
      </c>
      <c r="L18929">
        <v>69810</v>
      </c>
      <c r="M18929" t="s">
        <v>314</v>
      </c>
      <c r="N18929" t="str">
        <f>"164887      "</f>
        <v xml:space="preserve">164887      </v>
      </c>
      <c r="O18929">
        <v>240103</v>
      </c>
    </row>
    <row r="18930" spans="1:15" x14ac:dyDescent="0.25">
      <c r="A18930" t="s">
        <v>16</v>
      </c>
      <c r="B18930" t="s">
        <v>3221</v>
      </c>
      <c r="C18930">
        <v>18475</v>
      </c>
      <c r="D18930" t="s">
        <v>310</v>
      </c>
      <c r="E18930" t="s">
        <v>311</v>
      </c>
      <c r="F18930">
        <v>9.41</v>
      </c>
      <c r="G18930">
        <v>231221</v>
      </c>
      <c r="H18930">
        <v>4550</v>
      </c>
      <c r="I18930" t="s">
        <v>312</v>
      </c>
      <c r="J18930">
        <v>11.67</v>
      </c>
      <c r="K18930">
        <v>2.2599999999999998</v>
      </c>
      <c r="L18930">
        <v>69811</v>
      </c>
      <c r="M18930" t="s">
        <v>315</v>
      </c>
      <c r="N18930" t="str">
        <f>"164887      "</f>
        <v xml:space="preserve">164887      </v>
      </c>
      <c r="O18930">
        <v>240103</v>
      </c>
    </row>
    <row r="18931" spans="1:15" x14ac:dyDescent="0.25">
      <c r="A18931" t="s">
        <v>16</v>
      </c>
      <c r="B18931" t="s">
        <v>3221</v>
      </c>
      <c r="C18931">
        <v>18488</v>
      </c>
      <c r="D18931" t="s">
        <v>310</v>
      </c>
      <c r="E18931" t="s">
        <v>311</v>
      </c>
      <c r="F18931">
        <v>209.19</v>
      </c>
      <c r="G18931">
        <v>231215</v>
      </c>
      <c r="H18931">
        <v>4550</v>
      </c>
      <c r="I18931" t="s">
        <v>312</v>
      </c>
      <c r="J18931">
        <v>259.39999999999998</v>
      </c>
      <c r="K18931">
        <v>50.21</v>
      </c>
      <c r="L18931">
        <v>59502</v>
      </c>
      <c r="M18931" t="s">
        <v>70</v>
      </c>
      <c r="N18931" t="str">
        <f>"164339      "</f>
        <v xml:space="preserve">164339      </v>
      </c>
      <c r="O18931">
        <v>240103</v>
      </c>
    </row>
    <row r="18932" spans="1:15" x14ac:dyDescent="0.25">
      <c r="A18932" t="s">
        <v>16</v>
      </c>
      <c r="B18932" t="s">
        <v>3221</v>
      </c>
      <c r="C18932">
        <v>18488</v>
      </c>
      <c r="D18932" t="s">
        <v>310</v>
      </c>
      <c r="E18932" t="s">
        <v>311</v>
      </c>
      <c r="F18932">
        <v>133.80000000000001</v>
      </c>
      <c r="G18932">
        <v>231215</v>
      </c>
      <c r="H18932">
        <v>4550</v>
      </c>
      <c r="I18932" t="s">
        <v>312</v>
      </c>
      <c r="J18932">
        <v>165.91</v>
      </c>
      <c r="K18932">
        <v>32.11</v>
      </c>
      <c r="L18932">
        <v>59802</v>
      </c>
      <c r="M18932" t="s">
        <v>73</v>
      </c>
      <c r="N18932" t="str">
        <f>"164339      "</f>
        <v xml:space="preserve">164339      </v>
      </c>
      <c r="O18932">
        <v>240103</v>
      </c>
    </row>
    <row r="18933" spans="1:15" x14ac:dyDescent="0.25">
      <c r="A18933" t="s">
        <v>16</v>
      </c>
      <c r="B18933" t="s">
        <v>3221</v>
      </c>
      <c r="C18933">
        <v>4046</v>
      </c>
      <c r="D18933" t="s">
        <v>310</v>
      </c>
      <c r="E18933" t="s">
        <v>311</v>
      </c>
      <c r="F18933">
        <v>94.83</v>
      </c>
      <c r="G18933">
        <v>230320</v>
      </c>
      <c r="H18933">
        <v>4500</v>
      </c>
      <c r="I18933" t="s">
        <v>212</v>
      </c>
      <c r="J18933">
        <v>117.59</v>
      </c>
      <c r="K18933">
        <v>22.76</v>
      </c>
      <c r="L18933">
        <v>56565</v>
      </c>
      <c r="M18933" t="s">
        <v>758</v>
      </c>
      <c r="N18933" t="str">
        <f>"139619      "</f>
        <v xml:space="preserve">139619      </v>
      </c>
      <c r="O18933">
        <v>230329</v>
      </c>
    </row>
    <row r="18934" spans="1:15" x14ac:dyDescent="0.25">
      <c r="A18934" t="s">
        <v>16</v>
      </c>
      <c r="B18934" t="s">
        <v>3221</v>
      </c>
      <c r="C18934">
        <v>1995</v>
      </c>
      <c r="D18934" t="s">
        <v>1251</v>
      </c>
      <c r="E18934" t="s">
        <v>1252</v>
      </c>
      <c r="F18934">
        <v>20</v>
      </c>
      <c r="G18934">
        <v>230214</v>
      </c>
      <c r="H18934">
        <v>4500</v>
      </c>
      <c r="I18934" t="s">
        <v>212</v>
      </c>
      <c r="J18934">
        <v>24.8</v>
      </c>
      <c r="K18934">
        <v>4.8</v>
      </c>
      <c r="L18934">
        <v>13501</v>
      </c>
      <c r="M18934" t="s">
        <v>20</v>
      </c>
      <c r="N18934" t="str">
        <f>"235-2023    "</f>
        <v xml:space="preserve">235-2023    </v>
      </c>
      <c r="O18934">
        <v>230217</v>
      </c>
    </row>
    <row r="18935" spans="1:15" x14ac:dyDescent="0.25">
      <c r="A18935" t="s">
        <v>16</v>
      </c>
      <c r="B18935" t="s">
        <v>3221</v>
      </c>
      <c r="C18935">
        <v>1995</v>
      </c>
      <c r="D18935" t="s">
        <v>1251</v>
      </c>
      <c r="E18935" t="s">
        <v>1252</v>
      </c>
      <c r="F18935">
        <v>150</v>
      </c>
      <c r="G18935">
        <v>230214</v>
      </c>
      <c r="H18935">
        <v>4530</v>
      </c>
      <c r="I18935" t="s">
        <v>342</v>
      </c>
      <c r="J18935">
        <v>186</v>
      </c>
      <c r="K18935">
        <v>36</v>
      </c>
      <c r="L18935">
        <v>13501</v>
      </c>
      <c r="M18935" t="s">
        <v>20</v>
      </c>
      <c r="N18935" t="str">
        <f>"235-2023    "</f>
        <v xml:space="preserve">235-2023    </v>
      </c>
      <c r="O18935">
        <v>230217</v>
      </c>
    </row>
    <row r="18936" spans="1:15" x14ac:dyDescent="0.25">
      <c r="A18936" t="s">
        <v>16</v>
      </c>
      <c r="B18936" t="s">
        <v>3221</v>
      </c>
      <c r="C18936">
        <v>17589</v>
      </c>
      <c r="D18936" t="s">
        <v>2563</v>
      </c>
      <c r="E18936" t="s">
        <v>2564</v>
      </c>
      <c r="F18936">
        <v>522</v>
      </c>
      <c r="G18936">
        <v>231212</v>
      </c>
      <c r="H18936">
        <v>4860</v>
      </c>
      <c r="I18936" t="s">
        <v>28</v>
      </c>
      <c r="J18936">
        <v>647.28</v>
      </c>
      <c r="K18936">
        <v>125.28</v>
      </c>
      <c r="L18936">
        <v>11301</v>
      </c>
      <c r="M18936" t="s">
        <v>29</v>
      </c>
      <c r="N18936" t="str">
        <f>"150965      "</f>
        <v xml:space="preserve">150965      </v>
      </c>
      <c r="O18936">
        <v>231215</v>
      </c>
    </row>
    <row r="18937" spans="1:15" x14ac:dyDescent="0.25">
      <c r="A18937" t="s">
        <v>16</v>
      </c>
      <c r="B18937" t="s">
        <v>3221</v>
      </c>
      <c r="C18937">
        <v>14502</v>
      </c>
      <c r="D18937" t="s">
        <v>2563</v>
      </c>
      <c r="E18937" t="s">
        <v>2564</v>
      </c>
      <c r="F18937">
        <v>20.16</v>
      </c>
      <c r="G18937">
        <v>231025</v>
      </c>
      <c r="H18937">
        <v>4440</v>
      </c>
      <c r="I18937" t="s">
        <v>250</v>
      </c>
      <c r="J18937">
        <v>25</v>
      </c>
      <c r="K18937">
        <v>4.84</v>
      </c>
      <c r="L18937">
        <v>67522</v>
      </c>
      <c r="M18937" t="s">
        <v>397</v>
      </c>
      <c r="N18937" t="str">
        <f>"147304      "</f>
        <v xml:space="preserve">147304      </v>
      </c>
      <c r="O18937">
        <v>231030</v>
      </c>
    </row>
    <row r="18938" spans="1:15" x14ac:dyDescent="0.25">
      <c r="A18938" t="s">
        <v>16</v>
      </c>
      <c r="B18938" t="s">
        <v>3221</v>
      </c>
      <c r="C18938">
        <v>14502</v>
      </c>
      <c r="D18938" t="s">
        <v>2563</v>
      </c>
      <c r="E18938" t="s">
        <v>2564</v>
      </c>
      <c r="F18938">
        <v>128.22</v>
      </c>
      <c r="G18938">
        <v>231025</v>
      </c>
      <c r="H18938">
        <v>4440</v>
      </c>
      <c r="I18938" t="s">
        <v>250</v>
      </c>
      <c r="J18938">
        <v>141.04</v>
      </c>
      <c r="K18938">
        <v>12.82</v>
      </c>
      <c r="L18938">
        <v>67522</v>
      </c>
      <c r="M18938" t="s">
        <v>397</v>
      </c>
      <c r="N18938" t="str">
        <f>"147304      "</f>
        <v xml:space="preserve">147304      </v>
      </c>
      <c r="O18938">
        <v>231030</v>
      </c>
    </row>
    <row r="18939" spans="1:15" x14ac:dyDescent="0.25">
      <c r="A18939" t="s">
        <v>16</v>
      </c>
      <c r="B18939" t="s">
        <v>3221</v>
      </c>
      <c r="C18939">
        <v>12341</v>
      </c>
      <c r="D18939" t="s">
        <v>2563</v>
      </c>
      <c r="E18939" t="s">
        <v>2564</v>
      </c>
      <c r="F18939">
        <v>2439.8000000000002</v>
      </c>
      <c r="G18939">
        <v>230914</v>
      </c>
      <c r="H18939">
        <v>4350</v>
      </c>
      <c r="I18939" t="s">
        <v>546</v>
      </c>
      <c r="J18939">
        <v>3025.35</v>
      </c>
      <c r="K18939">
        <v>585.54999999999995</v>
      </c>
      <c r="L18939">
        <v>17972</v>
      </c>
      <c r="M18939" t="s">
        <v>248</v>
      </c>
      <c r="N18939" t="str">
        <f>"145625      "</f>
        <v xml:space="preserve">145625      </v>
      </c>
      <c r="O18939">
        <v>230918</v>
      </c>
    </row>
    <row r="18940" spans="1:15" x14ac:dyDescent="0.25">
      <c r="A18940" t="s">
        <v>16</v>
      </c>
      <c r="B18940" t="s">
        <v>3221</v>
      </c>
      <c r="C18940">
        <v>17589</v>
      </c>
      <c r="D18940" t="s">
        <v>2563</v>
      </c>
      <c r="E18940" t="s">
        <v>2564</v>
      </c>
      <c r="F18940">
        <v>266</v>
      </c>
      <c r="G18940">
        <v>231212</v>
      </c>
      <c r="H18940">
        <v>4347</v>
      </c>
      <c r="I18940" t="s">
        <v>193</v>
      </c>
      <c r="J18940">
        <v>329.84</v>
      </c>
      <c r="K18940">
        <v>63.84</v>
      </c>
      <c r="L18940">
        <v>17538</v>
      </c>
      <c r="M18940" t="s">
        <v>24</v>
      </c>
      <c r="N18940" t="str">
        <f>"150965      "</f>
        <v xml:space="preserve">150965      </v>
      </c>
      <c r="O18940">
        <v>231215</v>
      </c>
    </row>
    <row r="18941" spans="1:15" x14ac:dyDescent="0.25">
      <c r="A18941" t="s">
        <v>16</v>
      </c>
      <c r="B18941" t="s">
        <v>3221</v>
      </c>
      <c r="C18941">
        <v>15693</v>
      </c>
      <c r="D18941" t="s">
        <v>3562</v>
      </c>
      <c r="E18941" t="s">
        <v>3563</v>
      </c>
      <c r="F18941">
        <v>80</v>
      </c>
      <c r="G18941">
        <v>231110</v>
      </c>
      <c r="H18941">
        <v>4440</v>
      </c>
      <c r="I18941" t="s">
        <v>250</v>
      </c>
      <c r="J18941">
        <v>80</v>
      </c>
      <c r="K18941">
        <v>0</v>
      </c>
      <c r="L18941">
        <v>17521</v>
      </c>
      <c r="M18941" t="s">
        <v>133</v>
      </c>
      <c r="N18941" t="str">
        <f>"518         "</f>
        <v xml:space="preserve">518         </v>
      </c>
      <c r="O18941">
        <v>231116</v>
      </c>
    </row>
    <row r="18942" spans="1:15" x14ac:dyDescent="0.25">
      <c r="A18942" t="s">
        <v>16</v>
      </c>
      <c r="B18942" t="s">
        <v>3221</v>
      </c>
      <c r="C18942">
        <v>10051</v>
      </c>
      <c r="D18942" t="s">
        <v>3507</v>
      </c>
      <c r="E18942" t="s">
        <v>3508</v>
      </c>
      <c r="F18942">
        <v>23</v>
      </c>
      <c r="G18942">
        <v>230803</v>
      </c>
      <c r="H18942">
        <v>4600</v>
      </c>
      <c r="I18942" t="s">
        <v>105</v>
      </c>
      <c r="J18942">
        <v>23</v>
      </c>
      <c r="K18942">
        <v>0</v>
      </c>
      <c r="L18942">
        <v>69111</v>
      </c>
      <c r="M18942" t="s">
        <v>471</v>
      </c>
      <c r="N18942" t="str">
        <f>"36046       "</f>
        <v xml:space="preserve">36046       </v>
      </c>
      <c r="O18942">
        <v>230807</v>
      </c>
    </row>
    <row r="18943" spans="1:15" x14ac:dyDescent="0.25">
      <c r="A18943" t="s">
        <v>16</v>
      </c>
      <c r="B18943" t="s">
        <v>3221</v>
      </c>
      <c r="C18943">
        <v>13077</v>
      </c>
      <c r="D18943" t="s">
        <v>3702</v>
      </c>
      <c r="E18943" t="s">
        <v>3325</v>
      </c>
      <c r="F18943">
        <v>400</v>
      </c>
      <c r="G18943">
        <v>230929</v>
      </c>
      <c r="H18943">
        <v>4940</v>
      </c>
      <c r="I18943" t="s">
        <v>514</v>
      </c>
      <c r="J18943">
        <v>400</v>
      </c>
      <c r="K18943">
        <v>0</v>
      </c>
      <c r="L18943">
        <v>13661</v>
      </c>
      <c r="M18943" t="s">
        <v>247</v>
      </c>
      <c r="N18943" t="str">
        <f>"23140       "</f>
        <v xml:space="preserve">23140       </v>
      </c>
      <c r="O18943">
        <v>231003</v>
      </c>
    </row>
    <row r="18944" spans="1:15" x14ac:dyDescent="0.25">
      <c r="A18944" t="s">
        <v>16</v>
      </c>
      <c r="B18944" t="s">
        <v>3221</v>
      </c>
      <c r="C18944">
        <v>7307</v>
      </c>
      <c r="D18944" t="s">
        <v>3702</v>
      </c>
      <c r="E18944" t="s">
        <v>3325</v>
      </c>
      <c r="F18944">
        <v>240</v>
      </c>
      <c r="G18944">
        <v>230512</v>
      </c>
      <c r="H18944">
        <v>4441</v>
      </c>
      <c r="I18944" t="s">
        <v>109</v>
      </c>
      <c r="J18944">
        <v>240</v>
      </c>
      <c r="K18944">
        <v>0</v>
      </c>
      <c r="L18944">
        <v>13661</v>
      </c>
      <c r="M18944" t="s">
        <v>247</v>
      </c>
      <c r="N18944" t="str">
        <f>"23126       "</f>
        <v xml:space="preserve">23126       </v>
      </c>
      <c r="O18944">
        <v>230529</v>
      </c>
    </row>
    <row r="18945" spans="1:15" x14ac:dyDescent="0.25">
      <c r="A18945" t="s">
        <v>16</v>
      </c>
      <c r="B18945" t="s">
        <v>3221</v>
      </c>
      <c r="C18945">
        <v>2676</v>
      </c>
      <c r="D18945" t="s">
        <v>3379</v>
      </c>
      <c r="E18945" t="s">
        <v>3380</v>
      </c>
      <c r="F18945">
        <v>50</v>
      </c>
      <c r="G18945">
        <v>230227</v>
      </c>
      <c r="H18945">
        <v>4510</v>
      </c>
      <c r="I18945" t="s">
        <v>42</v>
      </c>
      <c r="J18945">
        <v>50</v>
      </c>
      <c r="K18945">
        <v>0</v>
      </c>
      <c r="L18945">
        <v>16930</v>
      </c>
      <c r="M18945" t="s">
        <v>450</v>
      </c>
      <c r="N18945" t="str">
        <f>"3424        "</f>
        <v xml:space="preserve">3424        </v>
      </c>
      <c r="O18945">
        <v>230306</v>
      </c>
    </row>
    <row r="18946" spans="1:15" x14ac:dyDescent="0.25">
      <c r="A18946" t="s">
        <v>16</v>
      </c>
      <c r="B18946" t="s">
        <v>3221</v>
      </c>
      <c r="C18946">
        <v>12607</v>
      </c>
      <c r="D18946" t="s">
        <v>3529</v>
      </c>
      <c r="E18946" t="s">
        <v>3530</v>
      </c>
      <c r="F18946">
        <v>90</v>
      </c>
      <c r="G18946">
        <v>230912</v>
      </c>
      <c r="H18946">
        <v>4343</v>
      </c>
      <c r="I18946" t="s">
        <v>91</v>
      </c>
      <c r="J18946">
        <v>99</v>
      </c>
      <c r="K18946">
        <v>9</v>
      </c>
      <c r="L18946">
        <v>13802</v>
      </c>
      <c r="M18946" t="s">
        <v>200</v>
      </c>
      <c r="N18946" t="str">
        <f>"2330        "</f>
        <v xml:space="preserve">2330        </v>
      </c>
      <c r="O18946">
        <v>230922</v>
      </c>
    </row>
    <row r="18947" spans="1:15" x14ac:dyDescent="0.25">
      <c r="A18947" t="s">
        <v>16</v>
      </c>
      <c r="B18947" t="s">
        <v>3221</v>
      </c>
      <c r="C18947">
        <v>5155</v>
      </c>
      <c r="D18947" t="s">
        <v>3425</v>
      </c>
      <c r="E18947" t="s">
        <v>3426</v>
      </c>
      <c r="F18947">
        <v>320</v>
      </c>
      <c r="G18947">
        <v>230412</v>
      </c>
      <c r="H18947">
        <v>4441</v>
      </c>
      <c r="I18947" t="s">
        <v>109</v>
      </c>
      <c r="J18947">
        <v>320</v>
      </c>
      <c r="K18947">
        <v>0</v>
      </c>
      <c r="L18947">
        <v>18972</v>
      </c>
      <c r="M18947" t="s">
        <v>163</v>
      </c>
      <c r="N18947" t="str">
        <f>"691         "</f>
        <v xml:space="preserve">691         </v>
      </c>
      <c r="O18947">
        <v>230418</v>
      </c>
    </row>
    <row r="18948" spans="1:15" x14ac:dyDescent="0.25">
      <c r="A18948" t="s">
        <v>16</v>
      </c>
      <c r="B18948" t="s">
        <v>3221</v>
      </c>
      <c r="C18948">
        <v>5158</v>
      </c>
      <c r="D18948" t="s">
        <v>3425</v>
      </c>
      <c r="E18948" t="s">
        <v>3426</v>
      </c>
      <c r="F18948">
        <v>320</v>
      </c>
      <c r="G18948">
        <v>230412</v>
      </c>
      <c r="H18948">
        <v>4441</v>
      </c>
      <c r="I18948" t="s">
        <v>109</v>
      </c>
      <c r="J18948">
        <v>320</v>
      </c>
      <c r="K18948">
        <v>0</v>
      </c>
      <c r="L18948">
        <v>18972</v>
      </c>
      <c r="M18948" t="s">
        <v>163</v>
      </c>
      <c r="N18948" t="str">
        <f>"692         "</f>
        <v xml:space="preserve">692         </v>
      </c>
      <c r="O18948">
        <v>230418</v>
      </c>
    </row>
    <row r="18949" spans="1:15" x14ac:dyDescent="0.25">
      <c r="A18949" t="s">
        <v>16</v>
      </c>
      <c r="B18949" t="s">
        <v>3221</v>
      </c>
      <c r="C18949">
        <v>5162</v>
      </c>
      <c r="D18949" t="s">
        <v>3425</v>
      </c>
      <c r="E18949" t="s">
        <v>3426</v>
      </c>
      <c r="F18949">
        <v>320</v>
      </c>
      <c r="G18949">
        <v>230412</v>
      </c>
      <c r="H18949">
        <v>4441</v>
      </c>
      <c r="I18949" t="s">
        <v>109</v>
      </c>
      <c r="J18949">
        <v>320</v>
      </c>
      <c r="K18949">
        <v>0</v>
      </c>
      <c r="L18949">
        <v>18972</v>
      </c>
      <c r="M18949" t="s">
        <v>163</v>
      </c>
      <c r="N18949" t="str">
        <f>"687         "</f>
        <v xml:space="preserve">687         </v>
      </c>
      <c r="O18949">
        <v>230418</v>
      </c>
    </row>
    <row r="18950" spans="1:15" x14ac:dyDescent="0.25">
      <c r="A18950" t="s">
        <v>16</v>
      </c>
      <c r="B18950" t="s">
        <v>3221</v>
      </c>
      <c r="C18950">
        <v>5287</v>
      </c>
      <c r="D18950" t="s">
        <v>3425</v>
      </c>
      <c r="E18950" t="s">
        <v>3426</v>
      </c>
      <c r="F18950">
        <v>320</v>
      </c>
      <c r="G18950">
        <v>230412</v>
      </c>
      <c r="H18950">
        <v>4441</v>
      </c>
      <c r="I18950" t="s">
        <v>109</v>
      </c>
      <c r="J18950">
        <v>320</v>
      </c>
      <c r="K18950">
        <v>0</v>
      </c>
      <c r="L18950">
        <v>18972</v>
      </c>
      <c r="M18950" t="s">
        <v>163</v>
      </c>
      <c r="N18950" t="str">
        <f>"689         "</f>
        <v xml:space="preserve">689         </v>
      </c>
      <c r="O18950">
        <v>230420</v>
      </c>
    </row>
    <row r="18951" spans="1:15" x14ac:dyDescent="0.25">
      <c r="A18951" t="s">
        <v>16</v>
      </c>
      <c r="B18951" t="s">
        <v>3221</v>
      </c>
      <c r="C18951">
        <v>5288</v>
      </c>
      <c r="D18951" t="s">
        <v>3425</v>
      </c>
      <c r="E18951" t="s">
        <v>3426</v>
      </c>
      <c r="F18951">
        <v>320</v>
      </c>
      <c r="G18951">
        <v>230412</v>
      </c>
      <c r="H18951">
        <v>4441</v>
      </c>
      <c r="I18951" t="s">
        <v>109</v>
      </c>
      <c r="J18951">
        <v>320</v>
      </c>
      <c r="K18951">
        <v>0</v>
      </c>
      <c r="L18951">
        <v>18972</v>
      </c>
      <c r="M18951" t="s">
        <v>163</v>
      </c>
      <c r="N18951" t="str">
        <f>"693         "</f>
        <v xml:space="preserve">693         </v>
      </c>
      <c r="O18951">
        <v>230420</v>
      </c>
    </row>
    <row r="18952" spans="1:15" x14ac:dyDescent="0.25">
      <c r="A18952" t="s">
        <v>16</v>
      </c>
      <c r="B18952" t="s">
        <v>3221</v>
      </c>
      <c r="C18952">
        <v>5289</v>
      </c>
      <c r="D18952" t="s">
        <v>3425</v>
      </c>
      <c r="E18952" t="s">
        <v>3426</v>
      </c>
      <c r="F18952">
        <v>320</v>
      </c>
      <c r="G18952">
        <v>230412</v>
      </c>
      <c r="H18952">
        <v>4441</v>
      </c>
      <c r="I18952" t="s">
        <v>109</v>
      </c>
      <c r="J18952">
        <v>320</v>
      </c>
      <c r="K18952">
        <v>0</v>
      </c>
      <c r="L18952">
        <v>18972</v>
      </c>
      <c r="M18952" t="s">
        <v>163</v>
      </c>
      <c r="N18952" t="str">
        <f>"690         "</f>
        <v xml:space="preserve">690         </v>
      </c>
      <c r="O18952">
        <v>230420</v>
      </c>
    </row>
    <row r="18953" spans="1:15" x14ac:dyDescent="0.25">
      <c r="A18953" t="s">
        <v>16</v>
      </c>
      <c r="B18953" t="s">
        <v>3221</v>
      </c>
      <c r="C18953">
        <v>5358</v>
      </c>
      <c r="D18953" t="s">
        <v>3425</v>
      </c>
      <c r="E18953" t="s">
        <v>3426</v>
      </c>
      <c r="F18953">
        <v>320</v>
      </c>
      <c r="G18953">
        <v>230412</v>
      </c>
      <c r="H18953">
        <v>4441</v>
      </c>
      <c r="I18953" t="s">
        <v>109</v>
      </c>
      <c r="J18953">
        <v>320</v>
      </c>
      <c r="K18953">
        <v>0</v>
      </c>
      <c r="L18953">
        <v>18972</v>
      </c>
      <c r="M18953" t="s">
        <v>163</v>
      </c>
      <c r="N18953" t="str">
        <f>"688         "</f>
        <v xml:space="preserve">688         </v>
      </c>
      <c r="O18953">
        <v>230421</v>
      </c>
    </row>
    <row r="18954" spans="1:15" x14ac:dyDescent="0.25">
      <c r="A18954" t="s">
        <v>16</v>
      </c>
      <c r="B18954" t="s">
        <v>3221</v>
      </c>
      <c r="C18954">
        <v>17063</v>
      </c>
      <c r="D18954" t="s">
        <v>3425</v>
      </c>
      <c r="E18954" t="s">
        <v>3426</v>
      </c>
      <c r="F18954">
        <v>2560</v>
      </c>
      <c r="G18954">
        <v>231128</v>
      </c>
      <c r="H18954">
        <v>4441</v>
      </c>
      <c r="I18954" t="s">
        <v>109</v>
      </c>
      <c r="J18954">
        <v>2560</v>
      </c>
      <c r="K18954">
        <v>0</v>
      </c>
      <c r="L18954">
        <v>18972</v>
      </c>
      <c r="M18954" t="s">
        <v>163</v>
      </c>
      <c r="N18954" t="str">
        <f>"804         "</f>
        <v xml:space="preserve">804         </v>
      </c>
      <c r="O18954">
        <v>231212</v>
      </c>
    </row>
    <row r="18955" spans="1:15" x14ac:dyDescent="0.25">
      <c r="A18955" t="s">
        <v>16</v>
      </c>
      <c r="B18955" t="s">
        <v>3221</v>
      </c>
      <c r="C18955">
        <v>5157</v>
      </c>
      <c r="D18955" t="s">
        <v>3425</v>
      </c>
      <c r="E18955" t="s">
        <v>3426</v>
      </c>
      <c r="F18955">
        <v>320</v>
      </c>
      <c r="G18955">
        <v>230412</v>
      </c>
      <c r="H18955">
        <v>4440</v>
      </c>
      <c r="I18955" t="s">
        <v>250</v>
      </c>
      <c r="J18955">
        <v>320</v>
      </c>
      <c r="K18955">
        <v>0</v>
      </c>
      <c r="L18955">
        <v>18972</v>
      </c>
      <c r="M18955" t="s">
        <v>163</v>
      </c>
      <c r="N18955" t="str">
        <f>"694         "</f>
        <v xml:space="preserve">694         </v>
      </c>
      <c r="O18955">
        <v>230418</v>
      </c>
    </row>
    <row r="18956" spans="1:15" x14ac:dyDescent="0.25">
      <c r="A18956" t="s">
        <v>16</v>
      </c>
      <c r="B18956" t="s">
        <v>3221</v>
      </c>
      <c r="C18956">
        <v>9112</v>
      </c>
      <c r="D18956" t="s">
        <v>1522</v>
      </c>
      <c r="E18956" t="s">
        <v>1523</v>
      </c>
      <c r="F18956">
        <v>-18.510000000000002</v>
      </c>
      <c r="G18956">
        <v>230531</v>
      </c>
      <c r="H18956">
        <v>4520</v>
      </c>
      <c r="I18956" t="s">
        <v>254</v>
      </c>
      <c r="J18956">
        <v>-22.95</v>
      </c>
      <c r="K18956">
        <v>-4.4400000000000004</v>
      </c>
      <c r="L18956">
        <v>14432</v>
      </c>
      <c r="M18956" t="s">
        <v>862</v>
      </c>
      <c r="N18956" t="str">
        <f>"1949343     "</f>
        <v xml:space="preserve">1949343     </v>
      </c>
      <c r="O18956">
        <v>230627</v>
      </c>
    </row>
    <row r="18957" spans="1:15" x14ac:dyDescent="0.25">
      <c r="A18957" t="s">
        <v>16</v>
      </c>
      <c r="B18957" t="s">
        <v>3221</v>
      </c>
      <c r="C18957">
        <v>14910</v>
      </c>
      <c r="D18957" t="s">
        <v>1522</v>
      </c>
      <c r="E18957" t="s">
        <v>1523</v>
      </c>
      <c r="F18957">
        <v>-16.690000000000001</v>
      </c>
      <c r="G18957">
        <v>231015</v>
      </c>
      <c r="H18957">
        <v>4520</v>
      </c>
      <c r="I18957" t="s">
        <v>254</v>
      </c>
      <c r="J18957">
        <v>-20.7</v>
      </c>
      <c r="K18957">
        <v>-4.01</v>
      </c>
      <c r="L18957">
        <v>14432</v>
      </c>
      <c r="M18957" t="s">
        <v>862</v>
      </c>
      <c r="N18957" t="str">
        <f>"2019115     "</f>
        <v xml:space="preserve">2019115     </v>
      </c>
      <c r="O18957">
        <v>231107</v>
      </c>
    </row>
    <row r="18958" spans="1:15" x14ac:dyDescent="0.25">
      <c r="A18958" t="s">
        <v>16</v>
      </c>
      <c r="B18958" t="s">
        <v>3221</v>
      </c>
      <c r="C18958">
        <v>16157</v>
      </c>
      <c r="D18958" t="s">
        <v>1522</v>
      </c>
      <c r="E18958" t="s">
        <v>1523</v>
      </c>
      <c r="F18958">
        <v>-21.13</v>
      </c>
      <c r="G18958">
        <v>231031</v>
      </c>
      <c r="H18958">
        <v>4520</v>
      </c>
      <c r="I18958" t="s">
        <v>254</v>
      </c>
      <c r="J18958">
        <v>-26.2</v>
      </c>
      <c r="K18958">
        <v>-5.07</v>
      </c>
      <c r="L18958">
        <v>14432</v>
      </c>
      <c r="M18958" t="s">
        <v>862</v>
      </c>
      <c r="N18958" t="str">
        <f>"2024510     "</f>
        <v xml:space="preserve">2024510     </v>
      </c>
      <c r="O18958">
        <v>231123</v>
      </c>
    </row>
    <row r="18959" spans="1:15" x14ac:dyDescent="0.25">
      <c r="A18959" t="s">
        <v>16</v>
      </c>
      <c r="B18959" t="s">
        <v>3221</v>
      </c>
      <c r="C18959">
        <v>3170</v>
      </c>
      <c r="D18959" t="s">
        <v>1522</v>
      </c>
      <c r="E18959" t="s">
        <v>1523</v>
      </c>
      <c r="F18959">
        <v>-41.77</v>
      </c>
      <c r="G18959">
        <v>230215</v>
      </c>
      <c r="H18959">
        <v>4600</v>
      </c>
      <c r="I18959" t="s">
        <v>105</v>
      </c>
      <c r="J18959">
        <v>-51.8</v>
      </c>
      <c r="K18959">
        <v>-10.029999999999999</v>
      </c>
      <c r="L18959">
        <v>54451</v>
      </c>
      <c r="M18959" t="s">
        <v>158</v>
      </c>
      <c r="N18959" t="str">
        <f>"1903248     "</f>
        <v xml:space="preserve">1903248     </v>
      </c>
      <c r="O18959">
        <v>230310</v>
      </c>
    </row>
    <row r="18960" spans="1:15" x14ac:dyDescent="0.25">
      <c r="A18960" t="s">
        <v>16</v>
      </c>
      <c r="B18960" t="s">
        <v>3221</v>
      </c>
      <c r="C18960">
        <v>13455</v>
      </c>
      <c r="D18960" t="s">
        <v>1522</v>
      </c>
      <c r="E18960" t="s">
        <v>1523</v>
      </c>
      <c r="F18960">
        <v>-18.95</v>
      </c>
      <c r="G18960">
        <v>230915</v>
      </c>
      <c r="H18960">
        <v>4600</v>
      </c>
      <c r="I18960" t="s">
        <v>105</v>
      </c>
      <c r="J18960">
        <v>-23.5</v>
      </c>
      <c r="K18960">
        <v>-4.55</v>
      </c>
      <c r="L18960">
        <v>54451</v>
      </c>
      <c r="M18960" t="s">
        <v>158</v>
      </c>
      <c r="N18960" t="str">
        <f>"2001135     "</f>
        <v xml:space="preserve">2001135     </v>
      </c>
      <c r="O18960">
        <v>231010</v>
      </c>
    </row>
    <row r="18961" spans="1:15" x14ac:dyDescent="0.25">
      <c r="A18961" t="s">
        <v>16</v>
      </c>
      <c r="B18961" t="s">
        <v>3221</v>
      </c>
      <c r="C18961">
        <v>13287</v>
      </c>
      <c r="D18961" t="s">
        <v>2656</v>
      </c>
      <c r="E18961" t="s">
        <v>2657</v>
      </c>
      <c r="F18961">
        <v>120</v>
      </c>
      <c r="G18961">
        <v>231006</v>
      </c>
      <c r="H18961">
        <v>4346</v>
      </c>
      <c r="I18961" t="s">
        <v>197</v>
      </c>
      <c r="J18961">
        <v>148.80000000000001</v>
      </c>
      <c r="K18961">
        <v>28.8</v>
      </c>
      <c r="L18961">
        <v>17131</v>
      </c>
      <c r="M18961" t="s">
        <v>64</v>
      </c>
      <c r="N18961" t="str">
        <f>"02591/23    "</f>
        <v xml:space="preserve">02591/23    </v>
      </c>
      <c r="O18961">
        <v>231009</v>
      </c>
    </row>
    <row r="18962" spans="1:15" x14ac:dyDescent="0.25">
      <c r="A18962" t="s">
        <v>16</v>
      </c>
      <c r="B18962" t="s">
        <v>3221</v>
      </c>
      <c r="C18962">
        <v>13287</v>
      </c>
      <c r="D18962" t="s">
        <v>2656</v>
      </c>
      <c r="E18962" t="s">
        <v>2657</v>
      </c>
      <c r="F18962">
        <v>120</v>
      </c>
      <c r="G18962">
        <v>231006</v>
      </c>
      <c r="H18962">
        <v>4346</v>
      </c>
      <c r="I18962" t="s">
        <v>197</v>
      </c>
      <c r="J18962">
        <v>148.80000000000001</v>
      </c>
      <c r="K18962">
        <v>28.8</v>
      </c>
      <c r="L18962">
        <v>17711</v>
      </c>
      <c r="M18962" t="s">
        <v>65</v>
      </c>
      <c r="N18962" t="str">
        <f>"02591/23    "</f>
        <v xml:space="preserve">02591/23    </v>
      </c>
      <c r="O18962">
        <v>231009</v>
      </c>
    </row>
    <row r="18963" spans="1:15" x14ac:dyDescent="0.25">
      <c r="A18963" t="s">
        <v>16</v>
      </c>
      <c r="B18963" t="s">
        <v>3221</v>
      </c>
      <c r="C18963">
        <v>13287</v>
      </c>
      <c r="D18963" t="s">
        <v>2656</v>
      </c>
      <c r="E18963" t="s">
        <v>2657</v>
      </c>
      <c r="F18963">
        <v>74</v>
      </c>
      <c r="G18963">
        <v>231006</v>
      </c>
      <c r="H18963">
        <v>4420</v>
      </c>
      <c r="I18963" t="s">
        <v>132</v>
      </c>
      <c r="J18963">
        <v>91.76</v>
      </c>
      <c r="K18963">
        <v>17.760000000000002</v>
      </c>
      <c r="L18963">
        <v>17131</v>
      </c>
      <c r="M18963" t="s">
        <v>64</v>
      </c>
      <c r="N18963" t="str">
        <f>"02591/23    "</f>
        <v xml:space="preserve">02591/23    </v>
      </c>
      <c r="O18963">
        <v>231009</v>
      </c>
    </row>
    <row r="18964" spans="1:15" x14ac:dyDescent="0.25">
      <c r="A18964" t="s">
        <v>16</v>
      </c>
      <c r="B18964" t="s">
        <v>3221</v>
      </c>
      <c r="C18964">
        <v>13287</v>
      </c>
      <c r="D18964" t="s">
        <v>2656</v>
      </c>
      <c r="E18964" t="s">
        <v>2657</v>
      </c>
      <c r="F18964">
        <v>74</v>
      </c>
      <c r="G18964">
        <v>231006</v>
      </c>
      <c r="H18964">
        <v>4420</v>
      </c>
      <c r="I18964" t="s">
        <v>132</v>
      </c>
      <c r="J18964">
        <v>91.76</v>
      </c>
      <c r="K18964">
        <v>17.760000000000002</v>
      </c>
      <c r="L18964">
        <v>17711</v>
      </c>
      <c r="M18964" t="s">
        <v>65</v>
      </c>
      <c r="N18964" t="str">
        <f>"02591/23    "</f>
        <v xml:space="preserve">02591/23    </v>
      </c>
      <c r="O18964">
        <v>231009</v>
      </c>
    </row>
    <row r="18965" spans="1:15" x14ac:dyDescent="0.25">
      <c r="A18965" t="s">
        <v>16</v>
      </c>
      <c r="B18965" t="s">
        <v>3221</v>
      </c>
      <c r="C18965">
        <v>12781</v>
      </c>
      <c r="D18965" t="s">
        <v>2603</v>
      </c>
      <c r="E18965" t="s">
        <v>2604</v>
      </c>
      <c r="F18965">
        <v>75</v>
      </c>
      <c r="G18965">
        <v>230924</v>
      </c>
      <c r="H18965">
        <v>4441</v>
      </c>
      <c r="I18965" t="s">
        <v>109</v>
      </c>
      <c r="J18965">
        <v>75</v>
      </c>
      <c r="K18965">
        <v>0</v>
      </c>
      <c r="L18965">
        <v>13401</v>
      </c>
      <c r="M18965" t="s">
        <v>80</v>
      </c>
      <c r="N18965" t="str">
        <f>"6000826     "</f>
        <v xml:space="preserve">6000826     </v>
      </c>
      <c r="O18965">
        <v>230926</v>
      </c>
    </row>
    <row r="18966" spans="1:15" x14ac:dyDescent="0.25">
      <c r="A18966" t="s">
        <v>16</v>
      </c>
      <c r="B18966" t="s">
        <v>3221</v>
      </c>
      <c r="C18966">
        <v>12781</v>
      </c>
      <c r="D18966" t="s">
        <v>2603</v>
      </c>
      <c r="E18966" t="s">
        <v>2604</v>
      </c>
      <c r="F18966">
        <v>75</v>
      </c>
      <c r="G18966">
        <v>230924</v>
      </c>
      <c r="H18966">
        <v>4441</v>
      </c>
      <c r="I18966" t="s">
        <v>109</v>
      </c>
      <c r="J18966">
        <v>75</v>
      </c>
      <c r="K18966">
        <v>0</v>
      </c>
      <c r="L18966">
        <v>13501</v>
      </c>
      <c r="M18966" t="s">
        <v>20</v>
      </c>
      <c r="N18966" t="str">
        <f>"6000826     "</f>
        <v xml:space="preserve">6000826     </v>
      </c>
      <c r="O18966">
        <v>230926</v>
      </c>
    </row>
    <row r="18967" spans="1:15" x14ac:dyDescent="0.25">
      <c r="A18967" t="s">
        <v>16</v>
      </c>
      <c r="B18967" t="s">
        <v>3221</v>
      </c>
      <c r="C18967">
        <v>17704</v>
      </c>
      <c r="D18967" t="s">
        <v>2603</v>
      </c>
      <c r="E18967" t="s">
        <v>2604</v>
      </c>
      <c r="F18967">
        <v>895</v>
      </c>
      <c r="G18967">
        <v>231208</v>
      </c>
      <c r="H18967">
        <v>4440</v>
      </c>
      <c r="I18967" t="s">
        <v>250</v>
      </c>
      <c r="J18967">
        <v>1109.8</v>
      </c>
      <c r="K18967">
        <v>214.8</v>
      </c>
      <c r="L18967">
        <v>56562</v>
      </c>
      <c r="M18967" t="s">
        <v>126</v>
      </c>
      <c r="N18967" t="str">
        <f>"9423        "</f>
        <v xml:space="preserve">9423        </v>
      </c>
      <c r="O18967">
        <v>231221</v>
      </c>
    </row>
    <row r="18968" spans="1:15" x14ac:dyDescent="0.25">
      <c r="A18968" t="s">
        <v>16</v>
      </c>
      <c r="B18968" t="s">
        <v>3221</v>
      </c>
      <c r="C18968">
        <v>12241</v>
      </c>
      <c r="D18968" t="s">
        <v>3703</v>
      </c>
      <c r="E18968" t="s">
        <v>3338</v>
      </c>
      <c r="F18968">
        <v>18.14</v>
      </c>
      <c r="G18968">
        <v>230904</v>
      </c>
      <c r="H18968">
        <v>4510</v>
      </c>
      <c r="I18968" t="s">
        <v>42</v>
      </c>
      <c r="J18968">
        <v>19.95</v>
      </c>
      <c r="K18968">
        <v>1.81</v>
      </c>
      <c r="L18968">
        <v>46559</v>
      </c>
      <c r="M18968" t="s">
        <v>1104</v>
      </c>
      <c r="N18968" t="str">
        <f>"50336606    "</f>
        <v xml:space="preserve">50336606    </v>
      </c>
      <c r="O18968">
        <v>230918</v>
      </c>
    </row>
    <row r="18969" spans="1:15" x14ac:dyDescent="0.25">
      <c r="A18969" t="s">
        <v>16</v>
      </c>
      <c r="B18969" t="s">
        <v>3221</v>
      </c>
      <c r="C18969">
        <v>15612</v>
      </c>
      <c r="D18969" t="s">
        <v>3703</v>
      </c>
      <c r="E18969" t="s">
        <v>3338</v>
      </c>
      <c r="F18969">
        <v>31.76</v>
      </c>
      <c r="G18969">
        <v>231103</v>
      </c>
      <c r="H18969">
        <v>4510</v>
      </c>
      <c r="I18969" t="s">
        <v>42</v>
      </c>
      <c r="J18969">
        <v>34.94</v>
      </c>
      <c r="K18969">
        <v>3.18</v>
      </c>
      <c r="L18969">
        <v>46554</v>
      </c>
      <c r="M18969" t="s">
        <v>117</v>
      </c>
      <c r="N18969" t="str">
        <f>"50338764    "</f>
        <v xml:space="preserve">50338764    </v>
      </c>
      <c r="O18969">
        <v>231114</v>
      </c>
    </row>
    <row r="18970" spans="1:15" x14ac:dyDescent="0.25">
      <c r="A18970" t="s">
        <v>16</v>
      </c>
      <c r="B18970" t="s">
        <v>3221</v>
      </c>
      <c r="C18970">
        <v>1181</v>
      </c>
      <c r="D18970" t="s">
        <v>3703</v>
      </c>
      <c r="E18970" t="s">
        <v>3338</v>
      </c>
      <c r="F18970">
        <v>19.350000000000001</v>
      </c>
      <c r="G18970">
        <v>230131</v>
      </c>
      <c r="H18970">
        <v>4600</v>
      </c>
      <c r="I18970" t="s">
        <v>105</v>
      </c>
      <c r="J18970">
        <v>24</v>
      </c>
      <c r="K18970">
        <v>4.6500000000000004</v>
      </c>
      <c r="L18970">
        <v>17633</v>
      </c>
      <c r="M18970" t="s">
        <v>724</v>
      </c>
      <c r="N18970" t="str">
        <f>"50329621    "</f>
        <v xml:space="preserve">50329621    </v>
      </c>
      <c r="O18970">
        <v>230206</v>
      </c>
    </row>
    <row r="18971" spans="1:15" x14ac:dyDescent="0.25">
      <c r="A18971" t="s">
        <v>16</v>
      </c>
      <c r="B18971" t="s">
        <v>3221</v>
      </c>
      <c r="C18971">
        <v>2858</v>
      </c>
      <c r="D18971" t="s">
        <v>3703</v>
      </c>
      <c r="E18971" t="s">
        <v>3338</v>
      </c>
      <c r="F18971">
        <v>59.93</v>
      </c>
      <c r="G18971">
        <v>230223</v>
      </c>
      <c r="H18971">
        <v>4600</v>
      </c>
      <c r="I18971" t="s">
        <v>105</v>
      </c>
      <c r="J18971">
        <v>74.31</v>
      </c>
      <c r="K18971">
        <v>14.38</v>
      </c>
      <c r="L18971">
        <v>17527</v>
      </c>
      <c r="M18971" t="s">
        <v>422</v>
      </c>
      <c r="N18971" t="str">
        <f>"50330220    "</f>
        <v xml:space="preserve">50330220    </v>
      </c>
      <c r="O18971">
        <v>230308</v>
      </c>
    </row>
    <row r="18972" spans="1:15" x14ac:dyDescent="0.25">
      <c r="A18972" t="s">
        <v>16</v>
      </c>
      <c r="B18972" t="s">
        <v>3221</v>
      </c>
      <c r="C18972">
        <v>2858</v>
      </c>
      <c r="D18972" t="s">
        <v>3703</v>
      </c>
      <c r="E18972" t="s">
        <v>3338</v>
      </c>
      <c r="F18972">
        <v>89.88</v>
      </c>
      <c r="G18972">
        <v>230223</v>
      </c>
      <c r="H18972">
        <v>4600</v>
      </c>
      <c r="I18972" t="s">
        <v>105</v>
      </c>
      <c r="J18972">
        <v>111.45</v>
      </c>
      <c r="K18972">
        <v>21.57</v>
      </c>
      <c r="L18972">
        <v>17633</v>
      </c>
      <c r="M18972" t="s">
        <v>724</v>
      </c>
      <c r="N18972" t="str">
        <f>"50330220    "</f>
        <v xml:space="preserve">50330220    </v>
      </c>
      <c r="O18972">
        <v>230308</v>
      </c>
    </row>
    <row r="18973" spans="1:15" x14ac:dyDescent="0.25">
      <c r="A18973" t="s">
        <v>16</v>
      </c>
      <c r="B18973" t="s">
        <v>3221</v>
      </c>
      <c r="C18973">
        <v>11074</v>
      </c>
      <c r="D18973" t="s">
        <v>3703</v>
      </c>
      <c r="E18973" t="s">
        <v>3338</v>
      </c>
      <c r="F18973">
        <v>275</v>
      </c>
      <c r="G18973">
        <v>230823</v>
      </c>
      <c r="H18973">
        <v>4600</v>
      </c>
      <c r="I18973" t="s">
        <v>105</v>
      </c>
      <c r="J18973">
        <v>341</v>
      </c>
      <c r="K18973">
        <v>66</v>
      </c>
      <c r="L18973">
        <v>17809</v>
      </c>
      <c r="M18973" t="s">
        <v>376</v>
      </c>
      <c r="N18973" t="str">
        <f>"50335753    "</f>
        <v xml:space="preserve">50335753    </v>
      </c>
      <c r="O18973">
        <v>230830</v>
      </c>
    </row>
    <row r="18974" spans="1:15" x14ac:dyDescent="0.25">
      <c r="A18974" t="s">
        <v>16</v>
      </c>
      <c r="B18974" t="s">
        <v>3221</v>
      </c>
      <c r="C18974">
        <v>14990</v>
      </c>
      <c r="D18974" t="s">
        <v>3703</v>
      </c>
      <c r="E18974" t="s">
        <v>3338</v>
      </c>
      <c r="F18974">
        <v>25.6</v>
      </c>
      <c r="G18974">
        <v>231031</v>
      </c>
      <c r="H18974">
        <v>4600</v>
      </c>
      <c r="I18974" t="s">
        <v>105</v>
      </c>
      <c r="J18974">
        <v>31.75</v>
      </c>
      <c r="K18974">
        <v>6.15</v>
      </c>
      <c r="L18974">
        <v>56566</v>
      </c>
      <c r="M18974" t="s">
        <v>652</v>
      </c>
      <c r="N18974" t="str">
        <f>"50338684    "</f>
        <v xml:space="preserve">50338684    </v>
      </c>
      <c r="O18974">
        <v>231107</v>
      </c>
    </row>
    <row r="18975" spans="1:15" x14ac:dyDescent="0.25">
      <c r="A18975" t="s">
        <v>16</v>
      </c>
      <c r="B18975" t="s">
        <v>3221</v>
      </c>
      <c r="C18975">
        <v>15805</v>
      </c>
      <c r="D18975" t="s">
        <v>3703</v>
      </c>
      <c r="E18975" t="s">
        <v>3338</v>
      </c>
      <c r="F18975">
        <v>144.4</v>
      </c>
      <c r="G18975">
        <v>231031</v>
      </c>
      <c r="H18975">
        <v>4600</v>
      </c>
      <c r="I18975" t="s">
        <v>105</v>
      </c>
      <c r="J18975">
        <v>179.06</v>
      </c>
      <c r="K18975">
        <v>34.659999999999997</v>
      </c>
      <c r="L18975">
        <v>46567</v>
      </c>
      <c r="M18975" t="s">
        <v>3564</v>
      </c>
      <c r="N18975" t="str">
        <f>"50338702    "</f>
        <v xml:space="preserve">50338702    </v>
      </c>
      <c r="O18975">
        <v>231120</v>
      </c>
    </row>
    <row r="18976" spans="1:15" x14ac:dyDescent="0.25">
      <c r="A18976" t="s">
        <v>16</v>
      </c>
      <c r="B18976" t="s">
        <v>3221</v>
      </c>
      <c r="C18976">
        <v>16270</v>
      </c>
      <c r="D18976" t="s">
        <v>3703</v>
      </c>
      <c r="E18976" t="s">
        <v>3338</v>
      </c>
      <c r="F18976">
        <v>25.6</v>
      </c>
      <c r="G18976">
        <v>231123</v>
      </c>
      <c r="H18976">
        <v>4600</v>
      </c>
      <c r="I18976" t="s">
        <v>105</v>
      </c>
      <c r="J18976">
        <v>31.75</v>
      </c>
      <c r="K18976">
        <v>6.15</v>
      </c>
      <c r="L18976">
        <v>17808</v>
      </c>
      <c r="M18976" t="s">
        <v>322</v>
      </c>
      <c r="N18976" t="str">
        <f>"50339367    "</f>
        <v xml:space="preserve">50339367    </v>
      </c>
      <c r="O18976">
        <v>231127</v>
      </c>
    </row>
    <row r="18977" spans="1:15" x14ac:dyDescent="0.25">
      <c r="A18977" t="s">
        <v>16</v>
      </c>
      <c r="B18977" t="s">
        <v>3221</v>
      </c>
      <c r="C18977">
        <v>17487</v>
      </c>
      <c r="D18977" t="s">
        <v>3703</v>
      </c>
      <c r="E18977" t="s">
        <v>3338</v>
      </c>
      <c r="F18977">
        <v>45.4</v>
      </c>
      <c r="G18977">
        <v>231130</v>
      </c>
      <c r="H18977">
        <v>4600</v>
      </c>
      <c r="I18977" t="s">
        <v>105</v>
      </c>
      <c r="J18977">
        <v>56.3</v>
      </c>
      <c r="K18977">
        <v>10.9</v>
      </c>
      <c r="L18977">
        <v>56566</v>
      </c>
      <c r="M18977" t="s">
        <v>652</v>
      </c>
      <c r="N18977" t="str">
        <f>"50339838    "</f>
        <v xml:space="preserve">50339838    </v>
      </c>
      <c r="O18977">
        <v>231214</v>
      </c>
    </row>
    <row r="18978" spans="1:15" x14ac:dyDescent="0.25">
      <c r="A18978" t="s">
        <v>16</v>
      </c>
      <c r="B18978" t="s">
        <v>3221</v>
      </c>
      <c r="C18978">
        <v>17488</v>
      </c>
      <c r="D18978" t="s">
        <v>3703</v>
      </c>
      <c r="E18978" t="s">
        <v>3338</v>
      </c>
      <c r="F18978">
        <v>85.01</v>
      </c>
      <c r="G18978">
        <v>231130</v>
      </c>
      <c r="H18978">
        <v>4600</v>
      </c>
      <c r="I18978" t="s">
        <v>105</v>
      </c>
      <c r="J18978">
        <v>105.41</v>
      </c>
      <c r="K18978">
        <v>20.399999999999999</v>
      </c>
      <c r="L18978">
        <v>56566</v>
      </c>
      <c r="M18978" t="s">
        <v>652</v>
      </c>
      <c r="N18978" t="str">
        <f>"50339837    "</f>
        <v xml:space="preserve">50339837    </v>
      </c>
      <c r="O18978">
        <v>231214</v>
      </c>
    </row>
    <row r="18979" spans="1:15" x14ac:dyDescent="0.25">
      <c r="A18979" t="s">
        <v>16</v>
      </c>
      <c r="B18979" t="s">
        <v>3221</v>
      </c>
      <c r="C18979">
        <v>17489</v>
      </c>
      <c r="D18979" t="s">
        <v>3703</v>
      </c>
      <c r="E18979" t="s">
        <v>3338</v>
      </c>
      <c r="F18979">
        <v>65.209999999999994</v>
      </c>
      <c r="G18979">
        <v>231130</v>
      </c>
      <c r="H18979">
        <v>4600</v>
      </c>
      <c r="I18979" t="s">
        <v>105</v>
      </c>
      <c r="J18979">
        <v>80.86</v>
      </c>
      <c r="K18979">
        <v>15.65</v>
      </c>
      <c r="L18979">
        <v>56566</v>
      </c>
      <c r="M18979" t="s">
        <v>652</v>
      </c>
      <c r="N18979" t="str">
        <f>"50339839    "</f>
        <v xml:space="preserve">50339839    </v>
      </c>
      <c r="O18979">
        <v>231214</v>
      </c>
    </row>
    <row r="18980" spans="1:15" x14ac:dyDescent="0.25">
      <c r="A18980" t="s">
        <v>16</v>
      </c>
      <c r="B18980" t="s">
        <v>3221</v>
      </c>
      <c r="C18980">
        <v>17555</v>
      </c>
      <c r="D18980" t="s">
        <v>3703</v>
      </c>
      <c r="E18980" t="s">
        <v>3338</v>
      </c>
      <c r="F18980">
        <v>10.68</v>
      </c>
      <c r="G18980">
        <v>231213</v>
      </c>
      <c r="H18980">
        <v>4600</v>
      </c>
      <c r="I18980" t="s">
        <v>105</v>
      </c>
      <c r="J18980">
        <v>13.24</v>
      </c>
      <c r="K18980">
        <v>2.56</v>
      </c>
      <c r="L18980">
        <v>17802</v>
      </c>
      <c r="M18980" t="s">
        <v>174</v>
      </c>
      <c r="N18980" t="str">
        <f>"50340067    "</f>
        <v xml:space="preserve">50340067    </v>
      </c>
      <c r="O18980">
        <v>231215</v>
      </c>
    </row>
    <row r="18981" spans="1:15" x14ac:dyDescent="0.25">
      <c r="A18981" t="s">
        <v>16</v>
      </c>
      <c r="B18981" t="s">
        <v>3221</v>
      </c>
      <c r="C18981">
        <v>17557</v>
      </c>
      <c r="D18981" t="s">
        <v>3703</v>
      </c>
      <c r="E18981" t="s">
        <v>3338</v>
      </c>
      <c r="F18981">
        <v>36.18</v>
      </c>
      <c r="G18981">
        <v>231213</v>
      </c>
      <c r="H18981">
        <v>4600</v>
      </c>
      <c r="I18981" t="s">
        <v>105</v>
      </c>
      <c r="J18981">
        <v>44.86</v>
      </c>
      <c r="K18981">
        <v>8.68</v>
      </c>
      <c r="L18981">
        <v>17808</v>
      </c>
      <c r="M18981" t="s">
        <v>322</v>
      </c>
      <c r="N18981" t="str">
        <f>"50340066    "</f>
        <v xml:space="preserve">50340066    </v>
      </c>
      <c r="O18981">
        <v>231215</v>
      </c>
    </row>
    <row r="18982" spans="1:15" x14ac:dyDescent="0.25">
      <c r="A18982" t="s">
        <v>16</v>
      </c>
      <c r="B18982" t="s">
        <v>3221</v>
      </c>
      <c r="C18982">
        <v>4948</v>
      </c>
      <c r="D18982" t="s">
        <v>3703</v>
      </c>
      <c r="E18982" t="s">
        <v>3338</v>
      </c>
      <c r="F18982">
        <v>59.81</v>
      </c>
      <c r="G18982">
        <v>230413</v>
      </c>
      <c r="H18982">
        <v>4940</v>
      </c>
      <c r="I18982" t="s">
        <v>514</v>
      </c>
      <c r="J18982">
        <v>74.16</v>
      </c>
      <c r="K18982">
        <v>14.35</v>
      </c>
      <c r="L18982">
        <v>56566</v>
      </c>
      <c r="M18982" t="s">
        <v>652</v>
      </c>
      <c r="N18982" t="str">
        <f>"50332021    "</f>
        <v xml:space="preserve">50332021    </v>
      </c>
      <c r="O18982">
        <v>230414</v>
      </c>
    </row>
    <row r="18983" spans="1:15" x14ac:dyDescent="0.25">
      <c r="A18983" t="s">
        <v>16</v>
      </c>
      <c r="B18983" t="s">
        <v>3221</v>
      </c>
      <c r="C18983">
        <v>634</v>
      </c>
      <c r="D18983" t="s">
        <v>3703</v>
      </c>
      <c r="E18983" t="s">
        <v>3338</v>
      </c>
      <c r="F18983">
        <v>77.81</v>
      </c>
      <c r="G18983">
        <v>230119</v>
      </c>
      <c r="H18983">
        <v>4470</v>
      </c>
      <c r="I18983" t="s">
        <v>83</v>
      </c>
      <c r="J18983">
        <v>96.48</v>
      </c>
      <c r="K18983">
        <v>18.670000000000002</v>
      </c>
      <c r="L18983">
        <v>56524</v>
      </c>
      <c r="M18983" t="s">
        <v>150</v>
      </c>
      <c r="N18983" t="str">
        <f>"50329063    "</f>
        <v xml:space="preserve">50329063    </v>
      </c>
      <c r="O18983">
        <v>230125</v>
      </c>
    </row>
    <row r="18984" spans="1:15" x14ac:dyDescent="0.25">
      <c r="A18984" t="s">
        <v>16</v>
      </c>
      <c r="B18984" t="s">
        <v>3221</v>
      </c>
      <c r="C18984">
        <v>708</v>
      </c>
      <c r="D18984" t="s">
        <v>3703</v>
      </c>
      <c r="E18984" t="s">
        <v>3338</v>
      </c>
      <c r="F18984">
        <v>59.81</v>
      </c>
      <c r="G18984">
        <v>230126</v>
      </c>
      <c r="H18984">
        <v>4470</v>
      </c>
      <c r="I18984" t="s">
        <v>83</v>
      </c>
      <c r="J18984">
        <v>74.16</v>
      </c>
      <c r="K18984">
        <v>14.35</v>
      </c>
      <c r="L18984">
        <v>56566</v>
      </c>
      <c r="M18984" t="s">
        <v>652</v>
      </c>
      <c r="N18984" t="str">
        <f>"50329272    "</f>
        <v xml:space="preserve">50329272    </v>
      </c>
      <c r="O18984">
        <v>230127</v>
      </c>
    </row>
    <row r="18985" spans="1:15" x14ac:dyDescent="0.25">
      <c r="A18985" t="s">
        <v>16</v>
      </c>
      <c r="B18985" t="s">
        <v>3221</v>
      </c>
      <c r="C18985">
        <v>709</v>
      </c>
      <c r="D18985" t="s">
        <v>3703</v>
      </c>
      <c r="E18985" t="s">
        <v>3338</v>
      </c>
      <c r="F18985">
        <v>167.81</v>
      </c>
      <c r="G18985">
        <v>230126</v>
      </c>
      <c r="H18985">
        <v>4470</v>
      </c>
      <c r="I18985" t="s">
        <v>83</v>
      </c>
      <c r="J18985">
        <v>208.08</v>
      </c>
      <c r="K18985">
        <v>40.270000000000003</v>
      </c>
      <c r="L18985">
        <v>56572</v>
      </c>
      <c r="M18985" t="s">
        <v>3339</v>
      </c>
      <c r="N18985" t="str">
        <f>"50329271    "</f>
        <v xml:space="preserve">50329271    </v>
      </c>
      <c r="O18985">
        <v>230127</v>
      </c>
    </row>
    <row r="18986" spans="1:15" x14ac:dyDescent="0.25">
      <c r="A18986" t="s">
        <v>16</v>
      </c>
      <c r="B18986" t="s">
        <v>3221</v>
      </c>
      <c r="C18986">
        <v>3673</v>
      </c>
      <c r="D18986" t="s">
        <v>3703</v>
      </c>
      <c r="E18986" t="s">
        <v>3338</v>
      </c>
      <c r="F18986">
        <v>239.81</v>
      </c>
      <c r="G18986">
        <v>230301</v>
      </c>
      <c r="H18986">
        <v>4470</v>
      </c>
      <c r="I18986" t="s">
        <v>83</v>
      </c>
      <c r="J18986">
        <v>297.36</v>
      </c>
      <c r="K18986">
        <v>57.55</v>
      </c>
      <c r="L18986">
        <v>56566</v>
      </c>
      <c r="M18986" t="s">
        <v>652</v>
      </c>
      <c r="N18986" t="str">
        <f>"50330520    "</f>
        <v xml:space="preserve">50330520    </v>
      </c>
      <c r="O18986">
        <v>230321</v>
      </c>
    </row>
    <row r="18987" spans="1:15" x14ac:dyDescent="0.25">
      <c r="A18987" t="s">
        <v>16</v>
      </c>
      <c r="B18987" t="s">
        <v>3221</v>
      </c>
      <c r="C18987">
        <v>11078</v>
      </c>
      <c r="D18987" t="s">
        <v>3703</v>
      </c>
      <c r="E18987" t="s">
        <v>3338</v>
      </c>
      <c r="F18987">
        <v>275</v>
      </c>
      <c r="G18987">
        <v>230824</v>
      </c>
      <c r="H18987">
        <v>4470</v>
      </c>
      <c r="I18987" t="s">
        <v>83</v>
      </c>
      <c r="J18987">
        <v>341</v>
      </c>
      <c r="K18987">
        <v>66</v>
      </c>
      <c r="L18987">
        <v>66756</v>
      </c>
      <c r="M18987" t="s">
        <v>209</v>
      </c>
      <c r="N18987" t="str">
        <f>"50335861    "</f>
        <v xml:space="preserve">50335861    </v>
      </c>
      <c r="O18987">
        <v>230830</v>
      </c>
    </row>
    <row r="18988" spans="1:15" x14ac:dyDescent="0.25">
      <c r="A18988" t="s">
        <v>16</v>
      </c>
      <c r="B18988" t="s">
        <v>3221</v>
      </c>
      <c r="C18988">
        <v>11080</v>
      </c>
      <c r="D18988" t="s">
        <v>3703</v>
      </c>
      <c r="E18988" t="s">
        <v>3338</v>
      </c>
      <c r="F18988">
        <v>275</v>
      </c>
      <c r="G18988">
        <v>230824</v>
      </c>
      <c r="H18988">
        <v>4470</v>
      </c>
      <c r="I18988" t="s">
        <v>83</v>
      </c>
      <c r="J18988">
        <v>341</v>
      </c>
      <c r="K18988">
        <v>66</v>
      </c>
      <c r="L18988">
        <v>46554</v>
      </c>
      <c r="M18988" t="s">
        <v>117</v>
      </c>
      <c r="N18988" t="str">
        <f>"50336262    "</f>
        <v xml:space="preserve">50336262    </v>
      </c>
      <c r="O18988">
        <v>230830</v>
      </c>
    </row>
    <row r="18989" spans="1:15" x14ac:dyDescent="0.25">
      <c r="A18989" t="s">
        <v>16</v>
      </c>
      <c r="B18989" t="s">
        <v>3221</v>
      </c>
      <c r="C18989">
        <v>14310</v>
      </c>
      <c r="D18989" t="s">
        <v>3703</v>
      </c>
      <c r="E18989" t="s">
        <v>3338</v>
      </c>
      <c r="F18989">
        <v>283.01</v>
      </c>
      <c r="G18989">
        <v>231012</v>
      </c>
      <c r="H18989">
        <v>4470</v>
      </c>
      <c r="I18989" t="s">
        <v>83</v>
      </c>
      <c r="J18989">
        <v>350.93</v>
      </c>
      <c r="K18989">
        <v>67.92</v>
      </c>
      <c r="L18989">
        <v>56566</v>
      </c>
      <c r="M18989" t="s">
        <v>652</v>
      </c>
      <c r="N18989" t="str">
        <f>"50337979    "</f>
        <v xml:space="preserve">50337979    </v>
      </c>
      <c r="O18989">
        <v>231026</v>
      </c>
    </row>
    <row r="18990" spans="1:15" x14ac:dyDescent="0.25">
      <c r="A18990" t="s">
        <v>16</v>
      </c>
      <c r="B18990" t="s">
        <v>3221</v>
      </c>
      <c r="C18990">
        <v>11129</v>
      </c>
      <c r="D18990" t="s">
        <v>3703</v>
      </c>
      <c r="E18990" t="s">
        <v>3338</v>
      </c>
      <c r="F18990">
        <v>165</v>
      </c>
      <c r="G18990">
        <v>230824</v>
      </c>
      <c r="H18990">
        <v>4441</v>
      </c>
      <c r="I18990" t="s">
        <v>109</v>
      </c>
      <c r="J18990">
        <v>204.6</v>
      </c>
      <c r="K18990">
        <v>39.6</v>
      </c>
      <c r="L18990">
        <v>17522</v>
      </c>
      <c r="M18990" t="s">
        <v>451</v>
      </c>
      <c r="N18990" t="str">
        <f>"50336027    "</f>
        <v xml:space="preserve">50336027    </v>
      </c>
      <c r="O18990">
        <v>230830</v>
      </c>
    </row>
    <row r="18991" spans="1:15" x14ac:dyDescent="0.25">
      <c r="A18991" t="s">
        <v>16</v>
      </c>
      <c r="B18991" t="s">
        <v>3221</v>
      </c>
      <c r="C18991">
        <v>5681</v>
      </c>
      <c r="D18991" t="s">
        <v>3703</v>
      </c>
      <c r="E18991" t="s">
        <v>3338</v>
      </c>
      <c r="F18991">
        <v>131.81</v>
      </c>
      <c r="G18991">
        <v>230420</v>
      </c>
      <c r="H18991">
        <v>4440</v>
      </c>
      <c r="I18991" t="s">
        <v>250</v>
      </c>
      <c r="J18991">
        <v>163.44</v>
      </c>
      <c r="K18991">
        <v>31.63</v>
      </c>
      <c r="L18991">
        <v>46554</v>
      </c>
      <c r="M18991" t="s">
        <v>117</v>
      </c>
      <c r="N18991" t="str">
        <f>"50332287    "</f>
        <v xml:space="preserve">50332287    </v>
      </c>
      <c r="O18991">
        <v>230502</v>
      </c>
    </row>
    <row r="18992" spans="1:15" x14ac:dyDescent="0.25">
      <c r="A18992" t="s">
        <v>16</v>
      </c>
      <c r="B18992" t="s">
        <v>3221</v>
      </c>
      <c r="C18992">
        <v>6092</v>
      </c>
      <c r="D18992" t="s">
        <v>3703</v>
      </c>
      <c r="E18992" t="s">
        <v>3338</v>
      </c>
      <c r="F18992">
        <v>41.81</v>
      </c>
      <c r="G18992">
        <v>230403</v>
      </c>
      <c r="H18992">
        <v>4440</v>
      </c>
      <c r="I18992" t="s">
        <v>250</v>
      </c>
      <c r="J18992">
        <v>51.84</v>
      </c>
      <c r="K18992">
        <v>10.029999999999999</v>
      </c>
      <c r="L18992">
        <v>17808</v>
      </c>
      <c r="M18992" t="s">
        <v>322</v>
      </c>
      <c r="N18992" t="str">
        <f>"50332544    "</f>
        <v xml:space="preserve">50332544    </v>
      </c>
      <c r="O18992">
        <v>230508</v>
      </c>
    </row>
    <row r="18993" spans="1:15" x14ac:dyDescent="0.25">
      <c r="A18993" t="s">
        <v>16</v>
      </c>
      <c r="B18993" t="s">
        <v>3221</v>
      </c>
      <c r="C18993">
        <v>6093</v>
      </c>
      <c r="D18993" t="s">
        <v>3703</v>
      </c>
      <c r="E18993" t="s">
        <v>3338</v>
      </c>
      <c r="F18993">
        <v>95.81</v>
      </c>
      <c r="G18993">
        <v>230427</v>
      </c>
      <c r="H18993">
        <v>4440</v>
      </c>
      <c r="I18993" t="s">
        <v>250</v>
      </c>
      <c r="J18993">
        <v>118.8</v>
      </c>
      <c r="K18993">
        <v>22.99</v>
      </c>
      <c r="L18993">
        <v>17711</v>
      </c>
      <c r="M18993" t="s">
        <v>65</v>
      </c>
      <c r="N18993" t="str">
        <f>"50332543    "</f>
        <v xml:space="preserve">50332543    </v>
      </c>
      <c r="O18993">
        <v>230508</v>
      </c>
    </row>
    <row r="18994" spans="1:15" x14ac:dyDescent="0.25">
      <c r="A18994" t="s">
        <v>16</v>
      </c>
      <c r="B18994" t="s">
        <v>3221</v>
      </c>
      <c r="C18994">
        <v>6393</v>
      </c>
      <c r="D18994" t="s">
        <v>3703</v>
      </c>
      <c r="E18994" t="s">
        <v>3338</v>
      </c>
      <c r="F18994">
        <v>23.81</v>
      </c>
      <c r="G18994">
        <v>230430</v>
      </c>
      <c r="H18994">
        <v>4440</v>
      </c>
      <c r="I18994" t="s">
        <v>250</v>
      </c>
      <c r="J18994">
        <v>29.52</v>
      </c>
      <c r="K18994">
        <v>5.71</v>
      </c>
      <c r="L18994">
        <v>67522</v>
      </c>
      <c r="M18994" t="s">
        <v>397</v>
      </c>
      <c r="N18994" t="str">
        <f>"50332711    "</f>
        <v xml:space="preserve">50332711    </v>
      </c>
      <c r="O18994">
        <v>230510</v>
      </c>
    </row>
    <row r="18995" spans="1:15" x14ac:dyDescent="0.25">
      <c r="A18995" t="s">
        <v>16</v>
      </c>
      <c r="B18995" t="s">
        <v>3221</v>
      </c>
      <c r="C18995">
        <v>8862</v>
      </c>
      <c r="D18995" t="s">
        <v>3703</v>
      </c>
      <c r="E18995" t="s">
        <v>3338</v>
      </c>
      <c r="F18995">
        <v>113.81</v>
      </c>
      <c r="G18995">
        <v>230531</v>
      </c>
      <c r="H18995">
        <v>4440</v>
      </c>
      <c r="I18995" t="s">
        <v>250</v>
      </c>
      <c r="J18995">
        <v>141.12</v>
      </c>
      <c r="K18995">
        <v>27.31</v>
      </c>
      <c r="L18995">
        <v>56566</v>
      </c>
      <c r="M18995" t="s">
        <v>652</v>
      </c>
      <c r="N18995" t="str">
        <f>"50333857    "</f>
        <v xml:space="preserve">50333857    </v>
      </c>
      <c r="O18995">
        <v>230619</v>
      </c>
    </row>
    <row r="18996" spans="1:15" x14ac:dyDescent="0.25">
      <c r="A18996" t="s">
        <v>16</v>
      </c>
      <c r="B18996" t="s">
        <v>3221</v>
      </c>
      <c r="C18996">
        <v>10961</v>
      </c>
      <c r="D18996" t="s">
        <v>3703</v>
      </c>
      <c r="E18996" t="s">
        <v>3338</v>
      </c>
      <c r="F18996">
        <v>275</v>
      </c>
      <c r="G18996">
        <v>230823</v>
      </c>
      <c r="H18996">
        <v>4440</v>
      </c>
      <c r="I18996" t="s">
        <v>250</v>
      </c>
      <c r="J18996">
        <v>341</v>
      </c>
      <c r="K18996">
        <v>66</v>
      </c>
      <c r="L18996">
        <v>46559</v>
      </c>
      <c r="M18996" t="s">
        <v>1104</v>
      </c>
      <c r="N18996" t="str">
        <f>"50335818    "</f>
        <v xml:space="preserve">50335818    </v>
      </c>
      <c r="O18996">
        <v>230825</v>
      </c>
    </row>
    <row r="18997" spans="1:15" x14ac:dyDescent="0.25">
      <c r="A18997" t="s">
        <v>16</v>
      </c>
      <c r="B18997" t="s">
        <v>3221</v>
      </c>
      <c r="C18997">
        <v>11159</v>
      </c>
      <c r="D18997" t="s">
        <v>3703</v>
      </c>
      <c r="E18997" t="s">
        <v>3338</v>
      </c>
      <c r="F18997">
        <v>165</v>
      </c>
      <c r="G18997">
        <v>230824</v>
      </c>
      <c r="H18997">
        <v>4440</v>
      </c>
      <c r="I18997" t="s">
        <v>250</v>
      </c>
      <c r="J18997">
        <v>204.6</v>
      </c>
      <c r="K18997">
        <v>39.6</v>
      </c>
      <c r="L18997">
        <v>17808</v>
      </c>
      <c r="M18997" t="s">
        <v>322</v>
      </c>
      <c r="N18997" t="str">
        <f>"50335896    "</f>
        <v xml:space="preserve">50335896    </v>
      </c>
      <c r="O18997">
        <v>230830</v>
      </c>
    </row>
    <row r="18998" spans="1:15" x14ac:dyDescent="0.25">
      <c r="A18998" t="s">
        <v>16</v>
      </c>
      <c r="B18998" t="s">
        <v>3221</v>
      </c>
      <c r="C18998">
        <v>11294</v>
      </c>
      <c r="D18998" t="s">
        <v>3703</v>
      </c>
      <c r="E18998" t="s">
        <v>3338</v>
      </c>
      <c r="F18998">
        <v>12.76</v>
      </c>
      <c r="G18998">
        <v>230825</v>
      </c>
      <c r="H18998">
        <v>4440</v>
      </c>
      <c r="I18998" t="s">
        <v>250</v>
      </c>
      <c r="J18998">
        <v>15.82</v>
      </c>
      <c r="K18998">
        <v>3.06</v>
      </c>
      <c r="L18998">
        <v>46554</v>
      </c>
      <c r="M18998" t="s">
        <v>117</v>
      </c>
      <c r="N18998" t="str">
        <f>"50336312    "</f>
        <v xml:space="preserve">50336312    </v>
      </c>
      <c r="O18998">
        <v>230904</v>
      </c>
    </row>
    <row r="18999" spans="1:15" x14ac:dyDescent="0.25">
      <c r="A18999" t="s">
        <v>16</v>
      </c>
      <c r="B18999" t="s">
        <v>3221</v>
      </c>
      <c r="C18999">
        <v>11370</v>
      </c>
      <c r="D18999" t="s">
        <v>3703</v>
      </c>
      <c r="E18999" t="s">
        <v>3338</v>
      </c>
      <c r="F18999">
        <v>275</v>
      </c>
      <c r="G18999">
        <v>230824</v>
      </c>
      <c r="H18999">
        <v>4440</v>
      </c>
      <c r="I18999" t="s">
        <v>250</v>
      </c>
      <c r="J18999">
        <v>341</v>
      </c>
      <c r="K18999">
        <v>66</v>
      </c>
      <c r="L18999">
        <v>56558</v>
      </c>
      <c r="M18999" t="s">
        <v>217</v>
      </c>
      <c r="N18999" t="str">
        <f>"50335960    "</f>
        <v xml:space="preserve">50335960    </v>
      </c>
      <c r="O18999">
        <v>230905</v>
      </c>
    </row>
    <row r="19000" spans="1:15" x14ac:dyDescent="0.25">
      <c r="A19000" t="s">
        <v>16</v>
      </c>
      <c r="B19000" t="s">
        <v>3221</v>
      </c>
      <c r="C19000">
        <v>12578</v>
      </c>
      <c r="D19000" t="s">
        <v>3703</v>
      </c>
      <c r="E19000" t="s">
        <v>3338</v>
      </c>
      <c r="F19000">
        <v>65.209999999999994</v>
      </c>
      <c r="G19000">
        <v>230914</v>
      </c>
      <c r="H19000">
        <v>4440</v>
      </c>
      <c r="I19000" t="s">
        <v>250</v>
      </c>
      <c r="J19000">
        <v>80.86</v>
      </c>
      <c r="K19000">
        <v>15.65</v>
      </c>
      <c r="L19000">
        <v>46554</v>
      </c>
      <c r="M19000" t="s">
        <v>117</v>
      </c>
      <c r="N19000" t="str">
        <f>"50337023    "</f>
        <v xml:space="preserve">50337023    </v>
      </c>
      <c r="O19000">
        <v>230922</v>
      </c>
    </row>
    <row r="19001" spans="1:15" x14ac:dyDescent="0.25">
      <c r="A19001" t="s">
        <v>16</v>
      </c>
      <c r="B19001" t="s">
        <v>3221</v>
      </c>
      <c r="C19001">
        <v>12631</v>
      </c>
      <c r="D19001" t="s">
        <v>3703</v>
      </c>
      <c r="E19001" t="s">
        <v>3338</v>
      </c>
      <c r="F19001">
        <v>25.6</v>
      </c>
      <c r="G19001">
        <v>230921</v>
      </c>
      <c r="H19001">
        <v>4440</v>
      </c>
      <c r="I19001" t="s">
        <v>250</v>
      </c>
      <c r="J19001">
        <v>31.75</v>
      </c>
      <c r="K19001">
        <v>6.15</v>
      </c>
      <c r="L19001">
        <v>66756</v>
      </c>
      <c r="M19001" t="s">
        <v>209</v>
      </c>
      <c r="N19001" t="str">
        <f>"50337216    "</f>
        <v xml:space="preserve">50337216    </v>
      </c>
      <c r="O19001">
        <v>230922</v>
      </c>
    </row>
    <row r="19002" spans="1:15" x14ac:dyDescent="0.25">
      <c r="A19002" t="s">
        <v>16</v>
      </c>
      <c r="B19002" t="s">
        <v>3221</v>
      </c>
      <c r="C19002">
        <v>12770</v>
      </c>
      <c r="D19002" t="s">
        <v>3703</v>
      </c>
      <c r="E19002" t="s">
        <v>3338</v>
      </c>
      <c r="F19002">
        <v>85.01</v>
      </c>
      <c r="G19002">
        <v>230921</v>
      </c>
      <c r="H19002">
        <v>4440</v>
      </c>
      <c r="I19002" t="s">
        <v>250</v>
      </c>
      <c r="J19002">
        <v>105.41</v>
      </c>
      <c r="K19002">
        <v>20.399999999999999</v>
      </c>
      <c r="L19002">
        <v>17808</v>
      </c>
      <c r="M19002" t="s">
        <v>322</v>
      </c>
      <c r="N19002" t="str">
        <f>"50337280    "</f>
        <v xml:space="preserve">50337280    </v>
      </c>
      <c r="O19002">
        <v>230926</v>
      </c>
    </row>
    <row r="19003" spans="1:15" x14ac:dyDescent="0.25">
      <c r="A19003" t="s">
        <v>16</v>
      </c>
      <c r="B19003" t="s">
        <v>3221</v>
      </c>
      <c r="C19003">
        <v>12778</v>
      </c>
      <c r="D19003" t="s">
        <v>3703</v>
      </c>
      <c r="E19003" t="s">
        <v>3338</v>
      </c>
      <c r="F19003">
        <v>16.09</v>
      </c>
      <c r="G19003">
        <v>230922</v>
      </c>
      <c r="H19003">
        <v>4440</v>
      </c>
      <c r="I19003" t="s">
        <v>250</v>
      </c>
      <c r="J19003">
        <v>19.95</v>
      </c>
      <c r="K19003">
        <v>3.86</v>
      </c>
      <c r="L19003">
        <v>17808</v>
      </c>
      <c r="M19003" t="s">
        <v>322</v>
      </c>
      <c r="N19003" t="str">
        <f>"50337363    "</f>
        <v xml:space="preserve">50337363    </v>
      </c>
      <c r="O19003">
        <v>230926</v>
      </c>
    </row>
    <row r="19004" spans="1:15" x14ac:dyDescent="0.25">
      <c r="A19004" t="s">
        <v>16</v>
      </c>
      <c r="B19004" t="s">
        <v>3221</v>
      </c>
      <c r="C19004">
        <v>13174</v>
      </c>
      <c r="D19004" t="s">
        <v>3703</v>
      </c>
      <c r="E19004" t="s">
        <v>3338</v>
      </c>
      <c r="F19004">
        <v>85.01</v>
      </c>
      <c r="G19004">
        <v>230921</v>
      </c>
      <c r="H19004">
        <v>4440</v>
      </c>
      <c r="I19004" t="s">
        <v>250</v>
      </c>
      <c r="J19004">
        <v>105.41</v>
      </c>
      <c r="K19004">
        <v>20.399999999999999</v>
      </c>
      <c r="L19004">
        <v>46556</v>
      </c>
      <c r="M19004" t="s">
        <v>125</v>
      </c>
      <c r="N19004" t="str">
        <f>"50337290    "</f>
        <v xml:space="preserve">50337290    </v>
      </c>
      <c r="O19004">
        <v>231005</v>
      </c>
    </row>
    <row r="19005" spans="1:15" x14ac:dyDescent="0.25">
      <c r="A19005" t="s">
        <v>16</v>
      </c>
      <c r="B19005" t="s">
        <v>3221</v>
      </c>
      <c r="C19005">
        <v>13175</v>
      </c>
      <c r="D19005" t="s">
        <v>3703</v>
      </c>
      <c r="E19005" t="s">
        <v>3338</v>
      </c>
      <c r="F19005">
        <v>184.01</v>
      </c>
      <c r="G19005">
        <v>230921</v>
      </c>
      <c r="H19005">
        <v>4440</v>
      </c>
      <c r="I19005" t="s">
        <v>250</v>
      </c>
      <c r="J19005">
        <v>228.17</v>
      </c>
      <c r="K19005">
        <v>44.16</v>
      </c>
      <c r="L19005">
        <v>46554</v>
      </c>
      <c r="M19005" t="s">
        <v>117</v>
      </c>
      <c r="N19005" t="str">
        <f>"50337291    "</f>
        <v xml:space="preserve">50337291    </v>
      </c>
      <c r="O19005">
        <v>231005</v>
      </c>
    </row>
    <row r="19006" spans="1:15" x14ac:dyDescent="0.25">
      <c r="A19006" t="s">
        <v>16</v>
      </c>
      <c r="B19006" t="s">
        <v>3221</v>
      </c>
      <c r="C19006">
        <v>13890</v>
      </c>
      <c r="D19006" t="s">
        <v>3703</v>
      </c>
      <c r="E19006" t="s">
        <v>3338</v>
      </c>
      <c r="F19006">
        <v>25.6</v>
      </c>
      <c r="G19006">
        <v>230930</v>
      </c>
      <c r="H19006">
        <v>4440</v>
      </c>
      <c r="I19006" t="s">
        <v>250</v>
      </c>
      <c r="J19006">
        <v>31.75</v>
      </c>
      <c r="K19006">
        <v>6.15</v>
      </c>
      <c r="L19006">
        <v>17808</v>
      </c>
      <c r="M19006" t="s">
        <v>322</v>
      </c>
      <c r="N19006" t="str">
        <f>"50337987    "</f>
        <v xml:space="preserve">50337987    </v>
      </c>
      <c r="O19006">
        <v>231016</v>
      </c>
    </row>
    <row r="19007" spans="1:15" x14ac:dyDescent="0.25">
      <c r="A19007" t="s">
        <v>16</v>
      </c>
      <c r="B19007" t="s">
        <v>3221</v>
      </c>
      <c r="C19007">
        <v>13896</v>
      </c>
      <c r="D19007" t="s">
        <v>3703</v>
      </c>
      <c r="E19007" t="s">
        <v>3338</v>
      </c>
      <c r="F19007">
        <v>45.4</v>
      </c>
      <c r="G19007">
        <v>230930</v>
      </c>
      <c r="H19007">
        <v>4440</v>
      </c>
      <c r="I19007" t="s">
        <v>250</v>
      </c>
      <c r="J19007">
        <v>56.3</v>
      </c>
      <c r="K19007">
        <v>10.9</v>
      </c>
      <c r="L19007">
        <v>17808</v>
      </c>
      <c r="M19007" t="s">
        <v>322</v>
      </c>
      <c r="N19007" t="str">
        <f>"50337988    "</f>
        <v xml:space="preserve">50337988    </v>
      </c>
      <c r="O19007">
        <v>231016</v>
      </c>
    </row>
    <row r="19008" spans="1:15" x14ac:dyDescent="0.25">
      <c r="A19008" t="s">
        <v>16</v>
      </c>
      <c r="B19008" t="s">
        <v>3221</v>
      </c>
      <c r="C19008">
        <v>15015</v>
      </c>
      <c r="D19008" t="s">
        <v>3703</v>
      </c>
      <c r="E19008" t="s">
        <v>3338</v>
      </c>
      <c r="F19008">
        <v>39.6</v>
      </c>
      <c r="G19008">
        <v>231019</v>
      </c>
      <c r="H19008">
        <v>4440</v>
      </c>
      <c r="I19008" t="s">
        <v>250</v>
      </c>
      <c r="J19008">
        <v>49.1</v>
      </c>
      <c r="K19008">
        <v>9.5</v>
      </c>
      <c r="L19008">
        <v>17534</v>
      </c>
      <c r="M19008" t="s">
        <v>440</v>
      </c>
      <c r="N19008" t="str">
        <f>"50338163    "</f>
        <v xml:space="preserve">50338163    </v>
      </c>
      <c r="O19008">
        <v>231108</v>
      </c>
    </row>
    <row r="19009" spans="1:15" x14ac:dyDescent="0.25">
      <c r="A19009" t="s">
        <v>16</v>
      </c>
      <c r="B19009" t="s">
        <v>3221</v>
      </c>
      <c r="C19009">
        <v>15015</v>
      </c>
      <c r="D19009" t="s">
        <v>3703</v>
      </c>
      <c r="E19009" t="s">
        <v>3338</v>
      </c>
      <c r="F19009">
        <v>59.4</v>
      </c>
      <c r="G19009">
        <v>231019</v>
      </c>
      <c r="H19009">
        <v>4440</v>
      </c>
      <c r="I19009" t="s">
        <v>250</v>
      </c>
      <c r="J19009">
        <v>73.650000000000006</v>
      </c>
      <c r="K19009">
        <v>14.25</v>
      </c>
      <c r="L19009">
        <v>17535</v>
      </c>
      <c r="M19009" t="s">
        <v>357</v>
      </c>
      <c r="N19009" t="str">
        <f>"50338163    "</f>
        <v xml:space="preserve">50338163    </v>
      </c>
      <c r="O19009">
        <v>231108</v>
      </c>
    </row>
    <row r="19010" spans="1:15" x14ac:dyDescent="0.25">
      <c r="A19010" t="s">
        <v>16</v>
      </c>
      <c r="B19010" t="s">
        <v>3221</v>
      </c>
      <c r="C19010">
        <v>15015</v>
      </c>
      <c r="D19010" t="s">
        <v>3703</v>
      </c>
      <c r="E19010" t="s">
        <v>3338</v>
      </c>
      <c r="F19010">
        <v>98.99</v>
      </c>
      <c r="G19010">
        <v>231019</v>
      </c>
      <c r="H19010">
        <v>4440</v>
      </c>
      <c r="I19010" t="s">
        <v>250</v>
      </c>
      <c r="J19010">
        <v>122.75</v>
      </c>
      <c r="K19010">
        <v>23.76</v>
      </c>
      <c r="L19010">
        <v>17536</v>
      </c>
      <c r="M19010" t="s">
        <v>734</v>
      </c>
      <c r="N19010" t="str">
        <f>"50338163    "</f>
        <v xml:space="preserve">50338163    </v>
      </c>
      <c r="O19010">
        <v>231108</v>
      </c>
    </row>
    <row r="19011" spans="1:15" x14ac:dyDescent="0.25">
      <c r="A19011" t="s">
        <v>16</v>
      </c>
      <c r="B19011" t="s">
        <v>3221</v>
      </c>
      <c r="C19011">
        <v>15015</v>
      </c>
      <c r="D19011" t="s">
        <v>3703</v>
      </c>
      <c r="E19011" t="s">
        <v>3338</v>
      </c>
      <c r="F19011">
        <v>19.8</v>
      </c>
      <c r="G19011">
        <v>231019</v>
      </c>
      <c r="H19011">
        <v>4440</v>
      </c>
      <c r="I19011" t="s">
        <v>250</v>
      </c>
      <c r="J19011">
        <v>24.55</v>
      </c>
      <c r="K19011">
        <v>4.75</v>
      </c>
      <c r="L19011">
        <v>17536</v>
      </c>
      <c r="M19011" t="s">
        <v>734</v>
      </c>
      <c r="N19011" t="str">
        <f>"50338163    "</f>
        <v xml:space="preserve">50338163    </v>
      </c>
      <c r="O19011">
        <v>231108</v>
      </c>
    </row>
    <row r="19012" spans="1:15" x14ac:dyDescent="0.25">
      <c r="A19012" t="s">
        <v>16</v>
      </c>
      <c r="B19012" t="s">
        <v>3221</v>
      </c>
      <c r="C19012">
        <v>15688</v>
      </c>
      <c r="D19012" t="s">
        <v>3703</v>
      </c>
      <c r="E19012" t="s">
        <v>3338</v>
      </c>
      <c r="F19012">
        <v>302.81</v>
      </c>
      <c r="G19012">
        <v>231109</v>
      </c>
      <c r="H19012">
        <v>4440</v>
      </c>
      <c r="I19012" t="s">
        <v>250</v>
      </c>
      <c r="J19012">
        <v>375.48</v>
      </c>
      <c r="K19012">
        <v>72.67</v>
      </c>
      <c r="L19012">
        <v>56566</v>
      </c>
      <c r="M19012" t="s">
        <v>652</v>
      </c>
      <c r="N19012" t="str">
        <f>"50338911    "</f>
        <v xml:space="preserve">50338911    </v>
      </c>
      <c r="O19012">
        <v>231116</v>
      </c>
    </row>
    <row r="19013" spans="1:15" x14ac:dyDescent="0.25">
      <c r="A19013" t="s">
        <v>16</v>
      </c>
      <c r="B19013" t="s">
        <v>3221</v>
      </c>
      <c r="C19013">
        <v>15990</v>
      </c>
      <c r="D19013" t="s">
        <v>3703</v>
      </c>
      <c r="E19013" t="s">
        <v>3338</v>
      </c>
      <c r="F19013">
        <v>263.20999999999998</v>
      </c>
      <c r="G19013">
        <v>231116</v>
      </c>
      <c r="H19013">
        <v>4440</v>
      </c>
      <c r="I19013" t="s">
        <v>250</v>
      </c>
      <c r="J19013">
        <v>326.38</v>
      </c>
      <c r="K19013">
        <v>63.17</v>
      </c>
      <c r="L19013">
        <v>17808</v>
      </c>
      <c r="M19013" t="s">
        <v>322</v>
      </c>
      <c r="N19013" t="str">
        <f>"50339157    "</f>
        <v xml:space="preserve">50339157    </v>
      </c>
      <c r="O19013">
        <v>231122</v>
      </c>
    </row>
    <row r="19014" spans="1:15" x14ac:dyDescent="0.25">
      <c r="A19014" t="s">
        <v>16</v>
      </c>
      <c r="B19014" t="s">
        <v>3221</v>
      </c>
      <c r="C19014">
        <v>19360</v>
      </c>
      <c r="D19014" t="s">
        <v>3703</v>
      </c>
      <c r="E19014" t="s">
        <v>3338</v>
      </c>
      <c r="F19014">
        <v>85.01</v>
      </c>
      <c r="G19014">
        <v>231231</v>
      </c>
      <c r="H19014">
        <v>4440</v>
      </c>
      <c r="I19014" t="s">
        <v>250</v>
      </c>
      <c r="J19014">
        <v>105.41</v>
      </c>
      <c r="K19014">
        <v>20.399999999999999</v>
      </c>
      <c r="L19014">
        <v>46554</v>
      </c>
      <c r="M19014" t="s">
        <v>117</v>
      </c>
      <c r="N19014" t="str">
        <f>"50341056    "</f>
        <v xml:space="preserve">50341056    </v>
      </c>
      <c r="O19014">
        <v>240118</v>
      </c>
    </row>
    <row r="19015" spans="1:15" x14ac:dyDescent="0.25">
      <c r="A19015" t="s">
        <v>16</v>
      </c>
      <c r="B19015" t="s">
        <v>3221</v>
      </c>
      <c r="C19015">
        <v>15015</v>
      </c>
      <c r="D19015" t="s">
        <v>3703</v>
      </c>
      <c r="E19015" t="s">
        <v>3338</v>
      </c>
      <c r="F19015">
        <v>5.82</v>
      </c>
      <c r="G19015">
        <v>231019</v>
      </c>
      <c r="H19015">
        <v>4364</v>
      </c>
      <c r="I19015" t="s">
        <v>296</v>
      </c>
      <c r="J19015">
        <v>7.22</v>
      </c>
      <c r="K19015">
        <v>1.4</v>
      </c>
      <c r="L19015">
        <v>17536</v>
      </c>
      <c r="M19015" t="s">
        <v>734</v>
      </c>
      <c r="N19015" t="str">
        <f>"50338163    "</f>
        <v xml:space="preserve">50338163    </v>
      </c>
      <c r="O19015">
        <v>231108</v>
      </c>
    </row>
    <row r="19016" spans="1:15" x14ac:dyDescent="0.25">
      <c r="A19016" t="s">
        <v>16</v>
      </c>
      <c r="B19016" t="s">
        <v>3221</v>
      </c>
      <c r="C19016">
        <v>10244</v>
      </c>
      <c r="D19016" t="s">
        <v>2357</v>
      </c>
      <c r="E19016" t="s">
        <v>2358</v>
      </c>
      <c r="F19016">
        <v>4013.6</v>
      </c>
      <c r="G19016">
        <v>230808</v>
      </c>
      <c r="H19016">
        <v>4390</v>
      </c>
      <c r="I19016" t="s">
        <v>98</v>
      </c>
      <c r="J19016">
        <v>4013.6</v>
      </c>
      <c r="K19016">
        <v>0</v>
      </c>
      <c r="L19016">
        <v>17951</v>
      </c>
      <c r="M19016" t="s">
        <v>87</v>
      </c>
      <c r="N19016" t="str">
        <f>"2230        "</f>
        <v xml:space="preserve">2230        </v>
      </c>
      <c r="O19016">
        <v>230810</v>
      </c>
    </row>
    <row r="19017" spans="1:15" x14ac:dyDescent="0.25">
      <c r="A19017" t="s">
        <v>16</v>
      </c>
      <c r="B19017" t="s">
        <v>3221</v>
      </c>
      <c r="C19017">
        <v>17359</v>
      </c>
      <c r="D19017" t="s">
        <v>3061</v>
      </c>
      <c r="E19017" t="s">
        <v>3062</v>
      </c>
      <c r="F19017">
        <v>11670</v>
      </c>
      <c r="G19017">
        <v>231130</v>
      </c>
      <c r="H19017">
        <v>4600</v>
      </c>
      <c r="I19017" t="s">
        <v>105</v>
      </c>
      <c r="J19017">
        <v>14470.8</v>
      </c>
      <c r="K19017">
        <v>2800.8</v>
      </c>
      <c r="L19017">
        <v>18972</v>
      </c>
      <c r="M19017" t="s">
        <v>163</v>
      </c>
      <c r="N19017" t="str">
        <f>"9761        "</f>
        <v xml:space="preserve">9761        </v>
      </c>
      <c r="O19017">
        <v>231213</v>
      </c>
    </row>
    <row r="19018" spans="1:15" x14ac:dyDescent="0.25">
      <c r="A19018" t="s">
        <v>16</v>
      </c>
      <c r="B19018" t="s">
        <v>3221</v>
      </c>
      <c r="C19018">
        <v>14128</v>
      </c>
      <c r="D19018" t="s">
        <v>2738</v>
      </c>
      <c r="E19018" t="s">
        <v>2739</v>
      </c>
      <c r="F19018">
        <v>299</v>
      </c>
      <c r="G19018">
        <v>231016</v>
      </c>
      <c r="H19018">
        <v>4412</v>
      </c>
      <c r="I19018" t="s">
        <v>149</v>
      </c>
      <c r="J19018">
        <v>299</v>
      </c>
      <c r="K19018">
        <v>0</v>
      </c>
      <c r="L19018">
        <v>13281</v>
      </c>
      <c r="M19018" t="s">
        <v>1296</v>
      </c>
      <c r="N19018" t="str">
        <f>"6123100130  "</f>
        <v xml:space="preserve">6123100130  </v>
      </c>
      <c r="O19018">
        <v>231019</v>
      </c>
    </row>
    <row r="19019" spans="1:15" x14ac:dyDescent="0.25">
      <c r="A19019" t="s">
        <v>16</v>
      </c>
      <c r="B19019" t="s">
        <v>3221</v>
      </c>
      <c r="C19019">
        <v>11398</v>
      </c>
      <c r="D19019" t="s">
        <v>676</v>
      </c>
      <c r="E19019" t="s">
        <v>677</v>
      </c>
      <c r="F19019">
        <v>150</v>
      </c>
      <c r="G19019">
        <v>230901</v>
      </c>
      <c r="H19019">
        <v>4510</v>
      </c>
      <c r="I19019" t="s">
        <v>42</v>
      </c>
      <c r="J19019">
        <v>150</v>
      </c>
      <c r="K19019">
        <v>0</v>
      </c>
      <c r="L19019">
        <v>13502</v>
      </c>
      <c r="M19019" t="s">
        <v>243</v>
      </c>
      <c r="N19019" t="str">
        <f>"1278        "</f>
        <v xml:space="preserve">1278        </v>
      </c>
      <c r="O19019">
        <v>230905</v>
      </c>
    </row>
    <row r="19020" spans="1:15" x14ac:dyDescent="0.25">
      <c r="A19020" t="s">
        <v>16</v>
      </c>
      <c r="B19020" t="s">
        <v>3221</v>
      </c>
      <c r="C19020">
        <v>684</v>
      </c>
      <c r="D19020" t="s">
        <v>676</v>
      </c>
      <c r="E19020" t="s">
        <v>677</v>
      </c>
      <c r="F19020">
        <v>150</v>
      </c>
      <c r="G19020">
        <v>230125</v>
      </c>
      <c r="H19020">
        <v>4600</v>
      </c>
      <c r="I19020" t="s">
        <v>105</v>
      </c>
      <c r="J19020">
        <v>150</v>
      </c>
      <c r="K19020">
        <v>0</v>
      </c>
      <c r="L19020">
        <v>13401</v>
      </c>
      <c r="M19020" t="s">
        <v>80</v>
      </c>
      <c r="N19020" t="str">
        <f>"1100        "</f>
        <v xml:space="preserve">1100        </v>
      </c>
      <c r="O19020">
        <v>230126</v>
      </c>
    </row>
    <row r="19021" spans="1:15" x14ac:dyDescent="0.25">
      <c r="A19021" t="s">
        <v>16</v>
      </c>
      <c r="B19021" t="s">
        <v>3221</v>
      </c>
      <c r="C19021">
        <v>16327</v>
      </c>
      <c r="D19021" t="s">
        <v>2949</v>
      </c>
      <c r="E19021" t="s">
        <v>2950</v>
      </c>
      <c r="F19021">
        <v>380</v>
      </c>
      <c r="G19021">
        <v>231115</v>
      </c>
      <c r="H19021">
        <v>4520</v>
      </c>
      <c r="I19021" t="s">
        <v>254</v>
      </c>
      <c r="J19021">
        <v>433.2</v>
      </c>
      <c r="K19021">
        <v>53.2</v>
      </c>
      <c r="L19021">
        <v>11001</v>
      </c>
      <c r="M19021" t="s">
        <v>326</v>
      </c>
      <c r="N19021" t="str">
        <f>"555312      "</f>
        <v xml:space="preserve">555312      </v>
      </c>
      <c r="O19021">
        <v>231128</v>
      </c>
    </row>
    <row r="19022" spans="1:15" x14ac:dyDescent="0.25">
      <c r="A19022" t="s">
        <v>16</v>
      </c>
      <c r="B19022" t="s">
        <v>3221</v>
      </c>
      <c r="C19022">
        <v>16327</v>
      </c>
      <c r="D19022" t="s">
        <v>2949</v>
      </c>
      <c r="E19022" t="s">
        <v>2950</v>
      </c>
      <c r="F19022">
        <v>570</v>
      </c>
      <c r="G19022">
        <v>231115</v>
      </c>
      <c r="H19022">
        <v>4520</v>
      </c>
      <c r="I19022" t="s">
        <v>254</v>
      </c>
      <c r="J19022">
        <v>649.79999999999995</v>
      </c>
      <c r="K19022">
        <v>79.8</v>
      </c>
      <c r="L19022">
        <v>11301</v>
      </c>
      <c r="M19022" t="s">
        <v>29</v>
      </c>
      <c r="N19022" t="str">
        <f>"555312      "</f>
        <v xml:space="preserve">555312      </v>
      </c>
      <c r="O19022">
        <v>231128</v>
      </c>
    </row>
    <row r="19023" spans="1:15" x14ac:dyDescent="0.25">
      <c r="A19023" t="s">
        <v>16</v>
      </c>
      <c r="B19023" t="s">
        <v>3221</v>
      </c>
      <c r="C19023">
        <v>16327</v>
      </c>
      <c r="D19023" t="s">
        <v>2949</v>
      </c>
      <c r="E19023" t="s">
        <v>2950</v>
      </c>
      <c r="F19023">
        <v>198</v>
      </c>
      <c r="G19023">
        <v>231115</v>
      </c>
      <c r="H19023">
        <v>4600</v>
      </c>
      <c r="I19023" t="s">
        <v>105</v>
      </c>
      <c r="J19023">
        <v>245.52</v>
      </c>
      <c r="K19023">
        <v>47.52</v>
      </c>
      <c r="L19023">
        <v>11001</v>
      </c>
      <c r="M19023" t="s">
        <v>326</v>
      </c>
      <c r="N19023" t="str">
        <f>"555312      "</f>
        <v xml:space="preserve">555312      </v>
      </c>
      <c r="O19023">
        <v>231128</v>
      </c>
    </row>
    <row r="19024" spans="1:15" x14ac:dyDescent="0.25">
      <c r="A19024" t="s">
        <v>16</v>
      </c>
      <c r="B19024" t="s">
        <v>3221</v>
      </c>
      <c r="C19024">
        <v>16327</v>
      </c>
      <c r="D19024" t="s">
        <v>2949</v>
      </c>
      <c r="E19024" t="s">
        <v>2950</v>
      </c>
      <c r="F19024">
        <v>297</v>
      </c>
      <c r="G19024">
        <v>231115</v>
      </c>
      <c r="H19024">
        <v>4600</v>
      </c>
      <c r="I19024" t="s">
        <v>105</v>
      </c>
      <c r="J19024">
        <v>368.28</v>
      </c>
      <c r="K19024">
        <v>71.28</v>
      </c>
      <c r="L19024">
        <v>11301</v>
      </c>
      <c r="M19024" t="s">
        <v>29</v>
      </c>
      <c r="N19024" t="str">
        <f>"555312      "</f>
        <v xml:space="preserve">555312      </v>
      </c>
      <c r="O19024">
        <v>231128</v>
      </c>
    </row>
    <row r="19025" spans="1:15" x14ac:dyDescent="0.25">
      <c r="A19025" t="s">
        <v>16</v>
      </c>
      <c r="B19025" t="s">
        <v>3221</v>
      </c>
      <c r="C19025">
        <v>16327</v>
      </c>
      <c r="D19025" t="s">
        <v>2949</v>
      </c>
      <c r="E19025" t="s">
        <v>2950</v>
      </c>
      <c r="F19025">
        <v>45</v>
      </c>
      <c r="G19025">
        <v>231115</v>
      </c>
      <c r="H19025">
        <v>4350</v>
      </c>
      <c r="I19025" t="s">
        <v>546</v>
      </c>
      <c r="J19025">
        <v>55.8</v>
      </c>
      <c r="K19025">
        <v>10.8</v>
      </c>
      <c r="L19025">
        <v>11301</v>
      </c>
      <c r="M19025" t="s">
        <v>29</v>
      </c>
      <c r="N19025" t="str">
        <f>"555312      "</f>
        <v xml:space="preserve">555312      </v>
      </c>
      <c r="O19025">
        <v>231128</v>
      </c>
    </row>
    <row r="19026" spans="1:15" x14ac:dyDescent="0.25">
      <c r="A19026" t="s">
        <v>16</v>
      </c>
      <c r="B19026" t="s">
        <v>3221</v>
      </c>
      <c r="C19026">
        <v>16306</v>
      </c>
      <c r="D19026" t="s">
        <v>2949</v>
      </c>
      <c r="E19026" t="s">
        <v>2950</v>
      </c>
      <c r="F19026">
        <v>117</v>
      </c>
      <c r="G19026">
        <v>231124</v>
      </c>
      <c r="H19026">
        <v>4364</v>
      </c>
      <c r="I19026" t="s">
        <v>296</v>
      </c>
      <c r="J19026">
        <v>145.08000000000001</v>
      </c>
      <c r="K19026">
        <v>28.08</v>
      </c>
      <c r="L19026">
        <v>11301</v>
      </c>
      <c r="M19026" t="s">
        <v>29</v>
      </c>
      <c r="N19026" t="str">
        <f>"555591      "</f>
        <v xml:space="preserve">555591      </v>
      </c>
      <c r="O19026">
        <v>231127</v>
      </c>
    </row>
    <row r="19027" spans="1:15" x14ac:dyDescent="0.25">
      <c r="A19027" t="s">
        <v>16</v>
      </c>
      <c r="B19027" t="s">
        <v>3221</v>
      </c>
      <c r="C19027">
        <v>13971</v>
      </c>
      <c r="D19027" t="s">
        <v>2721</v>
      </c>
      <c r="E19027" t="s">
        <v>2722</v>
      </c>
      <c r="F19027">
        <v>275</v>
      </c>
      <c r="G19027">
        <v>231006</v>
      </c>
      <c r="H19027">
        <v>4580</v>
      </c>
      <c r="I19027" t="s">
        <v>35</v>
      </c>
      <c r="J19027">
        <v>341</v>
      </c>
      <c r="K19027">
        <v>66</v>
      </c>
      <c r="L19027">
        <v>17533</v>
      </c>
      <c r="M19027" t="s">
        <v>990</v>
      </c>
      <c r="N19027" t="str">
        <f>"13243       "</f>
        <v xml:space="preserve">13243       </v>
      </c>
      <c r="O19027">
        <v>231017</v>
      </c>
    </row>
    <row r="19028" spans="1:15" x14ac:dyDescent="0.25">
      <c r="A19028" t="s">
        <v>16</v>
      </c>
      <c r="B19028" t="s">
        <v>3221</v>
      </c>
      <c r="C19028">
        <v>16126</v>
      </c>
      <c r="D19028" t="s">
        <v>2931</v>
      </c>
      <c r="E19028" t="s">
        <v>2932</v>
      </c>
      <c r="F19028">
        <v>288</v>
      </c>
      <c r="G19028">
        <v>231120</v>
      </c>
      <c r="H19028">
        <v>4441</v>
      </c>
      <c r="I19028" t="s">
        <v>109</v>
      </c>
      <c r="J19028">
        <v>357.12</v>
      </c>
      <c r="K19028">
        <v>69.12</v>
      </c>
      <c r="L19028">
        <v>61122</v>
      </c>
      <c r="M19028" t="s">
        <v>402</v>
      </c>
      <c r="N19028" t="str">
        <f>"323/2860    "</f>
        <v xml:space="preserve">323/2860    </v>
      </c>
      <c r="O19028">
        <v>231123</v>
      </c>
    </row>
    <row r="19029" spans="1:15" x14ac:dyDescent="0.25">
      <c r="A19029" t="s">
        <v>16</v>
      </c>
      <c r="B19029" t="s">
        <v>3221</v>
      </c>
      <c r="C19029">
        <v>5965</v>
      </c>
      <c r="D19029" t="s">
        <v>1918</v>
      </c>
      <c r="E19029" t="s">
        <v>1919</v>
      </c>
      <c r="F19029">
        <v>127.73</v>
      </c>
      <c r="G19029">
        <v>230428</v>
      </c>
      <c r="H19029">
        <v>4600</v>
      </c>
      <c r="I19029" t="s">
        <v>105</v>
      </c>
      <c r="J19029">
        <v>158.38999999999999</v>
      </c>
      <c r="K19029">
        <v>30.66</v>
      </c>
      <c r="L19029">
        <v>17737</v>
      </c>
      <c r="M19029" t="s">
        <v>279</v>
      </c>
      <c r="N19029" t="str">
        <f>"24180       "</f>
        <v xml:space="preserve">24180       </v>
      </c>
      <c r="O19029">
        <v>230504</v>
      </c>
    </row>
    <row r="19030" spans="1:15" x14ac:dyDescent="0.25">
      <c r="A19030" t="s">
        <v>16</v>
      </c>
      <c r="B19030" t="s">
        <v>3221</v>
      </c>
      <c r="C19030">
        <v>16635</v>
      </c>
      <c r="D19030" t="s">
        <v>1918</v>
      </c>
      <c r="E19030" t="s">
        <v>1919</v>
      </c>
      <c r="F19030">
        <v>26.11</v>
      </c>
      <c r="G19030">
        <v>231130</v>
      </c>
      <c r="H19030">
        <v>4600</v>
      </c>
      <c r="I19030" t="s">
        <v>105</v>
      </c>
      <c r="J19030">
        <v>32.380000000000003</v>
      </c>
      <c r="K19030">
        <v>6.27</v>
      </c>
      <c r="L19030">
        <v>17737</v>
      </c>
      <c r="M19030" t="s">
        <v>279</v>
      </c>
      <c r="N19030" t="str">
        <f>"24459       "</f>
        <v xml:space="preserve">24459       </v>
      </c>
      <c r="O19030">
        <v>231205</v>
      </c>
    </row>
    <row r="19031" spans="1:15" x14ac:dyDescent="0.25">
      <c r="A19031" t="s">
        <v>16</v>
      </c>
      <c r="B19031" t="s">
        <v>3221</v>
      </c>
      <c r="C19031">
        <v>18238</v>
      </c>
      <c r="D19031" t="s">
        <v>3131</v>
      </c>
      <c r="E19031" t="s">
        <v>3132</v>
      </c>
      <c r="F19031">
        <v>468</v>
      </c>
      <c r="G19031">
        <v>231213</v>
      </c>
      <c r="H19031">
        <v>4550</v>
      </c>
      <c r="I19031" t="s">
        <v>312</v>
      </c>
      <c r="J19031">
        <v>580.32000000000005</v>
      </c>
      <c r="K19031">
        <v>112.32</v>
      </c>
      <c r="L19031">
        <v>17711</v>
      </c>
      <c r="M19031" t="s">
        <v>65</v>
      </c>
      <c r="N19031" t="str">
        <f>"103863      "</f>
        <v xml:space="preserve">103863      </v>
      </c>
      <c r="O19031">
        <v>240102</v>
      </c>
    </row>
    <row r="19032" spans="1:15" x14ac:dyDescent="0.25">
      <c r="A19032" t="s">
        <v>16</v>
      </c>
      <c r="B19032" t="s">
        <v>3221</v>
      </c>
      <c r="C19032">
        <v>2344</v>
      </c>
      <c r="D19032" t="s">
        <v>1366</v>
      </c>
      <c r="E19032" t="s">
        <v>1367</v>
      </c>
      <c r="F19032">
        <v>140</v>
      </c>
      <c r="G19032">
        <v>230222</v>
      </c>
      <c r="H19032">
        <v>4580</v>
      </c>
      <c r="I19032" t="s">
        <v>35</v>
      </c>
      <c r="J19032">
        <v>173.6</v>
      </c>
      <c r="K19032">
        <v>33.6</v>
      </c>
      <c r="L19032">
        <v>56558</v>
      </c>
      <c r="M19032" t="s">
        <v>217</v>
      </c>
      <c r="N19032" t="str">
        <f>"246815      "</f>
        <v xml:space="preserve">246815      </v>
      </c>
      <c r="O19032">
        <v>230224</v>
      </c>
    </row>
    <row r="19033" spans="1:15" x14ac:dyDescent="0.25">
      <c r="A19033" t="s">
        <v>16</v>
      </c>
      <c r="B19033" t="s">
        <v>3221</v>
      </c>
      <c r="C19033">
        <v>3898</v>
      </c>
      <c r="D19033" t="s">
        <v>1366</v>
      </c>
      <c r="E19033" t="s">
        <v>1367</v>
      </c>
      <c r="F19033">
        <v>520.4</v>
      </c>
      <c r="G19033">
        <v>230324</v>
      </c>
      <c r="H19033">
        <v>4580</v>
      </c>
      <c r="I19033" t="s">
        <v>35</v>
      </c>
      <c r="J19033">
        <v>645.29999999999995</v>
      </c>
      <c r="K19033">
        <v>124.9</v>
      </c>
      <c r="L19033">
        <v>56558</v>
      </c>
      <c r="M19033" t="s">
        <v>217</v>
      </c>
      <c r="N19033" t="str">
        <f>"247437      "</f>
        <v xml:space="preserve">247437      </v>
      </c>
      <c r="O19033">
        <v>230324</v>
      </c>
    </row>
    <row r="19034" spans="1:15" x14ac:dyDescent="0.25">
      <c r="A19034" t="s">
        <v>16</v>
      </c>
      <c r="B19034" t="s">
        <v>3221</v>
      </c>
      <c r="C19034">
        <v>6728</v>
      </c>
      <c r="D19034" t="s">
        <v>1366</v>
      </c>
      <c r="E19034" t="s">
        <v>1367</v>
      </c>
      <c r="F19034">
        <v>381</v>
      </c>
      <c r="G19034">
        <v>230508</v>
      </c>
      <c r="H19034">
        <v>4580</v>
      </c>
      <c r="I19034" t="s">
        <v>35</v>
      </c>
      <c r="J19034">
        <v>472.44</v>
      </c>
      <c r="K19034">
        <v>91.44</v>
      </c>
      <c r="L19034">
        <v>56558</v>
      </c>
      <c r="M19034" t="s">
        <v>217</v>
      </c>
      <c r="N19034" t="str">
        <f>"248237      "</f>
        <v xml:space="preserve">248237      </v>
      </c>
      <c r="O19034">
        <v>230522</v>
      </c>
    </row>
    <row r="19035" spans="1:15" x14ac:dyDescent="0.25">
      <c r="A19035" t="s">
        <v>16</v>
      </c>
      <c r="B19035" t="s">
        <v>3221</v>
      </c>
      <c r="C19035">
        <v>13619</v>
      </c>
      <c r="D19035" t="s">
        <v>1366</v>
      </c>
      <c r="E19035" t="s">
        <v>1367</v>
      </c>
      <c r="F19035">
        <v>316.49</v>
      </c>
      <c r="G19035">
        <v>230929</v>
      </c>
      <c r="H19035">
        <v>4580</v>
      </c>
      <c r="I19035" t="s">
        <v>35</v>
      </c>
      <c r="J19035">
        <v>392.45</v>
      </c>
      <c r="K19035">
        <v>75.959999999999994</v>
      </c>
      <c r="L19035">
        <v>56558</v>
      </c>
      <c r="M19035" t="s">
        <v>217</v>
      </c>
      <c r="N19035" t="str">
        <f>"250620      "</f>
        <v xml:space="preserve">250620      </v>
      </c>
      <c r="O19035">
        <v>231012</v>
      </c>
    </row>
    <row r="19036" spans="1:15" x14ac:dyDescent="0.25">
      <c r="A19036" t="s">
        <v>16</v>
      </c>
      <c r="B19036" t="s">
        <v>3221</v>
      </c>
      <c r="C19036">
        <v>16989</v>
      </c>
      <c r="D19036" t="s">
        <v>1366</v>
      </c>
      <c r="E19036" t="s">
        <v>1367</v>
      </c>
      <c r="F19036">
        <v>268.5</v>
      </c>
      <c r="G19036">
        <v>231201</v>
      </c>
      <c r="H19036">
        <v>4580</v>
      </c>
      <c r="I19036" t="s">
        <v>35</v>
      </c>
      <c r="J19036">
        <v>332.94</v>
      </c>
      <c r="K19036">
        <v>64.44</v>
      </c>
      <c r="L19036">
        <v>56558</v>
      </c>
      <c r="M19036" t="s">
        <v>217</v>
      </c>
      <c r="N19036" t="str">
        <f>"251815      "</f>
        <v xml:space="preserve">251815      </v>
      </c>
      <c r="O19036">
        <v>231211</v>
      </c>
    </row>
    <row r="19037" spans="1:15" x14ac:dyDescent="0.25">
      <c r="A19037" t="s">
        <v>16</v>
      </c>
      <c r="B19037" t="s">
        <v>3221</v>
      </c>
      <c r="C19037">
        <v>14707</v>
      </c>
      <c r="D19037" t="s">
        <v>1366</v>
      </c>
      <c r="E19037" t="s">
        <v>1367</v>
      </c>
      <c r="F19037">
        <v>49</v>
      </c>
      <c r="G19037">
        <v>231024</v>
      </c>
      <c r="H19037">
        <v>4400</v>
      </c>
      <c r="I19037" t="s">
        <v>348</v>
      </c>
      <c r="J19037">
        <v>60.76</v>
      </c>
      <c r="K19037">
        <v>11.76</v>
      </c>
      <c r="L19037">
        <v>56558</v>
      </c>
      <c r="M19037" t="s">
        <v>217</v>
      </c>
      <c r="N19037" t="str">
        <f>"251067      "</f>
        <v xml:space="preserve">251067      </v>
      </c>
      <c r="O19037">
        <v>231101</v>
      </c>
    </row>
    <row r="19038" spans="1:15" x14ac:dyDescent="0.25">
      <c r="A19038" t="s">
        <v>16</v>
      </c>
      <c r="B19038" t="s">
        <v>3221</v>
      </c>
      <c r="C19038">
        <v>14511</v>
      </c>
      <c r="D19038" t="s">
        <v>3607</v>
      </c>
      <c r="E19038" t="s">
        <v>2779</v>
      </c>
      <c r="F19038">
        <v>227.47</v>
      </c>
      <c r="G19038">
        <v>231025</v>
      </c>
      <c r="H19038">
        <v>4600</v>
      </c>
      <c r="I19038" t="s">
        <v>105</v>
      </c>
      <c r="J19038">
        <v>282.06</v>
      </c>
      <c r="K19038">
        <v>54.59</v>
      </c>
      <c r="L19038">
        <v>17952</v>
      </c>
      <c r="M19038" t="s">
        <v>88</v>
      </c>
      <c r="N19038" t="str">
        <f>"142039      "</f>
        <v xml:space="preserve">142039      </v>
      </c>
      <c r="O19038">
        <v>231030</v>
      </c>
    </row>
    <row r="19039" spans="1:15" x14ac:dyDescent="0.25">
      <c r="A19039" t="s">
        <v>16</v>
      </c>
      <c r="B19039" t="s">
        <v>3221</v>
      </c>
      <c r="C19039">
        <v>14861</v>
      </c>
      <c r="D19039" t="s">
        <v>3607</v>
      </c>
      <c r="E19039" t="s">
        <v>2779</v>
      </c>
      <c r="F19039">
        <v>162.08000000000001</v>
      </c>
      <c r="G19039">
        <v>231031</v>
      </c>
      <c r="H19039">
        <v>4600</v>
      </c>
      <c r="I19039" t="s">
        <v>105</v>
      </c>
      <c r="J19039">
        <v>200.98</v>
      </c>
      <c r="K19039">
        <v>38.9</v>
      </c>
      <c r="L19039">
        <v>17951</v>
      </c>
      <c r="M19039" t="s">
        <v>87</v>
      </c>
      <c r="N19039" t="str">
        <f>"142108      "</f>
        <v xml:space="preserve">142108      </v>
      </c>
      <c r="O19039">
        <v>231107</v>
      </c>
    </row>
    <row r="19040" spans="1:15" x14ac:dyDescent="0.25">
      <c r="A19040" t="s">
        <v>16</v>
      </c>
      <c r="B19040" t="s">
        <v>3221</v>
      </c>
      <c r="C19040">
        <v>14728</v>
      </c>
      <c r="D19040" t="s">
        <v>1478</v>
      </c>
      <c r="E19040" t="s">
        <v>1479</v>
      </c>
      <c r="F19040">
        <v>372.5</v>
      </c>
      <c r="G19040">
        <v>231030</v>
      </c>
      <c r="H19040">
        <v>4341</v>
      </c>
      <c r="I19040" t="s">
        <v>32</v>
      </c>
      <c r="J19040">
        <v>461.9</v>
      </c>
      <c r="K19040">
        <v>89.4</v>
      </c>
      <c r="L19040">
        <v>56559</v>
      </c>
      <c r="M19040" t="s">
        <v>129</v>
      </c>
      <c r="N19040" t="str">
        <f>"2967750     "</f>
        <v xml:space="preserve">2967750     </v>
      </c>
      <c r="O19040">
        <v>231101</v>
      </c>
    </row>
    <row r="19041" spans="1:15" x14ac:dyDescent="0.25">
      <c r="A19041" t="s">
        <v>16</v>
      </c>
      <c r="B19041" t="s">
        <v>3221</v>
      </c>
      <c r="C19041">
        <v>12721</v>
      </c>
      <c r="D19041" t="s">
        <v>1478</v>
      </c>
      <c r="E19041" t="s">
        <v>1479</v>
      </c>
      <c r="F19041">
        <v>160.82</v>
      </c>
      <c r="G19041">
        <v>230918</v>
      </c>
      <c r="H19041">
        <v>4343</v>
      </c>
      <c r="I19041" t="s">
        <v>91</v>
      </c>
      <c r="J19041">
        <v>199.42</v>
      </c>
      <c r="K19041">
        <v>38.6</v>
      </c>
      <c r="L19041">
        <v>17737</v>
      </c>
      <c r="M19041" t="s">
        <v>279</v>
      </c>
      <c r="N19041" t="str">
        <f>"2966871     "</f>
        <v xml:space="preserve">2966871     </v>
      </c>
      <c r="O19041">
        <v>230925</v>
      </c>
    </row>
    <row r="19042" spans="1:15" x14ac:dyDescent="0.25">
      <c r="A19042" t="s">
        <v>16</v>
      </c>
      <c r="B19042" t="s">
        <v>3221</v>
      </c>
      <c r="C19042">
        <v>2833</v>
      </c>
      <c r="D19042" t="s">
        <v>1478</v>
      </c>
      <c r="E19042" t="s">
        <v>1479</v>
      </c>
      <c r="F19042">
        <v>558.22</v>
      </c>
      <c r="G19042">
        <v>230228</v>
      </c>
      <c r="H19042">
        <v>4580</v>
      </c>
      <c r="I19042" t="s">
        <v>35</v>
      </c>
      <c r="J19042">
        <v>692.19</v>
      </c>
      <c r="K19042">
        <v>133.97</v>
      </c>
      <c r="L19042">
        <v>17711</v>
      </c>
      <c r="M19042" t="s">
        <v>65</v>
      </c>
      <c r="N19042" t="str">
        <f>"2963968     "</f>
        <v xml:space="preserve">2963968     </v>
      </c>
      <c r="O19042">
        <v>230308</v>
      </c>
    </row>
    <row r="19043" spans="1:15" x14ac:dyDescent="0.25">
      <c r="A19043" t="s">
        <v>16</v>
      </c>
      <c r="B19043" t="s">
        <v>3221</v>
      </c>
      <c r="C19043">
        <v>5567</v>
      </c>
      <c r="D19043" t="s">
        <v>1478</v>
      </c>
      <c r="E19043" t="s">
        <v>1479</v>
      </c>
      <c r="F19043">
        <v>365.01</v>
      </c>
      <c r="G19043">
        <v>230425</v>
      </c>
      <c r="H19043">
        <v>4580</v>
      </c>
      <c r="I19043" t="s">
        <v>35</v>
      </c>
      <c r="J19043">
        <v>452.61</v>
      </c>
      <c r="K19043">
        <v>87.6</v>
      </c>
      <c r="L19043">
        <v>56559</v>
      </c>
      <c r="M19043" t="s">
        <v>129</v>
      </c>
      <c r="N19043" t="str">
        <f>"2964810     "</f>
        <v xml:space="preserve">2964810     </v>
      </c>
      <c r="O19043">
        <v>230426</v>
      </c>
    </row>
    <row r="19044" spans="1:15" x14ac:dyDescent="0.25">
      <c r="A19044" t="s">
        <v>16</v>
      </c>
      <c r="B19044" t="s">
        <v>3221</v>
      </c>
      <c r="C19044">
        <v>11176</v>
      </c>
      <c r="D19044" t="s">
        <v>1478</v>
      </c>
      <c r="E19044" t="s">
        <v>1479</v>
      </c>
      <c r="F19044">
        <v>420</v>
      </c>
      <c r="G19044">
        <v>230829</v>
      </c>
      <c r="H19044">
        <v>4580</v>
      </c>
      <c r="I19044" t="s">
        <v>35</v>
      </c>
      <c r="J19044">
        <v>520.79999999999995</v>
      </c>
      <c r="K19044">
        <v>100.8</v>
      </c>
      <c r="L19044">
        <v>56559</v>
      </c>
      <c r="M19044" t="s">
        <v>129</v>
      </c>
      <c r="N19044" t="str">
        <f>"2966649     "</f>
        <v xml:space="preserve">2966649     </v>
      </c>
      <c r="O19044">
        <v>230830</v>
      </c>
    </row>
    <row r="19045" spans="1:15" x14ac:dyDescent="0.25">
      <c r="A19045" t="s">
        <v>16</v>
      </c>
      <c r="B19045" t="s">
        <v>3221</v>
      </c>
      <c r="C19045">
        <v>13046</v>
      </c>
      <c r="D19045" t="s">
        <v>1478</v>
      </c>
      <c r="E19045" t="s">
        <v>1479</v>
      </c>
      <c r="F19045">
        <v>167.5</v>
      </c>
      <c r="G19045">
        <v>230928</v>
      </c>
      <c r="H19045">
        <v>4580</v>
      </c>
      <c r="I19045" t="s">
        <v>35</v>
      </c>
      <c r="J19045">
        <v>207.7</v>
      </c>
      <c r="K19045">
        <v>40.200000000000003</v>
      </c>
      <c r="L19045">
        <v>56559</v>
      </c>
      <c r="M19045" t="s">
        <v>129</v>
      </c>
      <c r="N19045" t="str">
        <f>"2967036     "</f>
        <v xml:space="preserve">2967036     </v>
      </c>
      <c r="O19045">
        <v>231002</v>
      </c>
    </row>
    <row r="19046" spans="1:15" x14ac:dyDescent="0.25">
      <c r="A19046" t="s">
        <v>16</v>
      </c>
      <c r="B19046" t="s">
        <v>3221</v>
      </c>
      <c r="C19046">
        <v>15697</v>
      </c>
      <c r="D19046" t="s">
        <v>1478</v>
      </c>
      <c r="E19046" t="s">
        <v>1479</v>
      </c>
      <c r="F19046">
        <v>3670</v>
      </c>
      <c r="G19046">
        <v>231113</v>
      </c>
      <c r="H19046">
        <v>4600</v>
      </c>
      <c r="I19046" t="s">
        <v>105</v>
      </c>
      <c r="J19046">
        <v>4550.8</v>
      </c>
      <c r="K19046">
        <v>880.8</v>
      </c>
      <c r="L19046">
        <v>56559</v>
      </c>
      <c r="M19046" t="s">
        <v>129</v>
      </c>
      <c r="N19046" t="str">
        <f>"2967950     "</f>
        <v xml:space="preserve">2967950     </v>
      </c>
      <c r="O19046">
        <v>231116</v>
      </c>
    </row>
    <row r="19047" spans="1:15" x14ac:dyDescent="0.25">
      <c r="A19047" t="s">
        <v>16</v>
      </c>
      <c r="B19047" t="s">
        <v>3221</v>
      </c>
      <c r="C19047">
        <v>15942</v>
      </c>
      <c r="D19047" t="s">
        <v>3565</v>
      </c>
      <c r="E19047" t="s">
        <v>3566</v>
      </c>
      <c r="F19047">
        <v>250</v>
      </c>
      <c r="G19047">
        <v>231114</v>
      </c>
      <c r="H19047">
        <v>4940</v>
      </c>
      <c r="I19047" t="s">
        <v>514</v>
      </c>
      <c r="J19047">
        <v>250</v>
      </c>
      <c r="K19047">
        <v>0</v>
      </c>
      <c r="L19047">
        <v>11001</v>
      </c>
      <c r="M19047" t="s">
        <v>326</v>
      </c>
      <c r="N19047" t="str">
        <f>"359337      "</f>
        <v xml:space="preserve">359337      </v>
      </c>
      <c r="O19047">
        <v>231122</v>
      </c>
    </row>
    <row r="19048" spans="1:15" x14ac:dyDescent="0.25">
      <c r="A19048" t="s">
        <v>16</v>
      </c>
      <c r="B19048" t="s">
        <v>3221</v>
      </c>
      <c r="C19048">
        <v>6884</v>
      </c>
      <c r="D19048" t="s">
        <v>3476</v>
      </c>
      <c r="E19048" t="s">
        <v>3477</v>
      </c>
      <c r="F19048">
        <v>2140</v>
      </c>
      <c r="G19048">
        <v>230517</v>
      </c>
      <c r="H19048">
        <v>4440</v>
      </c>
      <c r="I19048" t="s">
        <v>250</v>
      </c>
      <c r="J19048">
        <v>2140</v>
      </c>
      <c r="K19048">
        <v>0</v>
      </c>
      <c r="L19048">
        <v>18121</v>
      </c>
      <c r="M19048" t="s">
        <v>3478</v>
      </c>
      <c r="N19048" t="str">
        <f>"609861      "</f>
        <v xml:space="preserve">609861      </v>
      </c>
      <c r="O19048">
        <v>230523</v>
      </c>
    </row>
    <row r="19049" spans="1:15" x14ac:dyDescent="0.25">
      <c r="A19049" t="s">
        <v>16</v>
      </c>
      <c r="B19049" t="s">
        <v>3221</v>
      </c>
      <c r="C19049">
        <v>18021</v>
      </c>
      <c r="D19049" t="s">
        <v>3476</v>
      </c>
      <c r="E19049" t="s">
        <v>3477</v>
      </c>
      <c r="F19049">
        <v>2660</v>
      </c>
      <c r="G19049">
        <v>231217</v>
      </c>
      <c r="H19049">
        <v>4440</v>
      </c>
      <c r="I19049" t="s">
        <v>250</v>
      </c>
      <c r="J19049">
        <v>2660</v>
      </c>
      <c r="K19049">
        <v>0</v>
      </c>
      <c r="L19049">
        <v>18121</v>
      </c>
      <c r="M19049" t="s">
        <v>3478</v>
      </c>
      <c r="N19049" t="str">
        <f>"610338      "</f>
        <v xml:space="preserve">610338      </v>
      </c>
      <c r="O19049">
        <v>231228</v>
      </c>
    </row>
    <row r="19050" spans="1:15" x14ac:dyDescent="0.25">
      <c r="A19050" t="s">
        <v>16</v>
      </c>
      <c r="B19050" t="s">
        <v>3221</v>
      </c>
      <c r="C19050">
        <v>10470</v>
      </c>
      <c r="D19050" t="s">
        <v>2383</v>
      </c>
      <c r="E19050" t="s">
        <v>2384</v>
      </c>
      <c r="F19050">
        <v>528.57000000000005</v>
      </c>
      <c r="G19050">
        <v>230810</v>
      </c>
      <c r="H19050">
        <v>1198</v>
      </c>
      <c r="I19050" t="s">
        <v>1128</v>
      </c>
      <c r="J19050">
        <v>528.57000000000005</v>
      </c>
      <c r="K19050">
        <v>0</v>
      </c>
      <c r="L19050">
        <v>97711</v>
      </c>
      <c r="M19050" t="s">
        <v>2385</v>
      </c>
      <c r="N19050" t="str">
        <f>"955         "</f>
        <v xml:space="preserve">955         </v>
      </c>
      <c r="O19050">
        <v>230817</v>
      </c>
    </row>
    <row r="19051" spans="1:15" x14ac:dyDescent="0.25">
      <c r="A19051" t="s">
        <v>16</v>
      </c>
      <c r="B19051" t="s">
        <v>3221</v>
      </c>
      <c r="C19051">
        <v>12392</v>
      </c>
      <c r="D19051" t="s">
        <v>2383</v>
      </c>
      <c r="E19051" t="s">
        <v>2384</v>
      </c>
      <c r="F19051">
        <v>305.24</v>
      </c>
      <c r="G19051">
        <v>230908</v>
      </c>
      <c r="H19051">
        <v>4400</v>
      </c>
      <c r="I19051" t="s">
        <v>348</v>
      </c>
      <c r="J19051">
        <v>305.24</v>
      </c>
      <c r="K19051">
        <v>0</v>
      </c>
      <c r="L19051">
        <v>14432</v>
      </c>
      <c r="M19051" t="s">
        <v>862</v>
      </c>
      <c r="N19051" t="str">
        <f>"972         "</f>
        <v xml:space="preserve">972         </v>
      </c>
      <c r="O19051">
        <v>230919</v>
      </c>
    </row>
    <row r="19052" spans="1:15" x14ac:dyDescent="0.25">
      <c r="A19052" t="s">
        <v>16</v>
      </c>
      <c r="B19052" t="s">
        <v>3221</v>
      </c>
      <c r="C19052">
        <v>16431</v>
      </c>
      <c r="D19052" t="s">
        <v>2383</v>
      </c>
      <c r="E19052" t="s">
        <v>2384</v>
      </c>
      <c r="F19052">
        <v>690.01</v>
      </c>
      <c r="G19052">
        <v>231127</v>
      </c>
      <c r="H19052">
        <v>4400</v>
      </c>
      <c r="I19052" t="s">
        <v>348</v>
      </c>
      <c r="J19052">
        <v>855.61</v>
      </c>
      <c r="K19052">
        <v>165.6</v>
      </c>
      <c r="L19052">
        <v>14432</v>
      </c>
      <c r="M19052" t="s">
        <v>862</v>
      </c>
      <c r="N19052" t="str">
        <f>"1010        "</f>
        <v xml:space="preserve">1010        </v>
      </c>
      <c r="O19052">
        <v>231129</v>
      </c>
    </row>
    <row r="19053" spans="1:15" x14ac:dyDescent="0.25">
      <c r="A19053" t="s">
        <v>16</v>
      </c>
      <c r="B19053" t="s">
        <v>3221</v>
      </c>
      <c r="C19053">
        <v>17753</v>
      </c>
      <c r="D19053" t="s">
        <v>2383</v>
      </c>
      <c r="E19053" t="s">
        <v>2384</v>
      </c>
      <c r="F19053">
        <v>59.5</v>
      </c>
      <c r="G19053">
        <v>231211</v>
      </c>
      <c r="H19053">
        <v>4400</v>
      </c>
      <c r="I19053" t="s">
        <v>348</v>
      </c>
      <c r="J19053">
        <v>73.78</v>
      </c>
      <c r="K19053">
        <v>14.28</v>
      </c>
      <c r="L19053">
        <v>14432</v>
      </c>
      <c r="M19053" t="s">
        <v>862</v>
      </c>
      <c r="N19053" t="str">
        <f>"1021        "</f>
        <v xml:space="preserve">1021        </v>
      </c>
      <c r="O19053">
        <v>231222</v>
      </c>
    </row>
    <row r="19054" spans="1:15" x14ac:dyDescent="0.25">
      <c r="A19054" t="s">
        <v>16</v>
      </c>
      <c r="B19054" t="s">
        <v>3221</v>
      </c>
      <c r="C19054">
        <v>16431</v>
      </c>
      <c r="D19054" t="s">
        <v>2383</v>
      </c>
      <c r="E19054" t="s">
        <v>2384</v>
      </c>
      <c r="F19054">
        <v>772.27</v>
      </c>
      <c r="G19054">
        <v>231127</v>
      </c>
      <c r="H19054">
        <v>4600</v>
      </c>
      <c r="I19054" t="s">
        <v>105</v>
      </c>
      <c r="J19054">
        <v>957.62</v>
      </c>
      <c r="K19054">
        <v>185.35</v>
      </c>
      <c r="L19054">
        <v>14432</v>
      </c>
      <c r="M19054" t="s">
        <v>862</v>
      </c>
      <c r="N19054" t="str">
        <f>"1010        "</f>
        <v xml:space="preserve">1010        </v>
      </c>
      <c r="O19054">
        <v>231129</v>
      </c>
    </row>
    <row r="19055" spans="1:15" x14ac:dyDescent="0.25">
      <c r="A19055" t="s">
        <v>16</v>
      </c>
      <c r="B19055" t="s">
        <v>3221</v>
      </c>
      <c r="C19055">
        <v>17991</v>
      </c>
      <c r="D19055" t="s">
        <v>2383</v>
      </c>
      <c r="E19055" t="s">
        <v>2384</v>
      </c>
      <c r="F19055">
        <v>59.5</v>
      </c>
      <c r="G19055">
        <v>231215</v>
      </c>
      <c r="H19055">
        <v>4390</v>
      </c>
      <c r="I19055" t="s">
        <v>98</v>
      </c>
      <c r="J19055">
        <v>73.78</v>
      </c>
      <c r="K19055">
        <v>14.28</v>
      </c>
      <c r="L19055">
        <v>14952</v>
      </c>
      <c r="M19055" t="s">
        <v>99</v>
      </c>
      <c r="N19055" t="str">
        <f>"1027        "</f>
        <v xml:space="preserve">1027        </v>
      </c>
      <c r="O19055">
        <v>231228</v>
      </c>
    </row>
    <row r="19056" spans="1:15" x14ac:dyDescent="0.25">
      <c r="A19056" t="s">
        <v>16</v>
      </c>
      <c r="B19056" t="s">
        <v>3221</v>
      </c>
      <c r="C19056">
        <v>8441</v>
      </c>
      <c r="D19056" t="s">
        <v>3282</v>
      </c>
      <c r="E19056" t="s">
        <v>3283</v>
      </c>
      <c r="F19056">
        <v>11</v>
      </c>
      <c r="G19056">
        <v>230607</v>
      </c>
      <c r="H19056">
        <v>4346</v>
      </c>
      <c r="I19056" t="s">
        <v>197</v>
      </c>
      <c r="J19056">
        <v>13.64</v>
      </c>
      <c r="K19056">
        <v>2.64</v>
      </c>
      <c r="L19056">
        <v>17521</v>
      </c>
      <c r="M19056" t="s">
        <v>133</v>
      </c>
      <c r="N19056" t="str">
        <f>"2243012135  "</f>
        <v xml:space="preserve">2243012135  </v>
      </c>
      <c r="O19056">
        <v>230608</v>
      </c>
    </row>
    <row r="19057" spans="1:15" x14ac:dyDescent="0.25">
      <c r="A19057" t="s">
        <v>16</v>
      </c>
      <c r="B19057" t="s">
        <v>3221</v>
      </c>
      <c r="C19057">
        <v>8443</v>
      </c>
      <c r="D19057" t="s">
        <v>3282</v>
      </c>
      <c r="E19057" t="s">
        <v>3283</v>
      </c>
      <c r="F19057">
        <v>19</v>
      </c>
      <c r="G19057">
        <v>230607</v>
      </c>
      <c r="H19057">
        <v>4346</v>
      </c>
      <c r="I19057" t="s">
        <v>197</v>
      </c>
      <c r="J19057">
        <v>19</v>
      </c>
      <c r="K19057">
        <v>0</v>
      </c>
      <c r="L19057">
        <v>17521</v>
      </c>
      <c r="M19057" t="s">
        <v>133</v>
      </c>
      <c r="N19057" t="str">
        <f>"2243012134  "</f>
        <v xml:space="preserve">2243012134  </v>
      </c>
      <c r="O19057">
        <v>230608</v>
      </c>
    </row>
    <row r="19058" spans="1:15" x14ac:dyDescent="0.25">
      <c r="A19058" t="s">
        <v>16</v>
      </c>
      <c r="B19058" t="s">
        <v>3221</v>
      </c>
      <c r="C19058">
        <v>9783</v>
      </c>
      <c r="D19058" t="s">
        <v>3282</v>
      </c>
      <c r="E19058" t="s">
        <v>3283</v>
      </c>
      <c r="F19058">
        <v>738</v>
      </c>
      <c r="G19058">
        <v>230713</v>
      </c>
      <c r="H19058">
        <v>4346</v>
      </c>
      <c r="I19058" t="s">
        <v>197</v>
      </c>
      <c r="J19058">
        <v>738</v>
      </c>
      <c r="K19058">
        <v>0</v>
      </c>
      <c r="L19058">
        <v>17521</v>
      </c>
      <c r="M19058" t="s">
        <v>133</v>
      </c>
      <c r="N19058" t="str">
        <f>"2243012259  "</f>
        <v xml:space="preserve">2243012259  </v>
      </c>
      <c r="O19058">
        <v>230725</v>
      </c>
    </row>
    <row r="19059" spans="1:15" x14ac:dyDescent="0.25">
      <c r="A19059" t="s">
        <v>16</v>
      </c>
      <c r="B19059" t="s">
        <v>3221</v>
      </c>
      <c r="C19059">
        <v>15946</v>
      </c>
      <c r="D19059" t="s">
        <v>3282</v>
      </c>
      <c r="E19059" t="s">
        <v>3283</v>
      </c>
      <c r="F19059">
        <v>270</v>
      </c>
      <c r="G19059">
        <v>231106</v>
      </c>
      <c r="H19059">
        <v>4346</v>
      </c>
      <c r="I19059" t="s">
        <v>197</v>
      </c>
      <c r="J19059">
        <v>270</v>
      </c>
      <c r="K19059">
        <v>0</v>
      </c>
      <c r="L19059">
        <v>17521</v>
      </c>
      <c r="M19059" t="s">
        <v>133</v>
      </c>
      <c r="N19059" t="str">
        <f>"2243012861  "</f>
        <v xml:space="preserve">2243012861  </v>
      </c>
      <c r="O19059">
        <v>231122</v>
      </c>
    </row>
    <row r="19060" spans="1:15" x14ac:dyDescent="0.25">
      <c r="A19060" t="s">
        <v>16</v>
      </c>
      <c r="B19060" t="s">
        <v>3221</v>
      </c>
      <c r="C19060">
        <v>7664</v>
      </c>
      <c r="D19060" t="s">
        <v>3282</v>
      </c>
      <c r="E19060" t="s">
        <v>3283</v>
      </c>
      <c r="F19060">
        <v>19</v>
      </c>
      <c r="G19060">
        <v>230522</v>
      </c>
      <c r="H19060">
        <v>4600</v>
      </c>
      <c r="I19060" t="s">
        <v>105</v>
      </c>
      <c r="J19060">
        <v>19</v>
      </c>
      <c r="K19060">
        <v>0</v>
      </c>
      <c r="L19060">
        <v>17632</v>
      </c>
      <c r="M19060" t="s">
        <v>495</v>
      </c>
      <c r="N19060" t="str">
        <f>"2243012091  "</f>
        <v xml:space="preserve">2243012091  </v>
      </c>
      <c r="O19060">
        <v>230601</v>
      </c>
    </row>
    <row r="19061" spans="1:15" x14ac:dyDescent="0.25">
      <c r="A19061" t="s">
        <v>16</v>
      </c>
      <c r="B19061" t="s">
        <v>3221</v>
      </c>
      <c r="C19061">
        <v>7665</v>
      </c>
      <c r="D19061" t="s">
        <v>3282</v>
      </c>
      <c r="E19061" t="s">
        <v>3283</v>
      </c>
      <c r="F19061">
        <v>11</v>
      </c>
      <c r="G19061">
        <v>230522</v>
      </c>
      <c r="H19061">
        <v>4600</v>
      </c>
      <c r="I19061" t="s">
        <v>105</v>
      </c>
      <c r="J19061">
        <v>13.64</v>
      </c>
      <c r="K19061">
        <v>2.64</v>
      </c>
      <c r="L19061">
        <v>17632</v>
      </c>
      <c r="M19061" t="s">
        <v>495</v>
      </c>
      <c r="N19061" t="str">
        <f>"2243012092  "</f>
        <v xml:space="preserve">2243012092  </v>
      </c>
      <c r="O19061">
        <v>230601</v>
      </c>
    </row>
    <row r="19062" spans="1:15" x14ac:dyDescent="0.25">
      <c r="A19062" t="s">
        <v>16</v>
      </c>
      <c r="B19062" t="s">
        <v>3221</v>
      </c>
      <c r="C19062">
        <v>18049</v>
      </c>
      <c r="D19062" t="s">
        <v>3282</v>
      </c>
      <c r="E19062" t="s">
        <v>3283</v>
      </c>
      <c r="F19062">
        <v>100</v>
      </c>
      <c r="G19062">
        <v>231212</v>
      </c>
      <c r="H19062">
        <v>4600</v>
      </c>
      <c r="I19062" t="s">
        <v>105</v>
      </c>
      <c r="J19062">
        <v>100</v>
      </c>
      <c r="K19062">
        <v>0</v>
      </c>
      <c r="L19062">
        <v>17632</v>
      </c>
      <c r="M19062" t="s">
        <v>495</v>
      </c>
      <c r="N19062" t="str">
        <f>"2243012999  "</f>
        <v xml:space="preserve">2243012999  </v>
      </c>
      <c r="O19062">
        <v>240102</v>
      </c>
    </row>
    <row r="19063" spans="1:15" x14ac:dyDescent="0.25">
      <c r="A19063" t="s">
        <v>16</v>
      </c>
      <c r="B19063" t="s">
        <v>3221</v>
      </c>
      <c r="C19063">
        <v>18367</v>
      </c>
      <c r="D19063" t="s">
        <v>3282</v>
      </c>
      <c r="E19063" t="s">
        <v>3283</v>
      </c>
      <c r="F19063">
        <v>11</v>
      </c>
      <c r="G19063">
        <v>231218</v>
      </c>
      <c r="H19063">
        <v>4600</v>
      </c>
      <c r="I19063" t="s">
        <v>105</v>
      </c>
      <c r="J19063">
        <v>13.64</v>
      </c>
      <c r="K19063">
        <v>2.64</v>
      </c>
      <c r="L19063">
        <v>17521</v>
      </c>
      <c r="M19063" t="s">
        <v>133</v>
      </c>
      <c r="N19063" t="str">
        <f>"2243013037  "</f>
        <v xml:space="preserve">2243013037  </v>
      </c>
      <c r="O19063">
        <v>240103</v>
      </c>
    </row>
    <row r="19064" spans="1:15" x14ac:dyDescent="0.25">
      <c r="A19064" t="s">
        <v>16</v>
      </c>
      <c r="B19064" t="s">
        <v>3221</v>
      </c>
      <c r="C19064">
        <v>18408</v>
      </c>
      <c r="D19064" t="s">
        <v>3282</v>
      </c>
      <c r="E19064" t="s">
        <v>3283</v>
      </c>
      <c r="F19064">
        <v>15.32</v>
      </c>
      <c r="G19064">
        <v>231218</v>
      </c>
      <c r="H19064">
        <v>4600</v>
      </c>
      <c r="I19064" t="s">
        <v>105</v>
      </c>
      <c r="J19064">
        <v>19</v>
      </c>
      <c r="K19064">
        <v>3.68</v>
      </c>
      <c r="L19064">
        <v>17632</v>
      </c>
      <c r="M19064" t="s">
        <v>495</v>
      </c>
      <c r="N19064" t="str">
        <f>"2243013036  "</f>
        <v xml:space="preserve">2243013036  </v>
      </c>
      <c r="O19064">
        <v>240103</v>
      </c>
    </row>
    <row r="19065" spans="1:15" x14ac:dyDescent="0.25">
      <c r="A19065" t="s">
        <v>16</v>
      </c>
      <c r="B19065" t="s">
        <v>3221</v>
      </c>
      <c r="C19065">
        <v>19196</v>
      </c>
      <c r="D19065" t="s">
        <v>3282</v>
      </c>
      <c r="E19065" t="s">
        <v>3283</v>
      </c>
      <c r="F19065">
        <v>57</v>
      </c>
      <c r="G19065">
        <v>231231</v>
      </c>
      <c r="H19065">
        <v>4600</v>
      </c>
      <c r="I19065" t="s">
        <v>105</v>
      </c>
      <c r="J19065">
        <v>57</v>
      </c>
      <c r="K19065">
        <v>0</v>
      </c>
      <c r="L19065">
        <v>17632</v>
      </c>
      <c r="M19065" t="s">
        <v>495</v>
      </c>
      <c r="N19065" t="str">
        <f>"2243013078  "</f>
        <v xml:space="preserve">2243013078  </v>
      </c>
      <c r="O19065">
        <v>240112</v>
      </c>
    </row>
    <row r="19066" spans="1:15" x14ac:dyDescent="0.25">
      <c r="A19066" t="s">
        <v>16</v>
      </c>
      <c r="B19066" t="s">
        <v>3221</v>
      </c>
      <c r="C19066">
        <v>19197</v>
      </c>
      <c r="D19066" t="s">
        <v>3282</v>
      </c>
      <c r="E19066" t="s">
        <v>3283</v>
      </c>
      <c r="F19066">
        <v>33</v>
      </c>
      <c r="G19066">
        <v>231231</v>
      </c>
      <c r="H19066">
        <v>4600</v>
      </c>
      <c r="I19066" t="s">
        <v>105</v>
      </c>
      <c r="J19066">
        <v>40.92</v>
      </c>
      <c r="K19066">
        <v>7.92</v>
      </c>
      <c r="L19066">
        <v>17632</v>
      </c>
      <c r="M19066" t="s">
        <v>495</v>
      </c>
      <c r="N19066" t="str">
        <f>"2243013079  "</f>
        <v xml:space="preserve">2243013079  </v>
      </c>
      <c r="O19066">
        <v>240112</v>
      </c>
    </row>
    <row r="19067" spans="1:15" x14ac:dyDescent="0.25">
      <c r="A19067" t="s">
        <v>16</v>
      </c>
      <c r="B19067" t="s">
        <v>3221</v>
      </c>
      <c r="C19067">
        <v>9413</v>
      </c>
      <c r="D19067" t="s">
        <v>3704</v>
      </c>
      <c r="E19067" t="s">
        <v>3499</v>
      </c>
      <c r="F19067">
        <v>550</v>
      </c>
      <c r="G19067">
        <v>230704</v>
      </c>
      <c r="H19067">
        <v>4350</v>
      </c>
      <c r="I19067" t="s">
        <v>546</v>
      </c>
      <c r="J19067">
        <v>550</v>
      </c>
      <c r="K19067">
        <v>0</v>
      </c>
      <c r="L19067">
        <v>59702</v>
      </c>
      <c r="M19067" t="s">
        <v>328</v>
      </c>
      <c r="N19067" t="str">
        <f>"681         "</f>
        <v xml:space="preserve">681         </v>
      </c>
      <c r="O19067">
        <v>230710</v>
      </c>
    </row>
    <row r="19068" spans="1:15" x14ac:dyDescent="0.25">
      <c r="A19068" t="s">
        <v>16</v>
      </c>
      <c r="B19068" t="s">
        <v>3221</v>
      </c>
      <c r="C19068">
        <v>267</v>
      </c>
      <c r="D19068" t="s">
        <v>390</v>
      </c>
      <c r="E19068" t="s">
        <v>391</v>
      </c>
      <c r="F19068">
        <v>13980</v>
      </c>
      <c r="G19068">
        <v>230112</v>
      </c>
      <c r="H19068">
        <v>1196</v>
      </c>
      <c r="I19068" t="s">
        <v>392</v>
      </c>
      <c r="J19068">
        <v>13980</v>
      </c>
      <c r="K19068">
        <v>0</v>
      </c>
      <c r="L19068">
        <v>97501</v>
      </c>
      <c r="M19068" t="s">
        <v>393</v>
      </c>
      <c r="N19068" t="str">
        <f>"3753        "</f>
        <v xml:space="preserve">3753        </v>
      </c>
      <c r="O19068">
        <v>230117</v>
      </c>
    </row>
    <row r="19069" spans="1:15" x14ac:dyDescent="0.25">
      <c r="A19069" t="s">
        <v>16</v>
      </c>
      <c r="B19069" t="s">
        <v>3221</v>
      </c>
      <c r="C19069">
        <v>635</v>
      </c>
      <c r="D19069" t="s">
        <v>390</v>
      </c>
      <c r="E19069" t="s">
        <v>391</v>
      </c>
      <c r="F19069">
        <v>13980</v>
      </c>
      <c r="G19069">
        <v>230124</v>
      </c>
      <c r="H19069">
        <v>1196</v>
      </c>
      <c r="I19069" t="s">
        <v>392</v>
      </c>
      <c r="J19069">
        <v>13980</v>
      </c>
      <c r="K19069">
        <v>0</v>
      </c>
      <c r="L19069">
        <v>97501</v>
      </c>
      <c r="M19069" t="s">
        <v>393</v>
      </c>
      <c r="N19069" t="str">
        <f>"3774        "</f>
        <v xml:space="preserve">3774        </v>
      </c>
      <c r="O19069">
        <v>230125</v>
      </c>
    </row>
    <row r="19070" spans="1:15" x14ac:dyDescent="0.25">
      <c r="A19070" t="s">
        <v>16</v>
      </c>
      <c r="B19070" t="s">
        <v>3221</v>
      </c>
      <c r="C19070">
        <v>885</v>
      </c>
      <c r="D19070" t="s">
        <v>390</v>
      </c>
      <c r="E19070" t="s">
        <v>391</v>
      </c>
      <c r="F19070">
        <v>13980</v>
      </c>
      <c r="G19070">
        <v>230127</v>
      </c>
      <c r="H19070">
        <v>1196</v>
      </c>
      <c r="I19070" t="s">
        <v>392</v>
      </c>
      <c r="J19070">
        <v>13980</v>
      </c>
      <c r="K19070">
        <v>0</v>
      </c>
      <c r="L19070">
        <v>97501</v>
      </c>
      <c r="M19070" t="s">
        <v>393</v>
      </c>
      <c r="N19070" t="str">
        <f>"3787        "</f>
        <v xml:space="preserve">3787        </v>
      </c>
      <c r="O19070">
        <v>230131</v>
      </c>
    </row>
    <row r="19071" spans="1:15" x14ac:dyDescent="0.25">
      <c r="A19071" t="s">
        <v>16</v>
      </c>
      <c r="B19071" t="s">
        <v>3221</v>
      </c>
      <c r="C19071">
        <v>2492</v>
      </c>
      <c r="D19071" t="s">
        <v>390</v>
      </c>
      <c r="E19071" t="s">
        <v>391</v>
      </c>
      <c r="F19071">
        <v>9087</v>
      </c>
      <c r="G19071">
        <v>230213</v>
      </c>
      <c r="H19071">
        <v>1196</v>
      </c>
      <c r="I19071" t="s">
        <v>392</v>
      </c>
      <c r="J19071">
        <v>9087</v>
      </c>
      <c r="K19071">
        <v>0</v>
      </c>
      <c r="L19071">
        <v>97501</v>
      </c>
      <c r="M19071" t="s">
        <v>393</v>
      </c>
      <c r="N19071" t="str">
        <f>"3838        "</f>
        <v xml:space="preserve">3838        </v>
      </c>
      <c r="O19071">
        <v>230228</v>
      </c>
    </row>
    <row r="19072" spans="1:15" x14ac:dyDescent="0.25">
      <c r="A19072" t="s">
        <v>16</v>
      </c>
      <c r="B19072" t="s">
        <v>3221</v>
      </c>
      <c r="C19072">
        <v>3017</v>
      </c>
      <c r="D19072" t="s">
        <v>390</v>
      </c>
      <c r="E19072" t="s">
        <v>391</v>
      </c>
      <c r="F19072">
        <v>1398</v>
      </c>
      <c r="G19072">
        <v>230228</v>
      </c>
      <c r="H19072">
        <v>1196</v>
      </c>
      <c r="I19072" t="s">
        <v>392</v>
      </c>
      <c r="J19072">
        <v>1398</v>
      </c>
      <c r="K19072">
        <v>0</v>
      </c>
      <c r="L19072">
        <v>97501</v>
      </c>
      <c r="M19072" t="s">
        <v>393</v>
      </c>
      <c r="N19072" t="str">
        <f>"3871        "</f>
        <v xml:space="preserve">3871        </v>
      </c>
      <c r="O19072">
        <v>230308</v>
      </c>
    </row>
    <row r="19073" spans="1:15" x14ac:dyDescent="0.25">
      <c r="A19073" t="s">
        <v>16</v>
      </c>
      <c r="B19073" t="s">
        <v>3221</v>
      </c>
      <c r="C19073">
        <v>3147</v>
      </c>
      <c r="D19073" t="s">
        <v>390</v>
      </c>
      <c r="E19073" t="s">
        <v>391</v>
      </c>
      <c r="F19073">
        <v>10485</v>
      </c>
      <c r="G19073">
        <v>230217</v>
      </c>
      <c r="H19073">
        <v>1196</v>
      </c>
      <c r="I19073" t="s">
        <v>392</v>
      </c>
      <c r="J19073">
        <v>10485</v>
      </c>
      <c r="K19073">
        <v>0</v>
      </c>
      <c r="L19073">
        <v>97501</v>
      </c>
      <c r="M19073" t="s">
        <v>393</v>
      </c>
      <c r="N19073" t="str">
        <f>"3861        "</f>
        <v xml:space="preserve">3861        </v>
      </c>
      <c r="O19073">
        <v>230309</v>
      </c>
    </row>
    <row r="19074" spans="1:15" x14ac:dyDescent="0.25">
      <c r="A19074" t="s">
        <v>16</v>
      </c>
      <c r="B19074" t="s">
        <v>3221</v>
      </c>
      <c r="C19074">
        <v>3147</v>
      </c>
      <c r="D19074" t="s">
        <v>390</v>
      </c>
      <c r="E19074" t="s">
        <v>391</v>
      </c>
      <c r="F19074">
        <v>1200</v>
      </c>
      <c r="G19074">
        <v>230217</v>
      </c>
      <c r="H19074">
        <v>1196</v>
      </c>
      <c r="I19074" t="s">
        <v>392</v>
      </c>
      <c r="J19074">
        <v>1200</v>
      </c>
      <c r="K19074">
        <v>0</v>
      </c>
      <c r="L19074">
        <v>97501</v>
      </c>
      <c r="M19074" t="s">
        <v>393</v>
      </c>
      <c r="N19074" t="str">
        <f>"3861        "</f>
        <v xml:space="preserve">3861        </v>
      </c>
      <c r="O19074">
        <v>230309</v>
      </c>
    </row>
    <row r="19075" spans="1:15" x14ac:dyDescent="0.25">
      <c r="A19075" t="s">
        <v>16</v>
      </c>
      <c r="B19075" t="s">
        <v>3221</v>
      </c>
      <c r="C19075">
        <v>4275</v>
      </c>
      <c r="D19075" t="s">
        <v>3705</v>
      </c>
      <c r="E19075" t="s">
        <v>3414</v>
      </c>
      <c r="F19075">
        <v>600</v>
      </c>
      <c r="G19075">
        <v>230330</v>
      </c>
      <c r="H19075">
        <v>4440</v>
      </c>
      <c r="I19075" t="s">
        <v>250</v>
      </c>
      <c r="J19075">
        <v>600</v>
      </c>
      <c r="K19075">
        <v>0</v>
      </c>
      <c r="L19075">
        <v>18120</v>
      </c>
      <c r="M19075" t="s">
        <v>329</v>
      </c>
      <c r="N19075" t="str">
        <f>"03230358    "</f>
        <v xml:space="preserve">03230358    </v>
      </c>
      <c r="O19075">
        <v>230404</v>
      </c>
    </row>
    <row r="19076" spans="1:15" x14ac:dyDescent="0.25">
      <c r="A19076" t="s">
        <v>16</v>
      </c>
      <c r="B19076" t="s">
        <v>3221</v>
      </c>
      <c r="C19076">
        <v>4334</v>
      </c>
      <c r="D19076" t="s">
        <v>3705</v>
      </c>
      <c r="E19076" t="s">
        <v>3414</v>
      </c>
      <c r="F19076">
        <v>798</v>
      </c>
      <c r="G19076">
        <v>230331</v>
      </c>
      <c r="H19076">
        <v>4440</v>
      </c>
      <c r="I19076" t="s">
        <v>250</v>
      </c>
      <c r="J19076">
        <v>798</v>
      </c>
      <c r="K19076">
        <v>0</v>
      </c>
      <c r="L19076">
        <v>18120</v>
      </c>
      <c r="M19076" t="s">
        <v>329</v>
      </c>
      <c r="N19076" t="str">
        <f>"03230384    "</f>
        <v xml:space="preserve">03230384    </v>
      </c>
      <c r="O19076">
        <v>230404</v>
      </c>
    </row>
    <row r="19077" spans="1:15" x14ac:dyDescent="0.25">
      <c r="A19077" t="s">
        <v>16</v>
      </c>
      <c r="B19077" t="s">
        <v>3221</v>
      </c>
      <c r="C19077">
        <v>5022</v>
      </c>
      <c r="D19077" t="s">
        <v>3705</v>
      </c>
      <c r="E19077" t="s">
        <v>3414</v>
      </c>
      <c r="F19077">
        <v>393.75</v>
      </c>
      <c r="G19077">
        <v>230331</v>
      </c>
      <c r="H19077">
        <v>4440</v>
      </c>
      <c r="I19077" t="s">
        <v>250</v>
      </c>
      <c r="J19077">
        <v>488.25</v>
      </c>
      <c r="K19077">
        <v>94.5</v>
      </c>
      <c r="L19077">
        <v>18120</v>
      </c>
      <c r="M19077" t="s">
        <v>329</v>
      </c>
      <c r="N19077" t="str">
        <f>"03230385    "</f>
        <v xml:space="preserve">03230385    </v>
      </c>
      <c r="O19077">
        <v>230417</v>
      </c>
    </row>
    <row r="19078" spans="1:15" x14ac:dyDescent="0.25">
      <c r="A19078" t="s">
        <v>16</v>
      </c>
      <c r="B19078" t="s">
        <v>3221</v>
      </c>
      <c r="C19078">
        <v>7456</v>
      </c>
      <c r="D19078" t="s">
        <v>3705</v>
      </c>
      <c r="E19078" t="s">
        <v>3414</v>
      </c>
      <c r="F19078">
        <v>2240</v>
      </c>
      <c r="G19078">
        <v>230529</v>
      </c>
      <c r="H19078">
        <v>4440</v>
      </c>
      <c r="I19078" t="s">
        <v>250</v>
      </c>
      <c r="J19078">
        <v>2240</v>
      </c>
      <c r="K19078">
        <v>0</v>
      </c>
      <c r="L19078">
        <v>18120</v>
      </c>
      <c r="M19078" t="s">
        <v>329</v>
      </c>
      <c r="N19078" t="str">
        <f>"03230588    "</f>
        <v xml:space="preserve">03230588    </v>
      </c>
      <c r="O19078">
        <v>230531</v>
      </c>
    </row>
    <row r="19079" spans="1:15" x14ac:dyDescent="0.25">
      <c r="A19079" t="s">
        <v>16</v>
      </c>
      <c r="B19079" t="s">
        <v>3221</v>
      </c>
      <c r="C19079">
        <v>8994</v>
      </c>
      <c r="D19079" t="s">
        <v>3705</v>
      </c>
      <c r="E19079" t="s">
        <v>3414</v>
      </c>
      <c r="F19079">
        <v>600</v>
      </c>
      <c r="G19079">
        <v>230616</v>
      </c>
      <c r="H19079">
        <v>4440</v>
      </c>
      <c r="I19079" t="s">
        <v>250</v>
      </c>
      <c r="J19079">
        <v>600</v>
      </c>
      <c r="K19079">
        <v>0</v>
      </c>
      <c r="L19079">
        <v>18120</v>
      </c>
      <c r="M19079" t="s">
        <v>329</v>
      </c>
      <c r="N19079" t="str">
        <f>"03230667    "</f>
        <v xml:space="preserve">03230667    </v>
      </c>
      <c r="O19079">
        <v>230620</v>
      </c>
    </row>
    <row r="19080" spans="1:15" x14ac:dyDescent="0.25">
      <c r="A19080" t="s">
        <v>16</v>
      </c>
      <c r="B19080" t="s">
        <v>3221</v>
      </c>
      <c r="C19080">
        <v>9036</v>
      </c>
      <c r="D19080" t="s">
        <v>3705</v>
      </c>
      <c r="E19080" t="s">
        <v>3414</v>
      </c>
      <c r="F19080">
        <v>680</v>
      </c>
      <c r="G19080">
        <v>230616</v>
      </c>
      <c r="H19080">
        <v>4440</v>
      </c>
      <c r="I19080" t="s">
        <v>250</v>
      </c>
      <c r="J19080">
        <v>680</v>
      </c>
      <c r="K19080">
        <v>0</v>
      </c>
      <c r="L19080">
        <v>18120</v>
      </c>
      <c r="M19080" t="s">
        <v>329</v>
      </c>
      <c r="N19080" t="str">
        <f>"03230660    "</f>
        <v xml:space="preserve">03230660    </v>
      </c>
      <c r="O19080">
        <v>230621</v>
      </c>
    </row>
    <row r="19081" spans="1:15" x14ac:dyDescent="0.25">
      <c r="A19081" t="s">
        <v>16</v>
      </c>
      <c r="B19081" t="s">
        <v>3221</v>
      </c>
      <c r="C19081">
        <v>9250</v>
      </c>
      <c r="D19081" t="s">
        <v>3705</v>
      </c>
      <c r="E19081" t="s">
        <v>3414</v>
      </c>
      <c r="F19081">
        <v>1181.25</v>
      </c>
      <c r="G19081">
        <v>230621</v>
      </c>
      <c r="H19081">
        <v>4440</v>
      </c>
      <c r="I19081" t="s">
        <v>250</v>
      </c>
      <c r="J19081">
        <v>1464.75</v>
      </c>
      <c r="K19081">
        <v>283.5</v>
      </c>
      <c r="L19081">
        <v>18120</v>
      </c>
      <c r="M19081" t="s">
        <v>329</v>
      </c>
      <c r="N19081" t="str">
        <f>"03230716    "</f>
        <v xml:space="preserve">03230716    </v>
      </c>
      <c r="O19081">
        <v>230703</v>
      </c>
    </row>
    <row r="19082" spans="1:15" x14ac:dyDescent="0.25">
      <c r="A19082" t="s">
        <v>16</v>
      </c>
      <c r="B19082" t="s">
        <v>3221</v>
      </c>
      <c r="C19082">
        <v>12821</v>
      </c>
      <c r="D19082" t="s">
        <v>3705</v>
      </c>
      <c r="E19082" t="s">
        <v>3414</v>
      </c>
      <c r="F19082">
        <v>680</v>
      </c>
      <c r="G19082">
        <v>230925</v>
      </c>
      <c r="H19082">
        <v>4440</v>
      </c>
      <c r="I19082" t="s">
        <v>250</v>
      </c>
      <c r="J19082">
        <v>680</v>
      </c>
      <c r="K19082">
        <v>0</v>
      </c>
      <c r="L19082">
        <v>18120</v>
      </c>
      <c r="M19082" t="s">
        <v>329</v>
      </c>
      <c r="N19082" t="str">
        <f>"03230946    "</f>
        <v xml:space="preserve">03230946    </v>
      </c>
      <c r="O19082">
        <v>230926</v>
      </c>
    </row>
    <row r="19083" spans="1:15" x14ac:dyDescent="0.25">
      <c r="A19083" t="s">
        <v>16</v>
      </c>
      <c r="B19083" t="s">
        <v>3221</v>
      </c>
      <c r="C19083">
        <v>18483</v>
      </c>
      <c r="D19083" t="s">
        <v>3705</v>
      </c>
      <c r="E19083" t="s">
        <v>3414</v>
      </c>
      <c r="F19083">
        <v>680</v>
      </c>
      <c r="G19083">
        <v>231215</v>
      </c>
      <c r="H19083">
        <v>4440</v>
      </c>
      <c r="I19083" t="s">
        <v>250</v>
      </c>
      <c r="J19083">
        <v>680</v>
      </c>
      <c r="K19083">
        <v>0</v>
      </c>
      <c r="L19083">
        <v>18120</v>
      </c>
      <c r="M19083" t="s">
        <v>329</v>
      </c>
      <c r="N19083" t="str">
        <f>"03231300    "</f>
        <v xml:space="preserve">03231300    </v>
      </c>
      <c r="O19083">
        <v>240103</v>
      </c>
    </row>
    <row r="19084" spans="1:15" x14ac:dyDescent="0.25">
      <c r="A19084" t="s">
        <v>16</v>
      </c>
      <c r="B19084" t="s">
        <v>3221</v>
      </c>
      <c r="C19084">
        <v>18530</v>
      </c>
      <c r="D19084" t="s">
        <v>3705</v>
      </c>
      <c r="E19084" t="s">
        <v>3414</v>
      </c>
      <c r="F19084">
        <v>760</v>
      </c>
      <c r="G19084">
        <v>231215</v>
      </c>
      <c r="H19084">
        <v>4440</v>
      </c>
      <c r="I19084" t="s">
        <v>250</v>
      </c>
      <c r="J19084">
        <v>760</v>
      </c>
      <c r="K19084">
        <v>0</v>
      </c>
      <c r="L19084">
        <v>18120</v>
      </c>
      <c r="M19084" t="s">
        <v>329</v>
      </c>
      <c r="N19084" t="str">
        <f>"03231306    "</f>
        <v xml:space="preserve">03231306    </v>
      </c>
      <c r="O19084">
        <v>240103</v>
      </c>
    </row>
    <row r="19085" spans="1:15" x14ac:dyDescent="0.25">
      <c r="A19085" t="s">
        <v>16</v>
      </c>
      <c r="B19085" t="s">
        <v>3221</v>
      </c>
      <c r="C19085">
        <v>18632</v>
      </c>
      <c r="D19085" t="s">
        <v>3705</v>
      </c>
      <c r="E19085" t="s">
        <v>3414</v>
      </c>
      <c r="F19085">
        <v>322.58</v>
      </c>
      <c r="G19085">
        <v>231231</v>
      </c>
      <c r="H19085">
        <v>4440</v>
      </c>
      <c r="I19085" t="s">
        <v>250</v>
      </c>
      <c r="J19085">
        <v>400</v>
      </c>
      <c r="K19085">
        <v>77.42</v>
      </c>
      <c r="L19085">
        <v>18120</v>
      </c>
      <c r="M19085" t="s">
        <v>329</v>
      </c>
      <c r="N19085" t="str">
        <f>"03231368    "</f>
        <v xml:space="preserve">03231368    </v>
      </c>
      <c r="O19085">
        <v>240104</v>
      </c>
    </row>
    <row r="19086" spans="1:15" x14ac:dyDescent="0.25">
      <c r="A19086" t="s">
        <v>16</v>
      </c>
      <c r="B19086" t="s">
        <v>3221</v>
      </c>
      <c r="C19086">
        <v>2480</v>
      </c>
      <c r="D19086" t="s">
        <v>1406</v>
      </c>
      <c r="E19086" t="s">
        <v>1407</v>
      </c>
      <c r="F19086">
        <v>290</v>
      </c>
      <c r="G19086">
        <v>230223</v>
      </c>
      <c r="H19086">
        <v>4341</v>
      </c>
      <c r="I19086" t="s">
        <v>32</v>
      </c>
      <c r="J19086">
        <v>359.6</v>
      </c>
      <c r="K19086">
        <v>69.599999999999994</v>
      </c>
      <c r="L19086">
        <v>17711</v>
      </c>
      <c r="M19086" t="s">
        <v>65</v>
      </c>
      <c r="N19086" t="str">
        <f>"260802      "</f>
        <v xml:space="preserve">260802      </v>
      </c>
      <c r="O19086">
        <v>230228</v>
      </c>
    </row>
    <row r="19087" spans="1:15" x14ac:dyDescent="0.25">
      <c r="A19087" t="s">
        <v>16</v>
      </c>
      <c r="B19087" t="s">
        <v>3221</v>
      </c>
      <c r="C19087">
        <v>9825</v>
      </c>
      <c r="D19087" t="s">
        <v>3500</v>
      </c>
      <c r="E19087" t="s">
        <v>3501</v>
      </c>
      <c r="F19087">
        <v>40</v>
      </c>
      <c r="G19087">
        <v>230801</v>
      </c>
      <c r="H19087">
        <v>4470</v>
      </c>
      <c r="I19087" t="s">
        <v>83</v>
      </c>
      <c r="J19087">
        <v>40</v>
      </c>
      <c r="K19087">
        <v>0</v>
      </c>
      <c r="L19087">
        <v>49807</v>
      </c>
      <c r="M19087" t="s">
        <v>914</v>
      </c>
      <c r="N19087" t="str">
        <f>"240723      "</f>
        <v xml:space="preserve">240723      </v>
      </c>
      <c r="O19087">
        <v>230726</v>
      </c>
    </row>
    <row r="19088" spans="1:15" x14ac:dyDescent="0.25">
      <c r="A19088" t="s">
        <v>16</v>
      </c>
      <c r="B19088" t="s">
        <v>3221</v>
      </c>
      <c r="C19088">
        <v>17725</v>
      </c>
      <c r="D19088" t="s">
        <v>3500</v>
      </c>
      <c r="E19088" t="s">
        <v>3501</v>
      </c>
      <c r="F19088">
        <v>60</v>
      </c>
      <c r="G19088">
        <v>231209</v>
      </c>
      <c r="H19088">
        <v>4860</v>
      </c>
      <c r="I19088" t="s">
        <v>28</v>
      </c>
      <c r="J19088">
        <v>60</v>
      </c>
      <c r="K19088">
        <v>0</v>
      </c>
      <c r="L19088">
        <v>49807</v>
      </c>
      <c r="M19088" t="s">
        <v>914</v>
      </c>
      <c r="N19088" t="str">
        <f>"111223      "</f>
        <v xml:space="preserve">111223      </v>
      </c>
      <c r="O19088">
        <v>231222</v>
      </c>
    </row>
    <row r="19089" spans="1:15" x14ac:dyDescent="0.25">
      <c r="A19089" t="s">
        <v>16</v>
      </c>
      <c r="B19089" t="s">
        <v>3221</v>
      </c>
      <c r="C19089">
        <v>9192</v>
      </c>
      <c r="D19089" t="s">
        <v>2275</v>
      </c>
      <c r="E19089" t="s">
        <v>2276</v>
      </c>
      <c r="F19089">
        <v>635</v>
      </c>
      <c r="G19089">
        <v>230628</v>
      </c>
      <c r="H19089">
        <v>4390</v>
      </c>
      <c r="I19089" t="s">
        <v>98</v>
      </c>
      <c r="J19089">
        <v>787.4</v>
      </c>
      <c r="K19089">
        <v>152.4</v>
      </c>
      <c r="L19089">
        <v>59501</v>
      </c>
      <c r="M19089" t="s">
        <v>69</v>
      </c>
      <c r="N19089" t="str">
        <f>"6023060034  "</f>
        <v xml:space="preserve">6023060034  </v>
      </c>
      <c r="O19089">
        <v>230629</v>
      </c>
    </row>
    <row r="19090" spans="1:15" x14ac:dyDescent="0.25">
      <c r="A19090" t="s">
        <v>16</v>
      </c>
      <c r="B19090" t="s">
        <v>3221</v>
      </c>
      <c r="C19090">
        <v>9192</v>
      </c>
      <c r="D19090" t="s">
        <v>2275</v>
      </c>
      <c r="E19090" t="s">
        <v>2276</v>
      </c>
      <c r="F19090">
        <v>410</v>
      </c>
      <c r="G19090">
        <v>230628</v>
      </c>
      <c r="H19090">
        <v>4390</v>
      </c>
      <c r="I19090" t="s">
        <v>98</v>
      </c>
      <c r="J19090">
        <v>508.4</v>
      </c>
      <c r="K19090">
        <v>98.4</v>
      </c>
      <c r="L19090">
        <v>59504</v>
      </c>
      <c r="M19090" t="s">
        <v>71</v>
      </c>
      <c r="N19090" t="str">
        <f>"6023060034  "</f>
        <v xml:space="preserve">6023060034  </v>
      </c>
      <c r="O19090">
        <v>230629</v>
      </c>
    </row>
    <row r="19091" spans="1:15" x14ac:dyDescent="0.25">
      <c r="A19091" t="s">
        <v>16</v>
      </c>
      <c r="B19091" t="s">
        <v>3221</v>
      </c>
      <c r="C19091">
        <v>9192</v>
      </c>
      <c r="D19091" t="s">
        <v>2275</v>
      </c>
      <c r="E19091" t="s">
        <v>2276</v>
      </c>
      <c r="F19091">
        <v>345</v>
      </c>
      <c r="G19091">
        <v>230628</v>
      </c>
      <c r="H19091">
        <v>4390</v>
      </c>
      <c r="I19091" t="s">
        <v>98</v>
      </c>
      <c r="J19091">
        <v>427.8</v>
      </c>
      <c r="K19091">
        <v>82.8</v>
      </c>
      <c r="L19091">
        <v>59505</v>
      </c>
      <c r="M19091" t="s">
        <v>72</v>
      </c>
      <c r="N19091" t="str">
        <f>"6023060034  "</f>
        <v xml:space="preserve">6023060034  </v>
      </c>
      <c r="O19091">
        <v>230629</v>
      </c>
    </row>
    <row r="19092" spans="1:15" x14ac:dyDescent="0.25">
      <c r="A19092" t="s">
        <v>16</v>
      </c>
      <c r="B19092" t="s">
        <v>3221</v>
      </c>
      <c r="C19092">
        <v>12482</v>
      </c>
      <c r="D19092" t="s">
        <v>2275</v>
      </c>
      <c r="E19092" t="s">
        <v>2276</v>
      </c>
      <c r="F19092">
        <v>183</v>
      </c>
      <c r="G19092">
        <v>230914</v>
      </c>
      <c r="H19092">
        <v>4390</v>
      </c>
      <c r="I19092" t="s">
        <v>98</v>
      </c>
      <c r="J19092">
        <v>226.92</v>
      </c>
      <c r="K19092">
        <v>43.92</v>
      </c>
      <c r="L19092">
        <v>59502</v>
      </c>
      <c r="M19092" t="s">
        <v>70</v>
      </c>
      <c r="N19092" t="str">
        <f>"6023090013  "</f>
        <v xml:space="preserve">6023090013  </v>
      </c>
      <c r="O19092">
        <v>230920</v>
      </c>
    </row>
    <row r="19093" spans="1:15" x14ac:dyDescent="0.25">
      <c r="A19093" t="s">
        <v>16</v>
      </c>
      <c r="B19093" t="s">
        <v>3221</v>
      </c>
      <c r="C19093">
        <v>12482</v>
      </c>
      <c r="D19093" t="s">
        <v>2275</v>
      </c>
      <c r="E19093" t="s">
        <v>2276</v>
      </c>
      <c r="F19093">
        <v>117</v>
      </c>
      <c r="G19093">
        <v>230914</v>
      </c>
      <c r="H19093">
        <v>4390</v>
      </c>
      <c r="I19093" t="s">
        <v>98</v>
      </c>
      <c r="J19093">
        <v>145.08000000000001</v>
      </c>
      <c r="K19093">
        <v>28.08</v>
      </c>
      <c r="L19093">
        <v>59802</v>
      </c>
      <c r="M19093" t="s">
        <v>73</v>
      </c>
      <c r="N19093" t="str">
        <f>"6023090013  "</f>
        <v xml:space="preserve">6023090013  </v>
      </c>
      <c r="O19093">
        <v>230920</v>
      </c>
    </row>
    <row r="19094" spans="1:15" x14ac:dyDescent="0.25">
      <c r="A19094" t="s">
        <v>16</v>
      </c>
      <c r="B19094" t="s">
        <v>3221</v>
      </c>
      <c r="C19094">
        <v>12482</v>
      </c>
      <c r="D19094" t="s">
        <v>2275</v>
      </c>
      <c r="E19094" t="s">
        <v>2276</v>
      </c>
      <c r="F19094">
        <v>635</v>
      </c>
      <c r="G19094">
        <v>230914</v>
      </c>
      <c r="H19094">
        <v>4390</v>
      </c>
      <c r="I19094" t="s">
        <v>98</v>
      </c>
      <c r="J19094">
        <v>787.4</v>
      </c>
      <c r="K19094">
        <v>152.4</v>
      </c>
      <c r="L19094">
        <v>69501</v>
      </c>
      <c r="M19094" t="s">
        <v>185</v>
      </c>
      <c r="N19094" t="str">
        <f>"6023090013  "</f>
        <v xml:space="preserve">6023090013  </v>
      </c>
      <c r="O19094">
        <v>230920</v>
      </c>
    </row>
    <row r="19095" spans="1:15" x14ac:dyDescent="0.25">
      <c r="A19095" t="s">
        <v>16</v>
      </c>
      <c r="B19095" t="s">
        <v>3221</v>
      </c>
      <c r="C19095">
        <v>16132</v>
      </c>
      <c r="D19095" t="s">
        <v>2933</v>
      </c>
      <c r="E19095" t="s">
        <v>2934</v>
      </c>
      <c r="F19095">
        <v>306.45</v>
      </c>
      <c r="G19095">
        <v>231122</v>
      </c>
      <c r="H19095">
        <v>4600</v>
      </c>
      <c r="I19095" t="s">
        <v>105</v>
      </c>
      <c r="J19095">
        <v>380</v>
      </c>
      <c r="K19095">
        <v>73.55</v>
      </c>
      <c r="L19095">
        <v>59701</v>
      </c>
      <c r="M19095" t="s">
        <v>297</v>
      </c>
      <c r="N19095" t="str">
        <f>"15090       "</f>
        <v xml:space="preserve">15090       </v>
      </c>
      <c r="O19095">
        <v>231123</v>
      </c>
    </row>
    <row r="19096" spans="1:15" x14ac:dyDescent="0.25">
      <c r="A19096" t="s">
        <v>16</v>
      </c>
      <c r="B19096" t="s">
        <v>3221</v>
      </c>
      <c r="C19096">
        <v>5159</v>
      </c>
      <c r="D19096" t="s">
        <v>1794</v>
      </c>
      <c r="E19096" t="s">
        <v>1795</v>
      </c>
      <c r="F19096">
        <v>71.53</v>
      </c>
      <c r="G19096">
        <v>230413</v>
      </c>
      <c r="H19096">
        <v>4534</v>
      </c>
      <c r="I19096" t="s">
        <v>273</v>
      </c>
      <c r="J19096">
        <v>88.7</v>
      </c>
      <c r="K19096">
        <v>17.170000000000002</v>
      </c>
      <c r="L19096">
        <v>67554</v>
      </c>
      <c r="M19096" t="s">
        <v>60</v>
      </c>
      <c r="N19096" t="str">
        <f>"44258       "</f>
        <v xml:space="preserve">44258       </v>
      </c>
      <c r="O19096">
        <v>230418</v>
      </c>
    </row>
    <row r="19097" spans="1:15" x14ac:dyDescent="0.25">
      <c r="A19097" t="s">
        <v>16</v>
      </c>
      <c r="B19097" t="s">
        <v>3221</v>
      </c>
      <c r="C19097">
        <v>8175</v>
      </c>
      <c r="D19097" t="s">
        <v>1794</v>
      </c>
      <c r="E19097" t="s">
        <v>1795</v>
      </c>
      <c r="F19097">
        <v>144.6</v>
      </c>
      <c r="G19097">
        <v>230606</v>
      </c>
      <c r="H19097">
        <v>4580</v>
      </c>
      <c r="I19097" t="s">
        <v>35</v>
      </c>
      <c r="J19097">
        <v>179.3</v>
      </c>
      <c r="K19097">
        <v>34.700000000000003</v>
      </c>
      <c r="L19097">
        <v>67554</v>
      </c>
      <c r="M19097" t="s">
        <v>60</v>
      </c>
      <c r="N19097" t="str">
        <f>"45019       "</f>
        <v xml:space="preserve">45019       </v>
      </c>
      <c r="O19097">
        <v>230607</v>
      </c>
    </row>
    <row r="19098" spans="1:15" x14ac:dyDescent="0.25">
      <c r="A19098" t="s">
        <v>16</v>
      </c>
      <c r="B19098" t="s">
        <v>3221</v>
      </c>
      <c r="C19098">
        <v>12057</v>
      </c>
      <c r="D19098" t="s">
        <v>1794</v>
      </c>
      <c r="E19098" t="s">
        <v>1795</v>
      </c>
      <c r="F19098">
        <v>54.35</v>
      </c>
      <c r="G19098">
        <v>230908</v>
      </c>
      <c r="H19098">
        <v>4580</v>
      </c>
      <c r="I19098" t="s">
        <v>35</v>
      </c>
      <c r="J19098">
        <v>67.400000000000006</v>
      </c>
      <c r="K19098">
        <v>13.05</v>
      </c>
      <c r="L19098">
        <v>67554</v>
      </c>
      <c r="M19098" t="s">
        <v>60</v>
      </c>
      <c r="N19098" t="str">
        <f>"46045       "</f>
        <v xml:space="preserve">46045       </v>
      </c>
      <c r="O19098">
        <v>230913</v>
      </c>
    </row>
    <row r="19099" spans="1:15" x14ac:dyDescent="0.25">
      <c r="A19099" t="s">
        <v>16</v>
      </c>
      <c r="B19099" t="s">
        <v>3221</v>
      </c>
      <c r="C19099">
        <v>14115</v>
      </c>
      <c r="D19099" t="s">
        <v>1794</v>
      </c>
      <c r="E19099" t="s">
        <v>1795</v>
      </c>
      <c r="F19099">
        <v>413.83</v>
      </c>
      <c r="G19099">
        <v>231012</v>
      </c>
      <c r="H19099">
        <v>4580</v>
      </c>
      <c r="I19099" t="s">
        <v>35</v>
      </c>
      <c r="J19099">
        <v>513.15</v>
      </c>
      <c r="K19099">
        <v>99.32</v>
      </c>
      <c r="L19099">
        <v>17711</v>
      </c>
      <c r="M19099" t="s">
        <v>65</v>
      </c>
      <c r="N19099" t="str">
        <f>"46378       "</f>
        <v xml:space="preserve">46378       </v>
      </c>
      <c r="O19099">
        <v>231018</v>
      </c>
    </row>
    <row r="19100" spans="1:15" x14ac:dyDescent="0.25">
      <c r="A19100" t="s">
        <v>16</v>
      </c>
      <c r="B19100" t="s">
        <v>3221</v>
      </c>
      <c r="C19100">
        <v>17599</v>
      </c>
      <c r="D19100" t="s">
        <v>1794</v>
      </c>
      <c r="E19100" t="s">
        <v>1795</v>
      </c>
      <c r="F19100">
        <v>117.34</v>
      </c>
      <c r="G19100">
        <v>231209</v>
      </c>
      <c r="H19100">
        <v>4580</v>
      </c>
      <c r="I19100" t="s">
        <v>35</v>
      </c>
      <c r="J19100">
        <v>145.5</v>
      </c>
      <c r="K19100">
        <v>28.16</v>
      </c>
      <c r="L19100">
        <v>17711</v>
      </c>
      <c r="M19100" t="s">
        <v>65</v>
      </c>
      <c r="N19100" t="str">
        <f>"46720       "</f>
        <v xml:space="preserve">46720       </v>
      </c>
      <c r="O19100">
        <v>231215</v>
      </c>
    </row>
    <row r="19101" spans="1:15" x14ac:dyDescent="0.25">
      <c r="A19101" t="s">
        <v>16</v>
      </c>
      <c r="B19101" t="s">
        <v>3221</v>
      </c>
      <c r="C19101">
        <v>5115</v>
      </c>
      <c r="D19101" t="s">
        <v>1794</v>
      </c>
      <c r="E19101" t="s">
        <v>1795</v>
      </c>
      <c r="F19101">
        <v>281.49</v>
      </c>
      <c r="G19101">
        <v>230414</v>
      </c>
      <c r="H19101">
        <v>4600</v>
      </c>
      <c r="I19101" t="s">
        <v>105</v>
      </c>
      <c r="J19101">
        <v>349.05</v>
      </c>
      <c r="K19101">
        <v>67.56</v>
      </c>
      <c r="L19101">
        <v>17737</v>
      </c>
      <c r="M19101" t="s">
        <v>279</v>
      </c>
      <c r="N19101" t="str">
        <f>"44264       "</f>
        <v xml:space="preserve">44264       </v>
      </c>
      <c r="O19101">
        <v>230418</v>
      </c>
    </row>
    <row r="19102" spans="1:15" x14ac:dyDescent="0.25">
      <c r="A19102" t="s">
        <v>16</v>
      </c>
      <c r="B19102" t="s">
        <v>3221</v>
      </c>
      <c r="C19102">
        <v>5159</v>
      </c>
      <c r="D19102" t="s">
        <v>1794</v>
      </c>
      <c r="E19102" t="s">
        <v>1795</v>
      </c>
      <c r="F19102">
        <v>34.68</v>
      </c>
      <c r="G19102">
        <v>230413</v>
      </c>
      <c r="H19102">
        <v>4600</v>
      </c>
      <c r="I19102" t="s">
        <v>105</v>
      </c>
      <c r="J19102">
        <v>43</v>
      </c>
      <c r="K19102">
        <v>8.32</v>
      </c>
      <c r="L19102">
        <v>67554</v>
      </c>
      <c r="M19102" t="s">
        <v>60</v>
      </c>
      <c r="N19102" t="str">
        <f>"44258       "</f>
        <v xml:space="preserve">44258       </v>
      </c>
      <c r="O19102">
        <v>230418</v>
      </c>
    </row>
    <row r="19103" spans="1:15" x14ac:dyDescent="0.25">
      <c r="A19103" t="s">
        <v>16</v>
      </c>
      <c r="B19103" t="s">
        <v>3221</v>
      </c>
      <c r="C19103">
        <v>12057</v>
      </c>
      <c r="D19103" t="s">
        <v>1794</v>
      </c>
      <c r="E19103" t="s">
        <v>1795</v>
      </c>
      <c r="F19103">
        <v>39.19</v>
      </c>
      <c r="G19103">
        <v>230908</v>
      </c>
      <c r="H19103">
        <v>4600</v>
      </c>
      <c r="I19103" t="s">
        <v>105</v>
      </c>
      <c r="J19103">
        <v>48.6</v>
      </c>
      <c r="K19103">
        <v>9.41</v>
      </c>
      <c r="L19103">
        <v>67554</v>
      </c>
      <c r="M19103" t="s">
        <v>60</v>
      </c>
      <c r="N19103" t="str">
        <f>"46045       "</f>
        <v xml:space="preserve">46045       </v>
      </c>
      <c r="O19103">
        <v>230913</v>
      </c>
    </row>
    <row r="19104" spans="1:15" x14ac:dyDescent="0.25">
      <c r="A19104" t="s">
        <v>16</v>
      </c>
      <c r="B19104" t="s">
        <v>3221</v>
      </c>
      <c r="C19104">
        <v>14115</v>
      </c>
      <c r="D19104" t="s">
        <v>1794</v>
      </c>
      <c r="E19104" t="s">
        <v>1795</v>
      </c>
      <c r="F19104">
        <v>12.9</v>
      </c>
      <c r="G19104">
        <v>231012</v>
      </c>
      <c r="H19104">
        <v>4364</v>
      </c>
      <c r="I19104" t="s">
        <v>296</v>
      </c>
      <c r="J19104">
        <v>16</v>
      </c>
      <c r="K19104">
        <v>3.1</v>
      </c>
      <c r="L19104">
        <v>17711</v>
      </c>
      <c r="M19104" t="s">
        <v>65</v>
      </c>
      <c r="N19104" t="str">
        <f>"46378       "</f>
        <v xml:space="preserve">46378       </v>
      </c>
      <c r="O19104">
        <v>231018</v>
      </c>
    </row>
    <row r="19105" spans="1:15" x14ac:dyDescent="0.25">
      <c r="A19105" t="s">
        <v>16</v>
      </c>
      <c r="B19105" t="s">
        <v>3221</v>
      </c>
      <c r="C19105">
        <v>17599</v>
      </c>
      <c r="D19105" t="s">
        <v>1794</v>
      </c>
      <c r="E19105" t="s">
        <v>1795</v>
      </c>
      <c r="F19105">
        <v>9.0299999999999994</v>
      </c>
      <c r="G19105">
        <v>231209</v>
      </c>
      <c r="H19105">
        <v>4364</v>
      </c>
      <c r="I19105" t="s">
        <v>296</v>
      </c>
      <c r="J19105">
        <v>11.2</v>
      </c>
      <c r="K19105">
        <v>2.17</v>
      </c>
      <c r="L19105">
        <v>17711</v>
      </c>
      <c r="M19105" t="s">
        <v>65</v>
      </c>
      <c r="N19105" t="str">
        <f>"46720       "</f>
        <v xml:space="preserve">46720       </v>
      </c>
      <c r="O19105">
        <v>231215</v>
      </c>
    </row>
    <row r="19106" spans="1:15" x14ac:dyDescent="0.25">
      <c r="A19106" t="s">
        <v>16</v>
      </c>
      <c r="B19106" t="s">
        <v>3221</v>
      </c>
      <c r="C19106">
        <v>18055</v>
      </c>
      <c r="D19106" t="s">
        <v>1794</v>
      </c>
      <c r="E19106" t="s">
        <v>1795</v>
      </c>
      <c r="F19106">
        <v>228.15</v>
      </c>
      <c r="G19106">
        <v>231219</v>
      </c>
      <c r="H19106">
        <v>4590</v>
      </c>
      <c r="I19106" t="s">
        <v>203</v>
      </c>
      <c r="J19106">
        <v>282.89999999999998</v>
      </c>
      <c r="K19106">
        <v>54.75</v>
      </c>
      <c r="L19106">
        <v>67554</v>
      </c>
      <c r="M19106" t="s">
        <v>60</v>
      </c>
      <c r="N19106" t="str">
        <f>"46790       "</f>
        <v xml:space="preserve">46790       </v>
      </c>
      <c r="O19106">
        <v>240102</v>
      </c>
    </row>
    <row r="19107" spans="1:15" x14ac:dyDescent="0.25">
      <c r="A19107" t="s">
        <v>16</v>
      </c>
      <c r="B19107" t="s">
        <v>3221</v>
      </c>
      <c r="C19107">
        <v>6635</v>
      </c>
      <c r="D19107" t="s">
        <v>3706</v>
      </c>
      <c r="E19107" t="s">
        <v>2001</v>
      </c>
      <c r="F19107">
        <v>350</v>
      </c>
      <c r="G19107">
        <v>230510</v>
      </c>
      <c r="H19107">
        <v>4460</v>
      </c>
      <c r="I19107" t="s">
        <v>524</v>
      </c>
      <c r="J19107">
        <v>350</v>
      </c>
      <c r="K19107">
        <v>0</v>
      </c>
      <c r="L19107">
        <v>56560</v>
      </c>
      <c r="M19107" t="s">
        <v>654</v>
      </c>
      <c r="N19107" t="str">
        <f>"E5058658    "</f>
        <v xml:space="preserve">E5058658    </v>
      </c>
      <c r="O19107">
        <v>230516</v>
      </c>
    </row>
    <row r="19108" spans="1:15" x14ac:dyDescent="0.25">
      <c r="A19108" t="s">
        <v>16</v>
      </c>
      <c r="B19108" t="s">
        <v>3221</v>
      </c>
      <c r="C19108">
        <v>9133</v>
      </c>
      <c r="D19108" t="s">
        <v>976</v>
      </c>
      <c r="E19108" t="s">
        <v>977</v>
      </c>
      <c r="F19108">
        <v>1878.19</v>
      </c>
      <c r="G19108">
        <v>230621</v>
      </c>
      <c r="H19108">
        <v>4580</v>
      </c>
      <c r="I19108" t="s">
        <v>35</v>
      </c>
      <c r="J19108">
        <v>1878.19</v>
      </c>
      <c r="K19108">
        <v>0</v>
      </c>
      <c r="L19108">
        <v>69502</v>
      </c>
      <c r="M19108" t="s">
        <v>978</v>
      </c>
      <c r="N19108" t="str">
        <f>"1001001924  "</f>
        <v xml:space="preserve">1001001924  </v>
      </c>
      <c r="O19108">
        <v>230628</v>
      </c>
    </row>
    <row r="19109" spans="1:15" x14ac:dyDescent="0.25">
      <c r="A19109" t="s">
        <v>16</v>
      </c>
      <c r="B19109" t="s">
        <v>3221</v>
      </c>
      <c r="C19109">
        <v>1283</v>
      </c>
      <c r="D19109" t="s">
        <v>976</v>
      </c>
      <c r="E19109" t="s">
        <v>977</v>
      </c>
      <c r="F19109">
        <v>5631.97</v>
      </c>
      <c r="G19109">
        <v>230206</v>
      </c>
      <c r="H19109">
        <v>4390</v>
      </c>
      <c r="I19109" t="s">
        <v>98</v>
      </c>
      <c r="J19109">
        <v>5631.97</v>
      </c>
      <c r="K19109">
        <v>0</v>
      </c>
      <c r="L19109">
        <v>69502</v>
      </c>
      <c r="M19109" t="s">
        <v>978</v>
      </c>
      <c r="N19109" t="str">
        <f>"1001001468  "</f>
        <v xml:space="preserve">1001001468  </v>
      </c>
      <c r="O19109">
        <v>230207</v>
      </c>
    </row>
    <row r="19110" spans="1:15" x14ac:dyDescent="0.25">
      <c r="A19110" t="s">
        <v>16</v>
      </c>
      <c r="B19110" t="s">
        <v>3221</v>
      </c>
      <c r="C19110">
        <v>10944</v>
      </c>
      <c r="D19110" t="s">
        <v>1865</v>
      </c>
      <c r="E19110" t="s">
        <v>1866</v>
      </c>
      <c r="F19110">
        <v>90.2</v>
      </c>
      <c r="G19110">
        <v>230809</v>
      </c>
      <c r="H19110">
        <v>4580</v>
      </c>
      <c r="I19110" t="s">
        <v>35</v>
      </c>
      <c r="J19110">
        <v>111.85</v>
      </c>
      <c r="K19110">
        <v>21.65</v>
      </c>
      <c r="L19110">
        <v>17521</v>
      </c>
      <c r="M19110" t="s">
        <v>133</v>
      </c>
      <c r="N19110" t="str">
        <f>"491720      "</f>
        <v xml:space="preserve">491720      </v>
      </c>
      <c r="O19110">
        <v>230825</v>
      </c>
    </row>
    <row r="19111" spans="1:15" x14ac:dyDescent="0.25">
      <c r="A19111" t="s">
        <v>16</v>
      </c>
      <c r="B19111" t="s">
        <v>3221</v>
      </c>
      <c r="C19111">
        <v>5595</v>
      </c>
      <c r="D19111" t="s">
        <v>1865</v>
      </c>
      <c r="E19111" t="s">
        <v>1866</v>
      </c>
      <c r="F19111">
        <v>300</v>
      </c>
      <c r="G19111">
        <v>230426</v>
      </c>
      <c r="H19111">
        <v>4400</v>
      </c>
      <c r="I19111" t="s">
        <v>348</v>
      </c>
      <c r="J19111">
        <v>372</v>
      </c>
      <c r="K19111">
        <v>72</v>
      </c>
      <c r="L19111">
        <v>59501</v>
      </c>
      <c r="M19111" t="s">
        <v>69</v>
      </c>
      <c r="N19111" t="str">
        <f>"1206519     "</f>
        <v xml:space="preserve">1206519     </v>
      </c>
      <c r="O19111">
        <v>230427</v>
      </c>
    </row>
    <row r="19112" spans="1:15" x14ac:dyDescent="0.25">
      <c r="A19112" t="s">
        <v>16</v>
      </c>
      <c r="B19112" t="s">
        <v>3221</v>
      </c>
      <c r="C19112">
        <v>898</v>
      </c>
      <c r="D19112" t="s">
        <v>786</v>
      </c>
      <c r="E19112" t="s">
        <v>787</v>
      </c>
      <c r="F19112">
        <v>41</v>
      </c>
      <c r="G19112">
        <v>230119</v>
      </c>
      <c r="H19112">
        <v>4510</v>
      </c>
      <c r="I19112" t="s">
        <v>42</v>
      </c>
      <c r="J19112">
        <v>45.1</v>
      </c>
      <c r="K19112">
        <v>4.0999999999999996</v>
      </c>
      <c r="L19112">
        <v>56560</v>
      </c>
      <c r="M19112" t="s">
        <v>654</v>
      </c>
      <c r="N19112" t="str">
        <f>"L1225418    "</f>
        <v xml:space="preserve">L1225418    </v>
      </c>
      <c r="O19112">
        <v>230201</v>
      </c>
    </row>
    <row r="19113" spans="1:15" x14ac:dyDescent="0.25">
      <c r="A19113" t="s">
        <v>16</v>
      </c>
      <c r="B19113" t="s">
        <v>3221</v>
      </c>
      <c r="C19113">
        <v>5647</v>
      </c>
      <c r="D19113" t="s">
        <v>786</v>
      </c>
      <c r="E19113" t="s">
        <v>787</v>
      </c>
      <c r="F19113">
        <v>167</v>
      </c>
      <c r="G19113">
        <v>230424</v>
      </c>
      <c r="H19113">
        <v>4510</v>
      </c>
      <c r="I19113" t="s">
        <v>42</v>
      </c>
      <c r="J19113">
        <v>183.7</v>
      </c>
      <c r="K19113">
        <v>16.7</v>
      </c>
      <c r="L19113">
        <v>56560</v>
      </c>
      <c r="M19113" t="s">
        <v>654</v>
      </c>
      <c r="N19113" t="str">
        <f>"L1232133    "</f>
        <v xml:space="preserve">L1232133    </v>
      </c>
      <c r="O19113">
        <v>230428</v>
      </c>
    </row>
    <row r="19114" spans="1:15" x14ac:dyDescent="0.25">
      <c r="A19114" t="s">
        <v>16</v>
      </c>
      <c r="B19114" t="s">
        <v>3221</v>
      </c>
      <c r="C19114">
        <v>1086</v>
      </c>
      <c r="D19114" t="s">
        <v>786</v>
      </c>
      <c r="E19114" t="s">
        <v>787</v>
      </c>
      <c r="F19114">
        <v>270.95999999999998</v>
      </c>
      <c r="G19114">
        <v>230130</v>
      </c>
      <c r="H19114">
        <v>4600</v>
      </c>
      <c r="I19114" t="s">
        <v>105</v>
      </c>
      <c r="J19114">
        <v>335.99</v>
      </c>
      <c r="K19114">
        <v>65.03</v>
      </c>
      <c r="L19114">
        <v>17807</v>
      </c>
      <c r="M19114" t="s">
        <v>318</v>
      </c>
      <c r="N19114" t="str">
        <f>"L1227690    "</f>
        <v xml:space="preserve">L1227690    </v>
      </c>
      <c r="O19114">
        <v>230203</v>
      </c>
    </row>
    <row r="19115" spans="1:15" x14ac:dyDescent="0.25">
      <c r="A19115" t="s">
        <v>16</v>
      </c>
      <c r="B19115" t="s">
        <v>3221</v>
      </c>
      <c r="C19115">
        <v>1086</v>
      </c>
      <c r="D19115" t="s">
        <v>786</v>
      </c>
      <c r="E19115" t="s">
        <v>787</v>
      </c>
      <c r="F19115">
        <v>270.95999999999998</v>
      </c>
      <c r="G19115">
        <v>230130</v>
      </c>
      <c r="H19115">
        <v>4600</v>
      </c>
      <c r="I19115" t="s">
        <v>105</v>
      </c>
      <c r="J19115">
        <v>335.99</v>
      </c>
      <c r="K19115">
        <v>65.03</v>
      </c>
      <c r="L19115">
        <v>46555</v>
      </c>
      <c r="M19115" t="s">
        <v>597</v>
      </c>
      <c r="N19115" t="str">
        <f>"L1227690    "</f>
        <v xml:space="preserve">L1227690    </v>
      </c>
      <c r="O19115">
        <v>230203</v>
      </c>
    </row>
    <row r="19116" spans="1:15" x14ac:dyDescent="0.25">
      <c r="A19116" t="s">
        <v>16</v>
      </c>
      <c r="B19116" t="s">
        <v>3221</v>
      </c>
      <c r="C19116">
        <v>1086</v>
      </c>
      <c r="D19116" t="s">
        <v>786</v>
      </c>
      <c r="E19116" t="s">
        <v>787</v>
      </c>
      <c r="F19116">
        <v>270.95999999999998</v>
      </c>
      <c r="G19116">
        <v>230130</v>
      </c>
      <c r="H19116">
        <v>4600</v>
      </c>
      <c r="I19116" t="s">
        <v>105</v>
      </c>
      <c r="J19116">
        <v>335.99</v>
      </c>
      <c r="K19116">
        <v>65.03</v>
      </c>
      <c r="L19116">
        <v>55222</v>
      </c>
      <c r="M19116" t="s">
        <v>873</v>
      </c>
      <c r="N19116" t="str">
        <f>"L1227690    "</f>
        <v xml:space="preserve">L1227690    </v>
      </c>
      <c r="O19116">
        <v>230203</v>
      </c>
    </row>
    <row r="19117" spans="1:15" x14ac:dyDescent="0.25">
      <c r="A19117" t="s">
        <v>16</v>
      </c>
      <c r="B19117" t="s">
        <v>3221</v>
      </c>
      <c r="C19117">
        <v>1086</v>
      </c>
      <c r="D19117" t="s">
        <v>786</v>
      </c>
      <c r="E19117" t="s">
        <v>787</v>
      </c>
      <c r="F19117">
        <v>541.91999999999996</v>
      </c>
      <c r="G19117">
        <v>230130</v>
      </c>
      <c r="H19117">
        <v>4600</v>
      </c>
      <c r="I19117" t="s">
        <v>105</v>
      </c>
      <c r="J19117">
        <v>671.98</v>
      </c>
      <c r="K19117">
        <v>130.06</v>
      </c>
      <c r="L19117">
        <v>56560</v>
      </c>
      <c r="M19117" t="s">
        <v>654</v>
      </c>
      <c r="N19117" t="str">
        <f>"L1227690    "</f>
        <v xml:space="preserve">L1227690    </v>
      </c>
      <c r="O19117">
        <v>230203</v>
      </c>
    </row>
    <row r="19118" spans="1:15" x14ac:dyDescent="0.25">
      <c r="A19118" t="s">
        <v>16</v>
      </c>
      <c r="B19118" t="s">
        <v>3221</v>
      </c>
      <c r="C19118">
        <v>12349</v>
      </c>
      <c r="D19118" t="s">
        <v>786</v>
      </c>
      <c r="E19118" t="s">
        <v>787</v>
      </c>
      <c r="F19118">
        <v>340.5</v>
      </c>
      <c r="G19118">
        <v>230915</v>
      </c>
      <c r="H19118">
        <v>4600</v>
      </c>
      <c r="I19118" t="s">
        <v>105</v>
      </c>
      <c r="J19118">
        <v>374.55</v>
      </c>
      <c r="K19118">
        <v>34.049999999999997</v>
      </c>
      <c r="L19118">
        <v>17807</v>
      </c>
      <c r="M19118" t="s">
        <v>318</v>
      </c>
      <c r="N19118" t="str">
        <f>"L1236751    "</f>
        <v xml:space="preserve">L1236751    </v>
      </c>
      <c r="O19118">
        <v>230918</v>
      </c>
    </row>
    <row r="19119" spans="1:15" x14ac:dyDescent="0.25">
      <c r="A19119" t="s">
        <v>16</v>
      </c>
      <c r="B19119" t="s">
        <v>3221</v>
      </c>
      <c r="C19119">
        <v>13932</v>
      </c>
      <c r="D19119" t="s">
        <v>786</v>
      </c>
      <c r="E19119" t="s">
        <v>787</v>
      </c>
      <c r="F19119">
        <v>517.17999999999995</v>
      </c>
      <c r="G19119">
        <v>230928</v>
      </c>
      <c r="H19119">
        <v>4600</v>
      </c>
      <c r="I19119" t="s">
        <v>105</v>
      </c>
      <c r="J19119">
        <v>641.29999999999995</v>
      </c>
      <c r="K19119">
        <v>124.12</v>
      </c>
      <c r="L19119">
        <v>46555</v>
      </c>
      <c r="M19119" t="s">
        <v>597</v>
      </c>
      <c r="N19119" t="str">
        <f>"L1237074    "</f>
        <v xml:space="preserve">L1237074    </v>
      </c>
      <c r="O19119">
        <v>231017</v>
      </c>
    </row>
    <row r="19120" spans="1:15" x14ac:dyDescent="0.25">
      <c r="A19120" t="s">
        <v>16</v>
      </c>
      <c r="B19120" t="s">
        <v>3221</v>
      </c>
      <c r="C19120">
        <v>13533</v>
      </c>
      <c r="D19120" t="s">
        <v>786</v>
      </c>
      <c r="E19120" t="s">
        <v>787</v>
      </c>
      <c r="F19120">
        <v>1175</v>
      </c>
      <c r="G19120">
        <v>231006</v>
      </c>
      <c r="H19120">
        <v>4441</v>
      </c>
      <c r="I19120" t="s">
        <v>109</v>
      </c>
      <c r="J19120">
        <v>1457</v>
      </c>
      <c r="K19120">
        <v>282</v>
      </c>
      <c r="L19120">
        <v>17807</v>
      </c>
      <c r="M19120" t="s">
        <v>318</v>
      </c>
      <c r="N19120" t="str">
        <f>"L1237715    "</f>
        <v xml:space="preserve">L1237715    </v>
      </c>
      <c r="O19120">
        <v>231011</v>
      </c>
    </row>
    <row r="19121" spans="1:15" x14ac:dyDescent="0.25">
      <c r="A19121" t="s">
        <v>16</v>
      </c>
      <c r="B19121" t="s">
        <v>3221</v>
      </c>
      <c r="C19121">
        <v>16064</v>
      </c>
      <c r="D19121" t="s">
        <v>786</v>
      </c>
      <c r="E19121" t="s">
        <v>787</v>
      </c>
      <c r="F19121">
        <v>350</v>
      </c>
      <c r="G19121">
        <v>231120</v>
      </c>
      <c r="H19121">
        <v>4441</v>
      </c>
      <c r="I19121" t="s">
        <v>109</v>
      </c>
      <c r="J19121">
        <v>434</v>
      </c>
      <c r="K19121">
        <v>84</v>
      </c>
      <c r="L19121">
        <v>17807</v>
      </c>
      <c r="M19121" t="s">
        <v>318</v>
      </c>
      <c r="N19121" t="str">
        <f>"L1238678    "</f>
        <v xml:space="preserve">L1238678    </v>
      </c>
      <c r="O19121">
        <v>231122</v>
      </c>
    </row>
    <row r="19122" spans="1:15" x14ac:dyDescent="0.25">
      <c r="A19122" t="s">
        <v>16</v>
      </c>
      <c r="B19122" t="s">
        <v>3221</v>
      </c>
      <c r="C19122">
        <v>271</v>
      </c>
      <c r="D19122" t="s">
        <v>3331</v>
      </c>
      <c r="E19122" t="s">
        <v>3332</v>
      </c>
      <c r="F19122">
        <v>75</v>
      </c>
      <c r="G19122">
        <v>230112</v>
      </c>
      <c r="H19122">
        <v>4510</v>
      </c>
      <c r="I19122" t="s">
        <v>42</v>
      </c>
      <c r="J19122">
        <v>75</v>
      </c>
      <c r="K19122">
        <v>0</v>
      </c>
      <c r="L19122">
        <v>46555</v>
      </c>
      <c r="M19122" t="s">
        <v>597</v>
      </c>
      <c r="N19122" t="str">
        <f>"971         "</f>
        <v xml:space="preserve">971         </v>
      </c>
      <c r="O19122">
        <v>230117</v>
      </c>
    </row>
    <row r="19123" spans="1:15" x14ac:dyDescent="0.25">
      <c r="A19123" t="s">
        <v>16</v>
      </c>
      <c r="B19123" t="s">
        <v>3221</v>
      </c>
      <c r="C19123">
        <v>13402</v>
      </c>
      <c r="D19123" t="s">
        <v>2668</v>
      </c>
      <c r="E19123" t="s">
        <v>2669</v>
      </c>
      <c r="F19123">
        <v>116.48</v>
      </c>
      <c r="G19123">
        <v>230929</v>
      </c>
      <c r="H19123">
        <v>4400</v>
      </c>
      <c r="I19123" t="s">
        <v>348</v>
      </c>
      <c r="J19123">
        <v>144.43</v>
      </c>
      <c r="K19123">
        <v>27.95</v>
      </c>
      <c r="L19123">
        <v>17524</v>
      </c>
      <c r="M19123" t="s">
        <v>452</v>
      </c>
      <c r="N19123" t="str">
        <f>"15718       "</f>
        <v xml:space="preserve">15718       </v>
      </c>
      <c r="O19123">
        <v>231010</v>
      </c>
    </row>
    <row r="19124" spans="1:15" x14ac:dyDescent="0.25">
      <c r="A19124" t="s">
        <v>16</v>
      </c>
      <c r="B19124" t="s">
        <v>3221</v>
      </c>
      <c r="C19124">
        <v>13403</v>
      </c>
      <c r="D19124" t="s">
        <v>2668</v>
      </c>
      <c r="E19124" t="s">
        <v>2669</v>
      </c>
      <c r="F19124">
        <v>31.45</v>
      </c>
      <c r="G19124">
        <v>230929</v>
      </c>
      <c r="H19124">
        <v>4400</v>
      </c>
      <c r="I19124" t="s">
        <v>348</v>
      </c>
      <c r="J19124">
        <v>39</v>
      </c>
      <c r="K19124">
        <v>7.55</v>
      </c>
      <c r="L19124">
        <v>17524</v>
      </c>
      <c r="M19124" t="s">
        <v>452</v>
      </c>
      <c r="N19124" t="str">
        <f>"15719       "</f>
        <v xml:space="preserve">15719       </v>
      </c>
      <c r="O19124">
        <v>231010</v>
      </c>
    </row>
    <row r="19125" spans="1:15" x14ac:dyDescent="0.25">
      <c r="A19125" t="s">
        <v>16</v>
      </c>
      <c r="B19125" t="s">
        <v>3221</v>
      </c>
      <c r="C19125">
        <v>13405</v>
      </c>
      <c r="D19125" t="s">
        <v>2668</v>
      </c>
      <c r="E19125" t="s">
        <v>2669</v>
      </c>
      <c r="F19125">
        <v>62.9</v>
      </c>
      <c r="G19125">
        <v>230929</v>
      </c>
      <c r="H19125">
        <v>4400</v>
      </c>
      <c r="I19125" t="s">
        <v>348</v>
      </c>
      <c r="J19125">
        <v>78</v>
      </c>
      <c r="K19125">
        <v>15.1</v>
      </c>
      <c r="L19125">
        <v>17524</v>
      </c>
      <c r="M19125" t="s">
        <v>452</v>
      </c>
      <c r="N19125" t="str">
        <f>"15720       "</f>
        <v xml:space="preserve">15720       </v>
      </c>
      <c r="O19125">
        <v>231010</v>
      </c>
    </row>
    <row r="19126" spans="1:15" x14ac:dyDescent="0.25">
      <c r="A19126" t="s">
        <v>16</v>
      </c>
      <c r="B19126" t="s">
        <v>3221</v>
      </c>
      <c r="C19126">
        <v>15262</v>
      </c>
      <c r="D19126" t="s">
        <v>2668</v>
      </c>
      <c r="E19126" t="s">
        <v>2669</v>
      </c>
      <c r="F19126">
        <v>418.68</v>
      </c>
      <c r="G19126">
        <v>231031</v>
      </c>
      <c r="H19126">
        <v>4400</v>
      </c>
      <c r="I19126" t="s">
        <v>348</v>
      </c>
      <c r="J19126">
        <v>519.16</v>
      </c>
      <c r="K19126">
        <v>100.48</v>
      </c>
      <c r="L19126">
        <v>17524</v>
      </c>
      <c r="M19126" t="s">
        <v>452</v>
      </c>
      <c r="N19126" t="str">
        <f>"15868       "</f>
        <v xml:space="preserve">15868       </v>
      </c>
      <c r="O19126">
        <v>231109</v>
      </c>
    </row>
    <row r="19127" spans="1:15" x14ac:dyDescent="0.25">
      <c r="A19127" t="s">
        <v>16</v>
      </c>
      <c r="B19127" t="s">
        <v>3221</v>
      </c>
      <c r="C19127">
        <v>17110</v>
      </c>
      <c r="D19127" t="s">
        <v>3038</v>
      </c>
      <c r="E19127" t="s">
        <v>3039</v>
      </c>
      <c r="F19127">
        <v>6</v>
      </c>
      <c r="G19127">
        <v>231204</v>
      </c>
      <c r="H19127">
        <v>4580</v>
      </c>
      <c r="I19127" t="s">
        <v>35</v>
      </c>
      <c r="J19127">
        <v>7.44</v>
      </c>
      <c r="K19127">
        <v>1.44</v>
      </c>
      <c r="L19127">
        <v>56559</v>
      </c>
      <c r="M19127" t="s">
        <v>129</v>
      </c>
      <c r="N19127" t="str">
        <f>"1001007856  "</f>
        <v xml:space="preserve">1001007856  </v>
      </c>
      <c r="O19127">
        <v>231212</v>
      </c>
    </row>
    <row r="19128" spans="1:15" x14ac:dyDescent="0.25">
      <c r="A19128" t="s">
        <v>16</v>
      </c>
      <c r="B19128" t="s">
        <v>3221</v>
      </c>
      <c r="C19128">
        <v>5065</v>
      </c>
      <c r="D19128" t="s">
        <v>810</v>
      </c>
      <c r="E19128" t="s">
        <v>811</v>
      </c>
      <c r="F19128">
        <v>33.549999999999997</v>
      </c>
      <c r="G19128">
        <v>230331</v>
      </c>
      <c r="H19128">
        <v>4580</v>
      </c>
      <c r="I19128" t="s">
        <v>35</v>
      </c>
      <c r="J19128">
        <v>41.6</v>
      </c>
      <c r="K19128">
        <v>8.0500000000000007</v>
      </c>
      <c r="L19128">
        <v>17950</v>
      </c>
      <c r="M19128" t="s">
        <v>86</v>
      </c>
      <c r="N19128" t="str">
        <f>"501246      "</f>
        <v xml:space="preserve">501246      </v>
      </c>
      <c r="O19128">
        <v>230418</v>
      </c>
    </row>
    <row r="19129" spans="1:15" x14ac:dyDescent="0.25">
      <c r="A19129" t="s">
        <v>16</v>
      </c>
      <c r="B19129" t="s">
        <v>3221</v>
      </c>
      <c r="C19129">
        <v>5065</v>
      </c>
      <c r="D19129" t="s">
        <v>810</v>
      </c>
      <c r="E19129" t="s">
        <v>811</v>
      </c>
      <c r="F19129">
        <v>45.51</v>
      </c>
      <c r="G19129">
        <v>230331</v>
      </c>
      <c r="H19129">
        <v>4580</v>
      </c>
      <c r="I19129" t="s">
        <v>35</v>
      </c>
      <c r="J19129">
        <v>56.43</v>
      </c>
      <c r="K19129">
        <v>10.92</v>
      </c>
      <c r="L19129">
        <v>17956</v>
      </c>
      <c r="M19129" t="s">
        <v>53</v>
      </c>
      <c r="N19129" t="str">
        <f>"501246      "</f>
        <v xml:space="preserve">501246      </v>
      </c>
      <c r="O19129">
        <v>230418</v>
      </c>
    </row>
    <row r="19130" spans="1:15" x14ac:dyDescent="0.25">
      <c r="A19130" t="s">
        <v>16</v>
      </c>
      <c r="B19130" t="s">
        <v>3221</v>
      </c>
      <c r="C19130">
        <v>5065</v>
      </c>
      <c r="D19130" t="s">
        <v>810</v>
      </c>
      <c r="E19130" t="s">
        <v>811</v>
      </c>
      <c r="F19130">
        <v>54.92</v>
      </c>
      <c r="G19130">
        <v>230331</v>
      </c>
      <c r="H19130">
        <v>4580</v>
      </c>
      <c r="I19130" t="s">
        <v>35</v>
      </c>
      <c r="J19130">
        <v>68.099999999999994</v>
      </c>
      <c r="K19130">
        <v>13.18</v>
      </c>
      <c r="L19130">
        <v>17956</v>
      </c>
      <c r="M19130" t="s">
        <v>53</v>
      </c>
      <c r="N19130" t="str">
        <f>"501246      "</f>
        <v xml:space="preserve">501246      </v>
      </c>
      <c r="O19130">
        <v>230418</v>
      </c>
    </row>
    <row r="19131" spans="1:15" x14ac:dyDescent="0.25">
      <c r="A19131" t="s">
        <v>16</v>
      </c>
      <c r="B19131" t="s">
        <v>3221</v>
      </c>
      <c r="C19131">
        <v>10659</v>
      </c>
      <c r="D19131" t="s">
        <v>810</v>
      </c>
      <c r="E19131" t="s">
        <v>811</v>
      </c>
      <c r="F19131">
        <v>63.38</v>
      </c>
      <c r="G19131">
        <v>230817</v>
      </c>
      <c r="H19131">
        <v>4580</v>
      </c>
      <c r="I19131" t="s">
        <v>35</v>
      </c>
      <c r="J19131">
        <v>78.59</v>
      </c>
      <c r="K19131">
        <v>15.21</v>
      </c>
      <c r="L19131">
        <v>17527</v>
      </c>
      <c r="M19131" t="s">
        <v>422</v>
      </c>
      <c r="N19131" t="str">
        <f>"501121      "</f>
        <v xml:space="preserve">501121      </v>
      </c>
      <c r="O19131">
        <v>230821</v>
      </c>
    </row>
    <row r="19132" spans="1:15" x14ac:dyDescent="0.25">
      <c r="A19132" t="s">
        <v>16</v>
      </c>
      <c r="B19132" t="s">
        <v>3221</v>
      </c>
      <c r="C19132">
        <v>11278</v>
      </c>
      <c r="D19132" t="s">
        <v>810</v>
      </c>
      <c r="E19132" t="s">
        <v>811</v>
      </c>
      <c r="F19132">
        <v>43.39</v>
      </c>
      <c r="G19132">
        <v>230831</v>
      </c>
      <c r="H19132">
        <v>4580</v>
      </c>
      <c r="I19132" t="s">
        <v>35</v>
      </c>
      <c r="J19132">
        <v>53.8</v>
      </c>
      <c r="K19132">
        <v>10.41</v>
      </c>
      <c r="L19132">
        <v>17521</v>
      </c>
      <c r="M19132" t="s">
        <v>133</v>
      </c>
      <c r="N19132" t="str">
        <f>"501778      "</f>
        <v xml:space="preserve">501778      </v>
      </c>
      <c r="O19132">
        <v>230904</v>
      </c>
    </row>
    <row r="19133" spans="1:15" x14ac:dyDescent="0.25">
      <c r="A19133" t="s">
        <v>16</v>
      </c>
      <c r="B19133" t="s">
        <v>3221</v>
      </c>
      <c r="C19133">
        <v>1026</v>
      </c>
      <c r="D19133" t="s">
        <v>810</v>
      </c>
      <c r="E19133" t="s">
        <v>811</v>
      </c>
      <c r="F19133">
        <v>173.3</v>
      </c>
      <c r="G19133">
        <v>230131</v>
      </c>
      <c r="H19133">
        <v>4400</v>
      </c>
      <c r="I19133" t="s">
        <v>348</v>
      </c>
      <c r="J19133">
        <v>173.3</v>
      </c>
      <c r="K19133">
        <v>0</v>
      </c>
      <c r="L19133">
        <v>17711</v>
      </c>
      <c r="M19133" t="s">
        <v>65</v>
      </c>
      <c r="N19133" t="str">
        <f>"500951      "</f>
        <v xml:space="preserve">500951      </v>
      </c>
      <c r="O19133">
        <v>230202</v>
      </c>
    </row>
    <row r="19134" spans="1:15" x14ac:dyDescent="0.25">
      <c r="A19134" t="s">
        <v>16</v>
      </c>
      <c r="B19134" t="s">
        <v>3221</v>
      </c>
      <c r="C19134">
        <v>2850</v>
      </c>
      <c r="D19134" t="s">
        <v>810</v>
      </c>
      <c r="E19134" t="s">
        <v>811</v>
      </c>
      <c r="F19134">
        <v>634.35</v>
      </c>
      <c r="G19134">
        <v>230228</v>
      </c>
      <c r="H19134">
        <v>4400</v>
      </c>
      <c r="I19134" t="s">
        <v>348</v>
      </c>
      <c r="J19134">
        <v>634.35</v>
      </c>
      <c r="K19134">
        <v>0</v>
      </c>
      <c r="L19134">
        <v>17526</v>
      </c>
      <c r="M19134" t="s">
        <v>437</v>
      </c>
      <c r="N19134" t="str">
        <f>"501042      "</f>
        <v xml:space="preserve">501042      </v>
      </c>
      <c r="O19134">
        <v>230308</v>
      </c>
    </row>
    <row r="19135" spans="1:15" x14ac:dyDescent="0.25">
      <c r="A19135" t="s">
        <v>16</v>
      </c>
      <c r="B19135" t="s">
        <v>3221</v>
      </c>
      <c r="C19135">
        <v>2854</v>
      </c>
      <c r="D19135" t="s">
        <v>810</v>
      </c>
      <c r="E19135" t="s">
        <v>811</v>
      </c>
      <c r="F19135">
        <v>153.11000000000001</v>
      </c>
      <c r="G19135">
        <v>230228</v>
      </c>
      <c r="H19135">
        <v>4400</v>
      </c>
      <c r="I19135" t="s">
        <v>348</v>
      </c>
      <c r="J19135">
        <v>153.11000000000001</v>
      </c>
      <c r="K19135">
        <v>0</v>
      </c>
      <c r="L19135">
        <v>17538</v>
      </c>
      <c r="M19135" t="s">
        <v>24</v>
      </c>
      <c r="N19135" t="str">
        <f>"501078      "</f>
        <v xml:space="preserve">501078      </v>
      </c>
      <c r="O19135">
        <v>230308</v>
      </c>
    </row>
    <row r="19136" spans="1:15" x14ac:dyDescent="0.25">
      <c r="A19136" t="s">
        <v>16</v>
      </c>
      <c r="B19136" t="s">
        <v>3221</v>
      </c>
      <c r="C19136">
        <v>2854</v>
      </c>
      <c r="D19136" t="s">
        <v>810</v>
      </c>
      <c r="E19136" t="s">
        <v>811</v>
      </c>
      <c r="F19136">
        <v>153.12</v>
      </c>
      <c r="G19136">
        <v>230228</v>
      </c>
      <c r="H19136">
        <v>4400</v>
      </c>
      <c r="I19136" t="s">
        <v>348</v>
      </c>
      <c r="J19136">
        <v>153.12</v>
      </c>
      <c r="K19136">
        <v>0</v>
      </c>
      <c r="L19136">
        <v>17862</v>
      </c>
      <c r="M19136" t="s">
        <v>319</v>
      </c>
      <c r="N19136" t="str">
        <f>"501078      "</f>
        <v xml:space="preserve">501078      </v>
      </c>
      <c r="O19136">
        <v>230308</v>
      </c>
    </row>
    <row r="19137" spans="1:15" x14ac:dyDescent="0.25">
      <c r="A19137" t="s">
        <v>16</v>
      </c>
      <c r="B19137" t="s">
        <v>3221</v>
      </c>
      <c r="C19137">
        <v>2856</v>
      </c>
      <c r="D19137" t="s">
        <v>810</v>
      </c>
      <c r="E19137" t="s">
        <v>811</v>
      </c>
      <c r="F19137">
        <v>190.39</v>
      </c>
      <c r="G19137">
        <v>230228</v>
      </c>
      <c r="H19137">
        <v>4400</v>
      </c>
      <c r="I19137" t="s">
        <v>348</v>
      </c>
      <c r="J19137">
        <v>236.08</v>
      </c>
      <c r="K19137">
        <v>45.69</v>
      </c>
      <c r="L19137">
        <v>17535</v>
      </c>
      <c r="M19137" t="s">
        <v>357</v>
      </c>
      <c r="N19137" t="str">
        <f>"501058      "</f>
        <v xml:space="preserve">501058      </v>
      </c>
      <c r="O19137">
        <v>230308</v>
      </c>
    </row>
    <row r="19138" spans="1:15" x14ac:dyDescent="0.25">
      <c r="A19138" t="s">
        <v>16</v>
      </c>
      <c r="B19138" t="s">
        <v>3221</v>
      </c>
      <c r="C19138">
        <v>2857</v>
      </c>
      <c r="D19138" t="s">
        <v>810</v>
      </c>
      <c r="E19138" t="s">
        <v>811</v>
      </c>
      <c r="F19138">
        <v>264.64999999999998</v>
      </c>
      <c r="G19138">
        <v>230228</v>
      </c>
      <c r="H19138">
        <v>4400</v>
      </c>
      <c r="I19138" t="s">
        <v>348</v>
      </c>
      <c r="J19138">
        <v>264.64999999999998</v>
      </c>
      <c r="K19138">
        <v>0</v>
      </c>
      <c r="L19138">
        <v>17526</v>
      </c>
      <c r="M19138" t="s">
        <v>437</v>
      </c>
      <c r="N19138" t="str">
        <f>"501076      "</f>
        <v xml:space="preserve">501076      </v>
      </c>
      <c r="O19138">
        <v>230308</v>
      </c>
    </row>
    <row r="19139" spans="1:15" x14ac:dyDescent="0.25">
      <c r="A19139" t="s">
        <v>16</v>
      </c>
      <c r="B19139" t="s">
        <v>3221</v>
      </c>
      <c r="C19139">
        <v>3032</v>
      </c>
      <c r="D19139" t="s">
        <v>810</v>
      </c>
      <c r="E19139" t="s">
        <v>811</v>
      </c>
      <c r="F19139">
        <v>252.22</v>
      </c>
      <c r="G19139">
        <v>230228</v>
      </c>
      <c r="H19139">
        <v>4400</v>
      </c>
      <c r="I19139" t="s">
        <v>348</v>
      </c>
      <c r="J19139">
        <v>252.22</v>
      </c>
      <c r="K19139">
        <v>0</v>
      </c>
      <c r="L19139">
        <v>17525</v>
      </c>
      <c r="M19139" t="s">
        <v>135</v>
      </c>
      <c r="N19139" t="str">
        <f>"501077      "</f>
        <v xml:space="preserve">501077      </v>
      </c>
      <c r="O19139">
        <v>230308</v>
      </c>
    </row>
    <row r="19140" spans="1:15" x14ac:dyDescent="0.25">
      <c r="A19140" t="s">
        <v>16</v>
      </c>
      <c r="B19140" t="s">
        <v>3221</v>
      </c>
      <c r="C19140">
        <v>3032</v>
      </c>
      <c r="D19140" t="s">
        <v>810</v>
      </c>
      <c r="E19140" t="s">
        <v>811</v>
      </c>
      <c r="F19140">
        <v>252.22</v>
      </c>
      <c r="G19140">
        <v>230228</v>
      </c>
      <c r="H19140">
        <v>4400</v>
      </c>
      <c r="I19140" t="s">
        <v>348</v>
      </c>
      <c r="J19140">
        <v>252.22</v>
      </c>
      <c r="K19140">
        <v>0</v>
      </c>
      <c r="L19140">
        <v>17529</v>
      </c>
      <c r="M19140" t="s">
        <v>453</v>
      </c>
      <c r="N19140" t="str">
        <f>"501077      "</f>
        <v xml:space="preserve">501077      </v>
      </c>
      <c r="O19140">
        <v>230308</v>
      </c>
    </row>
    <row r="19141" spans="1:15" x14ac:dyDescent="0.25">
      <c r="A19141" t="s">
        <v>16</v>
      </c>
      <c r="B19141" t="s">
        <v>3221</v>
      </c>
      <c r="C19141">
        <v>3032</v>
      </c>
      <c r="D19141" t="s">
        <v>810</v>
      </c>
      <c r="E19141" t="s">
        <v>811</v>
      </c>
      <c r="F19141">
        <v>252.22</v>
      </c>
      <c r="G19141">
        <v>230228</v>
      </c>
      <c r="H19141">
        <v>4400</v>
      </c>
      <c r="I19141" t="s">
        <v>348</v>
      </c>
      <c r="J19141">
        <v>252.22</v>
      </c>
      <c r="K19141">
        <v>0</v>
      </c>
      <c r="L19141">
        <v>17530</v>
      </c>
      <c r="M19141" t="s">
        <v>454</v>
      </c>
      <c r="N19141" t="str">
        <f>"501077      "</f>
        <v xml:space="preserve">501077      </v>
      </c>
      <c r="O19141">
        <v>230308</v>
      </c>
    </row>
    <row r="19142" spans="1:15" x14ac:dyDescent="0.25">
      <c r="A19142" t="s">
        <v>16</v>
      </c>
      <c r="B19142" t="s">
        <v>3221</v>
      </c>
      <c r="C19142">
        <v>3032</v>
      </c>
      <c r="D19142" t="s">
        <v>810</v>
      </c>
      <c r="E19142" t="s">
        <v>811</v>
      </c>
      <c r="F19142">
        <v>252.25</v>
      </c>
      <c r="G19142">
        <v>230228</v>
      </c>
      <c r="H19142">
        <v>4400</v>
      </c>
      <c r="I19142" t="s">
        <v>348</v>
      </c>
      <c r="J19142">
        <v>252.25</v>
      </c>
      <c r="K19142">
        <v>0</v>
      </c>
      <c r="L19142">
        <v>17537</v>
      </c>
      <c r="M19142" t="s">
        <v>455</v>
      </c>
      <c r="N19142" t="str">
        <f>"501077      "</f>
        <v xml:space="preserve">501077      </v>
      </c>
      <c r="O19142">
        <v>230308</v>
      </c>
    </row>
    <row r="19143" spans="1:15" x14ac:dyDescent="0.25">
      <c r="A19143" t="s">
        <v>16</v>
      </c>
      <c r="B19143" t="s">
        <v>3221</v>
      </c>
      <c r="C19143">
        <v>4186</v>
      </c>
      <c r="D19143" t="s">
        <v>810</v>
      </c>
      <c r="E19143" t="s">
        <v>811</v>
      </c>
      <c r="F19143">
        <v>80.02</v>
      </c>
      <c r="G19143">
        <v>230330</v>
      </c>
      <c r="H19143">
        <v>4400</v>
      </c>
      <c r="I19143" t="s">
        <v>348</v>
      </c>
      <c r="J19143">
        <v>80.02</v>
      </c>
      <c r="K19143">
        <v>0</v>
      </c>
      <c r="L19143">
        <v>17950</v>
      </c>
      <c r="M19143" t="s">
        <v>86</v>
      </c>
      <c r="N19143" t="str">
        <f>"501219      "</f>
        <v xml:space="preserve">501219      </v>
      </c>
      <c r="O19143">
        <v>230331</v>
      </c>
    </row>
    <row r="19144" spans="1:15" x14ac:dyDescent="0.25">
      <c r="A19144" t="s">
        <v>16</v>
      </c>
      <c r="B19144" t="s">
        <v>3221</v>
      </c>
      <c r="C19144">
        <v>4234</v>
      </c>
      <c r="D19144" t="s">
        <v>810</v>
      </c>
      <c r="E19144" t="s">
        <v>811</v>
      </c>
      <c r="F19144">
        <v>59.6</v>
      </c>
      <c r="G19144">
        <v>230330</v>
      </c>
      <c r="H19144">
        <v>4400</v>
      </c>
      <c r="I19144" t="s">
        <v>348</v>
      </c>
      <c r="J19144">
        <v>59.6</v>
      </c>
      <c r="K19144">
        <v>0</v>
      </c>
      <c r="L19144">
        <v>17527</v>
      </c>
      <c r="M19144" t="s">
        <v>422</v>
      </c>
      <c r="N19144" t="str">
        <f>"501152      "</f>
        <v xml:space="preserve">501152      </v>
      </c>
      <c r="O19144">
        <v>230403</v>
      </c>
    </row>
    <row r="19145" spans="1:15" x14ac:dyDescent="0.25">
      <c r="A19145" t="s">
        <v>16</v>
      </c>
      <c r="B19145" t="s">
        <v>3221</v>
      </c>
      <c r="C19145">
        <v>4235</v>
      </c>
      <c r="D19145" t="s">
        <v>810</v>
      </c>
      <c r="E19145" t="s">
        <v>811</v>
      </c>
      <c r="F19145">
        <v>179.55</v>
      </c>
      <c r="G19145">
        <v>230330</v>
      </c>
      <c r="H19145">
        <v>4400</v>
      </c>
      <c r="I19145" t="s">
        <v>348</v>
      </c>
      <c r="J19145">
        <v>222.64</v>
      </c>
      <c r="K19145">
        <v>43.09</v>
      </c>
      <c r="L19145">
        <v>17534</v>
      </c>
      <c r="M19145" t="s">
        <v>440</v>
      </c>
      <c r="N19145" t="str">
        <f>"501165      "</f>
        <v xml:space="preserve">501165      </v>
      </c>
      <c r="O19145">
        <v>230403</v>
      </c>
    </row>
    <row r="19146" spans="1:15" x14ac:dyDescent="0.25">
      <c r="A19146" t="s">
        <v>16</v>
      </c>
      <c r="B19146" t="s">
        <v>3221</v>
      </c>
      <c r="C19146">
        <v>4236</v>
      </c>
      <c r="D19146" t="s">
        <v>810</v>
      </c>
      <c r="E19146" t="s">
        <v>811</v>
      </c>
      <c r="F19146">
        <v>602.44000000000005</v>
      </c>
      <c r="G19146">
        <v>230330</v>
      </c>
      <c r="H19146">
        <v>4400</v>
      </c>
      <c r="I19146" t="s">
        <v>348</v>
      </c>
      <c r="J19146">
        <v>747.03</v>
      </c>
      <c r="K19146">
        <v>144.59</v>
      </c>
      <c r="L19146">
        <v>17526</v>
      </c>
      <c r="M19146" t="s">
        <v>437</v>
      </c>
      <c r="N19146" t="str">
        <f>"501153      "</f>
        <v xml:space="preserve">501153      </v>
      </c>
      <c r="O19146">
        <v>230403</v>
      </c>
    </row>
    <row r="19147" spans="1:15" x14ac:dyDescent="0.25">
      <c r="A19147" t="s">
        <v>16</v>
      </c>
      <c r="B19147" t="s">
        <v>3221</v>
      </c>
      <c r="C19147">
        <v>4239</v>
      </c>
      <c r="D19147" t="s">
        <v>810</v>
      </c>
      <c r="E19147" t="s">
        <v>811</v>
      </c>
      <c r="F19147">
        <v>727.68</v>
      </c>
      <c r="G19147">
        <v>230330</v>
      </c>
      <c r="H19147">
        <v>4400</v>
      </c>
      <c r="I19147" t="s">
        <v>348</v>
      </c>
      <c r="J19147">
        <v>727.68</v>
      </c>
      <c r="K19147">
        <v>0</v>
      </c>
      <c r="L19147">
        <v>17526</v>
      </c>
      <c r="M19147" t="s">
        <v>437</v>
      </c>
      <c r="N19147" t="str">
        <f>"501216      "</f>
        <v xml:space="preserve">501216      </v>
      </c>
      <c r="O19147">
        <v>230403</v>
      </c>
    </row>
    <row r="19148" spans="1:15" x14ac:dyDescent="0.25">
      <c r="A19148" t="s">
        <v>16</v>
      </c>
      <c r="B19148" t="s">
        <v>3221</v>
      </c>
      <c r="C19148">
        <v>5634</v>
      </c>
      <c r="D19148" t="s">
        <v>810</v>
      </c>
      <c r="E19148" t="s">
        <v>811</v>
      </c>
      <c r="F19148">
        <v>141.47</v>
      </c>
      <c r="G19148">
        <v>230427</v>
      </c>
      <c r="H19148">
        <v>4400</v>
      </c>
      <c r="I19148" t="s">
        <v>348</v>
      </c>
      <c r="J19148">
        <v>141.47</v>
      </c>
      <c r="K19148">
        <v>0</v>
      </c>
      <c r="L19148">
        <v>17950</v>
      </c>
      <c r="M19148" t="s">
        <v>86</v>
      </c>
      <c r="N19148" t="str">
        <f>"501299      "</f>
        <v xml:space="preserve">501299      </v>
      </c>
      <c r="O19148">
        <v>230428</v>
      </c>
    </row>
    <row r="19149" spans="1:15" x14ac:dyDescent="0.25">
      <c r="A19149" t="s">
        <v>16</v>
      </c>
      <c r="B19149" t="s">
        <v>3221</v>
      </c>
      <c r="C19149">
        <v>5711</v>
      </c>
      <c r="D19149" t="s">
        <v>810</v>
      </c>
      <c r="E19149" t="s">
        <v>811</v>
      </c>
      <c r="F19149">
        <v>74.8</v>
      </c>
      <c r="G19149">
        <v>230427</v>
      </c>
      <c r="H19149">
        <v>4400</v>
      </c>
      <c r="I19149" t="s">
        <v>348</v>
      </c>
      <c r="J19149">
        <v>92.75</v>
      </c>
      <c r="K19149">
        <v>17.95</v>
      </c>
      <c r="L19149">
        <v>17522</v>
      </c>
      <c r="M19149" t="s">
        <v>451</v>
      </c>
      <c r="N19149" t="str">
        <f>"501294      "</f>
        <v xml:space="preserve">501294      </v>
      </c>
      <c r="O19149">
        <v>230502</v>
      </c>
    </row>
    <row r="19150" spans="1:15" x14ac:dyDescent="0.25">
      <c r="A19150" t="s">
        <v>16</v>
      </c>
      <c r="B19150" t="s">
        <v>3221</v>
      </c>
      <c r="C19150">
        <v>5712</v>
      </c>
      <c r="D19150" t="s">
        <v>810</v>
      </c>
      <c r="E19150" t="s">
        <v>811</v>
      </c>
      <c r="F19150">
        <v>149.03</v>
      </c>
      <c r="G19150">
        <v>230427</v>
      </c>
      <c r="H19150">
        <v>4400</v>
      </c>
      <c r="I19150" t="s">
        <v>348</v>
      </c>
      <c r="J19150">
        <v>149.03</v>
      </c>
      <c r="K19150">
        <v>0</v>
      </c>
      <c r="L19150">
        <v>17521</v>
      </c>
      <c r="M19150" t="s">
        <v>133</v>
      </c>
      <c r="N19150" t="str">
        <f>"501307      "</f>
        <v xml:space="preserve">501307      </v>
      </c>
      <c r="O19150">
        <v>230502</v>
      </c>
    </row>
    <row r="19151" spans="1:15" x14ac:dyDescent="0.25">
      <c r="A19151" t="s">
        <v>16</v>
      </c>
      <c r="B19151" t="s">
        <v>3221</v>
      </c>
      <c r="C19151">
        <v>5713</v>
      </c>
      <c r="D19151" t="s">
        <v>810</v>
      </c>
      <c r="E19151" t="s">
        <v>811</v>
      </c>
      <c r="F19151">
        <v>123.45</v>
      </c>
      <c r="G19151">
        <v>230427</v>
      </c>
      <c r="H19151">
        <v>4400</v>
      </c>
      <c r="I19151" t="s">
        <v>348</v>
      </c>
      <c r="J19151">
        <v>153.08000000000001</v>
      </c>
      <c r="K19151">
        <v>29.63</v>
      </c>
      <c r="L19151">
        <v>17526</v>
      </c>
      <c r="M19151" t="s">
        <v>437</v>
      </c>
      <c r="N19151" t="str">
        <f>"501292      "</f>
        <v xml:space="preserve">501292      </v>
      </c>
      <c r="O19151">
        <v>230502</v>
      </c>
    </row>
    <row r="19152" spans="1:15" x14ac:dyDescent="0.25">
      <c r="A19152" t="s">
        <v>16</v>
      </c>
      <c r="B19152" t="s">
        <v>3221</v>
      </c>
      <c r="C19152">
        <v>5727</v>
      </c>
      <c r="D19152" t="s">
        <v>810</v>
      </c>
      <c r="E19152" t="s">
        <v>811</v>
      </c>
      <c r="F19152">
        <v>119.45</v>
      </c>
      <c r="G19152">
        <v>230427</v>
      </c>
      <c r="H19152">
        <v>4400</v>
      </c>
      <c r="I19152" t="s">
        <v>348</v>
      </c>
      <c r="J19152">
        <v>119.45</v>
      </c>
      <c r="K19152">
        <v>0</v>
      </c>
      <c r="L19152">
        <v>17526</v>
      </c>
      <c r="M19152" t="s">
        <v>437</v>
      </c>
      <c r="N19152" t="str">
        <f>"501326      "</f>
        <v xml:space="preserve">501326      </v>
      </c>
      <c r="O19152">
        <v>230502</v>
      </c>
    </row>
    <row r="19153" spans="1:15" x14ac:dyDescent="0.25">
      <c r="A19153" t="s">
        <v>16</v>
      </c>
      <c r="B19153" t="s">
        <v>3221</v>
      </c>
      <c r="C19153">
        <v>6063</v>
      </c>
      <c r="D19153" t="s">
        <v>810</v>
      </c>
      <c r="E19153" t="s">
        <v>811</v>
      </c>
      <c r="F19153">
        <v>438.33</v>
      </c>
      <c r="G19153">
        <v>230427</v>
      </c>
      <c r="H19153">
        <v>4400</v>
      </c>
      <c r="I19153" t="s">
        <v>348</v>
      </c>
      <c r="J19153">
        <v>543.53</v>
      </c>
      <c r="K19153">
        <v>105.2</v>
      </c>
      <c r="L19153">
        <v>17534</v>
      </c>
      <c r="M19153" t="s">
        <v>440</v>
      </c>
      <c r="N19153" t="str">
        <f>"501278      "</f>
        <v xml:space="preserve">501278      </v>
      </c>
      <c r="O19153">
        <v>230508</v>
      </c>
    </row>
    <row r="19154" spans="1:15" x14ac:dyDescent="0.25">
      <c r="A19154" t="s">
        <v>16</v>
      </c>
      <c r="B19154" t="s">
        <v>3221</v>
      </c>
      <c r="C19154">
        <v>7654</v>
      </c>
      <c r="D19154" t="s">
        <v>810</v>
      </c>
      <c r="E19154" t="s">
        <v>811</v>
      </c>
      <c r="F19154">
        <v>270.36</v>
      </c>
      <c r="G19154">
        <v>230531</v>
      </c>
      <c r="H19154">
        <v>4400</v>
      </c>
      <c r="I19154" t="s">
        <v>348</v>
      </c>
      <c r="J19154">
        <v>335.25</v>
      </c>
      <c r="K19154">
        <v>64.89</v>
      </c>
      <c r="L19154">
        <v>17522</v>
      </c>
      <c r="M19154" t="s">
        <v>451</v>
      </c>
      <c r="N19154" t="str">
        <f>"501390      "</f>
        <v xml:space="preserve">501390      </v>
      </c>
      <c r="O19154">
        <v>230601</v>
      </c>
    </row>
    <row r="19155" spans="1:15" x14ac:dyDescent="0.25">
      <c r="A19155" t="s">
        <v>16</v>
      </c>
      <c r="B19155" t="s">
        <v>3221</v>
      </c>
      <c r="C19155">
        <v>7656</v>
      </c>
      <c r="D19155" t="s">
        <v>810</v>
      </c>
      <c r="E19155" t="s">
        <v>811</v>
      </c>
      <c r="F19155">
        <v>386.35</v>
      </c>
      <c r="G19155">
        <v>230531</v>
      </c>
      <c r="H19155">
        <v>4400</v>
      </c>
      <c r="I19155" t="s">
        <v>348</v>
      </c>
      <c r="J19155">
        <v>479.08</v>
      </c>
      <c r="K19155">
        <v>92.73</v>
      </c>
      <c r="L19155">
        <v>17524</v>
      </c>
      <c r="M19155" t="s">
        <v>452</v>
      </c>
      <c r="N19155" t="str">
        <f>"501414      "</f>
        <v xml:space="preserve">501414      </v>
      </c>
      <c r="O19155">
        <v>230601</v>
      </c>
    </row>
    <row r="19156" spans="1:15" x14ac:dyDescent="0.25">
      <c r="A19156" t="s">
        <v>16</v>
      </c>
      <c r="B19156" t="s">
        <v>3221</v>
      </c>
      <c r="C19156">
        <v>7658</v>
      </c>
      <c r="D19156" t="s">
        <v>810</v>
      </c>
      <c r="E19156" t="s">
        <v>811</v>
      </c>
      <c r="F19156">
        <v>113.6</v>
      </c>
      <c r="G19156">
        <v>230531</v>
      </c>
      <c r="H19156">
        <v>4400</v>
      </c>
      <c r="I19156" t="s">
        <v>348</v>
      </c>
      <c r="J19156">
        <v>140.87</v>
      </c>
      <c r="K19156">
        <v>27.27</v>
      </c>
      <c r="L19156">
        <v>17524</v>
      </c>
      <c r="M19156" t="s">
        <v>452</v>
      </c>
      <c r="N19156" t="str">
        <f>"501401      "</f>
        <v xml:space="preserve">501401      </v>
      </c>
      <c r="O19156">
        <v>230601</v>
      </c>
    </row>
    <row r="19157" spans="1:15" x14ac:dyDescent="0.25">
      <c r="A19157" t="s">
        <v>16</v>
      </c>
      <c r="B19157" t="s">
        <v>3221</v>
      </c>
      <c r="C19157">
        <v>7685</v>
      </c>
      <c r="D19157" t="s">
        <v>810</v>
      </c>
      <c r="E19157" t="s">
        <v>811</v>
      </c>
      <c r="F19157">
        <v>244.81</v>
      </c>
      <c r="G19157">
        <v>230531</v>
      </c>
      <c r="H19157">
        <v>4400</v>
      </c>
      <c r="I19157" t="s">
        <v>348</v>
      </c>
      <c r="J19157">
        <v>303.57</v>
      </c>
      <c r="K19157">
        <v>58.76</v>
      </c>
      <c r="L19157">
        <v>17521</v>
      </c>
      <c r="M19157" t="s">
        <v>133</v>
      </c>
      <c r="N19157" t="str">
        <f>"501411      "</f>
        <v xml:space="preserve">501411      </v>
      </c>
      <c r="O19157">
        <v>230601</v>
      </c>
    </row>
    <row r="19158" spans="1:15" x14ac:dyDescent="0.25">
      <c r="A19158" t="s">
        <v>16</v>
      </c>
      <c r="B19158" t="s">
        <v>3221</v>
      </c>
      <c r="C19158">
        <v>9260</v>
      </c>
      <c r="D19158" t="s">
        <v>810</v>
      </c>
      <c r="E19158" t="s">
        <v>811</v>
      </c>
      <c r="F19158">
        <v>295.51</v>
      </c>
      <c r="G19158">
        <v>230629</v>
      </c>
      <c r="H19158">
        <v>4400</v>
      </c>
      <c r="I19158" t="s">
        <v>348</v>
      </c>
      <c r="J19158">
        <v>366.43</v>
      </c>
      <c r="K19158">
        <v>70.92</v>
      </c>
      <c r="L19158">
        <v>17527</v>
      </c>
      <c r="M19158" t="s">
        <v>422</v>
      </c>
      <c r="N19158" t="str">
        <f>"501497      "</f>
        <v xml:space="preserve">501497      </v>
      </c>
      <c r="O19158">
        <v>230703</v>
      </c>
    </row>
    <row r="19159" spans="1:15" x14ac:dyDescent="0.25">
      <c r="A19159" t="s">
        <v>16</v>
      </c>
      <c r="B19159" t="s">
        <v>3221</v>
      </c>
      <c r="C19159">
        <v>10548</v>
      </c>
      <c r="D19159" t="s">
        <v>810</v>
      </c>
      <c r="E19159" t="s">
        <v>811</v>
      </c>
      <c r="F19159">
        <v>25.07</v>
      </c>
      <c r="G19159">
        <v>230817</v>
      </c>
      <c r="H19159">
        <v>4400</v>
      </c>
      <c r="I19159" t="s">
        <v>348</v>
      </c>
      <c r="J19159">
        <v>31.09</v>
      </c>
      <c r="K19159">
        <v>6.02</v>
      </c>
      <c r="L19159">
        <v>17523</v>
      </c>
      <c r="M19159" t="s">
        <v>134</v>
      </c>
      <c r="N19159" t="str">
        <f>"501090      "</f>
        <v xml:space="preserve">501090      </v>
      </c>
      <c r="O19159">
        <v>230818</v>
      </c>
    </row>
    <row r="19160" spans="1:15" x14ac:dyDescent="0.25">
      <c r="A19160" t="s">
        <v>16</v>
      </c>
      <c r="B19160" t="s">
        <v>3221</v>
      </c>
      <c r="C19160">
        <v>11280</v>
      </c>
      <c r="D19160" t="s">
        <v>810</v>
      </c>
      <c r="E19160" t="s">
        <v>811</v>
      </c>
      <c r="F19160">
        <v>76.48</v>
      </c>
      <c r="G19160">
        <v>230831</v>
      </c>
      <c r="H19160">
        <v>4400</v>
      </c>
      <c r="I19160" t="s">
        <v>348</v>
      </c>
      <c r="J19160">
        <v>94.84</v>
      </c>
      <c r="K19160">
        <v>18.36</v>
      </c>
      <c r="L19160">
        <v>17535</v>
      </c>
      <c r="M19160" t="s">
        <v>357</v>
      </c>
      <c r="N19160" t="str">
        <f>"501693      "</f>
        <v xml:space="preserve">501693      </v>
      </c>
      <c r="O19160">
        <v>230904</v>
      </c>
    </row>
    <row r="19161" spans="1:15" x14ac:dyDescent="0.25">
      <c r="A19161" t="s">
        <v>16</v>
      </c>
      <c r="B19161" t="s">
        <v>3221</v>
      </c>
      <c r="C19161">
        <v>11960</v>
      </c>
      <c r="D19161" t="s">
        <v>810</v>
      </c>
      <c r="E19161" t="s">
        <v>811</v>
      </c>
      <c r="F19161">
        <v>72.349999999999994</v>
      </c>
      <c r="G19161">
        <v>230831</v>
      </c>
      <c r="H19161">
        <v>4400</v>
      </c>
      <c r="I19161" t="s">
        <v>348</v>
      </c>
      <c r="J19161">
        <v>89.72</v>
      </c>
      <c r="K19161">
        <v>17.37</v>
      </c>
      <c r="L19161">
        <v>17524</v>
      </c>
      <c r="M19161" t="s">
        <v>452</v>
      </c>
      <c r="N19161" t="str">
        <f>"501753      "</f>
        <v xml:space="preserve">501753      </v>
      </c>
      <c r="O19161">
        <v>230912</v>
      </c>
    </row>
    <row r="19162" spans="1:15" x14ac:dyDescent="0.25">
      <c r="A19162" t="s">
        <v>16</v>
      </c>
      <c r="B19162" t="s">
        <v>3221</v>
      </c>
      <c r="C19162">
        <v>13135</v>
      </c>
      <c r="D19162" t="s">
        <v>810</v>
      </c>
      <c r="E19162" t="s">
        <v>811</v>
      </c>
      <c r="F19162">
        <v>94.91</v>
      </c>
      <c r="G19162">
        <v>230928</v>
      </c>
      <c r="H19162">
        <v>4400</v>
      </c>
      <c r="I19162" t="s">
        <v>348</v>
      </c>
      <c r="J19162">
        <v>94.91</v>
      </c>
      <c r="K19162">
        <v>0</v>
      </c>
      <c r="L19162">
        <v>17526</v>
      </c>
      <c r="M19162" t="s">
        <v>437</v>
      </c>
      <c r="N19162" t="str">
        <f>"501856      "</f>
        <v xml:space="preserve">501856      </v>
      </c>
      <c r="O19162">
        <v>231004</v>
      </c>
    </row>
    <row r="19163" spans="1:15" x14ac:dyDescent="0.25">
      <c r="A19163" t="s">
        <v>16</v>
      </c>
      <c r="B19163" t="s">
        <v>3221</v>
      </c>
      <c r="C19163">
        <v>15052</v>
      </c>
      <c r="D19163" t="s">
        <v>810</v>
      </c>
      <c r="E19163" t="s">
        <v>811</v>
      </c>
      <c r="F19163">
        <v>39.979999999999997</v>
      </c>
      <c r="G19163">
        <v>231031</v>
      </c>
      <c r="H19163">
        <v>4400</v>
      </c>
      <c r="I19163" t="s">
        <v>348</v>
      </c>
      <c r="J19163">
        <v>49.58</v>
      </c>
      <c r="K19163">
        <v>9.6</v>
      </c>
      <c r="L19163">
        <v>17535</v>
      </c>
      <c r="M19163" t="s">
        <v>357</v>
      </c>
      <c r="N19163" t="str">
        <f>"502105      "</f>
        <v xml:space="preserve">502105      </v>
      </c>
      <c r="O19163">
        <v>231108</v>
      </c>
    </row>
    <row r="19164" spans="1:15" x14ac:dyDescent="0.25">
      <c r="A19164" t="s">
        <v>16</v>
      </c>
      <c r="B19164" t="s">
        <v>3221</v>
      </c>
      <c r="C19164">
        <v>16731</v>
      </c>
      <c r="D19164" t="s">
        <v>810</v>
      </c>
      <c r="E19164" t="s">
        <v>811</v>
      </c>
      <c r="F19164">
        <v>103.6</v>
      </c>
      <c r="G19164">
        <v>231129</v>
      </c>
      <c r="H19164">
        <v>4400</v>
      </c>
      <c r="I19164" t="s">
        <v>348</v>
      </c>
      <c r="J19164">
        <v>103.6</v>
      </c>
      <c r="K19164">
        <v>0</v>
      </c>
      <c r="L19164">
        <v>17527</v>
      </c>
      <c r="M19164" t="s">
        <v>422</v>
      </c>
      <c r="N19164" t="str">
        <f>"502171      "</f>
        <v xml:space="preserve">502171      </v>
      </c>
      <c r="O19164">
        <v>231208</v>
      </c>
    </row>
    <row r="19165" spans="1:15" x14ac:dyDescent="0.25">
      <c r="A19165" t="s">
        <v>16</v>
      </c>
      <c r="B19165" t="s">
        <v>3221</v>
      </c>
      <c r="C19165">
        <v>16735</v>
      </c>
      <c r="D19165" t="s">
        <v>810</v>
      </c>
      <c r="E19165" t="s">
        <v>811</v>
      </c>
      <c r="F19165">
        <v>113.6</v>
      </c>
      <c r="G19165">
        <v>231129</v>
      </c>
      <c r="H19165">
        <v>4400</v>
      </c>
      <c r="I19165" t="s">
        <v>348</v>
      </c>
      <c r="J19165">
        <v>140.87</v>
      </c>
      <c r="K19165">
        <v>27.27</v>
      </c>
      <c r="L19165">
        <v>17521</v>
      </c>
      <c r="M19165" t="s">
        <v>133</v>
      </c>
      <c r="N19165" t="str">
        <f>"502159      "</f>
        <v xml:space="preserve">502159      </v>
      </c>
      <c r="O19165">
        <v>231208</v>
      </c>
    </row>
    <row r="19166" spans="1:15" x14ac:dyDescent="0.25">
      <c r="A19166" t="s">
        <v>16</v>
      </c>
      <c r="B19166" t="s">
        <v>3221</v>
      </c>
      <c r="C19166">
        <v>16742</v>
      </c>
      <c r="D19166" t="s">
        <v>810</v>
      </c>
      <c r="E19166" t="s">
        <v>811</v>
      </c>
      <c r="F19166">
        <v>92.6</v>
      </c>
      <c r="G19166">
        <v>231130</v>
      </c>
      <c r="H19166">
        <v>4400</v>
      </c>
      <c r="I19166" t="s">
        <v>348</v>
      </c>
      <c r="J19166">
        <v>114.83</v>
      </c>
      <c r="K19166">
        <v>22.23</v>
      </c>
      <c r="L19166">
        <v>17531</v>
      </c>
      <c r="M19166" t="s">
        <v>136</v>
      </c>
      <c r="N19166" t="str">
        <f>"502225      "</f>
        <v xml:space="preserve">502225      </v>
      </c>
      <c r="O19166">
        <v>231208</v>
      </c>
    </row>
    <row r="19167" spans="1:15" x14ac:dyDescent="0.25">
      <c r="A19167" t="s">
        <v>16</v>
      </c>
      <c r="B19167" t="s">
        <v>3221</v>
      </c>
      <c r="C19167">
        <v>16744</v>
      </c>
      <c r="D19167" t="s">
        <v>810</v>
      </c>
      <c r="E19167" t="s">
        <v>811</v>
      </c>
      <c r="F19167">
        <v>256.87</v>
      </c>
      <c r="G19167">
        <v>231130</v>
      </c>
      <c r="H19167">
        <v>4400</v>
      </c>
      <c r="I19167" t="s">
        <v>348</v>
      </c>
      <c r="J19167">
        <v>256.87</v>
      </c>
      <c r="K19167">
        <v>0</v>
      </c>
      <c r="L19167">
        <v>17533</v>
      </c>
      <c r="M19167" t="s">
        <v>990</v>
      </c>
      <c r="N19167" t="str">
        <f>"502205      "</f>
        <v xml:space="preserve">502205      </v>
      </c>
      <c r="O19167">
        <v>231208</v>
      </c>
    </row>
    <row r="19168" spans="1:15" x14ac:dyDescent="0.25">
      <c r="A19168" t="s">
        <v>16</v>
      </c>
      <c r="B19168" t="s">
        <v>3221</v>
      </c>
      <c r="C19168">
        <v>16820</v>
      </c>
      <c r="D19168" t="s">
        <v>810</v>
      </c>
      <c r="E19168" t="s">
        <v>811</v>
      </c>
      <c r="F19168">
        <v>53.72</v>
      </c>
      <c r="G19168">
        <v>231130</v>
      </c>
      <c r="H19168">
        <v>4400</v>
      </c>
      <c r="I19168" t="s">
        <v>348</v>
      </c>
      <c r="J19168">
        <v>66.61</v>
      </c>
      <c r="K19168">
        <v>12.89</v>
      </c>
      <c r="L19168">
        <v>17526</v>
      </c>
      <c r="M19168" t="s">
        <v>437</v>
      </c>
      <c r="N19168" t="str">
        <f>"502198      "</f>
        <v xml:space="preserve">502198      </v>
      </c>
      <c r="O19168">
        <v>231211</v>
      </c>
    </row>
    <row r="19169" spans="1:15" x14ac:dyDescent="0.25">
      <c r="A19169" t="s">
        <v>16</v>
      </c>
      <c r="B19169" t="s">
        <v>3221</v>
      </c>
      <c r="C19169">
        <v>18502</v>
      </c>
      <c r="D19169" t="s">
        <v>810</v>
      </c>
      <c r="E19169" t="s">
        <v>811</v>
      </c>
      <c r="F19169">
        <v>34.6</v>
      </c>
      <c r="G19169">
        <v>231228</v>
      </c>
      <c r="H19169">
        <v>4400</v>
      </c>
      <c r="I19169" t="s">
        <v>348</v>
      </c>
      <c r="J19169">
        <v>42.91</v>
      </c>
      <c r="K19169">
        <v>8.31</v>
      </c>
      <c r="L19169">
        <v>17981</v>
      </c>
      <c r="M19169" t="s">
        <v>218</v>
      </c>
      <c r="N19169" t="str">
        <f>"502308      "</f>
        <v xml:space="preserve">502308      </v>
      </c>
      <c r="O19169">
        <v>240103</v>
      </c>
    </row>
    <row r="19170" spans="1:15" x14ac:dyDescent="0.25">
      <c r="A19170" t="s">
        <v>16</v>
      </c>
      <c r="B19170" t="s">
        <v>3221</v>
      </c>
      <c r="C19170">
        <v>18508</v>
      </c>
      <c r="D19170" t="s">
        <v>810</v>
      </c>
      <c r="E19170" t="s">
        <v>811</v>
      </c>
      <c r="F19170">
        <v>204.21</v>
      </c>
      <c r="G19170">
        <v>231228</v>
      </c>
      <c r="H19170">
        <v>4400</v>
      </c>
      <c r="I19170" t="s">
        <v>348</v>
      </c>
      <c r="J19170">
        <v>253.22</v>
      </c>
      <c r="K19170">
        <v>49.01</v>
      </c>
      <c r="L19170">
        <v>17531</v>
      </c>
      <c r="M19170" t="s">
        <v>136</v>
      </c>
      <c r="N19170" t="str">
        <f>"502311      "</f>
        <v xml:space="preserve">502311      </v>
      </c>
      <c r="O19170">
        <v>240103</v>
      </c>
    </row>
    <row r="19171" spans="1:15" x14ac:dyDescent="0.25">
      <c r="A19171" t="s">
        <v>16</v>
      </c>
      <c r="B19171" t="s">
        <v>3221</v>
      </c>
      <c r="C19171">
        <v>18516</v>
      </c>
      <c r="D19171" t="s">
        <v>810</v>
      </c>
      <c r="E19171" t="s">
        <v>811</v>
      </c>
      <c r="F19171">
        <v>683.18</v>
      </c>
      <c r="G19171">
        <v>231229</v>
      </c>
      <c r="H19171">
        <v>4400</v>
      </c>
      <c r="I19171" t="s">
        <v>348</v>
      </c>
      <c r="J19171">
        <v>847.14</v>
      </c>
      <c r="K19171">
        <v>163.96</v>
      </c>
      <c r="L19171">
        <v>17521</v>
      </c>
      <c r="M19171" t="s">
        <v>133</v>
      </c>
      <c r="N19171" t="str">
        <f>"502359      "</f>
        <v xml:space="preserve">502359      </v>
      </c>
      <c r="O19171">
        <v>240103</v>
      </c>
    </row>
    <row r="19172" spans="1:15" x14ac:dyDescent="0.25">
      <c r="A19172" t="s">
        <v>16</v>
      </c>
      <c r="B19172" t="s">
        <v>3221</v>
      </c>
      <c r="C19172">
        <v>18572</v>
      </c>
      <c r="D19172" t="s">
        <v>810</v>
      </c>
      <c r="E19172" t="s">
        <v>811</v>
      </c>
      <c r="F19172">
        <v>352.91</v>
      </c>
      <c r="G19172">
        <v>231229</v>
      </c>
      <c r="H19172">
        <v>4400</v>
      </c>
      <c r="I19172" t="s">
        <v>348</v>
      </c>
      <c r="J19172">
        <v>352.91</v>
      </c>
      <c r="K19172">
        <v>0</v>
      </c>
      <c r="L19172">
        <v>17534</v>
      </c>
      <c r="M19172" t="s">
        <v>440</v>
      </c>
      <c r="N19172" t="str">
        <f>"502347      "</f>
        <v xml:space="preserve">502347      </v>
      </c>
      <c r="O19172">
        <v>240104</v>
      </c>
    </row>
    <row r="19173" spans="1:15" x14ac:dyDescent="0.25">
      <c r="A19173" t="s">
        <v>16</v>
      </c>
      <c r="B19173" t="s">
        <v>3221</v>
      </c>
      <c r="C19173">
        <v>18577</v>
      </c>
      <c r="D19173" t="s">
        <v>810</v>
      </c>
      <c r="E19173" t="s">
        <v>811</v>
      </c>
      <c r="F19173">
        <v>54.6</v>
      </c>
      <c r="G19173">
        <v>231229</v>
      </c>
      <c r="H19173">
        <v>4400</v>
      </c>
      <c r="I19173" t="s">
        <v>348</v>
      </c>
      <c r="J19173">
        <v>54.6</v>
      </c>
      <c r="K19173">
        <v>0</v>
      </c>
      <c r="L19173">
        <v>17526</v>
      </c>
      <c r="M19173" t="s">
        <v>437</v>
      </c>
      <c r="N19173" t="str">
        <f>"502383      "</f>
        <v xml:space="preserve">502383      </v>
      </c>
      <c r="O19173">
        <v>240104</v>
      </c>
    </row>
    <row r="19174" spans="1:15" x14ac:dyDescent="0.25">
      <c r="A19174" t="s">
        <v>16</v>
      </c>
      <c r="B19174" t="s">
        <v>3221</v>
      </c>
      <c r="C19174">
        <v>18702</v>
      </c>
      <c r="D19174" t="s">
        <v>810</v>
      </c>
      <c r="E19174" t="s">
        <v>811</v>
      </c>
      <c r="F19174">
        <v>7.14</v>
      </c>
      <c r="G19174">
        <v>231228</v>
      </c>
      <c r="H19174">
        <v>4400</v>
      </c>
      <c r="I19174" t="s">
        <v>348</v>
      </c>
      <c r="J19174">
        <v>7.14</v>
      </c>
      <c r="K19174">
        <v>0</v>
      </c>
      <c r="L19174">
        <v>13540</v>
      </c>
      <c r="M19174" t="s">
        <v>85</v>
      </c>
      <c r="N19174" t="str">
        <f>"502291      "</f>
        <v xml:space="preserve">502291      </v>
      </c>
      <c r="O19174">
        <v>240105</v>
      </c>
    </row>
    <row r="19175" spans="1:15" x14ac:dyDescent="0.25">
      <c r="A19175" t="s">
        <v>16</v>
      </c>
      <c r="B19175" t="s">
        <v>3221</v>
      </c>
      <c r="C19175">
        <v>18702</v>
      </c>
      <c r="D19175" t="s">
        <v>810</v>
      </c>
      <c r="E19175" t="s">
        <v>811</v>
      </c>
      <c r="F19175">
        <v>57.8</v>
      </c>
      <c r="G19175">
        <v>231228</v>
      </c>
      <c r="H19175">
        <v>4400</v>
      </c>
      <c r="I19175" t="s">
        <v>348</v>
      </c>
      <c r="J19175">
        <v>57.8</v>
      </c>
      <c r="K19175">
        <v>0</v>
      </c>
      <c r="L19175">
        <v>17950</v>
      </c>
      <c r="M19175" t="s">
        <v>86</v>
      </c>
      <c r="N19175" t="str">
        <f>"502291      "</f>
        <v xml:space="preserve">502291      </v>
      </c>
      <c r="O19175">
        <v>240105</v>
      </c>
    </row>
    <row r="19176" spans="1:15" x14ac:dyDescent="0.25">
      <c r="A19176" t="s">
        <v>16</v>
      </c>
      <c r="B19176" t="s">
        <v>3221</v>
      </c>
      <c r="C19176">
        <v>9225</v>
      </c>
      <c r="D19176" t="s">
        <v>810</v>
      </c>
      <c r="E19176" t="s">
        <v>811</v>
      </c>
      <c r="F19176">
        <v>21.07</v>
      </c>
      <c r="G19176">
        <v>230629</v>
      </c>
      <c r="H19176">
        <v>4420</v>
      </c>
      <c r="I19176" t="s">
        <v>132</v>
      </c>
      <c r="J19176">
        <v>21.07</v>
      </c>
      <c r="K19176">
        <v>0</v>
      </c>
      <c r="L19176">
        <v>17951</v>
      </c>
      <c r="M19176" t="s">
        <v>87</v>
      </c>
      <c r="N19176" t="str">
        <f>"501498      "</f>
        <v xml:space="preserve">501498      </v>
      </c>
      <c r="O19176">
        <v>230630</v>
      </c>
    </row>
    <row r="19177" spans="1:15" x14ac:dyDescent="0.25">
      <c r="A19177" t="s">
        <v>16</v>
      </c>
      <c r="B19177" t="s">
        <v>3221</v>
      </c>
      <c r="C19177">
        <v>12228</v>
      </c>
      <c r="D19177" t="s">
        <v>810</v>
      </c>
      <c r="E19177" t="s">
        <v>811</v>
      </c>
      <c r="F19177">
        <v>21.07</v>
      </c>
      <c r="G19177">
        <v>230913</v>
      </c>
      <c r="H19177">
        <v>4420</v>
      </c>
      <c r="I19177" t="s">
        <v>132</v>
      </c>
      <c r="J19177">
        <v>21.07</v>
      </c>
      <c r="K19177">
        <v>0</v>
      </c>
      <c r="L19177">
        <v>17951</v>
      </c>
      <c r="M19177" t="s">
        <v>87</v>
      </c>
      <c r="N19177" t="str">
        <f>"501829      "</f>
        <v xml:space="preserve">501829      </v>
      </c>
      <c r="O19177">
        <v>230915</v>
      </c>
    </row>
    <row r="19178" spans="1:15" x14ac:dyDescent="0.25">
      <c r="A19178" t="s">
        <v>16</v>
      </c>
      <c r="B19178" t="s">
        <v>3221</v>
      </c>
      <c r="C19178">
        <v>16808</v>
      </c>
      <c r="D19178" t="s">
        <v>810</v>
      </c>
      <c r="E19178" t="s">
        <v>811</v>
      </c>
      <c r="F19178">
        <v>144.44</v>
      </c>
      <c r="G19178">
        <v>231130</v>
      </c>
      <c r="H19178">
        <v>4600</v>
      </c>
      <c r="I19178" t="s">
        <v>105</v>
      </c>
      <c r="J19178">
        <v>179.1</v>
      </c>
      <c r="K19178">
        <v>34.659999999999997</v>
      </c>
      <c r="L19178">
        <v>17807</v>
      </c>
      <c r="M19178" t="s">
        <v>318</v>
      </c>
      <c r="N19178" t="str">
        <f>"502265      "</f>
        <v xml:space="preserve">502265      </v>
      </c>
      <c r="O19178">
        <v>231211</v>
      </c>
    </row>
    <row r="19179" spans="1:15" x14ac:dyDescent="0.25">
      <c r="A19179" t="s">
        <v>16</v>
      </c>
      <c r="B19179" t="s">
        <v>3221</v>
      </c>
      <c r="C19179">
        <v>952</v>
      </c>
      <c r="D19179" t="s">
        <v>810</v>
      </c>
      <c r="E19179" t="s">
        <v>811</v>
      </c>
      <c r="F19179">
        <v>305.62</v>
      </c>
      <c r="G19179">
        <v>230131</v>
      </c>
      <c r="H19179">
        <v>4380</v>
      </c>
      <c r="I19179" t="s">
        <v>113</v>
      </c>
      <c r="J19179">
        <v>305.62</v>
      </c>
      <c r="K19179">
        <v>0</v>
      </c>
      <c r="L19179">
        <v>17952</v>
      </c>
      <c r="M19179" t="s">
        <v>88</v>
      </c>
      <c r="N19179" t="str">
        <f>"500959      "</f>
        <v xml:space="preserve">500959      </v>
      </c>
      <c r="O19179">
        <v>230201</v>
      </c>
    </row>
    <row r="19180" spans="1:15" x14ac:dyDescent="0.25">
      <c r="A19180" t="s">
        <v>16</v>
      </c>
      <c r="B19180" t="s">
        <v>3221</v>
      </c>
      <c r="C19180">
        <v>950</v>
      </c>
      <c r="D19180" t="s">
        <v>810</v>
      </c>
      <c r="E19180" t="s">
        <v>811</v>
      </c>
      <c r="F19180">
        <v>92.31</v>
      </c>
      <c r="G19180">
        <v>230131</v>
      </c>
      <c r="H19180">
        <v>4390</v>
      </c>
      <c r="I19180" t="s">
        <v>98</v>
      </c>
      <c r="J19180">
        <v>92.31</v>
      </c>
      <c r="K19180">
        <v>0</v>
      </c>
      <c r="L19180">
        <v>13540</v>
      </c>
      <c r="M19180" t="s">
        <v>85</v>
      </c>
      <c r="N19180" t="str">
        <f>"500968      "</f>
        <v xml:space="preserve">500968      </v>
      </c>
      <c r="O19180">
        <v>230201</v>
      </c>
    </row>
    <row r="19181" spans="1:15" x14ac:dyDescent="0.25">
      <c r="A19181" t="s">
        <v>16</v>
      </c>
      <c r="B19181" t="s">
        <v>3221</v>
      </c>
      <c r="C19181">
        <v>950</v>
      </c>
      <c r="D19181" t="s">
        <v>810</v>
      </c>
      <c r="E19181" t="s">
        <v>811</v>
      </c>
      <c r="F19181">
        <v>746.85</v>
      </c>
      <c r="G19181">
        <v>230131</v>
      </c>
      <c r="H19181">
        <v>4390</v>
      </c>
      <c r="I19181" t="s">
        <v>98</v>
      </c>
      <c r="J19181">
        <v>746.85</v>
      </c>
      <c r="K19181">
        <v>0</v>
      </c>
      <c r="L19181">
        <v>17950</v>
      </c>
      <c r="M19181" t="s">
        <v>86</v>
      </c>
      <c r="N19181" t="str">
        <f>"500968      "</f>
        <v xml:space="preserve">500968      </v>
      </c>
      <c r="O19181">
        <v>230201</v>
      </c>
    </row>
    <row r="19182" spans="1:15" x14ac:dyDescent="0.25">
      <c r="A19182" t="s">
        <v>16</v>
      </c>
      <c r="B19182" t="s">
        <v>3221</v>
      </c>
      <c r="C19182">
        <v>2743</v>
      </c>
      <c r="D19182" t="s">
        <v>810</v>
      </c>
      <c r="E19182" t="s">
        <v>811</v>
      </c>
      <c r="F19182">
        <v>242.5</v>
      </c>
      <c r="G19182">
        <v>230228</v>
      </c>
      <c r="H19182">
        <v>4390</v>
      </c>
      <c r="I19182" t="s">
        <v>98</v>
      </c>
      <c r="J19182">
        <v>242.5</v>
      </c>
      <c r="K19182">
        <v>0</v>
      </c>
      <c r="L19182">
        <v>13501</v>
      </c>
      <c r="M19182" t="s">
        <v>20</v>
      </c>
      <c r="N19182" t="str">
        <f>"501074      "</f>
        <v xml:space="preserve">501074      </v>
      </c>
      <c r="O19182">
        <v>230307</v>
      </c>
    </row>
    <row r="19183" spans="1:15" x14ac:dyDescent="0.25">
      <c r="A19183" t="s">
        <v>16</v>
      </c>
      <c r="B19183" t="s">
        <v>3221</v>
      </c>
      <c r="C19183">
        <v>2743</v>
      </c>
      <c r="D19183" t="s">
        <v>810</v>
      </c>
      <c r="E19183" t="s">
        <v>811</v>
      </c>
      <c r="F19183">
        <v>80.8</v>
      </c>
      <c r="G19183">
        <v>230228</v>
      </c>
      <c r="H19183">
        <v>4390</v>
      </c>
      <c r="I19183" t="s">
        <v>98</v>
      </c>
      <c r="J19183">
        <v>80.8</v>
      </c>
      <c r="K19183">
        <v>0</v>
      </c>
      <c r="L19183">
        <v>16121</v>
      </c>
      <c r="M19183" t="s">
        <v>21</v>
      </c>
      <c r="N19183" t="str">
        <f>"501074      "</f>
        <v xml:space="preserve">501074      </v>
      </c>
      <c r="O19183">
        <v>230307</v>
      </c>
    </row>
    <row r="19184" spans="1:15" x14ac:dyDescent="0.25">
      <c r="A19184" t="s">
        <v>16</v>
      </c>
      <c r="B19184" t="s">
        <v>3221</v>
      </c>
      <c r="C19184">
        <v>2743</v>
      </c>
      <c r="D19184" t="s">
        <v>810</v>
      </c>
      <c r="E19184" t="s">
        <v>811</v>
      </c>
      <c r="F19184">
        <v>80.81</v>
      </c>
      <c r="G19184">
        <v>230228</v>
      </c>
      <c r="H19184">
        <v>4390</v>
      </c>
      <c r="I19184" t="s">
        <v>98</v>
      </c>
      <c r="J19184">
        <v>80.81</v>
      </c>
      <c r="K19184">
        <v>0</v>
      </c>
      <c r="L19184">
        <v>16322</v>
      </c>
      <c r="M19184" t="s">
        <v>22</v>
      </c>
      <c r="N19184" t="str">
        <f>"501074      "</f>
        <v xml:space="preserve">501074      </v>
      </c>
      <c r="O19184">
        <v>230307</v>
      </c>
    </row>
    <row r="19185" spans="1:15" x14ac:dyDescent="0.25">
      <c r="A19185" t="s">
        <v>16</v>
      </c>
      <c r="B19185" t="s">
        <v>3221</v>
      </c>
      <c r="C19185">
        <v>2743</v>
      </c>
      <c r="D19185" t="s">
        <v>810</v>
      </c>
      <c r="E19185" t="s">
        <v>811</v>
      </c>
      <c r="F19185">
        <v>80.81</v>
      </c>
      <c r="G19185">
        <v>230228</v>
      </c>
      <c r="H19185">
        <v>4390</v>
      </c>
      <c r="I19185" t="s">
        <v>98</v>
      </c>
      <c r="J19185">
        <v>80.81</v>
      </c>
      <c r="K19185">
        <v>0</v>
      </c>
      <c r="L19185">
        <v>16820</v>
      </c>
      <c r="M19185" t="s">
        <v>23</v>
      </c>
      <c r="N19185" t="str">
        <f>"501074      "</f>
        <v xml:space="preserve">501074      </v>
      </c>
      <c r="O19185">
        <v>230307</v>
      </c>
    </row>
    <row r="19186" spans="1:15" x14ac:dyDescent="0.25">
      <c r="A19186" t="s">
        <v>16</v>
      </c>
      <c r="B19186" t="s">
        <v>3221</v>
      </c>
      <c r="C19186">
        <v>2743</v>
      </c>
      <c r="D19186" t="s">
        <v>810</v>
      </c>
      <c r="E19186" t="s">
        <v>811</v>
      </c>
      <c r="F19186">
        <v>242.43</v>
      </c>
      <c r="G19186">
        <v>230228</v>
      </c>
      <c r="H19186">
        <v>4390</v>
      </c>
      <c r="I19186" t="s">
        <v>98</v>
      </c>
      <c r="J19186">
        <v>242.43</v>
      </c>
      <c r="K19186">
        <v>0</v>
      </c>
      <c r="L19186">
        <v>17538</v>
      </c>
      <c r="M19186" t="s">
        <v>24</v>
      </c>
      <c r="N19186" t="str">
        <f>"501074      "</f>
        <v xml:space="preserve">501074      </v>
      </c>
      <c r="O19186">
        <v>230307</v>
      </c>
    </row>
    <row r="19187" spans="1:15" x14ac:dyDescent="0.25">
      <c r="A19187" t="s">
        <v>16</v>
      </c>
      <c r="B19187" t="s">
        <v>3221</v>
      </c>
      <c r="C19187">
        <v>2860</v>
      </c>
      <c r="D19187" t="s">
        <v>810</v>
      </c>
      <c r="E19187" t="s">
        <v>811</v>
      </c>
      <c r="F19187">
        <v>92.6</v>
      </c>
      <c r="G19187">
        <v>230228</v>
      </c>
      <c r="H19187">
        <v>4390</v>
      </c>
      <c r="I19187" t="s">
        <v>98</v>
      </c>
      <c r="J19187">
        <v>92.6</v>
      </c>
      <c r="K19187">
        <v>0</v>
      </c>
      <c r="L19187">
        <v>17950</v>
      </c>
      <c r="M19187" t="s">
        <v>86</v>
      </c>
      <c r="N19187" t="str">
        <f>"501085      "</f>
        <v xml:space="preserve">501085      </v>
      </c>
      <c r="O19187">
        <v>230308</v>
      </c>
    </row>
    <row r="19188" spans="1:15" x14ac:dyDescent="0.25">
      <c r="A19188" t="s">
        <v>16</v>
      </c>
      <c r="B19188" t="s">
        <v>3221</v>
      </c>
      <c r="C19188">
        <v>3300</v>
      </c>
      <c r="D19188" t="s">
        <v>810</v>
      </c>
      <c r="E19188" t="s">
        <v>811</v>
      </c>
      <c r="F19188">
        <v>824.27</v>
      </c>
      <c r="G19188">
        <v>230228</v>
      </c>
      <c r="H19188">
        <v>4390</v>
      </c>
      <c r="I19188" t="s">
        <v>98</v>
      </c>
      <c r="J19188">
        <v>824.27</v>
      </c>
      <c r="K19188">
        <v>0</v>
      </c>
      <c r="L19188">
        <v>17538</v>
      </c>
      <c r="M19188" t="s">
        <v>24</v>
      </c>
      <c r="N19188" t="str">
        <f>"501062      "</f>
        <v xml:space="preserve">501062      </v>
      </c>
      <c r="O19188">
        <v>230314</v>
      </c>
    </row>
    <row r="19189" spans="1:15" x14ac:dyDescent="0.25">
      <c r="A19189" t="s">
        <v>16</v>
      </c>
      <c r="B19189" t="s">
        <v>3221</v>
      </c>
      <c r="C19189">
        <v>3300</v>
      </c>
      <c r="D19189" t="s">
        <v>810</v>
      </c>
      <c r="E19189" t="s">
        <v>811</v>
      </c>
      <c r="F19189">
        <v>824.26</v>
      </c>
      <c r="G19189">
        <v>230228</v>
      </c>
      <c r="H19189">
        <v>4390</v>
      </c>
      <c r="I19189" t="s">
        <v>98</v>
      </c>
      <c r="J19189">
        <v>824.26</v>
      </c>
      <c r="K19189">
        <v>0</v>
      </c>
      <c r="L19189">
        <v>17862</v>
      </c>
      <c r="M19189" t="s">
        <v>319</v>
      </c>
      <c r="N19189" t="str">
        <f>"501062      "</f>
        <v xml:space="preserve">501062      </v>
      </c>
      <c r="O19189">
        <v>230314</v>
      </c>
    </row>
    <row r="19190" spans="1:15" x14ac:dyDescent="0.25">
      <c r="A19190" t="s">
        <v>16</v>
      </c>
      <c r="B19190" t="s">
        <v>3221</v>
      </c>
      <c r="C19190">
        <v>4185</v>
      </c>
      <c r="D19190" t="s">
        <v>810</v>
      </c>
      <c r="E19190" t="s">
        <v>811</v>
      </c>
      <c r="F19190">
        <v>213.02</v>
      </c>
      <c r="G19190">
        <v>230330</v>
      </c>
      <c r="H19190">
        <v>4390</v>
      </c>
      <c r="I19190" t="s">
        <v>98</v>
      </c>
      <c r="J19190">
        <v>213.02</v>
      </c>
      <c r="K19190">
        <v>0</v>
      </c>
      <c r="L19190">
        <v>17956</v>
      </c>
      <c r="M19190" t="s">
        <v>53</v>
      </c>
      <c r="N19190" t="str">
        <f>"501149      "</f>
        <v xml:space="preserve">501149      </v>
      </c>
      <c r="O19190">
        <v>230331</v>
      </c>
    </row>
    <row r="19191" spans="1:15" x14ac:dyDescent="0.25">
      <c r="A19191" t="s">
        <v>16</v>
      </c>
      <c r="B19191" t="s">
        <v>3221</v>
      </c>
      <c r="C19191">
        <v>4187</v>
      </c>
      <c r="D19191" t="s">
        <v>810</v>
      </c>
      <c r="E19191" t="s">
        <v>811</v>
      </c>
      <c r="F19191">
        <v>118.06</v>
      </c>
      <c r="G19191">
        <v>230330</v>
      </c>
      <c r="H19191">
        <v>4390</v>
      </c>
      <c r="I19191" t="s">
        <v>98</v>
      </c>
      <c r="J19191">
        <v>118.06</v>
      </c>
      <c r="K19191">
        <v>0</v>
      </c>
      <c r="L19191">
        <v>17956</v>
      </c>
      <c r="M19191" t="s">
        <v>53</v>
      </c>
      <c r="N19191" t="str">
        <f>"501160      "</f>
        <v xml:space="preserve">501160      </v>
      </c>
      <c r="O19191">
        <v>230331</v>
      </c>
    </row>
    <row r="19192" spans="1:15" x14ac:dyDescent="0.25">
      <c r="A19192" t="s">
        <v>16</v>
      </c>
      <c r="B19192" t="s">
        <v>3221</v>
      </c>
      <c r="C19192">
        <v>4188</v>
      </c>
      <c r="D19192" t="s">
        <v>810</v>
      </c>
      <c r="E19192" t="s">
        <v>811</v>
      </c>
      <c r="F19192">
        <v>66.63</v>
      </c>
      <c r="G19192">
        <v>230330</v>
      </c>
      <c r="H19192">
        <v>4390</v>
      </c>
      <c r="I19192" t="s">
        <v>98</v>
      </c>
      <c r="J19192">
        <v>66.63</v>
      </c>
      <c r="K19192">
        <v>0</v>
      </c>
      <c r="L19192">
        <v>17950</v>
      </c>
      <c r="M19192" t="s">
        <v>86</v>
      </c>
      <c r="N19192" t="str">
        <f>"501218      "</f>
        <v xml:space="preserve">501218      </v>
      </c>
      <c r="O19192">
        <v>230331</v>
      </c>
    </row>
    <row r="19193" spans="1:15" x14ac:dyDescent="0.25">
      <c r="A19193" t="s">
        <v>16</v>
      </c>
      <c r="B19193" t="s">
        <v>3221</v>
      </c>
      <c r="C19193">
        <v>4274</v>
      </c>
      <c r="D19193" t="s">
        <v>810</v>
      </c>
      <c r="E19193" t="s">
        <v>811</v>
      </c>
      <c r="F19193">
        <v>34.82</v>
      </c>
      <c r="G19193">
        <v>230330</v>
      </c>
      <c r="H19193">
        <v>4390</v>
      </c>
      <c r="I19193" t="s">
        <v>98</v>
      </c>
      <c r="J19193">
        <v>34.82</v>
      </c>
      <c r="K19193">
        <v>0</v>
      </c>
      <c r="L19193">
        <v>13540</v>
      </c>
      <c r="M19193" t="s">
        <v>85</v>
      </c>
      <c r="N19193" t="str">
        <f>"501156      "</f>
        <v xml:space="preserve">501156      </v>
      </c>
      <c r="O19193">
        <v>230404</v>
      </c>
    </row>
    <row r="19194" spans="1:15" x14ac:dyDescent="0.25">
      <c r="A19194" t="s">
        <v>16</v>
      </c>
      <c r="B19194" t="s">
        <v>3221</v>
      </c>
      <c r="C19194">
        <v>4274</v>
      </c>
      <c r="D19194" t="s">
        <v>810</v>
      </c>
      <c r="E19194" t="s">
        <v>811</v>
      </c>
      <c r="F19194">
        <v>69.66</v>
      </c>
      <c r="G19194">
        <v>230330</v>
      </c>
      <c r="H19194">
        <v>4390</v>
      </c>
      <c r="I19194" t="s">
        <v>98</v>
      </c>
      <c r="J19194">
        <v>69.66</v>
      </c>
      <c r="K19194">
        <v>0</v>
      </c>
      <c r="L19194">
        <v>17950</v>
      </c>
      <c r="M19194" t="s">
        <v>86</v>
      </c>
      <c r="N19194" t="str">
        <f>"501156      "</f>
        <v xml:space="preserve">501156      </v>
      </c>
      <c r="O19194">
        <v>230404</v>
      </c>
    </row>
    <row r="19195" spans="1:15" x14ac:dyDescent="0.25">
      <c r="A19195" t="s">
        <v>16</v>
      </c>
      <c r="B19195" t="s">
        <v>3221</v>
      </c>
      <c r="C19195">
        <v>5633</v>
      </c>
      <c r="D19195" t="s">
        <v>810</v>
      </c>
      <c r="E19195" t="s">
        <v>811</v>
      </c>
      <c r="F19195">
        <v>64.2</v>
      </c>
      <c r="G19195">
        <v>230427</v>
      </c>
      <c r="H19195">
        <v>4390</v>
      </c>
      <c r="I19195" t="s">
        <v>98</v>
      </c>
      <c r="J19195">
        <v>64.2</v>
      </c>
      <c r="K19195">
        <v>0</v>
      </c>
      <c r="L19195">
        <v>17952</v>
      </c>
      <c r="M19195" t="s">
        <v>88</v>
      </c>
      <c r="N19195" t="str">
        <f>"501303      "</f>
        <v xml:space="preserve">501303      </v>
      </c>
      <c r="O19195">
        <v>230428</v>
      </c>
    </row>
    <row r="19196" spans="1:15" x14ac:dyDescent="0.25">
      <c r="A19196" t="s">
        <v>16</v>
      </c>
      <c r="B19196" t="s">
        <v>3221</v>
      </c>
      <c r="C19196">
        <v>7620</v>
      </c>
      <c r="D19196" t="s">
        <v>810</v>
      </c>
      <c r="E19196" t="s">
        <v>811</v>
      </c>
      <c r="F19196">
        <v>59.6</v>
      </c>
      <c r="G19196">
        <v>230531</v>
      </c>
      <c r="H19196">
        <v>4390</v>
      </c>
      <c r="I19196" t="s">
        <v>98</v>
      </c>
      <c r="J19196">
        <v>59.6</v>
      </c>
      <c r="K19196">
        <v>0</v>
      </c>
      <c r="L19196">
        <v>17950</v>
      </c>
      <c r="M19196" t="s">
        <v>86</v>
      </c>
      <c r="N19196" t="str">
        <f>"501407      "</f>
        <v xml:space="preserve">501407      </v>
      </c>
      <c r="O19196">
        <v>230601</v>
      </c>
    </row>
    <row r="19197" spans="1:15" x14ac:dyDescent="0.25">
      <c r="A19197" t="s">
        <v>16</v>
      </c>
      <c r="B19197" t="s">
        <v>3221</v>
      </c>
      <c r="C19197">
        <v>7635</v>
      </c>
      <c r="D19197" t="s">
        <v>810</v>
      </c>
      <c r="E19197" t="s">
        <v>811</v>
      </c>
      <c r="F19197">
        <v>22.19</v>
      </c>
      <c r="G19197">
        <v>230531</v>
      </c>
      <c r="H19197">
        <v>4390</v>
      </c>
      <c r="I19197" t="s">
        <v>98</v>
      </c>
      <c r="J19197">
        <v>27.52</v>
      </c>
      <c r="K19197">
        <v>5.33</v>
      </c>
      <c r="L19197">
        <v>13540</v>
      </c>
      <c r="M19197" t="s">
        <v>85</v>
      </c>
      <c r="N19197" t="str">
        <f>"501449      "</f>
        <v xml:space="preserve">501449      </v>
      </c>
      <c r="O19197">
        <v>230601</v>
      </c>
    </row>
    <row r="19198" spans="1:15" x14ac:dyDescent="0.25">
      <c r="A19198" t="s">
        <v>16</v>
      </c>
      <c r="B19198" t="s">
        <v>3221</v>
      </c>
      <c r="C19198">
        <v>7635</v>
      </c>
      <c r="D19198" t="s">
        <v>810</v>
      </c>
      <c r="E19198" t="s">
        <v>811</v>
      </c>
      <c r="F19198">
        <v>196.51</v>
      </c>
      <c r="G19198">
        <v>230531</v>
      </c>
      <c r="H19198">
        <v>4390</v>
      </c>
      <c r="I19198" t="s">
        <v>98</v>
      </c>
      <c r="J19198">
        <v>243.67</v>
      </c>
      <c r="K19198">
        <v>47.16</v>
      </c>
      <c r="L19198">
        <v>17950</v>
      </c>
      <c r="M19198" t="s">
        <v>86</v>
      </c>
      <c r="N19198" t="str">
        <f>"501449      "</f>
        <v xml:space="preserve">501449      </v>
      </c>
      <c r="O19198">
        <v>230601</v>
      </c>
    </row>
    <row r="19199" spans="1:15" x14ac:dyDescent="0.25">
      <c r="A19199" t="s">
        <v>16</v>
      </c>
      <c r="B19199" t="s">
        <v>3221</v>
      </c>
      <c r="C19199">
        <v>8157</v>
      </c>
      <c r="D19199" t="s">
        <v>810</v>
      </c>
      <c r="E19199" t="s">
        <v>811</v>
      </c>
      <c r="F19199">
        <v>203.95</v>
      </c>
      <c r="G19199">
        <v>230530</v>
      </c>
      <c r="H19199">
        <v>4390</v>
      </c>
      <c r="I19199" t="s">
        <v>98</v>
      </c>
      <c r="J19199">
        <v>252.9</v>
      </c>
      <c r="K19199">
        <v>48.95</v>
      </c>
      <c r="L19199">
        <v>17950</v>
      </c>
      <c r="M19199" t="s">
        <v>86</v>
      </c>
      <c r="N19199" t="str">
        <f>"501372      "</f>
        <v xml:space="preserve">501372      </v>
      </c>
      <c r="O19199">
        <v>230607</v>
      </c>
    </row>
    <row r="19200" spans="1:15" x14ac:dyDescent="0.25">
      <c r="A19200" t="s">
        <v>16</v>
      </c>
      <c r="B19200" t="s">
        <v>3221</v>
      </c>
      <c r="C19200">
        <v>8937</v>
      </c>
      <c r="D19200" t="s">
        <v>810</v>
      </c>
      <c r="E19200" t="s">
        <v>811</v>
      </c>
      <c r="F19200">
        <v>-203.95</v>
      </c>
      <c r="G19200">
        <v>230619</v>
      </c>
      <c r="H19200">
        <v>4390</v>
      </c>
      <c r="I19200" t="s">
        <v>98</v>
      </c>
      <c r="J19200">
        <v>-252.9</v>
      </c>
      <c r="K19200">
        <v>-48.95</v>
      </c>
      <c r="L19200">
        <v>17950</v>
      </c>
      <c r="M19200" t="s">
        <v>86</v>
      </c>
      <c r="N19200" t="str">
        <f>"501457      "</f>
        <v xml:space="preserve">501457      </v>
      </c>
      <c r="O19200">
        <v>230620</v>
      </c>
    </row>
    <row r="19201" spans="1:15" x14ac:dyDescent="0.25">
      <c r="A19201" t="s">
        <v>16</v>
      </c>
      <c r="B19201" t="s">
        <v>3221</v>
      </c>
      <c r="C19201">
        <v>8938</v>
      </c>
      <c r="D19201" t="s">
        <v>810</v>
      </c>
      <c r="E19201" t="s">
        <v>811</v>
      </c>
      <c r="F19201">
        <v>252.9</v>
      </c>
      <c r="G19201">
        <v>230619</v>
      </c>
      <c r="H19201">
        <v>4390</v>
      </c>
      <c r="I19201" t="s">
        <v>98</v>
      </c>
      <c r="J19201">
        <v>313.60000000000002</v>
      </c>
      <c r="K19201">
        <v>60.7</v>
      </c>
      <c r="L19201">
        <v>17950</v>
      </c>
      <c r="M19201" t="s">
        <v>86</v>
      </c>
      <c r="N19201" t="str">
        <f>"501458      "</f>
        <v xml:space="preserve">501458      </v>
      </c>
      <c r="O19201">
        <v>230620</v>
      </c>
    </row>
    <row r="19202" spans="1:15" x14ac:dyDescent="0.25">
      <c r="A19202" t="s">
        <v>16</v>
      </c>
      <c r="B19202" t="s">
        <v>3221</v>
      </c>
      <c r="C19202">
        <v>9225</v>
      </c>
      <c r="D19202" t="s">
        <v>810</v>
      </c>
      <c r="E19202" t="s">
        <v>811</v>
      </c>
      <c r="F19202">
        <v>833.72</v>
      </c>
      <c r="G19202">
        <v>230629</v>
      </c>
      <c r="H19202">
        <v>4390</v>
      </c>
      <c r="I19202" t="s">
        <v>98</v>
      </c>
      <c r="J19202">
        <v>833.72</v>
      </c>
      <c r="K19202">
        <v>0</v>
      </c>
      <c r="L19202">
        <v>17951</v>
      </c>
      <c r="M19202" t="s">
        <v>87</v>
      </c>
      <c r="N19202" t="str">
        <f>"501498      "</f>
        <v xml:space="preserve">501498      </v>
      </c>
      <c r="O19202">
        <v>230630</v>
      </c>
    </row>
    <row r="19203" spans="1:15" x14ac:dyDescent="0.25">
      <c r="A19203" t="s">
        <v>16</v>
      </c>
      <c r="B19203" t="s">
        <v>3221</v>
      </c>
      <c r="C19203">
        <v>9227</v>
      </c>
      <c r="D19203" t="s">
        <v>810</v>
      </c>
      <c r="E19203" t="s">
        <v>811</v>
      </c>
      <c r="F19203">
        <v>80.290000000000006</v>
      </c>
      <c r="G19203">
        <v>230629</v>
      </c>
      <c r="H19203">
        <v>4390</v>
      </c>
      <c r="I19203" t="s">
        <v>98</v>
      </c>
      <c r="J19203">
        <v>99.56</v>
      </c>
      <c r="K19203">
        <v>19.27</v>
      </c>
      <c r="L19203">
        <v>17950</v>
      </c>
      <c r="M19203" t="s">
        <v>86</v>
      </c>
      <c r="N19203" t="str">
        <f>"501473      "</f>
        <v xml:space="preserve">501473      </v>
      </c>
      <c r="O19203">
        <v>230630</v>
      </c>
    </row>
    <row r="19204" spans="1:15" x14ac:dyDescent="0.25">
      <c r="A19204" t="s">
        <v>16</v>
      </c>
      <c r="B19204" t="s">
        <v>3221</v>
      </c>
      <c r="C19204">
        <v>9897</v>
      </c>
      <c r="D19204" t="s">
        <v>810</v>
      </c>
      <c r="E19204" t="s">
        <v>811</v>
      </c>
      <c r="F19204">
        <v>1218.1199999999999</v>
      </c>
      <c r="G19204">
        <v>230727</v>
      </c>
      <c r="H19204">
        <v>4390</v>
      </c>
      <c r="I19204" t="s">
        <v>98</v>
      </c>
      <c r="J19204">
        <v>1218.1199999999999</v>
      </c>
      <c r="K19204">
        <v>0</v>
      </c>
      <c r="L19204">
        <v>17950</v>
      </c>
      <c r="M19204" t="s">
        <v>86</v>
      </c>
      <c r="N19204" t="str">
        <f>"501598      "</f>
        <v xml:space="preserve">501598      </v>
      </c>
      <c r="O19204">
        <v>230731</v>
      </c>
    </row>
    <row r="19205" spans="1:15" x14ac:dyDescent="0.25">
      <c r="A19205" t="s">
        <v>16</v>
      </c>
      <c r="B19205" t="s">
        <v>3221</v>
      </c>
      <c r="C19205">
        <v>9898</v>
      </c>
      <c r="D19205" t="s">
        <v>810</v>
      </c>
      <c r="E19205" t="s">
        <v>811</v>
      </c>
      <c r="F19205">
        <v>371.85</v>
      </c>
      <c r="G19205">
        <v>230727</v>
      </c>
      <c r="H19205">
        <v>4390</v>
      </c>
      <c r="I19205" t="s">
        <v>98</v>
      </c>
      <c r="J19205">
        <v>371.85</v>
      </c>
      <c r="K19205">
        <v>0</v>
      </c>
      <c r="L19205">
        <v>17950</v>
      </c>
      <c r="M19205" t="s">
        <v>86</v>
      </c>
      <c r="N19205" t="str">
        <f>"501613      "</f>
        <v xml:space="preserve">501613      </v>
      </c>
      <c r="O19205">
        <v>230731</v>
      </c>
    </row>
    <row r="19206" spans="1:15" x14ac:dyDescent="0.25">
      <c r="A19206" t="s">
        <v>16</v>
      </c>
      <c r="B19206" t="s">
        <v>3221</v>
      </c>
      <c r="C19206">
        <v>9899</v>
      </c>
      <c r="D19206" t="s">
        <v>810</v>
      </c>
      <c r="E19206" t="s">
        <v>811</v>
      </c>
      <c r="F19206">
        <v>440.6</v>
      </c>
      <c r="G19206">
        <v>230727</v>
      </c>
      <c r="H19206">
        <v>4390</v>
      </c>
      <c r="I19206" t="s">
        <v>98</v>
      </c>
      <c r="J19206">
        <v>440.6</v>
      </c>
      <c r="K19206">
        <v>0</v>
      </c>
      <c r="L19206">
        <v>13540</v>
      </c>
      <c r="M19206" t="s">
        <v>85</v>
      </c>
      <c r="N19206" t="str">
        <f>"501634      "</f>
        <v xml:space="preserve">501634      </v>
      </c>
      <c r="O19206">
        <v>230731</v>
      </c>
    </row>
    <row r="19207" spans="1:15" x14ac:dyDescent="0.25">
      <c r="A19207" t="s">
        <v>16</v>
      </c>
      <c r="B19207" t="s">
        <v>3221</v>
      </c>
      <c r="C19207">
        <v>9899</v>
      </c>
      <c r="D19207" t="s">
        <v>810</v>
      </c>
      <c r="E19207" t="s">
        <v>811</v>
      </c>
      <c r="F19207">
        <v>3564.87</v>
      </c>
      <c r="G19207">
        <v>230727</v>
      </c>
      <c r="H19207">
        <v>4390</v>
      </c>
      <c r="I19207" t="s">
        <v>98</v>
      </c>
      <c r="J19207">
        <v>3564.87</v>
      </c>
      <c r="K19207">
        <v>0</v>
      </c>
      <c r="L19207">
        <v>17950</v>
      </c>
      <c r="M19207" t="s">
        <v>86</v>
      </c>
      <c r="N19207" t="str">
        <f>"501634      "</f>
        <v xml:space="preserve">501634      </v>
      </c>
      <c r="O19207">
        <v>230731</v>
      </c>
    </row>
    <row r="19208" spans="1:15" x14ac:dyDescent="0.25">
      <c r="A19208" t="s">
        <v>16</v>
      </c>
      <c r="B19208" t="s">
        <v>3221</v>
      </c>
      <c r="C19208">
        <v>10581</v>
      </c>
      <c r="D19208" t="s">
        <v>810</v>
      </c>
      <c r="E19208" t="s">
        <v>811</v>
      </c>
      <c r="F19208">
        <v>329.78</v>
      </c>
      <c r="G19208">
        <v>230817</v>
      </c>
      <c r="H19208">
        <v>4390</v>
      </c>
      <c r="I19208" t="s">
        <v>98</v>
      </c>
      <c r="J19208">
        <v>329.78</v>
      </c>
      <c r="K19208">
        <v>0</v>
      </c>
      <c r="L19208">
        <v>17950</v>
      </c>
      <c r="M19208" t="s">
        <v>86</v>
      </c>
      <c r="N19208" t="str">
        <f>"501109      "</f>
        <v xml:space="preserve">501109      </v>
      </c>
      <c r="O19208">
        <v>230818</v>
      </c>
    </row>
    <row r="19209" spans="1:15" x14ac:dyDescent="0.25">
      <c r="A19209" t="s">
        <v>16</v>
      </c>
      <c r="B19209" t="s">
        <v>3221</v>
      </c>
      <c r="C19209">
        <v>10582</v>
      </c>
      <c r="D19209" t="s">
        <v>810</v>
      </c>
      <c r="E19209" t="s">
        <v>811</v>
      </c>
      <c r="F19209">
        <v>9.75</v>
      </c>
      <c r="G19209">
        <v>230817</v>
      </c>
      <c r="H19209">
        <v>4390</v>
      </c>
      <c r="I19209" t="s">
        <v>98</v>
      </c>
      <c r="J19209">
        <v>9.75</v>
      </c>
      <c r="K19209">
        <v>0</v>
      </c>
      <c r="L19209">
        <v>13540</v>
      </c>
      <c r="M19209" t="s">
        <v>85</v>
      </c>
      <c r="N19209" t="str">
        <f>"501122      "</f>
        <v xml:space="preserve">501122      </v>
      </c>
      <c r="O19209">
        <v>230818</v>
      </c>
    </row>
    <row r="19210" spans="1:15" x14ac:dyDescent="0.25">
      <c r="A19210" t="s">
        <v>16</v>
      </c>
      <c r="B19210" t="s">
        <v>3221</v>
      </c>
      <c r="C19210">
        <v>10582</v>
      </c>
      <c r="D19210" t="s">
        <v>810</v>
      </c>
      <c r="E19210" t="s">
        <v>811</v>
      </c>
      <c r="F19210">
        <v>78.849999999999994</v>
      </c>
      <c r="G19210">
        <v>230817</v>
      </c>
      <c r="H19210">
        <v>4390</v>
      </c>
      <c r="I19210" t="s">
        <v>98</v>
      </c>
      <c r="J19210">
        <v>78.849999999999994</v>
      </c>
      <c r="K19210">
        <v>0</v>
      </c>
      <c r="L19210">
        <v>17950</v>
      </c>
      <c r="M19210" t="s">
        <v>86</v>
      </c>
      <c r="N19210" t="str">
        <f>"501122      "</f>
        <v xml:space="preserve">501122      </v>
      </c>
      <c r="O19210">
        <v>230818</v>
      </c>
    </row>
    <row r="19211" spans="1:15" x14ac:dyDescent="0.25">
      <c r="A19211" t="s">
        <v>16</v>
      </c>
      <c r="B19211" t="s">
        <v>3221</v>
      </c>
      <c r="C19211">
        <v>10906</v>
      </c>
      <c r="D19211" t="s">
        <v>810</v>
      </c>
      <c r="E19211" t="s">
        <v>811</v>
      </c>
      <c r="F19211">
        <v>129.04</v>
      </c>
      <c r="G19211">
        <v>230817</v>
      </c>
      <c r="H19211">
        <v>4390</v>
      </c>
      <c r="I19211" t="s">
        <v>98</v>
      </c>
      <c r="J19211">
        <v>160.01</v>
      </c>
      <c r="K19211">
        <v>30.97</v>
      </c>
      <c r="L19211">
        <v>17737</v>
      </c>
      <c r="M19211" t="s">
        <v>279</v>
      </c>
      <c r="N19211" t="str">
        <f>"501111      "</f>
        <v xml:space="preserve">501111      </v>
      </c>
      <c r="O19211">
        <v>230825</v>
      </c>
    </row>
    <row r="19212" spans="1:15" x14ac:dyDescent="0.25">
      <c r="A19212" t="s">
        <v>16</v>
      </c>
      <c r="B19212" t="s">
        <v>3221</v>
      </c>
      <c r="C19212">
        <v>11249</v>
      </c>
      <c r="D19212" t="s">
        <v>810</v>
      </c>
      <c r="E19212" t="s">
        <v>811</v>
      </c>
      <c r="F19212">
        <v>3704.71</v>
      </c>
      <c r="G19212">
        <v>230831</v>
      </c>
      <c r="H19212">
        <v>4390</v>
      </c>
      <c r="I19212" t="s">
        <v>98</v>
      </c>
      <c r="J19212">
        <v>3704.71</v>
      </c>
      <c r="K19212">
        <v>0</v>
      </c>
      <c r="L19212">
        <v>17950</v>
      </c>
      <c r="M19212" t="s">
        <v>86</v>
      </c>
      <c r="N19212" t="str">
        <f>"501741      "</f>
        <v xml:space="preserve">501741      </v>
      </c>
      <c r="O19212">
        <v>230904</v>
      </c>
    </row>
    <row r="19213" spans="1:15" x14ac:dyDescent="0.25">
      <c r="A19213" t="s">
        <v>16</v>
      </c>
      <c r="B19213" t="s">
        <v>3221</v>
      </c>
      <c r="C19213">
        <v>11303</v>
      </c>
      <c r="D19213" t="s">
        <v>810</v>
      </c>
      <c r="E19213" t="s">
        <v>811</v>
      </c>
      <c r="F19213">
        <v>8.81</v>
      </c>
      <c r="G19213">
        <v>230831</v>
      </c>
      <c r="H19213">
        <v>4390</v>
      </c>
      <c r="I19213" t="s">
        <v>98</v>
      </c>
      <c r="J19213">
        <v>8.81</v>
      </c>
      <c r="K19213">
        <v>0</v>
      </c>
      <c r="L19213">
        <v>13540</v>
      </c>
      <c r="M19213" t="s">
        <v>85</v>
      </c>
      <c r="N19213" t="str">
        <f>"501725      "</f>
        <v xml:space="preserve">501725      </v>
      </c>
      <c r="O19213">
        <v>230904</v>
      </c>
    </row>
    <row r="19214" spans="1:15" x14ac:dyDescent="0.25">
      <c r="A19214" t="s">
        <v>16</v>
      </c>
      <c r="B19214" t="s">
        <v>3221</v>
      </c>
      <c r="C19214">
        <v>11303</v>
      </c>
      <c r="D19214" t="s">
        <v>810</v>
      </c>
      <c r="E19214" t="s">
        <v>811</v>
      </c>
      <c r="F19214">
        <v>71.3</v>
      </c>
      <c r="G19214">
        <v>230831</v>
      </c>
      <c r="H19214">
        <v>4390</v>
      </c>
      <c r="I19214" t="s">
        <v>98</v>
      </c>
      <c r="J19214">
        <v>71.3</v>
      </c>
      <c r="K19214">
        <v>0</v>
      </c>
      <c r="L19214">
        <v>17950</v>
      </c>
      <c r="M19214" t="s">
        <v>86</v>
      </c>
      <c r="N19214" t="str">
        <f>"501725      "</f>
        <v xml:space="preserve">501725      </v>
      </c>
      <c r="O19214">
        <v>230904</v>
      </c>
    </row>
    <row r="19215" spans="1:15" x14ac:dyDescent="0.25">
      <c r="A19215" t="s">
        <v>16</v>
      </c>
      <c r="B19215" t="s">
        <v>3221</v>
      </c>
      <c r="C19215">
        <v>11305</v>
      </c>
      <c r="D19215" t="s">
        <v>810</v>
      </c>
      <c r="E19215" t="s">
        <v>811</v>
      </c>
      <c r="F19215">
        <v>3632.37</v>
      </c>
      <c r="G19215">
        <v>230831</v>
      </c>
      <c r="H19215">
        <v>4390</v>
      </c>
      <c r="I19215" t="s">
        <v>98</v>
      </c>
      <c r="J19215">
        <v>3632.37</v>
      </c>
      <c r="K19215">
        <v>0</v>
      </c>
      <c r="L19215">
        <v>17950</v>
      </c>
      <c r="M19215" t="s">
        <v>86</v>
      </c>
      <c r="N19215" t="str">
        <f>"501719      "</f>
        <v xml:space="preserve">501719      </v>
      </c>
      <c r="O19215">
        <v>230904</v>
      </c>
    </row>
    <row r="19216" spans="1:15" x14ac:dyDescent="0.25">
      <c r="A19216" t="s">
        <v>16</v>
      </c>
      <c r="B19216" t="s">
        <v>3221</v>
      </c>
      <c r="C19216">
        <v>12228</v>
      </c>
      <c r="D19216" t="s">
        <v>810</v>
      </c>
      <c r="E19216" t="s">
        <v>811</v>
      </c>
      <c r="F19216">
        <v>709.2</v>
      </c>
      <c r="G19216">
        <v>230913</v>
      </c>
      <c r="H19216">
        <v>4390</v>
      </c>
      <c r="I19216" t="s">
        <v>98</v>
      </c>
      <c r="J19216">
        <v>709.2</v>
      </c>
      <c r="K19216">
        <v>0</v>
      </c>
      <c r="L19216">
        <v>17951</v>
      </c>
      <c r="M19216" t="s">
        <v>87</v>
      </c>
      <c r="N19216" t="str">
        <f>"501829      "</f>
        <v xml:space="preserve">501829      </v>
      </c>
      <c r="O19216">
        <v>230915</v>
      </c>
    </row>
    <row r="19217" spans="1:15" x14ac:dyDescent="0.25">
      <c r="A19217" t="s">
        <v>16</v>
      </c>
      <c r="B19217" t="s">
        <v>3221</v>
      </c>
      <c r="C19217">
        <v>12229</v>
      </c>
      <c r="D19217" t="s">
        <v>810</v>
      </c>
      <c r="E19217" t="s">
        <v>811</v>
      </c>
      <c r="F19217">
        <v>135.69999999999999</v>
      </c>
      <c r="G19217">
        <v>230913</v>
      </c>
      <c r="H19217">
        <v>4390</v>
      </c>
      <c r="I19217" t="s">
        <v>98</v>
      </c>
      <c r="J19217">
        <v>135.69999999999999</v>
      </c>
      <c r="K19217">
        <v>0</v>
      </c>
      <c r="L19217">
        <v>17952</v>
      </c>
      <c r="M19217" t="s">
        <v>88</v>
      </c>
      <c r="N19217" t="str">
        <f>"501816      "</f>
        <v xml:space="preserve">501816      </v>
      </c>
      <c r="O19217">
        <v>230915</v>
      </c>
    </row>
    <row r="19218" spans="1:15" x14ac:dyDescent="0.25">
      <c r="A19218" t="s">
        <v>16</v>
      </c>
      <c r="B19218" t="s">
        <v>3221</v>
      </c>
      <c r="C19218">
        <v>12323</v>
      </c>
      <c r="D19218" t="s">
        <v>810</v>
      </c>
      <c r="E19218" t="s">
        <v>811</v>
      </c>
      <c r="F19218">
        <v>15.1</v>
      </c>
      <c r="G19218">
        <v>230913</v>
      </c>
      <c r="H19218">
        <v>4390</v>
      </c>
      <c r="I19218" t="s">
        <v>98</v>
      </c>
      <c r="J19218">
        <v>15.1</v>
      </c>
      <c r="K19218">
        <v>0</v>
      </c>
      <c r="L19218">
        <v>13540</v>
      </c>
      <c r="M19218" t="s">
        <v>85</v>
      </c>
      <c r="N19218" t="str">
        <f>"501796      "</f>
        <v xml:space="preserve">501796      </v>
      </c>
      <c r="O19218">
        <v>230918</v>
      </c>
    </row>
    <row r="19219" spans="1:15" x14ac:dyDescent="0.25">
      <c r="A19219" t="s">
        <v>16</v>
      </c>
      <c r="B19219" t="s">
        <v>3221</v>
      </c>
      <c r="C19219">
        <v>12323</v>
      </c>
      <c r="D19219" t="s">
        <v>810</v>
      </c>
      <c r="E19219" t="s">
        <v>811</v>
      </c>
      <c r="F19219">
        <v>122.14</v>
      </c>
      <c r="G19219">
        <v>230913</v>
      </c>
      <c r="H19219">
        <v>4390</v>
      </c>
      <c r="I19219" t="s">
        <v>98</v>
      </c>
      <c r="J19219">
        <v>122.14</v>
      </c>
      <c r="K19219">
        <v>0</v>
      </c>
      <c r="L19219">
        <v>17950</v>
      </c>
      <c r="M19219" t="s">
        <v>86</v>
      </c>
      <c r="N19219" t="str">
        <f>"501796      "</f>
        <v xml:space="preserve">501796      </v>
      </c>
      <c r="O19219">
        <v>230918</v>
      </c>
    </row>
    <row r="19220" spans="1:15" x14ac:dyDescent="0.25">
      <c r="A19220" t="s">
        <v>16</v>
      </c>
      <c r="B19220" t="s">
        <v>3221</v>
      </c>
      <c r="C19220">
        <v>12339</v>
      </c>
      <c r="D19220" t="s">
        <v>810</v>
      </c>
      <c r="E19220" t="s">
        <v>811</v>
      </c>
      <c r="F19220">
        <v>5.51</v>
      </c>
      <c r="G19220">
        <v>230913</v>
      </c>
      <c r="H19220">
        <v>4390</v>
      </c>
      <c r="I19220" t="s">
        <v>98</v>
      </c>
      <c r="J19220">
        <v>5.51</v>
      </c>
      <c r="K19220">
        <v>0</v>
      </c>
      <c r="L19220">
        <v>13540</v>
      </c>
      <c r="M19220" t="s">
        <v>85</v>
      </c>
      <c r="N19220" t="str">
        <f>"501819      "</f>
        <v xml:space="preserve">501819      </v>
      </c>
      <c r="O19220">
        <v>230918</v>
      </c>
    </row>
    <row r="19221" spans="1:15" x14ac:dyDescent="0.25">
      <c r="A19221" t="s">
        <v>16</v>
      </c>
      <c r="B19221" t="s">
        <v>3221</v>
      </c>
      <c r="C19221">
        <v>12339</v>
      </c>
      <c r="D19221" t="s">
        <v>810</v>
      </c>
      <c r="E19221" t="s">
        <v>811</v>
      </c>
      <c r="F19221">
        <v>44.59</v>
      </c>
      <c r="G19221">
        <v>230913</v>
      </c>
      <c r="H19221">
        <v>4390</v>
      </c>
      <c r="I19221" t="s">
        <v>98</v>
      </c>
      <c r="J19221">
        <v>44.59</v>
      </c>
      <c r="K19221">
        <v>0</v>
      </c>
      <c r="L19221">
        <v>17950</v>
      </c>
      <c r="M19221" t="s">
        <v>86</v>
      </c>
      <c r="N19221" t="str">
        <f>"501819      "</f>
        <v xml:space="preserve">501819      </v>
      </c>
      <c r="O19221">
        <v>230918</v>
      </c>
    </row>
    <row r="19222" spans="1:15" x14ac:dyDescent="0.25">
      <c r="A19222" t="s">
        <v>16</v>
      </c>
      <c r="B19222" t="s">
        <v>3221</v>
      </c>
      <c r="C19222">
        <v>12884</v>
      </c>
      <c r="D19222" t="s">
        <v>810</v>
      </c>
      <c r="E19222" t="s">
        <v>811</v>
      </c>
      <c r="F19222">
        <v>558.45000000000005</v>
      </c>
      <c r="G19222">
        <v>230928</v>
      </c>
      <c r="H19222">
        <v>4390</v>
      </c>
      <c r="I19222" t="s">
        <v>98</v>
      </c>
      <c r="J19222">
        <v>558.45000000000005</v>
      </c>
      <c r="K19222">
        <v>0</v>
      </c>
      <c r="L19222">
        <v>17951</v>
      </c>
      <c r="M19222" t="s">
        <v>87</v>
      </c>
      <c r="N19222" t="str">
        <f>"501905      "</f>
        <v xml:space="preserve">501905      </v>
      </c>
      <c r="O19222">
        <v>230929</v>
      </c>
    </row>
    <row r="19223" spans="1:15" x14ac:dyDescent="0.25">
      <c r="A19223" t="s">
        <v>16</v>
      </c>
      <c r="B19223" t="s">
        <v>3221</v>
      </c>
      <c r="C19223">
        <v>12891</v>
      </c>
      <c r="D19223" t="s">
        <v>810</v>
      </c>
      <c r="E19223" t="s">
        <v>811</v>
      </c>
      <c r="F19223">
        <v>113.83</v>
      </c>
      <c r="G19223">
        <v>230928</v>
      </c>
      <c r="H19223">
        <v>4390</v>
      </c>
      <c r="I19223" t="s">
        <v>98</v>
      </c>
      <c r="J19223">
        <v>113.83</v>
      </c>
      <c r="K19223">
        <v>0</v>
      </c>
      <c r="L19223">
        <v>13540</v>
      </c>
      <c r="M19223" t="s">
        <v>85</v>
      </c>
      <c r="N19223" t="str">
        <f>"501925      "</f>
        <v xml:space="preserve">501925      </v>
      </c>
      <c r="O19223">
        <v>230929</v>
      </c>
    </row>
    <row r="19224" spans="1:15" x14ac:dyDescent="0.25">
      <c r="A19224" t="s">
        <v>16</v>
      </c>
      <c r="B19224" t="s">
        <v>3221</v>
      </c>
      <c r="C19224">
        <v>12891</v>
      </c>
      <c r="D19224" t="s">
        <v>810</v>
      </c>
      <c r="E19224" t="s">
        <v>811</v>
      </c>
      <c r="F19224">
        <v>920.97</v>
      </c>
      <c r="G19224">
        <v>230928</v>
      </c>
      <c r="H19224">
        <v>4390</v>
      </c>
      <c r="I19224" t="s">
        <v>98</v>
      </c>
      <c r="J19224">
        <v>920.97</v>
      </c>
      <c r="K19224">
        <v>0</v>
      </c>
      <c r="L19224">
        <v>17950</v>
      </c>
      <c r="M19224" t="s">
        <v>86</v>
      </c>
      <c r="N19224" t="str">
        <f>"501925      "</f>
        <v xml:space="preserve">501925      </v>
      </c>
      <c r="O19224">
        <v>230929</v>
      </c>
    </row>
    <row r="19225" spans="1:15" x14ac:dyDescent="0.25">
      <c r="A19225" t="s">
        <v>16</v>
      </c>
      <c r="B19225" t="s">
        <v>3221</v>
      </c>
      <c r="C19225">
        <v>14671</v>
      </c>
      <c r="D19225" t="s">
        <v>810</v>
      </c>
      <c r="E19225" t="s">
        <v>811</v>
      </c>
      <c r="F19225">
        <v>25.61</v>
      </c>
      <c r="G19225">
        <v>231030</v>
      </c>
      <c r="H19225">
        <v>4390</v>
      </c>
      <c r="I19225" t="s">
        <v>98</v>
      </c>
      <c r="J19225">
        <v>25.61</v>
      </c>
      <c r="K19225">
        <v>0</v>
      </c>
      <c r="L19225">
        <v>13540</v>
      </c>
      <c r="M19225" t="s">
        <v>85</v>
      </c>
      <c r="N19225" t="str">
        <f>"502052      "</f>
        <v xml:space="preserve">502052      </v>
      </c>
      <c r="O19225">
        <v>231031</v>
      </c>
    </row>
    <row r="19226" spans="1:15" x14ac:dyDescent="0.25">
      <c r="A19226" t="s">
        <v>16</v>
      </c>
      <c r="B19226" t="s">
        <v>3221</v>
      </c>
      <c r="C19226">
        <v>14671</v>
      </c>
      <c r="D19226" t="s">
        <v>810</v>
      </c>
      <c r="E19226" t="s">
        <v>811</v>
      </c>
      <c r="F19226">
        <v>207.23</v>
      </c>
      <c r="G19226">
        <v>231030</v>
      </c>
      <c r="H19226">
        <v>4390</v>
      </c>
      <c r="I19226" t="s">
        <v>98</v>
      </c>
      <c r="J19226">
        <v>207.23</v>
      </c>
      <c r="K19226">
        <v>0</v>
      </c>
      <c r="L19226">
        <v>17950</v>
      </c>
      <c r="M19226" t="s">
        <v>86</v>
      </c>
      <c r="N19226" t="str">
        <f>"502052      "</f>
        <v xml:space="preserve">502052      </v>
      </c>
      <c r="O19226">
        <v>231031</v>
      </c>
    </row>
    <row r="19227" spans="1:15" x14ac:dyDescent="0.25">
      <c r="A19227" t="s">
        <v>16</v>
      </c>
      <c r="B19227" t="s">
        <v>3221</v>
      </c>
      <c r="C19227">
        <v>14677</v>
      </c>
      <c r="D19227" t="s">
        <v>810</v>
      </c>
      <c r="E19227" t="s">
        <v>811</v>
      </c>
      <c r="F19227">
        <v>73.599999999999994</v>
      </c>
      <c r="G19227">
        <v>231030</v>
      </c>
      <c r="H19227">
        <v>4390</v>
      </c>
      <c r="I19227" t="s">
        <v>98</v>
      </c>
      <c r="J19227">
        <v>73.599999999999994</v>
      </c>
      <c r="K19227">
        <v>0</v>
      </c>
      <c r="L19227">
        <v>17950</v>
      </c>
      <c r="M19227" t="s">
        <v>86</v>
      </c>
      <c r="N19227" t="str">
        <f>"502054      "</f>
        <v xml:space="preserve">502054      </v>
      </c>
      <c r="O19227">
        <v>231031</v>
      </c>
    </row>
    <row r="19228" spans="1:15" x14ac:dyDescent="0.25">
      <c r="A19228" t="s">
        <v>16</v>
      </c>
      <c r="B19228" t="s">
        <v>3221</v>
      </c>
      <c r="C19228">
        <v>14678</v>
      </c>
      <c r="D19228" t="s">
        <v>810</v>
      </c>
      <c r="E19228" t="s">
        <v>811</v>
      </c>
      <c r="F19228">
        <v>67.52</v>
      </c>
      <c r="G19228">
        <v>231030</v>
      </c>
      <c r="H19228">
        <v>4390</v>
      </c>
      <c r="I19228" t="s">
        <v>98</v>
      </c>
      <c r="J19228">
        <v>67.52</v>
      </c>
      <c r="K19228">
        <v>0</v>
      </c>
      <c r="L19228">
        <v>13540</v>
      </c>
      <c r="M19228" t="s">
        <v>85</v>
      </c>
      <c r="N19228" t="str">
        <f>"501979      "</f>
        <v xml:space="preserve">501979      </v>
      </c>
      <c r="O19228">
        <v>231031</v>
      </c>
    </row>
    <row r="19229" spans="1:15" x14ac:dyDescent="0.25">
      <c r="A19229" t="s">
        <v>16</v>
      </c>
      <c r="B19229" t="s">
        <v>3221</v>
      </c>
      <c r="C19229">
        <v>14678</v>
      </c>
      <c r="D19229" t="s">
        <v>810</v>
      </c>
      <c r="E19229" t="s">
        <v>811</v>
      </c>
      <c r="F19229">
        <v>546.29</v>
      </c>
      <c r="G19229">
        <v>231030</v>
      </c>
      <c r="H19229">
        <v>4390</v>
      </c>
      <c r="I19229" t="s">
        <v>98</v>
      </c>
      <c r="J19229">
        <v>546.29</v>
      </c>
      <c r="K19229">
        <v>0</v>
      </c>
      <c r="L19229">
        <v>17950</v>
      </c>
      <c r="M19229" t="s">
        <v>86</v>
      </c>
      <c r="N19229" t="str">
        <f>"501979      "</f>
        <v xml:space="preserve">501979      </v>
      </c>
      <c r="O19229">
        <v>231031</v>
      </c>
    </row>
    <row r="19230" spans="1:15" x14ac:dyDescent="0.25">
      <c r="A19230" t="s">
        <v>16</v>
      </c>
      <c r="B19230" t="s">
        <v>3221</v>
      </c>
      <c r="C19230">
        <v>14720</v>
      </c>
      <c r="D19230" t="s">
        <v>810</v>
      </c>
      <c r="E19230" t="s">
        <v>811</v>
      </c>
      <c r="F19230">
        <v>256.99</v>
      </c>
      <c r="G19230">
        <v>231030</v>
      </c>
      <c r="H19230">
        <v>4390</v>
      </c>
      <c r="I19230" t="s">
        <v>98</v>
      </c>
      <c r="J19230">
        <v>256.99</v>
      </c>
      <c r="K19230">
        <v>0</v>
      </c>
      <c r="L19230">
        <v>17956</v>
      </c>
      <c r="M19230" t="s">
        <v>53</v>
      </c>
      <c r="N19230" t="str">
        <f>"502053      "</f>
        <v xml:space="preserve">502053      </v>
      </c>
      <c r="O19230">
        <v>231101</v>
      </c>
    </row>
    <row r="19231" spans="1:15" x14ac:dyDescent="0.25">
      <c r="A19231" t="s">
        <v>16</v>
      </c>
      <c r="B19231" t="s">
        <v>3221</v>
      </c>
      <c r="C19231">
        <v>14845</v>
      </c>
      <c r="D19231" t="s">
        <v>810</v>
      </c>
      <c r="E19231" t="s">
        <v>811</v>
      </c>
      <c r="F19231">
        <v>123.99</v>
      </c>
      <c r="G19231">
        <v>231030</v>
      </c>
      <c r="H19231">
        <v>4390</v>
      </c>
      <c r="I19231" t="s">
        <v>98</v>
      </c>
      <c r="J19231">
        <v>123.99</v>
      </c>
      <c r="K19231">
        <v>0</v>
      </c>
      <c r="L19231">
        <v>13540</v>
      </c>
      <c r="M19231" t="s">
        <v>85</v>
      </c>
      <c r="N19231" t="str">
        <f>"501949      "</f>
        <v xml:space="preserve">501949      </v>
      </c>
      <c r="O19231">
        <v>231107</v>
      </c>
    </row>
    <row r="19232" spans="1:15" x14ac:dyDescent="0.25">
      <c r="A19232" t="s">
        <v>16</v>
      </c>
      <c r="B19232" t="s">
        <v>3221</v>
      </c>
      <c r="C19232">
        <v>14845</v>
      </c>
      <c r="D19232" t="s">
        <v>810</v>
      </c>
      <c r="E19232" t="s">
        <v>811</v>
      </c>
      <c r="F19232">
        <v>1003.21</v>
      </c>
      <c r="G19232">
        <v>231030</v>
      </c>
      <c r="H19232">
        <v>4390</v>
      </c>
      <c r="I19232" t="s">
        <v>98</v>
      </c>
      <c r="J19232">
        <v>1003.21</v>
      </c>
      <c r="K19232">
        <v>0</v>
      </c>
      <c r="L19232">
        <v>17950</v>
      </c>
      <c r="M19232" t="s">
        <v>86</v>
      </c>
      <c r="N19232" t="str">
        <f>"501949      "</f>
        <v xml:space="preserve">501949      </v>
      </c>
      <c r="O19232">
        <v>231107</v>
      </c>
    </row>
    <row r="19233" spans="1:15" x14ac:dyDescent="0.25">
      <c r="A19233" t="s">
        <v>16</v>
      </c>
      <c r="B19233" t="s">
        <v>3221</v>
      </c>
      <c r="C19233">
        <v>16618</v>
      </c>
      <c r="D19233" t="s">
        <v>810</v>
      </c>
      <c r="E19233" t="s">
        <v>811</v>
      </c>
      <c r="F19233">
        <v>75.599999999999994</v>
      </c>
      <c r="G19233">
        <v>231129</v>
      </c>
      <c r="H19233">
        <v>4390</v>
      </c>
      <c r="I19233" t="s">
        <v>98</v>
      </c>
      <c r="J19233">
        <v>75.599999999999994</v>
      </c>
      <c r="K19233">
        <v>0</v>
      </c>
      <c r="L19233">
        <v>17956</v>
      </c>
      <c r="M19233" t="s">
        <v>53</v>
      </c>
      <c r="N19233" t="str">
        <f>"502149      "</f>
        <v xml:space="preserve">502149      </v>
      </c>
      <c r="O19233">
        <v>231204</v>
      </c>
    </row>
    <row r="19234" spans="1:15" x14ac:dyDescent="0.25">
      <c r="A19234" t="s">
        <v>16</v>
      </c>
      <c r="B19234" t="s">
        <v>3221</v>
      </c>
      <c r="C19234">
        <v>16619</v>
      </c>
      <c r="D19234" t="s">
        <v>810</v>
      </c>
      <c r="E19234" t="s">
        <v>811</v>
      </c>
      <c r="F19234">
        <v>477.36</v>
      </c>
      <c r="G19234">
        <v>231129</v>
      </c>
      <c r="H19234">
        <v>4390</v>
      </c>
      <c r="I19234" t="s">
        <v>98</v>
      </c>
      <c r="J19234">
        <v>477.36</v>
      </c>
      <c r="K19234">
        <v>0</v>
      </c>
      <c r="L19234">
        <v>17950</v>
      </c>
      <c r="M19234" t="s">
        <v>86</v>
      </c>
      <c r="N19234" t="str">
        <f>"502132      "</f>
        <v xml:space="preserve">502132      </v>
      </c>
      <c r="O19234">
        <v>231204</v>
      </c>
    </row>
    <row r="19235" spans="1:15" x14ac:dyDescent="0.25">
      <c r="A19235" t="s">
        <v>16</v>
      </c>
      <c r="B19235" t="s">
        <v>3221</v>
      </c>
      <c r="C19235">
        <v>16620</v>
      </c>
      <c r="D19235" t="s">
        <v>810</v>
      </c>
      <c r="E19235" t="s">
        <v>811</v>
      </c>
      <c r="F19235">
        <v>133.06</v>
      </c>
      <c r="G19235">
        <v>231129</v>
      </c>
      <c r="H19235">
        <v>4390</v>
      </c>
      <c r="I19235" t="s">
        <v>98</v>
      </c>
      <c r="J19235">
        <v>133.06</v>
      </c>
      <c r="K19235">
        <v>0</v>
      </c>
      <c r="L19235">
        <v>17950</v>
      </c>
      <c r="M19235" t="s">
        <v>86</v>
      </c>
      <c r="N19235" t="str">
        <f>"502174      "</f>
        <v xml:space="preserve">502174      </v>
      </c>
      <c r="O19235">
        <v>231204</v>
      </c>
    </row>
    <row r="19236" spans="1:15" x14ac:dyDescent="0.25">
      <c r="A19236" t="s">
        <v>16</v>
      </c>
      <c r="B19236" t="s">
        <v>3221</v>
      </c>
      <c r="C19236">
        <v>16625</v>
      </c>
      <c r="D19236" t="s">
        <v>810</v>
      </c>
      <c r="E19236" t="s">
        <v>811</v>
      </c>
      <c r="F19236">
        <v>70.39</v>
      </c>
      <c r="G19236">
        <v>231130</v>
      </c>
      <c r="H19236">
        <v>4390</v>
      </c>
      <c r="I19236" t="s">
        <v>98</v>
      </c>
      <c r="J19236">
        <v>70.39</v>
      </c>
      <c r="K19236">
        <v>0</v>
      </c>
      <c r="L19236">
        <v>17952</v>
      </c>
      <c r="M19236" t="s">
        <v>88</v>
      </c>
      <c r="N19236" t="str">
        <f>"502203      "</f>
        <v xml:space="preserve">502203      </v>
      </c>
      <c r="O19236">
        <v>231204</v>
      </c>
    </row>
    <row r="19237" spans="1:15" x14ac:dyDescent="0.25">
      <c r="A19237" t="s">
        <v>16</v>
      </c>
      <c r="B19237" t="s">
        <v>3221</v>
      </c>
      <c r="C19237">
        <v>16629</v>
      </c>
      <c r="D19237" t="s">
        <v>810</v>
      </c>
      <c r="E19237" t="s">
        <v>811</v>
      </c>
      <c r="F19237">
        <v>522.64</v>
      </c>
      <c r="G19237">
        <v>231130</v>
      </c>
      <c r="H19237">
        <v>4390</v>
      </c>
      <c r="I19237" t="s">
        <v>98</v>
      </c>
      <c r="J19237">
        <v>522.64</v>
      </c>
      <c r="K19237">
        <v>0</v>
      </c>
      <c r="L19237">
        <v>17952</v>
      </c>
      <c r="M19237" t="s">
        <v>88</v>
      </c>
      <c r="N19237" t="str">
        <f>"502217      "</f>
        <v xml:space="preserve">502217      </v>
      </c>
      <c r="O19237">
        <v>231205</v>
      </c>
    </row>
    <row r="19238" spans="1:15" x14ac:dyDescent="0.25">
      <c r="A19238" t="s">
        <v>16</v>
      </c>
      <c r="B19238" t="s">
        <v>3221</v>
      </c>
      <c r="C19238">
        <v>18476</v>
      </c>
      <c r="D19238" t="s">
        <v>810</v>
      </c>
      <c r="E19238" t="s">
        <v>811</v>
      </c>
      <c r="F19238">
        <v>108.16</v>
      </c>
      <c r="G19238">
        <v>231228</v>
      </c>
      <c r="H19238">
        <v>4390</v>
      </c>
      <c r="I19238" t="s">
        <v>98</v>
      </c>
      <c r="J19238">
        <v>108.16</v>
      </c>
      <c r="K19238">
        <v>0</v>
      </c>
      <c r="L19238">
        <v>17951</v>
      </c>
      <c r="M19238" t="s">
        <v>87</v>
      </c>
      <c r="N19238" t="str">
        <f>"502314      "</f>
        <v xml:space="preserve">502314      </v>
      </c>
      <c r="O19238">
        <v>240103</v>
      </c>
    </row>
    <row r="19239" spans="1:15" x14ac:dyDescent="0.25">
      <c r="A19239" t="s">
        <v>16</v>
      </c>
      <c r="B19239" t="s">
        <v>3221</v>
      </c>
      <c r="C19239">
        <v>18504</v>
      </c>
      <c r="D19239" t="s">
        <v>810</v>
      </c>
      <c r="E19239" t="s">
        <v>811</v>
      </c>
      <c r="F19239">
        <v>183.56</v>
      </c>
      <c r="G19239">
        <v>231228</v>
      </c>
      <c r="H19239">
        <v>4390</v>
      </c>
      <c r="I19239" t="s">
        <v>98</v>
      </c>
      <c r="J19239">
        <v>183.56</v>
      </c>
      <c r="K19239">
        <v>0</v>
      </c>
      <c r="L19239">
        <v>17950</v>
      </c>
      <c r="M19239" t="s">
        <v>86</v>
      </c>
      <c r="N19239" t="str">
        <f>"502322      "</f>
        <v xml:space="preserve">502322      </v>
      </c>
      <c r="O19239">
        <v>240103</v>
      </c>
    </row>
    <row r="19240" spans="1:15" x14ac:dyDescent="0.25">
      <c r="A19240" t="s">
        <v>16</v>
      </c>
      <c r="B19240" t="s">
        <v>3221</v>
      </c>
      <c r="C19240">
        <v>2839</v>
      </c>
      <c r="D19240" t="s">
        <v>810</v>
      </c>
      <c r="E19240" t="s">
        <v>811</v>
      </c>
      <c r="F19240">
        <v>323.38</v>
      </c>
      <c r="G19240">
        <v>230228</v>
      </c>
      <c r="H19240">
        <v>4572</v>
      </c>
      <c r="I19240" t="s">
        <v>122</v>
      </c>
      <c r="J19240">
        <v>400.99</v>
      </c>
      <c r="K19240">
        <v>77.61</v>
      </c>
      <c r="L19240">
        <v>17952</v>
      </c>
      <c r="M19240" t="s">
        <v>88</v>
      </c>
      <c r="N19240" t="str">
        <f>"501080      "</f>
        <v xml:space="preserve">501080      </v>
      </c>
      <c r="O19240">
        <v>230308</v>
      </c>
    </row>
    <row r="19241" spans="1:15" x14ac:dyDescent="0.25">
      <c r="A19241" t="s">
        <v>16</v>
      </c>
      <c r="B19241" t="s">
        <v>3221</v>
      </c>
      <c r="C19241">
        <v>5808</v>
      </c>
      <c r="D19241" t="s">
        <v>810</v>
      </c>
      <c r="E19241" t="s">
        <v>811</v>
      </c>
      <c r="F19241">
        <v>74.66</v>
      </c>
      <c r="G19241">
        <v>230428</v>
      </c>
      <c r="H19241">
        <v>4572</v>
      </c>
      <c r="I19241" t="s">
        <v>122</v>
      </c>
      <c r="J19241">
        <v>92.58</v>
      </c>
      <c r="K19241">
        <v>17.920000000000002</v>
      </c>
      <c r="L19241">
        <v>17950</v>
      </c>
      <c r="M19241" t="s">
        <v>86</v>
      </c>
      <c r="N19241" t="str">
        <f>"501356      "</f>
        <v xml:space="preserve">501356      </v>
      </c>
      <c r="O19241">
        <v>230503</v>
      </c>
    </row>
    <row r="19242" spans="1:15" x14ac:dyDescent="0.25">
      <c r="A19242" t="s">
        <v>16</v>
      </c>
      <c r="B19242" t="s">
        <v>3221</v>
      </c>
      <c r="C19242">
        <v>7760</v>
      </c>
      <c r="D19242" t="s">
        <v>810</v>
      </c>
      <c r="E19242" t="s">
        <v>811</v>
      </c>
      <c r="F19242">
        <v>438.84</v>
      </c>
      <c r="G19242">
        <v>230531</v>
      </c>
      <c r="H19242">
        <v>4572</v>
      </c>
      <c r="I19242" t="s">
        <v>122</v>
      </c>
      <c r="J19242">
        <v>438.84</v>
      </c>
      <c r="K19242">
        <v>0</v>
      </c>
      <c r="L19242">
        <v>17952</v>
      </c>
      <c r="M19242" t="s">
        <v>88</v>
      </c>
      <c r="N19242" t="str">
        <f>"501403      "</f>
        <v xml:space="preserve">501403      </v>
      </c>
      <c r="O19242">
        <v>230602</v>
      </c>
    </row>
    <row r="19243" spans="1:15" x14ac:dyDescent="0.25">
      <c r="A19243" t="s">
        <v>16</v>
      </c>
      <c r="B19243" t="s">
        <v>3221</v>
      </c>
      <c r="C19243">
        <v>9223</v>
      </c>
      <c r="D19243" t="s">
        <v>810</v>
      </c>
      <c r="E19243" t="s">
        <v>811</v>
      </c>
      <c r="F19243">
        <v>15.6</v>
      </c>
      <c r="G19243">
        <v>230629</v>
      </c>
      <c r="H19243">
        <v>4572</v>
      </c>
      <c r="I19243" t="s">
        <v>122</v>
      </c>
      <c r="J19243">
        <v>19.350000000000001</v>
      </c>
      <c r="K19243">
        <v>3.75</v>
      </c>
      <c r="L19243">
        <v>17952</v>
      </c>
      <c r="M19243" t="s">
        <v>88</v>
      </c>
      <c r="N19243" t="str">
        <f>"501548      "</f>
        <v xml:space="preserve">501548      </v>
      </c>
      <c r="O19243">
        <v>230630</v>
      </c>
    </row>
    <row r="19244" spans="1:15" x14ac:dyDescent="0.25">
      <c r="A19244" t="s">
        <v>16</v>
      </c>
      <c r="B19244" t="s">
        <v>3221</v>
      </c>
      <c r="C19244">
        <v>11278</v>
      </c>
      <c r="D19244" t="s">
        <v>810</v>
      </c>
      <c r="E19244" t="s">
        <v>811</v>
      </c>
      <c r="F19244">
        <v>206.41</v>
      </c>
      <c r="G19244">
        <v>230831</v>
      </c>
      <c r="H19244">
        <v>4572</v>
      </c>
      <c r="I19244" t="s">
        <v>122</v>
      </c>
      <c r="J19244">
        <v>255.95</v>
      </c>
      <c r="K19244">
        <v>49.54</v>
      </c>
      <c r="L19244">
        <v>17950</v>
      </c>
      <c r="M19244" t="s">
        <v>86</v>
      </c>
      <c r="N19244" t="str">
        <f>"501778      "</f>
        <v xml:space="preserve">501778      </v>
      </c>
      <c r="O19244">
        <v>230904</v>
      </c>
    </row>
    <row r="19245" spans="1:15" x14ac:dyDescent="0.25">
      <c r="A19245" t="s">
        <v>16</v>
      </c>
      <c r="B19245" t="s">
        <v>3221</v>
      </c>
      <c r="C19245">
        <v>12397</v>
      </c>
      <c r="D19245" t="s">
        <v>810</v>
      </c>
      <c r="E19245" t="s">
        <v>811</v>
      </c>
      <c r="F19245">
        <v>797.06</v>
      </c>
      <c r="G19245">
        <v>230913</v>
      </c>
      <c r="H19245">
        <v>4572</v>
      </c>
      <c r="I19245" t="s">
        <v>122</v>
      </c>
      <c r="J19245">
        <v>988.36</v>
      </c>
      <c r="K19245">
        <v>191.3</v>
      </c>
      <c r="L19245">
        <v>17952</v>
      </c>
      <c r="M19245" t="s">
        <v>88</v>
      </c>
      <c r="N19245" t="str">
        <f>"501830      "</f>
        <v xml:space="preserve">501830      </v>
      </c>
      <c r="O19245">
        <v>230919</v>
      </c>
    </row>
    <row r="19246" spans="1:15" x14ac:dyDescent="0.25">
      <c r="A19246" t="s">
        <v>16</v>
      </c>
      <c r="B19246" t="s">
        <v>3221</v>
      </c>
      <c r="C19246">
        <v>16644</v>
      </c>
      <c r="D19246" t="s">
        <v>810</v>
      </c>
      <c r="E19246" t="s">
        <v>811</v>
      </c>
      <c r="F19246">
        <v>262.38</v>
      </c>
      <c r="G19246">
        <v>231130</v>
      </c>
      <c r="H19246">
        <v>4572</v>
      </c>
      <c r="I19246" t="s">
        <v>122</v>
      </c>
      <c r="J19246">
        <v>325.35000000000002</v>
      </c>
      <c r="K19246">
        <v>62.97</v>
      </c>
      <c r="L19246">
        <v>17950</v>
      </c>
      <c r="M19246" t="s">
        <v>86</v>
      </c>
      <c r="N19246" t="str">
        <f>"502264      "</f>
        <v xml:space="preserve">502264      </v>
      </c>
      <c r="O19246">
        <v>231205</v>
      </c>
    </row>
    <row r="19247" spans="1:15" x14ac:dyDescent="0.25">
      <c r="A19247" t="s">
        <v>16</v>
      </c>
      <c r="B19247" t="s">
        <v>3221</v>
      </c>
      <c r="C19247">
        <v>18507</v>
      </c>
      <c r="D19247" t="s">
        <v>810</v>
      </c>
      <c r="E19247" t="s">
        <v>811</v>
      </c>
      <c r="F19247">
        <v>1004.28</v>
      </c>
      <c r="G19247">
        <v>231228</v>
      </c>
      <c r="H19247">
        <v>4572</v>
      </c>
      <c r="I19247" t="s">
        <v>122</v>
      </c>
      <c r="J19247">
        <v>1245.31</v>
      </c>
      <c r="K19247">
        <v>241.03</v>
      </c>
      <c r="L19247">
        <v>17950</v>
      </c>
      <c r="M19247" t="s">
        <v>86</v>
      </c>
      <c r="N19247" t="str">
        <f>"502334      "</f>
        <v xml:space="preserve">502334      </v>
      </c>
      <c r="O19247">
        <v>240103</v>
      </c>
    </row>
    <row r="19248" spans="1:15" x14ac:dyDescent="0.25">
      <c r="A19248" t="s">
        <v>16</v>
      </c>
      <c r="B19248" t="s">
        <v>3221</v>
      </c>
      <c r="C19248">
        <v>18645</v>
      </c>
      <c r="D19248" t="s">
        <v>810</v>
      </c>
      <c r="E19248" t="s">
        <v>811</v>
      </c>
      <c r="F19248">
        <v>98.39</v>
      </c>
      <c r="G19248">
        <v>231229</v>
      </c>
      <c r="H19248">
        <v>4572</v>
      </c>
      <c r="I19248" t="s">
        <v>122</v>
      </c>
      <c r="J19248">
        <v>122</v>
      </c>
      <c r="K19248">
        <v>23.61</v>
      </c>
      <c r="L19248">
        <v>17950</v>
      </c>
      <c r="M19248" t="s">
        <v>86</v>
      </c>
      <c r="N19248" t="str">
        <f>"502404      "</f>
        <v xml:space="preserve">502404      </v>
      </c>
      <c r="O19248">
        <v>240104</v>
      </c>
    </row>
    <row r="19249" spans="1:15" x14ac:dyDescent="0.25">
      <c r="A19249" t="s">
        <v>16</v>
      </c>
      <c r="B19249" t="s">
        <v>3221</v>
      </c>
      <c r="C19249">
        <v>11657</v>
      </c>
      <c r="D19249" t="s">
        <v>2371</v>
      </c>
      <c r="E19249" t="s">
        <v>2372</v>
      </c>
      <c r="F19249">
        <v>189.68</v>
      </c>
      <c r="G19249">
        <v>230905</v>
      </c>
      <c r="H19249">
        <v>4400</v>
      </c>
      <c r="I19249" t="s">
        <v>348</v>
      </c>
      <c r="J19249">
        <v>235.2</v>
      </c>
      <c r="K19249">
        <v>45.52</v>
      </c>
      <c r="L19249">
        <v>13841</v>
      </c>
      <c r="M19249" t="s">
        <v>47</v>
      </c>
      <c r="N19249" t="str">
        <f>"231390      "</f>
        <v xml:space="preserve">231390      </v>
      </c>
      <c r="O19249">
        <v>230908</v>
      </c>
    </row>
    <row r="19250" spans="1:15" x14ac:dyDescent="0.25">
      <c r="A19250" t="s">
        <v>16</v>
      </c>
      <c r="B19250" t="s">
        <v>3221</v>
      </c>
      <c r="C19250">
        <v>10342</v>
      </c>
      <c r="D19250" t="s">
        <v>2371</v>
      </c>
      <c r="E19250" t="s">
        <v>2372</v>
      </c>
      <c r="F19250">
        <v>2490.1</v>
      </c>
      <c r="G19250">
        <v>230810</v>
      </c>
      <c r="H19250">
        <v>4390</v>
      </c>
      <c r="I19250" t="s">
        <v>98</v>
      </c>
      <c r="J19250">
        <v>2490.1</v>
      </c>
      <c r="K19250">
        <v>0</v>
      </c>
      <c r="L19250">
        <v>17955</v>
      </c>
      <c r="M19250" t="s">
        <v>933</v>
      </c>
      <c r="N19250" t="str">
        <f>"231276      "</f>
        <v xml:space="preserve">231276      </v>
      </c>
      <c r="O19250">
        <v>230814</v>
      </c>
    </row>
    <row r="19251" spans="1:15" x14ac:dyDescent="0.25">
      <c r="A19251" t="s">
        <v>16</v>
      </c>
      <c r="B19251" t="s">
        <v>3221</v>
      </c>
      <c r="C19251">
        <v>14797</v>
      </c>
      <c r="D19251" t="s">
        <v>2371</v>
      </c>
      <c r="E19251" t="s">
        <v>2372</v>
      </c>
      <c r="F19251">
        <v>237.34</v>
      </c>
      <c r="G19251">
        <v>231101</v>
      </c>
      <c r="H19251">
        <v>4572</v>
      </c>
      <c r="I19251" t="s">
        <v>122</v>
      </c>
      <c r="J19251">
        <v>294.3</v>
      </c>
      <c r="K19251">
        <v>56.96</v>
      </c>
      <c r="L19251">
        <v>17955</v>
      </c>
      <c r="M19251" t="s">
        <v>933</v>
      </c>
      <c r="N19251" t="str">
        <f>"231847      "</f>
        <v xml:space="preserve">231847      </v>
      </c>
      <c r="O19251">
        <v>231106</v>
      </c>
    </row>
    <row r="19252" spans="1:15" x14ac:dyDescent="0.25">
      <c r="A19252" t="s">
        <v>16</v>
      </c>
      <c r="B19252" t="s">
        <v>3221</v>
      </c>
      <c r="C19252">
        <v>9562</v>
      </c>
      <c r="D19252" t="s">
        <v>2314</v>
      </c>
      <c r="E19252" t="s">
        <v>2315</v>
      </c>
      <c r="F19252">
        <v>130.88</v>
      </c>
      <c r="G19252">
        <v>230710</v>
      </c>
      <c r="H19252">
        <v>4400</v>
      </c>
      <c r="I19252" t="s">
        <v>348</v>
      </c>
      <c r="J19252">
        <v>130.88</v>
      </c>
      <c r="K19252">
        <v>0</v>
      </c>
      <c r="L19252">
        <v>49501</v>
      </c>
      <c r="M19252" t="s">
        <v>177</v>
      </c>
      <c r="N19252" t="str">
        <f>"15090       "</f>
        <v xml:space="preserve">15090       </v>
      </c>
      <c r="O19252">
        <v>230717</v>
      </c>
    </row>
    <row r="19253" spans="1:15" x14ac:dyDescent="0.25">
      <c r="A19253" t="s">
        <v>16</v>
      </c>
      <c r="B19253" t="s">
        <v>3221</v>
      </c>
      <c r="C19253">
        <v>17705</v>
      </c>
      <c r="D19253" t="s">
        <v>2314</v>
      </c>
      <c r="E19253" t="s">
        <v>2315</v>
      </c>
      <c r="F19253">
        <v>24.6</v>
      </c>
      <c r="G19253">
        <v>231212</v>
      </c>
      <c r="H19253">
        <v>4600</v>
      </c>
      <c r="I19253" t="s">
        <v>105</v>
      </c>
      <c r="J19253">
        <v>30.5</v>
      </c>
      <c r="K19253">
        <v>5.9</v>
      </c>
      <c r="L19253">
        <v>49501</v>
      </c>
      <c r="M19253" t="s">
        <v>177</v>
      </c>
      <c r="N19253" t="str">
        <f>"15651       "</f>
        <v xml:space="preserve">15651       </v>
      </c>
      <c r="O19253">
        <v>231221</v>
      </c>
    </row>
    <row r="19254" spans="1:15" x14ac:dyDescent="0.25">
      <c r="A19254" t="s">
        <v>16</v>
      </c>
      <c r="B19254" t="s">
        <v>3221</v>
      </c>
      <c r="C19254">
        <v>13268</v>
      </c>
      <c r="D19254" t="s">
        <v>2652</v>
      </c>
      <c r="E19254" t="s">
        <v>2653</v>
      </c>
      <c r="F19254">
        <v>418.65</v>
      </c>
      <c r="G19254">
        <v>230925</v>
      </c>
      <c r="H19254">
        <v>4400</v>
      </c>
      <c r="I19254" t="s">
        <v>348</v>
      </c>
      <c r="J19254">
        <v>418.65</v>
      </c>
      <c r="K19254">
        <v>0</v>
      </c>
      <c r="L19254">
        <v>49501</v>
      </c>
      <c r="M19254" t="s">
        <v>177</v>
      </c>
      <c r="N19254" t="str">
        <f>"1001010103  "</f>
        <v xml:space="preserve">1001010103  </v>
      </c>
      <c r="O19254">
        <v>231009</v>
      </c>
    </row>
    <row r="19255" spans="1:15" x14ac:dyDescent="0.25">
      <c r="A19255" t="s">
        <v>16</v>
      </c>
      <c r="B19255" t="s">
        <v>3221</v>
      </c>
      <c r="C19255">
        <v>3439</v>
      </c>
      <c r="D19255" t="s">
        <v>3253</v>
      </c>
      <c r="E19255" t="s">
        <v>3254</v>
      </c>
      <c r="F19255">
        <v>224</v>
      </c>
      <c r="G19255">
        <v>230228</v>
      </c>
      <c r="H19255">
        <v>4470</v>
      </c>
      <c r="I19255" t="s">
        <v>83</v>
      </c>
      <c r="J19255">
        <v>224</v>
      </c>
      <c r="K19255">
        <v>0</v>
      </c>
      <c r="L19255">
        <v>69113</v>
      </c>
      <c r="M19255" t="s">
        <v>282</v>
      </c>
      <c r="N19255" t="str">
        <f>"771436      "</f>
        <v xml:space="preserve">771436      </v>
      </c>
      <c r="O19255">
        <v>230316</v>
      </c>
    </row>
    <row r="19256" spans="1:15" x14ac:dyDescent="0.25">
      <c r="A19256" t="s">
        <v>16</v>
      </c>
      <c r="B19256" t="s">
        <v>3221</v>
      </c>
      <c r="C19256">
        <v>3439</v>
      </c>
      <c r="D19256" t="s">
        <v>3253</v>
      </c>
      <c r="E19256" t="s">
        <v>3254</v>
      </c>
      <c r="F19256">
        <v>28</v>
      </c>
      <c r="G19256">
        <v>230228</v>
      </c>
      <c r="H19256">
        <v>4470</v>
      </c>
      <c r="I19256" t="s">
        <v>83</v>
      </c>
      <c r="J19256">
        <v>28</v>
      </c>
      <c r="K19256">
        <v>0</v>
      </c>
      <c r="L19256">
        <v>69802</v>
      </c>
      <c r="M19256" t="s">
        <v>283</v>
      </c>
      <c r="N19256" t="str">
        <f>"771436      "</f>
        <v xml:space="preserve">771436      </v>
      </c>
      <c r="O19256">
        <v>230316</v>
      </c>
    </row>
    <row r="19257" spans="1:15" x14ac:dyDescent="0.25">
      <c r="A19257" t="s">
        <v>16</v>
      </c>
      <c r="B19257" t="s">
        <v>3221</v>
      </c>
      <c r="C19257">
        <v>3439</v>
      </c>
      <c r="D19257" t="s">
        <v>3253</v>
      </c>
      <c r="E19257" t="s">
        <v>3254</v>
      </c>
      <c r="F19257">
        <v>28</v>
      </c>
      <c r="G19257">
        <v>230228</v>
      </c>
      <c r="H19257">
        <v>4470</v>
      </c>
      <c r="I19257" t="s">
        <v>83</v>
      </c>
      <c r="J19257">
        <v>28</v>
      </c>
      <c r="K19257">
        <v>0</v>
      </c>
      <c r="L19257">
        <v>69804</v>
      </c>
      <c r="M19257" t="s">
        <v>284</v>
      </c>
      <c r="N19257" t="str">
        <f>"771436      "</f>
        <v xml:space="preserve">771436      </v>
      </c>
      <c r="O19257">
        <v>230316</v>
      </c>
    </row>
    <row r="19258" spans="1:15" x14ac:dyDescent="0.25">
      <c r="A19258" t="s">
        <v>16</v>
      </c>
      <c r="B19258" t="s">
        <v>3221</v>
      </c>
      <c r="C19258">
        <v>6397</v>
      </c>
      <c r="D19258" t="s">
        <v>3253</v>
      </c>
      <c r="E19258" t="s">
        <v>3254</v>
      </c>
      <c r="F19258">
        <v>150</v>
      </c>
      <c r="G19258">
        <v>230509</v>
      </c>
      <c r="H19258">
        <v>4470</v>
      </c>
      <c r="I19258" t="s">
        <v>83</v>
      </c>
      <c r="J19258">
        <v>150</v>
      </c>
      <c r="K19258">
        <v>0</v>
      </c>
      <c r="L19258">
        <v>69701</v>
      </c>
      <c r="M19258" t="s">
        <v>488</v>
      </c>
      <c r="N19258" t="str">
        <f>"772054      "</f>
        <v xml:space="preserve">772054      </v>
      </c>
      <c r="O19258">
        <v>230510</v>
      </c>
    </row>
    <row r="19259" spans="1:15" x14ac:dyDescent="0.25">
      <c r="A19259" t="s">
        <v>16</v>
      </c>
      <c r="B19259" t="s">
        <v>3221</v>
      </c>
      <c r="C19259">
        <v>6398</v>
      </c>
      <c r="D19259" t="s">
        <v>3253</v>
      </c>
      <c r="E19259" t="s">
        <v>3254</v>
      </c>
      <c r="F19259">
        <v>150</v>
      </c>
      <c r="G19259">
        <v>230509</v>
      </c>
      <c r="H19259">
        <v>4470</v>
      </c>
      <c r="I19259" t="s">
        <v>83</v>
      </c>
      <c r="J19259">
        <v>150</v>
      </c>
      <c r="K19259">
        <v>0</v>
      </c>
      <c r="L19259">
        <v>69703</v>
      </c>
      <c r="M19259" t="s">
        <v>1036</v>
      </c>
      <c r="N19259" t="str">
        <f>"772053      "</f>
        <v xml:space="preserve">772053      </v>
      </c>
      <c r="O19259">
        <v>230510</v>
      </c>
    </row>
    <row r="19260" spans="1:15" x14ac:dyDescent="0.25">
      <c r="A19260" t="s">
        <v>16</v>
      </c>
      <c r="B19260" t="s">
        <v>3221</v>
      </c>
      <c r="C19260">
        <v>7020</v>
      </c>
      <c r="D19260" t="s">
        <v>3253</v>
      </c>
      <c r="E19260" t="s">
        <v>3254</v>
      </c>
      <c r="F19260">
        <v>150</v>
      </c>
      <c r="G19260">
        <v>230517</v>
      </c>
      <c r="H19260">
        <v>4470</v>
      </c>
      <c r="I19260" t="s">
        <v>83</v>
      </c>
      <c r="J19260">
        <v>150</v>
      </c>
      <c r="K19260">
        <v>0</v>
      </c>
      <c r="L19260">
        <v>69703</v>
      </c>
      <c r="M19260" t="s">
        <v>1036</v>
      </c>
      <c r="N19260" t="str">
        <f>"772355      "</f>
        <v xml:space="preserve">772355      </v>
      </c>
      <c r="O19260">
        <v>230524</v>
      </c>
    </row>
    <row r="19261" spans="1:15" x14ac:dyDescent="0.25">
      <c r="A19261" t="s">
        <v>16</v>
      </c>
      <c r="B19261" t="s">
        <v>3221</v>
      </c>
      <c r="C19261">
        <v>7116</v>
      </c>
      <c r="D19261" t="s">
        <v>3253</v>
      </c>
      <c r="E19261" t="s">
        <v>3254</v>
      </c>
      <c r="F19261">
        <v>150</v>
      </c>
      <c r="G19261">
        <v>230522</v>
      </c>
      <c r="H19261">
        <v>4470</v>
      </c>
      <c r="I19261" t="s">
        <v>83</v>
      </c>
      <c r="J19261">
        <v>150</v>
      </c>
      <c r="K19261">
        <v>0</v>
      </c>
      <c r="L19261">
        <v>69701</v>
      </c>
      <c r="M19261" t="s">
        <v>488</v>
      </c>
      <c r="N19261" t="str">
        <f>"772609      "</f>
        <v xml:space="preserve">772609      </v>
      </c>
      <c r="O19261">
        <v>230525</v>
      </c>
    </row>
    <row r="19262" spans="1:15" x14ac:dyDescent="0.25">
      <c r="A19262" t="s">
        <v>16</v>
      </c>
      <c r="B19262" t="s">
        <v>3221</v>
      </c>
      <c r="C19262">
        <v>8853</v>
      </c>
      <c r="D19262" t="s">
        <v>3253</v>
      </c>
      <c r="E19262" t="s">
        <v>3254</v>
      </c>
      <c r="F19262">
        <v>252</v>
      </c>
      <c r="G19262">
        <v>230531</v>
      </c>
      <c r="H19262">
        <v>4470</v>
      </c>
      <c r="I19262" t="s">
        <v>83</v>
      </c>
      <c r="J19262">
        <v>252</v>
      </c>
      <c r="K19262">
        <v>0</v>
      </c>
      <c r="L19262">
        <v>69112</v>
      </c>
      <c r="M19262" t="s">
        <v>313</v>
      </c>
      <c r="N19262" t="str">
        <f>"772825      "</f>
        <v xml:space="preserve">772825      </v>
      </c>
      <c r="O19262">
        <v>230619</v>
      </c>
    </row>
    <row r="19263" spans="1:15" x14ac:dyDescent="0.25">
      <c r="A19263" t="s">
        <v>16</v>
      </c>
      <c r="B19263" t="s">
        <v>3221</v>
      </c>
      <c r="C19263">
        <v>8853</v>
      </c>
      <c r="D19263" t="s">
        <v>3253</v>
      </c>
      <c r="E19263" t="s">
        <v>3254</v>
      </c>
      <c r="F19263">
        <v>14</v>
      </c>
      <c r="G19263">
        <v>230531</v>
      </c>
      <c r="H19263">
        <v>4470</v>
      </c>
      <c r="I19263" t="s">
        <v>83</v>
      </c>
      <c r="J19263">
        <v>14</v>
      </c>
      <c r="K19263">
        <v>0</v>
      </c>
      <c r="L19263">
        <v>69810</v>
      </c>
      <c r="M19263" t="s">
        <v>314</v>
      </c>
      <c r="N19263" t="str">
        <f>"772825      "</f>
        <v xml:space="preserve">772825      </v>
      </c>
      <c r="O19263">
        <v>230619</v>
      </c>
    </row>
    <row r="19264" spans="1:15" x14ac:dyDescent="0.25">
      <c r="A19264" t="s">
        <v>16</v>
      </c>
      <c r="B19264" t="s">
        <v>3221</v>
      </c>
      <c r="C19264">
        <v>8853</v>
      </c>
      <c r="D19264" t="s">
        <v>3253</v>
      </c>
      <c r="E19264" t="s">
        <v>3254</v>
      </c>
      <c r="F19264">
        <v>14</v>
      </c>
      <c r="G19264">
        <v>230531</v>
      </c>
      <c r="H19264">
        <v>4470</v>
      </c>
      <c r="I19264" t="s">
        <v>83</v>
      </c>
      <c r="J19264">
        <v>14</v>
      </c>
      <c r="K19264">
        <v>0</v>
      </c>
      <c r="L19264">
        <v>69811</v>
      </c>
      <c r="M19264" t="s">
        <v>315</v>
      </c>
      <c r="N19264" t="str">
        <f>"772825      "</f>
        <v xml:space="preserve">772825      </v>
      </c>
      <c r="O19264">
        <v>230619</v>
      </c>
    </row>
    <row r="19265" spans="1:15" x14ac:dyDescent="0.25">
      <c r="A19265" t="s">
        <v>16</v>
      </c>
      <c r="B19265" t="s">
        <v>3221</v>
      </c>
      <c r="C19265">
        <v>8854</v>
      </c>
      <c r="D19265" t="s">
        <v>3253</v>
      </c>
      <c r="E19265" t="s">
        <v>3254</v>
      </c>
      <c r="F19265">
        <v>135</v>
      </c>
      <c r="G19265">
        <v>230531</v>
      </c>
      <c r="H19265">
        <v>4470</v>
      </c>
      <c r="I19265" t="s">
        <v>83</v>
      </c>
      <c r="J19265">
        <v>135</v>
      </c>
      <c r="K19265">
        <v>0</v>
      </c>
      <c r="L19265">
        <v>69112</v>
      </c>
      <c r="M19265" t="s">
        <v>313</v>
      </c>
      <c r="N19265" t="str">
        <f>"772824      "</f>
        <v xml:space="preserve">772824      </v>
      </c>
      <c r="O19265">
        <v>230619</v>
      </c>
    </row>
    <row r="19266" spans="1:15" x14ac:dyDescent="0.25">
      <c r="A19266" t="s">
        <v>16</v>
      </c>
      <c r="B19266" t="s">
        <v>3221</v>
      </c>
      <c r="C19266">
        <v>8854</v>
      </c>
      <c r="D19266" t="s">
        <v>3253</v>
      </c>
      <c r="E19266" t="s">
        <v>3254</v>
      </c>
      <c r="F19266">
        <v>7.5</v>
      </c>
      <c r="G19266">
        <v>230531</v>
      </c>
      <c r="H19266">
        <v>4470</v>
      </c>
      <c r="I19266" t="s">
        <v>83</v>
      </c>
      <c r="J19266">
        <v>7.5</v>
      </c>
      <c r="K19266">
        <v>0</v>
      </c>
      <c r="L19266">
        <v>69810</v>
      </c>
      <c r="M19266" t="s">
        <v>314</v>
      </c>
      <c r="N19266" t="str">
        <f>"772824      "</f>
        <v xml:space="preserve">772824      </v>
      </c>
      <c r="O19266">
        <v>230619</v>
      </c>
    </row>
    <row r="19267" spans="1:15" x14ac:dyDescent="0.25">
      <c r="A19267" t="s">
        <v>16</v>
      </c>
      <c r="B19267" t="s">
        <v>3221</v>
      </c>
      <c r="C19267">
        <v>8854</v>
      </c>
      <c r="D19267" t="s">
        <v>3253</v>
      </c>
      <c r="E19267" t="s">
        <v>3254</v>
      </c>
      <c r="F19267">
        <v>7.5</v>
      </c>
      <c r="G19267">
        <v>230531</v>
      </c>
      <c r="H19267">
        <v>4470</v>
      </c>
      <c r="I19267" t="s">
        <v>83</v>
      </c>
      <c r="J19267">
        <v>7.5</v>
      </c>
      <c r="K19267">
        <v>0</v>
      </c>
      <c r="L19267">
        <v>69811</v>
      </c>
      <c r="M19267" t="s">
        <v>315</v>
      </c>
      <c r="N19267" t="str">
        <f>"772824      "</f>
        <v xml:space="preserve">772824      </v>
      </c>
      <c r="O19267">
        <v>230619</v>
      </c>
    </row>
    <row r="19268" spans="1:15" x14ac:dyDescent="0.25">
      <c r="A19268" t="s">
        <v>16</v>
      </c>
      <c r="B19268" t="s">
        <v>3221</v>
      </c>
      <c r="C19268">
        <v>5084</v>
      </c>
      <c r="D19268" t="s">
        <v>3707</v>
      </c>
      <c r="E19268" t="s">
        <v>1790</v>
      </c>
      <c r="F19268">
        <v>86.27</v>
      </c>
      <c r="G19268">
        <v>230411</v>
      </c>
      <c r="H19268">
        <v>4470</v>
      </c>
      <c r="I19268" t="s">
        <v>83</v>
      </c>
      <c r="J19268">
        <v>94.9</v>
      </c>
      <c r="K19268">
        <v>8.6300000000000008</v>
      </c>
      <c r="L19268">
        <v>13501</v>
      </c>
      <c r="M19268" t="s">
        <v>20</v>
      </c>
      <c r="N19268" t="str">
        <f>"LA 184670   "</f>
        <v xml:space="preserve">LA 184670   </v>
      </c>
      <c r="O19268">
        <v>230418</v>
      </c>
    </row>
    <row r="19269" spans="1:15" x14ac:dyDescent="0.25">
      <c r="A19269" t="s">
        <v>16</v>
      </c>
      <c r="B19269" t="s">
        <v>3221</v>
      </c>
      <c r="C19269">
        <v>5084</v>
      </c>
      <c r="D19269" t="s">
        <v>3707</v>
      </c>
      <c r="E19269" t="s">
        <v>1790</v>
      </c>
      <c r="F19269">
        <v>698.03</v>
      </c>
      <c r="G19269">
        <v>230411</v>
      </c>
      <c r="H19269">
        <v>4470</v>
      </c>
      <c r="I19269" t="s">
        <v>83</v>
      </c>
      <c r="J19269">
        <v>767.83</v>
      </c>
      <c r="K19269">
        <v>69.8</v>
      </c>
      <c r="L19269">
        <v>17538</v>
      </c>
      <c r="M19269" t="s">
        <v>24</v>
      </c>
      <c r="N19269" t="str">
        <f>"LA 184670   "</f>
        <v xml:space="preserve">LA 184670   </v>
      </c>
      <c r="O19269">
        <v>230418</v>
      </c>
    </row>
    <row r="19270" spans="1:15" x14ac:dyDescent="0.25">
      <c r="A19270" t="s">
        <v>16</v>
      </c>
      <c r="B19270" t="s">
        <v>3221</v>
      </c>
      <c r="C19270">
        <v>14448</v>
      </c>
      <c r="D19270" t="s">
        <v>3707</v>
      </c>
      <c r="E19270" t="s">
        <v>1790</v>
      </c>
      <c r="F19270">
        <v>784.3</v>
      </c>
      <c r="G19270">
        <v>231016</v>
      </c>
      <c r="H19270">
        <v>4470</v>
      </c>
      <c r="I19270" t="s">
        <v>83</v>
      </c>
      <c r="J19270">
        <v>862.73</v>
      </c>
      <c r="K19270">
        <v>78.430000000000007</v>
      </c>
      <c r="L19270">
        <v>17538</v>
      </c>
      <c r="M19270" t="s">
        <v>24</v>
      </c>
      <c r="N19270" t="str">
        <f>"LA 195515   "</f>
        <v xml:space="preserve">LA 195515   </v>
      </c>
      <c r="O19270">
        <v>231030</v>
      </c>
    </row>
    <row r="19271" spans="1:15" x14ac:dyDescent="0.25">
      <c r="A19271" t="s">
        <v>16</v>
      </c>
      <c r="B19271" t="s">
        <v>3221</v>
      </c>
      <c r="C19271">
        <v>16345</v>
      </c>
      <c r="D19271" t="s">
        <v>3707</v>
      </c>
      <c r="E19271" t="s">
        <v>1790</v>
      </c>
      <c r="F19271">
        <v>488.99</v>
      </c>
      <c r="G19271">
        <v>231124</v>
      </c>
      <c r="H19271">
        <v>4470</v>
      </c>
      <c r="I19271" t="s">
        <v>83</v>
      </c>
      <c r="J19271">
        <v>537.89</v>
      </c>
      <c r="K19271">
        <v>48.9</v>
      </c>
      <c r="L19271">
        <v>13601</v>
      </c>
      <c r="M19271" t="s">
        <v>147</v>
      </c>
      <c r="N19271" t="str">
        <f>"LA 197652   "</f>
        <v xml:space="preserve">LA 197652   </v>
      </c>
      <c r="O19271">
        <v>231128</v>
      </c>
    </row>
    <row r="19272" spans="1:15" x14ac:dyDescent="0.25">
      <c r="A19272" t="s">
        <v>16</v>
      </c>
      <c r="B19272" t="s">
        <v>3221</v>
      </c>
      <c r="C19272">
        <v>3259</v>
      </c>
      <c r="D19272" t="s">
        <v>1534</v>
      </c>
      <c r="E19272" t="s">
        <v>1535</v>
      </c>
      <c r="F19272">
        <v>189</v>
      </c>
      <c r="G19272">
        <v>230309</v>
      </c>
      <c r="H19272">
        <v>4343</v>
      </c>
      <c r="I19272" t="s">
        <v>91</v>
      </c>
      <c r="J19272">
        <v>234.36</v>
      </c>
      <c r="K19272">
        <v>45.36</v>
      </c>
      <c r="L19272">
        <v>44251</v>
      </c>
      <c r="M19272" t="s">
        <v>156</v>
      </c>
      <c r="N19272" t="str">
        <f>"21412       "</f>
        <v xml:space="preserve">21412       </v>
      </c>
      <c r="O19272">
        <v>230313</v>
      </c>
    </row>
    <row r="19273" spans="1:15" x14ac:dyDescent="0.25">
      <c r="A19273" t="s">
        <v>16</v>
      </c>
      <c r="B19273" t="s">
        <v>3221</v>
      </c>
      <c r="C19273">
        <v>8752</v>
      </c>
      <c r="D19273" t="s">
        <v>1534</v>
      </c>
      <c r="E19273" t="s">
        <v>1535</v>
      </c>
      <c r="F19273">
        <v>169</v>
      </c>
      <c r="G19273">
        <v>230609</v>
      </c>
      <c r="H19273">
        <v>4343</v>
      </c>
      <c r="I19273" t="s">
        <v>91</v>
      </c>
      <c r="J19273">
        <v>209.56</v>
      </c>
      <c r="K19273">
        <v>40.56</v>
      </c>
      <c r="L19273">
        <v>44251</v>
      </c>
      <c r="M19273" t="s">
        <v>156</v>
      </c>
      <c r="N19273" t="str">
        <f>"22517       "</f>
        <v xml:space="preserve">22517       </v>
      </c>
      <c r="O19273">
        <v>230613</v>
      </c>
    </row>
    <row r="19274" spans="1:15" x14ac:dyDescent="0.25">
      <c r="A19274" t="s">
        <v>16</v>
      </c>
      <c r="B19274" t="s">
        <v>3221</v>
      </c>
      <c r="C19274">
        <v>12267</v>
      </c>
      <c r="D19274" t="s">
        <v>1534</v>
      </c>
      <c r="E19274" t="s">
        <v>1535</v>
      </c>
      <c r="F19274">
        <v>119</v>
      </c>
      <c r="G19274">
        <v>230909</v>
      </c>
      <c r="H19274">
        <v>4343</v>
      </c>
      <c r="I19274" t="s">
        <v>91</v>
      </c>
      <c r="J19274">
        <v>147.56</v>
      </c>
      <c r="K19274">
        <v>28.56</v>
      </c>
      <c r="L19274">
        <v>44251</v>
      </c>
      <c r="M19274" t="s">
        <v>156</v>
      </c>
      <c r="N19274" t="str">
        <f>"23597       "</f>
        <v xml:space="preserve">23597       </v>
      </c>
      <c r="O19274">
        <v>230918</v>
      </c>
    </row>
    <row r="19275" spans="1:15" x14ac:dyDescent="0.25">
      <c r="A19275" t="s">
        <v>16</v>
      </c>
      <c r="B19275" t="s">
        <v>3221</v>
      </c>
      <c r="C19275">
        <v>15639</v>
      </c>
      <c r="D19275" t="s">
        <v>1534</v>
      </c>
      <c r="E19275" t="s">
        <v>1535</v>
      </c>
      <c r="F19275">
        <v>43</v>
      </c>
      <c r="G19275">
        <v>231111</v>
      </c>
      <c r="H19275">
        <v>4343</v>
      </c>
      <c r="I19275" t="s">
        <v>91</v>
      </c>
      <c r="J19275">
        <v>53.32</v>
      </c>
      <c r="K19275">
        <v>10.32</v>
      </c>
      <c r="L19275">
        <v>44251</v>
      </c>
      <c r="M19275" t="s">
        <v>156</v>
      </c>
      <c r="N19275" t="str">
        <f>"24382       "</f>
        <v xml:space="preserve">24382       </v>
      </c>
      <c r="O19275">
        <v>231114</v>
      </c>
    </row>
    <row r="19276" spans="1:15" x14ac:dyDescent="0.25">
      <c r="A19276" t="s">
        <v>16</v>
      </c>
      <c r="B19276" t="s">
        <v>3221</v>
      </c>
      <c r="C19276">
        <v>17647</v>
      </c>
      <c r="D19276" t="s">
        <v>1534</v>
      </c>
      <c r="E19276" t="s">
        <v>1535</v>
      </c>
      <c r="F19276">
        <v>174</v>
      </c>
      <c r="G19276">
        <v>231211</v>
      </c>
      <c r="H19276">
        <v>4343</v>
      </c>
      <c r="I19276" t="s">
        <v>91</v>
      </c>
      <c r="J19276">
        <v>215.76</v>
      </c>
      <c r="K19276">
        <v>41.76</v>
      </c>
      <c r="L19276">
        <v>44251</v>
      </c>
      <c r="M19276" t="s">
        <v>156</v>
      </c>
      <c r="N19276" t="str">
        <f>"24860       "</f>
        <v xml:space="preserve">24860       </v>
      </c>
      <c r="O19276">
        <v>231218</v>
      </c>
    </row>
    <row r="19277" spans="1:15" x14ac:dyDescent="0.25">
      <c r="A19277" t="s">
        <v>16</v>
      </c>
      <c r="B19277" t="s">
        <v>3221</v>
      </c>
      <c r="C19277">
        <v>19066</v>
      </c>
      <c r="D19277" t="s">
        <v>1534</v>
      </c>
      <c r="E19277" t="s">
        <v>1535</v>
      </c>
      <c r="F19277">
        <v>62</v>
      </c>
      <c r="G19277">
        <v>240108</v>
      </c>
      <c r="H19277">
        <v>4343</v>
      </c>
      <c r="I19277" t="s">
        <v>91</v>
      </c>
      <c r="J19277">
        <v>76.88</v>
      </c>
      <c r="K19277">
        <v>14.88</v>
      </c>
      <c r="L19277">
        <v>44251</v>
      </c>
      <c r="M19277" t="s">
        <v>156</v>
      </c>
      <c r="N19277" t="str">
        <f>"25155       "</f>
        <v xml:space="preserve">25155       </v>
      </c>
      <c r="O19277">
        <v>240110</v>
      </c>
    </row>
    <row r="19278" spans="1:15" x14ac:dyDescent="0.25">
      <c r="A19278" t="s">
        <v>16</v>
      </c>
      <c r="B19278" t="s">
        <v>3221</v>
      </c>
      <c r="C19278">
        <v>13275</v>
      </c>
      <c r="D19278" t="s">
        <v>2053</v>
      </c>
      <c r="E19278" t="s">
        <v>2054</v>
      </c>
      <c r="F19278">
        <v>150</v>
      </c>
      <c r="G19278">
        <v>230929</v>
      </c>
      <c r="H19278">
        <v>4346</v>
      </c>
      <c r="I19278" t="s">
        <v>197</v>
      </c>
      <c r="J19278">
        <v>186</v>
      </c>
      <c r="K19278">
        <v>36</v>
      </c>
      <c r="L19278">
        <v>11908</v>
      </c>
      <c r="M19278" t="s">
        <v>598</v>
      </c>
      <c r="N19278" t="str">
        <f>"5462        "</f>
        <v xml:space="preserve">5462        </v>
      </c>
      <c r="O19278">
        <v>231009</v>
      </c>
    </row>
    <row r="19279" spans="1:15" x14ac:dyDescent="0.25">
      <c r="A19279" t="s">
        <v>16</v>
      </c>
      <c r="B19279" t="s">
        <v>3221</v>
      </c>
      <c r="C19279">
        <v>7055</v>
      </c>
      <c r="D19279" t="s">
        <v>2053</v>
      </c>
      <c r="E19279" t="s">
        <v>2054</v>
      </c>
      <c r="F19279">
        <v>241.94</v>
      </c>
      <c r="G19279">
        <v>230518</v>
      </c>
      <c r="H19279">
        <v>4580</v>
      </c>
      <c r="I19279" t="s">
        <v>35</v>
      </c>
      <c r="J19279">
        <v>300.01</v>
      </c>
      <c r="K19279">
        <v>58.07</v>
      </c>
      <c r="L19279">
        <v>17538</v>
      </c>
      <c r="M19279" t="s">
        <v>24</v>
      </c>
      <c r="N19279" t="str">
        <f>"5410        "</f>
        <v xml:space="preserve">5410        </v>
      </c>
      <c r="O19279">
        <v>230525</v>
      </c>
    </row>
    <row r="19280" spans="1:15" x14ac:dyDescent="0.25">
      <c r="A19280" t="s">
        <v>16</v>
      </c>
      <c r="B19280" t="s">
        <v>3221</v>
      </c>
      <c r="C19280">
        <v>15014</v>
      </c>
      <c r="D19280" t="s">
        <v>2053</v>
      </c>
      <c r="E19280" t="s">
        <v>2054</v>
      </c>
      <c r="F19280">
        <v>575.4</v>
      </c>
      <c r="G19280">
        <v>231019</v>
      </c>
      <c r="H19280">
        <v>4420</v>
      </c>
      <c r="I19280" t="s">
        <v>132</v>
      </c>
      <c r="J19280">
        <v>713.49</v>
      </c>
      <c r="K19280">
        <v>138.09</v>
      </c>
      <c r="L19280">
        <v>17530</v>
      </c>
      <c r="M19280" t="s">
        <v>454</v>
      </c>
      <c r="N19280" t="str">
        <f>"5468        "</f>
        <v xml:space="preserve">5468        </v>
      </c>
      <c r="O19280">
        <v>231108</v>
      </c>
    </row>
    <row r="19281" spans="1:15" x14ac:dyDescent="0.25">
      <c r="A19281" t="s">
        <v>16</v>
      </c>
      <c r="B19281" t="s">
        <v>3221</v>
      </c>
      <c r="C19281">
        <v>15016</v>
      </c>
      <c r="D19281" t="s">
        <v>2053</v>
      </c>
      <c r="E19281" t="s">
        <v>2054</v>
      </c>
      <c r="F19281">
        <v>191.8</v>
      </c>
      <c r="G19281">
        <v>231019</v>
      </c>
      <c r="H19281">
        <v>4420</v>
      </c>
      <c r="I19281" t="s">
        <v>132</v>
      </c>
      <c r="J19281">
        <v>237.83</v>
      </c>
      <c r="K19281">
        <v>46.03</v>
      </c>
      <c r="L19281">
        <v>17530</v>
      </c>
      <c r="M19281" t="s">
        <v>454</v>
      </c>
      <c r="N19281" t="str">
        <f>"5469        "</f>
        <v xml:space="preserve">5469        </v>
      </c>
      <c r="O19281">
        <v>231108</v>
      </c>
    </row>
    <row r="19282" spans="1:15" x14ac:dyDescent="0.25">
      <c r="A19282" t="s">
        <v>16</v>
      </c>
      <c r="B19282" t="s">
        <v>3221</v>
      </c>
      <c r="C19282">
        <v>13399</v>
      </c>
      <c r="D19282" t="s">
        <v>2053</v>
      </c>
      <c r="E19282" t="s">
        <v>2054</v>
      </c>
      <c r="F19282">
        <v>356.44</v>
      </c>
      <c r="G19282">
        <v>230928</v>
      </c>
      <c r="H19282">
        <v>4600</v>
      </c>
      <c r="I19282" t="s">
        <v>105</v>
      </c>
      <c r="J19282">
        <v>441.99</v>
      </c>
      <c r="K19282">
        <v>85.55</v>
      </c>
      <c r="L19282">
        <v>17538</v>
      </c>
      <c r="M19282" t="s">
        <v>24</v>
      </c>
      <c r="N19282" t="str">
        <f>"5457        "</f>
        <v xml:space="preserve">5457        </v>
      </c>
      <c r="O19282">
        <v>231010</v>
      </c>
    </row>
    <row r="19283" spans="1:15" x14ac:dyDescent="0.25">
      <c r="A19283" t="s">
        <v>16</v>
      </c>
      <c r="B19283" t="s">
        <v>3221</v>
      </c>
      <c r="C19283">
        <v>3790</v>
      </c>
      <c r="D19283" t="s">
        <v>1614</v>
      </c>
      <c r="E19283" t="s">
        <v>1615</v>
      </c>
      <c r="F19283">
        <v>57.58</v>
      </c>
      <c r="G19283">
        <v>230315</v>
      </c>
      <c r="H19283">
        <v>4580</v>
      </c>
      <c r="I19283" t="s">
        <v>35</v>
      </c>
      <c r="J19283">
        <v>71.400000000000006</v>
      </c>
      <c r="K19283">
        <v>13.82</v>
      </c>
      <c r="L19283">
        <v>17532</v>
      </c>
      <c r="M19283" t="s">
        <v>543</v>
      </c>
      <c r="N19283" t="str">
        <f>"9289        "</f>
        <v xml:space="preserve">9289        </v>
      </c>
      <c r="O19283">
        <v>230322</v>
      </c>
    </row>
    <row r="19284" spans="1:15" x14ac:dyDescent="0.25">
      <c r="A19284" t="s">
        <v>16</v>
      </c>
      <c r="B19284" t="s">
        <v>3221</v>
      </c>
      <c r="C19284">
        <v>3790</v>
      </c>
      <c r="D19284" t="s">
        <v>1614</v>
      </c>
      <c r="E19284" t="s">
        <v>1615</v>
      </c>
      <c r="F19284">
        <v>110.62</v>
      </c>
      <c r="G19284">
        <v>230315</v>
      </c>
      <c r="H19284">
        <v>4600</v>
      </c>
      <c r="I19284" t="s">
        <v>105</v>
      </c>
      <c r="J19284">
        <v>137.16999999999999</v>
      </c>
      <c r="K19284">
        <v>26.55</v>
      </c>
      <c r="L19284">
        <v>17646</v>
      </c>
      <c r="M19284" t="s">
        <v>1616</v>
      </c>
      <c r="N19284" t="str">
        <f>"9289        "</f>
        <v xml:space="preserve">9289        </v>
      </c>
      <c r="O19284">
        <v>230322</v>
      </c>
    </row>
    <row r="19285" spans="1:15" x14ac:dyDescent="0.25">
      <c r="A19285" t="s">
        <v>16</v>
      </c>
      <c r="B19285" t="s">
        <v>3221</v>
      </c>
      <c r="C19285">
        <v>5718</v>
      </c>
      <c r="D19285" t="s">
        <v>1614</v>
      </c>
      <c r="E19285" t="s">
        <v>1615</v>
      </c>
      <c r="F19285">
        <v>260.52</v>
      </c>
      <c r="G19285">
        <v>230426</v>
      </c>
      <c r="H19285">
        <v>4600</v>
      </c>
      <c r="I19285" t="s">
        <v>105</v>
      </c>
      <c r="J19285">
        <v>323.05</v>
      </c>
      <c r="K19285">
        <v>62.53</v>
      </c>
      <c r="L19285">
        <v>17805</v>
      </c>
      <c r="M19285" t="s">
        <v>102</v>
      </c>
      <c r="N19285" t="str">
        <f>"9672        "</f>
        <v xml:space="preserve">9672        </v>
      </c>
      <c r="O19285">
        <v>230502</v>
      </c>
    </row>
    <row r="19286" spans="1:15" x14ac:dyDescent="0.25">
      <c r="A19286" t="s">
        <v>16</v>
      </c>
      <c r="B19286" t="s">
        <v>3221</v>
      </c>
      <c r="C19286">
        <v>10540</v>
      </c>
      <c r="D19286" t="s">
        <v>1614</v>
      </c>
      <c r="E19286" t="s">
        <v>1615</v>
      </c>
      <c r="F19286">
        <v>94.56</v>
      </c>
      <c r="G19286">
        <v>230803</v>
      </c>
      <c r="H19286">
        <v>4600</v>
      </c>
      <c r="I19286" t="s">
        <v>105</v>
      </c>
      <c r="J19286">
        <v>94.56</v>
      </c>
      <c r="K19286">
        <v>0</v>
      </c>
      <c r="L19286">
        <v>17972</v>
      </c>
      <c r="M19286" t="s">
        <v>248</v>
      </c>
      <c r="N19286" t="str">
        <f>"10201       "</f>
        <v xml:space="preserve">10201       </v>
      </c>
      <c r="O19286">
        <v>230818</v>
      </c>
    </row>
    <row r="19287" spans="1:15" x14ac:dyDescent="0.25">
      <c r="A19287" t="s">
        <v>16</v>
      </c>
      <c r="B19287" t="s">
        <v>3221</v>
      </c>
      <c r="C19287">
        <v>14016</v>
      </c>
      <c r="D19287" t="s">
        <v>1614</v>
      </c>
      <c r="E19287" t="s">
        <v>1615</v>
      </c>
      <c r="F19287">
        <v>45.63</v>
      </c>
      <c r="G19287">
        <v>231009</v>
      </c>
      <c r="H19287">
        <v>4600</v>
      </c>
      <c r="I19287" t="s">
        <v>105</v>
      </c>
      <c r="J19287">
        <v>56.58</v>
      </c>
      <c r="K19287">
        <v>10.95</v>
      </c>
      <c r="L19287">
        <v>17646</v>
      </c>
      <c r="M19287" t="s">
        <v>1616</v>
      </c>
      <c r="N19287" t="str">
        <f>"10894       "</f>
        <v xml:space="preserve">10894       </v>
      </c>
      <c r="O19287">
        <v>231017</v>
      </c>
    </row>
    <row r="19288" spans="1:15" x14ac:dyDescent="0.25">
      <c r="A19288" t="s">
        <v>16</v>
      </c>
      <c r="B19288" t="s">
        <v>3221</v>
      </c>
      <c r="C19288">
        <v>16871</v>
      </c>
      <c r="D19288" t="s">
        <v>1614</v>
      </c>
      <c r="E19288" t="s">
        <v>1615</v>
      </c>
      <c r="F19288">
        <v>78.45</v>
      </c>
      <c r="G19288">
        <v>231128</v>
      </c>
      <c r="H19288">
        <v>4600</v>
      </c>
      <c r="I19288" t="s">
        <v>105</v>
      </c>
      <c r="J19288">
        <v>97.28</v>
      </c>
      <c r="K19288">
        <v>18.829999999999998</v>
      </c>
      <c r="L19288">
        <v>17646</v>
      </c>
      <c r="M19288" t="s">
        <v>1616</v>
      </c>
      <c r="N19288" t="str">
        <f>"11492       "</f>
        <v xml:space="preserve">11492       </v>
      </c>
      <c r="O19288">
        <v>231211</v>
      </c>
    </row>
    <row r="19289" spans="1:15" x14ac:dyDescent="0.25">
      <c r="A19289" t="s">
        <v>16</v>
      </c>
      <c r="B19289" t="s">
        <v>3221</v>
      </c>
      <c r="C19289">
        <v>15405</v>
      </c>
      <c r="D19289" t="s">
        <v>3556</v>
      </c>
      <c r="E19289" t="s">
        <v>3557</v>
      </c>
      <c r="F19289">
        <v>77.42</v>
      </c>
      <c r="G19289">
        <v>231108</v>
      </c>
      <c r="H19289">
        <v>4600</v>
      </c>
      <c r="I19289" t="s">
        <v>105</v>
      </c>
      <c r="J19289">
        <v>96</v>
      </c>
      <c r="K19289">
        <v>18.579999999999998</v>
      </c>
      <c r="L19289">
        <v>17531</v>
      </c>
      <c r="M19289" t="s">
        <v>136</v>
      </c>
      <c r="N19289" t="str">
        <f>"503335      "</f>
        <v xml:space="preserve">503335      </v>
      </c>
      <c r="O19289">
        <v>231113</v>
      </c>
    </row>
    <row r="19290" spans="1:15" x14ac:dyDescent="0.25">
      <c r="A19290" t="s">
        <v>16</v>
      </c>
      <c r="B19290" t="s">
        <v>3221</v>
      </c>
      <c r="C19290">
        <v>1252</v>
      </c>
      <c r="D19290" t="s">
        <v>3351</v>
      </c>
      <c r="E19290" t="s">
        <v>3352</v>
      </c>
      <c r="F19290">
        <v>804.72</v>
      </c>
      <c r="G19290">
        <v>230203</v>
      </c>
      <c r="H19290">
        <v>4346</v>
      </c>
      <c r="I19290" t="s">
        <v>197</v>
      </c>
      <c r="J19290">
        <v>804.72</v>
      </c>
      <c r="K19290">
        <v>0</v>
      </c>
      <c r="L19290">
        <v>13802</v>
      </c>
      <c r="M19290" t="s">
        <v>200</v>
      </c>
      <c r="N19290" t="str">
        <f>"201717859   "</f>
        <v xml:space="preserve">201717859   </v>
      </c>
      <c r="O19290">
        <v>230207</v>
      </c>
    </row>
    <row r="19291" spans="1:15" x14ac:dyDescent="0.25">
      <c r="A19291" t="s">
        <v>16</v>
      </c>
      <c r="B19291" t="s">
        <v>3221</v>
      </c>
      <c r="C19291">
        <v>2790</v>
      </c>
      <c r="D19291" t="s">
        <v>3351</v>
      </c>
      <c r="E19291" t="s">
        <v>3352</v>
      </c>
      <c r="F19291">
        <v>804.72</v>
      </c>
      <c r="G19291">
        <v>230306</v>
      </c>
      <c r="H19291">
        <v>4346</v>
      </c>
      <c r="I19291" t="s">
        <v>197</v>
      </c>
      <c r="J19291">
        <v>804.72</v>
      </c>
      <c r="K19291">
        <v>0</v>
      </c>
      <c r="L19291">
        <v>13802</v>
      </c>
      <c r="M19291" t="s">
        <v>200</v>
      </c>
      <c r="N19291" t="str">
        <f>"201717865   "</f>
        <v xml:space="preserve">201717865   </v>
      </c>
      <c r="O19291">
        <v>230307</v>
      </c>
    </row>
    <row r="19292" spans="1:15" x14ac:dyDescent="0.25">
      <c r="A19292" t="s">
        <v>16</v>
      </c>
      <c r="B19292" t="s">
        <v>3221</v>
      </c>
      <c r="C19292">
        <v>4224</v>
      </c>
      <c r="D19292" t="s">
        <v>3351</v>
      </c>
      <c r="E19292" t="s">
        <v>3352</v>
      </c>
      <c r="F19292">
        <v>1264.56</v>
      </c>
      <c r="G19292">
        <v>230331</v>
      </c>
      <c r="H19292">
        <v>4346</v>
      </c>
      <c r="I19292" t="s">
        <v>197</v>
      </c>
      <c r="J19292">
        <v>1264.56</v>
      </c>
      <c r="K19292">
        <v>0</v>
      </c>
      <c r="L19292">
        <v>13802</v>
      </c>
      <c r="M19292" t="s">
        <v>200</v>
      </c>
      <c r="N19292" t="str">
        <f>"201717871   "</f>
        <v xml:space="preserve">201717871   </v>
      </c>
      <c r="O19292">
        <v>230403</v>
      </c>
    </row>
    <row r="19293" spans="1:15" x14ac:dyDescent="0.25">
      <c r="A19293" t="s">
        <v>16</v>
      </c>
      <c r="B19293" t="s">
        <v>3221</v>
      </c>
      <c r="C19293">
        <v>4883</v>
      </c>
      <c r="D19293" t="s">
        <v>3351</v>
      </c>
      <c r="E19293" t="s">
        <v>3352</v>
      </c>
      <c r="F19293">
        <v>344.88</v>
      </c>
      <c r="G19293">
        <v>230413</v>
      </c>
      <c r="H19293">
        <v>4346</v>
      </c>
      <c r="I19293" t="s">
        <v>197</v>
      </c>
      <c r="J19293">
        <v>344.88</v>
      </c>
      <c r="K19293">
        <v>0</v>
      </c>
      <c r="L19293">
        <v>13802</v>
      </c>
      <c r="M19293" t="s">
        <v>200</v>
      </c>
      <c r="N19293" t="str">
        <f>"201717875   "</f>
        <v xml:space="preserve">201717875   </v>
      </c>
      <c r="O19293">
        <v>230413</v>
      </c>
    </row>
    <row r="19294" spans="1:15" x14ac:dyDescent="0.25">
      <c r="A19294" t="s">
        <v>16</v>
      </c>
      <c r="B19294" t="s">
        <v>3221</v>
      </c>
      <c r="C19294">
        <v>16794</v>
      </c>
      <c r="D19294" t="s">
        <v>3351</v>
      </c>
      <c r="E19294" t="s">
        <v>3352</v>
      </c>
      <c r="F19294">
        <v>48.39</v>
      </c>
      <c r="G19294">
        <v>231201</v>
      </c>
      <c r="H19294">
        <v>4590</v>
      </c>
      <c r="I19294" t="s">
        <v>203</v>
      </c>
      <c r="J19294">
        <v>60</v>
      </c>
      <c r="K19294">
        <v>11.61</v>
      </c>
      <c r="L19294">
        <v>56522</v>
      </c>
      <c r="M19294" t="s">
        <v>43</v>
      </c>
      <c r="N19294" t="str">
        <f>"201718059   "</f>
        <v xml:space="preserve">201718059   </v>
      </c>
      <c r="O19294">
        <v>231211</v>
      </c>
    </row>
    <row r="19295" spans="1:15" x14ac:dyDescent="0.25">
      <c r="A19295" t="s">
        <v>16</v>
      </c>
      <c r="B19295" t="s">
        <v>3221</v>
      </c>
      <c r="C19295">
        <v>12851</v>
      </c>
      <c r="D19295" t="s">
        <v>3351</v>
      </c>
      <c r="E19295" t="s">
        <v>3352</v>
      </c>
      <c r="F19295">
        <v>120.97</v>
      </c>
      <c r="G19295">
        <v>230925</v>
      </c>
      <c r="H19295">
        <v>4500</v>
      </c>
      <c r="I19295" t="s">
        <v>212</v>
      </c>
      <c r="J19295">
        <v>150</v>
      </c>
      <c r="K19295">
        <v>29.03</v>
      </c>
      <c r="L19295">
        <v>13801</v>
      </c>
      <c r="M19295" t="s">
        <v>162</v>
      </c>
      <c r="N19295" t="str">
        <f>"201718027   "</f>
        <v xml:space="preserve">201718027   </v>
      </c>
      <c r="O19295">
        <v>230928</v>
      </c>
    </row>
    <row r="19296" spans="1:15" x14ac:dyDescent="0.25">
      <c r="A19296" t="s">
        <v>16</v>
      </c>
      <c r="B19296" t="s">
        <v>3221</v>
      </c>
      <c r="C19296">
        <v>11377</v>
      </c>
      <c r="D19296" t="s">
        <v>2483</v>
      </c>
      <c r="E19296" t="s">
        <v>2484</v>
      </c>
      <c r="F19296">
        <v>13.55</v>
      </c>
      <c r="G19296">
        <v>230830</v>
      </c>
      <c r="H19296">
        <v>4420</v>
      </c>
      <c r="I19296" t="s">
        <v>132</v>
      </c>
      <c r="J19296">
        <v>14.91</v>
      </c>
      <c r="K19296">
        <v>1.36</v>
      </c>
      <c r="L19296">
        <v>46555</v>
      </c>
      <c r="M19296" t="s">
        <v>597</v>
      </c>
      <c r="N19296" t="str">
        <f>"1770        "</f>
        <v xml:space="preserve">1770        </v>
      </c>
      <c r="O19296">
        <v>230905</v>
      </c>
    </row>
    <row r="19297" spans="1:15" x14ac:dyDescent="0.25">
      <c r="A19297" t="s">
        <v>16</v>
      </c>
      <c r="B19297" t="s">
        <v>3221</v>
      </c>
      <c r="C19297">
        <v>646</v>
      </c>
      <c r="D19297" t="s">
        <v>663</v>
      </c>
      <c r="E19297" t="s">
        <v>664</v>
      </c>
      <c r="F19297">
        <v>408</v>
      </c>
      <c r="G19297">
        <v>230124</v>
      </c>
      <c r="H19297">
        <v>4420</v>
      </c>
      <c r="I19297" t="s">
        <v>132</v>
      </c>
      <c r="J19297">
        <v>408</v>
      </c>
      <c r="K19297">
        <v>0</v>
      </c>
      <c r="L19297">
        <v>11908</v>
      </c>
      <c r="M19297" t="s">
        <v>598</v>
      </c>
      <c r="N19297" t="str">
        <f>"664         "</f>
        <v xml:space="preserve">664         </v>
      </c>
      <c r="O19297">
        <v>230126</v>
      </c>
    </row>
    <row r="19298" spans="1:15" x14ac:dyDescent="0.25">
      <c r="A19298" t="s">
        <v>16</v>
      </c>
      <c r="B19298" t="s">
        <v>3221</v>
      </c>
      <c r="C19298">
        <v>3598</v>
      </c>
      <c r="D19298" t="s">
        <v>663</v>
      </c>
      <c r="E19298" t="s">
        <v>664</v>
      </c>
      <c r="F19298">
        <v>540</v>
      </c>
      <c r="G19298">
        <v>230315</v>
      </c>
      <c r="H19298">
        <v>4420</v>
      </c>
      <c r="I19298" t="s">
        <v>132</v>
      </c>
      <c r="J19298">
        <v>540</v>
      </c>
      <c r="K19298">
        <v>0</v>
      </c>
      <c r="L19298">
        <v>11908</v>
      </c>
      <c r="M19298" t="s">
        <v>598</v>
      </c>
      <c r="N19298" t="str">
        <f>"720         "</f>
        <v xml:space="preserve">720         </v>
      </c>
      <c r="O19298">
        <v>230317</v>
      </c>
    </row>
    <row r="19299" spans="1:15" x14ac:dyDescent="0.25">
      <c r="A19299" t="s">
        <v>16</v>
      </c>
      <c r="B19299" t="s">
        <v>3221</v>
      </c>
      <c r="C19299">
        <v>7602</v>
      </c>
      <c r="D19299" t="s">
        <v>663</v>
      </c>
      <c r="E19299" t="s">
        <v>664</v>
      </c>
      <c r="F19299">
        <v>1370.91</v>
      </c>
      <c r="G19299">
        <v>230521</v>
      </c>
      <c r="H19299">
        <v>4420</v>
      </c>
      <c r="I19299" t="s">
        <v>132</v>
      </c>
      <c r="J19299">
        <v>1508</v>
      </c>
      <c r="K19299">
        <v>137.09</v>
      </c>
      <c r="L19299">
        <v>13601</v>
      </c>
      <c r="M19299" t="s">
        <v>147</v>
      </c>
      <c r="N19299" t="str">
        <f>"778         "</f>
        <v xml:space="preserve">778         </v>
      </c>
      <c r="O19299">
        <v>230601</v>
      </c>
    </row>
    <row r="19300" spans="1:15" x14ac:dyDescent="0.25">
      <c r="A19300" t="s">
        <v>16</v>
      </c>
      <c r="B19300" t="s">
        <v>3221</v>
      </c>
      <c r="C19300">
        <v>3598</v>
      </c>
      <c r="D19300" t="s">
        <v>663</v>
      </c>
      <c r="E19300" t="s">
        <v>664</v>
      </c>
      <c r="F19300">
        <v>7.27</v>
      </c>
      <c r="G19300">
        <v>230315</v>
      </c>
      <c r="H19300">
        <v>4470</v>
      </c>
      <c r="I19300" t="s">
        <v>83</v>
      </c>
      <c r="J19300">
        <v>8</v>
      </c>
      <c r="K19300">
        <v>0.73</v>
      </c>
      <c r="L19300">
        <v>11908</v>
      </c>
      <c r="M19300" t="s">
        <v>598</v>
      </c>
      <c r="N19300" t="str">
        <f>"720         "</f>
        <v xml:space="preserve">720         </v>
      </c>
      <c r="O19300">
        <v>230317</v>
      </c>
    </row>
    <row r="19301" spans="1:15" x14ac:dyDescent="0.25">
      <c r="A19301" t="s">
        <v>16</v>
      </c>
      <c r="B19301" t="s">
        <v>3221</v>
      </c>
      <c r="C19301">
        <v>11221</v>
      </c>
      <c r="D19301" t="s">
        <v>2461</v>
      </c>
      <c r="E19301" t="s">
        <v>2462</v>
      </c>
      <c r="F19301">
        <v>170</v>
      </c>
      <c r="G19301">
        <v>230830</v>
      </c>
      <c r="H19301">
        <v>4441</v>
      </c>
      <c r="I19301" t="s">
        <v>109</v>
      </c>
      <c r="J19301">
        <v>210.8</v>
      </c>
      <c r="K19301">
        <v>40.799999999999997</v>
      </c>
      <c r="L19301">
        <v>11901</v>
      </c>
      <c r="M19301" t="s">
        <v>36</v>
      </c>
      <c r="N19301" t="str">
        <f>"39159285    "</f>
        <v xml:space="preserve">39159285    </v>
      </c>
      <c r="O19301">
        <v>230901</v>
      </c>
    </row>
    <row r="19302" spans="1:15" x14ac:dyDescent="0.25">
      <c r="A19302" t="s">
        <v>16</v>
      </c>
      <c r="B19302" t="s">
        <v>3221</v>
      </c>
      <c r="C19302">
        <v>18609</v>
      </c>
      <c r="D19302" t="s">
        <v>107</v>
      </c>
      <c r="E19302" t="s">
        <v>108</v>
      </c>
      <c r="F19302">
        <v>3000</v>
      </c>
      <c r="G19302">
        <v>231227</v>
      </c>
      <c r="H19302">
        <v>4346</v>
      </c>
      <c r="I19302" t="s">
        <v>197</v>
      </c>
      <c r="J19302">
        <v>3720</v>
      </c>
      <c r="K19302">
        <v>720</v>
      </c>
      <c r="L19302">
        <v>11101</v>
      </c>
      <c r="M19302" t="s">
        <v>110</v>
      </c>
      <c r="N19302" t="str">
        <f>"2043        "</f>
        <v xml:space="preserve">2043        </v>
      </c>
      <c r="O19302">
        <v>240104</v>
      </c>
    </row>
    <row r="19303" spans="1:15" x14ac:dyDescent="0.25">
      <c r="A19303" t="s">
        <v>16</v>
      </c>
      <c r="B19303" t="s">
        <v>3221</v>
      </c>
      <c r="C19303">
        <v>146</v>
      </c>
      <c r="D19303" t="s">
        <v>107</v>
      </c>
      <c r="E19303" t="s">
        <v>108</v>
      </c>
      <c r="F19303">
        <v>2371.5</v>
      </c>
      <c r="G19303">
        <v>230101</v>
      </c>
      <c r="H19303">
        <v>4343</v>
      </c>
      <c r="I19303" t="s">
        <v>91</v>
      </c>
      <c r="J19303">
        <v>2940.66</v>
      </c>
      <c r="K19303">
        <v>569.16</v>
      </c>
      <c r="L19303">
        <v>11801</v>
      </c>
      <c r="M19303" t="s">
        <v>92</v>
      </c>
      <c r="N19303" t="str">
        <f>"21290       "</f>
        <v xml:space="preserve">21290       </v>
      </c>
      <c r="O19303">
        <v>230112</v>
      </c>
    </row>
    <row r="19304" spans="1:15" x14ac:dyDescent="0.25">
      <c r="A19304" t="s">
        <v>16</v>
      </c>
      <c r="B19304" t="s">
        <v>3221</v>
      </c>
      <c r="C19304">
        <v>895</v>
      </c>
      <c r="D19304" t="s">
        <v>107</v>
      </c>
      <c r="E19304" t="s">
        <v>108</v>
      </c>
      <c r="F19304">
        <v>615</v>
      </c>
      <c r="G19304">
        <v>230127</v>
      </c>
      <c r="H19304">
        <v>4343</v>
      </c>
      <c r="I19304" t="s">
        <v>91</v>
      </c>
      <c r="J19304">
        <v>762.6</v>
      </c>
      <c r="K19304">
        <v>147.6</v>
      </c>
      <c r="L19304">
        <v>11801</v>
      </c>
      <c r="M19304" t="s">
        <v>92</v>
      </c>
      <c r="N19304" t="str">
        <f>"21798       "</f>
        <v xml:space="preserve">21798       </v>
      </c>
      <c r="O19304">
        <v>230201</v>
      </c>
    </row>
    <row r="19305" spans="1:15" x14ac:dyDescent="0.25">
      <c r="A19305" t="s">
        <v>16</v>
      </c>
      <c r="B19305" t="s">
        <v>3221</v>
      </c>
      <c r="C19305">
        <v>9176</v>
      </c>
      <c r="D19305" t="s">
        <v>107</v>
      </c>
      <c r="E19305" t="s">
        <v>108</v>
      </c>
      <c r="F19305">
        <v>2604</v>
      </c>
      <c r="G19305">
        <v>230701</v>
      </c>
      <c r="H19305">
        <v>4343</v>
      </c>
      <c r="I19305" t="s">
        <v>91</v>
      </c>
      <c r="J19305">
        <v>3228.96</v>
      </c>
      <c r="K19305">
        <v>624.96</v>
      </c>
      <c r="L19305">
        <v>11801</v>
      </c>
      <c r="M19305" t="s">
        <v>92</v>
      </c>
      <c r="N19305" t="str">
        <f>"347         "</f>
        <v xml:space="preserve">347         </v>
      </c>
      <c r="O19305">
        <v>230629</v>
      </c>
    </row>
    <row r="19306" spans="1:15" x14ac:dyDescent="0.25">
      <c r="A19306" t="s">
        <v>16</v>
      </c>
      <c r="B19306" t="s">
        <v>3221</v>
      </c>
      <c r="C19306">
        <v>10046</v>
      </c>
      <c r="D19306" t="s">
        <v>107</v>
      </c>
      <c r="E19306" t="s">
        <v>108</v>
      </c>
      <c r="F19306">
        <v>300</v>
      </c>
      <c r="G19306">
        <v>230801</v>
      </c>
      <c r="H19306">
        <v>4343</v>
      </c>
      <c r="I19306" t="s">
        <v>91</v>
      </c>
      <c r="J19306">
        <v>372</v>
      </c>
      <c r="K19306">
        <v>72</v>
      </c>
      <c r="L19306">
        <v>11101</v>
      </c>
      <c r="M19306" t="s">
        <v>110</v>
      </c>
      <c r="N19306" t="str">
        <f>"808         "</f>
        <v xml:space="preserve">808         </v>
      </c>
      <c r="O19306">
        <v>230807</v>
      </c>
    </row>
    <row r="19307" spans="1:15" x14ac:dyDescent="0.25">
      <c r="A19307" t="s">
        <v>16</v>
      </c>
      <c r="B19307" t="s">
        <v>3221</v>
      </c>
      <c r="C19307">
        <v>96</v>
      </c>
      <c r="D19307" t="s">
        <v>107</v>
      </c>
      <c r="E19307" t="s">
        <v>108</v>
      </c>
      <c r="F19307">
        <v>50</v>
      </c>
      <c r="G19307">
        <v>230101</v>
      </c>
      <c r="H19307">
        <v>4441</v>
      </c>
      <c r="I19307" t="s">
        <v>109</v>
      </c>
      <c r="J19307">
        <v>62</v>
      </c>
      <c r="K19307">
        <v>12</v>
      </c>
      <c r="L19307">
        <v>11101</v>
      </c>
      <c r="M19307" t="s">
        <v>110</v>
      </c>
      <c r="N19307" t="str">
        <f>"21750       "</f>
        <v xml:space="preserve">21750       </v>
      </c>
      <c r="O19307">
        <v>230110</v>
      </c>
    </row>
    <row r="19308" spans="1:15" x14ac:dyDescent="0.25">
      <c r="A19308" t="s">
        <v>16</v>
      </c>
      <c r="B19308" t="s">
        <v>3221</v>
      </c>
      <c r="C19308">
        <v>1169</v>
      </c>
      <c r="D19308" t="s">
        <v>107</v>
      </c>
      <c r="E19308" t="s">
        <v>108</v>
      </c>
      <c r="F19308">
        <v>50</v>
      </c>
      <c r="G19308">
        <v>230201</v>
      </c>
      <c r="H19308">
        <v>4441</v>
      </c>
      <c r="I19308" t="s">
        <v>109</v>
      </c>
      <c r="J19308">
        <v>62</v>
      </c>
      <c r="K19308">
        <v>12</v>
      </c>
      <c r="L19308">
        <v>11101</v>
      </c>
      <c r="M19308" t="s">
        <v>110</v>
      </c>
      <c r="N19308" t="str">
        <f>"21850       "</f>
        <v xml:space="preserve">21850       </v>
      </c>
      <c r="O19308">
        <v>230206</v>
      </c>
    </row>
    <row r="19309" spans="1:15" x14ac:dyDescent="0.25">
      <c r="A19309" t="s">
        <v>16</v>
      </c>
      <c r="B19309" t="s">
        <v>3221</v>
      </c>
      <c r="C19309">
        <v>2624</v>
      </c>
      <c r="D19309" t="s">
        <v>107</v>
      </c>
      <c r="E19309" t="s">
        <v>108</v>
      </c>
      <c r="F19309">
        <v>50</v>
      </c>
      <c r="G19309">
        <v>230301</v>
      </c>
      <c r="H19309">
        <v>4441</v>
      </c>
      <c r="I19309" t="s">
        <v>109</v>
      </c>
      <c r="J19309">
        <v>62</v>
      </c>
      <c r="K19309">
        <v>12</v>
      </c>
      <c r="L19309">
        <v>11101</v>
      </c>
      <c r="M19309" t="s">
        <v>110</v>
      </c>
      <c r="N19309" t="str">
        <f>"22029       "</f>
        <v xml:space="preserve">22029       </v>
      </c>
      <c r="O19309">
        <v>230303</v>
      </c>
    </row>
    <row r="19310" spans="1:15" x14ac:dyDescent="0.25">
      <c r="A19310" t="s">
        <v>16</v>
      </c>
      <c r="B19310" t="s">
        <v>3221</v>
      </c>
      <c r="C19310">
        <v>4377</v>
      </c>
      <c r="D19310" t="s">
        <v>107</v>
      </c>
      <c r="E19310" t="s">
        <v>108</v>
      </c>
      <c r="F19310">
        <v>50</v>
      </c>
      <c r="G19310">
        <v>230401</v>
      </c>
      <c r="H19310">
        <v>4441</v>
      </c>
      <c r="I19310" t="s">
        <v>109</v>
      </c>
      <c r="J19310">
        <v>62</v>
      </c>
      <c r="K19310">
        <v>12</v>
      </c>
      <c r="L19310">
        <v>11101</v>
      </c>
      <c r="M19310" t="s">
        <v>110</v>
      </c>
      <c r="N19310" t="str">
        <f>"22138       "</f>
        <v xml:space="preserve">22138       </v>
      </c>
      <c r="O19310">
        <v>230405</v>
      </c>
    </row>
    <row r="19311" spans="1:15" x14ac:dyDescent="0.25">
      <c r="A19311" t="s">
        <v>16</v>
      </c>
      <c r="B19311" t="s">
        <v>3221</v>
      </c>
      <c r="C19311">
        <v>5943</v>
      </c>
      <c r="D19311" t="s">
        <v>107</v>
      </c>
      <c r="E19311" t="s">
        <v>108</v>
      </c>
      <c r="F19311">
        <v>50</v>
      </c>
      <c r="G19311">
        <v>230501</v>
      </c>
      <c r="H19311">
        <v>4441</v>
      </c>
      <c r="I19311" t="s">
        <v>109</v>
      </c>
      <c r="J19311">
        <v>62</v>
      </c>
      <c r="K19311">
        <v>12</v>
      </c>
      <c r="L19311">
        <v>11101</v>
      </c>
      <c r="M19311" t="s">
        <v>110</v>
      </c>
      <c r="N19311" t="str">
        <f>"22342       "</f>
        <v xml:space="preserve">22342       </v>
      </c>
      <c r="O19311">
        <v>230504</v>
      </c>
    </row>
    <row r="19312" spans="1:15" x14ac:dyDescent="0.25">
      <c r="A19312" t="s">
        <v>16</v>
      </c>
      <c r="B19312" t="s">
        <v>3221</v>
      </c>
      <c r="C19312">
        <v>8310</v>
      </c>
      <c r="D19312" t="s">
        <v>107</v>
      </c>
      <c r="E19312" t="s">
        <v>108</v>
      </c>
      <c r="F19312">
        <v>50</v>
      </c>
      <c r="G19312">
        <v>230601</v>
      </c>
      <c r="H19312">
        <v>4441</v>
      </c>
      <c r="I19312" t="s">
        <v>109</v>
      </c>
      <c r="J19312">
        <v>62</v>
      </c>
      <c r="K19312">
        <v>12</v>
      </c>
      <c r="L19312">
        <v>11101</v>
      </c>
      <c r="M19312" t="s">
        <v>110</v>
      </c>
      <c r="N19312" t="str">
        <f>"80          "</f>
        <v xml:space="preserve">80          </v>
      </c>
      <c r="O19312">
        <v>230608</v>
      </c>
    </row>
    <row r="19313" spans="1:15" x14ac:dyDescent="0.25">
      <c r="A19313" t="s">
        <v>16</v>
      </c>
      <c r="B19313" t="s">
        <v>3221</v>
      </c>
      <c r="C19313">
        <v>9290</v>
      </c>
      <c r="D19313" t="s">
        <v>107</v>
      </c>
      <c r="E19313" t="s">
        <v>108</v>
      </c>
      <c r="F19313">
        <v>50</v>
      </c>
      <c r="G19313">
        <v>230701</v>
      </c>
      <c r="H19313">
        <v>4441</v>
      </c>
      <c r="I19313" t="s">
        <v>109</v>
      </c>
      <c r="J19313">
        <v>62</v>
      </c>
      <c r="K19313">
        <v>12</v>
      </c>
      <c r="L19313">
        <v>11101</v>
      </c>
      <c r="M19313" t="s">
        <v>110</v>
      </c>
      <c r="N19313" t="str">
        <f>"712         "</f>
        <v xml:space="preserve">712         </v>
      </c>
      <c r="O19313">
        <v>230704</v>
      </c>
    </row>
    <row r="19314" spans="1:15" x14ac:dyDescent="0.25">
      <c r="A19314" t="s">
        <v>16</v>
      </c>
      <c r="B19314" t="s">
        <v>3221</v>
      </c>
      <c r="C19314">
        <v>10046</v>
      </c>
      <c r="D19314" t="s">
        <v>107</v>
      </c>
      <c r="E19314" t="s">
        <v>108</v>
      </c>
      <c r="F19314">
        <v>50</v>
      </c>
      <c r="G19314">
        <v>230801</v>
      </c>
      <c r="H19314">
        <v>4441</v>
      </c>
      <c r="I19314" t="s">
        <v>109</v>
      </c>
      <c r="J19314">
        <v>62</v>
      </c>
      <c r="K19314">
        <v>12</v>
      </c>
      <c r="L19314">
        <v>11101</v>
      </c>
      <c r="M19314" t="s">
        <v>110</v>
      </c>
      <c r="N19314" t="str">
        <f>"808         "</f>
        <v xml:space="preserve">808         </v>
      </c>
      <c r="O19314">
        <v>230807</v>
      </c>
    </row>
    <row r="19315" spans="1:15" x14ac:dyDescent="0.25">
      <c r="A19315" t="s">
        <v>16</v>
      </c>
      <c r="B19315" t="s">
        <v>3221</v>
      </c>
      <c r="C19315">
        <v>11253</v>
      </c>
      <c r="D19315" t="s">
        <v>107</v>
      </c>
      <c r="E19315" t="s">
        <v>108</v>
      </c>
      <c r="F19315">
        <v>50</v>
      </c>
      <c r="G19315">
        <v>230901</v>
      </c>
      <c r="H19315">
        <v>4441</v>
      </c>
      <c r="I19315" t="s">
        <v>109</v>
      </c>
      <c r="J19315">
        <v>62</v>
      </c>
      <c r="K19315">
        <v>12</v>
      </c>
      <c r="L19315">
        <v>11101</v>
      </c>
      <c r="M19315" t="s">
        <v>110</v>
      </c>
      <c r="N19315" t="str">
        <f>"973         "</f>
        <v xml:space="preserve">973         </v>
      </c>
      <c r="O19315">
        <v>230904</v>
      </c>
    </row>
    <row r="19316" spans="1:15" x14ac:dyDescent="0.25">
      <c r="A19316" t="s">
        <v>16</v>
      </c>
      <c r="B19316" t="s">
        <v>3221</v>
      </c>
      <c r="C19316">
        <v>13491</v>
      </c>
      <c r="D19316" t="s">
        <v>107</v>
      </c>
      <c r="E19316" t="s">
        <v>108</v>
      </c>
      <c r="F19316">
        <v>50</v>
      </c>
      <c r="G19316">
        <v>231001</v>
      </c>
      <c r="H19316">
        <v>4441</v>
      </c>
      <c r="I19316" t="s">
        <v>109</v>
      </c>
      <c r="J19316">
        <v>62</v>
      </c>
      <c r="K19316">
        <v>12</v>
      </c>
      <c r="L19316">
        <v>11101</v>
      </c>
      <c r="M19316" t="s">
        <v>110</v>
      </c>
      <c r="N19316" t="str">
        <f>"1171        "</f>
        <v xml:space="preserve">1171        </v>
      </c>
      <c r="O19316">
        <v>231010</v>
      </c>
    </row>
    <row r="19317" spans="1:15" x14ac:dyDescent="0.25">
      <c r="A19317" t="s">
        <v>16</v>
      </c>
      <c r="B19317" t="s">
        <v>3221</v>
      </c>
      <c r="C19317">
        <v>14956</v>
      </c>
      <c r="D19317" t="s">
        <v>107</v>
      </c>
      <c r="E19317" t="s">
        <v>108</v>
      </c>
      <c r="F19317">
        <v>50</v>
      </c>
      <c r="G19317">
        <v>231101</v>
      </c>
      <c r="H19317">
        <v>4441</v>
      </c>
      <c r="I19317" t="s">
        <v>109</v>
      </c>
      <c r="J19317">
        <v>62</v>
      </c>
      <c r="K19317">
        <v>12</v>
      </c>
      <c r="L19317">
        <v>11101</v>
      </c>
      <c r="M19317" t="s">
        <v>110</v>
      </c>
      <c r="N19317" t="str">
        <f>"1318        "</f>
        <v xml:space="preserve">1318        </v>
      </c>
      <c r="O19317">
        <v>231107</v>
      </c>
    </row>
    <row r="19318" spans="1:15" x14ac:dyDescent="0.25">
      <c r="A19318" t="s">
        <v>16</v>
      </c>
      <c r="B19318" t="s">
        <v>3221</v>
      </c>
      <c r="C19318">
        <v>16441</v>
      </c>
      <c r="D19318" t="s">
        <v>107</v>
      </c>
      <c r="E19318" t="s">
        <v>108</v>
      </c>
      <c r="F19318">
        <v>50</v>
      </c>
      <c r="G19318">
        <v>231201</v>
      </c>
      <c r="H19318">
        <v>4441</v>
      </c>
      <c r="I19318" t="s">
        <v>109</v>
      </c>
      <c r="J19318">
        <v>62</v>
      </c>
      <c r="K19318">
        <v>12</v>
      </c>
      <c r="L19318">
        <v>11101</v>
      </c>
      <c r="M19318" t="s">
        <v>110</v>
      </c>
      <c r="N19318" t="str">
        <f>"1466        "</f>
        <v xml:space="preserve">1466        </v>
      </c>
      <c r="O19318">
        <v>231129</v>
      </c>
    </row>
    <row r="19319" spans="1:15" x14ac:dyDescent="0.25">
      <c r="A19319" t="s">
        <v>16</v>
      </c>
      <c r="B19319" t="s">
        <v>3221</v>
      </c>
      <c r="C19319">
        <v>6856</v>
      </c>
      <c r="D19319" t="s">
        <v>2031</v>
      </c>
      <c r="E19319" t="s">
        <v>2032</v>
      </c>
      <c r="F19319">
        <v>60</v>
      </c>
      <c r="G19319">
        <v>230507</v>
      </c>
      <c r="H19319">
        <v>4420</v>
      </c>
      <c r="I19319" t="s">
        <v>132</v>
      </c>
      <c r="J19319">
        <v>74.400000000000006</v>
      </c>
      <c r="K19319">
        <v>14.4</v>
      </c>
      <c r="L19319">
        <v>11902</v>
      </c>
      <c r="M19319" t="s">
        <v>1443</v>
      </c>
      <c r="N19319" t="str">
        <f>"373352      "</f>
        <v xml:space="preserve">373352      </v>
      </c>
      <c r="O19319">
        <v>230523</v>
      </c>
    </row>
    <row r="19320" spans="1:15" x14ac:dyDescent="0.25">
      <c r="A19320" t="s">
        <v>16</v>
      </c>
      <c r="B19320" t="s">
        <v>3221</v>
      </c>
      <c r="C19320">
        <v>6856</v>
      </c>
      <c r="D19320" t="s">
        <v>2031</v>
      </c>
      <c r="E19320" t="s">
        <v>2032</v>
      </c>
      <c r="F19320">
        <v>1015.6</v>
      </c>
      <c r="G19320">
        <v>230507</v>
      </c>
      <c r="H19320">
        <v>4420</v>
      </c>
      <c r="I19320" t="s">
        <v>132</v>
      </c>
      <c r="J19320">
        <v>1015.6</v>
      </c>
      <c r="K19320">
        <v>0</v>
      </c>
      <c r="L19320">
        <v>11902</v>
      </c>
      <c r="M19320" t="s">
        <v>1443</v>
      </c>
      <c r="N19320" t="str">
        <f>"373352      "</f>
        <v xml:space="preserve">373352      </v>
      </c>
      <c r="O19320">
        <v>230523</v>
      </c>
    </row>
    <row r="19321" spans="1:15" x14ac:dyDescent="0.25">
      <c r="A19321" t="s">
        <v>16</v>
      </c>
      <c r="B19321" t="s">
        <v>3221</v>
      </c>
      <c r="C19321">
        <v>18368</v>
      </c>
      <c r="D19321" t="s">
        <v>3137</v>
      </c>
      <c r="E19321" t="s">
        <v>3138</v>
      </c>
      <c r="F19321">
        <v>600</v>
      </c>
      <c r="G19321">
        <v>231221</v>
      </c>
      <c r="H19321">
        <v>4410</v>
      </c>
      <c r="I19321" t="s">
        <v>517</v>
      </c>
      <c r="J19321">
        <v>600</v>
      </c>
      <c r="K19321">
        <v>0</v>
      </c>
      <c r="L19321">
        <v>17538</v>
      </c>
      <c r="M19321" t="s">
        <v>24</v>
      </c>
      <c r="N19321" t="str">
        <f>"39-2023     "</f>
        <v xml:space="preserve">39-2023     </v>
      </c>
      <c r="O19321">
        <v>240103</v>
      </c>
    </row>
    <row r="19322" spans="1:15" x14ac:dyDescent="0.25">
      <c r="A19322" t="s">
        <v>16</v>
      </c>
      <c r="B19322" t="s">
        <v>3221</v>
      </c>
      <c r="C19322">
        <v>4309</v>
      </c>
      <c r="D19322" t="s">
        <v>1689</v>
      </c>
      <c r="E19322" t="s">
        <v>1690</v>
      </c>
      <c r="F19322">
        <v>400</v>
      </c>
      <c r="G19322">
        <v>230331</v>
      </c>
      <c r="H19322">
        <v>4400</v>
      </c>
      <c r="I19322" t="s">
        <v>348</v>
      </c>
      <c r="J19322">
        <v>496</v>
      </c>
      <c r="K19322">
        <v>96</v>
      </c>
      <c r="L19322">
        <v>14951</v>
      </c>
      <c r="M19322" t="s">
        <v>57</v>
      </c>
      <c r="N19322" t="str">
        <f>"2631        "</f>
        <v xml:space="preserve">2631        </v>
      </c>
      <c r="O19322">
        <v>230404</v>
      </c>
    </row>
    <row r="19323" spans="1:15" x14ac:dyDescent="0.25">
      <c r="A19323" t="s">
        <v>16</v>
      </c>
      <c r="B19323" t="s">
        <v>3221</v>
      </c>
      <c r="C19323">
        <v>14250</v>
      </c>
      <c r="D19323" t="s">
        <v>1689</v>
      </c>
      <c r="E19323" t="s">
        <v>1690</v>
      </c>
      <c r="F19323">
        <v>936.23</v>
      </c>
      <c r="G19323">
        <v>231013</v>
      </c>
      <c r="H19323">
        <v>4400</v>
      </c>
      <c r="I19323" t="s">
        <v>348</v>
      </c>
      <c r="J19323">
        <v>1160.92</v>
      </c>
      <c r="K19323">
        <v>224.69</v>
      </c>
      <c r="L19323">
        <v>14432</v>
      </c>
      <c r="M19323" t="s">
        <v>862</v>
      </c>
      <c r="N19323" t="str">
        <f>"2853        "</f>
        <v xml:space="preserve">2853        </v>
      </c>
      <c r="O19323">
        <v>231025</v>
      </c>
    </row>
    <row r="19324" spans="1:15" x14ac:dyDescent="0.25">
      <c r="A19324" t="s">
        <v>16</v>
      </c>
      <c r="B19324" t="s">
        <v>3221</v>
      </c>
      <c r="C19324">
        <v>14250</v>
      </c>
      <c r="D19324" t="s">
        <v>1689</v>
      </c>
      <c r="E19324" t="s">
        <v>1690</v>
      </c>
      <c r="F19324">
        <v>214.52</v>
      </c>
      <c r="G19324">
        <v>231013</v>
      </c>
      <c r="H19324">
        <v>4400</v>
      </c>
      <c r="I19324" t="s">
        <v>348</v>
      </c>
      <c r="J19324">
        <v>266</v>
      </c>
      <c r="K19324">
        <v>51.48</v>
      </c>
      <c r="L19324">
        <v>14541</v>
      </c>
      <c r="M19324" t="s">
        <v>626</v>
      </c>
      <c r="N19324" t="str">
        <f>"2853        "</f>
        <v xml:space="preserve">2853        </v>
      </c>
      <c r="O19324">
        <v>231025</v>
      </c>
    </row>
    <row r="19325" spans="1:15" x14ac:dyDescent="0.25">
      <c r="A19325" t="s">
        <v>16</v>
      </c>
      <c r="B19325" t="s">
        <v>3221</v>
      </c>
      <c r="C19325">
        <v>16384</v>
      </c>
      <c r="D19325" t="s">
        <v>1689</v>
      </c>
      <c r="E19325" t="s">
        <v>1690</v>
      </c>
      <c r="F19325">
        <v>366.05</v>
      </c>
      <c r="G19325">
        <v>231127</v>
      </c>
      <c r="H19325">
        <v>4400</v>
      </c>
      <c r="I19325" t="s">
        <v>348</v>
      </c>
      <c r="J19325">
        <v>453.9</v>
      </c>
      <c r="K19325">
        <v>87.85</v>
      </c>
      <c r="L19325">
        <v>14432</v>
      </c>
      <c r="M19325" t="s">
        <v>862</v>
      </c>
      <c r="N19325" t="str">
        <f>"2909        "</f>
        <v xml:space="preserve">2909        </v>
      </c>
      <c r="O19325">
        <v>231128</v>
      </c>
    </row>
    <row r="19326" spans="1:15" x14ac:dyDescent="0.25">
      <c r="A19326" t="s">
        <v>16</v>
      </c>
      <c r="B19326" t="s">
        <v>3221</v>
      </c>
      <c r="C19326">
        <v>6633</v>
      </c>
      <c r="D19326" t="s">
        <v>1689</v>
      </c>
      <c r="E19326" t="s">
        <v>1690</v>
      </c>
      <c r="F19326">
        <v>185</v>
      </c>
      <c r="G19326">
        <v>230504</v>
      </c>
      <c r="H19326">
        <v>4470</v>
      </c>
      <c r="I19326" t="s">
        <v>83</v>
      </c>
      <c r="J19326">
        <v>229.4</v>
      </c>
      <c r="K19326">
        <v>44.4</v>
      </c>
      <c r="L19326">
        <v>14951</v>
      </c>
      <c r="M19326" t="s">
        <v>57</v>
      </c>
      <c r="N19326" t="str">
        <f>"2662        "</f>
        <v xml:space="preserve">2662        </v>
      </c>
      <c r="O19326">
        <v>230516</v>
      </c>
    </row>
    <row r="19327" spans="1:15" x14ac:dyDescent="0.25">
      <c r="A19327" t="s">
        <v>16</v>
      </c>
      <c r="B19327" t="s">
        <v>3221</v>
      </c>
      <c r="C19327">
        <v>18525</v>
      </c>
      <c r="D19327" t="s">
        <v>1689</v>
      </c>
      <c r="E19327" t="s">
        <v>1690</v>
      </c>
      <c r="F19327">
        <v>80</v>
      </c>
      <c r="G19327">
        <v>231222</v>
      </c>
      <c r="H19327">
        <v>4380</v>
      </c>
      <c r="I19327" t="s">
        <v>113</v>
      </c>
      <c r="J19327">
        <v>99.2</v>
      </c>
      <c r="K19327">
        <v>19.2</v>
      </c>
      <c r="L19327">
        <v>14951</v>
      </c>
      <c r="M19327" t="s">
        <v>57</v>
      </c>
      <c r="N19327" t="str">
        <f>"2972        "</f>
        <v xml:space="preserve">2972        </v>
      </c>
      <c r="O19327">
        <v>240103</v>
      </c>
    </row>
    <row r="19328" spans="1:15" x14ac:dyDescent="0.25">
      <c r="A19328" t="s">
        <v>16</v>
      </c>
      <c r="B19328" t="s">
        <v>3221</v>
      </c>
      <c r="C19328">
        <v>9220</v>
      </c>
      <c r="D19328" t="s">
        <v>2283</v>
      </c>
      <c r="E19328" t="s">
        <v>2284</v>
      </c>
      <c r="F19328">
        <v>11567.74</v>
      </c>
      <c r="G19328">
        <v>230626</v>
      </c>
      <c r="H19328">
        <v>4390</v>
      </c>
      <c r="I19328" t="s">
        <v>98</v>
      </c>
      <c r="J19328">
        <v>14344</v>
      </c>
      <c r="K19328">
        <v>2776.26</v>
      </c>
      <c r="L19328">
        <v>17951</v>
      </c>
      <c r="M19328" t="s">
        <v>87</v>
      </c>
      <c r="N19328" t="str">
        <f>"66265       "</f>
        <v xml:space="preserve">66265       </v>
      </c>
      <c r="O19328">
        <v>230630</v>
      </c>
    </row>
    <row r="19329" spans="1:15" x14ac:dyDescent="0.25">
      <c r="A19329" t="s">
        <v>16</v>
      </c>
      <c r="B19329" t="s">
        <v>3221</v>
      </c>
      <c r="C19329">
        <v>9853</v>
      </c>
      <c r="D19329" t="s">
        <v>2283</v>
      </c>
      <c r="E19329" t="s">
        <v>2284</v>
      </c>
      <c r="F19329">
        <v>400</v>
      </c>
      <c r="G19329">
        <v>230711</v>
      </c>
      <c r="H19329">
        <v>4390</v>
      </c>
      <c r="I19329" t="s">
        <v>98</v>
      </c>
      <c r="J19329">
        <v>496</v>
      </c>
      <c r="K19329">
        <v>96</v>
      </c>
      <c r="L19329">
        <v>17952</v>
      </c>
      <c r="M19329" t="s">
        <v>88</v>
      </c>
      <c r="N19329" t="str">
        <f>"67210       "</f>
        <v xml:space="preserve">67210       </v>
      </c>
      <c r="O19329">
        <v>230731</v>
      </c>
    </row>
    <row r="19330" spans="1:15" x14ac:dyDescent="0.25">
      <c r="A19330" t="s">
        <v>16</v>
      </c>
      <c r="B19330" t="s">
        <v>3221</v>
      </c>
      <c r="C19330">
        <v>5618</v>
      </c>
      <c r="D19330" t="s">
        <v>1876</v>
      </c>
      <c r="E19330" t="s">
        <v>1877</v>
      </c>
      <c r="F19330">
        <v>79.84</v>
      </c>
      <c r="G19330">
        <v>230426</v>
      </c>
      <c r="H19330">
        <v>4532</v>
      </c>
      <c r="I19330" t="s">
        <v>116</v>
      </c>
      <c r="J19330">
        <v>99</v>
      </c>
      <c r="K19330">
        <v>19.16</v>
      </c>
      <c r="L19330">
        <v>17737</v>
      </c>
      <c r="M19330" t="s">
        <v>279</v>
      </c>
      <c r="N19330" t="str">
        <f>"0423/ennakko"</f>
        <v>0423/ennakko</v>
      </c>
      <c r="O19330">
        <v>230428</v>
      </c>
    </row>
    <row r="19331" spans="1:15" x14ac:dyDescent="0.25">
      <c r="A19331" t="s">
        <v>16</v>
      </c>
      <c r="B19331" t="s">
        <v>3221</v>
      </c>
      <c r="C19331">
        <v>19347</v>
      </c>
      <c r="D19331" t="s">
        <v>3180</v>
      </c>
      <c r="E19331" t="s">
        <v>3181</v>
      </c>
      <c r="F19331">
        <v>1283.98</v>
      </c>
      <c r="G19331">
        <v>240112</v>
      </c>
      <c r="H19331">
        <v>4390</v>
      </c>
      <c r="I19331" t="s">
        <v>98</v>
      </c>
      <c r="J19331">
        <v>1283.98</v>
      </c>
      <c r="K19331">
        <v>0</v>
      </c>
      <c r="L19331">
        <v>59501</v>
      </c>
      <c r="M19331" t="s">
        <v>69</v>
      </c>
      <c r="N19331" t="str">
        <f>"1001004294  "</f>
        <v xml:space="preserve">1001004294  </v>
      </c>
      <c r="O19331">
        <v>240117</v>
      </c>
    </row>
    <row r="19332" spans="1:15" x14ac:dyDescent="0.25">
      <c r="A19332" t="s">
        <v>16</v>
      </c>
      <c r="B19332" t="s">
        <v>3221</v>
      </c>
      <c r="C19332">
        <v>16597</v>
      </c>
      <c r="D19332" t="s">
        <v>2994</v>
      </c>
      <c r="E19332" t="s">
        <v>2995</v>
      </c>
      <c r="F19332">
        <v>2584</v>
      </c>
      <c r="G19332">
        <v>231125</v>
      </c>
      <c r="H19332">
        <v>1196</v>
      </c>
      <c r="I19332" t="s">
        <v>392</v>
      </c>
      <c r="J19332">
        <v>3204.16</v>
      </c>
      <c r="K19332">
        <v>620.16</v>
      </c>
      <c r="L19332">
        <v>96501</v>
      </c>
      <c r="M19332" t="s">
        <v>2361</v>
      </c>
      <c r="N19332" t="str">
        <f>"410         "</f>
        <v xml:space="preserve">410         </v>
      </c>
      <c r="O19332">
        <v>231204</v>
      </c>
    </row>
    <row r="19333" spans="1:15" x14ac:dyDescent="0.25">
      <c r="A19333" t="s">
        <v>16</v>
      </c>
      <c r="B19333" t="s">
        <v>3221</v>
      </c>
      <c r="C19333">
        <v>15987</v>
      </c>
      <c r="D19333" t="s">
        <v>2922</v>
      </c>
      <c r="E19333" t="s">
        <v>2923</v>
      </c>
      <c r="F19333">
        <v>90.82</v>
      </c>
      <c r="G19333">
        <v>231114</v>
      </c>
      <c r="H19333">
        <v>4510</v>
      </c>
      <c r="I19333" t="s">
        <v>42</v>
      </c>
      <c r="J19333">
        <v>99.9</v>
      </c>
      <c r="K19333">
        <v>9.08</v>
      </c>
      <c r="L19333">
        <v>66756</v>
      </c>
      <c r="M19333" t="s">
        <v>209</v>
      </c>
      <c r="N19333" t="str">
        <f>"8610858     "</f>
        <v xml:space="preserve">8610858     </v>
      </c>
      <c r="O19333">
        <v>231122</v>
      </c>
    </row>
    <row r="19334" spans="1:15" x14ac:dyDescent="0.25">
      <c r="A19334" t="s">
        <v>16</v>
      </c>
      <c r="B19334" t="s">
        <v>3221</v>
      </c>
      <c r="C19334">
        <v>3642</v>
      </c>
      <c r="D19334" t="s">
        <v>1584</v>
      </c>
      <c r="E19334" t="s">
        <v>1585</v>
      </c>
      <c r="F19334">
        <v>131.69999999999999</v>
      </c>
      <c r="G19334">
        <v>230315</v>
      </c>
      <c r="H19334">
        <v>4600</v>
      </c>
      <c r="I19334" t="s">
        <v>105</v>
      </c>
      <c r="J19334">
        <v>163.31</v>
      </c>
      <c r="K19334">
        <v>31.61</v>
      </c>
      <c r="L19334">
        <v>17807</v>
      </c>
      <c r="M19334" t="s">
        <v>318</v>
      </c>
      <c r="N19334" t="str">
        <f>"3058        "</f>
        <v xml:space="preserve">3058        </v>
      </c>
      <c r="O19334">
        <v>230320</v>
      </c>
    </row>
    <row r="19335" spans="1:15" x14ac:dyDescent="0.25">
      <c r="A19335" t="s">
        <v>16</v>
      </c>
      <c r="B19335" t="s">
        <v>3221</v>
      </c>
      <c r="C19335">
        <v>3945</v>
      </c>
      <c r="D19335" t="s">
        <v>1584</v>
      </c>
      <c r="E19335" t="s">
        <v>1585</v>
      </c>
      <c r="F19335">
        <v>503.7</v>
      </c>
      <c r="G19335">
        <v>230324</v>
      </c>
      <c r="H19335">
        <v>4600</v>
      </c>
      <c r="I19335" t="s">
        <v>105</v>
      </c>
      <c r="J19335">
        <v>624.59</v>
      </c>
      <c r="K19335">
        <v>120.89</v>
      </c>
      <c r="L19335">
        <v>17807</v>
      </c>
      <c r="M19335" t="s">
        <v>318</v>
      </c>
      <c r="N19335" t="str">
        <f>"3100        "</f>
        <v xml:space="preserve">3100        </v>
      </c>
      <c r="O19335">
        <v>230327</v>
      </c>
    </row>
    <row r="19336" spans="1:15" x14ac:dyDescent="0.25">
      <c r="A19336" t="s">
        <v>16</v>
      </c>
      <c r="B19336" t="s">
        <v>3221</v>
      </c>
      <c r="C19336">
        <v>12858</v>
      </c>
      <c r="D19336" t="s">
        <v>1584</v>
      </c>
      <c r="E19336" t="s">
        <v>1585</v>
      </c>
      <c r="F19336">
        <v>1627.65</v>
      </c>
      <c r="G19336">
        <v>230922</v>
      </c>
      <c r="H19336">
        <v>4600</v>
      </c>
      <c r="I19336" t="s">
        <v>105</v>
      </c>
      <c r="J19336">
        <v>2018.29</v>
      </c>
      <c r="K19336">
        <v>390.64</v>
      </c>
      <c r="L19336">
        <v>17807</v>
      </c>
      <c r="M19336" t="s">
        <v>318</v>
      </c>
      <c r="N19336" t="str">
        <f>"3669        "</f>
        <v xml:space="preserve">3669        </v>
      </c>
      <c r="O19336">
        <v>230928</v>
      </c>
    </row>
    <row r="19337" spans="1:15" x14ac:dyDescent="0.25">
      <c r="A19337" t="s">
        <v>16</v>
      </c>
      <c r="B19337" t="s">
        <v>3221</v>
      </c>
      <c r="C19337">
        <v>13620</v>
      </c>
      <c r="D19337" t="s">
        <v>1584</v>
      </c>
      <c r="E19337" t="s">
        <v>1585</v>
      </c>
      <c r="F19337">
        <v>242.06</v>
      </c>
      <c r="G19337">
        <v>230929</v>
      </c>
      <c r="H19337">
        <v>4600</v>
      </c>
      <c r="I19337" t="s">
        <v>105</v>
      </c>
      <c r="J19337">
        <v>300.14999999999998</v>
      </c>
      <c r="K19337">
        <v>58.09</v>
      </c>
      <c r="L19337">
        <v>17807</v>
      </c>
      <c r="M19337" t="s">
        <v>318</v>
      </c>
      <c r="N19337" t="str">
        <f>"3707        "</f>
        <v xml:space="preserve">3707        </v>
      </c>
      <c r="O19337">
        <v>231012</v>
      </c>
    </row>
    <row r="19338" spans="1:15" x14ac:dyDescent="0.25">
      <c r="A19338" t="s">
        <v>16</v>
      </c>
      <c r="B19338" t="s">
        <v>3221</v>
      </c>
      <c r="C19338">
        <v>14859</v>
      </c>
      <c r="D19338" t="s">
        <v>1584</v>
      </c>
      <c r="E19338" t="s">
        <v>1585</v>
      </c>
      <c r="F19338">
        <v>1436.92</v>
      </c>
      <c r="G19338">
        <v>231031</v>
      </c>
      <c r="H19338">
        <v>4600</v>
      </c>
      <c r="I19338" t="s">
        <v>105</v>
      </c>
      <c r="J19338">
        <v>1781.78</v>
      </c>
      <c r="K19338">
        <v>344.86</v>
      </c>
      <c r="L19338">
        <v>17807</v>
      </c>
      <c r="M19338" t="s">
        <v>318</v>
      </c>
      <c r="N19338" t="str">
        <f>"3807        "</f>
        <v xml:space="preserve">3807        </v>
      </c>
      <c r="O19338">
        <v>231107</v>
      </c>
    </row>
    <row r="19339" spans="1:15" x14ac:dyDescent="0.25">
      <c r="A19339" t="s">
        <v>16</v>
      </c>
      <c r="B19339" t="s">
        <v>3221</v>
      </c>
      <c r="C19339">
        <v>1659</v>
      </c>
      <c r="D19339" t="s">
        <v>1119</v>
      </c>
      <c r="E19339" t="s">
        <v>1120</v>
      </c>
      <c r="F19339">
        <v>7380</v>
      </c>
      <c r="G19339">
        <v>230126</v>
      </c>
      <c r="H19339">
        <v>4440</v>
      </c>
      <c r="I19339" t="s">
        <v>250</v>
      </c>
      <c r="J19339">
        <v>9151.2000000000007</v>
      </c>
      <c r="K19339">
        <v>1771.2</v>
      </c>
      <c r="L19339">
        <v>18982</v>
      </c>
      <c r="M19339" t="s">
        <v>1121</v>
      </c>
      <c r="N19339" t="str">
        <f>"4859        "</f>
        <v xml:space="preserve">4859        </v>
      </c>
      <c r="O19339">
        <v>230213</v>
      </c>
    </row>
    <row r="19340" spans="1:15" x14ac:dyDescent="0.25">
      <c r="A19340" t="s">
        <v>16</v>
      </c>
      <c r="B19340" t="s">
        <v>3221</v>
      </c>
      <c r="C19340">
        <v>2975</v>
      </c>
      <c r="D19340" t="s">
        <v>1119</v>
      </c>
      <c r="E19340" t="s">
        <v>1120</v>
      </c>
      <c r="F19340">
        <v>5740</v>
      </c>
      <c r="G19340">
        <v>230301</v>
      </c>
      <c r="H19340">
        <v>4440</v>
      </c>
      <c r="I19340" t="s">
        <v>250</v>
      </c>
      <c r="J19340">
        <v>7117.6</v>
      </c>
      <c r="K19340">
        <v>1377.6</v>
      </c>
      <c r="L19340">
        <v>18122</v>
      </c>
      <c r="M19340" t="s">
        <v>407</v>
      </c>
      <c r="N19340" t="str">
        <f>"4915        "</f>
        <v xml:space="preserve">4915        </v>
      </c>
      <c r="O19340">
        <v>230308</v>
      </c>
    </row>
    <row r="19341" spans="1:15" x14ac:dyDescent="0.25">
      <c r="A19341" t="s">
        <v>16</v>
      </c>
      <c r="B19341" t="s">
        <v>3221</v>
      </c>
      <c r="C19341">
        <v>3738</v>
      </c>
      <c r="D19341" t="s">
        <v>1119</v>
      </c>
      <c r="E19341" t="s">
        <v>1120</v>
      </c>
      <c r="F19341">
        <v>11880</v>
      </c>
      <c r="G19341">
        <v>230317</v>
      </c>
      <c r="H19341">
        <v>4440</v>
      </c>
      <c r="I19341" t="s">
        <v>250</v>
      </c>
      <c r="J19341">
        <v>14731.2</v>
      </c>
      <c r="K19341">
        <v>2851.2</v>
      </c>
      <c r="L19341">
        <v>18122</v>
      </c>
      <c r="M19341" t="s">
        <v>407</v>
      </c>
      <c r="N19341" t="str">
        <f>"4937        "</f>
        <v xml:space="preserve">4937        </v>
      </c>
      <c r="O19341">
        <v>230321</v>
      </c>
    </row>
    <row r="19342" spans="1:15" x14ac:dyDescent="0.25">
      <c r="A19342" t="s">
        <v>16</v>
      </c>
      <c r="B19342" t="s">
        <v>3221</v>
      </c>
      <c r="C19342">
        <v>4161</v>
      </c>
      <c r="D19342" t="s">
        <v>1119</v>
      </c>
      <c r="E19342" t="s">
        <v>1120</v>
      </c>
      <c r="F19342">
        <v>2000</v>
      </c>
      <c r="G19342">
        <v>230317</v>
      </c>
      <c r="H19342">
        <v>4440</v>
      </c>
      <c r="I19342" t="s">
        <v>250</v>
      </c>
      <c r="J19342">
        <v>2480</v>
      </c>
      <c r="K19342">
        <v>480</v>
      </c>
      <c r="L19342">
        <v>18122</v>
      </c>
      <c r="M19342" t="s">
        <v>407</v>
      </c>
      <c r="N19342" t="str">
        <f>"4936        "</f>
        <v xml:space="preserve">4936        </v>
      </c>
      <c r="O19342">
        <v>230331</v>
      </c>
    </row>
    <row r="19343" spans="1:15" x14ac:dyDescent="0.25">
      <c r="A19343" t="s">
        <v>16</v>
      </c>
      <c r="B19343" t="s">
        <v>3221</v>
      </c>
      <c r="C19343">
        <v>4312</v>
      </c>
      <c r="D19343" t="s">
        <v>1119</v>
      </c>
      <c r="E19343" t="s">
        <v>1120</v>
      </c>
      <c r="F19343">
        <v>9020</v>
      </c>
      <c r="G19343">
        <v>230331</v>
      </c>
      <c r="H19343">
        <v>4440</v>
      </c>
      <c r="I19343" t="s">
        <v>250</v>
      </c>
      <c r="J19343">
        <v>11184.8</v>
      </c>
      <c r="K19343">
        <v>2164.8000000000002</v>
      </c>
      <c r="L19343">
        <v>18122</v>
      </c>
      <c r="M19343" t="s">
        <v>407</v>
      </c>
      <c r="N19343" t="str">
        <f>"4960        "</f>
        <v xml:space="preserve">4960        </v>
      </c>
      <c r="O19343">
        <v>230404</v>
      </c>
    </row>
    <row r="19344" spans="1:15" x14ac:dyDescent="0.25">
      <c r="A19344" t="s">
        <v>16</v>
      </c>
      <c r="B19344" t="s">
        <v>3221</v>
      </c>
      <c r="C19344">
        <v>4526</v>
      </c>
      <c r="D19344" t="s">
        <v>1119</v>
      </c>
      <c r="E19344" t="s">
        <v>1120</v>
      </c>
      <c r="F19344">
        <v>5740</v>
      </c>
      <c r="G19344">
        <v>230403</v>
      </c>
      <c r="H19344">
        <v>4440</v>
      </c>
      <c r="I19344" t="s">
        <v>250</v>
      </c>
      <c r="J19344">
        <v>7117.6</v>
      </c>
      <c r="K19344">
        <v>1377.6</v>
      </c>
      <c r="L19344">
        <v>18122</v>
      </c>
      <c r="M19344" t="s">
        <v>407</v>
      </c>
      <c r="N19344" t="str">
        <f>"4965        "</f>
        <v xml:space="preserve">4965        </v>
      </c>
      <c r="O19344">
        <v>230406</v>
      </c>
    </row>
    <row r="19345" spans="1:15" x14ac:dyDescent="0.25">
      <c r="A19345" t="s">
        <v>16</v>
      </c>
      <c r="B19345" t="s">
        <v>3221</v>
      </c>
      <c r="C19345">
        <v>8692</v>
      </c>
      <c r="D19345" t="s">
        <v>1119</v>
      </c>
      <c r="E19345" t="s">
        <v>1120</v>
      </c>
      <c r="F19345">
        <v>11880</v>
      </c>
      <c r="G19345">
        <v>230608</v>
      </c>
      <c r="H19345">
        <v>4440</v>
      </c>
      <c r="I19345" t="s">
        <v>250</v>
      </c>
      <c r="J19345">
        <v>14731.2</v>
      </c>
      <c r="K19345">
        <v>2851.2</v>
      </c>
      <c r="L19345">
        <v>18122</v>
      </c>
      <c r="M19345" t="s">
        <v>407</v>
      </c>
      <c r="N19345" t="str">
        <f>"5130        "</f>
        <v xml:space="preserve">5130        </v>
      </c>
      <c r="O19345">
        <v>230613</v>
      </c>
    </row>
    <row r="19346" spans="1:15" x14ac:dyDescent="0.25">
      <c r="A19346" t="s">
        <v>16</v>
      </c>
      <c r="B19346" t="s">
        <v>3221</v>
      </c>
      <c r="C19346">
        <v>9247</v>
      </c>
      <c r="D19346" t="s">
        <v>1119</v>
      </c>
      <c r="E19346" t="s">
        <v>1120</v>
      </c>
      <c r="F19346">
        <v>9020</v>
      </c>
      <c r="G19346">
        <v>230621</v>
      </c>
      <c r="H19346">
        <v>4440</v>
      </c>
      <c r="I19346" t="s">
        <v>250</v>
      </c>
      <c r="J19346">
        <v>11184.8</v>
      </c>
      <c r="K19346">
        <v>2164.8000000000002</v>
      </c>
      <c r="L19346">
        <v>18122</v>
      </c>
      <c r="M19346" t="s">
        <v>407</v>
      </c>
      <c r="N19346" t="str">
        <f>"5161        "</f>
        <v xml:space="preserve">5161        </v>
      </c>
      <c r="O19346">
        <v>230703</v>
      </c>
    </row>
    <row r="19347" spans="1:15" x14ac:dyDescent="0.25">
      <c r="A19347" t="s">
        <v>16</v>
      </c>
      <c r="B19347" t="s">
        <v>3221</v>
      </c>
      <c r="C19347">
        <v>9255</v>
      </c>
      <c r="D19347" t="s">
        <v>1119</v>
      </c>
      <c r="E19347" t="s">
        <v>1120</v>
      </c>
      <c r="F19347">
        <v>6560</v>
      </c>
      <c r="G19347">
        <v>230622</v>
      </c>
      <c r="H19347">
        <v>4440</v>
      </c>
      <c r="I19347" t="s">
        <v>250</v>
      </c>
      <c r="J19347">
        <v>8134.4</v>
      </c>
      <c r="K19347">
        <v>1574.4</v>
      </c>
      <c r="L19347">
        <v>18122</v>
      </c>
      <c r="M19347" t="s">
        <v>407</v>
      </c>
      <c r="N19347" t="str">
        <f>"5169        "</f>
        <v xml:space="preserve">5169        </v>
      </c>
      <c r="O19347">
        <v>230703</v>
      </c>
    </row>
    <row r="19348" spans="1:15" x14ac:dyDescent="0.25">
      <c r="A19348" t="s">
        <v>16</v>
      </c>
      <c r="B19348" t="s">
        <v>3221</v>
      </c>
      <c r="C19348">
        <v>11878</v>
      </c>
      <c r="D19348" t="s">
        <v>1119</v>
      </c>
      <c r="E19348" t="s">
        <v>1120</v>
      </c>
      <c r="F19348">
        <v>11880</v>
      </c>
      <c r="G19348">
        <v>230825</v>
      </c>
      <c r="H19348">
        <v>4440</v>
      </c>
      <c r="I19348" t="s">
        <v>250</v>
      </c>
      <c r="J19348">
        <v>14731.2</v>
      </c>
      <c r="K19348">
        <v>2851.2</v>
      </c>
      <c r="L19348">
        <v>18122</v>
      </c>
      <c r="M19348" t="s">
        <v>407</v>
      </c>
      <c r="N19348" t="str">
        <f>"5215        "</f>
        <v xml:space="preserve">5215        </v>
      </c>
      <c r="O19348">
        <v>230911</v>
      </c>
    </row>
    <row r="19349" spans="1:15" x14ac:dyDescent="0.25">
      <c r="A19349" t="s">
        <v>16</v>
      </c>
      <c r="B19349" t="s">
        <v>3221</v>
      </c>
      <c r="C19349">
        <v>13047</v>
      </c>
      <c r="D19349" t="s">
        <v>1119</v>
      </c>
      <c r="E19349" t="s">
        <v>1120</v>
      </c>
      <c r="F19349">
        <v>9840</v>
      </c>
      <c r="G19349">
        <v>230929</v>
      </c>
      <c r="H19349">
        <v>4440</v>
      </c>
      <c r="I19349" t="s">
        <v>250</v>
      </c>
      <c r="J19349">
        <v>12201.6</v>
      </c>
      <c r="K19349">
        <v>2361.6</v>
      </c>
      <c r="L19349">
        <v>18122</v>
      </c>
      <c r="M19349" t="s">
        <v>407</v>
      </c>
      <c r="N19349" t="str">
        <f>"5265        "</f>
        <v xml:space="preserve">5265        </v>
      </c>
      <c r="O19349">
        <v>231002</v>
      </c>
    </row>
    <row r="19350" spans="1:15" x14ac:dyDescent="0.25">
      <c r="A19350" t="s">
        <v>16</v>
      </c>
      <c r="B19350" t="s">
        <v>3221</v>
      </c>
      <c r="C19350">
        <v>14242</v>
      </c>
      <c r="D19350" t="s">
        <v>1119</v>
      </c>
      <c r="E19350" t="s">
        <v>1120</v>
      </c>
      <c r="F19350">
        <v>6560</v>
      </c>
      <c r="G19350">
        <v>231005</v>
      </c>
      <c r="H19350">
        <v>4440</v>
      </c>
      <c r="I19350" t="s">
        <v>250</v>
      </c>
      <c r="J19350">
        <v>8134.4</v>
      </c>
      <c r="K19350">
        <v>1574.4</v>
      </c>
      <c r="L19350">
        <v>18122</v>
      </c>
      <c r="M19350" t="s">
        <v>407</v>
      </c>
      <c r="N19350" t="str">
        <f>"5271        "</f>
        <v xml:space="preserve">5271        </v>
      </c>
      <c r="O19350">
        <v>231025</v>
      </c>
    </row>
    <row r="19351" spans="1:15" x14ac:dyDescent="0.25">
      <c r="A19351" t="s">
        <v>16</v>
      </c>
      <c r="B19351" t="s">
        <v>3221</v>
      </c>
      <c r="C19351">
        <v>17309</v>
      </c>
      <c r="D19351" t="s">
        <v>1119</v>
      </c>
      <c r="E19351" t="s">
        <v>1120</v>
      </c>
      <c r="F19351">
        <v>11880</v>
      </c>
      <c r="G19351">
        <v>231207</v>
      </c>
      <c r="H19351">
        <v>4440</v>
      </c>
      <c r="I19351" t="s">
        <v>250</v>
      </c>
      <c r="J19351">
        <v>14731.2</v>
      </c>
      <c r="K19351">
        <v>2851.2</v>
      </c>
      <c r="L19351">
        <v>18122</v>
      </c>
      <c r="M19351" t="s">
        <v>407</v>
      </c>
      <c r="N19351" t="str">
        <f>"5409        "</f>
        <v xml:space="preserve">5409        </v>
      </c>
      <c r="O19351">
        <v>231212</v>
      </c>
    </row>
    <row r="19352" spans="1:15" x14ac:dyDescent="0.25">
      <c r="A19352" t="s">
        <v>16</v>
      </c>
      <c r="B19352" t="s">
        <v>3221</v>
      </c>
      <c r="C19352">
        <v>17493</v>
      </c>
      <c r="D19352" t="s">
        <v>1119</v>
      </c>
      <c r="E19352" t="s">
        <v>1120</v>
      </c>
      <c r="F19352">
        <v>6355</v>
      </c>
      <c r="G19352">
        <v>231211</v>
      </c>
      <c r="H19352">
        <v>4440</v>
      </c>
      <c r="I19352" t="s">
        <v>250</v>
      </c>
      <c r="J19352">
        <v>7880.2</v>
      </c>
      <c r="K19352">
        <v>1525.2</v>
      </c>
      <c r="L19352">
        <v>18122</v>
      </c>
      <c r="M19352" t="s">
        <v>407</v>
      </c>
      <c r="N19352" t="str">
        <f>"5411        "</f>
        <v xml:space="preserve">5411        </v>
      </c>
      <c r="O19352">
        <v>231214</v>
      </c>
    </row>
    <row r="19353" spans="1:15" x14ac:dyDescent="0.25">
      <c r="A19353" t="s">
        <v>16</v>
      </c>
      <c r="B19353" t="s">
        <v>3221</v>
      </c>
      <c r="C19353">
        <v>17498</v>
      </c>
      <c r="D19353" t="s">
        <v>1119</v>
      </c>
      <c r="E19353" t="s">
        <v>1120</v>
      </c>
      <c r="F19353">
        <v>3375</v>
      </c>
      <c r="G19353">
        <v>231211</v>
      </c>
      <c r="H19353">
        <v>4440</v>
      </c>
      <c r="I19353" t="s">
        <v>250</v>
      </c>
      <c r="J19353">
        <v>4185</v>
      </c>
      <c r="K19353">
        <v>810</v>
      </c>
      <c r="L19353">
        <v>18982</v>
      </c>
      <c r="M19353" t="s">
        <v>1121</v>
      </c>
      <c r="N19353" t="str">
        <f>"5413        "</f>
        <v xml:space="preserve">5413        </v>
      </c>
      <c r="O19353">
        <v>231214</v>
      </c>
    </row>
    <row r="19354" spans="1:15" x14ac:dyDescent="0.25">
      <c r="A19354" t="s">
        <v>16</v>
      </c>
      <c r="B19354" t="s">
        <v>3221</v>
      </c>
      <c r="C19354">
        <v>17507</v>
      </c>
      <c r="D19354" t="s">
        <v>1119</v>
      </c>
      <c r="E19354" t="s">
        <v>1120</v>
      </c>
      <c r="F19354">
        <v>9430</v>
      </c>
      <c r="G19354">
        <v>231211</v>
      </c>
      <c r="H19354">
        <v>4440</v>
      </c>
      <c r="I19354" t="s">
        <v>250</v>
      </c>
      <c r="J19354">
        <v>11693.2</v>
      </c>
      <c r="K19354">
        <v>2263.1999999999998</v>
      </c>
      <c r="L19354">
        <v>18122</v>
      </c>
      <c r="M19354" t="s">
        <v>407</v>
      </c>
      <c r="N19354" t="str">
        <f>"5412        "</f>
        <v xml:space="preserve">5412        </v>
      </c>
      <c r="O19354">
        <v>231214</v>
      </c>
    </row>
    <row r="19355" spans="1:15" x14ac:dyDescent="0.25">
      <c r="A19355" t="s">
        <v>16</v>
      </c>
      <c r="B19355" t="s">
        <v>3221</v>
      </c>
      <c r="C19355">
        <v>7254</v>
      </c>
      <c r="D19355" t="s">
        <v>3427</v>
      </c>
      <c r="E19355" t="s">
        <v>3428</v>
      </c>
      <c r="F19355">
        <v>1090</v>
      </c>
      <c r="G19355">
        <v>230524</v>
      </c>
      <c r="H19355">
        <v>4440</v>
      </c>
      <c r="I19355" t="s">
        <v>250</v>
      </c>
      <c r="J19355">
        <v>1090</v>
      </c>
      <c r="K19355">
        <v>0</v>
      </c>
      <c r="L19355">
        <v>18120</v>
      </c>
      <c r="M19355" t="s">
        <v>329</v>
      </c>
      <c r="N19355" t="str">
        <f>"LASK 68167  "</f>
        <v xml:space="preserve">LASK 68167  </v>
      </c>
      <c r="O19355">
        <v>230526</v>
      </c>
    </row>
    <row r="19356" spans="1:15" x14ac:dyDescent="0.25">
      <c r="A19356" t="s">
        <v>16</v>
      </c>
      <c r="B19356" t="s">
        <v>3221</v>
      </c>
      <c r="C19356">
        <v>9437</v>
      </c>
      <c r="D19356" t="s">
        <v>3427</v>
      </c>
      <c r="E19356" t="s">
        <v>3428</v>
      </c>
      <c r="F19356">
        <v>350</v>
      </c>
      <c r="G19356">
        <v>230630</v>
      </c>
      <c r="H19356">
        <v>4440</v>
      </c>
      <c r="I19356" t="s">
        <v>250</v>
      </c>
      <c r="J19356">
        <v>350</v>
      </c>
      <c r="K19356">
        <v>0</v>
      </c>
      <c r="L19356">
        <v>18120</v>
      </c>
      <c r="M19356" t="s">
        <v>329</v>
      </c>
      <c r="N19356" t="str">
        <f>"LASK 68300  "</f>
        <v xml:space="preserve">LASK 68300  </v>
      </c>
      <c r="O19356">
        <v>230711</v>
      </c>
    </row>
    <row r="19357" spans="1:15" x14ac:dyDescent="0.25">
      <c r="A19357" t="s">
        <v>16</v>
      </c>
      <c r="B19357" t="s">
        <v>3221</v>
      </c>
      <c r="C19357">
        <v>13334</v>
      </c>
      <c r="D19357" t="s">
        <v>3427</v>
      </c>
      <c r="E19357" t="s">
        <v>3428</v>
      </c>
      <c r="F19357">
        <v>400</v>
      </c>
      <c r="G19357">
        <v>230920</v>
      </c>
      <c r="H19357">
        <v>4440</v>
      </c>
      <c r="I19357" t="s">
        <v>250</v>
      </c>
      <c r="J19357">
        <v>496</v>
      </c>
      <c r="K19357">
        <v>96</v>
      </c>
      <c r="L19357">
        <v>17802</v>
      </c>
      <c r="M19357" t="s">
        <v>174</v>
      </c>
      <c r="N19357" t="str">
        <f>"AVLA 30932  "</f>
        <v xml:space="preserve">AVLA 30932  </v>
      </c>
      <c r="O19357">
        <v>231009</v>
      </c>
    </row>
    <row r="19358" spans="1:15" x14ac:dyDescent="0.25">
      <c r="A19358" t="s">
        <v>16</v>
      </c>
      <c r="B19358" t="s">
        <v>3221</v>
      </c>
      <c r="C19358">
        <v>13334</v>
      </c>
      <c r="D19358" t="s">
        <v>3427</v>
      </c>
      <c r="E19358" t="s">
        <v>3428</v>
      </c>
      <c r="F19358">
        <v>200</v>
      </c>
      <c r="G19358">
        <v>230920</v>
      </c>
      <c r="H19358">
        <v>4440</v>
      </c>
      <c r="I19358" t="s">
        <v>250</v>
      </c>
      <c r="J19358">
        <v>248</v>
      </c>
      <c r="K19358">
        <v>48</v>
      </c>
      <c r="L19358">
        <v>46557</v>
      </c>
      <c r="M19358" t="s">
        <v>221</v>
      </c>
      <c r="N19358" t="str">
        <f>"AVLA 30932  "</f>
        <v xml:space="preserve">AVLA 30932  </v>
      </c>
      <c r="O19358">
        <v>231009</v>
      </c>
    </row>
    <row r="19359" spans="1:15" x14ac:dyDescent="0.25">
      <c r="A19359" t="s">
        <v>16</v>
      </c>
      <c r="B19359" t="s">
        <v>3221</v>
      </c>
      <c r="C19359">
        <v>13334</v>
      </c>
      <c r="D19359" t="s">
        <v>3427</v>
      </c>
      <c r="E19359" t="s">
        <v>3428</v>
      </c>
      <c r="F19359">
        <v>600</v>
      </c>
      <c r="G19359">
        <v>230920</v>
      </c>
      <c r="H19359">
        <v>4440</v>
      </c>
      <c r="I19359" t="s">
        <v>250</v>
      </c>
      <c r="J19359">
        <v>744</v>
      </c>
      <c r="K19359">
        <v>144</v>
      </c>
      <c r="L19359">
        <v>56559</v>
      </c>
      <c r="M19359" t="s">
        <v>129</v>
      </c>
      <c r="N19359" t="str">
        <f>"AVLA 30932  "</f>
        <v xml:space="preserve">AVLA 30932  </v>
      </c>
      <c r="O19359">
        <v>231009</v>
      </c>
    </row>
    <row r="19360" spans="1:15" x14ac:dyDescent="0.25">
      <c r="A19360" t="s">
        <v>16</v>
      </c>
      <c r="B19360" t="s">
        <v>3221</v>
      </c>
      <c r="C19360">
        <v>17891</v>
      </c>
      <c r="D19360" t="s">
        <v>3427</v>
      </c>
      <c r="E19360" t="s">
        <v>3428</v>
      </c>
      <c r="F19360">
        <v>726.67</v>
      </c>
      <c r="G19360">
        <v>231214</v>
      </c>
      <c r="H19360">
        <v>4440</v>
      </c>
      <c r="I19360" t="s">
        <v>250</v>
      </c>
      <c r="J19360">
        <v>726.67</v>
      </c>
      <c r="K19360">
        <v>0</v>
      </c>
      <c r="L19360">
        <v>18120</v>
      </c>
      <c r="M19360" t="s">
        <v>329</v>
      </c>
      <c r="N19360" t="str">
        <f>"LASK 68759  "</f>
        <v xml:space="preserve">LASK 68759  </v>
      </c>
      <c r="O19360">
        <v>231227</v>
      </c>
    </row>
    <row r="19361" spans="1:15" x14ac:dyDescent="0.25">
      <c r="A19361" t="s">
        <v>16</v>
      </c>
      <c r="B19361" t="s">
        <v>3221</v>
      </c>
      <c r="C19361">
        <v>18056</v>
      </c>
      <c r="D19361" t="s">
        <v>3427</v>
      </c>
      <c r="E19361" t="s">
        <v>3428</v>
      </c>
      <c r="F19361">
        <v>886.67</v>
      </c>
      <c r="G19361">
        <v>231219</v>
      </c>
      <c r="H19361">
        <v>4440</v>
      </c>
      <c r="I19361" t="s">
        <v>250</v>
      </c>
      <c r="J19361">
        <v>886.67</v>
      </c>
      <c r="K19361">
        <v>0</v>
      </c>
      <c r="L19361">
        <v>18120</v>
      </c>
      <c r="M19361" t="s">
        <v>329</v>
      </c>
      <c r="N19361" t="str">
        <f>"LASK 68762  "</f>
        <v xml:space="preserve">LASK 68762  </v>
      </c>
      <c r="O19361">
        <v>240102</v>
      </c>
    </row>
    <row r="19362" spans="1:15" x14ac:dyDescent="0.25">
      <c r="A19362" t="s">
        <v>16</v>
      </c>
      <c r="B19362" t="s">
        <v>3221</v>
      </c>
      <c r="C19362">
        <v>18569</v>
      </c>
      <c r="D19362" t="s">
        <v>3427</v>
      </c>
      <c r="E19362" t="s">
        <v>3428</v>
      </c>
      <c r="F19362">
        <v>1090</v>
      </c>
      <c r="G19362">
        <v>231229</v>
      </c>
      <c r="H19362">
        <v>4440</v>
      </c>
      <c r="I19362" t="s">
        <v>250</v>
      </c>
      <c r="J19362">
        <v>1090</v>
      </c>
      <c r="K19362">
        <v>0</v>
      </c>
      <c r="L19362">
        <v>18122</v>
      </c>
      <c r="M19362" t="s">
        <v>407</v>
      </c>
      <c r="N19362" t="str">
        <f>"LASK 68763  "</f>
        <v xml:space="preserve">LASK 68763  </v>
      </c>
      <c r="O19362">
        <v>240104</v>
      </c>
    </row>
    <row r="19363" spans="1:15" x14ac:dyDescent="0.25">
      <c r="A19363" t="s">
        <v>16</v>
      </c>
      <c r="B19363" t="s">
        <v>3221</v>
      </c>
      <c r="C19363">
        <v>7611</v>
      </c>
      <c r="D19363" t="s">
        <v>3269</v>
      </c>
      <c r="E19363" t="s">
        <v>3270</v>
      </c>
      <c r="F19363">
        <v>15000</v>
      </c>
      <c r="G19363">
        <v>230530</v>
      </c>
      <c r="H19363">
        <v>4346</v>
      </c>
      <c r="I19363" t="s">
        <v>197</v>
      </c>
      <c r="J19363">
        <v>18600</v>
      </c>
      <c r="K19363">
        <v>3600</v>
      </c>
      <c r="L19363">
        <v>12010</v>
      </c>
      <c r="M19363" t="s">
        <v>2189</v>
      </c>
      <c r="N19363" t="str">
        <f>"9410010949  "</f>
        <v xml:space="preserve">9410010949  </v>
      </c>
      <c r="O19363">
        <v>230601</v>
      </c>
    </row>
    <row r="19364" spans="1:15" x14ac:dyDescent="0.25">
      <c r="A19364" t="s">
        <v>16</v>
      </c>
      <c r="B19364" t="s">
        <v>3221</v>
      </c>
      <c r="C19364">
        <v>1819</v>
      </c>
      <c r="D19364" t="s">
        <v>1209</v>
      </c>
      <c r="E19364" t="s">
        <v>1210</v>
      </c>
      <c r="F19364">
        <v>1491.62</v>
      </c>
      <c r="G19364">
        <v>230203</v>
      </c>
      <c r="H19364">
        <v>4572</v>
      </c>
      <c r="I19364" t="s">
        <v>122</v>
      </c>
      <c r="J19364">
        <v>1849.61</v>
      </c>
      <c r="K19364">
        <v>357.99</v>
      </c>
      <c r="L19364">
        <v>14951</v>
      </c>
      <c r="M19364" t="s">
        <v>57</v>
      </c>
      <c r="N19364" t="str">
        <f>"5001367340  "</f>
        <v xml:space="preserve">5001367340  </v>
      </c>
      <c r="O19364">
        <v>230214</v>
      </c>
    </row>
    <row r="19365" spans="1:15" x14ac:dyDescent="0.25">
      <c r="A19365" t="s">
        <v>16</v>
      </c>
      <c r="B19365" t="s">
        <v>3221</v>
      </c>
      <c r="C19365">
        <v>1820</v>
      </c>
      <c r="D19365" t="s">
        <v>1209</v>
      </c>
      <c r="E19365" t="s">
        <v>1210</v>
      </c>
      <c r="F19365">
        <v>86.35</v>
      </c>
      <c r="G19365">
        <v>230203</v>
      </c>
      <c r="H19365">
        <v>4572</v>
      </c>
      <c r="I19365" t="s">
        <v>122</v>
      </c>
      <c r="J19365">
        <v>107.08</v>
      </c>
      <c r="K19365">
        <v>20.73</v>
      </c>
      <c r="L19365">
        <v>14952</v>
      </c>
      <c r="M19365" t="s">
        <v>99</v>
      </c>
      <c r="N19365" t="str">
        <f>"5001368007  "</f>
        <v xml:space="preserve">5001368007  </v>
      </c>
      <c r="O19365">
        <v>230214</v>
      </c>
    </row>
    <row r="19366" spans="1:15" x14ac:dyDescent="0.25">
      <c r="A19366" t="s">
        <v>16</v>
      </c>
      <c r="B19366" t="s">
        <v>3221</v>
      </c>
      <c r="C19366">
        <v>1820</v>
      </c>
      <c r="D19366" t="s">
        <v>1209</v>
      </c>
      <c r="E19366" t="s">
        <v>1210</v>
      </c>
      <c r="F19366">
        <v>201.48</v>
      </c>
      <c r="G19366">
        <v>230203</v>
      </c>
      <c r="H19366">
        <v>4572</v>
      </c>
      <c r="I19366" t="s">
        <v>122</v>
      </c>
      <c r="J19366">
        <v>249.84</v>
      </c>
      <c r="K19366">
        <v>48.36</v>
      </c>
      <c r="L19366">
        <v>14981</v>
      </c>
      <c r="M19366" t="s">
        <v>1211</v>
      </c>
      <c r="N19366" t="str">
        <f>"5001368007  "</f>
        <v xml:space="preserve">5001368007  </v>
      </c>
      <c r="O19366">
        <v>230214</v>
      </c>
    </row>
    <row r="19367" spans="1:15" x14ac:dyDescent="0.25">
      <c r="A19367" t="s">
        <v>16</v>
      </c>
      <c r="B19367" t="s">
        <v>3221</v>
      </c>
      <c r="C19367">
        <v>1845</v>
      </c>
      <c r="D19367" t="s">
        <v>1209</v>
      </c>
      <c r="E19367" t="s">
        <v>1210</v>
      </c>
      <c r="F19367">
        <v>110.24</v>
      </c>
      <c r="G19367">
        <v>230203</v>
      </c>
      <c r="H19367">
        <v>4572</v>
      </c>
      <c r="I19367" t="s">
        <v>122</v>
      </c>
      <c r="J19367">
        <v>136.69999999999999</v>
      </c>
      <c r="K19367">
        <v>26.46</v>
      </c>
      <c r="L19367">
        <v>11401</v>
      </c>
      <c r="M19367" t="s">
        <v>84</v>
      </c>
      <c r="N19367" t="str">
        <f>"5001368176  "</f>
        <v xml:space="preserve">5001368176  </v>
      </c>
      <c r="O19367">
        <v>230214</v>
      </c>
    </row>
    <row r="19368" spans="1:15" x14ac:dyDescent="0.25">
      <c r="A19368" t="s">
        <v>16</v>
      </c>
      <c r="B19368" t="s">
        <v>3221</v>
      </c>
      <c r="C19368">
        <v>1845</v>
      </c>
      <c r="D19368" t="s">
        <v>1209</v>
      </c>
      <c r="E19368" t="s">
        <v>1210</v>
      </c>
      <c r="F19368">
        <v>220.45</v>
      </c>
      <c r="G19368">
        <v>230203</v>
      </c>
      <c r="H19368">
        <v>4572</v>
      </c>
      <c r="I19368" t="s">
        <v>122</v>
      </c>
      <c r="J19368">
        <v>273.36</v>
      </c>
      <c r="K19368">
        <v>52.91</v>
      </c>
      <c r="L19368">
        <v>14952</v>
      </c>
      <c r="M19368" t="s">
        <v>99</v>
      </c>
      <c r="N19368" t="str">
        <f>"5001368176  "</f>
        <v xml:space="preserve">5001368176  </v>
      </c>
      <c r="O19368">
        <v>230214</v>
      </c>
    </row>
    <row r="19369" spans="1:15" x14ac:dyDescent="0.25">
      <c r="A19369" t="s">
        <v>16</v>
      </c>
      <c r="B19369" t="s">
        <v>3221</v>
      </c>
      <c r="C19369">
        <v>2910</v>
      </c>
      <c r="D19369" t="s">
        <v>1209</v>
      </c>
      <c r="E19369" t="s">
        <v>1210</v>
      </c>
      <c r="F19369">
        <v>96.71</v>
      </c>
      <c r="G19369">
        <v>230303</v>
      </c>
      <c r="H19369">
        <v>4572</v>
      </c>
      <c r="I19369" t="s">
        <v>122</v>
      </c>
      <c r="J19369">
        <v>119.92</v>
      </c>
      <c r="K19369">
        <v>23.21</v>
      </c>
      <c r="L19369">
        <v>14952</v>
      </c>
      <c r="M19369" t="s">
        <v>99</v>
      </c>
      <c r="N19369" t="str">
        <f>"5001378801  "</f>
        <v xml:space="preserve">5001378801  </v>
      </c>
      <c r="O19369">
        <v>230308</v>
      </c>
    </row>
    <row r="19370" spans="1:15" x14ac:dyDescent="0.25">
      <c r="A19370" t="s">
        <v>16</v>
      </c>
      <c r="B19370" t="s">
        <v>3221</v>
      </c>
      <c r="C19370">
        <v>2938</v>
      </c>
      <c r="D19370" t="s">
        <v>1209</v>
      </c>
      <c r="E19370" t="s">
        <v>1210</v>
      </c>
      <c r="F19370">
        <v>274.98</v>
      </c>
      <c r="G19370">
        <v>230303</v>
      </c>
      <c r="H19370">
        <v>4572</v>
      </c>
      <c r="I19370" t="s">
        <v>122</v>
      </c>
      <c r="J19370">
        <v>340.98</v>
      </c>
      <c r="K19370">
        <v>66</v>
      </c>
      <c r="L19370">
        <v>14952</v>
      </c>
      <c r="M19370" t="s">
        <v>99</v>
      </c>
      <c r="N19370" t="str">
        <f>"5001385361  "</f>
        <v xml:space="preserve">5001385361  </v>
      </c>
      <c r="O19370">
        <v>230308</v>
      </c>
    </row>
    <row r="19371" spans="1:15" x14ac:dyDescent="0.25">
      <c r="A19371" t="s">
        <v>16</v>
      </c>
      <c r="B19371" t="s">
        <v>3221</v>
      </c>
      <c r="C19371">
        <v>2939</v>
      </c>
      <c r="D19371" t="s">
        <v>1209</v>
      </c>
      <c r="E19371" t="s">
        <v>1210</v>
      </c>
      <c r="F19371">
        <v>1406.61</v>
      </c>
      <c r="G19371">
        <v>230303</v>
      </c>
      <c r="H19371">
        <v>4572</v>
      </c>
      <c r="I19371" t="s">
        <v>122</v>
      </c>
      <c r="J19371">
        <v>1744.2</v>
      </c>
      <c r="K19371">
        <v>337.59</v>
      </c>
      <c r="L19371">
        <v>14951</v>
      </c>
      <c r="M19371" t="s">
        <v>57</v>
      </c>
      <c r="N19371" t="str">
        <f>"5001378977  "</f>
        <v xml:space="preserve">5001378977  </v>
      </c>
      <c r="O19371">
        <v>230308</v>
      </c>
    </row>
    <row r="19372" spans="1:15" x14ac:dyDescent="0.25">
      <c r="A19372" t="s">
        <v>16</v>
      </c>
      <c r="B19372" t="s">
        <v>3221</v>
      </c>
      <c r="C19372">
        <v>2947</v>
      </c>
      <c r="D19372" t="s">
        <v>1209</v>
      </c>
      <c r="E19372" t="s">
        <v>1210</v>
      </c>
      <c r="F19372">
        <v>321.07</v>
      </c>
      <c r="G19372">
        <v>230303</v>
      </c>
      <c r="H19372">
        <v>4572</v>
      </c>
      <c r="I19372" t="s">
        <v>122</v>
      </c>
      <c r="J19372">
        <v>398.13</v>
      </c>
      <c r="K19372">
        <v>77.06</v>
      </c>
      <c r="L19372">
        <v>14952</v>
      </c>
      <c r="M19372" t="s">
        <v>99</v>
      </c>
      <c r="N19372" t="str">
        <f>"5001382382  "</f>
        <v xml:space="preserve">5001382382  </v>
      </c>
      <c r="O19372">
        <v>230308</v>
      </c>
    </row>
    <row r="19373" spans="1:15" x14ac:dyDescent="0.25">
      <c r="A19373" t="s">
        <v>16</v>
      </c>
      <c r="B19373" t="s">
        <v>3221</v>
      </c>
      <c r="C19373">
        <v>4418</v>
      </c>
      <c r="D19373" t="s">
        <v>1209</v>
      </c>
      <c r="E19373" t="s">
        <v>1210</v>
      </c>
      <c r="F19373">
        <v>90.52</v>
      </c>
      <c r="G19373">
        <v>230404</v>
      </c>
      <c r="H19373">
        <v>4572</v>
      </c>
      <c r="I19373" t="s">
        <v>122</v>
      </c>
      <c r="J19373">
        <v>112.25</v>
      </c>
      <c r="K19373">
        <v>21.73</v>
      </c>
      <c r="L19373">
        <v>14952</v>
      </c>
      <c r="M19373" t="s">
        <v>99</v>
      </c>
      <c r="N19373" t="str">
        <f>"5001414066  "</f>
        <v xml:space="preserve">5001414066  </v>
      </c>
      <c r="O19373">
        <v>230405</v>
      </c>
    </row>
    <row r="19374" spans="1:15" x14ac:dyDescent="0.25">
      <c r="A19374" t="s">
        <v>16</v>
      </c>
      <c r="B19374" t="s">
        <v>3221</v>
      </c>
      <c r="C19374">
        <v>4418</v>
      </c>
      <c r="D19374" t="s">
        <v>1209</v>
      </c>
      <c r="E19374" t="s">
        <v>1210</v>
      </c>
      <c r="F19374">
        <v>211.22</v>
      </c>
      <c r="G19374">
        <v>230404</v>
      </c>
      <c r="H19374">
        <v>4572</v>
      </c>
      <c r="I19374" t="s">
        <v>122</v>
      </c>
      <c r="J19374">
        <v>261.91000000000003</v>
      </c>
      <c r="K19374">
        <v>50.69</v>
      </c>
      <c r="L19374">
        <v>14981</v>
      </c>
      <c r="M19374" t="s">
        <v>1211</v>
      </c>
      <c r="N19374" t="str">
        <f>"5001414066  "</f>
        <v xml:space="preserve">5001414066  </v>
      </c>
      <c r="O19374">
        <v>230405</v>
      </c>
    </row>
    <row r="19375" spans="1:15" x14ac:dyDescent="0.25">
      <c r="A19375" t="s">
        <v>16</v>
      </c>
      <c r="B19375" t="s">
        <v>3221</v>
      </c>
      <c r="C19375">
        <v>4419</v>
      </c>
      <c r="D19375" t="s">
        <v>1209</v>
      </c>
      <c r="E19375" t="s">
        <v>1210</v>
      </c>
      <c r="F19375">
        <v>7.19</v>
      </c>
      <c r="G19375">
        <v>230404</v>
      </c>
      <c r="H19375">
        <v>4572</v>
      </c>
      <c r="I19375" t="s">
        <v>122</v>
      </c>
      <c r="J19375">
        <v>8.92</v>
      </c>
      <c r="K19375">
        <v>1.73</v>
      </c>
      <c r="L19375">
        <v>14952</v>
      </c>
      <c r="M19375" t="s">
        <v>99</v>
      </c>
      <c r="N19375" t="str">
        <f>"5001396760  "</f>
        <v xml:space="preserve">5001396760  </v>
      </c>
      <c r="O19375">
        <v>230405</v>
      </c>
    </row>
    <row r="19376" spans="1:15" x14ac:dyDescent="0.25">
      <c r="A19376" t="s">
        <v>16</v>
      </c>
      <c r="B19376" t="s">
        <v>3221</v>
      </c>
      <c r="C19376">
        <v>4419</v>
      </c>
      <c r="D19376" t="s">
        <v>1209</v>
      </c>
      <c r="E19376" t="s">
        <v>1210</v>
      </c>
      <c r="F19376">
        <v>16.79</v>
      </c>
      <c r="G19376">
        <v>230404</v>
      </c>
      <c r="H19376">
        <v>4572</v>
      </c>
      <c r="I19376" t="s">
        <v>122</v>
      </c>
      <c r="J19376">
        <v>20.82</v>
      </c>
      <c r="K19376">
        <v>4.03</v>
      </c>
      <c r="L19376">
        <v>14981</v>
      </c>
      <c r="M19376" t="s">
        <v>1211</v>
      </c>
      <c r="N19376" t="str">
        <f>"5001396760  "</f>
        <v xml:space="preserve">5001396760  </v>
      </c>
      <c r="O19376">
        <v>230405</v>
      </c>
    </row>
    <row r="19377" spans="1:15" x14ac:dyDescent="0.25">
      <c r="A19377" t="s">
        <v>16</v>
      </c>
      <c r="B19377" t="s">
        <v>3221</v>
      </c>
      <c r="C19377">
        <v>4420</v>
      </c>
      <c r="D19377" t="s">
        <v>1209</v>
      </c>
      <c r="E19377" t="s">
        <v>1210</v>
      </c>
      <c r="F19377">
        <v>1651.89</v>
      </c>
      <c r="G19377">
        <v>230404</v>
      </c>
      <c r="H19377">
        <v>4572</v>
      </c>
      <c r="I19377" t="s">
        <v>122</v>
      </c>
      <c r="J19377">
        <v>2048.34</v>
      </c>
      <c r="K19377">
        <v>396.45</v>
      </c>
      <c r="L19377">
        <v>14951</v>
      </c>
      <c r="M19377" t="s">
        <v>57</v>
      </c>
      <c r="N19377" t="str">
        <f>"5001421982  "</f>
        <v xml:space="preserve">5001421982  </v>
      </c>
      <c r="O19377">
        <v>230405</v>
      </c>
    </row>
    <row r="19378" spans="1:15" x14ac:dyDescent="0.25">
      <c r="A19378" t="s">
        <v>16</v>
      </c>
      <c r="B19378" t="s">
        <v>3221</v>
      </c>
      <c r="C19378">
        <v>4742</v>
      </c>
      <c r="D19378" t="s">
        <v>1209</v>
      </c>
      <c r="E19378" t="s">
        <v>1210</v>
      </c>
      <c r="F19378">
        <v>113.06</v>
      </c>
      <c r="G19378">
        <v>230404</v>
      </c>
      <c r="H19378">
        <v>4572</v>
      </c>
      <c r="I19378" t="s">
        <v>122</v>
      </c>
      <c r="J19378">
        <v>140.19999999999999</v>
      </c>
      <c r="K19378">
        <v>27.14</v>
      </c>
      <c r="L19378">
        <v>11401</v>
      </c>
      <c r="M19378" t="s">
        <v>84</v>
      </c>
      <c r="N19378" t="str">
        <f>"5001413836  "</f>
        <v xml:space="preserve">5001413836  </v>
      </c>
      <c r="O19378">
        <v>230412</v>
      </c>
    </row>
    <row r="19379" spans="1:15" x14ac:dyDescent="0.25">
      <c r="A19379" t="s">
        <v>16</v>
      </c>
      <c r="B19379" t="s">
        <v>3221</v>
      </c>
      <c r="C19379">
        <v>4742</v>
      </c>
      <c r="D19379" t="s">
        <v>1209</v>
      </c>
      <c r="E19379" t="s">
        <v>1210</v>
      </c>
      <c r="F19379">
        <v>226.14</v>
      </c>
      <c r="G19379">
        <v>230404</v>
      </c>
      <c r="H19379">
        <v>4572</v>
      </c>
      <c r="I19379" t="s">
        <v>122</v>
      </c>
      <c r="J19379">
        <v>280.41000000000003</v>
      </c>
      <c r="K19379">
        <v>54.27</v>
      </c>
      <c r="L19379">
        <v>14952</v>
      </c>
      <c r="M19379" t="s">
        <v>99</v>
      </c>
      <c r="N19379" t="str">
        <f>"5001413836  "</f>
        <v xml:space="preserve">5001413836  </v>
      </c>
      <c r="O19379">
        <v>230412</v>
      </c>
    </row>
    <row r="19380" spans="1:15" x14ac:dyDescent="0.25">
      <c r="A19380" t="s">
        <v>16</v>
      </c>
      <c r="B19380" t="s">
        <v>3221</v>
      </c>
      <c r="C19380">
        <v>4753</v>
      </c>
      <c r="D19380" t="s">
        <v>1209</v>
      </c>
      <c r="E19380" t="s">
        <v>1210</v>
      </c>
      <c r="F19380">
        <v>37.86</v>
      </c>
      <c r="G19380">
        <v>230405</v>
      </c>
      <c r="H19380">
        <v>4572</v>
      </c>
      <c r="I19380" t="s">
        <v>122</v>
      </c>
      <c r="J19380">
        <v>46.95</v>
      </c>
      <c r="K19380">
        <v>9.09</v>
      </c>
      <c r="L19380">
        <v>11401</v>
      </c>
      <c r="M19380" t="s">
        <v>84</v>
      </c>
      <c r="N19380" t="str">
        <f>"5001459570  "</f>
        <v xml:space="preserve">5001459570  </v>
      </c>
      <c r="O19380">
        <v>230412</v>
      </c>
    </row>
    <row r="19381" spans="1:15" x14ac:dyDescent="0.25">
      <c r="A19381" t="s">
        <v>16</v>
      </c>
      <c r="B19381" t="s">
        <v>3221</v>
      </c>
      <c r="C19381">
        <v>4753</v>
      </c>
      <c r="D19381" t="s">
        <v>1209</v>
      </c>
      <c r="E19381" t="s">
        <v>1210</v>
      </c>
      <c r="F19381">
        <v>75.73</v>
      </c>
      <c r="G19381">
        <v>230405</v>
      </c>
      <c r="H19381">
        <v>4572</v>
      </c>
      <c r="I19381" t="s">
        <v>122</v>
      </c>
      <c r="J19381">
        <v>93.91</v>
      </c>
      <c r="K19381">
        <v>18.18</v>
      </c>
      <c r="L19381">
        <v>14952</v>
      </c>
      <c r="M19381" t="s">
        <v>99</v>
      </c>
      <c r="N19381" t="str">
        <f>"5001459570  "</f>
        <v xml:space="preserve">5001459570  </v>
      </c>
      <c r="O19381">
        <v>230412</v>
      </c>
    </row>
    <row r="19382" spans="1:15" x14ac:dyDescent="0.25">
      <c r="A19382" t="s">
        <v>16</v>
      </c>
      <c r="B19382" t="s">
        <v>3221</v>
      </c>
      <c r="C19382">
        <v>6404</v>
      </c>
      <c r="D19382" t="s">
        <v>1209</v>
      </c>
      <c r="E19382" t="s">
        <v>1210</v>
      </c>
      <c r="F19382">
        <v>1413.16</v>
      </c>
      <c r="G19382">
        <v>230502</v>
      </c>
      <c r="H19382">
        <v>4572</v>
      </c>
      <c r="I19382" t="s">
        <v>122</v>
      </c>
      <c r="J19382">
        <v>1752.32</v>
      </c>
      <c r="K19382">
        <v>339.16</v>
      </c>
      <c r="L19382">
        <v>14951</v>
      </c>
      <c r="M19382" t="s">
        <v>57</v>
      </c>
      <c r="N19382" t="str">
        <f>"5001479307  "</f>
        <v xml:space="preserve">5001479307  </v>
      </c>
      <c r="O19382">
        <v>230511</v>
      </c>
    </row>
    <row r="19383" spans="1:15" x14ac:dyDescent="0.25">
      <c r="A19383" t="s">
        <v>16</v>
      </c>
      <c r="B19383" t="s">
        <v>3221</v>
      </c>
      <c r="C19383">
        <v>6405</v>
      </c>
      <c r="D19383" t="s">
        <v>1209</v>
      </c>
      <c r="E19383" t="s">
        <v>1210</v>
      </c>
      <c r="F19383">
        <v>68.77</v>
      </c>
      <c r="G19383">
        <v>230502</v>
      </c>
      <c r="H19383">
        <v>4572</v>
      </c>
      <c r="I19383" t="s">
        <v>122</v>
      </c>
      <c r="J19383">
        <v>85.28</v>
      </c>
      <c r="K19383">
        <v>16.510000000000002</v>
      </c>
      <c r="L19383">
        <v>11401</v>
      </c>
      <c r="M19383" t="s">
        <v>84</v>
      </c>
      <c r="N19383" t="str">
        <f>"5001480046  "</f>
        <v xml:space="preserve">5001480046  </v>
      </c>
      <c r="O19383">
        <v>230511</v>
      </c>
    </row>
    <row r="19384" spans="1:15" x14ac:dyDescent="0.25">
      <c r="A19384" t="s">
        <v>16</v>
      </c>
      <c r="B19384" t="s">
        <v>3221</v>
      </c>
      <c r="C19384">
        <v>6405</v>
      </c>
      <c r="D19384" t="s">
        <v>1209</v>
      </c>
      <c r="E19384" t="s">
        <v>1210</v>
      </c>
      <c r="F19384">
        <v>137.56</v>
      </c>
      <c r="G19384">
        <v>230502</v>
      </c>
      <c r="H19384">
        <v>4572</v>
      </c>
      <c r="I19384" t="s">
        <v>122</v>
      </c>
      <c r="J19384">
        <v>170.57</v>
      </c>
      <c r="K19384">
        <v>33.01</v>
      </c>
      <c r="L19384">
        <v>14952</v>
      </c>
      <c r="M19384" t="s">
        <v>99</v>
      </c>
      <c r="N19384" t="str">
        <f>"5001480046  "</f>
        <v xml:space="preserve">5001480046  </v>
      </c>
      <c r="O19384">
        <v>230511</v>
      </c>
    </row>
    <row r="19385" spans="1:15" x14ac:dyDescent="0.25">
      <c r="A19385" t="s">
        <v>16</v>
      </c>
      <c r="B19385" t="s">
        <v>3221</v>
      </c>
      <c r="C19385">
        <v>6443</v>
      </c>
      <c r="D19385" t="s">
        <v>1209</v>
      </c>
      <c r="E19385" t="s">
        <v>1210</v>
      </c>
      <c r="F19385">
        <v>29.52</v>
      </c>
      <c r="G19385">
        <v>230502</v>
      </c>
      <c r="H19385">
        <v>4572</v>
      </c>
      <c r="I19385" t="s">
        <v>122</v>
      </c>
      <c r="J19385">
        <v>36.6</v>
      </c>
      <c r="K19385">
        <v>7.08</v>
      </c>
      <c r="L19385">
        <v>14952</v>
      </c>
      <c r="M19385" t="s">
        <v>99</v>
      </c>
      <c r="N19385" t="str">
        <f>"5001483465  "</f>
        <v xml:space="preserve">5001483465  </v>
      </c>
      <c r="O19385">
        <v>230511</v>
      </c>
    </row>
    <row r="19386" spans="1:15" x14ac:dyDescent="0.25">
      <c r="A19386" t="s">
        <v>16</v>
      </c>
      <c r="B19386" t="s">
        <v>3221</v>
      </c>
      <c r="C19386">
        <v>6443</v>
      </c>
      <c r="D19386" t="s">
        <v>1209</v>
      </c>
      <c r="E19386" t="s">
        <v>1210</v>
      </c>
      <c r="F19386">
        <v>68.88</v>
      </c>
      <c r="G19386">
        <v>230502</v>
      </c>
      <c r="H19386">
        <v>4572</v>
      </c>
      <c r="I19386" t="s">
        <v>122</v>
      </c>
      <c r="J19386">
        <v>85.41</v>
      </c>
      <c r="K19386">
        <v>16.53</v>
      </c>
      <c r="L19386">
        <v>14981</v>
      </c>
      <c r="M19386" t="s">
        <v>1211</v>
      </c>
      <c r="N19386" t="str">
        <f>"5001483465  "</f>
        <v xml:space="preserve">5001483465  </v>
      </c>
      <c r="O19386">
        <v>230511</v>
      </c>
    </row>
    <row r="19387" spans="1:15" x14ac:dyDescent="0.25">
      <c r="A19387" t="s">
        <v>16</v>
      </c>
      <c r="B19387" t="s">
        <v>3221</v>
      </c>
      <c r="C19387">
        <v>6444</v>
      </c>
      <c r="D19387" t="s">
        <v>1209</v>
      </c>
      <c r="E19387" t="s">
        <v>1210</v>
      </c>
      <c r="F19387">
        <v>84.09</v>
      </c>
      <c r="G19387">
        <v>230502</v>
      </c>
      <c r="H19387">
        <v>4572</v>
      </c>
      <c r="I19387" t="s">
        <v>122</v>
      </c>
      <c r="J19387">
        <v>104.27</v>
      </c>
      <c r="K19387">
        <v>20.18</v>
      </c>
      <c r="L19387">
        <v>14952</v>
      </c>
      <c r="M19387" t="s">
        <v>99</v>
      </c>
      <c r="N19387" t="str">
        <f>"5001483142  "</f>
        <v xml:space="preserve">5001483142  </v>
      </c>
      <c r="O19387">
        <v>230511</v>
      </c>
    </row>
    <row r="19388" spans="1:15" x14ac:dyDescent="0.25">
      <c r="A19388" t="s">
        <v>16</v>
      </c>
      <c r="B19388" t="s">
        <v>3221</v>
      </c>
      <c r="C19388">
        <v>6444</v>
      </c>
      <c r="D19388" t="s">
        <v>1209</v>
      </c>
      <c r="E19388" t="s">
        <v>1210</v>
      </c>
      <c r="F19388">
        <v>196.2</v>
      </c>
      <c r="G19388">
        <v>230502</v>
      </c>
      <c r="H19388">
        <v>4572</v>
      </c>
      <c r="I19388" t="s">
        <v>122</v>
      </c>
      <c r="J19388">
        <v>243.29</v>
      </c>
      <c r="K19388">
        <v>47.09</v>
      </c>
      <c r="L19388">
        <v>14981</v>
      </c>
      <c r="M19388" t="s">
        <v>1211</v>
      </c>
      <c r="N19388" t="str">
        <f>"5001483142  "</f>
        <v xml:space="preserve">5001483142  </v>
      </c>
      <c r="O19388">
        <v>230511</v>
      </c>
    </row>
    <row r="19389" spans="1:15" x14ac:dyDescent="0.25">
      <c r="A19389" t="s">
        <v>16</v>
      </c>
      <c r="B19389" t="s">
        <v>3221</v>
      </c>
      <c r="C19389">
        <v>8732</v>
      </c>
      <c r="D19389" t="s">
        <v>1209</v>
      </c>
      <c r="E19389" t="s">
        <v>1210</v>
      </c>
      <c r="F19389">
        <v>1484.33</v>
      </c>
      <c r="G19389">
        <v>230605</v>
      </c>
      <c r="H19389">
        <v>4572</v>
      </c>
      <c r="I19389" t="s">
        <v>122</v>
      </c>
      <c r="J19389">
        <v>1840.57</v>
      </c>
      <c r="K19389">
        <v>356.24</v>
      </c>
      <c r="L19389">
        <v>14951</v>
      </c>
      <c r="M19389" t="s">
        <v>57</v>
      </c>
      <c r="N19389" t="str">
        <f>"5001503502  "</f>
        <v xml:space="preserve">5001503502  </v>
      </c>
      <c r="O19389">
        <v>230613</v>
      </c>
    </row>
    <row r="19390" spans="1:15" x14ac:dyDescent="0.25">
      <c r="A19390" t="s">
        <v>16</v>
      </c>
      <c r="B19390" t="s">
        <v>3221</v>
      </c>
      <c r="C19390">
        <v>8736</v>
      </c>
      <c r="D19390" t="s">
        <v>1209</v>
      </c>
      <c r="E19390" t="s">
        <v>1210</v>
      </c>
      <c r="F19390">
        <v>51.67</v>
      </c>
      <c r="G19390">
        <v>230602</v>
      </c>
      <c r="H19390">
        <v>4572</v>
      </c>
      <c r="I19390" t="s">
        <v>122</v>
      </c>
      <c r="J19390">
        <v>64.069999999999993</v>
      </c>
      <c r="K19390">
        <v>12.4</v>
      </c>
      <c r="L19390">
        <v>11401</v>
      </c>
      <c r="M19390" t="s">
        <v>84</v>
      </c>
      <c r="N19390" t="str">
        <f>"5001499713  "</f>
        <v xml:space="preserve">5001499713  </v>
      </c>
      <c r="O19390">
        <v>230613</v>
      </c>
    </row>
    <row r="19391" spans="1:15" x14ac:dyDescent="0.25">
      <c r="A19391" t="s">
        <v>16</v>
      </c>
      <c r="B19391" t="s">
        <v>3221</v>
      </c>
      <c r="C19391">
        <v>8736</v>
      </c>
      <c r="D19391" t="s">
        <v>1209</v>
      </c>
      <c r="E19391" t="s">
        <v>1210</v>
      </c>
      <c r="F19391">
        <v>103.35</v>
      </c>
      <c r="G19391">
        <v>230602</v>
      </c>
      <c r="H19391">
        <v>4572</v>
      </c>
      <c r="I19391" t="s">
        <v>122</v>
      </c>
      <c r="J19391">
        <v>128.15</v>
      </c>
      <c r="K19391">
        <v>24.8</v>
      </c>
      <c r="L19391">
        <v>14952</v>
      </c>
      <c r="M19391" t="s">
        <v>99</v>
      </c>
      <c r="N19391" t="str">
        <f>"5001499713  "</f>
        <v xml:space="preserve">5001499713  </v>
      </c>
      <c r="O19391">
        <v>230613</v>
      </c>
    </row>
    <row r="19392" spans="1:15" x14ac:dyDescent="0.25">
      <c r="A19392" t="s">
        <v>16</v>
      </c>
      <c r="B19392" t="s">
        <v>3221</v>
      </c>
      <c r="C19392">
        <v>8737</v>
      </c>
      <c r="D19392" t="s">
        <v>1209</v>
      </c>
      <c r="E19392" t="s">
        <v>1210</v>
      </c>
      <c r="F19392">
        <v>79.95</v>
      </c>
      <c r="G19392">
        <v>230602</v>
      </c>
      <c r="H19392">
        <v>4572</v>
      </c>
      <c r="I19392" t="s">
        <v>122</v>
      </c>
      <c r="J19392">
        <v>99.14</v>
      </c>
      <c r="K19392">
        <v>19.190000000000001</v>
      </c>
      <c r="L19392">
        <v>14952</v>
      </c>
      <c r="M19392" t="s">
        <v>99</v>
      </c>
      <c r="N19392" t="str">
        <f>"5001498752  "</f>
        <v xml:space="preserve">5001498752  </v>
      </c>
      <c r="O19392">
        <v>230613</v>
      </c>
    </row>
    <row r="19393" spans="1:15" x14ac:dyDescent="0.25">
      <c r="A19393" t="s">
        <v>16</v>
      </c>
      <c r="B19393" t="s">
        <v>3221</v>
      </c>
      <c r="C19393">
        <v>8737</v>
      </c>
      <c r="D19393" t="s">
        <v>1209</v>
      </c>
      <c r="E19393" t="s">
        <v>1210</v>
      </c>
      <c r="F19393">
        <v>186.56</v>
      </c>
      <c r="G19393">
        <v>230602</v>
      </c>
      <c r="H19393">
        <v>4572</v>
      </c>
      <c r="I19393" t="s">
        <v>122</v>
      </c>
      <c r="J19393">
        <v>231.34</v>
      </c>
      <c r="K19393">
        <v>44.78</v>
      </c>
      <c r="L19393">
        <v>14981</v>
      </c>
      <c r="M19393" t="s">
        <v>1211</v>
      </c>
      <c r="N19393" t="str">
        <f>"5001498752  "</f>
        <v xml:space="preserve">5001498752  </v>
      </c>
      <c r="O19393">
        <v>230613</v>
      </c>
    </row>
    <row r="19394" spans="1:15" x14ac:dyDescent="0.25">
      <c r="A19394" t="s">
        <v>16</v>
      </c>
      <c r="B19394" t="s">
        <v>3221</v>
      </c>
      <c r="C19394">
        <v>9407</v>
      </c>
      <c r="D19394" t="s">
        <v>1209</v>
      </c>
      <c r="E19394" t="s">
        <v>1210</v>
      </c>
      <c r="F19394">
        <v>72.319999999999993</v>
      </c>
      <c r="G19394">
        <v>230703</v>
      </c>
      <c r="H19394">
        <v>4572</v>
      </c>
      <c r="I19394" t="s">
        <v>122</v>
      </c>
      <c r="J19394">
        <v>89.68</v>
      </c>
      <c r="K19394">
        <v>17.36</v>
      </c>
      <c r="L19394">
        <v>14952</v>
      </c>
      <c r="M19394" t="s">
        <v>99</v>
      </c>
      <c r="N19394" t="str">
        <f>"5001517856  "</f>
        <v xml:space="preserve">5001517856  </v>
      </c>
      <c r="O19394">
        <v>230710</v>
      </c>
    </row>
    <row r="19395" spans="1:15" x14ac:dyDescent="0.25">
      <c r="A19395" t="s">
        <v>16</v>
      </c>
      <c r="B19395" t="s">
        <v>3221</v>
      </c>
      <c r="C19395">
        <v>9407</v>
      </c>
      <c r="D19395" t="s">
        <v>1209</v>
      </c>
      <c r="E19395" t="s">
        <v>1210</v>
      </c>
      <c r="F19395">
        <v>168.77</v>
      </c>
      <c r="G19395">
        <v>230703</v>
      </c>
      <c r="H19395">
        <v>4572</v>
      </c>
      <c r="I19395" t="s">
        <v>122</v>
      </c>
      <c r="J19395">
        <v>209.27</v>
      </c>
      <c r="K19395">
        <v>40.5</v>
      </c>
      <c r="L19395">
        <v>14981</v>
      </c>
      <c r="M19395" t="s">
        <v>1211</v>
      </c>
      <c r="N19395" t="str">
        <f>"5001517856  "</f>
        <v xml:space="preserve">5001517856  </v>
      </c>
      <c r="O19395">
        <v>230710</v>
      </c>
    </row>
    <row r="19396" spans="1:15" x14ac:dyDescent="0.25">
      <c r="A19396" t="s">
        <v>16</v>
      </c>
      <c r="B19396" t="s">
        <v>3221</v>
      </c>
      <c r="C19396">
        <v>9417</v>
      </c>
      <c r="D19396" t="s">
        <v>1209</v>
      </c>
      <c r="E19396" t="s">
        <v>1210</v>
      </c>
      <c r="F19396">
        <v>22.5</v>
      </c>
      <c r="G19396">
        <v>230703</v>
      </c>
      <c r="H19396">
        <v>4572</v>
      </c>
      <c r="I19396" t="s">
        <v>122</v>
      </c>
      <c r="J19396">
        <v>27.9</v>
      </c>
      <c r="K19396">
        <v>5.4</v>
      </c>
      <c r="L19396">
        <v>11401</v>
      </c>
      <c r="M19396" t="s">
        <v>84</v>
      </c>
      <c r="N19396" t="str">
        <f>"5001519768  "</f>
        <v xml:space="preserve">5001519768  </v>
      </c>
      <c r="O19396">
        <v>230710</v>
      </c>
    </row>
    <row r="19397" spans="1:15" x14ac:dyDescent="0.25">
      <c r="A19397" t="s">
        <v>16</v>
      </c>
      <c r="B19397" t="s">
        <v>3221</v>
      </c>
      <c r="C19397">
        <v>9417</v>
      </c>
      <c r="D19397" t="s">
        <v>1209</v>
      </c>
      <c r="E19397" t="s">
        <v>1210</v>
      </c>
      <c r="F19397">
        <v>45.02</v>
      </c>
      <c r="G19397">
        <v>230703</v>
      </c>
      <c r="H19397">
        <v>4572</v>
      </c>
      <c r="I19397" t="s">
        <v>122</v>
      </c>
      <c r="J19397">
        <v>55.82</v>
      </c>
      <c r="K19397">
        <v>10.8</v>
      </c>
      <c r="L19397">
        <v>14952</v>
      </c>
      <c r="M19397" t="s">
        <v>99</v>
      </c>
      <c r="N19397" t="str">
        <f>"5001519768  "</f>
        <v xml:space="preserve">5001519768  </v>
      </c>
      <c r="O19397">
        <v>230710</v>
      </c>
    </row>
    <row r="19398" spans="1:15" x14ac:dyDescent="0.25">
      <c r="A19398" t="s">
        <v>16</v>
      </c>
      <c r="B19398" t="s">
        <v>3221</v>
      </c>
      <c r="C19398">
        <v>9419</v>
      </c>
      <c r="D19398" t="s">
        <v>1209</v>
      </c>
      <c r="E19398" t="s">
        <v>1210</v>
      </c>
      <c r="F19398">
        <v>1309.0899999999999</v>
      </c>
      <c r="G19398">
        <v>230703</v>
      </c>
      <c r="H19398">
        <v>4572</v>
      </c>
      <c r="I19398" t="s">
        <v>122</v>
      </c>
      <c r="J19398">
        <v>1623.27</v>
      </c>
      <c r="K19398">
        <v>314.18</v>
      </c>
      <c r="L19398">
        <v>14951</v>
      </c>
      <c r="M19398" t="s">
        <v>57</v>
      </c>
      <c r="N19398" t="str">
        <f>"5001518165  "</f>
        <v xml:space="preserve">5001518165  </v>
      </c>
      <c r="O19398">
        <v>230710</v>
      </c>
    </row>
    <row r="19399" spans="1:15" x14ac:dyDescent="0.25">
      <c r="A19399" t="s">
        <v>16</v>
      </c>
      <c r="B19399" t="s">
        <v>3221</v>
      </c>
      <c r="C19399">
        <v>9422</v>
      </c>
      <c r="D19399" t="s">
        <v>1209</v>
      </c>
      <c r="E19399" t="s">
        <v>1210</v>
      </c>
      <c r="F19399">
        <v>15.06</v>
      </c>
      <c r="G19399">
        <v>230703</v>
      </c>
      <c r="H19399">
        <v>4572</v>
      </c>
      <c r="I19399" t="s">
        <v>122</v>
      </c>
      <c r="J19399">
        <v>18.670000000000002</v>
      </c>
      <c r="K19399">
        <v>3.61</v>
      </c>
      <c r="L19399">
        <v>14952</v>
      </c>
      <c r="M19399" t="s">
        <v>99</v>
      </c>
      <c r="N19399" t="str">
        <f>"5001519919  "</f>
        <v xml:space="preserve">5001519919  </v>
      </c>
      <c r="O19399">
        <v>230710</v>
      </c>
    </row>
    <row r="19400" spans="1:15" x14ac:dyDescent="0.25">
      <c r="A19400" t="s">
        <v>16</v>
      </c>
      <c r="B19400" t="s">
        <v>3221</v>
      </c>
      <c r="C19400">
        <v>9422</v>
      </c>
      <c r="D19400" t="s">
        <v>1209</v>
      </c>
      <c r="E19400" t="s">
        <v>1210</v>
      </c>
      <c r="F19400">
        <v>35.14</v>
      </c>
      <c r="G19400">
        <v>230703</v>
      </c>
      <c r="H19400">
        <v>4572</v>
      </c>
      <c r="I19400" t="s">
        <v>122</v>
      </c>
      <c r="J19400">
        <v>43.57</v>
      </c>
      <c r="K19400">
        <v>8.43</v>
      </c>
      <c r="L19400">
        <v>14981</v>
      </c>
      <c r="M19400" t="s">
        <v>1211</v>
      </c>
      <c r="N19400" t="str">
        <f>"5001519919  "</f>
        <v xml:space="preserve">5001519919  </v>
      </c>
      <c r="O19400">
        <v>230710</v>
      </c>
    </row>
    <row r="19401" spans="1:15" x14ac:dyDescent="0.25">
      <c r="A19401" t="s">
        <v>16</v>
      </c>
      <c r="B19401" t="s">
        <v>3221</v>
      </c>
      <c r="C19401">
        <v>9423</v>
      </c>
      <c r="D19401" t="s">
        <v>1209</v>
      </c>
      <c r="E19401" t="s">
        <v>1210</v>
      </c>
      <c r="F19401">
        <v>52.34</v>
      </c>
      <c r="G19401">
        <v>230703</v>
      </c>
      <c r="H19401">
        <v>4572</v>
      </c>
      <c r="I19401" t="s">
        <v>122</v>
      </c>
      <c r="J19401">
        <v>64.900000000000006</v>
      </c>
      <c r="K19401">
        <v>12.56</v>
      </c>
      <c r="L19401">
        <v>11401</v>
      </c>
      <c r="M19401" t="s">
        <v>84</v>
      </c>
      <c r="N19401" t="str">
        <f>"5001518342  "</f>
        <v xml:space="preserve">5001518342  </v>
      </c>
      <c r="O19401">
        <v>230710</v>
      </c>
    </row>
    <row r="19402" spans="1:15" x14ac:dyDescent="0.25">
      <c r="A19402" t="s">
        <v>16</v>
      </c>
      <c r="B19402" t="s">
        <v>3221</v>
      </c>
      <c r="C19402">
        <v>9423</v>
      </c>
      <c r="D19402" t="s">
        <v>1209</v>
      </c>
      <c r="E19402" t="s">
        <v>1210</v>
      </c>
      <c r="F19402">
        <v>104.69</v>
      </c>
      <c r="G19402">
        <v>230703</v>
      </c>
      <c r="H19402">
        <v>4572</v>
      </c>
      <c r="I19402" t="s">
        <v>122</v>
      </c>
      <c r="J19402">
        <v>129.82</v>
      </c>
      <c r="K19402">
        <v>25.13</v>
      </c>
      <c r="L19402">
        <v>14952</v>
      </c>
      <c r="M19402" t="s">
        <v>99</v>
      </c>
      <c r="N19402" t="str">
        <f>"5001518342  "</f>
        <v xml:space="preserve">5001518342  </v>
      </c>
      <c r="O19402">
        <v>230710</v>
      </c>
    </row>
    <row r="19403" spans="1:15" x14ac:dyDescent="0.25">
      <c r="A19403" t="s">
        <v>16</v>
      </c>
      <c r="B19403" t="s">
        <v>3221</v>
      </c>
      <c r="C19403">
        <v>9424</v>
      </c>
      <c r="D19403" t="s">
        <v>1209</v>
      </c>
      <c r="E19403" t="s">
        <v>1210</v>
      </c>
      <c r="F19403">
        <v>24.89</v>
      </c>
      <c r="G19403">
        <v>230703</v>
      </c>
      <c r="H19403">
        <v>4572</v>
      </c>
      <c r="I19403" t="s">
        <v>122</v>
      </c>
      <c r="J19403">
        <v>30.86</v>
      </c>
      <c r="K19403">
        <v>5.97</v>
      </c>
      <c r="L19403">
        <v>14952</v>
      </c>
      <c r="M19403" t="s">
        <v>99</v>
      </c>
      <c r="N19403" t="str">
        <f>"5001513890  "</f>
        <v xml:space="preserve">5001513890  </v>
      </c>
      <c r="O19403">
        <v>230710</v>
      </c>
    </row>
    <row r="19404" spans="1:15" x14ac:dyDescent="0.25">
      <c r="A19404" t="s">
        <v>16</v>
      </c>
      <c r="B19404" t="s">
        <v>3221</v>
      </c>
      <c r="C19404">
        <v>9424</v>
      </c>
      <c r="D19404" t="s">
        <v>1209</v>
      </c>
      <c r="E19404" t="s">
        <v>1210</v>
      </c>
      <c r="F19404">
        <v>58.07</v>
      </c>
      <c r="G19404">
        <v>230703</v>
      </c>
      <c r="H19404">
        <v>4572</v>
      </c>
      <c r="I19404" t="s">
        <v>122</v>
      </c>
      <c r="J19404">
        <v>72.010000000000005</v>
      </c>
      <c r="K19404">
        <v>13.94</v>
      </c>
      <c r="L19404">
        <v>14981</v>
      </c>
      <c r="M19404" t="s">
        <v>1211</v>
      </c>
      <c r="N19404" t="str">
        <f>"5001513890  "</f>
        <v xml:space="preserve">5001513890  </v>
      </c>
      <c r="O19404">
        <v>230710</v>
      </c>
    </row>
    <row r="19405" spans="1:15" x14ac:dyDescent="0.25">
      <c r="A19405" t="s">
        <v>16</v>
      </c>
      <c r="B19405" t="s">
        <v>3221</v>
      </c>
      <c r="C19405">
        <v>10062</v>
      </c>
      <c r="D19405" t="s">
        <v>1209</v>
      </c>
      <c r="E19405" t="s">
        <v>1210</v>
      </c>
      <c r="F19405">
        <v>1258.8499999999999</v>
      </c>
      <c r="G19405">
        <v>230802</v>
      </c>
      <c r="H19405">
        <v>4572</v>
      </c>
      <c r="I19405" t="s">
        <v>122</v>
      </c>
      <c r="J19405">
        <v>1560.97</v>
      </c>
      <c r="K19405">
        <v>302.12</v>
      </c>
      <c r="L19405">
        <v>14951</v>
      </c>
      <c r="M19405" t="s">
        <v>57</v>
      </c>
      <c r="N19405" t="str">
        <f>"5001599621  "</f>
        <v xml:space="preserve">5001599621  </v>
      </c>
      <c r="O19405">
        <v>230808</v>
      </c>
    </row>
    <row r="19406" spans="1:15" x14ac:dyDescent="0.25">
      <c r="A19406" t="s">
        <v>16</v>
      </c>
      <c r="B19406" t="s">
        <v>3221</v>
      </c>
      <c r="C19406">
        <v>10076</v>
      </c>
      <c r="D19406" t="s">
        <v>1209</v>
      </c>
      <c r="E19406" t="s">
        <v>1210</v>
      </c>
      <c r="F19406">
        <v>55.5</v>
      </c>
      <c r="G19406">
        <v>230802</v>
      </c>
      <c r="H19406">
        <v>4572</v>
      </c>
      <c r="I19406" t="s">
        <v>122</v>
      </c>
      <c r="J19406">
        <v>68.819999999999993</v>
      </c>
      <c r="K19406">
        <v>13.32</v>
      </c>
      <c r="L19406">
        <v>11401</v>
      </c>
      <c r="M19406" t="s">
        <v>84</v>
      </c>
      <c r="N19406" t="str">
        <f>"5001600104  "</f>
        <v xml:space="preserve">5001600104  </v>
      </c>
      <c r="O19406">
        <v>230808</v>
      </c>
    </row>
    <row r="19407" spans="1:15" x14ac:dyDescent="0.25">
      <c r="A19407" t="s">
        <v>16</v>
      </c>
      <c r="B19407" t="s">
        <v>3221</v>
      </c>
      <c r="C19407">
        <v>10076</v>
      </c>
      <c r="D19407" t="s">
        <v>1209</v>
      </c>
      <c r="E19407" t="s">
        <v>1210</v>
      </c>
      <c r="F19407">
        <v>111.01</v>
      </c>
      <c r="G19407">
        <v>230802</v>
      </c>
      <c r="H19407">
        <v>4572</v>
      </c>
      <c r="I19407" t="s">
        <v>122</v>
      </c>
      <c r="J19407">
        <v>137.65</v>
      </c>
      <c r="K19407">
        <v>26.64</v>
      </c>
      <c r="L19407">
        <v>14952</v>
      </c>
      <c r="M19407" t="s">
        <v>99</v>
      </c>
      <c r="N19407" t="str">
        <f>"5001600104  "</f>
        <v xml:space="preserve">5001600104  </v>
      </c>
      <c r="O19407">
        <v>230808</v>
      </c>
    </row>
    <row r="19408" spans="1:15" x14ac:dyDescent="0.25">
      <c r="A19408" t="s">
        <v>16</v>
      </c>
      <c r="B19408" t="s">
        <v>3221</v>
      </c>
      <c r="C19408">
        <v>10745</v>
      </c>
      <c r="D19408" t="s">
        <v>1209</v>
      </c>
      <c r="E19408" t="s">
        <v>1210</v>
      </c>
      <c r="F19408">
        <v>81.489999999999995</v>
      </c>
      <c r="G19408">
        <v>230821</v>
      </c>
      <c r="H19408">
        <v>4572</v>
      </c>
      <c r="I19408" t="s">
        <v>122</v>
      </c>
      <c r="J19408">
        <v>101.05</v>
      </c>
      <c r="K19408">
        <v>19.559999999999999</v>
      </c>
      <c r="L19408">
        <v>14952</v>
      </c>
      <c r="M19408" t="s">
        <v>99</v>
      </c>
      <c r="N19408" t="str">
        <f>"5001609602  "</f>
        <v xml:space="preserve">5001609602  </v>
      </c>
      <c r="O19408">
        <v>230822</v>
      </c>
    </row>
    <row r="19409" spans="1:15" x14ac:dyDescent="0.25">
      <c r="A19409" t="s">
        <v>16</v>
      </c>
      <c r="B19409" t="s">
        <v>3221</v>
      </c>
      <c r="C19409">
        <v>10745</v>
      </c>
      <c r="D19409" t="s">
        <v>1209</v>
      </c>
      <c r="E19409" t="s">
        <v>1210</v>
      </c>
      <c r="F19409">
        <v>190.14</v>
      </c>
      <c r="G19409">
        <v>230821</v>
      </c>
      <c r="H19409">
        <v>4572</v>
      </c>
      <c r="I19409" t="s">
        <v>122</v>
      </c>
      <c r="J19409">
        <v>235.77</v>
      </c>
      <c r="K19409">
        <v>45.63</v>
      </c>
      <c r="L19409">
        <v>14981</v>
      </c>
      <c r="M19409" t="s">
        <v>1211</v>
      </c>
      <c r="N19409" t="str">
        <f>"5001609602  "</f>
        <v xml:space="preserve">5001609602  </v>
      </c>
      <c r="O19409">
        <v>230822</v>
      </c>
    </row>
    <row r="19410" spans="1:15" x14ac:dyDescent="0.25">
      <c r="A19410" t="s">
        <v>16</v>
      </c>
      <c r="B19410" t="s">
        <v>3221</v>
      </c>
      <c r="C19410">
        <v>11683</v>
      </c>
      <c r="D19410" t="s">
        <v>1209</v>
      </c>
      <c r="E19410" t="s">
        <v>1210</v>
      </c>
      <c r="F19410">
        <v>66.97</v>
      </c>
      <c r="G19410">
        <v>230905</v>
      </c>
      <c r="H19410">
        <v>4572</v>
      </c>
      <c r="I19410" t="s">
        <v>122</v>
      </c>
      <c r="J19410">
        <v>83.04</v>
      </c>
      <c r="K19410">
        <v>16.07</v>
      </c>
      <c r="L19410">
        <v>11401</v>
      </c>
      <c r="M19410" t="s">
        <v>84</v>
      </c>
      <c r="N19410" t="str">
        <f>"5001616557  "</f>
        <v xml:space="preserve">5001616557  </v>
      </c>
      <c r="O19410">
        <v>230908</v>
      </c>
    </row>
    <row r="19411" spans="1:15" x14ac:dyDescent="0.25">
      <c r="A19411" t="s">
        <v>16</v>
      </c>
      <c r="B19411" t="s">
        <v>3221</v>
      </c>
      <c r="C19411">
        <v>11683</v>
      </c>
      <c r="D19411" t="s">
        <v>1209</v>
      </c>
      <c r="E19411" t="s">
        <v>1210</v>
      </c>
      <c r="F19411">
        <v>133.94</v>
      </c>
      <c r="G19411">
        <v>230905</v>
      </c>
      <c r="H19411">
        <v>4572</v>
      </c>
      <c r="I19411" t="s">
        <v>122</v>
      </c>
      <c r="J19411">
        <v>166.09</v>
      </c>
      <c r="K19411">
        <v>32.15</v>
      </c>
      <c r="L19411">
        <v>14952</v>
      </c>
      <c r="M19411" t="s">
        <v>99</v>
      </c>
      <c r="N19411" t="str">
        <f>"5001616557  "</f>
        <v xml:space="preserve">5001616557  </v>
      </c>
      <c r="O19411">
        <v>230908</v>
      </c>
    </row>
    <row r="19412" spans="1:15" x14ac:dyDescent="0.25">
      <c r="A19412" t="s">
        <v>16</v>
      </c>
      <c r="B19412" t="s">
        <v>3221</v>
      </c>
      <c r="C19412">
        <v>11738</v>
      </c>
      <c r="D19412" t="s">
        <v>1209</v>
      </c>
      <c r="E19412" t="s">
        <v>1210</v>
      </c>
      <c r="F19412">
        <v>81.900000000000006</v>
      </c>
      <c r="G19412">
        <v>230905</v>
      </c>
      <c r="H19412">
        <v>4572</v>
      </c>
      <c r="I19412" t="s">
        <v>122</v>
      </c>
      <c r="J19412">
        <v>101.55</v>
      </c>
      <c r="K19412">
        <v>19.649999999999999</v>
      </c>
      <c r="L19412">
        <v>14952</v>
      </c>
      <c r="M19412" t="s">
        <v>99</v>
      </c>
      <c r="N19412" t="str">
        <f>"5001617010  "</f>
        <v xml:space="preserve">5001617010  </v>
      </c>
      <c r="O19412">
        <v>230908</v>
      </c>
    </row>
    <row r="19413" spans="1:15" x14ac:dyDescent="0.25">
      <c r="A19413" t="s">
        <v>16</v>
      </c>
      <c r="B19413" t="s">
        <v>3221</v>
      </c>
      <c r="C19413">
        <v>11738</v>
      </c>
      <c r="D19413" t="s">
        <v>1209</v>
      </c>
      <c r="E19413" t="s">
        <v>1210</v>
      </c>
      <c r="F19413">
        <v>191.09</v>
      </c>
      <c r="G19413">
        <v>230905</v>
      </c>
      <c r="H19413">
        <v>4572</v>
      </c>
      <c r="I19413" t="s">
        <v>122</v>
      </c>
      <c r="J19413">
        <v>236.95</v>
      </c>
      <c r="K19413">
        <v>45.86</v>
      </c>
      <c r="L19413">
        <v>14981</v>
      </c>
      <c r="M19413" t="s">
        <v>1211</v>
      </c>
      <c r="N19413" t="str">
        <f>"5001617010  "</f>
        <v xml:space="preserve">5001617010  </v>
      </c>
      <c r="O19413">
        <v>230908</v>
      </c>
    </row>
    <row r="19414" spans="1:15" x14ac:dyDescent="0.25">
      <c r="A19414" t="s">
        <v>16</v>
      </c>
      <c r="B19414" t="s">
        <v>3221</v>
      </c>
      <c r="C19414">
        <v>11739</v>
      </c>
      <c r="D19414" t="s">
        <v>1209</v>
      </c>
      <c r="E19414" t="s">
        <v>1210</v>
      </c>
      <c r="F19414">
        <v>1642.5</v>
      </c>
      <c r="G19414">
        <v>230905</v>
      </c>
      <c r="H19414">
        <v>4572</v>
      </c>
      <c r="I19414" t="s">
        <v>122</v>
      </c>
      <c r="J19414">
        <v>2036.7</v>
      </c>
      <c r="K19414">
        <v>394.2</v>
      </c>
      <c r="L19414">
        <v>14951</v>
      </c>
      <c r="M19414" t="s">
        <v>57</v>
      </c>
      <c r="N19414" t="str">
        <f>"5001614290  "</f>
        <v xml:space="preserve">5001614290  </v>
      </c>
      <c r="O19414">
        <v>230908</v>
      </c>
    </row>
    <row r="19415" spans="1:15" x14ac:dyDescent="0.25">
      <c r="A19415" t="s">
        <v>16</v>
      </c>
      <c r="B19415" t="s">
        <v>3221</v>
      </c>
      <c r="C19415">
        <v>11740</v>
      </c>
      <c r="D19415" t="s">
        <v>1209</v>
      </c>
      <c r="E19415" t="s">
        <v>1210</v>
      </c>
      <c r="F19415">
        <v>38.01</v>
      </c>
      <c r="G19415">
        <v>230906</v>
      </c>
      <c r="H19415">
        <v>4572</v>
      </c>
      <c r="I19415" t="s">
        <v>122</v>
      </c>
      <c r="J19415">
        <v>47.13</v>
      </c>
      <c r="K19415">
        <v>9.1199999999999992</v>
      </c>
      <c r="L19415">
        <v>14952</v>
      </c>
      <c r="M19415" t="s">
        <v>99</v>
      </c>
      <c r="N19415" t="str">
        <f>"5001620148  "</f>
        <v xml:space="preserve">5001620148  </v>
      </c>
      <c r="O19415">
        <v>230908</v>
      </c>
    </row>
    <row r="19416" spans="1:15" x14ac:dyDescent="0.25">
      <c r="A19416" t="s">
        <v>16</v>
      </c>
      <c r="B19416" t="s">
        <v>3221</v>
      </c>
      <c r="C19416">
        <v>11740</v>
      </c>
      <c r="D19416" t="s">
        <v>1209</v>
      </c>
      <c r="E19416" t="s">
        <v>1210</v>
      </c>
      <c r="F19416">
        <v>88.69</v>
      </c>
      <c r="G19416">
        <v>230906</v>
      </c>
      <c r="H19416">
        <v>4572</v>
      </c>
      <c r="I19416" t="s">
        <v>122</v>
      </c>
      <c r="J19416">
        <v>109.98</v>
      </c>
      <c r="K19416">
        <v>21.29</v>
      </c>
      <c r="L19416">
        <v>14981</v>
      </c>
      <c r="M19416" t="s">
        <v>1211</v>
      </c>
      <c r="N19416" t="str">
        <f>"5001620148  "</f>
        <v xml:space="preserve">5001620148  </v>
      </c>
      <c r="O19416">
        <v>230908</v>
      </c>
    </row>
    <row r="19417" spans="1:15" x14ac:dyDescent="0.25">
      <c r="A19417" t="s">
        <v>16</v>
      </c>
      <c r="B19417" t="s">
        <v>3221</v>
      </c>
      <c r="C19417">
        <v>13643</v>
      </c>
      <c r="D19417" t="s">
        <v>1209</v>
      </c>
      <c r="E19417" t="s">
        <v>1210</v>
      </c>
      <c r="F19417">
        <v>77.27</v>
      </c>
      <c r="G19417">
        <v>231003</v>
      </c>
      <c r="H19417">
        <v>4572</v>
      </c>
      <c r="I19417" t="s">
        <v>122</v>
      </c>
      <c r="J19417">
        <v>95.81</v>
      </c>
      <c r="K19417">
        <v>18.54</v>
      </c>
      <c r="L19417">
        <v>14952</v>
      </c>
      <c r="M19417" t="s">
        <v>99</v>
      </c>
      <c r="N19417" t="str">
        <f>"5001677351  "</f>
        <v xml:space="preserve">5001677351  </v>
      </c>
      <c r="O19417">
        <v>231012</v>
      </c>
    </row>
    <row r="19418" spans="1:15" x14ac:dyDescent="0.25">
      <c r="A19418" t="s">
        <v>16</v>
      </c>
      <c r="B19418" t="s">
        <v>3221</v>
      </c>
      <c r="C19418">
        <v>13643</v>
      </c>
      <c r="D19418" t="s">
        <v>1209</v>
      </c>
      <c r="E19418" t="s">
        <v>1210</v>
      </c>
      <c r="F19418">
        <v>180.29</v>
      </c>
      <c r="G19418">
        <v>231003</v>
      </c>
      <c r="H19418">
        <v>4572</v>
      </c>
      <c r="I19418" t="s">
        <v>122</v>
      </c>
      <c r="J19418">
        <v>223.56</v>
      </c>
      <c r="K19418">
        <v>43.27</v>
      </c>
      <c r="L19418">
        <v>14981</v>
      </c>
      <c r="M19418" t="s">
        <v>1211</v>
      </c>
      <c r="N19418" t="str">
        <f>"5001677351  "</f>
        <v xml:space="preserve">5001677351  </v>
      </c>
      <c r="O19418">
        <v>231012</v>
      </c>
    </row>
    <row r="19419" spans="1:15" x14ac:dyDescent="0.25">
      <c r="A19419" t="s">
        <v>16</v>
      </c>
      <c r="B19419" t="s">
        <v>3221</v>
      </c>
      <c r="C19419">
        <v>13644</v>
      </c>
      <c r="D19419" t="s">
        <v>1209</v>
      </c>
      <c r="E19419" t="s">
        <v>1210</v>
      </c>
      <c r="F19419">
        <v>1615.4</v>
      </c>
      <c r="G19419">
        <v>231002</v>
      </c>
      <c r="H19419">
        <v>4572</v>
      </c>
      <c r="I19419" t="s">
        <v>122</v>
      </c>
      <c r="J19419">
        <v>2003.1</v>
      </c>
      <c r="K19419">
        <v>387.7</v>
      </c>
      <c r="L19419">
        <v>14951</v>
      </c>
      <c r="M19419" t="s">
        <v>57</v>
      </c>
      <c r="N19419" t="str">
        <f>"5001646930  "</f>
        <v xml:space="preserve">5001646930  </v>
      </c>
      <c r="O19419">
        <v>231012</v>
      </c>
    </row>
    <row r="19420" spans="1:15" x14ac:dyDescent="0.25">
      <c r="A19420" t="s">
        <v>16</v>
      </c>
      <c r="B19420" t="s">
        <v>3221</v>
      </c>
      <c r="C19420">
        <v>13797</v>
      </c>
      <c r="D19420" t="s">
        <v>1209</v>
      </c>
      <c r="E19420" t="s">
        <v>1210</v>
      </c>
      <c r="F19420">
        <v>66.72</v>
      </c>
      <c r="G19420">
        <v>231002</v>
      </c>
      <c r="H19420">
        <v>4572</v>
      </c>
      <c r="I19420" t="s">
        <v>122</v>
      </c>
      <c r="J19420">
        <v>82.73</v>
      </c>
      <c r="K19420">
        <v>16.010000000000002</v>
      </c>
      <c r="L19420">
        <v>11401</v>
      </c>
      <c r="M19420" t="s">
        <v>84</v>
      </c>
      <c r="N19420" t="str">
        <f>"5001633978  "</f>
        <v xml:space="preserve">5001633978  </v>
      </c>
      <c r="O19420">
        <v>231013</v>
      </c>
    </row>
    <row r="19421" spans="1:15" x14ac:dyDescent="0.25">
      <c r="A19421" t="s">
        <v>16</v>
      </c>
      <c r="B19421" t="s">
        <v>3221</v>
      </c>
      <c r="C19421">
        <v>13797</v>
      </c>
      <c r="D19421" t="s">
        <v>1209</v>
      </c>
      <c r="E19421" t="s">
        <v>1210</v>
      </c>
      <c r="F19421">
        <v>133.44</v>
      </c>
      <c r="G19421">
        <v>231002</v>
      </c>
      <c r="H19421">
        <v>4572</v>
      </c>
      <c r="I19421" t="s">
        <v>122</v>
      </c>
      <c r="J19421">
        <v>165.46</v>
      </c>
      <c r="K19421">
        <v>32.020000000000003</v>
      </c>
      <c r="L19421">
        <v>14952</v>
      </c>
      <c r="M19421" t="s">
        <v>99</v>
      </c>
      <c r="N19421" t="str">
        <f>"5001633978  "</f>
        <v xml:space="preserve">5001633978  </v>
      </c>
      <c r="O19421">
        <v>231013</v>
      </c>
    </row>
    <row r="19422" spans="1:15" x14ac:dyDescent="0.25">
      <c r="A19422" t="s">
        <v>16</v>
      </c>
      <c r="B19422" t="s">
        <v>3221</v>
      </c>
      <c r="C19422">
        <v>13800</v>
      </c>
      <c r="D19422" t="s">
        <v>1209</v>
      </c>
      <c r="E19422" t="s">
        <v>1210</v>
      </c>
      <c r="F19422">
        <v>40.83</v>
      </c>
      <c r="G19422">
        <v>231002</v>
      </c>
      <c r="H19422">
        <v>4572</v>
      </c>
      <c r="I19422" t="s">
        <v>122</v>
      </c>
      <c r="J19422">
        <v>50.63</v>
      </c>
      <c r="K19422">
        <v>9.8000000000000007</v>
      </c>
      <c r="L19422">
        <v>11401</v>
      </c>
      <c r="M19422" t="s">
        <v>84</v>
      </c>
      <c r="N19422" t="str">
        <f>"5001675273  "</f>
        <v xml:space="preserve">5001675273  </v>
      </c>
      <c r="O19422">
        <v>231013</v>
      </c>
    </row>
    <row r="19423" spans="1:15" x14ac:dyDescent="0.25">
      <c r="A19423" t="s">
        <v>16</v>
      </c>
      <c r="B19423" t="s">
        <v>3221</v>
      </c>
      <c r="C19423">
        <v>13800</v>
      </c>
      <c r="D19423" t="s">
        <v>1209</v>
      </c>
      <c r="E19423" t="s">
        <v>1210</v>
      </c>
      <c r="F19423">
        <v>81.67</v>
      </c>
      <c r="G19423">
        <v>231002</v>
      </c>
      <c r="H19423">
        <v>4572</v>
      </c>
      <c r="I19423" t="s">
        <v>122</v>
      </c>
      <c r="J19423">
        <v>101.27</v>
      </c>
      <c r="K19423">
        <v>19.600000000000001</v>
      </c>
      <c r="L19423">
        <v>14952</v>
      </c>
      <c r="M19423" t="s">
        <v>99</v>
      </c>
      <c r="N19423" t="str">
        <f>"5001675273  "</f>
        <v xml:space="preserve">5001675273  </v>
      </c>
      <c r="O19423">
        <v>231013</v>
      </c>
    </row>
    <row r="19424" spans="1:15" x14ac:dyDescent="0.25">
      <c r="A19424" t="s">
        <v>16</v>
      </c>
      <c r="B19424" t="s">
        <v>3221</v>
      </c>
      <c r="C19424">
        <v>13897</v>
      </c>
      <c r="D19424" t="s">
        <v>1209</v>
      </c>
      <c r="E19424" t="s">
        <v>1210</v>
      </c>
      <c r="F19424">
        <v>40.659999999999997</v>
      </c>
      <c r="G19424">
        <v>231011</v>
      </c>
      <c r="H19424">
        <v>4572</v>
      </c>
      <c r="I19424" t="s">
        <v>122</v>
      </c>
      <c r="J19424">
        <v>50.42</v>
      </c>
      <c r="K19424">
        <v>9.76</v>
      </c>
      <c r="L19424">
        <v>14952</v>
      </c>
      <c r="M19424" t="s">
        <v>99</v>
      </c>
      <c r="N19424" t="str">
        <f>"5001704811  "</f>
        <v xml:space="preserve">5001704811  </v>
      </c>
      <c r="O19424">
        <v>231016</v>
      </c>
    </row>
    <row r="19425" spans="1:15" x14ac:dyDescent="0.25">
      <c r="A19425" t="s">
        <v>16</v>
      </c>
      <c r="B19425" t="s">
        <v>3221</v>
      </c>
      <c r="C19425">
        <v>13897</v>
      </c>
      <c r="D19425" t="s">
        <v>1209</v>
      </c>
      <c r="E19425" t="s">
        <v>1210</v>
      </c>
      <c r="F19425">
        <v>94.87</v>
      </c>
      <c r="G19425">
        <v>231011</v>
      </c>
      <c r="H19425">
        <v>4572</v>
      </c>
      <c r="I19425" t="s">
        <v>122</v>
      </c>
      <c r="J19425">
        <v>117.64</v>
      </c>
      <c r="K19425">
        <v>22.77</v>
      </c>
      <c r="L19425">
        <v>14981</v>
      </c>
      <c r="M19425" t="s">
        <v>1211</v>
      </c>
      <c r="N19425" t="str">
        <f>"5001704811  "</f>
        <v xml:space="preserve">5001704811  </v>
      </c>
      <c r="O19425">
        <v>231016</v>
      </c>
    </row>
    <row r="19426" spans="1:15" x14ac:dyDescent="0.25">
      <c r="A19426" t="s">
        <v>16</v>
      </c>
      <c r="B19426" t="s">
        <v>3221</v>
      </c>
      <c r="C19426">
        <v>15375</v>
      </c>
      <c r="D19426" t="s">
        <v>1209</v>
      </c>
      <c r="E19426" t="s">
        <v>1210</v>
      </c>
      <c r="F19426">
        <v>87.19</v>
      </c>
      <c r="G19426">
        <v>231103</v>
      </c>
      <c r="H19426">
        <v>4572</v>
      </c>
      <c r="I19426" t="s">
        <v>122</v>
      </c>
      <c r="J19426">
        <v>108.12</v>
      </c>
      <c r="K19426">
        <v>20.93</v>
      </c>
      <c r="L19426">
        <v>11401</v>
      </c>
      <c r="M19426" t="s">
        <v>84</v>
      </c>
      <c r="N19426" t="str">
        <f>"5001718217  "</f>
        <v xml:space="preserve">5001718217  </v>
      </c>
      <c r="O19426">
        <v>231113</v>
      </c>
    </row>
    <row r="19427" spans="1:15" x14ac:dyDescent="0.25">
      <c r="A19427" t="s">
        <v>16</v>
      </c>
      <c r="B19427" t="s">
        <v>3221</v>
      </c>
      <c r="C19427">
        <v>15375</v>
      </c>
      <c r="D19427" t="s">
        <v>1209</v>
      </c>
      <c r="E19427" t="s">
        <v>1210</v>
      </c>
      <c r="F19427">
        <v>174.39</v>
      </c>
      <c r="G19427">
        <v>231103</v>
      </c>
      <c r="H19427">
        <v>4572</v>
      </c>
      <c r="I19427" t="s">
        <v>122</v>
      </c>
      <c r="J19427">
        <v>216.24</v>
      </c>
      <c r="K19427">
        <v>41.85</v>
      </c>
      <c r="L19427">
        <v>14952</v>
      </c>
      <c r="M19427" t="s">
        <v>99</v>
      </c>
      <c r="N19427" t="str">
        <f>"5001718217  "</f>
        <v xml:space="preserve">5001718217  </v>
      </c>
      <c r="O19427">
        <v>231113</v>
      </c>
    </row>
    <row r="19428" spans="1:15" x14ac:dyDescent="0.25">
      <c r="A19428" t="s">
        <v>16</v>
      </c>
      <c r="B19428" t="s">
        <v>3221</v>
      </c>
      <c r="C19428">
        <v>15377</v>
      </c>
      <c r="D19428" t="s">
        <v>1209</v>
      </c>
      <c r="E19428" t="s">
        <v>1210</v>
      </c>
      <c r="F19428">
        <v>1601.64</v>
      </c>
      <c r="G19428">
        <v>231103</v>
      </c>
      <c r="H19428">
        <v>4572</v>
      </c>
      <c r="I19428" t="s">
        <v>122</v>
      </c>
      <c r="J19428">
        <v>1986.03</v>
      </c>
      <c r="K19428">
        <v>384.39</v>
      </c>
      <c r="L19428">
        <v>14951</v>
      </c>
      <c r="M19428" t="s">
        <v>57</v>
      </c>
      <c r="N19428" t="str">
        <f>"5001720854  "</f>
        <v xml:space="preserve">5001720854  </v>
      </c>
      <c r="O19428">
        <v>231113</v>
      </c>
    </row>
    <row r="19429" spans="1:15" x14ac:dyDescent="0.25">
      <c r="A19429" t="s">
        <v>16</v>
      </c>
      <c r="B19429" t="s">
        <v>3221</v>
      </c>
      <c r="C19429">
        <v>15394</v>
      </c>
      <c r="D19429" t="s">
        <v>1209</v>
      </c>
      <c r="E19429" t="s">
        <v>1210</v>
      </c>
      <c r="F19429">
        <v>43.87</v>
      </c>
      <c r="G19429">
        <v>231106</v>
      </c>
      <c r="H19429">
        <v>4572</v>
      </c>
      <c r="I19429" t="s">
        <v>122</v>
      </c>
      <c r="J19429">
        <v>54.4</v>
      </c>
      <c r="K19429">
        <v>10.53</v>
      </c>
      <c r="L19429">
        <v>14952</v>
      </c>
      <c r="M19429" t="s">
        <v>99</v>
      </c>
      <c r="N19429" t="str">
        <f>"5001726683  "</f>
        <v xml:space="preserve">5001726683  </v>
      </c>
      <c r="O19429">
        <v>231113</v>
      </c>
    </row>
    <row r="19430" spans="1:15" x14ac:dyDescent="0.25">
      <c r="A19430" t="s">
        <v>16</v>
      </c>
      <c r="B19430" t="s">
        <v>3221</v>
      </c>
      <c r="C19430">
        <v>15394</v>
      </c>
      <c r="D19430" t="s">
        <v>1209</v>
      </c>
      <c r="E19430" t="s">
        <v>1210</v>
      </c>
      <c r="F19430">
        <v>102.35</v>
      </c>
      <c r="G19430">
        <v>231106</v>
      </c>
      <c r="H19430">
        <v>4572</v>
      </c>
      <c r="I19430" t="s">
        <v>122</v>
      </c>
      <c r="J19430">
        <v>126.92</v>
      </c>
      <c r="K19430">
        <v>24.57</v>
      </c>
      <c r="L19430">
        <v>14981</v>
      </c>
      <c r="M19430" t="s">
        <v>1211</v>
      </c>
      <c r="N19430" t="str">
        <f>"5001726683  "</f>
        <v xml:space="preserve">5001726683  </v>
      </c>
      <c r="O19430">
        <v>231113</v>
      </c>
    </row>
    <row r="19431" spans="1:15" x14ac:dyDescent="0.25">
      <c r="A19431" t="s">
        <v>16</v>
      </c>
      <c r="B19431" t="s">
        <v>3221</v>
      </c>
      <c r="C19431">
        <v>15490</v>
      </c>
      <c r="D19431" t="s">
        <v>1209</v>
      </c>
      <c r="E19431" t="s">
        <v>1210</v>
      </c>
      <c r="F19431">
        <v>71.77</v>
      </c>
      <c r="G19431">
        <v>231109</v>
      </c>
      <c r="H19431">
        <v>4572</v>
      </c>
      <c r="I19431" t="s">
        <v>122</v>
      </c>
      <c r="J19431">
        <v>89</v>
      </c>
      <c r="K19431">
        <v>17.23</v>
      </c>
      <c r="L19431">
        <v>14952</v>
      </c>
      <c r="M19431" t="s">
        <v>99</v>
      </c>
      <c r="N19431" t="str">
        <f>"5001731391  "</f>
        <v xml:space="preserve">5001731391  </v>
      </c>
      <c r="O19431">
        <v>231113</v>
      </c>
    </row>
    <row r="19432" spans="1:15" x14ac:dyDescent="0.25">
      <c r="A19432" t="s">
        <v>16</v>
      </c>
      <c r="B19432" t="s">
        <v>3221</v>
      </c>
      <c r="C19432">
        <v>15490</v>
      </c>
      <c r="D19432" t="s">
        <v>1209</v>
      </c>
      <c r="E19432" t="s">
        <v>1210</v>
      </c>
      <c r="F19432">
        <v>167.46</v>
      </c>
      <c r="G19432">
        <v>231109</v>
      </c>
      <c r="H19432">
        <v>4572</v>
      </c>
      <c r="I19432" t="s">
        <v>122</v>
      </c>
      <c r="J19432">
        <v>207.65</v>
      </c>
      <c r="K19432">
        <v>40.19</v>
      </c>
      <c r="L19432">
        <v>14981</v>
      </c>
      <c r="M19432" t="s">
        <v>1211</v>
      </c>
      <c r="N19432" t="str">
        <f>"5001731391  "</f>
        <v xml:space="preserve">5001731391  </v>
      </c>
      <c r="O19432">
        <v>231113</v>
      </c>
    </row>
    <row r="19433" spans="1:15" x14ac:dyDescent="0.25">
      <c r="A19433" t="s">
        <v>16</v>
      </c>
      <c r="B19433" t="s">
        <v>3221</v>
      </c>
      <c r="C19433">
        <v>17195</v>
      </c>
      <c r="D19433" t="s">
        <v>1209</v>
      </c>
      <c r="E19433" t="s">
        <v>1210</v>
      </c>
      <c r="F19433">
        <v>108.81</v>
      </c>
      <c r="G19433">
        <v>231204</v>
      </c>
      <c r="H19433">
        <v>4572</v>
      </c>
      <c r="I19433" t="s">
        <v>122</v>
      </c>
      <c r="J19433">
        <v>134.93</v>
      </c>
      <c r="K19433">
        <v>26.12</v>
      </c>
      <c r="L19433">
        <v>11401</v>
      </c>
      <c r="M19433" t="s">
        <v>84</v>
      </c>
      <c r="N19433" t="str">
        <f>"5001740786  "</f>
        <v xml:space="preserve">5001740786  </v>
      </c>
      <c r="O19433">
        <v>231212</v>
      </c>
    </row>
    <row r="19434" spans="1:15" x14ac:dyDescent="0.25">
      <c r="A19434" t="s">
        <v>16</v>
      </c>
      <c r="B19434" t="s">
        <v>3221</v>
      </c>
      <c r="C19434">
        <v>17195</v>
      </c>
      <c r="D19434" t="s">
        <v>1209</v>
      </c>
      <c r="E19434" t="s">
        <v>1210</v>
      </c>
      <c r="F19434">
        <v>217.65</v>
      </c>
      <c r="G19434">
        <v>231204</v>
      </c>
      <c r="H19434">
        <v>4572</v>
      </c>
      <c r="I19434" t="s">
        <v>122</v>
      </c>
      <c r="J19434">
        <v>269.88</v>
      </c>
      <c r="K19434">
        <v>52.23</v>
      </c>
      <c r="L19434">
        <v>14952</v>
      </c>
      <c r="M19434" t="s">
        <v>99</v>
      </c>
      <c r="N19434" t="str">
        <f>"5001740786  "</f>
        <v xml:space="preserve">5001740786  </v>
      </c>
      <c r="O19434">
        <v>231212</v>
      </c>
    </row>
    <row r="19435" spans="1:15" x14ac:dyDescent="0.25">
      <c r="A19435" t="s">
        <v>16</v>
      </c>
      <c r="B19435" t="s">
        <v>3221</v>
      </c>
      <c r="C19435">
        <v>17196</v>
      </c>
      <c r="D19435" t="s">
        <v>1209</v>
      </c>
      <c r="E19435" t="s">
        <v>1210</v>
      </c>
      <c r="F19435">
        <v>92.88</v>
      </c>
      <c r="G19435">
        <v>231204</v>
      </c>
      <c r="H19435">
        <v>4572</v>
      </c>
      <c r="I19435" t="s">
        <v>122</v>
      </c>
      <c r="J19435">
        <v>115.17</v>
      </c>
      <c r="K19435">
        <v>22.29</v>
      </c>
      <c r="L19435">
        <v>14952</v>
      </c>
      <c r="M19435" t="s">
        <v>99</v>
      </c>
      <c r="N19435" t="str">
        <f>"5001739569  "</f>
        <v xml:space="preserve">5001739569  </v>
      </c>
      <c r="O19435">
        <v>231212</v>
      </c>
    </row>
    <row r="19436" spans="1:15" x14ac:dyDescent="0.25">
      <c r="A19436" t="s">
        <v>16</v>
      </c>
      <c r="B19436" t="s">
        <v>3221</v>
      </c>
      <c r="C19436">
        <v>17196</v>
      </c>
      <c r="D19436" t="s">
        <v>1209</v>
      </c>
      <c r="E19436" t="s">
        <v>1210</v>
      </c>
      <c r="F19436">
        <v>216.71</v>
      </c>
      <c r="G19436">
        <v>231204</v>
      </c>
      <c r="H19436">
        <v>4572</v>
      </c>
      <c r="I19436" t="s">
        <v>122</v>
      </c>
      <c r="J19436">
        <v>268.72000000000003</v>
      </c>
      <c r="K19436">
        <v>52.01</v>
      </c>
      <c r="L19436">
        <v>14981</v>
      </c>
      <c r="M19436" t="s">
        <v>1211</v>
      </c>
      <c r="N19436" t="str">
        <f>"5001739569  "</f>
        <v xml:space="preserve">5001739569  </v>
      </c>
      <c r="O19436">
        <v>231212</v>
      </c>
    </row>
    <row r="19437" spans="1:15" x14ac:dyDescent="0.25">
      <c r="A19437" t="s">
        <v>16</v>
      </c>
      <c r="B19437" t="s">
        <v>3221</v>
      </c>
      <c r="C19437">
        <v>17198</v>
      </c>
      <c r="D19437" t="s">
        <v>1209</v>
      </c>
      <c r="E19437" t="s">
        <v>1210</v>
      </c>
      <c r="F19437">
        <v>1588.55</v>
      </c>
      <c r="G19437">
        <v>231205</v>
      </c>
      <c r="H19437">
        <v>4572</v>
      </c>
      <c r="I19437" t="s">
        <v>122</v>
      </c>
      <c r="J19437">
        <v>1969.8</v>
      </c>
      <c r="K19437">
        <v>381.25</v>
      </c>
      <c r="L19437">
        <v>14951</v>
      </c>
      <c r="M19437" t="s">
        <v>57</v>
      </c>
      <c r="N19437" t="str">
        <f>"5001743826  "</f>
        <v xml:space="preserve">5001743826  </v>
      </c>
      <c r="O19437">
        <v>231212</v>
      </c>
    </row>
    <row r="19438" spans="1:15" x14ac:dyDescent="0.25">
      <c r="A19438" t="s">
        <v>16</v>
      </c>
      <c r="B19438" t="s">
        <v>3221</v>
      </c>
      <c r="C19438">
        <v>18762</v>
      </c>
      <c r="D19438" t="s">
        <v>1209</v>
      </c>
      <c r="E19438" t="s">
        <v>1210</v>
      </c>
      <c r="F19438">
        <v>1475.14</v>
      </c>
      <c r="G19438">
        <v>240103</v>
      </c>
      <c r="H19438">
        <v>4572</v>
      </c>
      <c r="I19438" t="s">
        <v>122</v>
      </c>
      <c r="J19438">
        <v>1829.17</v>
      </c>
      <c r="K19438">
        <v>354.03</v>
      </c>
      <c r="L19438">
        <v>14951</v>
      </c>
      <c r="M19438" t="s">
        <v>57</v>
      </c>
      <c r="N19438" t="str">
        <f>"5001751578  "</f>
        <v xml:space="preserve">5001751578  </v>
      </c>
      <c r="O19438">
        <v>240105</v>
      </c>
    </row>
    <row r="19439" spans="1:15" x14ac:dyDescent="0.25">
      <c r="A19439" t="s">
        <v>16</v>
      </c>
      <c r="B19439" t="s">
        <v>3221</v>
      </c>
      <c r="C19439">
        <v>19064</v>
      </c>
      <c r="D19439" t="s">
        <v>1209</v>
      </c>
      <c r="E19439" t="s">
        <v>1210</v>
      </c>
      <c r="F19439">
        <v>151.69</v>
      </c>
      <c r="G19439">
        <v>240105</v>
      </c>
      <c r="H19439">
        <v>4572</v>
      </c>
      <c r="I19439" t="s">
        <v>122</v>
      </c>
      <c r="J19439">
        <v>188.1</v>
      </c>
      <c r="K19439">
        <v>36.409999999999997</v>
      </c>
      <c r="L19439">
        <v>11401</v>
      </c>
      <c r="M19439" t="s">
        <v>84</v>
      </c>
      <c r="N19439" t="str">
        <f>"5001792363  "</f>
        <v xml:space="preserve">5001792363  </v>
      </c>
      <c r="O19439">
        <v>240110</v>
      </c>
    </row>
    <row r="19440" spans="1:15" x14ac:dyDescent="0.25">
      <c r="A19440" t="s">
        <v>16</v>
      </c>
      <c r="B19440" t="s">
        <v>3221</v>
      </c>
      <c r="C19440">
        <v>19064</v>
      </c>
      <c r="D19440" t="s">
        <v>1209</v>
      </c>
      <c r="E19440" t="s">
        <v>1210</v>
      </c>
      <c r="F19440">
        <v>303.39</v>
      </c>
      <c r="G19440">
        <v>240105</v>
      </c>
      <c r="H19440">
        <v>4572</v>
      </c>
      <c r="I19440" t="s">
        <v>122</v>
      </c>
      <c r="J19440">
        <v>376.2</v>
      </c>
      <c r="K19440">
        <v>72.81</v>
      </c>
      <c r="L19440">
        <v>14952</v>
      </c>
      <c r="M19440" t="s">
        <v>99</v>
      </c>
      <c r="N19440" t="str">
        <f>"5001792363  "</f>
        <v xml:space="preserve">5001792363  </v>
      </c>
      <c r="O19440">
        <v>240110</v>
      </c>
    </row>
    <row r="19441" spans="1:15" x14ac:dyDescent="0.25">
      <c r="A19441" t="s">
        <v>16</v>
      </c>
      <c r="B19441" t="s">
        <v>3221</v>
      </c>
      <c r="C19441">
        <v>19065</v>
      </c>
      <c r="D19441" t="s">
        <v>1209</v>
      </c>
      <c r="E19441" t="s">
        <v>1210</v>
      </c>
      <c r="F19441">
        <v>80.900000000000006</v>
      </c>
      <c r="G19441">
        <v>240105</v>
      </c>
      <c r="H19441">
        <v>4572</v>
      </c>
      <c r="I19441" t="s">
        <v>122</v>
      </c>
      <c r="J19441">
        <v>100.32</v>
      </c>
      <c r="K19441">
        <v>19.420000000000002</v>
      </c>
      <c r="L19441">
        <v>14952</v>
      </c>
      <c r="M19441" t="s">
        <v>99</v>
      </c>
      <c r="N19441" t="str">
        <f>"5001796167  "</f>
        <v xml:space="preserve">5001796167  </v>
      </c>
      <c r="O19441">
        <v>240110</v>
      </c>
    </row>
    <row r="19442" spans="1:15" x14ac:dyDescent="0.25">
      <c r="A19442" t="s">
        <v>16</v>
      </c>
      <c r="B19442" t="s">
        <v>3221</v>
      </c>
      <c r="C19442">
        <v>19065</v>
      </c>
      <c r="D19442" t="s">
        <v>1209</v>
      </c>
      <c r="E19442" t="s">
        <v>1210</v>
      </c>
      <c r="F19442">
        <v>188.77</v>
      </c>
      <c r="G19442">
        <v>240105</v>
      </c>
      <c r="H19442">
        <v>4572</v>
      </c>
      <c r="I19442" t="s">
        <v>122</v>
      </c>
      <c r="J19442">
        <v>234.07</v>
      </c>
      <c r="K19442">
        <v>45.3</v>
      </c>
      <c r="L19442">
        <v>14981</v>
      </c>
      <c r="M19442" t="s">
        <v>1211</v>
      </c>
      <c r="N19442" t="str">
        <f>"5001796167  "</f>
        <v xml:space="preserve">5001796167  </v>
      </c>
      <c r="O19442">
        <v>240110</v>
      </c>
    </row>
    <row r="19443" spans="1:15" x14ac:dyDescent="0.25">
      <c r="A19443" t="s">
        <v>16</v>
      </c>
      <c r="B19443" t="s">
        <v>3221</v>
      </c>
      <c r="C19443">
        <v>19082</v>
      </c>
      <c r="D19443" t="s">
        <v>1209</v>
      </c>
      <c r="E19443" t="s">
        <v>1210</v>
      </c>
      <c r="F19443">
        <v>82.48</v>
      </c>
      <c r="G19443">
        <v>240105</v>
      </c>
      <c r="H19443">
        <v>4572</v>
      </c>
      <c r="I19443" t="s">
        <v>122</v>
      </c>
      <c r="J19443">
        <v>102.27</v>
      </c>
      <c r="K19443">
        <v>19.79</v>
      </c>
      <c r="L19443">
        <v>11401</v>
      </c>
      <c r="M19443" t="s">
        <v>84</v>
      </c>
      <c r="N19443" t="str">
        <f>"5001789169  "</f>
        <v xml:space="preserve">5001789169  </v>
      </c>
      <c r="O19443">
        <v>240110</v>
      </c>
    </row>
    <row r="19444" spans="1:15" x14ac:dyDescent="0.25">
      <c r="A19444" t="s">
        <v>16</v>
      </c>
      <c r="B19444" t="s">
        <v>3221</v>
      </c>
      <c r="C19444">
        <v>19082</v>
      </c>
      <c r="D19444" t="s">
        <v>1209</v>
      </c>
      <c r="E19444" t="s">
        <v>1210</v>
      </c>
      <c r="F19444">
        <v>164.96</v>
      </c>
      <c r="G19444">
        <v>240105</v>
      </c>
      <c r="H19444">
        <v>4572</v>
      </c>
      <c r="I19444" t="s">
        <v>122</v>
      </c>
      <c r="J19444">
        <v>204.55</v>
      </c>
      <c r="K19444">
        <v>39.590000000000003</v>
      </c>
      <c r="L19444">
        <v>14952</v>
      </c>
      <c r="M19444" t="s">
        <v>99</v>
      </c>
      <c r="N19444" t="str">
        <f>"5001789169  "</f>
        <v xml:space="preserve">5001789169  </v>
      </c>
      <c r="O19444">
        <v>240110</v>
      </c>
    </row>
    <row r="19445" spans="1:15" x14ac:dyDescent="0.25">
      <c r="A19445" t="s">
        <v>16</v>
      </c>
      <c r="B19445" t="s">
        <v>3221</v>
      </c>
      <c r="C19445">
        <v>19255</v>
      </c>
      <c r="D19445" t="s">
        <v>1209</v>
      </c>
      <c r="E19445" t="s">
        <v>1210</v>
      </c>
      <c r="F19445">
        <v>23.12</v>
      </c>
      <c r="G19445">
        <v>240111</v>
      </c>
      <c r="H19445">
        <v>4572</v>
      </c>
      <c r="I19445" t="s">
        <v>122</v>
      </c>
      <c r="J19445">
        <v>28.67</v>
      </c>
      <c r="K19445">
        <v>5.55</v>
      </c>
      <c r="L19445">
        <v>14952</v>
      </c>
      <c r="M19445" t="s">
        <v>99</v>
      </c>
      <c r="N19445" t="str">
        <f>"5001828424  "</f>
        <v xml:space="preserve">5001828424  </v>
      </c>
      <c r="O19445">
        <v>240115</v>
      </c>
    </row>
    <row r="19446" spans="1:15" x14ac:dyDescent="0.25">
      <c r="A19446" t="s">
        <v>16</v>
      </c>
      <c r="B19446" t="s">
        <v>3221</v>
      </c>
      <c r="C19446">
        <v>19255</v>
      </c>
      <c r="D19446" t="s">
        <v>1209</v>
      </c>
      <c r="E19446" t="s">
        <v>1210</v>
      </c>
      <c r="F19446">
        <v>53.95</v>
      </c>
      <c r="G19446">
        <v>240111</v>
      </c>
      <c r="H19446">
        <v>4572</v>
      </c>
      <c r="I19446" t="s">
        <v>122</v>
      </c>
      <c r="J19446">
        <v>66.900000000000006</v>
      </c>
      <c r="K19446">
        <v>12.95</v>
      </c>
      <c r="L19446">
        <v>14981</v>
      </c>
      <c r="M19446" t="s">
        <v>1211</v>
      </c>
      <c r="N19446" t="str">
        <f>"5001828424  "</f>
        <v xml:space="preserve">5001828424  </v>
      </c>
      <c r="O19446">
        <v>240115</v>
      </c>
    </row>
    <row r="19447" spans="1:15" x14ac:dyDescent="0.25">
      <c r="A19447" t="s">
        <v>16</v>
      </c>
      <c r="B19447" t="s">
        <v>3221</v>
      </c>
      <c r="C19447">
        <v>19297</v>
      </c>
      <c r="D19447" t="s">
        <v>1209</v>
      </c>
      <c r="E19447" t="s">
        <v>1210</v>
      </c>
      <c r="F19447">
        <v>45.65</v>
      </c>
      <c r="G19447">
        <v>240115</v>
      </c>
      <c r="H19447">
        <v>4572</v>
      </c>
      <c r="I19447" t="s">
        <v>122</v>
      </c>
      <c r="J19447">
        <v>56.6</v>
      </c>
      <c r="K19447">
        <v>10.95</v>
      </c>
      <c r="L19447">
        <v>14952</v>
      </c>
      <c r="M19447" t="s">
        <v>99</v>
      </c>
      <c r="N19447" t="str">
        <f>"5001837077  "</f>
        <v xml:space="preserve">5001837077  </v>
      </c>
      <c r="O19447">
        <v>240116</v>
      </c>
    </row>
    <row r="19448" spans="1:15" x14ac:dyDescent="0.25">
      <c r="A19448" t="s">
        <v>16</v>
      </c>
      <c r="B19448" t="s">
        <v>3221</v>
      </c>
      <c r="C19448">
        <v>19297</v>
      </c>
      <c r="D19448" t="s">
        <v>1209</v>
      </c>
      <c r="E19448" t="s">
        <v>1210</v>
      </c>
      <c r="F19448">
        <v>106.51</v>
      </c>
      <c r="G19448">
        <v>240115</v>
      </c>
      <c r="H19448">
        <v>4572</v>
      </c>
      <c r="I19448" t="s">
        <v>122</v>
      </c>
      <c r="J19448">
        <v>132.07</v>
      </c>
      <c r="K19448">
        <v>25.56</v>
      </c>
      <c r="L19448">
        <v>14981</v>
      </c>
      <c r="M19448" t="s">
        <v>1211</v>
      </c>
      <c r="N19448" t="str">
        <f>"5001837077  "</f>
        <v xml:space="preserve">5001837077  </v>
      </c>
      <c r="O19448">
        <v>240116</v>
      </c>
    </row>
    <row r="19449" spans="1:15" x14ac:dyDescent="0.25">
      <c r="A19449" t="s">
        <v>16</v>
      </c>
      <c r="B19449" t="s">
        <v>3221</v>
      </c>
      <c r="C19449">
        <v>12431</v>
      </c>
      <c r="D19449" t="s">
        <v>3732</v>
      </c>
      <c r="E19449" t="s">
        <v>3528</v>
      </c>
      <c r="F19449">
        <v>136.36000000000001</v>
      </c>
      <c r="G19449">
        <v>230914</v>
      </c>
      <c r="H19449">
        <v>4410</v>
      </c>
      <c r="I19449" t="s">
        <v>517</v>
      </c>
      <c r="J19449">
        <v>150</v>
      </c>
      <c r="K19449">
        <v>13.64</v>
      </c>
      <c r="L19449">
        <v>14422</v>
      </c>
      <c r="M19449" t="s">
        <v>228</v>
      </c>
      <c r="N19449" t="str">
        <f>"6001502827  "</f>
        <v xml:space="preserve">6001502827  </v>
      </c>
      <c r="O19449">
        <v>230919</v>
      </c>
    </row>
    <row r="19450" spans="1:15" x14ac:dyDescent="0.25">
      <c r="A19450" t="s">
        <v>16</v>
      </c>
      <c r="B19450" t="s">
        <v>3221</v>
      </c>
      <c r="C19450">
        <v>12431</v>
      </c>
      <c r="D19450" t="s">
        <v>3732</v>
      </c>
      <c r="E19450" t="s">
        <v>3528</v>
      </c>
      <c r="F19450">
        <v>272.73</v>
      </c>
      <c r="G19450">
        <v>230914</v>
      </c>
      <c r="H19450">
        <v>4410</v>
      </c>
      <c r="I19450" t="s">
        <v>517</v>
      </c>
      <c r="J19450">
        <v>300</v>
      </c>
      <c r="K19450">
        <v>27.27</v>
      </c>
      <c r="L19450">
        <v>14541</v>
      </c>
      <c r="M19450" t="s">
        <v>626</v>
      </c>
      <c r="N19450" t="str">
        <f>"6001502827  "</f>
        <v xml:space="preserve">6001502827  </v>
      </c>
      <c r="O19450">
        <v>230919</v>
      </c>
    </row>
    <row r="19451" spans="1:15" x14ac:dyDescent="0.25">
      <c r="A19451" t="s">
        <v>16</v>
      </c>
      <c r="B19451" t="s">
        <v>3221</v>
      </c>
      <c r="C19451">
        <v>241</v>
      </c>
      <c r="D19451" t="s">
        <v>363</v>
      </c>
      <c r="E19451" t="s">
        <v>364</v>
      </c>
      <c r="F19451">
        <v>937.85</v>
      </c>
      <c r="G19451">
        <v>230104</v>
      </c>
      <c r="H19451">
        <v>4385</v>
      </c>
      <c r="I19451" t="s">
        <v>365</v>
      </c>
      <c r="J19451">
        <v>1162.94</v>
      </c>
      <c r="K19451">
        <v>225.09</v>
      </c>
      <c r="L19451">
        <v>17711</v>
      </c>
      <c r="M19451" t="s">
        <v>65</v>
      </c>
      <c r="N19451" t="str">
        <f>"112300063   "</f>
        <v xml:space="preserve">112300063   </v>
      </c>
      <c r="O19451">
        <v>230116</v>
      </c>
    </row>
    <row r="19452" spans="1:15" x14ac:dyDescent="0.25">
      <c r="A19452" t="s">
        <v>16</v>
      </c>
      <c r="B19452" t="s">
        <v>3221</v>
      </c>
      <c r="C19452">
        <v>841</v>
      </c>
      <c r="D19452" t="s">
        <v>363</v>
      </c>
      <c r="E19452" t="s">
        <v>364</v>
      </c>
      <c r="F19452">
        <v>257.27</v>
      </c>
      <c r="G19452">
        <v>230126</v>
      </c>
      <c r="H19452">
        <v>4385</v>
      </c>
      <c r="I19452" t="s">
        <v>365</v>
      </c>
      <c r="J19452">
        <v>319.01</v>
      </c>
      <c r="K19452">
        <v>61.74</v>
      </c>
      <c r="L19452">
        <v>17711</v>
      </c>
      <c r="M19452" t="s">
        <v>65</v>
      </c>
      <c r="N19452" t="str">
        <f>"260123      "</f>
        <v xml:space="preserve">260123      </v>
      </c>
      <c r="O19452">
        <v>230131</v>
      </c>
    </row>
    <row r="19453" spans="1:15" x14ac:dyDescent="0.25">
      <c r="A19453" t="s">
        <v>16</v>
      </c>
      <c r="B19453" t="s">
        <v>3221</v>
      </c>
      <c r="C19453">
        <v>2460</v>
      </c>
      <c r="D19453" t="s">
        <v>363</v>
      </c>
      <c r="E19453" t="s">
        <v>364</v>
      </c>
      <c r="F19453">
        <v>144.36000000000001</v>
      </c>
      <c r="G19453">
        <v>230220</v>
      </c>
      <c r="H19453">
        <v>4385</v>
      </c>
      <c r="I19453" t="s">
        <v>365</v>
      </c>
      <c r="J19453">
        <v>179.01</v>
      </c>
      <c r="K19453">
        <v>34.65</v>
      </c>
      <c r="L19453">
        <v>17711</v>
      </c>
      <c r="M19453" t="s">
        <v>65</v>
      </c>
      <c r="N19453" t="str">
        <f>"112301444   "</f>
        <v xml:space="preserve">112301444   </v>
      </c>
      <c r="O19453">
        <v>230228</v>
      </c>
    </row>
    <row r="19454" spans="1:15" x14ac:dyDescent="0.25">
      <c r="A19454" t="s">
        <v>16</v>
      </c>
      <c r="B19454" t="s">
        <v>3221</v>
      </c>
      <c r="C19454">
        <v>2464</v>
      </c>
      <c r="D19454" t="s">
        <v>363</v>
      </c>
      <c r="E19454" t="s">
        <v>364</v>
      </c>
      <c r="F19454">
        <v>3.23</v>
      </c>
      <c r="G19454">
        <v>230220</v>
      </c>
      <c r="H19454">
        <v>4385</v>
      </c>
      <c r="I19454" t="s">
        <v>365</v>
      </c>
      <c r="J19454">
        <v>4</v>
      </c>
      <c r="K19454">
        <v>0.77</v>
      </c>
      <c r="L19454">
        <v>17711</v>
      </c>
      <c r="M19454" t="s">
        <v>65</v>
      </c>
      <c r="N19454" t="str">
        <f>"112301473   "</f>
        <v xml:space="preserve">112301473   </v>
      </c>
      <c r="O19454">
        <v>230228</v>
      </c>
    </row>
    <row r="19455" spans="1:15" x14ac:dyDescent="0.25">
      <c r="A19455" t="s">
        <v>16</v>
      </c>
      <c r="B19455" t="s">
        <v>3221</v>
      </c>
      <c r="C19455">
        <v>3966</v>
      </c>
      <c r="D19455" t="s">
        <v>363</v>
      </c>
      <c r="E19455" t="s">
        <v>364</v>
      </c>
      <c r="F19455">
        <v>394.68</v>
      </c>
      <c r="G19455">
        <v>230324</v>
      </c>
      <c r="H19455">
        <v>4385</v>
      </c>
      <c r="I19455" t="s">
        <v>365</v>
      </c>
      <c r="J19455">
        <v>489.4</v>
      </c>
      <c r="K19455">
        <v>94.72</v>
      </c>
      <c r="L19455">
        <v>17711</v>
      </c>
      <c r="M19455" t="s">
        <v>65</v>
      </c>
      <c r="N19455" t="str">
        <f>"112302346   "</f>
        <v xml:space="preserve">112302346   </v>
      </c>
      <c r="O19455">
        <v>230328</v>
      </c>
    </row>
    <row r="19456" spans="1:15" x14ac:dyDescent="0.25">
      <c r="A19456" t="s">
        <v>16</v>
      </c>
      <c r="B19456" t="s">
        <v>3221</v>
      </c>
      <c r="C19456">
        <v>3967</v>
      </c>
      <c r="D19456" t="s">
        <v>363</v>
      </c>
      <c r="E19456" t="s">
        <v>364</v>
      </c>
      <c r="F19456">
        <v>392.91</v>
      </c>
      <c r="G19456">
        <v>230324</v>
      </c>
      <c r="H19456">
        <v>4385</v>
      </c>
      <c r="I19456" t="s">
        <v>365</v>
      </c>
      <c r="J19456">
        <v>487.21</v>
      </c>
      <c r="K19456">
        <v>94.3</v>
      </c>
      <c r="L19456">
        <v>17711</v>
      </c>
      <c r="M19456" t="s">
        <v>65</v>
      </c>
      <c r="N19456" t="str">
        <f>"112302345   "</f>
        <v xml:space="preserve">112302345   </v>
      </c>
      <c r="O19456">
        <v>230328</v>
      </c>
    </row>
    <row r="19457" spans="1:15" x14ac:dyDescent="0.25">
      <c r="A19457" t="s">
        <v>16</v>
      </c>
      <c r="B19457" t="s">
        <v>3221</v>
      </c>
      <c r="C19457">
        <v>9143</v>
      </c>
      <c r="D19457" t="s">
        <v>363</v>
      </c>
      <c r="E19457" t="s">
        <v>364</v>
      </c>
      <c r="F19457">
        <v>47.58</v>
      </c>
      <c r="G19457">
        <v>230622</v>
      </c>
      <c r="H19457">
        <v>4385</v>
      </c>
      <c r="I19457" t="s">
        <v>365</v>
      </c>
      <c r="J19457">
        <v>59</v>
      </c>
      <c r="K19457">
        <v>11.42</v>
      </c>
      <c r="L19457">
        <v>17711</v>
      </c>
      <c r="M19457" t="s">
        <v>65</v>
      </c>
      <c r="N19457" t="str">
        <f>"112305187   "</f>
        <v xml:space="preserve">112305187   </v>
      </c>
      <c r="O19457">
        <v>230628</v>
      </c>
    </row>
    <row r="19458" spans="1:15" x14ac:dyDescent="0.25">
      <c r="A19458" t="s">
        <v>16</v>
      </c>
      <c r="B19458" t="s">
        <v>3221</v>
      </c>
      <c r="C19458">
        <v>13838</v>
      </c>
      <c r="D19458" t="s">
        <v>363</v>
      </c>
      <c r="E19458" t="s">
        <v>364</v>
      </c>
      <c r="F19458">
        <v>168.56</v>
      </c>
      <c r="G19458">
        <v>231006</v>
      </c>
      <c r="H19458">
        <v>4385</v>
      </c>
      <c r="I19458" t="s">
        <v>365</v>
      </c>
      <c r="J19458">
        <v>209.01</v>
      </c>
      <c r="K19458">
        <v>40.450000000000003</v>
      </c>
      <c r="L19458">
        <v>17711</v>
      </c>
      <c r="M19458" t="s">
        <v>65</v>
      </c>
      <c r="N19458" t="str">
        <f>"112308266   "</f>
        <v xml:space="preserve">112308266   </v>
      </c>
      <c r="O19458">
        <v>231013</v>
      </c>
    </row>
    <row r="19459" spans="1:15" x14ac:dyDescent="0.25">
      <c r="A19459" t="s">
        <v>16</v>
      </c>
      <c r="B19459" t="s">
        <v>3221</v>
      </c>
      <c r="C19459">
        <v>13839</v>
      </c>
      <c r="D19459" t="s">
        <v>363</v>
      </c>
      <c r="E19459" t="s">
        <v>364</v>
      </c>
      <c r="F19459">
        <v>249.2</v>
      </c>
      <c r="G19459">
        <v>231005</v>
      </c>
      <c r="H19459">
        <v>4385</v>
      </c>
      <c r="I19459" t="s">
        <v>365</v>
      </c>
      <c r="J19459">
        <v>309.01</v>
      </c>
      <c r="K19459">
        <v>59.81</v>
      </c>
      <c r="L19459">
        <v>17711</v>
      </c>
      <c r="M19459" t="s">
        <v>65</v>
      </c>
      <c r="N19459" t="str">
        <f>"112308267   "</f>
        <v xml:space="preserve">112308267   </v>
      </c>
      <c r="O19459">
        <v>231013</v>
      </c>
    </row>
    <row r="19460" spans="1:15" x14ac:dyDescent="0.25">
      <c r="A19460" t="s">
        <v>16</v>
      </c>
      <c r="B19460" t="s">
        <v>3221</v>
      </c>
      <c r="C19460">
        <v>15795</v>
      </c>
      <c r="D19460" t="s">
        <v>363</v>
      </c>
      <c r="E19460" t="s">
        <v>364</v>
      </c>
      <c r="F19460">
        <v>3.23</v>
      </c>
      <c r="G19460">
        <v>231107</v>
      </c>
      <c r="H19460">
        <v>4385</v>
      </c>
      <c r="I19460" t="s">
        <v>365</v>
      </c>
      <c r="J19460">
        <v>4.01</v>
      </c>
      <c r="K19460">
        <v>0.78</v>
      </c>
      <c r="L19460">
        <v>17711</v>
      </c>
      <c r="M19460" t="s">
        <v>65</v>
      </c>
      <c r="N19460" t="str">
        <f>"112309284   "</f>
        <v xml:space="preserve">112309284   </v>
      </c>
      <c r="O19460">
        <v>231120</v>
      </c>
    </row>
    <row r="19461" spans="1:15" x14ac:dyDescent="0.25">
      <c r="A19461" t="s">
        <v>16</v>
      </c>
      <c r="B19461" t="s">
        <v>3221</v>
      </c>
      <c r="C19461">
        <v>843</v>
      </c>
      <c r="D19461" t="s">
        <v>363</v>
      </c>
      <c r="E19461" t="s">
        <v>364</v>
      </c>
      <c r="F19461">
        <v>45.97</v>
      </c>
      <c r="G19461">
        <v>230125</v>
      </c>
      <c r="H19461">
        <v>4534</v>
      </c>
      <c r="I19461" t="s">
        <v>273</v>
      </c>
      <c r="J19461">
        <v>57</v>
      </c>
      <c r="K19461">
        <v>11.03</v>
      </c>
      <c r="L19461">
        <v>17711</v>
      </c>
      <c r="M19461" t="s">
        <v>65</v>
      </c>
      <c r="N19461" t="str">
        <f>"112300728   "</f>
        <v xml:space="preserve">112300728   </v>
      </c>
      <c r="O19461">
        <v>230131</v>
      </c>
    </row>
    <row r="19462" spans="1:15" x14ac:dyDescent="0.25">
      <c r="A19462" t="s">
        <v>16</v>
      </c>
      <c r="B19462" t="s">
        <v>3221</v>
      </c>
      <c r="C19462">
        <v>5528</v>
      </c>
      <c r="D19462" t="s">
        <v>363</v>
      </c>
      <c r="E19462" t="s">
        <v>364</v>
      </c>
      <c r="F19462">
        <v>14.52</v>
      </c>
      <c r="G19462">
        <v>230419</v>
      </c>
      <c r="H19462">
        <v>4534</v>
      </c>
      <c r="I19462" t="s">
        <v>273</v>
      </c>
      <c r="J19462">
        <v>18</v>
      </c>
      <c r="K19462">
        <v>3.48</v>
      </c>
      <c r="L19462">
        <v>17711</v>
      </c>
      <c r="M19462" t="s">
        <v>65</v>
      </c>
      <c r="N19462" t="str">
        <f>"112303047   "</f>
        <v xml:space="preserve">112303047   </v>
      </c>
      <c r="O19462">
        <v>230426</v>
      </c>
    </row>
    <row r="19463" spans="1:15" x14ac:dyDescent="0.25">
      <c r="A19463" t="s">
        <v>16</v>
      </c>
      <c r="B19463" t="s">
        <v>3221</v>
      </c>
      <c r="C19463">
        <v>241</v>
      </c>
      <c r="D19463" t="s">
        <v>363</v>
      </c>
      <c r="E19463" t="s">
        <v>364</v>
      </c>
      <c r="F19463">
        <v>159.6</v>
      </c>
      <c r="G19463">
        <v>230104</v>
      </c>
      <c r="H19463">
        <v>4533</v>
      </c>
      <c r="I19463" t="s">
        <v>366</v>
      </c>
      <c r="J19463">
        <v>175.56</v>
      </c>
      <c r="K19463">
        <v>15.96</v>
      </c>
      <c r="L19463">
        <v>17711</v>
      </c>
      <c r="M19463" t="s">
        <v>65</v>
      </c>
      <c r="N19463" t="str">
        <f>"112300063   "</f>
        <v xml:space="preserve">112300063   </v>
      </c>
      <c r="O19463">
        <v>230116</v>
      </c>
    </row>
    <row r="19464" spans="1:15" x14ac:dyDescent="0.25">
      <c r="A19464" t="s">
        <v>16</v>
      </c>
      <c r="B19464" t="s">
        <v>3221</v>
      </c>
      <c r="C19464">
        <v>841</v>
      </c>
      <c r="D19464" t="s">
        <v>363</v>
      </c>
      <c r="E19464" t="s">
        <v>364</v>
      </c>
      <c r="F19464">
        <v>46.81</v>
      </c>
      <c r="G19464">
        <v>230126</v>
      </c>
      <c r="H19464">
        <v>4533</v>
      </c>
      <c r="I19464" t="s">
        <v>366</v>
      </c>
      <c r="J19464">
        <v>51.49</v>
      </c>
      <c r="K19464">
        <v>4.68</v>
      </c>
      <c r="L19464">
        <v>17711</v>
      </c>
      <c r="M19464" t="s">
        <v>65</v>
      </c>
      <c r="N19464" t="str">
        <f>"260123      "</f>
        <v xml:space="preserve">260123      </v>
      </c>
      <c r="O19464">
        <v>230131</v>
      </c>
    </row>
    <row r="19465" spans="1:15" x14ac:dyDescent="0.25">
      <c r="A19465" t="s">
        <v>16</v>
      </c>
      <c r="B19465" t="s">
        <v>3221</v>
      </c>
      <c r="C19465">
        <v>2460</v>
      </c>
      <c r="D19465" t="s">
        <v>363</v>
      </c>
      <c r="E19465" t="s">
        <v>364</v>
      </c>
      <c r="F19465">
        <v>229.99</v>
      </c>
      <c r="G19465">
        <v>230220</v>
      </c>
      <c r="H19465">
        <v>4533</v>
      </c>
      <c r="I19465" t="s">
        <v>366</v>
      </c>
      <c r="J19465">
        <v>252.99</v>
      </c>
      <c r="K19465">
        <v>23</v>
      </c>
      <c r="L19465">
        <v>17711</v>
      </c>
      <c r="M19465" t="s">
        <v>65</v>
      </c>
      <c r="N19465" t="str">
        <f>"112301444   "</f>
        <v xml:space="preserve">112301444   </v>
      </c>
      <c r="O19465">
        <v>230228</v>
      </c>
    </row>
    <row r="19466" spans="1:15" x14ac:dyDescent="0.25">
      <c r="A19466" t="s">
        <v>16</v>
      </c>
      <c r="B19466" t="s">
        <v>3221</v>
      </c>
      <c r="C19466">
        <v>2464</v>
      </c>
      <c r="D19466" t="s">
        <v>363</v>
      </c>
      <c r="E19466" t="s">
        <v>364</v>
      </c>
      <c r="F19466">
        <v>62.73</v>
      </c>
      <c r="G19466">
        <v>230220</v>
      </c>
      <c r="H19466">
        <v>4533</v>
      </c>
      <c r="I19466" t="s">
        <v>366</v>
      </c>
      <c r="J19466">
        <v>69</v>
      </c>
      <c r="K19466">
        <v>6.27</v>
      </c>
      <c r="L19466">
        <v>17711</v>
      </c>
      <c r="M19466" t="s">
        <v>65</v>
      </c>
      <c r="N19466" t="str">
        <f>"112301473   "</f>
        <v xml:space="preserve">112301473   </v>
      </c>
      <c r="O19466">
        <v>230228</v>
      </c>
    </row>
    <row r="19467" spans="1:15" x14ac:dyDescent="0.25">
      <c r="A19467" t="s">
        <v>16</v>
      </c>
      <c r="B19467" t="s">
        <v>3221</v>
      </c>
      <c r="C19467">
        <v>3379</v>
      </c>
      <c r="D19467" t="s">
        <v>363</v>
      </c>
      <c r="E19467" t="s">
        <v>364</v>
      </c>
      <c r="F19467">
        <v>115</v>
      </c>
      <c r="G19467">
        <v>230308</v>
      </c>
      <c r="H19467">
        <v>4533</v>
      </c>
      <c r="I19467" t="s">
        <v>366</v>
      </c>
      <c r="J19467">
        <v>126.5</v>
      </c>
      <c r="K19467">
        <v>11.5</v>
      </c>
      <c r="L19467">
        <v>17711</v>
      </c>
      <c r="M19467" t="s">
        <v>65</v>
      </c>
      <c r="N19467" t="str">
        <f>"112301863   "</f>
        <v xml:space="preserve">112301863   </v>
      </c>
      <c r="O19467">
        <v>230315</v>
      </c>
    </row>
    <row r="19468" spans="1:15" x14ac:dyDescent="0.25">
      <c r="A19468" t="s">
        <v>16</v>
      </c>
      <c r="B19468" t="s">
        <v>3221</v>
      </c>
      <c r="C19468">
        <v>3966</v>
      </c>
      <c r="D19468" t="s">
        <v>363</v>
      </c>
      <c r="E19468" t="s">
        <v>364</v>
      </c>
      <c r="F19468">
        <v>16.91</v>
      </c>
      <c r="G19468">
        <v>230324</v>
      </c>
      <c r="H19468">
        <v>4533</v>
      </c>
      <c r="I19468" t="s">
        <v>366</v>
      </c>
      <c r="J19468">
        <v>18.600000000000001</v>
      </c>
      <c r="K19468">
        <v>1.69</v>
      </c>
      <c r="L19468">
        <v>17711</v>
      </c>
      <c r="M19468" t="s">
        <v>65</v>
      </c>
      <c r="N19468" t="str">
        <f>"112302346   "</f>
        <v xml:space="preserve">112302346   </v>
      </c>
      <c r="O19468">
        <v>230328</v>
      </c>
    </row>
    <row r="19469" spans="1:15" x14ac:dyDescent="0.25">
      <c r="A19469" t="s">
        <v>16</v>
      </c>
      <c r="B19469" t="s">
        <v>3221</v>
      </c>
      <c r="C19469">
        <v>3967</v>
      </c>
      <c r="D19469" t="s">
        <v>363</v>
      </c>
      <c r="E19469" t="s">
        <v>364</v>
      </c>
      <c r="F19469">
        <v>74.349999999999994</v>
      </c>
      <c r="G19469">
        <v>230324</v>
      </c>
      <c r="H19469">
        <v>4533</v>
      </c>
      <c r="I19469" t="s">
        <v>366</v>
      </c>
      <c r="J19469">
        <v>81.790000000000006</v>
      </c>
      <c r="K19469">
        <v>7.44</v>
      </c>
      <c r="L19469">
        <v>17711</v>
      </c>
      <c r="M19469" t="s">
        <v>65</v>
      </c>
      <c r="N19469" t="str">
        <f>"112302345   "</f>
        <v xml:space="preserve">112302345   </v>
      </c>
      <c r="O19469">
        <v>230328</v>
      </c>
    </row>
    <row r="19470" spans="1:15" x14ac:dyDescent="0.25">
      <c r="A19470" t="s">
        <v>16</v>
      </c>
      <c r="B19470" t="s">
        <v>3221</v>
      </c>
      <c r="C19470">
        <v>9143</v>
      </c>
      <c r="D19470" t="s">
        <v>363</v>
      </c>
      <c r="E19470" t="s">
        <v>364</v>
      </c>
      <c r="F19470">
        <v>13.64</v>
      </c>
      <c r="G19470">
        <v>230622</v>
      </c>
      <c r="H19470">
        <v>4533</v>
      </c>
      <c r="I19470" t="s">
        <v>366</v>
      </c>
      <c r="J19470">
        <v>15</v>
      </c>
      <c r="K19470">
        <v>1.36</v>
      </c>
      <c r="L19470">
        <v>17711</v>
      </c>
      <c r="M19470" t="s">
        <v>65</v>
      </c>
      <c r="N19470" t="str">
        <f>"112305187   "</f>
        <v xml:space="preserve">112305187   </v>
      </c>
      <c r="O19470">
        <v>230628</v>
      </c>
    </row>
    <row r="19471" spans="1:15" x14ac:dyDescent="0.25">
      <c r="A19471" t="s">
        <v>16</v>
      </c>
      <c r="B19471" t="s">
        <v>3221</v>
      </c>
      <c r="C19471">
        <v>13838</v>
      </c>
      <c r="D19471" t="s">
        <v>363</v>
      </c>
      <c r="E19471" t="s">
        <v>364</v>
      </c>
      <c r="F19471">
        <v>5.9</v>
      </c>
      <c r="G19471">
        <v>231006</v>
      </c>
      <c r="H19471">
        <v>4533</v>
      </c>
      <c r="I19471" t="s">
        <v>366</v>
      </c>
      <c r="J19471">
        <v>6.49</v>
      </c>
      <c r="K19471">
        <v>0.59</v>
      </c>
      <c r="L19471">
        <v>17711</v>
      </c>
      <c r="M19471" t="s">
        <v>65</v>
      </c>
      <c r="N19471" t="str">
        <f>"112308266   "</f>
        <v xml:space="preserve">112308266   </v>
      </c>
      <c r="O19471">
        <v>231013</v>
      </c>
    </row>
    <row r="19472" spans="1:15" x14ac:dyDescent="0.25">
      <c r="A19472" t="s">
        <v>16</v>
      </c>
      <c r="B19472" t="s">
        <v>3221</v>
      </c>
      <c r="C19472">
        <v>13839</v>
      </c>
      <c r="D19472" t="s">
        <v>363</v>
      </c>
      <c r="E19472" t="s">
        <v>364</v>
      </c>
      <c r="F19472">
        <v>489.54</v>
      </c>
      <c r="G19472">
        <v>231005</v>
      </c>
      <c r="H19472">
        <v>4533</v>
      </c>
      <c r="I19472" t="s">
        <v>366</v>
      </c>
      <c r="J19472">
        <v>538.49</v>
      </c>
      <c r="K19472">
        <v>48.95</v>
      </c>
      <c r="L19472">
        <v>17711</v>
      </c>
      <c r="M19472" t="s">
        <v>65</v>
      </c>
      <c r="N19472" t="str">
        <f>"112308267   "</f>
        <v xml:space="preserve">112308267   </v>
      </c>
      <c r="O19472">
        <v>231013</v>
      </c>
    </row>
    <row r="19473" spans="1:15" x14ac:dyDescent="0.25">
      <c r="A19473" t="s">
        <v>16</v>
      </c>
      <c r="B19473" t="s">
        <v>3221</v>
      </c>
      <c r="C19473">
        <v>15795</v>
      </c>
      <c r="D19473" t="s">
        <v>363</v>
      </c>
      <c r="E19473" t="s">
        <v>364</v>
      </c>
      <c r="F19473">
        <v>148.24</v>
      </c>
      <c r="G19473">
        <v>231107</v>
      </c>
      <c r="H19473">
        <v>4533</v>
      </c>
      <c r="I19473" t="s">
        <v>366</v>
      </c>
      <c r="J19473">
        <v>168.99</v>
      </c>
      <c r="K19473">
        <v>20.75</v>
      </c>
      <c r="L19473">
        <v>17711</v>
      </c>
      <c r="M19473" t="s">
        <v>65</v>
      </c>
      <c r="N19473" t="str">
        <f>"112309284   "</f>
        <v xml:space="preserve">112309284   </v>
      </c>
      <c r="O19473">
        <v>231120</v>
      </c>
    </row>
    <row r="19474" spans="1:15" x14ac:dyDescent="0.25">
      <c r="A19474" t="s">
        <v>16</v>
      </c>
      <c r="B19474" t="s">
        <v>3221</v>
      </c>
      <c r="C19474">
        <v>5528</v>
      </c>
      <c r="D19474" t="s">
        <v>363</v>
      </c>
      <c r="E19474" t="s">
        <v>364</v>
      </c>
      <c r="F19474">
        <v>55.26</v>
      </c>
      <c r="G19474">
        <v>230419</v>
      </c>
      <c r="H19474">
        <v>4554</v>
      </c>
      <c r="I19474" t="s">
        <v>371</v>
      </c>
      <c r="J19474">
        <v>63</v>
      </c>
      <c r="K19474">
        <v>7.74</v>
      </c>
      <c r="L19474">
        <v>17711</v>
      </c>
      <c r="M19474" t="s">
        <v>65</v>
      </c>
      <c r="N19474" t="str">
        <f>"112303047   "</f>
        <v xml:space="preserve">112303047   </v>
      </c>
      <c r="O19474">
        <v>230426</v>
      </c>
    </row>
    <row r="19475" spans="1:15" x14ac:dyDescent="0.25">
      <c r="A19475" t="s">
        <v>16</v>
      </c>
      <c r="B19475" t="s">
        <v>3221</v>
      </c>
      <c r="C19475">
        <v>5653</v>
      </c>
      <c r="D19475" t="s">
        <v>1882</v>
      </c>
      <c r="E19475" t="s">
        <v>1883</v>
      </c>
      <c r="F19475">
        <v>507.79</v>
      </c>
      <c r="G19475">
        <v>230427</v>
      </c>
      <c r="H19475">
        <v>4580</v>
      </c>
      <c r="I19475" t="s">
        <v>35</v>
      </c>
      <c r="J19475">
        <v>507.79</v>
      </c>
      <c r="K19475">
        <v>0</v>
      </c>
      <c r="L19475">
        <v>11401</v>
      </c>
      <c r="M19475" t="s">
        <v>84</v>
      </c>
      <c r="N19475" t="str">
        <f>"1211        "</f>
        <v xml:space="preserve">1211        </v>
      </c>
      <c r="O19475">
        <v>230428</v>
      </c>
    </row>
    <row r="19476" spans="1:15" x14ac:dyDescent="0.25">
      <c r="A19476" t="s">
        <v>16</v>
      </c>
      <c r="B19476" t="s">
        <v>3221</v>
      </c>
      <c r="C19476">
        <v>9310</v>
      </c>
      <c r="D19476" t="s">
        <v>3708</v>
      </c>
      <c r="E19476" t="s">
        <v>2305</v>
      </c>
      <c r="F19476">
        <v>3998</v>
      </c>
      <c r="G19476">
        <v>230703</v>
      </c>
      <c r="H19476">
        <v>1196</v>
      </c>
      <c r="I19476" t="s">
        <v>392</v>
      </c>
      <c r="J19476">
        <v>3998</v>
      </c>
      <c r="K19476">
        <v>0</v>
      </c>
      <c r="L19476">
        <v>97602</v>
      </c>
      <c r="M19476" t="s">
        <v>2028</v>
      </c>
      <c r="N19476" t="str">
        <f>"394         "</f>
        <v xml:space="preserve">394         </v>
      </c>
      <c r="O19476">
        <v>230705</v>
      </c>
    </row>
    <row r="19477" spans="1:15" x14ac:dyDescent="0.25">
      <c r="A19477" t="s">
        <v>16</v>
      </c>
      <c r="B19477" t="s">
        <v>3221</v>
      </c>
      <c r="C19477">
        <v>9779</v>
      </c>
      <c r="D19477" t="s">
        <v>3708</v>
      </c>
      <c r="E19477" t="s">
        <v>2305</v>
      </c>
      <c r="F19477">
        <v>16000</v>
      </c>
      <c r="G19477">
        <v>230710</v>
      </c>
      <c r="H19477">
        <v>1196</v>
      </c>
      <c r="I19477" t="s">
        <v>392</v>
      </c>
      <c r="J19477">
        <v>16000</v>
      </c>
      <c r="K19477">
        <v>0</v>
      </c>
      <c r="L19477">
        <v>97602</v>
      </c>
      <c r="M19477" t="s">
        <v>2028</v>
      </c>
      <c r="N19477" t="str">
        <f>"395         "</f>
        <v xml:space="preserve">395         </v>
      </c>
      <c r="O19477">
        <v>230725</v>
      </c>
    </row>
    <row r="19478" spans="1:15" x14ac:dyDescent="0.25">
      <c r="A19478" t="s">
        <v>16</v>
      </c>
      <c r="B19478" t="s">
        <v>3221</v>
      </c>
      <c r="C19478">
        <v>9780</v>
      </c>
      <c r="D19478" t="s">
        <v>3708</v>
      </c>
      <c r="E19478" t="s">
        <v>2305</v>
      </c>
      <c r="F19478">
        <v>7000</v>
      </c>
      <c r="G19478">
        <v>230710</v>
      </c>
      <c r="H19478">
        <v>1196</v>
      </c>
      <c r="I19478" t="s">
        <v>392</v>
      </c>
      <c r="J19478">
        <v>7000</v>
      </c>
      <c r="K19478">
        <v>0</v>
      </c>
      <c r="L19478">
        <v>97602</v>
      </c>
      <c r="M19478" t="s">
        <v>2028</v>
      </c>
      <c r="N19478" t="str">
        <f>"396         "</f>
        <v xml:space="preserve">396         </v>
      </c>
      <c r="O19478">
        <v>230725</v>
      </c>
    </row>
    <row r="19479" spans="1:15" x14ac:dyDescent="0.25">
      <c r="A19479" t="s">
        <v>16</v>
      </c>
      <c r="B19479" t="s">
        <v>3221</v>
      </c>
      <c r="C19479">
        <v>9786</v>
      </c>
      <c r="D19479" t="s">
        <v>3708</v>
      </c>
      <c r="E19479" t="s">
        <v>2305</v>
      </c>
      <c r="F19479">
        <v>14957</v>
      </c>
      <c r="G19479">
        <v>230718</v>
      </c>
      <c r="H19479">
        <v>1196</v>
      </c>
      <c r="I19479" t="s">
        <v>392</v>
      </c>
      <c r="J19479">
        <v>14957</v>
      </c>
      <c r="K19479">
        <v>0</v>
      </c>
      <c r="L19479">
        <v>97602</v>
      </c>
      <c r="M19479" t="s">
        <v>2028</v>
      </c>
      <c r="N19479" t="str">
        <f>"397         "</f>
        <v xml:space="preserve">397         </v>
      </c>
      <c r="O19479">
        <v>230725</v>
      </c>
    </row>
    <row r="19480" spans="1:15" x14ac:dyDescent="0.25">
      <c r="A19480" t="s">
        <v>16</v>
      </c>
      <c r="B19480" t="s">
        <v>3221</v>
      </c>
      <c r="C19480">
        <v>9890</v>
      </c>
      <c r="D19480" t="s">
        <v>3708</v>
      </c>
      <c r="E19480" t="s">
        <v>2305</v>
      </c>
      <c r="F19480">
        <v>19000</v>
      </c>
      <c r="G19480">
        <v>230726</v>
      </c>
      <c r="H19480">
        <v>1196</v>
      </c>
      <c r="I19480" t="s">
        <v>392</v>
      </c>
      <c r="J19480">
        <v>19000</v>
      </c>
      <c r="K19480">
        <v>0</v>
      </c>
      <c r="L19480">
        <v>97602</v>
      </c>
      <c r="M19480" t="s">
        <v>2028</v>
      </c>
      <c r="N19480" t="str">
        <f>"398         "</f>
        <v xml:space="preserve">398         </v>
      </c>
      <c r="O19480">
        <v>230731</v>
      </c>
    </row>
    <row r="19481" spans="1:15" x14ac:dyDescent="0.25">
      <c r="A19481" t="s">
        <v>16</v>
      </c>
      <c r="B19481" t="s">
        <v>3221</v>
      </c>
      <c r="C19481">
        <v>10387</v>
      </c>
      <c r="D19481" t="s">
        <v>3708</v>
      </c>
      <c r="E19481" t="s">
        <v>2305</v>
      </c>
      <c r="F19481">
        <v>5000</v>
      </c>
      <c r="G19481">
        <v>230811</v>
      </c>
      <c r="H19481">
        <v>1196</v>
      </c>
      <c r="I19481" t="s">
        <v>392</v>
      </c>
      <c r="J19481">
        <v>5000</v>
      </c>
      <c r="K19481">
        <v>0</v>
      </c>
      <c r="L19481">
        <v>97602</v>
      </c>
      <c r="M19481" t="s">
        <v>2028</v>
      </c>
      <c r="N19481" t="str">
        <f>"3997        "</f>
        <v xml:space="preserve">3997        </v>
      </c>
      <c r="O19481">
        <v>230815</v>
      </c>
    </row>
    <row r="19482" spans="1:15" x14ac:dyDescent="0.25">
      <c r="A19482" t="s">
        <v>16</v>
      </c>
      <c r="B19482" t="s">
        <v>3221</v>
      </c>
      <c r="C19482">
        <v>10716</v>
      </c>
      <c r="D19482" t="s">
        <v>3708</v>
      </c>
      <c r="E19482" t="s">
        <v>2305</v>
      </c>
      <c r="F19482">
        <v>-3000</v>
      </c>
      <c r="G19482">
        <v>230816</v>
      </c>
      <c r="H19482">
        <v>1196</v>
      </c>
      <c r="I19482" t="s">
        <v>392</v>
      </c>
      <c r="J19482">
        <v>-3000</v>
      </c>
      <c r="K19482">
        <v>0</v>
      </c>
      <c r="L19482">
        <v>97602</v>
      </c>
      <c r="M19482" t="s">
        <v>2028</v>
      </c>
      <c r="N19482" t="str">
        <f>"400         "</f>
        <v xml:space="preserve">400         </v>
      </c>
      <c r="O19482">
        <v>230822</v>
      </c>
    </row>
    <row r="19483" spans="1:15" x14ac:dyDescent="0.25">
      <c r="A19483" t="s">
        <v>16</v>
      </c>
      <c r="B19483" t="s">
        <v>3221</v>
      </c>
      <c r="C19483">
        <v>10716</v>
      </c>
      <c r="D19483" t="s">
        <v>3708</v>
      </c>
      <c r="E19483" t="s">
        <v>2305</v>
      </c>
      <c r="F19483">
        <v>6000</v>
      </c>
      <c r="G19483">
        <v>230816</v>
      </c>
      <c r="H19483">
        <v>1196</v>
      </c>
      <c r="I19483" t="s">
        <v>392</v>
      </c>
      <c r="J19483">
        <v>6000</v>
      </c>
      <c r="K19483">
        <v>0</v>
      </c>
      <c r="L19483">
        <v>97602</v>
      </c>
      <c r="M19483" t="s">
        <v>2028</v>
      </c>
      <c r="N19483" t="str">
        <f>"400         "</f>
        <v xml:space="preserve">400         </v>
      </c>
      <c r="O19483">
        <v>230822</v>
      </c>
    </row>
    <row r="19484" spans="1:15" x14ac:dyDescent="0.25">
      <c r="A19484" t="s">
        <v>16</v>
      </c>
      <c r="B19484" t="s">
        <v>3221</v>
      </c>
      <c r="C19484">
        <v>10918</v>
      </c>
      <c r="D19484" t="s">
        <v>3708</v>
      </c>
      <c r="E19484" t="s">
        <v>2305</v>
      </c>
      <c r="F19484">
        <v>7995</v>
      </c>
      <c r="G19484">
        <v>230823</v>
      </c>
      <c r="H19484">
        <v>1196</v>
      </c>
      <c r="I19484" t="s">
        <v>392</v>
      </c>
      <c r="J19484">
        <v>7995</v>
      </c>
      <c r="K19484">
        <v>0</v>
      </c>
      <c r="L19484">
        <v>97602</v>
      </c>
      <c r="M19484" t="s">
        <v>2028</v>
      </c>
      <c r="N19484" t="str">
        <f>"401         "</f>
        <v xml:space="preserve">401         </v>
      </c>
      <c r="O19484">
        <v>230825</v>
      </c>
    </row>
    <row r="19485" spans="1:15" x14ac:dyDescent="0.25">
      <c r="A19485" t="s">
        <v>16</v>
      </c>
      <c r="B19485" t="s">
        <v>3221</v>
      </c>
      <c r="C19485">
        <v>13449</v>
      </c>
      <c r="D19485" t="s">
        <v>3708</v>
      </c>
      <c r="E19485" t="s">
        <v>2305</v>
      </c>
      <c r="F19485">
        <v>1309.4000000000001</v>
      </c>
      <c r="G19485">
        <v>231008</v>
      </c>
      <c r="H19485">
        <v>1196</v>
      </c>
      <c r="I19485" t="s">
        <v>392</v>
      </c>
      <c r="J19485">
        <v>1309.4000000000001</v>
      </c>
      <c r="K19485">
        <v>0</v>
      </c>
      <c r="L19485">
        <v>97602</v>
      </c>
      <c r="M19485" t="s">
        <v>2028</v>
      </c>
      <c r="N19485" t="str">
        <f>"409         "</f>
        <v xml:space="preserve">409         </v>
      </c>
      <c r="O19485">
        <v>231010</v>
      </c>
    </row>
    <row r="19486" spans="1:15" x14ac:dyDescent="0.25">
      <c r="A19486" t="s">
        <v>16</v>
      </c>
      <c r="B19486" t="s">
        <v>3221</v>
      </c>
      <c r="C19486">
        <v>2318</v>
      </c>
      <c r="D19486" t="s">
        <v>1358</v>
      </c>
      <c r="E19486" t="s">
        <v>1359</v>
      </c>
      <c r="F19486">
        <v>-725.81</v>
      </c>
      <c r="G19486">
        <v>230223</v>
      </c>
      <c r="H19486">
        <v>4350</v>
      </c>
      <c r="I19486" t="s">
        <v>546</v>
      </c>
      <c r="J19486">
        <v>-900</v>
      </c>
      <c r="K19486">
        <v>-174.19</v>
      </c>
      <c r="L19486">
        <v>13201</v>
      </c>
      <c r="M19486" t="s">
        <v>161</v>
      </c>
      <c r="N19486" t="str">
        <f>"0105756466/2"</f>
        <v>0105756466/2</v>
      </c>
      <c r="O19486">
        <v>230306</v>
      </c>
    </row>
    <row r="19487" spans="1:15" x14ac:dyDescent="0.25">
      <c r="A19487" t="s">
        <v>16</v>
      </c>
      <c r="B19487" t="s">
        <v>3221</v>
      </c>
      <c r="C19487">
        <v>13332</v>
      </c>
      <c r="D19487" t="s">
        <v>3237</v>
      </c>
      <c r="E19487" t="s">
        <v>3238</v>
      </c>
      <c r="F19487">
        <v>340</v>
      </c>
      <c r="G19487">
        <v>230929</v>
      </c>
      <c r="H19487">
        <v>4520</v>
      </c>
      <c r="I19487" t="s">
        <v>254</v>
      </c>
      <c r="J19487">
        <v>340</v>
      </c>
      <c r="K19487">
        <v>0</v>
      </c>
      <c r="L19487">
        <v>14432</v>
      </c>
      <c r="M19487" t="s">
        <v>862</v>
      </c>
      <c r="N19487" t="str">
        <f>"0106080330  "</f>
        <v xml:space="preserve">0106080330  </v>
      </c>
      <c r="O19487">
        <v>231009</v>
      </c>
    </row>
    <row r="19488" spans="1:15" x14ac:dyDescent="0.25">
      <c r="A19488" t="s">
        <v>16</v>
      </c>
      <c r="B19488" t="s">
        <v>3221</v>
      </c>
      <c r="C19488">
        <v>13332</v>
      </c>
      <c r="D19488" t="s">
        <v>3237</v>
      </c>
      <c r="E19488" t="s">
        <v>3238</v>
      </c>
      <c r="F19488">
        <v>340</v>
      </c>
      <c r="G19488">
        <v>230929</v>
      </c>
      <c r="H19488">
        <v>4520</v>
      </c>
      <c r="I19488" t="s">
        <v>254</v>
      </c>
      <c r="J19488">
        <v>340</v>
      </c>
      <c r="K19488">
        <v>0</v>
      </c>
      <c r="L19488">
        <v>14912</v>
      </c>
      <c r="M19488" t="s">
        <v>230</v>
      </c>
      <c r="N19488" t="str">
        <f>"0106080330  "</f>
        <v xml:space="preserve">0106080330  </v>
      </c>
      <c r="O19488">
        <v>231009</v>
      </c>
    </row>
    <row r="19489" spans="1:15" x14ac:dyDescent="0.25">
      <c r="A19489" t="s">
        <v>16</v>
      </c>
      <c r="B19489" t="s">
        <v>3221</v>
      </c>
      <c r="C19489">
        <v>9319</v>
      </c>
      <c r="D19489" t="s">
        <v>3237</v>
      </c>
      <c r="E19489" t="s">
        <v>3238</v>
      </c>
      <c r="F19489">
        <v>1425</v>
      </c>
      <c r="G19489">
        <v>230622</v>
      </c>
      <c r="H19489">
        <v>4345</v>
      </c>
      <c r="I19489" t="s">
        <v>2817</v>
      </c>
      <c r="J19489">
        <v>1425</v>
      </c>
      <c r="K19489">
        <v>0</v>
      </c>
      <c r="L19489">
        <v>14121</v>
      </c>
      <c r="M19489" t="s">
        <v>880</v>
      </c>
      <c r="N19489" t="str">
        <f t="shared" ref="N19489:N19495" si="257">"0106012003  "</f>
        <v xml:space="preserve">0106012003  </v>
      </c>
      <c r="O19489">
        <v>230706</v>
      </c>
    </row>
    <row r="19490" spans="1:15" x14ac:dyDescent="0.25">
      <c r="A19490" t="s">
        <v>16</v>
      </c>
      <c r="B19490" t="s">
        <v>3221</v>
      </c>
      <c r="C19490">
        <v>9319</v>
      </c>
      <c r="D19490" t="s">
        <v>3237</v>
      </c>
      <c r="E19490" t="s">
        <v>3238</v>
      </c>
      <c r="F19490">
        <v>750</v>
      </c>
      <c r="G19490">
        <v>230622</v>
      </c>
      <c r="H19490">
        <v>4345</v>
      </c>
      <c r="I19490" t="s">
        <v>2817</v>
      </c>
      <c r="J19490">
        <v>750</v>
      </c>
      <c r="K19490">
        <v>0</v>
      </c>
      <c r="L19490">
        <v>14321</v>
      </c>
      <c r="M19490" t="s">
        <v>717</v>
      </c>
      <c r="N19490" t="str">
        <f t="shared" si="257"/>
        <v xml:space="preserve">0106012003  </v>
      </c>
      <c r="O19490">
        <v>230706</v>
      </c>
    </row>
    <row r="19491" spans="1:15" x14ac:dyDescent="0.25">
      <c r="A19491" t="s">
        <v>16</v>
      </c>
      <c r="B19491" t="s">
        <v>3221</v>
      </c>
      <c r="C19491">
        <v>9319</v>
      </c>
      <c r="D19491" t="s">
        <v>3237</v>
      </c>
      <c r="E19491" t="s">
        <v>3238</v>
      </c>
      <c r="F19491">
        <v>600</v>
      </c>
      <c r="G19491">
        <v>230622</v>
      </c>
      <c r="H19491">
        <v>4345</v>
      </c>
      <c r="I19491" t="s">
        <v>2817</v>
      </c>
      <c r="J19491">
        <v>600</v>
      </c>
      <c r="K19491">
        <v>0</v>
      </c>
      <c r="L19491">
        <v>14422</v>
      </c>
      <c r="M19491" t="s">
        <v>228</v>
      </c>
      <c r="N19491" t="str">
        <f t="shared" si="257"/>
        <v xml:space="preserve">0106012003  </v>
      </c>
      <c r="O19491">
        <v>230706</v>
      </c>
    </row>
    <row r="19492" spans="1:15" x14ac:dyDescent="0.25">
      <c r="A19492" t="s">
        <v>16</v>
      </c>
      <c r="B19492" t="s">
        <v>3221</v>
      </c>
      <c r="C19492">
        <v>9319</v>
      </c>
      <c r="D19492" t="s">
        <v>3237</v>
      </c>
      <c r="E19492" t="s">
        <v>3238</v>
      </c>
      <c r="F19492">
        <v>1125</v>
      </c>
      <c r="G19492">
        <v>230622</v>
      </c>
      <c r="H19492">
        <v>4345</v>
      </c>
      <c r="I19492" t="s">
        <v>2817</v>
      </c>
      <c r="J19492">
        <v>1125</v>
      </c>
      <c r="K19492">
        <v>0</v>
      </c>
      <c r="L19492">
        <v>14422</v>
      </c>
      <c r="M19492" t="s">
        <v>228</v>
      </c>
      <c r="N19492" t="str">
        <f t="shared" si="257"/>
        <v xml:space="preserve">0106012003  </v>
      </c>
      <c r="O19492">
        <v>230706</v>
      </c>
    </row>
    <row r="19493" spans="1:15" x14ac:dyDescent="0.25">
      <c r="A19493" t="s">
        <v>16</v>
      </c>
      <c r="B19493" t="s">
        <v>3221</v>
      </c>
      <c r="C19493">
        <v>9319</v>
      </c>
      <c r="D19493" t="s">
        <v>3237</v>
      </c>
      <c r="E19493" t="s">
        <v>3238</v>
      </c>
      <c r="F19493">
        <v>1050</v>
      </c>
      <c r="G19493">
        <v>230622</v>
      </c>
      <c r="H19493">
        <v>4345</v>
      </c>
      <c r="I19493" t="s">
        <v>2817</v>
      </c>
      <c r="J19493">
        <v>1050</v>
      </c>
      <c r="K19493">
        <v>0</v>
      </c>
      <c r="L19493">
        <v>14541</v>
      </c>
      <c r="M19493" t="s">
        <v>626</v>
      </c>
      <c r="N19493" t="str">
        <f t="shared" si="257"/>
        <v xml:space="preserve">0106012003  </v>
      </c>
      <c r="O19493">
        <v>230706</v>
      </c>
    </row>
    <row r="19494" spans="1:15" x14ac:dyDescent="0.25">
      <c r="A19494" t="s">
        <v>16</v>
      </c>
      <c r="B19494" t="s">
        <v>3221</v>
      </c>
      <c r="C19494">
        <v>9319</v>
      </c>
      <c r="D19494" t="s">
        <v>3237</v>
      </c>
      <c r="E19494" t="s">
        <v>3238</v>
      </c>
      <c r="F19494">
        <v>150</v>
      </c>
      <c r="G19494">
        <v>230622</v>
      </c>
      <c r="H19494">
        <v>4345</v>
      </c>
      <c r="I19494" t="s">
        <v>2817</v>
      </c>
      <c r="J19494">
        <v>150</v>
      </c>
      <c r="K19494">
        <v>0</v>
      </c>
      <c r="L19494">
        <v>14622</v>
      </c>
      <c r="M19494" t="s">
        <v>1005</v>
      </c>
      <c r="N19494" t="str">
        <f t="shared" si="257"/>
        <v xml:space="preserve">0106012003  </v>
      </c>
      <c r="O19494">
        <v>230706</v>
      </c>
    </row>
    <row r="19495" spans="1:15" x14ac:dyDescent="0.25">
      <c r="A19495" t="s">
        <v>16</v>
      </c>
      <c r="B19495" t="s">
        <v>3221</v>
      </c>
      <c r="C19495">
        <v>9319</v>
      </c>
      <c r="D19495" t="s">
        <v>3237</v>
      </c>
      <c r="E19495" t="s">
        <v>3238</v>
      </c>
      <c r="F19495">
        <v>2775</v>
      </c>
      <c r="G19495">
        <v>230622</v>
      </c>
      <c r="H19495">
        <v>4345</v>
      </c>
      <c r="I19495" t="s">
        <v>2817</v>
      </c>
      <c r="J19495">
        <v>2775</v>
      </c>
      <c r="K19495">
        <v>0</v>
      </c>
      <c r="L19495">
        <v>14622</v>
      </c>
      <c r="M19495" t="s">
        <v>1005</v>
      </c>
      <c r="N19495" t="str">
        <f t="shared" si="257"/>
        <v xml:space="preserve">0106012003  </v>
      </c>
      <c r="O19495">
        <v>230706</v>
      </c>
    </row>
    <row r="19496" spans="1:15" x14ac:dyDescent="0.25">
      <c r="A19496" t="s">
        <v>16</v>
      </c>
      <c r="B19496" t="s">
        <v>3221</v>
      </c>
      <c r="C19496">
        <v>9335</v>
      </c>
      <c r="D19496" t="s">
        <v>3237</v>
      </c>
      <c r="E19496" t="s">
        <v>3238</v>
      </c>
      <c r="F19496">
        <v>145.97</v>
      </c>
      <c r="G19496">
        <v>230622</v>
      </c>
      <c r="H19496">
        <v>4345</v>
      </c>
      <c r="I19496" t="s">
        <v>2817</v>
      </c>
      <c r="J19496">
        <v>160.57</v>
      </c>
      <c r="K19496">
        <v>14.6</v>
      </c>
      <c r="L19496">
        <v>14121</v>
      </c>
      <c r="M19496" t="s">
        <v>880</v>
      </c>
      <c r="N19496" t="str">
        <f>"0106012004  "</f>
        <v xml:space="preserve">0106012004  </v>
      </c>
      <c r="O19496">
        <v>230706</v>
      </c>
    </row>
    <row r="19497" spans="1:15" x14ac:dyDescent="0.25">
      <c r="A19497" t="s">
        <v>16</v>
      </c>
      <c r="B19497" t="s">
        <v>3221</v>
      </c>
      <c r="C19497">
        <v>9335</v>
      </c>
      <c r="D19497" t="s">
        <v>3237</v>
      </c>
      <c r="E19497" t="s">
        <v>3238</v>
      </c>
      <c r="F19497">
        <v>67</v>
      </c>
      <c r="G19497">
        <v>230622</v>
      </c>
      <c r="H19497">
        <v>4345</v>
      </c>
      <c r="I19497" t="s">
        <v>2817</v>
      </c>
      <c r="J19497">
        <v>73.7</v>
      </c>
      <c r="K19497">
        <v>6.7</v>
      </c>
      <c r="L19497">
        <v>14321</v>
      </c>
      <c r="M19497" t="s">
        <v>717</v>
      </c>
      <c r="N19497" t="str">
        <f>"0106012004  "</f>
        <v xml:space="preserve">0106012004  </v>
      </c>
      <c r="O19497">
        <v>230706</v>
      </c>
    </row>
    <row r="19498" spans="1:15" x14ac:dyDescent="0.25">
      <c r="A19498" t="s">
        <v>16</v>
      </c>
      <c r="B19498" t="s">
        <v>3221</v>
      </c>
      <c r="C19498">
        <v>9335</v>
      </c>
      <c r="D19498" t="s">
        <v>3237</v>
      </c>
      <c r="E19498" t="s">
        <v>3238</v>
      </c>
      <c r="F19498">
        <v>136.75</v>
      </c>
      <c r="G19498">
        <v>230622</v>
      </c>
      <c r="H19498">
        <v>4345</v>
      </c>
      <c r="I19498" t="s">
        <v>2817</v>
      </c>
      <c r="J19498">
        <v>150.41999999999999</v>
      </c>
      <c r="K19498">
        <v>13.67</v>
      </c>
      <c r="L19498">
        <v>14422</v>
      </c>
      <c r="M19498" t="s">
        <v>228</v>
      </c>
      <c r="N19498" t="str">
        <f>"0106012004  "</f>
        <v xml:space="preserve">0106012004  </v>
      </c>
      <c r="O19498">
        <v>230706</v>
      </c>
    </row>
    <row r="19499" spans="1:15" x14ac:dyDescent="0.25">
      <c r="A19499" t="s">
        <v>16</v>
      </c>
      <c r="B19499" t="s">
        <v>3221</v>
      </c>
      <c r="C19499">
        <v>9335</v>
      </c>
      <c r="D19499" t="s">
        <v>3237</v>
      </c>
      <c r="E19499" t="s">
        <v>3238</v>
      </c>
      <c r="F19499">
        <v>111.51</v>
      </c>
      <c r="G19499">
        <v>230622</v>
      </c>
      <c r="H19499">
        <v>4345</v>
      </c>
      <c r="I19499" t="s">
        <v>2817</v>
      </c>
      <c r="J19499">
        <v>122.66</v>
      </c>
      <c r="K19499">
        <v>11.15</v>
      </c>
      <c r="L19499">
        <v>14541</v>
      </c>
      <c r="M19499" t="s">
        <v>626</v>
      </c>
      <c r="N19499" t="str">
        <f>"0106012004  "</f>
        <v xml:space="preserve">0106012004  </v>
      </c>
      <c r="O19499">
        <v>230706</v>
      </c>
    </row>
    <row r="19500" spans="1:15" x14ac:dyDescent="0.25">
      <c r="A19500" t="s">
        <v>16</v>
      </c>
      <c r="B19500" t="s">
        <v>3221</v>
      </c>
      <c r="C19500">
        <v>9335</v>
      </c>
      <c r="D19500" t="s">
        <v>3237</v>
      </c>
      <c r="E19500" t="s">
        <v>3238</v>
      </c>
      <c r="F19500">
        <v>112.91</v>
      </c>
      <c r="G19500">
        <v>230622</v>
      </c>
      <c r="H19500">
        <v>4345</v>
      </c>
      <c r="I19500" t="s">
        <v>2817</v>
      </c>
      <c r="J19500">
        <v>124.2</v>
      </c>
      <c r="K19500">
        <v>11.29</v>
      </c>
      <c r="L19500">
        <v>14622</v>
      </c>
      <c r="M19500" t="s">
        <v>1005</v>
      </c>
      <c r="N19500" t="str">
        <f>"0106012004  "</f>
        <v xml:space="preserve">0106012004  </v>
      </c>
      <c r="O19500">
        <v>230706</v>
      </c>
    </row>
    <row r="19501" spans="1:15" x14ac:dyDescent="0.25">
      <c r="A19501" t="s">
        <v>16</v>
      </c>
      <c r="B19501" t="s">
        <v>3221</v>
      </c>
      <c r="C19501">
        <v>18369</v>
      </c>
      <c r="D19501" t="s">
        <v>3237</v>
      </c>
      <c r="E19501" t="s">
        <v>3238</v>
      </c>
      <c r="F19501">
        <v>138.72</v>
      </c>
      <c r="G19501">
        <v>231218</v>
      </c>
      <c r="H19501">
        <v>4345</v>
      </c>
      <c r="I19501" t="s">
        <v>2817</v>
      </c>
      <c r="J19501">
        <v>152.59</v>
      </c>
      <c r="K19501">
        <v>13.87</v>
      </c>
      <c r="L19501">
        <v>14121</v>
      </c>
      <c r="M19501" t="s">
        <v>880</v>
      </c>
      <c r="N19501" t="str">
        <f>"0106137442  "</f>
        <v xml:space="preserve">0106137442  </v>
      </c>
      <c r="O19501">
        <v>240103</v>
      </c>
    </row>
    <row r="19502" spans="1:15" x14ac:dyDescent="0.25">
      <c r="A19502" t="s">
        <v>16</v>
      </c>
      <c r="B19502" t="s">
        <v>3221</v>
      </c>
      <c r="C19502">
        <v>18369</v>
      </c>
      <c r="D19502" t="s">
        <v>3237</v>
      </c>
      <c r="E19502" t="s">
        <v>3238</v>
      </c>
      <c r="F19502">
        <v>15.91</v>
      </c>
      <c r="G19502">
        <v>231218</v>
      </c>
      <c r="H19502">
        <v>4345</v>
      </c>
      <c r="I19502" t="s">
        <v>2817</v>
      </c>
      <c r="J19502">
        <v>17.5</v>
      </c>
      <c r="K19502">
        <v>1.59</v>
      </c>
      <c r="L19502">
        <v>14321</v>
      </c>
      <c r="M19502" t="s">
        <v>717</v>
      </c>
      <c r="N19502" t="str">
        <f>"0106137442  "</f>
        <v xml:space="preserve">0106137442  </v>
      </c>
      <c r="O19502">
        <v>240103</v>
      </c>
    </row>
    <row r="19503" spans="1:15" x14ac:dyDescent="0.25">
      <c r="A19503" t="s">
        <v>16</v>
      </c>
      <c r="B19503" t="s">
        <v>3221</v>
      </c>
      <c r="C19503">
        <v>18369</v>
      </c>
      <c r="D19503" t="s">
        <v>3237</v>
      </c>
      <c r="E19503" t="s">
        <v>3238</v>
      </c>
      <c r="F19503">
        <v>61.91</v>
      </c>
      <c r="G19503">
        <v>231218</v>
      </c>
      <c r="H19503">
        <v>4345</v>
      </c>
      <c r="I19503" t="s">
        <v>2817</v>
      </c>
      <c r="J19503">
        <v>68.099999999999994</v>
      </c>
      <c r="K19503">
        <v>6.19</v>
      </c>
      <c r="L19503">
        <v>14422</v>
      </c>
      <c r="M19503" t="s">
        <v>228</v>
      </c>
      <c r="N19503" t="str">
        <f>"0106137442  "</f>
        <v xml:space="preserve">0106137442  </v>
      </c>
      <c r="O19503">
        <v>240103</v>
      </c>
    </row>
    <row r="19504" spans="1:15" x14ac:dyDescent="0.25">
      <c r="A19504" t="s">
        <v>16</v>
      </c>
      <c r="B19504" t="s">
        <v>3221</v>
      </c>
      <c r="C19504">
        <v>18369</v>
      </c>
      <c r="D19504" t="s">
        <v>3237</v>
      </c>
      <c r="E19504" t="s">
        <v>3238</v>
      </c>
      <c r="F19504">
        <v>286.85000000000002</v>
      </c>
      <c r="G19504">
        <v>231218</v>
      </c>
      <c r="H19504">
        <v>4345</v>
      </c>
      <c r="I19504" t="s">
        <v>2817</v>
      </c>
      <c r="J19504">
        <v>315.52999999999997</v>
      </c>
      <c r="K19504">
        <v>28.68</v>
      </c>
      <c r="L19504">
        <v>14622</v>
      </c>
      <c r="M19504" t="s">
        <v>1005</v>
      </c>
      <c r="N19504" t="str">
        <f>"0106137442  "</f>
        <v xml:space="preserve">0106137442  </v>
      </c>
      <c r="O19504">
        <v>240103</v>
      </c>
    </row>
    <row r="19505" spans="1:15" x14ac:dyDescent="0.25">
      <c r="A19505" t="s">
        <v>16</v>
      </c>
      <c r="B19505" t="s">
        <v>3221</v>
      </c>
      <c r="C19505">
        <v>18415</v>
      </c>
      <c r="D19505" t="s">
        <v>3237</v>
      </c>
      <c r="E19505" t="s">
        <v>3238</v>
      </c>
      <c r="F19505">
        <v>1482</v>
      </c>
      <c r="G19505">
        <v>231218</v>
      </c>
      <c r="H19505">
        <v>4345</v>
      </c>
      <c r="I19505" t="s">
        <v>2817</v>
      </c>
      <c r="J19505">
        <v>1482</v>
      </c>
      <c r="K19505">
        <v>0</v>
      </c>
      <c r="L19505">
        <v>14121</v>
      </c>
      <c r="M19505" t="s">
        <v>880</v>
      </c>
      <c r="N19505" t="str">
        <f>"0106144479  "</f>
        <v xml:space="preserve">0106144479  </v>
      </c>
      <c r="O19505">
        <v>240103</v>
      </c>
    </row>
    <row r="19506" spans="1:15" x14ac:dyDescent="0.25">
      <c r="A19506" t="s">
        <v>16</v>
      </c>
      <c r="B19506" t="s">
        <v>3221</v>
      </c>
      <c r="C19506">
        <v>18415</v>
      </c>
      <c r="D19506" t="s">
        <v>3237</v>
      </c>
      <c r="E19506" t="s">
        <v>3238</v>
      </c>
      <c r="F19506">
        <v>312</v>
      </c>
      <c r="G19506">
        <v>231218</v>
      </c>
      <c r="H19506">
        <v>4345</v>
      </c>
      <c r="I19506" t="s">
        <v>2817</v>
      </c>
      <c r="J19506">
        <v>312</v>
      </c>
      <c r="K19506">
        <v>0</v>
      </c>
      <c r="L19506">
        <v>14321</v>
      </c>
      <c r="M19506" t="s">
        <v>717</v>
      </c>
      <c r="N19506" t="str">
        <f>"0106144479  "</f>
        <v xml:space="preserve">0106144479  </v>
      </c>
      <c r="O19506">
        <v>240103</v>
      </c>
    </row>
    <row r="19507" spans="1:15" x14ac:dyDescent="0.25">
      <c r="A19507" t="s">
        <v>16</v>
      </c>
      <c r="B19507" t="s">
        <v>3221</v>
      </c>
      <c r="C19507">
        <v>18415</v>
      </c>
      <c r="D19507" t="s">
        <v>3237</v>
      </c>
      <c r="E19507" t="s">
        <v>3238</v>
      </c>
      <c r="F19507">
        <v>156</v>
      </c>
      <c r="G19507">
        <v>231218</v>
      </c>
      <c r="H19507">
        <v>4345</v>
      </c>
      <c r="I19507" t="s">
        <v>2817</v>
      </c>
      <c r="J19507">
        <v>156</v>
      </c>
      <c r="K19507">
        <v>0</v>
      </c>
      <c r="L19507">
        <v>14422</v>
      </c>
      <c r="M19507" t="s">
        <v>228</v>
      </c>
      <c r="N19507" t="str">
        <f>"0106144479  "</f>
        <v xml:space="preserve">0106144479  </v>
      </c>
      <c r="O19507">
        <v>240103</v>
      </c>
    </row>
    <row r="19508" spans="1:15" x14ac:dyDescent="0.25">
      <c r="A19508" t="s">
        <v>16</v>
      </c>
      <c r="B19508" t="s">
        <v>3221</v>
      </c>
      <c r="C19508">
        <v>18415</v>
      </c>
      <c r="D19508" t="s">
        <v>3237</v>
      </c>
      <c r="E19508" t="s">
        <v>3238</v>
      </c>
      <c r="F19508">
        <v>2262</v>
      </c>
      <c r="G19508">
        <v>231218</v>
      </c>
      <c r="H19508">
        <v>4345</v>
      </c>
      <c r="I19508" t="s">
        <v>2817</v>
      </c>
      <c r="J19508">
        <v>2262</v>
      </c>
      <c r="K19508">
        <v>0</v>
      </c>
      <c r="L19508">
        <v>14622</v>
      </c>
      <c r="M19508" t="s">
        <v>1005</v>
      </c>
      <c r="N19508" t="str">
        <f>"0106144479  "</f>
        <v xml:space="preserve">0106144479  </v>
      </c>
      <c r="O19508">
        <v>240103</v>
      </c>
    </row>
    <row r="19509" spans="1:15" x14ac:dyDescent="0.25">
      <c r="A19509" t="s">
        <v>16</v>
      </c>
      <c r="B19509" t="s">
        <v>3221</v>
      </c>
      <c r="C19509">
        <v>11011</v>
      </c>
      <c r="D19509" t="s">
        <v>3237</v>
      </c>
      <c r="E19509" t="s">
        <v>3238</v>
      </c>
      <c r="F19509">
        <v>118.95</v>
      </c>
      <c r="G19509">
        <v>230823</v>
      </c>
      <c r="H19509">
        <v>4412</v>
      </c>
      <c r="I19509" t="s">
        <v>149</v>
      </c>
      <c r="J19509">
        <v>135.6</v>
      </c>
      <c r="K19509">
        <v>16.649999999999999</v>
      </c>
      <c r="L19509">
        <v>18972</v>
      </c>
      <c r="M19509" t="s">
        <v>163</v>
      </c>
      <c r="N19509" t="str">
        <f>"0106039388  "</f>
        <v xml:space="preserve">0106039388  </v>
      </c>
      <c r="O19509">
        <v>230828</v>
      </c>
    </row>
    <row r="19510" spans="1:15" x14ac:dyDescent="0.25">
      <c r="A19510" t="s">
        <v>16</v>
      </c>
      <c r="B19510" t="s">
        <v>3221</v>
      </c>
      <c r="C19510">
        <v>7603</v>
      </c>
      <c r="D19510" t="s">
        <v>3237</v>
      </c>
      <c r="E19510" t="s">
        <v>3238</v>
      </c>
      <c r="F19510">
        <v>120.97</v>
      </c>
      <c r="G19510">
        <v>230522</v>
      </c>
      <c r="H19510">
        <v>4420</v>
      </c>
      <c r="I19510" t="s">
        <v>132</v>
      </c>
      <c r="J19510">
        <v>150</v>
      </c>
      <c r="K19510">
        <v>29.03</v>
      </c>
      <c r="L19510">
        <v>47522</v>
      </c>
      <c r="M19510" t="s">
        <v>410</v>
      </c>
      <c r="N19510" t="str">
        <f>"0105979705  "</f>
        <v xml:space="preserve">0105979705  </v>
      </c>
      <c r="O19510">
        <v>230601</v>
      </c>
    </row>
    <row r="19511" spans="1:15" x14ac:dyDescent="0.25">
      <c r="A19511" t="s">
        <v>16</v>
      </c>
      <c r="B19511" t="s">
        <v>3221</v>
      </c>
      <c r="C19511">
        <v>8122</v>
      </c>
      <c r="D19511" t="s">
        <v>3237</v>
      </c>
      <c r="E19511" t="s">
        <v>3238</v>
      </c>
      <c r="F19511">
        <v>280</v>
      </c>
      <c r="G19511">
        <v>230531</v>
      </c>
      <c r="H19511">
        <v>4420</v>
      </c>
      <c r="I19511" t="s">
        <v>132</v>
      </c>
      <c r="J19511">
        <v>347.2</v>
      </c>
      <c r="K19511">
        <v>67.2</v>
      </c>
      <c r="L19511">
        <v>17808</v>
      </c>
      <c r="M19511" t="s">
        <v>322</v>
      </c>
      <c r="N19511" t="str">
        <f>"0105981495  "</f>
        <v xml:space="preserve">0105981495  </v>
      </c>
      <c r="O19511">
        <v>230607</v>
      </c>
    </row>
    <row r="19512" spans="1:15" x14ac:dyDescent="0.25">
      <c r="A19512" t="s">
        <v>16</v>
      </c>
      <c r="B19512" t="s">
        <v>3221</v>
      </c>
      <c r="C19512">
        <v>9032</v>
      </c>
      <c r="D19512" t="s">
        <v>3237</v>
      </c>
      <c r="E19512" t="s">
        <v>3238</v>
      </c>
      <c r="F19512">
        <v>150</v>
      </c>
      <c r="G19512">
        <v>230615</v>
      </c>
      <c r="H19512">
        <v>4940</v>
      </c>
      <c r="I19512" t="s">
        <v>514</v>
      </c>
      <c r="J19512">
        <v>150</v>
      </c>
      <c r="K19512">
        <v>0</v>
      </c>
      <c r="L19512">
        <v>14972</v>
      </c>
      <c r="M19512" t="s">
        <v>898</v>
      </c>
      <c r="N19512" t="str">
        <f>"0106002798  "</f>
        <v xml:space="preserve">0106002798  </v>
      </c>
      <c r="O19512">
        <v>230621</v>
      </c>
    </row>
    <row r="19513" spans="1:15" x14ac:dyDescent="0.25">
      <c r="A19513" t="s">
        <v>16</v>
      </c>
      <c r="B19513" t="s">
        <v>3221</v>
      </c>
      <c r="C19513">
        <v>9033</v>
      </c>
      <c r="D19513" t="s">
        <v>3237</v>
      </c>
      <c r="E19513" t="s">
        <v>3238</v>
      </c>
      <c r="F19513">
        <v>150</v>
      </c>
      <c r="G19513">
        <v>230615</v>
      </c>
      <c r="H19513">
        <v>4940</v>
      </c>
      <c r="I19513" t="s">
        <v>514</v>
      </c>
      <c r="J19513">
        <v>150</v>
      </c>
      <c r="K19513">
        <v>0</v>
      </c>
      <c r="L19513">
        <v>14972</v>
      </c>
      <c r="M19513" t="s">
        <v>898</v>
      </c>
      <c r="N19513" t="str">
        <f>"0106002800  "</f>
        <v xml:space="preserve">0106002800  </v>
      </c>
      <c r="O19513">
        <v>230621</v>
      </c>
    </row>
    <row r="19514" spans="1:15" x14ac:dyDescent="0.25">
      <c r="A19514" t="s">
        <v>16</v>
      </c>
      <c r="B19514" t="s">
        <v>3221</v>
      </c>
      <c r="C19514">
        <v>9035</v>
      </c>
      <c r="D19514" t="s">
        <v>3237</v>
      </c>
      <c r="E19514" t="s">
        <v>3238</v>
      </c>
      <c r="F19514">
        <v>150</v>
      </c>
      <c r="G19514">
        <v>230615</v>
      </c>
      <c r="H19514">
        <v>4940</v>
      </c>
      <c r="I19514" t="s">
        <v>514</v>
      </c>
      <c r="J19514">
        <v>150</v>
      </c>
      <c r="K19514">
        <v>0</v>
      </c>
      <c r="L19514">
        <v>14972</v>
      </c>
      <c r="M19514" t="s">
        <v>898</v>
      </c>
      <c r="N19514" t="str">
        <f>"0106002799  "</f>
        <v xml:space="preserve">0106002799  </v>
      </c>
      <c r="O19514">
        <v>230621</v>
      </c>
    </row>
    <row r="19515" spans="1:15" x14ac:dyDescent="0.25">
      <c r="A19515" t="s">
        <v>16</v>
      </c>
      <c r="B19515" t="s">
        <v>3221</v>
      </c>
      <c r="C19515">
        <v>9267</v>
      </c>
      <c r="D19515" t="s">
        <v>3237</v>
      </c>
      <c r="E19515" t="s">
        <v>3238</v>
      </c>
      <c r="F19515">
        <v>150</v>
      </c>
      <c r="G19515">
        <v>230620</v>
      </c>
      <c r="H19515">
        <v>4940</v>
      </c>
      <c r="I19515" t="s">
        <v>514</v>
      </c>
      <c r="J19515">
        <v>150</v>
      </c>
      <c r="K19515">
        <v>0</v>
      </c>
      <c r="L19515">
        <v>14912</v>
      </c>
      <c r="M19515" t="s">
        <v>230</v>
      </c>
      <c r="N19515" t="str">
        <f>"0106004283  "</f>
        <v xml:space="preserve">0106004283  </v>
      </c>
      <c r="O19515">
        <v>230703</v>
      </c>
    </row>
    <row r="19516" spans="1:15" x14ac:dyDescent="0.25">
      <c r="A19516" t="s">
        <v>16</v>
      </c>
      <c r="B19516" t="s">
        <v>3221</v>
      </c>
      <c r="C19516">
        <v>18404</v>
      </c>
      <c r="D19516" t="s">
        <v>3237</v>
      </c>
      <c r="E19516" t="s">
        <v>3238</v>
      </c>
      <c r="F19516">
        <v>280</v>
      </c>
      <c r="G19516">
        <v>231218</v>
      </c>
      <c r="H19516">
        <v>4940</v>
      </c>
      <c r="I19516" t="s">
        <v>514</v>
      </c>
      <c r="J19516">
        <v>280</v>
      </c>
      <c r="K19516">
        <v>0</v>
      </c>
      <c r="L19516">
        <v>14972</v>
      </c>
      <c r="M19516" t="s">
        <v>898</v>
      </c>
      <c r="N19516" t="str">
        <f>"0106137561  "</f>
        <v xml:space="preserve">0106137561  </v>
      </c>
      <c r="O19516">
        <v>240103</v>
      </c>
    </row>
    <row r="19517" spans="1:15" x14ac:dyDescent="0.25">
      <c r="A19517" t="s">
        <v>16</v>
      </c>
      <c r="B19517" t="s">
        <v>3221</v>
      </c>
      <c r="C19517">
        <v>6153</v>
      </c>
      <c r="D19517" t="s">
        <v>3237</v>
      </c>
      <c r="E19517" t="s">
        <v>3238</v>
      </c>
      <c r="F19517">
        <v>85</v>
      </c>
      <c r="G19517">
        <v>230430</v>
      </c>
      <c r="H19517">
        <v>4470</v>
      </c>
      <c r="I19517" t="s">
        <v>83</v>
      </c>
      <c r="J19517">
        <v>85</v>
      </c>
      <c r="K19517">
        <v>0</v>
      </c>
      <c r="L19517">
        <v>13802</v>
      </c>
      <c r="M19517" t="s">
        <v>200</v>
      </c>
      <c r="N19517" t="str">
        <f>"0105965682  "</f>
        <v xml:space="preserve">0105965682  </v>
      </c>
      <c r="O19517">
        <v>230508</v>
      </c>
    </row>
    <row r="19518" spans="1:15" x14ac:dyDescent="0.25">
      <c r="A19518" t="s">
        <v>16</v>
      </c>
      <c r="B19518" t="s">
        <v>3221</v>
      </c>
      <c r="C19518">
        <v>19221</v>
      </c>
      <c r="D19518" t="s">
        <v>3237</v>
      </c>
      <c r="E19518" t="s">
        <v>3238</v>
      </c>
      <c r="F19518">
        <v>40.909999999999997</v>
      </c>
      <c r="G19518">
        <v>231229</v>
      </c>
      <c r="H19518">
        <v>4860</v>
      </c>
      <c r="I19518" t="s">
        <v>28</v>
      </c>
      <c r="J19518">
        <v>45</v>
      </c>
      <c r="K19518">
        <v>4.09</v>
      </c>
      <c r="L19518">
        <v>14541</v>
      </c>
      <c r="M19518" t="s">
        <v>626</v>
      </c>
      <c r="N19518" t="str">
        <f>"0106148173  "</f>
        <v xml:space="preserve">0106148173  </v>
      </c>
      <c r="O19518">
        <v>240115</v>
      </c>
    </row>
    <row r="19519" spans="1:15" x14ac:dyDescent="0.25">
      <c r="A19519" t="s">
        <v>16</v>
      </c>
      <c r="B19519" t="s">
        <v>3221</v>
      </c>
      <c r="C19519">
        <v>1575</v>
      </c>
      <c r="D19519" t="s">
        <v>3237</v>
      </c>
      <c r="E19519" t="s">
        <v>3238</v>
      </c>
      <c r="F19519">
        <v>105</v>
      </c>
      <c r="G19519">
        <v>230207</v>
      </c>
      <c r="H19519">
        <v>4440</v>
      </c>
      <c r="I19519" t="s">
        <v>250</v>
      </c>
      <c r="J19519">
        <v>105</v>
      </c>
      <c r="K19519">
        <v>0</v>
      </c>
      <c r="L19519">
        <v>13401</v>
      </c>
      <c r="M19519" t="s">
        <v>80</v>
      </c>
      <c r="N19519" t="str">
        <f>"0105868691  "</f>
        <v xml:space="preserve">0105868691  </v>
      </c>
      <c r="O19519">
        <v>230209</v>
      </c>
    </row>
    <row r="19520" spans="1:15" x14ac:dyDescent="0.25">
      <c r="A19520" t="s">
        <v>16</v>
      </c>
      <c r="B19520" t="s">
        <v>3221</v>
      </c>
      <c r="C19520">
        <v>4267</v>
      </c>
      <c r="D19520" t="s">
        <v>3237</v>
      </c>
      <c r="E19520" t="s">
        <v>3238</v>
      </c>
      <c r="F19520">
        <v>45</v>
      </c>
      <c r="G19520">
        <v>230328</v>
      </c>
      <c r="H19520">
        <v>4440</v>
      </c>
      <c r="I19520" t="s">
        <v>250</v>
      </c>
      <c r="J19520">
        <v>45</v>
      </c>
      <c r="K19520">
        <v>0</v>
      </c>
      <c r="L19520">
        <v>17538</v>
      </c>
      <c r="M19520" t="s">
        <v>24</v>
      </c>
      <c r="N19520" t="str">
        <f>"0105939408  "</f>
        <v xml:space="preserve">0105939408  </v>
      </c>
      <c r="O19520">
        <v>230403</v>
      </c>
    </row>
    <row r="19521" spans="1:15" x14ac:dyDescent="0.25">
      <c r="A19521" t="s">
        <v>16</v>
      </c>
      <c r="B19521" t="s">
        <v>3221</v>
      </c>
      <c r="C19521">
        <v>6005</v>
      </c>
      <c r="D19521" t="s">
        <v>3237</v>
      </c>
      <c r="E19521" t="s">
        <v>3238</v>
      </c>
      <c r="F19521">
        <v>236</v>
      </c>
      <c r="G19521">
        <v>230430</v>
      </c>
      <c r="H19521">
        <v>4440</v>
      </c>
      <c r="I19521" t="s">
        <v>250</v>
      </c>
      <c r="J19521">
        <v>236</v>
      </c>
      <c r="K19521">
        <v>0</v>
      </c>
      <c r="L19521">
        <v>13802</v>
      </c>
      <c r="M19521" t="s">
        <v>200</v>
      </c>
      <c r="N19521" t="str">
        <f>"0105968483  "</f>
        <v xml:space="preserve">0105968483  </v>
      </c>
      <c r="O19521">
        <v>230505</v>
      </c>
    </row>
    <row r="19522" spans="1:15" x14ac:dyDescent="0.25">
      <c r="A19522" t="s">
        <v>16</v>
      </c>
      <c r="B19522" t="s">
        <v>3221</v>
      </c>
      <c r="C19522">
        <v>13594</v>
      </c>
      <c r="D19522" t="s">
        <v>3237</v>
      </c>
      <c r="E19522" t="s">
        <v>3238</v>
      </c>
      <c r="F19522">
        <v>114</v>
      </c>
      <c r="G19522">
        <v>231006</v>
      </c>
      <c r="H19522">
        <v>4440</v>
      </c>
      <c r="I19522" t="s">
        <v>250</v>
      </c>
      <c r="J19522">
        <v>114</v>
      </c>
      <c r="K19522">
        <v>0</v>
      </c>
      <c r="L19522">
        <v>17538</v>
      </c>
      <c r="M19522" t="s">
        <v>24</v>
      </c>
      <c r="N19522" t="str">
        <f>"0106085655  "</f>
        <v xml:space="preserve">0106085655  </v>
      </c>
      <c r="O19522">
        <v>231011</v>
      </c>
    </row>
    <row r="19523" spans="1:15" x14ac:dyDescent="0.25">
      <c r="A19523" t="s">
        <v>16</v>
      </c>
      <c r="B19523" t="s">
        <v>3221</v>
      </c>
      <c r="C19523">
        <v>16777</v>
      </c>
      <c r="D19523" t="s">
        <v>3237</v>
      </c>
      <c r="E19523" t="s">
        <v>3238</v>
      </c>
      <c r="F19523">
        <v>967.74</v>
      </c>
      <c r="G19523">
        <v>231129</v>
      </c>
      <c r="H19523">
        <v>4350</v>
      </c>
      <c r="I19523" t="s">
        <v>546</v>
      </c>
      <c r="J19523">
        <v>1200</v>
      </c>
      <c r="K19523">
        <v>232.26</v>
      </c>
      <c r="L19523">
        <v>13401</v>
      </c>
      <c r="M19523" t="s">
        <v>80</v>
      </c>
      <c r="N19523" t="str">
        <f>"0106112563  "</f>
        <v xml:space="preserve">0106112563  </v>
      </c>
      <c r="O19523">
        <v>231208</v>
      </c>
    </row>
    <row r="19524" spans="1:15" x14ac:dyDescent="0.25">
      <c r="A19524" t="s">
        <v>16</v>
      </c>
      <c r="B19524" t="s">
        <v>3221</v>
      </c>
      <c r="C19524">
        <v>16844</v>
      </c>
      <c r="D19524" t="s">
        <v>3237</v>
      </c>
      <c r="E19524" t="s">
        <v>3238</v>
      </c>
      <c r="F19524">
        <v>725.81</v>
      </c>
      <c r="G19524">
        <v>231129</v>
      </c>
      <c r="H19524">
        <v>4350</v>
      </c>
      <c r="I19524" t="s">
        <v>546</v>
      </c>
      <c r="J19524">
        <v>900</v>
      </c>
      <c r="K19524">
        <v>174.19</v>
      </c>
      <c r="L19524">
        <v>13201</v>
      </c>
      <c r="M19524" t="s">
        <v>161</v>
      </c>
      <c r="N19524" t="str">
        <f>"0106112550  "</f>
        <v xml:space="preserve">0106112550  </v>
      </c>
      <c r="O19524">
        <v>231211</v>
      </c>
    </row>
    <row r="19525" spans="1:15" x14ac:dyDescent="0.25">
      <c r="A19525" t="s">
        <v>16</v>
      </c>
      <c r="B19525" t="s">
        <v>3221</v>
      </c>
      <c r="C19525">
        <v>3288</v>
      </c>
      <c r="D19525" t="s">
        <v>3237</v>
      </c>
      <c r="E19525" t="s">
        <v>3238</v>
      </c>
      <c r="F19525">
        <v>468.39</v>
      </c>
      <c r="G19525">
        <v>230309</v>
      </c>
      <c r="H19525">
        <v>4380</v>
      </c>
      <c r="I19525" t="s">
        <v>113</v>
      </c>
      <c r="J19525">
        <v>580.79999999999995</v>
      </c>
      <c r="K19525">
        <v>112.41</v>
      </c>
      <c r="L19525">
        <v>14951</v>
      </c>
      <c r="M19525" t="s">
        <v>57</v>
      </c>
      <c r="N19525" t="str">
        <f>"290323243   "</f>
        <v xml:space="preserve">290323243   </v>
      </c>
      <c r="O19525">
        <v>230313</v>
      </c>
    </row>
    <row r="19526" spans="1:15" x14ac:dyDescent="0.25">
      <c r="A19526" t="s">
        <v>16</v>
      </c>
      <c r="B19526" t="s">
        <v>3221</v>
      </c>
      <c r="C19526">
        <v>3320</v>
      </c>
      <c r="D19526" t="s">
        <v>3237</v>
      </c>
      <c r="E19526" t="s">
        <v>3238</v>
      </c>
      <c r="F19526">
        <v>13.27</v>
      </c>
      <c r="G19526">
        <v>230309</v>
      </c>
      <c r="H19526">
        <v>4380</v>
      </c>
      <c r="I19526" t="s">
        <v>113</v>
      </c>
      <c r="J19526">
        <v>16.45</v>
      </c>
      <c r="K19526">
        <v>3.18</v>
      </c>
      <c r="L19526">
        <v>11401</v>
      </c>
      <c r="M19526" t="s">
        <v>84</v>
      </c>
      <c r="N19526" t="str">
        <f>"290319106   "</f>
        <v xml:space="preserve">290319106   </v>
      </c>
      <c r="O19526">
        <v>230314</v>
      </c>
    </row>
    <row r="19527" spans="1:15" x14ac:dyDescent="0.25">
      <c r="A19527" t="s">
        <v>16</v>
      </c>
      <c r="B19527" t="s">
        <v>3221</v>
      </c>
      <c r="C19527">
        <v>3320</v>
      </c>
      <c r="D19527" t="s">
        <v>3237</v>
      </c>
      <c r="E19527" t="s">
        <v>3238</v>
      </c>
      <c r="F19527">
        <v>26.54</v>
      </c>
      <c r="G19527">
        <v>230309</v>
      </c>
      <c r="H19527">
        <v>4380</v>
      </c>
      <c r="I19527" t="s">
        <v>113</v>
      </c>
      <c r="J19527">
        <v>32.909999999999997</v>
      </c>
      <c r="K19527">
        <v>6.37</v>
      </c>
      <c r="L19527">
        <v>14952</v>
      </c>
      <c r="M19527" t="s">
        <v>99</v>
      </c>
      <c r="N19527" t="str">
        <f>"290319106   "</f>
        <v xml:space="preserve">290319106   </v>
      </c>
      <c r="O19527">
        <v>230314</v>
      </c>
    </row>
    <row r="19528" spans="1:15" x14ac:dyDescent="0.25">
      <c r="A19528" t="s">
        <v>16</v>
      </c>
      <c r="B19528" t="s">
        <v>3221</v>
      </c>
      <c r="C19528">
        <v>8866</v>
      </c>
      <c r="D19528" t="s">
        <v>3237</v>
      </c>
      <c r="E19528" t="s">
        <v>3238</v>
      </c>
      <c r="F19528">
        <v>635.14</v>
      </c>
      <c r="G19528">
        <v>230613</v>
      </c>
      <c r="H19528">
        <v>4380</v>
      </c>
      <c r="I19528" t="s">
        <v>113</v>
      </c>
      <c r="J19528">
        <v>787.57</v>
      </c>
      <c r="K19528">
        <v>152.43</v>
      </c>
      <c r="L19528">
        <v>14951</v>
      </c>
      <c r="M19528" t="s">
        <v>57</v>
      </c>
      <c r="N19528" t="str">
        <f>"290349806   "</f>
        <v xml:space="preserve">290349806   </v>
      </c>
      <c r="O19528">
        <v>230619</v>
      </c>
    </row>
    <row r="19529" spans="1:15" x14ac:dyDescent="0.25">
      <c r="A19529" t="s">
        <v>16</v>
      </c>
      <c r="B19529" t="s">
        <v>3221</v>
      </c>
      <c r="C19529">
        <v>8975</v>
      </c>
      <c r="D19529" t="s">
        <v>3237</v>
      </c>
      <c r="E19529" t="s">
        <v>3238</v>
      </c>
      <c r="F19529">
        <v>13.27</v>
      </c>
      <c r="G19529">
        <v>230613</v>
      </c>
      <c r="H19529">
        <v>4380</v>
      </c>
      <c r="I19529" t="s">
        <v>113</v>
      </c>
      <c r="J19529">
        <v>16.45</v>
      </c>
      <c r="K19529">
        <v>3.18</v>
      </c>
      <c r="L19529">
        <v>11401</v>
      </c>
      <c r="M19529" t="s">
        <v>84</v>
      </c>
      <c r="N19529" t="str">
        <f>"290349042   "</f>
        <v xml:space="preserve">290349042   </v>
      </c>
      <c r="O19529">
        <v>230620</v>
      </c>
    </row>
    <row r="19530" spans="1:15" x14ac:dyDescent="0.25">
      <c r="A19530" t="s">
        <v>16</v>
      </c>
      <c r="B19530" t="s">
        <v>3221</v>
      </c>
      <c r="C19530">
        <v>8975</v>
      </c>
      <c r="D19530" t="s">
        <v>3237</v>
      </c>
      <c r="E19530" t="s">
        <v>3238</v>
      </c>
      <c r="F19530">
        <v>26.55</v>
      </c>
      <c r="G19530">
        <v>230613</v>
      </c>
      <c r="H19530">
        <v>4380</v>
      </c>
      <c r="I19530" t="s">
        <v>113</v>
      </c>
      <c r="J19530">
        <v>32.92</v>
      </c>
      <c r="K19530">
        <v>6.37</v>
      </c>
      <c r="L19530">
        <v>14952</v>
      </c>
      <c r="M19530" t="s">
        <v>99</v>
      </c>
      <c r="N19530" t="str">
        <f>"290349042   "</f>
        <v xml:space="preserve">290349042   </v>
      </c>
      <c r="O19530">
        <v>230620</v>
      </c>
    </row>
    <row r="19531" spans="1:15" x14ac:dyDescent="0.25">
      <c r="A19531" t="s">
        <v>16</v>
      </c>
      <c r="B19531" t="s">
        <v>3221</v>
      </c>
      <c r="C19531">
        <v>12073</v>
      </c>
      <c r="D19531" t="s">
        <v>3237</v>
      </c>
      <c r="E19531" t="s">
        <v>3238</v>
      </c>
      <c r="F19531">
        <v>738.97</v>
      </c>
      <c r="G19531">
        <v>230911</v>
      </c>
      <c r="H19531">
        <v>4380</v>
      </c>
      <c r="I19531" t="s">
        <v>113</v>
      </c>
      <c r="J19531">
        <v>916.32</v>
      </c>
      <c r="K19531">
        <v>177.35</v>
      </c>
      <c r="L19531">
        <v>14951</v>
      </c>
      <c r="M19531" t="s">
        <v>57</v>
      </c>
      <c r="N19531" t="str">
        <f>"290375368   "</f>
        <v xml:space="preserve">290375368   </v>
      </c>
      <c r="O19531">
        <v>230913</v>
      </c>
    </row>
    <row r="19532" spans="1:15" x14ac:dyDescent="0.25">
      <c r="A19532" t="s">
        <v>16</v>
      </c>
      <c r="B19532" t="s">
        <v>3221</v>
      </c>
      <c r="C19532">
        <v>12233</v>
      </c>
      <c r="D19532" t="s">
        <v>3237</v>
      </c>
      <c r="E19532" t="s">
        <v>3238</v>
      </c>
      <c r="F19532">
        <v>13.95</v>
      </c>
      <c r="G19532">
        <v>230911</v>
      </c>
      <c r="H19532">
        <v>4380</v>
      </c>
      <c r="I19532" t="s">
        <v>113</v>
      </c>
      <c r="J19532">
        <v>17.3</v>
      </c>
      <c r="K19532">
        <v>3.35</v>
      </c>
      <c r="L19532">
        <v>11401</v>
      </c>
      <c r="M19532" t="s">
        <v>84</v>
      </c>
      <c r="N19532" t="str">
        <f>"290374605   "</f>
        <v xml:space="preserve">290374605   </v>
      </c>
      <c r="O19532">
        <v>230915</v>
      </c>
    </row>
    <row r="19533" spans="1:15" x14ac:dyDescent="0.25">
      <c r="A19533" t="s">
        <v>16</v>
      </c>
      <c r="B19533" t="s">
        <v>3221</v>
      </c>
      <c r="C19533">
        <v>12233</v>
      </c>
      <c r="D19533" t="s">
        <v>3237</v>
      </c>
      <c r="E19533" t="s">
        <v>3238</v>
      </c>
      <c r="F19533">
        <v>27.9</v>
      </c>
      <c r="G19533">
        <v>230911</v>
      </c>
      <c r="H19533">
        <v>4380</v>
      </c>
      <c r="I19533" t="s">
        <v>113</v>
      </c>
      <c r="J19533">
        <v>34.6</v>
      </c>
      <c r="K19533">
        <v>6.7</v>
      </c>
      <c r="L19533">
        <v>14952</v>
      </c>
      <c r="M19533" t="s">
        <v>99</v>
      </c>
      <c r="N19533" t="str">
        <f>"290374605   "</f>
        <v xml:space="preserve">290374605   </v>
      </c>
      <c r="O19533">
        <v>230915</v>
      </c>
    </row>
    <row r="19534" spans="1:15" x14ac:dyDescent="0.25">
      <c r="A19534" t="s">
        <v>16</v>
      </c>
      <c r="B19534" t="s">
        <v>3221</v>
      </c>
      <c r="C19534">
        <v>18046</v>
      </c>
      <c r="D19534" t="s">
        <v>3237</v>
      </c>
      <c r="E19534" t="s">
        <v>3238</v>
      </c>
      <c r="F19534">
        <v>13.3</v>
      </c>
      <c r="G19534">
        <v>231212</v>
      </c>
      <c r="H19534">
        <v>4380</v>
      </c>
      <c r="I19534" t="s">
        <v>113</v>
      </c>
      <c r="J19534">
        <v>16.489999999999998</v>
      </c>
      <c r="K19534">
        <v>3.19</v>
      </c>
      <c r="L19534">
        <v>11401</v>
      </c>
      <c r="M19534" t="s">
        <v>84</v>
      </c>
      <c r="N19534" t="str">
        <f>"290395736   "</f>
        <v xml:space="preserve">290395736   </v>
      </c>
      <c r="O19534">
        <v>240102</v>
      </c>
    </row>
    <row r="19535" spans="1:15" x14ac:dyDescent="0.25">
      <c r="A19535" t="s">
        <v>16</v>
      </c>
      <c r="B19535" t="s">
        <v>3221</v>
      </c>
      <c r="C19535">
        <v>18046</v>
      </c>
      <c r="D19535" t="s">
        <v>3237</v>
      </c>
      <c r="E19535" t="s">
        <v>3238</v>
      </c>
      <c r="F19535">
        <v>26.61</v>
      </c>
      <c r="G19535">
        <v>231212</v>
      </c>
      <c r="H19535">
        <v>4380</v>
      </c>
      <c r="I19535" t="s">
        <v>113</v>
      </c>
      <c r="J19535">
        <v>33</v>
      </c>
      <c r="K19535">
        <v>6.39</v>
      </c>
      <c r="L19535">
        <v>14952</v>
      </c>
      <c r="M19535" t="s">
        <v>99</v>
      </c>
      <c r="N19535" t="str">
        <f>"290395736   "</f>
        <v xml:space="preserve">290395736   </v>
      </c>
      <c r="O19535">
        <v>240102</v>
      </c>
    </row>
    <row r="19536" spans="1:15" x14ac:dyDescent="0.25">
      <c r="A19536" t="s">
        <v>16</v>
      </c>
      <c r="B19536" t="s">
        <v>3221</v>
      </c>
      <c r="C19536">
        <v>18048</v>
      </c>
      <c r="D19536" t="s">
        <v>3237</v>
      </c>
      <c r="E19536" t="s">
        <v>3238</v>
      </c>
      <c r="F19536">
        <v>947.02</v>
      </c>
      <c r="G19536">
        <v>231212</v>
      </c>
      <c r="H19536">
        <v>4380</v>
      </c>
      <c r="I19536" t="s">
        <v>113</v>
      </c>
      <c r="J19536">
        <v>1174.31</v>
      </c>
      <c r="K19536">
        <v>227.29</v>
      </c>
      <c r="L19536">
        <v>14951</v>
      </c>
      <c r="M19536" t="s">
        <v>57</v>
      </c>
      <c r="N19536" t="str">
        <f>"290400905   "</f>
        <v xml:space="preserve">290400905   </v>
      </c>
      <c r="O19536">
        <v>240102</v>
      </c>
    </row>
    <row r="19537" spans="1:15" x14ac:dyDescent="0.25">
      <c r="A19537" t="s">
        <v>16</v>
      </c>
      <c r="B19537" t="s">
        <v>3221</v>
      </c>
      <c r="C19537">
        <v>18305</v>
      </c>
      <c r="D19537" t="s">
        <v>3237</v>
      </c>
      <c r="E19537" t="s">
        <v>3238</v>
      </c>
      <c r="F19537">
        <v>162.29</v>
      </c>
      <c r="G19537">
        <v>231214</v>
      </c>
      <c r="H19537">
        <v>4380</v>
      </c>
      <c r="I19537" t="s">
        <v>113</v>
      </c>
      <c r="J19537">
        <v>162.29</v>
      </c>
      <c r="K19537">
        <v>0</v>
      </c>
      <c r="L19537">
        <v>14952</v>
      </c>
      <c r="M19537" t="s">
        <v>99</v>
      </c>
      <c r="N19537" t="str">
        <f>"0106136755  "</f>
        <v xml:space="preserve">0106136755  </v>
      </c>
      <c r="O19537">
        <v>240102</v>
      </c>
    </row>
    <row r="19538" spans="1:15" x14ac:dyDescent="0.25">
      <c r="A19538" t="s">
        <v>16</v>
      </c>
      <c r="B19538" t="s">
        <v>3221</v>
      </c>
      <c r="C19538">
        <v>18305</v>
      </c>
      <c r="D19538" t="s">
        <v>3237</v>
      </c>
      <c r="E19538" t="s">
        <v>3238</v>
      </c>
      <c r="F19538">
        <v>378.67</v>
      </c>
      <c r="G19538">
        <v>231214</v>
      </c>
      <c r="H19538">
        <v>4380</v>
      </c>
      <c r="I19538" t="s">
        <v>113</v>
      </c>
      <c r="J19538">
        <v>378.67</v>
      </c>
      <c r="K19538">
        <v>0</v>
      </c>
      <c r="L19538">
        <v>14981</v>
      </c>
      <c r="M19538" t="s">
        <v>1211</v>
      </c>
      <c r="N19538" t="str">
        <f>"0106136755  "</f>
        <v xml:space="preserve">0106136755  </v>
      </c>
      <c r="O19538">
        <v>240102</v>
      </c>
    </row>
    <row r="19539" spans="1:15" x14ac:dyDescent="0.25">
      <c r="A19539" t="s">
        <v>16</v>
      </c>
      <c r="B19539" t="s">
        <v>3221</v>
      </c>
      <c r="C19539">
        <v>3288</v>
      </c>
      <c r="D19539" t="s">
        <v>3237</v>
      </c>
      <c r="E19539" t="s">
        <v>3238</v>
      </c>
      <c r="F19539">
        <v>716.31</v>
      </c>
      <c r="G19539">
        <v>230309</v>
      </c>
      <c r="H19539">
        <v>4573</v>
      </c>
      <c r="I19539" t="s">
        <v>46</v>
      </c>
      <c r="J19539">
        <v>888.22</v>
      </c>
      <c r="K19539">
        <v>171.91</v>
      </c>
      <c r="L19539">
        <v>14951</v>
      </c>
      <c r="M19539" t="s">
        <v>57</v>
      </c>
      <c r="N19539" t="str">
        <f>"290323243   "</f>
        <v xml:space="preserve">290323243   </v>
      </c>
      <c r="O19539">
        <v>230313</v>
      </c>
    </row>
    <row r="19540" spans="1:15" x14ac:dyDescent="0.25">
      <c r="A19540" t="s">
        <v>16</v>
      </c>
      <c r="B19540" t="s">
        <v>3221</v>
      </c>
      <c r="C19540">
        <v>3320</v>
      </c>
      <c r="D19540" t="s">
        <v>3237</v>
      </c>
      <c r="E19540" t="s">
        <v>3238</v>
      </c>
      <c r="F19540">
        <v>11.27</v>
      </c>
      <c r="G19540">
        <v>230309</v>
      </c>
      <c r="H19540">
        <v>4573</v>
      </c>
      <c r="I19540" t="s">
        <v>46</v>
      </c>
      <c r="J19540">
        <v>13.98</v>
      </c>
      <c r="K19540">
        <v>2.71</v>
      </c>
      <c r="L19540">
        <v>11401</v>
      </c>
      <c r="M19540" t="s">
        <v>84</v>
      </c>
      <c r="N19540" t="str">
        <f>"290319106   "</f>
        <v xml:space="preserve">290319106   </v>
      </c>
      <c r="O19540">
        <v>230314</v>
      </c>
    </row>
    <row r="19541" spans="1:15" x14ac:dyDescent="0.25">
      <c r="A19541" t="s">
        <v>16</v>
      </c>
      <c r="B19541" t="s">
        <v>3221</v>
      </c>
      <c r="C19541">
        <v>3320</v>
      </c>
      <c r="D19541" t="s">
        <v>3237</v>
      </c>
      <c r="E19541" t="s">
        <v>3238</v>
      </c>
      <c r="F19541">
        <v>22.54</v>
      </c>
      <c r="G19541">
        <v>230309</v>
      </c>
      <c r="H19541">
        <v>4573</v>
      </c>
      <c r="I19541" t="s">
        <v>46</v>
      </c>
      <c r="J19541">
        <v>27.95</v>
      </c>
      <c r="K19541">
        <v>5.41</v>
      </c>
      <c r="L19541">
        <v>14952</v>
      </c>
      <c r="M19541" t="s">
        <v>99</v>
      </c>
      <c r="N19541" t="str">
        <f>"290319106   "</f>
        <v xml:space="preserve">290319106   </v>
      </c>
      <c r="O19541">
        <v>230314</v>
      </c>
    </row>
    <row r="19542" spans="1:15" x14ac:dyDescent="0.25">
      <c r="A19542" t="s">
        <v>16</v>
      </c>
      <c r="B19542" t="s">
        <v>3221</v>
      </c>
      <c r="C19542">
        <v>8866</v>
      </c>
      <c r="D19542" t="s">
        <v>3237</v>
      </c>
      <c r="E19542" t="s">
        <v>3238</v>
      </c>
      <c r="F19542">
        <v>422.02</v>
      </c>
      <c r="G19542">
        <v>230613</v>
      </c>
      <c r="H19542">
        <v>4573</v>
      </c>
      <c r="I19542" t="s">
        <v>46</v>
      </c>
      <c r="J19542">
        <v>523.30999999999995</v>
      </c>
      <c r="K19542">
        <v>101.29</v>
      </c>
      <c r="L19542">
        <v>14951</v>
      </c>
      <c r="M19542" t="s">
        <v>57</v>
      </c>
      <c r="N19542" t="str">
        <f>"290349806   "</f>
        <v xml:space="preserve">290349806   </v>
      </c>
      <c r="O19542">
        <v>230619</v>
      </c>
    </row>
    <row r="19543" spans="1:15" x14ac:dyDescent="0.25">
      <c r="A19543" t="s">
        <v>16</v>
      </c>
      <c r="B19543" t="s">
        <v>3221</v>
      </c>
      <c r="C19543">
        <v>8975</v>
      </c>
      <c r="D19543" t="s">
        <v>3237</v>
      </c>
      <c r="E19543" t="s">
        <v>3238</v>
      </c>
      <c r="F19543">
        <v>11.27</v>
      </c>
      <c r="G19543">
        <v>230613</v>
      </c>
      <c r="H19543">
        <v>4573</v>
      </c>
      <c r="I19543" t="s">
        <v>46</v>
      </c>
      <c r="J19543">
        <v>13.97</v>
      </c>
      <c r="K19543">
        <v>2.7</v>
      </c>
      <c r="L19543">
        <v>11401</v>
      </c>
      <c r="M19543" t="s">
        <v>84</v>
      </c>
      <c r="N19543" t="str">
        <f>"290349042   "</f>
        <v xml:space="preserve">290349042   </v>
      </c>
      <c r="O19543">
        <v>230620</v>
      </c>
    </row>
    <row r="19544" spans="1:15" x14ac:dyDescent="0.25">
      <c r="A19544" t="s">
        <v>16</v>
      </c>
      <c r="B19544" t="s">
        <v>3221</v>
      </c>
      <c r="C19544">
        <v>8975</v>
      </c>
      <c r="D19544" t="s">
        <v>3237</v>
      </c>
      <c r="E19544" t="s">
        <v>3238</v>
      </c>
      <c r="F19544">
        <v>22.54</v>
      </c>
      <c r="G19544">
        <v>230613</v>
      </c>
      <c r="H19544">
        <v>4573</v>
      </c>
      <c r="I19544" t="s">
        <v>46</v>
      </c>
      <c r="J19544">
        <v>27.95</v>
      </c>
      <c r="K19544">
        <v>5.41</v>
      </c>
      <c r="L19544">
        <v>14952</v>
      </c>
      <c r="M19544" t="s">
        <v>99</v>
      </c>
      <c r="N19544" t="str">
        <f>"290349042   "</f>
        <v xml:space="preserve">290349042   </v>
      </c>
      <c r="O19544">
        <v>230620</v>
      </c>
    </row>
    <row r="19545" spans="1:15" x14ac:dyDescent="0.25">
      <c r="A19545" t="s">
        <v>16</v>
      </c>
      <c r="B19545" t="s">
        <v>3221</v>
      </c>
      <c r="C19545">
        <v>12073</v>
      </c>
      <c r="D19545" t="s">
        <v>3237</v>
      </c>
      <c r="E19545" t="s">
        <v>3238</v>
      </c>
      <c r="F19545">
        <v>481.92</v>
      </c>
      <c r="G19545">
        <v>230911</v>
      </c>
      <c r="H19545">
        <v>4573</v>
      </c>
      <c r="I19545" t="s">
        <v>46</v>
      </c>
      <c r="J19545">
        <v>597.58000000000004</v>
      </c>
      <c r="K19545">
        <v>115.66</v>
      </c>
      <c r="L19545">
        <v>14951</v>
      </c>
      <c r="M19545" t="s">
        <v>57</v>
      </c>
      <c r="N19545" t="str">
        <f>"290375368   "</f>
        <v xml:space="preserve">290375368   </v>
      </c>
      <c r="O19545">
        <v>230913</v>
      </c>
    </row>
    <row r="19546" spans="1:15" x14ac:dyDescent="0.25">
      <c r="A19546" t="s">
        <v>16</v>
      </c>
      <c r="B19546" t="s">
        <v>3221</v>
      </c>
      <c r="C19546">
        <v>12233</v>
      </c>
      <c r="D19546" t="s">
        <v>3237</v>
      </c>
      <c r="E19546" t="s">
        <v>3238</v>
      </c>
      <c r="F19546">
        <v>11.68</v>
      </c>
      <c r="G19546">
        <v>230911</v>
      </c>
      <c r="H19546">
        <v>4573</v>
      </c>
      <c r="I19546" t="s">
        <v>46</v>
      </c>
      <c r="J19546">
        <v>14.48</v>
      </c>
      <c r="K19546">
        <v>2.8</v>
      </c>
      <c r="L19546">
        <v>11401</v>
      </c>
      <c r="M19546" t="s">
        <v>84</v>
      </c>
      <c r="N19546" t="str">
        <f>"290374605   "</f>
        <v xml:space="preserve">290374605   </v>
      </c>
      <c r="O19546">
        <v>230915</v>
      </c>
    </row>
    <row r="19547" spans="1:15" x14ac:dyDescent="0.25">
      <c r="A19547" t="s">
        <v>16</v>
      </c>
      <c r="B19547" t="s">
        <v>3221</v>
      </c>
      <c r="C19547">
        <v>12233</v>
      </c>
      <c r="D19547" t="s">
        <v>3237</v>
      </c>
      <c r="E19547" t="s">
        <v>3238</v>
      </c>
      <c r="F19547">
        <v>23.38</v>
      </c>
      <c r="G19547">
        <v>230911</v>
      </c>
      <c r="H19547">
        <v>4573</v>
      </c>
      <c r="I19547" t="s">
        <v>46</v>
      </c>
      <c r="J19547">
        <v>28.99</v>
      </c>
      <c r="K19547">
        <v>5.61</v>
      </c>
      <c r="L19547">
        <v>14952</v>
      </c>
      <c r="M19547" t="s">
        <v>99</v>
      </c>
      <c r="N19547" t="str">
        <f>"290374605   "</f>
        <v xml:space="preserve">290374605   </v>
      </c>
      <c r="O19547">
        <v>230915</v>
      </c>
    </row>
    <row r="19548" spans="1:15" x14ac:dyDescent="0.25">
      <c r="A19548" t="s">
        <v>16</v>
      </c>
      <c r="B19548" t="s">
        <v>3221</v>
      </c>
      <c r="C19548">
        <v>18046</v>
      </c>
      <c r="D19548" t="s">
        <v>3237</v>
      </c>
      <c r="E19548" t="s">
        <v>3238</v>
      </c>
      <c r="F19548">
        <v>11.27</v>
      </c>
      <c r="G19548">
        <v>231212</v>
      </c>
      <c r="H19548">
        <v>4573</v>
      </c>
      <c r="I19548" t="s">
        <v>46</v>
      </c>
      <c r="J19548">
        <v>13.98</v>
      </c>
      <c r="K19548">
        <v>2.71</v>
      </c>
      <c r="L19548">
        <v>11401</v>
      </c>
      <c r="M19548" t="s">
        <v>84</v>
      </c>
      <c r="N19548" t="str">
        <f>"290395736   "</f>
        <v xml:space="preserve">290395736   </v>
      </c>
      <c r="O19548">
        <v>240102</v>
      </c>
    </row>
    <row r="19549" spans="1:15" x14ac:dyDescent="0.25">
      <c r="A19549" t="s">
        <v>16</v>
      </c>
      <c r="B19549" t="s">
        <v>3221</v>
      </c>
      <c r="C19549">
        <v>18046</v>
      </c>
      <c r="D19549" t="s">
        <v>3237</v>
      </c>
      <c r="E19549" t="s">
        <v>3238</v>
      </c>
      <c r="F19549">
        <v>22.55</v>
      </c>
      <c r="G19549">
        <v>231212</v>
      </c>
      <c r="H19549">
        <v>4573</v>
      </c>
      <c r="I19549" t="s">
        <v>46</v>
      </c>
      <c r="J19549">
        <v>27.96</v>
      </c>
      <c r="K19549">
        <v>5.41</v>
      </c>
      <c r="L19549">
        <v>14952</v>
      </c>
      <c r="M19549" t="s">
        <v>99</v>
      </c>
      <c r="N19549" t="str">
        <f>"290395736   "</f>
        <v xml:space="preserve">290395736   </v>
      </c>
      <c r="O19549">
        <v>240102</v>
      </c>
    </row>
    <row r="19550" spans="1:15" x14ac:dyDescent="0.25">
      <c r="A19550" t="s">
        <v>16</v>
      </c>
      <c r="B19550" t="s">
        <v>3221</v>
      </c>
      <c r="C19550">
        <v>18048</v>
      </c>
      <c r="D19550" t="s">
        <v>3237</v>
      </c>
      <c r="E19550" t="s">
        <v>3238</v>
      </c>
      <c r="F19550">
        <v>606.15</v>
      </c>
      <c r="G19550">
        <v>231212</v>
      </c>
      <c r="H19550">
        <v>4573</v>
      </c>
      <c r="I19550" t="s">
        <v>46</v>
      </c>
      <c r="J19550">
        <v>751.63</v>
      </c>
      <c r="K19550">
        <v>145.47999999999999</v>
      </c>
      <c r="L19550">
        <v>14951</v>
      </c>
      <c r="M19550" t="s">
        <v>57</v>
      </c>
      <c r="N19550" t="str">
        <f>"290400905   "</f>
        <v xml:space="preserve">290400905   </v>
      </c>
      <c r="O19550">
        <v>240102</v>
      </c>
    </row>
    <row r="19551" spans="1:15" x14ac:dyDescent="0.25">
      <c r="A19551" t="s">
        <v>16</v>
      </c>
      <c r="B19551" t="s">
        <v>3221</v>
      </c>
      <c r="C19551">
        <v>12150</v>
      </c>
      <c r="D19551" t="s">
        <v>3709</v>
      </c>
      <c r="E19551" t="s">
        <v>3521</v>
      </c>
      <c r="F19551">
        <v>1894.74</v>
      </c>
      <c r="G19551">
        <v>230907</v>
      </c>
      <c r="H19551">
        <v>4410</v>
      </c>
      <c r="I19551" t="s">
        <v>517</v>
      </c>
      <c r="J19551">
        <v>2160</v>
      </c>
      <c r="K19551">
        <v>265.26</v>
      </c>
      <c r="L19551">
        <v>11605</v>
      </c>
      <c r="M19551" t="s">
        <v>106</v>
      </c>
      <c r="N19551" t="str">
        <f>"6023090010  "</f>
        <v xml:space="preserve">6023090010  </v>
      </c>
      <c r="O19551">
        <v>230914</v>
      </c>
    </row>
    <row r="19552" spans="1:15" x14ac:dyDescent="0.25">
      <c r="A19552" t="s">
        <v>16</v>
      </c>
      <c r="B19552" t="s">
        <v>3221</v>
      </c>
      <c r="C19552">
        <v>12150</v>
      </c>
      <c r="D19552" t="s">
        <v>3709</v>
      </c>
      <c r="E19552" t="s">
        <v>3521</v>
      </c>
      <c r="F19552">
        <v>2588.1799999999998</v>
      </c>
      <c r="G19552">
        <v>230907</v>
      </c>
      <c r="H19552">
        <v>4600</v>
      </c>
      <c r="I19552" t="s">
        <v>105</v>
      </c>
      <c r="J19552">
        <v>2847</v>
      </c>
      <c r="K19552">
        <v>258.82</v>
      </c>
      <c r="L19552">
        <v>11605</v>
      </c>
      <c r="M19552" t="s">
        <v>106</v>
      </c>
      <c r="N19552" t="str">
        <f>"6023090010  "</f>
        <v xml:space="preserve">6023090010  </v>
      </c>
      <c r="O19552">
        <v>230914</v>
      </c>
    </row>
    <row r="19553" spans="1:15" x14ac:dyDescent="0.25">
      <c r="A19553" t="s">
        <v>16</v>
      </c>
      <c r="B19553" t="s">
        <v>3221</v>
      </c>
      <c r="C19553">
        <v>12150</v>
      </c>
      <c r="D19553" t="s">
        <v>3709</v>
      </c>
      <c r="E19553" t="s">
        <v>3521</v>
      </c>
      <c r="F19553">
        <v>116.13</v>
      </c>
      <c r="G19553">
        <v>230907</v>
      </c>
      <c r="H19553">
        <v>4470</v>
      </c>
      <c r="I19553" t="s">
        <v>83</v>
      </c>
      <c r="J19553">
        <v>144</v>
      </c>
      <c r="K19553">
        <v>27.87</v>
      </c>
      <c r="L19553">
        <v>11605</v>
      </c>
      <c r="M19553" t="s">
        <v>106</v>
      </c>
      <c r="N19553" t="str">
        <f>"6023090010  "</f>
        <v xml:space="preserve">6023090010  </v>
      </c>
      <c r="O19553">
        <v>230914</v>
      </c>
    </row>
    <row r="19554" spans="1:15" x14ac:dyDescent="0.25">
      <c r="A19554" t="s">
        <v>16</v>
      </c>
      <c r="B19554" t="s">
        <v>3221</v>
      </c>
      <c r="C19554">
        <v>16653</v>
      </c>
      <c r="D19554" t="s">
        <v>3002</v>
      </c>
      <c r="E19554" t="s">
        <v>3003</v>
      </c>
      <c r="F19554">
        <v>3000</v>
      </c>
      <c r="G19554">
        <v>231130</v>
      </c>
      <c r="H19554">
        <v>4590</v>
      </c>
      <c r="I19554" t="s">
        <v>203</v>
      </c>
      <c r="J19554">
        <v>3720</v>
      </c>
      <c r="K19554">
        <v>720</v>
      </c>
      <c r="L19554">
        <v>56564</v>
      </c>
      <c r="M19554" t="s">
        <v>327</v>
      </c>
      <c r="N19554" t="str">
        <f>"13634       "</f>
        <v xml:space="preserve">13634       </v>
      </c>
      <c r="O19554">
        <v>231205</v>
      </c>
    </row>
    <row r="19555" spans="1:15" x14ac:dyDescent="0.25">
      <c r="A19555" t="s">
        <v>16</v>
      </c>
      <c r="B19555" t="s">
        <v>3221</v>
      </c>
      <c r="C19555">
        <v>812</v>
      </c>
      <c r="D19555" t="s">
        <v>756</v>
      </c>
      <c r="E19555" t="s">
        <v>757</v>
      </c>
      <c r="F19555">
        <v>860.7</v>
      </c>
      <c r="G19555">
        <v>230124</v>
      </c>
      <c r="H19555">
        <v>4600</v>
      </c>
      <c r="I19555" t="s">
        <v>105</v>
      </c>
      <c r="J19555">
        <v>1067.27</v>
      </c>
      <c r="K19555">
        <v>206.57</v>
      </c>
      <c r="L19555">
        <v>66722</v>
      </c>
      <c r="M19555" t="s">
        <v>518</v>
      </c>
      <c r="N19555" t="str">
        <f>"22902791    "</f>
        <v xml:space="preserve">22902791    </v>
      </c>
      <c r="O19555">
        <v>230130</v>
      </c>
    </row>
    <row r="19556" spans="1:15" x14ac:dyDescent="0.25">
      <c r="A19556" t="s">
        <v>16</v>
      </c>
      <c r="B19556" t="s">
        <v>3221</v>
      </c>
      <c r="C19556">
        <v>1271</v>
      </c>
      <c r="D19556" t="s">
        <v>756</v>
      </c>
      <c r="E19556" t="s">
        <v>757</v>
      </c>
      <c r="F19556">
        <v>156.19999999999999</v>
      </c>
      <c r="G19556">
        <v>230207</v>
      </c>
      <c r="H19556">
        <v>4600</v>
      </c>
      <c r="I19556" t="s">
        <v>105</v>
      </c>
      <c r="J19556">
        <v>193.69</v>
      </c>
      <c r="K19556">
        <v>37.49</v>
      </c>
      <c r="L19556">
        <v>66754</v>
      </c>
      <c r="M19556" t="s">
        <v>239</v>
      </c>
      <c r="N19556" t="str">
        <f>"22902964    "</f>
        <v xml:space="preserve">22902964    </v>
      </c>
      <c r="O19556">
        <v>230207</v>
      </c>
    </row>
    <row r="19557" spans="1:15" x14ac:dyDescent="0.25">
      <c r="A19557" t="s">
        <v>16</v>
      </c>
      <c r="B19557" t="s">
        <v>3221</v>
      </c>
      <c r="C19557">
        <v>1355</v>
      </c>
      <c r="D19557" t="s">
        <v>756</v>
      </c>
      <c r="E19557" t="s">
        <v>757</v>
      </c>
      <c r="F19557">
        <v>242.2</v>
      </c>
      <c r="G19557">
        <v>230207</v>
      </c>
      <c r="H19557">
        <v>4600</v>
      </c>
      <c r="I19557" t="s">
        <v>105</v>
      </c>
      <c r="J19557">
        <v>300.33</v>
      </c>
      <c r="K19557">
        <v>58.13</v>
      </c>
      <c r="L19557">
        <v>66754</v>
      </c>
      <c r="M19557" t="s">
        <v>239</v>
      </c>
      <c r="N19557" t="str">
        <f>"22902946    "</f>
        <v xml:space="preserve">22902946    </v>
      </c>
      <c r="O19557">
        <v>230208</v>
      </c>
    </row>
    <row r="19558" spans="1:15" x14ac:dyDescent="0.25">
      <c r="A19558" t="s">
        <v>16</v>
      </c>
      <c r="B19558" t="s">
        <v>3221</v>
      </c>
      <c r="C19558">
        <v>1366</v>
      </c>
      <c r="D19558" t="s">
        <v>756</v>
      </c>
      <c r="E19558" t="s">
        <v>757</v>
      </c>
      <c r="F19558">
        <v>71.25</v>
      </c>
      <c r="G19558">
        <v>230207</v>
      </c>
      <c r="H19558">
        <v>4600</v>
      </c>
      <c r="I19558" t="s">
        <v>105</v>
      </c>
      <c r="J19558">
        <v>88.35</v>
      </c>
      <c r="K19558">
        <v>17.100000000000001</v>
      </c>
      <c r="L19558">
        <v>66754</v>
      </c>
      <c r="M19558" t="s">
        <v>239</v>
      </c>
      <c r="N19558" t="str">
        <f>"22902947    "</f>
        <v xml:space="preserve">22902947    </v>
      </c>
      <c r="O19558">
        <v>230208</v>
      </c>
    </row>
    <row r="19559" spans="1:15" x14ac:dyDescent="0.25">
      <c r="A19559" t="s">
        <v>16</v>
      </c>
      <c r="B19559" t="s">
        <v>3221</v>
      </c>
      <c r="C19559">
        <v>1583</v>
      </c>
      <c r="D19559" t="s">
        <v>756</v>
      </c>
      <c r="E19559" t="s">
        <v>757</v>
      </c>
      <c r="F19559">
        <v>676.4</v>
      </c>
      <c r="G19559">
        <v>230131</v>
      </c>
      <c r="H19559">
        <v>4600</v>
      </c>
      <c r="I19559" t="s">
        <v>105</v>
      </c>
      <c r="J19559">
        <v>838.74</v>
      </c>
      <c r="K19559">
        <v>162.34</v>
      </c>
      <c r="L19559">
        <v>66722</v>
      </c>
      <c r="M19559" t="s">
        <v>518</v>
      </c>
      <c r="N19559" t="str">
        <f>"22902860    "</f>
        <v xml:space="preserve">22902860    </v>
      </c>
      <c r="O19559">
        <v>230210</v>
      </c>
    </row>
    <row r="19560" spans="1:15" x14ac:dyDescent="0.25">
      <c r="A19560" t="s">
        <v>16</v>
      </c>
      <c r="B19560" t="s">
        <v>3221</v>
      </c>
      <c r="C19560">
        <v>1590</v>
      </c>
      <c r="D19560" t="s">
        <v>756</v>
      </c>
      <c r="E19560" t="s">
        <v>757</v>
      </c>
      <c r="F19560">
        <v>482</v>
      </c>
      <c r="G19560">
        <v>230207</v>
      </c>
      <c r="H19560">
        <v>4600</v>
      </c>
      <c r="I19560" t="s">
        <v>105</v>
      </c>
      <c r="J19560">
        <v>597.67999999999995</v>
      </c>
      <c r="K19560">
        <v>115.68</v>
      </c>
      <c r="L19560">
        <v>65422</v>
      </c>
      <c r="M19560" t="s">
        <v>602</v>
      </c>
      <c r="N19560" t="str">
        <f>"22902944    "</f>
        <v xml:space="preserve">22902944    </v>
      </c>
      <c r="O19560">
        <v>230210</v>
      </c>
    </row>
    <row r="19561" spans="1:15" x14ac:dyDescent="0.25">
      <c r="A19561" t="s">
        <v>16</v>
      </c>
      <c r="B19561" t="s">
        <v>3221</v>
      </c>
      <c r="C19561">
        <v>1951</v>
      </c>
      <c r="D19561" t="s">
        <v>756</v>
      </c>
      <c r="E19561" t="s">
        <v>757</v>
      </c>
      <c r="F19561">
        <v>782.94</v>
      </c>
      <c r="G19561">
        <v>230215</v>
      </c>
      <c r="H19561">
        <v>4600</v>
      </c>
      <c r="I19561" t="s">
        <v>105</v>
      </c>
      <c r="J19561">
        <v>970.84</v>
      </c>
      <c r="K19561">
        <v>187.9</v>
      </c>
      <c r="L19561">
        <v>66722</v>
      </c>
      <c r="M19561" t="s">
        <v>518</v>
      </c>
      <c r="N19561" t="str">
        <f>"22903091    "</f>
        <v xml:space="preserve">22903091    </v>
      </c>
      <c r="O19561">
        <v>230216</v>
      </c>
    </row>
    <row r="19562" spans="1:15" x14ac:dyDescent="0.25">
      <c r="A19562" t="s">
        <v>16</v>
      </c>
      <c r="B19562" t="s">
        <v>3221</v>
      </c>
      <c r="C19562">
        <v>1951</v>
      </c>
      <c r="D19562" t="s">
        <v>756</v>
      </c>
      <c r="E19562" t="s">
        <v>757</v>
      </c>
      <c r="F19562">
        <v>550.85</v>
      </c>
      <c r="G19562">
        <v>230215</v>
      </c>
      <c r="H19562">
        <v>4600</v>
      </c>
      <c r="I19562" t="s">
        <v>105</v>
      </c>
      <c r="J19562">
        <v>683.05</v>
      </c>
      <c r="K19562">
        <v>132.19999999999999</v>
      </c>
      <c r="L19562">
        <v>66754</v>
      </c>
      <c r="M19562" t="s">
        <v>239</v>
      </c>
      <c r="N19562" t="str">
        <f>"22903091    "</f>
        <v xml:space="preserve">22903091    </v>
      </c>
      <c r="O19562">
        <v>230216</v>
      </c>
    </row>
    <row r="19563" spans="1:15" x14ac:dyDescent="0.25">
      <c r="A19563" t="s">
        <v>16</v>
      </c>
      <c r="B19563" t="s">
        <v>3221</v>
      </c>
      <c r="C19563">
        <v>2379</v>
      </c>
      <c r="D19563" t="s">
        <v>756</v>
      </c>
      <c r="E19563" t="s">
        <v>757</v>
      </c>
      <c r="F19563">
        <v>13.8</v>
      </c>
      <c r="G19563">
        <v>230207</v>
      </c>
      <c r="H19563">
        <v>4600</v>
      </c>
      <c r="I19563" t="s">
        <v>105</v>
      </c>
      <c r="J19563">
        <v>17.11</v>
      </c>
      <c r="K19563">
        <v>3.31</v>
      </c>
      <c r="L19563">
        <v>66722</v>
      </c>
      <c r="M19563" t="s">
        <v>518</v>
      </c>
      <c r="N19563" t="str">
        <f>"22902948    "</f>
        <v xml:space="preserve">22902948    </v>
      </c>
      <c r="O19563">
        <v>230227</v>
      </c>
    </row>
    <row r="19564" spans="1:15" x14ac:dyDescent="0.25">
      <c r="A19564" t="s">
        <v>16</v>
      </c>
      <c r="B19564" t="s">
        <v>3221</v>
      </c>
      <c r="C19564">
        <v>2585</v>
      </c>
      <c r="D19564" t="s">
        <v>756</v>
      </c>
      <c r="E19564" t="s">
        <v>757</v>
      </c>
      <c r="F19564">
        <v>465.15</v>
      </c>
      <c r="G19564">
        <v>230228</v>
      </c>
      <c r="H19564">
        <v>4600</v>
      </c>
      <c r="I19564" t="s">
        <v>105</v>
      </c>
      <c r="J19564">
        <v>576.79</v>
      </c>
      <c r="K19564">
        <v>111.64</v>
      </c>
      <c r="L19564">
        <v>65422</v>
      </c>
      <c r="M19564" t="s">
        <v>602</v>
      </c>
      <c r="N19564" t="str">
        <f>"22903251    "</f>
        <v xml:space="preserve">22903251    </v>
      </c>
      <c r="O19564">
        <v>230302</v>
      </c>
    </row>
    <row r="19565" spans="1:15" x14ac:dyDescent="0.25">
      <c r="A19565" t="s">
        <v>16</v>
      </c>
      <c r="B19565" t="s">
        <v>3221</v>
      </c>
      <c r="C19565">
        <v>2585</v>
      </c>
      <c r="D19565" t="s">
        <v>756</v>
      </c>
      <c r="E19565" t="s">
        <v>757</v>
      </c>
      <c r="F19565">
        <v>773.04</v>
      </c>
      <c r="G19565">
        <v>230228</v>
      </c>
      <c r="H19565">
        <v>4600</v>
      </c>
      <c r="I19565" t="s">
        <v>105</v>
      </c>
      <c r="J19565">
        <v>958.57</v>
      </c>
      <c r="K19565">
        <v>185.53</v>
      </c>
      <c r="L19565">
        <v>66754</v>
      </c>
      <c r="M19565" t="s">
        <v>239</v>
      </c>
      <c r="N19565" t="str">
        <f>"22903251    "</f>
        <v xml:space="preserve">22903251    </v>
      </c>
      <c r="O19565">
        <v>230302</v>
      </c>
    </row>
    <row r="19566" spans="1:15" x14ac:dyDescent="0.25">
      <c r="A19566" t="s">
        <v>16</v>
      </c>
      <c r="B19566" t="s">
        <v>3221</v>
      </c>
      <c r="C19566">
        <v>3563</v>
      </c>
      <c r="D19566" t="s">
        <v>756</v>
      </c>
      <c r="E19566" t="s">
        <v>757</v>
      </c>
      <c r="F19566">
        <v>382.79</v>
      </c>
      <c r="G19566">
        <v>230315</v>
      </c>
      <c r="H19566">
        <v>4600</v>
      </c>
      <c r="I19566" t="s">
        <v>105</v>
      </c>
      <c r="J19566">
        <v>474.66</v>
      </c>
      <c r="K19566">
        <v>91.87</v>
      </c>
      <c r="L19566">
        <v>66754</v>
      </c>
      <c r="M19566" t="s">
        <v>239</v>
      </c>
      <c r="N19566" t="str">
        <f>"22903442    "</f>
        <v xml:space="preserve">22903442    </v>
      </c>
      <c r="O19566">
        <v>230317</v>
      </c>
    </row>
    <row r="19567" spans="1:15" x14ac:dyDescent="0.25">
      <c r="A19567" t="s">
        <v>16</v>
      </c>
      <c r="B19567" t="s">
        <v>3221</v>
      </c>
      <c r="C19567">
        <v>4223</v>
      </c>
      <c r="D19567" t="s">
        <v>756</v>
      </c>
      <c r="E19567" t="s">
        <v>757</v>
      </c>
      <c r="F19567">
        <v>500.15</v>
      </c>
      <c r="G19567">
        <v>230331</v>
      </c>
      <c r="H19567">
        <v>4600</v>
      </c>
      <c r="I19567" t="s">
        <v>105</v>
      </c>
      <c r="J19567">
        <v>620.19000000000005</v>
      </c>
      <c r="K19567">
        <v>120.04</v>
      </c>
      <c r="L19567">
        <v>66754</v>
      </c>
      <c r="M19567" t="s">
        <v>239</v>
      </c>
      <c r="N19567" t="str">
        <f>"22903677    "</f>
        <v xml:space="preserve">22903677    </v>
      </c>
      <c r="O19567">
        <v>230403</v>
      </c>
    </row>
    <row r="19568" spans="1:15" x14ac:dyDescent="0.25">
      <c r="A19568" t="s">
        <v>16</v>
      </c>
      <c r="B19568" t="s">
        <v>3221</v>
      </c>
      <c r="C19568">
        <v>5279</v>
      </c>
      <c r="D19568" t="s">
        <v>756</v>
      </c>
      <c r="E19568" t="s">
        <v>757</v>
      </c>
      <c r="F19568">
        <v>474.92</v>
      </c>
      <c r="G19568">
        <v>230417</v>
      </c>
      <c r="H19568">
        <v>4600</v>
      </c>
      <c r="I19568" t="s">
        <v>105</v>
      </c>
      <c r="J19568">
        <v>588.9</v>
      </c>
      <c r="K19568">
        <v>113.98</v>
      </c>
      <c r="L19568">
        <v>65422</v>
      </c>
      <c r="M19568" t="s">
        <v>602</v>
      </c>
      <c r="N19568" t="str">
        <f>"22903864    "</f>
        <v xml:space="preserve">22903864    </v>
      </c>
      <c r="O19568">
        <v>230420</v>
      </c>
    </row>
    <row r="19569" spans="1:15" x14ac:dyDescent="0.25">
      <c r="A19569" t="s">
        <v>16</v>
      </c>
      <c r="B19569" t="s">
        <v>3221</v>
      </c>
      <c r="C19569">
        <v>5279</v>
      </c>
      <c r="D19569" t="s">
        <v>756</v>
      </c>
      <c r="E19569" t="s">
        <v>757</v>
      </c>
      <c r="F19569">
        <v>162.72</v>
      </c>
      <c r="G19569">
        <v>230417</v>
      </c>
      <c r="H19569">
        <v>4600</v>
      </c>
      <c r="I19569" t="s">
        <v>105</v>
      </c>
      <c r="J19569">
        <v>201.77</v>
      </c>
      <c r="K19569">
        <v>39.049999999999997</v>
      </c>
      <c r="L19569">
        <v>66754</v>
      </c>
      <c r="M19569" t="s">
        <v>239</v>
      </c>
      <c r="N19569" t="str">
        <f>"22903864    "</f>
        <v xml:space="preserve">22903864    </v>
      </c>
      <c r="O19569">
        <v>230420</v>
      </c>
    </row>
    <row r="19570" spans="1:15" x14ac:dyDescent="0.25">
      <c r="A19570" t="s">
        <v>16</v>
      </c>
      <c r="B19570" t="s">
        <v>3221</v>
      </c>
      <c r="C19570">
        <v>5892</v>
      </c>
      <c r="D19570" t="s">
        <v>756</v>
      </c>
      <c r="E19570" t="s">
        <v>757</v>
      </c>
      <c r="F19570">
        <v>295.66000000000003</v>
      </c>
      <c r="G19570">
        <v>230430</v>
      </c>
      <c r="H19570">
        <v>4600</v>
      </c>
      <c r="I19570" t="s">
        <v>105</v>
      </c>
      <c r="J19570">
        <v>366.62</v>
      </c>
      <c r="K19570">
        <v>70.959999999999994</v>
      </c>
      <c r="L19570">
        <v>65422</v>
      </c>
      <c r="M19570" t="s">
        <v>602</v>
      </c>
      <c r="N19570" t="str">
        <f>"22904073    "</f>
        <v xml:space="preserve">22904073    </v>
      </c>
      <c r="O19570">
        <v>230503</v>
      </c>
    </row>
    <row r="19571" spans="1:15" x14ac:dyDescent="0.25">
      <c r="A19571" t="s">
        <v>16</v>
      </c>
      <c r="B19571" t="s">
        <v>3221</v>
      </c>
      <c r="C19571">
        <v>5892</v>
      </c>
      <c r="D19571" t="s">
        <v>756</v>
      </c>
      <c r="E19571" t="s">
        <v>757</v>
      </c>
      <c r="F19571">
        <v>194.2</v>
      </c>
      <c r="G19571">
        <v>230430</v>
      </c>
      <c r="H19571">
        <v>4600</v>
      </c>
      <c r="I19571" t="s">
        <v>105</v>
      </c>
      <c r="J19571">
        <v>240.81</v>
      </c>
      <c r="K19571">
        <v>46.61</v>
      </c>
      <c r="L19571">
        <v>66754</v>
      </c>
      <c r="M19571" t="s">
        <v>239</v>
      </c>
      <c r="N19571" t="str">
        <f>"22904073    "</f>
        <v xml:space="preserve">22904073    </v>
      </c>
      <c r="O19571">
        <v>230503</v>
      </c>
    </row>
    <row r="19572" spans="1:15" x14ac:dyDescent="0.25">
      <c r="A19572" t="s">
        <v>16</v>
      </c>
      <c r="B19572" t="s">
        <v>3221</v>
      </c>
      <c r="C19572">
        <v>6643</v>
      </c>
      <c r="D19572" t="s">
        <v>756</v>
      </c>
      <c r="E19572" t="s">
        <v>757</v>
      </c>
      <c r="F19572">
        <v>417.78</v>
      </c>
      <c r="G19572">
        <v>230515</v>
      </c>
      <c r="H19572">
        <v>4600</v>
      </c>
      <c r="I19572" t="s">
        <v>105</v>
      </c>
      <c r="J19572">
        <v>518.04999999999995</v>
      </c>
      <c r="K19572">
        <v>100.27</v>
      </c>
      <c r="L19572">
        <v>66754</v>
      </c>
      <c r="M19572" t="s">
        <v>239</v>
      </c>
      <c r="N19572" t="str">
        <f>"22904350    "</f>
        <v xml:space="preserve">22904350    </v>
      </c>
      <c r="O19572">
        <v>230516</v>
      </c>
    </row>
    <row r="19573" spans="1:15" x14ac:dyDescent="0.25">
      <c r="A19573" t="s">
        <v>16</v>
      </c>
      <c r="B19573" t="s">
        <v>3221</v>
      </c>
      <c r="C19573">
        <v>7957</v>
      </c>
      <c r="D19573" t="s">
        <v>756</v>
      </c>
      <c r="E19573" t="s">
        <v>757</v>
      </c>
      <c r="F19573">
        <v>1398.53</v>
      </c>
      <c r="G19573">
        <v>230531</v>
      </c>
      <c r="H19573">
        <v>4600</v>
      </c>
      <c r="I19573" t="s">
        <v>105</v>
      </c>
      <c r="J19573">
        <v>1734.18</v>
      </c>
      <c r="K19573">
        <v>335.65</v>
      </c>
      <c r="L19573">
        <v>66754</v>
      </c>
      <c r="M19573" t="s">
        <v>239</v>
      </c>
      <c r="N19573" t="str">
        <f>"22904595    "</f>
        <v xml:space="preserve">22904595    </v>
      </c>
      <c r="O19573">
        <v>230606</v>
      </c>
    </row>
    <row r="19574" spans="1:15" x14ac:dyDescent="0.25">
      <c r="A19574" t="s">
        <v>16</v>
      </c>
      <c r="B19574" t="s">
        <v>3221</v>
      </c>
      <c r="C19574">
        <v>8934</v>
      </c>
      <c r="D19574" t="s">
        <v>756</v>
      </c>
      <c r="E19574" t="s">
        <v>757</v>
      </c>
      <c r="F19574">
        <v>143.22</v>
      </c>
      <c r="G19574">
        <v>230615</v>
      </c>
      <c r="H19574">
        <v>4600</v>
      </c>
      <c r="I19574" t="s">
        <v>105</v>
      </c>
      <c r="J19574">
        <v>177.59</v>
      </c>
      <c r="K19574">
        <v>34.369999999999997</v>
      </c>
      <c r="L19574">
        <v>65422</v>
      </c>
      <c r="M19574" t="s">
        <v>602</v>
      </c>
      <c r="N19574" t="str">
        <f>"22904810    "</f>
        <v xml:space="preserve">22904810    </v>
      </c>
      <c r="O19574">
        <v>230620</v>
      </c>
    </row>
    <row r="19575" spans="1:15" x14ac:dyDescent="0.25">
      <c r="A19575" t="s">
        <v>16</v>
      </c>
      <c r="B19575" t="s">
        <v>3221</v>
      </c>
      <c r="C19575">
        <v>8934</v>
      </c>
      <c r="D19575" t="s">
        <v>756</v>
      </c>
      <c r="E19575" t="s">
        <v>757</v>
      </c>
      <c r="F19575">
        <v>367.84</v>
      </c>
      <c r="G19575">
        <v>230615</v>
      </c>
      <c r="H19575">
        <v>4600</v>
      </c>
      <c r="I19575" t="s">
        <v>105</v>
      </c>
      <c r="J19575">
        <v>456.12</v>
      </c>
      <c r="K19575">
        <v>88.28</v>
      </c>
      <c r="L19575">
        <v>66754</v>
      </c>
      <c r="M19575" t="s">
        <v>239</v>
      </c>
      <c r="N19575" t="str">
        <f>"22904810    "</f>
        <v xml:space="preserve">22904810    </v>
      </c>
      <c r="O19575">
        <v>230620</v>
      </c>
    </row>
    <row r="19576" spans="1:15" x14ac:dyDescent="0.25">
      <c r="A19576" t="s">
        <v>16</v>
      </c>
      <c r="B19576" t="s">
        <v>3221</v>
      </c>
      <c r="C19576">
        <v>9219</v>
      </c>
      <c r="D19576" t="s">
        <v>756</v>
      </c>
      <c r="E19576" t="s">
        <v>757</v>
      </c>
      <c r="F19576">
        <v>436.37</v>
      </c>
      <c r="G19576">
        <v>230630</v>
      </c>
      <c r="H19576">
        <v>4600</v>
      </c>
      <c r="I19576" t="s">
        <v>105</v>
      </c>
      <c r="J19576">
        <v>541.1</v>
      </c>
      <c r="K19576">
        <v>104.73</v>
      </c>
      <c r="L19576">
        <v>66754</v>
      </c>
      <c r="M19576" t="s">
        <v>239</v>
      </c>
      <c r="N19576" t="str">
        <f>"22904990    "</f>
        <v xml:space="preserve">22904990    </v>
      </c>
      <c r="O19576">
        <v>230630</v>
      </c>
    </row>
    <row r="19577" spans="1:15" x14ac:dyDescent="0.25">
      <c r="A19577" t="s">
        <v>16</v>
      </c>
      <c r="B19577" t="s">
        <v>3221</v>
      </c>
      <c r="C19577">
        <v>9709</v>
      </c>
      <c r="D19577" t="s">
        <v>756</v>
      </c>
      <c r="E19577" t="s">
        <v>757</v>
      </c>
      <c r="F19577">
        <v>351.23</v>
      </c>
      <c r="G19577">
        <v>230717</v>
      </c>
      <c r="H19577">
        <v>4600</v>
      </c>
      <c r="I19577" t="s">
        <v>105</v>
      </c>
      <c r="J19577">
        <v>435.53</v>
      </c>
      <c r="K19577">
        <v>84.3</v>
      </c>
      <c r="L19577">
        <v>66754</v>
      </c>
      <c r="M19577" t="s">
        <v>239</v>
      </c>
      <c r="N19577" t="str">
        <f>"23900148    "</f>
        <v xml:space="preserve">23900148    </v>
      </c>
      <c r="O19577">
        <v>230720</v>
      </c>
    </row>
    <row r="19578" spans="1:15" x14ac:dyDescent="0.25">
      <c r="A19578" t="s">
        <v>16</v>
      </c>
      <c r="B19578" t="s">
        <v>3221</v>
      </c>
      <c r="C19578">
        <v>9946</v>
      </c>
      <c r="D19578" t="s">
        <v>756</v>
      </c>
      <c r="E19578" t="s">
        <v>757</v>
      </c>
      <c r="F19578">
        <v>472.54</v>
      </c>
      <c r="G19578">
        <v>230731</v>
      </c>
      <c r="H19578">
        <v>4600</v>
      </c>
      <c r="I19578" t="s">
        <v>105</v>
      </c>
      <c r="J19578">
        <v>585.95000000000005</v>
      </c>
      <c r="K19578">
        <v>113.41</v>
      </c>
      <c r="L19578">
        <v>66754</v>
      </c>
      <c r="M19578" t="s">
        <v>239</v>
      </c>
      <c r="N19578" t="str">
        <f>"23900321    "</f>
        <v xml:space="preserve">23900321    </v>
      </c>
      <c r="O19578">
        <v>230802</v>
      </c>
    </row>
    <row r="19579" spans="1:15" x14ac:dyDescent="0.25">
      <c r="A19579" t="s">
        <v>16</v>
      </c>
      <c r="B19579" t="s">
        <v>3221</v>
      </c>
      <c r="C19579">
        <v>10453</v>
      </c>
      <c r="D19579" t="s">
        <v>756</v>
      </c>
      <c r="E19579" t="s">
        <v>757</v>
      </c>
      <c r="F19579">
        <v>261.93</v>
      </c>
      <c r="G19579">
        <v>230815</v>
      </c>
      <c r="H19579">
        <v>4600</v>
      </c>
      <c r="I19579" t="s">
        <v>105</v>
      </c>
      <c r="J19579">
        <v>324.79000000000002</v>
      </c>
      <c r="K19579">
        <v>62.86</v>
      </c>
      <c r="L19579">
        <v>66754</v>
      </c>
      <c r="M19579" t="s">
        <v>239</v>
      </c>
      <c r="N19579" t="str">
        <f>"23900519    "</f>
        <v xml:space="preserve">23900519    </v>
      </c>
      <c r="O19579">
        <v>230816</v>
      </c>
    </row>
    <row r="19580" spans="1:15" x14ac:dyDescent="0.25">
      <c r="A19580" t="s">
        <v>16</v>
      </c>
      <c r="B19580" t="s">
        <v>3221</v>
      </c>
      <c r="C19580">
        <v>11206</v>
      </c>
      <c r="D19580" t="s">
        <v>756</v>
      </c>
      <c r="E19580" t="s">
        <v>757</v>
      </c>
      <c r="F19580">
        <v>504.12</v>
      </c>
      <c r="G19580">
        <v>230831</v>
      </c>
      <c r="H19580">
        <v>4600</v>
      </c>
      <c r="I19580" t="s">
        <v>105</v>
      </c>
      <c r="J19580">
        <v>625.11</v>
      </c>
      <c r="K19580">
        <v>120.99</v>
      </c>
      <c r="L19580">
        <v>66754</v>
      </c>
      <c r="M19580" t="s">
        <v>239</v>
      </c>
      <c r="N19580" t="str">
        <f>"23900716    "</f>
        <v xml:space="preserve">23900716    </v>
      </c>
      <c r="O19580">
        <v>230831</v>
      </c>
    </row>
    <row r="19581" spans="1:15" x14ac:dyDescent="0.25">
      <c r="A19581" t="s">
        <v>16</v>
      </c>
      <c r="B19581" t="s">
        <v>3221</v>
      </c>
      <c r="C19581">
        <v>12285</v>
      </c>
      <c r="D19581" t="s">
        <v>756</v>
      </c>
      <c r="E19581" t="s">
        <v>757</v>
      </c>
      <c r="F19581">
        <v>177.51</v>
      </c>
      <c r="G19581">
        <v>230915</v>
      </c>
      <c r="H19581">
        <v>4600</v>
      </c>
      <c r="I19581" t="s">
        <v>105</v>
      </c>
      <c r="J19581">
        <v>220.11</v>
      </c>
      <c r="K19581">
        <v>42.6</v>
      </c>
      <c r="L19581">
        <v>66754</v>
      </c>
      <c r="M19581" t="s">
        <v>239</v>
      </c>
      <c r="N19581" t="str">
        <f>"23900919    "</f>
        <v xml:space="preserve">23900919    </v>
      </c>
      <c r="O19581">
        <v>230918</v>
      </c>
    </row>
    <row r="19582" spans="1:15" x14ac:dyDescent="0.25">
      <c r="A19582" t="s">
        <v>16</v>
      </c>
      <c r="B19582" t="s">
        <v>3221</v>
      </c>
      <c r="C19582">
        <v>14060</v>
      </c>
      <c r="D19582" t="s">
        <v>756</v>
      </c>
      <c r="E19582" t="s">
        <v>757</v>
      </c>
      <c r="F19582">
        <v>349.12</v>
      </c>
      <c r="G19582">
        <v>231002</v>
      </c>
      <c r="H19582">
        <v>4600</v>
      </c>
      <c r="I19582" t="s">
        <v>105</v>
      </c>
      <c r="J19582">
        <v>432.91</v>
      </c>
      <c r="K19582">
        <v>83.79</v>
      </c>
      <c r="L19582">
        <v>65422</v>
      </c>
      <c r="M19582" t="s">
        <v>602</v>
      </c>
      <c r="N19582" t="str">
        <f>"23901102    "</f>
        <v xml:space="preserve">23901102    </v>
      </c>
      <c r="O19582">
        <v>231018</v>
      </c>
    </row>
    <row r="19583" spans="1:15" x14ac:dyDescent="0.25">
      <c r="A19583" t="s">
        <v>16</v>
      </c>
      <c r="B19583" t="s">
        <v>3221</v>
      </c>
      <c r="C19583">
        <v>14060</v>
      </c>
      <c r="D19583" t="s">
        <v>756</v>
      </c>
      <c r="E19583" t="s">
        <v>757</v>
      </c>
      <c r="F19583">
        <v>770.12</v>
      </c>
      <c r="G19583">
        <v>231002</v>
      </c>
      <c r="H19583">
        <v>4600</v>
      </c>
      <c r="I19583" t="s">
        <v>105</v>
      </c>
      <c r="J19583">
        <v>954.95</v>
      </c>
      <c r="K19583">
        <v>184.83</v>
      </c>
      <c r="L19583">
        <v>66754</v>
      </c>
      <c r="M19583" t="s">
        <v>239</v>
      </c>
      <c r="N19583" t="str">
        <f>"23901102    "</f>
        <v xml:space="preserve">23901102    </v>
      </c>
      <c r="O19583">
        <v>231018</v>
      </c>
    </row>
    <row r="19584" spans="1:15" x14ac:dyDescent="0.25">
      <c r="A19584" t="s">
        <v>16</v>
      </c>
      <c r="B19584" t="s">
        <v>3221</v>
      </c>
      <c r="C19584">
        <v>14354</v>
      </c>
      <c r="D19584" t="s">
        <v>756</v>
      </c>
      <c r="E19584" t="s">
        <v>757</v>
      </c>
      <c r="F19584">
        <v>848.45</v>
      </c>
      <c r="G19584">
        <v>231016</v>
      </c>
      <c r="H19584">
        <v>4600</v>
      </c>
      <c r="I19584" t="s">
        <v>105</v>
      </c>
      <c r="J19584">
        <v>1052.08</v>
      </c>
      <c r="K19584">
        <v>203.63</v>
      </c>
      <c r="L19584">
        <v>65422</v>
      </c>
      <c r="M19584" t="s">
        <v>602</v>
      </c>
      <c r="N19584" t="str">
        <f>"23901267    "</f>
        <v xml:space="preserve">23901267    </v>
      </c>
      <c r="O19584">
        <v>231030</v>
      </c>
    </row>
    <row r="19585" spans="1:15" x14ac:dyDescent="0.25">
      <c r="A19585" t="s">
        <v>16</v>
      </c>
      <c r="B19585" t="s">
        <v>3221</v>
      </c>
      <c r="C19585">
        <v>14354</v>
      </c>
      <c r="D19585" t="s">
        <v>756</v>
      </c>
      <c r="E19585" t="s">
        <v>757</v>
      </c>
      <c r="F19585">
        <v>119.21</v>
      </c>
      <c r="G19585">
        <v>231016</v>
      </c>
      <c r="H19585">
        <v>4600</v>
      </c>
      <c r="I19585" t="s">
        <v>105</v>
      </c>
      <c r="J19585">
        <v>147.82</v>
      </c>
      <c r="K19585">
        <v>28.61</v>
      </c>
      <c r="L19585">
        <v>66754</v>
      </c>
      <c r="M19585" t="s">
        <v>239</v>
      </c>
      <c r="N19585" t="str">
        <f>"23901267    "</f>
        <v xml:space="preserve">23901267    </v>
      </c>
      <c r="O19585">
        <v>231030</v>
      </c>
    </row>
    <row r="19586" spans="1:15" x14ac:dyDescent="0.25">
      <c r="A19586" t="s">
        <v>16</v>
      </c>
      <c r="B19586" t="s">
        <v>3221</v>
      </c>
      <c r="C19586">
        <v>15049</v>
      </c>
      <c r="D19586" t="s">
        <v>756</v>
      </c>
      <c r="E19586" t="s">
        <v>757</v>
      </c>
      <c r="F19586">
        <v>594.17999999999995</v>
      </c>
      <c r="G19586">
        <v>231031</v>
      </c>
      <c r="H19586">
        <v>4600</v>
      </c>
      <c r="I19586" t="s">
        <v>105</v>
      </c>
      <c r="J19586">
        <v>736.78</v>
      </c>
      <c r="K19586">
        <v>142.6</v>
      </c>
      <c r="L19586">
        <v>66754</v>
      </c>
      <c r="M19586" t="s">
        <v>239</v>
      </c>
      <c r="N19586" t="str">
        <f>"23901441    "</f>
        <v xml:space="preserve">23901441    </v>
      </c>
      <c r="O19586">
        <v>231108</v>
      </c>
    </row>
    <row r="19587" spans="1:15" x14ac:dyDescent="0.25">
      <c r="A19587" t="s">
        <v>16</v>
      </c>
      <c r="B19587" t="s">
        <v>3221</v>
      </c>
      <c r="C19587">
        <v>15870</v>
      </c>
      <c r="D19587" t="s">
        <v>756</v>
      </c>
      <c r="E19587" t="s">
        <v>757</v>
      </c>
      <c r="F19587">
        <v>723.77</v>
      </c>
      <c r="G19587">
        <v>231115</v>
      </c>
      <c r="H19587">
        <v>4600</v>
      </c>
      <c r="I19587" t="s">
        <v>105</v>
      </c>
      <c r="J19587">
        <v>897.47</v>
      </c>
      <c r="K19587">
        <v>173.7</v>
      </c>
      <c r="L19587">
        <v>66754</v>
      </c>
      <c r="M19587" t="s">
        <v>239</v>
      </c>
      <c r="N19587" t="str">
        <f>"23901619    "</f>
        <v xml:space="preserve">23901619    </v>
      </c>
      <c r="O19587">
        <v>231120</v>
      </c>
    </row>
    <row r="19588" spans="1:15" x14ac:dyDescent="0.25">
      <c r="A19588" t="s">
        <v>16</v>
      </c>
      <c r="B19588" t="s">
        <v>3221</v>
      </c>
      <c r="C19588">
        <v>16710</v>
      </c>
      <c r="D19588" t="s">
        <v>756</v>
      </c>
      <c r="E19588" t="s">
        <v>757</v>
      </c>
      <c r="F19588">
        <v>517.96</v>
      </c>
      <c r="G19588">
        <v>231130</v>
      </c>
      <c r="H19588">
        <v>4600</v>
      </c>
      <c r="I19588" t="s">
        <v>105</v>
      </c>
      <c r="J19588">
        <v>642.27</v>
      </c>
      <c r="K19588">
        <v>124.31</v>
      </c>
      <c r="L19588">
        <v>66754</v>
      </c>
      <c r="M19588" t="s">
        <v>239</v>
      </c>
      <c r="N19588" t="str">
        <f>"23901809    "</f>
        <v xml:space="preserve">23901809    </v>
      </c>
      <c r="O19588">
        <v>231208</v>
      </c>
    </row>
    <row r="19589" spans="1:15" x14ac:dyDescent="0.25">
      <c r="A19589" t="s">
        <v>16</v>
      </c>
      <c r="B19589" t="s">
        <v>3221</v>
      </c>
      <c r="C19589">
        <v>17733</v>
      </c>
      <c r="D19589" t="s">
        <v>756</v>
      </c>
      <c r="E19589" t="s">
        <v>757</v>
      </c>
      <c r="F19589">
        <v>393.65</v>
      </c>
      <c r="G19589">
        <v>231215</v>
      </c>
      <c r="H19589">
        <v>4600</v>
      </c>
      <c r="I19589" t="s">
        <v>105</v>
      </c>
      <c r="J19589">
        <v>488.13</v>
      </c>
      <c r="K19589">
        <v>94.48</v>
      </c>
      <c r="L19589">
        <v>66722</v>
      </c>
      <c r="M19589" t="s">
        <v>518</v>
      </c>
      <c r="N19589" t="str">
        <f>"23902077    "</f>
        <v xml:space="preserve">23902077    </v>
      </c>
      <c r="O19589">
        <v>231222</v>
      </c>
    </row>
    <row r="19590" spans="1:15" x14ac:dyDescent="0.25">
      <c r="A19590" t="s">
        <v>16</v>
      </c>
      <c r="B19590" t="s">
        <v>3221</v>
      </c>
      <c r="C19590">
        <v>17733</v>
      </c>
      <c r="D19590" t="s">
        <v>756</v>
      </c>
      <c r="E19590" t="s">
        <v>757</v>
      </c>
      <c r="F19590">
        <v>306.98</v>
      </c>
      <c r="G19590">
        <v>231215</v>
      </c>
      <c r="H19590">
        <v>4600</v>
      </c>
      <c r="I19590" t="s">
        <v>105</v>
      </c>
      <c r="J19590">
        <v>380.66</v>
      </c>
      <c r="K19590">
        <v>73.680000000000007</v>
      </c>
      <c r="L19590">
        <v>66754</v>
      </c>
      <c r="M19590" t="s">
        <v>239</v>
      </c>
      <c r="N19590" t="str">
        <f>"23902077    "</f>
        <v xml:space="preserve">23902077    </v>
      </c>
      <c r="O19590">
        <v>231222</v>
      </c>
    </row>
    <row r="19591" spans="1:15" x14ac:dyDescent="0.25">
      <c r="A19591" t="s">
        <v>16</v>
      </c>
      <c r="B19591" t="s">
        <v>3221</v>
      </c>
      <c r="C19591">
        <v>18975</v>
      </c>
      <c r="D19591" t="s">
        <v>756</v>
      </c>
      <c r="E19591" t="s">
        <v>757</v>
      </c>
      <c r="F19591">
        <v>473.74</v>
      </c>
      <c r="G19591">
        <v>231231</v>
      </c>
      <c r="H19591">
        <v>4600</v>
      </c>
      <c r="I19591" t="s">
        <v>105</v>
      </c>
      <c r="J19591">
        <v>587.44000000000005</v>
      </c>
      <c r="K19591">
        <v>113.7</v>
      </c>
      <c r="L19591">
        <v>66754</v>
      </c>
      <c r="M19591" t="s">
        <v>239</v>
      </c>
      <c r="N19591" t="str">
        <f>"23902252    "</f>
        <v xml:space="preserve">23902252    </v>
      </c>
      <c r="O19591">
        <v>240109</v>
      </c>
    </row>
    <row r="19592" spans="1:15" x14ac:dyDescent="0.25">
      <c r="A19592" t="s">
        <v>16</v>
      </c>
      <c r="B19592" t="s">
        <v>3221</v>
      </c>
      <c r="C19592">
        <v>1343</v>
      </c>
      <c r="D19592" t="s">
        <v>1008</v>
      </c>
      <c r="E19592" t="s">
        <v>1009</v>
      </c>
      <c r="F19592">
        <v>303.60000000000002</v>
      </c>
      <c r="G19592">
        <v>230131</v>
      </c>
      <c r="H19592">
        <v>4400</v>
      </c>
      <c r="I19592" t="s">
        <v>348</v>
      </c>
      <c r="J19592">
        <v>376.46</v>
      </c>
      <c r="K19592">
        <v>72.86</v>
      </c>
      <c r="L19592">
        <v>17523</v>
      </c>
      <c r="M19592" t="s">
        <v>134</v>
      </c>
      <c r="N19592" t="str">
        <f>"7668        "</f>
        <v xml:space="preserve">7668        </v>
      </c>
      <c r="O19592">
        <v>230208</v>
      </c>
    </row>
    <row r="19593" spans="1:15" x14ac:dyDescent="0.25">
      <c r="A19593" t="s">
        <v>16</v>
      </c>
      <c r="B19593" t="s">
        <v>3221</v>
      </c>
      <c r="C19593">
        <v>1101</v>
      </c>
      <c r="D19593" t="s">
        <v>885</v>
      </c>
      <c r="E19593" t="s">
        <v>886</v>
      </c>
      <c r="F19593">
        <v>545.61</v>
      </c>
      <c r="G19593">
        <v>230131</v>
      </c>
      <c r="H19593">
        <v>4520</v>
      </c>
      <c r="I19593" t="s">
        <v>254</v>
      </c>
      <c r="J19593">
        <v>622</v>
      </c>
      <c r="K19593">
        <v>76.39</v>
      </c>
      <c r="L19593">
        <v>17913</v>
      </c>
      <c r="M19593" t="s">
        <v>431</v>
      </c>
      <c r="N19593" t="str">
        <f>"401497      "</f>
        <v xml:space="preserve">401497      </v>
      </c>
      <c r="O19593">
        <v>230203</v>
      </c>
    </row>
    <row r="19594" spans="1:15" x14ac:dyDescent="0.25">
      <c r="A19594" t="s">
        <v>16</v>
      </c>
      <c r="B19594" t="s">
        <v>3221</v>
      </c>
      <c r="C19594">
        <v>1101</v>
      </c>
      <c r="D19594" t="s">
        <v>885</v>
      </c>
      <c r="E19594" t="s">
        <v>886</v>
      </c>
      <c r="F19594">
        <v>60.64</v>
      </c>
      <c r="G19594">
        <v>230131</v>
      </c>
      <c r="H19594">
        <v>4520</v>
      </c>
      <c r="I19594" t="s">
        <v>254</v>
      </c>
      <c r="J19594">
        <v>69.13</v>
      </c>
      <c r="K19594">
        <v>8.49</v>
      </c>
      <c r="L19594">
        <v>17982</v>
      </c>
      <c r="M19594" t="s">
        <v>432</v>
      </c>
      <c r="N19594" t="str">
        <f>"401497      "</f>
        <v xml:space="preserve">401497      </v>
      </c>
      <c r="O19594">
        <v>230203</v>
      </c>
    </row>
    <row r="19595" spans="1:15" x14ac:dyDescent="0.25">
      <c r="A19595" t="s">
        <v>16</v>
      </c>
      <c r="B19595" t="s">
        <v>3221</v>
      </c>
      <c r="C19595">
        <v>5243</v>
      </c>
      <c r="D19595" t="s">
        <v>885</v>
      </c>
      <c r="E19595" t="s">
        <v>886</v>
      </c>
      <c r="F19595">
        <v>533.54999999999995</v>
      </c>
      <c r="G19595">
        <v>230415</v>
      </c>
      <c r="H19595">
        <v>4520</v>
      </c>
      <c r="I19595" t="s">
        <v>254</v>
      </c>
      <c r="J19595">
        <v>608.25</v>
      </c>
      <c r="K19595">
        <v>74.7</v>
      </c>
      <c r="L19595">
        <v>17913</v>
      </c>
      <c r="M19595" t="s">
        <v>431</v>
      </c>
      <c r="N19595" t="str">
        <f>"402872      "</f>
        <v xml:space="preserve">402872      </v>
      </c>
      <c r="O19595">
        <v>230419</v>
      </c>
    </row>
    <row r="19596" spans="1:15" x14ac:dyDescent="0.25">
      <c r="A19596" t="s">
        <v>16</v>
      </c>
      <c r="B19596" t="s">
        <v>3221</v>
      </c>
      <c r="C19596">
        <v>5243</v>
      </c>
      <c r="D19596" t="s">
        <v>885</v>
      </c>
      <c r="E19596" t="s">
        <v>886</v>
      </c>
      <c r="F19596">
        <v>59.28</v>
      </c>
      <c r="G19596">
        <v>230415</v>
      </c>
      <c r="H19596">
        <v>4520</v>
      </c>
      <c r="I19596" t="s">
        <v>254</v>
      </c>
      <c r="J19596">
        <v>67.58</v>
      </c>
      <c r="K19596">
        <v>8.3000000000000007</v>
      </c>
      <c r="L19596">
        <v>17982</v>
      </c>
      <c r="M19596" t="s">
        <v>432</v>
      </c>
      <c r="N19596" t="str">
        <f>"402872      "</f>
        <v xml:space="preserve">402872      </v>
      </c>
      <c r="O19596">
        <v>230419</v>
      </c>
    </row>
    <row r="19597" spans="1:15" x14ac:dyDescent="0.25">
      <c r="A19597" t="s">
        <v>16</v>
      </c>
      <c r="B19597" t="s">
        <v>3221</v>
      </c>
      <c r="C19597">
        <v>14230</v>
      </c>
      <c r="D19597" t="s">
        <v>885</v>
      </c>
      <c r="E19597" t="s">
        <v>886</v>
      </c>
      <c r="F19597">
        <v>679.68</v>
      </c>
      <c r="G19597">
        <v>231015</v>
      </c>
      <c r="H19597">
        <v>4520</v>
      </c>
      <c r="I19597" t="s">
        <v>254</v>
      </c>
      <c r="J19597">
        <v>774.83</v>
      </c>
      <c r="K19597">
        <v>95.15</v>
      </c>
      <c r="L19597">
        <v>17913</v>
      </c>
      <c r="M19597" t="s">
        <v>431</v>
      </c>
      <c r="N19597" t="str">
        <f>"406231      "</f>
        <v xml:space="preserve">406231      </v>
      </c>
      <c r="O19597">
        <v>231024</v>
      </c>
    </row>
    <row r="19598" spans="1:15" x14ac:dyDescent="0.25">
      <c r="A19598" t="s">
        <v>16</v>
      </c>
      <c r="B19598" t="s">
        <v>3221</v>
      </c>
      <c r="C19598">
        <v>1406</v>
      </c>
      <c r="D19598" t="s">
        <v>1029</v>
      </c>
      <c r="E19598" t="s">
        <v>1030</v>
      </c>
      <c r="F19598">
        <v>154.5</v>
      </c>
      <c r="G19598">
        <v>230207</v>
      </c>
      <c r="H19598">
        <v>4580</v>
      </c>
      <c r="I19598" t="s">
        <v>35</v>
      </c>
      <c r="J19598">
        <v>154.5</v>
      </c>
      <c r="K19598">
        <v>0</v>
      </c>
      <c r="L19598">
        <v>17537</v>
      </c>
      <c r="M19598" t="s">
        <v>455</v>
      </c>
      <c r="N19598" t="str">
        <f>"8291        "</f>
        <v xml:space="preserve">8291        </v>
      </c>
      <c r="O19598">
        <v>230208</v>
      </c>
    </row>
    <row r="19599" spans="1:15" x14ac:dyDescent="0.25">
      <c r="A19599" t="s">
        <v>16</v>
      </c>
      <c r="B19599" t="s">
        <v>3221</v>
      </c>
      <c r="C19599">
        <v>17452</v>
      </c>
      <c r="D19599" t="s">
        <v>1029</v>
      </c>
      <c r="E19599" t="s">
        <v>1030</v>
      </c>
      <c r="F19599">
        <v>1149.52</v>
      </c>
      <c r="G19599">
        <v>231205</v>
      </c>
      <c r="H19599">
        <v>4600</v>
      </c>
      <c r="I19599" t="s">
        <v>105</v>
      </c>
      <c r="J19599">
        <v>1425.4</v>
      </c>
      <c r="K19599">
        <v>275.88</v>
      </c>
      <c r="L19599">
        <v>17538</v>
      </c>
      <c r="M19599" t="s">
        <v>24</v>
      </c>
      <c r="N19599" t="str">
        <f>"14525       "</f>
        <v xml:space="preserve">14525       </v>
      </c>
      <c r="O19599">
        <v>231214</v>
      </c>
    </row>
    <row r="19600" spans="1:15" x14ac:dyDescent="0.25">
      <c r="A19600" t="s">
        <v>16</v>
      </c>
      <c r="B19600" t="s">
        <v>3221</v>
      </c>
      <c r="C19600">
        <v>17452</v>
      </c>
      <c r="D19600" t="s">
        <v>1029</v>
      </c>
      <c r="E19600" t="s">
        <v>1030</v>
      </c>
      <c r="F19600">
        <v>1806</v>
      </c>
      <c r="G19600">
        <v>231205</v>
      </c>
      <c r="H19600">
        <v>4470</v>
      </c>
      <c r="I19600" t="s">
        <v>83</v>
      </c>
      <c r="J19600">
        <v>2239.44</v>
      </c>
      <c r="K19600">
        <v>433.44</v>
      </c>
      <c r="L19600">
        <v>17538</v>
      </c>
      <c r="M19600" t="s">
        <v>24</v>
      </c>
      <c r="N19600" t="str">
        <f>"14525       "</f>
        <v xml:space="preserve">14525       </v>
      </c>
      <c r="O19600">
        <v>231214</v>
      </c>
    </row>
    <row r="19601" spans="1:15" x14ac:dyDescent="0.25">
      <c r="A19601" t="s">
        <v>16</v>
      </c>
      <c r="B19601" t="s">
        <v>3221</v>
      </c>
      <c r="C19601">
        <v>14450</v>
      </c>
      <c r="D19601" t="s">
        <v>1029</v>
      </c>
      <c r="E19601" t="s">
        <v>1030</v>
      </c>
      <c r="F19601">
        <v>1715.7</v>
      </c>
      <c r="G19601">
        <v>231020</v>
      </c>
      <c r="H19601">
        <v>4347</v>
      </c>
      <c r="I19601" t="s">
        <v>193</v>
      </c>
      <c r="J19601">
        <v>2127.4699999999998</v>
      </c>
      <c r="K19601">
        <v>411.77</v>
      </c>
      <c r="L19601">
        <v>17538</v>
      </c>
      <c r="M19601" t="s">
        <v>24</v>
      </c>
      <c r="N19601" t="str">
        <f>"13508       "</f>
        <v xml:space="preserve">13508       </v>
      </c>
      <c r="O19601">
        <v>231030</v>
      </c>
    </row>
    <row r="19602" spans="1:15" x14ac:dyDescent="0.25">
      <c r="A19602" t="s">
        <v>16</v>
      </c>
      <c r="B19602" t="s">
        <v>3221</v>
      </c>
      <c r="C19602">
        <v>14941</v>
      </c>
      <c r="D19602" t="s">
        <v>3554</v>
      </c>
      <c r="E19602" t="s">
        <v>3555</v>
      </c>
      <c r="F19602">
        <v>1390</v>
      </c>
      <c r="G19602">
        <v>231101</v>
      </c>
      <c r="H19602">
        <v>4860</v>
      </c>
      <c r="I19602" t="s">
        <v>28</v>
      </c>
      <c r="J19602">
        <v>1390</v>
      </c>
      <c r="K19602">
        <v>0</v>
      </c>
      <c r="L19602">
        <v>11301</v>
      </c>
      <c r="M19602" t="s">
        <v>29</v>
      </c>
      <c r="N19602" t="str">
        <f>"7492        "</f>
        <v xml:space="preserve">7492        </v>
      </c>
      <c r="O19602">
        <v>231107</v>
      </c>
    </row>
    <row r="19603" spans="1:15" x14ac:dyDescent="0.25">
      <c r="A19603" t="s">
        <v>16</v>
      </c>
      <c r="B19603" t="s">
        <v>3221</v>
      </c>
      <c r="C19603">
        <v>6585</v>
      </c>
      <c r="D19603" t="s">
        <v>1993</v>
      </c>
      <c r="E19603" t="s">
        <v>1994</v>
      </c>
      <c r="F19603">
        <v>105</v>
      </c>
      <c r="G19603">
        <v>230510</v>
      </c>
      <c r="H19603">
        <v>4580</v>
      </c>
      <c r="I19603" t="s">
        <v>35</v>
      </c>
      <c r="J19603">
        <v>130.19999999999999</v>
      </c>
      <c r="K19603">
        <v>25.2</v>
      </c>
      <c r="L19603">
        <v>13540</v>
      </c>
      <c r="M19603" t="s">
        <v>85</v>
      </c>
      <c r="N19603" t="str">
        <f>"21348       "</f>
        <v xml:space="preserve">21348       </v>
      </c>
      <c r="O19603">
        <v>230515</v>
      </c>
    </row>
    <row r="19604" spans="1:15" x14ac:dyDescent="0.25">
      <c r="A19604" t="s">
        <v>16</v>
      </c>
      <c r="B19604" t="s">
        <v>3221</v>
      </c>
      <c r="C19604">
        <v>6585</v>
      </c>
      <c r="D19604" t="s">
        <v>1993</v>
      </c>
      <c r="E19604" t="s">
        <v>1994</v>
      </c>
      <c r="F19604">
        <v>105</v>
      </c>
      <c r="G19604">
        <v>230510</v>
      </c>
      <c r="H19604">
        <v>4580</v>
      </c>
      <c r="I19604" t="s">
        <v>35</v>
      </c>
      <c r="J19604">
        <v>130.19999999999999</v>
      </c>
      <c r="K19604">
        <v>25.2</v>
      </c>
      <c r="L19604">
        <v>17971</v>
      </c>
      <c r="M19604" t="s">
        <v>138</v>
      </c>
      <c r="N19604" t="str">
        <f>"21348       "</f>
        <v xml:space="preserve">21348       </v>
      </c>
      <c r="O19604">
        <v>230515</v>
      </c>
    </row>
    <row r="19605" spans="1:15" x14ac:dyDescent="0.25">
      <c r="A19605" t="s">
        <v>16</v>
      </c>
      <c r="B19605" t="s">
        <v>3221</v>
      </c>
      <c r="C19605">
        <v>3711</v>
      </c>
      <c r="D19605" t="s">
        <v>1598</v>
      </c>
      <c r="E19605" t="s">
        <v>1599</v>
      </c>
      <c r="F19605">
        <v>1829.98</v>
      </c>
      <c r="G19605">
        <v>230318</v>
      </c>
      <c r="H19605">
        <v>1196</v>
      </c>
      <c r="I19605" t="s">
        <v>392</v>
      </c>
      <c r="J19605">
        <v>1829.98</v>
      </c>
      <c r="K19605">
        <v>0</v>
      </c>
      <c r="L19605">
        <v>97701</v>
      </c>
      <c r="M19605" t="s">
        <v>869</v>
      </c>
      <c r="N19605" t="str">
        <f>"4941        "</f>
        <v xml:space="preserve">4941        </v>
      </c>
      <c r="O19605">
        <v>230321</v>
      </c>
    </row>
    <row r="19606" spans="1:15" x14ac:dyDescent="0.25">
      <c r="A19606" t="s">
        <v>16</v>
      </c>
      <c r="B19606" t="s">
        <v>3221</v>
      </c>
      <c r="C19606">
        <v>14909</v>
      </c>
      <c r="D19606" t="s">
        <v>1598</v>
      </c>
      <c r="E19606" t="s">
        <v>1599</v>
      </c>
      <c r="F19606">
        <v>4445.28</v>
      </c>
      <c r="G19606">
        <v>231102</v>
      </c>
      <c r="H19606">
        <v>1196</v>
      </c>
      <c r="I19606" t="s">
        <v>392</v>
      </c>
      <c r="J19606">
        <v>4445.28</v>
      </c>
      <c r="K19606">
        <v>0</v>
      </c>
      <c r="L19606">
        <v>97701</v>
      </c>
      <c r="M19606" t="s">
        <v>869</v>
      </c>
      <c r="N19606" t="str">
        <f>"5402        "</f>
        <v xml:space="preserve">5402        </v>
      </c>
      <c r="O19606">
        <v>231107</v>
      </c>
    </row>
    <row r="19607" spans="1:15" x14ac:dyDescent="0.25">
      <c r="A19607" t="s">
        <v>16</v>
      </c>
      <c r="B19607" t="s">
        <v>3221</v>
      </c>
      <c r="C19607">
        <v>2648</v>
      </c>
      <c r="D19607" t="s">
        <v>1437</v>
      </c>
      <c r="E19607" t="s">
        <v>1438</v>
      </c>
      <c r="F19607">
        <v>2419.35</v>
      </c>
      <c r="G19607">
        <v>230222</v>
      </c>
      <c r="H19607">
        <v>4580</v>
      </c>
      <c r="I19607" t="s">
        <v>35</v>
      </c>
      <c r="J19607">
        <v>3000</v>
      </c>
      <c r="K19607">
        <v>580.65</v>
      </c>
      <c r="L19607">
        <v>56565</v>
      </c>
      <c r="M19607" t="s">
        <v>758</v>
      </c>
      <c r="N19607" t="str">
        <f>"16661       "</f>
        <v xml:space="preserve">16661       </v>
      </c>
      <c r="O19607">
        <v>230306</v>
      </c>
    </row>
    <row r="19608" spans="1:15" x14ac:dyDescent="0.25">
      <c r="A19608" t="s">
        <v>16</v>
      </c>
      <c r="B19608" t="s">
        <v>3221</v>
      </c>
      <c r="C19608">
        <v>4044</v>
      </c>
      <c r="D19608" t="s">
        <v>1437</v>
      </c>
      <c r="E19608" t="s">
        <v>1438</v>
      </c>
      <c r="F19608">
        <v>77.03</v>
      </c>
      <c r="G19608">
        <v>230322</v>
      </c>
      <c r="H19608">
        <v>4580</v>
      </c>
      <c r="I19608" t="s">
        <v>35</v>
      </c>
      <c r="J19608">
        <v>95.52</v>
      </c>
      <c r="K19608">
        <v>18.489999999999998</v>
      </c>
      <c r="L19608">
        <v>56565</v>
      </c>
      <c r="M19608" t="s">
        <v>758</v>
      </c>
      <c r="N19608" t="str">
        <f>"17246       "</f>
        <v xml:space="preserve">17246       </v>
      </c>
      <c r="O19608">
        <v>230329</v>
      </c>
    </row>
    <row r="19609" spans="1:15" x14ac:dyDescent="0.25">
      <c r="A19609" t="s">
        <v>16</v>
      </c>
      <c r="B19609" t="s">
        <v>3221</v>
      </c>
      <c r="C19609">
        <v>11368</v>
      </c>
      <c r="D19609" t="s">
        <v>1437</v>
      </c>
      <c r="E19609" t="s">
        <v>1438</v>
      </c>
      <c r="F19609">
        <v>17.7</v>
      </c>
      <c r="G19609">
        <v>230821</v>
      </c>
      <c r="H19609">
        <v>4600</v>
      </c>
      <c r="I19609" t="s">
        <v>105</v>
      </c>
      <c r="J19609">
        <v>21.95</v>
      </c>
      <c r="K19609">
        <v>4.25</v>
      </c>
      <c r="L19609">
        <v>56558</v>
      </c>
      <c r="M19609" t="s">
        <v>217</v>
      </c>
      <c r="N19609" t="str">
        <f>"20561       "</f>
        <v xml:space="preserve">20561       </v>
      </c>
      <c r="O19609">
        <v>230905</v>
      </c>
    </row>
    <row r="19610" spans="1:15" x14ac:dyDescent="0.25">
      <c r="A19610" t="s">
        <v>16</v>
      </c>
      <c r="B19610" t="s">
        <v>3221</v>
      </c>
      <c r="C19610">
        <v>14330</v>
      </c>
      <c r="D19610" t="s">
        <v>3550</v>
      </c>
      <c r="E19610" t="s">
        <v>3551</v>
      </c>
      <c r="F19610">
        <v>350</v>
      </c>
      <c r="G19610">
        <v>231018</v>
      </c>
      <c r="H19610">
        <v>4441</v>
      </c>
      <c r="I19610" t="s">
        <v>109</v>
      </c>
      <c r="J19610">
        <v>350</v>
      </c>
      <c r="K19610">
        <v>0</v>
      </c>
      <c r="L19610">
        <v>11001</v>
      </c>
      <c r="M19610" t="s">
        <v>326</v>
      </c>
      <c r="N19610" t="str">
        <f>"1080        "</f>
        <v xml:space="preserve">1080        </v>
      </c>
      <c r="O19610">
        <v>231027</v>
      </c>
    </row>
    <row r="19611" spans="1:15" x14ac:dyDescent="0.25">
      <c r="A19611" t="s">
        <v>16</v>
      </c>
      <c r="B19611" t="s">
        <v>3221</v>
      </c>
      <c r="C19611">
        <v>1662</v>
      </c>
      <c r="D19611" t="s">
        <v>1124</v>
      </c>
      <c r="E19611" t="s">
        <v>1125</v>
      </c>
      <c r="F19611">
        <v>717.52</v>
      </c>
      <c r="G19611">
        <v>230201</v>
      </c>
      <c r="H19611">
        <v>4571</v>
      </c>
      <c r="I19611" t="s">
        <v>181</v>
      </c>
      <c r="J19611">
        <v>889.73</v>
      </c>
      <c r="K19611">
        <v>172.21</v>
      </c>
      <c r="L19611">
        <v>11401</v>
      </c>
      <c r="M19611" t="s">
        <v>84</v>
      </c>
      <c r="N19611" t="str">
        <f>"6002207798  "</f>
        <v xml:space="preserve">6002207798  </v>
      </c>
      <c r="O19611">
        <v>230213</v>
      </c>
    </row>
    <row r="19612" spans="1:15" x14ac:dyDescent="0.25">
      <c r="A19612" t="s">
        <v>16</v>
      </c>
      <c r="B19612" t="s">
        <v>3221</v>
      </c>
      <c r="C19612">
        <v>1662</v>
      </c>
      <c r="D19612" t="s">
        <v>1124</v>
      </c>
      <c r="E19612" t="s">
        <v>1125</v>
      </c>
      <c r="F19612">
        <v>1435.06</v>
      </c>
      <c r="G19612">
        <v>230201</v>
      </c>
      <c r="H19612">
        <v>4571</v>
      </c>
      <c r="I19612" t="s">
        <v>181</v>
      </c>
      <c r="J19612">
        <v>1779.47</v>
      </c>
      <c r="K19612">
        <v>344.41</v>
      </c>
      <c r="L19612">
        <v>14952</v>
      </c>
      <c r="M19612" t="s">
        <v>99</v>
      </c>
      <c r="N19612" t="str">
        <f>"6002207798  "</f>
        <v xml:space="preserve">6002207798  </v>
      </c>
      <c r="O19612">
        <v>230213</v>
      </c>
    </row>
    <row r="19613" spans="1:15" x14ac:dyDescent="0.25">
      <c r="A19613" t="s">
        <v>16</v>
      </c>
      <c r="B19613" t="s">
        <v>3221</v>
      </c>
      <c r="C19613">
        <v>2626</v>
      </c>
      <c r="D19613" t="s">
        <v>1124</v>
      </c>
      <c r="E19613" t="s">
        <v>1125</v>
      </c>
      <c r="F19613">
        <v>666.66</v>
      </c>
      <c r="G19613">
        <v>230301</v>
      </c>
      <c r="H19613">
        <v>4571</v>
      </c>
      <c r="I19613" t="s">
        <v>181</v>
      </c>
      <c r="J19613">
        <v>826.66</v>
      </c>
      <c r="K19613">
        <v>160</v>
      </c>
      <c r="L19613">
        <v>11401</v>
      </c>
      <c r="M19613" t="s">
        <v>84</v>
      </c>
      <c r="N19613" t="str">
        <f>"6002244482  "</f>
        <v xml:space="preserve">6002244482  </v>
      </c>
      <c r="O19613">
        <v>230303</v>
      </c>
    </row>
    <row r="19614" spans="1:15" x14ac:dyDescent="0.25">
      <c r="A19614" t="s">
        <v>16</v>
      </c>
      <c r="B19614" t="s">
        <v>3221</v>
      </c>
      <c r="C19614">
        <v>4732</v>
      </c>
      <c r="D19614" t="s">
        <v>1124</v>
      </c>
      <c r="E19614" t="s">
        <v>1125</v>
      </c>
      <c r="F19614">
        <v>782.44</v>
      </c>
      <c r="G19614">
        <v>230404</v>
      </c>
      <c r="H19614">
        <v>4571</v>
      </c>
      <c r="I19614" t="s">
        <v>181</v>
      </c>
      <c r="J19614">
        <v>970.22</v>
      </c>
      <c r="K19614">
        <v>187.78</v>
      </c>
      <c r="L19614">
        <v>11401</v>
      </c>
      <c r="M19614" t="s">
        <v>84</v>
      </c>
      <c r="N19614" t="str">
        <f>"6002296913  "</f>
        <v xml:space="preserve">6002296913  </v>
      </c>
      <c r="O19614">
        <v>230412</v>
      </c>
    </row>
    <row r="19615" spans="1:15" x14ac:dyDescent="0.25">
      <c r="A19615" t="s">
        <v>16</v>
      </c>
      <c r="B19615" t="s">
        <v>3221</v>
      </c>
      <c r="C19615">
        <v>6722</v>
      </c>
      <c r="D19615" t="s">
        <v>1124</v>
      </c>
      <c r="E19615" t="s">
        <v>1125</v>
      </c>
      <c r="F19615">
        <v>447.19</v>
      </c>
      <c r="G19615">
        <v>230503</v>
      </c>
      <c r="H19615">
        <v>4571</v>
      </c>
      <c r="I19615" t="s">
        <v>181</v>
      </c>
      <c r="J19615">
        <v>554.52</v>
      </c>
      <c r="K19615">
        <v>107.33</v>
      </c>
      <c r="L19615">
        <v>11401</v>
      </c>
      <c r="M19615" t="s">
        <v>84</v>
      </c>
      <c r="N19615" t="str">
        <f>"6002404702  "</f>
        <v xml:space="preserve">6002404702  </v>
      </c>
      <c r="O19615">
        <v>230522</v>
      </c>
    </row>
    <row r="19616" spans="1:15" x14ac:dyDescent="0.25">
      <c r="A19616" t="s">
        <v>16</v>
      </c>
      <c r="B19616" t="s">
        <v>3221</v>
      </c>
      <c r="C19616">
        <v>6722</v>
      </c>
      <c r="D19616" t="s">
        <v>1124</v>
      </c>
      <c r="E19616" t="s">
        <v>1125</v>
      </c>
      <c r="F19616">
        <v>894.39</v>
      </c>
      <c r="G19616">
        <v>230503</v>
      </c>
      <c r="H19616">
        <v>4571</v>
      </c>
      <c r="I19616" t="s">
        <v>181</v>
      </c>
      <c r="J19616">
        <v>1109.04</v>
      </c>
      <c r="K19616">
        <v>214.65</v>
      </c>
      <c r="L19616">
        <v>14952</v>
      </c>
      <c r="M19616" t="s">
        <v>99</v>
      </c>
      <c r="N19616" t="str">
        <f>"6002404702  "</f>
        <v xml:space="preserve">6002404702  </v>
      </c>
      <c r="O19616">
        <v>230522</v>
      </c>
    </row>
    <row r="19617" spans="1:15" x14ac:dyDescent="0.25">
      <c r="A19617" t="s">
        <v>16</v>
      </c>
      <c r="B19617" t="s">
        <v>3221</v>
      </c>
      <c r="C19617">
        <v>8545</v>
      </c>
      <c r="D19617" t="s">
        <v>1124</v>
      </c>
      <c r="E19617" t="s">
        <v>1125</v>
      </c>
      <c r="F19617">
        <v>265.20999999999998</v>
      </c>
      <c r="G19617">
        <v>230601</v>
      </c>
      <c r="H19617">
        <v>4571</v>
      </c>
      <c r="I19617" t="s">
        <v>181</v>
      </c>
      <c r="J19617">
        <v>328.86</v>
      </c>
      <c r="K19617">
        <v>63.65</v>
      </c>
      <c r="L19617">
        <v>11401</v>
      </c>
      <c r="M19617" t="s">
        <v>84</v>
      </c>
      <c r="N19617" t="str">
        <f>"6002449777  "</f>
        <v xml:space="preserve">6002449777  </v>
      </c>
      <c r="O19617">
        <v>230612</v>
      </c>
    </row>
    <row r="19618" spans="1:15" x14ac:dyDescent="0.25">
      <c r="A19618" t="s">
        <v>16</v>
      </c>
      <c r="B19618" t="s">
        <v>3221</v>
      </c>
      <c r="C19618">
        <v>9440</v>
      </c>
      <c r="D19618" t="s">
        <v>1124</v>
      </c>
      <c r="E19618" t="s">
        <v>1125</v>
      </c>
      <c r="F19618">
        <v>175.39</v>
      </c>
      <c r="G19618">
        <v>230704</v>
      </c>
      <c r="H19618">
        <v>4571</v>
      </c>
      <c r="I19618" t="s">
        <v>181</v>
      </c>
      <c r="J19618">
        <v>217.48</v>
      </c>
      <c r="K19618">
        <v>42.09</v>
      </c>
      <c r="L19618">
        <v>11401</v>
      </c>
      <c r="M19618" t="s">
        <v>84</v>
      </c>
      <c r="N19618" t="str">
        <f>"6002496041  "</f>
        <v xml:space="preserve">6002496041  </v>
      </c>
      <c r="O19618">
        <v>230711</v>
      </c>
    </row>
    <row r="19619" spans="1:15" x14ac:dyDescent="0.25">
      <c r="A19619" t="s">
        <v>16</v>
      </c>
      <c r="B19619" t="s">
        <v>3221</v>
      </c>
      <c r="C19619">
        <v>9440</v>
      </c>
      <c r="D19619" t="s">
        <v>1124</v>
      </c>
      <c r="E19619" t="s">
        <v>1125</v>
      </c>
      <c r="F19619">
        <v>350.78</v>
      </c>
      <c r="G19619">
        <v>230704</v>
      </c>
      <c r="H19619">
        <v>4571</v>
      </c>
      <c r="I19619" t="s">
        <v>181</v>
      </c>
      <c r="J19619">
        <v>434.97</v>
      </c>
      <c r="K19619">
        <v>84.19</v>
      </c>
      <c r="L19619">
        <v>14952</v>
      </c>
      <c r="M19619" t="s">
        <v>99</v>
      </c>
      <c r="N19619" t="str">
        <f>"6002496041  "</f>
        <v xml:space="preserve">6002496041  </v>
      </c>
      <c r="O19619">
        <v>230711</v>
      </c>
    </row>
    <row r="19620" spans="1:15" x14ac:dyDescent="0.25">
      <c r="A19620" t="s">
        <v>16</v>
      </c>
      <c r="B19620" t="s">
        <v>3221</v>
      </c>
      <c r="C19620">
        <v>10067</v>
      </c>
      <c r="D19620" t="s">
        <v>1124</v>
      </c>
      <c r="E19620" t="s">
        <v>1125</v>
      </c>
      <c r="F19620">
        <v>161.94999999999999</v>
      </c>
      <c r="G19620">
        <v>230802</v>
      </c>
      <c r="H19620">
        <v>4571</v>
      </c>
      <c r="I19620" t="s">
        <v>181</v>
      </c>
      <c r="J19620">
        <v>200.82</v>
      </c>
      <c r="K19620">
        <v>38.869999999999997</v>
      </c>
      <c r="L19620">
        <v>11401</v>
      </c>
      <c r="M19620" t="s">
        <v>84</v>
      </c>
      <c r="N19620" t="str">
        <f>"6002618467  "</f>
        <v xml:space="preserve">6002618467  </v>
      </c>
      <c r="O19620">
        <v>230808</v>
      </c>
    </row>
    <row r="19621" spans="1:15" x14ac:dyDescent="0.25">
      <c r="A19621" t="s">
        <v>16</v>
      </c>
      <c r="B19621" t="s">
        <v>3221</v>
      </c>
      <c r="C19621">
        <v>10067</v>
      </c>
      <c r="D19621" t="s">
        <v>1124</v>
      </c>
      <c r="E19621" t="s">
        <v>1125</v>
      </c>
      <c r="F19621">
        <v>323.91000000000003</v>
      </c>
      <c r="G19621">
        <v>230802</v>
      </c>
      <c r="H19621">
        <v>4571</v>
      </c>
      <c r="I19621" t="s">
        <v>181</v>
      </c>
      <c r="J19621">
        <v>401.65</v>
      </c>
      <c r="K19621">
        <v>77.739999999999995</v>
      </c>
      <c r="L19621">
        <v>14952</v>
      </c>
      <c r="M19621" t="s">
        <v>99</v>
      </c>
      <c r="N19621" t="str">
        <f>"6002618467  "</f>
        <v xml:space="preserve">6002618467  </v>
      </c>
      <c r="O19621">
        <v>230808</v>
      </c>
    </row>
    <row r="19622" spans="1:15" x14ac:dyDescent="0.25">
      <c r="A19622" t="s">
        <v>16</v>
      </c>
      <c r="B19622" t="s">
        <v>3221</v>
      </c>
      <c r="C19622">
        <v>11620</v>
      </c>
      <c r="D19622" t="s">
        <v>1124</v>
      </c>
      <c r="E19622" t="s">
        <v>1125</v>
      </c>
      <c r="F19622">
        <v>165.14</v>
      </c>
      <c r="G19622">
        <v>230904</v>
      </c>
      <c r="H19622">
        <v>4571</v>
      </c>
      <c r="I19622" t="s">
        <v>181</v>
      </c>
      <c r="J19622">
        <v>204.77</v>
      </c>
      <c r="K19622">
        <v>39.630000000000003</v>
      </c>
      <c r="L19622">
        <v>11401</v>
      </c>
      <c r="M19622" t="s">
        <v>84</v>
      </c>
      <c r="N19622" t="str">
        <f>"6002657638  "</f>
        <v xml:space="preserve">6002657638  </v>
      </c>
      <c r="O19622">
        <v>230907</v>
      </c>
    </row>
    <row r="19623" spans="1:15" x14ac:dyDescent="0.25">
      <c r="A19623" t="s">
        <v>16</v>
      </c>
      <c r="B19623" t="s">
        <v>3221</v>
      </c>
      <c r="C19623">
        <v>11620</v>
      </c>
      <c r="D19623" t="s">
        <v>1124</v>
      </c>
      <c r="E19623" t="s">
        <v>1125</v>
      </c>
      <c r="F19623">
        <v>330.29</v>
      </c>
      <c r="G19623">
        <v>230904</v>
      </c>
      <c r="H19623">
        <v>4571</v>
      </c>
      <c r="I19623" t="s">
        <v>181</v>
      </c>
      <c r="J19623">
        <v>409.56</v>
      </c>
      <c r="K19623">
        <v>79.27</v>
      </c>
      <c r="L19623">
        <v>14952</v>
      </c>
      <c r="M19623" t="s">
        <v>99</v>
      </c>
      <c r="N19623" t="str">
        <f>"6002657638  "</f>
        <v xml:space="preserve">6002657638  </v>
      </c>
      <c r="O19623">
        <v>230907</v>
      </c>
    </row>
    <row r="19624" spans="1:15" x14ac:dyDescent="0.25">
      <c r="A19624" t="s">
        <v>16</v>
      </c>
      <c r="B19624" t="s">
        <v>3221</v>
      </c>
      <c r="C19624">
        <v>13786</v>
      </c>
      <c r="D19624" t="s">
        <v>1124</v>
      </c>
      <c r="E19624" t="s">
        <v>1125</v>
      </c>
      <c r="F19624">
        <v>214.83</v>
      </c>
      <c r="G19624">
        <v>231002</v>
      </c>
      <c r="H19624">
        <v>4571</v>
      </c>
      <c r="I19624" t="s">
        <v>181</v>
      </c>
      <c r="J19624">
        <v>266.39</v>
      </c>
      <c r="K19624">
        <v>51.56</v>
      </c>
      <c r="L19624">
        <v>11401</v>
      </c>
      <c r="M19624" t="s">
        <v>84</v>
      </c>
      <c r="N19624" t="str">
        <f>"6002704366  "</f>
        <v xml:space="preserve">6002704366  </v>
      </c>
      <c r="O19624">
        <v>231013</v>
      </c>
    </row>
    <row r="19625" spans="1:15" x14ac:dyDescent="0.25">
      <c r="A19625" t="s">
        <v>16</v>
      </c>
      <c r="B19625" t="s">
        <v>3221</v>
      </c>
      <c r="C19625">
        <v>13786</v>
      </c>
      <c r="D19625" t="s">
        <v>1124</v>
      </c>
      <c r="E19625" t="s">
        <v>1125</v>
      </c>
      <c r="F19625">
        <v>429.66</v>
      </c>
      <c r="G19625">
        <v>231002</v>
      </c>
      <c r="H19625">
        <v>4571</v>
      </c>
      <c r="I19625" t="s">
        <v>181</v>
      </c>
      <c r="J19625">
        <v>532.78</v>
      </c>
      <c r="K19625">
        <v>103.12</v>
      </c>
      <c r="L19625">
        <v>14952</v>
      </c>
      <c r="M19625" t="s">
        <v>99</v>
      </c>
      <c r="N19625" t="str">
        <f>"6002704366  "</f>
        <v xml:space="preserve">6002704366  </v>
      </c>
      <c r="O19625">
        <v>231013</v>
      </c>
    </row>
    <row r="19626" spans="1:15" x14ac:dyDescent="0.25">
      <c r="A19626" t="s">
        <v>16</v>
      </c>
      <c r="B19626" t="s">
        <v>3221</v>
      </c>
      <c r="C19626">
        <v>15345</v>
      </c>
      <c r="D19626" t="s">
        <v>1124</v>
      </c>
      <c r="E19626" t="s">
        <v>1125</v>
      </c>
      <c r="F19626">
        <v>1745.07</v>
      </c>
      <c r="G19626">
        <v>231101</v>
      </c>
      <c r="H19626">
        <v>4571</v>
      </c>
      <c r="I19626" t="s">
        <v>181</v>
      </c>
      <c r="J19626">
        <v>2163.89</v>
      </c>
      <c r="K19626">
        <v>418.82</v>
      </c>
      <c r="L19626">
        <v>14952</v>
      </c>
      <c r="M19626" t="s">
        <v>99</v>
      </c>
      <c r="N19626" t="str">
        <f>"6002804691  "</f>
        <v xml:space="preserve">6002804691  </v>
      </c>
      <c r="O19626">
        <v>231113</v>
      </c>
    </row>
    <row r="19627" spans="1:15" x14ac:dyDescent="0.25">
      <c r="A19627" t="s">
        <v>16</v>
      </c>
      <c r="B19627" t="s">
        <v>3221</v>
      </c>
      <c r="C19627">
        <v>15345</v>
      </c>
      <c r="D19627" t="s">
        <v>1124</v>
      </c>
      <c r="E19627" t="s">
        <v>1125</v>
      </c>
      <c r="F19627">
        <v>4071.85</v>
      </c>
      <c r="G19627">
        <v>231101</v>
      </c>
      <c r="H19627">
        <v>4571</v>
      </c>
      <c r="I19627" t="s">
        <v>181</v>
      </c>
      <c r="J19627">
        <v>5049.09</v>
      </c>
      <c r="K19627">
        <v>977.24</v>
      </c>
      <c r="L19627">
        <v>14981</v>
      </c>
      <c r="M19627" t="s">
        <v>1211</v>
      </c>
      <c r="N19627" t="str">
        <f>"6002804691  "</f>
        <v xml:space="preserve">6002804691  </v>
      </c>
      <c r="O19627">
        <v>231113</v>
      </c>
    </row>
    <row r="19628" spans="1:15" x14ac:dyDescent="0.25">
      <c r="A19628" t="s">
        <v>16</v>
      </c>
      <c r="B19628" t="s">
        <v>3221</v>
      </c>
      <c r="C19628">
        <v>15356</v>
      </c>
      <c r="D19628" t="s">
        <v>1124</v>
      </c>
      <c r="E19628" t="s">
        <v>1125</v>
      </c>
      <c r="F19628">
        <v>471.26</v>
      </c>
      <c r="G19628">
        <v>231101</v>
      </c>
      <c r="H19628">
        <v>4571</v>
      </c>
      <c r="I19628" t="s">
        <v>181</v>
      </c>
      <c r="J19628">
        <v>584.36</v>
      </c>
      <c r="K19628">
        <v>113.1</v>
      </c>
      <c r="L19628">
        <v>11401</v>
      </c>
      <c r="M19628" t="s">
        <v>84</v>
      </c>
      <c r="N19628" t="str">
        <f>"6002804068  "</f>
        <v xml:space="preserve">6002804068  </v>
      </c>
      <c r="O19628">
        <v>231113</v>
      </c>
    </row>
    <row r="19629" spans="1:15" x14ac:dyDescent="0.25">
      <c r="A19629" t="s">
        <v>16</v>
      </c>
      <c r="B19629" t="s">
        <v>3221</v>
      </c>
      <c r="C19629">
        <v>15356</v>
      </c>
      <c r="D19629" t="s">
        <v>1124</v>
      </c>
      <c r="E19629" t="s">
        <v>1125</v>
      </c>
      <c r="F19629">
        <v>942.52</v>
      </c>
      <c r="G19629">
        <v>231101</v>
      </c>
      <c r="H19629">
        <v>4571</v>
      </c>
      <c r="I19629" t="s">
        <v>181</v>
      </c>
      <c r="J19629">
        <v>1168.73</v>
      </c>
      <c r="K19629">
        <v>226.21</v>
      </c>
      <c r="L19629">
        <v>14952</v>
      </c>
      <c r="M19629" t="s">
        <v>99</v>
      </c>
      <c r="N19629" t="str">
        <f>"6002804068  "</f>
        <v xml:space="preserve">6002804068  </v>
      </c>
      <c r="O19629">
        <v>231113</v>
      </c>
    </row>
    <row r="19630" spans="1:15" x14ac:dyDescent="0.25">
      <c r="A19630" t="s">
        <v>16</v>
      </c>
      <c r="B19630" t="s">
        <v>3221</v>
      </c>
      <c r="C19630">
        <v>17189</v>
      </c>
      <c r="D19630" t="s">
        <v>1124</v>
      </c>
      <c r="E19630" t="s">
        <v>1125</v>
      </c>
      <c r="F19630">
        <v>635.41999999999996</v>
      </c>
      <c r="G19630">
        <v>231201</v>
      </c>
      <c r="H19630">
        <v>4571</v>
      </c>
      <c r="I19630" t="s">
        <v>181</v>
      </c>
      <c r="J19630">
        <v>787.92</v>
      </c>
      <c r="K19630">
        <v>152.5</v>
      </c>
      <c r="L19630">
        <v>11401</v>
      </c>
      <c r="M19630" t="s">
        <v>84</v>
      </c>
      <c r="N19630" t="str">
        <f>"6002857468  "</f>
        <v xml:space="preserve">6002857468  </v>
      </c>
      <c r="O19630">
        <v>231212</v>
      </c>
    </row>
    <row r="19631" spans="1:15" x14ac:dyDescent="0.25">
      <c r="A19631" t="s">
        <v>16</v>
      </c>
      <c r="B19631" t="s">
        <v>3221</v>
      </c>
      <c r="C19631">
        <v>17189</v>
      </c>
      <c r="D19631" t="s">
        <v>1124</v>
      </c>
      <c r="E19631" t="s">
        <v>1125</v>
      </c>
      <c r="F19631">
        <v>1270.8499999999999</v>
      </c>
      <c r="G19631">
        <v>231201</v>
      </c>
      <c r="H19631">
        <v>4571</v>
      </c>
      <c r="I19631" t="s">
        <v>181</v>
      </c>
      <c r="J19631">
        <v>1575.85</v>
      </c>
      <c r="K19631">
        <v>305</v>
      </c>
      <c r="L19631">
        <v>14952</v>
      </c>
      <c r="M19631" t="s">
        <v>99</v>
      </c>
      <c r="N19631" t="str">
        <f>"6002857468  "</f>
        <v xml:space="preserve">6002857468  </v>
      </c>
      <c r="O19631">
        <v>231212</v>
      </c>
    </row>
    <row r="19632" spans="1:15" x14ac:dyDescent="0.25">
      <c r="A19632" t="s">
        <v>16</v>
      </c>
      <c r="B19632" t="s">
        <v>3221</v>
      </c>
      <c r="C19632">
        <v>17191</v>
      </c>
      <c r="D19632" t="s">
        <v>1124</v>
      </c>
      <c r="E19632" t="s">
        <v>1125</v>
      </c>
      <c r="F19632">
        <v>2563.86</v>
      </c>
      <c r="G19632">
        <v>231201</v>
      </c>
      <c r="H19632">
        <v>4571</v>
      </c>
      <c r="I19632" t="s">
        <v>181</v>
      </c>
      <c r="J19632">
        <v>3179.19</v>
      </c>
      <c r="K19632">
        <v>615.33000000000004</v>
      </c>
      <c r="L19632">
        <v>14952</v>
      </c>
      <c r="M19632" t="s">
        <v>99</v>
      </c>
      <c r="N19632" t="str">
        <f>"6002861607  "</f>
        <v xml:space="preserve">6002861607  </v>
      </c>
      <c r="O19632">
        <v>231212</v>
      </c>
    </row>
    <row r="19633" spans="1:15" x14ac:dyDescent="0.25">
      <c r="A19633" t="s">
        <v>16</v>
      </c>
      <c r="B19633" t="s">
        <v>3221</v>
      </c>
      <c r="C19633">
        <v>17191</v>
      </c>
      <c r="D19633" t="s">
        <v>1124</v>
      </c>
      <c r="E19633" t="s">
        <v>1125</v>
      </c>
      <c r="F19633">
        <v>5982.35</v>
      </c>
      <c r="G19633">
        <v>231201</v>
      </c>
      <c r="H19633">
        <v>4571</v>
      </c>
      <c r="I19633" t="s">
        <v>181</v>
      </c>
      <c r="J19633">
        <v>7418.11</v>
      </c>
      <c r="K19633">
        <v>1435.76</v>
      </c>
      <c r="L19633">
        <v>14981</v>
      </c>
      <c r="M19633" t="s">
        <v>1211</v>
      </c>
      <c r="N19633" t="str">
        <f>"6002861607  "</f>
        <v xml:space="preserve">6002861607  </v>
      </c>
      <c r="O19633">
        <v>231212</v>
      </c>
    </row>
    <row r="19634" spans="1:15" x14ac:dyDescent="0.25">
      <c r="A19634" t="s">
        <v>16</v>
      </c>
      <c r="B19634" t="s">
        <v>3221</v>
      </c>
      <c r="C19634">
        <v>18607</v>
      </c>
      <c r="D19634" t="s">
        <v>1124</v>
      </c>
      <c r="E19634" t="s">
        <v>1125</v>
      </c>
      <c r="F19634">
        <v>808.98</v>
      </c>
      <c r="G19634">
        <v>240102</v>
      </c>
      <c r="H19634">
        <v>4571</v>
      </c>
      <c r="I19634" t="s">
        <v>181</v>
      </c>
      <c r="J19634">
        <v>1003.13</v>
      </c>
      <c r="K19634">
        <v>194.15</v>
      </c>
      <c r="L19634">
        <v>11401</v>
      </c>
      <c r="M19634" t="s">
        <v>84</v>
      </c>
      <c r="N19634" t="str">
        <f>"6002917588  "</f>
        <v xml:space="preserve">6002917588  </v>
      </c>
      <c r="O19634">
        <v>240104</v>
      </c>
    </row>
    <row r="19635" spans="1:15" x14ac:dyDescent="0.25">
      <c r="A19635" t="s">
        <v>16</v>
      </c>
      <c r="B19635" t="s">
        <v>3221</v>
      </c>
      <c r="C19635">
        <v>18607</v>
      </c>
      <c r="D19635" t="s">
        <v>1124</v>
      </c>
      <c r="E19635" t="s">
        <v>1125</v>
      </c>
      <c r="F19635">
        <v>1617.95</v>
      </c>
      <c r="G19635">
        <v>240102</v>
      </c>
      <c r="H19635">
        <v>4571</v>
      </c>
      <c r="I19635" t="s">
        <v>181</v>
      </c>
      <c r="J19635">
        <v>2006.26</v>
      </c>
      <c r="K19635">
        <v>388.31</v>
      </c>
      <c r="L19635">
        <v>14952</v>
      </c>
      <c r="M19635" t="s">
        <v>99</v>
      </c>
      <c r="N19635" t="str">
        <f>"6002917588  "</f>
        <v xml:space="preserve">6002917588  </v>
      </c>
      <c r="O19635">
        <v>240104</v>
      </c>
    </row>
    <row r="19636" spans="1:15" x14ac:dyDescent="0.25">
      <c r="A19636" t="s">
        <v>16</v>
      </c>
      <c r="B19636" t="s">
        <v>3221</v>
      </c>
      <c r="C19636">
        <v>18611</v>
      </c>
      <c r="D19636" t="s">
        <v>1124</v>
      </c>
      <c r="E19636" t="s">
        <v>1125</v>
      </c>
      <c r="F19636">
        <v>3275.67</v>
      </c>
      <c r="G19636">
        <v>240102</v>
      </c>
      <c r="H19636">
        <v>4571</v>
      </c>
      <c r="I19636" t="s">
        <v>181</v>
      </c>
      <c r="J19636">
        <v>4061.83</v>
      </c>
      <c r="K19636">
        <v>786.16</v>
      </c>
      <c r="L19636">
        <v>14952</v>
      </c>
      <c r="M19636" t="s">
        <v>99</v>
      </c>
      <c r="N19636" t="str">
        <f>"6002917105  "</f>
        <v xml:space="preserve">6002917105  </v>
      </c>
      <c r="O19636">
        <v>240104</v>
      </c>
    </row>
    <row r="19637" spans="1:15" x14ac:dyDescent="0.25">
      <c r="A19637" t="s">
        <v>16</v>
      </c>
      <c r="B19637" t="s">
        <v>3221</v>
      </c>
      <c r="C19637">
        <v>18611</v>
      </c>
      <c r="D19637" t="s">
        <v>1124</v>
      </c>
      <c r="E19637" t="s">
        <v>1125</v>
      </c>
      <c r="F19637">
        <v>7643.22</v>
      </c>
      <c r="G19637">
        <v>240102</v>
      </c>
      <c r="H19637">
        <v>4571</v>
      </c>
      <c r="I19637" t="s">
        <v>181</v>
      </c>
      <c r="J19637">
        <v>9477.59</v>
      </c>
      <c r="K19637">
        <v>1834.37</v>
      </c>
      <c r="L19637">
        <v>14981</v>
      </c>
      <c r="M19637" t="s">
        <v>1211</v>
      </c>
      <c r="N19637" t="str">
        <f>"6002917105  "</f>
        <v xml:space="preserve">6002917105  </v>
      </c>
      <c r="O19637">
        <v>240104</v>
      </c>
    </row>
    <row r="19638" spans="1:15" x14ac:dyDescent="0.25">
      <c r="A19638" t="s">
        <v>16</v>
      </c>
      <c r="B19638" t="s">
        <v>3221</v>
      </c>
      <c r="C19638">
        <v>2626</v>
      </c>
      <c r="D19638" t="s">
        <v>1124</v>
      </c>
      <c r="E19638" t="s">
        <v>1125</v>
      </c>
      <c r="F19638">
        <v>1333.33</v>
      </c>
      <c r="G19638">
        <v>230301</v>
      </c>
      <c r="H19638">
        <v>4572</v>
      </c>
      <c r="I19638" t="s">
        <v>122</v>
      </c>
      <c r="J19638">
        <v>1653.33</v>
      </c>
      <c r="K19638">
        <v>320</v>
      </c>
      <c r="L19638">
        <v>14952</v>
      </c>
      <c r="M19638" t="s">
        <v>99</v>
      </c>
      <c r="N19638" t="str">
        <f>"6002244482  "</f>
        <v xml:space="preserve">6002244482  </v>
      </c>
      <c r="O19638">
        <v>230303</v>
      </c>
    </row>
    <row r="19639" spans="1:15" x14ac:dyDescent="0.25">
      <c r="A19639" t="s">
        <v>16</v>
      </c>
      <c r="B19639" t="s">
        <v>3221</v>
      </c>
      <c r="C19639">
        <v>4732</v>
      </c>
      <c r="D19639" t="s">
        <v>1124</v>
      </c>
      <c r="E19639" t="s">
        <v>1125</v>
      </c>
      <c r="F19639">
        <v>1564.87</v>
      </c>
      <c r="G19639">
        <v>230404</v>
      </c>
      <c r="H19639">
        <v>4572</v>
      </c>
      <c r="I19639" t="s">
        <v>122</v>
      </c>
      <c r="J19639">
        <v>1940.44</v>
      </c>
      <c r="K19639">
        <v>375.57</v>
      </c>
      <c r="L19639">
        <v>14952</v>
      </c>
      <c r="M19639" t="s">
        <v>99</v>
      </c>
      <c r="N19639" t="str">
        <f>"6002296913  "</f>
        <v xml:space="preserve">6002296913  </v>
      </c>
      <c r="O19639">
        <v>230412</v>
      </c>
    </row>
    <row r="19640" spans="1:15" x14ac:dyDescent="0.25">
      <c r="A19640" t="s">
        <v>16</v>
      </c>
      <c r="B19640" t="s">
        <v>3221</v>
      </c>
      <c r="C19640">
        <v>8545</v>
      </c>
      <c r="D19640" t="s">
        <v>1124</v>
      </c>
      <c r="E19640" t="s">
        <v>1125</v>
      </c>
      <c r="F19640">
        <v>530.41</v>
      </c>
      <c r="G19640">
        <v>230601</v>
      </c>
      <c r="H19640">
        <v>4572</v>
      </c>
      <c r="I19640" t="s">
        <v>122</v>
      </c>
      <c r="J19640">
        <v>657.71</v>
      </c>
      <c r="K19640">
        <v>127.3</v>
      </c>
      <c r="L19640">
        <v>14952</v>
      </c>
      <c r="M19640" t="s">
        <v>99</v>
      </c>
      <c r="N19640" t="str">
        <f>"6002449777  "</f>
        <v xml:space="preserve">6002449777  </v>
      </c>
      <c r="O19640">
        <v>230612</v>
      </c>
    </row>
    <row r="19641" spans="1:15" x14ac:dyDescent="0.25">
      <c r="A19641" t="s">
        <v>16</v>
      </c>
      <c r="B19641" t="s">
        <v>3221</v>
      </c>
      <c r="C19641">
        <v>7188</v>
      </c>
      <c r="D19641" t="s">
        <v>2075</v>
      </c>
      <c r="E19641" t="s">
        <v>2076</v>
      </c>
      <c r="F19641">
        <v>368.42</v>
      </c>
      <c r="G19641">
        <v>230516</v>
      </c>
      <c r="H19641">
        <v>4410</v>
      </c>
      <c r="I19641" t="s">
        <v>517</v>
      </c>
      <c r="J19641">
        <v>420</v>
      </c>
      <c r="K19641">
        <v>51.58</v>
      </c>
      <c r="L19641">
        <v>18971</v>
      </c>
      <c r="M19641" t="s">
        <v>63</v>
      </c>
      <c r="N19641" t="str">
        <f>"253639      "</f>
        <v xml:space="preserve">253639      </v>
      </c>
      <c r="O19641">
        <v>230526</v>
      </c>
    </row>
    <row r="19642" spans="1:15" x14ac:dyDescent="0.25">
      <c r="A19642" t="s">
        <v>16</v>
      </c>
      <c r="B19642" t="s">
        <v>3221</v>
      </c>
      <c r="C19642">
        <v>17465</v>
      </c>
      <c r="D19642" t="s">
        <v>3329</v>
      </c>
      <c r="E19642" t="s">
        <v>3330</v>
      </c>
      <c r="F19642">
        <v>906.35</v>
      </c>
      <c r="G19642">
        <v>231208</v>
      </c>
      <c r="H19642">
        <v>4580</v>
      </c>
      <c r="I19642" t="s">
        <v>35</v>
      </c>
      <c r="J19642">
        <v>906.35</v>
      </c>
      <c r="K19642">
        <v>0</v>
      </c>
      <c r="L19642">
        <v>14951</v>
      </c>
      <c r="M19642" t="s">
        <v>57</v>
      </c>
      <c r="N19642" t="str">
        <f>"5           "</f>
        <v xml:space="preserve">5           </v>
      </c>
      <c r="O19642">
        <v>231214</v>
      </c>
    </row>
    <row r="19643" spans="1:15" x14ac:dyDescent="0.25">
      <c r="A19643" t="s">
        <v>16</v>
      </c>
      <c r="B19643" t="s">
        <v>3221</v>
      </c>
      <c r="C19643">
        <v>213</v>
      </c>
      <c r="D19643" t="s">
        <v>3329</v>
      </c>
      <c r="E19643" t="s">
        <v>3330</v>
      </c>
      <c r="F19643">
        <v>28301.26</v>
      </c>
      <c r="G19643">
        <v>230113</v>
      </c>
      <c r="H19643">
        <v>4820</v>
      </c>
      <c r="I19643" t="s">
        <v>50</v>
      </c>
      <c r="J19643">
        <v>28301.26</v>
      </c>
      <c r="K19643">
        <v>0</v>
      </c>
      <c r="L19643">
        <v>14951</v>
      </c>
      <c r="M19643" t="s">
        <v>57</v>
      </c>
      <c r="N19643" t="str">
        <f>"130123      "</f>
        <v xml:space="preserve">130123      </v>
      </c>
      <c r="O19643">
        <v>230116</v>
      </c>
    </row>
    <row r="19644" spans="1:15" x14ac:dyDescent="0.25">
      <c r="A19644" t="s">
        <v>16</v>
      </c>
      <c r="B19644" t="s">
        <v>3221</v>
      </c>
      <c r="C19644">
        <v>1438</v>
      </c>
      <c r="D19644" t="s">
        <v>3329</v>
      </c>
      <c r="E19644" t="s">
        <v>3330</v>
      </c>
      <c r="F19644">
        <v>28301.26</v>
      </c>
      <c r="G19644">
        <v>230207</v>
      </c>
      <c r="H19644">
        <v>4820</v>
      </c>
      <c r="I19644" t="s">
        <v>50</v>
      </c>
      <c r="J19644">
        <v>28301.26</v>
      </c>
      <c r="K19644">
        <v>0</v>
      </c>
      <c r="L19644">
        <v>14951</v>
      </c>
      <c r="M19644" t="s">
        <v>57</v>
      </c>
      <c r="N19644" t="str">
        <f>"070223      "</f>
        <v xml:space="preserve">070223      </v>
      </c>
      <c r="O19644">
        <v>230208</v>
      </c>
    </row>
    <row r="19645" spans="1:15" x14ac:dyDescent="0.25">
      <c r="A19645" t="s">
        <v>16</v>
      </c>
      <c r="B19645" t="s">
        <v>3221</v>
      </c>
      <c r="C19645">
        <v>2789</v>
      </c>
      <c r="D19645" t="s">
        <v>3329</v>
      </c>
      <c r="E19645" t="s">
        <v>3330</v>
      </c>
      <c r="F19645">
        <v>28301.26</v>
      </c>
      <c r="G19645">
        <v>230303</v>
      </c>
      <c r="H19645">
        <v>4820</v>
      </c>
      <c r="I19645" t="s">
        <v>50</v>
      </c>
      <c r="J19645">
        <v>28301.26</v>
      </c>
      <c r="K19645">
        <v>0</v>
      </c>
      <c r="L19645">
        <v>14951</v>
      </c>
      <c r="M19645" t="s">
        <v>57</v>
      </c>
      <c r="N19645" t="str">
        <f>"030323      "</f>
        <v xml:space="preserve">030323      </v>
      </c>
      <c r="O19645">
        <v>230307</v>
      </c>
    </row>
    <row r="19646" spans="1:15" x14ac:dyDescent="0.25">
      <c r="A19646" t="s">
        <v>16</v>
      </c>
      <c r="B19646" t="s">
        <v>3221</v>
      </c>
      <c r="C19646">
        <v>3579</v>
      </c>
      <c r="D19646" t="s">
        <v>3329</v>
      </c>
      <c r="E19646" t="s">
        <v>3330</v>
      </c>
      <c r="F19646">
        <v>28301.26</v>
      </c>
      <c r="G19646">
        <v>230316</v>
      </c>
      <c r="H19646">
        <v>4820</v>
      </c>
      <c r="I19646" t="s">
        <v>50</v>
      </c>
      <c r="J19646">
        <v>28301.26</v>
      </c>
      <c r="K19646">
        <v>0</v>
      </c>
      <c r="L19646">
        <v>14951</v>
      </c>
      <c r="M19646" t="s">
        <v>57</v>
      </c>
      <c r="N19646" t="str">
        <f>"160323      "</f>
        <v xml:space="preserve">160323      </v>
      </c>
      <c r="O19646">
        <v>230317</v>
      </c>
    </row>
    <row r="19647" spans="1:15" x14ac:dyDescent="0.25">
      <c r="A19647" t="s">
        <v>16</v>
      </c>
      <c r="B19647" t="s">
        <v>3221</v>
      </c>
      <c r="C19647">
        <v>3931</v>
      </c>
      <c r="D19647" t="s">
        <v>3329</v>
      </c>
      <c r="E19647" t="s">
        <v>3330</v>
      </c>
      <c r="F19647">
        <v>28301.26</v>
      </c>
      <c r="G19647">
        <v>230501</v>
      </c>
      <c r="H19647">
        <v>4820</v>
      </c>
      <c r="I19647" t="s">
        <v>50</v>
      </c>
      <c r="J19647">
        <v>28301.26</v>
      </c>
      <c r="K19647">
        <v>0</v>
      </c>
      <c r="L19647">
        <v>14951</v>
      </c>
      <c r="M19647" t="s">
        <v>57</v>
      </c>
      <c r="N19647" t="str">
        <f>"240323      "</f>
        <v xml:space="preserve">240323      </v>
      </c>
      <c r="O19647">
        <v>230327</v>
      </c>
    </row>
    <row r="19648" spans="1:15" x14ac:dyDescent="0.25">
      <c r="A19648" t="s">
        <v>16</v>
      </c>
      <c r="B19648" t="s">
        <v>3221</v>
      </c>
      <c r="C19648">
        <v>7174</v>
      </c>
      <c r="D19648" t="s">
        <v>3329</v>
      </c>
      <c r="E19648" t="s">
        <v>3330</v>
      </c>
      <c r="F19648">
        <v>28301.26</v>
      </c>
      <c r="G19648">
        <v>230601</v>
      </c>
      <c r="H19648">
        <v>4820</v>
      </c>
      <c r="I19648" t="s">
        <v>50</v>
      </c>
      <c r="J19648">
        <v>28301.26</v>
      </c>
      <c r="K19648">
        <v>0</v>
      </c>
      <c r="L19648">
        <v>14951</v>
      </c>
      <c r="M19648" t="s">
        <v>57</v>
      </c>
      <c r="N19648" t="str">
        <f>"230523      "</f>
        <v xml:space="preserve">230523      </v>
      </c>
      <c r="O19648">
        <v>230525</v>
      </c>
    </row>
    <row r="19649" spans="1:15" x14ac:dyDescent="0.25">
      <c r="A19649" t="s">
        <v>16</v>
      </c>
      <c r="B19649" t="s">
        <v>3221</v>
      </c>
      <c r="C19649">
        <v>8748</v>
      </c>
      <c r="D19649" t="s">
        <v>3329</v>
      </c>
      <c r="E19649" t="s">
        <v>3330</v>
      </c>
      <c r="F19649">
        <v>28301.26</v>
      </c>
      <c r="G19649">
        <v>230705</v>
      </c>
      <c r="H19649">
        <v>4820</v>
      </c>
      <c r="I19649" t="s">
        <v>50</v>
      </c>
      <c r="J19649">
        <v>28301.26</v>
      </c>
      <c r="K19649">
        <v>0</v>
      </c>
      <c r="L19649">
        <v>14951</v>
      </c>
      <c r="M19649" t="s">
        <v>57</v>
      </c>
      <c r="N19649" t="str">
        <f>"230523/2    "</f>
        <v xml:space="preserve">230523/2    </v>
      </c>
      <c r="O19649">
        <v>230613</v>
      </c>
    </row>
    <row r="19650" spans="1:15" x14ac:dyDescent="0.25">
      <c r="A19650" t="s">
        <v>16</v>
      </c>
      <c r="B19650" t="s">
        <v>3221</v>
      </c>
      <c r="C19650">
        <v>8749</v>
      </c>
      <c r="D19650" t="s">
        <v>3329</v>
      </c>
      <c r="E19650" t="s">
        <v>3330</v>
      </c>
      <c r="F19650">
        <v>28301.26</v>
      </c>
      <c r="G19650">
        <v>230801</v>
      </c>
      <c r="H19650">
        <v>4820</v>
      </c>
      <c r="I19650" t="s">
        <v>50</v>
      </c>
      <c r="J19650">
        <v>28301.26</v>
      </c>
      <c r="K19650">
        <v>0</v>
      </c>
      <c r="L19650">
        <v>14951</v>
      </c>
      <c r="M19650" t="s">
        <v>57</v>
      </c>
      <c r="N19650" t="str">
        <f>"230523/3    "</f>
        <v xml:space="preserve">230523/3    </v>
      </c>
      <c r="O19650">
        <v>230613</v>
      </c>
    </row>
    <row r="19651" spans="1:15" x14ac:dyDescent="0.25">
      <c r="A19651" t="s">
        <v>16</v>
      </c>
      <c r="B19651" t="s">
        <v>3221</v>
      </c>
      <c r="C19651">
        <v>10892</v>
      </c>
      <c r="D19651" t="s">
        <v>3329</v>
      </c>
      <c r="E19651" t="s">
        <v>3330</v>
      </c>
      <c r="F19651">
        <v>28301.26</v>
      </c>
      <c r="G19651">
        <v>230901</v>
      </c>
      <c r="H19651">
        <v>4820</v>
      </c>
      <c r="I19651" t="s">
        <v>50</v>
      </c>
      <c r="J19651">
        <v>28301.26</v>
      </c>
      <c r="K19651">
        <v>0</v>
      </c>
      <c r="L19651">
        <v>14951</v>
      </c>
      <c r="M19651" t="s">
        <v>57</v>
      </c>
      <c r="N19651" t="str">
        <f>"010923      "</f>
        <v xml:space="preserve">010923      </v>
      </c>
      <c r="O19651">
        <v>230824</v>
      </c>
    </row>
    <row r="19652" spans="1:15" x14ac:dyDescent="0.25">
      <c r="A19652" t="s">
        <v>16</v>
      </c>
      <c r="B19652" t="s">
        <v>3221</v>
      </c>
      <c r="C19652">
        <v>13041</v>
      </c>
      <c r="D19652" t="s">
        <v>3329</v>
      </c>
      <c r="E19652" t="s">
        <v>3330</v>
      </c>
      <c r="F19652">
        <v>28301.26</v>
      </c>
      <c r="G19652">
        <v>231001</v>
      </c>
      <c r="H19652">
        <v>4820</v>
      </c>
      <c r="I19652" t="s">
        <v>50</v>
      </c>
      <c r="J19652">
        <v>28301.26</v>
      </c>
      <c r="K19652">
        <v>0</v>
      </c>
      <c r="L19652">
        <v>14951</v>
      </c>
      <c r="M19652" t="s">
        <v>57</v>
      </c>
      <c r="N19652" t="str">
        <f>"011023      "</f>
        <v xml:space="preserve">011023      </v>
      </c>
      <c r="O19652">
        <v>231002</v>
      </c>
    </row>
    <row r="19653" spans="1:15" x14ac:dyDescent="0.25">
      <c r="A19653" t="s">
        <v>16</v>
      </c>
      <c r="B19653" t="s">
        <v>3221</v>
      </c>
      <c r="C19653">
        <v>14682</v>
      </c>
      <c r="D19653" t="s">
        <v>3329</v>
      </c>
      <c r="E19653" t="s">
        <v>3330</v>
      </c>
      <c r="F19653">
        <v>28301.26</v>
      </c>
      <c r="G19653">
        <v>231101</v>
      </c>
      <c r="H19653">
        <v>4820</v>
      </c>
      <c r="I19653" t="s">
        <v>50</v>
      </c>
      <c r="J19653">
        <v>28301.26</v>
      </c>
      <c r="K19653">
        <v>0</v>
      </c>
      <c r="L19653">
        <v>14951</v>
      </c>
      <c r="M19653" t="s">
        <v>57</v>
      </c>
      <c r="N19653" t="str">
        <f>"011123      "</f>
        <v xml:space="preserve">011123      </v>
      </c>
      <c r="O19653">
        <v>231031</v>
      </c>
    </row>
    <row r="19654" spans="1:15" x14ac:dyDescent="0.25">
      <c r="A19654" t="s">
        <v>16</v>
      </c>
      <c r="B19654" t="s">
        <v>3221</v>
      </c>
      <c r="C19654">
        <v>17187</v>
      </c>
      <c r="D19654" t="s">
        <v>3329</v>
      </c>
      <c r="E19654" t="s">
        <v>3330</v>
      </c>
      <c r="F19654">
        <v>28301.26</v>
      </c>
      <c r="G19654">
        <v>231201</v>
      </c>
      <c r="H19654">
        <v>4820</v>
      </c>
      <c r="I19654" t="s">
        <v>50</v>
      </c>
      <c r="J19654">
        <v>28301.26</v>
      </c>
      <c r="K19654">
        <v>0</v>
      </c>
      <c r="L19654">
        <v>14951</v>
      </c>
      <c r="M19654" t="s">
        <v>57</v>
      </c>
      <c r="N19654" t="str">
        <f>"01122023    "</f>
        <v xml:space="preserve">01122023    </v>
      </c>
      <c r="O19654">
        <v>231212</v>
      </c>
    </row>
    <row r="19655" spans="1:15" x14ac:dyDescent="0.25">
      <c r="A19655" t="s">
        <v>16</v>
      </c>
      <c r="B19655" t="s">
        <v>3221</v>
      </c>
      <c r="C19655">
        <v>14943</v>
      </c>
      <c r="D19655" t="s">
        <v>2818</v>
      </c>
      <c r="E19655" t="s">
        <v>2819</v>
      </c>
      <c r="F19655">
        <v>136.36000000000001</v>
      </c>
      <c r="G19655">
        <v>231101</v>
      </c>
      <c r="H19655">
        <v>4860</v>
      </c>
      <c r="I19655" t="s">
        <v>28</v>
      </c>
      <c r="J19655">
        <v>150</v>
      </c>
      <c r="K19655">
        <v>13.64</v>
      </c>
      <c r="L19655">
        <v>14622</v>
      </c>
      <c r="M19655" t="s">
        <v>1005</v>
      </c>
      <c r="N19655" t="str">
        <f>"1359        "</f>
        <v xml:space="preserve">1359        </v>
      </c>
      <c r="O19655">
        <v>231107</v>
      </c>
    </row>
    <row r="19656" spans="1:15" x14ac:dyDescent="0.25">
      <c r="A19656" t="s">
        <v>16</v>
      </c>
      <c r="B19656" t="s">
        <v>3221</v>
      </c>
      <c r="C19656">
        <v>5473</v>
      </c>
      <c r="D19656" t="s">
        <v>3710</v>
      </c>
      <c r="E19656" t="s">
        <v>1851</v>
      </c>
      <c r="F19656">
        <v>332</v>
      </c>
      <c r="G19656">
        <v>230417</v>
      </c>
      <c r="H19656">
        <v>4580</v>
      </c>
      <c r="I19656" t="s">
        <v>35</v>
      </c>
      <c r="J19656">
        <v>411.68</v>
      </c>
      <c r="K19656">
        <v>79.680000000000007</v>
      </c>
      <c r="L19656">
        <v>17523</v>
      </c>
      <c r="M19656" t="s">
        <v>134</v>
      </c>
      <c r="N19656" t="str">
        <f>"11710       "</f>
        <v xml:space="preserve">11710       </v>
      </c>
      <c r="O19656">
        <v>230425</v>
      </c>
    </row>
    <row r="19657" spans="1:15" x14ac:dyDescent="0.25">
      <c r="A19657" t="s">
        <v>16</v>
      </c>
      <c r="B19657" t="s">
        <v>3221</v>
      </c>
      <c r="C19657">
        <v>13130</v>
      </c>
      <c r="D19657" t="s">
        <v>3710</v>
      </c>
      <c r="E19657" t="s">
        <v>1851</v>
      </c>
      <c r="F19657">
        <v>452</v>
      </c>
      <c r="G19657">
        <v>230927</v>
      </c>
      <c r="H19657">
        <v>4580</v>
      </c>
      <c r="I19657" t="s">
        <v>35</v>
      </c>
      <c r="J19657">
        <v>560.48</v>
      </c>
      <c r="K19657">
        <v>108.48</v>
      </c>
      <c r="L19657">
        <v>17524</v>
      </c>
      <c r="M19657" t="s">
        <v>452</v>
      </c>
      <c r="N19657" t="str">
        <f>"12082       "</f>
        <v xml:space="preserve">12082       </v>
      </c>
      <c r="O19657">
        <v>231004</v>
      </c>
    </row>
    <row r="19658" spans="1:15" x14ac:dyDescent="0.25">
      <c r="A19658" t="s">
        <v>16</v>
      </c>
      <c r="B19658" t="s">
        <v>3221</v>
      </c>
      <c r="C19658">
        <v>14177</v>
      </c>
      <c r="D19658" t="s">
        <v>3710</v>
      </c>
      <c r="E19658" t="s">
        <v>1851</v>
      </c>
      <c r="F19658">
        <v>215</v>
      </c>
      <c r="G19658">
        <v>231004</v>
      </c>
      <c r="H19658">
        <v>4580</v>
      </c>
      <c r="I19658" t="s">
        <v>35</v>
      </c>
      <c r="J19658">
        <v>266.60000000000002</v>
      </c>
      <c r="K19658">
        <v>51.6</v>
      </c>
      <c r="L19658">
        <v>17524</v>
      </c>
      <c r="M19658" t="s">
        <v>452</v>
      </c>
      <c r="N19658" t="str">
        <f>"12069       "</f>
        <v xml:space="preserve">12069       </v>
      </c>
      <c r="O19658">
        <v>231023</v>
      </c>
    </row>
    <row r="19659" spans="1:15" x14ac:dyDescent="0.25">
      <c r="A19659" t="s">
        <v>16</v>
      </c>
      <c r="B19659" t="s">
        <v>3221</v>
      </c>
      <c r="C19659">
        <v>15725</v>
      </c>
      <c r="D19659" t="s">
        <v>3710</v>
      </c>
      <c r="E19659" t="s">
        <v>1851</v>
      </c>
      <c r="F19659">
        <v>83.7</v>
      </c>
      <c r="G19659">
        <v>231114</v>
      </c>
      <c r="H19659">
        <v>4580</v>
      </c>
      <c r="I19659" t="s">
        <v>35</v>
      </c>
      <c r="J19659">
        <v>103.79</v>
      </c>
      <c r="K19659">
        <v>20.09</v>
      </c>
      <c r="L19659">
        <v>17523</v>
      </c>
      <c r="M19659" t="s">
        <v>134</v>
      </c>
      <c r="N19659" t="str">
        <f>"12210       "</f>
        <v xml:space="preserve">12210       </v>
      </c>
      <c r="O19659">
        <v>231116</v>
      </c>
    </row>
    <row r="19660" spans="1:15" x14ac:dyDescent="0.25">
      <c r="A19660" t="s">
        <v>16</v>
      </c>
      <c r="B19660" t="s">
        <v>3221</v>
      </c>
      <c r="C19660">
        <v>16511</v>
      </c>
      <c r="D19660" t="s">
        <v>3710</v>
      </c>
      <c r="E19660" t="s">
        <v>1851</v>
      </c>
      <c r="F19660">
        <v>212</v>
      </c>
      <c r="G19660">
        <v>231128</v>
      </c>
      <c r="H19660">
        <v>4580</v>
      </c>
      <c r="I19660" t="s">
        <v>35</v>
      </c>
      <c r="J19660">
        <v>262.88</v>
      </c>
      <c r="K19660">
        <v>50.88</v>
      </c>
      <c r="L19660">
        <v>17527</v>
      </c>
      <c r="M19660" t="s">
        <v>422</v>
      </c>
      <c r="N19660" t="str">
        <f>"12232       "</f>
        <v xml:space="preserve">12232       </v>
      </c>
      <c r="O19660">
        <v>231201</v>
      </c>
    </row>
    <row r="19661" spans="1:15" x14ac:dyDescent="0.25">
      <c r="A19661" t="s">
        <v>16</v>
      </c>
      <c r="B19661" t="s">
        <v>3221</v>
      </c>
      <c r="C19661">
        <v>6720</v>
      </c>
      <c r="D19661" t="s">
        <v>3710</v>
      </c>
      <c r="E19661" t="s">
        <v>1851</v>
      </c>
      <c r="F19661">
        <v>41.8</v>
      </c>
      <c r="G19661">
        <v>230504</v>
      </c>
      <c r="H19661">
        <v>4400</v>
      </c>
      <c r="I19661" t="s">
        <v>348</v>
      </c>
      <c r="J19661">
        <v>51.83</v>
      </c>
      <c r="K19661">
        <v>10.029999999999999</v>
      </c>
      <c r="L19661">
        <v>17523</v>
      </c>
      <c r="M19661" t="s">
        <v>134</v>
      </c>
      <c r="N19661" t="str">
        <f>"11770       "</f>
        <v xml:space="preserve">11770       </v>
      </c>
      <c r="O19661">
        <v>230522</v>
      </c>
    </row>
    <row r="19662" spans="1:15" x14ac:dyDescent="0.25">
      <c r="A19662" t="s">
        <v>16</v>
      </c>
      <c r="B19662" t="s">
        <v>3221</v>
      </c>
      <c r="C19662">
        <v>11512</v>
      </c>
      <c r="D19662" t="s">
        <v>3710</v>
      </c>
      <c r="E19662" t="s">
        <v>1851</v>
      </c>
      <c r="F19662">
        <v>43.2</v>
      </c>
      <c r="G19662">
        <v>230901</v>
      </c>
      <c r="H19662">
        <v>4400</v>
      </c>
      <c r="I19662" t="s">
        <v>348</v>
      </c>
      <c r="J19662">
        <v>53.57</v>
      </c>
      <c r="K19662">
        <v>10.37</v>
      </c>
      <c r="L19662">
        <v>17523</v>
      </c>
      <c r="M19662" t="s">
        <v>134</v>
      </c>
      <c r="N19662" t="str">
        <f>"12015       "</f>
        <v xml:space="preserve">12015       </v>
      </c>
      <c r="O19662">
        <v>230907</v>
      </c>
    </row>
    <row r="19663" spans="1:15" x14ac:dyDescent="0.25">
      <c r="A19663" t="s">
        <v>16</v>
      </c>
      <c r="B19663" t="s">
        <v>3221</v>
      </c>
      <c r="C19663">
        <v>16980</v>
      </c>
      <c r="D19663" t="s">
        <v>3710</v>
      </c>
      <c r="E19663" t="s">
        <v>1851</v>
      </c>
      <c r="F19663">
        <v>79.8</v>
      </c>
      <c r="G19663">
        <v>231201</v>
      </c>
      <c r="H19663">
        <v>4400</v>
      </c>
      <c r="I19663" t="s">
        <v>348</v>
      </c>
      <c r="J19663">
        <v>98.95</v>
      </c>
      <c r="K19663">
        <v>19.149999999999999</v>
      </c>
      <c r="L19663">
        <v>17523</v>
      </c>
      <c r="M19663" t="s">
        <v>134</v>
      </c>
      <c r="N19663" t="str">
        <f>"12262       "</f>
        <v xml:space="preserve">12262       </v>
      </c>
      <c r="O19663">
        <v>231211</v>
      </c>
    </row>
    <row r="19664" spans="1:15" x14ac:dyDescent="0.25">
      <c r="A19664" t="s">
        <v>16</v>
      </c>
      <c r="B19664" t="s">
        <v>3221</v>
      </c>
      <c r="C19664">
        <v>5703</v>
      </c>
      <c r="D19664" t="s">
        <v>3710</v>
      </c>
      <c r="E19664" t="s">
        <v>1851</v>
      </c>
      <c r="F19664">
        <v>109.81</v>
      </c>
      <c r="G19664">
        <v>230425</v>
      </c>
      <c r="H19664">
        <v>4600</v>
      </c>
      <c r="I19664" t="s">
        <v>105</v>
      </c>
      <c r="J19664">
        <v>136.16</v>
      </c>
      <c r="K19664">
        <v>26.35</v>
      </c>
      <c r="L19664">
        <v>17523</v>
      </c>
      <c r="M19664" t="s">
        <v>134</v>
      </c>
      <c r="N19664" t="str">
        <f>"11745       "</f>
        <v xml:space="preserve">11745       </v>
      </c>
      <c r="O19664">
        <v>230502</v>
      </c>
    </row>
    <row r="19665" spans="1:15" x14ac:dyDescent="0.25">
      <c r="A19665" t="s">
        <v>16</v>
      </c>
      <c r="B19665" t="s">
        <v>3221</v>
      </c>
      <c r="C19665">
        <v>10959</v>
      </c>
      <c r="D19665" t="s">
        <v>3710</v>
      </c>
      <c r="E19665" t="s">
        <v>1851</v>
      </c>
      <c r="F19665">
        <v>517.20000000000005</v>
      </c>
      <c r="G19665">
        <v>230823</v>
      </c>
      <c r="H19665">
        <v>4600</v>
      </c>
      <c r="I19665" t="s">
        <v>105</v>
      </c>
      <c r="J19665">
        <v>641.33000000000004</v>
      </c>
      <c r="K19665">
        <v>124.13</v>
      </c>
      <c r="L19665">
        <v>17527</v>
      </c>
      <c r="M19665" t="s">
        <v>422</v>
      </c>
      <c r="N19665" t="str">
        <f>"11944       "</f>
        <v xml:space="preserve">11944       </v>
      </c>
      <c r="O19665">
        <v>230825</v>
      </c>
    </row>
    <row r="19666" spans="1:15" x14ac:dyDescent="0.25">
      <c r="A19666" t="s">
        <v>16</v>
      </c>
      <c r="B19666" t="s">
        <v>3221</v>
      </c>
      <c r="C19666">
        <v>17065</v>
      </c>
      <c r="D19666" t="s">
        <v>3710</v>
      </c>
      <c r="E19666" t="s">
        <v>1851</v>
      </c>
      <c r="F19666">
        <v>279.60000000000002</v>
      </c>
      <c r="G19666">
        <v>231204</v>
      </c>
      <c r="H19666">
        <v>4600</v>
      </c>
      <c r="I19666" t="s">
        <v>105</v>
      </c>
      <c r="J19666">
        <v>346.7</v>
      </c>
      <c r="K19666">
        <v>67.099999999999994</v>
      </c>
      <c r="L19666">
        <v>17524</v>
      </c>
      <c r="M19666" t="s">
        <v>452</v>
      </c>
      <c r="N19666" t="str">
        <f>"12219       "</f>
        <v xml:space="preserve">12219       </v>
      </c>
      <c r="O19666">
        <v>231212</v>
      </c>
    </row>
    <row r="19667" spans="1:15" x14ac:dyDescent="0.25">
      <c r="A19667" t="s">
        <v>16</v>
      </c>
      <c r="B19667" t="s">
        <v>3221</v>
      </c>
      <c r="C19667">
        <v>11849</v>
      </c>
      <c r="D19667" t="s">
        <v>3211</v>
      </c>
      <c r="E19667" t="s">
        <v>3212</v>
      </c>
      <c r="F19667">
        <v>12.44</v>
      </c>
      <c r="G19667">
        <v>230831</v>
      </c>
      <c r="H19667">
        <v>4362</v>
      </c>
      <c r="I19667" t="s">
        <v>79</v>
      </c>
      <c r="J19667">
        <v>15.43</v>
      </c>
      <c r="K19667">
        <v>2.99</v>
      </c>
      <c r="L19667">
        <v>14952</v>
      </c>
      <c r="M19667" t="s">
        <v>99</v>
      </c>
      <c r="N19667" t="str">
        <f>"0430028875  "</f>
        <v xml:space="preserve">0430028875  </v>
      </c>
      <c r="O19667">
        <v>230911</v>
      </c>
    </row>
    <row r="19668" spans="1:15" x14ac:dyDescent="0.25">
      <c r="A19668" t="s">
        <v>16</v>
      </c>
      <c r="B19668" t="s">
        <v>3221</v>
      </c>
      <c r="C19668">
        <v>11849</v>
      </c>
      <c r="D19668" t="s">
        <v>3211</v>
      </c>
      <c r="E19668" t="s">
        <v>3212</v>
      </c>
      <c r="F19668">
        <v>29.05</v>
      </c>
      <c r="G19668">
        <v>230831</v>
      </c>
      <c r="H19668">
        <v>4362</v>
      </c>
      <c r="I19668" t="s">
        <v>79</v>
      </c>
      <c r="J19668">
        <v>36.020000000000003</v>
      </c>
      <c r="K19668">
        <v>6.97</v>
      </c>
      <c r="L19668">
        <v>14981</v>
      </c>
      <c r="M19668" t="s">
        <v>1211</v>
      </c>
      <c r="N19668" t="str">
        <f>"0430028875  "</f>
        <v xml:space="preserve">0430028875  </v>
      </c>
      <c r="O19668">
        <v>230911</v>
      </c>
    </row>
    <row r="19669" spans="1:15" x14ac:dyDescent="0.25">
      <c r="A19669" t="s">
        <v>16</v>
      </c>
      <c r="B19669" t="s">
        <v>3221</v>
      </c>
      <c r="C19669">
        <v>13622</v>
      </c>
      <c r="D19669" t="s">
        <v>3211</v>
      </c>
      <c r="E19669" t="s">
        <v>3212</v>
      </c>
      <c r="F19669">
        <v>10.99</v>
      </c>
      <c r="G19669">
        <v>230930</v>
      </c>
      <c r="H19669">
        <v>4362</v>
      </c>
      <c r="I19669" t="s">
        <v>79</v>
      </c>
      <c r="J19669">
        <v>13.63</v>
      </c>
      <c r="K19669">
        <v>2.64</v>
      </c>
      <c r="L19669">
        <v>14952</v>
      </c>
      <c r="M19669" t="s">
        <v>99</v>
      </c>
      <c r="N19669" t="str">
        <f>"0430029078  "</f>
        <v xml:space="preserve">0430029078  </v>
      </c>
      <c r="O19669">
        <v>231012</v>
      </c>
    </row>
    <row r="19670" spans="1:15" x14ac:dyDescent="0.25">
      <c r="A19670" t="s">
        <v>16</v>
      </c>
      <c r="B19670" t="s">
        <v>3221</v>
      </c>
      <c r="C19670">
        <v>13622</v>
      </c>
      <c r="D19670" t="s">
        <v>3211</v>
      </c>
      <c r="E19670" t="s">
        <v>3212</v>
      </c>
      <c r="F19670">
        <v>25.65</v>
      </c>
      <c r="G19670">
        <v>230930</v>
      </c>
      <c r="H19670">
        <v>4362</v>
      </c>
      <c r="I19670" t="s">
        <v>79</v>
      </c>
      <c r="J19670">
        <v>31.81</v>
      </c>
      <c r="K19670">
        <v>6.16</v>
      </c>
      <c r="L19670">
        <v>14981</v>
      </c>
      <c r="M19670" t="s">
        <v>1211</v>
      </c>
      <c r="N19670" t="str">
        <f>"0430029078  "</f>
        <v xml:space="preserve">0430029078  </v>
      </c>
      <c r="O19670">
        <v>231012</v>
      </c>
    </row>
    <row r="19671" spans="1:15" x14ac:dyDescent="0.25">
      <c r="A19671" t="s">
        <v>16</v>
      </c>
      <c r="B19671" t="s">
        <v>3221</v>
      </c>
      <c r="C19671">
        <v>15647</v>
      </c>
      <c r="D19671" t="s">
        <v>3211</v>
      </c>
      <c r="E19671" t="s">
        <v>3212</v>
      </c>
      <c r="F19671">
        <v>10.99</v>
      </c>
      <c r="G19671">
        <v>231031</v>
      </c>
      <c r="H19671">
        <v>4362</v>
      </c>
      <c r="I19671" t="s">
        <v>79</v>
      </c>
      <c r="J19671">
        <v>13.63</v>
      </c>
      <c r="K19671">
        <v>2.64</v>
      </c>
      <c r="L19671">
        <v>14952</v>
      </c>
      <c r="M19671" t="s">
        <v>99</v>
      </c>
      <c r="N19671" t="str">
        <f>"0430029768  "</f>
        <v xml:space="preserve">0430029768  </v>
      </c>
      <c r="O19671">
        <v>231116</v>
      </c>
    </row>
    <row r="19672" spans="1:15" x14ac:dyDescent="0.25">
      <c r="A19672" t="s">
        <v>16</v>
      </c>
      <c r="B19672" t="s">
        <v>3221</v>
      </c>
      <c r="C19672">
        <v>15647</v>
      </c>
      <c r="D19672" t="s">
        <v>3211</v>
      </c>
      <c r="E19672" t="s">
        <v>3212</v>
      </c>
      <c r="F19672">
        <v>25.65</v>
      </c>
      <c r="G19672">
        <v>231031</v>
      </c>
      <c r="H19672">
        <v>4362</v>
      </c>
      <c r="I19672" t="s">
        <v>79</v>
      </c>
      <c r="J19672">
        <v>31.81</v>
      </c>
      <c r="K19672">
        <v>6.16</v>
      </c>
      <c r="L19672">
        <v>14981</v>
      </c>
      <c r="M19672" t="s">
        <v>1211</v>
      </c>
      <c r="N19672" t="str">
        <f>"0430029768  "</f>
        <v xml:space="preserve">0430029768  </v>
      </c>
      <c r="O19672">
        <v>231116</v>
      </c>
    </row>
    <row r="19673" spans="1:15" x14ac:dyDescent="0.25">
      <c r="A19673" t="s">
        <v>16</v>
      </c>
      <c r="B19673" t="s">
        <v>3221</v>
      </c>
      <c r="C19673">
        <v>17181</v>
      </c>
      <c r="D19673" t="s">
        <v>3211</v>
      </c>
      <c r="E19673" t="s">
        <v>3212</v>
      </c>
      <c r="F19673">
        <v>10.06</v>
      </c>
      <c r="G19673">
        <v>231130</v>
      </c>
      <c r="H19673">
        <v>4362</v>
      </c>
      <c r="I19673" t="s">
        <v>79</v>
      </c>
      <c r="J19673">
        <v>12.47</v>
      </c>
      <c r="K19673">
        <v>2.41</v>
      </c>
      <c r="L19673">
        <v>14952</v>
      </c>
      <c r="M19673" t="s">
        <v>99</v>
      </c>
      <c r="N19673" t="str">
        <f>"0430030248  "</f>
        <v xml:space="preserve">0430030248  </v>
      </c>
      <c r="O19673">
        <v>231212</v>
      </c>
    </row>
    <row r="19674" spans="1:15" x14ac:dyDescent="0.25">
      <c r="A19674" t="s">
        <v>16</v>
      </c>
      <c r="B19674" t="s">
        <v>3221</v>
      </c>
      <c r="C19674">
        <v>17181</v>
      </c>
      <c r="D19674" t="s">
        <v>3211</v>
      </c>
      <c r="E19674" t="s">
        <v>3212</v>
      </c>
      <c r="F19674">
        <v>23.46</v>
      </c>
      <c r="G19674">
        <v>231130</v>
      </c>
      <c r="H19674">
        <v>4362</v>
      </c>
      <c r="I19674" t="s">
        <v>79</v>
      </c>
      <c r="J19674">
        <v>29.09</v>
      </c>
      <c r="K19674">
        <v>5.63</v>
      </c>
      <c r="L19674">
        <v>14981</v>
      </c>
      <c r="M19674" t="s">
        <v>1211</v>
      </c>
      <c r="N19674" t="str">
        <f>"0430030248  "</f>
        <v xml:space="preserve">0430030248  </v>
      </c>
      <c r="O19674">
        <v>231212</v>
      </c>
    </row>
    <row r="19675" spans="1:15" x14ac:dyDescent="0.25">
      <c r="A19675" t="s">
        <v>16</v>
      </c>
      <c r="B19675" t="s">
        <v>3221</v>
      </c>
      <c r="C19675">
        <v>19217</v>
      </c>
      <c r="D19675" t="s">
        <v>3211</v>
      </c>
      <c r="E19675" t="s">
        <v>3212</v>
      </c>
      <c r="F19675">
        <v>11.51</v>
      </c>
      <c r="G19675">
        <v>231231</v>
      </c>
      <c r="H19675">
        <v>4362</v>
      </c>
      <c r="I19675" t="s">
        <v>79</v>
      </c>
      <c r="J19675">
        <v>14.27</v>
      </c>
      <c r="K19675">
        <v>2.76</v>
      </c>
      <c r="L19675">
        <v>14952</v>
      </c>
      <c r="M19675" t="s">
        <v>99</v>
      </c>
      <c r="N19675" t="str">
        <f>"0430030950  "</f>
        <v xml:space="preserve">0430030950  </v>
      </c>
      <c r="O19675">
        <v>240115</v>
      </c>
    </row>
    <row r="19676" spans="1:15" x14ac:dyDescent="0.25">
      <c r="A19676" t="s">
        <v>16</v>
      </c>
      <c r="B19676" t="s">
        <v>3221</v>
      </c>
      <c r="C19676">
        <v>19217</v>
      </c>
      <c r="D19676" t="s">
        <v>3211</v>
      </c>
      <c r="E19676" t="s">
        <v>3212</v>
      </c>
      <c r="F19676">
        <v>26.85</v>
      </c>
      <c r="G19676">
        <v>231231</v>
      </c>
      <c r="H19676">
        <v>4362</v>
      </c>
      <c r="I19676" t="s">
        <v>79</v>
      </c>
      <c r="J19676">
        <v>33.299999999999997</v>
      </c>
      <c r="K19676">
        <v>6.45</v>
      </c>
      <c r="L19676">
        <v>14981</v>
      </c>
      <c r="M19676" t="s">
        <v>1211</v>
      </c>
      <c r="N19676" t="str">
        <f>"0430030950  "</f>
        <v xml:space="preserve">0430030950  </v>
      </c>
      <c r="O19676">
        <v>240115</v>
      </c>
    </row>
    <row r="19677" spans="1:15" x14ac:dyDescent="0.25">
      <c r="A19677" t="s">
        <v>16</v>
      </c>
      <c r="B19677" t="s">
        <v>3221</v>
      </c>
      <c r="C19677">
        <v>11849</v>
      </c>
      <c r="D19677" t="s">
        <v>3211</v>
      </c>
      <c r="E19677" t="s">
        <v>3212</v>
      </c>
      <c r="F19677">
        <v>451.69</v>
      </c>
      <c r="G19677">
        <v>230831</v>
      </c>
      <c r="H19677">
        <v>4571</v>
      </c>
      <c r="I19677" t="s">
        <v>181</v>
      </c>
      <c r="J19677">
        <v>560.09</v>
      </c>
      <c r="K19677">
        <v>108.4</v>
      </c>
      <c r="L19677">
        <v>14952</v>
      </c>
      <c r="M19677" t="s">
        <v>99</v>
      </c>
      <c r="N19677" t="str">
        <f>"0430028875  "</f>
        <v xml:space="preserve">0430028875  </v>
      </c>
      <c r="O19677">
        <v>230911</v>
      </c>
    </row>
    <row r="19678" spans="1:15" x14ac:dyDescent="0.25">
      <c r="A19678" t="s">
        <v>16</v>
      </c>
      <c r="B19678" t="s">
        <v>3221</v>
      </c>
      <c r="C19678">
        <v>11849</v>
      </c>
      <c r="D19678" t="s">
        <v>3211</v>
      </c>
      <c r="E19678" t="s">
        <v>3212</v>
      </c>
      <c r="F19678">
        <v>1053.94</v>
      </c>
      <c r="G19678">
        <v>230831</v>
      </c>
      <c r="H19678">
        <v>4571</v>
      </c>
      <c r="I19678" t="s">
        <v>181</v>
      </c>
      <c r="J19678">
        <v>1306.8800000000001</v>
      </c>
      <c r="K19678">
        <v>252.94</v>
      </c>
      <c r="L19678">
        <v>14981</v>
      </c>
      <c r="M19678" t="s">
        <v>1211</v>
      </c>
      <c r="N19678" t="str">
        <f>"0430028875  "</f>
        <v xml:space="preserve">0430028875  </v>
      </c>
      <c r="O19678">
        <v>230911</v>
      </c>
    </row>
    <row r="19679" spans="1:15" x14ac:dyDescent="0.25">
      <c r="A19679" t="s">
        <v>16</v>
      </c>
      <c r="B19679" t="s">
        <v>3221</v>
      </c>
      <c r="C19679">
        <v>13622</v>
      </c>
      <c r="D19679" t="s">
        <v>3211</v>
      </c>
      <c r="E19679" t="s">
        <v>3212</v>
      </c>
      <c r="F19679">
        <v>463.56</v>
      </c>
      <c r="G19679">
        <v>230930</v>
      </c>
      <c r="H19679">
        <v>4571</v>
      </c>
      <c r="I19679" t="s">
        <v>181</v>
      </c>
      <c r="J19679">
        <v>574.82000000000005</v>
      </c>
      <c r="K19679">
        <v>111.26</v>
      </c>
      <c r="L19679">
        <v>14952</v>
      </c>
      <c r="M19679" t="s">
        <v>99</v>
      </c>
      <c r="N19679" t="str">
        <f>"0430029078  "</f>
        <v xml:space="preserve">0430029078  </v>
      </c>
      <c r="O19679">
        <v>231012</v>
      </c>
    </row>
    <row r="19680" spans="1:15" x14ac:dyDescent="0.25">
      <c r="A19680" t="s">
        <v>16</v>
      </c>
      <c r="B19680" t="s">
        <v>3221</v>
      </c>
      <c r="C19680">
        <v>13622</v>
      </c>
      <c r="D19680" t="s">
        <v>3211</v>
      </c>
      <c r="E19680" t="s">
        <v>3212</v>
      </c>
      <c r="F19680">
        <v>1081.67</v>
      </c>
      <c r="G19680">
        <v>230930</v>
      </c>
      <c r="H19680">
        <v>4571</v>
      </c>
      <c r="I19680" t="s">
        <v>181</v>
      </c>
      <c r="J19680">
        <v>1341.27</v>
      </c>
      <c r="K19680">
        <v>259.60000000000002</v>
      </c>
      <c r="L19680">
        <v>14981</v>
      </c>
      <c r="M19680" t="s">
        <v>1211</v>
      </c>
      <c r="N19680" t="str">
        <f>"0430029078  "</f>
        <v xml:space="preserve">0430029078  </v>
      </c>
      <c r="O19680">
        <v>231012</v>
      </c>
    </row>
    <row r="19681" spans="1:15" x14ac:dyDescent="0.25">
      <c r="A19681" t="s">
        <v>16</v>
      </c>
      <c r="B19681" t="s">
        <v>3221</v>
      </c>
      <c r="C19681">
        <v>15647</v>
      </c>
      <c r="D19681" t="s">
        <v>3211</v>
      </c>
      <c r="E19681" t="s">
        <v>3212</v>
      </c>
      <c r="F19681">
        <v>682.23</v>
      </c>
      <c r="G19681">
        <v>231031</v>
      </c>
      <c r="H19681">
        <v>4571</v>
      </c>
      <c r="I19681" t="s">
        <v>181</v>
      </c>
      <c r="J19681">
        <v>845.97</v>
      </c>
      <c r="K19681">
        <v>163.74</v>
      </c>
      <c r="L19681">
        <v>14952</v>
      </c>
      <c r="M19681" t="s">
        <v>99</v>
      </c>
      <c r="N19681" t="str">
        <f>"0430029768  "</f>
        <v xml:space="preserve">0430029768  </v>
      </c>
      <c r="O19681">
        <v>231116</v>
      </c>
    </row>
    <row r="19682" spans="1:15" x14ac:dyDescent="0.25">
      <c r="A19682" t="s">
        <v>16</v>
      </c>
      <c r="B19682" t="s">
        <v>3221</v>
      </c>
      <c r="C19682">
        <v>15647</v>
      </c>
      <c r="D19682" t="s">
        <v>3211</v>
      </c>
      <c r="E19682" t="s">
        <v>3212</v>
      </c>
      <c r="F19682">
        <v>1591.88</v>
      </c>
      <c r="G19682">
        <v>231031</v>
      </c>
      <c r="H19682">
        <v>4571</v>
      </c>
      <c r="I19682" t="s">
        <v>181</v>
      </c>
      <c r="J19682">
        <v>1973.93</v>
      </c>
      <c r="K19682">
        <v>382.05</v>
      </c>
      <c r="L19682">
        <v>14981</v>
      </c>
      <c r="M19682" t="s">
        <v>1211</v>
      </c>
      <c r="N19682" t="str">
        <f>"0430029768  "</f>
        <v xml:space="preserve">0430029768  </v>
      </c>
      <c r="O19682">
        <v>231116</v>
      </c>
    </row>
    <row r="19683" spans="1:15" x14ac:dyDescent="0.25">
      <c r="A19683" t="s">
        <v>16</v>
      </c>
      <c r="B19683" t="s">
        <v>3221</v>
      </c>
      <c r="C19683">
        <v>11849</v>
      </c>
      <c r="D19683" t="s">
        <v>3211</v>
      </c>
      <c r="E19683" t="s">
        <v>3212</v>
      </c>
      <c r="F19683">
        <v>207.19</v>
      </c>
      <c r="G19683">
        <v>230831</v>
      </c>
      <c r="H19683">
        <v>4380</v>
      </c>
      <c r="I19683" t="s">
        <v>113</v>
      </c>
      <c r="J19683">
        <v>256.92</v>
      </c>
      <c r="K19683">
        <v>49.73</v>
      </c>
      <c r="L19683">
        <v>14952</v>
      </c>
      <c r="M19683" t="s">
        <v>99</v>
      </c>
      <c r="N19683" t="str">
        <f>"0430028875  "</f>
        <v xml:space="preserve">0430028875  </v>
      </c>
      <c r="O19683">
        <v>230911</v>
      </c>
    </row>
    <row r="19684" spans="1:15" x14ac:dyDescent="0.25">
      <c r="A19684" t="s">
        <v>16</v>
      </c>
      <c r="B19684" t="s">
        <v>3221</v>
      </c>
      <c r="C19684">
        <v>11849</v>
      </c>
      <c r="D19684" t="s">
        <v>3211</v>
      </c>
      <c r="E19684" t="s">
        <v>3212</v>
      </c>
      <c r="F19684">
        <v>483.45</v>
      </c>
      <c r="G19684">
        <v>230831</v>
      </c>
      <c r="H19684">
        <v>4380</v>
      </c>
      <c r="I19684" t="s">
        <v>113</v>
      </c>
      <c r="J19684">
        <v>599.48</v>
      </c>
      <c r="K19684">
        <v>116.03</v>
      </c>
      <c r="L19684">
        <v>14981</v>
      </c>
      <c r="M19684" t="s">
        <v>1211</v>
      </c>
      <c r="N19684" t="str">
        <f>"0430028875  "</f>
        <v xml:space="preserve">0430028875  </v>
      </c>
      <c r="O19684">
        <v>230911</v>
      </c>
    </row>
    <row r="19685" spans="1:15" x14ac:dyDescent="0.25">
      <c r="A19685" t="s">
        <v>16</v>
      </c>
      <c r="B19685" t="s">
        <v>3221</v>
      </c>
      <c r="C19685">
        <v>13622</v>
      </c>
      <c r="D19685" t="s">
        <v>3211</v>
      </c>
      <c r="E19685" t="s">
        <v>3212</v>
      </c>
      <c r="F19685">
        <v>530.45000000000005</v>
      </c>
      <c r="G19685">
        <v>230930</v>
      </c>
      <c r="H19685">
        <v>4380</v>
      </c>
      <c r="I19685" t="s">
        <v>113</v>
      </c>
      <c r="J19685">
        <v>657.76</v>
      </c>
      <c r="K19685">
        <v>127.31</v>
      </c>
      <c r="L19685">
        <v>14952</v>
      </c>
      <c r="M19685" t="s">
        <v>99</v>
      </c>
      <c r="N19685" t="str">
        <f>"0430029078  "</f>
        <v xml:space="preserve">0430029078  </v>
      </c>
      <c r="O19685">
        <v>231012</v>
      </c>
    </row>
    <row r="19686" spans="1:15" x14ac:dyDescent="0.25">
      <c r="A19686" t="s">
        <v>16</v>
      </c>
      <c r="B19686" t="s">
        <v>3221</v>
      </c>
      <c r="C19686">
        <v>13622</v>
      </c>
      <c r="D19686" t="s">
        <v>3211</v>
      </c>
      <c r="E19686" t="s">
        <v>3212</v>
      </c>
      <c r="F19686">
        <v>1237.74</v>
      </c>
      <c r="G19686">
        <v>230930</v>
      </c>
      <c r="H19686">
        <v>4380</v>
      </c>
      <c r="I19686" t="s">
        <v>113</v>
      </c>
      <c r="J19686">
        <v>1534.8</v>
      </c>
      <c r="K19686">
        <v>297.06</v>
      </c>
      <c r="L19686">
        <v>14981</v>
      </c>
      <c r="M19686" t="s">
        <v>1211</v>
      </c>
      <c r="N19686" t="str">
        <f>"0430029078  "</f>
        <v xml:space="preserve">0430029078  </v>
      </c>
      <c r="O19686">
        <v>231012</v>
      </c>
    </row>
    <row r="19687" spans="1:15" x14ac:dyDescent="0.25">
      <c r="A19687" t="s">
        <v>16</v>
      </c>
      <c r="B19687" t="s">
        <v>3221</v>
      </c>
      <c r="C19687">
        <v>15647</v>
      </c>
      <c r="D19687" t="s">
        <v>3211</v>
      </c>
      <c r="E19687" t="s">
        <v>3212</v>
      </c>
      <c r="F19687">
        <v>771.19</v>
      </c>
      <c r="G19687">
        <v>231031</v>
      </c>
      <c r="H19687">
        <v>4380</v>
      </c>
      <c r="I19687" t="s">
        <v>113</v>
      </c>
      <c r="J19687">
        <v>956.28</v>
      </c>
      <c r="K19687">
        <v>185.09</v>
      </c>
      <c r="L19687">
        <v>14952</v>
      </c>
      <c r="M19687" t="s">
        <v>99</v>
      </c>
      <c r="N19687" t="str">
        <f>"0430029768  "</f>
        <v xml:space="preserve">0430029768  </v>
      </c>
      <c r="O19687">
        <v>231116</v>
      </c>
    </row>
    <row r="19688" spans="1:15" x14ac:dyDescent="0.25">
      <c r="A19688" t="s">
        <v>16</v>
      </c>
      <c r="B19688" t="s">
        <v>3221</v>
      </c>
      <c r="C19688">
        <v>15647</v>
      </c>
      <c r="D19688" t="s">
        <v>3211</v>
      </c>
      <c r="E19688" t="s">
        <v>3212</v>
      </c>
      <c r="F19688">
        <v>1799.45</v>
      </c>
      <c r="G19688">
        <v>231031</v>
      </c>
      <c r="H19688">
        <v>4380</v>
      </c>
      <c r="I19688" t="s">
        <v>113</v>
      </c>
      <c r="J19688">
        <v>2231.3200000000002</v>
      </c>
      <c r="K19688">
        <v>431.87</v>
      </c>
      <c r="L19688">
        <v>14981</v>
      </c>
      <c r="M19688" t="s">
        <v>1211</v>
      </c>
      <c r="N19688" t="str">
        <f>"0430029768  "</f>
        <v xml:space="preserve">0430029768  </v>
      </c>
      <c r="O19688">
        <v>231116</v>
      </c>
    </row>
    <row r="19689" spans="1:15" x14ac:dyDescent="0.25">
      <c r="A19689" t="s">
        <v>16</v>
      </c>
      <c r="B19689" t="s">
        <v>3221</v>
      </c>
      <c r="C19689">
        <v>17181</v>
      </c>
      <c r="D19689" t="s">
        <v>3211</v>
      </c>
      <c r="E19689" t="s">
        <v>3212</v>
      </c>
      <c r="F19689">
        <v>833.19</v>
      </c>
      <c r="G19689">
        <v>231130</v>
      </c>
      <c r="H19689">
        <v>4380</v>
      </c>
      <c r="I19689" t="s">
        <v>113</v>
      </c>
      <c r="J19689">
        <v>1033.1500000000001</v>
      </c>
      <c r="K19689">
        <v>199.96</v>
      </c>
      <c r="L19689">
        <v>14952</v>
      </c>
      <c r="M19689" t="s">
        <v>99</v>
      </c>
      <c r="N19689" t="str">
        <f>"0430030248  "</f>
        <v xml:space="preserve">0430030248  </v>
      </c>
      <c r="O19689">
        <v>231212</v>
      </c>
    </row>
    <row r="19690" spans="1:15" x14ac:dyDescent="0.25">
      <c r="A19690" t="s">
        <v>16</v>
      </c>
      <c r="B19690" t="s">
        <v>3221</v>
      </c>
      <c r="C19690">
        <v>17181</v>
      </c>
      <c r="D19690" t="s">
        <v>3211</v>
      </c>
      <c r="E19690" t="s">
        <v>3212</v>
      </c>
      <c r="F19690">
        <v>1944.09</v>
      </c>
      <c r="G19690">
        <v>231130</v>
      </c>
      <c r="H19690">
        <v>4380</v>
      </c>
      <c r="I19690" t="s">
        <v>113</v>
      </c>
      <c r="J19690">
        <v>2410.67</v>
      </c>
      <c r="K19690">
        <v>466.58</v>
      </c>
      <c r="L19690">
        <v>14981</v>
      </c>
      <c r="M19690" t="s">
        <v>1211</v>
      </c>
      <c r="N19690" t="str">
        <f>"0430030248  "</f>
        <v xml:space="preserve">0430030248  </v>
      </c>
      <c r="O19690">
        <v>231212</v>
      </c>
    </row>
    <row r="19691" spans="1:15" x14ac:dyDescent="0.25">
      <c r="A19691" t="s">
        <v>16</v>
      </c>
      <c r="B19691" t="s">
        <v>3221</v>
      </c>
      <c r="C19691">
        <v>19217</v>
      </c>
      <c r="D19691" t="s">
        <v>3211</v>
      </c>
      <c r="E19691" t="s">
        <v>3212</v>
      </c>
      <c r="F19691">
        <v>1071.01</v>
      </c>
      <c r="G19691">
        <v>231231</v>
      </c>
      <c r="H19691">
        <v>4380</v>
      </c>
      <c r="I19691" t="s">
        <v>113</v>
      </c>
      <c r="J19691">
        <v>1328.05</v>
      </c>
      <c r="K19691">
        <v>257.04000000000002</v>
      </c>
      <c r="L19691">
        <v>14952</v>
      </c>
      <c r="M19691" t="s">
        <v>99</v>
      </c>
      <c r="N19691" t="str">
        <f>"0430030950  "</f>
        <v xml:space="preserve">0430030950  </v>
      </c>
      <c r="O19691">
        <v>240115</v>
      </c>
    </row>
    <row r="19692" spans="1:15" x14ac:dyDescent="0.25">
      <c r="A19692" t="s">
        <v>16</v>
      </c>
      <c r="B19692" t="s">
        <v>3221</v>
      </c>
      <c r="C19692">
        <v>19217</v>
      </c>
      <c r="D19692" t="s">
        <v>3211</v>
      </c>
      <c r="E19692" t="s">
        <v>3212</v>
      </c>
      <c r="F19692">
        <v>2499.04</v>
      </c>
      <c r="G19692">
        <v>231231</v>
      </c>
      <c r="H19692">
        <v>4380</v>
      </c>
      <c r="I19692" t="s">
        <v>113</v>
      </c>
      <c r="J19692">
        <v>3098.81</v>
      </c>
      <c r="K19692">
        <v>599.77</v>
      </c>
      <c r="L19692">
        <v>14981</v>
      </c>
      <c r="M19692" t="s">
        <v>1211</v>
      </c>
      <c r="N19692" t="str">
        <f>"0430030950  "</f>
        <v xml:space="preserve">0430030950  </v>
      </c>
      <c r="O19692">
        <v>240115</v>
      </c>
    </row>
    <row r="19693" spans="1:15" x14ac:dyDescent="0.25">
      <c r="A19693" t="s">
        <v>16</v>
      </c>
      <c r="B19693" t="s">
        <v>3221</v>
      </c>
      <c r="C19693">
        <v>216</v>
      </c>
      <c r="D19693" t="s">
        <v>3211</v>
      </c>
      <c r="E19693" t="s">
        <v>3212</v>
      </c>
      <c r="F19693">
        <v>120.6</v>
      </c>
      <c r="G19693">
        <v>230101</v>
      </c>
      <c r="H19693">
        <v>4390</v>
      </c>
      <c r="I19693" t="s">
        <v>98</v>
      </c>
      <c r="J19693">
        <v>149.54</v>
      </c>
      <c r="K19693">
        <v>28.94</v>
      </c>
      <c r="L19693">
        <v>14952</v>
      </c>
      <c r="M19693" t="s">
        <v>99</v>
      </c>
      <c r="N19693" t="str">
        <f>"0105822610  "</f>
        <v xml:space="preserve">0105822610  </v>
      </c>
      <c r="O19693">
        <v>230116</v>
      </c>
    </row>
    <row r="19694" spans="1:15" x14ac:dyDescent="0.25">
      <c r="A19694" t="s">
        <v>16</v>
      </c>
      <c r="B19694" t="s">
        <v>3221</v>
      </c>
      <c r="C19694">
        <v>216</v>
      </c>
      <c r="D19694" t="s">
        <v>3211</v>
      </c>
      <c r="E19694" t="s">
        <v>3212</v>
      </c>
      <c r="F19694">
        <v>281.39999999999998</v>
      </c>
      <c r="G19694">
        <v>230101</v>
      </c>
      <c r="H19694">
        <v>4390</v>
      </c>
      <c r="I19694" t="s">
        <v>98</v>
      </c>
      <c r="J19694">
        <v>348.94</v>
      </c>
      <c r="K19694">
        <v>67.540000000000006</v>
      </c>
      <c r="L19694">
        <v>14981</v>
      </c>
      <c r="M19694" t="s">
        <v>1211</v>
      </c>
      <c r="N19694" t="str">
        <f>"0105822610  "</f>
        <v xml:space="preserve">0105822610  </v>
      </c>
      <c r="O19694">
        <v>230116</v>
      </c>
    </row>
    <row r="19695" spans="1:15" x14ac:dyDescent="0.25">
      <c r="A19695" t="s">
        <v>16</v>
      </c>
      <c r="B19695" t="s">
        <v>3221</v>
      </c>
      <c r="C19695">
        <v>1443</v>
      </c>
      <c r="D19695" t="s">
        <v>3211</v>
      </c>
      <c r="E19695" t="s">
        <v>3212</v>
      </c>
      <c r="F19695">
        <v>120.6</v>
      </c>
      <c r="G19695">
        <v>230201</v>
      </c>
      <c r="H19695">
        <v>4390</v>
      </c>
      <c r="I19695" t="s">
        <v>98</v>
      </c>
      <c r="J19695">
        <v>149.54</v>
      </c>
      <c r="K19695">
        <v>28.94</v>
      </c>
      <c r="L19695">
        <v>14952</v>
      </c>
      <c r="M19695" t="s">
        <v>99</v>
      </c>
      <c r="N19695" t="str">
        <f>"0105862029  "</f>
        <v xml:space="preserve">0105862029  </v>
      </c>
      <c r="O19695">
        <v>230208</v>
      </c>
    </row>
    <row r="19696" spans="1:15" x14ac:dyDescent="0.25">
      <c r="A19696" t="s">
        <v>16</v>
      </c>
      <c r="B19696" t="s">
        <v>3221</v>
      </c>
      <c r="C19696">
        <v>1443</v>
      </c>
      <c r="D19696" t="s">
        <v>3211</v>
      </c>
      <c r="E19696" t="s">
        <v>3212</v>
      </c>
      <c r="F19696">
        <v>281.39999999999998</v>
      </c>
      <c r="G19696">
        <v>230201</v>
      </c>
      <c r="H19696">
        <v>4390</v>
      </c>
      <c r="I19696" t="s">
        <v>98</v>
      </c>
      <c r="J19696">
        <v>348.94</v>
      </c>
      <c r="K19696">
        <v>67.540000000000006</v>
      </c>
      <c r="L19696">
        <v>14981</v>
      </c>
      <c r="M19696" t="s">
        <v>1211</v>
      </c>
      <c r="N19696" t="str">
        <f>"0105862029  "</f>
        <v xml:space="preserve">0105862029  </v>
      </c>
      <c r="O19696">
        <v>230208</v>
      </c>
    </row>
    <row r="19697" spans="1:15" x14ac:dyDescent="0.25">
      <c r="A19697" t="s">
        <v>16</v>
      </c>
      <c r="B19697" t="s">
        <v>3221</v>
      </c>
      <c r="C19697">
        <v>1561</v>
      </c>
      <c r="D19697" t="s">
        <v>3211</v>
      </c>
      <c r="E19697" t="s">
        <v>3212</v>
      </c>
      <c r="F19697">
        <v>3735.82</v>
      </c>
      <c r="G19697">
        <v>230131</v>
      </c>
      <c r="H19697">
        <v>4390</v>
      </c>
      <c r="I19697" t="s">
        <v>98</v>
      </c>
      <c r="J19697">
        <v>4632.42</v>
      </c>
      <c r="K19697">
        <v>896.6</v>
      </c>
      <c r="L19697">
        <v>14952</v>
      </c>
      <c r="M19697" t="s">
        <v>99</v>
      </c>
      <c r="N19697" t="str">
        <f>"0430025804  "</f>
        <v xml:space="preserve">0430025804  </v>
      </c>
      <c r="O19697">
        <v>230209</v>
      </c>
    </row>
    <row r="19698" spans="1:15" x14ac:dyDescent="0.25">
      <c r="A19698" t="s">
        <v>16</v>
      </c>
      <c r="B19698" t="s">
        <v>3221</v>
      </c>
      <c r="C19698">
        <v>1561</v>
      </c>
      <c r="D19698" t="s">
        <v>3211</v>
      </c>
      <c r="E19698" t="s">
        <v>3212</v>
      </c>
      <c r="F19698">
        <v>7471.65</v>
      </c>
      <c r="G19698">
        <v>230131</v>
      </c>
      <c r="H19698">
        <v>4390</v>
      </c>
      <c r="I19698" t="s">
        <v>98</v>
      </c>
      <c r="J19698">
        <v>9264.84</v>
      </c>
      <c r="K19698">
        <v>1793.19</v>
      </c>
      <c r="L19698">
        <v>14981</v>
      </c>
      <c r="M19698" t="s">
        <v>1211</v>
      </c>
      <c r="N19698" t="str">
        <f>"0430025804  "</f>
        <v xml:space="preserve">0430025804  </v>
      </c>
      <c r="O19698">
        <v>230209</v>
      </c>
    </row>
    <row r="19699" spans="1:15" x14ac:dyDescent="0.25">
      <c r="A19699" t="s">
        <v>16</v>
      </c>
      <c r="B19699" t="s">
        <v>3221</v>
      </c>
      <c r="C19699">
        <v>2599</v>
      </c>
      <c r="D19699" t="s">
        <v>3211</v>
      </c>
      <c r="E19699" t="s">
        <v>3212</v>
      </c>
      <c r="F19699">
        <v>120.6</v>
      </c>
      <c r="G19699">
        <v>230301</v>
      </c>
      <c r="H19699">
        <v>4390</v>
      </c>
      <c r="I19699" t="s">
        <v>98</v>
      </c>
      <c r="J19699">
        <v>149.54</v>
      </c>
      <c r="K19699">
        <v>28.94</v>
      </c>
      <c r="L19699">
        <v>14952</v>
      </c>
      <c r="M19699" t="s">
        <v>99</v>
      </c>
      <c r="N19699" t="str">
        <f>"0105897066  "</f>
        <v xml:space="preserve">0105897066  </v>
      </c>
      <c r="O19699">
        <v>230302</v>
      </c>
    </row>
    <row r="19700" spans="1:15" x14ac:dyDescent="0.25">
      <c r="A19700" t="s">
        <v>16</v>
      </c>
      <c r="B19700" t="s">
        <v>3221</v>
      </c>
      <c r="C19700">
        <v>2599</v>
      </c>
      <c r="D19700" t="s">
        <v>3211</v>
      </c>
      <c r="E19700" t="s">
        <v>3212</v>
      </c>
      <c r="F19700">
        <v>281.39999999999998</v>
      </c>
      <c r="G19700">
        <v>230301</v>
      </c>
      <c r="H19700">
        <v>4390</v>
      </c>
      <c r="I19700" t="s">
        <v>98</v>
      </c>
      <c r="J19700">
        <v>348.94</v>
      </c>
      <c r="K19700">
        <v>67.540000000000006</v>
      </c>
      <c r="L19700">
        <v>14981</v>
      </c>
      <c r="M19700" t="s">
        <v>1211</v>
      </c>
      <c r="N19700" t="str">
        <f>"0105897066  "</f>
        <v xml:space="preserve">0105897066  </v>
      </c>
      <c r="O19700">
        <v>230302</v>
      </c>
    </row>
    <row r="19701" spans="1:15" x14ac:dyDescent="0.25">
      <c r="A19701" t="s">
        <v>16</v>
      </c>
      <c r="B19701" t="s">
        <v>3221</v>
      </c>
      <c r="C19701">
        <v>2725</v>
      </c>
      <c r="D19701" t="s">
        <v>3211</v>
      </c>
      <c r="E19701" t="s">
        <v>3212</v>
      </c>
      <c r="F19701">
        <v>4285.49</v>
      </c>
      <c r="G19701">
        <v>230228</v>
      </c>
      <c r="H19701">
        <v>4390</v>
      </c>
      <c r="I19701" t="s">
        <v>98</v>
      </c>
      <c r="J19701">
        <v>5314.01</v>
      </c>
      <c r="K19701">
        <v>1028.52</v>
      </c>
      <c r="L19701">
        <v>14952</v>
      </c>
      <c r="M19701" t="s">
        <v>99</v>
      </c>
      <c r="N19701" t="str">
        <f>"0430026126  "</f>
        <v xml:space="preserve">0430026126  </v>
      </c>
      <c r="O19701">
        <v>230307</v>
      </c>
    </row>
    <row r="19702" spans="1:15" x14ac:dyDescent="0.25">
      <c r="A19702" t="s">
        <v>16</v>
      </c>
      <c r="B19702" t="s">
        <v>3221</v>
      </c>
      <c r="C19702">
        <v>4415</v>
      </c>
      <c r="D19702" t="s">
        <v>3211</v>
      </c>
      <c r="E19702" t="s">
        <v>3212</v>
      </c>
      <c r="F19702">
        <v>120.6</v>
      </c>
      <c r="G19702">
        <v>230401</v>
      </c>
      <c r="H19702">
        <v>4390</v>
      </c>
      <c r="I19702" t="s">
        <v>98</v>
      </c>
      <c r="J19702">
        <v>149.54</v>
      </c>
      <c r="K19702">
        <v>28.94</v>
      </c>
      <c r="L19702">
        <v>14952</v>
      </c>
      <c r="M19702" t="s">
        <v>99</v>
      </c>
      <c r="N19702" t="str">
        <f>"0105943649  "</f>
        <v xml:space="preserve">0105943649  </v>
      </c>
      <c r="O19702">
        <v>230405</v>
      </c>
    </row>
    <row r="19703" spans="1:15" x14ac:dyDescent="0.25">
      <c r="A19703" t="s">
        <v>16</v>
      </c>
      <c r="B19703" t="s">
        <v>3221</v>
      </c>
      <c r="C19703">
        <v>4415</v>
      </c>
      <c r="D19703" t="s">
        <v>3211</v>
      </c>
      <c r="E19703" t="s">
        <v>3212</v>
      </c>
      <c r="F19703">
        <v>281.39999999999998</v>
      </c>
      <c r="G19703">
        <v>230401</v>
      </c>
      <c r="H19703">
        <v>4390</v>
      </c>
      <c r="I19703" t="s">
        <v>98</v>
      </c>
      <c r="J19703">
        <v>348.94</v>
      </c>
      <c r="K19703">
        <v>67.540000000000006</v>
      </c>
      <c r="L19703">
        <v>14981</v>
      </c>
      <c r="M19703" t="s">
        <v>1211</v>
      </c>
      <c r="N19703" t="str">
        <f>"0105943649  "</f>
        <v xml:space="preserve">0105943649  </v>
      </c>
      <c r="O19703">
        <v>230405</v>
      </c>
    </row>
    <row r="19704" spans="1:15" x14ac:dyDescent="0.25">
      <c r="A19704" t="s">
        <v>16</v>
      </c>
      <c r="B19704" t="s">
        <v>3221</v>
      </c>
      <c r="C19704">
        <v>4768</v>
      </c>
      <c r="D19704" t="s">
        <v>3211</v>
      </c>
      <c r="E19704" t="s">
        <v>3212</v>
      </c>
      <c r="F19704">
        <v>3741.69</v>
      </c>
      <c r="G19704">
        <v>230331</v>
      </c>
      <c r="H19704">
        <v>4390</v>
      </c>
      <c r="I19704" t="s">
        <v>98</v>
      </c>
      <c r="J19704">
        <v>4639.7</v>
      </c>
      <c r="K19704">
        <v>898.01</v>
      </c>
      <c r="L19704">
        <v>14952</v>
      </c>
      <c r="M19704" t="s">
        <v>99</v>
      </c>
      <c r="N19704" t="str">
        <f>"0430026560  "</f>
        <v xml:space="preserve">0430026560  </v>
      </c>
      <c r="O19704">
        <v>230412</v>
      </c>
    </row>
    <row r="19705" spans="1:15" x14ac:dyDescent="0.25">
      <c r="A19705" t="s">
        <v>16</v>
      </c>
      <c r="B19705" t="s">
        <v>3221</v>
      </c>
      <c r="C19705">
        <v>4768</v>
      </c>
      <c r="D19705" t="s">
        <v>3211</v>
      </c>
      <c r="E19705" t="s">
        <v>3212</v>
      </c>
      <c r="F19705">
        <v>8730.61</v>
      </c>
      <c r="G19705">
        <v>230331</v>
      </c>
      <c r="H19705">
        <v>4390</v>
      </c>
      <c r="I19705" t="s">
        <v>98</v>
      </c>
      <c r="J19705">
        <v>10825.96</v>
      </c>
      <c r="K19705">
        <v>2095.35</v>
      </c>
      <c r="L19705">
        <v>14981</v>
      </c>
      <c r="M19705" t="s">
        <v>1211</v>
      </c>
      <c r="N19705" t="str">
        <f>"0430026560  "</f>
        <v xml:space="preserve">0430026560  </v>
      </c>
      <c r="O19705">
        <v>230412</v>
      </c>
    </row>
    <row r="19706" spans="1:15" x14ac:dyDescent="0.25">
      <c r="A19706" t="s">
        <v>16</v>
      </c>
      <c r="B19706" t="s">
        <v>3221</v>
      </c>
      <c r="C19706">
        <v>6097</v>
      </c>
      <c r="D19706" t="s">
        <v>3211</v>
      </c>
      <c r="E19706" t="s">
        <v>3212</v>
      </c>
      <c r="F19706">
        <v>3723.12</v>
      </c>
      <c r="G19706">
        <v>230430</v>
      </c>
      <c r="H19706">
        <v>4390</v>
      </c>
      <c r="I19706" t="s">
        <v>98</v>
      </c>
      <c r="J19706">
        <v>4616.67</v>
      </c>
      <c r="K19706">
        <v>893.55</v>
      </c>
      <c r="L19706">
        <v>14952</v>
      </c>
      <c r="M19706" t="s">
        <v>99</v>
      </c>
      <c r="N19706" t="str">
        <f>"0430027052  "</f>
        <v xml:space="preserve">0430027052  </v>
      </c>
      <c r="O19706">
        <v>230508</v>
      </c>
    </row>
    <row r="19707" spans="1:15" x14ac:dyDescent="0.25">
      <c r="A19707" t="s">
        <v>16</v>
      </c>
      <c r="B19707" t="s">
        <v>3221</v>
      </c>
      <c r="C19707">
        <v>6097</v>
      </c>
      <c r="D19707" t="s">
        <v>3211</v>
      </c>
      <c r="E19707" t="s">
        <v>3212</v>
      </c>
      <c r="F19707">
        <v>8687.2800000000007</v>
      </c>
      <c r="G19707">
        <v>230430</v>
      </c>
      <c r="H19707">
        <v>4390</v>
      </c>
      <c r="I19707" t="s">
        <v>98</v>
      </c>
      <c r="J19707">
        <v>10772.23</v>
      </c>
      <c r="K19707">
        <v>2084.9499999999998</v>
      </c>
      <c r="L19707">
        <v>14981</v>
      </c>
      <c r="M19707" t="s">
        <v>1211</v>
      </c>
      <c r="N19707" t="str">
        <f>"0430027052  "</f>
        <v xml:space="preserve">0430027052  </v>
      </c>
      <c r="O19707">
        <v>230508</v>
      </c>
    </row>
    <row r="19708" spans="1:15" x14ac:dyDescent="0.25">
      <c r="A19708" t="s">
        <v>16</v>
      </c>
      <c r="B19708" t="s">
        <v>3221</v>
      </c>
      <c r="C19708">
        <v>6104</v>
      </c>
      <c r="D19708" t="s">
        <v>3211</v>
      </c>
      <c r="E19708" t="s">
        <v>3212</v>
      </c>
      <c r="F19708">
        <v>120.6</v>
      </c>
      <c r="G19708">
        <v>230501</v>
      </c>
      <c r="H19708">
        <v>4390</v>
      </c>
      <c r="I19708" t="s">
        <v>98</v>
      </c>
      <c r="J19708">
        <v>149.54</v>
      </c>
      <c r="K19708">
        <v>28.94</v>
      </c>
      <c r="L19708">
        <v>14952</v>
      </c>
      <c r="M19708" t="s">
        <v>99</v>
      </c>
      <c r="N19708" t="str">
        <f>"0105967891  "</f>
        <v xml:space="preserve">0105967891  </v>
      </c>
      <c r="O19708">
        <v>230508</v>
      </c>
    </row>
    <row r="19709" spans="1:15" x14ac:dyDescent="0.25">
      <c r="A19709" t="s">
        <v>16</v>
      </c>
      <c r="B19709" t="s">
        <v>3221</v>
      </c>
      <c r="C19709">
        <v>6104</v>
      </c>
      <c r="D19709" t="s">
        <v>3211</v>
      </c>
      <c r="E19709" t="s">
        <v>3212</v>
      </c>
      <c r="F19709">
        <v>281.39999999999998</v>
      </c>
      <c r="G19709">
        <v>230501</v>
      </c>
      <c r="H19709">
        <v>4390</v>
      </c>
      <c r="I19709" t="s">
        <v>98</v>
      </c>
      <c r="J19709">
        <v>348.94</v>
      </c>
      <c r="K19709">
        <v>67.540000000000006</v>
      </c>
      <c r="L19709">
        <v>14981</v>
      </c>
      <c r="M19709" t="s">
        <v>1211</v>
      </c>
      <c r="N19709" t="str">
        <f>"0105967891  "</f>
        <v xml:space="preserve">0105967891  </v>
      </c>
      <c r="O19709">
        <v>230508</v>
      </c>
    </row>
    <row r="19710" spans="1:15" x14ac:dyDescent="0.25">
      <c r="A19710" t="s">
        <v>16</v>
      </c>
      <c r="B19710" t="s">
        <v>3221</v>
      </c>
      <c r="C19710">
        <v>7746</v>
      </c>
      <c r="D19710" t="s">
        <v>3211</v>
      </c>
      <c r="E19710" t="s">
        <v>3212</v>
      </c>
      <c r="F19710">
        <v>120.6</v>
      </c>
      <c r="G19710">
        <v>230601</v>
      </c>
      <c r="H19710">
        <v>4390</v>
      </c>
      <c r="I19710" t="s">
        <v>98</v>
      </c>
      <c r="J19710">
        <v>149.54</v>
      </c>
      <c r="K19710">
        <v>28.94</v>
      </c>
      <c r="L19710">
        <v>14952</v>
      </c>
      <c r="M19710" t="s">
        <v>99</v>
      </c>
      <c r="N19710" t="str">
        <f>"0105981605  "</f>
        <v xml:space="preserve">0105981605  </v>
      </c>
      <c r="O19710">
        <v>230602</v>
      </c>
    </row>
    <row r="19711" spans="1:15" x14ac:dyDescent="0.25">
      <c r="A19711" t="s">
        <v>16</v>
      </c>
      <c r="B19711" t="s">
        <v>3221</v>
      </c>
      <c r="C19711">
        <v>7746</v>
      </c>
      <c r="D19711" t="s">
        <v>3211</v>
      </c>
      <c r="E19711" t="s">
        <v>3212</v>
      </c>
      <c r="F19711">
        <v>281.39999999999998</v>
      </c>
      <c r="G19711">
        <v>230601</v>
      </c>
      <c r="H19711">
        <v>4390</v>
      </c>
      <c r="I19711" t="s">
        <v>98</v>
      </c>
      <c r="J19711">
        <v>348.94</v>
      </c>
      <c r="K19711">
        <v>67.540000000000006</v>
      </c>
      <c r="L19711">
        <v>14981</v>
      </c>
      <c r="M19711" t="s">
        <v>1211</v>
      </c>
      <c r="N19711" t="str">
        <f>"0105981605  "</f>
        <v xml:space="preserve">0105981605  </v>
      </c>
      <c r="O19711">
        <v>230602</v>
      </c>
    </row>
    <row r="19712" spans="1:15" x14ac:dyDescent="0.25">
      <c r="A19712" t="s">
        <v>16</v>
      </c>
      <c r="B19712" t="s">
        <v>3221</v>
      </c>
      <c r="C19712">
        <v>8522</v>
      </c>
      <c r="D19712" t="s">
        <v>3211</v>
      </c>
      <c r="E19712" t="s">
        <v>3212</v>
      </c>
      <c r="F19712">
        <v>2544.89</v>
      </c>
      <c r="G19712">
        <v>230531</v>
      </c>
      <c r="H19712">
        <v>4390</v>
      </c>
      <c r="I19712" t="s">
        <v>98</v>
      </c>
      <c r="J19712">
        <v>3155.66</v>
      </c>
      <c r="K19712">
        <v>610.77</v>
      </c>
      <c r="L19712">
        <v>14952</v>
      </c>
      <c r="M19712" t="s">
        <v>99</v>
      </c>
      <c r="N19712" t="str">
        <f>"0430027499  "</f>
        <v xml:space="preserve">0430027499  </v>
      </c>
      <c r="O19712">
        <v>230612</v>
      </c>
    </row>
    <row r="19713" spans="1:15" x14ac:dyDescent="0.25">
      <c r="A19713" t="s">
        <v>16</v>
      </c>
      <c r="B19713" t="s">
        <v>3221</v>
      </c>
      <c r="C19713">
        <v>8522</v>
      </c>
      <c r="D19713" t="s">
        <v>3211</v>
      </c>
      <c r="E19713" t="s">
        <v>3212</v>
      </c>
      <c r="F19713">
        <v>5089.7700000000004</v>
      </c>
      <c r="G19713">
        <v>230531</v>
      </c>
      <c r="H19713">
        <v>4390</v>
      </c>
      <c r="I19713" t="s">
        <v>98</v>
      </c>
      <c r="J19713">
        <v>6311.32</v>
      </c>
      <c r="K19713">
        <v>1221.55</v>
      </c>
      <c r="L19713">
        <v>14981</v>
      </c>
      <c r="M19713" t="s">
        <v>1211</v>
      </c>
      <c r="N19713" t="str">
        <f>"0430027499  "</f>
        <v xml:space="preserve">0430027499  </v>
      </c>
      <c r="O19713">
        <v>230612</v>
      </c>
    </row>
    <row r="19714" spans="1:15" x14ac:dyDescent="0.25">
      <c r="A19714" t="s">
        <v>16</v>
      </c>
      <c r="B19714" t="s">
        <v>3221</v>
      </c>
      <c r="C19714">
        <v>9370</v>
      </c>
      <c r="D19714" t="s">
        <v>3211</v>
      </c>
      <c r="E19714" t="s">
        <v>3212</v>
      </c>
      <c r="F19714">
        <v>1789.56</v>
      </c>
      <c r="G19714">
        <v>230630</v>
      </c>
      <c r="H19714">
        <v>4390</v>
      </c>
      <c r="I19714" t="s">
        <v>98</v>
      </c>
      <c r="J19714">
        <v>2219.0500000000002</v>
      </c>
      <c r="K19714">
        <v>429.49</v>
      </c>
      <c r="L19714">
        <v>14952</v>
      </c>
      <c r="M19714" t="s">
        <v>99</v>
      </c>
      <c r="N19714" t="str">
        <f>"0430027757  "</f>
        <v xml:space="preserve">0430027757  </v>
      </c>
      <c r="O19714">
        <v>230710</v>
      </c>
    </row>
    <row r="19715" spans="1:15" x14ac:dyDescent="0.25">
      <c r="A19715" t="s">
        <v>16</v>
      </c>
      <c r="B19715" t="s">
        <v>3221</v>
      </c>
      <c r="C19715">
        <v>9370</v>
      </c>
      <c r="D19715" t="s">
        <v>3211</v>
      </c>
      <c r="E19715" t="s">
        <v>3212</v>
      </c>
      <c r="F19715">
        <v>4175.6499999999996</v>
      </c>
      <c r="G19715">
        <v>230630</v>
      </c>
      <c r="H19715">
        <v>4390</v>
      </c>
      <c r="I19715" t="s">
        <v>98</v>
      </c>
      <c r="J19715">
        <v>5177.8</v>
      </c>
      <c r="K19715">
        <v>1002.15</v>
      </c>
      <c r="L19715">
        <v>14981</v>
      </c>
      <c r="M19715" t="s">
        <v>1211</v>
      </c>
      <c r="N19715" t="str">
        <f>"0430027757  "</f>
        <v xml:space="preserve">0430027757  </v>
      </c>
      <c r="O19715">
        <v>230710</v>
      </c>
    </row>
    <row r="19716" spans="1:15" x14ac:dyDescent="0.25">
      <c r="A19716" t="s">
        <v>16</v>
      </c>
      <c r="B19716" t="s">
        <v>3221</v>
      </c>
      <c r="C19716">
        <v>9384</v>
      </c>
      <c r="D19716" t="s">
        <v>3211</v>
      </c>
      <c r="E19716" t="s">
        <v>3212</v>
      </c>
      <c r="F19716">
        <v>120.6</v>
      </c>
      <c r="G19716">
        <v>230701</v>
      </c>
      <c r="H19716">
        <v>4390</v>
      </c>
      <c r="I19716" t="s">
        <v>98</v>
      </c>
      <c r="J19716">
        <v>149.54</v>
      </c>
      <c r="K19716">
        <v>28.94</v>
      </c>
      <c r="L19716">
        <v>14952</v>
      </c>
      <c r="M19716" t="s">
        <v>99</v>
      </c>
      <c r="N19716" t="str">
        <f>"0106012335  "</f>
        <v xml:space="preserve">0106012335  </v>
      </c>
      <c r="O19716">
        <v>230710</v>
      </c>
    </row>
    <row r="19717" spans="1:15" x14ac:dyDescent="0.25">
      <c r="A19717" t="s">
        <v>16</v>
      </c>
      <c r="B19717" t="s">
        <v>3221</v>
      </c>
      <c r="C19717">
        <v>9384</v>
      </c>
      <c r="D19717" t="s">
        <v>3211</v>
      </c>
      <c r="E19717" t="s">
        <v>3212</v>
      </c>
      <c r="F19717">
        <v>281.39999999999998</v>
      </c>
      <c r="G19717">
        <v>230701</v>
      </c>
      <c r="H19717">
        <v>4390</v>
      </c>
      <c r="I19717" t="s">
        <v>98</v>
      </c>
      <c r="J19717">
        <v>348.94</v>
      </c>
      <c r="K19717">
        <v>67.540000000000006</v>
      </c>
      <c r="L19717">
        <v>14981</v>
      </c>
      <c r="M19717" t="s">
        <v>1211</v>
      </c>
      <c r="N19717" t="str">
        <f>"0106012335  "</f>
        <v xml:space="preserve">0106012335  </v>
      </c>
      <c r="O19717">
        <v>230710</v>
      </c>
    </row>
    <row r="19718" spans="1:15" x14ac:dyDescent="0.25">
      <c r="A19718" t="s">
        <v>16</v>
      </c>
      <c r="B19718" t="s">
        <v>3221</v>
      </c>
      <c r="C19718">
        <v>9941</v>
      </c>
      <c r="D19718" t="s">
        <v>3211</v>
      </c>
      <c r="E19718" t="s">
        <v>3212</v>
      </c>
      <c r="F19718">
        <v>120.6</v>
      </c>
      <c r="G19718">
        <v>230801</v>
      </c>
      <c r="H19718">
        <v>4390</v>
      </c>
      <c r="I19718" t="s">
        <v>98</v>
      </c>
      <c r="J19718">
        <v>149.54</v>
      </c>
      <c r="K19718">
        <v>28.94</v>
      </c>
      <c r="L19718">
        <v>14952</v>
      </c>
      <c r="M19718" t="s">
        <v>99</v>
      </c>
      <c r="N19718" t="str">
        <f>"0106017779  "</f>
        <v xml:space="preserve">0106017779  </v>
      </c>
      <c r="O19718">
        <v>230802</v>
      </c>
    </row>
    <row r="19719" spans="1:15" x14ac:dyDescent="0.25">
      <c r="A19719" t="s">
        <v>16</v>
      </c>
      <c r="B19719" t="s">
        <v>3221</v>
      </c>
      <c r="C19719">
        <v>9941</v>
      </c>
      <c r="D19719" t="s">
        <v>3211</v>
      </c>
      <c r="E19719" t="s">
        <v>3212</v>
      </c>
      <c r="F19719">
        <v>281.39999999999998</v>
      </c>
      <c r="G19719">
        <v>230801</v>
      </c>
      <c r="H19719">
        <v>4390</v>
      </c>
      <c r="I19719" t="s">
        <v>98</v>
      </c>
      <c r="J19719">
        <v>348.94</v>
      </c>
      <c r="K19719">
        <v>67.540000000000006</v>
      </c>
      <c r="L19719">
        <v>14981</v>
      </c>
      <c r="M19719" t="s">
        <v>1211</v>
      </c>
      <c r="N19719" t="str">
        <f>"0106017779  "</f>
        <v xml:space="preserve">0106017779  </v>
      </c>
      <c r="O19719">
        <v>230802</v>
      </c>
    </row>
    <row r="19720" spans="1:15" x14ac:dyDescent="0.25">
      <c r="A19720" t="s">
        <v>16</v>
      </c>
      <c r="B19720" t="s">
        <v>3221</v>
      </c>
      <c r="C19720">
        <v>10263</v>
      </c>
      <c r="D19720" t="s">
        <v>3211</v>
      </c>
      <c r="E19720" t="s">
        <v>3212</v>
      </c>
      <c r="F19720">
        <v>1407.52</v>
      </c>
      <c r="G19720">
        <v>230731</v>
      </c>
      <c r="H19720">
        <v>4390</v>
      </c>
      <c r="I19720" t="s">
        <v>98</v>
      </c>
      <c r="J19720">
        <v>1745.32</v>
      </c>
      <c r="K19720">
        <v>337.8</v>
      </c>
      <c r="L19720">
        <v>14952</v>
      </c>
      <c r="M19720" t="s">
        <v>99</v>
      </c>
      <c r="N19720" t="str">
        <f>"0430028287  "</f>
        <v xml:space="preserve">0430028287  </v>
      </c>
      <c r="O19720">
        <v>230814</v>
      </c>
    </row>
    <row r="19721" spans="1:15" x14ac:dyDescent="0.25">
      <c r="A19721" t="s">
        <v>16</v>
      </c>
      <c r="B19721" t="s">
        <v>3221</v>
      </c>
      <c r="C19721">
        <v>10263</v>
      </c>
      <c r="D19721" t="s">
        <v>3211</v>
      </c>
      <c r="E19721" t="s">
        <v>3212</v>
      </c>
      <c r="F19721">
        <v>3284.2</v>
      </c>
      <c r="G19721">
        <v>230731</v>
      </c>
      <c r="H19721">
        <v>4390</v>
      </c>
      <c r="I19721" t="s">
        <v>98</v>
      </c>
      <c r="J19721">
        <v>4072.41</v>
      </c>
      <c r="K19721">
        <v>788.21</v>
      </c>
      <c r="L19721">
        <v>14981</v>
      </c>
      <c r="M19721" t="s">
        <v>1211</v>
      </c>
      <c r="N19721" t="str">
        <f>"0430028287  "</f>
        <v xml:space="preserve">0430028287  </v>
      </c>
      <c r="O19721">
        <v>230814</v>
      </c>
    </row>
    <row r="19722" spans="1:15" x14ac:dyDescent="0.25">
      <c r="A19722" t="s">
        <v>16</v>
      </c>
      <c r="B19722" t="s">
        <v>3221</v>
      </c>
      <c r="C19722">
        <v>11617</v>
      </c>
      <c r="D19722" t="s">
        <v>3211</v>
      </c>
      <c r="E19722" t="s">
        <v>3212</v>
      </c>
      <c r="F19722">
        <v>120.6</v>
      </c>
      <c r="G19722">
        <v>230901</v>
      </c>
      <c r="H19722">
        <v>4390</v>
      </c>
      <c r="I19722" t="s">
        <v>98</v>
      </c>
      <c r="J19722">
        <v>149.54</v>
      </c>
      <c r="K19722">
        <v>28.94</v>
      </c>
      <c r="L19722">
        <v>14952</v>
      </c>
      <c r="M19722" t="s">
        <v>99</v>
      </c>
      <c r="N19722" t="str">
        <f>"0106044679  "</f>
        <v xml:space="preserve">0106044679  </v>
      </c>
      <c r="O19722">
        <v>230907</v>
      </c>
    </row>
    <row r="19723" spans="1:15" x14ac:dyDescent="0.25">
      <c r="A19723" t="s">
        <v>16</v>
      </c>
      <c r="B19723" t="s">
        <v>3221</v>
      </c>
      <c r="C19723">
        <v>11617</v>
      </c>
      <c r="D19723" t="s">
        <v>3211</v>
      </c>
      <c r="E19723" t="s">
        <v>3212</v>
      </c>
      <c r="F19723">
        <v>281.39999999999998</v>
      </c>
      <c r="G19723">
        <v>230901</v>
      </c>
      <c r="H19723">
        <v>4390</v>
      </c>
      <c r="I19723" t="s">
        <v>98</v>
      </c>
      <c r="J19723">
        <v>348.94</v>
      </c>
      <c r="K19723">
        <v>67.540000000000006</v>
      </c>
      <c r="L19723">
        <v>14981</v>
      </c>
      <c r="M19723" t="s">
        <v>1211</v>
      </c>
      <c r="N19723" t="str">
        <f>"0106044679  "</f>
        <v xml:space="preserve">0106044679  </v>
      </c>
      <c r="O19723">
        <v>230907</v>
      </c>
    </row>
    <row r="19724" spans="1:15" x14ac:dyDescent="0.25">
      <c r="A19724" t="s">
        <v>16</v>
      </c>
      <c r="B19724" t="s">
        <v>3221</v>
      </c>
      <c r="C19724">
        <v>11849</v>
      </c>
      <c r="D19724" t="s">
        <v>3211</v>
      </c>
      <c r="E19724" t="s">
        <v>3212</v>
      </c>
      <c r="F19724">
        <v>366.41</v>
      </c>
      <c r="G19724">
        <v>230831</v>
      </c>
      <c r="H19724">
        <v>4390</v>
      </c>
      <c r="I19724" t="s">
        <v>98</v>
      </c>
      <c r="J19724">
        <v>454.35</v>
      </c>
      <c r="K19724">
        <v>87.94</v>
      </c>
      <c r="L19724">
        <v>14952</v>
      </c>
      <c r="M19724" t="s">
        <v>99</v>
      </c>
      <c r="N19724" t="str">
        <f>"0430028875  "</f>
        <v xml:space="preserve">0430028875  </v>
      </c>
      <c r="O19724">
        <v>230911</v>
      </c>
    </row>
    <row r="19725" spans="1:15" x14ac:dyDescent="0.25">
      <c r="A19725" t="s">
        <v>16</v>
      </c>
      <c r="B19725" t="s">
        <v>3221</v>
      </c>
      <c r="C19725">
        <v>11849</v>
      </c>
      <c r="D19725" t="s">
        <v>3211</v>
      </c>
      <c r="E19725" t="s">
        <v>3212</v>
      </c>
      <c r="F19725">
        <v>854.99</v>
      </c>
      <c r="G19725">
        <v>230831</v>
      </c>
      <c r="H19725">
        <v>4390</v>
      </c>
      <c r="I19725" t="s">
        <v>98</v>
      </c>
      <c r="J19725">
        <v>1060.19</v>
      </c>
      <c r="K19725">
        <v>205.2</v>
      </c>
      <c r="L19725">
        <v>14981</v>
      </c>
      <c r="M19725" t="s">
        <v>1211</v>
      </c>
      <c r="N19725" t="str">
        <f>"0430028875  "</f>
        <v xml:space="preserve">0430028875  </v>
      </c>
      <c r="O19725">
        <v>230911</v>
      </c>
    </row>
    <row r="19726" spans="1:15" x14ac:dyDescent="0.25">
      <c r="A19726" t="s">
        <v>16</v>
      </c>
      <c r="B19726" t="s">
        <v>3221</v>
      </c>
      <c r="C19726">
        <v>13622</v>
      </c>
      <c r="D19726" t="s">
        <v>3211</v>
      </c>
      <c r="E19726" t="s">
        <v>3212</v>
      </c>
      <c r="F19726">
        <v>294.3</v>
      </c>
      <c r="G19726">
        <v>230930</v>
      </c>
      <c r="H19726">
        <v>4390</v>
      </c>
      <c r="I19726" t="s">
        <v>98</v>
      </c>
      <c r="J19726">
        <v>364.93</v>
      </c>
      <c r="K19726">
        <v>70.63</v>
      </c>
      <c r="L19726">
        <v>14952</v>
      </c>
      <c r="M19726" t="s">
        <v>99</v>
      </c>
      <c r="N19726" t="str">
        <f>"0430029078  "</f>
        <v xml:space="preserve">0430029078  </v>
      </c>
      <c r="O19726">
        <v>231012</v>
      </c>
    </row>
    <row r="19727" spans="1:15" x14ac:dyDescent="0.25">
      <c r="A19727" t="s">
        <v>16</v>
      </c>
      <c r="B19727" t="s">
        <v>3221</v>
      </c>
      <c r="C19727">
        <v>13622</v>
      </c>
      <c r="D19727" t="s">
        <v>3211</v>
      </c>
      <c r="E19727" t="s">
        <v>3212</v>
      </c>
      <c r="F19727">
        <v>686.72</v>
      </c>
      <c r="G19727">
        <v>230930</v>
      </c>
      <c r="H19727">
        <v>4390</v>
      </c>
      <c r="I19727" t="s">
        <v>98</v>
      </c>
      <c r="J19727">
        <v>851.53</v>
      </c>
      <c r="K19727">
        <v>164.81</v>
      </c>
      <c r="L19727">
        <v>14981</v>
      </c>
      <c r="M19727" t="s">
        <v>1211</v>
      </c>
      <c r="N19727" t="str">
        <f>"0430029078  "</f>
        <v xml:space="preserve">0430029078  </v>
      </c>
      <c r="O19727">
        <v>231012</v>
      </c>
    </row>
    <row r="19728" spans="1:15" x14ac:dyDescent="0.25">
      <c r="A19728" t="s">
        <v>16</v>
      </c>
      <c r="B19728" t="s">
        <v>3221</v>
      </c>
      <c r="C19728">
        <v>13645</v>
      </c>
      <c r="D19728" t="s">
        <v>3211</v>
      </c>
      <c r="E19728" t="s">
        <v>3212</v>
      </c>
      <c r="F19728">
        <v>120.6</v>
      </c>
      <c r="G19728">
        <v>231001</v>
      </c>
      <c r="H19728">
        <v>4390</v>
      </c>
      <c r="I19728" t="s">
        <v>98</v>
      </c>
      <c r="J19728">
        <v>149.54</v>
      </c>
      <c r="K19728">
        <v>28.94</v>
      </c>
      <c r="L19728">
        <v>14952</v>
      </c>
      <c r="M19728" t="s">
        <v>99</v>
      </c>
      <c r="N19728" t="str">
        <f>"0106081269  "</f>
        <v xml:space="preserve">0106081269  </v>
      </c>
      <c r="O19728">
        <v>231012</v>
      </c>
    </row>
    <row r="19729" spans="1:15" x14ac:dyDescent="0.25">
      <c r="A19729" t="s">
        <v>16</v>
      </c>
      <c r="B19729" t="s">
        <v>3221</v>
      </c>
      <c r="C19729">
        <v>13645</v>
      </c>
      <c r="D19729" t="s">
        <v>3211</v>
      </c>
      <c r="E19729" t="s">
        <v>3212</v>
      </c>
      <c r="F19729">
        <v>281.39999999999998</v>
      </c>
      <c r="G19729">
        <v>231001</v>
      </c>
      <c r="H19729">
        <v>4390</v>
      </c>
      <c r="I19729" t="s">
        <v>98</v>
      </c>
      <c r="J19729">
        <v>348.94</v>
      </c>
      <c r="K19729">
        <v>67.540000000000006</v>
      </c>
      <c r="L19729">
        <v>14981</v>
      </c>
      <c r="M19729" t="s">
        <v>1211</v>
      </c>
      <c r="N19729" t="str">
        <f>"0106081269  "</f>
        <v xml:space="preserve">0106081269  </v>
      </c>
      <c r="O19729">
        <v>231012</v>
      </c>
    </row>
    <row r="19730" spans="1:15" x14ac:dyDescent="0.25">
      <c r="A19730" t="s">
        <v>16</v>
      </c>
      <c r="B19730" t="s">
        <v>3221</v>
      </c>
      <c r="C19730">
        <v>14973</v>
      </c>
      <c r="D19730" t="s">
        <v>3211</v>
      </c>
      <c r="E19730" t="s">
        <v>3212</v>
      </c>
      <c r="F19730">
        <v>120.6</v>
      </c>
      <c r="G19730">
        <v>231101</v>
      </c>
      <c r="H19730">
        <v>4390</v>
      </c>
      <c r="I19730" t="s">
        <v>98</v>
      </c>
      <c r="J19730">
        <v>149.54</v>
      </c>
      <c r="K19730">
        <v>28.94</v>
      </c>
      <c r="L19730">
        <v>14952</v>
      </c>
      <c r="M19730" t="s">
        <v>99</v>
      </c>
      <c r="N19730" t="str">
        <f>"0106097023  "</f>
        <v xml:space="preserve">0106097023  </v>
      </c>
      <c r="O19730">
        <v>231107</v>
      </c>
    </row>
    <row r="19731" spans="1:15" x14ac:dyDescent="0.25">
      <c r="A19731" t="s">
        <v>16</v>
      </c>
      <c r="B19731" t="s">
        <v>3221</v>
      </c>
      <c r="C19731">
        <v>14973</v>
      </c>
      <c r="D19731" t="s">
        <v>3211</v>
      </c>
      <c r="E19731" t="s">
        <v>3212</v>
      </c>
      <c r="F19731">
        <v>281.39999999999998</v>
      </c>
      <c r="G19731">
        <v>231101</v>
      </c>
      <c r="H19731">
        <v>4390</v>
      </c>
      <c r="I19731" t="s">
        <v>98</v>
      </c>
      <c r="J19731">
        <v>348.94</v>
      </c>
      <c r="K19731">
        <v>67.540000000000006</v>
      </c>
      <c r="L19731">
        <v>14981</v>
      </c>
      <c r="M19731" t="s">
        <v>1211</v>
      </c>
      <c r="N19731" t="str">
        <f>"0106097023  "</f>
        <v xml:space="preserve">0106097023  </v>
      </c>
      <c r="O19731">
        <v>231107</v>
      </c>
    </row>
    <row r="19732" spans="1:15" x14ac:dyDescent="0.25">
      <c r="A19732" t="s">
        <v>16</v>
      </c>
      <c r="B19732" t="s">
        <v>3221</v>
      </c>
      <c r="C19732">
        <v>15647</v>
      </c>
      <c r="D19732" t="s">
        <v>3211</v>
      </c>
      <c r="E19732" t="s">
        <v>3212</v>
      </c>
      <c r="F19732">
        <v>404.52</v>
      </c>
      <c r="G19732">
        <v>231031</v>
      </c>
      <c r="H19732">
        <v>4390</v>
      </c>
      <c r="I19732" t="s">
        <v>98</v>
      </c>
      <c r="J19732">
        <v>501.6</v>
      </c>
      <c r="K19732">
        <v>97.08</v>
      </c>
      <c r="L19732">
        <v>14952</v>
      </c>
      <c r="M19732" t="s">
        <v>99</v>
      </c>
      <c r="N19732" t="str">
        <f>"0430029768  "</f>
        <v xml:space="preserve">0430029768  </v>
      </c>
      <c r="O19732">
        <v>231116</v>
      </c>
    </row>
    <row r="19733" spans="1:15" x14ac:dyDescent="0.25">
      <c r="A19733" t="s">
        <v>16</v>
      </c>
      <c r="B19733" t="s">
        <v>3221</v>
      </c>
      <c r="C19733">
        <v>15647</v>
      </c>
      <c r="D19733" t="s">
        <v>3211</v>
      </c>
      <c r="E19733" t="s">
        <v>3212</v>
      </c>
      <c r="F19733">
        <v>943.9</v>
      </c>
      <c r="G19733">
        <v>231031</v>
      </c>
      <c r="H19733">
        <v>4390</v>
      </c>
      <c r="I19733" t="s">
        <v>98</v>
      </c>
      <c r="J19733">
        <v>1170.44</v>
      </c>
      <c r="K19733">
        <v>226.54</v>
      </c>
      <c r="L19733">
        <v>14981</v>
      </c>
      <c r="M19733" t="s">
        <v>1211</v>
      </c>
      <c r="N19733" t="str">
        <f>"0430029768  "</f>
        <v xml:space="preserve">0430029768  </v>
      </c>
      <c r="O19733">
        <v>231116</v>
      </c>
    </row>
    <row r="19734" spans="1:15" x14ac:dyDescent="0.25">
      <c r="A19734" t="s">
        <v>16</v>
      </c>
      <c r="B19734" t="s">
        <v>3221</v>
      </c>
      <c r="C19734">
        <v>17181</v>
      </c>
      <c r="D19734" t="s">
        <v>3211</v>
      </c>
      <c r="E19734" t="s">
        <v>3212</v>
      </c>
      <c r="F19734">
        <v>1943.27</v>
      </c>
      <c r="G19734">
        <v>231130</v>
      </c>
      <c r="H19734">
        <v>4390</v>
      </c>
      <c r="I19734" t="s">
        <v>98</v>
      </c>
      <c r="J19734">
        <v>2409.66</v>
      </c>
      <c r="K19734">
        <v>466.39</v>
      </c>
      <c r="L19734">
        <v>14952</v>
      </c>
      <c r="M19734" t="s">
        <v>99</v>
      </c>
      <c r="N19734" t="str">
        <f>"0430030248  "</f>
        <v xml:space="preserve">0430030248  </v>
      </c>
      <c r="O19734">
        <v>231212</v>
      </c>
    </row>
    <row r="19735" spans="1:15" x14ac:dyDescent="0.25">
      <c r="A19735" t="s">
        <v>16</v>
      </c>
      <c r="B19735" t="s">
        <v>3221</v>
      </c>
      <c r="C19735">
        <v>17181</v>
      </c>
      <c r="D19735" t="s">
        <v>3211</v>
      </c>
      <c r="E19735" t="s">
        <v>3212</v>
      </c>
      <c r="F19735">
        <v>4534.3100000000004</v>
      </c>
      <c r="G19735">
        <v>231130</v>
      </c>
      <c r="H19735">
        <v>4390</v>
      </c>
      <c r="I19735" t="s">
        <v>98</v>
      </c>
      <c r="J19735">
        <v>5622.54</v>
      </c>
      <c r="K19735">
        <v>1088.23</v>
      </c>
      <c r="L19735">
        <v>14981</v>
      </c>
      <c r="M19735" t="s">
        <v>1211</v>
      </c>
      <c r="N19735" t="str">
        <f>"0430030248  "</f>
        <v xml:space="preserve">0430030248  </v>
      </c>
      <c r="O19735">
        <v>231212</v>
      </c>
    </row>
    <row r="19736" spans="1:15" x14ac:dyDescent="0.25">
      <c r="A19736" t="s">
        <v>16</v>
      </c>
      <c r="B19736" t="s">
        <v>3221</v>
      </c>
      <c r="C19736">
        <v>17182</v>
      </c>
      <c r="D19736" t="s">
        <v>3211</v>
      </c>
      <c r="E19736" t="s">
        <v>3212</v>
      </c>
      <c r="F19736">
        <v>120.6</v>
      </c>
      <c r="G19736">
        <v>231201</v>
      </c>
      <c r="H19736">
        <v>4390</v>
      </c>
      <c r="I19736" t="s">
        <v>98</v>
      </c>
      <c r="J19736">
        <v>149.54</v>
      </c>
      <c r="K19736">
        <v>28.94</v>
      </c>
      <c r="L19736">
        <v>14952</v>
      </c>
      <c r="M19736" t="s">
        <v>99</v>
      </c>
      <c r="N19736" t="str">
        <f>"0106114044  "</f>
        <v xml:space="preserve">0106114044  </v>
      </c>
      <c r="O19736">
        <v>231212</v>
      </c>
    </row>
    <row r="19737" spans="1:15" x14ac:dyDescent="0.25">
      <c r="A19737" t="s">
        <v>16</v>
      </c>
      <c r="B19737" t="s">
        <v>3221</v>
      </c>
      <c r="C19737">
        <v>17182</v>
      </c>
      <c r="D19737" t="s">
        <v>3211</v>
      </c>
      <c r="E19737" t="s">
        <v>3212</v>
      </c>
      <c r="F19737">
        <v>281.39999999999998</v>
      </c>
      <c r="G19737">
        <v>231201</v>
      </c>
      <c r="H19737">
        <v>4390</v>
      </c>
      <c r="I19737" t="s">
        <v>98</v>
      </c>
      <c r="J19737">
        <v>348.94</v>
      </c>
      <c r="K19737">
        <v>67.540000000000006</v>
      </c>
      <c r="L19737">
        <v>14981</v>
      </c>
      <c r="M19737" t="s">
        <v>1211</v>
      </c>
      <c r="N19737" t="str">
        <f>"0106114044  "</f>
        <v xml:space="preserve">0106114044  </v>
      </c>
      <c r="O19737">
        <v>231212</v>
      </c>
    </row>
    <row r="19738" spans="1:15" x14ac:dyDescent="0.25">
      <c r="A19738" t="s">
        <v>16</v>
      </c>
      <c r="B19738" t="s">
        <v>3221</v>
      </c>
      <c r="C19738">
        <v>19217</v>
      </c>
      <c r="D19738" t="s">
        <v>3211</v>
      </c>
      <c r="E19738" t="s">
        <v>3212</v>
      </c>
      <c r="F19738">
        <v>1487.94</v>
      </c>
      <c r="G19738">
        <v>231231</v>
      </c>
      <c r="H19738">
        <v>4390</v>
      </c>
      <c r="I19738" t="s">
        <v>98</v>
      </c>
      <c r="J19738">
        <v>1845.04</v>
      </c>
      <c r="K19738">
        <v>357.1</v>
      </c>
      <c r="L19738">
        <v>14952</v>
      </c>
      <c r="M19738" t="s">
        <v>99</v>
      </c>
      <c r="N19738" t="str">
        <f>"0430030950  "</f>
        <v xml:space="preserve">0430030950  </v>
      </c>
      <c r="O19738">
        <v>240115</v>
      </c>
    </row>
    <row r="19739" spans="1:15" x14ac:dyDescent="0.25">
      <c r="A19739" t="s">
        <v>16</v>
      </c>
      <c r="B19739" t="s">
        <v>3221</v>
      </c>
      <c r="C19739">
        <v>19217</v>
      </c>
      <c r="D19739" t="s">
        <v>3211</v>
      </c>
      <c r="E19739" t="s">
        <v>3212</v>
      </c>
      <c r="F19739">
        <v>3471.86</v>
      </c>
      <c r="G19739">
        <v>231231</v>
      </c>
      <c r="H19739">
        <v>4390</v>
      </c>
      <c r="I19739" t="s">
        <v>98</v>
      </c>
      <c r="J19739">
        <v>4305.1099999999997</v>
      </c>
      <c r="K19739">
        <v>833.25</v>
      </c>
      <c r="L19739">
        <v>14981</v>
      </c>
      <c r="M19739" t="s">
        <v>1211</v>
      </c>
      <c r="N19739" t="str">
        <f>"0430030950  "</f>
        <v xml:space="preserve">0430030950  </v>
      </c>
      <c r="O19739">
        <v>240115</v>
      </c>
    </row>
    <row r="19740" spans="1:15" x14ac:dyDescent="0.25">
      <c r="A19740" t="s">
        <v>16</v>
      </c>
      <c r="B19740" t="s">
        <v>3221</v>
      </c>
      <c r="C19740">
        <v>17181</v>
      </c>
      <c r="D19740" t="s">
        <v>3211</v>
      </c>
      <c r="E19740" t="s">
        <v>3212</v>
      </c>
      <c r="F19740">
        <v>67.5</v>
      </c>
      <c r="G19740">
        <v>231130</v>
      </c>
      <c r="H19740">
        <v>4347</v>
      </c>
      <c r="I19740" t="s">
        <v>193</v>
      </c>
      <c r="J19740">
        <v>83.7</v>
      </c>
      <c r="K19740">
        <v>16.2</v>
      </c>
      <c r="L19740">
        <v>14952</v>
      </c>
      <c r="M19740" t="s">
        <v>99</v>
      </c>
      <c r="N19740" t="str">
        <f>"0430030248  "</f>
        <v xml:space="preserve">0430030248  </v>
      </c>
      <c r="O19740">
        <v>231212</v>
      </c>
    </row>
    <row r="19741" spans="1:15" x14ac:dyDescent="0.25">
      <c r="A19741" t="s">
        <v>16</v>
      </c>
      <c r="B19741" t="s">
        <v>3221</v>
      </c>
      <c r="C19741">
        <v>17181</v>
      </c>
      <c r="D19741" t="s">
        <v>3211</v>
      </c>
      <c r="E19741" t="s">
        <v>3212</v>
      </c>
      <c r="F19741">
        <v>157.5</v>
      </c>
      <c r="G19741">
        <v>231130</v>
      </c>
      <c r="H19741">
        <v>4347</v>
      </c>
      <c r="I19741" t="s">
        <v>193</v>
      </c>
      <c r="J19741">
        <v>195.3</v>
      </c>
      <c r="K19741">
        <v>37.799999999999997</v>
      </c>
      <c r="L19741">
        <v>14981</v>
      </c>
      <c r="M19741" t="s">
        <v>1211</v>
      </c>
      <c r="N19741" t="str">
        <f>"0430030248  "</f>
        <v xml:space="preserve">0430030248  </v>
      </c>
      <c r="O19741">
        <v>231212</v>
      </c>
    </row>
    <row r="19742" spans="1:15" x14ac:dyDescent="0.25">
      <c r="A19742" t="s">
        <v>16</v>
      </c>
      <c r="B19742" t="s">
        <v>3221</v>
      </c>
      <c r="C19742">
        <v>15647</v>
      </c>
      <c r="D19742" t="s">
        <v>3211</v>
      </c>
      <c r="E19742" t="s">
        <v>3212</v>
      </c>
      <c r="F19742">
        <v>41.69</v>
      </c>
      <c r="G19742">
        <v>231031</v>
      </c>
      <c r="H19742">
        <v>4471</v>
      </c>
      <c r="I19742" t="s">
        <v>68</v>
      </c>
      <c r="J19742">
        <v>51.69</v>
      </c>
      <c r="K19742">
        <v>10</v>
      </c>
      <c r="L19742">
        <v>14952</v>
      </c>
      <c r="M19742" t="s">
        <v>99</v>
      </c>
      <c r="N19742" t="str">
        <f>"0430029768  "</f>
        <v xml:space="preserve">0430029768  </v>
      </c>
      <c r="O19742">
        <v>231116</v>
      </c>
    </row>
    <row r="19743" spans="1:15" x14ac:dyDescent="0.25">
      <c r="A19743" t="s">
        <v>16</v>
      </c>
      <c r="B19743" t="s">
        <v>3221</v>
      </c>
      <c r="C19743">
        <v>15647</v>
      </c>
      <c r="D19743" t="s">
        <v>3211</v>
      </c>
      <c r="E19743" t="s">
        <v>3212</v>
      </c>
      <c r="F19743">
        <v>97.28</v>
      </c>
      <c r="G19743">
        <v>231031</v>
      </c>
      <c r="H19743">
        <v>4471</v>
      </c>
      <c r="I19743" t="s">
        <v>68</v>
      </c>
      <c r="J19743">
        <v>120.63</v>
      </c>
      <c r="K19743">
        <v>23.35</v>
      </c>
      <c r="L19743">
        <v>14981</v>
      </c>
      <c r="M19743" t="s">
        <v>1211</v>
      </c>
      <c r="N19743" t="str">
        <f>"0430029768  "</f>
        <v xml:space="preserve">0430029768  </v>
      </c>
      <c r="O19743">
        <v>231116</v>
      </c>
    </row>
    <row r="19744" spans="1:15" x14ac:dyDescent="0.25">
      <c r="A19744" t="s">
        <v>16</v>
      </c>
      <c r="B19744" t="s">
        <v>3221</v>
      </c>
      <c r="C19744">
        <v>13622</v>
      </c>
      <c r="D19744" t="s">
        <v>3211</v>
      </c>
      <c r="E19744" t="s">
        <v>3212</v>
      </c>
      <c r="F19744">
        <v>87.14</v>
      </c>
      <c r="G19744">
        <v>230930</v>
      </c>
      <c r="H19744">
        <v>4573</v>
      </c>
      <c r="I19744" t="s">
        <v>46</v>
      </c>
      <c r="J19744">
        <v>108.05</v>
      </c>
      <c r="K19744">
        <v>20.91</v>
      </c>
      <c r="L19744">
        <v>14952</v>
      </c>
      <c r="M19744" t="s">
        <v>99</v>
      </c>
      <c r="N19744" t="str">
        <f>"0430029078  "</f>
        <v xml:space="preserve">0430029078  </v>
      </c>
      <c r="O19744">
        <v>231012</v>
      </c>
    </row>
    <row r="19745" spans="1:15" x14ac:dyDescent="0.25">
      <c r="A19745" t="s">
        <v>16</v>
      </c>
      <c r="B19745" t="s">
        <v>3221</v>
      </c>
      <c r="C19745">
        <v>13622</v>
      </c>
      <c r="D19745" t="s">
        <v>3211</v>
      </c>
      <c r="E19745" t="s">
        <v>3212</v>
      </c>
      <c r="F19745">
        <v>203.33</v>
      </c>
      <c r="G19745">
        <v>230930</v>
      </c>
      <c r="H19745">
        <v>4573</v>
      </c>
      <c r="I19745" t="s">
        <v>46</v>
      </c>
      <c r="J19745">
        <v>252.13</v>
      </c>
      <c r="K19745">
        <v>48.8</v>
      </c>
      <c r="L19745">
        <v>14981</v>
      </c>
      <c r="M19745" t="s">
        <v>1211</v>
      </c>
      <c r="N19745" t="str">
        <f>"0430029078  "</f>
        <v xml:space="preserve">0430029078  </v>
      </c>
      <c r="O19745">
        <v>231012</v>
      </c>
    </row>
    <row r="19746" spans="1:15" x14ac:dyDescent="0.25">
      <c r="A19746" t="s">
        <v>16</v>
      </c>
      <c r="B19746" t="s">
        <v>3221</v>
      </c>
      <c r="C19746">
        <v>15647</v>
      </c>
      <c r="D19746" t="s">
        <v>3211</v>
      </c>
      <c r="E19746" t="s">
        <v>3212</v>
      </c>
      <c r="F19746">
        <v>172.41</v>
      </c>
      <c r="G19746">
        <v>231031</v>
      </c>
      <c r="H19746">
        <v>4573</v>
      </c>
      <c r="I19746" t="s">
        <v>46</v>
      </c>
      <c r="J19746">
        <v>213.79</v>
      </c>
      <c r="K19746">
        <v>41.38</v>
      </c>
      <c r="L19746">
        <v>14952</v>
      </c>
      <c r="M19746" t="s">
        <v>99</v>
      </c>
      <c r="N19746" t="str">
        <f>"0430029768  "</f>
        <v xml:space="preserve">0430029768  </v>
      </c>
      <c r="O19746">
        <v>231116</v>
      </c>
    </row>
    <row r="19747" spans="1:15" x14ac:dyDescent="0.25">
      <c r="A19747" t="s">
        <v>16</v>
      </c>
      <c r="B19747" t="s">
        <v>3221</v>
      </c>
      <c r="C19747">
        <v>15647</v>
      </c>
      <c r="D19747" t="s">
        <v>3211</v>
      </c>
      <c r="E19747" t="s">
        <v>3212</v>
      </c>
      <c r="F19747">
        <v>402.31</v>
      </c>
      <c r="G19747">
        <v>231031</v>
      </c>
      <c r="H19747">
        <v>4573</v>
      </c>
      <c r="I19747" t="s">
        <v>46</v>
      </c>
      <c r="J19747">
        <v>498.86</v>
      </c>
      <c r="K19747">
        <v>96.55</v>
      </c>
      <c r="L19747">
        <v>14981</v>
      </c>
      <c r="M19747" t="s">
        <v>1211</v>
      </c>
      <c r="N19747" t="str">
        <f>"0430029768  "</f>
        <v xml:space="preserve">0430029768  </v>
      </c>
      <c r="O19747">
        <v>231116</v>
      </c>
    </row>
    <row r="19748" spans="1:15" x14ac:dyDescent="0.25">
      <c r="A19748" t="s">
        <v>16</v>
      </c>
      <c r="B19748" t="s">
        <v>3221</v>
      </c>
      <c r="C19748">
        <v>19217</v>
      </c>
      <c r="D19748" t="s">
        <v>3211</v>
      </c>
      <c r="E19748" t="s">
        <v>3212</v>
      </c>
      <c r="F19748">
        <v>172.15</v>
      </c>
      <c r="G19748">
        <v>231231</v>
      </c>
      <c r="H19748">
        <v>4573</v>
      </c>
      <c r="I19748" t="s">
        <v>46</v>
      </c>
      <c r="J19748">
        <v>213.47</v>
      </c>
      <c r="K19748">
        <v>41.32</v>
      </c>
      <c r="L19748">
        <v>14952</v>
      </c>
      <c r="M19748" t="s">
        <v>99</v>
      </c>
      <c r="N19748" t="str">
        <f>"0430030950  "</f>
        <v xml:space="preserve">0430030950  </v>
      </c>
      <c r="O19748">
        <v>240115</v>
      </c>
    </row>
    <row r="19749" spans="1:15" x14ac:dyDescent="0.25">
      <c r="A19749" t="s">
        <v>16</v>
      </c>
      <c r="B19749" t="s">
        <v>3221</v>
      </c>
      <c r="C19749">
        <v>19217</v>
      </c>
      <c r="D19749" t="s">
        <v>3211</v>
      </c>
      <c r="E19749" t="s">
        <v>3212</v>
      </c>
      <c r="F19749">
        <v>401.69</v>
      </c>
      <c r="G19749">
        <v>231231</v>
      </c>
      <c r="H19749">
        <v>4573</v>
      </c>
      <c r="I19749" t="s">
        <v>46</v>
      </c>
      <c r="J19749">
        <v>498.1</v>
      </c>
      <c r="K19749">
        <v>96.41</v>
      </c>
      <c r="L19749">
        <v>14981</v>
      </c>
      <c r="M19749" t="s">
        <v>1211</v>
      </c>
      <c r="N19749" t="str">
        <f>"0430030950  "</f>
        <v xml:space="preserve">0430030950  </v>
      </c>
      <c r="O19749">
        <v>240115</v>
      </c>
    </row>
    <row r="19750" spans="1:15" x14ac:dyDescent="0.25">
      <c r="A19750" t="s">
        <v>16</v>
      </c>
      <c r="B19750" t="s">
        <v>3221</v>
      </c>
      <c r="C19750">
        <v>14674</v>
      </c>
      <c r="D19750" t="s">
        <v>3711</v>
      </c>
      <c r="E19750" t="s">
        <v>3552</v>
      </c>
      <c r="F19750">
        <v>43.55</v>
      </c>
      <c r="G19750">
        <v>231030</v>
      </c>
      <c r="H19750">
        <v>4440</v>
      </c>
      <c r="I19750" t="s">
        <v>250</v>
      </c>
      <c r="J19750">
        <v>54</v>
      </c>
      <c r="K19750">
        <v>10.45</v>
      </c>
      <c r="L19750">
        <v>14971</v>
      </c>
      <c r="M19750" t="s">
        <v>1259</v>
      </c>
      <c r="N19750" t="str">
        <f>"41320       "</f>
        <v xml:space="preserve">41320       </v>
      </c>
      <c r="O19750">
        <v>231031</v>
      </c>
    </row>
    <row r="19751" spans="1:15" x14ac:dyDescent="0.25">
      <c r="A19751" t="s">
        <v>16</v>
      </c>
      <c r="B19751" t="s">
        <v>3221</v>
      </c>
      <c r="C19751">
        <v>14674</v>
      </c>
      <c r="D19751" t="s">
        <v>3711</v>
      </c>
      <c r="E19751" t="s">
        <v>3552</v>
      </c>
      <c r="F19751">
        <v>736.36</v>
      </c>
      <c r="G19751">
        <v>231030</v>
      </c>
      <c r="H19751">
        <v>4440</v>
      </c>
      <c r="I19751" t="s">
        <v>250</v>
      </c>
      <c r="J19751">
        <v>810</v>
      </c>
      <c r="K19751">
        <v>73.64</v>
      </c>
      <c r="L19751">
        <v>14971</v>
      </c>
      <c r="M19751" t="s">
        <v>1259</v>
      </c>
      <c r="N19751" t="str">
        <f>"41320       "</f>
        <v xml:space="preserve">41320       </v>
      </c>
      <c r="O19751">
        <v>231031</v>
      </c>
    </row>
    <row r="19752" spans="1:15" x14ac:dyDescent="0.25">
      <c r="A19752" t="s">
        <v>16</v>
      </c>
      <c r="B19752" t="s">
        <v>3221</v>
      </c>
      <c r="C19752">
        <v>1801</v>
      </c>
      <c r="D19752" t="s">
        <v>1191</v>
      </c>
      <c r="E19752" t="s">
        <v>1192</v>
      </c>
      <c r="F19752">
        <v>83.64</v>
      </c>
      <c r="G19752">
        <v>230209</v>
      </c>
      <c r="H19752">
        <v>4600</v>
      </c>
      <c r="I19752" t="s">
        <v>105</v>
      </c>
      <c r="J19752">
        <v>103.71</v>
      </c>
      <c r="K19752">
        <v>20.07</v>
      </c>
      <c r="L19752">
        <v>47522</v>
      </c>
      <c r="M19752" t="s">
        <v>410</v>
      </c>
      <c r="N19752" t="str">
        <f>"42627       "</f>
        <v xml:space="preserve">42627       </v>
      </c>
      <c r="O19752">
        <v>230214</v>
      </c>
    </row>
    <row r="19753" spans="1:15" x14ac:dyDescent="0.25">
      <c r="A19753" t="s">
        <v>16</v>
      </c>
      <c r="B19753" t="s">
        <v>3221</v>
      </c>
      <c r="C19753">
        <v>10946</v>
      </c>
      <c r="D19753" t="s">
        <v>2431</v>
      </c>
      <c r="E19753" t="s">
        <v>2432</v>
      </c>
      <c r="F19753">
        <v>56</v>
      </c>
      <c r="G19753">
        <v>230815</v>
      </c>
      <c r="H19753">
        <v>4600</v>
      </c>
      <c r="I19753" t="s">
        <v>105</v>
      </c>
      <c r="J19753">
        <v>69.44</v>
      </c>
      <c r="K19753">
        <v>13.44</v>
      </c>
      <c r="L19753">
        <v>55255</v>
      </c>
      <c r="M19753" t="s">
        <v>1174</v>
      </c>
      <c r="N19753" t="str">
        <f>"23994       "</f>
        <v xml:space="preserve">23994       </v>
      </c>
      <c r="O19753">
        <v>230825</v>
      </c>
    </row>
    <row r="19754" spans="1:15" x14ac:dyDescent="0.25">
      <c r="A19754" t="s">
        <v>16</v>
      </c>
      <c r="B19754" t="s">
        <v>3221</v>
      </c>
      <c r="C19754">
        <v>10946</v>
      </c>
      <c r="D19754" t="s">
        <v>2431</v>
      </c>
      <c r="E19754" t="s">
        <v>2432</v>
      </c>
      <c r="F19754">
        <v>110</v>
      </c>
      <c r="G19754">
        <v>230815</v>
      </c>
      <c r="H19754">
        <v>4600</v>
      </c>
      <c r="I19754" t="s">
        <v>105</v>
      </c>
      <c r="J19754">
        <v>136.4</v>
      </c>
      <c r="K19754">
        <v>26.4</v>
      </c>
      <c r="L19754">
        <v>56528</v>
      </c>
      <c r="M19754" t="s">
        <v>153</v>
      </c>
      <c r="N19754" t="str">
        <f>"23994       "</f>
        <v xml:space="preserve">23994       </v>
      </c>
      <c r="O19754">
        <v>230825</v>
      </c>
    </row>
    <row r="19755" spans="1:15" x14ac:dyDescent="0.25">
      <c r="A19755" t="s">
        <v>16</v>
      </c>
      <c r="B19755" t="s">
        <v>3221</v>
      </c>
      <c r="C19755">
        <v>3792</v>
      </c>
      <c r="D19755" t="s">
        <v>1617</v>
      </c>
      <c r="E19755" t="s">
        <v>1618</v>
      </c>
      <c r="F19755">
        <v>66.900000000000006</v>
      </c>
      <c r="G19755">
        <v>230316</v>
      </c>
      <c r="H19755">
        <v>4600</v>
      </c>
      <c r="I19755" t="s">
        <v>105</v>
      </c>
      <c r="J19755">
        <v>82.96</v>
      </c>
      <c r="K19755">
        <v>16.059999999999999</v>
      </c>
      <c r="L19755">
        <v>17524</v>
      </c>
      <c r="M19755" t="s">
        <v>452</v>
      </c>
      <c r="N19755" t="str">
        <f>"9218        "</f>
        <v xml:space="preserve">9218        </v>
      </c>
      <c r="O19755">
        <v>230322</v>
      </c>
    </row>
    <row r="19756" spans="1:15" x14ac:dyDescent="0.25">
      <c r="A19756" t="s">
        <v>16</v>
      </c>
      <c r="B19756" t="s">
        <v>3221</v>
      </c>
      <c r="C19756">
        <v>5693</v>
      </c>
      <c r="D19756" t="s">
        <v>1617</v>
      </c>
      <c r="E19756" t="s">
        <v>1618</v>
      </c>
      <c r="F19756">
        <v>40.85</v>
      </c>
      <c r="G19756">
        <v>230422</v>
      </c>
      <c r="H19756">
        <v>4600</v>
      </c>
      <c r="I19756" t="s">
        <v>105</v>
      </c>
      <c r="J19756">
        <v>50.66</v>
      </c>
      <c r="K19756">
        <v>9.81</v>
      </c>
      <c r="L19756">
        <v>17524</v>
      </c>
      <c r="M19756" t="s">
        <v>452</v>
      </c>
      <c r="N19756" t="str">
        <f>"9274        "</f>
        <v xml:space="preserve">9274        </v>
      </c>
      <c r="O19756">
        <v>230502</v>
      </c>
    </row>
    <row r="19757" spans="1:15" x14ac:dyDescent="0.25">
      <c r="A19757" t="s">
        <v>16</v>
      </c>
      <c r="B19757" t="s">
        <v>3221</v>
      </c>
      <c r="C19757">
        <v>12105</v>
      </c>
      <c r="D19757" t="s">
        <v>1617</v>
      </c>
      <c r="E19757" t="s">
        <v>1618</v>
      </c>
      <c r="F19757">
        <v>515.17999999999995</v>
      </c>
      <c r="G19757">
        <v>230911</v>
      </c>
      <c r="H19757">
        <v>4600</v>
      </c>
      <c r="I19757" t="s">
        <v>105</v>
      </c>
      <c r="J19757">
        <v>638.82000000000005</v>
      </c>
      <c r="K19757">
        <v>123.64</v>
      </c>
      <c r="L19757">
        <v>17524</v>
      </c>
      <c r="M19757" t="s">
        <v>452</v>
      </c>
      <c r="N19757" t="str">
        <f>"9480        "</f>
        <v xml:space="preserve">9480        </v>
      </c>
      <c r="O19757">
        <v>230914</v>
      </c>
    </row>
    <row r="19758" spans="1:15" x14ac:dyDescent="0.25">
      <c r="A19758" t="s">
        <v>16</v>
      </c>
      <c r="B19758" t="s">
        <v>3221</v>
      </c>
      <c r="C19758">
        <v>7926</v>
      </c>
      <c r="D19758" t="s">
        <v>2144</v>
      </c>
      <c r="E19758" t="s">
        <v>2145</v>
      </c>
      <c r="F19758">
        <v>2781.45</v>
      </c>
      <c r="G19758">
        <v>230526</v>
      </c>
      <c r="H19758">
        <v>4346</v>
      </c>
      <c r="I19758" t="s">
        <v>197</v>
      </c>
      <c r="J19758">
        <v>3449</v>
      </c>
      <c r="K19758">
        <v>667.55</v>
      </c>
      <c r="L19758">
        <v>11905</v>
      </c>
      <c r="M19758" t="s">
        <v>39</v>
      </c>
      <c r="N19758" t="str">
        <f>"1685        "</f>
        <v xml:space="preserve">1685        </v>
      </c>
      <c r="O19758">
        <v>230606</v>
      </c>
    </row>
    <row r="19759" spans="1:15" x14ac:dyDescent="0.25">
      <c r="A19759" t="s">
        <v>16</v>
      </c>
      <c r="B19759" t="s">
        <v>3221</v>
      </c>
      <c r="C19759">
        <v>8455</v>
      </c>
      <c r="D19759" t="s">
        <v>2144</v>
      </c>
      <c r="E19759" t="s">
        <v>2145</v>
      </c>
      <c r="F19759">
        <v>3682.65</v>
      </c>
      <c r="G19759">
        <v>230526</v>
      </c>
      <c r="H19759">
        <v>4346</v>
      </c>
      <c r="I19759" t="s">
        <v>197</v>
      </c>
      <c r="J19759">
        <v>4566.49</v>
      </c>
      <c r="K19759">
        <v>883.84</v>
      </c>
      <c r="L19759">
        <v>11905</v>
      </c>
      <c r="M19759" t="s">
        <v>39</v>
      </c>
      <c r="N19759" t="str">
        <f>"1686        "</f>
        <v xml:space="preserve">1686        </v>
      </c>
      <c r="O19759">
        <v>230609</v>
      </c>
    </row>
    <row r="19760" spans="1:15" x14ac:dyDescent="0.25">
      <c r="A19760" t="s">
        <v>16</v>
      </c>
      <c r="B19760" t="s">
        <v>3221</v>
      </c>
      <c r="C19760">
        <v>8455</v>
      </c>
      <c r="D19760" t="s">
        <v>2144</v>
      </c>
      <c r="E19760" t="s">
        <v>2145</v>
      </c>
      <c r="F19760">
        <v>7212.9</v>
      </c>
      <c r="G19760">
        <v>230526</v>
      </c>
      <c r="H19760">
        <v>4346</v>
      </c>
      <c r="I19760" t="s">
        <v>197</v>
      </c>
      <c r="J19760">
        <v>8944</v>
      </c>
      <c r="K19760">
        <v>1731.1</v>
      </c>
      <c r="L19760">
        <v>11905</v>
      </c>
      <c r="M19760" t="s">
        <v>39</v>
      </c>
      <c r="N19760" t="str">
        <f>"1686        "</f>
        <v xml:space="preserve">1686        </v>
      </c>
      <c r="O19760">
        <v>230609</v>
      </c>
    </row>
    <row r="19761" spans="1:15" x14ac:dyDescent="0.25">
      <c r="A19761" t="s">
        <v>16</v>
      </c>
      <c r="B19761" t="s">
        <v>3221</v>
      </c>
      <c r="C19761">
        <v>1529</v>
      </c>
      <c r="D19761" t="s">
        <v>350</v>
      </c>
      <c r="E19761" t="s">
        <v>351</v>
      </c>
      <c r="F19761">
        <v>60.08</v>
      </c>
      <c r="G19761">
        <v>230201</v>
      </c>
      <c r="H19761">
        <v>4534</v>
      </c>
      <c r="I19761" t="s">
        <v>273</v>
      </c>
      <c r="J19761">
        <v>74.5</v>
      </c>
      <c r="K19761">
        <v>14.42</v>
      </c>
      <c r="L19761">
        <v>13540</v>
      </c>
      <c r="M19761" t="s">
        <v>85</v>
      </c>
      <c r="N19761" t="str">
        <f>"2302748     "</f>
        <v xml:space="preserve">2302748     </v>
      </c>
      <c r="O19761">
        <v>230209</v>
      </c>
    </row>
    <row r="19762" spans="1:15" x14ac:dyDescent="0.25">
      <c r="A19762" t="s">
        <v>16</v>
      </c>
      <c r="B19762" t="s">
        <v>3221</v>
      </c>
      <c r="C19762">
        <v>1529</v>
      </c>
      <c r="D19762" t="s">
        <v>350</v>
      </c>
      <c r="E19762" t="s">
        <v>351</v>
      </c>
      <c r="F19762">
        <v>409.62</v>
      </c>
      <c r="G19762">
        <v>230201</v>
      </c>
      <c r="H19762">
        <v>4534</v>
      </c>
      <c r="I19762" t="s">
        <v>273</v>
      </c>
      <c r="J19762">
        <v>507.93</v>
      </c>
      <c r="K19762">
        <v>98.31</v>
      </c>
      <c r="L19762">
        <v>17950</v>
      </c>
      <c r="M19762" t="s">
        <v>86</v>
      </c>
      <c r="N19762" t="str">
        <f>"2302748     "</f>
        <v xml:space="preserve">2302748     </v>
      </c>
      <c r="O19762">
        <v>230209</v>
      </c>
    </row>
    <row r="19763" spans="1:15" x14ac:dyDescent="0.25">
      <c r="A19763" t="s">
        <v>16</v>
      </c>
      <c r="B19763" t="s">
        <v>3221</v>
      </c>
      <c r="C19763">
        <v>1529</v>
      </c>
      <c r="D19763" t="s">
        <v>350</v>
      </c>
      <c r="E19763" t="s">
        <v>351</v>
      </c>
      <c r="F19763">
        <v>76.47</v>
      </c>
      <c r="G19763">
        <v>230201</v>
      </c>
      <c r="H19763">
        <v>4534</v>
      </c>
      <c r="I19763" t="s">
        <v>273</v>
      </c>
      <c r="J19763">
        <v>94.82</v>
      </c>
      <c r="K19763">
        <v>18.350000000000001</v>
      </c>
      <c r="L19763">
        <v>17956</v>
      </c>
      <c r="M19763" t="s">
        <v>53</v>
      </c>
      <c r="N19763" t="str">
        <f>"2302748     "</f>
        <v xml:space="preserve">2302748     </v>
      </c>
      <c r="O19763">
        <v>230209</v>
      </c>
    </row>
    <row r="19764" spans="1:15" x14ac:dyDescent="0.25">
      <c r="A19764" t="s">
        <v>16</v>
      </c>
      <c r="B19764" t="s">
        <v>3221</v>
      </c>
      <c r="C19764">
        <v>6862</v>
      </c>
      <c r="D19764" t="s">
        <v>350</v>
      </c>
      <c r="E19764" t="s">
        <v>351</v>
      </c>
      <c r="F19764">
        <v>36.369999999999997</v>
      </c>
      <c r="G19764">
        <v>230511</v>
      </c>
      <c r="H19764">
        <v>4534</v>
      </c>
      <c r="I19764" t="s">
        <v>273</v>
      </c>
      <c r="J19764">
        <v>45.1</v>
      </c>
      <c r="K19764">
        <v>8.73</v>
      </c>
      <c r="L19764">
        <v>13540</v>
      </c>
      <c r="M19764" t="s">
        <v>85</v>
      </c>
      <c r="N19764" t="str">
        <f>"2308616     "</f>
        <v xml:space="preserve">2308616     </v>
      </c>
      <c r="O19764">
        <v>230523</v>
      </c>
    </row>
    <row r="19765" spans="1:15" x14ac:dyDescent="0.25">
      <c r="A19765" t="s">
        <v>16</v>
      </c>
      <c r="B19765" t="s">
        <v>3221</v>
      </c>
      <c r="C19765">
        <v>6862</v>
      </c>
      <c r="D19765" t="s">
        <v>350</v>
      </c>
      <c r="E19765" t="s">
        <v>351</v>
      </c>
      <c r="F19765">
        <v>247.98</v>
      </c>
      <c r="G19765">
        <v>230511</v>
      </c>
      <c r="H19765">
        <v>4534</v>
      </c>
      <c r="I19765" t="s">
        <v>273</v>
      </c>
      <c r="J19765">
        <v>307.5</v>
      </c>
      <c r="K19765">
        <v>59.52</v>
      </c>
      <c r="L19765">
        <v>17950</v>
      </c>
      <c r="M19765" t="s">
        <v>86</v>
      </c>
      <c r="N19765" t="str">
        <f>"2308616     "</f>
        <v xml:space="preserve">2308616     </v>
      </c>
      <c r="O19765">
        <v>230523</v>
      </c>
    </row>
    <row r="19766" spans="1:15" x14ac:dyDescent="0.25">
      <c r="A19766" t="s">
        <v>16</v>
      </c>
      <c r="B19766" t="s">
        <v>3221</v>
      </c>
      <c r="C19766">
        <v>6862</v>
      </c>
      <c r="D19766" t="s">
        <v>350</v>
      </c>
      <c r="E19766" t="s">
        <v>351</v>
      </c>
      <c r="F19766">
        <v>46.29</v>
      </c>
      <c r="G19766">
        <v>230511</v>
      </c>
      <c r="H19766">
        <v>4534</v>
      </c>
      <c r="I19766" t="s">
        <v>273</v>
      </c>
      <c r="J19766">
        <v>57.4</v>
      </c>
      <c r="K19766">
        <v>11.11</v>
      </c>
      <c r="L19766">
        <v>17956</v>
      </c>
      <c r="M19766" t="s">
        <v>53</v>
      </c>
      <c r="N19766" t="str">
        <f>"2308616     "</f>
        <v xml:space="preserve">2308616     </v>
      </c>
      <c r="O19766">
        <v>230523</v>
      </c>
    </row>
    <row r="19767" spans="1:15" x14ac:dyDescent="0.25">
      <c r="A19767" t="s">
        <v>16</v>
      </c>
      <c r="B19767" t="s">
        <v>3221</v>
      </c>
      <c r="C19767">
        <v>12847</v>
      </c>
      <c r="D19767" t="s">
        <v>350</v>
      </c>
      <c r="E19767" t="s">
        <v>351</v>
      </c>
      <c r="F19767">
        <v>71.73</v>
      </c>
      <c r="G19767">
        <v>230921</v>
      </c>
      <c r="H19767">
        <v>4534</v>
      </c>
      <c r="I19767" t="s">
        <v>273</v>
      </c>
      <c r="J19767">
        <v>88.94</v>
      </c>
      <c r="K19767">
        <v>17.21</v>
      </c>
      <c r="L19767">
        <v>13540</v>
      </c>
      <c r="M19767" t="s">
        <v>85</v>
      </c>
      <c r="N19767" t="str">
        <f>"2316875     "</f>
        <v xml:space="preserve">2316875     </v>
      </c>
      <c r="O19767">
        <v>230928</v>
      </c>
    </row>
    <row r="19768" spans="1:15" x14ac:dyDescent="0.25">
      <c r="A19768" t="s">
        <v>16</v>
      </c>
      <c r="B19768" t="s">
        <v>3221</v>
      </c>
      <c r="C19768">
        <v>12847</v>
      </c>
      <c r="D19768" t="s">
        <v>350</v>
      </c>
      <c r="E19768" t="s">
        <v>351</v>
      </c>
      <c r="F19768">
        <v>489.04</v>
      </c>
      <c r="G19768">
        <v>230921</v>
      </c>
      <c r="H19768">
        <v>4534</v>
      </c>
      <c r="I19768" t="s">
        <v>273</v>
      </c>
      <c r="J19768">
        <v>606.41</v>
      </c>
      <c r="K19768">
        <v>117.37</v>
      </c>
      <c r="L19768">
        <v>17950</v>
      </c>
      <c r="M19768" t="s">
        <v>86</v>
      </c>
      <c r="N19768" t="str">
        <f>"2316875     "</f>
        <v xml:space="preserve">2316875     </v>
      </c>
      <c r="O19768">
        <v>230928</v>
      </c>
    </row>
    <row r="19769" spans="1:15" x14ac:dyDescent="0.25">
      <c r="A19769" t="s">
        <v>16</v>
      </c>
      <c r="B19769" t="s">
        <v>3221</v>
      </c>
      <c r="C19769">
        <v>12847</v>
      </c>
      <c r="D19769" t="s">
        <v>350</v>
      </c>
      <c r="E19769" t="s">
        <v>351</v>
      </c>
      <c r="F19769">
        <v>91.28</v>
      </c>
      <c r="G19769">
        <v>230921</v>
      </c>
      <c r="H19769">
        <v>4534</v>
      </c>
      <c r="I19769" t="s">
        <v>273</v>
      </c>
      <c r="J19769">
        <v>113.19</v>
      </c>
      <c r="K19769">
        <v>21.91</v>
      </c>
      <c r="L19769">
        <v>17956</v>
      </c>
      <c r="M19769" t="s">
        <v>53</v>
      </c>
      <c r="N19769" t="str">
        <f>"2316875     "</f>
        <v xml:space="preserve">2316875     </v>
      </c>
      <c r="O19769">
        <v>230928</v>
      </c>
    </row>
    <row r="19770" spans="1:15" x14ac:dyDescent="0.25">
      <c r="A19770" t="s">
        <v>16</v>
      </c>
      <c r="B19770" t="s">
        <v>3221</v>
      </c>
      <c r="C19770">
        <v>231</v>
      </c>
      <c r="D19770" t="s">
        <v>350</v>
      </c>
      <c r="E19770" t="s">
        <v>351</v>
      </c>
      <c r="F19770">
        <v>27.46</v>
      </c>
      <c r="G19770">
        <v>230110</v>
      </c>
      <c r="H19770">
        <v>4580</v>
      </c>
      <c r="I19770" t="s">
        <v>35</v>
      </c>
      <c r="J19770">
        <v>34.049999999999997</v>
      </c>
      <c r="K19770">
        <v>6.59</v>
      </c>
      <c r="L19770">
        <v>17525</v>
      </c>
      <c r="M19770" t="s">
        <v>135</v>
      </c>
      <c r="N19770" t="str">
        <f>"2301526     "</f>
        <v xml:space="preserve">2301526     </v>
      </c>
      <c r="O19770">
        <v>230116</v>
      </c>
    </row>
    <row r="19771" spans="1:15" x14ac:dyDescent="0.25">
      <c r="A19771" t="s">
        <v>16</v>
      </c>
      <c r="B19771" t="s">
        <v>3221</v>
      </c>
      <c r="C19771">
        <v>231</v>
      </c>
      <c r="D19771" t="s">
        <v>350</v>
      </c>
      <c r="E19771" t="s">
        <v>351</v>
      </c>
      <c r="F19771">
        <v>27.46</v>
      </c>
      <c r="G19771">
        <v>230110</v>
      </c>
      <c r="H19771">
        <v>4600</v>
      </c>
      <c r="I19771" t="s">
        <v>105</v>
      </c>
      <c r="J19771">
        <v>34.049999999999997</v>
      </c>
      <c r="K19771">
        <v>6.59</v>
      </c>
      <c r="L19771">
        <v>17636</v>
      </c>
      <c r="M19771" t="s">
        <v>352</v>
      </c>
      <c r="N19771" t="str">
        <f>"2301526     "</f>
        <v xml:space="preserve">2301526     </v>
      </c>
      <c r="O19771">
        <v>230116</v>
      </c>
    </row>
    <row r="19772" spans="1:15" x14ac:dyDescent="0.25">
      <c r="A19772" t="s">
        <v>16</v>
      </c>
      <c r="B19772" t="s">
        <v>3221</v>
      </c>
      <c r="C19772">
        <v>8825</v>
      </c>
      <c r="D19772" t="s">
        <v>350</v>
      </c>
      <c r="E19772" t="s">
        <v>351</v>
      </c>
      <c r="F19772">
        <v>83.32</v>
      </c>
      <c r="G19772">
        <v>230614</v>
      </c>
      <c r="H19772">
        <v>4600</v>
      </c>
      <c r="I19772" t="s">
        <v>105</v>
      </c>
      <c r="J19772">
        <v>103.32</v>
      </c>
      <c r="K19772">
        <v>20</v>
      </c>
      <c r="L19772">
        <v>14952</v>
      </c>
      <c r="M19772" t="s">
        <v>99</v>
      </c>
      <c r="N19772" t="str">
        <f>"2311449     "</f>
        <v xml:space="preserve">2311449     </v>
      </c>
      <c r="O19772">
        <v>230616</v>
      </c>
    </row>
    <row r="19773" spans="1:15" x14ac:dyDescent="0.25">
      <c r="A19773" t="s">
        <v>16</v>
      </c>
      <c r="B19773" t="s">
        <v>3221</v>
      </c>
      <c r="C19773">
        <v>8825</v>
      </c>
      <c r="D19773" t="s">
        <v>350</v>
      </c>
      <c r="E19773" t="s">
        <v>351</v>
      </c>
      <c r="F19773">
        <v>194.41</v>
      </c>
      <c r="G19773">
        <v>230614</v>
      </c>
      <c r="H19773">
        <v>4600</v>
      </c>
      <c r="I19773" t="s">
        <v>105</v>
      </c>
      <c r="J19773">
        <v>241.07</v>
      </c>
      <c r="K19773">
        <v>46.66</v>
      </c>
      <c r="L19773">
        <v>14981</v>
      </c>
      <c r="M19773" t="s">
        <v>1211</v>
      </c>
      <c r="N19773" t="str">
        <f>"2311449     "</f>
        <v xml:space="preserve">2311449     </v>
      </c>
      <c r="O19773">
        <v>230616</v>
      </c>
    </row>
    <row r="19774" spans="1:15" x14ac:dyDescent="0.25">
      <c r="A19774" t="s">
        <v>16</v>
      </c>
      <c r="B19774" t="s">
        <v>3221</v>
      </c>
      <c r="C19774">
        <v>10873</v>
      </c>
      <c r="D19774" t="s">
        <v>350</v>
      </c>
      <c r="E19774" t="s">
        <v>351</v>
      </c>
      <c r="F19774">
        <v>353.41</v>
      </c>
      <c r="G19774">
        <v>230823</v>
      </c>
      <c r="H19774">
        <v>4600</v>
      </c>
      <c r="I19774" t="s">
        <v>105</v>
      </c>
      <c r="J19774">
        <v>438.23</v>
      </c>
      <c r="K19774">
        <v>84.82</v>
      </c>
      <c r="L19774">
        <v>17952</v>
      </c>
      <c r="M19774" t="s">
        <v>88</v>
      </c>
      <c r="N19774" t="str">
        <f>"2315156     "</f>
        <v xml:space="preserve">2315156     </v>
      </c>
      <c r="O19774">
        <v>230824</v>
      </c>
    </row>
    <row r="19775" spans="1:15" x14ac:dyDescent="0.25">
      <c r="A19775" t="s">
        <v>16</v>
      </c>
      <c r="B19775" t="s">
        <v>3221</v>
      </c>
      <c r="C19775">
        <v>1219</v>
      </c>
      <c r="D19775" t="s">
        <v>956</v>
      </c>
      <c r="E19775" t="s">
        <v>957</v>
      </c>
      <c r="F19775">
        <v>172</v>
      </c>
      <c r="G19775">
        <v>230203</v>
      </c>
      <c r="H19775">
        <v>4420</v>
      </c>
      <c r="I19775" t="s">
        <v>132</v>
      </c>
      <c r="J19775">
        <v>172</v>
      </c>
      <c r="K19775">
        <v>0</v>
      </c>
      <c r="L19775">
        <v>16930</v>
      </c>
      <c r="M19775" t="s">
        <v>450</v>
      </c>
      <c r="N19775" t="str">
        <f>"39/2023     "</f>
        <v xml:space="preserve">39/2023     </v>
      </c>
      <c r="O19775">
        <v>230206</v>
      </c>
    </row>
    <row r="19776" spans="1:15" x14ac:dyDescent="0.25">
      <c r="A19776" t="s">
        <v>16</v>
      </c>
      <c r="B19776" t="s">
        <v>3221</v>
      </c>
      <c r="C19776">
        <v>16877</v>
      </c>
      <c r="D19776" t="s">
        <v>956</v>
      </c>
      <c r="E19776" t="s">
        <v>957</v>
      </c>
      <c r="F19776">
        <v>172</v>
      </c>
      <c r="G19776">
        <v>231207</v>
      </c>
      <c r="H19776">
        <v>4420</v>
      </c>
      <c r="I19776" t="s">
        <v>132</v>
      </c>
      <c r="J19776">
        <v>172</v>
      </c>
      <c r="K19776">
        <v>0</v>
      </c>
      <c r="L19776">
        <v>16930</v>
      </c>
      <c r="M19776" t="s">
        <v>450</v>
      </c>
      <c r="N19776" t="str">
        <f>"1002        "</f>
        <v xml:space="preserve">1002        </v>
      </c>
      <c r="O19776">
        <v>231211</v>
      </c>
    </row>
    <row r="19777" spans="1:15" x14ac:dyDescent="0.25">
      <c r="A19777" t="s">
        <v>16</v>
      </c>
      <c r="B19777" t="s">
        <v>3221</v>
      </c>
      <c r="C19777">
        <v>1219</v>
      </c>
      <c r="D19777" t="s">
        <v>956</v>
      </c>
      <c r="E19777" t="s">
        <v>957</v>
      </c>
      <c r="F19777">
        <v>700</v>
      </c>
      <c r="G19777">
        <v>230203</v>
      </c>
      <c r="H19777">
        <v>4440</v>
      </c>
      <c r="I19777" t="s">
        <v>250</v>
      </c>
      <c r="J19777">
        <v>868</v>
      </c>
      <c r="K19777">
        <v>168</v>
      </c>
      <c r="L19777">
        <v>16930</v>
      </c>
      <c r="M19777" t="s">
        <v>450</v>
      </c>
      <c r="N19777" t="str">
        <f>"39/2023     "</f>
        <v xml:space="preserve">39/2023     </v>
      </c>
      <c r="O19777">
        <v>230206</v>
      </c>
    </row>
    <row r="19778" spans="1:15" x14ac:dyDescent="0.25">
      <c r="A19778" t="s">
        <v>16</v>
      </c>
      <c r="B19778" t="s">
        <v>3221</v>
      </c>
      <c r="C19778">
        <v>16877</v>
      </c>
      <c r="D19778" t="s">
        <v>956</v>
      </c>
      <c r="E19778" t="s">
        <v>957</v>
      </c>
      <c r="F19778">
        <v>700</v>
      </c>
      <c r="G19778">
        <v>231207</v>
      </c>
      <c r="H19778">
        <v>4440</v>
      </c>
      <c r="I19778" t="s">
        <v>250</v>
      </c>
      <c r="J19778">
        <v>868</v>
      </c>
      <c r="K19778">
        <v>168</v>
      </c>
      <c r="L19778">
        <v>16930</v>
      </c>
      <c r="M19778" t="s">
        <v>450</v>
      </c>
      <c r="N19778" t="str">
        <f>"1002        "</f>
        <v xml:space="preserve">1002        </v>
      </c>
      <c r="O19778">
        <v>231211</v>
      </c>
    </row>
    <row r="19779" spans="1:15" x14ac:dyDescent="0.25">
      <c r="A19779" t="s">
        <v>16</v>
      </c>
      <c r="B19779" t="s">
        <v>3221</v>
      </c>
      <c r="C19779">
        <v>13248</v>
      </c>
      <c r="D19779" t="s">
        <v>2648</v>
      </c>
      <c r="E19779" t="s">
        <v>2649</v>
      </c>
      <c r="F19779">
        <v>750</v>
      </c>
      <c r="G19779">
        <v>231003</v>
      </c>
      <c r="H19779">
        <v>4441</v>
      </c>
      <c r="I19779" t="s">
        <v>109</v>
      </c>
      <c r="J19779">
        <v>930</v>
      </c>
      <c r="K19779">
        <v>180</v>
      </c>
      <c r="L19779">
        <v>66756</v>
      </c>
      <c r="M19779" t="s">
        <v>209</v>
      </c>
      <c r="N19779" t="str">
        <f>"20799       "</f>
        <v xml:space="preserve">20799       </v>
      </c>
      <c r="O19779">
        <v>231006</v>
      </c>
    </row>
    <row r="19780" spans="1:15" x14ac:dyDescent="0.25">
      <c r="A19780" t="s">
        <v>16</v>
      </c>
      <c r="B19780" t="s">
        <v>3221</v>
      </c>
      <c r="C19780">
        <v>1808</v>
      </c>
      <c r="D19780" t="s">
        <v>1200</v>
      </c>
      <c r="E19780" t="s">
        <v>1201</v>
      </c>
      <c r="F19780">
        <v>176.75</v>
      </c>
      <c r="G19780">
        <v>230203</v>
      </c>
      <c r="H19780">
        <v>4600</v>
      </c>
      <c r="I19780" t="s">
        <v>105</v>
      </c>
      <c r="J19780">
        <v>219.17</v>
      </c>
      <c r="K19780">
        <v>42.42</v>
      </c>
      <c r="L19780">
        <v>17525</v>
      </c>
      <c r="M19780" t="s">
        <v>135</v>
      </c>
      <c r="N19780" t="str">
        <f>"2201001460  "</f>
        <v xml:space="preserve">2201001460  </v>
      </c>
      <c r="O19780">
        <v>230214</v>
      </c>
    </row>
    <row r="19781" spans="1:15" x14ac:dyDescent="0.25">
      <c r="A19781" t="s">
        <v>16</v>
      </c>
      <c r="B19781" t="s">
        <v>3221</v>
      </c>
      <c r="C19781">
        <v>11991</v>
      </c>
      <c r="D19781" t="s">
        <v>2531</v>
      </c>
      <c r="E19781" t="s">
        <v>2532</v>
      </c>
      <c r="F19781">
        <v>22.64</v>
      </c>
      <c r="G19781">
        <v>230908</v>
      </c>
      <c r="H19781">
        <v>4510</v>
      </c>
      <c r="I19781" t="s">
        <v>42</v>
      </c>
      <c r="J19781">
        <v>24.9</v>
      </c>
      <c r="K19781">
        <v>2.2599999999999998</v>
      </c>
      <c r="L19781">
        <v>17131</v>
      </c>
      <c r="M19781" t="s">
        <v>64</v>
      </c>
      <c r="N19781" t="str">
        <f>"9638796     "</f>
        <v xml:space="preserve">9638796     </v>
      </c>
      <c r="O19781">
        <v>230912</v>
      </c>
    </row>
    <row r="19782" spans="1:15" x14ac:dyDescent="0.25">
      <c r="A19782" t="s">
        <v>16</v>
      </c>
      <c r="B19782" t="s">
        <v>3221</v>
      </c>
      <c r="C19782">
        <v>11991</v>
      </c>
      <c r="D19782" t="s">
        <v>2531</v>
      </c>
      <c r="E19782" t="s">
        <v>2532</v>
      </c>
      <c r="F19782">
        <v>22.64</v>
      </c>
      <c r="G19782">
        <v>230908</v>
      </c>
      <c r="H19782">
        <v>4510</v>
      </c>
      <c r="I19782" t="s">
        <v>42</v>
      </c>
      <c r="J19782">
        <v>24.9</v>
      </c>
      <c r="K19782">
        <v>2.2599999999999998</v>
      </c>
      <c r="L19782">
        <v>17711</v>
      </c>
      <c r="M19782" t="s">
        <v>65</v>
      </c>
      <c r="N19782" t="str">
        <f>"9638796     "</f>
        <v xml:space="preserve">9638796     </v>
      </c>
      <c r="O19782">
        <v>230912</v>
      </c>
    </row>
    <row r="19783" spans="1:15" x14ac:dyDescent="0.25">
      <c r="A19783" t="s">
        <v>16</v>
      </c>
      <c r="B19783" t="s">
        <v>3221</v>
      </c>
      <c r="C19783">
        <v>14850</v>
      </c>
      <c r="D19783" t="s">
        <v>770</v>
      </c>
      <c r="E19783" t="s">
        <v>771</v>
      </c>
      <c r="F19783">
        <v>95</v>
      </c>
      <c r="G19783">
        <v>231031</v>
      </c>
      <c r="H19783">
        <v>4580</v>
      </c>
      <c r="I19783" t="s">
        <v>35</v>
      </c>
      <c r="J19783">
        <v>117.8</v>
      </c>
      <c r="K19783">
        <v>22.8</v>
      </c>
      <c r="L19783">
        <v>46557</v>
      </c>
      <c r="M19783" t="s">
        <v>221</v>
      </c>
      <c r="N19783" t="str">
        <f>"12882       "</f>
        <v xml:space="preserve">12882       </v>
      </c>
      <c r="O19783">
        <v>231107</v>
      </c>
    </row>
    <row r="19784" spans="1:15" x14ac:dyDescent="0.25">
      <c r="A19784" t="s">
        <v>16</v>
      </c>
      <c r="B19784" t="s">
        <v>3221</v>
      </c>
      <c r="C19784">
        <v>844</v>
      </c>
      <c r="D19784" t="s">
        <v>770</v>
      </c>
      <c r="E19784" t="s">
        <v>771</v>
      </c>
      <c r="F19784">
        <v>427.5</v>
      </c>
      <c r="G19784">
        <v>230119</v>
      </c>
      <c r="H19784">
        <v>4400</v>
      </c>
      <c r="I19784" t="s">
        <v>348</v>
      </c>
      <c r="J19784">
        <v>530.1</v>
      </c>
      <c r="K19784">
        <v>102.6</v>
      </c>
      <c r="L19784">
        <v>17802</v>
      </c>
      <c r="M19784" t="s">
        <v>174</v>
      </c>
      <c r="N19784" t="str">
        <f>"12495       "</f>
        <v xml:space="preserve">12495       </v>
      </c>
      <c r="O19784">
        <v>230131</v>
      </c>
    </row>
    <row r="19785" spans="1:15" x14ac:dyDescent="0.25">
      <c r="A19785" t="s">
        <v>16</v>
      </c>
      <c r="B19785" t="s">
        <v>3221</v>
      </c>
      <c r="C19785">
        <v>1496</v>
      </c>
      <c r="D19785" t="s">
        <v>770</v>
      </c>
      <c r="E19785" t="s">
        <v>771</v>
      </c>
      <c r="F19785">
        <v>90</v>
      </c>
      <c r="G19785">
        <v>230201</v>
      </c>
      <c r="H19785">
        <v>4400</v>
      </c>
      <c r="I19785" t="s">
        <v>348</v>
      </c>
      <c r="J19785">
        <v>111.6</v>
      </c>
      <c r="K19785">
        <v>21.6</v>
      </c>
      <c r="L19785">
        <v>17802</v>
      </c>
      <c r="M19785" t="s">
        <v>174</v>
      </c>
      <c r="N19785" t="str">
        <f>"12517       "</f>
        <v xml:space="preserve">12517       </v>
      </c>
      <c r="O19785">
        <v>230209</v>
      </c>
    </row>
    <row r="19786" spans="1:15" x14ac:dyDescent="0.25">
      <c r="A19786" t="s">
        <v>16</v>
      </c>
      <c r="B19786" t="s">
        <v>3221</v>
      </c>
      <c r="C19786">
        <v>8276</v>
      </c>
      <c r="D19786" t="s">
        <v>2166</v>
      </c>
      <c r="E19786" t="s">
        <v>2167</v>
      </c>
      <c r="F19786">
        <v>100</v>
      </c>
      <c r="G19786">
        <v>230531</v>
      </c>
      <c r="H19786">
        <v>4440</v>
      </c>
      <c r="I19786" t="s">
        <v>250</v>
      </c>
      <c r="J19786">
        <v>124</v>
      </c>
      <c r="K19786">
        <v>24</v>
      </c>
      <c r="L19786">
        <v>41126</v>
      </c>
      <c r="M19786" t="s">
        <v>761</v>
      </c>
      <c r="N19786" t="str">
        <f>"13491       "</f>
        <v xml:space="preserve">13491       </v>
      </c>
      <c r="O19786">
        <v>230608</v>
      </c>
    </row>
    <row r="19787" spans="1:15" x14ac:dyDescent="0.25">
      <c r="A19787" t="s">
        <v>16</v>
      </c>
      <c r="B19787" t="s">
        <v>3221</v>
      </c>
      <c r="C19787">
        <v>2417</v>
      </c>
      <c r="D19787" t="s">
        <v>1386</v>
      </c>
      <c r="E19787" t="s">
        <v>1387</v>
      </c>
      <c r="F19787">
        <v>164.25</v>
      </c>
      <c r="G19787">
        <v>230224</v>
      </c>
      <c r="H19787">
        <v>4520</v>
      </c>
      <c r="I19787" t="s">
        <v>254</v>
      </c>
      <c r="J19787">
        <v>187.24</v>
      </c>
      <c r="K19787">
        <v>22.99</v>
      </c>
      <c r="L19787">
        <v>17913</v>
      </c>
      <c r="M19787" t="s">
        <v>431</v>
      </c>
      <c r="N19787" t="str">
        <f>"434043      "</f>
        <v xml:space="preserve">434043      </v>
      </c>
      <c r="O19787">
        <v>230227</v>
      </c>
    </row>
    <row r="19788" spans="1:15" x14ac:dyDescent="0.25">
      <c r="A19788" t="s">
        <v>16</v>
      </c>
      <c r="B19788" t="s">
        <v>3221</v>
      </c>
      <c r="C19788">
        <v>2417</v>
      </c>
      <c r="D19788" t="s">
        <v>1386</v>
      </c>
      <c r="E19788" t="s">
        <v>1387</v>
      </c>
      <c r="F19788">
        <v>18.25</v>
      </c>
      <c r="G19788">
        <v>230224</v>
      </c>
      <c r="H19788">
        <v>4520</v>
      </c>
      <c r="I19788" t="s">
        <v>254</v>
      </c>
      <c r="J19788">
        <v>20.8</v>
      </c>
      <c r="K19788">
        <v>2.5499999999999998</v>
      </c>
      <c r="L19788">
        <v>17982</v>
      </c>
      <c r="M19788" t="s">
        <v>432</v>
      </c>
      <c r="N19788" t="str">
        <f>"434043      "</f>
        <v xml:space="preserve">434043      </v>
      </c>
      <c r="O19788">
        <v>230227</v>
      </c>
    </row>
    <row r="19789" spans="1:15" x14ac:dyDescent="0.25">
      <c r="A19789" t="s">
        <v>16</v>
      </c>
      <c r="B19789" t="s">
        <v>3221</v>
      </c>
      <c r="C19789">
        <v>6143</v>
      </c>
      <c r="D19789" t="s">
        <v>1386</v>
      </c>
      <c r="E19789" t="s">
        <v>1387</v>
      </c>
      <c r="F19789">
        <v>279.89999999999998</v>
      </c>
      <c r="G19789">
        <v>230505</v>
      </c>
      <c r="H19789">
        <v>4520</v>
      </c>
      <c r="I19789" t="s">
        <v>254</v>
      </c>
      <c r="J19789">
        <v>319.08999999999997</v>
      </c>
      <c r="K19789">
        <v>39.19</v>
      </c>
      <c r="L19789">
        <v>17913</v>
      </c>
      <c r="M19789" t="s">
        <v>431</v>
      </c>
      <c r="N19789" t="str">
        <f>"435284      "</f>
        <v xml:space="preserve">435284      </v>
      </c>
      <c r="O19789">
        <v>230508</v>
      </c>
    </row>
    <row r="19790" spans="1:15" x14ac:dyDescent="0.25">
      <c r="A19790" t="s">
        <v>16</v>
      </c>
      <c r="B19790" t="s">
        <v>3221</v>
      </c>
      <c r="C19790">
        <v>6143</v>
      </c>
      <c r="D19790" t="s">
        <v>1386</v>
      </c>
      <c r="E19790" t="s">
        <v>1387</v>
      </c>
      <c r="F19790">
        <v>31.14</v>
      </c>
      <c r="G19790">
        <v>230505</v>
      </c>
      <c r="H19790">
        <v>4520</v>
      </c>
      <c r="I19790" t="s">
        <v>254</v>
      </c>
      <c r="J19790">
        <v>35.5</v>
      </c>
      <c r="K19790">
        <v>4.3600000000000003</v>
      </c>
      <c r="L19790">
        <v>17982</v>
      </c>
      <c r="M19790" t="s">
        <v>432</v>
      </c>
      <c r="N19790" t="str">
        <f>"435284      "</f>
        <v xml:space="preserve">435284      </v>
      </c>
      <c r="O19790">
        <v>230508</v>
      </c>
    </row>
    <row r="19791" spans="1:15" x14ac:dyDescent="0.25">
      <c r="A19791" t="s">
        <v>16</v>
      </c>
      <c r="B19791" t="s">
        <v>3221</v>
      </c>
      <c r="C19791">
        <v>12231</v>
      </c>
      <c r="D19791" t="s">
        <v>1386</v>
      </c>
      <c r="E19791" t="s">
        <v>1387</v>
      </c>
      <c r="F19791">
        <v>311.39</v>
      </c>
      <c r="G19791">
        <v>230915</v>
      </c>
      <c r="H19791">
        <v>4520</v>
      </c>
      <c r="I19791" t="s">
        <v>254</v>
      </c>
      <c r="J19791">
        <v>354.99</v>
      </c>
      <c r="K19791">
        <v>43.6</v>
      </c>
      <c r="L19791">
        <v>17913</v>
      </c>
      <c r="M19791" t="s">
        <v>431</v>
      </c>
      <c r="N19791" t="str">
        <f>"437421      "</f>
        <v xml:space="preserve">437421      </v>
      </c>
      <c r="O19791">
        <v>230915</v>
      </c>
    </row>
    <row r="19792" spans="1:15" x14ac:dyDescent="0.25">
      <c r="A19792" t="s">
        <v>16</v>
      </c>
      <c r="B19792" t="s">
        <v>3221</v>
      </c>
      <c r="C19792">
        <v>2661</v>
      </c>
      <c r="D19792" t="s">
        <v>1444</v>
      </c>
      <c r="E19792" t="s">
        <v>1445</v>
      </c>
      <c r="F19792">
        <v>81.849999999999994</v>
      </c>
      <c r="G19792">
        <v>230221</v>
      </c>
      <c r="H19792">
        <v>4600</v>
      </c>
      <c r="I19792" t="s">
        <v>105</v>
      </c>
      <c r="J19792">
        <v>101.5</v>
      </c>
      <c r="K19792">
        <v>19.649999999999999</v>
      </c>
      <c r="L19792">
        <v>47522</v>
      </c>
      <c r="M19792" t="s">
        <v>410</v>
      </c>
      <c r="N19792" t="str">
        <f>"4585        "</f>
        <v xml:space="preserve">4585        </v>
      </c>
      <c r="O19792">
        <v>230306</v>
      </c>
    </row>
    <row r="19793" spans="1:15" x14ac:dyDescent="0.25">
      <c r="A19793" t="s">
        <v>16</v>
      </c>
      <c r="B19793" t="s">
        <v>3221</v>
      </c>
      <c r="C19793">
        <v>10029</v>
      </c>
      <c r="D19793" t="s">
        <v>2337</v>
      </c>
      <c r="E19793" t="s">
        <v>2338</v>
      </c>
      <c r="F19793">
        <v>920</v>
      </c>
      <c r="G19793">
        <v>230725</v>
      </c>
      <c r="H19793">
        <v>4343</v>
      </c>
      <c r="I19793" t="s">
        <v>91</v>
      </c>
      <c r="J19793">
        <v>1140.8</v>
      </c>
      <c r="K19793">
        <v>220.8</v>
      </c>
      <c r="L19793">
        <v>11801</v>
      </c>
      <c r="M19793" t="s">
        <v>92</v>
      </c>
      <c r="N19793" t="str">
        <f>"206         "</f>
        <v xml:space="preserve">206         </v>
      </c>
      <c r="O19793">
        <v>230807</v>
      </c>
    </row>
    <row r="19794" spans="1:15" x14ac:dyDescent="0.25">
      <c r="A19794" t="s">
        <v>16</v>
      </c>
      <c r="B19794" t="s">
        <v>3221</v>
      </c>
      <c r="C19794">
        <v>4793</v>
      </c>
      <c r="D19794" t="s">
        <v>1753</v>
      </c>
      <c r="E19794" t="s">
        <v>1754</v>
      </c>
      <c r="F19794">
        <v>304.02999999999997</v>
      </c>
      <c r="G19794">
        <v>230408</v>
      </c>
      <c r="H19794">
        <v>4600</v>
      </c>
      <c r="I19794" t="s">
        <v>105</v>
      </c>
      <c r="J19794">
        <v>377</v>
      </c>
      <c r="K19794">
        <v>72.97</v>
      </c>
      <c r="L19794">
        <v>17711</v>
      </c>
      <c r="M19794" t="s">
        <v>65</v>
      </c>
      <c r="N19794" t="str">
        <f>"24170       "</f>
        <v xml:space="preserve">24170       </v>
      </c>
      <c r="O19794">
        <v>230412</v>
      </c>
    </row>
    <row r="19795" spans="1:15" x14ac:dyDescent="0.25">
      <c r="A19795" t="s">
        <v>16</v>
      </c>
      <c r="B19795" t="s">
        <v>3221</v>
      </c>
      <c r="C19795">
        <v>12033</v>
      </c>
      <c r="D19795" t="s">
        <v>2537</v>
      </c>
      <c r="E19795" t="s">
        <v>2538</v>
      </c>
      <c r="F19795">
        <v>15</v>
      </c>
      <c r="G19795">
        <v>230908</v>
      </c>
      <c r="H19795">
        <v>4400</v>
      </c>
      <c r="I19795" t="s">
        <v>348</v>
      </c>
      <c r="J19795">
        <v>18.600000000000001</v>
      </c>
      <c r="K19795">
        <v>3.6</v>
      </c>
      <c r="L19795">
        <v>67522</v>
      </c>
      <c r="M19795" t="s">
        <v>397</v>
      </c>
      <c r="N19795" t="str">
        <f>"84702       "</f>
        <v xml:space="preserve">84702       </v>
      </c>
      <c r="O19795">
        <v>230913</v>
      </c>
    </row>
    <row r="19796" spans="1:15" x14ac:dyDescent="0.25">
      <c r="A19796" t="s">
        <v>16</v>
      </c>
      <c r="B19796" t="s">
        <v>3221</v>
      </c>
      <c r="C19796">
        <v>16277</v>
      </c>
      <c r="D19796" t="s">
        <v>2945</v>
      </c>
      <c r="E19796" t="s">
        <v>2946</v>
      </c>
      <c r="F19796">
        <v>185</v>
      </c>
      <c r="G19796">
        <v>231123</v>
      </c>
      <c r="H19796">
        <v>4550</v>
      </c>
      <c r="I19796" t="s">
        <v>312</v>
      </c>
      <c r="J19796">
        <v>229.4</v>
      </c>
      <c r="K19796">
        <v>44.4</v>
      </c>
      <c r="L19796">
        <v>67522</v>
      </c>
      <c r="M19796" t="s">
        <v>397</v>
      </c>
      <c r="N19796" t="str">
        <f>"13300856    "</f>
        <v xml:space="preserve">13300856    </v>
      </c>
      <c r="O19796">
        <v>231127</v>
      </c>
    </row>
    <row r="19797" spans="1:15" x14ac:dyDescent="0.25">
      <c r="A19797" t="s">
        <v>16</v>
      </c>
      <c r="B19797" t="s">
        <v>3221</v>
      </c>
      <c r="C19797">
        <v>86</v>
      </c>
      <c r="D19797" t="s">
        <v>93</v>
      </c>
      <c r="E19797" t="s">
        <v>94</v>
      </c>
      <c r="F19797">
        <v>924.6</v>
      </c>
      <c r="G19797">
        <v>230101</v>
      </c>
      <c r="H19797">
        <v>4820</v>
      </c>
      <c r="I19797" t="s">
        <v>50</v>
      </c>
      <c r="J19797">
        <v>1146.5</v>
      </c>
      <c r="K19797">
        <v>221.9</v>
      </c>
      <c r="L19797">
        <v>56575</v>
      </c>
      <c r="M19797" t="s">
        <v>95</v>
      </c>
      <c r="N19797" t="str">
        <f>"88000186    "</f>
        <v xml:space="preserve">88000186    </v>
      </c>
      <c r="O19797">
        <v>230109</v>
      </c>
    </row>
    <row r="19798" spans="1:15" x14ac:dyDescent="0.25">
      <c r="A19798" t="s">
        <v>16</v>
      </c>
      <c r="B19798" t="s">
        <v>3221</v>
      </c>
      <c r="C19798">
        <v>92</v>
      </c>
      <c r="D19798" t="s">
        <v>93</v>
      </c>
      <c r="E19798" t="s">
        <v>94</v>
      </c>
      <c r="F19798">
        <v>2388.5500000000002</v>
      </c>
      <c r="G19798">
        <v>230101</v>
      </c>
      <c r="H19798">
        <v>4820</v>
      </c>
      <c r="I19798" t="s">
        <v>50</v>
      </c>
      <c r="J19798">
        <v>2961.8</v>
      </c>
      <c r="K19798">
        <v>573.25</v>
      </c>
      <c r="L19798">
        <v>56575</v>
      </c>
      <c r="M19798" t="s">
        <v>95</v>
      </c>
      <c r="N19798" t="str">
        <f>"88000187    "</f>
        <v xml:space="preserve">88000187    </v>
      </c>
      <c r="O19798">
        <v>230110</v>
      </c>
    </row>
    <row r="19799" spans="1:15" x14ac:dyDescent="0.25">
      <c r="A19799" t="s">
        <v>16</v>
      </c>
      <c r="B19799" t="s">
        <v>3221</v>
      </c>
      <c r="C19799">
        <v>1119</v>
      </c>
      <c r="D19799" t="s">
        <v>93</v>
      </c>
      <c r="E19799" t="s">
        <v>94</v>
      </c>
      <c r="F19799">
        <v>2388.5500000000002</v>
      </c>
      <c r="G19799">
        <v>230201</v>
      </c>
      <c r="H19799">
        <v>4820</v>
      </c>
      <c r="I19799" t="s">
        <v>50</v>
      </c>
      <c r="J19799">
        <v>2961.8</v>
      </c>
      <c r="K19799">
        <v>573.25</v>
      </c>
      <c r="L19799">
        <v>56575</v>
      </c>
      <c r="M19799" t="s">
        <v>95</v>
      </c>
      <c r="N19799" t="str">
        <f>"88000195    "</f>
        <v xml:space="preserve">88000195    </v>
      </c>
      <c r="O19799">
        <v>230203</v>
      </c>
    </row>
    <row r="19800" spans="1:15" x14ac:dyDescent="0.25">
      <c r="A19800" t="s">
        <v>16</v>
      </c>
      <c r="B19800" t="s">
        <v>3221</v>
      </c>
      <c r="C19800">
        <v>1137</v>
      </c>
      <c r="D19800" t="s">
        <v>93</v>
      </c>
      <c r="E19800" t="s">
        <v>94</v>
      </c>
      <c r="F19800">
        <v>924.6</v>
      </c>
      <c r="G19800">
        <v>230201</v>
      </c>
      <c r="H19800">
        <v>4820</v>
      </c>
      <c r="I19800" t="s">
        <v>50</v>
      </c>
      <c r="J19800">
        <v>1146.5</v>
      </c>
      <c r="K19800">
        <v>221.9</v>
      </c>
      <c r="L19800">
        <v>56575</v>
      </c>
      <c r="M19800" t="s">
        <v>95</v>
      </c>
      <c r="N19800" t="str">
        <f>"88000194    "</f>
        <v xml:space="preserve">88000194    </v>
      </c>
      <c r="O19800">
        <v>230206</v>
      </c>
    </row>
    <row r="19801" spans="1:15" x14ac:dyDescent="0.25">
      <c r="A19801" t="s">
        <v>16</v>
      </c>
      <c r="B19801" t="s">
        <v>3221</v>
      </c>
      <c r="C19801">
        <v>2919</v>
      </c>
      <c r="D19801" t="s">
        <v>93</v>
      </c>
      <c r="E19801" t="s">
        <v>94</v>
      </c>
      <c r="F19801">
        <v>924.6</v>
      </c>
      <c r="G19801">
        <v>230301</v>
      </c>
      <c r="H19801">
        <v>4820</v>
      </c>
      <c r="I19801" t="s">
        <v>50</v>
      </c>
      <c r="J19801">
        <v>1146.5</v>
      </c>
      <c r="K19801">
        <v>221.9</v>
      </c>
      <c r="L19801">
        <v>56575</v>
      </c>
      <c r="M19801" t="s">
        <v>95</v>
      </c>
      <c r="N19801" t="str">
        <f>"88000204    "</f>
        <v xml:space="preserve">88000204    </v>
      </c>
      <c r="O19801">
        <v>230308</v>
      </c>
    </row>
    <row r="19802" spans="1:15" x14ac:dyDescent="0.25">
      <c r="A19802" t="s">
        <v>16</v>
      </c>
      <c r="B19802" t="s">
        <v>3221</v>
      </c>
      <c r="C19802">
        <v>2920</v>
      </c>
      <c r="D19802" t="s">
        <v>93</v>
      </c>
      <c r="E19802" t="s">
        <v>94</v>
      </c>
      <c r="F19802">
        <v>2388.5500000000002</v>
      </c>
      <c r="G19802">
        <v>230301</v>
      </c>
      <c r="H19802">
        <v>4820</v>
      </c>
      <c r="I19802" t="s">
        <v>50</v>
      </c>
      <c r="J19802">
        <v>2961.8</v>
      </c>
      <c r="K19802">
        <v>573.25</v>
      </c>
      <c r="L19802">
        <v>56575</v>
      </c>
      <c r="M19802" t="s">
        <v>95</v>
      </c>
      <c r="N19802" t="str">
        <f>"88000205    "</f>
        <v xml:space="preserve">88000205    </v>
      </c>
      <c r="O19802">
        <v>230308</v>
      </c>
    </row>
    <row r="19803" spans="1:15" x14ac:dyDescent="0.25">
      <c r="A19803" t="s">
        <v>16</v>
      </c>
      <c r="B19803" t="s">
        <v>3221</v>
      </c>
      <c r="C19803">
        <v>4798</v>
      </c>
      <c r="D19803" t="s">
        <v>93</v>
      </c>
      <c r="E19803" t="s">
        <v>94</v>
      </c>
      <c r="F19803">
        <v>924.6</v>
      </c>
      <c r="G19803">
        <v>230401</v>
      </c>
      <c r="H19803">
        <v>4820</v>
      </c>
      <c r="I19803" t="s">
        <v>50</v>
      </c>
      <c r="J19803">
        <v>1146.5</v>
      </c>
      <c r="K19803">
        <v>221.9</v>
      </c>
      <c r="L19803">
        <v>56575</v>
      </c>
      <c r="M19803" t="s">
        <v>95</v>
      </c>
      <c r="N19803" t="str">
        <f>"88000213    "</f>
        <v xml:space="preserve">88000213    </v>
      </c>
      <c r="O19803">
        <v>230412</v>
      </c>
    </row>
    <row r="19804" spans="1:15" x14ac:dyDescent="0.25">
      <c r="A19804" t="s">
        <v>16</v>
      </c>
      <c r="B19804" t="s">
        <v>3221</v>
      </c>
      <c r="C19804">
        <v>4799</v>
      </c>
      <c r="D19804" t="s">
        <v>93</v>
      </c>
      <c r="E19804" t="s">
        <v>94</v>
      </c>
      <c r="F19804">
        <v>2388.5500000000002</v>
      </c>
      <c r="G19804">
        <v>230401</v>
      </c>
      <c r="H19804">
        <v>4820</v>
      </c>
      <c r="I19804" t="s">
        <v>50</v>
      </c>
      <c r="J19804">
        <v>2961.8</v>
      </c>
      <c r="K19804">
        <v>573.25</v>
      </c>
      <c r="L19804">
        <v>56575</v>
      </c>
      <c r="M19804" t="s">
        <v>95</v>
      </c>
      <c r="N19804" t="str">
        <f>"88000214    "</f>
        <v xml:space="preserve">88000214    </v>
      </c>
      <c r="O19804">
        <v>230412</v>
      </c>
    </row>
    <row r="19805" spans="1:15" x14ac:dyDescent="0.25">
      <c r="A19805" t="s">
        <v>16</v>
      </c>
      <c r="B19805" t="s">
        <v>3221</v>
      </c>
      <c r="C19805">
        <v>5772</v>
      </c>
      <c r="D19805" t="s">
        <v>93</v>
      </c>
      <c r="E19805" t="s">
        <v>94</v>
      </c>
      <c r="F19805">
        <v>2388.5500000000002</v>
      </c>
      <c r="G19805">
        <v>230501</v>
      </c>
      <c r="H19805">
        <v>4820</v>
      </c>
      <c r="I19805" t="s">
        <v>50</v>
      </c>
      <c r="J19805">
        <v>2961.8</v>
      </c>
      <c r="K19805">
        <v>573.25</v>
      </c>
      <c r="L19805">
        <v>56575</v>
      </c>
      <c r="M19805" t="s">
        <v>95</v>
      </c>
      <c r="N19805" t="str">
        <f>"88000223    "</f>
        <v xml:space="preserve">88000223    </v>
      </c>
      <c r="O19805">
        <v>230502</v>
      </c>
    </row>
    <row r="19806" spans="1:15" x14ac:dyDescent="0.25">
      <c r="A19806" t="s">
        <v>16</v>
      </c>
      <c r="B19806" t="s">
        <v>3221</v>
      </c>
      <c r="C19806">
        <v>5774</v>
      </c>
      <c r="D19806" t="s">
        <v>93</v>
      </c>
      <c r="E19806" t="s">
        <v>94</v>
      </c>
      <c r="F19806">
        <v>924.6</v>
      </c>
      <c r="G19806">
        <v>230501</v>
      </c>
      <c r="H19806">
        <v>4820</v>
      </c>
      <c r="I19806" t="s">
        <v>50</v>
      </c>
      <c r="J19806">
        <v>1146.5</v>
      </c>
      <c r="K19806">
        <v>221.9</v>
      </c>
      <c r="L19806">
        <v>56575</v>
      </c>
      <c r="M19806" t="s">
        <v>95</v>
      </c>
      <c r="N19806" t="str">
        <f>"88000222    "</f>
        <v xml:space="preserve">88000222    </v>
      </c>
      <c r="O19806">
        <v>230502</v>
      </c>
    </row>
    <row r="19807" spans="1:15" x14ac:dyDescent="0.25">
      <c r="A19807" t="s">
        <v>16</v>
      </c>
      <c r="B19807" t="s">
        <v>3221</v>
      </c>
      <c r="C19807">
        <v>7984</v>
      </c>
      <c r="D19807" t="s">
        <v>93</v>
      </c>
      <c r="E19807" t="s">
        <v>94</v>
      </c>
      <c r="F19807">
        <v>924.6</v>
      </c>
      <c r="G19807">
        <v>230601</v>
      </c>
      <c r="H19807">
        <v>4820</v>
      </c>
      <c r="I19807" t="s">
        <v>50</v>
      </c>
      <c r="J19807">
        <v>1146.5</v>
      </c>
      <c r="K19807">
        <v>221.9</v>
      </c>
      <c r="L19807">
        <v>56575</v>
      </c>
      <c r="M19807" t="s">
        <v>95</v>
      </c>
      <c r="N19807" t="str">
        <f>"88000229    "</f>
        <v xml:space="preserve">88000229    </v>
      </c>
      <c r="O19807">
        <v>230606</v>
      </c>
    </row>
    <row r="19808" spans="1:15" x14ac:dyDescent="0.25">
      <c r="A19808" t="s">
        <v>16</v>
      </c>
      <c r="B19808" t="s">
        <v>3221</v>
      </c>
      <c r="C19808">
        <v>7991</v>
      </c>
      <c r="D19808" t="s">
        <v>93</v>
      </c>
      <c r="E19808" t="s">
        <v>94</v>
      </c>
      <c r="F19808">
        <v>2388.5500000000002</v>
      </c>
      <c r="G19808">
        <v>230601</v>
      </c>
      <c r="H19808">
        <v>4820</v>
      </c>
      <c r="I19808" t="s">
        <v>50</v>
      </c>
      <c r="J19808">
        <v>2961.8</v>
      </c>
      <c r="K19808">
        <v>573.25</v>
      </c>
      <c r="L19808">
        <v>56575</v>
      </c>
      <c r="M19808" t="s">
        <v>95</v>
      </c>
      <c r="N19808" t="str">
        <f>"88000230    "</f>
        <v xml:space="preserve">88000230    </v>
      </c>
      <c r="O19808">
        <v>230606</v>
      </c>
    </row>
    <row r="19809" spans="1:15" x14ac:dyDescent="0.25">
      <c r="A19809" t="s">
        <v>16</v>
      </c>
      <c r="B19809" t="s">
        <v>3221</v>
      </c>
      <c r="C19809">
        <v>9193</v>
      </c>
      <c r="D19809" t="s">
        <v>93</v>
      </c>
      <c r="E19809" t="s">
        <v>94</v>
      </c>
      <c r="F19809">
        <v>924.6</v>
      </c>
      <c r="G19809">
        <v>230701</v>
      </c>
      <c r="H19809">
        <v>4820</v>
      </c>
      <c r="I19809" t="s">
        <v>50</v>
      </c>
      <c r="J19809">
        <v>1146.5</v>
      </c>
      <c r="K19809">
        <v>221.9</v>
      </c>
      <c r="L19809">
        <v>56575</v>
      </c>
      <c r="M19809" t="s">
        <v>95</v>
      </c>
      <c r="N19809" t="str">
        <f>"88000238    "</f>
        <v xml:space="preserve">88000238    </v>
      </c>
      <c r="O19809">
        <v>230629</v>
      </c>
    </row>
    <row r="19810" spans="1:15" x14ac:dyDescent="0.25">
      <c r="A19810" t="s">
        <v>16</v>
      </c>
      <c r="B19810" t="s">
        <v>3221</v>
      </c>
      <c r="C19810">
        <v>9194</v>
      </c>
      <c r="D19810" t="s">
        <v>93</v>
      </c>
      <c r="E19810" t="s">
        <v>94</v>
      </c>
      <c r="F19810">
        <v>2388.5500000000002</v>
      </c>
      <c r="G19810">
        <v>230701</v>
      </c>
      <c r="H19810">
        <v>4820</v>
      </c>
      <c r="I19810" t="s">
        <v>50</v>
      </c>
      <c r="J19810">
        <v>2961.8</v>
      </c>
      <c r="K19810">
        <v>573.25</v>
      </c>
      <c r="L19810">
        <v>56575</v>
      </c>
      <c r="M19810" t="s">
        <v>95</v>
      </c>
      <c r="N19810" t="str">
        <f>"88000239    "</f>
        <v xml:space="preserve">88000239    </v>
      </c>
      <c r="O19810">
        <v>230629</v>
      </c>
    </row>
    <row r="19811" spans="1:15" x14ac:dyDescent="0.25">
      <c r="A19811" t="s">
        <v>16</v>
      </c>
      <c r="B19811" t="s">
        <v>3221</v>
      </c>
      <c r="C19811">
        <v>10230</v>
      </c>
      <c r="D19811" t="s">
        <v>93</v>
      </c>
      <c r="E19811" t="s">
        <v>94</v>
      </c>
      <c r="F19811">
        <v>2388.5500000000002</v>
      </c>
      <c r="G19811">
        <v>230801</v>
      </c>
      <c r="H19811">
        <v>4820</v>
      </c>
      <c r="I19811" t="s">
        <v>50</v>
      </c>
      <c r="J19811">
        <v>2961.8</v>
      </c>
      <c r="K19811">
        <v>573.25</v>
      </c>
      <c r="L19811">
        <v>56575</v>
      </c>
      <c r="M19811" t="s">
        <v>95</v>
      </c>
      <c r="N19811" t="str">
        <f>"88000252    "</f>
        <v xml:space="preserve">88000252    </v>
      </c>
      <c r="O19811">
        <v>230810</v>
      </c>
    </row>
    <row r="19812" spans="1:15" x14ac:dyDescent="0.25">
      <c r="A19812" t="s">
        <v>16</v>
      </c>
      <c r="B19812" t="s">
        <v>3221</v>
      </c>
      <c r="C19812">
        <v>10231</v>
      </c>
      <c r="D19812" t="s">
        <v>93</v>
      </c>
      <c r="E19812" t="s">
        <v>94</v>
      </c>
      <c r="F19812">
        <v>924.6</v>
      </c>
      <c r="G19812">
        <v>230801</v>
      </c>
      <c r="H19812">
        <v>4820</v>
      </c>
      <c r="I19812" t="s">
        <v>50</v>
      </c>
      <c r="J19812">
        <v>1146.5</v>
      </c>
      <c r="K19812">
        <v>221.9</v>
      </c>
      <c r="L19812">
        <v>56575</v>
      </c>
      <c r="M19812" t="s">
        <v>95</v>
      </c>
      <c r="N19812" t="str">
        <f>"88000251    "</f>
        <v xml:space="preserve">88000251    </v>
      </c>
      <c r="O19812">
        <v>230810</v>
      </c>
    </row>
    <row r="19813" spans="1:15" x14ac:dyDescent="0.25">
      <c r="A19813" t="s">
        <v>16</v>
      </c>
      <c r="B19813" t="s">
        <v>3221</v>
      </c>
      <c r="C19813">
        <v>11105</v>
      </c>
      <c r="D19813" t="s">
        <v>93</v>
      </c>
      <c r="E19813" t="s">
        <v>94</v>
      </c>
      <c r="F19813">
        <v>2388.5500000000002</v>
      </c>
      <c r="G19813">
        <v>230901</v>
      </c>
      <c r="H19813">
        <v>4820</v>
      </c>
      <c r="I19813" t="s">
        <v>50</v>
      </c>
      <c r="J19813">
        <v>2961.8</v>
      </c>
      <c r="K19813">
        <v>573.25</v>
      </c>
      <c r="L19813">
        <v>56575</v>
      </c>
      <c r="M19813" t="s">
        <v>95</v>
      </c>
      <c r="N19813" t="str">
        <f>"88000259    "</f>
        <v xml:space="preserve">88000259    </v>
      </c>
      <c r="O19813">
        <v>230830</v>
      </c>
    </row>
    <row r="19814" spans="1:15" x14ac:dyDescent="0.25">
      <c r="A19814" t="s">
        <v>16</v>
      </c>
      <c r="B19814" t="s">
        <v>3221</v>
      </c>
      <c r="C19814">
        <v>11106</v>
      </c>
      <c r="D19814" t="s">
        <v>93</v>
      </c>
      <c r="E19814" t="s">
        <v>94</v>
      </c>
      <c r="F19814">
        <v>924.6</v>
      </c>
      <c r="G19814">
        <v>230901</v>
      </c>
      <c r="H19814">
        <v>4820</v>
      </c>
      <c r="I19814" t="s">
        <v>50</v>
      </c>
      <c r="J19814">
        <v>1146.5</v>
      </c>
      <c r="K19814">
        <v>221.9</v>
      </c>
      <c r="L19814">
        <v>56575</v>
      </c>
      <c r="M19814" t="s">
        <v>95</v>
      </c>
      <c r="N19814" t="str">
        <f>"88000258    "</f>
        <v xml:space="preserve">88000258    </v>
      </c>
      <c r="O19814">
        <v>230830</v>
      </c>
    </row>
    <row r="19815" spans="1:15" x14ac:dyDescent="0.25">
      <c r="A19815" t="s">
        <v>16</v>
      </c>
      <c r="B19815" t="s">
        <v>3221</v>
      </c>
      <c r="C19815">
        <v>12911</v>
      </c>
      <c r="D19815" t="s">
        <v>93</v>
      </c>
      <c r="E19815" t="s">
        <v>94</v>
      </c>
      <c r="F19815">
        <v>924.6</v>
      </c>
      <c r="G19815">
        <v>231001</v>
      </c>
      <c r="H19815">
        <v>4820</v>
      </c>
      <c r="I19815" t="s">
        <v>50</v>
      </c>
      <c r="J19815">
        <v>1146.5</v>
      </c>
      <c r="K19815">
        <v>221.9</v>
      </c>
      <c r="L19815">
        <v>56575</v>
      </c>
      <c r="M19815" t="s">
        <v>95</v>
      </c>
      <c r="N19815" t="str">
        <f>"88000267    "</f>
        <v xml:space="preserve">88000267    </v>
      </c>
      <c r="O19815">
        <v>230929</v>
      </c>
    </row>
    <row r="19816" spans="1:15" x14ac:dyDescent="0.25">
      <c r="A19816" t="s">
        <v>16</v>
      </c>
      <c r="B19816" t="s">
        <v>3221</v>
      </c>
      <c r="C19816">
        <v>12912</v>
      </c>
      <c r="D19816" t="s">
        <v>93</v>
      </c>
      <c r="E19816" t="s">
        <v>94</v>
      </c>
      <c r="F19816">
        <v>2388.5500000000002</v>
      </c>
      <c r="G19816">
        <v>231001</v>
      </c>
      <c r="H19816">
        <v>4820</v>
      </c>
      <c r="I19816" t="s">
        <v>50</v>
      </c>
      <c r="J19816">
        <v>2961.8</v>
      </c>
      <c r="K19816">
        <v>573.25</v>
      </c>
      <c r="L19816">
        <v>56575</v>
      </c>
      <c r="M19816" t="s">
        <v>95</v>
      </c>
      <c r="N19816" t="str">
        <f>"88000268    "</f>
        <v xml:space="preserve">88000268    </v>
      </c>
      <c r="O19816">
        <v>230929</v>
      </c>
    </row>
    <row r="19817" spans="1:15" x14ac:dyDescent="0.25">
      <c r="A19817" t="s">
        <v>16</v>
      </c>
      <c r="B19817" t="s">
        <v>3221</v>
      </c>
      <c r="C19817">
        <v>14560</v>
      </c>
      <c r="D19817" t="s">
        <v>93</v>
      </c>
      <c r="E19817" t="s">
        <v>94</v>
      </c>
      <c r="F19817">
        <v>2388.5500000000002</v>
      </c>
      <c r="G19817">
        <v>231101</v>
      </c>
      <c r="H19817">
        <v>4820</v>
      </c>
      <c r="I19817" t="s">
        <v>50</v>
      </c>
      <c r="J19817">
        <v>2961.8</v>
      </c>
      <c r="K19817">
        <v>573.25</v>
      </c>
      <c r="L19817">
        <v>56575</v>
      </c>
      <c r="M19817" t="s">
        <v>95</v>
      </c>
      <c r="N19817" t="str">
        <f>"88000275    "</f>
        <v xml:space="preserve">88000275    </v>
      </c>
      <c r="O19817">
        <v>231030</v>
      </c>
    </row>
    <row r="19818" spans="1:15" x14ac:dyDescent="0.25">
      <c r="A19818" t="s">
        <v>16</v>
      </c>
      <c r="B19818" t="s">
        <v>3221</v>
      </c>
      <c r="C19818">
        <v>14562</v>
      </c>
      <c r="D19818" t="s">
        <v>93</v>
      </c>
      <c r="E19818" t="s">
        <v>94</v>
      </c>
      <c r="F19818">
        <v>924.6</v>
      </c>
      <c r="G19818">
        <v>231101</v>
      </c>
      <c r="H19818">
        <v>4820</v>
      </c>
      <c r="I19818" t="s">
        <v>50</v>
      </c>
      <c r="J19818">
        <v>1146.5</v>
      </c>
      <c r="K19818">
        <v>221.9</v>
      </c>
      <c r="L19818">
        <v>56575</v>
      </c>
      <c r="M19818" t="s">
        <v>95</v>
      </c>
      <c r="N19818" t="str">
        <f>"88000274    "</f>
        <v xml:space="preserve">88000274    </v>
      </c>
      <c r="O19818">
        <v>231030</v>
      </c>
    </row>
    <row r="19819" spans="1:15" x14ac:dyDescent="0.25">
      <c r="A19819" t="s">
        <v>16</v>
      </c>
      <c r="B19819" t="s">
        <v>3221</v>
      </c>
      <c r="C19819">
        <v>16553</v>
      </c>
      <c r="D19819" t="s">
        <v>93</v>
      </c>
      <c r="E19819" t="s">
        <v>94</v>
      </c>
      <c r="F19819">
        <v>924.6</v>
      </c>
      <c r="G19819">
        <v>231201</v>
      </c>
      <c r="H19819">
        <v>4820</v>
      </c>
      <c r="I19819" t="s">
        <v>50</v>
      </c>
      <c r="J19819">
        <v>1146.5</v>
      </c>
      <c r="K19819">
        <v>221.9</v>
      </c>
      <c r="L19819">
        <v>56575</v>
      </c>
      <c r="M19819" t="s">
        <v>95</v>
      </c>
      <c r="N19819" t="str">
        <f>"88000285    "</f>
        <v xml:space="preserve">88000285    </v>
      </c>
      <c r="O19819">
        <v>231201</v>
      </c>
    </row>
    <row r="19820" spans="1:15" x14ac:dyDescent="0.25">
      <c r="A19820" t="s">
        <v>16</v>
      </c>
      <c r="B19820" t="s">
        <v>3221</v>
      </c>
      <c r="C19820">
        <v>16556</v>
      </c>
      <c r="D19820" t="s">
        <v>93</v>
      </c>
      <c r="E19820" t="s">
        <v>94</v>
      </c>
      <c r="F19820">
        <v>2388.5500000000002</v>
      </c>
      <c r="G19820">
        <v>231201</v>
      </c>
      <c r="H19820">
        <v>4820</v>
      </c>
      <c r="I19820" t="s">
        <v>50</v>
      </c>
      <c r="J19820">
        <v>2961.8</v>
      </c>
      <c r="K19820">
        <v>573.25</v>
      </c>
      <c r="L19820">
        <v>56575</v>
      </c>
      <c r="M19820" t="s">
        <v>95</v>
      </c>
      <c r="N19820" t="str">
        <f>"88000286    "</f>
        <v xml:space="preserve">88000286    </v>
      </c>
      <c r="O19820">
        <v>231201</v>
      </c>
    </row>
    <row r="19821" spans="1:15" x14ac:dyDescent="0.25">
      <c r="A19821" t="s">
        <v>16</v>
      </c>
      <c r="B19821" t="s">
        <v>3221</v>
      </c>
      <c r="C19821">
        <v>12244</v>
      </c>
      <c r="D19821" t="s">
        <v>1960</v>
      </c>
      <c r="E19821" t="s">
        <v>1961</v>
      </c>
      <c r="F19821">
        <v>357</v>
      </c>
      <c r="G19821">
        <v>230911</v>
      </c>
      <c r="H19821">
        <v>4600</v>
      </c>
      <c r="I19821" t="s">
        <v>105</v>
      </c>
      <c r="J19821">
        <v>442.68</v>
      </c>
      <c r="K19821">
        <v>85.68</v>
      </c>
      <c r="L19821">
        <v>18994</v>
      </c>
      <c r="M19821" t="s">
        <v>1940</v>
      </c>
      <c r="N19821" t="str">
        <f>"3508        "</f>
        <v xml:space="preserve">3508        </v>
      </c>
      <c r="O19821">
        <v>230918</v>
      </c>
    </row>
    <row r="19822" spans="1:15" x14ac:dyDescent="0.25">
      <c r="A19822" t="s">
        <v>16</v>
      </c>
      <c r="B19822" t="s">
        <v>3221</v>
      </c>
      <c r="C19822">
        <v>15565</v>
      </c>
      <c r="D19822" t="s">
        <v>1960</v>
      </c>
      <c r="E19822" t="s">
        <v>1961</v>
      </c>
      <c r="F19822">
        <v>560</v>
      </c>
      <c r="G19822">
        <v>231107</v>
      </c>
      <c r="H19822">
        <v>4600</v>
      </c>
      <c r="I19822" t="s">
        <v>105</v>
      </c>
      <c r="J19822">
        <v>694.4</v>
      </c>
      <c r="K19822">
        <v>134.4</v>
      </c>
      <c r="L19822">
        <v>18994</v>
      </c>
      <c r="M19822" t="s">
        <v>1940</v>
      </c>
      <c r="N19822" t="str">
        <f>"3512        "</f>
        <v xml:space="preserve">3512        </v>
      </c>
      <c r="O19822">
        <v>231114</v>
      </c>
    </row>
    <row r="19823" spans="1:15" x14ac:dyDescent="0.25">
      <c r="A19823" t="s">
        <v>16</v>
      </c>
      <c r="B19823" t="s">
        <v>3221</v>
      </c>
      <c r="C19823">
        <v>6379</v>
      </c>
      <c r="D19823" t="s">
        <v>1960</v>
      </c>
      <c r="E19823" t="s">
        <v>1961</v>
      </c>
      <c r="F19823">
        <v>195</v>
      </c>
      <c r="G19823">
        <v>230508</v>
      </c>
      <c r="H19823">
        <v>4350</v>
      </c>
      <c r="I19823" t="s">
        <v>546</v>
      </c>
      <c r="J19823">
        <v>241.8</v>
      </c>
      <c r="K19823">
        <v>46.8</v>
      </c>
      <c r="L19823">
        <v>18994</v>
      </c>
      <c r="M19823" t="s">
        <v>1940</v>
      </c>
      <c r="N19823" t="str">
        <f>"3495        "</f>
        <v xml:space="preserve">3495        </v>
      </c>
      <c r="O19823">
        <v>230510</v>
      </c>
    </row>
    <row r="19824" spans="1:15" x14ac:dyDescent="0.25">
      <c r="A19824" t="s">
        <v>16</v>
      </c>
      <c r="B19824" t="s">
        <v>3221</v>
      </c>
      <c r="C19824">
        <v>15567</v>
      </c>
      <c r="D19824" t="s">
        <v>1960</v>
      </c>
      <c r="E19824" t="s">
        <v>1961</v>
      </c>
      <c r="F19824">
        <v>182</v>
      </c>
      <c r="G19824">
        <v>231107</v>
      </c>
      <c r="H19824">
        <v>4350</v>
      </c>
      <c r="I19824" t="s">
        <v>546</v>
      </c>
      <c r="J19824">
        <v>225.68</v>
      </c>
      <c r="K19824">
        <v>43.68</v>
      </c>
      <c r="L19824">
        <v>54451</v>
      </c>
      <c r="M19824" t="s">
        <v>158</v>
      </c>
      <c r="N19824" t="str">
        <f>"3513        "</f>
        <v xml:space="preserve">3513        </v>
      </c>
      <c r="O19824">
        <v>231114</v>
      </c>
    </row>
    <row r="19825" spans="1:15" x14ac:dyDescent="0.25">
      <c r="A19825" t="s">
        <v>16</v>
      </c>
      <c r="B19825" t="s">
        <v>3221</v>
      </c>
      <c r="C19825">
        <v>16668</v>
      </c>
      <c r="D19825" t="s">
        <v>1960</v>
      </c>
      <c r="E19825" t="s">
        <v>1961</v>
      </c>
      <c r="F19825">
        <v>176</v>
      </c>
      <c r="G19825">
        <v>231123</v>
      </c>
      <c r="H19825">
        <v>4350</v>
      </c>
      <c r="I19825" t="s">
        <v>546</v>
      </c>
      <c r="J19825">
        <v>218.24</v>
      </c>
      <c r="K19825">
        <v>42.24</v>
      </c>
      <c r="L19825">
        <v>59702</v>
      </c>
      <c r="M19825" t="s">
        <v>328</v>
      </c>
      <c r="N19825" t="str">
        <f>"3514        "</f>
        <v xml:space="preserve">3514        </v>
      </c>
      <c r="O19825">
        <v>231207</v>
      </c>
    </row>
    <row r="19826" spans="1:15" x14ac:dyDescent="0.25">
      <c r="A19826" t="s">
        <v>16</v>
      </c>
      <c r="B19826" t="s">
        <v>3221</v>
      </c>
      <c r="C19826">
        <v>1723</v>
      </c>
      <c r="D19826" t="s">
        <v>1163</v>
      </c>
      <c r="E19826" t="s">
        <v>1164</v>
      </c>
      <c r="F19826">
        <v>99.05</v>
      </c>
      <c r="G19826">
        <v>230131</v>
      </c>
      <c r="H19826">
        <v>4600</v>
      </c>
      <c r="I19826" t="s">
        <v>105</v>
      </c>
      <c r="J19826">
        <v>122.82</v>
      </c>
      <c r="K19826">
        <v>23.77</v>
      </c>
      <c r="L19826">
        <v>17647</v>
      </c>
      <c r="M19826" t="s">
        <v>1132</v>
      </c>
      <c r="N19826" t="str">
        <f>"3277        "</f>
        <v xml:space="preserve">3277        </v>
      </c>
      <c r="O19826">
        <v>230213</v>
      </c>
    </row>
    <row r="19827" spans="1:15" x14ac:dyDescent="0.25">
      <c r="A19827" t="s">
        <v>16</v>
      </c>
      <c r="B19827" t="s">
        <v>3221</v>
      </c>
      <c r="C19827">
        <v>1802</v>
      </c>
      <c r="D19827" t="s">
        <v>1163</v>
      </c>
      <c r="E19827" t="s">
        <v>1164</v>
      </c>
      <c r="F19827">
        <v>73.7</v>
      </c>
      <c r="G19827">
        <v>230208</v>
      </c>
      <c r="H19827">
        <v>4600</v>
      </c>
      <c r="I19827" t="s">
        <v>105</v>
      </c>
      <c r="J19827">
        <v>91.39</v>
      </c>
      <c r="K19827">
        <v>17.690000000000001</v>
      </c>
      <c r="L19827">
        <v>17647</v>
      </c>
      <c r="M19827" t="s">
        <v>1132</v>
      </c>
      <c r="N19827" t="str">
        <f>"3380        "</f>
        <v xml:space="preserve">3380        </v>
      </c>
      <c r="O19827">
        <v>230214</v>
      </c>
    </row>
    <row r="19828" spans="1:15" x14ac:dyDescent="0.25">
      <c r="A19828" t="s">
        <v>16</v>
      </c>
      <c r="B19828" t="s">
        <v>3221</v>
      </c>
      <c r="C19828">
        <v>4200</v>
      </c>
      <c r="D19828" t="s">
        <v>1163</v>
      </c>
      <c r="E19828" t="s">
        <v>1164</v>
      </c>
      <c r="F19828">
        <v>86.5</v>
      </c>
      <c r="G19828">
        <v>230315</v>
      </c>
      <c r="H19828">
        <v>4600</v>
      </c>
      <c r="I19828" t="s">
        <v>105</v>
      </c>
      <c r="J19828">
        <v>107.26</v>
      </c>
      <c r="K19828">
        <v>20.76</v>
      </c>
      <c r="L19828">
        <v>56524</v>
      </c>
      <c r="M19828" t="s">
        <v>150</v>
      </c>
      <c r="N19828" t="str">
        <f>"3834        "</f>
        <v xml:space="preserve">3834        </v>
      </c>
      <c r="O19828">
        <v>230331</v>
      </c>
    </row>
    <row r="19829" spans="1:15" x14ac:dyDescent="0.25">
      <c r="A19829" t="s">
        <v>16</v>
      </c>
      <c r="B19829" t="s">
        <v>3221</v>
      </c>
      <c r="C19829">
        <v>5110</v>
      </c>
      <c r="D19829" t="s">
        <v>1163</v>
      </c>
      <c r="E19829" t="s">
        <v>1164</v>
      </c>
      <c r="F19829">
        <v>139</v>
      </c>
      <c r="G19829">
        <v>230328</v>
      </c>
      <c r="H19829">
        <v>4600</v>
      </c>
      <c r="I19829" t="s">
        <v>105</v>
      </c>
      <c r="J19829">
        <v>172.36</v>
      </c>
      <c r="K19829">
        <v>33.36</v>
      </c>
      <c r="L19829">
        <v>56553</v>
      </c>
      <c r="M19829" t="s">
        <v>1793</v>
      </c>
      <c r="N19829" t="str">
        <f>"4021        "</f>
        <v xml:space="preserve">4021        </v>
      </c>
      <c r="O19829">
        <v>230418</v>
      </c>
    </row>
    <row r="19830" spans="1:15" x14ac:dyDescent="0.25">
      <c r="A19830" t="s">
        <v>16</v>
      </c>
      <c r="B19830" t="s">
        <v>3221</v>
      </c>
      <c r="C19830">
        <v>11635</v>
      </c>
      <c r="D19830" t="s">
        <v>1163</v>
      </c>
      <c r="E19830" t="s">
        <v>1164</v>
      </c>
      <c r="F19830">
        <v>90.32</v>
      </c>
      <c r="G19830">
        <v>230901</v>
      </c>
      <c r="H19830">
        <v>4600</v>
      </c>
      <c r="I19830" t="s">
        <v>105</v>
      </c>
      <c r="J19830">
        <v>112</v>
      </c>
      <c r="K19830">
        <v>21.68</v>
      </c>
      <c r="L19830">
        <v>17531</v>
      </c>
      <c r="M19830" t="s">
        <v>136</v>
      </c>
      <c r="N19830" t="str">
        <f>"5874        "</f>
        <v xml:space="preserve">5874        </v>
      </c>
      <c r="O19830">
        <v>230907</v>
      </c>
    </row>
    <row r="19831" spans="1:15" x14ac:dyDescent="0.25">
      <c r="A19831" t="s">
        <v>16</v>
      </c>
      <c r="B19831" t="s">
        <v>3221</v>
      </c>
      <c r="C19831">
        <v>11635</v>
      </c>
      <c r="D19831" t="s">
        <v>1163</v>
      </c>
      <c r="E19831" t="s">
        <v>1164</v>
      </c>
      <c r="F19831">
        <v>803.26</v>
      </c>
      <c r="G19831">
        <v>230901</v>
      </c>
      <c r="H19831">
        <v>4600</v>
      </c>
      <c r="I19831" t="s">
        <v>105</v>
      </c>
      <c r="J19831">
        <v>996.04</v>
      </c>
      <c r="K19831">
        <v>192.78</v>
      </c>
      <c r="L19831">
        <v>17645</v>
      </c>
      <c r="M19831" t="s">
        <v>1035</v>
      </c>
      <c r="N19831" t="str">
        <f>"5874        "</f>
        <v xml:space="preserve">5874        </v>
      </c>
      <c r="O19831">
        <v>230907</v>
      </c>
    </row>
    <row r="19832" spans="1:15" x14ac:dyDescent="0.25">
      <c r="A19832" t="s">
        <v>16</v>
      </c>
      <c r="B19832" t="s">
        <v>3221</v>
      </c>
      <c r="C19832">
        <v>12009</v>
      </c>
      <c r="D19832" t="s">
        <v>1163</v>
      </c>
      <c r="E19832" t="s">
        <v>1164</v>
      </c>
      <c r="F19832">
        <v>44</v>
      </c>
      <c r="G19832">
        <v>230901</v>
      </c>
      <c r="H19832">
        <v>4600</v>
      </c>
      <c r="I19832" t="s">
        <v>105</v>
      </c>
      <c r="J19832">
        <v>54.56</v>
      </c>
      <c r="K19832">
        <v>10.56</v>
      </c>
      <c r="L19832">
        <v>17533</v>
      </c>
      <c r="M19832" t="s">
        <v>990</v>
      </c>
      <c r="N19832" t="str">
        <f>"5873        "</f>
        <v xml:space="preserve">5873        </v>
      </c>
      <c r="O19832">
        <v>230912</v>
      </c>
    </row>
    <row r="19833" spans="1:15" x14ac:dyDescent="0.25">
      <c r="A19833" t="s">
        <v>16</v>
      </c>
      <c r="B19833" t="s">
        <v>3221</v>
      </c>
      <c r="C19833">
        <v>12009</v>
      </c>
      <c r="D19833" t="s">
        <v>1163</v>
      </c>
      <c r="E19833" t="s">
        <v>1164</v>
      </c>
      <c r="F19833">
        <v>71.400000000000006</v>
      </c>
      <c r="G19833">
        <v>230901</v>
      </c>
      <c r="H19833">
        <v>4600</v>
      </c>
      <c r="I19833" t="s">
        <v>105</v>
      </c>
      <c r="J19833">
        <v>88.54</v>
      </c>
      <c r="K19833">
        <v>17.14</v>
      </c>
      <c r="L19833">
        <v>17533</v>
      </c>
      <c r="M19833" t="s">
        <v>990</v>
      </c>
      <c r="N19833" t="str">
        <f>"5873        "</f>
        <v xml:space="preserve">5873        </v>
      </c>
      <c r="O19833">
        <v>230912</v>
      </c>
    </row>
    <row r="19834" spans="1:15" x14ac:dyDescent="0.25">
      <c r="A19834" t="s">
        <v>16</v>
      </c>
      <c r="B19834" t="s">
        <v>3221</v>
      </c>
      <c r="C19834">
        <v>12009</v>
      </c>
      <c r="D19834" t="s">
        <v>1163</v>
      </c>
      <c r="E19834" t="s">
        <v>1164</v>
      </c>
      <c r="F19834">
        <v>1284.3599999999999</v>
      </c>
      <c r="G19834">
        <v>230901</v>
      </c>
      <c r="H19834">
        <v>4600</v>
      </c>
      <c r="I19834" t="s">
        <v>105</v>
      </c>
      <c r="J19834">
        <v>1592.61</v>
      </c>
      <c r="K19834">
        <v>308.25</v>
      </c>
      <c r="L19834">
        <v>17647</v>
      </c>
      <c r="M19834" t="s">
        <v>1132</v>
      </c>
      <c r="N19834" t="str">
        <f>"5873        "</f>
        <v xml:space="preserve">5873        </v>
      </c>
      <c r="O19834">
        <v>230912</v>
      </c>
    </row>
    <row r="19835" spans="1:15" x14ac:dyDescent="0.25">
      <c r="A19835" t="s">
        <v>16</v>
      </c>
      <c r="B19835" t="s">
        <v>3221</v>
      </c>
      <c r="C19835">
        <v>13157</v>
      </c>
      <c r="D19835" t="s">
        <v>1163</v>
      </c>
      <c r="E19835" t="s">
        <v>1164</v>
      </c>
      <c r="F19835">
        <v>17</v>
      </c>
      <c r="G19835">
        <v>230925</v>
      </c>
      <c r="H19835">
        <v>4600</v>
      </c>
      <c r="I19835" t="s">
        <v>105</v>
      </c>
      <c r="J19835">
        <v>21.08</v>
      </c>
      <c r="K19835">
        <v>4.08</v>
      </c>
      <c r="L19835">
        <v>17647</v>
      </c>
      <c r="M19835" t="s">
        <v>1132</v>
      </c>
      <c r="N19835" t="str">
        <f>"6218        "</f>
        <v xml:space="preserve">6218        </v>
      </c>
      <c r="O19835">
        <v>231004</v>
      </c>
    </row>
    <row r="19836" spans="1:15" x14ac:dyDescent="0.25">
      <c r="A19836" t="s">
        <v>16</v>
      </c>
      <c r="B19836" t="s">
        <v>3221</v>
      </c>
      <c r="C19836">
        <v>13600</v>
      </c>
      <c r="D19836" t="s">
        <v>1163</v>
      </c>
      <c r="E19836" t="s">
        <v>1164</v>
      </c>
      <c r="F19836">
        <v>44.1</v>
      </c>
      <c r="G19836">
        <v>231006</v>
      </c>
      <c r="H19836">
        <v>4600</v>
      </c>
      <c r="I19836" t="s">
        <v>105</v>
      </c>
      <c r="J19836">
        <v>54.68</v>
      </c>
      <c r="K19836">
        <v>10.58</v>
      </c>
      <c r="L19836">
        <v>17645</v>
      </c>
      <c r="M19836" t="s">
        <v>1035</v>
      </c>
      <c r="N19836" t="str">
        <f>"6410        "</f>
        <v xml:space="preserve">6410        </v>
      </c>
      <c r="O19836">
        <v>231011</v>
      </c>
    </row>
    <row r="19837" spans="1:15" x14ac:dyDescent="0.25">
      <c r="A19837" t="s">
        <v>16</v>
      </c>
      <c r="B19837" t="s">
        <v>3221</v>
      </c>
      <c r="C19837">
        <v>16033</v>
      </c>
      <c r="D19837" t="s">
        <v>1163</v>
      </c>
      <c r="E19837" t="s">
        <v>1164</v>
      </c>
      <c r="F19837">
        <v>62.1</v>
      </c>
      <c r="G19837">
        <v>231107</v>
      </c>
      <c r="H19837">
        <v>4600</v>
      </c>
      <c r="I19837" t="s">
        <v>105</v>
      </c>
      <c r="J19837">
        <v>77</v>
      </c>
      <c r="K19837">
        <v>14.9</v>
      </c>
      <c r="L19837">
        <v>17533</v>
      </c>
      <c r="M19837" t="s">
        <v>990</v>
      </c>
      <c r="N19837" t="str">
        <f>"6841        "</f>
        <v xml:space="preserve">6841        </v>
      </c>
      <c r="O19837">
        <v>231122</v>
      </c>
    </row>
    <row r="19838" spans="1:15" x14ac:dyDescent="0.25">
      <c r="A19838" t="s">
        <v>16</v>
      </c>
      <c r="B19838" t="s">
        <v>3221</v>
      </c>
      <c r="C19838">
        <v>17410</v>
      </c>
      <c r="D19838" t="s">
        <v>1163</v>
      </c>
      <c r="E19838" t="s">
        <v>1164</v>
      </c>
      <c r="F19838">
        <v>297.54000000000002</v>
      </c>
      <c r="G19838">
        <v>231114</v>
      </c>
      <c r="H19838">
        <v>4600</v>
      </c>
      <c r="I19838" t="s">
        <v>105</v>
      </c>
      <c r="J19838">
        <v>368.95</v>
      </c>
      <c r="K19838">
        <v>71.41</v>
      </c>
      <c r="L19838">
        <v>56524</v>
      </c>
      <c r="M19838" t="s">
        <v>150</v>
      </c>
      <c r="N19838" t="str">
        <f>"6945        "</f>
        <v xml:space="preserve">6945        </v>
      </c>
      <c r="O19838">
        <v>231214</v>
      </c>
    </row>
    <row r="19839" spans="1:15" x14ac:dyDescent="0.25">
      <c r="A19839" t="s">
        <v>16</v>
      </c>
      <c r="B19839" t="s">
        <v>3221</v>
      </c>
      <c r="C19839">
        <v>17410</v>
      </c>
      <c r="D19839" t="s">
        <v>1163</v>
      </c>
      <c r="E19839" t="s">
        <v>1164</v>
      </c>
      <c r="F19839">
        <v>156.30000000000001</v>
      </c>
      <c r="G19839">
        <v>231114</v>
      </c>
      <c r="H19839">
        <v>4600</v>
      </c>
      <c r="I19839" t="s">
        <v>105</v>
      </c>
      <c r="J19839">
        <v>193.81</v>
      </c>
      <c r="K19839">
        <v>37.51</v>
      </c>
      <c r="L19839">
        <v>56553</v>
      </c>
      <c r="M19839" t="s">
        <v>1793</v>
      </c>
      <c r="N19839" t="str">
        <f>"6945        "</f>
        <v xml:space="preserve">6945        </v>
      </c>
      <c r="O19839">
        <v>231214</v>
      </c>
    </row>
    <row r="19840" spans="1:15" x14ac:dyDescent="0.25">
      <c r="A19840" t="s">
        <v>16</v>
      </c>
      <c r="B19840" t="s">
        <v>3221</v>
      </c>
      <c r="C19840">
        <v>17962</v>
      </c>
      <c r="D19840" t="s">
        <v>1163</v>
      </c>
      <c r="E19840" t="s">
        <v>1164</v>
      </c>
      <c r="F19840">
        <v>698.11</v>
      </c>
      <c r="G19840">
        <v>231129</v>
      </c>
      <c r="H19840">
        <v>4600</v>
      </c>
      <c r="I19840" t="s">
        <v>105</v>
      </c>
      <c r="J19840">
        <v>865.66</v>
      </c>
      <c r="K19840">
        <v>167.55</v>
      </c>
      <c r="L19840">
        <v>17647</v>
      </c>
      <c r="M19840" t="s">
        <v>1132</v>
      </c>
      <c r="N19840" t="str">
        <f>"7159        "</f>
        <v xml:space="preserve">7159        </v>
      </c>
      <c r="O19840">
        <v>231228</v>
      </c>
    </row>
    <row r="19841" spans="1:15" x14ac:dyDescent="0.25">
      <c r="A19841" t="s">
        <v>16</v>
      </c>
      <c r="B19841" t="s">
        <v>3221</v>
      </c>
      <c r="C19841">
        <v>172</v>
      </c>
      <c r="D19841" t="s">
        <v>263</v>
      </c>
      <c r="E19841" t="s">
        <v>264</v>
      </c>
      <c r="F19841">
        <v>120</v>
      </c>
      <c r="G19841">
        <v>230113</v>
      </c>
      <c r="H19841">
        <v>4362</v>
      </c>
      <c r="I19841" t="s">
        <v>79</v>
      </c>
      <c r="J19841">
        <v>148.80000000000001</v>
      </c>
      <c r="K19841">
        <v>28.8</v>
      </c>
      <c r="L19841">
        <v>18972</v>
      </c>
      <c r="M19841" t="s">
        <v>163</v>
      </c>
      <c r="N19841" t="str">
        <f>"104301167   "</f>
        <v xml:space="preserve">104301167   </v>
      </c>
      <c r="O19841">
        <v>230116</v>
      </c>
    </row>
    <row r="19842" spans="1:15" x14ac:dyDescent="0.25">
      <c r="A19842" t="s">
        <v>16</v>
      </c>
      <c r="B19842" t="s">
        <v>3221</v>
      </c>
      <c r="C19842">
        <v>1298</v>
      </c>
      <c r="D19842" t="s">
        <v>263</v>
      </c>
      <c r="E19842" t="s">
        <v>264</v>
      </c>
      <c r="F19842">
        <v>23.66</v>
      </c>
      <c r="G19842">
        <v>230206</v>
      </c>
      <c r="H19842">
        <v>4362</v>
      </c>
      <c r="I19842" t="s">
        <v>79</v>
      </c>
      <c r="J19842">
        <v>29.34</v>
      </c>
      <c r="K19842">
        <v>5.68</v>
      </c>
      <c r="L19842">
        <v>11101</v>
      </c>
      <c r="M19842" t="s">
        <v>110</v>
      </c>
      <c r="N19842" t="str">
        <f>"12306024778 "</f>
        <v xml:space="preserve">12306024778 </v>
      </c>
      <c r="O19842">
        <v>230207</v>
      </c>
    </row>
    <row r="19843" spans="1:15" x14ac:dyDescent="0.25">
      <c r="A19843" t="s">
        <v>16</v>
      </c>
      <c r="B19843" t="s">
        <v>3221</v>
      </c>
      <c r="C19843">
        <v>1298</v>
      </c>
      <c r="D19843" t="s">
        <v>263</v>
      </c>
      <c r="E19843" t="s">
        <v>264</v>
      </c>
      <c r="F19843">
        <v>17.28</v>
      </c>
      <c r="G19843">
        <v>230206</v>
      </c>
      <c r="H19843">
        <v>4362</v>
      </c>
      <c r="I19843" t="s">
        <v>79</v>
      </c>
      <c r="J19843">
        <v>21.43</v>
      </c>
      <c r="K19843">
        <v>4.1500000000000004</v>
      </c>
      <c r="L19843">
        <v>11201</v>
      </c>
      <c r="M19843" t="s">
        <v>305</v>
      </c>
      <c r="N19843" t="str">
        <f>"12306024778 "</f>
        <v xml:space="preserve">12306024778 </v>
      </c>
      <c r="O19843">
        <v>230207</v>
      </c>
    </row>
    <row r="19844" spans="1:15" x14ac:dyDescent="0.25">
      <c r="A19844" t="s">
        <v>16</v>
      </c>
      <c r="B19844" t="s">
        <v>3221</v>
      </c>
      <c r="C19844">
        <v>1300</v>
      </c>
      <c r="D19844" t="s">
        <v>263</v>
      </c>
      <c r="E19844" t="s">
        <v>264</v>
      </c>
      <c r="F19844">
        <v>10.25</v>
      </c>
      <c r="G19844">
        <v>230206</v>
      </c>
      <c r="H19844">
        <v>4362</v>
      </c>
      <c r="I19844" t="s">
        <v>79</v>
      </c>
      <c r="J19844">
        <v>12.71</v>
      </c>
      <c r="K19844">
        <v>2.46</v>
      </c>
      <c r="L19844">
        <v>17913</v>
      </c>
      <c r="M19844" t="s">
        <v>431</v>
      </c>
      <c r="N19844" t="str">
        <f t="shared" ref="N19844:N19849" si="258">"12306024767 "</f>
        <v xml:space="preserve">12306024767 </v>
      </c>
      <c r="O19844">
        <v>230207</v>
      </c>
    </row>
    <row r="19845" spans="1:15" x14ac:dyDescent="0.25">
      <c r="A19845" t="s">
        <v>16</v>
      </c>
      <c r="B19845" t="s">
        <v>3221</v>
      </c>
      <c r="C19845">
        <v>1300</v>
      </c>
      <c r="D19845" t="s">
        <v>263</v>
      </c>
      <c r="E19845" t="s">
        <v>264</v>
      </c>
      <c r="F19845">
        <v>21.6</v>
      </c>
      <c r="G19845">
        <v>230206</v>
      </c>
      <c r="H19845">
        <v>4362</v>
      </c>
      <c r="I19845" t="s">
        <v>79</v>
      </c>
      <c r="J19845">
        <v>26.78</v>
      </c>
      <c r="K19845">
        <v>5.18</v>
      </c>
      <c r="L19845">
        <v>17951</v>
      </c>
      <c r="M19845" t="s">
        <v>87</v>
      </c>
      <c r="N19845" t="str">
        <f t="shared" si="258"/>
        <v xml:space="preserve">12306024767 </v>
      </c>
      <c r="O19845">
        <v>230207</v>
      </c>
    </row>
    <row r="19846" spans="1:15" x14ac:dyDescent="0.25">
      <c r="A19846" t="s">
        <v>16</v>
      </c>
      <c r="B19846" t="s">
        <v>3221</v>
      </c>
      <c r="C19846">
        <v>1300</v>
      </c>
      <c r="D19846" t="s">
        <v>263</v>
      </c>
      <c r="E19846" t="s">
        <v>264</v>
      </c>
      <c r="F19846">
        <v>10.8</v>
      </c>
      <c r="G19846">
        <v>230206</v>
      </c>
      <c r="H19846">
        <v>4362</v>
      </c>
      <c r="I19846" t="s">
        <v>79</v>
      </c>
      <c r="J19846">
        <v>13.39</v>
      </c>
      <c r="K19846">
        <v>2.59</v>
      </c>
      <c r="L19846">
        <v>17971</v>
      </c>
      <c r="M19846" t="s">
        <v>138</v>
      </c>
      <c r="N19846" t="str">
        <f t="shared" si="258"/>
        <v xml:space="preserve">12306024767 </v>
      </c>
      <c r="O19846">
        <v>230207</v>
      </c>
    </row>
    <row r="19847" spans="1:15" x14ac:dyDescent="0.25">
      <c r="A19847" t="s">
        <v>16</v>
      </c>
      <c r="B19847" t="s">
        <v>3221</v>
      </c>
      <c r="C19847">
        <v>1300</v>
      </c>
      <c r="D19847" t="s">
        <v>263</v>
      </c>
      <c r="E19847" t="s">
        <v>264</v>
      </c>
      <c r="F19847">
        <v>5.25</v>
      </c>
      <c r="G19847">
        <v>230206</v>
      </c>
      <c r="H19847">
        <v>4362</v>
      </c>
      <c r="I19847" t="s">
        <v>79</v>
      </c>
      <c r="J19847">
        <v>6.51</v>
      </c>
      <c r="K19847">
        <v>1.26</v>
      </c>
      <c r="L19847">
        <v>17974</v>
      </c>
      <c r="M19847" t="s">
        <v>460</v>
      </c>
      <c r="N19847" t="str">
        <f t="shared" si="258"/>
        <v xml:space="preserve">12306024767 </v>
      </c>
      <c r="O19847">
        <v>230207</v>
      </c>
    </row>
    <row r="19848" spans="1:15" x14ac:dyDescent="0.25">
      <c r="A19848" t="s">
        <v>16</v>
      </c>
      <c r="B19848" t="s">
        <v>3221</v>
      </c>
      <c r="C19848">
        <v>1300</v>
      </c>
      <c r="D19848" t="s">
        <v>263</v>
      </c>
      <c r="E19848" t="s">
        <v>264</v>
      </c>
      <c r="F19848">
        <v>14.76</v>
      </c>
      <c r="G19848">
        <v>230206</v>
      </c>
      <c r="H19848">
        <v>4362</v>
      </c>
      <c r="I19848" t="s">
        <v>79</v>
      </c>
      <c r="J19848">
        <v>18.3</v>
      </c>
      <c r="K19848">
        <v>3.54</v>
      </c>
      <c r="L19848">
        <v>17975</v>
      </c>
      <c r="M19848" t="s">
        <v>798</v>
      </c>
      <c r="N19848" t="str">
        <f t="shared" si="258"/>
        <v xml:space="preserve">12306024767 </v>
      </c>
      <c r="O19848">
        <v>230207</v>
      </c>
    </row>
    <row r="19849" spans="1:15" x14ac:dyDescent="0.25">
      <c r="A19849" t="s">
        <v>16</v>
      </c>
      <c r="B19849" t="s">
        <v>3221</v>
      </c>
      <c r="C19849">
        <v>1300</v>
      </c>
      <c r="D19849" t="s">
        <v>263</v>
      </c>
      <c r="E19849" t="s">
        <v>264</v>
      </c>
      <c r="F19849">
        <v>2.71</v>
      </c>
      <c r="G19849">
        <v>230206</v>
      </c>
      <c r="H19849">
        <v>4362</v>
      </c>
      <c r="I19849" t="s">
        <v>79</v>
      </c>
      <c r="J19849">
        <v>3.36</v>
      </c>
      <c r="K19849">
        <v>0.65</v>
      </c>
      <c r="L19849">
        <v>18987</v>
      </c>
      <c r="M19849" t="s">
        <v>989</v>
      </c>
      <c r="N19849" t="str">
        <f t="shared" si="258"/>
        <v xml:space="preserve">12306024767 </v>
      </c>
      <c r="O19849">
        <v>230207</v>
      </c>
    </row>
    <row r="19850" spans="1:15" x14ac:dyDescent="0.25">
      <c r="A19850" t="s">
        <v>16</v>
      </c>
      <c r="B19850" t="s">
        <v>3221</v>
      </c>
      <c r="C19850">
        <v>1302</v>
      </c>
      <c r="D19850" t="s">
        <v>263</v>
      </c>
      <c r="E19850" t="s">
        <v>264</v>
      </c>
      <c r="F19850">
        <v>28.8</v>
      </c>
      <c r="G19850">
        <v>230206</v>
      </c>
      <c r="H19850">
        <v>4362</v>
      </c>
      <c r="I19850" t="s">
        <v>79</v>
      </c>
      <c r="J19850">
        <v>35.71</v>
      </c>
      <c r="K19850">
        <v>6.91</v>
      </c>
      <c r="L19850">
        <v>13601</v>
      </c>
      <c r="M19850" t="s">
        <v>147</v>
      </c>
      <c r="N19850" t="str">
        <f>"12306024773 "</f>
        <v xml:space="preserve">12306024773 </v>
      </c>
      <c r="O19850">
        <v>230207</v>
      </c>
    </row>
    <row r="19851" spans="1:15" x14ac:dyDescent="0.25">
      <c r="A19851" t="s">
        <v>16</v>
      </c>
      <c r="B19851" t="s">
        <v>3221</v>
      </c>
      <c r="C19851">
        <v>1303</v>
      </c>
      <c r="D19851" t="s">
        <v>263</v>
      </c>
      <c r="E19851" t="s">
        <v>264</v>
      </c>
      <c r="F19851">
        <v>6.26</v>
      </c>
      <c r="G19851">
        <v>230206</v>
      </c>
      <c r="H19851">
        <v>4362</v>
      </c>
      <c r="I19851" t="s">
        <v>79</v>
      </c>
      <c r="J19851">
        <v>7.76</v>
      </c>
      <c r="K19851">
        <v>1.5</v>
      </c>
      <c r="L19851">
        <v>16321</v>
      </c>
      <c r="M19851" t="s">
        <v>423</v>
      </c>
      <c r="N19851" t="str">
        <f t="shared" ref="N19851:N19860" si="259">"12306024768 "</f>
        <v xml:space="preserve">12306024768 </v>
      </c>
      <c r="O19851">
        <v>230207</v>
      </c>
    </row>
    <row r="19852" spans="1:15" x14ac:dyDescent="0.25">
      <c r="A19852" t="s">
        <v>16</v>
      </c>
      <c r="B19852" t="s">
        <v>3221</v>
      </c>
      <c r="C19852">
        <v>1303</v>
      </c>
      <c r="D19852" t="s">
        <v>263</v>
      </c>
      <c r="E19852" t="s">
        <v>264</v>
      </c>
      <c r="F19852">
        <v>9.0399999999999991</v>
      </c>
      <c r="G19852">
        <v>230206</v>
      </c>
      <c r="H19852">
        <v>4362</v>
      </c>
      <c r="I19852" t="s">
        <v>79</v>
      </c>
      <c r="J19852">
        <v>11.21</v>
      </c>
      <c r="K19852">
        <v>2.17</v>
      </c>
      <c r="L19852">
        <v>16431</v>
      </c>
      <c r="M19852" t="s">
        <v>231</v>
      </c>
      <c r="N19852" t="str">
        <f t="shared" si="259"/>
        <v xml:space="preserve">12306024768 </v>
      </c>
      <c r="O19852">
        <v>230207</v>
      </c>
    </row>
    <row r="19853" spans="1:15" x14ac:dyDescent="0.25">
      <c r="A19853" t="s">
        <v>16</v>
      </c>
      <c r="B19853" t="s">
        <v>3221</v>
      </c>
      <c r="C19853">
        <v>1303</v>
      </c>
      <c r="D19853" t="s">
        <v>263</v>
      </c>
      <c r="E19853" t="s">
        <v>264</v>
      </c>
      <c r="F19853">
        <v>47.66</v>
      </c>
      <c r="G19853">
        <v>230206</v>
      </c>
      <c r="H19853">
        <v>4362</v>
      </c>
      <c r="I19853" t="s">
        <v>79</v>
      </c>
      <c r="J19853">
        <v>59.1</v>
      </c>
      <c r="K19853">
        <v>11.44</v>
      </c>
      <c r="L19853">
        <v>17802</v>
      </c>
      <c r="M19853" t="s">
        <v>174</v>
      </c>
      <c r="N19853" t="str">
        <f t="shared" si="259"/>
        <v xml:space="preserve">12306024768 </v>
      </c>
      <c r="O19853">
        <v>230207</v>
      </c>
    </row>
    <row r="19854" spans="1:15" x14ac:dyDescent="0.25">
      <c r="A19854" t="s">
        <v>16</v>
      </c>
      <c r="B19854" t="s">
        <v>3221</v>
      </c>
      <c r="C19854">
        <v>1303</v>
      </c>
      <c r="D19854" t="s">
        <v>263</v>
      </c>
      <c r="E19854" t="s">
        <v>264</v>
      </c>
      <c r="F19854">
        <v>7.95</v>
      </c>
      <c r="G19854">
        <v>230206</v>
      </c>
      <c r="H19854">
        <v>4362</v>
      </c>
      <c r="I19854" t="s">
        <v>79</v>
      </c>
      <c r="J19854">
        <v>9.86</v>
      </c>
      <c r="K19854">
        <v>1.91</v>
      </c>
      <c r="L19854">
        <v>17803</v>
      </c>
      <c r="M19854" t="s">
        <v>389</v>
      </c>
      <c r="N19854" t="str">
        <f t="shared" si="259"/>
        <v xml:space="preserve">12306024768 </v>
      </c>
      <c r="O19854">
        <v>230207</v>
      </c>
    </row>
    <row r="19855" spans="1:15" x14ac:dyDescent="0.25">
      <c r="A19855" t="s">
        <v>16</v>
      </c>
      <c r="B19855" t="s">
        <v>3221</v>
      </c>
      <c r="C19855">
        <v>1303</v>
      </c>
      <c r="D19855" t="s">
        <v>263</v>
      </c>
      <c r="E19855" t="s">
        <v>264</v>
      </c>
      <c r="F19855">
        <v>5.53</v>
      </c>
      <c r="G19855">
        <v>230206</v>
      </c>
      <c r="H19855">
        <v>4362</v>
      </c>
      <c r="I19855" t="s">
        <v>79</v>
      </c>
      <c r="J19855">
        <v>6.86</v>
      </c>
      <c r="K19855">
        <v>1.33</v>
      </c>
      <c r="L19855">
        <v>17804</v>
      </c>
      <c r="M19855" t="s">
        <v>549</v>
      </c>
      <c r="N19855" t="str">
        <f t="shared" si="259"/>
        <v xml:space="preserve">12306024768 </v>
      </c>
      <c r="O19855">
        <v>230207</v>
      </c>
    </row>
    <row r="19856" spans="1:15" x14ac:dyDescent="0.25">
      <c r="A19856" t="s">
        <v>16</v>
      </c>
      <c r="B19856" t="s">
        <v>3221</v>
      </c>
      <c r="C19856">
        <v>1303</v>
      </c>
      <c r="D19856" t="s">
        <v>263</v>
      </c>
      <c r="E19856" t="s">
        <v>264</v>
      </c>
      <c r="F19856">
        <v>2.7</v>
      </c>
      <c r="G19856">
        <v>230206</v>
      </c>
      <c r="H19856">
        <v>4362</v>
      </c>
      <c r="I19856" t="s">
        <v>79</v>
      </c>
      <c r="J19856">
        <v>3.35</v>
      </c>
      <c r="K19856">
        <v>0.65</v>
      </c>
      <c r="L19856">
        <v>17805</v>
      </c>
      <c r="M19856" t="s">
        <v>102</v>
      </c>
      <c r="N19856" t="str">
        <f t="shared" si="259"/>
        <v xml:space="preserve">12306024768 </v>
      </c>
      <c r="O19856">
        <v>230207</v>
      </c>
    </row>
    <row r="19857" spans="1:15" x14ac:dyDescent="0.25">
      <c r="A19857" t="s">
        <v>16</v>
      </c>
      <c r="B19857" t="s">
        <v>3221</v>
      </c>
      <c r="C19857">
        <v>1303</v>
      </c>
      <c r="D19857" t="s">
        <v>263</v>
      </c>
      <c r="E19857" t="s">
        <v>264</v>
      </c>
      <c r="F19857">
        <v>6.27</v>
      </c>
      <c r="G19857">
        <v>230206</v>
      </c>
      <c r="H19857">
        <v>4362</v>
      </c>
      <c r="I19857" t="s">
        <v>79</v>
      </c>
      <c r="J19857">
        <v>7.77</v>
      </c>
      <c r="K19857">
        <v>1.5</v>
      </c>
      <c r="L19857">
        <v>17806</v>
      </c>
      <c r="M19857" t="s">
        <v>265</v>
      </c>
      <c r="N19857" t="str">
        <f t="shared" si="259"/>
        <v xml:space="preserve">12306024768 </v>
      </c>
      <c r="O19857">
        <v>230207</v>
      </c>
    </row>
    <row r="19858" spans="1:15" x14ac:dyDescent="0.25">
      <c r="A19858" t="s">
        <v>16</v>
      </c>
      <c r="B19858" t="s">
        <v>3221</v>
      </c>
      <c r="C19858">
        <v>1303</v>
      </c>
      <c r="D19858" t="s">
        <v>263</v>
      </c>
      <c r="E19858" t="s">
        <v>264</v>
      </c>
      <c r="F19858">
        <v>16.05</v>
      </c>
      <c r="G19858">
        <v>230206</v>
      </c>
      <c r="H19858">
        <v>4362</v>
      </c>
      <c r="I19858" t="s">
        <v>79</v>
      </c>
      <c r="J19858">
        <v>19.899999999999999</v>
      </c>
      <c r="K19858">
        <v>3.85</v>
      </c>
      <c r="L19858">
        <v>17807</v>
      </c>
      <c r="M19858" t="s">
        <v>318</v>
      </c>
      <c r="N19858" t="str">
        <f t="shared" si="259"/>
        <v xml:space="preserve">12306024768 </v>
      </c>
      <c r="O19858">
        <v>230207</v>
      </c>
    </row>
    <row r="19859" spans="1:15" x14ac:dyDescent="0.25">
      <c r="A19859" t="s">
        <v>16</v>
      </c>
      <c r="B19859" t="s">
        <v>3221</v>
      </c>
      <c r="C19859">
        <v>1303</v>
      </c>
      <c r="D19859" t="s">
        <v>263</v>
      </c>
      <c r="E19859" t="s">
        <v>264</v>
      </c>
      <c r="F19859">
        <v>8.1</v>
      </c>
      <c r="G19859">
        <v>230206</v>
      </c>
      <c r="H19859">
        <v>4362</v>
      </c>
      <c r="I19859" t="s">
        <v>79</v>
      </c>
      <c r="J19859">
        <v>10.039999999999999</v>
      </c>
      <c r="K19859">
        <v>1.94</v>
      </c>
      <c r="L19859">
        <v>17808</v>
      </c>
      <c r="M19859" t="s">
        <v>322</v>
      </c>
      <c r="N19859" t="str">
        <f t="shared" si="259"/>
        <v xml:space="preserve">12306024768 </v>
      </c>
      <c r="O19859">
        <v>230207</v>
      </c>
    </row>
    <row r="19860" spans="1:15" x14ac:dyDescent="0.25">
      <c r="A19860" t="s">
        <v>16</v>
      </c>
      <c r="B19860" t="s">
        <v>3221</v>
      </c>
      <c r="C19860">
        <v>1303</v>
      </c>
      <c r="D19860" t="s">
        <v>263</v>
      </c>
      <c r="E19860" t="s">
        <v>264</v>
      </c>
      <c r="F19860">
        <v>5.65</v>
      </c>
      <c r="G19860">
        <v>230206</v>
      </c>
      <c r="H19860">
        <v>4362</v>
      </c>
      <c r="I19860" t="s">
        <v>79</v>
      </c>
      <c r="J19860">
        <v>7.01</v>
      </c>
      <c r="K19860">
        <v>1.36</v>
      </c>
      <c r="L19860">
        <v>17809</v>
      </c>
      <c r="M19860" t="s">
        <v>376</v>
      </c>
      <c r="N19860" t="str">
        <f t="shared" si="259"/>
        <v xml:space="preserve">12306024768 </v>
      </c>
      <c r="O19860">
        <v>230207</v>
      </c>
    </row>
    <row r="19861" spans="1:15" x14ac:dyDescent="0.25">
      <c r="A19861" t="s">
        <v>16</v>
      </c>
      <c r="B19861" t="s">
        <v>3221</v>
      </c>
      <c r="C19861">
        <v>1304</v>
      </c>
      <c r="D19861" t="s">
        <v>263</v>
      </c>
      <c r="E19861" t="s">
        <v>264</v>
      </c>
      <c r="F19861">
        <v>7.95</v>
      </c>
      <c r="G19861">
        <v>230206</v>
      </c>
      <c r="H19861">
        <v>4362</v>
      </c>
      <c r="I19861" t="s">
        <v>79</v>
      </c>
      <c r="J19861">
        <v>9.86</v>
      </c>
      <c r="K19861">
        <v>1.91</v>
      </c>
      <c r="L19861">
        <v>16930</v>
      </c>
      <c r="M19861" t="s">
        <v>450</v>
      </c>
      <c r="N19861" t="str">
        <f t="shared" ref="N19861:N19884" si="260">"12306024770 "</f>
        <v xml:space="preserve">12306024770 </v>
      </c>
      <c r="O19861">
        <v>230207</v>
      </c>
    </row>
    <row r="19862" spans="1:15" x14ac:dyDescent="0.25">
      <c r="A19862" t="s">
        <v>16</v>
      </c>
      <c r="B19862" t="s">
        <v>3221</v>
      </c>
      <c r="C19862">
        <v>1304</v>
      </c>
      <c r="D19862" t="s">
        <v>263</v>
      </c>
      <c r="E19862" t="s">
        <v>264</v>
      </c>
      <c r="F19862">
        <v>9.06</v>
      </c>
      <c r="G19862">
        <v>230206</v>
      </c>
      <c r="H19862">
        <v>4362</v>
      </c>
      <c r="I19862" t="s">
        <v>79</v>
      </c>
      <c r="J19862">
        <v>11.23</v>
      </c>
      <c r="K19862">
        <v>2.17</v>
      </c>
      <c r="L19862">
        <v>17521</v>
      </c>
      <c r="M19862" t="s">
        <v>133</v>
      </c>
      <c r="N19862" t="str">
        <f t="shared" si="260"/>
        <v xml:space="preserve">12306024770 </v>
      </c>
      <c r="O19862">
        <v>230207</v>
      </c>
    </row>
    <row r="19863" spans="1:15" x14ac:dyDescent="0.25">
      <c r="A19863" t="s">
        <v>16</v>
      </c>
      <c r="B19863" t="s">
        <v>3221</v>
      </c>
      <c r="C19863">
        <v>1304</v>
      </c>
      <c r="D19863" t="s">
        <v>263</v>
      </c>
      <c r="E19863" t="s">
        <v>264</v>
      </c>
      <c r="F19863">
        <v>8.36</v>
      </c>
      <c r="G19863">
        <v>230206</v>
      </c>
      <c r="H19863">
        <v>4362</v>
      </c>
      <c r="I19863" t="s">
        <v>79</v>
      </c>
      <c r="J19863">
        <v>10.37</v>
      </c>
      <c r="K19863">
        <v>2.0099999999999998</v>
      </c>
      <c r="L19863">
        <v>17522</v>
      </c>
      <c r="M19863" t="s">
        <v>451</v>
      </c>
      <c r="N19863" t="str">
        <f t="shared" si="260"/>
        <v xml:space="preserve">12306024770 </v>
      </c>
      <c r="O19863">
        <v>230207</v>
      </c>
    </row>
    <row r="19864" spans="1:15" x14ac:dyDescent="0.25">
      <c r="A19864" t="s">
        <v>16</v>
      </c>
      <c r="B19864" t="s">
        <v>3221</v>
      </c>
      <c r="C19864">
        <v>1304</v>
      </c>
      <c r="D19864" t="s">
        <v>263</v>
      </c>
      <c r="E19864" t="s">
        <v>264</v>
      </c>
      <c r="F19864">
        <v>13.03</v>
      </c>
      <c r="G19864">
        <v>230206</v>
      </c>
      <c r="H19864">
        <v>4362</v>
      </c>
      <c r="I19864" t="s">
        <v>79</v>
      </c>
      <c r="J19864">
        <v>16.16</v>
      </c>
      <c r="K19864">
        <v>3.13</v>
      </c>
      <c r="L19864">
        <v>17523</v>
      </c>
      <c r="M19864" t="s">
        <v>134</v>
      </c>
      <c r="N19864" t="str">
        <f t="shared" si="260"/>
        <v xml:space="preserve">12306024770 </v>
      </c>
      <c r="O19864">
        <v>230207</v>
      </c>
    </row>
    <row r="19865" spans="1:15" x14ac:dyDescent="0.25">
      <c r="A19865" t="s">
        <v>16</v>
      </c>
      <c r="B19865" t="s">
        <v>3221</v>
      </c>
      <c r="C19865">
        <v>1304</v>
      </c>
      <c r="D19865" t="s">
        <v>263</v>
      </c>
      <c r="E19865" t="s">
        <v>264</v>
      </c>
      <c r="F19865">
        <v>5.4</v>
      </c>
      <c r="G19865">
        <v>230206</v>
      </c>
      <c r="H19865">
        <v>4362</v>
      </c>
      <c r="I19865" t="s">
        <v>79</v>
      </c>
      <c r="J19865">
        <v>6.7</v>
      </c>
      <c r="K19865">
        <v>1.3</v>
      </c>
      <c r="L19865">
        <v>17524</v>
      </c>
      <c r="M19865" t="s">
        <v>452</v>
      </c>
      <c r="N19865" t="str">
        <f t="shared" si="260"/>
        <v xml:space="preserve">12306024770 </v>
      </c>
      <c r="O19865">
        <v>230207</v>
      </c>
    </row>
    <row r="19866" spans="1:15" x14ac:dyDescent="0.25">
      <c r="A19866" t="s">
        <v>16</v>
      </c>
      <c r="B19866" t="s">
        <v>3221</v>
      </c>
      <c r="C19866">
        <v>1304</v>
      </c>
      <c r="D19866" t="s">
        <v>263</v>
      </c>
      <c r="E19866" t="s">
        <v>264</v>
      </c>
      <c r="F19866">
        <v>7.08</v>
      </c>
      <c r="G19866">
        <v>230206</v>
      </c>
      <c r="H19866">
        <v>4362</v>
      </c>
      <c r="I19866" t="s">
        <v>79</v>
      </c>
      <c r="J19866">
        <v>8.7799999999999994</v>
      </c>
      <c r="K19866">
        <v>1.7</v>
      </c>
      <c r="L19866">
        <v>17525</v>
      </c>
      <c r="M19866" t="s">
        <v>135</v>
      </c>
      <c r="N19866" t="str">
        <f t="shared" si="260"/>
        <v xml:space="preserve">12306024770 </v>
      </c>
      <c r="O19866">
        <v>230207</v>
      </c>
    </row>
    <row r="19867" spans="1:15" x14ac:dyDescent="0.25">
      <c r="A19867" t="s">
        <v>16</v>
      </c>
      <c r="B19867" t="s">
        <v>3221</v>
      </c>
      <c r="C19867">
        <v>1304</v>
      </c>
      <c r="D19867" t="s">
        <v>263</v>
      </c>
      <c r="E19867" t="s">
        <v>264</v>
      </c>
      <c r="F19867">
        <v>8.1</v>
      </c>
      <c r="G19867">
        <v>230206</v>
      </c>
      <c r="H19867">
        <v>4362</v>
      </c>
      <c r="I19867" t="s">
        <v>79</v>
      </c>
      <c r="J19867">
        <v>10.039999999999999</v>
      </c>
      <c r="K19867">
        <v>1.94</v>
      </c>
      <c r="L19867">
        <v>17526</v>
      </c>
      <c r="M19867" t="s">
        <v>437</v>
      </c>
      <c r="N19867" t="str">
        <f t="shared" si="260"/>
        <v xml:space="preserve">12306024770 </v>
      </c>
      <c r="O19867">
        <v>230207</v>
      </c>
    </row>
    <row r="19868" spans="1:15" x14ac:dyDescent="0.25">
      <c r="A19868" t="s">
        <v>16</v>
      </c>
      <c r="B19868" t="s">
        <v>3221</v>
      </c>
      <c r="C19868">
        <v>1304</v>
      </c>
      <c r="D19868" t="s">
        <v>263</v>
      </c>
      <c r="E19868" t="s">
        <v>264</v>
      </c>
      <c r="F19868">
        <v>5.63</v>
      </c>
      <c r="G19868">
        <v>230206</v>
      </c>
      <c r="H19868">
        <v>4362</v>
      </c>
      <c r="I19868" t="s">
        <v>79</v>
      </c>
      <c r="J19868">
        <v>6.98</v>
      </c>
      <c r="K19868">
        <v>1.35</v>
      </c>
      <c r="L19868">
        <v>17527</v>
      </c>
      <c r="M19868" t="s">
        <v>422</v>
      </c>
      <c r="N19868" t="str">
        <f t="shared" si="260"/>
        <v xml:space="preserve">12306024770 </v>
      </c>
      <c r="O19868">
        <v>230207</v>
      </c>
    </row>
    <row r="19869" spans="1:15" x14ac:dyDescent="0.25">
      <c r="A19869" t="s">
        <v>16</v>
      </c>
      <c r="B19869" t="s">
        <v>3221</v>
      </c>
      <c r="C19869">
        <v>1304</v>
      </c>
      <c r="D19869" t="s">
        <v>263</v>
      </c>
      <c r="E19869" t="s">
        <v>264</v>
      </c>
      <c r="F19869">
        <v>8.1</v>
      </c>
      <c r="G19869">
        <v>230206</v>
      </c>
      <c r="H19869">
        <v>4362</v>
      </c>
      <c r="I19869" t="s">
        <v>79</v>
      </c>
      <c r="J19869">
        <v>10.039999999999999</v>
      </c>
      <c r="K19869">
        <v>1.94</v>
      </c>
      <c r="L19869">
        <v>17529</v>
      </c>
      <c r="M19869" t="s">
        <v>453</v>
      </c>
      <c r="N19869" t="str">
        <f t="shared" si="260"/>
        <v xml:space="preserve">12306024770 </v>
      </c>
      <c r="O19869">
        <v>230207</v>
      </c>
    </row>
    <row r="19870" spans="1:15" x14ac:dyDescent="0.25">
      <c r="A19870" t="s">
        <v>16</v>
      </c>
      <c r="B19870" t="s">
        <v>3221</v>
      </c>
      <c r="C19870">
        <v>1304</v>
      </c>
      <c r="D19870" t="s">
        <v>263</v>
      </c>
      <c r="E19870" t="s">
        <v>264</v>
      </c>
      <c r="F19870">
        <v>11.43</v>
      </c>
      <c r="G19870">
        <v>230206</v>
      </c>
      <c r="H19870">
        <v>4362</v>
      </c>
      <c r="I19870" t="s">
        <v>79</v>
      </c>
      <c r="J19870">
        <v>14.17</v>
      </c>
      <c r="K19870">
        <v>2.74</v>
      </c>
      <c r="L19870">
        <v>17530</v>
      </c>
      <c r="M19870" t="s">
        <v>454</v>
      </c>
      <c r="N19870" t="str">
        <f t="shared" si="260"/>
        <v xml:space="preserve">12306024770 </v>
      </c>
      <c r="O19870">
        <v>230207</v>
      </c>
    </row>
    <row r="19871" spans="1:15" x14ac:dyDescent="0.25">
      <c r="A19871" t="s">
        <v>16</v>
      </c>
      <c r="B19871" t="s">
        <v>3221</v>
      </c>
      <c r="C19871">
        <v>1304</v>
      </c>
      <c r="D19871" t="s">
        <v>263</v>
      </c>
      <c r="E19871" t="s">
        <v>264</v>
      </c>
      <c r="F19871">
        <v>18.850000000000001</v>
      </c>
      <c r="G19871">
        <v>230206</v>
      </c>
      <c r="H19871">
        <v>4362</v>
      </c>
      <c r="I19871" t="s">
        <v>79</v>
      </c>
      <c r="J19871">
        <v>23.37</v>
      </c>
      <c r="K19871">
        <v>4.5199999999999996</v>
      </c>
      <c r="L19871">
        <v>17531</v>
      </c>
      <c r="M19871" t="s">
        <v>136</v>
      </c>
      <c r="N19871" t="str">
        <f t="shared" si="260"/>
        <v xml:space="preserve">12306024770 </v>
      </c>
      <c r="O19871">
        <v>230207</v>
      </c>
    </row>
    <row r="19872" spans="1:15" x14ac:dyDescent="0.25">
      <c r="A19872" t="s">
        <v>16</v>
      </c>
      <c r="B19872" t="s">
        <v>3221</v>
      </c>
      <c r="C19872">
        <v>1304</v>
      </c>
      <c r="D19872" t="s">
        <v>263</v>
      </c>
      <c r="E19872" t="s">
        <v>264</v>
      </c>
      <c r="F19872">
        <v>10.35</v>
      </c>
      <c r="G19872">
        <v>230206</v>
      </c>
      <c r="H19872">
        <v>4362</v>
      </c>
      <c r="I19872" t="s">
        <v>79</v>
      </c>
      <c r="J19872">
        <v>12.83</v>
      </c>
      <c r="K19872">
        <v>2.48</v>
      </c>
      <c r="L19872">
        <v>17532</v>
      </c>
      <c r="M19872" t="s">
        <v>543</v>
      </c>
      <c r="N19872" t="str">
        <f t="shared" si="260"/>
        <v xml:space="preserve">12306024770 </v>
      </c>
      <c r="O19872">
        <v>230207</v>
      </c>
    </row>
    <row r="19873" spans="1:15" x14ac:dyDescent="0.25">
      <c r="A19873" t="s">
        <v>16</v>
      </c>
      <c r="B19873" t="s">
        <v>3221</v>
      </c>
      <c r="C19873">
        <v>1304</v>
      </c>
      <c r="D19873" t="s">
        <v>263</v>
      </c>
      <c r="E19873" t="s">
        <v>264</v>
      </c>
      <c r="F19873">
        <v>6.95</v>
      </c>
      <c r="G19873">
        <v>230206</v>
      </c>
      <c r="H19873">
        <v>4362</v>
      </c>
      <c r="I19873" t="s">
        <v>79</v>
      </c>
      <c r="J19873">
        <v>8.6199999999999992</v>
      </c>
      <c r="K19873">
        <v>1.67</v>
      </c>
      <c r="L19873">
        <v>17533</v>
      </c>
      <c r="M19873" t="s">
        <v>990</v>
      </c>
      <c r="N19873" t="str">
        <f t="shared" si="260"/>
        <v xml:space="preserve">12306024770 </v>
      </c>
      <c r="O19873">
        <v>230207</v>
      </c>
    </row>
    <row r="19874" spans="1:15" x14ac:dyDescent="0.25">
      <c r="A19874" t="s">
        <v>16</v>
      </c>
      <c r="B19874" t="s">
        <v>3221</v>
      </c>
      <c r="C19874">
        <v>1304</v>
      </c>
      <c r="D19874" t="s">
        <v>263</v>
      </c>
      <c r="E19874" t="s">
        <v>264</v>
      </c>
      <c r="F19874">
        <v>5.74</v>
      </c>
      <c r="G19874">
        <v>230206</v>
      </c>
      <c r="H19874">
        <v>4362</v>
      </c>
      <c r="I19874" t="s">
        <v>79</v>
      </c>
      <c r="J19874">
        <v>7.12</v>
      </c>
      <c r="K19874">
        <v>1.38</v>
      </c>
      <c r="L19874">
        <v>17534</v>
      </c>
      <c r="M19874" t="s">
        <v>440</v>
      </c>
      <c r="N19874" t="str">
        <f t="shared" si="260"/>
        <v xml:space="preserve">12306024770 </v>
      </c>
      <c r="O19874">
        <v>230207</v>
      </c>
    </row>
    <row r="19875" spans="1:15" x14ac:dyDescent="0.25">
      <c r="A19875" t="s">
        <v>16</v>
      </c>
      <c r="B19875" t="s">
        <v>3221</v>
      </c>
      <c r="C19875">
        <v>1304</v>
      </c>
      <c r="D19875" t="s">
        <v>263</v>
      </c>
      <c r="E19875" t="s">
        <v>264</v>
      </c>
      <c r="F19875">
        <v>3.78</v>
      </c>
      <c r="G19875">
        <v>230206</v>
      </c>
      <c r="H19875">
        <v>4362</v>
      </c>
      <c r="I19875" t="s">
        <v>79</v>
      </c>
      <c r="J19875">
        <v>4.6900000000000004</v>
      </c>
      <c r="K19875">
        <v>0.91</v>
      </c>
      <c r="L19875">
        <v>17535</v>
      </c>
      <c r="M19875" t="s">
        <v>357</v>
      </c>
      <c r="N19875" t="str">
        <f t="shared" si="260"/>
        <v xml:space="preserve">12306024770 </v>
      </c>
      <c r="O19875">
        <v>230207</v>
      </c>
    </row>
    <row r="19876" spans="1:15" x14ac:dyDescent="0.25">
      <c r="A19876" t="s">
        <v>16</v>
      </c>
      <c r="B19876" t="s">
        <v>3221</v>
      </c>
      <c r="C19876">
        <v>1304</v>
      </c>
      <c r="D19876" t="s">
        <v>263</v>
      </c>
      <c r="E19876" t="s">
        <v>264</v>
      </c>
      <c r="F19876">
        <v>5.4</v>
      </c>
      <c r="G19876">
        <v>230206</v>
      </c>
      <c r="H19876">
        <v>4362</v>
      </c>
      <c r="I19876" t="s">
        <v>79</v>
      </c>
      <c r="J19876">
        <v>6.7</v>
      </c>
      <c r="K19876">
        <v>1.3</v>
      </c>
      <c r="L19876">
        <v>17536</v>
      </c>
      <c r="M19876" t="s">
        <v>734</v>
      </c>
      <c r="N19876" t="str">
        <f t="shared" si="260"/>
        <v xml:space="preserve">12306024770 </v>
      </c>
      <c r="O19876">
        <v>230207</v>
      </c>
    </row>
    <row r="19877" spans="1:15" x14ac:dyDescent="0.25">
      <c r="A19877" t="s">
        <v>16</v>
      </c>
      <c r="B19877" t="s">
        <v>3221</v>
      </c>
      <c r="C19877">
        <v>1304</v>
      </c>
      <c r="D19877" t="s">
        <v>263</v>
      </c>
      <c r="E19877" t="s">
        <v>264</v>
      </c>
      <c r="F19877">
        <v>8.42</v>
      </c>
      <c r="G19877">
        <v>230206</v>
      </c>
      <c r="H19877">
        <v>4362</v>
      </c>
      <c r="I19877" t="s">
        <v>79</v>
      </c>
      <c r="J19877">
        <v>10.44</v>
      </c>
      <c r="K19877">
        <v>2.02</v>
      </c>
      <c r="L19877">
        <v>17537</v>
      </c>
      <c r="M19877" t="s">
        <v>455</v>
      </c>
      <c r="N19877" t="str">
        <f t="shared" si="260"/>
        <v xml:space="preserve">12306024770 </v>
      </c>
      <c r="O19877">
        <v>230207</v>
      </c>
    </row>
    <row r="19878" spans="1:15" x14ac:dyDescent="0.25">
      <c r="A19878" t="s">
        <v>16</v>
      </c>
      <c r="B19878" t="s">
        <v>3221</v>
      </c>
      <c r="C19878">
        <v>1304</v>
      </c>
      <c r="D19878" t="s">
        <v>263</v>
      </c>
      <c r="E19878" t="s">
        <v>264</v>
      </c>
      <c r="F19878">
        <v>11.32</v>
      </c>
      <c r="G19878">
        <v>230206</v>
      </c>
      <c r="H19878">
        <v>4362</v>
      </c>
      <c r="I19878" t="s">
        <v>79</v>
      </c>
      <c r="J19878">
        <v>14.04</v>
      </c>
      <c r="K19878">
        <v>2.72</v>
      </c>
      <c r="L19878">
        <v>17538</v>
      </c>
      <c r="M19878" t="s">
        <v>24</v>
      </c>
      <c r="N19878" t="str">
        <f t="shared" si="260"/>
        <v xml:space="preserve">12306024770 </v>
      </c>
      <c r="O19878">
        <v>230207</v>
      </c>
    </row>
    <row r="19879" spans="1:15" x14ac:dyDescent="0.25">
      <c r="A19879" t="s">
        <v>16</v>
      </c>
      <c r="B19879" t="s">
        <v>3221</v>
      </c>
      <c r="C19879">
        <v>1304</v>
      </c>
      <c r="D19879" t="s">
        <v>263</v>
      </c>
      <c r="E19879" t="s">
        <v>264</v>
      </c>
      <c r="F19879">
        <v>10.8</v>
      </c>
      <c r="G19879">
        <v>230206</v>
      </c>
      <c r="H19879">
        <v>4362</v>
      </c>
      <c r="I19879" t="s">
        <v>79</v>
      </c>
      <c r="J19879">
        <v>13.39</v>
      </c>
      <c r="K19879">
        <v>2.59</v>
      </c>
      <c r="L19879">
        <v>17950</v>
      </c>
      <c r="M19879" t="s">
        <v>86</v>
      </c>
      <c r="N19879" t="str">
        <f t="shared" si="260"/>
        <v xml:space="preserve">12306024770 </v>
      </c>
      <c r="O19879">
        <v>230207</v>
      </c>
    </row>
    <row r="19880" spans="1:15" x14ac:dyDescent="0.25">
      <c r="A19880" t="s">
        <v>16</v>
      </c>
      <c r="B19880" t="s">
        <v>3221</v>
      </c>
      <c r="C19880">
        <v>1304</v>
      </c>
      <c r="D19880" t="s">
        <v>263</v>
      </c>
      <c r="E19880" t="s">
        <v>264</v>
      </c>
      <c r="F19880">
        <v>2.7</v>
      </c>
      <c r="G19880">
        <v>230206</v>
      </c>
      <c r="H19880">
        <v>4362</v>
      </c>
      <c r="I19880" t="s">
        <v>79</v>
      </c>
      <c r="J19880">
        <v>3.35</v>
      </c>
      <c r="K19880">
        <v>0.65</v>
      </c>
      <c r="L19880">
        <v>17956</v>
      </c>
      <c r="M19880" t="s">
        <v>53</v>
      </c>
      <c r="N19880" t="str">
        <f t="shared" si="260"/>
        <v xml:space="preserve">12306024770 </v>
      </c>
      <c r="O19880">
        <v>230207</v>
      </c>
    </row>
    <row r="19881" spans="1:15" x14ac:dyDescent="0.25">
      <c r="A19881" t="s">
        <v>16</v>
      </c>
      <c r="B19881" t="s">
        <v>3221</v>
      </c>
      <c r="C19881">
        <v>1304</v>
      </c>
      <c r="D19881" t="s">
        <v>263</v>
      </c>
      <c r="E19881" t="s">
        <v>264</v>
      </c>
      <c r="F19881">
        <v>19.48</v>
      </c>
      <c r="G19881">
        <v>230206</v>
      </c>
      <c r="H19881">
        <v>4362</v>
      </c>
      <c r="I19881" t="s">
        <v>79</v>
      </c>
      <c r="J19881">
        <v>24.16</v>
      </c>
      <c r="K19881">
        <v>4.68</v>
      </c>
      <c r="L19881">
        <v>17971</v>
      </c>
      <c r="M19881" t="s">
        <v>138</v>
      </c>
      <c r="N19881" t="str">
        <f t="shared" si="260"/>
        <v xml:space="preserve">12306024770 </v>
      </c>
      <c r="O19881">
        <v>230207</v>
      </c>
    </row>
    <row r="19882" spans="1:15" x14ac:dyDescent="0.25">
      <c r="A19882" t="s">
        <v>16</v>
      </c>
      <c r="B19882" t="s">
        <v>3221</v>
      </c>
      <c r="C19882">
        <v>1304</v>
      </c>
      <c r="D19882" t="s">
        <v>263</v>
      </c>
      <c r="E19882" t="s">
        <v>264</v>
      </c>
      <c r="F19882">
        <v>2.85</v>
      </c>
      <c r="G19882">
        <v>230206</v>
      </c>
      <c r="H19882">
        <v>4362</v>
      </c>
      <c r="I19882" t="s">
        <v>79</v>
      </c>
      <c r="J19882">
        <v>3.53</v>
      </c>
      <c r="K19882">
        <v>0.68</v>
      </c>
      <c r="L19882">
        <v>17972</v>
      </c>
      <c r="M19882" t="s">
        <v>248</v>
      </c>
      <c r="N19882" t="str">
        <f t="shared" si="260"/>
        <v xml:space="preserve">12306024770 </v>
      </c>
      <c r="O19882">
        <v>230207</v>
      </c>
    </row>
    <row r="19883" spans="1:15" x14ac:dyDescent="0.25">
      <c r="A19883" t="s">
        <v>16</v>
      </c>
      <c r="B19883" t="s">
        <v>3221</v>
      </c>
      <c r="C19883">
        <v>1304</v>
      </c>
      <c r="D19883" t="s">
        <v>263</v>
      </c>
      <c r="E19883" t="s">
        <v>264</v>
      </c>
      <c r="F19883">
        <v>2.7</v>
      </c>
      <c r="G19883">
        <v>230206</v>
      </c>
      <c r="H19883">
        <v>4362</v>
      </c>
      <c r="I19883" t="s">
        <v>79</v>
      </c>
      <c r="J19883">
        <v>3.35</v>
      </c>
      <c r="K19883">
        <v>0.65</v>
      </c>
      <c r="L19883">
        <v>17974</v>
      </c>
      <c r="M19883" t="s">
        <v>460</v>
      </c>
      <c r="N19883" t="str">
        <f t="shared" si="260"/>
        <v xml:space="preserve">12306024770 </v>
      </c>
      <c r="O19883">
        <v>230207</v>
      </c>
    </row>
    <row r="19884" spans="1:15" x14ac:dyDescent="0.25">
      <c r="A19884" t="s">
        <v>16</v>
      </c>
      <c r="B19884" t="s">
        <v>3221</v>
      </c>
      <c r="C19884">
        <v>1304</v>
      </c>
      <c r="D19884" t="s">
        <v>263</v>
      </c>
      <c r="E19884" t="s">
        <v>264</v>
      </c>
      <c r="F19884">
        <v>9.8000000000000007</v>
      </c>
      <c r="G19884">
        <v>230206</v>
      </c>
      <c r="H19884">
        <v>4362</v>
      </c>
      <c r="I19884" t="s">
        <v>79</v>
      </c>
      <c r="J19884">
        <v>12.15</v>
      </c>
      <c r="K19884">
        <v>2.35</v>
      </c>
      <c r="L19884">
        <v>17975</v>
      </c>
      <c r="M19884" t="s">
        <v>798</v>
      </c>
      <c r="N19884" t="str">
        <f t="shared" si="260"/>
        <v xml:space="preserve">12306024770 </v>
      </c>
      <c r="O19884">
        <v>230207</v>
      </c>
    </row>
    <row r="19885" spans="1:15" x14ac:dyDescent="0.25">
      <c r="A19885" t="s">
        <v>16</v>
      </c>
      <c r="B19885" t="s">
        <v>3221</v>
      </c>
      <c r="C19885">
        <v>1423</v>
      </c>
      <c r="D19885" t="s">
        <v>263</v>
      </c>
      <c r="E19885" t="s">
        <v>264</v>
      </c>
      <c r="F19885">
        <v>29.63</v>
      </c>
      <c r="G19885">
        <v>230206</v>
      </c>
      <c r="H19885">
        <v>4362</v>
      </c>
      <c r="I19885" t="s">
        <v>79</v>
      </c>
      <c r="J19885">
        <v>36.74</v>
      </c>
      <c r="K19885">
        <v>7.11</v>
      </c>
      <c r="L19885">
        <v>49501</v>
      </c>
      <c r="M19885" t="s">
        <v>177</v>
      </c>
      <c r="N19885" t="str">
        <f>"12306024754 "</f>
        <v xml:space="preserve">12306024754 </v>
      </c>
      <c r="O19885">
        <v>230208</v>
      </c>
    </row>
    <row r="19886" spans="1:15" x14ac:dyDescent="0.25">
      <c r="A19886" t="s">
        <v>16</v>
      </c>
      <c r="B19886" t="s">
        <v>3221</v>
      </c>
      <c r="C19886">
        <v>1424</v>
      </c>
      <c r="D19886" t="s">
        <v>263</v>
      </c>
      <c r="E19886" t="s">
        <v>264</v>
      </c>
      <c r="F19886">
        <v>8.44</v>
      </c>
      <c r="G19886">
        <v>230206</v>
      </c>
      <c r="H19886">
        <v>4362</v>
      </c>
      <c r="I19886" t="s">
        <v>79</v>
      </c>
      <c r="J19886">
        <v>10.47</v>
      </c>
      <c r="K19886">
        <v>2.0299999999999998</v>
      </c>
      <c r="L19886">
        <v>49701</v>
      </c>
      <c r="M19886" t="s">
        <v>166</v>
      </c>
      <c r="N19886" t="str">
        <f>"12306024756 "</f>
        <v xml:space="preserve">12306024756 </v>
      </c>
      <c r="O19886">
        <v>230208</v>
      </c>
    </row>
    <row r="19887" spans="1:15" x14ac:dyDescent="0.25">
      <c r="A19887" t="s">
        <v>16</v>
      </c>
      <c r="B19887" t="s">
        <v>3221</v>
      </c>
      <c r="C19887">
        <v>1424</v>
      </c>
      <c r="D19887" t="s">
        <v>263</v>
      </c>
      <c r="E19887" t="s">
        <v>264</v>
      </c>
      <c r="F19887">
        <v>5.4</v>
      </c>
      <c r="G19887">
        <v>230206</v>
      </c>
      <c r="H19887">
        <v>4362</v>
      </c>
      <c r="I19887" t="s">
        <v>79</v>
      </c>
      <c r="J19887">
        <v>6.69</v>
      </c>
      <c r="K19887">
        <v>1.29</v>
      </c>
      <c r="L19887">
        <v>49702</v>
      </c>
      <c r="M19887" t="s">
        <v>584</v>
      </c>
      <c r="N19887" t="str">
        <f>"12306024756 "</f>
        <v xml:space="preserve">12306024756 </v>
      </c>
      <c r="O19887">
        <v>230208</v>
      </c>
    </row>
    <row r="19888" spans="1:15" x14ac:dyDescent="0.25">
      <c r="A19888" t="s">
        <v>16</v>
      </c>
      <c r="B19888" t="s">
        <v>3221</v>
      </c>
      <c r="C19888">
        <v>1425</v>
      </c>
      <c r="D19888" t="s">
        <v>263</v>
      </c>
      <c r="E19888" t="s">
        <v>264</v>
      </c>
      <c r="F19888">
        <v>5.4</v>
      </c>
      <c r="G19888">
        <v>230206</v>
      </c>
      <c r="H19888">
        <v>4362</v>
      </c>
      <c r="I19888" t="s">
        <v>79</v>
      </c>
      <c r="J19888">
        <v>6.7</v>
      </c>
      <c r="K19888">
        <v>1.3</v>
      </c>
      <c r="L19888">
        <v>49112</v>
      </c>
      <c r="M19888" t="s">
        <v>233</v>
      </c>
      <c r="N19888" t="str">
        <f>"12306024763 "</f>
        <v xml:space="preserve">12306024763 </v>
      </c>
      <c r="O19888">
        <v>230208</v>
      </c>
    </row>
    <row r="19889" spans="1:15" x14ac:dyDescent="0.25">
      <c r="A19889" t="s">
        <v>16</v>
      </c>
      <c r="B19889" t="s">
        <v>3221</v>
      </c>
      <c r="C19889">
        <v>1426</v>
      </c>
      <c r="D19889" t="s">
        <v>263</v>
      </c>
      <c r="E19889" t="s">
        <v>264</v>
      </c>
      <c r="F19889">
        <v>23.21</v>
      </c>
      <c r="G19889">
        <v>230206</v>
      </c>
      <c r="H19889">
        <v>4362</v>
      </c>
      <c r="I19889" t="s">
        <v>79</v>
      </c>
      <c r="J19889">
        <v>28.78</v>
      </c>
      <c r="K19889">
        <v>5.57</v>
      </c>
      <c r="L19889">
        <v>61122</v>
      </c>
      <c r="M19889" t="s">
        <v>402</v>
      </c>
      <c r="N19889" t="str">
        <f t="shared" ref="N19889:N19916" si="261">"12306024750 "</f>
        <v xml:space="preserve">12306024750 </v>
      </c>
      <c r="O19889">
        <v>230208</v>
      </c>
    </row>
    <row r="19890" spans="1:15" x14ac:dyDescent="0.25">
      <c r="A19890" t="s">
        <v>16</v>
      </c>
      <c r="B19890" t="s">
        <v>3221</v>
      </c>
      <c r="C19890">
        <v>1426</v>
      </c>
      <c r="D19890" t="s">
        <v>263</v>
      </c>
      <c r="E19890" t="s">
        <v>264</v>
      </c>
      <c r="F19890">
        <v>2.7</v>
      </c>
      <c r="G19890">
        <v>230206</v>
      </c>
      <c r="H19890">
        <v>4362</v>
      </c>
      <c r="I19890" t="s">
        <v>79</v>
      </c>
      <c r="J19890">
        <v>3.35</v>
      </c>
      <c r="K19890">
        <v>0.65</v>
      </c>
      <c r="L19890">
        <v>61122</v>
      </c>
      <c r="M19890" t="s">
        <v>402</v>
      </c>
      <c r="N19890" t="str">
        <f t="shared" si="261"/>
        <v xml:space="preserve">12306024750 </v>
      </c>
      <c r="O19890">
        <v>230208</v>
      </c>
    </row>
    <row r="19891" spans="1:15" x14ac:dyDescent="0.25">
      <c r="A19891" t="s">
        <v>16</v>
      </c>
      <c r="B19891" t="s">
        <v>3221</v>
      </c>
      <c r="C19891">
        <v>1426</v>
      </c>
      <c r="D19891" t="s">
        <v>263</v>
      </c>
      <c r="E19891" t="s">
        <v>264</v>
      </c>
      <c r="F19891">
        <v>12.28</v>
      </c>
      <c r="G19891">
        <v>230206</v>
      </c>
      <c r="H19891">
        <v>4362</v>
      </c>
      <c r="I19891" t="s">
        <v>79</v>
      </c>
      <c r="J19891">
        <v>15.23</v>
      </c>
      <c r="K19891">
        <v>2.95</v>
      </c>
      <c r="L19891">
        <v>65222</v>
      </c>
      <c r="M19891" t="s">
        <v>487</v>
      </c>
      <c r="N19891" t="str">
        <f t="shared" si="261"/>
        <v xml:space="preserve">12306024750 </v>
      </c>
      <c r="O19891">
        <v>230208</v>
      </c>
    </row>
    <row r="19892" spans="1:15" x14ac:dyDescent="0.25">
      <c r="A19892" t="s">
        <v>16</v>
      </c>
      <c r="B19892" t="s">
        <v>3221</v>
      </c>
      <c r="C19892">
        <v>1426</v>
      </c>
      <c r="D19892" t="s">
        <v>263</v>
      </c>
      <c r="E19892" t="s">
        <v>264</v>
      </c>
      <c r="F19892">
        <v>2.7</v>
      </c>
      <c r="G19892">
        <v>230206</v>
      </c>
      <c r="H19892">
        <v>4362</v>
      </c>
      <c r="I19892" t="s">
        <v>79</v>
      </c>
      <c r="J19892">
        <v>3.35</v>
      </c>
      <c r="K19892">
        <v>0.65</v>
      </c>
      <c r="L19892">
        <v>65422</v>
      </c>
      <c r="M19892" t="s">
        <v>602</v>
      </c>
      <c r="N19892" t="str">
        <f t="shared" si="261"/>
        <v xml:space="preserve">12306024750 </v>
      </c>
      <c r="O19892">
        <v>230208</v>
      </c>
    </row>
    <row r="19893" spans="1:15" x14ac:dyDescent="0.25">
      <c r="A19893" t="s">
        <v>16</v>
      </c>
      <c r="B19893" t="s">
        <v>3221</v>
      </c>
      <c r="C19893">
        <v>1426</v>
      </c>
      <c r="D19893" t="s">
        <v>263</v>
      </c>
      <c r="E19893" t="s">
        <v>264</v>
      </c>
      <c r="F19893">
        <v>8.1</v>
      </c>
      <c r="G19893">
        <v>230206</v>
      </c>
      <c r="H19893">
        <v>4362</v>
      </c>
      <c r="I19893" t="s">
        <v>79</v>
      </c>
      <c r="J19893">
        <v>10.039999999999999</v>
      </c>
      <c r="K19893">
        <v>1.94</v>
      </c>
      <c r="L19893">
        <v>66722</v>
      </c>
      <c r="M19893" t="s">
        <v>518</v>
      </c>
      <c r="N19893" t="str">
        <f t="shared" si="261"/>
        <v xml:space="preserve">12306024750 </v>
      </c>
      <c r="O19893">
        <v>230208</v>
      </c>
    </row>
    <row r="19894" spans="1:15" x14ac:dyDescent="0.25">
      <c r="A19894" t="s">
        <v>16</v>
      </c>
      <c r="B19894" t="s">
        <v>3221</v>
      </c>
      <c r="C19894">
        <v>1426</v>
      </c>
      <c r="D19894" t="s">
        <v>263</v>
      </c>
      <c r="E19894" t="s">
        <v>264</v>
      </c>
      <c r="F19894">
        <v>1.52</v>
      </c>
      <c r="G19894">
        <v>230206</v>
      </c>
      <c r="H19894">
        <v>4362</v>
      </c>
      <c r="I19894" t="s">
        <v>79</v>
      </c>
      <c r="J19894">
        <v>1.88</v>
      </c>
      <c r="K19894">
        <v>0.36</v>
      </c>
      <c r="L19894">
        <v>66754</v>
      </c>
      <c r="M19894" t="s">
        <v>239</v>
      </c>
      <c r="N19894" t="str">
        <f t="shared" si="261"/>
        <v xml:space="preserve">12306024750 </v>
      </c>
      <c r="O19894">
        <v>230208</v>
      </c>
    </row>
    <row r="19895" spans="1:15" x14ac:dyDescent="0.25">
      <c r="A19895" t="s">
        <v>16</v>
      </c>
      <c r="B19895" t="s">
        <v>3221</v>
      </c>
      <c r="C19895">
        <v>1426</v>
      </c>
      <c r="D19895" t="s">
        <v>263</v>
      </c>
      <c r="E19895" t="s">
        <v>264</v>
      </c>
      <c r="F19895">
        <v>2.7</v>
      </c>
      <c r="G19895">
        <v>230206</v>
      </c>
      <c r="H19895">
        <v>4362</v>
      </c>
      <c r="I19895" t="s">
        <v>79</v>
      </c>
      <c r="J19895">
        <v>3.35</v>
      </c>
      <c r="K19895">
        <v>0.65</v>
      </c>
      <c r="L19895">
        <v>66754</v>
      </c>
      <c r="M19895" t="s">
        <v>239</v>
      </c>
      <c r="N19895" t="str">
        <f t="shared" si="261"/>
        <v xml:space="preserve">12306024750 </v>
      </c>
      <c r="O19895">
        <v>230208</v>
      </c>
    </row>
    <row r="19896" spans="1:15" x14ac:dyDescent="0.25">
      <c r="A19896" t="s">
        <v>16</v>
      </c>
      <c r="B19896" t="s">
        <v>3221</v>
      </c>
      <c r="C19896">
        <v>1426</v>
      </c>
      <c r="D19896" t="s">
        <v>263</v>
      </c>
      <c r="E19896" t="s">
        <v>264</v>
      </c>
      <c r="F19896">
        <v>2.7</v>
      </c>
      <c r="G19896">
        <v>230206</v>
      </c>
      <c r="H19896">
        <v>4362</v>
      </c>
      <c r="I19896" t="s">
        <v>79</v>
      </c>
      <c r="J19896">
        <v>3.35</v>
      </c>
      <c r="K19896">
        <v>0.65</v>
      </c>
      <c r="L19896">
        <v>66754</v>
      </c>
      <c r="M19896" t="s">
        <v>239</v>
      </c>
      <c r="N19896" t="str">
        <f t="shared" si="261"/>
        <v xml:space="preserve">12306024750 </v>
      </c>
      <c r="O19896">
        <v>230208</v>
      </c>
    </row>
    <row r="19897" spans="1:15" x14ac:dyDescent="0.25">
      <c r="A19897" t="s">
        <v>16</v>
      </c>
      <c r="B19897" t="s">
        <v>3221</v>
      </c>
      <c r="C19897">
        <v>1426</v>
      </c>
      <c r="D19897" t="s">
        <v>263</v>
      </c>
      <c r="E19897" t="s">
        <v>264</v>
      </c>
      <c r="F19897">
        <v>13.5</v>
      </c>
      <c r="G19897">
        <v>230206</v>
      </c>
      <c r="H19897">
        <v>4362</v>
      </c>
      <c r="I19897" t="s">
        <v>79</v>
      </c>
      <c r="J19897">
        <v>16.739999999999998</v>
      </c>
      <c r="K19897">
        <v>3.24</v>
      </c>
      <c r="L19897">
        <v>66754</v>
      </c>
      <c r="M19897" t="s">
        <v>239</v>
      </c>
      <c r="N19897" t="str">
        <f t="shared" si="261"/>
        <v xml:space="preserve">12306024750 </v>
      </c>
      <c r="O19897">
        <v>230208</v>
      </c>
    </row>
    <row r="19898" spans="1:15" x14ac:dyDescent="0.25">
      <c r="A19898" t="s">
        <v>16</v>
      </c>
      <c r="B19898" t="s">
        <v>3221</v>
      </c>
      <c r="C19898">
        <v>1426</v>
      </c>
      <c r="D19898" t="s">
        <v>263</v>
      </c>
      <c r="E19898" t="s">
        <v>264</v>
      </c>
      <c r="F19898">
        <v>5.25</v>
      </c>
      <c r="G19898">
        <v>230206</v>
      </c>
      <c r="H19898">
        <v>4362</v>
      </c>
      <c r="I19898" t="s">
        <v>79</v>
      </c>
      <c r="J19898">
        <v>6.51</v>
      </c>
      <c r="K19898">
        <v>1.26</v>
      </c>
      <c r="L19898">
        <v>66754</v>
      </c>
      <c r="M19898" t="s">
        <v>239</v>
      </c>
      <c r="N19898" t="str">
        <f t="shared" si="261"/>
        <v xml:space="preserve">12306024750 </v>
      </c>
      <c r="O19898">
        <v>230208</v>
      </c>
    </row>
    <row r="19899" spans="1:15" x14ac:dyDescent="0.25">
      <c r="A19899" t="s">
        <v>16</v>
      </c>
      <c r="B19899" t="s">
        <v>3221</v>
      </c>
      <c r="C19899">
        <v>1426</v>
      </c>
      <c r="D19899" t="s">
        <v>263</v>
      </c>
      <c r="E19899" t="s">
        <v>264</v>
      </c>
      <c r="F19899">
        <v>18.97</v>
      </c>
      <c r="G19899">
        <v>230206</v>
      </c>
      <c r="H19899">
        <v>4362</v>
      </c>
      <c r="I19899" t="s">
        <v>79</v>
      </c>
      <c r="J19899">
        <v>23.52</v>
      </c>
      <c r="K19899">
        <v>4.55</v>
      </c>
      <c r="L19899">
        <v>66756</v>
      </c>
      <c r="M19899" t="s">
        <v>209</v>
      </c>
      <c r="N19899" t="str">
        <f t="shared" si="261"/>
        <v xml:space="preserve">12306024750 </v>
      </c>
      <c r="O19899">
        <v>230208</v>
      </c>
    </row>
    <row r="19900" spans="1:15" x14ac:dyDescent="0.25">
      <c r="A19900" t="s">
        <v>16</v>
      </c>
      <c r="B19900" t="s">
        <v>3221</v>
      </c>
      <c r="C19900">
        <v>1426</v>
      </c>
      <c r="D19900" t="s">
        <v>263</v>
      </c>
      <c r="E19900" t="s">
        <v>264</v>
      </c>
      <c r="F19900">
        <v>28.9</v>
      </c>
      <c r="G19900">
        <v>230206</v>
      </c>
      <c r="H19900">
        <v>4362</v>
      </c>
      <c r="I19900" t="s">
        <v>79</v>
      </c>
      <c r="J19900">
        <v>35.840000000000003</v>
      </c>
      <c r="K19900">
        <v>6.94</v>
      </c>
      <c r="L19900">
        <v>67522</v>
      </c>
      <c r="M19900" t="s">
        <v>397</v>
      </c>
      <c r="N19900" t="str">
        <f t="shared" si="261"/>
        <v xml:space="preserve">12306024750 </v>
      </c>
      <c r="O19900">
        <v>230208</v>
      </c>
    </row>
    <row r="19901" spans="1:15" x14ac:dyDescent="0.25">
      <c r="A19901" t="s">
        <v>16</v>
      </c>
      <c r="B19901" t="s">
        <v>3221</v>
      </c>
      <c r="C19901">
        <v>1426</v>
      </c>
      <c r="D19901" t="s">
        <v>263</v>
      </c>
      <c r="E19901" t="s">
        <v>264</v>
      </c>
      <c r="F19901">
        <v>11.41</v>
      </c>
      <c r="G19901">
        <v>230206</v>
      </c>
      <c r="H19901">
        <v>4362</v>
      </c>
      <c r="I19901" t="s">
        <v>79</v>
      </c>
      <c r="J19901">
        <v>14.15</v>
      </c>
      <c r="K19901">
        <v>2.74</v>
      </c>
      <c r="L19901">
        <v>67522</v>
      </c>
      <c r="M19901" t="s">
        <v>397</v>
      </c>
      <c r="N19901" t="str">
        <f t="shared" si="261"/>
        <v xml:space="preserve">12306024750 </v>
      </c>
      <c r="O19901">
        <v>230208</v>
      </c>
    </row>
    <row r="19902" spans="1:15" x14ac:dyDescent="0.25">
      <c r="A19902" t="s">
        <v>16</v>
      </c>
      <c r="B19902" t="s">
        <v>3221</v>
      </c>
      <c r="C19902">
        <v>1426</v>
      </c>
      <c r="D19902" t="s">
        <v>263</v>
      </c>
      <c r="E19902" t="s">
        <v>264</v>
      </c>
      <c r="F19902">
        <v>1.52</v>
      </c>
      <c r="G19902">
        <v>230206</v>
      </c>
      <c r="H19902">
        <v>4362</v>
      </c>
      <c r="I19902" t="s">
        <v>79</v>
      </c>
      <c r="J19902">
        <v>1.88</v>
      </c>
      <c r="K19902">
        <v>0.36</v>
      </c>
      <c r="L19902">
        <v>67554</v>
      </c>
      <c r="M19902" t="s">
        <v>60</v>
      </c>
      <c r="N19902" t="str">
        <f t="shared" si="261"/>
        <v xml:space="preserve">12306024750 </v>
      </c>
      <c r="O19902">
        <v>230208</v>
      </c>
    </row>
    <row r="19903" spans="1:15" x14ac:dyDescent="0.25">
      <c r="A19903" t="s">
        <v>16</v>
      </c>
      <c r="B19903" t="s">
        <v>3221</v>
      </c>
      <c r="C19903">
        <v>1426</v>
      </c>
      <c r="D19903" t="s">
        <v>263</v>
      </c>
      <c r="E19903" t="s">
        <v>264</v>
      </c>
      <c r="F19903">
        <v>4.58</v>
      </c>
      <c r="G19903">
        <v>230206</v>
      </c>
      <c r="H19903">
        <v>4362</v>
      </c>
      <c r="I19903" t="s">
        <v>79</v>
      </c>
      <c r="J19903">
        <v>5.68</v>
      </c>
      <c r="K19903">
        <v>1.1000000000000001</v>
      </c>
      <c r="L19903">
        <v>67554</v>
      </c>
      <c r="M19903" t="s">
        <v>60</v>
      </c>
      <c r="N19903" t="str">
        <f t="shared" si="261"/>
        <v xml:space="preserve">12306024750 </v>
      </c>
      <c r="O19903">
        <v>230208</v>
      </c>
    </row>
    <row r="19904" spans="1:15" x14ac:dyDescent="0.25">
      <c r="A19904" t="s">
        <v>16</v>
      </c>
      <c r="B19904" t="s">
        <v>3221</v>
      </c>
      <c r="C19904">
        <v>1426</v>
      </c>
      <c r="D19904" t="s">
        <v>263</v>
      </c>
      <c r="E19904" t="s">
        <v>264</v>
      </c>
      <c r="F19904">
        <v>46.36</v>
      </c>
      <c r="G19904">
        <v>230206</v>
      </c>
      <c r="H19904">
        <v>4362</v>
      </c>
      <c r="I19904" t="s">
        <v>79</v>
      </c>
      <c r="J19904">
        <v>57.49</v>
      </c>
      <c r="K19904">
        <v>11.13</v>
      </c>
      <c r="L19904">
        <v>67554</v>
      </c>
      <c r="M19904" t="s">
        <v>60</v>
      </c>
      <c r="N19904" t="str">
        <f t="shared" si="261"/>
        <v xml:space="preserve">12306024750 </v>
      </c>
      <c r="O19904">
        <v>230208</v>
      </c>
    </row>
    <row r="19905" spans="1:15" x14ac:dyDescent="0.25">
      <c r="A19905" t="s">
        <v>16</v>
      </c>
      <c r="B19905" t="s">
        <v>3221</v>
      </c>
      <c r="C19905">
        <v>1426</v>
      </c>
      <c r="D19905" t="s">
        <v>263</v>
      </c>
      <c r="E19905" t="s">
        <v>264</v>
      </c>
      <c r="F19905">
        <v>5.4</v>
      </c>
      <c r="G19905">
        <v>230206</v>
      </c>
      <c r="H19905">
        <v>4362</v>
      </c>
      <c r="I19905" t="s">
        <v>79</v>
      </c>
      <c r="J19905">
        <v>6.7</v>
      </c>
      <c r="K19905">
        <v>1.3</v>
      </c>
      <c r="L19905">
        <v>67554</v>
      </c>
      <c r="M19905" t="s">
        <v>60</v>
      </c>
      <c r="N19905" t="str">
        <f t="shared" si="261"/>
        <v xml:space="preserve">12306024750 </v>
      </c>
      <c r="O19905">
        <v>230208</v>
      </c>
    </row>
    <row r="19906" spans="1:15" x14ac:dyDescent="0.25">
      <c r="A19906" t="s">
        <v>16</v>
      </c>
      <c r="B19906" t="s">
        <v>3221</v>
      </c>
      <c r="C19906">
        <v>1426</v>
      </c>
      <c r="D19906" t="s">
        <v>263</v>
      </c>
      <c r="E19906" t="s">
        <v>264</v>
      </c>
      <c r="F19906">
        <v>5.4</v>
      </c>
      <c r="G19906">
        <v>230206</v>
      </c>
      <c r="H19906">
        <v>4362</v>
      </c>
      <c r="I19906" t="s">
        <v>79</v>
      </c>
      <c r="J19906">
        <v>6.7</v>
      </c>
      <c r="K19906">
        <v>1.3</v>
      </c>
      <c r="L19906">
        <v>69111</v>
      </c>
      <c r="M19906" t="s">
        <v>471</v>
      </c>
      <c r="N19906" t="str">
        <f t="shared" si="261"/>
        <v xml:space="preserve">12306024750 </v>
      </c>
      <c r="O19906">
        <v>230208</v>
      </c>
    </row>
    <row r="19907" spans="1:15" x14ac:dyDescent="0.25">
      <c r="A19907" t="s">
        <v>16</v>
      </c>
      <c r="B19907" t="s">
        <v>3221</v>
      </c>
      <c r="C19907">
        <v>1426</v>
      </c>
      <c r="D19907" t="s">
        <v>263</v>
      </c>
      <c r="E19907" t="s">
        <v>264</v>
      </c>
      <c r="F19907">
        <v>4.3899999999999997</v>
      </c>
      <c r="G19907">
        <v>230206</v>
      </c>
      <c r="H19907">
        <v>4362</v>
      </c>
      <c r="I19907" t="s">
        <v>79</v>
      </c>
      <c r="J19907">
        <v>5.44</v>
      </c>
      <c r="K19907">
        <v>1.05</v>
      </c>
      <c r="L19907">
        <v>69112</v>
      </c>
      <c r="M19907" t="s">
        <v>313</v>
      </c>
      <c r="N19907" t="str">
        <f t="shared" si="261"/>
        <v xml:space="preserve">12306024750 </v>
      </c>
      <c r="O19907">
        <v>230208</v>
      </c>
    </row>
    <row r="19908" spans="1:15" x14ac:dyDescent="0.25">
      <c r="A19908" t="s">
        <v>16</v>
      </c>
      <c r="B19908" t="s">
        <v>3221</v>
      </c>
      <c r="C19908">
        <v>1426</v>
      </c>
      <c r="D19908" t="s">
        <v>263</v>
      </c>
      <c r="E19908" t="s">
        <v>264</v>
      </c>
      <c r="F19908">
        <v>10.32</v>
      </c>
      <c r="G19908">
        <v>230206</v>
      </c>
      <c r="H19908">
        <v>4362</v>
      </c>
      <c r="I19908" t="s">
        <v>79</v>
      </c>
      <c r="J19908">
        <v>12.8</v>
      </c>
      <c r="K19908">
        <v>2.48</v>
      </c>
      <c r="L19908">
        <v>69113</v>
      </c>
      <c r="M19908" t="s">
        <v>282</v>
      </c>
      <c r="N19908" t="str">
        <f t="shared" si="261"/>
        <v xml:space="preserve">12306024750 </v>
      </c>
      <c r="O19908">
        <v>230208</v>
      </c>
    </row>
    <row r="19909" spans="1:15" x14ac:dyDescent="0.25">
      <c r="A19909" t="s">
        <v>16</v>
      </c>
      <c r="B19909" t="s">
        <v>3221</v>
      </c>
      <c r="C19909">
        <v>1426</v>
      </c>
      <c r="D19909" t="s">
        <v>263</v>
      </c>
      <c r="E19909" t="s">
        <v>264</v>
      </c>
      <c r="F19909">
        <v>26.97</v>
      </c>
      <c r="G19909">
        <v>230206</v>
      </c>
      <c r="H19909">
        <v>4362</v>
      </c>
      <c r="I19909" t="s">
        <v>79</v>
      </c>
      <c r="J19909">
        <v>33.44</v>
      </c>
      <c r="K19909">
        <v>6.47</v>
      </c>
      <c r="L19909">
        <v>69501</v>
      </c>
      <c r="M19909" t="s">
        <v>185</v>
      </c>
      <c r="N19909" t="str">
        <f t="shared" si="261"/>
        <v xml:space="preserve">12306024750 </v>
      </c>
      <c r="O19909">
        <v>230208</v>
      </c>
    </row>
    <row r="19910" spans="1:15" x14ac:dyDescent="0.25">
      <c r="A19910" t="s">
        <v>16</v>
      </c>
      <c r="B19910" t="s">
        <v>3221</v>
      </c>
      <c r="C19910">
        <v>1426</v>
      </c>
      <c r="D19910" t="s">
        <v>263</v>
      </c>
      <c r="E19910" t="s">
        <v>264</v>
      </c>
      <c r="F19910">
        <v>4.05</v>
      </c>
      <c r="G19910">
        <v>230206</v>
      </c>
      <c r="H19910">
        <v>4362</v>
      </c>
      <c r="I19910" t="s">
        <v>79</v>
      </c>
      <c r="J19910">
        <v>5.0199999999999996</v>
      </c>
      <c r="K19910">
        <v>0.97</v>
      </c>
      <c r="L19910">
        <v>69701</v>
      </c>
      <c r="M19910" t="s">
        <v>488</v>
      </c>
      <c r="N19910" t="str">
        <f t="shared" si="261"/>
        <v xml:space="preserve">12306024750 </v>
      </c>
      <c r="O19910">
        <v>230208</v>
      </c>
    </row>
    <row r="19911" spans="1:15" x14ac:dyDescent="0.25">
      <c r="A19911" t="s">
        <v>16</v>
      </c>
      <c r="B19911" t="s">
        <v>3221</v>
      </c>
      <c r="C19911">
        <v>1426</v>
      </c>
      <c r="D19911" t="s">
        <v>263</v>
      </c>
      <c r="E19911" t="s">
        <v>264</v>
      </c>
      <c r="F19911">
        <v>2.7</v>
      </c>
      <c r="G19911">
        <v>230206</v>
      </c>
      <c r="H19911">
        <v>4362</v>
      </c>
      <c r="I19911" t="s">
        <v>79</v>
      </c>
      <c r="J19911">
        <v>3.35</v>
      </c>
      <c r="K19911">
        <v>0.65</v>
      </c>
      <c r="L19911">
        <v>69702</v>
      </c>
      <c r="M19911" t="s">
        <v>489</v>
      </c>
      <c r="N19911" t="str">
        <f t="shared" si="261"/>
        <v xml:space="preserve">12306024750 </v>
      </c>
      <c r="O19911">
        <v>230208</v>
      </c>
    </row>
    <row r="19912" spans="1:15" x14ac:dyDescent="0.25">
      <c r="A19912" t="s">
        <v>16</v>
      </c>
      <c r="B19912" t="s">
        <v>3221</v>
      </c>
      <c r="C19912">
        <v>1426</v>
      </c>
      <c r="D19912" t="s">
        <v>263</v>
      </c>
      <c r="E19912" t="s">
        <v>264</v>
      </c>
      <c r="F19912">
        <v>5.32</v>
      </c>
      <c r="G19912">
        <v>230206</v>
      </c>
      <c r="H19912">
        <v>4362</v>
      </c>
      <c r="I19912" t="s">
        <v>79</v>
      </c>
      <c r="J19912">
        <v>6.6</v>
      </c>
      <c r="K19912">
        <v>1.28</v>
      </c>
      <c r="L19912">
        <v>69702</v>
      </c>
      <c r="M19912" t="s">
        <v>489</v>
      </c>
      <c r="N19912" t="str">
        <f t="shared" si="261"/>
        <v xml:space="preserve">12306024750 </v>
      </c>
      <c r="O19912">
        <v>230208</v>
      </c>
    </row>
    <row r="19913" spans="1:15" x14ac:dyDescent="0.25">
      <c r="A19913" t="s">
        <v>16</v>
      </c>
      <c r="B19913" t="s">
        <v>3221</v>
      </c>
      <c r="C19913">
        <v>1426</v>
      </c>
      <c r="D19913" t="s">
        <v>263</v>
      </c>
      <c r="E19913" t="s">
        <v>264</v>
      </c>
      <c r="F19913">
        <v>4.03</v>
      </c>
      <c r="G19913">
        <v>230206</v>
      </c>
      <c r="H19913">
        <v>4362</v>
      </c>
      <c r="I19913" t="s">
        <v>79</v>
      </c>
      <c r="J19913">
        <v>5</v>
      </c>
      <c r="K19913">
        <v>0.97</v>
      </c>
      <c r="L19913">
        <v>69703</v>
      </c>
      <c r="M19913" t="s">
        <v>1036</v>
      </c>
      <c r="N19913" t="str">
        <f t="shared" si="261"/>
        <v xml:space="preserve">12306024750 </v>
      </c>
      <c r="O19913">
        <v>230208</v>
      </c>
    </row>
    <row r="19914" spans="1:15" x14ac:dyDescent="0.25">
      <c r="A19914" t="s">
        <v>16</v>
      </c>
      <c r="B19914" t="s">
        <v>3221</v>
      </c>
      <c r="C19914">
        <v>1426</v>
      </c>
      <c r="D19914" t="s">
        <v>263</v>
      </c>
      <c r="E19914" t="s">
        <v>264</v>
      </c>
      <c r="F19914">
        <v>5.25</v>
      </c>
      <c r="G19914">
        <v>230206</v>
      </c>
      <c r="H19914">
        <v>4362</v>
      </c>
      <c r="I19914" t="s">
        <v>79</v>
      </c>
      <c r="J19914">
        <v>6.51</v>
      </c>
      <c r="K19914">
        <v>1.26</v>
      </c>
      <c r="L19914">
        <v>69704</v>
      </c>
      <c r="M19914" t="s">
        <v>325</v>
      </c>
      <c r="N19914" t="str">
        <f t="shared" si="261"/>
        <v xml:space="preserve">12306024750 </v>
      </c>
      <c r="O19914">
        <v>230208</v>
      </c>
    </row>
    <row r="19915" spans="1:15" x14ac:dyDescent="0.25">
      <c r="A19915" t="s">
        <v>16</v>
      </c>
      <c r="B19915" t="s">
        <v>3221</v>
      </c>
      <c r="C19915">
        <v>1426</v>
      </c>
      <c r="D19915" t="s">
        <v>263</v>
      </c>
      <c r="E19915" t="s">
        <v>264</v>
      </c>
      <c r="F19915">
        <v>5.4</v>
      </c>
      <c r="G19915">
        <v>230206</v>
      </c>
      <c r="H19915">
        <v>4362</v>
      </c>
      <c r="I19915" t="s">
        <v>79</v>
      </c>
      <c r="J19915">
        <v>6.7</v>
      </c>
      <c r="K19915">
        <v>1.3</v>
      </c>
      <c r="L19915">
        <v>69707</v>
      </c>
      <c r="M19915" t="s">
        <v>490</v>
      </c>
      <c r="N19915" t="str">
        <f t="shared" si="261"/>
        <v xml:space="preserve">12306024750 </v>
      </c>
      <c r="O19915">
        <v>230208</v>
      </c>
    </row>
    <row r="19916" spans="1:15" x14ac:dyDescent="0.25">
      <c r="A19916" t="s">
        <v>16</v>
      </c>
      <c r="B19916" t="s">
        <v>3221</v>
      </c>
      <c r="C19916">
        <v>1426</v>
      </c>
      <c r="D19916" t="s">
        <v>263</v>
      </c>
      <c r="E19916" t="s">
        <v>264</v>
      </c>
      <c r="F19916">
        <v>8.1</v>
      </c>
      <c r="G19916">
        <v>230206</v>
      </c>
      <c r="H19916">
        <v>4362</v>
      </c>
      <c r="I19916" t="s">
        <v>79</v>
      </c>
      <c r="J19916">
        <v>10.039999999999999</v>
      </c>
      <c r="K19916">
        <v>1.94</v>
      </c>
      <c r="L19916">
        <v>69708</v>
      </c>
      <c r="M19916" t="s">
        <v>491</v>
      </c>
      <c r="N19916" t="str">
        <f t="shared" si="261"/>
        <v xml:space="preserve">12306024750 </v>
      </c>
      <c r="O19916">
        <v>230208</v>
      </c>
    </row>
    <row r="19917" spans="1:15" x14ac:dyDescent="0.25">
      <c r="A19917" t="s">
        <v>16</v>
      </c>
      <c r="B19917" t="s">
        <v>3221</v>
      </c>
      <c r="C19917">
        <v>1499</v>
      </c>
      <c r="D19917" t="s">
        <v>263</v>
      </c>
      <c r="E19917" t="s">
        <v>264</v>
      </c>
      <c r="F19917">
        <v>29.87</v>
      </c>
      <c r="G19917">
        <v>230206</v>
      </c>
      <c r="H19917">
        <v>4362</v>
      </c>
      <c r="I19917" t="s">
        <v>79</v>
      </c>
      <c r="J19917">
        <v>37.04</v>
      </c>
      <c r="K19917">
        <v>7.17</v>
      </c>
      <c r="L19917">
        <v>41126</v>
      </c>
      <c r="M19917" t="s">
        <v>761</v>
      </c>
      <c r="N19917" t="str">
        <f>"12306024755 "</f>
        <v xml:space="preserve">12306024755 </v>
      </c>
      <c r="O19917">
        <v>230209</v>
      </c>
    </row>
    <row r="19918" spans="1:15" x14ac:dyDescent="0.25">
      <c r="A19918" t="s">
        <v>16</v>
      </c>
      <c r="B19918" t="s">
        <v>3221</v>
      </c>
      <c r="C19918">
        <v>1499</v>
      </c>
      <c r="D19918" t="s">
        <v>263</v>
      </c>
      <c r="E19918" t="s">
        <v>264</v>
      </c>
      <c r="F19918">
        <v>11.76</v>
      </c>
      <c r="G19918">
        <v>230206</v>
      </c>
      <c r="H19918">
        <v>4362</v>
      </c>
      <c r="I19918" t="s">
        <v>79</v>
      </c>
      <c r="J19918">
        <v>14.58</v>
      </c>
      <c r="K19918">
        <v>2.82</v>
      </c>
      <c r="L19918">
        <v>46222</v>
      </c>
      <c r="M19918" t="s">
        <v>293</v>
      </c>
      <c r="N19918" t="str">
        <f>"12306024755 "</f>
        <v xml:space="preserve">12306024755 </v>
      </c>
      <c r="O19918">
        <v>230209</v>
      </c>
    </row>
    <row r="19919" spans="1:15" x14ac:dyDescent="0.25">
      <c r="A19919" t="s">
        <v>16</v>
      </c>
      <c r="B19919" t="s">
        <v>3221</v>
      </c>
      <c r="C19919">
        <v>1500</v>
      </c>
      <c r="D19919" t="s">
        <v>263</v>
      </c>
      <c r="E19919" t="s">
        <v>264</v>
      </c>
      <c r="F19919">
        <v>4.59</v>
      </c>
      <c r="G19919">
        <v>230206</v>
      </c>
      <c r="H19919">
        <v>4362</v>
      </c>
      <c r="I19919" t="s">
        <v>79</v>
      </c>
      <c r="J19919">
        <v>5.69</v>
      </c>
      <c r="K19919">
        <v>1.1000000000000001</v>
      </c>
      <c r="L19919">
        <v>48601</v>
      </c>
      <c r="M19919" t="s">
        <v>1047</v>
      </c>
      <c r="N19919" t="str">
        <f>"12306024759 "</f>
        <v xml:space="preserve">12306024759 </v>
      </c>
      <c r="O19919">
        <v>230209</v>
      </c>
    </row>
    <row r="19920" spans="1:15" x14ac:dyDescent="0.25">
      <c r="A19920" t="s">
        <v>16</v>
      </c>
      <c r="B19920" t="s">
        <v>3221</v>
      </c>
      <c r="C19920">
        <v>1500</v>
      </c>
      <c r="D19920" t="s">
        <v>263</v>
      </c>
      <c r="E19920" t="s">
        <v>264</v>
      </c>
      <c r="F19920">
        <v>10.65</v>
      </c>
      <c r="G19920">
        <v>230206</v>
      </c>
      <c r="H19920">
        <v>4362</v>
      </c>
      <c r="I19920" t="s">
        <v>79</v>
      </c>
      <c r="J19920">
        <v>13.21</v>
      </c>
      <c r="K19920">
        <v>2.56</v>
      </c>
      <c r="L19920">
        <v>49704</v>
      </c>
      <c r="M19920" t="s">
        <v>1065</v>
      </c>
      <c r="N19920" t="str">
        <f>"12306024759 "</f>
        <v xml:space="preserve">12306024759 </v>
      </c>
      <c r="O19920">
        <v>230209</v>
      </c>
    </row>
    <row r="19921" spans="1:15" x14ac:dyDescent="0.25">
      <c r="A19921" t="s">
        <v>16</v>
      </c>
      <c r="B19921" t="s">
        <v>3221</v>
      </c>
      <c r="C19921">
        <v>1500</v>
      </c>
      <c r="D19921" t="s">
        <v>263</v>
      </c>
      <c r="E19921" t="s">
        <v>264</v>
      </c>
      <c r="F19921">
        <v>27</v>
      </c>
      <c r="G19921">
        <v>230206</v>
      </c>
      <c r="H19921">
        <v>4362</v>
      </c>
      <c r="I19921" t="s">
        <v>79</v>
      </c>
      <c r="J19921">
        <v>33.479999999999997</v>
      </c>
      <c r="K19921">
        <v>6.48</v>
      </c>
      <c r="L19921">
        <v>49705</v>
      </c>
      <c r="M19921" t="s">
        <v>575</v>
      </c>
      <c r="N19921" t="str">
        <f>"12306024759 "</f>
        <v xml:space="preserve">12306024759 </v>
      </c>
      <c r="O19921">
        <v>230209</v>
      </c>
    </row>
    <row r="19922" spans="1:15" x14ac:dyDescent="0.25">
      <c r="A19922" t="s">
        <v>16</v>
      </c>
      <c r="B19922" t="s">
        <v>3221</v>
      </c>
      <c r="C19922">
        <v>1501</v>
      </c>
      <c r="D19922" t="s">
        <v>263</v>
      </c>
      <c r="E19922" t="s">
        <v>264</v>
      </c>
      <c r="F19922">
        <v>5.4</v>
      </c>
      <c r="G19922">
        <v>230206</v>
      </c>
      <c r="H19922">
        <v>4362</v>
      </c>
      <c r="I19922" t="s">
        <v>79</v>
      </c>
      <c r="J19922">
        <v>6.7</v>
      </c>
      <c r="K19922">
        <v>1.3</v>
      </c>
      <c r="L19922">
        <v>46556</v>
      </c>
      <c r="M19922" t="s">
        <v>125</v>
      </c>
      <c r="N19922" t="str">
        <f>"12306024761 "</f>
        <v xml:space="preserve">12306024761 </v>
      </c>
      <c r="O19922">
        <v>230209</v>
      </c>
    </row>
    <row r="19923" spans="1:15" x14ac:dyDescent="0.25">
      <c r="A19923" t="s">
        <v>16</v>
      </c>
      <c r="B19923" t="s">
        <v>3221</v>
      </c>
      <c r="C19923">
        <v>1502</v>
      </c>
      <c r="D19923" t="s">
        <v>263</v>
      </c>
      <c r="E19923" t="s">
        <v>264</v>
      </c>
      <c r="F19923">
        <v>45.9</v>
      </c>
      <c r="G19923">
        <v>230206</v>
      </c>
      <c r="H19923">
        <v>4362</v>
      </c>
      <c r="I19923" t="s">
        <v>79</v>
      </c>
      <c r="J19923">
        <v>56.92</v>
      </c>
      <c r="K19923">
        <v>11.02</v>
      </c>
      <c r="L19923">
        <v>10002</v>
      </c>
      <c r="M19923" t="s">
        <v>1066</v>
      </c>
      <c r="N19923" t="str">
        <f>"12306024787 "</f>
        <v xml:space="preserve">12306024787 </v>
      </c>
      <c r="O19923">
        <v>230209</v>
      </c>
    </row>
    <row r="19924" spans="1:15" x14ac:dyDescent="0.25">
      <c r="A19924" t="s">
        <v>16</v>
      </c>
      <c r="B19924" t="s">
        <v>3221</v>
      </c>
      <c r="C19924">
        <v>1503</v>
      </c>
      <c r="D19924" t="s">
        <v>263</v>
      </c>
      <c r="E19924" t="s">
        <v>264</v>
      </c>
      <c r="F19924">
        <v>8.1</v>
      </c>
      <c r="G19924">
        <v>230206</v>
      </c>
      <c r="H19924">
        <v>4362</v>
      </c>
      <c r="I19924" t="s">
        <v>79</v>
      </c>
      <c r="J19924">
        <v>10.050000000000001</v>
      </c>
      <c r="K19924">
        <v>1.95</v>
      </c>
      <c r="L19924">
        <v>46555</v>
      </c>
      <c r="M19924" t="s">
        <v>597</v>
      </c>
      <c r="N19924" t="str">
        <f>"12306024764 "</f>
        <v xml:space="preserve">12306024764 </v>
      </c>
      <c r="O19924">
        <v>230209</v>
      </c>
    </row>
    <row r="19925" spans="1:15" x14ac:dyDescent="0.25">
      <c r="A19925" t="s">
        <v>16</v>
      </c>
      <c r="B19925" t="s">
        <v>3221</v>
      </c>
      <c r="C19925">
        <v>1503</v>
      </c>
      <c r="D19925" t="s">
        <v>263</v>
      </c>
      <c r="E19925" t="s">
        <v>264</v>
      </c>
      <c r="F19925">
        <v>2.93</v>
      </c>
      <c r="G19925">
        <v>230206</v>
      </c>
      <c r="H19925">
        <v>4362</v>
      </c>
      <c r="I19925" t="s">
        <v>79</v>
      </c>
      <c r="J19925">
        <v>3.63</v>
      </c>
      <c r="K19925">
        <v>0.7</v>
      </c>
      <c r="L19925">
        <v>48601</v>
      </c>
      <c r="M19925" t="s">
        <v>1047</v>
      </c>
      <c r="N19925" t="str">
        <f>"12306024764 "</f>
        <v xml:space="preserve">12306024764 </v>
      </c>
      <c r="O19925">
        <v>230209</v>
      </c>
    </row>
    <row r="19926" spans="1:15" x14ac:dyDescent="0.25">
      <c r="A19926" t="s">
        <v>16</v>
      </c>
      <c r="B19926" t="s">
        <v>3221</v>
      </c>
      <c r="C19926">
        <v>1504</v>
      </c>
      <c r="D19926" t="s">
        <v>263</v>
      </c>
      <c r="E19926" t="s">
        <v>264</v>
      </c>
      <c r="F19926">
        <v>10.8</v>
      </c>
      <c r="G19926">
        <v>230206</v>
      </c>
      <c r="H19926">
        <v>4362</v>
      </c>
      <c r="I19926" t="s">
        <v>79</v>
      </c>
      <c r="J19926">
        <v>13.39</v>
      </c>
      <c r="K19926">
        <v>2.59</v>
      </c>
      <c r="L19926">
        <v>17131</v>
      </c>
      <c r="M19926" t="s">
        <v>64</v>
      </c>
      <c r="N19926" t="str">
        <f t="shared" ref="N19926:N19935" si="262">"12306024769 "</f>
        <v xml:space="preserve">12306024769 </v>
      </c>
      <c r="O19926">
        <v>230209</v>
      </c>
    </row>
    <row r="19927" spans="1:15" x14ac:dyDescent="0.25">
      <c r="A19927" t="s">
        <v>16</v>
      </c>
      <c r="B19927" t="s">
        <v>3221</v>
      </c>
      <c r="C19927">
        <v>1504</v>
      </c>
      <c r="D19927" t="s">
        <v>263</v>
      </c>
      <c r="E19927" t="s">
        <v>264</v>
      </c>
      <c r="F19927">
        <v>11.27</v>
      </c>
      <c r="G19927">
        <v>230206</v>
      </c>
      <c r="H19927">
        <v>4362</v>
      </c>
      <c r="I19927" t="s">
        <v>79</v>
      </c>
      <c r="J19927">
        <v>13.97</v>
      </c>
      <c r="K19927">
        <v>2.7</v>
      </c>
      <c r="L19927">
        <v>17711</v>
      </c>
      <c r="M19927" t="s">
        <v>65</v>
      </c>
      <c r="N19927" t="str">
        <f t="shared" si="262"/>
        <v xml:space="preserve">12306024769 </v>
      </c>
      <c r="O19927">
        <v>230209</v>
      </c>
    </row>
    <row r="19928" spans="1:15" x14ac:dyDescent="0.25">
      <c r="A19928" t="s">
        <v>16</v>
      </c>
      <c r="B19928" t="s">
        <v>3221</v>
      </c>
      <c r="C19928">
        <v>1504</v>
      </c>
      <c r="D19928" t="s">
        <v>263</v>
      </c>
      <c r="E19928" t="s">
        <v>264</v>
      </c>
      <c r="F19928">
        <v>31.05</v>
      </c>
      <c r="G19928">
        <v>230206</v>
      </c>
      <c r="H19928">
        <v>4362</v>
      </c>
      <c r="I19928" t="s">
        <v>79</v>
      </c>
      <c r="J19928">
        <v>38.5</v>
      </c>
      <c r="K19928">
        <v>7.45</v>
      </c>
      <c r="L19928">
        <v>17711</v>
      </c>
      <c r="M19928" t="s">
        <v>65</v>
      </c>
      <c r="N19928" t="str">
        <f t="shared" si="262"/>
        <v xml:space="preserve">12306024769 </v>
      </c>
      <c r="O19928">
        <v>230209</v>
      </c>
    </row>
    <row r="19929" spans="1:15" x14ac:dyDescent="0.25">
      <c r="A19929" t="s">
        <v>16</v>
      </c>
      <c r="B19929" t="s">
        <v>3221</v>
      </c>
      <c r="C19929">
        <v>1504</v>
      </c>
      <c r="D19929" t="s">
        <v>263</v>
      </c>
      <c r="E19929" t="s">
        <v>264</v>
      </c>
      <c r="F19929">
        <v>6.27</v>
      </c>
      <c r="G19929">
        <v>230206</v>
      </c>
      <c r="H19929">
        <v>4362</v>
      </c>
      <c r="I19929" t="s">
        <v>79</v>
      </c>
      <c r="J19929">
        <v>7.77</v>
      </c>
      <c r="K19929">
        <v>1.5</v>
      </c>
      <c r="L19929">
        <v>17737</v>
      </c>
      <c r="M19929" t="s">
        <v>279</v>
      </c>
      <c r="N19929" t="str">
        <f t="shared" si="262"/>
        <v xml:space="preserve">12306024769 </v>
      </c>
      <c r="O19929">
        <v>230209</v>
      </c>
    </row>
    <row r="19930" spans="1:15" x14ac:dyDescent="0.25">
      <c r="A19930" t="s">
        <v>16</v>
      </c>
      <c r="B19930" t="s">
        <v>3221</v>
      </c>
      <c r="C19930">
        <v>1504</v>
      </c>
      <c r="D19930" t="s">
        <v>263</v>
      </c>
      <c r="E19930" t="s">
        <v>264</v>
      </c>
      <c r="F19930">
        <v>14.83</v>
      </c>
      <c r="G19930">
        <v>230206</v>
      </c>
      <c r="H19930">
        <v>4362</v>
      </c>
      <c r="I19930" t="s">
        <v>79</v>
      </c>
      <c r="J19930">
        <v>18.39</v>
      </c>
      <c r="K19930">
        <v>3.56</v>
      </c>
      <c r="L19930">
        <v>17737</v>
      </c>
      <c r="M19930" t="s">
        <v>279</v>
      </c>
      <c r="N19930" t="str">
        <f t="shared" si="262"/>
        <v xml:space="preserve">12306024769 </v>
      </c>
      <c r="O19930">
        <v>230209</v>
      </c>
    </row>
    <row r="19931" spans="1:15" x14ac:dyDescent="0.25">
      <c r="A19931" t="s">
        <v>16</v>
      </c>
      <c r="B19931" t="s">
        <v>3221</v>
      </c>
      <c r="C19931">
        <v>1504</v>
      </c>
      <c r="D19931" t="s">
        <v>263</v>
      </c>
      <c r="E19931" t="s">
        <v>264</v>
      </c>
      <c r="F19931">
        <v>2.7</v>
      </c>
      <c r="G19931">
        <v>230206</v>
      </c>
      <c r="H19931">
        <v>4362</v>
      </c>
      <c r="I19931" t="s">
        <v>79</v>
      </c>
      <c r="J19931">
        <v>3.35</v>
      </c>
      <c r="K19931">
        <v>0.65</v>
      </c>
      <c r="L19931">
        <v>17912</v>
      </c>
      <c r="M19931" t="s">
        <v>419</v>
      </c>
      <c r="N19931" t="str">
        <f t="shared" si="262"/>
        <v xml:space="preserve">12306024769 </v>
      </c>
      <c r="O19931">
        <v>230209</v>
      </c>
    </row>
    <row r="19932" spans="1:15" x14ac:dyDescent="0.25">
      <c r="A19932" t="s">
        <v>16</v>
      </c>
      <c r="B19932" t="s">
        <v>3221</v>
      </c>
      <c r="C19932">
        <v>1504</v>
      </c>
      <c r="D19932" t="s">
        <v>263</v>
      </c>
      <c r="E19932" t="s">
        <v>264</v>
      </c>
      <c r="F19932">
        <v>2.7</v>
      </c>
      <c r="G19932">
        <v>230206</v>
      </c>
      <c r="H19932">
        <v>4362</v>
      </c>
      <c r="I19932" t="s">
        <v>79</v>
      </c>
      <c r="J19932">
        <v>3.35</v>
      </c>
      <c r="K19932">
        <v>0.65</v>
      </c>
      <c r="L19932">
        <v>17915</v>
      </c>
      <c r="M19932" t="s">
        <v>572</v>
      </c>
      <c r="N19932" t="str">
        <f t="shared" si="262"/>
        <v xml:space="preserve">12306024769 </v>
      </c>
      <c r="O19932">
        <v>230209</v>
      </c>
    </row>
    <row r="19933" spans="1:15" x14ac:dyDescent="0.25">
      <c r="A19933" t="s">
        <v>16</v>
      </c>
      <c r="B19933" t="s">
        <v>3221</v>
      </c>
      <c r="C19933">
        <v>1504</v>
      </c>
      <c r="D19933" t="s">
        <v>263</v>
      </c>
      <c r="E19933" t="s">
        <v>264</v>
      </c>
      <c r="F19933">
        <v>13.9</v>
      </c>
      <c r="G19933">
        <v>230206</v>
      </c>
      <c r="H19933">
        <v>4362</v>
      </c>
      <c r="I19933" t="s">
        <v>79</v>
      </c>
      <c r="J19933">
        <v>17.239999999999998</v>
      </c>
      <c r="K19933">
        <v>3.34</v>
      </c>
      <c r="L19933">
        <v>17952</v>
      </c>
      <c r="M19933" t="s">
        <v>88</v>
      </c>
      <c r="N19933" t="str">
        <f t="shared" si="262"/>
        <v xml:space="preserve">12306024769 </v>
      </c>
      <c r="O19933">
        <v>230209</v>
      </c>
    </row>
    <row r="19934" spans="1:15" x14ac:dyDescent="0.25">
      <c r="A19934" t="s">
        <v>16</v>
      </c>
      <c r="B19934" t="s">
        <v>3221</v>
      </c>
      <c r="C19934">
        <v>1504</v>
      </c>
      <c r="D19934" t="s">
        <v>263</v>
      </c>
      <c r="E19934" t="s">
        <v>264</v>
      </c>
      <c r="F19934">
        <v>35.08</v>
      </c>
      <c r="G19934">
        <v>230206</v>
      </c>
      <c r="H19934">
        <v>4362</v>
      </c>
      <c r="I19934" t="s">
        <v>79</v>
      </c>
      <c r="J19934">
        <v>43.5</v>
      </c>
      <c r="K19934">
        <v>8.42</v>
      </c>
      <c r="L19934">
        <v>17971</v>
      </c>
      <c r="M19934" t="s">
        <v>138</v>
      </c>
      <c r="N19934" t="str">
        <f t="shared" si="262"/>
        <v xml:space="preserve">12306024769 </v>
      </c>
      <c r="O19934">
        <v>230209</v>
      </c>
    </row>
    <row r="19935" spans="1:15" x14ac:dyDescent="0.25">
      <c r="A19935" t="s">
        <v>16</v>
      </c>
      <c r="B19935" t="s">
        <v>3221</v>
      </c>
      <c r="C19935">
        <v>1504</v>
      </c>
      <c r="D19935" t="s">
        <v>263</v>
      </c>
      <c r="E19935" t="s">
        <v>264</v>
      </c>
      <c r="F19935">
        <v>5.4</v>
      </c>
      <c r="G19935">
        <v>230206</v>
      </c>
      <c r="H19935">
        <v>4362</v>
      </c>
      <c r="I19935" t="s">
        <v>79</v>
      </c>
      <c r="J19935">
        <v>6.7</v>
      </c>
      <c r="K19935">
        <v>1.3</v>
      </c>
      <c r="L19935">
        <v>17972</v>
      </c>
      <c r="M19935" t="s">
        <v>248</v>
      </c>
      <c r="N19935" t="str">
        <f t="shared" si="262"/>
        <v xml:space="preserve">12306024769 </v>
      </c>
      <c r="O19935">
        <v>230209</v>
      </c>
    </row>
    <row r="19936" spans="1:15" x14ac:dyDescent="0.25">
      <c r="A19936" t="s">
        <v>16</v>
      </c>
      <c r="B19936" t="s">
        <v>3221</v>
      </c>
      <c r="C19936">
        <v>1505</v>
      </c>
      <c r="D19936" t="s">
        <v>263</v>
      </c>
      <c r="E19936" t="s">
        <v>264</v>
      </c>
      <c r="F19936">
        <v>7.67</v>
      </c>
      <c r="G19936">
        <v>230206</v>
      </c>
      <c r="H19936">
        <v>4362</v>
      </c>
      <c r="I19936" t="s">
        <v>79</v>
      </c>
      <c r="J19936">
        <v>9.51</v>
      </c>
      <c r="K19936">
        <v>1.84</v>
      </c>
      <c r="L19936">
        <v>44222</v>
      </c>
      <c r="M19936" t="s">
        <v>232</v>
      </c>
      <c r="N19936" t="str">
        <f>"12306024762 "</f>
        <v xml:space="preserve">12306024762 </v>
      </c>
      <c r="O19936">
        <v>230209</v>
      </c>
    </row>
    <row r="19937" spans="1:15" x14ac:dyDescent="0.25">
      <c r="A19937" t="s">
        <v>16</v>
      </c>
      <c r="B19937" t="s">
        <v>3221</v>
      </c>
      <c r="C19937">
        <v>1505</v>
      </c>
      <c r="D19937" t="s">
        <v>263</v>
      </c>
      <c r="E19937" t="s">
        <v>264</v>
      </c>
      <c r="F19937">
        <v>19.28</v>
      </c>
      <c r="G19937">
        <v>230206</v>
      </c>
      <c r="H19937">
        <v>4362</v>
      </c>
      <c r="I19937" t="s">
        <v>79</v>
      </c>
      <c r="J19937">
        <v>23.91</v>
      </c>
      <c r="K19937">
        <v>4.63</v>
      </c>
      <c r="L19937">
        <v>44222</v>
      </c>
      <c r="M19937" t="s">
        <v>232</v>
      </c>
      <c r="N19937" t="str">
        <f>"12306024762 "</f>
        <v xml:space="preserve">12306024762 </v>
      </c>
      <c r="O19937">
        <v>230209</v>
      </c>
    </row>
    <row r="19938" spans="1:15" x14ac:dyDescent="0.25">
      <c r="A19938" t="s">
        <v>16</v>
      </c>
      <c r="B19938" t="s">
        <v>3221</v>
      </c>
      <c r="C19938">
        <v>1505</v>
      </c>
      <c r="D19938" t="s">
        <v>263</v>
      </c>
      <c r="E19938" t="s">
        <v>264</v>
      </c>
      <c r="F19938">
        <v>2.7</v>
      </c>
      <c r="G19938">
        <v>230206</v>
      </c>
      <c r="H19938">
        <v>4362</v>
      </c>
      <c r="I19938" t="s">
        <v>79</v>
      </c>
      <c r="J19938">
        <v>3.35</v>
      </c>
      <c r="K19938">
        <v>0.65</v>
      </c>
      <c r="L19938">
        <v>44251</v>
      </c>
      <c r="M19938" t="s">
        <v>156</v>
      </c>
      <c r="N19938" t="str">
        <f>"12306024762 "</f>
        <v xml:space="preserve">12306024762 </v>
      </c>
      <c r="O19938">
        <v>230209</v>
      </c>
    </row>
    <row r="19939" spans="1:15" x14ac:dyDescent="0.25">
      <c r="A19939" t="s">
        <v>16</v>
      </c>
      <c r="B19939" t="s">
        <v>3221</v>
      </c>
      <c r="C19939">
        <v>1505</v>
      </c>
      <c r="D19939" t="s">
        <v>263</v>
      </c>
      <c r="E19939" t="s">
        <v>264</v>
      </c>
      <c r="F19939">
        <v>2.5499999999999998</v>
      </c>
      <c r="G19939">
        <v>230206</v>
      </c>
      <c r="H19939">
        <v>4362</v>
      </c>
      <c r="I19939" t="s">
        <v>79</v>
      </c>
      <c r="J19939">
        <v>3.16</v>
      </c>
      <c r="K19939">
        <v>0.61</v>
      </c>
      <c r="L19939">
        <v>44253</v>
      </c>
      <c r="M19939" t="s">
        <v>1058</v>
      </c>
      <c r="N19939" t="str">
        <f>"12306024762 "</f>
        <v xml:space="preserve">12306024762 </v>
      </c>
      <c r="O19939">
        <v>230209</v>
      </c>
    </row>
    <row r="19940" spans="1:15" x14ac:dyDescent="0.25">
      <c r="A19940" t="s">
        <v>16</v>
      </c>
      <c r="B19940" t="s">
        <v>3221</v>
      </c>
      <c r="C19940">
        <v>1505</v>
      </c>
      <c r="D19940" t="s">
        <v>263</v>
      </c>
      <c r="E19940" t="s">
        <v>264</v>
      </c>
      <c r="F19940">
        <v>3.51</v>
      </c>
      <c r="G19940">
        <v>230206</v>
      </c>
      <c r="H19940">
        <v>4362</v>
      </c>
      <c r="I19940" t="s">
        <v>79</v>
      </c>
      <c r="J19940">
        <v>3.51</v>
      </c>
      <c r="K19940">
        <v>0</v>
      </c>
      <c r="L19940">
        <v>49702</v>
      </c>
      <c r="M19940" t="s">
        <v>584</v>
      </c>
      <c r="N19940" t="str">
        <f>"12306024762 "</f>
        <v xml:space="preserve">12306024762 </v>
      </c>
      <c r="O19940">
        <v>230209</v>
      </c>
    </row>
    <row r="19941" spans="1:15" x14ac:dyDescent="0.25">
      <c r="A19941" t="s">
        <v>16</v>
      </c>
      <c r="B19941" t="s">
        <v>3221</v>
      </c>
      <c r="C19941">
        <v>1507</v>
      </c>
      <c r="D19941" t="s">
        <v>263</v>
      </c>
      <c r="E19941" t="s">
        <v>264</v>
      </c>
      <c r="F19941">
        <v>14.31</v>
      </c>
      <c r="G19941">
        <v>230206</v>
      </c>
      <c r="H19941">
        <v>4362</v>
      </c>
      <c r="I19941" t="s">
        <v>79</v>
      </c>
      <c r="J19941">
        <v>17.739999999999998</v>
      </c>
      <c r="K19941">
        <v>3.43</v>
      </c>
      <c r="L19941">
        <v>47522</v>
      </c>
      <c r="M19941" t="s">
        <v>410</v>
      </c>
      <c r="N19941" t="str">
        <f>"12306024757 "</f>
        <v xml:space="preserve">12306024757 </v>
      </c>
      <c r="O19941">
        <v>230209</v>
      </c>
    </row>
    <row r="19942" spans="1:15" x14ac:dyDescent="0.25">
      <c r="A19942" t="s">
        <v>16</v>
      </c>
      <c r="B19942" t="s">
        <v>3221</v>
      </c>
      <c r="C19942">
        <v>1507</v>
      </c>
      <c r="D19942" t="s">
        <v>263</v>
      </c>
      <c r="E19942" t="s">
        <v>264</v>
      </c>
      <c r="F19942">
        <v>3.35</v>
      </c>
      <c r="G19942">
        <v>230206</v>
      </c>
      <c r="H19942">
        <v>4362</v>
      </c>
      <c r="I19942" t="s">
        <v>79</v>
      </c>
      <c r="J19942">
        <v>3.35</v>
      </c>
      <c r="K19942">
        <v>0</v>
      </c>
      <c r="L19942">
        <v>49702</v>
      </c>
      <c r="M19942" t="s">
        <v>584</v>
      </c>
      <c r="N19942" t="str">
        <f>"12306024757 "</f>
        <v xml:space="preserve">12306024757 </v>
      </c>
      <c r="O19942">
        <v>230209</v>
      </c>
    </row>
    <row r="19943" spans="1:15" x14ac:dyDescent="0.25">
      <c r="A19943" t="s">
        <v>16</v>
      </c>
      <c r="B19943" t="s">
        <v>3221</v>
      </c>
      <c r="C19943">
        <v>1508</v>
      </c>
      <c r="D19943" t="s">
        <v>263</v>
      </c>
      <c r="E19943" t="s">
        <v>264</v>
      </c>
      <c r="F19943">
        <v>5.74</v>
      </c>
      <c r="G19943">
        <v>230206</v>
      </c>
      <c r="H19943">
        <v>4362</v>
      </c>
      <c r="I19943" t="s">
        <v>79</v>
      </c>
      <c r="J19943">
        <v>7.12</v>
      </c>
      <c r="K19943">
        <v>1.38</v>
      </c>
      <c r="L19943">
        <v>46557</v>
      </c>
      <c r="M19943" t="s">
        <v>221</v>
      </c>
      <c r="N19943" t="str">
        <f>"12306024779 "</f>
        <v xml:space="preserve">12306024779 </v>
      </c>
      <c r="O19943">
        <v>230209</v>
      </c>
    </row>
    <row r="19944" spans="1:15" x14ac:dyDescent="0.25">
      <c r="A19944" t="s">
        <v>16</v>
      </c>
      <c r="B19944" t="s">
        <v>3221</v>
      </c>
      <c r="C19944">
        <v>1509</v>
      </c>
      <c r="D19944" t="s">
        <v>263</v>
      </c>
      <c r="E19944" t="s">
        <v>264</v>
      </c>
      <c r="F19944">
        <v>3.43</v>
      </c>
      <c r="G19944">
        <v>230206</v>
      </c>
      <c r="H19944">
        <v>4362</v>
      </c>
      <c r="I19944" t="s">
        <v>79</v>
      </c>
      <c r="J19944">
        <v>4.25</v>
      </c>
      <c r="K19944">
        <v>0.82</v>
      </c>
      <c r="L19944">
        <v>46554</v>
      </c>
      <c r="M19944" t="s">
        <v>117</v>
      </c>
      <c r="N19944" t="str">
        <f>"12306024758 "</f>
        <v xml:space="preserve">12306024758 </v>
      </c>
      <c r="O19944">
        <v>230209</v>
      </c>
    </row>
    <row r="19945" spans="1:15" x14ac:dyDescent="0.25">
      <c r="A19945" t="s">
        <v>16</v>
      </c>
      <c r="B19945" t="s">
        <v>3221</v>
      </c>
      <c r="C19945">
        <v>1509</v>
      </c>
      <c r="D19945" t="s">
        <v>263</v>
      </c>
      <c r="E19945" t="s">
        <v>264</v>
      </c>
      <c r="F19945">
        <v>25.57</v>
      </c>
      <c r="G19945">
        <v>230206</v>
      </c>
      <c r="H19945">
        <v>4362</v>
      </c>
      <c r="I19945" t="s">
        <v>79</v>
      </c>
      <c r="J19945">
        <v>31.71</v>
      </c>
      <c r="K19945">
        <v>6.14</v>
      </c>
      <c r="L19945">
        <v>46554</v>
      </c>
      <c r="M19945" t="s">
        <v>117</v>
      </c>
      <c r="N19945" t="str">
        <f>"12306024758 "</f>
        <v xml:space="preserve">12306024758 </v>
      </c>
      <c r="O19945">
        <v>230209</v>
      </c>
    </row>
    <row r="19946" spans="1:15" x14ac:dyDescent="0.25">
      <c r="A19946" t="s">
        <v>16</v>
      </c>
      <c r="B19946" t="s">
        <v>3221</v>
      </c>
      <c r="C19946">
        <v>1573</v>
      </c>
      <c r="D19946" t="s">
        <v>263</v>
      </c>
      <c r="E19946" t="s">
        <v>264</v>
      </c>
      <c r="F19946">
        <v>2.7</v>
      </c>
      <c r="G19946">
        <v>230206</v>
      </c>
      <c r="H19946">
        <v>4362</v>
      </c>
      <c r="I19946" t="s">
        <v>79</v>
      </c>
      <c r="J19946">
        <v>3.35</v>
      </c>
      <c r="K19946">
        <v>0.65</v>
      </c>
      <c r="L19946">
        <v>13501</v>
      </c>
      <c r="M19946" t="s">
        <v>20</v>
      </c>
      <c r="N19946" t="str">
        <f>"12306024786 "</f>
        <v xml:space="preserve">12306024786 </v>
      </c>
      <c r="O19946">
        <v>230209</v>
      </c>
    </row>
    <row r="19947" spans="1:15" x14ac:dyDescent="0.25">
      <c r="A19947" t="s">
        <v>16</v>
      </c>
      <c r="B19947" t="s">
        <v>3221</v>
      </c>
      <c r="C19947">
        <v>1574</v>
      </c>
      <c r="D19947" t="s">
        <v>263</v>
      </c>
      <c r="E19947" t="s">
        <v>264</v>
      </c>
      <c r="F19947">
        <v>2.7</v>
      </c>
      <c r="G19947">
        <v>230206</v>
      </c>
      <c r="H19947">
        <v>4362</v>
      </c>
      <c r="I19947" t="s">
        <v>79</v>
      </c>
      <c r="J19947">
        <v>3.35</v>
      </c>
      <c r="K19947">
        <v>0.65</v>
      </c>
      <c r="L19947">
        <v>13201</v>
      </c>
      <c r="M19947" t="s">
        <v>161</v>
      </c>
      <c r="N19947" t="str">
        <f t="shared" ref="N19947:N19958" si="263">"12306024772 "</f>
        <v xml:space="preserve">12306024772 </v>
      </c>
      <c r="O19947">
        <v>230209</v>
      </c>
    </row>
    <row r="19948" spans="1:15" x14ac:dyDescent="0.25">
      <c r="A19948" t="s">
        <v>16</v>
      </c>
      <c r="B19948" t="s">
        <v>3221</v>
      </c>
      <c r="C19948">
        <v>1574</v>
      </c>
      <c r="D19948" t="s">
        <v>263</v>
      </c>
      <c r="E19948" t="s">
        <v>264</v>
      </c>
      <c r="F19948">
        <v>3.35</v>
      </c>
      <c r="G19948">
        <v>230206</v>
      </c>
      <c r="H19948">
        <v>4362</v>
      </c>
      <c r="I19948" t="s">
        <v>79</v>
      </c>
      <c r="J19948">
        <v>3.35</v>
      </c>
      <c r="K19948">
        <v>0</v>
      </c>
      <c r="L19948">
        <v>13201</v>
      </c>
      <c r="M19948" t="s">
        <v>161</v>
      </c>
      <c r="N19948" t="str">
        <f t="shared" si="263"/>
        <v xml:space="preserve">12306024772 </v>
      </c>
      <c r="O19948">
        <v>230209</v>
      </c>
    </row>
    <row r="19949" spans="1:15" x14ac:dyDescent="0.25">
      <c r="A19949" t="s">
        <v>16</v>
      </c>
      <c r="B19949" t="s">
        <v>3221</v>
      </c>
      <c r="C19949">
        <v>1574</v>
      </c>
      <c r="D19949" t="s">
        <v>263</v>
      </c>
      <c r="E19949" t="s">
        <v>264</v>
      </c>
      <c r="F19949">
        <v>24.3</v>
      </c>
      <c r="G19949">
        <v>230206</v>
      </c>
      <c r="H19949">
        <v>4362</v>
      </c>
      <c r="I19949" t="s">
        <v>79</v>
      </c>
      <c r="J19949">
        <v>30.13</v>
      </c>
      <c r="K19949">
        <v>5.83</v>
      </c>
      <c r="L19949">
        <v>13401</v>
      </c>
      <c r="M19949" t="s">
        <v>80</v>
      </c>
      <c r="N19949" t="str">
        <f t="shared" si="263"/>
        <v xml:space="preserve">12306024772 </v>
      </c>
      <c r="O19949">
        <v>230209</v>
      </c>
    </row>
    <row r="19950" spans="1:15" x14ac:dyDescent="0.25">
      <c r="A19950" t="s">
        <v>16</v>
      </c>
      <c r="B19950" t="s">
        <v>3221</v>
      </c>
      <c r="C19950">
        <v>1574</v>
      </c>
      <c r="D19950" t="s">
        <v>263</v>
      </c>
      <c r="E19950" t="s">
        <v>264</v>
      </c>
      <c r="F19950">
        <v>10.5</v>
      </c>
      <c r="G19950">
        <v>230206</v>
      </c>
      <c r="H19950">
        <v>4362</v>
      </c>
      <c r="I19950" t="s">
        <v>79</v>
      </c>
      <c r="J19950">
        <v>13.02</v>
      </c>
      <c r="K19950">
        <v>2.52</v>
      </c>
      <c r="L19950">
        <v>13401</v>
      </c>
      <c r="M19950" t="s">
        <v>80</v>
      </c>
      <c r="N19950" t="str">
        <f t="shared" si="263"/>
        <v xml:space="preserve">12306024772 </v>
      </c>
      <c r="O19950">
        <v>230209</v>
      </c>
    </row>
    <row r="19951" spans="1:15" x14ac:dyDescent="0.25">
      <c r="A19951" t="s">
        <v>16</v>
      </c>
      <c r="B19951" t="s">
        <v>3221</v>
      </c>
      <c r="C19951">
        <v>1574</v>
      </c>
      <c r="D19951" t="s">
        <v>263</v>
      </c>
      <c r="E19951" t="s">
        <v>264</v>
      </c>
      <c r="F19951">
        <v>26.22</v>
      </c>
      <c r="G19951">
        <v>230206</v>
      </c>
      <c r="H19951">
        <v>4362</v>
      </c>
      <c r="I19951" t="s">
        <v>79</v>
      </c>
      <c r="J19951">
        <v>32.51</v>
      </c>
      <c r="K19951">
        <v>6.29</v>
      </c>
      <c r="L19951">
        <v>13501</v>
      </c>
      <c r="M19951" t="s">
        <v>20</v>
      </c>
      <c r="N19951" t="str">
        <f t="shared" si="263"/>
        <v xml:space="preserve">12306024772 </v>
      </c>
      <c r="O19951">
        <v>230209</v>
      </c>
    </row>
    <row r="19952" spans="1:15" x14ac:dyDescent="0.25">
      <c r="A19952" t="s">
        <v>16</v>
      </c>
      <c r="B19952" t="s">
        <v>3221</v>
      </c>
      <c r="C19952">
        <v>1574</v>
      </c>
      <c r="D19952" t="s">
        <v>263</v>
      </c>
      <c r="E19952" t="s">
        <v>264</v>
      </c>
      <c r="F19952">
        <v>2.7</v>
      </c>
      <c r="G19952">
        <v>230206</v>
      </c>
      <c r="H19952">
        <v>4362</v>
      </c>
      <c r="I19952" t="s">
        <v>79</v>
      </c>
      <c r="J19952">
        <v>3.35</v>
      </c>
      <c r="K19952">
        <v>0.65</v>
      </c>
      <c r="L19952">
        <v>13561</v>
      </c>
      <c r="M19952" t="s">
        <v>246</v>
      </c>
      <c r="N19952" t="str">
        <f t="shared" si="263"/>
        <v xml:space="preserve">12306024772 </v>
      </c>
      <c r="O19952">
        <v>230209</v>
      </c>
    </row>
    <row r="19953" spans="1:15" x14ac:dyDescent="0.25">
      <c r="A19953" t="s">
        <v>16</v>
      </c>
      <c r="B19953" t="s">
        <v>3221</v>
      </c>
      <c r="C19953">
        <v>1574</v>
      </c>
      <c r="D19953" t="s">
        <v>263</v>
      </c>
      <c r="E19953" t="s">
        <v>264</v>
      </c>
      <c r="F19953">
        <v>5.4</v>
      </c>
      <c r="G19953">
        <v>230206</v>
      </c>
      <c r="H19953">
        <v>4362</v>
      </c>
      <c r="I19953" t="s">
        <v>79</v>
      </c>
      <c r="J19953">
        <v>6.7</v>
      </c>
      <c r="K19953">
        <v>1.3</v>
      </c>
      <c r="L19953">
        <v>13561</v>
      </c>
      <c r="M19953" t="s">
        <v>246</v>
      </c>
      <c r="N19953" t="str">
        <f t="shared" si="263"/>
        <v xml:space="preserve">12306024772 </v>
      </c>
      <c r="O19953">
        <v>230209</v>
      </c>
    </row>
    <row r="19954" spans="1:15" x14ac:dyDescent="0.25">
      <c r="A19954" t="s">
        <v>16</v>
      </c>
      <c r="B19954" t="s">
        <v>3221</v>
      </c>
      <c r="C19954">
        <v>1574</v>
      </c>
      <c r="D19954" t="s">
        <v>263</v>
      </c>
      <c r="E19954" t="s">
        <v>264</v>
      </c>
      <c r="F19954">
        <v>7.4</v>
      </c>
      <c r="G19954">
        <v>230206</v>
      </c>
      <c r="H19954">
        <v>4362</v>
      </c>
      <c r="I19954" t="s">
        <v>79</v>
      </c>
      <c r="J19954">
        <v>9.17</v>
      </c>
      <c r="K19954">
        <v>1.77</v>
      </c>
      <c r="L19954">
        <v>13661</v>
      </c>
      <c r="M19954" t="s">
        <v>247</v>
      </c>
      <c r="N19954" t="str">
        <f t="shared" si="263"/>
        <v xml:space="preserve">12306024772 </v>
      </c>
      <c r="O19954">
        <v>230209</v>
      </c>
    </row>
    <row r="19955" spans="1:15" x14ac:dyDescent="0.25">
      <c r="A19955" t="s">
        <v>16</v>
      </c>
      <c r="B19955" t="s">
        <v>3221</v>
      </c>
      <c r="C19955">
        <v>1574</v>
      </c>
      <c r="D19955" t="s">
        <v>263</v>
      </c>
      <c r="E19955" t="s">
        <v>264</v>
      </c>
      <c r="F19955">
        <v>16.3</v>
      </c>
      <c r="G19955">
        <v>230206</v>
      </c>
      <c r="H19955">
        <v>4362</v>
      </c>
      <c r="I19955" t="s">
        <v>79</v>
      </c>
      <c r="J19955">
        <v>20.21</v>
      </c>
      <c r="K19955">
        <v>3.91</v>
      </c>
      <c r="L19955">
        <v>13801</v>
      </c>
      <c r="M19955" t="s">
        <v>162</v>
      </c>
      <c r="N19955" t="str">
        <f t="shared" si="263"/>
        <v xml:space="preserve">12306024772 </v>
      </c>
      <c r="O19955">
        <v>230209</v>
      </c>
    </row>
    <row r="19956" spans="1:15" x14ac:dyDescent="0.25">
      <c r="A19956" t="s">
        <v>16</v>
      </c>
      <c r="B19956" t="s">
        <v>3221</v>
      </c>
      <c r="C19956">
        <v>1574</v>
      </c>
      <c r="D19956" t="s">
        <v>263</v>
      </c>
      <c r="E19956" t="s">
        <v>264</v>
      </c>
      <c r="F19956">
        <v>18.48</v>
      </c>
      <c r="G19956">
        <v>230206</v>
      </c>
      <c r="H19956">
        <v>4362</v>
      </c>
      <c r="I19956" t="s">
        <v>79</v>
      </c>
      <c r="J19956">
        <v>22.91</v>
      </c>
      <c r="K19956">
        <v>4.43</v>
      </c>
      <c r="L19956">
        <v>13801</v>
      </c>
      <c r="M19956" t="s">
        <v>162</v>
      </c>
      <c r="N19956" t="str">
        <f t="shared" si="263"/>
        <v xml:space="preserve">12306024772 </v>
      </c>
      <c r="O19956">
        <v>230209</v>
      </c>
    </row>
    <row r="19957" spans="1:15" x14ac:dyDescent="0.25">
      <c r="A19957" t="s">
        <v>16</v>
      </c>
      <c r="B19957" t="s">
        <v>3221</v>
      </c>
      <c r="C19957">
        <v>1574</v>
      </c>
      <c r="D19957" t="s">
        <v>263</v>
      </c>
      <c r="E19957" t="s">
        <v>264</v>
      </c>
      <c r="F19957">
        <v>11.31</v>
      </c>
      <c r="G19957">
        <v>230206</v>
      </c>
      <c r="H19957">
        <v>4362</v>
      </c>
      <c r="I19957" t="s">
        <v>79</v>
      </c>
      <c r="J19957">
        <v>14.03</v>
      </c>
      <c r="K19957">
        <v>2.72</v>
      </c>
      <c r="L19957">
        <v>13802</v>
      </c>
      <c r="M19957" t="s">
        <v>200</v>
      </c>
      <c r="N19957" t="str">
        <f t="shared" si="263"/>
        <v xml:space="preserve">12306024772 </v>
      </c>
      <c r="O19957">
        <v>230209</v>
      </c>
    </row>
    <row r="19958" spans="1:15" x14ac:dyDescent="0.25">
      <c r="A19958" t="s">
        <v>16</v>
      </c>
      <c r="B19958" t="s">
        <v>3221</v>
      </c>
      <c r="C19958">
        <v>1574</v>
      </c>
      <c r="D19958" t="s">
        <v>263</v>
      </c>
      <c r="E19958" t="s">
        <v>264</v>
      </c>
      <c r="F19958">
        <v>2.84</v>
      </c>
      <c r="G19958">
        <v>230206</v>
      </c>
      <c r="H19958">
        <v>4362</v>
      </c>
      <c r="I19958" t="s">
        <v>79</v>
      </c>
      <c r="J19958">
        <v>3.52</v>
      </c>
      <c r="K19958">
        <v>0.68</v>
      </c>
      <c r="L19958">
        <v>17971</v>
      </c>
      <c r="M19958" t="s">
        <v>138</v>
      </c>
      <c r="N19958" t="str">
        <f t="shared" si="263"/>
        <v xml:space="preserve">12306024772 </v>
      </c>
      <c r="O19958">
        <v>230209</v>
      </c>
    </row>
    <row r="19959" spans="1:15" x14ac:dyDescent="0.25">
      <c r="A19959" t="s">
        <v>16</v>
      </c>
      <c r="B19959" t="s">
        <v>3221</v>
      </c>
      <c r="C19959">
        <v>1618</v>
      </c>
      <c r="D19959" t="s">
        <v>263</v>
      </c>
      <c r="E19959" t="s">
        <v>264</v>
      </c>
      <c r="F19959">
        <v>7.28</v>
      </c>
      <c r="G19959">
        <v>230206</v>
      </c>
      <c r="H19959">
        <v>4362</v>
      </c>
      <c r="I19959" t="s">
        <v>79</v>
      </c>
      <c r="J19959">
        <v>7.28</v>
      </c>
      <c r="K19959">
        <v>0</v>
      </c>
      <c r="L19959">
        <v>59702</v>
      </c>
      <c r="M19959" t="s">
        <v>328</v>
      </c>
      <c r="N19959" t="str">
        <f>"12306024749 "</f>
        <v xml:space="preserve">12306024749 </v>
      </c>
      <c r="O19959">
        <v>230210</v>
      </c>
    </row>
    <row r="19960" spans="1:15" x14ac:dyDescent="0.25">
      <c r="A19960" t="s">
        <v>16</v>
      </c>
      <c r="B19960" t="s">
        <v>3221</v>
      </c>
      <c r="C19960">
        <v>1618</v>
      </c>
      <c r="D19960" t="s">
        <v>263</v>
      </c>
      <c r="E19960" t="s">
        <v>264</v>
      </c>
      <c r="F19960">
        <v>13.6</v>
      </c>
      <c r="G19960">
        <v>230206</v>
      </c>
      <c r="H19960">
        <v>4362</v>
      </c>
      <c r="I19960" t="s">
        <v>79</v>
      </c>
      <c r="J19960">
        <v>16.87</v>
      </c>
      <c r="K19960">
        <v>3.27</v>
      </c>
      <c r="L19960">
        <v>59702</v>
      </c>
      <c r="M19960" t="s">
        <v>328</v>
      </c>
      <c r="N19960" t="str">
        <f>"12306024749 "</f>
        <v xml:space="preserve">12306024749 </v>
      </c>
      <c r="O19960">
        <v>230210</v>
      </c>
    </row>
    <row r="19961" spans="1:15" x14ac:dyDescent="0.25">
      <c r="A19961" t="s">
        <v>16</v>
      </c>
      <c r="B19961" t="s">
        <v>3221</v>
      </c>
      <c r="C19961">
        <v>1618</v>
      </c>
      <c r="D19961" t="s">
        <v>263</v>
      </c>
      <c r="E19961" t="s">
        <v>264</v>
      </c>
      <c r="F19961">
        <v>9.23</v>
      </c>
      <c r="G19961">
        <v>230206</v>
      </c>
      <c r="H19961">
        <v>4362</v>
      </c>
      <c r="I19961" t="s">
        <v>79</v>
      </c>
      <c r="J19961">
        <v>11.45</v>
      </c>
      <c r="K19961">
        <v>2.2200000000000002</v>
      </c>
      <c r="L19961">
        <v>59704</v>
      </c>
      <c r="M19961" t="s">
        <v>1103</v>
      </c>
      <c r="N19961" t="str">
        <f>"12306024749 "</f>
        <v xml:space="preserve">12306024749 </v>
      </c>
      <c r="O19961">
        <v>230210</v>
      </c>
    </row>
    <row r="19962" spans="1:15" x14ac:dyDescent="0.25">
      <c r="A19962" t="s">
        <v>16</v>
      </c>
      <c r="B19962" t="s">
        <v>3221</v>
      </c>
      <c r="C19962">
        <v>1619</v>
      </c>
      <c r="D19962" t="s">
        <v>263</v>
      </c>
      <c r="E19962" t="s">
        <v>264</v>
      </c>
      <c r="F19962">
        <v>2.77</v>
      </c>
      <c r="G19962">
        <v>230206</v>
      </c>
      <c r="H19962">
        <v>4362</v>
      </c>
      <c r="I19962" t="s">
        <v>79</v>
      </c>
      <c r="J19962">
        <v>3.44</v>
      </c>
      <c r="K19962">
        <v>0.67</v>
      </c>
      <c r="L19962">
        <v>41126</v>
      </c>
      <c r="M19962" t="s">
        <v>761</v>
      </c>
      <c r="N19962" t="str">
        <f t="shared" ref="N19962:N19967" si="264">"12306024766 "</f>
        <v xml:space="preserve">12306024766 </v>
      </c>
      <c r="O19962">
        <v>230210</v>
      </c>
    </row>
    <row r="19963" spans="1:15" x14ac:dyDescent="0.25">
      <c r="A19963" t="s">
        <v>16</v>
      </c>
      <c r="B19963" t="s">
        <v>3221</v>
      </c>
      <c r="C19963">
        <v>1619</v>
      </c>
      <c r="D19963" t="s">
        <v>263</v>
      </c>
      <c r="E19963" t="s">
        <v>264</v>
      </c>
      <c r="F19963">
        <v>2.14</v>
      </c>
      <c r="G19963">
        <v>230206</v>
      </c>
      <c r="H19963">
        <v>4362</v>
      </c>
      <c r="I19963" t="s">
        <v>79</v>
      </c>
      <c r="J19963">
        <v>2.65</v>
      </c>
      <c r="K19963">
        <v>0.51</v>
      </c>
      <c r="L19963">
        <v>43222</v>
      </c>
      <c r="M19963" t="s">
        <v>507</v>
      </c>
      <c r="N19963" t="str">
        <f t="shared" si="264"/>
        <v xml:space="preserve">12306024766 </v>
      </c>
      <c r="O19963">
        <v>230210</v>
      </c>
    </row>
    <row r="19964" spans="1:15" x14ac:dyDescent="0.25">
      <c r="A19964" t="s">
        <v>16</v>
      </c>
      <c r="B19964" t="s">
        <v>3221</v>
      </c>
      <c r="C19964">
        <v>1619</v>
      </c>
      <c r="D19964" t="s">
        <v>263</v>
      </c>
      <c r="E19964" t="s">
        <v>264</v>
      </c>
      <c r="F19964">
        <v>2.56</v>
      </c>
      <c r="G19964">
        <v>230206</v>
      </c>
      <c r="H19964">
        <v>4362</v>
      </c>
      <c r="I19964" t="s">
        <v>79</v>
      </c>
      <c r="J19964">
        <v>3.18</v>
      </c>
      <c r="K19964">
        <v>0.62</v>
      </c>
      <c r="L19964">
        <v>44222</v>
      </c>
      <c r="M19964" t="s">
        <v>232</v>
      </c>
      <c r="N19964" t="str">
        <f t="shared" si="264"/>
        <v xml:space="preserve">12306024766 </v>
      </c>
      <c r="O19964">
        <v>230210</v>
      </c>
    </row>
    <row r="19965" spans="1:15" x14ac:dyDescent="0.25">
      <c r="A19965" t="s">
        <v>16</v>
      </c>
      <c r="B19965" t="s">
        <v>3221</v>
      </c>
      <c r="C19965">
        <v>1619</v>
      </c>
      <c r="D19965" t="s">
        <v>263</v>
      </c>
      <c r="E19965" t="s">
        <v>264</v>
      </c>
      <c r="F19965">
        <v>2.77</v>
      </c>
      <c r="G19965">
        <v>230206</v>
      </c>
      <c r="H19965">
        <v>4362</v>
      </c>
      <c r="I19965" t="s">
        <v>79</v>
      </c>
      <c r="J19965">
        <v>3.44</v>
      </c>
      <c r="K19965">
        <v>0.67</v>
      </c>
      <c r="L19965">
        <v>44424</v>
      </c>
      <c r="M19965" t="s">
        <v>776</v>
      </c>
      <c r="N19965" t="str">
        <f t="shared" si="264"/>
        <v xml:space="preserve">12306024766 </v>
      </c>
      <c r="O19965">
        <v>230210</v>
      </c>
    </row>
    <row r="19966" spans="1:15" x14ac:dyDescent="0.25">
      <c r="A19966" t="s">
        <v>16</v>
      </c>
      <c r="B19966" t="s">
        <v>3221</v>
      </c>
      <c r="C19966">
        <v>1619</v>
      </c>
      <c r="D19966" t="s">
        <v>263</v>
      </c>
      <c r="E19966" t="s">
        <v>264</v>
      </c>
      <c r="F19966">
        <v>1.5</v>
      </c>
      <c r="G19966">
        <v>230206</v>
      </c>
      <c r="H19966">
        <v>4362</v>
      </c>
      <c r="I19966" t="s">
        <v>79</v>
      </c>
      <c r="J19966">
        <v>1.86</v>
      </c>
      <c r="K19966">
        <v>0.36</v>
      </c>
      <c r="L19966">
        <v>46222</v>
      </c>
      <c r="M19966" t="s">
        <v>293</v>
      </c>
      <c r="N19966" t="str">
        <f t="shared" si="264"/>
        <v xml:space="preserve">12306024766 </v>
      </c>
      <c r="O19966">
        <v>230210</v>
      </c>
    </row>
    <row r="19967" spans="1:15" x14ac:dyDescent="0.25">
      <c r="A19967" t="s">
        <v>16</v>
      </c>
      <c r="B19967" t="s">
        <v>3221</v>
      </c>
      <c r="C19967">
        <v>1619</v>
      </c>
      <c r="D19967" t="s">
        <v>263</v>
      </c>
      <c r="E19967" t="s">
        <v>264</v>
      </c>
      <c r="F19967">
        <v>9.61</v>
      </c>
      <c r="G19967">
        <v>230206</v>
      </c>
      <c r="H19967">
        <v>4362</v>
      </c>
      <c r="I19967" t="s">
        <v>79</v>
      </c>
      <c r="J19967">
        <v>11.92</v>
      </c>
      <c r="K19967">
        <v>2.31</v>
      </c>
      <c r="L19967">
        <v>46559</v>
      </c>
      <c r="M19967" t="s">
        <v>1104</v>
      </c>
      <c r="N19967" t="str">
        <f t="shared" si="264"/>
        <v xml:space="preserve">12306024766 </v>
      </c>
      <c r="O19967">
        <v>230210</v>
      </c>
    </row>
    <row r="19968" spans="1:15" x14ac:dyDescent="0.25">
      <c r="A19968" t="s">
        <v>16</v>
      </c>
      <c r="B19968" t="s">
        <v>3221</v>
      </c>
      <c r="C19968">
        <v>1620</v>
      </c>
      <c r="D19968" t="s">
        <v>263</v>
      </c>
      <c r="E19968" t="s">
        <v>264</v>
      </c>
      <c r="F19968">
        <v>5.4</v>
      </c>
      <c r="G19968">
        <v>230206</v>
      </c>
      <c r="H19968">
        <v>4362</v>
      </c>
      <c r="I19968" t="s">
        <v>79</v>
      </c>
      <c r="J19968">
        <v>6.7</v>
      </c>
      <c r="K19968">
        <v>1.3</v>
      </c>
      <c r="L19968">
        <v>43222</v>
      </c>
      <c r="M19968" t="s">
        <v>507</v>
      </c>
      <c r="N19968" t="str">
        <f t="shared" ref="N19968:N19973" si="265">"12306024760 "</f>
        <v xml:space="preserve">12306024760 </v>
      </c>
      <c r="O19968">
        <v>230210</v>
      </c>
    </row>
    <row r="19969" spans="1:15" x14ac:dyDescent="0.25">
      <c r="A19969" t="s">
        <v>16</v>
      </c>
      <c r="B19969" t="s">
        <v>3221</v>
      </c>
      <c r="C19969">
        <v>1620</v>
      </c>
      <c r="D19969" t="s">
        <v>263</v>
      </c>
      <c r="E19969" t="s">
        <v>264</v>
      </c>
      <c r="F19969">
        <v>8.75</v>
      </c>
      <c r="G19969">
        <v>230206</v>
      </c>
      <c r="H19969">
        <v>4362</v>
      </c>
      <c r="I19969" t="s">
        <v>79</v>
      </c>
      <c r="J19969">
        <v>10.85</v>
      </c>
      <c r="K19969">
        <v>2.1</v>
      </c>
      <c r="L19969">
        <v>44422</v>
      </c>
      <c r="M19969" t="s">
        <v>482</v>
      </c>
      <c r="N19969" t="str">
        <f t="shared" si="265"/>
        <v xml:space="preserve">12306024760 </v>
      </c>
      <c r="O19969">
        <v>230210</v>
      </c>
    </row>
    <row r="19970" spans="1:15" x14ac:dyDescent="0.25">
      <c r="A19970" t="s">
        <v>16</v>
      </c>
      <c r="B19970" t="s">
        <v>3221</v>
      </c>
      <c r="C19970">
        <v>1620</v>
      </c>
      <c r="D19970" t="s">
        <v>263</v>
      </c>
      <c r="E19970" t="s">
        <v>264</v>
      </c>
      <c r="F19970">
        <v>5.4</v>
      </c>
      <c r="G19970">
        <v>230206</v>
      </c>
      <c r="H19970">
        <v>4362</v>
      </c>
      <c r="I19970" t="s">
        <v>79</v>
      </c>
      <c r="J19970">
        <v>6.7</v>
      </c>
      <c r="K19970">
        <v>1.3</v>
      </c>
      <c r="L19970">
        <v>44423</v>
      </c>
      <c r="M19970" t="s">
        <v>502</v>
      </c>
      <c r="N19970" t="str">
        <f t="shared" si="265"/>
        <v xml:space="preserve">12306024760 </v>
      </c>
      <c r="O19970">
        <v>230210</v>
      </c>
    </row>
    <row r="19971" spans="1:15" x14ac:dyDescent="0.25">
      <c r="A19971" t="s">
        <v>16</v>
      </c>
      <c r="B19971" t="s">
        <v>3221</v>
      </c>
      <c r="C19971">
        <v>1620</v>
      </c>
      <c r="D19971" t="s">
        <v>263</v>
      </c>
      <c r="E19971" t="s">
        <v>264</v>
      </c>
      <c r="F19971">
        <v>2.69</v>
      </c>
      <c r="G19971">
        <v>230206</v>
      </c>
      <c r="H19971">
        <v>4362</v>
      </c>
      <c r="I19971" t="s">
        <v>79</v>
      </c>
      <c r="J19971">
        <v>3.34</v>
      </c>
      <c r="K19971">
        <v>0.65</v>
      </c>
      <c r="L19971">
        <v>44453</v>
      </c>
      <c r="M19971" t="s">
        <v>492</v>
      </c>
      <c r="N19971" t="str">
        <f t="shared" si="265"/>
        <v xml:space="preserve">12306024760 </v>
      </c>
      <c r="O19971">
        <v>230210</v>
      </c>
    </row>
    <row r="19972" spans="1:15" x14ac:dyDescent="0.25">
      <c r="A19972" t="s">
        <v>16</v>
      </c>
      <c r="B19972" t="s">
        <v>3221</v>
      </c>
      <c r="C19972">
        <v>1620</v>
      </c>
      <c r="D19972" t="s">
        <v>263</v>
      </c>
      <c r="E19972" t="s">
        <v>264</v>
      </c>
      <c r="F19972">
        <v>2.7</v>
      </c>
      <c r="G19972">
        <v>230206</v>
      </c>
      <c r="H19972">
        <v>4362</v>
      </c>
      <c r="I19972" t="s">
        <v>79</v>
      </c>
      <c r="J19972">
        <v>3.35</v>
      </c>
      <c r="K19972">
        <v>0.65</v>
      </c>
      <c r="L19972">
        <v>48601</v>
      </c>
      <c r="M19972" t="s">
        <v>1047</v>
      </c>
      <c r="N19972" t="str">
        <f t="shared" si="265"/>
        <v xml:space="preserve">12306024760 </v>
      </c>
      <c r="O19972">
        <v>230210</v>
      </c>
    </row>
    <row r="19973" spans="1:15" x14ac:dyDescent="0.25">
      <c r="A19973" t="s">
        <v>16</v>
      </c>
      <c r="B19973" t="s">
        <v>3221</v>
      </c>
      <c r="C19973">
        <v>1620</v>
      </c>
      <c r="D19973" t="s">
        <v>263</v>
      </c>
      <c r="E19973" t="s">
        <v>264</v>
      </c>
      <c r="F19973">
        <v>76.3</v>
      </c>
      <c r="G19973">
        <v>230206</v>
      </c>
      <c r="H19973">
        <v>4362</v>
      </c>
      <c r="I19973" t="s">
        <v>79</v>
      </c>
      <c r="J19973">
        <v>76.3</v>
      </c>
      <c r="K19973">
        <v>0</v>
      </c>
      <c r="L19973">
        <v>49702</v>
      </c>
      <c r="M19973" t="s">
        <v>584</v>
      </c>
      <c r="N19973" t="str">
        <f t="shared" si="265"/>
        <v xml:space="preserve">12306024760 </v>
      </c>
      <c r="O19973">
        <v>230210</v>
      </c>
    </row>
    <row r="19974" spans="1:15" x14ac:dyDescent="0.25">
      <c r="A19974" t="s">
        <v>16</v>
      </c>
      <c r="B19974" t="s">
        <v>3221</v>
      </c>
      <c r="C19974">
        <v>1621</v>
      </c>
      <c r="D19974" t="s">
        <v>263</v>
      </c>
      <c r="E19974" t="s">
        <v>264</v>
      </c>
      <c r="F19974">
        <v>2.7</v>
      </c>
      <c r="G19974">
        <v>230206</v>
      </c>
      <c r="H19974">
        <v>4362</v>
      </c>
      <c r="I19974" t="s">
        <v>79</v>
      </c>
      <c r="J19974">
        <v>3.35</v>
      </c>
      <c r="K19974">
        <v>0.65</v>
      </c>
      <c r="L19974">
        <v>11301</v>
      </c>
      <c r="M19974" t="s">
        <v>29</v>
      </c>
      <c r="N19974" t="str">
        <f t="shared" ref="N19974:N19983" si="266">"12306024752 "</f>
        <v xml:space="preserve">12306024752 </v>
      </c>
      <c r="O19974">
        <v>230210</v>
      </c>
    </row>
    <row r="19975" spans="1:15" x14ac:dyDescent="0.25">
      <c r="A19975" t="s">
        <v>16</v>
      </c>
      <c r="B19975" t="s">
        <v>3221</v>
      </c>
      <c r="C19975">
        <v>1621</v>
      </c>
      <c r="D19975" t="s">
        <v>263</v>
      </c>
      <c r="E19975" t="s">
        <v>264</v>
      </c>
      <c r="F19975">
        <v>5.25</v>
      </c>
      <c r="G19975">
        <v>230206</v>
      </c>
      <c r="H19975">
        <v>4362</v>
      </c>
      <c r="I19975" t="s">
        <v>79</v>
      </c>
      <c r="J19975">
        <v>6.51</v>
      </c>
      <c r="K19975">
        <v>1.26</v>
      </c>
      <c r="L19975">
        <v>11301</v>
      </c>
      <c r="M19975" t="s">
        <v>29</v>
      </c>
      <c r="N19975" t="str">
        <f t="shared" si="266"/>
        <v xml:space="preserve">12306024752 </v>
      </c>
      <c r="O19975">
        <v>230210</v>
      </c>
    </row>
    <row r="19976" spans="1:15" x14ac:dyDescent="0.25">
      <c r="A19976" t="s">
        <v>16</v>
      </c>
      <c r="B19976" t="s">
        <v>3221</v>
      </c>
      <c r="C19976">
        <v>1621</v>
      </c>
      <c r="D19976" t="s">
        <v>263</v>
      </c>
      <c r="E19976" t="s">
        <v>264</v>
      </c>
      <c r="F19976">
        <v>3.38</v>
      </c>
      <c r="G19976">
        <v>230206</v>
      </c>
      <c r="H19976">
        <v>4362</v>
      </c>
      <c r="I19976" t="s">
        <v>79</v>
      </c>
      <c r="J19976">
        <v>4.1900000000000004</v>
      </c>
      <c r="K19976">
        <v>0.81</v>
      </c>
      <c r="L19976">
        <v>11900</v>
      </c>
      <c r="M19976" t="s">
        <v>1105</v>
      </c>
      <c r="N19976" t="str">
        <f t="shared" si="266"/>
        <v xml:space="preserve">12306024752 </v>
      </c>
      <c r="O19976">
        <v>230210</v>
      </c>
    </row>
    <row r="19977" spans="1:15" x14ac:dyDescent="0.25">
      <c r="A19977" t="s">
        <v>16</v>
      </c>
      <c r="B19977" t="s">
        <v>3221</v>
      </c>
      <c r="C19977">
        <v>1621</v>
      </c>
      <c r="D19977" t="s">
        <v>263</v>
      </c>
      <c r="E19977" t="s">
        <v>264</v>
      </c>
      <c r="F19977">
        <v>8.1</v>
      </c>
      <c r="G19977">
        <v>230206</v>
      </c>
      <c r="H19977">
        <v>4362</v>
      </c>
      <c r="I19977" t="s">
        <v>79</v>
      </c>
      <c r="J19977">
        <v>10.039999999999999</v>
      </c>
      <c r="K19977">
        <v>1.94</v>
      </c>
      <c r="L19977">
        <v>11901</v>
      </c>
      <c r="M19977" t="s">
        <v>36</v>
      </c>
      <c r="N19977" t="str">
        <f t="shared" si="266"/>
        <v xml:space="preserve">12306024752 </v>
      </c>
      <c r="O19977">
        <v>230210</v>
      </c>
    </row>
    <row r="19978" spans="1:15" x14ac:dyDescent="0.25">
      <c r="A19978" t="s">
        <v>16</v>
      </c>
      <c r="B19978" t="s">
        <v>3221</v>
      </c>
      <c r="C19978">
        <v>1621</v>
      </c>
      <c r="D19978" t="s">
        <v>263</v>
      </c>
      <c r="E19978" t="s">
        <v>264</v>
      </c>
      <c r="F19978">
        <v>13.51</v>
      </c>
      <c r="G19978">
        <v>230206</v>
      </c>
      <c r="H19978">
        <v>4362</v>
      </c>
      <c r="I19978" t="s">
        <v>79</v>
      </c>
      <c r="J19978">
        <v>13.51</v>
      </c>
      <c r="K19978">
        <v>0</v>
      </c>
      <c r="L19978">
        <v>11901</v>
      </c>
      <c r="M19978" t="s">
        <v>36</v>
      </c>
      <c r="N19978" t="str">
        <f t="shared" si="266"/>
        <v xml:space="preserve">12306024752 </v>
      </c>
      <c r="O19978">
        <v>230210</v>
      </c>
    </row>
    <row r="19979" spans="1:15" x14ac:dyDescent="0.25">
      <c r="A19979" t="s">
        <v>16</v>
      </c>
      <c r="B19979" t="s">
        <v>3221</v>
      </c>
      <c r="C19979">
        <v>1621</v>
      </c>
      <c r="D19979" t="s">
        <v>263</v>
      </c>
      <c r="E19979" t="s">
        <v>264</v>
      </c>
      <c r="F19979">
        <v>5.4</v>
      </c>
      <c r="G19979">
        <v>230206</v>
      </c>
      <c r="H19979">
        <v>4362</v>
      </c>
      <c r="I19979" t="s">
        <v>79</v>
      </c>
      <c r="J19979">
        <v>6.7</v>
      </c>
      <c r="K19979">
        <v>1.3</v>
      </c>
      <c r="L19979">
        <v>11903</v>
      </c>
      <c r="M19979" t="s">
        <v>406</v>
      </c>
      <c r="N19979" t="str">
        <f t="shared" si="266"/>
        <v xml:space="preserve">12306024752 </v>
      </c>
      <c r="O19979">
        <v>230210</v>
      </c>
    </row>
    <row r="19980" spans="1:15" x14ac:dyDescent="0.25">
      <c r="A19980" t="s">
        <v>16</v>
      </c>
      <c r="B19980" t="s">
        <v>3221</v>
      </c>
      <c r="C19980">
        <v>1621</v>
      </c>
      <c r="D19980" t="s">
        <v>263</v>
      </c>
      <c r="E19980" t="s">
        <v>264</v>
      </c>
      <c r="F19980">
        <v>6.34</v>
      </c>
      <c r="G19980">
        <v>230206</v>
      </c>
      <c r="H19980">
        <v>4362</v>
      </c>
      <c r="I19980" t="s">
        <v>79</v>
      </c>
      <c r="J19980">
        <v>7.86</v>
      </c>
      <c r="K19980">
        <v>1.52</v>
      </c>
      <c r="L19980">
        <v>11905</v>
      </c>
      <c r="M19980" t="s">
        <v>39</v>
      </c>
      <c r="N19980" t="str">
        <f t="shared" si="266"/>
        <v xml:space="preserve">12306024752 </v>
      </c>
      <c r="O19980">
        <v>230210</v>
      </c>
    </row>
    <row r="19981" spans="1:15" x14ac:dyDescent="0.25">
      <c r="A19981" t="s">
        <v>16</v>
      </c>
      <c r="B19981" t="s">
        <v>3221</v>
      </c>
      <c r="C19981">
        <v>1621</v>
      </c>
      <c r="D19981" t="s">
        <v>263</v>
      </c>
      <c r="E19981" t="s">
        <v>264</v>
      </c>
      <c r="F19981">
        <v>14.1</v>
      </c>
      <c r="G19981">
        <v>230206</v>
      </c>
      <c r="H19981">
        <v>4362</v>
      </c>
      <c r="I19981" t="s">
        <v>79</v>
      </c>
      <c r="J19981">
        <v>17.48</v>
      </c>
      <c r="K19981">
        <v>3.38</v>
      </c>
      <c r="L19981">
        <v>11908</v>
      </c>
      <c r="M19981" t="s">
        <v>598</v>
      </c>
      <c r="N19981" t="str">
        <f t="shared" si="266"/>
        <v xml:space="preserve">12306024752 </v>
      </c>
      <c r="O19981">
        <v>230210</v>
      </c>
    </row>
    <row r="19982" spans="1:15" x14ac:dyDescent="0.25">
      <c r="A19982" t="s">
        <v>16</v>
      </c>
      <c r="B19982" t="s">
        <v>3221</v>
      </c>
      <c r="C19982">
        <v>1621</v>
      </c>
      <c r="D19982" t="s">
        <v>263</v>
      </c>
      <c r="E19982" t="s">
        <v>264</v>
      </c>
      <c r="F19982">
        <v>2.7</v>
      </c>
      <c r="G19982">
        <v>230206</v>
      </c>
      <c r="H19982">
        <v>4362</v>
      </c>
      <c r="I19982" t="s">
        <v>79</v>
      </c>
      <c r="J19982">
        <v>3.35</v>
      </c>
      <c r="K19982">
        <v>0.65</v>
      </c>
      <c r="L19982">
        <v>13501</v>
      </c>
      <c r="M19982" t="s">
        <v>20</v>
      </c>
      <c r="N19982" t="str">
        <f t="shared" si="266"/>
        <v xml:space="preserve">12306024752 </v>
      </c>
      <c r="O19982">
        <v>230210</v>
      </c>
    </row>
    <row r="19983" spans="1:15" x14ac:dyDescent="0.25">
      <c r="A19983" t="s">
        <v>16</v>
      </c>
      <c r="B19983" t="s">
        <v>3221</v>
      </c>
      <c r="C19983">
        <v>1621</v>
      </c>
      <c r="D19983" t="s">
        <v>263</v>
      </c>
      <c r="E19983" t="s">
        <v>264</v>
      </c>
      <c r="F19983">
        <v>2.7</v>
      </c>
      <c r="G19983">
        <v>230206</v>
      </c>
      <c r="H19983">
        <v>4362</v>
      </c>
      <c r="I19983" t="s">
        <v>79</v>
      </c>
      <c r="J19983">
        <v>3.35</v>
      </c>
      <c r="K19983">
        <v>0.65</v>
      </c>
      <c r="L19983">
        <v>18991</v>
      </c>
      <c r="M19983" t="s">
        <v>1106</v>
      </c>
      <c r="N19983" t="str">
        <f t="shared" si="266"/>
        <v xml:space="preserve">12306024752 </v>
      </c>
      <c r="O19983">
        <v>230210</v>
      </c>
    </row>
    <row r="19984" spans="1:15" x14ac:dyDescent="0.25">
      <c r="A19984" t="s">
        <v>16</v>
      </c>
      <c r="B19984" t="s">
        <v>3221</v>
      </c>
      <c r="C19984">
        <v>1720</v>
      </c>
      <c r="D19984" t="s">
        <v>263</v>
      </c>
      <c r="E19984" t="s">
        <v>264</v>
      </c>
      <c r="F19984">
        <v>2.7</v>
      </c>
      <c r="G19984">
        <v>230206</v>
      </c>
      <c r="H19984">
        <v>4362</v>
      </c>
      <c r="I19984" t="s">
        <v>79</v>
      </c>
      <c r="J19984">
        <v>3.35</v>
      </c>
      <c r="K19984">
        <v>0.65</v>
      </c>
      <c r="L19984">
        <v>51138</v>
      </c>
      <c r="M19984" t="s">
        <v>1162</v>
      </c>
      <c r="N19984" t="str">
        <f t="shared" ref="N19984:N19991" si="267">"12306024751 "</f>
        <v xml:space="preserve">12306024751 </v>
      </c>
      <c r="O19984">
        <v>230213</v>
      </c>
    </row>
    <row r="19985" spans="1:15" x14ac:dyDescent="0.25">
      <c r="A19985" t="s">
        <v>16</v>
      </c>
      <c r="B19985" t="s">
        <v>3221</v>
      </c>
      <c r="C19985">
        <v>1720</v>
      </c>
      <c r="D19985" t="s">
        <v>263</v>
      </c>
      <c r="E19985" t="s">
        <v>264</v>
      </c>
      <c r="F19985">
        <v>16.41</v>
      </c>
      <c r="G19985">
        <v>230206</v>
      </c>
      <c r="H19985">
        <v>4362</v>
      </c>
      <c r="I19985" t="s">
        <v>79</v>
      </c>
      <c r="J19985">
        <v>20.350000000000001</v>
      </c>
      <c r="K19985">
        <v>3.94</v>
      </c>
      <c r="L19985">
        <v>54222</v>
      </c>
      <c r="M19985" t="s">
        <v>308</v>
      </c>
      <c r="N19985" t="str">
        <f t="shared" si="267"/>
        <v xml:space="preserve">12306024751 </v>
      </c>
      <c r="O19985">
        <v>230213</v>
      </c>
    </row>
    <row r="19986" spans="1:15" x14ac:dyDescent="0.25">
      <c r="A19986" t="s">
        <v>16</v>
      </c>
      <c r="B19986" t="s">
        <v>3221</v>
      </c>
      <c r="C19986">
        <v>1720</v>
      </c>
      <c r="D19986" t="s">
        <v>263</v>
      </c>
      <c r="E19986" t="s">
        <v>264</v>
      </c>
      <c r="F19986">
        <v>2.7</v>
      </c>
      <c r="G19986">
        <v>230206</v>
      </c>
      <c r="H19986">
        <v>4362</v>
      </c>
      <c r="I19986" t="s">
        <v>79</v>
      </c>
      <c r="J19986">
        <v>3.35</v>
      </c>
      <c r="K19986">
        <v>0.65</v>
      </c>
      <c r="L19986">
        <v>54251</v>
      </c>
      <c r="M19986" t="s">
        <v>309</v>
      </c>
      <c r="N19986" t="str">
        <f t="shared" si="267"/>
        <v xml:space="preserve">12306024751 </v>
      </c>
      <c r="O19986">
        <v>230213</v>
      </c>
    </row>
    <row r="19987" spans="1:15" x14ac:dyDescent="0.25">
      <c r="A19987" t="s">
        <v>16</v>
      </c>
      <c r="B19987" t="s">
        <v>3221</v>
      </c>
      <c r="C19987">
        <v>1720</v>
      </c>
      <c r="D19987" t="s">
        <v>263</v>
      </c>
      <c r="E19987" t="s">
        <v>264</v>
      </c>
      <c r="F19987">
        <v>2.7</v>
      </c>
      <c r="G19987">
        <v>230206</v>
      </c>
      <c r="H19987">
        <v>4362</v>
      </c>
      <c r="I19987" t="s">
        <v>79</v>
      </c>
      <c r="J19987">
        <v>3.35</v>
      </c>
      <c r="K19987">
        <v>0.65</v>
      </c>
      <c r="L19987">
        <v>54252</v>
      </c>
      <c r="M19987" t="s">
        <v>534</v>
      </c>
      <c r="N19987" t="str">
        <f t="shared" si="267"/>
        <v xml:space="preserve">12306024751 </v>
      </c>
      <c r="O19987">
        <v>230213</v>
      </c>
    </row>
    <row r="19988" spans="1:15" x14ac:dyDescent="0.25">
      <c r="A19988" t="s">
        <v>16</v>
      </c>
      <c r="B19988" t="s">
        <v>3221</v>
      </c>
      <c r="C19988">
        <v>1720</v>
      </c>
      <c r="D19988" t="s">
        <v>263</v>
      </c>
      <c r="E19988" t="s">
        <v>264</v>
      </c>
      <c r="F19988">
        <v>12.58</v>
      </c>
      <c r="G19988">
        <v>230206</v>
      </c>
      <c r="H19988">
        <v>4362</v>
      </c>
      <c r="I19988" t="s">
        <v>79</v>
      </c>
      <c r="J19988">
        <v>15.6</v>
      </c>
      <c r="K19988">
        <v>3.02</v>
      </c>
      <c r="L19988">
        <v>54422</v>
      </c>
      <c r="M19988" t="s">
        <v>234</v>
      </c>
      <c r="N19988" t="str">
        <f t="shared" si="267"/>
        <v xml:space="preserve">12306024751 </v>
      </c>
      <c r="O19988">
        <v>230213</v>
      </c>
    </row>
    <row r="19989" spans="1:15" x14ac:dyDescent="0.25">
      <c r="A19989" t="s">
        <v>16</v>
      </c>
      <c r="B19989" t="s">
        <v>3221</v>
      </c>
      <c r="C19989">
        <v>1720</v>
      </c>
      <c r="D19989" t="s">
        <v>263</v>
      </c>
      <c r="E19989" t="s">
        <v>264</v>
      </c>
      <c r="F19989">
        <v>5.4</v>
      </c>
      <c r="G19989">
        <v>230206</v>
      </c>
      <c r="H19989">
        <v>4362</v>
      </c>
      <c r="I19989" t="s">
        <v>79</v>
      </c>
      <c r="J19989">
        <v>6.7</v>
      </c>
      <c r="K19989">
        <v>1.3</v>
      </c>
      <c r="L19989">
        <v>54451</v>
      </c>
      <c r="M19989" t="s">
        <v>158</v>
      </c>
      <c r="N19989" t="str">
        <f t="shared" si="267"/>
        <v xml:space="preserve">12306024751 </v>
      </c>
      <c r="O19989">
        <v>230213</v>
      </c>
    </row>
    <row r="19990" spans="1:15" x14ac:dyDescent="0.25">
      <c r="A19990" t="s">
        <v>16</v>
      </c>
      <c r="B19990" t="s">
        <v>3221</v>
      </c>
      <c r="C19990">
        <v>1720</v>
      </c>
      <c r="D19990" t="s">
        <v>263</v>
      </c>
      <c r="E19990" t="s">
        <v>264</v>
      </c>
      <c r="F19990">
        <v>5.4</v>
      </c>
      <c r="G19990">
        <v>230206</v>
      </c>
      <c r="H19990">
        <v>4362</v>
      </c>
      <c r="I19990" t="s">
        <v>79</v>
      </c>
      <c r="J19990">
        <v>6.7</v>
      </c>
      <c r="K19990">
        <v>1.3</v>
      </c>
      <c r="L19990">
        <v>56563</v>
      </c>
      <c r="M19990" t="s">
        <v>953</v>
      </c>
      <c r="N19990" t="str">
        <f t="shared" si="267"/>
        <v xml:space="preserve">12306024751 </v>
      </c>
      <c r="O19990">
        <v>230213</v>
      </c>
    </row>
    <row r="19991" spans="1:15" x14ac:dyDescent="0.25">
      <c r="A19991" t="s">
        <v>16</v>
      </c>
      <c r="B19991" t="s">
        <v>3221</v>
      </c>
      <c r="C19991">
        <v>1720</v>
      </c>
      <c r="D19991" t="s">
        <v>263</v>
      </c>
      <c r="E19991" t="s">
        <v>264</v>
      </c>
      <c r="F19991">
        <v>3.63</v>
      </c>
      <c r="G19991">
        <v>230206</v>
      </c>
      <c r="H19991">
        <v>4362</v>
      </c>
      <c r="I19991" t="s">
        <v>79</v>
      </c>
      <c r="J19991">
        <v>4.5</v>
      </c>
      <c r="K19991">
        <v>0.87</v>
      </c>
      <c r="L19991">
        <v>58601</v>
      </c>
      <c r="M19991" t="s">
        <v>251</v>
      </c>
      <c r="N19991" t="str">
        <f t="shared" si="267"/>
        <v xml:space="preserve">12306024751 </v>
      </c>
      <c r="O19991">
        <v>230213</v>
      </c>
    </row>
    <row r="19992" spans="1:15" x14ac:dyDescent="0.25">
      <c r="A19992" t="s">
        <v>16</v>
      </c>
      <c r="B19992" t="s">
        <v>3221</v>
      </c>
      <c r="C19992">
        <v>1726</v>
      </c>
      <c r="D19992" t="s">
        <v>263</v>
      </c>
      <c r="E19992" t="s">
        <v>264</v>
      </c>
      <c r="F19992">
        <v>2.2400000000000002</v>
      </c>
      <c r="G19992">
        <v>230206</v>
      </c>
      <c r="H19992">
        <v>4362</v>
      </c>
      <c r="I19992" t="s">
        <v>79</v>
      </c>
      <c r="J19992">
        <v>2.78</v>
      </c>
      <c r="K19992">
        <v>0.54</v>
      </c>
      <c r="L19992">
        <v>51147</v>
      </c>
      <c r="M19992" t="s">
        <v>1167</v>
      </c>
      <c r="N19992" t="str">
        <f>"12306024777 "</f>
        <v xml:space="preserve">12306024777 </v>
      </c>
      <c r="O19992">
        <v>230213</v>
      </c>
    </row>
    <row r="19993" spans="1:15" x14ac:dyDescent="0.25">
      <c r="A19993" t="s">
        <v>16</v>
      </c>
      <c r="B19993" t="s">
        <v>3221</v>
      </c>
      <c r="C19993">
        <v>1726</v>
      </c>
      <c r="D19993" t="s">
        <v>263</v>
      </c>
      <c r="E19993" t="s">
        <v>264</v>
      </c>
      <c r="F19993">
        <v>2.44</v>
      </c>
      <c r="G19993">
        <v>230206</v>
      </c>
      <c r="H19993">
        <v>4362</v>
      </c>
      <c r="I19993" t="s">
        <v>79</v>
      </c>
      <c r="J19993">
        <v>3.03</v>
      </c>
      <c r="K19993">
        <v>0.59</v>
      </c>
      <c r="L19993">
        <v>53222</v>
      </c>
      <c r="M19993" t="s">
        <v>445</v>
      </c>
      <c r="N19993" t="str">
        <f>"12306024777 "</f>
        <v xml:space="preserve">12306024777 </v>
      </c>
      <c r="O19993">
        <v>230213</v>
      </c>
    </row>
    <row r="19994" spans="1:15" x14ac:dyDescent="0.25">
      <c r="A19994" t="s">
        <v>16</v>
      </c>
      <c r="B19994" t="s">
        <v>3221</v>
      </c>
      <c r="C19994">
        <v>1726</v>
      </c>
      <c r="D19994" t="s">
        <v>263</v>
      </c>
      <c r="E19994" t="s">
        <v>264</v>
      </c>
      <c r="F19994">
        <v>13.83</v>
      </c>
      <c r="G19994">
        <v>230206</v>
      </c>
      <c r="H19994">
        <v>4362</v>
      </c>
      <c r="I19994" t="s">
        <v>79</v>
      </c>
      <c r="J19994">
        <v>17.149999999999999</v>
      </c>
      <c r="K19994">
        <v>3.32</v>
      </c>
      <c r="L19994">
        <v>53222</v>
      </c>
      <c r="M19994" t="s">
        <v>445</v>
      </c>
      <c r="N19994" t="str">
        <f>"12306024777 "</f>
        <v xml:space="preserve">12306024777 </v>
      </c>
      <c r="O19994">
        <v>230213</v>
      </c>
    </row>
    <row r="19995" spans="1:15" x14ac:dyDescent="0.25">
      <c r="A19995" t="s">
        <v>16</v>
      </c>
      <c r="B19995" t="s">
        <v>3221</v>
      </c>
      <c r="C19995">
        <v>1726</v>
      </c>
      <c r="D19995" t="s">
        <v>263</v>
      </c>
      <c r="E19995" t="s">
        <v>264</v>
      </c>
      <c r="F19995">
        <v>2.25</v>
      </c>
      <c r="G19995">
        <v>230206</v>
      </c>
      <c r="H19995">
        <v>4362</v>
      </c>
      <c r="I19995" t="s">
        <v>79</v>
      </c>
      <c r="J19995">
        <v>2.79</v>
      </c>
      <c r="K19995">
        <v>0.54</v>
      </c>
      <c r="L19995">
        <v>54622</v>
      </c>
      <c r="M19995" t="s">
        <v>872</v>
      </c>
      <c r="N19995" t="str">
        <f>"12306024777 "</f>
        <v xml:space="preserve">12306024777 </v>
      </c>
      <c r="O19995">
        <v>230213</v>
      </c>
    </row>
    <row r="19996" spans="1:15" x14ac:dyDescent="0.25">
      <c r="A19996" t="s">
        <v>16</v>
      </c>
      <c r="B19996" t="s">
        <v>3221</v>
      </c>
      <c r="C19996">
        <v>1726</v>
      </c>
      <c r="D19996" t="s">
        <v>263</v>
      </c>
      <c r="E19996" t="s">
        <v>264</v>
      </c>
      <c r="F19996">
        <v>3.44</v>
      </c>
      <c r="G19996">
        <v>230206</v>
      </c>
      <c r="H19996">
        <v>4362</v>
      </c>
      <c r="I19996" t="s">
        <v>79</v>
      </c>
      <c r="J19996">
        <v>4.2699999999999996</v>
      </c>
      <c r="K19996">
        <v>0.83</v>
      </c>
      <c r="L19996">
        <v>55222</v>
      </c>
      <c r="M19996" t="s">
        <v>873</v>
      </c>
      <c r="N19996" t="str">
        <f>"12306024777 "</f>
        <v xml:space="preserve">12306024777 </v>
      </c>
      <c r="O19996">
        <v>230213</v>
      </c>
    </row>
    <row r="19997" spans="1:15" x14ac:dyDescent="0.25">
      <c r="A19997" t="s">
        <v>16</v>
      </c>
      <c r="B19997" t="s">
        <v>3221</v>
      </c>
      <c r="C19997">
        <v>1739</v>
      </c>
      <c r="D19997" t="s">
        <v>263</v>
      </c>
      <c r="E19997" t="s">
        <v>264</v>
      </c>
      <c r="F19997">
        <v>21.19</v>
      </c>
      <c r="G19997">
        <v>230206</v>
      </c>
      <c r="H19997">
        <v>4362</v>
      </c>
      <c r="I19997" t="s">
        <v>79</v>
      </c>
      <c r="J19997">
        <v>26.27</v>
      </c>
      <c r="K19997">
        <v>5.08</v>
      </c>
      <c r="L19997">
        <v>16121</v>
      </c>
      <c r="M19997" t="s">
        <v>21</v>
      </c>
      <c r="N19997" t="str">
        <f t="shared" ref="N19997:N20006" si="268">"12306024771 "</f>
        <v xml:space="preserve">12306024771 </v>
      </c>
      <c r="O19997">
        <v>230213</v>
      </c>
    </row>
    <row r="19998" spans="1:15" x14ac:dyDescent="0.25">
      <c r="A19998" t="s">
        <v>16</v>
      </c>
      <c r="B19998" t="s">
        <v>3221</v>
      </c>
      <c r="C19998">
        <v>1739</v>
      </c>
      <c r="D19998" t="s">
        <v>263</v>
      </c>
      <c r="E19998" t="s">
        <v>264</v>
      </c>
      <c r="F19998">
        <v>5.87</v>
      </c>
      <c r="G19998">
        <v>230206</v>
      </c>
      <c r="H19998">
        <v>4362</v>
      </c>
      <c r="I19998" t="s">
        <v>79</v>
      </c>
      <c r="J19998">
        <v>7.28</v>
      </c>
      <c r="K19998">
        <v>1.41</v>
      </c>
      <c r="L19998">
        <v>16322</v>
      </c>
      <c r="M19998" t="s">
        <v>22</v>
      </c>
      <c r="N19998" t="str">
        <f t="shared" si="268"/>
        <v xml:space="preserve">12306024771 </v>
      </c>
      <c r="O19998">
        <v>230213</v>
      </c>
    </row>
    <row r="19999" spans="1:15" x14ac:dyDescent="0.25">
      <c r="A19999" t="s">
        <v>16</v>
      </c>
      <c r="B19999" t="s">
        <v>3221</v>
      </c>
      <c r="C19999">
        <v>1739</v>
      </c>
      <c r="D19999" t="s">
        <v>263</v>
      </c>
      <c r="E19999" t="s">
        <v>264</v>
      </c>
      <c r="F19999">
        <v>2.69</v>
      </c>
      <c r="G19999">
        <v>230206</v>
      </c>
      <c r="H19999">
        <v>4362</v>
      </c>
      <c r="I19999" t="s">
        <v>79</v>
      </c>
      <c r="J19999">
        <v>3.34</v>
      </c>
      <c r="K19999">
        <v>0.65</v>
      </c>
      <c r="L19999">
        <v>16820</v>
      </c>
      <c r="M19999" t="s">
        <v>23</v>
      </c>
      <c r="N19999" t="str">
        <f t="shared" si="268"/>
        <v xml:space="preserve">12306024771 </v>
      </c>
      <c r="O19999">
        <v>230213</v>
      </c>
    </row>
    <row r="20000" spans="1:15" x14ac:dyDescent="0.25">
      <c r="A20000" t="s">
        <v>16</v>
      </c>
      <c r="B20000" t="s">
        <v>3221</v>
      </c>
      <c r="C20000">
        <v>1739</v>
      </c>
      <c r="D20000" t="s">
        <v>263</v>
      </c>
      <c r="E20000" t="s">
        <v>264</v>
      </c>
      <c r="F20000">
        <v>5.52</v>
      </c>
      <c r="G20000">
        <v>230206</v>
      </c>
      <c r="H20000">
        <v>4362</v>
      </c>
      <c r="I20000" t="s">
        <v>79</v>
      </c>
      <c r="J20000">
        <v>6.85</v>
      </c>
      <c r="K20000">
        <v>1.33</v>
      </c>
      <c r="L20000">
        <v>16820</v>
      </c>
      <c r="M20000" t="s">
        <v>23</v>
      </c>
      <c r="N20000" t="str">
        <f t="shared" si="268"/>
        <v xml:space="preserve">12306024771 </v>
      </c>
      <c r="O20000">
        <v>230213</v>
      </c>
    </row>
    <row r="20001" spans="1:15" x14ac:dyDescent="0.25">
      <c r="A20001" t="s">
        <v>16</v>
      </c>
      <c r="B20001" t="s">
        <v>3221</v>
      </c>
      <c r="C20001">
        <v>1739</v>
      </c>
      <c r="D20001" t="s">
        <v>263</v>
      </c>
      <c r="E20001" t="s">
        <v>264</v>
      </c>
      <c r="F20001">
        <v>7.74</v>
      </c>
      <c r="G20001">
        <v>230206</v>
      </c>
      <c r="H20001">
        <v>4362</v>
      </c>
      <c r="I20001" t="s">
        <v>79</v>
      </c>
      <c r="J20001">
        <v>9.6</v>
      </c>
      <c r="K20001">
        <v>1.86</v>
      </c>
      <c r="L20001">
        <v>17538</v>
      </c>
      <c r="M20001" t="s">
        <v>24</v>
      </c>
      <c r="N20001" t="str">
        <f t="shared" si="268"/>
        <v xml:space="preserve">12306024771 </v>
      </c>
      <c r="O20001">
        <v>230213</v>
      </c>
    </row>
    <row r="20002" spans="1:15" x14ac:dyDescent="0.25">
      <c r="A20002" t="s">
        <v>16</v>
      </c>
      <c r="B20002" t="s">
        <v>3221</v>
      </c>
      <c r="C20002">
        <v>1739</v>
      </c>
      <c r="D20002" t="s">
        <v>263</v>
      </c>
      <c r="E20002" t="s">
        <v>264</v>
      </c>
      <c r="F20002">
        <v>2.7</v>
      </c>
      <c r="G20002">
        <v>230206</v>
      </c>
      <c r="H20002">
        <v>4362</v>
      </c>
      <c r="I20002" t="s">
        <v>79</v>
      </c>
      <c r="J20002">
        <v>3.35</v>
      </c>
      <c r="K20002">
        <v>0.65</v>
      </c>
      <c r="L20002">
        <v>17950</v>
      </c>
      <c r="M20002" t="s">
        <v>86</v>
      </c>
      <c r="N20002" t="str">
        <f t="shared" si="268"/>
        <v xml:space="preserve">12306024771 </v>
      </c>
      <c r="O20002">
        <v>230213</v>
      </c>
    </row>
    <row r="20003" spans="1:15" x14ac:dyDescent="0.25">
      <c r="A20003" t="s">
        <v>16</v>
      </c>
      <c r="B20003" t="s">
        <v>3221</v>
      </c>
      <c r="C20003">
        <v>1739</v>
      </c>
      <c r="D20003" t="s">
        <v>263</v>
      </c>
      <c r="E20003" t="s">
        <v>264</v>
      </c>
      <c r="F20003">
        <v>2.7</v>
      </c>
      <c r="G20003">
        <v>230206</v>
      </c>
      <c r="H20003">
        <v>4362</v>
      </c>
      <c r="I20003" t="s">
        <v>79</v>
      </c>
      <c r="J20003">
        <v>3.35</v>
      </c>
      <c r="K20003">
        <v>0.65</v>
      </c>
      <c r="L20003">
        <v>17971</v>
      </c>
      <c r="M20003" t="s">
        <v>138</v>
      </c>
      <c r="N20003" t="str">
        <f t="shared" si="268"/>
        <v xml:space="preserve">12306024771 </v>
      </c>
      <c r="O20003">
        <v>230213</v>
      </c>
    </row>
    <row r="20004" spans="1:15" x14ac:dyDescent="0.25">
      <c r="A20004" t="s">
        <v>16</v>
      </c>
      <c r="B20004" t="s">
        <v>3221</v>
      </c>
      <c r="C20004">
        <v>1739</v>
      </c>
      <c r="D20004" t="s">
        <v>263</v>
      </c>
      <c r="E20004" t="s">
        <v>264</v>
      </c>
      <c r="F20004">
        <v>2.7</v>
      </c>
      <c r="G20004">
        <v>230206</v>
      </c>
      <c r="H20004">
        <v>4362</v>
      </c>
      <c r="I20004" t="s">
        <v>79</v>
      </c>
      <c r="J20004">
        <v>3.35</v>
      </c>
      <c r="K20004">
        <v>0.65</v>
      </c>
      <c r="L20004">
        <v>17972</v>
      </c>
      <c r="M20004" t="s">
        <v>248</v>
      </c>
      <c r="N20004" t="str">
        <f t="shared" si="268"/>
        <v xml:space="preserve">12306024771 </v>
      </c>
      <c r="O20004">
        <v>230213</v>
      </c>
    </row>
    <row r="20005" spans="1:15" x14ac:dyDescent="0.25">
      <c r="A20005" t="s">
        <v>16</v>
      </c>
      <c r="B20005" t="s">
        <v>3221</v>
      </c>
      <c r="C20005">
        <v>1739</v>
      </c>
      <c r="D20005" t="s">
        <v>263</v>
      </c>
      <c r="E20005" t="s">
        <v>264</v>
      </c>
      <c r="F20005">
        <v>2.69</v>
      </c>
      <c r="G20005">
        <v>230206</v>
      </c>
      <c r="H20005">
        <v>4362</v>
      </c>
      <c r="I20005" t="s">
        <v>79</v>
      </c>
      <c r="J20005">
        <v>3.34</v>
      </c>
      <c r="K20005">
        <v>0.65</v>
      </c>
      <c r="L20005">
        <v>17974</v>
      </c>
      <c r="M20005" t="s">
        <v>460</v>
      </c>
      <c r="N20005" t="str">
        <f t="shared" si="268"/>
        <v xml:space="preserve">12306024771 </v>
      </c>
      <c r="O20005">
        <v>230213</v>
      </c>
    </row>
    <row r="20006" spans="1:15" x14ac:dyDescent="0.25">
      <c r="A20006" t="s">
        <v>16</v>
      </c>
      <c r="B20006" t="s">
        <v>3221</v>
      </c>
      <c r="C20006">
        <v>1739</v>
      </c>
      <c r="D20006" t="s">
        <v>263</v>
      </c>
      <c r="E20006" t="s">
        <v>264</v>
      </c>
      <c r="F20006">
        <v>5.0999999999999996</v>
      </c>
      <c r="G20006">
        <v>230206</v>
      </c>
      <c r="H20006">
        <v>4362</v>
      </c>
      <c r="I20006" t="s">
        <v>79</v>
      </c>
      <c r="J20006">
        <v>6.33</v>
      </c>
      <c r="K20006">
        <v>1.23</v>
      </c>
      <c r="L20006">
        <v>17974</v>
      </c>
      <c r="M20006" t="s">
        <v>460</v>
      </c>
      <c r="N20006" t="str">
        <f t="shared" si="268"/>
        <v xml:space="preserve">12306024771 </v>
      </c>
      <c r="O20006">
        <v>230213</v>
      </c>
    </row>
    <row r="20007" spans="1:15" x14ac:dyDescent="0.25">
      <c r="A20007" t="s">
        <v>16</v>
      </c>
      <c r="B20007" t="s">
        <v>3221</v>
      </c>
      <c r="C20007">
        <v>1740</v>
      </c>
      <c r="D20007" t="s">
        <v>263</v>
      </c>
      <c r="E20007" t="s">
        <v>264</v>
      </c>
      <c r="F20007">
        <v>2.7</v>
      </c>
      <c r="G20007">
        <v>230206</v>
      </c>
      <c r="H20007">
        <v>4362</v>
      </c>
      <c r="I20007" t="s">
        <v>79</v>
      </c>
      <c r="J20007">
        <v>3.35</v>
      </c>
      <c r="K20007">
        <v>0.65</v>
      </c>
      <c r="L20007">
        <v>55255</v>
      </c>
      <c r="M20007" t="s">
        <v>1174</v>
      </c>
      <c r="N20007" t="str">
        <f>"12306024748 "</f>
        <v xml:space="preserve">12306024748 </v>
      </c>
      <c r="O20007">
        <v>230213</v>
      </c>
    </row>
    <row r="20008" spans="1:15" x14ac:dyDescent="0.25">
      <c r="A20008" t="s">
        <v>16</v>
      </c>
      <c r="B20008" t="s">
        <v>3221</v>
      </c>
      <c r="C20008">
        <v>1740</v>
      </c>
      <c r="D20008" t="s">
        <v>263</v>
      </c>
      <c r="E20008" t="s">
        <v>264</v>
      </c>
      <c r="F20008">
        <v>2.7</v>
      </c>
      <c r="G20008">
        <v>230206</v>
      </c>
      <c r="H20008">
        <v>4362</v>
      </c>
      <c r="I20008" t="s">
        <v>79</v>
      </c>
      <c r="J20008">
        <v>3.35</v>
      </c>
      <c r="K20008">
        <v>0.65</v>
      </c>
      <c r="L20008">
        <v>56522</v>
      </c>
      <c r="M20008" t="s">
        <v>43</v>
      </c>
      <c r="N20008" t="str">
        <f>"12306024748 "</f>
        <v xml:space="preserve">12306024748 </v>
      </c>
      <c r="O20008">
        <v>230213</v>
      </c>
    </row>
    <row r="20009" spans="1:15" x14ac:dyDescent="0.25">
      <c r="A20009" t="s">
        <v>16</v>
      </c>
      <c r="B20009" t="s">
        <v>3221</v>
      </c>
      <c r="C20009">
        <v>1740</v>
      </c>
      <c r="D20009" t="s">
        <v>263</v>
      </c>
      <c r="E20009" t="s">
        <v>264</v>
      </c>
      <c r="F20009">
        <v>12.59</v>
      </c>
      <c r="G20009">
        <v>230206</v>
      </c>
      <c r="H20009">
        <v>4362</v>
      </c>
      <c r="I20009" t="s">
        <v>79</v>
      </c>
      <c r="J20009">
        <v>15.61</v>
      </c>
      <c r="K20009">
        <v>3.02</v>
      </c>
      <c r="L20009">
        <v>56524</v>
      </c>
      <c r="M20009" t="s">
        <v>150</v>
      </c>
      <c r="N20009" t="str">
        <f>"12306024748 "</f>
        <v xml:space="preserve">12306024748 </v>
      </c>
      <c r="O20009">
        <v>230213</v>
      </c>
    </row>
    <row r="20010" spans="1:15" x14ac:dyDescent="0.25">
      <c r="A20010" t="s">
        <v>16</v>
      </c>
      <c r="B20010" t="s">
        <v>3221</v>
      </c>
      <c r="C20010">
        <v>1740</v>
      </c>
      <c r="D20010" t="s">
        <v>263</v>
      </c>
      <c r="E20010" t="s">
        <v>264</v>
      </c>
      <c r="F20010">
        <v>5.4</v>
      </c>
      <c r="G20010">
        <v>230206</v>
      </c>
      <c r="H20010">
        <v>4362</v>
      </c>
      <c r="I20010" t="s">
        <v>79</v>
      </c>
      <c r="J20010">
        <v>6.69</v>
      </c>
      <c r="K20010">
        <v>1.29</v>
      </c>
      <c r="L20010">
        <v>56528</v>
      </c>
      <c r="M20010" t="s">
        <v>153</v>
      </c>
      <c r="N20010" t="str">
        <f>"12306024748 "</f>
        <v xml:space="preserve">12306024748 </v>
      </c>
      <c r="O20010">
        <v>230213</v>
      </c>
    </row>
    <row r="20011" spans="1:15" x14ac:dyDescent="0.25">
      <c r="A20011" t="s">
        <v>16</v>
      </c>
      <c r="B20011" t="s">
        <v>3221</v>
      </c>
      <c r="C20011">
        <v>1741</v>
      </c>
      <c r="D20011" t="s">
        <v>263</v>
      </c>
      <c r="E20011" t="s">
        <v>264</v>
      </c>
      <c r="F20011">
        <v>2.5499999999999998</v>
      </c>
      <c r="G20011">
        <v>230206</v>
      </c>
      <c r="H20011">
        <v>4362</v>
      </c>
      <c r="I20011" t="s">
        <v>79</v>
      </c>
      <c r="J20011">
        <v>3.16</v>
      </c>
      <c r="K20011">
        <v>0.61</v>
      </c>
      <c r="L20011">
        <v>13801</v>
      </c>
      <c r="M20011" t="s">
        <v>162</v>
      </c>
      <c r="N20011" t="str">
        <f>"12306024776 "</f>
        <v xml:space="preserve">12306024776 </v>
      </c>
      <c r="O20011">
        <v>230213</v>
      </c>
    </row>
    <row r="20012" spans="1:15" x14ac:dyDescent="0.25">
      <c r="A20012" t="s">
        <v>16</v>
      </c>
      <c r="B20012" t="s">
        <v>3221</v>
      </c>
      <c r="C20012">
        <v>1766</v>
      </c>
      <c r="D20012" t="s">
        <v>263</v>
      </c>
      <c r="E20012" t="s">
        <v>264</v>
      </c>
      <c r="F20012">
        <v>56.22</v>
      </c>
      <c r="G20012">
        <v>230206</v>
      </c>
      <c r="H20012">
        <v>4362</v>
      </c>
      <c r="I20012" t="s">
        <v>79</v>
      </c>
      <c r="J20012">
        <v>69.709999999999994</v>
      </c>
      <c r="K20012">
        <v>13.49</v>
      </c>
      <c r="L20012">
        <v>11801</v>
      </c>
      <c r="M20012" t="s">
        <v>92</v>
      </c>
      <c r="N20012" t="str">
        <f>"12306024774 "</f>
        <v xml:space="preserve">12306024774 </v>
      </c>
      <c r="O20012">
        <v>230213</v>
      </c>
    </row>
    <row r="20013" spans="1:15" x14ac:dyDescent="0.25">
      <c r="A20013" t="s">
        <v>16</v>
      </c>
      <c r="B20013" t="s">
        <v>3221</v>
      </c>
      <c r="C20013">
        <v>1770</v>
      </c>
      <c r="D20013" t="s">
        <v>263</v>
      </c>
      <c r="E20013" t="s">
        <v>264</v>
      </c>
      <c r="F20013">
        <v>2.7</v>
      </c>
      <c r="G20013">
        <v>230206</v>
      </c>
      <c r="H20013">
        <v>4362</v>
      </c>
      <c r="I20013" t="s">
        <v>79</v>
      </c>
      <c r="J20013">
        <v>3.35</v>
      </c>
      <c r="K20013">
        <v>0.65</v>
      </c>
      <c r="L20013">
        <v>54451</v>
      </c>
      <c r="M20013" t="s">
        <v>158</v>
      </c>
      <c r="N20013" t="str">
        <f t="shared" ref="N20013:N20029" si="269">"12306024747 "</f>
        <v xml:space="preserve">12306024747 </v>
      </c>
      <c r="O20013">
        <v>230213</v>
      </c>
    </row>
    <row r="20014" spans="1:15" x14ac:dyDescent="0.25">
      <c r="A20014" t="s">
        <v>16</v>
      </c>
      <c r="B20014" t="s">
        <v>3221</v>
      </c>
      <c r="C20014">
        <v>1770</v>
      </c>
      <c r="D20014" t="s">
        <v>263</v>
      </c>
      <c r="E20014" t="s">
        <v>264</v>
      </c>
      <c r="F20014">
        <v>10.83</v>
      </c>
      <c r="G20014">
        <v>230206</v>
      </c>
      <c r="H20014">
        <v>4362</v>
      </c>
      <c r="I20014" t="s">
        <v>79</v>
      </c>
      <c r="J20014">
        <v>13.43</v>
      </c>
      <c r="K20014">
        <v>2.6</v>
      </c>
      <c r="L20014">
        <v>59111</v>
      </c>
      <c r="M20014" t="s">
        <v>1010</v>
      </c>
      <c r="N20014" t="str">
        <f t="shared" si="269"/>
        <v xml:space="preserve">12306024747 </v>
      </c>
      <c r="O20014">
        <v>230213</v>
      </c>
    </row>
    <row r="20015" spans="1:15" x14ac:dyDescent="0.25">
      <c r="A20015" t="s">
        <v>16</v>
      </c>
      <c r="B20015" t="s">
        <v>3221</v>
      </c>
      <c r="C20015">
        <v>1770</v>
      </c>
      <c r="D20015" t="s">
        <v>263</v>
      </c>
      <c r="E20015" t="s">
        <v>264</v>
      </c>
      <c r="F20015">
        <v>2.7</v>
      </c>
      <c r="G20015">
        <v>230206</v>
      </c>
      <c r="H20015">
        <v>4362</v>
      </c>
      <c r="I20015" t="s">
        <v>79</v>
      </c>
      <c r="J20015">
        <v>3.35</v>
      </c>
      <c r="K20015">
        <v>0.65</v>
      </c>
      <c r="L20015">
        <v>59112</v>
      </c>
      <c r="M20015" t="s">
        <v>182</v>
      </c>
      <c r="N20015" t="str">
        <f t="shared" si="269"/>
        <v xml:space="preserve">12306024747 </v>
      </c>
      <c r="O20015">
        <v>230213</v>
      </c>
    </row>
    <row r="20016" spans="1:15" x14ac:dyDescent="0.25">
      <c r="A20016" t="s">
        <v>16</v>
      </c>
      <c r="B20016" t="s">
        <v>3221</v>
      </c>
      <c r="C20016">
        <v>1770</v>
      </c>
      <c r="D20016" t="s">
        <v>263</v>
      </c>
      <c r="E20016" t="s">
        <v>264</v>
      </c>
      <c r="F20016">
        <v>8.6300000000000008</v>
      </c>
      <c r="G20016">
        <v>230206</v>
      </c>
      <c r="H20016">
        <v>4362</v>
      </c>
      <c r="I20016" t="s">
        <v>79</v>
      </c>
      <c r="J20016">
        <v>10.7</v>
      </c>
      <c r="K20016">
        <v>2.0699999999999998</v>
      </c>
      <c r="L20016">
        <v>59113</v>
      </c>
      <c r="M20016" t="s">
        <v>235</v>
      </c>
      <c r="N20016" t="str">
        <f t="shared" si="269"/>
        <v xml:space="preserve">12306024747 </v>
      </c>
      <c r="O20016">
        <v>230213</v>
      </c>
    </row>
    <row r="20017" spans="1:15" x14ac:dyDescent="0.25">
      <c r="A20017" t="s">
        <v>16</v>
      </c>
      <c r="B20017" t="s">
        <v>3221</v>
      </c>
      <c r="C20017">
        <v>1770</v>
      </c>
      <c r="D20017" t="s">
        <v>263</v>
      </c>
      <c r="E20017" t="s">
        <v>264</v>
      </c>
      <c r="F20017">
        <v>9.4499999999999993</v>
      </c>
      <c r="G20017">
        <v>230206</v>
      </c>
      <c r="H20017">
        <v>4362</v>
      </c>
      <c r="I20017" t="s">
        <v>79</v>
      </c>
      <c r="J20017">
        <v>11.72</v>
      </c>
      <c r="K20017">
        <v>2.27</v>
      </c>
      <c r="L20017">
        <v>59114</v>
      </c>
      <c r="M20017" t="s">
        <v>556</v>
      </c>
      <c r="N20017" t="str">
        <f t="shared" si="269"/>
        <v xml:space="preserve">12306024747 </v>
      </c>
      <c r="O20017">
        <v>230213</v>
      </c>
    </row>
    <row r="20018" spans="1:15" x14ac:dyDescent="0.25">
      <c r="A20018" t="s">
        <v>16</v>
      </c>
      <c r="B20018" t="s">
        <v>3221</v>
      </c>
      <c r="C20018">
        <v>1770</v>
      </c>
      <c r="D20018" t="s">
        <v>263</v>
      </c>
      <c r="E20018" t="s">
        <v>264</v>
      </c>
      <c r="F20018">
        <v>3.35</v>
      </c>
      <c r="G20018">
        <v>230206</v>
      </c>
      <c r="H20018">
        <v>4362</v>
      </c>
      <c r="I20018" t="s">
        <v>79</v>
      </c>
      <c r="J20018">
        <v>3.35</v>
      </c>
      <c r="K20018">
        <v>0</v>
      </c>
      <c r="L20018">
        <v>59501</v>
      </c>
      <c r="M20018" t="s">
        <v>69</v>
      </c>
      <c r="N20018" t="str">
        <f t="shared" si="269"/>
        <v xml:space="preserve">12306024747 </v>
      </c>
      <c r="O20018">
        <v>230213</v>
      </c>
    </row>
    <row r="20019" spans="1:15" x14ac:dyDescent="0.25">
      <c r="A20019" t="s">
        <v>16</v>
      </c>
      <c r="B20019" t="s">
        <v>3221</v>
      </c>
      <c r="C20019">
        <v>1770</v>
      </c>
      <c r="D20019" t="s">
        <v>263</v>
      </c>
      <c r="E20019" t="s">
        <v>264</v>
      </c>
      <c r="F20019">
        <v>48.76</v>
      </c>
      <c r="G20019">
        <v>230206</v>
      </c>
      <c r="H20019">
        <v>4362</v>
      </c>
      <c r="I20019" t="s">
        <v>79</v>
      </c>
      <c r="J20019">
        <v>60.46</v>
      </c>
      <c r="K20019">
        <v>11.7</v>
      </c>
      <c r="L20019">
        <v>59501</v>
      </c>
      <c r="M20019" t="s">
        <v>69</v>
      </c>
      <c r="N20019" t="str">
        <f t="shared" si="269"/>
        <v xml:space="preserve">12306024747 </v>
      </c>
      <c r="O20019">
        <v>230213</v>
      </c>
    </row>
    <row r="20020" spans="1:15" x14ac:dyDescent="0.25">
      <c r="A20020" t="s">
        <v>16</v>
      </c>
      <c r="B20020" t="s">
        <v>3221</v>
      </c>
      <c r="C20020">
        <v>1770</v>
      </c>
      <c r="D20020" t="s">
        <v>263</v>
      </c>
      <c r="E20020" t="s">
        <v>264</v>
      </c>
      <c r="F20020">
        <v>31.9</v>
      </c>
      <c r="G20020">
        <v>230206</v>
      </c>
      <c r="H20020">
        <v>4362</v>
      </c>
      <c r="I20020" t="s">
        <v>79</v>
      </c>
      <c r="J20020">
        <v>39.56</v>
      </c>
      <c r="K20020">
        <v>7.66</v>
      </c>
      <c r="L20020">
        <v>59502</v>
      </c>
      <c r="M20020" t="s">
        <v>70</v>
      </c>
      <c r="N20020" t="str">
        <f t="shared" si="269"/>
        <v xml:space="preserve">12306024747 </v>
      </c>
      <c r="O20020">
        <v>230213</v>
      </c>
    </row>
    <row r="20021" spans="1:15" x14ac:dyDescent="0.25">
      <c r="A20021" t="s">
        <v>16</v>
      </c>
      <c r="B20021" t="s">
        <v>3221</v>
      </c>
      <c r="C20021">
        <v>1770</v>
      </c>
      <c r="D20021" t="s">
        <v>263</v>
      </c>
      <c r="E20021" t="s">
        <v>264</v>
      </c>
      <c r="F20021">
        <v>8.44</v>
      </c>
      <c r="G20021">
        <v>230206</v>
      </c>
      <c r="H20021">
        <v>4362</v>
      </c>
      <c r="I20021" t="s">
        <v>79</v>
      </c>
      <c r="J20021">
        <v>10.47</v>
      </c>
      <c r="K20021">
        <v>2.0299999999999998</v>
      </c>
      <c r="L20021">
        <v>59504</v>
      </c>
      <c r="M20021" t="s">
        <v>71</v>
      </c>
      <c r="N20021" t="str">
        <f t="shared" si="269"/>
        <v xml:space="preserve">12306024747 </v>
      </c>
      <c r="O20021">
        <v>230213</v>
      </c>
    </row>
    <row r="20022" spans="1:15" x14ac:dyDescent="0.25">
      <c r="A20022" t="s">
        <v>16</v>
      </c>
      <c r="B20022" t="s">
        <v>3221</v>
      </c>
      <c r="C20022">
        <v>1770</v>
      </c>
      <c r="D20022" t="s">
        <v>263</v>
      </c>
      <c r="E20022" t="s">
        <v>264</v>
      </c>
      <c r="F20022">
        <v>5.4</v>
      </c>
      <c r="G20022">
        <v>230206</v>
      </c>
      <c r="H20022">
        <v>4362</v>
      </c>
      <c r="I20022" t="s">
        <v>79</v>
      </c>
      <c r="J20022">
        <v>6.7</v>
      </c>
      <c r="K20022">
        <v>1.3</v>
      </c>
      <c r="L20022">
        <v>59505</v>
      </c>
      <c r="M20022" t="s">
        <v>72</v>
      </c>
      <c r="N20022" t="str">
        <f t="shared" si="269"/>
        <v xml:space="preserve">12306024747 </v>
      </c>
      <c r="O20022">
        <v>230213</v>
      </c>
    </row>
    <row r="20023" spans="1:15" x14ac:dyDescent="0.25">
      <c r="A20023" t="s">
        <v>16</v>
      </c>
      <c r="B20023" t="s">
        <v>3221</v>
      </c>
      <c r="C20023">
        <v>1770</v>
      </c>
      <c r="D20023" t="s">
        <v>263</v>
      </c>
      <c r="E20023" t="s">
        <v>264</v>
      </c>
      <c r="F20023">
        <v>16.350000000000001</v>
      </c>
      <c r="G20023">
        <v>230206</v>
      </c>
      <c r="H20023">
        <v>4362</v>
      </c>
      <c r="I20023" t="s">
        <v>79</v>
      </c>
      <c r="J20023">
        <v>20.27</v>
      </c>
      <c r="K20023">
        <v>3.92</v>
      </c>
      <c r="L20023">
        <v>59701</v>
      </c>
      <c r="M20023" t="s">
        <v>297</v>
      </c>
      <c r="N20023" t="str">
        <f t="shared" si="269"/>
        <v xml:space="preserve">12306024747 </v>
      </c>
      <c r="O20023">
        <v>230213</v>
      </c>
    </row>
    <row r="20024" spans="1:15" x14ac:dyDescent="0.25">
      <c r="A20024" t="s">
        <v>16</v>
      </c>
      <c r="B20024" t="s">
        <v>3221</v>
      </c>
      <c r="C20024">
        <v>1770</v>
      </c>
      <c r="D20024" t="s">
        <v>263</v>
      </c>
      <c r="E20024" t="s">
        <v>264</v>
      </c>
      <c r="F20024">
        <v>2.7</v>
      </c>
      <c r="G20024">
        <v>230206</v>
      </c>
      <c r="H20024">
        <v>4362</v>
      </c>
      <c r="I20024" t="s">
        <v>79</v>
      </c>
      <c r="J20024">
        <v>3.35</v>
      </c>
      <c r="K20024">
        <v>0.65</v>
      </c>
      <c r="L20024">
        <v>59702</v>
      </c>
      <c r="M20024" t="s">
        <v>328</v>
      </c>
      <c r="N20024" t="str">
        <f t="shared" si="269"/>
        <v xml:space="preserve">12306024747 </v>
      </c>
      <c r="O20024">
        <v>230213</v>
      </c>
    </row>
    <row r="20025" spans="1:15" x14ac:dyDescent="0.25">
      <c r="A20025" t="s">
        <v>16</v>
      </c>
      <c r="B20025" t="s">
        <v>3221</v>
      </c>
      <c r="C20025">
        <v>1770</v>
      </c>
      <c r="D20025" t="s">
        <v>263</v>
      </c>
      <c r="E20025" t="s">
        <v>264</v>
      </c>
      <c r="F20025">
        <v>5.25</v>
      </c>
      <c r="G20025">
        <v>230206</v>
      </c>
      <c r="H20025">
        <v>4362</v>
      </c>
      <c r="I20025" t="s">
        <v>79</v>
      </c>
      <c r="J20025">
        <v>6.51</v>
      </c>
      <c r="K20025">
        <v>1.26</v>
      </c>
      <c r="L20025">
        <v>59704</v>
      </c>
      <c r="M20025" t="s">
        <v>1103</v>
      </c>
      <c r="N20025" t="str">
        <f t="shared" si="269"/>
        <v xml:space="preserve">12306024747 </v>
      </c>
      <c r="O20025">
        <v>230213</v>
      </c>
    </row>
    <row r="20026" spans="1:15" x14ac:dyDescent="0.25">
      <c r="A20026" t="s">
        <v>16</v>
      </c>
      <c r="B20026" t="s">
        <v>3221</v>
      </c>
      <c r="C20026">
        <v>1770</v>
      </c>
      <c r="D20026" t="s">
        <v>263</v>
      </c>
      <c r="E20026" t="s">
        <v>264</v>
      </c>
      <c r="F20026">
        <v>5.4</v>
      </c>
      <c r="G20026">
        <v>230206</v>
      </c>
      <c r="H20026">
        <v>4362</v>
      </c>
      <c r="I20026" t="s">
        <v>79</v>
      </c>
      <c r="J20026">
        <v>6.7</v>
      </c>
      <c r="K20026">
        <v>1.3</v>
      </c>
      <c r="L20026">
        <v>59705</v>
      </c>
      <c r="M20026" t="s">
        <v>843</v>
      </c>
      <c r="N20026" t="str">
        <f t="shared" si="269"/>
        <v xml:space="preserve">12306024747 </v>
      </c>
      <c r="O20026">
        <v>230213</v>
      </c>
    </row>
    <row r="20027" spans="1:15" x14ac:dyDescent="0.25">
      <c r="A20027" t="s">
        <v>16</v>
      </c>
      <c r="B20027" t="s">
        <v>3221</v>
      </c>
      <c r="C20027">
        <v>1770</v>
      </c>
      <c r="D20027" t="s">
        <v>263</v>
      </c>
      <c r="E20027" t="s">
        <v>264</v>
      </c>
      <c r="F20027">
        <v>17.71</v>
      </c>
      <c r="G20027">
        <v>230206</v>
      </c>
      <c r="H20027">
        <v>4362</v>
      </c>
      <c r="I20027" t="s">
        <v>79</v>
      </c>
      <c r="J20027">
        <v>21.96</v>
      </c>
      <c r="K20027">
        <v>4.25</v>
      </c>
      <c r="L20027">
        <v>59802</v>
      </c>
      <c r="M20027" t="s">
        <v>73</v>
      </c>
      <c r="N20027" t="str">
        <f t="shared" si="269"/>
        <v xml:space="preserve">12306024747 </v>
      </c>
      <c r="O20027">
        <v>230213</v>
      </c>
    </row>
    <row r="20028" spans="1:15" x14ac:dyDescent="0.25">
      <c r="A20028" t="s">
        <v>16</v>
      </c>
      <c r="B20028" t="s">
        <v>3221</v>
      </c>
      <c r="C20028">
        <v>1770</v>
      </c>
      <c r="D20028" t="s">
        <v>263</v>
      </c>
      <c r="E20028" t="s">
        <v>264</v>
      </c>
      <c r="F20028">
        <v>13.31</v>
      </c>
      <c r="G20028">
        <v>230206</v>
      </c>
      <c r="H20028">
        <v>4362</v>
      </c>
      <c r="I20028" t="s">
        <v>79</v>
      </c>
      <c r="J20028">
        <v>16.510000000000002</v>
      </c>
      <c r="K20028">
        <v>3.2</v>
      </c>
      <c r="L20028">
        <v>59812</v>
      </c>
      <c r="M20028" t="s">
        <v>74</v>
      </c>
      <c r="N20028" t="str">
        <f t="shared" si="269"/>
        <v xml:space="preserve">12306024747 </v>
      </c>
      <c r="O20028">
        <v>230213</v>
      </c>
    </row>
    <row r="20029" spans="1:15" x14ac:dyDescent="0.25">
      <c r="A20029" t="s">
        <v>16</v>
      </c>
      <c r="B20029" t="s">
        <v>3221</v>
      </c>
      <c r="C20029">
        <v>1770</v>
      </c>
      <c r="D20029" t="s">
        <v>263</v>
      </c>
      <c r="E20029" t="s">
        <v>264</v>
      </c>
      <c r="F20029">
        <v>10.69</v>
      </c>
      <c r="G20029">
        <v>230206</v>
      </c>
      <c r="H20029">
        <v>4362</v>
      </c>
      <c r="I20029" t="s">
        <v>79</v>
      </c>
      <c r="J20029">
        <v>13.26</v>
      </c>
      <c r="K20029">
        <v>2.57</v>
      </c>
      <c r="L20029">
        <v>59815</v>
      </c>
      <c r="M20029" t="s">
        <v>1182</v>
      </c>
      <c r="N20029" t="str">
        <f t="shared" si="269"/>
        <v xml:space="preserve">12306024747 </v>
      </c>
      <c r="O20029">
        <v>230213</v>
      </c>
    </row>
    <row r="20030" spans="1:15" x14ac:dyDescent="0.25">
      <c r="A20030" t="s">
        <v>16</v>
      </c>
      <c r="B20030" t="s">
        <v>3221</v>
      </c>
      <c r="C20030">
        <v>1779</v>
      </c>
      <c r="D20030" t="s">
        <v>263</v>
      </c>
      <c r="E20030" t="s">
        <v>264</v>
      </c>
      <c r="F20030">
        <v>3.5</v>
      </c>
      <c r="G20030">
        <v>230206</v>
      </c>
      <c r="H20030">
        <v>4362</v>
      </c>
      <c r="I20030" t="s">
        <v>79</v>
      </c>
      <c r="J20030">
        <v>4.34</v>
      </c>
      <c r="K20030">
        <v>0.84</v>
      </c>
      <c r="L20030">
        <v>11900</v>
      </c>
      <c r="M20030" t="s">
        <v>1105</v>
      </c>
      <c r="N20030" t="str">
        <f>"12306024765 "</f>
        <v xml:space="preserve">12306024765 </v>
      </c>
      <c r="O20030">
        <v>230214</v>
      </c>
    </row>
    <row r="20031" spans="1:15" x14ac:dyDescent="0.25">
      <c r="A20031" t="s">
        <v>16</v>
      </c>
      <c r="B20031" t="s">
        <v>3221</v>
      </c>
      <c r="C20031">
        <v>1780</v>
      </c>
      <c r="D20031" t="s">
        <v>263</v>
      </c>
      <c r="E20031" t="s">
        <v>264</v>
      </c>
      <c r="F20031">
        <v>2.5499999999999998</v>
      </c>
      <c r="G20031">
        <v>230206</v>
      </c>
      <c r="H20031">
        <v>4362</v>
      </c>
      <c r="I20031" t="s">
        <v>79</v>
      </c>
      <c r="J20031">
        <v>3.16</v>
      </c>
      <c r="K20031">
        <v>0.61</v>
      </c>
      <c r="L20031">
        <v>10002</v>
      </c>
      <c r="M20031" t="s">
        <v>1066</v>
      </c>
      <c r="N20031" t="str">
        <f t="shared" ref="N20031:N20043" si="270">"12306024744 "</f>
        <v xml:space="preserve">12306024744 </v>
      </c>
      <c r="O20031">
        <v>230214</v>
      </c>
    </row>
    <row r="20032" spans="1:15" x14ac:dyDescent="0.25">
      <c r="A20032" t="s">
        <v>16</v>
      </c>
      <c r="B20032" t="s">
        <v>3221</v>
      </c>
      <c r="C20032">
        <v>1780</v>
      </c>
      <c r="D20032" t="s">
        <v>263</v>
      </c>
      <c r="E20032" t="s">
        <v>264</v>
      </c>
      <c r="F20032">
        <v>2.5499999999999998</v>
      </c>
      <c r="G20032">
        <v>230206</v>
      </c>
      <c r="H20032">
        <v>4362</v>
      </c>
      <c r="I20032" t="s">
        <v>79</v>
      </c>
      <c r="J20032">
        <v>3.16</v>
      </c>
      <c r="K20032">
        <v>0.61</v>
      </c>
      <c r="L20032">
        <v>10002</v>
      </c>
      <c r="M20032" t="s">
        <v>1066</v>
      </c>
      <c r="N20032" t="str">
        <f t="shared" si="270"/>
        <v xml:space="preserve">12306024744 </v>
      </c>
      <c r="O20032">
        <v>230214</v>
      </c>
    </row>
    <row r="20033" spans="1:15" x14ac:dyDescent="0.25">
      <c r="A20033" t="s">
        <v>16</v>
      </c>
      <c r="B20033" t="s">
        <v>3221</v>
      </c>
      <c r="C20033">
        <v>1780</v>
      </c>
      <c r="D20033" t="s">
        <v>263</v>
      </c>
      <c r="E20033" t="s">
        <v>264</v>
      </c>
      <c r="F20033">
        <v>2.5499999999999998</v>
      </c>
      <c r="G20033">
        <v>230206</v>
      </c>
      <c r="H20033">
        <v>4362</v>
      </c>
      <c r="I20033" t="s">
        <v>79</v>
      </c>
      <c r="J20033">
        <v>3.16</v>
      </c>
      <c r="K20033">
        <v>0.61</v>
      </c>
      <c r="L20033">
        <v>11001</v>
      </c>
      <c r="M20033" t="s">
        <v>326</v>
      </c>
      <c r="N20033" t="str">
        <f t="shared" si="270"/>
        <v xml:space="preserve">12306024744 </v>
      </c>
      <c r="O20033">
        <v>230214</v>
      </c>
    </row>
    <row r="20034" spans="1:15" x14ac:dyDescent="0.25">
      <c r="A20034" t="s">
        <v>16</v>
      </c>
      <c r="B20034" t="s">
        <v>3221</v>
      </c>
      <c r="C20034">
        <v>1780</v>
      </c>
      <c r="D20034" t="s">
        <v>263</v>
      </c>
      <c r="E20034" t="s">
        <v>264</v>
      </c>
      <c r="F20034">
        <v>5.25</v>
      </c>
      <c r="G20034">
        <v>230206</v>
      </c>
      <c r="H20034">
        <v>4362</v>
      </c>
      <c r="I20034" t="s">
        <v>79</v>
      </c>
      <c r="J20034">
        <v>6.51</v>
      </c>
      <c r="K20034">
        <v>1.26</v>
      </c>
      <c r="L20034">
        <v>11001</v>
      </c>
      <c r="M20034" t="s">
        <v>326</v>
      </c>
      <c r="N20034" t="str">
        <f t="shared" si="270"/>
        <v xml:space="preserve">12306024744 </v>
      </c>
      <c r="O20034">
        <v>230214</v>
      </c>
    </row>
    <row r="20035" spans="1:15" x14ac:dyDescent="0.25">
      <c r="A20035" t="s">
        <v>16</v>
      </c>
      <c r="B20035" t="s">
        <v>3221</v>
      </c>
      <c r="C20035">
        <v>1780</v>
      </c>
      <c r="D20035" t="s">
        <v>263</v>
      </c>
      <c r="E20035" t="s">
        <v>264</v>
      </c>
      <c r="F20035">
        <v>7.63</v>
      </c>
      <c r="G20035">
        <v>230206</v>
      </c>
      <c r="H20035">
        <v>4362</v>
      </c>
      <c r="I20035" t="s">
        <v>79</v>
      </c>
      <c r="J20035">
        <v>7.63</v>
      </c>
      <c r="K20035">
        <v>0</v>
      </c>
      <c r="L20035">
        <v>11001</v>
      </c>
      <c r="M20035" t="s">
        <v>326</v>
      </c>
      <c r="N20035" t="str">
        <f t="shared" si="270"/>
        <v xml:space="preserve">12306024744 </v>
      </c>
      <c r="O20035">
        <v>230214</v>
      </c>
    </row>
    <row r="20036" spans="1:15" x14ac:dyDescent="0.25">
      <c r="A20036" t="s">
        <v>16</v>
      </c>
      <c r="B20036" t="s">
        <v>3221</v>
      </c>
      <c r="C20036">
        <v>1780</v>
      </c>
      <c r="D20036" t="s">
        <v>263</v>
      </c>
      <c r="E20036" t="s">
        <v>264</v>
      </c>
      <c r="F20036">
        <v>2.5499999999999998</v>
      </c>
      <c r="G20036">
        <v>230206</v>
      </c>
      <c r="H20036">
        <v>4362</v>
      </c>
      <c r="I20036" t="s">
        <v>79</v>
      </c>
      <c r="J20036">
        <v>3.16</v>
      </c>
      <c r="K20036">
        <v>0.61</v>
      </c>
      <c r="L20036">
        <v>11401</v>
      </c>
      <c r="M20036" t="s">
        <v>84</v>
      </c>
      <c r="N20036" t="str">
        <f t="shared" si="270"/>
        <v xml:space="preserve">12306024744 </v>
      </c>
      <c r="O20036">
        <v>230214</v>
      </c>
    </row>
    <row r="20037" spans="1:15" x14ac:dyDescent="0.25">
      <c r="A20037" t="s">
        <v>16</v>
      </c>
      <c r="B20037" t="s">
        <v>3221</v>
      </c>
      <c r="C20037">
        <v>1780</v>
      </c>
      <c r="D20037" t="s">
        <v>263</v>
      </c>
      <c r="E20037" t="s">
        <v>264</v>
      </c>
      <c r="F20037">
        <v>3.35</v>
      </c>
      <c r="G20037">
        <v>230206</v>
      </c>
      <c r="H20037">
        <v>4362</v>
      </c>
      <c r="I20037" t="s">
        <v>79</v>
      </c>
      <c r="J20037">
        <v>3.35</v>
      </c>
      <c r="K20037">
        <v>0</v>
      </c>
      <c r="L20037">
        <v>11401</v>
      </c>
      <c r="M20037" t="s">
        <v>84</v>
      </c>
      <c r="N20037" t="str">
        <f t="shared" si="270"/>
        <v xml:space="preserve">12306024744 </v>
      </c>
      <c r="O20037">
        <v>230214</v>
      </c>
    </row>
    <row r="20038" spans="1:15" x14ac:dyDescent="0.25">
      <c r="A20038" t="s">
        <v>16</v>
      </c>
      <c r="B20038" t="s">
        <v>3221</v>
      </c>
      <c r="C20038">
        <v>1780</v>
      </c>
      <c r="D20038" t="s">
        <v>263</v>
      </c>
      <c r="E20038" t="s">
        <v>264</v>
      </c>
      <c r="F20038">
        <v>2.5499999999999998</v>
      </c>
      <c r="G20038">
        <v>230206</v>
      </c>
      <c r="H20038">
        <v>4362</v>
      </c>
      <c r="I20038" t="s">
        <v>79</v>
      </c>
      <c r="J20038">
        <v>3.16</v>
      </c>
      <c r="K20038">
        <v>0.61</v>
      </c>
      <c r="L20038">
        <v>11501</v>
      </c>
      <c r="M20038" t="s">
        <v>339</v>
      </c>
      <c r="N20038" t="str">
        <f t="shared" si="270"/>
        <v xml:space="preserve">12306024744 </v>
      </c>
      <c r="O20038">
        <v>230214</v>
      </c>
    </row>
    <row r="20039" spans="1:15" x14ac:dyDescent="0.25">
      <c r="A20039" t="s">
        <v>16</v>
      </c>
      <c r="B20039" t="s">
        <v>3221</v>
      </c>
      <c r="C20039">
        <v>1780</v>
      </c>
      <c r="D20039" t="s">
        <v>263</v>
      </c>
      <c r="E20039" t="s">
        <v>264</v>
      </c>
      <c r="F20039">
        <v>3.47</v>
      </c>
      <c r="G20039">
        <v>230206</v>
      </c>
      <c r="H20039">
        <v>4362</v>
      </c>
      <c r="I20039" t="s">
        <v>79</v>
      </c>
      <c r="J20039">
        <v>3.47</v>
      </c>
      <c r="K20039">
        <v>0</v>
      </c>
      <c r="L20039">
        <v>11501</v>
      </c>
      <c r="M20039" t="s">
        <v>339</v>
      </c>
      <c r="N20039" t="str">
        <f t="shared" si="270"/>
        <v xml:space="preserve">12306024744 </v>
      </c>
      <c r="O20039">
        <v>230214</v>
      </c>
    </row>
    <row r="20040" spans="1:15" x14ac:dyDescent="0.25">
      <c r="A20040" t="s">
        <v>16</v>
      </c>
      <c r="B20040" t="s">
        <v>3221</v>
      </c>
      <c r="C20040">
        <v>1780</v>
      </c>
      <c r="D20040" t="s">
        <v>263</v>
      </c>
      <c r="E20040" t="s">
        <v>264</v>
      </c>
      <c r="F20040">
        <v>7.63</v>
      </c>
      <c r="G20040">
        <v>230206</v>
      </c>
      <c r="H20040">
        <v>4362</v>
      </c>
      <c r="I20040" t="s">
        <v>79</v>
      </c>
      <c r="J20040">
        <v>7.63</v>
      </c>
      <c r="K20040">
        <v>0</v>
      </c>
      <c r="L20040">
        <v>17807</v>
      </c>
      <c r="M20040" t="s">
        <v>318</v>
      </c>
      <c r="N20040" t="str">
        <f t="shared" si="270"/>
        <v xml:space="preserve">12306024744 </v>
      </c>
      <c r="O20040">
        <v>230214</v>
      </c>
    </row>
    <row r="20041" spans="1:15" x14ac:dyDescent="0.25">
      <c r="A20041" t="s">
        <v>16</v>
      </c>
      <c r="B20041" t="s">
        <v>3221</v>
      </c>
      <c r="C20041">
        <v>1780</v>
      </c>
      <c r="D20041" t="s">
        <v>263</v>
      </c>
      <c r="E20041" t="s">
        <v>264</v>
      </c>
      <c r="F20041">
        <v>5.0999999999999996</v>
      </c>
      <c r="G20041">
        <v>230206</v>
      </c>
      <c r="H20041">
        <v>4362</v>
      </c>
      <c r="I20041" t="s">
        <v>79</v>
      </c>
      <c r="J20041">
        <v>6.32</v>
      </c>
      <c r="K20041">
        <v>1.22</v>
      </c>
      <c r="L20041">
        <v>18972</v>
      </c>
      <c r="M20041" t="s">
        <v>163</v>
      </c>
      <c r="N20041" t="str">
        <f t="shared" si="270"/>
        <v xml:space="preserve">12306024744 </v>
      </c>
      <c r="O20041">
        <v>230214</v>
      </c>
    </row>
    <row r="20042" spans="1:15" x14ac:dyDescent="0.25">
      <c r="A20042" t="s">
        <v>16</v>
      </c>
      <c r="B20042" t="s">
        <v>3221</v>
      </c>
      <c r="C20042">
        <v>1780</v>
      </c>
      <c r="D20042" t="s">
        <v>263</v>
      </c>
      <c r="E20042" t="s">
        <v>264</v>
      </c>
      <c r="F20042">
        <v>5.42</v>
      </c>
      <c r="G20042">
        <v>230206</v>
      </c>
      <c r="H20042">
        <v>4362</v>
      </c>
      <c r="I20042" t="s">
        <v>79</v>
      </c>
      <c r="J20042">
        <v>6.72</v>
      </c>
      <c r="K20042">
        <v>1.3</v>
      </c>
      <c r="L20042">
        <v>18972</v>
      </c>
      <c r="M20042" t="s">
        <v>163</v>
      </c>
      <c r="N20042" t="str">
        <f t="shared" si="270"/>
        <v xml:space="preserve">12306024744 </v>
      </c>
      <c r="O20042">
        <v>230214</v>
      </c>
    </row>
    <row r="20043" spans="1:15" x14ac:dyDescent="0.25">
      <c r="A20043" t="s">
        <v>16</v>
      </c>
      <c r="B20043" t="s">
        <v>3221</v>
      </c>
      <c r="C20043">
        <v>1780</v>
      </c>
      <c r="D20043" t="s">
        <v>263</v>
      </c>
      <c r="E20043" t="s">
        <v>264</v>
      </c>
      <c r="F20043">
        <v>7.58</v>
      </c>
      <c r="G20043">
        <v>230206</v>
      </c>
      <c r="H20043">
        <v>4362</v>
      </c>
      <c r="I20043" t="s">
        <v>79</v>
      </c>
      <c r="J20043">
        <v>7.58</v>
      </c>
      <c r="K20043">
        <v>0</v>
      </c>
      <c r="L20043">
        <v>18972</v>
      </c>
      <c r="M20043" t="s">
        <v>163</v>
      </c>
      <c r="N20043" t="str">
        <f t="shared" si="270"/>
        <v xml:space="preserve">12306024744 </v>
      </c>
      <c r="O20043">
        <v>230214</v>
      </c>
    </row>
    <row r="20044" spans="1:15" x14ac:dyDescent="0.25">
      <c r="A20044" t="s">
        <v>16</v>
      </c>
      <c r="B20044" t="s">
        <v>3221</v>
      </c>
      <c r="C20044">
        <v>1830</v>
      </c>
      <c r="D20044" t="s">
        <v>263</v>
      </c>
      <c r="E20044" t="s">
        <v>264</v>
      </c>
      <c r="F20044">
        <v>2.7</v>
      </c>
      <c r="G20044">
        <v>230206</v>
      </c>
      <c r="H20044">
        <v>4362</v>
      </c>
      <c r="I20044" t="s">
        <v>79</v>
      </c>
      <c r="J20044">
        <v>3.35</v>
      </c>
      <c r="K20044">
        <v>0.65</v>
      </c>
      <c r="L20044">
        <v>51157</v>
      </c>
      <c r="M20044" t="s">
        <v>1216</v>
      </c>
      <c r="N20044" t="str">
        <f t="shared" ref="N20044:N20055" si="271">"12306024753 "</f>
        <v xml:space="preserve">12306024753 </v>
      </c>
      <c r="O20044">
        <v>230214</v>
      </c>
    </row>
    <row r="20045" spans="1:15" x14ac:dyDescent="0.25">
      <c r="A20045" t="s">
        <v>16</v>
      </c>
      <c r="B20045" t="s">
        <v>3221</v>
      </c>
      <c r="C20045">
        <v>1830</v>
      </c>
      <c r="D20045" t="s">
        <v>263</v>
      </c>
      <c r="E20045" t="s">
        <v>264</v>
      </c>
      <c r="F20045">
        <v>2.7</v>
      </c>
      <c r="G20045">
        <v>230206</v>
      </c>
      <c r="H20045">
        <v>4362</v>
      </c>
      <c r="I20045" t="s">
        <v>79</v>
      </c>
      <c r="J20045">
        <v>3.35</v>
      </c>
      <c r="K20045">
        <v>0.65</v>
      </c>
      <c r="L20045">
        <v>56526</v>
      </c>
      <c r="M20045" t="s">
        <v>1217</v>
      </c>
      <c r="N20045" t="str">
        <f t="shared" si="271"/>
        <v xml:space="preserve">12306024753 </v>
      </c>
      <c r="O20045">
        <v>230214</v>
      </c>
    </row>
    <row r="20046" spans="1:15" x14ac:dyDescent="0.25">
      <c r="A20046" t="s">
        <v>16</v>
      </c>
      <c r="B20046" t="s">
        <v>3221</v>
      </c>
      <c r="C20046">
        <v>1830</v>
      </c>
      <c r="D20046" t="s">
        <v>263</v>
      </c>
      <c r="E20046" t="s">
        <v>264</v>
      </c>
      <c r="F20046">
        <v>5.25</v>
      </c>
      <c r="G20046">
        <v>230206</v>
      </c>
      <c r="H20046">
        <v>4362</v>
      </c>
      <c r="I20046" t="s">
        <v>79</v>
      </c>
      <c r="J20046">
        <v>6.51</v>
      </c>
      <c r="K20046">
        <v>1.26</v>
      </c>
      <c r="L20046">
        <v>56558</v>
      </c>
      <c r="M20046" t="s">
        <v>217</v>
      </c>
      <c r="N20046" t="str">
        <f t="shared" si="271"/>
        <v xml:space="preserve">12306024753 </v>
      </c>
      <c r="O20046">
        <v>230214</v>
      </c>
    </row>
    <row r="20047" spans="1:15" x14ac:dyDescent="0.25">
      <c r="A20047" t="s">
        <v>16</v>
      </c>
      <c r="B20047" t="s">
        <v>3221</v>
      </c>
      <c r="C20047">
        <v>1830</v>
      </c>
      <c r="D20047" t="s">
        <v>263</v>
      </c>
      <c r="E20047" t="s">
        <v>264</v>
      </c>
      <c r="F20047">
        <v>10.8</v>
      </c>
      <c r="G20047">
        <v>230206</v>
      </c>
      <c r="H20047">
        <v>4362</v>
      </c>
      <c r="I20047" t="s">
        <v>79</v>
      </c>
      <c r="J20047">
        <v>13.39</v>
      </c>
      <c r="K20047">
        <v>2.59</v>
      </c>
      <c r="L20047">
        <v>56558</v>
      </c>
      <c r="M20047" t="s">
        <v>217</v>
      </c>
      <c r="N20047" t="str">
        <f t="shared" si="271"/>
        <v xml:space="preserve">12306024753 </v>
      </c>
      <c r="O20047">
        <v>230214</v>
      </c>
    </row>
    <row r="20048" spans="1:15" x14ac:dyDescent="0.25">
      <c r="A20048" t="s">
        <v>16</v>
      </c>
      <c r="B20048" t="s">
        <v>3221</v>
      </c>
      <c r="C20048">
        <v>1830</v>
      </c>
      <c r="D20048" t="s">
        <v>263</v>
      </c>
      <c r="E20048" t="s">
        <v>264</v>
      </c>
      <c r="F20048">
        <v>29.71</v>
      </c>
      <c r="G20048">
        <v>230206</v>
      </c>
      <c r="H20048">
        <v>4362</v>
      </c>
      <c r="I20048" t="s">
        <v>79</v>
      </c>
      <c r="J20048">
        <v>36.840000000000003</v>
      </c>
      <c r="K20048">
        <v>7.13</v>
      </c>
      <c r="L20048">
        <v>56559</v>
      </c>
      <c r="M20048" t="s">
        <v>129</v>
      </c>
      <c r="N20048" t="str">
        <f t="shared" si="271"/>
        <v xml:space="preserve">12306024753 </v>
      </c>
      <c r="O20048">
        <v>230214</v>
      </c>
    </row>
    <row r="20049" spans="1:15" x14ac:dyDescent="0.25">
      <c r="A20049" t="s">
        <v>16</v>
      </c>
      <c r="B20049" t="s">
        <v>3221</v>
      </c>
      <c r="C20049">
        <v>1830</v>
      </c>
      <c r="D20049" t="s">
        <v>263</v>
      </c>
      <c r="E20049" t="s">
        <v>264</v>
      </c>
      <c r="F20049">
        <v>19.899999999999999</v>
      </c>
      <c r="G20049">
        <v>230206</v>
      </c>
      <c r="H20049">
        <v>4362</v>
      </c>
      <c r="I20049" t="s">
        <v>79</v>
      </c>
      <c r="J20049">
        <v>24.67</v>
      </c>
      <c r="K20049">
        <v>4.7699999999999996</v>
      </c>
      <c r="L20049">
        <v>56560</v>
      </c>
      <c r="M20049" t="s">
        <v>654</v>
      </c>
      <c r="N20049" t="str">
        <f t="shared" si="271"/>
        <v xml:space="preserve">12306024753 </v>
      </c>
      <c r="O20049">
        <v>230214</v>
      </c>
    </row>
    <row r="20050" spans="1:15" x14ac:dyDescent="0.25">
      <c r="A20050" t="s">
        <v>16</v>
      </c>
      <c r="B20050" t="s">
        <v>3221</v>
      </c>
      <c r="C20050">
        <v>1830</v>
      </c>
      <c r="D20050" t="s">
        <v>263</v>
      </c>
      <c r="E20050" t="s">
        <v>264</v>
      </c>
      <c r="F20050">
        <v>2.7</v>
      </c>
      <c r="G20050">
        <v>230206</v>
      </c>
      <c r="H20050">
        <v>4362</v>
      </c>
      <c r="I20050" t="s">
        <v>79</v>
      </c>
      <c r="J20050">
        <v>3.35</v>
      </c>
      <c r="K20050">
        <v>0.65</v>
      </c>
      <c r="L20050">
        <v>56561</v>
      </c>
      <c r="M20050" t="s">
        <v>358</v>
      </c>
      <c r="N20050" t="str">
        <f t="shared" si="271"/>
        <v xml:space="preserve">12306024753 </v>
      </c>
      <c r="O20050">
        <v>230214</v>
      </c>
    </row>
    <row r="20051" spans="1:15" x14ac:dyDescent="0.25">
      <c r="A20051" t="s">
        <v>16</v>
      </c>
      <c r="B20051" t="s">
        <v>3221</v>
      </c>
      <c r="C20051">
        <v>1830</v>
      </c>
      <c r="D20051" t="s">
        <v>263</v>
      </c>
      <c r="E20051" t="s">
        <v>264</v>
      </c>
      <c r="F20051">
        <v>5.87</v>
      </c>
      <c r="G20051">
        <v>230206</v>
      </c>
      <c r="H20051">
        <v>4362</v>
      </c>
      <c r="I20051" t="s">
        <v>79</v>
      </c>
      <c r="J20051">
        <v>7.28</v>
      </c>
      <c r="K20051">
        <v>1.41</v>
      </c>
      <c r="L20051">
        <v>56562</v>
      </c>
      <c r="M20051" t="s">
        <v>126</v>
      </c>
      <c r="N20051" t="str">
        <f t="shared" si="271"/>
        <v xml:space="preserve">12306024753 </v>
      </c>
      <c r="O20051">
        <v>230214</v>
      </c>
    </row>
    <row r="20052" spans="1:15" x14ac:dyDescent="0.25">
      <c r="A20052" t="s">
        <v>16</v>
      </c>
      <c r="B20052" t="s">
        <v>3221</v>
      </c>
      <c r="C20052">
        <v>1830</v>
      </c>
      <c r="D20052" t="s">
        <v>263</v>
      </c>
      <c r="E20052" t="s">
        <v>264</v>
      </c>
      <c r="F20052">
        <v>11.23</v>
      </c>
      <c r="G20052">
        <v>230206</v>
      </c>
      <c r="H20052">
        <v>4362</v>
      </c>
      <c r="I20052" t="s">
        <v>79</v>
      </c>
      <c r="J20052">
        <v>13.93</v>
      </c>
      <c r="K20052">
        <v>2.7</v>
      </c>
      <c r="L20052">
        <v>56564</v>
      </c>
      <c r="M20052" t="s">
        <v>327</v>
      </c>
      <c r="N20052" t="str">
        <f t="shared" si="271"/>
        <v xml:space="preserve">12306024753 </v>
      </c>
      <c r="O20052">
        <v>230214</v>
      </c>
    </row>
    <row r="20053" spans="1:15" x14ac:dyDescent="0.25">
      <c r="A20053" t="s">
        <v>16</v>
      </c>
      <c r="B20053" t="s">
        <v>3221</v>
      </c>
      <c r="C20053">
        <v>1830</v>
      </c>
      <c r="D20053" t="s">
        <v>263</v>
      </c>
      <c r="E20053" t="s">
        <v>264</v>
      </c>
      <c r="F20053">
        <v>7.34</v>
      </c>
      <c r="G20053">
        <v>230206</v>
      </c>
      <c r="H20053">
        <v>4362</v>
      </c>
      <c r="I20053" t="s">
        <v>79</v>
      </c>
      <c r="J20053">
        <v>9.1</v>
      </c>
      <c r="K20053">
        <v>1.76</v>
      </c>
      <c r="L20053">
        <v>56565</v>
      </c>
      <c r="M20053" t="s">
        <v>758</v>
      </c>
      <c r="N20053" t="str">
        <f t="shared" si="271"/>
        <v xml:space="preserve">12306024753 </v>
      </c>
      <c r="O20053">
        <v>230214</v>
      </c>
    </row>
    <row r="20054" spans="1:15" x14ac:dyDescent="0.25">
      <c r="A20054" t="s">
        <v>16</v>
      </c>
      <c r="B20054" t="s">
        <v>3221</v>
      </c>
      <c r="C20054">
        <v>1830</v>
      </c>
      <c r="D20054" t="s">
        <v>263</v>
      </c>
      <c r="E20054" t="s">
        <v>264</v>
      </c>
      <c r="F20054">
        <v>5.4</v>
      </c>
      <c r="G20054">
        <v>230206</v>
      </c>
      <c r="H20054">
        <v>4362</v>
      </c>
      <c r="I20054" t="s">
        <v>79</v>
      </c>
      <c r="J20054">
        <v>6.7</v>
      </c>
      <c r="K20054">
        <v>1.3</v>
      </c>
      <c r="L20054">
        <v>56566</v>
      </c>
      <c r="M20054" t="s">
        <v>652</v>
      </c>
      <c r="N20054" t="str">
        <f t="shared" si="271"/>
        <v xml:space="preserve">12306024753 </v>
      </c>
      <c r="O20054">
        <v>230214</v>
      </c>
    </row>
    <row r="20055" spans="1:15" x14ac:dyDescent="0.25">
      <c r="A20055" t="s">
        <v>16</v>
      </c>
      <c r="B20055" t="s">
        <v>3221</v>
      </c>
      <c r="C20055">
        <v>1830</v>
      </c>
      <c r="D20055" t="s">
        <v>263</v>
      </c>
      <c r="E20055" t="s">
        <v>264</v>
      </c>
      <c r="F20055">
        <v>2.7</v>
      </c>
      <c r="G20055">
        <v>230206</v>
      </c>
      <c r="H20055">
        <v>4362</v>
      </c>
      <c r="I20055" t="s">
        <v>79</v>
      </c>
      <c r="J20055">
        <v>3.35</v>
      </c>
      <c r="K20055">
        <v>0.65</v>
      </c>
      <c r="L20055">
        <v>56568</v>
      </c>
      <c r="M20055" t="s">
        <v>268</v>
      </c>
      <c r="N20055" t="str">
        <f t="shared" si="271"/>
        <v xml:space="preserve">12306024753 </v>
      </c>
      <c r="O20055">
        <v>230214</v>
      </c>
    </row>
    <row r="20056" spans="1:15" x14ac:dyDescent="0.25">
      <c r="A20056" t="s">
        <v>16</v>
      </c>
      <c r="B20056" t="s">
        <v>3221</v>
      </c>
      <c r="C20056">
        <v>2121</v>
      </c>
      <c r="D20056" t="s">
        <v>263</v>
      </c>
      <c r="E20056" t="s">
        <v>264</v>
      </c>
      <c r="F20056">
        <v>2.7</v>
      </c>
      <c r="G20056">
        <v>230206</v>
      </c>
      <c r="H20056">
        <v>4362</v>
      </c>
      <c r="I20056" t="s">
        <v>79</v>
      </c>
      <c r="J20056">
        <v>3.35</v>
      </c>
      <c r="K20056">
        <v>0.65</v>
      </c>
      <c r="L20056">
        <v>11905</v>
      </c>
      <c r="M20056" t="s">
        <v>39</v>
      </c>
      <c r="N20056" t="str">
        <f>"12306024775 "</f>
        <v xml:space="preserve">12306024775 </v>
      </c>
      <c r="O20056">
        <v>230221</v>
      </c>
    </row>
    <row r="20057" spans="1:15" x14ac:dyDescent="0.25">
      <c r="A20057" t="s">
        <v>16</v>
      </c>
      <c r="B20057" t="s">
        <v>3221</v>
      </c>
      <c r="C20057">
        <v>2121</v>
      </c>
      <c r="D20057" t="s">
        <v>263</v>
      </c>
      <c r="E20057" t="s">
        <v>264</v>
      </c>
      <c r="F20057">
        <v>5.4</v>
      </c>
      <c r="G20057">
        <v>230206</v>
      </c>
      <c r="H20057">
        <v>4362</v>
      </c>
      <c r="I20057" t="s">
        <v>79</v>
      </c>
      <c r="J20057">
        <v>6.69</v>
      </c>
      <c r="K20057">
        <v>1.29</v>
      </c>
      <c r="L20057">
        <v>11905</v>
      </c>
      <c r="M20057" t="s">
        <v>39</v>
      </c>
      <c r="N20057" t="str">
        <f>"12306024775 "</f>
        <v xml:space="preserve">12306024775 </v>
      </c>
      <c r="O20057">
        <v>230221</v>
      </c>
    </row>
    <row r="20058" spans="1:15" x14ac:dyDescent="0.25">
      <c r="A20058" t="s">
        <v>16</v>
      </c>
      <c r="B20058" t="s">
        <v>3221</v>
      </c>
      <c r="C20058">
        <v>2121</v>
      </c>
      <c r="D20058" t="s">
        <v>263</v>
      </c>
      <c r="E20058" t="s">
        <v>264</v>
      </c>
      <c r="F20058">
        <v>2.7</v>
      </c>
      <c r="G20058">
        <v>230206</v>
      </c>
      <c r="H20058">
        <v>4362</v>
      </c>
      <c r="I20058" t="s">
        <v>79</v>
      </c>
      <c r="J20058">
        <v>3.35</v>
      </c>
      <c r="K20058">
        <v>0.65</v>
      </c>
      <c r="L20058">
        <v>11905</v>
      </c>
      <c r="M20058" t="s">
        <v>39</v>
      </c>
      <c r="N20058" t="str">
        <f>"12306024775 "</f>
        <v xml:space="preserve">12306024775 </v>
      </c>
      <c r="O20058">
        <v>230221</v>
      </c>
    </row>
    <row r="20059" spans="1:15" x14ac:dyDescent="0.25">
      <c r="A20059" t="s">
        <v>16</v>
      </c>
      <c r="B20059" t="s">
        <v>3221</v>
      </c>
      <c r="C20059">
        <v>2121</v>
      </c>
      <c r="D20059" t="s">
        <v>263</v>
      </c>
      <c r="E20059" t="s">
        <v>264</v>
      </c>
      <c r="F20059">
        <v>5.4</v>
      </c>
      <c r="G20059">
        <v>230206</v>
      </c>
      <c r="H20059">
        <v>4362</v>
      </c>
      <c r="I20059" t="s">
        <v>79</v>
      </c>
      <c r="J20059">
        <v>6.7</v>
      </c>
      <c r="K20059">
        <v>1.3</v>
      </c>
      <c r="L20059">
        <v>11905</v>
      </c>
      <c r="M20059" t="s">
        <v>39</v>
      </c>
      <c r="N20059" t="str">
        <f>"12306024775 "</f>
        <v xml:space="preserve">12306024775 </v>
      </c>
      <c r="O20059">
        <v>230221</v>
      </c>
    </row>
    <row r="20060" spans="1:15" x14ac:dyDescent="0.25">
      <c r="A20060" t="s">
        <v>16</v>
      </c>
      <c r="B20060" t="s">
        <v>3221</v>
      </c>
      <c r="C20060">
        <v>2252</v>
      </c>
      <c r="D20060" t="s">
        <v>263</v>
      </c>
      <c r="E20060" t="s">
        <v>264</v>
      </c>
      <c r="F20060">
        <v>2.7</v>
      </c>
      <c r="G20060">
        <v>230206</v>
      </c>
      <c r="H20060">
        <v>4362</v>
      </c>
      <c r="I20060" t="s">
        <v>79</v>
      </c>
      <c r="J20060">
        <v>3.35</v>
      </c>
      <c r="K20060">
        <v>0.65</v>
      </c>
      <c r="L20060">
        <v>11001</v>
      </c>
      <c r="M20060" t="s">
        <v>326</v>
      </c>
      <c r="N20060" t="str">
        <f t="shared" ref="N20060:N20065" si="272">"12306024745 "</f>
        <v xml:space="preserve">12306024745 </v>
      </c>
      <c r="O20060">
        <v>230223</v>
      </c>
    </row>
    <row r="20061" spans="1:15" x14ac:dyDescent="0.25">
      <c r="A20061" t="s">
        <v>16</v>
      </c>
      <c r="B20061" t="s">
        <v>3221</v>
      </c>
      <c r="C20061">
        <v>2252</v>
      </c>
      <c r="D20061" t="s">
        <v>263</v>
      </c>
      <c r="E20061" t="s">
        <v>264</v>
      </c>
      <c r="F20061">
        <v>68.11</v>
      </c>
      <c r="G20061">
        <v>230206</v>
      </c>
      <c r="H20061">
        <v>4362</v>
      </c>
      <c r="I20061" t="s">
        <v>79</v>
      </c>
      <c r="J20061">
        <v>68.11</v>
      </c>
      <c r="K20061">
        <v>0</v>
      </c>
      <c r="L20061">
        <v>11001</v>
      </c>
      <c r="M20061" t="s">
        <v>326</v>
      </c>
      <c r="N20061" t="str">
        <f t="shared" si="272"/>
        <v xml:space="preserve">12306024745 </v>
      </c>
      <c r="O20061">
        <v>230223</v>
      </c>
    </row>
    <row r="20062" spans="1:15" x14ac:dyDescent="0.25">
      <c r="A20062" t="s">
        <v>16</v>
      </c>
      <c r="B20062" t="s">
        <v>3221</v>
      </c>
      <c r="C20062">
        <v>2252</v>
      </c>
      <c r="D20062" t="s">
        <v>263</v>
      </c>
      <c r="E20062" t="s">
        <v>264</v>
      </c>
      <c r="F20062">
        <v>7.28</v>
      </c>
      <c r="G20062">
        <v>230206</v>
      </c>
      <c r="H20062">
        <v>4362</v>
      </c>
      <c r="I20062" t="s">
        <v>79</v>
      </c>
      <c r="J20062">
        <v>9.0299999999999994</v>
      </c>
      <c r="K20062">
        <v>1.75</v>
      </c>
      <c r="L20062">
        <v>11501</v>
      </c>
      <c r="M20062" t="s">
        <v>339</v>
      </c>
      <c r="N20062" t="str">
        <f t="shared" si="272"/>
        <v xml:space="preserve">12306024745 </v>
      </c>
      <c r="O20062">
        <v>230223</v>
      </c>
    </row>
    <row r="20063" spans="1:15" x14ac:dyDescent="0.25">
      <c r="A20063" t="s">
        <v>16</v>
      </c>
      <c r="B20063" t="s">
        <v>3221</v>
      </c>
      <c r="C20063">
        <v>2252</v>
      </c>
      <c r="D20063" t="s">
        <v>263</v>
      </c>
      <c r="E20063" t="s">
        <v>264</v>
      </c>
      <c r="F20063">
        <v>2.7</v>
      </c>
      <c r="G20063">
        <v>230206</v>
      </c>
      <c r="H20063">
        <v>4362</v>
      </c>
      <c r="I20063" t="s">
        <v>79</v>
      </c>
      <c r="J20063">
        <v>3.35</v>
      </c>
      <c r="K20063">
        <v>0.65</v>
      </c>
      <c r="L20063">
        <v>11701</v>
      </c>
      <c r="M20063" t="s">
        <v>1204</v>
      </c>
      <c r="N20063" t="str">
        <f t="shared" si="272"/>
        <v xml:space="preserve">12306024745 </v>
      </c>
      <c r="O20063">
        <v>230223</v>
      </c>
    </row>
    <row r="20064" spans="1:15" x14ac:dyDescent="0.25">
      <c r="A20064" t="s">
        <v>16</v>
      </c>
      <c r="B20064" t="s">
        <v>3221</v>
      </c>
      <c r="C20064">
        <v>2252</v>
      </c>
      <c r="D20064" t="s">
        <v>263</v>
      </c>
      <c r="E20064" t="s">
        <v>264</v>
      </c>
      <c r="F20064">
        <v>6.01</v>
      </c>
      <c r="G20064">
        <v>230206</v>
      </c>
      <c r="H20064">
        <v>4362</v>
      </c>
      <c r="I20064" t="s">
        <v>79</v>
      </c>
      <c r="J20064">
        <v>7.45</v>
      </c>
      <c r="K20064">
        <v>1.44</v>
      </c>
      <c r="L20064">
        <v>11751</v>
      </c>
      <c r="M20064" t="s">
        <v>1339</v>
      </c>
      <c r="N20064" t="str">
        <f t="shared" si="272"/>
        <v xml:space="preserve">12306024745 </v>
      </c>
      <c r="O20064">
        <v>230223</v>
      </c>
    </row>
    <row r="20065" spans="1:15" x14ac:dyDescent="0.25">
      <c r="A20065" t="s">
        <v>16</v>
      </c>
      <c r="B20065" t="s">
        <v>3221</v>
      </c>
      <c r="C20065">
        <v>2252</v>
      </c>
      <c r="D20065" t="s">
        <v>263</v>
      </c>
      <c r="E20065" t="s">
        <v>264</v>
      </c>
      <c r="F20065">
        <v>20.97</v>
      </c>
      <c r="G20065">
        <v>230206</v>
      </c>
      <c r="H20065">
        <v>4362</v>
      </c>
      <c r="I20065" t="s">
        <v>79</v>
      </c>
      <c r="J20065">
        <v>26</v>
      </c>
      <c r="K20065">
        <v>5.03</v>
      </c>
      <c r="L20065">
        <v>14622</v>
      </c>
      <c r="M20065" t="s">
        <v>1005</v>
      </c>
      <c r="N20065" t="str">
        <f t="shared" si="272"/>
        <v xml:space="preserve">12306024745 </v>
      </c>
      <c r="O20065">
        <v>230223</v>
      </c>
    </row>
    <row r="20066" spans="1:15" x14ac:dyDescent="0.25">
      <c r="A20066" t="s">
        <v>16</v>
      </c>
      <c r="B20066" t="s">
        <v>3221</v>
      </c>
      <c r="C20066">
        <v>2255</v>
      </c>
      <c r="D20066" t="s">
        <v>263</v>
      </c>
      <c r="E20066" t="s">
        <v>264</v>
      </c>
      <c r="F20066">
        <v>25.89</v>
      </c>
      <c r="G20066">
        <v>230206</v>
      </c>
      <c r="H20066">
        <v>4362</v>
      </c>
      <c r="I20066" t="s">
        <v>79</v>
      </c>
      <c r="J20066">
        <v>32.1</v>
      </c>
      <c r="K20066">
        <v>6.21</v>
      </c>
      <c r="L20066">
        <v>11601</v>
      </c>
      <c r="M20066" t="s">
        <v>535</v>
      </c>
      <c r="N20066" t="str">
        <f t="shared" ref="N20066:N20083" si="273">"12306024780 "</f>
        <v xml:space="preserve">12306024780 </v>
      </c>
      <c r="O20066">
        <v>230223</v>
      </c>
    </row>
    <row r="20067" spans="1:15" x14ac:dyDescent="0.25">
      <c r="A20067" t="s">
        <v>16</v>
      </c>
      <c r="B20067" t="s">
        <v>3221</v>
      </c>
      <c r="C20067">
        <v>2255</v>
      </c>
      <c r="D20067" t="s">
        <v>263</v>
      </c>
      <c r="E20067" t="s">
        <v>264</v>
      </c>
      <c r="F20067">
        <v>2.5499999999999998</v>
      </c>
      <c r="G20067">
        <v>230206</v>
      </c>
      <c r="H20067">
        <v>4362</v>
      </c>
      <c r="I20067" t="s">
        <v>79</v>
      </c>
      <c r="J20067">
        <v>3.16</v>
      </c>
      <c r="K20067">
        <v>0.61</v>
      </c>
      <c r="L20067">
        <v>11603</v>
      </c>
      <c r="M20067" t="s">
        <v>945</v>
      </c>
      <c r="N20067" t="str">
        <f t="shared" si="273"/>
        <v xml:space="preserve">12306024780 </v>
      </c>
      <c r="O20067">
        <v>230223</v>
      </c>
    </row>
    <row r="20068" spans="1:15" x14ac:dyDescent="0.25">
      <c r="A20068" t="s">
        <v>16</v>
      </c>
      <c r="B20068" t="s">
        <v>3221</v>
      </c>
      <c r="C20068">
        <v>2255</v>
      </c>
      <c r="D20068" t="s">
        <v>263</v>
      </c>
      <c r="E20068" t="s">
        <v>264</v>
      </c>
      <c r="F20068">
        <v>17.2</v>
      </c>
      <c r="G20068">
        <v>230206</v>
      </c>
      <c r="H20068">
        <v>4362</v>
      </c>
      <c r="I20068" t="s">
        <v>79</v>
      </c>
      <c r="J20068">
        <v>21.33</v>
      </c>
      <c r="K20068">
        <v>4.13</v>
      </c>
      <c r="L20068">
        <v>14121</v>
      </c>
      <c r="M20068" t="s">
        <v>880</v>
      </c>
      <c r="N20068" t="str">
        <f t="shared" si="273"/>
        <v xml:space="preserve">12306024780 </v>
      </c>
      <c r="O20068">
        <v>230223</v>
      </c>
    </row>
    <row r="20069" spans="1:15" x14ac:dyDescent="0.25">
      <c r="A20069" t="s">
        <v>16</v>
      </c>
      <c r="B20069" t="s">
        <v>3221</v>
      </c>
      <c r="C20069">
        <v>2255</v>
      </c>
      <c r="D20069" t="s">
        <v>263</v>
      </c>
      <c r="E20069" t="s">
        <v>264</v>
      </c>
      <c r="F20069">
        <v>19.23</v>
      </c>
      <c r="G20069">
        <v>230206</v>
      </c>
      <c r="H20069">
        <v>4362</v>
      </c>
      <c r="I20069" t="s">
        <v>79</v>
      </c>
      <c r="J20069">
        <v>23.85</v>
      </c>
      <c r="K20069">
        <v>4.62</v>
      </c>
      <c r="L20069">
        <v>14321</v>
      </c>
      <c r="M20069" t="s">
        <v>717</v>
      </c>
      <c r="N20069" t="str">
        <f t="shared" si="273"/>
        <v xml:space="preserve">12306024780 </v>
      </c>
      <c r="O20069">
        <v>230223</v>
      </c>
    </row>
    <row r="20070" spans="1:15" x14ac:dyDescent="0.25">
      <c r="A20070" t="s">
        <v>16</v>
      </c>
      <c r="B20070" t="s">
        <v>3221</v>
      </c>
      <c r="C20070">
        <v>2255</v>
      </c>
      <c r="D20070" t="s">
        <v>263</v>
      </c>
      <c r="E20070" t="s">
        <v>264</v>
      </c>
      <c r="F20070">
        <v>21.01</v>
      </c>
      <c r="G20070">
        <v>230206</v>
      </c>
      <c r="H20070">
        <v>4362</v>
      </c>
      <c r="I20070" t="s">
        <v>79</v>
      </c>
      <c r="J20070">
        <v>26.05</v>
      </c>
      <c r="K20070">
        <v>5.04</v>
      </c>
      <c r="L20070">
        <v>14422</v>
      </c>
      <c r="M20070" t="s">
        <v>228</v>
      </c>
      <c r="N20070" t="str">
        <f t="shared" si="273"/>
        <v xml:space="preserve">12306024780 </v>
      </c>
      <c r="O20070">
        <v>230223</v>
      </c>
    </row>
    <row r="20071" spans="1:15" x14ac:dyDescent="0.25">
      <c r="A20071" t="s">
        <v>16</v>
      </c>
      <c r="B20071" t="s">
        <v>3221</v>
      </c>
      <c r="C20071">
        <v>2255</v>
      </c>
      <c r="D20071" t="s">
        <v>263</v>
      </c>
      <c r="E20071" t="s">
        <v>264</v>
      </c>
      <c r="F20071">
        <v>2.7</v>
      </c>
      <c r="G20071">
        <v>230206</v>
      </c>
      <c r="H20071">
        <v>4362</v>
      </c>
      <c r="I20071" t="s">
        <v>79</v>
      </c>
      <c r="J20071">
        <v>3.35</v>
      </c>
      <c r="K20071">
        <v>0.65</v>
      </c>
      <c r="L20071">
        <v>14431</v>
      </c>
      <c r="M20071" t="s">
        <v>861</v>
      </c>
      <c r="N20071" t="str">
        <f t="shared" si="273"/>
        <v xml:space="preserve">12306024780 </v>
      </c>
      <c r="O20071">
        <v>230223</v>
      </c>
    </row>
    <row r="20072" spans="1:15" x14ac:dyDescent="0.25">
      <c r="A20072" t="s">
        <v>16</v>
      </c>
      <c r="B20072" t="s">
        <v>3221</v>
      </c>
      <c r="C20072">
        <v>2255</v>
      </c>
      <c r="D20072" t="s">
        <v>263</v>
      </c>
      <c r="E20072" t="s">
        <v>264</v>
      </c>
      <c r="F20072">
        <v>5.4</v>
      </c>
      <c r="G20072">
        <v>230206</v>
      </c>
      <c r="H20072">
        <v>4362</v>
      </c>
      <c r="I20072" t="s">
        <v>79</v>
      </c>
      <c r="J20072">
        <v>6.7</v>
      </c>
      <c r="K20072">
        <v>1.3</v>
      </c>
      <c r="L20072">
        <v>14432</v>
      </c>
      <c r="M20072" t="s">
        <v>862</v>
      </c>
      <c r="N20072" t="str">
        <f t="shared" si="273"/>
        <v xml:space="preserve">12306024780 </v>
      </c>
      <c r="O20072">
        <v>230223</v>
      </c>
    </row>
    <row r="20073" spans="1:15" x14ac:dyDescent="0.25">
      <c r="A20073" t="s">
        <v>16</v>
      </c>
      <c r="B20073" t="s">
        <v>3221</v>
      </c>
      <c r="C20073">
        <v>2255</v>
      </c>
      <c r="D20073" t="s">
        <v>263</v>
      </c>
      <c r="E20073" t="s">
        <v>264</v>
      </c>
      <c r="F20073">
        <v>3.31</v>
      </c>
      <c r="G20073">
        <v>230206</v>
      </c>
      <c r="H20073">
        <v>4362</v>
      </c>
      <c r="I20073" t="s">
        <v>79</v>
      </c>
      <c r="J20073">
        <v>4.0999999999999996</v>
      </c>
      <c r="K20073">
        <v>0.79</v>
      </c>
      <c r="L20073">
        <v>14541</v>
      </c>
      <c r="M20073" t="s">
        <v>626</v>
      </c>
      <c r="N20073" t="str">
        <f t="shared" si="273"/>
        <v xml:space="preserve">12306024780 </v>
      </c>
      <c r="O20073">
        <v>230223</v>
      </c>
    </row>
    <row r="20074" spans="1:15" x14ac:dyDescent="0.25">
      <c r="A20074" t="s">
        <v>16</v>
      </c>
      <c r="B20074" t="s">
        <v>3221</v>
      </c>
      <c r="C20074">
        <v>2255</v>
      </c>
      <c r="D20074" t="s">
        <v>263</v>
      </c>
      <c r="E20074" t="s">
        <v>264</v>
      </c>
      <c r="F20074">
        <v>21.6</v>
      </c>
      <c r="G20074">
        <v>230206</v>
      </c>
      <c r="H20074">
        <v>4362</v>
      </c>
      <c r="I20074" t="s">
        <v>79</v>
      </c>
      <c r="J20074">
        <v>26.78</v>
      </c>
      <c r="K20074">
        <v>5.18</v>
      </c>
      <c r="L20074">
        <v>14622</v>
      </c>
      <c r="M20074" t="s">
        <v>1005</v>
      </c>
      <c r="N20074" t="str">
        <f t="shared" si="273"/>
        <v xml:space="preserve">12306024780 </v>
      </c>
      <c r="O20074">
        <v>230223</v>
      </c>
    </row>
    <row r="20075" spans="1:15" x14ac:dyDescent="0.25">
      <c r="A20075" t="s">
        <v>16</v>
      </c>
      <c r="B20075" t="s">
        <v>3221</v>
      </c>
      <c r="C20075">
        <v>2255</v>
      </c>
      <c r="D20075" t="s">
        <v>263</v>
      </c>
      <c r="E20075" t="s">
        <v>264</v>
      </c>
      <c r="F20075">
        <v>6.9</v>
      </c>
      <c r="G20075">
        <v>230206</v>
      </c>
      <c r="H20075">
        <v>4362</v>
      </c>
      <c r="I20075" t="s">
        <v>79</v>
      </c>
      <c r="J20075">
        <v>8.56</v>
      </c>
      <c r="K20075">
        <v>1.66</v>
      </c>
      <c r="L20075">
        <v>14640</v>
      </c>
      <c r="M20075" t="s">
        <v>229</v>
      </c>
      <c r="N20075" t="str">
        <f t="shared" si="273"/>
        <v xml:space="preserve">12306024780 </v>
      </c>
      <c r="O20075">
        <v>230223</v>
      </c>
    </row>
    <row r="20076" spans="1:15" x14ac:dyDescent="0.25">
      <c r="A20076" t="s">
        <v>16</v>
      </c>
      <c r="B20076" t="s">
        <v>3221</v>
      </c>
      <c r="C20076">
        <v>2255</v>
      </c>
      <c r="D20076" t="s">
        <v>263</v>
      </c>
      <c r="E20076" t="s">
        <v>264</v>
      </c>
      <c r="F20076">
        <v>2.68</v>
      </c>
      <c r="G20076">
        <v>230206</v>
      </c>
      <c r="H20076">
        <v>4362</v>
      </c>
      <c r="I20076" t="s">
        <v>79</v>
      </c>
      <c r="J20076">
        <v>3.32</v>
      </c>
      <c r="K20076">
        <v>0.64</v>
      </c>
      <c r="L20076">
        <v>14861</v>
      </c>
      <c r="M20076" t="s">
        <v>785</v>
      </c>
      <c r="N20076" t="str">
        <f t="shared" si="273"/>
        <v xml:space="preserve">12306024780 </v>
      </c>
      <c r="O20076">
        <v>230223</v>
      </c>
    </row>
    <row r="20077" spans="1:15" x14ac:dyDescent="0.25">
      <c r="A20077" t="s">
        <v>16</v>
      </c>
      <c r="B20077" t="s">
        <v>3221</v>
      </c>
      <c r="C20077">
        <v>2255</v>
      </c>
      <c r="D20077" t="s">
        <v>263</v>
      </c>
      <c r="E20077" t="s">
        <v>264</v>
      </c>
      <c r="F20077">
        <v>2.7</v>
      </c>
      <c r="G20077">
        <v>230206</v>
      </c>
      <c r="H20077">
        <v>4362</v>
      </c>
      <c r="I20077" t="s">
        <v>79</v>
      </c>
      <c r="J20077">
        <v>3.35</v>
      </c>
      <c r="K20077">
        <v>0.65</v>
      </c>
      <c r="L20077">
        <v>14861</v>
      </c>
      <c r="M20077" t="s">
        <v>785</v>
      </c>
      <c r="N20077" t="str">
        <f t="shared" si="273"/>
        <v xml:space="preserve">12306024780 </v>
      </c>
      <c r="O20077">
        <v>230223</v>
      </c>
    </row>
    <row r="20078" spans="1:15" x14ac:dyDescent="0.25">
      <c r="A20078" t="s">
        <v>16</v>
      </c>
      <c r="B20078" t="s">
        <v>3221</v>
      </c>
      <c r="C20078">
        <v>2255</v>
      </c>
      <c r="D20078" t="s">
        <v>263</v>
      </c>
      <c r="E20078" t="s">
        <v>264</v>
      </c>
      <c r="F20078">
        <v>5.4</v>
      </c>
      <c r="G20078">
        <v>230206</v>
      </c>
      <c r="H20078">
        <v>4362</v>
      </c>
      <c r="I20078" t="s">
        <v>79</v>
      </c>
      <c r="J20078">
        <v>6.7</v>
      </c>
      <c r="K20078">
        <v>1.3</v>
      </c>
      <c r="L20078">
        <v>14912</v>
      </c>
      <c r="M20078" t="s">
        <v>230</v>
      </c>
      <c r="N20078" t="str">
        <f t="shared" si="273"/>
        <v xml:space="preserve">12306024780 </v>
      </c>
      <c r="O20078">
        <v>230223</v>
      </c>
    </row>
    <row r="20079" spans="1:15" x14ac:dyDescent="0.25">
      <c r="A20079" t="s">
        <v>16</v>
      </c>
      <c r="B20079" t="s">
        <v>3221</v>
      </c>
      <c r="C20079">
        <v>2255</v>
      </c>
      <c r="D20079" t="s">
        <v>263</v>
      </c>
      <c r="E20079" t="s">
        <v>264</v>
      </c>
      <c r="F20079">
        <v>3.71</v>
      </c>
      <c r="G20079">
        <v>230206</v>
      </c>
      <c r="H20079">
        <v>4362</v>
      </c>
      <c r="I20079" t="s">
        <v>79</v>
      </c>
      <c r="J20079">
        <v>4.5999999999999996</v>
      </c>
      <c r="K20079">
        <v>0.89</v>
      </c>
      <c r="L20079">
        <v>14971</v>
      </c>
      <c r="M20079" t="s">
        <v>1259</v>
      </c>
      <c r="N20079" t="str">
        <f t="shared" si="273"/>
        <v xml:space="preserve">12306024780 </v>
      </c>
      <c r="O20079">
        <v>230223</v>
      </c>
    </row>
    <row r="20080" spans="1:15" x14ac:dyDescent="0.25">
      <c r="A20080" t="s">
        <v>16</v>
      </c>
      <c r="B20080" t="s">
        <v>3221</v>
      </c>
      <c r="C20080">
        <v>2255</v>
      </c>
      <c r="D20080" t="s">
        <v>263</v>
      </c>
      <c r="E20080" t="s">
        <v>264</v>
      </c>
      <c r="F20080">
        <v>3.78</v>
      </c>
      <c r="G20080">
        <v>230206</v>
      </c>
      <c r="H20080">
        <v>4362</v>
      </c>
      <c r="I20080" t="s">
        <v>79</v>
      </c>
      <c r="J20080">
        <v>4.6900000000000004</v>
      </c>
      <c r="K20080">
        <v>0.91</v>
      </c>
      <c r="L20080">
        <v>14972</v>
      </c>
      <c r="M20080" t="s">
        <v>898</v>
      </c>
      <c r="N20080" t="str">
        <f t="shared" si="273"/>
        <v xml:space="preserve">12306024780 </v>
      </c>
      <c r="O20080">
        <v>230223</v>
      </c>
    </row>
    <row r="20081" spans="1:15" x14ac:dyDescent="0.25">
      <c r="A20081" t="s">
        <v>16</v>
      </c>
      <c r="B20081" t="s">
        <v>3221</v>
      </c>
      <c r="C20081">
        <v>2255</v>
      </c>
      <c r="D20081" t="s">
        <v>263</v>
      </c>
      <c r="E20081" t="s">
        <v>264</v>
      </c>
      <c r="F20081">
        <v>3.44</v>
      </c>
      <c r="G20081">
        <v>230206</v>
      </c>
      <c r="H20081">
        <v>4362</v>
      </c>
      <c r="I20081" t="s">
        <v>79</v>
      </c>
      <c r="J20081">
        <v>4.2699999999999996</v>
      </c>
      <c r="K20081">
        <v>0.83</v>
      </c>
      <c r="L20081">
        <v>14974</v>
      </c>
      <c r="M20081" t="s">
        <v>1340</v>
      </c>
      <c r="N20081" t="str">
        <f t="shared" si="273"/>
        <v xml:space="preserve">12306024780 </v>
      </c>
      <c r="O20081">
        <v>230223</v>
      </c>
    </row>
    <row r="20082" spans="1:15" x14ac:dyDescent="0.25">
      <c r="A20082" t="s">
        <v>16</v>
      </c>
      <c r="B20082" t="s">
        <v>3221</v>
      </c>
      <c r="C20082">
        <v>2255</v>
      </c>
      <c r="D20082" t="s">
        <v>263</v>
      </c>
      <c r="E20082" t="s">
        <v>264</v>
      </c>
      <c r="F20082">
        <v>2.7</v>
      </c>
      <c r="G20082">
        <v>230206</v>
      </c>
      <c r="H20082">
        <v>4362</v>
      </c>
      <c r="I20082" t="s">
        <v>79</v>
      </c>
      <c r="J20082">
        <v>3.35</v>
      </c>
      <c r="K20082">
        <v>0.65</v>
      </c>
      <c r="L20082">
        <v>14975</v>
      </c>
      <c r="M20082" t="s">
        <v>1341</v>
      </c>
      <c r="N20082" t="str">
        <f t="shared" si="273"/>
        <v xml:space="preserve">12306024780 </v>
      </c>
      <c r="O20082">
        <v>230223</v>
      </c>
    </row>
    <row r="20083" spans="1:15" x14ac:dyDescent="0.25">
      <c r="A20083" t="s">
        <v>16</v>
      </c>
      <c r="B20083" t="s">
        <v>3221</v>
      </c>
      <c r="C20083">
        <v>2255</v>
      </c>
      <c r="D20083" t="s">
        <v>263</v>
      </c>
      <c r="E20083" t="s">
        <v>264</v>
      </c>
      <c r="F20083">
        <v>2.7</v>
      </c>
      <c r="G20083">
        <v>230206</v>
      </c>
      <c r="H20083">
        <v>4362</v>
      </c>
      <c r="I20083" t="s">
        <v>79</v>
      </c>
      <c r="J20083">
        <v>3.35</v>
      </c>
      <c r="K20083">
        <v>0.65</v>
      </c>
      <c r="L20083">
        <v>14975</v>
      </c>
      <c r="M20083" t="s">
        <v>1341</v>
      </c>
      <c r="N20083" t="str">
        <f t="shared" si="273"/>
        <v xml:space="preserve">12306024780 </v>
      </c>
      <c r="O20083">
        <v>230223</v>
      </c>
    </row>
    <row r="20084" spans="1:15" x14ac:dyDescent="0.25">
      <c r="A20084" t="s">
        <v>16</v>
      </c>
      <c r="B20084" t="s">
        <v>3221</v>
      </c>
      <c r="C20084">
        <v>2261</v>
      </c>
      <c r="D20084" t="s">
        <v>263</v>
      </c>
      <c r="E20084" t="s">
        <v>264</v>
      </c>
      <c r="F20084">
        <v>2.7</v>
      </c>
      <c r="G20084">
        <v>230206</v>
      </c>
      <c r="H20084">
        <v>4362</v>
      </c>
      <c r="I20084" t="s">
        <v>79</v>
      </c>
      <c r="J20084">
        <v>3.35</v>
      </c>
      <c r="K20084">
        <v>0.65</v>
      </c>
      <c r="L20084">
        <v>14972</v>
      </c>
      <c r="M20084" t="s">
        <v>898</v>
      </c>
      <c r="N20084" t="str">
        <f t="shared" ref="N20084:N20089" si="274">"12306024746 "</f>
        <v xml:space="preserve">12306024746 </v>
      </c>
      <c r="O20084">
        <v>230223</v>
      </c>
    </row>
    <row r="20085" spans="1:15" x14ac:dyDescent="0.25">
      <c r="A20085" t="s">
        <v>16</v>
      </c>
      <c r="B20085" t="s">
        <v>3221</v>
      </c>
      <c r="C20085">
        <v>2261</v>
      </c>
      <c r="D20085" t="s">
        <v>263</v>
      </c>
      <c r="E20085" t="s">
        <v>264</v>
      </c>
      <c r="F20085">
        <v>5.25</v>
      </c>
      <c r="G20085">
        <v>230206</v>
      </c>
      <c r="H20085">
        <v>4362</v>
      </c>
      <c r="I20085" t="s">
        <v>79</v>
      </c>
      <c r="J20085">
        <v>6.51</v>
      </c>
      <c r="K20085">
        <v>1.26</v>
      </c>
      <c r="L20085">
        <v>17972</v>
      </c>
      <c r="M20085" t="s">
        <v>248</v>
      </c>
      <c r="N20085" t="str">
        <f t="shared" si="274"/>
        <v xml:space="preserve">12306024746 </v>
      </c>
      <c r="O20085">
        <v>230223</v>
      </c>
    </row>
    <row r="20086" spans="1:15" x14ac:dyDescent="0.25">
      <c r="A20086" t="s">
        <v>16</v>
      </c>
      <c r="B20086" t="s">
        <v>3221</v>
      </c>
      <c r="C20086">
        <v>2261</v>
      </c>
      <c r="D20086" t="s">
        <v>263</v>
      </c>
      <c r="E20086" t="s">
        <v>264</v>
      </c>
      <c r="F20086">
        <v>16.72</v>
      </c>
      <c r="G20086">
        <v>230206</v>
      </c>
      <c r="H20086">
        <v>4362</v>
      </c>
      <c r="I20086" t="s">
        <v>79</v>
      </c>
      <c r="J20086">
        <v>20.73</v>
      </c>
      <c r="K20086">
        <v>4.01</v>
      </c>
      <c r="L20086">
        <v>18010</v>
      </c>
      <c r="M20086" t="s">
        <v>1344</v>
      </c>
      <c r="N20086" t="str">
        <f t="shared" si="274"/>
        <v xml:space="preserve">12306024746 </v>
      </c>
      <c r="O20086">
        <v>230223</v>
      </c>
    </row>
    <row r="20087" spans="1:15" x14ac:dyDescent="0.25">
      <c r="A20087" t="s">
        <v>16</v>
      </c>
      <c r="B20087" t="s">
        <v>3221</v>
      </c>
      <c r="C20087">
        <v>2261</v>
      </c>
      <c r="D20087" t="s">
        <v>263</v>
      </c>
      <c r="E20087" t="s">
        <v>264</v>
      </c>
      <c r="F20087">
        <v>29.96</v>
      </c>
      <c r="G20087">
        <v>230206</v>
      </c>
      <c r="H20087">
        <v>4362</v>
      </c>
      <c r="I20087" t="s">
        <v>79</v>
      </c>
      <c r="J20087">
        <v>37.15</v>
      </c>
      <c r="K20087">
        <v>7.19</v>
      </c>
      <c r="L20087">
        <v>18972</v>
      </c>
      <c r="M20087" t="s">
        <v>163</v>
      </c>
      <c r="N20087" t="str">
        <f t="shared" si="274"/>
        <v xml:space="preserve">12306024746 </v>
      </c>
      <c r="O20087">
        <v>230223</v>
      </c>
    </row>
    <row r="20088" spans="1:15" x14ac:dyDescent="0.25">
      <c r="A20088" t="s">
        <v>16</v>
      </c>
      <c r="B20088" t="s">
        <v>3221</v>
      </c>
      <c r="C20088">
        <v>2261</v>
      </c>
      <c r="D20088" t="s">
        <v>263</v>
      </c>
      <c r="E20088" t="s">
        <v>264</v>
      </c>
      <c r="F20088">
        <v>4.13</v>
      </c>
      <c r="G20088">
        <v>230206</v>
      </c>
      <c r="H20088">
        <v>4362</v>
      </c>
      <c r="I20088" t="s">
        <v>79</v>
      </c>
      <c r="J20088">
        <v>5.12</v>
      </c>
      <c r="K20088">
        <v>0.99</v>
      </c>
      <c r="L20088">
        <v>49702</v>
      </c>
      <c r="M20088" t="s">
        <v>584</v>
      </c>
      <c r="N20088" t="str">
        <f t="shared" si="274"/>
        <v xml:space="preserve">12306024746 </v>
      </c>
      <c r="O20088">
        <v>230223</v>
      </c>
    </row>
    <row r="20089" spans="1:15" x14ac:dyDescent="0.25">
      <c r="A20089" t="s">
        <v>16</v>
      </c>
      <c r="B20089" t="s">
        <v>3221</v>
      </c>
      <c r="C20089">
        <v>2261</v>
      </c>
      <c r="D20089" t="s">
        <v>263</v>
      </c>
      <c r="E20089" t="s">
        <v>264</v>
      </c>
      <c r="F20089">
        <v>6.53</v>
      </c>
      <c r="G20089">
        <v>230206</v>
      </c>
      <c r="H20089">
        <v>4362</v>
      </c>
      <c r="I20089" t="s">
        <v>79</v>
      </c>
      <c r="J20089">
        <v>8.1</v>
      </c>
      <c r="K20089">
        <v>1.57</v>
      </c>
      <c r="L20089">
        <v>59702</v>
      </c>
      <c r="M20089" t="s">
        <v>328</v>
      </c>
      <c r="N20089" t="str">
        <f t="shared" si="274"/>
        <v xml:space="preserve">12306024746 </v>
      </c>
      <c r="O20089">
        <v>230223</v>
      </c>
    </row>
    <row r="20090" spans="1:15" x14ac:dyDescent="0.25">
      <c r="A20090" t="s">
        <v>16</v>
      </c>
      <c r="B20090" t="s">
        <v>3221</v>
      </c>
      <c r="C20090">
        <v>2846</v>
      </c>
      <c r="D20090" t="s">
        <v>263</v>
      </c>
      <c r="E20090" t="s">
        <v>264</v>
      </c>
      <c r="F20090">
        <v>135.9</v>
      </c>
      <c r="G20090">
        <v>230215</v>
      </c>
      <c r="H20090">
        <v>4362</v>
      </c>
      <c r="I20090" t="s">
        <v>79</v>
      </c>
      <c r="J20090">
        <v>168.52</v>
      </c>
      <c r="K20090">
        <v>32.619999999999997</v>
      </c>
      <c r="L20090">
        <v>11801</v>
      </c>
      <c r="M20090" t="s">
        <v>92</v>
      </c>
      <c r="N20090" t="str">
        <f>"104345605   "</f>
        <v xml:space="preserve">104345605   </v>
      </c>
      <c r="O20090">
        <v>230308</v>
      </c>
    </row>
    <row r="20091" spans="1:15" x14ac:dyDescent="0.25">
      <c r="A20091" t="s">
        <v>16</v>
      </c>
      <c r="B20091" t="s">
        <v>3221</v>
      </c>
      <c r="C20091">
        <v>2949</v>
      </c>
      <c r="D20091" t="s">
        <v>263</v>
      </c>
      <c r="E20091" t="s">
        <v>264</v>
      </c>
      <c r="F20091">
        <v>5.25</v>
      </c>
      <c r="G20091">
        <v>230306</v>
      </c>
      <c r="H20091">
        <v>4362</v>
      </c>
      <c r="I20091" t="s">
        <v>79</v>
      </c>
      <c r="J20091">
        <v>6.51</v>
      </c>
      <c r="K20091">
        <v>1.26</v>
      </c>
      <c r="L20091">
        <v>16321</v>
      </c>
      <c r="M20091" t="s">
        <v>423</v>
      </c>
      <c r="N20091" t="str">
        <f t="shared" ref="N20091:N20101" si="275">"12310024539 "</f>
        <v xml:space="preserve">12310024539 </v>
      </c>
      <c r="O20091">
        <v>230308</v>
      </c>
    </row>
    <row r="20092" spans="1:15" x14ac:dyDescent="0.25">
      <c r="A20092" t="s">
        <v>16</v>
      </c>
      <c r="B20092" t="s">
        <v>3221</v>
      </c>
      <c r="C20092">
        <v>2949</v>
      </c>
      <c r="D20092" t="s">
        <v>263</v>
      </c>
      <c r="E20092" t="s">
        <v>264</v>
      </c>
      <c r="F20092">
        <v>8.1</v>
      </c>
      <c r="G20092">
        <v>230306</v>
      </c>
      <c r="H20092">
        <v>4362</v>
      </c>
      <c r="I20092" t="s">
        <v>79</v>
      </c>
      <c r="J20092">
        <v>10.039999999999999</v>
      </c>
      <c r="K20092">
        <v>1.94</v>
      </c>
      <c r="L20092">
        <v>16431</v>
      </c>
      <c r="M20092" t="s">
        <v>231</v>
      </c>
      <c r="N20092" t="str">
        <f t="shared" si="275"/>
        <v xml:space="preserve">12310024539 </v>
      </c>
      <c r="O20092">
        <v>230308</v>
      </c>
    </row>
    <row r="20093" spans="1:15" x14ac:dyDescent="0.25">
      <c r="A20093" t="s">
        <v>16</v>
      </c>
      <c r="B20093" t="s">
        <v>3221</v>
      </c>
      <c r="C20093">
        <v>2949</v>
      </c>
      <c r="D20093" t="s">
        <v>263</v>
      </c>
      <c r="E20093" t="s">
        <v>264</v>
      </c>
      <c r="F20093">
        <v>2.5499999999999998</v>
      </c>
      <c r="G20093">
        <v>230306</v>
      </c>
      <c r="H20093">
        <v>4362</v>
      </c>
      <c r="I20093" t="s">
        <v>79</v>
      </c>
      <c r="J20093">
        <v>3.16</v>
      </c>
      <c r="K20093">
        <v>0.61</v>
      </c>
      <c r="L20093">
        <v>17802</v>
      </c>
      <c r="M20093" t="s">
        <v>174</v>
      </c>
      <c r="N20093" t="str">
        <f t="shared" si="275"/>
        <v xml:space="preserve">12310024539 </v>
      </c>
      <c r="O20093">
        <v>230308</v>
      </c>
    </row>
    <row r="20094" spans="1:15" x14ac:dyDescent="0.25">
      <c r="A20094" t="s">
        <v>16</v>
      </c>
      <c r="B20094" t="s">
        <v>3221</v>
      </c>
      <c r="C20094">
        <v>2949</v>
      </c>
      <c r="D20094" t="s">
        <v>263</v>
      </c>
      <c r="E20094" t="s">
        <v>264</v>
      </c>
      <c r="F20094">
        <v>37.200000000000003</v>
      </c>
      <c r="G20094">
        <v>230306</v>
      </c>
      <c r="H20094">
        <v>4362</v>
      </c>
      <c r="I20094" t="s">
        <v>79</v>
      </c>
      <c r="J20094">
        <v>46.13</v>
      </c>
      <c r="K20094">
        <v>8.93</v>
      </c>
      <c r="L20094">
        <v>17802</v>
      </c>
      <c r="M20094" t="s">
        <v>174</v>
      </c>
      <c r="N20094" t="str">
        <f t="shared" si="275"/>
        <v xml:space="preserve">12310024539 </v>
      </c>
      <c r="O20094">
        <v>230308</v>
      </c>
    </row>
    <row r="20095" spans="1:15" x14ac:dyDescent="0.25">
      <c r="A20095" t="s">
        <v>16</v>
      </c>
      <c r="B20095" t="s">
        <v>3221</v>
      </c>
      <c r="C20095">
        <v>2949</v>
      </c>
      <c r="D20095" t="s">
        <v>263</v>
      </c>
      <c r="E20095" t="s">
        <v>264</v>
      </c>
      <c r="F20095">
        <v>8.2200000000000006</v>
      </c>
      <c r="G20095">
        <v>230306</v>
      </c>
      <c r="H20095">
        <v>4362</v>
      </c>
      <c r="I20095" t="s">
        <v>79</v>
      </c>
      <c r="J20095">
        <v>10.19</v>
      </c>
      <c r="K20095">
        <v>1.97</v>
      </c>
      <c r="L20095">
        <v>17803</v>
      </c>
      <c r="M20095" t="s">
        <v>389</v>
      </c>
      <c r="N20095" t="str">
        <f t="shared" si="275"/>
        <v xml:space="preserve">12310024539 </v>
      </c>
      <c r="O20095">
        <v>230308</v>
      </c>
    </row>
    <row r="20096" spans="1:15" x14ac:dyDescent="0.25">
      <c r="A20096" t="s">
        <v>16</v>
      </c>
      <c r="B20096" t="s">
        <v>3221</v>
      </c>
      <c r="C20096">
        <v>2949</v>
      </c>
      <c r="D20096" t="s">
        <v>263</v>
      </c>
      <c r="E20096" t="s">
        <v>264</v>
      </c>
      <c r="F20096">
        <v>2.7</v>
      </c>
      <c r="G20096">
        <v>230306</v>
      </c>
      <c r="H20096">
        <v>4362</v>
      </c>
      <c r="I20096" t="s">
        <v>79</v>
      </c>
      <c r="J20096">
        <v>3.35</v>
      </c>
      <c r="K20096">
        <v>0.65</v>
      </c>
      <c r="L20096">
        <v>17804</v>
      </c>
      <c r="M20096" t="s">
        <v>549</v>
      </c>
      <c r="N20096" t="str">
        <f t="shared" si="275"/>
        <v xml:space="preserve">12310024539 </v>
      </c>
      <c r="O20096">
        <v>230308</v>
      </c>
    </row>
    <row r="20097" spans="1:15" x14ac:dyDescent="0.25">
      <c r="A20097" t="s">
        <v>16</v>
      </c>
      <c r="B20097" t="s">
        <v>3221</v>
      </c>
      <c r="C20097">
        <v>2949</v>
      </c>
      <c r="D20097" t="s">
        <v>263</v>
      </c>
      <c r="E20097" t="s">
        <v>264</v>
      </c>
      <c r="F20097">
        <v>2.7</v>
      </c>
      <c r="G20097">
        <v>230306</v>
      </c>
      <c r="H20097">
        <v>4362</v>
      </c>
      <c r="I20097" t="s">
        <v>79</v>
      </c>
      <c r="J20097">
        <v>3.35</v>
      </c>
      <c r="K20097">
        <v>0.65</v>
      </c>
      <c r="L20097">
        <v>17805</v>
      </c>
      <c r="M20097" t="s">
        <v>102</v>
      </c>
      <c r="N20097" t="str">
        <f t="shared" si="275"/>
        <v xml:space="preserve">12310024539 </v>
      </c>
      <c r="O20097">
        <v>230308</v>
      </c>
    </row>
    <row r="20098" spans="1:15" x14ac:dyDescent="0.25">
      <c r="A20098" t="s">
        <v>16</v>
      </c>
      <c r="B20098" t="s">
        <v>3221</v>
      </c>
      <c r="C20098">
        <v>2949</v>
      </c>
      <c r="D20098" t="s">
        <v>263</v>
      </c>
      <c r="E20098" t="s">
        <v>264</v>
      </c>
      <c r="F20098">
        <v>5.4</v>
      </c>
      <c r="G20098">
        <v>230306</v>
      </c>
      <c r="H20098">
        <v>4362</v>
      </c>
      <c r="I20098" t="s">
        <v>79</v>
      </c>
      <c r="J20098">
        <v>6.7</v>
      </c>
      <c r="K20098">
        <v>1.3</v>
      </c>
      <c r="L20098">
        <v>17806</v>
      </c>
      <c r="M20098" t="s">
        <v>265</v>
      </c>
      <c r="N20098" t="str">
        <f t="shared" si="275"/>
        <v xml:space="preserve">12310024539 </v>
      </c>
      <c r="O20098">
        <v>230308</v>
      </c>
    </row>
    <row r="20099" spans="1:15" x14ac:dyDescent="0.25">
      <c r="A20099" t="s">
        <v>16</v>
      </c>
      <c r="B20099" t="s">
        <v>3221</v>
      </c>
      <c r="C20099">
        <v>2949</v>
      </c>
      <c r="D20099" t="s">
        <v>263</v>
      </c>
      <c r="E20099" t="s">
        <v>264</v>
      </c>
      <c r="F20099">
        <v>16.05</v>
      </c>
      <c r="G20099">
        <v>230306</v>
      </c>
      <c r="H20099">
        <v>4362</v>
      </c>
      <c r="I20099" t="s">
        <v>79</v>
      </c>
      <c r="J20099">
        <v>19.899999999999999</v>
      </c>
      <c r="K20099">
        <v>3.85</v>
      </c>
      <c r="L20099">
        <v>17807</v>
      </c>
      <c r="M20099" t="s">
        <v>318</v>
      </c>
      <c r="N20099" t="str">
        <f t="shared" si="275"/>
        <v xml:space="preserve">12310024539 </v>
      </c>
      <c r="O20099">
        <v>230308</v>
      </c>
    </row>
    <row r="20100" spans="1:15" x14ac:dyDescent="0.25">
      <c r="A20100" t="s">
        <v>16</v>
      </c>
      <c r="B20100" t="s">
        <v>3221</v>
      </c>
      <c r="C20100">
        <v>2949</v>
      </c>
      <c r="D20100" t="s">
        <v>263</v>
      </c>
      <c r="E20100" t="s">
        <v>264</v>
      </c>
      <c r="F20100">
        <v>8.1</v>
      </c>
      <c r="G20100">
        <v>230306</v>
      </c>
      <c r="H20100">
        <v>4362</v>
      </c>
      <c r="I20100" t="s">
        <v>79</v>
      </c>
      <c r="J20100">
        <v>10.039999999999999</v>
      </c>
      <c r="K20100">
        <v>1.94</v>
      </c>
      <c r="L20100">
        <v>17808</v>
      </c>
      <c r="M20100" t="s">
        <v>322</v>
      </c>
      <c r="N20100" t="str">
        <f t="shared" si="275"/>
        <v xml:space="preserve">12310024539 </v>
      </c>
      <c r="O20100">
        <v>230308</v>
      </c>
    </row>
    <row r="20101" spans="1:15" x14ac:dyDescent="0.25">
      <c r="A20101" t="s">
        <v>16</v>
      </c>
      <c r="B20101" t="s">
        <v>3221</v>
      </c>
      <c r="C20101">
        <v>2949</v>
      </c>
      <c r="D20101" t="s">
        <v>263</v>
      </c>
      <c r="E20101" t="s">
        <v>264</v>
      </c>
      <c r="F20101">
        <v>26.35</v>
      </c>
      <c r="G20101">
        <v>230306</v>
      </c>
      <c r="H20101">
        <v>4362</v>
      </c>
      <c r="I20101" t="s">
        <v>79</v>
      </c>
      <c r="J20101">
        <v>32.68</v>
      </c>
      <c r="K20101">
        <v>6.33</v>
      </c>
      <c r="L20101">
        <v>17809</v>
      </c>
      <c r="M20101" t="s">
        <v>376</v>
      </c>
      <c r="N20101" t="str">
        <f t="shared" si="275"/>
        <v xml:space="preserve">12310024539 </v>
      </c>
      <c r="O20101">
        <v>230308</v>
      </c>
    </row>
    <row r="20102" spans="1:15" x14ac:dyDescent="0.25">
      <c r="A20102" t="s">
        <v>16</v>
      </c>
      <c r="B20102" t="s">
        <v>3221</v>
      </c>
      <c r="C20102">
        <v>2951</v>
      </c>
      <c r="D20102" t="s">
        <v>263</v>
      </c>
      <c r="E20102" t="s">
        <v>264</v>
      </c>
      <c r="F20102">
        <v>10.8</v>
      </c>
      <c r="G20102">
        <v>230306</v>
      </c>
      <c r="H20102">
        <v>4362</v>
      </c>
      <c r="I20102" t="s">
        <v>79</v>
      </c>
      <c r="J20102">
        <v>13.39</v>
      </c>
      <c r="K20102">
        <v>2.59</v>
      </c>
      <c r="L20102">
        <v>17131</v>
      </c>
      <c r="M20102" t="s">
        <v>64</v>
      </c>
      <c r="N20102" t="str">
        <f t="shared" ref="N20102:N20111" si="276">"12310024540 "</f>
        <v xml:space="preserve">12310024540 </v>
      </c>
      <c r="O20102">
        <v>230308</v>
      </c>
    </row>
    <row r="20103" spans="1:15" x14ac:dyDescent="0.25">
      <c r="A20103" t="s">
        <v>16</v>
      </c>
      <c r="B20103" t="s">
        <v>3221</v>
      </c>
      <c r="C20103">
        <v>2951</v>
      </c>
      <c r="D20103" t="s">
        <v>263</v>
      </c>
      <c r="E20103" t="s">
        <v>264</v>
      </c>
      <c r="F20103">
        <v>10.93</v>
      </c>
      <c r="G20103">
        <v>230306</v>
      </c>
      <c r="H20103">
        <v>4362</v>
      </c>
      <c r="I20103" t="s">
        <v>79</v>
      </c>
      <c r="J20103">
        <v>13.55</v>
      </c>
      <c r="K20103">
        <v>2.62</v>
      </c>
      <c r="L20103">
        <v>17711</v>
      </c>
      <c r="M20103" t="s">
        <v>65</v>
      </c>
      <c r="N20103" t="str">
        <f t="shared" si="276"/>
        <v xml:space="preserve">12310024540 </v>
      </c>
      <c r="O20103">
        <v>230308</v>
      </c>
    </row>
    <row r="20104" spans="1:15" x14ac:dyDescent="0.25">
      <c r="A20104" t="s">
        <v>16</v>
      </c>
      <c r="B20104" t="s">
        <v>3221</v>
      </c>
      <c r="C20104">
        <v>2951</v>
      </c>
      <c r="D20104" t="s">
        <v>263</v>
      </c>
      <c r="E20104" t="s">
        <v>264</v>
      </c>
      <c r="F20104">
        <v>16.2</v>
      </c>
      <c r="G20104">
        <v>230306</v>
      </c>
      <c r="H20104">
        <v>4362</v>
      </c>
      <c r="I20104" t="s">
        <v>79</v>
      </c>
      <c r="J20104">
        <v>20.09</v>
      </c>
      <c r="K20104">
        <v>3.89</v>
      </c>
      <c r="L20104">
        <v>17711</v>
      </c>
      <c r="M20104" t="s">
        <v>65</v>
      </c>
      <c r="N20104" t="str">
        <f t="shared" si="276"/>
        <v xml:space="preserve">12310024540 </v>
      </c>
      <c r="O20104">
        <v>230308</v>
      </c>
    </row>
    <row r="20105" spans="1:15" x14ac:dyDescent="0.25">
      <c r="A20105" t="s">
        <v>16</v>
      </c>
      <c r="B20105" t="s">
        <v>3221</v>
      </c>
      <c r="C20105">
        <v>2951</v>
      </c>
      <c r="D20105" t="s">
        <v>263</v>
      </c>
      <c r="E20105" t="s">
        <v>264</v>
      </c>
      <c r="F20105">
        <v>5.4</v>
      </c>
      <c r="G20105">
        <v>230306</v>
      </c>
      <c r="H20105">
        <v>4362</v>
      </c>
      <c r="I20105" t="s">
        <v>79</v>
      </c>
      <c r="J20105">
        <v>6.7</v>
      </c>
      <c r="K20105">
        <v>1.3</v>
      </c>
      <c r="L20105">
        <v>17737</v>
      </c>
      <c r="M20105" t="s">
        <v>279</v>
      </c>
      <c r="N20105" t="str">
        <f t="shared" si="276"/>
        <v xml:space="preserve">12310024540 </v>
      </c>
      <c r="O20105">
        <v>230308</v>
      </c>
    </row>
    <row r="20106" spans="1:15" x14ac:dyDescent="0.25">
      <c r="A20106" t="s">
        <v>16</v>
      </c>
      <c r="B20106" t="s">
        <v>3221</v>
      </c>
      <c r="C20106">
        <v>2951</v>
      </c>
      <c r="D20106" t="s">
        <v>263</v>
      </c>
      <c r="E20106" t="s">
        <v>264</v>
      </c>
      <c r="F20106">
        <v>13.5</v>
      </c>
      <c r="G20106">
        <v>230306</v>
      </c>
      <c r="H20106">
        <v>4362</v>
      </c>
      <c r="I20106" t="s">
        <v>79</v>
      </c>
      <c r="J20106">
        <v>16.739999999999998</v>
      </c>
      <c r="K20106">
        <v>3.24</v>
      </c>
      <c r="L20106">
        <v>17737</v>
      </c>
      <c r="M20106" t="s">
        <v>279</v>
      </c>
      <c r="N20106" t="str">
        <f t="shared" si="276"/>
        <v xml:space="preserve">12310024540 </v>
      </c>
      <c r="O20106">
        <v>230308</v>
      </c>
    </row>
    <row r="20107" spans="1:15" x14ac:dyDescent="0.25">
      <c r="A20107" t="s">
        <v>16</v>
      </c>
      <c r="B20107" t="s">
        <v>3221</v>
      </c>
      <c r="C20107">
        <v>2951</v>
      </c>
      <c r="D20107" t="s">
        <v>263</v>
      </c>
      <c r="E20107" t="s">
        <v>264</v>
      </c>
      <c r="F20107">
        <v>2.7</v>
      </c>
      <c r="G20107">
        <v>230306</v>
      </c>
      <c r="H20107">
        <v>4362</v>
      </c>
      <c r="I20107" t="s">
        <v>79</v>
      </c>
      <c r="J20107">
        <v>3.35</v>
      </c>
      <c r="K20107">
        <v>0.65</v>
      </c>
      <c r="L20107">
        <v>17912</v>
      </c>
      <c r="M20107" t="s">
        <v>419</v>
      </c>
      <c r="N20107" t="str">
        <f t="shared" si="276"/>
        <v xml:space="preserve">12310024540 </v>
      </c>
      <c r="O20107">
        <v>230308</v>
      </c>
    </row>
    <row r="20108" spans="1:15" x14ac:dyDescent="0.25">
      <c r="A20108" t="s">
        <v>16</v>
      </c>
      <c r="B20108" t="s">
        <v>3221</v>
      </c>
      <c r="C20108">
        <v>2951</v>
      </c>
      <c r="D20108" t="s">
        <v>263</v>
      </c>
      <c r="E20108" t="s">
        <v>264</v>
      </c>
      <c r="F20108">
        <v>5.19</v>
      </c>
      <c r="G20108">
        <v>230306</v>
      </c>
      <c r="H20108">
        <v>4362</v>
      </c>
      <c r="I20108" t="s">
        <v>79</v>
      </c>
      <c r="J20108">
        <v>6.44</v>
      </c>
      <c r="K20108">
        <v>1.25</v>
      </c>
      <c r="L20108">
        <v>17915</v>
      </c>
      <c r="M20108" t="s">
        <v>572</v>
      </c>
      <c r="N20108" t="str">
        <f t="shared" si="276"/>
        <v xml:space="preserve">12310024540 </v>
      </c>
      <c r="O20108">
        <v>230308</v>
      </c>
    </row>
    <row r="20109" spans="1:15" x14ac:dyDescent="0.25">
      <c r="A20109" t="s">
        <v>16</v>
      </c>
      <c r="B20109" t="s">
        <v>3221</v>
      </c>
      <c r="C20109">
        <v>2951</v>
      </c>
      <c r="D20109" t="s">
        <v>263</v>
      </c>
      <c r="E20109" t="s">
        <v>264</v>
      </c>
      <c r="F20109">
        <v>10.8</v>
      </c>
      <c r="G20109">
        <v>230306</v>
      </c>
      <c r="H20109">
        <v>4362</v>
      </c>
      <c r="I20109" t="s">
        <v>79</v>
      </c>
      <c r="J20109">
        <v>13.39</v>
      </c>
      <c r="K20109">
        <v>2.59</v>
      </c>
      <c r="L20109">
        <v>17952</v>
      </c>
      <c r="M20109" t="s">
        <v>88</v>
      </c>
      <c r="N20109" t="str">
        <f t="shared" si="276"/>
        <v xml:space="preserve">12310024540 </v>
      </c>
      <c r="O20109">
        <v>230308</v>
      </c>
    </row>
    <row r="20110" spans="1:15" x14ac:dyDescent="0.25">
      <c r="A20110" t="s">
        <v>16</v>
      </c>
      <c r="B20110" t="s">
        <v>3221</v>
      </c>
      <c r="C20110">
        <v>2951</v>
      </c>
      <c r="D20110" t="s">
        <v>263</v>
      </c>
      <c r="E20110" t="s">
        <v>264</v>
      </c>
      <c r="F20110">
        <v>10.08</v>
      </c>
      <c r="G20110">
        <v>230306</v>
      </c>
      <c r="H20110">
        <v>4362</v>
      </c>
      <c r="I20110" t="s">
        <v>79</v>
      </c>
      <c r="J20110">
        <v>12.5</v>
      </c>
      <c r="K20110">
        <v>2.42</v>
      </c>
      <c r="L20110">
        <v>17971</v>
      </c>
      <c r="M20110" t="s">
        <v>138</v>
      </c>
      <c r="N20110" t="str">
        <f t="shared" si="276"/>
        <v xml:space="preserve">12310024540 </v>
      </c>
      <c r="O20110">
        <v>230308</v>
      </c>
    </row>
    <row r="20111" spans="1:15" x14ac:dyDescent="0.25">
      <c r="A20111" t="s">
        <v>16</v>
      </c>
      <c r="B20111" t="s">
        <v>3221</v>
      </c>
      <c r="C20111">
        <v>2951</v>
      </c>
      <c r="D20111" t="s">
        <v>263</v>
      </c>
      <c r="E20111" t="s">
        <v>264</v>
      </c>
      <c r="F20111">
        <v>5.53</v>
      </c>
      <c r="G20111">
        <v>230306</v>
      </c>
      <c r="H20111">
        <v>4362</v>
      </c>
      <c r="I20111" t="s">
        <v>79</v>
      </c>
      <c r="J20111">
        <v>6.86</v>
      </c>
      <c r="K20111">
        <v>1.33</v>
      </c>
      <c r="L20111">
        <v>17972</v>
      </c>
      <c r="M20111" t="s">
        <v>248</v>
      </c>
      <c r="N20111" t="str">
        <f t="shared" si="276"/>
        <v xml:space="preserve">12310024540 </v>
      </c>
      <c r="O20111">
        <v>230308</v>
      </c>
    </row>
    <row r="20112" spans="1:15" x14ac:dyDescent="0.25">
      <c r="A20112" t="s">
        <v>16</v>
      </c>
      <c r="B20112" t="s">
        <v>3221</v>
      </c>
      <c r="C20112">
        <v>2954</v>
      </c>
      <c r="D20112" t="s">
        <v>263</v>
      </c>
      <c r="E20112" t="s">
        <v>264</v>
      </c>
      <c r="F20112">
        <v>5.4</v>
      </c>
      <c r="G20112">
        <v>230306</v>
      </c>
      <c r="H20112">
        <v>4362</v>
      </c>
      <c r="I20112" t="s">
        <v>79</v>
      </c>
      <c r="J20112">
        <v>6.7</v>
      </c>
      <c r="K20112">
        <v>1.3</v>
      </c>
      <c r="L20112">
        <v>11905</v>
      </c>
      <c r="M20112" t="s">
        <v>39</v>
      </c>
      <c r="N20112" t="str">
        <f>"12310024546 "</f>
        <v xml:space="preserve">12310024546 </v>
      </c>
      <c r="O20112">
        <v>230308</v>
      </c>
    </row>
    <row r="20113" spans="1:15" x14ac:dyDescent="0.25">
      <c r="A20113" t="s">
        <v>16</v>
      </c>
      <c r="B20113" t="s">
        <v>3221</v>
      </c>
      <c r="C20113">
        <v>2954</v>
      </c>
      <c r="D20113" t="s">
        <v>263</v>
      </c>
      <c r="E20113" t="s">
        <v>264</v>
      </c>
      <c r="F20113">
        <v>2.7</v>
      </c>
      <c r="G20113">
        <v>230306</v>
      </c>
      <c r="H20113">
        <v>4362</v>
      </c>
      <c r="I20113" t="s">
        <v>79</v>
      </c>
      <c r="J20113">
        <v>3.35</v>
      </c>
      <c r="K20113">
        <v>0.65</v>
      </c>
      <c r="L20113">
        <v>11905</v>
      </c>
      <c r="M20113" t="s">
        <v>39</v>
      </c>
      <c r="N20113" t="str">
        <f>"12310024546 "</f>
        <v xml:space="preserve">12310024546 </v>
      </c>
      <c r="O20113">
        <v>230308</v>
      </c>
    </row>
    <row r="20114" spans="1:15" x14ac:dyDescent="0.25">
      <c r="A20114" t="s">
        <v>16</v>
      </c>
      <c r="B20114" t="s">
        <v>3221</v>
      </c>
      <c r="C20114">
        <v>2954</v>
      </c>
      <c r="D20114" t="s">
        <v>263</v>
      </c>
      <c r="E20114" t="s">
        <v>264</v>
      </c>
      <c r="F20114">
        <v>5.4</v>
      </c>
      <c r="G20114">
        <v>230306</v>
      </c>
      <c r="H20114">
        <v>4362</v>
      </c>
      <c r="I20114" t="s">
        <v>79</v>
      </c>
      <c r="J20114">
        <v>6.7</v>
      </c>
      <c r="K20114">
        <v>1.3</v>
      </c>
      <c r="L20114">
        <v>11905</v>
      </c>
      <c r="M20114" t="s">
        <v>39</v>
      </c>
      <c r="N20114" t="str">
        <f>"12310024546 "</f>
        <v xml:space="preserve">12310024546 </v>
      </c>
      <c r="O20114">
        <v>230308</v>
      </c>
    </row>
    <row r="20115" spans="1:15" x14ac:dyDescent="0.25">
      <c r="A20115" t="s">
        <v>16</v>
      </c>
      <c r="B20115" t="s">
        <v>3221</v>
      </c>
      <c r="C20115">
        <v>2954</v>
      </c>
      <c r="D20115" t="s">
        <v>263</v>
      </c>
      <c r="E20115" t="s">
        <v>264</v>
      </c>
      <c r="F20115">
        <v>2.69</v>
      </c>
      <c r="G20115">
        <v>230306</v>
      </c>
      <c r="H20115">
        <v>4362</v>
      </c>
      <c r="I20115" t="s">
        <v>79</v>
      </c>
      <c r="J20115">
        <v>3.34</v>
      </c>
      <c r="K20115">
        <v>0.65</v>
      </c>
      <c r="L20115">
        <v>11905</v>
      </c>
      <c r="M20115" t="s">
        <v>39</v>
      </c>
      <c r="N20115" t="str">
        <f>"12310024546 "</f>
        <v xml:space="preserve">12310024546 </v>
      </c>
      <c r="O20115">
        <v>230308</v>
      </c>
    </row>
    <row r="20116" spans="1:15" x14ac:dyDescent="0.25">
      <c r="A20116" t="s">
        <v>16</v>
      </c>
      <c r="B20116" t="s">
        <v>3221</v>
      </c>
      <c r="C20116">
        <v>2959</v>
      </c>
      <c r="D20116" t="s">
        <v>263</v>
      </c>
      <c r="E20116" t="s">
        <v>264</v>
      </c>
      <c r="F20116">
        <v>2.7</v>
      </c>
      <c r="G20116">
        <v>230306</v>
      </c>
      <c r="H20116">
        <v>4362</v>
      </c>
      <c r="I20116" t="s">
        <v>79</v>
      </c>
      <c r="J20116">
        <v>3.35</v>
      </c>
      <c r="K20116">
        <v>0.65</v>
      </c>
      <c r="L20116">
        <v>11903</v>
      </c>
      <c r="M20116" t="s">
        <v>406</v>
      </c>
      <c r="N20116" t="str">
        <f>"12310024557 "</f>
        <v xml:space="preserve">12310024557 </v>
      </c>
      <c r="O20116">
        <v>230308</v>
      </c>
    </row>
    <row r="20117" spans="1:15" x14ac:dyDescent="0.25">
      <c r="A20117" t="s">
        <v>16</v>
      </c>
      <c r="B20117" t="s">
        <v>3221</v>
      </c>
      <c r="C20117">
        <v>2960</v>
      </c>
      <c r="D20117" t="s">
        <v>263</v>
      </c>
      <c r="E20117" t="s">
        <v>264</v>
      </c>
      <c r="F20117">
        <v>10.44</v>
      </c>
      <c r="G20117">
        <v>230306</v>
      </c>
      <c r="H20117">
        <v>4362</v>
      </c>
      <c r="I20117" t="s">
        <v>79</v>
      </c>
      <c r="J20117">
        <v>12.95</v>
      </c>
      <c r="K20117">
        <v>2.5099999999999998</v>
      </c>
      <c r="L20117">
        <v>11900</v>
      </c>
      <c r="M20117" t="s">
        <v>1105</v>
      </c>
      <c r="N20117" t="str">
        <f>"12310024536 "</f>
        <v xml:space="preserve">12310024536 </v>
      </c>
      <c r="O20117">
        <v>230308</v>
      </c>
    </row>
    <row r="20118" spans="1:15" x14ac:dyDescent="0.25">
      <c r="A20118" t="s">
        <v>16</v>
      </c>
      <c r="B20118" t="s">
        <v>3221</v>
      </c>
      <c r="C20118">
        <v>2963</v>
      </c>
      <c r="D20118" t="s">
        <v>263</v>
      </c>
      <c r="E20118" t="s">
        <v>264</v>
      </c>
      <c r="F20118">
        <v>19.100000000000001</v>
      </c>
      <c r="G20118">
        <v>230306</v>
      </c>
      <c r="H20118">
        <v>4362</v>
      </c>
      <c r="I20118" t="s">
        <v>79</v>
      </c>
      <c r="J20118">
        <v>23.69</v>
      </c>
      <c r="K20118">
        <v>4.59</v>
      </c>
      <c r="L20118">
        <v>16121</v>
      </c>
      <c r="M20118" t="s">
        <v>21</v>
      </c>
      <c r="N20118" t="str">
        <f t="shared" ref="N20118:N20127" si="277">"12310024542 "</f>
        <v xml:space="preserve">12310024542 </v>
      </c>
      <c r="O20118">
        <v>230308</v>
      </c>
    </row>
    <row r="20119" spans="1:15" x14ac:dyDescent="0.25">
      <c r="A20119" t="s">
        <v>16</v>
      </c>
      <c r="B20119" t="s">
        <v>3221</v>
      </c>
      <c r="C20119">
        <v>2963</v>
      </c>
      <c r="D20119" t="s">
        <v>263</v>
      </c>
      <c r="E20119" t="s">
        <v>264</v>
      </c>
      <c r="F20119">
        <v>5.4</v>
      </c>
      <c r="G20119">
        <v>230306</v>
      </c>
      <c r="H20119">
        <v>4362</v>
      </c>
      <c r="I20119" t="s">
        <v>79</v>
      </c>
      <c r="J20119">
        <v>6.7</v>
      </c>
      <c r="K20119">
        <v>1.3</v>
      </c>
      <c r="L20119">
        <v>16322</v>
      </c>
      <c r="M20119" t="s">
        <v>22</v>
      </c>
      <c r="N20119" t="str">
        <f t="shared" si="277"/>
        <v xml:space="preserve">12310024542 </v>
      </c>
      <c r="O20119">
        <v>230308</v>
      </c>
    </row>
    <row r="20120" spans="1:15" x14ac:dyDescent="0.25">
      <c r="A20120" t="s">
        <v>16</v>
      </c>
      <c r="B20120" t="s">
        <v>3221</v>
      </c>
      <c r="C20120">
        <v>2963</v>
      </c>
      <c r="D20120" t="s">
        <v>263</v>
      </c>
      <c r="E20120" t="s">
        <v>264</v>
      </c>
      <c r="F20120">
        <v>2.7</v>
      </c>
      <c r="G20120">
        <v>230306</v>
      </c>
      <c r="H20120">
        <v>4362</v>
      </c>
      <c r="I20120" t="s">
        <v>79</v>
      </c>
      <c r="J20120">
        <v>3.35</v>
      </c>
      <c r="K20120">
        <v>0.65</v>
      </c>
      <c r="L20120">
        <v>16820</v>
      </c>
      <c r="M20120" t="s">
        <v>23</v>
      </c>
      <c r="N20120" t="str">
        <f t="shared" si="277"/>
        <v xml:space="preserve">12310024542 </v>
      </c>
      <c r="O20120">
        <v>230308</v>
      </c>
    </row>
    <row r="20121" spans="1:15" x14ac:dyDescent="0.25">
      <c r="A20121" t="s">
        <v>16</v>
      </c>
      <c r="B20121" t="s">
        <v>3221</v>
      </c>
      <c r="C20121">
        <v>2963</v>
      </c>
      <c r="D20121" t="s">
        <v>263</v>
      </c>
      <c r="E20121" t="s">
        <v>264</v>
      </c>
      <c r="F20121">
        <v>5.4</v>
      </c>
      <c r="G20121">
        <v>230306</v>
      </c>
      <c r="H20121">
        <v>4362</v>
      </c>
      <c r="I20121" t="s">
        <v>79</v>
      </c>
      <c r="J20121">
        <v>6.7</v>
      </c>
      <c r="K20121">
        <v>1.3</v>
      </c>
      <c r="L20121">
        <v>16820</v>
      </c>
      <c r="M20121" t="s">
        <v>23</v>
      </c>
      <c r="N20121" t="str">
        <f t="shared" si="277"/>
        <v xml:space="preserve">12310024542 </v>
      </c>
      <c r="O20121">
        <v>230308</v>
      </c>
    </row>
    <row r="20122" spans="1:15" x14ac:dyDescent="0.25">
      <c r="A20122" t="s">
        <v>16</v>
      </c>
      <c r="B20122" t="s">
        <v>3221</v>
      </c>
      <c r="C20122">
        <v>2963</v>
      </c>
      <c r="D20122" t="s">
        <v>263</v>
      </c>
      <c r="E20122" t="s">
        <v>264</v>
      </c>
      <c r="F20122">
        <v>7.2</v>
      </c>
      <c r="G20122">
        <v>230306</v>
      </c>
      <c r="H20122">
        <v>4362</v>
      </c>
      <c r="I20122" t="s">
        <v>79</v>
      </c>
      <c r="J20122">
        <v>8.93</v>
      </c>
      <c r="K20122">
        <v>1.73</v>
      </c>
      <c r="L20122">
        <v>17538</v>
      </c>
      <c r="M20122" t="s">
        <v>24</v>
      </c>
      <c r="N20122" t="str">
        <f t="shared" si="277"/>
        <v xml:space="preserve">12310024542 </v>
      </c>
      <c r="O20122">
        <v>230308</v>
      </c>
    </row>
    <row r="20123" spans="1:15" x14ac:dyDescent="0.25">
      <c r="A20123" t="s">
        <v>16</v>
      </c>
      <c r="B20123" t="s">
        <v>3221</v>
      </c>
      <c r="C20123">
        <v>2963</v>
      </c>
      <c r="D20123" t="s">
        <v>263</v>
      </c>
      <c r="E20123" t="s">
        <v>264</v>
      </c>
      <c r="F20123">
        <v>2.69</v>
      </c>
      <c r="G20123">
        <v>230306</v>
      </c>
      <c r="H20123">
        <v>4362</v>
      </c>
      <c r="I20123" t="s">
        <v>79</v>
      </c>
      <c r="J20123">
        <v>3.34</v>
      </c>
      <c r="K20123">
        <v>0.65</v>
      </c>
      <c r="L20123">
        <v>17950</v>
      </c>
      <c r="M20123" t="s">
        <v>86</v>
      </c>
      <c r="N20123" t="str">
        <f t="shared" si="277"/>
        <v xml:space="preserve">12310024542 </v>
      </c>
      <c r="O20123">
        <v>230308</v>
      </c>
    </row>
    <row r="20124" spans="1:15" x14ac:dyDescent="0.25">
      <c r="A20124" t="s">
        <v>16</v>
      </c>
      <c r="B20124" t="s">
        <v>3221</v>
      </c>
      <c r="C20124">
        <v>2963</v>
      </c>
      <c r="D20124" t="s">
        <v>263</v>
      </c>
      <c r="E20124" t="s">
        <v>264</v>
      </c>
      <c r="F20124">
        <v>2.69</v>
      </c>
      <c r="G20124">
        <v>230306</v>
      </c>
      <c r="H20124">
        <v>4362</v>
      </c>
      <c r="I20124" t="s">
        <v>79</v>
      </c>
      <c r="J20124">
        <v>3.34</v>
      </c>
      <c r="K20124">
        <v>0.65</v>
      </c>
      <c r="L20124">
        <v>17971</v>
      </c>
      <c r="M20124" t="s">
        <v>138</v>
      </c>
      <c r="N20124" t="str">
        <f t="shared" si="277"/>
        <v xml:space="preserve">12310024542 </v>
      </c>
      <c r="O20124">
        <v>230308</v>
      </c>
    </row>
    <row r="20125" spans="1:15" x14ac:dyDescent="0.25">
      <c r="A20125" t="s">
        <v>16</v>
      </c>
      <c r="B20125" t="s">
        <v>3221</v>
      </c>
      <c r="C20125">
        <v>2963</v>
      </c>
      <c r="D20125" t="s">
        <v>263</v>
      </c>
      <c r="E20125" t="s">
        <v>264</v>
      </c>
      <c r="F20125">
        <v>2.69</v>
      </c>
      <c r="G20125">
        <v>230306</v>
      </c>
      <c r="H20125">
        <v>4362</v>
      </c>
      <c r="I20125" t="s">
        <v>79</v>
      </c>
      <c r="J20125">
        <v>3.34</v>
      </c>
      <c r="K20125">
        <v>0.65</v>
      </c>
      <c r="L20125">
        <v>17972</v>
      </c>
      <c r="M20125" t="s">
        <v>248</v>
      </c>
      <c r="N20125" t="str">
        <f t="shared" si="277"/>
        <v xml:space="preserve">12310024542 </v>
      </c>
      <c r="O20125">
        <v>230308</v>
      </c>
    </row>
    <row r="20126" spans="1:15" x14ac:dyDescent="0.25">
      <c r="A20126" t="s">
        <v>16</v>
      </c>
      <c r="B20126" t="s">
        <v>3221</v>
      </c>
      <c r="C20126">
        <v>2963</v>
      </c>
      <c r="D20126" t="s">
        <v>263</v>
      </c>
      <c r="E20126" t="s">
        <v>264</v>
      </c>
      <c r="F20126">
        <v>2.7</v>
      </c>
      <c r="G20126">
        <v>230306</v>
      </c>
      <c r="H20126">
        <v>4362</v>
      </c>
      <c r="I20126" t="s">
        <v>79</v>
      </c>
      <c r="J20126">
        <v>3.35</v>
      </c>
      <c r="K20126">
        <v>0.65</v>
      </c>
      <c r="L20126">
        <v>17974</v>
      </c>
      <c r="M20126" t="s">
        <v>460</v>
      </c>
      <c r="N20126" t="str">
        <f t="shared" si="277"/>
        <v xml:space="preserve">12310024542 </v>
      </c>
      <c r="O20126">
        <v>230308</v>
      </c>
    </row>
    <row r="20127" spans="1:15" x14ac:dyDescent="0.25">
      <c r="A20127" t="s">
        <v>16</v>
      </c>
      <c r="B20127" t="s">
        <v>3221</v>
      </c>
      <c r="C20127">
        <v>2963</v>
      </c>
      <c r="D20127" t="s">
        <v>263</v>
      </c>
      <c r="E20127" t="s">
        <v>264</v>
      </c>
      <c r="F20127">
        <v>5.0999999999999996</v>
      </c>
      <c r="G20127">
        <v>230306</v>
      </c>
      <c r="H20127">
        <v>4362</v>
      </c>
      <c r="I20127" t="s">
        <v>79</v>
      </c>
      <c r="J20127">
        <v>6.33</v>
      </c>
      <c r="K20127">
        <v>1.23</v>
      </c>
      <c r="L20127">
        <v>17974</v>
      </c>
      <c r="M20127" t="s">
        <v>460</v>
      </c>
      <c r="N20127" t="str">
        <f t="shared" si="277"/>
        <v xml:space="preserve">12310024542 </v>
      </c>
      <c r="O20127">
        <v>230308</v>
      </c>
    </row>
    <row r="20128" spans="1:15" x14ac:dyDescent="0.25">
      <c r="A20128" t="s">
        <v>16</v>
      </c>
      <c r="B20128" t="s">
        <v>3221</v>
      </c>
      <c r="C20128">
        <v>2966</v>
      </c>
      <c r="D20128" t="s">
        <v>263</v>
      </c>
      <c r="E20128" t="s">
        <v>264</v>
      </c>
      <c r="F20128">
        <v>8.84</v>
      </c>
      <c r="G20128">
        <v>230306</v>
      </c>
      <c r="H20128">
        <v>4362</v>
      </c>
      <c r="I20128" t="s">
        <v>79</v>
      </c>
      <c r="J20128">
        <v>10.96</v>
      </c>
      <c r="K20128">
        <v>2.12</v>
      </c>
      <c r="L20128">
        <v>17913</v>
      </c>
      <c r="M20128" t="s">
        <v>431</v>
      </c>
      <c r="N20128" t="str">
        <f t="shared" ref="N20128:N20133" si="278">"12310024538 "</f>
        <v xml:space="preserve">12310024538 </v>
      </c>
      <c r="O20128">
        <v>230308</v>
      </c>
    </row>
    <row r="20129" spans="1:15" x14ac:dyDescent="0.25">
      <c r="A20129" t="s">
        <v>16</v>
      </c>
      <c r="B20129" t="s">
        <v>3221</v>
      </c>
      <c r="C20129">
        <v>2966</v>
      </c>
      <c r="D20129" t="s">
        <v>263</v>
      </c>
      <c r="E20129" t="s">
        <v>264</v>
      </c>
      <c r="F20129">
        <v>23.48</v>
      </c>
      <c r="G20129">
        <v>230306</v>
      </c>
      <c r="H20129">
        <v>4362</v>
      </c>
      <c r="I20129" t="s">
        <v>79</v>
      </c>
      <c r="J20129">
        <v>29.12</v>
      </c>
      <c r="K20129">
        <v>5.64</v>
      </c>
      <c r="L20129">
        <v>17951</v>
      </c>
      <c r="M20129" t="s">
        <v>87</v>
      </c>
      <c r="N20129" t="str">
        <f t="shared" si="278"/>
        <v xml:space="preserve">12310024538 </v>
      </c>
      <c r="O20129">
        <v>230308</v>
      </c>
    </row>
    <row r="20130" spans="1:15" x14ac:dyDescent="0.25">
      <c r="A20130" t="s">
        <v>16</v>
      </c>
      <c r="B20130" t="s">
        <v>3221</v>
      </c>
      <c r="C20130">
        <v>2966</v>
      </c>
      <c r="D20130" t="s">
        <v>263</v>
      </c>
      <c r="E20130" t="s">
        <v>264</v>
      </c>
      <c r="F20130">
        <v>11.2</v>
      </c>
      <c r="G20130">
        <v>230306</v>
      </c>
      <c r="H20130">
        <v>4362</v>
      </c>
      <c r="I20130" t="s">
        <v>79</v>
      </c>
      <c r="J20130">
        <v>13.89</v>
      </c>
      <c r="K20130">
        <v>2.69</v>
      </c>
      <c r="L20130">
        <v>17971</v>
      </c>
      <c r="M20130" t="s">
        <v>138</v>
      </c>
      <c r="N20130" t="str">
        <f t="shared" si="278"/>
        <v xml:space="preserve">12310024538 </v>
      </c>
      <c r="O20130">
        <v>230308</v>
      </c>
    </row>
    <row r="20131" spans="1:15" x14ac:dyDescent="0.25">
      <c r="A20131" t="s">
        <v>16</v>
      </c>
      <c r="B20131" t="s">
        <v>3221</v>
      </c>
      <c r="C20131">
        <v>2966</v>
      </c>
      <c r="D20131" t="s">
        <v>263</v>
      </c>
      <c r="E20131" t="s">
        <v>264</v>
      </c>
      <c r="F20131">
        <v>5.25</v>
      </c>
      <c r="G20131">
        <v>230306</v>
      </c>
      <c r="H20131">
        <v>4362</v>
      </c>
      <c r="I20131" t="s">
        <v>79</v>
      </c>
      <c r="J20131">
        <v>6.51</v>
      </c>
      <c r="K20131">
        <v>1.26</v>
      </c>
      <c r="L20131">
        <v>17974</v>
      </c>
      <c r="M20131" t="s">
        <v>460</v>
      </c>
      <c r="N20131" t="str">
        <f t="shared" si="278"/>
        <v xml:space="preserve">12310024538 </v>
      </c>
      <c r="O20131">
        <v>230308</v>
      </c>
    </row>
    <row r="20132" spans="1:15" x14ac:dyDescent="0.25">
      <c r="A20132" t="s">
        <v>16</v>
      </c>
      <c r="B20132" t="s">
        <v>3221</v>
      </c>
      <c r="C20132">
        <v>2966</v>
      </c>
      <c r="D20132" t="s">
        <v>263</v>
      </c>
      <c r="E20132" t="s">
        <v>264</v>
      </c>
      <c r="F20132">
        <v>35.31</v>
      </c>
      <c r="G20132">
        <v>230306</v>
      </c>
      <c r="H20132">
        <v>4362</v>
      </c>
      <c r="I20132" t="s">
        <v>79</v>
      </c>
      <c r="J20132">
        <v>43.78</v>
      </c>
      <c r="K20132">
        <v>8.4700000000000006</v>
      </c>
      <c r="L20132">
        <v>17975</v>
      </c>
      <c r="M20132" t="s">
        <v>798</v>
      </c>
      <c r="N20132" t="str">
        <f t="shared" si="278"/>
        <v xml:space="preserve">12310024538 </v>
      </c>
      <c r="O20132">
        <v>230308</v>
      </c>
    </row>
    <row r="20133" spans="1:15" x14ac:dyDescent="0.25">
      <c r="A20133" t="s">
        <v>16</v>
      </c>
      <c r="B20133" t="s">
        <v>3221</v>
      </c>
      <c r="C20133">
        <v>2966</v>
      </c>
      <c r="D20133" t="s">
        <v>263</v>
      </c>
      <c r="E20133" t="s">
        <v>264</v>
      </c>
      <c r="F20133">
        <v>2.7</v>
      </c>
      <c r="G20133">
        <v>230306</v>
      </c>
      <c r="H20133">
        <v>4362</v>
      </c>
      <c r="I20133" t="s">
        <v>79</v>
      </c>
      <c r="J20133">
        <v>3.35</v>
      </c>
      <c r="K20133">
        <v>0.65</v>
      </c>
      <c r="L20133">
        <v>18987</v>
      </c>
      <c r="M20133" t="s">
        <v>989</v>
      </c>
      <c r="N20133" t="str">
        <f t="shared" si="278"/>
        <v xml:space="preserve">12310024538 </v>
      </c>
      <c r="O20133">
        <v>230308</v>
      </c>
    </row>
    <row r="20134" spans="1:15" x14ac:dyDescent="0.25">
      <c r="A20134" t="s">
        <v>16</v>
      </c>
      <c r="B20134" t="s">
        <v>3221</v>
      </c>
      <c r="C20134">
        <v>2969</v>
      </c>
      <c r="D20134" t="s">
        <v>263</v>
      </c>
      <c r="E20134" t="s">
        <v>264</v>
      </c>
      <c r="F20134">
        <v>2.7</v>
      </c>
      <c r="G20134">
        <v>230306</v>
      </c>
      <c r="H20134">
        <v>4362</v>
      </c>
      <c r="I20134" t="s">
        <v>79</v>
      </c>
      <c r="J20134">
        <v>3.35</v>
      </c>
      <c r="K20134">
        <v>0.65</v>
      </c>
      <c r="L20134">
        <v>11301</v>
      </c>
      <c r="M20134" t="s">
        <v>29</v>
      </c>
      <c r="N20134" t="str">
        <f t="shared" ref="N20134:N20145" si="279">"12310024523 "</f>
        <v xml:space="preserve">12310024523 </v>
      </c>
      <c r="O20134">
        <v>230308</v>
      </c>
    </row>
    <row r="20135" spans="1:15" x14ac:dyDescent="0.25">
      <c r="A20135" t="s">
        <v>16</v>
      </c>
      <c r="B20135" t="s">
        <v>3221</v>
      </c>
      <c r="C20135">
        <v>2969</v>
      </c>
      <c r="D20135" t="s">
        <v>263</v>
      </c>
      <c r="E20135" t="s">
        <v>264</v>
      </c>
      <c r="F20135">
        <v>5.25</v>
      </c>
      <c r="G20135">
        <v>230306</v>
      </c>
      <c r="H20135">
        <v>4362</v>
      </c>
      <c r="I20135" t="s">
        <v>79</v>
      </c>
      <c r="J20135">
        <v>6.51</v>
      </c>
      <c r="K20135">
        <v>1.26</v>
      </c>
      <c r="L20135">
        <v>11301</v>
      </c>
      <c r="M20135" t="s">
        <v>29</v>
      </c>
      <c r="N20135" t="str">
        <f t="shared" si="279"/>
        <v xml:space="preserve">12310024523 </v>
      </c>
      <c r="O20135">
        <v>230308</v>
      </c>
    </row>
    <row r="20136" spans="1:15" x14ac:dyDescent="0.25">
      <c r="A20136" t="s">
        <v>16</v>
      </c>
      <c r="B20136" t="s">
        <v>3221</v>
      </c>
      <c r="C20136">
        <v>2969</v>
      </c>
      <c r="D20136" t="s">
        <v>263</v>
      </c>
      <c r="E20136" t="s">
        <v>264</v>
      </c>
      <c r="F20136">
        <v>8.39</v>
      </c>
      <c r="G20136">
        <v>230306</v>
      </c>
      <c r="H20136">
        <v>4362</v>
      </c>
      <c r="I20136" t="s">
        <v>79</v>
      </c>
      <c r="J20136">
        <v>10.4</v>
      </c>
      <c r="K20136">
        <v>2.0099999999999998</v>
      </c>
      <c r="L20136">
        <v>11900</v>
      </c>
      <c r="M20136" t="s">
        <v>1105</v>
      </c>
      <c r="N20136" t="str">
        <f t="shared" si="279"/>
        <v xml:space="preserve">12310024523 </v>
      </c>
      <c r="O20136">
        <v>230308</v>
      </c>
    </row>
    <row r="20137" spans="1:15" x14ac:dyDescent="0.25">
      <c r="A20137" t="s">
        <v>16</v>
      </c>
      <c r="B20137" t="s">
        <v>3221</v>
      </c>
      <c r="C20137">
        <v>2969</v>
      </c>
      <c r="D20137" t="s">
        <v>263</v>
      </c>
      <c r="E20137" t="s">
        <v>264</v>
      </c>
      <c r="F20137">
        <v>9.0399999999999991</v>
      </c>
      <c r="G20137">
        <v>230306</v>
      </c>
      <c r="H20137">
        <v>4362</v>
      </c>
      <c r="I20137" t="s">
        <v>79</v>
      </c>
      <c r="J20137">
        <v>11.21</v>
      </c>
      <c r="K20137">
        <v>2.17</v>
      </c>
      <c r="L20137">
        <v>11901</v>
      </c>
      <c r="M20137" t="s">
        <v>36</v>
      </c>
      <c r="N20137" t="str">
        <f t="shared" si="279"/>
        <v xml:space="preserve">12310024523 </v>
      </c>
      <c r="O20137">
        <v>230308</v>
      </c>
    </row>
    <row r="20138" spans="1:15" x14ac:dyDescent="0.25">
      <c r="A20138" t="s">
        <v>16</v>
      </c>
      <c r="B20138" t="s">
        <v>3221</v>
      </c>
      <c r="C20138">
        <v>2969</v>
      </c>
      <c r="D20138" t="s">
        <v>263</v>
      </c>
      <c r="E20138" t="s">
        <v>264</v>
      </c>
      <c r="F20138">
        <v>11.23</v>
      </c>
      <c r="G20138">
        <v>230306</v>
      </c>
      <c r="H20138">
        <v>4362</v>
      </c>
      <c r="I20138" t="s">
        <v>79</v>
      </c>
      <c r="J20138">
        <v>11.23</v>
      </c>
      <c r="K20138">
        <v>0</v>
      </c>
      <c r="L20138">
        <v>11901</v>
      </c>
      <c r="M20138" t="s">
        <v>36</v>
      </c>
      <c r="N20138" t="str">
        <f t="shared" si="279"/>
        <v xml:space="preserve">12310024523 </v>
      </c>
      <c r="O20138">
        <v>230308</v>
      </c>
    </row>
    <row r="20139" spans="1:15" x14ac:dyDescent="0.25">
      <c r="A20139" t="s">
        <v>16</v>
      </c>
      <c r="B20139" t="s">
        <v>3221</v>
      </c>
      <c r="C20139">
        <v>2969</v>
      </c>
      <c r="D20139" t="s">
        <v>263</v>
      </c>
      <c r="E20139" t="s">
        <v>264</v>
      </c>
      <c r="F20139">
        <v>5.4</v>
      </c>
      <c r="G20139">
        <v>230306</v>
      </c>
      <c r="H20139">
        <v>4362</v>
      </c>
      <c r="I20139" t="s">
        <v>79</v>
      </c>
      <c r="J20139">
        <v>6.7</v>
      </c>
      <c r="K20139">
        <v>1.3</v>
      </c>
      <c r="L20139">
        <v>11903</v>
      </c>
      <c r="M20139" t="s">
        <v>406</v>
      </c>
      <c r="N20139" t="str">
        <f t="shared" si="279"/>
        <v xml:space="preserve">12310024523 </v>
      </c>
      <c r="O20139">
        <v>230308</v>
      </c>
    </row>
    <row r="20140" spans="1:15" x14ac:dyDescent="0.25">
      <c r="A20140" t="s">
        <v>16</v>
      </c>
      <c r="B20140" t="s">
        <v>3221</v>
      </c>
      <c r="C20140">
        <v>2969</v>
      </c>
      <c r="D20140" t="s">
        <v>263</v>
      </c>
      <c r="E20140" t="s">
        <v>264</v>
      </c>
      <c r="F20140">
        <v>2.7</v>
      </c>
      <c r="G20140">
        <v>230306</v>
      </c>
      <c r="H20140">
        <v>4362</v>
      </c>
      <c r="I20140" t="s">
        <v>79</v>
      </c>
      <c r="J20140">
        <v>3.35</v>
      </c>
      <c r="K20140">
        <v>0.65</v>
      </c>
      <c r="L20140">
        <v>11905</v>
      </c>
      <c r="M20140" t="s">
        <v>39</v>
      </c>
      <c r="N20140" t="str">
        <f t="shared" si="279"/>
        <v xml:space="preserve">12310024523 </v>
      </c>
      <c r="O20140">
        <v>230308</v>
      </c>
    </row>
    <row r="20141" spans="1:15" x14ac:dyDescent="0.25">
      <c r="A20141" t="s">
        <v>16</v>
      </c>
      <c r="B20141" t="s">
        <v>3221</v>
      </c>
      <c r="C20141">
        <v>2969</v>
      </c>
      <c r="D20141" t="s">
        <v>263</v>
      </c>
      <c r="E20141" t="s">
        <v>264</v>
      </c>
      <c r="F20141">
        <v>2.7</v>
      </c>
      <c r="G20141">
        <v>230306</v>
      </c>
      <c r="H20141">
        <v>4362</v>
      </c>
      <c r="I20141" t="s">
        <v>79</v>
      </c>
      <c r="J20141">
        <v>3.35</v>
      </c>
      <c r="K20141">
        <v>0.65</v>
      </c>
      <c r="L20141">
        <v>11905</v>
      </c>
      <c r="M20141" t="s">
        <v>39</v>
      </c>
      <c r="N20141" t="str">
        <f t="shared" si="279"/>
        <v xml:space="preserve">12310024523 </v>
      </c>
      <c r="O20141">
        <v>230308</v>
      </c>
    </row>
    <row r="20142" spans="1:15" x14ac:dyDescent="0.25">
      <c r="A20142" t="s">
        <v>16</v>
      </c>
      <c r="B20142" t="s">
        <v>3221</v>
      </c>
      <c r="C20142">
        <v>2969</v>
      </c>
      <c r="D20142" t="s">
        <v>263</v>
      </c>
      <c r="E20142" t="s">
        <v>264</v>
      </c>
      <c r="F20142">
        <v>5.2</v>
      </c>
      <c r="G20142">
        <v>230306</v>
      </c>
      <c r="H20142">
        <v>4362</v>
      </c>
      <c r="I20142" t="s">
        <v>79</v>
      </c>
      <c r="J20142">
        <v>6.45</v>
      </c>
      <c r="K20142">
        <v>1.25</v>
      </c>
      <c r="L20142">
        <v>11908</v>
      </c>
      <c r="M20142" t="s">
        <v>598</v>
      </c>
      <c r="N20142" t="str">
        <f t="shared" si="279"/>
        <v xml:space="preserve">12310024523 </v>
      </c>
      <c r="O20142">
        <v>230308</v>
      </c>
    </row>
    <row r="20143" spans="1:15" x14ac:dyDescent="0.25">
      <c r="A20143" t="s">
        <v>16</v>
      </c>
      <c r="B20143" t="s">
        <v>3221</v>
      </c>
      <c r="C20143">
        <v>2969</v>
      </c>
      <c r="D20143" t="s">
        <v>263</v>
      </c>
      <c r="E20143" t="s">
        <v>264</v>
      </c>
      <c r="F20143">
        <v>6.61</v>
      </c>
      <c r="G20143">
        <v>230306</v>
      </c>
      <c r="H20143">
        <v>4362</v>
      </c>
      <c r="I20143" t="s">
        <v>79</v>
      </c>
      <c r="J20143">
        <v>8.1999999999999993</v>
      </c>
      <c r="K20143">
        <v>1.59</v>
      </c>
      <c r="L20143">
        <v>11908</v>
      </c>
      <c r="M20143" t="s">
        <v>598</v>
      </c>
      <c r="N20143" t="str">
        <f t="shared" si="279"/>
        <v xml:space="preserve">12310024523 </v>
      </c>
      <c r="O20143">
        <v>230308</v>
      </c>
    </row>
    <row r="20144" spans="1:15" x14ac:dyDescent="0.25">
      <c r="A20144" t="s">
        <v>16</v>
      </c>
      <c r="B20144" t="s">
        <v>3221</v>
      </c>
      <c r="C20144">
        <v>2969</v>
      </c>
      <c r="D20144" t="s">
        <v>263</v>
      </c>
      <c r="E20144" t="s">
        <v>264</v>
      </c>
      <c r="F20144">
        <v>2.7</v>
      </c>
      <c r="G20144">
        <v>230306</v>
      </c>
      <c r="H20144">
        <v>4362</v>
      </c>
      <c r="I20144" t="s">
        <v>79</v>
      </c>
      <c r="J20144">
        <v>3.35</v>
      </c>
      <c r="K20144">
        <v>0.65</v>
      </c>
      <c r="L20144">
        <v>13401</v>
      </c>
      <c r="M20144" t="s">
        <v>80</v>
      </c>
      <c r="N20144" t="str">
        <f t="shared" si="279"/>
        <v xml:space="preserve">12310024523 </v>
      </c>
      <c r="O20144">
        <v>230308</v>
      </c>
    </row>
    <row r="20145" spans="1:15" x14ac:dyDescent="0.25">
      <c r="A20145" t="s">
        <v>16</v>
      </c>
      <c r="B20145" t="s">
        <v>3221</v>
      </c>
      <c r="C20145">
        <v>2969</v>
      </c>
      <c r="D20145" t="s">
        <v>263</v>
      </c>
      <c r="E20145" t="s">
        <v>264</v>
      </c>
      <c r="F20145">
        <v>2.7</v>
      </c>
      <c r="G20145">
        <v>230306</v>
      </c>
      <c r="H20145">
        <v>4362</v>
      </c>
      <c r="I20145" t="s">
        <v>79</v>
      </c>
      <c r="J20145">
        <v>3.35</v>
      </c>
      <c r="K20145">
        <v>0.65</v>
      </c>
      <c r="L20145">
        <v>18991</v>
      </c>
      <c r="M20145" t="s">
        <v>1106</v>
      </c>
      <c r="N20145" t="str">
        <f t="shared" si="279"/>
        <v xml:space="preserve">12310024523 </v>
      </c>
      <c r="O20145">
        <v>230308</v>
      </c>
    </row>
    <row r="20146" spans="1:15" x14ac:dyDescent="0.25">
      <c r="A20146" t="s">
        <v>16</v>
      </c>
      <c r="B20146" t="s">
        <v>3221</v>
      </c>
      <c r="C20146">
        <v>3116</v>
      </c>
      <c r="D20146" t="s">
        <v>263</v>
      </c>
      <c r="E20146" t="s">
        <v>264</v>
      </c>
      <c r="F20146">
        <v>21.62</v>
      </c>
      <c r="G20146">
        <v>230306</v>
      </c>
      <c r="H20146">
        <v>4362</v>
      </c>
      <c r="I20146" t="s">
        <v>79</v>
      </c>
      <c r="J20146">
        <v>26.81</v>
      </c>
      <c r="K20146">
        <v>5.19</v>
      </c>
      <c r="L20146">
        <v>13601</v>
      </c>
      <c r="M20146" t="s">
        <v>147</v>
      </c>
      <c r="N20146" t="str">
        <f>"12310024544 "</f>
        <v xml:space="preserve">12310024544 </v>
      </c>
      <c r="O20146">
        <v>230309</v>
      </c>
    </row>
    <row r="20147" spans="1:15" x14ac:dyDescent="0.25">
      <c r="A20147" t="s">
        <v>16</v>
      </c>
      <c r="B20147" t="s">
        <v>3221</v>
      </c>
      <c r="C20147">
        <v>3119</v>
      </c>
      <c r="D20147" t="s">
        <v>263</v>
      </c>
      <c r="E20147" t="s">
        <v>264</v>
      </c>
      <c r="F20147">
        <v>29.61</v>
      </c>
      <c r="G20147">
        <v>230306</v>
      </c>
      <c r="H20147">
        <v>4362</v>
      </c>
      <c r="I20147" t="s">
        <v>79</v>
      </c>
      <c r="J20147">
        <v>36.72</v>
      </c>
      <c r="K20147">
        <v>7.11</v>
      </c>
      <c r="L20147">
        <v>41126</v>
      </c>
      <c r="M20147" t="s">
        <v>761</v>
      </c>
      <c r="N20147" t="str">
        <f>"12310024526 "</f>
        <v xml:space="preserve">12310024526 </v>
      </c>
      <c r="O20147">
        <v>230309</v>
      </c>
    </row>
    <row r="20148" spans="1:15" x14ac:dyDescent="0.25">
      <c r="A20148" t="s">
        <v>16</v>
      </c>
      <c r="B20148" t="s">
        <v>3221</v>
      </c>
      <c r="C20148">
        <v>3119</v>
      </c>
      <c r="D20148" t="s">
        <v>263</v>
      </c>
      <c r="E20148" t="s">
        <v>264</v>
      </c>
      <c r="F20148">
        <v>10.8</v>
      </c>
      <c r="G20148">
        <v>230306</v>
      </c>
      <c r="H20148">
        <v>4362</v>
      </c>
      <c r="I20148" t="s">
        <v>79</v>
      </c>
      <c r="J20148">
        <v>13.39</v>
      </c>
      <c r="K20148">
        <v>2.59</v>
      </c>
      <c r="L20148">
        <v>46222</v>
      </c>
      <c r="M20148" t="s">
        <v>293</v>
      </c>
      <c r="N20148" t="str">
        <f>"12310024526 "</f>
        <v xml:space="preserve">12310024526 </v>
      </c>
      <c r="O20148">
        <v>230309</v>
      </c>
    </row>
    <row r="20149" spans="1:15" x14ac:dyDescent="0.25">
      <c r="A20149" t="s">
        <v>16</v>
      </c>
      <c r="B20149" t="s">
        <v>3221</v>
      </c>
      <c r="C20149">
        <v>3120</v>
      </c>
      <c r="D20149" t="s">
        <v>263</v>
      </c>
      <c r="E20149" t="s">
        <v>264</v>
      </c>
      <c r="F20149">
        <v>2.59</v>
      </c>
      <c r="G20149">
        <v>230306</v>
      </c>
      <c r="H20149">
        <v>4362</v>
      </c>
      <c r="I20149" t="s">
        <v>79</v>
      </c>
      <c r="J20149">
        <v>3.21</v>
      </c>
      <c r="K20149">
        <v>0.62</v>
      </c>
      <c r="L20149">
        <v>13540</v>
      </c>
      <c r="M20149" t="s">
        <v>85</v>
      </c>
      <c r="N20149" t="str">
        <f t="shared" ref="N20149:N20173" si="280">"12310024541 "</f>
        <v xml:space="preserve">12310024541 </v>
      </c>
      <c r="O20149">
        <v>230309</v>
      </c>
    </row>
    <row r="20150" spans="1:15" x14ac:dyDescent="0.25">
      <c r="A20150" t="s">
        <v>16</v>
      </c>
      <c r="B20150" t="s">
        <v>3221</v>
      </c>
      <c r="C20150">
        <v>3120</v>
      </c>
      <c r="D20150" t="s">
        <v>263</v>
      </c>
      <c r="E20150" t="s">
        <v>264</v>
      </c>
      <c r="F20150">
        <v>7.94</v>
      </c>
      <c r="G20150">
        <v>230306</v>
      </c>
      <c r="H20150">
        <v>4362</v>
      </c>
      <c r="I20150" t="s">
        <v>79</v>
      </c>
      <c r="J20150">
        <v>9.84</v>
      </c>
      <c r="K20150">
        <v>1.9</v>
      </c>
      <c r="L20150">
        <v>16930</v>
      </c>
      <c r="M20150" t="s">
        <v>450</v>
      </c>
      <c r="N20150" t="str">
        <f t="shared" si="280"/>
        <v xml:space="preserve">12310024541 </v>
      </c>
      <c r="O20150">
        <v>230309</v>
      </c>
    </row>
    <row r="20151" spans="1:15" x14ac:dyDescent="0.25">
      <c r="A20151" t="s">
        <v>16</v>
      </c>
      <c r="B20151" t="s">
        <v>3221</v>
      </c>
      <c r="C20151">
        <v>3120</v>
      </c>
      <c r="D20151" t="s">
        <v>263</v>
      </c>
      <c r="E20151" t="s">
        <v>264</v>
      </c>
      <c r="F20151">
        <v>9.26</v>
      </c>
      <c r="G20151">
        <v>230306</v>
      </c>
      <c r="H20151">
        <v>4362</v>
      </c>
      <c r="I20151" t="s">
        <v>79</v>
      </c>
      <c r="J20151">
        <v>11.48</v>
      </c>
      <c r="K20151">
        <v>2.2200000000000002</v>
      </c>
      <c r="L20151">
        <v>17521</v>
      </c>
      <c r="M20151" t="s">
        <v>133</v>
      </c>
      <c r="N20151" t="str">
        <f t="shared" si="280"/>
        <v xml:space="preserve">12310024541 </v>
      </c>
      <c r="O20151">
        <v>230309</v>
      </c>
    </row>
    <row r="20152" spans="1:15" x14ac:dyDescent="0.25">
      <c r="A20152" t="s">
        <v>16</v>
      </c>
      <c r="B20152" t="s">
        <v>3221</v>
      </c>
      <c r="C20152">
        <v>3120</v>
      </c>
      <c r="D20152" t="s">
        <v>263</v>
      </c>
      <c r="E20152" t="s">
        <v>264</v>
      </c>
      <c r="F20152">
        <v>5.4</v>
      </c>
      <c r="G20152">
        <v>230306</v>
      </c>
      <c r="H20152">
        <v>4362</v>
      </c>
      <c r="I20152" t="s">
        <v>79</v>
      </c>
      <c r="J20152">
        <v>6.7</v>
      </c>
      <c r="K20152">
        <v>1.3</v>
      </c>
      <c r="L20152">
        <v>17522</v>
      </c>
      <c r="M20152" t="s">
        <v>451</v>
      </c>
      <c r="N20152" t="str">
        <f t="shared" si="280"/>
        <v xml:space="preserve">12310024541 </v>
      </c>
      <c r="O20152">
        <v>230309</v>
      </c>
    </row>
    <row r="20153" spans="1:15" x14ac:dyDescent="0.25">
      <c r="A20153" t="s">
        <v>16</v>
      </c>
      <c r="B20153" t="s">
        <v>3221</v>
      </c>
      <c r="C20153">
        <v>3120</v>
      </c>
      <c r="D20153" t="s">
        <v>263</v>
      </c>
      <c r="E20153" t="s">
        <v>264</v>
      </c>
      <c r="F20153">
        <v>14.5</v>
      </c>
      <c r="G20153">
        <v>230306</v>
      </c>
      <c r="H20153">
        <v>4362</v>
      </c>
      <c r="I20153" t="s">
        <v>79</v>
      </c>
      <c r="J20153">
        <v>17.98</v>
      </c>
      <c r="K20153">
        <v>3.48</v>
      </c>
      <c r="L20153">
        <v>17523</v>
      </c>
      <c r="M20153" t="s">
        <v>134</v>
      </c>
      <c r="N20153" t="str">
        <f t="shared" si="280"/>
        <v xml:space="preserve">12310024541 </v>
      </c>
      <c r="O20153">
        <v>230309</v>
      </c>
    </row>
    <row r="20154" spans="1:15" x14ac:dyDescent="0.25">
      <c r="A20154" t="s">
        <v>16</v>
      </c>
      <c r="B20154" t="s">
        <v>3221</v>
      </c>
      <c r="C20154">
        <v>3120</v>
      </c>
      <c r="D20154" t="s">
        <v>263</v>
      </c>
      <c r="E20154" t="s">
        <v>264</v>
      </c>
      <c r="F20154">
        <v>7.22</v>
      </c>
      <c r="G20154">
        <v>230306</v>
      </c>
      <c r="H20154">
        <v>4362</v>
      </c>
      <c r="I20154" t="s">
        <v>79</v>
      </c>
      <c r="J20154">
        <v>8.9499999999999993</v>
      </c>
      <c r="K20154">
        <v>1.73</v>
      </c>
      <c r="L20154">
        <v>17524</v>
      </c>
      <c r="M20154" t="s">
        <v>452</v>
      </c>
      <c r="N20154" t="str">
        <f t="shared" si="280"/>
        <v xml:space="preserve">12310024541 </v>
      </c>
      <c r="O20154">
        <v>230309</v>
      </c>
    </row>
    <row r="20155" spans="1:15" x14ac:dyDescent="0.25">
      <c r="A20155" t="s">
        <v>16</v>
      </c>
      <c r="B20155" t="s">
        <v>3221</v>
      </c>
      <c r="C20155">
        <v>3120</v>
      </c>
      <c r="D20155" t="s">
        <v>263</v>
      </c>
      <c r="E20155" t="s">
        <v>264</v>
      </c>
      <c r="F20155">
        <v>4.51</v>
      </c>
      <c r="G20155">
        <v>230306</v>
      </c>
      <c r="H20155">
        <v>4362</v>
      </c>
      <c r="I20155" t="s">
        <v>79</v>
      </c>
      <c r="J20155">
        <v>5.59</v>
      </c>
      <c r="K20155">
        <v>1.08</v>
      </c>
      <c r="L20155">
        <v>17525</v>
      </c>
      <c r="M20155" t="s">
        <v>135</v>
      </c>
      <c r="N20155" t="str">
        <f t="shared" si="280"/>
        <v xml:space="preserve">12310024541 </v>
      </c>
      <c r="O20155">
        <v>230309</v>
      </c>
    </row>
    <row r="20156" spans="1:15" x14ac:dyDescent="0.25">
      <c r="A20156" t="s">
        <v>16</v>
      </c>
      <c r="B20156" t="s">
        <v>3221</v>
      </c>
      <c r="C20156">
        <v>3120</v>
      </c>
      <c r="D20156" t="s">
        <v>263</v>
      </c>
      <c r="E20156" t="s">
        <v>264</v>
      </c>
      <c r="F20156">
        <v>9.58</v>
      </c>
      <c r="G20156">
        <v>230306</v>
      </c>
      <c r="H20156">
        <v>4362</v>
      </c>
      <c r="I20156" t="s">
        <v>79</v>
      </c>
      <c r="J20156">
        <v>11.88</v>
      </c>
      <c r="K20156">
        <v>2.2999999999999998</v>
      </c>
      <c r="L20156">
        <v>17526</v>
      </c>
      <c r="M20156" t="s">
        <v>437</v>
      </c>
      <c r="N20156" t="str">
        <f t="shared" si="280"/>
        <v xml:space="preserve">12310024541 </v>
      </c>
      <c r="O20156">
        <v>230309</v>
      </c>
    </row>
    <row r="20157" spans="1:15" x14ac:dyDescent="0.25">
      <c r="A20157" t="s">
        <v>16</v>
      </c>
      <c r="B20157" t="s">
        <v>3221</v>
      </c>
      <c r="C20157">
        <v>3120</v>
      </c>
      <c r="D20157" t="s">
        <v>263</v>
      </c>
      <c r="E20157" t="s">
        <v>264</v>
      </c>
      <c r="F20157">
        <v>10.99</v>
      </c>
      <c r="G20157">
        <v>230306</v>
      </c>
      <c r="H20157">
        <v>4362</v>
      </c>
      <c r="I20157" t="s">
        <v>79</v>
      </c>
      <c r="J20157">
        <v>13.63</v>
      </c>
      <c r="K20157">
        <v>2.64</v>
      </c>
      <c r="L20157">
        <v>17527</v>
      </c>
      <c r="M20157" t="s">
        <v>422</v>
      </c>
      <c r="N20157" t="str">
        <f t="shared" si="280"/>
        <v xml:space="preserve">12310024541 </v>
      </c>
      <c r="O20157">
        <v>230309</v>
      </c>
    </row>
    <row r="20158" spans="1:15" x14ac:dyDescent="0.25">
      <c r="A20158" t="s">
        <v>16</v>
      </c>
      <c r="B20158" t="s">
        <v>3221</v>
      </c>
      <c r="C20158">
        <v>3120</v>
      </c>
      <c r="D20158" t="s">
        <v>263</v>
      </c>
      <c r="E20158" t="s">
        <v>264</v>
      </c>
      <c r="F20158">
        <v>8.1</v>
      </c>
      <c r="G20158">
        <v>230306</v>
      </c>
      <c r="H20158">
        <v>4362</v>
      </c>
      <c r="I20158" t="s">
        <v>79</v>
      </c>
      <c r="J20158">
        <v>10.039999999999999</v>
      </c>
      <c r="K20158">
        <v>1.94</v>
      </c>
      <c r="L20158">
        <v>17529</v>
      </c>
      <c r="M20158" t="s">
        <v>453</v>
      </c>
      <c r="N20158" t="str">
        <f t="shared" si="280"/>
        <v xml:space="preserve">12310024541 </v>
      </c>
      <c r="O20158">
        <v>230309</v>
      </c>
    </row>
    <row r="20159" spans="1:15" x14ac:dyDescent="0.25">
      <c r="A20159" t="s">
        <v>16</v>
      </c>
      <c r="B20159" t="s">
        <v>3221</v>
      </c>
      <c r="C20159">
        <v>3120</v>
      </c>
      <c r="D20159" t="s">
        <v>263</v>
      </c>
      <c r="E20159" t="s">
        <v>264</v>
      </c>
      <c r="F20159">
        <v>9.77</v>
      </c>
      <c r="G20159">
        <v>230306</v>
      </c>
      <c r="H20159">
        <v>4362</v>
      </c>
      <c r="I20159" t="s">
        <v>79</v>
      </c>
      <c r="J20159">
        <v>12.11</v>
      </c>
      <c r="K20159">
        <v>2.34</v>
      </c>
      <c r="L20159">
        <v>17530</v>
      </c>
      <c r="M20159" t="s">
        <v>454</v>
      </c>
      <c r="N20159" t="str">
        <f t="shared" si="280"/>
        <v xml:space="preserve">12310024541 </v>
      </c>
      <c r="O20159">
        <v>230309</v>
      </c>
    </row>
    <row r="20160" spans="1:15" x14ac:dyDescent="0.25">
      <c r="A20160" t="s">
        <v>16</v>
      </c>
      <c r="B20160" t="s">
        <v>3221</v>
      </c>
      <c r="C20160">
        <v>3120</v>
      </c>
      <c r="D20160" t="s">
        <v>263</v>
      </c>
      <c r="E20160" t="s">
        <v>264</v>
      </c>
      <c r="F20160">
        <v>18.45</v>
      </c>
      <c r="G20160">
        <v>230306</v>
      </c>
      <c r="H20160">
        <v>4362</v>
      </c>
      <c r="I20160" t="s">
        <v>79</v>
      </c>
      <c r="J20160">
        <v>22.88</v>
      </c>
      <c r="K20160">
        <v>4.43</v>
      </c>
      <c r="L20160">
        <v>17531</v>
      </c>
      <c r="M20160" t="s">
        <v>136</v>
      </c>
      <c r="N20160" t="str">
        <f t="shared" si="280"/>
        <v xml:space="preserve">12310024541 </v>
      </c>
      <c r="O20160">
        <v>230309</v>
      </c>
    </row>
    <row r="20161" spans="1:15" x14ac:dyDescent="0.25">
      <c r="A20161" t="s">
        <v>16</v>
      </c>
      <c r="B20161" t="s">
        <v>3221</v>
      </c>
      <c r="C20161">
        <v>3120</v>
      </c>
      <c r="D20161" t="s">
        <v>263</v>
      </c>
      <c r="E20161" t="s">
        <v>264</v>
      </c>
      <c r="F20161">
        <v>10.35</v>
      </c>
      <c r="G20161">
        <v>230306</v>
      </c>
      <c r="H20161">
        <v>4362</v>
      </c>
      <c r="I20161" t="s">
        <v>79</v>
      </c>
      <c r="J20161">
        <v>12.83</v>
      </c>
      <c r="K20161">
        <v>2.48</v>
      </c>
      <c r="L20161">
        <v>17532</v>
      </c>
      <c r="M20161" t="s">
        <v>543</v>
      </c>
      <c r="N20161" t="str">
        <f t="shared" si="280"/>
        <v xml:space="preserve">12310024541 </v>
      </c>
      <c r="O20161">
        <v>230309</v>
      </c>
    </row>
    <row r="20162" spans="1:15" x14ac:dyDescent="0.25">
      <c r="A20162" t="s">
        <v>16</v>
      </c>
      <c r="B20162" t="s">
        <v>3221</v>
      </c>
      <c r="C20162">
        <v>3120</v>
      </c>
      <c r="D20162" t="s">
        <v>263</v>
      </c>
      <c r="E20162" t="s">
        <v>264</v>
      </c>
      <c r="F20162">
        <v>5.94</v>
      </c>
      <c r="G20162">
        <v>230306</v>
      </c>
      <c r="H20162">
        <v>4362</v>
      </c>
      <c r="I20162" t="s">
        <v>79</v>
      </c>
      <c r="J20162">
        <v>7.37</v>
      </c>
      <c r="K20162">
        <v>1.43</v>
      </c>
      <c r="L20162">
        <v>17533</v>
      </c>
      <c r="M20162" t="s">
        <v>990</v>
      </c>
      <c r="N20162" t="str">
        <f t="shared" si="280"/>
        <v xml:space="preserve">12310024541 </v>
      </c>
      <c r="O20162">
        <v>230309</v>
      </c>
    </row>
    <row r="20163" spans="1:15" x14ac:dyDescent="0.25">
      <c r="A20163" t="s">
        <v>16</v>
      </c>
      <c r="B20163" t="s">
        <v>3221</v>
      </c>
      <c r="C20163">
        <v>3120</v>
      </c>
      <c r="D20163" t="s">
        <v>263</v>
      </c>
      <c r="E20163" t="s">
        <v>264</v>
      </c>
      <c r="F20163">
        <v>5.74</v>
      </c>
      <c r="G20163">
        <v>230306</v>
      </c>
      <c r="H20163">
        <v>4362</v>
      </c>
      <c r="I20163" t="s">
        <v>79</v>
      </c>
      <c r="J20163">
        <v>7.12</v>
      </c>
      <c r="K20163">
        <v>1.38</v>
      </c>
      <c r="L20163">
        <v>17534</v>
      </c>
      <c r="M20163" t="s">
        <v>440</v>
      </c>
      <c r="N20163" t="str">
        <f t="shared" si="280"/>
        <v xml:space="preserve">12310024541 </v>
      </c>
      <c r="O20163">
        <v>230309</v>
      </c>
    </row>
    <row r="20164" spans="1:15" x14ac:dyDescent="0.25">
      <c r="A20164" t="s">
        <v>16</v>
      </c>
      <c r="B20164" t="s">
        <v>3221</v>
      </c>
      <c r="C20164">
        <v>3120</v>
      </c>
      <c r="D20164" t="s">
        <v>263</v>
      </c>
      <c r="E20164" t="s">
        <v>264</v>
      </c>
      <c r="F20164">
        <v>2.7</v>
      </c>
      <c r="G20164">
        <v>230306</v>
      </c>
      <c r="H20164">
        <v>4362</v>
      </c>
      <c r="I20164" t="s">
        <v>79</v>
      </c>
      <c r="J20164">
        <v>3.35</v>
      </c>
      <c r="K20164">
        <v>0.65</v>
      </c>
      <c r="L20164">
        <v>17535</v>
      </c>
      <c r="M20164" t="s">
        <v>357</v>
      </c>
      <c r="N20164" t="str">
        <f t="shared" si="280"/>
        <v xml:space="preserve">12310024541 </v>
      </c>
      <c r="O20164">
        <v>230309</v>
      </c>
    </row>
    <row r="20165" spans="1:15" x14ac:dyDescent="0.25">
      <c r="A20165" t="s">
        <v>16</v>
      </c>
      <c r="B20165" t="s">
        <v>3221</v>
      </c>
      <c r="C20165">
        <v>3120</v>
      </c>
      <c r="D20165" t="s">
        <v>263</v>
      </c>
      <c r="E20165" t="s">
        <v>264</v>
      </c>
      <c r="F20165">
        <v>5.4</v>
      </c>
      <c r="G20165">
        <v>230306</v>
      </c>
      <c r="H20165">
        <v>4362</v>
      </c>
      <c r="I20165" t="s">
        <v>79</v>
      </c>
      <c r="J20165">
        <v>6.7</v>
      </c>
      <c r="K20165">
        <v>1.3</v>
      </c>
      <c r="L20165">
        <v>17536</v>
      </c>
      <c r="M20165" t="s">
        <v>734</v>
      </c>
      <c r="N20165" t="str">
        <f t="shared" si="280"/>
        <v xml:space="preserve">12310024541 </v>
      </c>
      <c r="O20165">
        <v>230309</v>
      </c>
    </row>
    <row r="20166" spans="1:15" x14ac:dyDescent="0.25">
      <c r="A20166" t="s">
        <v>16</v>
      </c>
      <c r="B20166" t="s">
        <v>3221</v>
      </c>
      <c r="C20166">
        <v>3120</v>
      </c>
      <c r="D20166" t="s">
        <v>263</v>
      </c>
      <c r="E20166" t="s">
        <v>264</v>
      </c>
      <c r="F20166">
        <v>7.95</v>
      </c>
      <c r="G20166">
        <v>230306</v>
      </c>
      <c r="H20166">
        <v>4362</v>
      </c>
      <c r="I20166" t="s">
        <v>79</v>
      </c>
      <c r="J20166">
        <v>9.86</v>
      </c>
      <c r="K20166">
        <v>1.91</v>
      </c>
      <c r="L20166">
        <v>17537</v>
      </c>
      <c r="M20166" t="s">
        <v>455</v>
      </c>
      <c r="N20166" t="str">
        <f t="shared" si="280"/>
        <v xml:space="preserve">12310024541 </v>
      </c>
      <c r="O20166">
        <v>230309</v>
      </c>
    </row>
    <row r="20167" spans="1:15" x14ac:dyDescent="0.25">
      <c r="A20167" t="s">
        <v>16</v>
      </c>
      <c r="B20167" t="s">
        <v>3221</v>
      </c>
      <c r="C20167">
        <v>3120</v>
      </c>
      <c r="D20167" t="s">
        <v>263</v>
      </c>
      <c r="E20167" t="s">
        <v>264</v>
      </c>
      <c r="F20167">
        <v>10.65</v>
      </c>
      <c r="G20167">
        <v>230306</v>
      </c>
      <c r="H20167">
        <v>4362</v>
      </c>
      <c r="I20167" t="s">
        <v>79</v>
      </c>
      <c r="J20167">
        <v>13.21</v>
      </c>
      <c r="K20167">
        <v>2.56</v>
      </c>
      <c r="L20167">
        <v>17538</v>
      </c>
      <c r="M20167" t="s">
        <v>24</v>
      </c>
      <c r="N20167" t="str">
        <f t="shared" si="280"/>
        <v xml:space="preserve">12310024541 </v>
      </c>
      <c r="O20167">
        <v>230309</v>
      </c>
    </row>
    <row r="20168" spans="1:15" x14ac:dyDescent="0.25">
      <c r="A20168" t="s">
        <v>16</v>
      </c>
      <c r="B20168" t="s">
        <v>3221</v>
      </c>
      <c r="C20168">
        <v>3120</v>
      </c>
      <c r="D20168" t="s">
        <v>263</v>
      </c>
      <c r="E20168" t="s">
        <v>264</v>
      </c>
      <c r="F20168">
        <v>8.2100000000000009</v>
      </c>
      <c r="G20168">
        <v>230306</v>
      </c>
      <c r="H20168">
        <v>4362</v>
      </c>
      <c r="I20168" t="s">
        <v>79</v>
      </c>
      <c r="J20168">
        <v>10.18</v>
      </c>
      <c r="K20168">
        <v>1.97</v>
      </c>
      <c r="L20168">
        <v>17950</v>
      </c>
      <c r="M20168" t="s">
        <v>86</v>
      </c>
      <c r="N20168" t="str">
        <f t="shared" si="280"/>
        <v xml:space="preserve">12310024541 </v>
      </c>
      <c r="O20168">
        <v>230309</v>
      </c>
    </row>
    <row r="20169" spans="1:15" x14ac:dyDescent="0.25">
      <c r="A20169" t="s">
        <v>16</v>
      </c>
      <c r="B20169" t="s">
        <v>3221</v>
      </c>
      <c r="C20169">
        <v>3120</v>
      </c>
      <c r="D20169" t="s">
        <v>263</v>
      </c>
      <c r="E20169" t="s">
        <v>264</v>
      </c>
      <c r="F20169">
        <v>2.7</v>
      </c>
      <c r="G20169">
        <v>230306</v>
      </c>
      <c r="H20169">
        <v>4362</v>
      </c>
      <c r="I20169" t="s">
        <v>79</v>
      </c>
      <c r="J20169">
        <v>3.35</v>
      </c>
      <c r="K20169">
        <v>0.65</v>
      </c>
      <c r="L20169">
        <v>17956</v>
      </c>
      <c r="M20169" t="s">
        <v>53</v>
      </c>
      <c r="N20169" t="str">
        <f t="shared" si="280"/>
        <v xml:space="preserve">12310024541 </v>
      </c>
      <c r="O20169">
        <v>230309</v>
      </c>
    </row>
    <row r="20170" spans="1:15" x14ac:dyDescent="0.25">
      <c r="A20170" t="s">
        <v>16</v>
      </c>
      <c r="B20170" t="s">
        <v>3221</v>
      </c>
      <c r="C20170">
        <v>3120</v>
      </c>
      <c r="D20170" t="s">
        <v>263</v>
      </c>
      <c r="E20170" t="s">
        <v>264</v>
      </c>
      <c r="F20170">
        <v>23.16</v>
      </c>
      <c r="G20170">
        <v>230306</v>
      </c>
      <c r="H20170">
        <v>4362</v>
      </c>
      <c r="I20170" t="s">
        <v>79</v>
      </c>
      <c r="J20170">
        <v>28.72</v>
      </c>
      <c r="K20170">
        <v>5.56</v>
      </c>
      <c r="L20170">
        <v>17971</v>
      </c>
      <c r="M20170" t="s">
        <v>138</v>
      </c>
      <c r="N20170" t="str">
        <f t="shared" si="280"/>
        <v xml:space="preserve">12310024541 </v>
      </c>
      <c r="O20170">
        <v>230309</v>
      </c>
    </row>
    <row r="20171" spans="1:15" x14ac:dyDescent="0.25">
      <c r="A20171" t="s">
        <v>16</v>
      </c>
      <c r="B20171" t="s">
        <v>3221</v>
      </c>
      <c r="C20171">
        <v>3120</v>
      </c>
      <c r="D20171" t="s">
        <v>263</v>
      </c>
      <c r="E20171" t="s">
        <v>264</v>
      </c>
      <c r="F20171">
        <v>2.96</v>
      </c>
      <c r="G20171">
        <v>230306</v>
      </c>
      <c r="H20171">
        <v>4362</v>
      </c>
      <c r="I20171" t="s">
        <v>79</v>
      </c>
      <c r="J20171">
        <v>3.67</v>
      </c>
      <c r="K20171">
        <v>0.71</v>
      </c>
      <c r="L20171">
        <v>17972</v>
      </c>
      <c r="M20171" t="s">
        <v>248</v>
      </c>
      <c r="N20171" t="str">
        <f t="shared" si="280"/>
        <v xml:space="preserve">12310024541 </v>
      </c>
      <c r="O20171">
        <v>230309</v>
      </c>
    </row>
    <row r="20172" spans="1:15" x14ac:dyDescent="0.25">
      <c r="A20172" t="s">
        <v>16</v>
      </c>
      <c r="B20172" t="s">
        <v>3221</v>
      </c>
      <c r="C20172">
        <v>3120</v>
      </c>
      <c r="D20172" t="s">
        <v>263</v>
      </c>
      <c r="E20172" t="s">
        <v>264</v>
      </c>
      <c r="F20172">
        <v>2.7</v>
      </c>
      <c r="G20172">
        <v>230306</v>
      </c>
      <c r="H20172">
        <v>4362</v>
      </c>
      <c r="I20172" t="s">
        <v>79</v>
      </c>
      <c r="J20172">
        <v>3.35</v>
      </c>
      <c r="K20172">
        <v>0.65</v>
      </c>
      <c r="L20172">
        <v>17974</v>
      </c>
      <c r="M20172" t="s">
        <v>460</v>
      </c>
      <c r="N20172" t="str">
        <f t="shared" si="280"/>
        <v xml:space="preserve">12310024541 </v>
      </c>
      <c r="O20172">
        <v>230309</v>
      </c>
    </row>
    <row r="20173" spans="1:15" x14ac:dyDescent="0.25">
      <c r="A20173" t="s">
        <v>16</v>
      </c>
      <c r="B20173" t="s">
        <v>3221</v>
      </c>
      <c r="C20173">
        <v>3120</v>
      </c>
      <c r="D20173" t="s">
        <v>263</v>
      </c>
      <c r="E20173" t="s">
        <v>264</v>
      </c>
      <c r="F20173">
        <v>11.19</v>
      </c>
      <c r="G20173">
        <v>230306</v>
      </c>
      <c r="H20173">
        <v>4362</v>
      </c>
      <c r="I20173" t="s">
        <v>79</v>
      </c>
      <c r="J20173">
        <v>13.88</v>
      </c>
      <c r="K20173">
        <v>2.69</v>
      </c>
      <c r="L20173">
        <v>17975</v>
      </c>
      <c r="M20173" t="s">
        <v>798</v>
      </c>
      <c r="N20173" t="str">
        <f t="shared" si="280"/>
        <v xml:space="preserve">12310024541 </v>
      </c>
      <c r="O20173">
        <v>230309</v>
      </c>
    </row>
    <row r="20174" spans="1:15" x14ac:dyDescent="0.25">
      <c r="A20174" t="s">
        <v>16</v>
      </c>
      <c r="B20174" t="s">
        <v>3221</v>
      </c>
      <c r="C20174">
        <v>3158</v>
      </c>
      <c r="D20174" t="s">
        <v>263</v>
      </c>
      <c r="E20174" t="s">
        <v>264</v>
      </c>
      <c r="F20174">
        <v>2.7</v>
      </c>
      <c r="G20174">
        <v>230306</v>
      </c>
      <c r="H20174">
        <v>4362</v>
      </c>
      <c r="I20174" t="s">
        <v>79</v>
      </c>
      <c r="J20174">
        <v>3.35</v>
      </c>
      <c r="K20174">
        <v>0.65</v>
      </c>
      <c r="L20174">
        <v>54451</v>
      </c>
      <c r="M20174" t="s">
        <v>158</v>
      </c>
      <c r="N20174" t="str">
        <f t="shared" ref="N20174:N20190" si="281">"12310024518 "</f>
        <v xml:space="preserve">12310024518 </v>
      </c>
      <c r="O20174">
        <v>230309</v>
      </c>
    </row>
    <row r="20175" spans="1:15" x14ac:dyDescent="0.25">
      <c r="A20175" t="s">
        <v>16</v>
      </c>
      <c r="B20175" t="s">
        <v>3221</v>
      </c>
      <c r="C20175">
        <v>3158</v>
      </c>
      <c r="D20175" t="s">
        <v>263</v>
      </c>
      <c r="E20175" t="s">
        <v>264</v>
      </c>
      <c r="F20175">
        <v>2.7</v>
      </c>
      <c r="G20175">
        <v>230306</v>
      </c>
      <c r="H20175">
        <v>4362</v>
      </c>
      <c r="I20175" t="s">
        <v>79</v>
      </c>
      <c r="J20175">
        <v>3.35</v>
      </c>
      <c r="K20175">
        <v>0.65</v>
      </c>
      <c r="L20175">
        <v>59111</v>
      </c>
      <c r="M20175" t="s">
        <v>1010</v>
      </c>
      <c r="N20175" t="str">
        <f t="shared" si="281"/>
        <v xml:space="preserve">12310024518 </v>
      </c>
      <c r="O20175">
        <v>230309</v>
      </c>
    </row>
    <row r="20176" spans="1:15" x14ac:dyDescent="0.25">
      <c r="A20176" t="s">
        <v>16</v>
      </c>
      <c r="B20176" t="s">
        <v>3221</v>
      </c>
      <c r="C20176">
        <v>3158</v>
      </c>
      <c r="D20176" t="s">
        <v>263</v>
      </c>
      <c r="E20176" t="s">
        <v>264</v>
      </c>
      <c r="F20176">
        <v>2.7</v>
      </c>
      <c r="G20176">
        <v>230306</v>
      </c>
      <c r="H20176">
        <v>4362</v>
      </c>
      <c r="I20176" t="s">
        <v>79</v>
      </c>
      <c r="J20176">
        <v>3.35</v>
      </c>
      <c r="K20176">
        <v>0.65</v>
      </c>
      <c r="L20176">
        <v>59112</v>
      </c>
      <c r="M20176" t="s">
        <v>182</v>
      </c>
      <c r="N20176" t="str">
        <f t="shared" si="281"/>
        <v xml:space="preserve">12310024518 </v>
      </c>
      <c r="O20176">
        <v>230309</v>
      </c>
    </row>
    <row r="20177" spans="1:15" x14ac:dyDescent="0.25">
      <c r="A20177" t="s">
        <v>16</v>
      </c>
      <c r="B20177" t="s">
        <v>3221</v>
      </c>
      <c r="C20177">
        <v>3158</v>
      </c>
      <c r="D20177" t="s">
        <v>263</v>
      </c>
      <c r="E20177" t="s">
        <v>264</v>
      </c>
      <c r="F20177">
        <v>6.34</v>
      </c>
      <c r="G20177">
        <v>230306</v>
      </c>
      <c r="H20177">
        <v>4362</v>
      </c>
      <c r="I20177" t="s">
        <v>79</v>
      </c>
      <c r="J20177">
        <v>7.86</v>
      </c>
      <c r="K20177">
        <v>1.52</v>
      </c>
      <c r="L20177">
        <v>59113</v>
      </c>
      <c r="M20177" t="s">
        <v>235</v>
      </c>
      <c r="N20177" t="str">
        <f t="shared" si="281"/>
        <v xml:space="preserve">12310024518 </v>
      </c>
      <c r="O20177">
        <v>230309</v>
      </c>
    </row>
    <row r="20178" spans="1:15" x14ac:dyDescent="0.25">
      <c r="A20178" t="s">
        <v>16</v>
      </c>
      <c r="B20178" t="s">
        <v>3221</v>
      </c>
      <c r="C20178">
        <v>3158</v>
      </c>
      <c r="D20178" t="s">
        <v>263</v>
      </c>
      <c r="E20178" t="s">
        <v>264</v>
      </c>
      <c r="F20178">
        <v>9.0399999999999991</v>
      </c>
      <c r="G20178">
        <v>230306</v>
      </c>
      <c r="H20178">
        <v>4362</v>
      </c>
      <c r="I20178" t="s">
        <v>79</v>
      </c>
      <c r="J20178">
        <v>11.21</v>
      </c>
      <c r="K20178">
        <v>2.17</v>
      </c>
      <c r="L20178">
        <v>59114</v>
      </c>
      <c r="M20178" t="s">
        <v>556</v>
      </c>
      <c r="N20178" t="str">
        <f t="shared" si="281"/>
        <v xml:space="preserve">12310024518 </v>
      </c>
      <c r="O20178">
        <v>230309</v>
      </c>
    </row>
    <row r="20179" spans="1:15" x14ac:dyDescent="0.25">
      <c r="A20179" t="s">
        <v>16</v>
      </c>
      <c r="B20179" t="s">
        <v>3221</v>
      </c>
      <c r="C20179">
        <v>3158</v>
      </c>
      <c r="D20179" t="s">
        <v>263</v>
      </c>
      <c r="E20179" t="s">
        <v>264</v>
      </c>
      <c r="F20179">
        <v>3.93</v>
      </c>
      <c r="G20179">
        <v>230306</v>
      </c>
      <c r="H20179">
        <v>4362</v>
      </c>
      <c r="I20179" t="s">
        <v>79</v>
      </c>
      <c r="J20179">
        <v>3.93</v>
      </c>
      <c r="K20179">
        <v>0</v>
      </c>
      <c r="L20179">
        <v>59501</v>
      </c>
      <c r="M20179" t="s">
        <v>69</v>
      </c>
      <c r="N20179" t="str">
        <f t="shared" si="281"/>
        <v xml:space="preserve">12310024518 </v>
      </c>
      <c r="O20179">
        <v>230309</v>
      </c>
    </row>
    <row r="20180" spans="1:15" x14ac:dyDescent="0.25">
      <c r="A20180" t="s">
        <v>16</v>
      </c>
      <c r="B20180" t="s">
        <v>3221</v>
      </c>
      <c r="C20180">
        <v>3158</v>
      </c>
      <c r="D20180" t="s">
        <v>263</v>
      </c>
      <c r="E20180" t="s">
        <v>264</v>
      </c>
      <c r="F20180">
        <v>31.75</v>
      </c>
      <c r="G20180">
        <v>230306</v>
      </c>
      <c r="H20180">
        <v>4362</v>
      </c>
      <c r="I20180" t="s">
        <v>79</v>
      </c>
      <c r="J20180">
        <v>39.369999999999997</v>
      </c>
      <c r="K20180">
        <v>7.62</v>
      </c>
      <c r="L20180">
        <v>59501</v>
      </c>
      <c r="M20180" t="s">
        <v>69</v>
      </c>
      <c r="N20180" t="str">
        <f t="shared" si="281"/>
        <v xml:space="preserve">12310024518 </v>
      </c>
      <c r="O20180">
        <v>230309</v>
      </c>
    </row>
    <row r="20181" spans="1:15" x14ac:dyDescent="0.25">
      <c r="A20181" t="s">
        <v>16</v>
      </c>
      <c r="B20181" t="s">
        <v>3221</v>
      </c>
      <c r="C20181">
        <v>3158</v>
      </c>
      <c r="D20181" t="s">
        <v>263</v>
      </c>
      <c r="E20181" t="s">
        <v>264</v>
      </c>
      <c r="F20181">
        <v>31.9</v>
      </c>
      <c r="G20181">
        <v>230306</v>
      </c>
      <c r="H20181">
        <v>4362</v>
      </c>
      <c r="I20181" t="s">
        <v>79</v>
      </c>
      <c r="J20181">
        <v>39.56</v>
      </c>
      <c r="K20181">
        <v>7.66</v>
      </c>
      <c r="L20181">
        <v>59502</v>
      </c>
      <c r="M20181" t="s">
        <v>70</v>
      </c>
      <c r="N20181" t="str">
        <f t="shared" si="281"/>
        <v xml:space="preserve">12310024518 </v>
      </c>
      <c r="O20181">
        <v>230309</v>
      </c>
    </row>
    <row r="20182" spans="1:15" x14ac:dyDescent="0.25">
      <c r="A20182" t="s">
        <v>16</v>
      </c>
      <c r="B20182" t="s">
        <v>3221</v>
      </c>
      <c r="C20182">
        <v>3158</v>
      </c>
      <c r="D20182" t="s">
        <v>263</v>
      </c>
      <c r="E20182" t="s">
        <v>264</v>
      </c>
      <c r="F20182">
        <v>9.4499999999999993</v>
      </c>
      <c r="G20182">
        <v>230306</v>
      </c>
      <c r="H20182">
        <v>4362</v>
      </c>
      <c r="I20182" t="s">
        <v>79</v>
      </c>
      <c r="J20182">
        <v>11.72</v>
      </c>
      <c r="K20182">
        <v>2.27</v>
      </c>
      <c r="L20182">
        <v>59504</v>
      </c>
      <c r="M20182" t="s">
        <v>71</v>
      </c>
      <c r="N20182" t="str">
        <f t="shared" si="281"/>
        <v xml:space="preserve">12310024518 </v>
      </c>
      <c r="O20182">
        <v>230309</v>
      </c>
    </row>
    <row r="20183" spans="1:15" x14ac:dyDescent="0.25">
      <c r="A20183" t="s">
        <v>16</v>
      </c>
      <c r="B20183" t="s">
        <v>3221</v>
      </c>
      <c r="C20183">
        <v>3158</v>
      </c>
      <c r="D20183" t="s">
        <v>263</v>
      </c>
      <c r="E20183" t="s">
        <v>264</v>
      </c>
      <c r="F20183">
        <v>5.4</v>
      </c>
      <c r="G20183">
        <v>230306</v>
      </c>
      <c r="H20183">
        <v>4362</v>
      </c>
      <c r="I20183" t="s">
        <v>79</v>
      </c>
      <c r="J20183">
        <v>6.7</v>
      </c>
      <c r="K20183">
        <v>1.3</v>
      </c>
      <c r="L20183">
        <v>59505</v>
      </c>
      <c r="M20183" t="s">
        <v>72</v>
      </c>
      <c r="N20183" t="str">
        <f t="shared" si="281"/>
        <v xml:space="preserve">12310024518 </v>
      </c>
      <c r="O20183">
        <v>230309</v>
      </c>
    </row>
    <row r="20184" spans="1:15" x14ac:dyDescent="0.25">
      <c r="A20184" t="s">
        <v>16</v>
      </c>
      <c r="B20184" t="s">
        <v>3221</v>
      </c>
      <c r="C20184">
        <v>3158</v>
      </c>
      <c r="D20184" t="s">
        <v>263</v>
      </c>
      <c r="E20184" t="s">
        <v>264</v>
      </c>
      <c r="F20184">
        <v>11.67</v>
      </c>
      <c r="G20184">
        <v>230306</v>
      </c>
      <c r="H20184">
        <v>4362</v>
      </c>
      <c r="I20184" t="s">
        <v>79</v>
      </c>
      <c r="J20184">
        <v>14.47</v>
      </c>
      <c r="K20184">
        <v>2.8</v>
      </c>
      <c r="L20184">
        <v>59701</v>
      </c>
      <c r="M20184" t="s">
        <v>297</v>
      </c>
      <c r="N20184" t="str">
        <f t="shared" si="281"/>
        <v xml:space="preserve">12310024518 </v>
      </c>
      <c r="O20184">
        <v>230309</v>
      </c>
    </row>
    <row r="20185" spans="1:15" x14ac:dyDescent="0.25">
      <c r="A20185" t="s">
        <v>16</v>
      </c>
      <c r="B20185" t="s">
        <v>3221</v>
      </c>
      <c r="C20185">
        <v>3158</v>
      </c>
      <c r="D20185" t="s">
        <v>263</v>
      </c>
      <c r="E20185" t="s">
        <v>264</v>
      </c>
      <c r="F20185">
        <v>3.01</v>
      </c>
      <c r="G20185">
        <v>230306</v>
      </c>
      <c r="H20185">
        <v>4362</v>
      </c>
      <c r="I20185" t="s">
        <v>79</v>
      </c>
      <c r="J20185">
        <v>3.73</v>
      </c>
      <c r="K20185">
        <v>0.72</v>
      </c>
      <c r="L20185">
        <v>59702</v>
      </c>
      <c r="M20185" t="s">
        <v>328</v>
      </c>
      <c r="N20185" t="str">
        <f t="shared" si="281"/>
        <v xml:space="preserve">12310024518 </v>
      </c>
      <c r="O20185">
        <v>230309</v>
      </c>
    </row>
    <row r="20186" spans="1:15" x14ac:dyDescent="0.25">
      <c r="A20186" t="s">
        <v>16</v>
      </c>
      <c r="B20186" t="s">
        <v>3221</v>
      </c>
      <c r="C20186">
        <v>3158</v>
      </c>
      <c r="D20186" t="s">
        <v>263</v>
      </c>
      <c r="E20186" t="s">
        <v>264</v>
      </c>
      <c r="F20186">
        <v>6.33</v>
      </c>
      <c r="G20186">
        <v>230306</v>
      </c>
      <c r="H20186">
        <v>4362</v>
      </c>
      <c r="I20186" t="s">
        <v>79</v>
      </c>
      <c r="J20186">
        <v>7.85</v>
      </c>
      <c r="K20186">
        <v>1.52</v>
      </c>
      <c r="L20186">
        <v>59704</v>
      </c>
      <c r="M20186" t="s">
        <v>1103</v>
      </c>
      <c r="N20186" t="str">
        <f t="shared" si="281"/>
        <v xml:space="preserve">12310024518 </v>
      </c>
      <c r="O20186">
        <v>230309</v>
      </c>
    </row>
    <row r="20187" spans="1:15" x14ac:dyDescent="0.25">
      <c r="A20187" t="s">
        <v>16</v>
      </c>
      <c r="B20187" t="s">
        <v>3221</v>
      </c>
      <c r="C20187">
        <v>3158</v>
      </c>
      <c r="D20187" t="s">
        <v>263</v>
      </c>
      <c r="E20187" t="s">
        <v>264</v>
      </c>
      <c r="F20187">
        <v>5.4</v>
      </c>
      <c r="G20187">
        <v>230306</v>
      </c>
      <c r="H20187">
        <v>4362</v>
      </c>
      <c r="I20187" t="s">
        <v>79</v>
      </c>
      <c r="J20187">
        <v>6.7</v>
      </c>
      <c r="K20187">
        <v>1.3</v>
      </c>
      <c r="L20187">
        <v>59705</v>
      </c>
      <c r="M20187" t="s">
        <v>843</v>
      </c>
      <c r="N20187" t="str">
        <f t="shared" si="281"/>
        <v xml:space="preserve">12310024518 </v>
      </c>
      <c r="O20187">
        <v>230309</v>
      </c>
    </row>
    <row r="20188" spans="1:15" x14ac:dyDescent="0.25">
      <c r="A20188" t="s">
        <v>16</v>
      </c>
      <c r="B20188" t="s">
        <v>3221</v>
      </c>
      <c r="C20188">
        <v>3158</v>
      </c>
      <c r="D20188" t="s">
        <v>263</v>
      </c>
      <c r="E20188" t="s">
        <v>264</v>
      </c>
      <c r="F20188">
        <v>17.52</v>
      </c>
      <c r="G20188">
        <v>230306</v>
      </c>
      <c r="H20188">
        <v>4362</v>
      </c>
      <c r="I20188" t="s">
        <v>79</v>
      </c>
      <c r="J20188">
        <v>21.72</v>
      </c>
      <c r="K20188">
        <v>4.2</v>
      </c>
      <c r="L20188">
        <v>59802</v>
      </c>
      <c r="M20188" t="s">
        <v>73</v>
      </c>
      <c r="N20188" t="str">
        <f t="shared" si="281"/>
        <v xml:space="preserve">12310024518 </v>
      </c>
      <c r="O20188">
        <v>230309</v>
      </c>
    </row>
    <row r="20189" spans="1:15" x14ac:dyDescent="0.25">
      <c r="A20189" t="s">
        <v>16</v>
      </c>
      <c r="B20189" t="s">
        <v>3221</v>
      </c>
      <c r="C20189">
        <v>3158</v>
      </c>
      <c r="D20189" t="s">
        <v>263</v>
      </c>
      <c r="E20189" t="s">
        <v>264</v>
      </c>
      <c r="F20189">
        <v>11.21</v>
      </c>
      <c r="G20189">
        <v>230306</v>
      </c>
      <c r="H20189">
        <v>4362</v>
      </c>
      <c r="I20189" t="s">
        <v>79</v>
      </c>
      <c r="J20189">
        <v>13.9</v>
      </c>
      <c r="K20189">
        <v>2.69</v>
      </c>
      <c r="L20189">
        <v>59812</v>
      </c>
      <c r="M20189" t="s">
        <v>74</v>
      </c>
      <c r="N20189" t="str">
        <f t="shared" si="281"/>
        <v xml:space="preserve">12310024518 </v>
      </c>
      <c r="O20189">
        <v>230309</v>
      </c>
    </row>
    <row r="20190" spans="1:15" x14ac:dyDescent="0.25">
      <c r="A20190" t="s">
        <v>16</v>
      </c>
      <c r="B20190" t="s">
        <v>3221</v>
      </c>
      <c r="C20190">
        <v>3158</v>
      </c>
      <c r="D20190" t="s">
        <v>263</v>
      </c>
      <c r="E20190" t="s">
        <v>264</v>
      </c>
      <c r="F20190">
        <v>2.83</v>
      </c>
      <c r="G20190">
        <v>230306</v>
      </c>
      <c r="H20190">
        <v>4362</v>
      </c>
      <c r="I20190" t="s">
        <v>79</v>
      </c>
      <c r="J20190">
        <v>3.51</v>
      </c>
      <c r="K20190">
        <v>0.68</v>
      </c>
      <c r="L20190">
        <v>59815</v>
      </c>
      <c r="M20190" t="s">
        <v>1182</v>
      </c>
      <c r="N20190" t="str">
        <f t="shared" si="281"/>
        <v xml:space="preserve">12310024518 </v>
      </c>
      <c r="O20190">
        <v>230309</v>
      </c>
    </row>
    <row r="20191" spans="1:15" x14ac:dyDescent="0.25">
      <c r="A20191" t="s">
        <v>16</v>
      </c>
      <c r="B20191" t="s">
        <v>3221</v>
      </c>
      <c r="C20191">
        <v>3164</v>
      </c>
      <c r="D20191" t="s">
        <v>263</v>
      </c>
      <c r="E20191" t="s">
        <v>264</v>
      </c>
      <c r="F20191">
        <v>2.7</v>
      </c>
      <c r="G20191">
        <v>230306</v>
      </c>
      <c r="H20191">
        <v>4362</v>
      </c>
      <c r="I20191" t="s">
        <v>79</v>
      </c>
      <c r="J20191">
        <v>3.35</v>
      </c>
      <c r="K20191">
        <v>0.65</v>
      </c>
      <c r="L20191">
        <v>56522</v>
      </c>
      <c r="M20191" t="s">
        <v>43</v>
      </c>
      <c r="N20191" t="str">
        <f>"12310024519 "</f>
        <v xml:space="preserve">12310024519 </v>
      </c>
      <c r="O20191">
        <v>230309</v>
      </c>
    </row>
    <row r="20192" spans="1:15" x14ac:dyDescent="0.25">
      <c r="A20192" t="s">
        <v>16</v>
      </c>
      <c r="B20192" t="s">
        <v>3221</v>
      </c>
      <c r="C20192">
        <v>3164</v>
      </c>
      <c r="D20192" t="s">
        <v>263</v>
      </c>
      <c r="E20192" t="s">
        <v>264</v>
      </c>
      <c r="F20192">
        <v>10.97</v>
      </c>
      <c r="G20192">
        <v>230306</v>
      </c>
      <c r="H20192">
        <v>4362</v>
      </c>
      <c r="I20192" t="s">
        <v>79</v>
      </c>
      <c r="J20192">
        <v>13.6</v>
      </c>
      <c r="K20192">
        <v>2.63</v>
      </c>
      <c r="L20192">
        <v>56524</v>
      </c>
      <c r="M20192" t="s">
        <v>150</v>
      </c>
      <c r="N20192" t="str">
        <f>"12310024519 "</f>
        <v xml:space="preserve">12310024519 </v>
      </c>
      <c r="O20192">
        <v>230309</v>
      </c>
    </row>
    <row r="20193" spans="1:15" x14ac:dyDescent="0.25">
      <c r="A20193" t="s">
        <v>16</v>
      </c>
      <c r="B20193" t="s">
        <v>3221</v>
      </c>
      <c r="C20193">
        <v>3164</v>
      </c>
      <c r="D20193" t="s">
        <v>263</v>
      </c>
      <c r="E20193" t="s">
        <v>264</v>
      </c>
      <c r="F20193">
        <v>8.1</v>
      </c>
      <c r="G20193">
        <v>230306</v>
      </c>
      <c r="H20193">
        <v>4362</v>
      </c>
      <c r="I20193" t="s">
        <v>79</v>
      </c>
      <c r="J20193">
        <v>10.039999999999999</v>
      </c>
      <c r="K20193">
        <v>1.94</v>
      </c>
      <c r="L20193">
        <v>56528</v>
      </c>
      <c r="M20193" t="s">
        <v>153</v>
      </c>
      <c r="N20193" t="str">
        <f>"12310024519 "</f>
        <v xml:space="preserve">12310024519 </v>
      </c>
      <c r="O20193">
        <v>230309</v>
      </c>
    </row>
    <row r="20194" spans="1:15" x14ac:dyDescent="0.25">
      <c r="A20194" t="s">
        <v>16</v>
      </c>
      <c r="B20194" t="s">
        <v>3221</v>
      </c>
      <c r="C20194">
        <v>3165</v>
      </c>
      <c r="D20194" t="s">
        <v>263</v>
      </c>
      <c r="E20194" t="s">
        <v>264</v>
      </c>
      <c r="F20194">
        <v>3.35</v>
      </c>
      <c r="G20194">
        <v>230306</v>
      </c>
      <c r="H20194">
        <v>4362</v>
      </c>
      <c r="I20194" t="s">
        <v>79</v>
      </c>
      <c r="J20194">
        <v>3.35</v>
      </c>
      <c r="K20194">
        <v>0</v>
      </c>
      <c r="L20194">
        <v>59702</v>
      </c>
      <c r="M20194" t="s">
        <v>328</v>
      </c>
      <c r="N20194" t="str">
        <f>"12310024520 "</f>
        <v xml:space="preserve">12310024520 </v>
      </c>
      <c r="O20194">
        <v>230309</v>
      </c>
    </row>
    <row r="20195" spans="1:15" x14ac:dyDescent="0.25">
      <c r="A20195" t="s">
        <v>16</v>
      </c>
      <c r="B20195" t="s">
        <v>3221</v>
      </c>
      <c r="C20195">
        <v>3165</v>
      </c>
      <c r="D20195" t="s">
        <v>263</v>
      </c>
      <c r="E20195" t="s">
        <v>264</v>
      </c>
      <c r="F20195">
        <v>15.08</v>
      </c>
      <c r="G20195">
        <v>230306</v>
      </c>
      <c r="H20195">
        <v>4362</v>
      </c>
      <c r="I20195" t="s">
        <v>79</v>
      </c>
      <c r="J20195">
        <v>18.7</v>
      </c>
      <c r="K20195">
        <v>3.62</v>
      </c>
      <c r="L20195">
        <v>59702</v>
      </c>
      <c r="M20195" t="s">
        <v>328</v>
      </c>
      <c r="N20195" t="str">
        <f>"12310024520 "</f>
        <v xml:space="preserve">12310024520 </v>
      </c>
      <c r="O20195">
        <v>230309</v>
      </c>
    </row>
    <row r="20196" spans="1:15" x14ac:dyDescent="0.25">
      <c r="A20196" t="s">
        <v>16</v>
      </c>
      <c r="B20196" t="s">
        <v>3221</v>
      </c>
      <c r="C20196">
        <v>3165</v>
      </c>
      <c r="D20196" t="s">
        <v>263</v>
      </c>
      <c r="E20196" t="s">
        <v>264</v>
      </c>
      <c r="F20196">
        <v>7.95</v>
      </c>
      <c r="G20196">
        <v>230306</v>
      </c>
      <c r="H20196">
        <v>4362</v>
      </c>
      <c r="I20196" t="s">
        <v>79</v>
      </c>
      <c r="J20196">
        <v>9.86</v>
      </c>
      <c r="K20196">
        <v>1.91</v>
      </c>
      <c r="L20196">
        <v>59704</v>
      </c>
      <c r="M20196" t="s">
        <v>1103</v>
      </c>
      <c r="N20196" t="str">
        <f>"12310024520 "</f>
        <v xml:space="preserve">12310024520 </v>
      </c>
      <c r="O20196">
        <v>230309</v>
      </c>
    </row>
    <row r="20197" spans="1:15" x14ac:dyDescent="0.25">
      <c r="A20197" t="s">
        <v>16</v>
      </c>
      <c r="B20197" t="s">
        <v>3221</v>
      </c>
      <c r="C20197">
        <v>3166</v>
      </c>
      <c r="D20197" t="s">
        <v>263</v>
      </c>
      <c r="E20197" t="s">
        <v>264</v>
      </c>
      <c r="F20197">
        <v>2.7</v>
      </c>
      <c r="G20197">
        <v>230306</v>
      </c>
      <c r="H20197">
        <v>4362</v>
      </c>
      <c r="I20197" t="s">
        <v>79</v>
      </c>
      <c r="J20197">
        <v>3.35</v>
      </c>
      <c r="K20197">
        <v>0.65</v>
      </c>
      <c r="L20197">
        <v>51138</v>
      </c>
      <c r="M20197" t="s">
        <v>1162</v>
      </c>
      <c r="N20197" t="str">
        <f t="shared" ref="N20197:N20204" si="282">"12310024522 "</f>
        <v xml:space="preserve">12310024522 </v>
      </c>
      <c r="O20197">
        <v>230309</v>
      </c>
    </row>
    <row r="20198" spans="1:15" x14ac:dyDescent="0.25">
      <c r="A20198" t="s">
        <v>16</v>
      </c>
      <c r="B20198" t="s">
        <v>3221</v>
      </c>
      <c r="C20198">
        <v>3166</v>
      </c>
      <c r="D20198" t="s">
        <v>263</v>
      </c>
      <c r="E20198" t="s">
        <v>264</v>
      </c>
      <c r="F20198">
        <v>25.02</v>
      </c>
      <c r="G20198">
        <v>230306</v>
      </c>
      <c r="H20198">
        <v>4362</v>
      </c>
      <c r="I20198" t="s">
        <v>79</v>
      </c>
      <c r="J20198">
        <v>31.02</v>
      </c>
      <c r="K20198">
        <v>6</v>
      </c>
      <c r="L20198">
        <v>54222</v>
      </c>
      <c r="M20198" t="s">
        <v>308</v>
      </c>
      <c r="N20198" t="str">
        <f t="shared" si="282"/>
        <v xml:space="preserve">12310024522 </v>
      </c>
      <c r="O20198">
        <v>230309</v>
      </c>
    </row>
    <row r="20199" spans="1:15" x14ac:dyDescent="0.25">
      <c r="A20199" t="s">
        <v>16</v>
      </c>
      <c r="B20199" t="s">
        <v>3221</v>
      </c>
      <c r="C20199">
        <v>3166</v>
      </c>
      <c r="D20199" t="s">
        <v>263</v>
      </c>
      <c r="E20199" t="s">
        <v>264</v>
      </c>
      <c r="F20199">
        <v>2.7</v>
      </c>
      <c r="G20199">
        <v>230306</v>
      </c>
      <c r="H20199">
        <v>4362</v>
      </c>
      <c r="I20199" t="s">
        <v>79</v>
      </c>
      <c r="J20199">
        <v>3.35</v>
      </c>
      <c r="K20199">
        <v>0.65</v>
      </c>
      <c r="L20199">
        <v>54251</v>
      </c>
      <c r="M20199" t="s">
        <v>309</v>
      </c>
      <c r="N20199" t="str">
        <f t="shared" si="282"/>
        <v xml:space="preserve">12310024522 </v>
      </c>
      <c r="O20199">
        <v>230309</v>
      </c>
    </row>
    <row r="20200" spans="1:15" x14ac:dyDescent="0.25">
      <c r="A20200" t="s">
        <v>16</v>
      </c>
      <c r="B20200" t="s">
        <v>3221</v>
      </c>
      <c r="C20200">
        <v>3166</v>
      </c>
      <c r="D20200" t="s">
        <v>263</v>
      </c>
      <c r="E20200" t="s">
        <v>264</v>
      </c>
      <c r="F20200">
        <v>2.7</v>
      </c>
      <c r="G20200">
        <v>230306</v>
      </c>
      <c r="H20200">
        <v>4362</v>
      </c>
      <c r="I20200" t="s">
        <v>79</v>
      </c>
      <c r="J20200">
        <v>3.35</v>
      </c>
      <c r="K20200">
        <v>0.65</v>
      </c>
      <c r="L20200">
        <v>54252</v>
      </c>
      <c r="M20200" t="s">
        <v>534</v>
      </c>
      <c r="N20200" t="str">
        <f t="shared" si="282"/>
        <v xml:space="preserve">12310024522 </v>
      </c>
      <c r="O20200">
        <v>230309</v>
      </c>
    </row>
    <row r="20201" spans="1:15" x14ac:dyDescent="0.25">
      <c r="A20201" t="s">
        <v>16</v>
      </c>
      <c r="B20201" t="s">
        <v>3221</v>
      </c>
      <c r="C20201">
        <v>3166</v>
      </c>
      <c r="D20201" t="s">
        <v>263</v>
      </c>
      <c r="E20201" t="s">
        <v>264</v>
      </c>
      <c r="F20201">
        <v>12.94</v>
      </c>
      <c r="G20201">
        <v>230306</v>
      </c>
      <c r="H20201">
        <v>4362</v>
      </c>
      <c r="I20201" t="s">
        <v>79</v>
      </c>
      <c r="J20201">
        <v>16.05</v>
      </c>
      <c r="K20201">
        <v>3.11</v>
      </c>
      <c r="L20201">
        <v>54422</v>
      </c>
      <c r="M20201" t="s">
        <v>234</v>
      </c>
      <c r="N20201" t="str">
        <f t="shared" si="282"/>
        <v xml:space="preserve">12310024522 </v>
      </c>
      <c r="O20201">
        <v>230309</v>
      </c>
    </row>
    <row r="20202" spans="1:15" x14ac:dyDescent="0.25">
      <c r="A20202" t="s">
        <v>16</v>
      </c>
      <c r="B20202" t="s">
        <v>3221</v>
      </c>
      <c r="C20202">
        <v>3166</v>
      </c>
      <c r="D20202" t="s">
        <v>263</v>
      </c>
      <c r="E20202" t="s">
        <v>264</v>
      </c>
      <c r="F20202">
        <v>5.4</v>
      </c>
      <c r="G20202">
        <v>230306</v>
      </c>
      <c r="H20202">
        <v>4362</v>
      </c>
      <c r="I20202" t="s">
        <v>79</v>
      </c>
      <c r="J20202">
        <v>6.7</v>
      </c>
      <c r="K20202">
        <v>1.3</v>
      </c>
      <c r="L20202">
        <v>54451</v>
      </c>
      <c r="M20202" t="s">
        <v>158</v>
      </c>
      <c r="N20202" t="str">
        <f t="shared" si="282"/>
        <v xml:space="preserve">12310024522 </v>
      </c>
      <c r="O20202">
        <v>230309</v>
      </c>
    </row>
    <row r="20203" spans="1:15" x14ac:dyDescent="0.25">
      <c r="A20203" t="s">
        <v>16</v>
      </c>
      <c r="B20203" t="s">
        <v>3221</v>
      </c>
      <c r="C20203">
        <v>3166</v>
      </c>
      <c r="D20203" t="s">
        <v>263</v>
      </c>
      <c r="E20203" t="s">
        <v>264</v>
      </c>
      <c r="F20203">
        <v>5.4</v>
      </c>
      <c r="G20203">
        <v>230306</v>
      </c>
      <c r="H20203">
        <v>4362</v>
      </c>
      <c r="I20203" t="s">
        <v>79</v>
      </c>
      <c r="J20203">
        <v>6.7</v>
      </c>
      <c r="K20203">
        <v>1.3</v>
      </c>
      <c r="L20203">
        <v>56563</v>
      </c>
      <c r="M20203" t="s">
        <v>953</v>
      </c>
      <c r="N20203" t="str">
        <f t="shared" si="282"/>
        <v xml:space="preserve">12310024522 </v>
      </c>
      <c r="O20203">
        <v>230309</v>
      </c>
    </row>
    <row r="20204" spans="1:15" x14ac:dyDescent="0.25">
      <c r="A20204" t="s">
        <v>16</v>
      </c>
      <c r="B20204" t="s">
        <v>3221</v>
      </c>
      <c r="C20204">
        <v>3166</v>
      </c>
      <c r="D20204" t="s">
        <v>263</v>
      </c>
      <c r="E20204" t="s">
        <v>264</v>
      </c>
      <c r="F20204">
        <v>2.7</v>
      </c>
      <c r="G20204">
        <v>230306</v>
      </c>
      <c r="H20204">
        <v>4362</v>
      </c>
      <c r="I20204" t="s">
        <v>79</v>
      </c>
      <c r="J20204">
        <v>3.35</v>
      </c>
      <c r="K20204">
        <v>0.65</v>
      </c>
      <c r="L20204">
        <v>58601</v>
      </c>
      <c r="M20204" t="s">
        <v>251</v>
      </c>
      <c r="N20204" t="str">
        <f t="shared" si="282"/>
        <v xml:space="preserve">12310024522 </v>
      </c>
      <c r="O20204">
        <v>230309</v>
      </c>
    </row>
    <row r="20205" spans="1:15" x14ac:dyDescent="0.25">
      <c r="A20205" t="s">
        <v>16</v>
      </c>
      <c r="B20205" t="s">
        <v>3221</v>
      </c>
      <c r="C20205">
        <v>3173</v>
      </c>
      <c r="D20205" t="s">
        <v>263</v>
      </c>
      <c r="E20205" t="s">
        <v>264</v>
      </c>
      <c r="F20205">
        <v>29.65</v>
      </c>
      <c r="G20205">
        <v>230306</v>
      </c>
      <c r="H20205">
        <v>4362</v>
      </c>
      <c r="I20205" t="s">
        <v>79</v>
      </c>
      <c r="J20205">
        <v>36.770000000000003</v>
      </c>
      <c r="K20205">
        <v>7.12</v>
      </c>
      <c r="L20205">
        <v>11101</v>
      </c>
      <c r="M20205" t="s">
        <v>110</v>
      </c>
      <c r="N20205" t="str">
        <f>"12310024549 "</f>
        <v xml:space="preserve">12310024549 </v>
      </c>
      <c r="O20205">
        <v>230310</v>
      </c>
    </row>
    <row r="20206" spans="1:15" x14ac:dyDescent="0.25">
      <c r="A20206" t="s">
        <v>16</v>
      </c>
      <c r="B20206" t="s">
        <v>3221</v>
      </c>
      <c r="C20206">
        <v>3173</v>
      </c>
      <c r="D20206" t="s">
        <v>263</v>
      </c>
      <c r="E20206" t="s">
        <v>264</v>
      </c>
      <c r="F20206">
        <v>6.33</v>
      </c>
      <c r="G20206">
        <v>230306</v>
      </c>
      <c r="H20206">
        <v>4362</v>
      </c>
      <c r="I20206" t="s">
        <v>79</v>
      </c>
      <c r="J20206">
        <v>7.85</v>
      </c>
      <c r="K20206">
        <v>1.52</v>
      </c>
      <c r="L20206">
        <v>11201</v>
      </c>
      <c r="M20206" t="s">
        <v>305</v>
      </c>
      <c r="N20206" t="str">
        <f>"12310024549 "</f>
        <v xml:space="preserve">12310024549 </v>
      </c>
      <c r="O20206">
        <v>230310</v>
      </c>
    </row>
    <row r="20207" spans="1:15" x14ac:dyDescent="0.25">
      <c r="A20207" t="s">
        <v>16</v>
      </c>
      <c r="B20207" t="s">
        <v>3221</v>
      </c>
      <c r="C20207">
        <v>3174</v>
      </c>
      <c r="D20207" t="s">
        <v>263</v>
      </c>
      <c r="E20207" t="s">
        <v>264</v>
      </c>
      <c r="F20207">
        <v>43.68</v>
      </c>
      <c r="G20207">
        <v>230306</v>
      </c>
      <c r="H20207">
        <v>4362</v>
      </c>
      <c r="I20207" t="s">
        <v>79</v>
      </c>
      <c r="J20207">
        <v>54.16</v>
      </c>
      <c r="K20207">
        <v>10.48</v>
      </c>
      <c r="L20207">
        <v>46554</v>
      </c>
      <c r="M20207" t="s">
        <v>117</v>
      </c>
      <c r="N20207" t="str">
        <f>"12310024529 "</f>
        <v xml:space="preserve">12310024529 </v>
      </c>
      <c r="O20207">
        <v>230310</v>
      </c>
    </row>
    <row r="20208" spans="1:15" x14ac:dyDescent="0.25">
      <c r="A20208" t="s">
        <v>16</v>
      </c>
      <c r="B20208" t="s">
        <v>3221</v>
      </c>
      <c r="C20208">
        <v>3175</v>
      </c>
      <c r="D20208" t="s">
        <v>263</v>
      </c>
      <c r="E20208" t="s">
        <v>264</v>
      </c>
      <c r="F20208">
        <v>2</v>
      </c>
      <c r="G20208">
        <v>230306</v>
      </c>
      <c r="H20208">
        <v>4362</v>
      </c>
      <c r="I20208" t="s">
        <v>79</v>
      </c>
      <c r="J20208">
        <v>2</v>
      </c>
      <c r="K20208">
        <v>0</v>
      </c>
      <c r="L20208">
        <v>61122</v>
      </c>
      <c r="M20208" t="s">
        <v>402</v>
      </c>
      <c r="N20208" t="str">
        <f t="shared" ref="N20208:N20236" si="283">"12310024521 "</f>
        <v xml:space="preserve">12310024521 </v>
      </c>
      <c r="O20208">
        <v>230310</v>
      </c>
    </row>
    <row r="20209" spans="1:15" x14ac:dyDescent="0.25">
      <c r="A20209" t="s">
        <v>16</v>
      </c>
      <c r="B20209" t="s">
        <v>3221</v>
      </c>
      <c r="C20209">
        <v>3175</v>
      </c>
      <c r="D20209" t="s">
        <v>263</v>
      </c>
      <c r="E20209" t="s">
        <v>264</v>
      </c>
      <c r="F20209">
        <v>26.59</v>
      </c>
      <c r="G20209">
        <v>230306</v>
      </c>
      <c r="H20209">
        <v>4362</v>
      </c>
      <c r="I20209" t="s">
        <v>79</v>
      </c>
      <c r="J20209">
        <v>32.97</v>
      </c>
      <c r="K20209">
        <v>6.38</v>
      </c>
      <c r="L20209">
        <v>61122</v>
      </c>
      <c r="M20209" t="s">
        <v>402</v>
      </c>
      <c r="N20209" t="str">
        <f t="shared" si="283"/>
        <v xml:space="preserve">12310024521 </v>
      </c>
      <c r="O20209">
        <v>230310</v>
      </c>
    </row>
    <row r="20210" spans="1:15" x14ac:dyDescent="0.25">
      <c r="A20210" t="s">
        <v>16</v>
      </c>
      <c r="B20210" t="s">
        <v>3221</v>
      </c>
      <c r="C20210">
        <v>3175</v>
      </c>
      <c r="D20210" t="s">
        <v>263</v>
      </c>
      <c r="E20210" t="s">
        <v>264</v>
      </c>
      <c r="F20210">
        <v>2.7</v>
      </c>
      <c r="G20210">
        <v>230306</v>
      </c>
      <c r="H20210">
        <v>4362</v>
      </c>
      <c r="I20210" t="s">
        <v>79</v>
      </c>
      <c r="J20210">
        <v>3.35</v>
      </c>
      <c r="K20210">
        <v>0.65</v>
      </c>
      <c r="L20210">
        <v>61122</v>
      </c>
      <c r="M20210" t="s">
        <v>402</v>
      </c>
      <c r="N20210" t="str">
        <f t="shared" si="283"/>
        <v xml:space="preserve">12310024521 </v>
      </c>
      <c r="O20210">
        <v>230310</v>
      </c>
    </row>
    <row r="20211" spans="1:15" x14ac:dyDescent="0.25">
      <c r="A20211" t="s">
        <v>16</v>
      </c>
      <c r="B20211" t="s">
        <v>3221</v>
      </c>
      <c r="C20211">
        <v>3175</v>
      </c>
      <c r="D20211" t="s">
        <v>263</v>
      </c>
      <c r="E20211" t="s">
        <v>264</v>
      </c>
      <c r="F20211">
        <v>13.02</v>
      </c>
      <c r="G20211">
        <v>230306</v>
      </c>
      <c r="H20211">
        <v>4362</v>
      </c>
      <c r="I20211" t="s">
        <v>79</v>
      </c>
      <c r="J20211">
        <v>16.14</v>
      </c>
      <c r="K20211">
        <v>3.12</v>
      </c>
      <c r="L20211">
        <v>65222</v>
      </c>
      <c r="M20211" t="s">
        <v>487</v>
      </c>
      <c r="N20211" t="str">
        <f t="shared" si="283"/>
        <v xml:space="preserve">12310024521 </v>
      </c>
      <c r="O20211">
        <v>230310</v>
      </c>
    </row>
    <row r="20212" spans="1:15" x14ac:dyDescent="0.25">
      <c r="A20212" t="s">
        <v>16</v>
      </c>
      <c r="B20212" t="s">
        <v>3221</v>
      </c>
      <c r="C20212">
        <v>3175</v>
      </c>
      <c r="D20212" t="s">
        <v>263</v>
      </c>
      <c r="E20212" t="s">
        <v>264</v>
      </c>
      <c r="F20212">
        <v>2.7</v>
      </c>
      <c r="G20212">
        <v>230306</v>
      </c>
      <c r="H20212">
        <v>4362</v>
      </c>
      <c r="I20212" t="s">
        <v>79</v>
      </c>
      <c r="J20212">
        <v>3.35</v>
      </c>
      <c r="K20212">
        <v>0.65</v>
      </c>
      <c r="L20212">
        <v>65422</v>
      </c>
      <c r="M20212" t="s">
        <v>602</v>
      </c>
      <c r="N20212" t="str">
        <f t="shared" si="283"/>
        <v xml:space="preserve">12310024521 </v>
      </c>
      <c r="O20212">
        <v>230310</v>
      </c>
    </row>
    <row r="20213" spans="1:15" x14ac:dyDescent="0.25">
      <c r="A20213" t="s">
        <v>16</v>
      </c>
      <c r="B20213" t="s">
        <v>3221</v>
      </c>
      <c r="C20213">
        <v>3175</v>
      </c>
      <c r="D20213" t="s">
        <v>263</v>
      </c>
      <c r="E20213" t="s">
        <v>264</v>
      </c>
      <c r="F20213">
        <v>8.1</v>
      </c>
      <c r="G20213">
        <v>230306</v>
      </c>
      <c r="H20213">
        <v>4362</v>
      </c>
      <c r="I20213" t="s">
        <v>79</v>
      </c>
      <c r="J20213">
        <v>10.039999999999999</v>
      </c>
      <c r="K20213">
        <v>1.94</v>
      </c>
      <c r="L20213">
        <v>66722</v>
      </c>
      <c r="M20213" t="s">
        <v>518</v>
      </c>
      <c r="N20213" t="str">
        <f t="shared" si="283"/>
        <v xml:space="preserve">12310024521 </v>
      </c>
      <c r="O20213">
        <v>230310</v>
      </c>
    </row>
    <row r="20214" spans="1:15" x14ac:dyDescent="0.25">
      <c r="A20214" t="s">
        <v>16</v>
      </c>
      <c r="B20214" t="s">
        <v>3221</v>
      </c>
      <c r="C20214">
        <v>3175</v>
      </c>
      <c r="D20214" t="s">
        <v>263</v>
      </c>
      <c r="E20214" t="s">
        <v>264</v>
      </c>
      <c r="F20214">
        <v>1.35</v>
      </c>
      <c r="G20214">
        <v>230306</v>
      </c>
      <c r="H20214">
        <v>4362</v>
      </c>
      <c r="I20214" t="s">
        <v>79</v>
      </c>
      <c r="J20214">
        <v>1.67</v>
      </c>
      <c r="K20214">
        <v>0.32</v>
      </c>
      <c r="L20214">
        <v>66754</v>
      </c>
      <c r="M20214" t="s">
        <v>239</v>
      </c>
      <c r="N20214" t="str">
        <f t="shared" si="283"/>
        <v xml:space="preserve">12310024521 </v>
      </c>
      <c r="O20214">
        <v>230310</v>
      </c>
    </row>
    <row r="20215" spans="1:15" x14ac:dyDescent="0.25">
      <c r="A20215" t="s">
        <v>16</v>
      </c>
      <c r="B20215" t="s">
        <v>3221</v>
      </c>
      <c r="C20215">
        <v>3175</v>
      </c>
      <c r="D20215" t="s">
        <v>263</v>
      </c>
      <c r="E20215" t="s">
        <v>264</v>
      </c>
      <c r="F20215">
        <v>2.7</v>
      </c>
      <c r="G20215">
        <v>230306</v>
      </c>
      <c r="H20215">
        <v>4362</v>
      </c>
      <c r="I20215" t="s">
        <v>79</v>
      </c>
      <c r="J20215">
        <v>3.35</v>
      </c>
      <c r="K20215">
        <v>0.65</v>
      </c>
      <c r="L20215">
        <v>66754</v>
      </c>
      <c r="M20215" t="s">
        <v>239</v>
      </c>
      <c r="N20215" t="str">
        <f t="shared" si="283"/>
        <v xml:space="preserve">12310024521 </v>
      </c>
      <c r="O20215">
        <v>230310</v>
      </c>
    </row>
    <row r="20216" spans="1:15" x14ac:dyDescent="0.25">
      <c r="A20216" t="s">
        <v>16</v>
      </c>
      <c r="B20216" t="s">
        <v>3221</v>
      </c>
      <c r="C20216">
        <v>3175</v>
      </c>
      <c r="D20216" t="s">
        <v>263</v>
      </c>
      <c r="E20216" t="s">
        <v>264</v>
      </c>
      <c r="F20216">
        <v>2.7</v>
      </c>
      <c r="G20216">
        <v>230306</v>
      </c>
      <c r="H20216">
        <v>4362</v>
      </c>
      <c r="I20216" t="s">
        <v>79</v>
      </c>
      <c r="J20216">
        <v>3.35</v>
      </c>
      <c r="K20216">
        <v>0.65</v>
      </c>
      <c r="L20216">
        <v>66754</v>
      </c>
      <c r="M20216" t="s">
        <v>239</v>
      </c>
      <c r="N20216" t="str">
        <f t="shared" si="283"/>
        <v xml:space="preserve">12310024521 </v>
      </c>
      <c r="O20216">
        <v>230310</v>
      </c>
    </row>
    <row r="20217" spans="1:15" x14ac:dyDescent="0.25">
      <c r="A20217" t="s">
        <v>16</v>
      </c>
      <c r="B20217" t="s">
        <v>3221</v>
      </c>
      <c r="C20217">
        <v>3175</v>
      </c>
      <c r="D20217" t="s">
        <v>263</v>
      </c>
      <c r="E20217" t="s">
        <v>264</v>
      </c>
      <c r="F20217">
        <v>11</v>
      </c>
      <c r="G20217">
        <v>230306</v>
      </c>
      <c r="H20217">
        <v>4362</v>
      </c>
      <c r="I20217" t="s">
        <v>79</v>
      </c>
      <c r="J20217">
        <v>13.64</v>
      </c>
      <c r="K20217">
        <v>2.64</v>
      </c>
      <c r="L20217">
        <v>66754</v>
      </c>
      <c r="M20217" t="s">
        <v>239</v>
      </c>
      <c r="N20217" t="str">
        <f t="shared" si="283"/>
        <v xml:space="preserve">12310024521 </v>
      </c>
      <c r="O20217">
        <v>230310</v>
      </c>
    </row>
    <row r="20218" spans="1:15" x14ac:dyDescent="0.25">
      <c r="A20218" t="s">
        <v>16</v>
      </c>
      <c r="B20218" t="s">
        <v>3221</v>
      </c>
      <c r="C20218">
        <v>3175</v>
      </c>
      <c r="D20218" t="s">
        <v>263</v>
      </c>
      <c r="E20218" t="s">
        <v>264</v>
      </c>
      <c r="F20218">
        <v>5.25</v>
      </c>
      <c r="G20218">
        <v>230306</v>
      </c>
      <c r="H20218">
        <v>4362</v>
      </c>
      <c r="I20218" t="s">
        <v>79</v>
      </c>
      <c r="J20218">
        <v>6.51</v>
      </c>
      <c r="K20218">
        <v>1.26</v>
      </c>
      <c r="L20218">
        <v>66754</v>
      </c>
      <c r="M20218" t="s">
        <v>239</v>
      </c>
      <c r="N20218" t="str">
        <f t="shared" si="283"/>
        <v xml:space="preserve">12310024521 </v>
      </c>
      <c r="O20218">
        <v>230310</v>
      </c>
    </row>
    <row r="20219" spans="1:15" x14ac:dyDescent="0.25">
      <c r="A20219" t="s">
        <v>16</v>
      </c>
      <c r="B20219" t="s">
        <v>3221</v>
      </c>
      <c r="C20219">
        <v>3175</v>
      </c>
      <c r="D20219" t="s">
        <v>263</v>
      </c>
      <c r="E20219" t="s">
        <v>264</v>
      </c>
      <c r="F20219">
        <v>9.31</v>
      </c>
      <c r="G20219">
        <v>230306</v>
      </c>
      <c r="H20219">
        <v>4362</v>
      </c>
      <c r="I20219" t="s">
        <v>79</v>
      </c>
      <c r="J20219">
        <v>11.54</v>
      </c>
      <c r="K20219">
        <v>2.23</v>
      </c>
      <c r="L20219">
        <v>66756</v>
      </c>
      <c r="M20219" t="s">
        <v>209</v>
      </c>
      <c r="N20219" t="str">
        <f t="shared" si="283"/>
        <v xml:space="preserve">12310024521 </v>
      </c>
      <c r="O20219">
        <v>230310</v>
      </c>
    </row>
    <row r="20220" spans="1:15" x14ac:dyDescent="0.25">
      <c r="A20220" t="s">
        <v>16</v>
      </c>
      <c r="B20220" t="s">
        <v>3221</v>
      </c>
      <c r="C20220">
        <v>3175</v>
      </c>
      <c r="D20220" t="s">
        <v>263</v>
      </c>
      <c r="E20220" t="s">
        <v>264</v>
      </c>
      <c r="F20220">
        <v>31.46</v>
      </c>
      <c r="G20220">
        <v>230306</v>
      </c>
      <c r="H20220">
        <v>4362</v>
      </c>
      <c r="I20220" t="s">
        <v>79</v>
      </c>
      <c r="J20220">
        <v>39.01</v>
      </c>
      <c r="K20220">
        <v>7.55</v>
      </c>
      <c r="L20220">
        <v>67522</v>
      </c>
      <c r="M20220" t="s">
        <v>397</v>
      </c>
      <c r="N20220" t="str">
        <f t="shared" si="283"/>
        <v xml:space="preserve">12310024521 </v>
      </c>
      <c r="O20220">
        <v>230310</v>
      </c>
    </row>
    <row r="20221" spans="1:15" x14ac:dyDescent="0.25">
      <c r="A20221" t="s">
        <v>16</v>
      </c>
      <c r="B20221" t="s">
        <v>3221</v>
      </c>
      <c r="C20221">
        <v>3175</v>
      </c>
      <c r="D20221" t="s">
        <v>263</v>
      </c>
      <c r="E20221" t="s">
        <v>264</v>
      </c>
      <c r="F20221">
        <v>10.8</v>
      </c>
      <c r="G20221">
        <v>230306</v>
      </c>
      <c r="H20221">
        <v>4362</v>
      </c>
      <c r="I20221" t="s">
        <v>79</v>
      </c>
      <c r="J20221">
        <v>13.39</v>
      </c>
      <c r="K20221">
        <v>2.59</v>
      </c>
      <c r="L20221">
        <v>67522</v>
      </c>
      <c r="M20221" t="s">
        <v>397</v>
      </c>
      <c r="N20221" t="str">
        <f t="shared" si="283"/>
        <v xml:space="preserve">12310024521 </v>
      </c>
      <c r="O20221">
        <v>230310</v>
      </c>
    </row>
    <row r="20222" spans="1:15" x14ac:dyDescent="0.25">
      <c r="A20222" t="s">
        <v>16</v>
      </c>
      <c r="B20222" t="s">
        <v>3221</v>
      </c>
      <c r="C20222">
        <v>3175</v>
      </c>
      <c r="D20222" t="s">
        <v>263</v>
      </c>
      <c r="E20222" t="s">
        <v>264</v>
      </c>
      <c r="F20222">
        <v>1.35</v>
      </c>
      <c r="G20222">
        <v>230306</v>
      </c>
      <c r="H20222">
        <v>4362</v>
      </c>
      <c r="I20222" t="s">
        <v>79</v>
      </c>
      <c r="J20222">
        <v>1.67</v>
      </c>
      <c r="K20222">
        <v>0.32</v>
      </c>
      <c r="L20222">
        <v>67554</v>
      </c>
      <c r="M20222" t="s">
        <v>60</v>
      </c>
      <c r="N20222" t="str">
        <f t="shared" si="283"/>
        <v xml:space="preserve">12310024521 </v>
      </c>
      <c r="O20222">
        <v>230310</v>
      </c>
    </row>
    <row r="20223" spans="1:15" x14ac:dyDescent="0.25">
      <c r="A20223" t="s">
        <v>16</v>
      </c>
      <c r="B20223" t="s">
        <v>3221</v>
      </c>
      <c r="C20223">
        <v>3175</v>
      </c>
      <c r="D20223" t="s">
        <v>263</v>
      </c>
      <c r="E20223" t="s">
        <v>264</v>
      </c>
      <c r="F20223">
        <v>2.7</v>
      </c>
      <c r="G20223">
        <v>230306</v>
      </c>
      <c r="H20223">
        <v>4362</v>
      </c>
      <c r="I20223" t="s">
        <v>79</v>
      </c>
      <c r="J20223">
        <v>3.35</v>
      </c>
      <c r="K20223">
        <v>0.65</v>
      </c>
      <c r="L20223">
        <v>67554</v>
      </c>
      <c r="M20223" t="s">
        <v>60</v>
      </c>
      <c r="N20223" t="str">
        <f t="shared" si="283"/>
        <v xml:space="preserve">12310024521 </v>
      </c>
      <c r="O20223">
        <v>230310</v>
      </c>
    </row>
    <row r="20224" spans="1:15" x14ac:dyDescent="0.25">
      <c r="A20224" t="s">
        <v>16</v>
      </c>
      <c r="B20224" t="s">
        <v>3221</v>
      </c>
      <c r="C20224">
        <v>3175</v>
      </c>
      <c r="D20224" t="s">
        <v>263</v>
      </c>
      <c r="E20224" t="s">
        <v>264</v>
      </c>
      <c r="F20224">
        <v>43.29</v>
      </c>
      <c r="G20224">
        <v>230306</v>
      </c>
      <c r="H20224">
        <v>4362</v>
      </c>
      <c r="I20224" t="s">
        <v>79</v>
      </c>
      <c r="J20224">
        <v>53.68</v>
      </c>
      <c r="K20224">
        <v>10.39</v>
      </c>
      <c r="L20224">
        <v>67554</v>
      </c>
      <c r="M20224" t="s">
        <v>60</v>
      </c>
      <c r="N20224" t="str">
        <f t="shared" si="283"/>
        <v xml:space="preserve">12310024521 </v>
      </c>
      <c r="O20224">
        <v>230310</v>
      </c>
    </row>
    <row r="20225" spans="1:15" x14ac:dyDescent="0.25">
      <c r="A20225" t="s">
        <v>16</v>
      </c>
      <c r="B20225" t="s">
        <v>3221</v>
      </c>
      <c r="C20225">
        <v>3175</v>
      </c>
      <c r="D20225" t="s">
        <v>263</v>
      </c>
      <c r="E20225" t="s">
        <v>264</v>
      </c>
      <c r="F20225">
        <v>5.4</v>
      </c>
      <c r="G20225">
        <v>230306</v>
      </c>
      <c r="H20225">
        <v>4362</v>
      </c>
      <c r="I20225" t="s">
        <v>79</v>
      </c>
      <c r="J20225">
        <v>6.7</v>
      </c>
      <c r="K20225">
        <v>1.3</v>
      </c>
      <c r="L20225">
        <v>67554</v>
      </c>
      <c r="M20225" t="s">
        <v>60</v>
      </c>
      <c r="N20225" t="str">
        <f t="shared" si="283"/>
        <v xml:space="preserve">12310024521 </v>
      </c>
      <c r="O20225">
        <v>230310</v>
      </c>
    </row>
    <row r="20226" spans="1:15" x14ac:dyDescent="0.25">
      <c r="A20226" t="s">
        <v>16</v>
      </c>
      <c r="B20226" t="s">
        <v>3221</v>
      </c>
      <c r="C20226">
        <v>3175</v>
      </c>
      <c r="D20226" t="s">
        <v>263</v>
      </c>
      <c r="E20226" t="s">
        <v>264</v>
      </c>
      <c r="F20226">
        <v>5.4</v>
      </c>
      <c r="G20226">
        <v>230306</v>
      </c>
      <c r="H20226">
        <v>4362</v>
      </c>
      <c r="I20226" t="s">
        <v>79</v>
      </c>
      <c r="J20226">
        <v>6.7</v>
      </c>
      <c r="K20226">
        <v>1.3</v>
      </c>
      <c r="L20226">
        <v>69111</v>
      </c>
      <c r="M20226" t="s">
        <v>471</v>
      </c>
      <c r="N20226" t="str">
        <f t="shared" si="283"/>
        <v xml:space="preserve">12310024521 </v>
      </c>
      <c r="O20226">
        <v>230310</v>
      </c>
    </row>
    <row r="20227" spans="1:15" x14ac:dyDescent="0.25">
      <c r="A20227" t="s">
        <v>16</v>
      </c>
      <c r="B20227" t="s">
        <v>3221</v>
      </c>
      <c r="C20227">
        <v>3175</v>
      </c>
      <c r="D20227" t="s">
        <v>263</v>
      </c>
      <c r="E20227" t="s">
        <v>264</v>
      </c>
      <c r="F20227">
        <v>5.86</v>
      </c>
      <c r="G20227">
        <v>230306</v>
      </c>
      <c r="H20227">
        <v>4362</v>
      </c>
      <c r="I20227" t="s">
        <v>79</v>
      </c>
      <c r="J20227">
        <v>7.27</v>
      </c>
      <c r="K20227">
        <v>1.41</v>
      </c>
      <c r="L20227">
        <v>69112</v>
      </c>
      <c r="M20227" t="s">
        <v>313</v>
      </c>
      <c r="N20227" t="str">
        <f t="shared" si="283"/>
        <v xml:space="preserve">12310024521 </v>
      </c>
      <c r="O20227">
        <v>230310</v>
      </c>
    </row>
    <row r="20228" spans="1:15" x14ac:dyDescent="0.25">
      <c r="A20228" t="s">
        <v>16</v>
      </c>
      <c r="B20228" t="s">
        <v>3221</v>
      </c>
      <c r="C20228">
        <v>3175</v>
      </c>
      <c r="D20228" t="s">
        <v>263</v>
      </c>
      <c r="E20228" t="s">
        <v>264</v>
      </c>
      <c r="F20228">
        <v>8.57</v>
      </c>
      <c r="G20228">
        <v>230306</v>
      </c>
      <c r="H20228">
        <v>4362</v>
      </c>
      <c r="I20228" t="s">
        <v>79</v>
      </c>
      <c r="J20228">
        <v>10.63</v>
      </c>
      <c r="K20228">
        <v>2.06</v>
      </c>
      <c r="L20228">
        <v>69113</v>
      </c>
      <c r="M20228" t="s">
        <v>282</v>
      </c>
      <c r="N20228" t="str">
        <f t="shared" si="283"/>
        <v xml:space="preserve">12310024521 </v>
      </c>
      <c r="O20228">
        <v>230310</v>
      </c>
    </row>
    <row r="20229" spans="1:15" x14ac:dyDescent="0.25">
      <c r="A20229" t="s">
        <v>16</v>
      </c>
      <c r="B20229" t="s">
        <v>3221</v>
      </c>
      <c r="C20229">
        <v>3175</v>
      </c>
      <c r="D20229" t="s">
        <v>263</v>
      </c>
      <c r="E20229" t="s">
        <v>264</v>
      </c>
      <c r="F20229">
        <v>27.1</v>
      </c>
      <c r="G20229">
        <v>230306</v>
      </c>
      <c r="H20229">
        <v>4362</v>
      </c>
      <c r="I20229" t="s">
        <v>79</v>
      </c>
      <c r="J20229">
        <v>33.6</v>
      </c>
      <c r="K20229">
        <v>6.5</v>
      </c>
      <c r="L20229">
        <v>69501</v>
      </c>
      <c r="M20229" t="s">
        <v>185</v>
      </c>
      <c r="N20229" t="str">
        <f t="shared" si="283"/>
        <v xml:space="preserve">12310024521 </v>
      </c>
      <c r="O20229">
        <v>230310</v>
      </c>
    </row>
    <row r="20230" spans="1:15" x14ac:dyDescent="0.25">
      <c r="A20230" t="s">
        <v>16</v>
      </c>
      <c r="B20230" t="s">
        <v>3221</v>
      </c>
      <c r="C20230">
        <v>3175</v>
      </c>
      <c r="D20230" t="s">
        <v>263</v>
      </c>
      <c r="E20230" t="s">
        <v>264</v>
      </c>
      <c r="F20230">
        <v>4.0599999999999996</v>
      </c>
      <c r="G20230">
        <v>230306</v>
      </c>
      <c r="H20230">
        <v>4362</v>
      </c>
      <c r="I20230" t="s">
        <v>79</v>
      </c>
      <c r="J20230">
        <v>5.03</v>
      </c>
      <c r="K20230">
        <v>0.97</v>
      </c>
      <c r="L20230">
        <v>69701</v>
      </c>
      <c r="M20230" t="s">
        <v>488</v>
      </c>
      <c r="N20230" t="str">
        <f t="shared" si="283"/>
        <v xml:space="preserve">12310024521 </v>
      </c>
      <c r="O20230">
        <v>230310</v>
      </c>
    </row>
    <row r="20231" spans="1:15" x14ac:dyDescent="0.25">
      <c r="A20231" t="s">
        <v>16</v>
      </c>
      <c r="B20231" t="s">
        <v>3221</v>
      </c>
      <c r="C20231">
        <v>3175</v>
      </c>
      <c r="D20231" t="s">
        <v>263</v>
      </c>
      <c r="E20231" t="s">
        <v>264</v>
      </c>
      <c r="F20231">
        <v>2.7</v>
      </c>
      <c r="G20231">
        <v>230306</v>
      </c>
      <c r="H20231">
        <v>4362</v>
      </c>
      <c r="I20231" t="s">
        <v>79</v>
      </c>
      <c r="J20231">
        <v>3.35</v>
      </c>
      <c r="K20231">
        <v>0.65</v>
      </c>
      <c r="L20231">
        <v>69702</v>
      </c>
      <c r="M20231" t="s">
        <v>489</v>
      </c>
      <c r="N20231" t="str">
        <f t="shared" si="283"/>
        <v xml:space="preserve">12310024521 </v>
      </c>
      <c r="O20231">
        <v>230310</v>
      </c>
    </row>
    <row r="20232" spans="1:15" x14ac:dyDescent="0.25">
      <c r="A20232" t="s">
        <v>16</v>
      </c>
      <c r="B20232" t="s">
        <v>3221</v>
      </c>
      <c r="C20232">
        <v>3175</v>
      </c>
      <c r="D20232" t="s">
        <v>263</v>
      </c>
      <c r="E20232" t="s">
        <v>264</v>
      </c>
      <c r="F20232">
        <v>4.3899999999999997</v>
      </c>
      <c r="G20232">
        <v>230306</v>
      </c>
      <c r="H20232">
        <v>4362</v>
      </c>
      <c r="I20232" t="s">
        <v>79</v>
      </c>
      <c r="J20232">
        <v>5.44</v>
      </c>
      <c r="K20232">
        <v>1.05</v>
      </c>
      <c r="L20232">
        <v>69703</v>
      </c>
      <c r="M20232" t="s">
        <v>1036</v>
      </c>
      <c r="N20232" t="str">
        <f t="shared" si="283"/>
        <v xml:space="preserve">12310024521 </v>
      </c>
      <c r="O20232">
        <v>230310</v>
      </c>
    </row>
    <row r="20233" spans="1:15" x14ac:dyDescent="0.25">
      <c r="A20233" t="s">
        <v>16</v>
      </c>
      <c r="B20233" t="s">
        <v>3221</v>
      </c>
      <c r="C20233">
        <v>3175</v>
      </c>
      <c r="D20233" t="s">
        <v>263</v>
      </c>
      <c r="E20233" t="s">
        <v>264</v>
      </c>
      <c r="F20233">
        <v>5.25</v>
      </c>
      <c r="G20233">
        <v>230306</v>
      </c>
      <c r="H20233">
        <v>4362</v>
      </c>
      <c r="I20233" t="s">
        <v>79</v>
      </c>
      <c r="J20233">
        <v>6.51</v>
      </c>
      <c r="K20233">
        <v>1.26</v>
      </c>
      <c r="L20233">
        <v>69704</v>
      </c>
      <c r="M20233" t="s">
        <v>325</v>
      </c>
      <c r="N20233" t="str">
        <f t="shared" si="283"/>
        <v xml:space="preserve">12310024521 </v>
      </c>
      <c r="O20233">
        <v>230310</v>
      </c>
    </row>
    <row r="20234" spans="1:15" x14ac:dyDescent="0.25">
      <c r="A20234" t="s">
        <v>16</v>
      </c>
      <c r="B20234" t="s">
        <v>3221</v>
      </c>
      <c r="C20234">
        <v>3175</v>
      </c>
      <c r="D20234" t="s">
        <v>263</v>
      </c>
      <c r="E20234" t="s">
        <v>264</v>
      </c>
      <c r="F20234">
        <v>5.78</v>
      </c>
      <c r="G20234">
        <v>230306</v>
      </c>
      <c r="H20234">
        <v>4362</v>
      </c>
      <c r="I20234" t="s">
        <v>79</v>
      </c>
      <c r="J20234">
        <v>7.17</v>
      </c>
      <c r="K20234">
        <v>1.39</v>
      </c>
      <c r="L20234">
        <v>69704</v>
      </c>
      <c r="M20234" t="s">
        <v>325</v>
      </c>
      <c r="N20234" t="str">
        <f t="shared" si="283"/>
        <v xml:space="preserve">12310024521 </v>
      </c>
      <c r="O20234">
        <v>230310</v>
      </c>
    </row>
    <row r="20235" spans="1:15" x14ac:dyDescent="0.25">
      <c r="A20235" t="s">
        <v>16</v>
      </c>
      <c r="B20235" t="s">
        <v>3221</v>
      </c>
      <c r="C20235">
        <v>3175</v>
      </c>
      <c r="D20235" t="s">
        <v>263</v>
      </c>
      <c r="E20235" t="s">
        <v>264</v>
      </c>
      <c r="F20235">
        <v>5.54</v>
      </c>
      <c r="G20235">
        <v>230306</v>
      </c>
      <c r="H20235">
        <v>4362</v>
      </c>
      <c r="I20235" t="s">
        <v>79</v>
      </c>
      <c r="J20235">
        <v>6.87</v>
      </c>
      <c r="K20235">
        <v>1.33</v>
      </c>
      <c r="L20235">
        <v>69707</v>
      </c>
      <c r="M20235" t="s">
        <v>490</v>
      </c>
      <c r="N20235" t="str">
        <f t="shared" si="283"/>
        <v xml:space="preserve">12310024521 </v>
      </c>
      <c r="O20235">
        <v>230310</v>
      </c>
    </row>
    <row r="20236" spans="1:15" x14ac:dyDescent="0.25">
      <c r="A20236" t="s">
        <v>16</v>
      </c>
      <c r="B20236" t="s">
        <v>3221</v>
      </c>
      <c r="C20236">
        <v>3175</v>
      </c>
      <c r="D20236" t="s">
        <v>263</v>
      </c>
      <c r="E20236" t="s">
        <v>264</v>
      </c>
      <c r="F20236">
        <v>8.42</v>
      </c>
      <c r="G20236">
        <v>230306</v>
      </c>
      <c r="H20236">
        <v>4362</v>
      </c>
      <c r="I20236" t="s">
        <v>79</v>
      </c>
      <c r="J20236">
        <v>10.44</v>
      </c>
      <c r="K20236">
        <v>2.02</v>
      </c>
      <c r="L20236">
        <v>69708</v>
      </c>
      <c r="M20236" t="s">
        <v>491</v>
      </c>
      <c r="N20236" t="str">
        <f t="shared" si="283"/>
        <v xml:space="preserve">12310024521 </v>
      </c>
      <c r="O20236">
        <v>230310</v>
      </c>
    </row>
    <row r="20237" spans="1:15" x14ac:dyDescent="0.25">
      <c r="A20237" t="s">
        <v>16</v>
      </c>
      <c r="B20237" t="s">
        <v>3221</v>
      </c>
      <c r="C20237">
        <v>3176</v>
      </c>
      <c r="D20237" t="s">
        <v>263</v>
      </c>
      <c r="E20237" t="s">
        <v>264</v>
      </c>
      <c r="F20237">
        <v>6.14</v>
      </c>
      <c r="G20237">
        <v>230306</v>
      </c>
      <c r="H20237">
        <v>4362</v>
      </c>
      <c r="I20237" t="s">
        <v>79</v>
      </c>
      <c r="J20237">
        <v>7.61</v>
      </c>
      <c r="K20237">
        <v>1.47</v>
      </c>
      <c r="L20237">
        <v>46557</v>
      </c>
      <c r="M20237" t="s">
        <v>221</v>
      </c>
      <c r="N20237" t="str">
        <f>"12310024550 "</f>
        <v xml:space="preserve">12310024550 </v>
      </c>
      <c r="O20237">
        <v>230310</v>
      </c>
    </row>
    <row r="20238" spans="1:15" x14ac:dyDescent="0.25">
      <c r="A20238" t="s">
        <v>16</v>
      </c>
      <c r="B20238" t="s">
        <v>3221</v>
      </c>
      <c r="C20238">
        <v>3177</v>
      </c>
      <c r="D20238" t="s">
        <v>263</v>
      </c>
      <c r="E20238" t="s">
        <v>264</v>
      </c>
      <c r="F20238">
        <v>8.1</v>
      </c>
      <c r="G20238">
        <v>230306</v>
      </c>
      <c r="H20238">
        <v>4362</v>
      </c>
      <c r="I20238" t="s">
        <v>79</v>
      </c>
      <c r="J20238">
        <v>10.039999999999999</v>
      </c>
      <c r="K20238">
        <v>1.94</v>
      </c>
      <c r="L20238">
        <v>46555</v>
      </c>
      <c r="M20238" t="s">
        <v>597</v>
      </c>
      <c r="N20238" t="str">
        <f>"12310024535 "</f>
        <v xml:space="preserve">12310024535 </v>
      </c>
      <c r="O20238">
        <v>230310</v>
      </c>
    </row>
    <row r="20239" spans="1:15" x14ac:dyDescent="0.25">
      <c r="A20239" t="s">
        <v>16</v>
      </c>
      <c r="B20239" t="s">
        <v>3221</v>
      </c>
      <c r="C20239">
        <v>3177</v>
      </c>
      <c r="D20239" t="s">
        <v>263</v>
      </c>
      <c r="E20239" t="s">
        <v>264</v>
      </c>
      <c r="F20239">
        <v>2.7</v>
      </c>
      <c r="G20239">
        <v>230306</v>
      </c>
      <c r="H20239">
        <v>4362</v>
      </c>
      <c r="I20239" t="s">
        <v>79</v>
      </c>
      <c r="J20239">
        <v>3.35</v>
      </c>
      <c r="K20239">
        <v>0.65</v>
      </c>
      <c r="L20239">
        <v>48601</v>
      </c>
      <c r="M20239" t="s">
        <v>1047</v>
      </c>
      <c r="N20239" t="str">
        <f>"12310024535 "</f>
        <v xml:space="preserve">12310024535 </v>
      </c>
      <c r="O20239">
        <v>230310</v>
      </c>
    </row>
    <row r="20240" spans="1:15" x14ac:dyDescent="0.25">
      <c r="A20240" t="s">
        <v>16</v>
      </c>
      <c r="B20240" t="s">
        <v>3221</v>
      </c>
      <c r="C20240">
        <v>3178</v>
      </c>
      <c r="D20240" t="s">
        <v>263</v>
      </c>
      <c r="E20240" t="s">
        <v>264</v>
      </c>
      <c r="F20240">
        <v>7.22</v>
      </c>
      <c r="G20240">
        <v>230306</v>
      </c>
      <c r="H20240">
        <v>4362</v>
      </c>
      <c r="I20240" t="s">
        <v>79</v>
      </c>
      <c r="J20240">
        <v>8.9499999999999993</v>
      </c>
      <c r="K20240">
        <v>1.73</v>
      </c>
      <c r="L20240">
        <v>46556</v>
      </c>
      <c r="M20240" t="s">
        <v>125</v>
      </c>
      <c r="N20240" t="str">
        <f>"12310024532 "</f>
        <v xml:space="preserve">12310024532 </v>
      </c>
      <c r="O20240">
        <v>230310</v>
      </c>
    </row>
    <row r="20241" spans="1:15" x14ac:dyDescent="0.25">
      <c r="A20241" t="s">
        <v>16</v>
      </c>
      <c r="B20241" t="s">
        <v>3221</v>
      </c>
      <c r="C20241">
        <v>3182</v>
      </c>
      <c r="D20241" t="s">
        <v>263</v>
      </c>
      <c r="E20241" t="s">
        <v>264</v>
      </c>
      <c r="F20241">
        <v>45.9</v>
      </c>
      <c r="G20241">
        <v>230306</v>
      </c>
      <c r="H20241">
        <v>4362</v>
      </c>
      <c r="I20241" t="s">
        <v>79</v>
      </c>
      <c r="J20241">
        <v>56.92</v>
      </c>
      <c r="K20241">
        <v>11.02</v>
      </c>
      <c r="L20241">
        <v>10002</v>
      </c>
      <c r="M20241" t="s">
        <v>1066</v>
      </c>
      <c r="N20241" t="str">
        <f>"12310024558 "</f>
        <v xml:space="preserve">12310024558 </v>
      </c>
      <c r="O20241">
        <v>230310</v>
      </c>
    </row>
    <row r="20242" spans="1:15" x14ac:dyDescent="0.25">
      <c r="A20242" t="s">
        <v>16</v>
      </c>
      <c r="B20242" t="s">
        <v>3221</v>
      </c>
      <c r="C20242">
        <v>3236</v>
      </c>
      <c r="D20242" t="s">
        <v>263</v>
      </c>
      <c r="E20242" t="s">
        <v>264</v>
      </c>
      <c r="F20242">
        <v>2.59</v>
      </c>
      <c r="G20242">
        <v>230306</v>
      </c>
      <c r="H20242">
        <v>4362</v>
      </c>
      <c r="I20242" t="s">
        <v>79</v>
      </c>
      <c r="J20242">
        <v>3.21</v>
      </c>
      <c r="K20242">
        <v>0.62</v>
      </c>
      <c r="L20242">
        <v>53222</v>
      </c>
      <c r="M20242" t="s">
        <v>445</v>
      </c>
      <c r="N20242" t="str">
        <f>"12310024548 "</f>
        <v xml:space="preserve">12310024548 </v>
      </c>
      <c r="O20242">
        <v>230310</v>
      </c>
    </row>
    <row r="20243" spans="1:15" x14ac:dyDescent="0.25">
      <c r="A20243" t="s">
        <v>16</v>
      </c>
      <c r="B20243" t="s">
        <v>3221</v>
      </c>
      <c r="C20243">
        <v>3236</v>
      </c>
      <c r="D20243" t="s">
        <v>263</v>
      </c>
      <c r="E20243" t="s">
        <v>264</v>
      </c>
      <c r="F20243">
        <v>14.67</v>
      </c>
      <c r="G20243">
        <v>230306</v>
      </c>
      <c r="H20243">
        <v>4362</v>
      </c>
      <c r="I20243" t="s">
        <v>79</v>
      </c>
      <c r="J20243">
        <v>18.190000000000001</v>
      </c>
      <c r="K20243">
        <v>3.52</v>
      </c>
      <c r="L20243">
        <v>53222</v>
      </c>
      <c r="M20243" t="s">
        <v>445</v>
      </c>
      <c r="N20243" t="str">
        <f>"12310024548 "</f>
        <v xml:space="preserve">12310024548 </v>
      </c>
      <c r="O20243">
        <v>230310</v>
      </c>
    </row>
    <row r="20244" spans="1:15" x14ac:dyDescent="0.25">
      <c r="A20244" t="s">
        <v>16</v>
      </c>
      <c r="B20244" t="s">
        <v>3221</v>
      </c>
      <c r="C20244">
        <v>3236</v>
      </c>
      <c r="D20244" t="s">
        <v>263</v>
      </c>
      <c r="E20244" t="s">
        <v>264</v>
      </c>
      <c r="F20244">
        <v>2.7</v>
      </c>
      <c r="G20244">
        <v>230306</v>
      </c>
      <c r="H20244">
        <v>4362</v>
      </c>
      <c r="I20244" t="s">
        <v>79</v>
      </c>
      <c r="J20244">
        <v>3.35</v>
      </c>
      <c r="K20244">
        <v>0.65</v>
      </c>
      <c r="L20244">
        <v>54622</v>
      </c>
      <c r="M20244" t="s">
        <v>872</v>
      </c>
      <c r="N20244" t="str">
        <f>"12310024548 "</f>
        <v xml:space="preserve">12310024548 </v>
      </c>
      <c r="O20244">
        <v>230310</v>
      </c>
    </row>
    <row r="20245" spans="1:15" x14ac:dyDescent="0.25">
      <c r="A20245" t="s">
        <v>16</v>
      </c>
      <c r="B20245" t="s">
        <v>3221</v>
      </c>
      <c r="C20245">
        <v>3236</v>
      </c>
      <c r="D20245" t="s">
        <v>263</v>
      </c>
      <c r="E20245" t="s">
        <v>264</v>
      </c>
      <c r="F20245">
        <v>4.91</v>
      </c>
      <c r="G20245">
        <v>230306</v>
      </c>
      <c r="H20245">
        <v>4362</v>
      </c>
      <c r="I20245" t="s">
        <v>79</v>
      </c>
      <c r="J20245">
        <v>6.09</v>
      </c>
      <c r="K20245">
        <v>1.18</v>
      </c>
      <c r="L20245">
        <v>55222</v>
      </c>
      <c r="M20245" t="s">
        <v>873</v>
      </c>
      <c r="N20245" t="str">
        <f>"12310024548 "</f>
        <v xml:space="preserve">12310024548 </v>
      </c>
      <c r="O20245">
        <v>230310</v>
      </c>
    </row>
    <row r="20246" spans="1:15" x14ac:dyDescent="0.25">
      <c r="A20246" t="s">
        <v>16</v>
      </c>
      <c r="B20246" t="s">
        <v>3221</v>
      </c>
      <c r="C20246">
        <v>3237</v>
      </c>
      <c r="D20246" t="s">
        <v>263</v>
      </c>
      <c r="E20246" t="s">
        <v>264</v>
      </c>
      <c r="F20246">
        <v>2.7</v>
      </c>
      <c r="G20246">
        <v>230306</v>
      </c>
      <c r="H20246">
        <v>4362</v>
      </c>
      <c r="I20246" t="s">
        <v>79</v>
      </c>
      <c r="J20246">
        <v>3.35</v>
      </c>
      <c r="K20246">
        <v>0.65</v>
      </c>
      <c r="L20246">
        <v>11001</v>
      </c>
      <c r="M20246" t="s">
        <v>326</v>
      </c>
      <c r="N20246" t="str">
        <f t="shared" ref="N20246:N20251" si="284">"12310024516 "</f>
        <v xml:space="preserve">12310024516 </v>
      </c>
      <c r="O20246">
        <v>230310</v>
      </c>
    </row>
    <row r="20247" spans="1:15" x14ac:dyDescent="0.25">
      <c r="A20247" t="s">
        <v>16</v>
      </c>
      <c r="B20247" t="s">
        <v>3221</v>
      </c>
      <c r="C20247">
        <v>3237</v>
      </c>
      <c r="D20247" t="s">
        <v>263</v>
      </c>
      <c r="E20247" t="s">
        <v>264</v>
      </c>
      <c r="F20247">
        <v>37.1</v>
      </c>
      <c r="G20247">
        <v>230306</v>
      </c>
      <c r="H20247">
        <v>4362</v>
      </c>
      <c r="I20247" t="s">
        <v>79</v>
      </c>
      <c r="J20247">
        <v>37.1</v>
      </c>
      <c r="K20247">
        <v>0</v>
      </c>
      <c r="L20247">
        <v>11001</v>
      </c>
      <c r="M20247" t="s">
        <v>326</v>
      </c>
      <c r="N20247" t="str">
        <f t="shared" si="284"/>
        <v xml:space="preserve">12310024516 </v>
      </c>
      <c r="O20247">
        <v>230310</v>
      </c>
    </row>
    <row r="20248" spans="1:15" x14ac:dyDescent="0.25">
      <c r="A20248" t="s">
        <v>16</v>
      </c>
      <c r="B20248" t="s">
        <v>3221</v>
      </c>
      <c r="C20248">
        <v>3237</v>
      </c>
      <c r="D20248" t="s">
        <v>263</v>
      </c>
      <c r="E20248" t="s">
        <v>264</v>
      </c>
      <c r="F20248">
        <v>5.4</v>
      </c>
      <c r="G20248">
        <v>230306</v>
      </c>
      <c r="H20248">
        <v>4362</v>
      </c>
      <c r="I20248" t="s">
        <v>79</v>
      </c>
      <c r="J20248">
        <v>6.7</v>
      </c>
      <c r="K20248">
        <v>1.3</v>
      </c>
      <c r="L20248">
        <v>11501</v>
      </c>
      <c r="M20248" t="s">
        <v>339</v>
      </c>
      <c r="N20248" t="str">
        <f t="shared" si="284"/>
        <v xml:space="preserve">12310024516 </v>
      </c>
      <c r="O20248">
        <v>230310</v>
      </c>
    </row>
    <row r="20249" spans="1:15" x14ac:dyDescent="0.25">
      <c r="A20249" t="s">
        <v>16</v>
      </c>
      <c r="B20249" t="s">
        <v>3221</v>
      </c>
      <c r="C20249">
        <v>3237</v>
      </c>
      <c r="D20249" t="s">
        <v>263</v>
      </c>
      <c r="E20249" t="s">
        <v>264</v>
      </c>
      <c r="F20249">
        <v>2.7</v>
      </c>
      <c r="G20249">
        <v>230306</v>
      </c>
      <c r="H20249">
        <v>4362</v>
      </c>
      <c r="I20249" t="s">
        <v>79</v>
      </c>
      <c r="J20249">
        <v>3.35</v>
      </c>
      <c r="K20249">
        <v>0.65</v>
      </c>
      <c r="L20249">
        <v>11701</v>
      </c>
      <c r="M20249" t="s">
        <v>1204</v>
      </c>
      <c r="N20249" t="str">
        <f t="shared" si="284"/>
        <v xml:space="preserve">12310024516 </v>
      </c>
      <c r="O20249">
        <v>230310</v>
      </c>
    </row>
    <row r="20250" spans="1:15" x14ac:dyDescent="0.25">
      <c r="A20250" t="s">
        <v>16</v>
      </c>
      <c r="B20250" t="s">
        <v>3221</v>
      </c>
      <c r="C20250">
        <v>3237</v>
      </c>
      <c r="D20250" t="s">
        <v>263</v>
      </c>
      <c r="E20250" t="s">
        <v>264</v>
      </c>
      <c r="F20250">
        <v>5.4</v>
      </c>
      <c r="G20250">
        <v>230306</v>
      </c>
      <c r="H20250">
        <v>4362</v>
      </c>
      <c r="I20250" t="s">
        <v>79</v>
      </c>
      <c r="J20250">
        <v>6.7</v>
      </c>
      <c r="K20250">
        <v>1.3</v>
      </c>
      <c r="L20250">
        <v>11751</v>
      </c>
      <c r="M20250" t="s">
        <v>1339</v>
      </c>
      <c r="N20250" t="str">
        <f t="shared" si="284"/>
        <v xml:space="preserve">12310024516 </v>
      </c>
      <c r="O20250">
        <v>230310</v>
      </c>
    </row>
    <row r="20251" spans="1:15" x14ac:dyDescent="0.25">
      <c r="A20251" t="s">
        <v>16</v>
      </c>
      <c r="B20251" t="s">
        <v>3221</v>
      </c>
      <c r="C20251">
        <v>3237</v>
      </c>
      <c r="D20251" t="s">
        <v>263</v>
      </c>
      <c r="E20251" t="s">
        <v>264</v>
      </c>
      <c r="F20251">
        <v>20.97</v>
      </c>
      <c r="G20251">
        <v>230306</v>
      </c>
      <c r="H20251">
        <v>4362</v>
      </c>
      <c r="I20251" t="s">
        <v>79</v>
      </c>
      <c r="J20251">
        <v>26</v>
      </c>
      <c r="K20251">
        <v>5.03</v>
      </c>
      <c r="L20251">
        <v>14622</v>
      </c>
      <c r="M20251" t="s">
        <v>1005</v>
      </c>
      <c r="N20251" t="str">
        <f t="shared" si="284"/>
        <v xml:space="preserve">12310024516 </v>
      </c>
      <c r="O20251">
        <v>230310</v>
      </c>
    </row>
    <row r="20252" spans="1:15" x14ac:dyDescent="0.25">
      <c r="A20252" t="s">
        <v>16</v>
      </c>
      <c r="B20252" t="s">
        <v>3221</v>
      </c>
      <c r="C20252">
        <v>3238</v>
      </c>
      <c r="D20252" t="s">
        <v>263</v>
      </c>
      <c r="E20252" t="s">
        <v>264</v>
      </c>
      <c r="F20252">
        <v>2.7</v>
      </c>
      <c r="G20252">
        <v>230306</v>
      </c>
      <c r="H20252">
        <v>4362</v>
      </c>
      <c r="I20252" t="s">
        <v>79</v>
      </c>
      <c r="J20252">
        <v>3.35</v>
      </c>
      <c r="K20252">
        <v>0.65</v>
      </c>
      <c r="L20252">
        <v>51157</v>
      </c>
      <c r="M20252" t="s">
        <v>1216</v>
      </c>
      <c r="N20252" t="str">
        <f t="shared" ref="N20252:N20263" si="285">"12310024524 "</f>
        <v xml:space="preserve">12310024524 </v>
      </c>
      <c r="O20252">
        <v>230310</v>
      </c>
    </row>
    <row r="20253" spans="1:15" x14ac:dyDescent="0.25">
      <c r="A20253" t="s">
        <v>16</v>
      </c>
      <c r="B20253" t="s">
        <v>3221</v>
      </c>
      <c r="C20253">
        <v>3238</v>
      </c>
      <c r="D20253" t="s">
        <v>263</v>
      </c>
      <c r="E20253" t="s">
        <v>264</v>
      </c>
      <c r="F20253">
        <v>2.7</v>
      </c>
      <c r="G20253">
        <v>230306</v>
      </c>
      <c r="H20253">
        <v>4362</v>
      </c>
      <c r="I20253" t="s">
        <v>79</v>
      </c>
      <c r="J20253">
        <v>3.35</v>
      </c>
      <c r="K20253">
        <v>0.65</v>
      </c>
      <c r="L20253">
        <v>56526</v>
      </c>
      <c r="M20253" t="s">
        <v>1217</v>
      </c>
      <c r="N20253" t="str">
        <f t="shared" si="285"/>
        <v xml:space="preserve">12310024524 </v>
      </c>
      <c r="O20253">
        <v>230310</v>
      </c>
    </row>
    <row r="20254" spans="1:15" x14ac:dyDescent="0.25">
      <c r="A20254" t="s">
        <v>16</v>
      </c>
      <c r="B20254" t="s">
        <v>3221</v>
      </c>
      <c r="C20254">
        <v>3238</v>
      </c>
      <c r="D20254" t="s">
        <v>263</v>
      </c>
      <c r="E20254" t="s">
        <v>264</v>
      </c>
      <c r="F20254">
        <v>15.86</v>
      </c>
      <c r="G20254">
        <v>230306</v>
      </c>
      <c r="H20254">
        <v>4362</v>
      </c>
      <c r="I20254" t="s">
        <v>79</v>
      </c>
      <c r="J20254">
        <v>19.670000000000002</v>
      </c>
      <c r="K20254">
        <v>3.81</v>
      </c>
      <c r="L20254">
        <v>56558</v>
      </c>
      <c r="M20254" t="s">
        <v>217</v>
      </c>
      <c r="N20254" t="str">
        <f t="shared" si="285"/>
        <v xml:space="preserve">12310024524 </v>
      </c>
      <c r="O20254">
        <v>230310</v>
      </c>
    </row>
    <row r="20255" spans="1:15" x14ac:dyDescent="0.25">
      <c r="A20255" t="s">
        <v>16</v>
      </c>
      <c r="B20255" t="s">
        <v>3221</v>
      </c>
      <c r="C20255">
        <v>3238</v>
      </c>
      <c r="D20255" t="s">
        <v>263</v>
      </c>
      <c r="E20255" t="s">
        <v>264</v>
      </c>
      <c r="F20255">
        <v>26.64</v>
      </c>
      <c r="G20255">
        <v>230306</v>
      </c>
      <c r="H20255">
        <v>4362</v>
      </c>
      <c r="I20255" t="s">
        <v>79</v>
      </c>
      <c r="J20255">
        <v>33.03</v>
      </c>
      <c r="K20255">
        <v>6.39</v>
      </c>
      <c r="L20255">
        <v>56559</v>
      </c>
      <c r="M20255" t="s">
        <v>129</v>
      </c>
      <c r="N20255" t="str">
        <f t="shared" si="285"/>
        <v xml:space="preserve">12310024524 </v>
      </c>
      <c r="O20255">
        <v>230310</v>
      </c>
    </row>
    <row r="20256" spans="1:15" x14ac:dyDescent="0.25">
      <c r="A20256" t="s">
        <v>16</v>
      </c>
      <c r="B20256" t="s">
        <v>3221</v>
      </c>
      <c r="C20256">
        <v>3238</v>
      </c>
      <c r="D20256" t="s">
        <v>263</v>
      </c>
      <c r="E20256" t="s">
        <v>264</v>
      </c>
      <c r="F20256">
        <v>65.8</v>
      </c>
      <c r="G20256">
        <v>230306</v>
      </c>
      <c r="H20256">
        <v>4362</v>
      </c>
      <c r="I20256" t="s">
        <v>79</v>
      </c>
      <c r="J20256">
        <v>81.59</v>
      </c>
      <c r="K20256">
        <v>15.79</v>
      </c>
      <c r="L20256">
        <v>56560</v>
      </c>
      <c r="M20256" t="s">
        <v>654</v>
      </c>
      <c r="N20256" t="str">
        <f t="shared" si="285"/>
        <v xml:space="preserve">12310024524 </v>
      </c>
      <c r="O20256">
        <v>230310</v>
      </c>
    </row>
    <row r="20257" spans="1:15" x14ac:dyDescent="0.25">
      <c r="A20257" t="s">
        <v>16</v>
      </c>
      <c r="B20257" t="s">
        <v>3221</v>
      </c>
      <c r="C20257">
        <v>3238</v>
      </c>
      <c r="D20257" t="s">
        <v>263</v>
      </c>
      <c r="E20257" t="s">
        <v>264</v>
      </c>
      <c r="F20257">
        <v>3.04</v>
      </c>
      <c r="G20257">
        <v>230306</v>
      </c>
      <c r="H20257">
        <v>4362</v>
      </c>
      <c r="I20257" t="s">
        <v>79</v>
      </c>
      <c r="J20257">
        <v>3.77</v>
      </c>
      <c r="K20257">
        <v>0.73</v>
      </c>
      <c r="L20257">
        <v>56561</v>
      </c>
      <c r="M20257" t="s">
        <v>358</v>
      </c>
      <c r="N20257" t="str">
        <f t="shared" si="285"/>
        <v xml:space="preserve">12310024524 </v>
      </c>
      <c r="O20257">
        <v>230310</v>
      </c>
    </row>
    <row r="20258" spans="1:15" x14ac:dyDescent="0.25">
      <c r="A20258" t="s">
        <v>16</v>
      </c>
      <c r="B20258" t="s">
        <v>3221</v>
      </c>
      <c r="C20258">
        <v>3238</v>
      </c>
      <c r="D20258" t="s">
        <v>263</v>
      </c>
      <c r="E20258" t="s">
        <v>264</v>
      </c>
      <c r="F20258">
        <v>5.47</v>
      </c>
      <c r="G20258">
        <v>230306</v>
      </c>
      <c r="H20258">
        <v>4362</v>
      </c>
      <c r="I20258" t="s">
        <v>79</v>
      </c>
      <c r="J20258">
        <v>6.78</v>
      </c>
      <c r="K20258">
        <v>1.31</v>
      </c>
      <c r="L20258">
        <v>56562</v>
      </c>
      <c r="M20258" t="s">
        <v>126</v>
      </c>
      <c r="N20258" t="str">
        <f t="shared" si="285"/>
        <v xml:space="preserve">12310024524 </v>
      </c>
      <c r="O20258">
        <v>230310</v>
      </c>
    </row>
    <row r="20259" spans="1:15" x14ac:dyDescent="0.25">
      <c r="A20259" t="s">
        <v>16</v>
      </c>
      <c r="B20259" t="s">
        <v>3221</v>
      </c>
      <c r="C20259">
        <v>3238</v>
      </c>
      <c r="D20259" t="s">
        <v>263</v>
      </c>
      <c r="E20259" t="s">
        <v>264</v>
      </c>
      <c r="F20259">
        <v>8.81</v>
      </c>
      <c r="G20259">
        <v>230306</v>
      </c>
      <c r="H20259">
        <v>4362</v>
      </c>
      <c r="I20259" t="s">
        <v>79</v>
      </c>
      <c r="J20259">
        <v>10.92</v>
      </c>
      <c r="K20259">
        <v>2.11</v>
      </c>
      <c r="L20259">
        <v>56564</v>
      </c>
      <c r="M20259" t="s">
        <v>327</v>
      </c>
      <c r="N20259" t="str">
        <f t="shared" si="285"/>
        <v xml:space="preserve">12310024524 </v>
      </c>
      <c r="O20259">
        <v>230310</v>
      </c>
    </row>
    <row r="20260" spans="1:15" x14ac:dyDescent="0.25">
      <c r="A20260" t="s">
        <v>16</v>
      </c>
      <c r="B20260" t="s">
        <v>3221</v>
      </c>
      <c r="C20260">
        <v>3238</v>
      </c>
      <c r="D20260" t="s">
        <v>263</v>
      </c>
      <c r="E20260" t="s">
        <v>264</v>
      </c>
      <c r="F20260">
        <v>7.61</v>
      </c>
      <c r="G20260">
        <v>230306</v>
      </c>
      <c r="H20260">
        <v>4362</v>
      </c>
      <c r="I20260" t="s">
        <v>79</v>
      </c>
      <c r="J20260">
        <v>9.44</v>
      </c>
      <c r="K20260">
        <v>1.83</v>
      </c>
      <c r="L20260">
        <v>56565</v>
      </c>
      <c r="M20260" t="s">
        <v>758</v>
      </c>
      <c r="N20260" t="str">
        <f t="shared" si="285"/>
        <v xml:space="preserve">12310024524 </v>
      </c>
      <c r="O20260">
        <v>230310</v>
      </c>
    </row>
    <row r="20261" spans="1:15" x14ac:dyDescent="0.25">
      <c r="A20261" t="s">
        <v>16</v>
      </c>
      <c r="B20261" t="s">
        <v>3221</v>
      </c>
      <c r="C20261">
        <v>3238</v>
      </c>
      <c r="D20261" t="s">
        <v>263</v>
      </c>
      <c r="E20261" t="s">
        <v>264</v>
      </c>
      <c r="F20261">
        <v>5.94</v>
      </c>
      <c r="G20261">
        <v>230306</v>
      </c>
      <c r="H20261">
        <v>4362</v>
      </c>
      <c r="I20261" t="s">
        <v>79</v>
      </c>
      <c r="J20261">
        <v>7.37</v>
      </c>
      <c r="K20261">
        <v>1.43</v>
      </c>
      <c r="L20261">
        <v>56566</v>
      </c>
      <c r="M20261" t="s">
        <v>652</v>
      </c>
      <c r="N20261" t="str">
        <f t="shared" si="285"/>
        <v xml:space="preserve">12310024524 </v>
      </c>
      <c r="O20261">
        <v>230310</v>
      </c>
    </row>
    <row r="20262" spans="1:15" x14ac:dyDescent="0.25">
      <c r="A20262" t="s">
        <v>16</v>
      </c>
      <c r="B20262" t="s">
        <v>3221</v>
      </c>
      <c r="C20262">
        <v>3238</v>
      </c>
      <c r="D20262" t="s">
        <v>263</v>
      </c>
      <c r="E20262" t="s">
        <v>264</v>
      </c>
      <c r="F20262">
        <v>2.7</v>
      </c>
      <c r="G20262">
        <v>230306</v>
      </c>
      <c r="H20262">
        <v>4362</v>
      </c>
      <c r="I20262" t="s">
        <v>79</v>
      </c>
      <c r="J20262">
        <v>3.35</v>
      </c>
      <c r="K20262">
        <v>0.65</v>
      </c>
      <c r="L20262">
        <v>56568</v>
      </c>
      <c r="M20262" t="s">
        <v>268</v>
      </c>
      <c r="N20262" t="str">
        <f t="shared" si="285"/>
        <v xml:space="preserve">12310024524 </v>
      </c>
      <c r="O20262">
        <v>230310</v>
      </c>
    </row>
    <row r="20263" spans="1:15" x14ac:dyDescent="0.25">
      <c r="A20263" t="s">
        <v>16</v>
      </c>
      <c r="B20263" t="s">
        <v>3221</v>
      </c>
      <c r="C20263">
        <v>3238</v>
      </c>
      <c r="D20263" t="s">
        <v>263</v>
      </c>
      <c r="E20263" t="s">
        <v>264</v>
      </c>
      <c r="F20263">
        <v>2.5499999999999998</v>
      </c>
      <c r="G20263">
        <v>230306</v>
      </c>
      <c r="H20263">
        <v>4362</v>
      </c>
      <c r="I20263" t="s">
        <v>79</v>
      </c>
      <c r="J20263">
        <v>3.16</v>
      </c>
      <c r="K20263">
        <v>0.61</v>
      </c>
      <c r="L20263">
        <v>56575</v>
      </c>
      <c r="M20263" t="s">
        <v>95</v>
      </c>
      <c r="N20263" t="str">
        <f t="shared" si="285"/>
        <v xml:space="preserve">12310024524 </v>
      </c>
      <c r="O20263">
        <v>230310</v>
      </c>
    </row>
    <row r="20264" spans="1:15" x14ac:dyDescent="0.25">
      <c r="A20264" t="s">
        <v>16</v>
      </c>
      <c r="B20264" t="s">
        <v>3221</v>
      </c>
      <c r="C20264">
        <v>3239</v>
      </c>
      <c r="D20264" t="s">
        <v>263</v>
      </c>
      <c r="E20264" t="s">
        <v>264</v>
      </c>
      <c r="F20264">
        <v>2.5499999999999998</v>
      </c>
      <c r="G20264">
        <v>230306</v>
      </c>
      <c r="H20264">
        <v>4362</v>
      </c>
      <c r="I20264" t="s">
        <v>79</v>
      </c>
      <c r="J20264">
        <v>3.16</v>
      </c>
      <c r="K20264">
        <v>0.61</v>
      </c>
      <c r="L20264">
        <v>13801</v>
      </c>
      <c r="M20264" t="s">
        <v>162</v>
      </c>
      <c r="N20264" t="str">
        <f>"12310024547 "</f>
        <v xml:space="preserve">12310024547 </v>
      </c>
      <c r="O20264">
        <v>230310</v>
      </c>
    </row>
    <row r="20265" spans="1:15" x14ac:dyDescent="0.25">
      <c r="A20265" t="s">
        <v>16</v>
      </c>
      <c r="B20265" t="s">
        <v>3221</v>
      </c>
      <c r="C20265">
        <v>3256</v>
      </c>
      <c r="D20265" t="s">
        <v>263</v>
      </c>
      <c r="E20265" t="s">
        <v>264</v>
      </c>
      <c r="F20265">
        <v>2.1</v>
      </c>
      <c r="G20265">
        <v>230306</v>
      </c>
      <c r="H20265">
        <v>4362</v>
      </c>
      <c r="I20265" t="s">
        <v>79</v>
      </c>
      <c r="J20265">
        <v>2.61</v>
      </c>
      <c r="K20265">
        <v>0.51</v>
      </c>
      <c r="L20265">
        <v>41126</v>
      </c>
      <c r="M20265" t="s">
        <v>761</v>
      </c>
      <c r="N20265" t="str">
        <f t="shared" ref="N20265:N20270" si="286">"12310024537 "</f>
        <v xml:space="preserve">12310024537 </v>
      </c>
      <c r="O20265">
        <v>230313</v>
      </c>
    </row>
    <row r="20266" spans="1:15" x14ac:dyDescent="0.25">
      <c r="A20266" t="s">
        <v>16</v>
      </c>
      <c r="B20266" t="s">
        <v>3221</v>
      </c>
      <c r="C20266">
        <v>3256</v>
      </c>
      <c r="D20266" t="s">
        <v>263</v>
      </c>
      <c r="E20266" t="s">
        <v>264</v>
      </c>
      <c r="F20266">
        <v>1.62</v>
      </c>
      <c r="G20266">
        <v>230306</v>
      </c>
      <c r="H20266">
        <v>4362</v>
      </c>
      <c r="I20266" t="s">
        <v>79</v>
      </c>
      <c r="J20266">
        <v>2.0099999999999998</v>
      </c>
      <c r="K20266">
        <v>0.39</v>
      </c>
      <c r="L20266">
        <v>43222</v>
      </c>
      <c r="M20266" t="s">
        <v>507</v>
      </c>
      <c r="N20266" t="str">
        <f t="shared" si="286"/>
        <v xml:space="preserve">12310024537 </v>
      </c>
      <c r="O20266">
        <v>230313</v>
      </c>
    </row>
    <row r="20267" spans="1:15" x14ac:dyDescent="0.25">
      <c r="A20267" t="s">
        <v>16</v>
      </c>
      <c r="B20267" t="s">
        <v>3221</v>
      </c>
      <c r="C20267">
        <v>3256</v>
      </c>
      <c r="D20267" t="s">
        <v>263</v>
      </c>
      <c r="E20267" t="s">
        <v>264</v>
      </c>
      <c r="F20267">
        <v>1.94</v>
      </c>
      <c r="G20267">
        <v>230306</v>
      </c>
      <c r="H20267">
        <v>4362</v>
      </c>
      <c r="I20267" t="s">
        <v>79</v>
      </c>
      <c r="J20267">
        <v>2.41</v>
      </c>
      <c r="K20267">
        <v>0.47</v>
      </c>
      <c r="L20267">
        <v>44222</v>
      </c>
      <c r="M20267" t="s">
        <v>232</v>
      </c>
      <c r="N20267" t="str">
        <f t="shared" si="286"/>
        <v xml:space="preserve">12310024537 </v>
      </c>
      <c r="O20267">
        <v>230313</v>
      </c>
    </row>
    <row r="20268" spans="1:15" x14ac:dyDescent="0.25">
      <c r="A20268" t="s">
        <v>16</v>
      </c>
      <c r="B20268" t="s">
        <v>3221</v>
      </c>
      <c r="C20268">
        <v>3256</v>
      </c>
      <c r="D20268" t="s">
        <v>263</v>
      </c>
      <c r="E20268" t="s">
        <v>264</v>
      </c>
      <c r="F20268">
        <v>2.1</v>
      </c>
      <c r="G20268">
        <v>230306</v>
      </c>
      <c r="H20268">
        <v>4362</v>
      </c>
      <c r="I20268" t="s">
        <v>79</v>
      </c>
      <c r="J20268">
        <v>2.61</v>
      </c>
      <c r="K20268">
        <v>0.51</v>
      </c>
      <c r="L20268">
        <v>44424</v>
      </c>
      <c r="M20268" t="s">
        <v>776</v>
      </c>
      <c r="N20268" t="str">
        <f t="shared" si="286"/>
        <v xml:space="preserve">12310024537 </v>
      </c>
      <c r="O20268">
        <v>230313</v>
      </c>
    </row>
    <row r="20269" spans="1:15" x14ac:dyDescent="0.25">
      <c r="A20269" t="s">
        <v>16</v>
      </c>
      <c r="B20269" t="s">
        <v>3221</v>
      </c>
      <c r="C20269">
        <v>3256</v>
      </c>
      <c r="D20269" t="s">
        <v>263</v>
      </c>
      <c r="E20269" t="s">
        <v>264</v>
      </c>
      <c r="F20269">
        <v>1.1399999999999999</v>
      </c>
      <c r="G20269">
        <v>230306</v>
      </c>
      <c r="H20269">
        <v>4362</v>
      </c>
      <c r="I20269" t="s">
        <v>79</v>
      </c>
      <c r="J20269">
        <v>1.41</v>
      </c>
      <c r="K20269">
        <v>0.27</v>
      </c>
      <c r="L20269">
        <v>46222</v>
      </c>
      <c r="M20269" t="s">
        <v>293</v>
      </c>
      <c r="N20269" t="str">
        <f t="shared" si="286"/>
        <v xml:space="preserve">12310024537 </v>
      </c>
      <c r="O20269">
        <v>230313</v>
      </c>
    </row>
    <row r="20270" spans="1:15" x14ac:dyDescent="0.25">
      <c r="A20270" t="s">
        <v>16</v>
      </c>
      <c r="B20270" t="s">
        <v>3221</v>
      </c>
      <c r="C20270">
        <v>3256</v>
      </c>
      <c r="D20270" t="s">
        <v>263</v>
      </c>
      <c r="E20270" t="s">
        <v>264</v>
      </c>
      <c r="F20270">
        <v>7.29</v>
      </c>
      <c r="G20270">
        <v>230306</v>
      </c>
      <c r="H20270">
        <v>4362</v>
      </c>
      <c r="I20270" t="s">
        <v>79</v>
      </c>
      <c r="J20270">
        <v>9.0399999999999991</v>
      </c>
      <c r="K20270">
        <v>1.75</v>
      </c>
      <c r="L20270">
        <v>46559</v>
      </c>
      <c r="M20270" t="s">
        <v>1104</v>
      </c>
      <c r="N20270" t="str">
        <f t="shared" si="286"/>
        <v xml:space="preserve">12310024537 </v>
      </c>
      <c r="O20270">
        <v>230313</v>
      </c>
    </row>
    <row r="20271" spans="1:15" x14ac:dyDescent="0.25">
      <c r="A20271" t="s">
        <v>16</v>
      </c>
      <c r="B20271" t="s">
        <v>3221</v>
      </c>
      <c r="C20271">
        <v>3317</v>
      </c>
      <c r="D20271" t="s">
        <v>263</v>
      </c>
      <c r="E20271" t="s">
        <v>264</v>
      </c>
      <c r="F20271">
        <v>2.7</v>
      </c>
      <c r="G20271">
        <v>230306</v>
      </c>
      <c r="H20271">
        <v>4362</v>
      </c>
      <c r="I20271" t="s">
        <v>79</v>
      </c>
      <c r="J20271">
        <v>3.35</v>
      </c>
      <c r="K20271">
        <v>0.65</v>
      </c>
      <c r="L20271">
        <v>13201</v>
      </c>
      <c r="M20271" t="s">
        <v>161</v>
      </c>
      <c r="N20271" t="str">
        <f t="shared" ref="N20271:N20282" si="287">"12310024543 "</f>
        <v xml:space="preserve">12310024543 </v>
      </c>
      <c r="O20271">
        <v>230314</v>
      </c>
    </row>
    <row r="20272" spans="1:15" x14ac:dyDescent="0.25">
      <c r="A20272" t="s">
        <v>16</v>
      </c>
      <c r="B20272" t="s">
        <v>3221</v>
      </c>
      <c r="C20272">
        <v>3317</v>
      </c>
      <c r="D20272" t="s">
        <v>263</v>
      </c>
      <c r="E20272" t="s">
        <v>264</v>
      </c>
      <c r="F20272">
        <v>3.6</v>
      </c>
      <c r="G20272">
        <v>230306</v>
      </c>
      <c r="H20272">
        <v>4362</v>
      </c>
      <c r="I20272" t="s">
        <v>79</v>
      </c>
      <c r="J20272">
        <v>3.6</v>
      </c>
      <c r="K20272">
        <v>0</v>
      </c>
      <c r="L20272">
        <v>13201</v>
      </c>
      <c r="M20272" t="s">
        <v>161</v>
      </c>
      <c r="N20272" t="str">
        <f t="shared" si="287"/>
        <v xml:space="preserve">12310024543 </v>
      </c>
      <c r="O20272">
        <v>230314</v>
      </c>
    </row>
    <row r="20273" spans="1:15" x14ac:dyDescent="0.25">
      <c r="A20273" t="s">
        <v>16</v>
      </c>
      <c r="B20273" t="s">
        <v>3221</v>
      </c>
      <c r="C20273">
        <v>3317</v>
      </c>
      <c r="D20273" t="s">
        <v>263</v>
      </c>
      <c r="E20273" t="s">
        <v>264</v>
      </c>
      <c r="F20273">
        <v>24.3</v>
      </c>
      <c r="G20273">
        <v>230306</v>
      </c>
      <c r="H20273">
        <v>4362</v>
      </c>
      <c r="I20273" t="s">
        <v>79</v>
      </c>
      <c r="J20273">
        <v>30.13</v>
      </c>
      <c r="K20273">
        <v>5.83</v>
      </c>
      <c r="L20273">
        <v>13401</v>
      </c>
      <c r="M20273" t="s">
        <v>80</v>
      </c>
      <c r="N20273" t="str">
        <f t="shared" si="287"/>
        <v xml:space="preserve">12310024543 </v>
      </c>
      <c r="O20273">
        <v>230314</v>
      </c>
    </row>
    <row r="20274" spans="1:15" x14ac:dyDescent="0.25">
      <c r="A20274" t="s">
        <v>16</v>
      </c>
      <c r="B20274" t="s">
        <v>3221</v>
      </c>
      <c r="C20274">
        <v>3317</v>
      </c>
      <c r="D20274" t="s">
        <v>263</v>
      </c>
      <c r="E20274" t="s">
        <v>264</v>
      </c>
      <c r="F20274">
        <v>8.56</v>
      </c>
      <c r="G20274">
        <v>230306</v>
      </c>
      <c r="H20274">
        <v>4362</v>
      </c>
      <c r="I20274" t="s">
        <v>79</v>
      </c>
      <c r="J20274">
        <v>10.61</v>
      </c>
      <c r="K20274">
        <v>2.0499999999999998</v>
      </c>
      <c r="L20274">
        <v>13401</v>
      </c>
      <c r="M20274" t="s">
        <v>80</v>
      </c>
      <c r="N20274" t="str">
        <f t="shared" si="287"/>
        <v xml:space="preserve">12310024543 </v>
      </c>
      <c r="O20274">
        <v>230314</v>
      </c>
    </row>
    <row r="20275" spans="1:15" x14ac:dyDescent="0.25">
      <c r="A20275" t="s">
        <v>16</v>
      </c>
      <c r="B20275" t="s">
        <v>3221</v>
      </c>
      <c r="C20275">
        <v>3317</v>
      </c>
      <c r="D20275" t="s">
        <v>263</v>
      </c>
      <c r="E20275" t="s">
        <v>264</v>
      </c>
      <c r="F20275">
        <v>24.97</v>
      </c>
      <c r="G20275">
        <v>230306</v>
      </c>
      <c r="H20275">
        <v>4362</v>
      </c>
      <c r="I20275" t="s">
        <v>79</v>
      </c>
      <c r="J20275">
        <v>30.96</v>
      </c>
      <c r="K20275">
        <v>5.99</v>
      </c>
      <c r="L20275">
        <v>13501</v>
      </c>
      <c r="M20275" t="s">
        <v>20</v>
      </c>
      <c r="N20275" t="str">
        <f t="shared" si="287"/>
        <v xml:space="preserve">12310024543 </v>
      </c>
      <c r="O20275">
        <v>230314</v>
      </c>
    </row>
    <row r="20276" spans="1:15" x14ac:dyDescent="0.25">
      <c r="A20276" t="s">
        <v>16</v>
      </c>
      <c r="B20276" t="s">
        <v>3221</v>
      </c>
      <c r="C20276">
        <v>3317</v>
      </c>
      <c r="D20276" t="s">
        <v>263</v>
      </c>
      <c r="E20276" t="s">
        <v>264</v>
      </c>
      <c r="F20276">
        <v>3.17</v>
      </c>
      <c r="G20276">
        <v>230306</v>
      </c>
      <c r="H20276">
        <v>4362</v>
      </c>
      <c r="I20276" t="s">
        <v>79</v>
      </c>
      <c r="J20276">
        <v>3.93</v>
      </c>
      <c r="K20276">
        <v>0.76</v>
      </c>
      <c r="L20276">
        <v>13561</v>
      </c>
      <c r="M20276" t="s">
        <v>246</v>
      </c>
      <c r="N20276" t="str">
        <f t="shared" si="287"/>
        <v xml:space="preserve">12310024543 </v>
      </c>
      <c r="O20276">
        <v>230314</v>
      </c>
    </row>
    <row r="20277" spans="1:15" x14ac:dyDescent="0.25">
      <c r="A20277" t="s">
        <v>16</v>
      </c>
      <c r="B20277" t="s">
        <v>3221</v>
      </c>
      <c r="C20277">
        <v>3317</v>
      </c>
      <c r="D20277" t="s">
        <v>263</v>
      </c>
      <c r="E20277" t="s">
        <v>264</v>
      </c>
      <c r="F20277">
        <v>5.38</v>
      </c>
      <c r="G20277">
        <v>230306</v>
      </c>
      <c r="H20277">
        <v>4362</v>
      </c>
      <c r="I20277" t="s">
        <v>79</v>
      </c>
      <c r="J20277">
        <v>6.67</v>
      </c>
      <c r="K20277">
        <v>1.29</v>
      </c>
      <c r="L20277">
        <v>13561</v>
      </c>
      <c r="M20277" t="s">
        <v>246</v>
      </c>
      <c r="N20277" t="str">
        <f t="shared" si="287"/>
        <v xml:space="preserve">12310024543 </v>
      </c>
      <c r="O20277">
        <v>230314</v>
      </c>
    </row>
    <row r="20278" spans="1:15" x14ac:dyDescent="0.25">
      <c r="A20278" t="s">
        <v>16</v>
      </c>
      <c r="B20278" t="s">
        <v>3221</v>
      </c>
      <c r="C20278">
        <v>3317</v>
      </c>
      <c r="D20278" t="s">
        <v>263</v>
      </c>
      <c r="E20278" t="s">
        <v>264</v>
      </c>
      <c r="F20278">
        <v>3.36</v>
      </c>
      <c r="G20278">
        <v>230306</v>
      </c>
      <c r="H20278">
        <v>4362</v>
      </c>
      <c r="I20278" t="s">
        <v>79</v>
      </c>
      <c r="J20278">
        <v>4.17</v>
      </c>
      <c r="K20278">
        <v>0.81</v>
      </c>
      <c r="L20278">
        <v>13661</v>
      </c>
      <c r="M20278" t="s">
        <v>247</v>
      </c>
      <c r="N20278" t="str">
        <f t="shared" si="287"/>
        <v xml:space="preserve">12310024543 </v>
      </c>
      <c r="O20278">
        <v>230314</v>
      </c>
    </row>
    <row r="20279" spans="1:15" x14ac:dyDescent="0.25">
      <c r="A20279" t="s">
        <v>16</v>
      </c>
      <c r="B20279" t="s">
        <v>3221</v>
      </c>
      <c r="C20279">
        <v>3317</v>
      </c>
      <c r="D20279" t="s">
        <v>263</v>
      </c>
      <c r="E20279" t="s">
        <v>264</v>
      </c>
      <c r="F20279">
        <v>13.65</v>
      </c>
      <c r="G20279">
        <v>230306</v>
      </c>
      <c r="H20279">
        <v>4362</v>
      </c>
      <c r="I20279" t="s">
        <v>79</v>
      </c>
      <c r="J20279">
        <v>16.93</v>
      </c>
      <c r="K20279">
        <v>3.28</v>
      </c>
      <c r="L20279">
        <v>13801</v>
      </c>
      <c r="M20279" t="s">
        <v>162</v>
      </c>
      <c r="N20279" t="str">
        <f t="shared" si="287"/>
        <v xml:space="preserve">12310024543 </v>
      </c>
      <c r="O20279">
        <v>230314</v>
      </c>
    </row>
    <row r="20280" spans="1:15" x14ac:dyDescent="0.25">
      <c r="A20280" t="s">
        <v>16</v>
      </c>
      <c r="B20280" t="s">
        <v>3221</v>
      </c>
      <c r="C20280">
        <v>3317</v>
      </c>
      <c r="D20280" t="s">
        <v>263</v>
      </c>
      <c r="E20280" t="s">
        <v>264</v>
      </c>
      <c r="F20280">
        <v>13.5</v>
      </c>
      <c r="G20280">
        <v>230306</v>
      </c>
      <c r="H20280">
        <v>4362</v>
      </c>
      <c r="I20280" t="s">
        <v>79</v>
      </c>
      <c r="J20280">
        <v>16.739999999999998</v>
      </c>
      <c r="K20280">
        <v>3.24</v>
      </c>
      <c r="L20280">
        <v>13801</v>
      </c>
      <c r="M20280" t="s">
        <v>162</v>
      </c>
      <c r="N20280" t="str">
        <f t="shared" si="287"/>
        <v xml:space="preserve">12310024543 </v>
      </c>
      <c r="O20280">
        <v>230314</v>
      </c>
    </row>
    <row r="20281" spans="1:15" x14ac:dyDescent="0.25">
      <c r="A20281" t="s">
        <v>16</v>
      </c>
      <c r="B20281" t="s">
        <v>3221</v>
      </c>
      <c r="C20281">
        <v>3317</v>
      </c>
      <c r="D20281" t="s">
        <v>263</v>
      </c>
      <c r="E20281" t="s">
        <v>264</v>
      </c>
      <c r="F20281">
        <v>11.19</v>
      </c>
      <c r="G20281">
        <v>230306</v>
      </c>
      <c r="H20281">
        <v>4362</v>
      </c>
      <c r="I20281" t="s">
        <v>79</v>
      </c>
      <c r="J20281">
        <v>13.87</v>
      </c>
      <c r="K20281">
        <v>2.68</v>
      </c>
      <c r="L20281">
        <v>13802</v>
      </c>
      <c r="M20281" t="s">
        <v>200</v>
      </c>
      <c r="N20281" t="str">
        <f t="shared" si="287"/>
        <v xml:space="preserve">12310024543 </v>
      </c>
      <c r="O20281">
        <v>230314</v>
      </c>
    </row>
    <row r="20282" spans="1:15" x14ac:dyDescent="0.25">
      <c r="A20282" t="s">
        <v>16</v>
      </c>
      <c r="B20282" t="s">
        <v>3221</v>
      </c>
      <c r="C20282">
        <v>3317</v>
      </c>
      <c r="D20282" t="s">
        <v>263</v>
      </c>
      <c r="E20282" t="s">
        <v>264</v>
      </c>
      <c r="F20282">
        <v>2.74</v>
      </c>
      <c r="G20282">
        <v>230306</v>
      </c>
      <c r="H20282">
        <v>4362</v>
      </c>
      <c r="I20282" t="s">
        <v>79</v>
      </c>
      <c r="J20282">
        <v>3.4</v>
      </c>
      <c r="K20282">
        <v>0.66</v>
      </c>
      <c r="L20282">
        <v>17971</v>
      </c>
      <c r="M20282" t="s">
        <v>138</v>
      </c>
      <c r="N20282" t="str">
        <f t="shared" si="287"/>
        <v xml:space="preserve">12310024543 </v>
      </c>
      <c r="O20282">
        <v>230314</v>
      </c>
    </row>
    <row r="20283" spans="1:15" x14ac:dyDescent="0.25">
      <c r="A20283" t="s">
        <v>16</v>
      </c>
      <c r="B20283" t="s">
        <v>3221</v>
      </c>
      <c r="C20283">
        <v>3336</v>
      </c>
      <c r="D20283" t="s">
        <v>263</v>
      </c>
      <c r="E20283" t="s">
        <v>264</v>
      </c>
      <c r="F20283">
        <v>2.1800000000000002</v>
      </c>
      <c r="G20283">
        <v>230306</v>
      </c>
      <c r="H20283">
        <v>4362</v>
      </c>
      <c r="I20283" t="s">
        <v>79</v>
      </c>
      <c r="J20283">
        <v>2.7</v>
      </c>
      <c r="K20283">
        <v>0.52</v>
      </c>
      <c r="L20283">
        <v>14972</v>
      </c>
      <c r="M20283" t="s">
        <v>898</v>
      </c>
      <c r="N20283" t="str">
        <f t="shared" ref="N20283:N20292" si="288">"12310024517 "</f>
        <v xml:space="preserve">12310024517 </v>
      </c>
      <c r="O20283">
        <v>230314</v>
      </c>
    </row>
    <row r="20284" spans="1:15" x14ac:dyDescent="0.25">
      <c r="A20284" t="s">
        <v>16</v>
      </c>
      <c r="B20284" t="s">
        <v>3221</v>
      </c>
      <c r="C20284">
        <v>3336</v>
      </c>
      <c r="D20284" t="s">
        <v>263</v>
      </c>
      <c r="E20284" t="s">
        <v>264</v>
      </c>
      <c r="F20284">
        <v>5.56</v>
      </c>
      <c r="G20284">
        <v>230306</v>
      </c>
      <c r="H20284">
        <v>4362</v>
      </c>
      <c r="I20284" t="s">
        <v>79</v>
      </c>
      <c r="J20284">
        <v>6.9</v>
      </c>
      <c r="K20284">
        <v>1.34</v>
      </c>
      <c r="L20284">
        <v>14972</v>
      </c>
      <c r="M20284" t="s">
        <v>898</v>
      </c>
      <c r="N20284" t="str">
        <f t="shared" si="288"/>
        <v xml:space="preserve">12310024517 </v>
      </c>
      <c r="O20284">
        <v>230314</v>
      </c>
    </row>
    <row r="20285" spans="1:15" x14ac:dyDescent="0.25">
      <c r="A20285" t="s">
        <v>16</v>
      </c>
      <c r="B20285" t="s">
        <v>3221</v>
      </c>
      <c r="C20285">
        <v>3336</v>
      </c>
      <c r="D20285" t="s">
        <v>263</v>
      </c>
      <c r="E20285" t="s">
        <v>264</v>
      </c>
      <c r="F20285">
        <v>2.7</v>
      </c>
      <c r="G20285">
        <v>230306</v>
      </c>
      <c r="H20285">
        <v>4362</v>
      </c>
      <c r="I20285" t="s">
        <v>79</v>
      </c>
      <c r="J20285">
        <v>3.35</v>
      </c>
      <c r="K20285">
        <v>0.65</v>
      </c>
      <c r="L20285">
        <v>17972</v>
      </c>
      <c r="M20285" t="s">
        <v>248</v>
      </c>
      <c r="N20285" t="str">
        <f t="shared" si="288"/>
        <v xml:space="preserve">12310024517 </v>
      </c>
      <c r="O20285">
        <v>230314</v>
      </c>
    </row>
    <row r="20286" spans="1:15" x14ac:dyDescent="0.25">
      <c r="A20286" t="s">
        <v>16</v>
      </c>
      <c r="B20286" t="s">
        <v>3221</v>
      </c>
      <c r="C20286">
        <v>3336</v>
      </c>
      <c r="D20286" t="s">
        <v>263</v>
      </c>
      <c r="E20286" t="s">
        <v>264</v>
      </c>
      <c r="F20286">
        <v>4.2300000000000004</v>
      </c>
      <c r="G20286">
        <v>230306</v>
      </c>
      <c r="H20286">
        <v>4362</v>
      </c>
      <c r="I20286" t="s">
        <v>79</v>
      </c>
      <c r="J20286">
        <v>5.25</v>
      </c>
      <c r="K20286">
        <v>1.02</v>
      </c>
      <c r="L20286">
        <v>17972</v>
      </c>
      <c r="M20286" t="s">
        <v>248</v>
      </c>
      <c r="N20286" t="str">
        <f t="shared" si="288"/>
        <v xml:space="preserve">12310024517 </v>
      </c>
      <c r="O20286">
        <v>230314</v>
      </c>
    </row>
    <row r="20287" spans="1:15" x14ac:dyDescent="0.25">
      <c r="A20287" t="s">
        <v>16</v>
      </c>
      <c r="B20287" t="s">
        <v>3221</v>
      </c>
      <c r="C20287">
        <v>3336</v>
      </c>
      <c r="D20287" t="s">
        <v>263</v>
      </c>
      <c r="E20287" t="s">
        <v>264</v>
      </c>
      <c r="F20287">
        <v>25.61</v>
      </c>
      <c r="G20287">
        <v>230306</v>
      </c>
      <c r="H20287">
        <v>4362</v>
      </c>
      <c r="I20287" t="s">
        <v>79</v>
      </c>
      <c r="J20287">
        <v>31.76</v>
      </c>
      <c r="K20287">
        <v>6.15</v>
      </c>
      <c r="L20287">
        <v>18010</v>
      </c>
      <c r="M20287" t="s">
        <v>1344</v>
      </c>
      <c r="N20287" t="str">
        <f t="shared" si="288"/>
        <v xml:space="preserve">12310024517 </v>
      </c>
      <c r="O20287">
        <v>230314</v>
      </c>
    </row>
    <row r="20288" spans="1:15" x14ac:dyDescent="0.25">
      <c r="A20288" t="s">
        <v>16</v>
      </c>
      <c r="B20288" t="s">
        <v>3221</v>
      </c>
      <c r="C20288">
        <v>3336</v>
      </c>
      <c r="D20288" t="s">
        <v>263</v>
      </c>
      <c r="E20288" t="s">
        <v>264</v>
      </c>
      <c r="F20288">
        <v>29.14</v>
      </c>
      <c r="G20288">
        <v>230306</v>
      </c>
      <c r="H20288">
        <v>4362</v>
      </c>
      <c r="I20288" t="s">
        <v>79</v>
      </c>
      <c r="J20288">
        <v>36.130000000000003</v>
      </c>
      <c r="K20288">
        <v>6.99</v>
      </c>
      <c r="L20288">
        <v>18972</v>
      </c>
      <c r="M20288" t="s">
        <v>163</v>
      </c>
      <c r="N20288" t="str">
        <f t="shared" si="288"/>
        <v xml:space="preserve">12310024517 </v>
      </c>
      <c r="O20288">
        <v>230314</v>
      </c>
    </row>
    <row r="20289" spans="1:15" x14ac:dyDescent="0.25">
      <c r="A20289" t="s">
        <v>16</v>
      </c>
      <c r="B20289" t="s">
        <v>3221</v>
      </c>
      <c r="C20289">
        <v>3336</v>
      </c>
      <c r="D20289" t="s">
        <v>263</v>
      </c>
      <c r="E20289" t="s">
        <v>264</v>
      </c>
      <c r="F20289">
        <v>2.1800000000000002</v>
      </c>
      <c r="G20289">
        <v>230306</v>
      </c>
      <c r="H20289">
        <v>4362</v>
      </c>
      <c r="I20289" t="s">
        <v>79</v>
      </c>
      <c r="J20289">
        <v>2.7</v>
      </c>
      <c r="K20289">
        <v>0.52</v>
      </c>
      <c r="L20289">
        <v>49702</v>
      </c>
      <c r="M20289" t="s">
        <v>584</v>
      </c>
      <c r="N20289" t="str">
        <f t="shared" si="288"/>
        <v xml:space="preserve">12310024517 </v>
      </c>
      <c r="O20289">
        <v>230314</v>
      </c>
    </row>
    <row r="20290" spans="1:15" x14ac:dyDescent="0.25">
      <c r="A20290" t="s">
        <v>16</v>
      </c>
      <c r="B20290" t="s">
        <v>3221</v>
      </c>
      <c r="C20290">
        <v>3336</v>
      </c>
      <c r="D20290" t="s">
        <v>263</v>
      </c>
      <c r="E20290" t="s">
        <v>264</v>
      </c>
      <c r="F20290">
        <v>2.7</v>
      </c>
      <c r="G20290">
        <v>230306</v>
      </c>
      <c r="H20290">
        <v>4362</v>
      </c>
      <c r="I20290" t="s">
        <v>79</v>
      </c>
      <c r="J20290">
        <v>3.35</v>
      </c>
      <c r="K20290">
        <v>0.65</v>
      </c>
      <c r="L20290">
        <v>49702</v>
      </c>
      <c r="M20290" t="s">
        <v>584</v>
      </c>
      <c r="N20290" t="str">
        <f t="shared" si="288"/>
        <v xml:space="preserve">12310024517 </v>
      </c>
      <c r="O20290">
        <v>230314</v>
      </c>
    </row>
    <row r="20291" spans="1:15" x14ac:dyDescent="0.25">
      <c r="A20291" t="s">
        <v>16</v>
      </c>
      <c r="B20291" t="s">
        <v>3221</v>
      </c>
      <c r="C20291">
        <v>3336</v>
      </c>
      <c r="D20291" t="s">
        <v>263</v>
      </c>
      <c r="E20291" t="s">
        <v>264</v>
      </c>
      <c r="F20291">
        <v>4.2300000000000004</v>
      </c>
      <c r="G20291">
        <v>230306</v>
      </c>
      <c r="H20291">
        <v>4362</v>
      </c>
      <c r="I20291" t="s">
        <v>79</v>
      </c>
      <c r="J20291">
        <v>5.25</v>
      </c>
      <c r="K20291">
        <v>1.02</v>
      </c>
      <c r="L20291">
        <v>59702</v>
      </c>
      <c r="M20291" t="s">
        <v>328</v>
      </c>
      <c r="N20291" t="str">
        <f t="shared" si="288"/>
        <v xml:space="preserve">12310024517 </v>
      </c>
      <c r="O20291">
        <v>230314</v>
      </c>
    </row>
    <row r="20292" spans="1:15" x14ac:dyDescent="0.25">
      <c r="A20292" t="s">
        <v>16</v>
      </c>
      <c r="B20292" t="s">
        <v>3221</v>
      </c>
      <c r="C20292">
        <v>3336</v>
      </c>
      <c r="D20292" t="s">
        <v>263</v>
      </c>
      <c r="E20292" t="s">
        <v>264</v>
      </c>
      <c r="F20292">
        <v>5.25</v>
      </c>
      <c r="G20292">
        <v>230306</v>
      </c>
      <c r="H20292">
        <v>4362</v>
      </c>
      <c r="I20292" t="s">
        <v>79</v>
      </c>
      <c r="J20292">
        <v>6.51</v>
      </c>
      <c r="K20292">
        <v>1.26</v>
      </c>
      <c r="L20292">
        <v>59702</v>
      </c>
      <c r="M20292" t="s">
        <v>328</v>
      </c>
      <c r="N20292" t="str">
        <f t="shared" si="288"/>
        <v xml:space="preserve">12310024517 </v>
      </c>
      <c r="O20292">
        <v>230314</v>
      </c>
    </row>
    <row r="20293" spans="1:15" x14ac:dyDescent="0.25">
      <c r="A20293" t="s">
        <v>16</v>
      </c>
      <c r="B20293" t="s">
        <v>3221</v>
      </c>
      <c r="C20293">
        <v>3438</v>
      </c>
      <c r="D20293" t="s">
        <v>263</v>
      </c>
      <c r="E20293" t="s">
        <v>264</v>
      </c>
      <c r="F20293">
        <v>2.5499999999999998</v>
      </c>
      <c r="G20293">
        <v>230306</v>
      </c>
      <c r="H20293">
        <v>4362</v>
      </c>
      <c r="I20293" t="s">
        <v>79</v>
      </c>
      <c r="J20293">
        <v>3.16</v>
      </c>
      <c r="K20293">
        <v>0.61</v>
      </c>
      <c r="L20293">
        <v>10002</v>
      </c>
      <c r="M20293" t="s">
        <v>1066</v>
      </c>
      <c r="N20293" t="str">
        <f t="shared" ref="N20293:N20305" si="289">"12310024515 "</f>
        <v xml:space="preserve">12310024515 </v>
      </c>
      <c r="O20293">
        <v>230316</v>
      </c>
    </row>
    <row r="20294" spans="1:15" x14ac:dyDescent="0.25">
      <c r="A20294" t="s">
        <v>16</v>
      </c>
      <c r="B20294" t="s">
        <v>3221</v>
      </c>
      <c r="C20294">
        <v>3438</v>
      </c>
      <c r="D20294" t="s">
        <v>263</v>
      </c>
      <c r="E20294" t="s">
        <v>264</v>
      </c>
      <c r="F20294">
        <v>2.5499999999999998</v>
      </c>
      <c r="G20294">
        <v>230306</v>
      </c>
      <c r="H20294">
        <v>4362</v>
      </c>
      <c r="I20294" t="s">
        <v>79</v>
      </c>
      <c r="J20294">
        <v>3.16</v>
      </c>
      <c r="K20294">
        <v>0.61</v>
      </c>
      <c r="L20294">
        <v>10002</v>
      </c>
      <c r="M20294" t="s">
        <v>1066</v>
      </c>
      <c r="N20294" t="str">
        <f t="shared" si="289"/>
        <v xml:space="preserve">12310024515 </v>
      </c>
      <c r="O20294">
        <v>230316</v>
      </c>
    </row>
    <row r="20295" spans="1:15" x14ac:dyDescent="0.25">
      <c r="A20295" t="s">
        <v>16</v>
      </c>
      <c r="B20295" t="s">
        <v>3221</v>
      </c>
      <c r="C20295">
        <v>3438</v>
      </c>
      <c r="D20295" t="s">
        <v>263</v>
      </c>
      <c r="E20295" t="s">
        <v>264</v>
      </c>
      <c r="F20295">
        <v>2.5499999999999998</v>
      </c>
      <c r="G20295">
        <v>230306</v>
      </c>
      <c r="H20295">
        <v>4362</v>
      </c>
      <c r="I20295" t="s">
        <v>79</v>
      </c>
      <c r="J20295">
        <v>3.16</v>
      </c>
      <c r="K20295">
        <v>0.61</v>
      </c>
      <c r="L20295">
        <v>11001</v>
      </c>
      <c r="M20295" t="s">
        <v>326</v>
      </c>
      <c r="N20295" t="str">
        <f t="shared" si="289"/>
        <v xml:space="preserve">12310024515 </v>
      </c>
      <c r="O20295">
        <v>230316</v>
      </c>
    </row>
    <row r="20296" spans="1:15" x14ac:dyDescent="0.25">
      <c r="A20296" t="s">
        <v>16</v>
      </c>
      <c r="B20296" t="s">
        <v>3221</v>
      </c>
      <c r="C20296">
        <v>3438</v>
      </c>
      <c r="D20296" t="s">
        <v>263</v>
      </c>
      <c r="E20296" t="s">
        <v>264</v>
      </c>
      <c r="F20296">
        <v>5.25</v>
      </c>
      <c r="G20296">
        <v>230306</v>
      </c>
      <c r="H20296">
        <v>4362</v>
      </c>
      <c r="I20296" t="s">
        <v>79</v>
      </c>
      <c r="J20296">
        <v>6.51</v>
      </c>
      <c r="K20296">
        <v>1.26</v>
      </c>
      <c r="L20296">
        <v>11001</v>
      </c>
      <c r="M20296" t="s">
        <v>326</v>
      </c>
      <c r="N20296" t="str">
        <f t="shared" si="289"/>
        <v xml:space="preserve">12310024515 </v>
      </c>
      <c r="O20296">
        <v>230316</v>
      </c>
    </row>
    <row r="20297" spans="1:15" x14ac:dyDescent="0.25">
      <c r="A20297" t="s">
        <v>16</v>
      </c>
      <c r="B20297" t="s">
        <v>3221</v>
      </c>
      <c r="C20297">
        <v>3438</v>
      </c>
      <c r="D20297" t="s">
        <v>263</v>
      </c>
      <c r="E20297" t="s">
        <v>264</v>
      </c>
      <c r="F20297">
        <v>11.1</v>
      </c>
      <c r="G20297">
        <v>230306</v>
      </c>
      <c r="H20297">
        <v>4362</v>
      </c>
      <c r="I20297" t="s">
        <v>79</v>
      </c>
      <c r="J20297">
        <v>11.1</v>
      </c>
      <c r="K20297">
        <v>0</v>
      </c>
      <c r="L20297">
        <v>11001</v>
      </c>
      <c r="M20297" t="s">
        <v>326</v>
      </c>
      <c r="N20297" t="str">
        <f t="shared" si="289"/>
        <v xml:space="preserve">12310024515 </v>
      </c>
      <c r="O20297">
        <v>230316</v>
      </c>
    </row>
    <row r="20298" spans="1:15" x14ac:dyDescent="0.25">
      <c r="A20298" t="s">
        <v>16</v>
      </c>
      <c r="B20298" t="s">
        <v>3221</v>
      </c>
      <c r="C20298">
        <v>3438</v>
      </c>
      <c r="D20298" t="s">
        <v>263</v>
      </c>
      <c r="E20298" t="s">
        <v>264</v>
      </c>
      <c r="F20298">
        <v>5.3</v>
      </c>
      <c r="G20298">
        <v>230306</v>
      </c>
      <c r="H20298">
        <v>4362</v>
      </c>
      <c r="I20298" t="s">
        <v>79</v>
      </c>
      <c r="J20298">
        <v>6.57</v>
      </c>
      <c r="K20298">
        <v>1.27</v>
      </c>
      <c r="L20298">
        <v>11301</v>
      </c>
      <c r="M20298" t="s">
        <v>29</v>
      </c>
      <c r="N20298" t="str">
        <f t="shared" si="289"/>
        <v xml:space="preserve">12310024515 </v>
      </c>
      <c r="O20298">
        <v>230316</v>
      </c>
    </row>
    <row r="20299" spans="1:15" x14ac:dyDescent="0.25">
      <c r="A20299" t="s">
        <v>16</v>
      </c>
      <c r="B20299" t="s">
        <v>3221</v>
      </c>
      <c r="C20299">
        <v>3438</v>
      </c>
      <c r="D20299" t="s">
        <v>263</v>
      </c>
      <c r="E20299" t="s">
        <v>264</v>
      </c>
      <c r="F20299">
        <v>2.5499999999999998</v>
      </c>
      <c r="G20299">
        <v>230306</v>
      </c>
      <c r="H20299">
        <v>4362</v>
      </c>
      <c r="I20299" t="s">
        <v>79</v>
      </c>
      <c r="J20299">
        <v>3.16</v>
      </c>
      <c r="K20299">
        <v>0.61</v>
      </c>
      <c r="L20299">
        <v>11401</v>
      </c>
      <c r="M20299" t="s">
        <v>84</v>
      </c>
      <c r="N20299" t="str">
        <f t="shared" si="289"/>
        <v xml:space="preserve">12310024515 </v>
      </c>
      <c r="O20299">
        <v>230316</v>
      </c>
    </row>
    <row r="20300" spans="1:15" x14ac:dyDescent="0.25">
      <c r="A20300" t="s">
        <v>16</v>
      </c>
      <c r="B20300" t="s">
        <v>3221</v>
      </c>
      <c r="C20300">
        <v>3438</v>
      </c>
      <c r="D20300" t="s">
        <v>263</v>
      </c>
      <c r="E20300" t="s">
        <v>264</v>
      </c>
      <c r="F20300">
        <v>5.91</v>
      </c>
      <c r="G20300">
        <v>230306</v>
      </c>
      <c r="H20300">
        <v>4362</v>
      </c>
      <c r="I20300" t="s">
        <v>79</v>
      </c>
      <c r="J20300">
        <v>5.91</v>
      </c>
      <c r="K20300">
        <v>0</v>
      </c>
      <c r="L20300">
        <v>11401</v>
      </c>
      <c r="M20300" t="s">
        <v>84</v>
      </c>
      <c r="N20300" t="str">
        <f t="shared" si="289"/>
        <v xml:space="preserve">12310024515 </v>
      </c>
      <c r="O20300">
        <v>230316</v>
      </c>
    </row>
    <row r="20301" spans="1:15" x14ac:dyDescent="0.25">
      <c r="A20301" t="s">
        <v>16</v>
      </c>
      <c r="B20301" t="s">
        <v>3221</v>
      </c>
      <c r="C20301">
        <v>3438</v>
      </c>
      <c r="D20301" t="s">
        <v>263</v>
      </c>
      <c r="E20301" t="s">
        <v>264</v>
      </c>
      <c r="F20301">
        <v>2.5499999999999998</v>
      </c>
      <c r="G20301">
        <v>230306</v>
      </c>
      <c r="H20301">
        <v>4362</v>
      </c>
      <c r="I20301" t="s">
        <v>79</v>
      </c>
      <c r="J20301">
        <v>3.16</v>
      </c>
      <c r="K20301">
        <v>0.61</v>
      </c>
      <c r="L20301">
        <v>11501</v>
      </c>
      <c r="M20301" t="s">
        <v>339</v>
      </c>
      <c r="N20301" t="str">
        <f t="shared" si="289"/>
        <v xml:space="preserve">12310024515 </v>
      </c>
      <c r="O20301">
        <v>230316</v>
      </c>
    </row>
    <row r="20302" spans="1:15" x14ac:dyDescent="0.25">
      <c r="A20302" t="s">
        <v>16</v>
      </c>
      <c r="B20302" t="s">
        <v>3221</v>
      </c>
      <c r="C20302">
        <v>3438</v>
      </c>
      <c r="D20302" t="s">
        <v>263</v>
      </c>
      <c r="E20302" t="s">
        <v>264</v>
      </c>
      <c r="F20302">
        <v>3.35</v>
      </c>
      <c r="G20302">
        <v>230306</v>
      </c>
      <c r="H20302">
        <v>4362</v>
      </c>
      <c r="I20302" t="s">
        <v>79</v>
      </c>
      <c r="J20302">
        <v>3.35</v>
      </c>
      <c r="K20302">
        <v>0</v>
      </c>
      <c r="L20302">
        <v>11501</v>
      </c>
      <c r="M20302" t="s">
        <v>339</v>
      </c>
      <c r="N20302" t="str">
        <f t="shared" si="289"/>
        <v xml:space="preserve">12310024515 </v>
      </c>
      <c r="O20302">
        <v>230316</v>
      </c>
    </row>
    <row r="20303" spans="1:15" x14ac:dyDescent="0.25">
      <c r="A20303" t="s">
        <v>16</v>
      </c>
      <c r="B20303" t="s">
        <v>3221</v>
      </c>
      <c r="C20303">
        <v>3438</v>
      </c>
      <c r="D20303" t="s">
        <v>263</v>
      </c>
      <c r="E20303" t="s">
        <v>264</v>
      </c>
      <c r="F20303">
        <v>11.09</v>
      </c>
      <c r="G20303">
        <v>230306</v>
      </c>
      <c r="H20303">
        <v>4362</v>
      </c>
      <c r="I20303" t="s">
        <v>79</v>
      </c>
      <c r="J20303">
        <v>11.09</v>
      </c>
      <c r="K20303">
        <v>0</v>
      </c>
      <c r="L20303">
        <v>17807</v>
      </c>
      <c r="M20303" t="s">
        <v>318</v>
      </c>
      <c r="N20303" t="str">
        <f t="shared" si="289"/>
        <v xml:space="preserve">12310024515 </v>
      </c>
      <c r="O20303">
        <v>230316</v>
      </c>
    </row>
    <row r="20304" spans="1:15" x14ac:dyDescent="0.25">
      <c r="A20304" t="s">
        <v>16</v>
      </c>
      <c r="B20304" t="s">
        <v>3221</v>
      </c>
      <c r="C20304">
        <v>3438</v>
      </c>
      <c r="D20304" t="s">
        <v>263</v>
      </c>
      <c r="E20304" t="s">
        <v>264</v>
      </c>
      <c r="F20304">
        <v>5.0199999999999996</v>
      </c>
      <c r="G20304">
        <v>230306</v>
      </c>
      <c r="H20304">
        <v>4362</v>
      </c>
      <c r="I20304" t="s">
        <v>79</v>
      </c>
      <c r="J20304">
        <v>6.23</v>
      </c>
      <c r="K20304">
        <v>1.21</v>
      </c>
      <c r="L20304">
        <v>18972</v>
      </c>
      <c r="M20304" t="s">
        <v>163</v>
      </c>
      <c r="N20304" t="str">
        <f t="shared" si="289"/>
        <v xml:space="preserve">12310024515 </v>
      </c>
      <c r="O20304">
        <v>230316</v>
      </c>
    </row>
    <row r="20305" spans="1:15" x14ac:dyDescent="0.25">
      <c r="A20305" t="s">
        <v>16</v>
      </c>
      <c r="B20305" t="s">
        <v>3221</v>
      </c>
      <c r="C20305">
        <v>3438</v>
      </c>
      <c r="D20305" t="s">
        <v>263</v>
      </c>
      <c r="E20305" t="s">
        <v>264</v>
      </c>
      <c r="F20305">
        <v>11.02</v>
      </c>
      <c r="G20305">
        <v>230306</v>
      </c>
      <c r="H20305">
        <v>4362</v>
      </c>
      <c r="I20305" t="s">
        <v>79</v>
      </c>
      <c r="J20305">
        <v>11.02</v>
      </c>
      <c r="K20305">
        <v>0</v>
      </c>
      <c r="L20305">
        <v>18972</v>
      </c>
      <c r="M20305" t="s">
        <v>163</v>
      </c>
      <c r="N20305" t="str">
        <f t="shared" si="289"/>
        <v xml:space="preserve">12310024515 </v>
      </c>
      <c r="O20305">
        <v>230316</v>
      </c>
    </row>
    <row r="20306" spans="1:15" x14ac:dyDescent="0.25">
      <c r="A20306" t="s">
        <v>16</v>
      </c>
      <c r="B20306" t="s">
        <v>3221</v>
      </c>
      <c r="C20306">
        <v>3444</v>
      </c>
      <c r="D20306" t="s">
        <v>263</v>
      </c>
      <c r="E20306" t="s">
        <v>264</v>
      </c>
      <c r="F20306">
        <v>120</v>
      </c>
      <c r="G20306">
        <v>230315</v>
      </c>
      <c r="H20306">
        <v>4362</v>
      </c>
      <c r="I20306" t="s">
        <v>79</v>
      </c>
      <c r="J20306">
        <v>148.80000000000001</v>
      </c>
      <c r="K20306">
        <v>28.8</v>
      </c>
      <c r="L20306">
        <v>18972</v>
      </c>
      <c r="M20306" t="s">
        <v>163</v>
      </c>
      <c r="N20306" t="str">
        <f>"104388772   "</f>
        <v xml:space="preserve">104388772   </v>
      </c>
      <c r="O20306">
        <v>230316</v>
      </c>
    </row>
    <row r="20307" spans="1:15" x14ac:dyDescent="0.25">
      <c r="A20307" t="s">
        <v>16</v>
      </c>
      <c r="B20307" t="s">
        <v>3221</v>
      </c>
      <c r="C20307">
        <v>3452</v>
      </c>
      <c r="D20307" t="s">
        <v>263</v>
      </c>
      <c r="E20307" t="s">
        <v>264</v>
      </c>
      <c r="F20307">
        <v>3.97</v>
      </c>
      <c r="G20307">
        <v>230306</v>
      </c>
      <c r="H20307">
        <v>4362</v>
      </c>
      <c r="I20307" t="s">
        <v>79</v>
      </c>
      <c r="J20307">
        <v>4.92</v>
      </c>
      <c r="K20307">
        <v>0.95</v>
      </c>
      <c r="L20307">
        <v>48601</v>
      </c>
      <c r="M20307" t="s">
        <v>1047</v>
      </c>
      <c r="N20307" t="str">
        <f>"12310024530 "</f>
        <v xml:space="preserve">12310024530 </v>
      </c>
      <c r="O20307">
        <v>230316</v>
      </c>
    </row>
    <row r="20308" spans="1:15" x14ac:dyDescent="0.25">
      <c r="A20308" t="s">
        <v>16</v>
      </c>
      <c r="B20308" t="s">
        <v>3221</v>
      </c>
      <c r="C20308">
        <v>3452</v>
      </c>
      <c r="D20308" t="s">
        <v>263</v>
      </c>
      <c r="E20308" t="s">
        <v>264</v>
      </c>
      <c r="F20308">
        <v>10.65</v>
      </c>
      <c r="G20308">
        <v>230306</v>
      </c>
      <c r="H20308">
        <v>4362</v>
      </c>
      <c r="I20308" t="s">
        <v>79</v>
      </c>
      <c r="J20308">
        <v>13.21</v>
      </c>
      <c r="K20308">
        <v>2.56</v>
      </c>
      <c r="L20308">
        <v>49704</v>
      </c>
      <c r="M20308" t="s">
        <v>1065</v>
      </c>
      <c r="N20308" t="str">
        <f>"12310024530 "</f>
        <v xml:space="preserve">12310024530 </v>
      </c>
      <c r="O20308">
        <v>230316</v>
      </c>
    </row>
    <row r="20309" spans="1:15" x14ac:dyDescent="0.25">
      <c r="A20309" t="s">
        <v>16</v>
      </c>
      <c r="B20309" t="s">
        <v>3221</v>
      </c>
      <c r="C20309">
        <v>3452</v>
      </c>
      <c r="D20309" t="s">
        <v>263</v>
      </c>
      <c r="E20309" t="s">
        <v>264</v>
      </c>
      <c r="F20309">
        <v>27.34</v>
      </c>
      <c r="G20309">
        <v>230306</v>
      </c>
      <c r="H20309">
        <v>4362</v>
      </c>
      <c r="I20309" t="s">
        <v>79</v>
      </c>
      <c r="J20309">
        <v>33.9</v>
      </c>
      <c r="K20309">
        <v>6.56</v>
      </c>
      <c r="L20309">
        <v>49705</v>
      </c>
      <c r="M20309" t="s">
        <v>575</v>
      </c>
      <c r="N20309" t="str">
        <f>"12310024530 "</f>
        <v xml:space="preserve">12310024530 </v>
      </c>
      <c r="O20309">
        <v>230316</v>
      </c>
    </row>
    <row r="20310" spans="1:15" x14ac:dyDescent="0.25">
      <c r="A20310" t="s">
        <v>16</v>
      </c>
      <c r="B20310" t="s">
        <v>3221</v>
      </c>
      <c r="C20310">
        <v>3455</v>
      </c>
      <c r="D20310" t="s">
        <v>263</v>
      </c>
      <c r="E20310" t="s">
        <v>264</v>
      </c>
      <c r="F20310">
        <v>6.85</v>
      </c>
      <c r="G20310">
        <v>230306</v>
      </c>
      <c r="H20310">
        <v>4362</v>
      </c>
      <c r="I20310" t="s">
        <v>79</v>
      </c>
      <c r="J20310">
        <v>8.49</v>
      </c>
      <c r="K20310">
        <v>1.64</v>
      </c>
      <c r="L20310">
        <v>44222</v>
      </c>
      <c r="M20310" t="s">
        <v>232</v>
      </c>
      <c r="N20310" t="str">
        <f>"12310024533 "</f>
        <v xml:space="preserve">12310024533 </v>
      </c>
      <c r="O20310">
        <v>230316</v>
      </c>
    </row>
    <row r="20311" spans="1:15" x14ac:dyDescent="0.25">
      <c r="A20311" t="s">
        <v>16</v>
      </c>
      <c r="B20311" t="s">
        <v>3221</v>
      </c>
      <c r="C20311">
        <v>3455</v>
      </c>
      <c r="D20311" t="s">
        <v>263</v>
      </c>
      <c r="E20311" t="s">
        <v>264</v>
      </c>
      <c r="F20311">
        <v>20.87</v>
      </c>
      <c r="G20311">
        <v>230306</v>
      </c>
      <c r="H20311">
        <v>4362</v>
      </c>
      <c r="I20311" t="s">
        <v>79</v>
      </c>
      <c r="J20311">
        <v>25.88</v>
      </c>
      <c r="K20311">
        <v>5.01</v>
      </c>
      <c r="L20311">
        <v>44222</v>
      </c>
      <c r="M20311" t="s">
        <v>232</v>
      </c>
      <c r="N20311" t="str">
        <f>"12310024533 "</f>
        <v xml:space="preserve">12310024533 </v>
      </c>
      <c r="O20311">
        <v>230316</v>
      </c>
    </row>
    <row r="20312" spans="1:15" x14ac:dyDescent="0.25">
      <c r="A20312" t="s">
        <v>16</v>
      </c>
      <c r="B20312" t="s">
        <v>3221</v>
      </c>
      <c r="C20312">
        <v>3455</v>
      </c>
      <c r="D20312" t="s">
        <v>263</v>
      </c>
      <c r="E20312" t="s">
        <v>264</v>
      </c>
      <c r="F20312">
        <v>2.7</v>
      </c>
      <c r="G20312">
        <v>230306</v>
      </c>
      <c r="H20312">
        <v>4362</v>
      </c>
      <c r="I20312" t="s">
        <v>79</v>
      </c>
      <c r="J20312">
        <v>3.35</v>
      </c>
      <c r="K20312">
        <v>0.65</v>
      </c>
      <c r="L20312">
        <v>44251</v>
      </c>
      <c r="M20312" t="s">
        <v>156</v>
      </c>
      <c r="N20312" t="str">
        <f>"12310024533 "</f>
        <v xml:space="preserve">12310024533 </v>
      </c>
      <c r="O20312">
        <v>230316</v>
      </c>
    </row>
    <row r="20313" spans="1:15" x14ac:dyDescent="0.25">
      <c r="A20313" t="s">
        <v>16</v>
      </c>
      <c r="B20313" t="s">
        <v>3221</v>
      </c>
      <c r="C20313">
        <v>3455</v>
      </c>
      <c r="D20313" t="s">
        <v>263</v>
      </c>
      <c r="E20313" t="s">
        <v>264</v>
      </c>
      <c r="F20313">
        <v>2.5499999999999998</v>
      </c>
      <c r="G20313">
        <v>230306</v>
      </c>
      <c r="H20313">
        <v>4362</v>
      </c>
      <c r="I20313" t="s">
        <v>79</v>
      </c>
      <c r="J20313">
        <v>3.16</v>
      </c>
      <c r="K20313">
        <v>0.61</v>
      </c>
      <c r="L20313">
        <v>44253</v>
      </c>
      <c r="M20313" t="s">
        <v>1058</v>
      </c>
      <c r="N20313" t="str">
        <f>"12310024533 "</f>
        <v xml:space="preserve">12310024533 </v>
      </c>
      <c r="O20313">
        <v>230316</v>
      </c>
    </row>
    <row r="20314" spans="1:15" x14ac:dyDescent="0.25">
      <c r="A20314" t="s">
        <v>16</v>
      </c>
      <c r="B20314" t="s">
        <v>3221</v>
      </c>
      <c r="C20314">
        <v>3455</v>
      </c>
      <c r="D20314" t="s">
        <v>263</v>
      </c>
      <c r="E20314" t="s">
        <v>264</v>
      </c>
      <c r="F20314">
        <v>3.35</v>
      </c>
      <c r="G20314">
        <v>230306</v>
      </c>
      <c r="H20314">
        <v>4362</v>
      </c>
      <c r="I20314" t="s">
        <v>79</v>
      </c>
      <c r="J20314">
        <v>3.35</v>
      </c>
      <c r="K20314">
        <v>0</v>
      </c>
      <c r="L20314">
        <v>49702</v>
      </c>
      <c r="M20314" t="s">
        <v>584</v>
      </c>
      <c r="N20314" t="str">
        <f>"12310024533 "</f>
        <v xml:space="preserve">12310024533 </v>
      </c>
      <c r="O20314">
        <v>230316</v>
      </c>
    </row>
    <row r="20315" spans="1:15" x14ac:dyDescent="0.25">
      <c r="A20315" t="s">
        <v>16</v>
      </c>
      <c r="B20315" t="s">
        <v>3221</v>
      </c>
      <c r="C20315">
        <v>3456</v>
      </c>
      <c r="D20315" t="s">
        <v>263</v>
      </c>
      <c r="E20315" t="s">
        <v>264</v>
      </c>
      <c r="F20315">
        <v>6.01</v>
      </c>
      <c r="G20315">
        <v>230306</v>
      </c>
      <c r="H20315">
        <v>4362</v>
      </c>
      <c r="I20315" t="s">
        <v>79</v>
      </c>
      <c r="J20315">
        <v>7.45</v>
      </c>
      <c r="K20315">
        <v>1.44</v>
      </c>
      <c r="L20315">
        <v>49112</v>
      </c>
      <c r="M20315" t="s">
        <v>233</v>
      </c>
      <c r="N20315" t="str">
        <f>"12310024534 "</f>
        <v xml:space="preserve">12310024534 </v>
      </c>
      <c r="O20315">
        <v>230316</v>
      </c>
    </row>
    <row r="20316" spans="1:15" x14ac:dyDescent="0.25">
      <c r="A20316" t="s">
        <v>16</v>
      </c>
      <c r="B20316" t="s">
        <v>3221</v>
      </c>
      <c r="C20316">
        <v>3457</v>
      </c>
      <c r="D20316" t="s">
        <v>263</v>
      </c>
      <c r="E20316" t="s">
        <v>264</v>
      </c>
      <c r="F20316">
        <v>27.19</v>
      </c>
      <c r="G20316">
        <v>230306</v>
      </c>
      <c r="H20316">
        <v>4362</v>
      </c>
      <c r="I20316" t="s">
        <v>79</v>
      </c>
      <c r="J20316">
        <v>33.72</v>
      </c>
      <c r="K20316">
        <v>6.53</v>
      </c>
      <c r="L20316">
        <v>49501</v>
      </c>
      <c r="M20316" t="s">
        <v>177</v>
      </c>
      <c r="N20316" t="str">
        <f>"12310024525 "</f>
        <v xml:space="preserve">12310024525 </v>
      </c>
      <c r="O20316">
        <v>230316</v>
      </c>
    </row>
    <row r="20317" spans="1:15" x14ac:dyDescent="0.25">
      <c r="A20317" t="s">
        <v>16</v>
      </c>
      <c r="B20317" t="s">
        <v>3221</v>
      </c>
      <c r="C20317">
        <v>3459</v>
      </c>
      <c r="D20317" t="s">
        <v>263</v>
      </c>
      <c r="E20317" t="s">
        <v>264</v>
      </c>
      <c r="F20317">
        <v>10.88</v>
      </c>
      <c r="G20317">
        <v>230306</v>
      </c>
      <c r="H20317">
        <v>4362</v>
      </c>
      <c r="I20317" t="s">
        <v>79</v>
      </c>
      <c r="J20317">
        <v>13.49</v>
      </c>
      <c r="K20317">
        <v>2.61</v>
      </c>
      <c r="L20317">
        <v>49701</v>
      </c>
      <c r="M20317" t="s">
        <v>166</v>
      </c>
      <c r="N20317" t="str">
        <f>"12310024527 "</f>
        <v xml:space="preserve">12310024527 </v>
      </c>
      <c r="O20317">
        <v>230316</v>
      </c>
    </row>
    <row r="20318" spans="1:15" x14ac:dyDescent="0.25">
      <c r="A20318" t="s">
        <v>16</v>
      </c>
      <c r="B20318" t="s">
        <v>3221</v>
      </c>
      <c r="C20318">
        <v>3459</v>
      </c>
      <c r="D20318" t="s">
        <v>263</v>
      </c>
      <c r="E20318" t="s">
        <v>264</v>
      </c>
      <c r="F20318">
        <v>5.71</v>
      </c>
      <c r="G20318">
        <v>230306</v>
      </c>
      <c r="H20318">
        <v>4362</v>
      </c>
      <c r="I20318" t="s">
        <v>79</v>
      </c>
      <c r="J20318">
        <v>7.08</v>
      </c>
      <c r="K20318">
        <v>1.37</v>
      </c>
      <c r="L20318">
        <v>49702</v>
      </c>
      <c r="M20318" t="s">
        <v>584</v>
      </c>
      <c r="N20318" t="str">
        <f>"12310024527 "</f>
        <v xml:space="preserve">12310024527 </v>
      </c>
      <c r="O20318">
        <v>230316</v>
      </c>
    </row>
    <row r="20319" spans="1:15" x14ac:dyDescent="0.25">
      <c r="A20319" t="s">
        <v>16</v>
      </c>
      <c r="B20319" t="s">
        <v>3221</v>
      </c>
      <c r="C20319">
        <v>3460</v>
      </c>
      <c r="D20319" t="s">
        <v>263</v>
      </c>
      <c r="E20319" t="s">
        <v>264</v>
      </c>
      <c r="F20319">
        <v>13.5</v>
      </c>
      <c r="G20319">
        <v>230306</v>
      </c>
      <c r="H20319">
        <v>4362</v>
      </c>
      <c r="I20319" t="s">
        <v>79</v>
      </c>
      <c r="J20319">
        <v>16.739999999999998</v>
      </c>
      <c r="K20319">
        <v>3.24</v>
      </c>
      <c r="L20319">
        <v>47522</v>
      </c>
      <c r="M20319" t="s">
        <v>410</v>
      </c>
      <c r="N20319" t="str">
        <f>"12310024528 "</f>
        <v xml:space="preserve">12310024528 </v>
      </c>
      <c r="O20319">
        <v>230316</v>
      </c>
    </row>
    <row r="20320" spans="1:15" x14ac:dyDescent="0.25">
      <c r="A20320" t="s">
        <v>16</v>
      </c>
      <c r="B20320" t="s">
        <v>3221</v>
      </c>
      <c r="C20320">
        <v>3460</v>
      </c>
      <c r="D20320" t="s">
        <v>263</v>
      </c>
      <c r="E20320" t="s">
        <v>264</v>
      </c>
      <c r="F20320">
        <v>16.690000000000001</v>
      </c>
      <c r="G20320">
        <v>230306</v>
      </c>
      <c r="H20320">
        <v>4362</v>
      </c>
      <c r="I20320" t="s">
        <v>79</v>
      </c>
      <c r="J20320">
        <v>16.690000000000001</v>
      </c>
      <c r="K20320">
        <v>0</v>
      </c>
      <c r="L20320">
        <v>49702</v>
      </c>
      <c r="M20320" t="s">
        <v>584</v>
      </c>
      <c r="N20320" t="str">
        <f>"12310024528 "</f>
        <v xml:space="preserve">12310024528 </v>
      </c>
      <c r="O20320">
        <v>230316</v>
      </c>
    </row>
    <row r="20321" spans="1:15" x14ac:dyDescent="0.25">
      <c r="A20321" t="s">
        <v>16</v>
      </c>
      <c r="B20321" t="s">
        <v>3221</v>
      </c>
      <c r="C20321">
        <v>3461</v>
      </c>
      <c r="D20321" t="s">
        <v>263</v>
      </c>
      <c r="E20321" t="s">
        <v>264</v>
      </c>
      <c r="F20321">
        <v>5.4</v>
      </c>
      <c r="G20321">
        <v>230306</v>
      </c>
      <c r="H20321">
        <v>4362</v>
      </c>
      <c r="I20321" t="s">
        <v>79</v>
      </c>
      <c r="J20321">
        <v>6.7</v>
      </c>
      <c r="K20321">
        <v>1.3</v>
      </c>
      <c r="L20321">
        <v>43222</v>
      </c>
      <c r="M20321" t="s">
        <v>507</v>
      </c>
      <c r="N20321" t="str">
        <f t="shared" ref="N20321:N20326" si="290">"12310024531 "</f>
        <v xml:space="preserve">12310024531 </v>
      </c>
      <c r="O20321">
        <v>230316</v>
      </c>
    </row>
    <row r="20322" spans="1:15" x14ac:dyDescent="0.25">
      <c r="A20322" t="s">
        <v>16</v>
      </c>
      <c r="B20322" t="s">
        <v>3221</v>
      </c>
      <c r="C20322">
        <v>3461</v>
      </c>
      <c r="D20322" t="s">
        <v>263</v>
      </c>
      <c r="E20322" t="s">
        <v>264</v>
      </c>
      <c r="F20322">
        <v>6.19</v>
      </c>
      <c r="G20322">
        <v>230306</v>
      </c>
      <c r="H20322">
        <v>4362</v>
      </c>
      <c r="I20322" t="s">
        <v>79</v>
      </c>
      <c r="J20322">
        <v>7.68</v>
      </c>
      <c r="K20322">
        <v>1.49</v>
      </c>
      <c r="L20322">
        <v>44422</v>
      </c>
      <c r="M20322" t="s">
        <v>482</v>
      </c>
      <c r="N20322" t="str">
        <f t="shared" si="290"/>
        <v xml:space="preserve">12310024531 </v>
      </c>
      <c r="O20322">
        <v>230316</v>
      </c>
    </row>
    <row r="20323" spans="1:15" x14ac:dyDescent="0.25">
      <c r="A20323" t="s">
        <v>16</v>
      </c>
      <c r="B20323" t="s">
        <v>3221</v>
      </c>
      <c r="C20323">
        <v>3461</v>
      </c>
      <c r="D20323" t="s">
        <v>263</v>
      </c>
      <c r="E20323" t="s">
        <v>264</v>
      </c>
      <c r="F20323">
        <v>5.61</v>
      </c>
      <c r="G20323">
        <v>230306</v>
      </c>
      <c r="H20323">
        <v>4362</v>
      </c>
      <c r="I20323" t="s">
        <v>79</v>
      </c>
      <c r="J20323">
        <v>6.96</v>
      </c>
      <c r="K20323">
        <v>1.35</v>
      </c>
      <c r="L20323">
        <v>44423</v>
      </c>
      <c r="M20323" t="s">
        <v>502</v>
      </c>
      <c r="N20323" t="str">
        <f t="shared" si="290"/>
        <v xml:space="preserve">12310024531 </v>
      </c>
      <c r="O20323">
        <v>230316</v>
      </c>
    </row>
    <row r="20324" spans="1:15" x14ac:dyDescent="0.25">
      <c r="A20324" t="s">
        <v>16</v>
      </c>
      <c r="B20324" t="s">
        <v>3221</v>
      </c>
      <c r="C20324">
        <v>3461</v>
      </c>
      <c r="D20324" t="s">
        <v>263</v>
      </c>
      <c r="E20324" t="s">
        <v>264</v>
      </c>
      <c r="F20324">
        <v>2.7</v>
      </c>
      <c r="G20324">
        <v>230306</v>
      </c>
      <c r="H20324">
        <v>4362</v>
      </c>
      <c r="I20324" t="s">
        <v>79</v>
      </c>
      <c r="J20324">
        <v>3.35</v>
      </c>
      <c r="K20324">
        <v>0.65</v>
      </c>
      <c r="L20324">
        <v>44453</v>
      </c>
      <c r="M20324" t="s">
        <v>492</v>
      </c>
      <c r="N20324" t="str">
        <f t="shared" si="290"/>
        <v xml:space="preserve">12310024531 </v>
      </c>
      <c r="O20324">
        <v>230316</v>
      </c>
    </row>
    <row r="20325" spans="1:15" x14ac:dyDescent="0.25">
      <c r="A20325" t="s">
        <v>16</v>
      </c>
      <c r="B20325" t="s">
        <v>3221</v>
      </c>
      <c r="C20325">
        <v>3461</v>
      </c>
      <c r="D20325" t="s">
        <v>263</v>
      </c>
      <c r="E20325" t="s">
        <v>264</v>
      </c>
      <c r="F20325">
        <v>2.7</v>
      </c>
      <c r="G20325">
        <v>230306</v>
      </c>
      <c r="H20325">
        <v>4362</v>
      </c>
      <c r="I20325" t="s">
        <v>79</v>
      </c>
      <c r="J20325">
        <v>3.35</v>
      </c>
      <c r="K20325">
        <v>0.65</v>
      </c>
      <c r="L20325">
        <v>48601</v>
      </c>
      <c r="M20325" t="s">
        <v>1047</v>
      </c>
      <c r="N20325" t="str">
        <f t="shared" si="290"/>
        <v xml:space="preserve">12310024531 </v>
      </c>
      <c r="O20325">
        <v>230316</v>
      </c>
    </row>
    <row r="20326" spans="1:15" x14ac:dyDescent="0.25">
      <c r="A20326" t="s">
        <v>16</v>
      </c>
      <c r="B20326" t="s">
        <v>3221</v>
      </c>
      <c r="C20326">
        <v>3461</v>
      </c>
      <c r="D20326" t="s">
        <v>263</v>
      </c>
      <c r="E20326" t="s">
        <v>264</v>
      </c>
      <c r="F20326">
        <v>48.13</v>
      </c>
      <c r="G20326">
        <v>230306</v>
      </c>
      <c r="H20326">
        <v>4362</v>
      </c>
      <c r="I20326" t="s">
        <v>79</v>
      </c>
      <c r="J20326">
        <v>48.13</v>
      </c>
      <c r="K20326">
        <v>0</v>
      </c>
      <c r="L20326">
        <v>49702</v>
      </c>
      <c r="M20326" t="s">
        <v>584</v>
      </c>
      <c r="N20326" t="str">
        <f t="shared" si="290"/>
        <v xml:space="preserve">12310024531 </v>
      </c>
      <c r="O20326">
        <v>230316</v>
      </c>
    </row>
    <row r="20327" spans="1:15" x14ac:dyDescent="0.25">
      <c r="A20327" t="s">
        <v>16</v>
      </c>
      <c r="B20327" t="s">
        <v>3221</v>
      </c>
      <c r="C20327">
        <v>3652</v>
      </c>
      <c r="D20327" t="s">
        <v>263</v>
      </c>
      <c r="E20327" t="s">
        <v>264</v>
      </c>
      <c r="F20327">
        <v>11.49</v>
      </c>
      <c r="G20327">
        <v>230306</v>
      </c>
      <c r="H20327">
        <v>4362</v>
      </c>
      <c r="I20327" t="s">
        <v>79</v>
      </c>
      <c r="J20327">
        <v>14.25</v>
      </c>
      <c r="K20327">
        <v>2.76</v>
      </c>
      <c r="L20327">
        <v>11601</v>
      </c>
      <c r="M20327" t="s">
        <v>535</v>
      </c>
      <c r="N20327" t="str">
        <f t="shared" ref="N20327:N20344" si="291">"12310024551 "</f>
        <v xml:space="preserve">12310024551 </v>
      </c>
      <c r="O20327">
        <v>230320</v>
      </c>
    </row>
    <row r="20328" spans="1:15" x14ac:dyDescent="0.25">
      <c r="A20328" t="s">
        <v>16</v>
      </c>
      <c r="B20328" t="s">
        <v>3221</v>
      </c>
      <c r="C20328">
        <v>3652</v>
      </c>
      <c r="D20328" t="s">
        <v>263</v>
      </c>
      <c r="E20328" t="s">
        <v>264</v>
      </c>
      <c r="F20328">
        <v>2.5499999999999998</v>
      </c>
      <c r="G20328">
        <v>230306</v>
      </c>
      <c r="H20328">
        <v>4362</v>
      </c>
      <c r="I20328" t="s">
        <v>79</v>
      </c>
      <c r="J20328">
        <v>3.16</v>
      </c>
      <c r="K20328">
        <v>0.61</v>
      </c>
      <c r="L20328">
        <v>11603</v>
      </c>
      <c r="M20328" t="s">
        <v>945</v>
      </c>
      <c r="N20328" t="str">
        <f t="shared" si="291"/>
        <v xml:space="preserve">12310024551 </v>
      </c>
      <c r="O20328">
        <v>230320</v>
      </c>
    </row>
    <row r="20329" spans="1:15" x14ac:dyDescent="0.25">
      <c r="A20329" t="s">
        <v>16</v>
      </c>
      <c r="B20329" t="s">
        <v>3221</v>
      </c>
      <c r="C20329">
        <v>3652</v>
      </c>
      <c r="D20329" t="s">
        <v>263</v>
      </c>
      <c r="E20329" t="s">
        <v>264</v>
      </c>
      <c r="F20329">
        <v>12.81</v>
      </c>
      <c r="G20329">
        <v>230306</v>
      </c>
      <c r="H20329">
        <v>4362</v>
      </c>
      <c r="I20329" t="s">
        <v>79</v>
      </c>
      <c r="J20329">
        <v>15.89</v>
      </c>
      <c r="K20329">
        <v>3.08</v>
      </c>
      <c r="L20329">
        <v>14121</v>
      </c>
      <c r="M20329" t="s">
        <v>880</v>
      </c>
      <c r="N20329" t="str">
        <f t="shared" si="291"/>
        <v xml:space="preserve">12310024551 </v>
      </c>
      <c r="O20329">
        <v>230320</v>
      </c>
    </row>
    <row r="20330" spans="1:15" x14ac:dyDescent="0.25">
      <c r="A20330" t="s">
        <v>16</v>
      </c>
      <c r="B20330" t="s">
        <v>3221</v>
      </c>
      <c r="C20330">
        <v>3652</v>
      </c>
      <c r="D20330" t="s">
        <v>263</v>
      </c>
      <c r="E20330" t="s">
        <v>264</v>
      </c>
      <c r="F20330">
        <v>20.260000000000002</v>
      </c>
      <c r="G20330">
        <v>230306</v>
      </c>
      <c r="H20330">
        <v>4362</v>
      </c>
      <c r="I20330" t="s">
        <v>79</v>
      </c>
      <c r="J20330">
        <v>25.12</v>
      </c>
      <c r="K20330">
        <v>4.8600000000000003</v>
      </c>
      <c r="L20330">
        <v>14321</v>
      </c>
      <c r="M20330" t="s">
        <v>717</v>
      </c>
      <c r="N20330" t="str">
        <f t="shared" si="291"/>
        <v xml:space="preserve">12310024551 </v>
      </c>
      <c r="O20330">
        <v>230320</v>
      </c>
    </row>
    <row r="20331" spans="1:15" x14ac:dyDescent="0.25">
      <c r="A20331" t="s">
        <v>16</v>
      </c>
      <c r="B20331" t="s">
        <v>3221</v>
      </c>
      <c r="C20331">
        <v>3652</v>
      </c>
      <c r="D20331" t="s">
        <v>263</v>
      </c>
      <c r="E20331" t="s">
        <v>264</v>
      </c>
      <c r="F20331">
        <v>17.75</v>
      </c>
      <c r="G20331">
        <v>230306</v>
      </c>
      <c r="H20331">
        <v>4362</v>
      </c>
      <c r="I20331" t="s">
        <v>79</v>
      </c>
      <c r="J20331">
        <v>22.01</v>
      </c>
      <c r="K20331">
        <v>4.26</v>
      </c>
      <c r="L20331">
        <v>14422</v>
      </c>
      <c r="M20331" t="s">
        <v>228</v>
      </c>
      <c r="N20331" t="str">
        <f t="shared" si="291"/>
        <v xml:space="preserve">12310024551 </v>
      </c>
      <c r="O20331">
        <v>230320</v>
      </c>
    </row>
    <row r="20332" spans="1:15" x14ac:dyDescent="0.25">
      <c r="A20332" t="s">
        <v>16</v>
      </c>
      <c r="B20332" t="s">
        <v>3221</v>
      </c>
      <c r="C20332">
        <v>3652</v>
      </c>
      <c r="D20332" t="s">
        <v>263</v>
      </c>
      <c r="E20332" t="s">
        <v>264</v>
      </c>
      <c r="F20332">
        <v>2.7</v>
      </c>
      <c r="G20332">
        <v>230306</v>
      </c>
      <c r="H20332">
        <v>4362</v>
      </c>
      <c r="I20332" t="s">
        <v>79</v>
      </c>
      <c r="J20332">
        <v>3.35</v>
      </c>
      <c r="K20332">
        <v>0.65</v>
      </c>
      <c r="L20332">
        <v>14431</v>
      </c>
      <c r="M20332" t="s">
        <v>861</v>
      </c>
      <c r="N20332" t="str">
        <f t="shared" si="291"/>
        <v xml:space="preserve">12310024551 </v>
      </c>
      <c r="O20332">
        <v>230320</v>
      </c>
    </row>
    <row r="20333" spans="1:15" x14ac:dyDescent="0.25">
      <c r="A20333" t="s">
        <v>16</v>
      </c>
      <c r="B20333" t="s">
        <v>3221</v>
      </c>
      <c r="C20333">
        <v>3652</v>
      </c>
      <c r="D20333" t="s">
        <v>263</v>
      </c>
      <c r="E20333" t="s">
        <v>264</v>
      </c>
      <c r="F20333">
        <v>5.4</v>
      </c>
      <c r="G20333">
        <v>230306</v>
      </c>
      <c r="H20333">
        <v>4362</v>
      </c>
      <c r="I20333" t="s">
        <v>79</v>
      </c>
      <c r="J20333">
        <v>6.7</v>
      </c>
      <c r="K20333">
        <v>1.3</v>
      </c>
      <c r="L20333">
        <v>14432</v>
      </c>
      <c r="M20333" t="s">
        <v>862</v>
      </c>
      <c r="N20333" t="str">
        <f t="shared" si="291"/>
        <v xml:space="preserve">12310024551 </v>
      </c>
      <c r="O20333">
        <v>230320</v>
      </c>
    </row>
    <row r="20334" spans="1:15" x14ac:dyDescent="0.25">
      <c r="A20334" t="s">
        <v>16</v>
      </c>
      <c r="B20334" t="s">
        <v>3221</v>
      </c>
      <c r="C20334">
        <v>3652</v>
      </c>
      <c r="D20334" t="s">
        <v>263</v>
      </c>
      <c r="E20334" t="s">
        <v>264</v>
      </c>
      <c r="F20334">
        <v>23.41</v>
      </c>
      <c r="G20334">
        <v>230306</v>
      </c>
      <c r="H20334">
        <v>4362</v>
      </c>
      <c r="I20334" t="s">
        <v>79</v>
      </c>
      <c r="J20334">
        <v>29.03</v>
      </c>
      <c r="K20334">
        <v>5.62</v>
      </c>
      <c r="L20334">
        <v>14541</v>
      </c>
      <c r="M20334" t="s">
        <v>626</v>
      </c>
      <c r="N20334" t="str">
        <f t="shared" si="291"/>
        <v xml:space="preserve">12310024551 </v>
      </c>
      <c r="O20334">
        <v>230320</v>
      </c>
    </row>
    <row r="20335" spans="1:15" x14ac:dyDescent="0.25">
      <c r="A20335" t="s">
        <v>16</v>
      </c>
      <c r="B20335" t="s">
        <v>3221</v>
      </c>
      <c r="C20335">
        <v>3652</v>
      </c>
      <c r="D20335" t="s">
        <v>263</v>
      </c>
      <c r="E20335" t="s">
        <v>264</v>
      </c>
      <c r="F20335">
        <v>9.11</v>
      </c>
      <c r="G20335">
        <v>230306</v>
      </c>
      <c r="H20335">
        <v>4362</v>
      </c>
      <c r="I20335" t="s">
        <v>79</v>
      </c>
      <c r="J20335">
        <v>11.3</v>
      </c>
      <c r="K20335">
        <v>2.19</v>
      </c>
      <c r="L20335">
        <v>14640</v>
      </c>
      <c r="M20335" t="s">
        <v>229</v>
      </c>
      <c r="N20335" t="str">
        <f t="shared" si="291"/>
        <v xml:space="preserve">12310024551 </v>
      </c>
      <c r="O20335">
        <v>230320</v>
      </c>
    </row>
    <row r="20336" spans="1:15" x14ac:dyDescent="0.25">
      <c r="A20336" t="s">
        <v>16</v>
      </c>
      <c r="B20336" t="s">
        <v>3221</v>
      </c>
      <c r="C20336">
        <v>3652</v>
      </c>
      <c r="D20336" t="s">
        <v>263</v>
      </c>
      <c r="E20336" t="s">
        <v>264</v>
      </c>
      <c r="F20336">
        <v>2.7</v>
      </c>
      <c r="G20336">
        <v>230306</v>
      </c>
      <c r="H20336">
        <v>4362</v>
      </c>
      <c r="I20336" t="s">
        <v>79</v>
      </c>
      <c r="J20336">
        <v>3.35</v>
      </c>
      <c r="K20336">
        <v>0.65</v>
      </c>
      <c r="L20336">
        <v>14861</v>
      </c>
      <c r="M20336" t="s">
        <v>785</v>
      </c>
      <c r="N20336" t="str">
        <f t="shared" si="291"/>
        <v xml:space="preserve">12310024551 </v>
      </c>
      <c r="O20336">
        <v>230320</v>
      </c>
    </row>
    <row r="20337" spans="1:15" x14ac:dyDescent="0.25">
      <c r="A20337" t="s">
        <v>16</v>
      </c>
      <c r="B20337" t="s">
        <v>3221</v>
      </c>
      <c r="C20337">
        <v>3652</v>
      </c>
      <c r="D20337" t="s">
        <v>263</v>
      </c>
      <c r="E20337" t="s">
        <v>264</v>
      </c>
      <c r="F20337">
        <v>2.82</v>
      </c>
      <c r="G20337">
        <v>230306</v>
      </c>
      <c r="H20337">
        <v>4362</v>
      </c>
      <c r="I20337" t="s">
        <v>79</v>
      </c>
      <c r="J20337">
        <v>3.5</v>
      </c>
      <c r="K20337">
        <v>0.68</v>
      </c>
      <c r="L20337">
        <v>14861</v>
      </c>
      <c r="M20337" t="s">
        <v>785</v>
      </c>
      <c r="N20337" t="str">
        <f t="shared" si="291"/>
        <v xml:space="preserve">12310024551 </v>
      </c>
      <c r="O20337">
        <v>230320</v>
      </c>
    </row>
    <row r="20338" spans="1:15" x14ac:dyDescent="0.25">
      <c r="A20338" t="s">
        <v>16</v>
      </c>
      <c r="B20338" t="s">
        <v>3221</v>
      </c>
      <c r="C20338">
        <v>3652</v>
      </c>
      <c r="D20338" t="s">
        <v>263</v>
      </c>
      <c r="E20338" t="s">
        <v>264</v>
      </c>
      <c r="F20338">
        <v>5.74</v>
      </c>
      <c r="G20338">
        <v>230306</v>
      </c>
      <c r="H20338">
        <v>4362</v>
      </c>
      <c r="I20338" t="s">
        <v>79</v>
      </c>
      <c r="J20338">
        <v>7.12</v>
      </c>
      <c r="K20338">
        <v>1.38</v>
      </c>
      <c r="L20338">
        <v>14912</v>
      </c>
      <c r="M20338" t="s">
        <v>230</v>
      </c>
      <c r="N20338" t="str">
        <f t="shared" si="291"/>
        <v xml:space="preserve">12310024551 </v>
      </c>
      <c r="O20338">
        <v>230320</v>
      </c>
    </row>
    <row r="20339" spans="1:15" x14ac:dyDescent="0.25">
      <c r="A20339" t="s">
        <v>16</v>
      </c>
      <c r="B20339" t="s">
        <v>3221</v>
      </c>
      <c r="C20339">
        <v>3652</v>
      </c>
      <c r="D20339" t="s">
        <v>263</v>
      </c>
      <c r="E20339" t="s">
        <v>264</v>
      </c>
      <c r="F20339">
        <v>2.7</v>
      </c>
      <c r="G20339">
        <v>230306</v>
      </c>
      <c r="H20339">
        <v>4362</v>
      </c>
      <c r="I20339" t="s">
        <v>79</v>
      </c>
      <c r="J20339">
        <v>3.35</v>
      </c>
      <c r="K20339">
        <v>0.65</v>
      </c>
      <c r="L20339">
        <v>14971</v>
      </c>
      <c r="M20339" t="s">
        <v>1259</v>
      </c>
      <c r="N20339" t="str">
        <f t="shared" si="291"/>
        <v xml:space="preserve">12310024551 </v>
      </c>
      <c r="O20339">
        <v>230320</v>
      </c>
    </row>
    <row r="20340" spans="1:15" x14ac:dyDescent="0.25">
      <c r="A20340" t="s">
        <v>16</v>
      </c>
      <c r="B20340" t="s">
        <v>3221</v>
      </c>
      <c r="C20340">
        <v>3652</v>
      </c>
      <c r="D20340" t="s">
        <v>263</v>
      </c>
      <c r="E20340" t="s">
        <v>264</v>
      </c>
      <c r="F20340">
        <v>2.69</v>
      </c>
      <c r="G20340">
        <v>230306</v>
      </c>
      <c r="H20340">
        <v>4362</v>
      </c>
      <c r="I20340" t="s">
        <v>79</v>
      </c>
      <c r="J20340">
        <v>3.34</v>
      </c>
      <c r="K20340">
        <v>0.65</v>
      </c>
      <c r="L20340">
        <v>14972</v>
      </c>
      <c r="M20340" t="s">
        <v>898</v>
      </c>
      <c r="N20340" t="str">
        <f t="shared" si="291"/>
        <v xml:space="preserve">12310024551 </v>
      </c>
      <c r="O20340">
        <v>230320</v>
      </c>
    </row>
    <row r="20341" spans="1:15" x14ac:dyDescent="0.25">
      <c r="A20341" t="s">
        <v>16</v>
      </c>
      <c r="B20341" t="s">
        <v>3221</v>
      </c>
      <c r="C20341">
        <v>3652</v>
      </c>
      <c r="D20341" t="s">
        <v>263</v>
      </c>
      <c r="E20341" t="s">
        <v>264</v>
      </c>
      <c r="F20341">
        <v>2.7</v>
      </c>
      <c r="G20341">
        <v>230306</v>
      </c>
      <c r="H20341">
        <v>4362</v>
      </c>
      <c r="I20341" t="s">
        <v>79</v>
      </c>
      <c r="J20341">
        <v>3.35</v>
      </c>
      <c r="K20341">
        <v>0.65</v>
      </c>
      <c r="L20341">
        <v>14972</v>
      </c>
      <c r="M20341" t="s">
        <v>898</v>
      </c>
      <c r="N20341" t="str">
        <f t="shared" si="291"/>
        <v xml:space="preserve">12310024551 </v>
      </c>
      <c r="O20341">
        <v>230320</v>
      </c>
    </row>
    <row r="20342" spans="1:15" x14ac:dyDescent="0.25">
      <c r="A20342" t="s">
        <v>16</v>
      </c>
      <c r="B20342" t="s">
        <v>3221</v>
      </c>
      <c r="C20342">
        <v>3652</v>
      </c>
      <c r="D20342" t="s">
        <v>263</v>
      </c>
      <c r="E20342" t="s">
        <v>264</v>
      </c>
      <c r="F20342">
        <v>3.31</v>
      </c>
      <c r="G20342">
        <v>230306</v>
      </c>
      <c r="H20342">
        <v>4362</v>
      </c>
      <c r="I20342" t="s">
        <v>79</v>
      </c>
      <c r="J20342">
        <v>4.0999999999999996</v>
      </c>
      <c r="K20342">
        <v>0.79</v>
      </c>
      <c r="L20342">
        <v>14974</v>
      </c>
      <c r="M20342" t="s">
        <v>1340</v>
      </c>
      <c r="N20342" t="str">
        <f t="shared" si="291"/>
        <v xml:space="preserve">12310024551 </v>
      </c>
      <c r="O20342">
        <v>230320</v>
      </c>
    </row>
    <row r="20343" spans="1:15" x14ac:dyDescent="0.25">
      <c r="A20343" t="s">
        <v>16</v>
      </c>
      <c r="B20343" t="s">
        <v>3221</v>
      </c>
      <c r="C20343">
        <v>3652</v>
      </c>
      <c r="D20343" t="s">
        <v>263</v>
      </c>
      <c r="E20343" t="s">
        <v>264</v>
      </c>
      <c r="F20343">
        <v>2.7</v>
      </c>
      <c r="G20343">
        <v>230306</v>
      </c>
      <c r="H20343">
        <v>4362</v>
      </c>
      <c r="I20343" t="s">
        <v>79</v>
      </c>
      <c r="J20343">
        <v>3.35</v>
      </c>
      <c r="K20343">
        <v>0.65</v>
      </c>
      <c r="L20343">
        <v>14975</v>
      </c>
      <c r="M20343" t="s">
        <v>1341</v>
      </c>
      <c r="N20343" t="str">
        <f t="shared" si="291"/>
        <v xml:space="preserve">12310024551 </v>
      </c>
      <c r="O20343">
        <v>230320</v>
      </c>
    </row>
    <row r="20344" spans="1:15" x14ac:dyDescent="0.25">
      <c r="A20344" t="s">
        <v>16</v>
      </c>
      <c r="B20344" t="s">
        <v>3221</v>
      </c>
      <c r="C20344">
        <v>3652</v>
      </c>
      <c r="D20344" t="s">
        <v>263</v>
      </c>
      <c r="E20344" t="s">
        <v>264</v>
      </c>
      <c r="F20344">
        <v>2.87</v>
      </c>
      <c r="G20344">
        <v>230306</v>
      </c>
      <c r="H20344">
        <v>4362</v>
      </c>
      <c r="I20344" t="s">
        <v>79</v>
      </c>
      <c r="J20344">
        <v>3.56</v>
      </c>
      <c r="K20344">
        <v>0.69</v>
      </c>
      <c r="L20344">
        <v>14975</v>
      </c>
      <c r="M20344" t="s">
        <v>1341</v>
      </c>
      <c r="N20344" t="str">
        <f t="shared" si="291"/>
        <v xml:space="preserve">12310024551 </v>
      </c>
      <c r="O20344">
        <v>230320</v>
      </c>
    </row>
    <row r="20345" spans="1:15" x14ac:dyDescent="0.25">
      <c r="A20345" t="s">
        <v>16</v>
      </c>
      <c r="B20345" t="s">
        <v>3221</v>
      </c>
      <c r="C20345">
        <v>3949</v>
      </c>
      <c r="D20345" t="s">
        <v>263</v>
      </c>
      <c r="E20345" t="s">
        <v>264</v>
      </c>
      <c r="F20345">
        <v>54.1</v>
      </c>
      <c r="G20345">
        <v>230306</v>
      </c>
      <c r="H20345">
        <v>4362</v>
      </c>
      <c r="I20345" t="s">
        <v>79</v>
      </c>
      <c r="J20345">
        <v>67.08</v>
      </c>
      <c r="K20345">
        <v>12.98</v>
      </c>
      <c r="L20345">
        <v>11801</v>
      </c>
      <c r="M20345" t="s">
        <v>92</v>
      </c>
      <c r="N20345" t="str">
        <f>"12310024545 "</f>
        <v xml:space="preserve">12310024545 </v>
      </c>
      <c r="O20345">
        <v>230328</v>
      </c>
    </row>
    <row r="20346" spans="1:15" x14ac:dyDescent="0.25">
      <c r="A20346" t="s">
        <v>16</v>
      </c>
      <c r="B20346" t="s">
        <v>3221</v>
      </c>
      <c r="C20346">
        <v>3978</v>
      </c>
      <c r="D20346" t="s">
        <v>263</v>
      </c>
      <c r="E20346" t="s">
        <v>264</v>
      </c>
      <c r="F20346">
        <v>135.9</v>
      </c>
      <c r="G20346">
        <v>230315</v>
      </c>
      <c r="H20346">
        <v>4362</v>
      </c>
      <c r="I20346" t="s">
        <v>79</v>
      </c>
      <c r="J20346">
        <v>168.52</v>
      </c>
      <c r="K20346">
        <v>32.619999999999997</v>
      </c>
      <c r="L20346">
        <v>11801</v>
      </c>
      <c r="M20346" t="s">
        <v>92</v>
      </c>
      <c r="N20346" t="str">
        <f>"104388790   "</f>
        <v xml:space="preserve">104388790   </v>
      </c>
      <c r="O20346">
        <v>230328</v>
      </c>
    </row>
    <row r="20347" spans="1:15" x14ac:dyDescent="0.25">
      <c r="A20347" t="s">
        <v>16</v>
      </c>
      <c r="B20347" t="s">
        <v>3221</v>
      </c>
      <c r="C20347">
        <v>4340</v>
      </c>
      <c r="D20347" t="s">
        <v>263</v>
      </c>
      <c r="E20347" t="s">
        <v>264</v>
      </c>
      <c r="F20347">
        <v>45.9</v>
      </c>
      <c r="G20347">
        <v>230404</v>
      </c>
      <c r="H20347">
        <v>4362</v>
      </c>
      <c r="I20347" t="s">
        <v>79</v>
      </c>
      <c r="J20347">
        <v>56.92</v>
      </c>
      <c r="K20347">
        <v>11.02</v>
      </c>
      <c r="L20347">
        <v>10002</v>
      </c>
      <c r="M20347" t="s">
        <v>1066</v>
      </c>
      <c r="N20347" t="str">
        <f>"12314024123 "</f>
        <v xml:space="preserve">12314024123 </v>
      </c>
      <c r="O20347">
        <v>230404</v>
      </c>
    </row>
    <row r="20348" spans="1:15" x14ac:dyDescent="0.25">
      <c r="A20348" t="s">
        <v>16</v>
      </c>
      <c r="B20348" t="s">
        <v>3221</v>
      </c>
      <c r="C20348">
        <v>4409</v>
      </c>
      <c r="D20348" t="s">
        <v>263</v>
      </c>
      <c r="E20348" t="s">
        <v>264</v>
      </c>
      <c r="F20348">
        <v>2.7</v>
      </c>
      <c r="G20348">
        <v>230404</v>
      </c>
      <c r="H20348">
        <v>4362</v>
      </c>
      <c r="I20348" t="s">
        <v>79</v>
      </c>
      <c r="J20348">
        <v>3.35</v>
      </c>
      <c r="K20348">
        <v>0.65</v>
      </c>
      <c r="L20348">
        <v>13401</v>
      </c>
      <c r="M20348" t="s">
        <v>80</v>
      </c>
      <c r="N20348" t="str">
        <f>"12314024122 "</f>
        <v xml:space="preserve">12314024122 </v>
      </c>
      <c r="O20348">
        <v>230405</v>
      </c>
    </row>
    <row r="20349" spans="1:15" x14ac:dyDescent="0.25">
      <c r="A20349" t="s">
        <v>16</v>
      </c>
      <c r="B20349" t="s">
        <v>3221</v>
      </c>
      <c r="C20349">
        <v>4410</v>
      </c>
      <c r="D20349" t="s">
        <v>263</v>
      </c>
      <c r="E20349" t="s">
        <v>264</v>
      </c>
      <c r="F20349">
        <v>2.7</v>
      </c>
      <c r="G20349">
        <v>230404</v>
      </c>
      <c r="H20349">
        <v>4362</v>
      </c>
      <c r="I20349" t="s">
        <v>79</v>
      </c>
      <c r="J20349">
        <v>3.35</v>
      </c>
      <c r="K20349">
        <v>0.65</v>
      </c>
      <c r="L20349">
        <v>11903</v>
      </c>
      <c r="M20349" t="s">
        <v>406</v>
      </c>
      <c r="N20349" t="str">
        <f>"12314024111 "</f>
        <v xml:space="preserve">12314024111 </v>
      </c>
      <c r="O20349">
        <v>230405</v>
      </c>
    </row>
    <row r="20350" spans="1:15" x14ac:dyDescent="0.25">
      <c r="A20350" t="s">
        <v>16</v>
      </c>
      <c r="B20350" t="s">
        <v>3221</v>
      </c>
      <c r="C20350">
        <v>4410</v>
      </c>
      <c r="D20350" t="s">
        <v>263</v>
      </c>
      <c r="E20350" t="s">
        <v>264</v>
      </c>
      <c r="F20350">
        <v>2.7</v>
      </c>
      <c r="G20350">
        <v>230404</v>
      </c>
      <c r="H20350">
        <v>4362</v>
      </c>
      <c r="I20350" t="s">
        <v>79</v>
      </c>
      <c r="J20350">
        <v>3.35</v>
      </c>
      <c r="K20350">
        <v>0.65</v>
      </c>
      <c r="L20350">
        <v>11905</v>
      </c>
      <c r="M20350" t="s">
        <v>39</v>
      </c>
      <c r="N20350" t="str">
        <f>"12314024111 "</f>
        <v xml:space="preserve">12314024111 </v>
      </c>
      <c r="O20350">
        <v>230405</v>
      </c>
    </row>
    <row r="20351" spans="1:15" x14ac:dyDescent="0.25">
      <c r="A20351" t="s">
        <v>16</v>
      </c>
      <c r="B20351" t="s">
        <v>3221</v>
      </c>
      <c r="C20351">
        <v>4410</v>
      </c>
      <c r="D20351" t="s">
        <v>263</v>
      </c>
      <c r="E20351" t="s">
        <v>264</v>
      </c>
      <c r="F20351">
        <v>3.44</v>
      </c>
      <c r="G20351">
        <v>230404</v>
      </c>
      <c r="H20351">
        <v>4362</v>
      </c>
      <c r="I20351" t="s">
        <v>79</v>
      </c>
      <c r="J20351">
        <v>4.2699999999999996</v>
      </c>
      <c r="K20351">
        <v>0.83</v>
      </c>
      <c r="L20351">
        <v>11905</v>
      </c>
      <c r="M20351" t="s">
        <v>39</v>
      </c>
      <c r="N20351" t="str">
        <f>"12314024111 "</f>
        <v xml:space="preserve">12314024111 </v>
      </c>
      <c r="O20351">
        <v>230405</v>
      </c>
    </row>
    <row r="20352" spans="1:15" x14ac:dyDescent="0.25">
      <c r="A20352" t="s">
        <v>16</v>
      </c>
      <c r="B20352" t="s">
        <v>3221</v>
      </c>
      <c r="C20352">
        <v>4410</v>
      </c>
      <c r="D20352" t="s">
        <v>263</v>
      </c>
      <c r="E20352" t="s">
        <v>264</v>
      </c>
      <c r="F20352">
        <v>5.67</v>
      </c>
      <c r="G20352">
        <v>230404</v>
      </c>
      <c r="H20352">
        <v>4362</v>
      </c>
      <c r="I20352" t="s">
        <v>79</v>
      </c>
      <c r="J20352">
        <v>7.03</v>
      </c>
      <c r="K20352">
        <v>1.36</v>
      </c>
      <c r="L20352">
        <v>11905</v>
      </c>
      <c r="M20352" t="s">
        <v>39</v>
      </c>
      <c r="N20352" t="str">
        <f>"12314024111 "</f>
        <v xml:space="preserve">12314024111 </v>
      </c>
      <c r="O20352">
        <v>230405</v>
      </c>
    </row>
    <row r="20353" spans="1:15" x14ac:dyDescent="0.25">
      <c r="A20353" t="s">
        <v>16</v>
      </c>
      <c r="B20353" t="s">
        <v>3221</v>
      </c>
      <c r="C20353">
        <v>4410</v>
      </c>
      <c r="D20353" t="s">
        <v>263</v>
      </c>
      <c r="E20353" t="s">
        <v>264</v>
      </c>
      <c r="F20353">
        <v>2.69</v>
      </c>
      <c r="G20353">
        <v>230404</v>
      </c>
      <c r="H20353">
        <v>4362</v>
      </c>
      <c r="I20353" t="s">
        <v>79</v>
      </c>
      <c r="J20353">
        <v>3.34</v>
      </c>
      <c r="K20353">
        <v>0.65</v>
      </c>
      <c r="L20353">
        <v>11905</v>
      </c>
      <c r="M20353" t="s">
        <v>39</v>
      </c>
      <c r="N20353" t="str">
        <f>"12314024111 "</f>
        <v xml:space="preserve">12314024111 </v>
      </c>
      <c r="O20353">
        <v>230405</v>
      </c>
    </row>
    <row r="20354" spans="1:15" x14ac:dyDescent="0.25">
      <c r="A20354" t="s">
        <v>16</v>
      </c>
      <c r="B20354" t="s">
        <v>3221</v>
      </c>
      <c r="C20354">
        <v>4422</v>
      </c>
      <c r="D20354" t="s">
        <v>263</v>
      </c>
      <c r="E20354" t="s">
        <v>264</v>
      </c>
      <c r="F20354">
        <v>12.84</v>
      </c>
      <c r="G20354">
        <v>230404</v>
      </c>
      <c r="H20354">
        <v>4362</v>
      </c>
      <c r="I20354" t="s">
        <v>79</v>
      </c>
      <c r="J20354">
        <v>15.92</v>
      </c>
      <c r="K20354">
        <v>3.08</v>
      </c>
      <c r="L20354">
        <v>11601</v>
      </c>
      <c r="M20354" t="s">
        <v>535</v>
      </c>
      <c r="N20354" t="str">
        <f t="shared" ref="N20354:N20371" si="292">"12314024116 "</f>
        <v xml:space="preserve">12314024116 </v>
      </c>
      <c r="O20354">
        <v>230405</v>
      </c>
    </row>
    <row r="20355" spans="1:15" x14ac:dyDescent="0.25">
      <c r="A20355" t="s">
        <v>16</v>
      </c>
      <c r="B20355" t="s">
        <v>3221</v>
      </c>
      <c r="C20355">
        <v>4422</v>
      </c>
      <c r="D20355" t="s">
        <v>263</v>
      </c>
      <c r="E20355" t="s">
        <v>264</v>
      </c>
      <c r="F20355">
        <v>2.5499999999999998</v>
      </c>
      <c r="G20355">
        <v>230404</v>
      </c>
      <c r="H20355">
        <v>4362</v>
      </c>
      <c r="I20355" t="s">
        <v>79</v>
      </c>
      <c r="J20355">
        <v>3.16</v>
      </c>
      <c r="K20355">
        <v>0.61</v>
      </c>
      <c r="L20355">
        <v>11603</v>
      </c>
      <c r="M20355" t="s">
        <v>945</v>
      </c>
      <c r="N20355" t="str">
        <f t="shared" si="292"/>
        <v xml:space="preserve">12314024116 </v>
      </c>
      <c r="O20355">
        <v>230405</v>
      </c>
    </row>
    <row r="20356" spans="1:15" x14ac:dyDescent="0.25">
      <c r="A20356" t="s">
        <v>16</v>
      </c>
      <c r="B20356" t="s">
        <v>3221</v>
      </c>
      <c r="C20356">
        <v>4422</v>
      </c>
      <c r="D20356" t="s">
        <v>263</v>
      </c>
      <c r="E20356" t="s">
        <v>264</v>
      </c>
      <c r="F20356">
        <v>13.63</v>
      </c>
      <c r="G20356">
        <v>230404</v>
      </c>
      <c r="H20356">
        <v>4362</v>
      </c>
      <c r="I20356" t="s">
        <v>79</v>
      </c>
      <c r="J20356">
        <v>16.899999999999999</v>
      </c>
      <c r="K20356">
        <v>3.27</v>
      </c>
      <c r="L20356">
        <v>14121</v>
      </c>
      <c r="M20356" t="s">
        <v>880</v>
      </c>
      <c r="N20356" t="str">
        <f t="shared" si="292"/>
        <v xml:space="preserve">12314024116 </v>
      </c>
      <c r="O20356">
        <v>230405</v>
      </c>
    </row>
    <row r="20357" spans="1:15" x14ac:dyDescent="0.25">
      <c r="A20357" t="s">
        <v>16</v>
      </c>
      <c r="B20357" t="s">
        <v>3221</v>
      </c>
      <c r="C20357">
        <v>4422</v>
      </c>
      <c r="D20357" t="s">
        <v>263</v>
      </c>
      <c r="E20357" t="s">
        <v>264</v>
      </c>
      <c r="F20357">
        <v>19.489999999999998</v>
      </c>
      <c r="G20357">
        <v>230404</v>
      </c>
      <c r="H20357">
        <v>4362</v>
      </c>
      <c r="I20357" t="s">
        <v>79</v>
      </c>
      <c r="J20357">
        <v>24.17</v>
      </c>
      <c r="K20357">
        <v>4.68</v>
      </c>
      <c r="L20357">
        <v>14321</v>
      </c>
      <c r="M20357" t="s">
        <v>717</v>
      </c>
      <c r="N20357" t="str">
        <f t="shared" si="292"/>
        <v xml:space="preserve">12314024116 </v>
      </c>
      <c r="O20357">
        <v>230405</v>
      </c>
    </row>
    <row r="20358" spans="1:15" x14ac:dyDescent="0.25">
      <c r="A20358" t="s">
        <v>16</v>
      </c>
      <c r="B20358" t="s">
        <v>3221</v>
      </c>
      <c r="C20358">
        <v>4422</v>
      </c>
      <c r="D20358" t="s">
        <v>263</v>
      </c>
      <c r="E20358" t="s">
        <v>264</v>
      </c>
      <c r="F20358">
        <v>30.93</v>
      </c>
      <c r="G20358">
        <v>230404</v>
      </c>
      <c r="H20358">
        <v>4362</v>
      </c>
      <c r="I20358" t="s">
        <v>79</v>
      </c>
      <c r="J20358">
        <v>38.35</v>
      </c>
      <c r="K20358">
        <v>7.42</v>
      </c>
      <c r="L20358">
        <v>14422</v>
      </c>
      <c r="M20358" t="s">
        <v>228</v>
      </c>
      <c r="N20358" t="str">
        <f t="shared" si="292"/>
        <v xml:space="preserve">12314024116 </v>
      </c>
      <c r="O20358">
        <v>230405</v>
      </c>
    </row>
    <row r="20359" spans="1:15" x14ac:dyDescent="0.25">
      <c r="A20359" t="s">
        <v>16</v>
      </c>
      <c r="B20359" t="s">
        <v>3221</v>
      </c>
      <c r="C20359">
        <v>4422</v>
      </c>
      <c r="D20359" t="s">
        <v>263</v>
      </c>
      <c r="E20359" t="s">
        <v>264</v>
      </c>
      <c r="F20359">
        <v>2.7</v>
      </c>
      <c r="G20359">
        <v>230404</v>
      </c>
      <c r="H20359">
        <v>4362</v>
      </c>
      <c r="I20359" t="s">
        <v>79</v>
      </c>
      <c r="J20359">
        <v>3.35</v>
      </c>
      <c r="K20359">
        <v>0.65</v>
      </c>
      <c r="L20359">
        <v>14431</v>
      </c>
      <c r="M20359" t="s">
        <v>861</v>
      </c>
      <c r="N20359" t="str">
        <f t="shared" si="292"/>
        <v xml:space="preserve">12314024116 </v>
      </c>
      <c r="O20359">
        <v>230405</v>
      </c>
    </row>
    <row r="20360" spans="1:15" x14ac:dyDescent="0.25">
      <c r="A20360" t="s">
        <v>16</v>
      </c>
      <c r="B20360" t="s">
        <v>3221</v>
      </c>
      <c r="C20360">
        <v>4422</v>
      </c>
      <c r="D20360" t="s">
        <v>263</v>
      </c>
      <c r="E20360" t="s">
        <v>264</v>
      </c>
      <c r="F20360">
        <v>5.4</v>
      </c>
      <c r="G20360">
        <v>230404</v>
      </c>
      <c r="H20360">
        <v>4362</v>
      </c>
      <c r="I20360" t="s">
        <v>79</v>
      </c>
      <c r="J20360">
        <v>6.7</v>
      </c>
      <c r="K20360">
        <v>1.3</v>
      </c>
      <c r="L20360">
        <v>14432</v>
      </c>
      <c r="M20360" t="s">
        <v>862</v>
      </c>
      <c r="N20360" t="str">
        <f t="shared" si="292"/>
        <v xml:space="preserve">12314024116 </v>
      </c>
      <c r="O20360">
        <v>230405</v>
      </c>
    </row>
    <row r="20361" spans="1:15" x14ac:dyDescent="0.25">
      <c r="A20361" t="s">
        <v>16</v>
      </c>
      <c r="B20361" t="s">
        <v>3221</v>
      </c>
      <c r="C20361">
        <v>4422</v>
      </c>
      <c r="D20361" t="s">
        <v>263</v>
      </c>
      <c r="E20361" t="s">
        <v>264</v>
      </c>
      <c r="F20361">
        <v>5.24</v>
      </c>
      <c r="G20361">
        <v>230404</v>
      </c>
      <c r="H20361">
        <v>4362</v>
      </c>
      <c r="I20361" t="s">
        <v>79</v>
      </c>
      <c r="J20361">
        <v>6.5</v>
      </c>
      <c r="K20361">
        <v>1.26</v>
      </c>
      <c r="L20361">
        <v>14541</v>
      </c>
      <c r="M20361" t="s">
        <v>626</v>
      </c>
      <c r="N20361" t="str">
        <f t="shared" si="292"/>
        <v xml:space="preserve">12314024116 </v>
      </c>
      <c r="O20361">
        <v>230405</v>
      </c>
    </row>
    <row r="20362" spans="1:15" x14ac:dyDescent="0.25">
      <c r="A20362" t="s">
        <v>16</v>
      </c>
      <c r="B20362" t="s">
        <v>3221</v>
      </c>
      <c r="C20362">
        <v>4422</v>
      </c>
      <c r="D20362" t="s">
        <v>263</v>
      </c>
      <c r="E20362" t="s">
        <v>264</v>
      </c>
      <c r="F20362">
        <v>21.87</v>
      </c>
      <c r="G20362">
        <v>230404</v>
      </c>
      <c r="H20362">
        <v>4362</v>
      </c>
      <c r="I20362" t="s">
        <v>79</v>
      </c>
      <c r="J20362">
        <v>27.12</v>
      </c>
      <c r="K20362">
        <v>5.25</v>
      </c>
      <c r="L20362">
        <v>14622</v>
      </c>
      <c r="M20362" t="s">
        <v>1005</v>
      </c>
      <c r="N20362" t="str">
        <f t="shared" si="292"/>
        <v xml:space="preserve">12314024116 </v>
      </c>
      <c r="O20362">
        <v>230405</v>
      </c>
    </row>
    <row r="20363" spans="1:15" x14ac:dyDescent="0.25">
      <c r="A20363" t="s">
        <v>16</v>
      </c>
      <c r="B20363" t="s">
        <v>3221</v>
      </c>
      <c r="C20363">
        <v>4422</v>
      </c>
      <c r="D20363" t="s">
        <v>263</v>
      </c>
      <c r="E20363" t="s">
        <v>264</v>
      </c>
      <c r="F20363">
        <v>8.57</v>
      </c>
      <c r="G20363">
        <v>230404</v>
      </c>
      <c r="H20363">
        <v>4362</v>
      </c>
      <c r="I20363" t="s">
        <v>79</v>
      </c>
      <c r="J20363">
        <v>10.63</v>
      </c>
      <c r="K20363">
        <v>2.06</v>
      </c>
      <c r="L20363">
        <v>14640</v>
      </c>
      <c r="M20363" t="s">
        <v>229</v>
      </c>
      <c r="N20363" t="str">
        <f t="shared" si="292"/>
        <v xml:space="preserve">12314024116 </v>
      </c>
      <c r="O20363">
        <v>230405</v>
      </c>
    </row>
    <row r="20364" spans="1:15" x14ac:dyDescent="0.25">
      <c r="A20364" t="s">
        <v>16</v>
      </c>
      <c r="B20364" t="s">
        <v>3221</v>
      </c>
      <c r="C20364">
        <v>4422</v>
      </c>
      <c r="D20364" t="s">
        <v>263</v>
      </c>
      <c r="E20364" t="s">
        <v>264</v>
      </c>
      <c r="F20364">
        <v>2.7</v>
      </c>
      <c r="G20364">
        <v>230404</v>
      </c>
      <c r="H20364">
        <v>4362</v>
      </c>
      <c r="I20364" t="s">
        <v>79</v>
      </c>
      <c r="J20364">
        <v>3.35</v>
      </c>
      <c r="K20364">
        <v>0.65</v>
      </c>
      <c r="L20364">
        <v>14861</v>
      </c>
      <c r="M20364" t="s">
        <v>785</v>
      </c>
      <c r="N20364" t="str">
        <f t="shared" si="292"/>
        <v xml:space="preserve">12314024116 </v>
      </c>
      <c r="O20364">
        <v>230405</v>
      </c>
    </row>
    <row r="20365" spans="1:15" x14ac:dyDescent="0.25">
      <c r="A20365" t="s">
        <v>16</v>
      </c>
      <c r="B20365" t="s">
        <v>3221</v>
      </c>
      <c r="C20365">
        <v>4422</v>
      </c>
      <c r="D20365" t="s">
        <v>263</v>
      </c>
      <c r="E20365" t="s">
        <v>264</v>
      </c>
      <c r="F20365">
        <v>2.7</v>
      </c>
      <c r="G20365">
        <v>230404</v>
      </c>
      <c r="H20365">
        <v>4362</v>
      </c>
      <c r="I20365" t="s">
        <v>79</v>
      </c>
      <c r="J20365">
        <v>3.35</v>
      </c>
      <c r="K20365">
        <v>0.65</v>
      </c>
      <c r="L20365">
        <v>14861</v>
      </c>
      <c r="M20365" t="s">
        <v>785</v>
      </c>
      <c r="N20365" t="str">
        <f t="shared" si="292"/>
        <v xml:space="preserve">12314024116 </v>
      </c>
      <c r="O20365">
        <v>230405</v>
      </c>
    </row>
    <row r="20366" spans="1:15" x14ac:dyDescent="0.25">
      <c r="A20366" t="s">
        <v>16</v>
      </c>
      <c r="B20366" t="s">
        <v>3221</v>
      </c>
      <c r="C20366">
        <v>4422</v>
      </c>
      <c r="D20366" t="s">
        <v>263</v>
      </c>
      <c r="E20366" t="s">
        <v>264</v>
      </c>
      <c r="F20366">
        <v>8.92</v>
      </c>
      <c r="G20366">
        <v>230404</v>
      </c>
      <c r="H20366">
        <v>4362</v>
      </c>
      <c r="I20366" t="s">
        <v>79</v>
      </c>
      <c r="J20366">
        <v>11.06</v>
      </c>
      <c r="K20366">
        <v>2.14</v>
      </c>
      <c r="L20366">
        <v>14912</v>
      </c>
      <c r="M20366" t="s">
        <v>230</v>
      </c>
      <c r="N20366" t="str">
        <f t="shared" si="292"/>
        <v xml:space="preserve">12314024116 </v>
      </c>
      <c r="O20366">
        <v>230405</v>
      </c>
    </row>
    <row r="20367" spans="1:15" x14ac:dyDescent="0.25">
      <c r="A20367" t="s">
        <v>16</v>
      </c>
      <c r="B20367" t="s">
        <v>3221</v>
      </c>
      <c r="C20367">
        <v>4422</v>
      </c>
      <c r="D20367" t="s">
        <v>263</v>
      </c>
      <c r="E20367" t="s">
        <v>264</v>
      </c>
      <c r="F20367">
        <v>3.01</v>
      </c>
      <c r="G20367">
        <v>230404</v>
      </c>
      <c r="H20367">
        <v>4362</v>
      </c>
      <c r="I20367" t="s">
        <v>79</v>
      </c>
      <c r="J20367">
        <v>3.73</v>
      </c>
      <c r="K20367">
        <v>0.72</v>
      </c>
      <c r="L20367">
        <v>14971</v>
      </c>
      <c r="M20367" t="s">
        <v>1259</v>
      </c>
      <c r="N20367" t="str">
        <f t="shared" si="292"/>
        <v xml:space="preserve">12314024116 </v>
      </c>
      <c r="O20367">
        <v>230405</v>
      </c>
    </row>
    <row r="20368" spans="1:15" x14ac:dyDescent="0.25">
      <c r="A20368" t="s">
        <v>16</v>
      </c>
      <c r="B20368" t="s">
        <v>3221</v>
      </c>
      <c r="C20368">
        <v>4422</v>
      </c>
      <c r="D20368" t="s">
        <v>263</v>
      </c>
      <c r="E20368" t="s">
        <v>264</v>
      </c>
      <c r="F20368">
        <v>4.32</v>
      </c>
      <c r="G20368">
        <v>230404</v>
      </c>
      <c r="H20368">
        <v>4362</v>
      </c>
      <c r="I20368" t="s">
        <v>79</v>
      </c>
      <c r="J20368">
        <v>5.36</v>
      </c>
      <c r="K20368">
        <v>1.04</v>
      </c>
      <c r="L20368">
        <v>14972</v>
      </c>
      <c r="M20368" t="s">
        <v>898</v>
      </c>
      <c r="N20368" t="str">
        <f t="shared" si="292"/>
        <v xml:space="preserve">12314024116 </v>
      </c>
      <c r="O20368">
        <v>230405</v>
      </c>
    </row>
    <row r="20369" spans="1:15" x14ac:dyDescent="0.25">
      <c r="A20369" t="s">
        <v>16</v>
      </c>
      <c r="B20369" t="s">
        <v>3221</v>
      </c>
      <c r="C20369">
        <v>4422</v>
      </c>
      <c r="D20369" t="s">
        <v>263</v>
      </c>
      <c r="E20369" t="s">
        <v>264</v>
      </c>
      <c r="F20369">
        <v>2.7</v>
      </c>
      <c r="G20369">
        <v>230404</v>
      </c>
      <c r="H20369">
        <v>4362</v>
      </c>
      <c r="I20369" t="s">
        <v>79</v>
      </c>
      <c r="J20369">
        <v>3.35</v>
      </c>
      <c r="K20369">
        <v>0.65</v>
      </c>
      <c r="L20369">
        <v>14974</v>
      </c>
      <c r="M20369" t="s">
        <v>1340</v>
      </c>
      <c r="N20369" t="str">
        <f t="shared" si="292"/>
        <v xml:space="preserve">12314024116 </v>
      </c>
      <c r="O20369">
        <v>230405</v>
      </c>
    </row>
    <row r="20370" spans="1:15" x14ac:dyDescent="0.25">
      <c r="A20370" t="s">
        <v>16</v>
      </c>
      <c r="B20370" t="s">
        <v>3221</v>
      </c>
      <c r="C20370">
        <v>4422</v>
      </c>
      <c r="D20370" t="s">
        <v>263</v>
      </c>
      <c r="E20370" t="s">
        <v>264</v>
      </c>
      <c r="F20370">
        <v>2.69</v>
      </c>
      <c r="G20370">
        <v>230404</v>
      </c>
      <c r="H20370">
        <v>4362</v>
      </c>
      <c r="I20370" t="s">
        <v>79</v>
      </c>
      <c r="J20370">
        <v>3.33</v>
      </c>
      <c r="K20370">
        <v>0.64</v>
      </c>
      <c r="L20370">
        <v>14975</v>
      </c>
      <c r="M20370" t="s">
        <v>1341</v>
      </c>
      <c r="N20370" t="str">
        <f t="shared" si="292"/>
        <v xml:space="preserve">12314024116 </v>
      </c>
      <c r="O20370">
        <v>230405</v>
      </c>
    </row>
    <row r="20371" spans="1:15" x14ac:dyDescent="0.25">
      <c r="A20371" t="s">
        <v>16</v>
      </c>
      <c r="B20371" t="s">
        <v>3221</v>
      </c>
      <c r="C20371">
        <v>4422</v>
      </c>
      <c r="D20371" t="s">
        <v>263</v>
      </c>
      <c r="E20371" t="s">
        <v>264</v>
      </c>
      <c r="F20371">
        <v>2.7</v>
      </c>
      <c r="G20371">
        <v>230404</v>
      </c>
      <c r="H20371">
        <v>4362</v>
      </c>
      <c r="I20371" t="s">
        <v>79</v>
      </c>
      <c r="J20371">
        <v>3.35</v>
      </c>
      <c r="K20371">
        <v>0.65</v>
      </c>
      <c r="L20371">
        <v>14975</v>
      </c>
      <c r="M20371" t="s">
        <v>1341</v>
      </c>
      <c r="N20371" t="str">
        <f t="shared" si="292"/>
        <v xml:space="preserve">12314024116 </v>
      </c>
      <c r="O20371">
        <v>230405</v>
      </c>
    </row>
    <row r="20372" spans="1:15" x14ac:dyDescent="0.25">
      <c r="A20372" t="s">
        <v>16</v>
      </c>
      <c r="B20372" t="s">
        <v>3221</v>
      </c>
      <c r="C20372">
        <v>4528</v>
      </c>
      <c r="D20372" t="s">
        <v>263</v>
      </c>
      <c r="E20372" t="s">
        <v>264</v>
      </c>
      <c r="F20372">
        <v>8.1</v>
      </c>
      <c r="G20372">
        <v>230404</v>
      </c>
      <c r="H20372">
        <v>4362</v>
      </c>
      <c r="I20372" t="s">
        <v>79</v>
      </c>
      <c r="J20372">
        <v>10.039999999999999</v>
      </c>
      <c r="K20372">
        <v>1.94</v>
      </c>
      <c r="L20372">
        <v>17913</v>
      </c>
      <c r="M20372" t="s">
        <v>431</v>
      </c>
      <c r="N20372" t="str">
        <f>"12314024103 "</f>
        <v xml:space="preserve">12314024103 </v>
      </c>
      <c r="O20372">
        <v>230406</v>
      </c>
    </row>
    <row r="20373" spans="1:15" x14ac:dyDescent="0.25">
      <c r="A20373" t="s">
        <v>16</v>
      </c>
      <c r="B20373" t="s">
        <v>3221</v>
      </c>
      <c r="C20373">
        <v>4528</v>
      </c>
      <c r="D20373" t="s">
        <v>263</v>
      </c>
      <c r="E20373" t="s">
        <v>264</v>
      </c>
      <c r="F20373">
        <v>24.3</v>
      </c>
      <c r="G20373">
        <v>230404</v>
      </c>
      <c r="H20373">
        <v>4362</v>
      </c>
      <c r="I20373" t="s">
        <v>79</v>
      </c>
      <c r="J20373">
        <v>30.13</v>
      </c>
      <c r="K20373">
        <v>5.83</v>
      </c>
      <c r="L20373">
        <v>17951</v>
      </c>
      <c r="M20373" t="s">
        <v>87</v>
      </c>
      <c r="N20373" t="str">
        <f>"12314024103 "</f>
        <v xml:space="preserve">12314024103 </v>
      </c>
      <c r="O20373">
        <v>230406</v>
      </c>
    </row>
    <row r="20374" spans="1:15" x14ac:dyDescent="0.25">
      <c r="A20374" t="s">
        <v>16</v>
      </c>
      <c r="B20374" t="s">
        <v>3221</v>
      </c>
      <c r="C20374">
        <v>4528</v>
      </c>
      <c r="D20374" t="s">
        <v>263</v>
      </c>
      <c r="E20374" t="s">
        <v>264</v>
      </c>
      <c r="F20374">
        <v>13.02</v>
      </c>
      <c r="G20374">
        <v>230404</v>
      </c>
      <c r="H20374">
        <v>4362</v>
      </c>
      <c r="I20374" t="s">
        <v>79</v>
      </c>
      <c r="J20374">
        <v>16.14</v>
      </c>
      <c r="K20374">
        <v>3.12</v>
      </c>
      <c r="L20374">
        <v>17971</v>
      </c>
      <c r="M20374" t="s">
        <v>138</v>
      </c>
      <c r="N20374" t="str">
        <f>"12314024103 "</f>
        <v xml:space="preserve">12314024103 </v>
      </c>
      <c r="O20374">
        <v>230406</v>
      </c>
    </row>
    <row r="20375" spans="1:15" x14ac:dyDescent="0.25">
      <c r="A20375" t="s">
        <v>16</v>
      </c>
      <c r="B20375" t="s">
        <v>3221</v>
      </c>
      <c r="C20375">
        <v>4528</v>
      </c>
      <c r="D20375" t="s">
        <v>263</v>
      </c>
      <c r="E20375" t="s">
        <v>264</v>
      </c>
      <c r="F20375">
        <v>5.36</v>
      </c>
      <c r="G20375">
        <v>230404</v>
      </c>
      <c r="H20375">
        <v>4362</v>
      </c>
      <c r="I20375" t="s">
        <v>79</v>
      </c>
      <c r="J20375">
        <v>6.65</v>
      </c>
      <c r="K20375">
        <v>1.29</v>
      </c>
      <c r="L20375">
        <v>17974</v>
      </c>
      <c r="M20375" t="s">
        <v>460</v>
      </c>
      <c r="N20375" t="str">
        <f>"12314024103 "</f>
        <v xml:space="preserve">12314024103 </v>
      </c>
      <c r="O20375">
        <v>230406</v>
      </c>
    </row>
    <row r="20376" spans="1:15" x14ac:dyDescent="0.25">
      <c r="A20376" t="s">
        <v>16</v>
      </c>
      <c r="B20376" t="s">
        <v>3221</v>
      </c>
      <c r="C20376">
        <v>4528</v>
      </c>
      <c r="D20376" t="s">
        <v>263</v>
      </c>
      <c r="E20376" t="s">
        <v>264</v>
      </c>
      <c r="F20376">
        <v>16.05</v>
      </c>
      <c r="G20376">
        <v>230404</v>
      </c>
      <c r="H20376">
        <v>4362</v>
      </c>
      <c r="I20376" t="s">
        <v>79</v>
      </c>
      <c r="J20376">
        <v>19.899999999999999</v>
      </c>
      <c r="K20376">
        <v>3.85</v>
      </c>
      <c r="L20376">
        <v>17975</v>
      </c>
      <c r="M20376" t="s">
        <v>798</v>
      </c>
      <c r="N20376" t="str">
        <f>"12314024103 "</f>
        <v xml:space="preserve">12314024103 </v>
      </c>
      <c r="O20376">
        <v>230406</v>
      </c>
    </row>
    <row r="20377" spans="1:15" x14ac:dyDescent="0.25">
      <c r="A20377" t="s">
        <v>16</v>
      </c>
      <c r="B20377" t="s">
        <v>3221</v>
      </c>
      <c r="C20377">
        <v>4529</v>
      </c>
      <c r="D20377" t="s">
        <v>263</v>
      </c>
      <c r="E20377" t="s">
        <v>264</v>
      </c>
      <c r="F20377">
        <v>21.45</v>
      </c>
      <c r="G20377">
        <v>230404</v>
      </c>
      <c r="H20377">
        <v>4362</v>
      </c>
      <c r="I20377" t="s">
        <v>79</v>
      </c>
      <c r="J20377">
        <v>26.6</v>
      </c>
      <c r="K20377">
        <v>5.15</v>
      </c>
      <c r="L20377">
        <v>13601</v>
      </c>
      <c r="M20377" t="s">
        <v>147</v>
      </c>
      <c r="N20377" t="str">
        <f>"12314024109 "</f>
        <v xml:space="preserve">12314024109 </v>
      </c>
      <c r="O20377">
        <v>230406</v>
      </c>
    </row>
    <row r="20378" spans="1:15" x14ac:dyDescent="0.25">
      <c r="A20378" t="s">
        <v>16</v>
      </c>
      <c r="B20378" t="s">
        <v>3221</v>
      </c>
      <c r="C20378">
        <v>4530</v>
      </c>
      <c r="D20378" t="s">
        <v>263</v>
      </c>
      <c r="E20378" t="s">
        <v>264</v>
      </c>
      <c r="F20378">
        <v>5.53</v>
      </c>
      <c r="G20378">
        <v>230404</v>
      </c>
      <c r="H20378">
        <v>4362</v>
      </c>
      <c r="I20378" t="s">
        <v>79</v>
      </c>
      <c r="J20378">
        <v>6.86</v>
      </c>
      <c r="K20378">
        <v>1.33</v>
      </c>
      <c r="L20378">
        <v>46557</v>
      </c>
      <c r="M20378" t="s">
        <v>221</v>
      </c>
      <c r="N20378" t="str">
        <f>"12314024115 "</f>
        <v xml:space="preserve">12314024115 </v>
      </c>
      <c r="O20378">
        <v>230406</v>
      </c>
    </row>
    <row r="20379" spans="1:15" x14ac:dyDescent="0.25">
      <c r="A20379" t="s">
        <v>16</v>
      </c>
      <c r="B20379" t="s">
        <v>3221</v>
      </c>
      <c r="C20379">
        <v>4531</v>
      </c>
      <c r="D20379" t="s">
        <v>263</v>
      </c>
      <c r="E20379" t="s">
        <v>264</v>
      </c>
      <c r="F20379">
        <v>26.45</v>
      </c>
      <c r="G20379">
        <v>230404</v>
      </c>
      <c r="H20379">
        <v>4362</v>
      </c>
      <c r="I20379" t="s">
        <v>79</v>
      </c>
      <c r="J20379">
        <v>32.799999999999997</v>
      </c>
      <c r="K20379">
        <v>6.35</v>
      </c>
      <c r="L20379">
        <v>49501</v>
      </c>
      <c r="M20379" t="s">
        <v>177</v>
      </c>
      <c r="N20379" t="str">
        <f>"12314024090 "</f>
        <v xml:space="preserve">12314024090 </v>
      </c>
      <c r="O20379">
        <v>230406</v>
      </c>
    </row>
    <row r="20380" spans="1:15" x14ac:dyDescent="0.25">
      <c r="A20380" t="s">
        <v>16</v>
      </c>
      <c r="B20380" t="s">
        <v>3221</v>
      </c>
      <c r="C20380">
        <v>4532</v>
      </c>
      <c r="D20380" t="s">
        <v>263</v>
      </c>
      <c r="E20380" t="s">
        <v>264</v>
      </c>
      <c r="F20380">
        <v>21.52</v>
      </c>
      <c r="G20380">
        <v>230404</v>
      </c>
      <c r="H20380">
        <v>4362</v>
      </c>
      <c r="I20380" t="s">
        <v>79</v>
      </c>
      <c r="J20380">
        <v>26.68</v>
      </c>
      <c r="K20380">
        <v>5.16</v>
      </c>
      <c r="L20380">
        <v>46554</v>
      </c>
      <c r="M20380" t="s">
        <v>117</v>
      </c>
      <c r="N20380" t="str">
        <f>"12314024094 "</f>
        <v xml:space="preserve">12314024094 </v>
      </c>
      <c r="O20380">
        <v>230406</v>
      </c>
    </row>
    <row r="20381" spans="1:15" x14ac:dyDescent="0.25">
      <c r="A20381" t="s">
        <v>16</v>
      </c>
      <c r="B20381" t="s">
        <v>3221</v>
      </c>
      <c r="C20381">
        <v>4533</v>
      </c>
      <c r="D20381" t="s">
        <v>263</v>
      </c>
      <c r="E20381" t="s">
        <v>264</v>
      </c>
      <c r="F20381">
        <v>5.8</v>
      </c>
      <c r="G20381">
        <v>230404</v>
      </c>
      <c r="H20381">
        <v>4362</v>
      </c>
      <c r="I20381" t="s">
        <v>79</v>
      </c>
      <c r="J20381">
        <v>7.19</v>
      </c>
      <c r="K20381">
        <v>1.39</v>
      </c>
      <c r="L20381">
        <v>46556</v>
      </c>
      <c r="M20381" t="s">
        <v>125</v>
      </c>
      <c r="N20381" t="str">
        <f>"12314024097 "</f>
        <v xml:space="preserve">12314024097 </v>
      </c>
      <c r="O20381">
        <v>230406</v>
      </c>
    </row>
    <row r="20382" spans="1:15" x14ac:dyDescent="0.25">
      <c r="A20382" t="s">
        <v>16</v>
      </c>
      <c r="B20382" t="s">
        <v>3221</v>
      </c>
      <c r="C20382">
        <v>4535</v>
      </c>
      <c r="D20382" t="s">
        <v>263</v>
      </c>
      <c r="E20382" t="s">
        <v>264</v>
      </c>
      <c r="F20382">
        <v>8.64</v>
      </c>
      <c r="G20382">
        <v>230404</v>
      </c>
      <c r="H20382">
        <v>4362</v>
      </c>
      <c r="I20382" t="s">
        <v>79</v>
      </c>
      <c r="J20382">
        <v>10.71</v>
      </c>
      <c r="K20382">
        <v>2.0699999999999998</v>
      </c>
      <c r="L20382">
        <v>49701</v>
      </c>
      <c r="M20382" t="s">
        <v>166</v>
      </c>
      <c r="N20382" t="str">
        <f>"12314024092 "</f>
        <v xml:space="preserve">12314024092 </v>
      </c>
      <c r="O20382">
        <v>230406</v>
      </c>
    </row>
    <row r="20383" spans="1:15" x14ac:dyDescent="0.25">
      <c r="A20383" t="s">
        <v>16</v>
      </c>
      <c r="B20383" t="s">
        <v>3221</v>
      </c>
      <c r="C20383">
        <v>4535</v>
      </c>
      <c r="D20383" t="s">
        <v>263</v>
      </c>
      <c r="E20383" t="s">
        <v>264</v>
      </c>
      <c r="F20383">
        <v>5.48</v>
      </c>
      <c r="G20383">
        <v>230404</v>
      </c>
      <c r="H20383">
        <v>4362</v>
      </c>
      <c r="I20383" t="s">
        <v>79</v>
      </c>
      <c r="J20383">
        <v>6.8</v>
      </c>
      <c r="K20383">
        <v>1.32</v>
      </c>
      <c r="L20383">
        <v>49702</v>
      </c>
      <c r="M20383" t="s">
        <v>584</v>
      </c>
      <c r="N20383" t="str">
        <f>"12314024092 "</f>
        <v xml:space="preserve">12314024092 </v>
      </c>
      <c r="O20383">
        <v>230406</v>
      </c>
    </row>
    <row r="20384" spans="1:15" x14ac:dyDescent="0.25">
      <c r="A20384" t="s">
        <v>16</v>
      </c>
      <c r="B20384" t="s">
        <v>3221</v>
      </c>
      <c r="C20384">
        <v>4535</v>
      </c>
      <c r="D20384" t="s">
        <v>263</v>
      </c>
      <c r="E20384" t="s">
        <v>264</v>
      </c>
      <c r="F20384">
        <v>2.7</v>
      </c>
      <c r="G20384">
        <v>230404</v>
      </c>
      <c r="H20384">
        <v>4362</v>
      </c>
      <c r="I20384" t="s">
        <v>79</v>
      </c>
      <c r="J20384">
        <v>3.35</v>
      </c>
      <c r="K20384">
        <v>0.65</v>
      </c>
      <c r="L20384">
        <v>49704</v>
      </c>
      <c r="M20384" t="s">
        <v>1065</v>
      </c>
      <c r="N20384" t="str">
        <f>"12314024092 "</f>
        <v xml:space="preserve">12314024092 </v>
      </c>
      <c r="O20384">
        <v>230406</v>
      </c>
    </row>
    <row r="20385" spans="1:15" x14ac:dyDescent="0.25">
      <c r="A20385" t="s">
        <v>16</v>
      </c>
      <c r="B20385" t="s">
        <v>3221</v>
      </c>
      <c r="C20385">
        <v>4536</v>
      </c>
      <c r="D20385" t="s">
        <v>263</v>
      </c>
      <c r="E20385" t="s">
        <v>264</v>
      </c>
      <c r="F20385">
        <v>5.4</v>
      </c>
      <c r="G20385">
        <v>230404</v>
      </c>
      <c r="H20385">
        <v>4362</v>
      </c>
      <c r="I20385" t="s">
        <v>79</v>
      </c>
      <c r="J20385">
        <v>6.7</v>
      </c>
      <c r="K20385">
        <v>1.3</v>
      </c>
      <c r="L20385">
        <v>49112</v>
      </c>
      <c r="M20385" t="s">
        <v>233</v>
      </c>
      <c r="N20385" t="str">
        <f>"12314024099 "</f>
        <v xml:space="preserve">12314024099 </v>
      </c>
      <c r="O20385">
        <v>230406</v>
      </c>
    </row>
    <row r="20386" spans="1:15" x14ac:dyDescent="0.25">
      <c r="A20386" t="s">
        <v>16</v>
      </c>
      <c r="B20386" t="s">
        <v>3221</v>
      </c>
      <c r="C20386">
        <v>4546</v>
      </c>
      <c r="D20386" t="s">
        <v>263</v>
      </c>
      <c r="E20386" t="s">
        <v>264</v>
      </c>
      <c r="F20386">
        <v>13.9</v>
      </c>
      <c r="G20386">
        <v>230404</v>
      </c>
      <c r="H20386">
        <v>4362</v>
      </c>
      <c r="I20386" t="s">
        <v>79</v>
      </c>
      <c r="J20386">
        <v>17.23</v>
      </c>
      <c r="K20386">
        <v>3.33</v>
      </c>
      <c r="L20386">
        <v>47522</v>
      </c>
      <c r="M20386" t="s">
        <v>410</v>
      </c>
      <c r="N20386" t="str">
        <f>"12314024093 "</f>
        <v xml:space="preserve">12314024093 </v>
      </c>
      <c r="O20386">
        <v>230406</v>
      </c>
    </row>
    <row r="20387" spans="1:15" x14ac:dyDescent="0.25">
      <c r="A20387" t="s">
        <v>16</v>
      </c>
      <c r="B20387" t="s">
        <v>3221</v>
      </c>
      <c r="C20387">
        <v>4546</v>
      </c>
      <c r="D20387" t="s">
        <v>263</v>
      </c>
      <c r="E20387" t="s">
        <v>264</v>
      </c>
      <c r="F20387">
        <v>3.35</v>
      </c>
      <c r="G20387">
        <v>230404</v>
      </c>
      <c r="H20387">
        <v>4362</v>
      </c>
      <c r="I20387" t="s">
        <v>79</v>
      </c>
      <c r="J20387">
        <v>3.35</v>
      </c>
      <c r="K20387">
        <v>0</v>
      </c>
      <c r="L20387">
        <v>49702</v>
      </c>
      <c r="M20387" t="s">
        <v>584</v>
      </c>
      <c r="N20387" t="str">
        <f>"12314024093 "</f>
        <v xml:space="preserve">12314024093 </v>
      </c>
      <c r="O20387">
        <v>230406</v>
      </c>
    </row>
    <row r="20388" spans="1:15" x14ac:dyDescent="0.25">
      <c r="A20388" t="s">
        <v>16</v>
      </c>
      <c r="B20388" t="s">
        <v>3221</v>
      </c>
      <c r="C20388">
        <v>4572</v>
      </c>
      <c r="D20388" t="s">
        <v>263</v>
      </c>
      <c r="E20388" t="s">
        <v>264</v>
      </c>
      <c r="F20388">
        <v>11.47</v>
      </c>
      <c r="G20388">
        <v>230404</v>
      </c>
      <c r="H20388">
        <v>4362</v>
      </c>
      <c r="I20388" t="s">
        <v>79</v>
      </c>
      <c r="J20388">
        <v>14.22</v>
      </c>
      <c r="K20388">
        <v>2.75</v>
      </c>
      <c r="L20388">
        <v>17131</v>
      </c>
      <c r="M20388" t="s">
        <v>64</v>
      </c>
      <c r="N20388" t="str">
        <f t="shared" ref="N20388:N20398" si="293">"12314024105 "</f>
        <v xml:space="preserve">12314024105 </v>
      </c>
      <c r="O20388">
        <v>230406</v>
      </c>
    </row>
    <row r="20389" spans="1:15" x14ac:dyDescent="0.25">
      <c r="A20389" t="s">
        <v>16</v>
      </c>
      <c r="B20389" t="s">
        <v>3221</v>
      </c>
      <c r="C20389">
        <v>4572</v>
      </c>
      <c r="D20389" t="s">
        <v>263</v>
      </c>
      <c r="E20389" t="s">
        <v>264</v>
      </c>
      <c r="F20389">
        <v>2.7</v>
      </c>
      <c r="G20389">
        <v>230404</v>
      </c>
      <c r="H20389">
        <v>4362</v>
      </c>
      <c r="I20389" t="s">
        <v>79</v>
      </c>
      <c r="J20389">
        <v>3.35</v>
      </c>
      <c r="K20389">
        <v>0.65</v>
      </c>
      <c r="L20389">
        <v>17147</v>
      </c>
      <c r="M20389" t="s">
        <v>1734</v>
      </c>
      <c r="N20389" t="str">
        <f t="shared" si="293"/>
        <v xml:space="preserve">12314024105 </v>
      </c>
      <c r="O20389">
        <v>230406</v>
      </c>
    </row>
    <row r="20390" spans="1:15" x14ac:dyDescent="0.25">
      <c r="A20390" t="s">
        <v>16</v>
      </c>
      <c r="B20390" t="s">
        <v>3221</v>
      </c>
      <c r="C20390">
        <v>4572</v>
      </c>
      <c r="D20390" t="s">
        <v>263</v>
      </c>
      <c r="E20390" t="s">
        <v>264</v>
      </c>
      <c r="F20390">
        <v>11.49</v>
      </c>
      <c r="G20390">
        <v>230404</v>
      </c>
      <c r="H20390">
        <v>4362</v>
      </c>
      <c r="I20390" t="s">
        <v>79</v>
      </c>
      <c r="J20390">
        <v>14.25</v>
      </c>
      <c r="K20390">
        <v>2.76</v>
      </c>
      <c r="L20390">
        <v>17711</v>
      </c>
      <c r="M20390" t="s">
        <v>65</v>
      </c>
      <c r="N20390" t="str">
        <f t="shared" si="293"/>
        <v xml:space="preserve">12314024105 </v>
      </c>
      <c r="O20390">
        <v>230406</v>
      </c>
    </row>
    <row r="20391" spans="1:15" x14ac:dyDescent="0.25">
      <c r="A20391" t="s">
        <v>16</v>
      </c>
      <c r="B20391" t="s">
        <v>3221</v>
      </c>
      <c r="C20391">
        <v>4572</v>
      </c>
      <c r="D20391" t="s">
        <v>263</v>
      </c>
      <c r="E20391" t="s">
        <v>264</v>
      </c>
      <c r="F20391">
        <v>24.67</v>
      </c>
      <c r="G20391">
        <v>230404</v>
      </c>
      <c r="H20391">
        <v>4362</v>
      </c>
      <c r="I20391" t="s">
        <v>79</v>
      </c>
      <c r="J20391">
        <v>30.59</v>
      </c>
      <c r="K20391">
        <v>5.92</v>
      </c>
      <c r="L20391">
        <v>17711</v>
      </c>
      <c r="M20391" t="s">
        <v>65</v>
      </c>
      <c r="N20391" t="str">
        <f t="shared" si="293"/>
        <v xml:space="preserve">12314024105 </v>
      </c>
      <c r="O20391">
        <v>230406</v>
      </c>
    </row>
    <row r="20392" spans="1:15" x14ac:dyDescent="0.25">
      <c r="A20392" t="s">
        <v>16</v>
      </c>
      <c r="B20392" t="s">
        <v>3221</v>
      </c>
      <c r="C20392">
        <v>4572</v>
      </c>
      <c r="D20392" t="s">
        <v>263</v>
      </c>
      <c r="E20392" t="s">
        <v>264</v>
      </c>
      <c r="F20392">
        <v>5.4</v>
      </c>
      <c r="G20392">
        <v>230404</v>
      </c>
      <c r="H20392">
        <v>4362</v>
      </c>
      <c r="I20392" t="s">
        <v>79</v>
      </c>
      <c r="J20392">
        <v>6.7</v>
      </c>
      <c r="K20392">
        <v>1.3</v>
      </c>
      <c r="L20392">
        <v>17737</v>
      </c>
      <c r="M20392" t="s">
        <v>279</v>
      </c>
      <c r="N20392" t="str">
        <f t="shared" si="293"/>
        <v xml:space="preserve">12314024105 </v>
      </c>
      <c r="O20392">
        <v>230406</v>
      </c>
    </row>
    <row r="20393" spans="1:15" x14ac:dyDescent="0.25">
      <c r="A20393" t="s">
        <v>16</v>
      </c>
      <c r="B20393" t="s">
        <v>3221</v>
      </c>
      <c r="C20393">
        <v>4572</v>
      </c>
      <c r="D20393" t="s">
        <v>263</v>
      </c>
      <c r="E20393" t="s">
        <v>264</v>
      </c>
      <c r="F20393">
        <v>13.5</v>
      </c>
      <c r="G20393">
        <v>230404</v>
      </c>
      <c r="H20393">
        <v>4362</v>
      </c>
      <c r="I20393" t="s">
        <v>79</v>
      </c>
      <c r="J20393">
        <v>16.739999999999998</v>
      </c>
      <c r="K20393">
        <v>3.24</v>
      </c>
      <c r="L20393">
        <v>17737</v>
      </c>
      <c r="M20393" t="s">
        <v>279</v>
      </c>
      <c r="N20393" t="str">
        <f t="shared" si="293"/>
        <v xml:space="preserve">12314024105 </v>
      </c>
      <c r="O20393">
        <v>230406</v>
      </c>
    </row>
    <row r="20394" spans="1:15" x14ac:dyDescent="0.25">
      <c r="A20394" t="s">
        <v>16</v>
      </c>
      <c r="B20394" t="s">
        <v>3221</v>
      </c>
      <c r="C20394">
        <v>4572</v>
      </c>
      <c r="D20394" t="s">
        <v>263</v>
      </c>
      <c r="E20394" t="s">
        <v>264</v>
      </c>
      <c r="F20394">
        <v>2.7</v>
      </c>
      <c r="G20394">
        <v>230404</v>
      </c>
      <c r="H20394">
        <v>4362</v>
      </c>
      <c r="I20394" t="s">
        <v>79</v>
      </c>
      <c r="J20394">
        <v>3.35</v>
      </c>
      <c r="K20394">
        <v>0.65</v>
      </c>
      <c r="L20394">
        <v>17912</v>
      </c>
      <c r="M20394" t="s">
        <v>419</v>
      </c>
      <c r="N20394" t="str">
        <f t="shared" si="293"/>
        <v xml:space="preserve">12314024105 </v>
      </c>
      <c r="O20394">
        <v>230406</v>
      </c>
    </row>
    <row r="20395" spans="1:15" x14ac:dyDescent="0.25">
      <c r="A20395" t="s">
        <v>16</v>
      </c>
      <c r="B20395" t="s">
        <v>3221</v>
      </c>
      <c r="C20395">
        <v>4572</v>
      </c>
      <c r="D20395" t="s">
        <v>263</v>
      </c>
      <c r="E20395" t="s">
        <v>264</v>
      </c>
      <c r="F20395">
        <v>2.7</v>
      </c>
      <c r="G20395">
        <v>230404</v>
      </c>
      <c r="H20395">
        <v>4362</v>
      </c>
      <c r="I20395" t="s">
        <v>79</v>
      </c>
      <c r="J20395">
        <v>3.35</v>
      </c>
      <c r="K20395">
        <v>0.65</v>
      </c>
      <c r="L20395">
        <v>17915</v>
      </c>
      <c r="M20395" t="s">
        <v>572</v>
      </c>
      <c r="N20395" t="str">
        <f t="shared" si="293"/>
        <v xml:space="preserve">12314024105 </v>
      </c>
      <c r="O20395">
        <v>230406</v>
      </c>
    </row>
    <row r="20396" spans="1:15" x14ac:dyDescent="0.25">
      <c r="A20396" t="s">
        <v>16</v>
      </c>
      <c r="B20396" t="s">
        <v>3221</v>
      </c>
      <c r="C20396">
        <v>4572</v>
      </c>
      <c r="D20396" t="s">
        <v>263</v>
      </c>
      <c r="E20396" t="s">
        <v>264</v>
      </c>
      <c r="F20396">
        <v>11.47</v>
      </c>
      <c r="G20396">
        <v>230404</v>
      </c>
      <c r="H20396">
        <v>4362</v>
      </c>
      <c r="I20396" t="s">
        <v>79</v>
      </c>
      <c r="J20396">
        <v>14.22</v>
      </c>
      <c r="K20396">
        <v>2.75</v>
      </c>
      <c r="L20396">
        <v>17952</v>
      </c>
      <c r="M20396" t="s">
        <v>88</v>
      </c>
      <c r="N20396" t="str">
        <f t="shared" si="293"/>
        <v xml:space="preserve">12314024105 </v>
      </c>
      <c r="O20396">
        <v>230406</v>
      </c>
    </row>
    <row r="20397" spans="1:15" x14ac:dyDescent="0.25">
      <c r="A20397" t="s">
        <v>16</v>
      </c>
      <c r="B20397" t="s">
        <v>3221</v>
      </c>
      <c r="C20397">
        <v>4572</v>
      </c>
      <c r="D20397" t="s">
        <v>263</v>
      </c>
      <c r="E20397" t="s">
        <v>264</v>
      </c>
      <c r="F20397">
        <v>8.83</v>
      </c>
      <c r="G20397">
        <v>230404</v>
      </c>
      <c r="H20397">
        <v>4362</v>
      </c>
      <c r="I20397" t="s">
        <v>79</v>
      </c>
      <c r="J20397">
        <v>10.95</v>
      </c>
      <c r="K20397">
        <v>2.12</v>
      </c>
      <c r="L20397">
        <v>17971</v>
      </c>
      <c r="M20397" t="s">
        <v>138</v>
      </c>
      <c r="N20397" t="str">
        <f t="shared" si="293"/>
        <v xml:space="preserve">12314024105 </v>
      </c>
      <c r="O20397">
        <v>230406</v>
      </c>
    </row>
    <row r="20398" spans="1:15" x14ac:dyDescent="0.25">
      <c r="A20398" t="s">
        <v>16</v>
      </c>
      <c r="B20398" t="s">
        <v>3221</v>
      </c>
      <c r="C20398">
        <v>4572</v>
      </c>
      <c r="D20398" t="s">
        <v>263</v>
      </c>
      <c r="E20398" t="s">
        <v>264</v>
      </c>
      <c r="F20398">
        <v>5.43</v>
      </c>
      <c r="G20398">
        <v>230404</v>
      </c>
      <c r="H20398">
        <v>4362</v>
      </c>
      <c r="I20398" t="s">
        <v>79</v>
      </c>
      <c r="J20398">
        <v>6.73</v>
      </c>
      <c r="K20398">
        <v>1.3</v>
      </c>
      <c r="L20398">
        <v>17972</v>
      </c>
      <c r="M20398" t="s">
        <v>248</v>
      </c>
      <c r="N20398" t="str">
        <f t="shared" si="293"/>
        <v xml:space="preserve">12314024105 </v>
      </c>
      <c r="O20398">
        <v>230406</v>
      </c>
    </row>
    <row r="20399" spans="1:15" x14ac:dyDescent="0.25">
      <c r="A20399" t="s">
        <v>16</v>
      </c>
      <c r="B20399" t="s">
        <v>3221</v>
      </c>
      <c r="C20399">
        <v>4582</v>
      </c>
      <c r="D20399" t="s">
        <v>263</v>
      </c>
      <c r="E20399" t="s">
        <v>264</v>
      </c>
      <c r="F20399">
        <v>7.95</v>
      </c>
      <c r="G20399">
        <v>230404</v>
      </c>
      <c r="H20399">
        <v>4362</v>
      </c>
      <c r="I20399" t="s">
        <v>79</v>
      </c>
      <c r="J20399">
        <v>9.86</v>
      </c>
      <c r="K20399">
        <v>1.91</v>
      </c>
      <c r="L20399">
        <v>16930</v>
      </c>
      <c r="M20399" t="s">
        <v>450</v>
      </c>
      <c r="N20399" t="str">
        <f t="shared" ref="N20399:N20422" si="294">"12314024106 "</f>
        <v xml:space="preserve">12314024106 </v>
      </c>
      <c r="O20399">
        <v>230406</v>
      </c>
    </row>
    <row r="20400" spans="1:15" x14ac:dyDescent="0.25">
      <c r="A20400" t="s">
        <v>16</v>
      </c>
      <c r="B20400" t="s">
        <v>3221</v>
      </c>
      <c r="C20400">
        <v>4582</v>
      </c>
      <c r="D20400" t="s">
        <v>263</v>
      </c>
      <c r="E20400" t="s">
        <v>264</v>
      </c>
      <c r="F20400">
        <v>10.78</v>
      </c>
      <c r="G20400">
        <v>230404</v>
      </c>
      <c r="H20400">
        <v>4362</v>
      </c>
      <c r="I20400" t="s">
        <v>79</v>
      </c>
      <c r="J20400">
        <v>13.37</v>
      </c>
      <c r="K20400">
        <v>2.59</v>
      </c>
      <c r="L20400">
        <v>17521</v>
      </c>
      <c r="M20400" t="s">
        <v>133</v>
      </c>
      <c r="N20400" t="str">
        <f t="shared" si="294"/>
        <v xml:space="preserve">12314024106 </v>
      </c>
      <c r="O20400">
        <v>230406</v>
      </c>
    </row>
    <row r="20401" spans="1:15" x14ac:dyDescent="0.25">
      <c r="A20401" t="s">
        <v>16</v>
      </c>
      <c r="B20401" t="s">
        <v>3221</v>
      </c>
      <c r="C20401">
        <v>4582</v>
      </c>
      <c r="D20401" t="s">
        <v>263</v>
      </c>
      <c r="E20401" t="s">
        <v>264</v>
      </c>
      <c r="F20401">
        <v>7.62</v>
      </c>
      <c r="G20401">
        <v>230404</v>
      </c>
      <c r="H20401">
        <v>4362</v>
      </c>
      <c r="I20401" t="s">
        <v>79</v>
      </c>
      <c r="J20401">
        <v>9.4499999999999993</v>
      </c>
      <c r="K20401">
        <v>1.83</v>
      </c>
      <c r="L20401">
        <v>17522</v>
      </c>
      <c r="M20401" t="s">
        <v>451</v>
      </c>
      <c r="N20401" t="str">
        <f t="shared" si="294"/>
        <v xml:space="preserve">12314024106 </v>
      </c>
      <c r="O20401">
        <v>230406</v>
      </c>
    </row>
    <row r="20402" spans="1:15" x14ac:dyDescent="0.25">
      <c r="A20402" t="s">
        <v>16</v>
      </c>
      <c r="B20402" t="s">
        <v>3221</v>
      </c>
      <c r="C20402">
        <v>4582</v>
      </c>
      <c r="D20402" t="s">
        <v>263</v>
      </c>
      <c r="E20402" t="s">
        <v>264</v>
      </c>
      <c r="F20402">
        <v>8.1</v>
      </c>
      <c r="G20402">
        <v>230404</v>
      </c>
      <c r="H20402">
        <v>4362</v>
      </c>
      <c r="I20402" t="s">
        <v>79</v>
      </c>
      <c r="J20402">
        <v>10.039999999999999</v>
      </c>
      <c r="K20402">
        <v>1.94</v>
      </c>
      <c r="L20402">
        <v>17523</v>
      </c>
      <c r="M20402" t="s">
        <v>134</v>
      </c>
      <c r="N20402" t="str">
        <f t="shared" si="294"/>
        <v xml:space="preserve">12314024106 </v>
      </c>
      <c r="O20402">
        <v>230406</v>
      </c>
    </row>
    <row r="20403" spans="1:15" x14ac:dyDescent="0.25">
      <c r="A20403" t="s">
        <v>16</v>
      </c>
      <c r="B20403" t="s">
        <v>3221</v>
      </c>
      <c r="C20403">
        <v>4582</v>
      </c>
      <c r="D20403" t="s">
        <v>263</v>
      </c>
      <c r="E20403" t="s">
        <v>264</v>
      </c>
      <c r="F20403">
        <v>6.54</v>
      </c>
      <c r="G20403">
        <v>230404</v>
      </c>
      <c r="H20403">
        <v>4362</v>
      </c>
      <c r="I20403" t="s">
        <v>79</v>
      </c>
      <c r="J20403">
        <v>8.11</v>
      </c>
      <c r="K20403">
        <v>1.57</v>
      </c>
      <c r="L20403">
        <v>17524</v>
      </c>
      <c r="M20403" t="s">
        <v>452</v>
      </c>
      <c r="N20403" t="str">
        <f t="shared" si="294"/>
        <v xml:space="preserve">12314024106 </v>
      </c>
      <c r="O20403">
        <v>230406</v>
      </c>
    </row>
    <row r="20404" spans="1:15" x14ac:dyDescent="0.25">
      <c r="A20404" t="s">
        <v>16</v>
      </c>
      <c r="B20404" t="s">
        <v>3221</v>
      </c>
      <c r="C20404">
        <v>4582</v>
      </c>
      <c r="D20404" t="s">
        <v>263</v>
      </c>
      <c r="E20404" t="s">
        <v>264</v>
      </c>
      <c r="F20404">
        <v>5.8</v>
      </c>
      <c r="G20404">
        <v>230404</v>
      </c>
      <c r="H20404">
        <v>4362</v>
      </c>
      <c r="I20404" t="s">
        <v>79</v>
      </c>
      <c r="J20404">
        <v>7.19</v>
      </c>
      <c r="K20404">
        <v>1.39</v>
      </c>
      <c r="L20404">
        <v>17525</v>
      </c>
      <c r="M20404" t="s">
        <v>135</v>
      </c>
      <c r="N20404" t="str">
        <f t="shared" si="294"/>
        <v xml:space="preserve">12314024106 </v>
      </c>
      <c r="O20404">
        <v>230406</v>
      </c>
    </row>
    <row r="20405" spans="1:15" x14ac:dyDescent="0.25">
      <c r="A20405" t="s">
        <v>16</v>
      </c>
      <c r="B20405" t="s">
        <v>3221</v>
      </c>
      <c r="C20405">
        <v>4582</v>
      </c>
      <c r="D20405" t="s">
        <v>263</v>
      </c>
      <c r="E20405" t="s">
        <v>264</v>
      </c>
      <c r="F20405">
        <v>8.1</v>
      </c>
      <c r="G20405">
        <v>230404</v>
      </c>
      <c r="H20405">
        <v>4362</v>
      </c>
      <c r="I20405" t="s">
        <v>79</v>
      </c>
      <c r="J20405">
        <v>10.039999999999999</v>
      </c>
      <c r="K20405">
        <v>1.94</v>
      </c>
      <c r="L20405">
        <v>17526</v>
      </c>
      <c r="M20405" t="s">
        <v>437</v>
      </c>
      <c r="N20405" t="str">
        <f t="shared" si="294"/>
        <v xml:space="preserve">12314024106 </v>
      </c>
      <c r="O20405">
        <v>230406</v>
      </c>
    </row>
    <row r="20406" spans="1:15" x14ac:dyDescent="0.25">
      <c r="A20406" t="s">
        <v>16</v>
      </c>
      <c r="B20406" t="s">
        <v>3221</v>
      </c>
      <c r="C20406">
        <v>4582</v>
      </c>
      <c r="D20406" t="s">
        <v>263</v>
      </c>
      <c r="E20406" t="s">
        <v>264</v>
      </c>
      <c r="F20406">
        <v>8.0500000000000007</v>
      </c>
      <c r="G20406">
        <v>230404</v>
      </c>
      <c r="H20406">
        <v>4362</v>
      </c>
      <c r="I20406" t="s">
        <v>79</v>
      </c>
      <c r="J20406">
        <v>9.98</v>
      </c>
      <c r="K20406">
        <v>1.93</v>
      </c>
      <c r="L20406">
        <v>17527</v>
      </c>
      <c r="M20406" t="s">
        <v>422</v>
      </c>
      <c r="N20406" t="str">
        <f t="shared" si="294"/>
        <v xml:space="preserve">12314024106 </v>
      </c>
      <c r="O20406">
        <v>230406</v>
      </c>
    </row>
    <row r="20407" spans="1:15" x14ac:dyDescent="0.25">
      <c r="A20407" t="s">
        <v>16</v>
      </c>
      <c r="B20407" t="s">
        <v>3221</v>
      </c>
      <c r="C20407">
        <v>4582</v>
      </c>
      <c r="D20407" t="s">
        <v>263</v>
      </c>
      <c r="E20407" t="s">
        <v>264</v>
      </c>
      <c r="F20407">
        <v>5.4</v>
      </c>
      <c r="G20407">
        <v>230404</v>
      </c>
      <c r="H20407">
        <v>4362</v>
      </c>
      <c r="I20407" t="s">
        <v>79</v>
      </c>
      <c r="J20407">
        <v>6.7</v>
      </c>
      <c r="K20407">
        <v>1.3</v>
      </c>
      <c r="L20407">
        <v>17529</v>
      </c>
      <c r="M20407" t="s">
        <v>453</v>
      </c>
      <c r="N20407" t="str">
        <f t="shared" si="294"/>
        <v xml:space="preserve">12314024106 </v>
      </c>
      <c r="O20407">
        <v>230406</v>
      </c>
    </row>
    <row r="20408" spans="1:15" x14ac:dyDescent="0.25">
      <c r="A20408" t="s">
        <v>16</v>
      </c>
      <c r="B20408" t="s">
        <v>3221</v>
      </c>
      <c r="C20408">
        <v>4582</v>
      </c>
      <c r="D20408" t="s">
        <v>263</v>
      </c>
      <c r="E20408" t="s">
        <v>264</v>
      </c>
      <c r="F20408">
        <v>8.11</v>
      </c>
      <c r="G20408">
        <v>230404</v>
      </c>
      <c r="H20408">
        <v>4362</v>
      </c>
      <c r="I20408" t="s">
        <v>79</v>
      </c>
      <c r="J20408">
        <v>10.06</v>
      </c>
      <c r="K20408">
        <v>1.95</v>
      </c>
      <c r="L20408">
        <v>17530</v>
      </c>
      <c r="M20408" t="s">
        <v>454</v>
      </c>
      <c r="N20408" t="str">
        <f t="shared" si="294"/>
        <v xml:space="preserve">12314024106 </v>
      </c>
      <c r="O20408">
        <v>230406</v>
      </c>
    </row>
    <row r="20409" spans="1:15" x14ac:dyDescent="0.25">
      <c r="A20409" t="s">
        <v>16</v>
      </c>
      <c r="B20409" t="s">
        <v>3221</v>
      </c>
      <c r="C20409">
        <v>4582</v>
      </c>
      <c r="D20409" t="s">
        <v>263</v>
      </c>
      <c r="E20409" t="s">
        <v>264</v>
      </c>
      <c r="F20409">
        <v>18.739999999999998</v>
      </c>
      <c r="G20409">
        <v>230404</v>
      </c>
      <c r="H20409">
        <v>4362</v>
      </c>
      <c r="I20409" t="s">
        <v>79</v>
      </c>
      <c r="J20409">
        <v>23.24</v>
      </c>
      <c r="K20409">
        <v>4.5</v>
      </c>
      <c r="L20409">
        <v>17531</v>
      </c>
      <c r="M20409" t="s">
        <v>136</v>
      </c>
      <c r="N20409" t="str">
        <f t="shared" si="294"/>
        <v xml:space="preserve">12314024106 </v>
      </c>
      <c r="O20409">
        <v>230406</v>
      </c>
    </row>
    <row r="20410" spans="1:15" x14ac:dyDescent="0.25">
      <c r="A20410" t="s">
        <v>16</v>
      </c>
      <c r="B20410" t="s">
        <v>3221</v>
      </c>
      <c r="C20410">
        <v>4582</v>
      </c>
      <c r="D20410" t="s">
        <v>263</v>
      </c>
      <c r="E20410" t="s">
        <v>264</v>
      </c>
      <c r="F20410">
        <v>10.35</v>
      </c>
      <c r="G20410">
        <v>230404</v>
      </c>
      <c r="H20410">
        <v>4362</v>
      </c>
      <c r="I20410" t="s">
        <v>79</v>
      </c>
      <c r="J20410">
        <v>12.83</v>
      </c>
      <c r="K20410">
        <v>2.48</v>
      </c>
      <c r="L20410">
        <v>17532</v>
      </c>
      <c r="M20410" t="s">
        <v>543</v>
      </c>
      <c r="N20410" t="str">
        <f t="shared" si="294"/>
        <v xml:space="preserve">12314024106 </v>
      </c>
      <c r="O20410">
        <v>230406</v>
      </c>
    </row>
    <row r="20411" spans="1:15" x14ac:dyDescent="0.25">
      <c r="A20411" t="s">
        <v>16</v>
      </c>
      <c r="B20411" t="s">
        <v>3221</v>
      </c>
      <c r="C20411">
        <v>4582</v>
      </c>
      <c r="D20411" t="s">
        <v>263</v>
      </c>
      <c r="E20411" t="s">
        <v>264</v>
      </c>
      <c r="F20411">
        <v>5.4</v>
      </c>
      <c r="G20411">
        <v>230404</v>
      </c>
      <c r="H20411">
        <v>4362</v>
      </c>
      <c r="I20411" t="s">
        <v>79</v>
      </c>
      <c r="J20411">
        <v>6.7</v>
      </c>
      <c r="K20411">
        <v>1.3</v>
      </c>
      <c r="L20411">
        <v>17533</v>
      </c>
      <c r="M20411" t="s">
        <v>990</v>
      </c>
      <c r="N20411" t="str">
        <f t="shared" si="294"/>
        <v xml:space="preserve">12314024106 </v>
      </c>
      <c r="O20411">
        <v>230406</v>
      </c>
    </row>
    <row r="20412" spans="1:15" x14ac:dyDescent="0.25">
      <c r="A20412" t="s">
        <v>16</v>
      </c>
      <c r="B20412" t="s">
        <v>3221</v>
      </c>
      <c r="C20412">
        <v>4582</v>
      </c>
      <c r="D20412" t="s">
        <v>263</v>
      </c>
      <c r="E20412" t="s">
        <v>264</v>
      </c>
      <c r="F20412">
        <v>7.15</v>
      </c>
      <c r="G20412">
        <v>230404</v>
      </c>
      <c r="H20412">
        <v>4362</v>
      </c>
      <c r="I20412" t="s">
        <v>79</v>
      </c>
      <c r="J20412">
        <v>8.8699999999999992</v>
      </c>
      <c r="K20412">
        <v>1.72</v>
      </c>
      <c r="L20412">
        <v>17534</v>
      </c>
      <c r="M20412" t="s">
        <v>440</v>
      </c>
      <c r="N20412" t="str">
        <f t="shared" si="294"/>
        <v xml:space="preserve">12314024106 </v>
      </c>
      <c r="O20412">
        <v>230406</v>
      </c>
    </row>
    <row r="20413" spans="1:15" x14ac:dyDescent="0.25">
      <c r="A20413" t="s">
        <v>16</v>
      </c>
      <c r="B20413" t="s">
        <v>3221</v>
      </c>
      <c r="C20413">
        <v>4582</v>
      </c>
      <c r="D20413" t="s">
        <v>263</v>
      </c>
      <c r="E20413" t="s">
        <v>264</v>
      </c>
      <c r="F20413">
        <v>2.7</v>
      </c>
      <c r="G20413">
        <v>230404</v>
      </c>
      <c r="H20413">
        <v>4362</v>
      </c>
      <c r="I20413" t="s">
        <v>79</v>
      </c>
      <c r="J20413">
        <v>3.35</v>
      </c>
      <c r="K20413">
        <v>0.65</v>
      </c>
      <c r="L20413">
        <v>17535</v>
      </c>
      <c r="M20413" t="s">
        <v>357</v>
      </c>
      <c r="N20413" t="str">
        <f t="shared" si="294"/>
        <v xml:space="preserve">12314024106 </v>
      </c>
      <c r="O20413">
        <v>230406</v>
      </c>
    </row>
    <row r="20414" spans="1:15" x14ac:dyDescent="0.25">
      <c r="A20414" t="s">
        <v>16</v>
      </c>
      <c r="B20414" t="s">
        <v>3221</v>
      </c>
      <c r="C20414">
        <v>4582</v>
      </c>
      <c r="D20414" t="s">
        <v>263</v>
      </c>
      <c r="E20414" t="s">
        <v>264</v>
      </c>
      <c r="F20414">
        <v>5.4</v>
      </c>
      <c r="G20414">
        <v>230404</v>
      </c>
      <c r="H20414">
        <v>4362</v>
      </c>
      <c r="I20414" t="s">
        <v>79</v>
      </c>
      <c r="J20414">
        <v>6.7</v>
      </c>
      <c r="K20414">
        <v>1.3</v>
      </c>
      <c r="L20414">
        <v>17536</v>
      </c>
      <c r="M20414" t="s">
        <v>734</v>
      </c>
      <c r="N20414" t="str">
        <f t="shared" si="294"/>
        <v xml:space="preserve">12314024106 </v>
      </c>
      <c r="O20414">
        <v>230406</v>
      </c>
    </row>
    <row r="20415" spans="1:15" x14ac:dyDescent="0.25">
      <c r="A20415" t="s">
        <v>16</v>
      </c>
      <c r="B20415" t="s">
        <v>3221</v>
      </c>
      <c r="C20415">
        <v>4582</v>
      </c>
      <c r="D20415" t="s">
        <v>263</v>
      </c>
      <c r="E20415" t="s">
        <v>264</v>
      </c>
      <c r="F20415">
        <v>7.95</v>
      </c>
      <c r="G20415">
        <v>230404</v>
      </c>
      <c r="H20415">
        <v>4362</v>
      </c>
      <c r="I20415" t="s">
        <v>79</v>
      </c>
      <c r="J20415">
        <v>9.86</v>
      </c>
      <c r="K20415">
        <v>1.91</v>
      </c>
      <c r="L20415">
        <v>17537</v>
      </c>
      <c r="M20415" t="s">
        <v>455</v>
      </c>
      <c r="N20415" t="str">
        <f t="shared" si="294"/>
        <v xml:space="preserve">12314024106 </v>
      </c>
      <c r="O20415">
        <v>230406</v>
      </c>
    </row>
    <row r="20416" spans="1:15" x14ac:dyDescent="0.25">
      <c r="A20416" t="s">
        <v>16</v>
      </c>
      <c r="B20416" t="s">
        <v>3221</v>
      </c>
      <c r="C20416">
        <v>4582</v>
      </c>
      <c r="D20416" t="s">
        <v>263</v>
      </c>
      <c r="E20416" t="s">
        <v>264</v>
      </c>
      <c r="F20416">
        <v>33.72</v>
      </c>
      <c r="G20416">
        <v>230404</v>
      </c>
      <c r="H20416">
        <v>4362</v>
      </c>
      <c r="I20416" t="s">
        <v>79</v>
      </c>
      <c r="J20416">
        <v>41.81</v>
      </c>
      <c r="K20416">
        <v>8.09</v>
      </c>
      <c r="L20416">
        <v>17538</v>
      </c>
      <c r="M20416" t="s">
        <v>24</v>
      </c>
      <c r="N20416" t="str">
        <f t="shared" si="294"/>
        <v xml:space="preserve">12314024106 </v>
      </c>
      <c r="O20416">
        <v>230406</v>
      </c>
    </row>
    <row r="20417" spans="1:15" x14ac:dyDescent="0.25">
      <c r="A20417" t="s">
        <v>16</v>
      </c>
      <c r="B20417" t="s">
        <v>3221</v>
      </c>
      <c r="C20417">
        <v>4582</v>
      </c>
      <c r="D20417" t="s">
        <v>263</v>
      </c>
      <c r="E20417" t="s">
        <v>264</v>
      </c>
      <c r="F20417">
        <v>10.8</v>
      </c>
      <c r="G20417">
        <v>230404</v>
      </c>
      <c r="H20417">
        <v>4362</v>
      </c>
      <c r="I20417" t="s">
        <v>79</v>
      </c>
      <c r="J20417">
        <v>13.39</v>
      </c>
      <c r="K20417">
        <v>2.59</v>
      </c>
      <c r="L20417">
        <v>17950</v>
      </c>
      <c r="M20417" t="s">
        <v>86</v>
      </c>
      <c r="N20417" t="str">
        <f t="shared" si="294"/>
        <v xml:space="preserve">12314024106 </v>
      </c>
      <c r="O20417">
        <v>230406</v>
      </c>
    </row>
    <row r="20418" spans="1:15" x14ac:dyDescent="0.25">
      <c r="A20418" t="s">
        <v>16</v>
      </c>
      <c r="B20418" t="s">
        <v>3221</v>
      </c>
      <c r="C20418">
        <v>4582</v>
      </c>
      <c r="D20418" t="s">
        <v>263</v>
      </c>
      <c r="E20418" t="s">
        <v>264</v>
      </c>
      <c r="F20418">
        <v>2.7</v>
      </c>
      <c r="G20418">
        <v>230404</v>
      </c>
      <c r="H20418">
        <v>4362</v>
      </c>
      <c r="I20418" t="s">
        <v>79</v>
      </c>
      <c r="J20418">
        <v>3.35</v>
      </c>
      <c r="K20418">
        <v>0.65</v>
      </c>
      <c r="L20418">
        <v>17956</v>
      </c>
      <c r="M20418" t="s">
        <v>53</v>
      </c>
      <c r="N20418" t="str">
        <f t="shared" si="294"/>
        <v xml:space="preserve">12314024106 </v>
      </c>
      <c r="O20418">
        <v>230406</v>
      </c>
    </row>
    <row r="20419" spans="1:15" x14ac:dyDescent="0.25">
      <c r="A20419" t="s">
        <v>16</v>
      </c>
      <c r="B20419" t="s">
        <v>3221</v>
      </c>
      <c r="C20419">
        <v>4582</v>
      </c>
      <c r="D20419" t="s">
        <v>263</v>
      </c>
      <c r="E20419" t="s">
        <v>264</v>
      </c>
      <c r="F20419">
        <v>14.19</v>
      </c>
      <c r="G20419">
        <v>230404</v>
      </c>
      <c r="H20419">
        <v>4362</v>
      </c>
      <c r="I20419" t="s">
        <v>79</v>
      </c>
      <c r="J20419">
        <v>17.600000000000001</v>
      </c>
      <c r="K20419">
        <v>3.41</v>
      </c>
      <c r="L20419">
        <v>17971</v>
      </c>
      <c r="M20419" t="s">
        <v>138</v>
      </c>
      <c r="N20419" t="str">
        <f t="shared" si="294"/>
        <v xml:space="preserve">12314024106 </v>
      </c>
      <c r="O20419">
        <v>230406</v>
      </c>
    </row>
    <row r="20420" spans="1:15" x14ac:dyDescent="0.25">
      <c r="A20420" t="s">
        <v>16</v>
      </c>
      <c r="B20420" t="s">
        <v>3221</v>
      </c>
      <c r="C20420">
        <v>4582</v>
      </c>
      <c r="D20420" t="s">
        <v>263</v>
      </c>
      <c r="E20420" t="s">
        <v>264</v>
      </c>
      <c r="F20420">
        <v>2.7</v>
      </c>
      <c r="G20420">
        <v>230404</v>
      </c>
      <c r="H20420">
        <v>4362</v>
      </c>
      <c r="I20420" t="s">
        <v>79</v>
      </c>
      <c r="J20420">
        <v>3.35</v>
      </c>
      <c r="K20420">
        <v>0.65</v>
      </c>
      <c r="L20420">
        <v>17972</v>
      </c>
      <c r="M20420" t="s">
        <v>248</v>
      </c>
      <c r="N20420" t="str">
        <f t="shared" si="294"/>
        <v xml:space="preserve">12314024106 </v>
      </c>
      <c r="O20420">
        <v>230406</v>
      </c>
    </row>
    <row r="20421" spans="1:15" x14ac:dyDescent="0.25">
      <c r="A20421" t="s">
        <v>16</v>
      </c>
      <c r="B20421" t="s">
        <v>3221</v>
      </c>
      <c r="C20421">
        <v>4582</v>
      </c>
      <c r="D20421" t="s">
        <v>263</v>
      </c>
      <c r="E20421" t="s">
        <v>264</v>
      </c>
      <c r="F20421">
        <v>2.93</v>
      </c>
      <c r="G20421">
        <v>230404</v>
      </c>
      <c r="H20421">
        <v>4362</v>
      </c>
      <c r="I20421" t="s">
        <v>79</v>
      </c>
      <c r="J20421">
        <v>3.63</v>
      </c>
      <c r="K20421">
        <v>0.7</v>
      </c>
      <c r="L20421">
        <v>17974</v>
      </c>
      <c r="M20421" t="s">
        <v>460</v>
      </c>
      <c r="N20421" t="str">
        <f t="shared" si="294"/>
        <v xml:space="preserve">12314024106 </v>
      </c>
      <c r="O20421">
        <v>230406</v>
      </c>
    </row>
    <row r="20422" spans="1:15" x14ac:dyDescent="0.25">
      <c r="A20422" t="s">
        <v>16</v>
      </c>
      <c r="B20422" t="s">
        <v>3221</v>
      </c>
      <c r="C20422">
        <v>4582</v>
      </c>
      <c r="D20422" t="s">
        <v>263</v>
      </c>
      <c r="E20422" t="s">
        <v>264</v>
      </c>
      <c r="F20422">
        <v>13.73</v>
      </c>
      <c r="G20422">
        <v>230404</v>
      </c>
      <c r="H20422">
        <v>4362</v>
      </c>
      <c r="I20422" t="s">
        <v>79</v>
      </c>
      <c r="J20422">
        <v>17.03</v>
      </c>
      <c r="K20422">
        <v>3.3</v>
      </c>
      <c r="L20422">
        <v>17975</v>
      </c>
      <c r="M20422" t="s">
        <v>798</v>
      </c>
      <c r="N20422" t="str">
        <f t="shared" si="294"/>
        <v xml:space="preserve">12314024106 </v>
      </c>
      <c r="O20422">
        <v>230406</v>
      </c>
    </row>
    <row r="20423" spans="1:15" x14ac:dyDescent="0.25">
      <c r="A20423" t="s">
        <v>16</v>
      </c>
      <c r="B20423" t="s">
        <v>3221</v>
      </c>
      <c r="C20423">
        <v>4658</v>
      </c>
      <c r="D20423" t="s">
        <v>263</v>
      </c>
      <c r="E20423" t="s">
        <v>264</v>
      </c>
      <c r="F20423">
        <v>2.7</v>
      </c>
      <c r="G20423">
        <v>230404</v>
      </c>
      <c r="H20423">
        <v>4362</v>
      </c>
      <c r="I20423" t="s">
        <v>79</v>
      </c>
      <c r="J20423">
        <v>3.35</v>
      </c>
      <c r="K20423">
        <v>0.65</v>
      </c>
      <c r="L20423">
        <v>11001</v>
      </c>
      <c r="M20423" t="s">
        <v>326</v>
      </c>
      <c r="N20423" t="str">
        <f t="shared" ref="N20423:N20428" si="295">"12314024081 "</f>
        <v xml:space="preserve">12314024081 </v>
      </c>
      <c r="O20423">
        <v>230411</v>
      </c>
    </row>
    <row r="20424" spans="1:15" x14ac:dyDescent="0.25">
      <c r="A20424" t="s">
        <v>16</v>
      </c>
      <c r="B20424" t="s">
        <v>3221</v>
      </c>
      <c r="C20424">
        <v>4658</v>
      </c>
      <c r="D20424" t="s">
        <v>263</v>
      </c>
      <c r="E20424" t="s">
        <v>264</v>
      </c>
      <c r="F20424">
        <v>26.78</v>
      </c>
      <c r="G20424">
        <v>230404</v>
      </c>
      <c r="H20424">
        <v>4362</v>
      </c>
      <c r="I20424" t="s">
        <v>79</v>
      </c>
      <c r="J20424">
        <v>26.78</v>
      </c>
      <c r="K20424">
        <v>0</v>
      </c>
      <c r="L20424">
        <v>11001</v>
      </c>
      <c r="M20424" t="s">
        <v>326</v>
      </c>
      <c r="N20424" t="str">
        <f t="shared" si="295"/>
        <v xml:space="preserve">12314024081 </v>
      </c>
      <c r="O20424">
        <v>230411</v>
      </c>
    </row>
    <row r="20425" spans="1:15" x14ac:dyDescent="0.25">
      <c r="A20425" t="s">
        <v>16</v>
      </c>
      <c r="B20425" t="s">
        <v>3221</v>
      </c>
      <c r="C20425">
        <v>4658</v>
      </c>
      <c r="D20425" t="s">
        <v>263</v>
      </c>
      <c r="E20425" t="s">
        <v>264</v>
      </c>
      <c r="F20425">
        <v>5.4</v>
      </c>
      <c r="G20425">
        <v>230404</v>
      </c>
      <c r="H20425">
        <v>4362</v>
      </c>
      <c r="I20425" t="s">
        <v>79</v>
      </c>
      <c r="J20425">
        <v>6.7</v>
      </c>
      <c r="K20425">
        <v>1.3</v>
      </c>
      <c r="L20425">
        <v>11501</v>
      </c>
      <c r="M20425" t="s">
        <v>339</v>
      </c>
      <c r="N20425" t="str">
        <f t="shared" si="295"/>
        <v xml:space="preserve">12314024081 </v>
      </c>
      <c r="O20425">
        <v>230411</v>
      </c>
    </row>
    <row r="20426" spans="1:15" x14ac:dyDescent="0.25">
      <c r="A20426" t="s">
        <v>16</v>
      </c>
      <c r="B20426" t="s">
        <v>3221</v>
      </c>
      <c r="C20426">
        <v>4658</v>
      </c>
      <c r="D20426" t="s">
        <v>263</v>
      </c>
      <c r="E20426" t="s">
        <v>264</v>
      </c>
      <c r="F20426">
        <v>3.37</v>
      </c>
      <c r="G20426">
        <v>230404</v>
      </c>
      <c r="H20426">
        <v>4362</v>
      </c>
      <c r="I20426" t="s">
        <v>79</v>
      </c>
      <c r="J20426">
        <v>4.18</v>
      </c>
      <c r="K20426">
        <v>0.81</v>
      </c>
      <c r="L20426">
        <v>11701</v>
      </c>
      <c r="M20426" t="s">
        <v>1204</v>
      </c>
      <c r="N20426" t="str">
        <f t="shared" si="295"/>
        <v xml:space="preserve">12314024081 </v>
      </c>
      <c r="O20426">
        <v>230411</v>
      </c>
    </row>
    <row r="20427" spans="1:15" x14ac:dyDescent="0.25">
      <c r="A20427" t="s">
        <v>16</v>
      </c>
      <c r="B20427" t="s">
        <v>3221</v>
      </c>
      <c r="C20427">
        <v>4658</v>
      </c>
      <c r="D20427" t="s">
        <v>263</v>
      </c>
      <c r="E20427" t="s">
        <v>264</v>
      </c>
      <c r="F20427">
        <v>5.4</v>
      </c>
      <c r="G20427">
        <v>230404</v>
      </c>
      <c r="H20427">
        <v>4362</v>
      </c>
      <c r="I20427" t="s">
        <v>79</v>
      </c>
      <c r="J20427">
        <v>6.7</v>
      </c>
      <c r="K20427">
        <v>1.3</v>
      </c>
      <c r="L20427">
        <v>11751</v>
      </c>
      <c r="M20427" t="s">
        <v>1339</v>
      </c>
      <c r="N20427" t="str">
        <f t="shared" si="295"/>
        <v xml:space="preserve">12314024081 </v>
      </c>
      <c r="O20427">
        <v>230411</v>
      </c>
    </row>
    <row r="20428" spans="1:15" x14ac:dyDescent="0.25">
      <c r="A20428" t="s">
        <v>16</v>
      </c>
      <c r="B20428" t="s">
        <v>3221</v>
      </c>
      <c r="C20428">
        <v>4658</v>
      </c>
      <c r="D20428" t="s">
        <v>263</v>
      </c>
      <c r="E20428" t="s">
        <v>264</v>
      </c>
      <c r="F20428">
        <v>25.97</v>
      </c>
      <c r="G20428">
        <v>230404</v>
      </c>
      <c r="H20428">
        <v>4362</v>
      </c>
      <c r="I20428" t="s">
        <v>79</v>
      </c>
      <c r="J20428">
        <v>32.200000000000003</v>
      </c>
      <c r="K20428">
        <v>6.23</v>
      </c>
      <c r="L20428">
        <v>14622</v>
      </c>
      <c r="M20428" t="s">
        <v>1005</v>
      </c>
      <c r="N20428" t="str">
        <f t="shared" si="295"/>
        <v xml:space="preserve">12314024081 </v>
      </c>
      <c r="O20428">
        <v>230411</v>
      </c>
    </row>
    <row r="20429" spans="1:15" x14ac:dyDescent="0.25">
      <c r="A20429" t="s">
        <v>16</v>
      </c>
      <c r="B20429" t="s">
        <v>3221</v>
      </c>
      <c r="C20429">
        <v>4688</v>
      </c>
      <c r="D20429" t="s">
        <v>263</v>
      </c>
      <c r="E20429" t="s">
        <v>264</v>
      </c>
      <c r="F20429">
        <v>2.7</v>
      </c>
      <c r="G20429">
        <v>230404</v>
      </c>
      <c r="H20429">
        <v>4362</v>
      </c>
      <c r="I20429" t="s">
        <v>79</v>
      </c>
      <c r="J20429">
        <v>3.35</v>
      </c>
      <c r="K20429">
        <v>0.65</v>
      </c>
      <c r="L20429">
        <v>11301</v>
      </c>
      <c r="M20429" t="s">
        <v>29</v>
      </c>
      <c r="N20429" t="str">
        <f t="shared" ref="N20429:N20439" si="296">"12314024088 "</f>
        <v xml:space="preserve">12314024088 </v>
      </c>
      <c r="O20429">
        <v>230411</v>
      </c>
    </row>
    <row r="20430" spans="1:15" x14ac:dyDescent="0.25">
      <c r="A20430" t="s">
        <v>16</v>
      </c>
      <c r="B20430" t="s">
        <v>3221</v>
      </c>
      <c r="C20430">
        <v>4688</v>
      </c>
      <c r="D20430" t="s">
        <v>263</v>
      </c>
      <c r="E20430" t="s">
        <v>264</v>
      </c>
      <c r="F20430">
        <v>5.25</v>
      </c>
      <c r="G20430">
        <v>230404</v>
      </c>
      <c r="H20430">
        <v>4362</v>
      </c>
      <c r="I20430" t="s">
        <v>79</v>
      </c>
      <c r="J20430">
        <v>6.51</v>
      </c>
      <c r="K20430">
        <v>1.26</v>
      </c>
      <c r="L20430">
        <v>11301</v>
      </c>
      <c r="M20430" t="s">
        <v>29</v>
      </c>
      <c r="N20430" t="str">
        <f t="shared" si="296"/>
        <v xml:space="preserve">12314024088 </v>
      </c>
      <c r="O20430">
        <v>230411</v>
      </c>
    </row>
    <row r="20431" spans="1:15" x14ac:dyDescent="0.25">
      <c r="A20431" t="s">
        <v>16</v>
      </c>
      <c r="B20431" t="s">
        <v>3221</v>
      </c>
      <c r="C20431">
        <v>4688</v>
      </c>
      <c r="D20431" t="s">
        <v>263</v>
      </c>
      <c r="E20431" t="s">
        <v>264</v>
      </c>
      <c r="F20431">
        <v>3.4</v>
      </c>
      <c r="G20431">
        <v>230404</v>
      </c>
      <c r="H20431">
        <v>4362</v>
      </c>
      <c r="I20431" t="s">
        <v>79</v>
      </c>
      <c r="J20431">
        <v>4.22</v>
      </c>
      <c r="K20431">
        <v>0.82</v>
      </c>
      <c r="L20431">
        <v>11900</v>
      </c>
      <c r="M20431" t="s">
        <v>1105</v>
      </c>
      <c r="N20431" t="str">
        <f t="shared" si="296"/>
        <v xml:space="preserve">12314024088 </v>
      </c>
      <c r="O20431">
        <v>230411</v>
      </c>
    </row>
    <row r="20432" spans="1:15" x14ac:dyDescent="0.25">
      <c r="A20432" t="s">
        <v>16</v>
      </c>
      <c r="B20432" t="s">
        <v>3221</v>
      </c>
      <c r="C20432">
        <v>4688</v>
      </c>
      <c r="D20432" t="s">
        <v>263</v>
      </c>
      <c r="E20432" t="s">
        <v>264</v>
      </c>
      <c r="F20432">
        <v>10.130000000000001</v>
      </c>
      <c r="G20432">
        <v>230404</v>
      </c>
      <c r="H20432">
        <v>4362</v>
      </c>
      <c r="I20432" t="s">
        <v>79</v>
      </c>
      <c r="J20432">
        <v>10.130000000000001</v>
      </c>
      <c r="K20432">
        <v>0</v>
      </c>
      <c r="L20432">
        <v>11901</v>
      </c>
      <c r="M20432" t="s">
        <v>36</v>
      </c>
      <c r="N20432" t="str">
        <f t="shared" si="296"/>
        <v xml:space="preserve">12314024088 </v>
      </c>
      <c r="O20432">
        <v>230411</v>
      </c>
    </row>
    <row r="20433" spans="1:15" x14ac:dyDescent="0.25">
      <c r="A20433" t="s">
        <v>16</v>
      </c>
      <c r="B20433" t="s">
        <v>3221</v>
      </c>
      <c r="C20433">
        <v>4688</v>
      </c>
      <c r="D20433" t="s">
        <v>263</v>
      </c>
      <c r="E20433" t="s">
        <v>264</v>
      </c>
      <c r="F20433">
        <v>9.23</v>
      </c>
      <c r="G20433">
        <v>230404</v>
      </c>
      <c r="H20433">
        <v>4362</v>
      </c>
      <c r="I20433" t="s">
        <v>79</v>
      </c>
      <c r="J20433">
        <v>11.45</v>
      </c>
      <c r="K20433">
        <v>2.2200000000000002</v>
      </c>
      <c r="L20433">
        <v>11901</v>
      </c>
      <c r="M20433" t="s">
        <v>36</v>
      </c>
      <c r="N20433" t="str">
        <f t="shared" si="296"/>
        <v xml:space="preserve">12314024088 </v>
      </c>
      <c r="O20433">
        <v>230411</v>
      </c>
    </row>
    <row r="20434" spans="1:15" x14ac:dyDescent="0.25">
      <c r="A20434" t="s">
        <v>16</v>
      </c>
      <c r="B20434" t="s">
        <v>3221</v>
      </c>
      <c r="C20434">
        <v>4688</v>
      </c>
      <c r="D20434" t="s">
        <v>263</v>
      </c>
      <c r="E20434" t="s">
        <v>264</v>
      </c>
      <c r="F20434">
        <v>5.4</v>
      </c>
      <c r="G20434">
        <v>230404</v>
      </c>
      <c r="H20434">
        <v>4362</v>
      </c>
      <c r="I20434" t="s">
        <v>79</v>
      </c>
      <c r="J20434">
        <v>6.7</v>
      </c>
      <c r="K20434">
        <v>1.3</v>
      </c>
      <c r="L20434">
        <v>11903</v>
      </c>
      <c r="M20434" t="s">
        <v>406</v>
      </c>
      <c r="N20434" t="str">
        <f t="shared" si="296"/>
        <v xml:space="preserve">12314024088 </v>
      </c>
      <c r="O20434">
        <v>230411</v>
      </c>
    </row>
    <row r="20435" spans="1:15" x14ac:dyDescent="0.25">
      <c r="A20435" t="s">
        <v>16</v>
      </c>
      <c r="B20435" t="s">
        <v>3221</v>
      </c>
      <c r="C20435">
        <v>4688</v>
      </c>
      <c r="D20435" t="s">
        <v>263</v>
      </c>
      <c r="E20435" t="s">
        <v>264</v>
      </c>
      <c r="F20435">
        <v>5.4</v>
      </c>
      <c r="G20435">
        <v>230404</v>
      </c>
      <c r="H20435">
        <v>4362</v>
      </c>
      <c r="I20435" t="s">
        <v>79</v>
      </c>
      <c r="J20435">
        <v>6.7</v>
      </c>
      <c r="K20435">
        <v>1.3</v>
      </c>
      <c r="L20435">
        <v>11905</v>
      </c>
      <c r="M20435" t="s">
        <v>39</v>
      </c>
      <c r="N20435" t="str">
        <f t="shared" si="296"/>
        <v xml:space="preserve">12314024088 </v>
      </c>
      <c r="O20435">
        <v>230411</v>
      </c>
    </row>
    <row r="20436" spans="1:15" x14ac:dyDescent="0.25">
      <c r="A20436" t="s">
        <v>16</v>
      </c>
      <c r="B20436" t="s">
        <v>3221</v>
      </c>
      <c r="C20436">
        <v>4688</v>
      </c>
      <c r="D20436" t="s">
        <v>263</v>
      </c>
      <c r="E20436" t="s">
        <v>264</v>
      </c>
      <c r="F20436">
        <v>3.04</v>
      </c>
      <c r="G20436">
        <v>230404</v>
      </c>
      <c r="H20436">
        <v>4362</v>
      </c>
      <c r="I20436" t="s">
        <v>79</v>
      </c>
      <c r="J20436">
        <v>3.77</v>
      </c>
      <c r="K20436">
        <v>0.73</v>
      </c>
      <c r="L20436">
        <v>11908</v>
      </c>
      <c r="M20436" t="s">
        <v>598</v>
      </c>
      <c r="N20436" t="str">
        <f t="shared" si="296"/>
        <v xml:space="preserve">12314024088 </v>
      </c>
      <c r="O20436">
        <v>230411</v>
      </c>
    </row>
    <row r="20437" spans="1:15" x14ac:dyDescent="0.25">
      <c r="A20437" t="s">
        <v>16</v>
      </c>
      <c r="B20437" t="s">
        <v>3221</v>
      </c>
      <c r="C20437">
        <v>4688</v>
      </c>
      <c r="D20437" t="s">
        <v>263</v>
      </c>
      <c r="E20437" t="s">
        <v>264</v>
      </c>
      <c r="F20437">
        <v>5.53</v>
      </c>
      <c r="G20437">
        <v>230404</v>
      </c>
      <c r="H20437">
        <v>4362</v>
      </c>
      <c r="I20437" t="s">
        <v>79</v>
      </c>
      <c r="J20437">
        <v>6.86</v>
      </c>
      <c r="K20437">
        <v>1.33</v>
      </c>
      <c r="L20437">
        <v>11908</v>
      </c>
      <c r="M20437" t="s">
        <v>598</v>
      </c>
      <c r="N20437" t="str">
        <f t="shared" si="296"/>
        <v xml:space="preserve">12314024088 </v>
      </c>
      <c r="O20437">
        <v>230411</v>
      </c>
    </row>
    <row r="20438" spans="1:15" x14ac:dyDescent="0.25">
      <c r="A20438" t="s">
        <v>16</v>
      </c>
      <c r="B20438" t="s">
        <v>3221</v>
      </c>
      <c r="C20438">
        <v>4688</v>
      </c>
      <c r="D20438" t="s">
        <v>263</v>
      </c>
      <c r="E20438" t="s">
        <v>264</v>
      </c>
      <c r="F20438">
        <v>2.68</v>
      </c>
      <c r="G20438">
        <v>230404</v>
      </c>
      <c r="H20438">
        <v>4362</v>
      </c>
      <c r="I20438" t="s">
        <v>79</v>
      </c>
      <c r="J20438">
        <v>3.32</v>
      </c>
      <c r="K20438">
        <v>0.64</v>
      </c>
      <c r="L20438">
        <v>13501</v>
      </c>
      <c r="M20438" t="s">
        <v>20</v>
      </c>
      <c r="N20438" t="str">
        <f t="shared" si="296"/>
        <v xml:space="preserve">12314024088 </v>
      </c>
      <c r="O20438">
        <v>230411</v>
      </c>
    </row>
    <row r="20439" spans="1:15" x14ac:dyDescent="0.25">
      <c r="A20439" t="s">
        <v>16</v>
      </c>
      <c r="B20439" t="s">
        <v>3221</v>
      </c>
      <c r="C20439">
        <v>4688</v>
      </c>
      <c r="D20439" t="s">
        <v>263</v>
      </c>
      <c r="E20439" t="s">
        <v>264</v>
      </c>
      <c r="F20439">
        <v>4.4400000000000004</v>
      </c>
      <c r="G20439">
        <v>230404</v>
      </c>
      <c r="H20439">
        <v>4362</v>
      </c>
      <c r="I20439" t="s">
        <v>79</v>
      </c>
      <c r="J20439">
        <v>5.51</v>
      </c>
      <c r="K20439">
        <v>1.07</v>
      </c>
      <c r="L20439">
        <v>18991</v>
      </c>
      <c r="M20439" t="s">
        <v>1106</v>
      </c>
      <c r="N20439" t="str">
        <f t="shared" si="296"/>
        <v xml:space="preserve">12314024088 </v>
      </c>
      <c r="O20439">
        <v>230411</v>
      </c>
    </row>
    <row r="20440" spans="1:15" x14ac:dyDescent="0.25">
      <c r="A20440" t="s">
        <v>16</v>
      </c>
      <c r="B20440" t="s">
        <v>3221</v>
      </c>
      <c r="C20440">
        <v>4713</v>
      </c>
      <c r="D20440" t="s">
        <v>263</v>
      </c>
      <c r="E20440" t="s">
        <v>264</v>
      </c>
      <c r="F20440">
        <v>20.83</v>
      </c>
      <c r="G20440">
        <v>230404</v>
      </c>
      <c r="H20440">
        <v>4362</v>
      </c>
      <c r="I20440" t="s">
        <v>79</v>
      </c>
      <c r="J20440">
        <v>25.83</v>
      </c>
      <c r="K20440">
        <v>5</v>
      </c>
      <c r="L20440">
        <v>11101</v>
      </c>
      <c r="M20440" t="s">
        <v>110</v>
      </c>
      <c r="N20440" t="str">
        <f>"12314024114 "</f>
        <v xml:space="preserve">12314024114 </v>
      </c>
      <c r="O20440">
        <v>230412</v>
      </c>
    </row>
    <row r="20441" spans="1:15" x14ac:dyDescent="0.25">
      <c r="A20441" t="s">
        <v>16</v>
      </c>
      <c r="B20441" t="s">
        <v>3221</v>
      </c>
      <c r="C20441">
        <v>4713</v>
      </c>
      <c r="D20441" t="s">
        <v>263</v>
      </c>
      <c r="E20441" t="s">
        <v>264</v>
      </c>
      <c r="F20441">
        <v>3.1</v>
      </c>
      <c r="G20441">
        <v>230404</v>
      </c>
      <c r="H20441">
        <v>4362</v>
      </c>
      <c r="I20441" t="s">
        <v>79</v>
      </c>
      <c r="J20441">
        <v>3.84</v>
      </c>
      <c r="K20441">
        <v>0.74</v>
      </c>
      <c r="L20441">
        <v>11201</v>
      </c>
      <c r="M20441" t="s">
        <v>305</v>
      </c>
      <c r="N20441" t="str">
        <f>"12314024114 "</f>
        <v xml:space="preserve">12314024114 </v>
      </c>
      <c r="O20441">
        <v>230412</v>
      </c>
    </row>
    <row r="20442" spans="1:15" x14ac:dyDescent="0.25">
      <c r="A20442" t="s">
        <v>16</v>
      </c>
      <c r="B20442" t="s">
        <v>3221</v>
      </c>
      <c r="C20442">
        <v>4714</v>
      </c>
      <c r="D20442" t="s">
        <v>263</v>
      </c>
      <c r="E20442" t="s">
        <v>264</v>
      </c>
      <c r="F20442">
        <v>5.25</v>
      </c>
      <c r="G20442">
        <v>230404</v>
      </c>
      <c r="H20442">
        <v>4362</v>
      </c>
      <c r="I20442" t="s">
        <v>79</v>
      </c>
      <c r="J20442">
        <v>6.51</v>
      </c>
      <c r="K20442">
        <v>1.26</v>
      </c>
      <c r="L20442">
        <v>16321</v>
      </c>
      <c r="M20442" t="s">
        <v>423</v>
      </c>
      <c r="N20442" t="str">
        <f t="shared" ref="N20442:N20451" si="297">"12314024104 "</f>
        <v xml:space="preserve">12314024104 </v>
      </c>
      <c r="O20442">
        <v>230412</v>
      </c>
    </row>
    <row r="20443" spans="1:15" x14ac:dyDescent="0.25">
      <c r="A20443" t="s">
        <v>16</v>
      </c>
      <c r="B20443" t="s">
        <v>3221</v>
      </c>
      <c r="C20443">
        <v>4714</v>
      </c>
      <c r="D20443" t="s">
        <v>263</v>
      </c>
      <c r="E20443" t="s">
        <v>264</v>
      </c>
      <c r="F20443">
        <v>8.1</v>
      </c>
      <c r="G20443">
        <v>230404</v>
      </c>
      <c r="H20443">
        <v>4362</v>
      </c>
      <c r="I20443" t="s">
        <v>79</v>
      </c>
      <c r="J20443">
        <v>10.039999999999999</v>
      </c>
      <c r="K20443">
        <v>1.94</v>
      </c>
      <c r="L20443">
        <v>16431</v>
      </c>
      <c r="M20443" t="s">
        <v>231</v>
      </c>
      <c r="N20443" t="str">
        <f t="shared" si="297"/>
        <v xml:space="preserve">12314024104 </v>
      </c>
      <c r="O20443">
        <v>230412</v>
      </c>
    </row>
    <row r="20444" spans="1:15" x14ac:dyDescent="0.25">
      <c r="A20444" t="s">
        <v>16</v>
      </c>
      <c r="B20444" t="s">
        <v>3221</v>
      </c>
      <c r="C20444">
        <v>4714</v>
      </c>
      <c r="D20444" t="s">
        <v>263</v>
      </c>
      <c r="E20444" t="s">
        <v>264</v>
      </c>
      <c r="F20444">
        <v>43.05</v>
      </c>
      <c r="G20444">
        <v>230404</v>
      </c>
      <c r="H20444">
        <v>4362</v>
      </c>
      <c r="I20444" t="s">
        <v>79</v>
      </c>
      <c r="J20444">
        <v>53.38</v>
      </c>
      <c r="K20444">
        <v>10.33</v>
      </c>
      <c r="L20444">
        <v>17802</v>
      </c>
      <c r="M20444" t="s">
        <v>174</v>
      </c>
      <c r="N20444" t="str">
        <f t="shared" si="297"/>
        <v xml:space="preserve">12314024104 </v>
      </c>
      <c r="O20444">
        <v>230412</v>
      </c>
    </row>
    <row r="20445" spans="1:15" x14ac:dyDescent="0.25">
      <c r="A20445" t="s">
        <v>16</v>
      </c>
      <c r="B20445" t="s">
        <v>3221</v>
      </c>
      <c r="C20445">
        <v>4714</v>
      </c>
      <c r="D20445" t="s">
        <v>263</v>
      </c>
      <c r="E20445" t="s">
        <v>264</v>
      </c>
      <c r="F20445">
        <v>9.9700000000000006</v>
      </c>
      <c r="G20445">
        <v>230404</v>
      </c>
      <c r="H20445">
        <v>4362</v>
      </c>
      <c r="I20445" t="s">
        <v>79</v>
      </c>
      <c r="J20445">
        <v>12.36</v>
      </c>
      <c r="K20445">
        <v>2.39</v>
      </c>
      <c r="L20445">
        <v>17803</v>
      </c>
      <c r="M20445" t="s">
        <v>389</v>
      </c>
      <c r="N20445" t="str">
        <f t="shared" si="297"/>
        <v xml:space="preserve">12314024104 </v>
      </c>
      <c r="O20445">
        <v>230412</v>
      </c>
    </row>
    <row r="20446" spans="1:15" x14ac:dyDescent="0.25">
      <c r="A20446" t="s">
        <v>16</v>
      </c>
      <c r="B20446" t="s">
        <v>3221</v>
      </c>
      <c r="C20446">
        <v>4714</v>
      </c>
      <c r="D20446" t="s">
        <v>263</v>
      </c>
      <c r="E20446" t="s">
        <v>264</v>
      </c>
      <c r="F20446">
        <v>4.4400000000000004</v>
      </c>
      <c r="G20446">
        <v>230404</v>
      </c>
      <c r="H20446">
        <v>4362</v>
      </c>
      <c r="I20446" t="s">
        <v>79</v>
      </c>
      <c r="J20446">
        <v>5.51</v>
      </c>
      <c r="K20446">
        <v>1.07</v>
      </c>
      <c r="L20446">
        <v>17804</v>
      </c>
      <c r="M20446" t="s">
        <v>549</v>
      </c>
      <c r="N20446" t="str">
        <f t="shared" si="297"/>
        <v xml:space="preserve">12314024104 </v>
      </c>
      <c r="O20446">
        <v>230412</v>
      </c>
    </row>
    <row r="20447" spans="1:15" x14ac:dyDescent="0.25">
      <c r="A20447" t="s">
        <v>16</v>
      </c>
      <c r="B20447" t="s">
        <v>3221</v>
      </c>
      <c r="C20447">
        <v>4714</v>
      </c>
      <c r="D20447" t="s">
        <v>263</v>
      </c>
      <c r="E20447" t="s">
        <v>264</v>
      </c>
      <c r="F20447">
        <v>2.7</v>
      </c>
      <c r="G20447">
        <v>230404</v>
      </c>
      <c r="H20447">
        <v>4362</v>
      </c>
      <c r="I20447" t="s">
        <v>79</v>
      </c>
      <c r="J20447">
        <v>3.35</v>
      </c>
      <c r="K20447">
        <v>0.65</v>
      </c>
      <c r="L20447">
        <v>17805</v>
      </c>
      <c r="M20447" t="s">
        <v>102</v>
      </c>
      <c r="N20447" t="str">
        <f t="shared" si="297"/>
        <v xml:space="preserve">12314024104 </v>
      </c>
      <c r="O20447">
        <v>230412</v>
      </c>
    </row>
    <row r="20448" spans="1:15" x14ac:dyDescent="0.25">
      <c r="A20448" t="s">
        <v>16</v>
      </c>
      <c r="B20448" t="s">
        <v>3221</v>
      </c>
      <c r="C20448">
        <v>4714</v>
      </c>
      <c r="D20448" t="s">
        <v>263</v>
      </c>
      <c r="E20448" t="s">
        <v>264</v>
      </c>
      <c r="F20448">
        <v>5.66</v>
      </c>
      <c r="G20448">
        <v>230404</v>
      </c>
      <c r="H20448">
        <v>4362</v>
      </c>
      <c r="I20448" t="s">
        <v>79</v>
      </c>
      <c r="J20448">
        <v>7.02</v>
      </c>
      <c r="K20448">
        <v>1.36</v>
      </c>
      <c r="L20448">
        <v>17806</v>
      </c>
      <c r="M20448" t="s">
        <v>265</v>
      </c>
      <c r="N20448" t="str">
        <f t="shared" si="297"/>
        <v xml:space="preserve">12314024104 </v>
      </c>
      <c r="O20448">
        <v>230412</v>
      </c>
    </row>
    <row r="20449" spans="1:15" x14ac:dyDescent="0.25">
      <c r="A20449" t="s">
        <v>16</v>
      </c>
      <c r="B20449" t="s">
        <v>3221</v>
      </c>
      <c r="C20449">
        <v>4714</v>
      </c>
      <c r="D20449" t="s">
        <v>263</v>
      </c>
      <c r="E20449" t="s">
        <v>264</v>
      </c>
      <c r="F20449">
        <v>16.05</v>
      </c>
      <c r="G20449">
        <v>230404</v>
      </c>
      <c r="H20449">
        <v>4362</v>
      </c>
      <c r="I20449" t="s">
        <v>79</v>
      </c>
      <c r="J20449">
        <v>19.899999999999999</v>
      </c>
      <c r="K20449">
        <v>3.85</v>
      </c>
      <c r="L20449">
        <v>17807</v>
      </c>
      <c r="M20449" t="s">
        <v>318</v>
      </c>
      <c r="N20449" t="str">
        <f t="shared" si="297"/>
        <v xml:space="preserve">12314024104 </v>
      </c>
      <c r="O20449">
        <v>230412</v>
      </c>
    </row>
    <row r="20450" spans="1:15" x14ac:dyDescent="0.25">
      <c r="A20450" t="s">
        <v>16</v>
      </c>
      <c r="B20450" t="s">
        <v>3221</v>
      </c>
      <c r="C20450">
        <v>4714</v>
      </c>
      <c r="D20450" t="s">
        <v>263</v>
      </c>
      <c r="E20450" t="s">
        <v>264</v>
      </c>
      <c r="F20450">
        <v>8.1</v>
      </c>
      <c r="G20450">
        <v>230404</v>
      </c>
      <c r="H20450">
        <v>4362</v>
      </c>
      <c r="I20450" t="s">
        <v>79</v>
      </c>
      <c r="J20450">
        <v>10.039999999999999</v>
      </c>
      <c r="K20450">
        <v>1.94</v>
      </c>
      <c r="L20450">
        <v>17808</v>
      </c>
      <c r="M20450" t="s">
        <v>322</v>
      </c>
      <c r="N20450" t="str">
        <f t="shared" si="297"/>
        <v xml:space="preserve">12314024104 </v>
      </c>
      <c r="O20450">
        <v>230412</v>
      </c>
    </row>
    <row r="20451" spans="1:15" x14ac:dyDescent="0.25">
      <c r="A20451" t="s">
        <v>16</v>
      </c>
      <c r="B20451" t="s">
        <v>3221</v>
      </c>
      <c r="C20451">
        <v>4714</v>
      </c>
      <c r="D20451" t="s">
        <v>263</v>
      </c>
      <c r="E20451" t="s">
        <v>264</v>
      </c>
      <c r="F20451">
        <v>10.01</v>
      </c>
      <c r="G20451">
        <v>230404</v>
      </c>
      <c r="H20451">
        <v>4362</v>
      </c>
      <c r="I20451" t="s">
        <v>79</v>
      </c>
      <c r="J20451">
        <v>12.41</v>
      </c>
      <c r="K20451">
        <v>2.4</v>
      </c>
      <c r="L20451">
        <v>17809</v>
      </c>
      <c r="M20451" t="s">
        <v>376</v>
      </c>
      <c r="N20451" t="str">
        <f t="shared" si="297"/>
        <v xml:space="preserve">12314024104 </v>
      </c>
      <c r="O20451">
        <v>230412</v>
      </c>
    </row>
    <row r="20452" spans="1:15" x14ac:dyDescent="0.25">
      <c r="A20452" t="s">
        <v>16</v>
      </c>
      <c r="B20452" t="s">
        <v>3221</v>
      </c>
      <c r="C20452">
        <v>4715</v>
      </c>
      <c r="D20452" t="s">
        <v>263</v>
      </c>
      <c r="E20452" t="s">
        <v>264</v>
      </c>
      <c r="F20452">
        <v>76.040000000000006</v>
      </c>
      <c r="G20452">
        <v>230404</v>
      </c>
      <c r="H20452">
        <v>4362</v>
      </c>
      <c r="I20452" t="s">
        <v>79</v>
      </c>
      <c r="J20452">
        <v>94.29</v>
      </c>
      <c r="K20452">
        <v>18.25</v>
      </c>
      <c r="L20452">
        <v>61122</v>
      </c>
      <c r="M20452" t="s">
        <v>402</v>
      </c>
      <c r="N20452" t="str">
        <f t="shared" ref="N20452:N20479" si="298">"12314024086 "</f>
        <v xml:space="preserve">12314024086 </v>
      </c>
      <c r="O20452">
        <v>230412</v>
      </c>
    </row>
    <row r="20453" spans="1:15" x14ac:dyDescent="0.25">
      <c r="A20453" t="s">
        <v>16</v>
      </c>
      <c r="B20453" t="s">
        <v>3221</v>
      </c>
      <c r="C20453">
        <v>4715</v>
      </c>
      <c r="D20453" t="s">
        <v>263</v>
      </c>
      <c r="E20453" t="s">
        <v>264</v>
      </c>
      <c r="F20453">
        <v>2.7</v>
      </c>
      <c r="G20453">
        <v>230404</v>
      </c>
      <c r="H20453">
        <v>4362</v>
      </c>
      <c r="I20453" t="s">
        <v>79</v>
      </c>
      <c r="J20453">
        <v>3.35</v>
      </c>
      <c r="K20453">
        <v>0.65</v>
      </c>
      <c r="L20453">
        <v>61122</v>
      </c>
      <c r="M20453" t="s">
        <v>402</v>
      </c>
      <c r="N20453" t="str">
        <f t="shared" si="298"/>
        <v xml:space="preserve">12314024086 </v>
      </c>
      <c r="O20453">
        <v>230412</v>
      </c>
    </row>
    <row r="20454" spans="1:15" x14ac:dyDescent="0.25">
      <c r="A20454" t="s">
        <v>16</v>
      </c>
      <c r="B20454" t="s">
        <v>3221</v>
      </c>
      <c r="C20454">
        <v>4715</v>
      </c>
      <c r="D20454" t="s">
        <v>263</v>
      </c>
      <c r="E20454" t="s">
        <v>264</v>
      </c>
      <c r="F20454">
        <v>15.42</v>
      </c>
      <c r="G20454">
        <v>230404</v>
      </c>
      <c r="H20454">
        <v>4362</v>
      </c>
      <c r="I20454" t="s">
        <v>79</v>
      </c>
      <c r="J20454">
        <v>19.12</v>
      </c>
      <c r="K20454">
        <v>3.7</v>
      </c>
      <c r="L20454">
        <v>65222</v>
      </c>
      <c r="M20454" t="s">
        <v>487</v>
      </c>
      <c r="N20454" t="str">
        <f t="shared" si="298"/>
        <v xml:space="preserve">12314024086 </v>
      </c>
      <c r="O20454">
        <v>230412</v>
      </c>
    </row>
    <row r="20455" spans="1:15" x14ac:dyDescent="0.25">
      <c r="A20455" t="s">
        <v>16</v>
      </c>
      <c r="B20455" t="s">
        <v>3221</v>
      </c>
      <c r="C20455">
        <v>4715</v>
      </c>
      <c r="D20455" t="s">
        <v>263</v>
      </c>
      <c r="E20455" t="s">
        <v>264</v>
      </c>
      <c r="F20455">
        <v>2.7</v>
      </c>
      <c r="G20455">
        <v>230404</v>
      </c>
      <c r="H20455">
        <v>4362</v>
      </c>
      <c r="I20455" t="s">
        <v>79</v>
      </c>
      <c r="J20455">
        <v>3.35</v>
      </c>
      <c r="K20455">
        <v>0.65</v>
      </c>
      <c r="L20455">
        <v>65422</v>
      </c>
      <c r="M20455" t="s">
        <v>602</v>
      </c>
      <c r="N20455" t="str">
        <f t="shared" si="298"/>
        <v xml:space="preserve">12314024086 </v>
      </c>
      <c r="O20455">
        <v>230412</v>
      </c>
    </row>
    <row r="20456" spans="1:15" x14ac:dyDescent="0.25">
      <c r="A20456" t="s">
        <v>16</v>
      </c>
      <c r="B20456" t="s">
        <v>3221</v>
      </c>
      <c r="C20456">
        <v>4715</v>
      </c>
      <c r="D20456" t="s">
        <v>263</v>
      </c>
      <c r="E20456" t="s">
        <v>264</v>
      </c>
      <c r="F20456">
        <v>8.9700000000000006</v>
      </c>
      <c r="G20456">
        <v>230404</v>
      </c>
      <c r="H20456">
        <v>4362</v>
      </c>
      <c r="I20456" t="s">
        <v>79</v>
      </c>
      <c r="J20456">
        <v>11.12</v>
      </c>
      <c r="K20456">
        <v>2.15</v>
      </c>
      <c r="L20456">
        <v>66722</v>
      </c>
      <c r="M20456" t="s">
        <v>518</v>
      </c>
      <c r="N20456" t="str">
        <f t="shared" si="298"/>
        <v xml:space="preserve">12314024086 </v>
      </c>
      <c r="O20456">
        <v>230412</v>
      </c>
    </row>
    <row r="20457" spans="1:15" x14ac:dyDescent="0.25">
      <c r="A20457" t="s">
        <v>16</v>
      </c>
      <c r="B20457" t="s">
        <v>3221</v>
      </c>
      <c r="C20457">
        <v>4715</v>
      </c>
      <c r="D20457" t="s">
        <v>263</v>
      </c>
      <c r="E20457" t="s">
        <v>264</v>
      </c>
      <c r="F20457">
        <v>2.09</v>
      </c>
      <c r="G20457">
        <v>230404</v>
      </c>
      <c r="H20457">
        <v>4362</v>
      </c>
      <c r="I20457" t="s">
        <v>79</v>
      </c>
      <c r="J20457">
        <v>2.59</v>
      </c>
      <c r="K20457">
        <v>0.5</v>
      </c>
      <c r="L20457">
        <v>66754</v>
      </c>
      <c r="M20457" t="s">
        <v>239</v>
      </c>
      <c r="N20457" t="str">
        <f t="shared" si="298"/>
        <v xml:space="preserve">12314024086 </v>
      </c>
      <c r="O20457">
        <v>230412</v>
      </c>
    </row>
    <row r="20458" spans="1:15" x14ac:dyDescent="0.25">
      <c r="A20458" t="s">
        <v>16</v>
      </c>
      <c r="B20458" t="s">
        <v>3221</v>
      </c>
      <c r="C20458">
        <v>4715</v>
      </c>
      <c r="D20458" t="s">
        <v>263</v>
      </c>
      <c r="E20458" t="s">
        <v>264</v>
      </c>
      <c r="F20458">
        <v>2.7</v>
      </c>
      <c r="G20458">
        <v>230404</v>
      </c>
      <c r="H20458">
        <v>4362</v>
      </c>
      <c r="I20458" t="s">
        <v>79</v>
      </c>
      <c r="J20458">
        <v>3.35</v>
      </c>
      <c r="K20458">
        <v>0.65</v>
      </c>
      <c r="L20458">
        <v>66754</v>
      </c>
      <c r="M20458" t="s">
        <v>239</v>
      </c>
      <c r="N20458" t="str">
        <f t="shared" si="298"/>
        <v xml:space="preserve">12314024086 </v>
      </c>
      <c r="O20458">
        <v>230412</v>
      </c>
    </row>
    <row r="20459" spans="1:15" x14ac:dyDescent="0.25">
      <c r="A20459" t="s">
        <v>16</v>
      </c>
      <c r="B20459" t="s">
        <v>3221</v>
      </c>
      <c r="C20459">
        <v>4715</v>
      </c>
      <c r="D20459" t="s">
        <v>263</v>
      </c>
      <c r="E20459" t="s">
        <v>264</v>
      </c>
      <c r="F20459">
        <v>2.7</v>
      </c>
      <c r="G20459">
        <v>230404</v>
      </c>
      <c r="H20459">
        <v>4362</v>
      </c>
      <c r="I20459" t="s">
        <v>79</v>
      </c>
      <c r="J20459">
        <v>3.35</v>
      </c>
      <c r="K20459">
        <v>0.65</v>
      </c>
      <c r="L20459">
        <v>66754</v>
      </c>
      <c r="M20459" t="s">
        <v>239</v>
      </c>
      <c r="N20459" t="str">
        <f t="shared" si="298"/>
        <v xml:space="preserve">12314024086 </v>
      </c>
      <c r="O20459">
        <v>230412</v>
      </c>
    </row>
    <row r="20460" spans="1:15" x14ac:dyDescent="0.25">
      <c r="A20460" t="s">
        <v>16</v>
      </c>
      <c r="B20460" t="s">
        <v>3221</v>
      </c>
      <c r="C20460">
        <v>4715</v>
      </c>
      <c r="D20460" t="s">
        <v>263</v>
      </c>
      <c r="E20460" t="s">
        <v>264</v>
      </c>
      <c r="F20460">
        <v>10.8</v>
      </c>
      <c r="G20460">
        <v>230404</v>
      </c>
      <c r="H20460">
        <v>4362</v>
      </c>
      <c r="I20460" t="s">
        <v>79</v>
      </c>
      <c r="J20460">
        <v>13.39</v>
      </c>
      <c r="K20460">
        <v>2.59</v>
      </c>
      <c r="L20460">
        <v>66754</v>
      </c>
      <c r="M20460" t="s">
        <v>239</v>
      </c>
      <c r="N20460" t="str">
        <f t="shared" si="298"/>
        <v xml:space="preserve">12314024086 </v>
      </c>
      <c r="O20460">
        <v>230412</v>
      </c>
    </row>
    <row r="20461" spans="1:15" x14ac:dyDescent="0.25">
      <c r="A20461" t="s">
        <v>16</v>
      </c>
      <c r="B20461" t="s">
        <v>3221</v>
      </c>
      <c r="C20461">
        <v>4715</v>
      </c>
      <c r="D20461" t="s">
        <v>263</v>
      </c>
      <c r="E20461" t="s">
        <v>264</v>
      </c>
      <c r="F20461">
        <v>5.25</v>
      </c>
      <c r="G20461">
        <v>230404</v>
      </c>
      <c r="H20461">
        <v>4362</v>
      </c>
      <c r="I20461" t="s">
        <v>79</v>
      </c>
      <c r="J20461">
        <v>6.51</v>
      </c>
      <c r="K20461">
        <v>1.26</v>
      </c>
      <c r="L20461">
        <v>66754</v>
      </c>
      <c r="M20461" t="s">
        <v>239</v>
      </c>
      <c r="N20461" t="str">
        <f t="shared" si="298"/>
        <v xml:space="preserve">12314024086 </v>
      </c>
      <c r="O20461">
        <v>230412</v>
      </c>
    </row>
    <row r="20462" spans="1:15" x14ac:dyDescent="0.25">
      <c r="A20462" t="s">
        <v>16</v>
      </c>
      <c r="B20462" t="s">
        <v>3221</v>
      </c>
      <c r="C20462">
        <v>4715</v>
      </c>
      <c r="D20462" t="s">
        <v>263</v>
      </c>
      <c r="E20462" t="s">
        <v>264</v>
      </c>
      <c r="F20462">
        <v>8.39</v>
      </c>
      <c r="G20462">
        <v>230404</v>
      </c>
      <c r="H20462">
        <v>4362</v>
      </c>
      <c r="I20462" t="s">
        <v>79</v>
      </c>
      <c r="J20462">
        <v>10.4</v>
      </c>
      <c r="K20462">
        <v>2.0099999999999998</v>
      </c>
      <c r="L20462">
        <v>66756</v>
      </c>
      <c r="M20462" t="s">
        <v>209</v>
      </c>
      <c r="N20462" t="str">
        <f t="shared" si="298"/>
        <v xml:space="preserve">12314024086 </v>
      </c>
      <c r="O20462">
        <v>230412</v>
      </c>
    </row>
    <row r="20463" spans="1:15" x14ac:dyDescent="0.25">
      <c r="A20463" t="s">
        <v>16</v>
      </c>
      <c r="B20463" t="s">
        <v>3221</v>
      </c>
      <c r="C20463">
        <v>4715</v>
      </c>
      <c r="D20463" t="s">
        <v>263</v>
      </c>
      <c r="E20463" t="s">
        <v>264</v>
      </c>
      <c r="F20463">
        <v>24.74</v>
      </c>
      <c r="G20463">
        <v>230404</v>
      </c>
      <c r="H20463">
        <v>4362</v>
      </c>
      <c r="I20463" t="s">
        <v>79</v>
      </c>
      <c r="J20463">
        <v>30.68</v>
      </c>
      <c r="K20463">
        <v>5.94</v>
      </c>
      <c r="L20463">
        <v>67522</v>
      </c>
      <c r="M20463" t="s">
        <v>397</v>
      </c>
      <c r="N20463" t="str">
        <f t="shared" si="298"/>
        <v xml:space="preserve">12314024086 </v>
      </c>
      <c r="O20463">
        <v>230412</v>
      </c>
    </row>
    <row r="20464" spans="1:15" x14ac:dyDescent="0.25">
      <c r="A20464" t="s">
        <v>16</v>
      </c>
      <c r="B20464" t="s">
        <v>3221</v>
      </c>
      <c r="C20464">
        <v>4715</v>
      </c>
      <c r="D20464" t="s">
        <v>263</v>
      </c>
      <c r="E20464" t="s">
        <v>264</v>
      </c>
      <c r="F20464">
        <v>10.8</v>
      </c>
      <c r="G20464">
        <v>230404</v>
      </c>
      <c r="H20464">
        <v>4362</v>
      </c>
      <c r="I20464" t="s">
        <v>79</v>
      </c>
      <c r="J20464">
        <v>13.39</v>
      </c>
      <c r="K20464">
        <v>2.59</v>
      </c>
      <c r="L20464">
        <v>67522</v>
      </c>
      <c r="M20464" t="s">
        <v>397</v>
      </c>
      <c r="N20464" t="str">
        <f t="shared" si="298"/>
        <v xml:space="preserve">12314024086 </v>
      </c>
      <c r="O20464">
        <v>230412</v>
      </c>
    </row>
    <row r="20465" spans="1:15" x14ac:dyDescent="0.25">
      <c r="A20465" t="s">
        <v>16</v>
      </c>
      <c r="B20465" t="s">
        <v>3221</v>
      </c>
      <c r="C20465">
        <v>4715</v>
      </c>
      <c r="D20465" t="s">
        <v>263</v>
      </c>
      <c r="E20465" t="s">
        <v>264</v>
      </c>
      <c r="F20465">
        <v>2.09</v>
      </c>
      <c r="G20465">
        <v>230404</v>
      </c>
      <c r="H20465">
        <v>4362</v>
      </c>
      <c r="I20465" t="s">
        <v>79</v>
      </c>
      <c r="J20465">
        <v>2.59</v>
      </c>
      <c r="K20465">
        <v>0.5</v>
      </c>
      <c r="L20465">
        <v>67554</v>
      </c>
      <c r="M20465" t="s">
        <v>60</v>
      </c>
      <c r="N20465" t="str">
        <f t="shared" si="298"/>
        <v xml:space="preserve">12314024086 </v>
      </c>
      <c r="O20465">
        <v>230412</v>
      </c>
    </row>
    <row r="20466" spans="1:15" x14ac:dyDescent="0.25">
      <c r="A20466" t="s">
        <v>16</v>
      </c>
      <c r="B20466" t="s">
        <v>3221</v>
      </c>
      <c r="C20466">
        <v>4715</v>
      </c>
      <c r="D20466" t="s">
        <v>263</v>
      </c>
      <c r="E20466" t="s">
        <v>264</v>
      </c>
      <c r="F20466">
        <v>2.7</v>
      </c>
      <c r="G20466">
        <v>230404</v>
      </c>
      <c r="H20466">
        <v>4362</v>
      </c>
      <c r="I20466" t="s">
        <v>79</v>
      </c>
      <c r="J20466">
        <v>3.35</v>
      </c>
      <c r="K20466">
        <v>0.65</v>
      </c>
      <c r="L20466">
        <v>67554</v>
      </c>
      <c r="M20466" t="s">
        <v>60</v>
      </c>
      <c r="N20466" t="str">
        <f t="shared" si="298"/>
        <v xml:space="preserve">12314024086 </v>
      </c>
      <c r="O20466">
        <v>230412</v>
      </c>
    </row>
    <row r="20467" spans="1:15" x14ac:dyDescent="0.25">
      <c r="A20467" t="s">
        <v>16</v>
      </c>
      <c r="B20467" t="s">
        <v>3221</v>
      </c>
      <c r="C20467">
        <v>4715</v>
      </c>
      <c r="D20467" t="s">
        <v>263</v>
      </c>
      <c r="E20467" t="s">
        <v>264</v>
      </c>
      <c r="F20467">
        <v>43.57</v>
      </c>
      <c r="G20467">
        <v>230404</v>
      </c>
      <c r="H20467">
        <v>4362</v>
      </c>
      <c r="I20467" t="s">
        <v>79</v>
      </c>
      <c r="J20467">
        <v>54.03</v>
      </c>
      <c r="K20467">
        <v>10.46</v>
      </c>
      <c r="L20467">
        <v>67554</v>
      </c>
      <c r="M20467" t="s">
        <v>60</v>
      </c>
      <c r="N20467" t="str">
        <f t="shared" si="298"/>
        <v xml:space="preserve">12314024086 </v>
      </c>
      <c r="O20467">
        <v>230412</v>
      </c>
    </row>
    <row r="20468" spans="1:15" x14ac:dyDescent="0.25">
      <c r="A20468" t="s">
        <v>16</v>
      </c>
      <c r="B20468" t="s">
        <v>3221</v>
      </c>
      <c r="C20468">
        <v>4715</v>
      </c>
      <c r="D20468" t="s">
        <v>263</v>
      </c>
      <c r="E20468" t="s">
        <v>264</v>
      </c>
      <c r="F20468">
        <v>7.99</v>
      </c>
      <c r="G20468">
        <v>230404</v>
      </c>
      <c r="H20468">
        <v>4362</v>
      </c>
      <c r="I20468" t="s">
        <v>79</v>
      </c>
      <c r="J20468">
        <v>9.91</v>
      </c>
      <c r="K20468">
        <v>1.92</v>
      </c>
      <c r="L20468">
        <v>67554</v>
      </c>
      <c r="M20468" t="s">
        <v>60</v>
      </c>
      <c r="N20468" t="str">
        <f t="shared" si="298"/>
        <v xml:space="preserve">12314024086 </v>
      </c>
      <c r="O20468">
        <v>230412</v>
      </c>
    </row>
    <row r="20469" spans="1:15" x14ac:dyDescent="0.25">
      <c r="A20469" t="s">
        <v>16</v>
      </c>
      <c r="B20469" t="s">
        <v>3221</v>
      </c>
      <c r="C20469">
        <v>4715</v>
      </c>
      <c r="D20469" t="s">
        <v>263</v>
      </c>
      <c r="E20469" t="s">
        <v>264</v>
      </c>
      <c r="F20469">
        <v>5.4</v>
      </c>
      <c r="G20469">
        <v>230404</v>
      </c>
      <c r="H20469">
        <v>4362</v>
      </c>
      <c r="I20469" t="s">
        <v>79</v>
      </c>
      <c r="J20469">
        <v>6.7</v>
      </c>
      <c r="K20469">
        <v>1.3</v>
      </c>
      <c r="L20469">
        <v>69111</v>
      </c>
      <c r="M20469" t="s">
        <v>471</v>
      </c>
      <c r="N20469" t="str">
        <f t="shared" si="298"/>
        <v xml:space="preserve">12314024086 </v>
      </c>
      <c r="O20469">
        <v>230412</v>
      </c>
    </row>
    <row r="20470" spans="1:15" x14ac:dyDescent="0.25">
      <c r="A20470" t="s">
        <v>16</v>
      </c>
      <c r="B20470" t="s">
        <v>3221</v>
      </c>
      <c r="C20470">
        <v>4715</v>
      </c>
      <c r="D20470" t="s">
        <v>263</v>
      </c>
      <c r="E20470" t="s">
        <v>264</v>
      </c>
      <c r="F20470">
        <v>3.64</v>
      </c>
      <c r="G20470">
        <v>230404</v>
      </c>
      <c r="H20470">
        <v>4362</v>
      </c>
      <c r="I20470" t="s">
        <v>79</v>
      </c>
      <c r="J20470">
        <v>4.51</v>
      </c>
      <c r="K20470">
        <v>0.87</v>
      </c>
      <c r="L20470">
        <v>69112</v>
      </c>
      <c r="M20470" t="s">
        <v>313</v>
      </c>
      <c r="N20470" t="str">
        <f t="shared" si="298"/>
        <v xml:space="preserve">12314024086 </v>
      </c>
      <c r="O20470">
        <v>230412</v>
      </c>
    </row>
    <row r="20471" spans="1:15" x14ac:dyDescent="0.25">
      <c r="A20471" t="s">
        <v>16</v>
      </c>
      <c r="B20471" t="s">
        <v>3221</v>
      </c>
      <c r="C20471">
        <v>4715</v>
      </c>
      <c r="D20471" t="s">
        <v>263</v>
      </c>
      <c r="E20471" t="s">
        <v>264</v>
      </c>
      <c r="F20471">
        <v>9.99</v>
      </c>
      <c r="G20471">
        <v>230404</v>
      </c>
      <c r="H20471">
        <v>4362</v>
      </c>
      <c r="I20471" t="s">
        <v>79</v>
      </c>
      <c r="J20471">
        <v>12.39</v>
      </c>
      <c r="K20471">
        <v>2.4</v>
      </c>
      <c r="L20471">
        <v>69113</v>
      </c>
      <c r="M20471" t="s">
        <v>282</v>
      </c>
      <c r="N20471" t="str">
        <f t="shared" si="298"/>
        <v xml:space="preserve">12314024086 </v>
      </c>
      <c r="O20471">
        <v>230412</v>
      </c>
    </row>
    <row r="20472" spans="1:15" x14ac:dyDescent="0.25">
      <c r="A20472" t="s">
        <v>16</v>
      </c>
      <c r="B20472" t="s">
        <v>3221</v>
      </c>
      <c r="C20472">
        <v>4715</v>
      </c>
      <c r="D20472" t="s">
        <v>263</v>
      </c>
      <c r="E20472" t="s">
        <v>264</v>
      </c>
      <c r="F20472">
        <v>26.87</v>
      </c>
      <c r="G20472">
        <v>230404</v>
      </c>
      <c r="H20472">
        <v>4362</v>
      </c>
      <c r="I20472" t="s">
        <v>79</v>
      </c>
      <c r="J20472">
        <v>33.32</v>
      </c>
      <c r="K20472">
        <v>6.45</v>
      </c>
      <c r="L20472">
        <v>69501</v>
      </c>
      <c r="M20472" t="s">
        <v>185</v>
      </c>
      <c r="N20472" t="str">
        <f t="shared" si="298"/>
        <v xml:space="preserve">12314024086 </v>
      </c>
      <c r="O20472">
        <v>230412</v>
      </c>
    </row>
    <row r="20473" spans="1:15" x14ac:dyDescent="0.25">
      <c r="A20473" t="s">
        <v>16</v>
      </c>
      <c r="B20473" t="s">
        <v>3221</v>
      </c>
      <c r="C20473">
        <v>4715</v>
      </c>
      <c r="D20473" t="s">
        <v>263</v>
      </c>
      <c r="E20473" t="s">
        <v>264</v>
      </c>
      <c r="F20473">
        <v>4.2300000000000004</v>
      </c>
      <c r="G20473">
        <v>230404</v>
      </c>
      <c r="H20473">
        <v>4362</v>
      </c>
      <c r="I20473" t="s">
        <v>79</v>
      </c>
      <c r="J20473">
        <v>5.25</v>
      </c>
      <c r="K20473">
        <v>1.02</v>
      </c>
      <c r="L20473">
        <v>69701</v>
      </c>
      <c r="M20473" t="s">
        <v>488</v>
      </c>
      <c r="N20473" t="str">
        <f t="shared" si="298"/>
        <v xml:space="preserve">12314024086 </v>
      </c>
      <c r="O20473">
        <v>230412</v>
      </c>
    </row>
    <row r="20474" spans="1:15" x14ac:dyDescent="0.25">
      <c r="A20474" t="s">
        <v>16</v>
      </c>
      <c r="B20474" t="s">
        <v>3221</v>
      </c>
      <c r="C20474">
        <v>4715</v>
      </c>
      <c r="D20474" t="s">
        <v>263</v>
      </c>
      <c r="E20474" t="s">
        <v>264</v>
      </c>
      <c r="F20474">
        <v>2.7</v>
      </c>
      <c r="G20474">
        <v>230404</v>
      </c>
      <c r="H20474">
        <v>4362</v>
      </c>
      <c r="I20474" t="s">
        <v>79</v>
      </c>
      <c r="J20474">
        <v>3.35</v>
      </c>
      <c r="K20474">
        <v>0.65</v>
      </c>
      <c r="L20474">
        <v>69702</v>
      </c>
      <c r="M20474" t="s">
        <v>489</v>
      </c>
      <c r="N20474" t="str">
        <f t="shared" si="298"/>
        <v xml:space="preserve">12314024086 </v>
      </c>
      <c r="O20474">
        <v>230412</v>
      </c>
    </row>
    <row r="20475" spans="1:15" x14ac:dyDescent="0.25">
      <c r="A20475" t="s">
        <v>16</v>
      </c>
      <c r="B20475" t="s">
        <v>3221</v>
      </c>
      <c r="C20475">
        <v>4715</v>
      </c>
      <c r="D20475" t="s">
        <v>263</v>
      </c>
      <c r="E20475" t="s">
        <v>264</v>
      </c>
      <c r="F20475">
        <v>5.25</v>
      </c>
      <c r="G20475">
        <v>230404</v>
      </c>
      <c r="H20475">
        <v>4362</v>
      </c>
      <c r="I20475" t="s">
        <v>79</v>
      </c>
      <c r="J20475">
        <v>6.51</v>
      </c>
      <c r="K20475">
        <v>1.26</v>
      </c>
      <c r="L20475">
        <v>69702</v>
      </c>
      <c r="M20475" t="s">
        <v>489</v>
      </c>
      <c r="N20475" t="str">
        <f t="shared" si="298"/>
        <v xml:space="preserve">12314024086 </v>
      </c>
      <c r="O20475">
        <v>230412</v>
      </c>
    </row>
    <row r="20476" spans="1:15" x14ac:dyDescent="0.25">
      <c r="A20476" t="s">
        <v>16</v>
      </c>
      <c r="B20476" t="s">
        <v>3221</v>
      </c>
      <c r="C20476">
        <v>4715</v>
      </c>
      <c r="D20476" t="s">
        <v>263</v>
      </c>
      <c r="E20476" t="s">
        <v>264</v>
      </c>
      <c r="F20476">
        <v>4.2300000000000004</v>
      </c>
      <c r="G20476">
        <v>230404</v>
      </c>
      <c r="H20476">
        <v>4362</v>
      </c>
      <c r="I20476" t="s">
        <v>79</v>
      </c>
      <c r="J20476">
        <v>5.25</v>
      </c>
      <c r="K20476">
        <v>1.02</v>
      </c>
      <c r="L20476">
        <v>69703</v>
      </c>
      <c r="M20476" t="s">
        <v>1036</v>
      </c>
      <c r="N20476" t="str">
        <f t="shared" si="298"/>
        <v xml:space="preserve">12314024086 </v>
      </c>
      <c r="O20476">
        <v>230412</v>
      </c>
    </row>
    <row r="20477" spans="1:15" x14ac:dyDescent="0.25">
      <c r="A20477" t="s">
        <v>16</v>
      </c>
      <c r="B20477" t="s">
        <v>3221</v>
      </c>
      <c r="C20477">
        <v>4715</v>
      </c>
      <c r="D20477" t="s">
        <v>263</v>
      </c>
      <c r="E20477" t="s">
        <v>264</v>
      </c>
      <c r="F20477">
        <v>5.25</v>
      </c>
      <c r="G20477">
        <v>230404</v>
      </c>
      <c r="H20477">
        <v>4362</v>
      </c>
      <c r="I20477" t="s">
        <v>79</v>
      </c>
      <c r="J20477">
        <v>6.51</v>
      </c>
      <c r="K20477">
        <v>1.26</v>
      </c>
      <c r="L20477">
        <v>69704</v>
      </c>
      <c r="M20477" t="s">
        <v>325</v>
      </c>
      <c r="N20477" t="str">
        <f t="shared" si="298"/>
        <v xml:space="preserve">12314024086 </v>
      </c>
      <c r="O20477">
        <v>230412</v>
      </c>
    </row>
    <row r="20478" spans="1:15" x14ac:dyDescent="0.25">
      <c r="A20478" t="s">
        <v>16</v>
      </c>
      <c r="B20478" t="s">
        <v>3221</v>
      </c>
      <c r="C20478">
        <v>4715</v>
      </c>
      <c r="D20478" t="s">
        <v>263</v>
      </c>
      <c r="E20478" t="s">
        <v>264</v>
      </c>
      <c r="F20478">
        <v>5.4</v>
      </c>
      <c r="G20478">
        <v>230404</v>
      </c>
      <c r="H20478">
        <v>4362</v>
      </c>
      <c r="I20478" t="s">
        <v>79</v>
      </c>
      <c r="J20478">
        <v>6.7</v>
      </c>
      <c r="K20478">
        <v>1.3</v>
      </c>
      <c r="L20478">
        <v>69707</v>
      </c>
      <c r="M20478" t="s">
        <v>490</v>
      </c>
      <c r="N20478" t="str">
        <f t="shared" si="298"/>
        <v xml:space="preserve">12314024086 </v>
      </c>
      <c r="O20478">
        <v>230412</v>
      </c>
    </row>
    <row r="20479" spans="1:15" x14ac:dyDescent="0.25">
      <c r="A20479" t="s">
        <v>16</v>
      </c>
      <c r="B20479" t="s">
        <v>3221</v>
      </c>
      <c r="C20479">
        <v>4715</v>
      </c>
      <c r="D20479" t="s">
        <v>263</v>
      </c>
      <c r="E20479" t="s">
        <v>264</v>
      </c>
      <c r="F20479">
        <v>10.8</v>
      </c>
      <c r="G20479">
        <v>230404</v>
      </c>
      <c r="H20479">
        <v>4362</v>
      </c>
      <c r="I20479" t="s">
        <v>79</v>
      </c>
      <c r="J20479">
        <v>13.39</v>
      </c>
      <c r="K20479">
        <v>2.59</v>
      </c>
      <c r="L20479">
        <v>69708</v>
      </c>
      <c r="M20479" t="s">
        <v>491</v>
      </c>
      <c r="N20479" t="str">
        <f t="shared" si="298"/>
        <v xml:space="preserve">12314024086 </v>
      </c>
      <c r="O20479">
        <v>230412</v>
      </c>
    </row>
    <row r="20480" spans="1:15" x14ac:dyDescent="0.25">
      <c r="A20480" t="s">
        <v>16</v>
      </c>
      <c r="B20480" t="s">
        <v>3221</v>
      </c>
      <c r="C20480">
        <v>4716</v>
      </c>
      <c r="D20480" t="s">
        <v>263</v>
      </c>
      <c r="E20480" t="s">
        <v>264</v>
      </c>
      <c r="F20480">
        <v>2.5499999999999998</v>
      </c>
      <c r="G20480">
        <v>230404</v>
      </c>
      <c r="H20480">
        <v>4362</v>
      </c>
      <c r="I20480" t="s">
        <v>79</v>
      </c>
      <c r="J20480">
        <v>3.16</v>
      </c>
      <c r="K20480">
        <v>0.61</v>
      </c>
      <c r="L20480">
        <v>10002</v>
      </c>
      <c r="M20480" t="s">
        <v>1066</v>
      </c>
      <c r="N20480" t="str">
        <f t="shared" ref="N20480:N20493" si="299">"12314024080 "</f>
        <v xml:space="preserve">12314024080 </v>
      </c>
      <c r="O20480">
        <v>230412</v>
      </c>
    </row>
    <row r="20481" spans="1:15" x14ac:dyDescent="0.25">
      <c r="A20481" t="s">
        <v>16</v>
      </c>
      <c r="B20481" t="s">
        <v>3221</v>
      </c>
      <c r="C20481">
        <v>4716</v>
      </c>
      <c r="D20481" t="s">
        <v>263</v>
      </c>
      <c r="E20481" t="s">
        <v>264</v>
      </c>
      <c r="F20481">
        <v>2.5499999999999998</v>
      </c>
      <c r="G20481">
        <v>230404</v>
      </c>
      <c r="H20481">
        <v>4362</v>
      </c>
      <c r="I20481" t="s">
        <v>79</v>
      </c>
      <c r="J20481">
        <v>3.16</v>
      </c>
      <c r="K20481">
        <v>0.61</v>
      </c>
      <c r="L20481">
        <v>10002</v>
      </c>
      <c r="M20481" t="s">
        <v>1066</v>
      </c>
      <c r="N20481" t="str">
        <f t="shared" si="299"/>
        <v xml:space="preserve">12314024080 </v>
      </c>
      <c r="O20481">
        <v>230412</v>
      </c>
    </row>
    <row r="20482" spans="1:15" x14ac:dyDescent="0.25">
      <c r="A20482" t="s">
        <v>16</v>
      </c>
      <c r="B20482" t="s">
        <v>3221</v>
      </c>
      <c r="C20482">
        <v>4716</v>
      </c>
      <c r="D20482" t="s">
        <v>263</v>
      </c>
      <c r="E20482" t="s">
        <v>264</v>
      </c>
      <c r="F20482">
        <v>2.5499999999999998</v>
      </c>
      <c r="G20482">
        <v>230404</v>
      </c>
      <c r="H20482">
        <v>4362</v>
      </c>
      <c r="I20482" t="s">
        <v>79</v>
      </c>
      <c r="J20482">
        <v>3.16</v>
      </c>
      <c r="K20482">
        <v>0.61</v>
      </c>
      <c r="L20482">
        <v>11001</v>
      </c>
      <c r="M20482" t="s">
        <v>326</v>
      </c>
      <c r="N20482" t="str">
        <f t="shared" si="299"/>
        <v xml:space="preserve">12314024080 </v>
      </c>
      <c r="O20482">
        <v>230412</v>
      </c>
    </row>
    <row r="20483" spans="1:15" x14ac:dyDescent="0.25">
      <c r="A20483" t="s">
        <v>16</v>
      </c>
      <c r="B20483" t="s">
        <v>3221</v>
      </c>
      <c r="C20483">
        <v>4716</v>
      </c>
      <c r="D20483" t="s">
        <v>263</v>
      </c>
      <c r="E20483" t="s">
        <v>264</v>
      </c>
      <c r="F20483">
        <v>5.26</v>
      </c>
      <c r="G20483">
        <v>230404</v>
      </c>
      <c r="H20483">
        <v>4362</v>
      </c>
      <c r="I20483" t="s">
        <v>79</v>
      </c>
      <c r="J20483">
        <v>6.52</v>
      </c>
      <c r="K20483">
        <v>1.26</v>
      </c>
      <c r="L20483">
        <v>11001</v>
      </c>
      <c r="M20483" t="s">
        <v>326</v>
      </c>
      <c r="N20483" t="str">
        <f t="shared" si="299"/>
        <v xml:space="preserve">12314024080 </v>
      </c>
      <c r="O20483">
        <v>230412</v>
      </c>
    </row>
    <row r="20484" spans="1:15" x14ac:dyDescent="0.25">
      <c r="A20484" t="s">
        <v>16</v>
      </c>
      <c r="B20484" t="s">
        <v>3221</v>
      </c>
      <c r="C20484">
        <v>4716</v>
      </c>
      <c r="D20484" t="s">
        <v>263</v>
      </c>
      <c r="E20484" t="s">
        <v>264</v>
      </c>
      <c r="F20484">
        <v>6.62</v>
      </c>
      <c r="G20484">
        <v>230404</v>
      </c>
      <c r="H20484">
        <v>4362</v>
      </c>
      <c r="I20484" t="s">
        <v>79</v>
      </c>
      <c r="J20484">
        <v>6.62</v>
      </c>
      <c r="K20484">
        <v>0</v>
      </c>
      <c r="L20484">
        <v>11001</v>
      </c>
      <c r="M20484" t="s">
        <v>326</v>
      </c>
      <c r="N20484" t="str">
        <f t="shared" si="299"/>
        <v xml:space="preserve">12314024080 </v>
      </c>
      <c r="O20484">
        <v>230412</v>
      </c>
    </row>
    <row r="20485" spans="1:15" x14ac:dyDescent="0.25">
      <c r="A20485" t="s">
        <v>16</v>
      </c>
      <c r="B20485" t="s">
        <v>3221</v>
      </c>
      <c r="C20485">
        <v>4716</v>
      </c>
      <c r="D20485" t="s">
        <v>263</v>
      </c>
      <c r="E20485" t="s">
        <v>264</v>
      </c>
      <c r="F20485">
        <v>8.1300000000000008</v>
      </c>
      <c r="G20485">
        <v>230404</v>
      </c>
      <c r="H20485">
        <v>4362</v>
      </c>
      <c r="I20485" t="s">
        <v>79</v>
      </c>
      <c r="J20485">
        <v>10.08</v>
      </c>
      <c r="K20485">
        <v>1.95</v>
      </c>
      <c r="L20485">
        <v>11301</v>
      </c>
      <c r="M20485" t="s">
        <v>29</v>
      </c>
      <c r="N20485" t="str">
        <f t="shared" si="299"/>
        <v xml:space="preserve">12314024080 </v>
      </c>
      <c r="O20485">
        <v>230412</v>
      </c>
    </row>
    <row r="20486" spans="1:15" x14ac:dyDescent="0.25">
      <c r="A20486" t="s">
        <v>16</v>
      </c>
      <c r="B20486" t="s">
        <v>3221</v>
      </c>
      <c r="C20486">
        <v>4716</v>
      </c>
      <c r="D20486" t="s">
        <v>263</v>
      </c>
      <c r="E20486" t="s">
        <v>264</v>
      </c>
      <c r="F20486">
        <v>6.31</v>
      </c>
      <c r="G20486">
        <v>230404</v>
      </c>
      <c r="H20486">
        <v>4362</v>
      </c>
      <c r="I20486" t="s">
        <v>79</v>
      </c>
      <c r="J20486">
        <v>6.31</v>
      </c>
      <c r="K20486">
        <v>0</v>
      </c>
      <c r="L20486">
        <v>11401</v>
      </c>
      <c r="M20486" t="s">
        <v>84</v>
      </c>
      <c r="N20486" t="str">
        <f t="shared" si="299"/>
        <v xml:space="preserve">12314024080 </v>
      </c>
      <c r="O20486">
        <v>230412</v>
      </c>
    </row>
    <row r="20487" spans="1:15" x14ac:dyDescent="0.25">
      <c r="A20487" t="s">
        <v>16</v>
      </c>
      <c r="B20487" t="s">
        <v>3221</v>
      </c>
      <c r="C20487">
        <v>4716</v>
      </c>
      <c r="D20487" t="s">
        <v>263</v>
      </c>
      <c r="E20487" t="s">
        <v>264</v>
      </c>
      <c r="F20487">
        <v>7.8</v>
      </c>
      <c r="G20487">
        <v>230404</v>
      </c>
      <c r="H20487">
        <v>4362</v>
      </c>
      <c r="I20487" t="s">
        <v>79</v>
      </c>
      <c r="J20487">
        <v>9.67</v>
      </c>
      <c r="K20487">
        <v>1.87</v>
      </c>
      <c r="L20487">
        <v>11401</v>
      </c>
      <c r="M20487" t="s">
        <v>84</v>
      </c>
      <c r="N20487" t="str">
        <f t="shared" si="299"/>
        <v xml:space="preserve">12314024080 </v>
      </c>
      <c r="O20487">
        <v>230412</v>
      </c>
    </row>
    <row r="20488" spans="1:15" x14ac:dyDescent="0.25">
      <c r="A20488" t="s">
        <v>16</v>
      </c>
      <c r="B20488" t="s">
        <v>3221</v>
      </c>
      <c r="C20488">
        <v>4716</v>
      </c>
      <c r="D20488" t="s">
        <v>263</v>
      </c>
      <c r="E20488" t="s">
        <v>264</v>
      </c>
      <c r="F20488">
        <v>2.5499999999999998</v>
      </c>
      <c r="G20488">
        <v>230404</v>
      </c>
      <c r="H20488">
        <v>4362</v>
      </c>
      <c r="I20488" t="s">
        <v>79</v>
      </c>
      <c r="J20488">
        <v>3.16</v>
      </c>
      <c r="K20488">
        <v>0.61</v>
      </c>
      <c r="L20488">
        <v>11501</v>
      </c>
      <c r="M20488" t="s">
        <v>339</v>
      </c>
      <c r="N20488" t="str">
        <f t="shared" si="299"/>
        <v xml:space="preserve">12314024080 </v>
      </c>
      <c r="O20488">
        <v>230412</v>
      </c>
    </row>
    <row r="20489" spans="1:15" x14ac:dyDescent="0.25">
      <c r="A20489" t="s">
        <v>16</v>
      </c>
      <c r="B20489" t="s">
        <v>3221</v>
      </c>
      <c r="C20489">
        <v>4716</v>
      </c>
      <c r="D20489" t="s">
        <v>263</v>
      </c>
      <c r="E20489" t="s">
        <v>264</v>
      </c>
      <c r="F20489">
        <v>3.35</v>
      </c>
      <c r="G20489">
        <v>230404</v>
      </c>
      <c r="H20489">
        <v>4362</v>
      </c>
      <c r="I20489" t="s">
        <v>79</v>
      </c>
      <c r="J20489">
        <v>3.35</v>
      </c>
      <c r="K20489">
        <v>0</v>
      </c>
      <c r="L20489">
        <v>11501</v>
      </c>
      <c r="M20489" t="s">
        <v>339</v>
      </c>
      <c r="N20489" t="str">
        <f t="shared" si="299"/>
        <v xml:space="preserve">12314024080 </v>
      </c>
      <c r="O20489">
        <v>230412</v>
      </c>
    </row>
    <row r="20490" spans="1:15" x14ac:dyDescent="0.25">
      <c r="A20490" t="s">
        <v>16</v>
      </c>
      <c r="B20490" t="s">
        <v>3221</v>
      </c>
      <c r="C20490">
        <v>4716</v>
      </c>
      <c r="D20490" t="s">
        <v>263</v>
      </c>
      <c r="E20490" t="s">
        <v>264</v>
      </c>
      <c r="F20490">
        <v>6.62</v>
      </c>
      <c r="G20490">
        <v>230404</v>
      </c>
      <c r="H20490">
        <v>4362</v>
      </c>
      <c r="I20490" t="s">
        <v>79</v>
      </c>
      <c r="J20490">
        <v>6.62</v>
      </c>
      <c r="K20490">
        <v>0</v>
      </c>
      <c r="L20490">
        <v>17807</v>
      </c>
      <c r="M20490" t="s">
        <v>318</v>
      </c>
      <c r="N20490" t="str">
        <f t="shared" si="299"/>
        <v xml:space="preserve">12314024080 </v>
      </c>
      <c r="O20490">
        <v>230412</v>
      </c>
    </row>
    <row r="20491" spans="1:15" x14ac:dyDescent="0.25">
      <c r="A20491" t="s">
        <v>16</v>
      </c>
      <c r="B20491" t="s">
        <v>3221</v>
      </c>
      <c r="C20491">
        <v>4716</v>
      </c>
      <c r="D20491" t="s">
        <v>263</v>
      </c>
      <c r="E20491" t="s">
        <v>264</v>
      </c>
      <c r="F20491">
        <v>0.99</v>
      </c>
      <c r="G20491">
        <v>230404</v>
      </c>
      <c r="H20491">
        <v>4362</v>
      </c>
      <c r="I20491" t="s">
        <v>79</v>
      </c>
      <c r="J20491">
        <v>0.99</v>
      </c>
      <c r="K20491">
        <v>0</v>
      </c>
      <c r="L20491">
        <v>18972</v>
      </c>
      <c r="M20491" t="s">
        <v>163</v>
      </c>
      <c r="N20491" t="str">
        <f t="shared" si="299"/>
        <v xml:space="preserve">12314024080 </v>
      </c>
      <c r="O20491">
        <v>230412</v>
      </c>
    </row>
    <row r="20492" spans="1:15" x14ac:dyDescent="0.25">
      <c r="A20492" t="s">
        <v>16</v>
      </c>
      <c r="B20492" t="s">
        <v>3221</v>
      </c>
      <c r="C20492">
        <v>4716</v>
      </c>
      <c r="D20492" t="s">
        <v>263</v>
      </c>
      <c r="E20492" t="s">
        <v>264</v>
      </c>
      <c r="F20492">
        <v>2.9</v>
      </c>
      <c r="G20492">
        <v>230404</v>
      </c>
      <c r="H20492">
        <v>4362</v>
      </c>
      <c r="I20492" t="s">
        <v>79</v>
      </c>
      <c r="J20492">
        <v>2.9</v>
      </c>
      <c r="K20492">
        <v>0</v>
      </c>
      <c r="L20492">
        <v>18972</v>
      </c>
      <c r="M20492" t="s">
        <v>163</v>
      </c>
      <c r="N20492" t="str">
        <f t="shared" si="299"/>
        <v xml:space="preserve">12314024080 </v>
      </c>
      <c r="O20492">
        <v>230412</v>
      </c>
    </row>
    <row r="20493" spans="1:15" x14ac:dyDescent="0.25">
      <c r="A20493" t="s">
        <v>16</v>
      </c>
      <c r="B20493" t="s">
        <v>3221</v>
      </c>
      <c r="C20493">
        <v>4716</v>
      </c>
      <c r="D20493" t="s">
        <v>263</v>
      </c>
      <c r="E20493" t="s">
        <v>264</v>
      </c>
      <c r="F20493">
        <v>5.0999999999999996</v>
      </c>
      <c r="G20493">
        <v>230404</v>
      </c>
      <c r="H20493">
        <v>4362</v>
      </c>
      <c r="I20493" t="s">
        <v>79</v>
      </c>
      <c r="J20493">
        <v>6.32</v>
      </c>
      <c r="K20493">
        <v>1.22</v>
      </c>
      <c r="L20493">
        <v>18972</v>
      </c>
      <c r="M20493" t="s">
        <v>163</v>
      </c>
      <c r="N20493" t="str">
        <f t="shared" si="299"/>
        <v xml:space="preserve">12314024080 </v>
      </c>
      <c r="O20493">
        <v>230412</v>
      </c>
    </row>
    <row r="20494" spans="1:15" x14ac:dyDescent="0.25">
      <c r="A20494" t="s">
        <v>16</v>
      </c>
      <c r="B20494" t="s">
        <v>3221</v>
      </c>
      <c r="C20494">
        <v>4717</v>
      </c>
      <c r="D20494" t="s">
        <v>263</v>
      </c>
      <c r="E20494" t="s">
        <v>264</v>
      </c>
      <c r="F20494">
        <v>2.5499999999999998</v>
      </c>
      <c r="G20494">
        <v>230404</v>
      </c>
      <c r="H20494">
        <v>4362</v>
      </c>
      <c r="I20494" t="s">
        <v>79</v>
      </c>
      <c r="J20494">
        <v>3.16</v>
      </c>
      <c r="K20494">
        <v>0.61</v>
      </c>
      <c r="L20494">
        <v>13801</v>
      </c>
      <c r="M20494" t="s">
        <v>162</v>
      </c>
      <c r="N20494" t="str">
        <f>"12314024112 "</f>
        <v xml:space="preserve">12314024112 </v>
      </c>
      <c r="O20494">
        <v>230412</v>
      </c>
    </row>
    <row r="20495" spans="1:15" x14ac:dyDescent="0.25">
      <c r="A20495" t="s">
        <v>16</v>
      </c>
      <c r="B20495" t="s">
        <v>3221</v>
      </c>
      <c r="C20495">
        <v>4718</v>
      </c>
      <c r="D20495" t="s">
        <v>263</v>
      </c>
      <c r="E20495" t="s">
        <v>264</v>
      </c>
      <c r="F20495">
        <v>19.37</v>
      </c>
      <c r="G20495">
        <v>230404</v>
      </c>
      <c r="H20495">
        <v>4362</v>
      </c>
      <c r="I20495" t="s">
        <v>79</v>
      </c>
      <c r="J20495">
        <v>24.02</v>
      </c>
      <c r="K20495">
        <v>4.6500000000000004</v>
      </c>
      <c r="L20495">
        <v>16121</v>
      </c>
      <c r="M20495" t="s">
        <v>21</v>
      </c>
      <c r="N20495" t="str">
        <f t="shared" ref="N20495:N20504" si="300">"12314024107 "</f>
        <v xml:space="preserve">12314024107 </v>
      </c>
      <c r="O20495">
        <v>230412</v>
      </c>
    </row>
    <row r="20496" spans="1:15" x14ac:dyDescent="0.25">
      <c r="A20496" t="s">
        <v>16</v>
      </c>
      <c r="B20496" t="s">
        <v>3221</v>
      </c>
      <c r="C20496">
        <v>4718</v>
      </c>
      <c r="D20496" t="s">
        <v>263</v>
      </c>
      <c r="E20496" t="s">
        <v>264</v>
      </c>
      <c r="F20496">
        <v>5.4</v>
      </c>
      <c r="G20496">
        <v>230404</v>
      </c>
      <c r="H20496">
        <v>4362</v>
      </c>
      <c r="I20496" t="s">
        <v>79</v>
      </c>
      <c r="J20496">
        <v>6.7</v>
      </c>
      <c r="K20496">
        <v>1.3</v>
      </c>
      <c r="L20496">
        <v>16322</v>
      </c>
      <c r="M20496" t="s">
        <v>22</v>
      </c>
      <c r="N20496" t="str">
        <f t="shared" si="300"/>
        <v xml:space="preserve">12314024107 </v>
      </c>
      <c r="O20496">
        <v>230412</v>
      </c>
    </row>
    <row r="20497" spans="1:15" x14ac:dyDescent="0.25">
      <c r="A20497" t="s">
        <v>16</v>
      </c>
      <c r="B20497" t="s">
        <v>3221</v>
      </c>
      <c r="C20497">
        <v>4718</v>
      </c>
      <c r="D20497" t="s">
        <v>263</v>
      </c>
      <c r="E20497" t="s">
        <v>264</v>
      </c>
      <c r="F20497">
        <v>2.7</v>
      </c>
      <c r="G20497">
        <v>230404</v>
      </c>
      <c r="H20497">
        <v>4362</v>
      </c>
      <c r="I20497" t="s">
        <v>79</v>
      </c>
      <c r="J20497">
        <v>3.35</v>
      </c>
      <c r="K20497">
        <v>0.65</v>
      </c>
      <c r="L20497">
        <v>16820</v>
      </c>
      <c r="M20497" t="s">
        <v>23</v>
      </c>
      <c r="N20497" t="str">
        <f t="shared" si="300"/>
        <v xml:space="preserve">12314024107 </v>
      </c>
      <c r="O20497">
        <v>230412</v>
      </c>
    </row>
    <row r="20498" spans="1:15" x14ac:dyDescent="0.25">
      <c r="A20498" t="s">
        <v>16</v>
      </c>
      <c r="B20498" t="s">
        <v>3221</v>
      </c>
      <c r="C20498">
        <v>4718</v>
      </c>
      <c r="D20498" t="s">
        <v>263</v>
      </c>
      <c r="E20498" t="s">
        <v>264</v>
      </c>
      <c r="F20498">
        <v>5.4</v>
      </c>
      <c r="G20498">
        <v>230404</v>
      </c>
      <c r="H20498">
        <v>4362</v>
      </c>
      <c r="I20498" t="s">
        <v>79</v>
      </c>
      <c r="J20498">
        <v>6.7</v>
      </c>
      <c r="K20498">
        <v>1.3</v>
      </c>
      <c r="L20498">
        <v>16820</v>
      </c>
      <c r="M20498" t="s">
        <v>23</v>
      </c>
      <c r="N20498" t="str">
        <f t="shared" si="300"/>
        <v xml:space="preserve">12314024107 </v>
      </c>
      <c r="O20498">
        <v>230412</v>
      </c>
    </row>
    <row r="20499" spans="1:15" x14ac:dyDescent="0.25">
      <c r="A20499" t="s">
        <v>16</v>
      </c>
      <c r="B20499" t="s">
        <v>3221</v>
      </c>
      <c r="C20499">
        <v>4718</v>
      </c>
      <c r="D20499" t="s">
        <v>263</v>
      </c>
      <c r="E20499" t="s">
        <v>264</v>
      </c>
      <c r="F20499">
        <v>4.33</v>
      </c>
      <c r="G20499">
        <v>230404</v>
      </c>
      <c r="H20499">
        <v>4362</v>
      </c>
      <c r="I20499" t="s">
        <v>79</v>
      </c>
      <c r="J20499">
        <v>5.37</v>
      </c>
      <c r="K20499">
        <v>1.04</v>
      </c>
      <c r="L20499">
        <v>17538</v>
      </c>
      <c r="M20499" t="s">
        <v>24</v>
      </c>
      <c r="N20499" t="str">
        <f t="shared" si="300"/>
        <v xml:space="preserve">12314024107 </v>
      </c>
      <c r="O20499">
        <v>230412</v>
      </c>
    </row>
    <row r="20500" spans="1:15" x14ac:dyDescent="0.25">
      <c r="A20500" t="s">
        <v>16</v>
      </c>
      <c r="B20500" t="s">
        <v>3221</v>
      </c>
      <c r="C20500">
        <v>4718</v>
      </c>
      <c r="D20500" t="s">
        <v>263</v>
      </c>
      <c r="E20500" t="s">
        <v>264</v>
      </c>
      <c r="F20500">
        <v>2.7</v>
      </c>
      <c r="G20500">
        <v>230404</v>
      </c>
      <c r="H20500">
        <v>4362</v>
      </c>
      <c r="I20500" t="s">
        <v>79</v>
      </c>
      <c r="J20500">
        <v>3.35</v>
      </c>
      <c r="K20500">
        <v>0.65</v>
      </c>
      <c r="L20500">
        <v>17950</v>
      </c>
      <c r="M20500" t="s">
        <v>86</v>
      </c>
      <c r="N20500" t="str">
        <f t="shared" si="300"/>
        <v xml:space="preserve">12314024107 </v>
      </c>
      <c r="O20500">
        <v>230412</v>
      </c>
    </row>
    <row r="20501" spans="1:15" x14ac:dyDescent="0.25">
      <c r="A20501" t="s">
        <v>16</v>
      </c>
      <c r="B20501" t="s">
        <v>3221</v>
      </c>
      <c r="C20501">
        <v>4718</v>
      </c>
      <c r="D20501" t="s">
        <v>263</v>
      </c>
      <c r="E20501" t="s">
        <v>264</v>
      </c>
      <c r="F20501">
        <v>2.7</v>
      </c>
      <c r="G20501">
        <v>230404</v>
      </c>
      <c r="H20501">
        <v>4362</v>
      </c>
      <c r="I20501" t="s">
        <v>79</v>
      </c>
      <c r="J20501">
        <v>3.35</v>
      </c>
      <c r="K20501">
        <v>0.65</v>
      </c>
      <c r="L20501">
        <v>17971</v>
      </c>
      <c r="M20501" t="s">
        <v>138</v>
      </c>
      <c r="N20501" t="str">
        <f t="shared" si="300"/>
        <v xml:space="preserve">12314024107 </v>
      </c>
      <c r="O20501">
        <v>230412</v>
      </c>
    </row>
    <row r="20502" spans="1:15" x14ac:dyDescent="0.25">
      <c r="A20502" t="s">
        <v>16</v>
      </c>
      <c r="B20502" t="s">
        <v>3221</v>
      </c>
      <c r="C20502">
        <v>4718</v>
      </c>
      <c r="D20502" t="s">
        <v>263</v>
      </c>
      <c r="E20502" t="s">
        <v>264</v>
      </c>
      <c r="F20502">
        <v>2.7</v>
      </c>
      <c r="G20502">
        <v>230404</v>
      </c>
      <c r="H20502">
        <v>4362</v>
      </c>
      <c r="I20502" t="s">
        <v>79</v>
      </c>
      <c r="J20502">
        <v>3.35</v>
      </c>
      <c r="K20502">
        <v>0.65</v>
      </c>
      <c r="L20502">
        <v>17972</v>
      </c>
      <c r="M20502" t="s">
        <v>248</v>
      </c>
      <c r="N20502" t="str">
        <f t="shared" si="300"/>
        <v xml:space="preserve">12314024107 </v>
      </c>
      <c r="O20502">
        <v>230412</v>
      </c>
    </row>
    <row r="20503" spans="1:15" x14ac:dyDescent="0.25">
      <c r="A20503" t="s">
        <v>16</v>
      </c>
      <c r="B20503" t="s">
        <v>3221</v>
      </c>
      <c r="C20503">
        <v>4718</v>
      </c>
      <c r="D20503" t="s">
        <v>263</v>
      </c>
      <c r="E20503" t="s">
        <v>264</v>
      </c>
      <c r="F20503">
        <v>2.5499999999999998</v>
      </c>
      <c r="G20503">
        <v>230404</v>
      </c>
      <c r="H20503">
        <v>4362</v>
      </c>
      <c r="I20503" t="s">
        <v>79</v>
      </c>
      <c r="J20503">
        <v>3.16</v>
      </c>
      <c r="K20503">
        <v>0.61</v>
      </c>
      <c r="L20503">
        <v>17974</v>
      </c>
      <c r="M20503" t="s">
        <v>460</v>
      </c>
      <c r="N20503" t="str">
        <f t="shared" si="300"/>
        <v xml:space="preserve">12314024107 </v>
      </c>
      <c r="O20503">
        <v>230412</v>
      </c>
    </row>
    <row r="20504" spans="1:15" x14ac:dyDescent="0.25">
      <c r="A20504" t="s">
        <v>16</v>
      </c>
      <c r="B20504" t="s">
        <v>3221</v>
      </c>
      <c r="C20504">
        <v>4718</v>
      </c>
      <c r="D20504" t="s">
        <v>263</v>
      </c>
      <c r="E20504" t="s">
        <v>264</v>
      </c>
      <c r="F20504">
        <v>2.72</v>
      </c>
      <c r="G20504">
        <v>230404</v>
      </c>
      <c r="H20504">
        <v>4362</v>
      </c>
      <c r="I20504" t="s">
        <v>79</v>
      </c>
      <c r="J20504">
        <v>3.37</v>
      </c>
      <c r="K20504">
        <v>0.65</v>
      </c>
      <c r="L20504">
        <v>17974</v>
      </c>
      <c r="M20504" t="s">
        <v>460</v>
      </c>
      <c r="N20504" t="str">
        <f t="shared" si="300"/>
        <v xml:space="preserve">12314024107 </v>
      </c>
      <c r="O20504">
        <v>230412</v>
      </c>
    </row>
    <row r="20505" spans="1:15" x14ac:dyDescent="0.25">
      <c r="A20505" t="s">
        <v>16</v>
      </c>
      <c r="B20505" t="s">
        <v>3221</v>
      </c>
      <c r="C20505">
        <v>4812</v>
      </c>
      <c r="D20505" t="s">
        <v>263</v>
      </c>
      <c r="E20505" t="s">
        <v>264</v>
      </c>
      <c r="F20505">
        <v>2.7</v>
      </c>
      <c r="G20505">
        <v>230404</v>
      </c>
      <c r="H20505">
        <v>4362</v>
      </c>
      <c r="I20505" t="s">
        <v>79</v>
      </c>
      <c r="J20505">
        <v>3.35</v>
      </c>
      <c r="K20505">
        <v>0.65</v>
      </c>
      <c r="L20505">
        <v>11900</v>
      </c>
      <c r="M20505" t="s">
        <v>1105</v>
      </c>
      <c r="N20505" t="str">
        <f>"12314024101 "</f>
        <v xml:space="preserve">12314024101 </v>
      </c>
      <c r="O20505">
        <v>230412</v>
      </c>
    </row>
    <row r="20506" spans="1:15" x14ac:dyDescent="0.25">
      <c r="A20506" t="s">
        <v>16</v>
      </c>
      <c r="B20506" t="s">
        <v>3221</v>
      </c>
      <c r="C20506">
        <v>4876</v>
      </c>
      <c r="D20506" t="s">
        <v>263</v>
      </c>
      <c r="E20506" t="s">
        <v>264</v>
      </c>
      <c r="F20506">
        <v>53.49</v>
      </c>
      <c r="G20506">
        <v>230404</v>
      </c>
      <c r="H20506">
        <v>4362</v>
      </c>
      <c r="I20506" t="s">
        <v>79</v>
      </c>
      <c r="J20506">
        <v>66.33</v>
      </c>
      <c r="K20506">
        <v>12.84</v>
      </c>
      <c r="L20506">
        <v>11801</v>
      </c>
      <c r="M20506" t="s">
        <v>92</v>
      </c>
      <c r="N20506" t="str">
        <f>"12314024110 "</f>
        <v xml:space="preserve">12314024110 </v>
      </c>
      <c r="O20506">
        <v>230413</v>
      </c>
    </row>
    <row r="20507" spans="1:15" x14ac:dyDescent="0.25">
      <c r="A20507" t="s">
        <v>16</v>
      </c>
      <c r="B20507" t="s">
        <v>3221</v>
      </c>
      <c r="C20507">
        <v>4884</v>
      </c>
      <c r="D20507" t="s">
        <v>263</v>
      </c>
      <c r="E20507" t="s">
        <v>264</v>
      </c>
      <c r="F20507">
        <v>30.21</v>
      </c>
      <c r="G20507">
        <v>230404</v>
      </c>
      <c r="H20507">
        <v>4362</v>
      </c>
      <c r="I20507" t="s">
        <v>79</v>
      </c>
      <c r="J20507">
        <v>37.46</v>
      </c>
      <c r="K20507">
        <v>7.25</v>
      </c>
      <c r="L20507">
        <v>41126</v>
      </c>
      <c r="M20507" t="s">
        <v>761</v>
      </c>
      <c r="N20507" t="str">
        <f>"12314024091 "</f>
        <v xml:space="preserve">12314024091 </v>
      </c>
      <c r="O20507">
        <v>230414</v>
      </c>
    </row>
    <row r="20508" spans="1:15" x14ac:dyDescent="0.25">
      <c r="A20508" t="s">
        <v>16</v>
      </c>
      <c r="B20508" t="s">
        <v>3221</v>
      </c>
      <c r="C20508">
        <v>4884</v>
      </c>
      <c r="D20508" t="s">
        <v>263</v>
      </c>
      <c r="E20508" t="s">
        <v>264</v>
      </c>
      <c r="F20508">
        <v>10.8</v>
      </c>
      <c r="G20508">
        <v>230404</v>
      </c>
      <c r="H20508">
        <v>4362</v>
      </c>
      <c r="I20508" t="s">
        <v>79</v>
      </c>
      <c r="J20508">
        <v>13.39</v>
      </c>
      <c r="K20508">
        <v>2.59</v>
      </c>
      <c r="L20508">
        <v>46222</v>
      </c>
      <c r="M20508" t="s">
        <v>293</v>
      </c>
      <c r="N20508" t="str">
        <f>"12314024091 "</f>
        <v xml:space="preserve">12314024091 </v>
      </c>
      <c r="O20508">
        <v>230414</v>
      </c>
    </row>
    <row r="20509" spans="1:15" x14ac:dyDescent="0.25">
      <c r="A20509" t="s">
        <v>16</v>
      </c>
      <c r="B20509" t="s">
        <v>3221</v>
      </c>
      <c r="C20509">
        <v>4892</v>
      </c>
      <c r="D20509" t="s">
        <v>263</v>
      </c>
      <c r="E20509" t="s">
        <v>264</v>
      </c>
      <c r="F20509">
        <v>2.19</v>
      </c>
      <c r="G20509">
        <v>230404</v>
      </c>
      <c r="H20509">
        <v>4362</v>
      </c>
      <c r="I20509" t="s">
        <v>79</v>
      </c>
      <c r="J20509">
        <v>2.72</v>
      </c>
      <c r="K20509">
        <v>0.53</v>
      </c>
      <c r="L20509">
        <v>41126</v>
      </c>
      <c r="M20509" t="s">
        <v>761</v>
      </c>
      <c r="N20509" t="str">
        <f t="shared" ref="N20509:N20514" si="301">"12314024102 "</f>
        <v xml:space="preserve">12314024102 </v>
      </c>
      <c r="O20509">
        <v>230414</v>
      </c>
    </row>
    <row r="20510" spans="1:15" x14ac:dyDescent="0.25">
      <c r="A20510" t="s">
        <v>16</v>
      </c>
      <c r="B20510" t="s">
        <v>3221</v>
      </c>
      <c r="C20510">
        <v>4892</v>
      </c>
      <c r="D20510" t="s">
        <v>263</v>
      </c>
      <c r="E20510" t="s">
        <v>264</v>
      </c>
      <c r="F20510">
        <v>1.69</v>
      </c>
      <c r="G20510">
        <v>230404</v>
      </c>
      <c r="H20510">
        <v>4362</v>
      </c>
      <c r="I20510" t="s">
        <v>79</v>
      </c>
      <c r="J20510">
        <v>2.09</v>
      </c>
      <c r="K20510">
        <v>0.4</v>
      </c>
      <c r="L20510">
        <v>43222</v>
      </c>
      <c r="M20510" t="s">
        <v>507</v>
      </c>
      <c r="N20510" t="str">
        <f t="shared" si="301"/>
        <v xml:space="preserve">12314024102 </v>
      </c>
      <c r="O20510">
        <v>230414</v>
      </c>
    </row>
    <row r="20511" spans="1:15" x14ac:dyDescent="0.25">
      <c r="A20511" t="s">
        <v>16</v>
      </c>
      <c r="B20511" t="s">
        <v>3221</v>
      </c>
      <c r="C20511">
        <v>4892</v>
      </c>
      <c r="D20511" t="s">
        <v>263</v>
      </c>
      <c r="E20511" t="s">
        <v>264</v>
      </c>
      <c r="F20511">
        <v>2.02</v>
      </c>
      <c r="G20511">
        <v>230404</v>
      </c>
      <c r="H20511">
        <v>4362</v>
      </c>
      <c r="I20511" t="s">
        <v>79</v>
      </c>
      <c r="J20511">
        <v>2.5099999999999998</v>
      </c>
      <c r="K20511">
        <v>0.49</v>
      </c>
      <c r="L20511">
        <v>44222</v>
      </c>
      <c r="M20511" t="s">
        <v>232</v>
      </c>
      <c r="N20511" t="str">
        <f t="shared" si="301"/>
        <v xml:space="preserve">12314024102 </v>
      </c>
      <c r="O20511">
        <v>230414</v>
      </c>
    </row>
    <row r="20512" spans="1:15" x14ac:dyDescent="0.25">
      <c r="A20512" t="s">
        <v>16</v>
      </c>
      <c r="B20512" t="s">
        <v>3221</v>
      </c>
      <c r="C20512">
        <v>4892</v>
      </c>
      <c r="D20512" t="s">
        <v>263</v>
      </c>
      <c r="E20512" t="s">
        <v>264</v>
      </c>
      <c r="F20512">
        <v>2.19</v>
      </c>
      <c r="G20512">
        <v>230404</v>
      </c>
      <c r="H20512">
        <v>4362</v>
      </c>
      <c r="I20512" t="s">
        <v>79</v>
      </c>
      <c r="J20512">
        <v>2.72</v>
      </c>
      <c r="K20512">
        <v>0.53</v>
      </c>
      <c r="L20512">
        <v>44424</v>
      </c>
      <c r="M20512" t="s">
        <v>776</v>
      </c>
      <c r="N20512" t="str">
        <f t="shared" si="301"/>
        <v xml:space="preserve">12314024102 </v>
      </c>
      <c r="O20512">
        <v>230414</v>
      </c>
    </row>
    <row r="20513" spans="1:15" x14ac:dyDescent="0.25">
      <c r="A20513" t="s">
        <v>16</v>
      </c>
      <c r="B20513" t="s">
        <v>3221</v>
      </c>
      <c r="C20513">
        <v>4892</v>
      </c>
      <c r="D20513" t="s">
        <v>263</v>
      </c>
      <c r="E20513" t="s">
        <v>264</v>
      </c>
      <c r="F20513">
        <v>1.19</v>
      </c>
      <c r="G20513">
        <v>230404</v>
      </c>
      <c r="H20513">
        <v>4362</v>
      </c>
      <c r="I20513" t="s">
        <v>79</v>
      </c>
      <c r="J20513">
        <v>1.47</v>
      </c>
      <c r="K20513">
        <v>0.28000000000000003</v>
      </c>
      <c r="L20513">
        <v>46222</v>
      </c>
      <c r="M20513" t="s">
        <v>293</v>
      </c>
      <c r="N20513" t="str">
        <f t="shared" si="301"/>
        <v xml:space="preserve">12314024102 </v>
      </c>
      <c r="O20513">
        <v>230414</v>
      </c>
    </row>
    <row r="20514" spans="1:15" x14ac:dyDescent="0.25">
      <c r="A20514" t="s">
        <v>16</v>
      </c>
      <c r="B20514" t="s">
        <v>3221</v>
      </c>
      <c r="C20514">
        <v>4892</v>
      </c>
      <c r="D20514" t="s">
        <v>263</v>
      </c>
      <c r="E20514" t="s">
        <v>264</v>
      </c>
      <c r="F20514">
        <v>7.59</v>
      </c>
      <c r="G20514">
        <v>230404</v>
      </c>
      <c r="H20514">
        <v>4362</v>
      </c>
      <c r="I20514" t="s">
        <v>79</v>
      </c>
      <c r="J20514">
        <v>9.41</v>
      </c>
      <c r="K20514">
        <v>1.82</v>
      </c>
      <c r="L20514">
        <v>46559</v>
      </c>
      <c r="M20514" t="s">
        <v>1104</v>
      </c>
      <c r="N20514" t="str">
        <f t="shared" si="301"/>
        <v xml:space="preserve">12314024102 </v>
      </c>
      <c r="O20514">
        <v>230414</v>
      </c>
    </row>
    <row r="20515" spans="1:15" x14ac:dyDescent="0.25">
      <c r="A20515" t="s">
        <v>16</v>
      </c>
      <c r="B20515" t="s">
        <v>3221</v>
      </c>
      <c r="C20515">
        <v>4897</v>
      </c>
      <c r="D20515" t="s">
        <v>263</v>
      </c>
      <c r="E20515" t="s">
        <v>264</v>
      </c>
      <c r="F20515">
        <v>5.4</v>
      </c>
      <c r="G20515">
        <v>230404</v>
      </c>
      <c r="H20515">
        <v>4362</v>
      </c>
      <c r="I20515" t="s">
        <v>79</v>
      </c>
      <c r="J20515">
        <v>6.7</v>
      </c>
      <c r="K20515">
        <v>1.3</v>
      </c>
      <c r="L20515">
        <v>43222</v>
      </c>
      <c r="M20515" t="s">
        <v>507</v>
      </c>
      <c r="N20515" t="str">
        <f t="shared" ref="N20515:N20520" si="302">"12314024096 "</f>
        <v xml:space="preserve">12314024096 </v>
      </c>
      <c r="O20515">
        <v>230414</v>
      </c>
    </row>
    <row r="20516" spans="1:15" x14ac:dyDescent="0.25">
      <c r="A20516" t="s">
        <v>16</v>
      </c>
      <c r="B20516" t="s">
        <v>3221</v>
      </c>
      <c r="C20516">
        <v>4897</v>
      </c>
      <c r="D20516" t="s">
        <v>263</v>
      </c>
      <c r="E20516" t="s">
        <v>264</v>
      </c>
      <c r="F20516">
        <v>11.78</v>
      </c>
      <c r="G20516">
        <v>230404</v>
      </c>
      <c r="H20516">
        <v>4362</v>
      </c>
      <c r="I20516" t="s">
        <v>79</v>
      </c>
      <c r="J20516">
        <v>14.61</v>
      </c>
      <c r="K20516">
        <v>2.83</v>
      </c>
      <c r="L20516">
        <v>44422</v>
      </c>
      <c r="M20516" t="s">
        <v>482</v>
      </c>
      <c r="N20516" t="str">
        <f t="shared" si="302"/>
        <v xml:space="preserve">12314024096 </v>
      </c>
      <c r="O20516">
        <v>230414</v>
      </c>
    </row>
    <row r="20517" spans="1:15" x14ac:dyDescent="0.25">
      <c r="A20517" t="s">
        <v>16</v>
      </c>
      <c r="B20517" t="s">
        <v>3221</v>
      </c>
      <c r="C20517">
        <v>4897</v>
      </c>
      <c r="D20517" t="s">
        <v>263</v>
      </c>
      <c r="E20517" t="s">
        <v>264</v>
      </c>
      <c r="F20517">
        <v>6.83</v>
      </c>
      <c r="G20517">
        <v>230404</v>
      </c>
      <c r="H20517">
        <v>4362</v>
      </c>
      <c r="I20517" t="s">
        <v>79</v>
      </c>
      <c r="J20517">
        <v>8.4700000000000006</v>
      </c>
      <c r="K20517">
        <v>1.64</v>
      </c>
      <c r="L20517">
        <v>44423</v>
      </c>
      <c r="M20517" t="s">
        <v>502</v>
      </c>
      <c r="N20517" t="str">
        <f t="shared" si="302"/>
        <v xml:space="preserve">12314024096 </v>
      </c>
      <c r="O20517">
        <v>230414</v>
      </c>
    </row>
    <row r="20518" spans="1:15" x14ac:dyDescent="0.25">
      <c r="A20518" t="s">
        <v>16</v>
      </c>
      <c r="B20518" t="s">
        <v>3221</v>
      </c>
      <c r="C20518">
        <v>4897</v>
      </c>
      <c r="D20518" t="s">
        <v>263</v>
      </c>
      <c r="E20518" t="s">
        <v>264</v>
      </c>
      <c r="F20518">
        <v>2.7</v>
      </c>
      <c r="G20518">
        <v>230404</v>
      </c>
      <c r="H20518">
        <v>4362</v>
      </c>
      <c r="I20518" t="s">
        <v>79</v>
      </c>
      <c r="J20518">
        <v>3.35</v>
      </c>
      <c r="K20518">
        <v>0.65</v>
      </c>
      <c r="L20518">
        <v>44453</v>
      </c>
      <c r="M20518" t="s">
        <v>492</v>
      </c>
      <c r="N20518" t="str">
        <f t="shared" si="302"/>
        <v xml:space="preserve">12314024096 </v>
      </c>
      <c r="O20518">
        <v>230414</v>
      </c>
    </row>
    <row r="20519" spans="1:15" x14ac:dyDescent="0.25">
      <c r="A20519" t="s">
        <v>16</v>
      </c>
      <c r="B20519" t="s">
        <v>3221</v>
      </c>
      <c r="C20519">
        <v>4897</v>
      </c>
      <c r="D20519" t="s">
        <v>263</v>
      </c>
      <c r="E20519" t="s">
        <v>264</v>
      </c>
      <c r="F20519">
        <v>2.7</v>
      </c>
      <c r="G20519">
        <v>230404</v>
      </c>
      <c r="H20519">
        <v>4362</v>
      </c>
      <c r="I20519" t="s">
        <v>79</v>
      </c>
      <c r="J20519">
        <v>3.35</v>
      </c>
      <c r="K20519">
        <v>0.65</v>
      </c>
      <c r="L20519">
        <v>48601</v>
      </c>
      <c r="M20519" t="s">
        <v>1047</v>
      </c>
      <c r="N20519" t="str">
        <f t="shared" si="302"/>
        <v xml:space="preserve">12314024096 </v>
      </c>
      <c r="O20519">
        <v>230414</v>
      </c>
    </row>
    <row r="20520" spans="1:15" x14ac:dyDescent="0.25">
      <c r="A20520" t="s">
        <v>16</v>
      </c>
      <c r="B20520" t="s">
        <v>3221</v>
      </c>
      <c r="C20520">
        <v>4897</v>
      </c>
      <c r="D20520" t="s">
        <v>263</v>
      </c>
      <c r="E20520" t="s">
        <v>264</v>
      </c>
      <c r="F20520">
        <v>49.34</v>
      </c>
      <c r="G20520">
        <v>230404</v>
      </c>
      <c r="H20520">
        <v>4362</v>
      </c>
      <c r="I20520" t="s">
        <v>79</v>
      </c>
      <c r="J20520">
        <v>49.34</v>
      </c>
      <c r="K20520">
        <v>0</v>
      </c>
      <c r="L20520">
        <v>49702</v>
      </c>
      <c r="M20520" t="s">
        <v>584</v>
      </c>
      <c r="N20520" t="str">
        <f t="shared" si="302"/>
        <v xml:space="preserve">12314024096 </v>
      </c>
      <c r="O20520">
        <v>230414</v>
      </c>
    </row>
    <row r="20521" spans="1:15" x14ac:dyDescent="0.25">
      <c r="A20521" t="s">
        <v>16</v>
      </c>
      <c r="B20521" t="s">
        <v>3221</v>
      </c>
      <c r="C20521">
        <v>4898</v>
      </c>
      <c r="D20521" t="s">
        <v>263</v>
      </c>
      <c r="E20521" t="s">
        <v>264</v>
      </c>
      <c r="F20521">
        <v>6.07</v>
      </c>
      <c r="G20521">
        <v>230404</v>
      </c>
      <c r="H20521">
        <v>4362</v>
      </c>
      <c r="I20521" t="s">
        <v>79</v>
      </c>
      <c r="J20521">
        <v>7.53</v>
      </c>
      <c r="K20521">
        <v>1.46</v>
      </c>
      <c r="L20521">
        <v>48601</v>
      </c>
      <c r="M20521" t="s">
        <v>1047</v>
      </c>
      <c r="N20521" t="str">
        <f>"12314024095 "</f>
        <v xml:space="preserve">12314024095 </v>
      </c>
      <c r="O20521">
        <v>230414</v>
      </c>
    </row>
    <row r="20522" spans="1:15" x14ac:dyDescent="0.25">
      <c r="A20522" t="s">
        <v>16</v>
      </c>
      <c r="B20522" t="s">
        <v>3221</v>
      </c>
      <c r="C20522">
        <v>4898</v>
      </c>
      <c r="D20522" t="s">
        <v>263</v>
      </c>
      <c r="E20522" t="s">
        <v>264</v>
      </c>
      <c r="F20522">
        <v>17.059999999999999</v>
      </c>
      <c r="G20522">
        <v>230404</v>
      </c>
      <c r="H20522">
        <v>4362</v>
      </c>
      <c r="I20522" t="s">
        <v>79</v>
      </c>
      <c r="J20522">
        <v>21.15</v>
      </c>
      <c r="K20522">
        <v>4.09</v>
      </c>
      <c r="L20522">
        <v>49704</v>
      </c>
      <c r="M20522" t="s">
        <v>1065</v>
      </c>
      <c r="N20522" t="str">
        <f>"12314024095 "</f>
        <v xml:space="preserve">12314024095 </v>
      </c>
      <c r="O20522">
        <v>230414</v>
      </c>
    </row>
    <row r="20523" spans="1:15" x14ac:dyDescent="0.25">
      <c r="A20523" t="s">
        <v>16</v>
      </c>
      <c r="B20523" t="s">
        <v>3221</v>
      </c>
      <c r="C20523">
        <v>4898</v>
      </c>
      <c r="D20523" t="s">
        <v>263</v>
      </c>
      <c r="E20523" t="s">
        <v>264</v>
      </c>
      <c r="F20523">
        <v>20.63</v>
      </c>
      <c r="G20523">
        <v>230404</v>
      </c>
      <c r="H20523">
        <v>4362</v>
      </c>
      <c r="I20523" t="s">
        <v>79</v>
      </c>
      <c r="J20523">
        <v>25.58</v>
      </c>
      <c r="K20523">
        <v>4.95</v>
      </c>
      <c r="L20523">
        <v>49705</v>
      </c>
      <c r="M20523" t="s">
        <v>575</v>
      </c>
      <c r="N20523" t="str">
        <f>"12314024095 "</f>
        <v xml:space="preserve">12314024095 </v>
      </c>
      <c r="O20523">
        <v>230414</v>
      </c>
    </row>
    <row r="20524" spans="1:15" x14ac:dyDescent="0.25">
      <c r="A20524" t="s">
        <v>16</v>
      </c>
      <c r="B20524" t="s">
        <v>3221</v>
      </c>
      <c r="C20524">
        <v>4899</v>
      </c>
      <c r="D20524" t="s">
        <v>263</v>
      </c>
      <c r="E20524" t="s">
        <v>264</v>
      </c>
      <c r="F20524">
        <v>5.76</v>
      </c>
      <c r="G20524">
        <v>230404</v>
      </c>
      <c r="H20524">
        <v>4362</v>
      </c>
      <c r="I20524" t="s">
        <v>79</v>
      </c>
      <c r="J20524">
        <v>7.14</v>
      </c>
      <c r="K20524">
        <v>1.38</v>
      </c>
      <c r="L20524">
        <v>44222</v>
      </c>
      <c r="M20524" t="s">
        <v>232</v>
      </c>
      <c r="N20524" t="str">
        <f>"12314024098 "</f>
        <v xml:space="preserve">12314024098 </v>
      </c>
      <c r="O20524">
        <v>230414</v>
      </c>
    </row>
    <row r="20525" spans="1:15" x14ac:dyDescent="0.25">
      <c r="A20525" t="s">
        <v>16</v>
      </c>
      <c r="B20525" t="s">
        <v>3221</v>
      </c>
      <c r="C20525">
        <v>4899</v>
      </c>
      <c r="D20525" t="s">
        <v>263</v>
      </c>
      <c r="E20525" t="s">
        <v>264</v>
      </c>
      <c r="F20525">
        <v>19.62</v>
      </c>
      <c r="G20525">
        <v>230404</v>
      </c>
      <c r="H20525">
        <v>4362</v>
      </c>
      <c r="I20525" t="s">
        <v>79</v>
      </c>
      <c r="J20525">
        <v>24.33</v>
      </c>
      <c r="K20525">
        <v>4.71</v>
      </c>
      <c r="L20525">
        <v>44222</v>
      </c>
      <c r="M20525" t="s">
        <v>232</v>
      </c>
      <c r="N20525" t="str">
        <f>"12314024098 "</f>
        <v xml:space="preserve">12314024098 </v>
      </c>
      <c r="O20525">
        <v>230414</v>
      </c>
    </row>
    <row r="20526" spans="1:15" x14ac:dyDescent="0.25">
      <c r="A20526" t="s">
        <v>16</v>
      </c>
      <c r="B20526" t="s">
        <v>3221</v>
      </c>
      <c r="C20526">
        <v>4899</v>
      </c>
      <c r="D20526" t="s">
        <v>263</v>
      </c>
      <c r="E20526" t="s">
        <v>264</v>
      </c>
      <c r="F20526">
        <v>2.7</v>
      </c>
      <c r="G20526">
        <v>230404</v>
      </c>
      <c r="H20526">
        <v>4362</v>
      </c>
      <c r="I20526" t="s">
        <v>79</v>
      </c>
      <c r="J20526">
        <v>3.35</v>
      </c>
      <c r="K20526">
        <v>0.65</v>
      </c>
      <c r="L20526">
        <v>44251</v>
      </c>
      <c r="M20526" t="s">
        <v>156</v>
      </c>
      <c r="N20526" t="str">
        <f>"12314024098 "</f>
        <v xml:space="preserve">12314024098 </v>
      </c>
      <c r="O20526">
        <v>230414</v>
      </c>
    </row>
    <row r="20527" spans="1:15" x14ac:dyDescent="0.25">
      <c r="A20527" t="s">
        <v>16</v>
      </c>
      <c r="B20527" t="s">
        <v>3221</v>
      </c>
      <c r="C20527">
        <v>4899</v>
      </c>
      <c r="D20527" t="s">
        <v>263</v>
      </c>
      <c r="E20527" t="s">
        <v>264</v>
      </c>
      <c r="F20527">
        <v>2.5499999999999998</v>
      </c>
      <c r="G20527">
        <v>230404</v>
      </c>
      <c r="H20527">
        <v>4362</v>
      </c>
      <c r="I20527" t="s">
        <v>79</v>
      </c>
      <c r="J20527">
        <v>3.16</v>
      </c>
      <c r="K20527">
        <v>0.61</v>
      </c>
      <c r="L20527">
        <v>44253</v>
      </c>
      <c r="M20527" t="s">
        <v>1058</v>
      </c>
      <c r="N20527" t="str">
        <f>"12314024098 "</f>
        <v xml:space="preserve">12314024098 </v>
      </c>
      <c r="O20527">
        <v>230414</v>
      </c>
    </row>
    <row r="20528" spans="1:15" x14ac:dyDescent="0.25">
      <c r="A20528" t="s">
        <v>16</v>
      </c>
      <c r="B20528" t="s">
        <v>3221</v>
      </c>
      <c r="C20528">
        <v>4899</v>
      </c>
      <c r="D20528" t="s">
        <v>263</v>
      </c>
      <c r="E20528" t="s">
        <v>264</v>
      </c>
      <c r="F20528">
        <v>3.35</v>
      </c>
      <c r="G20528">
        <v>230404</v>
      </c>
      <c r="H20528">
        <v>4362</v>
      </c>
      <c r="I20528" t="s">
        <v>79</v>
      </c>
      <c r="J20528">
        <v>3.35</v>
      </c>
      <c r="K20528">
        <v>0</v>
      </c>
      <c r="L20528">
        <v>49702</v>
      </c>
      <c r="M20528" t="s">
        <v>584</v>
      </c>
      <c r="N20528" t="str">
        <f>"12314024098 "</f>
        <v xml:space="preserve">12314024098 </v>
      </c>
      <c r="O20528">
        <v>230414</v>
      </c>
    </row>
    <row r="20529" spans="1:15" x14ac:dyDescent="0.25">
      <c r="A20529" t="s">
        <v>16</v>
      </c>
      <c r="B20529" t="s">
        <v>3221</v>
      </c>
      <c r="C20529">
        <v>4902</v>
      </c>
      <c r="D20529" t="s">
        <v>263</v>
      </c>
      <c r="E20529" t="s">
        <v>264</v>
      </c>
      <c r="F20529">
        <v>6.69</v>
      </c>
      <c r="G20529">
        <v>230404</v>
      </c>
      <c r="H20529">
        <v>4362</v>
      </c>
      <c r="I20529" t="s">
        <v>79</v>
      </c>
      <c r="J20529">
        <v>8.2899999999999991</v>
      </c>
      <c r="K20529">
        <v>1.6</v>
      </c>
      <c r="L20529">
        <v>46555</v>
      </c>
      <c r="M20529" t="s">
        <v>597</v>
      </c>
      <c r="N20529" t="str">
        <f>"12314024100 "</f>
        <v xml:space="preserve">12314024100 </v>
      </c>
      <c r="O20529">
        <v>230414</v>
      </c>
    </row>
    <row r="20530" spans="1:15" x14ac:dyDescent="0.25">
      <c r="A20530" t="s">
        <v>16</v>
      </c>
      <c r="B20530" t="s">
        <v>3221</v>
      </c>
      <c r="C20530">
        <v>4902</v>
      </c>
      <c r="D20530" t="s">
        <v>263</v>
      </c>
      <c r="E20530" t="s">
        <v>264</v>
      </c>
      <c r="F20530">
        <v>26.77</v>
      </c>
      <c r="G20530">
        <v>230404</v>
      </c>
      <c r="H20530">
        <v>4362</v>
      </c>
      <c r="I20530" t="s">
        <v>79</v>
      </c>
      <c r="J20530">
        <v>33.19</v>
      </c>
      <c r="K20530">
        <v>6.42</v>
      </c>
      <c r="L20530">
        <v>48601</v>
      </c>
      <c r="M20530" t="s">
        <v>1047</v>
      </c>
      <c r="N20530" t="str">
        <f>"12314024100 "</f>
        <v xml:space="preserve">12314024100 </v>
      </c>
      <c r="O20530">
        <v>230414</v>
      </c>
    </row>
    <row r="20531" spans="1:15" x14ac:dyDescent="0.25">
      <c r="A20531" t="s">
        <v>16</v>
      </c>
      <c r="B20531" t="s">
        <v>3221</v>
      </c>
      <c r="C20531">
        <v>4902</v>
      </c>
      <c r="D20531" t="s">
        <v>263</v>
      </c>
      <c r="E20531" t="s">
        <v>264</v>
      </c>
      <c r="F20531">
        <v>2.7</v>
      </c>
      <c r="G20531">
        <v>230404</v>
      </c>
      <c r="H20531">
        <v>4362</v>
      </c>
      <c r="I20531" t="s">
        <v>79</v>
      </c>
      <c r="J20531">
        <v>3.35</v>
      </c>
      <c r="K20531">
        <v>0.65</v>
      </c>
      <c r="L20531">
        <v>49702</v>
      </c>
      <c r="M20531" t="s">
        <v>584</v>
      </c>
      <c r="N20531" t="str">
        <f>"12314024100 "</f>
        <v xml:space="preserve">12314024100 </v>
      </c>
      <c r="O20531">
        <v>230414</v>
      </c>
    </row>
    <row r="20532" spans="1:15" x14ac:dyDescent="0.25">
      <c r="A20532" t="s">
        <v>16</v>
      </c>
      <c r="B20532" t="s">
        <v>3221</v>
      </c>
      <c r="C20532">
        <v>4949</v>
      </c>
      <c r="D20532" t="s">
        <v>263</v>
      </c>
      <c r="E20532" t="s">
        <v>264</v>
      </c>
      <c r="F20532">
        <v>5.03</v>
      </c>
      <c r="G20532">
        <v>230404</v>
      </c>
      <c r="H20532">
        <v>4362</v>
      </c>
      <c r="I20532" t="s">
        <v>79</v>
      </c>
      <c r="J20532">
        <v>5.03</v>
      </c>
      <c r="K20532">
        <v>0</v>
      </c>
      <c r="L20532">
        <v>59702</v>
      </c>
      <c r="M20532" t="s">
        <v>328</v>
      </c>
      <c r="N20532" t="str">
        <f>"12314024085 "</f>
        <v xml:space="preserve">12314024085 </v>
      </c>
      <c r="O20532">
        <v>230414</v>
      </c>
    </row>
    <row r="20533" spans="1:15" x14ac:dyDescent="0.25">
      <c r="A20533" t="s">
        <v>16</v>
      </c>
      <c r="B20533" t="s">
        <v>3221</v>
      </c>
      <c r="C20533">
        <v>4949</v>
      </c>
      <c r="D20533" t="s">
        <v>263</v>
      </c>
      <c r="E20533" t="s">
        <v>264</v>
      </c>
      <c r="F20533">
        <v>16.809999999999999</v>
      </c>
      <c r="G20533">
        <v>230404</v>
      </c>
      <c r="H20533">
        <v>4362</v>
      </c>
      <c r="I20533" t="s">
        <v>79</v>
      </c>
      <c r="J20533">
        <v>20.84</v>
      </c>
      <c r="K20533">
        <v>4.03</v>
      </c>
      <c r="L20533">
        <v>59702</v>
      </c>
      <c r="M20533" t="s">
        <v>328</v>
      </c>
      <c r="N20533" t="str">
        <f>"12314024085 "</f>
        <v xml:space="preserve">12314024085 </v>
      </c>
      <c r="O20533">
        <v>230414</v>
      </c>
    </row>
    <row r="20534" spans="1:15" x14ac:dyDescent="0.25">
      <c r="A20534" t="s">
        <v>16</v>
      </c>
      <c r="B20534" t="s">
        <v>3221</v>
      </c>
      <c r="C20534">
        <v>4949</v>
      </c>
      <c r="D20534" t="s">
        <v>263</v>
      </c>
      <c r="E20534" t="s">
        <v>264</v>
      </c>
      <c r="F20534">
        <v>9.59</v>
      </c>
      <c r="G20534">
        <v>230404</v>
      </c>
      <c r="H20534">
        <v>4362</v>
      </c>
      <c r="I20534" t="s">
        <v>79</v>
      </c>
      <c r="J20534">
        <v>11.89</v>
      </c>
      <c r="K20534">
        <v>2.2999999999999998</v>
      </c>
      <c r="L20534">
        <v>59704</v>
      </c>
      <c r="M20534" t="s">
        <v>1103</v>
      </c>
      <c r="N20534" t="str">
        <f>"12314024085 "</f>
        <v xml:space="preserve">12314024085 </v>
      </c>
      <c r="O20534">
        <v>230414</v>
      </c>
    </row>
    <row r="20535" spans="1:15" x14ac:dyDescent="0.25">
      <c r="A20535" t="s">
        <v>16</v>
      </c>
      <c r="B20535" t="s">
        <v>3221</v>
      </c>
      <c r="C20535">
        <v>4966</v>
      </c>
      <c r="D20535" t="s">
        <v>263</v>
      </c>
      <c r="E20535" t="s">
        <v>264</v>
      </c>
      <c r="F20535">
        <v>2.5499999999999998</v>
      </c>
      <c r="G20535">
        <v>230404</v>
      </c>
      <c r="H20535">
        <v>4362</v>
      </c>
      <c r="I20535" t="s">
        <v>79</v>
      </c>
      <c r="J20535">
        <v>3.16</v>
      </c>
      <c r="K20535">
        <v>0.61</v>
      </c>
      <c r="L20535">
        <v>53222</v>
      </c>
      <c r="M20535" t="s">
        <v>445</v>
      </c>
      <c r="N20535" t="str">
        <f>"12314024113 "</f>
        <v xml:space="preserve">12314024113 </v>
      </c>
      <c r="O20535">
        <v>230414</v>
      </c>
    </row>
    <row r="20536" spans="1:15" x14ac:dyDescent="0.25">
      <c r="A20536" t="s">
        <v>16</v>
      </c>
      <c r="B20536" t="s">
        <v>3221</v>
      </c>
      <c r="C20536">
        <v>4966</v>
      </c>
      <c r="D20536" t="s">
        <v>263</v>
      </c>
      <c r="E20536" t="s">
        <v>264</v>
      </c>
      <c r="F20536">
        <v>14.44</v>
      </c>
      <c r="G20536">
        <v>230404</v>
      </c>
      <c r="H20536">
        <v>4362</v>
      </c>
      <c r="I20536" t="s">
        <v>79</v>
      </c>
      <c r="J20536">
        <v>17.91</v>
      </c>
      <c r="K20536">
        <v>3.47</v>
      </c>
      <c r="L20536">
        <v>53222</v>
      </c>
      <c r="M20536" t="s">
        <v>445</v>
      </c>
      <c r="N20536" t="str">
        <f>"12314024113 "</f>
        <v xml:space="preserve">12314024113 </v>
      </c>
      <c r="O20536">
        <v>230414</v>
      </c>
    </row>
    <row r="20537" spans="1:15" x14ac:dyDescent="0.25">
      <c r="A20537" t="s">
        <v>16</v>
      </c>
      <c r="B20537" t="s">
        <v>3221</v>
      </c>
      <c r="C20537">
        <v>4966</v>
      </c>
      <c r="D20537" t="s">
        <v>263</v>
      </c>
      <c r="E20537" t="s">
        <v>264</v>
      </c>
      <c r="F20537">
        <v>2.7</v>
      </c>
      <c r="G20537">
        <v>230404</v>
      </c>
      <c r="H20537">
        <v>4362</v>
      </c>
      <c r="I20537" t="s">
        <v>79</v>
      </c>
      <c r="J20537">
        <v>3.35</v>
      </c>
      <c r="K20537">
        <v>0.65</v>
      </c>
      <c r="L20537">
        <v>54622</v>
      </c>
      <c r="M20537" t="s">
        <v>872</v>
      </c>
      <c r="N20537" t="str">
        <f>"12314024113 "</f>
        <v xml:space="preserve">12314024113 </v>
      </c>
      <c r="O20537">
        <v>230414</v>
      </c>
    </row>
    <row r="20538" spans="1:15" x14ac:dyDescent="0.25">
      <c r="A20538" t="s">
        <v>16</v>
      </c>
      <c r="B20538" t="s">
        <v>3221</v>
      </c>
      <c r="C20538">
        <v>4966</v>
      </c>
      <c r="D20538" t="s">
        <v>263</v>
      </c>
      <c r="E20538" t="s">
        <v>264</v>
      </c>
      <c r="F20538">
        <v>18.05</v>
      </c>
      <c r="G20538">
        <v>230404</v>
      </c>
      <c r="H20538">
        <v>4362</v>
      </c>
      <c r="I20538" t="s">
        <v>79</v>
      </c>
      <c r="J20538">
        <v>22.38</v>
      </c>
      <c r="K20538">
        <v>4.33</v>
      </c>
      <c r="L20538">
        <v>55222</v>
      </c>
      <c r="M20538" t="s">
        <v>873</v>
      </c>
      <c r="N20538" t="str">
        <f>"12314024113 "</f>
        <v xml:space="preserve">12314024113 </v>
      </c>
      <c r="O20538">
        <v>230414</v>
      </c>
    </row>
    <row r="20539" spans="1:15" x14ac:dyDescent="0.25">
      <c r="A20539" t="s">
        <v>16</v>
      </c>
      <c r="B20539" t="s">
        <v>3221</v>
      </c>
      <c r="C20539">
        <v>4980</v>
      </c>
      <c r="D20539" t="s">
        <v>263</v>
      </c>
      <c r="E20539" t="s">
        <v>264</v>
      </c>
      <c r="F20539">
        <v>2.7</v>
      </c>
      <c r="G20539">
        <v>230404</v>
      </c>
      <c r="H20539">
        <v>4362</v>
      </c>
      <c r="I20539" t="s">
        <v>79</v>
      </c>
      <c r="J20539">
        <v>3.35</v>
      </c>
      <c r="K20539">
        <v>0.65</v>
      </c>
      <c r="L20539">
        <v>51157</v>
      </c>
      <c r="M20539" t="s">
        <v>1216</v>
      </c>
      <c r="N20539" t="str">
        <f t="shared" ref="N20539:N20549" si="303">"12314024089 "</f>
        <v xml:space="preserve">12314024089 </v>
      </c>
      <c r="O20539">
        <v>230414</v>
      </c>
    </row>
    <row r="20540" spans="1:15" x14ac:dyDescent="0.25">
      <c r="A20540" t="s">
        <v>16</v>
      </c>
      <c r="B20540" t="s">
        <v>3221</v>
      </c>
      <c r="C20540">
        <v>4980</v>
      </c>
      <c r="D20540" t="s">
        <v>263</v>
      </c>
      <c r="E20540" t="s">
        <v>264</v>
      </c>
      <c r="F20540">
        <v>2.7</v>
      </c>
      <c r="G20540">
        <v>230404</v>
      </c>
      <c r="H20540">
        <v>4362</v>
      </c>
      <c r="I20540" t="s">
        <v>79</v>
      </c>
      <c r="J20540">
        <v>3.35</v>
      </c>
      <c r="K20540">
        <v>0.65</v>
      </c>
      <c r="L20540">
        <v>56526</v>
      </c>
      <c r="M20540" t="s">
        <v>1217</v>
      </c>
      <c r="N20540" t="str">
        <f t="shared" si="303"/>
        <v xml:space="preserve">12314024089 </v>
      </c>
      <c r="O20540">
        <v>230414</v>
      </c>
    </row>
    <row r="20541" spans="1:15" x14ac:dyDescent="0.25">
      <c r="A20541" t="s">
        <v>16</v>
      </c>
      <c r="B20541" t="s">
        <v>3221</v>
      </c>
      <c r="C20541">
        <v>4980</v>
      </c>
      <c r="D20541" t="s">
        <v>263</v>
      </c>
      <c r="E20541" t="s">
        <v>264</v>
      </c>
      <c r="F20541">
        <v>14.58</v>
      </c>
      <c r="G20541">
        <v>230404</v>
      </c>
      <c r="H20541">
        <v>4362</v>
      </c>
      <c r="I20541" t="s">
        <v>79</v>
      </c>
      <c r="J20541">
        <v>18.079999999999998</v>
      </c>
      <c r="K20541">
        <v>3.5</v>
      </c>
      <c r="L20541">
        <v>56558</v>
      </c>
      <c r="M20541" t="s">
        <v>217</v>
      </c>
      <c r="N20541" t="str">
        <f t="shared" si="303"/>
        <v xml:space="preserve">12314024089 </v>
      </c>
      <c r="O20541">
        <v>230414</v>
      </c>
    </row>
    <row r="20542" spans="1:15" x14ac:dyDescent="0.25">
      <c r="A20542" t="s">
        <v>16</v>
      </c>
      <c r="B20542" t="s">
        <v>3221</v>
      </c>
      <c r="C20542">
        <v>4980</v>
      </c>
      <c r="D20542" t="s">
        <v>263</v>
      </c>
      <c r="E20542" t="s">
        <v>264</v>
      </c>
      <c r="F20542">
        <v>33.08</v>
      </c>
      <c r="G20542">
        <v>230404</v>
      </c>
      <c r="H20542">
        <v>4362</v>
      </c>
      <c r="I20542" t="s">
        <v>79</v>
      </c>
      <c r="J20542">
        <v>41.02</v>
      </c>
      <c r="K20542">
        <v>7.94</v>
      </c>
      <c r="L20542">
        <v>56559</v>
      </c>
      <c r="M20542" t="s">
        <v>129</v>
      </c>
      <c r="N20542" t="str">
        <f t="shared" si="303"/>
        <v xml:space="preserve">12314024089 </v>
      </c>
      <c r="O20542">
        <v>230414</v>
      </c>
    </row>
    <row r="20543" spans="1:15" x14ac:dyDescent="0.25">
      <c r="A20543" t="s">
        <v>16</v>
      </c>
      <c r="B20543" t="s">
        <v>3221</v>
      </c>
      <c r="C20543">
        <v>4980</v>
      </c>
      <c r="D20543" t="s">
        <v>263</v>
      </c>
      <c r="E20543" t="s">
        <v>264</v>
      </c>
      <c r="F20543">
        <v>13.69</v>
      </c>
      <c r="G20543">
        <v>230404</v>
      </c>
      <c r="H20543">
        <v>4362</v>
      </c>
      <c r="I20543" t="s">
        <v>79</v>
      </c>
      <c r="J20543">
        <v>16.98</v>
      </c>
      <c r="K20543">
        <v>3.29</v>
      </c>
      <c r="L20543">
        <v>56560</v>
      </c>
      <c r="M20543" t="s">
        <v>654</v>
      </c>
      <c r="N20543" t="str">
        <f t="shared" si="303"/>
        <v xml:space="preserve">12314024089 </v>
      </c>
      <c r="O20543">
        <v>230414</v>
      </c>
    </row>
    <row r="20544" spans="1:15" x14ac:dyDescent="0.25">
      <c r="A20544" t="s">
        <v>16</v>
      </c>
      <c r="B20544" t="s">
        <v>3221</v>
      </c>
      <c r="C20544">
        <v>4980</v>
      </c>
      <c r="D20544" t="s">
        <v>263</v>
      </c>
      <c r="E20544" t="s">
        <v>264</v>
      </c>
      <c r="F20544">
        <v>3.52</v>
      </c>
      <c r="G20544">
        <v>230404</v>
      </c>
      <c r="H20544">
        <v>4362</v>
      </c>
      <c r="I20544" t="s">
        <v>79</v>
      </c>
      <c r="J20544">
        <v>4.3600000000000003</v>
      </c>
      <c r="K20544">
        <v>0.84</v>
      </c>
      <c r="L20544">
        <v>56561</v>
      </c>
      <c r="M20544" t="s">
        <v>358</v>
      </c>
      <c r="N20544" t="str">
        <f t="shared" si="303"/>
        <v xml:space="preserve">12314024089 </v>
      </c>
      <c r="O20544">
        <v>230414</v>
      </c>
    </row>
    <row r="20545" spans="1:15" x14ac:dyDescent="0.25">
      <c r="A20545" t="s">
        <v>16</v>
      </c>
      <c r="B20545" t="s">
        <v>3221</v>
      </c>
      <c r="C20545">
        <v>4980</v>
      </c>
      <c r="D20545" t="s">
        <v>263</v>
      </c>
      <c r="E20545" t="s">
        <v>264</v>
      </c>
      <c r="F20545">
        <v>5.52</v>
      </c>
      <c r="G20545">
        <v>230404</v>
      </c>
      <c r="H20545">
        <v>4362</v>
      </c>
      <c r="I20545" t="s">
        <v>79</v>
      </c>
      <c r="J20545">
        <v>6.84</v>
      </c>
      <c r="K20545">
        <v>1.32</v>
      </c>
      <c r="L20545">
        <v>56562</v>
      </c>
      <c r="M20545" t="s">
        <v>126</v>
      </c>
      <c r="N20545" t="str">
        <f t="shared" si="303"/>
        <v xml:space="preserve">12314024089 </v>
      </c>
      <c r="O20545">
        <v>230414</v>
      </c>
    </row>
    <row r="20546" spans="1:15" x14ac:dyDescent="0.25">
      <c r="A20546" t="s">
        <v>16</v>
      </c>
      <c r="B20546" t="s">
        <v>3221</v>
      </c>
      <c r="C20546">
        <v>4980</v>
      </c>
      <c r="D20546" t="s">
        <v>263</v>
      </c>
      <c r="E20546" t="s">
        <v>264</v>
      </c>
      <c r="F20546">
        <v>9.15</v>
      </c>
      <c r="G20546">
        <v>230404</v>
      </c>
      <c r="H20546">
        <v>4362</v>
      </c>
      <c r="I20546" t="s">
        <v>79</v>
      </c>
      <c r="J20546">
        <v>11.35</v>
      </c>
      <c r="K20546">
        <v>2.2000000000000002</v>
      </c>
      <c r="L20546">
        <v>56564</v>
      </c>
      <c r="M20546" t="s">
        <v>327</v>
      </c>
      <c r="N20546" t="str">
        <f t="shared" si="303"/>
        <v xml:space="preserve">12314024089 </v>
      </c>
      <c r="O20546">
        <v>230414</v>
      </c>
    </row>
    <row r="20547" spans="1:15" x14ac:dyDescent="0.25">
      <c r="A20547" t="s">
        <v>16</v>
      </c>
      <c r="B20547" t="s">
        <v>3221</v>
      </c>
      <c r="C20547">
        <v>4980</v>
      </c>
      <c r="D20547" t="s">
        <v>263</v>
      </c>
      <c r="E20547" t="s">
        <v>264</v>
      </c>
      <c r="F20547">
        <v>6.54</v>
      </c>
      <c r="G20547">
        <v>230404</v>
      </c>
      <c r="H20547">
        <v>4362</v>
      </c>
      <c r="I20547" t="s">
        <v>79</v>
      </c>
      <c r="J20547">
        <v>8.11</v>
      </c>
      <c r="K20547">
        <v>1.57</v>
      </c>
      <c r="L20547">
        <v>56565</v>
      </c>
      <c r="M20547" t="s">
        <v>758</v>
      </c>
      <c r="N20547" t="str">
        <f t="shared" si="303"/>
        <v xml:space="preserve">12314024089 </v>
      </c>
      <c r="O20547">
        <v>230414</v>
      </c>
    </row>
    <row r="20548" spans="1:15" x14ac:dyDescent="0.25">
      <c r="A20548" t="s">
        <v>16</v>
      </c>
      <c r="B20548" t="s">
        <v>3221</v>
      </c>
      <c r="C20548">
        <v>4980</v>
      </c>
      <c r="D20548" t="s">
        <v>263</v>
      </c>
      <c r="E20548" t="s">
        <v>264</v>
      </c>
      <c r="F20548">
        <v>5.4</v>
      </c>
      <c r="G20548">
        <v>230404</v>
      </c>
      <c r="H20548">
        <v>4362</v>
      </c>
      <c r="I20548" t="s">
        <v>79</v>
      </c>
      <c r="J20548">
        <v>6.7</v>
      </c>
      <c r="K20548">
        <v>1.3</v>
      </c>
      <c r="L20548">
        <v>56566</v>
      </c>
      <c r="M20548" t="s">
        <v>652</v>
      </c>
      <c r="N20548" t="str">
        <f t="shared" si="303"/>
        <v xml:space="preserve">12314024089 </v>
      </c>
      <c r="O20548">
        <v>230414</v>
      </c>
    </row>
    <row r="20549" spans="1:15" x14ac:dyDescent="0.25">
      <c r="A20549" t="s">
        <v>16</v>
      </c>
      <c r="B20549" t="s">
        <v>3221</v>
      </c>
      <c r="C20549">
        <v>4980</v>
      </c>
      <c r="D20549" t="s">
        <v>263</v>
      </c>
      <c r="E20549" t="s">
        <v>264</v>
      </c>
      <c r="F20549">
        <v>2.7</v>
      </c>
      <c r="G20549">
        <v>230404</v>
      </c>
      <c r="H20549">
        <v>4362</v>
      </c>
      <c r="I20549" t="s">
        <v>79</v>
      </c>
      <c r="J20549">
        <v>3.35</v>
      </c>
      <c r="K20549">
        <v>0.65</v>
      </c>
      <c r="L20549">
        <v>56568</v>
      </c>
      <c r="M20549" t="s">
        <v>268</v>
      </c>
      <c r="N20549" t="str">
        <f t="shared" si="303"/>
        <v xml:space="preserve">12314024089 </v>
      </c>
      <c r="O20549">
        <v>230414</v>
      </c>
    </row>
    <row r="20550" spans="1:15" x14ac:dyDescent="0.25">
      <c r="A20550" t="s">
        <v>16</v>
      </c>
      <c r="B20550" t="s">
        <v>3221</v>
      </c>
      <c r="C20550">
        <v>4989</v>
      </c>
      <c r="D20550" t="s">
        <v>263</v>
      </c>
      <c r="E20550" t="s">
        <v>264</v>
      </c>
      <c r="F20550">
        <v>2.7</v>
      </c>
      <c r="G20550">
        <v>230404</v>
      </c>
      <c r="H20550">
        <v>4362</v>
      </c>
      <c r="I20550" t="s">
        <v>79</v>
      </c>
      <c r="J20550">
        <v>3.35</v>
      </c>
      <c r="K20550">
        <v>0.65</v>
      </c>
      <c r="L20550">
        <v>14972</v>
      </c>
      <c r="M20550" t="s">
        <v>898</v>
      </c>
      <c r="N20550" t="str">
        <f t="shared" ref="N20550:N20555" si="304">"12314024082 "</f>
        <v xml:space="preserve">12314024082 </v>
      </c>
      <c r="O20550">
        <v>230417</v>
      </c>
    </row>
    <row r="20551" spans="1:15" x14ac:dyDescent="0.25">
      <c r="A20551" t="s">
        <v>16</v>
      </c>
      <c r="B20551" t="s">
        <v>3221</v>
      </c>
      <c r="C20551">
        <v>4989</v>
      </c>
      <c r="D20551" t="s">
        <v>263</v>
      </c>
      <c r="E20551" t="s">
        <v>264</v>
      </c>
      <c r="F20551">
        <v>5.25</v>
      </c>
      <c r="G20551">
        <v>230404</v>
      </c>
      <c r="H20551">
        <v>4362</v>
      </c>
      <c r="I20551" t="s">
        <v>79</v>
      </c>
      <c r="J20551">
        <v>6.51</v>
      </c>
      <c r="K20551">
        <v>1.26</v>
      </c>
      <c r="L20551">
        <v>17972</v>
      </c>
      <c r="M20551" t="s">
        <v>248</v>
      </c>
      <c r="N20551" t="str">
        <f t="shared" si="304"/>
        <v xml:space="preserve">12314024082 </v>
      </c>
      <c r="O20551">
        <v>230417</v>
      </c>
    </row>
    <row r="20552" spans="1:15" x14ac:dyDescent="0.25">
      <c r="A20552" t="s">
        <v>16</v>
      </c>
      <c r="B20552" t="s">
        <v>3221</v>
      </c>
      <c r="C20552">
        <v>4989</v>
      </c>
      <c r="D20552" t="s">
        <v>263</v>
      </c>
      <c r="E20552" t="s">
        <v>264</v>
      </c>
      <c r="F20552">
        <v>21.57</v>
      </c>
      <c r="G20552">
        <v>230404</v>
      </c>
      <c r="H20552">
        <v>4362</v>
      </c>
      <c r="I20552" t="s">
        <v>79</v>
      </c>
      <c r="J20552">
        <v>26.75</v>
      </c>
      <c r="K20552">
        <v>5.18</v>
      </c>
      <c r="L20552">
        <v>18010</v>
      </c>
      <c r="M20552" t="s">
        <v>1344</v>
      </c>
      <c r="N20552" t="str">
        <f t="shared" si="304"/>
        <v xml:space="preserve">12314024082 </v>
      </c>
      <c r="O20552">
        <v>230417</v>
      </c>
    </row>
    <row r="20553" spans="1:15" x14ac:dyDescent="0.25">
      <c r="A20553" t="s">
        <v>16</v>
      </c>
      <c r="B20553" t="s">
        <v>3221</v>
      </c>
      <c r="C20553">
        <v>4989</v>
      </c>
      <c r="D20553" t="s">
        <v>263</v>
      </c>
      <c r="E20553" t="s">
        <v>264</v>
      </c>
      <c r="F20553">
        <v>41.27</v>
      </c>
      <c r="G20553">
        <v>230404</v>
      </c>
      <c r="H20553">
        <v>4362</v>
      </c>
      <c r="I20553" t="s">
        <v>79</v>
      </c>
      <c r="J20553">
        <v>51.17</v>
      </c>
      <c r="K20553">
        <v>9.9</v>
      </c>
      <c r="L20553">
        <v>18972</v>
      </c>
      <c r="M20553" t="s">
        <v>163</v>
      </c>
      <c r="N20553" t="str">
        <f t="shared" si="304"/>
        <v xml:space="preserve">12314024082 </v>
      </c>
      <c r="O20553">
        <v>230417</v>
      </c>
    </row>
    <row r="20554" spans="1:15" x14ac:dyDescent="0.25">
      <c r="A20554" t="s">
        <v>16</v>
      </c>
      <c r="B20554" t="s">
        <v>3221</v>
      </c>
      <c r="C20554">
        <v>4989</v>
      </c>
      <c r="D20554" t="s">
        <v>263</v>
      </c>
      <c r="E20554" t="s">
        <v>264</v>
      </c>
      <c r="F20554">
        <v>2.7</v>
      </c>
      <c r="G20554">
        <v>230404</v>
      </c>
      <c r="H20554">
        <v>4362</v>
      </c>
      <c r="I20554" t="s">
        <v>79</v>
      </c>
      <c r="J20554">
        <v>3.35</v>
      </c>
      <c r="K20554">
        <v>0.65</v>
      </c>
      <c r="L20554">
        <v>49702</v>
      </c>
      <c r="M20554" t="s">
        <v>584</v>
      </c>
      <c r="N20554" t="str">
        <f t="shared" si="304"/>
        <v xml:space="preserve">12314024082 </v>
      </c>
      <c r="O20554">
        <v>230417</v>
      </c>
    </row>
    <row r="20555" spans="1:15" x14ac:dyDescent="0.25">
      <c r="A20555" t="s">
        <v>16</v>
      </c>
      <c r="B20555" t="s">
        <v>3221</v>
      </c>
      <c r="C20555">
        <v>4989</v>
      </c>
      <c r="D20555" t="s">
        <v>263</v>
      </c>
      <c r="E20555" t="s">
        <v>264</v>
      </c>
      <c r="F20555">
        <v>5.72</v>
      </c>
      <c r="G20555">
        <v>230404</v>
      </c>
      <c r="H20555">
        <v>4362</v>
      </c>
      <c r="I20555" t="s">
        <v>79</v>
      </c>
      <c r="J20555">
        <v>7.09</v>
      </c>
      <c r="K20555">
        <v>1.37</v>
      </c>
      <c r="L20555">
        <v>59702</v>
      </c>
      <c r="M20555" t="s">
        <v>328</v>
      </c>
      <c r="N20555" t="str">
        <f t="shared" si="304"/>
        <v xml:space="preserve">12314024082 </v>
      </c>
      <c r="O20555">
        <v>230417</v>
      </c>
    </row>
    <row r="20556" spans="1:15" x14ac:dyDescent="0.25">
      <c r="A20556" t="s">
        <v>16</v>
      </c>
      <c r="B20556" t="s">
        <v>3221</v>
      </c>
      <c r="C20556">
        <v>5023</v>
      </c>
      <c r="D20556" t="s">
        <v>263</v>
      </c>
      <c r="E20556" t="s">
        <v>264</v>
      </c>
      <c r="F20556">
        <v>2.7</v>
      </c>
      <c r="G20556">
        <v>230404</v>
      </c>
      <c r="H20556">
        <v>4362</v>
      </c>
      <c r="I20556" t="s">
        <v>79</v>
      </c>
      <c r="J20556">
        <v>3.35</v>
      </c>
      <c r="K20556">
        <v>0.65</v>
      </c>
      <c r="L20556">
        <v>54451</v>
      </c>
      <c r="M20556" t="s">
        <v>158</v>
      </c>
      <c r="N20556" t="str">
        <f t="shared" ref="N20556:N20572" si="305">"12314024083 "</f>
        <v xml:space="preserve">12314024083 </v>
      </c>
      <c r="O20556">
        <v>230417</v>
      </c>
    </row>
    <row r="20557" spans="1:15" x14ac:dyDescent="0.25">
      <c r="A20557" t="s">
        <v>16</v>
      </c>
      <c r="B20557" t="s">
        <v>3221</v>
      </c>
      <c r="C20557">
        <v>5023</v>
      </c>
      <c r="D20557" t="s">
        <v>263</v>
      </c>
      <c r="E20557" t="s">
        <v>264</v>
      </c>
      <c r="F20557">
        <v>18.73</v>
      </c>
      <c r="G20557">
        <v>230404</v>
      </c>
      <c r="H20557">
        <v>4362</v>
      </c>
      <c r="I20557" t="s">
        <v>79</v>
      </c>
      <c r="J20557">
        <v>23.23</v>
      </c>
      <c r="K20557">
        <v>4.5</v>
      </c>
      <c r="L20557">
        <v>59111</v>
      </c>
      <c r="M20557" t="s">
        <v>1010</v>
      </c>
      <c r="N20557" t="str">
        <f t="shared" si="305"/>
        <v xml:space="preserve">12314024083 </v>
      </c>
      <c r="O20557">
        <v>230417</v>
      </c>
    </row>
    <row r="20558" spans="1:15" x14ac:dyDescent="0.25">
      <c r="A20558" t="s">
        <v>16</v>
      </c>
      <c r="B20558" t="s">
        <v>3221</v>
      </c>
      <c r="C20558">
        <v>5023</v>
      </c>
      <c r="D20558" t="s">
        <v>263</v>
      </c>
      <c r="E20558" t="s">
        <v>264</v>
      </c>
      <c r="F20558">
        <v>2.7</v>
      </c>
      <c r="G20558">
        <v>230404</v>
      </c>
      <c r="H20558">
        <v>4362</v>
      </c>
      <c r="I20558" t="s">
        <v>79</v>
      </c>
      <c r="J20558">
        <v>3.35</v>
      </c>
      <c r="K20558">
        <v>0.65</v>
      </c>
      <c r="L20558">
        <v>59112</v>
      </c>
      <c r="M20558" t="s">
        <v>182</v>
      </c>
      <c r="N20558" t="str">
        <f t="shared" si="305"/>
        <v xml:space="preserve">12314024083 </v>
      </c>
      <c r="O20558">
        <v>230417</v>
      </c>
    </row>
    <row r="20559" spans="1:15" x14ac:dyDescent="0.25">
      <c r="A20559" t="s">
        <v>16</v>
      </c>
      <c r="B20559" t="s">
        <v>3221</v>
      </c>
      <c r="C20559">
        <v>5023</v>
      </c>
      <c r="D20559" t="s">
        <v>263</v>
      </c>
      <c r="E20559" t="s">
        <v>264</v>
      </c>
      <c r="F20559">
        <v>5.8</v>
      </c>
      <c r="G20559">
        <v>230404</v>
      </c>
      <c r="H20559">
        <v>4362</v>
      </c>
      <c r="I20559" t="s">
        <v>79</v>
      </c>
      <c r="J20559">
        <v>7.19</v>
      </c>
      <c r="K20559">
        <v>1.39</v>
      </c>
      <c r="L20559">
        <v>59113</v>
      </c>
      <c r="M20559" t="s">
        <v>235</v>
      </c>
      <c r="N20559" t="str">
        <f t="shared" si="305"/>
        <v xml:space="preserve">12314024083 </v>
      </c>
      <c r="O20559">
        <v>230417</v>
      </c>
    </row>
    <row r="20560" spans="1:15" x14ac:dyDescent="0.25">
      <c r="A20560" t="s">
        <v>16</v>
      </c>
      <c r="B20560" t="s">
        <v>3221</v>
      </c>
      <c r="C20560">
        <v>5023</v>
      </c>
      <c r="D20560" t="s">
        <v>263</v>
      </c>
      <c r="E20560" t="s">
        <v>264</v>
      </c>
      <c r="F20560">
        <v>8.1</v>
      </c>
      <c r="G20560">
        <v>230404</v>
      </c>
      <c r="H20560">
        <v>4362</v>
      </c>
      <c r="I20560" t="s">
        <v>79</v>
      </c>
      <c r="J20560">
        <v>10.039999999999999</v>
      </c>
      <c r="K20560">
        <v>1.94</v>
      </c>
      <c r="L20560">
        <v>59114</v>
      </c>
      <c r="M20560" t="s">
        <v>556</v>
      </c>
      <c r="N20560" t="str">
        <f t="shared" si="305"/>
        <v xml:space="preserve">12314024083 </v>
      </c>
      <c r="O20560">
        <v>230417</v>
      </c>
    </row>
    <row r="20561" spans="1:15" x14ac:dyDescent="0.25">
      <c r="A20561" t="s">
        <v>16</v>
      </c>
      <c r="B20561" t="s">
        <v>3221</v>
      </c>
      <c r="C20561">
        <v>5023</v>
      </c>
      <c r="D20561" t="s">
        <v>263</v>
      </c>
      <c r="E20561" t="s">
        <v>264</v>
      </c>
      <c r="F20561">
        <v>3.35</v>
      </c>
      <c r="G20561">
        <v>230404</v>
      </c>
      <c r="H20561">
        <v>4362</v>
      </c>
      <c r="I20561" t="s">
        <v>79</v>
      </c>
      <c r="J20561">
        <v>3.35</v>
      </c>
      <c r="K20561">
        <v>0</v>
      </c>
      <c r="L20561">
        <v>59501</v>
      </c>
      <c r="M20561" t="s">
        <v>69</v>
      </c>
      <c r="N20561" t="str">
        <f t="shared" si="305"/>
        <v xml:space="preserve">12314024083 </v>
      </c>
      <c r="O20561">
        <v>230417</v>
      </c>
    </row>
    <row r="20562" spans="1:15" x14ac:dyDescent="0.25">
      <c r="A20562" t="s">
        <v>16</v>
      </c>
      <c r="B20562" t="s">
        <v>3221</v>
      </c>
      <c r="C20562">
        <v>5023</v>
      </c>
      <c r="D20562" t="s">
        <v>263</v>
      </c>
      <c r="E20562" t="s">
        <v>264</v>
      </c>
      <c r="F20562">
        <v>35.159999999999997</v>
      </c>
      <c r="G20562">
        <v>230404</v>
      </c>
      <c r="H20562">
        <v>4362</v>
      </c>
      <c r="I20562" t="s">
        <v>79</v>
      </c>
      <c r="J20562">
        <v>43.6</v>
      </c>
      <c r="K20562">
        <v>8.44</v>
      </c>
      <c r="L20562">
        <v>59501</v>
      </c>
      <c r="M20562" t="s">
        <v>69</v>
      </c>
      <c r="N20562" t="str">
        <f t="shared" si="305"/>
        <v xml:space="preserve">12314024083 </v>
      </c>
      <c r="O20562">
        <v>230417</v>
      </c>
    </row>
    <row r="20563" spans="1:15" x14ac:dyDescent="0.25">
      <c r="A20563" t="s">
        <v>16</v>
      </c>
      <c r="B20563" t="s">
        <v>3221</v>
      </c>
      <c r="C20563">
        <v>5023</v>
      </c>
      <c r="D20563" t="s">
        <v>263</v>
      </c>
      <c r="E20563" t="s">
        <v>264</v>
      </c>
      <c r="F20563">
        <v>31.9</v>
      </c>
      <c r="G20563">
        <v>230404</v>
      </c>
      <c r="H20563">
        <v>4362</v>
      </c>
      <c r="I20563" t="s">
        <v>79</v>
      </c>
      <c r="J20563">
        <v>39.56</v>
      </c>
      <c r="K20563">
        <v>7.66</v>
      </c>
      <c r="L20563">
        <v>59502</v>
      </c>
      <c r="M20563" t="s">
        <v>70</v>
      </c>
      <c r="N20563" t="str">
        <f t="shared" si="305"/>
        <v xml:space="preserve">12314024083 </v>
      </c>
      <c r="O20563">
        <v>230417</v>
      </c>
    </row>
    <row r="20564" spans="1:15" x14ac:dyDescent="0.25">
      <c r="A20564" t="s">
        <v>16</v>
      </c>
      <c r="B20564" t="s">
        <v>3221</v>
      </c>
      <c r="C20564">
        <v>5023</v>
      </c>
      <c r="D20564" t="s">
        <v>263</v>
      </c>
      <c r="E20564" t="s">
        <v>264</v>
      </c>
      <c r="F20564">
        <v>16.03</v>
      </c>
      <c r="G20564">
        <v>230404</v>
      </c>
      <c r="H20564">
        <v>4362</v>
      </c>
      <c r="I20564" t="s">
        <v>79</v>
      </c>
      <c r="J20564">
        <v>19.88</v>
      </c>
      <c r="K20564">
        <v>3.85</v>
      </c>
      <c r="L20564">
        <v>59504</v>
      </c>
      <c r="M20564" t="s">
        <v>71</v>
      </c>
      <c r="N20564" t="str">
        <f t="shared" si="305"/>
        <v xml:space="preserve">12314024083 </v>
      </c>
      <c r="O20564">
        <v>230417</v>
      </c>
    </row>
    <row r="20565" spans="1:15" x14ac:dyDescent="0.25">
      <c r="A20565" t="s">
        <v>16</v>
      </c>
      <c r="B20565" t="s">
        <v>3221</v>
      </c>
      <c r="C20565">
        <v>5023</v>
      </c>
      <c r="D20565" t="s">
        <v>263</v>
      </c>
      <c r="E20565" t="s">
        <v>264</v>
      </c>
      <c r="F20565">
        <v>5.8</v>
      </c>
      <c r="G20565">
        <v>230404</v>
      </c>
      <c r="H20565">
        <v>4362</v>
      </c>
      <c r="I20565" t="s">
        <v>79</v>
      </c>
      <c r="J20565">
        <v>7.19</v>
      </c>
      <c r="K20565">
        <v>1.39</v>
      </c>
      <c r="L20565">
        <v>59505</v>
      </c>
      <c r="M20565" t="s">
        <v>72</v>
      </c>
      <c r="N20565" t="str">
        <f t="shared" si="305"/>
        <v xml:space="preserve">12314024083 </v>
      </c>
      <c r="O20565">
        <v>230417</v>
      </c>
    </row>
    <row r="20566" spans="1:15" x14ac:dyDescent="0.25">
      <c r="A20566" t="s">
        <v>16</v>
      </c>
      <c r="B20566" t="s">
        <v>3221</v>
      </c>
      <c r="C20566">
        <v>5023</v>
      </c>
      <c r="D20566" t="s">
        <v>263</v>
      </c>
      <c r="E20566" t="s">
        <v>264</v>
      </c>
      <c r="F20566">
        <v>14.28</v>
      </c>
      <c r="G20566">
        <v>230404</v>
      </c>
      <c r="H20566">
        <v>4362</v>
      </c>
      <c r="I20566" t="s">
        <v>79</v>
      </c>
      <c r="J20566">
        <v>17.71</v>
      </c>
      <c r="K20566">
        <v>3.43</v>
      </c>
      <c r="L20566">
        <v>59701</v>
      </c>
      <c r="M20566" t="s">
        <v>297</v>
      </c>
      <c r="N20566" t="str">
        <f t="shared" si="305"/>
        <v xml:space="preserve">12314024083 </v>
      </c>
      <c r="O20566">
        <v>230417</v>
      </c>
    </row>
    <row r="20567" spans="1:15" x14ac:dyDescent="0.25">
      <c r="A20567" t="s">
        <v>16</v>
      </c>
      <c r="B20567" t="s">
        <v>3221</v>
      </c>
      <c r="C20567">
        <v>5023</v>
      </c>
      <c r="D20567" t="s">
        <v>263</v>
      </c>
      <c r="E20567" t="s">
        <v>264</v>
      </c>
      <c r="F20567">
        <v>2.7</v>
      </c>
      <c r="G20567">
        <v>230404</v>
      </c>
      <c r="H20567">
        <v>4362</v>
      </c>
      <c r="I20567" t="s">
        <v>79</v>
      </c>
      <c r="J20567">
        <v>3.35</v>
      </c>
      <c r="K20567">
        <v>0.65</v>
      </c>
      <c r="L20567">
        <v>59702</v>
      </c>
      <c r="M20567" t="s">
        <v>328</v>
      </c>
      <c r="N20567" t="str">
        <f t="shared" si="305"/>
        <v xml:space="preserve">12314024083 </v>
      </c>
      <c r="O20567">
        <v>230417</v>
      </c>
    </row>
    <row r="20568" spans="1:15" x14ac:dyDescent="0.25">
      <c r="A20568" t="s">
        <v>16</v>
      </c>
      <c r="B20568" t="s">
        <v>3221</v>
      </c>
      <c r="C20568">
        <v>5023</v>
      </c>
      <c r="D20568" t="s">
        <v>263</v>
      </c>
      <c r="E20568" t="s">
        <v>264</v>
      </c>
      <c r="F20568">
        <v>5.25</v>
      </c>
      <c r="G20568">
        <v>230404</v>
      </c>
      <c r="H20568">
        <v>4362</v>
      </c>
      <c r="I20568" t="s">
        <v>79</v>
      </c>
      <c r="J20568">
        <v>6.51</v>
      </c>
      <c r="K20568">
        <v>1.26</v>
      </c>
      <c r="L20568">
        <v>59704</v>
      </c>
      <c r="M20568" t="s">
        <v>1103</v>
      </c>
      <c r="N20568" t="str">
        <f t="shared" si="305"/>
        <v xml:space="preserve">12314024083 </v>
      </c>
      <c r="O20568">
        <v>230417</v>
      </c>
    </row>
    <row r="20569" spans="1:15" x14ac:dyDescent="0.25">
      <c r="A20569" t="s">
        <v>16</v>
      </c>
      <c r="B20569" t="s">
        <v>3221</v>
      </c>
      <c r="C20569">
        <v>5023</v>
      </c>
      <c r="D20569" t="s">
        <v>263</v>
      </c>
      <c r="E20569" t="s">
        <v>264</v>
      </c>
      <c r="F20569">
        <v>5.4</v>
      </c>
      <c r="G20569">
        <v>230404</v>
      </c>
      <c r="H20569">
        <v>4362</v>
      </c>
      <c r="I20569" t="s">
        <v>79</v>
      </c>
      <c r="J20569">
        <v>6.7</v>
      </c>
      <c r="K20569">
        <v>1.3</v>
      </c>
      <c r="L20569">
        <v>59705</v>
      </c>
      <c r="M20569" t="s">
        <v>843</v>
      </c>
      <c r="N20569" t="str">
        <f t="shared" si="305"/>
        <v xml:space="preserve">12314024083 </v>
      </c>
      <c r="O20569">
        <v>230417</v>
      </c>
    </row>
    <row r="20570" spans="1:15" x14ac:dyDescent="0.25">
      <c r="A20570" t="s">
        <v>16</v>
      </c>
      <c r="B20570" t="s">
        <v>3221</v>
      </c>
      <c r="C20570">
        <v>5023</v>
      </c>
      <c r="D20570" t="s">
        <v>263</v>
      </c>
      <c r="E20570" t="s">
        <v>264</v>
      </c>
      <c r="F20570">
        <v>17.239999999999998</v>
      </c>
      <c r="G20570">
        <v>230404</v>
      </c>
      <c r="H20570">
        <v>4362</v>
      </c>
      <c r="I20570" t="s">
        <v>79</v>
      </c>
      <c r="J20570">
        <v>21.38</v>
      </c>
      <c r="K20570">
        <v>4.1399999999999997</v>
      </c>
      <c r="L20570">
        <v>59802</v>
      </c>
      <c r="M20570" t="s">
        <v>73</v>
      </c>
      <c r="N20570" t="str">
        <f t="shared" si="305"/>
        <v xml:space="preserve">12314024083 </v>
      </c>
      <c r="O20570">
        <v>230417</v>
      </c>
    </row>
    <row r="20571" spans="1:15" x14ac:dyDescent="0.25">
      <c r="A20571" t="s">
        <v>16</v>
      </c>
      <c r="B20571" t="s">
        <v>3221</v>
      </c>
      <c r="C20571">
        <v>5023</v>
      </c>
      <c r="D20571" t="s">
        <v>263</v>
      </c>
      <c r="E20571" t="s">
        <v>264</v>
      </c>
      <c r="F20571">
        <v>11.73</v>
      </c>
      <c r="G20571">
        <v>230404</v>
      </c>
      <c r="H20571">
        <v>4362</v>
      </c>
      <c r="I20571" t="s">
        <v>79</v>
      </c>
      <c r="J20571">
        <v>14.55</v>
      </c>
      <c r="K20571">
        <v>2.82</v>
      </c>
      <c r="L20571">
        <v>59812</v>
      </c>
      <c r="M20571" t="s">
        <v>74</v>
      </c>
      <c r="N20571" t="str">
        <f t="shared" si="305"/>
        <v xml:space="preserve">12314024083 </v>
      </c>
      <c r="O20571">
        <v>230417</v>
      </c>
    </row>
    <row r="20572" spans="1:15" x14ac:dyDescent="0.25">
      <c r="A20572" t="s">
        <v>16</v>
      </c>
      <c r="B20572" t="s">
        <v>3221</v>
      </c>
      <c r="C20572">
        <v>5023</v>
      </c>
      <c r="D20572" t="s">
        <v>263</v>
      </c>
      <c r="E20572" t="s">
        <v>264</v>
      </c>
      <c r="F20572">
        <v>7.51</v>
      </c>
      <c r="G20572">
        <v>230404</v>
      </c>
      <c r="H20572">
        <v>4362</v>
      </c>
      <c r="I20572" t="s">
        <v>79</v>
      </c>
      <c r="J20572">
        <v>9.31</v>
      </c>
      <c r="K20572">
        <v>1.8</v>
      </c>
      <c r="L20572">
        <v>59815</v>
      </c>
      <c r="M20572" t="s">
        <v>1182</v>
      </c>
      <c r="N20572" t="str">
        <f t="shared" si="305"/>
        <v xml:space="preserve">12314024083 </v>
      </c>
      <c r="O20572">
        <v>230417</v>
      </c>
    </row>
    <row r="20573" spans="1:15" x14ac:dyDescent="0.25">
      <c r="A20573" t="s">
        <v>16</v>
      </c>
      <c r="B20573" t="s">
        <v>3221</v>
      </c>
      <c r="C20573">
        <v>5047</v>
      </c>
      <c r="D20573" t="s">
        <v>263</v>
      </c>
      <c r="E20573" t="s">
        <v>264</v>
      </c>
      <c r="F20573">
        <v>2.7</v>
      </c>
      <c r="G20573">
        <v>230404</v>
      </c>
      <c r="H20573">
        <v>4362</v>
      </c>
      <c r="I20573" t="s">
        <v>79</v>
      </c>
      <c r="J20573">
        <v>3.35</v>
      </c>
      <c r="K20573">
        <v>0.65</v>
      </c>
      <c r="L20573">
        <v>13201</v>
      </c>
      <c r="M20573" t="s">
        <v>161</v>
      </c>
      <c r="N20573" t="str">
        <f t="shared" ref="N20573:N20584" si="306">"12314024108 "</f>
        <v xml:space="preserve">12314024108 </v>
      </c>
      <c r="O20573">
        <v>230418</v>
      </c>
    </row>
    <row r="20574" spans="1:15" x14ac:dyDescent="0.25">
      <c r="A20574" t="s">
        <v>16</v>
      </c>
      <c r="B20574" t="s">
        <v>3221</v>
      </c>
      <c r="C20574">
        <v>5047</v>
      </c>
      <c r="D20574" t="s">
        <v>263</v>
      </c>
      <c r="E20574" t="s">
        <v>264</v>
      </c>
      <c r="F20574">
        <v>3.35</v>
      </c>
      <c r="G20574">
        <v>230404</v>
      </c>
      <c r="H20574">
        <v>4362</v>
      </c>
      <c r="I20574" t="s">
        <v>79</v>
      </c>
      <c r="J20574">
        <v>3.35</v>
      </c>
      <c r="K20574">
        <v>0</v>
      </c>
      <c r="L20574">
        <v>13201</v>
      </c>
      <c r="M20574" t="s">
        <v>161</v>
      </c>
      <c r="N20574" t="str">
        <f t="shared" si="306"/>
        <v xml:space="preserve">12314024108 </v>
      </c>
      <c r="O20574">
        <v>230418</v>
      </c>
    </row>
    <row r="20575" spans="1:15" x14ac:dyDescent="0.25">
      <c r="A20575" t="s">
        <v>16</v>
      </c>
      <c r="B20575" t="s">
        <v>3221</v>
      </c>
      <c r="C20575">
        <v>5047</v>
      </c>
      <c r="D20575" t="s">
        <v>263</v>
      </c>
      <c r="E20575" t="s">
        <v>264</v>
      </c>
      <c r="F20575">
        <v>24.29</v>
      </c>
      <c r="G20575">
        <v>230404</v>
      </c>
      <c r="H20575">
        <v>4362</v>
      </c>
      <c r="I20575" t="s">
        <v>79</v>
      </c>
      <c r="J20575">
        <v>30.12</v>
      </c>
      <c r="K20575">
        <v>5.83</v>
      </c>
      <c r="L20575">
        <v>13401</v>
      </c>
      <c r="M20575" t="s">
        <v>80</v>
      </c>
      <c r="N20575" t="str">
        <f t="shared" si="306"/>
        <v xml:space="preserve">12314024108 </v>
      </c>
      <c r="O20575">
        <v>230418</v>
      </c>
    </row>
    <row r="20576" spans="1:15" x14ac:dyDescent="0.25">
      <c r="A20576" t="s">
        <v>16</v>
      </c>
      <c r="B20576" t="s">
        <v>3221</v>
      </c>
      <c r="C20576">
        <v>5047</v>
      </c>
      <c r="D20576" t="s">
        <v>263</v>
      </c>
      <c r="E20576" t="s">
        <v>264</v>
      </c>
      <c r="F20576">
        <v>8.02</v>
      </c>
      <c r="G20576">
        <v>230404</v>
      </c>
      <c r="H20576">
        <v>4362</v>
      </c>
      <c r="I20576" t="s">
        <v>79</v>
      </c>
      <c r="J20576">
        <v>9.9499999999999993</v>
      </c>
      <c r="K20576">
        <v>1.93</v>
      </c>
      <c r="L20576">
        <v>13401</v>
      </c>
      <c r="M20576" t="s">
        <v>80</v>
      </c>
      <c r="N20576" t="str">
        <f t="shared" si="306"/>
        <v xml:space="preserve">12314024108 </v>
      </c>
      <c r="O20576">
        <v>230418</v>
      </c>
    </row>
    <row r="20577" spans="1:15" x14ac:dyDescent="0.25">
      <c r="A20577" t="s">
        <v>16</v>
      </c>
      <c r="B20577" t="s">
        <v>3221</v>
      </c>
      <c r="C20577">
        <v>5047</v>
      </c>
      <c r="D20577" t="s">
        <v>263</v>
      </c>
      <c r="E20577" t="s">
        <v>264</v>
      </c>
      <c r="F20577">
        <v>25.27</v>
      </c>
      <c r="G20577">
        <v>230404</v>
      </c>
      <c r="H20577">
        <v>4362</v>
      </c>
      <c r="I20577" t="s">
        <v>79</v>
      </c>
      <c r="J20577">
        <v>31.34</v>
      </c>
      <c r="K20577">
        <v>6.07</v>
      </c>
      <c r="L20577">
        <v>13501</v>
      </c>
      <c r="M20577" t="s">
        <v>20</v>
      </c>
      <c r="N20577" t="str">
        <f t="shared" si="306"/>
        <v xml:space="preserve">12314024108 </v>
      </c>
      <c r="O20577">
        <v>230418</v>
      </c>
    </row>
    <row r="20578" spans="1:15" x14ac:dyDescent="0.25">
      <c r="A20578" t="s">
        <v>16</v>
      </c>
      <c r="B20578" t="s">
        <v>3221</v>
      </c>
      <c r="C20578">
        <v>5047</v>
      </c>
      <c r="D20578" t="s">
        <v>263</v>
      </c>
      <c r="E20578" t="s">
        <v>264</v>
      </c>
      <c r="F20578">
        <v>2.77</v>
      </c>
      <c r="G20578">
        <v>230404</v>
      </c>
      <c r="H20578">
        <v>4362</v>
      </c>
      <c r="I20578" t="s">
        <v>79</v>
      </c>
      <c r="J20578">
        <v>3.44</v>
      </c>
      <c r="K20578">
        <v>0.67</v>
      </c>
      <c r="L20578">
        <v>13561</v>
      </c>
      <c r="M20578" t="s">
        <v>246</v>
      </c>
      <c r="N20578" t="str">
        <f t="shared" si="306"/>
        <v xml:space="preserve">12314024108 </v>
      </c>
      <c r="O20578">
        <v>230418</v>
      </c>
    </row>
    <row r="20579" spans="1:15" x14ac:dyDescent="0.25">
      <c r="A20579" t="s">
        <v>16</v>
      </c>
      <c r="B20579" t="s">
        <v>3221</v>
      </c>
      <c r="C20579">
        <v>5047</v>
      </c>
      <c r="D20579" t="s">
        <v>263</v>
      </c>
      <c r="E20579" t="s">
        <v>264</v>
      </c>
      <c r="F20579">
        <v>5.4</v>
      </c>
      <c r="G20579">
        <v>230404</v>
      </c>
      <c r="H20579">
        <v>4362</v>
      </c>
      <c r="I20579" t="s">
        <v>79</v>
      </c>
      <c r="J20579">
        <v>6.7</v>
      </c>
      <c r="K20579">
        <v>1.3</v>
      </c>
      <c r="L20579">
        <v>13561</v>
      </c>
      <c r="M20579" t="s">
        <v>246</v>
      </c>
      <c r="N20579" t="str">
        <f t="shared" si="306"/>
        <v xml:space="preserve">12314024108 </v>
      </c>
      <c r="O20579">
        <v>230418</v>
      </c>
    </row>
    <row r="20580" spans="1:15" x14ac:dyDescent="0.25">
      <c r="A20580" t="s">
        <v>16</v>
      </c>
      <c r="B20580" t="s">
        <v>3221</v>
      </c>
      <c r="C20580">
        <v>5047</v>
      </c>
      <c r="D20580" t="s">
        <v>263</v>
      </c>
      <c r="E20580" t="s">
        <v>264</v>
      </c>
      <c r="F20580">
        <v>3.68</v>
      </c>
      <c r="G20580">
        <v>230404</v>
      </c>
      <c r="H20580">
        <v>4362</v>
      </c>
      <c r="I20580" t="s">
        <v>79</v>
      </c>
      <c r="J20580">
        <v>4.5599999999999996</v>
      </c>
      <c r="K20580">
        <v>0.88</v>
      </c>
      <c r="L20580">
        <v>13661</v>
      </c>
      <c r="M20580" t="s">
        <v>247</v>
      </c>
      <c r="N20580" t="str">
        <f t="shared" si="306"/>
        <v xml:space="preserve">12314024108 </v>
      </c>
      <c r="O20580">
        <v>230418</v>
      </c>
    </row>
    <row r="20581" spans="1:15" x14ac:dyDescent="0.25">
      <c r="A20581" t="s">
        <v>16</v>
      </c>
      <c r="B20581" t="s">
        <v>3221</v>
      </c>
      <c r="C20581">
        <v>5047</v>
      </c>
      <c r="D20581" t="s">
        <v>263</v>
      </c>
      <c r="E20581" t="s">
        <v>264</v>
      </c>
      <c r="F20581">
        <v>22.26</v>
      </c>
      <c r="G20581">
        <v>230404</v>
      </c>
      <c r="H20581">
        <v>4362</v>
      </c>
      <c r="I20581" t="s">
        <v>79</v>
      </c>
      <c r="J20581">
        <v>27.6</v>
      </c>
      <c r="K20581">
        <v>5.34</v>
      </c>
      <c r="L20581">
        <v>13801</v>
      </c>
      <c r="M20581" t="s">
        <v>162</v>
      </c>
      <c r="N20581" t="str">
        <f t="shared" si="306"/>
        <v xml:space="preserve">12314024108 </v>
      </c>
      <c r="O20581">
        <v>230418</v>
      </c>
    </row>
    <row r="20582" spans="1:15" x14ac:dyDescent="0.25">
      <c r="A20582" t="s">
        <v>16</v>
      </c>
      <c r="B20582" t="s">
        <v>3221</v>
      </c>
      <c r="C20582">
        <v>5047</v>
      </c>
      <c r="D20582" t="s">
        <v>263</v>
      </c>
      <c r="E20582" t="s">
        <v>264</v>
      </c>
      <c r="F20582">
        <v>16.55</v>
      </c>
      <c r="G20582">
        <v>230404</v>
      </c>
      <c r="H20582">
        <v>4362</v>
      </c>
      <c r="I20582" t="s">
        <v>79</v>
      </c>
      <c r="J20582">
        <v>20.52</v>
      </c>
      <c r="K20582">
        <v>3.97</v>
      </c>
      <c r="L20582">
        <v>13801</v>
      </c>
      <c r="M20582" t="s">
        <v>162</v>
      </c>
      <c r="N20582" t="str">
        <f t="shared" si="306"/>
        <v xml:space="preserve">12314024108 </v>
      </c>
      <c r="O20582">
        <v>230418</v>
      </c>
    </row>
    <row r="20583" spans="1:15" x14ac:dyDescent="0.25">
      <c r="A20583" t="s">
        <v>16</v>
      </c>
      <c r="B20583" t="s">
        <v>3221</v>
      </c>
      <c r="C20583">
        <v>5047</v>
      </c>
      <c r="D20583" t="s">
        <v>263</v>
      </c>
      <c r="E20583" t="s">
        <v>264</v>
      </c>
      <c r="F20583">
        <v>11.39</v>
      </c>
      <c r="G20583">
        <v>230404</v>
      </c>
      <c r="H20583">
        <v>4362</v>
      </c>
      <c r="I20583" t="s">
        <v>79</v>
      </c>
      <c r="J20583">
        <v>14.12</v>
      </c>
      <c r="K20583">
        <v>2.73</v>
      </c>
      <c r="L20583">
        <v>13802</v>
      </c>
      <c r="M20583" t="s">
        <v>200</v>
      </c>
      <c r="N20583" t="str">
        <f t="shared" si="306"/>
        <v xml:space="preserve">12314024108 </v>
      </c>
      <c r="O20583">
        <v>230418</v>
      </c>
    </row>
    <row r="20584" spans="1:15" x14ac:dyDescent="0.25">
      <c r="A20584" t="s">
        <v>16</v>
      </c>
      <c r="B20584" t="s">
        <v>3221</v>
      </c>
      <c r="C20584">
        <v>5047</v>
      </c>
      <c r="D20584" t="s">
        <v>263</v>
      </c>
      <c r="E20584" t="s">
        <v>264</v>
      </c>
      <c r="F20584">
        <v>2.71</v>
      </c>
      <c r="G20584">
        <v>230404</v>
      </c>
      <c r="H20584">
        <v>4362</v>
      </c>
      <c r="I20584" t="s">
        <v>79</v>
      </c>
      <c r="J20584">
        <v>3.36</v>
      </c>
      <c r="K20584">
        <v>0.65</v>
      </c>
      <c r="L20584">
        <v>17971</v>
      </c>
      <c r="M20584" t="s">
        <v>138</v>
      </c>
      <c r="N20584" t="str">
        <f t="shared" si="306"/>
        <v xml:space="preserve">12314024108 </v>
      </c>
      <c r="O20584">
        <v>230418</v>
      </c>
    </row>
    <row r="20585" spans="1:15" x14ac:dyDescent="0.25">
      <c r="A20585" t="s">
        <v>16</v>
      </c>
      <c r="B20585" t="s">
        <v>3221</v>
      </c>
      <c r="C20585">
        <v>5083</v>
      </c>
      <c r="D20585" t="s">
        <v>263</v>
      </c>
      <c r="E20585" t="s">
        <v>264</v>
      </c>
      <c r="F20585">
        <v>2.7</v>
      </c>
      <c r="G20585">
        <v>230404</v>
      </c>
      <c r="H20585">
        <v>4362</v>
      </c>
      <c r="I20585" t="s">
        <v>79</v>
      </c>
      <c r="J20585">
        <v>3.35</v>
      </c>
      <c r="K20585">
        <v>0.65</v>
      </c>
      <c r="L20585">
        <v>56522</v>
      </c>
      <c r="M20585" t="s">
        <v>43</v>
      </c>
      <c r="N20585" t="str">
        <f>"12314024084 "</f>
        <v xml:space="preserve">12314024084 </v>
      </c>
      <c r="O20585">
        <v>230418</v>
      </c>
    </row>
    <row r="20586" spans="1:15" x14ac:dyDescent="0.25">
      <c r="A20586" t="s">
        <v>16</v>
      </c>
      <c r="B20586" t="s">
        <v>3221</v>
      </c>
      <c r="C20586">
        <v>5083</v>
      </c>
      <c r="D20586" t="s">
        <v>263</v>
      </c>
      <c r="E20586" t="s">
        <v>264</v>
      </c>
      <c r="F20586">
        <v>25.84</v>
      </c>
      <c r="G20586">
        <v>230404</v>
      </c>
      <c r="H20586">
        <v>4362</v>
      </c>
      <c r="I20586" t="s">
        <v>79</v>
      </c>
      <c r="J20586">
        <v>32.04</v>
      </c>
      <c r="K20586">
        <v>6.2</v>
      </c>
      <c r="L20586">
        <v>56524</v>
      </c>
      <c r="M20586" t="s">
        <v>150</v>
      </c>
      <c r="N20586" t="str">
        <f>"12314024084 "</f>
        <v xml:space="preserve">12314024084 </v>
      </c>
      <c r="O20586">
        <v>230418</v>
      </c>
    </row>
    <row r="20587" spans="1:15" x14ac:dyDescent="0.25">
      <c r="A20587" t="s">
        <v>16</v>
      </c>
      <c r="B20587" t="s">
        <v>3221</v>
      </c>
      <c r="C20587">
        <v>5083</v>
      </c>
      <c r="D20587" t="s">
        <v>263</v>
      </c>
      <c r="E20587" t="s">
        <v>264</v>
      </c>
      <c r="F20587">
        <v>8.1</v>
      </c>
      <c r="G20587">
        <v>230404</v>
      </c>
      <c r="H20587">
        <v>4362</v>
      </c>
      <c r="I20587" t="s">
        <v>79</v>
      </c>
      <c r="J20587">
        <v>10.039999999999999</v>
      </c>
      <c r="K20587">
        <v>1.94</v>
      </c>
      <c r="L20587">
        <v>56528</v>
      </c>
      <c r="M20587" t="s">
        <v>153</v>
      </c>
      <c r="N20587" t="str">
        <f>"12314024084 "</f>
        <v xml:space="preserve">12314024084 </v>
      </c>
      <c r="O20587">
        <v>230418</v>
      </c>
    </row>
    <row r="20588" spans="1:15" x14ac:dyDescent="0.25">
      <c r="A20588" t="s">
        <v>16</v>
      </c>
      <c r="B20588" t="s">
        <v>3221</v>
      </c>
      <c r="C20588">
        <v>5086</v>
      </c>
      <c r="D20588" t="s">
        <v>263</v>
      </c>
      <c r="E20588" t="s">
        <v>264</v>
      </c>
      <c r="F20588">
        <v>2.7</v>
      </c>
      <c r="G20588">
        <v>230404</v>
      </c>
      <c r="H20588">
        <v>4362</v>
      </c>
      <c r="I20588" t="s">
        <v>79</v>
      </c>
      <c r="J20588">
        <v>3.35</v>
      </c>
      <c r="K20588">
        <v>0.65</v>
      </c>
      <c r="L20588">
        <v>51138</v>
      </c>
      <c r="M20588" t="s">
        <v>1162</v>
      </c>
      <c r="N20588" t="str">
        <f t="shared" ref="N20588:N20595" si="307">"12314024087 "</f>
        <v xml:space="preserve">12314024087 </v>
      </c>
      <c r="O20588">
        <v>230418</v>
      </c>
    </row>
    <row r="20589" spans="1:15" x14ac:dyDescent="0.25">
      <c r="A20589" t="s">
        <v>16</v>
      </c>
      <c r="B20589" t="s">
        <v>3221</v>
      </c>
      <c r="C20589">
        <v>5086</v>
      </c>
      <c r="D20589" t="s">
        <v>263</v>
      </c>
      <c r="E20589" t="s">
        <v>264</v>
      </c>
      <c r="F20589">
        <v>16.190000000000001</v>
      </c>
      <c r="G20589">
        <v>230404</v>
      </c>
      <c r="H20589">
        <v>4362</v>
      </c>
      <c r="I20589" t="s">
        <v>79</v>
      </c>
      <c r="J20589">
        <v>20.079999999999998</v>
      </c>
      <c r="K20589">
        <v>3.89</v>
      </c>
      <c r="L20589">
        <v>54222</v>
      </c>
      <c r="M20589" t="s">
        <v>308</v>
      </c>
      <c r="N20589" t="str">
        <f t="shared" si="307"/>
        <v xml:space="preserve">12314024087 </v>
      </c>
      <c r="O20589">
        <v>230418</v>
      </c>
    </row>
    <row r="20590" spans="1:15" x14ac:dyDescent="0.25">
      <c r="A20590" t="s">
        <v>16</v>
      </c>
      <c r="B20590" t="s">
        <v>3221</v>
      </c>
      <c r="C20590">
        <v>5086</v>
      </c>
      <c r="D20590" t="s">
        <v>263</v>
      </c>
      <c r="E20590" t="s">
        <v>264</v>
      </c>
      <c r="F20590">
        <v>2.7</v>
      </c>
      <c r="G20590">
        <v>230404</v>
      </c>
      <c r="H20590">
        <v>4362</v>
      </c>
      <c r="I20590" t="s">
        <v>79</v>
      </c>
      <c r="J20590">
        <v>3.35</v>
      </c>
      <c r="K20590">
        <v>0.65</v>
      </c>
      <c r="L20590">
        <v>54251</v>
      </c>
      <c r="M20590" t="s">
        <v>309</v>
      </c>
      <c r="N20590" t="str">
        <f t="shared" si="307"/>
        <v xml:space="preserve">12314024087 </v>
      </c>
      <c r="O20590">
        <v>230418</v>
      </c>
    </row>
    <row r="20591" spans="1:15" x14ac:dyDescent="0.25">
      <c r="A20591" t="s">
        <v>16</v>
      </c>
      <c r="B20591" t="s">
        <v>3221</v>
      </c>
      <c r="C20591">
        <v>5086</v>
      </c>
      <c r="D20591" t="s">
        <v>263</v>
      </c>
      <c r="E20591" t="s">
        <v>264</v>
      </c>
      <c r="F20591">
        <v>2.7</v>
      </c>
      <c r="G20591">
        <v>230404</v>
      </c>
      <c r="H20591">
        <v>4362</v>
      </c>
      <c r="I20591" t="s">
        <v>79</v>
      </c>
      <c r="J20591">
        <v>3.35</v>
      </c>
      <c r="K20591">
        <v>0.65</v>
      </c>
      <c r="L20591">
        <v>54252</v>
      </c>
      <c r="M20591" t="s">
        <v>534</v>
      </c>
      <c r="N20591" t="str">
        <f t="shared" si="307"/>
        <v xml:space="preserve">12314024087 </v>
      </c>
      <c r="O20591">
        <v>230418</v>
      </c>
    </row>
    <row r="20592" spans="1:15" x14ac:dyDescent="0.25">
      <c r="A20592" t="s">
        <v>16</v>
      </c>
      <c r="B20592" t="s">
        <v>3221</v>
      </c>
      <c r="C20592">
        <v>5086</v>
      </c>
      <c r="D20592" t="s">
        <v>263</v>
      </c>
      <c r="E20592" t="s">
        <v>264</v>
      </c>
      <c r="F20592">
        <v>9.86</v>
      </c>
      <c r="G20592">
        <v>230404</v>
      </c>
      <c r="H20592">
        <v>4362</v>
      </c>
      <c r="I20592" t="s">
        <v>79</v>
      </c>
      <c r="J20592">
        <v>12.23</v>
      </c>
      <c r="K20592">
        <v>2.37</v>
      </c>
      <c r="L20592">
        <v>54422</v>
      </c>
      <c r="M20592" t="s">
        <v>234</v>
      </c>
      <c r="N20592" t="str">
        <f t="shared" si="307"/>
        <v xml:space="preserve">12314024087 </v>
      </c>
      <c r="O20592">
        <v>230418</v>
      </c>
    </row>
    <row r="20593" spans="1:15" x14ac:dyDescent="0.25">
      <c r="A20593" t="s">
        <v>16</v>
      </c>
      <c r="B20593" t="s">
        <v>3221</v>
      </c>
      <c r="C20593">
        <v>5086</v>
      </c>
      <c r="D20593" t="s">
        <v>263</v>
      </c>
      <c r="E20593" t="s">
        <v>264</v>
      </c>
      <c r="F20593">
        <v>5.4</v>
      </c>
      <c r="G20593">
        <v>230404</v>
      </c>
      <c r="H20593">
        <v>4362</v>
      </c>
      <c r="I20593" t="s">
        <v>79</v>
      </c>
      <c r="J20593">
        <v>6.7</v>
      </c>
      <c r="K20593">
        <v>1.3</v>
      </c>
      <c r="L20593">
        <v>54451</v>
      </c>
      <c r="M20593" t="s">
        <v>158</v>
      </c>
      <c r="N20593" t="str">
        <f t="shared" si="307"/>
        <v xml:space="preserve">12314024087 </v>
      </c>
      <c r="O20593">
        <v>230418</v>
      </c>
    </row>
    <row r="20594" spans="1:15" x14ac:dyDescent="0.25">
      <c r="A20594" t="s">
        <v>16</v>
      </c>
      <c r="B20594" t="s">
        <v>3221</v>
      </c>
      <c r="C20594">
        <v>5086</v>
      </c>
      <c r="D20594" t="s">
        <v>263</v>
      </c>
      <c r="E20594" t="s">
        <v>264</v>
      </c>
      <c r="F20594">
        <v>5.4</v>
      </c>
      <c r="G20594">
        <v>230404</v>
      </c>
      <c r="H20594">
        <v>4362</v>
      </c>
      <c r="I20594" t="s">
        <v>79</v>
      </c>
      <c r="J20594">
        <v>6.7</v>
      </c>
      <c r="K20594">
        <v>1.3</v>
      </c>
      <c r="L20594">
        <v>56563</v>
      </c>
      <c r="M20594" t="s">
        <v>953</v>
      </c>
      <c r="N20594" t="str">
        <f t="shared" si="307"/>
        <v xml:space="preserve">12314024087 </v>
      </c>
      <c r="O20594">
        <v>230418</v>
      </c>
    </row>
    <row r="20595" spans="1:15" x14ac:dyDescent="0.25">
      <c r="A20595" t="s">
        <v>16</v>
      </c>
      <c r="B20595" t="s">
        <v>3221</v>
      </c>
      <c r="C20595">
        <v>5086</v>
      </c>
      <c r="D20595" t="s">
        <v>263</v>
      </c>
      <c r="E20595" t="s">
        <v>264</v>
      </c>
      <c r="F20595">
        <v>2.7</v>
      </c>
      <c r="G20595">
        <v>230404</v>
      </c>
      <c r="H20595">
        <v>4362</v>
      </c>
      <c r="I20595" t="s">
        <v>79</v>
      </c>
      <c r="J20595">
        <v>3.35</v>
      </c>
      <c r="K20595">
        <v>0.65</v>
      </c>
      <c r="L20595">
        <v>58601</v>
      </c>
      <c r="M20595" t="s">
        <v>251</v>
      </c>
      <c r="N20595" t="str">
        <f t="shared" si="307"/>
        <v xml:space="preserve">12314024087 </v>
      </c>
      <c r="O20595">
        <v>230418</v>
      </c>
    </row>
    <row r="20596" spans="1:15" x14ac:dyDescent="0.25">
      <c r="A20596" t="s">
        <v>16</v>
      </c>
      <c r="B20596" t="s">
        <v>3221</v>
      </c>
      <c r="C20596">
        <v>5691</v>
      </c>
      <c r="D20596" t="s">
        <v>263</v>
      </c>
      <c r="E20596" t="s">
        <v>264</v>
      </c>
      <c r="F20596">
        <v>135.9</v>
      </c>
      <c r="G20596">
        <v>230414</v>
      </c>
      <c r="H20596">
        <v>4362</v>
      </c>
      <c r="I20596" t="s">
        <v>79</v>
      </c>
      <c r="J20596">
        <v>168.52</v>
      </c>
      <c r="K20596">
        <v>32.619999999999997</v>
      </c>
      <c r="L20596">
        <v>11801</v>
      </c>
      <c r="M20596" t="s">
        <v>92</v>
      </c>
      <c r="N20596" t="str">
        <f>"104432282   "</f>
        <v xml:space="preserve">104432282   </v>
      </c>
      <c r="O20596">
        <v>230502</v>
      </c>
    </row>
    <row r="20597" spans="1:15" x14ac:dyDescent="0.25">
      <c r="A20597" t="s">
        <v>16</v>
      </c>
      <c r="B20597" t="s">
        <v>3221</v>
      </c>
      <c r="C20597">
        <v>5993</v>
      </c>
      <c r="D20597" t="s">
        <v>263</v>
      </c>
      <c r="E20597" t="s">
        <v>264</v>
      </c>
      <c r="F20597">
        <v>21.87</v>
      </c>
      <c r="G20597">
        <v>230504</v>
      </c>
      <c r="H20597">
        <v>4362</v>
      </c>
      <c r="I20597" t="s">
        <v>79</v>
      </c>
      <c r="J20597">
        <v>27.12</v>
      </c>
      <c r="K20597">
        <v>5.25</v>
      </c>
      <c r="L20597">
        <v>13601</v>
      </c>
      <c r="M20597" t="s">
        <v>147</v>
      </c>
      <c r="N20597" t="str">
        <f>"12318023910 "</f>
        <v xml:space="preserve">12318023910 </v>
      </c>
      <c r="O20597">
        <v>230505</v>
      </c>
    </row>
    <row r="20598" spans="1:15" x14ac:dyDescent="0.25">
      <c r="A20598" t="s">
        <v>16</v>
      </c>
      <c r="B20598" t="s">
        <v>3221</v>
      </c>
      <c r="C20598">
        <v>6002</v>
      </c>
      <c r="D20598" t="s">
        <v>263</v>
      </c>
      <c r="E20598" t="s">
        <v>264</v>
      </c>
      <c r="F20598">
        <v>2.7</v>
      </c>
      <c r="G20598">
        <v>230504</v>
      </c>
      <c r="H20598">
        <v>4362</v>
      </c>
      <c r="I20598" t="s">
        <v>79</v>
      </c>
      <c r="J20598">
        <v>3.35</v>
      </c>
      <c r="K20598">
        <v>0.65</v>
      </c>
      <c r="L20598">
        <v>13501</v>
      </c>
      <c r="M20598" t="s">
        <v>20</v>
      </c>
      <c r="N20598" t="str">
        <f>"12318023923 "</f>
        <v xml:space="preserve">12318023923 </v>
      </c>
      <c r="O20598">
        <v>230505</v>
      </c>
    </row>
    <row r="20599" spans="1:15" x14ac:dyDescent="0.25">
      <c r="A20599" t="s">
        <v>16</v>
      </c>
      <c r="B20599" t="s">
        <v>3221</v>
      </c>
      <c r="C20599">
        <v>6171</v>
      </c>
      <c r="D20599" t="s">
        <v>263</v>
      </c>
      <c r="E20599" t="s">
        <v>264</v>
      </c>
      <c r="F20599">
        <v>10.8</v>
      </c>
      <c r="G20599">
        <v>230504</v>
      </c>
      <c r="H20599">
        <v>4362</v>
      </c>
      <c r="I20599" t="s">
        <v>79</v>
      </c>
      <c r="J20599">
        <v>13.39</v>
      </c>
      <c r="K20599">
        <v>2.59</v>
      </c>
      <c r="L20599">
        <v>17131</v>
      </c>
      <c r="M20599" t="s">
        <v>64</v>
      </c>
      <c r="N20599" t="str">
        <f t="shared" ref="N20599:N20609" si="308">"12318023906 "</f>
        <v xml:space="preserve">12318023906 </v>
      </c>
      <c r="O20599">
        <v>230508</v>
      </c>
    </row>
    <row r="20600" spans="1:15" x14ac:dyDescent="0.25">
      <c r="A20600" t="s">
        <v>16</v>
      </c>
      <c r="B20600" t="s">
        <v>3221</v>
      </c>
      <c r="C20600">
        <v>6171</v>
      </c>
      <c r="D20600" t="s">
        <v>263</v>
      </c>
      <c r="E20600" t="s">
        <v>264</v>
      </c>
      <c r="F20600">
        <v>2.7</v>
      </c>
      <c r="G20600">
        <v>230504</v>
      </c>
      <c r="H20600">
        <v>4362</v>
      </c>
      <c r="I20600" t="s">
        <v>79</v>
      </c>
      <c r="J20600">
        <v>3.35</v>
      </c>
      <c r="K20600">
        <v>0.65</v>
      </c>
      <c r="L20600">
        <v>17147</v>
      </c>
      <c r="M20600" t="s">
        <v>1734</v>
      </c>
      <c r="N20600" t="str">
        <f t="shared" si="308"/>
        <v xml:space="preserve">12318023906 </v>
      </c>
      <c r="O20600">
        <v>230508</v>
      </c>
    </row>
    <row r="20601" spans="1:15" x14ac:dyDescent="0.25">
      <c r="A20601" t="s">
        <v>16</v>
      </c>
      <c r="B20601" t="s">
        <v>3221</v>
      </c>
      <c r="C20601">
        <v>6171</v>
      </c>
      <c r="D20601" t="s">
        <v>263</v>
      </c>
      <c r="E20601" t="s">
        <v>264</v>
      </c>
      <c r="F20601">
        <v>10.8</v>
      </c>
      <c r="G20601">
        <v>230504</v>
      </c>
      <c r="H20601">
        <v>4362</v>
      </c>
      <c r="I20601" t="s">
        <v>79</v>
      </c>
      <c r="J20601">
        <v>13.39</v>
      </c>
      <c r="K20601">
        <v>2.59</v>
      </c>
      <c r="L20601">
        <v>17711</v>
      </c>
      <c r="M20601" t="s">
        <v>65</v>
      </c>
      <c r="N20601" t="str">
        <f t="shared" si="308"/>
        <v xml:space="preserve">12318023906 </v>
      </c>
      <c r="O20601">
        <v>230508</v>
      </c>
    </row>
    <row r="20602" spans="1:15" x14ac:dyDescent="0.25">
      <c r="A20602" t="s">
        <v>16</v>
      </c>
      <c r="B20602" t="s">
        <v>3221</v>
      </c>
      <c r="C20602">
        <v>6171</v>
      </c>
      <c r="D20602" t="s">
        <v>263</v>
      </c>
      <c r="E20602" t="s">
        <v>264</v>
      </c>
      <c r="F20602">
        <v>16.739999999999998</v>
      </c>
      <c r="G20602">
        <v>230504</v>
      </c>
      <c r="H20602">
        <v>4362</v>
      </c>
      <c r="I20602" t="s">
        <v>79</v>
      </c>
      <c r="J20602">
        <v>20.76</v>
      </c>
      <c r="K20602">
        <v>4.0199999999999996</v>
      </c>
      <c r="L20602">
        <v>17711</v>
      </c>
      <c r="M20602" t="s">
        <v>65</v>
      </c>
      <c r="N20602" t="str">
        <f t="shared" si="308"/>
        <v xml:space="preserve">12318023906 </v>
      </c>
      <c r="O20602">
        <v>230508</v>
      </c>
    </row>
    <row r="20603" spans="1:15" x14ac:dyDescent="0.25">
      <c r="A20603" t="s">
        <v>16</v>
      </c>
      <c r="B20603" t="s">
        <v>3221</v>
      </c>
      <c r="C20603">
        <v>6171</v>
      </c>
      <c r="D20603" t="s">
        <v>263</v>
      </c>
      <c r="E20603" t="s">
        <v>264</v>
      </c>
      <c r="F20603">
        <v>5.4</v>
      </c>
      <c r="G20603">
        <v>230504</v>
      </c>
      <c r="H20603">
        <v>4362</v>
      </c>
      <c r="I20603" t="s">
        <v>79</v>
      </c>
      <c r="J20603">
        <v>6.7</v>
      </c>
      <c r="K20603">
        <v>1.3</v>
      </c>
      <c r="L20603">
        <v>17737</v>
      </c>
      <c r="M20603" t="s">
        <v>279</v>
      </c>
      <c r="N20603" t="str">
        <f t="shared" si="308"/>
        <v xml:space="preserve">12318023906 </v>
      </c>
      <c r="O20603">
        <v>230508</v>
      </c>
    </row>
    <row r="20604" spans="1:15" x14ac:dyDescent="0.25">
      <c r="A20604" t="s">
        <v>16</v>
      </c>
      <c r="B20604" t="s">
        <v>3221</v>
      </c>
      <c r="C20604">
        <v>6171</v>
      </c>
      <c r="D20604" t="s">
        <v>263</v>
      </c>
      <c r="E20604" t="s">
        <v>264</v>
      </c>
      <c r="F20604">
        <v>13.84</v>
      </c>
      <c r="G20604">
        <v>230504</v>
      </c>
      <c r="H20604">
        <v>4362</v>
      </c>
      <c r="I20604" t="s">
        <v>79</v>
      </c>
      <c r="J20604">
        <v>17.16</v>
      </c>
      <c r="K20604">
        <v>3.32</v>
      </c>
      <c r="L20604">
        <v>17737</v>
      </c>
      <c r="M20604" t="s">
        <v>279</v>
      </c>
      <c r="N20604" t="str">
        <f t="shared" si="308"/>
        <v xml:space="preserve">12318023906 </v>
      </c>
      <c r="O20604">
        <v>230508</v>
      </c>
    </row>
    <row r="20605" spans="1:15" x14ac:dyDescent="0.25">
      <c r="A20605" t="s">
        <v>16</v>
      </c>
      <c r="B20605" t="s">
        <v>3221</v>
      </c>
      <c r="C20605">
        <v>6171</v>
      </c>
      <c r="D20605" t="s">
        <v>263</v>
      </c>
      <c r="E20605" t="s">
        <v>264</v>
      </c>
      <c r="F20605">
        <v>2.7</v>
      </c>
      <c r="G20605">
        <v>230504</v>
      </c>
      <c r="H20605">
        <v>4362</v>
      </c>
      <c r="I20605" t="s">
        <v>79</v>
      </c>
      <c r="J20605">
        <v>3.35</v>
      </c>
      <c r="K20605">
        <v>0.65</v>
      </c>
      <c r="L20605">
        <v>17912</v>
      </c>
      <c r="M20605" t="s">
        <v>419</v>
      </c>
      <c r="N20605" t="str">
        <f t="shared" si="308"/>
        <v xml:space="preserve">12318023906 </v>
      </c>
      <c r="O20605">
        <v>230508</v>
      </c>
    </row>
    <row r="20606" spans="1:15" x14ac:dyDescent="0.25">
      <c r="A20606" t="s">
        <v>16</v>
      </c>
      <c r="B20606" t="s">
        <v>3221</v>
      </c>
      <c r="C20606">
        <v>6171</v>
      </c>
      <c r="D20606" t="s">
        <v>263</v>
      </c>
      <c r="E20606" t="s">
        <v>264</v>
      </c>
      <c r="F20606">
        <v>2.77</v>
      </c>
      <c r="G20606">
        <v>230504</v>
      </c>
      <c r="H20606">
        <v>4362</v>
      </c>
      <c r="I20606" t="s">
        <v>79</v>
      </c>
      <c r="J20606">
        <v>3.43</v>
      </c>
      <c r="K20606">
        <v>0.66</v>
      </c>
      <c r="L20606">
        <v>17915</v>
      </c>
      <c r="M20606" t="s">
        <v>572</v>
      </c>
      <c r="N20606" t="str">
        <f t="shared" si="308"/>
        <v xml:space="preserve">12318023906 </v>
      </c>
      <c r="O20606">
        <v>230508</v>
      </c>
    </row>
    <row r="20607" spans="1:15" x14ac:dyDescent="0.25">
      <c r="A20607" t="s">
        <v>16</v>
      </c>
      <c r="B20607" t="s">
        <v>3221</v>
      </c>
      <c r="C20607">
        <v>6171</v>
      </c>
      <c r="D20607" t="s">
        <v>263</v>
      </c>
      <c r="E20607" t="s">
        <v>264</v>
      </c>
      <c r="F20607">
        <v>11.67</v>
      </c>
      <c r="G20607">
        <v>230504</v>
      </c>
      <c r="H20607">
        <v>4362</v>
      </c>
      <c r="I20607" t="s">
        <v>79</v>
      </c>
      <c r="J20607">
        <v>14.47</v>
      </c>
      <c r="K20607">
        <v>2.8</v>
      </c>
      <c r="L20607">
        <v>17952</v>
      </c>
      <c r="M20607" t="s">
        <v>88</v>
      </c>
      <c r="N20607" t="str">
        <f t="shared" si="308"/>
        <v xml:space="preserve">12318023906 </v>
      </c>
      <c r="O20607">
        <v>230508</v>
      </c>
    </row>
    <row r="20608" spans="1:15" x14ac:dyDescent="0.25">
      <c r="A20608" t="s">
        <v>16</v>
      </c>
      <c r="B20608" t="s">
        <v>3221</v>
      </c>
      <c r="C20608">
        <v>6171</v>
      </c>
      <c r="D20608" t="s">
        <v>263</v>
      </c>
      <c r="E20608" t="s">
        <v>264</v>
      </c>
      <c r="F20608">
        <v>13.46</v>
      </c>
      <c r="G20608">
        <v>230504</v>
      </c>
      <c r="H20608">
        <v>4362</v>
      </c>
      <c r="I20608" t="s">
        <v>79</v>
      </c>
      <c r="J20608">
        <v>16.690000000000001</v>
      </c>
      <c r="K20608">
        <v>3.23</v>
      </c>
      <c r="L20608">
        <v>17971</v>
      </c>
      <c r="M20608" t="s">
        <v>138</v>
      </c>
      <c r="N20608" t="str">
        <f t="shared" si="308"/>
        <v xml:space="preserve">12318023906 </v>
      </c>
      <c r="O20608">
        <v>230508</v>
      </c>
    </row>
    <row r="20609" spans="1:15" x14ac:dyDescent="0.25">
      <c r="A20609" t="s">
        <v>16</v>
      </c>
      <c r="B20609" t="s">
        <v>3221</v>
      </c>
      <c r="C20609">
        <v>6171</v>
      </c>
      <c r="D20609" t="s">
        <v>263</v>
      </c>
      <c r="E20609" t="s">
        <v>264</v>
      </c>
      <c r="F20609">
        <v>5.4</v>
      </c>
      <c r="G20609">
        <v>230504</v>
      </c>
      <c r="H20609">
        <v>4362</v>
      </c>
      <c r="I20609" t="s">
        <v>79</v>
      </c>
      <c r="J20609">
        <v>6.7</v>
      </c>
      <c r="K20609">
        <v>1.3</v>
      </c>
      <c r="L20609">
        <v>17972</v>
      </c>
      <c r="M20609" t="s">
        <v>248</v>
      </c>
      <c r="N20609" t="str">
        <f t="shared" si="308"/>
        <v xml:space="preserve">12318023906 </v>
      </c>
      <c r="O20609">
        <v>230508</v>
      </c>
    </row>
    <row r="20610" spans="1:15" x14ac:dyDescent="0.25">
      <c r="A20610" t="s">
        <v>16</v>
      </c>
      <c r="B20610" t="s">
        <v>3221</v>
      </c>
      <c r="C20610">
        <v>6172</v>
      </c>
      <c r="D20610" t="s">
        <v>263</v>
      </c>
      <c r="E20610" t="s">
        <v>264</v>
      </c>
      <c r="F20610">
        <v>5.4</v>
      </c>
      <c r="G20610">
        <v>230504</v>
      </c>
      <c r="H20610">
        <v>4362</v>
      </c>
      <c r="I20610" t="s">
        <v>79</v>
      </c>
      <c r="J20610">
        <v>6.7</v>
      </c>
      <c r="K20610">
        <v>1.3</v>
      </c>
      <c r="L20610">
        <v>46556</v>
      </c>
      <c r="M20610" t="s">
        <v>125</v>
      </c>
      <c r="N20610" t="str">
        <f>"12318023898 "</f>
        <v xml:space="preserve">12318023898 </v>
      </c>
      <c r="O20610">
        <v>230508</v>
      </c>
    </row>
    <row r="20611" spans="1:15" x14ac:dyDescent="0.25">
      <c r="A20611" t="s">
        <v>16</v>
      </c>
      <c r="B20611" t="s">
        <v>3221</v>
      </c>
      <c r="C20611">
        <v>6173</v>
      </c>
      <c r="D20611" t="s">
        <v>263</v>
      </c>
      <c r="E20611" t="s">
        <v>264</v>
      </c>
      <c r="F20611">
        <v>8.1</v>
      </c>
      <c r="G20611">
        <v>230504</v>
      </c>
      <c r="H20611">
        <v>4362</v>
      </c>
      <c r="I20611" t="s">
        <v>79</v>
      </c>
      <c r="J20611">
        <v>10.039999999999999</v>
      </c>
      <c r="K20611">
        <v>1.94</v>
      </c>
      <c r="L20611">
        <v>49701</v>
      </c>
      <c r="M20611" t="s">
        <v>166</v>
      </c>
      <c r="N20611" t="str">
        <f>"12318023893 "</f>
        <v xml:space="preserve">12318023893 </v>
      </c>
      <c r="O20611">
        <v>230508</v>
      </c>
    </row>
    <row r="20612" spans="1:15" x14ac:dyDescent="0.25">
      <c r="A20612" t="s">
        <v>16</v>
      </c>
      <c r="B20612" t="s">
        <v>3221</v>
      </c>
      <c r="C20612">
        <v>6173</v>
      </c>
      <c r="D20612" t="s">
        <v>263</v>
      </c>
      <c r="E20612" t="s">
        <v>264</v>
      </c>
      <c r="F20612">
        <v>6.21</v>
      </c>
      <c r="G20612">
        <v>230504</v>
      </c>
      <c r="H20612">
        <v>4362</v>
      </c>
      <c r="I20612" t="s">
        <v>79</v>
      </c>
      <c r="J20612">
        <v>7.7</v>
      </c>
      <c r="K20612">
        <v>1.49</v>
      </c>
      <c r="L20612">
        <v>49702</v>
      </c>
      <c r="M20612" t="s">
        <v>584</v>
      </c>
      <c r="N20612" t="str">
        <f>"12318023893 "</f>
        <v xml:space="preserve">12318023893 </v>
      </c>
      <c r="O20612">
        <v>230508</v>
      </c>
    </row>
    <row r="20613" spans="1:15" x14ac:dyDescent="0.25">
      <c r="A20613" t="s">
        <v>16</v>
      </c>
      <c r="B20613" t="s">
        <v>3221</v>
      </c>
      <c r="C20613">
        <v>6173</v>
      </c>
      <c r="D20613" t="s">
        <v>263</v>
      </c>
      <c r="E20613" t="s">
        <v>264</v>
      </c>
      <c r="F20613">
        <v>2.7</v>
      </c>
      <c r="G20613">
        <v>230504</v>
      </c>
      <c r="H20613">
        <v>4362</v>
      </c>
      <c r="I20613" t="s">
        <v>79</v>
      </c>
      <c r="J20613">
        <v>3.35</v>
      </c>
      <c r="K20613">
        <v>0.65</v>
      </c>
      <c r="L20613">
        <v>49704</v>
      </c>
      <c r="M20613" t="s">
        <v>1065</v>
      </c>
      <c r="N20613" t="str">
        <f>"12318023893 "</f>
        <v xml:space="preserve">12318023893 </v>
      </c>
      <c r="O20613">
        <v>230508</v>
      </c>
    </row>
    <row r="20614" spans="1:15" x14ac:dyDescent="0.25">
      <c r="A20614" t="s">
        <v>16</v>
      </c>
      <c r="B20614" t="s">
        <v>3221</v>
      </c>
      <c r="C20614">
        <v>6174</v>
      </c>
      <c r="D20614" t="s">
        <v>263</v>
      </c>
      <c r="E20614" t="s">
        <v>264</v>
      </c>
      <c r="F20614">
        <v>14.98</v>
      </c>
      <c r="G20614">
        <v>230504</v>
      </c>
      <c r="H20614">
        <v>4362</v>
      </c>
      <c r="I20614" t="s">
        <v>79</v>
      </c>
      <c r="J20614">
        <v>18.579999999999998</v>
      </c>
      <c r="K20614">
        <v>3.6</v>
      </c>
      <c r="L20614">
        <v>46554</v>
      </c>
      <c r="M20614" t="s">
        <v>117</v>
      </c>
      <c r="N20614" t="str">
        <f>"12318023895 "</f>
        <v xml:space="preserve">12318023895 </v>
      </c>
      <c r="O20614">
        <v>230508</v>
      </c>
    </row>
    <row r="20615" spans="1:15" x14ac:dyDescent="0.25">
      <c r="A20615" t="s">
        <v>16</v>
      </c>
      <c r="B20615" t="s">
        <v>3221</v>
      </c>
      <c r="C20615">
        <v>6175</v>
      </c>
      <c r="D20615" t="s">
        <v>263</v>
      </c>
      <c r="E20615" t="s">
        <v>264</v>
      </c>
      <c r="F20615">
        <v>18.54</v>
      </c>
      <c r="G20615">
        <v>230504</v>
      </c>
      <c r="H20615">
        <v>4362</v>
      </c>
      <c r="I20615" t="s">
        <v>79</v>
      </c>
      <c r="J20615">
        <v>22.99</v>
      </c>
      <c r="K20615">
        <v>4.45</v>
      </c>
      <c r="L20615">
        <v>47522</v>
      </c>
      <c r="M20615" t="s">
        <v>410</v>
      </c>
      <c r="N20615" t="str">
        <f>"12318023894 "</f>
        <v xml:space="preserve">12318023894 </v>
      </c>
      <c r="O20615">
        <v>230508</v>
      </c>
    </row>
    <row r="20616" spans="1:15" x14ac:dyDescent="0.25">
      <c r="A20616" t="s">
        <v>16</v>
      </c>
      <c r="B20616" t="s">
        <v>3221</v>
      </c>
      <c r="C20616">
        <v>6175</v>
      </c>
      <c r="D20616" t="s">
        <v>263</v>
      </c>
      <c r="E20616" t="s">
        <v>264</v>
      </c>
      <c r="F20616">
        <v>4.18</v>
      </c>
      <c r="G20616">
        <v>230504</v>
      </c>
      <c r="H20616">
        <v>4362</v>
      </c>
      <c r="I20616" t="s">
        <v>79</v>
      </c>
      <c r="J20616">
        <v>4.18</v>
      </c>
      <c r="K20616">
        <v>0</v>
      </c>
      <c r="L20616">
        <v>49702</v>
      </c>
      <c r="M20616" t="s">
        <v>584</v>
      </c>
      <c r="N20616" t="str">
        <f>"12318023894 "</f>
        <v xml:space="preserve">12318023894 </v>
      </c>
      <c r="O20616">
        <v>230508</v>
      </c>
    </row>
    <row r="20617" spans="1:15" x14ac:dyDescent="0.25">
      <c r="A20617" t="s">
        <v>16</v>
      </c>
      <c r="B20617" t="s">
        <v>3221</v>
      </c>
      <c r="C20617">
        <v>6177</v>
      </c>
      <c r="D20617" t="s">
        <v>263</v>
      </c>
      <c r="E20617" t="s">
        <v>264</v>
      </c>
      <c r="F20617">
        <v>4.79</v>
      </c>
      <c r="G20617">
        <v>230504</v>
      </c>
      <c r="H20617">
        <v>4362</v>
      </c>
      <c r="I20617" t="s">
        <v>79</v>
      </c>
      <c r="J20617">
        <v>5.94</v>
      </c>
      <c r="K20617">
        <v>1.1499999999999999</v>
      </c>
      <c r="L20617">
        <v>48601</v>
      </c>
      <c r="M20617" t="s">
        <v>1047</v>
      </c>
      <c r="N20617" t="str">
        <f>"12318023896 "</f>
        <v xml:space="preserve">12318023896 </v>
      </c>
      <c r="O20617">
        <v>230508</v>
      </c>
    </row>
    <row r="20618" spans="1:15" x14ac:dyDescent="0.25">
      <c r="A20618" t="s">
        <v>16</v>
      </c>
      <c r="B20618" t="s">
        <v>3221</v>
      </c>
      <c r="C20618">
        <v>6177</v>
      </c>
      <c r="D20618" t="s">
        <v>263</v>
      </c>
      <c r="E20618" t="s">
        <v>264</v>
      </c>
      <c r="F20618">
        <v>10.65</v>
      </c>
      <c r="G20618">
        <v>230504</v>
      </c>
      <c r="H20618">
        <v>4362</v>
      </c>
      <c r="I20618" t="s">
        <v>79</v>
      </c>
      <c r="J20618">
        <v>13.2</v>
      </c>
      <c r="K20618">
        <v>2.5499999999999998</v>
      </c>
      <c r="L20618">
        <v>49704</v>
      </c>
      <c r="M20618" t="s">
        <v>1065</v>
      </c>
      <c r="N20618" t="str">
        <f>"12318023896 "</f>
        <v xml:space="preserve">12318023896 </v>
      </c>
      <c r="O20618">
        <v>230508</v>
      </c>
    </row>
    <row r="20619" spans="1:15" x14ac:dyDescent="0.25">
      <c r="A20619" t="s">
        <v>16</v>
      </c>
      <c r="B20619" t="s">
        <v>3221</v>
      </c>
      <c r="C20619">
        <v>6177</v>
      </c>
      <c r="D20619" t="s">
        <v>263</v>
      </c>
      <c r="E20619" t="s">
        <v>264</v>
      </c>
      <c r="F20619">
        <v>27.01</v>
      </c>
      <c r="G20619">
        <v>230504</v>
      </c>
      <c r="H20619">
        <v>4362</v>
      </c>
      <c r="I20619" t="s">
        <v>79</v>
      </c>
      <c r="J20619">
        <v>33.49</v>
      </c>
      <c r="K20619">
        <v>6.48</v>
      </c>
      <c r="L20619">
        <v>49705</v>
      </c>
      <c r="M20619" t="s">
        <v>575</v>
      </c>
      <c r="N20619" t="str">
        <f>"12318023896 "</f>
        <v xml:space="preserve">12318023896 </v>
      </c>
      <c r="O20619">
        <v>230508</v>
      </c>
    </row>
    <row r="20620" spans="1:15" x14ac:dyDescent="0.25">
      <c r="A20620" t="s">
        <v>16</v>
      </c>
      <c r="B20620" t="s">
        <v>3221</v>
      </c>
      <c r="C20620">
        <v>6178</v>
      </c>
      <c r="D20620" t="s">
        <v>263</v>
      </c>
      <c r="E20620" t="s">
        <v>264</v>
      </c>
      <c r="F20620">
        <v>2.21</v>
      </c>
      <c r="G20620">
        <v>230504</v>
      </c>
      <c r="H20620">
        <v>4362</v>
      </c>
      <c r="I20620" t="s">
        <v>79</v>
      </c>
      <c r="J20620">
        <v>2.74</v>
      </c>
      <c r="K20620">
        <v>0.53</v>
      </c>
      <c r="L20620">
        <v>41126</v>
      </c>
      <c r="M20620" t="s">
        <v>761</v>
      </c>
      <c r="N20620" t="str">
        <f t="shared" ref="N20620:N20625" si="309">"12318023903 "</f>
        <v xml:space="preserve">12318023903 </v>
      </c>
      <c r="O20620">
        <v>230508</v>
      </c>
    </row>
    <row r="20621" spans="1:15" x14ac:dyDescent="0.25">
      <c r="A20621" t="s">
        <v>16</v>
      </c>
      <c r="B20621" t="s">
        <v>3221</v>
      </c>
      <c r="C20621">
        <v>6178</v>
      </c>
      <c r="D20621" t="s">
        <v>263</v>
      </c>
      <c r="E20621" t="s">
        <v>264</v>
      </c>
      <c r="F20621">
        <v>1.7</v>
      </c>
      <c r="G20621">
        <v>230504</v>
      </c>
      <c r="H20621">
        <v>4362</v>
      </c>
      <c r="I20621" t="s">
        <v>79</v>
      </c>
      <c r="J20621">
        <v>2.11</v>
      </c>
      <c r="K20621">
        <v>0.41</v>
      </c>
      <c r="L20621">
        <v>43222</v>
      </c>
      <c r="M20621" t="s">
        <v>507</v>
      </c>
      <c r="N20621" t="str">
        <f t="shared" si="309"/>
        <v xml:space="preserve">12318023903 </v>
      </c>
      <c r="O20621">
        <v>230508</v>
      </c>
    </row>
    <row r="20622" spans="1:15" x14ac:dyDescent="0.25">
      <c r="A20622" t="s">
        <v>16</v>
      </c>
      <c r="B20622" t="s">
        <v>3221</v>
      </c>
      <c r="C20622">
        <v>6178</v>
      </c>
      <c r="D20622" t="s">
        <v>263</v>
      </c>
      <c r="E20622" t="s">
        <v>264</v>
      </c>
      <c r="F20622">
        <v>2.04</v>
      </c>
      <c r="G20622">
        <v>230504</v>
      </c>
      <c r="H20622">
        <v>4362</v>
      </c>
      <c r="I20622" t="s">
        <v>79</v>
      </c>
      <c r="J20622">
        <v>2.5299999999999998</v>
      </c>
      <c r="K20622">
        <v>0.49</v>
      </c>
      <c r="L20622">
        <v>44222</v>
      </c>
      <c r="M20622" t="s">
        <v>232</v>
      </c>
      <c r="N20622" t="str">
        <f t="shared" si="309"/>
        <v xml:space="preserve">12318023903 </v>
      </c>
      <c r="O20622">
        <v>230508</v>
      </c>
    </row>
    <row r="20623" spans="1:15" x14ac:dyDescent="0.25">
      <c r="A20623" t="s">
        <v>16</v>
      </c>
      <c r="B20623" t="s">
        <v>3221</v>
      </c>
      <c r="C20623">
        <v>6178</v>
      </c>
      <c r="D20623" t="s">
        <v>263</v>
      </c>
      <c r="E20623" t="s">
        <v>264</v>
      </c>
      <c r="F20623">
        <v>2.21</v>
      </c>
      <c r="G20623">
        <v>230504</v>
      </c>
      <c r="H20623">
        <v>4362</v>
      </c>
      <c r="I20623" t="s">
        <v>79</v>
      </c>
      <c r="J20623">
        <v>2.74</v>
      </c>
      <c r="K20623">
        <v>0.53</v>
      </c>
      <c r="L20623">
        <v>44424</v>
      </c>
      <c r="M20623" t="s">
        <v>776</v>
      </c>
      <c r="N20623" t="str">
        <f t="shared" si="309"/>
        <v xml:space="preserve">12318023903 </v>
      </c>
      <c r="O20623">
        <v>230508</v>
      </c>
    </row>
    <row r="20624" spans="1:15" x14ac:dyDescent="0.25">
      <c r="A20624" t="s">
        <v>16</v>
      </c>
      <c r="B20624" t="s">
        <v>3221</v>
      </c>
      <c r="C20624">
        <v>6178</v>
      </c>
      <c r="D20624" t="s">
        <v>263</v>
      </c>
      <c r="E20624" t="s">
        <v>264</v>
      </c>
      <c r="F20624">
        <v>1.19</v>
      </c>
      <c r="G20624">
        <v>230504</v>
      </c>
      <c r="H20624">
        <v>4362</v>
      </c>
      <c r="I20624" t="s">
        <v>79</v>
      </c>
      <c r="J20624">
        <v>1.48</v>
      </c>
      <c r="K20624">
        <v>0.28999999999999998</v>
      </c>
      <c r="L20624">
        <v>46222</v>
      </c>
      <c r="M20624" t="s">
        <v>293</v>
      </c>
      <c r="N20624" t="str">
        <f t="shared" si="309"/>
        <v xml:space="preserve">12318023903 </v>
      </c>
      <c r="O20624">
        <v>230508</v>
      </c>
    </row>
    <row r="20625" spans="1:15" x14ac:dyDescent="0.25">
      <c r="A20625" t="s">
        <v>16</v>
      </c>
      <c r="B20625" t="s">
        <v>3221</v>
      </c>
      <c r="C20625">
        <v>6178</v>
      </c>
      <c r="D20625" t="s">
        <v>263</v>
      </c>
      <c r="E20625" t="s">
        <v>264</v>
      </c>
      <c r="F20625">
        <v>7.65</v>
      </c>
      <c r="G20625">
        <v>230504</v>
      </c>
      <c r="H20625">
        <v>4362</v>
      </c>
      <c r="I20625" t="s">
        <v>79</v>
      </c>
      <c r="J20625">
        <v>9.49</v>
      </c>
      <c r="K20625">
        <v>1.84</v>
      </c>
      <c r="L20625">
        <v>46559</v>
      </c>
      <c r="M20625" t="s">
        <v>1104</v>
      </c>
      <c r="N20625" t="str">
        <f t="shared" si="309"/>
        <v xml:space="preserve">12318023903 </v>
      </c>
      <c r="O20625">
        <v>230508</v>
      </c>
    </row>
    <row r="20626" spans="1:15" x14ac:dyDescent="0.25">
      <c r="A20626" t="s">
        <v>16</v>
      </c>
      <c r="B20626" t="s">
        <v>3221</v>
      </c>
      <c r="C20626">
        <v>6179</v>
      </c>
      <c r="D20626" t="s">
        <v>263</v>
      </c>
      <c r="E20626" t="s">
        <v>264</v>
      </c>
      <c r="F20626">
        <v>8.16</v>
      </c>
      <c r="G20626">
        <v>230504</v>
      </c>
      <c r="H20626">
        <v>4362</v>
      </c>
      <c r="I20626" t="s">
        <v>79</v>
      </c>
      <c r="J20626">
        <v>10.119999999999999</v>
      </c>
      <c r="K20626">
        <v>1.96</v>
      </c>
      <c r="L20626">
        <v>17913</v>
      </c>
      <c r="M20626" t="s">
        <v>431</v>
      </c>
      <c r="N20626" t="str">
        <f>"12318023904 "</f>
        <v xml:space="preserve">12318023904 </v>
      </c>
      <c r="O20626">
        <v>230508</v>
      </c>
    </row>
    <row r="20627" spans="1:15" x14ac:dyDescent="0.25">
      <c r="A20627" t="s">
        <v>16</v>
      </c>
      <c r="B20627" t="s">
        <v>3221</v>
      </c>
      <c r="C20627">
        <v>6179</v>
      </c>
      <c r="D20627" t="s">
        <v>263</v>
      </c>
      <c r="E20627" t="s">
        <v>264</v>
      </c>
      <c r="F20627">
        <v>22.14</v>
      </c>
      <c r="G20627">
        <v>230504</v>
      </c>
      <c r="H20627">
        <v>4362</v>
      </c>
      <c r="I20627" t="s">
        <v>79</v>
      </c>
      <c r="J20627">
        <v>27.45</v>
      </c>
      <c r="K20627">
        <v>5.31</v>
      </c>
      <c r="L20627">
        <v>17951</v>
      </c>
      <c r="M20627" t="s">
        <v>87</v>
      </c>
      <c r="N20627" t="str">
        <f>"12318023904 "</f>
        <v xml:space="preserve">12318023904 </v>
      </c>
      <c r="O20627">
        <v>230508</v>
      </c>
    </row>
    <row r="20628" spans="1:15" x14ac:dyDescent="0.25">
      <c r="A20628" t="s">
        <v>16</v>
      </c>
      <c r="B20628" t="s">
        <v>3221</v>
      </c>
      <c r="C20628">
        <v>6179</v>
      </c>
      <c r="D20628" t="s">
        <v>263</v>
      </c>
      <c r="E20628" t="s">
        <v>264</v>
      </c>
      <c r="F20628">
        <v>12.28</v>
      </c>
      <c r="G20628">
        <v>230504</v>
      </c>
      <c r="H20628">
        <v>4362</v>
      </c>
      <c r="I20628" t="s">
        <v>79</v>
      </c>
      <c r="J20628">
        <v>15.23</v>
      </c>
      <c r="K20628">
        <v>2.95</v>
      </c>
      <c r="L20628">
        <v>17971</v>
      </c>
      <c r="M20628" t="s">
        <v>138</v>
      </c>
      <c r="N20628" t="str">
        <f>"12318023904 "</f>
        <v xml:space="preserve">12318023904 </v>
      </c>
      <c r="O20628">
        <v>230508</v>
      </c>
    </row>
    <row r="20629" spans="1:15" x14ac:dyDescent="0.25">
      <c r="A20629" t="s">
        <v>16</v>
      </c>
      <c r="B20629" t="s">
        <v>3221</v>
      </c>
      <c r="C20629">
        <v>6179</v>
      </c>
      <c r="D20629" t="s">
        <v>263</v>
      </c>
      <c r="E20629" t="s">
        <v>264</v>
      </c>
      <c r="F20629">
        <v>5.25</v>
      </c>
      <c r="G20629">
        <v>230504</v>
      </c>
      <c r="H20629">
        <v>4362</v>
      </c>
      <c r="I20629" t="s">
        <v>79</v>
      </c>
      <c r="J20629">
        <v>6.51</v>
      </c>
      <c r="K20629">
        <v>1.26</v>
      </c>
      <c r="L20629">
        <v>17974</v>
      </c>
      <c r="M20629" t="s">
        <v>460</v>
      </c>
      <c r="N20629" t="str">
        <f>"12318023904 "</f>
        <v xml:space="preserve">12318023904 </v>
      </c>
      <c r="O20629">
        <v>230508</v>
      </c>
    </row>
    <row r="20630" spans="1:15" x14ac:dyDescent="0.25">
      <c r="A20630" t="s">
        <v>16</v>
      </c>
      <c r="B20630" t="s">
        <v>3221</v>
      </c>
      <c r="C20630">
        <v>6179</v>
      </c>
      <c r="D20630" t="s">
        <v>263</v>
      </c>
      <c r="E20630" t="s">
        <v>264</v>
      </c>
      <c r="F20630">
        <v>24.39</v>
      </c>
      <c r="G20630">
        <v>230504</v>
      </c>
      <c r="H20630">
        <v>4362</v>
      </c>
      <c r="I20630" t="s">
        <v>79</v>
      </c>
      <c r="J20630">
        <v>30.24</v>
      </c>
      <c r="K20630">
        <v>5.85</v>
      </c>
      <c r="L20630">
        <v>17975</v>
      </c>
      <c r="M20630" t="s">
        <v>798</v>
      </c>
      <c r="N20630" t="str">
        <f>"12318023904 "</f>
        <v xml:space="preserve">12318023904 </v>
      </c>
      <c r="O20630">
        <v>230508</v>
      </c>
    </row>
    <row r="20631" spans="1:15" x14ac:dyDescent="0.25">
      <c r="A20631" t="s">
        <v>16</v>
      </c>
      <c r="B20631" t="s">
        <v>3221</v>
      </c>
      <c r="C20631">
        <v>6181</v>
      </c>
      <c r="D20631" t="s">
        <v>263</v>
      </c>
      <c r="E20631" t="s">
        <v>264</v>
      </c>
      <c r="F20631">
        <v>7.96</v>
      </c>
      <c r="G20631">
        <v>230504</v>
      </c>
      <c r="H20631">
        <v>4362</v>
      </c>
      <c r="I20631" t="s">
        <v>79</v>
      </c>
      <c r="J20631">
        <v>9.8699999999999992</v>
      </c>
      <c r="K20631">
        <v>1.91</v>
      </c>
      <c r="L20631">
        <v>16930</v>
      </c>
      <c r="M20631" t="s">
        <v>450</v>
      </c>
      <c r="N20631" t="str">
        <f t="shared" ref="N20631:N20654" si="310">"12318023907 "</f>
        <v xml:space="preserve">12318023907 </v>
      </c>
      <c r="O20631">
        <v>230508</v>
      </c>
    </row>
    <row r="20632" spans="1:15" x14ac:dyDescent="0.25">
      <c r="A20632" t="s">
        <v>16</v>
      </c>
      <c r="B20632" t="s">
        <v>3221</v>
      </c>
      <c r="C20632">
        <v>6181</v>
      </c>
      <c r="D20632" t="s">
        <v>263</v>
      </c>
      <c r="E20632" t="s">
        <v>264</v>
      </c>
      <c r="F20632">
        <v>8.84</v>
      </c>
      <c r="G20632">
        <v>230504</v>
      </c>
      <c r="H20632">
        <v>4362</v>
      </c>
      <c r="I20632" t="s">
        <v>79</v>
      </c>
      <c r="J20632">
        <v>10.96</v>
      </c>
      <c r="K20632">
        <v>2.12</v>
      </c>
      <c r="L20632">
        <v>17521</v>
      </c>
      <c r="M20632" t="s">
        <v>133</v>
      </c>
      <c r="N20632" t="str">
        <f t="shared" si="310"/>
        <v xml:space="preserve">12318023907 </v>
      </c>
      <c r="O20632">
        <v>230508</v>
      </c>
    </row>
    <row r="20633" spans="1:15" x14ac:dyDescent="0.25">
      <c r="A20633" t="s">
        <v>16</v>
      </c>
      <c r="B20633" t="s">
        <v>3221</v>
      </c>
      <c r="C20633">
        <v>6181</v>
      </c>
      <c r="D20633" t="s">
        <v>263</v>
      </c>
      <c r="E20633" t="s">
        <v>264</v>
      </c>
      <c r="F20633">
        <v>5.4</v>
      </c>
      <c r="G20633">
        <v>230504</v>
      </c>
      <c r="H20633">
        <v>4362</v>
      </c>
      <c r="I20633" t="s">
        <v>79</v>
      </c>
      <c r="J20633">
        <v>6.7</v>
      </c>
      <c r="K20633">
        <v>1.3</v>
      </c>
      <c r="L20633">
        <v>17522</v>
      </c>
      <c r="M20633" t="s">
        <v>451</v>
      </c>
      <c r="N20633" t="str">
        <f t="shared" si="310"/>
        <v xml:space="preserve">12318023907 </v>
      </c>
      <c r="O20633">
        <v>230508</v>
      </c>
    </row>
    <row r="20634" spans="1:15" x14ac:dyDescent="0.25">
      <c r="A20634" t="s">
        <v>16</v>
      </c>
      <c r="B20634" t="s">
        <v>3221</v>
      </c>
      <c r="C20634">
        <v>6181</v>
      </c>
      <c r="D20634" t="s">
        <v>263</v>
      </c>
      <c r="E20634" t="s">
        <v>264</v>
      </c>
      <c r="F20634">
        <v>9.52</v>
      </c>
      <c r="G20634">
        <v>230504</v>
      </c>
      <c r="H20634">
        <v>4362</v>
      </c>
      <c r="I20634" t="s">
        <v>79</v>
      </c>
      <c r="J20634">
        <v>11.8</v>
      </c>
      <c r="K20634">
        <v>2.2799999999999998</v>
      </c>
      <c r="L20634">
        <v>17523</v>
      </c>
      <c r="M20634" t="s">
        <v>134</v>
      </c>
      <c r="N20634" t="str">
        <f t="shared" si="310"/>
        <v xml:space="preserve">12318023907 </v>
      </c>
      <c r="O20634">
        <v>230508</v>
      </c>
    </row>
    <row r="20635" spans="1:15" x14ac:dyDescent="0.25">
      <c r="A20635" t="s">
        <v>16</v>
      </c>
      <c r="B20635" t="s">
        <v>3221</v>
      </c>
      <c r="C20635">
        <v>6181</v>
      </c>
      <c r="D20635" t="s">
        <v>263</v>
      </c>
      <c r="E20635" t="s">
        <v>264</v>
      </c>
      <c r="F20635">
        <v>5.4</v>
      </c>
      <c r="G20635">
        <v>230504</v>
      </c>
      <c r="H20635">
        <v>4362</v>
      </c>
      <c r="I20635" t="s">
        <v>79</v>
      </c>
      <c r="J20635">
        <v>6.7</v>
      </c>
      <c r="K20635">
        <v>1.3</v>
      </c>
      <c r="L20635">
        <v>17524</v>
      </c>
      <c r="M20635" t="s">
        <v>452</v>
      </c>
      <c r="N20635" t="str">
        <f t="shared" si="310"/>
        <v xml:space="preserve">12318023907 </v>
      </c>
      <c r="O20635">
        <v>230508</v>
      </c>
    </row>
    <row r="20636" spans="1:15" x14ac:dyDescent="0.25">
      <c r="A20636" t="s">
        <v>16</v>
      </c>
      <c r="B20636" t="s">
        <v>3221</v>
      </c>
      <c r="C20636">
        <v>6181</v>
      </c>
      <c r="D20636" t="s">
        <v>263</v>
      </c>
      <c r="E20636" t="s">
        <v>264</v>
      </c>
      <c r="F20636">
        <v>2.83</v>
      </c>
      <c r="G20636">
        <v>230504</v>
      </c>
      <c r="H20636">
        <v>4362</v>
      </c>
      <c r="I20636" t="s">
        <v>79</v>
      </c>
      <c r="J20636">
        <v>3.51</v>
      </c>
      <c r="K20636">
        <v>0.68</v>
      </c>
      <c r="L20636">
        <v>17525</v>
      </c>
      <c r="M20636" t="s">
        <v>135</v>
      </c>
      <c r="N20636" t="str">
        <f t="shared" si="310"/>
        <v xml:space="preserve">12318023907 </v>
      </c>
      <c r="O20636">
        <v>230508</v>
      </c>
    </row>
    <row r="20637" spans="1:15" x14ac:dyDescent="0.25">
      <c r="A20637" t="s">
        <v>16</v>
      </c>
      <c r="B20637" t="s">
        <v>3221</v>
      </c>
      <c r="C20637">
        <v>6181</v>
      </c>
      <c r="D20637" t="s">
        <v>263</v>
      </c>
      <c r="E20637" t="s">
        <v>264</v>
      </c>
      <c r="F20637">
        <v>10.25</v>
      </c>
      <c r="G20637">
        <v>230504</v>
      </c>
      <c r="H20637">
        <v>4362</v>
      </c>
      <c r="I20637" t="s">
        <v>79</v>
      </c>
      <c r="J20637">
        <v>12.71</v>
      </c>
      <c r="K20637">
        <v>2.46</v>
      </c>
      <c r="L20637">
        <v>17526</v>
      </c>
      <c r="M20637" t="s">
        <v>437</v>
      </c>
      <c r="N20637" t="str">
        <f t="shared" si="310"/>
        <v xml:space="preserve">12318023907 </v>
      </c>
      <c r="O20637">
        <v>230508</v>
      </c>
    </row>
    <row r="20638" spans="1:15" x14ac:dyDescent="0.25">
      <c r="A20638" t="s">
        <v>16</v>
      </c>
      <c r="B20638" t="s">
        <v>3221</v>
      </c>
      <c r="C20638">
        <v>6181</v>
      </c>
      <c r="D20638" t="s">
        <v>263</v>
      </c>
      <c r="E20638" t="s">
        <v>264</v>
      </c>
      <c r="F20638">
        <v>5.63</v>
      </c>
      <c r="G20638">
        <v>230504</v>
      </c>
      <c r="H20638">
        <v>4362</v>
      </c>
      <c r="I20638" t="s">
        <v>79</v>
      </c>
      <c r="J20638">
        <v>6.98</v>
      </c>
      <c r="K20638">
        <v>1.35</v>
      </c>
      <c r="L20638">
        <v>17527</v>
      </c>
      <c r="M20638" t="s">
        <v>422</v>
      </c>
      <c r="N20638" t="str">
        <f t="shared" si="310"/>
        <v xml:space="preserve">12318023907 </v>
      </c>
      <c r="O20638">
        <v>230508</v>
      </c>
    </row>
    <row r="20639" spans="1:15" x14ac:dyDescent="0.25">
      <c r="A20639" t="s">
        <v>16</v>
      </c>
      <c r="B20639" t="s">
        <v>3221</v>
      </c>
      <c r="C20639">
        <v>6181</v>
      </c>
      <c r="D20639" t="s">
        <v>263</v>
      </c>
      <c r="E20639" t="s">
        <v>264</v>
      </c>
      <c r="F20639">
        <v>5.4</v>
      </c>
      <c r="G20639">
        <v>230504</v>
      </c>
      <c r="H20639">
        <v>4362</v>
      </c>
      <c r="I20639" t="s">
        <v>79</v>
      </c>
      <c r="J20639">
        <v>6.7</v>
      </c>
      <c r="K20639">
        <v>1.3</v>
      </c>
      <c r="L20639">
        <v>17529</v>
      </c>
      <c r="M20639" t="s">
        <v>453</v>
      </c>
      <c r="N20639" t="str">
        <f t="shared" si="310"/>
        <v xml:space="preserve">12318023907 </v>
      </c>
      <c r="O20639">
        <v>230508</v>
      </c>
    </row>
    <row r="20640" spans="1:15" x14ac:dyDescent="0.25">
      <c r="A20640" t="s">
        <v>16</v>
      </c>
      <c r="B20640" t="s">
        <v>3221</v>
      </c>
      <c r="C20640">
        <v>6181</v>
      </c>
      <c r="D20640" t="s">
        <v>263</v>
      </c>
      <c r="E20640" t="s">
        <v>264</v>
      </c>
      <c r="F20640">
        <v>5.4</v>
      </c>
      <c r="G20640">
        <v>230504</v>
      </c>
      <c r="H20640">
        <v>4362</v>
      </c>
      <c r="I20640" t="s">
        <v>79</v>
      </c>
      <c r="J20640">
        <v>6.7</v>
      </c>
      <c r="K20640">
        <v>1.3</v>
      </c>
      <c r="L20640">
        <v>17530</v>
      </c>
      <c r="M20640" t="s">
        <v>454</v>
      </c>
      <c r="N20640" t="str">
        <f t="shared" si="310"/>
        <v xml:space="preserve">12318023907 </v>
      </c>
      <c r="O20640">
        <v>230508</v>
      </c>
    </row>
    <row r="20641" spans="1:15" x14ac:dyDescent="0.25">
      <c r="A20641" t="s">
        <v>16</v>
      </c>
      <c r="B20641" t="s">
        <v>3221</v>
      </c>
      <c r="C20641">
        <v>6181</v>
      </c>
      <c r="D20641" t="s">
        <v>263</v>
      </c>
      <c r="E20641" t="s">
        <v>264</v>
      </c>
      <c r="F20641">
        <v>18.45</v>
      </c>
      <c r="G20641">
        <v>230504</v>
      </c>
      <c r="H20641">
        <v>4362</v>
      </c>
      <c r="I20641" t="s">
        <v>79</v>
      </c>
      <c r="J20641">
        <v>22.88</v>
      </c>
      <c r="K20641">
        <v>4.43</v>
      </c>
      <c r="L20641">
        <v>17531</v>
      </c>
      <c r="M20641" t="s">
        <v>136</v>
      </c>
      <c r="N20641" t="str">
        <f t="shared" si="310"/>
        <v xml:space="preserve">12318023907 </v>
      </c>
      <c r="O20641">
        <v>230508</v>
      </c>
    </row>
    <row r="20642" spans="1:15" x14ac:dyDescent="0.25">
      <c r="A20642" t="s">
        <v>16</v>
      </c>
      <c r="B20642" t="s">
        <v>3221</v>
      </c>
      <c r="C20642">
        <v>6181</v>
      </c>
      <c r="D20642" t="s">
        <v>263</v>
      </c>
      <c r="E20642" t="s">
        <v>264</v>
      </c>
      <c r="F20642">
        <v>10.62</v>
      </c>
      <c r="G20642">
        <v>230504</v>
      </c>
      <c r="H20642">
        <v>4362</v>
      </c>
      <c r="I20642" t="s">
        <v>79</v>
      </c>
      <c r="J20642">
        <v>13.17</v>
      </c>
      <c r="K20642">
        <v>2.5499999999999998</v>
      </c>
      <c r="L20642">
        <v>17532</v>
      </c>
      <c r="M20642" t="s">
        <v>543</v>
      </c>
      <c r="N20642" t="str">
        <f t="shared" si="310"/>
        <v xml:space="preserve">12318023907 </v>
      </c>
      <c r="O20642">
        <v>230508</v>
      </c>
    </row>
    <row r="20643" spans="1:15" x14ac:dyDescent="0.25">
      <c r="A20643" t="s">
        <v>16</v>
      </c>
      <c r="B20643" t="s">
        <v>3221</v>
      </c>
      <c r="C20643">
        <v>6181</v>
      </c>
      <c r="D20643" t="s">
        <v>263</v>
      </c>
      <c r="E20643" t="s">
        <v>264</v>
      </c>
      <c r="F20643">
        <v>5.4</v>
      </c>
      <c r="G20643">
        <v>230504</v>
      </c>
      <c r="H20643">
        <v>4362</v>
      </c>
      <c r="I20643" t="s">
        <v>79</v>
      </c>
      <c r="J20643">
        <v>6.7</v>
      </c>
      <c r="K20643">
        <v>1.3</v>
      </c>
      <c r="L20643">
        <v>17533</v>
      </c>
      <c r="M20643" t="s">
        <v>990</v>
      </c>
      <c r="N20643" t="str">
        <f t="shared" si="310"/>
        <v xml:space="preserve">12318023907 </v>
      </c>
      <c r="O20643">
        <v>230508</v>
      </c>
    </row>
    <row r="20644" spans="1:15" x14ac:dyDescent="0.25">
      <c r="A20644" t="s">
        <v>16</v>
      </c>
      <c r="B20644" t="s">
        <v>3221</v>
      </c>
      <c r="C20644">
        <v>6181</v>
      </c>
      <c r="D20644" t="s">
        <v>263</v>
      </c>
      <c r="E20644" t="s">
        <v>264</v>
      </c>
      <c r="F20644">
        <v>5.8</v>
      </c>
      <c r="G20644">
        <v>230504</v>
      </c>
      <c r="H20644">
        <v>4362</v>
      </c>
      <c r="I20644" t="s">
        <v>79</v>
      </c>
      <c r="J20644">
        <v>7.19</v>
      </c>
      <c r="K20644">
        <v>1.39</v>
      </c>
      <c r="L20644">
        <v>17534</v>
      </c>
      <c r="M20644" t="s">
        <v>440</v>
      </c>
      <c r="N20644" t="str">
        <f t="shared" si="310"/>
        <v xml:space="preserve">12318023907 </v>
      </c>
      <c r="O20644">
        <v>230508</v>
      </c>
    </row>
    <row r="20645" spans="1:15" x14ac:dyDescent="0.25">
      <c r="A20645" t="s">
        <v>16</v>
      </c>
      <c r="B20645" t="s">
        <v>3221</v>
      </c>
      <c r="C20645">
        <v>6181</v>
      </c>
      <c r="D20645" t="s">
        <v>263</v>
      </c>
      <c r="E20645" t="s">
        <v>264</v>
      </c>
      <c r="F20645">
        <v>2.97</v>
      </c>
      <c r="G20645">
        <v>230504</v>
      </c>
      <c r="H20645">
        <v>4362</v>
      </c>
      <c r="I20645" t="s">
        <v>79</v>
      </c>
      <c r="J20645">
        <v>3.68</v>
      </c>
      <c r="K20645">
        <v>0.71</v>
      </c>
      <c r="L20645">
        <v>17535</v>
      </c>
      <c r="M20645" t="s">
        <v>357</v>
      </c>
      <c r="N20645" t="str">
        <f t="shared" si="310"/>
        <v xml:space="preserve">12318023907 </v>
      </c>
      <c r="O20645">
        <v>230508</v>
      </c>
    </row>
    <row r="20646" spans="1:15" x14ac:dyDescent="0.25">
      <c r="A20646" t="s">
        <v>16</v>
      </c>
      <c r="B20646" t="s">
        <v>3221</v>
      </c>
      <c r="C20646">
        <v>6181</v>
      </c>
      <c r="D20646" t="s">
        <v>263</v>
      </c>
      <c r="E20646" t="s">
        <v>264</v>
      </c>
      <c r="F20646">
        <v>5.4</v>
      </c>
      <c r="G20646">
        <v>230504</v>
      </c>
      <c r="H20646">
        <v>4362</v>
      </c>
      <c r="I20646" t="s">
        <v>79</v>
      </c>
      <c r="J20646">
        <v>6.7</v>
      </c>
      <c r="K20646">
        <v>1.3</v>
      </c>
      <c r="L20646">
        <v>17536</v>
      </c>
      <c r="M20646" t="s">
        <v>734</v>
      </c>
      <c r="N20646" t="str">
        <f t="shared" si="310"/>
        <v xml:space="preserve">12318023907 </v>
      </c>
      <c r="O20646">
        <v>230508</v>
      </c>
    </row>
    <row r="20647" spans="1:15" x14ac:dyDescent="0.25">
      <c r="A20647" t="s">
        <v>16</v>
      </c>
      <c r="B20647" t="s">
        <v>3221</v>
      </c>
      <c r="C20647">
        <v>6181</v>
      </c>
      <c r="D20647" t="s">
        <v>263</v>
      </c>
      <c r="E20647" t="s">
        <v>264</v>
      </c>
      <c r="F20647">
        <v>7.95</v>
      </c>
      <c r="G20647">
        <v>230504</v>
      </c>
      <c r="H20647">
        <v>4362</v>
      </c>
      <c r="I20647" t="s">
        <v>79</v>
      </c>
      <c r="J20647">
        <v>9.86</v>
      </c>
      <c r="K20647">
        <v>1.91</v>
      </c>
      <c r="L20647">
        <v>17537</v>
      </c>
      <c r="M20647" t="s">
        <v>455</v>
      </c>
      <c r="N20647" t="str">
        <f t="shared" si="310"/>
        <v xml:space="preserve">12318023907 </v>
      </c>
      <c r="O20647">
        <v>230508</v>
      </c>
    </row>
    <row r="20648" spans="1:15" x14ac:dyDescent="0.25">
      <c r="A20648" t="s">
        <v>16</v>
      </c>
      <c r="B20648" t="s">
        <v>3221</v>
      </c>
      <c r="C20648">
        <v>6181</v>
      </c>
      <c r="D20648" t="s">
        <v>263</v>
      </c>
      <c r="E20648" t="s">
        <v>264</v>
      </c>
      <c r="F20648">
        <v>12.91</v>
      </c>
      <c r="G20648">
        <v>230504</v>
      </c>
      <c r="H20648">
        <v>4362</v>
      </c>
      <c r="I20648" t="s">
        <v>79</v>
      </c>
      <c r="J20648">
        <v>16.010000000000002</v>
      </c>
      <c r="K20648">
        <v>3.1</v>
      </c>
      <c r="L20648">
        <v>17538</v>
      </c>
      <c r="M20648" t="s">
        <v>24</v>
      </c>
      <c r="N20648" t="str">
        <f t="shared" si="310"/>
        <v xml:space="preserve">12318023907 </v>
      </c>
      <c r="O20648">
        <v>230508</v>
      </c>
    </row>
    <row r="20649" spans="1:15" x14ac:dyDescent="0.25">
      <c r="A20649" t="s">
        <v>16</v>
      </c>
      <c r="B20649" t="s">
        <v>3221</v>
      </c>
      <c r="C20649">
        <v>6181</v>
      </c>
      <c r="D20649" t="s">
        <v>263</v>
      </c>
      <c r="E20649" t="s">
        <v>264</v>
      </c>
      <c r="F20649">
        <v>10.8</v>
      </c>
      <c r="G20649">
        <v>230504</v>
      </c>
      <c r="H20649">
        <v>4362</v>
      </c>
      <c r="I20649" t="s">
        <v>79</v>
      </c>
      <c r="J20649">
        <v>13.39</v>
      </c>
      <c r="K20649">
        <v>2.59</v>
      </c>
      <c r="L20649">
        <v>17950</v>
      </c>
      <c r="M20649" t="s">
        <v>86</v>
      </c>
      <c r="N20649" t="str">
        <f t="shared" si="310"/>
        <v xml:space="preserve">12318023907 </v>
      </c>
      <c r="O20649">
        <v>230508</v>
      </c>
    </row>
    <row r="20650" spans="1:15" x14ac:dyDescent="0.25">
      <c r="A20650" t="s">
        <v>16</v>
      </c>
      <c r="B20650" t="s">
        <v>3221</v>
      </c>
      <c r="C20650">
        <v>6181</v>
      </c>
      <c r="D20650" t="s">
        <v>263</v>
      </c>
      <c r="E20650" t="s">
        <v>264</v>
      </c>
      <c r="F20650">
        <v>2.7</v>
      </c>
      <c r="G20650">
        <v>230504</v>
      </c>
      <c r="H20650">
        <v>4362</v>
      </c>
      <c r="I20650" t="s">
        <v>79</v>
      </c>
      <c r="J20650">
        <v>3.35</v>
      </c>
      <c r="K20650">
        <v>0.65</v>
      </c>
      <c r="L20650">
        <v>17956</v>
      </c>
      <c r="M20650" t="s">
        <v>53</v>
      </c>
      <c r="N20650" t="str">
        <f t="shared" si="310"/>
        <v xml:space="preserve">12318023907 </v>
      </c>
      <c r="O20650">
        <v>230508</v>
      </c>
    </row>
    <row r="20651" spans="1:15" x14ac:dyDescent="0.25">
      <c r="A20651" t="s">
        <v>16</v>
      </c>
      <c r="B20651" t="s">
        <v>3221</v>
      </c>
      <c r="C20651">
        <v>6181</v>
      </c>
      <c r="D20651" t="s">
        <v>263</v>
      </c>
      <c r="E20651" t="s">
        <v>264</v>
      </c>
      <c r="F20651">
        <v>14.37</v>
      </c>
      <c r="G20651">
        <v>230504</v>
      </c>
      <c r="H20651">
        <v>4362</v>
      </c>
      <c r="I20651" t="s">
        <v>79</v>
      </c>
      <c r="J20651">
        <v>17.82</v>
      </c>
      <c r="K20651">
        <v>3.45</v>
      </c>
      <c r="L20651">
        <v>17971</v>
      </c>
      <c r="M20651" t="s">
        <v>138</v>
      </c>
      <c r="N20651" t="str">
        <f t="shared" si="310"/>
        <v xml:space="preserve">12318023907 </v>
      </c>
      <c r="O20651">
        <v>230508</v>
      </c>
    </row>
    <row r="20652" spans="1:15" x14ac:dyDescent="0.25">
      <c r="A20652" t="s">
        <v>16</v>
      </c>
      <c r="B20652" t="s">
        <v>3221</v>
      </c>
      <c r="C20652">
        <v>6181</v>
      </c>
      <c r="D20652" t="s">
        <v>263</v>
      </c>
      <c r="E20652" t="s">
        <v>264</v>
      </c>
      <c r="F20652">
        <v>2.7</v>
      </c>
      <c r="G20652">
        <v>230504</v>
      </c>
      <c r="H20652">
        <v>4362</v>
      </c>
      <c r="I20652" t="s">
        <v>79</v>
      </c>
      <c r="J20652">
        <v>3.35</v>
      </c>
      <c r="K20652">
        <v>0.65</v>
      </c>
      <c r="L20652">
        <v>17972</v>
      </c>
      <c r="M20652" t="s">
        <v>248</v>
      </c>
      <c r="N20652" t="str">
        <f t="shared" si="310"/>
        <v xml:space="preserve">12318023907 </v>
      </c>
      <c r="O20652">
        <v>230508</v>
      </c>
    </row>
    <row r="20653" spans="1:15" x14ac:dyDescent="0.25">
      <c r="A20653" t="s">
        <v>16</v>
      </c>
      <c r="B20653" t="s">
        <v>3221</v>
      </c>
      <c r="C20653">
        <v>6181</v>
      </c>
      <c r="D20653" t="s">
        <v>263</v>
      </c>
      <c r="E20653" t="s">
        <v>264</v>
      </c>
      <c r="F20653">
        <v>2.7</v>
      </c>
      <c r="G20653">
        <v>230504</v>
      </c>
      <c r="H20653">
        <v>4362</v>
      </c>
      <c r="I20653" t="s">
        <v>79</v>
      </c>
      <c r="J20653">
        <v>3.35</v>
      </c>
      <c r="K20653">
        <v>0.65</v>
      </c>
      <c r="L20653">
        <v>17974</v>
      </c>
      <c r="M20653" t="s">
        <v>460</v>
      </c>
      <c r="N20653" t="str">
        <f t="shared" si="310"/>
        <v xml:space="preserve">12318023907 </v>
      </c>
      <c r="O20653">
        <v>230508</v>
      </c>
    </row>
    <row r="20654" spans="1:15" x14ac:dyDescent="0.25">
      <c r="A20654" t="s">
        <v>16</v>
      </c>
      <c r="B20654" t="s">
        <v>3221</v>
      </c>
      <c r="C20654">
        <v>6181</v>
      </c>
      <c r="D20654" t="s">
        <v>263</v>
      </c>
      <c r="E20654" t="s">
        <v>264</v>
      </c>
      <c r="F20654">
        <v>8.5399999999999991</v>
      </c>
      <c r="G20654">
        <v>230504</v>
      </c>
      <c r="H20654">
        <v>4362</v>
      </c>
      <c r="I20654" t="s">
        <v>79</v>
      </c>
      <c r="J20654">
        <v>10.59</v>
      </c>
      <c r="K20654">
        <v>2.0499999999999998</v>
      </c>
      <c r="L20654">
        <v>17975</v>
      </c>
      <c r="M20654" t="s">
        <v>798</v>
      </c>
      <c r="N20654" t="str">
        <f t="shared" si="310"/>
        <v xml:space="preserve">12318023907 </v>
      </c>
      <c r="O20654">
        <v>230508</v>
      </c>
    </row>
    <row r="20655" spans="1:15" x14ac:dyDescent="0.25">
      <c r="A20655" t="s">
        <v>16</v>
      </c>
      <c r="B20655" t="s">
        <v>3221</v>
      </c>
      <c r="C20655">
        <v>6183</v>
      </c>
      <c r="D20655" t="s">
        <v>263</v>
      </c>
      <c r="E20655" t="s">
        <v>264</v>
      </c>
      <c r="F20655">
        <v>2.5499999999999998</v>
      </c>
      <c r="G20655">
        <v>230504</v>
      </c>
      <c r="H20655">
        <v>4362</v>
      </c>
      <c r="I20655" t="s">
        <v>79</v>
      </c>
      <c r="J20655">
        <v>3.16</v>
      </c>
      <c r="K20655">
        <v>0.61</v>
      </c>
      <c r="L20655">
        <v>13801</v>
      </c>
      <c r="M20655" t="s">
        <v>162</v>
      </c>
      <c r="N20655" t="str">
        <f>"12318023913 "</f>
        <v xml:space="preserve">12318023913 </v>
      </c>
      <c r="O20655">
        <v>230508</v>
      </c>
    </row>
    <row r="20656" spans="1:15" x14ac:dyDescent="0.25">
      <c r="A20656" t="s">
        <v>16</v>
      </c>
      <c r="B20656" t="s">
        <v>3221</v>
      </c>
      <c r="C20656">
        <v>6184</v>
      </c>
      <c r="D20656" t="s">
        <v>263</v>
      </c>
      <c r="E20656" t="s">
        <v>264</v>
      </c>
      <c r="F20656">
        <v>7.27</v>
      </c>
      <c r="G20656">
        <v>230504</v>
      </c>
      <c r="H20656">
        <v>4362</v>
      </c>
      <c r="I20656" t="s">
        <v>79</v>
      </c>
      <c r="J20656">
        <v>9.01</v>
      </c>
      <c r="K20656">
        <v>1.74</v>
      </c>
      <c r="L20656">
        <v>16321</v>
      </c>
      <c r="M20656" t="s">
        <v>423</v>
      </c>
      <c r="N20656" t="str">
        <f t="shared" ref="N20656:N20665" si="311">"12318023905 "</f>
        <v xml:space="preserve">12318023905 </v>
      </c>
      <c r="O20656">
        <v>230508</v>
      </c>
    </row>
    <row r="20657" spans="1:15" x14ac:dyDescent="0.25">
      <c r="A20657" t="s">
        <v>16</v>
      </c>
      <c r="B20657" t="s">
        <v>3221</v>
      </c>
      <c r="C20657">
        <v>6184</v>
      </c>
      <c r="D20657" t="s">
        <v>263</v>
      </c>
      <c r="E20657" t="s">
        <v>264</v>
      </c>
      <c r="F20657">
        <v>8.1</v>
      </c>
      <c r="G20657">
        <v>230504</v>
      </c>
      <c r="H20657">
        <v>4362</v>
      </c>
      <c r="I20657" t="s">
        <v>79</v>
      </c>
      <c r="J20657">
        <v>10.039999999999999</v>
      </c>
      <c r="K20657">
        <v>1.94</v>
      </c>
      <c r="L20657">
        <v>16431</v>
      </c>
      <c r="M20657" t="s">
        <v>231</v>
      </c>
      <c r="N20657" t="str">
        <f t="shared" si="311"/>
        <v xml:space="preserve">12318023905 </v>
      </c>
      <c r="O20657">
        <v>230508</v>
      </c>
    </row>
    <row r="20658" spans="1:15" x14ac:dyDescent="0.25">
      <c r="A20658" t="s">
        <v>16</v>
      </c>
      <c r="B20658" t="s">
        <v>3221</v>
      </c>
      <c r="C20658">
        <v>6184</v>
      </c>
      <c r="D20658" t="s">
        <v>263</v>
      </c>
      <c r="E20658" t="s">
        <v>264</v>
      </c>
      <c r="F20658">
        <v>25.25</v>
      </c>
      <c r="G20658">
        <v>230504</v>
      </c>
      <c r="H20658">
        <v>4362</v>
      </c>
      <c r="I20658" t="s">
        <v>79</v>
      </c>
      <c r="J20658">
        <v>31.31</v>
      </c>
      <c r="K20658">
        <v>6.06</v>
      </c>
      <c r="L20658">
        <v>17802</v>
      </c>
      <c r="M20658" t="s">
        <v>174</v>
      </c>
      <c r="N20658" t="str">
        <f t="shared" si="311"/>
        <v xml:space="preserve">12318023905 </v>
      </c>
      <c r="O20658">
        <v>230508</v>
      </c>
    </row>
    <row r="20659" spans="1:15" x14ac:dyDescent="0.25">
      <c r="A20659" t="s">
        <v>16</v>
      </c>
      <c r="B20659" t="s">
        <v>3221</v>
      </c>
      <c r="C20659">
        <v>6184</v>
      </c>
      <c r="D20659" t="s">
        <v>263</v>
      </c>
      <c r="E20659" t="s">
        <v>264</v>
      </c>
      <c r="F20659">
        <v>11.54</v>
      </c>
      <c r="G20659">
        <v>230504</v>
      </c>
      <c r="H20659">
        <v>4362</v>
      </c>
      <c r="I20659" t="s">
        <v>79</v>
      </c>
      <c r="J20659">
        <v>14.31</v>
      </c>
      <c r="K20659">
        <v>2.77</v>
      </c>
      <c r="L20659">
        <v>17803</v>
      </c>
      <c r="M20659" t="s">
        <v>389</v>
      </c>
      <c r="N20659" t="str">
        <f t="shared" si="311"/>
        <v xml:space="preserve">12318023905 </v>
      </c>
      <c r="O20659">
        <v>230508</v>
      </c>
    </row>
    <row r="20660" spans="1:15" x14ac:dyDescent="0.25">
      <c r="A20660" t="s">
        <v>16</v>
      </c>
      <c r="B20660" t="s">
        <v>3221</v>
      </c>
      <c r="C20660">
        <v>6184</v>
      </c>
      <c r="D20660" t="s">
        <v>263</v>
      </c>
      <c r="E20660" t="s">
        <v>264</v>
      </c>
      <c r="F20660">
        <v>2.7</v>
      </c>
      <c r="G20660">
        <v>230504</v>
      </c>
      <c r="H20660">
        <v>4362</v>
      </c>
      <c r="I20660" t="s">
        <v>79</v>
      </c>
      <c r="J20660">
        <v>3.35</v>
      </c>
      <c r="K20660">
        <v>0.65</v>
      </c>
      <c r="L20660">
        <v>17804</v>
      </c>
      <c r="M20660" t="s">
        <v>549</v>
      </c>
      <c r="N20660" t="str">
        <f t="shared" si="311"/>
        <v xml:space="preserve">12318023905 </v>
      </c>
      <c r="O20660">
        <v>230508</v>
      </c>
    </row>
    <row r="20661" spans="1:15" x14ac:dyDescent="0.25">
      <c r="A20661" t="s">
        <v>16</v>
      </c>
      <c r="B20661" t="s">
        <v>3221</v>
      </c>
      <c r="C20661">
        <v>6184</v>
      </c>
      <c r="D20661" t="s">
        <v>263</v>
      </c>
      <c r="E20661" t="s">
        <v>264</v>
      </c>
      <c r="F20661">
        <v>2.7</v>
      </c>
      <c r="G20661">
        <v>230504</v>
      </c>
      <c r="H20661">
        <v>4362</v>
      </c>
      <c r="I20661" t="s">
        <v>79</v>
      </c>
      <c r="J20661">
        <v>3.35</v>
      </c>
      <c r="K20661">
        <v>0.65</v>
      </c>
      <c r="L20661">
        <v>17805</v>
      </c>
      <c r="M20661" t="s">
        <v>102</v>
      </c>
      <c r="N20661" t="str">
        <f t="shared" si="311"/>
        <v xml:space="preserve">12318023905 </v>
      </c>
      <c r="O20661">
        <v>230508</v>
      </c>
    </row>
    <row r="20662" spans="1:15" x14ac:dyDescent="0.25">
      <c r="A20662" t="s">
        <v>16</v>
      </c>
      <c r="B20662" t="s">
        <v>3221</v>
      </c>
      <c r="C20662">
        <v>6184</v>
      </c>
      <c r="D20662" t="s">
        <v>263</v>
      </c>
      <c r="E20662" t="s">
        <v>264</v>
      </c>
      <c r="F20662">
        <v>5.4</v>
      </c>
      <c r="G20662">
        <v>230504</v>
      </c>
      <c r="H20662">
        <v>4362</v>
      </c>
      <c r="I20662" t="s">
        <v>79</v>
      </c>
      <c r="J20662">
        <v>6.7</v>
      </c>
      <c r="K20662">
        <v>1.3</v>
      </c>
      <c r="L20662">
        <v>17806</v>
      </c>
      <c r="M20662" t="s">
        <v>265</v>
      </c>
      <c r="N20662" t="str">
        <f t="shared" si="311"/>
        <v xml:space="preserve">12318023905 </v>
      </c>
      <c r="O20662">
        <v>230508</v>
      </c>
    </row>
    <row r="20663" spans="1:15" x14ac:dyDescent="0.25">
      <c r="A20663" t="s">
        <v>16</v>
      </c>
      <c r="B20663" t="s">
        <v>3221</v>
      </c>
      <c r="C20663">
        <v>6184</v>
      </c>
      <c r="D20663" t="s">
        <v>263</v>
      </c>
      <c r="E20663" t="s">
        <v>264</v>
      </c>
      <c r="F20663">
        <v>16.05</v>
      </c>
      <c r="G20663">
        <v>230504</v>
      </c>
      <c r="H20663">
        <v>4362</v>
      </c>
      <c r="I20663" t="s">
        <v>79</v>
      </c>
      <c r="J20663">
        <v>19.899999999999999</v>
      </c>
      <c r="K20663">
        <v>3.85</v>
      </c>
      <c r="L20663">
        <v>17807</v>
      </c>
      <c r="M20663" t="s">
        <v>318</v>
      </c>
      <c r="N20663" t="str">
        <f t="shared" si="311"/>
        <v xml:space="preserve">12318023905 </v>
      </c>
      <c r="O20663">
        <v>230508</v>
      </c>
    </row>
    <row r="20664" spans="1:15" x14ac:dyDescent="0.25">
      <c r="A20664" t="s">
        <v>16</v>
      </c>
      <c r="B20664" t="s">
        <v>3221</v>
      </c>
      <c r="C20664">
        <v>6184</v>
      </c>
      <c r="D20664" t="s">
        <v>263</v>
      </c>
      <c r="E20664" t="s">
        <v>264</v>
      </c>
      <c r="F20664">
        <v>8.1</v>
      </c>
      <c r="G20664">
        <v>230504</v>
      </c>
      <c r="H20664">
        <v>4362</v>
      </c>
      <c r="I20664" t="s">
        <v>79</v>
      </c>
      <c r="J20664">
        <v>10.039999999999999</v>
      </c>
      <c r="K20664">
        <v>1.94</v>
      </c>
      <c r="L20664">
        <v>17808</v>
      </c>
      <c r="M20664" t="s">
        <v>322</v>
      </c>
      <c r="N20664" t="str">
        <f t="shared" si="311"/>
        <v xml:space="preserve">12318023905 </v>
      </c>
      <c r="O20664">
        <v>230508</v>
      </c>
    </row>
    <row r="20665" spans="1:15" x14ac:dyDescent="0.25">
      <c r="A20665" t="s">
        <v>16</v>
      </c>
      <c r="B20665" t="s">
        <v>3221</v>
      </c>
      <c r="C20665">
        <v>6184</v>
      </c>
      <c r="D20665" t="s">
        <v>263</v>
      </c>
      <c r="E20665" t="s">
        <v>264</v>
      </c>
      <c r="F20665">
        <v>8.3800000000000008</v>
      </c>
      <c r="G20665">
        <v>230504</v>
      </c>
      <c r="H20665">
        <v>4362</v>
      </c>
      <c r="I20665" t="s">
        <v>79</v>
      </c>
      <c r="J20665">
        <v>10.39</v>
      </c>
      <c r="K20665">
        <v>2.0099999999999998</v>
      </c>
      <c r="L20665">
        <v>17809</v>
      </c>
      <c r="M20665" t="s">
        <v>376</v>
      </c>
      <c r="N20665" t="str">
        <f t="shared" si="311"/>
        <v xml:space="preserve">12318023905 </v>
      </c>
      <c r="O20665">
        <v>230508</v>
      </c>
    </row>
    <row r="20666" spans="1:15" x14ac:dyDescent="0.25">
      <c r="A20666" t="s">
        <v>16</v>
      </c>
      <c r="B20666" t="s">
        <v>3221</v>
      </c>
      <c r="C20666">
        <v>6185</v>
      </c>
      <c r="D20666" t="s">
        <v>263</v>
      </c>
      <c r="E20666" t="s">
        <v>264</v>
      </c>
      <c r="F20666">
        <v>7.13</v>
      </c>
      <c r="G20666">
        <v>230504</v>
      </c>
      <c r="H20666">
        <v>4362</v>
      </c>
      <c r="I20666" t="s">
        <v>79</v>
      </c>
      <c r="J20666">
        <v>8.84</v>
      </c>
      <c r="K20666">
        <v>1.71</v>
      </c>
      <c r="L20666">
        <v>44222</v>
      </c>
      <c r="M20666" t="s">
        <v>232</v>
      </c>
      <c r="N20666" t="str">
        <f>"12318023899 "</f>
        <v xml:space="preserve">12318023899 </v>
      </c>
      <c r="O20666">
        <v>230508</v>
      </c>
    </row>
    <row r="20667" spans="1:15" x14ac:dyDescent="0.25">
      <c r="A20667" t="s">
        <v>16</v>
      </c>
      <c r="B20667" t="s">
        <v>3221</v>
      </c>
      <c r="C20667">
        <v>6185</v>
      </c>
      <c r="D20667" t="s">
        <v>263</v>
      </c>
      <c r="E20667" t="s">
        <v>264</v>
      </c>
      <c r="F20667">
        <v>20.7</v>
      </c>
      <c r="G20667">
        <v>230504</v>
      </c>
      <c r="H20667">
        <v>4362</v>
      </c>
      <c r="I20667" t="s">
        <v>79</v>
      </c>
      <c r="J20667">
        <v>25.67</v>
      </c>
      <c r="K20667">
        <v>4.97</v>
      </c>
      <c r="L20667">
        <v>44222</v>
      </c>
      <c r="M20667" t="s">
        <v>232</v>
      </c>
      <c r="N20667" t="str">
        <f>"12318023899 "</f>
        <v xml:space="preserve">12318023899 </v>
      </c>
      <c r="O20667">
        <v>230508</v>
      </c>
    </row>
    <row r="20668" spans="1:15" x14ac:dyDescent="0.25">
      <c r="A20668" t="s">
        <v>16</v>
      </c>
      <c r="B20668" t="s">
        <v>3221</v>
      </c>
      <c r="C20668">
        <v>6185</v>
      </c>
      <c r="D20668" t="s">
        <v>263</v>
      </c>
      <c r="E20668" t="s">
        <v>264</v>
      </c>
      <c r="F20668">
        <v>2.7</v>
      </c>
      <c r="G20668">
        <v>230504</v>
      </c>
      <c r="H20668">
        <v>4362</v>
      </c>
      <c r="I20668" t="s">
        <v>79</v>
      </c>
      <c r="J20668">
        <v>3.35</v>
      </c>
      <c r="K20668">
        <v>0.65</v>
      </c>
      <c r="L20668">
        <v>44251</v>
      </c>
      <c r="M20668" t="s">
        <v>156</v>
      </c>
      <c r="N20668" t="str">
        <f>"12318023899 "</f>
        <v xml:space="preserve">12318023899 </v>
      </c>
      <c r="O20668">
        <v>230508</v>
      </c>
    </row>
    <row r="20669" spans="1:15" x14ac:dyDescent="0.25">
      <c r="A20669" t="s">
        <v>16</v>
      </c>
      <c r="B20669" t="s">
        <v>3221</v>
      </c>
      <c r="C20669">
        <v>6185</v>
      </c>
      <c r="D20669" t="s">
        <v>263</v>
      </c>
      <c r="E20669" t="s">
        <v>264</v>
      </c>
      <c r="F20669">
        <v>2.5499999999999998</v>
      </c>
      <c r="G20669">
        <v>230504</v>
      </c>
      <c r="H20669">
        <v>4362</v>
      </c>
      <c r="I20669" t="s">
        <v>79</v>
      </c>
      <c r="J20669">
        <v>3.16</v>
      </c>
      <c r="K20669">
        <v>0.61</v>
      </c>
      <c r="L20669">
        <v>44253</v>
      </c>
      <c r="M20669" t="s">
        <v>1058</v>
      </c>
      <c r="N20669" t="str">
        <f>"12318023899 "</f>
        <v xml:space="preserve">12318023899 </v>
      </c>
      <c r="O20669">
        <v>230508</v>
      </c>
    </row>
    <row r="20670" spans="1:15" x14ac:dyDescent="0.25">
      <c r="A20670" t="s">
        <v>16</v>
      </c>
      <c r="B20670" t="s">
        <v>3221</v>
      </c>
      <c r="C20670">
        <v>6185</v>
      </c>
      <c r="D20670" t="s">
        <v>263</v>
      </c>
      <c r="E20670" t="s">
        <v>264</v>
      </c>
      <c r="F20670">
        <v>6.19</v>
      </c>
      <c r="G20670">
        <v>230504</v>
      </c>
      <c r="H20670">
        <v>4362</v>
      </c>
      <c r="I20670" t="s">
        <v>79</v>
      </c>
      <c r="J20670">
        <v>6.19</v>
      </c>
      <c r="K20670">
        <v>0</v>
      </c>
      <c r="L20670">
        <v>49702</v>
      </c>
      <c r="M20670" t="s">
        <v>584</v>
      </c>
      <c r="N20670" t="str">
        <f>"12318023899 "</f>
        <v xml:space="preserve">12318023899 </v>
      </c>
      <c r="O20670">
        <v>230508</v>
      </c>
    </row>
    <row r="20671" spans="1:15" x14ac:dyDescent="0.25">
      <c r="A20671" t="s">
        <v>16</v>
      </c>
      <c r="B20671" t="s">
        <v>3221</v>
      </c>
      <c r="C20671">
        <v>6186</v>
      </c>
      <c r="D20671" t="s">
        <v>263</v>
      </c>
      <c r="E20671" t="s">
        <v>264</v>
      </c>
      <c r="F20671">
        <v>9.51</v>
      </c>
      <c r="G20671">
        <v>230504</v>
      </c>
      <c r="H20671">
        <v>4362</v>
      </c>
      <c r="I20671" t="s">
        <v>79</v>
      </c>
      <c r="J20671">
        <v>11.79</v>
      </c>
      <c r="K20671">
        <v>2.2799999999999998</v>
      </c>
      <c r="L20671">
        <v>49112</v>
      </c>
      <c r="M20671" t="s">
        <v>233</v>
      </c>
      <c r="N20671" t="str">
        <f>"12318023900 "</f>
        <v xml:space="preserve">12318023900 </v>
      </c>
      <c r="O20671">
        <v>230508</v>
      </c>
    </row>
    <row r="20672" spans="1:15" x14ac:dyDescent="0.25">
      <c r="A20672" t="s">
        <v>16</v>
      </c>
      <c r="B20672" t="s">
        <v>3221</v>
      </c>
      <c r="C20672">
        <v>6187</v>
      </c>
      <c r="D20672" t="s">
        <v>263</v>
      </c>
      <c r="E20672" t="s">
        <v>264</v>
      </c>
      <c r="F20672">
        <v>58.63</v>
      </c>
      <c r="G20672">
        <v>230504</v>
      </c>
      <c r="H20672">
        <v>4362</v>
      </c>
      <c r="I20672" t="s">
        <v>79</v>
      </c>
      <c r="J20672">
        <v>72.7</v>
      </c>
      <c r="K20672">
        <v>14.07</v>
      </c>
      <c r="L20672">
        <v>11801</v>
      </c>
      <c r="M20672" t="s">
        <v>92</v>
      </c>
      <c r="N20672" t="str">
        <f>"12318023911 "</f>
        <v xml:space="preserve">12318023911 </v>
      </c>
      <c r="O20672">
        <v>230508</v>
      </c>
    </row>
    <row r="20673" spans="1:15" x14ac:dyDescent="0.25">
      <c r="A20673" t="s">
        <v>16</v>
      </c>
      <c r="B20673" t="s">
        <v>3221</v>
      </c>
      <c r="C20673">
        <v>6188</v>
      </c>
      <c r="D20673" t="s">
        <v>263</v>
      </c>
      <c r="E20673" t="s">
        <v>264</v>
      </c>
      <c r="F20673">
        <v>5.67</v>
      </c>
      <c r="G20673">
        <v>230504</v>
      </c>
      <c r="H20673">
        <v>4362</v>
      </c>
      <c r="I20673" t="s">
        <v>79</v>
      </c>
      <c r="J20673">
        <v>7.03</v>
      </c>
      <c r="K20673">
        <v>1.36</v>
      </c>
      <c r="L20673">
        <v>46555</v>
      </c>
      <c r="M20673" t="s">
        <v>597</v>
      </c>
      <c r="N20673" t="str">
        <f>"12318023901 "</f>
        <v xml:space="preserve">12318023901 </v>
      </c>
      <c r="O20673">
        <v>230508</v>
      </c>
    </row>
    <row r="20674" spans="1:15" x14ac:dyDescent="0.25">
      <c r="A20674" t="s">
        <v>16</v>
      </c>
      <c r="B20674" t="s">
        <v>3221</v>
      </c>
      <c r="C20674">
        <v>6188</v>
      </c>
      <c r="D20674" t="s">
        <v>263</v>
      </c>
      <c r="E20674" t="s">
        <v>264</v>
      </c>
      <c r="F20674">
        <v>7.28</v>
      </c>
      <c r="G20674">
        <v>230504</v>
      </c>
      <c r="H20674">
        <v>4362</v>
      </c>
      <c r="I20674" t="s">
        <v>79</v>
      </c>
      <c r="J20674">
        <v>9.0299999999999994</v>
      </c>
      <c r="K20674">
        <v>1.75</v>
      </c>
      <c r="L20674">
        <v>48601</v>
      </c>
      <c r="M20674" t="s">
        <v>1047</v>
      </c>
      <c r="N20674" t="str">
        <f>"12318023901 "</f>
        <v xml:space="preserve">12318023901 </v>
      </c>
      <c r="O20674">
        <v>230508</v>
      </c>
    </row>
    <row r="20675" spans="1:15" x14ac:dyDescent="0.25">
      <c r="A20675" t="s">
        <v>16</v>
      </c>
      <c r="B20675" t="s">
        <v>3221</v>
      </c>
      <c r="C20675">
        <v>6188</v>
      </c>
      <c r="D20675" t="s">
        <v>263</v>
      </c>
      <c r="E20675" t="s">
        <v>264</v>
      </c>
      <c r="F20675">
        <v>2.7</v>
      </c>
      <c r="G20675">
        <v>230504</v>
      </c>
      <c r="H20675">
        <v>4362</v>
      </c>
      <c r="I20675" t="s">
        <v>79</v>
      </c>
      <c r="J20675">
        <v>3.35</v>
      </c>
      <c r="K20675">
        <v>0.65</v>
      </c>
      <c r="L20675">
        <v>49702</v>
      </c>
      <c r="M20675" t="s">
        <v>584</v>
      </c>
      <c r="N20675" t="str">
        <f>"12318023901 "</f>
        <v xml:space="preserve">12318023901 </v>
      </c>
      <c r="O20675">
        <v>230508</v>
      </c>
    </row>
    <row r="20676" spans="1:15" x14ac:dyDescent="0.25">
      <c r="A20676" t="s">
        <v>16</v>
      </c>
      <c r="B20676" t="s">
        <v>3221</v>
      </c>
      <c r="C20676">
        <v>6189</v>
      </c>
      <c r="D20676" t="s">
        <v>263</v>
      </c>
      <c r="E20676" t="s">
        <v>264</v>
      </c>
      <c r="F20676">
        <v>28.83</v>
      </c>
      <c r="G20676">
        <v>230504</v>
      </c>
      <c r="H20676">
        <v>4362</v>
      </c>
      <c r="I20676" t="s">
        <v>79</v>
      </c>
      <c r="J20676">
        <v>35.75</v>
      </c>
      <c r="K20676">
        <v>6.92</v>
      </c>
      <c r="L20676">
        <v>41126</v>
      </c>
      <c r="M20676" t="s">
        <v>761</v>
      </c>
      <c r="N20676" t="str">
        <f>"12318023892 "</f>
        <v xml:space="preserve">12318023892 </v>
      </c>
      <c r="O20676">
        <v>230508</v>
      </c>
    </row>
    <row r="20677" spans="1:15" x14ac:dyDescent="0.25">
      <c r="A20677" t="s">
        <v>16</v>
      </c>
      <c r="B20677" t="s">
        <v>3221</v>
      </c>
      <c r="C20677">
        <v>6189</v>
      </c>
      <c r="D20677" t="s">
        <v>263</v>
      </c>
      <c r="E20677" t="s">
        <v>264</v>
      </c>
      <c r="F20677">
        <v>8.1</v>
      </c>
      <c r="G20677">
        <v>230504</v>
      </c>
      <c r="H20677">
        <v>4362</v>
      </c>
      <c r="I20677" t="s">
        <v>79</v>
      </c>
      <c r="J20677">
        <v>10.039999999999999</v>
      </c>
      <c r="K20677">
        <v>1.94</v>
      </c>
      <c r="L20677">
        <v>46222</v>
      </c>
      <c r="M20677" t="s">
        <v>293</v>
      </c>
      <c r="N20677" t="str">
        <f>"12318023892 "</f>
        <v xml:space="preserve">12318023892 </v>
      </c>
      <c r="O20677">
        <v>230508</v>
      </c>
    </row>
    <row r="20678" spans="1:15" x14ac:dyDescent="0.25">
      <c r="A20678" t="s">
        <v>16</v>
      </c>
      <c r="B20678" t="s">
        <v>3221</v>
      </c>
      <c r="C20678">
        <v>6246</v>
      </c>
      <c r="D20678" t="s">
        <v>263</v>
      </c>
      <c r="E20678" t="s">
        <v>264</v>
      </c>
      <c r="F20678">
        <v>19.8</v>
      </c>
      <c r="G20678">
        <v>230504</v>
      </c>
      <c r="H20678">
        <v>4362</v>
      </c>
      <c r="I20678" t="s">
        <v>79</v>
      </c>
      <c r="J20678">
        <v>24.55</v>
      </c>
      <c r="K20678">
        <v>4.75</v>
      </c>
      <c r="L20678">
        <v>11101</v>
      </c>
      <c r="M20678" t="s">
        <v>110</v>
      </c>
      <c r="N20678" t="str">
        <f>"12318023915 "</f>
        <v xml:space="preserve">12318023915 </v>
      </c>
      <c r="O20678">
        <v>230509</v>
      </c>
    </row>
    <row r="20679" spans="1:15" x14ac:dyDescent="0.25">
      <c r="A20679" t="s">
        <v>16</v>
      </c>
      <c r="B20679" t="s">
        <v>3221</v>
      </c>
      <c r="C20679">
        <v>6246</v>
      </c>
      <c r="D20679" t="s">
        <v>263</v>
      </c>
      <c r="E20679" t="s">
        <v>264</v>
      </c>
      <c r="F20679">
        <v>7.72</v>
      </c>
      <c r="G20679">
        <v>230504</v>
      </c>
      <c r="H20679">
        <v>4362</v>
      </c>
      <c r="I20679" t="s">
        <v>79</v>
      </c>
      <c r="J20679">
        <v>9.57</v>
      </c>
      <c r="K20679">
        <v>1.85</v>
      </c>
      <c r="L20679">
        <v>11201</v>
      </c>
      <c r="M20679" t="s">
        <v>305</v>
      </c>
      <c r="N20679" t="str">
        <f>"12318023915 "</f>
        <v xml:space="preserve">12318023915 </v>
      </c>
      <c r="O20679">
        <v>230509</v>
      </c>
    </row>
    <row r="20680" spans="1:15" x14ac:dyDescent="0.25">
      <c r="A20680" t="s">
        <v>16</v>
      </c>
      <c r="B20680" t="s">
        <v>3221</v>
      </c>
      <c r="C20680">
        <v>6247</v>
      </c>
      <c r="D20680" t="s">
        <v>263</v>
      </c>
      <c r="E20680" t="s">
        <v>264</v>
      </c>
      <c r="F20680">
        <v>5.4</v>
      </c>
      <c r="G20680">
        <v>230504</v>
      </c>
      <c r="H20680">
        <v>4362</v>
      </c>
      <c r="I20680" t="s">
        <v>79</v>
      </c>
      <c r="J20680">
        <v>6.7</v>
      </c>
      <c r="K20680">
        <v>1.3</v>
      </c>
      <c r="L20680">
        <v>46557</v>
      </c>
      <c r="M20680" t="s">
        <v>221</v>
      </c>
      <c r="N20680" t="str">
        <f>"12318023916 "</f>
        <v xml:space="preserve">12318023916 </v>
      </c>
      <c r="O20680">
        <v>230509</v>
      </c>
    </row>
    <row r="20681" spans="1:15" x14ac:dyDescent="0.25">
      <c r="A20681" t="s">
        <v>16</v>
      </c>
      <c r="B20681" t="s">
        <v>3221</v>
      </c>
      <c r="C20681">
        <v>6276</v>
      </c>
      <c r="D20681" t="s">
        <v>263</v>
      </c>
      <c r="E20681" t="s">
        <v>264</v>
      </c>
      <c r="F20681">
        <v>3.84</v>
      </c>
      <c r="G20681">
        <v>230504</v>
      </c>
      <c r="H20681">
        <v>4362</v>
      </c>
      <c r="I20681" t="s">
        <v>79</v>
      </c>
      <c r="J20681">
        <v>4.76</v>
      </c>
      <c r="K20681">
        <v>0.92</v>
      </c>
      <c r="L20681">
        <v>11301</v>
      </c>
      <c r="M20681" t="s">
        <v>29</v>
      </c>
      <c r="N20681" t="str">
        <f t="shared" ref="N20681:N20692" si="312">"12318023889 "</f>
        <v xml:space="preserve">12318023889 </v>
      </c>
      <c r="O20681">
        <v>230509</v>
      </c>
    </row>
    <row r="20682" spans="1:15" x14ac:dyDescent="0.25">
      <c r="A20682" t="s">
        <v>16</v>
      </c>
      <c r="B20682" t="s">
        <v>3221</v>
      </c>
      <c r="C20682">
        <v>6276</v>
      </c>
      <c r="D20682" t="s">
        <v>263</v>
      </c>
      <c r="E20682" t="s">
        <v>264</v>
      </c>
      <c r="F20682">
        <v>5.25</v>
      </c>
      <c r="G20682">
        <v>230504</v>
      </c>
      <c r="H20682">
        <v>4362</v>
      </c>
      <c r="I20682" t="s">
        <v>79</v>
      </c>
      <c r="J20682">
        <v>6.51</v>
      </c>
      <c r="K20682">
        <v>1.26</v>
      </c>
      <c r="L20682">
        <v>11301</v>
      </c>
      <c r="M20682" t="s">
        <v>29</v>
      </c>
      <c r="N20682" t="str">
        <f t="shared" si="312"/>
        <v xml:space="preserve">12318023889 </v>
      </c>
      <c r="O20682">
        <v>230509</v>
      </c>
    </row>
    <row r="20683" spans="1:15" x14ac:dyDescent="0.25">
      <c r="A20683" t="s">
        <v>16</v>
      </c>
      <c r="B20683" t="s">
        <v>3221</v>
      </c>
      <c r="C20683">
        <v>6276</v>
      </c>
      <c r="D20683" t="s">
        <v>263</v>
      </c>
      <c r="E20683" t="s">
        <v>264</v>
      </c>
      <c r="F20683">
        <v>11.42</v>
      </c>
      <c r="G20683">
        <v>230504</v>
      </c>
      <c r="H20683">
        <v>4362</v>
      </c>
      <c r="I20683" t="s">
        <v>79</v>
      </c>
      <c r="J20683">
        <v>14.16</v>
      </c>
      <c r="K20683">
        <v>2.74</v>
      </c>
      <c r="L20683">
        <v>11900</v>
      </c>
      <c r="M20683" t="s">
        <v>1105</v>
      </c>
      <c r="N20683" t="str">
        <f t="shared" si="312"/>
        <v xml:space="preserve">12318023889 </v>
      </c>
      <c r="O20683">
        <v>230509</v>
      </c>
    </row>
    <row r="20684" spans="1:15" x14ac:dyDescent="0.25">
      <c r="A20684" t="s">
        <v>16</v>
      </c>
      <c r="B20684" t="s">
        <v>3221</v>
      </c>
      <c r="C20684">
        <v>6276</v>
      </c>
      <c r="D20684" t="s">
        <v>263</v>
      </c>
      <c r="E20684" t="s">
        <v>264</v>
      </c>
      <c r="F20684">
        <v>3.37</v>
      </c>
      <c r="G20684">
        <v>230504</v>
      </c>
      <c r="H20684">
        <v>4362</v>
      </c>
      <c r="I20684" t="s">
        <v>79</v>
      </c>
      <c r="J20684">
        <v>4.18</v>
      </c>
      <c r="K20684">
        <v>0.81</v>
      </c>
      <c r="L20684">
        <v>11901</v>
      </c>
      <c r="M20684" t="s">
        <v>36</v>
      </c>
      <c r="N20684" t="str">
        <f t="shared" si="312"/>
        <v xml:space="preserve">12318023889 </v>
      </c>
      <c r="O20684">
        <v>230509</v>
      </c>
    </row>
    <row r="20685" spans="1:15" x14ac:dyDescent="0.25">
      <c r="A20685" t="s">
        <v>16</v>
      </c>
      <c r="B20685" t="s">
        <v>3221</v>
      </c>
      <c r="C20685">
        <v>6276</v>
      </c>
      <c r="D20685" t="s">
        <v>263</v>
      </c>
      <c r="E20685" t="s">
        <v>264</v>
      </c>
      <c r="F20685">
        <v>5.4</v>
      </c>
      <c r="G20685">
        <v>230504</v>
      </c>
      <c r="H20685">
        <v>4362</v>
      </c>
      <c r="I20685" t="s">
        <v>79</v>
      </c>
      <c r="J20685">
        <v>6.7</v>
      </c>
      <c r="K20685">
        <v>1.3</v>
      </c>
      <c r="L20685">
        <v>11901</v>
      </c>
      <c r="M20685" t="s">
        <v>36</v>
      </c>
      <c r="N20685" t="str">
        <f t="shared" si="312"/>
        <v xml:space="preserve">12318023889 </v>
      </c>
      <c r="O20685">
        <v>230509</v>
      </c>
    </row>
    <row r="20686" spans="1:15" x14ac:dyDescent="0.25">
      <c r="A20686" t="s">
        <v>16</v>
      </c>
      <c r="B20686" t="s">
        <v>3221</v>
      </c>
      <c r="C20686">
        <v>6276</v>
      </c>
      <c r="D20686" t="s">
        <v>263</v>
      </c>
      <c r="E20686" t="s">
        <v>264</v>
      </c>
      <c r="F20686">
        <v>13.39</v>
      </c>
      <c r="G20686">
        <v>230504</v>
      </c>
      <c r="H20686">
        <v>4362</v>
      </c>
      <c r="I20686" t="s">
        <v>79</v>
      </c>
      <c r="J20686">
        <v>13.39</v>
      </c>
      <c r="K20686">
        <v>0</v>
      </c>
      <c r="L20686">
        <v>11901</v>
      </c>
      <c r="M20686" t="s">
        <v>36</v>
      </c>
      <c r="N20686" t="str">
        <f t="shared" si="312"/>
        <v xml:space="preserve">12318023889 </v>
      </c>
      <c r="O20686">
        <v>230509</v>
      </c>
    </row>
    <row r="20687" spans="1:15" x14ac:dyDescent="0.25">
      <c r="A20687" t="s">
        <v>16</v>
      </c>
      <c r="B20687" t="s">
        <v>3221</v>
      </c>
      <c r="C20687">
        <v>6276</v>
      </c>
      <c r="D20687" t="s">
        <v>263</v>
      </c>
      <c r="E20687" t="s">
        <v>264</v>
      </c>
      <c r="F20687">
        <v>2.84</v>
      </c>
      <c r="G20687">
        <v>230504</v>
      </c>
      <c r="H20687">
        <v>4362</v>
      </c>
      <c r="I20687" t="s">
        <v>79</v>
      </c>
      <c r="J20687">
        <v>3.52</v>
      </c>
      <c r="K20687">
        <v>0.68</v>
      </c>
      <c r="L20687">
        <v>11903</v>
      </c>
      <c r="M20687" t="s">
        <v>406</v>
      </c>
      <c r="N20687" t="str">
        <f t="shared" si="312"/>
        <v xml:space="preserve">12318023889 </v>
      </c>
      <c r="O20687">
        <v>230509</v>
      </c>
    </row>
    <row r="20688" spans="1:15" x14ac:dyDescent="0.25">
      <c r="A20688" t="s">
        <v>16</v>
      </c>
      <c r="B20688" t="s">
        <v>3221</v>
      </c>
      <c r="C20688">
        <v>6276</v>
      </c>
      <c r="D20688" t="s">
        <v>263</v>
      </c>
      <c r="E20688" t="s">
        <v>264</v>
      </c>
      <c r="F20688">
        <v>5.4</v>
      </c>
      <c r="G20688">
        <v>230504</v>
      </c>
      <c r="H20688">
        <v>4362</v>
      </c>
      <c r="I20688" t="s">
        <v>79</v>
      </c>
      <c r="J20688">
        <v>6.7</v>
      </c>
      <c r="K20688">
        <v>1.3</v>
      </c>
      <c r="L20688">
        <v>11903</v>
      </c>
      <c r="M20688" t="s">
        <v>406</v>
      </c>
      <c r="N20688" t="str">
        <f t="shared" si="312"/>
        <v xml:space="preserve">12318023889 </v>
      </c>
      <c r="O20688">
        <v>230509</v>
      </c>
    </row>
    <row r="20689" spans="1:15" x14ac:dyDescent="0.25">
      <c r="A20689" t="s">
        <v>16</v>
      </c>
      <c r="B20689" t="s">
        <v>3221</v>
      </c>
      <c r="C20689">
        <v>6276</v>
      </c>
      <c r="D20689" t="s">
        <v>263</v>
      </c>
      <c r="E20689" t="s">
        <v>264</v>
      </c>
      <c r="F20689">
        <v>5.4</v>
      </c>
      <c r="G20689">
        <v>230504</v>
      </c>
      <c r="H20689">
        <v>4362</v>
      </c>
      <c r="I20689" t="s">
        <v>79</v>
      </c>
      <c r="J20689">
        <v>6.7</v>
      </c>
      <c r="K20689">
        <v>1.3</v>
      </c>
      <c r="L20689">
        <v>11905</v>
      </c>
      <c r="M20689" t="s">
        <v>39</v>
      </c>
      <c r="N20689" t="str">
        <f t="shared" si="312"/>
        <v xml:space="preserve">12318023889 </v>
      </c>
      <c r="O20689">
        <v>230509</v>
      </c>
    </row>
    <row r="20690" spans="1:15" x14ac:dyDescent="0.25">
      <c r="A20690" t="s">
        <v>16</v>
      </c>
      <c r="B20690" t="s">
        <v>3221</v>
      </c>
      <c r="C20690">
        <v>6276</v>
      </c>
      <c r="D20690" t="s">
        <v>263</v>
      </c>
      <c r="E20690" t="s">
        <v>264</v>
      </c>
      <c r="F20690">
        <v>2.7</v>
      </c>
      <c r="G20690">
        <v>230504</v>
      </c>
      <c r="H20690">
        <v>4362</v>
      </c>
      <c r="I20690" t="s">
        <v>79</v>
      </c>
      <c r="J20690">
        <v>3.35</v>
      </c>
      <c r="K20690">
        <v>0.65</v>
      </c>
      <c r="L20690">
        <v>11908</v>
      </c>
      <c r="M20690" t="s">
        <v>598</v>
      </c>
      <c r="N20690" t="str">
        <f t="shared" si="312"/>
        <v xml:space="preserve">12318023889 </v>
      </c>
      <c r="O20690">
        <v>230509</v>
      </c>
    </row>
    <row r="20691" spans="1:15" x14ac:dyDescent="0.25">
      <c r="A20691" t="s">
        <v>16</v>
      </c>
      <c r="B20691" t="s">
        <v>3221</v>
      </c>
      <c r="C20691">
        <v>6276</v>
      </c>
      <c r="D20691" t="s">
        <v>263</v>
      </c>
      <c r="E20691" t="s">
        <v>264</v>
      </c>
      <c r="F20691">
        <v>5.4</v>
      </c>
      <c r="G20691">
        <v>230504</v>
      </c>
      <c r="H20691">
        <v>4362</v>
      </c>
      <c r="I20691" t="s">
        <v>79</v>
      </c>
      <c r="J20691">
        <v>6.7</v>
      </c>
      <c r="K20691">
        <v>1.3</v>
      </c>
      <c r="L20691">
        <v>11908</v>
      </c>
      <c r="M20691" t="s">
        <v>598</v>
      </c>
      <c r="N20691" t="str">
        <f t="shared" si="312"/>
        <v xml:space="preserve">12318023889 </v>
      </c>
      <c r="O20691">
        <v>230509</v>
      </c>
    </row>
    <row r="20692" spans="1:15" x14ac:dyDescent="0.25">
      <c r="A20692" t="s">
        <v>16</v>
      </c>
      <c r="B20692" t="s">
        <v>3221</v>
      </c>
      <c r="C20692">
        <v>6276</v>
      </c>
      <c r="D20692" t="s">
        <v>263</v>
      </c>
      <c r="E20692" t="s">
        <v>264</v>
      </c>
      <c r="F20692">
        <v>2.7</v>
      </c>
      <c r="G20692">
        <v>230504</v>
      </c>
      <c r="H20692">
        <v>4362</v>
      </c>
      <c r="I20692" t="s">
        <v>79</v>
      </c>
      <c r="J20692">
        <v>3.35</v>
      </c>
      <c r="K20692">
        <v>0.65</v>
      </c>
      <c r="L20692">
        <v>13401</v>
      </c>
      <c r="M20692" t="s">
        <v>80</v>
      </c>
      <c r="N20692" t="str">
        <f t="shared" si="312"/>
        <v xml:space="preserve">12318023889 </v>
      </c>
      <c r="O20692">
        <v>230509</v>
      </c>
    </row>
    <row r="20693" spans="1:15" x14ac:dyDescent="0.25">
      <c r="A20693" t="s">
        <v>16</v>
      </c>
      <c r="B20693" t="s">
        <v>3221</v>
      </c>
      <c r="C20693">
        <v>6281</v>
      </c>
      <c r="D20693" t="s">
        <v>263</v>
      </c>
      <c r="E20693" t="s">
        <v>264</v>
      </c>
      <c r="F20693">
        <v>3.91</v>
      </c>
      <c r="G20693">
        <v>230504</v>
      </c>
      <c r="H20693">
        <v>4362</v>
      </c>
      <c r="I20693" t="s">
        <v>79</v>
      </c>
      <c r="J20693">
        <v>4.8499999999999996</v>
      </c>
      <c r="K20693">
        <v>0.94</v>
      </c>
      <c r="L20693">
        <v>11903</v>
      </c>
      <c r="M20693" t="s">
        <v>406</v>
      </c>
      <c r="N20693" t="str">
        <f>"12318023912 "</f>
        <v xml:space="preserve">12318023912 </v>
      </c>
      <c r="O20693">
        <v>230509</v>
      </c>
    </row>
    <row r="20694" spans="1:15" x14ac:dyDescent="0.25">
      <c r="A20694" t="s">
        <v>16</v>
      </c>
      <c r="B20694" t="s">
        <v>3221</v>
      </c>
      <c r="C20694">
        <v>6281</v>
      </c>
      <c r="D20694" t="s">
        <v>263</v>
      </c>
      <c r="E20694" t="s">
        <v>264</v>
      </c>
      <c r="F20694">
        <v>2.7</v>
      </c>
      <c r="G20694">
        <v>230504</v>
      </c>
      <c r="H20694">
        <v>4362</v>
      </c>
      <c r="I20694" t="s">
        <v>79</v>
      </c>
      <c r="J20694">
        <v>3.35</v>
      </c>
      <c r="K20694">
        <v>0.65</v>
      </c>
      <c r="L20694">
        <v>11905</v>
      </c>
      <c r="M20694" t="s">
        <v>39</v>
      </c>
      <c r="N20694" t="str">
        <f>"12318023912 "</f>
        <v xml:space="preserve">12318023912 </v>
      </c>
      <c r="O20694">
        <v>230509</v>
      </c>
    </row>
    <row r="20695" spans="1:15" x14ac:dyDescent="0.25">
      <c r="A20695" t="s">
        <v>16</v>
      </c>
      <c r="B20695" t="s">
        <v>3221</v>
      </c>
      <c r="C20695">
        <v>6281</v>
      </c>
      <c r="D20695" t="s">
        <v>263</v>
      </c>
      <c r="E20695" t="s">
        <v>264</v>
      </c>
      <c r="F20695">
        <v>2.7</v>
      </c>
      <c r="G20695">
        <v>230504</v>
      </c>
      <c r="H20695">
        <v>4362</v>
      </c>
      <c r="I20695" t="s">
        <v>79</v>
      </c>
      <c r="J20695">
        <v>3.35</v>
      </c>
      <c r="K20695">
        <v>0.65</v>
      </c>
      <c r="L20695">
        <v>11905</v>
      </c>
      <c r="M20695" t="s">
        <v>39</v>
      </c>
      <c r="N20695" t="str">
        <f>"12318023912 "</f>
        <v xml:space="preserve">12318023912 </v>
      </c>
      <c r="O20695">
        <v>230509</v>
      </c>
    </row>
    <row r="20696" spans="1:15" x14ac:dyDescent="0.25">
      <c r="A20696" t="s">
        <v>16</v>
      </c>
      <c r="B20696" t="s">
        <v>3221</v>
      </c>
      <c r="C20696">
        <v>6281</v>
      </c>
      <c r="D20696" t="s">
        <v>263</v>
      </c>
      <c r="E20696" t="s">
        <v>264</v>
      </c>
      <c r="F20696">
        <v>2.7</v>
      </c>
      <c r="G20696">
        <v>230504</v>
      </c>
      <c r="H20696">
        <v>4362</v>
      </c>
      <c r="I20696" t="s">
        <v>79</v>
      </c>
      <c r="J20696">
        <v>3.35</v>
      </c>
      <c r="K20696">
        <v>0.65</v>
      </c>
      <c r="L20696">
        <v>11905</v>
      </c>
      <c r="M20696" t="s">
        <v>39</v>
      </c>
      <c r="N20696" t="str">
        <f>"12318023912 "</f>
        <v xml:space="preserve">12318023912 </v>
      </c>
      <c r="O20696">
        <v>230509</v>
      </c>
    </row>
    <row r="20697" spans="1:15" x14ac:dyDescent="0.25">
      <c r="A20697" t="s">
        <v>16</v>
      </c>
      <c r="B20697" t="s">
        <v>3221</v>
      </c>
      <c r="C20697">
        <v>6281</v>
      </c>
      <c r="D20697" t="s">
        <v>263</v>
      </c>
      <c r="E20697" t="s">
        <v>264</v>
      </c>
      <c r="F20697">
        <v>5.4</v>
      </c>
      <c r="G20697">
        <v>230504</v>
      </c>
      <c r="H20697">
        <v>4362</v>
      </c>
      <c r="I20697" t="s">
        <v>79</v>
      </c>
      <c r="J20697">
        <v>6.69</v>
      </c>
      <c r="K20697">
        <v>1.29</v>
      </c>
      <c r="L20697">
        <v>11905</v>
      </c>
      <c r="M20697" t="s">
        <v>39</v>
      </c>
      <c r="N20697" t="str">
        <f>"12318023912 "</f>
        <v xml:space="preserve">12318023912 </v>
      </c>
      <c r="O20697">
        <v>230509</v>
      </c>
    </row>
    <row r="20698" spans="1:15" x14ac:dyDescent="0.25">
      <c r="A20698" t="s">
        <v>16</v>
      </c>
      <c r="B20698" t="s">
        <v>3221</v>
      </c>
      <c r="C20698">
        <v>6337</v>
      </c>
      <c r="D20698" t="s">
        <v>263</v>
      </c>
      <c r="E20698" t="s">
        <v>264</v>
      </c>
      <c r="F20698">
        <v>19.100000000000001</v>
      </c>
      <c r="G20698">
        <v>230504</v>
      </c>
      <c r="H20698">
        <v>4362</v>
      </c>
      <c r="I20698" t="s">
        <v>79</v>
      </c>
      <c r="J20698">
        <v>23.68</v>
      </c>
      <c r="K20698">
        <v>4.58</v>
      </c>
      <c r="L20698">
        <v>16121</v>
      </c>
      <c r="M20698" t="s">
        <v>21</v>
      </c>
      <c r="N20698" t="str">
        <f t="shared" ref="N20698:N20707" si="313">"12318023908 "</f>
        <v xml:space="preserve">12318023908 </v>
      </c>
      <c r="O20698">
        <v>230510</v>
      </c>
    </row>
    <row r="20699" spans="1:15" x14ac:dyDescent="0.25">
      <c r="A20699" t="s">
        <v>16</v>
      </c>
      <c r="B20699" t="s">
        <v>3221</v>
      </c>
      <c r="C20699">
        <v>6337</v>
      </c>
      <c r="D20699" t="s">
        <v>263</v>
      </c>
      <c r="E20699" t="s">
        <v>264</v>
      </c>
      <c r="F20699">
        <v>5.4</v>
      </c>
      <c r="G20699">
        <v>230504</v>
      </c>
      <c r="H20699">
        <v>4362</v>
      </c>
      <c r="I20699" t="s">
        <v>79</v>
      </c>
      <c r="J20699">
        <v>6.69</v>
      </c>
      <c r="K20699">
        <v>1.29</v>
      </c>
      <c r="L20699">
        <v>16322</v>
      </c>
      <c r="M20699" t="s">
        <v>22</v>
      </c>
      <c r="N20699" t="str">
        <f t="shared" si="313"/>
        <v xml:space="preserve">12318023908 </v>
      </c>
      <c r="O20699">
        <v>230510</v>
      </c>
    </row>
    <row r="20700" spans="1:15" x14ac:dyDescent="0.25">
      <c r="A20700" t="s">
        <v>16</v>
      </c>
      <c r="B20700" t="s">
        <v>3221</v>
      </c>
      <c r="C20700">
        <v>6337</v>
      </c>
      <c r="D20700" t="s">
        <v>263</v>
      </c>
      <c r="E20700" t="s">
        <v>264</v>
      </c>
      <c r="F20700">
        <v>2.7</v>
      </c>
      <c r="G20700">
        <v>230504</v>
      </c>
      <c r="H20700">
        <v>4362</v>
      </c>
      <c r="I20700" t="s">
        <v>79</v>
      </c>
      <c r="J20700">
        <v>3.35</v>
      </c>
      <c r="K20700">
        <v>0.65</v>
      </c>
      <c r="L20700">
        <v>16820</v>
      </c>
      <c r="M20700" t="s">
        <v>23</v>
      </c>
      <c r="N20700" t="str">
        <f t="shared" si="313"/>
        <v xml:space="preserve">12318023908 </v>
      </c>
      <c r="O20700">
        <v>230510</v>
      </c>
    </row>
    <row r="20701" spans="1:15" x14ac:dyDescent="0.25">
      <c r="A20701" t="s">
        <v>16</v>
      </c>
      <c r="B20701" t="s">
        <v>3221</v>
      </c>
      <c r="C20701">
        <v>6337</v>
      </c>
      <c r="D20701" t="s">
        <v>263</v>
      </c>
      <c r="E20701" t="s">
        <v>264</v>
      </c>
      <c r="F20701">
        <v>6.93</v>
      </c>
      <c r="G20701">
        <v>230504</v>
      </c>
      <c r="H20701">
        <v>4362</v>
      </c>
      <c r="I20701" t="s">
        <v>79</v>
      </c>
      <c r="J20701">
        <v>8.59</v>
      </c>
      <c r="K20701">
        <v>1.66</v>
      </c>
      <c r="L20701">
        <v>16820</v>
      </c>
      <c r="M20701" t="s">
        <v>23</v>
      </c>
      <c r="N20701" t="str">
        <f t="shared" si="313"/>
        <v xml:space="preserve">12318023908 </v>
      </c>
      <c r="O20701">
        <v>230510</v>
      </c>
    </row>
    <row r="20702" spans="1:15" x14ac:dyDescent="0.25">
      <c r="A20702" t="s">
        <v>16</v>
      </c>
      <c r="B20702" t="s">
        <v>3221</v>
      </c>
      <c r="C20702">
        <v>6337</v>
      </c>
      <c r="D20702" t="s">
        <v>263</v>
      </c>
      <c r="E20702" t="s">
        <v>264</v>
      </c>
      <c r="F20702">
        <v>5.19</v>
      </c>
      <c r="G20702">
        <v>230504</v>
      </c>
      <c r="H20702">
        <v>4362</v>
      </c>
      <c r="I20702" t="s">
        <v>79</v>
      </c>
      <c r="J20702">
        <v>6.44</v>
      </c>
      <c r="K20702">
        <v>1.25</v>
      </c>
      <c r="L20702">
        <v>17538</v>
      </c>
      <c r="M20702" t="s">
        <v>24</v>
      </c>
      <c r="N20702" t="str">
        <f t="shared" si="313"/>
        <v xml:space="preserve">12318023908 </v>
      </c>
      <c r="O20702">
        <v>230510</v>
      </c>
    </row>
    <row r="20703" spans="1:15" x14ac:dyDescent="0.25">
      <c r="A20703" t="s">
        <v>16</v>
      </c>
      <c r="B20703" t="s">
        <v>3221</v>
      </c>
      <c r="C20703">
        <v>6337</v>
      </c>
      <c r="D20703" t="s">
        <v>263</v>
      </c>
      <c r="E20703" t="s">
        <v>264</v>
      </c>
      <c r="F20703">
        <v>2.7</v>
      </c>
      <c r="G20703">
        <v>230504</v>
      </c>
      <c r="H20703">
        <v>4362</v>
      </c>
      <c r="I20703" t="s">
        <v>79</v>
      </c>
      <c r="J20703">
        <v>3.35</v>
      </c>
      <c r="K20703">
        <v>0.65</v>
      </c>
      <c r="L20703">
        <v>17950</v>
      </c>
      <c r="M20703" t="s">
        <v>86</v>
      </c>
      <c r="N20703" t="str">
        <f t="shared" si="313"/>
        <v xml:space="preserve">12318023908 </v>
      </c>
      <c r="O20703">
        <v>230510</v>
      </c>
    </row>
    <row r="20704" spans="1:15" x14ac:dyDescent="0.25">
      <c r="A20704" t="s">
        <v>16</v>
      </c>
      <c r="B20704" t="s">
        <v>3221</v>
      </c>
      <c r="C20704">
        <v>6337</v>
      </c>
      <c r="D20704" t="s">
        <v>263</v>
      </c>
      <c r="E20704" t="s">
        <v>264</v>
      </c>
      <c r="F20704">
        <v>2.7</v>
      </c>
      <c r="G20704">
        <v>230504</v>
      </c>
      <c r="H20704">
        <v>4362</v>
      </c>
      <c r="I20704" t="s">
        <v>79</v>
      </c>
      <c r="J20704">
        <v>3.35</v>
      </c>
      <c r="K20704">
        <v>0.65</v>
      </c>
      <c r="L20704">
        <v>17971</v>
      </c>
      <c r="M20704" t="s">
        <v>138</v>
      </c>
      <c r="N20704" t="str">
        <f t="shared" si="313"/>
        <v xml:space="preserve">12318023908 </v>
      </c>
      <c r="O20704">
        <v>230510</v>
      </c>
    </row>
    <row r="20705" spans="1:15" x14ac:dyDescent="0.25">
      <c r="A20705" t="s">
        <v>16</v>
      </c>
      <c r="B20705" t="s">
        <v>3221</v>
      </c>
      <c r="C20705">
        <v>6337</v>
      </c>
      <c r="D20705" t="s">
        <v>263</v>
      </c>
      <c r="E20705" t="s">
        <v>264</v>
      </c>
      <c r="F20705">
        <v>2.7</v>
      </c>
      <c r="G20705">
        <v>230504</v>
      </c>
      <c r="H20705">
        <v>4362</v>
      </c>
      <c r="I20705" t="s">
        <v>79</v>
      </c>
      <c r="J20705">
        <v>3.35</v>
      </c>
      <c r="K20705">
        <v>0.65</v>
      </c>
      <c r="L20705">
        <v>17972</v>
      </c>
      <c r="M20705" t="s">
        <v>248</v>
      </c>
      <c r="N20705" t="str">
        <f t="shared" si="313"/>
        <v xml:space="preserve">12318023908 </v>
      </c>
      <c r="O20705">
        <v>230510</v>
      </c>
    </row>
    <row r="20706" spans="1:15" x14ac:dyDescent="0.25">
      <c r="A20706" t="s">
        <v>16</v>
      </c>
      <c r="B20706" t="s">
        <v>3221</v>
      </c>
      <c r="C20706">
        <v>6337</v>
      </c>
      <c r="D20706" t="s">
        <v>263</v>
      </c>
      <c r="E20706" t="s">
        <v>264</v>
      </c>
      <c r="F20706">
        <v>2.5499999999999998</v>
      </c>
      <c r="G20706">
        <v>230504</v>
      </c>
      <c r="H20706">
        <v>4362</v>
      </c>
      <c r="I20706" t="s">
        <v>79</v>
      </c>
      <c r="J20706">
        <v>3.16</v>
      </c>
      <c r="K20706">
        <v>0.61</v>
      </c>
      <c r="L20706">
        <v>17974</v>
      </c>
      <c r="M20706" t="s">
        <v>460</v>
      </c>
      <c r="N20706" t="str">
        <f t="shared" si="313"/>
        <v xml:space="preserve">12318023908 </v>
      </c>
      <c r="O20706">
        <v>230510</v>
      </c>
    </row>
    <row r="20707" spans="1:15" x14ac:dyDescent="0.25">
      <c r="A20707" t="s">
        <v>16</v>
      </c>
      <c r="B20707" t="s">
        <v>3221</v>
      </c>
      <c r="C20707">
        <v>6337</v>
      </c>
      <c r="D20707" t="s">
        <v>263</v>
      </c>
      <c r="E20707" t="s">
        <v>264</v>
      </c>
      <c r="F20707">
        <v>2.7</v>
      </c>
      <c r="G20707">
        <v>230504</v>
      </c>
      <c r="H20707">
        <v>4362</v>
      </c>
      <c r="I20707" t="s">
        <v>79</v>
      </c>
      <c r="J20707">
        <v>3.35</v>
      </c>
      <c r="K20707">
        <v>0.65</v>
      </c>
      <c r="L20707">
        <v>17974</v>
      </c>
      <c r="M20707" t="s">
        <v>460</v>
      </c>
      <c r="N20707" t="str">
        <f t="shared" si="313"/>
        <v xml:space="preserve">12318023908 </v>
      </c>
      <c r="O20707">
        <v>230510</v>
      </c>
    </row>
    <row r="20708" spans="1:15" x14ac:dyDescent="0.25">
      <c r="A20708" t="s">
        <v>16</v>
      </c>
      <c r="B20708" t="s">
        <v>3221</v>
      </c>
      <c r="C20708">
        <v>6341</v>
      </c>
      <c r="D20708" t="s">
        <v>263</v>
      </c>
      <c r="E20708" t="s">
        <v>264</v>
      </c>
      <c r="F20708">
        <v>2.5499999999999998</v>
      </c>
      <c r="G20708">
        <v>230504</v>
      </c>
      <c r="H20708">
        <v>4362</v>
      </c>
      <c r="I20708" t="s">
        <v>79</v>
      </c>
      <c r="J20708">
        <v>3.16</v>
      </c>
      <c r="K20708">
        <v>0.61</v>
      </c>
      <c r="L20708">
        <v>10002</v>
      </c>
      <c r="M20708" t="s">
        <v>1066</v>
      </c>
      <c r="N20708" t="str">
        <f t="shared" ref="N20708:N20722" si="314">"12318023881 "</f>
        <v xml:space="preserve">12318023881 </v>
      </c>
      <c r="O20708">
        <v>230510</v>
      </c>
    </row>
    <row r="20709" spans="1:15" x14ac:dyDescent="0.25">
      <c r="A20709" t="s">
        <v>16</v>
      </c>
      <c r="B20709" t="s">
        <v>3221</v>
      </c>
      <c r="C20709">
        <v>6341</v>
      </c>
      <c r="D20709" t="s">
        <v>263</v>
      </c>
      <c r="E20709" t="s">
        <v>264</v>
      </c>
      <c r="F20709">
        <v>2.5499999999999998</v>
      </c>
      <c r="G20709">
        <v>230504</v>
      </c>
      <c r="H20709">
        <v>4362</v>
      </c>
      <c r="I20709" t="s">
        <v>79</v>
      </c>
      <c r="J20709">
        <v>3.16</v>
      </c>
      <c r="K20709">
        <v>0.61</v>
      </c>
      <c r="L20709">
        <v>10002</v>
      </c>
      <c r="M20709" t="s">
        <v>1066</v>
      </c>
      <c r="N20709" t="str">
        <f t="shared" si="314"/>
        <v xml:space="preserve">12318023881 </v>
      </c>
      <c r="O20709">
        <v>230510</v>
      </c>
    </row>
    <row r="20710" spans="1:15" x14ac:dyDescent="0.25">
      <c r="A20710" t="s">
        <v>16</v>
      </c>
      <c r="B20710" t="s">
        <v>3221</v>
      </c>
      <c r="C20710">
        <v>6341</v>
      </c>
      <c r="D20710" t="s">
        <v>263</v>
      </c>
      <c r="E20710" t="s">
        <v>264</v>
      </c>
      <c r="F20710">
        <v>2.34</v>
      </c>
      <c r="G20710">
        <v>230504</v>
      </c>
      <c r="H20710">
        <v>4362</v>
      </c>
      <c r="I20710" t="s">
        <v>79</v>
      </c>
      <c r="J20710">
        <v>2.34</v>
      </c>
      <c r="K20710">
        <v>0</v>
      </c>
      <c r="L20710">
        <v>11001</v>
      </c>
      <c r="M20710" t="s">
        <v>326</v>
      </c>
      <c r="N20710" t="str">
        <f t="shared" si="314"/>
        <v xml:space="preserve">12318023881 </v>
      </c>
      <c r="O20710">
        <v>230510</v>
      </c>
    </row>
    <row r="20711" spans="1:15" x14ac:dyDescent="0.25">
      <c r="A20711" t="s">
        <v>16</v>
      </c>
      <c r="B20711" t="s">
        <v>3221</v>
      </c>
      <c r="C20711">
        <v>6341</v>
      </c>
      <c r="D20711" t="s">
        <v>263</v>
      </c>
      <c r="E20711" t="s">
        <v>264</v>
      </c>
      <c r="F20711">
        <v>2.5499999999999998</v>
      </c>
      <c r="G20711">
        <v>230504</v>
      </c>
      <c r="H20711">
        <v>4362</v>
      </c>
      <c r="I20711" t="s">
        <v>79</v>
      </c>
      <c r="J20711">
        <v>3.16</v>
      </c>
      <c r="K20711">
        <v>0.61</v>
      </c>
      <c r="L20711">
        <v>11001</v>
      </c>
      <c r="M20711" t="s">
        <v>326</v>
      </c>
      <c r="N20711" t="str">
        <f t="shared" si="314"/>
        <v xml:space="preserve">12318023881 </v>
      </c>
      <c r="O20711">
        <v>230510</v>
      </c>
    </row>
    <row r="20712" spans="1:15" x14ac:dyDescent="0.25">
      <c r="A20712" t="s">
        <v>16</v>
      </c>
      <c r="B20712" t="s">
        <v>3221</v>
      </c>
      <c r="C20712">
        <v>6341</v>
      </c>
      <c r="D20712" t="s">
        <v>263</v>
      </c>
      <c r="E20712" t="s">
        <v>264</v>
      </c>
      <c r="F20712">
        <v>9.35</v>
      </c>
      <c r="G20712">
        <v>230504</v>
      </c>
      <c r="H20712">
        <v>4362</v>
      </c>
      <c r="I20712" t="s">
        <v>79</v>
      </c>
      <c r="J20712">
        <v>11.6</v>
      </c>
      <c r="K20712">
        <v>2.25</v>
      </c>
      <c r="L20712">
        <v>11001</v>
      </c>
      <c r="M20712" t="s">
        <v>326</v>
      </c>
      <c r="N20712" t="str">
        <f t="shared" si="314"/>
        <v xml:space="preserve">12318023881 </v>
      </c>
      <c r="O20712">
        <v>230510</v>
      </c>
    </row>
    <row r="20713" spans="1:15" x14ac:dyDescent="0.25">
      <c r="A20713" t="s">
        <v>16</v>
      </c>
      <c r="B20713" t="s">
        <v>3221</v>
      </c>
      <c r="C20713">
        <v>6341</v>
      </c>
      <c r="D20713" t="s">
        <v>263</v>
      </c>
      <c r="E20713" t="s">
        <v>264</v>
      </c>
      <c r="F20713">
        <v>8.86</v>
      </c>
      <c r="G20713">
        <v>230504</v>
      </c>
      <c r="H20713">
        <v>4362</v>
      </c>
      <c r="I20713" t="s">
        <v>79</v>
      </c>
      <c r="J20713">
        <v>10.99</v>
      </c>
      <c r="K20713">
        <v>2.13</v>
      </c>
      <c r="L20713">
        <v>11301</v>
      </c>
      <c r="M20713" t="s">
        <v>29</v>
      </c>
      <c r="N20713" t="str">
        <f t="shared" si="314"/>
        <v xml:space="preserve">12318023881 </v>
      </c>
      <c r="O20713">
        <v>230510</v>
      </c>
    </row>
    <row r="20714" spans="1:15" x14ac:dyDescent="0.25">
      <c r="A20714" t="s">
        <v>16</v>
      </c>
      <c r="B20714" t="s">
        <v>3221</v>
      </c>
      <c r="C20714">
        <v>6341</v>
      </c>
      <c r="D20714" t="s">
        <v>263</v>
      </c>
      <c r="E20714" t="s">
        <v>264</v>
      </c>
      <c r="F20714">
        <v>0.99</v>
      </c>
      <c r="G20714">
        <v>230504</v>
      </c>
      <c r="H20714">
        <v>4362</v>
      </c>
      <c r="I20714" t="s">
        <v>79</v>
      </c>
      <c r="J20714">
        <v>0.99</v>
      </c>
      <c r="K20714">
        <v>0</v>
      </c>
      <c r="L20714">
        <v>11401</v>
      </c>
      <c r="M20714" t="s">
        <v>84</v>
      </c>
      <c r="N20714" t="str">
        <f t="shared" si="314"/>
        <v xml:space="preserve">12318023881 </v>
      </c>
      <c r="O20714">
        <v>230510</v>
      </c>
    </row>
    <row r="20715" spans="1:15" x14ac:dyDescent="0.25">
      <c r="A20715" t="s">
        <v>16</v>
      </c>
      <c r="B20715" t="s">
        <v>3221</v>
      </c>
      <c r="C20715">
        <v>6341</v>
      </c>
      <c r="D20715" t="s">
        <v>263</v>
      </c>
      <c r="E20715" t="s">
        <v>264</v>
      </c>
      <c r="F20715">
        <v>2.5499999999999998</v>
      </c>
      <c r="G20715">
        <v>230504</v>
      </c>
      <c r="H20715">
        <v>4362</v>
      </c>
      <c r="I20715" t="s">
        <v>79</v>
      </c>
      <c r="J20715">
        <v>3.16</v>
      </c>
      <c r="K20715">
        <v>0.61</v>
      </c>
      <c r="L20715">
        <v>11401</v>
      </c>
      <c r="M20715" t="s">
        <v>84</v>
      </c>
      <c r="N20715" t="str">
        <f t="shared" si="314"/>
        <v xml:space="preserve">12318023881 </v>
      </c>
      <c r="O20715">
        <v>230510</v>
      </c>
    </row>
    <row r="20716" spans="1:15" x14ac:dyDescent="0.25">
      <c r="A20716" t="s">
        <v>16</v>
      </c>
      <c r="B20716" t="s">
        <v>3221</v>
      </c>
      <c r="C20716">
        <v>6341</v>
      </c>
      <c r="D20716" t="s">
        <v>263</v>
      </c>
      <c r="E20716" t="s">
        <v>264</v>
      </c>
      <c r="F20716">
        <v>4.3600000000000003</v>
      </c>
      <c r="G20716">
        <v>230504</v>
      </c>
      <c r="H20716">
        <v>4362</v>
      </c>
      <c r="I20716" t="s">
        <v>79</v>
      </c>
      <c r="J20716">
        <v>4.3600000000000003</v>
      </c>
      <c r="K20716">
        <v>0</v>
      </c>
      <c r="L20716">
        <v>11401</v>
      </c>
      <c r="M20716" t="s">
        <v>84</v>
      </c>
      <c r="N20716" t="str">
        <f t="shared" si="314"/>
        <v xml:space="preserve">12318023881 </v>
      </c>
      <c r="O20716">
        <v>230510</v>
      </c>
    </row>
    <row r="20717" spans="1:15" x14ac:dyDescent="0.25">
      <c r="A20717" t="s">
        <v>16</v>
      </c>
      <c r="B20717" t="s">
        <v>3221</v>
      </c>
      <c r="C20717">
        <v>6341</v>
      </c>
      <c r="D20717" t="s">
        <v>263</v>
      </c>
      <c r="E20717" t="s">
        <v>264</v>
      </c>
      <c r="F20717">
        <v>4.55</v>
      </c>
      <c r="G20717">
        <v>230504</v>
      </c>
      <c r="H20717">
        <v>4362</v>
      </c>
      <c r="I20717" t="s">
        <v>79</v>
      </c>
      <c r="J20717">
        <v>4.55</v>
      </c>
      <c r="K20717">
        <v>0</v>
      </c>
      <c r="L20717">
        <v>11401</v>
      </c>
      <c r="M20717" t="s">
        <v>84</v>
      </c>
      <c r="N20717" t="str">
        <f t="shared" si="314"/>
        <v xml:space="preserve">12318023881 </v>
      </c>
      <c r="O20717">
        <v>230510</v>
      </c>
    </row>
    <row r="20718" spans="1:15" x14ac:dyDescent="0.25">
      <c r="A20718" t="s">
        <v>16</v>
      </c>
      <c r="B20718" t="s">
        <v>3221</v>
      </c>
      <c r="C20718">
        <v>6341</v>
      </c>
      <c r="D20718" t="s">
        <v>263</v>
      </c>
      <c r="E20718" t="s">
        <v>264</v>
      </c>
      <c r="F20718">
        <v>6.76</v>
      </c>
      <c r="G20718">
        <v>230504</v>
      </c>
      <c r="H20718">
        <v>4362</v>
      </c>
      <c r="I20718" t="s">
        <v>79</v>
      </c>
      <c r="J20718">
        <v>8.3800000000000008</v>
      </c>
      <c r="K20718">
        <v>1.62</v>
      </c>
      <c r="L20718">
        <v>11401</v>
      </c>
      <c r="M20718" t="s">
        <v>84</v>
      </c>
      <c r="N20718" t="str">
        <f t="shared" si="314"/>
        <v xml:space="preserve">12318023881 </v>
      </c>
      <c r="O20718">
        <v>230510</v>
      </c>
    </row>
    <row r="20719" spans="1:15" x14ac:dyDescent="0.25">
      <c r="A20719" t="s">
        <v>16</v>
      </c>
      <c r="B20719" t="s">
        <v>3221</v>
      </c>
      <c r="C20719">
        <v>6341</v>
      </c>
      <c r="D20719" t="s">
        <v>263</v>
      </c>
      <c r="E20719" t="s">
        <v>264</v>
      </c>
      <c r="F20719">
        <v>2.5499999999999998</v>
      </c>
      <c r="G20719">
        <v>230504</v>
      </c>
      <c r="H20719">
        <v>4362</v>
      </c>
      <c r="I20719" t="s">
        <v>79</v>
      </c>
      <c r="J20719">
        <v>3.16</v>
      </c>
      <c r="K20719">
        <v>0.61</v>
      </c>
      <c r="L20719">
        <v>11501</v>
      </c>
      <c r="M20719" t="s">
        <v>339</v>
      </c>
      <c r="N20719" t="str">
        <f t="shared" si="314"/>
        <v xml:space="preserve">12318023881 </v>
      </c>
      <c r="O20719">
        <v>230510</v>
      </c>
    </row>
    <row r="20720" spans="1:15" x14ac:dyDescent="0.25">
      <c r="A20720" t="s">
        <v>16</v>
      </c>
      <c r="B20720" t="s">
        <v>3221</v>
      </c>
      <c r="C20720">
        <v>6341</v>
      </c>
      <c r="D20720" t="s">
        <v>263</v>
      </c>
      <c r="E20720" t="s">
        <v>264</v>
      </c>
      <c r="F20720">
        <v>2.34</v>
      </c>
      <c r="G20720">
        <v>230504</v>
      </c>
      <c r="H20720">
        <v>4362</v>
      </c>
      <c r="I20720" t="s">
        <v>79</v>
      </c>
      <c r="J20720">
        <v>2.34</v>
      </c>
      <c r="K20720">
        <v>0</v>
      </c>
      <c r="L20720">
        <v>17807</v>
      </c>
      <c r="M20720" t="s">
        <v>318</v>
      </c>
      <c r="N20720" t="str">
        <f t="shared" si="314"/>
        <v xml:space="preserve">12318023881 </v>
      </c>
      <c r="O20720">
        <v>230510</v>
      </c>
    </row>
    <row r="20721" spans="1:15" x14ac:dyDescent="0.25">
      <c r="A20721" t="s">
        <v>16</v>
      </c>
      <c r="B20721" t="s">
        <v>3221</v>
      </c>
      <c r="C20721">
        <v>6341</v>
      </c>
      <c r="D20721" t="s">
        <v>263</v>
      </c>
      <c r="E20721" t="s">
        <v>264</v>
      </c>
      <c r="F20721">
        <v>3.83</v>
      </c>
      <c r="G20721">
        <v>230504</v>
      </c>
      <c r="H20721">
        <v>4362</v>
      </c>
      <c r="I20721" t="s">
        <v>79</v>
      </c>
      <c r="J20721">
        <v>3.83</v>
      </c>
      <c r="K20721">
        <v>0</v>
      </c>
      <c r="L20721">
        <v>18972</v>
      </c>
      <c r="M20721" t="s">
        <v>163</v>
      </c>
      <c r="N20721" t="str">
        <f t="shared" si="314"/>
        <v xml:space="preserve">12318023881 </v>
      </c>
      <c r="O20721">
        <v>230510</v>
      </c>
    </row>
    <row r="20722" spans="1:15" x14ac:dyDescent="0.25">
      <c r="A20722" t="s">
        <v>16</v>
      </c>
      <c r="B20722" t="s">
        <v>3221</v>
      </c>
      <c r="C20722">
        <v>6341</v>
      </c>
      <c r="D20722" t="s">
        <v>263</v>
      </c>
      <c r="E20722" t="s">
        <v>264</v>
      </c>
      <c r="F20722">
        <v>5.0999999999999996</v>
      </c>
      <c r="G20722">
        <v>230504</v>
      </c>
      <c r="H20722">
        <v>4362</v>
      </c>
      <c r="I20722" t="s">
        <v>79</v>
      </c>
      <c r="J20722">
        <v>6.32</v>
      </c>
      <c r="K20722">
        <v>1.22</v>
      </c>
      <c r="L20722">
        <v>18972</v>
      </c>
      <c r="M20722" t="s">
        <v>163</v>
      </c>
      <c r="N20722" t="str">
        <f t="shared" si="314"/>
        <v xml:space="preserve">12318023881 </v>
      </c>
      <c r="O20722">
        <v>230510</v>
      </c>
    </row>
    <row r="20723" spans="1:15" x14ac:dyDescent="0.25">
      <c r="A20723" t="s">
        <v>16</v>
      </c>
      <c r="B20723" t="s">
        <v>3221</v>
      </c>
      <c r="C20723">
        <v>6348</v>
      </c>
      <c r="D20723" t="s">
        <v>263</v>
      </c>
      <c r="E20723" t="s">
        <v>264</v>
      </c>
      <c r="F20723">
        <v>45.9</v>
      </c>
      <c r="G20723">
        <v>230504</v>
      </c>
      <c r="H20723">
        <v>4362</v>
      </c>
      <c r="I20723" t="s">
        <v>79</v>
      </c>
      <c r="J20723">
        <v>56.92</v>
      </c>
      <c r="K20723">
        <v>11.02</v>
      </c>
      <c r="L20723">
        <v>10002</v>
      </c>
      <c r="M20723" t="s">
        <v>1066</v>
      </c>
      <c r="N20723" t="str">
        <f>"12318023924 "</f>
        <v xml:space="preserve">12318023924 </v>
      </c>
      <c r="O20723">
        <v>230510</v>
      </c>
    </row>
    <row r="20724" spans="1:15" x14ac:dyDescent="0.25">
      <c r="A20724" t="s">
        <v>16</v>
      </c>
      <c r="B20724" t="s">
        <v>3221</v>
      </c>
      <c r="C20724">
        <v>6430</v>
      </c>
      <c r="D20724" t="s">
        <v>263</v>
      </c>
      <c r="E20724" t="s">
        <v>264</v>
      </c>
      <c r="F20724">
        <v>2.7</v>
      </c>
      <c r="G20724">
        <v>230504</v>
      </c>
      <c r="H20724">
        <v>4362</v>
      </c>
      <c r="I20724" t="s">
        <v>79</v>
      </c>
      <c r="J20724">
        <v>3.35</v>
      </c>
      <c r="K20724">
        <v>0.65</v>
      </c>
      <c r="L20724">
        <v>11900</v>
      </c>
      <c r="M20724" t="s">
        <v>1105</v>
      </c>
      <c r="N20724" t="str">
        <f>"12318023902 "</f>
        <v xml:space="preserve">12318023902 </v>
      </c>
      <c r="O20724">
        <v>230511</v>
      </c>
    </row>
    <row r="20725" spans="1:15" x14ac:dyDescent="0.25">
      <c r="A20725" t="s">
        <v>16</v>
      </c>
      <c r="B20725" t="s">
        <v>3221</v>
      </c>
      <c r="C20725">
        <v>6507</v>
      </c>
      <c r="D20725" t="s">
        <v>263</v>
      </c>
      <c r="E20725" t="s">
        <v>264</v>
      </c>
      <c r="F20725">
        <v>27.39</v>
      </c>
      <c r="G20725">
        <v>230504</v>
      </c>
      <c r="H20725">
        <v>4362</v>
      </c>
      <c r="I20725" t="s">
        <v>79</v>
      </c>
      <c r="J20725">
        <v>33.96</v>
      </c>
      <c r="K20725">
        <v>6.57</v>
      </c>
      <c r="L20725">
        <v>61122</v>
      </c>
      <c r="M20725" t="s">
        <v>402</v>
      </c>
      <c r="N20725" t="str">
        <f t="shared" ref="N20725:N20752" si="315">"12318023887 "</f>
        <v xml:space="preserve">12318023887 </v>
      </c>
      <c r="O20725">
        <v>230512</v>
      </c>
    </row>
    <row r="20726" spans="1:15" x14ac:dyDescent="0.25">
      <c r="A20726" t="s">
        <v>16</v>
      </c>
      <c r="B20726" t="s">
        <v>3221</v>
      </c>
      <c r="C20726">
        <v>6507</v>
      </c>
      <c r="D20726" t="s">
        <v>263</v>
      </c>
      <c r="E20726" t="s">
        <v>264</v>
      </c>
      <c r="F20726">
        <v>11.37</v>
      </c>
      <c r="G20726">
        <v>230504</v>
      </c>
      <c r="H20726">
        <v>4362</v>
      </c>
      <c r="I20726" t="s">
        <v>79</v>
      </c>
      <c r="J20726">
        <v>14.1</v>
      </c>
      <c r="K20726">
        <v>2.73</v>
      </c>
      <c r="L20726">
        <v>61122</v>
      </c>
      <c r="M20726" t="s">
        <v>402</v>
      </c>
      <c r="N20726" t="str">
        <f t="shared" si="315"/>
        <v xml:space="preserve">12318023887 </v>
      </c>
      <c r="O20726">
        <v>230512</v>
      </c>
    </row>
    <row r="20727" spans="1:15" x14ac:dyDescent="0.25">
      <c r="A20727" t="s">
        <v>16</v>
      </c>
      <c r="B20727" t="s">
        <v>3221</v>
      </c>
      <c r="C20727">
        <v>6507</v>
      </c>
      <c r="D20727" t="s">
        <v>263</v>
      </c>
      <c r="E20727" t="s">
        <v>264</v>
      </c>
      <c r="F20727">
        <v>13.02</v>
      </c>
      <c r="G20727">
        <v>230504</v>
      </c>
      <c r="H20727">
        <v>4362</v>
      </c>
      <c r="I20727" t="s">
        <v>79</v>
      </c>
      <c r="J20727">
        <v>16.14</v>
      </c>
      <c r="K20727">
        <v>3.12</v>
      </c>
      <c r="L20727">
        <v>65222</v>
      </c>
      <c r="M20727" t="s">
        <v>487</v>
      </c>
      <c r="N20727" t="str">
        <f t="shared" si="315"/>
        <v xml:space="preserve">12318023887 </v>
      </c>
      <c r="O20727">
        <v>230512</v>
      </c>
    </row>
    <row r="20728" spans="1:15" x14ac:dyDescent="0.25">
      <c r="A20728" t="s">
        <v>16</v>
      </c>
      <c r="B20728" t="s">
        <v>3221</v>
      </c>
      <c r="C20728">
        <v>6507</v>
      </c>
      <c r="D20728" t="s">
        <v>263</v>
      </c>
      <c r="E20728" t="s">
        <v>264</v>
      </c>
      <c r="F20728">
        <v>2.7</v>
      </c>
      <c r="G20728">
        <v>230504</v>
      </c>
      <c r="H20728">
        <v>4362</v>
      </c>
      <c r="I20728" t="s">
        <v>79</v>
      </c>
      <c r="J20728">
        <v>3.35</v>
      </c>
      <c r="K20728">
        <v>0.65</v>
      </c>
      <c r="L20728">
        <v>65422</v>
      </c>
      <c r="M20728" t="s">
        <v>602</v>
      </c>
      <c r="N20728" t="str">
        <f t="shared" si="315"/>
        <v xml:space="preserve">12318023887 </v>
      </c>
      <c r="O20728">
        <v>230512</v>
      </c>
    </row>
    <row r="20729" spans="1:15" x14ac:dyDescent="0.25">
      <c r="A20729" t="s">
        <v>16</v>
      </c>
      <c r="B20729" t="s">
        <v>3221</v>
      </c>
      <c r="C20729">
        <v>6507</v>
      </c>
      <c r="D20729" t="s">
        <v>263</v>
      </c>
      <c r="E20729" t="s">
        <v>264</v>
      </c>
      <c r="F20729">
        <v>9.81</v>
      </c>
      <c r="G20729">
        <v>230504</v>
      </c>
      <c r="H20729">
        <v>4362</v>
      </c>
      <c r="I20729" t="s">
        <v>79</v>
      </c>
      <c r="J20729">
        <v>12.16</v>
      </c>
      <c r="K20729">
        <v>2.35</v>
      </c>
      <c r="L20729">
        <v>66722</v>
      </c>
      <c r="M20729" t="s">
        <v>518</v>
      </c>
      <c r="N20729" t="str">
        <f t="shared" si="315"/>
        <v xml:space="preserve">12318023887 </v>
      </c>
      <c r="O20729">
        <v>230512</v>
      </c>
    </row>
    <row r="20730" spans="1:15" x14ac:dyDescent="0.25">
      <c r="A20730" t="s">
        <v>16</v>
      </c>
      <c r="B20730" t="s">
        <v>3221</v>
      </c>
      <c r="C20730">
        <v>6507</v>
      </c>
      <c r="D20730" t="s">
        <v>263</v>
      </c>
      <c r="E20730" t="s">
        <v>264</v>
      </c>
      <c r="F20730">
        <v>1.56</v>
      </c>
      <c r="G20730">
        <v>230504</v>
      </c>
      <c r="H20730">
        <v>4362</v>
      </c>
      <c r="I20730" t="s">
        <v>79</v>
      </c>
      <c r="J20730">
        <v>1.94</v>
      </c>
      <c r="K20730">
        <v>0.38</v>
      </c>
      <c r="L20730">
        <v>66754</v>
      </c>
      <c r="M20730" t="s">
        <v>239</v>
      </c>
      <c r="N20730" t="str">
        <f t="shared" si="315"/>
        <v xml:space="preserve">12318023887 </v>
      </c>
      <c r="O20730">
        <v>230512</v>
      </c>
    </row>
    <row r="20731" spans="1:15" x14ac:dyDescent="0.25">
      <c r="A20731" t="s">
        <v>16</v>
      </c>
      <c r="B20731" t="s">
        <v>3221</v>
      </c>
      <c r="C20731">
        <v>6507</v>
      </c>
      <c r="D20731" t="s">
        <v>263</v>
      </c>
      <c r="E20731" t="s">
        <v>264</v>
      </c>
      <c r="F20731">
        <v>3.71</v>
      </c>
      <c r="G20731">
        <v>230504</v>
      </c>
      <c r="H20731">
        <v>4362</v>
      </c>
      <c r="I20731" t="s">
        <v>79</v>
      </c>
      <c r="J20731">
        <v>4.5999999999999996</v>
      </c>
      <c r="K20731">
        <v>0.89</v>
      </c>
      <c r="L20731">
        <v>66754</v>
      </c>
      <c r="M20731" t="s">
        <v>239</v>
      </c>
      <c r="N20731" t="str">
        <f t="shared" si="315"/>
        <v xml:space="preserve">12318023887 </v>
      </c>
      <c r="O20731">
        <v>230512</v>
      </c>
    </row>
    <row r="20732" spans="1:15" x14ac:dyDescent="0.25">
      <c r="A20732" t="s">
        <v>16</v>
      </c>
      <c r="B20732" t="s">
        <v>3221</v>
      </c>
      <c r="C20732">
        <v>6507</v>
      </c>
      <c r="D20732" t="s">
        <v>263</v>
      </c>
      <c r="E20732" t="s">
        <v>264</v>
      </c>
      <c r="F20732">
        <v>2.7</v>
      </c>
      <c r="G20732">
        <v>230504</v>
      </c>
      <c r="H20732">
        <v>4362</v>
      </c>
      <c r="I20732" t="s">
        <v>79</v>
      </c>
      <c r="J20732">
        <v>3.35</v>
      </c>
      <c r="K20732">
        <v>0.65</v>
      </c>
      <c r="L20732">
        <v>66754</v>
      </c>
      <c r="M20732" t="s">
        <v>239</v>
      </c>
      <c r="N20732" t="str">
        <f t="shared" si="315"/>
        <v xml:space="preserve">12318023887 </v>
      </c>
      <c r="O20732">
        <v>230512</v>
      </c>
    </row>
    <row r="20733" spans="1:15" x14ac:dyDescent="0.25">
      <c r="A20733" t="s">
        <v>16</v>
      </c>
      <c r="B20733" t="s">
        <v>3221</v>
      </c>
      <c r="C20733">
        <v>6507</v>
      </c>
      <c r="D20733" t="s">
        <v>263</v>
      </c>
      <c r="E20733" t="s">
        <v>264</v>
      </c>
      <c r="F20733">
        <v>13.5</v>
      </c>
      <c r="G20733">
        <v>230504</v>
      </c>
      <c r="H20733">
        <v>4362</v>
      </c>
      <c r="I20733" t="s">
        <v>79</v>
      </c>
      <c r="J20733">
        <v>16.739999999999998</v>
      </c>
      <c r="K20733">
        <v>3.24</v>
      </c>
      <c r="L20733">
        <v>66754</v>
      </c>
      <c r="M20733" t="s">
        <v>239</v>
      </c>
      <c r="N20733" t="str">
        <f t="shared" si="315"/>
        <v xml:space="preserve">12318023887 </v>
      </c>
      <c r="O20733">
        <v>230512</v>
      </c>
    </row>
    <row r="20734" spans="1:15" x14ac:dyDescent="0.25">
      <c r="A20734" t="s">
        <v>16</v>
      </c>
      <c r="B20734" t="s">
        <v>3221</v>
      </c>
      <c r="C20734">
        <v>6507</v>
      </c>
      <c r="D20734" t="s">
        <v>263</v>
      </c>
      <c r="E20734" t="s">
        <v>264</v>
      </c>
      <c r="F20734">
        <v>5.25</v>
      </c>
      <c r="G20734">
        <v>230504</v>
      </c>
      <c r="H20734">
        <v>4362</v>
      </c>
      <c r="I20734" t="s">
        <v>79</v>
      </c>
      <c r="J20734">
        <v>6.51</v>
      </c>
      <c r="K20734">
        <v>1.26</v>
      </c>
      <c r="L20734">
        <v>66754</v>
      </c>
      <c r="M20734" t="s">
        <v>239</v>
      </c>
      <c r="N20734" t="str">
        <f t="shared" si="315"/>
        <v xml:space="preserve">12318023887 </v>
      </c>
      <c r="O20734">
        <v>230512</v>
      </c>
    </row>
    <row r="20735" spans="1:15" x14ac:dyDescent="0.25">
      <c r="A20735" t="s">
        <v>16</v>
      </c>
      <c r="B20735" t="s">
        <v>3221</v>
      </c>
      <c r="C20735">
        <v>6507</v>
      </c>
      <c r="D20735" t="s">
        <v>263</v>
      </c>
      <c r="E20735" t="s">
        <v>264</v>
      </c>
      <c r="F20735">
        <v>9.06</v>
      </c>
      <c r="G20735">
        <v>230504</v>
      </c>
      <c r="H20735">
        <v>4362</v>
      </c>
      <c r="I20735" t="s">
        <v>79</v>
      </c>
      <c r="J20735">
        <v>11.23</v>
      </c>
      <c r="K20735">
        <v>2.17</v>
      </c>
      <c r="L20735">
        <v>66756</v>
      </c>
      <c r="M20735" t="s">
        <v>209</v>
      </c>
      <c r="N20735" t="str">
        <f t="shared" si="315"/>
        <v xml:space="preserve">12318023887 </v>
      </c>
      <c r="O20735">
        <v>230512</v>
      </c>
    </row>
    <row r="20736" spans="1:15" x14ac:dyDescent="0.25">
      <c r="A20736" t="s">
        <v>16</v>
      </c>
      <c r="B20736" t="s">
        <v>3221</v>
      </c>
      <c r="C20736">
        <v>6507</v>
      </c>
      <c r="D20736" t="s">
        <v>263</v>
      </c>
      <c r="E20736" t="s">
        <v>264</v>
      </c>
      <c r="F20736">
        <v>32.81</v>
      </c>
      <c r="G20736">
        <v>230504</v>
      </c>
      <c r="H20736">
        <v>4362</v>
      </c>
      <c r="I20736" t="s">
        <v>79</v>
      </c>
      <c r="J20736">
        <v>40.68</v>
      </c>
      <c r="K20736">
        <v>7.87</v>
      </c>
      <c r="L20736">
        <v>67522</v>
      </c>
      <c r="M20736" t="s">
        <v>397</v>
      </c>
      <c r="N20736" t="str">
        <f t="shared" si="315"/>
        <v xml:space="preserve">12318023887 </v>
      </c>
      <c r="O20736">
        <v>230512</v>
      </c>
    </row>
    <row r="20737" spans="1:15" x14ac:dyDescent="0.25">
      <c r="A20737" t="s">
        <v>16</v>
      </c>
      <c r="B20737" t="s">
        <v>3221</v>
      </c>
      <c r="C20737">
        <v>6507</v>
      </c>
      <c r="D20737" t="s">
        <v>263</v>
      </c>
      <c r="E20737" t="s">
        <v>264</v>
      </c>
      <c r="F20737">
        <v>15.25</v>
      </c>
      <c r="G20737">
        <v>230504</v>
      </c>
      <c r="H20737">
        <v>4362</v>
      </c>
      <c r="I20737" t="s">
        <v>79</v>
      </c>
      <c r="J20737">
        <v>18.91</v>
      </c>
      <c r="K20737">
        <v>3.66</v>
      </c>
      <c r="L20737">
        <v>67522</v>
      </c>
      <c r="M20737" t="s">
        <v>397</v>
      </c>
      <c r="N20737" t="str">
        <f t="shared" si="315"/>
        <v xml:space="preserve">12318023887 </v>
      </c>
      <c r="O20737">
        <v>230512</v>
      </c>
    </row>
    <row r="20738" spans="1:15" x14ac:dyDescent="0.25">
      <c r="A20738" t="s">
        <v>16</v>
      </c>
      <c r="B20738" t="s">
        <v>3221</v>
      </c>
      <c r="C20738">
        <v>6507</v>
      </c>
      <c r="D20738" t="s">
        <v>263</v>
      </c>
      <c r="E20738" t="s">
        <v>264</v>
      </c>
      <c r="F20738">
        <v>1.56</v>
      </c>
      <c r="G20738">
        <v>230504</v>
      </c>
      <c r="H20738">
        <v>4362</v>
      </c>
      <c r="I20738" t="s">
        <v>79</v>
      </c>
      <c r="J20738">
        <v>1.94</v>
      </c>
      <c r="K20738">
        <v>0.38</v>
      </c>
      <c r="L20738">
        <v>67554</v>
      </c>
      <c r="M20738" t="s">
        <v>60</v>
      </c>
      <c r="N20738" t="str">
        <f t="shared" si="315"/>
        <v xml:space="preserve">12318023887 </v>
      </c>
      <c r="O20738">
        <v>230512</v>
      </c>
    </row>
    <row r="20739" spans="1:15" x14ac:dyDescent="0.25">
      <c r="A20739" t="s">
        <v>16</v>
      </c>
      <c r="B20739" t="s">
        <v>3221</v>
      </c>
      <c r="C20739">
        <v>6507</v>
      </c>
      <c r="D20739" t="s">
        <v>263</v>
      </c>
      <c r="E20739" t="s">
        <v>264</v>
      </c>
      <c r="F20739">
        <v>5.66</v>
      </c>
      <c r="G20739">
        <v>230504</v>
      </c>
      <c r="H20739">
        <v>4362</v>
      </c>
      <c r="I20739" t="s">
        <v>79</v>
      </c>
      <c r="J20739">
        <v>7.02</v>
      </c>
      <c r="K20739">
        <v>1.36</v>
      </c>
      <c r="L20739">
        <v>67554</v>
      </c>
      <c r="M20739" t="s">
        <v>60</v>
      </c>
      <c r="N20739" t="str">
        <f t="shared" si="315"/>
        <v xml:space="preserve">12318023887 </v>
      </c>
      <c r="O20739">
        <v>230512</v>
      </c>
    </row>
    <row r="20740" spans="1:15" x14ac:dyDescent="0.25">
      <c r="A20740" t="s">
        <v>16</v>
      </c>
      <c r="B20740" t="s">
        <v>3221</v>
      </c>
      <c r="C20740">
        <v>6507</v>
      </c>
      <c r="D20740" t="s">
        <v>263</v>
      </c>
      <c r="E20740" t="s">
        <v>264</v>
      </c>
      <c r="F20740">
        <v>48.62</v>
      </c>
      <c r="G20740">
        <v>230504</v>
      </c>
      <c r="H20740">
        <v>4362</v>
      </c>
      <c r="I20740" t="s">
        <v>79</v>
      </c>
      <c r="J20740">
        <v>60.29</v>
      </c>
      <c r="K20740">
        <v>11.67</v>
      </c>
      <c r="L20740">
        <v>67554</v>
      </c>
      <c r="M20740" t="s">
        <v>60</v>
      </c>
      <c r="N20740" t="str">
        <f t="shared" si="315"/>
        <v xml:space="preserve">12318023887 </v>
      </c>
      <c r="O20740">
        <v>230512</v>
      </c>
    </row>
    <row r="20741" spans="1:15" x14ac:dyDescent="0.25">
      <c r="A20741" t="s">
        <v>16</v>
      </c>
      <c r="B20741" t="s">
        <v>3221</v>
      </c>
      <c r="C20741">
        <v>6507</v>
      </c>
      <c r="D20741" t="s">
        <v>263</v>
      </c>
      <c r="E20741" t="s">
        <v>264</v>
      </c>
      <c r="F20741">
        <v>4.3</v>
      </c>
      <c r="G20741">
        <v>230504</v>
      </c>
      <c r="H20741">
        <v>4362</v>
      </c>
      <c r="I20741" t="s">
        <v>79</v>
      </c>
      <c r="J20741">
        <v>5.33</v>
      </c>
      <c r="K20741">
        <v>1.03</v>
      </c>
      <c r="L20741">
        <v>67554</v>
      </c>
      <c r="M20741" t="s">
        <v>60</v>
      </c>
      <c r="N20741" t="str">
        <f t="shared" si="315"/>
        <v xml:space="preserve">12318023887 </v>
      </c>
      <c r="O20741">
        <v>230512</v>
      </c>
    </row>
    <row r="20742" spans="1:15" x14ac:dyDescent="0.25">
      <c r="A20742" t="s">
        <v>16</v>
      </c>
      <c r="B20742" t="s">
        <v>3221</v>
      </c>
      <c r="C20742">
        <v>6507</v>
      </c>
      <c r="D20742" t="s">
        <v>263</v>
      </c>
      <c r="E20742" t="s">
        <v>264</v>
      </c>
      <c r="F20742">
        <v>5.55</v>
      </c>
      <c r="G20742">
        <v>230504</v>
      </c>
      <c r="H20742">
        <v>4362</v>
      </c>
      <c r="I20742" t="s">
        <v>79</v>
      </c>
      <c r="J20742">
        <v>6.88</v>
      </c>
      <c r="K20742">
        <v>1.33</v>
      </c>
      <c r="L20742">
        <v>69111</v>
      </c>
      <c r="M20742" t="s">
        <v>471</v>
      </c>
      <c r="N20742" t="str">
        <f t="shared" si="315"/>
        <v xml:space="preserve">12318023887 </v>
      </c>
      <c r="O20742">
        <v>230512</v>
      </c>
    </row>
    <row r="20743" spans="1:15" x14ac:dyDescent="0.25">
      <c r="A20743" t="s">
        <v>16</v>
      </c>
      <c r="B20743" t="s">
        <v>3221</v>
      </c>
      <c r="C20743">
        <v>6507</v>
      </c>
      <c r="D20743" t="s">
        <v>263</v>
      </c>
      <c r="E20743" t="s">
        <v>264</v>
      </c>
      <c r="F20743">
        <v>4.72</v>
      </c>
      <c r="G20743">
        <v>230504</v>
      </c>
      <c r="H20743">
        <v>4362</v>
      </c>
      <c r="I20743" t="s">
        <v>79</v>
      </c>
      <c r="J20743">
        <v>5.85</v>
      </c>
      <c r="K20743">
        <v>1.1299999999999999</v>
      </c>
      <c r="L20743">
        <v>69112</v>
      </c>
      <c r="M20743" t="s">
        <v>313</v>
      </c>
      <c r="N20743" t="str">
        <f t="shared" si="315"/>
        <v xml:space="preserve">12318023887 </v>
      </c>
      <c r="O20743">
        <v>230512</v>
      </c>
    </row>
    <row r="20744" spans="1:15" x14ac:dyDescent="0.25">
      <c r="A20744" t="s">
        <v>16</v>
      </c>
      <c r="B20744" t="s">
        <v>3221</v>
      </c>
      <c r="C20744">
        <v>6507</v>
      </c>
      <c r="D20744" t="s">
        <v>263</v>
      </c>
      <c r="E20744" t="s">
        <v>264</v>
      </c>
      <c r="F20744">
        <v>8.91</v>
      </c>
      <c r="G20744">
        <v>230504</v>
      </c>
      <c r="H20744">
        <v>4362</v>
      </c>
      <c r="I20744" t="s">
        <v>79</v>
      </c>
      <c r="J20744">
        <v>11.05</v>
      </c>
      <c r="K20744">
        <v>2.14</v>
      </c>
      <c r="L20744">
        <v>69113</v>
      </c>
      <c r="M20744" t="s">
        <v>282</v>
      </c>
      <c r="N20744" t="str">
        <f t="shared" si="315"/>
        <v xml:space="preserve">12318023887 </v>
      </c>
      <c r="O20744">
        <v>230512</v>
      </c>
    </row>
    <row r="20745" spans="1:15" x14ac:dyDescent="0.25">
      <c r="A20745" t="s">
        <v>16</v>
      </c>
      <c r="B20745" t="s">
        <v>3221</v>
      </c>
      <c r="C20745">
        <v>6507</v>
      </c>
      <c r="D20745" t="s">
        <v>263</v>
      </c>
      <c r="E20745" t="s">
        <v>264</v>
      </c>
      <c r="F20745">
        <v>29.52</v>
      </c>
      <c r="G20745">
        <v>230504</v>
      </c>
      <c r="H20745">
        <v>4362</v>
      </c>
      <c r="I20745" t="s">
        <v>79</v>
      </c>
      <c r="J20745">
        <v>36.6</v>
      </c>
      <c r="K20745">
        <v>7.08</v>
      </c>
      <c r="L20745">
        <v>69501</v>
      </c>
      <c r="M20745" t="s">
        <v>185</v>
      </c>
      <c r="N20745" t="str">
        <f t="shared" si="315"/>
        <v xml:space="preserve">12318023887 </v>
      </c>
      <c r="O20745">
        <v>230512</v>
      </c>
    </row>
    <row r="20746" spans="1:15" x14ac:dyDescent="0.25">
      <c r="A20746" t="s">
        <v>16</v>
      </c>
      <c r="B20746" t="s">
        <v>3221</v>
      </c>
      <c r="C20746">
        <v>6507</v>
      </c>
      <c r="D20746" t="s">
        <v>263</v>
      </c>
      <c r="E20746" t="s">
        <v>264</v>
      </c>
      <c r="F20746">
        <v>4.32</v>
      </c>
      <c r="G20746">
        <v>230504</v>
      </c>
      <c r="H20746">
        <v>4362</v>
      </c>
      <c r="I20746" t="s">
        <v>79</v>
      </c>
      <c r="J20746">
        <v>5.36</v>
      </c>
      <c r="K20746">
        <v>1.04</v>
      </c>
      <c r="L20746">
        <v>69701</v>
      </c>
      <c r="M20746" t="s">
        <v>488</v>
      </c>
      <c r="N20746" t="str">
        <f t="shared" si="315"/>
        <v xml:space="preserve">12318023887 </v>
      </c>
      <c r="O20746">
        <v>230512</v>
      </c>
    </row>
    <row r="20747" spans="1:15" x14ac:dyDescent="0.25">
      <c r="A20747" t="s">
        <v>16</v>
      </c>
      <c r="B20747" t="s">
        <v>3221</v>
      </c>
      <c r="C20747">
        <v>6507</v>
      </c>
      <c r="D20747" t="s">
        <v>263</v>
      </c>
      <c r="E20747" t="s">
        <v>264</v>
      </c>
      <c r="F20747">
        <v>2.7</v>
      </c>
      <c r="G20747">
        <v>230504</v>
      </c>
      <c r="H20747">
        <v>4362</v>
      </c>
      <c r="I20747" t="s">
        <v>79</v>
      </c>
      <c r="J20747">
        <v>3.35</v>
      </c>
      <c r="K20747">
        <v>0.65</v>
      </c>
      <c r="L20747">
        <v>69702</v>
      </c>
      <c r="M20747" t="s">
        <v>489</v>
      </c>
      <c r="N20747" t="str">
        <f t="shared" si="315"/>
        <v xml:space="preserve">12318023887 </v>
      </c>
      <c r="O20747">
        <v>230512</v>
      </c>
    </row>
    <row r="20748" spans="1:15" x14ac:dyDescent="0.25">
      <c r="A20748" t="s">
        <v>16</v>
      </c>
      <c r="B20748" t="s">
        <v>3221</v>
      </c>
      <c r="C20748">
        <v>6507</v>
      </c>
      <c r="D20748" t="s">
        <v>263</v>
      </c>
      <c r="E20748" t="s">
        <v>264</v>
      </c>
      <c r="F20748">
        <v>5.15</v>
      </c>
      <c r="G20748">
        <v>230504</v>
      </c>
      <c r="H20748">
        <v>4362</v>
      </c>
      <c r="I20748" t="s">
        <v>79</v>
      </c>
      <c r="J20748">
        <v>6.39</v>
      </c>
      <c r="K20748">
        <v>1.24</v>
      </c>
      <c r="L20748">
        <v>69703</v>
      </c>
      <c r="M20748" t="s">
        <v>1036</v>
      </c>
      <c r="N20748" t="str">
        <f t="shared" si="315"/>
        <v xml:space="preserve">12318023887 </v>
      </c>
      <c r="O20748">
        <v>230512</v>
      </c>
    </row>
    <row r="20749" spans="1:15" x14ac:dyDescent="0.25">
      <c r="A20749" t="s">
        <v>16</v>
      </c>
      <c r="B20749" t="s">
        <v>3221</v>
      </c>
      <c r="C20749">
        <v>6507</v>
      </c>
      <c r="D20749" t="s">
        <v>263</v>
      </c>
      <c r="E20749" t="s">
        <v>264</v>
      </c>
      <c r="F20749">
        <v>5.38</v>
      </c>
      <c r="G20749">
        <v>230504</v>
      </c>
      <c r="H20749">
        <v>4362</v>
      </c>
      <c r="I20749" t="s">
        <v>79</v>
      </c>
      <c r="J20749">
        <v>6.67</v>
      </c>
      <c r="K20749">
        <v>1.29</v>
      </c>
      <c r="L20749">
        <v>69704</v>
      </c>
      <c r="M20749" t="s">
        <v>325</v>
      </c>
      <c r="N20749" t="str">
        <f t="shared" si="315"/>
        <v xml:space="preserve">12318023887 </v>
      </c>
      <c r="O20749">
        <v>230512</v>
      </c>
    </row>
    <row r="20750" spans="1:15" x14ac:dyDescent="0.25">
      <c r="A20750" t="s">
        <v>16</v>
      </c>
      <c r="B20750" t="s">
        <v>3221</v>
      </c>
      <c r="C20750">
        <v>6507</v>
      </c>
      <c r="D20750" t="s">
        <v>263</v>
      </c>
      <c r="E20750" t="s">
        <v>264</v>
      </c>
      <c r="F20750">
        <v>5.59</v>
      </c>
      <c r="G20750">
        <v>230504</v>
      </c>
      <c r="H20750">
        <v>4362</v>
      </c>
      <c r="I20750" t="s">
        <v>79</v>
      </c>
      <c r="J20750">
        <v>6.93</v>
      </c>
      <c r="K20750">
        <v>1.34</v>
      </c>
      <c r="L20750">
        <v>69704</v>
      </c>
      <c r="M20750" t="s">
        <v>325</v>
      </c>
      <c r="N20750" t="str">
        <f t="shared" si="315"/>
        <v xml:space="preserve">12318023887 </v>
      </c>
      <c r="O20750">
        <v>230512</v>
      </c>
    </row>
    <row r="20751" spans="1:15" x14ac:dyDescent="0.25">
      <c r="A20751" t="s">
        <v>16</v>
      </c>
      <c r="B20751" t="s">
        <v>3221</v>
      </c>
      <c r="C20751">
        <v>6507</v>
      </c>
      <c r="D20751" t="s">
        <v>263</v>
      </c>
      <c r="E20751" t="s">
        <v>264</v>
      </c>
      <c r="F20751">
        <v>5.52</v>
      </c>
      <c r="G20751">
        <v>230504</v>
      </c>
      <c r="H20751">
        <v>4362</v>
      </c>
      <c r="I20751" t="s">
        <v>79</v>
      </c>
      <c r="J20751">
        <v>6.84</v>
      </c>
      <c r="K20751">
        <v>1.32</v>
      </c>
      <c r="L20751">
        <v>69707</v>
      </c>
      <c r="M20751" t="s">
        <v>490</v>
      </c>
      <c r="N20751" t="str">
        <f t="shared" si="315"/>
        <v xml:space="preserve">12318023887 </v>
      </c>
      <c r="O20751">
        <v>230512</v>
      </c>
    </row>
    <row r="20752" spans="1:15" x14ac:dyDescent="0.25">
      <c r="A20752" t="s">
        <v>16</v>
      </c>
      <c r="B20752" t="s">
        <v>3221</v>
      </c>
      <c r="C20752">
        <v>6507</v>
      </c>
      <c r="D20752" t="s">
        <v>263</v>
      </c>
      <c r="E20752" t="s">
        <v>264</v>
      </c>
      <c r="F20752">
        <v>10.8</v>
      </c>
      <c r="G20752">
        <v>230504</v>
      </c>
      <c r="H20752">
        <v>4362</v>
      </c>
      <c r="I20752" t="s">
        <v>79</v>
      </c>
      <c r="J20752">
        <v>13.39</v>
      </c>
      <c r="K20752">
        <v>2.59</v>
      </c>
      <c r="L20752">
        <v>69708</v>
      </c>
      <c r="M20752" t="s">
        <v>491</v>
      </c>
      <c r="N20752" t="str">
        <f t="shared" si="315"/>
        <v xml:space="preserve">12318023887 </v>
      </c>
      <c r="O20752">
        <v>230512</v>
      </c>
    </row>
    <row r="20753" spans="1:15" x14ac:dyDescent="0.25">
      <c r="A20753" t="s">
        <v>16</v>
      </c>
      <c r="B20753" t="s">
        <v>3221</v>
      </c>
      <c r="C20753">
        <v>6586</v>
      </c>
      <c r="D20753" t="s">
        <v>263</v>
      </c>
      <c r="E20753" t="s">
        <v>264</v>
      </c>
      <c r="F20753">
        <v>4.55</v>
      </c>
      <c r="G20753">
        <v>230504</v>
      </c>
      <c r="H20753">
        <v>4362</v>
      </c>
      <c r="I20753" t="s">
        <v>79</v>
      </c>
      <c r="J20753">
        <v>4.55</v>
      </c>
      <c r="K20753">
        <v>0</v>
      </c>
      <c r="L20753">
        <v>59702</v>
      </c>
      <c r="M20753" t="s">
        <v>328</v>
      </c>
      <c r="N20753" t="str">
        <f>"12318023886 "</f>
        <v xml:space="preserve">12318023886 </v>
      </c>
      <c r="O20753">
        <v>230515</v>
      </c>
    </row>
    <row r="20754" spans="1:15" x14ac:dyDescent="0.25">
      <c r="A20754" t="s">
        <v>16</v>
      </c>
      <c r="B20754" t="s">
        <v>3221</v>
      </c>
      <c r="C20754">
        <v>6586</v>
      </c>
      <c r="D20754" t="s">
        <v>263</v>
      </c>
      <c r="E20754" t="s">
        <v>264</v>
      </c>
      <c r="F20754">
        <v>10.64</v>
      </c>
      <c r="G20754">
        <v>230504</v>
      </c>
      <c r="H20754">
        <v>4362</v>
      </c>
      <c r="I20754" t="s">
        <v>79</v>
      </c>
      <c r="J20754">
        <v>13.19</v>
      </c>
      <c r="K20754">
        <v>2.5499999999999998</v>
      </c>
      <c r="L20754">
        <v>59702</v>
      </c>
      <c r="M20754" t="s">
        <v>328</v>
      </c>
      <c r="N20754" t="str">
        <f>"12318023886 "</f>
        <v xml:space="preserve">12318023886 </v>
      </c>
      <c r="O20754">
        <v>230515</v>
      </c>
    </row>
    <row r="20755" spans="1:15" x14ac:dyDescent="0.25">
      <c r="A20755" t="s">
        <v>16</v>
      </c>
      <c r="B20755" t="s">
        <v>3221</v>
      </c>
      <c r="C20755">
        <v>6586</v>
      </c>
      <c r="D20755" t="s">
        <v>263</v>
      </c>
      <c r="E20755" t="s">
        <v>264</v>
      </c>
      <c r="F20755">
        <v>7.95</v>
      </c>
      <c r="G20755">
        <v>230504</v>
      </c>
      <c r="H20755">
        <v>4362</v>
      </c>
      <c r="I20755" t="s">
        <v>79</v>
      </c>
      <c r="J20755">
        <v>9.86</v>
      </c>
      <c r="K20755">
        <v>1.91</v>
      </c>
      <c r="L20755">
        <v>59704</v>
      </c>
      <c r="M20755" t="s">
        <v>1103</v>
      </c>
      <c r="N20755" t="str">
        <f>"12318023886 "</f>
        <v xml:space="preserve">12318023886 </v>
      </c>
      <c r="O20755">
        <v>230515</v>
      </c>
    </row>
    <row r="20756" spans="1:15" x14ac:dyDescent="0.25">
      <c r="A20756" t="s">
        <v>16</v>
      </c>
      <c r="B20756" t="s">
        <v>3221</v>
      </c>
      <c r="C20756">
        <v>6644</v>
      </c>
      <c r="D20756" t="s">
        <v>263</v>
      </c>
      <c r="E20756" t="s">
        <v>264</v>
      </c>
      <c r="F20756">
        <v>2.7</v>
      </c>
      <c r="G20756">
        <v>230504</v>
      </c>
      <c r="H20756">
        <v>4362</v>
      </c>
      <c r="I20756" t="s">
        <v>79</v>
      </c>
      <c r="J20756">
        <v>3.35</v>
      </c>
      <c r="K20756">
        <v>0.65</v>
      </c>
      <c r="L20756">
        <v>51157</v>
      </c>
      <c r="M20756" t="s">
        <v>1216</v>
      </c>
      <c r="N20756" t="str">
        <f t="shared" ref="N20756:N20766" si="316">"12318023890 "</f>
        <v xml:space="preserve">12318023890 </v>
      </c>
      <c r="O20756">
        <v>230516</v>
      </c>
    </row>
    <row r="20757" spans="1:15" x14ac:dyDescent="0.25">
      <c r="A20757" t="s">
        <v>16</v>
      </c>
      <c r="B20757" t="s">
        <v>3221</v>
      </c>
      <c r="C20757">
        <v>6644</v>
      </c>
      <c r="D20757" t="s">
        <v>263</v>
      </c>
      <c r="E20757" t="s">
        <v>264</v>
      </c>
      <c r="F20757">
        <v>2.7</v>
      </c>
      <c r="G20757">
        <v>230504</v>
      </c>
      <c r="H20757">
        <v>4362</v>
      </c>
      <c r="I20757" t="s">
        <v>79</v>
      </c>
      <c r="J20757">
        <v>3.35</v>
      </c>
      <c r="K20757">
        <v>0.65</v>
      </c>
      <c r="L20757">
        <v>56526</v>
      </c>
      <c r="M20757" t="s">
        <v>1217</v>
      </c>
      <c r="N20757" t="str">
        <f t="shared" si="316"/>
        <v xml:space="preserve">12318023890 </v>
      </c>
      <c r="O20757">
        <v>230516</v>
      </c>
    </row>
    <row r="20758" spans="1:15" x14ac:dyDescent="0.25">
      <c r="A20758" t="s">
        <v>16</v>
      </c>
      <c r="B20758" t="s">
        <v>3221</v>
      </c>
      <c r="C20758">
        <v>6644</v>
      </c>
      <c r="D20758" t="s">
        <v>263</v>
      </c>
      <c r="E20758" t="s">
        <v>264</v>
      </c>
      <c r="F20758">
        <v>13.5</v>
      </c>
      <c r="G20758">
        <v>230504</v>
      </c>
      <c r="H20758">
        <v>4362</v>
      </c>
      <c r="I20758" t="s">
        <v>79</v>
      </c>
      <c r="J20758">
        <v>16.739999999999998</v>
      </c>
      <c r="K20758">
        <v>3.24</v>
      </c>
      <c r="L20758">
        <v>56558</v>
      </c>
      <c r="M20758" t="s">
        <v>217</v>
      </c>
      <c r="N20758" t="str">
        <f t="shared" si="316"/>
        <v xml:space="preserve">12318023890 </v>
      </c>
      <c r="O20758">
        <v>230516</v>
      </c>
    </row>
    <row r="20759" spans="1:15" x14ac:dyDescent="0.25">
      <c r="A20759" t="s">
        <v>16</v>
      </c>
      <c r="B20759" t="s">
        <v>3221</v>
      </c>
      <c r="C20759">
        <v>6644</v>
      </c>
      <c r="D20759" t="s">
        <v>263</v>
      </c>
      <c r="E20759" t="s">
        <v>264</v>
      </c>
      <c r="F20759">
        <v>28.5</v>
      </c>
      <c r="G20759">
        <v>230504</v>
      </c>
      <c r="H20759">
        <v>4362</v>
      </c>
      <c r="I20759" t="s">
        <v>79</v>
      </c>
      <c r="J20759">
        <v>35.340000000000003</v>
      </c>
      <c r="K20759">
        <v>6.84</v>
      </c>
      <c r="L20759">
        <v>56559</v>
      </c>
      <c r="M20759" t="s">
        <v>129</v>
      </c>
      <c r="N20759" t="str">
        <f t="shared" si="316"/>
        <v xml:space="preserve">12318023890 </v>
      </c>
      <c r="O20759">
        <v>230516</v>
      </c>
    </row>
    <row r="20760" spans="1:15" x14ac:dyDescent="0.25">
      <c r="A20760" t="s">
        <v>16</v>
      </c>
      <c r="B20760" t="s">
        <v>3221</v>
      </c>
      <c r="C20760">
        <v>6644</v>
      </c>
      <c r="D20760" t="s">
        <v>263</v>
      </c>
      <c r="E20760" t="s">
        <v>264</v>
      </c>
      <c r="F20760">
        <v>8.1</v>
      </c>
      <c r="G20760">
        <v>230504</v>
      </c>
      <c r="H20760">
        <v>4362</v>
      </c>
      <c r="I20760" t="s">
        <v>79</v>
      </c>
      <c r="J20760">
        <v>10.039999999999999</v>
      </c>
      <c r="K20760">
        <v>1.94</v>
      </c>
      <c r="L20760">
        <v>56560</v>
      </c>
      <c r="M20760" t="s">
        <v>654</v>
      </c>
      <c r="N20760" t="str">
        <f t="shared" si="316"/>
        <v xml:space="preserve">12318023890 </v>
      </c>
      <c r="O20760">
        <v>230516</v>
      </c>
    </row>
    <row r="20761" spans="1:15" x14ac:dyDescent="0.25">
      <c r="A20761" t="s">
        <v>16</v>
      </c>
      <c r="B20761" t="s">
        <v>3221</v>
      </c>
      <c r="C20761">
        <v>6644</v>
      </c>
      <c r="D20761" t="s">
        <v>263</v>
      </c>
      <c r="E20761" t="s">
        <v>264</v>
      </c>
      <c r="F20761">
        <v>2.7</v>
      </c>
      <c r="G20761">
        <v>230504</v>
      </c>
      <c r="H20761">
        <v>4362</v>
      </c>
      <c r="I20761" t="s">
        <v>79</v>
      </c>
      <c r="J20761">
        <v>3.35</v>
      </c>
      <c r="K20761">
        <v>0.65</v>
      </c>
      <c r="L20761">
        <v>56561</v>
      </c>
      <c r="M20761" t="s">
        <v>358</v>
      </c>
      <c r="N20761" t="str">
        <f t="shared" si="316"/>
        <v xml:space="preserve">12318023890 </v>
      </c>
      <c r="O20761">
        <v>230516</v>
      </c>
    </row>
    <row r="20762" spans="1:15" x14ac:dyDescent="0.25">
      <c r="A20762" t="s">
        <v>16</v>
      </c>
      <c r="B20762" t="s">
        <v>3221</v>
      </c>
      <c r="C20762">
        <v>6644</v>
      </c>
      <c r="D20762" t="s">
        <v>263</v>
      </c>
      <c r="E20762" t="s">
        <v>264</v>
      </c>
      <c r="F20762">
        <v>5.67</v>
      </c>
      <c r="G20762">
        <v>230504</v>
      </c>
      <c r="H20762">
        <v>4362</v>
      </c>
      <c r="I20762" t="s">
        <v>79</v>
      </c>
      <c r="J20762">
        <v>7.03</v>
      </c>
      <c r="K20762">
        <v>1.36</v>
      </c>
      <c r="L20762">
        <v>56562</v>
      </c>
      <c r="M20762" t="s">
        <v>126</v>
      </c>
      <c r="N20762" t="str">
        <f t="shared" si="316"/>
        <v xml:space="preserve">12318023890 </v>
      </c>
      <c r="O20762">
        <v>230516</v>
      </c>
    </row>
    <row r="20763" spans="1:15" x14ac:dyDescent="0.25">
      <c r="A20763" t="s">
        <v>16</v>
      </c>
      <c r="B20763" t="s">
        <v>3221</v>
      </c>
      <c r="C20763">
        <v>6644</v>
      </c>
      <c r="D20763" t="s">
        <v>263</v>
      </c>
      <c r="E20763" t="s">
        <v>264</v>
      </c>
      <c r="F20763">
        <v>7.8</v>
      </c>
      <c r="G20763">
        <v>230504</v>
      </c>
      <c r="H20763">
        <v>4362</v>
      </c>
      <c r="I20763" t="s">
        <v>79</v>
      </c>
      <c r="J20763">
        <v>9.67</v>
      </c>
      <c r="K20763">
        <v>1.87</v>
      </c>
      <c r="L20763">
        <v>56564</v>
      </c>
      <c r="M20763" t="s">
        <v>327</v>
      </c>
      <c r="N20763" t="str">
        <f t="shared" si="316"/>
        <v xml:space="preserve">12318023890 </v>
      </c>
      <c r="O20763">
        <v>230516</v>
      </c>
    </row>
    <row r="20764" spans="1:15" x14ac:dyDescent="0.25">
      <c r="A20764" t="s">
        <v>16</v>
      </c>
      <c r="B20764" t="s">
        <v>3221</v>
      </c>
      <c r="C20764">
        <v>6644</v>
      </c>
      <c r="D20764" t="s">
        <v>263</v>
      </c>
      <c r="E20764" t="s">
        <v>264</v>
      </c>
      <c r="F20764">
        <v>6.77</v>
      </c>
      <c r="G20764">
        <v>230504</v>
      </c>
      <c r="H20764">
        <v>4362</v>
      </c>
      <c r="I20764" t="s">
        <v>79</v>
      </c>
      <c r="J20764">
        <v>8.4</v>
      </c>
      <c r="K20764">
        <v>1.63</v>
      </c>
      <c r="L20764">
        <v>56565</v>
      </c>
      <c r="M20764" t="s">
        <v>758</v>
      </c>
      <c r="N20764" t="str">
        <f t="shared" si="316"/>
        <v xml:space="preserve">12318023890 </v>
      </c>
      <c r="O20764">
        <v>230516</v>
      </c>
    </row>
    <row r="20765" spans="1:15" x14ac:dyDescent="0.25">
      <c r="A20765" t="s">
        <v>16</v>
      </c>
      <c r="B20765" t="s">
        <v>3221</v>
      </c>
      <c r="C20765">
        <v>6644</v>
      </c>
      <c r="D20765" t="s">
        <v>263</v>
      </c>
      <c r="E20765" t="s">
        <v>264</v>
      </c>
      <c r="F20765">
        <v>5.4</v>
      </c>
      <c r="G20765">
        <v>230504</v>
      </c>
      <c r="H20765">
        <v>4362</v>
      </c>
      <c r="I20765" t="s">
        <v>79</v>
      </c>
      <c r="J20765">
        <v>6.7</v>
      </c>
      <c r="K20765">
        <v>1.3</v>
      </c>
      <c r="L20765">
        <v>56566</v>
      </c>
      <c r="M20765" t="s">
        <v>652</v>
      </c>
      <c r="N20765" t="str">
        <f t="shared" si="316"/>
        <v xml:space="preserve">12318023890 </v>
      </c>
      <c r="O20765">
        <v>230516</v>
      </c>
    </row>
    <row r="20766" spans="1:15" x14ac:dyDescent="0.25">
      <c r="A20766" t="s">
        <v>16</v>
      </c>
      <c r="B20766" t="s">
        <v>3221</v>
      </c>
      <c r="C20766">
        <v>6644</v>
      </c>
      <c r="D20766" t="s">
        <v>263</v>
      </c>
      <c r="E20766" t="s">
        <v>264</v>
      </c>
      <c r="F20766">
        <v>2.7</v>
      </c>
      <c r="G20766">
        <v>230504</v>
      </c>
      <c r="H20766">
        <v>4362</v>
      </c>
      <c r="I20766" t="s">
        <v>79</v>
      </c>
      <c r="J20766">
        <v>3.35</v>
      </c>
      <c r="K20766">
        <v>0.65</v>
      </c>
      <c r="L20766">
        <v>56568</v>
      </c>
      <c r="M20766" t="s">
        <v>268</v>
      </c>
      <c r="N20766" t="str">
        <f t="shared" si="316"/>
        <v xml:space="preserve">12318023890 </v>
      </c>
      <c r="O20766">
        <v>230516</v>
      </c>
    </row>
    <row r="20767" spans="1:15" x14ac:dyDescent="0.25">
      <c r="A20767" t="s">
        <v>16</v>
      </c>
      <c r="B20767" t="s">
        <v>3221</v>
      </c>
      <c r="C20767">
        <v>6645</v>
      </c>
      <c r="D20767" t="s">
        <v>263</v>
      </c>
      <c r="E20767" t="s">
        <v>264</v>
      </c>
      <c r="F20767">
        <v>2.5099999999999998</v>
      </c>
      <c r="G20767">
        <v>230504</v>
      </c>
      <c r="H20767">
        <v>4362</v>
      </c>
      <c r="I20767" t="s">
        <v>79</v>
      </c>
      <c r="J20767">
        <v>3.11</v>
      </c>
      <c r="K20767">
        <v>0.6</v>
      </c>
      <c r="L20767">
        <v>53222</v>
      </c>
      <c r="M20767" t="s">
        <v>445</v>
      </c>
      <c r="N20767" t="str">
        <f>"12318023914 "</f>
        <v xml:space="preserve">12318023914 </v>
      </c>
      <c r="O20767">
        <v>230516</v>
      </c>
    </row>
    <row r="20768" spans="1:15" x14ac:dyDescent="0.25">
      <c r="A20768" t="s">
        <v>16</v>
      </c>
      <c r="B20768" t="s">
        <v>3221</v>
      </c>
      <c r="C20768">
        <v>6645</v>
      </c>
      <c r="D20768" t="s">
        <v>263</v>
      </c>
      <c r="E20768" t="s">
        <v>264</v>
      </c>
      <c r="F20768">
        <v>14.22</v>
      </c>
      <c r="G20768">
        <v>230504</v>
      </c>
      <c r="H20768">
        <v>4362</v>
      </c>
      <c r="I20768" t="s">
        <v>79</v>
      </c>
      <c r="J20768">
        <v>17.63</v>
      </c>
      <c r="K20768">
        <v>3.41</v>
      </c>
      <c r="L20768">
        <v>53222</v>
      </c>
      <c r="M20768" t="s">
        <v>445</v>
      </c>
      <c r="N20768" t="str">
        <f>"12318023914 "</f>
        <v xml:space="preserve">12318023914 </v>
      </c>
      <c r="O20768">
        <v>230516</v>
      </c>
    </row>
    <row r="20769" spans="1:15" x14ac:dyDescent="0.25">
      <c r="A20769" t="s">
        <v>16</v>
      </c>
      <c r="B20769" t="s">
        <v>3221</v>
      </c>
      <c r="C20769">
        <v>6645</v>
      </c>
      <c r="D20769" t="s">
        <v>263</v>
      </c>
      <c r="E20769" t="s">
        <v>264</v>
      </c>
      <c r="F20769">
        <v>2.83</v>
      </c>
      <c r="G20769">
        <v>230504</v>
      </c>
      <c r="H20769">
        <v>4362</v>
      </c>
      <c r="I20769" t="s">
        <v>79</v>
      </c>
      <c r="J20769">
        <v>3.51</v>
      </c>
      <c r="K20769">
        <v>0.68</v>
      </c>
      <c r="L20769">
        <v>54622</v>
      </c>
      <c r="M20769" t="s">
        <v>872</v>
      </c>
      <c r="N20769" t="str">
        <f>"12318023914 "</f>
        <v xml:space="preserve">12318023914 </v>
      </c>
      <c r="O20769">
        <v>230516</v>
      </c>
    </row>
    <row r="20770" spans="1:15" x14ac:dyDescent="0.25">
      <c r="A20770" t="s">
        <v>16</v>
      </c>
      <c r="B20770" t="s">
        <v>3221</v>
      </c>
      <c r="C20770">
        <v>6645</v>
      </c>
      <c r="D20770" t="s">
        <v>263</v>
      </c>
      <c r="E20770" t="s">
        <v>264</v>
      </c>
      <c r="F20770">
        <v>7.1</v>
      </c>
      <c r="G20770">
        <v>230504</v>
      </c>
      <c r="H20770">
        <v>4362</v>
      </c>
      <c r="I20770" t="s">
        <v>79</v>
      </c>
      <c r="J20770">
        <v>8.8000000000000007</v>
      </c>
      <c r="K20770">
        <v>1.7</v>
      </c>
      <c r="L20770">
        <v>55222</v>
      </c>
      <c r="M20770" t="s">
        <v>873</v>
      </c>
      <c r="N20770" t="str">
        <f>"12318023914 "</f>
        <v xml:space="preserve">12318023914 </v>
      </c>
      <c r="O20770">
        <v>230516</v>
      </c>
    </row>
    <row r="20771" spans="1:15" x14ac:dyDescent="0.25">
      <c r="A20771" t="s">
        <v>16</v>
      </c>
      <c r="B20771" t="s">
        <v>3221</v>
      </c>
      <c r="C20771">
        <v>6646</v>
      </c>
      <c r="D20771" t="s">
        <v>263</v>
      </c>
      <c r="E20771" t="s">
        <v>264</v>
      </c>
      <c r="F20771">
        <v>3.38</v>
      </c>
      <c r="G20771">
        <v>230504</v>
      </c>
      <c r="H20771">
        <v>4362</v>
      </c>
      <c r="I20771" t="s">
        <v>79</v>
      </c>
      <c r="J20771">
        <v>4.1900000000000004</v>
      </c>
      <c r="K20771">
        <v>0.81</v>
      </c>
      <c r="L20771">
        <v>51138</v>
      </c>
      <c r="M20771" t="s">
        <v>1162</v>
      </c>
      <c r="N20771" t="str">
        <f t="shared" ref="N20771:N20778" si="317">"12318023888 "</f>
        <v xml:space="preserve">12318023888 </v>
      </c>
      <c r="O20771">
        <v>230516</v>
      </c>
    </row>
    <row r="20772" spans="1:15" x14ac:dyDescent="0.25">
      <c r="A20772" t="s">
        <v>16</v>
      </c>
      <c r="B20772" t="s">
        <v>3221</v>
      </c>
      <c r="C20772">
        <v>6646</v>
      </c>
      <c r="D20772" t="s">
        <v>263</v>
      </c>
      <c r="E20772" t="s">
        <v>264</v>
      </c>
      <c r="F20772">
        <v>16.2</v>
      </c>
      <c r="G20772">
        <v>230504</v>
      </c>
      <c r="H20772">
        <v>4362</v>
      </c>
      <c r="I20772" t="s">
        <v>79</v>
      </c>
      <c r="J20772">
        <v>20.09</v>
      </c>
      <c r="K20772">
        <v>3.89</v>
      </c>
      <c r="L20772">
        <v>54222</v>
      </c>
      <c r="M20772" t="s">
        <v>308</v>
      </c>
      <c r="N20772" t="str">
        <f t="shared" si="317"/>
        <v xml:space="preserve">12318023888 </v>
      </c>
      <c r="O20772">
        <v>230516</v>
      </c>
    </row>
    <row r="20773" spans="1:15" x14ac:dyDescent="0.25">
      <c r="A20773" t="s">
        <v>16</v>
      </c>
      <c r="B20773" t="s">
        <v>3221</v>
      </c>
      <c r="C20773">
        <v>6646</v>
      </c>
      <c r="D20773" t="s">
        <v>263</v>
      </c>
      <c r="E20773" t="s">
        <v>264</v>
      </c>
      <c r="F20773">
        <v>2.7</v>
      </c>
      <c r="G20773">
        <v>230504</v>
      </c>
      <c r="H20773">
        <v>4362</v>
      </c>
      <c r="I20773" t="s">
        <v>79</v>
      </c>
      <c r="J20773">
        <v>3.35</v>
      </c>
      <c r="K20773">
        <v>0.65</v>
      </c>
      <c r="L20773">
        <v>54251</v>
      </c>
      <c r="M20773" t="s">
        <v>309</v>
      </c>
      <c r="N20773" t="str">
        <f t="shared" si="317"/>
        <v xml:space="preserve">12318023888 </v>
      </c>
      <c r="O20773">
        <v>230516</v>
      </c>
    </row>
    <row r="20774" spans="1:15" x14ac:dyDescent="0.25">
      <c r="A20774" t="s">
        <v>16</v>
      </c>
      <c r="B20774" t="s">
        <v>3221</v>
      </c>
      <c r="C20774">
        <v>6646</v>
      </c>
      <c r="D20774" t="s">
        <v>263</v>
      </c>
      <c r="E20774" t="s">
        <v>264</v>
      </c>
      <c r="F20774">
        <v>2.7</v>
      </c>
      <c r="G20774">
        <v>230504</v>
      </c>
      <c r="H20774">
        <v>4362</v>
      </c>
      <c r="I20774" t="s">
        <v>79</v>
      </c>
      <c r="J20774">
        <v>3.35</v>
      </c>
      <c r="K20774">
        <v>0.65</v>
      </c>
      <c r="L20774">
        <v>54252</v>
      </c>
      <c r="M20774" t="s">
        <v>534</v>
      </c>
      <c r="N20774" t="str">
        <f t="shared" si="317"/>
        <v xml:space="preserve">12318023888 </v>
      </c>
      <c r="O20774">
        <v>230516</v>
      </c>
    </row>
    <row r="20775" spans="1:15" x14ac:dyDescent="0.25">
      <c r="A20775" t="s">
        <v>16</v>
      </c>
      <c r="B20775" t="s">
        <v>3221</v>
      </c>
      <c r="C20775">
        <v>6646</v>
      </c>
      <c r="D20775" t="s">
        <v>263</v>
      </c>
      <c r="E20775" t="s">
        <v>264</v>
      </c>
      <c r="F20775">
        <v>11.67</v>
      </c>
      <c r="G20775">
        <v>230504</v>
      </c>
      <c r="H20775">
        <v>4362</v>
      </c>
      <c r="I20775" t="s">
        <v>79</v>
      </c>
      <c r="J20775">
        <v>14.47</v>
      </c>
      <c r="K20775">
        <v>2.8</v>
      </c>
      <c r="L20775">
        <v>54422</v>
      </c>
      <c r="M20775" t="s">
        <v>234</v>
      </c>
      <c r="N20775" t="str">
        <f t="shared" si="317"/>
        <v xml:space="preserve">12318023888 </v>
      </c>
      <c r="O20775">
        <v>230516</v>
      </c>
    </row>
    <row r="20776" spans="1:15" x14ac:dyDescent="0.25">
      <c r="A20776" t="s">
        <v>16</v>
      </c>
      <c r="B20776" t="s">
        <v>3221</v>
      </c>
      <c r="C20776">
        <v>6646</v>
      </c>
      <c r="D20776" t="s">
        <v>263</v>
      </c>
      <c r="E20776" t="s">
        <v>264</v>
      </c>
      <c r="F20776">
        <v>5.4</v>
      </c>
      <c r="G20776">
        <v>230504</v>
      </c>
      <c r="H20776">
        <v>4362</v>
      </c>
      <c r="I20776" t="s">
        <v>79</v>
      </c>
      <c r="J20776">
        <v>6.7</v>
      </c>
      <c r="K20776">
        <v>1.3</v>
      </c>
      <c r="L20776">
        <v>54451</v>
      </c>
      <c r="M20776" t="s">
        <v>158</v>
      </c>
      <c r="N20776" t="str">
        <f t="shared" si="317"/>
        <v xml:space="preserve">12318023888 </v>
      </c>
      <c r="O20776">
        <v>230516</v>
      </c>
    </row>
    <row r="20777" spans="1:15" x14ac:dyDescent="0.25">
      <c r="A20777" t="s">
        <v>16</v>
      </c>
      <c r="B20777" t="s">
        <v>3221</v>
      </c>
      <c r="C20777">
        <v>6646</v>
      </c>
      <c r="D20777" t="s">
        <v>263</v>
      </c>
      <c r="E20777" t="s">
        <v>264</v>
      </c>
      <c r="F20777">
        <v>5.4</v>
      </c>
      <c r="G20777">
        <v>230504</v>
      </c>
      <c r="H20777">
        <v>4362</v>
      </c>
      <c r="I20777" t="s">
        <v>79</v>
      </c>
      <c r="J20777">
        <v>6.7</v>
      </c>
      <c r="K20777">
        <v>1.3</v>
      </c>
      <c r="L20777">
        <v>56563</v>
      </c>
      <c r="M20777" t="s">
        <v>953</v>
      </c>
      <c r="N20777" t="str">
        <f t="shared" si="317"/>
        <v xml:space="preserve">12318023888 </v>
      </c>
      <c r="O20777">
        <v>230516</v>
      </c>
    </row>
    <row r="20778" spans="1:15" x14ac:dyDescent="0.25">
      <c r="A20778" t="s">
        <v>16</v>
      </c>
      <c r="B20778" t="s">
        <v>3221</v>
      </c>
      <c r="C20778">
        <v>6646</v>
      </c>
      <c r="D20778" t="s">
        <v>263</v>
      </c>
      <c r="E20778" t="s">
        <v>264</v>
      </c>
      <c r="F20778">
        <v>2.7</v>
      </c>
      <c r="G20778">
        <v>230504</v>
      </c>
      <c r="H20778">
        <v>4362</v>
      </c>
      <c r="I20778" t="s">
        <v>79</v>
      </c>
      <c r="J20778">
        <v>3.35</v>
      </c>
      <c r="K20778">
        <v>0.65</v>
      </c>
      <c r="L20778">
        <v>58601</v>
      </c>
      <c r="M20778" t="s">
        <v>251</v>
      </c>
      <c r="N20778" t="str">
        <f t="shared" si="317"/>
        <v xml:space="preserve">12318023888 </v>
      </c>
      <c r="O20778">
        <v>230516</v>
      </c>
    </row>
    <row r="20779" spans="1:15" x14ac:dyDescent="0.25">
      <c r="A20779" t="s">
        <v>16</v>
      </c>
      <c r="B20779" t="s">
        <v>3221</v>
      </c>
      <c r="C20779">
        <v>6648</v>
      </c>
      <c r="D20779" t="s">
        <v>263</v>
      </c>
      <c r="E20779" t="s">
        <v>264</v>
      </c>
      <c r="F20779">
        <v>2.7</v>
      </c>
      <c r="G20779">
        <v>230504</v>
      </c>
      <c r="H20779">
        <v>4362</v>
      </c>
      <c r="I20779" t="s">
        <v>79</v>
      </c>
      <c r="J20779">
        <v>3.35</v>
      </c>
      <c r="K20779">
        <v>0.65</v>
      </c>
      <c r="L20779">
        <v>56522</v>
      </c>
      <c r="M20779" t="s">
        <v>43</v>
      </c>
      <c r="N20779" t="str">
        <f>"12318023885 "</f>
        <v xml:space="preserve">12318023885 </v>
      </c>
      <c r="O20779">
        <v>230516</v>
      </c>
    </row>
    <row r="20780" spans="1:15" x14ac:dyDescent="0.25">
      <c r="A20780" t="s">
        <v>16</v>
      </c>
      <c r="B20780" t="s">
        <v>3221</v>
      </c>
      <c r="C20780">
        <v>6648</v>
      </c>
      <c r="D20780" t="s">
        <v>263</v>
      </c>
      <c r="E20780" t="s">
        <v>264</v>
      </c>
      <c r="F20780">
        <v>10.5</v>
      </c>
      <c r="G20780">
        <v>230504</v>
      </c>
      <c r="H20780">
        <v>4362</v>
      </c>
      <c r="I20780" t="s">
        <v>79</v>
      </c>
      <c r="J20780">
        <v>13.02</v>
      </c>
      <c r="K20780">
        <v>2.52</v>
      </c>
      <c r="L20780">
        <v>56524</v>
      </c>
      <c r="M20780" t="s">
        <v>150</v>
      </c>
      <c r="N20780" t="str">
        <f>"12318023885 "</f>
        <v xml:space="preserve">12318023885 </v>
      </c>
      <c r="O20780">
        <v>230516</v>
      </c>
    </row>
    <row r="20781" spans="1:15" x14ac:dyDescent="0.25">
      <c r="A20781" t="s">
        <v>16</v>
      </c>
      <c r="B20781" t="s">
        <v>3221</v>
      </c>
      <c r="C20781">
        <v>6648</v>
      </c>
      <c r="D20781" t="s">
        <v>263</v>
      </c>
      <c r="E20781" t="s">
        <v>264</v>
      </c>
      <c r="F20781">
        <v>11.06</v>
      </c>
      <c r="G20781">
        <v>230504</v>
      </c>
      <c r="H20781">
        <v>4362</v>
      </c>
      <c r="I20781" t="s">
        <v>79</v>
      </c>
      <c r="J20781">
        <v>13.71</v>
      </c>
      <c r="K20781">
        <v>2.65</v>
      </c>
      <c r="L20781">
        <v>56528</v>
      </c>
      <c r="M20781" t="s">
        <v>153</v>
      </c>
      <c r="N20781" t="str">
        <f>"12318023885 "</f>
        <v xml:space="preserve">12318023885 </v>
      </c>
      <c r="O20781">
        <v>230516</v>
      </c>
    </row>
    <row r="20782" spans="1:15" x14ac:dyDescent="0.25">
      <c r="A20782" t="s">
        <v>16</v>
      </c>
      <c r="B20782" t="s">
        <v>3221</v>
      </c>
      <c r="C20782">
        <v>6699</v>
      </c>
      <c r="D20782" t="s">
        <v>263</v>
      </c>
      <c r="E20782" t="s">
        <v>264</v>
      </c>
      <c r="F20782">
        <v>5.4</v>
      </c>
      <c r="G20782">
        <v>230504</v>
      </c>
      <c r="H20782">
        <v>4362</v>
      </c>
      <c r="I20782" t="s">
        <v>79</v>
      </c>
      <c r="J20782">
        <v>6.7</v>
      </c>
      <c r="K20782">
        <v>1.3</v>
      </c>
      <c r="L20782">
        <v>43222</v>
      </c>
      <c r="M20782" t="s">
        <v>507</v>
      </c>
      <c r="N20782" t="str">
        <f t="shared" ref="N20782:N20787" si="318">"12318023897 "</f>
        <v xml:space="preserve">12318023897 </v>
      </c>
      <c r="O20782">
        <v>230517</v>
      </c>
    </row>
    <row r="20783" spans="1:15" x14ac:dyDescent="0.25">
      <c r="A20783" t="s">
        <v>16</v>
      </c>
      <c r="B20783" t="s">
        <v>3221</v>
      </c>
      <c r="C20783">
        <v>6699</v>
      </c>
      <c r="D20783" t="s">
        <v>263</v>
      </c>
      <c r="E20783" t="s">
        <v>264</v>
      </c>
      <c r="F20783">
        <v>9.76</v>
      </c>
      <c r="G20783">
        <v>230504</v>
      </c>
      <c r="H20783">
        <v>4362</v>
      </c>
      <c r="I20783" t="s">
        <v>79</v>
      </c>
      <c r="J20783">
        <v>12.1</v>
      </c>
      <c r="K20783">
        <v>2.34</v>
      </c>
      <c r="L20783">
        <v>44422</v>
      </c>
      <c r="M20783" t="s">
        <v>482</v>
      </c>
      <c r="N20783" t="str">
        <f t="shared" si="318"/>
        <v xml:space="preserve">12318023897 </v>
      </c>
      <c r="O20783">
        <v>230517</v>
      </c>
    </row>
    <row r="20784" spans="1:15" x14ac:dyDescent="0.25">
      <c r="A20784" t="s">
        <v>16</v>
      </c>
      <c r="B20784" t="s">
        <v>3221</v>
      </c>
      <c r="C20784">
        <v>6699</v>
      </c>
      <c r="D20784" t="s">
        <v>263</v>
      </c>
      <c r="E20784" t="s">
        <v>264</v>
      </c>
      <c r="F20784">
        <v>13.31</v>
      </c>
      <c r="G20784">
        <v>230504</v>
      </c>
      <c r="H20784">
        <v>4362</v>
      </c>
      <c r="I20784" t="s">
        <v>79</v>
      </c>
      <c r="J20784">
        <v>16.5</v>
      </c>
      <c r="K20784">
        <v>3.19</v>
      </c>
      <c r="L20784">
        <v>44423</v>
      </c>
      <c r="M20784" t="s">
        <v>502</v>
      </c>
      <c r="N20784" t="str">
        <f t="shared" si="318"/>
        <v xml:space="preserve">12318023897 </v>
      </c>
      <c r="O20784">
        <v>230517</v>
      </c>
    </row>
    <row r="20785" spans="1:15" x14ac:dyDescent="0.25">
      <c r="A20785" t="s">
        <v>16</v>
      </c>
      <c r="B20785" t="s">
        <v>3221</v>
      </c>
      <c r="C20785">
        <v>6699</v>
      </c>
      <c r="D20785" t="s">
        <v>263</v>
      </c>
      <c r="E20785" t="s">
        <v>264</v>
      </c>
      <c r="F20785">
        <v>2.71</v>
      </c>
      <c r="G20785">
        <v>230504</v>
      </c>
      <c r="H20785">
        <v>4362</v>
      </c>
      <c r="I20785" t="s">
        <v>79</v>
      </c>
      <c r="J20785">
        <v>3.36</v>
      </c>
      <c r="K20785">
        <v>0.65</v>
      </c>
      <c r="L20785">
        <v>44453</v>
      </c>
      <c r="M20785" t="s">
        <v>492</v>
      </c>
      <c r="N20785" t="str">
        <f t="shared" si="318"/>
        <v xml:space="preserve">12318023897 </v>
      </c>
      <c r="O20785">
        <v>230517</v>
      </c>
    </row>
    <row r="20786" spans="1:15" x14ac:dyDescent="0.25">
      <c r="A20786" t="s">
        <v>16</v>
      </c>
      <c r="B20786" t="s">
        <v>3221</v>
      </c>
      <c r="C20786">
        <v>6699</v>
      </c>
      <c r="D20786" t="s">
        <v>263</v>
      </c>
      <c r="E20786" t="s">
        <v>264</v>
      </c>
      <c r="F20786">
        <v>2.7</v>
      </c>
      <c r="G20786">
        <v>230504</v>
      </c>
      <c r="H20786">
        <v>4362</v>
      </c>
      <c r="I20786" t="s">
        <v>79</v>
      </c>
      <c r="J20786">
        <v>3.35</v>
      </c>
      <c r="K20786">
        <v>0.65</v>
      </c>
      <c r="L20786">
        <v>48601</v>
      </c>
      <c r="M20786" t="s">
        <v>1047</v>
      </c>
      <c r="N20786" t="str">
        <f t="shared" si="318"/>
        <v xml:space="preserve">12318023897 </v>
      </c>
      <c r="O20786">
        <v>230517</v>
      </c>
    </row>
    <row r="20787" spans="1:15" x14ac:dyDescent="0.25">
      <c r="A20787" t="s">
        <v>16</v>
      </c>
      <c r="B20787" t="s">
        <v>3221</v>
      </c>
      <c r="C20787">
        <v>6699</v>
      </c>
      <c r="D20787" t="s">
        <v>263</v>
      </c>
      <c r="E20787" t="s">
        <v>264</v>
      </c>
      <c r="F20787">
        <v>37.24</v>
      </c>
      <c r="G20787">
        <v>230504</v>
      </c>
      <c r="H20787">
        <v>4362</v>
      </c>
      <c r="I20787" t="s">
        <v>79</v>
      </c>
      <c r="J20787">
        <v>37.24</v>
      </c>
      <c r="K20787">
        <v>0</v>
      </c>
      <c r="L20787">
        <v>49702</v>
      </c>
      <c r="M20787" t="s">
        <v>584</v>
      </c>
      <c r="N20787" t="str">
        <f t="shared" si="318"/>
        <v xml:space="preserve">12318023897 </v>
      </c>
      <c r="O20787">
        <v>230517</v>
      </c>
    </row>
    <row r="20788" spans="1:15" x14ac:dyDescent="0.25">
      <c r="A20788" t="s">
        <v>16</v>
      </c>
      <c r="B20788" t="s">
        <v>3221</v>
      </c>
      <c r="C20788">
        <v>6700</v>
      </c>
      <c r="D20788" t="s">
        <v>263</v>
      </c>
      <c r="E20788" t="s">
        <v>264</v>
      </c>
      <c r="F20788">
        <v>2.7</v>
      </c>
      <c r="G20788">
        <v>230504</v>
      </c>
      <c r="H20788">
        <v>4362</v>
      </c>
      <c r="I20788" t="s">
        <v>79</v>
      </c>
      <c r="J20788">
        <v>3.35</v>
      </c>
      <c r="K20788">
        <v>0.65</v>
      </c>
      <c r="L20788">
        <v>54451</v>
      </c>
      <c r="M20788" t="s">
        <v>158</v>
      </c>
      <c r="N20788" t="str">
        <f t="shared" ref="N20788:N20804" si="319">"12318023884 "</f>
        <v xml:space="preserve">12318023884 </v>
      </c>
      <c r="O20788">
        <v>230517</v>
      </c>
    </row>
    <row r="20789" spans="1:15" x14ac:dyDescent="0.25">
      <c r="A20789" t="s">
        <v>16</v>
      </c>
      <c r="B20789" t="s">
        <v>3221</v>
      </c>
      <c r="C20789">
        <v>6700</v>
      </c>
      <c r="D20789" t="s">
        <v>263</v>
      </c>
      <c r="E20789" t="s">
        <v>264</v>
      </c>
      <c r="F20789">
        <v>10.6</v>
      </c>
      <c r="G20789">
        <v>230504</v>
      </c>
      <c r="H20789">
        <v>4362</v>
      </c>
      <c r="I20789" t="s">
        <v>79</v>
      </c>
      <c r="J20789">
        <v>13.14</v>
      </c>
      <c r="K20789">
        <v>2.54</v>
      </c>
      <c r="L20789">
        <v>59111</v>
      </c>
      <c r="M20789" t="s">
        <v>1010</v>
      </c>
      <c r="N20789" t="str">
        <f t="shared" si="319"/>
        <v xml:space="preserve">12318023884 </v>
      </c>
      <c r="O20789">
        <v>230517</v>
      </c>
    </row>
    <row r="20790" spans="1:15" x14ac:dyDescent="0.25">
      <c r="A20790" t="s">
        <v>16</v>
      </c>
      <c r="B20790" t="s">
        <v>3221</v>
      </c>
      <c r="C20790">
        <v>6700</v>
      </c>
      <c r="D20790" t="s">
        <v>263</v>
      </c>
      <c r="E20790" t="s">
        <v>264</v>
      </c>
      <c r="F20790">
        <v>2.7</v>
      </c>
      <c r="G20790">
        <v>230504</v>
      </c>
      <c r="H20790">
        <v>4362</v>
      </c>
      <c r="I20790" t="s">
        <v>79</v>
      </c>
      <c r="J20790">
        <v>3.35</v>
      </c>
      <c r="K20790">
        <v>0.65</v>
      </c>
      <c r="L20790">
        <v>59112</v>
      </c>
      <c r="M20790" t="s">
        <v>182</v>
      </c>
      <c r="N20790" t="str">
        <f t="shared" si="319"/>
        <v xml:space="preserve">12318023884 </v>
      </c>
      <c r="O20790">
        <v>230517</v>
      </c>
    </row>
    <row r="20791" spans="1:15" x14ac:dyDescent="0.25">
      <c r="A20791" t="s">
        <v>16</v>
      </c>
      <c r="B20791" t="s">
        <v>3221</v>
      </c>
      <c r="C20791">
        <v>6700</v>
      </c>
      <c r="D20791" t="s">
        <v>263</v>
      </c>
      <c r="E20791" t="s">
        <v>264</v>
      </c>
      <c r="F20791">
        <v>5.74</v>
      </c>
      <c r="G20791">
        <v>230504</v>
      </c>
      <c r="H20791">
        <v>4362</v>
      </c>
      <c r="I20791" t="s">
        <v>79</v>
      </c>
      <c r="J20791">
        <v>7.12</v>
      </c>
      <c r="K20791">
        <v>1.38</v>
      </c>
      <c r="L20791">
        <v>59113</v>
      </c>
      <c r="M20791" t="s">
        <v>235</v>
      </c>
      <c r="N20791" t="str">
        <f t="shared" si="319"/>
        <v xml:space="preserve">12318023884 </v>
      </c>
      <c r="O20791">
        <v>230517</v>
      </c>
    </row>
    <row r="20792" spans="1:15" x14ac:dyDescent="0.25">
      <c r="A20792" t="s">
        <v>16</v>
      </c>
      <c r="B20792" t="s">
        <v>3221</v>
      </c>
      <c r="C20792">
        <v>6700</v>
      </c>
      <c r="D20792" t="s">
        <v>263</v>
      </c>
      <c r="E20792" t="s">
        <v>264</v>
      </c>
      <c r="F20792">
        <v>8.1</v>
      </c>
      <c r="G20792">
        <v>230504</v>
      </c>
      <c r="H20792">
        <v>4362</v>
      </c>
      <c r="I20792" t="s">
        <v>79</v>
      </c>
      <c r="J20792">
        <v>10.039999999999999</v>
      </c>
      <c r="K20792">
        <v>1.94</v>
      </c>
      <c r="L20792">
        <v>59114</v>
      </c>
      <c r="M20792" t="s">
        <v>556</v>
      </c>
      <c r="N20792" t="str">
        <f t="shared" si="319"/>
        <v xml:space="preserve">12318023884 </v>
      </c>
      <c r="O20792">
        <v>230517</v>
      </c>
    </row>
    <row r="20793" spans="1:15" x14ac:dyDescent="0.25">
      <c r="A20793" t="s">
        <v>16</v>
      </c>
      <c r="B20793" t="s">
        <v>3221</v>
      </c>
      <c r="C20793">
        <v>6700</v>
      </c>
      <c r="D20793" t="s">
        <v>263</v>
      </c>
      <c r="E20793" t="s">
        <v>264</v>
      </c>
      <c r="F20793">
        <v>4.03</v>
      </c>
      <c r="G20793">
        <v>230504</v>
      </c>
      <c r="H20793">
        <v>4362</v>
      </c>
      <c r="I20793" t="s">
        <v>79</v>
      </c>
      <c r="J20793">
        <v>4.03</v>
      </c>
      <c r="K20793">
        <v>0</v>
      </c>
      <c r="L20793">
        <v>59501</v>
      </c>
      <c r="M20793" t="s">
        <v>69</v>
      </c>
      <c r="N20793" t="str">
        <f t="shared" si="319"/>
        <v xml:space="preserve">12318023884 </v>
      </c>
      <c r="O20793">
        <v>230517</v>
      </c>
    </row>
    <row r="20794" spans="1:15" x14ac:dyDescent="0.25">
      <c r="A20794" t="s">
        <v>16</v>
      </c>
      <c r="B20794" t="s">
        <v>3221</v>
      </c>
      <c r="C20794">
        <v>6700</v>
      </c>
      <c r="D20794" t="s">
        <v>263</v>
      </c>
      <c r="E20794" t="s">
        <v>264</v>
      </c>
      <c r="F20794">
        <v>30.1</v>
      </c>
      <c r="G20794">
        <v>230504</v>
      </c>
      <c r="H20794">
        <v>4362</v>
      </c>
      <c r="I20794" t="s">
        <v>79</v>
      </c>
      <c r="J20794">
        <v>37.32</v>
      </c>
      <c r="K20794">
        <v>7.22</v>
      </c>
      <c r="L20794">
        <v>59501</v>
      </c>
      <c r="M20794" t="s">
        <v>69</v>
      </c>
      <c r="N20794" t="str">
        <f t="shared" si="319"/>
        <v xml:space="preserve">12318023884 </v>
      </c>
      <c r="O20794">
        <v>230517</v>
      </c>
    </row>
    <row r="20795" spans="1:15" x14ac:dyDescent="0.25">
      <c r="A20795" t="s">
        <v>16</v>
      </c>
      <c r="B20795" t="s">
        <v>3221</v>
      </c>
      <c r="C20795">
        <v>6700</v>
      </c>
      <c r="D20795" t="s">
        <v>263</v>
      </c>
      <c r="E20795" t="s">
        <v>264</v>
      </c>
      <c r="F20795">
        <v>31.9</v>
      </c>
      <c r="G20795">
        <v>230504</v>
      </c>
      <c r="H20795">
        <v>4362</v>
      </c>
      <c r="I20795" t="s">
        <v>79</v>
      </c>
      <c r="J20795">
        <v>39.56</v>
      </c>
      <c r="K20795">
        <v>7.66</v>
      </c>
      <c r="L20795">
        <v>59502</v>
      </c>
      <c r="M20795" t="s">
        <v>70</v>
      </c>
      <c r="N20795" t="str">
        <f t="shared" si="319"/>
        <v xml:space="preserve">12318023884 </v>
      </c>
      <c r="O20795">
        <v>230517</v>
      </c>
    </row>
    <row r="20796" spans="1:15" x14ac:dyDescent="0.25">
      <c r="A20796" t="s">
        <v>16</v>
      </c>
      <c r="B20796" t="s">
        <v>3221</v>
      </c>
      <c r="C20796">
        <v>6700</v>
      </c>
      <c r="D20796" t="s">
        <v>263</v>
      </c>
      <c r="E20796" t="s">
        <v>264</v>
      </c>
      <c r="F20796">
        <v>14.29</v>
      </c>
      <c r="G20796">
        <v>230504</v>
      </c>
      <c r="H20796">
        <v>4362</v>
      </c>
      <c r="I20796" t="s">
        <v>79</v>
      </c>
      <c r="J20796">
        <v>17.72</v>
      </c>
      <c r="K20796">
        <v>3.43</v>
      </c>
      <c r="L20796">
        <v>59504</v>
      </c>
      <c r="M20796" t="s">
        <v>71</v>
      </c>
      <c r="N20796" t="str">
        <f t="shared" si="319"/>
        <v xml:space="preserve">12318023884 </v>
      </c>
      <c r="O20796">
        <v>230517</v>
      </c>
    </row>
    <row r="20797" spans="1:15" x14ac:dyDescent="0.25">
      <c r="A20797" t="s">
        <v>16</v>
      </c>
      <c r="B20797" t="s">
        <v>3221</v>
      </c>
      <c r="C20797">
        <v>6700</v>
      </c>
      <c r="D20797" t="s">
        <v>263</v>
      </c>
      <c r="E20797" t="s">
        <v>264</v>
      </c>
      <c r="F20797">
        <v>5.4</v>
      </c>
      <c r="G20797">
        <v>230504</v>
      </c>
      <c r="H20797">
        <v>4362</v>
      </c>
      <c r="I20797" t="s">
        <v>79</v>
      </c>
      <c r="J20797">
        <v>6.7</v>
      </c>
      <c r="K20797">
        <v>1.3</v>
      </c>
      <c r="L20797">
        <v>59505</v>
      </c>
      <c r="M20797" t="s">
        <v>72</v>
      </c>
      <c r="N20797" t="str">
        <f t="shared" si="319"/>
        <v xml:space="preserve">12318023884 </v>
      </c>
      <c r="O20797">
        <v>230517</v>
      </c>
    </row>
    <row r="20798" spans="1:15" x14ac:dyDescent="0.25">
      <c r="A20798" t="s">
        <v>16</v>
      </c>
      <c r="B20798" t="s">
        <v>3221</v>
      </c>
      <c r="C20798">
        <v>6700</v>
      </c>
      <c r="D20798" t="s">
        <v>263</v>
      </c>
      <c r="E20798" t="s">
        <v>264</v>
      </c>
      <c r="F20798">
        <v>11.54</v>
      </c>
      <c r="G20798">
        <v>230504</v>
      </c>
      <c r="H20798">
        <v>4362</v>
      </c>
      <c r="I20798" t="s">
        <v>79</v>
      </c>
      <c r="J20798">
        <v>14.31</v>
      </c>
      <c r="K20798">
        <v>2.77</v>
      </c>
      <c r="L20798">
        <v>59701</v>
      </c>
      <c r="M20798" t="s">
        <v>297</v>
      </c>
      <c r="N20798" t="str">
        <f t="shared" si="319"/>
        <v xml:space="preserve">12318023884 </v>
      </c>
      <c r="O20798">
        <v>230517</v>
      </c>
    </row>
    <row r="20799" spans="1:15" x14ac:dyDescent="0.25">
      <c r="A20799" t="s">
        <v>16</v>
      </c>
      <c r="B20799" t="s">
        <v>3221</v>
      </c>
      <c r="C20799">
        <v>6700</v>
      </c>
      <c r="D20799" t="s">
        <v>263</v>
      </c>
      <c r="E20799" t="s">
        <v>264</v>
      </c>
      <c r="F20799">
        <v>2.7</v>
      </c>
      <c r="G20799">
        <v>230504</v>
      </c>
      <c r="H20799">
        <v>4362</v>
      </c>
      <c r="I20799" t="s">
        <v>79</v>
      </c>
      <c r="J20799">
        <v>3.35</v>
      </c>
      <c r="K20799">
        <v>0.65</v>
      </c>
      <c r="L20799">
        <v>59702</v>
      </c>
      <c r="M20799" t="s">
        <v>328</v>
      </c>
      <c r="N20799" t="str">
        <f t="shared" si="319"/>
        <v xml:space="preserve">12318023884 </v>
      </c>
      <c r="O20799">
        <v>230517</v>
      </c>
    </row>
    <row r="20800" spans="1:15" x14ac:dyDescent="0.25">
      <c r="A20800" t="s">
        <v>16</v>
      </c>
      <c r="B20800" t="s">
        <v>3221</v>
      </c>
      <c r="C20800">
        <v>6700</v>
      </c>
      <c r="D20800" t="s">
        <v>263</v>
      </c>
      <c r="E20800" t="s">
        <v>264</v>
      </c>
      <c r="F20800">
        <v>5.38</v>
      </c>
      <c r="G20800">
        <v>230504</v>
      </c>
      <c r="H20800">
        <v>4362</v>
      </c>
      <c r="I20800" t="s">
        <v>79</v>
      </c>
      <c r="J20800">
        <v>6.67</v>
      </c>
      <c r="K20800">
        <v>1.29</v>
      </c>
      <c r="L20800">
        <v>59704</v>
      </c>
      <c r="M20800" t="s">
        <v>1103</v>
      </c>
      <c r="N20800" t="str">
        <f t="shared" si="319"/>
        <v xml:space="preserve">12318023884 </v>
      </c>
      <c r="O20800">
        <v>230517</v>
      </c>
    </row>
    <row r="20801" spans="1:15" x14ac:dyDescent="0.25">
      <c r="A20801" t="s">
        <v>16</v>
      </c>
      <c r="B20801" t="s">
        <v>3221</v>
      </c>
      <c r="C20801">
        <v>6700</v>
      </c>
      <c r="D20801" t="s">
        <v>263</v>
      </c>
      <c r="E20801" t="s">
        <v>264</v>
      </c>
      <c r="F20801">
        <v>5.4</v>
      </c>
      <c r="G20801">
        <v>230504</v>
      </c>
      <c r="H20801">
        <v>4362</v>
      </c>
      <c r="I20801" t="s">
        <v>79</v>
      </c>
      <c r="J20801">
        <v>6.7</v>
      </c>
      <c r="K20801">
        <v>1.3</v>
      </c>
      <c r="L20801">
        <v>59705</v>
      </c>
      <c r="M20801" t="s">
        <v>843</v>
      </c>
      <c r="N20801" t="str">
        <f t="shared" si="319"/>
        <v xml:space="preserve">12318023884 </v>
      </c>
      <c r="O20801">
        <v>230517</v>
      </c>
    </row>
    <row r="20802" spans="1:15" x14ac:dyDescent="0.25">
      <c r="A20802" t="s">
        <v>16</v>
      </c>
      <c r="B20802" t="s">
        <v>3221</v>
      </c>
      <c r="C20802">
        <v>6700</v>
      </c>
      <c r="D20802" t="s">
        <v>263</v>
      </c>
      <c r="E20802" t="s">
        <v>264</v>
      </c>
      <c r="F20802">
        <v>16.440000000000001</v>
      </c>
      <c r="G20802">
        <v>230504</v>
      </c>
      <c r="H20802">
        <v>4362</v>
      </c>
      <c r="I20802" t="s">
        <v>79</v>
      </c>
      <c r="J20802">
        <v>20.39</v>
      </c>
      <c r="K20802">
        <v>3.95</v>
      </c>
      <c r="L20802">
        <v>59802</v>
      </c>
      <c r="M20802" t="s">
        <v>73</v>
      </c>
      <c r="N20802" t="str">
        <f t="shared" si="319"/>
        <v xml:space="preserve">12318023884 </v>
      </c>
      <c r="O20802">
        <v>230517</v>
      </c>
    </row>
    <row r="20803" spans="1:15" x14ac:dyDescent="0.25">
      <c r="A20803" t="s">
        <v>16</v>
      </c>
      <c r="B20803" t="s">
        <v>3221</v>
      </c>
      <c r="C20803">
        <v>6700</v>
      </c>
      <c r="D20803" t="s">
        <v>263</v>
      </c>
      <c r="E20803" t="s">
        <v>264</v>
      </c>
      <c r="F20803">
        <v>11.45</v>
      </c>
      <c r="G20803">
        <v>230504</v>
      </c>
      <c r="H20803">
        <v>4362</v>
      </c>
      <c r="I20803" t="s">
        <v>79</v>
      </c>
      <c r="J20803">
        <v>14.2</v>
      </c>
      <c r="K20803">
        <v>2.75</v>
      </c>
      <c r="L20803">
        <v>59812</v>
      </c>
      <c r="M20803" t="s">
        <v>74</v>
      </c>
      <c r="N20803" t="str">
        <f t="shared" si="319"/>
        <v xml:space="preserve">12318023884 </v>
      </c>
      <c r="O20803">
        <v>230517</v>
      </c>
    </row>
    <row r="20804" spans="1:15" x14ac:dyDescent="0.25">
      <c r="A20804" t="s">
        <v>16</v>
      </c>
      <c r="B20804" t="s">
        <v>3221</v>
      </c>
      <c r="C20804">
        <v>6700</v>
      </c>
      <c r="D20804" t="s">
        <v>263</v>
      </c>
      <c r="E20804" t="s">
        <v>264</v>
      </c>
      <c r="F20804">
        <v>8.4499999999999993</v>
      </c>
      <c r="G20804">
        <v>230504</v>
      </c>
      <c r="H20804">
        <v>4362</v>
      </c>
      <c r="I20804" t="s">
        <v>79</v>
      </c>
      <c r="J20804">
        <v>10.48</v>
      </c>
      <c r="K20804">
        <v>2.0299999999999998</v>
      </c>
      <c r="L20804">
        <v>59815</v>
      </c>
      <c r="M20804" t="s">
        <v>1182</v>
      </c>
      <c r="N20804" t="str">
        <f t="shared" si="319"/>
        <v xml:space="preserve">12318023884 </v>
      </c>
      <c r="O20804">
        <v>230517</v>
      </c>
    </row>
    <row r="20805" spans="1:15" x14ac:dyDescent="0.25">
      <c r="A20805" t="s">
        <v>16</v>
      </c>
      <c r="B20805" t="s">
        <v>3221</v>
      </c>
      <c r="C20805">
        <v>6704</v>
      </c>
      <c r="D20805" t="s">
        <v>263</v>
      </c>
      <c r="E20805" t="s">
        <v>264</v>
      </c>
      <c r="F20805">
        <v>2.7</v>
      </c>
      <c r="G20805">
        <v>230504</v>
      </c>
      <c r="H20805">
        <v>4362</v>
      </c>
      <c r="I20805" t="s">
        <v>79</v>
      </c>
      <c r="J20805">
        <v>3.35</v>
      </c>
      <c r="K20805">
        <v>0.65</v>
      </c>
      <c r="L20805">
        <v>11001</v>
      </c>
      <c r="M20805" t="s">
        <v>326</v>
      </c>
      <c r="N20805" t="str">
        <f t="shared" ref="N20805:N20810" si="320">"12318023882 "</f>
        <v xml:space="preserve">12318023882 </v>
      </c>
      <c r="O20805">
        <v>230517</v>
      </c>
    </row>
    <row r="20806" spans="1:15" x14ac:dyDescent="0.25">
      <c r="A20806" t="s">
        <v>16</v>
      </c>
      <c r="B20806" t="s">
        <v>3221</v>
      </c>
      <c r="C20806">
        <v>6704</v>
      </c>
      <c r="D20806" t="s">
        <v>263</v>
      </c>
      <c r="E20806" t="s">
        <v>264</v>
      </c>
      <c r="F20806">
        <v>82.99</v>
      </c>
      <c r="G20806">
        <v>230504</v>
      </c>
      <c r="H20806">
        <v>4362</v>
      </c>
      <c r="I20806" t="s">
        <v>79</v>
      </c>
      <c r="J20806">
        <v>82.99</v>
      </c>
      <c r="K20806">
        <v>0</v>
      </c>
      <c r="L20806">
        <v>11001</v>
      </c>
      <c r="M20806" t="s">
        <v>326</v>
      </c>
      <c r="N20806" t="str">
        <f t="shared" si="320"/>
        <v xml:space="preserve">12318023882 </v>
      </c>
      <c r="O20806">
        <v>230517</v>
      </c>
    </row>
    <row r="20807" spans="1:15" x14ac:dyDescent="0.25">
      <c r="A20807" t="s">
        <v>16</v>
      </c>
      <c r="B20807" t="s">
        <v>3221</v>
      </c>
      <c r="C20807">
        <v>6704</v>
      </c>
      <c r="D20807" t="s">
        <v>263</v>
      </c>
      <c r="E20807" t="s">
        <v>264</v>
      </c>
      <c r="F20807">
        <v>5.86</v>
      </c>
      <c r="G20807">
        <v>230504</v>
      </c>
      <c r="H20807">
        <v>4362</v>
      </c>
      <c r="I20807" t="s">
        <v>79</v>
      </c>
      <c r="J20807">
        <v>7.27</v>
      </c>
      <c r="K20807">
        <v>1.41</v>
      </c>
      <c r="L20807">
        <v>11501</v>
      </c>
      <c r="M20807" t="s">
        <v>339</v>
      </c>
      <c r="N20807" t="str">
        <f t="shared" si="320"/>
        <v xml:space="preserve">12318023882 </v>
      </c>
      <c r="O20807">
        <v>230517</v>
      </c>
    </row>
    <row r="20808" spans="1:15" x14ac:dyDescent="0.25">
      <c r="A20808" t="s">
        <v>16</v>
      </c>
      <c r="B20808" t="s">
        <v>3221</v>
      </c>
      <c r="C20808">
        <v>6704</v>
      </c>
      <c r="D20808" t="s">
        <v>263</v>
      </c>
      <c r="E20808" t="s">
        <v>264</v>
      </c>
      <c r="F20808">
        <v>2.7</v>
      </c>
      <c r="G20808">
        <v>230504</v>
      </c>
      <c r="H20808">
        <v>4362</v>
      </c>
      <c r="I20808" t="s">
        <v>79</v>
      </c>
      <c r="J20808">
        <v>3.35</v>
      </c>
      <c r="K20808">
        <v>0.65</v>
      </c>
      <c r="L20808">
        <v>11701</v>
      </c>
      <c r="M20808" t="s">
        <v>1204</v>
      </c>
      <c r="N20808" t="str">
        <f t="shared" si="320"/>
        <v xml:space="preserve">12318023882 </v>
      </c>
      <c r="O20808">
        <v>230517</v>
      </c>
    </row>
    <row r="20809" spans="1:15" x14ac:dyDescent="0.25">
      <c r="A20809" t="s">
        <v>16</v>
      </c>
      <c r="B20809" t="s">
        <v>3221</v>
      </c>
      <c r="C20809">
        <v>6704</v>
      </c>
      <c r="D20809" t="s">
        <v>263</v>
      </c>
      <c r="E20809" t="s">
        <v>264</v>
      </c>
      <c r="F20809">
        <v>5.4</v>
      </c>
      <c r="G20809">
        <v>230504</v>
      </c>
      <c r="H20809">
        <v>4362</v>
      </c>
      <c r="I20809" t="s">
        <v>79</v>
      </c>
      <c r="J20809">
        <v>6.7</v>
      </c>
      <c r="K20809">
        <v>1.3</v>
      </c>
      <c r="L20809">
        <v>11751</v>
      </c>
      <c r="M20809" t="s">
        <v>1339</v>
      </c>
      <c r="N20809" t="str">
        <f t="shared" si="320"/>
        <v xml:space="preserve">12318023882 </v>
      </c>
      <c r="O20809">
        <v>230517</v>
      </c>
    </row>
    <row r="20810" spans="1:15" x14ac:dyDescent="0.25">
      <c r="A20810" t="s">
        <v>16</v>
      </c>
      <c r="B20810" t="s">
        <v>3221</v>
      </c>
      <c r="C20810">
        <v>6704</v>
      </c>
      <c r="D20810" t="s">
        <v>263</v>
      </c>
      <c r="E20810" t="s">
        <v>264</v>
      </c>
      <c r="F20810">
        <v>25.96</v>
      </c>
      <c r="G20810">
        <v>230504</v>
      </c>
      <c r="H20810">
        <v>4362</v>
      </c>
      <c r="I20810" t="s">
        <v>79</v>
      </c>
      <c r="J20810">
        <v>32.19</v>
      </c>
      <c r="K20810">
        <v>6.23</v>
      </c>
      <c r="L20810">
        <v>14622</v>
      </c>
      <c r="M20810" t="s">
        <v>1005</v>
      </c>
      <c r="N20810" t="str">
        <f t="shared" si="320"/>
        <v xml:space="preserve">12318023882 </v>
      </c>
      <c r="O20810">
        <v>230517</v>
      </c>
    </row>
    <row r="20811" spans="1:15" x14ac:dyDescent="0.25">
      <c r="A20811" t="s">
        <v>16</v>
      </c>
      <c r="B20811" t="s">
        <v>3221</v>
      </c>
      <c r="C20811">
        <v>6705</v>
      </c>
      <c r="D20811" t="s">
        <v>263</v>
      </c>
      <c r="E20811" t="s">
        <v>264</v>
      </c>
      <c r="F20811">
        <v>26.86</v>
      </c>
      <c r="G20811">
        <v>230504</v>
      </c>
      <c r="H20811">
        <v>4362</v>
      </c>
      <c r="I20811" t="s">
        <v>79</v>
      </c>
      <c r="J20811">
        <v>33.31</v>
      </c>
      <c r="K20811">
        <v>6.45</v>
      </c>
      <c r="L20811">
        <v>49501</v>
      </c>
      <c r="M20811" t="s">
        <v>177</v>
      </c>
      <c r="N20811" t="str">
        <f>"12318023891 "</f>
        <v xml:space="preserve">12318023891 </v>
      </c>
      <c r="O20811">
        <v>230517</v>
      </c>
    </row>
    <row r="20812" spans="1:15" x14ac:dyDescent="0.25">
      <c r="A20812" t="s">
        <v>16</v>
      </c>
      <c r="B20812" t="s">
        <v>3221</v>
      </c>
      <c r="C20812">
        <v>6706</v>
      </c>
      <c r="D20812" t="s">
        <v>263</v>
      </c>
      <c r="E20812" t="s">
        <v>264</v>
      </c>
      <c r="F20812">
        <v>2.7</v>
      </c>
      <c r="G20812">
        <v>230504</v>
      </c>
      <c r="H20812">
        <v>4362</v>
      </c>
      <c r="I20812" t="s">
        <v>79</v>
      </c>
      <c r="J20812">
        <v>3.35</v>
      </c>
      <c r="K20812">
        <v>0.65</v>
      </c>
      <c r="L20812">
        <v>13201</v>
      </c>
      <c r="M20812" t="s">
        <v>161</v>
      </c>
      <c r="N20812" t="str">
        <f t="shared" ref="N20812:N20823" si="321">"12318023909 "</f>
        <v xml:space="preserve">12318023909 </v>
      </c>
      <c r="O20812">
        <v>230517</v>
      </c>
    </row>
    <row r="20813" spans="1:15" x14ac:dyDescent="0.25">
      <c r="A20813" t="s">
        <v>16</v>
      </c>
      <c r="B20813" t="s">
        <v>3221</v>
      </c>
      <c r="C20813">
        <v>6706</v>
      </c>
      <c r="D20813" t="s">
        <v>263</v>
      </c>
      <c r="E20813" t="s">
        <v>264</v>
      </c>
      <c r="F20813">
        <v>16.350000000000001</v>
      </c>
      <c r="G20813">
        <v>230504</v>
      </c>
      <c r="H20813">
        <v>4362</v>
      </c>
      <c r="I20813" t="s">
        <v>79</v>
      </c>
      <c r="J20813">
        <v>16.350000000000001</v>
      </c>
      <c r="K20813">
        <v>0</v>
      </c>
      <c r="L20813">
        <v>13201</v>
      </c>
      <c r="M20813" t="s">
        <v>161</v>
      </c>
      <c r="N20813" t="str">
        <f t="shared" si="321"/>
        <v xml:space="preserve">12318023909 </v>
      </c>
      <c r="O20813">
        <v>230517</v>
      </c>
    </row>
    <row r="20814" spans="1:15" x14ac:dyDescent="0.25">
      <c r="A20814" t="s">
        <v>16</v>
      </c>
      <c r="B20814" t="s">
        <v>3221</v>
      </c>
      <c r="C20814">
        <v>6706</v>
      </c>
      <c r="D20814" t="s">
        <v>263</v>
      </c>
      <c r="E20814" t="s">
        <v>264</v>
      </c>
      <c r="F20814">
        <v>25.24</v>
      </c>
      <c r="G20814">
        <v>230504</v>
      </c>
      <c r="H20814">
        <v>4362</v>
      </c>
      <c r="I20814" t="s">
        <v>79</v>
      </c>
      <c r="J20814">
        <v>31.3</v>
      </c>
      <c r="K20814">
        <v>6.06</v>
      </c>
      <c r="L20814">
        <v>13401</v>
      </c>
      <c r="M20814" t="s">
        <v>80</v>
      </c>
      <c r="N20814" t="str">
        <f t="shared" si="321"/>
        <v xml:space="preserve">12318023909 </v>
      </c>
      <c r="O20814">
        <v>230517</v>
      </c>
    </row>
    <row r="20815" spans="1:15" x14ac:dyDescent="0.25">
      <c r="A20815" t="s">
        <v>16</v>
      </c>
      <c r="B20815" t="s">
        <v>3221</v>
      </c>
      <c r="C20815">
        <v>6706</v>
      </c>
      <c r="D20815" t="s">
        <v>263</v>
      </c>
      <c r="E20815" t="s">
        <v>264</v>
      </c>
      <c r="F20815">
        <v>8.23</v>
      </c>
      <c r="G20815">
        <v>230504</v>
      </c>
      <c r="H20815">
        <v>4362</v>
      </c>
      <c r="I20815" t="s">
        <v>79</v>
      </c>
      <c r="J20815">
        <v>10.199999999999999</v>
      </c>
      <c r="K20815">
        <v>1.97</v>
      </c>
      <c r="L20815">
        <v>13401</v>
      </c>
      <c r="M20815" t="s">
        <v>80</v>
      </c>
      <c r="N20815" t="str">
        <f t="shared" si="321"/>
        <v xml:space="preserve">12318023909 </v>
      </c>
      <c r="O20815">
        <v>230517</v>
      </c>
    </row>
    <row r="20816" spans="1:15" x14ac:dyDescent="0.25">
      <c r="A20816" t="s">
        <v>16</v>
      </c>
      <c r="B20816" t="s">
        <v>3221</v>
      </c>
      <c r="C20816">
        <v>6706</v>
      </c>
      <c r="D20816" t="s">
        <v>263</v>
      </c>
      <c r="E20816" t="s">
        <v>264</v>
      </c>
      <c r="F20816">
        <v>26.52</v>
      </c>
      <c r="G20816">
        <v>230504</v>
      </c>
      <c r="H20816">
        <v>4362</v>
      </c>
      <c r="I20816" t="s">
        <v>79</v>
      </c>
      <c r="J20816">
        <v>32.880000000000003</v>
      </c>
      <c r="K20816">
        <v>6.36</v>
      </c>
      <c r="L20816">
        <v>13501</v>
      </c>
      <c r="M20816" t="s">
        <v>20</v>
      </c>
      <c r="N20816" t="str">
        <f t="shared" si="321"/>
        <v xml:space="preserve">12318023909 </v>
      </c>
      <c r="O20816">
        <v>230517</v>
      </c>
    </row>
    <row r="20817" spans="1:15" x14ac:dyDescent="0.25">
      <c r="A20817" t="s">
        <v>16</v>
      </c>
      <c r="B20817" t="s">
        <v>3221</v>
      </c>
      <c r="C20817">
        <v>6706</v>
      </c>
      <c r="D20817" t="s">
        <v>263</v>
      </c>
      <c r="E20817" t="s">
        <v>264</v>
      </c>
      <c r="F20817">
        <v>2.7</v>
      </c>
      <c r="G20817">
        <v>230504</v>
      </c>
      <c r="H20817">
        <v>4362</v>
      </c>
      <c r="I20817" t="s">
        <v>79</v>
      </c>
      <c r="J20817">
        <v>3.35</v>
      </c>
      <c r="K20817">
        <v>0.65</v>
      </c>
      <c r="L20817">
        <v>13561</v>
      </c>
      <c r="M20817" t="s">
        <v>246</v>
      </c>
      <c r="N20817" t="str">
        <f t="shared" si="321"/>
        <v xml:space="preserve">12318023909 </v>
      </c>
      <c r="O20817">
        <v>230517</v>
      </c>
    </row>
    <row r="20818" spans="1:15" x14ac:dyDescent="0.25">
      <c r="A20818" t="s">
        <v>16</v>
      </c>
      <c r="B20818" t="s">
        <v>3221</v>
      </c>
      <c r="C20818">
        <v>6706</v>
      </c>
      <c r="D20818" t="s">
        <v>263</v>
      </c>
      <c r="E20818" t="s">
        <v>264</v>
      </c>
      <c r="F20818">
        <v>5.4</v>
      </c>
      <c r="G20818">
        <v>230504</v>
      </c>
      <c r="H20818">
        <v>4362</v>
      </c>
      <c r="I20818" t="s">
        <v>79</v>
      </c>
      <c r="J20818">
        <v>6.7</v>
      </c>
      <c r="K20818">
        <v>1.3</v>
      </c>
      <c r="L20818">
        <v>13561</v>
      </c>
      <c r="M20818" t="s">
        <v>246</v>
      </c>
      <c r="N20818" t="str">
        <f t="shared" si="321"/>
        <v xml:space="preserve">12318023909 </v>
      </c>
      <c r="O20818">
        <v>230517</v>
      </c>
    </row>
    <row r="20819" spans="1:15" x14ac:dyDescent="0.25">
      <c r="A20819" t="s">
        <v>16</v>
      </c>
      <c r="B20819" t="s">
        <v>3221</v>
      </c>
      <c r="C20819">
        <v>6706</v>
      </c>
      <c r="D20819" t="s">
        <v>263</v>
      </c>
      <c r="E20819" t="s">
        <v>264</v>
      </c>
      <c r="F20819">
        <v>2.7</v>
      </c>
      <c r="G20819">
        <v>230504</v>
      </c>
      <c r="H20819">
        <v>4362</v>
      </c>
      <c r="I20819" t="s">
        <v>79</v>
      </c>
      <c r="J20819">
        <v>3.35</v>
      </c>
      <c r="K20819">
        <v>0.65</v>
      </c>
      <c r="L20819">
        <v>13661</v>
      </c>
      <c r="M20819" t="s">
        <v>247</v>
      </c>
      <c r="N20819" t="str">
        <f t="shared" si="321"/>
        <v xml:space="preserve">12318023909 </v>
      </c>
      <c r="O20819">
        <v>230517</v>
      </c>
    </row>
    <row r="20820" spans="1:15" x14ac:dyDescent="0.25">
      <c r="A20820" t="s">
        <v>16</v>
      </c>
      <c r="B20820" t="s">
        <v>3221</v>
      </c>
      <c r="C20820">
        <v>6706</v>
      </c>
      <c r="D20820" t="s">
        <v>263</v>
      </c>
      <c r="E20820" t="s">
        <v>264</v>
      </c>
      <c r="F20820">
        <v>13.23</v>
      </c>
      <c r="G20820">
        <v>230504</v>
      </c>
      <c r="H20820">
        <v>4362</v>
      </c>
      <c r="I20820" t="s">
        <v>79</v>
      </c>
      <c r="J20820">
        <v>16.399999999999999</v>
      </c>
      <c r="K20820">
        <v>3.17</v>
      </c>
      <c r="L20820">
        <v>13801</v>
      </c>
      <c r="M20820" t="s">
        <v>162</v>
      </c>
      <c r="N20820" t="str">
        <f t="shared" si="321"/>
        <v xml:space="preserve">12318023909 </v>
      </c>
      <c r="O20820">
        <v>230517</v>
      </c>
    </row>
    <row r="20821" spans="1:15" x14ac:dyDescent="0.25">
      <c r="A20821" t="s">
        <v>16</v>
      </c>
      <c r="B20821" t="s">
        <v>3221</v>
      </c>
      <c r="C20821">
        <v>6706</v>
      </c>
      <c r="D20821" t="s">
        <v>263</v>
      </c>
      <c r="E20821" t="s">
        <v>264</v>
      </c>
      <c r="F20821">
        <v>13.69</v>
      </c>
      <c r="G20821">
        <v>230504</v>
      </c>
      <c r="H20821">
        <v>4362</v>
      </c>
      <c r="I20821" t="s">
        <v>79</v>
      </c>
      <c r="J20821">
        <v>16.98</v>
      </c>
      <c r="K20821">
        <v>3.29</v>
      </c>
      <c r="L20821">
        <v>13801</v>
      </c>
      <c r="M20821" t="s">
        <v>162</v>
      </c>
      <c r="N20821" t="str">
        <f t="shared" si="321"/>
        <v xml:space="preserve">12318023909 </v>
      </c>
      <c r="O20821">
        <v>230517</v>
      </c>
    </row>
    <row r="20822" spans="1:15" x14ac:dyDescent="0.25">
      <c r="A20822" t="s">
        <v>16</v>
      </c>
      <c r="B20822" t="s">
        <v>3221</v>
      </c>
      <c r="C20822">
        <v>6706</v>
      </c>
      <c r="D20822" t="s">
        <v>263</v>
      </c>
      <c r="E20822" t="s">
        <v>264</v>
      </c>
      <c r="F20822">
        <v>12.26</v>
      </c>
      <c r="G20822">
        <v>230504</v>
      </c>
      <c r="H20822">
        <v>4362</v>
      </c>
      <c r="I20822" t="s">
        <v>79</v>
      </c>
      <c r="J20822">
        <v>15.2</v>
      </c>
      <c r="K20822">
        <v>2.94</v>
      </c>
      <c r="L20822">
        <v>13802</v>
      </c>
      <c r="M20822" t="s">
        <v>200</v>
      </c>
      <c r="N20822" t="str">
        <f t="shared" si="321"/>
        <v xml:space="preserve">12318023909 </v>
      </c>
      <c r="O20822">
        <v>230517</v>
      </c>
    </row>
    <row r="20823" spans="1:15" x14ac:dyDescent="0.25">
      <c r="A20823" t="s">
        <v>16</v>
      </c>
      <c r="B20823" t="s">
        <v>3221</v>
      </c>
      <c r="C20823">
        <v>6706</v>
      </c>
      <c r="D20823" t="s">
        <v>263</v>
      </c>
      <c r="E20823" t="s">
        <v>264</v>
      </c>
      <c r="F20823">
        <v>2.7</v>
      </c>
      <c r="G20823">
        <v>230504</v>
      </c>
      <c r="H20823">
        <v>4362</v>
      </c>
      <c r="I20823" t="s">
        <v>79</v>
      </c>
      <c r="J20823">
        <v>3.35</v>
      </c>
      <c r="K20823">
        <v>0.65</v>
      </c>
      <c r="L20823">
        <v>17971</v>
      </c>
      <c r="M20823" t="s">
        <v>138</v>
      </c>
      <c r="N20823" t="str">
        <f t="shared" si="321"/>
        <v xml:space="preserve">12318023909 </v>
      </c>
      <c r="O20823">
        <v>230517</v>
      </c>
    </row>
    <row r="20824" spans="1:15" x14ac:dyDescent="0.25">
      <c r="A20824" t="s">
        <v>16</v>
      </c>
      <c r="B20824" t="s">
        <v>3221</v>
      </c>
      <c r="C20824">
        <v>6919</v>
      </c>
      <c r="D20824" t="s">
        <v>263</v>
      </c>
      <c r="E20824" t="s">
        <v>264</v>
      </c>
      <c r="F20824">
        <v>120</v>
      </c>
      <c r="G20824">
        <v>230515</v>
      </c>
      <c r="H20824">
        <v>4362</v>
      </c>
      <c r="I20824" t="s">
        <v>79</v>
      </c>
      <c r="J20824">
        <v>148.80000000000001</v>
      </c>
      <c r="K20824">
        <v>28.8</v>
      </c>
      <c r="L20824">
        <v>18972</v>
      </c>
      <c r="M20824" t="s">
        <v>163</v>
      </c>
      <c r="N20824" t="str">
        <f>"104475025   "</f>
        <v xml:space="preserve">104475025   </v>
      </c>
      <c r="O20824">
        <v>230523</v>
      </c>
    </row>
    <row r="20825" spans="1:15" x14ac:dyDescent="0.25">
      <c r="A20825" t="s">
        <v>16</v>
      </c>
      <c r="B20825" t="s">
        <v>3221</v>
      </c>
      <c r="C20825">
        <v>7066</v>
      </c>
      <c r="D20825" t="s">
        <v>263</v>
      </c>
      <c r="E20825" t="s">
        <v>264</v>
      </c>
      <c r="F20825">
        <v>11.29</v>
      </c>
      <c r="G20825">
        <v>230504</v>
      </c>
      <c r="H20825">
        <v>4362</v>
      </c>
      <c r="I20825" t="s">
        <v>79</v>
      </c>
      <c r="J20825">
        <v>14</v>
      </c>
      <c r="K20825">
        <v>2.71</v>
      </c>
      <c r="L20825">
        <v>11601</v>
      </c>
      <c r="M20825" t="s">
        <v>535</v>
      </c>
      <c r="N20825" t="str">
        <f t="shared" ref="N20825:N20842" si="322">"12318023917 "</f>
        <v xml:space="preserve">12318023917 </v>
      </c>
      <c r="O20825">
        <v>230525</v>
      </c>
    </row>
    <row r="20826" spans="1:15" x14ac:dyDescent="0.25">
      <c r="A20826" t="s">
        <v>16</v>
      </c>
      <c r="B20826" t="s">
        <v>3221</v>
      </c>
      <c r="C20826">
        <v>7066</v>
      </c>
      <c r="D20826" t="s">
        <v>263</v>
      </c>
      <c r="E20826" t="s">
        <v>264</v>
      </c>
      <c r="F20826">
        <v>2.5499999999999998</v>
      </c>
      <c r="G20826">
        <v>230504</v>
      </c>
      <c r="H20826">
        <v>4362</v>
      </c>
      <c r="I20826" t="s">
        <v>79</v>
      </c>
      <c r="J20826">
        <v>3.16</v>
      </c>
      <c r="K20826">
        <v>0.61</v>
      </c>
      <c r="L20826">
        <v>11603</v>
      </c>
      <c r="M20826" t="s">
        <v>945</v>
      </c>
      <c r="N20826" t="str">
        <f t="shared" si="322"/>
        <v xml:space="preserve">12318023917 </v>
      </c>
      <c r="O20826">
        <v>230525</v>
      </c>
    </row>
    <row r="20827" spans="1:15" x14ac:dyDescent="0.25">
      <c r="A20827" t="s">
        <v>16</v>
      </c>
      <c r="B20827" t="s">
        <v>3221</v>
      </c>
      <c r="C20827">
        <v>7066</v>
      </c>
      <c r="D20827" t="s">
        <v>263</v>
      </c>
      <c r="E20827" t="s">
        <v>264</v>
      </c>
      <c r="F20827">
        <v>11.88</v>
      </c>
      <c r="G20827">
        <v>230504</v>
      </c>
      <c r="H20827">
        <v>4362</v>
      </c>
      <c r="I20827" t="s">
        <v>79</v>
      </c>
      <c r="J20827">
        <v>14.73</v>
      </c>
      <c r="K20827">
        <v>2.85</v>
      </c>
      <c r="L20827">
        <v>14121</v>
      </c>
      <c r="M20827" t="s">
        <v>880</v>
      </c>
      <c r="N20827" t="str">
        <f t="shared" si="322"/>
        <v xml:space="preserve">12318023917 </v>
      </c>
      <c r="O20827">
        <v>230525</v>
      </c>
    </row>
    <row r="20828" spans="1:15" x14ac:dyDescent="0.25">
      <c r="A20828" t="s">
        <v>16</v>
      </c>
      <c r="B20828" t="s">
        <v>3221</v>
      </c>
      <c r="C20828">
        <v>7066</v>
      </c>
      <c r="D20828" t="s">
        <v>263</v>
      </c>
      <c r="E20828" t="s">
        <v>264</v>
      </c>
      <c r="F20828">
        <v>19.37</v>
      </c>
      <c r="G20828">
        <v>230504</v>
      </c>
      <c r="H20828">
        <v>4362</v>
      </c>
      <c r="I20828" t="s">
        <v>79</v>
      </c>
      <c r="J20828">
        <v>24.02</v>
      </c>
      <c r="K20828">
        <v>4.6500000000000004</v>
      </c>
      <c r="L20828">
        <v>14321</v>
      </c>
      <c r="M20828" t="s">
        <v>717</v>
      </c>
      <c r="N20828" t="str">
        <f t="shared" si="322"/>
        <v xml:space="preserve">12318023917 </v>
      </c>
      <c r="O20828">
        <v>230525</v>
      </c>
    </row>
    <row r="20829" spans="1:15" x14ac:dyDescent="0.25">
      <c r="A20829" t="s">
        <v>16</v>
      </c>
      <c r="B20829" t="s">
        <v>3221</v>
      </c>
      <c r="C20829">
        <v>7066</v>
      </c>
      <c r="D20829" t="s">
        <v>263</v>
      </c>
      <c r="E20829" t="s">
        <v>264</v>
      </c>
      <c r="F20829">
        <v>19.36</v>
      </c>
      <c r="G20829">
        <v>230504</v>
      </c>
      <c r="H20829">
        <v>4362</v>
      </c>
      <c r="I20829" t="s">
        <v>79</v>
      </c>
      <c r="J20829">
        <v>24.01</v>
      </c>
      <c r="K20829">
        <v>4.6500000000000004</v>
      </c>
      <c r="L20829">
        <v>14422</v>
      </c>
      <c r="M20829" t="s">
        <v>228</v>
      </c>
      <c r="N20829" t="str">
        <f t="shared" si="322"/>
        <v xml:space="preserve">12318023917 </v>
      </c>
      <c r="O20829">
        <v>230525</v>
      </c>
    </row>
    <row r="20830" spans="1:15" x14ac:dyDescent="0.25">
      <c r="A20830" t="s">
        <v>16</v>
      </c>
      <c r="B20830" t="s">
        <v>3221</v>
      </c>
      <c r="C20830">
        <v>7066</v>
      </c>
      <c r="D20830" t="s">
        <v>263</v>
      </c>
      <c r="E20830" t="s">
        <v>264</v>
      </c>
      <c r="F20830">
        <v>2.7</v>
      </c>
      <c r="G20830">
        <v>230504</v>
      </c>
      <c r="H20830">
        <v>4362</v>
      </c>
      <c r="I20830" t="s">
        <v>79</v>
      </c>
      <c r="J20830">
        <v>3.35</v>
      </c>
      <c r="K20830">
        <v>0.65</v>
      </c>
      <c r="L20830">
        <v>14431</v>
      </c>
      <c r="M20830" t="s">
        <v>861</v>
      </c>
      <c r="N20830" t="str">
        <f t="shared" si="322"/>
        <v xml:space="preserve">12318023917 </v>
      </c>
      <c r="O20830">
        <v>230525</v>
      </c>
    </row>
    <row r="20831" spans="1:15" x14ac:dyDescent="0.25">
      <c r="A20831" t="s">
        <v>16</v>
      </c>
      <c r="B20831" t="s">
        <v>3221</v>
      </c>
      <c r="C20831">
        <v>7066</v>
      </c>
      <c r="D20831" t="s">
        <v>263</v>
      </c>
      <c r="E20831" t="s">
        <v>264</v>
      </c>
      <c r="F20831">
        <v>5.4</v>
      </c>
      <c r="G20831">
        <v>230504</v>
      </c>
      <c r="H20831">
        <v>4362</v>
      </c>
      <c r="I20831" t="s">
        <v>79</v>
      </c>
      <c r="J20831">
        <v>6.7</v>
      </c>
      <c r="K20831">
        <v>1.3</v>
      </c>
      <c r="L20831">
        <v>14432</v>
      </c>
      <c r="M20831" t="s">
        <v>862</v>
      </c>
      <c r="N20831" t="str">
        <f t="shared" si="322"/>
        <v xml:space="preserve">12318023917 </v>
      </c>
      <c r="O20831">
        <v>230525</v>
      </c>
    </row>
    <row r="20832" spans="1:15" x14ac:dyDescent="0.25">
      <c r="A20832" t="s">
        <v>16</v>
      </c>
      <c r="B20832" t="s">
        <v>3221</v>
      </c>
      <c r="C20832">
        <v>7066</v>
      </c>
      <c r="D20832" t="s">
        <v>263</v>
      </c>
      <c r="E20832" t="s">
        <v>264</v>
      </c>
      <c r="F20832">
        <v>2.7</v>
      </c>
      <c r="G20832">
        <v>230504</v>
      </c>
      <c r="H20832">
        <v>4362</v>
      </c>
      <c r="I20832" t="s">
        <v>79</v>
      </c>
      <c r="J20832">
        <v>3.35</v>
      </c>
      <c r="K20832">
        <v>0.65</v>
      </c>
      <c r="L20832">
        <v>14541</v>
      </c>
      <c r="M20832" t="s">
        <v>626</v>
      </c>
      <c r="N20832" t="str">
        <f t="shared" si="322"/>
        <v xml:space="preserve">12318023917 </v>
      </c>
      <c r="O20832">
        <v>230525</v>
      </c>
    </row>
    <row r="20833" spans="1:15" x14ac:dyDescent="0.25">
      <c r="A20833" t="s">
        <v>16</v>
      </c>
      <c r="B20833" t="s">
        <v>3221</v>
      </c>
      <c r="C20833">
        <v>7066</v>
      </c>
      <c r="D20833" t="s">
        <v>263</v>
      </c>
      <c r="E20833" t="s">
        <v>264</v>
      </c>
      <c r="F20833">
        <v>21.6</v>
      </c>
      <c r="G20833">
        <v>230504</v>
      </c>
      <c r="H20833">
        <v>4362</v>
      </c>
      <c r="I20833" t="s">
        <v>79</v>
      </c>
      <c r="J20833">
        <v>26.78</v>
      </c>
      <c r="K20833">
        <v>5.18</v>
      </c>
      <c r="L20833">
        <v>14622</v>
      </c>
      <c r="M20833" t="s">
        <v>1005</v>
      </c>
      <c r="N20833" t="str">
        <f t="shared" si="322"/>
        <v xml:space="preserve">12318023917 </v>
      </c>
      <c r="O20833">
        <v>230525</v>
      </c>
    </row>
    <row r="20834" spans="1:15" x14ac:dyDescent="0.25">
      <c r="A20834" t="s">
        <v>16</v>
      </c>
      <c r="B20834" t="s">
        <v>3221</v>
      </c>
      <c r="C20834">
        <v>7066</v>
      </c>
      <c r="D20834" t="s">
        <v>263</v>
      </c>
      <c r="E20834" t="s">
        <v>264</v>
      </c>
      <c r="F20834">
        <v>8.44</v>
      </c>
      <c r="G20834">
        <v>230504</v>
      </c>
      <c r="H20834">
        <v>4362</v>
      </c>
      <c r="I20834" t="s">
        <v>79</v>
      </c>
      <c r="J20834">
        <v>10.47</v>
      </c>
      <c r="K20834">
        <v>2.0299999999999998</v>
      </c>
      <c r="L20834">
        <v>14640</v>
      </c>
      <c r="M20834" t="s">
        <v>229</v>
      </c>
      <c r="N20834" t="str">
        <f t="shared" si="322"/>
        <v xml:space="preserve">12318023917 </v>
      </c>
      <c r="O20834">
        <v>230525</v>
      </c>
    </row>
    <row r="20835" spans="1:15" x14ac:dyDescent="0.25">
      <c r="A20835" t="s">
        <v>16</v>
      </c>
      <c r="B20835" t="s">
        <v>3221</v>
      </c>
      <c r="C20835">
        <v>7066</v>
      </c>
      <c r="D20835" t="s">
        <v>263</v>
      </c>
      <c r="E20835" t="s">
        <v>264</v>
      </c>
      <c r="F20835">
        <v>2.7</v>
      </c>
      <c r="G20835">
        <v>230504</v>
      </c>
      <c r="H20835">
        <v>4362</v>
      </c>
      <c r="I20835" t="s">
        <v>79</v>
      </c>
      <c r="J20835">
        <v>3.35</v>
      </c>
      <c r="K20835">
        <v>0.65</v>
      </c>
      <c r="L20835">
        <v>14861</v>
      </c>
      <c r="M20835" t="s">
        <v>785</v>
      </c>
      <c r="N20835" t="str">
        <f t="shared" si="322"/>
        <v xml:space="preserve">12318023917 </v>
      </c>
      <c r="O20835">
        <v>230525</v>
      </c>
    </row>
    <row r="20836" spans="1:15" x14ac:dyDescent="0.25">
      <c r="A20836" t="s">
        <v>16</v>
      </c>
      <c r="B20836" t="s">
        <v>3221</v>
      </c>
      <c r="C20836">
        <v>7066</v>
      </c>
      <c r="D20836" t="s">
        <v>263</v>
      </c>
      <c r="E20836" t="s">
        <v>264</v>
      </c>
      <c r="F20836">
        <v>4.88</v>
      </c>
      <c r="G20836">
        <v>230504</v>
      </c>
      <c r="H20836">
        <v>4362</v>
      </c>
      <c r="I20836" t="s">
        <v>79</v>
      </c>
      <c r="J20836">
        <v>6.05</v>
      </c>
      <c r="K20836">
        <v>1.17</v>
      </c>
      <c r="L20836">
        <v>14861</v>
      </c>
      <c r="M20836" t="s">
        <v>785</v>
      </c>
      <c r="N20836" t="str">
        <f t="shared" si="322"/>
        <v xml:space="preserve">12318023917 </v>
      </c>
      <c r="O20836">
        <v>230525</v>
      </c>
    </row>
    <row r="20837" spans="1:15" x14ac:dyDescent="0.25">
      <c r="A20837" t="s">
        <v>16</v>
      </c>
      <c r="B20837" t="s">
        <v>3221</v>
      </c>
      <c r="C20837">
        <v>7066</v>
      </c>
      <c r="D20837" t="s">
        <v>263</v>
      </c>
      <c r="E20837" t="s">
        <v>264</v>
      </c>
      <c r="F20837">
        <v>7.82</v>
      </c>
      <c r="G20837">
        <v>230504</v>
      </c>
      <c r="H20837">
        <v>4362</v>
      </c>
      <c r="I20837" t="s">
        <v>79</v>
      </c>
      <c r="J20837">
        <v>9.6999999999999993</v>
      </c>
      <c r="K20837">
        <v>1.88</v>
      </c>
      <c r="L20837">
        <v>14912</v>
      </c>
      <c r="M20837" t="s">
        <v>230</v>
      </c>
      <c r="N20837" t="str">
        <f t="shared" si="322"/>
        <v xml:space="preserve">12318023917 </v>
      </c>
      <c r="O20837">
        <v>230525</v>
      </c>
    </row>
    <row r="20838" spans="1:15" x14ac:dyDescent="0.25">
      <c r="A20838" t="s">
        <v>16</v>
      </c>
      <c r="B20838" t="s">
        <v>3221</v>
      </c>
      <c r="C20838">
        <v>7066</v>
      </c>
      <c r="D20838" t="s">
        <v>263</v>
      </c>
      <c r="E20838" t="s">
        <v>264</v>
      </c>
      <c r="F20838">
        <v>3.05</v>
      </c>
      <c r="G20838">
        <v>230504</v>
      </c>
      <c r="H20838">
        <v>4362</v>
      </c>
      <c r="I20838" t="s">
        <v>79</v>
      </c>
      <c r="J20838">
        <v>3.78</v>
      </c>
      <c r="K20838">
        <v>0.73</v>
      </c>
      <c r="L20838">
        <v>14971</v>
      </c>
      <c r="M20838" t="s">
        <v>1259</v>
      </c>
      <c r="N20838" t="str">
        <f t="shared" si="322"/>
        <v xml:space="preserve">12318023917 </v>
      </c>
      <c r="O20838">
        <v>230525</v>
      </c>
    </row>
    <row r="20839" spans="1:15" x14ac:dyDescent="0.25">
      <c r="A20839" t="s">
        <v>16</v>
      </c>
      <c r="B20839" t="s">
        <v>3221</v>
      </c>
      <c r="C20839">
        <v>7066</v>
      </c>
      <c r="D20839" t="s">
        <v>263</v>
      </c>
      <c r="E20839" t="s">
        <v>264</v>
      </c>
      <c r="F20839">
        <v>2.7</v>
      </c>
      <c r="G20839">
        <v>230504</v>
      </c>
      <c r="H20839">
        <v>4362</v>
      </c>
      <c r="I20839" t="s">
        <v>79</v>
      </c>
      <c r="J20839">
        <v>3.35</v>
      </c>
      <c r="K20839">
        <v>0.65</v>
      </c>
      <c r="L20839">
        <v>14972</v>
      </c>
      <c r="M20839" t="s">
        <v>898</v>
      </c>
      <c r="N20839" t="str">
        <f t="shared" si="322"/>
        <v xml:space="preserve">12318023917 </v>
      </c>
      <c r="O20839">
        <v>230525</v>
      </c>
    </row>
    <row r="20840" spans="1:15" x14ac:dyDescent="0.25">
      <c r="A20840" t="s">
        <v>16</v>
      </c>
      <c r="B20840" t="s">
        <v>3221</v>
      </c>
      <c r="C20840">
        <v>7066</v>
      </c>
      <c r="D20840" t="s">
        <v>263</v>
      </c>
      <c r="E20840" t="s">
        <v>264</v>
      </c>
      <c r="F20840">
        <v>2.7</v>
      </c>
      <c r="G20840">
        <v>230504</v>
      </c>
      <c r="H20840">
        <v>4362</v>
      </c>
      <c r="I20840" t="s">
        <v>79</v>
      </c>
      <c r="J20840">
        <v>3.35</v>
      </c>
      <c r="K20840">
        <v>0.65</v>
      </c>
      <c r="L20840">
        <v>14974</v>
      </c>
      <c r="M20840" t="s">
        <v>1340</v>
      </c>
      <c r="N20840" t="str">
        <f t="shared" si="322"/>
        <v xml:space="preserve">12318023917 </v>
      </c>
      <c r="O20840">
        <v>230525</v>
      </c>
    </row>
    <row r="20841" spans="1:15" x14ac:dyDescent="0.25">
      <c r="A20841" t="s">
        <v>16</v>
      </c>
      <c r="B20841" t="s">
        <v>3221</v>
      </c>
      <c r="C20841">
        <v>7066</v>
      </c>
      <c r="D20841" t="s">
        <v>263</v>
      </c>
      <c r="E20841" t="s">
        <v>264</v>
      </c>
      <c r="F20841">
        <v>2.7</v>
      </c>
      <c r="G20841">
        <v>230504</v>
      </c>
      <c r="H20841">
        <v>4362</v>
      </c>
      <c r="I20841" t="s">
        <v>79</v>
      </c>
      <c r="J20841">
        <v>3.35</v>
      </c>
      <c r="K20841">
        <v>0.65</v>
      </c>
      <c r="L20841">
        <v>14975</v>
      </c>
      <c r="M20841" t="s">
        <v>1341</v>
      </c>
      <c r="N20841" t="str">
        <f t="shared" si="322"/>
        <v xml:space="preserve">12318023917 </v>
      </c>
      <c r="O20841">
        <v>230525</v>
      </c>
    </row>
    <row r="20842" spans="1:15" x14ac:dyDescent="0.25">
      <c r="A20842" t="s">
        <v>16</v>
      </c>
      <c r="B20842" t="s">
        <v>3221</v>
      </c>
      <c r="C20842">
        <v>7066</v>
      </c>
      <c r="D20842" t="s">
        <v>263</v>
      </c>
      <c r="E20842" t="s">
        <v>264</v>
      </c>
      <c r="F20842">
        <v>2.74</v>
      </c>
      <c r="G20842">
        <v>230504</v>
      </c>
      <c r="H20842">
        <v>4362</v>
      </c>
      <c r="I20842" t="s">
        <v>79</v>
      </c>
      <c r="J20842">
        <v>3.4</v>
      </c>
      <c r="K20842">
        <v>0.66</v>
      </c>
      <c r="L20842">
        <v>14975</v>
      </c>
      <c r="M20842" t="s">
        <v>1341</v>
      </c>
      <c r="N20842" t="str">
        <f t="shared" si="322"/>
        <v xml:space="preserve">12318023917 </v>
      </c>
      <c r="O20842">
        <v>230525</v>
      </c>
    </row>
    <row r="20843" spans="1:15" x14ac:dyDescent="0.25">
      <c r="A20843" t="s">
        <v>16</v>
      </c>
      <c r="B20843" t="s">
        <v>3221</v>
      </c>
      <c r="C20843">
        <v>7067</v>
      </c>
      <c r="D20843" t="s">
        <v>263</v>
      </c>
      <c r="E20843" t="s">
        <v>264</v>
      </c>
      <c r="F20843">
        <v>2.7</v>
      </c>
      <c r="G20843">
        <v>230504</v>
      </c>
      <c r="H20843">
        <v>4362</v>
      </c>
      <c r="I20843" t="s">
        <v>79</v>
      </c>
      <c r="J20843">
        <v>3.35</v>
      </c>
      <c r="K20843">
        <v>0.65</v>
      </c>
      <c r="L20843">
        <v>14972</v>
      </c>
      <c r="M20843" t="s">
        <v>898</v>
      </c>
      <c r="N20843" t="str">
        <f t="shared" ref="N20843:N20848" si="323">"12318023883 "</f>
        <v xml:space="preserve">12318023883 </v>
      </c>
      <c r="O20843">
        <v>230525</v>
      </c>
    </row>
    <row r="20844" spans="1:15" x14ac:dyDescent="0.25">
      <c r="A20844" t="s">
        <v>16</v>
      </c>
      <c r="B20844" t="s">
        <v>3221</v>
      </c>
      <c r="C20844">
        <v>7067</v>
      </c>
      <c r="D20844" t="s">
        <v>263</v>
      </c>
      <c r="E20844" t="s">
        <v>264</v>
      </c>
      <c r="F20844">
        <v>6.06</v>
      </c>
      <c r="G20844">
        <v>230504</v>
      </c>
      <c r="H20844">
        <v>4362</v>
      </c>
      <c r="I20844" t="s">
        <v>79</v>
      </c>
      <c r="J20844">
        <v>7.51</v>
      </c>
      <c r="K20844">
        <v>1.45</v>
      </c>
      <c r="L20844">
        <v>17972</v>
      </c>
      <c r="M20844" t="s">
        <v>248</v>
      </c>
      <c r="N20844" t="str">
        <f t="shared" si="323"/>
        <v xml:space="preserve">12318023883 </v>
      </c>
      <c r="O20844">
        <v>230525</v>
      </c>
    </row>
    <row r="20845" spans="1:15" x14ac:dyDescent="0.25">
      <c r="A20845" t="s">
        <v>16</v>
      </c>
      <c r="B20845" t="s">
        <v>3221</v>
      </c>
      <c r="C20845">
        <v>7067</v>
      </c>
      <c r="D20845" t="s">
        <v>263</v>
      </c>
      <c r="E20845" t="s">
        <v>264</v>
      </c>
      <c r="F20845">
        <v>20.99</v>
      </c>
      <c r="G20845">
        <v>230504</v>
      </c>
      <c r="H20845">
        <v>4362</v>
      </c>
      <c r="I20845" t="s">
        <v>79</v>
      </c>
      <c r="J20845">
        <v>26.03</v>
      </c>
      <c r="K20845">
        <v>5.04</v>
      </c>
      <c r="L20845">
        <v>18010</v>
      </c>
      <c r="M20845" t="s">
        <v>1344</v>
      </c>
      <c r="N20845" t="str">
        <f t="shared" si="323"/>
        <v xml:space="preserve">12318023883 </v>
      </c>
      <c r="O20845">
        <v>230525</v>
      </c>
    </row>
    <row r="20846" spans="1:15" x14ac:dyDescent="0.25">
      <c r="A20846" t="s">
        <v>16</v>
      </c>
      <c r="B20846" t="s">
        <v>3221</v>
      </c>
      <c r="C20846">
        <v>7067</v>
      </c>
      <c r="D20846" t="s">
        <v>263</v>
      </c>
      <c r="E20846" t="s">
        <v>264</v>
      </c>
      <c r="F20846">
        <v>37.14</v>
      </c>
      <c r="G20846">
        <v>230504</v>
      </c>
      <c r="H20846">
        <v>4362</v>
      </c>
      <c r="I20846" t="s">
        <v>79</v>
      </c>
      <c r="J20846">
        <v>46.05</v>
      </c>
      <c r="K20846">
        <v>8.91</v>
      </c>
      <c r="L20846">
        <v>18972</v>
      </c>
      <c r="M20846" t="s">
        <v>163</v>
      </c>
      <c r="N20846" t="str">
        <f t="shared" si="323"/>
        <v xml:space="preserve">12318023883 </v>
      </c>
      <c r="O20846">
        <v>230525</v>
      </c>
    </row>
    <row r="20847" spans="1:15" x14ac:dyDescent="0.25">
      <c r="A20847" t="s">
        <v>16</v>
      </c>
      <c r="B20847" t="s">
        <v>3221</v>
      </c>
      <c r="C20847">
        <v>7067</v>
      </c>
      <c r="D20847" t="s">
        <v>263</v>
      </c>
      <c r="E20847" t="s">
        <v>264</v>
      </c>
      <c r="F20847">
        <v>3.04</v>
      </c>
      <c r="G20847">
        <v>230504</v>
      </c>
      <c r="H20847">
        <v>4362</v>
      </c>
      <c r="I20847" t="s">
        <v>79</v>
      </c>
      <c r="J20847">
        <v>3.77</v>
      </c>
      <c r="K20847">
        <v>0.73</v>
      </c>
      <c r="L20847">
        <v>49702</v>
      </c>
      <c r="M20847" t="s">
        <v>584</v>
      </c>
      <c r="N20847" t="str">
        <f t="shared" si="323"/>
        <v xml:space="preserve">12318023883 </v>
      </c>
      <c r="O20847">
        <v>230525</v>
      </c>
    </row>
    <row r="20848" spans="1:15" x14ac:dyDescent="0.25">
      <c r="A20848" t="s">
        <v>16</v>
      </c>
      <c r="B20848" t="s">
        <v>3221</v>
      </c>
      <c r="C20848">
        <v>7067</v>
      </c>
      <c r="D20848" t="s">
        <v>263</v>
      </c>
      <c r="E20848" t="s">
        <v>264</v>
      </c>
      <c r="F20848">
        <v>6.11</v>
      </c>
      <c r="G20848">
        <v>230504</v>
      </c>
      <c r="H20848">
        <v>4362</v>
      </c>
      <c r="I20848" t="s">
        <v>79</v>
      </c>
      <c r="J20848">
        <v>7.58</v>
      </c>
      <c r="K20848">
        <v>1.47</v>
      </c>
      <c r="L20848">
        <v>59702</v>
      </c>
      <c r="M20848" t="s">
        <v>328</v>
      </c>
      <c r="N20848" t="str">
        <f t="shared" si="323"/>
        <v xml:space="preserve">12318023883 </v>
      </c>
      <c r="O20848">
        <v>230525</v>
      </c>
    </row>
    <row r="20849" spans="1:15" x14ac:dyDescent="0.25">
      <c r="A20849" t="s">
        <v>16</v>
      </c>
      <c r="B20849" t="s">
        <v>3221</v>
      </c>
      <c r="C20849">
        <v>7127</v>
      </c>
      <c r="D20849" t="s">
        <v>263</v>
      </c>
      <c r="E20849" t="s">
        <v>264</v>
      </c>
      <c r="F20849">
        <v>135.9</v>
      </c>
      <c r="G20849">
        <v>230515</v>
      </c>
      <c r="H20849">
        <v>4362</v>
      </c>
      <c r="I20849" t="s">
        <v>79</v>
      </c>
      <c r="J20849">
        <v>168.52</v>
      </c>
      <c r="K20849">
        <v>32.619999999999997</v>
      </c>
      <c r="L20849">
        <v>11801</v>
      </c>
      <c r="M20849" t="s">
        <v>92</v>
      </c>
      <c r="N20849" t="str">
        <f>"104475040   "</f>
        <v xml:space="preserve">104475040   </v>
      </c>
      <c r="O20849">
        <v>230525</v>
      </c>
    </row>
    <row r="20850" spans="1:15" x14ac:dyDescent="0.25">
      <c r="A20850" t="s">
        <v>16</v>
      </c>
      <c r="B20850" t="s">
        <v>3221</v>
      </c>
      <c r="C20850">
        <v>8144</v>
      </c>
      <c r="D20850" t="s">
        <v>263</v>
      </c>
      <c r="E20850" t="s">
        <v>264</v>
      </c>
      <c r="F20850">
        <v>4.55</v>
      </c>
      <c r="G20850">
        <v>230605</v>
      </c>
      <c r="H20850">
        <v>4362</v>
      </c>
      <c r="I20850" t="s">
        <v>79</v>
      </c>
      <c r="J20850">
        <v>4.55</v>
      </c>
      <c r="K20850">
        <v>0</v>
      </c>
      <c r="L20850">
        <v>59702</v>
      </c>
      <c r="M20850" t="s">
        <v>328</v>
      </c>
      <c r="N20850" t="str">
        <f>"12323024285 "</f>
        <v xml:space="preserve">12323024285 </v>
      </c>
      <c r="O20850">
        <v>230607</v>
      </c>
    </row>
    <row r="20851" spans="1:15" x14ac:dyDescent="0.25">
      <c r="A20851" t="s">
        <v>16</v>
      </c>
      <c r="B20851" t="s">
        <v>3221</v>
      </c>
      <c r="C20851">
        <v>8144</v>
      </c>
      <c r="D20851" t="s">
        <v>263</v>
      </c>
      <c r="E20851" t="s">
        <v>264</v>
      </c>
      <c r="F20851">
        <v>16.559999999999999</v>
      </c>
      <c r="G20851">
        <v>230605</v>
      </c>
      <c r="H20851">
        <v>4362</v>
      </c>
      <c r="I20851" t="s">
        <v>79</v>
      </c>
      <c r="J20851">
        <v>20.54</v>
      </c>
      <c r="K20851">
        <v>3.98</v>
      </c>
      <c r="L20851">
        <v>59702</v>
      </c>
      <c r="M20851" t="s">
        <v>328</v>
      </c>
      <c r="N20851" t="str">
        <f>"12323024285 "</f>
        <v xml:space="preserve">12323024285 </v>
      </c>
      <c r="O20851">
        <v>230607</v>
      </c>
    </row>
    <row r="20852" spans="1:15" x14ac:dyDescent="0.25">
      <c r="A20852" t="s">
        <v>16</v>
      </c>
      <c r="B20852" t="s">
        <v>3221</v>
      </c>
      <c r="C20852">
        <v>8144</v>
      </c>
      <c r="D20852" t="s">
        <v>263</v>
      </c>
      <c r="E20852" t="s">
        <v>264</v>
      </c>
      <c r="F20852">
        <v>7.96</v>
      </c>
      <c r="G20852">
        <v>230605</v>
      </c>
      <c r="H20852">
        <v>4362</v>
      </c>
      <c r="I20852" t="s">
        <v>79</v>
      </c>
      <c r="J20852">
        <v>9.8699999999999992</v>
      </c>
      <c r="K20852">
        <v>1.91</v>
      </c>
      <c r="L20852">
        <v>59704</v>
      </c>
      <c r="M20852" t="s">
        <v>1103</v>
      </c>
      <c r="N20852" t="str">
        <f>"12323024285 "</f>
        <v xml:space="preserve">12323024285 </v>
      </c>
      <c r="O20852">
        <v>230607</v>
      </c>
    </row>
    <row r="20853" spans="1:15" x14ac:dyDescent="0.25">
      <c r="A20853" t="s">
        <v>16</v>
      </c>
      <c r="B20853" t="s">
        <v>3221</v>
      </c>
      <c r="C20853">
        <v>8146</v>
      </c>
      <c r="D20853" t="s">
        <v>263</v>
      </c>
      <c r="E20853" t="s">
        <v>264</v>
      </c>
      <c r="F20853">
        <v>2.7</v>
      </c>
      <c r="G20853">
        <v>230605</v>
      </c>
      <c r="H20853">
        <v>4362</v>
      </c>
      <c r="I20853" t="s">
        <v>79</v>
      </c>
      <c r="J20853">
        <v>3.35</v>
      </c>
      <c r="K20853">
        <v>0.65</v>
      </c>
      <c r="L20853">
        <v>54451</v>
      </c>
      <c r="M20853" t="s">
        <v>158</v>
      </c>
      <c r="N20853" t="str">
        <f t="shared" ref="N20853:N20869" si="324">"12323024283 "</f>
        <v xml:space="preserve">12323024283 </v>
      </c>
      <c r="O20853">
        <v>230607</v>
      </c>
    </row>
    <row r="20854" spans="1:15" x14ac:dyDescent="0.25">
      <c r="A20854" t="s">
        <v>16</v>
      </c>
      <c r="B20854" t="s">
        <v>3221</v>
      </c>
      <c r="C20854">
        <v>8146</v>
      </c>
      <c r="D20854" t="s">
        <v>263</v>
      </c>
      <c r="E20854" t="s">
        <v>264</v>
      </c>
      <c r="F20854">
        <v>2.7</v>
      </c>
      <c r="G20854">
        <v>230605</v>
      </c>
      <c r="H20854">
        <v>4362</v>
      </c>
      <c r="I20854" t="s">
        <v>79</v>
      </c>
      <c r="J20854">
        <v>3.35</v>
      </c>
      <c r="K20854">
        <v>0.65</v>
      </c>
      <c r="L20854">
        <v>59111</v>
      </c>
      <c r="M20854" t="s">
        <v>1010</v>
      </c>
      <c r="N20854" t="str">
        <f t="shared" si="324"/>
        <v xml:space="preserve">12323024283 </v>
      </c>
      <c r="O20854">
        <v>230607</v>
      </c>
    </row>
    <row r="20855" spans="1:15" x14ac:dyDescent="0.25">
      <c r="A20855" t="s">
        <v>16</v>
      </c>
      <c r="B20855" t="s">
        <v>3221</v>
      </c>
      <c r="C20855">
        <v>8146</v>
      </c>
      <c r="D20855" t="s">
        <v>263</v>
      </c>
      <c r="E20855" t="s">
        <v>264</v>
      </c>
      <c r="F20855">
        <v>2.7</v>
      </c>
      <c r="G20855">
        <v>230605</v>
      </c>
      <c r="H20855">
        <v>4362</v>
      </c>
      <c r="I20855" t="s">
        <v>79</v>
      </c>
      <c r="J20855">
        <v>3.35</v>
      </c>
      <c r="K20855">
        <v>0.65</v>
      </c>
      <c r="L20855">
        <v>59112</v>
      </c>
      <c r="M20855" t="s">
        <v>182</v>
      </c>
      <c r="N20855" t="str">
        <f t="shared" si="324"/>
        <v xml:space="preserve">12323024283 </v>
      </c>
      <c r="O20855">
        <v>230607</v>
      </c>
    </row>
    <row r="20856" spans="1:15" x14ac:dyDescent="0.25">
      <c r="A20856" t="s">
        <v>16</v>
      </c>
      <c r="B20856" t="s">
        <v>3221</v>
      </c>
      <c r="C20856">
        <v>8146</v>
      </c>
      <c r="D20856" t="s">
        <v>263</v>
      </c>
      <c r="E20856" t="s">
        <v>264</v>
      </c>
      <c r="F20856">
        <v>5.4</v>
      </c>
      <c r="G20856">
        <v>230605</v>
      </c>
      <c r="H20856">
        <v>4362</v>
      </c>
      <c r="I20856" t="s">
        <v>79</v>
      </c>
      <c r="J20856">
        <v>6.7</v>
      </c>
      <c r="K20856">
        <v>1.3</v>
      </c>
      <c r="L20856">
        <v>59113</v>
      </c>
      <c r="M20856" t="s">
        <v>235</v>
      </c>
      <c r="N20856" t="str">
        <f t="shared" si="324"/>
        <v xml:space="preserve">12323024283 </v>
      </c>
      <c r="O20856">
        <v>230607</v>
      </c>
    </row>
    <row r="20857" spans="1:15" x14ac:dyDescent="0.25">
      <c r="A20857" t="s">
        <v>16</v>
      </c>
      <c r="B20857" t="s">
        <v>3221</v>
      </c>
      <c r="C20857">
        <v>8146</v>
      </c>
      <c r="D20857" t="s">
        <v>263</v>
      </c>
      <c r="E20857" t="s">
        <v>264</v>
      </c>
      <c r="F20857">
        <v>8.57</v>
      </c>
      <c r="G20857">
        <v>230605</v>
      </c>
      <c r="H20857">
        <v>4362</v>
      </c>
      <c r="I20857" t="s">
        <v>79</v>
      </c>
      <c r="J20857">
        <v>10.63</v>
      </c>
      <c r="K20857">
        <v>2.06</v>
      </c>
      <c r="L20857">
        <v>59114</v>
      </c>
      <c r="M20857" t="s">
        <v>556</v>
      </c>
      <c r="N20857" t="str">
        <f t="shared" si="324"/>
        <v xml:space="preserve">12323024283 </v>
      </c>
      <c r="O20857">
        <v>230607</v>
      </c>
    </row>
    <row r="20858" spans="1:15" x14ac:dyDescent="0.25">
      <c r="A20858" t="s">
        <v>16</v>
      </c>
      <c r="B20858" t="s">
        <v>3221</v>
      </c>
      <c r="C20858">
        <v>8146</v>
      </c>
      <c r="D20858" t="s">
        <v>263</v>
      </c>
      <c r="E20858" t="s">
        <v>264</v>
      </c>
      <c r="F20858">
        <v>3.35</v>
      </c>
      <c r="G20858">
        <v>230605</v>
      </c>
      <c r="H20858">
        <v>4362</v>
      </c>
      <c r="I20858" t="s">
        <v>79</v>
      </c>
      <c r="J20858">
        <v>3.35</v>
      </c>
      <c r="K20858">
        <v>0</v>
      </c>
      <c r="L20858">
        <v>59501</v>
      </c>
      <c r="M20858" t="s">
        <v>69</v>
      </c>
      <c r="N20858" t="str">
        <f t="shared" si="324"/>
        <v xml:space="preserve">12323024283 </v>
      </c>
      <c r="O20858">
        <v>230607</v>
      </c>
    </row>
    <row r="20859" spans="1:15" x14ac:dyDescent="0.25">
      <c r="A20859" t="s">
        <v>16</v>
      </c>
      <c r="B20859" t="s">
        <v>3221</v>
      </c>
      <c r="C20859">
        <v>8146</v>
      </c>
      <c r="D20859" t="s">
        <v>263</v>
      </c>
      <c r="E20859" t="s">
        <v>264</v>
      </c>
      <c r="F20859">
        <v>38.85</v>
      </c>
      <c r="G20859">
        <v>230605</v>
      </c>
      <c r="H20859">
        <v>4362</v>
      </c>
      <c r="I20859" t="s">
        <v>79</v>
      </c>
      <c r="J20859">
        <v>48.17</v>
      </c>
      <c r="K20859">
        <v>9.32</v>
      </c>
      <c r="L20859">
        <v>59501</v>
      </c>
      <c r="M20859" t="s">
        <v>69</v>
      </c>
      <c r="N20859" t="str">
        <f t="shared" si="324"/>
        <v xml:space="preserve">12323024283 </v>
      </c>
      <c r="O20859">
        <v>230607</v>
      </c>
    </row>
    <row r="20860" spans="1:15" x14ac:dyDescent="0.25">
      <c r="A20860" t="s">
        <v>16</v>
      </c>
      <c r="B20860" t="s">
        <v>3221</v>
      </c>
      <c r="C20860">
        <v>8146</v>
      </c>
      <c r="D20860" t="s">
        <v>263</v>
      </c>
      <c r="E20860" t="s">
        <v>264</v>
      </c>
      <c r="F20860">
        <v>31.9</v>
      </c>
      <c r="G20860">
        <v>230605</v>
      </c>
      <c r="H20860">
        <v>4362</v>
      </c>
      <c r="I20860" t="s">
        <v>79</v>
      </c>
      <c r="J20860">
        <v>39.56</v>
      </c>
      <c r="K20860">
        <v>7.66</v>
      </c>
      <c r="L20860">
        <v>59502</v>
      </c>
      <c r="M20860" t="s">
        <v>70</v>
      </c>
      <c r="N20860" t="str">
        <f t="shared" si="324"/>
        <v xml:space="preserve">12323024283 </v>
      </c>
      <c r="O20860">
        <v>230607</v>
      </c>
    </row>
    <row r="20861" spans="1:15" x14ac:dyDescent="0.25">
      <c r="A20861" t="s">
        <v>16</v>
      </c>
      <c r="B20861" t="s">
        <v>3221</v>
      </c>
      <c r="C20861">
        <v>8146</v>
      </c>
      <c r="D20861" t="s">
        <v>263</v>
      </c>
      <c r="E20861" t="s">
        <v>264</v>
      </c>
      <c r="F20861">
        <v>10.25</v>
      </c>
      <c r="G20861">
        <v>230605</v>
      </c>
      <c r="H20861">
        <v>4362</v>
      </c>
      <c r="I20861" t="s">
        <v>79</v>
      </c>
      <c r="J20861">
        <v>12.71</v>
      </c>
      <c r="K20861">
        <v>2.46</v>
      </c>
      <c r="L20861">
        <v>59504</v>
      </c>
      <c r="M20861" t="s">
        <v>71</v>
      </c>
      <c r="N20861" t="str">
        <f t="shared" si="324"/>
        <v xml:space="preserve">12323024283 </v>
      </c>
      <c r="O20861">
        <v>230607</v>
      </c>
    </row>
    <row r="20862" spans="1:15" x14ac:dyDescent="0.25">
      <c r="A20862" t="s">
        <v>16</v>
      </c>
      <c r="B20862" t="s">
        <v>3221</v>
      </c>
      <c r="C20862">
        <v>8146</v>
      </c>
      <c r="D20862" t="s">
        <v>263</v>
      </c>
      <c r="E20862" t="s">
        <v>264</v>
      </c>
      <c r="F20862">
        <v>5.4</v>
      </c>
      <c r="G20862">
        <v>230605</v>
      </c>
      <c r="H20862">
        <v>4362</v>
      </c>
      <c r="I20862" t="s">
        <v>79</v>
      </c>
      <c r="J20862">
        <v>6.7</v>
      </c>
      <c r="K20862">
        <v>1.3</v>
      </c>
      <c r="L20862">
        <v>59505</v>
      </c>
      <c r="M20862" t="s">
        <v>72</v>
      </c>
      <c r="N20862" t="str">
        <f t="shared" si="324"/>
        <v xml:space="preserve">12323024283 </v>
      </c>
      <c r="O20862">
        <v>230607</v>
      </c>
    </row>
    <row r="20863" spans="1:15" x14ac:dyDescent="0.25">
      <c r="A20863" t="s">
        <v>16</v>
      </c>
      <c r="B20863" t="s">
        <v>3221</v>
      </c>
      <c r="C20863">
        <v>8146</v>
      </c>
      <c r="D20863" t="s">
        <v>263</v>
      </c>
      <c r="E20863" t="s">
        <v>264</v>
      </c>
      <c r="F20863">
        <v>14.95</v>
      </c>
      <c r="G20863">
        <v>230605</v>
      </c>
      <c r="H20863">
        <v>4362</v>
      </c>
      <c r="I20863" t="s">
        <v>79</v>
      </c>
      <c r="J20863">
        <v>18.54</v>
      </c>
      <c r="K20863">
        <v>3.59</v>
      </c>
      <c r="L20863">
        <v>59701</v>
      </c>
      <c r="M20863" t="s">
        <v>297</v>
      </c>
      <c r="N20863" t="str">
        <f t="shared" si="324"/>
        <v xml:space="preserve">12323024283 </v>
      </c>
      <c r="O20863">
        <v>230607</v>
      </c>
    </row>
    <row r="20864" spans="1:15" x14ac:dyDescent="0.25">
      <c r="A20864" t="s">
        <v>16</v>
      </c>
      <c r="B20864" t="s">
        <v>3221</v>
      </c>
      <c r="C20864">
        <v>8146</v>
      </c>
      <c r="D20864" t="s">
        <v>263</v>
      </c>
      <c r="E20864" t="s">
        <v>264</v>
      </c>
      <c r="F20864">
        <v>2.7</v>
      </c>
      <c r="G20864">
        <v>230605</v>
      </c>
      <c r="H20864">
        <v>4362</v>
      </c>
      <c r="I20864" t="s">
        <v>79</v>
      </c>
      <c r="J20864">
        <v>3.35</v>
      </c>
      <c r="K20864">
        <v>0.65</v>
      </c>
      <c r="L20864">
        <v>59702</v>
      </c>
      <c r="M20864" t="s">
        <v>328</v>
      </c>
      <c r="N20864" t="str">
        <f t="shared" si="324"/>
        <v xml:space="preserve">12323024283 </v>
      </c>
      <c r="O20864">
        <v>230607</v>
      </c>
    </row>
    <row r="20865" spans="1:15" x14ac:dyDescent="0.25">
      <c r="A20865" t="s">
        <v>16</v>
      </c>
      <c r="B20865" t="s">
        <v>3221</v>
      </c>
      <c r="C20865">
        <v>8146</v>
      </c>
      <c r="D20865" t="s">
        <v>263</v>
      </c>
      <c r="E20865" t="s">
        <v>264</v>
      </c>
      <c r="F20865">
        <v>5.25</v>
      </c>
      <c r="G20865">
        <v>230605</v>
      </c>
      <c r="H20865">
        <v>4362</v>
      </c>
      <c r="I20865" t="s">
        <v>79</v>
      </c>
      <c r="J20865">
        <v>6.51</v>
      </c>
      <c r="K20865">
        <v>1.26</v>
      </c>
      <c r="L20865">
        <v>59704</v>
      </c>
      <c r="M20865" t="s">
        <v>1103</v>
      </c>
      <c r="N20865" t="str">
        <f t="shared" si="324"/>
        <v xml:space="preserve">12323024283 </v>
      </c>
      <c r="O20865">
        <v>230607</v>
      </c>
    </row>
    <row r="20866" spans="1:15" x14ac:dyDescent="0.25">
      <c r="A20866" t="s">
        <v>16</v>
      </c>
      <c r="B20866" t="s">
        <v>3221</v>
      </c>
      <c r="C20866">
        <v>8146</v>
      </c>
      <c r="D20866" t="s">
        <v>263</v>
      </c>
      <c r="E20866" t="s">
        <v>264</v>
      </c>
      <c r="F20866">
        <v>5.4</v>
      </c>
      <c r="G20866">
        <v>230605</v>
      </c>
      <c r="H20866">
        <v>4362</v>
      </c>
      <c r="I20866" t="s">
        <v>79</v>
      </c>
      <c r="J20866">
        <v>6.7</v>
      </c>
      <c r="K20866">
        <v>1.3</v>
      </c>
      <c r="L20866">
        <v>59705</v>
      </c>
      <c r="M20866" t="s">
        <v>843</v>
      </c>
      <c r="N20866" t="str">
        <f t="shared" si="324"/>
        <v xml:space="preserve">12323024283 </v>
      </c>
      <c r="O20866">
        <v>230607</v>
      </c>
    </row>
    <row r="20867" spans="1:15" x14ac:dyDescent="0.25">
      <c r="A20867" t="s">
        <v>16</v>
      </c>
      <c r="B20867" t="s">
        <v>3221</v>
      </c>
      <c r="C20867">
        <v>8146</v>
      </c>
      <c r="D20867" t="s">
        <v>263</v>
      </c>
      <c r="E20867" t="s">
        <v>264</v>
      </c>
      <c r="F20867">
        <v>16.079999999999998</v>
      </c>
      <c r="G20867">
        <v>230605</v>
      </c>
      <c r="H20867">
        <v>4362</v>
      </c>
      <c r="I20867" t="s">
        <v>79</v>
      </c>
      <c r="J20867">
        <v>19.940000000000001</v>
      </c>
      <c r="K20867">
        <v>3.86</v>
      </c>
      <c r="L20867">
        <v>59802</v>
      </c>
      <c r="M20867" t="s">
        <v>73</v>
      </c>
      <c r="N20867" t="str">
        <f t="shared" si="324"/>
        <v xml:space="preserve">12323024283 </v>
      </c>
      <c r="O20867">
        <v>230607</v>
      </c>
    </row>
    <row r="20868" spans="1:15" x14ac:dyDescent="0.25">
      <c r="A20868" t="s">
        <v>16</v>
      </c>
      <c r="B20868" t="s">
        <v>3221</v>
      </c>
      <c r="C20868">
        <v>8146</v>
      </c>
      <c r="D20868" t="s">
        <v>263</v>
      </c>
      <c r="E20868" t="s">
        <v>264</v>
      </c>
      <c r="F20868">
        <v>11.72</v>
      </c>
      <c r="G20868">
        <v>230605</v>
      </c>
      <c r="H20868">
        <v>4362</v>
      </c>
      <c r="I20868" t="s">
        <v>79</v>
      </c>
      <c r="J20868">
        <v>14.53</v>
      </c>
      <c r="K20868">
        <v>2.81</v>
      </c>
      <c r="L20868">
        <v>59812</v>
      </c>
      <c r="M20868" t="s">
        <v>74</v>
      </c>
      <c r="N20868" t="str">
        <f t="shared" si="324"/>
        <v xml:space="preserve">12323024283 </v>
      </c>
      <c r="O20868">
        <v>230607</v>
      </c>
    </row>
    <row r="20869" spans="1:15" x14ac:dyDescent="0.25">
      <c r="A20869" t="s">
        <v>16</v>
      </c>
      <c r="B20869" t="s">
        <v>3221</v>
      </c>
      <c r="C20869">
        <v>8146</v>
      </c>
      <c r="D20869" t="s">
        <v>263</v>
      </c>
      <c r="E20869" t="s">
        <v>264</v>
      </c>
      <c r="F20869">
        <v>2.9</v>
      </c>
      <c r="G20869">
        <v>230605</v>
      </c>
      <c r="H20869">
        <v>4362</v>
      </c>
      <c r="I20869" t="s">
        <v>79</v>
      </c>
      <c r="J20869">
        <v>3.6</v>
      </c>
      <c r="K20869">
        <v>0.7</v>
      </c>
      <c r="L20869">
        <v>59815</v>
      </c>
      <c r="M20869" t="s">
        <v>1182</v>
      </c>
      <c r="N20869" t="str">
        <f t="shared" si="324"/>
        <v xml:space="preserve">12323024283 </v>
      </c>
      <c r="O20869">
        <v>230607</v>
      </c>
    </row>
    <row r="20870" spans="1:15" x14ac:dyDescent="0.25">
      <c r="A20870" t="s">
        <v>16</v>
      </c>
      <c r="B20870" t="s">
        <v>3221</v>
      </c>
      <c r="C20870">
        <v>8149</v>
      </c>
      <c r="D20870" t="s">
        <v>263</v>
      </c>
      <c r="E20870" t="s">
        <v>264</v>
      </c>
      <c r="F20870">
        <v>2.7</v>
      </c>
      <c r="G20870">
        <v>230605</v>
      </c>
      <c r="H20870">
        <v>4362</v>
      </c>
      <c r="I20870" t="s">
        <v>79</v>
      </c>
      <c r="J20870">
        <v>3.35</v>
      </c>
      <c r="K20870">
        <v>0.65</v>
      </c>
      <c r="L20870">
        <v>51138</v>
      </c>
      <c r="M20870" t="s">
        <v>1162</v>
      </c>
      <c r="N20870" t="str">
        <f t="shared" ref="N20870:N20877" si="325">"12323024287 "</f>
        <v xml:space="preserve">12323024287 </v>
      </c>
      <c r="O20870">
        <v>230607</v>
      </c>
    </row>
    <row r="20871" spans="1:15" x14ac:dyDescent="0.25">
      <c r="A20871" t="s">
        <v>16</v>
      </c>
      <c r="B20871" t="s">
        <v>3221</v>
      </c>
      <c r="C20871">
        <v>8149</v>
      </c>
      <c r="D20871" t="s">
        <v>263</v>
      </c>
      <c r="E20871" t="s">
        <v>264</v>
      </c>
      <c r="F20871">
        <v>16.190000000000001</v>
      </c>
      <c r="G20871">
        <v>230605</v>
      </c>
      <c r="H20871">
        <v>4362</v>
      </c>
      <c r="I20871" t="s">
        <v>79</v>
      </c>
      <c r="J20871">
        <v>20.07</v>
      </c>
      <c r="K20871">
        <v>3.88</v>
      </c>
      <c r="L20871">
        <v>54222</v>
      </c>
      <c r="M20871" t="s">
        <v>308</v>
      </c>
      <c r="N20871" t="str">
        <f t="shared" si="325"/>
        <v xml:space="preserve">12323024287 </v>
      </c>
      <c r="O20871">
        <v>230607</v>
      </c>
    </row>
    <row r="20872" spans="1:15" x14ac:dyDescent="0.25">
      <c r="A20872" t="s">
        <v>16</v>
      </c>
      <c r="B20872" t="s">
        <v>3221</v>
      </c>
      <c r="C20872">
        <v>8149</v>
      </c>
      <c r="D20872" t="s">
        <v>263</v>
      </c>
      <c r="E20872" t="s">
        <v>264</v>
      </c>
      <c r="F20872">
        <v>2.7</v>
      </c>
      <c r="G20872">
        <v>230605</v>
      </c>
      <c r="H20872">
        <v>4362</v>
      </c>
      <c r="I20872" t="s">
        <v>79</v>
      </c>
      <c r="J20872">
        <v>3.35</v>
      </c>
      <c r="K20872">
        <v>0.65</v>
      </c>
      <c r="L20872">
        <v>54251</v>
      </c>
      <c r="M20872" t="s">
        <v>309</v>
      </c>
      <c r="N20872" t="str">
        <f t="shared" si="325"/>
        <v xml:space="preserve">12323024287 </v>
      </c>
      <c r="O20872">
        <v>230607</v>
      </c>
    </row>
    <row r="20873" spans="1:15" x14ac:dyDescent="0.25">
      <c r="A20873" t="s">
        <v>16</v>
      </c>
      <c r="B20873" t="s">
        <v>3221</v>
      </c>
      <c r="C20873">
        <v>8149</v>
      </c>
      <c r="D20873" t="s">
        <v>263</v>
      </c>
      <c r="E20873" t="s">
        <v>264</v>
      </c>
      <c r="F20873">
        <v>2.7</v>
      </c>
      <c r="G20873">
        <v>230605</v>
      </c>
      <c r="H20873">
        <v>4362</v>
      </c>
      <c r="I20873" t="s">
        <v>79</v>
      </c>
      <c r="J20873">
        <v>3.35</v>
      </c>
      <c r="K20873">
        <v>0.65</v>
      </c>
      <c r="L20873">
        <v>54252</v>
      </c>
      <c r="M20873" t="s">
        <v>534</v>
      </c>
      <c r="N20873" t="str">
        <f t="shared" si="325"/>
        <v xml:space="preserve">12323024287 </v>
      </c>
      <c r="O20873">
        <v>230607</v>
      </c>
    </row>
    <row r="20874" spans="1:15" x14ac:dyDescent="0.25">
      <c r="A20874" t="s">
        <v>16</v>
      </c>
      <c r="B20874" t="s">
        <v>3221</v>
      </c>
      <c r="C20874">
        <v>8149</v>
      </c>
      <c r="D20874" t="s">
        <v>263</v>
      </c>
      <c r="E20874" t="s">
        <v>264</v>
      </c>
      <c r="F20874">
        <v>8.2899999999999991</v>
      </c>
      <c r="G20874">
        <v>230605</v>
      </c>
      <c r="H20874">
        <v>4362</v>
      </c>
      <c r="I20874" t="s">
        <v>79</v>
      </c>
      <c r="J20874">
        <v>10.28</v>
      </c>
      <c r="K20874">
        <v>1.99</v>
      </c>
      <c r="L20874">
        <v>54422</v>
      </c>
      <c r="M20874" t="s">
        <v>234</v>
      </c>
      <c r="N20874" t="str">
        <f t="shared" si="325"/>
        <v xml:space="preserve">12323024287 </v>
      </c>
      <c r="O20874">
        <v>230607</v>
      </c>
    </row>
    <row r="20875" spans="1:15" x14ac:dyDescent="0.25">
      <c r="A20875" t="s">
        <v>16</v>
      </c>
      <c r="B20875" t="s">
        <v>3221</v>
      </c>
      <c r="C20875">
        <v>8149</v>
      </c>
      <c r="D20875" t="s">
        <v>263</v>
      </c>
      <c r="E20875" t="s">
        <v>264</v>
      </c>
      <c r="F20875">
        <v>5.4</v>
      </c>
      <c r="G20875">
        <v>230605</v>
      </c>
      <c r="H20875">
        <v>4362</v>
      </c>
      <c r="I20875" t="s">
        <v>79</v>
      </c>
      <c r="J20875">
        <v>6.7</v>
      </c>
      <c r="K20875">
        <v>1.3</v>
      </c>
      <c r="L20875">
        <v>54451</v>
      </c>
      <c r="M20875" t="s">
        <v>158</v>
      </c>
      <c r="N20875" t="str">
        <f t="shared" si="325"/>
        <v xml:space="preserve">12323024287 </v>
      </c>
      <c r="O20875">
        <v>230607</v>
      </c>
    </row>
    <row r="20876" spans="1:15" x14ac:dyDescent="0.25">
      <c r="A20876" t="s">
        <v>16</v>
      </c>
      <c r="B20876" t="s">
        <v>3221</v>
      </c>
      <c r="C20876">
        <v>8149</v>
      </c>
      <c r="D20876" t="s">
        <v>263</v>
      </c>
      <c r="E20876" t="s">
        <v>264</v>
      </c>
      <c r="F20876">
        <v>5.4</v>
      </c>
      <c r="G20876">
        <v>230605</v>
      </c>
      <c r="H20876">
        <v>4362</v>
      </c>
      <c r="I20876" t="s">
        <v>79</v>
      </c>
      <c r="J20876">
        <v>6.7</v>
      </c>
      <c r="K20876">
        <v>1.3</v>
      </c>
      <c r="L20876">
        <v>56563</v>
      </c>
      <c r="M20876" t="s">
        <v>953</v>
      </c>
      <c r="N20876" t="str">
        <f t="shared" si="325"/>
        <v xml:space="preserve">12323024287 </v>
      </c>
      <c r="O20876">
        <v>230607</v>
      </c>
    </row>
    <row r="20877" spans="1:15" x14ac:dyDescent="0.25">
      <c r="A20877" t="s">
        <v>16</v>
      </c>
      <c r="B20877" t="s">
        <v>3221</v>
      </c>
      <c r="C20877">
        <v>8149</v>
      </c>
      <c r="D20877" t="s">
        <v>263</v>
      </c>
      <c r="E20877" t="s">
        <v>264</v>
      </c>
      <c r="F20877">
        <v>2.7</v>
      </c>
      <c r="G20877">
        <v>230605</v>
      </c>
      <c r="H20877">
        <v>4362</v>
      </c>
      <c r="I20877" t="s">
        <v>79</v>
      </c>
      <c r="J20877">
        <v>3.35</v>
      </c>
      <c r="K20877">
        <v>0.65</v>
      </c>
      <c r="L20877">
        <v>58601</v>
      </c>
      <c r="M20877" t="s">
        <v>251</v>
      </c>
      <c r="N20877" t="str">
        <f t="shared" si="325"/>
        <v xml:space="preserve">12323024287 </v>
      </c>
      <c r="O20877">
        <v>230607</v>
      </c>
    </row>
    <row r="20878" spans="1:15" x14ac:dyDescent="0.25">
      <c r="A20878" t="s">
        <v>16</v>
      </c>
      <c r="B20878" t="s">
        <v>3221</v>
      </c>
      <c r="C20878">
        <v>8150</v>
      </c>
      <c r="D20878" t="s">
        <v>263</v>
      </c>
      <c r="E20878" t="s">
        <v>264</v>
      </c>
      <c r="F20878">
        <v>2.7</v>
      </c>
      <c r="G20878">
        <v>230605</v>
      </c>
      <c r="H20878">
        <v>4362</v>
      </c>
      <c r="I20878" t="s">
        <v>79</v>
      </c>
      <c r="J20878">
        <v>3.35</v>
      </c>
      <c r="K20878">
        <v>0.65</v>
      </c>
      <c r="L20878">
        <v>56522</v>
      </c>
      <c r="M20878" t="s">
        <v>43</v>
      </c>
      <c r="N20878" t="str">
        <f>"12323024284 "</f>
        <v xml:space="preserve">12323024284 </v>
      </c>
      <c r="O20878">
        <v>230607</v>
      </c>
    </row>
    <row r="20879" spans="1:15" x14ac:dyDescent="0.25">
      <c r="A20879" t="s">
        <v>16</v>
      </c>
      <c r="B20879" t="s">
        <v>3221</v>
      </c>
      <c r="C20879">
        <v>8150</v>
      </c>
      <c r="D20879" t="s">
        <v>263</v>
      </c>
      <c r="E20879" t="s">
        <v>264</v>
      </c>
      <c r="F20879">
        <v>10.5</v>
      </c>
      <c r="G20879">
        <v>230605</v>
      </c>
      <c r="H20879">
        <v>4362</v>
      </c>
      <c r="I20879" t="s">
        <v>79</v>
      </c>
      <c r="J20879">
        <v>13.02</v>
      </c>
      <c r="K20879">
        <v>2.52</v>
      </c>
      <c r="L20879">
        <v>56524</v>
      </c>
      <c r="M20879" t="s">
        <v>150</v>
      </c>
      <c r="N20879" t="str">
        <f>"12323024284 "</f>
        <v xml:space="preserve">12323024284 </v>
      </c>
      <c r="O20879">
        <v>230607</v>
      </c>
    </row>
    <row r="20880" spans="1:15" x14ac:dyDescent="0.25">
      <c r="A20880" t="s">
        <v>16</v>
      </c>
      <c r="B20880" t="s">
        <v>3221</v>
      </c>
      <c r="C20880">
        <v>8150</v>
      </c>
      <c r="D20880" t="s">
        <v>263</v>
      </c>
      <c r="E20880" t="s">
        <v>264</v>
      </c>
      <c r="F20880">
        <v>8.1</v>
      </c>
      <c r="G20880">
        <v>230605</v>
      </c>
      <c r="H20880">
        <v>4362</v>
      </c>
      <c r="I20880" t="s">
        <v>79</v>
      </c>
      <c r="J20880">
        <v>10.039999999999999</v>
      </c>
      <c r="K20880">
        <v>1.94</v>
      </c>
      <c r="L20880">
        <v>56528</v>
      </c>
      <c r="M20880" t="s">
        <v>153</v>
      </c>
      <c r="N20880" t="str">
        <f>"12323024284 "</f>
        <v xml:space="preserve">12323024284 </v>
      </c>
      <c r="O20880">
        <v>230607</v>
      </c>
    </row>
    <row r="20881" spans="1:15" x14ac:dyDescent="0.25">
      <c r="A20881" t="s">
        <v>16</v>
      </c>
      <c r="B20881" t="s">
        <v>3221</v>
      </c>
      <c r="C20881">
        <v>8151</v>
      </c>
      <c r="D20881" t="s">
        <v>263</v>
      </c>
      <c r="E20881" t="s">
        <v>264</v>
      </c>
      <c r="F20881">
        <v>2.7</v>
      </c>
      <c r="G20881">
        <v>230605</v>
      </c>
      <c r="H20881">
        <v>4362</v>
      </c>
      <c r="I20881" t="s">
        <v>79</v>
      </c>
      <c r="J20881">
        <v>3.35</v>
      </c>
      <c r="K20881">
        <v>0.65</v>
      </c>
      <c r="L20881">
        <v>51157</v>
      </c>
      <c r="M20881" t="s">
        <v>1216</v>
      </c>
      <c r="N20881" t="str">
        <f t="shared" ref="N20881:N20891" si="326">"12323024289 "</f>
        <v xml:space="preserve">12323024289 </v>
      </c>
      <c r="O20881">
        <v>230607</v>
      </c>
    </row>
    <row r="20882" spans="1:15" x14ac:dyDescent="0.25">
      <c r="A20882" t="s">
        <v>16</v>
      </c>
      <c r="B20882" t="s">
        <v>3221</v>
      </c>
      <c r="C20882">
        <v>8151</v>
      </c>
      <c r="D20882" t="s">
        <v>263</v>
      </c>
      <c r="E20882" t="s">
        <v>264</v>
      </c>
      <c r="F20882">
        <v>2.7</v>
      </c>
      <c r="G20882">
        <v>230605</v>
      </c>
      <c r="H20882">
        <v>4362</v>
      </c>
      <c r="I20882" t="s">
        <v>79</v>
      </c>
      <c r="J20882">
        <v>3.35</v>
      </c>
      <c r="K20882">
        <v>0.65</v>
      </c>
      <c r="L20882">
        <v>56526</v>
      </c>
      <c r="M20882" t="s">
        <v>1217</v>
      </c>
      <c r="N20882" t="str">
        <f t="shared" si="326"/>
        <v xml:space="preserve">12323024289 </v>
      </c>
      <c r="O20882">
        <v>230607</v>
      </c>
    </row>
    <row r="20883" spans="1:15" x14ac:dyDescent="0.25">
      <c r="A20883" t="s">
        <v>16</v>
      </c>
      <c r="B20883" t="s">
        <v>3221</v>
      </c>
      <c r="C20883">
        <v>8151</v>
      </c>
      <c r="D20883" t="s">
        <v>263</v>
      </c>
      <c r="E20883" t="s">
        <v>264</v>
      </c>
      <c r="F20883">
        <v>14.71</v>
      </c>
      <c r="G20883">
        <v>230605</v>
      </c>
      <c r="H20883">
        <v>4362</v>
      </c>
      <c r="I20883" t="s">
        <v>79</v>
      </c>
      <c r="J20883">
        <v>18.239999999999998</v>
      </c>
      <c r="K20883">
        <v>3.53</v>
      </c>
      <c r="L20883">
        <v>56558</v>
      </c>
      <c r="M20883" t="s">
        <v>217</v>
      </c>
      <c r="N20883" t="str">
        <f t="shared" si="326"/>
        <v xml:space="preserve">12323024289 </v>
      </c>
      <c r="O20883">
        <v>230607</v>
      </c>
    </row>
    <row r="20884" spans="1:15" x14ac:dyDescent="0.25">
      <c r="A20884" t="s">
        <v>16</v>
      </c>
      <c r="B20884" t="s">
        <v>3221</v>
      </c>
      <c r="C20884">
        <v>8151</v>
      </c>
      <c r="D20884" t="s">
        <v>263</v>
      </c>
      <c r="E20884" t="s">
        <v>264</v>
      </c>
      <c r="F20884">
        <v>29.71</v>
      </c>
      <c r="G20884">
        <v>230605</v>
      </c>
      <c r="H20884">
        <v>4362</v>
      </c>
      <c r="I20884" t="s">
        <v>79</v>
      </c>
      <c r="J20884">
        <v>36.840000000000003</v>
      </c>
      <c r="K20884">
        <v>7.13</v>
      </c>
      <c r="L20884">
        <v>56559</v>
      </c>
      <c r="M20884" t="s">
        <v>129</v>
      </c>
      <c r="N20884" t="str">
        <f t="shared" si="326"/>
        <v xml:space="preserve">12323024289 </v>
      </c>
      <c r="O20884">
        <v>230607</v>
      </c>
    </row>
    <row r="20885" spans="1:15" x14ac:dyDescent="0.25">
      <c r="A20885" t="s">
        <v>16</v>
      </c>
      <c r="B20885" t="s">
        <v>3221</v>
      </c>
      <c r="C20885">
        <v>8151</v>
      </c>
      <c r="D20885" t="s">
        <v>263</v>
      </c>
      <c r="E20885" t="s">
        <v>264</v>
      </c>
      <c r="F20885">
        <v>8.2899999999999991</v>
      </c>
      <c r="G20885">
        <v>230605</v>
      </c>
      <c r="H20885">
        <v>4362</v>
      </c>
      <c r="I20885" t="s">
        <v>79</v>
      </c>
      <c r="J20885">
        <v>10.28</v>
      </c>
      <c r="K20885">
        <v>1.99</v>
      </c>
      <c r="L20885">
        <v>56560</v>
      </c>
      <c r="M20885" t="s">
        <v>654</v>
      </c>
      <c r="N20885" t="str">
        <f t="shared" si="326"/>
        <v xml:space="preserve">12323024289 </v>
      </c>
      <c r="O20885">
        <v>230607</v>
      </c>
    </row>
    <row r="20886" spans="1:15" x14ac:dyDescent="0.25">
      <c r="A20886" t="s">
        <v>16</v>
      </c>
      <c r="B20886" t="s">
        <v>3221</v>
      </c>
      <c r="C20886">
        <v>8151</v>
      </c>
      <c r="D20886" t="s">
        <v>263</v>
      </c>
      <c r="E20886" t="s">
        <v>264</v>
      </c>
      <c r="F20886">
        <v>2.9</v>
      </c>
      <c r="G20886">
        <v>230605</v>
      </c>
      <c r="H20886">
        <v>4362</v>
      </c>
      <c r="I20886" t="s">
        <v>79</v>
      </c>
      <c r="J20886">
        <v>3.6</v>
      </c>
      <c r="K20886">
        <v>0.7</v>
      </c>
      <c r="L20886">
        <v>56561</v>
      </c>
      <c r="M20886" t="s">
        <v>358</v>
      </c>
      <c r="N20886" t="str">
        <f t="shared" si="326"/>
        <v xml:space="preserve">12323024289 </v>
      </c>
      <c r="O20886">
        <v>230607</v>
      </c>
    </row>
    <row r="20887" spans="1:15" x14ac:dyDescent="0.25">
      <c r="A20887" t="s">
        <v>16</v>
      </c>
      <c r="B20887" t="s">
        <v>3221</v>
      </c>
      <c r="C20887">
        <v>8151</v>
      </c>
      <c r="D20887" t="s">
        <v>263</v>
      </c>
      <c r="E20887" t="s">
        <v>264</v>
      </c>
      <c r="F20887">
        <v>5.4</v>
      </c>
      <c r="G20887">
        <v>230605</v>
      </c>
      <c r="H20887">
        <v>4362</v>
      </c>
      <c r="I20887" t="s">
        <v>79</v>
      </c>
      <c r="J20887">
        <v>6.7</v>
      </c>
      <c r="K20887">
        <v>1.3</v>
      </c>
      <c r="L20887">
        <v>56562</v>
      </c>
      <c r="M20887" t="s">
        <v>126</v>
      </c>
      <c r="N20887" t="str">
        <f t="shared" si="326"/>
        <v xml:space="preserve">12323024289 </v>
      </c>
      <c r="O20887">
        <v>230607</v>
      </c>
    </row>
    <row r="20888" spans="1:15" x14ac:dyDescent="0.25">
      <c r="A20888" t="s">
        <v>16</v>
      </c>
      <c r="B20888" t="s">
        <v>3221</v>
      </c>
      <c r="C20888">
        <v>8151</v>
      </c>
      <c r="D20888" t="s">
        <v>263</v>
      </c>
      <c r="E20888" t="s">
        <v>264</v>
      </c>
      <c r="F20888">
        <v>7.98</v>
      </c>
      <c r="G20888">
        <v>230605</v>
      </c>
      <c r="H20888">
        <v>4362</v>
      </c>
      <c r="I20888" t="s">
        <v>79</v>
      </c>
      <c r="J20888">
        <v>9.9</v>
      </c>
      <c r="K20888">
        <v>1.92</v>
      </c>
      <c r="L20888">
        <v>56564</v>
      </c>
      <c r="M20888" t="s">
        <v>327</v>
      </c>
      <c r="N20888" t="str">
        <f t="shared" si="326"/>
        <v xml:space="preserve">12323024289 </v>
      </c>
      <c r="O20888">
        <v>230607</v>
      </c>
    </row>
    <row r="20889" spans="1:15" x14ac:dyDescent="0.25">
      <c r="A20889" t="s">
        <v>16</v>
      </c>
      <c r="B20889" t="s">
        <v>3221</v>
      </c>
      <c r="C20889">
        <v>8151</v>
      </c>
      <c r="D20889" t="s">
        <v>263</v>
      </c>
      <c r="E20889" t="s">
        <v>264</v>
      </c>
      <c r="F20889">
        <v>4.63</v>
      </c>
      <c r="G20889">
        <v>230605</v>
      </c>
      <c r="H20889">
        <v>4362</v>
      </c>
      <c r="I20889" t="s">
        <v>79</v>
      </c>
      <c r="J20889">
        <v>5.74</v>
      </c>
      <c r="K20889">
        <v>1.1100000000000001</v>
      </c>
      <c r="L20889">
        <v>56565</v>
      </c>
      <c r="M20889" t="s">
        <v>758</v>
      </c>
      <c r="N20889" t="str">
        <f t="shared" si="326"/>
        <v xml:space="preserve">12323024289 </v>
      </c>
      <c r="O20889">
        <v>230607</v>
      </c>
    </row>
    <row r="20890" spans="1:15" x14ac:dyDescent="0.25">
      <c r="A20890" t="s">
        <v>16</v>
      </c>
      <c r="B20890" t="s">
        <v>3221</v>
      </c>
      <c r="C20890">
        <v>8151</v>
      </c>
      <c r="D20890" t="s">
        <v>263</v>
      </c>
      <c r="E20890" t="s">
        <v>264</v>
      </c>
      <c r="F20890">
        <v>5.4</v>
      </c>
      <c r="G20890">
        <v>230605</v>
      </c>
      <c r="H20890">
        <v>4362</v>
      </c>
      <c r="I20890" t="s">
        <v>79</v>
      </c>
      <c r="J20890">
        <v>6.7</v>
      </c>
      <c r="K20890">
        <v>1.3</v>
      </c>
      <c r="L20890">
        <v>56566</v>
      </c>
      <c r="M20890" t="s">
        <v>652</v>
      </c>
      <c r="N20890" t="str">
        <f t="shared" si="326"/>
        <v xml:space="preserve">12323024289 </v>
      </c>
      <c r="O20890">
        <v>230607</v>
      </c>
    </row>
    <row r="20891" spans="1:15" x14ac:dyDescent="0.25">
      <c r="A20891" t="s">
        <v>16</v>
      </c>
      <c r="B20891" t="s">
        <v>3221</v>
      </c>
      <c r="C20891">
        <v>8151</v>
      </c>
      <c r="D20891" t="s">
        <v>263</v>
      </c>
      <c r="E20891" t="s">
        <v>264</v>
      </c>
      <c r="F20891">
        <v>2.7</v>
      </c>
      <c r="G20891">
        <v>230605</v>
      </c>
      <c r="H20891">
        <v>4362</v>
      </c>
      <c r="I20891" t="s">
        <v>79</v>
      </c>
      <c r="J20891">
        <v>3.35</v>
      </c>
      <c r="K20891">
        <v>0.65</v>
      </c>
      <c r="L20891">
        <v>56568</v>
      </c>
      <c r="M20891" t="s">
        <v>268</v>
      </c>
      <c r="N20891" t="str">
        <f t="shared" si="326"/>
        <v xml:space="preserve">12323024289 </v>
      </c>
      <c r="O20891">
        <v>230607</v>
      </c>
    </row>
    <row r="20892" spans="1:15" x14ac:dyDescent="0.25">
      <c r="A20892" t="s">
        <v>16</v>
      </c>
      <c r="B20892" t="s">
        <v>3221</v>
      </c>
      <c r="C20892">
        <v>8191</v>
      </c>
      <c r="D20892" t="s">
        <v>263</v>
      </c>
      <c r="E20892" t="s">
        <v>264</v>
      </c>
      <c r="F20892">
        <v>45.9</v>
      </c>
      <c r="G20892">
        <v>230605</v>
      </c>
      <c r="H20892">
        <v>4362</v>
      </c>
      <c r="I20892" t="s">
        <v>79</v>
      </c>
      <c r="J20892">
        <v>56.92</v>
      </c>
      <c r="K20892">
        <v>11.02</v>
      </c>
      <c r="L20892">
        <v>10002</v>
      </c>
      <c r="M20892" t="s">
        <v>1066</v>
      </c>
      <c r="N20892" t="str">
        <f>"12323024323 "</f>
        <v xml:space="preserve">12323024323 </v>
      </c>
      <c r="O20892">
        <v>230607</v>
      </c>
    </row>
    <row r="20893" spans="1:15" x14ac:dyDescent="0.25">
      <c r="A20893" t="s">
        <v>16</v>
      </c>
      <c r="B20893" t="s">
        <v>3221</v>
      </c>
      <c r="C20893">
        <v>8414</v>
      </c>
      <c r="D20893" t="s">
        <v>263</v>
      </c>
      <c r="E20893" t="s">
        <v>264</v>
      </c>
      <c r="F20893">
        <v>30.02</v>
      </c>
      <c r="G20893">
        <v>230605</v>
      </c>
      <c r="H20893">
        <v>4362</v>
      </c>
      <c r="I20893" t="s">
        <v>79</v>
      </c>
      <c r="J20893">
        <v>37.22</v>
      </c>
      <c r="K20893">
        <v>7.2</v>
      </c>
      <c r="L20893">
        <v>49501</v>
      </c>
      <c r="M20893" t="s">
        <v>177</v>
      </c>
      <c r="N20893" t="str">
        <f>"12323024290 "</f>
        <v xml:space="preserve">12323024290 </v>
      </c>
      <c r="O20893">
        <v>230608</v>
      </c>
    </row>
    <row r="20894" spans="1:15" x14ac:dyDescent="0.25">
      <c r="A20894" t="s">
        <v>16</v>
      </c>
      <c r="B20894" t="s">
        <v>3221</v>
      </c>
      <c r="C20894">
        <v>8417</v>
      </c>
      <c r="D20894" t="s">
        <v>263</v>
      </c>
      <c r="E20894" t="s">
        <v>264</v>
      </c>
      <c r="F20894">
        <v>6.87</v>
      </c>
      <c r="G20894">
        <v>230605</v>
      </c>
      <c r="H20894">
        <v>4362</v>
      </c>
      <c r="I20894" t="s">
        <v>79</v>
      </c>
      <c r="J20894">
        <v>8.52</v>
      </c>
      <c r="K20894">
        <v>1.65</v>
      </c>
      <c r="L20894">
        <v>46556</v>
      </c>
      <c r="M20894" t="s">
        <v>125</v>
      </c>
      <c r="N20894" t="str">
        <f>"12323024297 "</f>
        <v xml:space="preserve">12323024297 </v>
      </c>
      <c r="O20894">
        <v>230608</v>
      </c>
    </row>
    <row r="20895" spans="1:15" x14ac:dyDescent="0.25">
      <c r="A20895" t="s">
        <v>16</v>
      </c>
      <c r="B20895" t="s">
        <v>3221</v>
      </c>
      <c r="C20895">
        <v>8422</v>
      </c>
      <c r="D20895" t="s">
        <v>263</v>
      </c>
      <c r="E20895" t="s">
        <v>264</v>
      </c>
      <c r="F20895">
        <v>5.4</v>
      </c>
      <c r="G20895">
        <v>230605</v>
      </c>
      <c r="H20895">
        <v>4362</v>
      </c>
      <c r="I20895" t="s">
        <v>79</v>
      </c>
      <c r="J20895">
        <v>6.7</v>
      </c>
      <c r="K20895">
        <v>1.3</v>
      </c>
      <c r="L20895">
        <v>46557</v>
      </c>
      <c r="M20895" t="s">
        <v>221</v>
      </c>
      <c r="N20895" t="str">
        <f>"12323024315 "</f>
        <v xml:space="preserve">12323024315 </v>
      </c>
      <c r="O20895">
        <v>230608</v>
      </c>
    </row>
    <row r="20896" spans="1:15" x14ac:dyDescent="0.25">
      <c r="A20896" t="s">
        <v>16</v>
      </c>
      <c r="B20896" t="s">
        <v>3221</v>
      </c>
      <c r="C20896">
        <v>8426</v>
      </c>
      <c r="D20896" t="s">
        <v>263</v>
      </c>
      <c r="E20896" t="s">
        <v>264</v>
      </c>
      <c r="F20896">
        <v>2.7</v>
      </c>
      <c r="G20896">
        <v>230605</v>
      </c>
      <c r="H20896">
        <v>4362</v>
      </c>
      <c r="I20896" t="s">
        <v>79</v>
      </c>
      <c r="J20896">
        <v>3.35</v>
      </c>
      <c r="K20896">
        <v>0.65</v>
      </c>
      <c r="L20896">
        <v>11900</v>
      </c>
      <c r="M20896" t="s">
        <v>1105</v>
      </c>
      <c r="N20896" t="str">
        <f>"12323024301 "</f>
        <v xml:space="preserve">12323024301 </v>
      </c>
      <c r="O20896">
        <v>230608</v>
      </c>
    </row>
    <row r="20897" spans="1:15" x14ac:dyDescent="0.25">
      <c r="A20897" t="s">
        <v>16</v>
      </c>
      <c r="B20897" t="s">
        <v>3221</v>
      </c>
      <c r="C20897">
        <v>8430</v>
      </c>
      <c r="D20897" t="s">
        <v>263</v>
      </c>
      <c r="E20897" t="s">
        <v>264</v>
      </c>
      <c r="F20897">
        <v>4.75</v>
      </c>
      <c r="G20897">
        <v>230605</v>
      </c>
      <c r="H20897">
        <v>4362</v>
      </c>
      <c r="I20897" t="s">
        <v>79</v>
      </c>
      <c r="J20897">
        <v>5.89</v>
      </c>
      <c r="K20897">
        <v>1.1399999999999999</v>
      </c>
      <c r="L20897">
        <v>11903</v>
      </c>
      <c r="M20897" t="s">
        <v>406</v>
      </c>
      <c r="N20897" t="str">
        <f>"12323024311 "</f>
        <v xml:space="preserve">12323024311 </v>
      </c>
      <c r="O20897">
        <v>230608</v>
      </c>
    </row>
    <row r="20898" spans="1:15" x14ac:dyDescent="0.25">
      <c r="A20898" t="s">
        <v>16</v>
      </c>
      <c r="B20898" t="s">
        <v>3221</v>
      </c>
      <c r="C20898">
        <v>8430</v>
      </c>
      <c r="D20898" t="s">
        <v>263</v>
      </c>
      <c r="E20898" t="s">
        <v>264</v>
      </c>
      <c r="F20898">
        <v>2.7</v>
      </c>
      <c r="G20898">
        <v>230605</v>
      </c>
      <c r="H20898">
        <v>4362</v>
      </c>
      <c r="I20898" t="s">
        <v>79</v>
      </c>
      <c r="J20898">
        <v>3.35</v>
      </c>
      <c r="K20898">
        <v>0.65</v>
      </c>
      <c r="L20898">
        <v>11905</v>
      </c>
      <c r="M20898" t="s">
        <v>39</v>
      </c>
      <c r="N20898" t="str">
        <f>"12323024311 "</f>
        <v xml:space="preserve">12323024311 </v>
      </c>
      <c r="O20898">
        <v>230608</v>
      </c>
    </row>
    <row r="20899" spans="1:15" x14ac:dyDescent="0.25">
      <c r="A20899" t="s">
        <v>16</v>
      </c>
      <c r="B20899" t="s">
        <v>3221</v>
      </c>
      <c r="C20899">
        <v>8430</v>
      </c>
      <c r="D20899" t="s">
        <v>263</v>
      </c>
      <c r="E20899" t="s">
        <v>264</v>
      </c>
      <c r="F20899">
        <v>2.7</v>
      </c>
      <c r="G20899">
        <v>230605</v>
      </c>
      <c r="H20899">
        <v>4362</v>
      </c>
      <c r="I20899" t="s">
        <v>79</v>
      </c>
      <c r="J20899">
        <v>3.35</v>
      </c>
      <c r="K20899">
        <v>0.65</v>
      </c>
      <c r="L20899">
        <v>11905</v>
      </c>
      <c r="M20899" t="s">
        <v>39</v>
      </c>
      <c r="N20899" t="str">
        <f>"12323024311 "</f>
        <v xml:space="preserve">12323024311 </v>
      </c>
      <c r="O20899">
        <v>230608</v>
      </c>
    </row>
    <row r="20900" spans="1:15" x14ac:dyDescent="0.25">
      <c r="A20900" t="s">
        <v>16</v>
      </c>
      <c r="B20900" t="s">
        <v>3221</v>
      </c>
      <c r="C20900">
        <v>8430</v>
      </c>
      <c r="D20900" t="s">
        <v>263</v>
      </c>
      <c r="E20900" t="s">
        <v>264</v>
      </c>
      <c r="F20900">
        <v>5.4</v>
      </c>
      <c r="G20900">
        <v>230605</v>
      </c>
      <c r="H20900">
        <v>4362</v>
      </c>
      <c r="I20900" t="s">
        <v>79</v>
      </c>
      <c r="J20900">
        <v>6.7</v>
      </c>
      <c r="K20900">
        <v>1.3</v>
      </c>
      <c r="L20900">
        <v>11905</v>
      </c>
      <c r="M20900" t="s">
        <v>39</v>
      </c>
      <c r="N20900" t="str">
        <f>"12323024311 "</f>
        <v xml:space="preserve">12323024311 </v>
      </c>
      <c r="O20900">
        <v>230608</v>
      </c>
    </row>
    <row r="20901" spans="1:15" x14ac:dyDescent="0.25">
      <c r="A20901" t="s">
        <v>16</v>
      </c>
      <c r="B20901" t="s">
        <v>3221</v>
      </c>
      <c r="C20901">
        <v>8430</v>
      </c>
      <c r="D20901" t="s">
        <v>263</v>
      </c>
      <c r="E20901" t="s">
        <v>264</v>
      </c>
      <c r="F20901">
        <v>2.7</v>
      </c>
      <c r="G20901">
        <v>230605</v>
      </c>
      <c r="H20901">
        <v>4362</v>
      </c>
      <c r="I20901" t="s">
        <v>79</v>
      </c>
      <c r="J20901">
        <v>3.35</v>
      </c>
      <c r="K20901">
        <v>0.65</v>
      </c>
      <c r="L20901">
        <v>11905</v>
      </c>
      <c r="M20901" t="s">
        <v>39</v>
      </c>
      <c r="N20901" t="str">
        <f>"12323024311 "</f>
        <v xml:space="preserve">12323024311 </v>
      </c>
      <c r="O20901">
        <v>230608</v>
      </c>
    </row>
    <row r="20902" spans="1:15" x14ac:dyDescent="0.25">
      <c r="A20902" t="s">
        <v>16</v>
      </c>
      <c r="B20902" t="s">
        <v>3221</v>
      </c>
      <c r="C20902">
        <v>8431</v>
      </c>
      <c r="D20902" t="s">
        <v>263</v>
      </c>
      <c r="E20902" t="s">
        <v>264</v>
      </c>
      <c r="F20902">
        <v>2.77</v>
      </c>
      <c r="G20902">
        <v>230605</v>
      </c>
      <c r="H20902">
        <v>4362</v>
      </c>
      <c r="I20902" t="s">
        <v>79</v>
      </c>
      <c r="J20902">
        <v>3.43</v>
      </c>
      <c r="K20902">
        <v>0.66</v>
      </c>
      <c r="L20902">
        <v>13401</v>
      </c>
      <c r="M20902" t="s">
        <v>80</v>
      </c>
      <c r="N20902" t="str">
        <f>"12323024322 "</f>
        <v xml:space="preserve">12323024322 </v>
      </c>
      <c r="O20902">
        <v>230608</v>
      </c>
    </row>
    <row r="20903" spans="1:15" x14ac:dyDescent="0.25">
      <c r="A20903" t="s">
        <v>16</v>
      </c>
      <c r="B20903" t="s">
        <v>3221</v>
      </c>
      <c r="C20903">
        <v>8435</v>
      </c>
      <c r="D20903" t="s">
        <v>263</v>
      </c>
      <c r="E20903" t="s">
        <v>264</v>
      </c>
      <c r="F20903">
        <v>7.95</v>
      </c>
      <c r="G20903">
        <v>230605</v>
      </c>
      <c r="H20903">
        <v>4362</v>
      </c>
      <c r="I20903" t="s">
        <v>79</v>
      </c>
      <c r="J20903">
        <v>9.86</v>
      </c>
      <c r="K20903">
        <v>1.91</v>
      </c>
      <c r="L20903">
        <v>16930</v>
      </c>
      <c r="M20903" t="s">
        <v>450</v>
      </c>
      <c r="N20903" t="str">
        <f t="shared" ref="N20903:N20926" si="327">"12323024306 "</f>
        <v xml:space="preserve">12323024306 </v>
      </c>
      <c r="O20903">
        <v>230608</v>
      </c>
    </row>
    <row r="20904" spans="1:15" x14ac:dyDescent="0.25">
      <c r="A20904" t="s">
        <v>16</v>
      </c>
      <c r="B20904" t="s">
        <v>3221</v>
      </c>
      <c r="C20904">
        <v>8435</v>
      </c>
      <c r="D20904" t="s">
        <v>263</v>
      </c>
      <c r="E20904" t="s">
        <v>264</v>
      </c>
      <c r="F20904">
        <v>8.51</v>
      </c>
      <c r="G20904">
        <v>230605</v>
      </c>
      <c r="H20904">
        <v>4362</v>
      </c>
      <c r="I20904" t="s">
        <v>79</v>
      </c>
      <c r="J20904">
        <v>10.55</v>
      </c>
      <c r="K20904">
        <v>2.04</v>
      </c>
      <c r="L20904">
        <v>17521</v>
      </c>
      <c r="M20904" t="s">
        <v>133</v>
      </c>
      <c r="N20904" t="str">
        <f t="shared" si="327"/>
        <v xml:space="preserve">12323024306 </v>
      </c>
      <c r="O20904">
        <v>230608</v>
      </c>
    </row>
    <row r="20905" spans="1:15" x14ac:dyDescent="0.25">
      <c r="A20905" t="s">
        <v>16</v>
      </c>
      <c r="B20905" t="s">
        <v>3221</v>
      </c>
      <c r="C20905">
        <v>8435</v>
      </c>
      <c r="D20905" t="s">
        <v>263</v>
      </c>
      <c r="E20905" t="s">
        <v>264</v>
      </c>
      <c r="F20905">
        <v>6.75</v>
      </c>
      <c r="G20905">
        <v>230605</v>
      </c>
      <c r="H20905">
        <v>4362</v>
      </c>
      <c r="I20905" t="s">
        <v>79</v>
      </c>
      <c r="J20905">
        <v>8.3699999999999992</v>
      </c>
      <c r="K20905">
        <v>1.62</v>
      </c>
      <c r="L20905">
        <v>17522</v>
      </c>
      <c r="M20905" t="s">
        <v>451</v>
      </c>
      <c r="N20905" t="str">
        <f t="shared" si="327"/>
        <v xml:space="preserve">12323024306 </v>
      </c>
      <c r="O20905">
        <v>230608</v>
      </c>
    </row>
    <row r="20906" spans="1:15" x14ac:dyDescent="0.25">
      <c r="A20906" t="s">
        <v>16</v>
      </c>
      <c r="B20906" t="s">
        <v>3221</v>
      </c>
      <c r="C20906">
        <v>8435</v>
      </c>
      <c r="D20906" t="s">
        <v>263</v>
      </c>
      <c r="E20906" t="s">
        <v>264</v>
      </c>
      <c r="F20906">
        <v>8.3699999999999992</v>
      </c>
      <c r="G20906">
        <v>230605</v>
      </c>
      <c r="H20906">
        <v>4362</v>
      </c>
      <c r="I20906" t="s">
        <v>79</v>
      </c>
      <c r="J20906">
        <v>10.38</v>
      </c>
      <c r="K20906">
        <v>2.0099999999999998</v>
      </c>
      <c r="L20906">
        <v>17523</v>
      </c>
      <c r="M20906" t="s">
        <v>134</v>
      </c>
      <c r="N20906" t="str">
        <f t="shared" si="327"/>
        <v xml:space="preserve">12323024306 </v>
      </c>
      <c r="O20906">
        <v>230608</v>
      </c>
    </row>
    <row r="20907" spans="1:15" x14ac:dyDescent="0.25">
      <c r="A20907" t="s">
        <v>16</v>
      </c>
      <c r="B20907" t="s">
        <v>3221</v>
      </c>
      <c r="C20907">
        <v>8435</v>
      </c>
      <c r="D20907" t="s">
        <v>263</v>
      </c>
      <c r="E20907" t="s">
        <v>264</v>
      </c>
      <c r="F20907">
        <v>5.4</v>
      </c>
      <c r="G20907">
        <v>230605</v>
      </c>
      <c r="H20907">
        <v>4362</v>
      </c>
      <c r="I20907" t="s">
        <v>79</v>
      </c>
      <c r="J20907">
        <v>6.7</v>
      </c>
      <c r="K20907">
        <v>1.3</v>
      </c>
      <c r="L20907">
        <v>17524</v>
      </c>
      <c r="M20907" t="s">
        <v>452</v>
      </c>
      <c r="N20907" t="str">
        <f t="shared" si="327"/>
        <v xml:space="preserve">12323024306 </v>
      </c>
      <c r="O20907">
        <v>230608</v>
      </c>
    </row>
    <row r="20908" spans="1:15" x14ac:dyDescent="0.25">
      <c r="A20908" t="s">
        <v>16</v>
      </c>
      <c r="B20908" t="s">
        <v>3221</v>
      </c>
      <c r="C20908">
        <v>8435</v>
      </c>
      <c r="D20908" t="s">
        <v>263</v>
      </c>
      <c r="E20908" t="s">
        <v>264</v>
      </c>
      <c r="F20908">
        <v>3.31</v>
      </c>
      <c r="G20908">
        <v>230605</v>
      </c>
      <c r="H20908">
        <v>4362</v>
      </c>
      <c r="I20908" t="s">
        <v>79</v>
      </c>
      <c r="J20908">
        <v>4.0999999999999996</v>
      </c>
      <c r="K20908">
        <v>0.79</v>
      </c>
      <c r="L20908">
        <v>17525</v>
      </c>
      <c r="M20908" t="s">
        <v>135</v>
      </c>
      <c r="N20908" t="str">
        <f t="shared" si="327"/>
        <v xml:space="preserve">12323024306 </v>
      </c>
      <c r="O20908">
        <v>230608</v>
      </c>
    </row>
    <row r="20909" spans="1:15" x14ac:dyDescent="0.25">
      <c r="A20909" t="s">
        <v>16</v>
      </c>
      <c r="B20909" t="s">
        <v>3221</v>
      </c>
      <c r="C20909">
        <v>8435</v>
      </c>
      <c r="D20909" t="s">
        <v>263</v>
      </c>
      <c r="E20909" t="s">
        <v>264</v>
      </c>
      <c r="F20909">
        <v>8.1</v>
      </c>
      <c r="G20909">
        <v>230605</v>
      </c>
      <c r="H20909">
        <v>4362</v>
      </c>
      <c r="I20909" t="s">
        <v>79</v>
      </c>
      <c r="J20909">
        <v>10.039999999999999</v>
      </c>
      <c r="K20909">
        <v>1.94</v>
      </c>
      <c r="L20909">
        <v>17526</v>
      </c>
      <c r="M20909" t="s">
        <v>437</v>
      </c>
      <c r="N20909" t="str">
        <f t="shared" si="327"/>
        <v xml:space="preserve">12323024306 </v>
      </c>
      <c r="O20909">
        <v>230608</v>
      </c>
    </row>
    <row r="20910" spans="1:15" x14ac:dyDescent="0.25">
      <c r="A20910" t="s">
        <v>16</v>
      </c>
      <c r="B20910" t="s">
        <v>3221</v>
      </c>
      <c r="C20910">
        <v>8435</v>
      </c>
      <c r="D20910" t="s">
        <v>263</v>
      </c>
      <c r="E20910" t="s">
        <v>264</v>
      </c>
      <c r="F20910">
        <v>7.98</v>
      </c>
      <c r="G20910">
        <v>230605</v>
      </c>
      <c r="H20910">
        <v>4362</v>
      </c>
      <c r="I20910" t="s">
        <v>79</v>
      </c>
      <c r="J20910">
        <v>9.9</v>
      </c>
      <c r="K20910">
        <v>1.92</v>
      </c>
      <c r="L20910">
        <v>17527</v>
      </c>
      <c r="M20910" t="s">
        <v>422</v>
      </c>
      <c r="N20910" t="str">
        <f t="shared" si="327"/>
        <v xml:space="preserve">12323024306 </v>
      </c>
      <c r="O20910">
        <v>230608</v>
      </c>
    </row>
    <row r="20911" spans="1:15" x14ac:dyDescent="0.25">
      <c r="A20911" t="s">
        <v>16</v>
      </c>
      <c r="B20911" t="s">
        <v>3221</v>
      </c>
      <c r="C20911">
        <v>8435</v>
      </c>
      <c r="D20911" t="s">
        <v>263</v>
      </c>
      <c r="E20911" t="s">
        <v>264</v>
      </c>
      <c r="F20911">
        <v>6.61</v>
      </c>
      <c r="G20911">
        <v>230605</v>
      </c>
      <c r="H20911">
        <v>4362</v>
      </c>
      <c r="I20911" t="s">
        <v>79</v>
      </c>
      <c r="J20911">
        <v>8.1999999999999993</v>
      </c>
      <c r="K20911">
        <v>1.59</v>
      </c>
      <c r="L20911">
        <v>17529</v>
      </c>
      <c r="M20911" t="s">
        <v>453</v>
      </c>
      <c r="N20911" t="str">
        <f t="shared" si="327"/>
        <v xml:space="preserve">12323024306 </v>
      </c>
      <c r="O20911">
        <v>230608</v>
      </c>
    </row>
    <row r="20912" spans="1:15" x14ac:dyDescent="0.25">
      <c r="A20912" t="s">
        <v>16</v>
      </c>
      <c r="B20912" t="s">
        <v>3221</v>
      </c>
      <c r="C20912">
        <v>8435</v>
      </c>
      <c r="D20912" t="s">
        <v>263</v>
      </c>
      <c r="E20912" t="s">
        <v>264</v>
      </c>
      <c r="F20912">
        <v>6.6</v>
      </c>
      <c r="G20912">
        <v>230605</v>
      </c>
      <c r="H20912">
        <v>4362</v>
      </c>
      <c r="I20912" t="s">
        <v>79</v>
      </c>
      <c r="J20912">
        <v>8.18</v>
      </c>
      <c r="K20912">
        <v>1.58</v>
      </c>
      <c r="L20912">
        <v>17530</v>
      </c>
      <c r="M20912" t="s">
        <v>454</v>
      </c>
      <c r="N20912" t="str">
        <f t="shared" si="327"/>
        <v xml:space="preserve">12323024306 </v>
      </c>
      <c r="O20912">
        <v>230608</v>
      </c>
    </row>
    <row r="20913" spans="1:15" x14ac:dyDescent="0.25">
      <c r="A20913" t="s">
        <v>16</v>
      </c>
      <c r="B20913" t="s">
        <v>3221</v>
      </c>
      <c r="C20913">
        <v>8435</v>
      </c>
      <c r="D20913" t="s">
        <v>263</v>
      </c>
      <c r="E20913" t="s">
        <v>264</v>
      </c>
      <c r="F20913">
        <v>18.45</v>
      </c>
      <c r="G20913">
        <v>230605</v>
      </c>
      <c r="H20913">
        <v>4362</v>
      </c>
      <c r="I20913" t="s">
        <v>79</v>
      </c>
      <c r="J20913">
        <v>22.88</v>
      </c>
      <c r="K20913">
        <v>4.43</v>
      </c>
      <c r="L20913">
        <v>17531</v>
      </c>
      <c r="M20913" t="s">
        <v>136</v>
      </c>
      <c r="N20913" t="str">
        <f t="shared" si="327"/>
        <v xml:space="preserve">12323024306 </v>
      </c>
      <c r="O20913">
        <v>230608</v>
      </c>
    </row>
    <row r="20914" spans="1:15" x14ac:dyDescent="0.25">
      <c r="A20914" t="s">
        <v>16</v>
      </c>
      <c r="B20914" t="s">
        <v>3221</v>
      </c>
      <c r="C20914">
        <v>8435</v>
      </c>
      <c r="D20914" t="s">
        <v>263</v>
      </c>
      <c r="E20914" t="s">
        <v>264</v>
      </c>
      <c r="F20914">
        <v>13.21</v>
      </c>
      <c r="G20914">
        <v>230605</v>
      </c>
      <c r="H20914">
        <v>4362</v>
      </c>
      <c r="I20914" t="s">
        <v>79</v>
      </c>
      <c r="J20914">
        <v>16.38</v>
      </c>
      <c r="K20914">
        <v>3.17</v>
      </c>
      <c r="L20914">
        <v>17532</v>
      </c>
      <c r="M20914" t="s">
        <v>543</v>
      </c>
      <c r="N20914" t="str">
        <f t="shared" si="327"/>
        <v xml:space="preserve">12323024306 </v>
      </c>
      <c r="O20914">
        <v>230608</v>
      </c>
    </row>
    <row r="20915" spans="1:15" x14ac:dyDescent="0.25">
      <c r="A20915" t="s">
        <v>16</v>
      </c>
      <c r="B20915" t="s">
        <v>3221</v>
      </c>
      <c r="C20915">
        <v>8435</v>
      </c>
      <c r="D20915" t="s">
        <v>263</v>
      </c>
      <c r="E20915" t="s">
        <v>264</v>
      </c>
      <c r="F20915">
        <v>7.02</v>
      </c>
      <c r="G20915">
        <v>230605</v>
      </c>
      <c r="H20915">
        <v>4362</v>
      </c>
      <c r="I20915" t="s">
        <v>79</v>
      </c>
      <c r="J20915">
        <v>8.6999999999999993</v>
      </c>
      <c r="K20915">
        <v>1.68</v>
      </c>
      <c r="L20915">
        <v>17533</v>
      </c>
      <c r="M20915" t="s">
        <v>990</v>
      </c>
      <c r="N20915" t="str">
        <f t="shared" si="327"/>
        <v xml:space="preserve">12323024306 </v>
      </c>
      <c r="O20915">
        <v>230608</v>
      </c>
    </row>
    <row r="20916" spans="1:15" x14ac:dyDescent="0.25">
      <c r="A20916" t="s">
        <v>16</v>
      </c>
      <c r="B20916" t="s">
        <v>3221</v>
      </c>
      <c r="C20916">
        <v>8435</v>
      </c>
      <c r="D20916" t="s">
        <v>263</v>
      </c>
      <c r="E20916" t="s">
        <v>264</v>
      </c>
      <c r="F20916">
        <v>6.01</v>
      </c>
      <c r="G20916">
        <v>230605</v>
      </c>
      <c r="H20916">
        <v>4362</v>
      </c>
      <c r="I20916" t="s">
        <v>79</v>
      </c>
      <c r="J20916">
        <v>7.45</v>
      </c>
      <c r="K20916">
        <v>1.44</v>
      </c>
      <c r="L20916">
        <v>17534</v>
      </c>
      <c r="M20916" t="s">
        <v>440</v>
      </c>
      <c r="N20916" t="str">
        <f t="shared" si="327"/>
        <v xml:space="preserve">12323024306 </v>
      </c>
      <c r="O20916">
        <v>230608</v>
      </c>
    </row>
    <row r="20917" spans="1:15" x14ac:dyDescent="0.25">
      <c r="A20917" t="s">
        <v>16</v>
      </c>
      <c r="B20917" t="s">
        <v>3221</v>
      </c>
      <c r="C20917">
        <v>8435</v>
      </c>
      <c r="D20917" t="s">
        <v>263</v>
      </c>
      <c r="E20917" t="s">
        <v>264</v>
      </c>
      <c r="F20917">
        <v>2.7</v>
      </c>
      <c r="G20917">
        <v>230605</v>
      </c>
      <c r="H20917">
        <v>4362</v>
      </c>
      <c r="I20917" t="s">
        <v>79</v>
      </c>
      <c r="J20917">
        <v>3.35</v>
      </c>
      <c r="K20917">
        <v>0.65</v>
      </c>
      <c r="L20917">
        <v>17535</v>
      </c>
      <c r="M20917" t="s">
        <v>357</v>
      </c>
      <c r="N20917" t="str">
        <f t="shared" si="327"/>
        <v xml:space="preserve">12323024306 </v>
      </c>
      <c r="O20917">
        <v>230608</v>
      </c>
    </row>
    <row r="20918" spans="1:15" x14ac:dyDescent="0.25">
      <c r="A20918" t="s">
        <v>16</v>
      </c>
      <c r="B20918" t="s">
        <v>3221</v>
      </c>
      <c r="C20918">
        <v>8435</v>
      </c>
      <c r="D20918" t="s">
        <v>263</v>
      </c>
      <c r="E20918" t="s">
        <v>264</v>
      </c>
      <c r="F20918">
        <v>5.4</v>
      </c>
      <c r="G20918">
        <v>230605</v>
      </c>
      <c r="H20918">
        <v>4362</v>
      </c>
      <c r="I20918" t="s">
        <v>79</v>
      </c>
      <c r="J20918">
        <v>6.7</v>
      </c>
      <c r="K20918">
        <v>1.3</v>
      </c>
      <c r="L20918">
        <v>17536</v>
      </c>
      <c r="M20918" t="s">
        <v>734</v>
      </c>
      <c r="N20918" t="str">
        <f t="shared" si="327"/>
        <v xml:space="preserve">12323024306 </v>
      </c>
      <c r="O20918">
        <v>230608</v>
      </c>
    </row>
    <row r="20919" spans="1:15" x14ac:dyDescent="0.25">
      <c r="A20919" t="s">
        <v>16</v>
      </c>
      <c r="B20919" t="s">
        <v>3221</v>
      </c>
      <c r="C20919">
        <v>8435</v>
      </c>
      <c r="D20919" t="s">
        <v>263</v>
      </c>
      <c r="E20919" t="s">
        <v>264</v>
      </c>
      <c r="F20919">
        <v>7.95</v>
      </c>
      <c r="G20919">
        <v>230605</v>
      </c>
      <c r="H20919">
        <v>4362</v>
      </c>
      <c r="I20919" t="s">
        <v>79</v>
      </c>
      <c r="J20919">
        <v>9.86</v>
      </c>
      <c r="K20919">
        <v>1.91</v>
      </c>
      <c r="L20919">
        <v>17537</v>
      </c>
      <c r="M20919" t="s">
        <v>455</v>
      </c>
      <c r="N20919" t="str">
        <f t="shared" si="327"/>
        <v xml:space="preserve">12323024306 </v>
      </c>
      <c r="O20919">
        <v>230608</v>
      </c>
    </row>
    <row r="20920" spans="1:15" x14ac:dyDescent="0.25">
      <c r="A20920" t="s">
        <v>16</v>
      </c>
      <c r="B20920" t="s">
        <v>3221</v>
      </c>
      <c r="C20920">
        <v>8435</v>
      </c>
      <c r="D20920" t="s">
        <v>263</v>
      </c>
      <c r="E20920" t="s">
        <v>264</v>
      </c>
      <c r="F20920">
        <v>10.65</v>
      </c>
      <c r="G20920">
        <v>230605</v>
      </c>
      <c r="H20920">
        <v>4362</v>
      </c>
      <c r="I20920" t="s">
        <v>79</v>
      </c>
      <c r="J20920">
        <v>13.21</v>
      </c>
      <c r="K20920">
        <v>2.56</v>
      </c>
      <c r="L20920">
        <v>17538</v>
      </c>
      <c r="M20920" t="s">
        <v>24</v>
      </c>
      <c r="N20920" t="str">
        <f t="shared" si="327"/>
        <v xml:space="preserve">12323024306 </v>
      </c>
      <c r="O20920">
        <v>230608</v>
      </c>
    </row>
    <row r="20921" spans="1:15" x14ac:dyDescent="0.25">
      <c r="A20921" t="s">
        <v>16</v>
      </c>
      <c r="B20921" t="s">
        <v>3221</v>
      </c>
      <c r="C20921">
        <v>8435</v>
      </c>
      <c r="D20921" t="s">
        <v>263</v>
      </c>
      <c r="E20921" t="s">
        <v>264</v>
      </c>
      <c r="F20921">
        <v>10.8</v>
      </c>
      <c r="G20921">
        <v>230605</v>
      </c>
      <c r="H20921">
        <v>4362</v>
      </c>
      <c r="I20921" t="s">
        <v>79</v>
      </c>
      <c r="J20921">
        <v>13.39</v>
      </c>
      <c r="K20921">
        <v>2.59</v>
      </c>
      <c r="L20921">
        <v>17950</v>
      </c>
      <c r="M20921" t="s">
        <v>86</v>
      </c>
      <c r="N20921" t="str">
        <f t="shared" si="327"/>
        <v xml:space="preserve">12323024306 </v>
      </c>
      <c r="O20921">
        <v>230608</v>
      </c>
    </row>
    <row r="20922" spans="1:15" x14ac:dyDescent="0.25">
      <c r="A20922" t="s">
        <v>16</v>
      </c>
      <c r="B20922" t="s">
        <v>3221</v>
      </c>
      <c r="C20922">
        <v>8435</v>
      </c>
      <c r="D20922" t="s">
        <v>263</v>
      </c>
      <c r="E20922" t="s">
        <v>264</v>
      </c>
      <c r="F20922">
        <v>2.7</v>
      </c>
      <c r="G20922">
        <v>230605</v>
      </c>
      <c r="H20922">
        <v>4362</v>
      </c>
      <c r="I20922" t="s">
        <v>79</v>
      </c>
      <c r="J20922">
        <v>3.35</v>
      </c>
      <c r="K20922">
        <v>0.65</v>
      </c>
      <c r="L20922">
        <v>17956</v>
      </c>
      <c r="M20922" t="s">
        <v>53</v>
      </c>
      <c r="N20922" t="str">
        <f t="shared" si="327"/>
        <v xml:space="preserve">12323024306 </v>
      </c>
      <c r="O20922">
        <v>230608</v>
      </c>
    </row>
    <row r="20923" spans="1:15" x14ac:dyDescent="0.25">
      <c r="A20923" t="s">
        <v>16</v>
      </c>
      <c r="B20923" t="s">
        <v>3221</v>
      </c>
      <c r="C20923">
        <v>8435</v>
      </c>
      <c r="D20923" t="s">
        <v>263</v>
      </c>
      <c r="E20923" t="s">
        <v>264</v>
      </c>
      <c r="F20923">
        <v>13.57</v>
      </c>
      <c r="G20923">
        <v>230605</v>
      </c>
      <c r="H20923">
        <v>4362</v>
      </c>
      <c r="I20923" t="s">
        <v>79</v>
      </c>
      <c r="J20923">
        <v>16.829999999999998</v>
      </c>
      <c r="K20923">
        <v>3.26</v>
      </c>
      <c r="L20923">
        <v>17971</v>
      </c>
      <c r="M20923" t="s">
        <v>138</v>
      </c>
      <c r="N20923" t="str">
        <f t="shared" si="327"/>
        <v xml:space="preserve">12323024306 </v>
      </c>
      <c r="O20923">
        <v>230608</v>
      </c>
    </row>
    <row r="20924" spans="1:15" x14ac:dyDescent="0.25">
      <c r="A20924" t="s">
        <v>16</v>
      </c>
      <c r="B20924" t="s">
        <v>3221</v>
      </c>
      <c r="C20924">
        <v>8435</v>
      </c>
      <c r="D20924" t="s">
        <v>263</v>
      </c>
      <c r="E20924" t="s">
        <v>264</v>
      </c>
      <c r="F20924">
        <v>2.7</v>
      </c>
      <c r="G20924">
        <v>230605</v>
      </c>
      <c r="H20924">
        <v>4362</v>
      </c>
      <c r="I20924" t="s">
        <v>79</v>
      </c>
      <c r="J20924">
        <v>3.35</v>
      </c>
      <c r="K20924">
        <v>0.65</v>
      </c>
      <c r="L20924">
        <v>17972</v>
      </c>
      <c r="M20924" t="s">
        <v>248</v>
      </c>
      <c r="N20924" t="str">
        <f t="shared" si="327"/>
        <v xml:space="preserve">12323024306 </v>
      </c>
      <c r="O20924">
        <v>230608</v>
      </c>
    </row>
    <row r="20925" spans="1:15" x14ac:dyDescent="0.25">
      <c r="A20925" t="s">
        <v>16</v>
      </c>
      <c r="B20925" t="s">
        <v>3221</v>
      </c>
      <c r="C20925">
        <v>8435</v>
      </c>
      <c r="D20925" t="s">
        <v>263</v>
      </c>
      <c r="E20925" t="s">
        <v>264</v>
      </c>
      <c r="F20925">
        <v>2.7</v>
      </c>
      <c r="G20925">
        <v>230605</v>
      </c>
      <c r="H20925">
        <v>4362</v>
      </c>
      <c r="I20925" t="s">
        <v>79</v>
      </c>
      <c r="J20925">
        <v>3.35</v>
      </c>
      <c r="K20925">
        <v>0.65</v>
      </c>
      <c r="L20925">
        <v>17974</v>
      </c>
      <c r="M20925" t="s">
        <v>460</v>
      </c>
      <c r="N20925" t="str">
        <f t="shared" si="327"/>
        <v xml:space="preserve">12323024306 </v>
      </c>
      <c r="O20925">
        <v>230608</v>
      </c>
    </row>
    <row r="20926" spans="1:15" x14ac:dyDescent="0.25">
      <c r="A20926" t="s">
        <v>16</v>
      </c>
      <c r="B20926" t="s">
        <v>3221</v>
      </c>
      <c r="C20926">
        <v>8435</v>
      </c>
      <c r="D20926" t="s">
        <v>263</v>
      </c>
      <c r="E20926" t="s">
        <v>264</v>
      </c>
      <c r="F20926">
        <v>8.39</v>
      </c>
      <c r="G20926">
        <v>230605</v>
      </c>
      <c r="H20926">
        <v>4362</v>
      </c>
      <c r="I20926" t="s">
        <v>79</v>
      </c>
      <c r="J20926">
        <v>10.4</v>
      </c>
      <c r="K20926">
        <v>2.0099999999999998</v>
      </c>
      <c r="L20926">
        <v>17975</v>
      </c>
      <c r="M20926" t="s">
        <v>798</v>
      </c>
      <c r="N20926" t="str">
        <f t="shared" si="327"/>
        <v xml:space="preserve">12323024306 </v>
      </c>
      <c r="O20926">
        <v>230608</v>
      </c>
    </row>
    <row r="20927" spans="1:15" x14ac:dyDescent="0.25">
      <c r="A20927" t="s">
        <v>16</v>
      </c>
      <c r="B20927" t="s">
        <v>3221</v>
      </c>
      <c r="C20927">
        <v>8437</v>
      </c>
      <c r="D20927" t="s">
        <v>263</v>
      </c>
      <c r="E20927" t="s">
        <v>264</v>
      </c>
      <c r="F20927">
        <v>30.75</v>
      </c>
      <c r="G20927">
        <v>230605</v>
      </c>
      <c r="H20927">
        <v>4362</v>
      </c>
      <c r="I20927" t="s">
        <v>79</v>
      </c>
      <c r="J20927">
        <v>38.130000000000003</v>
      </c>
      <c r="K20927">
        <v>7.38</v>
      </c>
      <c r="L20927">
        <v>61122</v>
      </c>
      <c r="M20927" t="s">
        <v>402</v>
      </c>
      <c r="N20927" t="str">
        <f t="shared" ref="N20927:N20954" si="328">"12323024286 "</f>
        <v xml:space="preserve">12323024286 </v>
      </c>
      <c r="O20927">
        <v>230608</v>
      </c>
    </row>
    <row r="20928" spans="1:15" x14ac:dyDescent="0.25">
      <c r="A20928" t="s">
        <v>16</v>
      </c>
      <c r="B20928" t="s">
        <v>3221</v>
      </c>
      <c r="C20928">
        <v>8437</v>
      </c>
      <c r="D20928" t="s">
        <v>263</v>
      </c>
      <c r="E20928" t="s">
        <v>264</v>
      </c>
      <c r="F20928">
        <v>10.76</v>
      </c>
      <c r="G20928">
        <v>230605</v>
      </c>
      <c r="H20928">
        <v>4362</v>
      </c>
      <c r="I20928" t="s">
        <v>79</v>
      </c>
      <c r="J20928">
        <v>13.34</v>
      </c>
      <c r="K20928">
        <v>2.58</v>
      </c>
      <c r="L20928">
        <v>61122</v>
      </c>
      <c r="M20928" t="s">
        <v>402</v>
      </c>
      <c r="N20928" t="str">
        <f t="shared" si="328"/>
        <v xml:space="preserve">12323024286 </v>
      </c>
      <c r="O20928">
        <v>230608</v>
      </c>
    </row>
    <row r="20929" spans="1:15" x14ac:dyDescent="0.25">
      <c r="A20929" t="s">
        <v>16</v>
      </c>
      <c r="B20929" t="s">
        <v>3221</v>
      </c>
      <c r="C20929">
        <v>8437</v>
      </c>
      <c r="D20929" t="s">
        <v>263</v>
      </c>
      <c r="E20929" t="s">
        <v>264</v>
      </c>
      <c r="F20929">
        <v>18.600000000000001</v>
      </c>
      <c r="G20929">
        <v>230605</v>
      </c>
      <c r="H20929">
        <v>4362</v>
      </c>
      <c r="I20929" t="s">
        <v>79</v>
      </c>
      <c r="J20929">
        <v>23.06</v>
      </c>
      <c r="K20929">
        <v>4.46</v>
      </c>
      <c r="L20929">
        <v>65222</v>
      </c>
      <c r="M20929" t="s">
        <v>487</v>
      </c>
      <c r="N20929" t="str">
        <f t="shared" si="328"/>
        <v xml:space="preserve">12323024286 </v>
      </c>
      <c r="O20929">
        <v>230608</v>
      </c>
    </row>
    <row r="20930" spans="1:15" x14ac:dyDescent="0.25">
      <c r="A20930" t="s">
        <v>16</v>
      </c>
      <c r="B20930" t="s">
        <v>3221</v>
      </c>
      <c r="C20930">
        <v>8437</v>
      </c>
      <c r="D20930" t="s">
        <v>263</v>
      </c>
      <c r="E20930" t="s">
        <v>264</v>
      </c>
      <c r="F20930">
        <v>2.7</v>
      </c>
      <c r="G20930">
        <v>230605</v>
      </c>
      <c r="H20930">
        <v>4362</v>
      </c>
      <c r="I20930" t="s">
        <v>79</v>
      </c>
      <c r="J20930">
        <v>3.35</v>
      </c>
      <c r="K20930">
        <v>0.65</v>
      </c>
      <c r="L20930">
        <v>65422</v>
      </c>
      <c r="M20930" t="s">
        <v>602</v>
      </c>
      <c r="N20930" t="str">
        <f t="shared" si="328"/>
        <v xml:space="preserve">12323024286 </v>
      </c>
      <c r="O20930">
        <v>230608</v>
      </c>
    </row>
    <row r="20931" spans="1:15" x14ac:dyDescent="0.25">
      <c r="A20931" t="s">
        <v>16</v>
      </c>
      <c r="B20931" t="s">
        <v>3221</v>
      </c>
      <c r="C20931">
        <v>8437</v>
      </c>
      <c r="D20931" t="s">
        <v>263</v>
      </c>
      <c r="E20931" t="s">
        <v>264</v>
      </c>
      <c r="F20931">
        <v>8.1</v>
      </c>
      <c r="G20931">
        <v>230605</v>
      </c>
      <c r="H20931">
        <v>4362</v>
      </c>
      <c r="I20931" t="s">
        <v>79</v>
      </c>
      <c r="J20931">
        <v>10.039999999999999</v>
      </c>
      <c r="K20931">
        <v>1.94</v>
      </c>
      <c r="L20931">
        <v>66722</v>
      </c>
      <c r="M20931" t="s">
        <v>518</v>
      </c>
      <c r="N20931" t="str">
        <f t="shared" si="328"/>
        <v xml:space="preserve">12323024286 </v>
      </c>
      <c r="O20931">
        <v>230608</v>
      </c>
    </row>
    <row r="20932" spans="1:15" x14ac:dyDescent="0.25">
      <c r="A20932" t="s">
        <v>16</v>
      </c>
      <c r="B20932" t="s">
        <v>3221</v>
      </c>
      <c r="C20932">
        <v>8437</v>
      </c>
      <c r="D20932" t="s">
        <v>263</v>
      </c>
      <c r="E20932" t="s">
        <v>264</v>
      </c>
      <c r="F20932">
        <v>2.23</v>
      </c>
      <c r="G20932">
        <v>230605</v>
      </c>
      <c r="H20932">
        <v>4362</v>
      </c>
      <c r="I20932" t="s">
        <v>79</v>
      </c>
      <c r="J20932">
        <v>2.76</v>
      </c>
      <c r="K20932">
        <v>0.53</v>
      </c>
      <c r="L20932">
        <v>66754</v>
      </c>
      <c r="M20932" t="s">
        <v>239</v>
      </c>
      <c r="N20932" t="str">
        <f t="shared" si="328"/>
        <v xml:space="preserve">12323024286 </v>
      </c>
      <c r="O20932">
        <v>230608</v>
      </c>
    </row>
    <row r="20933" spans="1:15" x14ac:dyDescent="0.25">
      <c r="A20933" t="s">
        <v>16</v>
      </c>
      <c r="B20933" t="s">
        <v>3221</v>
      </c>
      <c r="C20933">
        <v>8437</v>
      </c>
      <c r="D20933" t="s">
        <v>263</v>
      </c>
      <c r="E20933" t="s">
        <v>264</v>
      </c>
      <c r="F20933">
        <v>2.7</v>
      </c>
      <c r="G20933">
        <v>230605</v>
      </c>
      <c r="H20933">
        <v>4362</v>
      </c>
      <c r="I20933" t="s">
        <v>79</v>
      </c>
      <c r="J20933">
        <v>3.35</v>
      </c>
      <c r="K20933">
        <v>0.65</v>
      </c>
      <c r="L20933">
        <v>66754</v>
      </c>
      <c r="M20933" t="s">
        <v>239</v>
      </c>
      <c r="N20933" t="str">
        <f t="shared" si="328"/>
        <v xml:space="preserve">12323024286 </v>
      </c>
      <c r="O20933">
        <v>230608</v>
      </c>
    </row>
    <row r="20934" spans="1:15" x14ac:dyDescent="0.25">
      <c r="A20934" t="s">
        <v>16</v>
      </c>
      <c r="B20934" t="s">
        <v>3221</v>
      </c>
      <c r="C20934">
        <v>8437</v>
      </c>
      <c r="D20934" t="s">
        <v>263</v>
      </c>
      <c r="E20934" t="s">
        <v>264</v>
      </c>
      <c r="F20934">
        <v>2.7</v>
      </c>
      <c r="G20934">
        <v>230605</v>
      </c>
      <c r="H20934">
        <v>4362</v>
      </c>
      <c r="I20934" t="s">
        <v>79</v>
      </c>
      <c r="J20934">
        <v>3.35</v>
      </c>
      <c r="K20934">
        <v>0.65</v>
      </c>
      <c r="L20934">
        <v>66754</v>
      </c>
      <c r="M20934" t="s">
        <v>239</v>
      </c>
      <c r="N20934" t="str">
        <f t="shared" si="328"/>
        <v xml:space="preserve">12323024286 </v>
      </c>
      <c r="O20934">
        <v>230608</v>
      </c>
    </row>
    <row r="20935" spans="1:15" x14ac:dyDescent="0.25">
      <c r="A20935" t="s">
        <v>16</v>
      </c>
      <c r="B20935" t="s">
        <v>3221</v>
      </c>
      <c r="C20935">
        <v>8437</v>
      </c>
      <c r="D20935" t="s">
        <v>263</v>
      </c>
      <c r="E20935" t="s">
        <v>264</v>
      </c>
      <c r="F20935">
        <v>13.5</v>
      </c>
      <c r="G20935">
        <v>230605</v>
      </c>
      <c r="H20935">
        <v>4362</v>
      </c>
      <c r="I20935" t="s">
        <v>79</v>
      </c>
      <c r="J20935">
        <v>16.739999999999998</v>
      </c>
      <c r="K20935">
        <v>3.24</v>
      </c>
      <c r="L20935">
        <v>66754</v>
      </c>
      <c r="M20935" t="s">
        <v>239</v>
      </c>
      <c r="N20935" t="str">
        <f t="shared" si="328"/>
        <v xml:space="preserve">12323024286 </v>
      </c>
      <c r="O20935">
        <v>230608</v>
      </c>
    </row>
    <row r="20936" spans="1:15" x14ac:dyDescent="0.25">
      <c r="A20936" t="s">
        <v>16</v>
      </c>
      <c r="B20936" t="s">
        <v>3221</v>
      </c>
      <c r="C20936">
        <v>8437</v>
      </c>
      <c r="D20936" t="s">
        <v>263</v>
      </c>
      <c r="E20936" t="s">
        <v>264</v>
      </c>
      <c r="F20936">
        <v>5.25</v>
      </c>
      <c r="G20936">
        <v>230605</v>
      </c>
      <c r="H20936">
        <v>4362</v>
      </c>
      <c r="I20936" t="s">
        <v>79</v>
      </c>
      <c r="J20936">
        <v>6.51</v>
      </c>
      <c r="K20936">
        <v>1.26</v>
      </c>
      <c r="L20936">
        <v>66754</v>
      </c>
      <c r="M20936" t="s">
        <v>239</v>
      </c>
      <c r="N20936" t="str">
        <f t="shared" si="328"/>
        <v xml:space="preserve">12323024286 </v>
      </c>
      <c r="O20936">
        <v>230608</v>
      </c>
    </row>
    <row r="20937" spans="1:15" x14ac:dyDescent="0.25">
      <c r="A20937" t="s">
        <v>16</v>
      </c>
      <c r="B20937" t="s">
        <v>3221</v>
      </c>
      <c r="C20937">
        <v>8437</v>
      </c>
      <c r="D20937" t="s">
        <v>263</v>
      </c>
      <c r="E20937" t="s">
        <v>264</v>
      </c>
      <c r="F20937">
        <v>8.1</v>
      </c>
      <c r="G20937">
        <v>230605</v>
      </c>
      <c r="H20937">
        <v>4362</v>
      </c>
      <c r="I20937" t="s">
        <v>79</v>
      </c>
      <c r="J20937">
        <v>10.039999999999999</v>
      </c>
      <c r="K20937">
        <v>1.94</v>
      </c>
      <c r="L20937">
        <v>66756</v>
      </c>
      <c r="M20937" t="s">
        <v>209</v>
      </c>
      <c r="N20937" t="str">
        <f t="shared" si="328"/>
        <v xml:space="preserve">12323024286 </v>
      </c>
      <c r="O20937">
        <v>230608</v>
      </c>
    </row>
    <row r="20938" spans="1:15" x14ac:dyDescent="0.25">
      <c r="A20938" t="s">
        <v>16</v>
      </c>
      <c r="B20938" t="s">
        <v>3221</v>
      </c>
      <c r="C20938">
        <v>8437</v>
      </c>
      <c r="D20938" t="s">
        <v>263</v>
      </c>
      <c r="E20938" t="s">
        <v>264</v>
      </c>
      <c r="F20938">
        <v>41.33</v>
      </c>
      <c r="G20938">
        <v>230605</v>
      </c>
      <c r="H20938">
        <v>4362</v>
      </c>
      <c r="I20938" t="s">
        <v>79</v>
      </c>
      <c r="J20938">
        <v>51.25</v>
      </c>
      <c r="K20938">
        <v>9.92</v>
      </c>
      <c r="L20938">
        <v>67522</v>
      </c>
      <c r="M20938" t="s">
        <v>397</v>
      </c>
      <c r="N20938" t="str">
        <f t="shared" si="328"/>
        <v xml:space="preserve">12323024286 </v>
      </c>
      <c r="O20938">
        <v>230608</v>
      </c>
    </row>
    <row r="20939" spans="1:15" x14ac:dyDescent="0.25">
      <c r="A20939" t="s">
        <v>16</v>
      </c>
      <c r="B20939" t="s">
        <v>3221</v>
      </c>
      <c r="C20939">
        <v>8437</v>
      </c>
      <c r="D20939" t="s">
        <v>263</v>
      </c>
      <c r="E20939" t="s">
        <v>264</v>
      </c>
      <c r="F20939">
        <v>11.3</v>
      </c>
      <c r="G20939">
        <v>230605</v>
      </c>
      <c r="H20939">
        <v>4362</v>
      </c>
      <c r="I20939" t="s">
        <v>79</v>
      </c>
      <c r="J20939">
        <v>14.01</v>
      </c>
      <c r="K20939">
        <v>2.71</v>
      </c>
      <c r="L20939">
        <v>67522</v>
      </c>
      <c r="M20939" t="s">
        <v>397</v>
      </c>
      <c r="N20939" t="str">
        <f t="shared" si="328"/>
        <v xml:space="preserve">12323024286 </v>
      </c>
      <c r="O20939">
        <v>230608</v>
      </c>
    </row>
    <row r="20940" spans="1:15" x14ac:dyDescent="0.25">
      <c r="A20940" t="s">
        <v>16</v>
      </c>
      <c r="B20940" t="s">
        <v>3221</v>
      </c>
      <c r="C20940">
        <v>8437</v>
      </c>
      <c r="D20940" t="s">
        <v>263</v>
      </c>
      <c r="E20940" t="s">
        <v>264</v>
      </c>
      <c r="F20940">
        <v>2.23</v>
      </c>
      <c r="G20940">
        <v>230605</v>
      </c>
      <c r="H20940">
        <v>4362</v>
      </c>
      <c r="I20940" t="s">
        <v>79</v>
      </c>
      <c r="J20940">
        <v>2.76</v>
      </c>
      <c r="K20940">
        <v>0.53</v>
      </c>
      <c r="L20940">
        <v>67554</v>
      </c>
      <c r="M20940" t="s">
        <v>60</v>
      </c>
      <c r="N20940" t="str">
        <f t="shared" si="328"/>
        <v xml:space="preserve">12323024286 </v>
      </c>
      <c r="O20940">
        <v>230608</v>
      </c>
    </row>
    <row r="20941" spans="1:15" x14ac:dyDescent="0.25">
      <c r="A20941" t="s">
        <v>16</v>
      </c>
      <c r="B20941" t="s">
        <v>3221</v>
      </c>
      <c r="C20941">
        <v>8437</v>
      </c>
      <c r="D20941" t="s">
        <v>263</v>
      </c>
      <c r="E20941" t="s">
        <v>264</v>
      </c>
      <c r="F20941">
        <v>2.7</v>
      </c>
      <c r="G20941">
        <v>230605</v>
      </c>
      <c r="H20941">
        <v>4362</v>
      </c>
      <c r="I20941" t="s">
        <v>79</v>
      </c>
      <c r="J20941">
        <v>3.35</v>
      </c>
      <c r="K20941">
        <v>0.65</v>
      </c>
      <c r="L20941">
        <v>67554</v>
      </c>
      <c r="M20941" t="s">
        <v>60</v>
      </c>
      <c r="N20941" t="str">
        <f t="shared" si="328"/>
        <v xml:space="preserve">12323024286 </v>
      </c>
      <c r="O20941">
        <v>230608</v>
      </c>
    </row>
    <row r="20942" spans="1:15" x14ac:dyDescent="0.25">
      <c r="A20942" t="s">
        <v>16</v>
      </c>
      <c r="B20942" t="s">
        <v>3221</v>
      </c>
      <c r="C20942">
        <v>8437</v>
      </c>
      <c r="D20942" t="s">
        <v>263</v>
      </c>
      <c r="E20942" t="s">
        <v>264</v>
      </c>
      <c r="F20942">
        <v>47.8</v>
      </c>
      <c r="G20942">
        <v>230605</v>
      </c>
      <c r="H20942">
        <v>4362</v>
      </c>
      <c r="I20942" t="s">
        <v>79</v>
      </c>
      <c r="J20942">
        <v>59.27</v>
      </c>
      <c r="K20942">
        <v>11.47</v>
      </c>
      <c r="L20942">
        <v>67554</v>
      </c>
      <c r="M20942" t="s">
        <v>60</v>
      </c>
      <c r="N20942" t="str">
        <f t="shared" si="328"/>
        <v xml:space="preserve">12323024286 </v>
      </c>
      <c r="O20942">
        <v>230608</v>
      </c>
    </row>
    <row r="20943" spans="1:15" x14ac:dyDescent="0.25">
      <c r="A20943" t="s">
        <v>16</v>
      </c>
      <c r="B20943" t="s">
        <v>3221</v>
      </c>
      <c r="C20943">
        <v>8437</v>
      </c>
      <c r="D20943" t="s">
        <v>263</v>
      </c>
      <c r="E20943" t="s">
        <v>264</v>
      </c>
      <c r="F20943">
        <v>4.32</v>
      </c>
      <c r="G20943">
        <v>230605</v>
      </c>
      <c r="H20943">
        <v>4362</v>
      </c>
      <c r="I20943" t="s">
        <v>79</v>
      </c>
      <c r="J20943">
        <v>5.36</v>
      </c>
      <c r="K20943">
        <v>1.04</v>
      </c>
      <c r="L20943">
        <v>67554</v>
      </c>
      <c r="M20943" t="s">
        <v>60</v>
      </c>
      <c r="N20943" t="str">
        <f t="shared" si="328"/>
        <v xml:space="preserve">12323024286 </v>
      </c>
      <c r="O20943">
        <v>230608</v>
      </c>
    </row>
    <row r="20944" spans="1:15" x14ac:dyDescent="0.25">
      <c r="A20944" t="s">
        <v>16</v>
      </c>
      <c r="B20944" t="s">
        <v>3221</v>
      </c>
      <c r="C20944">
        <v>8437</v>
      </c>
      <c r="D20944" t="s">
        <v>263</v>
      </c>
      <c r="E20944" t="s">
        <v>264</v>
      </c>
      <c r="F20944">
        <v>5.4</v>
      </c>
      <c r="G20944">
        <v>230605</v>
      </c>
      <c r="H20944">
        <v>4362</v>
      </c>
      <c r="I20944" t="s">
        <v>79</v>
      </c>
      <c r="J20944">
        <v>6.7</v>
      </c>
      <c r="K20944">
        <v>1.3</v>
      </c>
      <c r="L20944">
        <v>69111</v>
      </c>
      <c r="M20944" t="s">
        <v>471</v>
      </c>
      <c r="N20944" t="str">
        <f t="shared" si="328"/>
        <v xml:space="preserve">12323024286 </v>
      </c>
      <c r="O20944">
        <v>230608</v>
      </c>
    </row>
    <row r="20945" spans="1:15" x14ac:dyDescent="0.25">
      <c r="A20945" t="s">
        <v>16</v>
      </c>
      <c r="B20945" t="s">
        <v>3221</v>
      </c>
      <c r="C20945">
        <v>8437</v>
      </c>
      <c r="D20945" t="s">
        <v>263</v>
      </c>
      <c r="E20945" t="s">
        <v>264</v>
      </c>
      <c r="F20945">
        <v>2.7</v>
      </c>
      <c r="G20945">
        <v>230605</v>
      </c>
      <c r="H20945">
        <v>4362</v>
      </c>
      <c r="I20945" t="s">
        <v>79</v>
      </c>
      <c r="J20945">
        <v>3.35</v>
      </c>
      <c r="K20945">
        <v>0.65</v>
      </c>
      <c r="L20945">
        <v>69112</v>
      </c>
      <c r="M20945" t="s">
        <v>313</v>
      </c>
      <c r="N20945" t="str">
        <f t="shared" si="328"/>
        <v xml:space="preserve">12323024286 </v>
      </c>
      <c r="O20945">
        <v>230608</v>
      </c>
    </row>
    <row r="20946" spans="1:15" x14ac:dyDescent="0.25">
      <c r="A20946" t="s">
        <v>16</v>
      </c>
      <c r="B20946" t="s">
        <v>3221</v>
      </c>
      <c r="C20946">
        <v>8437</v>
      </c>
      <c r="D20946" t="s">
        <v>263</v>
      </c>
      <c r="E20946" t="s">
        <v>264</v>
      </c>
      <c r="F20946">
        <v>9.4499999999999993</v>
      </c>
      <c r="G20946">
        <v>230605</v>
      </c>
      <c r="H20946">
        <v>4362</v>
      </c>
      <c r="I20946" t="s">
        <v>79</v>
      </c>
      <c r="J20946">
        <v>11.72</v>
      </c>
      <c r="K20946">
        <v>2.27</v>
      </c>
      <c r="L20946">
        <v>69113</v>
      </c>
      <c r="M20946" t="s">
        <v>282</v>
      </c>
      <c r="N20946" t="str">
        <f t="shared" si="328"/>
        <v xml:space="preserve">12323024286 </v>
      </c>
      <c r="O20946">
        <v>230608</v>
      </c>
    </row>
    <row r="20947" spans="1:15" x14ac:dyDescent="0.25">
      <c r="A20947" t="s">
        <v>16</v>
      </c>
      <c r="B20947" t="s">
        <v>3221</v>
      </c>
      <c r="C20947">
        <v>8437</v>
      </c>
      <c r="D20947" t="s">
        <v>263</v>
      </c>
      <c r="E20947" t="s">
        <v>264</v>
      </c>
      <c r="F20947">
        <v>36.54</v>
      </c>
      <c r="G20947">
        <v>230605</v>
      </c>
      <c r="H20947">
        <v>4362</v>
      </c>
      <c r="I20947" t="s">
        <v>79</v>
      </c>
      <c r="J20947">
        <v>45.31</v>
      </c>
      <c r="K20947">
        <v>8.77</v>
      </c>
      <c r="L20947">
        <v>69501</v>
      </c>
      <c r="M20947" t="s">
        <v>185</v>
      </c>
      <c r="N20947" t="str">
        <f t="shared" si="328"/>
        <v xml:space="preserve">12323024286 </v>
      </c>
      <c r="O20947">
        <v>230608</v>
      </c>
    </row>
    <row r="20948" spans="1:15" x14ac:dyDescent="0.25">
      <c r="A20948" t="s">
        <v>16</v>
      </c>
      <c r="B20948" t="s">
        <v>3221</v>
      </c>
      <c r="C20948">
        <v>8437</v>
      </c>
      <c r="D20948" t="s">
        <v>263</v>
      </c>
      <c r="E20948" t="s">
        <v>264</v>
      </c>
      <c r="F20948">
        <v>4.05</v>
      </c>
      <c r="G20948">
        <v>230605</v>
      </c>
      <c r="H20948">
        <v>4362</v>
      </c>
      <c r="I20948" t="s">
        <v>79</v>
      </c>
      <c r="J20948">
        <v>5.0199999999999996</v>
      </c>
      <c r="K20948">
        <v>0.97</v>
      </c>
      <c r="L20948">
        <v>69701</v>
      </c>
      <c r="M20948" t="s">
        <v>488</v>
      </c>
      <c r="N20948" t="str">
        <f t="shared" si="328"/>
        <v xml:space="preserve">12323024286 </v>
      </c>
      <c r="O20948">
        <v>230608</v>
      </c>
    </row>
    <row r="20949" spans="1:15" x14ac:dyDescent="0.25">
      <c r="A20949" t="s">
        <v>16</v>
      </c>
      <c r="B20949" t="s">
        <v>3221</v>
      </c>
      <c r="C20949">
        <v>8437</v>
      </c>
      <c r="D20949" t="s">
        <v>263</v>
      </c>
      <c r="E20949" t="s">
        <v>264</v>
      </c>
      <c r="F20949">
        <v>2.7</v>
      </c>
      <c r="G20949">
        <v>230605</v>
      </c>
      <c r="H20949">
        <v>4362</v>
      </c>
      <c r="I20949" t="s">
        <v>79</v>
      </c>
      <c r="J20949">
        <v>3.35</v>
      </c>
      <c r="K20949">
        <v>0.65</v>
      </c>
      <c r="L20949">
        <v>69702</v>
      </c>
      <c r="M20949" t="s">
        <v>489</v>
      </c>
      <c r="N20949" t="str">
        <f t="shared" si="328"/>
        <v xml:space="preserve">12323024286 </v>
      </c>
      <c r="O20949">
        <v>230608</v>
      </c>
    </row>
    <row r="20950" spans="1:15" x14ac:dyDescent="0.25">
      <c r="A20950" t="s">
        <v>16</v>
      </c>
      <c r="B20950" t="s">
        <v>3221</v>
      </c>
      <c r="C20950">
        <v>8437</v>
      </c>
      <c r="D20950" t="s">
        <v>263</v>
      </c>
      <c r="E20950" t="s">
        <v>264</v>
      </c>
      <c r="F20950">
        <v>5.25</v>
      </c>
      <c r="G20950">
        <v>230605</v>
      </c>
      <c r="H20950">
        <v>4362</v>
      </c>
      <c r="I20950" t="s">
        <v>79</v>
      </c>
      <c r="J20950">
        <v>6.51</v>
      </c>
      <c r="K20950">
        <v>1.26</v>
      </c>
      <c r="L20950">
        <v>69702</v>
      </c>
      <c r="M20950" t="s">
        <v>489</v>
      </c>
      <c r="N20950" t="str">
        <f t="shared" si="328"/>
        <v xml:space="preserve">12323024286 </v>
      </c>
      <c r="O20950">
        <v>230608</v>
      </c>
    </row>
    <row r="20951" spans="1:15" x14ac:dyDescent="0.25">
      <c r="A20951" t="s">
        <v>16</v>
      </c>
      <c r="B20951" t="s">
        <v>3221</v>
      </c>
      <c r="C20951">
        <v>8437</v>
      </c>
      <c r="D20951" t="s">
        <v>263</v>
      </c>
      <c r="E20951" t="s">
        <v>264</v>
      </c>
      <c r="F20951">
        <v>4.2699999999999996</v>
      </c>
      <c r="G20951">
        <v>230605</v>
      </c>
      <c r="H20951">
        <v>4362</v>
      </c>
      <c r="I20951" t="s">
        <v>79</v>
      </c>
      <c r="J20951">
        <v>5.29</v>
      </c>
      <c r="K20951">
        <v>1.02</v>
      </c>
      <c r="L20951">
        <v>69703</v>
      </c>
      <c r="M20951" t="s">
        <v>1036</v>
      </c>
      <c r="N20951" t="str">
        <f t="shared" si="328"/>
        <v xml:space="preserve">12323024286 </v>
      </c>
      <c r="O20951">
        <v>230608</v>
      </c>
    </row>
    <row r="20952" spans="1:15" x14ac:dyDescent="0.25">
      <c r="A20952" t="s">
        <v>16</v>
      </c>
      <c r="B20952" t="s">
        <v>3221</v>
      </c>
      <c r="C20952">
        <v>8437</v>
      </c>
      <c r="D20952" t="s">
        <v>263</v>
      </c>
      <c r="E20952" t="s">
        <v>264</v>
      </c>
      <c r="F20952">
        <v>5.25</v>
      </c>
      <c r="G20952">
        <v>230605</v>
      </c>
      <c r="H20952">
        <v>4362</v>
      </c>
      <c r="I20952" t="s">
        <v>79</v>
      </c>
      <c r="J20952">
        <v>6.51</v>
      </c>
      <c r="K20952">
        <v>1.26</v>
      </c>
      <c r="L20952">
        <v>69704</v>
      </c>
      <c r="M20952" t="s">
        <v>325</v>
      </c>
      <c r="N20952" t="str">
        <f t="shared" si="328"/>
        <v xml:space="preserve">12323024286 </v>
      </c>
      <c r="O20952">
        <v>230608</v>
      </c>
    </row>
    <row r="20953" spans="1:15" x14ac:dyDescent="0.25">
      <c r="A20953" t="s">
        <v>16</v>
      </c>
      <c r="B20953" t="s">
        <v>3221</v>
      </c>
      <c r="C20953">
        <v>8437</v>
      </c>
      <c r="D20953" t="s">
        <v>263</v>
      </c>
      <c r="E20953" t="s">
        <v>264</v>
      </c>
      <c r="F20953">
        <v>5.4</v>
      </c>
      <c r="G20953">
        <v>230605</v>
      </c>
      <c r="H20953">
        <v>4362</v>
      </c>
      <c r="I20953" t="s">
        <v>79</v>
      </c>
      <c r="J20953">
        <v>6.7</v>
      </c>
      <c r="K20953">
        <v>1.3</v>
      </c>
      <c r="L20953">
        <v>69707</v>
      </c>
      <c r="M20953" t="s">
        <v>490</v>
      </c>
      <c r="N20953" t="str">
        <f t="shared" si="328"/>
        <v xml:space="preserve">12323024286 </v>
      </c>
      <c r="O20953">
        <v>230608</v>
      </c>
    </row>
    <row r="20954" spans="1:15" x14ac:dyDescent="0.25">
      <c r="A20954" t="s">
        <v>16</v>
      </c>
      <c r="B20954" t="s">
        <v>3221</v>
      </c>
      <c r="C20954">
        <v>8437</v>
      </c>
      <c r="D20954" t="s">
        <v>263</v>
      </c>
      <c r="E20954" t="s">
        <v>264</v>
      </c>
      <c r="F20954">
        <v>10.8</v>
      </c>
      <c r="G20954">
        <v>230605</v>
      </c>
      <c r="H20954">
        <v>4362</v>
      </c>
      <c r="I20954" t="s">
        <v>79</v>
      </c>
      <c r="J20954">
        <v>13.39</v>
      </c>
      <c r="K20954">
        <v>2.59</v>
      </c>
      <c r="L20954">
        <v>69708</v>
      </c>
      <c r="M20954" t="s">
        <v>491</v>
      </c>
      <c r="N20954" t="str">
        <f t="shared" si="328"/>
        <v xml:space="preserve">12323024286 </v>
      </c>
      <c r="O20954">
        <v>230608</v>
      </c>
    </row>
    <row r="20955" spans="1:15" x14ac:dyDescent="0.25">
      <c r="A20955" t="s">
        <v>16</v>
      </c>
      <c r="B20955" t="s">
        <v>3221</v>
      </c>
      <c r="C20955">
        <v>8438</v>
      </c>
      <c r="D20955" t="s">
        <v>263</v>
      </c>
      <c r="E20955" t="s">
        <v>264</v>
      </c>
      <c r="F20955">
        <v>21.45</v>
      </c>
      <c r="G20955">
        <v>230605</v>
      </c>
      <c r="H20955">
        <v>4362</v>
      </c>
      <c r="I20955" t="s">
        <v>79</v>
      </c>
      <c r="J20955">
        <v>26.6</v>
      </c>
      <c r="K20955">
        <v>5.15</v>
      </c>
      <c r="L20955">
        <v>11101</v>
      </c>
      <c r="M20955" t="s">
        <v>110</v>
      </c>
      <c r="N20955" t="str">
        <f>"12323024314 "</f>
        <v xml:space="preserve">12323024314 </v>
      </c>
      <c r="O20955">
        <v>230608</v>
      </c>
    </row>
    <row r="20956" spans="1:15" x14ac:dyDescent="0.25">
      <c r="A20956" t="s">
        <v>16</v>
      </c>
      <c r="B20956" t="s">
        <v>3221</v>
      </c>
      <c r="C20956">
        <v>8438</v>
      </c>
      <c r="D20956" t="s">
        <v>263</v>
      </c>
      <c r="E20956" t="s">
        <v>264</v>
      </c>
      <c r="F20956">
        <v>4.5199999999999996</v>
      </c>
      <c r="G20956">
        <v>230605</v>
      </c>
      <c r="H20956">
        <v>4362</v>
      </c>
      <c r="I20956" t="s">
        <v>79</v>
      </c>
      <c r="J20956">
        <v>5.6</v>
      </c>
      <c r="K20956">
        <v>1.08</v>
      </c>
      <c r="L20956">
        <v>11201</v>
      </c>
      <c r="M20956" t="s">
        <v>305</v>
      </c>
      <c r="N20956" t="str">
        <f>"12323024314 "</f>
        <v xml:space="preserve">12323024314 </v>
      </c>
      <c r="O20956">
        <v>230608</v>
      </c>
    </row>
    <row r="20957" spans="1:15" x14ac:dyDescent="0.25">
      <c r="A20957" t="s">
        <v>16</v>
      </c>
      <c r="B20957" t="s">
        <v>3221</v>
      </c>
      <c r="C20957">
        <v>8439</v>
      </c>
      <c r="D20957" t="s">
        <v>263</v>
      </c>
      <c r="E20957" t="s">
        <v>264</v>
      </c>
      <c r="F20957">
        <v>23.94</v>
      </c>
      <c r="G20957">
        <v>230605</v>
      </c>
      <c r="H20957">
        <v>4362</v>
      </c>
      <c r="I20957" t="s">
        <v>79</v>
      </c>
      <c r="J20957">
        <v>29.69</v>
      </c>
      <c r="K20957">
        <v>5.75</v>
      </c>
      <c r="L20957">
        <v>46554</v>
      </c>
      <c r="M20957" t="s">
        <v>117</v>
      </c>
      <c r="N20957" t="str">
        <f>"12323024294 "</f>
        <v xml:space="preserve">12323024294 </v>
      </c>
      <c r="O20957">
        <v>230608</v>
      </c>
    </row>
    <row r="20958" spans="1:15" x14ac:dyDescent="0.25">
      <c r="A20958" t="s">
        <v>16</v>
      </c>
      <c r="B20958" t="s">
        <v>3221</v>
      </c>
      <c r="C20958">
        <v>8466</v>
      </c>
      <c r="D20958" t="s">
        <v>263</v>
      </c>
      <c r="E20958" t="s">
        <v>264</v>
      </c>
      <c r="F20958">
        <v>8.1</v>
      </c>
      <c r="G20958">
        <v>230605</v>
      </c>
      <c r="H20958">
        <v>4362</v>
      </c>
      <c r="I20958" t="s">
        <v>79</v>
      </c>
      <c r="J20958">
        <v>10.039999999999999</v>
      </c>
      <c r="K20958">
        <v>1.94</v>
      </c>
      <c r="L20958">
        <v>17913</v>
      </c>
      <c r="M20958" t="s">
        <v>431</v>
      </c>
      <c r="N20958" t="str">
        <f>"12323024303 "</f>
        <v xml:space="preserve">12323024303 </v>
      </c>
      <c r="O20958">
        <v>230609</v>
      </c>
    </row>
    <row r="20959" spans="1:15" x14ac:dyDescent="0.25">
      <c r="A20959" t="s">
        <v>16</v>
      </c>
      <c r="B20959" t="s">
        <v>3221</v>
      </c>
      <c r="C20959">
        <v>8466</v>
      </c>
      <c r="D20959" t="s">
        <v>263</v>
      </c>
      <c r="E20959" t="s">
        <v>264</v>
      </c>
      <c r="F20959">
        <v>22.27</v>
      </c>
      <c r="G20959">
        <v>230605</v>
      </c>
      <c r="H20959">
        <v>4362</v>
      </c>
      <c r="I20959" t="s">
        <v>79</v>
      </c>
      <c r="J20959">
        <v>27.61</v>
      </c>
      <c r="K20959">
        <v>5.34</v>
      </c>
      <c r="L20959">
        <v>17951</v>
      </c>
      <c r="M20959" t="s">
        <v>87</v>
      </c>
      <c r="N20959" t="str">
        <f>"12323024303 "</f>
        <v xml:space="preserve">12323024303 </v>
      </c>
      <c r="O20959">
        <v>230609</v>
      </c>
    </row>
    <row r="20960" spans="1:15" x14ac:dyDescent="0.25">
      <c r="A20960" t="s">
        <v>16</v>
      </c>
      <c r="B20960" t="s">
        <v>3221</v>
      </c>
      <c r="C20960">
        <v>8466</v>
      </c>
      <c r="D20960" t="s">
        <v>263</v>
      </c>
      <c r="E20960" t="s">
        <v>264</v>
      </c>
      <c r="F20960">
        <v>11.88</v>
      </c>
      <c r="G20960">
        <v>230605</v>
      </c>
      <c r="H20960">
        <v>4362</v>
      </c>
      <c r="I20960" t="s">
        <v>79</v>
      </c>
      <c r="J20960">
        <v>14.73</v>
      </c>
      <c r="K20960">
        <v>2.85</v>
      </c>
      <c r="L20960">
        <v>17971</v>
      </c>
      <c r="M20960" t="s">
        <v>138</v>
      </c>
      <c r="N20960" t="str">
        <f>"12323024303 "</f>
        <v xml:space="preserve">12323024303 </v>
      </c>
      <c r="O20960">
        <v>230609</v>
      </c>
    </row>
    <row r="20961" spans="1:15" x14ac:dyDescent="0.25">
      <c r="A20961" t="s">
        <v>16</v>
      </c>
      <c r="B20961" t="s">
        <v>3221</v>
      </c>
      <c r="C20961">
        <v>8466</v>
      </c>
      <c r="D20961" t="s">
        <v>263</v>
      </c>
      <c r="E20961" t="s">
        <v>264</v>
      </c>
      <c r="F20961">
        <v>5.25</v>
      </c>
      <c r="G20961">
        <v>230605</v>
      </c>
      <c r="H20961">
        <v>4362</v>
      </c>
      <c r="I20961" t="s">
        <v>79</v>
      </c>
      <c r="J20961">
        <v>6.51</v>
      </c>
      <c r="K20961">
        <v>1.26</v>
      </c>
      <c r="L20961">
        <v>17974</v>
      </c>
      <c r="M20961" t="s">
        <v>460</v>
      </c>
      <c r="N20961" t="str">
        <f>"12323024303 "</f>
        <v xml:space="preserve">12323024303 </v>
      </c>
      <c r="O20961">
        <v>230609</v>
      </c>
    </row>
    <row r="20962" spans="1:15" x14ac:dyDescent="0.25">
      <c r="A20962" t="s">
        <v>16</v>
      </c>
      <c r="B20962" t="s">
        <v>3221</v>
      </c>
      <c r="C20962">
        <v>8466</v>
      </c>
      <c r="D20962" t="s">
        <v>263</v>
      </c>
      <c r="E20962" t="s">
        <v>264</v>
      </c>
      <c r="F20962">
        <v>7.96</v>
      </c>
      <c r="G20962">
        <v>230605</v>
      </c>
      <c r="H20962">
        <v>4362</v>
      </c>
      <c r="I20962" t="s">
        <v>79</v>
      </c>
      <c r="J20962">
        <v>9.8699999999999992</v>
      </c>
      <c r="K20962">
        <v>1.91</v>
      </c>
      <c r="L20962">
        <v>17975</v>
      </c>
      <c r="M20962" t="s">
        <v>798</v>
      </c>
      <c r="N20962" t="str">
        <f>"12323024303 "</f>
        <v xml:space="preserve">12323024303 </v>
      </c>
      <c r="O20962">
        <v>230609</v>
      </c>
    </row>
    <row r="20963" spans="1:15" x14ac:dyDescent="0.25">
      <c r="A20963" t="s">
        <v>16</v>
      </c>
      <c r="B20963" t="s">
        <v>3221</v>
      </c>
      <c r="C20963">
        <v>8471</v>
      </c>
      <c r="D20963" t="s">
        <v>263</v>
      </c>
      <c r="E20963" t="s">
        <v>264</v>
      </c>
      <c r="F20963">
        <v>31.15</v>
      </c>
      <c r="G20963">
        <v>230605</v>
      </c>
      <c r="H20963">
        <v>4362</v>
      </c>
      <c r="I20963" t="s">
        <v>79</v>
      </c>
      <c r="J20963">
        <v>38.619999999999997</v>
      </c>
      <c r="K20963">
        <v>7.47</v>
      </c>
      <c r="L20963">
        <v>41126</v>
      </c>
      <c r="M20963" t="s">
        <v>761</v>
      </c>
      <c r="N20963" t="str">
        <f>"12323024291 "</f>
        <v xml:space="preserve">12323024291 </v>
      </c>
      <c r="O20963">
        <v>230609</v>
      </c>
    </row>
    <row r="20964" spans="1:15" x14ac:dyDescent="0.25">
      <c r="A20964" t="s">
        <v>16</v>
      </c>
      <c r="B20964" t="s">
        <v>3221</v>
      </c>
      <c r="C20964">
        <v>8471</v>
      </c>
      <c r="D20964" t="s">
        <v>263</v>
      </c>
      <c r="E20964" t="s">
        <v>264</v>
      </c>
      <c r="F20964">
        <v>8.11</v>
      </c>
      <c r="G20964">
        <v>230605</v>
      </c>
      <c r="H20964">
        <v>4362</v>
      </c>
      <c r="I20964" t="s">
        <v>79</v>
      </c>
      <c r="J20964">
        <v>10.06</v>
      </c>
      <c r="K20964">
        <v>1.95</v>
      </c>
      <c r="L20964">
        <v>46222</v>
      </c>
      <c r="M20964" t="s">
        <v>293</v>
      </c>
      <c r="N20964" t="str">
        <f>"12323024291 "</f>
        <v xml:space="preserve">12323024291 </v>
      </c>
      <c r="O20964">
        <v>230609</v>
      </c>
    </row>
    <row r="20965" spans="1:15" x14ac:dyDescent="0.25">
      <c r="A20965" t="s">
        <v>16</v>
      </c>
      <c r="B20965" t="s">
        <v>3221</v>
      </c>
      <c r="C20965">
        <v>8472</v>
      </c>
      <c r="D20965" t="s">
        <v>263</v>
      </c>
      <c r="E20965" t="s">
        <v>264</v>
      </c>
      <c r="F20965">
        <v>2.2000000000000002</v>
      </c>
      <c r="G20965">
        <v>230605</v>
      </c>
      <c r="H20965">
        <v>4362</v>
      </c>
      <c r="I20965" t="s">
        <v>79</v>
      </c>
      <c r="J20965">
        <v>2.73</v>
      </c>
      <c r="K20965">
        <v>0.53</v>
      </c>
      <c r="L20965">
        <v>41126</v>
      </c>
      <c r="M20965" t="s">
        <v>761</v>
      </c>
      <c r="N20965" t="str">
        <f t="shared" ref="N20965:N20970" si="329">"12323024302 "</f>
        <v xml:space="preserve">12323024302 </v>
      </c>
      <c r="O20965">
        <v>230609</v>
      </c>
    </row>
    <row r="20966" spans="1:15" x14ac:dyDescent="0.25">
      <c r="A20966" t="s">
        <v>16</v>
      </c>
      <c r="B20966" t="s">
        <v>3221</v>
      </c>
      <c r="C20966">
        <v>8472</v>
      </c>
      <c r="D20966" t="s">
        <v>263</v>
      </c>
      <c r="E20966" t="s">
        <v>264</v>
      </c>
      <c r="F20966">
        <v>1.7</v>
      </c>
      <c r="G20966">
        <v>230605</v>
      </c>
      <c r="H20966">
        <v>4362</v>
      </c>
      <c r="I20966" t="s">
        <v>79</v>
      </c>
      <c r="J20966">
        <v>2.11</v>
      </c>
      <c r="K20966">
        <v>0.41</v>
      </c>
      <c r="L20966">
        <v>43222</v>
      </c>
      <c r="M20966" t="s">
        <v>507</v>
      </c>
      <c r="N20966" t="str">
        <f t="shared" si="329"/>
        <v xml:space="preserve">12323024302 </v>
      </c>
      <c r="O20966">
        <v>230609</v>
      </c>
    </row>
    <row r="20967" spans="1:15" x14ac:dyDescent="0.25">
      <c r="A20967" t="s">
        <v>16</v>
      </c>
      <c r="B20967" t="s">
        <v>3221</v>
      </c>
      <c r="C20967">
        <v>8472</v>
      </c>
      <c r="D20967" t="s">
        <v>263</v>
      </c>
      <c r="E20967" t="s">
        <v>264</v>
      </c>
      <c r="F20967">
        <v>2.04</v>
      </c>
      <c r="G20967">
        <v>230605</v>
      </c>
      <c r="H20967">
        <v>4362</v>
      </c>
      <c r="I20967" t="s">
        <v>79</v>
      </c>
      <c r="J20967">
        <v>2.5299999999999998</v>
      </c>
      <c r="K20967">
        <v>0.49</v>
      </c>
      <c r="L20967">
        <v>44222</v>
      </c>
      <c r="M20967" t="s">
        <v>232</v>
      </c>
      <c r="N20967" t="str">
        <f t="shared" si="329"/>
        <v xml:space="preserve">12323024302 </v>
      </c>
      <c r="O20967">
        <v>230609</v>
      </c>
    </row>
    <row r="20968" spans="1:15" x14ac:dyDescent="0.25">
      <c r="A20968" t="s">
        <v>16</v>
      </c>
      <c r="B20968" t="s">
        <v>3221</v>
      </c>
      <c r="C20968">
        <v>8472</v>
      </c>
      <c r="D20968" t="s">
        <v>263</v>
      </c>
      <c r="E20968" t="s">
        <v>264</v>
      </c>
      <c r="F20968">
        <v>2.2000000000000002</v>
      </c>
      <c r="G20968">
        <v>230605</v>
      </c>
      <c r="H20968">
        <v>4362</v>
      </c>
      <c r="I20968" t="s">
        <v>79</v>
      </c>
      <c r="J20968">
        <v>2.73</v>
      </c>
      <c r="K20968">
        <v>0.53</v>
      </c>
      <c r="L20968">
        <v>44424</v>
      </c>
      <c r="M20968" t="s">
        <v>776</v>
      </c>
      <c r="N20968" t="str">
        <f t="shared" si="329"/>
        <v xml:space="preserve">12323024302 </v>
      </c>
      <c r="O20968">
        <v>230609</v>
      </c>
    </row>
    <row r="20969" spans="1:15" x14ac:dyDescent="0.25">
      <c r="A20969" t="s">
        <v>16</v>
      </c>
      <c r="B20969" t="s">
        <v>3221</v>
      </c>
      <c r="C20969">
        <v>8472</v>
      </c>
      <c r="D20969" t="s">
        <v>263</v>
      </c>
      <c r="E20969" t="s">
        <v>264</v>
      </c>
      <c r="F20969">
        <v>1.19</v>
      </c>
      <c r="G20969">
        <v>230605</v>
      </c>
      <c r="H20969">
        <v>4362</v>
      </c>
      <c r="I20969" t="s">
        <v>79</v>
      </c>
      <c r="J20969">
        <v>1.47</v>
      </c>
      <c r="K20969">
        <v>0.28000000000000003</v>
      </c>
      <c r="L20969">
        <v>46222</v>
      </c>
      <c r="M20969" t="s">
        <v>293</v>
      </c>
      <c r="N20969" t="str">
        <f t="shared" si="329"/>
        <v xml:space="preserve">12323024302 </v>
      </c>
      <c r="O20969">
        <v>230609</v>
      </c>
    </row>
    <row r="20970" spans="1:15" x14ac:dyDescent="0.25">
      <c r="A20970" t="s">
        <v>16</v>
      </c>
      <c r="B20970" t="s">
        <v>3221</v>
      </c>
      <c r="C20970">
        <v>8472</v>
      </c>
      <c r="D20970" t="s">
        <v>263</v>
      </c>
      <c r="E20970" t="s">
        <v>264</v>
      </c>
      <c r="F20970">
        <v>7.64</v>
      </c>
      <c r="G20970">
        <v>230605</v>
      </c>
      <c r="H20970">
        <v>4362</v>
      </c>
      <c r="I20970" t="s">
        <v>79</v>
      </c>
      <c r="J20970">
        <v>9.4700000000000006</v>
      </c>
      <c r="K20970">
        <v>1.83</v>
      </c>
      <c r="L20970">
        <v>46559</v>
      </c>
      <c r="M20970" t="s">
        <v>1104</v>
      </c>
      <c r="N20970" t="str">
        <f t="shared" si="329"/>
        <v xml:space="preserve">12323024302 </v>
      </c>
      <c r="O20970">
        <v>230609</v>
      </c>
    </row>
    <row r="20971" spans="1:15" x14ac:dyDescent="0.25">
      <c r="A20971" t="s">
        <v>16</v>
      </c>
      <c r="B20971" t="s">
        <v>3221</v>
      </c>
      <c r="C20971">
        <v>8474</v>
      </c>
      <c r="D20971" t="s">
        <v>263</v>
      </c>
      <c r="E20971" t="s">
        <v>264</v>
      </c>
      <c r="F20971">
        <v>11.2</v>
      </c>
      <c r="G20971">
        <v>230605</v>
      </c>
      <c r="H20971">
        <v>4362</v>
      </c>
      <c r="I20971" t="s">
        <v>79</v>
      </c>
      <c r="J20971">
        <v>13.89</v>
      </c>
      <c r="K20971">
        <v>2.69</v>
      </c>
      <c r="L20971">
        <v>17131</v>
      </c>
      <c r="M20971" t="s">
        <v>64</v>
      </c>
      <c r="N20971" t="str">
        <f t="shared" ref="N20971:N20981" si="330">"12323024305 "</f>
        <v xml:space="preserve">12323024305 </v>
      </c>
      <c r="O20971">
        <v>230609</v>
      </c>
    </row>
    <row r="20972" spans="1:15" x14ac:dyDescent="0.25">
      <c r="A20972" t="s">
        <v>16</v>
      </c>
      <c r="B20972" t="s">
        <v>3221</v>
      </c>
      <c r="C20972">
        <v>8474</v>
      </c>
      <c r="D20972" t="s">
        <v>263</v>
      </c>
      <c r="E20972" t="s">
        <v>264</v>
      </c>
      <c r="F20972">
        <v>2.7</v>
      </c>
      <c r="G20972">
        <v>230605</v>
      </c>
      <c r="H20972">
        <v>4362</v>
      </c>
      <c r="I20972" t="s">
        <v>79</v>
      </c>
      <c r="J20972">
        <v>3.35</v>
      </c>
      <c r="K20972">
        <v>0.65</v>
      </c>
      <c r="L20972">
        <v>17147</v>
      </c>
      <c r="M20972" t="s">
        <v>1734</v>
      </c>
      <c r="N20972" t="str">
        <f t="shared" si="330"/>
        <v xml:space="preserve">12323024305 </v>
      </c>
      <c r="O20972">
        <v>230609</v>
      </c>
    </row>
    <row r="20973" spans="1:15" x14ac:dyDescent="0.25">
      <c r="A20973" t="s">
        <v>16</v>
      </c>
      <c r="B20973" t="s">
        <v>3221</v>
      </c>
      <c r="C20973">
        <v>8474</v>
      </c>
      <c r="D20973" t="s">
        <v>263</v>
      </c>
      <c r="E20973" t="s">
        <v>264</v>
      </c>
      <c r="F20973">
        <v>13.38</v>
      </c>
      <c r="G20973">
        <v>230605</v>
      </c>
      <c r="H20973">
        <v>4362</v>
      </c>
      <c r="I20973" t="s">
        <v>79</v>
      </c>
      <c r="J20973">
        <v>16.59</v>
      </c>
      <c r="K20973">
        <v>3.21</v>
      </c>
      <c r="L20973">
        <v>17711</v>
      </c>
      <c r="M20973" t="s">
        <v>65</v>
      </c>
      <c r="N20973" t="str">
        <f t="shared" si="330"/>
        <v xml:space="preserve">12323024305 </v>
      </c>
      <c r="O20973">
        <v>230609</v>
      </c>
    </row>
    <row r="20974" spans="1:15" x14ac:dyDescent="0.25">
      <c r="A20974" t="s">
        <v>16</v>
      </c>
      <c r="B20974" t="s">
        <v>3221</v>
      </c>
      <c r="C20974">
        <v>8474</v>
      </c>
      <c r="D20974" t="s">
        <v>263</v>
      </c>
      <c r="E20974" t="s">
        <v>264</v>
      </c>
      <c r="F20974">
        <v>16.2</v>
      </c>
      <c r="G20974">
        <v>230605</v>
      </c>
      <c r="H20974">
        <v>4362</v>
      </c>
      <c r="I20974" t="s">
        <v>79</v>
      </c>
      <c r="J20974">
        <v>20.09</v>
      </c>
      <c r="K20974">
        <v>3.89</v>
      </c>
      <c r="L20974">
        <v>17711</v>
      </c>
      <c r="M20974" t="s">
        <v>65</v>
      </c>
      <c r="N20974" t="str">
        <f t="shared" si="330"/>
        <v xml:space="preserve">12323024305 </v>
      </c>
      <c r="O20974">
        <v>230609</v>
      </c>
    </row>
    <row r="20975" spans="1:15" x14ac:dyDescent="0.25">
      <c r="A20975" t="s">
        <v>16</v>
      </c>
      <c r="B20975" t="s">
        <v>3221</v>
      </c>
      <c r="C20975">
        <v>8474</v>
      </c>
      <c r="D20975" t="s">
        <v>263</v>
      </c>
      <c r="E20975" t="s">
        <v>264</v>
      </c>
      <c r="F20975">
        <v>5.82</v>
      </c>
      <c r="G20975">
        <v>230605</v>
      </c>
      <c r="H20975">
        <v>4362</v>
      </c>
      <c r="I20975" t="s">
        <v>79</v>
      </c>
      <c r="J20975">
        <v>7.22</v>
      </c>
      <c r="K20975">
        <v>1.4</v>
      </c>
      <c r="L20975">
        <v>17737</v>
      </c>
      <c r="M20975" t="s">
        <v>279</v>
      </c>
      <c r="N20975" t="str">
        <f t="shared" si="330"/>
        <v xml:space="preserve">12323024305 </v>
      </c>
      <c r="O20975">
        <v>230609</v>
      </c>
    </row>
    <row r="20976" spans="1:15" x14ac:dyDescent="0.25">
      <c r="A20976" t="s">
        <v>16</v>
      </c>
      <c r="B20976" t="s">
        <v>3221</v>
      </c>
      <c r="C20976">
        <v>8474</v>
      </c>
      <c r="D20976" t="s">
        <v>263</v>
      </c>
      <c r="E20976" t="s">
        <v>264</v>
      </c>
      <c r="F20976">
        <v>13.5</v>
      </c>
      <c r="G20976">
        <v>230605</v>
      </c>
      <c r="H20976">
        <v>4362</v>
      </c>
      <c r="I20976" t="s">
        <v>79</v>
      </c>
      <c r="J20976">
        <v>16.739999999999998</v>
      </c>
      <c r="K20976">
        <v>3.24</v>
      </c>
      <c r="L20976">
        <v>17737</v>
      </c>
      <c r="M20976" t="s">
        <v>279</v>
      </c>
      <c r="N20976" t="str">
        <f t="shared" si="330"/>
        <v xml:space="preserve">12323024305 </v>
      </c>
      <c r="O20976">
        <v>230609</v>
      </c>
    </row>
    <row r="20977" spans="1:15" x14ac:dyDescent="0.25">
      <c r="A20977" t="s">
        <v>16</v>
      </c>
      <c r="B20977" t="s">
        <v>3221</v>
      </c>
      <c r="C20977">
        <v>8474</v>
      </c>
      <c r="D20977" t="s">
        <v>263</v>
      </c>
      <c r="E20977" t="s">
        <v>264</v>
      </c>
      <c r="F20977">
        <v>2.7</v>
      </c>
      <c r="G20977">
        <v>230605</v>
      </c>
      <c r="H20977">
        <v>4362</v>
      </c>
      <c r="I20977" t="s">
        <v>79</v>
      </c>
      <c r="J20977">
        <v>3.35</v>
      </c>
      <c r="K20977">
        <v>0.65</v>
      </c>
      <c r="L20977">
        <v>17912</v>
      </c>
      <c r="M20977" t="s">
        <v>419</v>
      </c>
      <c r="N20977" t="str">
        <f t="shared" si="330"/>
        <v xml:space="preserve">12323024305 </v>
      </c>
      <c r="O20977">
        <v>230609</v>
      </c>
    </row>
    <row r="20978" spans="1:15" x14ac:dyDescent="0.25">
      <c r="A20978" t="s">
        <v>16</v>
      </c>
      <c r="B20978" t="s">
        <v>3221</v>
      </c>
      <c r="C20978">
        <v>8474</v>
      </c>
      <c r="D20978" t="s">
        <v>263</v>
      </c>
      <c r="E20978" t="s">
        <v>264</v>
      </c>
      <c r="F20978">
        <v>3.17</v>
      </c>
      <c r="G20978">
        <v>230605</v>
      </c>
      <c r="H20978">
        <v>4362</v>
      </c>
      <c r="I20978" t="s">
        <v>79</v>
      </c>
      <c r="J20978">
        <v>3.93</v>
      </c>
      <c r="K20978">
        <v>0.76</v>
      </c>
      <c r="L20978">
        <v>17915</v>
      </c>
      <c r="M20978" t="s">
        <v>572</v>
      </c>
      <c r="N20978" t="str">
        <f t="shared" si="330"/>
        <v xml:space="preserve">12323024305 </v>
      </c>
      <c r="O20978">
        <v>230609</v>
      </c>
    </row>
    <row r="20979" spans="1:15" x14ac:dyDescent="0.25">
      <c r="A20979" t="s">
        <v>16</v>
      </c>
      <c r="B20979" t="s">
        <v>3221</v>
      </c>
      <c r="C20979">
        <v>8474</v>
      </c>
      <c r="D20979" t="s">
        <v>263</v>
      </c>
      <c r="E20979" t="s">
        <v>264</v>
      </c>
      <c r="F20979">
        <v>15.85</v>
      </c>
      <c r="G20979">
        <v>230605</v>
      </c>
      <c r="H20979">
        <v>4362</v>
      </c>
      <c r="I20979" t="s">
        <v>79</v>
      </c>
      <c r="J20979">
        <v>19.649999999999999</v>
      </c>
      <c r="K20979">
        <v>3.8</v>
      </c>
      <c r="L20979">
        <v>17952</v>
      </c>
      <c r="M20979" t="s">
        <v>88</v>
      </c>
      <c r="N20979" t="str">
        <f t="shared" si="330"/>
        <v xml:space="preserve">12323024305 </v>
      </c>
      <c r="O20979">
        <v>230609</v>
      </c>
    </row>
    <row r="20980" spans="1:15" x14ac:dyDescent="0.25">
      <c r="A20980" t="s">
        <v>16</v>
      </c>
      <c r="B20980" t="s">
        <v>3221</v>
      </c>
      <c r="C20980">
        <v>8474</v>
      </c>
      <c r="D20980" t="s">
        <v>263</v>
      </c>
      <c r="E20980" t="s">
        <v>264</v>
      </c>
      <c r="F20980">
        <v>15.61</v>
      </c>
      <c r="G20980">
        <v>230605</v>
      </c>
      <c r="H20980">
        <v>4362</v>
      </c>
      <c r="I20980" t="s">
        <v>79</v>
      </c>
      <c r="J20980">
        <v>19.36</v>
      </c>
      <c r="K20980">
        <v>3.75</v>
      </c>
      <c r="L20980">
        <v>17971</v>
      </c>
      <c r="M20980" t="s">
        <v>138</v>
      </c>
      <c r="N20980" t="str">
        <f t="shared" si="330"/>
        <v xml:space="preserve">12323024305 </v>
      </c>
      <c r="O20980">
        <v>230609</v>
      </c>
    </row>
    <row r="20981" spans="1:15" x14ac:dyDescent="0.25">
      <c r="A20981" t="s">
        <v>16</v>
      </c>
      <c r="B20981" t="s">
        <v>3221</v>
      </c>
      <c r="C20981">
        <v>8474</v>
      </c>
      <c r="D20981" t="s">
        <v>263</v>
      </c>
      <c r="E20981" t="s">
        <v>264</v>
      </c>
      <c r="F20981">
        <v>5.86</v>
      </c>
      <c r="G20981">
        <v>230605</v>
      </c>
      <c r="H20981">
        <v>4362</v>
      </c>
      <c r="I20981" t="s">
        <v>79</v>
      </c>
      <c r="J20981">
        <v>7.27</v>
      </c>
      <c r="K20981">
        <v>1.41</v>
      </c>
      <c r="L20981">
        <v>17972</v>
      </c>
      <c r="M20981" t="s">
        <v>248</v>
      </c>
      <c r="N20981" t="str">
        <f t="shared" si="330"/>
        <v xml:space="preserve">12323024305 </v>
      </c>
      <c r="O20981">
        <v>230609</v>
      </c>
    </row>
    <row r="20982" spans="1:15" x14ac:dyDescent="0.25">
      <c r="A20982" t="s">
        <v>16</v>
      </c>
      <c r="B20982" t="s">
        <v>3221</v>
      </c>
      <c r="C20982">
        <v>8475</v>
      </c>
      <c r="D20982" t="s">
        <v>263</v>
      </c>
      <c r="E20982" t="s">
        <v>264</v>
      </c>
      <c r="F20982">
        <v>4.0999999999999996</v>
      </c>
      <c r="G20982">
        <v>230605</v>
      </c>
      <c r="H20982">
        <v>4362</v>
      </c>
      <c r="I20982" t="s">
        <v>79</v>
      </c>
      <c r="J20982">
        <v>5.08</v>
      </c>
      <c r="K20982">
        <v>0.98</v>
      </c>
      <c r="L20982">
        <v>48601</v>
      </c>
      <c r="M20982" t="s">
        <v>1047</v>
      </c>
      <c r="N20982" t="str">
        <f>"12323024295 "</f>
        <v xml:space="preserve">12323024295 </v>
      </c>
      <c r="O20982">
        <v>230609</v>
      </c>
    </row>
    <row r="20983" spans="1:15" x14ac:dyDescent="0.25">
      <c r="A20983" t="s">
        <v>16</v>
      </c>
      <c r="B20983" t="s">
        <v>3221</v>
      </c>
      <c r="C20983">
        <v>8475</v>
      </c>
      <c r="D20983" t="s">
        <v>263</v>
      </c>
      <c r="E20983" t="s">
        <v>264</v>
      </c>
      <c r="F20983">
        <v>11.05</v>
      </c>
      <c r="G20983">
        <v>230605</v>
      </c>
      <c r="H20983">
        <v>4362</v>
      </c>
      <c r="I20983" t="s">
        <v>79</v>
      </c>
      <c r="J20983">
        <v>13.7</v>
      </c>
      <c r="K20983">
        <v>2.65</v>
      </c>
      <c r="L20983">
        <v>49704</v>
      </c>
      <c r="M20983" t="s">
        <v>1065</v>
      </c>
      <c r="N20983" t="str">
        <f>"12323024295 "</f>
        <v xml:space="preserve">12323024295 </v>
      </c>
      <c r="O20983">
        <v>230609</v>
      </c>
    </row>
    <row r="20984" spans="1:15" x14ac:dyDescent="0.25">
      <c r="A20984" t="s">
        <v>16</v>
      </c>
      <c r="B20984" t="s">
        <v>3221</v>
      </c>
      <c r="C20984">
        <v>8475</v>
      </c>
      <c r="D20984" t="s">
        <v>263</v>
      </c>
      <c r="E20984" t="s">
        <v>264</v>
      </c>
      <c r="F20984">
        <v>27.2</v>
      </c>
      <c r="G20984">
        <v>230605</v>
      </c>
      <c r="H20984">
        <v>4362</v>
      </c>
      <c r="I20984" t="s">
        <v>79</v>
      </c>
      <c r="J20984">
        <v>33.729999999999997</v>
      </c>
      <c r="K20984">
        <v>6.53</v>
      </c>
      <c r="L20984">
        <v>49705</v>
      </c>
      <c r="M20984" t="s">
        <v>575</v>
      </c>
      <c r="N20984" t="str">
        <f>"12323024295 "</f>
        <v xml:space="preserve">12323024295 </v>
      </c>
      <c r="O20984">
        <v>230609</v>
      </c>
    </row>
    <row r="20985" spans="1:15" x14ac:dyDescent="0.25">
      <c r="A20985" t="s">
        <v>16</v>
      </c>
      <c r="B20985" t="s">
        <v>3221</v>
      </c>
      <c r="C20985">
        <v>8496</v>
      </c>
      <c r="D20985" t="s">
        <v>263</v>
      </c>
      <c r="E20985" t="s">
        <v>264</v>
      </c>
      <c r="F20985">
        <v>19.84</v>
      </c>
      <c r="G20985">
        <v>230605</v>
      </c>
      <c r="H20985">
        <v>4362</v>
      </c>
      <c r="I20985" t="s">
        <v>79</v>
      </c>
      <c r="J20985">
        <v>24.6</v>
      </c>
      <c r="K20985">
        <v>4.76</v>
      </c>
      <c r="L20985">
        <v>16121</v>
      </c>
      <c r="M20985" t="s">
        <v>21</v>
      </c>
      <c r="N20985" t="str">
        <f t="shared" ref="N20985:N20994" si="331">"12323024307 "</f>
        <v xml:space="preserve">12323024307 </v>
      </c>
      <c r="O20985">
        <v>230609</v>
      </c>
    </row>
    <row r="20986" spans="1:15" x14ac:dyDescent="0.25">
      <c r="A20986" t="s">
        <v>16</v>
      </c>
      <c r="B20986" t="s">
        <v>3221</v>
      </c>
      <c r="C20986">
        <v>8496</v>
      </c>
      <c r="D20986" t="s">
        <v>263</v>
      </c>
      <c r="E20986" t="s">
        <v>264</v>
      </c>
      <c r="F20986">
        <v>5.8</v>
      </c>
      <c r="G20986">
        <v>230605</v>
      </c>
      <c r="H20986">
        <v>4362</v>
      </c>
      <c r="I20986" t="s">
        <v>79</v>
      </c>
      <c r="J20986">
        <v>7.19</v>
      </c>
      <c r="K20986">
        <v>1.39</v>
      </c>
      <c r="L20986">
        <v>16322</v>
      </c>
      <c r="M20986" t="s">
        <v>22</v>
      </c>
      <c r="N20986" t="str">
        <f t="shared" si="331"/>
        <v xml:space="preserve">12323024307 </v>
      </c>
      <c r="O20986">
        <v>230609</v>
      </c>
    </row>
    <row r="20987" spans="1:15" x14ac:dyDescent="0.25">
      <c r="A20987" t="s">
        <v>16</v>
      </c>
      <c r="B20987" t="s">
        <v>3221</v>
      </c>
      <c r="C20987">
        <v>8496</v>
      </c>
      <c r="D20987" t="s">
        <v>263</v>
      </c>
      <c r="E20987" t="s">
        <v>264</v>
      </c>
      <c r="F20987">
        <v>2.7</v>
      </c>
      <c r="G20987">
        <v>230605</v>
      </c>
      <c r="H20987">
        <v>4362</v>
      </c>
      <c r="I20987" t="s">
        <v>79</v>
      </c>
      <c r="J20987">
        <v>3.35</v>
      </c>
      <c r="K20987">
        <v>0.65</v>
      </c>
      <c r="L20987">
        <v>16820</v>
      </c>
      <c r="M20987" t="s">
        <v>23</v>
      </c>
      <c r="N20987" t="str">
        <f t="shared" si="331"/>
        <v xml:space="preserve">12323024307 </v>
      </c>
      <c r="O20987">
        <v>230609</v>
      </c>
    </row>
    <row r="20988" spans="1:15" x14ac:dyDescent="0.25">
      <c r="A20988" t="s">
        <v>16</v>
      </c>
      <c r="B20988" t="s">
        <v>3221</v>
      </c>
      <c r="C20988">
        <v>8496</v>
      </c>
      <c r="D20988" t="s">
        <v>263</v>
      </c>
      <c r="E20988" t="s">
        <v>264</v>
      </c>
      <c r="F20988">
        <v>5.4</v>
      </c>
      <c r="G20988">
        <v>230605</v>
      </c>
      <c r="H20988">
        <v>4362</v>
      </c>
      <c r="I20988" t="s">
        <v>79</v>
      </c>
      <c r="J20988">
        <v>6.69</v>
      </c>
      <c r="K20988">
        <v>1.29</v>
      </c>
      <c r="L20988">
        <v>16820</v>
      </c>
      <c r="M20988" t="s">
        <v>23</v>
      </c>
      <c r="N20988" t="str">
        <f t="shared" si="331"/>
        <v xml:space="preserve">12323024307 </v>
      </c>
      <c r="O20988">
        <v>230609</v>
      </c>
    </row>
    <row r="20989" spans="1:15" x14ac:dyDescent="0.25">
      <c r="A20989" t="s">
        <v>16</v>
      </c>
      <c r="B20989" t="s">
        <v>3221</v>
      </c>
      <c r="C20989">
        <v>8496</v>
      </c>
      <c r="D20989" t="s">
        <v>263</v>
      </c>
      <c r="E20989" t="s">
        <v>264</v>
      </c>
      <c r="F20989">
        <v>4.6900000000000004</v>
      </c>
      <c r="G20989">
        <v>230605</v>
      </c>
      <c r="H20989">
        <v>4362</v>
      </c>
      <c r="I20989" t="s">
        <v>79</v>
      </c>
      <c r="J20989">
        <v>5.82</v>
      </c>
      <c r="K20989">
        <v>1.1299999999999999</v>
      </c>
      <c r="L20989">
        <v>17538</v>
      </c>
      <c r="M20989" t="s">
        <v>24</v>
      </c>
      <c r="N20989" t="str">
        <f t="shared" si="331"/>
        <v xml:space="preserve">12323024307 </v>
      </c>
      <c r="O20989">
        <v>230609</v>
      </c>
    </row>
    <row r="20990" spans="1:15" x14ac:dyDescent="0.25">
      <c r="A20990" t="s">
        <v>16</v>
      </c>
      <c r="B20990" t="s">
        <v>3221</v>
      </c>
      <c r="C20990">
        <v>8496</v>
      </c>
      <c r="D20990" t="s">
        <v>263</v>
      </c>
      <c r="E20990" t="s">
        <v>264</v>
      </c>
      <c r="F20990">
        <v>2.7</v>
      </c>
      <c r="G20990">
        <v>230605</v>
      </c>
      <c r="H20990">
        <v>4362</v>
      </c>
      <c r="I20990" t="s">
        <v>79</v>
      </c>
      <c r="J20990">
        <v>3.35</v>
      </c>
      <c r="K20990">
        <v>0.65</v>
      </c>
      <c r="L20990">
        <v>17950</v>
      </c>
      <c r="M20990" t="s">
        <v>86</v>
      </c>
      <c r="N20990" t="str">
        <f t="shared" si="331"/>
        <v xml:space="preserve">12323024307 </v>
      </c>
      <c r="O20990">
        <v>230609</v>
      </c>
    </row>
    <row r="20991" spans="1:15" x14ac:dyDescent="0.25">
      <c r="A20991" t="s">
        <v>16</v>
      </c>
      <c r="B20991" t="s">
        <v>3221</v>
      </c>
      <c r="C20991">
        <v>8496</v>
      </c>
      <c r="D20991" t="s">
        <v>263</v>
      </c>
      <c r="E20991" t="s">
        <v>264</v>
      </c>
      <c r="F20991">
        <v>2.7</v>
      </c>
      <c r="G20991">
        <v>230605</v>
      </c>
      <c r="H20991">
        <v>4362</v>
      </c>
      <c r="I20991" t="s">
        <v>79</v>
      </c>
      <c r="J20991">
        <v>3.35</v>
      </c>
      <c r="K20991">
        <v>0.65</v>
      </c>
      <c r="L20991">
        <v>17971</v>
      </c>
      <c r="M20991" t="s">
        <v>138</v>
      </c>
      <c r="N20991" t="str">
        <f t="shared" si="331"/>
        <v xml:space="preserve">12323024307 </v>
      </c>
      <c r="O20991">
        <v>230609</v>
      </c>
    </row>
    <row r="20992" spans="1:15" x14ac:dyDescent="0.25">
      <c r="A20992" t="s">
        <v>16</v>
      </c>
      <c r="B20992" t="s">
        <v>3221</v>
      </c>
      <c r="C20992">
        <v>8496</v>
      </c>
      <c r="D20992" t="s">
        <v>263</v>
      </c>
      <c r="E20992" t="s">
        <v>264</v>
      </c>
      <c r="F20992">
        <v>2.7</v>
      </c>
      <c r="G20992">
        <v>230605</v>
      </c>
      <c r="H20992">
        <v>4362</v>
      </c>
      <c r="I20992" t="s">
        <v>79</v>
      </c>
      <c r="J20992">
        <v>3.35</v>
      </c>
      <c r="K20992">
        <v>0.65</v>
      </c>
      <c r="L20992">
        <v>17972</v>
      </c>
      <c r="M20992" t="s">
        <v>248</v>
      </c>
      <c r="N20992" t="str">
        <f t="shared" si="331"/>
        <v xml:space="preserve">12323024307 </v>
      </c>
      <c r="O20992">
        <v>230609</v>
      </c>
    </row>
    <row r="20993" spans="1:15" x14ac:dyDescent="0.25">
      <c r="A20993" t="s">
        <v>16</v>
      </c>
      <c r="B20993" t="s">
        <v>3221</v>
      </c>
      <c r="C20993">
        <v>8496</v>
      </c>
      <c r="D20993" t="s">
        <v>263</v>
      </c>
      <c r="E20993" t="s">
        <v>264</v>
      </c>
      <c r="F20993">
        <v>2.5499999999999998</v>
      </c>
      <c r="G20993">
        <v>230605</v>
      </c>
      <c r="H20993">
        <v>4362</v>
      </c>
      <c r="I20993" t="s">
        <v>79</v>
      </c>
      <c r="J20993">
        <v>3.16</v>
      </c>
      <c r="K20993">
        <v>0.61</v>
      </c>
      <c r="L20993">
        <v>17974</v>
      </c>
      <c r="M20993" t="s">
        <v>460</v>
      </c>
      <c r="N20993" t="str">
        <f t="shared" si="331"/>
        <v xml:space="preserve">12323024307 </v>
      </c>
      <c r="O20993">
        <v>230609</v>
      </c>
    </row>
    <row r="20994" spans="1:15" x14ac:dyDescent="0.25">
      <c r="A20994" t="s">
        <v>16</v>
      </c>
      <c r="B20994" t="s">
        <v>3221</v>
      </c>
      <c r="C20994">
        <v>8496</v>
      </c>
      <c r="D20994" t="s">
        <v>263</v>
      </c>
      <c r="E20994" t="s">
        <v>264</v>
      </c>
      <c r="F20994">
        <v>2.7</v>
      </c>
      <c r="G20994">
        <v>230605</v>
      </c>
      <c r="H20994">
        <v>4362</v>
      </c>
      <c r="I20994" t="s">
        <v>79</v>
      </c>
      <c r="J20994">
        <v>3.35</v>
      </c>
      <c r="K20994">
        <v>0.65</v>
      </c>
      <c r="L20994">
        <v>17974</v>
      </c>
      <c r="M20994" t="s">
        <v>460</v>
      </c>
      <c r="N20994" t="str">
        <f t="shared" si="331"/>
        <v xml:space="preserve">12323024307 </v>
      </c>
      <c r="O20994">
        <v>230609</v>
      </c>
    </row>
    <row r="20995" spans="1:15" x14ac:dyDescent="0.25">
      <c r="A20995" t="s">
        <v>16</v>
      </c>
      <c r="B20995" t="s">
        <v>3221</v>
      </c>
      <c r="C20995">
        <v>8501</v>
      </c>
      <c r="D20995" t="s">
        <v>263</v>
      </c>
      <c r="E20995" t="s">
        <v>264</v>
      </c>
      <c r="F20995">
        <v>21.48</v>
      </c>
      <c r="G20995">
        <v>230605</v>
      </c>
      <c r="H20995">
        <v>4362</v>
      </c>
      <c r="I20995" t="s">
        <v>79</v>
      </c>
      <c r="J20995">
        <v>26.64</v>
      </c>
      <c r="K20995">
        <v>5.16</v>
      </c>
      <c r="L20995">
        <v>13601</v>
      </c>
      <c r="M20995" t="s">
        <v>147</v>
      </c>
      <c r="N20995" t="str">
        <f>"12323024309 "</f>
        <v xml:space="preserve">12323024309 </v>
      </c>
      <c r="O20995">
        <v>230609</v>
      </c>
    </row>
    <row r="20996" spans="1:15" x14ac:dyDescent="0.25">
      <c r="A20996" t="s">
        <v>16</v>
      </c>
      <c r="B20996" t="s">
        <v>3221</v>
      </c>
      <c r="C20996">
        <v>8523</v>
      </c>
      <c r="D20996" t="s">
        <v>263</v>
      </c>
      <c r="E20996" t="s">
        <v>264</v>
      </c>
      <c r="F20996">
        <v>6.6</v>
      </c>
      <c r="G20996">
        <v>230605</v>
      </c>
      <c r="H20996">
        <v>4362</v>
      </c>
      <c r="I20996" t="s">
        <v>79</v>
      </c>
      <c r="J20996">
        <v>8.18</v>
      </c>
      <c r="K20996">
        <v>1.58</v>
      </c>
      <c r="L20996">
        <v>44222</v>
      </c>
      <c r="M20996" t="s">
        <v>232</v>
      </c>
      <c r="N20996" t="str">
        <f>"12323024298 "</f>
        <v xml:space="preserve">12323024298 </v>
      </c>
      <c r="O20996">
        <v>230612</v>
      </c>
    </row>
    <row r="20997" spans="1:15" x14ac:dyDescent="0.25">
      <c r="A20997" t="s">
        <v>16</v>
      </c>
      <c r="B20997" t="s">
        <v>3221</v>
      </c>
      <c r="C20997">
        <v>8523</v>
      </c>
      <c r="D20997" t="s">
        <v>263</v>
      </c>
      <c r="E20997" t="s">
        <v>264</v>
      </c>
      <c r="F20997">
        <v>21</v>
      </c>
      <c r="G20997">
        <v>230605</v>
      </c>
      <c r="H20997">
        <v>4362</v>
      </c>
      <c r="I20997" t="s">
        <v>79</v>
      </c>
      <c r="J20997">
        <v>26.04</v>
      </c>
      <c r="K20997">
        <v>5.04</v>
      </c>
      <c r="L20997">
        <v>44222</v>
      </c>
      <c r="M20997" t="s">
        <v>232</v>
      </c>
      <c r="N20997" t="str">
        <f>"12323024298 "</f>
        <v xml:space="preserve">12323024298 </v>
      </c>
      <c r="O20997">
        <v>230612</v>
      </c>
    </row>
    <row r="20998" spans="1:15" x14ac:dyDescent="0.25">
      <c r="A20998" t="s">
        <v>16</v>
      </c>
      <c r="B20998" t="s">
        <v>3221</v>
      </c>
      <c r="C20998">
        <v>8523</v>
      </c>
      <c r="D20998" t="s">
        <v>263</v>
      </c>
      <c r="E20998" t="s">
        <v>264</v>
      </c>
      <c r="F20998">
        <v>2.7</v>
      </c>
      <c r="G20998">
        <v>230605</v>
      </c>
      <c r="H20998">
        <v>4362</v>
      </c>
      <c r="I20998" t="s">
        <v>79</v>
      </c>
      <c r="J20998">
        <v>3.35</v>
      </c>
      <c r="K20998">
        <v>0.65</v>
      </c>
      <c r="L20998">
        <v>44251</v>
      </c>
      <c r="M20998" t="s">
        <v>156</v>
      </c>
      <c r="N20998" t="str">
        <f>"12323024298 "</f>
        <v xml:space="preserve">12323024298 </v>
      </c>
      <c r="O20998">
        <v>230612</v>
      </c>
    </row>
    <row r="20999" spans="1:15" x14ac:dyDescent="0.25">
      <c r="A20999" t="s">
        <v>16</v>
      </c>
      <c r="B20999" t="s">
        <v>3221</v>
      </c>
      <c r="C20999">
        <v>8523</v>
      </c>
      <c r="D20999" t="s">
        <v>263</v>
      </c>
      <c r="E20999" t="s">
        <v>264</v>
      </c>
      <c r="F20999">
        <v>2.5499999999999998</v>
      </c>
      <c r="G20999">
        <v>230605</v>
      </c>
      <c r="H20999">
        <v>4362</v>
      </c>
      <c r="I20999" t="s">
        <v>79</v>
      </c>
      <c r="J20999">
        <v>3.16</v>
      </c>
      <c r="K20999">
        <v>0.61</v>
      </c>
      <c r="L20999">
        <v>44253</v>
      </c>
      <c r="M20999" t="s">
        <v>1058</v>
      </c>
      <c r="N20999" t="str">
        <f>"12323024298 "</f>
        <v xml:space="preserve">12323024298 </v>
      </c>
      <c r="O20999">
        <v>230612</v>
      </c>
    </row>
    <row r="21000" spans="1:15" x14ac:dyDescent="0.25">
      <c r="A21000" t="s">
        <v>16</v>
      </c>
      <c r="B21000" t="s">
        <v>3221</v>
      </c>
      <c r="C21000">
        <v>8523</v>
      </c>
      <c r="D21000" t="s">
        <v>263</v>
      </c>
      <c r="E21000" t="s">
        <v>264</v>
      </c>
      <c r="F21000">
        <v>6.29</v>
      </c>
      <c r="G21000">
        <v>230605</v>
      </c>
      <c r="H21000">
        <v>4362</v>
      </c>
      <c r="I21000" t="s">
        <v>79</v>
      </c>
      <c r="J21000">
        <v>6.29</v>
      </c>
      <c r="K21000">
        <v>0</v>
      </c>
      <c r="L21000">
        <v>49702</v>
      </c>
      <c r="M21000" t="s">
        <v>584</v>
      </c>
      <c r="N21000" t="str">
        <f>"12323024298 "</f>
        <v xml:space="preserve">12323024298 </v>
      </c>
      <c r="O21000">
        <v>230612</v>
      </c>
    </row>
    <row r="21001" spans="1:15" x14ac:dyDescent="0.25">
      <c r="A21001" t="s">
        <v>16</v>
      </c>
      <c r="B21001" t="s">
        <v>3221</v>
      </c>
      <c r="C21001">
        <v>8526</v>
      </c>
      <c r="D21001" t="s">
        <v>263</v>
      </c>
      <c r="E21001" t="s">
        <v>264</v>
      </c>
      <c r="F21001">
        <v>6.12</v>
      </c>
      <c r="G21001">
        <v>230605</v>
      </c>
      <c r="H21001">
        <v>4362</v>
      </c>
      <c r="I21001" t="s">
        <v>79</v>
      </c>
      <c r="J21001">
        <v>7.59</v>
      </c>
      <c r="K21001">
        <v>1.47</v>
      </c>
      <c r="L21001">
        <v>16321</v>
      </c>
      <c r="M21001" t="s">
        <v>423</v>
      </c>
      <c r="N21001" t="str">
        <f t="shared" ref="N21001:N21010" si="332">"12323024304 "</f>
        <v xml:space="preserve">12323024304 </v>
      </c>
      <c r="O21001">
        <v>230612</v>
      </c>
    </row>
    <row r="21002" spans="1:15" x14ac:dyDescent="0.25">
      <c r="A21002" t="s">
        <v>16</v>
      </c>
      <c r="B21002" t="s">
        <v>3221</v>
      </c>
      <c r="C21002">
        <v>8526</v>
      </c>
      <c r="D21002" t="s">
        <v>263</v>
      </c>
      <c r="E21002" t="s">
        <v>264</v>
      </c>
      <c r="F21002">
        <v>9.11</v>
      </c>
      <c r="G21002">
        <v>230605</v>
      </c>
      <c r="H21002">
        <v>4362</v>
      </c>
      <c r="I21002" t="s">
        <v>79</v>
      </c>
      <c r="J21002">
        <v>11.3</v>
      </c>
      <c r="K21002">
        <v>2.19</v>
      </c>
      <c r="L21002">
        <v>16431</v>
      </c>
      <c r="M21002" t="s">
        <v>231</v>
      </c>
      <c r="N21002" t="str">
        <f t="shared" si="332"/>
        <v xml:space="preserve">12323024304 </v>
      </c>
      <c r="O21002">
        <v>230612</v>
      </c>
    </row>
    <row r="21003" spans="1:15" x14ac:dyDescent="0.25">
      <c r="A21003" t="s">
        <v>16</v>
      </c>
      <c r="B21003" t="s">
        <v>3221</v>
      </c>
      <c r="C21003">
        <v>8526</v>
      </c>
      <c r="D21003" t="s">
        <v>263</v>
      </c>
      <c r="E21003" t="s">
        <v>264</v>
      </c>
      <c r="F21003">
        <v>37.83</v>
      </c>
      <c r="G21003">
        <v>230605</v>
      </c>
      <c r="H21003">
        <v>4362</v>
      </c>
      <c r="I21003" t="s">
        <v>79</v>
      </c>
      <c r="J21003">
        <v>46.91</v>
      </c>
      <c r="K21003">
        <v>9.08</v>
      </c>
      <c r="L21003">
        <v>17802</v>
      </c>
      <c r="M21003" t="s">
        <v>174</v>
      </c>
      <c r="N21003" t="str">
        <f t="shared" si="332"/>
        <v xml:space="preserve">12323024304 </v>
      </c>
      <c r="O21003">
        <v>230612</v>
      </c>
    </row>
    <row r="21004" spans="1:15" x14ac:dyDescent="0.25">
      <c r="A21004" t="s">
        <v>16</v>
      </c>
      <c r="B21004" t="s">
        <v>3221</v>
      </c>
      <c r="C21004">
        <v>8526</v>
      </c>
      <c r="D21004" t="s">
        <v>263</v>
      </c>
      <c r="E21004" t="s">
        <v>264</v>
      </c>
      <c r="F21004">
        <v>8.56</v>
      </c>
      <c r="G21004">
        <v>230605</v>
      </c>
      <c r="H21004">
        <v>4362</v>
      </c>
      <c r="I21004" t="s">
        <v>79</v>
      </c>
      <c r="J21004">
        <v>10.61</v>
      </c>
      <c r="K21004">
        <v>2.0499999999999998</v>
      </c>
      <c r="L21004">
        <v>17803</v>
      </c>
      <c r="M21004" t="s">
        <v>389</v>
      </c>
      <c r="N21004" t="str">
        <f t="shared" si="332"/>
        <v xml:space="preserve">12323024304 </v>
      </c>
      <c r="O21004">
        <v>230612</v>
      </c>
    </row>
    <row r="21005" spans="1:15" x14ac:dyDescent="0.25">
      <c r="A21005" t="s">
        <v>16</v>
      </c>
      <c r="B21005" t="s">
        <v>3221</v>
      </c>
      <c r="C21005">
        <v>8526</v>
      </c>
      <c r="D21005" t="s">
        <v>263</v>
      </c>
      <c r="E21005" t="s">
        <v>264</v>
      </c>
      <c r="F21005">
        <v>4.76</v>
      </c>
      <c r="G21005">
        <v>230605</v>
      </c>
      <c r="H21005">
        <v>4362</v>
      </c>
      <c r="I21005" t="s">
        <v>79</v>
      </c>
      <c r="J21005">
        <v>5.9</v>
      </c>
      <c r="K21005">
        <v>1.1399999999999999</v>
      </c>
      <c r="L21005">
        <v>17804</v>
      </c>
      <c r="M21005" t="s">
        <v>549</v>
      </c>
      <c r="N21005" t="str">
        <f t="shared" si="332"/>
        <v xml:space="preserve">12323024304 </v>
      </c>
      <c r="O21005">
        <v>230612</v>
      </c>
    </row>
    <row r="21006" spans="1:15" x14ac:dyDescent="0.25">
      <c r="A21006" t="s">
        <v>16</v>
      </c>
      <c r="B21006" t="s">
        <v>3221</v>
      </c>
      <c r="C21006">
        <v>8526</v>
      </c>
      <c r="D21006" t="s">
        <v>263</v>
      </c>
      <c r="E21006" t="s">
        <v>264</v>
      </c>
      <c r="F21006">
        <v>3.57</v>
      </c>
      <c r="G21006">
        <v>230605</v>
      </c>
      <c r="H21006">
        <v>4362</v>
      </c>
      <c r="I21006" t="s">
        <v>79</v>
      </c>
      <c r="J21006">
        <v>4.43</v>
      </c>
      <c r="K21006">
        <v>0.86</v>
      </c>
      <c r="L21006">
        <v>17805</v>
      </c>
      <c r="M21006" t="s">
        <v>102</v>
      </c>
      <c r="N21006" t="str">
        <f t="shared" si="332"/>
        <v xml:space="preserve">12323024304 </v>
      </c>
      <c r="O21006">
        <v>230612</v>
      </c>
    </row>
    <row r="21007" spans="1:15" x14ac:dyDescent="0.25">
      <c r="A21007" t="s">
        <v>16</v>
      </c>
      <c r="B21007" t="s">
        <v>3221</v>
      </c>
      <c r="C21007">
        <v>8526</v>
      </c>
      <c r="D21007" t="s">
        <v>263</v>
      </c>
      <c r="E21007" t="s">
        <v>264</v>
      </c>
      <c r="F21007">
        <v>5.6</v>
      </c>
      <c r="G21007">
        <v>230605</v>
      </c>
      <c r="H21007">
        <v>4362</v>
      </c>
      <c r="I21007" t="s">
        <v>79</v>
      </c>
      <c r="J21007">
        <v>6.94</v>
      </c>
      <c r="K21007">
        <v>1.34</v>
      </c>
      <c r="L21007">
        <v>17806</v>
      </c>
      <c r="M21007" t="s">
        <v>265</v>
      </c>
      <c r="N21007" t="str">
        <f t="shared" si="332"/>
        <v xml:space="preserve">12323024304 </v>
      </c>
      <c r="O21007">
        <v>230612</v>
      </c>
    </row>
    <row r="21008" spans="1:15" x14ac:dyDescent="0.25">
      <c r="A21008" t="s">
        <v>16</v>
      </c>
      <c r="B21008" t="s">
        <v>3221</v>
      </c>
      <c r="C21008">
        <v>8526</v>
      </c>
      <c r="D21008" t="s">
        <v>263</v>
      </c>
      <c r="E21008" t="s">
        <v>264</v>
      </c>
      <c r="F21008">
        <v>16.05</v>
      </c>
      <c r="G21008">
        <v>230605</v>
      </c>
      <c r="H21008">
        <v>4362</v>
      </c>
      <c r="I21008" t="s">
        <v>79</v>
      </c>
      <c r="J21008">
        <v>19.899999999999999</v>
      </c>
      <c r="K21008">
        <v>3.85</v>
      </c>
      <c r="L21008">
        <v>17807</v>
      </c>
      <c r="M21008" t="s">
        <v>318</v>
      </c>
      <c r="N21008" t="str">
        <f t="shared" si="332"/>
        <v xml:space="preserve">12323024304 </v>
      </c>
      <c r="O21008">
        <v>230612</v>
      </c>
    </row>
    <row r="21009" spans="1:15" x14ac:dyDescent="0.25">
      <c r="A21009" t="s">
        <v>16</v>
      </c>
      <c r="B21009" t="s">
        <v>3221</v>
      </c>
      <c r="C21009">
        <v>8526</v>
      </c>
      <c r="D21009" t="s">
        <v>263</v>
      </c>
      <c r="E21009" t="s">
        <v>264</v>
      </c>
      <c r="F21009">
        <v>8.1</v>
      </c>
      <c r="G21009">
        <v>230605</v>
      </c>
      <c r="H21009">
        <v>4362</v>
      </c>
      <c r="I21009" t="s">
        <v>79</v>
      </c>
      <c r="J21009">
        <v>10.039999999999999</v>
      </c>
      <c r="K21009">
        <v>1.94</v>
      </c>
      <c r="L21009">
        <v>17808</v>
      </c>
      <c r="M21009" t="s">
        <v>322</v>
      </c>
      <c r="N21009" t="str">
        <f t="shared" si="332"/>
        <v xml:space="preserve">12323024304 </v>
      </c>
      <c r="O21009">
        <v>230612</v>
      </c>
    </row>
    <row r="21010" spans="1:15" x14ac:dyDescent="0.25">
      <c r="A21010" t="s">
        <v>16</v>
      </c>
      <c r="B21010" t="s">
        <v>3221</v>
      </c>
      <c r="C21010">
        <v>8526</v>
      </c>
      <c r="D21010" t="s">
        <v>263</v>
      </c>
      <c r="E21010" t="s">
        <v>264</v>
      </c>
      <c r="F21010">
        <v>18.84</v>
      </c>
      <c r="G21010">
        <v>230605</v>
      </c>
      <c r="H21010">
        <v>4362</v>
      </c>
      <c r="I21010" t="s">
        <v>79</v>
      </c>
      <c r="J21010">
        <v>23.36</v>
      </c>
      <c r="K21010">
        <v>4.5199999999999996</v>
      </c>
      <c r="L21010">
        <v>17809</v>
      </c>
      <c r="M21010" t="s">
        <v>376</v>
      </c>
      <c r="N21010" t="str">
        <f t="shared" si="332"/>
        <v xml:space="preserve">12323024304 </v>
      </c>
      <c r="O21010">
        <v>230612</v>
      </c>
    </row>
    <row r="21011" spans="1:15" x14ac:dyDescent="0.25">
      <c r="A21011" t="s">
        <v>16</v>
      </c>
      <c r="B21011" t="s">
        <v>3221</v>
      </c>
      <c r="C21011">
        <v>8548</v>
      </c>
      <c r="D21011" t="s">
        <v>263</v>
      </c>
      <c r="E21011" t="s">
        <v>264</v>
      </c>
      <c r="F21011">
        <v>5.22</v>
      </c>
      <c r="G21011">
        <v>230605</v>
      </c>
      <c r="H21011">
        <v>4362</v>
      </c>
      <c r="I21011" t="s">
        <v>79</v>
      </c>
      <c r="J21011">
        <v>6.47</v>
      </c>
      <c r="K21011">
        <v>1.25</v>
      </c>
      <c r="L21011">
        <v>46555</v>
      </c>
      <c r="M21011" t="s">
        <v>597</v>
      </c>
      <c r="N21011" t="str">
        <f>"12323024300 "</f>
        <v xml:space="preserve">12323024300 </v>
      </c>
      <c r="O21011">
        <v>230612</v>
      </c>
    </row>
    <row r="21012" spans="1:15" x14ac:dyDescent="0.25">
      <c r="A21012" t="s">
        <v>16</v>
      </c>
      <c r="B21012" t="s">
        <v>3221</v>
      </c>
      <c r="C21012">
        <v>8548</v>
      </c>
      <c r="D21012" t="s">
        <v>263</v>
      </c>
      <c r="E21012" t="s">
        <v>264</v>
      </c>
      <c r="F21012">
        <v>3.75</v>
      </c>
      <c r="G21012">
        <v>230605</v>
      </c>
      <c r="H21012">
        <v>4362</v>
      </c>
      <c r="I21012" t="s">
        <v>79</v>
      </c>
      <c r="J21012">
        <v>4.6500000000000004</v>
      </c>
      <c r="K21012">
        <v>0.9</v>
      </c>
      <c r="L21012">
        <v>48601</v>
      </c>
      <c r="M21012" t="s">
        <v>1047</v>
      </c>
      <c r="N21012" t="str">
        <f>"12323024300 "</f>
        <v xml:space="preserve">12323024300 </v>
      </c>
      <c r="O21012">
        <v>230612</v>
      </c>
    </row>
    <row r="21013" spans="1:15" x14ac:dyDescent="0.25">
      <c r="A21013" t="s">
        <v>16</v>
      </c>
      <c r="B21013" t="s">
        <v>3221</v>
      </c>
      <c r="C21013">
        <v>8548</v>
      </c>
      <c r="D21013" t="s">
        <v>263</v>
      </c>
      <c r="E21013" t="s">
        <v>264</v>
      </c>
      <c r="F21013">
        <v>2.7</v>
      </c>
      <c r="G21013">
        <v>230605</v>
      </c>
      <c r="H21013">
        <v>4362</v>
      </c>
      <c r="I21013" t="s">
        <v>79</v>
      </c>
      <c r="J21013">
        <v>3.35</v>
      </c>
      <c r="K21013">
        <v>0.65</v>
      </c>
      <c r="L21013">
        <v>49702</v>
      </c>
      <c r="M21013" t="s">
        <v>584</v>
      </c>
      <c r="N21013" t="str">
        <f>"12323024300 "</f>
        <v xml:space="preserve">12323024300 </v>
      </c>
      <c r="O21013">
        <v>230612</v>
      </c>
    </row>
    <row r="21014" spans="1:15" x14ac:dyDescent="0.25">
      <c r="A21014" t="s">
        <v>16</v>
      </c>
      <c r="B21014" t="s">
        <v>3221</v>
      </c>
      <c r="C21014">
        <v>8550</v>
      </c>
      <c r="D21014" t="s">
        <v>263</v>
      </c>
      <c r="E21014" t="s">
        <v>264</v>
      </c>
      <c r="F21014">
        <v>8.26</v>
      </c>
      <c r="G21014">
        <v>230605</v>
      </c>
      <c r="H21014">
        <v>4362</v>
      </c>
      <c r="I21014" t="s">
        <v>79</v>
      </c>
      <c r="J21014">
        <v>10.24</v>
      </c>
      <c r="K21014">
        <v>1.98</v>
      </c>
      <c r="L21014">
        <v>49701</v>
      </c>
      <c r="M21014" t="s">
        <v>166</v>
      </c>
      <c r="N21014" t="str">
        <f>"12323024292 "</f>
        <v xml:space="preserve">12323024292 </v>
      </c>
      <c r="O21014">
        <v>230612</v>
      </c>
    </row>
    <row r="21015" spans="1:15" x14ac:dyDescent="0.25">
      <c r="A21015" t="s">
        <v>16</v>
      </c>
      <c r="B21015" t="s">
        <v>3221</v>
      </c>
      <c r="C21015">
        <v>8550</v>
      </c>
      <c r="D21015" t="s">
        <v>263</v>
      </c>
      <c r="E21015" t="s">
        <v>264</v>
      </c>
      <c r="F21015">
        <v>5.74</v>
      </c>
      <c r="G21015">
        <v>230605</v>
      </c>
      <c r="H21015">
        <v>4362</v>
      </c>
      <c r="I21015" t="s">
        <v>79</v>
      </c>
      <c r="J21015">
        <v>7.12</v>
      </c>
      <c r="K21015">
        <v>1.38</v>
      </c>
      <c r="L21015">
        <v>49702</v>
      </c>
      <c r="M21015" t="s">
        <v>584</v>
      </c>
      <c r="N21015" t="str">
        <f>"12323024292 "</f>
        <v xml:space="preserve">12323024292 </v>
      </c>
      <c r="O21015">
        <v>230612</v>
      </c>
    </row>
    <row r="21016" spans="1:15" x14ac:dyDescent="0.25">
      <c r="A21016" t="s">
        <v>16</v>
      </c>
      <c r="B21016" t="s">
        <v>3221</v>
      </c>
      <c r="C21016">
        <v>8550</v>
      </c>
      <c r="D21016" t="s">
        <v>263</v>
      </c>
      <c r="E21016" t="s">
        <v>264</v>
      </c>
      <c r="F21016">
        <v>2.7</v>
      </c>
      <c r="G21016">
        <v>230605</v>
      </c>
      <c r="H21016">
        <v>4362</v>
      </c>
      <c r="I21016" t="s">
        <v>79</v>
      </c>
      <c r="J21016">
        <v>3.35</v>
      </c>
      <c r="K21016">
        <v>0.65</v>
      </c>
      <c r="L21016">
        <v>49704</v>
      </c>
      <c r="M21016" t="s">
        <v>1065</v>
      </c>
      <c r="N21016" t="str">
        <f>"12323024292 "</f>
        <v xml:space="preserve">12323024292 </v>
      </c>
      <c r="O21016">
        <v>230612</v>
      </c>
    </row>
    <row r="21017" spans="1:15" x14ac:dyDescent="0.25">
      <c r="A21017" t="s">
        <v>16</v>
      </c>
      <c r="B21017" t="s">
        <v>3221</v>
      </c>
      <c r="C21017">
        <v>8552</v>
      </c>
      <c r="D21017" t="s">
        <v>263</v>
      </c>
      <c r="E21017" t="s">
        <v>264</v>
      </c>
      <c r="F21017">
        <v>5.4</v>
      </c>
      <c r="G21017">
        <v>230605</v>
      </c>
      <c r="H21017">
        <v>4362</v>
      </c>
      <c r="I21017" t="s">
        <v>79</v>
      </c>
      <c r="J21017">
        <v>6.7</v>
      </c>
      <c r="K21017">
        <v>1.3</v>
      </c>
      <c r="L21017">
        <v>43222</v>
      </c>
      <c r="M21017" t="s">
        <v>507</v>
      </c>
      <c r="N21017" t="str">
        <f t="shared" ref="N21017:N21022" si="333">"12323024296 "</f>
        <v xml:space="preserve">12323024296 </v>
      </c>
      <c r="O21017">
        <v>230612</v>
      </c>
    </row>
    <row r="21018" spans="1:15" x14ac:dyDescent="0.25">
      <c r="A21018" t="s">
        <v>16</v>
      </c>
      <c r="B21018" t="s">
        <v>3221</v>
      </c>
      <c r="C21018">
        <v>8552</v>
      </c>
      <c r="D21018" t="s">
        <v>263</v>
      </c>
      <c r="E21018" t="s">
        <v>264</v>
      </c>
      <c r="F21018">
        <v>9.02</v>
      </c>
      <c r="G21018">
        <v>230605</v>
      </c>
      <c r="H21018">
        <v>4362</v>
      </c>
      <c r="I21018" t="s">
        <v>79</v>
      </c>
      <c r="J21018">
        <v>11.18</v>
      </c>
      <c r="K21018">
        <v>2.16</v>
      </c>
      <c r="L21018">
        <v>44422</v>
      </c>
      <c r="M21018" t="s">
        <v>482</v>
      </c>
      <c r="N21018" t="str">
        <f t="shared" si="333"/>
        <v xml:space="preserve">12323024296 </v>
      </c>
      <c r="O21018">
        <v>230612</v>
      </c>
    </row>
    <row r="21019" spans="1:15" x14ac:dyDescent="0.25">
      <c r="A21019" t="s">
        <v>16</v>
      </c>
      <c r="B21019" t="s">
        <v>3221</v>
      </c>
      <c r="C21019">
        <v>8552</v>
      </c>
      <c r="D21019" t="s">
        <v>263</v>
      </c>
      <c r="E21019" t="s">
        <v>264</v>
      </c>
      <c r="F21019">
        <v>17.03</v>
      </c>
      <c r="G21019">
        <v>230605</v>
      </c>
      <c r="H21019">
        <v>4362</v>
      </c>
      <c r="I21019" t="s">
        <v>79</v>
      </c>
      <c r="J21019">
        <v>21.12</v>
      </c>
      <c r="K21019">
        <v>4.09</v>
      </c>
      <c r="L21019">
        <v>44423</v>
      </c>
      <c r="M21019" t="s">
        <v>502</v>
      </c>
      <c r="N21019" t="str">
        <f t="shared" si="333"/>
        <v xml:space="preserve">12323024296 </v>
      </c>
      <c r="O21019">
        <v>230612</v>
      </c>
    </row>
    <row r="21020" spans="1:15" x14ac:dyDescent="0.25">
      <c r="A21020" t="s">
        <v>16</v>
      </c>
      <c r="B21020" t="s">
        <v>3221</v>
      </c>
      <c r="C21020">
        <v>8552</v>
      </c>
      <c r="D21020" t="s">
        <v>263</v>
      </c>
      <c r="E21020" t="s">
        <v>264</v>
      </c>
      <c r="F21020">
        <v>2.7</v>
      </c>
      <c r="G21020">
        <v>230605</v>
      </c>
      <c r="H21020">
        <v>4362</v>
      </c>
      <c r="I21020" t="s">
        <v>79</v>
      </c>
      <c r="J21020">
        <v>3.35</v>
      </c>
      <c r="K21020">
        <v>0.65</v>
      </c>
      <c r="L21020">
        <v>44453</v>
      </c>
      <c r="M21020" t="s">
        <v>492</v>
      </c>
      <c r="N21020" t="str">
        <f t="shared" si="333"/>
        <v xml:space="preserve">12323024296 </v>
      </c>
      <c r="O21020">
        <v>230612</v>
      </c>
    </row>
    <row r="21021" spans="1:15" x14ac:dyDescent="0.25">
      <c r="A21021" t="s">
        <v>16</v>
      </c>
      <c r="B21021" t="s">
        <v>3221</v>
      </c>
      <c r="C21021">
        <v>8552</v>
      </c>
      <c r="D21021" t="s">
        <v>263</v>
      </c>
      <c r="E21021" t="s">
        <v>264</v>
      </c>
      <c r="F21021">
        <v>2.7</v>
      </c>
      <c r="G21021">
        <v>230605</v>
      </c>
      <c r="H21021">
        <v>4362</v>
      </c>
      <c r="I21021" t="s">
        <v>79</v>
      </c>
      <c r="J21021">
        <v>3.35</v>
      </c>
      <c r="K21021">
        <v>0.65</v>
      </c>
      <c r="L21021">
        <v>48601</v>
      </c>
      <c r="M21021" t="s">
        <v>1047</v>
      </c>
      <c r="N21021" t="str">
        <f t="shared" si="333"/>
        <v xml:space="preserve">12323024296 </v>
      </c>
      <c r="O21021">
        <v>230612</v>
      </c>
    </row>
    <row r="21022" spans="1:15" x14ac:dyDescent="0.25">
      <c r="A21022" t="s">
        <v>16</v>
      </c>
      <c r="B21022" t="s">
        <v>3221</v>
      </c>
      <c r="C21022">
        <v>8552</v>
      </c>
      <c r="D21022" t="s">
        <v>263</v>
      </c>
      <c r="E21022" t="s">
        <v>264</v>
      </c>
      <c r="F21022">
        <v>47.28</v>
      </c>
      <c r="G21022">
        <v>230605</v>
      </c>
      <c r="H21022">
        <v>4362</v>
      </c>
      <c r="I21022" t="s">
        <v>79</v>
      </c>
      <c r="J21022">
        <v>47.28</v>
      </c>
      <c r="K21022">
        <v>0</v>
      </c>
      <c r="L21022">
        <v>49702</v>
      </c>
      <c r="M21022" t="s">
        <v>584</v>
      </c>
      <c r="N21022" t="str">
        <f t="shared" si="333"/>
        <v xml:space="preserve">12323024296 </v>
      </c>
      <c r="O21022">
        <v>230612</v>
      </c>
    </row>
    <row r="21023" spans="1:15" x14ac:dyDescent="0.25">
      <c r="A21023" t="s">
        <v>16</v>
      </c>
      <c r="B21023" t="s">
        <v>3221</v>
      </c>
      <c r="C21023">
        <v>8554</v>
      </c>
      <c r="D21023" t="s">
        <v>263</v>
      </c>
      <c r="E21023" t="s">
        <v>264</v>
      </c>
      <c r="F21023">
        <v>2.7</v>
      </c>
      <c r="G21023">
        <v>230605</v>
      </c>
      <c r="H21023">
        <v>4362</v>
      </c>
      <c r="I21023" t="s">
        <v>79</v>
      </c>
      <c r="J21023">
        <v>3.35</v>
      </c>
      <c r="K21023">
        <v>0.65</v>
      </c>
      <c r="L21023">
        <v>11301</v>
      </c>
      <c r="M21023" t="s">
        <v>29</v>
      </c>
      <c r="N21023" t="str">
        <f t="shared" ref="N21023:N21035" si="334">"12323024288 "</f>
        <v xml:space="preserve">12323024288 </v>
      </c>
      <c r="O21023">
        <v>230612</v>
      </c>
    </row>
    <row r="21024" spans="1:15" x14ac:dyDescent="0.25">
      <c r="A21024" t="s">
        <v>16</v>
      </c>
      <c r="B21024" t="s">
        <v>3221</v>
      </c>
      <c r="C21024">
        <v>8554</v>
      </c>
      <c r="D21024" t="s">
        <v>263</v>
      </c>
      <c r="E21024" t="s">
        <v>264</v>
      </c>
      <c r="F21024">
        <v>5.4</v>
      </c>
      <c r="G21024">
        <v>230605</v>
      </c>
      <c r="H21024">
        <v>4362</v>
      </c>
      <c r="I21024" t="s">
        <v>79</v>
      </c>
      <c r="J21024">
        <v>6.7</v>
      </c>
      <c r="K21024">
        <v>1.3</v>
      </c>
      <c r="L21024">
        <v>11301</v>
      </c>
      <c r="M21024" t="s">
        <v>29</v>
      </c>
      <c r="N21024" t="str">
        <f t="shared" si="334"/>
        <v xml:space="preserve">12323024288 </v>
      </c>
      <c r="O21024">
        <v>230612</v>
      </c>
    </row>
    <row r="21025" spans="1:15" x14ac:dyDescent="0.25">
      <c r="A21025" t="s">
        <v>16</v>
      </c>
      <c r="B21025" t="s">
        <v>3221</v>
      </c>
      <c r="C21025">
        <v>8554</v>
      </c>
      <c r="D21025" t="s">
        <v>263</v>
      </c>
      <c r="E21025" t="s">
        <v>264</v>
      </c>
      <c r="F21025">
        <v>7.88</v>
      </c>
      <c r="G21025">
        <v>230605</v>
      </c>
      <c r="H21025">
        <v>4362</v>
      </c>
      <c r="I21025" t="s">
        <v>79</v>
      </c>
      <c r="J21025">
        <v>9.77</v>
      </c>
      <c r="K21025">
        <v>1.89</v>
      </c>
      <c r="L21025">
        <v>11900</v>
      </c>
      <c r="M21025" t="s">
        <v>1105</v>
      </c>
      <c r="N21025" t="str">
        <f t="shared" si="334"/>
        <v xml:space="preserve">12323024288 </v>
      </c>
      <c r="O21025">
        <v>230612</v>
      </c>
    </row>
    <row r="21026" spans="1:15" x14ac:dyDescent="0.25">
      <c r="A21026" t="s">
        <v>16</v>
      </c>
      <c r="B21026" t="s">
        <v>3221</v>
      </c>
      <c r="C21026">
        <v>8554</v>
      </c>
      <c r="D21026" t="s">
        <v>263</v>
      </c>
      <c r="E21026" t="s">
        <v>264</v>
      </c>
      <c r="F21026">
        <v>2.7</v>
      </c>
      <c r="G21026">
        <v>230605</v>
      </c>
      <c r="H21026">
        <v>4362</v>
      </c>
      <c r="I21026" t="s">
        <v>79</v>
      </c>
      <c r="J21026">
        <v>3.35</v>
      </c>
      <c r="K21026">
        <v>0.65</v>
      </c>
      <c r="L21026">
        <v>11901</v>
      </c>
      <c r="M21026" t="s">
        <v>36</v>
      </c>
      <c r="N21026" t="str">
        <f t="shared" si="334"/>
        <v xml:space="preserve">12323024288 </v>
      </c>
      <c r="O21026">
        <v>230612</v>
      </c>
    </row>
    <row r="21027" spans="1:15" x14ac:dyDescent="0.25">
      <c r="A21027" t="s">
        <v>16</v>
      </c>
      <c r="B21027" t="s">
        <v>3221</v>
      </c>
      <c r="C21027">
        <v>8554</v>
      </c>
      <c r="D21027" t="s">
        <v>263</v>
      </c>
      <c r="E21027" t="s">
        <v>264</v>
      </c>
      <c r="F21027">
        <v>5.4</v>
      </c>
      <c r="G21027">
        <v>230605</v>
      </c>
      <c r="H21027">
        <v>4362</v>
      </c>
      <c r="I21027" t="s">
        <v>79</v>
      </c>
      <c r="J21027">
        <v>6.7</v>
      </c>
      <c r="K21027">
        <v>1.3</v>
      </c>
      <c r="L21027">
        <v>11901</v>
      </c>
      <c r="M21027" t="s">
        <v>36</v>
      </c>
      <c r="N21027" t="str">
        <f t="shared" si="334"/>
        <v xml:space="preserve">12323024288 </v>
      </c>
      <c r="O21027">
        <v>230612</v>
      </c>
    </row>
    <row r="21028" spans="1:15" x14ac:dyDescent="0.25">
      <c r="A21028" t="s">
        <v>16</v>
      </c>
      <c r="B21028" t="s">
        <v>3221</v>
      </c>
      <c r="C21028">
        <v>8554</v>
      </c>
      <c r="D21028" t="s">
        <v>263</v>
      </c>
      <c r="E21028" t="s">
        <v>264</v>
      </c>
      <c r="F21028">
        <v>10.41</v>
      </c>
      <c r="G21028">
        <v>230605</v>
      </c>
      <c r="H21028">
        <v>4362</v>
      </c>
      <c r="I21028" t="s">
        <v>79</v>
      </c>
      <c r="J21028">
        <v>10.41</v>
      </c>
      <c r="K21028">
        <v>0</v>
      </c>
      <c r="L21028">
        <v>11901</v>
      </c>
      <c r="M21028" t="s">
        <v>36</v>
      </c>
      <c r="N21028" t="str">
        <f t="shared" si="334"/>
        <v xml:space="preserve">12323024288 </v>
      </c>
      <c r="O21028">
        <v>230612</v>
      </c>
    </row>
    <row r="21029" spans="1:15" x14ac:dyDescent="0.25">
      <c r="A21029" t="s">
        <v>16</v>
      </c>
      <c r="B21029" t="s">
        <v>3221</v>
      </c>
      <c r="C21029">
        <v>8554</v>
      </c>
      <c r="D21029" t="s">
        <v>263</v>
      </c>
      <c r="E21029" t="s">
        <v>264</v>
      </c>
      <c r="F21029">
        <v>6.61</v>
      </c>
      <c r="G21029">
        <v>230605</v>
      </c>
      <c r="H21029">
        <v>4362</v>
      </c>
      <c r="I21029" t="s">
        <v>79</v>
      </c>
      <c r="J21029">
        <v>8.1999999999999993</v>
      </c>
      <c r="K21029">
        <v>1.59</v>
      </c>
      <c r="L21029">
        <v>11903</v>
      </c>
      <c r="M21029" t="s">
        <v>406</v>
      </c>
      <c r="N21029" t="str">
        <f t="shared" si="334"/>
        <v xml:space="preserve">12323024288 </v>
      </c>
      <c r="O21029">
        <v>230612</v>
      </c>
    </row>
    <row r="21030" spans="1:15" x14ac:dyDescent="0.25">
      <c r="A21030" t="s">
        <v>16</v>
      </c>
      <c r="B21030" t="s">
        <v>3221</v>
      </c>
      <c r="C21030">
        <v>8554</v>
      </c>
      <c r="D21030" t="s">
        <v>263</v>
      </c>
      <c r="E21030" t="s">
        <v>264</v>
      </c>
      <c r="F21030">
        <v>5.52</v>
      </c>
      <c r="G21030">
        <v>230605</v>
      </c>
      <c r="H21030">
        <v>4362</v>
      </c>
      <c r="I21030" t="s">
        <v>79</v>
      </c>
      <c r="J21030">
        <v>6.85</v>
      </c>
      <c r="K21030">
        <v>1.33</v>
      </c>
      <c r="L21030">
        <v>11905</v>
      </c>
      <c r="M21030" t="s">
        <v>39</v>
      </c>
      <c r="N21030" t="str">
        <f t="shared" si="334"/>
        <v xml:space="preserve">12323024288 </v>
      </c>
      <c r="O21030">
        <v>230612</v>
      </c>
    </row>
    <row r="21031" spans="1:15" x14ac:dyDescent="0.25">
      <c r="A21031" t="s">
        <v>16</v>
      </c>
      <c r="B21031" t="s">
        <v>3221</v>
      </c>
      <c r="C21031">
        <v>8554</v>
      </c>
      <c r="D21031" t="s">
        <v>263</v>
      </c>
      <c r="E21031" t="s">
        <v>264</v>
      </c>
      <c r="F21031">
        <v>3.91</v>
      </c>
      <c r="G21031">
        <v>230605</v>
      </c>
      <c r="H21031">
        <v>4362</v>
      </c>
      <c r="I21031" t="s">
        <v>79</v>
      </c>
      <c r="J21031">
        <v>4.8499999999999996</v>
      </c>
      <c r="K21031">
        <v>0.94</v>
      </c>
      <c r="L21031">
        <v>11908</v>
      </c>
      <c r="M21031" t="s">
        <v>598</v>
      </c>
      <c r="N21031" t="str">
        <f t="shared" si="334"/>
        <v xml:space="preserve">12323024288 </v>
      </c>
      <c r="O21031">
        <v>230612</v>
      </c>
    </row>
    <row r="21032" spans="1:15" x14ac:dyDescent="0.25">
      <c r="A21032" t="s">
        <v>16</v>
      </c>
      <c r="B21032" t="s">
        <v>3221</v>
      </c>
      <c r="C21032">
        <v>8554</v>
      </c>
      <c r="D21032" t="s">
        <v>263</v>
      </c>
      <c r="E21032" t="s">
        <v>264</v>
      </c>
      <c r="F21032">
        <v>5.4</v>
      </c>
      <c r="G21032">
        <v>230605</v>
      </c>
      <c r="H21032">
        <v>4362</v>
      </c>
      <c r="I21032" t="s">
        <v>79</v>
      </c>
      <c r="J21032">
        <v>6.7</v>
      </c>
      <c r="K21032">
        <v>1.3</v>
      </c>
      <c r="L21032">
        <v>11908</v>
      </c>
      <c r="M21032" t="s">
        <v>598</v>
      </c>
      <c r="N21032" t="str">
        <f t="shared" si="334"/>
        <v xml:space="preserve">12323024288 </v>
      </c>
      <c r="O21032">
        <v>230612</v>
      </c>
    </row>
    <row r="21033" spans="1:15" x14ac:dyDescent="0.25">
      <c r="A21033" t="s">
        <v>16</v>
      </c>
      <c r="B21033" t="s">
        <v>3221</v>
      </c>
      <c r="C21033">
        <v>8554</v>
      </c>
      <c r="D21033" t="s">
        <v>263</v>
      </c>
      <c r="E21033" t="s">
        <v>264</v>
      </c>
      <c r="F21033">
        <v>7.88</v>
      </c>
      <c r="G21033">
        <v>230605</v>
      </c>
      <c r="H21033">
        <v>4362</v>
      </c>
      <c r="I21033" t="s">
        <v>79</v>
      </c>
      <c r="J21033">
        <v>9.77</v>
      </c>
      <c r="K21033">
        <v>1.89</v>
      </c>
      <c r="L21033">
        <v>12010</v>
      </c>
      <c r="M21033" t="s">
        <v>2189</v>
      </c>
      <c r="N21033" t="str">
        <f t="shared" si="334"/>
        <v xml:space="preserve">12323024288 </v>
      </c>
      <c r="O21033">
        <v>230612</v>
      </c>
    </row>
    <row r="21034" spans="1:15" x14ac:dyDescent="0.25">
      <c r="A21034" t="s">
        <v>16</v>
      </c>
      <c r="B21034" t="s">
        <v>3221</v>
      </c>
      <c r="C21034">
        <v>8554</v>
      </c>
      <c r="D21034" t="s">
        <v>263</v>
      </c>
      <c r="E21034" t="s">
        <v>264</v>
      </c>
      <c r="F21034">
        <v>2.94</v>
      </c>
      <c r="G21034">
        <v>230605</v>
      </c>
      <c r="H21034">
        <v>4362</v>
      </c>
      <c r="I21034" t="s">
        <v>79</v>
      </c>
      <c r="J21034">
        <v>3.65</v>
      </c>
      <c r="K21034">
        <v>0.71</v>
      </c>
      <c r="L21034">
        <v>13401</v>
      </c>
      <c r="M21034" t="s">
        <v>80</v>
      </c>
      <c r="N21034" t="str">
        <f t="shared" si="334"/>
        <v xml:space="preserve">12323024288 </v>
      </c>
      <c r="O21034">
        <v>230612</v>
      </c>
    </row>
    <row r="21035" spans="1:15" x14ac:dyDescent="0.25">
      <c r="A21035" t="s">
        <v>16</v>
      </c>
      <c r="B21035" t="s">
        <v>3221</v>
      </c>
      <c r="C21035">
        <v>8554</v>
      </c>
      <c r="D21035" t="s">
        <v>263</v>
      </c>
      <c r="E21035" t="s">
        <v>264</v>
      </c>
      <c r="F21035">
        <v>3.51</v>
      </c>
      <c r="G21035">
        <v>230605</v>
      </c>
      <c r="H21035">
        <v>4362</v>
      </c>
      <c r="I21035" t="s">
        <v>79</v>
      </c>
      <c r="J21035">
        <v>4.3499999999999996</v>
      </c>
      <c r="K21035">
        <v>0.84</v>
      </c>
      <c r="L21035">
        <v>18991</v>
      </c>
      <c r="M21035" t="s">
        <v>1106</v>
      </c>
      <c r="N21035" t="str">
        <f t="shared" si="334"/>
        <v xml:space="preserve">12323024288 </v>
      </c>
      <c r="O21035">
        <v>230612</v>
      </c>
    </row>
    <row r="21036" spans="1:15" x14ac:dyDescent="0.25">
      <c r="A21036" t="s">
        <v>16</v>
      </c>
      <c r="B21036" t="s">
        <v>3221</v>
      </c>
      <c r="C21036">
        <v>8578</v>
      </c>
      <c r="D21036" t="s">
        <v>263</v>
      </c>
      <c r="E21036" t="s">
        <v>264</v>
      </c>
      <c r="F21036">
        <v>2.5499999999999998</v>
      </c>
      <c r="G21036">
        <v>230605</v>
      </c>
      <c r="H21036">
        <v>4362</v>
      </c>
      <c r="I21036" t="s">
        <v>79</v>
      </c>
      <c r="J21036">
        <v>3.16</v>
      </c>
      <c r="K21036">
        <v>0.61</v>
      </c>
      <c r="L21036">
        <v>13801</v>
      </c>
      <c r="M21036" t="s">
        <v>162</v>
      </c>
      <c r="N21036" t="str">
        <f>"12323024312 "</f>
        <v xml:space="preserve">12323024312 </v>
      </c>
      <c r="O21036">
        <v>230612</v>
      </c>
    </row>
    <row r="21037" spans="1:15" x14ac:dyDescent="0.25">
      <c r="A21037" t="s">
        <v>16</v>
      </c>
      <c r="B21037" t="s">
        <v>3221</v>
      </c>
      <c r="C21037">
        <v>8580</v>
      </c>
      <c r="D21037" t="s">
        <v>263</v>
      </c>
      <c r="E21037" t="s">
        <v>264</v>
      </c>
      <c r="F21037">
        <v>13.56</v>
      </c>
      <c r="G21037">
        <v>230605</v>
      </c>
      <c r="H21037">
        <v>4362</v>
      </c>
      <c r="I21037" t="s">
        <v>79</v>
      </c>
      <c r="J21037">
        <v>16.82</v>
      </c>
      <c r="K21037">
        <v>3.26</v>
      </c>
      <c r="L21037">
        <v>47522</v>
      </c>
      <c r="M21037" t="s">
        <v>410</v>
      </c>
      <c r="N21037" t="str">
        <f>"12323024293 "</f>
        <v xml:space="preserve">12323024293 </v>
      </c>
      <c r="O21037">
        <v>230612</v>
      </c>
    </row>
    <row r="21038" spans="1:15" x14ac:dyDescent="0.25">
      <c r="A21038" t="s">
        <v>16</v>
      </c>
      <c r="B21038" t="s">
        <v>3221</v>
      </c>
      <c r="C21038">
        <v>8580</v>
      </c>
      <c r="D21038" t="s">
        <v>263</v>
      </c>
      <c r="E21038" t="s">
        <v>264</v>
      </c>
      <c r="F21038">
        <v>5.52</v>
      </c>
      <c r="G21038">
        <v>230605</v>
      </c>
      <c r="H21038">
        <v>4362</v>
      </c>
      <c r="I21038" t="s">
        <v>79</v>
      </c>
      <c r="J21038">
        <v>5.52</v>
      </c>
      <c r="K21038">
        <v>0</v>
      </c>
      <c r="L21038">
        <v>49702</v>
      </c>
      <c r="M21038" t="s">
        <v>584</v>
      </c>
      <c r="N21038" t="str">
        <f>"12323024293 "</f>
        <v xml:space="preserve">12323024293 </v>
      </c>
      <c r="O21038">
        <v>230612</v>
      </c>
    </row>
    <row r="21039" spans="1:15" x14ac:dyDescent="0.25">
      <c r="A21039" t="s">
        <v>16</v>
      </c>
      <c r="B21039" t="s">
        <v>3221</v>
      </c>
      <c r="C21039">
        <v>8581</v>
      </c>
      <c r="D21039" t="s">
        <v>263</v>
      </c>
      <c r="E21039" t="s">
        <v>264</v>
      </c>
      <c r="F21039">
        <v>6.35</v>
      </c>
      <c r="G21039">
        <v>230605</v>
      </c>
      <c r="H21039">
        <v>4362</v>
      </c>
      <c r="I21039" t="s">
        <v>79</v>
      </c>
      <c r="J21039">
        <v>7.87</v>
      </c>
      <c r="K21039">
        <v>1.52</v>
      </c>
      <c r="L21039">
        <v>49112</v>
      </c>
      <c r="M21039" t="s">
        <v>233</v>
      </c>
      <c r="N21039" t="str">
        <f>"12323024299 "</f>
        <v xml:space="preserve">12323024299 </v>
      </c>
      <c r="O21039">
        <v>230612</v>
      </c>
    </row>
    <row r="21040" spans="1:15" x14ac:dyDescent="0.25">
      <c r="A21040" t="s">
        <v>16</v>
      </c>
      <c r="B21040" t="s">
        <v>3221</v>
      </c>
      <c r="C21040">
        <v>8673</v>
      </c>
      <c r="D21040" t="s">
        <v>263</v>
      </c>
      <c r="E21040" t="s">
        <v>264</v>
      </c>
      <c r="F21040">
        <v>3</v>
      </c>
      <c r="G21040">
        <v>230605</v>
      </c>
      <c r="H21040">
        <v>4362</v>
      </c>
      <c r="I21040" t="s">
        <v>79</v>
      </c>
      <c r="J21040">
        <v>3.72</v>
      </c>
      <c r="K21040">
        <v>0.72</v>
      </c>
      <c r="L21040">
        <v>53222</v>
      </c>
      <c r="M21040" t="s">
        <v>445</v>
      </c>
      <c r="N21040" t="str">
        <f>"12323024313 "</f>
        <v xml:space="preserve">12323024313 </v>
      </c>
      <c r="O21040">
        <v>230613</v>
      </c>
    </row>
    <row r="21041" spans="1:15" x14ac:dyDescent="0.25">
      <c r="A21041" t="s">
        <v>16</v>
      </c>
      <c r="B21041" t="s">
        <v>3221</v>
      </c>
      <c r="C21041">
        <v>8673</v>
      </c>
      <c r="D21041" t="s">
        <v>263</v>
      </c>
      <c r="E21041" t="s">
        <v>264</v>
      </c>
      <c r="F21041">
        <v>17.02</v>
      </c>
      <c r="G21041">
        <v>230605</v>
      </c>
      <c r="H21041">
        <v>4362</v>
      </c>
      <c r="I21041" t="s">
        <v>79</v>
      </c>
      <c r="J21041">
        <v>21.1</v>
      </c>
      <c r="K21041">
        <v>4.08</v>
      </c>
      <c r="L21041">
        <v>53222</v>
      </c>
      <c r="M21041" t="s">
        <v>445</v>
      </c>
      <c r="N21041" t="str">
        <f>"12323024313 "</f>
        <v xml:space="preserve">12323024313 </v>
      </c>
      <c r="O21041">
        <v>230613</v>
      </c>
    </row>
    <row r="21042" spans="1:15" x14ac:dyDescent="0.25">
      <c r="A21042" t="s">
        <v>16</v>
      </c>
      <c r="B21042" t="s">
        <v>3221</v>
      </c>
      <c r="C21042">
        <v>8673</v>
      </c>
      <c r="D21042" t="s">
        <v>263</v>
      </c>
      <c r="E21042" t="s">
        <v>264</v>
      </c>
      <c r="F21042">
        <v>5.66</v>
      </c>
      <c r="G21042">
        <v>230605</v>
      </c>
      <c r="H21042">
        <v>4362</v>
      </c>
      <c r="I21042" t="s">
        <v>79</v>
      </c>
      <c r="J21042">
        <v>7.02</v>
      </c>
      <c r="K21042">
        <v>1.36</v>
      </c>
      <c r="L21042">
        <v>54622</v>
      </c>
      <c r="M21042" t="s">
        <v>872</v>
      </c>
      <c r="N21042" t="str">
        <f>"12323024313 "</f>
        <v xml:space="preserve">12323024313 </v>
      </c>
      <c r="O21042">
        <v>230613</v>
      </c>
    </row>
    <row r="21043" spans="1:15" x14ac:dyDescent="0.25">
      <c r="A21043" t="s">
        <v>16</v>
      </c>
      <c r="B21043" t="s">
        <v>3221</v>
      </c>
      <c r="C21043">
        <v>8673</v>
      </c>
      <c r="D21043" t="s">
        <v>263</v>
      </c>
      <c r="E21043" t="s">
        <v>264</v>
      </c>
      <c r="F21043">
        <v>8.42</v>
      </c>
      <c r="G21043">
        <v>230605</v>
      </c>
      <c r="H21043">
        <v>4362</v>
      </c>
      <c r="I21043" t="s">
        <v>79</v>
      </c>
      <c r="J21043">
        <v>10.44</v>
      </c>
      <c r="K21043">
        <v>2.02</v>
      </c>
      <c r="L21043">
        <v>55222</v>
      </c>
      <c r="M21043" t="s">
        <v>873</v>
      </c>
      <c r="N21043" t="str">
        <f>"12323024313 "</f>
        <v xml:space="preserve">12323024313 </v>
      </c>
      <c r="O21043">
        <v>230613</v>
      </c>
    </row>
    <row r="21044" spans="1:15" x14ac:dyDescent="0.25">
      <c r="A21044" t="s">
        <v>16</v>
      </c>
      <c r="B21044" t="s">
        <v>3221</v>
      </c>
      <c r="C21044">
        <v>8674</v>
      </c>
      <c r="D21044" t="s">
        <v>263</v>
      </c>
      <c r="E21044" t="s">
        <v>264</v>
      </c>
      <c r="F21044">
        <v>2.5499999999999998</v>
      </c>
      <c r="G21044">
        <v>230605</v>
      </c>
      <c r="H21044">
        <v>4362</v>
      </c>
      <c r="I21044" t="s">
        <v>79</v>
      </c>
      <c r="J21044">
        <v>3.16</v>
      </c>
      <c r="K21044">
        <v>0.61</v>
      </c>
      <c r="L21044">
        <v>10002</v>
      </c>
      <c r="M21044" t="s">
        <v>1066</v>
      </c>
      <c r="N21044" t="str">
        <f t="shared" ref="N21044:N21058" si="335">"12323024280 "</f>
        <v xml:space="preserve">12323024280 </v>
      </c>
      <c r="O21044">
        <v>230613</v>
      </c>
    </row>
    <row r="21045" spans="1:15" x14ac:dyDescent="0.25">
      <c r="A21045" t="s">
        <v>16</v>
      </c>
      <c r="B21045" t="s">
        <v>3221</v>
      </c>
      <c r="C21045">
        <v>8674</v>
      </c>
      <c r="D21045" t="s">
        <v>263</v>
      </c>
      <c r="E21045" t="s">
        <v>264</v>
      </c>
      <c r="F21045">
        <v>2.5499999999999998</v>
      </c>
      <c r="G21045">
        <v>230605</v>
      </c>
      <c r="H21045">
        <v>4362</v>
      </c>
      <c r="I21045" t="s">
        <v>79</v>
      </c>
      <c r="J21045">
        <v>3.16</v>
      </c>
      <c r="K21045">
        <v>0.61</v>
      </c>
      <c r="L21045">
        <v>10002</v>
      </c>
      <c r="M21045" t="s">
        <v>1066</v>
      </c>
      <c r="N21045" t="str">
        <f t="shared" si="335"/>
        <v xml:space="preserve">12323024280 </v>
      </c>
      <c r="O21045">
        <v>230613</v>
      </c>
    </row>
    <row r="21046" spans="1:15" x14ac:dyDescent="0.25">
      <c r="A21046" t="s">
        <v>16</v>
      </c>
      <c r="B21046" t="s">
        <v>3221</v>
      </c>
      <c r="C21046">
        <v>8674</v>
      </c>
      <c r="D21046" t="s">
        <v>263</v>
      </c>
      <c r="E21046" t="s">
        <v>264</v>
      </c>
      <c r="F21046">
        <v>2.2000000000000002</v>
      </c>
      <c r="G21046">
        <v>230605</v>
      </c>
      <c r="H21046">
        <v>4362</v>
      </c>
      <c r="I21046" t="s">
        <v>79</v>
      </c>
      <c r="J21046">
        <v>2.2000000000000002</v>
      </c>
      <c r="K21046">
        <v>0</v>
      </c>
      <c r="L21046">
        <v>11001</v>
      </c>
      <c r="M21046" t="s">
        <v>326</v>
      </c>
      <c r="N21046" t="str">
        <f t="shared" si="335"/>
        <v xml:space="preserve">12323024280 </v>
      </c>
      <c r="O21046">
        <v>230613</v>
      </c>
    </row>
    <row r="21047" spans="1:15" x14ac:dyDescent="0.25">
      <c r="A21047" t="s">
        <v>16</v>
      </c>
      <c r="B21047" t="s">
        <v>3221</v>
      </c>
      <c r="C21047">
        <v>8674</v>
      </c>
      <c r="D21047" t="s">
        <v>263</v>
      </c>
      <c r="E21047" t="s">
        <v>264</v>
      </c>
      <c r="F21047">
        <v>2.5499999999999998</v>
      </c>
      <c r="G21047">
        <v>230605</v>
      </c>
      <c r="H21047">
        <v>4362</v>
      </c>
      <c r="I21047" t="s">
        <v>79</v>
      </c>
      <c r="J21047">
        <v>3.16</v>
      </c>
      <c r="K21047">
        <v>0.61</v>
      </c>
      <c r="L21047">
        <v>11001</v>
      </c>
      <c r="M21047" t="s">
        <v>326</v>
      </c>
      <c r="N21047" t="str">
        <f t="shared" si="335"/>
        <v xml:space="preserve">12323024280 </v>
      </c>
      <c r="O21047">
        <v>230613</v>
      </c>
    </row>
    <row r="21048" spans="1:15" x14ac:dyDescent="0.25">
      <c r="A21048" t="s">
        <v>16</v>
      </c>
      <c r="B21048" t="s">
        <v>3221</v>
      </c>
      <c r="C21048">
        <v>8674</v>
      </c>
      <c r="D21048" t="s">
        <v>263</v>
      </c>
      <c r="E21048" t="s">
        <v>264</v>
      </c>
      <c r="F21048">
        <v>5.92</v>
      </c>
      <c r="G21048">
        <v>230605</v>
      </c>
      <c r="H21048">
        <v>4362</v>
      </c>
      <c r="I21048" t="s">
        <v>79</v>
      </c>
      <c r="J21048">
        <v>7.34</v>
      </c>
      <c r="K21048">
        <v>1.42</v>
      </c>
      <c r="L21048">
        <v>11001</v>
      </c>
      <c r="M21048" t="s">
        <v>326</v>
      </c>
      <c r="N21048" t="str">
        <f t="shared" si="335"/>
        <v xml:space="preserve">12323024280 </v>
      </c>
      <c r="O21048">
        <v>230613</v>
      </c>
    </row>
    <row r="21049" spans="1:15" x14ac:dyDescent="0.25">
      <c r="A21049" t="s">
        <v>16</v>
      </c>
      <c r="B21049" t="s">
        <v>3221</v>
      </c>
      <c r="C21049">
        <v>8674</v>
      </c>
      <c r="D21049" t="s">
        <v>263</v>
      </c>
      <c r="E21049" t="s">
        <v>264</v>
      </c>
      <c r="F21049">
        <v>10.66</v>
      </c>
      <c r="G21049">
        <v>230605</v>
      </c>
      <c r="H21049">
        <v>4362</v>
      </c>
      <c r="I21049" t="s">
        <v>79</v>
      </c>
      <c r="J21049">
        <v>13.22</v>
      </c>
      <c r="K21049">
        <v>2.56</v>
      </c>
      <c r="L21049">
        <v>11301</v>
      </c>
      <c r="M21049" t="s">
        <v>29</v>
      </c>
      <c r="N21049" t="str">
        <f t="shared" si="335"/>
        <v xml:space="preserve">12323024280 </v>
      </c>
      <c r="O21049">
        <v>230613</v>
      </c>
    </row>
    <row r="21050" spans="1:15" x14ac:dyDescent="0.25">
      <c r="A21050" t="s">
        <v>16</v>
      </c>
      <c r="B21050" t="s">
        <v>3221</v>
      </c>
      <c r="C21050">
        <v>8674</v>
      </c>
      <c r="D21050" t="s">
        <v>263</v>
      </c>
      <c r="E21050" t="s">
        <v>264</v>
      </c>
      <c r="F21050">
        <v>0.99</v>
      </c>
      <c r="G21050">
        <v>230605</v>
      </c>
      <c r="H21050">
        <v>4362</v>
      </c>
      <c r="I21050" t="s">
        <v>79</v>
      </c>
      <c r="J21050">
        <v>0.99</v>
      </c>
      <c r="K21050">
        <v>0</v>
      </c>
      <c r="L21050">
        <v>11401</v>
      </c>
      <c r="M21050" t="s">
        <v>84</v>
      </c>
      <c r="N21050" t="str">
        <f t="shared" si="335"/>
        <v xml:space="preserve">12323024280 </v>
      </c>
      <c r="O21050">
        <v>230613</v>
      </c>
    </row>
    <row r="21051" spans="1:15" x14ac:dyDescent="0.25">
      <c r="A21051" t="s">
        <v>16</v>
      </c>
      <c r="B21051" t="s">
        <v>3221</v>
      </c>
      <c r="C21051">
        <v>8674</v>
      </c>
      <c r="D21051" t="s">
        <v>263</v>
      </c>
      <c r="E21051" t="s">
        <v>264</v>
      </c>
      <c r="F21051">
        <v>2.5499999999999998</v>
      </c>
      <c r="G21051">
        <v>230605</v>
      </c>
      <c r="H21051">
        <v>4362</v>
      </c>
      <c r="I21051" t="s">
        <v>79</v>
      </c>
      <c r="J21051">
        <v>3.16</v>
      </c>
      <c r="K21051">
        <v>0.61</v>
      </c>
      <c r="L21051">
        <v>11401</v>
      </c>
      <c r="M21051" t="s">
        <v>84</v>
      </c>
      <c r="N21051" t="str">
        <f t="shared" si="335"/>
        <v xml:space="preserve">12323024280 </v>
      </c>
      <c r="O21051">
        <v>230613</v>
      </c>
    </row>
    <row r="21052" spans="1:15" x14ac:dyDescent="0.25">
      <c r="A21052" t="s">
        <v>16</v>
      </c>
      <c r="B21052" t="s">
        <v>3221</v>
      </c>
      <c r="C21052">
        <v>8674</v>
      </c>
      <c r="D21052" t="s">
        <v>263</v>
      </c>
      <c r="E21052" t="s">
        <v>264</v>
      </c>
      <c r="F21052">
        <v>4.9400000000000004</v>
      </c>
      <c r="G21052">
        <v>230605</v>
      </c>
      <c r="H21052">
        <v>4362</v>
      </c>
      <c r="I21052" t="s">
        <v>79</v>
      </c>
      <c r="J21052">
        <v>4.9400000000000004</v>
      </c>
      <c r="K21052">
        <v>0</v>
      </c>
      <c r="L21052">
        <v>11401</v>
      </c>
      <c r="M21052" t="s">
        <v>84</v>
      </c>
      <c r="N21052" t="str">
        <f t="shared" si="335"/>
        <v xml:space="preserve">12323024280 </v>
      </c>
      <c r="O21052">
        <v>230613</v>
      </c>
    </row>
    <row r="21053" spans="1:15" x14ac:dyDescent="0.25">
      <c r="A21053" t="s">
        <v>16</v>
      </c>
      <c r="B21053" t="s">
        <v>3221</v>
      </c>
      <c r="C21053">
        <v>8674</v>
      </c>
      <c r="D21053" t="s">
        <v>263</v>
      </c>
      <c r="E21053" t="s">
        <v>264</v>
      </c>
      <c r="F21053">
        <v>12.05</v>
      </c>
      <c r="G21053">
        <v>230605</v>
      </c>
      <c r="H21053">
        <v>4362</v>
      </c>
      <c r="I21053" t="s">
        <v>79</v>
      </c>
      <c r="J21053">
        <v>14.94</v>
      </c>
      <c r="K21053">
        <v>2.89</v>
      </c>
      <c r="L21053">
        <v>11401</v>
      </c>
      <c r="M21053" t="s">
        <v>84</v>
      </c>
      <c r="N21053" t="str">
        <f t="shared" si="335"/>
        <v xml:space="preserve">12323024280 </v>
      </c>
      <c r="O21053">
        <v>230613</v>
      </c>
    </row>
    <row r="21054" spans="1:15" x14ac:dyDescent="0.25">
      <c r="A21054" t="s">
        <v>16</v>
      </c>
      <c r="B21054" t="s">
        <v>3221</v>
      </c>
      <c r="C21054">
        <v>8674</v>
      </c>
      <c r="D21054" t="s">
        <v>263</v>
      </c>
      <c r="E21054" t="s">
        <v>264</v>
      </c>
      <c r="F21054">
        <v>2.5499999999999998</v>
      </c>
      <c r="G21054">
        <v>230605</v>
      </c>
      <c r="H21054">
        <v>4362</v>
      </c>
      <c r="I21054" t="s">
        <v>79</v>
      </c>
      <c r="J21054">
        <v>3.16</v>
      </c>
      <c r="K21054">
        <v>0.61</v>
      </c>
      <c r="L21054">
        <v>11501</v>
      </c>
      <c r="M21054" t="s">
        <v>339</v>
      </c>
      <c r="N21054" t="str">
        <f t="shared" si="335"/>
        <v xml:space="preserve">12323024280 </v>
      </c>
      <c r="O21054">
        <v>230613</v>
      </c>
    </row>
    <row r="21055" spans="1:15" x14ac:dyDescent="0.25">
      <c r="A21055" t="s">
        <v>16</v>
      </c>
      <c r="B21055" t="s">
        <v>3221</v>
      </c>
      <c r="C21055">
        <v>8674</v>
      </c>
      <c r="D21055" t="s">
        <v>263</v>
      </c>
      <c r="E21055" t="s">
        <v>264</v>
      </c>
      <c r="F21055">
        <v>3.61</v>
      </c>
      <c r="G21055">
        <v>230605</v>
      </c>
      <c r="H21055">
        <v>4362</v>
      </c>
      <c r="I21055" t="s">
        <v>79</v>
      </c>
      <c r="J21055">
        <v>3.61</v>
      </c>
      <c r="K21055">
        <v>0</v>
      </c>
      <c r="L21055">
        <v>11501</v>
      </c>
      <c r="M21055" t="s">
        <v>339</v>
      </c>
      <c r="N21055" t="str">
        <f t="shared" si="335"/>
        <v xml:space="preserve">12323024280 </v>
      </c>
      <c r="O21055">
        <v>230613</v>
      </c>
    </row>
    <row r="21056" spans="1:15" x14ac:dyDescent="0.25">
      <c r="A21056" t="s">
        <v>16</v>
      </c>
      <c r="B21056" t="s">
        <v>3221</v>
      </c>
      <c r="C21056">
        <v>8674</v>
      </c>
      <c r="D21056" t="s">
        <v>263</v>
      </c>
      <c r="E21056" t="s">
        <v>264</v>
      </c>
      <c r="F21056">
        <v>2.2000000000000002</v>
      </c>
      <c r="G21056">
        <v>230605</v>
      </c>
      <c r="H21056">
        <v>4362</v>
      </c>
      <c r="I21056" t="s">
        <v>79</v>
      </c>
      <c r="J21056">
        <v>2.2000000000000002</v>
      </c>
      <c r="K21056">
        <v>0</v>
      </c>
      <c r="L21056">
        <v>17807</v>
      </c>
      <c r="M21056" t="s">
        <v>318</v>
      </c>
      <c r="N21056" t="str">
        <f t="shared" si="335"/>
        <v xml:space="preserve">12323024280 </v>
      </c>
      <c r="O21056">
        <v>230613</v>
      </c>
    </row>
    <row r="21057" spans="1:15" x14ac:dyDescent="0.25">
      <c r="A21057" t="s">
        <v>16</v>
      </c>
      <c r="B21057" t="s">
        <v>3221</v>
      </c>
      <c r="C21057">
        <v>8674</v>
      </c>
      <c r="D21057" t="s">
        <v>263</v>
      </c>
      <c r="E21057" t="s">
        <v>264</v>
      </c>
      <c r="F21057">
        <v>2.5499999999999998</v>
      </c>
      <c r="G21057">
        <v>230605</v>
      </c>
      <c r="H21057">
        <v>4362</v>
      </c>
      <c r="I21057" t="s">
        <v>79</v>
      </c>
      <c r="J21057">
        <v>3.16</v>
      </c>
      <c r="K21057">
        <v>0.61</v>
      </c>
      <c r="L21057">
        <v>18972</v>
      </c>
      <c r="M21057" t="s">
        <v>163</v>
      </c>
      <c r="N21057" t="str">
        <f t="shared" si="335"/>
        <v xml:space="preserve">12323024280 </v>
      </c>
      <c r="O21057">
        <v>230613</v>
      </c>
    </row>
    <row r="21058" spans="1:15" x14ac:dyDescent="0.25">
      <c r="A21058" t="s">
        <v>16</v>
      </c>
      <c r="B21058" t="s">
        <v>3221</v>
      </c>
      <c r="C21058">
        <v>8674</v>
      </c>
      <c r="D21058" t="s">
        <v>263</v>
      </c>
      <c r="E21058" t="s">
        <v>264</v>
      </c>
      <c r="F21058">
        <v>19.440000000000001</v>
      </c>
      <c r="G21058">
        <v>230605</v>
      </c>
      <c r="H21058">
        <v>4362</v>
      </c>
      <c r="I21058" t="s">
        <v>79</v>
      </c>
      <c r="J21058">
        <v>19.440000000000001</v>
      </c>
      <c r="K21058">
        <v>0</v>
      </c>
      <c r="L21058">
        <v>18972</v>
      </c>
      <c r="M21058" t="s">
        <v>163</v>
      </c>
      <c r="N21058" t="str">
        <f t="shared" si="335"/>
        <v xml:space="preserve">12323024280 </v>
      </c>
      <c r="O21058">
        <v>230613</v>
      </c>
    </row>
    <row r="21059" spans="1:15" x14ac:dyDescent="0.25">
      <c r="A21059" t="s">
        <v>16</v>
      </c>
      <c r="B21059" t="s">
        <v>3221</v>
      </c>
      <c r="C21059">
        <v>8700</v>
      </c>
      <c r="D21059" t="s">
        <v>263</v>
      </c>
      <c r="E21059" t="s">
        <v>264</v>
      </c>
      <c r="F21059">
        <v>2.7</v>
      </c>
      <c r="G21059">
        <v>230605</v>
      </c>
      <c r="H21059">
        <v>4362</v>
      </c>
      <c r="I21059" t="s">
        <v>79</v>
      </c>
      <c r="J21059">
        <v>3.35</v>
      </c>
      <c r="K21059">
        <v>0.65</v>
      </c>
      <c r="L21059">
        <v>11001</v>
      </c>
      <c r="M21059" t="s">
        <v>326</v>
      </c>
      <c r="N21059" t="str">
        <f t="shared" ref="N21059:N21064" si="336">"12323024281 "</f>
        <v xml:space="preserve">12323024281 </v>
      </c>
      <c r="O21059">
        <v>230613</v>
      </c>
    </row>
    <row r="21060" spans="1:15" x14ac:dyDescent="0.25">
      <c r="A21060" t="s">
        <v>16</v>
      </c>
      <c r="B21060" t="s">
        <v>3221</v>
      </c>
      <c r="C21060">
        <v>8700</v>
      </c>
      <c r="D21060" t="s">
        <v>263</v>
      </c>
      <c r="E21060" t="s">
        <v>264</v>
      </c>
      <c r="F21060">
        <v>36.56</v>
      </c>
      <c r="G21060">
        <v>230605</v>
      </c>
      <c r="H21060">
        <v>4362</v>
      </c>
      <c r="I21060" t="s">
        <v>79</v>
      </c>
      <c r="J21060">
        <v>36.56</v>
      </c>
      <c r="K21060">
        <v>0</v>
      </c>
      <c r="L21060">
        <v>11001</v>
      </c>
      <c r="M21060" t="s">
        <v>326</v>
      </c>
      <c r="N21060" t="str">
        <f t="shared" si="336"/>
        <v xml:space="preserve">12323024281 </v>
      </c>
      <c r="O21060">
        <v>230613</v>
      </c>
    </row>
    <row r="21061" spans="1:15" x14ac:dyDescent="0.25">
      <c r="A21061" t="s">
        <v>16</v>
      </c>
      <c r="B21061" t="s">
        <v>3221</v>
      </c>
      <c r="C21061">
        <v>8700</v>
      </c>
      <c r="D21061" t="s">
        <v>263</v>
      </c>
      <c r="E21061" t="s">
        <v>264</v>
      </c>
      <c r="F21061">
        <v>6.01</v>
      </c>
      <c r="G21061">
        <v>230605</v>
      </c>
      <c r="H21061">
        <v>4362</v>
      </c>
      <c r="I21061" t="s">
        <v>79</v>
      </c>
      <c r="J21061">
        <v>7.45</v>
      </c>
      <c r="K21061">
        <v>1.44</v>
      </c>
      <c r="L21061">
        <v>11501</v>
      </c>
      <c r="M21061" t="s">
        <v>339</v>
      </c>
      <c r="N21061" t="str">
        <f t="shared" si="336"/>
        <v xml:space="preserve">12323024281 </v>
      </c>
      <c r="O21061">
        <v>230613</v>
      </c>
    </row>
    <row r="21062" spans="1:15" x14ac:dyDescent="0.25">
      <c r="A21062" t="s">
        <v>16</v>
      </c>
      <c r="B21062" t="s">
        <v>3221</v>
      </c>
      <c r="C21062">
        <v>8700</v>
      </c>
      <c r="D21062" t="s">
        <v>263</v>
      </c>
      <c r="E21062" t="s">
        <v>264</v>
      </c>
      <c r="F21062">
        <v>2.7</v>
      </c>
      <c r="G21062">
        <v>230605</v>
      </c>
      <c r="H21062">
        <v>4362</v>
      </c>
      <c r="I21062" t="s">
        <v>79</v>
      </c>
      <c r="J21062">
        <v>3.35</v>
      </c>
      <c r="K21062">
        <v>0.65</v>
      </c>
      <c r="L21062">
        <v>11701</v>
      </c>
      <c r="M21062" t="s">
        <v>1204</v>
      </c>
      <c r="N21062" t="str">
        <f t="shared" si="336"/>
        <v xml:space="preserve">12323024281 </v>
      </c>
      <c r="O21062">
        <v>230613</v>
      </c>
    </row>
    <row r="21063" spans="1:15" x14ac:dyDescent="0.25">
      <c r="A21063" t="s">
        <v>16</v>
      </c>
      <c r="B21063" t="s">
        <v>3221</v>
      </c>
      <c r="C21063">
        <v>8700</v>
      </c>
      <c r="D21063" t="s">
        <v>263</v>
      </c>
      <c r="E21063" t="s">
        <v>264</v>
      </c>
      <c r="F21063">
        <v>5.4</v>
      </c>
      <c r="G21063">
        <v>230605</v>
      </c>
      <c r="H21063">
        <v>4362</v>
      </c>
      <c r="I21063" t="s">
        <v>79</v>
      </c>
      <c r="J21063">
        <v>6.7</v>
      </c>
      <c r="K21063">
        <v>1.3</v>
      </c>
      <c r="L21063">
        <v>11751</v>
      </c>
      <c r="M21063" t="s">
        <v>1339</v>
      </c>
      <c r="N21063" t="str">
        <f t="shared" si="336"/>
        <v xml:space="preserve">12323024281 </v>
      </c>
      <c r="O21063">
        <v>230613</v>
      </c>
    </row>
    <row r="21064" spans="1:15" x14ac:dyDescent="0.25">
      <c r="A21064" t="s">
        <v>16</v>
      </c>
      <c r="B21064" t="s">
        <v>3221</v>
      </c>
      <c r="C21064">
        <v>8700</v>
      </c>
      <c r="D21064" t="s">
        <v>263</v>
      </c>
      <c r="E21064" t="s">
        <v>264</v>
      </c>
      <c r="F21064">
        <v>25.96</v>
      </c>
      <c r="G21064">
        <v>230605</v>
      </c>
      <c r="H21064">
        <v>4362</v>
      </c>
      <c r="I21064" t="s">
        <v>79</v>
      </c>
      <c r="J21064">
        <v>32.19</v>
      </c>
      <c r="K21064">
        <v>6.23</v>
      </c>
      <c r="L21064">
        <v>14622</v>
      </c>
      <c r="M21064" t="s">
        <v>1005</v>
      </c>
      <c r="N21064" t="str">
        <f t="shared" si="336"/>
        <v xml:space="preserve">12323024281 </v>
      </c>
      <c r="O21064">
        <v>230613</v>
      </c>
    </row>
    <row r="21065" spans="1:15" x14ac:dyDescent="0.25">
      <c r="A21065" t="s">
        <v>16</v>
      </c>
      <c r="B21065" t="s">
        <v>3221</v>
      </c>
      <c r="C21065">
        <v>8759</v>
      </c>
      <c r="D21065" t="s">
        <v>263</v>
      </c>
      <c r="E21065" t="s">
        <v>264</v>
      </c>
      <c r="F21065">
        <v>2.7</v>
      </c>
      <c r="G21065">
        <v>230605</v>
      </c>
      <c r="H21065">
        <v>4362</v>
      </c>
      <c r="I21065" t="s">
        <v>79</v>
      </c>
      <c r="J21065">
        <v>3.35</v>
      </c>
      <c r="K21065">
        <v>0.65</v>
      </c>
      <c r="L21065">
        <v>13201</v>
      </c>
      <c r="M21065" t="s">
        <v>161</v>
      </c>
      <c r="N21065" t="str">
        <f t="shared" ref="N21065:N21076" si="337">"12323024308 "</f>
        <v xml:space="preserve">12323024308 </v>
      </c>
      <c r="O21065">
        <v>230614</v>
      </c>
    </row>
    <row r="21066" spans="1:15" x14ac:dyDescent="0.25">
      <c r="A21066" t="s">
        <v>16</v>
      </c>
      <c r="B21066" t="s">
        <v>3221</v>
      </c>
      <c r="C21066">
        <v>8759</v>
      </c>
      <c r="D21066" t="s">
        <v>263</v>
      </c>
      <c r="E21066" t="s">
        <v>264</v>
      </c>
      <c r="F21066">
        <v>3.35</v>
      </c>
      <c r="G21066">
        <v>230605</v>
      </c>
      <c r="H21066">
        <v>4362</v>
      </c>
      <c r="I21066" t="s">
        <v>79</v>
      </c>
      <c r="J21066">
        <v>3.35</v>
      </c>
      <c r="K21066">
        <v>0</v>
      </c>
      <c r="L21066">
        <v>13201</v>
      </c>
      <c r="M21066" t="s">
        <v>161</v>
      </c>
      <c r="N21066" t="str">
        <f t="shared" si="337"/>
        <v xml:space="preserve">12323024308 </v>
      </c>
      <c r="O21066">
        <v>230614</v>
      </c>
    </row>
    <row r="21067" spans="1:15" x14ac:dyDescent="0.25">
      <c r="A21067" t="s">
        <v>16</v>
      </c>
      <c r="B21067" t="s">
        <v>3221</v>
      </c>
      <c r="C21067">
        <v>8759</v>
      </c>
      <c r="D21067" t="s">
        <v>263</v>
      </c>
      <c r="E21067" t="s">
        <v>264</v>
      </c>
      <c r="F21067">
        <v>23.91</v>
      </c>
      <c r="G21067">
        <v>230605</v>
      </c>
      <c r="H21067">
        <v>4362</v>
      </c>
      <c r="I21067" t="s">
        <v>79</v>
      </c>
      <c r="J21067">
        <v>29.65</v>
      </c>
      <c r="K21067">
        <v>5.74</v>
      </c>
      <c r="L21067">
        <v>13401</v>
      </c>
      <c r="M21067" t="s">
        <v>80</v>
      </c>
      <c r="N21067" t="str">
        <f t="shared" si="337"/>
        <v xml:space="preserve">12323024308 </v>
      </c>
      <c r="O21067">
        <v>230614</v>
      </c>
    </row>
    <row r="21068" spans="1:15" x14ac:dyDescent="0.25">
      <c r="A21068" t="s">
        <v>16</v>
      </c>
      <c r="B21068" t="s">
        <v>3221</v>
      </c>
      <c r="C21068">
        <v>8759</v>
      </c>
      <c r="D21068" t="s">
        <v>263</v>
      </c>
      <c r="E21068" t="s">
        <v>264</v>
      </c>
      <c r="F21068">
        <v>8.02</v>
      </c>
      <c r="G21068">
        <v>230605</v>
      </c>
      <c r="H21068">
        <v>4362</v>
      </c>
      <c r="I21068" t="s">
        <v>79</v>
      </c>
      <c r="J21068">
        <v>9.9499999999999993</v>
      </c>
      <c r="K21068">
        <v>1.93</v>
      </c>
      <c r="L21068">
        <v>13401</v>
      </c>
      <c r="M21068" t="s">
        <v>80</v>
      </c>
      <c r="N21068" t="str">
        <f t="shared" si="337"/>
        <v xml:space="preserve">12323024308 </v>
      </c>
      <c r="O21068">
        <v>230614</v>
      </c>
    </row>
    <row r="21069" spans="1:15" x14ac:dyDescent="0.25">
      <c r="A21069" t="s">
        <v>16</v>
      </c>
      <c r="B21069" t="s">
        <v>3221</v>
      </c>
      <c r="C21069">
        <v>8759</v>
      </c>
      <c r="D21069" t="s">
        <v>263</v>
      </c>
      <c r="E21069" t="s">
        <v>264</v>
      </c>
      <c r="F21069">
        <v>26.73</v>
      </c>
      <c r="G21069">
        <v>230605</v>
      </c>
      <c r="H21069">
        <v>4362</v>
      </c>
      <c r="I21069" t="s">
        <v>79</v>
      </c>
      <c r="J21069">
        <v>33.15</v>
      </c>
      <c r="K21069">
        <v>6.42</v>
      </c>
      <c r="L21069">
        <v>13501</v>
      </c>
      <c r="M21069" t="s">
        <v>20</v>
      </c>
      <c r="N21069" t="str">
        <f t="shared" si="337"/>
        <v xml:space="preserve">12323024308 </v>
      </c>
      <c r="O21069">
        <v>230614</v>
      </c>
    </row>
    <row r="21070" spans="1:15" x14ac:dyDescent="0.25">
      <c r="A21070" t="s">
        <v>16</v>
      </c>
      <c r="B21070" t="s">
        <v>3221</v>
      </c>
      <c r="C21070">
        <v>8759</v>
      </c>
      <c r="D21070" t="s">
        <v>263</v>
      </c>
      <c r="E21070" t="s">
        <v>264</v>
      </c>
      <c r="F21070">
        <v>2.7</v>
      </c>
      <c r="G21070">
        <v>230605</v>
      </c>
      <c r="H21070">
        <v>4362</v>
      </c>
      <c r="I21070" t="s">
        <v>79</v>
      </c>
      <c r="J21070">
        <v>3.35</v>
      </c>
      <c r="K21070">
        <v>0.65</v>
      </c>
      <c r="L21070">
        <v>13561</v>
      </c>
      <c r="M21070" t="s">
        <v>246</v>
      </c>
      <c r="N21070" t="str">
        <f t="shared" si="337"/>
        <v xml:space="preserve">12323024308 </v>
      </c>
      <c r="O21070">
        <v>230614</v>
      </c>
    </row>
    <row r="21071" spans="1:15" x14ac:dyDescent="0.25">
      <c r="A21071" t="s">
        <v>16</v>
      </c>
      <c r="B21071" t="s">
        <v>3221</v>
      </c>
      <c r="C21071">
        <v>8759</v>
      </c>
      <c r="D21071" t="s">
        <v>263</v>
      </c>
      <c r="E21071" t="s">
        <v>264</v>
      </c>
      <c r="F21071">
        <v>2.7</v>
      </c>
      <c r="G21071">
        <v>230605</v>
      </c>
      <c r="H21071">
        <v>4362</v>
      </c>
      <c r="I21071" t="s">
        <v>79</v>
      </c>
      <c r="J21071">
        <v>3.35</v>
      </c>
      <c r="K21071">
        <v>0.65</v>
      </c>
      <c r="L21071">
        <v>13561</v>
      </c>
      <c r="M21071" t="s">
        <v>246</v>
      </c>
      <c r="N21071" t="str">
        <f t="shared" si="337"/>
        <v xml:space="preserve">12323024308 </v>
      </c>
      <c r="O21071">
        <v>230614</v>
      </c>
    </row>
    <row r="21072" spans="1:15" x14ac:dyDescent="0.25">
      <c r="A21072" t="s">
        <v>16</v>
      </c>
      <c r="B21072" t="s">
        <v>3221</v>
      </c>
      <c r="C21072">
        <v>8759</v>
      </c>
      <c r="D21072" t="s">
        <v>263</v>
      </c>
      <c r="E21072" t="s">
        <v>264</v>
      </c>
      <c r="F21072">
        <v>2.78</v>
      </c>
      <c r="G21072">
        <v>230605</v>
      </c>
      <c r="H21072">
        <v>4362</v>
      </c>
      <c r="I21072" t="s">
        <v>79</v>
      </c>
      <c r="J21072">
        <v>3.45</v>
      </c>
      <c r="K21072">
        <v>0.67</v>
      </c>
      <c r="L21072">
        <v>13661</v>
      </c>
      <c r="M21072" t="s">
        <v>247</v>
      </c>
      <c r="N21072" t="str">
        <f t="shared" si="337"/>
        <v xml:space="preserve">12323024308 </v>
      </c>
      <c r="O21072">
        <v>230614</v>
      </c>
    </row>
    <row r="21073" spans="1:15" x14ac:dyDescent="0.25">
      <c r="A21073" t="s">
        <v>16</v>
      </c>
      <c r="B21073" t="s">
        <v>3221</v>
      </c>
      <c r="C21073">
        <v>8759</v>
      </c>
      <c r="D21073" t="s">
        <v>263</v>
      </c>
      <c r="E21073" t="s">
        <v>264</v>
      </c>
      <c r="F21073">
        <v>13.06</v>
      </c>
      <c r="G21073">
        <v>230605</v>
      </c>
      <c r="H21073">
        <v>4362</v>
      </c>
      <c r="I21073" t="s">
        <v>79</v>
      </c>
      <c r="J21073">
        <v>16.2</v>
      </c>
      <c r="K21073">
        <v>3.14</v>
      </c>
      <c r="L21073">
        <v>13801</v>
      </c>
      <c r="M21073" t="s">
        <v>162</v>
      </c>
      <c r="N21073" t="str">
        <f t="shared" si="337"/>
        <v xml:space="preserve">12323024308 </v>
      </c>
      <c r="O21073">
        <v>230614</v>
      </c>
    </row>
    <row r="21074" spans="1:15" x14ac:dyDescent="0.25">
      <c r="A21074" t="s">
        <v>16</v>
      </c>
      <c r="B21074" t="s">
        <v>3221</v>
      </c>
      <c r="C21074">
        <v>8759</v>
      </c>
      <c r="D21074" t="s">
        <v>263</v>
      </c>
      <c r="E21074" t="s">
        <v>264</v>
      </c>
      <c r="F21074">
        <v>13.51</v>
      </c>
      <c r="G21074">
        <v>230605</v>
      </c>
      <c r="H21074">
        <v>4362</v>
      </c>
      <c r="I21074" t="s">
        <v>79</v>
      </c>
      <c r="J21074">
        <v>16.75</v>
      </c>
      <c r="K21074">
        <v>3.24</v>
      </c>
      <c r="L21074">
        <v>13801</v>
      </c>
      <c r="M21074" t="s">
        <v>162</v>
      </c>
      <c r="N21074" t="str">
        <f t="shared" si="337"/>
        <v xml:space="preserve">12323024308 </v>
      </c>
      <c r="O21074">
        <v>230614</v>
      </c>
    </row>
    <row r="21075" spans="1:15" x14ac:dyDescent="0.25">
      <c r="A21075" t="s">
        <v>16</v>
      </c>
      <c r="B21075" t="s">
        <v>3221</v>
      </c>
      <c r="C21075">
        <v>8759</v>
      </c>
      <c r="D21075" t="s">
        <v>263</v>
      </c>
      <c r="E21075" t="s">
        <v>264</v>
      </c>
      <c r="F21075">
        <v>10.65</v>
      </c>
      <c r="G21075">
        <v>230605</v>
      </c>
      <c r="H21075">
        <v>4362</v>
      </c>
      <c r="I21075" t="s">
        <v>79</v>
      </c>
      <c r="J21075">
        <v>13.2</v>
      </c>
      <c r="K21075">
        <v>2.5499999999999998</v>
      </c>
      <c r="L21075">
        <v>13802</v>
      </c>
      <c r="M21075" t="s">
        <v>200</v>
      </c>
      <c r="N21075" t="str">
        <f t="shared" si="337"/>
        <v xml:space="preserve">12323024308 </v>
      </c>
      <c r="O21075">
        <v>230614</v>
      </c>
    </row>
    <row r="21076" spans="1:15" x14ac:dyDescent="0.25">
      <c r="A21076" t="s">
        <v>16</v>
      </c>
      <c r="B21076" t="s">
        <v>3221</v>
      </c>
      <c r="C21076">
        <v>8759</v>
      </c>
      <c r="D21076" t="s">
        <v>263</v>
      </c>
      <c r="E21076" t="s">
        <v>264</v>
      </c>
      <c r="F21076">
        <v>3.03</v>
      </c>
      <c r="G21076">
        <v>230605</v>
      </c>
      <c r="H21076">
        <v>4362</v>
      </c>
      <c r="I21076" t="s">
        <v>79</v>
      </c>
      <c r="J21076">
        <v>3.76</v>
      </c>
      <c r="K21076">
        <v>0.73</v>
      </c>
      <c r="L21076">
        <v>17971</v>
      </c>
      <c r="M21076" t="s">
        <v>138</v>
      </c>
      <c r="N21076" t="str">
        <f t="shared" si="337"/>
        <v xml:space="preserve">12323024308 </v>
      </c>
      <c r="O21076">
        <v>230614</v>
      </c>
    </row>
    <row r="21077" spans="1:15" x14ac:dyDescent="0.25">
      <c r="A21077" t="s">
        <v>16</v>
      </c>
      <c r="B21077" t="s">
        <v>3221</v>
      </c>
      <c r="C21077">
        <v>8760</v>
      </c>
      <c r="D21077" t="s">
        <v>263</v>
      </c>
      <c r="E21077" t="s">
        <v>264</v>
      </c>
      <c r="F21077">
        <v>5.4</v>
      </c>
      <c r="G21077">
        <v>230605</v>
      </c>
      <c r="H21077">
        <v>4362</v>
      </c>
      <c r="I21077" t="s">
        <v>79</v>
      </c>
      <c r="J21077">
        <v>6.7</v>
      </c>
      <c r="K21077">
        <v>1.3</v>
      </c>
      <c r="L21077">
        <v>14972</v>
      </c>
      <c r="M21077" t="s">
        <v>898</v>
      </c>
      <c r="N21077" t="str">
        <f t="shared" ref="N21077:N21082" si="338">"12323024282 "</f>
        <v xml:space="preserve">12323024282 </v>
      </c>
      <c r="O21077">
        <v>230614</v>
      </c>
    </row>
    <row r="21078" spans="1:15" x14ac:dyDescent="0.25">
      <c r="A21078" t="s">
        <v>16</v>
      </c>
      <c r="B21078" t="s">
        <v>3221</v>
      </c>
      <c r="C21078">
        <v>8760</v>
      </c>
      <c r="D21078" t="s">
        <v>263</v>
      </c>
      <c r="E21078" t="s">
        <v>264</v>
      </c>
      <c r="F21078">
        <v>5.25</v>
      </c>
      <c r="G21078">
        <v>230605</v>
      </c>
      <c r="H21078">
        <v>4362</v>
      </c>
      <c r="I21078" t="s">
        <v>79</v>
      </c>
      <c r="J21078">
        <v>6.51</v>
      </c>
      <c r="K21078">
        <v>1.26</v>
      </c>
      <c r="L21078">
        <v>17972</v>
      </c>
      <c r="M21078" t="s">
        <v>248</v>
      </c>
      <c r="N21078" t="str">
        <f t="shared" si="338"/>
        <v xml:space="preserve">12323024282 </v>
      </c>
      <c r="O21078">
        <v>230614</v>
      </c>
    </row>
    <row r="21079" spans="1:15" x14ac:dyDescent="0.25">
      <c r="A21079" t="s">
        <v>16</v>
      </c>
      <c r="B21079" t="s">
        <v>3221</v>
      </c>
      <c r="C21079">
        <v>8760</v>
      </c>
      <c r="D21079" t="s">
        <v>263</v>
      </c>
      <c r="E21079" t="s">
        <v>264</v>
      </c>
      <c r="F21079">
        <v>19.850000000000001</v>
      </c>
      <c r="G21079">
        <v>230605</v>
      </c>
      <c r="H21079">
        <v>4362</v>
      </c>
      <c r="I21079" t="s">
        <v>79</v>
      </c>
      <c r="J21079">
        <v>24.61</v>
      </c>
      <c r="K21079">
        <v>4.76</v>
      </c>
      <c r="L21079">
        <v>18010</v>
      </c>
      <c r="M21079" t="s">
        <v>1344</v>
      </c>
      <c r="N21079" t="str">
        <f t="shared" si="338"/>
        <v xml:space="preserve">12323024282 </v>
      </c>
      <c r="O21079">
        <v>230614</v>
      </c>
    </row>
    <row r="21080" spans="1:15" x14ac:dyDescent="0.25">
      <c r="A21080" t="s">
        <v>16</v>
      </c>
      <c r="B21080" t="s">
        <v>3221</v>
      </c>
      <c r="C21080">
        <v>8760</v>
      </c>
      <c r="D21080" t="s">
        <v>263</v>
      </c>
      <c r="E21080" t="s">
        <v>264</v>
      </c>
      <c r="F21080">
        <v>28.44</v>
      </c>
      <c r="G21080">
        <v>230605</v>
      </c>
      <c r="H21080">
        <v>4362</v>
      </c>
      <c r="I21080" t="s">
        <v>79</v>
      </c>
      <c r="J21080">
        <v>35.26</v>
      </c>
      <c r="K21080">
        <v>6.82</v>
      </c>
      <c r="L21080">
        <v>18972</v>
      </c>
      <c r="M21080" t="s">
        <v>163</v>
      </c>
      <c r="N21080" t="str">
        <f t="shared" si="338"/>
        <v xml:space="preserve">12323024282 </v>
      </c>
      <c r="O21080">
        <v>230614</v>
      </c>
    </row>
    <row r="21081" spans="1:15" x14ac:dyDescent="0.25">
      <c r="A21081" t="s">
        <v>16</v>
      </c>
      <c r="B21081" t="s">
        <v>3221</v>
      </c>
      <c r="C21081">
        <v>8760</v>
      </c>
      <c r="D21081" t="s">
        <v>263</v>
      </c>
      <c r="E21081" t="s">
        <v>264</v>
      </c>
      <c r="F21081">
        <v>2.7</v>
      </c>
      <c r="G21081">
        <v>230605</v>
      </c>
      <c r="H21081">
        <v>4362</v>
      </c>
      <c r="I21081" t="s">
        <v>79</v>
      </c>
      <c r="J21081">
        <v>3.35</v>
      </c>
      <c r="K21081">
        <v>0.65</v>
      </c>
      <c r="L21081">
        <v>49702</v>
      </c>
      <c r="M21081" t="s">
        <v>584</v>
      </c>
      <c r="N21081" t="str">
        <f t="shared" si="338"/>
        <v xml:space="preserve">12323024282 </v>
      </c>
      <c r="O21081">
        <v>230614</v>
      </c>
    </row>
    <row r="21082" spans="1:15" x14ac:dyDescent="0.25">
      <c r="A21082" t="s">
        <v>16</v>
      </c>
      <c r="B21082" t="s">
        <v>3221</v>
      </c>
      <c r="C21082">
        <v>8760</v>
      </c>
      <c r="D21082" t="s">
        <v>263</v>
      </c>
      <c r="E21082" t="s">
        <v>264</v>
      </c>
      <c r="F21082">
        <v>5.25</v>
      </c>
      <c r="G21082">
        <v>230605</v>
      </c>
      <c r="H21082">
        <v>4362</v>
      </c>
      <c r="I21082" t="s">
        <v>79</v>
      </c>
      <c r="J21082">
        <v>6.51</v>
      </c>
      <c r="K21082">
        <v>1.26</v>
      </c>
      <c r="L21082">
        <v>59702</v>
      </c>
      <c r="M21082" t="s">
        <v>328</v>
      </c>
      <c r="N21082" t="str">
        <f t="shared" si="338"/>
        <v xml:space="preserve">12323024282 </v>
      </c>
      <c r="O21082">
        <v>230614</v>
      </c>
    </row>
    <row r="21083" spans="1:15" x14ac:dyDescent="0.25">
      <c r="A21083" t="s">
        <v>16</v>
      </c>
      <c r="B21083" t="s">
        <v>3221</v>
      </c>
      <c r="C21083">
        <v>8912</v>
      </c>
      <c r="D21083" t="s">
        <v>263</v>
      </c>
      <c r="E21083" t="s">
        <v>264</v>
      </c>
      <c r="F21083">
        <v>16.399999999999999</v>
      </c>
      <c r="G21083">
        <v>230605</v>
      </c>
      <c r="H21083">
        <v>4362</v>
      </c>
      <c r="I21083" t="s">
        <v>79</v>
      </c>
      <c r="J21083">
        <v>20.329999999999998</v>
      </c>
      <c r="K21083">
        <v>3.93</v>
      </c>
      <c r="L21083">
        <v>11601</v>
      </c>
      <c r="M21083" t="s">
        <v>535</v>
      </c>
      <c r="N21083" t="str">
        <f t="shared" ref="N21083:N21100" si="339">"12323024316 "</f>
        <v xml:space="preserve">12323024316 </v>
      </c>
      <c r="O21083">
        <v>230619</v>
      </c>
    </row>
    <row r="21084" spans="1:15" x14ac:dyDescent="0.25">
      <c r="A21084" t="s">
        <v>16</v>
      </c>
      <c r="B21084" t="s">
        <v>3221</v>
      </c>
      <c r="C21084">
        <v>8912</v>
      </c>
      <c r="D21084" t="s">
        <v>263</v>
      </c>
      <c r="E21084" t="s">
        <v>264</v>
      </c>
      <c r="F21084">
        <v>2.5499999999999998</v>
      </c>
      <c r="G21084">
        <v>230605</v>
      </c>
      <c r="H21084">
        <v>4362</v>
      </c>
      <c r="I21084" t="s">
        <v>79</v>
      </c>
      <c r="J21084">
        <v>3.16</v>
      </c>
      <c r="K21084">
        <v>0.61</v>
      </c>
      <c r="L21084">
        <v>11603</v>
      </c>
      <c r="M21084" t="s">
        <v>945</v>
      </c>
      <c r="N21084" t="str">
        <f t="shared" si="339"/>
        <v xml:space="preserve">12323024316 </v>
      </c>
      <c r="O21084">
        <v>230619</v>
      </c>
    </row>
    <row r="21085" spans="1:15" x14ac:dyDescent="0.25">
      <c r="A21085" t="s">
        <v>16</v>
      </c>
      <c r="B21085" t="s">
        <v>3221</v>
      </c>
      <c r="C21085">
        <v>8912</v>
      </c>
      <c r="D21085" t="s">
        <v>263</v>
      </c>
      <c r="E21085" t="s">
        <v>264</v>
      </c>
      <c r="F21085">
        <v>12.55</v>
      </c>
      <c r="G21085">
        <v>230605</v>
      </c>
      <c r="H21085">
        <v>4362</v>
      </c>
      <c r="I21085" t="s">
        <v>79</v>
      </c>
      <c r="J21085">
        <v>15.56</v>
      </c>
      <c r="K21085">
        <v>3.01</v>
      </c>
      <c r="L21085">
        <v>14121</v>
      </c>
      <c r="M21085" t="s">
        <v>880</v>
      </c>
      <c r="N21085" t="str">
        <f t="shared" si="339"/>
        <v xml:space="preserve">12323024316 </v>
      </c>
      <c r="O21085">
        <v>230619</v>
      </c>
    </row>
    <row r="21086" spans="1:15" x14ac:dyDescent="0.25">
      <c r="A21086" t="s">
        <v>16</v>
      </c>
      <c r="B21086" t="s">
        <v>3221</v>
      </c>
      <c r="C21086">
        <v>8912</v>
      </c>
      <c r="D21086" t="s">
        <v>263</v>
      </c>
      <c r="E21086" t="s">
        <v>264</v>
      </c>
      <c r="F21086">
        <v>20.85</v>
      </c>
      <c r="G21086">
        <v>230605</v>
      </c>
      <c r="H21086">
        <v>4362</v>
      </c>
      <c r="I21086" t="s">
        <v>79</v>
      </c>
      <c r="J21086">
        <v>25.85</v>
      </c>
      <c r="K21086">
        <v>5</v>
      </c>
      <c r="L21086">
        <v>14321</v>
      </c>
      <c r="M21086" t="s">
        <v>717</v>
      </c>
      <c r="N21086" t="str">
        <f t="shared" si="339"/>
        <v xml:space="preserve">12323024316 </v>
      </c>
      <c r="O21086">
        <v>230619</v>
      </c>
    </row>
    <row r="21087" spans="1:15" x14ac:dyDescent="0.25">
      <c r="A21087" t="s">
        <v>16</v>
      </c>
      <c r="B21087" t="s">
        <v>3221</v>
      </c>
      <c r="C21087">
        <v>8912</v>
      </c>
      <c r="D21087" t="s">
        <v>263</v>
      </c>
      <c r="E21087" t="s">
        <v>264</v>
      </c>
      <c r="F21087">
        <v>21.51</v>
      </c>
      <c r="G21087">
        <v>230605</v>
      </c>
      <c r="H21087">
        <v>4362</v>
      </c>
      <c r="I21087" t="s">
        <v>79</v>
      </c>
      <c r="J21087">
        <v>26.67</v>
      </c>
      <c r="K21087">
        <v>5.16</v>
      </c>
      <c r="L21087">
        <v>14422</v>
      </c>
      <c r="M21087" t="s">
        <v>228</v>
      </c>
      <c r="N21087" t="str">
        <f t="shared" si="339"/>
        <v xml:space="preserve">12323024316 </v>
      </c>
      <c r="O21087">
        <v>230619</v>
      </c>
    </row>
    <row r="21088" spans="1:15" x14ac:dyDescent="0.25">
      <c r="A21088" t="s">
        <v>16</v>
      </c>
      <c r="B21088" t="s">
        <v>3221</v>
      </c>
      <c r="C21088">
        <v>8912</v>
      </c>
      <c r="D21088" t="s">
        <v>263</v>
      </c>
      <c r="E21088" t="s">
        <v>264</v>
      </c>
      <c r="F21088">
        <v>2.7</v>
      </c>
      <c r="G21088">
        <v>230605</v>
      </c>
      <c r="H21088">
        <v>4362</v>
      </c>
      <c r="I21088" t="s">
        <v>79</v>
      </c>
      <c r="J21088">
        <v>3.35</v>
      </c>
      <c r="K21088">
        <v>0.65</v>
      </c>
      <c r="L21088">
        <v>14431</v>
      </c>
      <c r="M21088" t="s">
        <v>861</v>
      </c>
      <c r="N21088" t="str">
        <f t="shared" si="339"/>
        <v xml:space="preserve">12323024316 </v>
      </c>
      <c r="O21088">
        <v>230619</v>
      </c>
    </row>
    <row r="21089" spans="1:15" x14ac:dyDescent="0.25">
      <c r="A21089" t="s">
        <v>16</v>
      </c>
      <c r="B21089" t="s">
        <v>3221</v>
      </c>
      <c r="C21089">
        <v>8912</v>
      </c>
      <c r="D21089" t="s">
        <v>263</v>
      </c>
      <c r="E21089" t="s">
        <v>264</v>
      </c>
      <c r="F21089">
        <v>5.4</v>
      </c>
      <c r="G21089">
        <v>230605</v>
      </c>
      <c r="H21089">
        <v>4362</v>
      </c>
      <c r="I21089" t="s">
        <v>79</v>
      </c>
      <c r="J21089">
        <v>6.7</v>
      </c>
      <c r="K21089">
        <v>1.3</v>
      </c>
      <c r="L21089">
        <v>14432</v>
      </c>
      <c r="M21089" t="s">
        <v>862</v>
      </c>
      <c r="N21089" t="str">
        <f t="shared" si="339"/>
        <v xml:space="preserve">12323024316 </v>
      </c>
      <c r="O21089">
        <v>230619</v>
      </c>
    </row>
    <row r="21090" spans="1:15" x14ac:dyDescent="0.25">
      <c r="A21090" t="s">
        <v>16</v>
      </c>
      <c r="B21090" t="s">
        <v>3221</v>
      </c>
      <c r="C21090">
        <v>8912</v>
      </c>
      <c r="D21090" t="s">
        <v>263</v>
      </c>
      <c r="E21090" t="s">
        <v>264</v>
      </c>
      <c r="F21090">
        <v>2.7</v>
      </c>
      <c r="G21090">
        <v>230605</v>
      </c>
      <c r="H21090">
        <v>4362</v>
      </c>
      <c r="I21090" t="s">
        <v>79</v>
      </c>
      <c r="J21090">
        <v>3.35</v>
      </c>
      <c r="K21090">
        <v>0.65</v>
      </c>
      <c r="L21090">
        <v>14541</v>
      </c>
      <c r="M21090" t="s">
        <v>626</v>
      </c>
      <c r="N21090" t="str">
        <f t="shared" si="339"/>
        <v xml:space="preserve">12323024316 </v>
      </c>
      <c r="O21090">
        <v>230619</v>
      </c>
    </row>
    <row r="21091" spans="1:15" x14ac:dyDescent="0.25">
      <c r="A21091" t="s">
        <v>16</v>
      </c>
      <c r="B21091" t="s">
        <v>3221</v>
      </c>
      <c r="C21091">
        <v>8912</v>
      </c>
      <c r="D21091" t="s">
        <v>263</v>
      </c>
      <c r="E21091" t="s">
        <v>264</v>
      </c>
      <c r="F21091">
        <v>32.549999999999997</v>
      </c>
      <c r="G21091">
        <v>230605</v>
      </c>
      <c r="H21091">
        <v>4362</v>
      </c>
      <c r="I21091" t="s">
        <v>79</v>
      </c>
      <c r="J21091">
        <v>40.36</v>
      </c>
      <c r="K21091">
        <v>7.81</v>
      </c>
      <c r="L21091">
        <v>14622</v>
      </c>
      <c r="M21091" t="s">
        <v>1005</v>
      </c>
      <c r="N21091" t="str">
        <f t="shared" si="339"/>
        <v xml:space="preserve">12323024316 </v>
      </c>
      <c r="O21091">
        <v>230619</v>
      </c>
    </row>
    <row r="21092" spans="1:15" x14ac:dyDescent="0.25">
      <c r="A21092" t="s">
        <v>16</v>
      </c>
      <c r="B21092" t="s">
        <v>3221</v>
      </c>
      <c r="C21092">
        <v>8912</v>
      </c>
      <c r="D21092" t="s">
        <v>263</v>
      </c>
      <c r="E21092" t="s">
        <v>264</v>
      </c>
      <c r="F21092">
        <v>8.9700000000000006</v>
      </c>
      <c r="G21092">
        <v>230605</v>
      </c>
      <c r="H21092">
        <v>4362</v>
      </c>
      <c r="I21092" t="s">
        <v>79</v>
      </c>
      <c r="J21092">
        <v>11.12</v>
      </c>
      <c r="K21092">
        <v>2.15</v>
      </c>
      <c r="L21092">
        <v>14640</v>
      </c>
      <c r="M21092" t="s">
        <v>229</v>
      </c>
      <c r="N21092" t="str">
        <f t="shared" si="339"/>
        <v xml:space="preserve">12323024316 </v>
      </c>
      <c r="O21092">
        <v>230619</v>
      </c>
    </row>
    <row r="21093" spans="1:15" x14ac:dyDescent="0.25">
      <c r="A21093" t="s">
        <v>16</v>
      </c>
      <c r="B21093" t="s">
        <v>3221</v>
      </c>
      <c r="C21093">
        <v>8912</v>
      </c>
      <c r="D21093" t="s">
        <v>263</v>
      </c>
      <c r="E21093" t="s">
        <v>264</v>
      </c>
      <c r="F21093">
        <v>2.79</v>
      </c>
      <c r="G21093">
        <v>230605</v>
      </c>
      <c r="H21093">
        <v>4362</v>
      </c>
      <c r="I21093" t="s">
        <v>79</v>
      </c>
      <c r="J21093">
        <v>3.46</v>
      </c>
      <c r="K21093">
        <v>0.67</v>
      </c>
      <c r="L21093">
        <v>14861</v>
      </c>
      <c r="M21093" t="s">
        <v>785</v>
      </c>
      <c r="N21093" t="str">
        <f t="shared" si="339"/>
        <v xml:space="preserve">12323024316 </v>
      </c>
      <c r="O21093">
        <v>230619</v>
      </c>
    </row>
    <row r="21094" spans="1:15" x14ac:dyDescent="0.25">
      <c r="A21094" t="s">
        <v>16</v>
      </c>
      <c r="B21094" t="s">
        <v>3221</v>
      </c>
      <c r="C21094">
        <v>8912</v>
      </c>
      <c r="D21094" t="s">
        <v>263</v>
      </c>
      <c r="E21094" t="s">
        <v>264</v>
      </c>
      <c r="F21094">
        <v>4.05</v>
      </c>
      <c r="G21094">
        <v>230605</v>
      </c>
      <c r="H21094">
        <v>4362</v>
      </c>
      <c r="I21094" t="s">
        <v>79</v>
      </c>
      <c r="J21094">
        <v>5.0199999999999996</v>
      </c>
      <c r="K21094">
        <v>0.97</v>
      </c>
      <c r="L21094">
        <v>14861</v>
      </c>
      <c r="M21094" t="s">
        <v>785</v>
      </c>
      <c r="N21094" t="str">
        <f t="shared" si="339"/>
        <v xml:space="preserve">12323024316 </v>
      </c>
      <c r="O21094">
        <v>230619</v>
      </c>
    </row>
    <row r="21095" spans="1:15" x14ac:dyDescent="0.25">
      <c r="A21095" t="s">
        <v>16</v>
      </c>
      <c r="B21095" t="s">
        <v>3221</v>
      </c>
      <c r="C21095">
        <v>8912</v>
      </c>
      <c r="D21095" t="s">
        <v>263</v>
      </c>
      <c r="E21095" t="s">
        <v>264</v>
      </c>
      <c r="F21095">
        <v>16.64</v>
      </c>
      <c r="G21095">
        <v>230605</v>
      </c>
      <c r="H21095">
        <v>4362</v>
      </c>
      <c r="I21095" t="s">
        <v>79</v>
      </c>
      <c r="J21095">
        <v>20.63</v>
      </c>
      <c r="K21095">
        <v>3.99</v>
      </c>
      <c r="L21095">
        <v>14912</v>
      </c>
      <c r="M21095" t="s">
        <v>230</v>
      </c>
      <c r="N21095" t="str">
        <f t="shared" si="339"/>
        <v xml:space="preserve">12323024316 </v>
      </c>
      <c r="O21095">
        <v>230619</v>
      </c>
    </row>
    <row r="21096" spans="1:15" x14ac:dyDescent="0.25">
      <c r="A21096" t="s">
        <v>16</v>
      </c>
      <c r="B21096" t="s">
        <v>3221</v>
      </c>
      <c r="C21096">
        <v>8912</v>
      </c>
      <c r="D21096" t="s">
        <v>263</v>
      </c>
      <c r="E21096" t="s">
        <v>264</v>
      </c>
      <c r="F21096">
        <v>3.09</v>
      </c>
      <c r="G21096">
        <v>230605</v>
      </c>
      <c r="H21096">
        <v>4362</v>
      </c>
      <c r="I21096" t="s">
        <v>79</v>
      </c>
      <c r="J21096">
        <v>3.83</v>
      </c>
      <c r="K21096">
        <v>0.74</v>
      </c>
      <c r="L21096">
        <v>14971</v>
      </c>
      <c r="M21096" t="s">
        <v>1259</v>
      </c>
      <c r="N21096" t="str">
        <f t="shared" si="339"/>
        <v xml:space="preserve">12323024316 </v>
      </c>
      <c r="O21096">
        <v>230619</v>
      </c>
    </row>
    <row r="21097" spans="1:15" x14ac:dyDescent="0.25">
      <c r="A21097" t="s">
        <v>16</v>
      </c>
      <c r="B21097" t="s">
        <v>3221</v>
      </c>
      <c r="C21097">
        <v>8912</v>
      </c>
      <c r="D21097" t="s">
        <v>263</v>
      </c>
      <c r="E21097" t="s">
        <v>264</v>
      </c>
      <c r="F21097">
        <v>2.93</v>
      </c>
      <c r="G21097">
        <v>230605</v>
      </c>
      <c r="H21097">
        <v>4362</v>
      </c>
      <c r="I21097" t="s">
        <v>79</v>
      </c>
      <c r="J21097">
        <v>3.63</v>
      </c>
      <c r="K21097">
        <v>0.7</v>
      </c>
      <c r="L21097">
        <v>14972</v>
      </c>
      <c r="M21097" t="s">
        <v>898</v>
      </c>
      <c r="N21097" t="str">
        <f t="shared" si="339"/>
        <v xml:space="preserve">12323024316 </v>
      </c>
      <c r="O21097">
        <v>230619</v>
      </c>
    </row>
    <row r="21098" spans="1:15" x14ac:dyDescent="0.25">
      <c r="A21098" t="s">
        <v>16</v>
      </c>
      <c r="B21098" t="s">
        <v>3221</v>
      </c>
      <c r="C21098">
        <v>8912</v>
      </c>
      <c r="D21098" t="s">
        <v>263</v>
      </c>
      <c r="E21098" t="s">
        <v>264</v>
      </c>
      <c r="F21098">
        <v>2.7</v>
      </c>
      <c r="G21098">
        <v>230605</v>
      </c>
      <c r="H21098">
        <v>4362</v>
      </c>
      <c r="I21098" t="s">
        <v>79</v>
      </c>
      <c r="J21098">
        <v>3.35</v>
      </c>
      <c r="K21098">
        <v>0.65</v>
      </c>
      <c r="L21098">
        <v>14974</v>
      </c>
      <c r="M21098" t="s">
        <v>1340</v>
      </c>
      <c r="N21098" t="str">
        <f t="shared" si="339"/>
        <v xml:space="preserve">12323024316 </v>
      </c>
      <c r="O21098">
        <v>230619</v>
      </c>
    </row>
    <row r="21099" spans="1:15" x14ac:dyDescent="0.25">
      <c r="A21099" t="s">
        <v>16</v>
      </c>
      <c r="B21099" t="s">
        <v>3221</v>
      </c>
      <c r="C21099">
        <v>8912</v>
      </c>
      <c r="D21099" t="s">
        <v>263</v>
      </c>
      <c r="E21099" t="s">
        <v>264</v>
      </c>
      <c r="F21099">
        <v>3.03</v>
      </c>
      <c r="G21099">
        <v>230605</v>
      </c>
      <c r="H21099">
        <v>4362</v>
      </c>
      <c r="I21099" t="s">
        <v>79</v>
      </c>
      <c r="J21099">
        <v>3.76</v>
      </c>
      <c r="K21099">
        <v>0.73</v>
      </c>
      <c r="L21099">
        <v>14975</v>
      </c>
      <c r="M21099" t="s">
        <v>1341</v>
      </c>
      <c r="N21099" t="str">
        <f t="shared" si="339"/>
        <v xml:space="preserve">12323024316 </v>
      </c>
      <c r="O21099">
        <v>230619</v>
      </c>
    </row>
    <row r="21100" spans="1:15" x14ac:dyDescent="0.25">
      <c r="A21100" t="s">
        <v>16</v>
      </c>
      <c r="B21100" t="s">
        <v>3221</v>
      </c>
      <c r="C21100">
        <v>8912</v>
      </c>
      <c r="D21100" t="s">
        <v>263</v>
      </c>
      <c r="E21100" t="s">
        <v>264</v>
      </c>
      <c r="F21100">
        <v>5.86</v>
      </c>
      <c r="G21100">
        <v>230605</v>
      </c>
      <c r="H21100">
        <v>4362</v>
      </c>
      <c r="I21100" t="s">
        <v>79</v>
      </c>
      <c r="J21100">
        <v>7.27</v>
      </c>
      <c r="K21100">
        <v>1.41</v>
      </c>
      <c r="L21100">
        <v>14975</v>
      </c>
      <c r="M21100" t="s">
        <v>1341</v>
      </c>
      <c r="N21100" t="str">
        <f t="shared" si="339"/>
        <v xml:space="preserve">12323024316 </v>
      </c>
      <c r="O21100">
        <v>230619</v>
      </c>
    </row>
    <row r="21101" spans="1:15" x14ac:dyDescent="0.25">
      <c r="A21101" t="s">
        <v>16</v>
      </c>
      <c r="B21101" t="s">
        <v>3221</v>
      </c>
      <c r="C21101">
        <v>8913</v>
      </c>
      <c r="D21101" t="s">
        <v>263</v>
      </c>
      <c r="E21101" t="s">
        <v>264</v>
      </c>
      <c r="F21101">
        <v>135.9</v>
      </c>
      <c r="G21101">
        <v>230615</v>
      </c>
      <c r="H21101">
        <v>4362</v>
      </c>
      <c r="I21101" t="s">
        <v>79</v>
      </c>
      <c r="J21101">
        <v>168.52</v>
      </c>
      <c r="K21101">
        <v>32.619999999999997</v>
      </c>
      <c r="L21101">
        <v>11801</v>
      </c>
      <c r="M21101" t="s">
        <v>92</v>
      </c>
      <c r="N21101" t="str">
        <f>"104518807   "</f>
        <v xml:space="preserve">104518807   </v>
      </c>
      <c r="O21101">
        <v>230619</v>
      </c>
    </row>
    <row r="21102" spans="1:15" x14ac:dyDescent="0.25">
      <c r="A21102" t="s">
        <v>16</v>
      </c>
      <c r="B21102" t="s">
        <v>3221</v>
      </c>
      <c r="C21102">
        <v>8914</v>
      </c>
      <c r="D21102" t="s">
        <v>263</v>
      </c>
      <c r="E21102" t="s">
        <v>264</v>
      </c>
      <c r="F21102">
        <v>57.98</v>
      </c>
      <c r="G21102">
        <v>230605</v>
      </c>
      <c r="H21102">
        <v>4362</v>
      </c>
      <c r="I21102" t="s">
        <v>79</v>
      </c>
      <c r="J21102">
        <v>71.900000000000006</v>
      </c>
      <c r="K21102">
        <v>13.92</v>
      </c>
      <c r="L21102">
        <v>11801</v>
      </c>
      <c r="M21102" t="s">
        <v>92</v>
      </c>
      <c r="N21102" t="str">
        <f>"12323024310 "</f>
        <v xml:space="preserve">12323024310 </v>
      </c>
      <c r="O21102">
        <v>230619</v>
      </c>
    </row>
    <row r="21103" spans="1:15" x14ac:dyDescent="0.25">
      <c r="A21103" t="s">
        <v>16</v>
      </c>
      <c r="B21103" t="s">
        <v>3221</v>
      </c>
      <c r="C21103">
        <v>9513</v>
      </c>
      <c r="D21103" t="s">
        <v>263</v>
      </c>
      <c r="E21103" t="s">
        <v>264</v>
      </c>
      <c r="F21103">
        <v>26.16</v>
      </c>
      <c r="G21103">
        <v>230704</v>
      </c>
      <c r="H21103">
        <v>4362</v>
      </c>
      <c r="I21103" t="s">
        <v>79</v>
      </c>
      <c r="J21103">
        <v>32.44</v>
      </c>
      <c r="K21103">
        <v>6.28</v>
      </c>
      <c r="L21103">
        <v>46554</v>
      </c>
      <c r="M21103" t="s">
        <v>117</v>
      </c>
      <c r="N21103" t="str">
        <f>"12327024185 "</f>
        <v xml:space="preserve">12327024185 </v>
      </c>
      <c r="O21103">
        <v>230713</v>
      </c>
    </row>
    <row r="21104" spans="1:15" x14ac:dyDescent="0.25">
      <c r="A21104" t="s">
        <v>16</v>
      </c>
      <c r="B21104" t="s">
        <v>3221</v>
      </c>
      <c r="C21104">
        <v>9514</v>
      </c>
      <c r="D21104" t="s">
        <v>263</v>
      </c>
      <c r="E21104" t="s">
        <v>264</v>
      </c>
      <c r="F21104">
        <v>5.4</v>
      </c>
      <c r="G21104">
        <v>230704</v>
      </c>
      <c r="H21104">
        <v>4362</v>
      </c>
      <c r="I21104" t="s">
        <v>79</v>
      </c>
      <c r="J21104">
        <v>6.7</v>
      </c>
      <c r="K21104">
        <v>1.3</v>
      </c>
      <c r="L21104">
        <v>46557</v>
      </c>
      <c r="M21104" t="s">
        <v>221</v>
      </c>
      <c r="N21104" t="str">
        <f>"12327024206 "</f>
        <v xml:space="preserve">12327024206 </v>
      </c>
      <c r="O21104">
        <v>230713</v>
      </c>
    </row>
    <row r="21105" spans="1:15" x14ac:dyDescent="0.25">
      <c r="A21105" t="s">
        <v>16</v>
      </c>
      <c r="B21105" t="s">
        <v>3221</v>
      </c>
      <c r="C21105">
        <v>9515</v>
      </c>
      <c r="D21105" t="s">
        <v>263</v>
      </c>
      <c r="E21105" t="s">
        <v>264</v>
      </c>
      <c r="F21105">
        <v>2.41</v>
      </c>
      <c r="G21105">
        <v>230704</v>
      </c>
      <c r="H21105">
        <v>4362</v>
      </c>
      <c r="I21105" t="s">
        <v>79</v>
      </c>
      <c r="J21105">
        <v>2.99</v>
      </c>
      <c r="K21105">
        <v>0.57999999999999996</v>
      </c>
      <c r="L21105">
        <v>53222</v>
      </c>
      <c r="M21105" t="s">
        <v>445</v>
      </c>
      <c r="N21105" t="str">
        <f>"12327024204 "</f>
        <v xml:space="preserve">12327024204 </v>
      </c>
      <c r="O21105">
        <v>230713</v>
      </c>
    </row>
    <row r="21106" spans="1:15" x14ac:dyDescent="0.25">
      <c r="A21106" t="s">
        <v>16</v>
      </c>
      <c r="B21106" t="s">
        <v>3221</v>
      </c>
      <c r="C21106">
        <v>9515</v>
      </c>
      <c r="D21106" t="s">
        <v>263</v>
      </c>
      <c r="E21106" t="s">
        <v>264</v>
      </c>
      <c r="F21106">
        <v>13.64</v>
      </c>
      <c r="G21106">
        <v>230704</v>
      </c>
      <c r="H21106">
        <v>4362</v>
      </c>
      <c r="I21106" t="s">
        <v>79</v>
      </c>
      <c r="J21106">
        <v>16.91</v>
      </c>
      <c r="K21106">
        <v>3.27</v>
      </c>
      <c r="L21106">
        <v>53222</v>
      </c>
      <c r="M21106" t="s">
        <v>445</v>
      </c>
      <c r="N21106" t="str">
        <f>"12327024204 "</f>
        <v xml:space="preserve">12327024204 </v>
      </c>
      <c r="O21106">
        <v>230713</v>
      </c>
    </row>
    <row r="21107" spans="1:15" x14ac:dyDescent="0.25">
      <c r="A21107" t="s">
        <v>16</v>
      </c>
      <c r="B21107" t="s">
        <v>3221</v>
      </c>
      <c r="C21107">
        <v>9515</v>
      </c>
      <c r="D21107" t="s">
        <v>263</v>
      </c>
      <c r="E21107" t="s">
        <v>264</v>
      </c>
      <c r="F21107">
        <v>2.7</v>
      </c>
      <c r="G21107">
        <v>230704</v>
      </c>
      <c r="H21107">
        <v>4362</v>
      </c>
      <c r="I21107" t="s">
        <v>79</v>
      </c>
      <c r="J21107">
        <v>3.35</v>
      </c>
      <c r="K21107">
        <v>0.65</v>
      </c>
      <c r="L21107">
        <v>54622</v>
      </c>
      <c r="M21107" t="s">
        <v>872</v>
      </c>
      <c r="N21107" t="str">
        <f>"12327024204 "</f>
        <v xml:space="preserve">12327024204 </v>
      </c>
      <c r="O21107">
        <v>230713</v>
      </c>
    </row>
    <row r="21108" spans="1:15" x14ac:dyDescent="0.25">
      <c r="A21108" t="s">
        <v>16</v>
      </c>
      <c r="B21108" t="s">
        <v>3221</v>
      </c>
      <c r="C21108">
        <v>9515</v>
      </c>
      <c r="D21108" t="s">
        <v>263</v>
      </c>
      <c r="E21108" t="s">
        <v>264</v>
      </c>
      <c r="F21108">
        <v>2.7</v>
      </c>
      <c r="G21108">
        <v>230704</v>
      </c>
      <c r="H21108">
        <v>4362</v>
      </c>
      <c r="I21108" t="s">
        <v>79</v>
      </c>
      <c r="J21108">
        <v>3.35</v>
      </c>
      <c r="K21108">
        <v>0.65</v>
      </c>
      <c r="L21108">
        <v>55222</v>
      </c>
      <c r="M21108" t="s">
        <v>873</v>
      </c>
      <c r="N21108" t="str">
        <f>"12327024204 "</f>
        <v xml:space="preserve">12327024204 </v>
      </c>
      <c r="O21108">
        <v>230713</v>
      </c>
    </row>
    <row r="21109" spans="1:15" x14ac:dyDescent="0.25">
      <c r="A21109" t="s">
        <v>16</v>
      </c>
      <c r="B21109" t="s">
        <v>3221</v>
      </c>
      <c r="C21109">
        <v>9516</v>
      </c>
      <c r="D21109" t="s">
        <v>263</v>
      </c>
      <c r="E21109" t="s">
        <v>264</v>
      </c>
      <c r="F21109">
        <v>45.9</v>
      </c>
      <c r="G21109">
        <v>230704</v>
      </c>
      <c r="H21109">
        <v>4362</v>
      </c>
      <c r="I21109" t="s">
        <v>79</v>
      </c>
      <c r="J21109">
        <v>56.92</v>
      </c>
      <c r="K21109">
        <v>11.02</v>
      </c>
      <c r="L21109">
        <v>10002</v>
      </c>
      <c r="M21109" t="s">
        <v>1066</v>
      </c>
      <c r="N21109" t="str">
        <f>"12327024214 "</f>
        <v xml:space="preserve">12327024214 </v>
      </c>
      <c r="O21109">
        <v>230713</v>
      </c>
    </row>
    <row r="21110" spans="1:15" x14ac:dyDescent="0.25">
      <c r="A21110" t="s">
        <v>16</v>
      </c>
      <c r="B21110" t="s">
        <v>3221</v>
      </c>
      <c r="C21110">
        <v>9517</v>
      </c>
      <c r="D21110" t="s">
        <v>263</v>
      </c>
      <c r="E21110" t="s">
        <v>264</v>
      </c>
      <c r="F21110">
        <v>2.7</v>
      </c>
      <c r="G21110">
        <v>230704</v>
      </c>
      <c r="H21110">
        <v>4362</v>
      </c>
      <c r="I21110" t="s">
        <v>79</v>
      </c>
      <c r="J21110">
        <v>3.35</v>
      </c>
      <c r="K21110">
        <v>0.65</v>
      </c>
      <c r="L21110">
        <v>51157</v>
      </c>
      <c r="M21110" t="s">
        <v>1216</v>
      </c>
      <c r="N21110" t="str">
        <f t="shared" ref="N21110:N21120" si="340">"12327024180 "</f>
        <v xml:space="preserve">12327024180 </v>
      </c>
      <c r="O21110">
        <v>230713</v>
      </c>
    </row>
    <row r="21111" spans="1:15" x14ac:dyDescent="0.25">
      <c r="A21111" t="s">
        <v>16</v>
      </c>
      <c r="B21111" t="s">
        <v>3221</v>
      </c>
      <c r="C21111">
        <v>9517</v>
      </c>
      <c r="D21111" t="s">
        <v>263</v>
      </c>
      <c r="E21111" t="s">
        <v>264</v>
      </c>
      <c r="F21111">
        <v>2.7</v>
      </c>
      <c r="G21111">
        <v>230704</v>
      </c>
      <c r="H21111">
        <v>4362</v>
      </c>
      <c r="I21111" t="s">
        <v>79</v>
      </c>
      <c r="J21111">
        <v>3.35</v>
      </c>
      <c r="K21111">
        <v>0.65</v>
      </c>
      <c r="L21111">
        <v>56526</v>
      </c>
      <c r="M21111" t="s">
        <v>1217</v>
      </c>
      <c r="N21111" t="str">
        <f t="shared" si="340"/>
        <v xml:space="preserve">12327024180 </v>
      </c>
      <c r="O21111">
        <v>230713</v>
      </c>
    </row>
    <row r="21112" spans="1:15" x14ac:dyDescent="0.25">
      <c r="A21112" t="s">
        <v>16</v>
      </c>
      <c r="B21112" t="s">
        <v>3221</v>
      </c>
      <c r="C21112">
        <v>9517</v>
      </c>
      <c r="D21112" t="s">
        <v>263</v>
      </c>
      <c r="E21112" t="s">
        <v>264</v>
      </c>
      <c r="F21112">
        <v>13.5</v>
      </c>
      <c r="G21112">
        <v>230704</v>
      </c>
      <c r="H21112">
        <v>4362</v>
      </c>
      <c r="I21112" t="s">
        <v>79</v>
      </c>
      <c r="J21112">
        <v>16.739999999999998</v>
      </c>
      <c r="K21112">
        <v>3.24</v>
      </c>
      <c r="L21112">
        <v>56558</v>
      </c>
      <c r="M21112" t="s">
        <v>217</v>
      </c>
      <c r="N21112" t="str">
        <f t="shared" si="340"/>
        <v xml:space="preserve">12327024180 </v>
      </c>
      <c r="O21112">
        <v>230713</v>
      </c>
    </row>
    <row r="21113" spans="1:15" x14ac:dyDescent="0.25">
      <c r="A21113" t="s">
        <v>16</v>
      </c>
      <c r="B21113" t="s">
        <v>3221</v>
      </c>
      <c r="C21113">
        <v>9517</v>
      </c>
      <c r="D21113" t="s">
        <v>263</v>
      </c>
      <c r="E21113" t="s">
        <v>264</v>
      </c>
      <c r="F21113">
        <v>29.22</v>
      </c>
      <c r="G21113">
        <v>230704</v>
      </c>
      <c r="H21113">
        <v>4362</v>
      </c>
      <c r="I21113" t="s">
        <v>79</v>
      </c>
      <c r="J21113">
        <v>36.229999999999997</v>
      </c>
      <c r="K21113">
        <v>7.01</v>
      </c>
      <c r="L21113">
        <v>56559</v>
      </c>
      <c r="M21113" t="s">
        <v>129</v>
      </c>
      <c r="N21113" t="str">
        <f t="shared" si="340"/>
        <v xml:space="preserve">12327024180 </v>
      </c>
      <c r="O21113">
        <v>230713</v>
      </c>
    </row>
    <row r="21114" spans="1:15" x14ac:dyDescent="0.25">
      <c r="A21114" t="s">
        <v>16</v>
      </c>
      <c r="B21114" t="s">
        <v>3221</v>
      </c>
      <c r="C21114">
        <v>9517</v>
      </c>
      <c r="D21114" t="s">
        <v>263</v>
      </c>
      <c r="E21114" t="s">
        <v>264</v>
      </c>
      <c r="F21114">
        <v>8.2899999999999991</v>
      </c>
      <c r="G21114">
        <v>230704</v>
      </c>
      <c r="H21114">
        <v>4362</v>
      </c>
      <c r="I21114" t="s">
        <v>79</v>
      </c>
      <c r="J21114">
        <v>10.28</v>
      </c>
      <c r="K21114">
        <v>1.99</v>
      </c>
      <c r="L21114">
        <v>56560</v>
      </c>
      <c r="M21114" t="s">
        <v>654</v>
      </c>
      <c r="N21114" t="str">
        <f t="shared" si="340"/>
        <v xml:space="preserve">12327024180 </v>
      </c>
      <c r="O21114">
        <v>230713</v>
      </c>
    </row>
    <row r="21115" spans="1:15" x14ac:dyDescent="0.25">
      <c r="A21115" t="s">
        <v>16</v>
      </c>
      <c r="B21115" t="s">
        <v>3221</v>
      </c>
      <c r="C21115">
        <v>9517</v>
      </c>
      <c r="D21115" t="s">
        <v>263</v>
      </c>
      <c r="E21115" t="s">
        <v>264</v>
      </c>
      <c r="F21115">
        <v>2.7</v>
      </c>
      <c r="G21115">
        <v>230704</v>
      </c>
      <c r="H21115">
        <v>4362</v>
      </c>
      <c r="I21115" t="s">
        <v>79</v>
      </c>
      <c r="J21115">
        <v>3.35</v>
      </c>
      <c r="K21115">
        <v>0.65</v>
      </c>
      <c r="L21115">
        <v>56561</v>
      </c>
      <c r="M21115" t="s">
        <v>358</v>
      </c>
      <c r="N21115" t="str">
        <f t="shared" si="340"/>
        <v xml:space="preserve">12327024180 </v>
      </c>
      <c r="O21115">
        <v>230713</v>
      </c>
    </row>
    <row r="21116" spans="1:15" x14ac:dyDescent="0.25">
      <c r="A21116" t="s">
        <v>16</v>
      </c>
      <c r="B21116" t="s">
        <v>3221</v>
      </c>
      <c r="C21116">
        <v>9517</v>
      </c>
      <c r="D21116" t="s">
        <v>263</v>
      </c>
      <c r="E21116" t="s">
        <v>264</v>
      </c>
      <c r="F21116">
        <v>5.4</v>
      </c>
      <c r="G21116">
        <v>230704</v>
      </c>
      <c r="H21116">
        <v>4362</v>
      </c>
      <c r="I21116" t="s">
        <v>79</v>
      </c>
      <c r="J21116">
        <v>6.7</v>
      </c>
      <c r="K21116">
        <v>1.3</v>
      </c>
      <c r="L21116">
        <v>56562</v>
      </c>
      <c r="M21116" t="s">
        <v>126</v>
      </c>
      <c r="N21116" t="str">
        <f t="shared" si="340"/>
        <v xml:space="preserve">12327024180 </v>
      </c>
      <c r="O21116">
        <v>230713</v>
      </c>
    </row>
    <row r="21117" spans="1:15" x14ac:dyDescent="0.25">
      <c r="A21117" t="s">
        <v>16</v>
      </c>
      <c r="B21117" t="s">
        <v>3221</v>
      </c>
      <c r="C21117">
        <v>9517</v>
      </c>
      <c r="D21117" t="s">
        <v>263</v>
      </c>
      <c r="E21117" t="s">
        <v>264</v>
      </c>
      <c r="F21117">
        <v>7.8</v>
      </c>
      <c r="G21117">
        <v>230704</v>
      </c>
      <c r="H21117">
        <v>4362</v>
      </c>
      <c r="I21117" t="s">
        <v>79</v>
      </c>
      <c r="J21117">
        <v>9.67</v>
      </c>
      <c r="K21117">
        <v>1.87</v>
      </c>
      <c r="L21117">
        <v>56564</v>
      </c>
      <c r="M21117" t="s">
        <v>327</v>
      </c>
      <c r="N21117" t="str">
        <f t="shared" si="340"/>
        <v xml:space="preserve">12327024180 </v>
      </c>
      <c r="O21117">
        <v>230713</v>
      </c>
    </row>
    <row r="21118" spans="1:15" x14ac:dyDescent="0.25">
      <c r="A21118" t="s">
        <v>16</v>
      </c>
      <c r="B21118" t="s">
        <v>3221</v>
      </c>
      <c r="C21118">
        <v>9517</v>
      </c>
      <c r="D21118" t="s">
        <v>263</v>
      </c>
      <c r="E21118" t="s">
        <v>264</v>
      </c>
      <c r="F21118">
        <v>2.7</v>
      </c>
      <c r="G21118">
        <v>230704</v>
      </c>
      <c r="H21118">
        <v>4362</v>
      </c>
      <c r="I21118" t="s">
        <v>79</v>
      </c>
      <c r="J21118">
        <v>3.35</v>
      </c>
      <c r="K21118">
        <v>0.65</v>
      </c>
      <c r="L21118">
        <v>56565</v>
      </c>
      <c r="M21118" t="s">
        <v>758</v>
      </c>
      <c r="N21118" t="str">
        <f t="shared" si="340"/>
        <v xml:space="preserve">12327024180 </v>
      </c>
      <c r="O21118">
        <v>230713</v>
      </c>
    </row>
    <row r="21119" spans="1:15" x14ac:dyDescent="0.25">
      <c r="A21119" t="s">
        <v>16</v>
      </c>
      <c r="B21119" t="s">
        <v>3221</v>
      </c>
      <c r="C21119">
        <v>9517</v>
      </c>
      <c r="D21119" t="s">
        <v>263</v>
      </c>
      <c r="E21119" t="s">
        <v>264</v>
      </c>
      <c r="F21119">
        <v>5.4</v>
      </c>
      <c r="G21119">
        <v>230704</v>
      </c>
      <c r="H21119">
        <v>4362</v>
      </c>
      <c r="I21119" t="s">
        <v>79</v>
      </c>
      <c r="J21119">
        <v>6.7</v>
      </c>
      <c r="K21119">
        <v>1.3</v>
      </c>
      <c r="L21119">
        <v>56566</v>
      </c>
      <c r="M21119" t="s">
        <v>652</v>
      </c>
      <c r="N21119" t="str">
        <f t="shared" si="340"/>
        <v xml:space="preserve">12327024180 </v>
      </c>
      <c r="O21119">
        <v>230713</v>
      </c>
    </row>
    <row r="21120" spans="1:15" x14ac:dyDescent="0.25">
      <c r="A21120" t="s">
        <v>16</v>
      </c>
      <c r="B21120" t="s">
        <v>3221</v>
      </c>
      <c r="C21120">
        <v>9517</v>
      </c>
      <c r="D21120" t="s">
        <v>263</v>
      </c>
      <c r="E21120" t="s">
        <v>264</v>
      </c>
      <c r="F21120">
        <v>2.7</v>
      </c>
      <c r="G21120">
        <v>230704</v>
      </c>
      <c r="H21120">
        <v>4362</v>
      </c>
      <c r="I21120" t="s">
        <v>79</v>
      </c>
      <c r="J21120">
        <v>3.35</v>
      </c>
      <c r="K21120">
        <v>0.65</v>
      </c>
      <c r="L21120">
        <v>56568</v>
      </c>
      <c r="M21120" t="s">
        <v>268</v>
      </c>
      <c r="N21120" t="str">
        <f t="shared" si="340"/>
        <v xml:space="preserve">12327024180 </v>
      </c>
      <c r="O21120">
        <v>230713</v>
      </c>
    </row>
    <row r="21121" spans="1:15" x14ac:dyDescent="0.25">
      <c r="A21121" t="s">
        <v>16</v>
      </c>
      <c r="B21121" t="s">
        <v>3221</v>
      </c>
      <c r="C21121">
        <v>9518</v>
      </c>
      <c r="D21121" t="s">
        <v>263</v>
      </c>
      <c r="E21121" t="s">
        <v>264</v>
      </c>
      <c r="F21121">
        <v>2.7</v>
      </c>
      <c r="G21121">
        <v>230704</v>
      </c>
      <c r="H21121">
        <v>4362</v>
      </c>
      <c r="I21121" t="s">
        <v>79</v>
      </c>
      <c r="J21121">
        <v>3.35</v>
      </c>
      <c r="K21121">
        <v>0.65</v>
      </c>
      <c r="L21121">
        <v>56522</v>
      </c>
      <c r="M21121" t="s">
        <v>43</v>
      </c>
      <c r="N21121" t="str">
        <f>"12327024175 "</f>
        <v xml:space="preserve">12327024175 </v>
      </c>
      <c r="O21121">
        <v>230713</v>
      </c>
    </row>
    <row r="21122" spans="1:15" x14ac:dyDescent="0.25">
      <c r="A21122" t="s">
        <v>16</v>
      </c>
      <c r="B21122" t="s">
        <v>3221</v>
      </c>
      <c r="C21122">
        <v>9518</v>
      </c>
      <c r="D21122" t="s">
        <v>263</v>
      </c>
      <c r="E21122" t="s">
        <v>264</v>
      </c>
      <c r="F21122">
        <v>10.5</v>
      </c>
      <c r="G21122">
        <v>230704</v>
      </c>
      <c r="H21122">
        <v>4362</v>
      </c>
      <c r="I21122" t="s">
        <v>79</v>
      </c>
      <c r="J21122">
        <v>13.02</v>
      </c>
      <c r="K21122">
        <v>2.52</v>
      </c>
      <c r="L21122">
        <v>56524</v>
      </c>
      <c r="M21122" t="s">
        <v>150</v>
      </c>
      <c r="N21122" t="str">
        <f>"12327024175 "</f>
        <v xml:space="preserve">12327024175 </v>
      </c>
      <c r="O21122">
        <v>230713</v>
      </c>
    </row>
    <row r="21123" spans="1:15" x14ac:dyDescent="0.25">
      <c r="A21123" t="s">
        <v>16</v>
      </c>
      <c r="B21123" t="s">
        <v>3221</v>
      </c>
      <c r="C21123">
        <v>9518</v>
      </c>
      <c r="D21123" t="s">
        <v>263</v>
      </c>
      <c r="E21123" t="s">
        <v>264</v>
      </c>
      <c r="F21123">
        <v>9.24</v>
      </c>
      <c r="G21123">
        <v>230704</v>
      </c>
      <c r="H21123">
        <v>4362</v>
      </c>
      <c r="I21123" t="s">
        <v>79</v>
      </c>
      <c r="J21123">
        <v>11.46</v>
      </c>
      <c r="K21123">
        <v>2.2200000000000002</v>
      </c>
      <c r="L21123">
        <v>56528</v>
      </c>
      <c r="M21123" t="s">
        <v>153</v>
      </c>
      <c r="N21123" t="str">
        <f>"12327024175 "</f>
        <v xml:space="preserve">12327024175 </v>
      </c>
      <c r="O21123">
        <v>230713</v>
      </c>
    </row>
    <row r="21124" spans="1:15" x14ac:dyDescent="0.25">
      <c r="A21124" t="s">
        <v>16</v>
      </c>
      <c r="B21124" t="s">
        <v>3221</v>
      </c>
      <c r="C21124">
        <v>9521</v>
      </c>
      <c r="D21124" t="s">
        <v>263</v>
      </c>
      <c r="E21124" t="s">
        <v>264</v>
      </c>
      <c r="F21124">
        <v>4.55</v>
      </c>
      <c r="G21124">
        <v>230704</v>
      </c>
      <c r="H21124">
        <v>4362</v>
      </c>
      <c r="I21124" t="s">
        <v>79</v>
      </c>
      <c r="J21124">
        <v>4.55</v>
      </c>
      <c r="K21124">
        <v>0</v>
      </c>
      <c r="L21124">
        <v>59702</v>
      </c>
      <c r="M21124" t="s">
        <v>328</v>
      </c>
      <c r="N21124" t="str">
        <f>"12327024176 "</f>
        <v xml:space="preserve">12327024176 </v>
      </c>
      <c r="O21124">
        <v>230713</v>
      </c>
    </row>
    <row r="21125" spans="1:15" x14ac:dyDescent="0.25">
      <c r="A21125" t="s">
        <v>16</v>
      </c>
      <c r="B21125" t="s">
        <v>3221</v>
      </c>
      <c r="C21125">
        <v>9521</v>
      </c>
      <c r="D21125" t="s">
        <v>263</v>
      </c>
      <c r="E21125" t="s">
        <v>264</v>
      </c>
      <c r="F21125">
        <v>10.5</v>
      </c>
      <c r="G21125">
        <v>230704</v>
      </c>
      <c r="H21125">
        <v>4362</v>
      </c>
      <c r="I21125" t="s">
        <v>79</v>
      </c>
      <c r="J21125">
        <v>13.02</v>
      </c>
      <c r="K21125">
        <v>2.52</v>
      </c>
      <c r="L21125">
        <v>59702</v>
      </c>
      <c r="M21125" t="s">
        <v>328</v>
      </c>
      <c r="N21125" t="str">
        <f>"12327024176 "</f>
        <v xml:space="preserve">12327024176 </v>
      </c>
      <c r="O21125">
        <v>230713</v>
      </c>
    </row>
    <row r="21126" spans="1:15" x14ac:dyDescent="0.25">
      <c r="A21126" t="s">
        <v>16</v>
      </c>
      <c r="B21126" t="s">
        <v>3221</v>
      </c>
      <c r="C21126">
        <v>9521</v>
      </c>
      <c r="D21126" t="s">
        <v>263</v>
      </c>
      <c r="E21126" t="s">
        <v>264</v>
      </c>
      <c r="F21126">
        <v>8.3800000000000008</v>
      </c>
      <c r="G21126">
        <v>230704</v>
      </c>
      <c r="H21126">
        <v>4362</v>
      </c>
      <c r="I21126" t="s">
        <v>79</v>
      </c>
      <c r="J21126">
        <v>10.39</v>
      </c>
      <c r="K21126">
        <v>2.0099999999999998</v>
      </c>
      <c r="L21126">
        <v>59704</v>
      </c>
      <c r="M21126" t="s">
        <v>1103</v>
      </c>
      <c r="N21126" t="str">
        <f>"12327024176 "</f>
        <v xml:space="preserve">12327024176 </v>
      </c>
      <c r="O21126">
        <v>230713</v>
      </c>
    </row>
    <row r="21127" spans="1:15" x14ac:dyDescent="0.25">
      <c r="A21127" t="s">
        <v>16</v>
      </c>
      <c r="B21127" t="s">
        <v>3221</v>
      </c>
      <c r="C21127">
        <v>9523</v>
      </c>
      <c r="D21127" t="s">
        <v>263</v>
      </c>
      <c r="E21127" t="s">
        <v>264</v>
      </c>
      <c r="F21127">
        <v>24.17</v>
      </c>
      <c r="G21127">
        <v>230704</v>
      </c>
      <c r="H21127">
        <v>4362</v>
      </c>
      <c r="I21127" t="s">
        <v>79</v>
      </c>
      <c r="J21127">
        <v>29.97</v>
      </c>
      <c r="K21127">
        <v>5.8</v>
      </c>
      <c r="L21127">
        <v>11101</v>
      </c>
      <c r="M21127" t="s">
        <v>110</v>
      </c>
      <c r="N21127" t="str">
        <f>"12327024205 "</f>
        <v xml:space="preserve">12327024205 </v>
      </c>
      <c r="O21127">
        <v>230713</v>
      </c>
    </row>
    <row r="21128" spans="1:15" x14ac:dyDescent="0.25">
      <c r="A21128" t="s">
        <v>16</v>
      </c>
      <c r="B21128" t="s">
        <v>3221</v>
      </c>
      <c r="C21128">
        <v>9523</v>
      </c>
      <c r="D21128" t="s">
        <v>263</v>
      </c>
      <c r="E21128" t="s">
        <v>264</v>
      </c>
      <c r="F21128">
        <v>3.04</v>
      </c>
      <c r="G21128">
        <v>230704</v>
      </c>
      <c r="H21128">
        <v>4362</v>
      </c>
      <c r="I21128" t="s">
        <v>79</v>
      </c>
      <c r="J21128">
        <v>3.77</v>
      </c>
      <c r="K21128">
        <v>0.73</v>
      </c>
      <c r="L21128">
        <v>11201</v>
      </c>
      <c r="M21128" t="s">
        <v>305</v>
      </c>
      <c r="N21128" t="str">
        <f>"12327024205 "</f>
        <v xml:space="preserve">12327024205 </v>
      </c>
      <c r="O21128">
        <v>230713</v>
      </c>
    </row>
    <row r="21129" spans="1:15" x14ac:dyDescent="0.25">
      <c r="A21129" t="s">
        <v>16</v>
      </c>
      <c r="B21129" t="s">
        <v>3221</v>
      </c>
      <c r="C21129">
        <v>9524</v>
      </c>
      <c r="D21129" t="s">
        <v>263</v>
      </c>
      <c r="E21129" t="s">
        <v>264</v>
      </c>
      <c r="F21129">
        <v>3.84</v>
      </c>
      <c r="G21129">
        <v>230704</v>
      </c>
      <c r="H21129">
        <v>4362</v>
      </c>
      <c r="I21129" t="s">
        <v>79</v>
      </c>
      <c r="J21129">
        <v>4.76</v>
      </c>
      <c r="K21129">
        <v>0.92</v>
      </c>
      <c r="L21129">
        <v>11903</v>
      </c>
      <c r="M21129" t="s">
        <v>406</v>
      </c>
      <c r="N21129" t="str">
        <f>"12327024202 "</f>
        <v xml:space="preserve">12327024202 </v>
      </c>
      <c r="O21129">
        <v>230713</v>
      </c>
    </row>
    <row r="21130" spans="1:15" x14ac:dyDescent="0.25">
      <c r="A21130" t="s">
        <v>16</v>
      </c>
      <c r="B21130" t="s">
        <v>3221</v>
      </c>
      <c r="C21130">
        <v>9524</v>
      </c>
      <c r="D21130" t="s">
        <v>263</v>
      </c>
      <c r="E21130" t="s">
        <v>264</v>
      </c>
      <c r="F21130">
        <v>2.7</v>
      </c>
      <c r="G21130">
        <v>230704</v>
      </c>
      <c r="H21130">
        <v>4362</v>
      </c>
      <c r="I21130" t="s">
        <v>79</v>
      </c>
      <c r="J21130">
        <v>3.35</v>
      </c>
      <c r="K21130">
        <v>0.65</v>
      </c>
      <c r="L21130">
        <v>11905</v>
      </c>
      <c r="M21130" t="s">
        <v>39</v>
      </c>
      <c r="N21130" t="str">
        <f>"12327024202 "</f>
        <v xml:space="preserve">12327024202 </v>
      </c>
      <c r="O21130">
        <v>230713</v>
      </c>
    </row>
    <row r="21131" spans="1:15" x14ac:dyDescent="0.25">
      <c r="A21131" t="s">
        <v>16</v>
      </c>
      <c r="B21131" t="s">
        <v>3221</v>
      </c>
      <c r="C21131">
        <v>9524</v>
      </c>
      <c r="D21131" t="s">
        <v>263</v>
      </c>
      <c r="E21131" t="s">
        <v>264</v>
      </c>
      <c r="F21131">
        <v>2.7</v>
      </c>
      <c r="G21131">
        <v>230704</v>
      </c>
      <c r="H21131">
        <v>4362</v>
      </c>
      <c r="I21131" t="s">
        <v>79</v>
      </c>
      <c r="J21131">
        <v>3.35</v>
      </c>
      <c r="K21131">
        <v>0.65</v>
      </c>
      <c r="L21131">
        <v>11905</v>
      </c>
      <c r="M21131" t="s">
        <v>39</v>
      </c>
      <c r="N21131" t="str">
        <f>"12327024202 "</f>
        <v xml:space="preserve">12327024202 </v>
      </c>
      <c r="O21131">
        <v>230713</v>
      </c>
    </row>
    <row r="21132" spans="1:15" x14ac:dyDescent="0.25">
      <c r="A21132" t="s">
        <v>16</v>
      </c>
      <c r="B21132" t="s">
        <v>3221</v>
      </c>
      <c r="C21132">
        <v>9524</v>
      </c>
      <c r="D21132" t="s">
        <v>263</v>
      </c>
      <c r="E21132" t="s">
        <v>264</v>
      </c>
      <c r="F21132">
        <v>2.7</v>
      </c>
      <c r="G21132">
        <v>230704</v>
      </c>
      <c r="H21132">
        <v>4362</v>
      </c>
      <c r="I21132" t="s">
        <v>79</v>
      </c>
      <c r="J21132">
        <v>3.35</v>
      </c>
      <c r="K21132">
        <v>0.65</v>
      </c>
      <c r="L21132">
        <v>11905</v>
      </c>
      <c r="M21132" t="s">
        <v>39</v>
      </c>
      <c r="N21132" t="str">
        <f>"12327024202 "</f>
        <v xml:space="preserve">12327024202 </v>
      </c>
      <c r="O21132">
        <v>230713</v>
      </c>
    </row>
    <row r="21133" spans="1:15" x14ac:dyDescent="0.25">
      <c r="A21133" t="s">
        <v>16</v>
      </c>
      <c r="B21133" t="s">
        <v>3221</v>
      </c>
      <c r="C21133">
        <v>9524</v>
      </c>
      <c r="D21133" t="s">
        <v>263</v>
      </c>
      <c r="E21133" t="s">
        <v>264</v>
      </c>
      <c r="F21133">
        <v>5.4</v>
      </c>
      <c r="G21133">
        <v>230704</v>
      </c>
      <c r="H21133">
        <v>4362</v>
      </c>
      <c r="I21133" t="s">
        <v>79</v>
      </c>
      <c r="J21133">
        <v>6.69</v>
      </c>
      <c r="K21133">
        <v>1.29</v>
      </c>
      <c r="L21133">
        <v>11905</v>
      </c>
      <c r="M21133" t="s">
        <v>39</v>
      </c>
      <c r="N21133" t="str">
        <f>"12327024202 "</f>
        <v xml:space="preserve">12327024202 </v>
      </c>
      <c r="O21133">
        <v>230713</v>
      </c>
    </row>
    <row r="21134" spans="1:15" x14ac:dyDescent="0.25">
      <c r="A21134" t="s">
        <v>16</v>
      </c>
      <c r="B21134" t="s">
        <v>3221</v>
      </c>
      <c r="C21134">
        <v>9525</v>
      </c>
      <c r="D21134" t="s">
        <v>263</v>
      </c>
      <c r="E21134" t="s">
        <v>264</v>
      </c>
      <c r="F21134">
        <v>14.9</v>
      </c>
      <c r="G21134">
        <v>230704</v>
      </c>
      <c r="H21134">
        <v>4362</v>
      </c>
      <c r="I21134" t="s">
        <v>79</v>
      </c>
      <c r="J21134">
        <v>18.47</v>
      </c>
      <c r="K21134">
        <v>3.57</v>
      </c>
      <c r="L21134">
        <v>11601</v>
      </c>
      <c r="M21134" t="s">
        <v>535</v>
      </c>
      <c r="N21134" t="str">
        <f t="shared" ref="N21134:N21150" si="341">"12327024207 "</f>
        <v xml:space="preserve">12327024207 </v>
      </c>
      <c r="O21134">
        <v>230713</v>
      </c>
    </row>
    <row r="21135" spans="1:15" x14ac:dyDescent="0.25">
      <c r="A21135" t="s">
        <v>16</v>
      </c>
      <c r="B21135" t="s">
        <v>3221</v>
      </c>
      <c r="C21135">
        <v>9525</v>
      </c>
      <c r="D21135" t="s">
        <v>263</v>
      </c>
      <c r="E21135" t="s">
        <v>264</v>
      </c>
      <c r="F21135">
        <v>2.5499999999999998</v>
      </c>
      <c r="G21135">
        <v>230704</v>
      </c>
      <c r="H21135">
        <v>4362</v>
      </c>
      <c r="I21135" t="s">
        <v>79</v>
      </c>
      <c r="J21135">
        <v>3.16</v>
      </c>
      <c r="K21135">
        <v>0.61</v>
      </c>
      <c r="L21135">
        <v>11603</v>
      </c>
      <c r="M21135" t="s">
        <v>945</v>
      </c>
      <c r="N21135" t="str">
        <f t="shared" si="341"/>
        <v xml:space="preserve">12327024207 </v>
      </c>
      <c r="O21135">
        <v>230713</v>
      </c>
    </row>
    <row r="21136" spans="1:15" x14ac:dyDescent="0.25">
      <c r="A21136" t="s">
        <v>16</v>
      </c>
      <c r="B21136" t="s">
        <v>3221</v>
      </c>
      <c r="C21136">
        <v>9525</v>
      </c>
      <c r="D21136" t="s">
        <v>263</v>
      </c>
      <c r="E21136" t="s">
        <v>264</v>
      </c>
      <c r="F21136">
        <v>10.8</v>
      </c>
      <c r="G21136">
        <v>230704</v>
      </c>
      <c r="H21136">
        <v>4362</v>
      </c>
      <c r="I21136" t="s">
        <v>79</v>
      </c>
      <c r="J21136">
        <v>13.39</v>
      </c>
      <c r="K21136">
        <v>2.59</v>
      </c>
      <c r="L21136">
        <v>14121</v>
      </c>
      <c r="M21136" t="s">
        <v>880</v>
      </c>
      <c r="N21136" t="str">
        <f t="shared" si="341"/>
        <v xml:space="preserve">12327024207 </v>
      </c>
      <c r="O21136">
        <v>230713</v>
      </c>
    </row>
    <row r="21137" spans="1:15" x14ac:dyDescent="0.25">
      <c r="A21137" t="s">
        <v>16</v>
      </c>
      <c r="B21137" t="s">
        <v>3221</v>
      </c>
      <c r="C21137">
        <v>9525</v>
      </c>
      <c r="D21137" t="s">
        <v>263</v>
      </c>
      <c r="E21137" t="s">
        <v>264</v>
      </c>
      <c r="F21137">
        <v>18.96</v>
      </c>
      <c r="G21137">
        <v>230704</v>
      </c>
      <c r="H21137">
        <v>4362</v>
      </c>
      <c r="I21137" t="s">
        <v>79</v>
      </c>
      <c r="J21137">
        <v>23.51</v>
      </c>
      <c r="K21137">
        <v>4.55</v>
      </c>
      <c r="L21137">
        <v>14321</v>
      </c>
      <c r="M21137" t="s">
        <v>717</v>
      </c>
      <c r="N21137" t="str">
        <f t="shared" si="341"/>
        <v xml:space="preserve">12327024207 </v>
      </c>
      <c r="O21137">
        <v>230713</v>
      </c>
    </row>
    <row r="21138" spans="1:15" x14ac:dyDescent="0.25">
      <c r="A21138" t="s">
        <v>16</v>
      </c>
      <c r="B21138" t="s">
        <v>3221</v>
      </c>
      <c r="C21138">
        <v>9525</v>
      </c>
      <c r="D21138" t="s">
        <v>263</v>
      </c>
      <c r="E21138" t="s">
        <v>264</v>
      </c>
      <c r="F21138">
        <v>16.2</v>
      </c>
      <c r="G21138">
        <v>230704</v>
      </c>
      <c r="H21138">
        <v>4362</v>
      </c>
      <c r="I21138" t="s">
        <v>79</v>
      </c>
      <c r="J21138">
        <v>20.09</v>
      </c>
      <c r="K21138">
        <v>3.89</v>
      </c>
      <c r="L21138">
        <v>14422</v>
      </c>
      <c r="M21138" t="s">
        <v>228</v>
      </c>
      <c r="N21138" t="str">
        <f t="shared" si="341"/>
        <v xml:space="preserve">12327024207 </v>
      </c>
      <c r="O21138">
        <v>230713</v>
      </c>
    </row>
    <row r="21139" spans="1:15" x14ac:dyDescent="0.25">
      <c r="A21139" t="s">
        <v>16</v>
      </c>
      <c r="B21139" t="s">
        <v>3221</v>
      </c>
      <c r="C21139">
        <v>9525</v>
      </c>
      <c r="D21139" t="s">
        <v>263</v>
      </c>
      <c r="E21139" t="s">
        <v>264</v>
      </c>
      <c r="F21139">
        <v>2.7</v>
      </c>
      <c r="G21139">
        <v>230704</v>
      </c>
      <c r="H21139">
        <v>4362</v>
      </c>
      <c r="I21139" t="s">
        <v>79</v>
      </c>
      <c r="J21139">
        <v>3.35</v>
      </c>
      <c r="K21139">
        <v>0.65</v>
      </c>
      <c r="L21139">
        <v>14431</v>
      </c>
      <c r="M21139" t="s">
        <v>861</v>
      </c>
      <c r="N21139" t="str">
        <f t="shared" si="341"/>
        <v xml:space="preserve">12327024207 </v>
      </c>
      <c r="O21139">
        <v>230713</v>
      </c>
    </row>
    <row r="21140" spans="1:15" x14ac:dyDescent="0.25">
      <c r="A21140" t="s">
        <v>16</v>
      </c>
      <c r="B21140" t="s">
        <v>3221</v>
      </c>
      <c r="C21140">
        <v>9525</v>
      </c>
      <c r="D21140" t="s">
        <v>263</v>
      </c>
      <c r="E21140" t="s">
        <v>264</v>
      </c>
      <c r="F21140">
        <v>5.4</v>
      </c>
      <c r="G21140">
        <v>230704</v>
      </c>
      <c r="H21140">
        <v>4362</v>
      </c>
      <c r="I21140" t="s">
        <v>79</v>
      </c>
      <c r="J21140">
        <v>6.7</v>
      </c>
      <c r="K21140">
        <v>1.3</v>
      </c>
      <c r="L21140">
        <v>14432</v>
      </c>
      <c r="M21140" t="s">
        <v>862</v>
      </c>
      <c r="N21140" t="str">
        <f t="shared" si="341"/>
        <v xml:space="preserve">12327024207 </v>
      </c>
      <c r="O21140">
        <v>230713</v>
      </c>
    </row>
    <row r="21141" spans="1:15" x14ac:dyDescent="0.25">
      <c r="A21141" t="s">
        <v>16</v>
      </c>
      <c r="B21141" t="s">
        <v>3221</v>
      </c>
      <c r="C21141">
        <v>9525</v>
      </c>
      <c r="D21141" t="s">
        <v>263</v>
      </c>
      <c r="E21141" t="s">
        <v>264</v>
      </c>
      <c r="F21141">
        <v>10.76</v>
      </c>
      <c r="G21141">
        <v>230704</v>
      </c>
      <c r="H21141">
        <v>4362</v>
      </c>
      <c r="I21141" t="s">
        <v>79</v>
      </c>
      <c r="J21141">
        <v>13.34</v>
      </c>
      <c r="K21141">
        <v>2.58</v>
      </c>
      <c r="L21141">
        <v>14541</v>
      </c>
      <c r="M21141" t="s">
        <v>626</v>
      </c>
      <c r="N21141" t="str">
        <f t="shared" si="341"/>
        <v xml:space="preserve">12327024207 </v>
      </c>
      <c r="O21141">
        <v>230713</v>
      </c>
    </row>
    <row r="21142" spans="1:15" x14ac:dyDescent="0.25">
      <c r="A21142" t="s">
        <v>16</v>
      </c>
      <c r="B21142" t="s">
        <v>3221</v>
      </c>
      <c r="C21142">
        <v>9525</v>
      </c>
      <c r="D21142" t="s">
        <v>263</v>
      </c>
      <c r="E21142" t="s">
        <v>264</v>
      </c>
      <c r="F21142">
        <v>24.15</v>
      </c>
      <c r="G21142">
        <v>230704</v>
      </c>
      <c r="H21142">
        <v>4362</v>
      </c>
      <c r="I21142" t="s">
        <v>79</v>
      </c>
      <c r="J21142">
        <v>29.95</v>
      </c>
      <c r="K21142">
        <v>5.8</v>
      </c>
      <c r="L21142">
        <v>14622</v>
      </c>
      <c r="M21142" t="s">
        <v>1005</v>
      </c>
      <c r="N21142" t="str">
        <f t="shared" si="341"/>
        <v xml:space="preserve">12327024207 </v>
      </c>
      <c r="O21142">
        <v>230713</v>
      </c>
    </row>
    <row r="21143" spans="1:15" x14ac:dyDescent="0.25">
      <c r="A21143" t="s">
        <v>16</v>
      </c>
      <c r="B21143" t="s">
        <v>3221</v>
      </c>
      <c r="C21143">
        <v>9525</v>
      </c>
      <c r="D21143" t="s">
        <v>263</v>
      </c>
      <c r="E21143" t="s">
        <v>264</v>
      </c>
      <c r="F21143">
        <v>5.4</v>
      </c>
      <c r="G21143">
        <v>230704</v>
      </c>
      <c r="H21143">
        <v>4362</v>
      </c>
      <c r="I21143" t="s">
        <v>79</v>
      </c>
      <c r="J21143">
        <v>6.7</v>
      </c>
      <c r="K21143">
        <v>1.3</v>
      </c>
      <c r="L21143">
        <v>14640</v>
      </c>
      <c r="M21143" t="s">
        <v>229</v>
      </c>
      <c r="N21143" t="str">
        <f t="shared" si="341"/>
        <v xml:space="preserve">12327024207 </v>
      </c>
      <c r="O21143">
        <v>230713</v>
      </c>
    </row>
    <row r="21144" spans="1:15" x14ac:dyDescent="0.25">
      <c r="A21144" t="s">
        <v>16</v>
      </c>
      <c r="B21144" t="s">
        <v>3221</v>
      </c>
      <c r="C21144">
        <v>9525</v>
      </c>
      <c r="D21144" t="s">
        <v>263</v>
      </c>
      <c r="E21144" t="s">
        <v>264</v>
      </c>
      <c r="F21144">
        <v>2.7</v>
      </c>
      <c r="G21144">
        <v>230704</v>
      </c>
      <c r="H21144">
        <v>4362</v>
      </c>
      <c r="I21144" t="s">
        <v>79</v>
      </c>
      <c r="J21144">
        <v>3.35</v>
      </c>
      <c r="K21144">
        <v>0.65</v>
      </c>
      <c r="L21144">
        <v>14861</v>
      </c>
      <c r="M21144" t="s">
        <v>785</v>
      </c>
      <c r="N21144" t="str">
        <f t="shared" si="341"/>
        <v xml:space="preserve">12327024207 </v>
      </c>
      <c r="O21144">
        <v>230713</v>
      </c>
    </row>
    <row r="21145" spans="1:15" x14ac:dyDescent="0.25">
      <c r="A21145" t="s">
        <v>16</v>
      </c>
      <c r="B21145" t="s">
        <v>3221</v>
      </c>
      <c r="C21145">
        <v>9525</v>
      </c>
      <c r="D21145" t="s">
        <v>263</v>
      </c>
      <c r="E21145" t="s">
        <v>264</v>
      </c>
      <c r="F21145">
        <v>5.53</v>
      </c>
      <c r="G21145">
        <v>230704</v>
      </c>
      <c r="H21145">
        <v>4362</v>
      </c>
      <c r="I21145" t="s">
        <v>79</v>
      </c>
      <c r="J21145">
        <v>6.86</v>
      </c>
      <c r="K21145">
        <v>1.33</v>
      </c>
      <c r="L21145">
        <v>14912</v>
      </c>
      <c r="M21145" t="s">
        <v>230</v>
      </c>
      <c r="N21145" t="str">
        <f t="shared" si="341"/>
        <v xml:space="preserve">12327024207 </v>
      </c>
      <c r="O21145">
        <v>230713</v>
      </c>
    </row>
    <row r="21146" spans="1:15" x14ac:dyDescent="0.25">
      <c r="A21146" t="s">
        <v>16</v>
      </c>
      <c r="B21146" t="s">
        <v>3221</v>
      </c>
      <c r="C21146">
        <v>9525</v>
      </c>
      <c r="D21146" t="s">
        <v>263</v>
      </c>
      <c r="E21146" t="s">
        <v>264</v>
      </c>
      <c r="F21146">
        <v>3.04</v>
      </c>
      <c r="G21146">
        <v>230704</v>
      </c>
      <c r="H21146">
        <v>4362</v>
      </c>
      <c r="I21146" t="s">
        <v>79</v>
      </c>
      <c r="J21146">
        <v>3.77</v>
      </c>
      <c r="K21146">
        <v>0.73</v>
      </c>
      <c r="L21146">
        <v>14971</v>
      </c>
      <c r="M21146" t="s">
        <v>1259</v>
      </c>
      <c r="N21146" t="str">
        <f t="shared" si="341"/>
        <v xml:space="preserve">12327024207 </v>
      </c>
      <c r="O21146">
        <v>230713</v>
      </c>
    </row>
    <row r="21147" spans="1:15" x14ac:dyDescent="0.25">
      <c r="A21147" t="s">
        <v>16</v>
      </c>
      <c r="B21147" t="s">
        <v>3221</v>
      </c>
      <c r="C21147">
        <v>9525</v>
      </c>
      <c r="D21147" t="s">
        <v>263</v>
      </c>
      <c r="E21147" t="s">
        <v>264</v>
      </c>
      <c r="F21147">
        <v>4.72</v>
      </c>
      <c r="G21147">
        <v>230704</v>
      </c>
      <c r="H21147">
        <v>4362</v>
      </c>
      <c r="I21147" t="s">
        <v>79</v>
      </c>
      <c r="J21147">
        <v>5.85</v>
      </c>
      <c r="K21147">
        <v>1.1299999999999999</v>
      </c>
      <c r="L21147">
        <v>14972</v>
      </c>
      <c r="M21147" t="s">
        <v>898</v>
      </c>
      <c r="N21147" t="str">
        <f t="shared" si="341"/>
        <v xml:space="preserve">12327024207 </v>
      </c>
      <c r="O21147">
        <v>230713</v>
      </c>
    </row>
    <row r="21148" spans="1:15" x14ac:dyDescent="0.25">
      <c r="A21148" t="s">
        <v>16</v>
      </c>
      <c r="B21148" t="s">
        <v>3221</v>
      </c>
      <c r="C21148">
        <v>9525</v>
      </c>
      <c r="D21148" t="s">
        <v>263</v>
      </c>
      <c r="E21148" t="s">
        <v>264</v>
      </c>
      <c r="F21148">
        <v>2.7</v>
      </c>
      <c r="G21148">
        <v>230704</v>
      </c>
      <c r="H21148">
        <v>4362</v>
      </c>
      <c r="I21148" t="s">
        <v>79</v>
      </c>
      <c r="J21148">
        <v>3.35</v>
      </c>
      <c r="K21148">
        <v>0.65</v>
      </c>
      <c r="L21148">
        <v>14974</v>
      </c>
      <c r="M21148" t="s">
        <v>1340</v>
      </c>
      <c r="N21148" t="str">
        <f t="shared" si="341"/>
        <v xml:space="preserve">12327024207 </v>
      </c>
      <c r="O21148">
        <v>230713</v>
      </c>
    </row>
    <row r="21149" spans="1:15" x14ac:dyDescent="0.25">
      <c r="A21149" t="s">
        <v>16</v>
      </c>
      <c r="B21149" t="s">
        <v>3221</v>
      </c>
      <c r="C21149">
        <v>9525</v>
      </c>
      <c r="D21149" t="s">
        <v>263</v>
      </c>
      <c r="E21149" t="s">
        <v>264</v>
      </c>
      <c r="F21149">
        <v>2.7</v>
      </c>
      <c r="G21149">
        <v>230704</v>
      </c>
      <c r="H21149">
        <v>4362</v>
      </c>
      <c r="I21149" t="s">
        <v>79</v>
      </c>
      <c r="J21149">
        <v>3.35</v>
      </c>
      <c r="K21149">
        <v>0.65</v>
      </c>
      <c r="L21149">
        <v>14975</v>
      </c>
      <c r="M21149" t="s">
        <v>1341</v>
      </c>
      <c r="N21149" t="str">
        <f t="shared" si="341"/>
        <v xml:space="preserve">12327024207 </v>
      </c>
      <c r="O21149">
        <v>230713</v>
      </c>
    </row>
    <row r="21150" spans="1:15" x14ac:dyDescent="0.25">
      <c r="A21150" t="s">
        <v>16</v>
      </c>
      <c r="B21150" t="s">
        <v>3221</v>
      </c>
      <c r="C21150">
        <v>9525</v>
      </c>
      <c r="D21150" t="s">
        <v>263</v>
      </c>
      <c r="E21150" t="s">
        <v>264</v>
      </c>
      <c r="F21150">
        <v>3.09</v>
      </c>
      <c r="G21150">
        <v>230704</v>
      </c>
      <c r="H21150">
        <v>4362</v>
      </c>
      <c r="I21150" t="s">
        <v>79</v>
      </c>
      <c r="J21150">
        <v>3.83</v>
      </c>
      <c r="K21150">
        <v>0.74</v>
      </c>
      <c r="L21150">
        <v>14975</v>
      </c>
      <c r="M21150" t="s">
        <v>1341</v>
      </c>
      <c r="N21150" t="str">
        <f t="shared" si="341"/>
        <v xml:space="preserve">12327024207 </v>
      </c>
      <c r="O21150">
        <v>230713</v>
      </c>
    </row>
    <row r="21151" spans="1:15" x14ac:dyDescent="0.25">
      <c r="A21151" t="s">
        <v>16</v>
      </c>
      <c r="B21151" t="s">
        <v>3221</v>
      </c>
      <c r="C21151">
        <v>9572</v>
      </c>
      <c r="D21151" t="s">
        <v>263</v>
      </c>
      <c r="E21151" t="s">
        <v>264</v>
      </c>
      <c r="F21151">
        <v>26.66</v>
      </c>
      <c r="G21151">
        <v>230704</v>
      </c>
      <c r="H21151">
        <v>4362</v>
      </c>
      <c r="I21151" t="s">
        <v>79</v>
      </c>
      <c r="J21151">
        <v>33.06</v>
      </c>
      <c r="K21151">
        <v>6.4</v>
      </c>
      <c r="L21151">
        <v>49501</v>
      </c>
      <c r="M21151" t="s">
        <v>177</v>
      </c>
      <c r="N21151" t="str">
        <f>"12327024181 "</f>
        <v xml:space="preserve">12327024181 </v>
      </c>
      <c r="O21151">
        <v>230717</v>
      </c>
    </row>
    <row r="21152" spans="1:15" x14ac:dyDescent="0.25">
      <c r="A21152" t="s">
        <v>16</v>
      </c>
      <c r="B21152" t="s">
        <v>3221</v>
      </c>
      <c r="C21152">
        <v>9573</v>
      </c>
      <c r="D21152" t="s">
        <v>263</v>
      </c>
      <c r="E21152" t="s">
        <v>264</v>
      </c>
      <c r="F21152">
        <v>8.5500000000000007</v>
      </c>
      <c r="G21152">
        <v>230704</v>
      </c>
      <c r="H21152">
        <v>4362</v>
      </c>
      <c r="I21152" t="s">
        <v>79</v>
      </c>
      <c r="J21152">
        <v>10.6</v>
      </c>
      <c r="K21152">
        <v>2.0499999999999998</v>
      </c>
      <c r="L21152">
        <v>49701</v>
      </c>
      <c r="M21152" t="s">
        <v>166</v>
      </c>
      <c r="N21152" t="str">
        <f>"12327024183 "</f>
        <v xml:space="preserve">12327024183 </v>
      </c>
      <c r="O21152">
        <v>230717</v>
      </c>
    </row>
    <row r="21153" spans="1:15" x14ac:dyDescent="0.25">
      <c r="A21153" t="s">
        <v>16</v>
      </c>
      <c r="B21153" t="s">
        <v>3221</v>
      </c>
      <c r="C21153">
        <v>9573</v>
      </c>
      <c r="D21153" t="s">
        <v>263</v>
      </c>
      <c r="E21153" t="s">
        <v>264</v>
      </c>
      <c r="F21153">
        <v>5.4</v>
      </c>
      <c r="G21153">
        <v>230704</v>
      </c>
      <c r="H21153">
        <v>4362</v>
      </c>
      <c r="I21153" t="s">
        <v>79</v>
      </c>
      <c r="J21153">
        <v>6.7</v>
      </c>
      <c r="K21153">
        <v>1.3</v>
      </c>
      <c r="L21153">
        <v>49702</v>
      </c>
      <c r="M21153" t="s">
        <v>584</v>
      </c>
      <c r="N21153" t="str">
        <f>"12327024183 "</f>
        <v xml:space="preserve">12327024183 </v>
      </c>
      <c r="O21153">
        <v>230717</v>
      </c>
    </row>
    <row r="21154" spans="1:15" x14ac:dyDescent="0.25">
      <c r="A21154" t="s">
        <v>16</v>
      </c>
      <c r="B21154" t="s">
        <v>3221</v>
      </c>
      <c r="C21154">
        <v>9573</v>
      </c>
      <c r="D21154" t="s">
        <v>263</v>
      </c>
      <c r="E21154" t="s">
        <v>264</v>
      </c>
      <c r="F21154">
        <v>4.49</v>
      </c>
      <c r="G21154">
        <v>230704</v>
      </c>
      <c r="H21154">
        <v>4362</v>
      </c>
      <c r="I21154" t="s">
        <v>79</v>
      </c>
      <c r="J21154">
        <v>5.57</v>
      </c>
      <c r="K21154">
        <v>1.08</v>
      </c>
      <c r="L21154">
        <v>49704</v>
      </c>
      <c r="M21154" t="s">
        <v>1065</v>
      </c>
      <c r="N21154" t="str">
        <f>"12327024183 "</f>
        <v xml:space="preserve">12327024183 </v>
      </c>
      <c r="O21154">
        <v>230717</v>
      </c>
    </row>
    <row r="21155" spans="1:15" x14ac:dyDescent="0.25">
      <c r="A21155" t="s">
        <v>16</v>
      </c>
      <c r="B21155" t="s">
        <v>3221</v>
      </c>
      <c r="C21155">
        <v>9576</v>
      </c>
      <c r="D21155" t="s">
        <v>263</v>
      </c>
      <c r="E21155" t="s">
        <v>264</v>
      </c>
      <c r="F21155">
        <v>2.7</v>
      </c>
      <c r="G21155">
        <v>230704</v>
      </c>
      <c r="H21155">
        <v>4362</v>
      </c>
      <c r="I21155" t="s">
        <v>79</v>
      </c>
      <c r="J21155">
        <v>3.35</v>
      </c>
      <c r="K21155">
        <v>0.65</v>
      </c>
      <c r="L21155">
        <v>54451</v>
      </c>
      <c r="M21155" t="s">
        <v>158</v>
      </c>
      <c r="N21155" t="str">
        <f t="shared" ref="N21155:N21171" si="342">"12327024174 "</f>
        <v xml:space="preserve">12327024174 </v>
      </c>
      <c r="O21155">
        <v>230717</v>
      </c>
    </row>
    <row r="21156" spans="1:15" x14ac:dyDescent="0.25">
      <c r="A21156" t="s">
        <v>16</v>
      </c>
      <c r="B21156" t="s">
        <v>3221</v>
      </c>
      <c r="C21156">
        <v>9576</v>
      </c>
      <c r="D21156" t="s">
        <v>263</v>
      </c>
      <c r="E21156" t="s">
        <v>264</v>
      </c>
      <c r="F21156">
        <v>2.7</v>
      </c>
      <c r="G21156">
        <v>230704</v>
      </c>
      <c r="H21156">
        <v>4362</v>
      </c>
      <c r="I21156" t="s">
        <v>79</v>
      </c>
      <c r="J21156">
        <v>3.35</v>
      </c>
      <c r="K21156">
        <v>0.65</v>
      </c>
      <c r="L21156">
        <v>59111</v>
      </c>
      <c r="M21156" t="s">
        <v>1010</v>
      </c>
      <c r="N21156" t="str">
        <f t="shared" si="342"/>
        <v xml:space="preserve">12327024174 </v>
      </c>
      <c r="O21156">
        <v>230717</v>
      </c>
    </row>
    <row r="21157" spans="1:15" x14ac:dyDescent="0.25">
      <c r="A21157" t="s">
        <v>16</v>
      </c>
      <c r="B21157" t="s">
        <v>3221</v>
      </c>
      <c r="C21157">
        <v>9576</v>
      </c>
      <c r="D21157" t="s">
        <v>263</v>
      </c>
      <c r="E21157" t="s">
        <v>264</v>
      </c>
      <c r="F21157">
        <v>2.7</v>
      </c>
      <c r="G21157">
        <v>230704</v>
      </c>
      <c r="H21157">
        <v>4362</v>
      </c>
      <c r="I21157" t="s">
        <v>79</v>
      </c>
      <c r="J21157">
        <v>3.35</v>
      </c>
      <c r="K21157">
        <v>0.65</v>
      </c>
      <c r="L21157">
        <v>59112</v>
      </c>
      <c r="M21157" t="s">
        <v>182</v>
      </c>
      <c r="N21157" t="str">
        <f t="shared" si="342"/>
        <v xml:space="preserve">12327024174 </v>
      </c>
      <c r="O21157">
        <v>230717</v>
      </c>
    </row>
    <row r="21158" spans="1:15" x14ac:dyDescent="0.25">
      <c r="A21158" t="s">
        <v>16</v>
      </c>
      <c r="B21158" t="s">
        <v>3221</v>
      </c>
      <c r="C21158">
        <v>9576</v>
      </c>
      <c r="D21158" t="s">
        <v>263</v>
      </c>
      <c r="E21158" t="s">
        <v>264</v>
      </c>
      <c r="F21158">
        <v>5.4</v>
      </c>
      <c r="G21158">
        <v>230704</v>
      </c>
      <c r="H21158">
        <v>4362</v>
      </c>
      <c r="I21158" t="s">
        <v>79</v>
      </c>
      <c r="J21158">
        <v>6.7</v>
      </c>
      <c r="K21158">
        <v>1.3</v>
      </c>
      <c r="L21158">
        <v>59113</v>
      </c>
      <c r="M21158" t="s">
        <v>235</v>
      </c>
      <c r="N21158" t="str">
        <f t="shared" si="342"/>
        <v xml:space="preserve">12327024174 </v>
      </c>
      <c r="O21158">
        <v>230717</v>
      </c>
    </row>
    <row r="21159" spans="1:15" x14ac:dyDescent="0.25">
      <c r="A21159" t="s">
        <v>16</v>
      </c>
      <c r="B21159" t="s">
        <v>3221</v>
      </c>
      <c r="C21159">
        <v>9576</v>
      </c>
      <c r="D21159" t="s">
        <v>263</v>
      </c>
      <c r="E21159" t="s">
        <v>264</v>
      </c>
      <c r="F21159">
        <v>8.1</v>
      </c>
      <c r="G21159">
        <v>230704</v>
      </c>
      <c r="H21159">
        <v>4362</v>
      </c>
      <c r="I21159" t="s">
        <v>79</v>
      </c>
      <c r="J21159">
        <v>10.039999999999999</v>
      </c>
      <c r="K21159">
        <v>1.94</v>
      </c>
      <c r="L21159">
        <v>59114</v>
      </c>
      <c r="M21159" t="s">
        <v>556</v>
      </c>
      <c r="N21159" t="str">
        <f t="shared" si="342"/>
        <v xml:space="preserve">12327024174 </v>
      </c>
      <c r="O21159">
        <v>230717</v>
      </c>
    </row>
    <row r="21160" spans="1:15" x14ac:dyDescent="0.25">
      <c r="A21160" t="s">
        <v>16</v>
      </c>
      <c r="B21160" t="s">
        <v>3221</v>
      </c>
      <c r="C21160">
        <v>9576</v>
      </c>
      <c r="D21160" t="s">
        <v>263</v>
      </c>
      <c r="E21160" t="s">
        <v>264</v>
      </c>
      <c r="F21160">
        <v>3.56</v>
      </c>
      <c r="G21160">
        <v>230704</v>
      </c>
      <c r="H21160">
        <v>4362</v>
      </c>
      <c r="I21160" t="s">
        <v>79</v>
      </c>
      <c r="J21160">
        <v>3.56</v>
      </c>
      <c r="K21160">
        <v>0</v>
      </c>
      <c r="L21160">
        <v>59501</v>
      </c>
      <c r="M21160" t="s">
        <v>69</v>
      </c>
      <c r="N21160" t="str">
        <f t="shared" si="342"/>
        <v xml:space="preserve">12327024174 </v>
      </c>
      <c r="O21160">
        <v>230717</v>
      </c>
    </row>
    <row r="21161" spans="1:15" x14ac:dyDescent="0.25">
      <c r="A21161" t="s">
        <v>16</v>
      </c>
      <c r="B21161" t="s">
        <v>3221</v>
      </c>
      <c r="C21161">
        <v>9576</v>
      </c>
      <c r="D21161" t="s">
        <v>263</v>
      </c>
      <c r="E21161" t="s">
        <v>264</v>
      </c>
      <c r="F21161">
        <v>69.19</v>
      </c>
      <c r="G21161">
        <v>230704</v>
      </c>
      <c r="H21161">
        <v>4362</v>
      </c>
      <c r="I21161" t="s">
        <v>79</v>
      </c>
      <c r="J21161">
        <v>85.8</v>
      </c>
      <c r="K21161">
        <v>16.61</v>
      </c>
      <c r="L21161">
        <v>59501</v>
      </c>
      <c r="M21161" t="s">
        <v>69</v>
      </c>
      <c r="N21161" t="str">
        <f t="shared" si="342"/>
        <v xml:space="preserve">12327024174 </v>
      </c>
      <c r="O21161">
        <v>230717</v>
      </c>
    </row>
    <row r="21162" spans="1:15" x14ac:dyDescent="0.25">
      <c r="A21162" t="s">
        <v>16</v>
      </c>
      <c r="B21162" t="s">
        <v>3221</v>
      </c>
      <c r="C21162">
        <v>9576</v>
      </c>
      <c r="D21162" t="s">
        <v>263</v>
      </c>
      <c r="E21162" t="s">
        <v>264</v>
      </c>
      <c r="F21162">
        <v>31.89</v>
      </c>
      <c r="G21162">
        <v>230704</v>
      </c>
      <c r="H21162">
        <v>4362</v>
      </c>
      <c r="I21162" t="s">
        <v>79</v>
      </c>
      <c r="J21162">
        <v>39.54</v>
      </c>
      <c r="K21162">
        <v>7.65</v>
      </c>
      <c r="L21162">
        <v>59502</v>
      </c>
      <c r="M21162" t="s">
        <v>70</v>
      </c>
      <c r="N21162" t="str">
        <f t="shared" si="342"/>
        <v xml:space="preserve">12327024174 </v>
      </c>
      <c r="O21162">
        <v>230717</v>
      </c>
    </row>
    <row r="21163" spans="1:15" x14ac:dyDescent="0.25">
      <c r="A21163" t="s">
        <v>16</v>
      </c>
      <c r="B21163" t="s">
        <v>3221</v>
      </c>
      <c r="C21163">
        <v>9576</v>
      </c>
      <c r="D21163" t="s">
        <v>263</v>
      </c>
      <c r="E21163" t="s">
        <v>264</v>
      </c>
      <c r="F21163">
        <v>10.86</v>
      </c>
      <c r="G21163">
        <v>230704</v>
      </c>
      <c r="H21163">
        <v>4362</v>
      </c>
      <c r="I21163" t="s">
        <v>79</v>
      </c>
      <c r="J21163">
        <v>13.47</v>
      </c>
      <c r="K21163">
        <v>2.61</v>
      </c>
      <c r="L21163">
        <v>59504</v>
      </c>
      <c r="M21163" t="s">
        <v>71</v>
      </c>
      <c r="N21163" t="str">
        <f t="shared" si="342"/>
        <v xml:space="preserve">12327024174 </v>
      </c>
      <c r="O21163">
        <v>230717</v>
      </c>
    </row>
    <row r="21164" spans="1:15" x14ac:dyDescent="0.25">
      <c r="A21164" t="s">
        <v>16</v>
      </c>
      <c r="B21164" t="s">
        <v>3221</v>
      </c>
      <c r="C21164">
        <v>9576</v>
      </c>
      <c r="D21164" t="s">
        <v>263</v>
      </c>
      <c r="E21164" t="s">
        <v>264</v>
      </c>
      <c r="F21164">
        <v>5.4</v>
      </c>
      <c r="G21164">
        <v>230704</v>
      </c>
      <c r="H21164">
        <v>4362</v>
      </c>
      <c r="I21164" t="s">
        <v>79</v>
      </c>
      <c r="J21164">
        <v>6.7</v>
      </c>
      <c r="K21164">
        <v>1.3</v>
      </c>
      <c r="L21164">
        <v>59505</v>
      </c>
      <c r="M21164" t="s">
        <v>72</v>
      </c>
      <c r="N21164" t="str">
        <f t="shared" si="342"/>
        <v xml:space="preserve">12327024174 </v>
      </c>
      <c r="O21164">
        <v>230717</v>
      </c>
    </row>
    <row r="21165" spans="1:15" x14ac:dyDescent="0.25">
      <c r="A21165" t="s">
        <v>16</v>
      </c>
      <c r="B21165" t="s">
        <v>3221</v>
      </c>
      <c r="C21165">
        <v>9576</v>
      </c>
      <c r="D21165" t="s">
        <v>263</v>
      </c>
      <c r="E21165" t="s">
        <v>264</v>
      </c>
      <c r="F21165">
        <v>12.18</v>
      </c>
      <c r="G21165">
        <v>230704</v>
      </c>
      <c r="H21165">
        <v>4362</v>
      </c>
      <c r="I21165" t="s">
        <v>79</v>
      </c>
      <c r="J21165">
        <v>15.1</v>
      </c>
      <c r="K21165">
        <v>2.92</v>
      </c>
      <c r="L21165">
        <v>59701</v>
      </c>
      <c r="M21165" t="s">
        <v>297</v>
      </c>
      <c r="N21165" t="str">
        <f t="shared" si="342"/>
        <v xml:space="preserve">12327024174 </v>
      </c>
      <c r="O21165">
        <v>230717</v>
      </c>
    </row>
    <row r="21166" spans="1:15" x14ac:dyDescent="0.25">
      <c r="A21166" t="s">
        <v>16</v>
      </c>
      <c r="B21166" t="s">
        <v>3221</v>
      </c>
      <c r="C21166">
        <v>9576</v>
      </c>
      <c r="D21166" t="s">
        <v>263</v>
      </c>
      <c r="E21166" t="s">
        <v>264</v>
      </c>
      <c r="F21166">
        <v>3.07</v>
      </c>
      <c r="G21166">
        <v>230704</v>
      </c>
      <c r="H21166">
        <v>4362</v>
      </c>
      <c r="I21166" t="s">
        <v>79</v>
      </c>
      <c r="J21166">
        <v>3.81</v>
      </c>
      <c r="K21166">
        <v>0.74</v>
      </c>
      <c r="L21166">
        <v>59702</v>
      </c>
      <c r="M21166" t="s">
        <v>328</v>
      </c>
      <c r="N21166" t="str">
        <f t="shared" si="342"/>
        <v xml:space="preserve">12327024174 </v>
      </c>
      <c r="O21166">
        <v>230717</v>
      </c>
    </row>
    <row r="21167" spans="1:15" x14ac:dyDescent="0.25">
      <c r="A21167" t="s">
        <v>16</v>
      </c>
      <c r="B21167" t="s">
        <v>3221</v>
      </c>
      <c r="C21167">
        <v>9576</v>
      </c>
      <c r="D21167" t="s">
        <v>263</v>
      </c>
      <c r="E21167" t="s">
        <v>264</v>
      </c>
      <c r="F21167">
        <v>5.25</v>
      </c>
      <c r="G21167">
        <v>230704</v>
      </c>
      <c r="H21167">
        <v>4362</v>
      </c>
      <c r="I21167" t="s">
        <v>79</v>
      </c>
      <c r="J21167">
        <v>6.51</v>
      </c>
      <c r="K21167">
        <v>1.26</v>
      </c>
      <c r="L21167">
        <v>59704</v>
      </c>
      <c r="M21167" t="s">
        <v>1103</v>
      </c>
      <c r="N21167" t="str">
        <f t="shared" si="342"/>
        <v xml:space="preserve">12327024174 </v>
      </c>
      <c r="O21167">
        <v>230717</v>
      </c>
    </row>
    <row r="21168" spans="1:15" x14ac:dyDescent="0.25">
      <c r="A21168" t="s">
        <v>16</v>
      </c>
      <c r="B21168" t="s">
        <v>3221</v>
      </c>
      <c r="C21168">
        <v>9576</v>
      </c>
      <c r="D21168" t="s">
        <v>263</v>
      </c>
      <c r="E21168" t="s">
        <v>264</v>
      </c>
      <c r="F21168">
        <v>6.54</v>
      </c>
      <c r="G21168">
        <v>230704</v>
      </c>
      <c r="H21168">
        <v>4362</v>
      </c>
      <c r="I21168" t="s">
        <v>79</v>
      </c>
      <c r="J21168">
        <v>8.11</v>
      </c>
      <c r="K21168">
        <v>1.57</v>
      </c>
      <c r="L21168">
        <v>59705</v>
      </c>
      <c r="M21168" t="s">
        <v>843</v>
      </c>
      <c r="N21168" t="str">
        <f t="shared" si="342"/>
        <v xml:space="preserve">12327024174 </v>
      </c>
      <c r="O21168">
        <v>230717</v>
      </c>
    </row>
    <row r="21169" spans="1:15" x14ac:dyDescent="0.25">
      <c r="A21169" t="s">
        <v>16</v>
      </c>
      <c r="B21169" t="s">
        <v>3221</v>
      </c>
      <c r="C21169">
        <v>9576</v>
      </c>
      <c r="D21169" t="s">
        <v>263</v>
      </c>
      <c r="E21169" t="s">
        <v>264</v>
      </c>
      <c r="F21169">
        <v>15.89</v>
      </c>
      <c r="G21169">
        <v>230704</v>
      </c>
      <c r="H21169">
        <v>4362</v>
      </c>
      <c r="I21169" t="s">
        <v>79</v>
      </c>
      <c r="J21169">
        <v>19.7</v>
      </c>
      <c r="K21169">
        <v>3.81</v>
      </c>
      <c r="L21169">
        <v>59802</v>
      </c>
      <c r="M21169" t="s">
        <v>73</v>
      </c>
      <c r="N21169" t="str">
        <f t="shared" si="342"/>
        <v xml:space="preserve">12327024174 </v>
      </c>
      <c r="O21169">
        <v>230717</v>
      </c>
    </row>
    <row r="21170" spans="1:15" x14ac:dyDescent="0.25">
      <c r="A21170" t="s">
        <v>16</v>
      </c>
      <c r="B21170" t="s">
        <v>3221</v>
      </c>
      <c r="C21170">
        <v>9576</v>
      </c>
      <c r="D21170" t="s">
        <v>263</v>
      </c>
      <c r="E21170" t="s">
        <v>264</v>
      </c>
      <c r="F21170">
        <v>25.4</v>
      </c>
      <c r="G21170">
        <v>230704</v>
      </c>
      <c r="H21170">
        <v>4362</v>
      </c>
      <c r="I21170" t="s">
        <v>79</v>
      </c>
      <c r="J21170">
        <v>31.5</v>
      </c>
      <c r="K21170">
        <v>6.1</v>
      </c>
      <c r="L21170">
        <v>59812</v>
      </c>
      <c r="M21170" t="s">
        <v>74</v>
      </c>
      <c r="N21170" t="str">
        <f t="shared" si="342"/>
        <v xml:space="preserve">12327024174 </v>
      </c>
      <c r="O21170">
        <v>230717</v>
      </c>
    </row>
    <row r="21171" spans="1:15" x14ac:dyDescent="0.25">
      <c r="A21171" t="s">
        <v>16</v>
      </c>
      <c r="B21171" t="s">
        <v>3221</v>
      </c>
      <c r="C21171">
        <v>9576</v>
      </c>
      <c r="D21171" t="s">
        <v>263</v>
      </c>
      <c r="E21171" t="s">
        <v>264</v>
      </c>
      <c r="F21171">
        <v>8.44</v>
      </c>
      <c r="G21171">
        <v>230704</v>
      </c>
      <c r="H21171">
        <v>4362</v>
      </c>
      <c r="I21171" t="s">
        <v>79</v>
      </c>
      <c r="J21171">
        <v>10.47</v>
      </c>
      <c r="K21171">
        <v>2.0299999999999998</v>
      </c>
      <c r="L21171">
        <v>59815</v>
      </c>
      <c r="M21171" t="s">
        <v>1182</v>
      </c>
      <c r="N21171" t="str">
        <f t="shared" si="342"/>
        <v xml:space="preserve">12327024174 </v>
      </c>
      <c r="O21171">
        <v>230717</v>
      </c>
    </row>
    <row r="21172" spans="1:15" x14ac:dyDescent="0.25">
      <c r="A21172" t="s">
        <v>16</v>
      </c>
      <c r="B21172" t="s">
        <v>3221</v>
      </c>
      <c r="C21172">
        <v>9577</v>
      </c>
      <c r="D21172" t="s">
        <v>263</v>
      </c>
      <c r="E21172" t="s">
        <v>264</v>
      </c>
      <c r="F21172">
        <v>0.3</v>
      </c>
      <c r="G21172">
        <v>230704</v>
      </c>
      <c r="H21172">
        <v>4362</v>
      </c>
      <c r="I21172" t="s">
        <v>79</v>
      </c>
      <c r="J21172">
        <v>0.37</v>
      </c>
      <c r="K21172">
        <v>7.0000000000000007E-2</v>
      </c>
      <c r="L21172">
        <v>13540</v>
      </c>
      <c r="M21172" t="s">
        <v>85</v>
      </c>
      <c r="N21172" t="str">
        <f t="shared" ref="N21172:N21197" si="343">"12327024197 "</f>
        <v xml:space="preserve">12327024197 </v>
      </c>
      <c r="O21172">
        <v>230717</v>
      </c>
    </row>
    <row r="21173" spans="1:15" x14ac:dyDescent="0.25">
      <c r="A21173" t="s">
        <v>16</v>
      </c>
      <c r="B21173" t="s">
        <v>3221</v>
      </c>
      <c r="C21173">
        <v>9577</v>
      </c>
      <c r="D21173" t="s">
        <v>263</v>
      </c>
      <c r="E21173" t="s">
        <v>264</v>
      </c>
      <c r="F21173">
        <v>1.19</v>
      </c>
      <c r="G21173">
        <v>230704</v>
      </c>
      <c r="H21173">
        <v>4362</v>
      </c>
      <c r="I21173" t="s">
        <v>79</v>
      </c>
      <c r="J21173">
        <v>1.47</v>
      </c>
      <c r="K21173">
        <v>0.28000000000000003</v>
      </c>
      <c r="L21173">
        <v>13540</v>
      </c>
      <c r="M21173" t="s">
        <v>85</v>
      </c>
      <c r="N21173" t="str">
        <f t="shared" si="343"/>
        <v xml:space="preserve">12327024197 </v>
      </c>
      <c r="O21173">
        <v>230717</v>
      </c>
    </row>
    <row r="21174" spans="1:15" x14ac:dyDescent="0.25">
      <c r="A21174" t="s">
        <v>16</v>
      </c>
      <c r="B21174" t="s">
        <v>3221</v>
      </c>
      <c r="C21174">
        <v>9577</v>
      </c>
      <c r="D21174" t="s">
        <v>263</v>
      </c>
      <c r="E21174" t="s">
        <v>264</v>
      </c>
      <c r="F21174">
        <v>7.95</v>
      </c>
      <c r="G21174">
        <v>230704</v>
      </c>
      <c r="H21174">
        <v>4362</v>
      </c>
      <c r="I21174" t="s">
        <v>79</v>
      </c>
      <c r="J21174">
        <v>9.86</v>
      </c>
      <c r="K21174">
        <v>1.91</v>
      </c>
      <c r="L21174">
        <v>16930</v>
      </c>
      <c r="M21174" t="s">
        <v>450</v>
      </c>
      <c r="N21174" t="str">
        <f t="shared" si="343"/>
        <v xml:space="preserve">12327024197 </v>
      </c>
      <c r="O21174">
        <v>230717</v>
      </c>
    </row>
    <row r="21175" spans="1:15" x14ac:dyDescent="0.25">
      <c r="A21175" t="s">
        <v>16</v>
      </c>
      <c r="B21175" t="s">
        <v>3221</v>
      </c>
      <c r="C21175">
        <v>9577</v>
      </c>
      <c r="D21175" t="s">
        <v>263</v>
      </c>
      <c r="E21175" t="s">
        <v>264</v>
      </c>
      <c r="F21175">
        <v>8.23</v>
      </c>
      <c r="G21175">
        <v>230704</v>
      </c>
      <c r="H21175">
        <v>4362</v>
      </c>
      <c r="I21175" t="s">
        <v>79</v>
      </c>
      <c r="J21175">
        <v>10.210000000000001</v>
      </c>
      <c r="K21175">
        <v>1.98</v>
      </c>
      <c r="L21175">
        <v>17521</v>
      </c>
      <c r="M21175" t="s">
        <v>133</v>
      </c>
      <c r="N21175" t="str">
        <f t="shared" si="343"/>
        <v xml:space="preserve">12327024197 </v>
      </c>
      <c r="O21175">
        <v>230717</v>
      </c>
    </row>
    <row r="21176" spans="1:15" x14ac:dyDescent="0.25">
      <c r="A21176" t="s">
        <v>16</v>
      </c>
      <c r="B21176" t="s">
        <v>3221</v>
      </c>
      <c r="C21176">
        <v>9577</v>
      </c>
      <c r="D21176" t="s">
        <v>263</v>
      </c>
      <c r="E21176" t="s">
        <v>264</v>
      </c>
      <c r="F21176">
        <v>6.07</v>
      </c>
      <c r="G21176">
        <v>230704</v>
      </c>
      <c r="H21176">
        <v>4362</v>
      </c>
      <c r="I21176" t="s">
        <v>79</v>
      </c>
      <c r="J21176">
        <v>7.53</v>
      </c>
      <c r="K21176">
        <v>1.46</v>
      </c>
      <c r="L21176">
        <v>17522</v>
      </c>
      <c r="M21176" t="s">
        <v>451</v>
      </c>
      <c r="N21176" t="str">
        <f t="shared" si="343"/>
        <v xml:space="preserve">12327024197 </v>
      </c>
      <c r="O21176">
        <v>230717</v>
      </c>
    </row>
    <row r="21177" spans="1:15" x14ac:dyDescent="0.25">
      <c r="A21177" t="s">
        <v>16</v>
      </c>
      <c r="B21177" t="s">
        <v>3221</v>
      </c>
      <c r="C21177">
        <v>9577</v>
      </c>
      <c r="D21177" t="s">
        <v>263</v>
      </c>
      <c r="E21177" t="s">
        <v>264</v>
      </c>
      <c r="F21177">
        <v>9.91</v>
      </c>
      <c r="G21177">
        <v>230704</v>
      </c>
      <c r="H21177">
        <v>4362</v>
      </c>
      <c r="I21177" t="s">
        <v>79</v>
      </c>
      <c r="J21177">
        <v>12.29</v>
      </c>
      <c r="K21177">
        <v>2.38</v>
      </c>
      <c r="L21177">
        <v>17523</v>
      </c>
      <c r="M21177" t="s">
        <v>134</v>
      </c>
      <c r="N21177" t="str">
        <f t="shared" si="343"/>
        <v xml:space="preserve">12327024197 </v>
      </c>
      <c r="O21177">
        <v>230717</v>
      </c>
    </row>
    <row r="21178" spans="1:15" x14ac:dyDescent="0.25">
      <c r="A21178" t="s">
        <v>16</v>
      </c>
      <c r="B21178" t="s">
        <v>3221</v>
      </c>
      <c r="C21178">
        <v>9577</v>
      </c>
      <c r="D21178" t="s">
        <v>263</v>
      </c>
      <c r="E21178" t="s">
        <v>264</v>
      </c>
      <c r="F21178">
        <v>5.4</v>
      </c>
      <c r="G21178">
        <v>230704</v>
      </c>
      <c r="H21178">
        <v>4362</v>
      </c>
      <c r="I21178" t="s">
        <v>79</v>
      </c>
      <c r="J21178">
        <v>6.7</v>
      </c>
      <c r="K21178">
        <v>1.3</v>
      </c>
      <c r="L21178">
        <v>17524</v>
      </c>
      <c r="M21178" t="s">
        <v>452</v>
      </c>
      <c r="N21178" t="str">
        <f t="shared" si="343"/>
        <v xml:space="preserve">12327024197 </v>
      </c>
      <c r="O21178">
        <v>230717</v>
      </c>
    </row>
    <row r="21179" spans="1:15" x14ac:dyDescent="0.25">
      <c r="A21179" t="s">
        <v>16</v>
      </c>
      <c r="B21179" t="s">
        <v>3221</v>
      </c>
      <c r="C21179">
        <v>9577</v>
      </c>
      <c r="D21179" t="s">
        <v>263</v>
      </c>
      <c r="E21179" t="s">
        <v>264</v>
      </c>
      <c r="F21179">
        <v>2.7</v>
      </c>
      <c r="G21179">
        <v>230704</v>
      </c>
      <c r="H21179">
        <v>4362</v>
      </c>
      <c r="I21179" t="s">
        <v>79</v>
      </c>
      <c r="J21179">
        <v>3.35</v>
      </c>
      <c r="K21179">
        <v>0.65</v>
      </c>
      <c r="L21179">
        <v>17525</v>
      </c>
      <c r="M21179" t="s">
        <v>135</v>
      </c>
      <c r="N21179" t="str">
        <f t="shared" si="343"/>
        <v xml:space="preserve">12327024197 </v>
      </c>
      <c r="O21179">
        <v>230717</v>
      </c>
    </row>
    <row r="21180" spans="1:15" x14ac:dyDescent="0.25">
      <c r="A21180" t="s">
        <v>16</v>
      </c>
      <c r="B21180" t="s">
        <v>3221</v>
      </c>
      <c r="C21180">
        <v>9577</v>
      </c>
      <c r="D21180" t="s">
        <v>263</v>
      </c>
      <c r="E21180" t="s">
        <v>264</v>
      </c>
      <c r="F21180">
        <v>8.1</v>
      </c>
      <c r="G21180">
        <v>230704</v>
      </c>
      <c r="H21180">
        <v>4362</v>
      </c>
      <c r="I21180" t="s">
        <v>79</v>
      </c>
      <c r="J21180">
        <v>10.039999999999999</v>
      </c>
      <c r="K21180">
        <v>1.94</v>
      </c>
      <c r="L21180">
        <v>17526</v>
      </c>
      <c r="M21180" t="s">
        <v>437</v>
      </c>
      <c r="N21180" t="str">
        <f t="shared" si="343"/>
        <v xml:space="preserve">12327024197 </v>
      </c>
      <c r="O21180">
        <v>230717</v>
      </c>
    </row>
    <row r="21181" spans="1:15" x14ac:dyDescent="0.25">
      <c r="A21181" t="s">
        <v>16</v>
      </c>
      <c r="B21181" t="s">
        <v>3221</v>
      </c>
      <c r="C21181">
        <v>9577</v>
      </c>
      <c r="D21181" t="s">
        <v>263</v>
      </c>
      <c r="E21181" t="s">
        <v>264</v>
      </c>
      <c r="F21181">
        <v>7.02</v>
      </c>
      <c r="G21181">
        <v>230704</v>
      </c>
      <c r="H21181">
        <v>4362</v>
      </c>
      <c r="I21181" t="s">
        <v>79</v>
      </c>
      <c r="J21181">
        <v>8.6999999999999993</v>
      </c>
      <c r="K21181">
        <v>1.68</v>
      </c>
      <c r="L21181">
        <v>17527</v>
      </c>
      <c r="M21181" t="s">
        <v>422</v>
      </c>
      <c r="N21181" t="str">
        <f t="shared" si="343"/>
        <v xml:space="preserve">12327024197 </v>
      </c>
      <c r="O21181">
        <v>230717</v>
      </c>
    </row>
    <row r="21182" spans="1:15" x14ac:dyDescent="0.25">
      <c r="A21182" t="s">
        <v>16</v>
      </c>
      <c r="B21182" t="s">
        <v>3221</v>
      </c>
      <c r="C21182">
        <v>9577</v>
      </c>
      <c r="D21182" t="s">
        <v>263</v>
      </c>
      <c r="E21182" t="s">
        <v>264</v>
      </c>
      <c r="F21182">
        <v>5.94</v>
      </c>
      <c r="G21182">
        <v>230704</v>
      </c>
      <c r="H21182">
        <v>4362</v>
      </c>
      <c r="I21182" t="s">
        <v>79</v>
      </c>
      <c r="J21182">
        <v>7.37</v>
      </c>
      <c r="K21182">
        <v>1.43</v>
      </c>
      <c r="L21182">
        <v>17529</v>
      </c>
      <c r="M21182" t="s">
        <v>453</v>
      </c>
      <c r="N21182" t="str">
        <f t="shared" si="343"/>
        <v xml:space="preserve">12327024197 </v>
      </c>
      <c r="O21182">
        <v>230717</v>
      </c>
    </row>
    <row r="21183" spans="1:15" x14ac:dyDescent="0.25">
      <c r="A21183" t="s">
        <v>16</v>
      </c>
      <c r="B21183" t="s">
        <v>3221</v>
      </c>
      <c r="C21183">
        <v>9577</v>
      </c>
      <c r="D21183" t="s">
        <v>263</v>
      </c>
      <c r="E21183" t="s">
        <v>264</v>
      </c>
      <c r="F21183">
        <v>7.85</v>
      </c>
      <c r="G21183">
        <v>230704</v>
      </c>
      <c r="H21183">
        <v>4362</v>
      </c>
      <c r="I21183" t="s">
        <v>79</v>
      </c>
      <c r="J21183">
        <v>9.73</v>
      </c>
      <c r="K21183">
        <v>1.88</v>
      </c>
      <c r="L21183">
        <v>17530</v>
      </c>
      <c r="M21183" t="s">
        <v>454</v>
      </c>
      <c r="N21183" t="str">
        <f t="shared" si="343"/>
        <v xml:space="preserve">12327024197 </v>
      </c>
      <c r="O21183">
        <v>230717</v>
      </c>
    </row>
    <row r="21184" spans="1:15" x14ac:dyDescent="0.25">
      <c r="A21184" t="s">
        <v>16</v>
      </c>
      <c r="B21184" t="s">
        <v>3221</v>
      </c>
      <c r="C21184">
        <v>9577</v>
      </c>
      <c r="D21184" t="s">
        <v>263</v>
      </c>
      <c r="E21184" t="s">
        <v>264</v>
      </c>
      <c r="F21184">
        <v>18.45</v>
      </c>
      <c r="G21184">
        <v>230704</v>
      </c>
      <c r="H21184">
        <v>4362</v>
      </c>
      <c r="I21184" t="s">
        <v>79</v>
      </c>
      <c r="J21184">
        <v>22.88</v>
      </c>
      <c r="K21184">
        <v>4.43</v>
      </c>
      <c r="L21184">
        <v>17531</v>
      </c>
      <c r="M21184" t="s">
        <v>136</v>
      </c>
      <c r="N21184" t="str">
        <f t="shared" si="343"/>
        <v xml:space="preserve">12327024197 </v>
      </c>
      <c r="O21184">
        <v>230717</v>
      </c>
    </row>
    <row r="21185" spans="1:15" x14ac:dyDescent="0.25">
      <c r="A21185" t="s">
        <v>16</v>
      </c>
      <c r="B21185" t="s">
        <v>3221</v>
      </c>
      <c r="C21185">
        <v>9577</v>
      </c>
      <c r="D21185" t="s">
        <v>263</v>
      </c>
      <c r="E21185" t="s">
        <v>264</v>
      </c>
      <c r="F21185">
        <v>10.35</v>
      </c>
      <c r="G21185">
        <v>230704</v>
      </c>
      <c r="H21185">
        <v>4362</v>
      </c>
      <c r="I21185" t="s">
        <v>79</v>
      </c>
      <c r="J21185">
        <v>12.83</v>
      </c>
      <c r="K21185">
        <v>2.48</v>
      </c>
      <c r="L21185">
        <v>17532</v>
      </c>
      <c r="M21185" t="s">
        <v>543</v>
      </c>
      <c r="N21185" t="str">
        <f t="shared" si="343"/>
        <v xml:space="preserve">12327024197 </v>
      </c>
      <c r="O21185">
        <v>230717</v>
      </c>
    </row>
    <row r="21186" spans="1:15" x14ac:dyDescent="0.25">
      <c r="A21186" t="s">
        <v>16</v>
      </c>
      <c r="B21186" t="s">
        <v>3221</v>
      </c>
      <c r="C21186">
        <v>9577</v>
      </c>
      <c r="D21186" t="s">
        <v>263</v>
      </c>
      <c r="E21186" t="s">
        <v>264</v>
      </c>
      <c r="F21186">
        <v>5.4</v>
      </c>
      <c r="G21186">
        <v>230704</v>
      </c>
      <c r="H21186">
        <v>4362</v>
      </c>
      <c r="I21186" t="s">
        <v>79</v>
      </c>
      <c r="J21186">
        <v>6.7</v>
      </c>
      <c r="K21186">
        <v>1.3</v>
      </c>
      <c r="L21186">
        <v>17533</v>
      </c>
      <c r="M21186" t="s">
        <v>990</v>
      </c>
      <c r="N21186" t="str">
        <f t="shared" si="343"/>
        <v xml:space="preserve">12327024197 </v>
      </c>
      <c r="O21186">
        <v>230717</v>
      </c>
    </row>
    <row r="21187" spans="1:15" x14ac:dyDescent="0.25">
      <c r="A21187" t="s">
        <v>16</v>
      </c>
      <c r="B21187" t="s">
        <v>3221</v>
      </c>
      <c r="C21187">
        <v>9577</v>
      </c>
      <c r="D21187" t="s">
        <v>263</v>
      </c>
      <c r="E21187" t="s">
        <v>264</v>
      </c>
      <c r="F21187">
        <v>5.4</v>
      </c>
      <c r="G21187">
        <v>230704</v>
      </c>
      <c r="H21187">
        <v>4362</v>
      </c>
      <c r="I21187" t="s">
        <v>79</v>
      </c>
      <c r="J21187">
        <v>6.7</v>
      </c>
      <c r="K21187">
        <v>1.3</v>
      </c>
      <c r="L21187">
        <v>17534</v>
      </c>
      <c r="M21187" t="s">
        <v>440</v>
      </c>
      <c r="N21187" t="str">
        <f t="shared" si="343"/>
        <v xml:space="preserve">12327024197 </v>
      </c>
      <c r="O21187">
        <v>230717</v>
      </c>
    </row>
    <row r="21188" spans="1:15" x14ac:dyDescent="0.25">
      <c r="A21188" t="s">
        <v>16</v>
      </c>
      <c r="B21188" t="s">
        <v>3221</v>
      </c>
      <c r="C21188">
        <v>9577</v>
      </c>
      <c r="D21188" t="s">
        <v>263</v>
      </c>
      <c r="E21188" t="s">
        <v>264</v>
      </c>
      <c r="F21188">
        <v>2.7</v>
      </c>
      <c r="G21188">
        <v>230704</v>
      </c>
      <c r="H21188">
        <v>4362</v>
      </c>
      <c r="I21188" t="s">
        <v>79</v>
      </c>
      <c r="J21188">
        <v>3.35</v>
      </c>
      <c r="K21188">
        <v>0.65</v>
      </c>
      <c r="L21188">
        <v>17535</v>
      </c>
      <c r="M21188" t="s">
        <v>357</v>
      </c>
      <c r="N21188" t="str">
        <f t="shared" si="343"/>
        <v xml:space="preserve">12327024197 </v>
      </c>
      <c r="O21188">
        <v>230717</v>
      </c>
    </row>
    <row r="21189" spans="1:15" x14ac:dyDescent="0.25">
      <c r="A21189" t="s">
        <v>16</v>
      </c>
      <c r="B21189" t="s">
        <v>3221</v>
      </c>
      <c r="C21189">
        <v>9577</v>
      </c>
      <c r="D21189" t="s">
        <v>263</v>
      </c>
      <c r="E21189" t="s">
        <v>264</v>
      </c>
      <c r="F21189">
        <v>5.4</v>
      </c>
      <c r="G21189">
        <v>230704</v>
      </c>
      <c r="H21189">
        <v>4362</v>
      </c>
      <c r="I21189" t="s">
        <v>79</v>
      </c>
      <c r="J21189">
        <v>6.7</v>
      </c>
      <c r="K21189">
        <v>1.3</v>
      </c>
      <c r="L21189">
        <v>17536</v>
      </c>
      <c r="M21189" t="s">
        <v>734</v>
      </c>
      <c r="N21189" t="str">
        <f t="shared" si="343"/>
        <v xml:space="preserve">12327024197 </v>
      </c>
      <c r="O21189">
        <v>230717</v>
      </c>
    </row>
    <row r="21190" spans="1:15" x14ac:dyDescent="0.25">
      <c r="A21190" t="s">
        <v>16</v>
      </c>
      <c r="B21190" t="s">
        <v>3221</v>
      </c>
      <c r="C21190">
        <v>9577</v>
      </c>
      <c r="D21190" t="s">
        <v>263</v>
      </c>
      <c r="E21190" t="s">
        <v>264</v>
      </c>
      <c r="F21190">
        <v>7.95</v>
      </c>
      <c r="G21190">
        <v>230704</v>
      </c>
      <c r="H21190">
        <v>4362</v>
      </c>
      <c r="I21190" t="s">
        <v>79</v>
      </c>
      <c r="J21190">
        <v>9.86</v>
      </c>
      <c r="K21190">
        <v>1.91</v>
      </c>
      <c r="L21190">
        <v>17537</v>
      </c>
      <c r="M21190" t="s">
        <v>455</v>
      </c>
      <c r="N21190" t="str">
        <f t="shared" si="343"/>
        <v xml:space="preserve">12327024197 </v>
      </c>
      <c r="O21190">
        <v>230717</v>
      </c>
    </row>
    <row r="21191" spans="1:15" x14ac:dyDescent="0.25">
      <c r="A21191" t="s">
        <v>16</v>
      </c>
      <c r="B21191" t="s">
        <v>3221</v>
      </c>
      <c r="C21191">
        <v>9577</v>
      </c>
      <c r="D21191" t="s">
        <v>263</v>
      </c>
      <c r="E21191" t="s">
        <v>264</v>
      </c>
      <c r="F21191">
        <v>10.65</v>
      </c>
      <c r="G21191">
        <v>230704</v>
      </c>
      <c r="H21191">
        <v>4362</v>
      </c>
      <c r="I21191" t="s">
        <v>79</v>
      </c>
      <c r="J21191">
        <v>13.21</v>
      </c>
      <c r="K21191">
        <v>2.56</v>
      </c>
      <c r="L21191">
        <v>17538</v>
      </c>
      <c r="M21191" t="s">
        <v>24</v>
      </c>
      <c r="N21191" t="str">
        <f t="shared" si="343"/>
        <v xml:space="preserve">12327024197 </v>
      </c>
      <c r="O21191">
        <v>230717</v>
      </c>
    </row>
    <row r="21192" spans="1:15" x14ac:dyDescent="0.25">
      <c r="A21192" t="s">
        <v>16</v>
      </c>
      <c r="B21192" t="s">
        <v>3221</v>
      </c>
      <c r="C21192">
        <v>9577</v>
      </c>
      <c r="D21192" t="s">
        <v>263</v>
      </c>
      <c r="E21192" t="s">
        <v>264</v>
      </c>
      <c r="F21192">
        <v>2.4</v>
      </c>
      <c r="G21192">
        <v>230704</v>
      </c>
      <c r="H21192">
        <v>4362</v>
      </c>
      <c r="I21192" t="s">
        <v>79</v>
      </c>
      <c r="J21192">
        <v>2.98</v>
      </c>
      <c r="K21192">
        <v>0.57999999999999996</v>
      </c>
      <c r="L21192">
        <v>17950</v>
      </c>
      <c r="M21192" t="s">
        <v>86</v>
      </c>
      <c r="N21192" t="str">
        <f t="shared" si="343"/>
        <v xml:space="preserve">12327024197 </v>
      </c>
      <c r="O21192">
        <v>230717</v>
      </c>
    </row>
    <row r="21193" spans="1:15" x14ac:dyDescent="0.25">
      <c r="A21193" t="s">
        <v>16</v>
      </c>
      <c r="B21193" t="s">
        <v>3221</v>
      </c>
      <c r="C21193">
        <v>9577</v>
      </c>
      <c r="D21193" t="s">
        <v>263</v>
      </c>
      <c r="E21193" t="s">
        <v>264</v>
      </c>
      <c r="F21193">
        <v>9.61</v>
      </c>
      <c r="G21193">
        <v>230704</v>
      </c>
      <c r="H21193">
        <v>4362</v>
      </c>
      <c r="I21193" t="s">
        <v>79</v>
      </c>
      <c r="J21193">
        <v>11.92</v>
      </c>
      <c r="K21193">
        <v>2.31</v>
      </c>
      <c r="L21193">
        <v>17950</v>
      </c>
      <c r="M21193" t="s">
        <v>86</v>
      </c>
      <c r="N21193" t="str">
        <f t="shared" si="343"/>
        <v xml:space="preserve">12327024197 </v>
      </c>
      <c r="O21193">
        <v>230717</v>
      </c>
    </row>
    <row r="21194" spans="1:15" x14ac:dyDescent="0.25">
      <c r="A21194" t="s">
        <v>16</v>
      </c>
      <c r="B21194" t="s">
        <v>3221</v>
      </c>
      <c r="C21194">
        <v>9577</v>
      </c>
      <c r="D21194" t="s">
        <v>263</v>
      </c>
      <c r="E21194" t="s">
        <v>264</v>
      </c>
      <c r="F21194">
        <v>14.11</v>
      </c>
      <c r="G21194">
        <v>230704</v>
      </c>
      <c r="H21194">
        <v>4362</v>
      </c>
      <c r="I21194" t="s">
        <v>79</v>
      </c>
      <c r="J21194">
        <v>17.5</v>
      </c>
      <c r="K21194">
        <v>3.39</v>
      </c>
      <c r="L21194">
        <v>17971</v>
      </c>
      <c r="M21194" t="s">
        <v>138</v>
      </c>
      <c r="N21194" t="str">
        <f t="shared" si="343"/>
        <v xml:space="preserve">12327024197 </v>
      </c>
      <c r="O21194">
        <v>230717</v>
      </c>
    </row>
    <row r="21195" spans="1:15" x14ac:dyDescent="0.25">
      <c r="A21195" t="s">
        <v>16</v>
      </c>
      <c r="B21195" t="s">
        <v>3221</v>
      </c>
      <c r="C21195">
        <v>9577</v>
      </c>
      <c r="D21195" t="s">
        <v>263</v>
      </c>
      <c r="E21195" t="s">
        <v>264</v>
      </c>
      <c r="F21195">
        <v>2.7</v>
      </c>
      <c r="G21195">
        <v>230704</v>
      </c>
      <c r="H21195">
        <v>4362</v>
      </c>
      <c r="I21195" t="s">
        <v>79</v>
      </c>
      <c r="J21195">
        <v>3.35</v>
      </c>
      <c r="K21195">
        <v>0.65</v>
      </c>
      <c r="L21195">
        <v>17972</v>
      </c>
      <c r="M21195" t="s">
        <v>248</v>
      </c>
      <c r="N21195" t="str">
        <f t="shared" si="343"/>
        <v xml:space="preserve">12327024197 </v>
      </c>
      <c r="O21195">
        <v>230717</v>
      </c>
    </row>
    <row r="21196" spans="1:15" x14ac:dyDescent="0.25">
      <c r="A21196" t="s">
        <v>16</v>
      </c>
      <c r="B21196" t="s">
        <v>3221</v>
      </c>
      <c r="C21196">
        <v>9577</v>
      </c>
      <c r="D21196" t="s">
        <v>263</v>
      </c>
      <c r="E21196" t="s">
        <v>264</v>
      </c>
      <c r="F21196">
        <v>2.7</v>
      </c>
      <c r="G21196">
        <v>230704</v>
      </c>
      <c r="H21196">
        <v>4362</v>
      </c>
      <c r="I21196" t="s">
        <v>79</v>
      </c>
      <c r="J21196">
        <v>3.35</v>
      </c>
      <c r="K21196">
        <v>0.65</v>
      </c>
      <c r="L21196">
        <v>17974</v>
      </c>
      <c r="M21196" t="s">
        <v>460</v>
      </c>
      <c r="N21196" t="str">
        <f t="shared" si="343"/>
        <v xml:space="preserve">12327024197 </v>
      </c>
      <c r="O21196">
        <v>230717</v>
      </c>
    </row>
    <row r="21197" spans="1:15" x14ac:dyDescent="0.25">
      <c r="A21197" t="s">
        <v>16</v>
      </c>
      <c r="B21197" t="s">
        <v>3221</v>
      </c>
      <c r="C21197">
        <v>9577</v>
      </c>
      <c r="D21197" t="s">
        <v>263</v>
      </c>
      <c r="E21197" t="s">
        <v>264</v>
      </c>
      <c r="F21197">
        <v>8.58</v>
      </c>
      <c r="G21197">
        <v>230704</v>
      </c>
      <c r="H21197">
        <v>4362</v>
      </c>
      <c r="I21197" t="s">
        <v>79</v>
      </c>
      <c r="J21197">
        <v>10.64</v>
      </c>
      <c r="K21197">
        <v>2.06</v>
      </c>
      <c r="L21197">
        <v>17975</v>
      </c>
      <c r="M21197" t="s">
        <v>798</v>
      </c>
      <c r="N21197" t="str">
        <f t="shared" si="343"/>
        <v xml:space="preserve">12327024197 </v>
      </c>
      <c r="O21197">
        <v>230717</v>
      </c>
    </row>
    <row r="21198" spans="1:15" x14ac:dyDescent="0.25">
      <c r="A21198" t="s">
        <v>16</v>
      </c>
      <c r="B21198" t="s">
        <v>3221</v>
      </c>
      <c r="C21198">
        <v>9578</v>
      </c>
      <c r="D21198" t="s">
        <v>263</v>
      </c>
      <c r="E21198" t="s">
        <v>264</v>
      </c>
      <c r="F21198">
        <v>5.4</v>
      </c>
      <c r="G21198">
        <v>230704</v>
      </c>
      <c r="H21198">
        <v>4362</v>
      </c>
      <c r="I21198" t="s">
        <v>79</v>
      </c>
      <c r="J21198">
        <v>6.7</v>
      </c>
      <c r="K21198">
        <v>1.3</v>
      </c>
      <c r="L21198">
        <v>49112</v>
      </c>
      <c r="M21198" t="s">
        <v>233</v>
      </c>
      <c r="N21198" t="str">
        <f>"12327024190 "</f>
        <v xml:space="preserve">12327024190 </v>
      </c>
      <c r="O21198">
        <v>230717</v>
      </c>
    </row>
    <row r="21199" spans="1:15" x14ac:dyDescent="0.25">
      <c r="A21199" t="s">
        <v>16</v>
      </c>
      <c r="B21199" t="s">
        <v>3221</v>
      </c>
      <c r="C21199">
        <v>9579</v>
      </c>
      <c r="D21199" t="s">
        <v>263</v>
      </c>
      <c r="E21199" t="s">
        <v>264</v>
      </c>
      <c r="F21199">
        <v>22.12</v>
      </c>
      <c r="G21199">
        <v>230704</v>
      </c>
      <c r="H21199">
        <v>4362</v>
      </c>
      <c r="I21199" t="s">
        <v>79</v>
      </c>
      <c r="J21199">
        <v>27.43</v>
      </c>
      <c r="K21199">
        <v>5.31</v>
      </c>
      <c r="L21199">
        <v>13601</v>
      </c>
      <c r="M21199" t="s">
        <v>147</v>
      </c>
      <c r="N21199" t="str">
        <f>"12327024200 "</f>
        <v xml:space="preserve">12327024200 </v>
      </c>
      <c r="O21199">
        <v>230717</v>
      </c>
    </row>
    <row r="21200" spans="1:15" x14ac:dyDescent="0.25">
      <c r="A21200" t="s">
        <v>16</v>
      </c>
      <c r="B21200" t="s">
        <v>3221</v>
      </c>
      <c r="C21200">
        <v>9580</v>
      </c>
      <c r="D21200" t="s">
        <v>263</v>
      </c>
      <c r="E21200" t="s">
        <v>264</v>
      </c>
      <c r="F21200">
        <v>10.81</v>
      </c>
      <c r="G21200">
        <v>230704</v>
      </c>
      <c r="H21200">
        <v>4362</v>
      </c>
      <c r="I21200" t="s">
        <v>79</v>
      </c>
      <c r="J21200">
        <v>13.4</v>
      </c>
      <c r="K21200">
        <v>2.59</v>
      </c>
      <c r="L21200">
        <v>17131</v>
      </c>
      <c r="M21200" t="s">
        <v>64</v>
      </c>
      <c r="N21200" t="str">
        <f t="shared" ref="N21200:N21210" si="344">"12327024196 "</f>
        <v xml:space="preserve">12327024196 </v>
      </c>
      <c r="O21200">
        <v>230717</v>
      </c>
    </row>
    <row r="21201" spans="1:15" x14ac:dyDescent="0.25">
      <c r="A21201" t="s">
        <v>16</v>
      </c>
      <c r="B21201" t="s">
        <v>3221</v>
      </c>
      <c r="C21201">
        <v>9580</v>
      </c>
      <c r="D21201" t="s">
        <v>263</v>
      </c>
      <c r="E21201" t="s">
        <v>264</v>
      </c>
      <c r="F21201">
        <v>2.7</v>
      </c>
      <c r="G21201">
        <v>230704</v>
      </c>
      <c r="H21201">
        <v>4362</v>
      </c>
      <c r="I21201" t="s">
        <v>79</v>
      </c>
      <c r="J21201">
        <v>3.35</v>
      </c>
      <c r="K21201">
        <v>0.65</v>
      </c>
      <c r="L21201">
        <v>17147</v>
      </c>
      <c r="M21201" t="s">
        <v>1734</v>
      </c>
      <c r="N21201" t="str">
        <f t="shared" si="344"/>
        <v xml:space="preserve">12327024196 </v>
      </c>
      <c r="O21201">
        <v>230717</v>
      </c>
    </row>
    <row r="21202" spans="1:15" x14ac:dyDescent="0.25">
      <c r="A21202" t="s">
        <v>16</v>
      </c>
      <c r="B21202" t="s">
        <v>3221</v>
      </c>
      <c r="C21202">
        <v>9580</v>
      </c>
      <c r="D21202" t="s">
        <v>263</v>
      </c>
      <c r="E21202" t="s">
        <v>264</v>
      </c>
      <c r="F21202">
        <v>11</v>
      </c>
      <c r="G21202">
        <v>230704</v>
      </c>
      <c r="H21202">
        <v>4362</v>
      </c>
      <c r="I21202" t="s">
        <v>79</v>
      </c>
      <c r="J21202">
        <v>13.64</v>
      </c>
      <c r="K21202">
        <v>2.64</v>
      </c>
      <c r="L21202">
        <v>17711</v>
      </c>
      <c r="M21202" t="s">
        <v>65</v>
      </c>
      <c r="N21202" t="str">
        <f t="shared" si="344"/>
        <v xml:space="preserve">12327024196 </v>
      </c>
      <c r="O21202">
        <v>230717</v>
      </c>
    </row>
    <row r="21203" spans="1:15" x14ac:dyDescent="0.25">
      <c r="A21203" t="s">
        <v>16</v>
      </c>
      <c r="B21203" t="s">
        <v>3221</v>
      </c>
      <c r="C21203">
        <v>9580</v>
      </c>
      <c r="D21203" t="s">
        <v>263</v>
      </c>
      <c r="E21203" t="s">
        <v>264</v>
      </c>
      <c r="F21203">
        <v>17.75</v>
      </c>
      <c r="G21203">
        <v>230704</v>
      </c>
      <c r="H21203">
        <v>4362</v>
      </c>
      <c r="I21203" t="s">
        <v>79</v>
      </c>
      <c r="J21203">
        <v>22.01</v>
      </c>
      <c r="K21203">
        <v>4.26</v>
      </c>
      <c r="L21203">
        <v>17711</v>
      </c>
      <c r="M21203" t="s">
        <v>65</v>
      </c>
      <c r="N21203" t="str">
        <f t="shared" si="344"/>
        <v xml:space="preserve">12327024196 </v>
      </c>
      <c r="O21203">
        <v>230717</v>
      </c>
    </row>
    <row r="21204" spans="1:15" x14ac:dyDescent="0.25">
      <c r="A21204" t="s">
        <v>16</v>
      </c>
      <c r="B21204" t="s">
        <v>3221</v>
      </c>
      <c r="C21204">
        <v>9580</v>
      </c>
      <c r="D21204" t="s">
        <v>263</v>
      </c>
      <c r="E21204" t="s">
        <v>264</v>
      </c>
      <c r="F21204">
        <v>5.67</v>
      </c>
      <c r="G21204">
        <v>230704</v>
      </c>
      <c r="H21204">
        <v>4362</v>
      </c>
      <c r="I21204" t="s">
        <v>79</v>
      </c>
      <c r="J21204">
        <v>7.03</v>
      </c>
      <c r="K21204">
        <v>1.36</v>
      </c>
      <c r="L21204">
        <v>17737</v>
      </c>
      <c r="M21204" t="s">
        <v>279</v>
      </c>
      <c r="N21204" t="str">
        <f t="shared" si="344"/>
        <v xml:space="preserve">12327024196 </v>
      </c>
      <c r="O21204">
        <v>230717</v>
      </c>
    </row>
    <row r="21205" spans="1:15" x14ac:dyDescent="0.25">
      <c r="A21205" t="s">
        <v>16</v>
      </c>
      <c r="B21205" t="s">
        <v>3221</v>
      </c>
      <c r="C21205">
        <v>9580</v>
      </c>
      <c r="D21205" t="s">
        <v>263</v>
      </c>
      <c r="E21205" t="s">
        <v>264</v>
      </c>
      <c r="F21205">
        <v>17.510000000000002</v>
      </c>
      <c r="G21205">
        <v>230704</v>
      </c>
      <c r="H21205">
        <v>4362</v>
      </c>
      <c r="I21205" t="s">
        <v>79</v>
      </c>
      <c r="J21205">
        <v>21.71</v>
      </c>
      <c r="K21205">
        <v>4.2</v>
      </c>
      <c r="L21205">
        <v>17737</v>
      </c>
      <c r="M21205" t="s">
        <v>279</v>
      </c>
      <c r="N21205" t="str">
        <f t="shared" si="344"/>
        <v xml:space="preserve">12327024196 </v>
      </c>
      <c r="O21205">
        <v>230717</v>
      </c>
    </row>
    <row r="21206" spans="1:15" x14ac:dyDescent="0.25">
      <c r="A21206" t="s">
        <v>16</v>
      </c>
      <c r="B21206" t="s">
        <v>3221</v>
      </c>
      <c r="C21206">
        <v>9580</v>
      </c>
      <c r="D21206" t="s">
        <v>263</v>
      </c>
      <c r="E21206" t="s">
        <v>264</v>
      </c>
      <c r="F21206">
        <v>2.7</v>
      </c>
      <c r="G21206">
        <v>230704</v>
      </c>
      <c r="H21206">
        <v>4362</v>
      </c>
      <c r="I21206" t="s">
        <v>79</v>
      </c>
      <c r="J21206">
        <v>3.35</v>
      </c>
      <c r="K21206">
        <v>0.65</v>
      </c>
      <c r="L21206">
        <v>17912</v>
      </c>
      <c r="M21206" t="s">
        <v>419</v>
      </c>
      <c r="N21206" t="str">
        <f t="shared" si="344"/>
        <v xml:space="preserve">12327024196 </v>
      </c>
      <c r="O21206">
        <v>230717</v>
      </c>
    </row>
    <row r="21207" spans="1:15" x14ac:dyDescent="0.25">
      <c r="A21207" t="s">
        <v>16</v>
      </c>
      <c r="B21207" t="s">
        <v>3221</v>
      </c>
      <c r="C21207">
        <v>9580</v>
      </c>
      <c r="D21207" t="s">
        <v>263</v>
      </c>
      <c r="E21207" t="s">
        <v>264</v>
      </c>
      <c r="F21207">
        <v>2.7</v>
      </c>
      <c r="G21207">
        <v>230704</v>
      </c>
      <c r="H21207">
        <v>4362</v>
      </c>
      <c r="I21207" t="s">
        <v>79</v>
      </c>
      <c r="J21207">
        <v>3.35</v>
      </c>
      <c r="K21207">
        <v>0.65</v>
      </c>
      <c r="L21207">
        <v>17915</v>
      </c>
      <c r="M21207" t="s">
        <v>572</v>
      </c>
      <c r="N21207" t="str">
        <f t="shared" si="344"/>
        <v xml:space="preserve">12327024196 </v>
      </c>
      <c r="O21207">
        <v>230717</v>
      </c>
    </row>
    <row r="21208" spans="1:15" x14ac:dyDescent="0.25">
      <c r="A21208" t="s">
        <v>16</v>
      </c>
      <c r="B21208" t="s">
        <v>3221</v>
      </c>
      <c r="C21208">
        <v>9580</v>
      </c>
      <c r="D21208" t="s">
        <v>263</v>
      </c>
      <c r="E21208" t="s">
        <v>264</v>
      </c>
      <c r="F21208">
        <v>13.47</v>
      </c>
      <c r="G21208">
        <v>230704</v>
      </c>
      <c r="H21208">
        <v>4362</v>
      </c>
      <c r="I21208" t="s">
        <v>79</v>
      </c>
      <c r="J21208">
        <v>16.7</v>
      </c>
      <c r="K21208">
        <v>3.23</v>
      </c>
      <c r="L21208">
        <v>17952</v>
      </c>
      <c r="M21208" t="s">
        <v>88</v>
      </c>
      <c r="N21208" t="str">
        <f t="shared" si="344"/>
        <v xml:space="preserve">12327024196 </v>
      </c>
      <c r="O21208">
        <v>230717</v>
      </c>
    </row>
    <row r="21209" spans="1:15" x14ac:dyDescent="0.25">
      <c r="A21209" t="s">
        <v>16</v>
      </c>
      <c r="B21209" t="s">
        <v>3221</v>
      </c>
      <c r="C21209">
        <v>9580</v>
      </c>
      <c r="D21209" t="s">
        <v>263</v>
      </c>
      <c r="E21209" t="s">
        <v>264</v>
      </c>
      <c r="F21209">
        <v>21.55</v>
      </c>
      <c r="G21209">
        <v>230704</v>
      </c>
      <c r="H21209">
        <v>4362</v>
      </c>
      <c r="I21209" t="s">
        <v>79</v>
      </c>
      <c r="J21209">
        <v>26.72</v>
      </c>
      <c r="K21209">
        <v>5.17</v>
      </c>
      <c r="L21209">
        <v>17971</v>
      </c>
      <c r="M21209" t="s">
        <v>138</v>
      </c>
      <c r="N21209" t="str">
        <f t="shared" si="344"/>
        <v xml:space="preserve">12327024196 </v>
      </c>
      <c r="O21209">
        <v>230717</v>
      </c>
    </row>
    <row r="21210" spans="1:15" x14ac:dyDescent="0.25">
      <c r="A21210" t="s">
        <v>16</v>
      </c>
      <c r="B21210" t="s">
        <v>3221</v>
      </c>
      <c r="C21210">
        <v>9580</v>
      </c>
      <c r="D21210" t="s">
        <v>263</v>
      </c>
      <c r="E21210" t="s">
        <v>264</v>
      </c>
      <c r="F21210">
        <v>5.8</v>
      </c>
      <c r="G21210">
        <v>230704</v>
      </c>
      <c r="H21210">
        <v>4362</v>
      </c>
      <c r="I21210" t="s">
        <v>79</v>
      </c>
      <c r="J21210">
        <v>7.19</v>
      </c>
      <c r="K21210">
        <v>1.39</v>
      </c>
      <c r="L21210">
        <v>17972</v>
      </c>
      <c r="M21210" t="s">
        <v>248</v>
      </c>
      <c r="N21210" t="str">
        <f t="shared" si="344"/>
        <v xml:space="preserve">12327024196 </v>
      </c>
      <c r="O21210">
        <v>230717</v>
      </c>
    </row>
    <row r="21211" spans="1:15" x14ac:dyDescent="0.25">
      <c r="A21211" t="s">
        <v>16</v>
      </c>
      <c r="B21211" t="s">
        <v>3221</v>
      </c>
      <c r="C21211">
        <v>9581</v>
      </c>
      <c r="D21211" t="s">
        <v>263</v>
      </c>
      <c r="E21211" t="s">
        <v>264</v>
      </c>
      <c r="F21211">
        <v>1.88</v>
      </c>
      <c r="G21211">
        <v>230704</v>
      </c>
      <c r="H21211">
        <v>4362</v>
      </c>
      <c r="I21211" t="s">
        <v>79</v>
      </c>
      <c r="J21211">
        <v>2.33</v>
      </c>
      <c r="K21211">
        <v>0.45</v>
      </c>
      <c r="L21211">
        <v>41126</v>
      </c>
      <c r="M21211" t="s">
        <v>761</v>
      </c>
      <c r="N21211" t="str">
        <f t="shared" ref="N21211:N21216" si="345">"12327024193 "</f>
        <v xml:space="preserve">12327024193 </v>
      </c>
      <c r="O21211">
        <v>230717</v>
      </c>
    </row>
    <row r="21212" spans="1:15" x14ac:dyDescent="0.25">
      <c r="A21212" t="s">
        <v>16</v>
      </c>
      <c r="B21212" t="s">
        <v>3221</v>
      </c>
      <c r="C21212">
        <v>9581</v>
      </c>
      <c r="D21212" t="s">
        <v>263</v>
      </c>
      <c r="E21212" t="s">
        <v>264</v>
      </c>
      <c r="F21212">
        <v>1.45</v>
      </c>
      <c r="G21212">
        <v>230704</v>
      </c>
      <c r="H21212">
        <v>4362</v>
      </c>
      <c r="I21212" t="s">
        <v>79</v>
      </c>
      <c r="J21212">
        <v>1.8</v>
      </c>
      <c r="K21212">
        <v>0.35</v>
      </c>
      <c r="L21212">
        <v>43222</v>
      </c>
      <c r="M21212" t="s">
        <v>507</v>
      </c>
      <c r="N21212" t="str">
        <f t="shared" si="345"/>
        <v xml:space="preserve">12327024193 </v>
      </c>
      <c r="O21212">
        <v>230717</v>
      </c>
    </row>
    <row r="21213" spans="1:15" x14ac:dyDescent="0.25">
      <c r="A21213" t="s">
        <v>16</v>
      </c>
      <c r="B21213" t="s">
        <v>3221</v>
      </c>
      <c r="C21213">
        <v>9581</v>
      </c>
      <c r="D21213" t="s">
        <v>263</v>
      </c>
      <c r="E21213" t="s">
        <v>264</v>
      </c>
      <c r="F21213">
        <v>1.74</v>
      </c>
      <c r="G21213">
        <v>230704</v>
      </c>
      <c r="H21213">
        <v>4362</v>
      </c>
      <c r="I21213" t="s">
        <v>79</v>
      </c>
      <c r="J21213">
        <v>2.16</v>
      </c>
      <c r="K21213">
        <v>0.42</v>
      </c>
      <c r="L21213">
        <v>44222</v>
      </c>
      <c r="M21213" t="s">
        <v>232</v>
      </c>
      <c r="N21213" t="str">
        <f t="shared" si="345"/>
        <v xml:space="preserve">12327024193 </v>
      </c>
      <c r="O21213">
        <v>230717</v>
      </c>
    </row>
    <row r="21214" spans="1:15" x14ac:dyDescent="0.25">
      <c r="A21214" t="s">
        <v>16</v>
      </c>
      <c r="B21214" t="s">
        <v>3221</v>
      </c>
      <c r="C21214">
        <v>9581</v>
      </c>
      <c r="D21214" t="s">
        <v>263</v>
      </c>
      <c r="E21214" t="s">
        <v>264</v>
      </c>
      <c r="F21214">
        <v>1.89</v>
      </c>
      <c r="G21214">
        <v>230704</v>
      </c>
      <c r="H21214">
        <v>4362</v>
      </c>
      <c r="I21214" t="s">
        <v>79</v>
      </c>
      <c r="J21214">
        <v>2.34</v>
      </c>
      <c r="K21214">
        <v>0.45</v>
      </c>
      <c r="L21214">
        <v>44424</v>
      </c>
      <c r="M21214" t="s">
        <v>776</v>
      </c>
      <c r="N21214" t="str">
        <f t="shared" si="345"/>
        <v xml:space="preserve">12327024193 </v>
      </c>
      <c r="O21214">
        <v>230717</v>
      </c>
    </row>
    <row r="21215" spans="1:15" x14ac:dyDescent="0.25">
      <c r="A21215" t="s">
        <v>16</v>
      </c>
      <c r="B21215" t="s">
        <v>3221</v>
      </c>
      <c r="C21215">
        <v>9581</v>
      </c>
      <c r="D21215" t="s">
        <v>263</v>
      </c>
      <c r="E21215" t="s">
        <v>264</v>
      </c>
      <c r="F21215">
        <v>1.02</v>
      </c>
      <c r="G21215">
        <v>230704</v>
      </c>
      <c r="H21215">
        <v>4362</v>
      </c>
      <c r="I21215" t="s">
        <v>79</v>
      </c>
      <c r="J21215">
        <v>1.26</v>
      </c>
      <c r="K21215">
        <v>0.24</v>
      </c>
      <c r="L21215">
        <v>46222</v>
      </c>
      <c r="M21215" t="s">
        <v>293</v>
      </c>
      <c r="N21215" t="str">
        <f t="shared" si="345"/>
        <v xml:space="preserve">12327024193 </v>
      </c>
      <c r="O21215">
        <v>230717</v>
      </c>
    </row>
    <row r="21216" spans="1:15" x14ac:dyDescent="0.25">
      <c r="A21216" t="s">
        <v>16</v>
      </c>
      <c r="B21216" t="s">
        <v>3221</v>
      </c>
      <c r="C21216">
        <v>9581</v>
      </c>
      <c r="D21216" t="s">
        <v>263</v>
      </c>
      <c r="E21216" t="s">
        <v>264</v>
      </c>
      <c r="F21216">
        <v>6.53</v>
      </c>
      <c r="G21216">
        <v>230704</v>
      </c>
      <c r="H21216">
        <v>4362</v>
      </c>
      <c r="I21216" t="s">
        <v>79</v>
      </c>
      <c r="J21216">
        <v>8.1</v>
      </c>
      <c r="K21216">
        <v>1.57</v>
      </c>
      <c r="L21216">
        <v>46559</v>
      </c>
      <c r="M21216" t="s">
        <v>1104</v>
      </c>
      <c r="N21216" t="str">
        <f t="shared" si="345"/>
        <v xml:space="preserve">12327024193 </v>
      </c>
      <c r="O21216">
        <v>230717</v>
      </c>
    </row>
    <row r="21217" spans="1:15" x14ac:dyDescent="0.25">
      <c r="A21217" t="s">
        <v>16</v>
      </c>
      <c r="B21217" t="s">
        <v>3221</v>
      </c>
      <c r="C21217">
        <v>9582</v>
      </c>
      <c r="D21217" t="s">
        <v>263</v>
      </c>
      <c r="E21217" t="s">
        <v>264</v>
      </c>
      <c r="F21217">
        <v>2.7</v>
      </c>
      <c r="G21217">
        <v>230704</v>
      </c>
      <c r="H21217">
        <v>4362</v>
      </c>
      <c r="I21217" t="s">
        <v>79</v>
      </c>
      <c r="J21217">
        <v>3.35</v>
      </c>
      <c r="K21217">
        <v>0.65</v>
      </c>
      <c r="L21217">
        <v>11900</v>
      </c>
      <c r="M21217" t="s">
        <v>1105</v>
      </c>
      <c r="N21217" t="str">
        <f>"12327024192 "</f>
        <v xml:space="preserve">12327024192 </v>
      </c>
      <c r="O21217">
        <v>230717</v>
      </c>
    </row>
    <row r="21218" spans="1:15" x14ac:dyDescent="0.25">
      <c r="A21218" t="s">
        <v>16</v>
      </c>
      <c r="B21218" t="s">
        <v>3221</v>
      </c>
      <c r="C21218">
        <v>9583</v>
      </c>
      <c r="D21218" t="s">
        <v>263</v>
      </c>
      <c r="E21218" t="s">
        <v>264</v>
      </c>
      <c r="F21218">
        <v>13.51</v>
      </c>
      <c r="G21218">
        <v>230704</v>
      </c>
      <c r="H21218">
        <v>4362</v>
      </c>
      <c r="I21218" t="s">
        <v>79</v>
      </c>
      <c r="J21218">
        <v>16.75</v>
      </c>
      <c r="K21218">
        <v>3.24</v>
      </c>
      <c r="L21218">
        <v>47522</v>
      </c>
      <c r="M21218" t="s">
        <v>410</v>
      </c>
      <c r="N21218" t="str">
        <f>"12327024184 "</f>
        <v xml:space="preserve">12327024184 </v>
      </c>
      <c r="O21218">
        <v>230717</v>
      </c>
    </row>
    <row r="21219" spans="1:15" x14ac:dyDescent="0.25">
      <c r="A21219" t="s">
        <v>16</v>
      </c>
      <c r="B21219" t="s">
        <v>3221</v>
      </c>
      <c r="C21219">
        <v>9583</v>
      </c>
      <c r="D21219" t="s">
        <v>263</v>
      </c>
      <c r="E21219" t="s">
        <v>264</v>
      </c>
      <c r="F21219">
        <v>3.7</v>
      </c>
      <c r="G21219">
        <v>230704</v>
      </c>
      <c r="H21219">
        <v>4362</v>
      </c>
      <c r="I21219" t="s">
        <v>79</v>
      </c>
      <c r="J21219">
        <v>3.7</v>
      </c>
      <c r="K21219">
        <v>0</v>
      </c>
      <c r="L21219">
        <v>49702</v>
      </c>
      <c r="M21219" t="s">
        <v>584</v>
      </c>
      <c r="N21219" t="str">
        <f>"12327024184 "</f>
        <v xml:space="preserve">12327024184 </v>
      </c>
      <c r="O21219">
        <v>230717</v>
      </c>
    </row>
    <row r="21220" spans="1:15" x14ac:dyDescent="0.25">
      <c r="A21220" t="s">
        <v>16</v>
      </c>
      <c r="B21220" t="s">
        <v>3221</v>
      </c>
      <c r="C21220">
        <v>9584</v>
      </c>
      <c r="D21220" t="s">
        <v>263</v>
      </c>
      <c r="E21220" t="s">
        <v>264</v>
      </c>
      <c r="F21220">
        <v>2.7</v>
      </c>
      <c r="G21220">
        <v>230704</v>
      </c>
      <c r="H21220">
        <v>4362</v>
      </c>
      <c r="I21220" t="s">
        <v>79</v>
      </c>
      <c r="J21220">
        <v>3.35</v>
      </c>
      <c r="K21220">
        <v>0.65</v>
      </c>
      <c r="L21220">
        <v>51138</v>
      </c>
      <c r="M21220" t="s">
        <v>1162</v>
      </c>
      <c r="N21220" t="str">
        <f t="shared" ref="N21220:N21227" si="346">"12327024178 "</f>
        <v xml:space="preserve">12327024178 </v>
      </c>
      <c r="O21220">
        <v>230717</v>
      </c>
    </row>
    <row r="21221" spans="1:15" x14ac:dyDescent="0.25">
      <c r="A21221" t="s">
        <v>16</v>
      </c>
      <c r="B21221" t="s">
        <v>3221</v>
      </c>
      <c r="C21221">
        <v>9584</v>
      </c>
      <c r="D21221" t="s">
        <v>263</v>
      </c>
      <c r="E21221" t="s">
        <v>264</v>
      </c>
      <c r="F21221">
        <v>17.21</v>
      </c>
      <c r="G21221">
        <v>230704</v>
      </c>
      <c r="H21221">
        <v>4362</v>
      </c>
      <c r="I21221" t="s">
        <v>79</v>
      </c>
      <c r="J21221">
        <v>21.34</v>
      </c>
      <c r="K21221">
        <v>4.13</v>
      </c>
      <c r="L21221">
        <v>54222</v>
      </c>
      <c r="M21221" t="s">
        <v>308</v>
      </c>
      <c r="N21221" t="str">
        <f t="shared" si="346"/>
        <v xml:space="preserve">12327024178 </v>
      </c>
      <c r="O21221">
        <v>230717</v>
      </c>
    </row>
    <row r="21222" spans="1:15" x14ac:dyDescent="0.25">
      <c r="A21222" t="s">
        <v>16</v>
      </c>
      <c r="B21222" t="s">
        <v>3221</v>
      </c>
      <c r="C21222">
        <v>9584</v>
      </c>
      <c r="D21222" t="s">
        <v>263</v>
      </c>
      <c r="E21222" t="s">
        <v>264</v>
      </c>
      <c r="F21222">
        <v>2.7</v>
      </c>
      <c r="G21222">
        <v>230704</v>
      </c>
      <c r="H21222">
        <v>4362</v>
      </c>
      <c r="I21222" t="s">
        <v>79</v>
      </c>
      <c r="J21222">
        <v>3.35</v>
      </c>
      <c r="K21222">
        <v>0.65</v>
      </c>
      <c r="L21222">
        <v>54251</v>
      </c>
      <c r="M21222" t="s">
        <v>309</v>
      </c>
      <c r="N21222" t="str">
        <f t="shared" si="346"/>
        <v xml:space="preserve">12327024178 </v>
      </c>
      <c r="O21222">
        <v>230717</v>
      </c>
    </row>
    <row r="21223" spans="1:15" x14ac:dyDescent="0.25">
      <c r="A21223" t="s">
        <v>16</v>
      </c>
      <c r="B21223" t="s">
        <v>3221</v>
      </c>
      <c r="C21223">
        <v>9584</v>
      </c>
      <c r="D21223" t="s">
        <v>263</v>
      </c>
      <c r="E21223" t="s">
        <v>264</v>
      </c>
      <c r="F21223">
        <v>2.7</v>
      </c>
      <c r="G21223">
        <v>230704</v>
      </c>
      <c r="H21223">
        <v>4362</v>
      </c>
      <c r="I21223" t="s">
        <v>79</v>
      </c>
      <c r="J21223">
        <v>3.35</v>
      </c>
      <c r="K21223">
        <v>0.65</v>
      </c>
      <c r="L21223">
        <v>54252</v>
      </c>
      <c r="M21223" t="s">
        <v>534</v>
      </c>
      <c r="N21223" t="str">
        <f t="shared" si="346"/>
        <v xml:space="preserve">12327024178 </v>
      </c>
      <c r="O21223">
        <v>230717</v>
      </c>
    </row>
    <row r="21224" spans="1:15" x14ac:dyDescent="0.25">
      <c r="A21224" t="s">
        <v>16</v>
      </c>
      <c r="B21224" t="s">
        <v>3221</v>
      </c>
      <c r="C21224">
        <v>9584</v>
      </c>
      <c r="D21224" t="s">
        <v>263</v>
      </c>
      <c r="E21224" t="s">
        <v>264</v>
      </c>
      <c r="F21224">
        <v>8.58</v>
      </c>
      <c r="G21224">
        <v>230704</v>
      </c>
      <c r="H21224">
        <v>4362</v>
      </c>
      <c r="I21224" t="s">
        <v>79</v>
      </c>
      <c r="J21224">
        <v>10.64</v>
      </c>
      <c r="K21224">
        <v>2.06</v>
      </c>
      <c r="L21224">
        <v>54422</v>
      </c>
      <c r="M21224" t="s">
        <v>234</v>
      </c>
      <c r="N21224" t="str">
        <f t="shared" si="346"/>
        <v xml:space="preserve">12327024178 </v>
      </c>
      <c r="O21224">
        <v>230717</v>
      </c>
    </row>
    <row r="21225" spans="1:15" x14ac:dyDescent="0.25">
      <c r="A21225" t="s">
        <v>16</v>
      </c>
      <c r="B21225" t="s">
        <v>3221</v>
      </c>
      <c r="C21225">
        <v>9584</v>
      </c>
      <c r="D21225" t="s">
        <v>263</v>
      </c>
      <c r="E21225" t="s">
        <v>264</v>
      </c>
      <c r="F21225">
        <v>5.4</v>
      </c>
      <c r="G21225">
        <v>230704</v>
      </c>
      <c r="H21225">
        <v>4362</v>
      </c>
      <c r="I21225" t="s">
        <v>79</v>
      </c>
      <c r="J21225">
        <v>6.7</v>
      </c>
      <c r="K21225">
        <v>1.3</v>
      </c>
      <c r="L21225">
        <v>54451</v>
      </c>
      <c r="M21225" t="s">
        <v>158</v>
      </c>
      <c r="N21225" t="str">
        <f t="shared" si="346"/>
        <v xml:space="preserve">12327024178 </v>
      </c>
      <c r="O21225">
        <v>230717</v>
      </c>
    </row>
    <row r="21226" spans="1:15" x14ac:dyDescent="0.25">
      <c r="A21226" t="s">
        <v>16</v>
      </c>
      <c r="B21226" t="s">
        <v>3221</v>
      </c>
      <c r="C21226">
        <v>9584</v>
      </c>
      <c r="D21226" t="s">
        <v>263</v>
      </c>
      <c r="E21226" t="s">
        <v>264</v>
      </c>
      <c r="F21226">
        <v>5.4</v>
      </c>
      <c r="G21226">
        <v>230704</v>
      </c>
      <c r="H21226">
        <v>4362</v>
      </c>
      <c r="I21226" t="s">
        <v>79</v>
      </c>
      <c r="J21226">
        <v>6.7</v>
      </c>
      <c r="K21226">
        <v>1.3</v>
      </c>
      <c r="L21226">
        <v>56563</v>
      </c>
      <c r="M21226" t="s">
        <v>953</v>
      </c>
      <c r="N21226" t="str">
        <f t="shared" si="346"/>
        <v xml:space="preserve">12327024178 </v>
      </c>
      <c r="O21226">
        <v>230717</v>
      </c>
    </row>
    <row r="21227" spans="1:15" x14ac:dyDescent="0.25">
      <c r="A21227" t="s">
        <v>16</v>
      </c>
      <c r="B21227" t="s">
        <v>3221</v>
      </c>
      <c r="C21227">
        <v>9584</v>
      </c>
      <c r="D21227" t="s">
        <v>263</v>
      </c>
      <c r="E21227" t="s">
        <v>264</v>
      </c>
      <c r="F21227">
        <v>2.7</v>
      </c>
      <c r="G21227">
        <v>230704</v>
      </c>
      <c r="H21227">
        <v>4362</v>
      </c>
      <c r="I21227" t="s">
        <v>79</v>
      </c>
      <c r="J21227">
        <v>3.35</v>
      </c>
      <c r="K21227">
        <v>0.65</v>
      </c>
      <c r="L21227">
        <v>58601</v>
      </c>
      <c r="M21227" t="s">
        <v>251</v>
      </c>
      <c r="N21227" t="str">
        <f t="shared" si="346"/>
        <v xml:space="preserve">12327024178 </v>
      </c>
      <c r="O21227">
        <v>230717</v>
      </c>
    </row>
    <row r="21228" spans="1:15" x14ac:dyDescent="0.25">
      <c r="A21228" t="s">
        <v>16</v>
      </c>
      <c r="B21228" t="s">
        <v>3221</v>
      </c>
      <c r="C21228">
        <v>9585</v>
      </c>
      <c r="D21228" t="s">
        <v>263</v>
      </c>
      <c r="E21228" t="s">
        <v>264</v>
      </c>
      <c r="F21228">
        <v>21.87</v>
      </c>
      <c r="G21228">
        <v>230704</v>
      </c>
      <c r="H21228">
        <v>4362</v>
      </c>
      <c r="I21228" t="s">
        <v>79</v>
      </c>
      <c r="J21228">
        <v>27.12</v>
      </c>
      <c r="K21228">
        <v>5.25</v>
      </c>
      <c r="L21228">
        <v>61122</v>
      </c>
      <c r="M21228" t="s">
        <v>402</v>
      </c>
      <c r="N21228" t="str">
        <f t="shared" ref="N21228:N21255" si="347">"12327024177 "</f>
        <v xml:space="preserve">12327024177 </v>
      </c>
      <c r="O21228">
        <v>230717</v>
      </c>
    </row>
    <row r="21229" spans="1:15" x14ac:dyDescent="0.25">
      <c r="A21229" t="s">
        <v>16</v>
      </c>
      <c r="B21229" t="s">
        <v>3221</v>
      </c>
      <c r="C21229">
        <v>9585</v>
      </c>
      <c r="D21229" t="s">
        <v>263</v>
      </c>
      <c r="E21229" t="s">
        <v>264</v>
      </c>
      <c r="F21229">
        <v>6.65</v>
      </c>
      <c r="G21229">
        <v>230704</v>
      </c>
      <c r="H21229">
        <v>4362</v>
      </c>
      <c r="I21229" t="s">
        <v>79</v>
      </c>
      <c r="J21229">
        <v>8.25</v>
      </c>
      <c r="K21229">
        <v>1.6</v>
      </c>
      <c r="L21229">
        <v>61122</v>
      </c>
      <c r="M21229" t="s">
        <v>402</v>
      </c>
      <c r="N21229" t="str">
        <f t="shared" si="347"/>
        <v xml:space="preserve">12327024177 </v>
      </c>
      <c r="O21229">
        <v>230717</v>
      </c>
    </row>
    <row r="21230" spans="1:15" x14ac:dyDescent="0.25">
      <c r="A21230" t="s">
        <v>16</v>
      </c>
      <c r="B21230" t="s">
        <v>3221</v>
      </c>
      <c r="C21230">
        <v>9585</v>
      </c>
      <c r="D21230" t="s">
        <v>263</v>
      </c>
      <c r="E21230" t="s">
        <v>264</v>
      </c>
      <c r="F21230">
        <v>10.93</v>
      </c>
      <c r="G21230">
        <v>230704</v>
      </c>
      <c r="H21230">
        <v>4362</v>
      </c>
      <c r="I21230" t="s">
        <v>79</v>
      </c>
      <c r="J21230">
        <v>13.55</v>
      </c>
      <c r="K21230">
        <v>2.62</v>
      </c>
      <c r="L21230">
        <v>65222</v>
      </c>
      <c r="M21230" t="s">
        <v>487</v>
      </c>
      <c r="N21230" t="str">
        <f t="shared" si="347"/>
        <v xml:space="preserve">12327024177 </v>
      </c>
      <c r="O21230">
        <v>230717</v>
      </c>
    </row>
    <row r="21231" spans="1:15" x14ac:dyDescent="0.25">
      <c r="A21231" t="s">
        <v>16</v>
      </c>
      <c r="B21231" t="s">
        <v>3221</v>
      </c>
      <c r="C21231">
        <v>9585</v>
      </c>
      <c r="D21231" t="s">
        <v>263</v>
      </c>
      <c r="E21231" t="s">
        <v>264</v>
      </c>
      <c r="F21231">
        <v>2.7</v>
      </c>
      <c r="G21231">
        <v>230704</v>
      </c>
      <c r="H21231">
        <v>4362</v>
      </c>
      <c r="I21231" t="s">
        <v>79</v>
      </c>
      <c r="J21231">
        <v>3.35</v>
      </c>
      <c r="K21231">
        <v>0.65</v>
      </c>
      <c r="L21231">
        <v>65422</v>
      </c>
      <c r="M21231" t="s">
        <v>602</v>
      </c>
      <c r="N21231" t="str">
        <f t="shared" si="347"/>
        <v xml:space="preserve">12327024177 </v>
      </c>
      <c r="O21231">
        <v>230717</v>
      </c>
    </row>
    <row r="21232" spans="1:15" x14ac:dyDescent="0.25">
      <c r="A21232" t="s">
        <v>16</v>
      </c>
      <c r="B21232" t="s">
        <v>3221</v>
      </c>
      <c r="C21232">
        <v>9585</v>
      </c>
      <c r="D21232" t="s">
        <v>263</v>
      </c>
      <c r="E21232" t="s">
        <v>264</v>
      </c>
      <c r="F21232">
        <v>8.1</v>
      </c>
      <c r="G21232">
        <v>230704</v>
      </c>
      <c r="H21232">
        <v>4362</v>
      </c>
      <c r="I21232" t="s">
        <v>79</v>
      </c>
      <c r="J21232">
        <v>10.039999999999999</v>
      </c>
      <c r="K21232">
        <v>1.94</v>
      </c>
      <c r="L21232">
        <v>66722</v>
      </c>
      <c r="M21232" t="s">
        <v>518</v>
      </c>
      <c r="N21232" t="str">
        <f t="shared" si="347"/>
        <v xml:space="preserve">12327024177 </v>
      </c>
      <c r="O21232">
        <v>230717</v>
      </c>
    </row>
    <row r="21233" spans="1:15" x14ac:dyDescent="0.25">
      <c r="A21233" t="s">
        <v>16</v>
      </c>
      <c r="B21233" t="s">
        <v>3221</v>
      </c>
      <c r="C21233">
        <v>9585</v>
      </c>
      <c r="D21233" t="s">
        <v>263</v>
      </c>
      <c r="E21233" t="s">
        <v>264</v>
      </c>
      <c r="F21233">
        <v>2.4500000000000002</v>
      </c>
      <c r="G21233">
        <v>230704</v>
      </c>
      <c r="H21233">
        <v>4362</v>
      </c>
      <c r="I21233" t="s">
        <v>79</v>
      </c>
      <c r="J21233">
        <v>3.04</v>
      </c>
      <c r="K21233">
        <v>0.59</v>
      </c>
      <c r="L21233">
        <v>66754</v>
      </c>
      <c r="M21233" t="s">
        <v>239</v>
      </c>
      <c r="N21233" t="str">
        <f t="shared" si="347"/>
        <v xml:space="preserve">12327024177 </v>
      </c>
      <c r="O21233">
        <v>230717</v>
      </c>
    </row>
    <row r="21234" spans="1:15" x14ac:dyDescent="0.25">
      <c r="A21234" t="s">
        <v>16</v>
      </c>
      <c r="B21234" t="s">
        <v>3221</v>
      </c>
      <c r="C21234">
        <v>9585</v>
      </c>
      <c r="D21234" t="s">
        <v>263</v>
      </c>
      <c r="E21234" t="s">
        <v>264</v>
      </c>
      <c r="F21234">
        <v>2.7</v>
      </c>
      <c r="G21234">
        <v>230704</v>
      </c>
      <c r="H21234">
        <v>4362</v>
      </c>
      <c r="I21234" t="s">
        <v>79</v>
      </c>
      <c r="J21234">
        <v>3.35</v>
      </c>
      <c r="K21234">
        <v>0.65</v>
      </c>
      <c r="L21234">
        <v>66754</v>
      </c>
      <c r="M21234" t="s">
        <v>239</v>
      </c>
      <c r="N21234" t="str">
        <f t="shared" si="347"/>
        <v xml:space="preserve">12327024177 </v>
      </c>
      <c r="O21234">
        <v>230717</v>
      </c>
    </row>
    <row r="21235" spans="1:15" x14ac:dyDescent="0.25">
      <c r="A21235" t="s">
        <v>16</v>
      </c>
      <c r="B21235" t="s">
        <v>3221</v>
      </c>
      <c r="C21235">
        <v>9585</v>
      </c>
      <c r="D21235" t="s">
        <v>263</v>
      </c>
      <c r="E21235" t="s">
        <v>264</v>
      </c>
      <c r="F21235">
        <v>2.7</v>
      </c>
      <c r="G21235">
        <v>230704</v>
      </c>
      <c r="H21235">
        <v>4362</v>
      </c>
      <c r="I21235" t="s">
        <v>79</v>
      </c>
      <c r="J21235">
        <v>3.35</v>
      </c>
      <c r="K21235">
        <v>0.65</v>
      </c>
      <c r="L21235">
        <v>66754</v>
      </c>
      <c r="M21235" t="s">
        <v>239</v>
      </c>
      <c r="N21235" t="str">
        <f t="shared" si="347"/>
        <v xml:space="preserve">12327024177 </v>
      </c>
      <c r="O21235">
        <v>230717</v>
      </c>
    </row>
    <row r="21236" spans="1:15" x14ac:dyDescent="0.25">
      <c r="A21236" t="s">
        <v>16</v>
      </c>
      <c r="B21236" t="s">
        <v>3221</v>
      </c>
      <c r="C21236">
        <v>9585</v>
      </c>
      <c r="D21236" t="s">
        <v>263</v>
      </c>
      <c r="E21236" t="s">
        <v>264</v>
      </c>
      <c r="F21236">
        <v>16.18</v>
      </c>
      <c r="G21236">
        <v>230704</v>
      </c>
      <c r="H21236">
        <v>4362</v>
      </c>
      <c r="I21236" t="s">
        <v>79</v>
      </c>
      <c r="J21236">
        <v>20.059999999999999</v>
      </c>
      <c r="K21236">
        <v>3.88</v>
      </c>
      <c r="L21236">
        <v>66754</v>
      </c>
      <c r="M21236" t="s">
        <v>239</v>
      </c>
      <c r="N21236" t="str">
        <f t="shared" si="347"/>
        <v xml:space="preserve">12327024177 </v>
      </c>
      <c r="O21236">
        <v>230717</v>
      </c>
    </row>
    <row r="21237" spans="1:15" x14ac:dyDescent="0.25">
      <c r="A21237" t="s">
        <v>16</v>
      </c>
      <c r="B21237" t="s">
        <v>3221</v>
      </c>
      <c r="C21237">
        <v>9585</v>
      </c>
      <c r="D21237" t="s">
        <v>263</v>
      </c>
      <c r="E21237" t="s">
        <v>264</v>
      </c>
      <c r="F21237">
        <v>5.24</v>
      </c>
      <c r="G21237">
        <v>230704</v>
      </c>
      <c r="H21237">
        <v>4362</v>
      </c>
      <c r="I21237" t="s">
        <v>79</v>
      </c>
      <c r="J21237">
        <v>6.5</v>
      </c>
      <c r="K21237">
        <v>1.26</v>
      </c>
      <c r="L21237">
        <v>66754</v>
      </c>
      <c r="M21237" t="s">
        <v>239</v>
      </c>
      <c r="N21237" t="str">
        <f t="shared" si="347"/>
        <v xml:space="preserve">12327024177 </v>
      </c>
      <c r="O21237">
        <v>230717</v>
      </c>
    </row>
    <row r="21238" spans="1:15" x14ac:dyDescent="0.25">
      <c r="A21238" t="s">
        <v>16</v>
      </c>
      <c r="B21238" t="s">
        <v>3221</v>
      </c>
      <c r="C21238">
        <v>9585</v>
      </c>
      <c r="D21238" t="s">
        <v>263</v>
      </c>
      <c r="E21238" t="s">
        <v>264</v>
      </c>
      <c r="F21238">
        <v>8.5</v>
      </c>
      <c r="G21238">
        <v>230704</v>
      </c>
      <c r="H21238">
        <v>4362</v>
      </c>
      <c r="I21238" t="s">
        <v>79</v>
      </c>
      <c r="J21238">
        <v>10.54</v>
      </c>
      <c r="K21238">
        <v>2.04</v>
      </c>
      <c r="L21238">
        <v>66756</v>
      </c>
      <c r="M21238" t="s">
        <v>209</v>
      </c>
      <c r="N21238" t="str">
        <f t="shared" si="347"/>
        <v xml:space="preserve">12327024177 </v>
      </c>
      <c r="O21238">
        <v>230717</v>
      </c>
    </row>
    <row r="21239" spans="1:15" x14ac:dyDescent="0.25">
      <c r="A21239" t="s">
        <v>16</v>
      </c>
      <c r="B21239" t="s">
        <v>3221</v>
      </c>
      <c r="C21239">
        <v>9585</v>
      </c>
      <c r="D21239" t="s">
        <v>263</v>
      </c>
      <c r="E21239" t="s">
        <v>264</v>
      </c>
      <c r="F21239">
        <v>31.84</v>
      </c>
      <c r="G21239">
        <v>230704</v>
      </c>
      <c r="H21239">
        <v>4362</v>
      </c>
      <c r="I21239" t="s">
        <v>79</v>
      </c>
      <c r="J21239">
        <v>39.479999999999997</v>
      </c>
      <c r="K21239">
        <v>7.64</v>
      </c>
      <c r="L21239">
        <v>67522</v>
      </c>
      <c r="M21239" t="s">
        <v>397</v>
      </c>
      <c r="N21239" t="str">
        <f t="shared" si="347"/>
        <v xml:space="preserve">12327024177 </v>
      </c>
      <c r="O21239">
        <v>230717</v>
      </c>
    </row>
    <row r="21240" spans="1:15" x14ac:dyDescent="0.25">
      <c r="A21240" t="s">
        <v>16</v>
      </c>
      <c r="B21240" t="s">
        <v>3221</v>
      </c>
      <c r="C21240">
        <v>9585</v>
      </c>
      <c r="D21240" t="s">
        <v>263</v>
      </c>
      <c r="E21240" t="s">
        <v>264</v>
      </c>
      <c r="F21240">
        <v>10.8</v>
      </c>
      <c r="G21240">
        <v>230704</v>
      </c>
      <c r="H21240">
        <v>4362</v>
      </c>
      <c r="I21240" t="s">
        <v>79</v>
      </c>
      <c r="J21240">
        <v>13.39</v>
      </c>
      <c r="K21240">
        <v>2.59</v>
      </c>
      <c r="L21240">
        <v>67522</v>
      </c>
      <c r="M21240" t="s">
        <v>397</v>
      </c>
      <c r="N21240" t="str">
        <f t="shared" si="347"/>
        <v xml:space="preserve">12327024177 </v>
      </c>
      <c r="O21240">
        <v>230717</v>
      </c>
    </row>
    <row r="21241" spans="1:15" x14ac:dyDescent="0.25">
      <c r="A21241" t="s">
        <v>16</v>
      </c>
      <c r="B21241" t="s">
        <v>3221</v>
      </c>
      <c r="C21241">
        <v>9585</v>
      </c>
      <c r="D21241" t="s">
        <v>263</v>
      </c>
      <c r="E21241" t="s">
        <v>264</v>
      </c>
      <c r="F21241">
        <v>2.4500000000000002</v>
      </c>
      <c r="G21241">
        <v>230704</v>
      </c>
      <c r="H21241">
        <v>4362</v>
      </c>
      <c r="I21241" t="s">
        <v>79</v>
      </c>
      <c r="J21241">
        <v>3.04</v>
      </c>
      <c r="K21241">
        <v>0.59</v>
      </c>
      <c r="L21241">
        <v>67554</v>
      </c>
      <c r="M21241" t="s">
        <v>60</v>
      </c>
      <c r="N21241" t="str">
        <f t="shared" si="347"/>
        <v xml:space="preserve">12327024177 </v>
      </c>
      <c r="O21241">
        <v>230717</v>
      </c>
    </row>
    <row r="21242" spans="1:15" x14ac:dyDescent="0.25">
      <c r="A21242" t="s">
        <v>16</v>
      </c>
      <c r="B21242" t="s">
        <v>3221</v>
      </c>
      <c r="C21242">
        <v>9585</v>
      </c>
      <c r="D21242" t="s">
        <v>263</v>
      </c>
      <c r="E21242" t="s">
        <v>264</v>
      </c>
      <c r="F21242">
        <v>2.7</v>
      </c>
      <c r="G21242">
        <v>230704</v>
      </c>
      <c r="H21242">
        <v>4362</v>
      </c>
      <c r="I21242" t="s">
        <v>79</v>
      </c>
      <c r="J21242">
        <v>3.35</v>
      </c>
      <c r="K21242">
        <v>0.65</v>
      </c>
      <c r="L21242">
        <v>67554</v>
      </c>
      <c r="M21242" t="s">
        <v>60</v>
      </c>
      <c r="N21242" t="str">
        <f t="shared" si="347"/>
        <v xml:space="preserve">12327024177 </v>
      </c>
      <c r="O21242">
        <v>230717</v>
      </c>
    </row>
    <row r="21243" spans="1:15" x14ac:dyDescent="0.25">
      <c r="A21243" t="s">
        <v>16</v>
      </c>
      <c r="B21243" t="s">
        <v>3221</v>
      </c>
      <c r="C21243">
        <v>9585</v>
      </c>
      <c r="D21243" t="s">
        <v>263</v>
      </c>
      <c r="E21243" t="s">
        <v>264</v>
      </c>
      <c r="F21243">
        <v>49.99</v>
      </c>
      <c r="G21243">
        <v>230704</v>
      </c>
      <c r="H21243">
        <v>4362</v>
      </c>
      <c r="I21243" t="s">
        <v>79</v>
      </c>
      <c r="J21243">
        <v>61.99</v>
      </c>
      <c r="K21243">
        <v>12</v>
      </c>
      <c r="L21243">
        <v>67554</v>
      </c>
      <c r="M21243" t="s">
        <v>60</v>
      </c>
      <c r="N21243" t="str">
        <f t="shared" si="347"/>
        <v xml:space="preserve">12327024177 </v>
      </c>
      <c r="O21243">
        <v>230717</v>
      </c>
    </row>
    <row r="21244" spans="1:15" x14ac:dyDescent="0.25">
      <c r="A21244" t="s">
        <v>16</v>
      </c>
      <c r="B21244" t="s">
        <v>3221</v>
      </c>
      <c r="C21244">
        <v>9585</v>
      </c>
      <c r="D21244" t="s">
        <v>263</v>
      </c>
      <c r="E21244" t="s">
        <v>264</v>
      </c>
      <c r="F21244">
        <v>2.7</v>
      </c>
      <c r="G21244">
        <v>230704</v>
      </c>
      <c r="H21244">
        <v>4362</v>
      </c>
      <c r="I21244" t="s">
        <v>79</v>
      </c>
      <c r="J21244">
        <v>3.35</v>
      </c>
      <c r="K21244">
        <v>0.65</v>
      </c>
      <c r="L21244">
        <v>67554</v>
      </c>
      <c r="M21244" t="s">
        <v>60</v>
      </c>
      <c r="N21244" t="str">
        <f t="shared" si="347"/>
        <v xml:space="preserve">12327024177 </v>
      </c>
      <c r="O21244">
        <v>230717</v>
      </c>
    </row>
    <row r="21245" spans="1:15" x14ac:dyDescent="0.25">
      <c r="A21245" t="s">
        <v>16</v>
      </c>
      <c r="B21245" t="s">
        <v>3221</v>
      </c>
      <c r="C21245">
        <v>9585</v>
      </c>
      <c r="D21245" t="s">
        <v>263</v>
      </c>
      <c r="E21245" t="s">
        <v>264</v>
      </c>
      <c r="F21245">
        <v>5.4</v>
      </c>
      <c r="G21245">
        <v>230704</v>
      </c>
      <c r="H21245">
        <v>4362</v>
      </c>
      <c r="I21245" t="s">
        <v>79</v>
      </c>
      <c r="J21245">
        <v>6.7</v>
      </c>
      <c r="K21245">
        <v>1.3</v>
      </c>
      <c r="L21245">
        <v>69111</v>
      </c>
      <c r="M21245" t="s">
        <v>471</v>
      </c>
      <c r="N21245" t="str">
        <f t="shared" si="347"/>
        <v xml:space="preserve">12327024177 </v>
      </c>
      <c r="O21245">
        <v>230717</v>
      </c>
    </row>
    <row r="21246" spans="1:15" x14ac:dyDescent="0.25">
      <c r="A21246" t="s">
        <v>16</v>
      </c>
      <c r="B21246" t="s">
        <v>3221</v>
      </c>
      <c r="C21246">
        <v>9585</v>
      </c>
      <c r="D21246" t="s">
        <v>263</v>
      </c>
      <c r="E21246" t="s">
        <v>264</v>
      </c>
      <c r="F21246">
        <v>2.7</v>
      </c>
      <c r="G21246">
        <v>230704</v>
      </c>
      <c r="H21246">
        <v>4362</v>
      </c>
      <c r="I21246" t="s">
        <v>79</v>
      </c>
      <c r="J21246">
        <v>3.35</v>
      </c>
      <c r="K21246">
        <v>0.65</v>
      </c>
      <c r="L21246">
        <v>69112</v>
      </c>
      <c r="M21246" t="s">
        <v>313</v>
      </c>
      <c r="N21246" t="str">
        <f t="shared" si="347"/>
        <v xml:space="preserve">12327024177 </v>
      </c>
      <c r="O21246">
        <v>230717</v>
      </c>
    </row>
    <row r="21247" spans="1:15" x14ac:dyDescent="0.25">
      <c r="A21247" t="s">
        <v>16</v>
      </c>
      <c r="B21247" t="s">
        <v>3221</v>
      </c>
      <c r="C21247">
        <v>9585</v>
      </c>
      <c r="D21247" t="s">
        <v>263</v>
      </c>
      <c r="E21247" t="s">
        <v>264</v>
      </c>
      <c r="F21247">
        <v>8.5</v>
      </c>
      <c r="G21247">
        <v>230704</v>
      </c>
      <c r="H21247">
        <v>4362</v>
      </c>
      <c r="I21247" t="s">
        <v>79</v>
      </c>
      <c r="J21247">
        <v>10.54</v>
      </c>
      <c r="K21247">
        <v>2.04</v>
      </c>
      <c r="L21247">
        <v>69113</v>
      </c>
      <c r="M21247" t="s">
        <v>282</v>
      </c>
      <c r="N21247" t="str">
        <f t="shared" si="347"/>
        <v xml:space="preserve">12327024177 </v>
      </c>
      <c r="O21247">
        <v>230717</v>
      </c>
    </row>
    <row r="21248" spans="1:15" x14ac:dyDescent="0.25">
      <c r="A21248" t="s">
        <v>16</v>
      </c>
      <c r="B21248" t="s">
        <v>3221</v>
      </c>
      <c r="C21248">
        <v>9585</v>
      </c>
      <c r="D21248" t="s">
        <v>263</v>
      </c>
      <c r="E21248" t="s">
        <v>264</v>
      </c>
      <c r="F21248">
        <v>37.76</v>
      </c>
      <c r="G21248">
        <v>230704</v>
      </c>
      <c r="H21248">
        <v>4362</v>
      </c>
      <c r="I21248" t="s">
        <v>79</v>
      </c>
      <c r="J21248">
        <v>46.82</v>
      </c>
      <c r="K21248">
        <v>9.06</v>
      </c>
      <c r="L21248">
        <v>69501</v>
      </c>
      <c r="M21248" t="s">
        <v>185</v>
      </c>
      <c r="N21248" t="str">
        <f t="shared" si="347"/>
        <v xml:space="preserve">12327024177 </v>
      </c>
      <c r="O21248">
        <v>230717</v>
      </c>
    </row>
    <row r="21249" spans="1:15" x14ac:dyDescent="0.25">
      <c r="A21249" t="s">
        <v>16</v>
      </c>
      <c r="B21249" t="s">
        <v>3221</v>
      </c>
      <c r="C21249">
        <v>9585</v>
      </c>
      <c r="D21249" t="s">
        <v>263</v>
      </c>
      <c r="E21249" t="s">
        <v>264</v>
      </c>
      <c r="F21249">
        <v>4.05</v>
      </c>
      <c r="G21249">
        <v>230704</v>
      </c>
      <c r="H21249">
        <v>4362</v>
      </c>
      <c r="I21249" t="s">
        <v>79</v>
      </c>
      <c r="J21249">
        <v>5.0199999999999996</v>
      </c>
      <c r="K21249">
        <v>0.97</v>
      </c>
      <c r="L21249">
        <v>69701</v>
      </c>
      <c r="M21249" t="s">
        <v>488</v>
      </c>
      <c r="N21249" t="str">
        <f t="shared" si="347"/>
        <v xml:space="preserve">12327024177 </v>
      </c>
      <c r="O21249">
        <v>230717</v>
      </c>
    </row>
    <row r="21250" spans="1:15" x14ac:dyDescent="0.25">
      <c r="A21250" t="s">
        <v>16</v>
      </c>
      <c r="B21250" t="s">
        <v>3221</v>
      </c>
      <c r="C21250">
        <v>9585</v>
      </c>
      <c r="D21250" t="s">
        <v>263</v>
      </c>
      <c r="E21250" t="s">
        <v>264</v>
      </c>
      <c r="F21250">
        <v>2.7</v>
      </c>
      <c r="G21250">
        <v>230704</v>
      </c>
      <c r="H21250">
        <v>4362</v>
      </c>
      <c r="I21250" t="s">
        <v>79</v>
      </c>
      <c r="J21250">
        <v>3.35</v>
      </c>
      <c r="K21250">
        <v>0.65</v>
      </c>
      <c r="L21250">
        <v>69702</v>
      </c>
      <c r="M21250" t="s">
        <v>489</v>
      </c>
      <c r="N21250" t="str">
        <f t="shared" si="347"/>
        <v xml:space="preserve">12327024177 </v>
      </c>
      <c r="O21250">
        <v>230717</v>
      </c>
    </row>
    <row r="21251" spans="1:15" x14ac:dyDescent="0.25">
      <c r="A21251" t="s">
        <v>16</v>
      </c>
      <c r="B21251" t="s">
        <v>3221</v>
      </c>
      <c r="C21251">
        <v>9585</v>
      </c>
      <c r="D21251" t="s">
        <v>263</v>
      </c>
      <c r="E21251" t="s">
        <v>264</v>
      </c>
      <c r="F21251">
        <v>5.25</v>
      </c>
      <c r="G21251">
        <v>230704</v>
      </c>
      <c r="H21251">
        <v>4362</v>
      </c>
      <c r="I21251" t="s">
        <v>79</v>
      </c>
      <c r="J21251">
        <v>6.51</v>
      </c>
      <c r="K21251">
        <v>1.26</v>
      </c>
      <c r="L21251">
        <v>69702</v>
      </c>
      <c r="M21251" t="s">
        <v>489</v>
      </c>
      <c r="N21251" t="str">
        <f t="shared" si="347"/>
        <v xml:space="preserve">12327024177 </v>
      </c>
      <c r="O21251">
        <v>230717</v>
      </c>
    </row>
    <row r="21252" spans="1:15" x14ac:dyDescent="0.25">
      <c r="A21252" t="s">
        <v>16</v>
      </c>
      <c r="B21252" t="s">
        <v>3221</v>
      </c>
      <c r="C21252">
        <v>9585</v>
      </c>
      <c r="D21252" t="s">
        <v>263</v>
      </c>
      <c r="E21252" t="s">
        <v>264</v>
      </c>
      <c r="F21252">
        <v>4.05</v>
      </c>
      <c r="G21252">
        <v>230704</v>
      </c>
      <c r="H21252">
        <v>4362</v>
      </c>
      <c r="I21252" t="s">
        <v>79</v>
      </c>
      <c r="J21252">
        <v>5.0199999999999996</v>
      </c>
      <c r="K21252">
        <v>0.97</v>
      </c>
      <c r="L21252">
        <v>69703</v>
      </c>
      <c r="M21252" t="s">
        <v>1036</v>
      </c>
      <c r="N21252" t="str">
        <f t="shared" si="347"/>
        <v xml:space="preserve">12327024177 </v>
      </c>
      <c r="O21252">
        <v>230717</v>
      </c>
    </row>
    <row r="21253" spans="1:15" x14ac:dyDescent="0.25">
      <c r="A21253" t="s">
        <v>16</v>
      </c>
      <c r="B21253" t="s">
        <v>3221</v>
      </c>
      <c r="C21253">
        <v>9585</v>
      </c>
      <c r="D21253" t="s">
        <v>263</v>
      </c>
      <c r="E21253" t="s">
        <v>264</v>
      </c>
      <c r="F21253">
        <v>5.25</v>
      </c>
      <c r="G21253">
        <v>230704</v>
      </c>
      <c r="H21253">
        <v>4362</v>
      </c>
      <c r="I21253" t="s">
        <v>79</v>
      </c>
      <c r="J21253">
        <v>6.51</v>
      </c>
      <c r="K21253">
        <v>1.26</v>
      </c>
      <c r="L21253">
        <v>69704</v>
      </c>
      <c r="M21253" t="s">
        <v>325</v>
      </c>
      <c r="N21253" t="str">
        <f t="shared" si="347"/>
        <v xml:space="preserve">12327024177 </v>
      </c>
      <c r="O21253">
        <v>230717</v>
      </c>
    </row>
    <row r="21254" spans="1:15" x14ac:dyDescent="0.25">
      <c r="A21254" t="s">
        <v>16</v>
      </c>
      <c r="B21254" t="s">
        <v>3221</v>
      </c>
      <c r="C21254">
        <v>9585</v>
      </c>
      <c r="D21254" t="s">
        <v>263</v>
      </c>
      <c r="E21254" t="s">
        <v>264</v>
      </c>
      <c r="F21254">
        <v>5.4</v>
      </c>
      <c r="G21254">
        <v>230704</v>
      </c>
      <c r="H21254">
        <v>4362</v>
      </c>
      <c r="I21254" t="s">
        <v>79</v>
      </c>
      <c r="J21254">
        <v>6.7</v>
      </c>
      <c r="K21254">
        <v>1.3</v>
      </c>
      <c r="L21254">
        <v>69707</v>
      </c>
      <c r="M21254" t="s">
        <v>490</v>
      </c>
      <c r="N21254" t="str">
        <f t="shared" si="347"/>
        <v xml:space="preserve">12327024177 </v>
      </c>
      <c r="O21254">
        <v>230717</v>
      </c>
    </row>
    <row r="21255" spans="1:15" x14ac:dyDescent="0.25">
      <c r="A21255" t="s">
        <v>16</v>
      </c>
      <c r="B21255" t="s">
        <v>3221</v>
      </c>
      <c r="C21255">
        <v>9585</v>
      </c>
      <c r="D21255" t="s">
        <v>263</v>
      </c>
      <c r="E21255" t="s">
        <v>264</v>
      </c>
      <c r="F21255">
        <v>10.8</v>
      </c>
      <c r="G21255">
        <v>230704</v>
      </c>
      <c r="H21255">
        <v>4362</v>
      </c>
      <c r="I21255" t="s">
        <v>79</v>
      </c>
      <c r="J21255">
        <v>13.39</v>
      </c>
      <c r="K21255">
        <v>2.59</v>
      </c>
      <c r="L21255">
        <v>69708</v>
      </c>
      <c r="M21255" t="s">
        <v>491</v>
      </c>
      <c r="N21255" t="str">
        <f t="shared" si="347"/>
        <v xml:space="preserve">12327024177 </v>
      </c>
      <c r="O21255">
        <v>230717</v>
      </c>
    </row>
    <row r="21256" spans="1:15" x14ac:dyDescent="0.25">
      <c r="A21256" t="s">
        <v>16</v>
      </c>
      <c r="B21256" t="s">
        <v>3221</v>
      </c>
      <c r="C21256">
        <v>9586</v>
      </c>
      <c r="D21256" t="s">
        <v>263</v>
      </c>
      <c r="E21256" t="s">
        <v>264</v>
      </c>
      <c r="F21256">
        <v>56.54</v>
      </c>
      <c r="G21256">
        <v>230704</v>
      </c>
      <c r="H21256">
        <v>4362</v>
      </c>
      <c r="I21256" t="s">
        <v>79</v>
      </c>
      <c r="J21256">
        <v>70.11</v>
      </c>
      <c r="K21256">
        <v>13.57</v>
      </c>
      <c r="L21256">
        <v>46556</v>
      </c>
      <c r="M21256" t="s">
        <v>125</v>
      </c>
      <c r="N21256" t="str">
        <f>"12327024188 "</f>
        <v xml:space="preserve">12327024188 </v>
      </c>
      <c r="O21256">
        <v>230717</v>
      </c>
    </row>
    <row r="21257" spans="1:15" x14ac:dyDescent="0.25">
      <c r="A21257" t="s">
        <v>16</v>
      </c>
      <c r="B21257" t="s">
        <v>3221</v>
      </c>
      <c r="C21257">
        <v>9587</v>
      </c>
      <c r="D21257" t="s">
        <v>263</v>
      </c>
      <c r="E21257" t="s">
        <v>264</v>
      </c>
      <c r="F21257">
        <v>2.7</v>
      </c>
      <c r="G21257">
        <v>230704</v>
      </c>
      <c r="H21257">
        <v>4362</v>
      </c>
      <c r="I21257" t="s">
        <v>79</v>
      </c>
      <c r="J21257">
        <v>3.35</v>
      </c>
      <c r="K21257">
        <v>0.65</v>
      </c>
      <c r="L21257">
        <v>13501</v>
      </c>
      <c r="M21257" t="s">
        <v>20</v>
      </c>
      <c r="N21257" t="str">
        <f>"12327024213 "</f>
        <v xml:space="preserve">12327024213 </v>
      </c>
      <c r="O21257">
        <v>230717</v>
      </c>
    </row>
    <row r="21258" spans="1:15" x14ac:dyDescent="0.25">
      <c r="A21258" t="s">
        <v>16</v>
      </c>
      <c r="B21258" t="s">
        <v>3221</v>
      </c>
      <c r="C21258">
        <v>9624</v>
      </c>
      <c r="D21258" t="s">
        <v>263</v>
      </c>
      <c r="E21258" t="s">
        <v>264</v>
      </c>
      <c r="F21258">
        <v>2.5499999999999998</v>
      </c>
      <c r="G21258">
        <v>230704</v>
      </c>
      <c r="H21258">
        <v>4362</v>
      </c>
      <c r="I21258" t="s">
        <v>79</v>
      </c>
      <c r="J21258">
        <v>3.16</v>
      </c>
      <c r="K21258">
        <v>0.61</v>
      </c>
      <c r="L21258">
        <v>10002</v>
      </c>
      <c r="M21258" t="s">
        <v>1066</v>
      </c>
      <c r="N21258" t="str">
        <f t="shared" ref="N21258:N21271" si="348">"12327024171 "</f>
        <v xml:space="preserve">12327024171 </v>
      </c>
      <c r="O21258">
        <v>230717</v>
      </c>
    </row>
    <row r="21259" spans="1:15" x14ac:dyDescent="0.25">
      <c r="A21259" t="s">
        <v>16</v>
      </c>
      <c r="B21259" t="s">
        <v>3221</v>
      </c>
      <c r="C21259">
        <v>9624</v>
      </c>
      <c r="D21259" t="s">
        <v>263</v>
      </c>
      <c r="E21259" t="s">
        <v>264</v>
      </c>
      <c r="F21259">
        <v>2.5499999999999998</v>
      </c>
      <c r="G21259">
        <v>230704</v>
      </c>
      <c r="H21259">
        <v>4362</v>
      </c>
      <c r="I21259" t="s">
        <v>79</v>
      </c>
      <c r="J21259">
        <v>3.16</v>
      </c>
      <c r="K21259">
        <v>0.61</v>
      </c>
      <c r="L21259">
        <v>10002</v>
      </c>
      <c r="M21259" t="s">
        <v>1066</v>
      </c>
      <c r="N21259" t="str">
        <f t="shared" si="348"/>
        <v xml:space="preserve">12327024171 </v>
      </c>
      <c r="O21259">
        <v>230717</v>
      </c>
    </row>
    <row r="21260" spans="1:15" x14ac:dyDescent="0.25">
      <c r="A21260" t="s">
        <v>16</v>
      </c>
      <c r="B21260" t="s">
        <v>3221</v>
      </c>
      <c r="C21260">
        <v>9624</v>
      </c>
      <c r="D21260" t="s">
        <v>263</v>
      </c>
      <c r="E21260" t="s">
        <v>264</v>
      </c>
      <c r="F21260">
        <v>2.5499999999999998</v>
      </c>
      <c r="G21260">
        <v>230704</v>
      </c>
      <c r="H21260">
        <v>4362</v>
      </c>
      <c r="I21260" t="s">
        <v>79</v>
      </c>
      <c r="J21260">
        <v>3.16</v>
      </c>
      <c r="K21260">
        <v>0.61</v>
      </c>
      <c r="L21260">
        <v>11001</v>
      </c>
      <c r="M21260" t="s">
        <v>326</v>
      </c>
      <c r="N21260" t="str">
        <f t="shared" si="348"/>
        <v xml:space="preserve">12327024171 </v>
      </c>
      <c r="O21260">
        <v>230717</v>
      </c>
    </row>
    <row r="21261" spans="1:15" x14ac:dyDescent="0.25">
      <c r="A21261" t="s">
        <v>16</v>
      </c>
      <c r="B21261" t="s">
        <v>3221</v>
      </c>
      <c r="C21261">
        <v>9624</v>
      </c>
      <c r="D21261" t="s">
        <v>263</v>
      </c>
      <c r="E21261" t="s">
        <v>264</v>
      </c>
      <c r="F21261">
        <v>9.36</v>
      </c>
      <c r="G21261">
        <v>230704</v>
      </c>
      <c r="H21261">
        <v>4362</v>
      </c>
      <c r="I21261" t="s">
        <v>79</v>
      </c>
      <c r="J21261">
        <v>11.61</v>
      </c>
      <c r="K21261">
        <v>2.25</v>
      </c>
      <c r="L21261">
        <v>11001</v>
      </c>
      <c r="M21261" t="s">
        <v>326</v>
      </c>
      <c r="N21261" t="str">
        <f t="shared" si="348"/>
        <v xml:space="preserve">12327024171 </v>
      </c>
      <c r="O21261">
        <v>230717</v>
      </c>
    </row>
    <row r="21262" spans="1:15" x14ac:dyDescent="0.25">
      <c r="A21262" t="s">
        <v>16</v>
      </c>
      <c r="B21262" t="s">
        <v>3221</v>
      </c>
      <c r="C21262">
        <v>9624</v>
      </c>
      <c r="D21262" t="s">
        <v>263</v>
      </c>
      <c r="E21262" t="s">
        <v>264</v>
      </c>
      <c r="F21262">
        <v>9.69</v>
      </c>
      <c r="G21262">
        <v>230704</v>
      </c>
      <c r="H21262">
        <v>4362</v>
      </c>
      <c r="I21262" t="s">
        <v>79</v>
      </c>
      <c r="J21262">
        <v>12.02</v>
      </c>
      <c r="K21262">
        <v>2.33</v>
      </c>
      <c r="L21262">
        <v>11001</v>
      </c>
      <c r="M21262" t="s">
        <v>326</v>
      </c>
      <c r="N21262" t="str">
        <f t="shared" si="348"/>
        <v xml:space="preserve">12327024171 </v>
      </c>
      <c r="O21262">
        <v>230717</v>
      </c>
    </row>
    <row r="21263" spans="1:15" x14ac:dyDescent="0.25">
      <c r="A21263" t="s">
        <v>16</v>
      </c>
      <c r="B21263" t="s">
        <v>3221</v>
      </c>
      <c r="C21263">
        <v>9624</v>
      </c>
      <c r="D21263" t="s">
        <v>263</v>
      </c>
      <c r="E21263" t="s">
        <v>264</v>
      </c>
      <c r="F21263">
        <v>8.1</v>
      </c>
      <c r="G21263">
        <v>230704</v>
      </c>
      <c r="H21263">
        <v>4362</v>
      </c>
      <c r="I21263" t="s">
        <v>79</v>
      </c>
      <c r="J21263">
        <v>10.039999999999999</v>
      </c>
      <c r="K21263">
        <v>1.94</v>
      </c>
      <c r="L21263">
        <v>11301</v>
      </c>
      <c r="M21263" t="s">
        <v>29</v>
      </c>
      <c r="N21263" t="str">
        <f t="shared" si="348"/>
        <v xml:space="preserve">12327024171 </v>
      </c>
      <c r="O21263">
        <v>230717</v>
      </c>
    </row>
    <row r="21264" spans="1:15" x14ac:dyDescent="0.25">
      <c r="A21264" t="s">
        <v>16</v>
      </c>
      <c r="B21264" t="s">
        <v>3221</v>
      </c>
      <c r="C21264">
        <v>9624</v>
      </c>
      <c r="D21264" t="s">
        <v>263</v>
      </c>
      <c r="E21264" t="s">
        <v>264</v>
      </c>
      <c r="F21264">
        <v>5.84</v>
      </c>
      <c r="G21264">
        <v>230704</v>
      </c>
      <c r="H21264">
        <v>4362</v>
      </c>
      <c r="I21264" t="s">
        <v>79</v>
      </c>
      <c r="J21264">
        <v>5.84</v>
      </c>
      <c r="K21264">
        <v>0</v>
      </c>
      <c r="L21264">
        <v>11401</v>
      </c>
      <c r="M21264" t="s">
        <v>84</v>
      </c>
      <c r="N21264" t="str">
        <f t="shared" si="348"/>
        <v xml:space="preserve">12327024171 </v>
      </c>
      <c r="O21264">
        <v>230717</v>
      </c>
    </row>
    <row r="21265" spans="1:15" x14ac:dyDescent="0.25">
      <c r="A21265" t="s">
        <v>16</v>
      </c>
      <c r="B21265" t="s">
        <v>3221</v>
      </c>
      <c r="C21265">
        <v>9624</v>
      </c>
      <c r="D21265" t="s">
        <v>263</v>
      </c>
      <c r="E21265" t="s">
        <v>264</v>
      </c>
      <c r="F21265">
        <v>10.220000000000001</v>
      </c>
      <c r="G21265">
        <v>230704</v>
      </c>
      <c r="H21265">
        <v>4362</v>
      </c>
      <c r="I21265" t="s">
        <v>79</v>
      </c>
      <c r="J21265">
        <v>12.67</v>
      </c>
      <c r="K21265">
        <v>2.4500000000000002</v>
      </c>
      <c r="L21265">
        <v>11401</v>
      </c>
      <c r="M21265" t="s">
        <v>84</v>
      </c>
      <c r="N21265" t="str">
        <f t="shared" si="348"/>
        <v xml:space="preserve">12327024171 </v>
      </c>
      <c r="O21265">
        <v>230717</v>
      </c>
    </row>
    <row r="21266" spans="1:15" x14ac:dyDescent="0.25">
      <c r="A21266" t="s">
        <v>16</v>
      </c>
      <c r="B21266" t="s">
        <v>3221</v>
      </c>
      <c r="C21266">
        <v>9624</v>
      </c>
      <c r="D21266" t="s">
        <v>263</v>
      </c>
      <c r="E21266" t="s">
        <v>264</v>
      </c>
      <c r="F21266">
        <v>2.5499999999999998</v>
      </c>
      <c r="G21266">
        <v>230704</v>
      </c>
      <c r="H21266">
        <v>4362</v>
      </c>
      <c r="I21266" t="s">
        <v>79</v>
      </c>
      <c r="J21266">
        <v>3.16</v>
      </c>
      <c r="K21266">
        <v>0.61</v>
      </c>
      <c r="L21266">
        <v>11501</v>
      </c>
      <c r="M21266" t="s">
        <v>339</v>
      </c>
      <c r="N21266" t="str">
        <f t="shared" si="348"/>
        <v xml:space="preserve">12327024171 </v>
      </c>
      <c r="O21266">
        <v>230717</v>
      </c>
    </row>
    <row r="21267" spans="1:15" x14ac:dyDescent="0.25">
      <c r="A21267" t="s">
        <v>16</v>
      </c>
      <c r="B21267" t="s">
        <v>3221</v>
      </c>
      <c r="C21267">
        <v>9624</v>
      </c>
      <c r="D21267" t="s">
        <v>263</v>
      </c>
      <c r="E21267" t="s">
        <v>264</v>
      </c>
      <c r="F21267">
        <v>3.35</v>
      </c>
      <c r="G21267">
        <v>230704</v>
      </c>
      <c r="H21267">
        <v>4362</v>
      </c>
      <c r="I21267" t="s">
        <v>79</v>
      </c>
      <c r="J21267">
        <v>3.35</v>
      </c>
      <c r="K21267">
        <v>0</v>
      </c>
      <c r="L21267">
        <v>11501</v>
      </c>
      <c r="M21267" t="s">
        <v>339</v>
      </c>
      <c r="N21267" t="str">
        <f t="shared" si="348"/>
        <v xml:space="preserve">12327024171 </v>
      </c>
      <c r="O21267">
        <v>230717</v>
      </c>
    </row>
    <row r="21268" spans="1:15" x14ac:dyDescent="0.25">
      <c r="A21268" t="s">
        <v>16</v>
      </c>
      <c r="B21268" t="s">
        <v>3221</v>
      </c>
      <c r="C21268">
        <v>9624</v>
      </c>
      <c r="D21268" t="s">
        <v>263</v>
      </c>
      <c r="E21268" t="s">
        <v>264</v>
      </c>
      <c r="F21268">
        <v>9.6999999999999993</v>
      </c>
      <c r="G21268">
        <v>230704</v>
      </c>
      <c r="H21268">
        <v>4362</v>
      </c>
      <c r="I21268" t="s">
        <v>79</v>
      </c>
      <c r="J21268">
        <v>12.03</v>
      </c>
      <c r="K21268">
        <v>2.33</v>
      </c>
      <c r="L21268">
        <v>17807</v>
      </c>
      <c r="M21268" t="s">
        <v>318</v>
      </c>
      <c r="N21268" t="str">
        <f t="shared" si="348"/>
        <v xml:space="preserve">12327024171 </v>
      </c>
      <c r="O21268">
        <v>230717</v>
      </c>
    </row>
    <row r="21269" spans="1:15" x14ac:dyDescent="0.25">
      <c r="A21269" t="s">
        <v>16</v>
      </c>
      <c r="B21269" t="s">
        <v>3221</v>
      </c>
      <c r="C21269">
        <v>9624</v>
      </c>
      <c r="D21269" t="s">
        <v>263</v>
      </c>
      <c r="E21269" t="s">
        <v>264</v>
      </c>
      <c r="F21269">
        <v>2.5499999999999998</v>
      </c>
      <c r="G21269">
        <v>230704</v>
      </c>
      <c r="H21269">
        <v>4362</v>
      </c>
      <c r="I21269" t="s">
        <v>79</v>
      </c>
      <c r="J21269">
        <v>3.16</v>
      </c>
      <c r="K21269">
        <v>0.61</v>
      </c>
      <c r="L21269">
        <v>18972</v>
      </c>
      <c r="M21269" t="s">
        <v>163</v>
      </c>
      <c r="N21269" t="str">
        <f t="shared" si="348"/>
        <v xml:space="preserve">12327024171 </v>
      </c>
      <c r="O21269">
        <v>230717</v>
      </c>
    </row>
    <row r="21270" spans="1:15" x14ac:dyDescent="0.25">
      <c r="A21270" t="s">
        <v>16</v>
      </c>
      <c r="B21270" t="s">
        <v>3221</v>
      </c>
      <c r="C21270">
        <v>9624</v>
      </c>
      <c r="D21270" t="s">
        <v>263</v>
      </c>
      <c r="E21270" t="s">
        <v>264</v>
      </c>
      <c r="F21270">
        <v>2.5499999999999998</v>
      </c>
      <c r="G21270">
        <v>230704</v>
      </c>
      <c r="H21270">
        <v>4362</v>
      </c>
      <c r="I21270" t="s">
        <v>79</v>
      </c>
      <c r="J21270">
        <v>3.16</v>
      </c>
      <c r="K21270">
        <v>0.61</v>
      </c>
      <c r="L21270">
        <v>18972</v>
      </c>
      <c r="M21270" t="s">
        <v>163</v>
      </c>
      <c r="N21270" t="str">
        <f t="shared" si="348"/>
        <v xml:space="preserve">12327024171 </v>
      </c>
      <c r="O21270">
        <v>230717</v>
      </c>
    </row>
    <row r="21271" spans="1:15" x14ac:dyDescent="0.25">
      <c r="A21271" t="s">
        <v>16</v>
      </c>
      <c r="B21271" t="s">
        <v>3221</v>
      </c>
      <c r="C21271">
        <v>9624</v>
      </c>
      <c r="D21271" t="s">
        <v>263</v>
      </c>
      <c r="E21271" t="s">
        <v>264</v>
      </c>
      <c r="F21271">
        <v>24.4</v>
      </c>
      <c r="G21271">
        <v>230704</v>
      </c>
      <c r="H21271">
        <v>4362</v>
      </c>
      <c r="I21271" t="s">
        <v>79</v>
      </c>
      <c r="J21271">
        <v>24.4</v>
      </c>
      <c r="K21271">
        <v>0</v>
      </c>
      <c r="L21271">
        <v>18972</v>
      </c>
      <c r="M21271" t="s">
        <v>163</v>
      </c>
      <c r="N21271" t="str">
        <f t="shared" si="348"/>
        <v xml:space="preserve">12327024171 </v>
      </c>
      <c r="O21271">
        <v>230717</v>
      </c>
    </row>
    <row r="21272" spans="1:15" x14ac:dyDescent="0.25">
      <c r="A21272" t="s">
        <v>16</v>
      </c>
      <c r="B21272" t="s">
        <v>3221</v>
      </c>
      <c r="C21272">
        <v>9675</v>
      </c>
      <c r="D21272" t="s">
        <v>263</v>
      </c>
      <c r="E21272" t="s">
        <v>264</v>
      </c>
      <c r="F21272">
        <v>5.4</v>
      </c>
      <c r="G21272">
        <v>230704</v>
      </c>
      <c r="H21272">
        <v>4362</v>
      </c>
      <c r="I21272" t="s">
        <v>79</v>
      </c>
      <c r="J21272">
        <v>6.7</v>
      </c>
      <c r="K21272">
        <v>1.3</v>
      </c>
      <c r="L21272">
        <v>46555</v>
      </c>
      <c r="M21272" t="s">
        <v>597</v>
      </c>
      <c r="N21272" t="str">
        <f>"12327024191 "</f>
        <v xml:space="preserve">12327024191 </v>
      </c>
      <c r="O21272">
        <v>230719</v>
      </c>
    </row>
    <row r="21273" spans="1:15" x14ac:dyDescent="0.25">
      <c r="A21273" t="s">
        <v>16</v>
      </c>
      <c r="B21273" t="s">
        <v>3221</v>
      </c>
      <c r="C21273">
        <v>9675</v>
      </c>
      <c r="D21273" t="s">
        <v>263</v>
      </c>
      <c r="E21273" t="s">
        <v>264</v>
      </c>
      <c r="F21273">
        <v>12.6</v>
      </c>
      <c r="G21273">
        <v>230704</v>
      </c>
      <c r="H21273">
        <v>4362</v>
      </c>
      <c r="I21273" t="s">
        <v>79</v>
      </c>
      <c r="J21273">
        <v>15.62</v>
      </c>
      <c r="K21273">
        <v>3.02</v>
      </c>
      <c r="L21273">
        <v>48601</v>
      </c>
      <c r="M21273" t="s">
        <v>1047</v>
      </c>
      <c r="N21273" t="str">
        <f>"12327024191 "</f>
        <v xml:space="preserve">12327024191 </v>
      </c>
      <c r="O21273">
        <v>230719</v>
      </c>
    </row>
    <row r="21274" spans="1:15" x14ac:dyDescent="0.25">
      <c r="A21274" t="s">
        <v>16</v>
      </c>
      <c r="B21274" t="s">
        <v>3221</v>
      </c>
      <c r="C21274">
        <v>9675</v>
      </c>
      <c r="D21274" t="s">
        <v>263</v>
      </c>
      <c r="E21274" t="s">
        <v>264</v>
      </c>
      <c r="F21274">
        <v>2.7</v>
      </c>
      <c r="G21274">
        <v>230704</v>
      </c>
      <c r="H21274">
        <v>4362</v>
      </c>
      <c r="I21274" t="s">
        <v>79</v>
      </c>
      <c r="J21274">
        <v>3.35</v>
      </c>
      <c r="K21274">
        <v>0.65</v>
      </c>
      <c r="L21274">
        <v>49702</v>
      </c>
      <c r="M21274" t="s">
        <v>584</v>
      </c>
      <c r="N21274" t="str">
        <f>"12327024191 "</f>
        <v xml:space="preserve">12327024191 </v>
      </c>
      <c r="O21274">
        <v>230719</v>
      </c>
    </row>
    <row r="21275" spans="1:15" x14ac:dyDescent="0.25">
      <c r="A21275" t="s">
        <v>16</v>
      </c>
      <c r="B21275" t="s">
        <v>3221</v>
      </c>
      <c r="C21275">
        <v>9676</v>
      </c>
      <c r="D21275" t="s">
        <v>263</v>
      </c>
      <c r="E21275" t="s">
        <v>264</v>
      </c>
      <c r="F21275">
        <v>5.4</v>
      </c>
      <c r="G21275">
        <v>230704</v>
      </c>
      <c r="H21275">
        <v>4362</v>
      </c>
      <c r="I21275" t="s">
        <v>79</v>
      </c>
      <c r="J21275">
        <v>6.7</v>
      </c>
      <c r="K21275">
        <v>1.3</v>
      </c>
      <c r="L21275">
        <v>43222</v>
      </c>
      <c r="M21275" t="s">
        <v>507</v>
      </c>
      <c r="N21275" t="str">
        <f t="shared" ref="N21275:N21280" si="349">"12327024187 "</f>
        <v xml:space="preserve">12327024187 </v>
      </c>
      <c r="O21275">
        <v>230719</v>
      </c>
    </row>
    <row r="21276" spans="1:15" x14ac:dyDescent="0.25">
      <c r="A21276" t="s">
        <v>16</v>
      </c>
      <c r="B21276" t="s">
        <v>3221</v>
      </c>
      <c r="C21276">
        <v>9676</v>
      </c>
      <c r="D21276" t="s">
        <v>263</v>
      </c>
      <c r="E21276" t="s">
        <v>264</v>
      </c>
      <c r="F21276">
        <v>5.25</v>
      </c>
      <c r="G21276">
        <v>230704</v>
      </c>
      <c r="H21276">
        <v>4362</v>
      </c>
      <c r="I21276" t="s">
        <v>79</v>
      </c>
      <c r="J21276">
        <v>6.51</v>
      </c>
      <c r="K21276">
        <v>1.26</v>
      </c>
      <c r="L21276">
        <v>44422</v>
      </c>
      <c r="M21276" t="s">
        <v>482</v>
      </c>
      <c r="N21276" t="str">
        <f t="shared" si="349"/>
        <v xml:space="preserve">12327024187 </v>
      </c>
      <c r="O21276">
        <v>230719</v>
      </c>
    </row>
    <row r="21277" spans="1:15" x14ac:dyDescent="0.25">
      <c r="A21277" t="s">
        <v>16</v>
      </c>
      <c r="B21277" t="s">
        <v>3221</v>
      </c>
      <c r="C21277">
        <v>9676</v>
      </c>
      <c r="D21277" t="s">
        <v>263</v>
      </c>
      <c r="E21277" t="s">
        <v>264</v>
      </c>
      <c r="F21277">
        <v>5.4</v>
      </c>
      <c r="G21277">
        <v>230704</v>
      </c>
      <c r="H21277">
        <v>4362</v>
      </c>
      <c r="I21277" t="s">
        <v>79</v>
      </c>
      <c r="J21277">
        <v>6.7</v>
      </c>
      <c r="K21277">
        <v>1.3</v>
      </c>
      <c r="L21277">
        <v>44423</v>
      </c>
      <c r="M21277" t="s">
        <v>502</v>
      </c>
      <c r="N21277" t="str">
        <f t="shared" si="349"/>
        <v xml:space="preserve">12327024187 </v>
      </c>
      <c r="O21277">
        <v>230719</v>
      </c>
    </row>
    <row r="21278" spans="1:15" x14ac:dyDescent="0.25">
      <c r="A21278" t="s">
        <v>16</v>
      </c>
      <c r="B21278" t="s">
        <v>3221</v>
      </c>
      <c r="C21278">
        <v>9676</v>
      </c>
      <c r="D21278" t="s">
        <v>263</v>
      </c>
      <c r="E21278" t="s">
        <v>264</v>
      </c>
      <c r="F21278">
        <v>2.7</v>
      </c>
      <c r="G21278">
        <v>230704</v>
      </c>
      <c r="H21278">
        <v>4362</v>
      </c>
      <c r="I21278" t="s">
        <v>79</v>
      </c>
      <c r="J21278">
        <v>3.35</v>
      </c>
      <c r="K21278">
        <v>0.65</v>
      </c>
      <c r="L21278">
        <v>44453</v>
      </c>
      <c r="M21278" t="s">
        <v>492</v>
      </c>
      <c r="N21278" t="str">
        <f t="shared" si="349"/>
        <v xml:space="preserve">12327024187 </v>
      </c>
      <c r="O21278">
        <v>230719</v>
      </c>
    </row>
    <row r="21279" spans="1:15" x14ac:dyDescent="0.25">
      <c r="A21279" t="s">
        <v>16</v>
      </c>
      <c r="B21279" t="s">
        <v>3221</v>
      </c>
      <c r="C21279">
        <v>9676</v>
      </c>
      <c r="D21279" t="s">
        <v>263</v>
      </c>
      <c r="E21279" t="s">
        <v>264</v>
      </c>
      <c r="F21279">
        <v>2.69</v>
      </c>
      <c r="G21279">
        <v>230704</v>
      </c>
      <c r="H21279">
        <v>4362</v>
      </c>
      <c r="I21279" t="s">
        <v>79</v>
      </c>
      <c r="J21279">
        <v>3.34</v>
      </c>
      <c r="K21279">
        <v>0.65</v>
      </c>
      <c r="L21279">
        <v>48601</v>
      </c>
      <c r="M21279" t="s">
        <v>1047</v>
      </c>
      <c r="N21279" t="str">
        <f t="shared" si="349"/>
        <v xml:space="preserve">12327024187 </v>
      </c>
      <c r="O21279">
        <v>230719</v>
      </c>
    </row>
    <row r="21280" spans="1:15" x14ac:dyDescent="0.25">
      <c r="A21280" t="s">
        <v>16</v>
      </c>
      <c r="B21280" t="s">
        <v>3221</v>
      </c>
      <c r="C21280">
        <v>9676</v>
      </c>
      <c r="D21280" t="s">
        <v>263</v>
      </c>
      <c r="E21280" t="s">
        <v>264</v>
      </c>
      <c r="F21280">
        <v>29.66</v>
      </c>
      <c r="G21280">
        <v>230704</v>
      </c>
      <c r="H21280">
        <v>4362</v>
      </c>
      <c r="I21280" t="s">
        <v>79</v>
      </c>
      <c r="J21280">
        <v>29.66</v>
      </c>
      <c r="K21280">
        <v>0</v>
      </c>
      <c r="L21280">
        <v>49702</v>
      </c>
      <c r="M21280" t="s">
        <v>584</v>
      </c>
      <c r="N21280" t="str">
        <f t="shared" si="349"/>
        <v xml:space="preserve">12327024187 </v>
      </c>
      <c r="O21280">
        <v>230719</v>
      </c>
    </row>
    <row r="21281" spans="1:15" x14ac:dyDescent="0.25">
      <c r="A21281" t="s">
        <v>16</v>
      </c>
      <c r="B21281" t="s">
        <v>3221</v>
      </c>
      <c r="C21281">
        <v>9677</v>
      </c>
      <c r="D21281" t="s">
        <v>263</v>
      </c>
      <c r="E21281" t="s">
        <v>264</v>
      </c>
      <c r="F21281">
        <v>3.44</v>
      </c>
      <c r="G21281">
        <v>230704</v>
      </c>
      <c r="H21281">
        <v>4362</v>
      </c>
      <c r="I21281" t="s">
        <v>79</v>
      </c>
      <c r="J21281">
        <v>4.2699999999999996</v>
      </c>
      <c r="K21281">
        <v>0.83</v>
      </c>
      <c r="L21281">
        <v>48601</v>
      </c>
      <c r="M21281" t="s">
        <v>1047</v>
      </c>
      <c r="N21281" t="str">
        <f>"12327024186 "</f>
        <v xml:space="preserve">12327024186 </v>
      </c>
      <c r="O21281">
        <v>230719</v>
      </c>
    </row>
    <row r="21282" spans="1:15" x14ac:dyDescent="0.25">
      <c r="A21282" t="s">
        <v>16</v>
      </c>
      <c r="B21282" t="s">
        <v>3221</v>
      </c>
      <c r="C21282">
        <v>9677</v>
      </c>
      <c r="D21282" t="s">
        <v>263</v>
      </c>
      <c r="E21282" t="s">
        <v>264</v>
      </c>
      <c r="F21282">
        <v>10.72</v>
      </c>
      <c r="G21282">
        <v>230704</v>
      </c>
      <c r="H21282">
        <v>4362</v>
      </c>
      <c r="I21282" t="s">
        <v>79</v>
      </c>
      <c r="J21282">
        <v>13.29</v>
      </c>
      <c r="K21282">
        <v>2.57</v>
      </c>
      <c r="L21282">
        <v>49704</v>
      </c>
      <c r="M21282" t="s">
        <v>1065</v>
      </c>
      <c r="N21282" t="str">
        <f>"12327024186 "</f>
        <v xml:space="preserve">12327024186 </v>
      </c>
      <c r="O21282">
        <v>230719</v>
      </c>
    </row>
    <row r="21283" spans="1:15" x14ac:dyDescent="0.25">
      <c r="A21283" t="s">
        <v>16</v>
      </c>
      <c r="B21283" t="s">
        <v>3221</v>
      </c>
      <c r="C21283">
        <v>9677</v>
      </c>
      <c r="D21283" t="s">
        <v>263</v>
      </c>
      <c r="E21283" t="s">
        <v>264</v>
      </c>
      <c r="F21283">
        <v>27</v>
      </c>
      <c r="G21283">
        <v>230704</v>
      </c>
      <c r="H21283">
        <v>4362</v>
      </c>
      <c r="I21283" t="s">
        <v>79</v>
      </c>
      <c r="J21283">
        <v>33.479999999999997</v>
      </c>
      <c r="K21283">
        <v>6.48</v>
      </c>
      <c r="L21283">
        <v>49705</v>
      </c>
      <c r="M21283" t="s">
        <v>575</v>
      </c>
      <c r="N21283" t="str">
        <f>"12327024186 "</f>
        <v xml:space="preserve">12327024186 </v>
      </c>
      <c r="O21283">
        <v>230719</v>
      </c>
    </row>
    <row r="21284" spans="1:15" x14ac:dyDescent="0.25">
      <c r="A21284" t="s">
        <v>16</v>
      </c>
      <c r="B21284" t="s">
        <v>3221</v>
      </c>
      <c r="C21284">
        <v>9678</v>
      </c>
      <c r="D21284" t="s">
        <v>263</v>
      </c>
      <c r="E21284" t="s">
        <v>264</v>
      </c>
      <c r="F21284">
        <v>28.81</v>
      </c>
      <c r="G21284">
        <v>230704</v>
      </c>
      <c r="H21284">
        <v>4362</v>
      </c>
      <c r="I21284" t="s">
        <v>79</v>
      </c>
      <c r="J21284">
        <v>35.72</v>
      </c>
      <c r="K21284">
        <v>6.91</v>
      </c>
      <c r="L21284">
        <v>41126</v>
      </c>
      <c r="M21284" t="s">
        <v>761</v>
      </c>
      <c r="N21284" t="str">
        <f>"12327024182 "</f>
        <v xml:space="preserve">12327024182 </v>
      </c>
      <c r="O21284">
        <v>230719</v>
      </c>
    </row>
    <row r="21285" spans="1:15" x14ac:dyDescent="0.25">
      <c r="A21285" t="s">
        <v>16</v>
      </c>
      <c r="B21285" t="s">
        <v>3221</v>
      </c>
      <c r="C21285">
        <v>9678</v>
      </c>
      <c r="D21285" t="s">
        <v>263</v>
      </c>
      <c r="E21285" t="s">
        <v>264</v>
      </c>
      <c r="F21285">
        <v>8.1</v>
      </c>
      <c r="G21285">
        <v>230704</v>
      </c>
      <c r="H21285">
        <v>4362</v>
      </c>
      <c r="I21285" t="s">
        <v>79</v>
      </c>
      <c r="J21285">
        <v>10.039999999999999</v>
      </c>
      <c r="K21285">
        <v>1.94</v>
      </c>
      <c r="L21285">
        <v>46222</v>
      </c>
      <c r="M21285" t="s">
        <v>293</v>
      </c>
      <c r="N21285" t="str">
        <f>"12327024182 "</f>
        <v xml:space="preserve">12327024182 </v>
      </c>
      <c r="O21285">
        <v>230719</v>
      </c>
    </row>
    <row r="21286" spans="1:15" x14ac:dyDescent="0.25">
      <c r="A21286" t="s">
        <v>16</v>
      </c>
      <c r="B21286" t="s">
        <v>3221</v>
      </c>
      <c r="C21286">
        <v>9679</v>
      </c>
      <c r="D21286" t="s">
        <v>263</v>
      </c>
      <c r="E21286" t="s">
        <v>264</v>
      </c>
      <c r="F21286">
        <v>5.25</v>
      </c>
      <c r="G21286">
        <v>230704</v>
      </c>
      <c r="H21286">
        <v>4362</v>
      </c>
      <c r="I21286" t="s">
        <v>79</v>
      </c>
      <c r="J21286">
        <v>6.51</v>
      </c>
      <c r="K21286">
        <v>1.26</v>
      </c>
      <c r="L21286">
        <v>44222</v>
      </c>
      <c r="M21286" t="s">
        <v>232</v>
      </c>
      <c r="N21286" t="str">
        <f>"12327024189 "</f>
        <v xml:space="preserve">12327024189 </v>
      </c>
      <c r="O21286">
        <v>230719</v>
      </c>
    </row>
    <row r="21287" spans="1:15" x14ac:dyDescent="0.25">
      <c r="A21287" t="s">
        <v>16</v>
      </c>
      <c r="B21287" t="s">
        <v>3221</v>
      </c>
      <c r="C21287">
        <v>9679</v>
      </c>
      <c r="D21287" t="s">
        <v>263</v>
      </c>
      <c r="E21287" t="s">
        <v>264</v>
      </c>
      <c r="F21287">
        <v>18.600000000000001</v>
      </c>
      <c r="G21287">
        <v>230704</v>
      </c>
      <c r="H21287">
        <v>4362</v>
      </c>
      <c r="I21287" t="s">
        <v>79</v>
      </c>
      <c r="J21287">
        <v>23.06</v>
      </c>
      <c r="K21287">
        <v>4.46</v>
      </c>
      <c r="L21287">
        <v>44222</v>
      </c>
      <c r="M21287" t="s">
        <v>232</v>
      </c>
      <c r="N21287" t="str">
        <f>"12327024189 "</f>
        <v xml:space="preserve">12327024189 </v>
      </c>
      <c r="O21287">
        <v>230719</v>
      </c>
    </row>
    <row r="21288" spans="1:15" x14ac:dyDescent="0.25">
      <c r="A21288" t="s">
        <v>16</v>
      </c>
      <c r="B21288" t="s">
        <v>3221</v>
      </c>
      <c r="C21288">
        <v>9679</v>
      </c>
      <c r="D21288" t="s">
        <v>263</v>
      </c>
      <c r="E21288" t="s">
        <v>264</v>
      </c>
      <c r="F21288">
        <v>2.7</v>
      </c>
      <c r="G21288">
        <v>230704</v>
      </c>
      <c r="H21288">
        <v>4362</v>
      </c>
      <c r="I21288" t="s">
        <v>79</v>
      </c>
      <c r="J21288">
        <v>3.35</v>
      </c>
      <c r="K21288">
        <v>0.65</v>
      </c>
      <c r="L21288">
        <v>44251</v>
      </c>
      <c r="M21288" t="s">
        <v>156</v>
      </c>
      <c r="N21288" t="str">
        <f>"12327024189 "</f>
        <v xml:space="preserve">12327024189 </v>
      </c>
      <c r="O21288">
        <v>230719</v>
      </c>
    </row>
    <row r="21289" spans="1:15" x14ac:dyDescent="0.25">
      <c r="A21289" t="s">
        <v>16</v>
      </c>
      <c r="B21289" t="s">
        <v>3221</v>
      </c>
      <c r="C21289">
        <v>9679</v>
      </c>
      <c r="D21289" t="s">
        <v>263</v>
      </c>
      <c r="E21289" t="s">
        <v>264</v>
      </c>
      <c r="F21289">
        <v>2.5499999999999998</v>
      </c>
      <c r="G21289">
        <v>230704</v>
      </c>
      <c r="H21289">
        <v>4362</v>
      </c>
      <c r="I21289" t="s">
        <v>79</v>
      </c>
      <c r="J21289">
        <v>3.16</v>
      </c>
      <c r="K21289">
        <v>0.61</v>
      </c>
      <c r="L21289">
        <v>44253</v>
      </c>
      <c r="M21289" t="s">
        <v>1058</v>
      </c>
      <c r="N21289" t="str">
        <f>"12327024189 "</f>
        <v xml:space="preserve">12327024189 </v>
      </c>
      <c r="O21289">
        <v>230719</v>
      </c>
    </row>
    <row r="21290" spans="1:15" x14ac:dyDescent="0.25">
      <c r="A21290" t="s">
        <v>16</v>
      </c>
      <c r="B21290" t="s">
        <v>3221</v>
      </c>
      <c r="C21290">
        <v>9679</v>
      </c>
      <c r="D21290" t="s">
        <v>263</v>
      </c>
      <c r="E21290" t="s">
        <v>264</v>
      </c>
      <c r="F21290">
        <v>5.41</v>
      </c>
      <c r="G21290">
        <v>230704</v>
      </c>
      <c r="H21290">
        <v>4362</v>
      </c>
      <c r="I21290" t="s">
        <v>79</v>
      </c>
      <c r="J21290">
        <v>5.41</v>
      </c>
      <c r="K21290">
        <v>0</v>
      </c>
      <c r="L21290">
        <v>49702</v>
      </c>
      <c r="M21290" t="s">
        <v>584</v>
      </c>
      <c r="N21290" t="str">
        <f>"12327024189 "</f>
        <v xml:space="preserve">12327024189 </v>
      </c>
      <c r="O21290">
        <v>230719</v>
      </c>
    </row>
    <row r="21291" spans="1:15" x14ac:dyDescent="0.25">
      <c r="A21291" t="s">
        <v>16</v>
      </c>
      <c r="B21291" t="s">
        <v>3221</v>
      </c>
      <c r="C21291">
        <v>9738</v>
      </c>
      <c r="D21291" t="s">
        <v>263</v>
      </c>
      <c r="E21291" t="s">
        <v>264</v>
      </c>
      <c r="F21291">
        <v>2.5499999999999998</v>
      </c>
      <c r="G21291">
        <v>230704</v>
      </c>
      <c r="H21291">
        <v>4362</v>
      </c>
      <c r="I21291" t="s">
        <v>79</v>
      </c>
      <c r="J21291">
        <v>3.16</v>
      </c>
      <c r="K21291">
        <v>0.61</v>
      </c>
      <c r="L21291">
        <v>13801</v>
      </c>
      <c r="M21291" t="s">
        <v>162</v>
      </c>
      <c r="N21291" t="str">
        <f>"12327024203 "</f>
        <v xml:space="preserve">12327024203 </v>
      </c>
      <c r="O21291">
        <v>230724</v>
      </c>
    </row>
    <row r="21292" spans="1:15" x14ac:dyDescent="0.25">
      <c r="A21292" t="s">
        <v>16</v>
      </c>
      <c r="B21292" t="s">
        <v>3221</v>
      </c>
      <c r="C21292">
        <v>9739</v>
      </c>
      <c r="D21292" t="s">
        <v>263</v>
      </c>
      <c r="E21292" t="s">
        <v>264</v>
      </c>
      <c r="F21292">
        <v>61.72</v>
      </c>
      <c r="G21292">
        <v>230704</v>
      </c>
      <c r="H21292">
        <v>4362</v>
      </c>
      <c r="I21292" t="s">
        <v>79</v>
      </c>
      <c r="J21292">
        <v>76.53</v>
      </c>
      <c r="K21292">
        <v>14.81</v>
      </c>
      <c r="L21292">
        <v>11801</v>
      </c>
      <c r="M21292" t="s">
        <v>92</v>
      </c>
      <c r="N21292" t="str">
        <f>"12327024201 "</f>
        <v xml:space="preserve">12327024201 </v>
      </c>
      <c r="O21292">
        <v>230724</v>
      </c>
    </row>
    <row r="21293" spans="1:15" x14ac:dyDescent="0.25">
      <c r="A21293" t="s">
        <v>16</v>
      </c>
      <c r="B21293" t="s">
        <v>3221</v>
      </c>
      <c r="C21293">
        <v>9740</v>
      </c>
      <c r="D21293" t="s">
        <v>263</v>
      </c>
      <c r="E21293" t="s">
        <v>264</v>
      </c>
      <c r="F21293">
        <v>5.25</v>
      </c>
      <c r="G21293">
        <v>230704</v>
      </c>
      <c r="H21293">
        <v>4362</v>
      </c>
      <c r="I21293" t="s">
        <v>79</v>
      </c>
      <c r="J21293">
        <v>6.51</v>
      </c>
      <c r="K21293">
        <v>1.26</v>
      </c>
      <c r="L21293">
        <v>14972</v>
      </c>
      <c r="M21293" t="s">
        <v>898</v>
      </c>
      <c r="N21293" t="str">
        <f t="shared" ref="N21293:N21299" si="350">"12327024173 "</f>
        <v xml:space="preserve">12327024173 </v>
      </c>
      <c r="O21293">
        <v>230724</v>
      </c>
    </row>
    <row r="21294" spans="1:15" x14ac:dyDescent="0.25">
      <c r="A21294" t="s">
        <v>16</v>
      </c>
      <c r="B21294" t="s">
        <v>3221</v>
      </c>
      <c r="C21294">
        <v>9740</v>
      </c>
      <c r="D21294" t="s">
        <v>263</v>
      </c>
      <c r="E21294" t="s">
        <v>264</v>
      </c>
      <c r="F21294">
        <v>5.25</v>
      </c>
      <c r="G21294">
        <v>230704</v>
      </c>
      <c r="H21294">
        <v>4362</v>
      </c>
      <c r="I21294" t="s">
        <v>79</v>
      </c>
      <c r="J21294">
        <v>6.51</v>
      </c>
      <c r="K21294">
        <v>1.26</v>
      </c>
      <c r="L21294">
        <v>17972</v>
      </c>
      <c r="M21294" t="s">
        <v>248</v>
      </c>
      <c r="N21294" t="str">
        <f t="shared" si="350"/>
        <v xml:space="preserve">12327024173 </v>
      </c>
      <c r="O21294">
        <v>230724</v>
      </c>
    </row>
    <row r="21295" spans="1:15" x14ac:dyDescent="0.25">
      <c r="A21295" t="s">
        <v>16</v>
      </c>
      <c r="B21295" t="s">
        <v>3221</v>
      </c>
      <c r="C21295">
        <v>9740</v>
      </c>
      <c r="D21295" t="s">
        <v>263</v>
      </c>
      <c r="E21295" t="s">
        <v>264</v>
      </c>
      <c r="F21295">
        <v>4.45</v>
      </c>
      <c r="G21295">
        <v>230704</v>
      </c>
      <c r="H21295">
        <v>4362</v>
      </c>
      <c r="I21295" t="s">
        <v>79</v>
      </c>
      <c r="J21295">
        <v>5.52</v>
      </c>
      <c r="K21295">
        <v>1.07</v>
      </c>
      <c r="L21295">
        <v>18010</v>
      </c>
      <c r="M21295" t="s">
        <v>1344</v>
      </c>
      <c r="N21295" t="str">
        <f t="shared" si="350"/>
        <v xml:space="preserve">12327024173 </v>
      </c>
      <c r="O21295">
        <v>230724</v>
      </c>
    </row>
    <row r="21296" spans="1:15" x14ac:dyDescent="0.25">
      <c r="A21296" t="s">
        <v>16</v>
      </c>
      <c r="B21296" t="s">
        <v>3221</v>
      </c>
      <c r="C21296">
        <v>9740</v>
      </c>
      <c r="D21296" t="s">
        <v>263</v>
      </c>
      <c r="E21296" t="s">
        <v>264</v>
      </c>
      <c r="F21296">
        <v>22.24</v>
      </c>
      <c r="G21296">
        <v>230704</v>
      </c>
      <c r="H21296">
        <v>4362</v>
      </c>
      <c r="I21296" t="s">
        <v>79</v>
      </c>
      <c r="J21296">
        <v>27.58</v>
      </c>
      <c r="K21296">
        <v>5.34</v>
      </c>
      <c r="L21296">
        <v>18010</v>
      </c>
      <c r="M21296" t="s">
        <v>1344</v>
      </c>
      <c r="N21296" t="str">
        <f t="shared" si="350"/>
        <v xml:space="preserve">12327024173 </v>
      </c>
      <c r="O21296">
        <v>230724</v>
      </c>
    </row>
    <row r="21297" spans="1:15" x14ac:dyDescent="0.25">
      <c r="A21297" t="s">
        <v>16</v>
      </c>
      <c r="B21297" t="s">
        <v>3221</v>
      </c>
      <c r="C21297">
        <v>9740</v>
      </c>
      <c r="D21297" t="s">
        <v>263</v>
      </c>
      <c r="E21297" t="s">
        <v>264</v>
      </c>
      <c r="F21297">
        <v>25.6</v>
      </c>
      <c r="G21297">
        <v>230704</v>
      </c>
      <c r="H21297">
        <v>4362</v>
      </c>
      <c r="I21297" t="s">
        <v>79</v>
      </c>
      <c r="J21297">
        <v>31.74</v>
      </c>
      <c r="K21297">
        <v>6.14</v>
      </c>
      <c r="L21297">
        <v>18972</v>
      </c>
      <c r="M21297" t="s">
        <v>163</v>
      </c>
      <c r="N21297" t="str">
        <f t="shared" si="350"/>
        <v xml:space="preserve">12327024173 </v>
      </c>
      <c r="O21297">
        <v>230724</v>
      </c>
    </row>
    <row r="21298" spans="1:15" x14ac:dyDescent="0.25">
      <c r="A21298" t="s">
        <v>16</v>
      </c>
      <c r="B21298" t="s">
        <v>3221</v>
      </c>
      <c r="C21298">
        <v>9740</v>
      </c>
      <c r="D21298" t="s">
        <v>263</v>
      </c>
      <c r="E21298" t="s">
        <v>264</v>
      </c>
      <c r="F21298">
        <v>4.45</v>
      </c>
      <c r="G21298">
        <v>230704</v>
      </c>
      <c r="H21298">
        <v>4362</v>
      </c>
      <c r="I21298" t="s">
        <v>79</v>
      </c>
      <c r="J21298">
        <v>5.52</v>
      </c>
      <c r="K21298">
        <v>1.07</v>
      </c>
      <c r="L21298">
        <v>49702</v>
      </c>
      <c r="M21298" t="s">
        <v>584</v>
      </c>
      <c r="N21298" t="str">
        <f t="shared" si="350"/>
        <v xml:space="preserve">12327024173 </v>
      </c>
      <c r="O21298">
        <v>230724</v>
      </c>
    </row>
    <row r="21299" spans="1:15" x14ac:dyDescent="0.25">
      <c r="A21299" t="s">
        <v>16</v>
      </c>
      <c r="B21299" t="s">
        <v>3221</v>
      </c>
      <c r="C21299">
        <v>9740</v>
      </c>
      <c r="D21299" t="s">
        <v>263</v>
      </c>
      <c r="E21299" t="s">
        <v>264</v>
      </c>
      <c r="F21299">
        <v>5.25</v>
      </c>
      <c r="G21299">
        <v>230704</v>
      </c>
      <c r="H21299">
        <v>4362</v>
      </c>
      <c r="I21299" t="s">
        <v>79</v>
      </c>
      <c r="J21299">
        <v>6.51</v>
      </c>
      <c r="K21299">
        <v>1.26</v>
      </c>
      <c r="L21299">
        <v>59702</v>
      </c>
      <c r="M21299" t="s">
        <v>328</v>
      </c>
      <c r="N21299" t="str">
        <f t="shared" si="350"/>
        <v xml:space="preserve">12327024173 </v>
      </c>
      <c r="O21299">
        <v>230724</v>
      </c>
    </row>
    <row r="21300" spans="1:15" x14ac:dyDescent="0.25">
      <c r="A21300" t="s">
        <v>16</v>
      </c>
      <c r="B21300" t="s">
        <v>3221</v>
      </c>
      <c r="C21300">
        <v>9774</v>
      </c>
      <c r="D21300" t="s">
        <v>263</v>
      </c>
      <c r="E21300" t="s">
        <v>264</v>
      </c>
      <c r="F21300">
        <v>8.1</v>
      </c>
      <c r="G21300">
        <v>230704</v>
      </c>
      <c r="H21300">
        <v>4362</v>
      </c>
      <c r="I21300" t="s">
        <v>79</v>
      </c>
      <c r="J21300">
        <v>10.039999999999999</v>
      </c>
      <c r="K21300">
        <v>1.94</v>
      </c>
      <c r="L21300">
        <v>17913</v>
      </c>
      <c r="M21300" t="s">
        <v>431</v>
      </c>
      <c r="N21300" t="str">
        <f>"12327024194 "</f>
        <v xml:space="preserve">12327024194 </v>
      </c>
      <c r="O21300">
        <v>230725</v>
      </c>
    </row>
    <row r="21301" spans="1:15" x14ac:dyDescent="0.25">
      <c r="A21301" t="s">
        <v>16</v>
      </c>
      <c r="B21301" t="s">
        <v>3221</v>
      </c>
      <c r="C21301">
        <v>9774</v>
      </c>
      <c r="D21301" t="s">
        <v>263</v>
      </c>
      <c r="E21301" t="s">
        <v>264</v>
      </c>
      <c r="F21301">
        <v>21.6</v>
      </c>
      <c r="G21301">
        <v>230704</v>
      </c>
      <c r="H21301">
        <v>4362</v>
      </c>
      <c r="I21301" t="s">
        <v>79</v>
      </c>
      <c r="J21301">
        <v>26.78</v>
      </c>
      <c r="K21301">
        <v>5.18</v>
      </c>
      <c r="L21301">
        <v>17951</v>
      </c>
      <c r="M21301" t="s">
        <v>87</v>
      </c>
      <c r="N21301" t="str">
        <f>"12327024194 "</f>
        <v xml:space="preserve">12327024194 </v>
      </c>
      <c r="O21301">
        <v>230725</v>
      </c>
    </row>
    <row r="21302" spans="1:15" x14ac:dyDescent="0.25">
      <c r="A21302" t="s">
        <v>16</v>
      </c>
      <c r="B21302" t="s">
        <v>3221</v>
      </c>
      <c r="C21302">
        <v>9774</v>
      </c>
      <c r="D21302" t="s">
        <v>263</v>
      </c>
      <c r="E21302" t="s">
        <v>264</v>
      </c>
      <c r="F21302">
        <v>11.07</v>
      </c>
      <c r="G21302">
        <v>230704</v>
      </c>
      <c r="H21302">
        <v>4362</v>
      </c>
      <c r="I21302" t="s">
        <v>79</v>
      </c>
      <c r="J21302">
        <v>13.73</v>
      </c>
      <c r="K21302">
        <v>2.66</v>
      </c>
      <c r="L21302">
        <v>17971</v>
      </c>
      <c r="M21302" t="s">
        <v>138</v>
      </c>
      <c r="N21302" t="str">
        <f>"12327024194 "</f>
        <v xml:space="preserve">12327024194 </v>
      </c>
      <c r="O21302">
        <v>230725</v>
      </c>
    </row>
    <row r="21303" spans="1:15" x14ac:dyDescent="0.25">
      <c r="A21303" t="s">
        <v>16</v>
      </c>
      <c r="B21303" t="s">
        <v>3221</v>
      </c>
      <c r="C21303">
        <v>9774</v>
      </c>
      <c r="D21303" t="s">
        <v>263</v>
      </c>
      <c r="E21303" t="s">
        <v>264</v>
      </c>
      <c r="F21303">
        <v>5.99</v>
      </c>
      <c r="G21303">
        <v>230704</v>
      </c>
      <c r="H21303">
        <v>4362</v>
      </c>
      <c r="I21303" t="s">
        <v>79</v>
      </c>
      <c r="J21303">
        <v>7.43</v>
      </c>
      <c r="K21303">
        <v>1.44</v>
      </c>
      <c r="L21303">
        <v>17974</v>
      </c>
      <c r="M21303" t="s">
        <v>460</v>
      </c>
      <c r="N21303" t="str">
        <f>"12327024194 "</f>
        <v xml:space="preserve">12327024194 </v>
      </c>
      <c r="O21303">
        <v>230725</v>
      </c>
    </row>
    <row r="21304" spans="1:15" x14ac:dyDescent="0.25">
      <c r="A21304" t="s">
        <v>16</v>
      </c>
      <c r="B21304" t="s">
        <v>3221</v>
      </c>
      <c r="C21304">
        <v>9774</v>
      </c>
      <c r="D21304" t="s">
        <v>263</v>
      </c>
      <c r="E21304" t="s">
        <v>264</v>
      </c>
      <c r="F21304">
        <v>16.170000000000002</v>
      </c>
      <c r="G21304">
        <v>230704</v>
      </c>
      <c r="H21304">
        <v>4362</v>
      </c>
      <c r="I21304" t="s">
        <v>79</v>
      </c>
      <c r="J21304">
        <v>20.05</v>
      </c>
      <c r="K21304">
        <v>3.88</v>
      </c>
      <c r="L21304">
        <v>17975</v>
      </c>
      <c r="M21304" t="s">
        <v>798</v>
      </c>
      <c r="N21304" t="str">
        <f>"12327024194 "</f>
        <v xml:space="preserve">12327024194 </v>
      </c>
      <c r="O21304">
        <v>230725</v>
      </c>
    </row>
    <row r="21305" spans="1:15" x14ac:dyDescent="0.25">
      <c r="A21305" t="s">
        <v>16</v>
      </c>
      <c r="B21305" t="s">
        <v>3221</v>
      </c>
      <c r="C21305">
        <v>9790</v>
      </c>
      <c r="D21305" t="s">
        <v>263</v>
      </c>
      <c r="E21305" t="s">
        <v>264</v>
      </c>
      <c r="F21305">
        <v>2.7</v>
      </c>
      <c r="G21305">
        <v>230704</v>
      </c>
      <c r="H21305">
        <v>4362</v>
      </c>
      <c r="I21305" t="s">
        <v>79</v>
      </c>
      <c r="J21305">
        <v>3.35</v>
      </c>
      <c r="K21305">
        <v>0.65</v>
      </c>
      <c r="L21305">
        <v>13201</v>
      </c>
      <c r="M21305" t="s">
        <v>161</v>
      </c>
      <c r="N21305" t="str">
        <f t="shared" ref="N21305:N21316" si="351">"12327024199 "</f>
        <v xml:space="preserve">12327024199 </v>
      </c>
      <c r="O21305">
        <v>230725</v>
      </c>
    </row>
    <row r="21306" spans="1:15" x14ac:dyDescent="0.25">
      <c r="A21306" t="s">
        <v>16</v>
      </c>
      <c r="B21306" t="s">
        <v>3221</v>
      </c>
      <c r="C21306">
        <v>9790</v>
      </c>
      <c r="D21306" t="s">
        <v>263</v>
      </c>
      <c r="E21306" t="s">
        <v>264</v>
      </c>
      <c r="F21306">
        <v>3.35</v>
      </c>
      <c r="G21306">
        <v>230704</v>
      </c>
      <c r="H21306">
        <v>4362</v>
      </c>
      <c r="I21306" t="s">
        <v>79</v>
      </c>
      <c r="J21306">
        <v>3.35</v>
      </c>
      <c r="K21306">
        <v>0</v>
      </c>
      <c r="L21306">
        <v>13201</v>
      </c>
      <c r="M21306" t="s">
        <v>161</v>
      </c>
      <c r="N21306" t="str">
        <f t="shared" si="351"/>
        <v xml:space="preserve">12327024199 </v>
      </c>
      <c r="O21306">
        <v>230725</v>
      </c>
    </row>
    <row r="21307" spans="1:15" x14ac:dyDescent="0.25">
      <c r="A21307" t="s">
        <v>16</v>
      </c>
      <c r="B21307" t="s">
        <v>3221</v>
      </c>
      <c r="C21307">
        <v>9790</v>
      </c>
      <c r="D21307" t="s">
        <v>263</v>
      </c>
      <c r="E21307" t="s">
        <v>264</v>
      </c>
      <c r="F21307">
        <v>24.3</v>
      </c>
      <c r="G21307">
        <v>230704</v>
      </c>
      <c r="H21307">
        <v>4362</v>
      </c>
      <c r="I21307" t="s">
        <v>79</v>
      </c>
      <c r="J21307">
        <v>30.13</v>
      </c>
      <c r="K21307">
        <v>5.83</v>
      </c>
      <c r="L21307">
        <v>13401</v>
      </c>
      <c r="M21307" t="s">
        <v>80</v>
      </c>
      <c r="N21307" t="str">
        <f t="shared" si="351"/>
        <v xml:space="preserve">12327024199 </v>
      </c>
      <c r="O21307">
        <v>230725</v>
      </c>
    </row>
    <row r="21308" spans="1:15" x14ac:dyDescent="0.25">
      <c r="A21308" t="s">
        <v>16</v>
      </c>
      <c r="B21308" t="s">
        <v>3221</v>
      </c>
      <c r="C21308">
        <v>9790</v>
      </c>
      <c r="D21308" t="s">
        <v>263</v>
      </c>
      <c r="E21308" t="s">
        <v>264</v>
      </c>
      <c r="F21308">
        <v>8.0399999999999991</v>
      </c>
      <c r="G21308">
        <v>230704</v>
      </c>
      <c r="H21308">
        <v>4362</v>
      </c>
      <c r="I21308" t="s">
        <v>79</v>
      </c>
      <c r="J21308">
        <v>9.9700000000000006</v>
      </c>
      <c r="K21308">
        <v>1.93</v>
      </c>
      <c r="L21308">
        <v>13401</v>
      </c>
      <c r="M21308" t="s">
        <v>80</v>
      </c>
      <c r="N21308" t="str">
        <f t="shared" si="351"/>
        <v xml:space="preserve">12327024199 </v>
      </c>
      <c r="O21308">
        <v>230725</v>
      </c>
    </row>
    <row r="21309" spans="1:15" x14ac:dyDescent="0.25">
      <c r="A21309" t="s">
        <v>16</v>
      </c>
      <c r="B21309" t="s">
        <v>3221</v>
      </c>
      <c r="C21309">
        <v>9790</v>
      </c>
      <c r="D21309" t="s">
        <v>263</v>
      </c>
      <c r="E21309" t="s">
        <v>264</v>
      </c>
      <c r="F21309">
        <v>24.39</v>
      </c>
      <c r="G21309">
        <v>230704</v>
      </c>
      <c r="H21309">
        <v>4362</v>
      </c>
      <c r="I21309" t="s">
        <v>79</v>
      </c>
      <c r="J21309">
        <v>30.24</v>
      </c>
      <c r="K21309">
        <v>5.85</v>
      </c>
      <c r="L21309">
        <v>13501</v>
      </c>
      <c r="M21309" t="s">
        <v>20</v>
      </c>
      <c r="N21309" t="str">
        <f t="shared" si="351"/>
        <v xml:space="preserve">12327024199 </v>
      </c>
      <c r="O21309">
        <v>230725</v>
      </c>
    </row>
    <row r="21310" spans="1:15" x14ac:dyDescent="0.25">
      <c r="A21310" t="s">
        <v>16</v>
      </c>
      <c r="B21310" t="s">
        <v>3221</v>
      </c>
      <c r="C21310">
        <v>9790</v>
      </c>
      <c r="D21310" t="s">
        <v>263</v>
      </c>
      <c r="E21310" t="s">
        <v>264</v>
      </c>
      <c r="F21310">
        <v>2.71</v>
      </c>
      <c r="G21310">
        <v>230704</v>
      </c>
      <c r="H21310">
        <v>4362</v>
      </c>
      <c r="I21310" t="s">
        <v>79</v>
      </c>
      <c r="J21310">
        <v>3.36</v>
      </c>
      <c r="K21310">
        <v>0.65</v>
      </c>
      <c r="L21310">
        <v>13561</v>
      </c>
      <c r="M21310" t="s">
        <v>246</v>
      </c>
      <c r="N21310" t="str">
        <f t="shared" si="351"/>
        <v xml:space="preserve">12327024199 </v>
      </c>
      <c r="O21310">
        <v>230725</v>
      </c>
    </row>
    <row r="21311" spans="1:15" x14ac:dyDescent="0.25">
      <c r="A21311" t="s">
        <v>16</v>
      </c>
      <c r="B21311" t="s">
        <v>3221</v>
      </c>
      <c r="C21311">
        <v>9790</v>
      </c>
      <c r="D21311" t="s">
        <v>263</v>
      </c>
      <c r="E21311" t="s">
        <v>264</v>
      </c>
      <c r="F21311">
        <v>2.72</v>
      </c>
      <c r="G21311">
        <v>230704</v>
      </c>
      <c r="H21311">
        <v>4362</v>
      </c>
      <c r="I21311" t="s">
        <v>79</v>
      </c>
      <c r="J21311">
        <v>3.37</v>
      </c>
      <c r="K21311">
        <v>0.65</v>
      </c>
      <c r="L21311">
        <v>13561</v>
      </c>
      <c r="M21311" t="s">
        <v>246</v>
      </c>
      <c r="N21311" t="str">
        <f t="shared" si="351"/>
        <v xml:space="preserve">12327024199 </v>
      </c>
      <c r="O21311">
        <v>230725</v>
      </c>
    </row>
    <row r="21312" spans="1:15" x14ac:dyDescent="0.25">
      <c r="A21312" t="s">
        <v>16</v>
      </c>
      <c r="B21312" t="s">
        <v>3221</v>
      </c>
      <c r="C21312">
        <v>9790</v>
      </c>
      <c r="D21312" t="s">
        <v>263</v>
      </c>
      <c r="E21312" t="s">
        <v>264</v>
      </c>
      <c r="F21312">
        <v>2.7</v>
      </c>
      <c r="G21312">
        <v>230704</v>
      </c>
      <c r="H21312">
        <v>4362</v>
      </c>
      <c r="I21312" t="s">
        <v>79</v>
      </c>
      <c r="J21312">
        <v>3.35</v>
      </c>
      <c r="K21312">
        <v>0.65</v>
      </c>
      <c r="L21312">
        <v>13661</v>
      </c>
      <c r="M21312" t="s">
        <v>247</v>
      </c>
      <c r="N21312" t="str">
        <f t="shared" si="351"/>
        <v xml:space="preserve">12327024199 </v>
      </c>
      <c r="O21312">
        <v>230725</v>
      </c>
    </row>
    <row r="21313" spans="1:15" x14ac:dyDescent="0.25">
      <c r="A21313" t="s">
        <v>16</v>
      </c>
      <c r="B21313" t="s">
        <v>3221</v>
      </c>
      <c r="C21313">
        <v>9790</v>
      </c>
      <c r="D21313" t="s">
        <v>263</v>
      </c>
      <c r="E21313" t="s">
        <v>264</v>
      </c>
      <c r="F21313">
        <v>13.07</v>
      </c>
      <c r="G21313">
        <v>230704</v>
      </c>
      <c r="H21313">
        <v>4362</v>
      </c>
      <c r="I21313" t="s">
        <v>79</v>
      </c>
      <c r="J21313">
        <v>16.21</v>
      </c>
      <c r="K21313">
        <v>3.14</v>
      </c>
      <c r="L21313">
        <v>13801</v>
      </c>
      <c r="M21313" t="s">
        <v>162</v>
      </c>
      <c r="N21313" t="str">
        <f t="shared" si="351"/>
        <v xml:space="preserve">12327024199 </v>
      </c>
      <c r="O21313">
        <v>230725</v>
      </c>
    </row>
    <row r="21314" spans="1:15" x14ac:dyDescent="0.25">
      <c r="A21314" t="s">
        <v>16</v>
      </c>
      <c r="B21314" t="s">
        <v>3221</v>
      </c>
      <c r="C21314">
        <v>9790</v>
      </c>
      <c r="D21314" t="s">
        <v>263</v>
      </c>
      <c r="E21314" t="s">
        <v>264</v>
      </c>
      <c r="F21314">
        <v>13.6</v>
      </c>
      <c r="G21314">
        <v>230704</v>
      </c>
      <c r="H21314">
        <v>4362</v>
      </c>
      <c r="I21314" t="s">
        <v>79</v>
      </c>
      <c r="J21314">
        <v>16.86</v>
      </c>
      <c r="K21314">
        <v>3.26</v>
      </c>
      <c r="L21314">
        <v>13801</v>
      </c>
      <c r="M21314" t="s">
        <v>162</v>
      </c>
      <c r="N21314" t="str">
        <f t="shared" si="351"/>
        <v xml:space="preserve">12327024199 </v>
      </c>
      <c r="O21314">
        <v>230725</v>
      </c>
    </row>
    <row r="21315" spans="1:15" x14ac:dyDescent="0.25">
      <c r="A21315" t="s">
        <v>16</v>
      </c>
      <c r="B21315" t="s">
        <v>3221</v>
      </c>
      <c r="C21315">
        <v>9790</v>
      </c>
      <c r="D21315" t="s">
        <v>263</v>
      </c>
      <c r="E21315" t="s">
        <v>264</v>
      </c>
      <c r="F21315">
        <v>10.65</v>
      </c>
      <c r="G21315">
        <v>230704</v>
      </c>
      <c r="H21315">
        <v>4362</v>
      </c>
      <c r="I21315" t="s">
        <v>79</v>
      </c>
      <c r="J21315">
        <v>13.2</v>
      </c>
      <c r="K21315">
        <v>2.5499999999999998</v>
      </c>
      <c r="L21315">
        <v>13802</v>
      </c>
      <c r="M21315" t="s">
        <v>200</v>
      </c>
      <c r="N21315" t="str">
        <f t="shared" si="351"/>
        <v xml:space="preserve">12327024199 </v>
      </c>
      <c r="O21315">
        <v>230725</v>
      </c>
    </row>
    <row r="21316" spans="1:15" x14ac:dyDescent="0.25">
      <c r="A21316" t="s">
        <v>16</v>
      </c>
      <c r="B21316" t="s">
        <v>3221</v>
      </c>
      <c r="C21316">
        <v>9790</v>
      </c>
      <c r="D21316" t="s">
        <v>263</v>
      </c>
      <c r="E21316" t="s">
        <v>264</v>
      </c>
      <c r="F21316">
        <v>2.72</v>
      </c>
      <c r="G21316">
        <v>230704</v>
      </c>
      <c r="H21316">
        <v>4362</v>
      </c>
      <c r="I21316" t="s">
        <v>79</v>
      </c>
      <c r="J21316">
        <v>3.37</v>
      </c>
      <c r="K21316">
        <v>0.65</v>
      </c>
      <c r="L21316">
        <v>17971</v>
      </c>
      <c r="M21316" t="s">
        <v>138</v>
      </c>
      <c r="N21316" t="str">
        <f t="shared" si="351"/>
        <v xml:space="preserve">12327024199 </v>
      </c>
      <c r="O21316">
        <v>230725</v>
      </c>
    </row>
    <row r="21317" spans="1:15" x14ac:dyDescent="0.25">
      <c r="A21317" t="s">
        <v>16</v>
      </c>
      <c r="B21317" t="s">
        <v>3221</v>
      </c>
      <c r="C21317">
        <v>9835</v>
      </c>
      <c r="D21317" t="s">
        <v>263</v>
      </c>
      <c r="E21317" t="s">
        <v>264</v>
      </c>
      <c r="F21317">
        <v>2.7</v>
      </c>
      <c r="G21317">
        <v>230704</v>
      </c>
      <c r="H21317">
        <v>4362</v>
      </c>
      <c r="I21317" t="s">
        <v>79</v>
      </c>
      <c r="J21317">
        <v>3.35</v>
      </c>
      <c r="K21317">
        <v>0.65</v>
      </c>
      <c r="L21317">
        <v>11001</v>
      </c>
      <c r="M21317" t="s">
        <v>326</v>
      </c>
      <c r="N21317" t="str">
        <f t="shared" ref="N21317:N21322" si="352">"12327024172 "</f>
        <v xml:space="preserve">12327024172 </v>
      </c>
      <c r="O21317">
        <v>230727</v>
      </c>
    </row>
    <row r="21318" spans="1:15" x14ac:dyDescent="0.25">
      <c r="A21318" t="s">
        <v>16</v>
      </c>
      <c r="B21318" t="s">
        <v>3221</v>
      </c>
      <c r="C21318">
        <v>9835</v>
      </c>
      <c r="D21318" t="s">
        <v>263</v>
      </c>
      <c r="E21318" t="s">
        <v>264</v>
      </c>
      <c r="F21318">
        <v>42.76</v>
      </c>
      <c r="G21318">
        <v>230704</v>
      </c>
      <c r="H21318">
        <v>4362</v>
      </c>
      <c r="I21318" t="s">
        <v>79</v>
      </c>
      <c r="J21318">
        <v>42.76</v>
      </c>
      <c r="K21318">
        <v>0</v>
      </c>
      <c r="L21318">
        <v>11001</v>
      </c>
      <c r="M21318" t="s">
        <v>326</v>
      </c>
      <c r="N21318" t="str">
        <f t="shared" si="352"/>
        <v xml:space="preserve">12327024172 </v>
      </c>
      <c r="O21318">
        <v>230727</v>
      </c>
    </row>
    <row r="21319" spans="1:15" x14ac:dyDescent="0.25">
      <c r="A21319" t="s">
        <v>16</v>
      </c>
      <c r="B21319" t="s">
        <v>3221</v>
      </c>
      <c r="C21319">
        <v>9835</v>
      </c>
      <c r="D21319" t="s">
        <v>263</v>
      </c>
      <c r="E21319" t="s">
        <v>264</v>
      </c>
      <c r="F21319">
        <v>5.4</v>
      </c>
      <c r="G21319">
        <v>230704</v>
      </c>
      <c r="H21319">
        <v>4362</v>
      </c>
      <c r="I21319" t="s">
        <v>79</v>
      </c>
      <c r="J21319">
        <v>6.7</v>
      </c>
      <c r="K21319">
        <v>1.3</v>
      </c>
      <c r="L21319">
        <v>11501</v>
      </c>
      <c r="M21319" t="s">
        <v>339</v>
      </c>
      <c r="N21319" t="str">
        <f t="shared" si="352"/>
        <v xml:space="preserve">12327024172 </v>
      </c>
      <c r="O21319">
        <v>230727</v>
      </c>
    </row>
    <row r="21320" spans="1:15" x14ac:dyDescent="0.25">
      <c r="A21320" t="s">
        <v>16</v>
      </c>
      <c r="B21320" t="s">
        <v>3221</v>
      </c>
      <c r="C21320">
        <v>9835</v>
      </c>
      <c r="D21320" t="s">
        <v>263</v>
      </c>
      <c r="E21320" t="s">
        <v>264</v>
      </c>
      <c r="F21320">
        <v>2.7</v>
      </c>
      <c r="G21320">
        <v>230704</v>
      </c>
      <c r="H21320">
        <v>4362</v>
      </c>
      <c r="I21320" t="s">
        <v>79</v>
      </c>
      <c r="J21320">
        <v>3.35</v>
      </c>
      <c r="K21320">
        <v>0.65</v>
      </c>
      <c r="L21320">
        <v>11701</v>
      </c>
      <c r="M21320" t="s">
        <v>1204</v>
      </c>
      <c r="N21320" t="str">
        <f t="shared" si="352"/>
        <v xml:space="preserve">12327024172 </v>
      </c>
      <c r="O21320">
        <v>230727</v>
      </c>
    </row>
    <row r="21321" spans="1:15" x14ac:dyDescent="0.25">
      <c r="A21321" t="s">
        <v>16</v>
      </c>
      <c r="B21321" t="s">
        <v>3221</v>
      </c>
      <c r="C21321">
        <v>9835</v>
      </c>
      <c r="D21321" t="s">
        <v>263</v>
      </c>
      <c r="E21321" t="s">
        <v>264</v>
      </c>
      <c r="F21321">
        <v>5.4</v>
      </c>
      <c r="G21321">
        <v>230704</v>
      </c>
      <c r="H21321">
        <v>4362</v>
      </c>
      <c r="I21321" t="s">
        <v>79</v>
      </c>
      <c r="J21321">
        <v>6.7</v>
      </c>
      <c r="K21321">
        <v>1.3</v>
      </c>
      <c r="L21321">
        <v>11751</v>
      </c>
      <c r="M21321" t="s">
        <v>1339</v>
      </c>
      <c r="N21321" t="str">
        <f t="shared" si="352"/>
        <v xml:space="preserve">12327024172 </v>
      </c>
      <c r="O21321">
        <v>230727</v>
      </c>
    </row>
    <row r="21322" spans="1:15" x14ac:dyDescent="0.25">
      <c r="A21322" t="s">
        <v>16</v>
      </c>
      <c r="B21322" t="s">
        <v>3221</v>
      </c>
      <c r="C21322">
        <v>9835</v>
      </c>
      <c r="D21322" t="s">
        <v>263</v>
      </c>
      <c r="E21322" t="s">
        <v>264</v>
      </c>
      <c r="F21322">
        <v>25.96</v>
      </c>
      <c r="G21322">
        <v>230704</v>
      </c>
      <c r="H21322">
        <v>4362</v>
      </c>
      <c r="I21322" t="s">
        <v>79</v>
      </c>
      <c r="J21322">
        <v>32.19</v>
      </c>
      <c r="K21322">
        <v>6.23</v>
      </c>
      <c r="L21322">
        <v>14622</v>
      </c>
      <c r="M21322" t="s">
        <v>1005</v>
      </c>
      <c r="N21322" t="str">
        <f t="shared" si="352"/>
        <v xml:space="preserve">12327024172 </v>
      </c>
      <c r="O21322">
        <v>230727</v>
      </c>
    </row>
    <row r="21323" spans="1:15" x14ac:dyDescent="0.25">
      <c r="A21323" t="s">
        <v>16</v>
      </c>
      <c r="B21323" t="s">
        <v>3221</v>
      </c>
      <c r="C21323">
        <v>9845</v>
      </c>
      <c r="D21323" t="s">
        <v>263</v>
      </c>
      <c r="E21323" t="s">
        <v>264</v>
      </c>
      <c r="F21323">
        <v>2.7</v>
      </c>
      <c r="G21323">
        <v>230704</v>
      </c>
      <c r="H21323">
        <v>4362</v>
      </c>
      <c r="I21323" t="s">
        <v>79</v>
      </c>
      <c r="J21323">
        <v>3.35</v>
      </c>
      <c r="K21323">
        <v>0.65</v>
      </c>
      <c r="L21323">
        <v>11301</v>
      </c>
      <c r="M21323" t="s">
        <v>29</v>
      </c>
      <c r="N21323" t="str">
        <f t="shared" ref="N21323:N21335" si="353">"12327024179 "</f>
        <v xml:space="preserve">12327024179 </v>
      </c>
      <c r="O21323">
        <v>230731</v>
      </c>
    </row>
    <row r="21324" spans="1:15" x14ac:dyDescent="0.25">
      <c r="A21324" t="s">
        <v>16</v>
      </c>
      <c r="B21324" t="s">
        <v>3221</v>
      </c>
      <c r="C21324">
        <v>9845</v>
      </c>
      <c r="D21324" t="s">
        <v>263</v>
      </c>
      <c r="E21324" t="s">
        <v>264</v>
      </c>
      <c r="F21324">
        <v>5.25</v>
      </c>
      <c r="G21324">
        <v>230704</v>
      </c>
      <c r="H21324">
        <v>4362</v>
      </c>
      <c r="I21324" t="s">
        <v>79</v>
      </c>
      <c r="J21324">
        <v>6.51</v>
      </c>
      <c r="K21324">
        <v>1.26</v>
      </c>
      <c r="L21324">
        <v>11301</v>
      </c>
      <c r="M21324" t="s">
        <v>29</v>
      </c>
      <c r="N21324" t="str">
        <f t="shared" si="353"/>
        <v xml:space="preserve">12327024179 </v>
      </c>
      <c r="O21324">
        <v>230731</v>
      </c>
    </row>
    <row r="21325" spans="1:15" x14ac:dyDescent="0.25">
      <c r="A21325" t="s">
        <v>16</v>
      </c>
      <c r="B21325" t="s">
        <v>3221</v>
      </c>
      <c r="C21325">
        <v>9845</v>
      </c>
      <c r="D21325" t="s">
        <v>263</v>
      </c>
      <c r="E21325" t="s">
        <v>264</v>
      </c>
      <c r="F21325">
        <v>15.65</v>
      </c>
      <c r="G21325">
        <v>230704</v>
      </c>
      <c r="H21325">
        <v>4362</v>
      </c>
      <c r="I21325" t="s">
        <v>79</v>
      </c>
      <c r="J21325">
        <v>19.41</v>
      </c>
      <c r="K21325">
        <v>3.76</v>
      </c>
      <c r="L21325">
        <v>11900</v>
      </c>
      <c r="M21325" t="s">
        <v>1105</v>
      </c>
      <c r="N21325" t="str">
        <f t="shared" si="353"/>
        <v xml:space="preserve">12327024179 </v>
      </c>
      <c r="O21325">
        <v>230731</v>
      </c>
    </row>
    <row r="21326" spans="1:15" x14ac:dyDescent="0.25">
      <c r="A21326" t="s">
        <v>16</v>
      </c>
      <c r="B21326" t="s">
        <v>3221</v>
      </c>
      <c r="C21326">
        <v>9845</v>
      </c>
      <c r="D21326" t="s">
        <v>263</v>
      </c>
      <c r="E21326" t="s">
        <v>264</v>
      </c>
      <c r="F21326">
        <v>2.7</v>
      </c>
      <c r="G21326">
        <v>230704</v>
      </c>
      <c r="H21326">
        <v>4362</v>
      </c>
      <c r="I21326" t="s">
        <v>79</v>
      </c>
      <c r="J21326">
        <v>3.35</v>
      </c>
      <c r="K21326">
        <v>0.65</v>
      </c>
      <c r="L21326">
        <v>11901</v>
      </c>
      <c r="M21326" t="s">
        <v>36</v>
      </c>
      <c r="N21326" t="str">
        <f t="shared" si="353"/>
        <v xml:space="preserve">12327024179 </v>
      </c>
      <c r="O21326">
        <v>230731</v>
      </c>
    </row>
    <row r="21327" spans="1:15" x14ac:dyDescent="0.25">
      <c r="A21327" t="s">
        <v>16</v>
      </c>
      <c r="B21327" t="s">
        <v>3221</v>
      </c>
      <c r="C21327">
        <v>9845</v>
      </c>
      <c r="D21327" t="s">
        <v>263</v>
      </c>
      <c r="E21327" t="s">
        <v>264</v>
      </c>
      <c r="F21327">
        <v>5.4</v>
      </c>
      <c r="G21327">
        <v>230704</v>
      </c>
      <c r="H21327">
        <v>4362</v>
      </c>
      <c r="I21327" t="s">
        <v>79</v>
      </c>
      <c r="J21327">
        <v>6.7</v>
      </c>
      <c r="K21327">
        <v>1.3</v>
      </c>
      <c r="L21327">
        <v>11901</v>
      </c>
      <c r="M21327" t="s">
        <v>36</v>
      </c>
      <c r="N21327" t="str">
        <f t="shared" si="353"/>
        <v xml:space="preserve">12327024179 </v>
      </c>
      <c r="O21327">
        <v>230731</v>
      </c>
    </row>
    <row r="21328" spans="1:15" x14ac:dyDescent="0.25">
      <c r="A21328" t="s">
        <v>16</v>
      </c>
      <c r="B21328" t="s">
        <v>3221</v>
      </c>
      <c r="C21328">
        <v>9845</v>
      </c>
      <c r="D21328" t="s">
        <v>263</v>
      </c>
      <c r="E21328" t="s">
        <v>264</v>
      </c>
      <c r="F21328">
        <v>8.6</v>
      </c>
      <c r="G21328">
        <v>230704</v>
      </c>
      <c r="H21328">
        <v>4362</v>
      </c>
      <c r="I21328" t="s">
        <v>79</v>
      </c>
      <c r="J21328">
        <v>10.66</v>
      </c>
      <c r="K21328">
        <v>2.06</v>
      </c>
      <c r="L21328">
        <v>11901</v>
      </c>
      <c r="M21328" t="s">
        <v>36</v>
      </c>
      <c r="N21328" t="str">
        <f t="shared" si="353"/>
        <v xml:space="preserve">12327024179 </v>
      </c>
      <c r="O21328">
        <v>230731</v>
      </c>
    </row>
    <row r="21329" spans="1:15" x14ac:dyDescent="0.25">
      <c r="A21329" t="s">
        <v>16</v>
      </c>
      <c r="B21329" t="s">
        <v>3221</v>
      </c>
      <c r="C21329">
        <v>9845</v>
      </c>
      <c r="D21329" t="s">
        <v>263</v>
      </c>
      <c r="E21329" t="s">
        <v>264</v>
      </c>
      <c r="F21329">
        <v>25.29</v>
      </c>
      <c r="G21329">
        <v>230704</v>
      </c>
      <c r="H21329">
        <v>4362</v>
      </c>
      <c r="I21329" t="s">
        <v>79</v>
      </c>
      <c r="J21329">
        <v>25.29</v>
      </c>
      <c r="K21329">
        <v>0</v>
      </c>
      <c r="L21329">
        <v>11901</v>
      </c>
      <c r="M21329" t="s">
        <v>36</v>
      </c>
      <c r="N21329" t="str">
        <f t="shared" si="353"/>
        <v xml:space="preserve">12327024179 </v>
      </c>
      <c r="O21329">
        <v>230731</v>
      </c>
    </row>
    <row r="21330" spans="1:15" x14ac:dyDescent="0.25">
      <c r="A21330" t="s">
        <v>16</v>
      </c>
      <c r="B21330" t="s">
        <v>3221</v>
      </c>
      <c r="C21330">
        <v>9845</v>
      </c>
      <c r="D21330" t="s">
        <v>263</v>
      </c>
      <c r="E21330" t="s">
        <v>264</v>
      </c>
      <c r="F21330">
        <v>5.93</v>
      </c>
      <c r="G21330">
        <v>230704</v>
      </c>
      <c r="H21330">
        <v>4362</v>
      </c>
      <c r="I21330" t="s">
        <v>79</v>
      </c>
      <c r="J21330">
        <v>7.35</v>
      </c>
      <c r="K21330">
        <v>1.42</v>
      </c>
      <c r="L21330">
        <v>11903</v>
      </c>
      <c r="M21330" t="s">
        <v>406</v>
      </c>
      <c r="N21330" t="str">
        <f t="shared" si="353"/>
        <v xml:space="preserve">12327024179 </v>
      </c>
      <c r="O21330">
        <v>230731</v>
      </c>
    </row>
    <row r="21331" spans="1:15" x14ac:dyDescent="0.25">
      <c r="A21331" t="s">
        <v>16</v>
      </c>
      <c r="B21331" t="s">
        <v>3221</v>
      </c>
      <c r="C21331">
        <v>9845</v>
      </c>
      <c r="D21331" t="s">
        <v>263</v>
      </c>
      <c r="E21331" t="s">
        <v>264</v>
      </c>
      <c r="F21331">
        <v>5.4</v>
      </c>
      <c r="G21331">
        <v>230704</v>
      </c>
      <c r="H21331">
        <v>4362</v>
      </c>
      <c r="I21331" t="s">
        <v>79</v>
      </c>
      <c r="J21331">
        <v>6.7</v>
      </c>
      <c r="K21331">
        <v>1.3</v>
      </c>
      <c r="L21331">
        <v>11905</v>
      </c>
      <c r="M21331" t="s">
        <v>39</v>
      </c>
      <c r="N21331" t="str">
        <f t="shared" si="353"/>
        <v xml:space="preserve">12327024179 </v>
      </c>
      <c r="O21331">
        <v>230731</v>
      </c>
    </row>
    <row r="21332" spans="1:15" x14ac:dyDescent="0.25">
      <c r="A21332" t="s">
        <v>16</v>
      </c>
      <c r="B21332" t="s">
        <v>3221</v>
      </c>
      <c r="C21332">
        <v>9845</v>
      </c>
      <c r="D21332" t="s">
        <v>263</v>
      </c>
      <c r="E21332" t="s">
        <v>264</v>
      </c>
      <c r="F21332">
        <v>3.91</v>
      </c>
      <c r="G21332">
        <v>230704</v>
      </c>
      <c r="H21332">
        <v>4362</v>
      </c>
      <c r="I21332" t="s">
        <v>79</v>
      </c>
      <c r="J21332">
        <v>4.8499999999999996</v>
      </c>
      <c r="K21332">
        <v>0.94</v>
      </c>
      <c r="L21332">
        <v>11908</v>
      </c>
      <c r="M21332" t="s">
        <v>598</v>
      </c>
      <c r="N21332" t="str">
        <f t="shared" si="353"/>
        <v xml:space="preserve">12327024179 </v>
      </c>
      <c r="O21332">
        <v>230731</v>
      </c>
    </row>
    <row r="21333" spans="1:15" x14ac:dyDescent="0.25">
      <c r="A21333" t="s">
        <v>16</v>
      </c>
      <c r="B21333" t="s">
        <v>3221</v>
      </c>
      <c r="C21333">
        <v>9845</v>
      </c>
      <c r="D21333" t="s">
        <v>263</v>
      </c>
      <c r="E21333" t="s">
        <v>264</v>
      </c>
      <c r="F21333">
        <v>2.7</v>
      </c>
      <c r="G21333">
        <v>230704</v>
      </c>
      <c r="H21333">
        <v>4362</v>
      </c>
      <c r="I21333" t="s">
        <v>79</v>
      </c>
      <c r="J21333">
        <v>3.35</v>
      </c>
      <c r="K21333">
        <v>0.65</v>
      </c>
      <c r="L21333">
        <v>11908</v>
      </c>
      <c r="M21333" t="s">
        <v>598</v>
      </c>
      <c r="N21333" t="str">
        <f t="shared" si="353"/>
        <v xml:space="preserve">12327024179 </v>
      </c>
      <c r="O21333">
        <v>230731</v>
      </c>
    </row>
    <row r="21334" spans="1:15" x14ac:dyDescent="0.25">
      <c r="A21334" t="s">
        <v>16</v>
      </c>
      <c r="B21334" t="s">
        <v>3221</v>
      </c>
      <c r="C21334">
        <v>9845</v>
      </c>
      <c r="D21334" t="s">
        <v>263</v>
      </c>
      <c r="E21334" t="s">
        <v>264</v>
      </c>
      <c r="F21334">
        <v>2.7</v>
      </c>
      <c r="G21334">
        <v>230704</v>
      </c>
      <c r="H21334">
        <v>4362</v>
      </c>
      <c r="I21334" t="s">
        <v>79</v>
      </c>
      <c r="J21334">
        <v>3.35</v>
      </c>
      <c r="K21334">
        <v>0.65</v>
      </c>
      <c r="L21334">
        <v>12010</v>
      </c>
      <c r="M21334" t="s">
        <v>2189</v>
      </c>
      <c r="N21334" t="str">
        <f t="shared" si="353"/>
        <v xml:space="preserve">12327024179 </v>
      </c>
      <c r="O21334">
        <v>230731</v>
      </c>
    </row>
    <row r="21335" spans="1:15" x14ac:dyDescent="0.25">
      <c r="A21335" t="s">
        <v>16</v>
      </c>
      <c r="B21335" t="s">
        <v>3221</v>
      </c>
      <c r="C21335">
        <v>9845</v>
      </c>
      <c r="D21335" t="s">
        <v>263</v>
      </c>
      <c r="E21335" t="s">
        <v>264</v>
      </c>
      <c r="F21335">
        <v>2.7</v>
      </c>
      <c r="G21335">
        <v>230704</v>
      </c>
      <c r="H21335">
        <v>4362</v>
      </c>
      <c r="I21335" t="s">
        <v>79</v>
      </c>
      <c r="J21335">
        <v>3.35</v>
      </c>
      <c r="K21335">
        <v>0.65</v>
      </c>
      <c r="L21335">
        <v>18991</v>
      </c>
      <c r="M21335" t="s">
        <v>1106</v>
      </c>
      <c r="N21335" t="str">
        <f t="shared" si="353"/>
        <v xml:space="preserve">12327024179 </v>
      </c>
      <c r="O21335">
        <v>230731</v>
      </c>
    </row>
    <row r="21336" spans="1:15" x14ac:dyDescent="0.25">
      <c r="A21336" t="s">
        <v>16</v>
      </c>
      <c r="B21336" t="s">
        <v>3221</v>
      </c>
      <c r="C21336">
        <v>9847</v>
      </c>
      <c r="D21336" t="s">
        <v>263</v>
      </c>
      <c r="E21336" t="s">
        <v>264</v>
      </c>
      <c r="F21336">
        <v>5.25</v>
      </c>
      <c r="G21336">
        <v>230704</v>
      </c>
      <c r="H21336">
        <v>4362</v>
      </c>
      <c r="I21336" t="s">
        <v>79</v>
      </c>
      <c r="J21336">
        <v>6.51</v>
      </c>
      <c r="K21336">
        <v>1.26</v>
      </c>
      <c r="L21336">
        <v>16321</v>
      </c>
      <c r="M21336" t="s">
        <v>423</v>
      </c>
      <c r="N21336" t="str">
        <f t="shared" ref="N21336:N21345" si="354">"12327024195 "</f>
        <v xml:space="preserve">12327024195 </v>
      </c>
      <c r="O21336">
        <v>230731</v>
      </c>
    </row>
    <row r="21337" spans="1:15" x14ac:dyDescent="0.25">
      <c r="A21337" t="s">
        <v>16</v>
      </c>
      <c r="B21337" t="s">
        <v>3221</v>
      </c>
      <c r="C21337">
        <v>9847</v>
      </c>
      <c r="D21337" t="s">
        <v>263</v>
      </c>
      <c r="E21337" t="s">
        <v>264</v>
      </c>
      <c r="F21337">
        <v>8.1</v>
      </c>
      <c r="G21337">
        <v>230704</v>
      </c>
      <c r="H21337">
        <v>4362</v>
      </c>
      <c r="I21337" t="s">
        <v>79</v>
      </c>
      <c r="J21337">
        <v>10.039999999999999</v>
      </c>
      <c r="K21337">
        <v>1.94</v>
      </c>
      <c r="L21337">
        <v>16431</v>
      </c>
      <c r="M21337" t="s">
        <v>231</v>
      </c>
      <c r="N21337" t="str">
        <f t="shared" si="354"/>
        <v xml:space="preserve">12327024195 </v>
      </c>
      <c r="O21337">
        <v>230731</v>
      </c>
    </row>
    <row r="21338" spans="1:15" x14ac:dyDescent="0.25">
      <c r="A21338" t="s">
        <v>16</v>
      </c>
      <c r="B21338" t="s">
        <v>3221</v>
      </c>
      <c r="C21338">
        <v>9847</v>
      </c>
      <c r="D21338" t="s">
        <v>263</v>
      </c>
      <c r="E21338" t="s">
        <v>264</v>
      </c>
      <c r="F21338">
        <v>8.3000000000000007</v>
      </c>
      <c r="G21338">
        <v>230704</v>
      </c>
      <c r="H21338">
        <v>4362</v>
      </c>
      <c r="I21338" t="s">
        <v>79</v>
      </c>
      <c r="J21338">
        <v>10.29</v>
      </c>
      <c r="K21338">
        <v>1.99</v>
      </c>
      <c r="L21338">
        <v>17802</v>
      </c>
      <c r="M21338" t="s">
        <v>174</v>
      </c>
      <c r="N21338" t="str">
        <f t="shared" si="354"/>
        <v xml:space="preserve">12327024195 </v>
      </c>
      <c r="O21338">
        <v>230731</v>
      </c>
    </row>
    <row r="21339" spans="1:15" x14ac:dyDescent="0.25">
      <c r="A21339" t="s">
        <v>16</v>
      </c>
      <c r="B21339" t="s">
        <v>3221</v>
      </c>
      <c r="C21339">
        <v>9847</v>
      </c>
      <c r="D21339" t="s">
        <v>263</v>
      </c>
      <c r="E21339" t="s">
        <v>264</v>
      </c>
      <c r="F21339">
        <v>7.95</v>
      </c>
      <c r="G21339">
        <v>230704</v>
      </c>
      <c r="H21339">
        <v>4362</v>
      </c>
      <c r="I21339" t="s">
        <v>79</v>
      </c>
      <c r="J21339">
        <v>9.86</v>
      </c>
      <c r="K21339">
        <v>1.91</v>
      </c>
      <c r="L21339">
        <v>17803</v>
      </c>
      <c r="M21339" t="s">
        <v>389</v>
      </c>
      <c r="N21339" t="str">
        <f t="shared" si="354"/>
        <v xml:space="preserve">12327024195 </v>
      </c>
      <c r="O21339">
        <v>230731</v>
      </c>
    </row>
    <row r="21340" spans="1:15" x14ac:dyDescent="0.25">
      <c r="A21340" t="s">
        <v>16</v>
      </c>
      <c r="B21340" t="s">
        <v>3221</v>
      </c>
      <c r="C21340">
        <v>9847</v>
      </c>
      <c r="D21340" t="s">
        <v>263</v>
      </c>
      <c r="E21340" t="s">
        <v>264</v>
      </c>
      <c r="F21340">
        <v>2.79</v>
      </c>
      <c r="G21340">
        <v>230704</v>
      </c>
      <c r="H21340">
        <v>4362</v>
      </c>
      <c r="I21340" t="s">
        <v>79</v>
      </c>
      <c r="J21340">
        <v>3.46</v>
      </c>
      <c r="K21340">
        <v>0.67</v>
      </c>
      <c r="L21340">
        <v>17804</v>
      </c>
      <c r="M21340" t="s">
        <v>549</v>
      </c>
      <c r="N21340" t="str">
        <f t="shared" si="354"/>
        <v xml:space="preserve">12327024195 </v>
      </c>
      <c r="O21340">
        <v>230731</v>
      </c>
    </row>
    <row r="21341" spans="1:15" x14ac:dyDescent="0.25">
      <c r="A21341" t="s">
        <v>16</v>
      </c>
      <c r="B21341" t="s">
        <v>3221</v>
      </c>
      <c r="C21341">
        <v>9847</v>
      </c>
      <c r="D21341" t="s">
        <v>263</v>
      </c>
      <c r="E21341" t="s">
        <v>264</v>
      </c>
      <c r="F21341">
        <v>2.7</v>
      </c>
      <c r="G21341">
        <v>230704</v>
      </c>
      <c r="H21341">
        <v>4362</v>
      </c>
      <c r="I21341" t="s">
        <v>79</v>
      </c>
      <c r="J21341">
        <v>3.35</v>
      </c>
      <c r="K21341">
        <v>0.65</v>
      </c>
      <c r="L21341">
        <v>17805</v>
      </c>
      <c r="M21341" t="s">
        <v>102</v>
      </c>
      <c r="N21341" t="str">
        <f t="shared" si="354"/>
        <v xml:space="preserve">12327024195 </v>
      </c>
      <c r="O21341">
        <v>230731</v>
      </c>
    </row>
    <row r="21342" spans="1:15" x14ac:dyDescent="0.25">
      <c r="A21342" t="s">
        <v>16</v>
      </c>
      <c r="B21342" t="s">
        <v>3221</v>
      </c>
      <c r="C21342">
        <v>9847</v>
      </c>
      <c r="D21342" t="s">
        <v>263</v>
      </c>
      <c r="E21342" t="s">
        <v>264</v>
      </c>
      <c r="F21342">
        <v>5.4</v>
      </c>
      <c r="G21342">
        <v>230704</v>
      </c>
      <c r="H21342">
        <v>4362</v>
      </c>
      <c r="I21342" t="s">
        <v>79</v>
      </c>
      <c r="J21342">
        <v>6.7</v>
      </c>
      <c r="K21342">
        <v>1.3</v>
      </c>
      <c r="L21342">
        <v>17806</v>
      </c>
      <c r="M21342" t="s">
        <v>265</v>
      </c>
      <c r="N21342" t="str">
        <f t="shared" si="354"/>
        <v xml:space="preserve">12327024195 </v>
      </c>
      <c r="O21342">
        <v>230731</v>
      </c>
    </row>
    <row r="21343" spans="1:15" x14ac:dyDescent="0.25">
      <c r="A21343" t="s">
        <v>16</v>
      </c>
      <c r="B21343" t="s">
        <v>3221</v>
      </c>
      <c r="C21343">
        <v>9847</v>
      </c>
      <c r="D21343" t="s">
        <v>263</v>
      </c>
      <c r="E21343" t="s">
        <v>264</v>
      </c>
      <c r="F21343">
        <v>16.05</v>
      </c>
      <c r="G21343">
        <v>230704</v>
      </c>
      <c r="H21343">
        <v>4362</v>
      </c>
      <c r="I21343" t="s">
        <v>79</v>
      </c>
      <c r="J21343">
        <v>19.899999999999999</v>
      </c>
      <c r="K21343">
        <v>3.85</v>
      </c>
      <c r="L21343">
        <v>17807</v>
      </c>
      <c r="M21343" t="s">
        <v>318</v>
      </c>
      <c r="N21343" t="str">
        <f t="shared" si="354"/>
        <v xml:space="preserve">12327024195 </v>
      </c>
      <c r="O21343">
        <v>230731</v>
      </c>
    </row>
    <row r="21344" spans="1:15" x14ac:dyDescent="0.25">
      <c r="A21344" t="s">
        <v>16</v>
      </c>
      <c r="B21344" t="s">
        <v>3221</v>
      </c>
      <c r="C21344">
        <v>9847</v>
      </c>
      <c r="D21344" t="s">
        <v>263</v>
      </c>
      <c r="E21344" t="s">
        <v>264</v>
      </c>
      <c r="F21344">
        <v>8.1</v>
      </c>
      <c r="G21344">
        <v>230704</v>
      </c>
      <c r="H21344">
        <v>4362</v>
      </c>
      <c r="I21344" t="s">
        <v>79</v>
      </c>
      <c r="J21344">
        <v>10.039999999999999</v>
      </c>
      <c r="K21344">
        <v>1.94</v>
      </c>
      <c r="L21344">
        <v>17808</v>
      </c>
      <c r="M21344" t="s">
        <v>322</v>
      </c>
      <c r="N21344" t="str">
        <f t="shared" si="354"/>
        <v xml:space="preserve">12327024195 </v>
      </c>
      <c r="O21344">
        <v>230731</v>
      </c>
    </row>
    <row r="21345" spans="1:15" x14ac:dyDescent="0.25">
      <c r="A21345" t="s">
        <v>16</v>
      </c>
      <c r="B21345" t="s">
        <v>3221</v>
      </c>
      <c r="C21345">
        <v>9847</v>
      </c>
      <c r="D21345" t="s">
        <v>263</v>
      </c>
      <c r="E21345" t="s">
        <v>264</v>
      </c>
      <c r="F21345">
        <v>5.53</v>
      </c>
      <c r="G21345">
        <v>230704</v>
      </c>
      <c r="H21345">
        <v>4362</v>
      </c>
      <c r="I21345" t="s">
        <v>79</v>
      </c>
      <c r="J21345">
        <v>6.86</v>
      </c>
      <c r="K21345">
        <v>1.33</v>
      </c>
      <c r="L21345">
        <v>17809</v>
      </c>
      <c r="M21345" t="s">
        <v>376</v>
      </c>
      <c r="N21345" t="str">
        <f t="shared" si="354"/>
        <v xml:space="preserve">12327024195 </v>
      </c>
      <c r="O21345">
        <v>230731</v>
      </c>
    </row>
    <row r="21346" spans="1:15" x14ac:dyDescent="0.25">
      <c r="A21346" t="s">
        <v>16</v>
      </c>
      <c r="B21346" t="s">
        <v>3221</v>
      </c>
      <c r="C21346">
        <v>9867</v>
      </c>
      <c r="D21346" t="s">
        <v>263</v>
      </c>
      <c r="E21346" t="s">
        <v>264</v>
      </c>
      <c r="F21346">
        <v>135.9</v>
      </c>
      <c r="G21346">
        <v>230714</v>
      </c>
      <c r="H21346">
        <v>4362</v>
      </c>
      <c r="I21346" t="s">
        <v>79</v>
      </c>
      <c r="J21346">
        <v>168.52</v>
      </c>
      <c r="K21346">
        <v>32.619999999999997</v>
      </c>
      <c r="L21346">
        <v>11801</v>
      </c>
      <c r="M21346" t="s">
        <v>92</v>
      </c>
      <c r="N21346" t="str">
        <f>"104559584   "</f>
        <v xml:space="preserve">104559584   </v>
      </c>
      <c r="O21346">
        <v>230731</v>
      </c>
    </row>
    <row r="21347" spans="1:15" x14ac:dyDescent="0.25">
      <c r="A21347" t="s">
        <v>16</v>
      </c>
      <c r="B21347" t="s">
        <v>3221</v>
      </c>
      <c r="C21347">
        <v>9907</v>
      </c>
      <c r="D21347" t="s">
        <v>263</v>
      </c>
      <c r="E21347" t="s">
        <v>264</v>
      </c>
      <c r="F21347">
        <v>18.899999999999999</v>
      </c>
      <c r="G21347">
        <v>230704</v>
      </c>
      <c r="H21347">
        <v>4362</v>
      </c>
      <c r="I21347" t="s">
        <v>79</v>
      </c>
      <c r="J21347">
        <v>23.44</v>
      </c>
      <c r="K21347">
        <v>4.54</v>
      </c>
      <c r="L21347">
        <v>16121</v>
      </c>
      <c r="M21347" t="s">
        <v>21</v>
      </c>
      <c r="N21347" t="str">
        <f t="shared" ref="N21347:N21356" si="355">"12327024198 "</f>
        <v xml:space="preserve">12327024198 </v>
      </c>
      <c r="O21347">
        <v>230802</v>
      </c>
    </row>
    <row r="21348" spans="1:15" x14ac:dyDescent="0.25">
      <c r="A21348" t="s">
        <v>16</v>
      </c>
      <c r="B21348" t="s">
        <v>3221</v>
      </c>
      <c r="C21348">
        <v>9907</v>
      </c>
      <c r="D21348" t="s">
        <v>263</v>
      </c>
      <c r="E21348" t="s">
        <v>264</v>
      </c>
      <c r="F21348">
        <v>5.4</v>
      </c>
      <c r="G21348">
        <v>230704</v>
      </c>
      <c r="H21348">
        <v>4362</v>
      </c>
      <c r="I21348" t="s">
        <v>79</v>
      </c>
      <c r="J21348">
        <v>6.7</v>
      </c>
      <c r="K21348">
        <v>1.3</v>
      </c>
      <c r="L21348">
        <v>16322</v>
      </c>
      <c r="M21348" t="s">
        <v>22</v>
      </c>
      <c r="N21348" t="str">
        <f t="shared" si="355"/>
        <v xml:space="preserve">12327024198 </v>
      </c>
      <c r="O21348">
        <v>230802</v>
      </c>
    </row>
    <row r="21349" spans="1:15" x14ac:dyDescent="0.25">
      <c r="A21349" t="s">
        <v>16</v>
      </c>
      <c r="B21349" t="s">
        <v>3221</v>
      </c>
      <c r="C21349">
        <v>9907</v>
      </c>
      <c r="D21349" t="s">
        <v>263</v>
      </c>
      <c r="E21349" t="s">
        <v>264</v>
      </c>
      <c r="F21349">
        <v>2.7</v>
      </c>
      <c r="G21349">
        <v>230704</v>
      </c>
      <c r="H21349">
        <v>4362</v>
      </c>
      <c r="I21349" t="s">
        <v>79</v>
      </c>
      <c r="J21349">
        <v>3.35</v>
      </c>
      <c r="K21349">
        <v>0.65</v>
      </c>
      <c r="L21349">
        <v>16820</v>
      </c>
      <c r="M21349" t="s">
        <v>23</v>
      </c>
      <c r="N21349" t="str">
        <f t="shared" si="355"/>
        <v xml:space="preserve">12327024198 </v>
      </c>
      <c r="O21349">
        <v>230802</v>
      </c>
    </row>
    <row r="21350" spans="1:15" x14ac:dyDescent="0.25">
      <c r="A21350" t="s">
        <v>16</v>
      </c>
      <c r="B21350" t="s">
        <v>3221</v>
      </c>
      <c r="C21350">
        <v>9907</v>
      </c>
      <c r="D21350" t="s">
        <v>263</v>
      </c>
      <c r="E21350" t="s">
        <v>264</v>
      </c>
      <c r="F21350">
        <v>5.6</v>
      </c>
      <c r="G21350">
        <v>230704</v>
      </c>
      <c r="H21350">
        <v>4362</v>
      </c>
      <c r="I21350" t="s">
        <v>79</v>
      </c>
      <c r="J21350">
        <v>6.95</v>
      </c>
      <c r="K21350">
        <v>1.35</v>
      </c>
      <c r="L21350">
        <v>16820</v>
      </c>
      <c r="M21350" t="s">
        <v>23</v>
      </c>
      <c r="N21350" t="str">
        <f t="shared" si="355"/>
        <v xml:space="preserve">12327024198 </v>
      </c>
      <c r="O21350">
        <v>230802</v>
      </c>
    </row>
    <row r="21351" spans="1:15" x14ac:dyDescent="0.25">
      <c r="A21351" t="s">
        <v>16</v>
      </c>
      <c r="B21351" t="s">
        <v>3221</v>
      </c>
      <c r="C21351">
        <v>9907</v>
      </c>
      <c r="D21351" t="s">
        <v>263</v>
      </c>
      <c r="E21351" t="s">
        <v>264</v>
      </c>
      <c r="F21351">
        <v>5.08</v>
      </c>
      <c r="G21351">
        <v>230704</v>
      </c>
      <c r="H21351">
        <v>4362</v>
      </c>
      <c r="I21351" t="s">
        <v>79</v>
      </c>
      <c r="J21351">
        <v>6.3</v>
      </c>
      <c r="K21351">
        <v>1.22</v>
      </c>
      <c r="L21351">
        <v>17538</v>
      </c>
      <c r="M21351" t="s">
        <v>24</v>
      </c>
      <c r="N21351" t="str">
        <f t="shared" si="355"/>
        <v xml:space="preserve">12327024198 </v>
      </c>
      <c r="O21351">
        <v>230802</v>
      </c>
    </row>
    <row r="21352" spans="1:15" x14ac:dyDescent="0.25">
      <c r="A21352" t="s">
        <v>16</v>
      </c>
      <c r="B21352" t="s">
        <v>3221</v>
      </c>
      <c r="C21352">
        <v>9907</v>
      </c>
      <c r="D21352" t="s">
        <v>263</v>
      </c>
      <c r="E21352" t="s">
        <v>264</v>
      </c>
      <c r="F21352">
        <v>2.7</v>
      </c>
      <c r="G21352">
        <v>230704</v>
      </c>
      <c r="H21352">
        <v>4362</v>
      </c>
      <c r="I21352" t="s">
        <v>79</v>
      </c>
      <c r="J21352">
        <v>3.35</v>
      </c>
      <c r="K21352">
        <v>0.65</v>
      </c>
      <c r="L21352">
        <v>17950</v>
      </c>
      <c r="M21352" t="s">
        <v>86</v>
      </c>
      <c r="N21352" t="str">
        <f t="shared" si="355"/>
        <v xml:space="preserve">12327024198 </v>
      </c>
      <c r="O21352">
        <v>230802</v>
      </c>
    </row>
    <row r="21353" spans="1:15" x14ac:dyDescent="0.25">
      <c r="A21353" t="s">
        <v>16</v>
      </c>
      <c r="B21353" t="s">
        <v>3221</v>
      </c>
      <c r="C21353">
        <v>9907</v>
      </c>
      <c r="D21353" t="s">
        <v>263</v>
      </c>
      <c r="E21353" t="s">
        <v>264</v>
      </c>
      <c r="F21353">
        <v>2.7</v>
      </c>
      <c r="G21353">
        <v>230704</v>
      </c>
      <c r="H21353">
        <v>4362</v>
      </c>
      <c r="I21353" t="s">
        <v>79</v>
      </c>
      <c r="J21353">
        <v>3.35</v>
      </c>
      <c r="K21353">
        <v>0.65</v>
      </c>
      <c r="L21353">
        <v>17971</v>
      </c>
      <c r="M21353" t="s">
        <v>138</v>
      </c>
      <c r="N21353" t="str">
        <f t="shared" si="355"/>
        <v xml:space="preserve">12327024198 </v>
      </c>
      <c r="O21353">
        <v>230802</v>
      </c>
    </row>
    <row r="21354" spans="1:15" x14ac:dyDescent="0.25">
      <c r="A21354" t="s">
        <v>16</v>
      </c>
      <c r="B21354" t="s">
        <v>3221</v>
      </c>
      <c r="C21354">
        <v>9907</v>
      </c>
      <c r="D21354" t="s">
        <v>263</v>
      </c>
      <c r="E21354" t="s">
        <v>264</v>
      </c>
      <c r="F21354">
        <v>2.71</v>
      </c>
      <c r="G21354">
        <v>230704</v>
      </c>
      <c r="H21354">
        <v>4362</v>
      </c>
      <c r="I21354" t="s">
        <v>79</v>
      </c>
      <c r="J21354">
        <v>3.36</v>
      </c>
      <c r="K21354">
        <v>0.65</v>
      </c>
      <c r="L21354">
        <v>17972</v>
      </c>
      <c r="M21354" t="s">
        <v>248</v>
      </c>
      <c r="N21354" t="str">
        <f t="shared" si="355"/>
        <v xml:space="preserve">12327024198 </v>
      </c>
      <c r="O21354">
        <v>230802</v>
      </c>
    </row>
    <row r="21355" spans="1:15" x14ac:dyDescent="0.25">
      <c r="A21355" t="s">
        <v>16</v>
      </c>
      <c r="B21355" t="s">
        <v>3221</v>
      </c>
      <c r="C21355">
        <v>9907</v>
      </c>
      <c r="D21355" t="s">
        <v>263</v>
      </c>
      <c r="E21355" t="s">
        <v>264</v>
      </c>
      <c r="F21355">
        <v>2.56</v>
      </c>
      <c r="G21355">
        <v>230704</v>
      </c>
      <c r="H21355">
        <v>4362</v>
      </c>
      <c r="I21355" t="s">
        <v>79</v>
      </c>
      <c r="J21355">
        <v>3.17</v>
      </c>
      <c r="K21355">
        <v>0.61</v>
      </c>
      <c r="L21355">
        <v>17974</v>
      </c>
      <c r="M21355" t="s">
        <v>460</v>
      </c>
      <c r="N21355" t="str">
        <f t="shared" si="355"/>
        <v xml:space="preserve">12327024198 </v>
      </c>
      <c r="O21355">
        <v>230802</v>
      </c>
    </row>
    <row r="21356" spans="1:15" x14ac:dyDescent="0.25">
      <c r="A21356" t="s">
        <v>16</v>
      </c>
      <c r="B21356" t="s">
        <v>3221</v>
      </c>
      <c r="C21356">
        <v>9907</v>
      </c>
      <c r="D21356" t="s">
        <v>263</v>
      </c>
      <c r="E21356" t="s">
        <v>264</v>
      </c>
      <c r="F21356">
        <v>3.31</v>
      </c>
      <c r="G21356">
        <v>230704</v>
      </c>
      <c r="H21356">
        <v>4362</v>
      </c>
      <c r="I21356" t="s">
        <v>79</v>
      </c>
      <c r="J21356">
        <v>4.0999999999999996</v>
      </c>
      <c r="K21356">
        <v>0.79</v>
      </c>
      <c r="L21356">
        <v>17974</v>
      </c>
      <c r="M21356" t="s">
        <v>460</v>
      </c>
      <c r="N21356" t="str">
        <f t="shared" si="355"/>
        <v xml:space="preserve">12327024198 </v>
      </c>
      <c r="O21356">
        <v>230802</v>
      </c>
    </row>
    <row r="21357" spans="1:15" x14ac:dyDescent="0.25">
      <c r="A21357" t="s">
        <v>16</v>
      </c>
      <c r="B21357" t="s">
        <v>3221</v>
      </c>
      <c r="C21357">
        <v>9934</v>
      </c>
      <c r="D21357" t="s">
        <v>263</v>
      </c>
      <c r="E21357" t="s">
        <v>264</v>
      </c>
      <c r="F21357">
        <v>120</v>
      </c>
      <c r="G21357">
        <v>230714</v>
      </c>
      <c r="H21357">
        <v>4362</v>
      </c>
      <c r="I21357" t="s">
        <v>79</v>
      </c>
      <c r="J21357">
        <v>148.80000000000001</v>
      </c>
      <c r="K21357">
        <v>28.8</v>
      </c>
      <c r="L21357">
        <v>18972</v>
      </c>
      <c r="M21357" t="s">
        <v>163</v>
      </c>
      <c r="N21357" t="str">
        <f>"104559569   "</f>
        <v xml:space="preserve">104559569   </v>
      </c>
      <c r="O21357">
        <v>230802</v>
      </c>
    </row>
    <row r="21358" spans="1:15" x14ac:dyDescent="0.25">
      <c r="A21358" t="s">
        <v>16</v>
      </c>
      <c r="B21358" t="s">
        <v>3221</v>
      </c>
      <c r="C21358">
        <v>10064</v>
      </c>
      <c r="D21358" t="s">
        <v>263</v>
      </c>
      <c r="E21358" t="s">
        <v>264</v>
      </c>
      <c r="F21358">
        <v>8.1</v>
      </c>
      <c r="G21358">
        <v>230804</v>
      </c>
      <c r="H21358">
        <v>4362</v>
      </c>
      <c r="I21358" t="s">
        <v>79</v>
      </c>
      <c r="J21358">
        <v>10.039999999999999</v>
      </c>
      <c r="K21358">
        <v>1.94</v>
      </c>
      <c r="L21358">
        <v>17913</v>
      </c>
      <c r="M21358" t="s">
        <v>431</v>
      </c>
      <c r="N21358" t="str">
        <f>"12331024040 "</f>
        <v xml:space="preserve">12331024040 </v>
      </c>
      <c r="O21358">
        <v>230808</v>
      </c>
    </row>
    <row r="21359" spans="1:15" x14ac:dyDescent="0.25">
      <c r="A21359" t="s">
        <v>16</v>
      </c>
      <c r="B21359" t="s">
        <v>3221</v>
      </c>
      <c r="C21359">
        <v>10064</v>
      </c>
      <c r="D21359" t="s">
        <v>263</v>
      </c>
      <c r="E21359" t="s">
        <v>264</v>
      </c>
      <c r="F21359">
        <v>21.6</v>
      </c>
      <c r="G21359">
        <v>230804</v>
      </c>
      <c r="H21359">
        <v>4362</v>
      </c>
      <c r="I21359" t="s">
        <v>79</v>
      </c>
      <c r="J21359">
        <v>26.78</v>
      </c>
      <c r="K21359">
        <v>5.18</v>
      </c>
      <c r="L21359">
        <v>17951</v>
      </c>
      <c r="M21359" t="s">
        <v>87</v>
      </c>
      <c r="N21359" t="str">
        <f>"12331024040 "</f>
        <v xml:space="preserve">12331024040 </v>
      </c>
      <c r="O21359">
        <v>230808</v>
      </c>
    </row>
    <row r="21360" spans="1:15" x14ac:dyDescent="0.25">
      <c r="A21360" t="s">
        <v>16</v>
      </c>
      <c r="B21360" t="s">
        <v>3221</v>
      </c>
      <c r="C21360">
        <v>10064</v>
      </c>
      <c r="D21360" t="s">
        <v>263</v>
      </c>
      <c r="E21360" t="s">
        <v>264</v>
      </c>
      <c r="F21360">
        <v>10.8</v>
      </c>
      <c r="G21360">
        <v>230804</v>
      </c>
      <c r="H21360">
        <v>4362</v>
      </c>
      <c r="I21360" t="s">
        <v>79</v>
      </c>
      <c r="J21360">
        <v>13.39</v>
      </c>
      <c r="K21360">
        <v>2.59</v>
      </c>
      <c r="L21360">
        <v>17971</v>
      </c>
      <c r="M21360" t="s">
        <v>138</v>
      </c>
      <c r="N21360" t="str">
        <f>"12331024040 "</f>
        <v xml:space="preserve">12331024040 </v>
      </c>
      <c r="O21360">
        <v>230808</v>
      </c>
    </row>
    <row r="21361" spans="1:15" x14ac:dyDescent="0.25">
      <c r="A21361" t="s">
        <v>16</v>
      </c>
      <c r="B21361" t="s">
        <v>3221</v>
      </c>
      <c r="C21361">
        <v>10064</v>
      </c>
      <c r="D21361" t="s">
        <v>263</v>
      </c>
      <c r="E21361" t="s">
        <v>264</v>
      </c>
      <c r="F21361">
        <v>5.25</v>
      </c>
      <c r="G21361">
        <v>230804</v>
      </c>
      <c r="H21361">
        <v>4362</v>
      </c>
      <c r="I21361" t="s">
        <v>79</v>
      </c>
      <c r="J21361">
        <v>6.51</v>
      </c>
      <c r="K21361">
        <v>1.26</v>
      </c>
      <c r="L21361">
        <v>17974</v>
      </c>
      <c r="M21361" t="s">
        <v>460</v>
      </c>
      <c r="N21361" t="str">
        <f>"12331024040 "</f>
        <v xml:space="preserve">12331024040 </v>
      </c>
      <c r="O21361">
        <v>230808</v>
      </c>
    </row>
    <row r="21362" spans="1:15" x14ac:dyDescent="0.25">
      <c r="A21362" t="s">
        <v>16</v>
      </c>
      <c r="B21362" t="s">
        <v>3221</v>
      </c>
      <c r="C21362">
        <v>10064</v>
      </c>
      <c r="D21362" t="s">
        <v>263</v>
      </c>
      <c r="E21362" t="s">
        <v>264</v>
      </c>
      <c r="F21362">
        <v>7.96</v>
      </c>
      <c r="G21362">
        <v>230804</v>
      </c>
      <c r="H21362">
        <v>4362</v>
      </c>
      <c r="I21362" t="s">
        <v>79</v>
      </c>
      <c r="J21362">
        <v>9.8699999999999992</v>
      </c>
      <c r="K21362">
        <v>1.91</v>
      </c>
      <c r="L21362">
        <v>17975</v>
      </c>
      <c r="M21362" t="s">
        <v>798</v>
      </c>
      <c r="N21362" t="str">
        <f>"12331024040 "</f>
        <v xml:space="preserve">12331024040 </v>
      </c>
      <c r="O21362">
        <v>230808</v>
      </c>
    </row>
    <row r="21363" spans="1:15" x14ac:dyDescent="0.25">
      <c r="A21363" t="s">
        <v>16</v>
      </c>
      <c r="B21363" t="s">
        <v>3221</v>
      </c>
      <c r="C21363">
        <v>10075</v>
      </c>
      <c r="D21363" t="s">
        <v>263</v>
      </c>
      <c r="E21363" t="s">
        <v>264</v>
      </c>
      <c r="F21363">
        <v>5.25</v>
      </c>
      <c r="G21363">
        <v>230804</v>
      </c>
      <c r="H21363">
        <v>4362</v>
      </c>
      <c r="I21363" t="s">
        <v>79</v>
      </c>
      <c r="J21363">
        <v>6.51</v>
      </c>
      <c r="K21363">
        <v>1.26</v>
      </c>
      <c r="L21363">
        <v>16321</v>
      </c>
      <c r="M21363" t="s">
        <v>423</v>
      </c>
      <c r="N21363" t="str">
        <f t="shared" ref="N21363:N21372" si="356">"12331024041 "</f>
        <v xml:space="preserve">12331024041 </v>
      </c>
      <c r="O21363">
        <v>230808</v>
      </c>
    </row>
    <row r="21364" spans="1:15" x14ac:dyDescent="0.25">
      <c r="A21364" t="s">
        <v>16</v>
      </c>
      <c r="B21364" t="s">
        <v>3221</v>
      </c>
      <c r="C21364">
        <v>10075</v>
      </c>
      <c r="D21364" t="s">
        <v>263</v>
      </c>
      <c r="E21364" t="s">
        <v>264</v>
      </c>
      <c r="F21364">
        <v>8.1</v>
      </c>
      <c r="G21364">
        <v>230804</v>
      </c>
      <c r="H21364">
        <v>4362</v>
      </c>
      <c r="I21364" t="s">
        <v>79</v>
      </c>
      <c r="J21364">
        <v>10.039999999999999</v>
      </c>
      <c r="K21364">
        <v>1.94</v>
      </c>
      <c r="L21364">
        <v>16431</v>
      </c>
      <c r="M21364" t="s">
        <v>231</v>
      </c>
      <c r="N21364" t="str">
        <f t="shared" si="356"/>
        <v xml:space="preserve">12331024041 </v>
      </c>
      <c r="O21364">
        <v>230808</v>
      </c>
    </row>
    <row r="21365" spans="1:15" x14ac:dyDescent="0.25">
      <c r="A21365" t="s">
        <v>16</v>
      </c>
      <c r="B21365" t="s">
        <v>3221</v>
      </c>
      <c r="C21365">
        <v>10075</v>
      </c>
      <c r="D21365" t="s">
        <v>263</v>
      </c>
      <c r="E21365" t="s">
        <v>264</v>
      </c>
      <c r="F21365">
        <v>7.95</v>
      </c>
      <c r="G21365">
        <v>230804</v>
      </c>
      <c r="H21365">
        <v>4362</v>
      </c>
      <c r="I21365" t="s">
        <v>79</v>
      </c>
      <c r="J21365">
        <v>9.86</v>
      </c>
      <c r="K21365">
        <v>1.91</v>
      </c>
      <c r="L21365">
        <v>17802</v>
      </c>
      <c r="M21365" t="s">
        <v>174</v>
      </c>
      <c r="N21365" t="str">
        <f t="shared" si="356"/>
        <v xml:space="preserve">12331024041 </v>
      </c>
      <c r="O21365">
        <v>230808</v>
      </c>
    </row>
    <row r="21366" spans="1:15" x14ac:dyDescent="0.25">
      <c r="A21366" t="s">
        <v>16</v>
      </c>
      <c r="B21366" t="s">
        <v>3221</v>
      </c>
      <c r="C21366">
        <v>10075</v>
      </c>
      <c r="D21366" t="s">
        <v>263</v>
      </c>
      <c r="E21366" t="s">
        <v>264</v>
      </c>
      <c r="F21366">
        <v>7.95</v>
      </c>
      <c r="G21366">
        <v>230804</v>
      </c>
      <c r="H21366">
        <v>4362</v>
      </c>
      <c r="I21366" t="s">
        <v>79</v>
      </c>
      <c r="J21366">
        <v>9.86</v>
      </c>
      <c r="K21366">
        <v>1.91</v>
      </c>
      <c r="L21366">
        <v>17803</v>
      </c>
      <c r="M21366" t="s">
        <v>389</v>
      </c>
      <c r="N21366" t="str">
        <f t="shared" si="356"/>
        <v xml:space="preserve">12331024041 </v>
      </c>
      <c r="O21366">
        <v>230808</v>
      </c>
    </row>
    <row r="21367" spans="1:15" x14ac:dyDescent="0.25">
      <c r="A21367" t="s">
        <v>16</v>
      </c>
      <c r="B21367" t="s">
        <v>3221</v>
      </c>
      <c r="C21367">
        <v>10075</v>
      </c>
      <c r="D21367" t="s">
        <v>263</v>
      </c>
      <c r="E21367" t="s">
        <v>264</v>
      </c>
      <c r="F21367">
        <v>2.7</v>
      </c>
      <c r="G21367">
        <v>230804</v>
      </c>
      <c r="H21367">
        <v>4362</v>
      </c>
      <c r="I21367" t="s">
        <v>79</v>
      </c>
      <c r="J21367">
        <v>3.35</v>
      </c>
      <c r="K21367">
        <v>0.65</v>
      </c>
      <c r="L21367">
        <v>17804</v>
      </c>
      <c r="M21367" t="s">
        <v>549</v>
      </c>
      <c r="N21367" t="str">
        <f t="shared" si="356"/>
        <v xml:space="preserve">12331024041 </v>
      </c>
      <c r="O21367">
        <v>230808</v>
      </c>
    </row>
    <row r="21368" spans="1:15" x14ac:dyDescent="0.25">
      <c r="A21368" t="s">
        <v>16</v>
      </c>
      <c r="B21368" t="s">
        <v>3221</v>
      </c>
      <c r="C21368">
        <v>10075</v>
      </c>
      <c r="D21368" t="s">
        <v>263</v>
      </c>
      <c r="E21368" t="s">
        <v>264</v>
      </c>
      <c r="F21368">
        <v>2.7</v>
      </c>
      <c r="G21368">
        <v>230804</v>
      </c>
      <c r="H21368">
        <v>4362</v>
      </c>
      <c r="I21368" t="s">
        <v>79</v>
      </c>
      <c r="J21368">
        <v>3.35</v>
      </c>
      <c r="K21368">
        <v>0.65</v>
      </c>
      <c r="L21368">
        <v>17805</v>
      </c>
      <c r="M21368" t="s">
        <v>102</v>
      </c>
      <c r="N21368" t="str">
        <f t="shared" si="356"/>
        <v xml:space="preserve">12331024041 </v>
      </c>
      <c r="O21368">
        <v>230808</v>
      </c>
    </row>
    <row r="21369" spans="1:15" x14ac:dyDescent="0.25">
      <c r="A21369" t="s">
        <v>16</v>
      </c>
      <c r="B21369" t="s">
        <v>3221</v>
      </c>
      <c r="C21369">
        <v>10075</v>
      </c>
      <c r="D21369" t="s">
        <v>263</v>
      </c>
      <c r="E21369" t="s">
        <v>264</v>
      </c>
      <c r="F21369">
        <v>5.4</v>
      </c>
      <c r="G21369">
        <v>230804</v>
      </c>
      <c r="H21369">
        <v>4362</v>
      </c>
      <c r="I21369" t="s">
        <v>79</v>
      </c>
      <c r="J21369">
        <v>6.7</v>
      </c>
      <c r="K21369">
        <v>1.3</v>
      </c>
      <c r="L21369">
        <v>17806</v>
      </c>
      <c r="M21369" t="s">
        <v>265</v>
      </c>
      <c r="N21369" t="str">
        <f t="shared" si="356"/>
        <v xml:space="preserve">12331024041 </v>
      </c>
      <c r="O21369">
        <v>230808</v>
      </c>
    </row>
    <row r="21370" spans="1:15" x14ac:dyDescent="0.25">
      <c r="A21370" t="s">
        <v>16</v>
      </c>
      <c r="B21370" t="s">
        <v>3221</v>
      </c>
      <c r="C21370">
        <v>10075</v>
      </c>
      <c r="D21370" t="s">
        <v>263</v>
      </c>
      <c r="E21370" t="s">
        <v>264</v>
      </c>
      <c r="F21370">
        <v>16.05</v>
      </c>
      <c r="G21370">
        <v>230804</v>
      </c>
      <c r="H21370">
        <v>4362</v>
      </c>
      <c r="I21370" t="s">
        <v>79</v>
      </c>
      <c r="J21370">
        <v>19.899999999999999</v>
      </c>
      <c r="K21370">
        <v>3.85</v>
      </c>
      <c r="L21370">
        <v>17807</v>
      </c>
      <c r="M21370" t="s">
        <v>318</v>
      </c>
      <c r="N21370" t="str">
        <f t="shared" si="356"/>
        <v xml:space="preserve">12331024041 </v>
      </c>
      <c r="O21370">
        <v>230808</v>
      </c>
    </row>
    <row r="21371" spans="1:15" x14ac:dyDescent="0.25">
      <c r="A21371" t="s">
        <v>16</v>
      </c>
      <c r="B21371" t="s">
        <v>3221</v>
      </c>
      <c r="C21371">
        <v>10075</v>
      </c>
      <c r="D21371" t="s">
        <v>263</v>
      </c>
      <c r="E21371" t="s">
        <v>264</v>
      </c>
      <c r="F21371">
        <v>8.1</v>
      </c>
      <c r="G21371">
        <v>230804</v>
      </c>
      <c r="H21371">
        <v>4362</v>
      </c>
      <c r="I21371" t="s">
        <v>79</v>
      </c>
      <c r="J21371">
        <v>10.039999999999999</v>
      </c>
      <c r="K21371">
        <v>1.94</v>
      </c>
      <c r="L21371">
        <v>17808</v>
      </c>
      <c r="M21371" t="s">
        <v>322</v>
      </c>
      <c r="N21371" t="str">
        <f t="shared" si="356"/>
        <v xml:space="preserve">12331024041 </v>
      </c>
      <c r="O21371">
        <v>230808</v>
      </c>
    </row>
    <row r="21372" spans="1:15" x14ac:dyDescent="0.25">
      <c r="A21372" t="s">
        <v>16</v>
      </c>
      <c r="B21372" t="s">
        <v>3221</v>
      </c>
      <c r="C21372">
        <v>10075</v>
      </c>
      <c r="D21372" t="s">
        <v>263</v>
      </c>
      <c r="E21372" t="s">
        <v>264</v>
      </c>
      <c r="F21372">
        <v>12.9</v>
      </c>
      <c r="G21372">
        <v>230804</v>
      </c>
      <c r="H21372">
        <v>4362</v>
      </c>
      <c r="I21372" t="s">
        <v>79</v>
      </c>
      <c r="J21372">
        <v>15.99</v>
      </c>
      <c r="K21372">
        <v>3.09</v>
      </c>
      <c r="L21372">
        <v>17809</v>
      </c>
      <c r="M21372" t="s">
        <v>376</v>
      </c>
      <c r="N21372" t="str">
        <f t="shared" si="356"/>
        <v xml:space="preserve">12331024041 </v>
      </c>
      <c r="O21372">
        <v>230808</v>
      </c>
    </row>
    <row r="21373" spans="1:15" x14ac:dyDescent="0.25">
      <c r="A21373" t="s">
        <v>16</v>
      </c>
      <c r="B21373" t="s">
        <v>3221</v>
      </c>
      <c r="C21373">
        <v>10104</v>
      </c>
      <c r="D21373" t="s">
        <v>263</v>
      </c>
      <c r="E21373" t="s">
        <v>264</v>
      </c>
      <c r="F21373">
        <v>7.95</v>
      </c>
      <c r="G21373">
        <v>230804</v>
      </c>
      <c r="H21373">
        <v>4362</v>
      </c>
      <c r="I21373" t="s">
        <v>79</v>
      </c>
      <c r="J21373">
        <v>9.86</v>
      </c>
      <c r="K21373">
        <v>1.91</v>
      </c>
      <c r="L21373">
        <v>16930</v>
      </c>
      <c r="M21373" t="s">
        <v>450</v>
      </c>
      <c r="N21373" t="str">
        <f t="shared" ref="N21373:N21396" si="357">"12331024043 "</f>
        <v xml:space="preserve">12331024043 </v>
      </c>
      <c r="O21373">
        <v>230808</v>
      </c>
    </row>
    <row r="21374" spans="1:15" x14ac:dyDescent="0.25">
      <c r="A21374" t="s">
        <v>16</v>
      </c>
      <c r="B21374" t="s">
        <v>3221</v>
      </c>
      <c r="C21374">
        <v>10104</v>
      </c>
      <c r="D21374" t="s">
        <v>263</v>
      </c>
      <c r="E21374" t="s">
        <v>264</v>
      </c>
      <c r="F21374">
        <v>8.1</v>
      </c>
      <c r="G21374">
        <v>230804</v>
      </c>
      <c r="H21374">
        <v>4362</v>
      </c>
      <c r="I21374" t="s">
        <v>79</v>
      </c>
      <c r="J21374">
        <v>10.039999999999999</v>
      </c>
      <c r="K21374">
        <v>1.94</v>
      </c>
      <c r="L21374">
        <v>17521</v>
      </c>
      <c r="M21374" t="s">
        <v>133</v>
      </c>
      <c r="N21374" t="str">
        <f t="shared" si="357"/>
        <v xml:space="preserve">12331024043 </v>
      </c>
      <c r="O21374">
        <v>230808</v>
      </c>
    </row>
    <row r="21375" spans="1:15" x14ac:dyDescent="0.25">
      <c r="A21375" t="s">
        <v>16</v>
      </c>
      <c r="B21375" t="s">
        <v>3221</v>
      </c>
      <c r="C21375">
        <v>10104</v>
      </c>
      <c r="D21375" t="s">
        <v>263</v>
      </c>
      <c r="E21375" t="s">
        <v>264</v>
      </c>
      <c r="F21375">
        <v>5.47</v>
      </c>
      <c r="G21375">
        <v>230804</v>
      </c>
      <c r="H21375">
        <v>4362</v>
      </c>
      <c r="I21375" t="s">
        <v>79</v>
      </c>
      <c r="J21375">
        <v>6.78</v>
      </c>
      <c r="K21375">
        <v>1.31</v>
      </c>
      <c r="L21375">
        <v>17522</v>
      </c>
      <c r="M21375" t="s">
        <v>451</v>
      </c>
      <c r="N21375" t="str">
        <f t="shared" si="357"/>
        <v xml:space="preserve">12331024043 </v>
      </c>
      <c r="O21375">
        <v>230808</v>
      </c>
    </row>
    <row r="21376" spans="1:15" x14ac:dyDescent="0.25">
      <c r="A21376" t="s">
        <v>16</v>
      </c>
      <c r="B21376" t="s">
        <v>3221</v>
      </c>
      <c r="C21376">
        <v>10104</v>
      </c>
      <c r="D21376" t="s">
        <v>263</v>
      </c>
      <c r="E21376" t="s">
        <v>264</v>
      </c>
      <c r="F21376">
        <v>9.98</v>
      </c>
      <c r="G21376">
        <v>230804</v>
      </c>
      <c r="H21376">
        <v>4362</v>
      </c>
      <c r="I21376" t="s">
        <v>79</v>
      </c>
      <c r="J21376">
        <v>12.38</v>
      </c>
      <c r="K21376">
        <v>2.4</v>
      </c>
      <c r="L21376">
        <v>17523</v>
      </c>
      <c r="M21376" t="s">
        <v>134</v>
      </c>
      <c r="N21376" t="str">
        <f t="shared" si="357"/>
        <v xml:space="preserve">12331024043 </v>
      </c>
      <c r="O21376">
        <v>230808</v>
      </c>
    </row>
    <row r="21377" spans="1:15" x14ac:dyDescent="0.25">
      <c r="A21377" t="s">
        <v>16</v>
      </c>
      <c r="B21377" t="s">
        <v>3221</v>
      </c>
      <c r="C21377">
        <v>10104</v>
      </c>
      <c r="D21377" t="s">
        <v>263</v>
      </c>
      <c r="E21377" t="s">
        <v>264</v>
      </c>
      <c r="F21377">
        <v>5.4</v>
      </c>
      <c r="G21377">
        <v>230804</v>
      </c>
      <c r="H21377">
        <v>4362</v>
      </c>
      <c r="I21377" t="s">
        <v>79</v>
      </c>
      <c r="J21377">
        <v>6.7</v>
      </c>
      <c r="K21377">
        <v>1.3</v>
      </c>
      <c r="L21377">
        <v>17524</v>
      </c>
      <c r="M21377" t="s">
        <v>452</v>
      </c>
      <c r="N21377" t="str">
        <f t="shared" si="357"/>
        <v xml:space="preserve">12331024043 </v>
      </c>
      <c r="O21377">
        <v>230808</v>
      </c>
    </row>
    <row r="21378" spans="1:15" x14ac:dyDescent="0.25">
      <c r="A21378" t="s">
        <v>16</v>
      </c>
      <c r="B21378" t="s">
        <v>3221</v>
      </c>
      <c r="C21378">
        <v>10104</v>
      </c>
      <c r="D21378" t="s">
        <v>263</v>
      </c>
      <c r="E21378" t="s">
        <v>264</v>
      </c>
      <c r="F21378">
        <v>2.7</v>
      </c>
      <c r="G21378">
        <v>230804</v>
      </c>
      <c r="H21378">
        <v>4362</v>
      </c>
      <c r="I21378" t="s">
        <v>79</v>
      </c>
      <c r="J21378">
        <v>3.35</v>
      </c>
      <c r="K21378">
        <v>0.65</v>
      </c>
      <c r="L21378">
        <v>17525</v>
      </c>
      <c r="M21378" t="s">
        <v>135</v>
      </c>
      <c r="N21378" t="str">
        <f t="shared" si="357"/>
        <v xml:space="preserve">12331024043 </v>
      </c>
      <c r="O21378">
        <v>230808</v>
      </c>
    </row>
    <row r="21379" spans="1:15" x14ac:dyDescent="0.25">
      <c r="A21379" t="s">
        <v>16</v>
      </c>
      <c r="B21379" t="s">
        <v>3221</v>
      </c>
      <c r="C21379">
        <v>10104</v>
      </c>
      <c r="D21379" t="s">
        <v>263</v>
      </c>
      <c r="E21379" t="s">
        <v>264</v>
      </c>
      <c r="F21379">
        <v>8.1</v>
      </c>
      <c r="G21379">
        <v>230804</v>
      </c>
      <c r="H21379">
        <v>4362</v>
      </c>
      <c r="I21379" t="s">
        <v>79</v>
      </c>
      <c r="J21379">
        <v>10.039999999999999</v>
      </c>
      <c r="K21379">
        <v>1.94</v>
      </c>
      <c r="L21379">
        <v>17526</v>
      </c>
      <c r="M21379" t="s">
        <v>437</v>
      </c>
      <c r="N21379" t="str">
        <f t="shared" si="357"/>
        <v xml:space="preserve">12331024043 </v>
      </c>
      <c r="O21379">
        <v>230808</v>
      </c>
    </row>
    <row r="21380" spans="1:15" x14ac:dyDescent="0.25">
      <c r="A21380" t="s">
        <v>16</v>
      </c>
      <c r="B21380" t="s">
        <v>3221</v>
      </c>
      <c r="C21380">
        <v>10104</v>
      </c>
      <c r="D21380" t="s">
        <v>263</v>
      </c>
      <c r="E21380" t="s">
        <v>264</v>
      </c>
      <c r="F21380">
        <v>8.73</v>
      </c>
      <c r="G21380">
        <v>230804</v>
      </c>
      <c r="H21380">
        <v>4362</v>
      </c>
      <c r="I21380" t="s">
        <v>79</v>
      </c>
      <c r="J21380">
        <v>10.83</v>
      </c>
      <c r="K21380">
        <v>2.1</v>
      </c>
      <c r="L21380">
        <v>17527</v>
      </c>
      <c r="M21380" t="s">
        <v>422</v>
      </c>
      <c r="N21380" t="str">
        <f t="shared" si="357"/>
        <v xml:space="preserve">12331024043 </v>
      </c>
      <c r="O21380">
        <v>230808</v>
      </c>
    </row>
    <row r="21381" spans="1:15" x14ac:dyDescent="0.25">
      <c r="A21381" t="s">
        <v>16</v>
      </c>
      <c r="B21381" t="s">
        <v>3221</v>
      </c>
      <c r="C21381">
        <v>10104</v>
      </c>
      <c r="D21381" t="s">
        <v>263</v>
      </c>
      <c r="E21381" t="s">
        <v>264</v>
      </c>
      <c r="F21381">
        <v>5.4</v>
      </c>
      <c r="G21381">
        <v>230804</v>
      </c>
      <c r="H21381">
        <v>4362</v>
      </c>
      <c r="I21381" t="s">
        <v>79</v>
      </c>
      <c r="J21381">
        <v>6.7</v>
      </c>
      <c r="K21381">
        <v>1.3</v>
      </c>
      <c r="L21381">
        <v>17529</v>
      </c>
      <c r="M21381" t="s">
        <v>453</v>
      </c>
      <c r="N21381" t="str">
        <f t="shared" si="357"/>
        <v xml:space="preserve">12331024043 </v>
      </c>
      <c r="O21381">
        <v>230808</v>
      </c>
    </row>
    <row r="21382" spans="1:15" x14ac:dyDescent="0.25">
      <c r="A21382" t="s">
        <v>16</v>
      </c>
      <c r="B21382" t="s">
        <v>3221</v>
      </c>
      <c r="C21382">
        <v>10104</v>
      </c>
      <c r="D21382" t="s">
        <v>263</v>
      </c>
      <c r="E21382" t="s">
        <v>264</v>
      </c>
      <c r="F21382">
        <v>7.92</v>
      </c>
      <c r="G21382">
        <v>230804</v>
      </c>
      <c r="H21382">
        <v>4362</v>
      </c>
      <c r="I21382" t="s">
        <v>79</v>
      </c>
      <c r="J21382">
        <v>9.82</v>
      </c>
      <c r="K21382">
        <v>1.9</v>
      </c>
      <c r="L21382">
        <v>17530</v>
      </c>
      <c r="M21382" t="s">
        <v>454</v>
      </c>
      <c r="N21382" t="str">
        <f t="shared" si="357"/>
        <v xml:space="preserve">12331024043 </v>
      </c>
      <c r="O21382">
        <v>230808</v>
      </c>
    </row>
    <row r="21383" spans="1:15" x14ac:dyDescent="0.25">
      <c r="A21383" t="s">
        <v>16</v>
      </c>
      <c r="B21383" t="s">
        <v>3221</v>
      </c>
      <c r="C21383">
        <v>10104</v>
      </c>
      <c r="D21383" t="s">
        <v>263</v>
      </c>
      <c r="E21383" t="s">
        <v>264</v>
      </c>
      <c r="F21383">
        <v>18.45</v>
      </c>
      <c r="G21383">
        <v>230804</v>
      </c>
      <c r="H21383">
        <v>4362</v>
      </c>
      <c r="I21383" t="s">
        <v>79</v>
      </c>
      <c r="J21383">
        <v>22.88</v>
      </c>
      <c r="K21383">
        <v>4.43</v>
      </c>
      <c r="L21383">
        <v>17531</v>
      </c>
      <c r="M21383" t="s">
        <v>136</v>
      </c>
      <c r="N21383" t="str">
        <f t="shared" si="357"/>
        <v xml:space="preserve">12331024043 </v>
      </c>
      <c r="O21383">
        <v>230808</v>
      </c>
    </row>
    <row r="21384" spans="1:15" x14ac:dyDescent="0.25">
      <c r="A21384" t="s">
        <v>16</v>
      </c>
      <c r="B21384" t="s">
        <v>3221</v>
      </c>
      <c r="C21384">
        <v>10104</v>
      </c>
      <c r="D21384" t="s">
        <v>263</v>
      </c>
      <c r="E21384" t="s">
        <v>264</v>
      </c>
      <c r="F21384">
        <v>10.35</v>
      </c>
      <c r="G21384">
        <v>230804</v>
      </c>
      <c r="H21384">
        <v>4362</v>
      </c>
      <c r="I21384" t="s">
        <v>79</v>
      </c>
      <c r="J21384">
        <v>12.83</v>
      </c>
      <c r="K21384">
        <v>2.48</v>
      </c>
      <c r="L21384">
        <v>17532</v>
      </c>
      <c r="M21384" t="s">
        <v>543</v>
      </c>
      <c r="N21384" t="str">
        <f t="shared" si="357"/>
        <v xml:space="preserve">12331024043 </v>
      </c>
      <c r="O21384">
        <v>230808</v>
      </c>
    </row>
    <row r="21385" spans="1:15" x14ac:dyDescent="0.25">
      <c r="A21385" t="s">
        <v>16</v>
      </c>
      <c r="B21385" t="s">
        <v>3221</v>
      </c>
      <c r="C21385">
        <v>10104</v>
      </c>
      <c r="D21385" t="s">
        <v>263</v>
      </c>
      <c r="E21385" t="s">
        <v>264</v>
      </c>
      <c r="F21385">
        <v>5.4</v>
      </c>
      <c r="G21385">
        <v>230804</v>
      </c>
      <c r="H21385">
        <v>4362</v>
      </c>
      <c r="I21385" t="s">
        <v>79</v>
      </c>
      <c r="J21385">
        <v>6.7</v>
      </c>
      <c r="K21385">
        <v>1.3</v>
      </c>
      <c r="L21385">
        <v>17533</v>
      </c>
      <c r="M21385" t="s">
        <v>990</v>
      </c>
      <c r="N21385" t="str">
        <f t="shared" si="357"/>
        <v xml:space="preserve">12331024043 </v>
      </c>
      <c r="O21385">
        <v>230808</v>
      </c>
    </row>
    <row r="21386" spans="1:15" x14ac:dyDescent="0.25">
      <c r="A21386" t="s">
        <v>16</v>
      </c>
      <c r="B21386" t="s">
        <v>3221</v>
      </c>
      <c r="C21386">
        <v>10104</v>
      </c>
      <c r="D21386" t="s">
        <v>263</v>
      </c>
      <c r="E21386" t="s">
        <v>264</v>
      </c>
      <c r="F21386">
        <v>5.4</v>
      </c>
      <c r="G21386">
        <v>230804</v>
      </c>
      <c r="H21386">
        <v>4362</v>
      </c>
      <c r="I21386" t="s">
        <v>79</v>
      </c>
      <c r="J21386">
        <v>6.7</v>
      </c>
      <c r="K21386">
        <v>1.3</v>
      </c>
      <c r="L21386">
        <v>17534</v>
      </c>
      <c r="M21386" t="s">
        <v>440</v>
      </c>
      <c r="N21386" t="str">
        <f t="shared" si="357"/>
        <v xml:space="preserve">12331024043 </v>
      </c>
      <c r="O21386">
        <v>230808</v>
      </c>
    </row>
    <row r="21387" spans="1:15" x14ac:dyDescent="0.25">
      <c r="A21387" t="s">
        <v>16</v>
      </c>
      <c r="B21387" t="s">
        <v>3221</v>
      </c>
      <c r="C21387">
        <v>10104</v>
      </c>
      <c r="D21387" t="s">
        <v>263</v>
      </c>
      <c r="E21387" t="s">
        <v>264</v>
      </c>
      <c r="F21387">
        <v>2.7</v>
      </c>
      <c r="G21387">
        <v>230804</v>
      </c>
      <c r="H21387">
        <v>4362</v>
      </c>
      <c r="I21387" t="s">
        <v>79</v>
      </c>
      <c r="J21387">
        <v>3.35</v>
      </c>
      <c r="K21387">
        <v>0.65</v>
      </c>
      <c r="L21387">
        <v>17535</v>
      </c>
      <c r="M21387" t="s">
        <v>357</v>
      </c>
      <c r="N21387" t="str">
        <f t="shared" si="357"/>
        <v xml:space="preserve">12331024043 </v>
      </c>
      <c r="O21387">
        <v>230808</v>
      </c>
    </row>
    <row r="21388" spans="1:15" x14ac:dyDescent="0.25">
      <c r="A21388" t="s">
        <v>16</v>
      </c>
      <c r="B21388" t="s">
        <v>3221</v>
      </c>
      <c r="C21388">
        <v>10104</v>
      </c>
      <c r="D21388" t="s">
        <v>263</v>
      </c>
      <c r="E21388" t="s">
        <v>264</v>
      </c>
      <c r="F21388">
        <v>5.4</v>
      </c>
      <c r="G21388">
        <v>230804</v>
      </c>
      <c r="H21388">
        <v>4362</v>
      </c>
      <c r="I21388" t="s">
        <v>79</v>
      </c>
      <c r="J21388">
        <v>6.7</v>
      </c>
      <c r="K21388">
        <v>1.3</v>
      </c>
      <c r="L21388">
        <v>17536</v>
      </c>
      <c r="M21388" t="s">
        <v>734</v>
      </c>
      <c r="N21388" t="str">
        <f t="shared" si="357"/>
        <v xml:space="preserve">12331024043 </v>
      </c>
      <c r="O21388">
        <v>230808</v>
      </c>
    </row>
    <row r="21389" spans="1:15" x14ac:dyDescent="0.25">
      <c r="A21389" t="s">
        <v>16</v>
      </c>
      <c r="B21389" t="s">
        <v>3221</v>
      </c>
      <c r="C21389">
        <v>10104</v>
      </c>
      <c r="D21389" t="s">
        <v>263</v>
      </c>
      <c r="E21389" t="s">
        <v>264</v>
      </c>
      <c r="F21389">
        <v>7.95</v>
      </c>
      <c r="G21389">
        <v>230804</v>
      </c>
      <c r="H21389">
        <v>4362</v>
      </c>
      <c r="I21389" t="s">
        <v>79</v>
      </c>
      <c r="J21389">
        <v>9.86</v>
      </c>
      <c r="K21389">
        <v>1.91</v>
      </c>
      <c r="L21389">
        <v>17537</v>
      </c>
      <c r="M21389" t="s">
        <v>455</v>
      </c>
      <c r="N21389" t="str">
        <f t="shared" si="357"/>
        <v xml:space="preserve">12331024043 </v>
      </c>
      <c r="O21389">
        <v>230808</v>
      </c>
    </row>
    <row r="21390" spans="1:15" x14ac:dyDescent="0.25">
      <c r="A21390" t="s">
        <v>16</v>
      </c>
      <c r="B21390" t="s">
        <v>3221</v>
      </c>
      <c r="C21390">
        <v>10104</v>
      </c>
      <c r="D21390" t="s">
        <v>263</v>
      </c>
      <c r="E21390" t="s">
        <v>264</v>
      </c>
      <c r="F21390">
        <v>10.65</v>
      </c>
      <c r="G21390">
        <v>230804</v>
      </c>
      <c r="H21390">
        <v>4362</v>
      </c>
      <c r="I21390" t="s">
        <v>79</v>
      </c>
      <c r="J21390">
        <v>13.21</v>
      </c>
      <c r="K21390">
        <v>2.56</v>
      </c>
      <c r="L21390">
        <v>17538</v>
      </c>
      <c r="M21390" t="s">
        <v>24</v>
      </c>
      <c r="N21390" t="str">
        <f t="shared" si="357"/>
        <v xml:space="preserve">12331024043 </v>
      </c>
      <c r="O21390">
        <v>230808</v>
      </c>
    </row>
    <row r="21391" spans="1:15" x14ac:dyDescent="0.25">
      <c r="A21391" t="s">
        <v>16</v>
      </c>
      <c r="B21391" t="s">
        <v>3221</v>
      </c>
      <c r="C21391">
        <v>10104</v>
      </c>
      <c r="D21391" t="s">
        <v>263</v>
      </c>
      <c r="E21391" t="s">
        <v>264</v>
      </c>
      <c r="F21391">
        <v>10.8</v>
      </c>
      <c r="G21391">
        <v>230804</v>
      </c>
      <c r="H21391">
        <v>4362</v>
      </c>
      <c r="I21391" t="s">
        <v>79</v>
      </c>
      <c r="J21391">
        <v>13.39</v>
      </c>
      <c r="K21391">
        <v>2.59</v>
      </c>
      <c r="L21391">
        <v>17950</v>
      </c>
      <c r="M21391" t="s">
        <v>86</v>
      </c>
      <c r="N21391" t="str">
        <f t="shared" si="357"/>
        <v xml:space="preserve">12331024043 </v>
      </c>
      <c r="O21391">
        <v>230808</v>
      </c>
    </row>
    <row r="21392" spans="1:15" x14ac:dyDescent="0.25">
      <c r="A21392" t="s">
        <v>16</v>
      </c>
      <c r="B21392" t="s">
        <v>3221</v>
      </c>
      <c r="C21392">
        <v>10104</v>
      </c>
      <c r="D21392" t="s">
        <v>263</v>
      </c>
      <c r="E21392" t="s">
        <v>264</v>
      </c>
      <c r="F21392">
        <v>2.7</v>
      </c>
      <c r="G21392">
        <v>230804</v>
      </c>
      <c r="H21392">
        <v>4362</v>
      </c>
      <c r="I21392" t="s">
        <v>79</v>
      </c>
      <c r="J21392">
        <v>3.35</v>
      </c>
      <c r="K21392">
        <v>0.65</v>
      </c>
      <c r="L21392">
        <v>17956</v>
      </c>
      <c r="M21392" t="s">
        <v>53</v>
      </c>
      <c r="N21392" t="str">
        <f t="shared" si="357"/>
        <v xml:space="preserve">12331024043 </v>
      </c>
      <c r="O21392">
        <v>230808</v>
      </c>
    </row>
    <row r="21393" spans="1:15" x14ac:dyDescent="0.25">
      <c r="A21393" t="s">
        <v>16</v>
      </c>
      <c r="B21393" t="s">
        <v>3221</v>
      </c>
      <c r="C21393">
        <v>10104</v>
      </c>
      <c r="D21393" t="s">
        <v>263</v>
      </c>
      <c r="E21393" t="s">
        <v>264</v>
      </c>
      <c r="F21393">
        <v>13.5</v>
      </c>
      <c r="G21393">
        <v>230804</v>
      </c>
      <c r="H21393">
        <v>4362</v>
      </c>
      <c r="I21393" t="s">
        <v>79</v>
      </c>
      <c r="J21393">
        <v>16.739999999999998</v>
      </c>
      <c r="K21393">
        <v>3.24</v>
      </c>
      <c r="L21393">
        <v>17971</v>
      </c>
      <c r="M21393" t="s">
        <v>138</v>
      </c>
      <c r="N21393" t="str">
        <f t="shared" si="357"/>
        <v xml:space="preserve">12331024043 </v>
      </c>
      <c r="O21393">
        <v>230808</v>
      </c>
    </row>
    <row r="21394" spans="1:15" x14ac:dyDescent="0.25">
      <c r="A21394" t="s">
        <v>16</v>
      </c>
      <c r="B21394" t="s">
        <v>3221</v>
      </c>
      <c r="C21394">
        <v>10104</v>
      </c>
      <c r="D21394" t="s">
        <v>263</v>
      </c>
      <c r="E21394" t="s">
        <v>264</v>
      </c>
      <c r="F21394">
        <v>2.7</v>
      </c>
      <c r="G21394">
        <v>230804</v>
      </c>
      <c r="H21394">
        <v>4362</v>
      </c>
      <c r="I21394" t="s">
        <v>79</v>
      </c>
      <c r="J21394">
        <v>3.35</v>
      </c>
      <c r="K21394">
        <v>0.65</v>
      </c>
      <c r="L21394">
        <v>17972</v>
      </c>
      <c r="M21394" t="s">
        <v>248</v>
      </c>
      <c r="N21394" t="str">
        <f t="shared" si="357"/>
        <v xml:space="preserve">12331024043 </v>
      </c>
      <c r="O21394">
        <v>230808</v>
      </c>
    </row>
    <row r="21395" spans="1:15" x14ac:dyDescent="0.25">
      <c r="A21395" t="s">
        <v>16</v>
      </c>
      <c r="B21395" t="s">
        <v>3221</v>
      </c>
      <c r="C21395">
        <v>10104</v>
      </c>
      <c r="D21395" t="s">
        <v>263</v>
      </c>
      <c r="E21395" t="s">
        <v>264</v>
      </c>
      <c r="F21395">
        <v>2.7</v>
      </c>
      <c r="G21395">
        <v>230804</v>
      </c>
      <c r="H21395">
        <v>4362</v>
      </c>
      <c r="I21395" t="s">
        <v>79</v>
      </c>
      <c r="J21395">
        <v>3.35</v>
      </c>
      <c r="K21395">
        <v>0.65</v>
      </c>
      <c r="L21395">
        <v>17974</v>
      </c>
      <c r="M21395" t="s">
        <v>460</v>
      </c>
      <c r="N21395" t="str">
        <f t="shared" si="357"/>
        <v xml:space="preserve">12331024043 </v>
      </c>
      <c r="O21395">
        <v>230808</v>
      </c>
    </row>
    <row r="21396" spans="1:15" x14ac:dyDescent="0.25">
      <c r="A21396" t="s">
        <v>16</v>
      </c>
      <c r="B21396" t="s">
        <v>3221</v>
      </c>
      <c r="C21396">
        <v>10104</v>
      </c>
      <c r="D21396" t="s">
        <v>263</v>
      </c>
      <c r="E21396" t="s">
        <v>264</v>
      </c>
      <c r="F21396">
        <v>8.07</v>
      </c>
      <c r="G21396">
        <v>230804</v>
      </c>
      <c r="H21396">
        <v>4362</v>
      </c>
      <c r="I21396" t="s">
        <v>79</v>
      </c>
      <c r="J21396">
        <v>10.01</v>
      </c>
      <c r="K21396">
        <v>1.94</v>
      </c>
      <c r="L21396">
        <v>17975</v>
      </c>
      <c r="M21396" t="s">
        <v>798</v>
      </c>
      <c r="N21396" t="str">
        <f t="shared" si="357"/>
        <v xml:space="preserve">12331024043 </v>
      </c>
      <c r="O21396">
        <v>230808</v>
      </c>
    </row>
    <row r="21397" spans="1:15" x14ac:dyDescent="0.25">
      <c r="A21397" t="s">
        <v>16</v>
      </c>
      <c r="B21397" t="s">
        <v>3221</v>
      </c>
      <c r="C21397">
        <v>10110</v>
      </c>
      <c r="D21397" t="s">
        <v>263</v>
      </c>
      <c r="E21397" t="s">
        <v>264</v>
      </c>
      <c r="F21397">
        <v>21.55</v>
      </c>
      <c r="G21397">
        <v>230804</v>
      </c>
      <c r="H21397">
        <v>4362</v>
      </c>
      <c r="I21397" t="s">
        <v>79</v>
      </c>
      <c r="J21397">
        <v>26.72</v>
      </c>
      <c r="K21397">
        <v>5.17</v>
      </c>
      <c r="L21397">
        <v>11101</v>
      </c>
      <c r="M21397" t="s">
        <v>110</v>
      </c>
      <c r="N21397" t="str">
        <f>"12331024051 "</f>
        <v xml:space="preserve">12331024051 </v>
      </c>
      <c r="O21397">
        <v>230808</v>
      </c>
    </row>
    <row r="21398" spans="1:15" x14ac:dyDescent="0.25">
      <c r="A21398" t="s">
        <v>16</v>
      </c>
      <c r="B21398" t="s">
        <v>3221</v>
      </c>
      <c r="C21398">
        <v>10110</v>
      </c>
      <c r="D21398" t="s">
        <v>263</v>
      </c>
      <c r="E21398" t="s">
        <v>264</v>
      </c>
      <c r="F21398">
        <v>3.24</v>
      </c>
      <c r="G21398">
        <v>230804</v>
      </c>
      <c r="H21398">
        <v>4362</v>
      </c>
      <c r="I21398" t="s">
        <v>79</v>
      </c>
      <c r="J21398">
        <v>4.0199999999999996</v>
      </c>
      <c r="K21398">
        <v>0.78</v>
      </c>
      <c r="L21398">
        <v>11201</v>
      </c>
      <c r="M21398" t="s">
        <v>305</v>
      </c>
      <c r="N21398" t="str">
        <f>"12331024051 "</f>
        <v xml:space="preserve">12331024051 </v>
      </c>
      <c r="O21398">
        <v>230808</v>
      </c>
    </row>
    <row r="21399" spans="1:15" x14ac:dyDescent="0.25">
      <c r="A21399" t="s">
        <v>16</v>
      </c>
      <c r="B21399" t="s">
        <v>3221</v>
      </c>
      <c r="C21399">
        <v>10111</v>
      </c>
      <c r="D21399" t="s">
        <v>263</v>
      </c>
      <c r="E21399" t="s">
        <v>264</v>
      </c>
      <c r="F21399">
        <v>20.11</v>
      </c>
      <c r="G21399">
        <v>230804</v>
      </c>
      <c r="H21399">
        <v>4362</v>
      </c>
      <c r="I21399" t="s">
        <v>79</v>
      </c>
      <c r="J21399">
        <v>24.94</v>
      </c>
      <c r="K21399">
        <v>4.83</v>
      </c>
      <c r="L21399">
        <v>46554</v>
      </c>
      <c r="M21399" t="s">
        <v>117</v>
      </c>
      <c r="N21399" t="str">
        <f>"12331024031 "</f>
        <v xml:space="preserve">12331024031 </v>
      </c>
      <c r="O21399">
        <v>230808</v>
      </c>
    </row>
    <row r="21400" spans="1:15" x14ac:dyDescent="0.25">
      <c r="A21400" t="s">
        <v>16</v>
      </c>
      <c r="B21400" t="s">
        <v>3221</v>
      </c>
      <c r="C21400">
        <v>10112</v>
      </c>
      <c r="D21400" t="s">
        <v>263</v>
      </c>
      <c r="E21400" t="s">
        <v>264</v>
      </c>
      <c r="F21400">
        <v>2.4500000000000002</v>
      </c>
      <c r="G21400">
        <v>230804</v>
      </c>
      <c r="H21400">
        <v>4362</v>
      </c>
      <c r="I21400" t="s">
        <v>79</v>
      </c>
      <c r="J21400">
        <v>3.04</v>
      </c>
      <c r="K21400">
        <v>0.59</v>
      </c>
      <c r="L21400">
        <v>41126</v>
      </c>
      <c r="M21400" t="s">
        <v>761</v>
      </c>
      <c r="N21400" t="str">
        <f t="shared" ref="N21400:N21405" si="358">"12331024039 "</f>
        <v xml:space="preserve">12331024039 </v>
      </c>
      <c r="O21400">
        <v>230808</v>
      </c>
    </row>
    <row r="21401" spans="1:15" x14ac:dyDescent="0.25">
      <c r="A21401" t="s">
        <v>16</v>
      </c>
      <c r="B21401" t="s">
        <v>3221</v>
      </c>
      <c r="C21401">
        <v>10112</v>
      </c>
      <c r="D21401" t="s">
        <v>263</v>
      </c>
      <c r="E21401" t="s">
        <v>264</v>
      </c>
      <c r="F21401">
        <v>1.9</v>
      </c>
      <c r="G21401">
        <v>230804</v>
      </c>
      <c r="H21401">
        <v>4362</v>
      </c>
      <c r="I21401" t="s">
        <v>79</v>
      </c>
      <c r="J21401">
        <v>2.35</v>
      </c>
      <c r="K21401">
        <v>0.45</v>
      </c>
      <c r="L21401">
        <v>43222</v>
      </c>
      <c r="M21401" t="s">
        <v>507</v>
      </c>
      <c r="N21401" t="str">
        <f t="shared" si="358"/>
        <v xml:space="preserve">12331024039 </v>
      </c>
      <c r="O21401">
        <v>230808</v>
      </c>
    </row>
    <row r="21402" spans="1:15" x14ac:dyDescent="0.25">
      <c r="A21402" t="s">
        <v>16</v>
      </c>
      <c r="B21402" t="s">
        <v>3221</v>
      </c>
      <c r="C21402">
        <v>10112</v>
      </c>
      <c r="D21402" t="s">
        <v>263</v>
      </c>
      <c r="E21402" t="s">
        <v>264</v>
      </c>
      <c r="F21402">
        <v>2.27</v>
      </c>
      <c r="G21402">
        <v>230804</v>
      </c>
      <c r="H21402">
        <v>4362</v>
      </c>
      <c r="I21402" t="s">
        <v>79</v>
      </c>
      <c r="J21402">
        <v>2.82</v>
      </c>
      <c r="K21402">
        <v>0.55000000000000004</v>
      </c>
      <c r="L21402">
        <v>44222</v>
      </c>
      <c r="M21402" t="s">
        <v>232</v>
      </c>
      <c r="N21402" t="str">
        <f t="shared" si="358"/>
        <v xml:space="preserve">12331024039 </v>
      </c>
      <c r="O21402">
        <v>230808</v>
      </c>
    </row>
    <row r="21403" spans="1:15" x14ac:dyDescent="0.25">
      <c r="A21403" t="s">
        <v>16</v>
      </c>
      <c r="B21403" t="s">
        <v>3221</v>
      </c>
      <c r="C21403">
        <v>10112</v>
      </c>
      <c r="D21403" t="s">
        <v>263</v>
      </c>
      <c r="E21403" t="s">
        <v>264</v>
      </c>
      <c r="F21403">
        <v>2.4500000000000002</v>
      </c>
      <c r="G21403">
        <v>230804</v>
      </c>
      <c r="H21403">
        <v>4362</v>
      </c>
      <c r="I21403" t="s">
        <v>79</v>
      </c>
      <c r="J21403">
        <v>3.04</v>
      </c>
      <c r="K21403">
        <v>0.59</v>
      </c>
      <c r="L21403">
        <v>44424</v>
      </c>
      <c r="M21403" t="s">
        <v>776</v>
      </c>
      <c r="N21403" t="str">
        <f t="shared" si="358"/>
        <v xml:space="preserve">12331024039 </v>
      </c>
      <c r="O21403">
        <v>230808</v>
      </c>
    </row>
    <row r="21404" spans="1:15" x14ac:dyDescent="0.25">
      <c r="A21404" t="s">
        <v>16</v>
      </c>
      <c r="B21404" t="s">
        <v>3221</v>
      </c>
      <c r="C21404">
        <v>10112</v>
      </c>
      <c r="D21404" t="s">
        <v>263</v>
      </c>
      <c r="E21404" t="s">
        <v>264</v>
      </c>
      <c r="F21404">
        <v>1.32</v>
      </c>
      <c r="G21404">
        <v>230804</v>
      </c>
      <c r="H21404">
        <v>4362</v>
      </c>
      <c r="I21404" t="s">
        <v>79</v>
      </c>
      <c r="J21404">
        <v>1.64</v>
      </c>
      <c r="K21404">
        <v>0.32</v>
      </c>
      <c r="L21404">
        <v>46222</v>
      </c>
      <c r="M21404" t="s">
        <v>293</v>
      </c>
      <c r="N21404" t="str">
        <f t="shared" si="358"/>
        <v xml:space="preserve">12331024039 </v>
      </c>
      <c r="O21404">
        <v>230808</v>
      </c>
    </row>
    <row r="21405" spans="1:15" x14ac:dyDescent="0.25">
      <c r="A21405" t="s">
        <v>16</v>
      </c>
      <c r="B21405" t="s">
        <v>3221</v>
      </c>
      <c r="C21405">
        <v>10112</v>
      </c>
      <c r="D21405" t="s">
        <v>263</v>
      </c>
      <c r="E21405" t="s">
        <v>264</v>
      </c>
      <c r="F21405">
        <v>8.51</v>
      </c>
      <c r="G21405">
        <v>230804</v>
      </c>
      <c r="H21405">
        <v>4362</v>
      </c>
      <c r="I21405" t="s">
        <v>79</v>
      </c>
      <c r="J21405">
        <v>10.55</v>
      </c>
      <c r="K21405">
        <v>2.04</v>
      </c>
      <c r="L21405">
        <v>46559</v>
      </c>
      <c r="M21405" t="s">
        <v>1104</v>
      </c>
      <c r="N21405" t="str">
        <f t="shared" si="358"/>
        <v xml:space="preserve">12331024039 </v>
      </c>
      <c r="O21405">
        <v>230808</v>
      </c>
    </row>
    <row r="21406" spans="1:15" x14ac:dyDescent="0.25">
      <c r="A21406" t="s">
        <v>16</v>
      </c>
      <c r="B21406" t="s">
        <v>3221</v>
      </c>
      <c r="C21406">
        <v>10113</v>
      </c>
      <c r="D21406" t="s">
        <v>263</v>
      </c>
      <c r="E21406" t="s">
        <v>264</v>
      </c>
      <c r="F21406">
        <v>5.4</v>
      </c>
      <c r="G21406">
        <v>230804</v>
      </c>
      <c r="H21406">
        <v>4362</v>
      </c>
      <c r="I21406" t="s">
        <v>79</v>
      </c>
      <c r="J21406">
        <v>6.7</v>
      </c>
      <c r="K21406">
        <v>1.3</v>
      </c>
      <c r="L21406">
        <v>46557</v>
      </c>
      <c r="M21406" t="s">
        <v>221</v>
      </c>
      <c r="N21406" t="str">
        <f>"12331024052 "</f>
        <v xml:space="preserve">12331024052 </v>
      </c>
      <c r="O21406">
        <v>230808</v>
      </c>
    </row>
    <row r="21407" spans="1:15" x14ac:dyDescent="0.25">
      <c r="A21407" t="s">
        <v>16</v>
      </c>
      <c r="B21407" t="s">
        <v>3221</v>
      </c>
      <c r="C21407">
        <v>10116</v>
      </c>
      <c r="D21407" t="s">
        <v>263</v>
      </c>
      <c r="E21407" t="s">
        <v>264</v>
      </c>
      <c r="F21407">
        <v>2.5499999999999998</v>
      </c>
      <c r="G21407">
        <v>230804</v>
      </c>
      <c r="H21407">
        <v>4362</v>
      </c>
      <c r="I21407" t="s">
        <v>79</v>
      </c>
      <c r="J21407">
        <v>3.16</v>
      </c>
      <c r="K21407">
        <v>0.61</v>
      </c>
      <c r="L21407">
        <v>13801</v>
      </c>
      <c r="M21407" t="s">
        <v>162</v>
      </c>
      <c r="N21407" t="str">
        <f>"12331024049 "</f>
        <v xml:space="preserve">12331024049 </v>
      </c>
      <c r="O21407">
        <v>230808</v>
      </c>
    </row>
    <row r="21408" spans="1:15" x14ac:dyDescent="0.25">
      <c r="A21408" t="s">
        <v>16</v>
      </c>
      <c r="B21408" t="s">
        <v>3221</v>
      </c>
      <c r="C21408">
        <v>10119</v>
      </c>
      <c r="D21408" t="s">
        <v>263</v>
      </c>
      <c r="E21408" t="s">
        <v>264</v>
      </c>
      <c r="F21408">
        <v>5.4</v>
      </c>
      <c r="G21408">
        <v>230804</v>
      </c>
      <c r="H21408">
        <v>4362</v>
      </c>
      <c r="I21408" t="s">
        <v>79</v>
      </c>
      <c r="J21408">
        <v>6.7</v>
      </c>
      <c r="K21408">
        <v>1.3</v>
      </c>
      <c r="L21408">
        <v>46556</v>
      </c>
      <c r="M21408" t="s">
        <v>125</v>
      </c>
      <c r="N21408" t="str">
        <f>"12331024034 "</f>
        <v xml:space="preserve">12331024034 </v>
      </c>
      <c r="O21408">
        <v>230808</v>
      </c>
    </row>
    <row r="21409" spans="1:15" x14ac:dyDescent="0.25">
      <c r="A21409" t="s">
        <v>16</v>
      </c>
      <c r="B21409" t="s">
        <v>3221</v>
      </c>
      <c r="C21409">
        <v>10120</v>
      </c>
      <c r="D21409" t="s">
        <v>263</v>
      </c>
      <c r="E21409" t="s">
        <v>264</v>
      </c>
      <c r="F21409">
        <v>29.88</v>
      </c>
      <c r="G21409">
        <v>230804</v>
      </c>
      <c r="H21409">
        <v>4362</v>
      </c>
      <c r="I21409" t="s">
        <v>79</v>
      </c>
      <c r="J21409">
        <v>37.049999999999997</v>
      </c>
      <c r="K21409">
        <v>7.17</v>
      </c>
      <c r="L21409">
        <v>41126</v>
      </c>
      <c r="M21409" t="s">
        <v>761</v>
      </c>
      <c r="N21409" t="str">
        <f>"12331024028 "</f>
        <v xml:space="preserve">12331024028 </v>
      </c>
      <c r="O21409">
        <v>230808</v>
      </c>
    </row>
    <row r="21410" spans="1:15" x14ac:dyDescent="0.25">
      <c r="A21410" t="s">
        <v>16</v>
      </c>
      <c r="B21410" t="s">
        <v>3221</v>
      </c>
      <c r="C21410">
        <v>10120</v>
      </c>
      <c r="D21410" t="s">
        <v>263</v>
      </c>
      <c r="E21410" t="s">
        <v>264</v>
      </c>
      <c r="F21410">
        <v>10.8</v>
      </c>
      <c r="G21410">
        <v>230804</v>
      </c>
      <c r="H21410">
        <v>4362</v>
      </c>
      <c r="I21410" t="s">
        <v>79</v>
      </c>
      <c r="J21410">
        <v>13.39</v>
      </c>
      <c r="K21410">
        <v>2.59</v>
      </c>
      <c r="L21410">
        <v>46222</v>
      </c>
      <c r="M21410" t="s">
        <v>293</v>
      </c>
      <c r="N21410" t="str">
        <f>"12331024028 "</f>
        <v xml:space="preserve">12331024028 </v>
      </c>
      <c r="O21410">
        <v>230808</v>
      </c>
    </row>
    <row r="21411" spans="1:15" x14ac:dyDescent="0.25">
      <c r="A21411" t="s">
        <v>16</v>
      </c>
      <c r="B21411" t="s">
        <v>3221</v>
      </c>
      <c r="C21411">
        <v>10159</v>
      </c>
      <c r="D21411" t="s">
        <v>263</v>
      </c>
      <c r="E21411" t="s">
        <v>264</v>
      </c>
      <c r="F21411">
        <v>13.5</v>
      </c>
      <c r="G21411">
        <v>230804</v>
      </c>
      <c r="H21411">
        <v>4362</v>
      </c>
      <c r="I21411" t="s">
        <v>79</v>
      </c>
      <c r="J21411">
        <v>16.739999999999998</v>
      </c>
      <c r="K21411">
        <v>3.24</v>
      </c>
      <c r="L21411">
        <v>47522</v>
      </c>
      <c r="M21411" t="s">
        <v>410</v>
      </c>
      <c r="N21411" t="str">
        <f>"12331024030 "</f>
        <v xml:space="preserve">12331024030 </v>
      </c>
      <c r="O21411">
        <v>230809</v>
      </c>
    </row>
    <row r="21412" spans="1:15" x14ac:dyDescent="0.25">
      <c r="A21412" t="s">
        <v>16</v>
      </c>
      <c r="B21412" t="s">
        <v>3221</v>
      </c>
      <c r="C21412">
        <v>10159</v>
      </c>
      <c r="D21412" t="s">
        <v>263</v>
      </c>
      <c r="E21412" t="s">
        <v>264</v>
      </c>
      <c r="F21412">
        <v>8.57</v>
      </c>
      <c r="G21412">
        <v>230804</v>
      </c>
      <c r="H21412">
        <v>4362</v>
      </c>
      <c r="I21412" t="s">
        <v>79</v>
      </c>
      <c r="J21412">
        <v>8.57</v>
      </c>
      <c r="K21412">
        <v>0</v>
      </c>
      <c r="L21412">
        <v>49702</v>
      </c>
      <c r="M21412" t="s">
        <v>584</v>
      </c>
      <c r="N21412" t="str">
        <f>"12331024030 "</f>
        <v xml:space="preserve">12331024030 </v>
      </c>
      <c r="O21412">
        <v>230809</v>
      </c>
    </row>
    <row r="21413" spans="1:15" x14ac:dyDescent="0.25">
      <c r="A21413" t="s">
        <v>16</v>
      </c>
      <c r="B21413" t="s">
        <v>3221</v>
      </c>
      <c r="C21413">
        <v>10161</v>
      </c>
      <c r="D21413" t="s">
        <v>263</v>
      </c>
      <c r="E21413" t="s">
        <v>264</v>
      </c>
      <c r="F21413">
        <v>5.25</v>
      </c>
      <c r="G21413">
        <v>230804</v>
      </c>
      <c r="H21413">
        <v>4362</v>
      </c>
      <c r="I21413" t="s">
        <v>79</v>
      </c>
      <c r="J21413">
        <v>6.51</v>
      </c>
      <c r="K21413">
        <v>1.26</v>
      </c>
      <c r="L21413">
        <v>44222</v>
      </c>
      <c r="M21413" t="s">
        <v>232</v>
      </c>
      <c r="N21413" t="str">
        <f>"12331024035 "</f>
        <v xml:space="preserve">12331024035 </v>
      </c>
      <c r="O21413">
        <v>230809</v>
      </c>
    </row>
    <row r="21414" spans="1:15" x14ac:dyDescent="0.25">
      <c r="A21414" t="s">
        <v>16</v>
      </c>
      <c r="B21414" t="s">
        <v>3221</v>
      </c>
      <c r="C21414">
        <v>10161</v>
      </c>
      <c r="D21414" t="s">
        <v>263</v>
      </c>
      <c r="E21414" t="s">
        <v>264</v>
      </c>
      <c r="F21414">
        <v>18.600000000000001</v>
      </c>
      <c r="G21414">
        <v>230804</v>
      </c>
      <c r="H21414">
        <v>4362</v>
      </c>
      <c r="I21414" t="s">
        <v>79</v>
      </c>
      <c r="J21414">
        <v>23.06</v>
      </c>
      <c r="K21414">
        <v>4.46</v>
      </c>
      <c r="L21414">
        <v>44222</v>
      </c>
      <c r="M21414" t="s">
        <v>232</v>
      </c>
      <c r="N21414" t="str">
        <f>"12331024035 "</f>
        <v xml:space="preserve">12331024035 </v>
      </c>
      <c r="O21414">
        <v>230809</v>
      </c>
    </row>
    <row r="21415" spans="1:15" x14ac:dyDescent="0.25">
      <c r="A21415" t="s">
        <v>16</v>
      </c>
      <c r="B21415" t="s">
        <v>3221</v>
      </c>
      <c r="C21415">
        <v>10161</v>
      </c>
      <c r="D21415" t="s">
        <v>263</v>
      </c>
      <c r="E21415" t="s">
        <v>264</v>
      </c>
      <c r="F21415">
        <v>2.7</v>
      </c>
      <c r="G21415">
        <v>230804</v>
      </c>
      <c r="H21415">
        <v>4362</v>
      </c>
      <c r="I21415" t="s">
        <v>79</v>
      </c>
      <c r="J21415">
        <v>3.35</v>
      </c>
      <c r="K21415">
        <v>0.65</v>
      </c>
      <c r="L21415">
        <v>44251</v>
      </c>
      <c r="M21415" t="s">
        <v>156</v>
      </c>
      <c r="N21415" t="str">
        <f>"12331024035 "</f>
        <v xml:space="preserve">12331024035 </v>
      </c>
      <c r="O21415">
        <v>230809</v>
      </c>
    </row>
    <row r="21416" spans="1:15" x14ac:dyDescent="0.25">
      <c r="A21416" t="s">
        <v>16</v>
      </c>
      <c r="B21416" t="s">
        <v>3221</v>
      </c>
      <c r="C21416">
        <v>10161</v>
      </c>
      <c r="D21416" t="s">
        <v>263</v>
      </c>
      <c r="E21416" t="s">
        <v>264</v>
      </c>
      <c r="F21416">
        <v>2.5499999999999998</v>
      </c>
      <c r="G21416">
        <v>230804</v>
      </c>
      <c r="H21416">
        <v>4362</v>
      </c>
      <c r="I21416" t="s">
        <v>79</v>
      </c>
      <c r="J21416">
        <v>3.16</v>
      </c>
      <c r="K21416">
        <v>0.61</v>
      </c>
      <c r="L21416">
        <v>44253</v>
      </c>
      <c r="M21416" t="s">
        <v>1058</v>
      </c>
      <c r="N21416" t="str">
        <f>"12331024035 "</f>
        <v xml:space="preserve">12331024035 </v>
      </c>
      <c r="O21416">
        <v>230809</v>
      </c>
    </row>
    <row r="21417" spans="1:15" x14ac:dyDescent="0.25">
      <c r="A21417" t="s">
        <v>16</v>
      </c>
      <c r="B21417" t="s">
        <v>3221</v>
      </c>
      <c r="C21417">
        <v>10161</v>
      </c>
      <c r="D21417" t="s">
        <v>263</v>
      </c>
      <c r="E21417" t="s">
        <v>264</v>
      </c>
      <c r="F21417">
        <v>4.2699999999999996</v>
      </c>
      <c r="G21417">
        <v>230804</v>
      </c>
      <c r="H21417">
        <v>4362</v>
      </c>
      <c r="I21417" t="s">
        <v>79</v>
      </c>
      <c r="J21417">
        <v>4.2699999999999996</v>
      </c>
      <c r="K21417">
        <v>0</v>
      </c>
      <c r="L21417">
        <v>49702</v>
      </c>
      <c r="M21417" t="s">
        <v>584</v>
      </c>
      <c r="N21417" t="str">
        <f>"12331024035 "</f>
        <v xml:space="preserve">12331024035 </v>
      </c>
      <c r="O21417">
        <v>230809</v>
      </c>
    </row>
    <row r="21418" spans="1:15" x14ac:dyDescent="0.25">
      <c r="A21418" t="s">
        <v>16</v>
      </c>
      <c r="B21418" t="s">
        <v>3221</v>
      </c>
      <c r="C21418">
        <v>10162</v>
      </c>
      <c r="D21418" t="s">
        <v>263</v>
      </c>
      <c r="E21418" t="s">
        <v>264</v>
      </c>
      <c r="F21418">
        <v>10.79</v>
      </c>
      <c r="G21418">
        <v>230804</v>
      </c>
      <c r="H21418">
        <v>4362</v>
      </c>
      <c r="I21418" t="s">
        <v>79</v>
      </c>
      <c r="J21418">
        <v>13.38</v>
      </c>
      <c r="K21418">
        <v>2.59</v>
      </c>
      <c r="L21418">
        <v>17131</v>
      </c>
      <c r="M21418" t="s">
        <v>64</v>
      </c>
      <c r="N21418" t="str">
        <f t="shared" ref="N21418:N21428" si="359">"12331024042 "</f>
        <v xml:space="preserve">12331024042 </v>
      </c>
      <c r="O21418">
        <v>230809</v>
      </c>
    </row>
    <row r="21419" spans="1:15" x14ac:dyDescent="0.25">
      <c r="A21419" t="s">
        <v>16</v>
      </c>
      <c r="B21419" t="s">
        <v>3221</v>
      </c>
      <c r="C21419">
        <v>10162</v>
      </c>
      <c r="D21419" t="s">
        <v>263</v>
      </c>
      <c r="E21419" t="s">
        <v>264</v>
      </c>
      <c r="F21419">
        <v>2.7</v>
      </c>
      <c r="G21419">
        <v>230804</v>
      </c>
      <c r="H21419">
        <v>4362</v>
      </c>
      <c r="I21419" t="s">
        <v>79</v>
      </c>
      <c r="J21419">
        <v>3.35</v>
      </c>
      <c r="K21419">
        <v>0.65</v>
      </c>
      <c r="L21419">
        <v>17147</v>
      </c>
      <c r="M21419" t="s">
        <v>1734</v>
      </c>
      <c r="N21419" t="str">
        <f t="shared" si="359"/>
        <v xml:space="preserve">12331024042 </v>
      </c>
      <c r="O21419">
        <v>230809</v>
      </c>
    </row>
    <row r="21420" spans="1:15" x14ac:dyDescent="0.25">
      <c r="A21420" t="s">
        <v>16</v>
      </c>
      <c r="B21420" t="s">
        <v>3221</v>
      </c>
      <c r="C21420">
        <v>10162</v>
      </c>
      <c r="D21420" t="s">
        <v>263</v>
      </c>
      <c r="E21420" t="s">
        <v>264</v>
      </c>
      <c r="F21420">
        <v>10.8</v>
      </c>
      <c r="G21420">
        <v>230804</v>
      </c>
      <c r="H21420">
        <v>4362</v>
      </c>
      <c r="I21420" t="s">
        <v>79</v>
      </c>
      <c r="J21420">
        <v>13.39</v>
      </c>
      <c r="K21420">
        <v>2.59</v>
      </c>
      <c r="L21420">
        <v>17711</v>
      </c>
      <c r="M21420" t="s">
        <v>65</v>
      </c>
      <c r="N21420" t="str">
        <f t="shared" si="359"/>
        <v xml:space="preserve">12331024042 </v>
      </c>
      <c r="O21420">
        <v>230809</v>
      </c>
    </row>
    <row r="21421" spans="1:15" x14ac:dyDescent="0.25">
      <c r="A21421" t="s">
        <v>16</v>
      </c>
      <c r="B21421" t="s">
        <v>3221</v>
      </c>
      <c r="C21421">
        <v>10162</v>
      </c>
      <c r="D21421" t="s">
        <v>263</v>
      </c>
      <c r="E21421" t="s">
        <v>264</v>
      </c>
      <c r="F21421">
        <v>16.2</v>
      </c>
      <c r="G21421">
        <v>230804</v>
      </c>
      <c r="H21421">
        <v>4362</v>
      </c>
      <c r="I21421" t="s">
        <v>79</v>
      </c>
      <c r="J21421">
        <v>20.09</v>
      </c>
      <c r="K21421">
        <v>3.89</v>
      </c>
      <c r="L21421">
        <v>17711</v>
      </c>
      <c r="M21421" t="s">
        <v>65</v>
      </c>
      <c r="N21421" t="str">
        <f t="shared" si="359"/>
        <v xml:space="preserve">12331024042 </v>
      </c>
      <c r="O21421">
        <v>230809</v>
      </c>
    </row>
    <row r="21422" spans="1:15" x14ac:dyDescent="0.25">
      <c r="A21422" t="s">
        <v>16</v>
      </c>
      <c r="B21422" t="s">
        <v>3221</v>
      </c>
      <c r="C21422">
        <v>10162</v>
      </c>
      <c r="D21422" t="s">
        <v>263</v>
      </c>
      <c r="E21422" t="s">
        <v>264</v>
      </c>
      <c r="F21422">
        <v>5.74</v>
      </c>
      <c r="G21422">
        <v>230804</v>
      </c>
      <c r="H21422">
        <v>4362</v>
      </c>
      <c r="I21422" t="s">
        <v>79</v>
      </c>
      <c r="J21422">
        <v>7.12</v>
      </c>
      <c r="K21422">
        <v>1.38</v>
      </c>
      <c r="L21422">
        <v>17737</v>
      </c>
      <c r="M21422" t="s">
        <v>279</v>
      </c>
      <c r="N21422" t="str">
        <f t="shared" si="359"/>
        <v xml:space="preserve">12331024042 </v>
      </c>
      <c r="O21422">
        <v>230809</v>
      </c>
    </row>
    <row r="21423" spans="1:15" x14ac:dyDescent="0.25">
      <c r="A21423" t="s">
        <v>16</v>
      </c>
      <c r="B21423" t="s">
        <v>3221</v>
      </c>
      <c r="C21423">
        <v>10162</v>
      </c>
      <c r="D21423" t="s">
        <v>263</v>
      </c>
      <c r="E21423" t="s">
        <v>264</v>
      </c>
      <c r="F21423">
        <v>13.7</v>
      </c>
      <c r="G21423">
        <v>230804</v>
      </c>
      <c r="H21423">
        <v>4362</v>
      </c>
      <c r="I21423" t="s">
        <v>79</v>
      </c>
      <c r="J21423">
        <v>16.989999999999998</v>
      </c>
      <c r="K21423">
        <v>3.29</v>
      </c>
      <c r="L21423">
        <v>17737</v>
      </c>
      <c r="M21423" t="s">
        <v>279</v>
      </c>
      <c r="N21423" t="str">
        <f t="shared" si="359"/>
        <v xml:space="preserve">12331024042 </v>
      </c>
      <c r="O21423">
        <v>230809</v>
      </c>
    </row>
    <row r="21424" spans="1:15" x14ac:dyDescent="0.25">
      <c r="A21424" t="s">
        <v>16</v>
      </c>
      <c r="B21424" t="s">
        <v>3221</v>
      </c>
      <c r="C21424">
        <v>10162</v>
      </c>
      <c r="D21424" t="s">
        <v>263</v>
      </c>
      <c r="E21424" t="s">
        <v>264</v>
      </c>
      <c r="F21424">
        <v>2.7</v>
      </c>
      <c r="G21424">
        <v>230804</v>
      </c>
      <c r="H21424">
        <v>4362</v>
      </c>
      <c r="I21424" t="s">
        <v>79</v>
      </c>
      <c r="J21424">
        <v>3.35</v>
      </c>
      <c r="K21424">
        <v>0.65</v>
      </c>
      <c r="L21424">
        <v>17912</v>
      </c>
      <c r="M21424" t="s">
        <v>419</v>
      </c>
      <c r="N21424" t="str">
        <f t="shared" si="359"/>
        <v xml:space="preserve">12331024042 </v>
      </c>
      <c r="O21424">
        <v>230809</v>
      </c>
    </row>
    <row r="21425" spans="1:15" x14ac:dyDescent="0.25">
      <c r="A21425" t="s">
        <v>16</v>
      </c>
      <c r="B21425" t="s">
        <v>3221</v>
      </c>
      <c r="C21425">
        <v>10162</v>
      </c>
      <c r="D21425" t="s">
        <v>263</v>
      </c>
      <c r="E21425" t="s">
        <v>264</v>
      </c>
      <c r="F21425">
        <v>2.7</v>
      </c>
      <c r="G21425">
        <v>230804</v>
      </c>
      <c r="H21425">
        <v>4362</v>
      </c>
      <c r="I21425" t="s">
        <v>79</v>
      </c>
      <c r="J21425">
        <v>3.35</v>
      </c>
      <c r="K21425">
        <v>0.65</v>
      </c>
      <c r="L21425">
        <v>17915</v>
      </c>
      <c r="M21425" t="s">
        <v>572</v>
      </c>
      <c r="N21425" t="str">
        <f t="shared" si="359"/>
        <v xml:space="preserve">12331024042 </v>
      </c>
      <c r="O21425">
        <v>230809</v>
      </c>
    </row>
    <row r="21426" spans="1:15" x14ac:dyDescent="0.25">
      <c r="A21426" t="s">
        <v>16</v>
      </c>
      <c r="B21426" t="s">
        <v>3221</v>
      </c>
      <c r="C21426">
        <v>10162</v>
      </c>
      <c r="D21426" t="s">
        <v>263</v>
      </c>
      <c r="E21426" t="s">
        <v>264</v>
      </c>
      <c r="F21426">
        <v>12.28</v>
      </c>
      <c r="G21426">
        <v>230804</v>
      </c>
      <c r="H21426">
        <v>4362</v>
      </c>
      <c r="I21426" t="s">
        <v>79</v>
      </c>
      <c r="J21426">
        <v>15.23</v>
      </c>
      <c r="K21426">
        <v>2.95</v>
      </c>
      <c r="L21426">
        <v>17952</v>
      </c>
      <c r="M21426" t="s">
        <v>88</v>
      </c>
      <c r="N21426" t="str">
        <f t="shared" si="359"/>
        <v xml:space="preserve">12331024042 </v>
      </c>
      <c r="O21426">
        <v>230809</v>
      </c>
    </row>
    <row r="21427" spans="1:15" x14ac:dyDescent="0.25">
      <c r="A21427" t="s">
        <v>16</v>
      </c>
      <c r="B21427" t="s">
        <v>3221</v>
      </c>
      <c r="C21427">
        <v>10162</v>
      </c>
      <c r="D21427" t="s">
        <v>263</v>
      </c>
      <c r="E21427" t="s">
        <v>264</v>
      </c>
      <c r="F21427">
        <v>10.59</v>
      </c>
      <c r="G21427">
        <v>230804</v>
      </c>
      <c r="H21427">
        <v>4362</v>
      </c>
      <c r="I21427" t="s">
        <v>79</v>
      </c>
      <c r="J21427">
        <v>13.13</v>
      </c>
      <c r="K21427">
        <v>2.54</v>
      </c>
      <c r="L21427">
        <v>17971</v>
      </c>
      <c r="M21427" t="s">
        <v>138</v>
      </c>
      <c r="N21427" t="str">
        <f t="shared" si="359"/>
        <v xml:space="preserve">12331024042 </v>
      </c>
      <c r="O21427">
        <v>230809</v>
      </c>
    </row>
    <row r="21428" spans="1:15" x14ac:dyDescent="0.25">
      <c r="A21428" t="s">
        <v>16</v>
      </c>
      <c r="B21428" t="s">
        <v>3221</v>
      </c>
      <c r="C21428">
        <v>10162</v>
      </c>
      <c r="D21428" t="s">
        <v>263</v>
      </c>
      <c r="E21428" t="s">
        <v>264</v>
      </c>
      <c r="F21428">
        <v>7.07</v>
      </c>
      <c r="G21428">
        <v>230804</v>
      </c>
      <c r="H21428">
        <v>4362</v>
      </c>
      <c r="I21428" t="s">
        <v>79</v>
      </c>
      <c r="J21428">
        <v>8.77</v>
      </c>
      <c r="K21428">
        <v>1.7</v>
      </c>
      <c r="L21428">
        <v>17972</v>
      </c>
      <c r="M21428" t="s">
        <v>248</v>
      </c>
      <c r="N21428" t="str">
        <f t="shared" si="359"/>
        <v xml:space="preserve">12331024042 </v>
      </c>
      <c r="O21428">
        <v>230809</v>
      </c>
    </row>
    <row r="21429" spans="1:15" x14ac:dyDescent="0.25">
      <c r="A21429" t="s">
        <v>16</v>
      </c>
      <c r="B21429" t="s">
        <v>3221</v>
      </c>
      <c r="C21429">
        <v>10164</v>
      </c>
      <c r="D21429" t="s">
        <v>263</v>
      </c>
      <c r="E21429" t="s">
        <v>264</v>
      </c>
      <c r="F21429">
        <v>5.4</v>
      </c>
      <c r="G21429">
        <v>230804</v>
      </c>
      <c r="H21429">
        <v>4362</v>
      </c>
      <c r="I21429" t="s">
        <v>79</v>
      </c>
      <c r="J21429">
        <v>6.7</v>
      </c>
      <c r="K21429">
        <v>1.3</v>
      </c>
      <c r="L21429">
        <v>46555</v>
      </c>
      <c r="M21429" t="s">
        <v>597</v>
      </c>
      <c r="N21429" t="str">
        <f>"12331024037 "</f>
        <v xml:space="preserve">12331024037 </v>
      </c>
      <c r="O21429">
        <v>230809</v>
      </c>
    </row>
    <row r="21430" spans="1:15" x14ac:dyDescent="0.25">
      <c r="A21430" t="s">
        <v>16</v>
      </c>
      <c r="B21430" t="s">
        <v>3221</v>
      </c>
      <c r="C21430">
        <v>10164</v>
      </c>
      <c r="D21430" t="s">
        <v>263</v>
      </c>
      <c r="E21430" t="s">
        <v>264</v>
      </c>
      <c r="F21430">
        <v>11.01</v>
      </c>
      <c r="G21430">
        <v>230804</v>
      </c>
      <c r="H21430">
        <v>4362</v>
      </c>
      <c r="I21430" t="s">
        <v>79</v>
      </c>
      <c r="J21430">
        <v>13.65</v>
      </c>
      <c r="K21430">
        <v>2.64</v>
      </c>
      <c r="L21430">
        <v>48601</v>
      </c>
      <c r="M21430" t="s">
        <v>1047</v>
      </c>
      <c r="N21430" t="str">
        <f>"12331024037 "</f>
        <v xml:space="preserve">12331024037 </v>
      </c>
      <c r="O21430">
        <v>230809</v>
      </c>
    </row>
    <row r="21431" spans="1:15" x14ac:dyDescent="0.25">
      <c r="A21431" t="s">
        <v>16</v>
      </c>
      <c r="B21431" t="s">
        <v>3221</v>
      </c>
      <c r="C21431">
        <v>10164</v>
      </c>
      <c r="D21431" t="s">
        <v>263</v>
      </c>
      <c r="E21431" t="s">
        <v>264</v>
      </c>
      <c r="F21431">
        <v>2.7</v>
      </c>
      <c r="G21431">
        <v>230804</v>
      </c>
      <c r="H21431">
        <v>4362</v>
      </c>
      <c r="I21431" t="s">
        <v>79</v>
      </c>
      <c r="J21431">
        <v>3.35</v>
      </c>
      <c r="K21431">
        <v>0.65</v>
      </c>
      <c r="L21431">
        <v>49702</v>
      </c>
      <c r="M21431" t="s">
        <v>584</v>
      </c>
      <c r="N21431" t="str">
        <f>"12331024037 "</f>
        <v xml:space="preserve">12331024037 </v>
      </c>
      <c r="O21431">
        <v>230809</v>
      </c>
    </row>
    <row r="21432" spans="1:15" x14ac:dyDescent="0.25">
      <c r="A21432" t="s">
        <v>16</v>
      </c>
      <c r="B21432" t="s">
        <v>3221</v>
      </c>
      <c r="C21432">
        <v>10166</v>
      </c>
      <c r="D21432" t="s">
        <v>263</v>
      </c>
      <c r="E21432" t="s">
        <v>264</v>
      </c>
      <c r="F21432">
        <v>26.72</v>
      </c>
      <c r="G21432">
        <v>230804</v>
      </c>
      <c r="H21432">
        <v>4362</v>
      </c>
      <c r="I21432" t="s">
        <v>79</v>
      </c>
      <c r="J21432">
        <v>33.130000000000003</v>
      </c>
      <c r="K21432">
        <v>6.41</v>
      </c>
      <c r="L21432">
        <v>49501</v>
      </c>
      <c r="M21432" t="s">
        <v>177</v>
      </c>
      <c r="N21432" t="str">
        <f>"12331024027 "</f>
        <v xml:space="preserve">12331024027 </v>
      </c>
      <c r="O21432">
        <v>230809</v>
      </c>
    </row>
    <row r="21433" spans="1:15" x14ac:dyDescent="0.25">
      <c r="A21433" t="s">
        <v>16</v>
      </c>
      <c r="B21433" t="s">
        <v>3221</v>
      </c>
      <c r="C21433">
        <v>10167</v>
      </c>
      <c r="D21433" t="s">
        <v>263</v>
      </c>
      <c r="E21433" t="s">
        <v>264</v>
      </c>
      <c r="F21433">
        <v>2.8</v>
      </c>
      <c r="G21433">
        <v>230804</v>
      </c>
      <c r="H21433">
        <v>4362</v>
      </c>
      <c r="I21433" t="s">
        <v>79</v>
      </c>
      <c r="J21433">
        <v>3.47</v>
      </c>
      <c r="K21433">
        <v>0.67</v>
      </c>
      <c r="L21433">
        <v>48601</v>
      </c>
      <c r="M21433" t="s">
        <v>1047</v>
      </c>
      <c r="N21433" t="str">
        <f>"12331024032 "</f>
        <v xml:space="preserve">12331024032 </v>
      </c>
      <c r="O21433">
        <v>230809</v>
      </c>
    </row>
    <row r="21434" spans="1:15" x14ac:dyDescent="0.25">
      <c r="A21434" t="s">
        <v>16</v>
      </c>
      <c r="B21434" t="s">
        <v>3221</v>
      </c>
      <c r="C21434">
        <v>10167</v>
      </c>
      <c r="D21434" t="s">
        <v>263</v>
      </c>
      <c r="E21434" t="s">
        <v>264</v>
      </c>
      <c r="F21434">
        <v>10.65</v>
      </c>
      <c r="G21434">
        <v>230804</v>
      </c>
      <c r="H21434">
        <v>4362</v>
      </c>
      <c r="I21434" t="s">
        <v>79</v>
      </c>
      <c r="J21434">
        <v>13.21</v>
      </c>
      <c r="K21434">
        <v>2.56</v>
      </c>
      <c r="L21434">
        <v>49704</v>
      </c>
      <c r="M21434" t="s">
        <v>1065</v>
      </c>
      <c r="N21434" t="str">
        <f>"12331024032 "</f>
        <v xml:space="preserve">12331024032 </v>
      </c>
      <c r="O21434">
        <v>230809</v>
      </c>
    </row>
    <row r="21435" spans="1:15" x14ac:dyDescent="0.25">
      <c r="A21435" t="s">
        <v>16</v>
      </c>
      <c r="B21435" t="s">
        <v>3221</v>
      </c>
      <c r="C21435">
        <v>10167</v>
      </c>
      <c r="D21435" t="s">
        <v>263</v>
      </c>
      <c r="E21435" t="s">
        <v>264</v>
      </c>
      <c r="F21435">
        <v>27</v>
      </c>
      <c r="G21435">
        <v>230804</v>
      </c>
      <c r="H21435">
        <v>4362</v>
      </c>
      <c r="I21435" t="s">
        <v>79</v>
      </c>
      <c r="J21435">
        <v>33.479999999999997</v>
      </c>
      <c r="K21435">
        <v>6.48</v>
      </c>
      <c r="L21435">
        <v>49705</v>
      </c>
      <c r="M21435" t="s">
        <v>575</v>
      </c>
      <c r="N21435" t="str">
        <f>"12331024032 "</f>
        <v xml:space="preserve">12331024032 </v>
      </c>
      <c r="O21435">
        <v>230809</v>
      </c>
    </row>
    <row r="21436" spans="1:15" x14ac:dyDescent="0.25">
      <c r="A21436" t="s">
        <v>16</v>
      </c>
      <c r="B21436" t="s">
        <v>3221</v>
      </c>
      <c r="C21436">
        <v>10168</v>
      </c>
      <c r="D21436" t="s">
        <v>263</v>
      </c>
      <c r="E21436" t="s">
        <v>264</v>
      </c>
      <c r="F21436">
        <v>21.62</v>
      </c>
      <c r="G21436">
        <v>230804</v>
      </c>
      <c r="H21436">
        <v>4362</v>
      </c>
      <c r="I21436" t="s">
        <v>79</v>
      </c>
      <c r="J21436">
        <v>26.81</v>
      </c>
      <c r="K21436">
        <v>5.19</v>
      </c>
      <c r="L21436">
        <v>16121</v>
      </c>
      <c r="M21436" t="s">
        <v>21</v>
      </c>
      <c r="N21436" t="str">
        <f t="shared" ref="N21436:N21444" si="360">"12331024044 "</f>
        <v xml:space="preserve">12331024044 </v>
      </c>
      <c r="O21436">
        <v>230809</v>
      </c>
    </row>
    <row r="21437" spans="1:15" x14ac:dyDescent="0.25">
      <c r="A21437" t="s">
        <v>16</v>
      </c>
      <c r="B21437" t="s">
        <v>3221</v>
      </c>
      <c r="C21437">
        <v>10168</v>
      </c>
      <c r="D21437" t="s">
        <v>263</v>
      </c>
      <c r="E21437" t="s">
        <v>264</v>
      </c>
      <c r="F21437">
        <v>5.4</v>
      </c>
      <c r="G21437">
        <v>230804</v>
      </c>
      <c r="H21437">
        <v>4362</v>
      </c>
      <c r="I21437" t="s">
        <v>79</v>
      </c>
      <c r="J21437">
        <v>6.7</v>
      </c>
      <c r="K21437">
        <v>1.3</v>
      </c>
      <c r="L21437">
        <v>16322</v>
      </c>
      <c r="M21437" t="s">
        <v>22</v>
      </c>
      <c r="N21437" t="str">
        <f t="shared" si="360"/>
        <v xml:space="preserve">12331024044 </v>
      </c>
      <c r="O21437">
        <v>230809</v>
      </c>
    </row>
    <row r="21438" spans="1:15" x14ac:dyDescent="0.25">
      <c r="A21438" t="s">
        <v>16</v>
      </c>
      <c r="B21438" t="s">
        <v>3221</v>
      </c>
      <c r="C21438">
        <v>10168</v>
      </c>
      <c r="D21438" t="s">
        <v>263</v>
      </c>
      <c r="E21438" t="s">
        <v>264</v>
      </c>
      <c r="F21438">
        <v>2.7</v>
      </c>
      <c r="G21438">
        <v>230804</v>
      </c>
      <c r="H21438">
        <v>4362</v>
      </c>
      <c r="I21438" t="s">
        <v>79</v>
      </c>
      <c r="J21438">
        <v>3.35</v>
      </c>
      <c r="K21438">
        <v>0.65</v>
      </c>
      <c r="L21438">
        <v>16820</v>
      </c>
      <c r="M21438" t="s">
        <v>23</v>
      </c>
      <c r="N21438" t="str">
        <f t="shared" si="360"/>
        <v xml:space="preserve">12331024044 </v>
      </c>
      <c r="O21438">
        <v>230809</v>
      </c>
    </row>
    <row r="21439" spans="1:15" x14ac:dyDescent="0.25">
      <c r="A21439" t="s">
        <v>16</v>
      </c>
      <c r="B21439" t="s">
        <v>3221</v>
      </c>
      <c r="C21439">
        <v>10168</v>
      </c>
      <c r="D21439" t="s">
        <v>263</v>
      </c>
      <c r="E21439" t="s">
        <v>264</v>
      </c>
      <c r="F21439">
        <v>21.16</v>
      </c>
      <c r="G21439">
        <v>230804</v>
      </c>
      <c r="H21439">
        <v>4362</v>
      </c>
      <c r="I21439" t="s">
        <v>79</v>
      </c>
      <c r="J21439">
        <v>26.24</v>
      </c>
      <c r="K21439">
        <v>5.08</v>
      </c>
      <c r="L21439">
        <v>16820</v>
      </c>
      <c r="M21439" t="s">
        <v>23</v>
      </c>
      <c r="N21439" t="str">
        <f t="shared" si="360"/>
        <v xml:space="preserve">12331024044 </v>
      </c>
      <c r="O21439">
        <v>230809</v>
      </c>
    </row>
    <row r="21440" spans="1:15" x14ac:dyDescent="0.25">
      <c r="A21440" t="s">
        <v>16</v>
      </c>
      <c r="B21440" t="s">
        <v>3221</v>
      </c>
      <c r="C21440">
        <v>10168</v>
      </c>
      <c r="D21440" t="s">
        <v>263</v>
      </c>
      <c r="E21440" t="s">
        <v>264</v>
      </c>
      <c r="F21440">
        <v>2.7</v>
      </c>
      <c r="G21440">
        <v>230804</v>
      </c>
      <c r="H21440">
        <v>4362</v>
      </c>
      <c r="I21440" t="s">
        <v>79</v>
      </c>
      <c r="J21440">
        <v>3.35</v>
      </c>
      <c r="K21440">
        <v>0.65</v>
      </c>
      <c r="L21440">
        <v>17950</v>
      </c>
      <c r="M21440" t="s">
        <v>86</v>
      </c>
      <c r="N21440" t="str">
        <f t="shared" si="360"/>
        <v xml:space="preserve">12331024044 </v>
      </c>
      <c r="O21440">
        <v>230809</v>
      </c>
    </row>
    <row r="21441" spans="1:15" x14ac:dyDescent="0.25">
      <c r="A21441" t="s">
        <v>16</v>
      </c>
      <c r="B21441" t="s">
        <v>3221</v>
      </c>
      <c r="C21441">
        <v>10168</v>
      </c>
      <c r="D21441" t="s">
        <v>263</v>
      </c>
      <c r="E21441" t="s">
        <v>264</v>
      </c>
      <c r="F21441">
        <v>2.69</v>
      </c>
      <c r="G21441">
        <v>230804</v>
      </c>
      <c r="H21441">
        <v>4362</v>
      </c>
      <c r="I21441" t="s">
        <v>79</v>
      </c>
      <c r="J21441">
        <v>3.34</v>
      </c>
      <c r="K21441">
        <v>0.65</v>
      </c>
      <c r="L21441">
        <v>17971</v>
      </c>
      <c r="M21441" t="s">
        <v>138</v>
      </c>
      <c r="N21441" t="str">
        <f t="shared" si="360"/>
        <v xml:space="preserve">12331024044 </v>
      </c>
      <c r="O21441">
        <v>230809</v>
      </c>
    </row>
    <row r="21442" spans="1:15" x14ac:dyDescent="0.25">
      <c r="A21442" t="s">
        <v>16</v>
      </c>
      <c r="B21442" t="s">
        <v>3221</v>
      </c>
      <c r="C21442">
        <v>10168</v>
      </c>
      <c r="D21442" t="s">
        <v>263</v>
      </c>
      <c r="E21442" t="s">
        <v>264</v>
      </c>
      <c r="F21442">
        <v>2.7</v>
      </c>
      <c r="G21442">
        <v>230804</v>
      </c>
      <c r="H21442">
        <v>4362</v>
      </c>
      <c r="I21442" t="s">
        <v>79</v>
      </c>
      <c r="J21442">
        <v>3.35</v>
      </c>
      <c r="K21442">
        <v>0.65</v>
      </c>
      <c r="L21442">
        <v>17972</v>
      </c>
      <c r="M21442" t="s">
        <v>248</v>
      </c>
      <c r="N21442" t="str">
        <f t="shared" si="360"/>
        <v xml:space="preserve">12331024044 </v>
      </c>
      <c r="O21442">
        <v>230809</v>
      </c>
    </row>
    <row r="21443" spans="1:15" x14ac:dyDescent="0.25">
      <c r="A21443" t="s">
        <v>16</v>
      </c>
      <c r="B21443" t="s">
        <v>3221</v>
      </c>
      <c r="C21443">
        <v>10168</v>
      </c>
      <c r="D21443" t="s">
        <v>263</v>
      </c>
      <c r="E21443" t="s">
        <v>264</v>
      </c>
      <c r="F21443">
        <v>2.5499999999999998</v>
      </c>
      <c r="G21443">
        <v>230804</v>
      </c>
      <c r="H21443">
        <v>4362</v>
      </c>
      <c r="I21443" t="s">
        <v>79</v>
      </c>
      <c r="J21443">
        <v>3.16</v>
      </c>
      <c r="K21443">
        <v>0.61</v>
      </c>
      <c r="L21443">
        <v>17974</v>
      </c>
      <c r="M21443" t="s">
        <v>460</v>
      </c>
      <c r="N21443" t="str">
        <f t="shared" si="360"/>
        <v xml:space="preserve">12331024044 </v>
      </c>
      <c r="O21443">
        <v>230809</v>
      </c>
    </row>
    <row r="21444" spans="1:15" x14ac:dyDescent="0.25">
      <c r="A21444" t="s">
        <v>16</v>
      </c>
      <c r="B21444" t="s">
        <v>3221</v>
      </c>
      <c r="C21444">
        <v>10168</v>
      </c>
      <c r="D21444" t="s">
        <v>263</v>
      </c>
      <c r="E21444" t="s">
        <v>264</v>
      </c>
      <c r="F21444">
        <v>2.7</v>
      </c>
      <c r="G21444">
        <v>230804</v>
      </c>
      <c r="H21444">
        <v>4362</v>
      </c>
      <c r="I21444" t="s">
        <v>79</v>
      </c>
      <c r="J21444">
        <v>3.35</v>
      </c>
      <c r="K21444">
        <v>0.65</v>
      </c>
      <c r="L21444">
        <v>17974</v>
      </c>
      <c r="M21444" t="s">
        <v>460</v>
      </c>
      <c r="N21444" t="str">
        <f t="shared" si="360"/>
        <v xml:space="preserve">12331024044 </v>
      </c>
      <c r="O21444">
        <v>230809</v>
      </c>
    </row>
    <row r="21445" spans="1:15" x14ac:dyDescent="0.25">
      <c r="A21445" t="s">
        <v>16</v>
      </c>
      <c r="B21445" t="s">
        <v>3221</v>
      </c>
      <c r="C21445">
        <v>10170</v>
      </c>
      <c r="D21445" t="s">
        <v>263</v>
      </c>
      <c r="E21445" t="s">
        <v>264</v>
      </c>
      <c r="F21445">
        <v>5.4</v>
      </c>
      <c r="G21445">
        <v>230804</v>
      </c>
      <c r="H21445">
        <v>4362</v>
      </c>
      <c r="I21445" t="s">
        <v>79</v>
      </c>
      <c r="J21445">
        <v>6.7</v>
      </c>
      <c r="K21445">
        <v>1.3</v>
      </c>
      <c r="L21445">
        <v>49112</v>
      </c>
      <c r="M21445" t="s">
        <v>233</v>
      </c>
      <c r="N21445" t="str">
        <f>"12331024036 "</f>
        <v xml:space="preserve">12331024036 </v>
      </c>
      <c r="O21445">
        <v>230809</v>
      </c>
    </row>
    <row r="21446" spans="1:15" x14ac:dyDescent="0.25">
      <c r="A21446" t="s">
        <v>16</v>
      </c>
      <c r="B21446" t="s">
        <v>3221</v>
      </c>
      <c r="C21446">
        <v>10173</v>
      </c>
      <c r="D21446" t="s">
        <v>263</v>
      </c>
      <c r="E21446" t="s">
        <v>264</v>
      </c>
      <c r="F21446">
        <v>5.4</v>
      </c>
      <c r="G21446">
        <v>230804</v>
      </c>
      <c r="H21446">
        <v>4362</v>
      </c>
      <c r="I21446" t="s">
        <v>79</v>
      </c>
      <c r="J21446">
        <v>6.7</v>
      </c>
      <c r="K21446">
        <v>1.3</v>
      </c>
      <c r="L21446">
        <v>43222</v>
      </c>
      <c r="M21446" t="s">
        <v>507</v>
      </c>
      <c r="N21446" t="str">
        <f t="shared" ref="N21446:N21451" si="361">"12331024033 "</f>
        <v xml:space="preserve">12331024033 </v>
      </c>
      <c r="O21446">
        <v>230809</v>
      </c>
    </row>
    <row r="21447" spans="1:15" x14ac:dyDescent="0.25">
      <c r="A21447" t="s">
        <v>16</v>
      </c>
      <c r="B21447" t="s">
        <v>3221</v>
      </c>
      <c r="C21447">
        <v>10173</v>
      </c>
      <c r="D21447" t="s">
        <v>263</v>
      </c>
      <c r="E21447" t="s">
        <v>264</v>
      </c>
      <c r="F21447">
        <v>5.25</v>
      </c>
      <c r="G21447">
        <v>230804</v>
      </c>
      <c r="H21447">
        <v>4362</v>
      </c>
      <c r="I21447" t="s">
        <v>79</v>
      </c>
      <c r="J21447">
        <v>6.51</v>
      </c>
      <c r="K21447">
        <v>1.26</v>
      </c>
      <c r="L21447">
        <v>44422</v>
      </c>
      <c r="M21447" t="s">
        <v>482</v>
      </c>
      <c r="N21447" t="str">
        <f t="shared" si="361"/>
        <v xml:space="preserve">12331024033 </v>
      </c>
      <c r="O21447">
        <v>230809</v>
      </c>
    </row>
    <row r="21448" spans="1:15" x14ac:dyDescent="0.25">
      <c r="A21448" t="s">
        <v>16</v>
      </c>
      <c r="B21448" t="s">
        <v>3221</v>
      </c>
      <c r="C21448">
        <v>10173</v>
      </c>
      <c r="D21448" t="s">
        <v>263</v>
      </c>
      <c r="E21448" t="s">
        <v>264</v>
      </c>
      <c r="F21448">
        <v>5.4</v>
      </c>
      <c r="G21448">
        <v>230804</v>
      </c>
      <c r="H21448">
        <v>4362</v>
      </c>
      <c r="I21448" t="s">
        <v>79</v>
      </c>
      <c r="J21448">
        <v>6.7</v>
      </c>
      <c r="K21448">
        <v>1.3</v>
      </c>
      <c r="L21448">
        <v>44423</v>
      </c>
      <c r="M21448" t="s">
        <v>502</v>
      </c>
      <c r="N21448" t="str">
        <f t="shared" si="361"/>
        <v xml:space="preserve">12331024033 </v>
      </c>
      <c r="O21448">
        <v>230809</v>
      </c>
    </row>
    <row r="21449" spans="1:15" x14ac:dyDescent="0.25">
      <c r="A21449" t="s">
        <v>16</v>
      </c>
      <c r="B21449" t="s">
        <v>3221</v>
      </c>
      <c r="C21449">
        <v>10173</v>
      </c>
      <c r="D21449" t="s">
        <v>263</v>
      </c>
      <c r="E21449" t="s">
        <v>264</v>
      </c>
      <c r="F21449">
        <v>2.7</v>
      </c>
      <c r="G21449">
        <v>230804</v>
      </c>
      <c r="H21449">
        <v>4362</v>
      </c>
      <c r="I21449" t="s">
        <v>79</v>
      </c>
      <c r="J21449">
        <v>3.35</v>
      </c>
      <c r="K21449">
        <v>0.65</v>
      </c>
      <c r="L21449">
        <v>44453</v>
      </c>
      <c r="M21449" t="s">
        <v>492</v>
      </c>
      <c r="N21449" t="str">
        <f t="shared" si="361"/>
        <v xml:space="preserve">12331024033 </v>
      </c>
      <c r="O21449">
        <v>230809</v>
      </c>
    </row>
    <row r="21450" spans="1:15" x14ac:dyDescent="0.25">
      <c r="A21450" t="s">
        <v>16</v>
      </c>
      <c r="B21450" t="s">
        <v>3221</v>
      </c>
      <c r="C21450">
        <v>10173</v>
      </c>
      <c r="D21450" t="s">
        <v>263</v>
      </c>
      <c r="E21450" t="s">
        <v>264</v>
      </c>
      <c r="F21450">
        <v>2.69</v>
      </c>
      <c r="G21450">
        <v>230804</v>
      </c>
      <c r="H21450">
        <v>4362</v>
      </c>
      <c r="I21450" t="s">
        <v>79</v>
      </c>
      <c r="J21450">
        <v>3.34</v>
      </c>
      <c r="K21450">
        <v>0.65</v>
      </c>
      <c r="L21450">
        <v>48601</v>
      </c>
      <c r="M21450" t="s">
        <v>1047</v>
      </c>
      <c r="N21450" t="str">
        <f t="shared" si="361"/>
        <v xml:space="preserve">12331024033 </v>
      </c>
      <c r="O21450">
        <v>230809</v>
      </c>
    </row>
    <row r="21451" spans="1:15" x14ac:dyDescent="0.25">
      <c r="A21451" t="s">
        <v>16</v>
      </c>
      <c r="B21451" t="s">
        <v>3221</v>
      </c>
      <c r="C21451">
        <v>10173</v>
      </c>
      <c r="D21451" t="s">
        <v>263</v>
      </c>
      <c r="E21451" t="s">
        <v>264</v>
      </c>
      <c r="F21451">
        <v>50.94</v>
      </c>
      <c r="G21451">
        <v>230804</v>
      </c>
      <c r="H21451">
        <v>4362</v>
      </c>
      <c r="I21451" t="s">
        <v>79</v>
      </c>
      <c r="J21451">
        <v>50.94</v>
      </c>
      <c r="K21451">
        <v>0</v>
      </c>
      <c r="L21451">
        <v>49702</v>
      </c>
      <c r="M21451" t="s">
        <v>584</v>
      </c>
      <c r="N21451" t="str">
        <f t="shared" si="361"/>
        <v xml:space="preserve">12331024033 </v>
      </c>
      <c r="O21451">
        <v>230809</v>
      </c>
    </row>
    <row r="21452" spans="1:15" x14ac:dyDescent="0.25">
      <c r="A21452" t="s">
        <v>16</v>
      </c>
      <c r="B21452" t="s">
        <v>3221</v>
      </c>
      <c r="C21452">
        <v>10175</v>
      </c>
      <c r="D21452" t="s">
        <v>263</v>
      </c>
      <c r="E21452" t="s">
        <v>264</v>
      </c>
      <c r="F21452">
        <v>7.98</v>
      </c>
      <c r="G21452">
        <v>230804</v>
      </c>
      <c r="H21452">
        <v>4362</v>
      </c>
      <c r="I21452" t="s">
        <v>79</v>
      </c>
      <c r="J21452">
        <v>9.89</v>
      </c>
      <c r="K21452">
        <v>1.91</v>
      </c>
      <c r="L21452">
        <v>49701</v>
      </c>
      <c r="M21452" t="s">
        <v>166</v>
      </c>
      <c r="N21452" t="str">
        <f>"12331024029 "</f>
        <v xml:space="preserve">12331024029 </v>
      </c>
      <c r="O21452">
        <v>230809</v>
      </c>
    </row>
    <row r="21453" spans="1:15" x14ac:dyDescent="0.25">
      <c r="A21453" t="s">
        <v>16</v>
      </c>
      <c r="B21453" t="s">
        <v>3221</v>
      </c>
      <c r="C21453">
        <v>10175</v>
      </c>
      <c r="D21453" t="s">
        <v>263</v>
      </c>
      <c r="E21453" t="s">
        <v>264</v>
      </c>
      <c r="F21453">
        <v>5.4</v>
      </c>
      <c r="G21453">
        <v>230804</v>
      </c>
      <c r="H21453">
        <v>4362</v>
      </c>
      <c r="I21453" t="s">
        <v>79</v>
      </c>
      <c r="J21453">
        <v>6.7</v>
      </c>
      <c r="K21453">
        <v>1.3</v>
      </c>
      <c r="L21453">
        <v>49702</v>
      </c>
      <c r="M21453" t="s">
        <v>584</v>
      </c>
      <c r="N21453" t="str">
        <f>"12331024029 "</f>
        <v xml:space="preserve">12331024029 </v>
      </c>
      <c r="O21453">
        <v>230809</v>
      </c>
    </row>
    <row r="21454" spans="1:15" x14ac:dyDescent="0.25">
      <c r="A21454" t="s">
        <v>16</v>
      </c>
      <c r="B21454" t="s">
        <v>3221</v>
      </c>
      <c r="C21454">
        <v>10175</v>
      </c>
      <c r="D21454" t="s">
        <v>263</v>
      </c>
      <c r="E21454" t="s">
        <v>264</v>
      </c>
      <c r="F21454">
        <v>2.82</v>
      </c>
      <c r="G21454">
        <v>230804</v>
      </c>
      <c r="H21454">
        <v>4362</v>
      </c>
      <c r="I21454" t="s">
        <v>79</v>
      </c>
      <c r="J21454">
        <v>3.5</v>
      </c>
      <c r="K21454">
        <v>0.68</v>
      </c>
      <c r="L21454">
        <v>49704</v>
      </c>
      <c r="M21454" t="s">
        <v>1065</v>
      </c>
      <c r="N21454" t="str">
        <f>"12331024029 "</f>
        <v xml:space="preserve">12331024029 </v>
      </c>
      <c r="O21454">
        <v>230809</v>
      </c>
    </row>
    <row r="21455" spans="1:15" x14ac:dyDescent="0.25">
      <c r="A21455" t="s">
        <v>16</v>
      </c>
      <c r="B21455" t="s">
        <v>3221</v>
      </c>
      <c r="C21455">
        <v>10179</v>
      </c>
      <c r="D21455" t="s">
        <v>263</v>
      </c>
      <c r="E21455" t="s">
        <v>264</v>
      </c>
      <c r="F21455">
        <v>2.69</v>
      </c>
      <c r="G21455">
        <v>230804</v>
      </c>
      <c r="H21455">
        <v>4362</v>
      </c>
      <c r="I21455" t="s">
        <v>79</v>
      </c>
      <c r="J21455">
        <v>3.34</v>
      </c>
      <c r="K21455">
        <v>0.65</v>
      </c>
      <c r="L21455">
        <v>11901</v>
      </c>
      <c r="M21455" t="s">
        <v>36</v>
      </c>
      <c r="N21455" t="str">
        <f>"12331024048 "</f>
        <v xml:space="preserve">12331024048 </v>
      </c>
      <c r="O21455">
        <v>230809</v>
      </c>
    </row>
    <row r="21456" spans="1:15" x14ac:dyDescent="0.25">
      <c r="A21456" t="s">
        <v>16</v>
      </c>
      <c r="B21456" t="s">
        <v>3221</v>
      </c>
      <c r="C21456">
        <v>10179</v>
      </c>
      <c r="D21456" t="s">
        <v>263</v>
      </c>
      <c r="E21456" t="s">
        <v>264</v>
      </c>
      <c r="F21456">
        <v>2.7</v>
      </c>
      <c r="G21456">
        <v>230804</v>
      </c>
      <c r="H21456">
        <v>4362</v>
      </c>
      <c r="I21456" t="s">
        <v>79</v>
      </c>
      <c r="J21456">
        <v>3.35</v>
      </c>
      <c r="K21456">
        <v>0.65</v>
      </c>
      <c r="L21456">
        <v>11903</v>
      </c>
      <c r="M21456" t="s">
        <v>406</v>
      </c>
      <c r="N21456" t="str">
        <f>"12331024048 "</f>
        <v xml:space="preserve">12331024048 </v>
      </c>
      <c r="O21456">
        <v>230809</v>
      </c>
    </row>
    <row r="21457" spans="1:15" x14ac:dyDescent="0.25">
      <c r="A21457" t="s">
        <v>16</v>
      </c>
      <c r="B21457" t="s">
        <v>3221</v>
      </c>
      <c r="C21457">
        <v>10179</v>
      </c>
      <c r="D21457" t="s">
        <v>263</v>
      </c>
      <c r="E21457" t="s">
        <v>264</v>
      </c>
      <c r="F21457">
        <v>2.7</v>
      </c>
      <c r="G21457">
        <v>230804</v>
      </c>
      <c r="H21457">
        <v>4362</v>
      </c>
      <c r="I21457" t="s">
        <v>79</v>
      </c>
      <c r="J21457">
        <v>3.35</v>
      </c>
      <c r="K21457">
        <v>0.65</v>
      </c>
      <c r="L21457">
        <v>11905</v>
      </c>
      <c r="M21457" t="s">
        <v>39</v>
      </c>
      <c r="N21457" t="str">
        <f>"12331024048 "</f>
        <v xml:space="preserve">12331024048 </v>
      </c>
      <c r="O21457">
        <v>230809</v>
      </c>
    </row>
    <row r="21458" spans="1:15" x14ac:dyDescent="0.25">
      <c r="A21458" t="s">
        <v>16</v>
      </c>
      <c r="B21458" t="s">
        <v>3221</v>
      </c>
      <c r="C21458">
        <v>10179</v>
      </c>
      <c r="D21458" t="s">
        <v>263</v>
      </c>
      <c r="E21458" t="s">
        <v>264</v>
      </c>
      <c r="F21458">
        <v>7.4</v>
      </c>
      <c r="G21458">
        <v>230804</v>
      </c>
      <c r="H21458">
        <v>4362</v>
      </c>
      <c r="I21458" t="s">
        <v>79</v>
      </c>
      <c r="J21458">
        <v>9.18</v>
      </c>
      <c r="K21458">
        <v>1.78</v>
      </c>
      <c r="L21458">
        <v>11905</v>
      </c>
      <c r="M21458" t="s">
        <v>39</v>
      </c>
      <c r="N21458" t="str">
        <f>"12331024048 "</f>
        <v xml:space="preserve">12331024048 </v>
      </c>
      <c r="O21458">
        <v>230809</v>
      </c>
    </row>
    <row r="21459" spans="1:15" x14ac:dyDescent="0.25">
      <c r="A21459" t="s">
        <v>16</v>
      </c>
      <c r="B21459" t="s">
        <v>3221</v>
      </c>
      <c r="C21459">
        <v>10180</v>
      </c>
      <c r="D21459" t="s">
        <v>263</v>
      </c>
      <c r="E21459" t="s">
        <v>264</v>
      </c>
      <c r="F21459">
        <v>2.7</v>
      </c>
      <c r="G21459">
        <v>230804</v>
      </c>
      <c r="H21459">
        <v>4362</v>
      </c>
      <c r="I21459" t="s">
        <v>79</v>
      </c>
      <c r="J21459">
        <v>3.35</v>
      </c>
      <c r="K21459">
        <v>0.65</v>
      </c>
      <c r="L21459">
        <v>13401</v>
      </c>
      <c r="M21459" t="s">
        <v>80</v>
      </c>
      <c r="N21459" t="str">
        <f>"12331024059 "</f>
        <v xml:space="preserve">12331024059 </v>
      </c>
      <c r="O21459">
        <v>230809</v>
      </c>
    </row>
    <row r="21460" spans="1:15" x14ac:dyDescent="0.25">
      <c r="A21460" t="s">
        <v>16</v>
      </c>
      <c r="B21460" t="s">
        <v>3221</v>
      </c>
      <c r="C21460">
        <v>10331</v>
      </c>
      <c r="D21460" t="s">
        <v>263</v>
      </c>
      <c r="E21460" t="s">
        <v>264</v>
      </c>
      <c r="F21460">
        <v>62.24</v>
      </c>
      <c r="G21460">
        <v>230804</v>
      </c>
      <c r="H21460">
        <v>4362</v>
      </c>
      <c r="I21460" t="s">
        <v>79</v>
      </c>
      <c r="J21460">
        <v>77.180000000000007</v>
      </c>
      <c r="K21460">
        <v>14.94</v>
      </c>
      <c r="L21460">
        <v>11801</v>
      </c>
      <c r="M21460" t="s">
        <v>92</v>
      </c>
      <c r="N21460" t="str">
        <f>"12331024047 "</f>
        <v xml:space="preserve">12331024047 </v>
      </c>
      <c r="O21460">
        <v>230814</v>
      </c>
    </row>
    <row r="21461" spans="1:15" x14ac:dyDescent="0.25">
      <c r="A21461" t="s">
        <v>16</v>
      </c>
      <c r="B21461" t="s">
        <v>3221</v>
      </c>
      <c r="C21461">
        <v>10332</v>
      </c>
      <c r="D21461" t="s">
        <v>263</v>
      </c>
      <c r="E21461" t="s">
        <v>264</v>
      </c>
      <c r="F21461">
        <v>2.7</v>
      </c>
      <c r="G21461">
        <v>230804</v>
      </c>
      <c r="H21461">
        <v>4362</v>
      </c>
      <c r="I21461" t="s">
        <v>79</v>
      </c>
      <c r="J21461">
        <v>3.35</v>
      </c>
      <c r="K21461">
        <v>0.65</v>
      </c>
      <c r="L21461">
        <v>11900</v>
      </c>
      <c r="M21461" t="s">
        <v>1105</v>
      </c>
      <c r="N21461" t="str">
        <f>"12331024038 "</f>
        <v xml:space="preserve">12331024038 </v>
      </c>
      <c r="O21461">
        <v>230814</v>
      </c>
    </row>
    <row r="21462" spans="1:15" x14ac:dyDescent="0.25">
      <c r="A21462" t="s">
        <v>16</v>
      </c>
      <c r="B21462" t="s">
        <v>3221</v>
      </c>
      <c r="C21462">
        <v>10333</v>
      </c>
      <c r="D21462" t="s">
        <v>263</v>
      </c>
      <c r="E21462" t="s">
        <v>264</v>
      </c>
      <c r="F21462">
        <v>3.44</v>
      </c>
      <c r="G21462">
        <v>230804</v>
      </c>
      <c r="H21462">
        <v>4362</v>
      </c>
      <c r="I21462" t="s">
        <v>79</v>
      </c>
      <c r="J21462">
        <v>4.2699999999999996</v>
      </c>
      <c r="K21462">
        <v>0.83</v>
      </c>
      <c r="L21462">
        <v>11301</v>
      </c>
      <c r="M21462" t="s">
        <v>29</v>
      </c>
      <c r="N21462" t="str">
        <f t="shared" ref="N21462:N21473" si="362">"12331024025 "</f>
        <v xml:space="preserve">12331024025 </v>
      </c>
      <c r="O21462">
        <v>230814</v>
      </c>
    </row>
    <row r="21463" spans="1:15" x14ac:dyDescent="0.25">
      <c r="A21463" t="s">
        <v>16</v>
      </c>
      <c r="B21463" t="s">
        <v>3221</v>
      </c>
      <c r="C21463">
        <v>10333</v>
      </c>
      <c r="D21463" t="s">
        <v>263</v>
      </c>
      <c r="E21463" t="s">
        <v>264</v>
      </c>
      <c r="F21463">
        <v>5.25</v>
      </c>
      <c r="G21463">
        <v>230804</v>
      </c>
      <c r="H21463">
        <v>4362</v>
      </c>
      <c r="I21463" t="s">
        <v>79</v>
      </c>
      <c r="J21463">
        <v>6.51</v>
      </c>
      <c r="K21463">
        <v>1.26</v>
      </c>
      <c r="L21463">
        <v>11301</v>
      </c>
      <c r="M21463" t="s">
        <v>29</v>
      </c>
      <c r="N21463" t="str">
        <f t="shared" si="362"/>
        <v xml:space="preserve">12331024025 </v>
      </c>
      <c r="O21463">
        <v>230814</v>
      </c>
    </row>
    <row r="21464" spans="1:15" x14ac:dyDescent="0.25">
      <c r="A21464" t="s">
        <v>16</v>
      </c>
      <c r="B21464" t="s">
        <v>3221</v>
      </c>
      <c r="C21464">
        <v>10333</v>
      </c>
      <c r="D21464" t="s">
        <v>263</v>
      </c>
      <c r="E21464" t="s">
        <v>264</v>
      </c>
      <c r="F21464">
        <v>3.82</v>
      </c>
      <c r="G21464">
        <v>230804</v>
      </c>
      <c r="H21464">
        <v>4362</v>
      </c>
      <c r="I21464" t="s">
        <v>79</v>
      </c>
      <c r="J21464">
        <v>4.74</v>
      </c>
      <c r="K21464">
        <v>0.92</v>
      </c>
      <c r="L21464">
        <v>11900</v>
      </c>
      <c r="M21464" t="s">
        <v>1105</v>
      </c>
      <c r="N21464" t="str">
        <f t="shared" si="362"/>
        <v xml:space="preserve">12331024025 </v>
      </c>
      <c r="O21464">
        <v>230814</v>
      </c>
    </row>
    <row r="21465" spans="1:15" x14ac:dyDescent="0.25">
      <c r="A21465" t="s">
        <v>16</v>
      </c>
      <c r="B21465" t="s">
        <v>3221</v>
      </c>
      <c r="C21465">
        <v>10333</v>
      </c>
      <c r="D21465" t="s">
        <v>263</v>
      </c>
      <c r="E21465" t="s">
        <v>264</v>
      </c>
      <c r="F21465">
        <v>7.69</v>
      </c>
      <c r="G21465">
        <v>230804</v>
      </c>
      <c r="H21465">
        <v>4362</v>
      </c>
      <c r="I21465" t="s">
        <v>79</v>
      </c>
      <c r="J21465">
        <v>7.69</v>
      </c>
      <c r="K21465">
        <v>0</v>
      </c>
      <c r="L21465">
        <v>11901</v>
      </c>
      <c r="M21465" t="s">
        <v>36</v>
      </c>
      <c r="N21465" t="str">
        <f t="shared" si="362"/>
        <v xml:space="preserve">12331024025 </v>
      </c>
      <c r="O21465">
        <v>230814</v>
      </c>
    </row>
    <row r="21466" spans="1:15" x14ac:dyDescent="0.25">
      <c r="A21466" t="s">
        <v>16</v>
      </c>
      <c r="B21466" t="s">
        <v>3221</v>
      </c>
      <c r="C21466">
        <v>10333</v>
      </c>
      <c r="D21466" t="s">
        <v>263</v>
      </c>
      <c r="E21466" t="s">
        <v>264</v>
      </c>
      <c r="F21466">
        <v>11.22</v>
      </c>
      <c r="G21466">
        <v>230804</v>
      </c>
      <c r="H21466">
        <v>4362</v>
      </c>
      <c r="I21466" t="s">
        <v>79</v>
      </c>
      <c r="J21466">
        <v>13.91</v>
      </c>
      <c r="K21466">
        <v>2.69</v>
      </c>
      <c r="L21466">
        <v>11901</v>
      </c>
      <c r="M21466" t="s">
        <v>36</v>
      </c>
      <c r="N21466" t="str">
        <f t="shared" si="362"/>
        <v xml:space="preserve">12331024025 </v>
      </c>
      <c r="O21466">
        <v>230814</v>
      </c>
    </row>
    <row r="21467" spans="1:15" x14ac:dyDescent="0.25">
      <c r="A21467" t="s">
        <v>16</v>
      </c>
      <c r="B21467" t="s">
        <v>3221</v>
      </c>
      <c r="C21467">
        <v>10333</v>
      </c>
      <c r="D21467" t="s">
        <v>263</v>
      </c>
      <c r="E21467" t="s">
        <v>264</v>
      </c>
      <c r="F21467">
        <v>5.4</v>
      </c>
      <c r="G21467">
        <v>230804</v>
      </c>
      <c r="H21467">
        <v>4362</v>
      </c>
      <c r="I21467" t="s">
        <v>79</v>
      </c>
      <c r="J21467">
        <v>6.7</v>
      </c>
      <c r="K21467">
        <v>1.3</v>
      </c>
      <c r="L21467">
        <v>11903</v>
      </c>
      <c r="M21467" t="s">
        <v>406</v>
      </c>
      <c r="N21467" t="str">
        <f t="shared" si="362"/>
        <v xml:space="preserve">12331024025 </v>
      </c>
      <c r="O21467">
        <v>230814</v>
      </c>
    </row>
    <row r="21468" spans="1:15" x14ac:dyDescent="0.25">
      <c r="A21468" t="s">
        <v>16</v>
      </c>
      <c r="B21468" t="s">
        <v>3221</v>
      </c>
      <c r="C21468">
        <v>10333</v>
      </c>
      <c r="D21468" t="s">
        <v>263</v>
      </c>
      <c r="E21468" t="s">
        <v>264</v>
      </c>
      <c r="F21468">
        <v>5.4</v>
      </c>
      <c r="G21468">
        <v>230804</v>
      </c>
      <c r="H21468">
        <v>4362</v>
      </c>
      <c r="I21468" t="s">
        <v>79</v>
      </c>
      <c r="J21468">
        <v>6.7</v>
      </c>
      <c r="K21468">
        <v>1.3</v>
      </c>
      <c r="L21468">
        <v>11905</v>
      </c>
      <c r="M21468" t="s">
        <v>39</v>
      </c>
      <c r="N21468" t="str">
        <f t="shared" si="362"/>
        <v xml:space="preserve">12331024025 </v>
      </c>
      <c r="O21468">
        <v>230814</v>
      </c>
    </row>
    <row r="21469" spans="1:15" x14ac:dyDescent="0.25">
      <c r="A21469" t="s">
        <v>16</v>
      </c>
      <c r="B21469" t="s">
        <v>3221</v>
      </c>
      <c r="C21469">
        <v>10333</v>
      </c>
      <c r="D21469" t="s">
        <v>263</v>
      </c>
      <c r="E21469" t="s">
        <v>264</v>
      </c>
      <c r="F21469">
        <v>2.7</v>
      </c>
      <c r="G21469">
        <v>230804</v>
      </c>
      <c r="H21469">
        <v>4362</v>
      </c>
      <c r="I21469" t="s">
        <v>79</v>
      </c>
      <c r="J21469">
        <v>3.35</v>
      </c>
      <c r="K21469">
        <v>0.65</v>
      </c>
      <c r="L21469">
        <v>11908</v>
      </c>
      <c r="M21469" t="s">
        <v>598</v>
      </c>
      <c r="N21469" t="str">
        <f t="shared" si="362"/>
        <v xml:space="preserve">12331024025 </v>
      </c>
      <c r="O21469">
        <v>230814</v>
      </c>
    </row>
    <row r="21470" spans="1:15" x14ac:dyDescent="0.25">
      <c r="A21470" t="s">
        <v>16</v>
      </c>
      <c r="B21470" t="s">
        <v>3221</v>
      </c>
      <c r="C21470">
        <v>10333</v>
      </c>
      <c r="D21470" t="s">
        <v>263</v>
      </c>
      <c r="E21470" t="s">
        <v>264</v>
      </c>
      <c r="F21470">
        <v>2.7</v>
      </c>
      <c r="G21470">
        <v>230804</v>
      </c>
      <c r="H21470">
        <v>4362</v>
      </c>
      <c r="I21470" t="s">
        <v>79</v>
      </c>
      <c r="J21470">
        <v>3.35</v>
      </c>
      <c r="K21470">
        <v>0.65</v>
      </c>
      <c r="L21470">
        <v>11908</v>
      </c>
      <c r="M21470" t="s">
        <v>598</v>
      </c>
      <c r="N21470" t="str">
        <f t="shared" si="362"/>
        <v xml:space="preserve">12331024025 </v>
      </c>
      <c r="O21470">
        <v>230814</v>
      </c>
    </row>
    <row r="21471" spans="1:15" x14ac:dyDescent="0.25">
      <c r="A21471" t="s">
        <v>16</v>
      </c>
      <c r="B21471" t="s">
        <v>3221</v>
      </c>
      <c r="C21471">
        <v>10333</v>
      </c>
      <c r="D21471" t="s">
        <v>263</v>
      </c>
      <c r="E21471" t="s">
        <v>264</v>
      </c>
      <c r="F21471">
        <v>2.7</v>
      </c>
      <c r="G21471">
        <v>230804</v>
      </c>
      <c r="H21471">
        <v>4362</v>
      </c>
      <c r="I21471" t="s">
        <v>79</v>
      </c>
      <c r="J21471">
        <v>3.35</v>
      </c>
      <c r="K21471">
        <v>0.65</v>
      </c>
      <c r="L21471">
        <v>11908</v>
      </c>
      <c r="M21471" t="s">
        <v>598</v>
      </c>
      <c r="N21471" t="str">
        <f t="shared" si="362"/>
        <v xml:space="preserve">12331024025 </v>
      </c>
      <c r="O21471">
        <v>230814</v>
      </c>
    </row>
    <row r="21472" spans="1:15" x14ac:dyDescent="0.25">
      <c r="A21472" t="s">
        <v>16</v>
      </c>
      <c r="B21472" t="s">
        <v>3221</v>
      </c>
      <c r="C21472">
        <v>10333</v>
      </c>
      <c r="D21472" t="s">
        <v>263</v>
      </c>
      <c r="E21472" t="s">
        <v>264</v>
      </c>
      <c r="F21472">
        <v>2.7</v>
      </c>
      <c r="G21472">
        <v>230804</v>
      </c>
      <c r="H21472">
        <v>4362</v>
      </c>
      <c r="I21472" t="s">
        <v>79</v>
      </c>
      <c r="J21472">
        <v>3.35</v>
      </c>
      <c r="K21472">
        <v>0.65</v>
      </c>
      <c r="L21472">
        <v>13401</v>
      </c>
      <c r="M21472" t="s">
        <v>80</v>
      </c>
      <c r="N21472" t="str">
        <f t="shared" si="362"/>
        <v xml:space="preserve">12331024025 </v>
      </c>
      <c r="O21472">
        <v>230814</v>
      </c>
    </row>
    <row r="21473" spans="1:15" x14ac:dyDescent="0.25">
      <c r="A21473" t="s">
        <v>16</v>
      </c>
      <c r="B21473" t="s">
        <v>3221</v>
      </c>
      <c r="C21473">
        <v>10333</v>
      </c>
      <c r="D21473" t="s">
        <v>263</v>
      </c>
      <c r="E21473" t="s">
        <v>264</v>
      </c>
      <c r="F21473">
        <v>2.7</v>
      </c>
      <c r="G21473">
        <v>230804</v>
      </c>
      <c r="H21473">
        <v>4362</v>
      </c>
      <c r="I21473" t="s">
        <v>79</v>
      </c>
      <c r="J21473">
        <v>3.35</v>
      </c>
      <c r="K21473">
        <v>0.65</v>
      </c>
      <c r="L21473">
        <v>18991</v>
      </c>
      <c r="M21473" t="s">
        <v>1106</v>
      </c>
      <c r="N21473" t="str">
        <f t="shared" si="362"/>
        <v xml:space="preserve">12331024025 </v>
      </c>
      <c r="O21473">
        <v>230814</v>
      </c>
    </row>
    <row r="21474" spans="1:15" x14ac:dyDescent="0.25">
      <c r="A21474" t="s">
        <v>16</v>
      </c>
      <c r="B21474" t="s">
        <v>3221</v>
      </c>
      <c r="C21474">
        <v>10336</v>
      </c>
      <c r="D21474" t="s">
        <v>263</v>
      </c>
      <c r="E21474" t="s">
        <v>264</v>
      </c>
      <c r="F21474">
        <v>12.05</v>
      </c>
      <c r="G21474">
        <v>230804</v>
      </c>
      <c r="H21474">
        <v>4362</v>
      </c>
      <c r="I21474" t="s">
        <v>79</v>
      </c>
      <c r="J21474">
        <v>14.94</v>
      </c>
      <c r="K21474">
        <v>2.89</v>
      </c>
      <c r="L21474">
        <v>11601</v>
      </c>
      <c r="M21474" t="s">
        <v>535</v>
      </c>
      <c r="N21474" t="str">
        <f t="shared" ref="N21474:N21490" si="363">"12331024053 "</f>
        <v xml:space="preserve">12331024053 </v>
      </c>
      <c r="O21474">
        <v>230814</v>
      </c>
    </row>
    <row r="21475" spans="1:15" x14ac:dyDescent="0.25">
      <c r="A21475" t="s">
        <v>16</v>
      </c>
      <c r="B21475" t="s">
        <v>3221</v>
      </c>
      <c r="C21475">
        <v>10336</v>
      </c>
      <c r="D21475" t="s">
        <v>263</v>
      </c>
      <c r="E21475" t="s">
        <v>264</v>
      </c>
      <c r="F21475">
        <v>2.5499999999999998</v>
      </c>
      <c r="G21475">
        <v>230804</v>
      </c>
      <c r="H21475">
        <v>4362</v>
      </c>
      <c r="I21475" t="s">
        <v>79</v>
      </c>
      <c r="J21475">
        <v>3.16</v>
      </c>
      <c r="K21475">
        <v>0.61</v>
      </c>
      <c r="L21475">
        <v>11603</v>
      </c>
      <c r="M21475" t="s">
        <v>945</v>
      </c>
      <c r="N21475" t="str">
        <f t="shared" si="363"/>
        <v xml:space="preserve">12331024053 </v>
      </c>
      <c r="O21475">
        <v>230814</v>
      </c>
    </row>
    <row r="21476" spans="1:15" x14ac:dyDescent="0.25">
      <c r="A21476" t="s">
        <v>16</v>
      </c>
      <c r="B21476" t="s">
        <v>3221</v>
      </c>
      <c r="C21476">
        <v>10336</v>
      </c>
      <c r="D21476" t="s">
        <v>263</v>
      </c>
      <c r="E21476" t="s">
        <v>264</v>
      </c>
      <c r="F21476">
        <v>10.8</v>
      </c>
      <c r="G21476">
        <v>230804</v>
      </c>
      <c r="H21476">
        <v>4362</v>
      </c>
      <c r="I21476" t="s">
        <v>79</v>
      </c>
      <c r="J21476">
        <v>13.39</v>
      </c>
      <c r="K21476">
        <v>2.59</v>
      </c>
      <c r="L21476">
        <v>14121</v>
      </c>
      <c r="M21476" t="s">
        <v>880</v>
      </c>
      <c r="N21476" t="str">
        <f t="shared" si="363"/>
        <v xml:space="preserve">12331024053 </v>
      </c>
      <c r="O21476">
        <v>230814</v>
      </c>
    </row>
    <row r="21477" spans="1:15" x14ac:dyDescent="0.25">
      <c r="A21477" t="s">
        <v>16</v>
      </c>
      <c r="B21477" t="s">
        <v>3221</v>
      </c>
      <c r="C21477">
        <v>10336</v>
      </c>
      <c r="D21477" t="s">
        <v>263</v>
      </c>
      <c r="E21477" t="s">
        <v>264</v>
      </c>
      <c r="F21477">
        <v>16.670000000000002</v>
      </c>
      <c r="G21477">
        <v>230804</v>
      </c>
      <c r="H21477">
        <v>4362</v>
      </c>
      <c r="I21477" t="s">
        <v>79</v>
      </c>
      <c r="J21477">
        <v>20.67</v>
      </c>
      <c r="K21477">
        <v>4</v>
      </c>
      <c r="L21477">
        <v>14321</v>
      </c>
      <c r="M21477" t="s">
        <v>717</v>
      </c>
      <c r="N21477" t="str">
        <f t="shared" si="363"/>
        <v xml:space="preserve">12331024053 </v>
      </c>
      <c r="O21477">
        <v>230814</v>
      </c>
    </row>
    <row r="21478" spans="1:15" x14ac:dyDescent="0.25">
      <c r="A21478" t="s">
        <v>16</v>
      </c>
      <c r="B21478" t="s">
        <v>3221</v>
      </c>
      <c r="C21478">
        <v>10336</v>
      </c>
      <c r="D21478" t="s">
        <v>263</v>
      </c>
      <c r="E21478" t="s">
        <v>264</v>
      </c>
      <c r="F21478">
        <v>13.5</v>
      </c>
      <c r="G21478">
        <v>230804</v>
      </c>
      <c r="H21478">
        <v>4362</v>
      </c>
      <c r="I21478" t="s">
        <v>79</v>
      </c>
      <c r="J21478">
        <v>16.739999999999998</v>
      </c>
      <c r="K21478">
        <v>3.24</v>
      </c>
      <c r="L21478">
        <v>14422</v>
      </c>
      <c r="M21478" t="s">
        <v>228</v>
      </c>
      <c r="N21478" t="str">
        <f t="shared" si="363"/>
        <v xml:space="preserve">12331024053 </v>
      </c>
      <c r="O21478">
        <v>230814</v>
      </c>
    </row>
    <row r="21479" spans="1:15" x14ac:dyDescent="0.25">
      <c r="A21479" t="s">
        <v>16</v>
      </c>
      <c r="B21479" t="s">
        <v>3221</v>
      </c>
      <c r="C21479">
        <v>10336</v>
      </c>
      <c r="D21479" t="s">
        <v>263</v>
      </c>
      <c r="E21479" t="s">
        <v>264</v>
      </c>
      <c r="F21479">
        <v>2.7</v>
      </c>
      <c r="G21479">
        <v>230804</v>
      </c>
      <c r="H21479">
        <v>4362</v>
      </c>
      <c r="I21479" t="s">
        <v>79</v>
      </c>
      <c r="J21479">
        <v>3.35</v>
      </c>
      <c r="K21479">
        <v>0.65</v>
      </c>
      <c r="L21479">
        <v>14431</v>
      </c>
      <c r="M21479" t="s">
        <v>861</v>
      </c>
      <c r="N21479" t="str">
        <f t="shared" si="363"/>
        <v xml:space="preserve">12331024053 </v>
      </c>
      <c r="O21479">
        <v>230814</v>
      </c>
    </row>
    <row r="21480" spans="1:15" x14ac:dyDescent="0.25">
      <c r="A21480" t="s">
        <v>16</v>
      </c>
      <c r="B21480" t="s">
        <v>3221</v>
      </c>
      <c r="C21480">
        <v>10336</v>
      </c>
      <c r="D21480" t="s">
        <v>263</v>
      </c>
      <c r="E21480" t="s">
        <v>264</v>
      </c>
      <c r="F21480">
        <v>5.4</v>
      </c>
      <c r="G21480">
        <v>230804</v>
      </c>
      <c r="H21480">
        <v>4362</v>
      </c>
      <c r="I21480" t="s">
        <v>79</v>
      </c>
      <c r="J21480">
        <v>6.7</v>
      </c>
      <c r="K21480">
        <v>1.3</v>
      </c>
      <c r="L21480">
        <v>14432</v>
      </c>
      <c r="M21480" t="s">
        <v>862</v>
      </c>
      <c r="N21480" t="str">
        <f t="shared" si="363"/>
        <v xml:space="preserve">12331024053 </v>
      </c>
      <c r="O21480">
        <v>230814</v>
      </c>
    </row>
    <row r="21481" spans="1:15" x14ac:dyDescent="0.25">
      <c r="A21481" t="s">
        <v>16</v>
      </c>
      <c r="B21481" t="s">
        <v>3221</v>
      </c>
      <c r="C21481">
        <v>10336</v>
      </c>
      <c r="D21481" t="s">
        <v>263</v>
      </c>
      <c r="E21481" t="s">
        <v>264</v>
      </c>
      <c r="F21481">
        <v>2.7</v>
      </c>
      <c r="G21481">
        <v>230804</v>
      </c>
      <c r="H21481">
        <v>4362</v>
      </c>
      <c r="I21481" t="s">
        <v>79</v>
      </c>
      <c r="J21481">
        <v>3.35</v>
      </c>
      <c r="K21481">
        <v>0.65</v>
      </c>
      <c r="L21481">
        <v>14541</v>
      </c>
      <c r="M21481" t="s">
        <v>626</v>
      </c>
      <c r="N21481" t="str">
        <f t="shared" si="363"/>
        <v xml:space="preserve">12331024053 </v>
      </c>
      <c r="O21481">
        <v>230814</v>
      </c>
    </row>
    <row r="21482" spans="1:15" x14ac:dyDescent="0.25">
      <c r="A21482" t="s">
        <v>16</v>
      </c>
      <c r="B21482" t="s">
        <v>3221</v>
      </c>
      <c r="C21482">
        <v>10336</v>
      </c>
      <c r="D21482" t="s">
        <v>263</v>
      </c>
      <c r="E21482" t="s">
        <v>264</v>
      </c>
      <c r="F21482">
        <v>29.55</v>
      </c>
      <c r="G21482">
        <v>230804</v>
      </c>
      <c r="H21482">
        <v>4362</v>
      </c>
      <c r="I21482" t="s">
        <v>79</v>
      </c>
      <c r="J21482">
        <v>36.64</v>
      </c>
      <c r="K21482">
        <v>7.09</v>
      </c>
      <c r="L21482">
        <v>14622</v>
      </c>
      <c r="M21482" t="s">
        <v>1005</v>
      </c>
      <c r="N21482" t="str">
        <f t="shared" si="363"/>
        <v xml:space="preserve">12331024053 </v>
      </c>
      <c r="O21482">
        <v>230814</v>
      </c>
    </row>
    <row r="21483" spans="1:15" x14ac:dyDescent="0.25">
      <c r="A21483" t="s">
        <v>16</v>
      </c>
      <c r="B21483" t="s">
        <v>3221</v>
      </c>
      <c r="C21483">
        <v>10336</v>
      </c>
      <c r="D21483" t="s">
        <v>263</v>
      </c>
      <c r="E21483" t="s">
        <v>264</v>
      </c>
      <c r="F21483">
        <v>5.4</v>
      </c>
      <c r="G21483">
        <v>230804</v>
      </c>
      <c r="H21483">
        <v>4362</v>
      </c>
      <c r="I21483" t="s">
        <v>79</v>
      </c>
      <c r="J21483">
        <v>6.7</v>
      </c>
      <c r="K21483">
        <v>1.3</v>
      </c>
      <c r="L21483">
        <v>14640</v>
      </c>
      <c r="M21483" t="s">
        <v>229</v>
      </c>
      <c r="N21483" t="str">
        <f t="shared" si="363"/>
        <v xml:space="preserve">12331024053 </v>
      </c>
      <c r="O21483">
        <v>230814</v>
      </c>
    </row>
    <row r="21484" spans="1:15" x14ac:dyDescent="0.25">
      <c r="A21484" t="s">
        <v>16</v>
      </c>
      <c r="B21484" t="s">
        <v>3221</v>
      </c>
      <c r="C21484">
        <v>10336</v>
      </c>
      <c r="D21484" t="s">
        <v>263</v>
      </c>
      <c r="E21484" t="s">
        <v>264</v>
      </c>
      <c r="F21484">
        <v>2.7</v>
      </c>
      <c r="G21484">
        <v>230804</v>
      </c>
      <c r="H21484">
        <v>4362</v>
      </c>
      <c r="I21484" t="s">
        <v>79</v>
      </c>
      <c r="J21484">
        <v>3.35</v>
      </c>
      <c r="K21484">
        <v>0.65</v>
      </c>
      <c r="L21484">
        <v>14861</v>
      </c>
      <c r="M21484" t="s">
        <v>785</v>
      </c>
      <c r="N21484" t="str">
        <f t="shared" si="363"/>
        <v xml:space="preserve">12331024053 </v>
      </c>
      <c r="O21484">
        <v>230814</v>
      </c>
    </row>
    <row r="21485" spans="1:15" x14ac:dyDescent="0.25">
      <c r="A21485" t="s">
        <v>16</v>
      </c>
      <c r="B21485" t="s">
        <v>3221</v>
      </c>
      <c r="C21485">
        <v>10336</v>
      </c>
      <c r="D21485" t="s">
        <v>263</v>
      </c>
      <c r="E21485" t="s">
        <v>264</v>
      </c>
      <c r="F21485">
        <v>5.92</v>
      </c>
      <c r="G21485">
        <v>230804</v>
      </c>
      <c r="H21485">
        <v>4362</v>
      </c>
      <c r="I21485" t="s">
        <v>79</v>
      </c>
      <c r="J21485">
        <v>7.34</v>
      </c>
      <c r="K21485">
        <v>1.42</v>
      </c>
      <c r="L21485">
        <v>14912</v>
      </c>
      <c r="M21485" t="s">
        <v>230</v>
      </c>
      <c r="N21485" t="str">
        <f t="shared" si="363"/>
        <v xml:space="preserve">12331024053 </v>
      </c>
      <c r="O21485">
        <v>230814</v>
      </c>
    </row>
    <row r="21486" spans="1:15" x14ac:dyDescent="0.25">
      <c r="A21486" t="s">
        <v>16</v>
      </c>
      <c r="B21486" t="s">
        <v>3221</v>
      </c>
      <c r="C21486">
        <v>10336</v>
      </c>
      <c r="D21486" t="s">
        <v>263</v>
      </c>
      <c r="E21486" t="s">
        <v>264</v>
      </c>
      <c r="F21486">
        <v>2.7</v>
      </c>
      <c r="G21486">
        <v>230804</v>
      </c>
      <c r="H21486">
        <v>4362</v>
      </c>
      <c r="I21486" t="s">
        <v>79</v>
      </c>
      <c r="J21486">
        <v>3.35</v>
      </c>
      <c r="K21486">
        <v>0.65</v>
      </c>
      <c r="L21486">
        <v>14971</v>
      </c>
      <c r="M21486" t="s">
        <v>1259</v>
      </c>
      <c r="N21486" t="str">
        <f t="shared" si="363"/>
        <v xml:space="preserve">12331024053 </v>
      </c>
      <c r="O21486">
        <v>230814</v>
      </c>
    </row>
    <row r="21487" spans="1:15" x14ac:dyDescent="0.25">
      <c r="A21487" t="s">
        <v>16</v>
      </c>
      <c r="B21487" t="s">
        <v>3221</v>
      </c>
      <c r="C21487">
        <v>10336</v>
      </c>
      <c r="D21487" t="s">
        <v>263</v>
      </c>
      <c r="E21487" t="s">
        <v>264</v>
      </c>
      <c r="F21487">
        <v>2.7</v>
      </c>
      <c r="G21487">
        <v>230804</v>
      </c>
      <c r="H21487">
        <v>4362</v>
      </c>
      <c r="I21487" t="s">
        <v>79</v>
      </c>
      <c r="J21487">
        <v>3.35</v>
      </c>
      <c r="K21487">
        <v>0.65</v>
      </c>
      <c r="L21487">
        <v>14972</v>
      </c>
      <c r="M21487" t="s">
        <v>898</v>
      </c>
      <c r="N21487" t="str">
        <f t="shared" si="363"/>
        <v xml:space="preserve">12331024053 </v>
      </c>
      <c r="O21487">
        <v>230814</v>
      </c>
    </row>
    <row r="21488" spans="1:15" x14ac:dyDescent="0.25">
      <c r="A21488" t="s">
        <v>16</v>
      </c>
      <c r="B21488" t="s">
        <v>3221</v>
      </c>
      <c r="C21488">
        <v>10336</v>
      </c>
      <c r="D21488" t="s">
        <v>263</v>
      </c>
      <c r="E21488" t="s">
        <v>264</v>
      </c>
      <c r="F21488">
        <v>2.7</v>
      </c>
      <c r="G21488">
        <v>230804</v>
      </c>
      <c r="H21488">
        <v>4362</v>
      </c>
      <c r="I21488" t="s">
        <v>79</v>
      </c>
      <c r="J21488">
        <v>3.35</v>
      </c>
      <c r="K21488">
        <v>0.65</v>
      </c>
      <c r="L21488">
        <v>14974</v>
      </c>
      <c r="M21488" t="s">
        <v>1340</v>
      </c>
      <c r="N21488" t="str">
        <f t="shared" si="363"/>
        <v xml:space="preserve">12331024053 </v>
      </c>
      <c r="O21488">
        <v>230814</v>
      </c>
    </row>
    <row r="21489" spans="1:15" x14ac:dyDescent="0.25">
      <c r="A21489" t="s">
        <v>16</v>
      </c>
      <c r="B21489" t="s">
        <v>3221</v>
      </c>
      <c r="C21489">
        <v>10336</v>
      </c>
      <c r="D21489" t="s">
        <v>263</v>
      </c>
      <c r="E21489" t="s">
        <v>264</v>
      </c>
      <c r="F21489">
        <v>2.7</v>
      </c>
      <c r="G21489">
        <v>230804</v>
      </c>
      <c r="H21489">
        <v>4362</v>
      </c>
      <c r="I21489" t="s">
        <v>79</v>
      </c>
      <c r="J21489">
        <v>3.35</v>
      </c>
      <c r="K21489">
        <v>0.65</v>
      </c>
      <c r="L21489">
        <v>14974</v>
      </c>
      <c r="M21489" t="s">
        <v>1340</v>
      </c>
      <c r="N21489" t="str">
        <f t="shared" si="363"/>
        <v xml:space="preserve">12331024053 </v>
      </c>
      <c r="O21489">
        <v>230814</v>
      </c>
    </row>
    <row r="21490" spans="1:15" x14ac:dyDescent="0.25">
      <c r="A21490" t="s">
        <v>16</v>
      </c>
      <c r="B21490" t="s">
        <v>3221</v>
      </c>
      <c r="C21490">
        <v>10336</v>
      </c>
      <c r="D21490" t="s">
        <v>263</v>
      </c>
      <c r="E21490" t="s">
        <v>264</v>
      </c>
      <c r="F21490">
        <v>2.7</v>
      </c>
      <c r="G21490">
        <v>230804</v>
      </c>
      <c r="H21490">
        <v>4362</v>
      </c>
      <c r="I21490" t="s">
        <v>79</v>
      </c>
      <c r="J21490">
        <v>3.35</v>
      </c>
      <c r="K21490">
        <v>0.65</v>
      </c>
      <c r="L21490">
        <v>14975</v>
      </c>
      <c r="M21490" t="s">
        <v>1341</v>
      </c>
      <c r="N21490" t="str">
        <f t="shared" si="363"/>
        <v xml:space="preserve">12331024053 </v>
      </c>
      <c r="O21490">
        <v>230814</v>
      </c>
    </row>
    <row r="21491" spans="1:15" x14ac:dyDescent="0.25">
      <c r="A21491" t="s">
        <v>16</v>
      </c>
      <c r="B21491" t="s">
        <v>3221</v>
      </c>
      <c r="C21491">
        <v>10338</v>
      </c>
      <c r="D21491" t="s">
        <v>263</v>
      </c>
      <c r="E21491" t="s">
        <v>264</v>
      </c>
      <c r="F21491">
        <v>27.49</v>
      </c>
      <c r="G21491">
        <v>230804</v>
      </c>
      <c r="H21491">
        <v>4362</v>
      </c>
      <c r="I21491" t="s">
        <v>79</v>
      </c>
      <c r="J21491">
        <v>34.090000000000003</v>
      </c>
      <c r="K21491">
        <v>6.6</v>
      </c>
      <c r="L21491">
        <v>13601</v>
      </c>
      <c r="M21491" t="s">
        <v>147</v>
      </c>
      <c r="N21491" t="str">
        <f>"12331024046 "</f>
        <v xml:space="preserve">12331024046 </v>
      </c>
      <c r="O21491">
        <v>230814</v>
      </c>
    </row>
    <row r="21492" spans="1:15" x14ac:dyDescent="0.25">
      <c r="A21492" t="s">
        <v>16</v>
      </c>
      <c r="B21492" t="s">
        <v>3221</v>
      </c>
      <c r="C21492">
        <v>10339</v>
      </c>
      <c r="D21492" t="s">
        <v>263</v>
      </c>
      <c r="E21492" t="s">
        <v>264</v>
      </c>
      <c r="F21492">
        <v>2.7</v>
      </c>
      <c r="G21492">
        <v>230804</v>
      </c>
      <c r="H21492">
        <v>4362</v>
      </c>
      <c r="I21492" t="s">
        <v>79</v>
      </c>
      <c r="J21492">
        <v>3.35</v>
      </c>
      <c r="K21492">
        <v>0.65</v>
      </c>
      <c r="L21492">
        <v>11001</v>
      </c>
      <c r="M21492" t="s">
        <v>326</v>
      </c>
      <c r="N21492" t="str">
        <f t="shared" ref="N21492:N21497" si="364">"12331024018 "</f>
        <v xml:space="preserve">12331024018 </v>
      </c>
      <c r="O21492">
        <v>230814</v>
      </c>
    </row>
    <row r="21493" spans="1:15" x14ac:dyDescent="0.25">
      <c r="A21493" t="s">
        <v>16</v>
      </c>
      <c r="B21493" t="s">
        <v>3221</v>
      </c>
      <c r="C21493">
        <v>10339</v>
      </c>
      <c r="D21493" t="s">
        <v>263</v>
      </c>
      <c r="E21493" t="s">
        <v>264</v>
      </c>
      <c r="F21493">
        <v>48.22</v>
      </c>
      <c r="G21493">
        <v>230804</v>
      </c>
      <c r="H21493">
        <v>4362</v>
      </c>
      <c r="I21493" t="s">
        <v>79</v>
      </c>
      <c r="J21493">
        <v>48.22</v>
      </c>
      <c r="K21493">
        <v>0</v>
      </c>
      <c r="L21493">
        <v>11001</v>
      </c>
      <c r="M21493" t="s">
        <v>326</v>
      </c>
      <c r="N21493" t="str">
        <f t="shared" si="364"/>
        <v xml:space="preserve">12331024018 </v>
      </c>
      <c r="O21493">
        <v>230814</v>
      </c>
    </row>
    <row r="21494" spans="1:15" x14ac:dyDescent="0.25">
      <c r="A21494" t="s">
        <v>16</v>
      </c>
      <c r="B21494" t="s">
        <v>3221</v>
      </c>
      <c r="C21494">
        <v>10339</v>
      </c>
      <c r="D21494" t="s">
        <v>263</v>
      </c>
      <c r="E21494" t="s">
        <v>264</v>
      </c>
      <c r="F21494">
        <v>5.6</v>
      </c>
      <c r="G21494">
        <v>230804</v>
      </c>
      <c r="H21494">
        <v>4362</v>
      </c>
      <c r="I21494" t="s">
        <v>79</v>
      </c>
      <c r="J21494">
        <v>6.94</v>
      </c>
      <c r="K21494">
        <v>1.34</v>
      </c>
      <c r="L21494">
        <v>11501</v>
      </c>
      <c r="M21494" t="s">
        <v>339</v>
      </c>
      <c r="N21494" t="str">
        <f t="shared" si="364"/>
        <v xml:space="preserve">12331024018 </v>
      </c>
      <c r="O21494">
        <v>230814</v>
      </c>
    </row>
    <row r="21495" spans="1:15" x14ac:dyDescent="0.25">
      <c r="A21495" t="s">
        <v>16</v>
      </c>
      <c r="B21495" t="s">
        <v>3221</v>
      </c>
      <c r="C21495">
        <v>10339</v>
      </c>
      <c r="D21495" t="s">
        <v>263</v>
      </c>
      <c r="E21495" t="s">
        <v>264</v>
      </c>
      <c r="F21495">
        <v>2.7</v>
      </c>
      <c r="G21495">
        <v>230804</v>
      </c>
      <c r="H21495">
        <v>4362</v>
      </c>
      <c r="I21495" t="s">
        <v>79</v>
      </c>
      <c r="J21495">
        <v>3.35</v>
      </c>
      <c r="K21495">
        <v>0.65</v>
      </c>
      <c r="L21495">
        <v>11701</v>
      </c>
      <c r="M21495" t="s">
        <v>1204</v>
      </c>
      <c r="N21495" t="str">
        <f t="shared" si="364"/>
        <v xml:space="preserve">12331024018 </v>
      </c>
      <c r="O21495">
        <v>230814</v>
      </c>
    </row>
    <row r="21496" spans="1:15" x14ac:dyDescent="0.25">
      <c r="A21496" t="s">
        <v>16</v>
      </c>
      <c r="B21496" t="s">
        <v>3221</v>
      </c>
      <c r="C21496">
        <v>10339</v>
      </c>
      <c r="D21496" t="s">
        <v>263</v>
      </c>
      <c r="E21496" t="s">
        <v>264</v>
      </c>
      <c r="F21496">
        <v>5.4</v>
      </c>
      <c r="G21496">
        <v>230804</v>
      </c>
      <c r="H21496">
        <v>4362</v>
      </c>
      <c r="I21496" t="s">
        <v>79</v>
      </c>
      <c r="J21496">
        <v>6.7</v>
      </c>
      <c r="K21496">
        <v>1.3</v>
      </c>
      <c r="L21496">
        <v>11751</v>
      </c>
      <c r="M21496" t="s">
        <v>1339</v>
      </c>
      <c r="N21496" t="str">
        <f t="shared" si="364"/>
        <v xml:space="preserve">12331024018 </v>
      </c>
      <c r="O21496">
        <v>230814</v>
      </c>
    </row>
    <row r="21497" spans="1:15" x14ac:dyDescent="0.25">
      <c r="A21497" t="s">
        <v>16</v>
      </c>
      <c r="B21497" t="s">
        <v>3221</v>
      </c>
      <c r="C21497">
        <v>10339</v>
      </c>
      <c r="D21497" t="s">
        <v>263</v>
      </c>
      <c r="E21497" t="s">
        <v>264</v>
      </c>
      <c r="F21497">
        <v>25.97</v>
      </c>
      <c r="G21497">
        <v>230804</v>
      </c>
      <c r="H21497">
        <v>4362</v>
      </c>
      <c r="I21497" t="s">
        <v>79</v>
      </c>
      <c r="J21497">
        <v>32.200000000000003</v>
      </c>
      <c r="K21497">
        <v>6.23</v>
      </c>
      <c r="L21497">
        <v>14622</v>
      </c>
      <c r="M21497" t="s">
        <v>1005</v>
      </c>
      <c r="N21497" t="str">
        <f t="shared" si="364"/>
        <v xml:space="preserve">12331024018 </v>
      </c>
      <c r="O21497">
        <v>230814</v>
      </c>
    </row>
    <row r="21498" spans="1:15" x14ac:dyDescent="0.25">
      <c r="A21498" t="s">
        <v>16</v>
      </c>
      <c r="B21498" t="s">
        <v>3221</v>
      </c>
      <c r="C21498">
        <v>10404</v>
      </c>
      <c r="D21498" t="s">
        <v>263</v>
      </c>
      <c r="E21498" t="s">
        <v>264</v>
      </c>
      <c r="F21498">
        <v>45.9</v>
      </c>
      <c r="G21498">
        <v>230804</v>
      </c>
      <c r="H21498">
        <v>4362</v>
      </c>
      <c r="I21498" t="s">
        <v>79</v>
      </c>
      <c r="J21498">
        <v>56.92</v>
      </c>
      <c r="K21498">
        <v>11.02</v>
      </c>
      <c r="L21498">
        <v>10002</v>
      </c>
      <c r="M21498" t="s">
        <v>1066</v>
      </c>
      <c r="N21498" t="str">
        <f>"12331024060 "</f>
        <v xml:space="preserve">12331024060 </v>
      </c>
      <c r="O21498">
        <v>230815</v>
      </c>
    </row>
    <row r="21499" spans="1:15" x14ac:dyDescent="0.25">
      <c r="A21499" t="s">
        <v>16</v>
      </c>
      <c r="B21499" t="s">
        <v>3221</v>
      </c>
      <c r="C21499">
        <v>10425</v>
      </c>
      <c r="D21499" t="s">
        <v>263</v>
      </c>
      <c r="E21499" t="s">
        <v>264</v>
      </c>
      <c r="F21499">
        <v>18.3</v>
      </c>
      <c r="G21499">
        <v>230804</v>
      </c>
      <c r="H21499">
        <v>4362</v>
      </c>
      <c r="I21499" t="s">
        <v>79</v>
      </c>
      <c r="J21499">
        <v>18.3</v>
      </c>
      <c r="K21499">
        <v>0</v>
      </c>
      <c r="L21499">
        <v>13201</v>
      </c>
      <c r="M21499" t="s">
        <v>161</v>
      </c>
      <c r="N21499" t="str">
        <f t="shared" ref="N21499:N21510" si="365">"12331024045 "</f>
        <v xml:space="preserve">12331024045 </v>
      </c>
      <c r="O21499">
        <v>230815</v>
      </c>
    </row>
    <row r="21500" spans="1:15" x14ac:dyDescent="0.25">
      <c r="A21500" t="s">
        <v>16</v>
      </c>
      <c r="B21500" t="s">
        <v>3221</v>
      </c>
      <c r="C21500">
        <v>10425</v>
      </c>
      <c r="D21500" t="s">
        <v>263</v>
      </c>
      <c r="E21500" t="s">
        <v>264</v>
      </c>
      <c r="F21500">
        <v>31.53</v>
      </c>
      <c r="G21500">
        <v>230804</v>
      </c>
      <c r="H21500">
        <v>4362</v>
      </c>
      <c r="I21500" t="s">
        <v>79</v>
      </c>
      <c r="J21500">
        <v>39.1</v>
      </c>
      <c r="K21500">
        <v>7.57</v>
      </c>
      <c r="L21500">
        <v>13401</v>
      </c>
      <c r="M21500" t="s">
        <v>80</v>
      </c>
      <c r="N21500" t="str">
        <f t="shared" si="365"/>
        <v xml:space="preserve">12331024045 </v>
      </c>
      <c r="O21500">
        <v>230815</v>
      </c>
    </row>
    <row r="21501" spans="1:15" x14ac:dyDescent="0.25">
      <c r="A21501" t="s">
        <v>16</v>
      </c>
      <c r="B21501" t="s">
        <v>3221</v>
      </c>
      <c r="C21501">
        <v>10425</v>
      </c>
      <c r="D21501" t="s">
        <v>263</v>
      </c>
      <c r="E21501" t="s">
        <v>264</v>
      </c>
      <c r="F21501">
        <v>7.94</v>
      </c>
      <c r="G21501">
        <v>230804</v>
      </c>
      <c r="H21501">
        <v>4362</v>
      </c>
      <c r="I21501" t="s">
        <v>79</v>
      </c>
      <c r="J21501">
        <v>9.85</v>
      </c>
      <c r="K21501">
        <v>1.91</v>
      </c>
      <c r="L21501">
        <v>13401</v>
      </c>
      <c r="M21501" t="s">
        <v>80</v>
      </c>
      <c r="N21501" t="str">
        <f t="shared" si="365"/>
        <v xml:space="preserve">12331024045 </v>
      </c>
      <c r="O21501">
        <v>230815</v>
      </c>
    </row>
    <row r="21502" spans="1:15" x14ac:dyDescent="0.25">
      <c r="A21502" t="s">
        <v>16</v>
      </c>
      <c r="B21502" t="s">
        <v>3221</v>
      </c>
      <c r="C21502">
        <v>10425</v>
      </c>
      <c r="D21502" t="s">
        <v>263</v>
      </c>
      <c r="E21502" t="s">
        <v>264</v>
      </c>
      <c r="F21502">
        <v>21.85</v>
      </c>
      <c r="G21502">
        <v>230804</v>
      </c>
      <c r="H21502">
        <v>4362</v>
      </c>
      <c r="I21502" t="s">
        <v>79</v>
      </c>
      <c r="J21502">
        <v>27.1</v>
      </c>
      <c r="K21502">
        <v>5.25</v>
      </c>
      <c r="L21502">
        <v>13501</v>
      </c>
      <c r="M21502" t="s">
        <v>20</v>
      </c>
      <c r="N21502" t="str">
        <f t="shared" si="365"/>
        <v xml:space="preserve">12331024045 </v>
      </c>
      <c r="O21502">
        <v>230815</v>
      </c>
    </row>
    <row r="21503" spans="1:15" x14ac:dyDescent="0.25">
      <c r="A21503" t="s">
        <v>16</v>
      </c>
      <c r="B21503" t="s">
        <v>3221</v>
      </c>
      <c r="C21503">
        <v>10425</v>
      </c>
      <c r="D21503" t="s">
        <v>263</v>
      </c>
      <c r="E21503" t="s">
        <v>264</v>
      </c>
      <c r="F21503">
        <v>2.7</v>
      </c>
      <c r="G21503">
        <v>230804</v>
      </c>
      <c r="H21503">
        <v>4362</v>
      </c>
      <c r="I21503" t="s">
        <v>79</v>
      </c>
      <c r="J21503">
        <v>3.35</v>
      </c>
      <c r="K21503">
        <v>0.65</v>
      </c>
      <c r="L21503">
        <v>13561</v>
      </c>
      <c r="M21503" t="s">
        <v>246</v>
      </c>
      <c r="N21503" t="str">
        <f t="shared" si="365"/>
        <v xml:space="preserve">12331024045 </v>
      </c>
      <c r="O21503">
        <v>230815</v>
      </c>
    </row>
    <row r="21504" spans="1:15" x14ac:dyDescent="0.25">
      <c r="A21504" t="s">
        <v>16</v>
      </c>
      <c r="B21504" t="s">
        <v>3221</v>
      </c>
      <c r="C21504">
        <v>10425</v>
      </c>
      <c r="D21504" t="s">
        <v>263</v>
      </c>
      <c r="E21504" t="s">
        <v>264</v>
      </c>
      <c r="F21504">
        <v>2.7</v>
      </c>
      <c r="G21504">
        <v>230804</v>
      </c>
      <c r="H21504">
        <v>4362</v>
      </c>
      <c r="I21504" t="s">
        <v>79</v>
      </c>
      <c r="J21504">
        <v>3.35</v>
      </c>
      <c r="K21504">
        <v>0.65</v>
      </c>
      <c r="L21504">
        <v>13561</v>
      </c>
      <c r="M21504" t="s">
        <v>246</v>
      </c>
      <c r="N21504" t="str">
        <f t="shared" si="365"/>
        <v xml:space="preserve">12331024045 </v>
      </c>
      <c r="O21504">
        <v>230815</v>
      </c>
    </row>
    <row r="21505" spans="1:15" x14ac:dyDescent="0.25">
      <c r="A21505" t="s">
        <v>16</v>
      </c>
      <c r="B21505" t="s">
        <v>3221</v>
      </c>
      <c r="C21505">
        <v>10425</v>
      </c>
      <c r="D21505" t="s">
        <v>263</v>
      </c>
      <c r="E21505" t="s">
        <v>264</v>
      </c>
      <c r="F21505">
        <v>2.7</v>
      </c>
      <c r="G21505">
        <v>230804</v>
      </c>
      <c r="H21505">
        <v>4362</v>
      </c>
      <c r="I21505" t="s">
        <v>79</v>
      </c>
      <c r="J21505">
        <v>3.35</v>
      </c>
      <c r="K21505">
        <v>0.65</v>
      </c>
      <c r="L21505">
        <v>13601</v>
      </c>
      <c r="M21505" t="s">
        <v>147</v>
      </c>
      <c r="N21505" t="str">
        <f t="shared" si="365"/>
        <v xml:space="preserve">12331024045 </v>
      </c>
      <c r="O21505">
        <v>230815</v>
      </c>
    </row>
    <row r="21506" spans="1:15" x14ac:dyDescent="0.25">
      <c r="A21506" t="s">
        <v>16</v>
      </c>
      <c r="B21506" t="s">
        <v>3221</v>
      </c>
      <c r="C21506">
        <v>10425</v>
      </c>
      <c r="D21506" t="s">
        <v>263</v>
      </c>
      <c r="E21506" t="s">
        <v>264</v>
      </c>
      <c r="F21506">
        <v>2.7</v>
      </c>
      <c r="G21506">
        <v>230804</v>
      </c>
      <c r="H21506">
        <v>4362</v>
      </c>
      <c r="I21506" t="s">
        <v>79</v>
      </c>
      <c r="J21506">
        <v>3.35</v>
      </c>
      <c r="K21506">
        <v>0.65</v>
      </c>
      <c r="L21506">
        <v>13661</v>
      </c>
      <c r="M21506" t="s">
        <v>247</v>
      </c>
      <c r="N21506" t="str">
        <f t="shared" si="365"/>
        <v xml:space="preserve">12331024045 </v>
      </c>
      <c r="O21506">
        <v>230815</v>
      </c>
    </row>
    <row r="21507" spans="1:15" x14ac:dyDescent="0.25">
      <c r="A21507" t="s">
        <v>16</v>
      </c>
      <c r="B21507" t="s">
        <v>3221</v>
      </c>
      <c r="C21507">
        <v>10425</v>
      </c>
      <c r="D21507" t="s">
        <v>263</v>
      </c>
      <c r="E21507" t="s">
        <v>264</v>
      </c>
      <c r="F21507">
        <v>13.06</v>
      </c>
      <c r="G21507">
        <v>230804</v>
      </c>
      <c r="H21507">
        <v>4362</v>
      </c>
      <c r="I21507" t="s">
        <v>79</v>
      </c>
      <c r="J21507">
        <v>16.2</v>
      </c>
      <c r="K21507">
        <v>3.14</v>
      </c>
      <c r="L21507">
        <v>13801</v>
      </c>
      <c r="M21507" t="s">
        <v>162</v>
      </c>
      <c r="N21507" t="str">
        <f t="shared" si="365"/>
        <v xml:space="preserve">12331024045 </v>
      </c>
      <c r="O21507">
        <v>230815</v>
      </c>
    </row>
    <row r="21508" spans="1:15" x14ac:dyDescent="0.25">
      <c r="A21508" t="s">
        <v>16</v>
      </c>
      <c r="B21508" t="s">
        <v>3221</v>
      </c>
      <c r="C21508">
        <v>10425</v>
      </c>
      <c r="D21508" t="s">
        <v>263</v>
      </c>
      <c r="E21508" t="s">
        <v>264</v>
      </c>
      <c r="F21508">
        <v>13.87</v>
      </c>
      <c r="G21508">
        <v>230804</v>
      </c>
      <c r="H21508">
        <v>4362</v>
      </c>
      <c r="I21508" t="s">
        <v>79</v>
      </c>
      <c r="J21508">
        <v>17.2</v>
      </c>
      <c r="K21508">
        <v>3.33</v>
      </c>
      <c r="L21508">
        <v>13801</v>
      </c>
      <c r="M21508" t="s">
        <v>162</v>
      </c>
      <c r="N21508" t="str">
        <f t="shared" si="365"/>
        <v xml:space="preserve">12331024045 </v>
      </c>
      <c r="O21508">
        <v>230815</v>
      </c>
    </row>
    <row r="21509" spans="1:15" x14ac:dyDescent="0.25">
      <c r="A21509" t="s">
        <v>16</v>
      </c>
      <c r="B21509" t="s">
        <v>3221</v>
      </c>
      <c r="C21509">
        <v>10425</v>
      </c>
      <c r="D21509" t="s">
        <v>263</v>
      </c>
      <c r="E21509" t="s">
        <v>264</v>
      </c>
      <c r="F21509">
        <v>13.35</v>
      </c>
      <c r="G21509">
        <v>230804</v>
      </c>
      <c r="H21509">
        <v>4362</v>
      </c>
      <c r="I21509" t="s">
        <v>79</v>
      </c>
      <c r="J21509">
        <v>16.55</v>
      </c>
      <c r="K21509">
        <v>3.2</v>
      </c>
      <c r="L21509">
        <v>13802</v>
      </c>
      <c r="M21509" t="s">
        <v>200</v>
      </c>
      <c r="N21509" t="str">
        <f t="shared" si="365"/>
        <v xml:space="preserve">12331024045 </v>
      </c>
      <c r="O21509">
        <v>230815</v>
      </c>
    </row>
    <row r="21510" spans="1:15" x14ac:dyDescent="0.25">
      <c r="A21510" t="s">
        <v>16</v>
      </c>
      <c r="B21510" t="s">
        <v>3221</v>
      </c>
      <c r="C21510">
        <v>10425</v>
      </c>
      <c r="D21510" t="s">
        <v>263</v>
      </c>
      <c r="E21510" t="s">
        <v>264</v>
      </c>
      <c r="F21510">
        <v>2.71</v>
      </c>
      <c r="G21510">
        <v>230804</v>
      </c>
      <c r="H21510">
        <v>4362</v>
      </c>
      <c r="I21510" t="s">
        <v>79</v>
      </c>
      <c r="J21510">
        <v>3.36</v>
      </c>
      <c r="K21510">
        <v>0.65</v>
      </c>
      <c r="L21510">
        <v>17971</v>
      </c>
      <c r="M21510" t="s">
        <v>138</v>
      </c>
      <c r="N21510" t="str">
        <f t="shared" si="365"/>
        <v xml:space="preserve">12331024045 </v>
      </c>
      <c r="O21510">
        <v>230815</v>
      </c>
    </row>
    <row r="21511" spans="1:15" x14ac:dyDescent="0.25">
      <c r="A21511" t="s">
        <v>16</v>
      </c>
      <c r="B21511" t="s">
        <v>3221</v>
      </c>
      <c r="C21511">
        <v>10444</v>
      </c>
      <c r="D21511" t="s">
        <v>263</v>
      </c>
      <c r="E21511" t="s">
        <v>264</v>
      </c>
      <c r="F21511">
        <v>24.3</v>
      </c>
      <c r="G21511">
        <v>230804</v>
      </c>
      <c r="H21511">
        <v>4362</v>
      </c>
      <c r="I21511" t="s">
        <v>79</v>
      </c>
      <c r="J21511">
        <v>30.13</v>
      </c>
      <c r="K21511">
        <v>5.83</v>
      </c>
      <c r="L21511">
        <v>61122</v>
      </c>
      <c r="M21511" t="s">
        <v>402</v>
      </c>
      <c r="N21511" t="str">
        <f t="shared" ref="N21511:N21537" si="366">"12331024023 "</f>
        <v xml:space="preserve">12331024023 </v>
      </c>
      <c r="O21511">
        <v>230816</v>
      </c>
    </row>
    <row r="21512" spans="1:15" x14ac:dyDescent="0.25">
      <c r="A21512" t="s">
        <v>16</v>
      </c>
      <c r="B21512" t="s">
        <v>3221</v>
      </c>
      <c r="C21512">
        <v>10444</v>
      </c>
      <c r="D21512" t="s">
        <v>263</v>
      </c>
      <c r="E21512" t="s">
        <v>264</v>
      </c>
      <c r="F21512">
        <v>2.7</v>
      </c>
      <c r="G21512">
        <v>230804</v>
      </c>
      <c r="H21512">
        <v>4362</v>
      </c>
      <c r="I21512" t="s">
        <v>79</v>
      </c>
      <c r="J21512">
        <v>3.35</v>
      </c>
      <c r="K21512">
        <v>0.65</v>
      </c>
      <c r="L21512">
        <v>61122</v>
      </c>
      <c r="M21512" t="s">
        <v>402</v>
      </c>
      <c r="N21512" t="str">
        <f t="shared" si="366"/>
        <v xml:space="preserve">12331024023 </v>
      </c>
      <c r="O21512">
        <v>230816</v>
      </c>
    </row>
    <row r="21513" spans="1:15" x14ac:dyDescent="0.25">
      <c r="A21513" t="s">
        <v>16</v>
      </c>
      <c r="B21513" t="s">
        <v>3221</v>
      </c>
      <c r="C21513">
        <v>10444</v>
      </c>
      <c r="D21513" t="s">
        <v>263</v>
      </c>
      <c r="E21513" t="s">
        <v>264</v>
      </c>
      <c r="F21513">
        <v>10.8</v>
      </c>
      <c r="G21513">
        <v>230804</v>
      </c>
      <c r="H21513">
        <v>4362</v>
      </c>
      <c r="I21513" t="s">
        <v>79</v>
      </c>
      <c r="J21513">
        <v>13.39</v>
      </c>
      <c r="K21513">
        <v>2.59</v>
      </c>
      <c r="L21513">
        <v>65222</v>
      </c>
      <c r="M21513" t="s">
        <v>487</v>
      </c>
      <c r="N21513" t="str">
        <f t="shared" si="366"/>
        <v xml:space="preserve">12331024023 </v>
      </c>
      <c r="O21513">
        <v>230816</v>
      </c>
    </row>
    <row r="21514" spans="1:15" x14ac:dyDescent="0.25">
      <c r="A21514" t="s">
        <v>16</v>
      </c>
      <c r="B21514" t="s">
        <v>3221</v>
      </c>
      <c r="C21514">
        <v>10444</v>
      </c>
      <c r="D21514" t="s">
        <v>263</v>
      </c>
      <c r="E21514" t="s">
        <v>264</v>
      </c>
      <c r="F21514">
        <v>2.7</v>
      </c>
      <c r="G21514">
        <v>230804</v>
      </c>
      <c r="H21514">
        <v>4362</v>
      </c>
      <c r="I21514" t="s">
        <v>79</v>
      </c>
      <c r="J21514">
        <v>3.35</v>
      </c>
      <c r="K21514">
        <v>0.65</v>
      </c>
      <c r="L21514">
        <v>65422</v>
      </c>
      <c r="M21514" t="s">
        <v>602</v>
      </c>
      <c r="N21514" t="str">
        <f t="shared" si="366"/>
        <v xml:space="preserve">12331024023 </v>
      </c>
      <c r="O21514">
        <v>230816</v>
      </c>
    </row>
    <row r="21515" spans="1:15" x14ac:dyDescent="0.25">
      <c r="A21515" t="s">
        <v>16</v>
      </c>
      <c r="B21515" t="s">
        <v>3221</v>
      </c>
      <c r="C21515">
        <v>10444</v>
      </c>
      <c r="D21515" t="s">
        <v>263</v>
      </c>
      <c r="E21515" t="s">
        <v>264</v>
      </c>
      <c r="F21515">
        <v>8.1</v>
      </c>
      <c r="G21515">
        <v>230804</v>
      </c>
      <c r="H21515">
        <v>4362</v>
      </c>
      <c r="I21515" t="s">
        <v>79</v>
      </c>
      <c r="J21515">
        <v>10.039999999999999</v>
      </c>
      <c r="K21515">
        <v>1.94</v>
      </c>
      <c r="L21515">
        <v>66722</v>
      </c>
      <c r="M21515" t="s">
        <v>518</v>
      </c>
      <c r="N21515" t="str">
        <f t="shared" si="366"/>
        <v xml:space="preserve">12331024023 </v>
      </c>
      <c r="O21515">
        <v>230816</v>
      </c>
    </row>
    <row r="21516" spans="1:15" x14ac:dyDescent="0.25">
      <c r="A21516" t="s">
        <v>16</v>
      </c>
      <c r="B21516" t="s">
        <v>3221</v>
      </c>
      <c r="C21516">
        <v>10444</v>
      </c>
      <c r="D21516" t="s">
        <v>263</v>
      </c>
      <c r="E21516" t="s">
        <v>264</v>
      </c>
      <c r="F21516">
        <v>6.06</v>
      </c>
      <c r="G21516">
        <v>230804</v>
      </c>
      <c r="H21516">
        <v>4362</v>
      </c>
      <c r="I21516" t="s">
        <v>79</v>
      </c>
      <c r="J21516">
        <v>7.51</v>
      </c>
      <c r="K21516">
        <v>1.45</v>
      </c>
      <c r="L21516">
        <v>66754</v>
      </c>
      <c r="M21516" t="s">
        <v>239</v>
      </c>
      <c r="N21516" t="str">
        <f t="shared" si="366"/>
        <v xml:space="preserve">12331024023 </v>
      </c>
      <c r="O21516">
        <v>230816</v>
      </c>
    </row>
    <row r="21517" spans="1:15" x14ac:dyDescent="0.25">
      <c r="A21517" t="s">
        <v>16</v>
      </c>
      <c r="B21517" t="s">
        <v>3221</v>
      </c>
      <c r="C21517">
        <v>10444</v>
      </c>
      <c r="D21517" t="s">
        <v>263</v>
      </c>
      <c r="E21517" t="s">
        <v>264</v>
      </c>
      <c r="F21517">
        <v>2.7</v>
      </c>
      <c r="G21517">
        <v>230804</v>
      </c>
      <c r="H21517">
        <v>4362</v>
      </c>
      <c r="I21517" t="s">
        <v>79</v>
      </c>
      <c r="J21517">
        <v>3.35</v>
      </c>
      <c r="K21517">
        <v>0.65</v>
      </c>
      <c r="L21517">
        <v>66754</v>
      </c>
      <c r="M21517" t="s">
        <v>239</v>
      </c>
      <c r="N21517" t="str">
        <f t="shared" si="366"/>
        <v xml:space="preserve">12331024023 </v>
      </c>
      <c r="O21517">
        <v>230816</v>
      </c>
    </row>
    <row r="21518" spans="1:15" x14ac:dyDescent="0.25">
      <c r="A21518" t="s">
        <v>16</v>
      </c>
      <c r="B21518" t="s">
        <v>3221</v>
      </c>
      <c r="C21518">
        <v>10444</v>
      </c>
      <c r="D21518" t="s">
        <v>263</v>
      </c>
      <c r="E21518" t="s">
        <v>264</v>
      </c>
      <c r="F21518">
        <v>3.24</v>
      </c>
      <c r="G21518">
        <v>230804</v>
      </c>
      <c r="H21518">
        <v>4362</v>
      </c>
      <c r="I21518" t="s">
        <v>79</v>
      </c>
      <c r="J21518">
        <v>4.0199999999999996</v>
      </c>
      <c r="K21518">
        <v>0.78</v>
      </c>
      <c r="L21518">
        <v>66754</v>
      </c>
      <c r="M21518" t="s">
        <v>239</v>
      </c>
      <c r="N21518" t="str">
        <f t="shared" si="366"/>
        <v xml:space="preserve">12331024023 </v>
      </c>
      <c r="O21518">
        <v>230816</v>
      </c>
    </row>
    <row r="21519" spans="1:15" x14ac:dyDescent="0.25">
      <c r="A21519" t="s">
        <v>16</v>
      </c>
      <c r="B21519" t="s">
        <v>3221</v>
      </c>
      <c r="C21519">
        <v>10444</v>
      </c>
      <c r="D21519" t="s">
        <v>263</v>
      </c>
      <c r="E21519" t="s">
        <v>264</v>
      </c>
      <c r="F21519">
        <v>16.05</v>
      </c>
      <c r="G21519">
        <v>230804</v>
      </c>
      <c r="H21519">
        <v>4362</v>
      </c>
      <c r="I21519" t="s">
        <v>79</v>
      </c>
      <c r="J21519">
        <v>19.899999999999999</v>
      </c>
      <c r="K21519">
        <v>3.85</v>
      </c>
      <c r="L21519">
        <v>66754</v>
      </c>
      <c r="M21519" t="s">
        <v>239</v>
      </c>
      <c r="N21519" t="str">
        <f t="shared" si="366"/>
        <v xml:space="preserve">12331024023 </v>
      </c>
      <c r="O21519">
        <v>230816</v>
      </c>
    </row>
    <row r="21520" spans="1:15" x14ac:dyDescent="0.25">
      <c r="A21520" t="s">
        <v>16</v>
      </c>
      <c r="B21520" t="s">
        <v>3221</v>
      </c>
      <c r="C21520">
        <v>10444</v>
      </c>
      <c r="D21520" t="s">
        <v>263</v>
      </c>
      <c r="E21520" t="s">
        <v>264</v>
      </c>
      <c r="F21520">
        <v>10.49</v>
      </c>
      <c r="G21520">
        <v>230804</v>
      </c>
      <c r="H21520">
        <v>4362</v>
      </c>
      <c r="I21520" t="s">
        <v>79</v>
      </c>
      <c r="J21520">
        <v>13.01</v>
      </c>
      <c r="K21520">
        <v>2.52</v>
      </c>
      <c r="L21520">
        <v>66756</v>
      </c>
      <c r="M21520" t="s">
        <v>209</v>
      </c>
      <c r="N21520" t="str">
        <f t="shared" si="366"/>
        <v xml:space="preserve">12331024023 </v>
      </c>
      <c r="O21520">
        <v>230816</v>
      </c>
    </row>
    <row r="21521" spans="1:15" x14ac:dyDescent="0.25">
      <c r="A21521" t="s">
        <v>16</v>
      </c>
      <c r="B21521" t="s">
        <v>3221</v>
      </c>
      <c r="C21521">
        <v>10444</v>
      </c>
      <c r="D21521" t="s">
        <v>263</v>
      </c>
      <c r="E21521" t="s">
        <v>264</v>
      </c>
      <c r="F21521">
        <v>26.65</v>
      </c>
      <c r="G21521">
        <v>230804</v>
      </c>
      <c r="H21521">
        <v>4362</v>
      </c>
      <c r="I21521" t="s">
        <v>79</v>
      </c>
      <c r="J21521">
        <v>33.049999999999997</v>
      </c>
      <c r="K21521">
        <v>6.4</v>
      </c>
      <c r="L21521">
        <v>67522</v>
      </c>
      <c r="M21521" t="s">
        <v>397</v>
      </c>
      <c r="N21521" t="str">
        <f t="shared" si="366"/>
        <v xml:space="preserve">12331024023 </v>
      </c>
      <c r="O21521">
        <v>230816</v>
      </c>
    </row>
    <row r="21522" spans="1:15" x14ac:dyDescent="0.25">
      <c r="A21522" t="s">
        <v>16</v>
      </c>
      <c r="B21522" t="s">
        <v>3221</v>
      </c>
      <c r="C21522">
        <v>10444</v>
      </c>
      <c r="D21522" t="s">
        <v>263</v>
      </c>
      <c r="E21522" t="s">
        <v>264</v>
      </c>
      <c r="F21522">
        <v>10.8</v>
      </c>
      <c r="G21522">
        <v>230804</v>
      </c>
      <c r="H21522">
        <v>4362</v>
      </c>
      <c r="I21522" t="s">
        <v>79</v>
      </c>
      <c r="J21522">
        <v>13.39</v>
      </c>
      <c r="K21522">
        <v>2.59</v>
      </c>
      <c r="L21522">
        <v>67522</v>
      </c>
      <c r="M21522" t="s">
        <v>397</v>
      </c>
      <c r="N21522" t="str">
        <f t="shared" si="366"/>
        <v xml:space="preserve">12331024023 </v>
      </c>
      <c r="O21522">
        <v>230816</v>
      </c>
    </row>
    <row r="21523" spans="1:15" x14ac:dyDescent="0.25">
      <c r="A21523" t="s">
        <v>16</v>
      </c>
      <c r="B21523" t="s">
        <v>3221</v>
      </c>
      <c r="C21523">
        <v>10444</v>
      </c>
      <c r="D21523" t="s">
        <v>263</v>
      </c>
      <c r="E21523" t="s">
        <v>264</v>
      </c>
      <c r="F21523">
        <v>6.06</v>
      </c>
      <c r="G21523">
        <v>230804</v>
      </c>
      <c r="H21523">
        <v>4362</v>
      </c>
      <c r="I21523" t="s">
        <v>79</v>
      </c>
      <c r="J21523">
        <v>7.51</v>
      </c>
      <c r="K21523">
        <v>1.45</v>
      </c>
      <c r="L21523">
        <v>67554</v>
      </c>
      <c r="M21523" t="s">
        <v>60</v>
      </c>
      <c r="N21523" t="str">
        <f t="shared" si="366"/>
        <v xml:space="preserve">12331024023 </v>
      </c>
      <c r="O21523">
        <v>230816</v>
      </c>
    </row>
    <row r="21524" spans="1:15" x14ac:dyDescent="0.25">
      <c r="A21524" t="s">
        <v>16</v>
      </c>
      <c r="B21524" t="s">
        <v>3221</v>
      </c>
      <c r="C21524">
        <v>10444</v>
      </c>
      <c r="D21524" t="s">
        <v>263</v>
      </c>
      <c r="E21524" t="s">
        <v>264</v>
      </c>
      <c r="F21524">
        <v>2.7</v>
      </c>
      <c r="G21524">
        <v>230804</v>
      </c>
      <c r="H21524">
        <v>4362</v>
      </c>
      <c r="I21524" t="s">
        <v>79</v>
      </c>
      <c r="J21524">
        <v>3.35</v>
      </c>
      <c r="K21524">
        <v>0.65</v>
      </c>
      <c r="L21524">
        <v>67554</v>
      </c>
      <c r="M21524" t="s">
        <v>60</v>
      </c>
      <c r="N21524" t="str">
        <f t="shared" si="366"/>
        <v xml:space="preserve">12331024023 </v>
      </c>
      <c r="O21524">
        <v>230816</v>
      </c>
    </row>
    <row r="21525" spans="1:15" x14ac:dyDescent="0.25">
      <c r="A21525" t="s">
        <v>16</v>
      </c>
      <c r="B21525" t="s">
        <v>3221</v>
      </c>
      <c r="C21525">
        <v>10444</v>
      </c>
      <c r="D21525" t="s">
        <v>263</v>
      </c>
      <c r="E21525" t="s">
        <v>264</v>
      </c>
      <c r="F21525">
        <v>47.82</v>
      </c>
      <c r="G21525">
        <v>230804</v>
      </c>
      <c r="H21525">
        <v>4362</v>
      </c>
      <c r="I21525" t="s">
        <v>79</v>
      </c>
      <c r="J21525">
        <v>59.3</v>
      </c>
      <c r="K21525">
        <v>11.48</v>
      </c>
      <c r="L21525">
        <v>67554</v>
      </c>
      <c r="M21525" t="s">
        <v>60</v>
      </c>
      <c r="N21525" t="str">
        <f t="shared" si="366"/>
        <v xml:space="preserve">12331024023 </v>
      </c>
      <c r="O21525">
        <v>230816</v>
      </c>
    </row>
    <row r="21526" spans="1:15" x14ac:dyDescent="0.25">
      <c r="A21526" t="s">
        <v>16</v>
      </c>
      <c r="B21526" t="s">
        <v>3221</v>
      </c>
      <c r="C21526">
        <v>10444</v>
      </c>
      <c r="D21526" t="s">
        <v>263</v>
      </c>
      <c r="E21526" t="s">
        <v>264</v>
      </c>
      <c r="F21526">
        <v>3.04</v>
      </c>
      <c r="G21526">
        <v>230804</v>
      </c>
      <c r="H21526">
        <v>4362</v>
      </c>
      <c r="I21526" t="s">
        <v>79</v>
      </c>
      <c r="J21526">
        <v>3.77</v>
      </c>
      <c r="K21526">
        <v>0.73</v>
      </c>
      <c r="L21526">
        <v>67554</v>
      </c>
      <c r="M21526" t="s">
        <v>60</v>
      </c>
      <c r="N21526" t="str">
        <f t="shared" si="366"/>
        <v xml:space="preserve">12331024023 </v>
      </c>
      <c r="O21526">
        <v>230816</v>
      </c>
    </row>
    <row r="21527" spans="1:15" x14ac:dyDescent="0.25">
      <c r="A21527" t="s">
        <v>16</v>
      </c>
      <c r="B21527" t="s">
        <v>3221</v>
      </c>
      <c r="C21527">
        <v>10444</v>
      </c>
      <c r="D21527" t="s">
        <v>263</v>
      </c>
      <c r="E21527" t="s">
        <v>264</v>
      </c>
      <c r="F21527">
        <v>5.4</v>
      </c>
      <c r="G21527">
        <v>230804</v>
      </c>
      <c r="H21527">
        <v>4362</v>
      </c>
      <c r="I21527" t="s">
        <v>79</v>
      </c>
      <c r="J21527">
        <v>6.7</v>
      </c>
      <c r="K21527">
        <v>1.3</v>
      </c>
      <c r="L21527">
        <v>69111</v>
      </c>
      <c r="M21527" t="s">
        <v>471</v>
      </c>
      <c r="N21527" t="str">
        <f t="shared" si="366"/>
        <v xml:space="preserve">12331024023 </v>
      </c>
      <c r="O21527">
        <v>230816</v>
      </c>
    </row>
    <row r="21528" spans="1:15" x14ac:dyDescent="0.25">
      <c r="A21528" t="s">
        <v>16</v>
      </c>
      <c r="B21528" t="s">
        <v>3221</v>
      </c>
      <c r="C21528">
        <v>10444</v>
      </c>
      <c r="D21528" t="s">
        <v>263</v>
      </c>
      <c r="E21528" t="s">
        <v>264</v>
      </c>
      <c r="F21528">
        <v>2.7</v>
      </c>
      <c r="G21528">
        <v>230804</v>
      </c>
      <c r="H21528">
        <v>4362</v>
      </c>
      <c r="I21528" t="s">
        <v>79</v>
      </c>
      <c r="J21528">
        <v>3.35</v>
      </c>
      <c r="K21528">
        <v>0.65</v>
      </c>
      <c r="L21528">
        <v>69112</v>
      </c>
      <c r="M21528" t="s">
        <v>313</v>
      </c>
      <c r="N21528" t="str">
        <f t="shared" si="366"/>
        <v xml:space="preserve">12331024023 </v>
      </c>
      <c r="O21528">
        <v>230816</v>
      </c>
    </row>
    <row r="21529" spans="1:15" x14ac:dyDescent="0.25">
      <c r="A21529" t="s">
        <v>16</v>
      </c>
      <c r="B21529" t="s">
        <v>3221</v>
      </c>
      <c r="C21529">
        <v>10444</v>
      </c>
      <c r="D21529" t="s">
        <v>263</v>
      </c>
      <c r="E21529" t="s">
        <v>264</v>
      </c>
      <c r="F21529">
        <v>7.9</v>
      </c>
      <c r="G21529">
        <v>230804</v>
      </c>
      <c r="H21529">
        <v>4362</v>
      </c>
      <c r="I21529" t="s">
        <v>79</v>
      </c>
      <c r="J21529">
        <v>9.8000000000000007</v>
      </c>
      <c r="K21529">
        <v>1.9</v>
      </c>
      <c r="L21529">
        <v>69113</v>
      </c>
      <c r="M21529" t="s">
        <v>282</v>
      </c>
      <c r="N21529" t="str">
        <f t="shared" si="366"/>
        <v xml:space="preserve">12331024023 </v>
      </c>
      <c r="O21529">
        <v>230816</v>
      </c>
    </row>
    <row r="21530" spans="1:15" x14ac:dyDescent="0.25">
      <c r="A21530" t="s">
        <v>16</v>
      </c>
      <c r="B21530" t="s">
        <v>3221</v>
      </c>
      <c r="C21530">
        <v>10444</v>
      </c>
      <c r="D21530" t="s">
        <v>263</v>
      </c>
      <c r="E21530" t="s">
        <v>264</v>
      </c>
      <c r="F21530">
        <v>33.200000000000003</v>
      </c>
      <c r="G21530">
        <v>230804</v>
      </c>
      <c r="H21530">
        <v>4362</v>
      </c>
      <c r="I21530" t="s">
        <v>79</v>
      </c>
      <c r="J21530">
        <v>41.17</v>
      </c>
      <c r="K21530">
        <v>7.97</v>
      </c>
      <c r="L21530">
        <v>69501</v>
      </c>
      <c r="M21530" t="s">
        <v>185</v>
      </c>
      <c r="N21530" t="str">
        <f t="shared" si="366"/>
        <v xml:space="preserve">12331024023 </v>
      </c>
      <c r="O21530">
        <v>230816</v>
      </c>
    </row>
    <row r="21531" spans="1:15" x14ac:dyDescent="0.25">
      <c r="A21531" t="s">
        <v>16</v>
      </c>
      <c r="B21531" t="s">
        <v>3221</v>
      </c>
      <c r="C21531">
        <v>10444</v>
      </c>
      <c r="D21531" t="s">
        <v>263</v>
      </c>
      <c r="E21531" t="s">
        <v>264</v>
      </c>
      <c r="F21531">
        <v>4.1900000000000004</v>
      </c>
      <c r="G21531">
        <v>230804</v>
      </c>
      <c r="H21531">
        <v>4362</v>
      </c>
      <c r="I21531" t="s">
        <v>79</v>
      </c>
      <c r="J21531">
        <v>5.2</v>
      </c>
      <c r="K21531">
        <v>1.01</v>
      </c>
      <c r="L21531">
        <v>69701</v>
      </c>
      <c r="M21531" t="s">
        <v>488</v>
      </c>
      <c r="N21531" t="str">
        <f t="shared" si="366"/>
        <v xml:space="preserve">12331024023 </v>
      </c>
      <c r="O21531">
        <v>230816</v>
      </c>
    </row>
    <row r="21532" spans="1:15" x14ac:dyDescent="0.25">
      <c r="A21532" t="s">
        <v>16</v>
      </c>
      <c r="B21532" t="s">
        <v>3221</v>
      </c>
      <c r="C21532">
        <v>10444</v>
      </c>
      <c r="D21532" t="s">
        <v>263</v>
      </c>
      <c r="E21532" t="s">
        <v>264</v>
      </c>
      <c r="F21532">
        <v>2.7</v>
      </c>
      <c r="G21532">
        <v>230804</v>
      </c>
      <c r="H21532">
        <v>4362</v>
      </c>
      <c r="I21532" t="s">
        <v>79</v>
      </c>
      <c r="J21532">
        <v>3.35</v>
      </c>
      <c r="K21532">
        <v>0.65</v>
      </c>
      <c r="L21532">
        <v>69702</v>
      </c>
      <c r="M21532" t="s">
        <v>489</v>
      </c>
      <c r="N21532" t="str">
        <f t="shared" si="366"/>
        <v xml:space="preserve">12331024023 </v>
      </c>
      <c r="O21532">
        <v>230816</v>
      </c>
    </row>
    <row r="21533" spans="1:15" x14ac:dyDescent="0.25">
      <c r="A21533" t="s">
        <v>16</v>
      </c>
      <c r="B21533" t="s">
        <v>3221</v>
      </c>
      <c r="C21533">
        <v>10444</v>
      </c>
      <c r="D21533" t="s">
        <v>263</v>
      </c>
      <c r="E21533" t="s">
        <v>264</v>
      </c>
      <c r="F21533">
        <v>5.25</v>
      </c>
      <c r="G21533">
        <v>230804</v>
      </c>
      <c r="H21533">
        <v>4362</v>
      </c>
      <c r="I21533" t="s">
        <v>79</v>
      </c>
      <c r="J21533">
        <v>6.51</v>
      </c>
      <c r="K21533">
        <v>1.26</v>
      </c>
      <c r="L21533">
        <v>69702</v>
      </c>
      <c r="M21533" t="s">
        <v>489</v>
      </c>
      <c r="N21533" t="str">
        <f t="shared" si="366"/>
        <v xml:space="preserve">12331024023 </v>
      </c>
      <c r="O21533">
        <v>230816</v>
      </c>
    </row>
    <row r="21534" spans="1:15" x14ac:dyDescent="0.25">
      <c r="A21534" t="s">
        <v>16</v>
      </c>
      <c r="B21534" t="s">
        <v>3221</v>
      </c>
      <c r="C21534">
        <v>10444</v>
      </c>
      <c r="D21534" t="s">
        <v>263</v>
      </c>
      <c r="E21534" t="s">
        <v>264</v>
      </c>
      <c r="F21534">
        <v>4.1900000000000004</v>
      </c>
      <c r="G21534">
        <v>230804</v>
      </c>
      <c r="H21534">
        <v>4362</v>
      </c>
      <c r="I21534" t="s">
        <v>79</v>
      </c>
      <c r="J21534">
        <v>5.2</v>
      </c>
      <c r="K21534">
        <v>1.01</v>
      </c>
      <c r="L21534">
        <v>69703</v>
      </c>
      <c r="M21534" t="s">
        <v>1036</v>
      </c>
      <c r="N21534" t="str">
        <f t="shared" si="366"/>
        <v xml:space="preserve">12331024023 </v>
      </c>
      <c r="O21534">
        <v>230816</v>
      </c>
    </row>
    <row r="21535" spans="1:15" x14ac:dyDescent="0.25">
      <c r="A21535" t="s">
        <v>16</v>
      </c>
      <c r="B21535" t="s">
        <v>3221</v>
      </c>
      <c r="C21535">
        <v>10444</v>
      </c>
      <c r="D21535" t="s">
        <v>263</v>
      </c>
      <c r="E21535" t="s">
        <v>264</v>
      </c>
      <c r="F21535">
        <v>5.24</v>
      </c>
      <c r="G21535">
        <v>230804</v>
      </c>
      <c r="H21535">
        <v>4362</v>
      </c>
      <c r="I21535" t="s">
        <v>79</v>
      </c>
      <c r="J21535">
        <v>6.5</v>
      </c>
      <c r="K21535">
        <v>1.26</v>
      </c>
      <c r="L21535">
        <v>69704</v>
      </c>
      <c r="M21535" t="s">
        <v>325</v>
      </c>
      <c r="N21535" t="str">
        <f t="shared" si="366"/>
        <v xml:space="preserve">12331024023 </v>
      </c>
      <c r="O21535">
        <v>230816</v>
      </c>
    </row>
    <row r="21536" spans="1:15" x14ac:dyDescent="0.25">
      <c r="A21536" t="s">
        <v>16</v>
      </c>
      <c r="B21536" t="s">
        <v>3221</v>
      </c>
      <c r="C21536">
        <v>10444</v>
      </c>
      <c r="D21536" t="s">
        <v>263</v>
      </c>
      <c r="E21536" t="s">
        <v>264</v>
      </c>
      <c r="F21536">
        <v>5.4</v>
      </c>
      <c r="G21536">
        <v>230804</v>
      </c>
      <c r="H21536">
        <v>4362</v>
      </c>
      <c r="I21536" t="s">
        <v>79</v>
      </c>
      <c r="J21536">
        <v>6.7</v>
      </c>
      <c r="K21536">
        <v>1.3</v>
      </c>
      <c r="L21536">
        <v>69707</v>
      </c>
      <c r="M21536" t="s">
        <v>490</v>
      </c>
      <c r="N21536" t="str">
        <f t="shared" si="366"/>
        <v xml:space="preserve">12331024023 </v>
      </c>
      <c r="O21536">
        <v>230816</v>
      </c>
    </row>
    <row r="21537" spans="1:15" x14ac:dyDescent="0.25">
      <c r="A21537" t="s">
        <v>16</v>
      </c>
      <c r="B21537" t="s">
        <v>3221</v>
      </c>
      <c r="C21537">
        <v>10444</v>
      </c>
      <c r="D21537" t="s">
        <v>263</v>
      </c>
      <c r="E21537" t="s">
        <v>264</v>
      </c>
      <c r="F21537">
        <v>8.3800000000000008</v>
      </c>
      <c r="G21537">
        <v>230804</v>
      </c>
      <c r="H21537">
        <v>4362</v>
      </c>
      <c r="I21537" t="s">
        <v>79</v>
      </c>
      <c r="J21537">
        <v>10.39</v>
      </c>
      <c r="K21537">
        <v>2.0099999999999998</v>
      </c>
      <c r="L21537">
        <v>69708</v>
      </c>
      <c r="M21537" t="s">
        <v>491</v>
      </c>
      <c r="N21537" t="str">
        <f t="shared" si="366"/>
        <v xml:space="preserve">12331024023 </v>
      </c>
      <c r="O21537">
        <v>230816</v>
      </c>
    </row>
    <row r="21538" spans="1:15" x14ac:dyDescent="0.25">
      <c r="A21538" t="s">
        <v>16</v>
      </c>
      <c r="B21538" t="s">
        <v>3221</v>
      </c>
      <c r="C21538">
        <v>10445</v>
      </c>
      <c r="D21538" t="s">
        <v>263</v>
      </c>
      <c r="E21538" t="s">
        <v>264</v>
      </c>
      <c r="F21538">
        <v>5.05</v>
      </c>
      <c r="G21538">
        <v>230804</v>
      </c>
      <c r="H21538">
        <v>4362</v>
      </c>
      <c r="I21538" t="s">
        <v>79</v>
      </c>
      <c r="J21538">
        <v>6.26</v>
      </c>
      <c r="K21538">
        <v>1.21</v>
      </c>
      <c r="L21538">
        <v>14972</v>
      </c>
      <c r="M21538" t="s">
        <v>898</v>
      </c>
      <c r="N21538" t="str">
        <f t="shared" ref="N21538:N21543" si="367">"12331024019 "</f>
        <v xml:space="preserve">12331024019 </v>
      </c>
      <c r="O21538">
        <v>230816</v>
      </c>
    </row>
    <row r="21539" spans="1:15" x14ac:dyDescent="0.25">
      <c r="A21539" t="s">
        <v>16</v>
      </c>
      <c r="B21539" t="s">
        <v>3221</v>
      </c>
      <c r="C21539">
        <v>10445</v>
      </c>
      <c r="D21539" t="s">
        <v>263</v>
      </c>
      <c r="E21539" t="s">
        <v>264</v>
      </c>
      <c r="F21539">
        <v>5.25</v>
      </c>
      <c r="G21539">
        <v>230804</v>
      </c>
      <c r="H21539">
        <v>4362</v>
      </c>
      <c r="I21539" t="s">
        <v>79</v>
      </c>
      <c r="J21539">
        <v>6.51</v>
      </c>
      <c r="K21539">
        <v>1.26</v>
      </c>
      <c r="L21539">
        <v>17972</v>
      </c>
      <c r="M21539" t="s">
        <v>248</v>
      </c>
      <c r="N21539" t="str">
        <f t="shared" si="367"/>
        <v xml:space="preserve">12331024019 </v>
      </c>
      <c r="O21539">
        <v>230816</v>
      </c>
    </row>
    <row r="21540" spans="1:15" x14ac:dyDescent="0.25">
      <c r="A21540" t="s">
        <v>16</v>
      </c>
      <c r="B21540" t="s">
        <v>3221</v>
      </c>
      <c r="C21540">
        <v>10445</v>
      </c>
      <c r="D21540" t="s">
        <v>263</v>
      </c>
      <c r="E21540" t="s">
        <v>264</v>
      </c>
      <c r="F21540">
        <v>16.03</v>
      </c>
      <c r="G21540">
        <v>230804</v>
      </c>
      <c r="H21540">
        <v>4362</v>
      </c>
      <c r="I21540" t="s">
        <v>79</v>
      </c>
      <c r="J21540">
        <v>19.88</v>
      </c>
      <c r="K21540">
        <v>3.85</v>
      </c>
      <c r="L21540">
        <v>18010</v>
      </c>
      <c r="M21540" t="s">
        <v>1344</v>
      </c>
      <c r="N21540" t="str">
        <f t="shared" si="367"/>
        <v xml:space="preserve">12331024019 </v>
      </c>
      <c r="O21540">
        <v>230816</v>
      </c>
    </row>
    <row r="21541" spans="1:15" x14ac:dyDescent="0.25">
      <c r="A21541" t="s">
        <v>16</v>
      </c>
      <c r="B21541" t="s">
        <v>3221</v>
      </c>
      <c r="C21541">
        <v>10445</v>
      </c>
      <c r="D21541" t="s">
        <v>263</v>
      </c>
      <c r="E21541" t="s">
        <v>264</v>
      </c>
      <c r="F21541">
        <v>28.22</v>
      </c>
      <c r="G21541">
        <v>230804</v>
      </c>
      <c r="H21541">
        <v>4362</v>
      </c>
      <c r="I21541" t="s">
        <v>79</v>
      </c>
      <c r="J21541">
        <v>34.99</v>
      </c>
      <c r="K21541">
        <v>6.77</v>
      </c>
      <c r="L21541">
        <v>18972</v>
      </c>
      <c r="M21541" t="s">
        <v>163</v>
      </c>
      <c r="N21541" t="str">
        <f t="shared" si="367"/>
        <v xml:space="preserve">12331024019 </v>
      </c>
      <c r="O21541">
        <v>230816</v>
      </c>
    </row>
    <row r="21542" spans="1:15" x14ac:dyDescent="0.25">
      <c r="A21542" t="s">
        <v>16</v>
      </c>
      <c r="B21542" t="s">
        <v>3221</v>
      </c>
      <c r="C21542">
        <v>10445</v>
      </c>
      <c r="D21542" t="s">
        <v>263</v>
      </c>
      <c r="E21542" t="s">
        <v>264</v>
      </c>
      <c r="F21542">
        <v>2.7</v>
      </c>
      <c r="G21542">
        <v>230804</v>
      </c>
      <c r="H21542">
        <v>4362</v>
      </c>
      <c r="I21542" t="s">
        <v>79</v>
      </c>
      <c r="J21542">
        <v>3.35</v>
      </c>
      <c r="K21542">
        <v>0.65</v>
      </c>
      <c r="L21542">
        <v>49702</v>
      </c>
      <c r="M21542" t="s">
        <v>584</v>
      </c>
      <c r="N21542" t="str">
        <f t="shared" si="367"/>
        <v xml:space="preserve">12331024019 </v>
      </c>
      <c r="O21542">
        <v>230816</v>
      </c>
    </row>
    <row r="21543" spans="1:15" x14ac:dyDescent="0.25">
      <c r="A21543" t="s">
        <v>16</v>
      </c>
      <c r="B21543" t="s">
        <v>3221</v>
      </c>
      <c r="C21543">
        <v>10445</v>
      </c>
      <c r="D21543" t="s">
        <v>263</v>
      </c>
      <c r="E21543" t="s">
        <v>264</v>
      </c>
      <c r="F21543">
        <v>5.25</v>
      </c>
      <c r="G21543">
        <v>230804</v>
      </c>
      <c r="H21543">
        <v>4362</v>
      </c>
      <c r="I21543" t="s">
        <v>79</v>
      </c>
      <c r="J21543">
        <v>6.51</v>
      </c>
      <c r="K21543">
        <v>1.26</v>
      </c>
      <c r="L21543">
        <v>59702</v>
      </c>
      <c r="M21543" t="s">
        <v>328</v>
      </c>
      <c r="N21543" t="str">
        <f t="shared" si="367"/>
        <v xml:space="preserve">12331024019 </v>
      </c>
      <c r="O21543">
        <v>230816</v>
      </c>
    </row>
    <row r="21544" spans="1:15" x14ac:dyDescent="0.25">
      <c r="A21544" t="s">
        <v>16</v>
      </c>
      <c r="B21544" t="s">
        <v>3221</v>
      </c>
      <c r="C21544">
        <v>10452</v>
      </c>
      <c r="D21544" t="s">
        <v>263</v>
      </c>
      <c r="E21544" t="s">
        <v>264</v>
      </c>
      <c r="F21544">
        <v>2.7</v>
      </c>
      <c r="G21544">
        <v>230804</v>
      </c>
      <c r="H21544">
        <v>4362</v>
      </c>
      <c r="I21544" t="s">
        <v>79</v>
      </c>
      <c r="J21544">
        <v>3.35</v>
      </c>
      <c r="K21544">
        <v>0.65</v>
      </c>
      <c r="L21544">
        <v>54451</v>
      </c>
      <c r="M21544" t="s">
        <v>158</v>
      </c>
      <c r="N21544" t="str">
        <f t="shared" ref="N21544:N21559" si="368">"12331024020 "</f>
        <v xml:space="preserve">12331024020 </v>
      </c>
      <c r="O21544">
        <v>230816</v>
      </c>
    </row>
    <row r="21545" spans="1:15" x14ac:dyDescent="0.25">
      <c r="A21545" t="s">
        <v>16</v>
      </c>
      <c r="B21545" t="s">
        <v>3221</v>
      </c>
      <c r="C21545">
        <v>10452</v>
      </c>
      <c r="D21545" t="s">
        <v>263</v>
      </c>
      <c r="E21545" t="s">
        <v>264</v>
      </c>
      <c r="F21545">
        <v>2.7</v>
      </c>
      <c r="G21545">
        <v>230804</v>
      </c>
      <c r="H21545">
        <v>4362</v>
      </c>
      <c r="I21545" t="s">
        <v>79</v>
      </c>
      <c r="J21545">
        <v>3.35</v>
      </c>
      <c r="K21545">
        <v>0.65</v>
      </c>
      <c r="L21545">
        <v>59111</v>
      </c>
      <c r="M21545" t="s">
        <v>1010</v>
      </c>
      <c r="N21545" t="str">
        <f t="shared" si="368"/>
        <v xml:space="preserve">12331024020 </v>
      </c>
      <c r="O21545">
        <v>230816</v>
      </c>
    </row>
    <row r="21546" spans="1:15" x14ac:dyDescent="0.25">
      <c r="A21546" t="s">
        <v>16</v>
      </c>
      <c r="B21546" t="s">
        <v>3221</v>
      </c>
      <c r="C21546">
        <v>10452</v>
      </c>
      <c r="D21546" t="s">
        <v>263</v>
      </c>
      <c r="E21546" t="s">
        <v>264</v>
      </c>
      <c r="F21546">
        <v>2.7</v>
      </c>
      <c r="G21546">
        <v>230804</v>
      </c>
      <c r="H21546">
        <v>4362</v>
      </c>
      <c r="I21546" t="s">
        <v>79</v>
      </c>
      <c r="J21546">
        <v>3.35</v>
      </c>
      <c r="K21546">
        <v>0.65</v>
      </c>
      <c r="L21546">
        <v>59112</v>
      </c>
      <c r="M21546" t="s">
        <v>182</v>
      </c>
      <c r="N21546" t="str">
        <f t="shared" si="368"/>
        <v xml:space="preserve">12331024020 </v>
      </c>
      <c r="O21546">
        <v>230816</v>
      </c>
    </row>
    <row r="21547" spans="1:15" x14ac:dyDescent="0.25">
      <c r="A21547" t="s">
        <v>16</v>
      </c>
      <c r="B21547" t="s">
        <v>3221</v>
      </c>
      <c r="C21547">
        <v>10452</v>
      </c>
      <c r="D21547" t="s">
        <v>263</v>
      </c>
      <c r="E21547" t="s">
        <v>264</v>
      </c>
      <c r="F21547">
        <v>5.4</v>
      </c>
      <c r="G21547">
        <v>230804</v>
      </c>
      <c r="H21547">
        <v>4362</v>
      </c>
      <c r="I21547" t="s">
        <v>79</v>
      </c>
      <c r="J21547">
        <v>6.7</v>
      </c>
      <c r="K21547">
        <v>1.3</v>
      </c>
      <c r="L21547">
        <v>59113</v>
      </c>
      <c r="M21547" t="s">
        <v>235</v>
      </c>
      <c r="N21547" t="str">
        <f t="shared" si="368"/>
        <v xml:space="preserve">12331024020 </v>
      </c>
      <c r="O21547">
        <v>230816</v>
      </c>
    </row>
    <row r="21548" spans="1:15" x14ac:dyDescent="0.25">
      <c r="A21548" t="s">
        <v>16</v>
      </c>
      <c r="B21548" t="s">
        <v>3221</v>
      </c>
      <c r="C21548">
        <v>10452</v>
      </c>
      <c r="D21548" t="s">
        <v>263</v>
      </c>
      <c r="E21548" t="s">
        <v>264</v>
      </c>
      <c r="F21548">
        <v>8.1</v>
      </c>
      <c r="G21548">
        <v>230804</v>
      </c>
      <c r="H21548">
        <v>4362</v>
      </c>
      <c r="I21548" t="s">
        <v>79</v>
      </c>
      <c r="J21548">
        <v>10.039999999999999</v>
      </c>
      <c r="K21548">
        <v>1.94</v>
      </c>
      <c r="L21548">
        <v>59114</v>
      </c>
      <c r="M21548" t="s">
        <v>556</v>
      </c>
      <c r="N21548" t="str">
        <f t="shared" si="368"/>
        <v xml:space="preserve">12331024020 </v>
      </c>
      <c r="O21548">
        <v>230816</v>
      </c>
    </row>
    <row r="21549" spans="1:15" x14ac:dyDescent="0.25">
      <c r="A21549" t="s">
        <v>16</v>
      </c>
      <c r="B21549" t="s">
        <v>3221</v>
      </c>
      <c r="C21549">
        <v>10452</v>
      </c>
      <c r="D21549" t="s">
        <v>263</v>
      </c>
      <c r="E21549" t="s">
        <v>264</v>
      </c>
      <c r="F21549">
        <v>45.03</v>
      </c>
      <c r="G21549">
        <v>230804</v>
      </c>
      <c r="H21549">
        <v>4362</v>
      </c>
      <c r="I21549" t="s">
        <v>79</v>
      </c>
      <c r="J21549">
        <v>55.84</v>
      </c>
      <c r="K21549">
        <v>10.81</v>
      </c>
      <c r="L21549">
        <v>59501</v>
      </c>
      <c r="M21549" t="s">
        <v>69</v>
      </c>
      <c r="N21549" t="str">
        <f t="shared" si="368"/>
        <v xml:space="preserve">12331024020 </v>
      </c>
      <c r="O21549">
        <v>230816</v>
      </c>
    </row>
    <row r="21550" spans="1:15" x14ac:dyDescent="0.25">
      <c r="A21550" t="s">
        <v>16</v>
      </c>
      <c r="B21550" t="s">
        <v>3221</v>
      </c>
      <c r="C21550">
        <v>10452</v>
      </c>
      <c r="D21550" t="s">
        <v>263</v>
      </c>
      <c r="E21550" t="s">
        <v>264</v>
      </c>
      <c r="F21550">
        <v>31.9</v>
      </c>
      <c r="G21550">
        <v>230804</v>
      </c>
      <c r="H21550">
        <v>4362</v>
      </c>
      <c r="I21550" t="s">
        <v>79</v>
      </c>
      <c r="J21550">
        <v>39.56</v>
      </c>
      <c r="K21550">
        <v>7.66</v>
      </c>
      <c r="L21550">
        <v>59502</v>
      </c>
      <c r="M21550" t="s">
        <v>70</v>
      </c>
      <c r="N21550" t="str">
        <f t="shared" si="368"/>
        <v xml:space="preserve">12331024020 </v>
      </c>
      <c r="O21550">
        <v>230816</v>
      </c>
    </row>
    <row r="21551" spans="1:15" x14ac:dyDescent="0.25">
      <c r="A21551" t="s">
        <v>16</v>
      </c>
      <c r="B21551" t="s">
        <v>3221</v>
      </c>
      <c r="C21551">
        <v>10452</v>
      </c>
      <c r="D21551" t="s">
        <v>263</v>
      </c>
      <c r="E21551" t="s">
        <v>264</v>
      </c>
      <c r="F21551">
        <v>8.7100000000000009</v>
      </c>
      <c r="G21551">
        <v>230804</v>
      </c>
      <c r="H21551">
        <v>4362</v>
      </c>
      <c r="I21551" t="s">
        <v>79</v>
      </c>
      <c r="J21551">
        <v>10.8</v>
      </c>
      <c r="K21551">
        <v>2.09</v>
      </c>
      <c r="L21551">
        <v>59504</v>
      </c>
      <c r="M21551" t="s">
        <v>71</v>
      </c>
      <c r="N21551" t="str">
        <f t="shared" si="368"/>
        <v xml:space="preserve">12331024020 </v>
      </c>
      <c r="O21551">
        <v>230816</v>
      </c>
    </row>
    <row r="21552" spans="1:15" x14ac:dyDescent="0.25">
      <c r="A21552" t="s">
        <v>16</v>
      </c>
      <c r="B21552" t="s">
        <v>3221</v>
      </c>
      <c r="C21552">
        <v>10452</v>
      </c>
      <c r="D21552" t="s">
        <v>263</v>
      </c>
      <c r="E21552" t="s">
        <v>264</v>
      </c>
      <c r="F21552">
        <v>5.4</v>
      </c>
      <c r="G21552">
        <v>230804</v>
      </c>
      <c r="H21552">
        <v>4362</v>
      </c>
      <c r="I21552" t="s">
        <v>79</v>
      </c>
      <c r="J21552">
        <v>6.7</v>
      </c>
      <c r="K21552">
        <v>1.3</v>
      </c>
      <c r="L21552">
        <v>59505</v>
      </c>
      <c r="M21552" t="s">
        <v>72</v>
      </c>
      <c r="N21552" t="str">
        <f t="shared" si="368"/>
        <v xml:space="preserve">12331024020 </v>
      </c>
      <c r="O21552">
        <v>230816</v>
      </c>
    </row>
    <row r="21553" spans="1:15" x14ac:dyDescent="0.25">
      <c r="A21553" t="s">
        <v>16</v>
      </c>
      <c r="B21553" t="s">
        <v>3221</v>
      </c>
      <c r="C21553">
        <v>10452</v>
      </c>
      <c r="D21553" t="s">
        <v>263</v>
      </c>
      <c r="E21553" t="s">
        <v>264</v>
      </c>
      <c r="F21553">
        <v>10.8</v>
      </c>
      <c r="G21553">
        <v>230804</v>
      </c>
      <c r="H21553">
        <v>4362</v>
      </c>
      <c r="I21553" t="s">
        <v>79</v>
      </c>
      <c r="J21553">
        <v>13.39</v>
      </c>
      <c r="K21553">
        <v>2.59</v>
      </c>
      <c r="L21553">
        <v>59701</v>
      </c>
      <c r="M21553" t="s">
        <v>297</v>
      </c>
      <c r="N21553" t="str">
        <f t="shared" si="368"/>
        <v xml:space="preserve">12331024020 </v>
      </c>
      <c r="O21553">
        <v>230816</v>
      </c>
    </row>
    <row r="21554" spans="1:15" x14ac:dyDescent="0.25">
      <c r="A21554" t="s">
        <v>16</v>
      </c>
      <c r="B21554" t="s">
        <v>3221</v>
      </c>
      <c r="C21554">
        <v>10452</v>
      </c>
      <c r="D21554" t="s">
        <v>263</v>
      </c>
      <c r="E21554" t="s">
        <v>264</v>
      </c>
      <c r="F21554">
        <v>2.7</v>
      </c>
      <c r="G21554">
        <v>230804</v>
      </c>
      <c r="H21554">
        <v>4362</v>
      </c>
      <c r="I21554" t="s">
        <v>79</v>
      </c>
      <c r="J21554">
        <v>3.35</v>
      </c>
      <c r="K21554">
        <v>0.65</v>
      </c>
      <c r="L21554">
        <v>59702</v>
      </c>
      <c r="M21554" t="s">
        <v>328</v>
      </c>
      <c r="N21554" t="str">
        <f t="shared" si="368"/>
        <v xml:space="preserve">12331024020 </v>
      </c>
      <c r="O21554">
        <v>230816</v>
      </c>
    </row>
    <row r="21555" spans="1:15" x14ac:dyDescent="0.25">
      <c r="A21555" t="s">
        <v>16</v>
      </c>
      <c r="B21555" t="s">
        <v>3221</v>
      </c>
      <c r="C21555">
        <v>10452</v>
      </c>
      <c r="D21555" t="s">
        <v>263</v>
      </c>
      <c r="E21555" t="s">
        <v>264</v>
      </c>
      <c r="F21555">
        <v>5.25</v>
      </c>
      <c r="G21555">
        <v>230804</v>
      </c>
      <c r="H21555">
        <v>4362</v>
      </c>
      <c r="I21555" t="s">
        <v>79</v>
      </c>
      <c r="J21555">
        <v>6.51</v>
      </c>
      <c r="K21555">
        <v>1.26</v>
      </c>
      <c r="L21555">
        <v>59704</v>
      </c>
      <c r="M21555" t="s">
        <v>1103</v>
      </c>
      <c r="N21555" t="str">
        <f t="shared" si="368"/>
        <v xml:space="preserve">12331024020 </v>
      </c>
      <c r="O21555">
        <v>230816</v>
      </c>
    </row>
    <row r="21556" spans="1:15" x14ac:dyDescent="0.25">
      <c r="A21556" t="s">
        <v>16</v>
      </c>
      <c r="B21556" t="s">
        <v>3221</v>
      </c>
      <c r="C21556">
        <v>10452</v>
      </c>
      <c r="D21556" t="s">
        <v>263</v>
      </c>
      <c r="E21556" t="s">
        <v>264</v>
      </c>
      <c r="F21556">
        <v>9.65</v>
      </c>
      <c r="G21556">
        <v>230804</v>
      </c>
      <c r="H21556">
        <v>4362</v>
      </c>
      <c r="I21556" t="s">
        <v>79</v>
      </c>
      <c r="J21556">
        <v>11.97</v>
      </c>
      <c r="K21556">
        <v>2.3199999999999998</v>
      </c>
      <c r="L21556">
        <v>59705</v>
      </c>
      <c r="M21556" t="s">
        <v>843</v>
      </c>
      <c r="N21556" t="str">
        <f t="shared" si="368"/>
        <v xml:space="preserve">12331024020 </v>
      </c>
      <c r="O21556">
        <v>230816</v>
      </c>
    </row>
    <row r="21557" spans="1:15" x14ac:dyDescent="0.25">
      <c r="A21557" t="s">
        <v>16</v>
      </c>
      <c r="B21557" t="s">
        <v>3221</v>
      </c>
      <c r="C21557">
        <v>10452</v>
      </c>
      <c r="D21557" t="s">
        <v>263</v>
      </c>
      <c r="E21557" t="s">
        <v>264</v>
      </c>
      <c r="F21557">
        <v>15.9</v>
      </c>
      <c r="G21557">
        <v>230804</v>
      </c>
      <c r="H21557">
        <v>4362</v>
      </c>
      <c r="I21557" t="s">
        <v>79</v>
      </c>
      <c r="J21557">
        <v>19.72</v>
      </c>
      <c r="K21557">
        <v>3.82</v>
      </c>
      <c r="L21557">
        <v>59802</v>
      </c>
      <c r="M21557" t="s">
        <v>73</v>
      </c>
      <c r="N21557" t="str">
        <f t="shared" si="368"/>
        <v xml:space="preserve">12331024020 </v>
      </c>
      <c r="O21557">
        <v>230816</v>
      </c>
    </row>
    <row r="21558" spans="1:15" x14ac:dyDescent="0.25">
      <c r="A21558" t="s">
        <v>16</v>
      </c>
      <c r="B21558" t="s">
        <v>3221</v>
      </c>
      <c r="C21558">
        <v>10452</v>
      </c>
      <c r="D21558" t="s">
        <v>263</v>
      </c>
      <c r="E21558" t="s">
        <v>264</v>
      </c>
      <c r="F21558">
        <v>12.55</v>
      </c>
      <c r="G21558">
        <v>230804</v>
      </c>
      <c r="H21558">
        <v>4362</v>
      </c>
      <c r="I21558" t="s">
        <v>79</v>
      </c>
      <c r="J21558">
        <v>15.56</v>
      </c>
      <c r="K21558">
        <v>3.01</v>
      </c>
      <c r="L21558">
        <v>59812</v>
      </c>
      <c r="M21558" t="s">
        <v>74</v>
      </c>
      <c r="N21558" t="str">
        <f t="shared" si="368"/>
        <v xml:space="preserve">12331024020 </v>
      </c>
      <c r="O21558">
        <v>230816</v>
      </c>
    </row>
    <row r="21559" spans="1:15" x14ac:dyDescent="0.25">
      <c r="A21559" t="s">
        <v>16</v>
      </c>
      <c r="B21559" t="s">
        <v>3221</v>
      </c>
      <c r="C21559">
        <v>10452</v>
      </c>
      <c r="D21559" t="s">
        <v>263</v>
      </c>
      <c r="E21559" t="s">
        <v>264</v>
      </c>
      <c r="F21559">
        <v>2.7</v>
      </c>
      <c r="G21559">
        <v>230804</v>
      </c>
      <c r="H21559">
        <v>4362</v>
      </c>
      <c r="I21559" t="s">
        <v>79</v>
      </c>
      <c r="J21559">
        <v>3.35</v>
      </c>
      <c r="K21559">
        <v>0.65</v>
      </c>
      <c r="L21559">
        <v>59815</v>
      </c>
      <c r="M21559" t="s">
        <v>1182</v>
      </c>
      <c r="N21559" t="str">
        <f t="shared" si="368"/>
        <v xml:space="preserve">12331024020 </v>
      </c>
      <c r="O21559">
        <v>230816</v>
      </c>
    </row>
    <row r="21560" spans="1:15" x14ac:dyDescent="0.25">
      <c r="A21560" t="s">
        <v>16</v>
      </c>
      <c r="B21560" t="s">
        <v>3221</v>
      </c>
      <c r="C21560">
        <v>10454</v>
      </c>
      <c r="D21560" t="s">
        <v>263</v>
      </c>
      <c r="E21560" t="s">
        <v>264</v>
      </c>
      <c r="F21560">
        <v>2.41</v>
      </c>
      <c r="G21560">
        <v>230804</v>
      </c>
      <c r="H21560">
        <v>4362</v>
      </c>
      <c r="I21560" t="s">
        <v>79</v>
      </c>
      <c r="J21560">
        <v>2.99</v>
      </c>
      <c r="K21560">
        <v>0.57999999999999996</v>
      </c>
      <c r="L21560">
        <v>53222</v>
      </c>
      <c r="M21560" t="s">
        <v>445</v>
      </c>
      <c r="N21560" t="str">
        <f>"12331024050 "</f>
        <v xml:space="preserve">12331024050 </v>
      </c>
      <c r="O21560">
        <v>230816</v>
      </c>
    </row>
    <row r="21561" spans="1:15" x14ac:dyDescent="0.25">
      <c r="A21561" t="s">
        <v>16</v>
      </c>
      <c r="B21561" t="s">
        <v>3221</v>
      </c>
      <c r="C21561">
        <v>10454</v>
      </c>
      <c r="D21561" t="s">
        <v>263</v>
      </c>
      <c r="E21561" t="s">
        <v>264</v>
      </c>
      <c r="F21561">
        <v>13.64</v>
      </c>
      <c r="G21561">
        <v>230804</v>
      </c>
      <c r="H21561">
        <v>4362</v>
      </c>
      <c r="I21561" t="s">
        <v>79</v>
      </c>
      <c r="J21561">
        <v>16.91</v>
      </c>
      <c r="K21561">
        <v>3.27</v>
      </c>
      <c r="L21561">
        <v>53222</v>
      </c>
      <c r="M21561" t="s">
        <v>445</v>
      </c>
      <c r="N21561" t="str">
        <f>"12331024050 "</f>
        <v xml:space="preserve">12331024050 </v>
      </c>
      <c r="O21561">
        <v>230816</v>
      </c>
    </row>
    <row r="21562" spans="1:15" x14ac:dyDescent="0.25">
      <c r="A21562" t="s">
        <v>16</v>
      </c>
      <c r="B21562" t="s">
        <v>3221</v>
      </c>
      <c r="C21562">
        <v>10454</v>
      </c>
      <c r="D21562" t="s">
        <v>263</v>
      </c>
      <c r="E21562" t="s">
        <v>264</v>
      </c>
      <c r="F21562">
        <v>2.7</v>
      </c>
      <c r="G21562">
        <v>230804</v>
      </c>
      <c r="H21562">
        <v>4362</v>
      </c>
      <c r="I21562" t="s">
        <v>79</v>
      </c>
      <c r="J21562">
        <v>3.35</v>
      </c>
      <c r="K21562">
        <v>0.65</v>
      </c>
      <c r="L21562">
        <v>54622</v>
      </c>
      <c r="M21562" t="s">
        <v>872</v>
      </c>
      <c r="N21562" t="str">
        <f>"12331024050 "</f>
        <v xml:space="preserve">12331024050 </v>
      </c>
      <c r="O21562">
        <v>230816</v>
      </c>
    </row>
    <row r="21563" spans="1:15" x14ac:dyDescent="0.25">
      <c r="A21563" t="s">
        <v>16</v>
      </c>
      <c r="B21563" t="s">
        <v>3221</v>
      </c>
      <c r="C21563">
        <v>10454</v>
      </c>
      <c r="D21563" t="s">
        <v>263</v>
      </c>
      <c r="E21563" t="s">
        <v>264</v>
      </c>
      <c r="F21563">
        <v>2.7</v>
      </c>
      <c r="G21563">
        <v>230804</v>
      </c>
      <c r="H21563">
        <v>4362</v>
      </c>
      <c r="I21563" t="s">
        <v>79</v>
      </c>
      <c r="J21563">
        <v>3.35</v>
      </c>
      <c r="K21563">
        <v>0.65</v>
      </c>
      <c r="L21563">
        <v>55222</v>
      </c>
      <c r="M21563" t="s">
        <v>873</v>
      </c>
      <c r="N21563" t="str">
        <f>"12331024050 "</f>
        <v xml:space="preserve">12331024050 </v>
      </c>
      <c r="O21563">
        <v>230816</v>
      </c>
    </row>
    <row r="21564" spans="1:15" x14ac:dyDescent="0.25">
      <c r="A21564" t="s">
        <v>16</v>
      </c>
      <c r="B21564" t="s">
        <v>3221</v>
      </c>
      <c r="C21564">
        <v>10455</v>
      </c>
      <c r="D21564" t="s">
        <v>263</v>
      </c>
      <c r="E21564" t="s">
        <v>264</v>
      </c>
      <c r="F21564">
        <v>5.75</v>
      </c>
      <c r="G21564">
        <v>230804</v>
      </c>
      <c r="H21564">
        <v>4362</v>
      </c>
      <c r="I21564" t="s">
        <v>79</v>
      </c>
      <c r="J21564">
        <v>5.75</v>
      </c>
      <c r="K21564">
        <v>0</v>
      </c>
      <c r="L21564">
        <v>59702</v>
      </c>
      <c r="M21564" t="s">
        <v>328</v>
      </c>
      <c r="N21564" t="str">
        <f>"12331024022 "</f>
        <v xml:space="preserve">12331024022 </v>
      </c>
      <c r="O21564">
        <v>230816</v>
      </c>
    </row>
    <row r="21565" spans="1:15" x14ac:dyDescent="0.25">
      <c r="A21565" t="s">
        <v>16</v>
      </c>
      <c r="B21565" t="s">
        <v>3221</v>
      </c>
      <c r="C21565">
        <v>10455</v>
      </c>
      <c r="D21565" t="s">
        <v>263</v>
      </c>
      <c r="E21565" t="s">
        <v>264</v>
      </c>
      <c r="F21565">
        <v>15.41</v>
      </c>
      <c r="G21565">
        <v>230804</v>
      </c>
      <c r="H21565">
        <v>4362</v>
      </c>
      <c r="I21565" t="s">
        <v>79</v>
      </c>
      <c r="J21565">
        <v>19.11</v>
      </c>
      <c r="K21565">
        <v>3.7</v>
      </c>
      <c r="L21565">
        <v>59702</v>
      </c>
      <c r="M21565" t="s">
        <v>328</v>
      </c>
      <c r="N21565" t="str">
        <f>"12331024022 "</f>
        <v xml:space="preserve">12331024022 </v>
      </c>
      <c r="O21565">
        <v>230816</v>
      </c>
    </row>
    <row r="21566" spans="1:15" x14ac:dyDescent="0.25">
      <c r="A21566" t="s">
        <v>16</v>
      </c>
      <c r="B21566" t="s">
        <v>3221</v>
      </c>
      <c r="C21566">
        <v>10455</v>
      </c>
      <c r="D21566" t="s">
        <v>263</v>
      </c>
      <c r="E21566" t="s">
        <v>264</v>
      </c>
      <c r="F21566">
        <v>8.3699999999999992</v>
      </c>
      <c r="G21566">
        <v>230804</v>
      </c>
      <c r="H21566">
        <v>4362</v>
      </c>
      <c r="I21566" t="s">
        <v>79</v>
      </c>
      <c r="J21566">
        <v>10.38</v>
      </c>
      <c r="K21566">
        <v>2.0099999999999998</v>
      </c>
      <c r="L21566">
        <v>59704</v>
      </c>
      <c r="M21566" t="s">
        <v>1103</v>
      </c>
      <c r="N21566" t="str">
        <f>"12331024022 "</f>
        <v xml:space="preserve">12331024022 </v>
      </c>
      <c r="O21566">
        <v>230816</v>
      </c>
    </row>
    <row r="21567" spans="1:15" x14ac:dyDescent="0.25">
      <c r="A21567" t="s">
        <v>16</v>
      </c>
      <c r="B21567" t="s">
        <v>3221</v>
      </c>
      <c r="C21567">
        <v>10474</v>
      </c>
      <c r="D21567" t="s">
        <v>263</v>
      </c>
      <c r="E21567" t="s">
        <v>264</v>
      </c>
      <c r="F21567">
        <v>2.7</v>
      </c>
      <c r="G21567">
        <v>230804</v>
      </c>
      <c r="H21567">
        <v>4362</v>
      </c>
      <c r="I21567" t="s">
        <v>79</v>
      </c>
      <c r="J21567">
        <v>3.35</v>
      </c>
      <c r="K21567">
        <v>0.65</v>
      </c>
      <c r="L21567">
        <v>51138</v>
      </c>
      <c r="M21567" t="s">
        <v>1162</v>
      </c>
      <c r="N21567" t="str">
        <f t="shared" ref="N21567:N21574" si="369">"12331024024 "</f>
        <v xml:space="preserve">12331024024 </v>
      </c>
      <c r="O21567">
        <v>230817</v>
      </c>
    </row>
    <row r="21568" spans="1:15" x14ac:dyDescent="0.25">
      <c r="A21568" t="s">
        <v>16</v>
      </c>
      <c r="B21568" t="s">
        <v>3221</v>
      </c>
      <c r="C21568">
        <v>10474</v>
      </c>
      <c r="D21568" t="s">
        <v>263</v>
      </c>
      <c r="E21568" t="s">
        <v>264</v>
      </c>
      <c r="F21568">
        <v>16.2</v>
      </c>
      <c r="G21568">
        <v>230804</v>
      </c>
      <c r="H21568">
        <v>4362</v>
      </c>
      <c r="I21568" t="s">
        <v>79</v>
      </c>
      <c r="J21568">
        <v>20.09</v>
      </c>
      <c r="K21568">
        <v>3.89</v>
      </c>
      <c r="L21568">
        <v>54222</v>
      </c>
      <c r="M21568" t="s">
        <v>308</v>
      </c>
      <c r="N21568" t="str">
        <f t="shared" si="369"/>
        <v xml:space="preserve">12331024024 </v>
      </c>
      <c r="O21568">
        <v>230817</v>
      </c>
    </row>
    <row r="21569" spans="1:15" x14ac:dyDescent="0.25">
      <c r="A21569" t="s">
        <v>16</v>
      </c>
      <c r="B21569" t="s">
        <v>3221</v>
      </c>
      <c r="C21569">
        <v>10474</v>
      </c>
      <c r="D21569" t="s">
        <v>263</v>
      </c>
      <c r="E21569" t="s">
        <v>264</v>
      </c>
      <c r="F21569">
        <v>2.7</v>
      </c>
      <c r="G21569">
        <v>230804</v>
      </c>
      <c r="H21569">
        <v>4362</v>
      </c>
      <c r="I21569" t="s">
        <v>79</v>
      </c>
      <c r="J21569">
        <v>3.35</v>
      </c>
      <c r="K21569">
        <v>0.65</v>
      </c>
      <c r="L21569">
        <v>54251</v>
      </c>
      <c r="M21569" t="s">
        <v>309</v>
      </c>
      <c r="N21569" t="str">
        <f t="shared" si="369"/>
        <v xml:space="preserve">12331024024 </v>
      </c>
      <c r="O21569">
        <v>230817</v>
      </c>
    </row>
    <row r="21570" spans="1:15" x14ac:dyDescent="0.25">
      <c r="A21570" t="s">
        <v>16</v>
      </c>
      <c r="B21570" t="s">
        <v>3221</v>
      </c>
      <c r="C21570">
        <v>10474</v>
      </c>
      <c r="D21570" t="s">
        <v>263</v>
      </c>
      <c r="E21570" t="s">
        <v>264</v>
      </c>
      <c r="F21570">
        <v>2.7</v>
      </c>
      <c r="G21570">
        <v>230804</v>
      </c>
      <c r="H21570">
        <v>4362</v>
      </c>
      <c r="I21570" t="s">
        <v>79</v>
      </c>
      <c r="J21570">
        <v>3.35</v>
      </c>
      <c r="K21570">
        <v>0.65</v>
      </c>
      <c r="L21570">
        <v>54252</v>
      </c>
      <c r="M21570" t="s">
        <v>534</v>
      </c>
      <c r="N21570" t="str">
        <f t="shared" si="369"/>
        <v xml:space="preserve">12331024024 </v>
      </c>
      <c r="O21570">
        <v>230817</v>
      </c>
    </row>
    <row r="21571" spans="1:15" x14ac:dyDescent="0.25">
      <c r="A21571" t="s">
        <v>16</v>
      </c>
      <c r="B21571" t="s">
        <v>3221</v>
      </c>
      <c r="C21571">
        <v>10474</v>
      </c>
      <c r="D21571" t="s">
        <v>263</v>
      </c>
      <c r="E21571" t="s">
        <v>264</v>
      </c>
      <c r="F21571">
        <v>8.1</v>
      </c>
      <c r="G21571">
        <v>230804</v>
      </c>
      <c r="H21571">
        <v>4362</v>
      </c>
      <c r="I21571" t="s">
        <v>79</v>
      </c>
      <c r="J21571">
        <v>10.039999999999999</v>
      </c>
      <c r="K21571">
        <v>1.94</v>
      </c>
      <c r="L21571">
        <v>54422</v>
      </c>
      <c r="M21571" t="s">
        <v>234</v>
      </c>
      <c r="N21571" t="str">
        <f t="shared" si="369"/>
        <v xml:space="preserve">12331024024 </v>
      </c>
      <c r="O21571">
        <v>230817</v>
      </c>
    </row>
    <row r="21572" spans="1:15" x14ac:dyDescent="0.25">
      <c r="A21572" t="s">
        <v>16</v>
      </c>
      <c r="B21572" t="s">
        <v>3221</v>
      </c>
      <c r="C21572">
        <v>10474</v>
      </c>
      <c r="D21572" t="s">
        <v>263</v>
      </c>
      <c r="E21572" t="s">
        <v>264</v>
      </c>
      <c r="F21572">
        <v>5.4</v>
      </c>
      <c r="G21572">
        <v>230804</v>
      </c>
      <c r="H21572">
        <v>4362</v>
      </c>
      <c r="I21572" t="s">
        <v>79</v>
      </c>
      <c r="J21572">
        <v>6.7</v>
      </c>
      <c r="K21572">
        <v>1.3</v>
      </c>
      <c r="L21572">
        <v>54451</v>
      </c>
      <c r="M21572" t="s">
        <v>158</v>
      </c>
      <c r="N21572" t="str">
        <f t="shared" si="369"/>
        <v xml:space="preserve">12331024024 </v>
      </c>
      <c r="O21572">
        <v>230817</v>
      </c>
    </row>
    <row r="21573" spans="1:15" x14ac:dyDescent="0.25">
      <c r="A21573" t="s">
        <v>16</v>
      </c>
      <c r="B21573" t="s">
        <v>3221</v>
      </c>
      <c r="C21573">
        <v>10474</v>
      </c>
      <c r="D21573" t="s">
        <v>263</v>
      </c>
      <c r="E21573" t="s">
        <v>264</v>
      </c>
      <c r="F21573">
        <v>5.4</v>
      </c>
      <c r="G21573">
        <v>230804</v>
      </c>
      <c r="H21573">
        <v>4362</v>
      </c>
      <c r="I21573" t="s">
        <v>79</v>
      </c>
      <c r="J21573">
        <v>6.7</v>
      </c>
      <c r="K21573">
        <v>1.3</v>
      </c>
      <c r="L21573">
        <v>56563</v>
      </c>
      <c r="M21573" t="s">
        <v>953</v>
      </c>
      <c r="N21573" t="str">
        <f t="shared" si="369"/>
        <v xml:space="preserve">12331024024 </v>
      </c>
      <c r="O21573">
        <v>230817</v>
      </c>
    </row>
    <row r="21574" spans="1:15" x14ac:dyDescent="0.25">
      <c r="A21574" t="s">
        <v>16</v>
      </c>
      <c r="B21574" t="s">
        <v>3221</v>
      </c>
      <c r="C21574">
        <v>10474</v>
      </c>
      <c r="D21574" t="s">
        <v>263</v>
      </c>
      <c r="E21574" t="s">
        <v>264</v>
      </c>
      <c r="F21574">
        <v>7.98</v>
      </c>
      <c r="G21574">
        <v>230804</v>
      </c>
      <c r="H21574">
        <v>4362</v>
      </c>
      <c r="I21574" t="s">
        <v>79</v>
      </c>
      <c r="J21574">
        <v>9.9</v>
      </c>
      <c r="K21574">
        <v>1.92</v>
      </c>
      <c r="L21574">
        <v>58601</v>
      </c>
      <c r="M21574" t="s">
        <v>251</v>
      </c>
      <c r="N21574" t="str">
        <f t="shared" si="369"/>
        <v xml:space="preserve">12331024024 </v>
      </c>
      <c r="O21574">
        <v>230817</v>
      </c>
    </row>
    <row r="21575" spans="1:15" x14ac:dyDescent="0.25">
      <c r="A21575" t="s">
        <v>16</v>
      </c>
      <c r="B21575" t="s">
        <v>3221</v>
      </c>
      <c r="C21575">
        <v>10475</v>
      </c>
      <c r="D21575" t="s">
        <v>263</v>
      </c>
      <c r="E21575" t="s">
        <v>264</v>
      </c>
      <c r="F21575">
        <v>2.7</v>
      </c>
      <c r="G21575">
        <v>230804</v>
      </c>
      <c r="H21575">
        <v>4362</v>
      </c>
      <c r="I21575" t="s">
        <v>79</v>
      </c>
      <c r="J21575">
        <v>3.35</v>
      </c>
      <c r="K21575">
        <v>0.65</v>
      </c>
      <c r="L21575">
        <v>51157</v>
      </c>
      <c r="M21575" t="s">
        <v>1216</v>
      </c>
      <c r="N21575" t="str">
        <f t="shared" ref="N21575:N21585" si="370">"12331024026 "</f>
        <v xml:space="preserve">12331024026 </v>
      </c>
      <c r="O21575">
        <v>230817</v>
      </c>
    </row>
    <row r="21576" spans="1:15" x14ac:dyDescent="0.25">
      <c r="A21576" t="s">
        <v>16</v>
      </c>
      <c r="B21576" t="s">
        <v>3221</v>
      </c>
      <c r="C21576">
        <v>10475</v>
      </c>
      <c r="D21576" t="s">
        <v>263</v>
      </c>
      <c r="E21576" t="s">
        <v>264</v>
      </c>
      <c r="F21576">
        <v>2.7</v>
      </c>
      <c r="G21576">
        <v>230804</v>
      </c>
      <c r="H21576">
        <v>4362</v>
      </c>
      <c r="I21576" t="s">
        <v>79</v>
      </c>
      <c r="J21576">
        <v>3.35</v>
      </c>
      <c r="K21576">
        <v>0.65</v>
      </c>
      <c r="L21576">
        <v>56526</v>
      </c>
      <c r="M21576" t="s">
        <v>1217</v>
      </c>
      <c r="N21576" t="str">
        <f t="shared" si="370"/>
        <v xml:space="preserve">12331024026 </v>
      </c>
      <c r="O21576">
        <v>230817</v>
      </c>
    </row>
    <row r="21577" spans="1:15" x14ac:dyDescent="0.25">
      <c r="A21577" t="s">
        <v>16</v>
      </c>
      <c r="B21577" t="s">
        <v>3221</v>
      </c>
      <c r="C21577">
        <v>10475</v>
      </c>
      <c r="D21577" t="s">
        <v>263</v>
      </c>
      <c r="E21577" t="s">
        <v>264</v>
      </c>
      <c r="F21577">
        <v>13.5</v>
      </c>
      <c r="G21577">
        <v>230804</v>
      </c>
      <c r="H21577">
        <v>4362</v>
      </c>
      <c r="I21577" t="s">
        <v>79</v>
      </c>
      <c r="J21577">
        <v>16.739999999999998</v>
      </c>
      <c r="K21577">
        <v>3.24</v>
      </c>
      <c r="L21577">
        <v>56558</v>
      </c>
      <c r="M21577" t="s">
        <v>217</v>
      </c>
      <c r="N21577" t="str">
        <f t="shared" si="370"/>
        <v xml:space="preserve">12331024026 </v>
      </c>
      <c r="O21577">
        <v>230817</v>
      </c>
    </row>
    <row r="21578" spans="1:15" x14ac:dyDescent="0.25">
      <c r="A21578" t="s">
        <v>16</v>
      </c>
      <c r="B21578" t="s">
        <v>3221</v>
      </c>
      <c r="C21578">
        <v>10475</v>
      </c>
      <c r="D21578" t="s">
        <v>263</v>
      </c>
      <c r="E21578" t="s">
        <v>264</v>
      </c>
      <c r="F21578">
        <v>11.06</v>
      </c>
      <c r="G21578">
        <v>230804</v>
      </c>
      <c r="H21578">
        <v>4362</v>
      </c>
      <c r="I21578" t="s">
        <v>79</v>
      </c>
      <c r="J21578">
        <v>13.71</v>
      </c>
      <c r="K21578">
        <v>2.65</v>
      </c>
      <c r="L21578">
        <v>56559</v>
      </c>
      <c r="M21578" t="s">
        <v>129</v>
      </c>
      <c r="N21578" t="str">
        <f t="shared" si="370"/>
        <v xml:space="preserve">12331024026 </v>
      </c>
      <c r="O21578">
        <v>230817</v>
      </c>
    </row>
    <row r="21579" spans="1:15" x14ac:dyDescent="0.25">
      <c r="A21579" t="s">
        <v>16</v>
      </c>
      <c r="B21579" t="s">
        <v>3221</v>
      </c>
      <c r="C21579">
        <v>10475</v>
      </c>
      <c r="D21579" t="s">
        <v>263</v>
      </c>
      <c r="E21579" t="s">
        <v>264</v>
      </c>
      <c r="F21579">
        <v>8.1</v>
      </c>
      <c r="G21579">
        <v>230804</v>
      </c>
      <c r="H21579">
        <v>4362</v>
      </c>
      <c r="I21579" t="s">
        <v>79</v>
      </c>
      <c r="J21579">
        <v>10.039999999999999</v>
      </c>
      <c r="K21579">
        <v>1.94</v>
      </c>
      <c r="L21579">
        <v>56560</v>
      </c>
      <c r="M21579" t="s">
        <v>654</v>
      </c>
      <c r="N21579" t="str">
        <f t="shared" si="370"/>
        <v xml:space="preserve">12331024026 </v>
      </c>
      <c r="O21579">
        <v>230817</v>
      </c>
    </row>
    <row r="21580" spans="1:15" x14ac:dyDescent="0.25">
      <c r="A21580" t="s">
        <v>16</v>
      </c>
      <c r="B21580" t="s">
        <v>3221</v>
      </c>
      <c r="C21580">
        <v>10475</v>
      </c>
      <c r="D21580" t="s">
        <v>263</v>
      </c>
      <c r="E21580" t="s">
        <v>264</v>
      </c>
      <c r="F21580">
        <v>2.7</v>
      </c>
      <c r="G21580">
        <v>230804</v>
      </c>
      <c r="H21580">
        <v>4362</v>
      </c>
      <c r="I21580" t="s">
        <v>79</v>
      </c>
      <c r="J21580">
        <v>3.35</v>
      </c>
      <c r="K21580">
        <v>0.65</v>
      </c>
      <c r="L21580">
        <v>56561</v>
      </c>
      <c r="M21580" t="s">
        <v>358</v>
      </c>
      <c r="N21580" t="str">
        <f t="shared" si="370"/>
        <v xml:space="preserve">12331024026 </v>
      </c>
      <c r="O21580">
        <v>230817</v>
      </c>
    </row>
    <row r="21581" spans="1:15" x14ac:dyDescent="0.25">
      <c r="A21581" t="s">
        <v>16</v>
      </c>
      <c r="B21581" t="s">
        <v>3221</v>
      </c>
      <c r="C21581">
        <v>10475</v>
      </c>
      <c r="D21581" t="s">
        <v>263</v>
      </c>
      <c r="E21581" t="s">
        <v>264</v>
      </c>
      <c r="F21581">
        <v>5.4</v>
      </c>
      <c r="G21581">
        <v>230804</v>
      </c>
      <c r="H21581">
        <v>4362</v>
      </c>
      <c r="I21581" t="s">
        <v>79</v>
      </c>
      <c r="J21581">
        <v>6.7</v>
      </c>
      <c r="K21581">
        <v>1.3</v>
      </c>
      <c r="L21581">
        <v>56562</v>
      </c>
      <c r="M21581" t="s">
        <v>126</v>
      </c>
      <c r="N21581" t="str">
        <f t="shared" si="370"/>
        <v xml:space="preserve">12331024026 </v>
      </c>
      <c r="O21581">
        <v>230817</v>
      </c>
    </row>
    <row r="21582" spans="1:15" x14ac:dyDescent="0.25">
      <c r="A21582" t="s">
        <v>16</v>
      </c>
      <c r="B21582" t="s">
        <v>3221</v>
      </c>
      <c r="C21582">
        <v>10475</v>
      </c>
      <c r="D21582" t="s">
        <v>263</v>
      </c>
      <c r="E21582" t="s">
        <v>264</v>
      </c>
      <c r="F21582">
        <v>10.02</v>
      </c>
      <c r="G21582">
        <v>230804</v>
      </c>
      <c r="H21582">
        <v>4362</v>
      </c>
      <c r="I21582" t="s">
        <v>79</v>
      </c>
      <c r="J21582">
        <v>12.42</v>
      </c>
      <c r="K21582">
        <v>2.4</v>
      </c>
      <c r="L21582">
        <v>56564</v>
      </c>
      <c r="M21582" t="s">
        <v>327</v>
      </c>
      <c r="N21582" t="str">
        <f t="shared" si="370"/>
        <v xml:space="preserve">12331024026 </v>
      </c>
      <c r="O21582">
        <v>230817</v>
      </c>
    </row>
    <row r="21583" spans="1:15" x14ac:dyDescent="0.25">
      <c r="A21583" t="s">
        <v>16</v>
      </c>
      <c r="B21583" t="s">
        <v>3221</v>
      </c>
      <c r="C21583">
        <v>10475</v>
      </c>
      <c r="D21583" t="s">
        <v>263</v>
      </c>
      <c r="E21583" t="s">
        <v>264</v>
      </c>
      <c r="F21583">
        <v>3.06</v>
      </c>
      <c r="G21583">
        <v>230804</v>
      </c>
      <c r="H21583">
        <v>4362</v>
      </c>
      <c r="I21583" t="s">
        <v>79</v>
      </c>
      <c r="J21583">
        <v>3.79</v>
      </c>
      <c r="K21583">
        <v>0.73</v>
      </c>
      <c r="L21583">
        <v>56565</v>
      </c>
      <c r="M21583" t="s">
        <v>758</v>
      </c>
      <c r="N21583" t="str">
        <f t="shared" si="370"/>
        <v xml:space="preserve">12331024026 </v>
      </c>
      <c r="O21583">
        <v>230817</v>
      </c>
    </row>
    <row r="21584" spans="1:15" x14ac:dyDescent="0.25">
      <c r="A21584" t="s">
        <v>16</v>
      </c>
      <c r="B21584" t="s">
        <v>3221</v>
      </c>
      <c r="C21584">
        <v>10475</v>
      </c>
      <c r="D21584" t="s">
        <v>263</v>
      </c>
      <c r="E21584" t="s">
        <v>264</v>
      </c>
      <c r="F21584">
        <v>5.4</v>
      </c>
      <c r="G21584">
        <v>230804</v>
      </c>
      <c r="H21584">
        <v>4362</v>
      </c>
      <c r="I21584" t="s">
        <v>79</v>
      </c>
      <c r="J21584">
        <v>6.7</v>
      </c>
      <c r="K21584">
        <v>1.3</v>
      </c>
      <c r="L21584">
        <v>56566</v>
      </c>
      <c r="M21584" t="s">
        <v>652</v>
      </c>
      <c r="N21584" t="str">
        <f t="shared" si="370"/>
        <v xml:space="preserve">12331024026 </v>
      </c>
      <c r="O21584">
        <v>230817</v>
      </c>
    </row>
    <row r="21585" spans="1:15" x14ac:dyDescent="0.25">
      <c r="A21585" t="s">
        <v>16</v>
      </c>
      <c r="B21585" t="s">
        <v>3221</v>
      </c>
      <c r="C21585">
        <v>10475</v>
      </c>
      <c r="D21585" t="s">
        <v>263</v>
      </c>
      <c r="E21585" t="s">
        <v>264</v>
      </c>
      <c r="F21585">
        <v>2.7</v>
      </c>
      <c r="G21585">
        <v>230804</v>
      </c>
      <c r="H21585">
        <v>4362</v>
      </c>
      <c r="I21585" t="s">
        <v>79</v>
      </c>
      <c r="J21585">
        <v>3.35</v>
      </c>
      <c r="K21585">
        <v>0.65</v>
      </c>
      <c r="L21585">
        <v>56568</v>
      </c>
      <c r="M21585" t="s">
        <v>268</v>
      </c>
      <c r="N21585" t="str">
        <f t="shared" si="370"/>
        <v xml:space="preserve">12331024026 </v>
      </c>
      <c r="O21585">
        <v>230817</v>
      </c>
    </row>
    <row r="21586" spans="1:15" x14ac:dyDescent="0.25">
      <c r="A21586" t="s">
        <v>16</v>
      </c>
      <c r="B21586" t="s">
        <v>3221</v>
      </c>
      <c r="C21586">
        <v>10477</v>
      </c>
      <c r="D21586" t="s">
        <v>263</v>
      </c>
      <c r="E21586" t="s">
        <v>264</v>
      </c>
      <c r="F21586">
        <v>2.7</v>
      </c>
      <c r="G21586">
        <v>230804</v>
      </c>
      <c r="H21586">
        <v>4362</v>
      </c>
      <c r="I21586" t="s">
        <v>79</v>
      </c>
      <c r="J21586">
        <v>3.35</v>
      </c>
      <c r="K21586">
        <v>0.65</v>
      </c>
      <c r="L21586">
        <v>56522</v>
      </c>
      <c r="M21586" t="s">
        <v>43</v>
      </c>
      <c r="N21586" t="str">
        <f>"12331024021 "</f>
        <v xml:space="preserve">12331024021 </v>
      </c>
      <c r="O21586">
        <v>230817</v>
      </c>
    </row>
    <row r="21587" spans="1:15" x14ac:dyDescent="0.25">
      <c r="A21587" t="s">
        <v>16</v>
      </c>
      <c r="B21587" t="s">
        <v>3221</v>
      </c>
      <c r="C21587">
        <v>10477</v>
      </c>
      <c r="D21587" t="s">
        <v>263</v>
      </c>
      <c r="E21587" t="s">
        <v>264</v>
      </c>
      <c r="F21587">
        <v>10.5</v>
      </c>
      <c r="G21587">
        <v>230804</v>
      </c>
      <c r="H21587">
        <v>4362</v>
      </c>
      <c r="I21587" t="s">
        <v>79</v>
      </c>
      <c r="J21587">
        <v>13.02</v>
      </c>
      <c r="K21587">
        <v>2.52</v>
      </c>
      <c r="L21587">
        <v>56524</v>
      </c>
      <c r="M21587" t="s">
        <v>150</v>
      </c>
      <c r="N21587" t="str">
        <f>"12331024021 "</f>
        <v xml:space="preserve">12331024021 </v>
      </c>
      <c r="O21587">
        <v>230817</v>
      </c>
    </row>
    <row r="21588" spans="1:15" x14ac:dyDescent="0.25">
      <c r="A21588" t="s">
        <v>16</v>
      </c>
      <c r="B21588" t="s">
        <v>3221</v>
      </c>
      <c r="C21588">
        <v>10477</v>
      </c>
      <c r="D21588" t="s">
        <v>263</v>
      </c>
      <c r="E21588" t="s">
        <v>264</v>
      </c>
      <c r="F21588">
        <v>8.1</v>
      </c>
      <c r="G21588">
        <v>230804</v>
      </c>
      <c r="H21588">
        <v>4362</v>
      </c>
      <c r="I21588" t="s">
        <v>79</v>
      </c>
      <c r="J21588">
        <v>10.039999999999999</v>
      </c>
      <c r="K21588">
        <v>1.94</v>
      </c>
      <c r="L21588">
        <v>56528</v>
      </c>
      <c r="M21588" t="s">
        <v>153</v>
      </c>
      <c r="N21588" t="str">
        <f>"12331024021 "</f>
        <v xml:space="preserve">12331024021 </v>
      </c>
      <c r="O21588">
        <v>230817</v>
      </c>
    </row>
    <row r="21589" spans="1:15" x14ac:dyDescent="0.25">
      <c r="A21589" t="s">
        <v>16</v>
      </c>
      <c r="B21589" t="s">
        <v>3221</v>
      </c>
      <c r="C21589">
        <v>10539</v>
      </c>
      <c r="D21589" t="s">
        <v>263</v>
      </c>
      <c r="E21589" t="s">
        <v>264</v>
      </c>
      <c r="F21589">
        <v>39.520000000000003</v>
      </c>
      <c r="G21589">
        <v>230815</v>
      </c>
      <c r="H21589">
        <v>4362</v>
      </c>
      <c r="I21589" t="s">
        <v>79</v>
      </c>
      <c r="J21589">
        <v>49</v>
      </c>
      <c r="K21589">
        <v>9.48</v>
      </c>
      <c r="L21589">
        <v>11801</v>
      </c>
      <c r="M21589" t="s">
        <v>92</v>
      </c>
      <c r="N21589" t="str">
        <f>"104601152   "</f>
        <v xml:space="preserve">104601152   </v>
      </c>
      <c r="O21589">
        <v>230818</v>
      </c>
    </row>
    <row r="21590" spans="1:15" x14ac:dyDescent="0.25">
      <c r="A21590" t="s">
        <v>16</v>
      </c>
      <c r="B21590" t="s">
        <v>3221</v>
      </c>
      <c r="C21590">
        <v>10539</v>
      </c>
      <c r="D21590" t="s">
        <v>263</v>
      </c>
      <c r="E21590" t="s">
        <v>264</v>
      </c>
      <c r="F21590">
        <v>96.39</v>
      </c>
      <c r="G21590">
        <v>230815</v>
      </c>
      <c r="H21590">
        <v>4362</v>
      </c>
      <c r="I21590" t="s">
        <v>79</v>
      </c>
      <c r="J21590">
        <v>119.52</v>
      </c>
      <c r="K21590">
        <v>23.13</v>
      </c>
      <c r="L21590">
        <v>18972</v>
      </c>
      <c r="M21590" t="s">
        <v>163</v>
      </c>
      <c r="N21590" t="str">
        <f>"104601152   "</f>
        <v xml:space="preserve">104601152   </v>
      </c>
      <c r="O21590">
        <v>230818</v>
      </c>
    </row>
    <row r="21591" spans="1:15" x14ac:dyDescent="0.25">
      <c r="A21591" t="s">
        <v>16</v>
      </c>
      <c r="B21591" t="s">
        <v>3221</v>
      </c>
      <c r="C21591">
        <v>10770</v>
      </c>
      <c r="D21591" t="s">
        <v>263</v>
      </c>
      <c r="E21591" t="s">
        <v>264</v>
      </c>
      <c r="F21591">
        <v>2.5499999999999998</v>
      </c>
      <c r="G21591">
        <v>230804</v>
      </c>
      <c r="H21591">
        <v>4362</v>
      </c>
      <c r="I21591" t="s">
        <v>79</v>
      </c>
      <c r="J21591">
        <v>3.16</v>
      </c>
      <c r="K21591">
        <v>0.61</v>
      </c>
      <c r="L21591">
        <v>11001</v>
      </c>
      <c r="M21591" t="s">
        <v>326</v>
      </c>
      <c r="N21591" t="str">
        <f t="shared" ref="N21591:N21598" si="371">"12331024017 "</f>
        <v xml:space="preserve">12331024017 </v>
      </c>
      <c r="O21591">
        <v>230822</v>
      </c>
    </row>
    <row r="21592" spans="1:15" x14ac:dyDescent="0.25">
      <c r="A21592" t="s">
        <v>16</v>
      </c>
      <c r="B21592" t="s">
        <v>3221</v>
      </c>
      <c r="C21592">
        <v>10770</v>
      </c>
      <c r="D21592" t="s">
        <v>263</v>
      </c>
      <c r="E21592" t="s">
        <v>264</v>
      </c>
      <c r="F21592">
        <v>5.25</v>
      </c>
      <c r="G21592">
        <v>230804</v>
      </c>
      <c r="H21592">
        <v>4362</v>
      </c>
      <c r="I21592" t="s">
        <v>79</v>
      </c>
      <c r="J21592">
        <v>6.51</v>
      </c>
      <c r="K21592">
        <v>1.26</v>
      </c>
      <c r="L21592">
        <v>11001</v>
      </c>
      <c r="M21592" t="s">
        <v>326</v>
      </c>
      <c r="N21592" t="str">
        <f t="shared" si="371"/>
        <v xml:space="preserve">12331024017 </v>
      </c>
      <c r="O21592">
        <v>230822</v>
      </c>
    </row>
    <row r="21593" spans="1:15" x14ac:dyDescent="0.25">
      <c r="A21593" t="s">
        <v>16</v>
      </c>
      <c r="B21593" t="s">
        <v>3221</v>
      </c>
      <c r="C21593">
        <v>10770</v>
      </c>
      <c r="D21593" t="s">
        <v>263</v>
      </c>
      <c r="E21593" t="s">
        <v>264</v>
      </c>
      <c r="F21593">
        <v>8.73</v>
      </c>
      <c r="G21593">
        <v>230804</v>
      </c>
      <c r="H21593">
        <v>4362</v>
      </c>
      <c r="I21593" t="s">
        <v>79</v>
      </c>
      <c r="J21593">
        <v>8.73</v>
      </c>
      <c r="K21593">
        <v>0</v>
      </c>
      <c r="L21593">
        <v>11001</v>
      </c>
      <c r="M21593" t="s">
        <v>326</v>
      </c>
      <c r="N21593" t="str">
        <f t="shared" si="371"/>
        <v xml:space="preserve">12331024017 </v>
      </c>
      <c r="O21593">
        <v>230822</v>
      </c>
    </row>
    <row r="21594" spans="1:15" x14ac:dyDescent="0.25">
      <c r="A21594" t="s">
        <v>16</v>
      </c>
      <c r="B21594" t="s">
        <v>3221</v>
      </c>
      <c r="C21594">
        <v>10770</v>
      </c>
      <c r="D21594" t="s">
        <v>263</v>
      </c>
      <c r="E21594" t="s">
        <v>264</v>
      </c>
      <c r="F21594">
        <v>8.1</v>
      </c>
      <c r="G21594">
        <v>230804</v>
      </c>
      <c r="H21594">
        <v>4362</v>
      </c>
      <c r="I21594" t="s">
        <v>79</v>
      </c>
      <c r="J21594">
        <v>10.039999999999999</v>
      </c>
      <c r="K21594">
        <v>1.94</v>
      </c>
      <c r="L21594">
        <v>11301</v>
      </c>
      <c r="M21594" t="s">
        <v>29</v>
      </c>
      <c r="N21594" t="str">
        <f t="shared" si="371"/>
        <v xml:space="preserve">12331024017 </v>
      </c>
      <c r="O21594">
        <v>230822</v>
      </c>
    </row>
    <row r="21595" spans="1:15" x14ac:dyDescent="0.25">
      <c r="A21595" t="s">
        <v>16</v>
      </c>
      <c r="B21595" t="s">
        <v>3221</v>
      </c>
      <c r="C21595">
        <v>10770</v>
      </c>
      <c r="D21595" t="s">
        <v>263</v>
      </c>
      <c r="E21595" t="s">
        <v>264</v>
      </c>
      <c r="F21595">
        <v>4.58</v>
      </c>
      <c r="G21595">
        <v>230804</v>
      </c>
      <c r="H21595">
        <v>4362</v>
      </c>
      <c r="I21595" t="s">
        <v>79</v>
      </c>
      <c r="J21595">
        <v>4.58</v>
      </c>
      <c r="K21595">
        <v>0</v>
      </c>
      <c r="L21595">
        <v>11401</v>
      </c>
      <c r="M21595" t="s">
        <v>84</v>
      </c>
      <c r="N21595" t="str">
        <f t="shared" si="371"/>
        <v xml:space="preserve">12331024017 </v>
      </c>
      <c r="O21595">
        <v>230822</v>
      </c>
    </row>
    <row r="21596" spans="1:15" x14ac:dyDescent="0.25">
      <c r="A21596" t="s">
        <v>16</v>
      </c>
      <c r="B21596" t="s">
        <v>3221</v>
      </c>
      <c r="C21596">
        <v>10770</v>
      </c>
      <c r="D21596" t="s">
        <v>263</v>
      </c>
      <c r="E21596" t="s">
        <v>264</v>
      </c>
      <c r="F21596">
        <v>6.14</v>
      </c>
      <c r="G21596">
        <v>230804</v>
      </c>
      <c r="H21596">
        <v>4362</v>
      </c>
      <c r="I21596" t="s">
        <v>79</v>
      </c>
      <c r="J21596">
        <v>7.61</v>
      </c>
      <c r="K21596">
        <v>1.47</v>
      </c>
      <c r="L21596">
        <v>11401</v>
      </c>
      <c r="M21596" t="s">
        <v>84</v>
      </c>
      <c r="N21596" t="str">
        <f t="shared" si="371"/>
        <v xml:space="preserve">12331024017 </v>
      </c>
      <c r="O21596">
        <v>230822</v>
      </c>
    </row>
    <row r="21597" spans="1:15" x14ac:dyDescent="0.25">
      <c r="A21597" t="s">
        <v>16</v>
      </c>
      <c r="B21597" t="s">
        <v>3221</v>
      </c>
      <c r="C21597">
        <v>10770</v>
      </c>
      <c r="D21597" t="s">
        <v>263</v>
      </c>
      <c r="E21597" t="s">
        <v>264</v>
      </c>
      <c r="F21597">
        <v>8.73</v>
      </c>
      <c r="G21597">
        <v>230804</v>
      </c>
      <c r="H21597">
        <v>4362</v>
      </c>
      <c r="I21597" t="s">
        <v>79</v>
      </c>
      <c r="J21597">
        <v>8.73</v>
      </c>
      <c r="K21597">
        <v>0</v>
      </c>
      <c r="L21597">
        <v>17807</v>
      </c>
      <c r="M21597" t="s">
        <v>318</v>
      </c>
      <c r="N21597" t="str">
        <f t="shared" si="371"/>
        <v xml:space="preserve">12331024017 </v>
      </c>
      <c r="O21597">
        <v>230822</v>
      </c>
    </row>
    <row r="21598" spans="1:15" x14ac:dyDescent="0.25">
      <c r="A21598" t="s">
        <v>16</v>
      </c>
      <c r="B21598" t="s">
        <v>3221</v>
      </c>
      <c r="C21598">
        <v>10770</v>
      </c>
      <c r="D21598" t="s">
        <v>263</v>
      </c>
      <c r="E21598" t="s">
        <v>264</v>
      </c>
      <c r="F21598">
        <v>20.66</v>
      </c>
      <c r="G21598">
        <v>230804</v>
      </c>
      <c r="H21598">
        <v>4362</v>
      </c>
      <c r="I21598" t="s">
        <v>79</v>
      </c>
      <c r="J21598">
        <v>25.62</v>
      </c>
      <c r="K21598">
        <v>4.96</v>
      </c>
      <c r="L21598">
        <v>18972</v>
      </c>
      <c r="M21598" t="s">
        <v>163</v>
      </c>
      <c r="N21598" t="str">
        <f t="shared" si="371"/>
        <v xml:space="preserve">12331024017 </v>
      </c>
      <c r="O21598">
        <v>230822</v>
      </c>
    </row>
    <row r="21599" spans="1:15" x14ac:dyDescent="0.25">
      <c r="A21599" t="s">
        <v>16</v>
      </c>
      <c r="B21599" t="s">
        <v>3221</v>
      </c>
      <c r="C21599">
        <v>11584</v>
      </c>
      <c r="D21599" t="s">
        <v>263</v>
      </c>
      <c r="E21599" t="s">
        <v>264</v>
      </c>
      <c r="F21599">
        <v>45.9</v>
      </c>
      <c r="G21599">
        <v>230904</v>
      </c>
      <c r="H21599">
        <v>4362</v>
      </c>
      <c r="I21599" t="s">
        <v>79</v>
      </c>
      <c r="J21599">
        <v>56.92</v>
      </c>
      <c r="K21599">
        <v>11.02</v>
      </c>
      <c r="L21599">
        <v>10002</v>
      </c>
      <c r="M21599" t="s">
        <v>1066</v>
      </c>
      <c r="N21599" t="str">
        <f>"12336023927 "</f>
        <v xml:space="preserve">12336023927 </v>
      </c>
      <c r="O21599">
        <v>230907</v>
      </c>
    </row>
    <row r="21600" spans="1:15" x14ac:dyDescent="0.25">
      <c r="A21600" t="s">
        <v>16</v>
      </c>
      <c r="B21600" t="s">
        <v>3221</v>
      </c>
      <c r="C21600">
        <v>11585</v>
      </c>
      <c r="D21600" t="s">
        <v>263</v>
      </c>
      <c r="E21600" t="s">
        <v>264</v>
      </c>
      <c r="F21600">
        <v>3.23</v>
      </c>
      <c r="G21600">
        <v>230904</v>
      </c>
      <c r="H21600">
        <v>4362</v>
      </c>
      <c r="I21600" t="s">
        <v>79</v>
      </c>
      <c r="J21600">
        <v>4.01</v>
      </c>
      <c r="K21600">
        <v>0.78</v>
      </c>
      <c r="L21600">
        <v>11903</v>
      </c>
      <c r="M21600" t="s">
        <v>406</v>
      </c>
      <c r="N21600" t="str">
        <f>"12336023915 "</f>
        <v xml:space="preserve">12336023915 </v>
      </c>
      <c r="O21600">
        <v>230907</v>
      </c>
    </row>
    <row r="21601" spans="1:15" x14ac:dyDescent="0.25">
      <c r="A21601" t="s">
        <v>16</v>
      </c>
      <c r="B21601" t="s">
        <v>3221</v>
      </c>
      <c r="C21601">
        <v>11585</v>
      </c>
      <c r="D21601" t="s">
        <v>263</v>
      </c>
      <c r="E21601" t="s">
        <v>264</v>
      </c>
      <c r="F21601">
        <v>2.7</v>
      </c>
      <c r="G21601">
        <v>230904</v>
      </c>
      <c r="H21601">
        <v>4362</v>
      </c>
      <c r="I21601" t="s">
        <v>79</v>
      </c>
      <c r="J21601">
        <v>3.35</v>
      </c>
      <c r="K21601">
        <v>0.65</v>
      </c>
      <c r="L21601">
        <v>11905</v>
      </c>
      <c r="M21601" t="s">
        <v>39</v>
      </c>
      <c r="N21601" t="str">
        <f>"12336023915 "</f>
        <v xml:space="preserve">12336023915 </v>
      </c>
      <c r="O21601">
        <v>230907</v>
      </c>
    </row>
    <row r="21602" spans="1:15" x14ac:dyDescent="0.25">
      <c r="A21602" t="s">
        <v>16</v>
      </c>
      <c r="B21602" t="s">
        <v>3221</v>
      </c>
      <c r="C21602">
        <v>11585</v>
      </c>
      <c r="D21602" t="s">
        <v>263</v>
      </c>
      <c r="E21602" t="s">
        <v>264</v>
      </c>
      <c r="F21602">
        <v>2.7</v>
      </c>
      <c r="G21602">
        <v>230904</v>
      </c>
      <c r="H21602">
        <v>4362</v>
      </c>
      <c r="I21602" t="s">
        <v>79</v>
      </c>
      <c r="J21602">
        <v>3.35</v>
      </c>
      <c r="K21602">
        <v>0.65</v>
      </c>
      <c r="L21602">
        <v>11905</v>
      </c>
      <c r="M21602" t="s">
        <v>39</v>
      </c>
      <c r="N21602" t="str">
        <f>"12336023915 "</f>
        <v xml:space="preserve">12336023915 </v>
      </c>
      <c r="O21602">
        <v>230907</v>
      </c>
    </row>
    <row r="21603" spans="1:15" x14ac:dyDescent="0.25">
      <c r="A21603" t="s">
        <v>16</v>
      </c>
      <c r="B21603" t="s">
        <v>3221</v>
      </c>
      <c r="C21603">
        <v>11585</v>
      </c>
      <c r="D21603" t="s">
        <v>263</v>
      </c>
      <c r="E21603" t="s">
        <v>264</v>
      </c>
      <c r="F21603">
        <v>2.7</v>
      </c>
      <c r="G21603">
        <v>230904</v>
      </c>
      <c r="H21603">
        <v>4362</v>
      </c>
      <c r="I21603" t="s">
        <v>79</v>
      </c>
      <c r="J21603">
        <v>3.35</v>
      </c>
      <c r="K21603">
        <v>0.65</v>
      </c>
      <c r="L21603">
        <v>11905</v>
      </c>
      <c r="M21603" t="s">
        <v>39</v>
      </c>
      <c r="N21603" t="str">
        <f>"12336023915 "</f>
        <v xml:space="preserve">12336023915 </v>
      </c>
      <c r="O21603">
        <v>230907</v>
      </c>
    </row>
    <row r="21604" spans="1:15" x14ac:dyDescent="0.25">
      <c r="A21604" t="s">
        <v>16</v>
      </c>
      <c r="B21604" t="s">
        <v>3221</v>
      </c>
      <c r="C21604">
        <v>11586</v>
      </c>
      <c r="D21604" t="s">
        <v>263</v>
      </c>
      <c r="E21604" t="s">
        <v>264</v>
      </c>
      <c r="F21604">
        <v>23.56</v>
      </c>
      <c r="G21604">
        <v>230904</v>
      </c>
      <c r="H21604">
        <v>4362</v>
      </c>
      <c r="I21604" t="s">
        <v>79</v>
      </c>
      <c r="J21604">
        <v>29.22</v>
      </c>
      <c r="K21604">
        <v>5.66</v>
      </c>
      <c r="L21604">
        <v>16121</v>
      </c>
      <c r="M21604" t="s">
        <v>21</v>
      </c>
      <c r="N21604" t="str">
        <f t="shared" ref="N21604:N21613" si="372">"12336023911 "</f>
        <v xml:space="preserve">12336023911 </v>
      </c>
      <c r="O21604">
        <v>230907</v>
      </c>
    </row>
    <row r="21605" spans="1:15" x14ac:dyDescent="0.25">
      <c r="A21605" t="s">
        <v>16</v>
      </c>
      <c r="B21605" t="s">
        <v>3221</v>
      </c>
      <c r="C21605">
        <v>11586</v>
      </c>
      <c r="D21605" t="s">
        <v>263</v>
      </c>
      <c r="E21605" t="s">
        <v>264</v>
      </c>
      <c r="F21605">
        <v>5.4</v>
      </c>
      <c r="G21605">
        <v>230904</v>
      </c>
      <c r="H21605">
        <v>4362</v>
      </c>
      <c r="I21605" t="s">
        <v>79</v>
      </c>
      <c r="J21605">
        <v>6.7</v>
      </c>
      <c r="K21605">
        <v>1.3</v>
      </c>
      <c r="L21605">
        <v>16322</v>
      </c>
      <c r="M21605" t="s">
        <v>22</v>
      </c>
      <c r="N21605" t="str">
        <f t="shared" si="372"/>
        <v xml:space="preserve">12336023911 </v>
      </c>
      <c r="O21605">
        <v>230907</v>
      </c>
    </row>
    <row r="21606" spans="1:15" x14ac:dyDescent="0.25">
      <c r="A21606" t="s">
        <v>16</v>
      </c>
      <c r="B21606" t="s">
        <v>3221</v>
      </c>
      <c r="C21606">
        <v>11586</v>
      </c>
      <c r="D21606" t="s">
        <v>263</v>
      </c>
      <c r="E21606" t="s">
        <v>264</v>
      </c>
      <c r="F21606">
        <v>2.69</v>
      </c>
      <c r="G21606">
        <v>230904</v>
      </c>
      <c r="H21606">
        <v>4362</v>
      </c>
      <c r="I21606" t="s">
        <v>79</v>
      </c>
      <c r="J21606">
        <v>3.34</v>
      </c>
      <c r="K21606">
        <v>0.65</v>
      </c>
      <c r="L21606">
        <v>16820</v>
      </c>
      <c r="M21606" t="s">
        <v>23</v>
      </c>
      <c r="N21606" t="str">
        <f t="shared" si="372"/>
        <v xml:space="preserve">12336023911 </v>
      </c>
      <c r="O21606">
        <v>230907</v>
      </c>
    </row>
    <row r="21607" spans="1:15" x14ac:dyDescent="0.25">
      <c r="A21607" t="s">
        <v>16</v>
      </c>
      <c r="B21607" t="s">
        <v>3221</v>
      </c>
      <c r="C21607">
        <v>11586</v>
      </c>
      <c r="D21607" t="s">
        <v>263</v>
      </c>
      <c r="E21607" t="s">
        <v>264</v>
      </c>
      <c r="F21607">
        <v>9.44</v>
      </c>
      <c r="G21607">
        <v>230904</v>
      </c>
      <c r="H21607">
        <v>4362</v>
      </c>
      <c r="I21607" t="s">
        <v>79</v>
      </c>
      <c r="J21607">
        <v>11.71</v>
      </c>
      <c r="K21607">
        <v>2.27</v>
      </c>
      <c r="L21607">
        <v>16820</v>
      </c>
      <c r="M21607" t="s">
        <v>23</v>
      </c>
      <c r="N21607" t="str">
        <f t="shared" si="372"/>
        <v xml:space="preserve">12336023911 </v>
      </c>
      <c r="O21607">
        <v>230907</v>
      </c>
    </row>
    <row r="21608" spans="1:15" x14ac:dyDescent="0.25">
      <c r="A21608" t="s">
        <v>16</v>
      </c>
      <c r="B21608" t="s">
        <v>3221</v>
      </c>
      <c r="C21608">
        <v>11586</v>
      </c>
      <c r="D21608" t="s">
        <v>263</v>
      </c>
      <c r="E21608" t="s">
        <v>264</v>
      </c>
      <c r="F21608">
        <v>2.7</v>
      </c>
      <c r="G21608">
        <v>230904</v>
      </c>
      <c r="H21608">
        <v>4362</v>
      </c>
      <c r="I21608" t="s">
        <v>79</v>
      </c>
      <c r="J21608">
        <v>3.35</v>
      </c>
      <c r="K21608">
        <v>0.65</v>
      </c>
      <c r="L21608">
        <v>17950</v>
      </c>
      <c r="M21608" t="s">
        <v>86</v>
      </c>
      <c r="N21608" t="str">
        <f t="shared" si="372"/>
        <v xml:space="preserve">12336023911 </v>
      </c>
      <c r="O21608">
        <v>230907</v>
      </c>
    </row>
    <row r="21609" spans="1:15" x14ac:dyDescent="0.25">
      <c r="A21609" t="s">
        <v>16</v>
      </c>
      <c r="B21609" t="s">
        <v>3221</v>
      </c>
      <c r="C21609">
        <v>11586</v>
      </c>
      <c r="D21609" t="s">
        <v>263</v>
      </c>
      <c r="E21609" t="s">
        <v>264</v>
      </c>
      <c r="F21609">
        <v>0.15</v>
      </c>
      <c r="G21609">
        <v>230904</v>
      </c>
      <c r="H21609">
        <v>4362</v>
      </c>
      <c r="I21609" t="s">
        <v>79</v>
      </c>
      <c r="J21609">
        <v>0.15</v>
      </c>
      <c r="K21609">
        <v>0</v>
      </c>
      <c r="L21609">
        <v>17971</v>
      </c>
      <c r="M21609" t="s">
        <v>138</v>
      </c>
      <c r="N21609" t="str">
        <f t="shared" si="372"/>
        <v xml:space="preserve">12336023911 </v>
      </c>
      <c r="O21609">
        <v>230907</v>
      </c>
    </row>
    <row r="21610" spans="1:15" x14ac:dyDescent="0.25">
      <c r="A21610" t="s">
        <v>16</v>
      </c>
      <c r="B21610" t="s">
        <v>3221</v>
      </c>
      <c r="C21610">
        <v>11586</v>
      </c>
      <c r="D21610" t="s">
        <v>263</v>
      </c>
      <c r="E21610" t="s">
        <v>264</v>
      </c>
      <c r="F21610">
        <v>2.7</v>
      </c>
      <c r="G21610">
        <v>230904</v>
      </c>
      <c r="H21610">
        <v>4362</v>
      </c>
      <c r="I21610" t="s">
        <v>79</v>
      </c>
      <c r="J21610">
        <v>3.35</v>
      </c>
      <c r="K21610">
        <v>0.65</v>
      </c>
      <c r="L21610">
        <v>17971</v>
      </c>
      <c r="M21610" t="s">
        <v>138</v>
      </c>
      <c r="N21610" t="str">
        <f t="shared" si="372"/>
        <v xml:space="preserve">12336023911 </v>
      </c>
      <c r="O21610">
        <v>230907</v>
      </c>
    </row>
    <row r="21611" spans="1:15" x14ac:dyDescent="0.25">
      <c r="A21611" t="s">
        <v>16</v>
      </c>
      <c r="B21611" t="s">
        <v>3221</v>
      </c>
      <c r="C21611">
        <v>11586</v>
      </c>
      <c r="D21611" t="s">
        <v>263</v>
      </c>
      <c r="E21611" t="s">
        <v>264</v>
      </c>
      <c r="F21611">
        <v>2.69</v>
      </c>
      <c r="G21611">
        <v>230904</v>
      </c>
      <c r="H21611">
        <v>4362</v>
      </c>
      <c r="I21611" t="s">
        <v>79</v>
      </c>
      <c r="J21611">
        <v>3.34</v>
      </c>
      <c r="K21611">
        <v>0.65</v>
      </c>
      <c r="L21611">
        <v>17972</v>
      </c>
      <c r="M21611" t="s">
        <v>248</v>
      </c>
      <c r="N21611" t="str">
        <f t="shared" si="372"/>
        <v xml:space="preserve">12336023911 </v>
      </c>
      <c r="O21611">
        <v>230907</v>
      </c>
    </row>
    <row r="21612" spans="1:15" x14ac:dyDescent="0.25">
      <c r="A21612" t="s">
        <v>16</v>
      </c>
      <c r="B21612" t="s">
        <v>3221</v>
      </c>
      <c r="C21612">
        <v>11586</v>
      </c>
      <c r="D21612" t="s">
        <v>263</v>
      </c>
      <c r="E21612" t="s">
        <v>264</v>
      </c>
      <c r="F21612">
        <v>2.5499999999999998</v>
      </c>
      <c r="G21612">
        <v>230904</v>
      </c>
      <c r="H21612">
        <v>4362</v>
      </c>
      <c r="I21612" t="s">
        <v>79</v>
      </c>
      <c r="J21612">
        <v>3.16</v>
      </c>
      <c r="K21612">
        <v>0.61</v>
      </c>
      <c r="L21612">
        <v>17974</v>
      </c>
      <c r="M21612" t="s">
        <v>460</v>
      </c>
      <c r="N21612" t="str">
        <f t="shared" si="372"/>
        <v xml:space="preserve">12336023911 </v>
      </c>
      <c r="O21612">
        <v>230907</v>
      </c>
    </row>
    <row r="21613" spans="1:15" x14ac:dyDescent="0.25">
      <c r="A21613" t="s">
        <v>16</v>
      </c>
      <c r="B21613" t="s">
        <v>3221</v>
      </c>
      <c r="C21613">
        <v>11586</v>
      </c>
      <c r="D21613" t="s">
        <v>263</v>
      </c>
      <c r="E21613" t="s">
        <v>264</v>
      </c>
      <c r="F21613">
        <v>2.7</v>
      </c>
      <c r="G21613">
        <v>230904</v>
      </c>
      <c r="H21613">
        <v>4362</v>
      </c>
      <c r="I21613" t="s">
        <v>79</v>
      </c>
      <c r="J21613">
        <v>3.35</v>
      </c>
      <c r="K21613">
        <v>0.65</v>
      </c>
      <c r="L21613">
        <v>17974</v>
      </c>
      <c r="M21613" t="s">
        <v>460</v>
      </c>
      <c r="N21613" t="str">
        <f t="shared" si="372"/>
        <v xml:space="preserve">12336023911 </v>
      </c>
      <c r="O21613">
        <v>230907</v>
      </c>
    </row>
    <row r="21614" spans="1:15" x14ac:dyDescent="0.25">
      <c r="A21614" t="s">
        <v>16</v>
      </c>
      <c r="B21614" t="s">
        <v>3221</v>
      </c>
      <c r="C21614">
        <v>11587</v>
      </c>
      <c r="D21614" t="s">
        <v>263</v>
      </c>
      <c r="E21614" t="s">
        <v>264</v>
      </c>
      <c r="F21614">
        <v>10.8</v>
      </c>
      <c r="G21614">
        <v>230904</v>
      </c>
      <c r="H21614">
        <v>4362</v>
      </c>
      <c r="I21614" t="s">
        <v>79</v>
      </c>
      <c r="J21614">
        <v>13.39</v>
      </c>
      <c r="K21614">
        <v>2.59</v>
      </c>
      <c r="L21614">
        <v>17131</v>
      </c>
      <c r="M21614" t="s">
        <v>64</v>
      </c>
      <c r="N21614" t="str">
        <f t="shared" ref="N21614:N21624" si="373">"12336023909 "</f>
        <v xml:space="preserve">12336023909 </v>
      </c>
      <c r="O21614">
        <v>230907</v>
      </c>
    </row>
    <row r="21615" spans="1:15" x14ac:dyDescent="0.25">
      <c r="A21615" t="s">
        <v>16</v>
      </c>
      <c r="B21615" t="s">
        <v>3221</v>
      </c>
      <c r="C21615">
        <v>11587</v>
      </c>
      <c r="D21615" t="s">
        <v>263</v>
      </c>
      <c r="E21615" t="s">
        <v>264</v>
      </c>
      <c r="F21615">
        <v>2.7</v>
      </c>
      <c r="G21615">
        <v>230904</v>
      </c>
      <c r="H21615">
        <v>4362</v>
      </c>
      <c r="I21615" t="s">
        <v>79</v>
      </c>
      <c r="J21615">
        <v>3.35</v>
      </c>
      <c r="K21615">
        <v>0.65</v>
      </c>
      <c r="L21615">
        <v>17147</v>
      </c>
      <c r="M21615" t="s">
        <v>1734</v>
      </c>
      <c r="N21615" t="str">
        <f t="shared" si="373"/>
        <v xml:space="preserve">12336023909 </v>
      </c>
      <c r="O21615">
        <v>230907</v>
      </c>
    </row>
    <row r="21616" spans="1:15" x14ac:dyDescent="0.25">
      <c r="A21616" t="s">
        <v>16</v>
      </c>
      <c r="B21616" t="s">
        <v>3221</v>
      </c>
      <c r="C21616">
        <v>11587</v>
      </c>
      <c r="D21616" t="s">
        <v>263</v>
      </c>
      <c r="E21616" t="s">
        <v>264</v>
      </c>
      <c r="F21616">
        <v>13.35</v>
      </c>
      <c r="G21616">
        <v>230904</v>
      </c>
      <c r="H21616">
        <v>4362</v>
      </c>
      <c r="I21616" t="s">
        <v>79</v>
      </c>
      <c r="J21616">
        <v>16.55</v>
      </c>
      <c r="K21616">
        <v>3.2</v>
      </c>
      <c r="L21616">
        <v>17711</v>
      </c>
      <c r="M21616" t="s">
        <v>65</v>
      </c>
      <c r="N21616" t="str">
        <f t="shared" si="373"/>
        <v xml:space="preserve">12336023909 </v>
      </c>
      <c r="O21616">
        <v>230907</v>
      </c>
    </row>
    <row r="21617" spans="1:15" x14ac:dyDescent="0.25">
      <c r="A21617" t="s">
        <v>16</v>
      </c>
      <c r="B21617" t="s">
        <v>3221</v>
      </c>
      <c r="C21617">
        <v>11587</v>
      </c>
      <c r="D21617" t="s">
        <v>263</v>
      </c>
      <c r="E21617" t="s">
        <v>264</v>
      </c>
      <c r="F21617">
        <v>16.2</v>
      </c>
      <c r="G21617">
        <v>230904</v>
      </c>
      <c r="H21617">
        <v>4362</v>
      </c>
      <c r="I21617" t="s">
        <v>79</v>
      </c>
      <c r="J21617">
        <v>20.09</v>
      </c>
      <c r="K21617">
        <v>3.89</v>
      </c>
      <c r="L21617">
        <v>17711</v>
      </c>
      <c r="M21617" t="s">
        <v>65</v>
      </c>
      <c r="N21617" t="str">
        <f t="shared" si="373"/>
        <v xml:space="preserve">12336023909 </v>
      </c>
      <c r="O21617">
        <v>230907</v>
      </c>
    </row>
    <row r="21618" spans="1:15" x14ac:dyDescent="0.25">
      <c r="A21618" t="s">
        <v>16</v>
      </c>
      <c r="B21618" t="s">
        <v>3221</v>
      </c>
      <c r="C21618">
        <v>11587</v>
      </c>
      <c r="D21618" t="s">
        <v>263</v>
      </c>
      <c r="E21618" t="s">
        <v>264</v>
      </c>
      <c r="F21618">
        <v>5.4</v>
      </c>
      <c r="G21618">
        <v>230904</v>
      </c>
      <c r="H21618">
        <v>4362</v>
      </c>
      <c r="I21618" t="s">
        <v>79</v>
      </c>
      <c r="J21618">
        <v>6.7</v>
      </c>
      <c r="K21618">
        <v>1.3</v>
      </c>
      <c r="L21618">
        <v>17737</v>
      </c>
      <c r="M21618" t="s">
        <v>279</v>
      </c>
      <c r="N21618" t="str">
        <f t="shared" si="373"/>
        <v xml:space="preserve">12336023909 </v>
      </c>
      <c r="O21618">
        <v>230907</v>
      </c>
    </row>
    <row r="21619" spans="1:15" x14ac:dyDescent="0.25">
      <c r="A21619" t="s">
        <v>16</v>
      </c>
      <c r="B21619" t="s">
        <v>3221</v>
      </c>
      <c r="C21619">
        <v>11587</v>
      </c>
      <c r="D21619" t="s">
        <v>263</v>
      </c>
      <c r="E21619" t="s">
        <v>264</v>
      </c>
      <c r="F21619">
        <v>16.43</v>
      </c>
      <c r="G21619">
        <v>230904</v>
      </c>
      <c r="H21619">
        <v>4362</v>
      </c>
      <c r="I21619" t="s">
        <v>79</v>
      </c>
      <c r="J21619">
        <v>20.37</v>
      </c>
      <c r="K21619">
        <v>3.94</v>
      </c>
      <c r="L21619">
        <v>17737</v>
      </c>
      <c r="M21619" t="s">
        <v>279</v>
      </c>
      <c r="N21619" t="str">
        <f t="shared" si="373"/>
        <v xml:space="preserve">12336023909 </v>
      </c>
      <c r="O21619">
        <v>230907</v>
      </c>
    </row>
    <row r="21620" spans="1:15" x14ac:dyDescent="0.25">
      <c r="A21620" t="s">
        <v>16</v>
      </c>
      <c r="B21620" t="s">
        <v>3221</v>
      </c>
      <c r="C21620">
        <v>11587</v>
      </c>
      <c r="D21620" t="s">
        <v>263</v>
      </c>
      <c r="E21620" t="s">
        <v>264</v>
      </c>
      <c r="F21620">
        <v>2.7</v>
      </c>
      <c r="G21620">
        <v>230904</v>
      </c>
      <c r="H21620">
        <v>4362</v>
      </c>
      <c r="I21620" t="s">
        <v>79</v>
      </c>
      <c r="J21620">
        <v>3.35</v>
      </c>
      <c r="K21620">
        <v>0.65</v>
      </c>
      <c r="L21620">
        <v>17912</v>
      </c>
      <c r="M21620" t="s">
        <v>419</v>
      </c>
      <c r="N21620" t="str">
        <f t="shared" si="373"/>
        <v xml:space="preserve">12336023909 </v>
      </c>
      <c r="O21620">
        <v>230907</v>
      </c>
    </row>
    <row r="21621" spans="1:15" x14ac:dyDescent="0.25">
      <c r="A21621" t="s">
        <v>16</v>
      </c>
      <c r="B21621" t="s">
        <v>3221</v>
      </c>
      <c r="C21621">
        <v>11587</v>
      </c>
      <c r="D21621" t="s">
        <v>263</v>
      </c>
      <c r="E21621" t="s">
        <v>264</v>
      </c>
      <c r="F21621">
        <v>2.7</v>
      </c>
      <c r="G21621">
        <v>230904</v>
      </c>
      <c r="H21621">
        <v>4362</v>
      </c>
      <c r="I21621" t="s">
        <v>79</v>
      </c>
      <c r="J21621">
        <v>3.35</v>
      </c>
      <c r="K21621">
        <v>0.65</v>
      </c>
      <c r="L21621">
        <v>17915</v>
      </c>
      <c r="M21621" t="s">
        <v>572</v>
      </c>
      <c r="N21621" t="str">
        <f t="shared" si="373"/>
        <v xml:space="preserve">12336023909 </v>
      </c>
      <c r="O21621">
        <v>230907</v>
      </c>
    </row>
    <row r="21622" spans="1:15" x14ac:dyDescent="0.25">
      <c r="A21622" t="s">
        <v>16</v>
      </c>
      <c r="B21622" t="s">
        <v>3221</v>
      </c>
      <c r="C21622">
        <v>11587</v>
      </c>
      <c r="D21622" t="s">
        <v>263</v>
      </c>
      <c r="E21622" t="s">
        <v>264</v>
      </c>
      <c r="F21622">
        <v>12.12</v>
      </c>
      <c r="G21622">
        <v>230904</v>
      </c>
      <c r="H21622">
        <v>4362</v>
      </c>
      <c r="I21622" t="s">
        <v>79</v>
      </c>
      <c r="J21622">
        <v>15.03</v>
      </c>
      <c r="K21622">
        <v>2.91</v>
      </c>
      <c r="L21622">
        <v>17952</v>
      </c>
      <c r="M21622" t="s">
        <v>88</v>
      </c>
      <c r="N21622" t="str">
        <f t="shared" si="373"/>
        <v xml:space="preserve">12336023909 </v>
      </c>
      <c r="O21622">
        <v>230907</v>
      </c>
    </row>
    <row r="21623" spans="1:15" x14ac:dyDescent="0.25">
      <c r="A21623" t="s">
        <v>16</v>
      </c>
      <c r="B21623" t="s">
        <v>3221</v>
      </c>
      <c r="C21623">
        <v>11587</v>
      </c>
      <c r="D21623" t="s">
        <v>263</v>
      </c>
      <c r="E21623" t="s">
        <v>264</v>
      </c>
      <c r="F21623">
        <v>22.05</v>
      </c>
      <c r="G21623">
        <v>230904</v>
      </c>
      <c r="H21623">
        <v>4362</v>
      </c>
      <c r="I21623" t="s">
        <v>79</v>
      </c>
      <c r="J21623">
        <v>27.34</v>
      </c>
      <c r="K21623">
        <v>5.29</v>
      </c>
      <c r="L21623">
        <v>17971</v>
      </c>
      <c r="M21623" t="s">
        <v>138</v>
      </c>
      <c r="N21623" t="str">
        <f t="shared" si="373"/>
        <v xml:space="preserve">12336023909 </v>
      </c>
      <c r="O21623">
        <v>230907</v>
      </c>
    </row>
    <row r="21624" spans="1:15" x14ac:dyDescent="0.25">
      <c r="A21624" t="s">
        <v>16</v>
      </c>
      <c r="B21624" t="s">
        <v>3221</v>
      </c>
      <c r="C21624">
        <v>11587</v>
      </c>
      <c r="D21624" t="s">
        <v>263</v>
      </c>
      <c r="E21624" t="s">
        <v>264</v>
      </c>
      <c r="F21624">
        <v>5.53</v>
      </c>
      <c r="G21624">
        <v>230904</v>
      </c>
      <c r="H21624">
        <v>4362</v>
      </c>
      <c r="I21624" t="s">
        <v>79</v>
      </c>
      <c r="J21624">
        <v>6.86</v>
      </c>
      <c r="K21624">
        <v>1.33</v>
      </c>
      <c r="L21624">
        <v>17972</v>
      </c>
      <c r="M21624" t="s">
        <v>248</v>
      </c>
      <c r="N21624" t="str">
        <f t="shared" si="373"/>
        <v xml:space="preserve">12336023909 </v>
      </c>
      <c r="O21624">
        <v>230907</v>
      </c>
    </row>
    <row r="21625" spans="1:15" x14ac:dyDescent="0.25">
      <c r="A21625" t="s">
        <v>16</v>
      </c>
      <c r="B21625" t="s">
        <v>3221</v>
      </c>
      <c r="C21625">
        <v>11588</v>
      </c>
      <c r="D21625" t="s">
        <v>263</v>
      </c>
      <c r="E21625" t="s">
        <v>264</v>
      </c>
      <c r="F21625">
        <v>7.88</v>
      </c>
      <c r="G21625">
        <v>230904</v>
      </c>
      <c r="H21625">
        <v>4362</v>
      </c>
      <c r="I21625" t="s">
        <v>79</v>
      </c>
      <c r="J21625">
        <v>9.77</v>
      </c>
      <c r="K21625">
        <v>1.89</v>
      </c>
      <c r="L21625">
        <v>13401</v>
      </c>
      <c r="M21625" t="s">
        <v>80</v>
      </c>
      <c r="N21625" t="str">
        <f>"12336023926 "</f>
        <v xml:space="preserve">12336023926 </v>
      </c>
      <c r="O21625">
        <v>230907</v>
      </c>
    </row>
    <row r="21626" spans="1:15" x14ac:dyDescent="0.25">
      <c r="A21626" t="s">
        <v>16</v>
      </c>
      <c r="B21626" t="s">
        <v>3221</v>
      </c>
      <c r="C21626">
        <v>11711</v>
      </c>
      <c r="D21626" t="s">
        <v>263</v>
      </c>
      <c r="E21626" t="s">
        <v>264</v>
      </c>
      <c r="F21626">
        <v>26.85</v>
      </c>
      <c r="G21626">
        <v>230904</v>
      </c>
      <c r="H21626">
        <v>4362</v>
      </c>
      <c r="I21626" t="s">
        <v>79</v>
      </c>
      <c r="J21626">
        <v>33.29</v>
      </c>
      <c r="K21626">
        <v>6.44</v>
      </c>
      <c r="L21626">
        <v>13601</v>
      </c>
      <c r="M21626" t="s">
        <v>147</v>
      </c>
      <c r="N21626" t="str">
        <f>"12336023913 "</f>
        <v xml:space="preserve">12336023913 </v>
      </c>
      <c r="O21626">
        <v>230908</v>
      </c>
    </row>
    <row r="21627" spans="1:15" x14ac:dyDescent="0.25">
      <c r="A21627" t="s">
        <v>16</v>
      </c>
      <c r="B21627" t="s">
        <v>3221</v>
      </c>
      <c r="C21627">
        <v>11891</v>
      </c>
      <c r="D21627" t="s">
        <v>263</v>
      </c>
      <c r="E21627" t="s">
        <v>264</v>
      </c>
      <c r="F21627">
        <v>5.4</v>
      </c>
      <c r="G21627">
        <v>230904</v>
      </c>
      <c r="H21627">
        <v>4362</v>
      </c>
      <c r="I21627" t="s">
        <v>79</v>
      </c>
      <c r="J21627">
        <v>6.7</v>
      </c>
      <c r="K21627">
        <v>1.3</v>
      </c>
      <c r="L21627">
        <v>46557</v>
      </c>
      <c r="M21627" t="s">
        <v>221</v>
      </c>
      <c r="N21627" t="str">
        <f>"12336023919 "</f>
        <v xml:space="preserve">12336023919 </v>
      </c>
      <c r="O21627">
        <v>230911</v>
      </c>
    </row>
    <row r="21628" spans="1:15" x14ac:dyDescent="0.25">
      <c r="A21628" t="s">
        <v>16</v>
      </c>
      <c r="B21628" t="s">
        <v>3221</v>
      </c>
      <c r="C21628">
        <v>11892</v>
      </c>
      <c r="D21628" t="s">
        <v>263</v>
      </c>
      <c r="E21628" t="s">
        <v>264</v>
      </c>
      <c r="F21628">
        <v>5.4</v>
      </c>
      <c r="G21628">
        <v>230904</v>
      </c>
      <c r="H21628">
        <v>4362</v>
      </c>
      <c r="I21628" t="s">
        <v>79</v>
      </c>
      <c r="J21628">
        <v>6.69</v>
      </c>
      <c r="K21628">
        <v>1.29</v>
      </c>
      <c r="L21628">
        <v>49701</v>
      </c>
      <c r="M21628" t="s">
        <v>166</v>
      </c>
      <c r="N21628" t="str">
        <f>"12336023896 "</f>
        <v xml:space="preserve">12336023896 </v>
      </c>
      <c r="O21628">
        <v>230911</v>
      </c>
    </row>
    <row r="21629" spans="1:15" x14ac:dyDescent="0.25">
      <c r="A21629" t="s">
        <v>16</v>
      </c>
      <c r="B21629" t="s">
        <v>3221</v>
      </c>
      <c r="C21629">
        <v>11892</v>
      </c>
      <c r="D21629" t="s">
        <v>263</v>
      </c>
      <c r="E21629" t="s">
        <v>264</v>
      </c>
      <c r="F21629">
        <v>5.4</v>
      </c>
      <c r="G21629">
        <v>230904</v>
      </c>
      <c r="H21629">
        <v>4362</v>
      </c>
      <c r="I21629" t="s">
        <v>79</v>
      </c>
      <c r="J21629">
        <v>6.7</v>
      </c>
      <c r="K21629">
        <v>1.3</v>
      </c>
      <c r="L21629">
        <v>49702</v>
      </c>
      <c r="M21629" t="s">
        <v>584</v>
      </c>
      <c r="N21629" t="str">
        <f>"12336023896 "</f>
        <v xml:space="preserve">12336023896 </v>
      </c>
      <c r="O21629">
        <v>230911</v>
      </c>
    </row>
    <row r="21630" spans="1:15" x14ac:dyDescent="0.25">
      <c r="A21630" t="s">
        <v>16</v>
      </c>
      <c r="B21630" t="s">
        <v>3221</v>
      </c>
      <c r="C21630">
        <v>11894</v>
      </c>
      <c r="D21630" t="s">
        <v>263</v>
      </c>
      <c r="E21630" t="s">
        <v>264</v>
      </c>
      <c r="F21630">
        <v>2.5499999999999998</v>
      </c>
      <c r="G21630">
        <v>230904</v>
      </c>
      <c r="H21630">
        <v>4362</v>
      </c>
      <c r="I21630" t="s">
        <v>79</v>
      </c>
      <c r="J21630">
        <v>3.16</v>
      </c>
      <c r="K21630">
        <v>0.61</v>
      </c>
      <c r="L21630">
        <v>13801</v>
      </c>
      <c r="M21630" t="s">
        <v>162</v>
      </c>
      <c r="N21630" t="str">
        <f>"12336023916 "</f>
        <v xml:space="preserve">12336023916 </v>
      </c>
      <c r="O21630">
        <v>230911</v>
      </c>
    </row>
    <row r="21631" spans="1:15" x14ac:dyDescent="0.25">
      <c r="A21631" t="s">
        <v>16</v>
      </c>
      <c r="B21631" t="s">
        <v>3221</v>
      </c>
      <c r="C21631">
        <v>11895</v>
      </c>
      <c r="D21631" t="s">
        <v>263</v>
      </c>
      <c r="E21631" t="s">
        <v>264</v>
      </c>
      <c r="F21631">
        <v>2.5499999999999998</v>
      </c>
      <c r="G21631">
        <v>230904</v>
      </c>
      <c r="H21631">
        <v>4362</v>
      </c>
      <c r="I21631" t="s">
        <v>79</v>
      </c>
      <c r="J21631">
        <v>3.16</v>
      </c>
      <c r="K21631">
        <v>0.61</v>
      </c>
      <c r="L21631">
        <v>10002</v>
      </c>
      <c r="M21631" t="s">
        <v>1066</v>
      </c>
      <c r="N21631" t="str">
        <f t="shared" ref="N21631:N21643" si="374">"12336023884 "</f>
        <v xml:space="preserve">12336023884 </v>
      </c>
      <c r="O21631">
        <v>230911</v>
      </c>
    </row>
    <row r="21632" spans="1:15" x14ac:dyDescent="0.25">
      <c r="A21632" t="s">
        <v>16</v>
      </c>
      <c r="B21632" t="s">
        <v>3221</v>
      </c>
      <c r="C21632">
        <v>11895</v>
      </c>
      <c r="D21632" t="s">
        <v>263</v>
      </c>
      <c r="E21632" t="s">
        <v>264</v>
      </c>
      <c r="F21632">
        <v>2.5499999999999998</v>
      </c>
      <c r="G21632">
        <v>230904</v>
      </c>
      <c r="H21632">
        <v>4362</v>
      </c>
      <c r="I21632" t="s">
        <v>79</v>
      </c>
      <c r="J21632">
        <v>3.16</v>
      </c>
      <c r="K21632">
        <v>0.61</v>
      </c>
      <c r="L21632">
        <v>10002</v>
      </c>
      <c r="M21632" t="s">
        <v>1066</v>
      </c>
      <c r="N21632" t="str">
        <f t="shared" si="374"/>
        <v xml:space="preserve">12336023884 </v>
      </c>
      <c r="O21632">
        <v>230911</v>
      </c>
    </row>
    <row r="21633" spans="1:15" x14ac:dyDescent="0.25">
      <c r="A21633" t="s">
        <v>16</v>
      </c>
      <c r="B21633" t="s">
        <v>3221</v>
      </c>
      <c r="C21633">
        <v>11895</v>
      </c>
      <c r="D21633" t="s">
        <v>263</v>
      </c>
      <c r="E21633" t="s">
        <v>264</v>
      </c>
      <c r="F21633">
        <v>2.5499999999999998</v>
      </c>
      <c r="G21633">
        <v>230904</v>
      </c>
      <c r="H21633">
        <v>4362</v>
      </c>
      <c r="I21633" t="s">
        <v>79</v>
      </c>
      <c r="J21633">
        <v>3.16</v>
      </c>
      <c r="K21633">
        <v>0.61</v>
      </c>
      <c r="L21633">
        <v>11001</v>
      </c>
      <c r="M21633" t="s">
        <v>326</v>
      </c>
      <c r="N21633" t="str">
        <f t="shared" si="374"/>
        <v xml:space="preserve">12336023884 </v>
      </c>
      <c r="O21633">
        <v>230911</v>
      </c>
    </row>
    <row r="21634" spans="1:15" x14ac:dyDescent="0.25">
      <c r="A21634" t="s">
        <v>16</v>
      </c>
      <c r="B21634" t="s">
        <v>3221</v>
      </c>
      <c r="C21634">
        <v>11895</v>
      </c>
      <c r="D21634" t="s">
        <v>263</v>
      </c>
      <c r="E21634" t="s">
        <v>264</v>
      </c>
      <c r="F21634">
        <v>9.33</v>
      </c>
      <c r="G21634">
        <v>230904</v>
      </c>
      <c r="H21634">
        <v>4362</v>
      </c>
      <c r="I21634" t="s">
        <v>79</v>
      </c>
      <c r="J21634">
        <v>9.33</v>
      </c>
      <c r="K21634">
        <v>0</v>
      </c>
      <c r="L21634">
        <v>11001</v>
      </c>
      <c r="M21634" t="s">
        <v>326</v>
      </c>
      <c r="N21634" t="str">
        <f t="shared" si="374"/>
        <v xml:space="preserve">12336023884 </v>
      </c>
      <c r="O21634">
        <v>230911</v>
      </c>
    </row>
    <row r="21635" spans="1:15" x14ac:dyDescent="0.25">
      <c r="A21635" t="s">
        <v>16</v>
      </c>
      <c r="B21635" t="s">
        <v>3221</v>
      </c>
      <c r="C21635">
        <v>11895</v>
      </c>
      <c r="D21635" t="s">
        <v>263</v>
      </c>
      <c r="E21635" t="s">
        <v>264</v>
      </c>
      <c r="F21635">
        <v>8.6</v>
      </c>
      <c r="G21635">
        <v>230904</v>
      </c>
      <c r="H21635">
        <v>4362</v>
      </c>
      <c r="I21635" t="s">
        <v>79</v>
      </c>
      <c r="J21635">
        <v>10.66</v>
      </c>
      <c r="K21635">
        <v>2.06</v>
      </c>
      <c r="L21635">
        <v>11001</v>
      </c>
      <c r="M21635" t="s">
        <v>326</v>
      </c>
      <c r="N21635" t="str">
        <f t="shared" si="374"/>
        <v xml:space="preserve">12336023884 </v>
      </c>
      <c r="O21635">
        <v>230911</v>
      </c>
    </row>
    <row r="21636" spans="1:15" x14ac:dyDescent="0.25">
      <c r="A21636" t="s">
        <v>16</v>
      </c>
      <c r="B21636" t="s">
        <v>3221</v>
      </c>
      <c r="C21636">
        <v>11895</v>
      </c>
      <c r="D21636" t="s">
        <v>263</v>
      </c>
      <c r="E21636" t="s">
        <v>264</v>
      </c>
      <c r="F21636">
        <v>8.1</v>
      </c>
      <c r="G21636">
        <v>230904</v>
      </c>
      <c r="H21636">
        <v>4362</v>
      </c>
      <c r="I21636" t="s">
        <v>79</v>
      </c>
      <c r="J21636">
        <v>10.039999999999999</v>
      </c>
      <c r="K21636">
        <v>1.94</v>
      </c>
      <c r="L21636">
        <v>11301</v>
      </c>
      <c r="M21636" t="s">
        <v>29</v>
      </c>
      <c r="N21636" t="str">
        <f t="shared" si="374"/>
        <v xml:space="preserve">12336023884 </v>
      </c>
      <c r="O21636">
        <v>230911</v>
      </c>
    </row>
    <row r="21637" spans="1:15" x14ac:dyDescent="0.25">
      <c r="A21637" t="s">
        <v>16</v>
      </c>
      <c r="B21637" t="s">
        <v>3221</v>
      </c>
      <c r="C21637">
        <v>11895</v>
      </c>
      <c r="D21637" t="s">
        <v>263</v>
      </c>
      <c r="E21637" t="s">
        <v>264</v>
      </c>
      <c r="F21637">
        <v>5.63</v>
      </c>
      <c r="G21637">
        <v>230904</v>
      </c>
      <c r="H21637">
        <v>4362</v>
      </c>
      <c r="I21637" t="s">
        <v>79</v>
      </c>
      <c r="J21637">
        <v>5.63</v>
      </c>
      <c r="K21637">
        <v>0</v>
      </c>
      <c r="L21637">
        <v>11401</v>
      </c>
      <c r="M21637" t="s">
        <v>84</v>
      </c>
      <c r="N21637" t="str">
        <f t="shared" si="374"/>
        <v xml:space="preserve">12336023884 </v>
      </c>
      <c r="O21637">
        <v>230911</v>
      </c>
    </row>
    <row r="21638" spans="1:15" x14ac:dyDescent="0.25">
      <c r="A21638" t="s">
        <v>16</v>
      </c>
      <c r="B21638" t="s">
        <v>3221</v>
      </c>
      <c r="C21638">
        <v>11895</v>
      </c>
      <c r="D21638" t="s">
        <v>263</v>
      </c>
      <c r="E21638" t="s">
        <v>264</v>
      </c>
      <c r="F21638">
        <v>19.399999999999999</v>
      </c>
      <c r="G21638">
        <v>230904</v>
      </c>
      <c r="H21638">
        <v>4362</v>
      </c>
      <c r="I21638" t="s">
        <v>79</v>
      </c>
      <c r="J21638">
        <v>24.06</v>
      </c>
      <c r="K21638">
        <v>4.66</v>
      </c>
      <c r="L21638">
        <v>11401</v>
      </c>
      <c r="M21638" t="s">
        <v>84</v>
      </c>
      <c r="N21638" t="str">
        <f t="shared" si="374"/>
        <v xml:space="preserve">12336023884 </v>
      </c>
      <c r="O21638">
        <v>230911</v>
      </c>
    </row>
    <row r="21639" spans="1:15" x14ac:dyDescent="0.25">
      <c r="A21639" t="s">
        <v>16</v>
      </c>
      <c r="B21639" t="s">
        <v>3221</v>
      </c>
      <c r="C21639">
        <v>11895</v>
      </c>
      <c r="D21639" t="s">
        <v>263</v>
      </c>
      <c r="E21639" t="s">
        <v>264</v>
      </c>
      <c r="F21639">
        <v>2.5499999999999998</v>
      </c>
      <c r="G21639">
        <v>230904</v>
      </c>
      <c r="H21639">
        <v>4362</v>
      </c>
      <c r="I21639" t="s">
        <v>79</v>
      </c>
      <c r="J21639">
        <v>3.16</v>
      </c>
      <c r="K21639">
        <v>0.61</v>
      </c>
      <c r="L21639">
        <v>11501</v>
      </c>
      <c r="M21639" t="s">
        <v>339</v>
      </c>
      <c r="N21639" t="str">
        <f t="shared" si="374"/>
        <v xml:space="preserve">12336023884 </v>
      </c>
      <c r="O21639">
        <v>230911</v>
      </c>
    </row>
    <row r="21640" spans="1:15" x14ac:dyDescent="0.25">
      <c r="A21640" t="s">
        <v>16</v>
      </c>
      <c r="B21640" t="s">
        <v>3221</v>
      </c>
      <c r="C21640">
        <v>11895</v>
      </c>
      <c r="D21640" t="s">
        <v>263</v>
      </c>
      <c r="E21640" t="s">
        <v>264</v>
      </c>
      <c r="F21640">
        <v>13.9</v>
      </c>
      <c r="G21640">
        <v>230904</v>
      </c>
      <c r="H21640">
        <v>4362</v>
      </c>
      <c r="I21640" t="s">
        <v>79</v>
      </c>
      <c r="J21640">
        <v>13.9</v>
      </c>
      <c r="K21640">
        <v>0</v>
      </c>
      <c r="L21640">
        <v>11501</v>
      </c>
      <c r="M21640" t="s">
        <v>339</v>
      </c>
      <c r="N21640" t="str">
        <f t="shared" si="374"/>
        <v xml:space="preserve">12336023884 </v>
      </c>
      <c r="O21640">
        <v>230911</v>
      </c>
    </row>
    <row r="21641" spans="1:15" x14ac:dyDescent="0.25">
      <c r="A21641" t="s">
        <v>16</v>
      </c>
      <c r="B21641" t="s">
        <v>3221</v>
      </c>
      <c r="C21641">
        <v>11895</v>
      </c>
      <c r="D21641" t="s">
        <v>263</v>
      </c>
      <c r="E21641" t="s">
        <v>264</v>
      </c>
      <c r="F21641">
        <v>9.33</v>
      </c>
      <c r="G21641">
        <v>230904</v>
      </c>
      <c r="H21641">
        <v>4362</v>
      </c>
      <c r="I21641" t="s">
        <v>79</v>
      </c>
      <c r="J21641">
        <v>9.33</v>
      </c>
      <c r="K21641">
        <v>0</v>
      </c>
      <c r="L21641">
        <v>17807</v>
      </c>
      <c r="M21641" t="s">
        <v>318</v>
      </c>
      <c r="N21641" t="str">
        <f t="shared" si="374"/>
        <v xml:space="preserve">12336023884 </v>
      </c>
      <c r="O21641">
        <v>230911</v>
      </c>
    </row>
    <row r="21642" spans="1:15" x14ac:dyDescent="0.25">
      <c r="A21642" t="s">
        <v>16</v>
      </c>
      <c r="B21642" t="s">
        <v>3221</v>
      </c>
      <c r="C21642">
        <v>11895</v>
      </c>
      <c r="D21642" t="s">
        <v>263</v>
      </c>
      <c r="E21642" t="s">
        <v>264</v>
      </c>
      <c r="F21642">
        <v>3.77</v>
      </c>
      <c r="G21642">
        <v>230904</v>
      </c>
      <c r="H21642">
        <v>4362</v>
      </c>
      <c r="I21642" t="s">
        <v>79</v>
      </c>
      <c r="J21642">
        <v>3.77</v>
      </c>
      <c r="K21642">
        <v>0</v>
      </c>
      <c r="L21642">
        <v>18972</v>
      </c>
      <c r="M21642" t="s">
        <v>163</v>
      </c>
      <c r="N21642" t="str">
        <f t="shared" si="374"/>
        <v xml:space="preserve">12336023884 </v>
      </c>
      <c r="O21642">
        <v>230911</v>
      </c>
    </row>
    <row r="21643" spans="1:15" x14ac:dyDescent="0.25">
      <c r="A21643" t="s">
        <v>16</v>
      </c>
      <c r="B21643" t="s">
        <v>3221</v>
      </c>
      <c r="C21643">
        <v>11895</v>
      </c>
      <c r="D21643" t="s">
        <v>263</v>
      </c>
      <c r="E21643" t="s">
        <v>264</v>
      </c>
      <c r="F21643">
        <v>4.1100000000000003</v>
      </c>
      <c r="G21643">
        <v>230904</v>
      </c>
      <c r="H21643">
        <v>4362</v>
      </c>
      <c r="I21643" t="s">
        <v>79</v>
      </c>
      <c r="J21643">
        <v>5.0999999999999996</v>
      </c>
      <c r="K21643">
        <v>0.99</v>
      </c>
      <c r="L21643">
        <v>18972</v>
      </c>
      <c r="M21643" t="s">
        <v>163</v>
      </c>
      <c r="N21643" t="str">
        <f t="shared" si="374"/>
        <v xml:space="preserve">12336023884 </v>
      </c>
      <c r="O21643">
        <v>230911</v>
      </c>
    </row>
    <row r="21644" spans="1:15" x14ac:dyDescent="0.25">
      <c r="A21644" t="s">
        <v>16</v>
      </c>
      <c r="B21644" t="s">
        <v>3221</v>
      </c>
      <c r="C21644">
        <v>11896</v>
      </c>
      <c r="D21644" t="s">
        <v>263</v>
      </c>
      <c r="E21644" t="s">
        <v>264</v>
      </c>
      <c r="F21644">
        <v>6.01</v>
      </c>
      <c r="G21644">
        <v>230904</v>
      </c>
      <c r="H21644">
        <v>4362</v>
      </c>
      <c r="I21644" t="s">
        <v>79</v>
      </c>
      <c r="J21644">
        <v>7.45</v>
      </c>
      <c r="K21644">
        <v>1.44</v>
      </c>
      <c r="L21644">
        <v>46556</v>
      </c>
      <c r="M21644" t="s">
        <v>125</v>
      </c>
      <c r="N21644" t="str">
        <f>"12336023901 "</f>
        <v xml:space="preserve">12336023901 </v>
      </c>
      <c r="O21644">
        <v>230911</v>
      </c>
    </row>
    <row r="21645" spans="1:15" x14ac:dyDescent="0.25">
      <c r="A21645" t="s">
        <v>16</v>
      </c>
      <c r="B21645" t="s">
        <v>3221</v>
      </c>
      <c r="C21645">
        <v>11897</v>
      </c>
      <c r="D21645" t="s">
        <v>263</v>
      </c>
      <c r="E21645" t="s">
        <v>264</v>
      </c>
      <c r="F21645">
        <v>6.07</v>
      </c>
      <c r="G21645">
        <v>230904</v>
      </c>
      <c r="H21645">
        <v>4362</v>
      </c>
      <c r="I21645" t="s">
        <v>79</v>
      </c>
      <c r="J21645">
        <v>7.53</v>
      </c>
      <c r="K21645">
        <v>1.46</v>
      </c>
      <c r="L21645">
        <v>49112</v>
      </c>
      <c r="M21645" t="s">
        <v>233</v>
      </c>
      <c r="N21645" t="str">
        <f>"12336023903 "</f>
        <v xml:space="preserve">12336023903 </v>
      </c>
      <c r="O21645">
        <v>230911</v>
      </c>
    </row>
    <row r="21646" spans="1:15" x14ac:dyDescent="0.25">
      <c r="A21646" t="s">
        <v>16</v>
      </c>
      <c r="B21646" t="s">
        <v>3221</v>
      </c>
      <c r="C21646">
        <v>11898</v>
      </c>
      <c r="D21646" t="s">
        <v>263</v>
      </c>
      <c r="E21646" t="s">
        <v>264</v>
      </c>
      <c r="F21646">
        <v>27.86</v>
      </c>
      <c r="G21646">
        <v>230904</v>
      </c>
      <c r="H21646">
        <v>4362</v>
      </c>
      <c r="I21646" t="s">
        <v>79</v>
      </c>
      <c r="J21646">
        <v>34.549999999999997</v>
      </c>
      <c r="K21646">
        <v>6.69</v>
      </c>
      <c r="L21646">
        <v>61122</v>
      </c>
      <c r="M21646" t="s">
        <v>402</v>
      </c>
      <c r="N21646" t="str">
        <f t="shared" ref="N21646:N21672" si="375">"12336023890 "</f>
        <v xml:space="preserve">12336023890 </v>
      </c>
      <c r="O21646">
        <v>230911</v>
      </c>
    </row>
    <row r="21647" spans="1:15" x14ac:dyDescent="0.25">
      <c r="A21647" t="s">
        <v>16</v>
      </c>
      <c r="B21647" t="s">
        <v>3221</v>
      </c>
      <c r="C21647">
        <v>11898</v>
      </c>
      <c r="D21647" t="s">
        <v>263</v>
      </c>
      <c r="E21647" t="s">
        <v>264</v>
      </c>
      <c r="F21647">
        <v>2.83</v>
      </c>
      <c r="G21647">
        <v>230904</v>
      </c>
      <c r="H21647">
        <v>4362</v>
      </c>
      <c r="I21647" t="s">
        <v>79</v>
      </c>
      <c r="J21647">
        <v>3.51</v>
      </c>
      <c r="K21647">
        <v>0.68</v>
      </c>
      <c r="L21647">
        <v>61122</v>
      </c>
      <c r="M21647" t="s">
        <v>402</v>
      </c>
      <c r="N21647" t="str">
        <f t="shared" si="375"/>
        <v xml:space="preserve">12336023890 </v>
      </c>
      <c r="O21647">
        <v>230911</v>
      </c>
    </row>
    <row r="21648" spans="1:15" x14ac:dyDescent="0.25">
      <c r="A21648" t="s">
        <v>16</v>
      </c>
      <c r="B21648" t="s">
        <v>3221</v>
      </c>
      <c r="C21648">
        <v>11898</v>
      </c>
      <c r="D21648" t="s">
        <v>263</v>
      </c>
      <c r="E21648" t="s">
        <v>264</v>
      </c>
      <c r="F21648">
        <v>11.88</v>
      </c>
      <c r="G21648">
        <v>230904</v>
      </c>
      <c r="H21648">
        <v>4362</v>
      </c>
      <c r="I21648" t="s">
        <v>79</v>
      </c>
      <c r="J21648">
        <v>14.73</v>
      </c>
      <c r="K21648">
        <v>2.85</v>
      </c>
      <c r="L21648">
        <v>65222</v>
      </c>
      <c r="M21648" t="s">
        <v>487</v>
      </c>
      <c r="N21648" t="str">
        <f t="shared" si="375"/>
        <v xml:space="preserve">12336023890 </v>
      </c>
      <c r="O21648">
        <v>230911</v>
      </c>
    </row>
    <row r="21649" spans="1:15" x14ac:dyDescent="0.25">
      <c r="A21649" t="s">
        <v>16</v>
      </c>
      <c r="B21649" t="s">
        <v>3221</v>
      </c>
      <c r="C21649">
        <v>11898</v>
      </c>
      <c r="D21649" t="s">
        <v>263</v>
      </c>
      <c r="E21649" t="s">
        <v>264</v>
      </c>
      <c r="F21649">
        <v>3.17</v>
      </c>
      <c r="G21649">
        <v>230904</v>
      </c>
      <c r="H21649">
        <v>4362</v>
      </c>
      <c r="I21649" t="s">
        <v>79</v>
      </c>
      <c r="J21649">
        <v>3.93</v>
      </c>
      <c r="K21649">
        <v>0.76</v>
      </c>
      <c r="L21649">
        <v>65422</v>
      </c>
      <c r="M21649" t="s">
        <v>602</v>
      </c>
      <c r="N21649" t="str">
        <f t="shared" si="375"/>
        <v xml:space="preserve">12336023890 </v>
      </c>
      <c r="O21649">
        <v>230911</v>
      </c>
    </row>
    <row r="21650" spans="1:15" x14ac:dyDescent="0.25">
      <c r="A21650" t="s">
        <v>16</v>
      </c>
      <c r="B21650" t="s">
        <v>3221</v>
      </c>
      <c r="C21650">
        <v>11898</v>
      </c>
      <c r="D21650" t="s">
        <v>263</v>
      </c>
      <c r="E21650" t="s">
        <v>264</v>
      </c>
      <c r="F21650">
        <v>8.1199999999999992</v>
      </c>
      <c r="G21650">
        <v>230904</v>
      </c>
      <c r="H21650">
        <v>4362</v>
      </c>
      <c r="I21650" t="s">
        <v>79</v>
      </c>
      <c r="J21650">
        <v>10.07</v>
      </c>
      <c r="K21650">
        <v>1.95</v>
      </c>
      <c r="L21650">
        <v>66722</v>
      </c>
      <c r="M21650" t="s">
        <v>518</v>
      </c>
      <c r="N21650" t="str">
        <f t="shared" si="375"/>
        <v xml:space="preserve">12336023890 </v>
      </c>
      <c r="O21650">
        <v>230911</v>
      </c>
    </row>
    <row r="21651" spans="1:15" x14ac:dyDescent="0.25">
      <c r="A21651" t="s">
        <v>16</v>
      </c>
      <c r="B21651" t="s">
        <v>3221</v>
      </c>
      <c r="C21651">
        <v>11898</v>
      </c>
      <c r="D21651" t="s">
        <v>263</v>
      </c>
      <c r="E21651" t="s">
        <v>264</v>
      </c>
      <c r="F21651">
        <v>5.6</v>
      </c>
      <c r="G21651">
        <v>230904</v>
      </c>
      <c r="H21651">
        <v>4362</v>
      </c>
      <c r="I21651" t="s">
        <v>79</v>
      </c>
      <c r="J21651">
        <v>6.94</v>
      </c>
      <c r="K21651">
        <v>1.34</v>
      </c>
      <c r="L21651">
        <v>66754</v>
      </c>
      <c r="M21651" t="s">
        <v>239</v>
      </c>
      <c r="N21651" t="str">
        <f t="shared" si="375"/>
        <v xml:space="preserve">12336023890 </v>
      </c>
      <c r="O21651">
        <v>230911</v>
      </c>
    </row>
    <row r="21652" spans="1:15" x14ac:dyDescent="0.25">
      <c r="A21652" t="s">
        <v>16</v>
      </c>
      <c r="B21652" t="s">
        <v>3221</v>
      </c>
      <c r="C21652">
        <v>11898</v>
      </c>
      <c r="D21652" t="s">
        <v>263</v>
      </c>
      <c r="E21652" t="s">
        <v>264</v>
      </c>
      <c r="F21652">
        <v>2.7</v>
      </c>
      <c r="G21652">
        <v>230904</v>
      </c>
      <c r="H21652">
        <v>4362</v>
      </c>
      <c r="I21652" t="s">
        <v>79</v>
      </c>
      <c r="J21652">
        <v>3.35</v>
      </c>
      <c r="K21652">
        <v>0.65</v>
      </c>
      <c r="L21652">
        <v>66754</v>
      </c>
      <c r="M21652" t="s">
        <v>239</v>
      </c>
      <c r="N21652" t="str">
        <f t="shared" si="375"/>
        <v xml:space="preserve">12336023890 </v>
      </c>
      <c r="O21652">
        <v>230911</v>
      </c>
    </row>
    <row r="21653" spans="1:15" x14ac:dyDescent="0.25">
      <c r="A21653" t="s">
        <v>16</v>
      </c>
      <c r="B21653" t="s">
        <v>3221</v>
      </c>
      <c r="C21653">
        <v>11898</v>
      </c>
      <c r="D21653" t="s">
        <v>263</v>
      </c>
      <c r="E21653" t="s">
        <v>264</v>
      </c>
      <c r="F21653">
        <v>2.7</v>
      </c>
      <c r="G21653">
        <v>230904</v>
      </c>
      <c r="H21653">
        <v>4362</v>
      </c>
      <c r="I21653" t="s">
        <v>79</v>
      </c>
      <c r="J21653">
        <v>3.35</v>
      </c>
      <c r="K21653">
        <v>0.65</v>
      </c>
      <c r="L21653">
        <v>66754</v>
      </c>
      <c r="M21653" t="s">
        <v>239</v>
      </c>
      <c r="N21653" t="str">
        <f t="shared" si="375"/>
        <v xml:space="preserve">12336023890 </v>
      </c>
      <c r="O21653">
        <v>230911</v>
      </c>
    </row>
    <row r="21654" spans="1:15" x14ac:dyDescent="0.25">
      <c r="A21654" t="s">
        <v>16</v>
      </c>
      <c r="B21654" t="s">
        <v>3221</v>
      </c>
      <c r="C21654">
        <v>11898</v>
      </c>
      <c r="D21654" t="s">
        <v>263</v>
      </c>
      <c r="E21654" t="s">
        <v>264</v>
      </c>
      <c r="F21654">
        <v>16.52</v>
      </c>
      <c r="G21654">
        <v>230904</v>
      </c>
      <c r="H21654">
        <v>4362</v>
      </c>
      <c r="I21654" t="s">
        <v>79</v>
      </c>
      <c r="J21654">
        <v>20.48</v>
      </c>
      <c r="K21654">
        <v>3.96</v>
      </c>
      <c r="L21654">
        <v>66754</v>
      </c>
      <c r="M21654" t="s">
        <v>239</v>
      </c>
      <c r="N21654" t="str">
        <f t="shared" si="375"/>
        <v xml:space="preserve">12336023890 </v>
      </c>
      <c r="O21654">
        <v>230911</v>
      </c>
    </row>
    <row r="21655" spans="1:15" x14ac:dyDescent="0.25">
      <c r="A21655" t="s">
        <v>16</v>
      </c>
      <c r="B21655" t="s">
        <v>3221</v>
      </c>
      <c r="C21655">
        <v>11898</v>
      </c>
      <c r="D21655" t="s">
        <v>263</v>
      </c>
      <c r="E21655" t="s">
        <v>264</v>
      </c>
      <c r="F21655">
        <v>10.220000000000001</v>
      </c>
      <c r="G21655">
        <v>230904</v>
      </c>
      <c r="H21655">
        <v>4362</v>
      </c>
      <c r="I21655" t="s">
        <v>79</v>
      </c>
      <c r="J21655">
        <v>12.67</v>
      </c>
      <c r="K21655">
        <v>2.4500000000000002</v>
      </c>
      <c r="L21655">
        <v>66756</v>
      </c>
      <c r="M21655" t="s">
        <v>209</v>
      </c>
      <c r="N21655" t="str">
        <f t="shared" si="375"/>
        <v xml:space="preserve">12336023890 </v>
      </c>
      <c r="O21655">
        <v>230911</v>
      </c>
    </row>
    <row r="21656" spans="1:15" x14ac:dyDescent="0.25">
      <c r="A21656" t="s">
        <v>16</v>
      </c>
      <c r="B21656" t="s">
        <v>3221</v>
      </c>
      <c r="C21656">
        <v>11898</v>
      </c>
      <c r="D21656" t="s">
        <v>263</v>
      </c>
      <c r="E21656" t="s">
        <v>264</v>
      </c>
      <c r="F21656">
        <v>21.73</v>
      </c>
      <c r="G21656">
        <v>230904</v>
      </c>
      <c r="H21656">
        <v>4362</v>
      </c>
      <c r="I21656" t="s">
        <v>79</v>
      </c>
      <c r="J21656">
        <v>26.95</v>
      </c>
      <c r="K21656">
        <v>5.22</v>
      </c>
      <c r="L21656">
        <v>67522</v>
      </c>
      <c r="M21656" t="s">
        <v>397</v>
      </c>
      <c r="N21656" t="str">
        <f t="shared" si="375"/>
        <v xml:space="preserve">12336023890 </v>
      </c>
      <c r="O21656">
        <v>230911</v>
      </c>
    </row>
    <row r="21657" spans="1:15" x14ac:dyDescent="0.25">
      <c r="A21657" t="s">
        <v>16</v>
      </c>
      <c r="B21657" t="s">
        <v>3221</v>
      </c>
      <c r="C21657">
        <v>11898</v>
      </c>
      <c r="D21657" t="s">
        <v>263</v>
      </c>
      <c r="E21657" t="s">
        <v>264</v>
      </c>
      <c r="F21657">
        <v>11.75</v>
      </c>
      <c r="G21657">
        <v>230904</v>
      </c>
      <c r="H21657">
        <v>4362</v>
      </c>
      <c r="I21657" t="s">
        <v>79</v>
      </c>
      <c r="J21657">
        <v>14.57</v>
      </c>
      <c r="K21657">
        <v>2.82</v>
      </c>
      <c r="L21657">
        <v>67522</v>
      </c>
      <c r="M21657" t="s">
        <v>397</v>
      </c>
      <c r="N21657" t="str">
        <f t="shared" si="375"/>
        <v xml:space="preserve">12336023890 </v>
      </c>
      <c r="O21657">
        <v>230911</v>
      </c>
    </row>
    <row r="21658" spans="1:15" x14ac:dyDescent="0.25">
      <c r="A21658" t="s">
        <v>16</v>
      </c>
      <c r="B21658" t="s">
        <v>3221</v>
      </c>
      <c r="C21658">
        <v>11898</v>
      </c>
      <c r="D21658" t="s">
        <v>263</v>
      </c>
      <c r="E21658" t="s">
        <v>264</v>
      </c>
      <c r="F21658">
        <v>5.59</v>
      </c>
      <c r="G21658">
        <v>230904</v>
      </c>
      <c r="H21658">
        <v>4362</v>
      </c>
      <c r="I21658" t="s">
        <v>79</v>
      </c>
      <c r="J21658">
        <v>6.93</v>
      </c>
      <c r="K21658">
        <v>1.34</v>
      </c>
      <c r="L21658">
        <v>67554</v>
      </c>
      <c r="M21658" t="s">
        <v>60</v>
      </c>
      <c r="N21658" t="str">
        <f t="shared" si="375"/>
        <v xml:space="preserve">12336023890 </v>
      </c>
      <c r="O21658">
        <v>230911</v>
      </c>
    </row>
    <row r="21659" spans="1:15" x14ac:dyDescent="0.25">
      <c r="A21659" t="s">
        <v>16</v>
      </c>
      <c r="B21659" t="s">
        <v>3221</v>
      </c>
      <c r="C21659">
        <v>11898</v>
      </c>
      <c r="D21659" t="s">
        <v>263</v>
      </c>
      <c r="E21659" t="s">
        <v>264</v>
      </c>
      <c r="F21659">
        <v>5.59</v>
      </c>
      <c r="G21659">
        <v>230904</v>
      </c>
      <c r="H21659">
        <v>4362</v>
      </c>
      <c r="I21659" t="s">
        <v>79</v>
      </c>
      <c r="J21659">
        <v>6.93</v>
      </c>
      <c r="K21659">
        <v>1.34</v>
      </c>
      <c r="L21659">
        <v>67554</v>
      </c>
      <c r="M21659" t="s">
        <v>60</v>
      </c>
      <c r="N21659" t="str">
        <f t="shared" si="375"/>
        <v xml:space="preserve">12336023890 </v>
      </c>
      <c r="O21659">
        <v>230911</v>
      </c>
    </row>
    <row r="21660" spans="1:15" x14ac:dyDescent="0.25">
      <c r="A21660" t="s">
        <v>16</v>
      </c>
      <c r="B21660" t="s">
        <v>3221</v>
      </c>
      <c r="C21660">
        <v>11898</v>
      </c>
      <c r="D21660" t="s">
        <v>263</v>
      </c>
      <c r="E21660" t="s">
        <v>264</v>
      </c>
      <c r="F21660">
        <v>50.57</v>
      </c>
      <c r="G21660">
        <v>230904</v>
      </c>
      <c r="H21660">
        <v>4362</v>
      </c>
      <c r="I21660" t="s">
        <v>79</v>
      </c>
      <c r="J21660">
        <v>62.71</v>
      </c>
      <c r="K21660">
        <v>12.14</v>
      </c>
      <c r="L21660">
        <v>67554</v>
      </c>
      <c r="M21660" t="s">
        <v>60</v>
      </c>
      <c r="N21660" t="str">
        <f t="shared" si="375"/>
        <v xml:space="preserve">12336023890 </v>
      </c>
      <c r="O21660">
        <v>230911</v>
      </c>
    </row>
    <row r="21661" spans="1:15" x14ac:dyDescent="0.25">
      <c r="A21661" t="s">
        <v>16</v>
      </c>
      <c r="B21661" t="s">
        <v>3221</v>
      </c>
      <c r="C21661">
        <v>11898</v>
      </c>
      <c r="D21661" t="s">
        <v>263</v>
      </c>
      <c r="E21661" t="s">
        <v>264</v>
      </c>
      <c r="F21661">
        <v>2.7</v>
      </c>
      <c r="G21661">
        <v>230904</v>
      </c>
      <c r="H21661">
        <v>4362</v>
      </c>
      <c r="I21661" t="s">
        <v>79</v>
      </c>
      <c r="J21661">
        <v>3.35</v>
      </c>
      <c r="K21661">
        <v>0.65</v>
      </c>
      <c r="L21661">
        <v>67554</v>
      </c>
      <c r="M21661" t="s">
        <v>60</v>
      </c>
      <c r="N21661" t="str">
        <f t="shared" si="375"/>
        <v xml:space="preserve">12336023890 </v>
      </c>
      <c r="O21661">
        <v>230911</v>
      </c>
    </row>
    <row r="21662" spans="1:15" x14ac:dyDescent="0.25">
      <c r="A21662" t="s">
        <v>16</v>
      </c>
      <c r="B21662" t="s">
        <v>3221</v>
      </c>
      <c r="C21662">
        <v>11898</v>
      </c>
      <c r="D21662" t="s">
        <v>263</v>
      </c>
      <c r="E21662" t="s">
        <v>264</v>
      </c>
      <c r="F21662">
        <v>5.74</v>
      </c>
      <c r="G21662">
        <v>230904</v>
      </c>
      <c r="H21662">
        <v>4362</v>
      </c>
      <c r="I21662" t="s">
        <v>79</v>
      </c>
      <c r="J21662">
        <v>7.12</v>
      </c>
      <c r="K21662">
        <v>1.38</v>
      </c>
      <c r="L21662">
        <v>69111</v>
      </c>
      <c r="M21662" t="s">
        <v>471</v>
      </c>
      <c r="N21662" t="str">
        <f t="shared" si="375"/>
        <v xml:space="preserve">12336023890 </v>
      </c>
      <c r="O21662">
        <v>230911</v>
      </c>
    </row>
    <row r="21663" spans="1:15" x14ac:dyDescent="0.25">
      <c r="A21663" t="s">
        <v>16</v>
      </c>
      <c r="B21663" t="s">
        <v>3221</v>
      </c>
      <c r="C21663">
        <v>11898</v>
      </c>
      <c r="D21663" t="s">
        <v>263</v>
      </c>
      <c r="E21663" t="s">
        <v>264</v>
      </c>
      <c r="F21663">
        <v>3.24</v>
      </c>
      <c r="G21663">
        <v>230904</v>
      </c>
      <c r="H21663">
        <v>4362</v>
      </c>
      <c r="I21663" t="s">
        <v>79</v>
      </c>
      <c r="J21663">
        <v>4.0199999999999996</v>
      </c>
      <c r="K21663">
        <v>0.78</v>
      </c>
      <c r="L21663">
        <v>69112</v>
      </c>
      <c r="M21663" t="s">
        <v>313</v>
      </c>
      <c r="N21663" t="str">
        <f t="shared" si="375"/>
        <v xml:space="preserve">12336023890 </v>
      </c>
      <c r="O21663">
        <v>230911</v>
      </c>
    </row>
    <row r="21664" spans="1:15" x14ac:dyDescent="0.25">
      <c r="A21664" t="s">
        <v>16</v>
      </c>
      <c r="B21664" t="s">
        <v>3221</v>
      </c>
      <c r="C21664">
        <v>11898</v>
      </c>
      <c r="D21664" t="s">
        <v>263</v>
      </c>
      <c r="E21664" t="s">
        <v>264</v>
      </c>
      <c r="F21664">
        <v>12.68</v>
      </c>
      <c r="G21664">
        <v>230904</v>
      </c>
      <c r="H21664">
        <v>4362</v>
      </c>
      <c r="I21664" t="s">
        <v>79</v>
      </c>
      <c r="J21664">
        <v>15.72</v>
      </c>
      <c r="K21664">
        <v>3.04</v>
      </c>
      <c r="L21664">
        <v>69113</v>
      </c>
      <c r="M21664" t="s">
        <v>282</v>
      </c>
      <c r="N21664" t="str">
        <f t="shared" si="375"/>
        <v xml:space="preserve">12336023890 </v>
      </c>
      <c r="O21664">
        <v>230911</v>
      </c>
    </row>
    <row r="21665" spans="1:15" x14ac:dyDescent="0.25">
      <c r="A21665" t="s">
        <v>16</v>
      </c>
      <c r="B21665" t="s">
        <v>3221</v>
      </c>
      <c r="C21665">
        <v>11898</v>
      </c>
      <c r="D21665" t="s">
        <v>263</v>
      </c>
      <c r="E21665" t="s">
        <v>264</v>
      </c>
      <c r="F21665">
        <v>35.72</v>
      </c>
      <c r="G21665">
        <v>230904</v>
      </c>
      <c r="H21665">
        <v>4362</v>
      </c>
      <c r="I21665" t="s">
        <v>79</v>
      </c>
      <c r="J21665">
        <v>44.29</v>
      </c>
      <c r="K21665">
        <v>8.57</v>
      </c>
      <c r="L21665">
        <v>69501</v>
      </c>
      <c r="M21665" t="s">
        <v>185</v>
      </c>
      <c r="N21665" t="str">
        <f t="shared" si="375"/>
        <v xml:space="preserve">12336023890 </v>
      </c>
      <c r="O21665">
        <v>230911</v>
      </c>
    </row>
    <row r="21666" spans="1:15" x14ac:dyDescent="0.25">
      <c r="A21666" t="s">
        <v>16</v>
      </c>
      <c r="B21666" t="s">
        <v>3221</v>
      </c>
      <c r="C21666">
        <v>11898</v>
      </c>
      <c r="D21666" t="s">
        <v>263</v>
      </c>
      <c r="E21666" t="s">
        <v>264</v>
      </c>
      <c r="F21666">
        <v>4.05</v>
      </c>
      <c r="G21666">
        <v>230904</v>
      </c>
      <c r="H21666">
        <v>4362</v>
      </c>
      <c r="I21666" t="s">
        <v>79</v>
      </c>
      <c r="J21666">
        <v>5.0199999999999996</v>
      </c>
      <c r="K21666">
        <v>0.97</v>
      </c>
      <c r="L21666">
        <v>69701</v>
      </c>
      <c r="M21666" t="s">
        <v>488</v>
      </c>
      <c r="N21666" t="str">
        <f t="shared" si="375"/>
        <v xml:space="preserve">12336023890 </v>
      </c>
      <c r="O21666">
        <v>230911</v>
      </c>
    </row>
    <row r="21667" spans="1:15" x14ac:dyDescent="0.25">
      <c r="A21667" t="s">
        <v>16</v>
      </c>
      <c r="B21667" t="s">
        <v>3221</v>
      </c>
      <c r="C21667">
        <v>11898</v>
      </c>
      <c r="D21667" t="s">
        <v>263</v>
      </c>
      <c r="E21667" t="s">
        <v>264</v>
      </c>
      <c r="F21667">
        <v>2.7</v>
      </c>
      <c r="G21667">
        <v>230904</v>
      </c>
      <c r="H21667">
        <v>4362</v>
      </c>
      <c r="I21667" t="s">
        <v>79</v>
      </c>
      <c r="J21667">
        <v>3.35</v>
      </c>
      <c r="K21667">
        <v>0.65</v>
      </c>
      <c r="L21667">
        <v>69702</v>
      </c>
      <c r="M21667" t="s">
        <v>489</v>
      </c>
      <c r="N21667" t="str">
        <f t="shared" si="375"/>
        <v xml:space="preserve">12336023890 </v>
      </c>
      <c r="O21667">
        <v>230911</v>
      </c>
    </row>
    <row r="21668" spans="1:15" x14ac:dyDescent="0.25">
      <c r="A21668" t="s">
        <v>16</v>
      </c>
      <c r="B21668" t="s">
        <v>3221</v>
      </c>
      <c r="C21668">
        <v>11898</v>
      </c>
      <c r="D21668" t="s">
        <v>263</v>
      </c>
      <c r="E21668" t="s">
        <v>264</v>
      </c>
      <c r="F21668">
        <v>4.05</v>
      </c>
      <c r="G21668">
        <v>230904</v>
      </c>
      <c r="H21668">
        <v>4362</v>
      </c>
      <c r="I21668" t="s">
        <v>79</v>
      </c>
      <c r="J21668">
        <v>5.0199999999999996</v>
      </c>
      <c r="K21668">
        <v>0.97</v>
      </c>
      <c r="L21668">
        <v>69703</v>
      </c>
      <c r="M21668" t="s">
        <v>1036</v>
      </c>
      <c r="N21668" t="str">
        <f t="shared" si="375"/>
        <v xml:space="preserve">12336023890 </v>
      </c>
      <c r="O21668">
        <v>230911</v>
      </c>
    </row>
    <row r="21669" spans="1:15" x14ac:dyDescent="0.25">
      <c r="A21669" t="s">
        <v>16</v>
      </c>
      <c r="B21669" t="s">
        <v>3221</v>
      </c>
      <c r="C21669">
        <v>11898</v>
      </c>
      <c r="D21669" t="s">
        <v>263</v>
      </c>
      <c r="E21669" t="s">
        <v>264</v>
      </c>
      <c r="F21669">
        <v>5.25</v>
      </c>
      <c r="G21669">
        <v>230904</v>
      </c>
      <c r="H21669">
        <v>4362</v>
      </c>
      <c r="I21669" t="s">
        <v>79</v>
      </c>
      <c r="J21669">
        <v>6.51</v>
      </c>
      <c r="K21669">
        <v>1.26</v>
      </c>
      <c r="L21669">
        <v>69704</v>
      </c>
      <c r="M21669" t="s">
        <v>325</v>
      </c>
      <c r="N21669" t="str">
        <f t="shared" si="375"/>
        <v xml:space="preserve">12336023890 </v>
      </c>
      <c r="O21669">
        <v>230911</v>
      </c>
    </row>
    <row r="21670" spans="1:15" x14ac:dyDescent="0.25">
      <c r="A21670" t="s">
        <v>16</v>
      </c>
      <c r="B21670" t="s">
        <v>3221</v>
      </c>
      <c r="C21670">
        <v>11898</v>
      </c>
      <c r="D21670" t="s">
        <v>263</v>
      </c>
      <c r="E21670" t="s">
        <v>264</v>
      </c>
      <c r="F21670">
        <v>5.25</v>
      </c>
      <c r="G21670">
        <v>230904</v>
      </c>
      <c r="H21670">
        <v>4362</v>
      </c>
      <c r="I21670" t="s">
        <v>79</v>
      </c>
      <c r="J21670">
        <v>6.51</v>
      </c>
      <c r="K21670">
        <v>1.26</v>
      </c>
      <c r="L21670">
        <v>69704</v>
      </c>
      <c r="M21670" t="s">
        <v>325</v>
      </c>
      <c r="N21670" t="str">
        <f t="shared" si="375"/>
        <v xml:space="preserve">12336023890 </v>
      </c>
      <c r="O21670">
        <v>230911</v>
      </c>
    </row>
    <row r="21671" spans="1:15" x14ac:dyDescent="0.25">
      <c r="A21671" t="s">
        <v>16</v>
      </c>
      <c r="B21671" t="s">
        <v>3221</v>
      </c>
      <c r="C21671">
        <v>11898</v>
      </c>
      <c r="D21671" t="s">
        <v>263</v>
      </c>
      <c r="E21671" t="s">
        <v>264</v>
      </c>
      <c r="F21671">
        <v>5.46</v>
      </c>
      <c r="G21671">
        <v>230904</v>
      </c>
      <c r="H21671">
        <v>4362</v>
      </c>
      <c r="I21671" t="s">
        <v>79</v>
      </c>
      <c r="J21671">
        <v>6.77</v>
      </c>
      <c r="K21671">
        <v>1.31</v>
      </c>
      <c r="L21671">
        <v>69707</v>
      </c>
      <c r="M21671" t="s">
        <v>490</v>
      </c>
      <c r="N21671" t="str">
        <f t="shared" si="375"/>
        <v xml:space="preserve">12336023890 </v>
      </c>
      <c r="O21671">
        <v>230911</v>
      </c>
    </row>
    <row r="21672" spans="1:15" x14ac:dyDescent="0.25">
      <c r="A21672" t="s">
        <v>16</v>
      </c>
      <c r="B21672" t="s">
        <v>3221</v>
      </c>
      <c r="C21672">
        <v>11898</v>
      </c>
      <c r="D21672" t="s">
        <v>263</v>
      </c>
      <c r="E21672" t="s">
        <v>264</v>
      </c>
      <c r="F21672">
        <v>8.4700000000000006</v>
      </c>
      <c r="G21672">
        <v>230904</v>
      </c>
      <c r="H21672">
        <v>4362</v>
      </c>
      <c r="I21672" t="s">
        <v>79</v>
      </c>
      <c r="J21672">
        <v>10.5</v>
      </c>
      <c r="K21672">
        <v>2.0299999999999998</v>
      </c>
      <c r="L21672">
        <v>69708</v>
      </c>
      <c r="M21672" t="s">
        <v>491</v>
      </c>
      <c r="N21672" t="str">
        <f t="shared" si="375"/>
        <v xml:space="preserve">12336023890 </v>
      </c>
      <c r="O21672">
        <v>230911</v>
      </c>
    </row>
    <row r="21673" spans="1:15" x14ac:dyDescent="0.25">
      <c r="A21673" t="s">
        <v>16</v>
      </c>
      <c r="B21673" t="s">
        <v>3221</v>
      </c>
      <c r="C21673">
        <v>11899</v>
      </c>
      <c r="D21673" t="s">
        <v>263</v>
      </c>
      <c r="E21673" t="s">
        <v>264</v>
      </c>
      <c r="F21673">
        <v>2.1</v>
      </c>
      <c r="G21673">
        <v>230904</v>
      </c>
      <c r="H21673">
        <v>4362</v>
      </c>
      <c r="I21673" t="s">
        <v>79</v>
      </c>
      <c r="J21673">
        <v>2.61</v>
      </c>
      <c r="K21673">
        <v>0.51</v>
      </c>
      <c r="L21673">
        <v>41126</v>
      </c>
      <c r="M21673" t="s">
        <v>761</v>
      </c>
      <c r="N21673" t="str">
        <f t="shared" ref="N21673:N21678" si="376">"12336023906 "</f>
        <v xml:space="preserve">12336023906 </v>
      </c>
      <c r="O21673">
        <v>230911</v>
      </c>
    </row>
    <row r="21674" spans="1:15" x14ac:dyDescent="0.25">
      <c r="A21674" t="s">
        <v>16</v>
      </c>
      <c r="B21674" t="s">
        <v>3221</v>
      </c>
      <c r="C21674">
        <v>11899</v>
      </c>
      <c r="D21674" t="s">
        <v>263</v>
      </c>
      <c r="E21674" t="s">
        <v>264</v>
      </c>
      <c r="F21674">
        <v>1.62</v>
      </c>
      <c r="G21674">
        <v>230904</v>
      </c>
      <c r="H21674">
        <v>4362</v>
      </c>
      <c r="I21674" t="s">
        <v>79</v>
      </c>
      <c r="J21674">
        <v>2.0099999999999998</v>
      </c>
      <c r="K21674">
        <v>0.39</v>
      </c>
      <c r="L21674">
        <v>43222</v>
      </c>
      <c r="M21674" t="s">
        <v>507</v>
      </c>
      <c r="N21674" t="str">
        <f t="shared" si="376"/>
        <v xml:space="preserve">12336023906 </v>
      </c>
      <c r="O21674">
        <v>230911</v>
      </c>
    </row>
    <row r="21675" spans="1:15" x14ac:dyDescent="0.25">
      <c r="A21675" t="s">
        <v>16</v>
      </c>
      <c r="B21675" t="s">
        <v>3221</v>
      </c>
      <c r="C21675">
        <v>11899</v>
      </c>
      <c r="D21675" t="s">
        <v>263</v>
      </c>
      <c r="E21675" t="s">
        <v>264</v>
      </c>
      <c r="F21675">
        <v>1.95</v>
      </c>
      <c r="G21675">
        <v>230904</v>
      </c>
      <c r="H21675">
        <v>4362</v>
      </c>
      <c r="I21675" t="s">
        <v>79</v>
      </c>
      <c r="J21675">
        <v>2.42</v>
      </c>
      <c r="K21675">
        <v>0.47</v>
      </c>
      <c r="L21675">
        <v>44222</v>
      </c>
      <c r="M21675" t="s">
        <v>232</v>
      </c>
      <c r="N21675" t="str">
        <f t="shared" si="376"/>
        <v xml:space="preserve">12336023906 </v>
      </c>
      <c r="O21675">
        <v>230911</v>
      </c>
    </row>
    <row r="21676" spans="1:15" x14ac:dyDescent="0.25">
      <c r="A21676" t="s">
        <v>16</v>
      </c>
      <c r="B21676" t="s">
        <v>3221</v>
      </c>
      <c r="C21676">
        <v>11899</v>
      </c>
      <c r="D21676" t="s">
        <v>263</v>
      </c>
      <c r="E21676" t="s">
        <v>264</v>
      </c>
      <c r="F21676">
        <v>2.1</v>
      </c>
      <c r="G21676">
        <v>230904</v>
      </c>
      <c r="H21676">
        <v>4362</v>
      </c>
      <c r="I21676" t="s">
        <v>79</v>
      </c>
      <c r="J21676">
        <v>2.61</v>
      </c>
      <c r="K21676">
        <v>0.51</v>
      </c>
      <c r="L21676">
        <v>44424</v>
      </c>
      <c r="M21676" t="s">
        <v>776</v>
      </c>
      <c r="N21676" t="str">
        <f t="shared" si="376"/>
        <v xml:space="preserve">12336023906 </v>
      </c>
      <c r="O21676">
        <v>230911</v>
      </c>
    </row>
    <row r="21677" spans="1:15" x14ac:dyDescent="0.25">
      <c r="A21677" t="s">
        <v>16</v>
      </c>
      <c r="B21677" t="s">
        <v>3221</v>
      </c>
      <c r="C21677">
        <v>11899</v>
      </c>
      <c r="D21677" t="s">
        <v>263</v>
      </c>
      <c r="E21677" t="s">
        <v>264</v>
      </c>
      <c r="F21677">
        <v>1.1399999999999999</v>
      </c>
      <c r="G21677">
        <v>230904</v>
      </c>
      <c r="H21677">
        <v>4362</v>
      </c>
      <c r="I21677" t="s">
        <v>79</v>
      </c>
      <c r="J21677">
        <v>1.41</v>
      </c>
      <c r="K21677">
        <v>0.27</v>
      </c>
      <c r="L21677">
        <v>46222</v>
      </c>
      <c r="M21677" t="s">
        <v>293</v>
      </c>
      <c r="N21677" t="str">
        <f t="shared" si="376"/>
        <v xml:space="preserve">12336023906 </v>
      </c>
      <c r="O21677">
        <v>230911</v>
      </c>
    </row>
    <row r="21678" spans="1:15" x14ac:dyDescent="0.25">
      <c r="A21678" t="s">
        <v>16</v>
      </c>
      <c r="B21678" t="s">
        <v>3221</v>
      </c>
      <c r="C21678">
        <v>11899</v>
      </c>
      <c r="D21678" t="s">
        <v>263</v>
      </c>
      <c r="E21678" t="s">
        <v>264</v>
      </c>
      <c r="F21678">
        <v>7.3</v>
      </c>
      <c r="G21678">
        <v>230904</v>
      </c>
      <c r="H21678">
        <v>4362</v>
      </c>
      <c r="I21678" t="s">
        <v>79</v>
      </c>
      <c r="J21678">
        <v>9.0500000000000007</v>
      </c>
      <c r="K21678">
        <v>1.75</v>
      </c>
      <c r="L21678">
        <v>46559</v>
      </c>
      <c r="M21678" t="s">
        <v>1104</v>
      </c>
      <c r="N21678" t="str">
        <f t="shared" si="376"/>
        <v xml:space="preserve">12336023906 </v>
      </c>
      <c r="O21678">
        <v>230911</v>
      </c>
    </row>
    <row r="21679" spans="1:15" x14ac:dyDescent="0.25">
      <c r="A21679" t="s">
        <v>16</v>
      </c>
      <c r="B21679" t="s">
        <v>3221</v>
      </c>
      <c r="C21679">
        <v>11900</v>
      </c>
      <c r="D21679" t="s">
        <v>263</v>
      </c>
      <c r="E21679" t="s">
        <v>264</v>
      </c>
      <c r="F21679">
        <v>2.7</v>
      </c>
      <c r="G21679">
        <v>230904</v>
      </c>
      <c r="H21679">
        <v>4362</v>
      </c>
      <c r="I21679" t="s">
        <v>79</v>
      </c>
      <c r="J21679">
        <v>3.35</v>
      </c>
      <c r="K21679">
        <v>0.65</v>
      </c>
      <c r="L21679">
        <v>11301</v>
      </c>
      <c r="M21679" t="s">
        <v>29</v>
      </c>
      <c r="N21679" t="str">
        <f t="shared" ref="N21679:N21688" si="377">"12336023892 "</f>
        <v xml:space="preserve">12336023892 </v>
      </c>
      <c r="O21679">
        <v>230911</v>
      </c>
    </row>
    <row r="21680" spans="1:15" x14ac:dyDescent="0.25">
      <c r="A21680" t="s">
        <v>16</v>
      </c>
      <c r="B21680" t="s">
        <v>3221</v>
      </c>
      <c r="C21680">
        <v>11900</v>
      </c>
      <c r="D21680" t="s">
        <v>263</v>
      </c>
      <c r="E21680" t="s">
        <v>264</v>
      </c>
      <c r="F21680">
        <v>5.99</v>
      </c>
      <c r="G21680">
        <v>230904</v>
      </c>
      <c r="H21680">
        <v>4362</v>
      </c>
      <c r="I21680" t="s">
        <v>79</v>
      </c>
      <c r="J21680">
        <v>7.43</v>
      </c>
      <c r="K21680">
        <v>1.44</v>
      </c>
      <c r="L21680">
        <v>11301</v>
      </c>
      <c r="M21680" t="s">
        <v>29</v>
      </c>
      <c r="N21680" t="str">
        <f t="shared" si="377"/>
        <v xml:space="preserve">12336023892 </v>
      </c>
      <c r="O21680">
        <v>230911</v>
      </c>
    </row>
    <row r="21681" spans="1:15" x14ac:dyDescent="0.25">
      <c r="A21681" t="s">
        <v>16</v>
      </c>
      <c r="B21681" t="s">
        <v>3221</v>
      </c>
      <c r="C21681">
        <v>11900</v>
      </c>
      <c r="D21681" t="s">
        <v>263</v>
      </c>
      <c r="E21681" t="s">
        <v>264</v>
      </c>
      <c r="F21681">
        <v>3.56</v>
      </c>
      <c r="G21681">
        <v>230904</v>
      </c>
      <c r="H21681">
        <v>4362</v>
      </c>
      <c r="I21681" t="s">
        <v>79</v>
      </c>
      <c r="J21681">
        <v>4.41</v>
      </c>
      <c r="K21681">
        <v>0.85</v>
      </c>
      <c r="L21681">
        <v>11900</v>
      </c>
      <c r="M21681" t="s">
        <v>1105</v>
      </c>
      <c r="N21681" t="str">
        <f t="shared" si="377"/>
        <v xml:space="preserve">12336023892 </v>
      </c>
      <c r="O21681">
        <v>230911</v>
      </c>
    </row>
    <row r="21682" spans="1:15" x14ac:dyDescent="0.25">
      <c r="A21682" t="s">
        <v>16</v>
      </c>
      <c r="B21682" t="s">
        <v>3221</v>
      </c>
      <c r="C21682">
        <v>11900</v>
      </c>
      <c r="D21682" t="s">
        <v>263</v>
      </c>
      <c r="E21682" t="s">
        <v>264</v>
      </c>
      <c r="F21682">
        <v>8.11</v>
      </c>
      <c r="G21682">
        <v>230904</v>
      </c>
      <c r="H21682">
        <v>4362</v>
      </c>
      <c r="I21682" t="s">
        <v>79</v>
      </c>
      <c r="J21682">
        <v>8.11</v>
      </c>
      <c r="K21682">
        <v>0</v>
      </c>
      <c r="L21682">
        <v>11901</v>
      </c>
      <c r="M21682" t="s">
        <v>36</v>
      </c>
      <c r="N21682" t="str">
        <f t="shared" si="377"/>
        <v xml:space="preserve">12336023892 </v>
      </c>
      <c r="O21682">
        <v>230911</v>
      </c>
    </row>
    <row r="21683" spans="1:15" x14ac:dyDescent="0.25">
      <c r="A21683" t="s">
        <v>16</v>
      </c>
      <c r="B21683" t="s">
        <v>3221</v>
      </c>
      <c r="C21683">
        <v>11900</v>
      </c>
      <c r="D21683" t="s">
        <v>263</v>
      </c>
      <c r="E21683" t="s">
        <v>264</v>
      </c>
      <c r="F21683">
        <v>16.16</v>
      </c>
      <c r="G21683">
        <v>230904</v>
      </c>
      <c r="H21683">
        <v>4362</v>
      </c>
      <c r="I21683" t="s">
        <v>79</v>
      </c>
      <c r="J21683">
        <v>20.04</v>
      </c>
      <c r="K21683">
        <v>3.88</v>
      </c>
      <c r="L21683">
        <v>11901</v>
      </c>
      <c r="M21683" t="s">
        <v>36</v>
      </c>
      <c r="N21683" t="str">
        <f t="shared" si="377"/>
        <v xml:space="preserve">12336023892 </v>
      </c>
      <c r="O21683">
        <v>230911</v>
      </c>
    </row>
    <row r="21684" spans="1:15" x14ac:dyDescent="0.25">
      <c r="A21684" t="s">
        <v>16</v>
      </c>
      <c r="B21684" t="s">
        <v>3221</v>
      </c>
      <c r="C21684">
        <v>11900</v>
      </c>
      <c r="D21684" t="s">
        <v>263</v>
      </c>
      <c r="E21684" t="s">
        <v>264</v>
      </c>
      <c r="F21684">
        <v>5.4</v>
      </c>
      <c r="G21684">
        <v>230904</v>
      </c>
      <c r="H21684">
        <v>4362</v>
      </c>
      <c r="I21684" t="s">
        <v>79</v>
      </c>
      <c r="J21684">
        <v>6.7</v>
      </c>
      <c r="K21684">
        <v>1.3</v>
      </c>
      <c r="L21684">
        <v>11903</v>
      </c>
      <c r="M21684" t="s">
        <v>406</v>
      </c>
      <c r="N21684" t="str">
        <f t="shared" si="377"/>
        <v xml:space="preserve">12336023892 </v>
      </c>
      <c r="O21684">
        <v>230911</v>
      </c>
    </row>
    <row r="21685" spans="1:15" x14ac:dyDescent="0.25">
      <c r="A21685" t="s">
        <v>16</v>
      </c>
      <c r="B21685" t="s">
        <v>3221</v>
      </c>
      <c r="C21685">
        <v>11900</v>
      </c>
      <c r="D21685" t="s">
        <v>263</v>
      </c>
      <c r="E21685" t="s">
        <v>264</v>
      </c>
      <c r="F21685">
        <v>5.4</v>
      </c>
      <c r="G21685">
        <v>230904</v>
      </c>
      <c r="H21685">
        <v>4362</v>
      </c>
      <c r="I21685" t="s">
        <v>79</v>
      </c>
      <c r="J21685">
        <v>6.7</v>
      </c>
      <c r="K21685">
        <v>1.3</v>
      </c>
      <c r="L21685">
        <v>11905</v>
      </c>
      <c r="M21685" t="s">
        <v>39</v>
      </c>
      <c r="N21685" t="str">
        <f t="shared" si="377"/>
        <v xml:space="preserve">12336023892 </v>
      </c>
      <c r="O21685">
        <v>230911</v>
      </c>
    </row>
    <row r="21686" spans="1:15" x14ac:dyDescent="0.25">
      <c r="A21686" t="s">
        <v>16</v>
      </c>
      <c r="B21686" t="s">
        <v>3221</v>
      </c>
      <c r="C21686">
        <v>11900</v>
      </c>
      <c r="D21686" t="s">
        <v>263</v>
      </c>
      <c r="E21686" t="s">
        <v>264</v>
      </c>
      <c r="F21686">
        <v>5.4</v>
      </c>
      <c r="G21686">
        <v>230904</v>
      </c>
      <c r="H21686">
        <v>4362</v>
      </c>
      <c r="I21686" t="s">
        <v>79</v>
      </c>
      <c r="J21686">
        <v>6.7</v>
      </c>
      <c r="K21686">
        <v>1.3</v>
      </c>
      <c r="L21686">
        <v>11908</v>
      </c>
      <c r="M21686" t="s">
        <v>598</v>
      </c>
      <c r="N21686" t="str">
        <f t="shared" si="377"/>
        <v xml:space="preserve">12336023892 </v>
      </c>
      <c r="O21686">
        <v>230911</v>
      </c>
    </row>
    <row r="21687" spans="1:15" x14ac:dyDescent="0.25">
      <c r="A21687" t="s">
        <v>16</v>
      </c>
      <c r="B21687" t="s">
        <v>3221</v>
      </c>
      <c r="C21687">
        <v>11900</v>
      </c>
      <c r="D21687" t="s">
        <v>263</v>
      </c>
      <c r="E21687" t="s">
        <v>264</v>
      </c>
      <c r="F21687">
        <v>3.43</v>
      </c>
      <c r="G21687">
        <v>230904</v>
      </c>
      <c r="H21687">
        <v>4362</v>
      </c>
      <c r="I21687" t="s">
        <v>79</v>
      </c>
      <c r="J21687">
        <v>4.25</v>
      </c>
      <c r="K21687">
        <v>0.82</v>
      </c>
      <c r="L21687">
        <v>13401</v>
      </c>
      <c r="M21687" t="s">
        <v>80</v>
      </c>
      <c r="N21687" t="str">
        <f t="shared" si="377"/>
        <v xml:space="preserve">12336023892 </v>
      </c>
      <c r="O21687">
        <v>230911</v>
      </c>
    </row>
    <row r="21688" spans="1:15" x14ac:dyDescent="0.25">
      <c r="A21688" t="s">
        <v>16</v>
      </c>
      <c r="B21688" t="s">
        <v>3221</v>
      </c>
      <c r="C21688">
        <v>11900</v>
      </c>
      <c r="D21688" t="s">
        <v>263</v>
      </c>
      <c r="E21688" t="s">
        <v>264</v>
      </c>
      <c r="F21688">
        <v>2.83</v>
      </c>
      <c r="G21688">
        <v>230904</v>
      </c>
      <c r="H21688">
        <v>4362</v>
      </c>
      <c r="I21688" t="s">
        <v>79</v>
      </c>
      <c r="J21688">
        <v>3.51</v>
      </c>
      <c r="K21688">
        <v>0.68</v>
      </c>
      <c r="L21688">
        <v>18991</v>
      </c>
      <c r="M21688" t="s">
        <v>1106</v>
      </c>
      <c r="N21688" t="str">
        <f t="shared" si="377"/>
        <v xml:space="preserve">12336023892 </v>
      </c>
      <c r="O21688">
        <v>230911</v>
      </c>
    </row>
    <row r="21689" spans="1:15" x14ac:dyDescent="0.25">
      <c r="A21689" t="s">
        <v>16</v>
      </c>
      <c r="B21689" t="s">
        <v>3221</v>
      </c>
      <c r="C21689">
        <v>11901</v>
      </c>
      <c r="D21689" t="s">
        <v>263</v>
      </c>
      <c r="E21689" t="s">
        <v>264</v>
      </c>
      <c r="F21689">
        <v>4.91</v>
      </c>
      <c r="G21689">
        <v>230904</v>
      </c>
      <c r="H21689">
        <v>4362</v>
      </c>
      <c r="I21689" t="s">
        <v>79</v>
      </c>
      <c r="J21689">
        <v>6.09</v>
      </c>
      <c r="K21689">
        <v>1.18</v>
      </c>
      <c r="L21689">
        <v>46554</v>
      </c>
      <c r="M21689" t="s">
        <v>117</v>
      </c>
      <c r="N21689" t="str">
        <f>"12336023898 "</f>
        <v xml:space="preserve">12336023898 </v>
      </c>
      <c r="O21689">
        <v>230911</v>
      </c>
    </row>
    <row r="21690" spans="1:15" x14ac:dyDescent="0.25">
      <c r="A21690" t="s">
        <v>16</v>
      </c>
      <c r="B21690" t="s">
        <v>3221</v>
      </c>
      <c r="C21690">
        <v>11901</v>
      </c>
      <c r="D21690" t="s">
        <v>263</v>
      </c>
      <c r="E21690" t="s">
        <v>264</v>
      </c>
      <c r="F21690">
        <v>15.71</v>
      </c>
      <c r="G21690">
        <v>230904</v>
      </c>
      <c r="H21690">
        <v>4362</v>
      </c>
      <c r="I21690" t="s">
        <v>79</v>
      </c>
      <c r="J21690">
        <v>19.48</v>
      </c>
      <c r="K21690">
        <v>3.77</v>
      </c>
      <c r="L21690">
        <v>46554</v>
      </c>
      <c r="M21690" t="s">
        <v>117</v>
      </c>
      <c r="N21690" t="str">
        <f>"12336023898 "</f>
        <v xml:space="preserve">12336023898 </v>
      </c>
      <c r="O21690">
        <v>230911</v>
      </c>
    </row>
    <row r="21691" spans="1:15" x14ac:dyDescent="0.25">
      <c r="A21691" t="s">
        <v>16</v>
      </c>
      <c r="B21691" t="s">
        <v>3221</v>
      </c>
      <c r="C21691">
        <v>11902</v>
      </c>
      <c r="D21691" t="s">
        <v>263</v>
      </c>
      <c r="E21691" t="s">
        <v>264</v>
      </c>
      <c r="F21691">
        <v>13.56</v>
      </c>
      <c r="G21691">
        <v>230904</v>
      </c>
      <c r="H21691">
        <v>4362</v>
      </c>
      <c r="I21691" t="s">
        <v>79</v>
      </c>
      <c r="J21691">
        <v>16.809999999999999</v>
      </c>
      <c r="K21691">
        <v>3.25</v>
      </c>
      <c r="L21691">
        <v>47522</v>
      </c>
      <c r="M21691" t="s">
        <v>410</v>
      </c>
      <c r="N21691" t="str">
        <f>"12336023897 "</f>
        <v xml:space="preserve">12336023897 </v>
      </c>
      <c r="O21691">
        <v>230911</v>
      </c>
    </row>
    <row r="21692" spans="1:15" x14ac:dyDescent="0.25">
      <c r="A21692" t="s">
        <v>16</v>
      </c>
      <c r="B21692" t="s">
        <v>3221</v>
      </c>
      <c r="C21692">
        <v>11902</v>
      </c>
      <c r="D21692" t="s">
        <v>263</v>
      </c>
      <c r="E21692" t="s">
        <v>264</v>
      </c>
      <c r="F21692">
        <v>3.69</v>
      </c>
      <c r="G21692">
        <v>230904</v>
      </c>
      <c r="H21692">
        <v>4362</v>
      </c>
      <c r="I21692" t="s">
        <v>79</v>
      </c>
      <c r="J21692">
        <v>3.69</v>
      </c>
      <c r="K21692">
        <v>0</v>
      </c>
      <c r="L21692">
        <v>49702</v>
      </c>
      <c r="M21692" t="s">
        <v>584</v>
      </c>
      <c r="N21692" t="str">
        <f>"12336023897 "</f>
        <v xml:space="preserve">12336023897 </v>
      </c>
      <c r="O21692">
        <v>230911</v>
      </c>
    </row>
    <row r="21693" spans="1:15" x14ac:dyDescent="0.25">
      <c r="A21693" t="s">
        <v>16</v>
      </c>
      <c r="B21693" t="s">
        <v>3221</v>
      </c>
      <c r="C21693">
        <v>11903</v>
      </c>
      <c r="D21693" t="s">
        <v>263</v>
      </c>
      <c r="E21693" t="s">
        <v>264</v>
      </c>
      <c r="F21693">
        <v>9.75</v>
      </c>
      <c r="G21693">
        <v>230904</v>
      </c>
      <c r="H21693">
        <v>4362</v>
      </c>
      <c r="I21693" t="s">
        <v>79</v>
      </c>
      <c r="J21693">
        <v>12.09</v>
      </c>
      <c r="K21693">
        <v>2.34</v>
      </c>
      <c r="L21693">
        <v>48601</v>
      </c>
      <c r="M21693" t="s">
        <v>1047</v>
      </c>
      <c r="N21693" t="str">
        <f>"12336023899 "</f>
        <v xml:space="preserve">12336023899 </v>
      </c>
      <c r="O21693">
        <v>230911</v>
      </c>
    </row>
    <row r="21694" spans="1:15" x14ac:dyDescent="0.25">
      <c r="A21694" t="s">
        <v>16</v>
      </c>
      <c r="B21694" t="s">
        <v>3221</v>
      </c>
      <c r="C21694">
        <v>11903</v>
      </c>
      <c r="D21694" t="s">
        <v>263</v>
      </c>
      <c r="E21694" t="s">
        <v>264</v>
      </c>
      <c r="F21694">
        <v>17.28</v>
      </c>
      <c r="G21694">
        <v>230904</v>
      </c>
      <c r="H21694">
        <v>4362</v>
      </c>
      <c r="I21694" t="s">
        <v>79</v>
      </c>
      <c r="J21694">
        <v>21.43</v>
      </c>
      <c r="K21694">
        <v>4.1500000000000004</v>
      </c>
      <c r="L21694">
        <v>49704</v>
      </c>
      <c r="M21694" t="s">
        <v>1065</v>
      </c>
      <c r="N21694" t="str">
        <f>"12336023899 "</f>
        <v xml:space="preserve">12336023899 </v>
      </c>
      <c r="O21694">
        <v>230911</v>
      </c>
    </row>
    <row r="21695" spans="1:15" x14ac:dyDescent="0.25">
      <c r="A21695" t="s">
        <v>16</v>
      </c>
      <c r="B21695" t="s">
        <v>3221</v>
      </c>
      <c r="C21695">
        <v>11903</v>
      </c>
      <c r="D21695" t="s">
        <v>263</v>
      </c>
      <c r="E21695" t="s">
        <v>264</v>
      </c>
      <c r="F21695">
        <v>21.6</v>
      </c>
      <c r="G21695">
        <v>230904</v>
      </c>
      <c r="H21695">
        <v>4362</v>
      </c>
      <c r="I21695" t="s">
        <v>79</v>
      </c>
      <c r="J21695">
        <v>26.78</v>
      </c>
      <c r="K21695">
        <v>5.18</v>
      </c>
      <c r="L21695">
        <v>49705</v>
      </c>
      <c r="M21695" t="s">
        <v>575</v>
      </c>
      <c r="N21695" t="str">
        <f>"12336023899 "</f>
        <v xml:space="preserve">12336023899 </v>
      </c>
      <c r="O21695">
        <v>230911</v>
      </c>
    </row>
    <row r="21696" spans="1:15" x14ac:dyDescent="0.25">
      <c r="A21696" t="s">
        <v>16</v>
      </c>
      <c r="B21696" t="s">
        <v>3221</v>
      </c>
      <c r="C21696">
        <v>11904</v>
      </c>
      <c r="D21696" t="s">
        <v>263</v>
      </c>
      <c r="E21696" t="s">
        <v>264</v>
      </c>
      <c r="F21696">
        <v>9.31</v>
      </c>
      <c r="G21696">
        <v>230904</v>
      </c>
      <c r="H21696">
        <v>4362</v>
      </c>
      <c r="I21696" t="s">
        <v>79</v>
      </c>
      <c r="J21696">
        <v>11.54</v>
      </c>
      <c r="K21696">
        <v>2.23</v>
      </c>
      <c r="L21696">
        <v>17913</v>
      </c>
      <c r="M21696" t="s">
        <v>431</v>
      </c>
      <c r="N21696" t="str">
        <f>"12336023907 "</f>
        <v xml:space="preserve">12336023907 </v>
      </c>
      <c r="O21696">
        <v>230911</v>
      </c>
    </row>
    <row r="21697" spans="1:15" x14ac:dyDescent="0.25">
      <c r="A21697" t="s">
        <v>16</v>
      </c>
      <c r="B21697" t="s">
        <v>3221</v>
      </c>
      <c r="C21697">
        <v>11904</v>
      </c>
      <c r="D21697" t="s">
        <v>263</v>
      </c>
      <c r="E21697" t="s">
        <v>264</v>
      </c>
      <c r="F21697">
        <v>23.28</v>
      </c>
      <c r="G21697">
        <v>230904</v>
      </c>
      <c r="H21697">
        <v>4362</v>
      </c>
      <c r="I21697" t="s">
        <v>79</v>
      </c>
      <c r="J21697">
        <v>28.87</v>
      </c>
      <c r="K21697">
        <v>5.59</v>
      </c>
      <c r="L21697">
        <v>17951</v>
      </c>
      <c r="M21697" t="s">
        <v>87</v>
      </c>
      <c r="N21697" t="str">
        <f>"12336023907 "</f>
        <v xml:space="preserve">12336023907 </v>
      </c>
      <c r="O21697">
        <v>230911</v>
      </c>
    </row>
    <row r="21698" spans="1:15" x14ac:dyDescent="0.25">
      <c r="A21698" t="s">
        <v>16</v>
      </c>
      <c r="B21698" t="s">
        <v>3221</v>
      </c>
      <c r="C21698">
        <v>11904</v>
      </c>
      <c r="D21698" t="s">
        <v>263</v>
      </c>
      <c r="E21698" t="s">
        <v>264</v>
      </c>
      <c r="F21698">
        <v>10.8</v>
      </c>
      <c r="G21698">
        <v>230904</v>
      </c>
      <c r="H21698">
        <v>4362</v>
      </c>
      <c r="I21698" t="s">
        <v>79</v>
      </c>
      <c r="J21698">
        <v>13.39</v>
      </c>
      <c r="K21698">
        <v>2.59</v>
      </c>
      <c r="L21698">
        <v>17971</v>
      </c>
      <c r="M21698" t="s">
        <v>138</v>
      </c>
      <c r="N21698" t="str">
        <f>"12336023907 "</f>
        <v xml:space="preserve">12336023907 </v>
      </c>
      <c r="O21698">
        <v>230911</v>
      </c>
    </row>
    <row r="21699" spans="1:15" x14ac:dyDescent="0.25">
      <c r="A21699" t="s">
        <v>16</v>
      </c>
      <c r="B21699" t="s">
        <v>3221</v>
      </c>
      <c r="C21699">
        <v>11904</v>
      </c>
      <c r="D21699" t="s">
        <v>263</v>
      </c>
      <c r="E21699" t="s">
        <v>264</v>
      </c>
      <c r="F21699">
        <v>5.25</v>
      </c>
      <c r="G21699">
        <v>230904</v>
      </c>
      <c r="H21699">
        <v>4362</v>
      </c>
      <c r="I21699" t="s">
        <v>79</v>
      </c>
      <c r="J21699">
        <v>6.51</v>
      </c>
      <c r="K21699">
        <v>1.26</v>
      </c>
      <c r="L21699">
        <v>17974</v>
      </c>
      <c r="M21699" t="s">
        <v>460</v>
      </c>
      <c r="N21699" t="str">
        <f>"12336023907 "</f>
        <v xml:space="preserve">12336023907 </v>
      </c>
      <c r="O21699">
        <v>230911</v>
      </c>
    </row>
    <row r="21700" spans="1:15" x14ac:dyDescent="0.25">
      <c r="A21700" t="s">
        <v>16</v>
      </c>
      <c r="B21700" t="s">
        <v>3221</v>
      </c>
      <c r="C21700">
        <v>11904</v>
      </c>
      <c r="D21700" t="s">
        <v>263</v>
      </c>
      <c r="E21700" t="s">
        <v>264</v>
      </c>
      <c r="F21700">
        <v>16.170000000000002</v>
      </c>
      <c r="G21700">
        <v>230904</v>
      </c>
      <c r="H21700">
        <v>4362</v>
      </c>
      <c r="I21700" t="s">
        <v>79</v>
      </c>
      <c r="J21700">
        <v>20.05</v>
      </c>
      <c r="K21700">
        <v>3.88</v>
      </c>
      <c r="L21700">
        <v>17975</v>
      </c>
      <c r="M21700" t="s">
        <v>798</v>
      </c>
      <c r="N21700" t="str">
        <f>"12336023907 "</f>
        <v xml:space="preserve">12336023907 </v>
      </c>
      <c r="O21700">
        <v>230911</v>
      </c>
    </row>
    <row r="21701" spans="1:15" x14ac:dyDescent="0.25">
      <c r="A21701" t="s">
        <v>16</v>
      </c>
      <c r="B21701" t="s">
        <v>3221</v>
      </c>
      <c r="C21701">
        <v>11905</v>
      </c>
      <c r="D21701" t="s">
        <v>263</v>
      </c>
      <c r="E21701" t="s">
        <v>264</v>
      </c>
      <c r="F21701">
        <v>39.69</v>
      </c>
      <c r="G21701">
        <v>230904</v>
      </c>
      <c r="H21701">
        <v>4362</v>
      </c>
      <c r="I21701" t="s">
        <v>79</v>
      </c>
      <c r="J21701">
        <v>49.22</v>
      </c>
      <c r="K21701">
        <v>9.5299999999999994</v>
      </c>
      <c r="L21701">
        <v>49501</v>
      </c>
      <c r="M21701" t="s">
        <v>177</v>
      </c>
      <c r="N21701" t="str">
        <f>"12336023894 "</f>
        <v xml:space="preserve">12336023894 </v>
      </c>
      <c r="O21701">
        <v>230911</v>
      </c>
    </row>
    <row r="21702" spans="1:15" x14ac:dyDescent="0.25">
      <c r="A21702" t="s">
        <v>16</v>
      </c>
      <c r="B21702" t="s">
        <v>3221</v>
      </c>
      <c r="C21702">
        <v>11906</v>
      </c>
      <c r="D21702" t="s">
        <v>263</v>
      </c>
      <c r="E21702" t="s">
        <v>264</v>
      </c>
      <c r="F21702">
        <v>2.7</v>
      </c>
      <c r="G21702">
        <v>230904</v>
      </c>
      <c r="H21702">
        <v>4362</v>
      </c>
      <c r="I21702" t="s">
        <v>79</v>
      </c>
      <c r="J21702">
        <v>3.35</v>
      </c>
      <c r="K21702">
        <v>0.65</v>
      </c>
      <c r="L21702">
        <v>11900</v>
      </c>
      <c r="M21702" t="s">
        <v>1105</v>
      </c>
      <c r="N21702" t="str">
        <f>"12336023905 "</f>
        <v xml:space="preserve">12336023905 </v>
      </c>
      <c r="O21702">
        <v>230911</v>
      </c>
    </row>
    <row r="21703" spans="1:15" x14ac:dyDescent="0.25">
      <c r="A21703" t="s">
        <v>16</v>
      </c>
      <c r="B21703" t="s">
        <v>3221</v>
      </c>
      <c r="C21703">
        <v>11907</v>
      </c>
      <c r="D21703" t="s">
        <v>263</v>
      </c>
      <c r="E21703" t="s">
        <v>264</v>
      </c>
      <c r="F21703">
        <v>5.25</v>
      </c>
      <c r="G21703">
        <v>230904</v>
      </c>
      <c r="H21703">
        <v>4362</v>
      </c>
      <c r="I21703" t="s">
        <v>79</v>
      </c>
      <c r="J21703">
        <v>6.51</v>
      </c>
      <c r="K21703">
        <v>1.26</v>
      </c>
      <c r="L21703">
        <v>16321</v>
      </c>
      <c r="M21703" t="s">
        <v>423</v>
      </c>
      <c r="N21703" t="str">
        <f t="shared" ref="N21703:N21712" si="378">"12336023908 "</f>
        <v xml:space="preserve">12336023908 </v>
      </c>
      <c r="O21703">
        <v>230911</v>
      </c>
    </row>
    <row r="21704" spans="1:15" x14ac:dyDescent="0.25">
      <c r="A21704" t="s">
        <v>16</v>
      </c>
      <c r="B21704" t="s">
        <v>3221</v>
      </c>
      <c r="C21704">
        <v>11907</v>
      </c>
      <c r="D21704" t="s">
        <v>263</v>
      </c>
      <c r="E21704" t="s">
        <v>264</v>
      </c>
      <c r="F21704">
        <v>8.43</v>
      </c>
      <c r="G21704">
        <v>230904</v>
      </c>
      <c r="H21704">
        <v>4362</v>
      </c>
      <c r="I21704" t="s">
        <v>79</v>
      </c>
      <c r="J21704">
        <v>10.45</v>
      </c>
      <c r="K21704">
        <v>2.02</v>
      </c>
      <c r="L21704">
        <v>16431</v>
      </c>
      <c r="M21704" t="s">
        <v>231</v>
      </c>
      <c r="N21704" t="str">
        <f t="shared" si="378"/>
        <v xml:space="preserve">12336023908 </v>
      </c>
      <c r="O21704">
        <v>230911</v>
      </c>
    </row>
    <row r="21705" spans="1:15" x14ac:dyDescent="0.25">
      <c r="A21705" t="s">
        <v>16</v>
      </c>
      <c r="B21705" t="s">
        <v>3221</v>
      </c>
      <c r="C21705">
        <v>11907</v>
      </c>
      <c r="D21705" t="s">
        <v>263</v>
      </c>
      <c r="E21705" t="s">
        <v>264</v>
      </c>
      <c r="F21705">
        <v>33.32</v>
      </c>
      <c r="G21705">
        <v>230904</v>
      </c>
      <c r="H21705">
        <v>4362</v>
      </c>
      <c r="I21705" t="s">
        <v>79</v>
      </c>
      <c r="J21705">
        <v>41.32</v>
      </c>
      <c r="K21705">
        <v>8</v>
      </c>
      <c r="L21705">
        <v>17802</v>
      </c>
      <c r="M21705" t="s">
        <v>174</v>
      </c>
      <c r="N21705" t="str">
        <f t="shared" si="378"/>
        <v xml:space="preserve">12336023908 </v>
      </c>
      <c r="O21705">
        <v>230911</v>
      </c>
    </row>
    <row r="21706" spans="1:15" x14ac:dyDescent="0.25">
      <c r="A21706" t="s">
        <v>16</v>
      </c>
      <c r="B21706" t="s">
        <v>3221</v>
      </c>
      <c r="C21706">
        <v>11907</v>
      </c>
      <c r="D21706" t="s">
        <v>263</v>
      </c>
      <c r="E21706" t="s">
        <v>264</v>
      </c>
      <c r="F21706">
        <v>8.02</v>
      </c>
      <c r="G21706">
        <v>230904</v>
      </c>
      <c r="H21706">
        <v>4362</v>
      </c>
      <c r="I21706" t="s">
        <v>79</v>
      </c>
      <c r="J21706">
        <v>9.94</v>
      </c>
      <c r="K21706">
        <v>1.92</v>
      </c>
      <c r="L21706">
        <v>17803</v>
      </c>
      <c r="M21706" t="s">
        <v>389</v>
      </c>
      <c r="N21706" t="str">
        <f t="shared" si="378"/>
        <v xml:space="preserve">12336023908 </v>
      </c>
      <c r="O21706">
        <v>230911</v>
      </c>
    </row>
    <row r="21707" spans="1:15" x14ac:dyDescent="0.25">
      <c r="A21707" t="s">
        <v>16</v>
      </c>
      <c r="B21707" t="s">
        <v>3221</v>
      </c>
      <c r="C21707">
        <v>11907</v>
      </c>
      <c r="D21707" t="s">
        <v>263</v>
      </c>
      <c r="E21707" t="s">
        <v>264</v>
      </c>
      <c r="F21707">
        <v>4.72</v>
      </c>
      <c r="G21707">
        <v>230904</v>
      </c>
      <c r="H21707">
        <v>4362</v>
      </c>
      <c r="I21707" t="s">
        <v>79</v>
      </c>
      <c r="J21707">
        <v>5.85</v>
      </c>
      <c r="K21707">
        <v>1.1299999999999999</v>
      </c>
      <c r="L21707">
        <v>17804</v>
      </c>
      <c r="M21707" t="s">
        <v>549</v>
      </c>
      <c r="N21707" t="str">
        <f t="shared" si="378"/>
        <v xml:space="preserve">12336023908 </v>
      </c>
      <c r="O21707">
        <v>230911</v>
      </c>
    </row>
    <row r="21708" spans="1:15" x14ac:dyDescent="0.25">
      <c r="A21708" t="s">
        <v>16</v>
      </c>
      <c r="B21708" t="s">
        <v>3221</v>
      </c>
      <c r="C21708">
        <v>11907</v>
      </c>
      <c r="D21708" t="s">
        <v>263</v>
      </c>
      <c r="E21708" t="s">
        <v>264</v>
      </c>
      <c r="F21708">
        <v>2.7</v>
      </c>
      <c r="G21708">
        <v>230904</v>
      </c>
      <c r="H21708">
        <v>4362</v>
      </c>
      <c r="I21708" t="s">
        <v>79</v>
      </c>
      <c r="J21708">
        <v>3.35</v>
      </c>
      <c r="K21708">
        <v>0.65</v>
      </c>
      <c r="L21708">
        <v>17805</v>
      </c>
      <c r="M21708" t="s">
        <v>102</v>
      </c>
      <c r="N21708" t="str">
        <f t="shared" si="378"/>
        <v xml:space="preserve">12336023908 </v>
      </c>
      <c r="O21708">
        <v>230911</v>
      </c>
    </row>
    <row r="21709" spans="1:15" x14ac:dyDescent="0.25">
      <c r="A21709" t="s">
        <v>16</v>
      </c>
      <c r="B21709" t="s">
        <v>3221</v>
      </c>
      <c r="C21709">
        <v>11907</v>
      </c>
      <c r="D21709" t="s">
        <v>263</v>
      </c>
      <c r="E21709" t="s">
        <v>264</v>
      </c>
      <c r="F21709">
        <v>5.4</v>
      </c>
      <c r="G21709">
        <v>230904</v>
      </c>
      <c r="H21709">
        <v>4362</v>
      </c>
      <c r="I21709" t="s">
        <v>79</v>
      </c>
      <c r="J21709">
        <v>6.7</v>
      </c>
      <c r="K21709">
        <v>1.3</v>
      </c>
      <c r="L21709">
        <v>17806</v>
      </c>
      <c r="M21709" t="s">
        <v>265</v>
      </c>
      <c r="N21709" t="str">
        <f t="shared" si="378"/>
        <v xml:space="preserve">12336023908 </v>
      </c>
      <c r="O21709">
        <v>230911</v>
      </c>
    </row>
    <row r="21710" spans="1:15" x14ac:dyDescent="0.25">
      <c r="A21710" t="s">
        <v>16</v>
      </c>
      <c r="B21710" t="s">
        <v>3221</v>
      </c>
      <c r="C21710">
        <v>11907</v>
      </c>
      <c r="D21710" t="s">
        <v>263</v>
      </c>
      <c r="E21710" t="s">
        <v>264</v>
      </c>
      <c r="F21710">
        <v>16.05</v>
      </c>
      <c r="G21710">
        <v>230904</v>
      </c>
      <c r="H21710">
        <v>4362</v>
      </c>
      <c r="I21710" t="s">
        <v>79</v>
      </c>
      <c r="J21710">
        <v>19.899999999999999</v>
      </c>
      <c r="K21710">
        <v>3.85</v>
      </c>
      <c r="L21710">
        <v>17807</v>
      </c>
      <c r="M21710" t="s">
        <v>318</v>
      </c>
      <c r="N21710" t="str">
        <f t="shared" si="378"/>
        <v xml:space="preserve">12336023908 </v>
      </c>
      <c r="O21710">
        <v>230911</v>
      </c>
    </row>
    <row r="21711" spans="1:15" x14ac:dyDescent="0.25">
      <c r="A21711" t="s">
        <v>16</v>
      </c>
      <c r="B21711" t="s">
        <v>3221</v>
      </c>
      <c r="C21711">
        <v>11907</v>
      </c>
      <c r="D21711" t="s">
        <v>263</v>
      </c>
      <c r="E21711" t="s">
        <v>264</v>
      </c>
      <c r="F21711">
        <v>8.1</v>
      </c>
      <c r="G21711">
        <v>230904</v>
      </c>
      <c r="H21711">
        <v>4362</v>
      </c>
      <c r="I21711" t="s">
        <v>79</v>
      </c>
      <c r="J21711">
        <v>10.039999999999999</v>
      </c>
      <c r="K21711">
        <v>1.94</v>
      </c>
      <c r="L21711">
        <v>17808</v>
      </c>
      <c r="M21711" t="s">
        <v>322</v>
      </c>
      <c r="N21711" t="str">
        <f t="shared" si="378"/>
        <v xml:space="preserve">12336023908 </v>
      </c>
      <c r="O21711">
        <v>230911</v>
      </c>
    </row>
    <row r="21712" spans="1:15" x14ac:dyDescent="0.25">
      <c r="A21712" t="s">
        <v>16</v>
      </c>
      <c r="B21712" t="s">
        <v>3221</v>
      </c>
      <c r="C21712">
        <v>11907</v>
      </c>
      <c r="D21712" t="s">
        <v>263</v>
      </c>
      <c r="E21712" t="s">
        <v>264</v>
      </c>
      <c r="F21712">
        <v>9.57</v>
      </c>
      <c r="G21712">
        <v>230904</v>
      </c>
      <c r="H21712">
        <v>4362</v>
      </c>
      <c r="I21712" t="s">
        <v>79</v>
      </c>
      <c r="J21712">
        <v>11.87</v>
      </c>
      <c r="K21712">
        <v>2.2999999999999998</v>
      </c>
      <c r="L21712">
        <v>17809</v>
      </c>
      <c r="M21712" t="s">
        <v>376</v>
      </c>
      <c r="N21712" t="str">
        <f t="shared" si="378"/>
        <v xml:space="preserve">12336023908 </v>
      </c>
      <c r="O21712">
        <v>230911</v>
      </c>
    </row>
    <row r="21713" spans="1:15" x14ac:dyDescent="0.25">
      <c r="A21713" t="s">
        <v>16</v>
      </c>
      <c r="B21713" t="s">
        <v>3221</v>
      </c>
      <c r="C21713">
        <v>11951</v>
      </c>
      <c r="D21713" t="s">
        <v>263</v>
      </c>
      <c r="E21713" t="s">
        <v>264</v>
      </c>
      <c r="F21713">
        <v>8.1</v>
      </c>
      <c r="G21713">
        <v>230904</v>
      </c>
      <c r="H21713">
        <v>4362</v>
      </c>
      <c r="I21713" t="s">
        <v>79</v>
      </c>
      <c r="J21713">
        <v>10.039999999999999</v>
      </c>
      <c r="K21713">
        <v>1.94</v>
      </c>
      <c r="L21713">
        <v>46555</v>
      </c>
      <c r="M21713" t="s">
        <v>597</v>
      </c>
      <c r="N21713" t="str">
        <f>"12336023904 "</f>
        <v xml:space="preserve">12336023904 </v>
      </c>
      <c r="O21713">
        <v>230912</v>
      </c>
    </row>
    <row r="21714" spans="1:15" x14ac:dyDescent="0.25">
      <c r="A21714" t="s">
        <v>16</v>
      </c>
      <c r="B21714" t="s">
        <v>3221</v>
      </c>
      <c r="C21714">
        <v>11951</v>
      </c>
      <c r="D21714" t="s">
        <v>263</v>
      </c>
      <c r="E21714" t="s">
        <v>264</v>
      </c>
      <c r="F21714">
        <v>3.1</v>
      </c>
      <c r="G21714">
        <v>230904</v>
      </c>
      <c r="H21714">
        <v>4362</v>
      </c>
      <c r="I21714" t="s">
        <v>79</v>
      </c>
      <c r="J21714">
        <v>3.84</v>
      </c>
      <c r="K21714">
        <v>0.74</v>
      </c>
      <c r="L21714">
        <v>48601</v>
      </c>
      <c r="M21714" t="s">
        <v>1047</v>
      </c>
      <c r="N21714" t="str">
        <f>"12336023904 "</f>
        <v xml:space="preserve">12336023904 </v>
      </c>
      <c r="O21714">
        <v>230912</v>
      </c>
    </row>
    <row r="21715" spans="1:15" x14ac:dyDescent="0.25">
      <c r="A21715" t="s">
        <v>16</v>
      </c>
      <c r="B21715" t="s">
        <v>3221</v>
      </c>
      <c r="C21715">
        <v>11951</v>
      </c>
      <c r="D21715" t="s">
        <v>263</v>
      </c>
      <c r="E21715" t="s">
        <v>264</v>
      </c>
      <c r="F21715">
        <v>5.32</v>
      </c>
      <c r="G21715">
        <v>230904</v>
      </c>
      <c r="H21715">
        <v>4362</v>
      </c>
      <c r="I21715" t="s">
        <v>79</v>
      </c>
      <c r="J21715">
        <v>6.6</v>
      </c>
      <c r="K21715">
        <v>1.28</v>
      </c>
      <c r="L21715">
        <v>49702</v>
      </c>
      <c r="M21715" t="s">
        <v>584</v>
      </c>
      <c r="N21715" t="str">
        <f>"12336023904 "</f>
        <v xml:space="preserve">12336023904 </v>
      </c>
      <c r="O21715">
        <v>230912</v>
      </c>
    </row>
    <row r="21716" spans="1:15" x14ac:dyDescent="0.25">
      <c r="A21716" t="s">
        <v>16</v>
      </c>
      <c r="B21716" t="s">
        <v>3221</v>
      </c>
      <c r="C21716">
        <v>11952</v>
      </c>
      <c r="D21716" t="s">
        <v>263</v>
      </c>
      <c r="E21716" t="s">
        <v>264</v>
      </c>
      <c r="F21716">
        <v>29.49</v>
      </c>
      <c r="G21716">
        <v>230904</v>
      </c>
      <c r="H21716">
        <v>4362</v>
      </c>
      <c r="I21716" t="s">
        <v>79</v>
      </c>
      <c r="J21716">
        <v>36.57</v>
      </c>
      <c r="K21716">
        <v>7.08</v>
      </c>
      <c r="L21716">
        <v>41126</v>
      </c>
      <c r="M21716" t="s">
        <v>761</v>
      </c>
      <c r="N21716" t="str">
        <f>"12336023895 "</f>
        <v xml:space="preserve">12336023895 </v>
      </c>
      <c r="O21716">
        <v>230912</v>
      </c>
    </row>
    <row r="21717" spans="1:15" x14ac:dyDescent="0.25">
      <c r="A21717" t="s">
        <v>16</v>
      </c>
      <c r="B21717" t="s">
        <v>3221</v>
      </c>
      <c r="C21717">
        <v>11952</v>
      </c>
      <c r="D21717" t="s">
        <v>263</v>
      </c>
      <c r="E21717" t="s">
        <v>264</v>
      </c>
      <c r="F21717">
        <v>10.8</v>
      </c>
      <c r="G21717">
        <v>230904</v>
      </c>
      <c r="H21717">
        <v>4362</v>
      </c>
      <c r="I21717" t="s">
        <v>79</v>
      </c>
      <c r="J21717">
        <v>13.39</v>
      </c>
      <c r="K21717">
        <v>2.59</v>
      </c>
      <c r="L21717">
        <v>46222</v>
      </c>
      <c r="M21717" t="s">
        <v>293</v>
      </c>
      <c r="N21717" t="str">
        <f>"12336023895 "</f>
        <v xml:space="preserve">12336023895 </v>
      </c>
      <c r="O21717">
        <v>230912</v>
      </c>
    </row>
    <row r="21718" spans="1:15" x14ac:dyDescent="0.25">
      <c r="A21718" t="s">
        <v>16</v>
      </c>
      <c r="B21718" t="s">
        <v>3221</v>
      </c>
      <c r="C21718">
        <v>11953</v>
      </c>
      <c r="D21718" t="s">
        <v>263</v>
      </c>
      <c r="E21718" t="s">
        <v>264</v>
      </c>
      <c r="F21718">
        <v>61.87</v>
      </c>
      <c r="G21718">
        <v>230904</v>
      </c>
      <c r="H21718">
        <v>4362</v>
      </c>
      <c r="I21718" t="s">
        <v>79</v>
      </c>
      <c r="J21718">
        <v>76.72</v>
      </c>
      <c r="K21718">
        <v>14.85</v>
      </c>
      <c r="L21718">
        <v>11801</v>
      </c>
      <c r="M21718" t="s">
        <v>92</v>
      </c>
      <c r="N21718" t="str">
        <f>"12336023914 "</f>
        <v xml:space="preserve">12336023914 </v>
      </c>
      <c r="O21718">
        <v>230912</v>
      </c>
    </row>
    <row r="21719" spans="1:15" x14ac:dyDescent="0.25">
      <c r="A21719" t="s">
        <v>16</v>
      </c>
      <c r="B21719" t="s">
        <v>3221</v>
      </c>
      <c r="C21719">
        <v>11954</v>
      </c>
      <c r="D21719" t="s">
        <v>263</v>
      </c>
      <c r="E21719" t="s">
        <v>264</v>
      </c>
      <c r="F21719">
        <v>5.27</v>
      </c>
      <c r="G21719">
        <v>230904</v>
      </c>
      <c r="H21719">
        <v>4362</v>
      </c>
      <c r="I21719" t="s">
        <v>79</v>
      </c>
      <c r="J21719">
        <v>6.53</v>
      </c>
      <c r="K21719">
        <v>1.26</v>
      </c>
      <c r="L21719">
        <v>44222</v>
      </c>
      <c r="M21719" t="s">
        <v>232</v>
      </c>
      <c r="N21719" t="str">
        <f>"12336023902 "</f>
        <v xml:space="preserve">12336023902 </v>
      </c>
      <c r="O21719">
        <v>230912</v>
      </c>
    </row>
    <row r="21720" spans="1:15" x14ac:dyDescent="0.25">
      <c r="A21720" t="s">
        <v>16</v>
      </c>
      <c r="B21720" t="s">
        <v>3221</v>
      </c>
      <c r="C21720">
        <v>11954</v>
      </c>
      <c r="D21720" t="s">
        <v>263</v>
      </c>
      <c r="E21720" t="s">
        <v>264</v>
      </c>
      <c r="F21720">
        <v>19.420000000000002</v>
      </c>
      <c r="G21720">
        <v>230904</v>
      </c>
      <c r="H21720">
        <v>4362</v>
      </c>
      <c r="I21720" t="s">
        <v>79</v>
      </c>
      <c r="J21720">
        <v>24.08</v>
      </c>
      <c r="K21720">
        <v>4.66</v>
      </c>
      <c r="L21720">
        <v>44222</v>
      </c>
      <c r="M21720" t="s">
        <v>232</v>
      </c>
      <c r="N21720" t="str">
        <f>"12336023902 "</f>
        <v xml:space="preserve">12336023902 </v>
      </c>
      <c r="O21720">
        <v>230912</v>
      </c>
    </row>
    <row r="21721" spans="1:15" x14ac:dyDescent="0.25">
      <c r="A21721" t="s">
        <v>16</v>
      </c>
      <c r="B21721" t="s">
        <v>3221</v>
      </c>
      <c r="C21721">
        <v>11954</v>
      </c>
      <c r="D21721" t="s">
        <v>263</v>
      </c>
      <c r="E21721" t="s">
        <v>264</v>
      </c>
      <c r="F21721">
        <v>2.7</v>
      </c>
      <c r="G21721">
        <v>230904</v>
      </c>
      <c r="H21721">
        <v>4362</v>
      </c>
      <c r="I21721" t="s">
        <v>79</v>
      </c>
      <c r="J21721">
        <v>3.35</v>
      </c>
      <c r="K21721">
        <v>0.65</v>
      </c>
      <c r="L21721">
        <v>44251</v>
      </c>
      <c r="M21721" t="s">
        <v>156</v>
      </c>
      <c r="N21721" t="str">
        <f>"12336023902 "</f>
        <v xml:space="preserve">12336023902 </v>
      </c>
      <c r="O21721">
        <v>230912</v>
      </c>
    </row>
    <row r="21722" spans="1:15" x14ac:dyDescent="0.25">
      <c r="A21722" t="s">
        <v>16</v>
      </c>
      <c r="B21722" t="s">
        <v>3221</v>
      </c>
      <c r="C21722">
        <v>11954</v>
      </c>
      <c r="D21722" t="s">
        <v>263</v>
      </c>
      <c r="E21722" t="s">
        <v>264</v>
      </c>
      <c r="F21722">
        <v>2.5499999999999998</v>
      </c>
      <c r="G21722">
        <v>230904</v>
      </c>
      <c r="H21722">
        <v>4362</v>
      </c>
      <c r="I21722" t="s">
        <v>79</v>
      </c>
      <c r="J21722">
        <v>3.16</v>
      </c>
      <c r="K21722">
        <v>0.61</v>
      </c>
      <c r="L21722">
        <v>44253</v>
      </c>
      <c r="M21722" t="s">
        <v>1058</v>
      </c>
      <c r="N21722" t="str">
        <f>"12336023902 "</f>
        <v xml:space="preserve">12336023902 </v>
      </c>
      <c r="O21722">
        <v>230912</v>
      </c>
    </row>
    <row r="21723" spans="1:15" x14ac:dyDescent="0.25">
      <c r="A21723" t="s">
        <v>16</v>
      </c>
      <c r="B21723" t="s">
        <v>3221</v>
      </c>
      <c r="C21723">
        <v>11954</v>
      </c>
      <c r="D21723" t="s">
        <v>263</v>
      </c>
      <c r="E21723" t="s">
        <v>264</v>
      </c>
      <c r="F21723">
        <v>6.86</v>
      </c>
      <c r="G21723">
        <v>230904</v>
      </c>
      <c r="H21723">
        <v>4362</v>
      </c>
      <c r="I21723" t="s">
        <v>79</v>
      </c>
      <c r="J21723">
        <v>6.86</v>
      </c>
      <c r="K21723">
        <v>0</v>
      </c>
      <c r="L21723">
        <v>49702</v>
      </c>
      <c r="M21723" t="s">
        <v>584</v>
      </c>
      <c r="N21723" t="str">
        <f>"12336023902 "</f>
        <v xml:space="preserve">12336023902 </v>
      </c>
      <c r="O21723">
        <v>230912</v>
      </c>
    </row>
    <row r="21724" spans="1:15" x14ac:dyDescent="0.25">
      <c r="A21724" t="s">
        <v>16</v>
      </c>
      <c r="B21724" t="s">
        <v>3221</v>
      </c>
      <c r="C21724">
        <v>11955</v>
      </c>
      <c r="D21724" t="s">
        <v>263</v>
      </c>
      <c r="E21724" t="s">
        <v>264</v>
      </c>
      <c r="F21724">
        <v>5.4</v>
      </c>
      <c r="G21724">
        <v>230904</v>
      </c>
      <c r="H21724">
        <v>4362</v>
      </c>
      <c r="I21724" t="s">
        <v>79</v>
      </c>
      <c r="J21724">
        <v>6.7</v>
      </c>
      <c r="K21724">
        <v>1.3</v>
      </c>
      <c r="L21724">
        <v>43222</v>
      </c>
      <c r="M21724" t="s">
        <v>507</v>
      </c>
      <c r="N21724" t="str">
        <f t="shared" ref="N21724:N21729" si="379">"12336023900 "</f>
        <v xml:space="preserve">12336023900 </v>
      </c>
      <c r="O21724">
        <v>230912</v>
      </c>
    </row>
    <row r="21725" spans="1:15" x14ac:dyDescent="0.25">
      <c r="A21725" t="s">
        <v>16</v>
      </c>
      <c r="B21725" t="s">
        <v>3221</v>
      </c>
      <c r="C21725">
        <v>11955</v>
      </c>
      <c r="D21725" t="s">
        <v>263</v>
      </c>
      <c r="E21725" t="s">
        <v>264</v>
      </c>
      <c r="F21725">
        <v>5.68</v>
      </c>
      <c r="G21725">
        <v>230904</v>
      </c>
      <c r="H21725">
        <v>4362</v>
      </c>
      <c r="I21725" t="s">
        <v>79</v>
      </c>
      <c r="J21725">
        <v>7.04</v>
      </c>
      <c r="K21725">
        <v>1.36</v>
      </c>
      <c r="L21725">
        <v>44422</v>
      </c>
      <c r="M21725" t="s">
        <v>482</v>
      </c>
      <c r="N21725" t="str">
        <f t="shared" si="379"/>
        <v xml:space="preserve">12336023900 </v>
      </c>
      <c r="O21725">
        <v>230912</v>
      </c>
    </row>
    <row r="21726" spans="1:15" x14ac:dyDescent="0.25">
      <c r="A21726" t="s">
        <v>16</v>
      </c>
      <c r="B21726" t="s">
        <v>3221</v>
      </c>
      <c r="C21726">
        <v>11955</v>
      </c>
      <c r="D21726" t="s">
        <v>263</v>
      </c>
      <c r="E21726" t="s">
        <v>264</v>
      </c>
      <c r="F21726">
        <v>5.4</v>
      </c>
      <c r="G21726">
        <v>230904</v>
      </c>
      <c r="H21726">
        <v>4362</v>
      </c>
      <c r="I21726" t="s">
        <v>79</v>
      </c>
      <c r="J21726">
        <v>6.7</v>
      </c>
      <c r="K21726">
        <v>1.3</v>
      </c>
      <c r="L21726">
        <v>44423</v>
      </c>
      <c r="M21726" t="s">
        <v>502</v>
      </c>
      <c r="N21726" t="str">
        <f t="shared" si="379"/>
        <v xml:space="preserve">12336023900 </v>
      </c>
      <c r="O21726">
        <v>230912</v>
      </c>
    </row>
    <row r="21727" spans="1:15" x14ac:dyDescent="0.25">
      <c r="A21727" t="s">
        <v>16</v>
      </c>
      <c r="B21727" t="s">
        <v>3221</v>
      </c>
      <c r="C21727">
        <v>11955</v>
      </c>
      <c r="D21727" t="s">
        <v>263</v>
      </c>
      <c r="E21727" t="s">
        <v>264</v>
      </c>
      <c r="F21727">
        <v>2.7</v>
      </c>
      <c r="G21727">
        <v>230904</v>
      </c>
      <c r="H21727">
        <v>4362</v>
      </c>
      <c r="I21727" t="s">
        <v>79</v>
      </c>
      <c r="J21727">
        <v>3.35</v>
      </c>
      <c r="K21727">
        <v>0.65</v>
      </c>
      <c r="L21727">
        <v>44453</v>
      </c>
      <c r="M21727" t="s">
        <v>492</v>
      </c>
      <c r="N21727" t="str">
        <f t="shared" si="379"/>
        <v xml:space="preserve">12336023900 </v>
      </c>
      <c r="O21727">
        <v>230912</v>
      </c>
    </row>
    <row r="21728" spans="1:15" x14ac:dyDescent="0.25">
      <c r="A21728" t="s">
        <v>16</v>
      </c>
      <c r="B21728" t="s">
        <v>3221</v>
      </c>
      <c r="C21728">
        <v>11955</v>
      </c>
      <c r="D21728" t="s">
        <v>263</v>
      </c>
      <c r="E21728" t="s">
        <v>264</v>
      </c>
      <c r="F21728">
        <v>2.7</v>
      </c>
      <c r="G21728">
        <v>230904</v>
      </c>
      <c r="H21728">
        <v>4362</v>
      </c>
      <c r="I21728" t="s">
        <v>79</v>
      </c>
      <c r="J21728">
        <v>3.35</v>
      </c>
      <c r="K21728">
        <v>0.65</v>
      </c>
      <c r="L21728">
        <v>48601</v>
      </c>
      <c r="M21728" t="s">
        <v>1047</v>
      </c>
      <c r="N21728" t="str">
        <f t="shared" si="379"/>
        <v xml:space="preserve">12336023900 </v>
      </c>
      <c r="O21728">
        <v>230912</v>
      </c>
    </row>
    <row r="21729" spans="1:15" x14ac:dyDescent="0.25">
      <c r="A21729" t="s">
        <v>16</v>
      </c>
      <c r="B21729" t="s">
        <v>3221</v>
      </c>
      <c r="C21729">
        <v>11955</v>
      </c>
      <c r="D21729" t="s">
        <v>263</v>
      </c>
      <c r="E21729" t="s">
        <v>264</v>
      </c>
      <c r="F21729">
        <v>56.73</v>
      </c>
      <c r="G21729">
        <v>230904</v>
      </c>
      <c r="H21729">
        <v>4362</v>
      </c>
      <c r="I21729" t="s">
        <v>79</v>
      </c>
      <c r="J21729">
        <v>56.73</v>
      </c>
      <c r="K21729">
        <v>0</v>
      </c>
      <c r="L21729">
        <v>49702</v>
      </c>
      <c r="M21729" t="s">
        <v>584</v>
      </c>
      <c r="N21729" t="str">
        <f t="shared" si="379"/>
        <v xml:space="preserve">12336023900 </v>
      </c>
      <c r="O21729">
        <v>230912</v>
      </c>
    </row>
    <row r="21730" spans="1:15" x14ac:dyDescent="0.25">
      <c r="A21730" t="s">
        <v>16</v>
      </c>
      <c r="B21730" t="s">
        <v>3221</v>
      </c>
      <c r="C21730">
        <v>11975</v>
      </c>
      <c r="D21730" t="s">
        <v>263</v>
      </c>
      <c r="E21730" t="s">
        <v>264</v>
      </c>
      <c r="F21730">
        <v>7.95</v>
      </c>
      <c r="G21730">
        <v>230904</v>
      </c>
      <c r="H21730">
        <v>4362</v>
      </c>
      <c r="I21730" t="s">
        <v>79</v>
      </c>
      <c r="J21730">
        <v>9.86</v>
      </c>
      <c r="K21730">
        <v>1.91</v>
      </c>
      <c r="L21730">
        <v>16930</v>
      </c>
      <c r="M21730" t="s">
        <v>450</v>
      </c>
      <c r="N21730" t="str">
        <f t="shared" ref="N21730:N21753" si="380">"12336023910 "</f>
        <v xml:space="preserve">12336023910 </v>
      </c>
      <c r="O21730">
        <v>230912</v>
      </c>
    </row>
    <row r="21731" spans="1:15" x14ac:dyDescent="0.25">
      <c r="A21731" t="s">
        <v>16</v>
      </c>
      <c r="B21731" t="s">
        <v>3221</v>
      </c>
      <c r="C21731">
        <v>11975</v>
      </c>
      <c r="D21731" t="s">
        <v>263</v>
      </c>
      <c r="E21731" t="s">
        <v>264</v>
      </c>
      <c r="F21731">
        <v>9.83</v>
      </c>
      <c r="G21731">
        <v>230904</v>
      </c>
      <c r="H21731">
        <v>4362</v>
      </c>
      <c r="I21731" t="s">
        <v>79</v>
      </c>
      <c r="J21731">
        <v>12.19</v>
      </c>
      <c r="K21731">
        <v>2.36</v>
      </c>
      <c r="L21731">
        <v>17521</v>
      </c>
      <c r="M21731" t="s">
        <v>133</v>
      </c>
      <c r="N21731" t="str">
        <f t="shared" si="380"/>
        <v xml:space="preserve">12336023910 </v>
      </c>
      <c r="O21731">
        <v>230912</v>
      </c>
    </row>
    <row r="21732" spans="1:15" x14ac:dyDescent="0.25">
      <c r="A21732" t="s">
        <v>16</v>
      </c>
      <c r="B21732" t="s">
        <v>3221</v>
      </c>
      <c r="C21732">
        <v>11975</v>
      </c>
      <c r="D21732" t="s">
        <v>263</v>
      </c>
      <c r="E21732" t="s">
        <v>264</v>
      </c>
      <c r="F21732">
        <v>6.41</v>
      </c>
      <c r="G21732">
        <v>230904</v>
      </c>
      <c r="H21732">
        <v>4362</v>
      </c>
      <c r="I21732" t="s">
        <v>79</v>
      </c>
      <c r="J21732">
        <v>7.95</v>
      </c>
      <c r="K21732">
        <v>1.54</v>
      </c>
      <c r="L21732">
        <v>17522</v>
      </c>
      <c r="M21732" t="s">
        <v>451</v>
      </c>
      <c r="N21732" t="str">
        <f t="shared" si="380"/>
        <v xml:space="preserve">12336023910 </v>
      </c>
      <c r="O21732">
        <v>230912</v>
      </c>
    </row>
    <row r="21733" spans="1:15" x14ac:dyDescent="0.25">
      <c r="A21733" t="s">
        <v>16</v>
      </c>
      <c r="B21733" t="s">
        <v>3221</v>
      </c>
      <c r="C21733">
        <v>11975</v>
      </c>
      <c r="D21733" t="s">
        <v>263</v>
      </c>
      <c r="E21733" t="s">
        <v>264</v>
      </c>
      <c r="F21733">
        <v>8.18</v>
      </c>
      <c r="G21733">
        <v>230904</v>
      </c>
      <c r="H21733">
        <v>4362</v>
      </c>
      <c r="I21733" t="s">
        <v>79</v>
      </c>
      <c r="J21733">
        <v>10.14</v>
      </c>
      <c r="K21733">
        <v>1.96</v>
      </c>
      <c r="L21733">
        <v>17523</v>
      </c>
      <c r="M21733" t="s">
        <v>134</v>
      </c>
      <c r="N21733" t="str">
        <f t="shared" si="380"/>
        <v xml:space="preserve">12336023910 </v>
      </c>
      <c r="O21733">
        <v>230912</v>
      </c>
    </row>
    <row r="21734" spans="1:15" x14ac:dyDescent="0.25">
      <c r="A21734" t="s">
        <v>16</v>
      </c>
      <c r="B21734" t="s">
        <v>3221</v>
      </c>
      <c r="C21734">
        <v>11975</v>
      </c>
      <c r="D21734" t="s">
        <v>263</v>
      </c>
      <c r="E21734" t="s">
        <v>264</v>
      </c>
      <c r="F21734">
        <v>6.34</v>
      </c>
      <c r="G21734">
        <v>230904</v>
      </c>
      <c r="H21734">
        <v>4362</v>
      </c>
      <c r="I21734" t="s">
        <v>79</v>
      </c>
      <c r="J21734">
        <v>7.86</v>
      </c>
      <c r="K21734">
        <v>1.52</v>
      </c>
      <c r="L21734">
        <v>17524</v>
      </c>
      <c r="M21734" t="s">
        <v>452</v>
      </c>
      <c r="N21734" t="str">
        <f t="shared" si="380"/>
        <v xml:space="preserve">12336023910 </v>
      </c>
      <c r="O21734">
        <v>230912</v>
      </c>
    </row>
    <row r="21735" spans="1:15" x14ac:dyDescent="0.25">
      <c r="A21735" t="s">
        <v>16</v>
      </c>
      <c r="B21735" t="s">
        <v>3221</v>
      </c>
      <c r="C21735">
        <v>11975</v>
      </c>
      <c r="D21735" t="s">
        <v>263</v>
      </c>
      <c r="E21735" t="s">
        <v>264</v>
      </c>
      <c r="F21735">
        <v>2.7</v>
      </c>
      <c r="G21735">
        <v>230904</v>
      </c>
      <c r="H21735">
        <v>4362</v>
      </c>
      <c r="I21735" t="s">
        <v>79</v>
      </c>
      <c r="J21735">
        <v>3.35</v>
      </c>
      <c r="K21735">
        <v>0.65</v>
      </c>
      <c r="L21735">
        <v>17525</v>
      </c>
      <c r="M21735" t="s">
        <v>135</v>
      </c>
      <c r="N21735" t="str">
        <f t="shared" si="380"/>
        <v xml:space="preserve">12336023910 </v>
      </c>
      <c r="O21735">
        <v>230912</v>
      </c>
    </row>
    <row r="21736" spans="1:15" x14ac:dyDescent="0.25">
      <c r="A21736" t="s">
        <v>16</v>
      </c>
      <c r="B21736" t="s">
        <v>3221</v>
      </c>
      <c r="C21736">
        <v>11975</v>
      </c>
      <c r="D21736" t="s">
        <v>263</v>
      </c>
      <c r="E21736" t="s">
        <v>264</v>
      </c>
      <c r="F21736">
        <v>8.1</v>
      </c>
      <c r="G21736">
        <v>230904</v>
      </c>
      <c r="H21736">
        <v>4362</v>
      </c>
      <c r="I21736" t="s">
        <v>79</v>
      </c>
      <c r="J21736">
        <v>10.039999999999999</v>
      </c>
      <c r="K21736">
        <v>1.94</v>
      </c>
      <c r="L21736">
        <v>17526</v>
      </c>
      <c r="M21736" t="s">
        <v>437</v>
      </c>
      <c r="N21736" t="str">
        <f t="shared" si="380"/>
        <v xml:space="preserve">12336023910 </v>
      </c>
      <c r="O21736">
        <v>230912</v>
      </c>
    </row>
    <row r="21737" spans="1:15" x14ac:dyDescent="0.25">
      <c r="A21737" t="s">
        <v>16</v>
      </c>
      <c r="B21737" t="s">
        <v>3221</v>
      </c>
      <c r="C21737">
        <v>11975</v>
      </c>
      <c r="D21737" t="s">
        <v>263</v>
      </c>
      <c r="E21737" t="s">
        <v>264</v>
      </c>
      <c r="F21737">
        <v>10.6</v>
      </c>
      <c r="G21737">
        <v>230904</v>
      </c>
      <c r="H21737">
        <v>4362</v>
      </c>
      <c r="I21737" t="s">
        <v>79</v>
      </c>
      <c r="J21737">
        <v>13.14</v>
      </c>
      <c r="K21737">
        <v>2.54</v>
      </c>
      <c r="L21737">
        <v>17527</v>
      </c>
      <c r="M21737" t="s">
        <v>422</v>
      </c>
      <c r="N21737" t="str">
        <f t="shared" si="380"/>
        <v xml:space="preserve">12336023910 </v>
      </c>
      <c r="O21737">
        <v>230912</v>
      </c>
    </row>
    <row r="21738" spans="1:15" x14ac:dyDescent="0.25">
      <c r="A21738" t="s">
        <v>16</v>
      </c>
      <c r="B21738" t="s">
        <v>3221</v>
      </c>
      <c r="C21738">
        <v>11975</v>
      </c>
      <c r="D21738" t="s">
        <v>263</v>
      </c>
      <c r="E21738" t="s">
        <v>264</v>
      </c>
      <c r="F21738">
        <v>6.54</v>
      </c>
      <c r="G21738">
        <v>230904</v>
      </c>
      <c r="H21738">
        <v>4362</v>
      </c>
      <c r="I21738" t="s">
        <v>79</v>
      </c>
      <c r="J21738">
        <v>8.11</v>
      </c>
      <c r="K21738">
        <v>1.57</v>
      </c>
      <c r="L21738">
        <v>17529</v>
      </c>
      <c r="M21738" t="s">
        <v>453</v>
      </c>
      <c r="N21738" t="str">
        <f t="shared" si="380"/>
        <v xml:space="preserve">12336023910 </v>
      </c>
      <c r="O21738">
        <v>230912</v>
      </c>
    </row>
    <row r="21739" spans="1:15" x14ac:dyDescent="0.25">
      <c r="A21739" t="s">
        <v>16</v>
      </c>
      <c r="B21739" t="s">
        <v>3221</v>
      </c>
      <c r="C21739">
        <v>11975</v>
      </c>
      <c r="D21739" t="s">
        <v>263</v>
      </c>
      <c r="E21739" t="s">
        <v>264</v>
      </c>
      <c r="F21739">
        <v>11.56</v>
      </c>
      <c r="G21739">
        <v>230904</v>
      </c>
      <c r="H21739">
        <v>4362</v>
      </c>
      <c r="I21739" t="s">
        <v>79</v>
      </c>
      <c r="J21739">
        <v>14.33</v>
      </c>
      <c r="K21739">
        <v>2.77</v>
      </c>
      <c r="L21739">
        <v>17530</v>
      </c>
      <c r="M21739" t="s">
        <v>454</v>
      </c>
      <c r="N21739" t="str">
        <f t="shared" si="380"/>
        <v xml:space="preserve">12336023910 </v>
      </c>
      <c r="O21739">
        <v>230912</v>
      </c>
    </row>
    <row r="21740" spans="1:15" x14ac:dyDescent="0.25">
      <c r="A21740" t="s">
        <v>16</v>
      </c>
      <c r="B21740" t="s">
        <v>3221</v>
      </c>
      <c r="C21740">
        <v>11975</v>
      </c>
      <c r="D21740" t="s">
        <v>263</v>
      </c>
      <c r="E21740" t="s">
        <v>264</v>
      </c>
      <c r="F21740">
        <v>18.649999999999999</v>
      </c>
      <c r="G21740">
        <v>230904</v>
      </c>
      <c r="H21740">
        <v>4362</v>
      </c>
      <c r="I21740" t="s">
        <v>79</v>
      </c>
      <c r="J21740">
        <v>23.13</v>
      </c>
      <c r="K21740">
        <v>4.4800000000000004</v>
      </c>
      <c r="L21740">
        <v>17531</v>
      </c>
      <c r="M21740" t="s">
        <v>136</v>
      </c>
      <c r="N21740" t="str">
        <f t="shared" si="380"/>
        <v xml:space="preserve">12336023910 </v>
      </c>
      <c r="O21740">
        <v>230912</v>
      </c>
    </row>
    <row r="21741" spans="1:15" x14ac:dyDescent="0.25">
      <c r="A21741" t="s">
        <v>16</v>
      </c>
      <c r="B21741" t="s">
        <v>3221</v>
      </c>
      <c r="C21741">
        <v>11975</v>
      </c>
      <c r="D21741" t="s">
        <v>263</v>
      </c>
      <c r="E21741" t="s">
        <v>264</v>
      </c>
      <c r="F21741">
        <v>10.35</v>
      </c>
      <c r="G21741">
        <v>230904</v>
      </c>
      <c r="H21741">
        <v>4362</v>
      </c>
      <c r="I21741" t="s">
        <v>79</v>
      </c>
      <c r="J21741">
        <v>12.83</v>
      </c>
      <c r="K21741">
        <v>2.48</v>
      </c>
      <c r="L21741">
        <v>17532</v>
      </c>
      <c r="M21741" t="s">
        <v>543</v>
      </c>
      <c r="N21741" t="str">
        <f t="shared" si="380"/>
        <v xml:space="preserve">12336023910 </v>
      </c>
      <c r="O21741">
        <v>230912</v>
      </c>
    </row>
    <row r="21742" spans="1:15" x14ac:dyDescent="0.25">
      <c r="A21742" t="s">
        <v>16</v>
      </c>
      <c r="B21742" t="s">
        <v>3221</v>
      </c>
      <c r="C21742">
        <v>11975</v>
      </c>
      <c r="D21742" t="s">
        <v>263</v>
      </c>
      <c r="E21742" t="s">
        <v>264</v>
      </c>
      <c r="F21742">
        <v>5.4</v>
      </c>
      <c r="G21742">
        <v>230904</v>
      </c>
      <c r="H21742">
        <v>4362</v>
      </c>
      <c r="I21742" t="s">
        <v>79</v>
      </c>
      <c r="J21742">
        <v>6.7</v>
      </c>
      <c r="K21742">
        <v>1.3</v>
      </c>
      <c r="L21742">
        <v>17533</v>
      </c>
      <c r="M21742" t="s">
        <v>990</v>
      </c>
      <c r="N21742" t="str">
        <f t="shared" si="380"/>
        <v xml:space="preserve">12336023910 </v>
      </c>
      <c r="O21742">
        <v>230912</v>
      </c>
    </row>
    <row r="21743" spans="1:15" x14ac:dyDescent="0.25">
      <c r="A21743" t="s">
        <v>16</v>
      </c>
      <c r="B21743" t="s">
        <v>3221</v>
      </c>
      <c r="C21743">
        <v>11975</v>
      </c>
      <c r="D21743" t="s">
        <v>263</v>
      </c>
      <c r="E21743" t="s">
        <v>264</v>
      </c>
      <c r="F21743">
        <v>5.4</v>
      </c>
      <c r="G21743">
        <v>230904</v>
      </c>
      <c r="H21743">
        <v>4362</v>
      </c>
      <c r="I21743" t="s">
        <v>79</v>
      </c>
      <c r="J21743">
        <v>6.7</v>
      </c>
      <c r="K21743">
        <v>1.3</v>
      </c>
      <c r="L21743">
        <v>17534</v>
      </c>
      <c r="M21743" t="s">
        <v>440</v>
      </c>
      <c r="N21743" t="str">
        <f t="shared" si="380"/>
        <v xml:space="preserve">12336023910 </v>
      </c>
      <c r="O21743">
        <v>230912</v>
      </c>
    </row>
    <row r="21744" spans="1:15" x14ac:dyDescent="0.25">
      <c r="A21744" t="s">
        <v>16</v>
      </c>
      <c r="B21744" t="s">
        <v>3221</v>
      </c>
      <c r="C21744">
        <v>11975</v>
      </c>
      <c r="D21744" t="s">
        <v>263</v>
      </c>
      <c r="E21744" t="s">
        <v>264</v>
      </c>
      <c r="F21744">
        <v>2.7</v>
      </c>
      <c r="G21744">
        <v>230904</v>
      </c>
      <c r="H21744">
        <v>4362</v>
      </c>
      <c r="I21744" t="s">
        <v>79</v>
      </c>
      <c r="J21744">
        <v>3.35</v>
      </c>
      <c r="K21744">
        <v>0.65</v>
      </c>
      <c r="L21744">
        <v>17535</v>
      </c>
      <c r="M21744" t="s">
        <v>357</v>
      </c>
      <c r="N21744" t="str">
        <f t="shared" si="380"/>
        <v xml:space="preserve">12336023910 </v>
      </c>
      <c r="O21744">
        <v>230912</v>
      </c>
    </row>
    <row r="21745" spans="1:15" x14ac:dyDescent="0.25">
      <c r="A21745" t="s">
        <v>16</v>
      </c>
      <c r="B21745" t="s">
        <v>3221</v>
      </c>
      <c r="C21745">
        <v>11975</v>
      </c>
      <c r="D21745" t="s">
        <v>263</v>
      </c>
      <c r="E21745" t="s">
        <v>264</v>
      </c>
      <c r="F21745">
        <v>5.4</v>
      </c>
      <c r="G21745">
        <v>230904</v>
      </c>
      <c r="H21745">
        <v>4362</v>
      </c>
      <c r="I21745" t="s">
        <v>79</v>
      </c>
      <c r="J21745">
        <v>6.7</v>
      </c>
      <c r="K21745">
        <v>1.3</v>
      </c>
      <c r="L21745">
        <v>17536</v>
      </c>
      <c r="M21745" t="s">
        <v>734</v>
      </c>
      <c r="N21745" t="str">
        <f t="shared" si="380"/>
        <v xml:space="preserve">12336023910 </v>
      </c>
      <c r="O21745">
        <v>230912</v>
      </c>
    </row>
    <row r="21746" spans="1:15" x14ac:dyDescent="0.25">
      <c r="A21746" t="s">
        <v>16</v>
      </c>
      <c r="B21746" t="s">
        <v>3221</v>
      </c>
      <c r="C21746">
        <v>11975</v>
      </c>
      <c r="D21746" t="s">
        <v>263</v>
      </c>
      <c r="E21746" t="s">
        <v>264</v>
      </c>
      <c r="F21746">
        <v>13.31</v>
      </c>
      <c r="G21746">
        <v>230904</v>
      </c>
      <c r="H21746">
        <v>4362</v>
      </c>
      <c r="I21746" t="s">
        <v>79</v>
      </c>
      <c r="J21746">
        <v>16.5</v>
      </c>
      <c r="K21746">
        <v>3.19</v>
      </c>
      <c r="L21746">
        <v>17537</v>
      </c>
      <c r="M21746" t="s">
        <v>455</v>
      </c>
      <c r="N21746" t="str">
        <f t="shared" si="380"/>
        <v xml:space="preserve">12336023910 </v>
      </c>
      <c r="O21746">
        <v>230912</v>
      </c>
    </row>
    <row r="21747" spans="1:15" x14ac:dyDescent="0.25">
      <c r="A21747" t="s">
        <v>16</v>
      </c>
      <c r="B21747" t="s">
        <v>3221</v>
      </c>
      <c r="C21747">
        <v>11975</v>
      </c>
      <c r="D21747" t="s">
        <v>263</v>
      </c>
      <c r="E21747" t="s">
        <v>264</v>
      </c>
      <c r="F21747">
        <v>13.48</v>
      </c>
      <c r="G21747">
        <v>230904</v>
      </c>
      <c r="H21747">
        <v>4362</v>
      </c>
      <c r="I21747" t="s">
        <v>79</v>
      </c>
      <c r="J21747">
        <v>16.72</v>
      </c>
      <c r="K21747">
        <v>3.24</v>
      </c>
      <c r="L21747">
        <v>17538</v>
      </c>
      <c r="M21747" t="s">
        <v>24</v>
      </c>
      <c r="N21747" t="str">
        <f t="shared" si="380"/>
        <v xml:space="preserve">12336023910 </v>
      </c>
      <c r="O21747">
        <v>230912</v>
      </c>
    </row>
    <row r="21748" spans="1:15" x14ac:dyDescent="0.25">
      <c r="A21748" t="s">
        <v>16</v>
      </c>
      <c r="B21748" t="s">
        <v>3221</v>
      </c>
      <c r="C21748">
        <v>11975</v>
      </c>
      <c r="D21748" t="s">
        <v>263</v>
      </c>
      <c r="E21748" t="s">
        <v>264</v>
      </c>
      <c r="F21748">
        <v>11.88</v>
      </c>
      <c r="G21748">
        <v>230904</v>
      </c>
      <c r="H21748">
        <v>4362</v>
      </c>
      <c r="I21748" t="s">
        <v>79</v>
      </c>
      <c r="J21748">
        <v>14.73</v>
      </c>
      <c r="K21748">
        <v>2.85</v>
      </c>
      <c r="L21748">
        <v>17950</v>
      </c>
      <c r="M21748" t="s">
        <v>86</v>
      </c>
      <c r="N21748" t="str">
        <f t="shared" si="380"/>
        <v xml:space="preserve">12336023910 </v>
      </c>
      <c r="O21748">
        <v>230912</v>
      </c>
    </row>
    <row r="21749" spans="1:15" x14ac:dyDescent="0.25">
      <c r="A21749" t="s">
        <v>16</v>
      </c>
      <c r="B21749" t="s">
        <v>3221</v>
      </c>
      <c r="C21749">
        <v>11975</v>
      </c>
      <c r="D21749" t="s">
        <v>263</v>
      </c>
      <c r="E21749" t="s">
        <v>264</v>
      </c>
      <c r="F21749">
        <v>2.7</v>
      </c>
      <c r="G21749">
        <v>230904</v>
      </c>
      <c r="H21749">
        <v>4362</v>
      </c>
      <c r="I21749" t="s">
        <v>79</v>
      </c>
      <c r="J21749">
        <v>3.35</v>
      </c>
      <c r="K21749">
        <v>0.65</v>
      </c>
      <c r="L21749">
        <v>17956</v>
      </c>
      <c r="M21749" t="s">
        <v>53</v>
      </c>
      <c r="N21749" t="str">
        <f t="shared" si="380"/>
        <v xml:space="preserve">12336023910 </v>
      </c>
      <c r="O21749">
        <v>230912</v>
      </c>
    </row>
    <row r="21750" spans="1:15" x14ac:dyDescent="0.25">
      <c r="A21750" t="s">
        <v>16</v>
      </c>
      <c r="B21750" t="s">
        <v>3221</v>
      </c>
      <c r="C21750">
        <v>11975</v>
      </c>
      <c r="D21750" t="s">
        <v>263</v>
      </c>
      <c r="E21750" t="s">
        <v>264</v>
      </c>
      <c r="F21750">
        <v>13.77</v>
      </c>
      <c r="G21750">
        <v>230904</v>
      </c>
      <c r="H21750">
        <v>4362</v>
      </c>
      <c r="I21750" t="s">
        <v>79</v>
      </c>
      <c r="J21750">
        <v>17.07</v>
      </c>
      <c r="K21750">
        <v>3.3</v>
      </c>
      <c r="L21750">
        <v>17971</v>
      </c>
      <c r="M21750" t="s">
        <v>138</v>
      </c>
      <c r="N21750" t="str">
        <f t="shared" si="380"/>
        <v xml:space="preserve">12336023910 </v>
      </c>
      <c r="O21750">
        <v>230912</v>
      </c>
    </row>
    <row r="21751" spans="1:15" x14ac:dyDescent="0.25">
      <c r="A21751" t="s">
        <v>16</v>
      </c>
      <c r="B21751" t="s">
        <v>3221</v>
      </c>
      <c r="C21751">
        <v>11975</v>
      </c>
      <c r="D21751" t="s">
        <v>263</v>
      </c>
      <c r="E21751" t="s">
        <v>264</v>
      </c>
      <c r="F21751">
        <v>2.7</v>
      </c>
      <c r="G21751">
        <v>230904</v>
      </c>
      <c r="H21751">
        <v>4362</v>
      </c>
      <c r="I21751" t="s">
        <v>79</v>
      </c>
      <c r="J21751">
        <v>3.35</v>
      </c>
      <c r="K21751">
        <v>0.65</v>
      </c>
      <c r="L21751">
        <v>17972</v>
      </c>
      <c r="M21751" t="s">
        <v>248</v>
      </c>
      <c r="N21751" t="str">
        <f t="shared" si="380"/>
        <v xml:space="preserve">12336023910 </v>
      </c>
      <c r="O21751">
        <v>230912</v>
      </c>
    </row>
    <row r="21752" spans="1:15" x14ac:dyDescent="0.25">
      <c r="A21752" t="s">
        <v>16</v>
      </c>
      <c r="B21752" t="s">
        <v>3221</v>
      </c>
      <c r="C21752">
        <v>11975</v>
      </c>
      <c r="D21752" t="s">
        <v>263</v>
      </c>
      <c r="E21752" t="s">
        <v>264</v>
      </c>
      <c r="F21752">
        <v>2.7</v>
      </c>
      <c r="G21752">
        <v>230904</v>
      </c>
      <c r="H21752">
        <v>4362</v>
      </c>
      <c r="I21752" t="s">
        <v>79</v>
      </c>
      <c r="J21752">
        <v>3.35</v>
      </c>
      <c r="K21752">
        <v>0.65</v>
      </c>
      <c r="L21752">
        <v>17974</v>
      </c>
      <c r="M21752" t="s">
        <v>460</v>
      </c>
      <c r="N21752" t="str">
        <f t="shared" si="380"/>
        <v xml:space="preserve">12336023910 </v>
      </c>
      <c r="O21752">
        <v>230912</v>
      </c>
    </row>
    <row r="21753" spans="1:15" x14ac:dyDescent="0.25">
      <c r="A21753" t="s">
        <v>16</v>
      </c>
      <c r="B21753" t="s">
        <v>3221</v>
      </c>
      <c r="C21753">
        <v>11975</v>
      </c>
      <c r="D21753" t="s">
        <v>263</v>
      </c>
      <c r="E21753" t="s">
        <v>264</v>
      </c>
      <c r="F21753">
        <v>8.1</v>
      </c>
      <c r="G21753">
        <v>230904</v>
      </c>
      <c r="H21753">
        <v>4362</v>
      </c>
      <c r="I21753" t="s">
        <v>79</v>
      </c>
      <c r="J21753">
        <v>10.039999999999999</v>
      </c>
      <c r="K21753">
        <v>1.94</v>
      </c>
      <c r="L21753">
        <v>17975</v>
      </c>
      <c r="M21753" t="s">
        <v>798</v>
      </c>
      <c r="N21753" t="str">
        <f t="shared" si="380"/>
        <v xml:space="preserve">12336023910 </v>
      </c>
      <c r="O21753">
        <v>230912</v>
      </c>
    </row>
    <row r="21754" spans="1:15" x14ac:dyDescent="0.25">
      <c r="A21754" t="s">
        <v>16</v>
      </c>
      <c r="B21754" t="s">
        <v>3221</v>
      </c>
      <c r="C21754">
        <v>11994</v>
      </c>
      <c r="D21754" t="s">
        <v>263</v>
      </c>
      <c r="E21754" t="s">
        <v>264</v>
      </c>
      <c r="F21754">
        <v>21.45</v>
      </c>
      <c r="G21754">
        <v>230904</v>
      </c>
      <c r="H21754">
        <v>4362</v>
      </c>
      <c r="I21754" t="s">
        <v>79</v>
      </c>
      <c r="J21754">
        <v>26.6</v>
      </c>
      <c r="K21754">
        <v>5.15</v>
      </c>
      <c r="L21754">
        <v>11101</v>
      </c>
      <c r="M21754" t="s">
        <v>110</v>
      </c>
      <c r="N21754" t="str">
        <f>"12336023918 "</f>
        <v xml:space="preserve">12336023918 </v>
      </c>
      <c r="O21754">
        <v>230912</v>
      </c>
    </row>
    <row r="21755" spans="1:15" x14ac:dyDescent="0.25">
      <c r="A21755" t="s">
        <v>16</v>
      </c>
      <c r="B21755" t="s">
        <v>3221</v>
      </c>
      <c r="C21755">
        <v>11994</v>
      </c>
      <c r="D21755" t="s">
        <v>263</v>
      </c>
      <c r="E21755" t="s">
        <v>264</v>
      </c>
      <c r="F21755">
        <v>3.24</v>
      </c>
      <c r="G21755">
        <v>230904</v>
      </c>
      <c r="H21755">
        <v>4362</v>
      </c>
      <c r="I21755" t="s">
        <v>79</v>
      </c>
      <c r="J21755">
        <v>4.0199999999999996</v>
      </c>
      <c r="K21755">
        <v>0.78</v>
      </c>
      <c r="L21755">
        <v>11201</v>
      </c>
      <c r="M21755" t="s">
        <v>305</v>
      </c>
      <c r="N21755" t="str">
        <f>"12336023918 "</f>
        <v xml:space="preserve">12336023918 </v>
      </c>
      <c r="O21755">
        <v>230912</v>
      </c>
    </row>
    <row r="21756" spans="1:15" x14ac:dyDescent="0.25">
      <c r="A21756" t="s">
        <v>16</v>
      </c>
      <c r="B21756" t="s">
        <v>3221</v>
      </c>
      <c r="C21756">
        <v>11995</v>
      </c>
      <c r="D21756" t="s">
        <v>263</v>
      </c>
      <c r="E21756" t="s">
        <v>264</v>
      </c>
      <c r="F21756">
        <v>2.7</v>
      </c>
      <c r="G21756">
        <v>230904</v>
      </c>
      <c r="H21756">
        <v>4362</v>
      </c>
      <c r="I21756" t="s">
        <v>79</v>
      </c>
      <c r="J21756">
        <v>3.35</v>
      </c>
      <c r="K21756">
        <v>0.65</v>
      </c>
      <c r="L21756">
        <v>11001</v>
      </c>
      <c r="M21756" t="s">
        <v>326</v>
      </c>
      <c r="N21756" t="str">
        <f t="shared" ref="N21756:N21761" si="381">"12336023885 "</f>
        <v xml:space="preserve">12336023885 </v>
      </c>
      <c r="O21756">
        <v>230912</v>
      </c>
    </row>
    <row r="21757" spans="1:15" x14ac:dyDescent="0.25">
      <c r="A21757" t="s">
        <v>16</v>
      </c>
      <c r="B21757" t="s">
        <v>3221</v>
      </c>
      <c r="C21757">
        <v>11995</v>
      </c>
      <c r="D21757" t="s">
        <v>263</v>
      </c>
      <c r="E21757" t="s">
        <v>264</v>
      </c>
      <c r="F21757">
        <v>51.53</v>
      </c>
      <c r="G21757">
        <v>230904</v>
      </c>
      <c r="H21757">
        <v>4362</v>
      </c>
      <c r="I21757" t="s">
        <v>79</v>
      </c>
      <c r="J21757">
        <v>51.53</v>
      </c>
      <c r="K21757">
        <v>0</v>
      </c>
      <c r="L21757">
        <v>11001</v>
      </c>
      <c r="M21757" t="s">
        <v>326</v>
      </c>
      <c r="N21757" t="str">
        <f t="shared" si="381"/>
        <v xml:space="preserve">12336023885 </v>
      </c>
      <c r="O21757">
        <v>230912</v>
      </c>
    </row>
    <row r="21758" spans="1:15" x14ac:dyDescent="0.25">
      <c r="A21758" t="s">
        <v>16</v>
      </c>
      <c r="B21758" t="s">
        <v>3221</v>
      </c>
      <c r="C21758">
        <v>11995</v>
      </c>
      <c r="D21758" t="s">
        <v>263</v>
      </c>
      <c r="E21758" t="s">
        <v>264</v>
      </c>
      <c r="F21758">
        <v>5.53</v>
      </c>
      <c r="G21758">
        <v>230904</v>
      </c>
      <c r="H21758">
        <v>4362</v>
      </c>
      <c r="I21758" t="s">
        <v>79</v>
      </c>
      <c r="J21758">
        <v>6.86</v>
      </c>
      <c r="K21758">
        <v>1.33</v>
      </c>
      <c r="L21758">
        <v>11501</v>
      </c>
      <c r="M21758" t="s">
        <v>339</v>
      </c>
      <c r="N21758" t="str">
        <f t="shared" si="381"/>
        <v xml:space="preserve">12336023885 </v>
      </c>
      <c r="O21758">
        <v>230912</v>
      </c>
    </row>
    <row r="21759" spans="1:15" x14ac:dyDescent="0.25">
      <c r="A21759" t="s">
        <v>16</v>
      </c>
      <c r="B21759" t="s">
        <v>3221</v>
      </c>
      <c r="C21759">
        <v>11995</v>
      </c>
      <c r="D21759" t="s">
        <v>263</v>
      </c>
      <c r="E21759" t="s">
        <v>264</v>
      </c>
      <c r="F21759">
        <v>2.7</v>
      </c>
      <c r="G21759">
        <v>230904</v>
      </c>
      <c r="H21759">
        <v>4362</v>
      </c>
      <c r="I21759" t="s">
        <v>79</v>
      </c>
      <c r="J21759">
        <v>3.35</v>
      </c>
      <c r="K21759">
        <v>0.65</v>
      </c>
      <c r="L21759">
        <v>11701</v>
      </c>
      <c r="M21759" t="s">
        <v>1204</v>
      </c>
      <c r="N21759" t="str">
        <f t="shared" si="381"/>
        <v xml:space="preserve">12336023885 </v>
      </c>
      <c r="O21759">
        <v>230912</v>
      </c>
    </row>
    <row r="21760" spans="1:15" x14ac:dyDescent="0.25">
      <c r="A21760" t="s">
        <v>16</v>
      </c>
      <c r="B21760" t="s">
        <v>3221</v>
      </c>
      <c r="C21760">
        <v>11995</v>
      </c>
      <c r="D21760" t="s">
        <v>263</v>
      </c>
      <c r="E21760" t="s">
        <v>264</v>
      </c>
      <c r="F21760">
        <v>5.4</v>
      </c>
      <c r="G21760">
        <v>230904</v>
      </c>
      <c r="H21760">
        <v>4362</v>
      </c>
      <c r="I21760" t="s">
        <v>79</v>
      </c>
      <c r="J21760">
        <v>6.7</v>
      </c>
      <c r="K21760">
        <v>1.3</v>
      </c>
      <c r="L21760">
        <v>11751</v>
      </c>
      <c r="M21760" t="s">
        <v>1339</v>
      </c>
      <c r="N21760" t="str">
        <f t="shared" si="381"/>
        <v xml:space="preserve">12336023885 </v>
      </c>
      <c r="O21760">
        <v>230912</v>
      </c>
    </row>
    <row r="21761" spans="1:15" x14ac:dyDescent="0.25">
      <c r="A21761" t="s">
        <v>16</v>
      </c>
      <c r="B21761" t="s">
        <v>3221</v>
      </c>
      <c r="C21761">
        <v>11995</v>
      </c>
      <c r="D21761" t="s">
        <v>263</v>
      </c>
      <c r="E21761" t="s">
        <v>264</v>
      </c>
      <c r="F21761">
        <v>25.97</v>
      </c>
      <c r="G21761">
        <v>230904</v>
      </c>
      <c r="H21761">
        <v>4362</v>
      </c>
      <c r="I21761" t="s">
        <v>79</v>
      </c>
      <c r="J21761">
        <v>32.200000000000003</v>
      </c>
      <c r="K21761">
        <v>6.23</v>
      </c>
      <c r="L21761">
        <v>14622</v>
      </c>
      <c r="M21761" t="s">
        <v>1005</v>
      </c>
      <c r="N21761" t="str">
        <f t="shared" si="381"/>
        <v xml:space="preserve">12336023885 </v>
      </c>
      <c r="O21761">
        <v>230912</v>
      </c>
    </row>
    <row r="21762" spans="1:15" x14ac:dyDescent="0.25">
      <c r="A21762" t="s">
        <v>16</v>
      </c>
      <c r="B21762" t="s">
        <v>3221</v>
      </c>
      <c r="C21762">
        <v>12077</v>
      </c>
      <c r="D21762" t="s">
        <v>263</v>
      </c>
      <c r="E21762" t="s">
        <v>264</v>
      </c>
      <c r="F21762">
        <v>2.58</v>
      </c>
      <c r="G21762">
        <v>230904</v>
      </c>
      <c r="H21762">
        <v>4362</v>
      </c>
      <c r="I21762" t="s">
        <v>79</v>
      </c>
      <c r="J21762">
        <v>3.2</v>
      </c>
      <c r="K21762">
        <v>0.62</v>
      </c>
      <c r="L21762">
        <v>53222</v>
      </c>
      <c r="M21762" t="s">
        <v>445</v>
      </c>
      <c r="N21762" t="str">
        <f>"12336023917 "</f>
        <v xml:space="preserve">12336023917 </v>
      </c>
      <c r="O21762">
        <v>230913</v>
      </c>
    </row>
    <row r="21763" spans="1:15" x14ac:dyDescent="0.25">
      <c r="A21763" t="s">
        <v>16</v>
      </c>
      <c r="B21763" t="s">
        <v>3221</v>
      </c>
      <c r="C21763">
        <v>12077</v>
      </c>
      <c r="D21763" t="s">
        <v>263</v>
      </c>
      <c r="E21763" t="s">
        <v>264</v>
      </c>
      <c r="F21763">
        <v>14.61</v>
      </c>
      <c r="G21763">
        <v>230904</v>
      </c>
      <c r="H21763">
        <v>4362</v>
      </c>
      <c r="I21763" t="s">
        <v>79</v>
      </c>
      <c r="J21763">
        <v>18.12</v>
      </c>
      <c r="K21763">
        <v>3.51</v>
      </c>
      <c r="L21763">
        <v>53222</v>
      </c>
      <c r="M21763" t="s">
        <v>445</v>
      </c>
      <c r="N21763" t="str">
        <f>"12336023917 "</f>
        <v xml:space="preserve">12336023917 </v>
      </c>
      <c r="O21763">
        <v>230913</v>
      </c>
    </row>
    <row r="21764" spans="1:15" x14ac:dyDescent="0.25">
      <c r="A21764" t="s">
        <v>16</v>
      </c>
      <c r="B21764" t="s">
        <v>3221</v>
      </c>
      <c r="C21764">
        <v>12077</v>
      </c>
      <c r="D21764" t="s">
        <v>263</v>
      </c>
      <c r="E21764" t="s">
        <v>264</v>
      </c>
      <c r="F21764">
        <v>2.7</v>
      </c>
      <c r="G21764">
        <v>230904</v>
      </c>
      <c r="H21764">
        <v>4362</v>
      </c>
      <c r="I21764" t="s">
        <v>79</v>
      </c>
      <c r="J21764">
        <v>3.35</v>
      </c>
      <c r="K21764">
        <v>0.65</v>
      </c>
      <c r="L21764">
        <v>54622</v>
      </c>
      <c r="M21764" t="s">
        <v>872</v>
      </c>
      <c r="N21764" t="str">
        <f>"12336023917 "</f>
        <v xml:space="preserve">12336023917 </v>
      </c>
      <c r="O21764">
        <v>230913</v>
      </c>
    </row>
    <row r="21765" spans="1:15" x14ac:dyDescent="0.25">
      <c r="A21765" t="s">
        <v>16</v>
      </c>
      <c r="B21765" t="s">
        <v>3221</v>
      </c>
      <c r="C21765">
        <v>12077</v>
      </c>
      <c r="D21765" t="s">
        <v>263</v>
      </c>
      <c r="E21765" t="s">
        <v>264</v>
      </c>
      <c r="F21765">
        <v>6.94</v>
      </c>
      <c r="G21765">
        <v>230904</v>
      </c>
      <c r="H21765">
        <v>4362</v>
      </c>
      <c r="I21765" t="s">
        <v>79</v>
      </c>
      <c r="J21765">
        <v>8.61</v>
      </c>
      <c r="K21765">
        <v>1.67</v>
      </c>
      <c r="L21765">
        <v>55222</v>
      </c>
      <c r="M21765" t="s">
        <v>873</v>
      </c>
      <c r="N21765" t="str">
        <f>"12336023917 "</f>
        <v xml:space="preserve">12336023917 </v>
      </c>
      <c r="O21765">
        <v>230913</v>
      </c>
    </row>
    <row r="21766" spans="1:15" x14ac:dyDescent="0.25">
      <c r="A21766" t="s">
        <v>16</v>
      </c>
      <c r="B21766" t="s">
        <v>3221</v>
      </c>
      <c r="C21766">
        <v>12106</v>
      </c>
      <c r="D21766" t="s">
        <v>263</v>
      </c>
      <c r="E21766" t="s">
        <v>264</v>
      </c>
      <c r="F21766">
        <v>2.7</v>
      </c>
      <c r="G21766">
        <v>230904</v>
      </c>
      <c r="H21766">
        <v>4362</v>
      </c>
      <c r="I21766" t="s">
        <v>79</v>
      </c>
      <c r="J21766">
        <v>3.35</v>
      </c>
      <c r="K21766">
        <v>0.65</v>
      </c>
      <c r="L21766">
        <v>54451</v>
      </c>
      <c r="M21766" t="s">
        <v>158</v>
      </c>
      <c r="N21766" t="str">
        <f t="shared" ref="N21766:N21781" si="382">"12336023887 "</f>
        <v xml:space="preserve">12336023887 </v>
      </c>
      <c r="O21766">
        <v>230914</v>
      </c>
    </row>
    <row r="21767" spans="1:15" x14ac:dyDescent="0.25">
      <c r="A21767" t="s">
        <v>16</v>
      </c>
      <c r="B21767" t="s">
        <v>3221</v>
      </c>
      <c r="C21767">
        <v>12106</v>
      </c>
      <c r="D21767" t="s">
        <v>263</v>
      </c>
      <c r="E21767" t="s">
        <v>264</v>
      </c>
      <c r="F21767">
        <v>2.7</v>
      </c>
      <c r="G21767">
        <v>230904</v>
      </c>
      <c r="H21767">
        <v>4362</v>
      </c>
      <c r="I21767" t="s">
        <v>79</v>
      </c>
      <c r="J21767">
        <v>3.35</v>
      </c>
      <c r="K21767">
        <v>0.65</v>
      </c>
      <c r="L21767">
        <v>59111</v>
      </c>
      <c r="M21767" t="s">
        <v>1010</v>
      </c>
      <c r="N21767" t="str">
        <f t="shared" si="382"/>
        <v xml:space="preserve">12336023887 </v>
      </c>
      <c r="O21767">
        <v>230914</v>
      </c>
    </row>
    <row r="21768" spans="1:15" x14ac:dyDescent="0.25">
      <c r="A21768" t="s">
        <v>16</v>
      </c>
      <c r="B21768" t="s">
        <v>3221</v>
      </c>
      <c r="C21768">
        <v>12106</v>
      </c>
      <c r="D21768" t="s">
        <v>263</v>
      </c>
      <c r="E21768" t="s">
        <v>264</v>
      </c>
      <c r="F21768">
        <v>2.7</v>
      </c>
      <c r="G21768">
        <v>230904</v>
      </c>
      <c r="H21768">
        <v>4362</v>
      </c>
      <c r="I21768" t="s">
        <v>79</v>
      </c>
      <c r="J21768">
        <v>3.35</v>
      </c>
      <c r="K21768">
        <v>0.65</v>
      </c>
      <c r="L21768">
        <v>59112</v>
      </c>
      <c r="M21768" t="s">
        <v>182</v>
      </c>
      <c r="N21768" t="str">
        <f t="shared" si="382"/>
        <v xml:space="preserve">12336023887 </v>
      </c>
      <c r="O21768">
        <v>230914</v>
      </c>
    </row>
    <row r="21769" spans="1:15" x14ac:dyDescent="0.25">
      <c r="A21769" t="s">
        <v>16</v>
      </c>
      <c r="B21769" t="s">
        <v>3221</v>
      </c>
      <c r="C21769">
        <v>12106</v>
      </c>
      <c r="D21769" t="s">
        <v>263</v>
      </c>
      <c r="E21769" t="s">
        <v>264</v>
      </c>
      <c r="F21769">
        <v>7.49</v>
      </c>
      <c r="G21769">
        <v>230904</v>
      </c>
      <c r="H21769">
        <v>4362</v>
      </c>
      <c r="I21769" t="s">
        <v>79</v>
      </c>
      <c r="J21769">
        <v>9.2899999999999991</v>
      </c>
      <c r="K21769">
        <v>1.8</v>
      </c>
      <c r="L21769">
        <v>59113</v>
      </c>
      <c r="M21769" t="s">
        <v>235</v>
      </c>
      <c r="N21769" t="str">
        <f t="shared" si="382"/>
        <v xml:space="preserve">12336023887 </v>
      </c>
      <c r="O21769">
        <v>230914</v>
      </c>
    </row>
    <row r="21770" spans="1:15" x14ac:dyDescent="0.25">
      <c r="A21770" t="s">
        <v>16</v>
      </c>
      <c r="B21770" t="s">
        <v>3221</v>
      </c>
      <c r="C21770">
        <v>12106</v>
      </c>
      <c r="D21770" t="s">
        <v>263</v>
      </c>
      <c r="E21770" t="s">
        <v>264</v>
      </c>
      <c r="F21770">
        <v>13.82</v>
      </c>
      <c r="G21770">
        <v>230904</v>
      </c>
      <c r="H21770">
        <v>4362</v>
      </c>
      <c r="I21770" t="s">
        <v>79</v>
      </c>
      <c r="J21770">
        <v>17.14</v>
      </c>
      <c r="K21770">
        <v>3.32</v>
      </c>
      <c r="L21770">
        <v>59114</v>
      </c>
      <c r="M21770" t="s">
        <v>556</v>
      </c>
      <c r="N21770" t="str">
        <f t="shared" si="382"/>
        <v xml:space="preserve">12336023887 </v>
      </c>
      <c r="O21770">
        <v>230914</v>
      </c>
    </row>
    <row r="21771" spans="1:15" x14ac:dyDescent="0.25">
      <c r="A21771" t="s">
        <v>16</v>
      </c>
      <c r="B21771" t="s">
        <v>3221</v>
      </c>
      <c r="C21771">
        <v>12106</v>
      </c>
      <c r="D21771" t="s">
        <v>263</v>
      </c>
      <c r="E21771" t="s">
        <v>264</v>
      </c>
      <c r="F21771">
        <v>32.93</v>
      </c>
      <c r="G21771">
        <v>230904</v>
      </c>
      <c r="H21771">
        <v>4362</v>
      </c>
      <c r="I21771" t="s">
        <v>79</v>
      </c>
      <c r="J21771">
        <v>40.83</v>
      </c>
      <c r="K21771">
        <v>7.9</v>
      </c>
      <c r="L21771">
        <v>59501</v>
      </c>
      <c r="M21771" t="s">
        <v>69</v>
      </c>
      <c r="N21771" t="str">
        <f t="shared" si="382"/>
        <v xml:space="preserve">12336023887 </v>
      </c>
      <c r="O21771">
        <v>230914</v>
      </c>
    </row>
    <row r="21772" spans="1:15" x14ac:dyDescent="0.25">
      <c r="A21772" t="s">
        <v>16</v>
      </c>
      <c r="B21772" t="s">
        <v>3221</v>
      </c>
      <c r="C21772">
        <v>12106</v>
      </c>
      <c r="D21772" t="s">
        <v>263</v>
      </c>
      <c r="E21772" t="s">
        <v>264</v>
      </c>
      <c r="F21772">
        <v>31.9</v>
      </c>
      <c r="G21772">
        <v>230904</v>
      </c>
      <c r="H21772">
        <v>4362</v>
      </c>
      <c r="I21772" t="s">
        <v>79</v>
      </c>
      <c r="J21772">
        <v>39.56</v>
      </c>
      <c r="K21772">
        <v>7.66</v>
      </c>
      <c r="L21772">
        <v>59502</v>
      </c>
      <c r="M21772" t="s">
        <v>70</v>
      </c>
      <c r="N21772" t="str">
        <f t="shared" si="382"/>
        <v xml:space="preserve">12336023887 </v>
      </c>
      <c r="O21772">
        <v>230914</v>
      </c>
    </row>
    <row r="21773" spans="1:15" x14ac:dyDescent="0.25">
      <c r="A21773" t="s">
        <v>16</v>
      </c>
      <c r="B21773" t="s">
        <v>3221</v>
      </c>
      <c r="C21773">
        <v>12106</v>
      </c>
      <c r="D21773" t="s">
        <v>263</v>
      </c>
      <c r="E21773" t="s">
        <v>264</v>
      </c>
      <c r="F21773">
        <v>10.46</v>
      </c>
      <c r="G21773">
        <v>230904</v>
      </c>
      <c r="H21773">
        <v>4362</v>
      </c>
      <c r="I21773" t="s">
        <v>79</v>
      </c>
      <c r="J21773">
        <v>12.97</v>
      </c>
      <c r="K21773">
        <v>2.5099999999999998</v>
      </c>
      <c r="L21773">
        <v>59504</v>
      </c>
      <c r="M21773" t="s">
        <v>71</v>
      </c>
      <c r="N21773" t="str">
        <f t="shared" si="382"/>
        <v xml:space="preserve">12336023887 </v>
      </c>
      <c r="O21773">
        <v>230914</v>
      </c>
    </row>
    <row r="21774" spans="1:15" x14ac:dyDescent="0.25">
      <c r="A21774" t="s">
        <v>16</v>
      </c>
      <c r="B21774" t="s">
        <v>3221</v>
      </c>
      <c r="C21774">
        <v>12106</v>
      </c>
      <c r="D21774" t="s">
        <v>263</v>
      </c>
      <c r="E21774" t="s">
        <v>264</v>
      </c>
      <c r="F21774">
        <v>5.4</v>
      </c>
      <c r="G21774">
        <v>230904</v>
      </c>
      <c r="H21774">
        <v>4362</v>
      </c>
      <c r="I21774" t="s">
        <v>79</v>
      </c>
      <c r="J21774">
        <v>6.7</v>
      </c>
      <c r="K21774">
        <v>1.3</v>
      </c>
      <c r="L21774">
        <v>59505</v>
      </c>
      <c r="M21774" t="s">
        <v>72</v>
      </c>
      <c r="N21774" t="str">
        <f t="shared" si="382"/>
        <v xml:space="preserve">12336023887 </v>
      </c>
      <c r="O21774">
        <v>230914</v>
      </c>
    </row>
    <row r="21775" spans="1:15" x14ac:dyDescent="0.25">
      <c r="A21775" t="s">
        <v>16</v>
      </c>
      <c r="B21775" t="s">
        <v>3221</v>
      </c>
      <c r="C21775">
        <v>12106</v>
      </c>
      <c r="D21775" t="s">
        <v>263</v>
      </c>
      <c r="E21775" t="s">
        <v>264</v>
      </c>
      <c r="F21775">
        <v>16.100000000000001</v>
      </c>
      <c r="G21775">
        <v>230904</v>
      </c>
      <c r="H21775">
        <v>4362</v>
      </c>
      <c r="I21775" t="s">
        <v>79</v>
      </c>
      <c r="J21775">
        <v>19.96</v>
      </c>
      <c r="K21775">
        <v>3.86</v>
      </c>
      <c r="L21775">
        <v>59701</v>
      </c>
      <c r="M21775" t="s">
        <v>297</v>
      </c>
      <c r="N21775" t="str">
        <f t="shared" si="382"/>
        <v xml:space="preserve">12336023887 </v>
      </c>
      <c r="O21775">
        <v>230914</v>
      </c>
    </row>
    <row r="21776" spans="1:15" x14ac:dyDescent="0.25">
      <c r="A21776" t="s">
        <v>16</v>
      </c>
      <c r="B21776" t="s">
        <v>3221</v>
      </c>
      <c r="C21776">
        <v>12106</v>
      </c>
      <c r="D21776" t="s">
        <v>263</v>
      </c>
      <c r="E21776" t="s">
        <v>264</v>
      </c>
      <c r="F21776">
        <v>2.7</v>
      </c>
      <c r="G21776">
        <v>230904</v>
      </c>
      <c r="H21776">
        <v>4362</v>
      </c>
      <c r="I21776" t="s">
        <v>79</v>
      </c>
      <c r="J21776">
        <v>3.35</v>
      </c>
      <c r="K21776">
        <v>0.65</v>
      </c>
      <c r="L21776">
        <v>59702</v>
      </c>
      <c r="M21776" t="s">
        <v>328</v>
      </c>
      <c r="N21776" t="str">
        <f t="shared" si="382"/>
        <v xml:space="preserve">12336023887 </v>
      </c>
      <c r="O21776">
        <v>230914</v>
      </c>
    </row>
    <row r="21777" spans="1:15" x14ac:dyDescent="0.25">
      <c r="A21777" t="s">
        <v>16</v>
      </c>
      <c r="B21777" t="s">
        <v>3221</v>
      </c>
      <c r="C21777">
        <v>12106</v>
      </c>
      <c r="D21777" t="s">
        <v>263</v>
      </c>
      <c r="E21777" t="s">
        <v>264</v>
      </c>
      <c r="F21777">
        <v>5.25</v>
      </c>
      <c r="G21777">
        <v>230904</v>
      </c>
      <c r="H21777">
        <v>4362</v>
      </c>
      <c r="I21777" t="s">
        <v>79</v>
      </c>
      <c r="J21777">
        <v>6.51</v>
      </c>
      <c r="K21777">
        <v>1.26</v>
      </c>
      <c r="L21777">
        <v>59704</v>
      </c>
      <c r="M21777" t="s">
        <v>1103</v>
      </c>
      <c r="N21777" t="str">
        <f t="shared" si="382"/>
        <v xml:space="preserve">12336023887 </v>
      </c>
      <c r="O21777">
        <v>230914</v>
      </c>
    </row>
    <row r="21778" spans="1:15" x14ac:dyDescent="0.25">
      <c r="A21778" t="s">
        <v>16</v>
      </c>
      <c r="B21778" t="s">
        <v>3221</v>
      </c>
      <c r="C21778">
        <v>12106</v>
      </c>
      <c r="D21778" t="s">
        <v>263</v>
      </c>
      <c r="E21778" t="s">
        <v>264</v>
      </c>
      <c r="F21778">
        <v>5.4</v>
      </c>
      <c r="G21778">
        <v>230904</v>
      </c>
      <c r="H21778">
        <v>4362</v>
      </c>
      <c r="I21778" t="s">
        <v>79</v>
      </c>
      <c r="J21778">
        <v>6.7</v>
      </c>
      <c r="K21778">
        <v>1.3</v>
      </c>
      <c r="L21778">
        <v>59705</v>
      </c>
      <c r="M21778" t="s">
        <v>843</v>
      </c>
      <c r="N21778" t="str">
        <f t="shared" si="382"/>
        <v xml:space="preserve">12336023887 </v>
      </c>
      <c r="O21778">
        <v>230914</v>
      </c>
    </row>
    <row r="21779" spans="1:15" x14ac:dyDescent="0.25">
      <c r="A21779" t="s">
        <v>16</v>
      </c>
      <c r="B21779" t="s">
        <v>3221</v>
      </c>
      <c r="C21779">
        <v>12106</v>
      </c>
      <c r="D21779" t="s">
        <v>263</v>
      </c>
      <c r="E21779" t="s">
        <v>264</v>
      </c>
      <c r="F21779">
        <v>15.9</v>
      </c>
      <c r="G21779">
        <v>230904</v>
      </c>
      <c r="H21779">
        <v>4362</v>
      </c>
      <c r="I21779" t="s">
        <v>79</v>
      </c>
      <c r="J21779">
        <v>19.71</v>
      </c>
      <c r="K21779">
        <v>3.81</v>
      </c>
      <c r="L21779">
        <v>59802</v>
      </c>
      <c r="M21779" t="s">
        <v>73</v>
      </c>
      <c r="N21779" t="str">
        <f t="shared" si="382"/>
        <v xml:space="preserve">12336023887 </v>
      </c>
      <c r="O21779">
        <v>230914</v>
      </c>
    </row>
    <row r="21780" spans="1:15" x14ac:dyDescent="0.25">
      <c r="A21780" t="s">
        <v>16</v>
      </c>
      <c r="B21780" t="s">
        <v>3221</v>
      </c>
      <c r="C21780">
        <v>12106</v>
      </c>
      <c r="D21780" t="s">
        <v>263</v>
      </c>
      <c r="E21780" t="s">
        <v>264</v>
      </c>
      <c r="F21780">
        <v>12.74</v>
      </c>
      <c r="G21780">
        <v>230904</v>
      </c>
      <c r="H21780">
        <v>4362</v>
      </c>
      <c r="I21780" t="s">
        <v>79</v>
      </c>
      <c r="J21780">
        <v>15.8</v>
      </c>
      <c r="K21780">
        <v>3.06</v>
      </c>
      <c r="L21780">
        <v>59812</v>
      </c>
      <c r="M21780" t="s">
        <v>74</v>
      </c>
      <c r="N21780" t="str">
        <f t="shared" si="382"/>
        <v xml:space="preserve">12336023887 </v>
      </c>
      <c r="O21780">
        <v>230914</v>
      </c>
    </row>
    <row r="21781" spans="1:15" x14ac:dyDescent="0.25">
      <c r="A21781" t="s">
        <v>16</v>
      </c>
      <c r="B21781" t="s">
        <v>3221</v>
      </c>
      <c r="C21781">
        <v>12106</v>
      </c>
      <c r="D21781" t="s">
        <v>263</v>
      </c>
      <c r="E21781" t="s">
        <v>264</v>
      </c>
      <c r="F21781">
        <v>15.75</v>
      </c>
      <c r="G21781">
        <v>230904</v>
      </c>
      <c r="H21781">
        <v>4362</v>
      </c>
      <c r="I21781" t="s">
        <v>79</v>
      </c>
      <c r="J21781">
        <v>19.53</v>
      </c>
      <c r="K21781">
        <v>3.78</v>
      </c>
      <c r="L21781">
        <v>59815</v>
      </c>
      <c r="M21781" t="s">
        <v>1182</v>
      </c>
      <c r="N21781" t="str">
        <f t="shared" si="382"/>
        <v xml:space="preserve">12336023887 </v>
      </c>
      <c r="O21781">
        <v>230914</v>
      </c>
    </row>
    <row r="21782" spans="1:15" x14ac:dyDescent="0.25">
      <c r="A21782" t="s">
        <v>16</v>
      </c>
      <c r="B21782" t="s">
        <v>3221</v>
      </c>
      <c r="C21782">
        <v>12107</v>
      </c>
      <c r="D21782" t="s">
        <v>263</v>
      </c>
      <c r="E21782" t="s">
        <v>264</v>
      </c>
      <c r="F21782">
        <v>4.55</v>
      </c>
      <c r="G21782">
        <v>230904</v>
      </c>
      <c r="H21782">
        <v>4362</v>
      </c>
      <c r="I21782" t="s">
        <v>79</v>
      </c>
      <c r="J21782">
        <v>4.55</v>
      </c>
      <c r="K21782">
        <v>0</v>
      </c>
      <c r="L21782">
        <v>59702</v>
      </c>
      <c r="M21782" t="s">
        <v>328</v>
      </c>
      <c r="N21782" t="str">
        <f>"12336023889 "</f>
        <v xml:space="preserve">12336023889 </v>
      </c>
      <c r="O21782">
        <v>230914</v>
      </c>
    </row>
    <row r="21783" spans="1:15" x14ac:dyDescent="0.25">
      <c r="A21783" t="s">
        <v>16</v>
      </c>
      <c r="B21783" t="s">
        <v>3221</v>
      </c>
      <c r="C21783">
        <v>12107</v>
      </c>
      <c r="D21783" t="s">
        <v>263</v>
      </c>
      <c r="E21783" t="s">
        <v>264</v>
      </c>
      <c r="F21783">
        <v>12.44</v>
      </c>
      <c r="G21783">
        <v>230904</v>
      </c>
      <c r="H21783">
        <v>4362</v>
      </c>
      <c r="I21783" t="s">
        <v>79</v>
      </c>
      <c r="J21783">
        <v>15.43</v>
      </c>
      <c r="K21783">
        <v>2.99</v>
      </c>
      <c r="L21783">
        <v>59702</v>
      </c>
      <c r="M21783" t="s">
        <v>328</v>
      </c>
      <c r="N21783" t="str">
        <f>"12336023889 "</f>
        <v xml:space="preserve">12336023889 </v>
      </c>
      <c r="O21783">
        <v>230914</v>
      </c>
    </row>
    <row r="21784" spans="1:15" x14ac:dyDescent="0.25">
      <c r="A21784" t="s">
        <v>16</v>
      </c>
      <c r="B21784" t="s">
        <v>3221</v>
      </c>
      <c r="C21784">
        <v>12107</v>
      </c>
      <c r="D21784" t="s">
        <v>263</v>
      </c>
      <c r="E21784" t="s">
        <v>264</v>
      </c>
      <c r="F21784">
        <v>8.08</v>
      </c>
      <c r="G21784">
        <v>230904</v>
      </c>
      <c r="H21784">
        <v>4362</v>
      </c>
      <c r="I21784" t="s">
        <v>79</v>
      </c>
      <c r="J21784">
        <v>10.02</v>
      </c>
      <c r="K21784">
        <v>1.94</v>
      </c>
      <c r="L21784">
        <v>59704</v>
      </c>
      <c r="M21784" t="s">
        <v>1103</v>
      </c>
      <c r="N21784" t="str">
        <f>"12336023889 "</f>
        <v xml:space="preserve">12336023889 </v>
      </c>
      <c r="O21784">
        <v>230914</v>
      </c>
    </row>
    <row r="21785" spans="1:15" x14ac:dyDescent="0.25">
      <c r="A21785" t="s">
        <v>16</v>
      </c>
      <c r="B21785" t="s">
        <v>3221</v>
      </c>
      <c r="C21785">
        <v>12135</v>
      </c>
      <c r="D21785" t="s">
        <v>263</v>
      </c>
      <c r="E21785" t="s">
        <v>264</v>
      </c>
      <c r="F21785">
        <v>2.7</v>
      </c>
      <c r="G21785">
        <v>230904</v>
      </c>
      <c r="H21785">
        <v>4362</v>
      </c>
      <c r="I21785" t="s">
        <v>79</v>
      </c>
      <c r="J21785">
        <v>3.35</v>
      </c>
      <c r="K21785">
        <v>0.65</v>
      </c>
      <c r="L21785">
        <v>51157</v>
      </c>
      <c r="M21785" t="s">
        <v>1216</v>
      </c>
      <c r="N21785" t="str">
        <f t="shared" ref="N21785:N21795" si="383">"12336023893 "</f>
        <v xml:space="preserve">12336023893 </v>
      </c>
      <c r="O21785">
        <v>230914</v>
      </c>
    </row>
    <row r="21786" spans="1:15" x14ac:dyDescent="0.25">
      <c r="A21786" t="s">
        <v>16</v>
      </c>
      <c r="B21786" t="s">
        <v>3221</v>
      </c>
      <c r="C21786">
        <v>12135</v>
      </c>
      <c r="D21786" t="s">
        <v>263</v>
      </c>
      <c r="E21786" t="s">
        <v>264</v>
      </c>
      <c r="F21786">
        <v>2.7</v>
      </c>
      <c r="G21786">
        <v>230904</v>
      </c>
      <c r="H21786">
        <v>4362</v>
      </c>
      <c r="I21786" t="s">
        <v>79</v>
      </c>
      <c r="J21786">
        <v>3.35</v>
      </c>
      <c r="K21786">
        <v>0.65</v>
      </c>
      <c r="L21786">
        <v>56526</v>
      </c>
      <c r="M21786" t="s">
        <v>1217</v>
      </c>
      <c r="N21786" t="str">
        <f t="shared" si="383"/>
        <v xml:space="preserve">12336023893 </v>
      </c>
      <c r="O21786">
        <v>230914</v>
      </c>
    </row>
    <row r="21787" spans="1:15" x14ac:dyDescent="0.25">
      <c r="A21787" t="s">
        <v>16</v>
      </c>
      <c r="B21787" t="s">
        <v>3221</v>
      </c>
      <c r="C21787">
        <v>12135</v>
      </c>
      <c r="D21787" t="s">
        <v>263</v>
      </c>
      <c r="E21787" t="s">
        <v>264</v>
      </c>
      <c r="F21787">
        <v>16.93</v>
      </c>
      <c r="G21787">
        <v>230904</v>
      </c>
      <c r="H21787">
        <v>4362</v>
      </c>
      <c r="I21787" t="s">
        <v>79</v>
      </c>
      <c r="J21787">
        <v>20.99</v>
      </c>
      <c r="K21787">
        <v>4.0599999999999996</v>
      </c>
      <c r="L21787">
        <v>56558</v>
      </c>
      <c r="M21787" t="s">
        <v>217</v>
      </c>
      <c r="N21787" t="str">
        <f t="shared" si="383"/>
        <v xml:space="preserve">12336023893 </v>
      </c>
      <c r="O21787">
        <v>230914</v>
      </c>
    </row>
    <row r="21788" spans="1:15" x14ac:dyDescent="0.25">
      <c r="A21788" t="s">
        <v>16</v>
      </c>
      <c r="B21788" t="s">
        <v>3221</v>
      </c>
      <c r="C21788">
        <v>12135</v>
      </c>
      <c r="D21788" t="s">
        <v>263</v>
      </c>
      <c r="E21788" t="s">
        <v>264</v>
      </c>
      <c r="F21788">
        <v>29.23</v>
      </c>
      <c r="G21788">
        <v>230904</v>
      </c>
      <c r="H21788">
        <v>4362</v>
      </c>
      <c r="I21788" t="s">
        <v>79</v>
      </c>
      <c r="J21788">
        <v>36.25</v>
      </c>
      <c r="K21788">
        <v>7.02</v>
      </c>
      <c r="L21788">
        <v>56559</v>
      </c>
      <c r="M21788" t="s">
        <v>129</v>
      </c>
      <c r="N21788" t="str">
        <f t="shared" si="383"/>
        <v xml:space="preserve">12336023893 </v>
      </c>
      <c r="O21788">
        <v>230914</v>
      </c>
    </row>
    <row r="21789" spans="1:15" x14ac:dyDescent="0.25">
      <c r="A21789" t="s">
        <v>16</v>
      </c>
      <c r="B21789" t="s">
        <v>3221</v>
      </c>
      <c r="C21789">
        <v>12135</v>
      </c>
      <c r="D21789" t="s">
        <v>263</v>
      </c>
      <c r="E21789" t="s">
        <v>264</v>
      </c>
      <c r="F21789">
        <v>8.1</v>
      </c>
      <c r="G21789">
        <v>230904</v>
      </c>
      <c r="H21789">
        <v>4362</v>
      </c>
      <c r="I21789" t="s">
        <v>79</v>
      </c>
      <c r="J21789">
        <v>10.039999999999999</v>
      </c>
      <c r="K21789">
        <v>1.94</v>
      </c>
      <c r="L21789">
        <v>56560</v>
      </c>
      <c r="M21789" t="s">
        <v>654</v>
      </c>
      <c r="N21789" t="str">
        <f t="shared" si="383"/>
        <v xml:space="preserve">12336023893 </v>
      </c>
      <c r="O21789">
        <v>230914</v>
      </c>
    </row>
    <row r="21790" spans="1:15" x14ac:dyDescent="0.25">
      <c r="A21790" t="s">
        <v>16</v>
      </c>
      <c r="B21790" t="s">
        <v>3221</v>
      </c>
      <c r="C21790">
        <v>12135</v>
      </c>
      <c r="D21790" t="s">
        <v>263</v>
      </c>
      <c r="E21790" t="s">
        <v>264</v>
      </c>
      <c r="F21790">
        <v>2.7</v>
      </c>
      <c r="G21790">
        <v>230904</v>
      </c>
      <c r="H21790">
        <v>4362</v>
      </c>
      <c r="I21790" t="s">
        <v>79</v>
      </c>
      <c r="J21790">
        <v>3.35</v>
      </c>
      <c r="K21790">
        <v>0.65</v>
      </c>
      <c r="L21790">
        <v>56561</v>
      </c>
      <c r="M21790" t="s">
        <v>358</v>
      </c>
      <c r="N21790" t="str">
        <f t="shared" si="383"/>
        <v xml:space="preserve">12336023893 </v>
      </c>
      <c r="O21790">
        <v>230914</v>
      </c>
    </row>
    <row r="21791" spans="1:15" x14ac:dyDescent="0.25">
      <c r="A21791" t="s">
        <v>16</v>
      </c>
      <c r="B21791" t="s">
        <v>3221</v>
      </c>
      <c r="C21791">
        <v>12135</v>
      </c>
      <c r="D21791" t="s">
        <v>263</v>
      </c>
      <c r="E21791" t="s">
        <v>264</v>
      </c>
      <c r="F21791">
        <v>5.4</v>
      </c>
      <c r="G21791">
        <v>230904</v>
      </c>
      <c r="H21791">
        <v>4362</v>
      </c>
      <c r="I21791" t="s">
        <v>79</v>
      </c>
      <c r="J21791">
        <v>6.7</v>
      </c>
      <c r="K21791">
        <v>1.3</v>
      </c>
      <c r="L21791">
        <v>56562</v>
      </c>
      <c r="M21791" t="s">
        <v>126</v>
      </c>
      <c r="N21791" t="str">
        <f t="shared" si="383"/>
        <v xml:space="preserve">12336023893 </v>
      </c>
      <c r="O21791">
        <v>230914</v>
      </c>
    </row>
    <row r="21792" spans="1:15" x14ac:dyDescent="0.25">
      <c r="A21792" t="s">
        <v>16</v>
      </c>
      <c r="B21792" t="s">
        <v>3221</v>
      </c>
      <c r="C21792">
        <v>12135</v>
      </c>
      <c r="D21792" t="s">
        <v>263</v>
      </c>
      <c r="E21792" t="s">
        <v>264</v>
      </c>
      <c r="F21792">
        <v>9.82</v>
      </c>
      <c r="G21792">
        <v>230904</v>
      </c>
      <c r="H21792">
        <v>4362</v>
      </c>
      <c r="I21792" t="s">
        <v>79</v>
      </c>
      <c r="J21792">
        <v>12.18</v>
      </c>
      <c r="K21792">
        <v>2.36</v>
      </c>
      <c r="L21792">
        <v>56564</v>
      </c>
      <c r="M21792" t="s">
        <v>327</v>
      </c>
      <c r="N21792" t="str">
        <f t="shared" si="383"/>
        <v xml:space="preserve">12336023893 </v>
      </c>
      <c r="O21792">
        <v>230914</v>
      </c>
    </row>
    <row r="21793" spans="1:15" x14ac:dyDescent="0.25">
      <c r="A21793" t="s">
        <v>16</v>
      </c>
      <c r="B21793" t="s">
        <v>3221</v>
      </c>
      <c r="C21793">
        <v>12135</v>
      </c>
      <c r="D21793" t="s">
        <v>263</v>
      </c>
      <c r="E21793" t="s">
        <v>264</v>
      </c>
      <c r="F21793">
        <v>9.4499999999999993</v>
      </c>
      <c r="G21793">
        <v>230904</v>
      </c>
      <c r="H21793">
        <v>4362</v>
      </c>
      <c r="I21793" t="s">
        <v>79</v>
      </c>
      <c r="J21793">
        <v>11.72</v>
      </c>
      <c r="K21793">
        <v>2.27</v>
      </c>
      <c r="L21793">
        <v>56565</v>
      </c>
      <c r="M21793" t="s">
        <v>758</v>
      </c>
      <c r="N21793" t="str">
        <f t="shared" si="383"/>
        <v xml:space="preserve">12336023893 </v>
      </c>
      <c r="O21793">
        <v>230914</v>
      </c>
    </row>
    <row r="21794" spans="1:15" x14ac:dyDescent="0.25">
      <c r="A21794" t="s">
        <v>16</v>
      </c>
      <c r="B21794" t="s">
        <v>3221</v>
      </c>
      <c r="C21794">
        <v>12135</v>
      </c>
      <c r="D21794" t="s">
        <v>263</v>
      </c>
      <c r="E21794" t="s">
        <v>264</v>
      </c>
      <c r="F21794">
        <v>8.1</v>
      </c>
      <c r="G21794">
        <v>230904</v>
      </c>
      <c r="H21794">
        <v>4362</v>
      </c>
      <c r="I21794" t="s">
        <v>79</v>
      </c>
      <c r="J21794">
        <v>10.039999999999999</v>
      </c>
      <c r="K21794">
        <v>1.94</v>
      </c>
      <c r="L21794">
        <v>56566</v>
      </c>
      <c r="M21794" t="s">
        <v>652</v>
      </c>
      <c r="N21794" t="str">
        <f t="shared" si="383"/>
        <v xml:space="preserve">12336023893 </v>
      </c>
      <c r="O21794">
        <v>230914</v>
      </c>
    </row>
    <row r="21795" spans="1:15" x14ac:dyDescent="0.25">
      <c r="A21795" t="s">
        <v>16</v>
      </c>
      <c r="B21795" t="s">
        <v>3221</v>
      </c>
      <c r="C21795">
        <v>12135</v>
      </c>
      <c r="D21795" t="s">
        <v>263</v>
      </c>
      <c r="E21795" t="s">
        <v>264</v>
      </c>
      <c r="F21795">
        <v>2.7</v>
      </c>
      <c r="G21795">
        <v>230904</v>
      </c>
      <c r="H21795">
        <v>4362</v>
      </c>
      <c r="I21795" t="s">
        <v>79</v>
      </c>
      <c r="J21795">
        <v>3.35</v>
      </c>
      <c r="K21795">
        <v>0.65</v>
      </c>
      <c r="L21795">
        <v>56568</v>
      </c>
      <c r="M21795" t="s">
        <v>268</v>
      </c>
      <c r="N21795" t="str">
        <f t="shared" si="383"/>
        <v xml:space="preserve">12336023893 </v>
      </c>
      <c r="O21795">
        <v>230914</v>
      </c>
    </row>
    <row r="21796" spans="1:15" x14ac:dyDescent="0.25">
      <c r="A21796" t="s">
        <v>16</v>
      </c>
      <c r="B21796" t="s">
        <v>3221</v>
      </c>
      <c r="C21796">
        <v>12165</v>
      </c>
      <c r="D21796" t="s">
        <v>263</v>
      </c>
      <c r="E21796" t="s">
        <v>264</v>
      </c>
      <c r="F21796">
        <v>4.26</v>
      </c>
      <c r="G21796">
        <v>230904</v>
      </c>
      <c r="H21796">
        <v>4362</v>
      </c>
      <c r="I21796" t="s">
        <v>79</v>
      </c>
      <c r="J21796">
        <v>5.28</v>
      </c>
      <c r="K21796">
        <v>1.02</v>
      </c>
      <c r="L21796">
        <v>14972</v>
      </c>
      <c r="M21796" t="s">
        <v>898</v>
      </c>
      <c r="N21796" t="str">
        <f t="shared" ref="N21796:N21802" si="384">"12336023886 "</f>
        <v xml:space="preserve">12336023886 </v>
      </c>
      <c r="O21796">
        <v>230914</v>
      </c>
    </row>
    <row r="21797" spans="1:15" x14ac:dyDescent="0.25">
      <c r="A21797" t="s">
        <v>16</v>
      </c>
      <c r="B21797" t="s">
        <v>3221</v>
      </c>
      <c r="C21797">
        <v>12165</v>
      </c>
      <c r="D21797" t="s">
        <v>263</v>
      </c>
      <c r="E21797" t="s">
        <v>264</v>
      </c>
      <c r="F21797">
        <v>5.25</v>
      </c>
      <c r="G21797">
        <v>230904</v>
      </c>
      <c r="H21797">
        <v>4362</v>
      </c>
      <c r="I21797" t="s">
        <v>79</v>
      </c>
      <c r="J21797">
        <v>6.51</v>
      </c>
      <c r="K21797">
        <v>1.26</v>
      </c>
      <c r="L21797">
        <v>17972</v>
      </c>
      <c r="M21797" t="s">
        <v>248</v>
      </c>
      <c r="N21797" t="str">
        <f t="shared" si="384"/>
        <v xml:space="preserve">12336023886 </v>
      </c>
      <c r="O21797">
        <v>230914</v>
      </c>
    </row>
    <row r="21798" spans="1:15" x14ac:dyDescent="0.25">
      <c r="A21798" t="s">
        <v>16</v>
      </c>
      <c r="B21798" t="s">
        <v>3221</v>
      </c>
      <c r="C21798">
        <v>12165</v>
      </c>
      <c r="D21798" t="s">
        <v>263</v>
      </c>
      <c r="E21798" t="s">
        <v>264</v>
      </c>
      <c r="F21798">
        <v>25.68</v>
      </c>
      <c r="G21798">
        <v>230904</v>
      </c>
      <c r="H21798">
        <v>4362</v>
      </c>
      <c r="I21798" t="s">
        <v>79</v>
      </c>
      <c r="J21798">
        <v>31.84</v>
      </c>
      <c r="K21798">
        <v>6.16</v>
      </c>
      <c r="L21798">
        <v>18010</v>
      </c>
      <c r="M21798" t="s">
        <v>1344</v>
      </c>
      <c r="N21798" t="str">
        <f t="shared" si="384"/>
        <v xml:space="preserve">12336023886 </v>
      </c>
      <c r="O21798">
        <v>230914</v>
      </c>
    </row>
    <row r="21799" spans="1:15" x14ac:dyDescent="0.25">
      <c r="A21799" t="s">
        <v>16</v>
      </c>
      <c r="B21799" t="s">
        <v>3221</v>
      </c>
      <c r="C21799">
        <v>12165</v>
      </c>
      <c r="D21799" t="s">
        <v>263</v>
      </c>
      <c r="E21799" t="s">
        <v>264</v>
      </c>
      <c r="F21799">
        <v>2.7</v>
      </c>
      <c r="G21799">
        <v>230904</v>
      </c>
      <c r="H21799">
        <v>4362</v>
      </c>
      <c r="I21799" t="s">
        <v>79</v>
      </c>
      <c r="J21799">
        <v>3.35</v>
      </c>
      <c r="K21799">
        <v>0.65</v>
      </c>
      <c r="L21799">
        <v>18120</v>
      </c>
      <c r="M21799" t="s">
        <v>329</v>
      </c>
      <c r="N21799" t="str">
        <f t="shared" si="384"/>
        <v xml:space="preserve">12336023886 </v>
      </c>
      <c r="O21799">
        <v>230914</v>
      </c>
    </row>
    <row r="21800" spans="1:15" x14ac:dyDescent="0.25">
      <c r="A21800" t="s">
        <v>16</v>
      </c>
      <c r="B21800" t="s">
        <v>3221</v>
      </c>
      <c r="C21800">
        <v>12165</v>
      </c>
      <c r="D21800" t="s">
        <v>263</v>
      </c>
      <c r="E21800" t="s">
        <v>264</v>
      </c>
      <c r="F21800">
        <v>33.97</v>
      </c>
      <c r="G21800">
        <v>230904</v>
      </c>
      <c r="H21800">
        <v>4362</v>
      </c>
      <c r="I21800" t="s">
        <v>79</v>
      </c>
      <c r="J21800">
        <v>42.12</v>
      </c>
      <c r="K21800">
        <v>8.15</v>
      </c>
      <c r="L21800">
        <v>18972</v>
      </c>
      <c r="M21800" t="s">
        <v>163</v>
      </c>
      <c r="N21800" t="str">
        <f t="shared" si="384"/>
        <v xml:space="preserve">12336023886 </v>
      </c>
      <c r="O21800">
        <v>230914</v>
      </c>
    </row>
    <row r="21801" spans="1:15" x14ac:dyDescent="0.25">
      <c r="A21801" t="s">
        <v>16</v>
      </c>
      <c r="B21801" t="s">
        <v>3221</v>
      </c>
      <c r="C21801">
        <v>12165</v>
      </c>
      <c r="D21801" t="s">
        <v>263</v>
      </c>
      <c r="E21801" t="s">
        <v>264</v>
      </c>
      <c r="F21801">
        <v>2.7</v>
      </c>
      <c r="G21801">
        <v>230904</v>
      </c>
      <c r="H21801">
        <v>4362</v>
      </c>
      <c r="I21801" t="s">
        <v>79</v>
      </c>
      <c r="J21801">
        <v>3.35</v>
      </c>
      <c r="K21801">
        <v>0.65</v>
      </c>
      <c r="L21801">
        <v>49702</v>
      </c>
      <c r="M21801" t="s">
        <v>584</v>
      </c>
      <c r="N21801" t="str">
        <f t="shared" si="384"/>
        <v xml:space="preserve">12336023886 </v>
      </c>
      <c r="O21801">
        <v>230914</v>
      </c>
    </row>
    <row r="21802" spans="1:15" x14ac:dyDescent="0.25">
      <c r="A21802" t="s">
        <v>16</v>
      </c>
      <c r="B21802" t="s">
        <v>3221</v>
      </c>
      <c r="C21802">
        <v>12165</v>
      </c>
      <c r="D21802" t="s">
        <v>263</v>
      </c>
      <c r="E21802" t="s">
        <v>264</v>
      </c>
      <c r="F21802">
        <v>5.25</v>
      </c>
      <c r="G21802">
        <v>230904</v>
      </c>
      <c r="H21802">
        <v>4362</v>
      </c>
      <c r="I21802" t="s">
        <v>79</v>
      </c>
      <c r="J21802">
        <v>6.51</v>
      </c>
      <c r="K21802">
        <v>1.26</v>
      </c>
      <c r="L21802">
        <v>59702</v>
      </c>
      <c r="M21802" t="s">
        <v>328</v>
      </c>
      <c r="N21802" t="str">
        <f t="shared" si="384"/>
        <v xml:space="preserve">12336023886 </v>
      </c>
      <c r="O21802">
        <v>230914</v>
      </c>
    </row>
    <row r="21803" spans="1:15" x14ac:dyDescent="0.25">
      <c r="A21803" t="s">
        <v>16</v>
      </c>
      <c r="B21803" t="s">
        <v>3221</v>
      </c>
      <c r="C21803">
        <v>12275</v>
      </c>
      <c r="D21803" t="s">
        <v>263</v>
      </c>
      <c r="E21803" t="s">
        <v>264</v>
      </c>
      <c r="F21803">
        <v>2.7</v>
      </c>
      <c r="G21803">
        <v>230904</v>
      </c>
      <c r="H21803">
        <v>4362</v>
      </c>
      <c r="I21803" t="s">
        <v>79</v>
      </c>
      <c r="J21803">
        <v>3.35</v>
      </c>
      <c r="K21803">
        <v>0.65</v>
      </c>
      <c r="L21803">
        <v>56522</v>
      </c>
      <c r="M21803" t="s">
        <v>43</v>
      </c>
      <c r="N21803" t="str">
        <f>"12336023888 "</f>
        <v xml:space="preserve">12336023888 </v>
      </c>
      <c r="O21803">
        <v>230918</v>
      </c>
    </row>
    <row r="21804" spans="1:15" x14ac:dyDescent="0.25">
      <c r="A21804" t="s">
        <v>16</v>
      </c>
      <c r="B21804" t="s">
        <v>3221</v>
      </c>
      <c r="C21804">
        <v>12275</v>
      </c>
      <c r="D21804" t="s">
        <v>263</v>
      </c>
      <c r="E21804" t="s">
        <v>264</v>
      </c>
      <c r="F21804">
        <v>10.5</v>
      </c>
      <c r="G21804">
        <v>230904</v>
      </c>
      <c r="H21804">
        <v>4362</v>
      </c>
      <c r="I21804" t="s">
        <v>79</v>
      </c>
      <c r="J21804">
        <v>13.02</v>
      </c>
      <c r="K21804">
        <v>2.52</v>
      </c>
      <c r="L21804">
        <v>56524</v>
      </c>
      <c r="M21804" t="s">
        <v>150</v>
      </c>
      <c r="N21804" t="str">
        <f>"12336023888 "</f>
        <v xml:space="preserve">12336023888 </v>
      </c>
      <c r="O21804">
        <v>230918</v>
      </c>
    </row>
    <row r="21805" spans="1:15" x14ac:dyDescent="0.25">
      <c r="A21805" t="s">
        <v>16</v>
      </c>
      <c r="B21805" t="s">
        <v>3221</v>
      </c>
      <c r="C21805">
        <v>12275</v>
      </c>
      <c r="D21805" t="s">
        <v>263</v>
      </c>
      <c r="E21805" t="s">
        <v>264</v>
      </c>
      <c r="F21805">
        <v>10.8</v>
      </c>
      <c r="G21805">
        <v>230904</v>
      </c>
      <c r="H21805">
        <v>4362</v>
      </c>
      <c r="I21805" t="s">
        <v>79</v>
      </c>
      <c r="J21805">
        <v>13.39</v>
      </c>
      <c r="K21805">
        <v>2.59</v>
      </c>
      <c r="L21805">
        <v>56528</v>
      </c>
      <c r="M21805" t="s">
        <v>153</v>
      </c>
      <c r="N21805" t="str">
        <f>"12336023888 "</f>
        <v xml:space="preserve">12336023888 </v>
      </c>
      <c r="O21805">
        <v>230918</v>
      </c>
    </row>
    <row r="21806" spans="1:15" x14ac:dyDescent="0.25">
      <c r="A21806" t="s">
        <v>16</v>
      </c>
      <c r="B21806" t="s">
        <v>3221</v>
      </c>
      <c r="C21806">
        <v>12288</v>
      </c>
      <c r="D21806" t="s">
        <v>263</v>
      </c>
      <c r="E21806" t="s">
        <v>264</v>
      </c>
      <c r="F21806">
        <v>15.29</v>
      </c>
      <c r="G21806">
        <v>230904</v>
      </c>
      <c r="H21806">
        <v>4362</v>
      </c>
      <c r="I21806" t="s">
        <v>79</v>
      </c>
      <c r="J21806">
        <v>18.96</v>
      </c>
      <c r="K21806">
        <v>3.67</v>
      </c>
      <c r="L21806">
        <v>11601</v>
      </c>
      <c r="M21806" t="s">
        <v>535</v>
      </c>
      <c r="N21806" t="str">
        <f t="shared" ref="N21806:N21823" si="385">"12336023920 "</f>
        <v xml:space="preserve">12336023920 </v>
      </c>
      <c r="O21806">
        <v>230918</v>
      </c>
    </row>
    <row r="21807" spans="1:15" x14ac:dyDescent="0.25">
      <c r="A21807" t="s">
        <v>16</v>
      </c>
      <c r="B21807" t="s">
        <v>3221</v>
      </c>
      <c r="C21807">
        <v>12288</v>
      </c>
      <c r="D21807" t="s">
        <v>263</v>
      </c>
      <c r="E21807" t="s">
        <v>264</v>
      </c>
      <c r="F21807">
        <v>2.5499999999999998</v>
      </c>
      <c r="G21807">
        <v>230904</v>
      </c>
      <c r="H21807">
        <v>4362</v>
      </c>
      <c r="I21807" t="s">
        <v>79</v>
      </c>
      <c r="J21807">
        <v>3.16</v>
      </c>
      <c r="K21807">
        <v>0.61</v>
      </c>
      <c r="L21807">
        <v>11603</v>
      </c>
      <c r="M21807" t="s">
        <v>945</v>
      </c>
      <c r="N21807" t="str">
        <f t="shared" si="385"/>
        <v xml:space="preserve">12336023920 </v>
      </c>
      <c r="O21807">
        <v>230918</v>
      </c>
    </row>
    <row r="21808" spans="1:15" x14ac:dyDescent="0.25">
      <c r="A21808" t="s">
        <v>16</v>
      </c>
      <c r="B21808" t="s">
        <v>3221</v>
      </c>
      <c r="C21808">
        <v>12288</v>
      </c>
      <c r="D21808" t="s">
        <v>263</v>
      </c>
      <c r="E21808" t="s">
        <v>264</v>
      </c>
      <c r="F21808">
        <v>13.5</v>
      </c>
      <c r="G21808">
        <v>230904</v>
      </c>
      <c r="H21808">
        <v>4362</v>
      </c>
      <c r="I21808" t="s">
        <v>79</v>
      </c>
      <c r="J21808">
        <v>16.739999999999998</v>
      </c>
      <c r="K21808">
        <v>3.24</v>
      </c>
      <c r="L21808">
        <v>14121</v>
      </c>
      <c r="M21808" t="s">
        <v>880</v>
      </c>
      <c r="N21808" t="str">
        <f t="shared" si="385"/>
        <v xml:space="preserve">12336023920 </v>
      </c>
      <c r="O21808">
        <v>230918</v>
      </c>
    </row>
    <row r="21809" spans="1:15" x14ac:dyDescent="0.25">
      <c r="A21809" t="s">
        <v>16</v>
      </c>
      <c r="B21809" t="s">
        <v>3221</v>
      </c>
      <c r="C21809">
        <v>12288</v>
      </c>
      <c r="D21809" t="s">
        <v>263</v>
      </c>
      <c r="E21809" t="s">
        <v>264</v>
      </c>
      <c r="F21809">
        <v>16.670000000000002</v>
      </c>
      <c r="G21809">
        <v>230904</v>
      </c>
      <c r="H21809">
        <v>4362</v>
      </c>
      <c r="I21809" t="s">
        <v>79</v>
      </c>
      <c r="J21809">
        <v>20.67</v>
      </c>
      <c r="K21809">
        <v>4</v>
      </c>
      <c r="L21809">
        <v>14321</v>
      </c>
      <c r="M21809" t="s">
        <v>717</v>
      </c>
      <c r="N21809" t="str">
        <f t="shared" si="385"/>
        <v xml:space="preserve">12336023920 </v>
      </c>
      <c r="O21809">
        <v>230918</v>
      </c>
    </row>
    <row r="21810" spans="1:15" x14ac:dyDescent="0.25">
      <c r="A21810" t="s">
        <v>16</v>
      </c>
      <c r="B21810" t="s">
        <v>3221</v>
      </c>
      <c r="C21810">
        <v>12288</v>
      </c>
      <c r="D21810" t="s">
        <v>263</v>
      </c>
      <c r="E21810" t="s">
        <v>264</v>
      </c>
      <c r="F21810">
        <v>13.5</v>
      </c>
      <c r="G21810">
        <v>230904</v>
      </c>
      <c r="H21810">
        <v>4362</v>
      </c>
      <c r="I21810" t="s">
        <v>79</v>
      </c>
      <c r="J21810">
        <v>16.739999999999998</v>
      </c>
      <c r="K21810">
        <v>3.24</v>
      </c>
      <c r="L21810">
        <v>14422</v>
      </c>
      <c r="M21810" t="s">
        <v>228</v>
      </c>
      <c r="N21810" t="str">
        <f t="shared" si="385"/>
        <v xml:space="preserve">12336023920 </v>
      </c>
      <c r="O21810">
        <v>230918</v>
      </c>
    </row>
    <row r="21811" spans="1:15" x14ac:dyDescent="0.25">
      <c r="A21811" t="s">
        <v>16</v>
      </c>
      <c r="B21811" t="s">
        <v>3221</v>
      </c>
      <c r="C21811">
        <v>12288</v>
      </c>
      <c r="D21811" t="s">
        <v>263</v>
      </c>
      <c r="E21811" t="s">
        <v>264</v>
      </c>
      <c r="F21811">
        <v>2.7</v>
      </c>
      <c r="G21811">
        <v>230904</v>
      </c>
      <c r="H21811">
        <v>4362</v>
      </c>
      <c r="I21811" t="s">
        <v>79</v>
      </c>
      <c r="J21811">
        <v>3.35</v>
      </c>
      <c r="K21811">
        <v>0.65</v>
      </c>
      <c r="L21811">
        <v>14431</v>
      </c>
      <c r="M21811" t="s">
        <v>861</v>
      </c>
      <c r="N21811" t="str">
        <f t="shared" si="385"/>
        <v xml:space="preserve">12336023920 </v>
      </c>
      <c r="O21811">
        <v>230918</v>
      </c>
    </row>
    <row r="21812" spans="1:15" x14ac:dyDescent="0.25">
      <c r="A21812" t="s">
        <v>16</v>
      </c>
      <c r="B21812" t="s">
        <v>3221</v>
      </c>
      <c r="C21812">
        <v>12288</v>
      </c>
      <c r="D21812" t="s">
        <v>263</v>
      </c>
      <c r="E21812" t="s">
        <v>264</v>
      </c>
      <c r="F21812">
        <v>5.4</v>
      </c>
      <c r="G21812">
        <v>230904</v>
      </c>
      <c r="H21812">
        <v>4362</v>
      </c>
      <c r="I21812" t="s">
        <v>79</v>
      </c>
      <c r="J21812">
        <v>6.69</v>
      </c>
      <c r="K21812">
        <v>1.29</v>
      </c>
      <c r="L21812">
        <v>14432</v>
      </c>
      <c r="M21812" t="s">
        <v>862</v>
      </c>
      <c r="N21812" t="str">
        <f t="shared" si="385"/>
        <v xml:space="preserve">12336023920 </v>
      </c>
      <c r="O21812">
        <v>230918</v>
      </c>
    </row>
    <row r="21813" spans="1:15" x14ac:dyDescent="0.25">
      <c r="A21813" t="s">
        <v>16</v>
      </c>
      <c r="B21813" t="s">
        <v>3221</v>
      </c>
      <c r="C21813">
        <v>12288</v>
      </c>
      <c r="D21813" t="s">
        <v>263</v>
      </c>
      <c r="E21813" t="s">
        <v>264</v>
      </c>
      <c r="F21813">
        <v>3.56</v>
      </c>
      <c r="G21813">
        <v>230904</v>
      </c>
      <c r="H21813">
        <v>4362</v>
      </c>
      <c r="I21813" t="s">
        <v>79</v>
      </c>
      <c r="J21813">
        <v>4.42</v>
      </c>
      <c r="K21813">
        <v>0.86</v>
      </c>
      <c r="L21813">
        <v>14541</v>
      </c>
      <c r="M21813" t="s">
        <v>626</v>
      </c>
      <c r="N21813" t="str">
        <f t="shared" si="385"/>
        <v xml:space="preserve">12336023920 </v>
      </c>
      <c r="O21813">
        <v>230918</v>
      </c>
    </row>
    <row r="21814" spans="1:15" x14ac:dyDescent="0.25">
      <c r="A21814" t="s">
        <v>16</v>
      </c>
      <c r="B21814" t="s">
        <v>3221</v>
      </c>
      <c r="C21814">
        <v>12288</v>
      </c>
      <c r="D21814" t="s">
        <v>263</v>
      </c>
      <c r="E21814" t="s">
        <v>264</v>
      </c>
      <c r="F21814">
        <v>34.69</v>
      </c>
      <c r="G21814">
        <v>230904</v>
      </c>
      <c r="H21814">
        <v>4362</v>
      </c>
      <c r="I21814" t="s">
        <v>79</v>
      </c>
      <c r="J21814">
        <v>43.02</v>
      </c>
      <c r="K21814">
        <v>8.33</v>
      </c>
      <c r="L21814">
        <v>14622</v>
      </c>
      <c r="M21814" t="s">
        <v>1005</v>
      </c>
      <c r="N21814" t="str">
        <f t="shared" si="385"/>
        <v xml:space="preserve">12336023920 </v>
      </c>
      <c r="O21814">
        <v>230918</v>
      </c>
    </row>
    <row r="21815" spans="1:15" x14ac:dyDescent="0.25">
      <c r="A21815" t="s">
        <v>16</v>
      </c>
      <c r="B21815" t="s">
        <v>3221</v>
      </c>
      <c r="C21815">
        <v>12288</v>
      </c>
      <c r="D21815" t="s">
        <v>263</v>
      </c>
      <c r="E21815" t="s">
        <v>264</v>
      </c>
      <c r="F21815">
        <v>5.4</v>
      </c>
      <c r="G21815">
        <v>230904</v>
      </c>
      <c r="H21815">
        <v>4362</v>
      </c>
      <c r="I21815" t="s">
        <v>79</v>
      </c>
      <c r="J21815">
        <v>6.69</v>
      </c>
      <c r="K21815">
        <v>1.29</v>
      </c>
      <c r="L21815">
        <v>14640</v>
      </c>
      <c r="M21815" t="s">
        <v>229</v>
      </c>
      <c r="N21815" t="str">
        <f t="shared" si="385"/>
        <v xml:space="preserve">12336023920 </v>
      </c>
      <c r="O21815">
        <v>230918</v>
      </c>
    </row>
    <row r="21816" spans="1:15" x14ac:dyDescent="0.25">
      <c r="A21816" t="s">
        <v>16</v>
      </c>
      <c r="B21816" t="s">
        <v>3221</v>
      </c>
      <c r="C21816">
        <v>12288</v>
      </c>
      <c r="D21816" t="s">
        <v>263</v>
      </c>
      <c r="E21816" t="s">
        <v>264</v>
      </c>
      <c r="F21816">
        <v>2.7</v>
      </c>
      <c r="G21816">
        <v>230904</v>
      </c>
      <c r="H21816">
        <v>4362</v>
      </c>
      <c r="I21816" t="s">
        <v>79</v>
      </c>
      <c r="J21816">
        <v>3.35</v>
      </c>
      <c r="K21816">
        <v>0.65</v>
      </c>
      <c r="L21816">
        <v>14861</v>
      </c>
      <c r="M21816" t="s">
        <v>785</v>
      </c>
      <c r="N21816" t="str">
        <f t="shared" si="385"/>
        <v xml:space="preserve">12336023920 </v>
      </c>
      <c r="O21816">
        <v>230918</v>
      </c>
    </row>
    <row r="21817" spans="1:15" x14ac:dyDescent="0.25">
      <c r="A21817" t="s">
        <v>16</v>
      </c>
      <c r="B21817" t="s">
        <v>3221</v>
      </c>
      <c r="C21817">
        <v>12288</v>
      </c>
      <c r="D21817" t="s">
        <v>263</v>
      </c>
      <c r="E21817" t="s">
        <v>264</v>
      </c>
      <c r="F21817">
        <v>7.35</v>
      </c>
      <c r="G21817">
        <v>230904</v>
      </c>
      <c r="H21817">
        <v>4362</v>
      </c>
      <c r="I21817" t="s">
        <v>79</v>
      </c>
      <c r="J21817">
        <v>9.11</v>
      </c>
      <c r="K21817">
        <v>1.76</v>
      </c>
      <c r="L21817">
        <v>14912</v>
      </c>
      <c r="M21817" t="s">
        <v>230</v>
      </c>
      <c r="N21817" t="str">
        <f t="shared" si="385"/>
        <v xml:space="preserve">12336023920 </v>
      </c>
      <c r="O21817">
        <v>230918</v>
      </c>
    </row>
    <row r="21818" spans="1:15" x14ac:dyDescent="0.25">
      <c r="A21818" t="s">
        <v>16</v>
      </c>
      <c r="B21818" t="s">
        <v>3221</v>
      </c>
      <c r="C21818">
        <v>12288</v>
      </c>
      <c r="D21818" t="s">
        <v>263</v>
      </c>
      <c r="E21818" t="s">
        <v>264</v>
      </c>
      <c r="F21818">
        <v>6.85</v>
      </c>
      <c r="G21818">
        <v>230904</v>
      </c>
      <c r="H21818">
        <v>4362</v>
      </c>
      <c r="I21818" t="s">
        <v>79</v>
      </c>
      <c r="J21818">
        <v>8.49</v>
      </c>
      <c r="K21818">
        <v>1.64</v>
      </c>
      <c r="L21818">
        <v>14971</v>
      </c>
      <c r="M21818" t="s">
        <v>1259</v>
      </c>
      <c r="N21818" t="str">
        <f t="shared" si="385"/>
        <v xml:space="preserve">12336023920 </v>
      </c>
      <c r="O21818">
        <v>230918</v>
      </c>
    </row>
    <row r="21819" spans="1:15" x14ac:dyDescent="0.25">
      <c r="A21819" t="s">
        <v>16</v>
      </c>
      <c r="B21819" t="s">
        <v>3221</v>
      </c>
      <c r="C21819">
        <v>12288</v>
      </c>
      <c r="D21819" t="s">
        <v>263</v>
      </c>
      <c r="E21819" t="s">
        <v>264</v>
      </c>
      <c r="F21819">
        <v>2.7</v>
      </c>
      <c r="G21819">
        <v>230904</v>
      </c>
      <c r="H21819">
        <v>4362</v>
      </c>
      <c r="I21819" t="s">
        <v>79</v>
      </c>
      <c r="J21819">
        <v>3.35</v>
      </c>
      <c r="K21819">
        <v>0.65</v>
      </c>
      <c r="L21819">
        <v>14972</v>
      </c>
      <c r="M21819" t="s">
        <v>898</v>
      </c>
      <c r="N21819" t="str">
        <f t="shared" si="385"/>
        <v xml:space="preserve">12336023920 </v>
      </c>
      <c r="O21819">
        <v>230918</v>
      </c>
    </row>
    <row r="21820" spans="1:15" x14ac:dyDescent="0.25">
      <c r="A21820" t="s">
        <v>16</v>
      </c>
      <c r="B21820" t="s">
        <v>3221</v>
      </c>
      <c r="C21820">
        <v>12288</v>
      </c>
      <c r="D21820" t="s">
        <v>263</v>
      </c>
      <c r="E21820" t="s">
        <v>264</v>
      </c>
      <c r="F21820">
        <v>2.7</v>
      </c>
      <c r="G21820">
        <v>230904</v>
      </c>
      <c r="H21820">
        <v>4362</v>
      </c>
      <c r="I21820" t="s">
        <v>79</v>
      </c>
      <c r="J21820">
        <v>3.35</v>
      </c>
      <c r="K21820">
        <v>0.65</v>
      </c>
      <c r="L21820">
        <v>14974</v>
      </c>
      <c r="M21820" t="s">
        <v>1340</v>
      </c>
      <c r="N21820" t="str">
        <f t="shared" si="385"/>
        <v xml:space="preserve">12336023920 </v>
      </c>
      <c r="O21820">
        <v>230918</v>
      </c>
    </row>
    <row r="21821" spans="1:15" x14ac:dyDescent="0.25">
      <c r="A21821" t="s">
        <v>16</v>
      </c>
      <c r="B21821" t="s">
        <v>3221</v>
      </c>
      <c r="C21821">
        <v>12288</v>
      </c>
      <c r="D21821" t="s">
        <v>263</v>
      </c>
      <c r="E21821" t="s">
        <v>264</v>
      </c>
      <c r="F21821">
        <v>2.7</v>
      </c>
      <c r="G21821">
        <v>230904</v>
      </c>
      <c r="H21821">
        <v>4362</v>
      </c>
      <c r="I21821" t="s">
        <v>79</v>
      </c>
      <c r="J21821">
        <v>3.35</v>
      </c>
      <c r="K21821">
        <v>0.65</v>
      </c>
      <c r="L21821">
        <v>14975</v>
      </c>
      <c r="M21821" t="s">
        <v>1341</v>
      </c>
      <c r="N21821" t="str">
        <f t="shared" si="385"/>
        <v xml:space="preserve">12336023920 </v>
      </c>
      <c r="O21821">
        <v>230918</v>
      </c>
    </row>
    <row r="21822" spans="1:15" x14ac:dyDescent="0.25">
      <c r="A21822" t="s">
        <v>16</v>
      </c>
      <c r="B21822" t="s">
        <v>3221</v>
      </c>
      <c r="C21822">
        <v>12288</v>
      </c>
      <c r="D21822" t="s">
        <v>263</v>
      </c>
      <c r="E21822" t="s">
        <v>264</v>
      </c>
      <c r="F21822">
        <v>2.97</v>
      </c>
      <c r="G21822">
        <v>230904</v>
      </c>
      <c r="H21822">
        <v>4362</v>
      </c>
      <c r="I21822" t="s">
        <v>79</v>
      </c>
      <c r="J21822">
        <v>3.68</v>
      </c>
      <c r="K21822">
        <v>0.71</v>
      </c>
      <c r="L21822">
        <v>14975</v>
      </c>
      <c r="M21822" t="s">
        <v>1341</v>
      </c>
      <c r="N21822" t="str">
        <f t="shared" si="385"/>
        <v xml:space="preserve">12336023920 </v>
      </c>
      <c r="O21822">
        <v>230918</v>
      </c>
    </row>
    <row r="21823" spans="1:15" x14ac:dyDescent="0.25">
      <c r="A21823" t="s">
        <v>16</v>
      </c>
      <c r="B21823" t="s">
        <v>3221</v>
      </c>
      <c r="C21823">
        <v>12288</v>
      </c>
      <c r="D21823" t="s">
        <v>263</v>
      </c>
      <c r="E21823" t="s">
        <v>264</v>
      </c>
      <c r="F21823">
        <v>2.7</v>
      </c>
      <c r="G21823">
        <v>230904</v>
      </c>
      <c r="H21823">
        <v>4362</v>
      </c>
      <c r="I21823" t="s">
        <v>79</v>
      </c>
      <c r="J21823">
        <v>3.35</v>
      </c>
      <c r="K21823">
        <v>0.65</v>
      </c>
      <c r="L21823">
        <v>14990</v>
      </c>
      <c r="M21823" t="s">
        <v>1725</v>
      </c>
      <c r="N21823" t="str">
        <f t="shared" si="385"/>
        <v xml:space="preserve">12336023920 </v>
      </c>
      <c r="O21823">
        <v>230918</v>
      </c>
    </row>
    <row r="21824" spans="1:15" x14ac:dyDescent="0.25">
      <c r="A21824" t="s">
        <v>16</v>
      </c>
      <c r="B21824" t="s">
        <v>3221</v>
      </c>
      <c r="C21824">
        <v>12293</v>
      </c>
      <c r="D21824" t="s">
        <v>263</v>
      </c>
      <c r="E21824" t="s">
        <v>264</v>
      </c>
      <c r="F21824">
        <v>2.7</v>
      </c>
      <c r="G21824">
        <v>230904</v>
      </c>
      <c r="H21824">
        <v>4362</v>
      </c>
      <c r="I21824" t="s">
        <v>79</v>
      </c>
      <c r="J21824">
        <v>3.35</v>
      </c>
      <c r="K21824">
        <v>0.65</v>
      </c>
      <c r="L21824">
        <v>51138</v>
      </c>
      <c r="M21824" t="s">
        <v>1162</v>
      </c>
      <c r="N21824" t="str">
        <f t="shared" ref="N21824:N21831" si="386">"12336023891 "</f>
        <v xml:space="preserve">12336023891 </v>
      </c>
      <c r="O21824">
        <v>230918</v>
      </c>
    </row>
    <row r="21825" spans="1:15" x14ac:dyDescent="0.25">
      <c r="A21825" t="s">
        <v>16</v>
      </c>
      <c r="B21825" t="s">
        <v>3221</v>
      </c>
      <c r="C21825">
        <v>12293</v>
      </c>
      <c r="D21825" t="s">
        <v>263</v>
      </c>
      <c r="E21825" t="s">
        <v>264</v>
      </c>
      <c r="F21825">
        <v>19.03</v>
      </c>
      <c r="G21825">
        <v>230904</v>
      </c>
      <c r="H21825">
        <v>4362</v>
      </c>
      <c r="I21825" t="s">
        <v>79</v>
      </c>
      <c r="J21825">
        <v>23.6</v>
      </c>
      <c r="K21825">
        <v>4.57</v>
      </c>
      <c r="L21825">
        <v>54222</v>
      </c>
      <c r="M21825" t="s">
        <v>308</v>
      </c>
      <c r="N21825" t="str">
        <f t="shared" si="386"/>
        <v xml:space="preserve">12336023891 </v>
      </c>
      <c r="O21825">
        <v>230918</v>
      </c>
    </row>
    <row r="21826" spans="1:15" x14ac:dyDescent="0.25">
      <c r="A21826" t="s">
        <v>16</v>
      </c>
      <c r="B21826" t="s">
        <v>3221</v>
      </c>
      <c r="C21826">
        <v>12293</v>
      </c>
      <c r="D21826" t="s">
        <v>263</v>
      </c>
      <c r="E21826" t="s">
        <v>264</v>
      </c>
      <c r="F21826">
        <v>2.7</v>
      </c>
      <c r="G21826">
        <v>230904</v>
      </c>
      <c r="H21826">
        <v>4362</v>
      </c>
      <c r="I21826" t="s">
        <v>79</v>
      </c>
      <c r="J21826">
        <v>3.35</v>
      </c>
      <c r="K21826">
        <v>0.65</v>
      </c>
      <c r="L21826">
        <v>54251</v>
      </c>
      <c r="M21826" t="s">
        <v>309</v>
      </c>
      <c r="N21826" t="str">
        <f t="shared" si="386"/>
        <v xml:space="preserve">12336023891 </v>
      </c>
      <c r="O21826">
        <v>230918</v>
      </c>
    </row>
    <row r="21827" spans="1:15" x14ac:dyDescent="0.25">
      <c r="A21827" t="s">
        <v>16</v>
      </c>
      <c r="B21827" t="s">
        <v>3221</v>
      </c>
      <c r="C21827">
        <v>12293</v>
      </c>
      <c r="D21827" t="s">
        <v>263</v>
      </c>
      <c r="E21827" t="s">
        <v>264</v>
      </c>
      <c r="F21827">
        <v>2.7</v>
      </c>
      <c r="G21827">
        <v>230904</v>
      </c>
      <c r="H21827">
        <v>4362</v>
      </c>
      <c r="I21827" t="s">
        <v>79</v>
      </c>
      <c r="J21827">
        <v>3.35</v>
      </c>
      <c r="K21827">
        <v>0.65</v>
      </c>
      <c r="L21827">
        <v>54252</v>
      </c>
      <c r="M21827" t="s">
        <v>534</v>
      </c>
      <c r="N21827" t="str">
        <f t="shared" si="386"/>
        <v xml:space="preserve">12336023891 </v>
      </c>
      <c r="O21827">
        <v>230918</v>
      </c>
    </row>
    <row r="21828" spans="1:15" x14ac:dyDescent="0.25">
      <c r="A21828" t="s">
        <v>16</v>
      </c>
      <c r="B21828" t="s">
        <v>3221</v>
      </c>
      <c r="C21828">
        <v>12293</v>
      </c>
      <c r="D21828" t="s">
        <v>263</v>
      </c>
      <c r="E21828" t="s">
        <v>264</v>
      </c>
      <c r="F21828">
        <v>8.2100000000000009</v>
      </c>
      <c r="G21828">
        <v>230904</v>
      </c>
      <c r="H21828">
        <v>4362</v>
      </c>
      <c r="I21828" t="s">
        <v>79</v>
      </c>
      <c r="J21828">
        <v>10.18</v>
      </c>
      <c r="K21828">
        <v>1.97</v>
      </c>
      <c r="L21828">
        <v>54422</v>
      </c>
      <c r="M21828" t="s">
        <v>234</v>
      </c>
      <c r="N21828" t="str">
        <f t="shared" si="386"/>
        <v xml:space="preserve">12336023891 </v>
      </c>
      <c r="O21828">
        <v>230918</v>
      </c>
    </row>
    <row r="21829" spans="1:15" x14ac:dyDescent="0.25">
      <c r="A21829" t="s">
        <v>16</v>
      </c>
      <c r="B21829" t="s">
        <v>3221</v>
      </c>
      <c r="C21829">
        <v>12293</v>
      </c>
      <c r="D21829" t="s">
        <v>263</v>
      </c>
      <c r="E21829" t="s">
        <v>264</v>
      </c>
      <c r="F21829">
        <v>5.4</v>
      </c>
      <c r="G21829">
        <v>230904</v>
      </c>
      <c r="H21829">
        <v>4362</v>
      </c>
      <c r="I21829" t="s">
        <v>79</v>
      </c>
      <c r="J21829">
        <v>6.7</v>
      </c>
      <c r="K21829">
        <v>1.3</v>
      </c>
      <c r="L21829">
        <v>54451</v>
      </c>
      <c r="M21829" t="s">
        <v>158</v>
      </c>
      <c r="N21829" t="str">
        <f t="shared" si="386"/>
        <v xml:space="preserve">12336023891 </v>
      </c>
      <c r="O21829">
        <v>230918</v>
      </c>
    </row>
    <row r="21830" spans="1:15" x14ac:dyDescent="0.25">
      <c r="A21830" t="s">
        <v>16</v>
      </c>
      <c r="B21830" t="s">
        <v>3221</v>
      </c>
      <c r="C21830">
        <v>12293</v>
      </c>
      <c r="D21830" t="s">
        <v>263</v>
      </c>
      <c r="E21830" t="s">
        <v>264</v>
      </c>
      <c r="F21830">
        <v>5.4</v>
      </c>
      <c r="G21830">
        <v>230904</v>
      </c>
      <c r="H21830">
        <v>4362</v>
      </c>
      <c r="I21830" t="s">
        <v>79</v>
      </c>
      <c r="J21830">
        <v>6.7</v>
      </c>
      <c r="K21830">
        <v>1.3</v>
      </c>
      <c r="L21830">
        <v>56563</v>
      </c>
      <c r="M21830" t="s">
        <v>953</v>
      </c>
      <c r="N21830" t="str">
        <f t="shared" si="386"/>
        <v xml:space="preserve">12336023891 </v>
      </c>
      <c r="O21830">
        <v>230918</v>
      </c>
    </row>
    <row r="21831" spans="1:15" x14ac:dyDescent="0.25">
      <c r="A21831" t="s">
        <v>16</v>
      </c>
      <c r="B21831" t="s">
        <v>3221</v>
      </c>
      <c r="C21831">
        <v>12293</v>
      </c>
      <c r="D21831" t="s">
        <v>263</v>
      </c>
      <c r="E21831" t="s">
        <v>264</v>
      </c>
      <c r="F21831">
        <v>27.18</v>
      </c>
      <c r="G21831">
        <v>230904</v>
      </c>
      <c r="H21831">
        <v>4362</v>
      </c>
      <c r="I21831" t="s">
        <v>79</v>
      </c>
      <c r="J21831">
        <v>33.700000000000003</v>
      </c>
      <c r="K21831">
        <v>6.52</v>
      </c>
      <c r="L21831">
        <v>58601</v>
      </c>
      <c r="M21831" t="s">
        <v>251</v>
      </c>
      <c r="N21831" t="str">
        <f t="shared" si="386"/>
        <v xml:space="preserve">12336023891 </v>
      </c>
      <c r="O21831">
        <v>230918</v>
      </c>
    </row>
    <row r="21832" spans="1:15" x14ac:dyDescent="0.25">
      <c r="A21832" t="s">
        <v>16</v>
      </c>
      <c r="B21832" t="s">
        <v>3221</v>
      </c>
      <c r="C21832">
        <v>12383</v>
      </c>
      <c r="D21832" t="s">
        <v>263</v>
      </c>
      <c r="E21832" t="s">
        <v>264</v>
      </c>
      <c r="F21832">
        <v>39.520000000000003</v>
      </c>
      <c r="G21832">
        <v>230915</v>
      </c>
      <c r="H21832">
        <v>4362</v>
      </c>
      <c r="I21832" t="s">
        <v>79</v>
      </c>
      <c r="J21832">
        <v>49</v>
      </c>
      <c r="K21832">
        <v>9.48</v>
      </c>
      <c r="L21832">
        <v>11801</v>
      </c>
      <c r="M21832" t="s">
        <v>92</v>
      </c>
      <c r="N21832" t="str">
        <f>"104642274   "</f>
        <v xml:space="preserve">104642274   </v>
      </c>
      <c r="O21832">
        <v>230919</v>
      </c>
    </row>
    <row r="21833" spans="1:15" x14ac:dyDescent="0.25">
      <c r="A21833" t="s">
        <v>16</v>
      </c>
      <c r="B21833" t="s">
        <v>3221</v>
      </c>
      <c r="C21833">
        <v>12383</v>
      </c>
      <c r="D21833" t="s">
        <v>263</v>
      </c>
      <c r="E21833" t="s">
        <v>264</v>
      </c>
      <c r="F21833">
        <v>98.14</v>
      </c>
      <c r="G21833">
        <v>230915</v>
      </c>
      <c r="H21833">
        <v>4362</v>
      </c>
      <c r="I21833" t="s">
        <v>79</v>
      </c>
      <c r="J21833">
        <v>121.69</v>
      </c>
      <c r="K21833">
        <v>23.55</v>
      </c>
      <c r="L21833">
        <v>18972</v>
      </c>
      <c r="M21833" t="s">
        <v>163</v>
      </c>
      <c r="N21833" t="str">
        <f>"104642274   "</f>
        <v xml:space="preserve">104642274   </v>
      </c>
      <c r="O21833">
        <v>230919</v>
      </c>
    </row>
    <row r="21834" spans="1:15" x14ac:dyDescent="0.25">
      <c r="A21834" t="s">
        <v>16</v>
      </c>
      <c r="B21834" t="s">
        <v>3221</v>
      </c>
      <c r="C21834">
        <v>12407</v>
      </c>
      <c r="D21834" t="s">
        <v>263</v>
      </c>
      <c r="E21834" t="s">
        <v>264</v>
      </c>
      <c r="F21834">
        <v>3.35</v>
      </c>
      <c r="G21834">
        <v>230904</v>
      </c>
      <c r="H21834">
        <v>4362</v>
      </c>
      <c r="I21834" t="s">
        <v>79</v>
      </c>
      <c r="J21834">
        <v>3.35</v>
      </c>
      <c r="K21834">
        <v>0</v>
      </c>
      <c r="L21834">
        <v>13201</v>
      </c>
      <c r="M21834" t="s">
        <v>161</v>
      </c>
      <c r="N21834" t="str">
        <f t="shared" ref="N21834:N21845" si="387">"12336023912 "</f>
        <v xml:space="preserve">12336023912 </v>
      </c>
      <c r="O21834">
        <v>230919</v>
      </c>
    </row>
    <row r="21835" spans="1:15" x14ac:dyDescent="0.25">
      <c r="A21835" t="s">
        <v>16</v>
      </c>
      <c r="B21835" t="s">
        <v>3221</v>
      </c>
      <c r="C21835">
        <v>12407</v>
      </c>
      <c r="D21835" t="s">
        <v>263</v>
      </c>
      <c r="E21835" t="s">
        <v>264</v>
      </c>
      <c r="F21835">
        <v>26.94</v>
      </c>
      <c r="G21835">
        <v>230904</v>
      </c>
      <c r="H21835">
        <v>4362</v>
      </c>
      <c r="I21835" t="s">
        <v>79</v>
      </c>
      <c r="J21835">
        <v>33.4</v>
      </c>
      <c r="K21835">
        <v>6.46</v>
      </c>
      <c r="L21835">
        <v>13401</v>
      </c>
      <c r="M21835" t="s">
        <v>80</v>
      </c>
      <c r="N21835" t="str">
        <f t="shared" si="387"/>
        <v xml:space="preserve">12336023912 </v>
      </c>
      <c r="O21835">
        <v>230919</v>
      </c>
    </row>
    <row r="21836" spans="1:15" x14ac:dyDescent="0.25">
      <c r="A21836" t="s">
        <v>16</v>
      </c>
      <c r="B21836" t="s">
        <v>3221</v>
      </c>
      <c r="C21836">
        <v>12407</v>
      </c>
      <c r="D21836" t="s">
        <v>263</v>
      </c>
      <c r="E21836" t="s">
        <v>264</v>
      </c>
      <c r="F21836">
        <v>7.94</v>
      </c>
      <c r="G21836">
        <v>230904</v>
      </c>
      <c r="H21836">
        <v>4362</v>
      </c>
      <c r="I21836" t="s">
        <v>79</v>
      </c>
      <c r="J21836">
        <v>9.85</v>
      </c>
      <c r="K21836">
        <v>1.91</v>
      </c>
      <c r="L21836">
        <v>13401</v>
      </c>
      <c r="M21836" t="s">
        <v>80</v>
      </c>
      <c r="N21836" t="str">
        <f t="shared" si="387"/>
        <v xml:space="preserve">12336023912 </v>
      </c>
      <c r="O21836">
        <v>230919</v>
      </c>
    </row>
    <row r="21837" spans="1:15" x14ac:dyDescent="0.25">
      <c r="A21837" t="s">
        <v>16</v>
      </c>
      <c r="B21837" t="s">
        <v>3221</v>
      </c>
      <c r="C21837">
        <v>12407</v>
      </c>
      <c r="D21837" t="s">
        <v>263</v>
      </c>
      <c r="E21837" t="s">
        <v>264</v>
      </c>
      <c r="F21837">
        <v>21.61</v>
      </c>
      <c r="G21837">
        <v>230904</v>
      </c>
      <c r="H21837">
        <v>4362</v>
      </c>
      <c r="I21837" t="s">
        <v>79</v>
      </c>
      <c r="J21837">
        <v>26.8</v>
      </c>
      <c r="K21837">
        <v>5.19</v>
      </c>
      <c r="L21837">
        <v>13501</v>
      </c>
      <c r="M21837" t="s">
        <v>20</v>
      </c>
      <c r="N21837" t="str">
        <f t="shared" si="387"/>
        <v xml:space="preserve">12336023912 </v>
      </c>
      <c r="O21837">
        <v>230919</v>
      </c>
    </row>
    <row r="21838" spans="1:15" x14ac:dyDescent="0.25">
      <c r="A21838" t="s">
        <v>16</v>
      </c>
      <c r="B21838" t="s">
        <v>3221</v>
      </c>
      <c r="C21838">
        <v>12407</v>
      </c>
      <c r="D21838" t="s">
        <v>263</v>
      </c>
      <c r="E21838" t="s">
        <v>264</v>
      </c>
      <c r="F21838">
        <v>2.7</v>
      </c>
      <c r="G21838">
        <v>230904</v>
      </c>
      <c r="H21838">
        <v>4362</v>
      </c>
      <c r="I21838" t="s">
        <v>79</v>
      </c>
      <c r="J21838">
        <v>3.35</v>
      </c>
      <c r="K21838">
        <v>0.65</v>
      </c>
      <c r="L21838">
        <v>13561</v>
      </c>
      <c r="M21838" t="s">
        <v>246</v>
      </c>
      <c r="N21838" t="str">
        <f t="shared" si="387"/>
        <v xml:space="preserve">12336023912 </v>
      </c>
      <c r="O21838">
        <v>230919</v>
      </c>
    </row>
    <row r="21839" spans="1:15" x14ac:dyDescent="0.25">
      <c r="A21839" t="s">
        <v>16</v>
      </c>
      <c r="B21839" t="s">
        <v>3221</v>
      </c>
      <c r="C21839">
        <v>12407</v>
      </c>
      <c r="D21839" t="s">
        <v>263</v>
      </c>
      <c r="E21839" t="s">
        <v>264</v>
      </c>
      <c r="F21839">
        <v>3.27</v>
      </c>
      <c r="G21839">
        <v>230904</v>
      </c>
      <c r="H21839">
        <v>4362</v>
      </c>
      <c r="I21839" t="s">
        <v>79</v>
      </c>
      <c r="J21839">
        <v>4.05</v>
      </c>
      <c r="K21839">
        <v>0.78</v>
      </c>
      <c r="L21839">
        <v>13561</v>
      </c>
      <c r="M21839" t="s">
        <v>246</v>
      </c>
      <c r="N21839" t="str">
        <f t="shared" si="387"/>
        <v xml:space="preserve">12336023912 </v>
      </c>
      <c r="O21839">
        <v>230919</v>
      </c>
    </row>
    <row r="21840" spans="1:15" x14ac:dyDescent="0.25">
      <c r="A21840" t="s">
        <v>16</v>
      </c>
      <c r="B21840" t="s">
        <v>3221</v>
      </c>
      <c r="C21840">
        <v>12407</v>
      </c>
      <c r="D21840" t="s">
        <v>263</v>
      </c>
      <c r="E21840" t="s">
        <v>264</v>
      </c>
      <c r="F21840">
        <v>3.23</v>
      </c>
      <c r="G21840">
        <v>230904</v>
      </c>
      <c r="H21840">
        <v>4362</v>
      </c>
      <c r="I21840" t="s">
        <v>79</v>
      </c>
      <c r="J21840">
        <v>4</v>
      </c>
      <c r="K21840">
        <v>0.77</v>
      </c>
      <c r="L21840">
        <v>13601</v>
      </c>
      <c r="M21840" t="s">
        <v>147</v>
      </c>
      <c r="N21840" t="str">
        <f t="shared" si="387"/>
        <v xml:space="preserve">12336023912 </v>
      </c>
      <c r="O21840">
        <v>230919</v>
      </c>
    </row>
    <row r="21841" spans="1:15" x14ac:dyDescent="0.25">
      <c r="A21841" t="s">
        <v>16</v>
      </c>
      <c r="B21841" t="s">
        <v>3221</v>
      </c>
      <c r="C21841">
        <v>12407</v>
      </c>
      <c r="D21841" t="s">
        <v>263</v>
      </c>
      <c r="E21841" t="s">
        <v>264</v>
      </c>
      <c r="F21841">
        <v>2.7</v>
      </c>
      <c r="G21841">
        <v>230904</v>
      </c>
      <c r="H21841">
        <v>4362</v>
      </c>
      <c r="I21841" t="s">
        <v>79</v>
      </c>
      <c r="J21841">
        <v>3.35</v>
      </c>
      <c r="K21841">
        <v>0.65</v>
      </c>
      <c r="L21841">
        <v>13661</v>
      </c>
      <c r="M21841" t="s">
        <v>247</v>
      </c>
      <c r="N21841" t="str">
        <f t="shared" si="387"/>
        <v xml:space="preserve">12336023912 </v>
      </c>
      <c r="O21841">
        <v>230919</v>
      </c>
    </row>
    <row r="21842" spans="1:15" x14ac:dyDescent="0.25">
      <c r="A21842" t="s">
        <v>16</v>
      </c>
      <c r="B21842" t="s">
        <v>3221</v>
      </c>
      <c r="C21842">
        <v>12407</v>
      </c>
      <c r="D21842" t="s">
        <v>263</v>
      </c>
      <c r="E21842" t="s">
        <v>264</v>
      </c>
      <c r="F21842">
        <v>13.06</v>
      </c>
      <c r="G21842">
        <v>230904</v>
      </c>
      <c r="H21842">
        <v>4362</v>
      </c>
      <c r="I21842" t="s">
        <v>79</v>
      </c>
      <c r="J21842">
        <v>16.2</v>
      </c>
      <c r="K21842">
        <v>3.14</v>
      </c>
      <c r="L21842">
        <v>13801</v>
      </c>
      <c r="M21842" t="s">
        <v>162</v>
      </c>
      <c r="N21842" t="str">
        <f t="shared" si="387"/>
        <v xml:space="preserve">12336023912 </v>
      </c>
      <c r="O21842">
        <v>230919</v>
      </c>
    </row>
    <row r="21843" spans="1:15" x14ac:dyDescent="0.25">
      <c r="A21843" t="s">
        <v>16</v>
      </c>
      <c r="B21843" t="s">
        <v>3221</v>
      </c>
      <c r="C21843">
        <v>12407</v>
      </c>
      <c r="D21843" t="s">
        <v>263</v>
      </c>
      <c r="E21843" t="s">
        <v>264</v>
      </c>
      <c r="F21843">
        <v>13.47</v>
      </c>
      <c r="G21843">
        <v>230904</v>
      </c>
      <c r="H21843">
        <v>4362</v>
      </c>
      <c r="I21843" t="s">
        <v>79</v>
      </c>
      <c r="J21843">
        <v>16.7</v>
      </c>
      <c r="K21843">
        <v>3.23</v>
      </c>
      <c r="L21843">
        <v>13801</v>
      </c>
      <c r="M21843" t="s">
        <v>162</v>
      </c>
      <c r="N21843" t="str">
        <f t="shared" si="387"/>
        <v xml:space="preserve">12336023912 </v>
      </c>
      <c r="O21843">
        <v>230919</v>
      </c>
    </row>
    <row r="21844" spans="1:15" x14ac:dyDescent="0.25">
      <c r="A21844" t="s">
        <v>16</v>
      </c>
      <c r="B21844" t="s">
        <v>3221</v>
      </c>
      <c r="C21844">
        <v>12407</v>
      </c>
      <c r="D21844" t="s">
        <v>263</v>
      </c>
      <c r="E21844" t="s">
        <v>264</v>
      </c>
      <c r="F21844">
        <v>13.35</v>
      </c>
      <c r="G21844">
        <v>230904</v>
      </c>
      <c r="H21844">
        <v>4362</v>
      </c>
      <c r="I21844" t="s">
        <v>79</v>
      </c>
      <c r="J21844">
        <v>16.55</v>
      </c>
      <c r="K21844">
        <v>3.2</v>
      </c>
      <c r="L21844">
        <v>13802</v>
      </c>
      <c r="M21844" t="s">
        <v>200</v>
      </c>
      <c r="N21844" t="str">
        <f t="shared" si="387"/>
        <v xml:space="preserve">12336023912 </v>
      </c>
      <c r="O21844">
        <v>230919</v>
      </c>
    </row>
    <row r="21845" spans="1:15" x14ac:dyDescent="0.25">
      <c r="A21845" t="s">
        <v>16</v>
      </c>
      <c r="B21845" t="s">
        <v>3221</v>
      </c>
      <c r="C21845">
        <v>12407</v>
      </c>
      <c r="D21845" t="s">
        <v>263</v>
      </c>
      <c r="E21845" t="s">
        <v>264</v>
      </c>
      <c r="F21845">
        <v>2.84</v>
      </c>
      <c r="G21845">
        <v>230904</v>
      </c>
      <c r="H21845">
        <v>4362</v>
      </c>
      <c r="I21845" t="s">
        <v>79</v>
      </c>
      <c r="J21845">
        <v>3.52</v>
      </c>
      <c r="K21845">
        <v>0.68</v>
      </c>
      <c r="L21845">
        <v>17971</v>
      </c>
      <c r="M21845" t="s">
        <v>138</v>
      </c>
      <c r="N21845" t="str">
        <f t="shared" si="387"/>
        <v xml:space="preserve">12336023912 </v>
      </c>
      <c r="O21845">
        <v>230919</v>
      </c>
    </row>
    <row r="21846" spans="1:15" x14ac:dyDescent="0.25">
      <c r="A21846" t="s">
        <v>16</v>
      </c>
      <c r="B21846" t="s">
        <v>3221</v>
      </c>
      <c r="C21846">
        <v>12464</v>
      </c>
      <c r="D21846" t="s">
        <v>263</v>
      </c>
      <c r="E21846" t="s">
        <v>264</v>
      </c>
      <c r="F21846">
        <v>120</v>
      </c>
      <c r="G21846">
        <v>230915</v>
      </c>
      <c r="H21846">
        <v>4362</v>
      </c>
      <c r="I21846" t="s">
        <v>79</v>
      </c>
      <c r="J21846">
        <v>148.80000000000001</v>
      </c>
      <c r="K21846">
        <v>28.8</v>
      </c>
      <c r="L21846">
        <v>18972</v>
      </c>
      <c r="M21846" t="s">
        <v>163</v>
      </c>
      <c r="N21846" t="str">
        <f>"104642258   "</f>
        <v xml:space="preserve">104642258   </v>
      </c>
      <c r="O21846">
        <v>230920</v>
      </c>
    </row>
    <row r="21847" spans="1:15" x14ac:dyDescent="0.25">
      <c r="A21847" t="s">
        <v>16</v>
      </c>
      <c r="B21847" t="s">
        <v>3221</v>
      </c>
      <c r="C21847">
        <v>13810</v>
      </c>
      <c r="D21847" t="s">
        <v>263</v>
      </c>
      <c r="E21847" t="s">
        <v>264</v>
      </c>
      <c r="F21847">
        <v>4.55</v>
      </c>
      <c r="G21847">
        <v>231004</v>
      </c>
      <c r="H21847">
        <v>4362</v>
      </c>
      <c r="I21847" t="s">
        <v>79</v>
      </c>
      <c r="J21847">
        <v>4.55</v>
      </c>
      <c r="K21847">
        <v>0</v>
      </c>
      <c r="L21847">
        <v>59702</v>
      </c>
      <c r="M21847" t="s">
        <v>328</v>
      </c>
      <c r="N21847" t="str">
        <f>"12340023750 "</f>
        <v xml:space="preserve">12340023750 </v>
      </c>
      <c r="O21847">
        <v>231013</v>
      </c>
    </row>
    <row r="21848" spans="1:15" x14ac:dyDescent="0.25">
      <c r="A21848" t="s">
        <v>16</v>
      </c>
      <c r="B21848" t="s">
        <v>3221</v>
      </c>
      <c r="C21848">
        <v>13810</v>
      </c>
      <c r="D21848" t="s">
        <v>263</v>
      </c>
      <c r="E21848" t="s">
        <v>264</v>
      </c>
      <c r="F21848">
        <v>12.37</v>
      </c>
      <c r="G21848">
        <v>231004</v>
      </c>
      <c r="H21848">
        <v>4362</v>
      </c>
      <c r="I21848" t="s">
        <v>79</v>
      </c>
      <c r="J21848">
        <v>15.34</v>
      </c>
      <c r="K21848">
        <v>2.97</v>
      </c>
      <c r="L21848">
        <v>59702</v>
      </c>
      <c r="M21848" t="s">
        <v>328</v>
      </c>
      <c r="N21848" t="str">
        <f>"12340023750 "</f>
        <v xml:space="preserve">12340023750 </v>
      </c>
      <c r="O21848">
        <v>231013</v>
      </c>
    </row>
    <row r="21849" spans="1:15" x14ac:dyDescent="0.25">
      <c r="A21849" t="s">
        <v>16</v>
      </c>
      <c r="B21849" t="s">
        <v>3221</v>
      </c>
      <c r="C21849">
        <v>13810</v>
      </c>
      <c r="D21849" t="s">
        <v>263</v>
      </c>
      <c r="E21849" t="s">
        <v>264</v>
      </c>
      <c r="F21849">
        <v>7.95</v>
      </c>
      <c r="G21849">
        <v>231004</v>
      </c>
      <c r="H21849">
        <v>4362</v>
      </c>
      <c r="I21849" t="s">
        <v>79</v>
      </c>
      <c r="J21849">
        <v>9.86</v>
      </c>
      <c r="K21849">
        <v>1.91</v>
      </c>
      <c r="L21849">
        <v>59704</v>
      </c>
      <c r="M21849" t="s">
        <v>1103</v>
      </c>
      <c r="N21849" t="str">
        <f>"12340023750 "</f>
        <v xml:space="preserve">12340023750 </v>
      </c>
      <c r="O21849">
        <v>231013</v>
      </c>
    </row>
    <row r="21850" spans="1:15" x14ac:dyDescent="0.25">
      <c r="A21850" t="s">
        <v>16</v>
      </c>
      <c r="B21850" t="s">
        <v>3221</v>
      </c>
      <c r="C21850">
        <v>13830</v>
      </c>
      <c r="D21850" t="s">
        <v>263</v>
      </c>
      <c r="E21850" t="s">
        <v>264</v>
      </c>
      <c r="F21850">
        <v>2.81</v>
      </c>
      <c r="G21850">
        <v>231004</v>
      </c>
      <c r="H21850">
        <v>4362</v>
      </c>
      <c r="I21850" t="s">
        <v>79</v>
      </c>
      <c r="J21850">
        <v>3.48</v>
      </c>
      <c r="K21850">
        <v>0.67</v>
      </c>
      <c r="L21850">
        <v>53222</v>
      </c>
      <c r="M21850" t="s">
        <v>445</v>
      </c>
      <c r="N21850" t="str">
        <f>"12340023778 "</f>
        <v xml:space="preserve">12340023778 </v>
      </c>
      <c r="O21850">
        <v>231013</v>
      </c>
    </row>
    <row r="21851" spans="1:15" x14ac:dyDescent="0.25">
      <c r="A21851" t="s">
        <v>16</v>
      </c>
      <c r="B21851" t="s">
        <v>3221</v>
      </c>
      <c r="C21851">
        <v>13830</v>
      </c>
      <c r="D21851" t="s">
        <v>263</v>
      </c>
      <c r="E21851" t="s">
        <v>264</v>
      </c>
      <c r="F21851">
        <v>15.85</v>
      </c>
      <c r="G21851">
        <v>231004</v>
      </c>
      <c r="H21851">
        <v>4362</v>
      </c>
      <c r="I21851" t="s">
        <v>79</v>
      </c>
      <c r="J21851">
        <v>19.66</v>
      </c>
      <c r="K21851">
        <v>3.81</v>
      </c>
      <c r="L21851">
        <v>53222</v>
      </c>
      <c r="M21851" t="s">
        <v>445</v>
      </c>
      <c r="N21851" t="str">
        <f>"12340023778 "</f>
        <v xml:space="preserve">12340023778 </v>
      </c>
      <c r="O21851">
        <v>231013</v>
      </c>
    </row>
    <row r="21852" spans="1:15" x14ac:dyDescent="0.25">
      <c r="A21852" t="s">
        <v>16</v>
      </c>
      <c r="B21852" t="s">
        <v>3221</v>
      </c>
      <c r="C21852">
        <v>13830</v>
      </c>
      <c r="D21852" t="s">
        <v>263</v>
      </c>
      <c r="E21852" t="s">
        <v>264</v>
      </c>
      <c r="F21852">
        <v>2.7</v>
      </c>
      <c r="G21852">
        <v>231004</v>
      </c>
      <c r="H21852">
        <v>4362</v>
      </c>
      <c r="I21852" t="s">
        <v>79</v>
      </c>
      <c r="J21852">
        <v>3.35</v>
      </c>
      <c r="K21852">
        <v>0.65</v>
      </c>
      <c r="L21852">
        <v>54622</v>
      </c>
      <c r="M21852" t="s">
        <v>872</v>
      </c>
      <c r="N21852" t="str">
        <f>"12340023778 "</f>
        <v xml:space="preserve">12340023778 </v>
      </c>
      <c r="O21852">
        <v>231013</v>
      </c>
    </row>
    <row r="21853" spans="1:15" x14ac:dyDescent="0.25">
      <c r="A21853" t="s">
        <v>16</v>
      </c>
      <c r="B21853" t="s">
        <v>3221</v>
      </c>
      <c r="C21853">
        <v>13830</v>
      </c>
      <c r="D21853" t="s">
        <v>263</v>
      </c>
      <c r="E21853" t="s">
        <v>264</v>
      </c>
      <c r="F21853">
        <v>9.9</v>
      </c>
      <c r="G21853">
        <v>231004</v>
      </c>
      <c r="H21853">
        <v>4362</v>
      </c>
      <c r="I21853" t="s">
        <v>79</v>
      </c>
      <c r="J21853">
        <v>12.27</v>
      </c>
      <c r="K21853">
        <v>2.37</v>
      </c>
      <c r="L21853">
        <v>55222</v>
      </c>
      <c r="M21853" t="s">
        <v>873</v>
      </c>
      <c r="N21853" t="str">
        <f>"12340023778 "</f>
        <v xml:space="preserve">12340023778 </v>
      </c>
      <c r="O21853">
        <v>231013</v>
      </c>
    </row>
    <row r="21854" spans="1:15" x14ac:dyDescent="0.25">
      <c r="A21854" t="s">
        <v>16</v>
      </c>
      <c r="B21854" t="s">
        <v>3221</v>
      </c>
      <c r="C21854">
        <v>13843</v>
      </c>
      <c r="D21854" t="s">
        <v>263</v>
      </c>
      <c r="E21854" t="s">
        <v>264</v>
      </c>
      <c r="F21854">
        <v>2.7</v>
      </c>
      <c r="G21854">
        <v>231004</v>
      </c>
      <c r="H21854">
        <v>4362</v>
      </c>
      <c r="I21854" t="s">
        <v>79</v>
      </c>
      <c r="J21854">
        <v>3.35</v>
      </c>
      <c r="K21854">
        <v>0.65</v>
      </c>
      <c r="L21854">
        <v>54451</v>
      </c>
      <c r="M21854" t="s">
        <v>158</v>
      </c>
      <c r="N21854" t="str">
        <f t="shared" ref="N21854:N21869" si="388">"12340023748 "</f>
        <v xml:space="preserve">12340023748 </v>
      </c>
      <c r="O21854">
        <v>231013</v>
      </c>
    </row>
    <row r="21855" spans="1:15" x14ac:dyDescent="0.25">
      <c r="A21855" t="s">
        <v>16</v>
      </c>
      <c r="B21855" t="s">
        <v>3221</v>
      </c>
      <c r="C21855">
        <v>13843</v>
      </c>
      <c r="D21855" t="s">
        <v>263</v>
      </c>
      <c r="E21855" t="s">
        <v>264</v>
      </c>
      <c r="F21855">
        <v>3.44</v>
      </c>
      <c r="G21855">
        <v>231004</v>
      </c>
      <c r="H21855">
        <v>4362</v>
      </c>
      <c r="I21855" t="s">
        <v>79</v>
      </c>
      <c r="J21855">
        <v>4.2699999999999996</v>
      </c>
      <c r="K21855">
        <v>0.83</v>
      </c>
      <c r="L21855">
        <v>59111</v>
      </c>
      <c r="M21855" t="s">
        <v>1010</v>
      </c>
      <c r="N21855" t="str">
        <f t="shared" si="388"/>
        <v xml:space="preserve">12340023748 </v>
      </c>
      <c r="O21855">
        <v>231013</v>
      </c>
    </row>
    <row r="21856" spans="1:15" x14ac:dyDescent="0.25">
      <c r="A21856" t="s">
        <v>16</v>
      </c>
      <c r="B21856" t="s">
        <v>3221</v>
      </c>
      <c r="C21856">
        <v>13843</v>
      </c>
      <c r="D21856" t="s">
        <v>263</v>
      </c>
      <c r="E21856" t="s">
        <v>264</v>
      </c>
      <c r="F21856">
        <v>2.7</v>
      </c>
      <c r="G21856">
        <v>231004</v>
      </c>
      <c r="H21856">
        <v>4362</v>
      </c>
      <c r="I21856" t="s">
        <v>79</v>
      </c>
      <c r="J21856">
        <v>3.35</v>
      </c>
      <c r="K21856">
        <v>0.65</v>
      </c>
      <c r="L21856">
        <v>59112</v>
      </c>
      <c r="M21856" t="s">
        <v>182</v>
      </c>
      <c r="N21856" t="str">
        <f t="shared" si="388"/>
        <v xml:space="preserve">12340023748 </v>
      </c>
      <c r="O21856">
        <v>231013</v>
      </c>
    </row>
    <row r="21857" spans="1:15" x14ac:dyDescent="0.25">
      <c r="A21857" t="s">
        <v>16</v>
      </c>
      <c r="B21857" t="s">
        <v>3221</v>
      </c>
      <c r="C21857">
        <v>13843</v>
      </c>
      <c r="D21857" t="s">
        <v>263</v>
      </c>
      <c r="E21857" t="s">
        <v>264</v>
      </c>
      <c r="F21857">
        <v>12.34</v>
      </c>
      <c r="G21857">
        <v>231004</v>
      </c>
      <c r="H21857">
        <v>4362</v>
      </c>
      <c r="I21857" t="s">
        <v>79</v>
      </c>
      <c r="J21857">
        <v>15.3</v>
      </c>
      <c r="K21857">
        <v>2.96</v>
      </c>
      <c r="L21857">
        <v>59113</v>
      </c>
      <c r="M21857" t="s">
        <v>235</v>
      </c>
      <c r="N21857" t="str">
        <f t="shared" si="388"/>
        <v xml:space="preserve">12340023748 </v>
      </c>
      <c r="O21857">
        <v>231013</v>
      </c>
    </row>
    <row r="21858" spans="1:15" x14ac:dyDescent="0.25">
      <c r="A21858" t="s">
        <v>16</v>
      </c>
      <c r="B21858" t="s">
        <v>3221</v>
      </c>
      <c r="C21858">
        <v>13843</v>
      </c>
      <c r="D21858" t="s">
        <v>263</v>
      </c>
      <c r="E21858" t="s">
        <v>264</v>
      </c>
      <c r="F21858">
        <v>9.52</v>
      </c>
      <c r="G21858">
        <v>231004</v>
      </c>
      <c r="H21858">
        <v>4362</v>
      </c>
      <c r="I21858" t="s">
        <v>79</v>
      </c>
      <c r="J21858">
        <v>11.8</v>
      </c>
      <c r="K21858">
        <v>2.2799999999999998</v>
      </c>
      <c r="L21858">
        <v>59114</v>
      </c>
      <c r="M21858" t="s">
        <v>556</v>
      </c>
      <c r="N21858" t="str">
        <f t="shared" si="388"/>
        <v xml:space="preserve">12340023748 </v>
      </c>
      <c r="O21858">
        <v>231013</v>
      </c>
    </row>
    <row r="21859" spans="1:15" x14ac:dyDescent="0.25">
      <c r="A21859" t="s">
        <v>16</v>
      </c>
      <c r="B21859" t="s">
        <v>3221</v>
      </c>
      <c r="C21859">
        <v>13843</v>
      </c>
      <c r="D21859" t="s">
        <v>263</v>
      </c>
      <c r="E21859" t="s">
        <v>264</v>
      </c>
      <c r="F21859">
        <v>51.71</v>
      </c>
      <c r="G21859">
        <v>231004</v>
      </c>
      <c r="H21859">
        <v>4362</v>
      </c>
      <c r="I21859" t="s">
        <v>79</v>
      </c>
      <c r="J21859">
        <v>64.12</v>
      </c>
      <c r="K21859">
        <v>12.41</v>
      </c>
      <c r="L21859">
        <v>59501</v>
      </c>
      <c r="M21859" t="s">
        <v>69</v>
      </c>
      <c r="N21859" t="str">
        <f t="shared" si="388"/>
        <v xml:space="preserve">12340023748 </v>
      </c>
      <c r="O21859">
        <v>231013</v>
      </c>
    </row>
    <row r="21860" spans="1:15" x14ac:dyDescent="0.25">
      <c r="A21860" t="s">
        <v>16</v>
      </c>
      <c r="B21860" t="s">
        <v>3221</v>
      </c>
      <c r="C21860">
        <v>13843</v>
      </c>
      <c r="D21860" t="s">
        <v>263</v>
      </c>
      <c r="E21860" t="s">
        <v>264</v>
      </c>
      <c r="F21860">
        <v>31.9</v>
      </c>
      <c r="G21860">
        <v>231004</v>
      </c>
      <c r="H21860">
        <v>4362</v>
      </c>
      <c r="I21860" t="s">
        <v>79</v>
      </c>
      <c r="J21860">
        <v>39.56</v>
      </c>
      <c r="K21860">
        <v>7.66</v>
      </c>
      <c r="L21860">
        <v>59502</v>
      </c>
      <c r="M21860" t="s">
        <v>70</v>
      </c>
      <c r="N21860" t="str">
        <f t="shared" si="388"/>
        <v xml:space="preserve">12340023748 </v>
      </c>
      <c r="O21860">
        <v>231013</v>
      </c>
    </row>
    <row r="21861" spans="1:15" x14ac:dyDescent="0.25">
      <c r="A21861" t="s">
        <v>16</v>
      </c>
      <c r="B21861" t="s">
        <v>3221</v>
      </c>
      <c r="C21861">
        <v>13843</v>
      </c>
      <c r="D21861" t="s">
        <v>263</v>
      </c>
      <c r="E21861" t="s">
        <v>264</v>
      </c>
      <c r="F21861">
        <v>8.31</v>
      </c>
      <c r="G21861">
        <v>231004</v>
      </c>
      <c r="H21861">
        <v>4362</v>
      </c>
      <c r="I21861" t="s">
        <v>79</v>
      </c>
      <c r="J21861">
        <v>10.3</v>
      </c>
      <c r="K21861">
        <v>1.99</v>
      </c>
      <c r="L21861">
        <v>59504</v>
      </c>
      <c r="M21861" t="s">
        <v>71</v>
      </c>
      <c r="N21861" t="str">
        <f t="shared" si="388"/>
        <v xml:space="preserve">12340023748 </v>
      </c>
      <c r="O21861">
        <v>231013</v>
      </c>
    </row>
    <row r="21862" spans="1:15" x14ac:dyDescent="0.25">
      <c r="A21862" t="s">
        <v>16</v>
      </c>
      <c r="B21862" t="s">
        <v>3221</v>
      </c>
      <c r="C21862">
        <v>13843</v>
      </c>
      <c r="D21862" t="s">
        <v>263</v>
      </c>
      <c r="E21862" t="s">
        <v>264</v>
      </c>
      <c r="F21862">
        <v>5.4</v>
      </c>
      <c r="G21862">
        <v>231004</v>
      </c>
      <c r="H21862">
        <v>4362</v>
      </c>
      <c r="I21862" t="s">
        <v>79</v>
      </c>
      <c r="J21862">
        <v>6.7</v>
      </c>
      <c r="K21862">
        <v>1.3</v>
      </c>
      <c r="L21862">
        <v>59505</v>
      </c>
      <c r="M21862" t="s">
        <v>72</v>
      </c>
      <c r="N21862" t="str">
        <f t="shared" si="388"/>
        <v xml:space="preserve">12340023748 </v>
      </c>
      <c r="O21862">
        <v>231013</v>
      </c>
    </row>
    <row r="21863" spans="1:15" x14ac:dyDescent="0.25">
      <c r="A21863" t="s">
        <v>16</v>
      </c>
      <c r="B21863" t="s">
        <v>3221</v>
      </c>
      <c r="C21863">
        <v>13843</v>
      </c>
      <c r="D21863" t="s">
        <v>263</v>
      </c>
      <c r="E21863" t="s">
        <v>264</v>
      </c>
      <c r="F21863">
        <v>14.64</v>
      </c>
      <c r="G21863">
        <v>231004</v>
      </c>
      <c r="H21863">
        <v>4362</v>
      </c>
      <c r="I21863" t="s">
        <v>79</v>
      </c>
      <c r="J21863">
        <v>18.149999999999999</v>
      </c>
      <c r="K21863">
        <v>3.51</v>
      </c>
      <c r="L21863">
        <v>59701</v>
      </c>
      <c r="M21863" t="s">
        <v>297</v>
      </c>
      <c r="N21863" t="str">
        <f t="shared" si="388"/>
        <v xml:space="preserve">12340023748 </v>
      </c>
      <c r="O21863">
        <v>231013</v>
      </c>
    </row>
    <row r="21864" spans="1:15" x14ac:dyDescent="0.25">
      <c r="A21864" t="s">
        <v>16</v>
      </c>
      <c r="B21864" t="s">
        <v>3221</v>
      </c>
      <c r="C21864">
        <v>13843</v>
      </c>
      <c r="D21864" t="s">
        <v>263</v>
      </c>
      <c r="E21864" t="s">
        <v>264</v>
      </c>
      <c r="F21864">
        <v>2.7</v>
      </c>
      <c r="G21864">
        <v>231004</v>
      </c>
      <c r="H21864">
        <v>4362</v>
      </c>
      <c r="I21864" t="s">
        <v>79</v>
      </c>
      <c r="J21864">
        <v>3.35</v>
      </c>
      <c r="K21864">
        <v>0.65</v>
      </c>
      <c r="L21864">
        <v>59702</v>
      </c>
      <c r="M21864" t="s">
        <v>328</v>
      </c>
      <c r="N21864" t="str">
        <f t="shared" si="388"/>
        <v xml:space="preserve">12340023748 </v>
      </c>
      <c r="O21864">
        <v>231013</v>
      </c>
    </row>
    <row r="21865" spans="1:15" x14ac:dyDescent="0.25">
      <c r="A21865" t="s">
        <v>16</v>
      </c>
      <c r="B21865" t="s">
        <v>3221</v>
      </c>
      <c r="C21865">
        <v>13843</v>
      </c>
      <c r="D21865" t="s">
        <v>263</v>
      </c>
      <c r="E21865" t="s">
        <v>264</v>
      </c>
      <c r="F21865">
        <v>5.25</v>
      </c>
      <c r="G21865">
        <v>231004</v>
      </c>
      <c r="H21865">
        <v>4362</v>
      </c>
      <c r="I21865" t="s">
        <v>79</v>
      </c>
      <c r="J21865">
        <v>6.51</v>
      </c>
      <c r="K21865">
        <v>1.26</v>
      </c>
      <c r="L21865">
        <v>59704</v>
      </c>
      <c r="M21865" t="s">
        <v>1103</v>
      </c>
      <c r="N21865" t="str">
        <f t="shared" si="388"/>
        <v xml:space="preserve">12340023748 </v>
      </c>
      <c r="O21865">
        <v>231013</v>
      </c>
    </row>
    <row r="21866" spans="1:15" x14ac:dyDescent="0.25">
      <c r="A21866" t="s">
        <v>16</v>
      </c>
      <c r="B21866" t="s">
        <v>3221</v>
      </c>
      <c r="C21866">
        <v>13843</v>
      </c>
      <c r="D21866" t="s">
        <v>263</v>
      </c>
      <c r="E21866" t="s">
        <v>264</v>
      </c>
      <c r="F21866">
        <v>5.4</v>
      </c>
      <c r="G21866">
        <v>231004</v>
      </c>
      <c r="H21866">
        <v>4362</v>
      </c>
      <c r="I21866" t="s">
        <v>79</v>
      </c>
      <c r="J21866">
        <v>6.7</v>
      </c>
      <c r="K21866">
        <v>1.3</v>
      </c>
      <c r="L21866">
        <v>59705</v>
      </c>
      <c r="M21866" t="s">
        <v>843</v>
      </c>
      <c r="N21866" t="str">
        <f t="shared" si="388"/>
        <v xml:space="preserve">12340023748 </v>
      </c>
      <c r="O21866">
        <v>231013</v>
      </c>
    </row>
    <row r="21867" spans="1:15" x14ac:dyDescent="0.25">
      <c r="A21867" t="s">
        <v>16</v>
      </c>
      <c r="B21867" t="s">
        <v>3221</v>
      </c>
      <c r="C21867">
        <v>13843</v>
      </c>
      <c r="D21867" t="s">
        <v>263</v>
      </c>
      <c r="E21867" t="s">
        <v>264</v>
      </c>
      <c r="F21867">
        <v>15.9</v>
      </c>
      <c r="G21867">
        <v>231004</v>
      </c>
      <c r="H21867">
        <v>4362</v>
      </c>
      <c r="I21867" t="s">
        <v>79</v>
      </c>
      <c r="J21867">
        <v>19.72</v>
      </c>
      <c r="K21867">
        <v>3.82</v>
      </c>
      <c r="L21867">
        <v>59802</v>
      </c>
      <c r="M21867" t="s">
        <v>73</v>
      </c>
      <c r="N21867" t="str">
        <f t="shared" si="388"/>
        <v xml:space="preserve">12340023748 </v>
      </c>
      <c r="O21867">
        <v>231013</v>
      </c>
    </row>
    <row r="21868" spans="1:15" x14ac:dyDescent="0.25">
      <c r="A21868" t="s">
        <v>16</v>
      </c>
      <c r="B21868" t="s">
        <v>3221</v>
      </c>
      <c r="C21868">
        <v>13843</v>
      </c>
      <c r="D21868" t="s">
        <v>263</v>
      </c>
      <c r="E21868" t="s">
        <v>264</v>
      </c>
      <c r="F21868">
        <v>11.19</v>
      </c>
      <c r="G21868">
        <v>231004</v>
      </c>
      <c r="H21868">
        <v>4362</v>
      </c>
      <c r="I21868" t="s">
        <v>79</v>
      </c>
      <c r="J21868">
        <v>13.87</v>
      </c>
      <c r="K21868">
        <v>2.68</v>
      </c>
      <c r="L21868">
        <v>59812</v>
      </c>
      <c r="M21868" t="s">
        <v>74</v>
      </c>
      <c r="N21868" t="str">
        <f t="shared" si="388"/>
        <v xml:space="preserve">12340023748 </v>
      </c>
      <c r="O21868">
        <v>231013</v>
      </c>
    </row>
    <row r="21869" spans="1:15" x14ac:dyDescent="0.25">
      <c r="A21869" t="s">
        <v>16</v>
      </c>
      <c r="B21869" t="s">
        <v>3221</v>
      </c>
      <c r="C21869">
        <v>13843</v>
      </c>
      <c r="D21869" t="s">
        <v>263</v>
      </c>
      <c r="E21869" t="s">
        <v>264</v>
      </c>
      <c r="F21869">
        <v>7.39</v>
      </c>
      <c r="G21869">
        <v>231004</v>
      </c>
      <c r="H21869">
        <v>4362</v>
      </c>
      <c r="I21869" t="s">
        <v>79</v>
      </c>
      <c r="J21869">
        <v>9.16</v>
      </c>
      <c r="K21869">
        <v>1.77</v>
      </c>
      <c r="L21869">
        <v>59815</v>
      </c>
      <c r="M21869" t="s">
        <v>1182</v>
      </c>
      <c r="N21869" t="str">
        <f t="shared" si="388"/>
        <v xml:space="preserve">12340023748 </v>
      </c>
      <c r="O21869">
        <v>231013</v>
      </c>
    </row>
    <row r="21870" spans="1:15" x14ac:dyDescent="0.25">
      <c r="A21870" t="s">
        <v>16</v>
      </c>
      <c r="B21870" t="s">
        <v>3221</v>
      </c>
      <c r="C21870">
        <v>13845</v>
      </c>
      <c r="D21870" t="s">
        <v>263</v>
      </c>
      <c r="E21870" t="s">
        <v>264</v>
      </c>
      <c r="F21870">
        <v>2.7</v>
      </c>
      <c r="G21870">
        <v>231004</v>
      </c>
      <c r="H21870">
        <v>4362</v>
      </c>
      <c r="I21870" t="s">
        <v>79</v>
      </c>
      <c r="J21870">
        <v>3.35</v>
      </c>
      <c r="K21870">
        <v>0.65</v>
      </c>
      <c r="L21870">
        <v>51157</v>
      </c>
      <c r="M21870" t="s">
        <v>1216</v>
      </c>
      <c r="N21870" t="str">
        <f t="shared" ref="N21870:N21880" si="389">"12340023754 "</f>
        <v xml:space="preserve">12340023754 </v>
      </c>
      <c r="O21870">
        <v>231013</v>
      </c>
    </row>
    <row r="21871" spans="1:15" x14ac:dyDescent="0.25">
      <c r="A21871" t="s">
        <v>16</v>
      </c>
      <c r="B21871" t="s">
        <v>3221</v>
      </c>
      <c r="C21871">
        <v>13845</v>
      </c>
      <c r="D21871" t="s">
        <v>263</v>
      </c>
      <c r="E21871" t="s">
        <v>264</v>
      </c>
      <c r="F21871">
        <v>2.7</v>
      </c>
      <c r="G21871">
        <v>231004</v>
      </c>
      <c r="H21871">
        <v>4362</v>
      </c>
      <c r="I21871" t="s">
        <v>79</v>
      </c>
      <c r="J21871">
        <v>3.35</v>
      </c>
      <c r="K21871">
        <v>0.65</v>
      </c>
      <c r="L21871">
        <v>56526</v>
      </c>
      <c r="M21871" t="s">
        <v>1217</v>
      </c>
      <c r="N21871" t="str">
        <f t="shared" si="389"/>
        <v xml:space="preserve">12340023754 </v>
      </c>
      <c r="O21871">
        <v>231013</v>
      </c>
    </row>
    <row r="21872" spans="1:15" x14ac:dyDescent="0.25">
      <c r="A21872" t="s">
        <v>16</v>
      </c>
      <c r="B21872" t="s">
        <v>3221</v>
      </c>
      <c r="C21872">
        <v>13845</v>
      </c>
      <c r="D21872" t="s">
        <v>263</v>
      </c>
      <c r="E21872" t="s">
        <v>264</v>
      </c>
      <c r="F21872">
        <v>14.71</v>
      </c>
      <c r="G21872">
        <v>231004</v>
      </c>
      <c r="H21872">
        <v>4362</v>
      </c>
      <c r="I21872" t="s">
        <v>79</v>
      </c>
      <c r="J21872">
        <v>18.239999999999998</v>
      </c>
      <c r="K21872">
        <v>3.53</v>
      </c>
      <c r="L21872">
        <v>56558</v>
      </c>
      <c r="M21872" t="s">
        <v>217</v>
      </c>
      <c r="N21872" t="str">
        <f t="shared" si="389"/>
        <v xml:space="preserve">12340023754 </v>
      </c>
      <c r="O21872">
        <v>231013</v>
      </c>
    </row>
    <row r="21873" spans="1:15" x14ac:dyDescent="0.25">
      <c r="A21873" t="s">
        <v>16</v>
      </c>
      <c r="B21873" t="s">
        <v>3221</v>
      </c>
      <c r="C21873">
        <v>13845</v>
      </c>
      <c r="D21873" t="s">
        <v>263</v>
      </c>
      <c r="E21873" t="s">
        <v>264</v>
      </c>
      <c r="F21873">
        <v>42.46</v>
      </c>
      <c r="G21873">
        <v>231004</v>
      </c>
      <c r="H21873">
        <v>4362</v>
      </c>
      <c r="I21873" t="s">
        <v>79</v>
      </c>
      <c r="J21873">
        <v>52.65</v>
      </c>
      <c r="K21873">
        <v>10.19</v>
      </c>
      <c r="L21873">
        <v>56559</v>
      </c>
      <c r="M21873" t="s">
        <v>129</v>
      </c>
      <c r="N21873" t="str">
        <f t="shared" si="389"/>
        <v xml:space="preserve">12340023754 </v>
      </c>
      <c r="O21873">
        <v>231013</v>
      </c>
    </row>
    <row r="21874" spans="1:15" x14ac:dyDescent="0.25">
      <c r="A21874" t="s">
        <v>16</v>
      </c>
      <c r="B21874" t="s">
        <v>3221</v>
      </c>
      <c r="C21874">
        <v>13845</v>
      </c>
      <c r="D21874" t="s">
        <v>263</v>
      </c>
      <c r="E21874" t="s">
        <v>264</v>
      </c>
      <c r="F21874">
        <v>8.1</v>
      </c>
      <c r="G21874">
        <v>231004</v>
      </c>
      <c r="H21874">
        <v>4362</v>
      </c>
      <c r="I21874" t="s">
        <v>79</v>
      </c>
      <c r="J21874">
        <v>10.039999999999999</v>
      </c>
      <c r="K21874">
        <v>1.94</v>
      </c>
      <c r="L21874">
        <v>56560</v>
      </c>
      <c r="M21874" t="s">
        <v>654</v>
      </c>
      <c r="N21874" t="str">
        <f t="shared" si="389"/>
        <v xml:space="preserve">12340023754 </v>
      </c>
      <c r="O21874">
        <v>231013</v>
      </c>
    </row>
    <row r="21875" spans="1:15" x14ac:dyDescent="0.25">
      <c r="A21875" t="s">
        <v>16</v>
      </c>
      <c r="B21875" t="s">
        <v>3221</v>
      </c>
      <c r="C21875">
        <v>13845</v>
      </c>
      <c r="D21875" t="s">
        <v>263</v>
      </c>
      <c r="E21875" t="s">
        <v>264</v>
      </c>
      <c r="F21875">
        <v>3.04</v>
      </c>
      <c r="G21875">
        <v>231004</v>
      </c>
      <c r="H21875">
        <v>4362</v>
      </c>
      <c r="I21875" t="s">
        <v>79</v>
      </c>
      <c r="J21875">
        <v>3.77</v>
      </c>
      <c r="K21875">
        <v>0.73</v>
      </c>
      <c r="L21875">
        <v>56561</v>
      </c>
      <c r="M21875" t="s">
        <v>358</v>
      </c>
      <c r="N21875" t="str">
        <f t="shared" si="389"/>
        <v xml:space="preserve">12340023754 </v>
      </c>
      <c r="O21875">
        <v>231013</v>
      </c>
    </row>
    <row r="21876" spans="1:15" x14ac:dyDescent="0.25">
      <c r="A21876" t="s">
        <v>16</v>
      </c>
      <c r="B21876" t="s">
        <v>3221</v>
      </c>
      <c r="C21876">
        <v>13845</v>
      </c>
      <c r="D21876" t="s">
        <v>263</v>
      </c>
      <c r="E21876" t="s">
        <v>264</v>
      </c>
      <c r="F21876">
        <v>5.54</v>
      </c>
      <c r="G21876">
        <v>231004</v>
      </c>
      <c r="H21876">
        <v>4362</v>
      </c>
      <c r="I21876" t="s">
        <v>79</v>
      </c>
      <c r="J21876">
        <v>6.87</v>
      </c>
      <c r="K21876">
        <v>1.33</v>
      </c>
      <c r="L21876">
        <v>56562</v>
      </c>
      <c r="M21876" t="s">
        <v>126</v>
      </c>
      <c r="N21876" t="str">
        <f t="shared" si="389"/>
        <v xml:space="preserve">12340023754 </v>
      </c>
      <c r="O21876">
        <v>231013</v>
      </c>
    </row>
    <row r="21877" spans="1:15" x14ac:dyDescent="0.25">
      <c r="A21877" t="s">
        <v>16</v>
      </c>
      <c r="B21877" t="s">
        <v>3221</v>
      </c>
      <c r="C21877">
        <v>13845</v>
      </c>
      <c r="D21877" t="s">
        <v>263</v>
      </c>
      <c r="E21877" t="s">
        <v>264</v>
      </c>
      <c r="F21877">
        <v>9.25</v>
      </c>
      <c r="G21877">
        <v>231004</v>
      </c>
      <c r="H21877">
        <v>4362</v>
      </c>
      <c r="I21877" t="s">
        <v>79</v>
      </c>
      <c r="J21877">
        <v>11.47</v>
      </c>
      <c r="K21877">
        <v>2.2200000000000002</v>
      </c>
      <c r="L21877">
        <v>56564</v>
      </c>
      <c r="M21877" t="s">
        <v>327</v>
      </c>
      <c r="N21877" t="str">
        <f t="shared" si="389"/>
        <v xml:space="preserve">12340023754 </v>
      </c>
      <c r="O21877">
        <v>231013</v>
      </c>
    </row>
    <row r="21878" spans="1:15" x14ac:dyDescent="0.25">
      <c r="A21878" t="s">
        <v>16</v>
      </c>
      <c r="B21878" t="s">
        <v>3221</v>
      </c>
      <c r="C21878">
        <v>13845</v>
      </c>
      <c r="D21878" t="s">
        <v>263</v>
      </c>
      <c r="E21878" t="s">
        <v>264</v>
      </c>
      <c r="F21878">
        <v>2.7</v>
      </c>
      <c r="G21878">
        <v>231004</v>
      </c>
      <c r="H21878">
        <v>4362</v>
      </c>
      <c r="I21878" t="s">
        <v>79</v>
      </c>
      <c r="J21878">
        <v>3.35</v>
      </c>
      <c r="K21878">
        <v>0.65</v>
      </c>
      <c r="L21878">
        <v>56565</v>
      </c>
      <c r="M21878" t="s">
        <v>758</v>
      </c>
      <c r="N21878" t="str">
        <f t="shared" si="389"/>
        <v xml:space="preserve">12340023754 </v>
      </c>
      <c r="O21878">
        <v>231013</v>
      </c>
    </row>
    <row r="21879" spans="1:15" x14ac:dyDescent="0.25">
      <c r="A21879" t="s">
        <v>16</v>
      </c>
      <c r="B21879" t="s">
        <v>3221</v>
      </c>
      <c r="C21879">
        <v>13845</v>
      </c>
      <c r="D21879" t="s">
        <v>263</v>
      </c>
      <c r="E21879" t="s">
        <v>264</v>
      </c>
      <c r="F21879">
        <v>8.1</v>
      </c>
      <c r="G21879">
        <v>231004</v>
      </c>
      <c r="H21879">
        <v>4362</v>
      </c>
      <c r="I21879" t="s">
        <v>79</v>
      </c>
      <c r="J21879">
        <v>10.050000000000001</v>
      </c>
      <c r="K21879">
        <v>1.95</v>
      </c>
      <c r="L21879">
        <v>56566</v>
      </c>
      <c r="M21879" t="s">
        <v>652</v>
      </c>
      <c r="N21879" t="str">
        <f t="shared" si="389"/>
        <v xml:space="preserve">12340023754 </v>
      </c>
      <c r="O21879">
        <v>231013</v>
      </c>
    </row>
    <row r="21880" spans="1:15" x14ac:dyDescent="0.25">
      <c r="A21880" t="s">
        <v>16</v>
      </c>
      <c r="B21880" t="s">
        <v>3221</v>
      </c>
      <c r="C21880">
        <v>13845</v>
      </c>
      <c r="D21880" t="s">
        <v>263</v>
      </c>
      <c r="E21880" t="s">
        <v>264</v>
      </c>
      <c r="F21880">
        <v>2.7</v>
      </c>
      <c r="G21880">
        <v>231004</v>
      </c>
      <c r="H21880">
        <v>4362</v>
      </c>
      <c r="I21880" t="s">
        <v>79</v>
      </c>
      <c r="J21880">
        <v>3.35</v>
      </c>
      <c r="K21880">
        <v>0.65</v>
      </c>
      <c r="L21880">
        <v>56568</v>
      </c>
      <c r="M21880" t="s">
        <v>268</v>
      </c>
      <c r="N21880" t="str">
        <f t="shared" si="389"/>
        <v xml:space="preserve">12340023754 </v>
      </c>
      <c r="O21880">
        <v>231013</v>
      </c>
    </row>
    <row r="21881" spans="1:15" x14ac:dyDescent="0.25">
      <c r="A21881" t="s">
        <v>16</v>
      </c>
      <c r="B21881" t="s">
        <v>3221</v>
      </c>
      <c r="C21881">
        <v>13887</v>
      </c>
      <c r="D21881" t="s">
        <v>263</v>
      </c>
      <c r="E21881" t="s">
        <v>264</v>
      </c>
      <c r="F21881">
        <v>2.7</v>
      </c>
      <c r="G21881">
        <v>231004</v>
      </c>
      <c r="H21881">
        <v>4362</v>
      </c>
      <c r="I21881" t="s">
        <v>79</v>
      </c>
      <c r="J21881">
        <v>3.35</v>
      </c>
      <c r="K21881">
        <v>0.65</v>
      </c>
      <c r="L21881">
        <v>56522</v>
      </c>
      <c r="M21881" t="s">
        <v>43</v>
      </c>
      <c r="N21881" t="str">
        <f>"12340023749 "</f>
        <v xml:space="preserve">12340023749 </v>
      </c>
      <c r="O21881">
        <v>231016</v>
      </c>
    </row>
    <row r="21882" spans="1:15" x14ac:dyDescent="0.25">
      <c r="A21882" t="s">
        <v>16</v>
      </c>
      <c r="B21882" t="s">
        <v>3221</v>
      </c>
      <c r="C21882">
        <v>13887</v>
      </c>
      <c r="D21882" t="s">
        <v>263</v>
      </c>
      <c r="E21882" t="s">
        <v>264</v>
      </c>
      <c r="F21882">
        <v>10.5</v>
      </c>
      <c r="G21882">
        <v>231004</v>
      </c>
      <c r="H21882">
        <v>4362</v>
      </c>
      <c r="I21882" t="s">
        <v>79</v>
      </c>
      <c r="J21882">
        <v>13.02</v>
      </c>
      <c r="K21882">
        <v>2.52</v>
      </c>
      <c r="L21882">
        <v>56524</v>
      </c>
      <c r="M21882" t="s">
        <v>150</v>
      </c>
      <c r="N21882" t="str">
        <f>"12340023749 "</f>
        <v xml:space="preserve">12340023749 </v>
      </c>
      <c r="O21882">
        <v>231016</v>
      </c>
    </row>
    <row r="21883" spans="1:15" x14ac:dyDescent="0.25">
      <c r="A21883" t="s">
        <v>16</v>
      </c>
      <c r="B21883" t="s">
        <v>3221</v>
      </c>
      <c r="C21883">
        <v>13887</v>
      </c>
      <c r="D21883" t="s">
        <v>263</v>
      </c>
      <c r="E21883" t="s">
        <v>264</v>
      </c>
      <c r="F21883">
        <v>14.17</v>
      </c>
      <c r="G21883">
        <v>231004</v>
      </c>
      <c r="H21883">
        <v>4362</v>
      </c>
      <c r="I21883" t="s">
        <v>79</v>
      </c>
      <c r="J21883">
        <v>17.57</v>
      </c>
      <c r="K21883">
        <v>3.4</v>
      </c>
      <c r="L21883">
        <v>56528</v>
      </c>
      <c r="M21883" t="s">
        <v>153</v>
      </c>
      <c r="N21883" t="str">
        <f>"12340023749 "</f>
        <v xml:space="preserve">12340023749 </v>
      </c>
      <c r="O21883">
        <v>231016</v>
      </c>
    </row>
    <row r="21884" spans="1:15" x14ac:dyDescent="0.25">
      <c r="A21884" t="s">
        <v>16</v>
      </c>
      <c r="B21884" t="s">
        <v>3221</v>
      </c>
      <c r="C21884">
        <v>13888</v>
      </c>
      <c r="D21884" t="s">
        <v>263</v>
      </c>
      <c r="E21884" t="s">
        <v>264</v>
      </c>
      <c r="F21884">
        <v>9.77</v>
      </c>
      <c r="G21884">
        <v>231004</v>
      </c>
      <c r="H21884">
        <v>4362</v>
      </c>
      <c r="I21884" t="s">
        <v>79</v>
      </c>
      <c r="J21884">
        <v>12.11</v>
      </c>
      <c r="K21884">
        <v>2.34</v>
      </c>
      <c r="L21884">
        <v>49112</v>
      </c>
      <c r="M21884" t="s">
        <v>233</v>
      </c>
      <c r="N21884" t="str">
        <f>"12340023764 "</f>
        <v xml:space="preserve">12340023764 </v>
      </c>
      <c r="O21884">
        <v>231016</v>
      </c>
    </row>
    <row r="21885" spans="1:15" x14ac:dyDescent="0.25">
      <c r="A21885" t="s">
        <v>16</v>
      </c>
      <c r="B21885" t="s">
        <v>3221</v>
      </c>
      <c r="C21885">
        <v>13889</v>
      </c>
      <c r="D21885" t="s">
        <v>263</v>
      </c>
      <c r="E21885" t="s">
        <v>264</v>
      </c>
      <c r="F21885">
        <v>16.05</v>
      </c>
      <c r="G21885">
        <v>231004</v>
      </c>
      <c r="H21885">
        <v>4362</v>
      </c>
      <c r="I21885" t="s">
        <v>79</v>
      </c>
      <c r="J21885">
        <v>19.899999999999999</v>
      </c>
      <c r="K21885">
        <v>3.85</v>
      </c>
      <c r="L21885">
        <v>47522</v>
      </c>
      <c r="M21885" t="s">
        <v>410</v>
      </c>
      <c r="N21885" t="str">
        <f>"12340023758 "</f>
        <v xml:space="preserve">12340023758 </v>
      </c>
      <c r="O21885">
        <v>231016</v>
      </c>
    </row>
    <row r="21886" spans="1:15" x14ac:dyDescent="0.25">
      <c r="A21886" t="s">
        <v>16</v>
      </c>
      <c r="B21886" t="s">
        <v>3221</v>
      </c>
      <c r="C21886">
        <v>13889</v>
      </c>
      <c r="D21886" t="s">
        <v>263</v>
      </c>
      <c r="E21886" t="s">
        <v>264</v>
      </c>
      <c r="F21886">
        <v>5.61</v>
      </c>
      <c r="G21886">
        <v>231004</v>
      </c>
      <c r="H21886">
        <v>4362</v>
      </c>
      <c r="I21886" t="s">
        <v>79</v>
      </c>
      <c r="J21886">
        <v>5.61</v>
      </c>
      <c r="K21886">
        <v>0</v>
      </c>
      <c r="L21886">
        <v>49702</v>
      </c>
      <c r="M21886" t="s">
        <v>584</v>
      </c>
      <c r="N21886" t="str">
        <f>"12340023758 "</f>
        <v xml:space="preserve">12340023758 </v>
      </c>
      <c r="O21886">
        <v>231016</v>
      </c>
    </row>
    <row r="21887" spans="1:15" x14ac:dyDescent="0.25">
      <c r="A21887" t="s">
        <v>16</v>
      </c>
      <c r="B21887" t="s">
        <v>3221</v>
      </c>
      <c r="C21887">
        <v>13891</v>
      </c>
      <c r="D21887" t="s">
        <v>263</v>
      </c>
      <c r="E21887" t="s">
        <v>264</v>
      </c>
      <c r="F21887">
        <v>5.4</v>
      </c>
      <c r="G21887">
        <v>231004</v>
      </c>
      <c r="H21887">
        <v>4362</v>
      </c>
      <c r="I21887" t="s">
        <v>79</v>
      </c>
      <c r="J21887">
        <v>6.7</v>
      </c>
      <c r="K21887">
        <v>1.3</v>
      </c>
      <c r="L21887">
        <v>49701</v>
      </c>
      <c r="M21887" t="s">
        <v>166</v>
      </c>
      <c r="N21887" t="str">
        <f>"12340023757 "</f>
        <v xml:space="preserve">12340023757 </v>
      </c>
      <c r="O21887">
        <v>231016</v>
      </c>
    </row>
    <row r="21888" spans="1:15" x14ac:dyDescent="0.25">
      <c r="A21888" t="s">
        <v>16</v>
      </c>
      <c r="B21888" t="s">
        <v>3221</v>
      </c>
      <c r="C21888">
        <v>13891</v>
      </c>
      <c r="D21888" t="s">
        <v>263</v>
      </c>
      <c r="E21888" t="s">
        <v>264</v>
      </c>
      <c r="F21888">
        <v>5.4</v>
      </c>
      <c r="G21888">
        <v>231004</v>
      </c>
      <c r="H21888">
        <v>4362</v>
      </c>
      <c r="I21888" t="s">
        <v>79</v>
      </c>
      <c r="J21888">
        <v>6.69</v>
      </c>
      <c r="K21888">
        <v>1.29</v>
      </c>
      <c r="L21888">
        <v>49702</v>
      </c>
      <c r="M21888" t="s">
        <v>584</v>
      </c>
      <c r="N21888" t="str">
        <f>"12340023757 "</f>
        <v xml:space="preserve">12340023757 </v>
      </c>
      <c r="O21888">
        <v>231016</v>
      </c>
    </row>
    <row r="21889" spans="1:15" x14ac:dyDescent="0.25">
      <c r="A21889" t="s">
        <v>16</v>
      </c>
      <c r="B21889" t="s">
        <v>3221</v>
      </c>
      <c r="C21889">
        <v>13892</v>
      </c>
      <c r="D21889" t="s">
        <v>263</v>
      </c>
      <c r="E21889" t="s">
        <v>264</v>
      </c>
      <c r="F21889">
        <v>2.7</v>
      </c>
      <c r="G21889">
        <v>231004</v>
      </c>
      <c r="H21889">
        <v>4362</v>
      </c>
      <c r="I21889" t="s">
        <v>79</v>
      </c>
      <c r="J21889">
        <v>3.35</v>
      </c>
      <c r="K21889">
        <v>0.65</v>
      </c>
      <c r="L21889">
        <v>13501</v>
      </c>
      <c r="M21889" t="s">
        <v>20</v>
      </c>
      <c r="N21889" t="str">
        <f>"12340023787 "</f>
        <v xml:space="preserve">12340023787 </v>
      </c>
      <c r="O21889">
        <v>231016</v>
      </c>
    </row>
    <row r="21890" spans="1:15" x14ac:dyDescent="0.25">
      <c r="A21890" t="s">
        <v>16</v>
      </c>
      <c r="B21890" t="s">
        <v>3221</v>
      </c>
      <c r="C21890">
        <v>13894</v>
      </c>
      <c r="D21890" t="s">
        <v>263</v>
      </c>
      <c r="E21890" t="s">
        <v>264</v>
      </c>
      <c r="F21890">
        <v>7.95</v>
      </c>
      <c r="G21890">
        <v>231004</v>
      </c>
      <c r="H21890">
        <v>4362</v>
      </c>
      <c r="I21890" t="s">
        <v>79</v>
      </c>
      <c r="J21890">
        <v>9.86</v>
      </c>
      <c r="K21890">
        <v>1.91</v>
      </c>
      <c r="L21890">
        <v>16930</v>
      </c>
      <c r="M21890" t="s">
        <v>450</v>
      </c>
      <c r="N21890" t="str">
        <f t="shared" ref="N21890:N21913" si="390">"12340023771 "</f>
        <v xml:space="preserve">12340023771 </v>
      </c>
      <c r="O21890">
        <v>231016</v>
      </c>
    </row>
    <row r="21891" spans="1:15" x14ac:dyDescent="0.25">
      <c r="A21891" t="s">
        <v>16</v>
      </c>
      <c r="B21891" t="s">
        <v>3221</v>
      </c>
      <c r="C21891">
        <v>13894</v>
      </c>
      <c r="D21891" t="s">
        <v>263</v>
      </c>
      <c r="E21891" t="s">
        <v>264</v>
      </c>
      <c r="F21891">
        <v>13.33</v>
      </c>
      <c r="G21891">
        <v>231004</v>
      </c>
      <c r="H21891">
        <v>4362</v>
      </c>
      <c r="I21891" t="s">
        <v>79</v>
      </c>
      <c r="J21891">
        <v>16.53</v>
      </c>
      <c r="K21891">
        <v>3.2</v>
      </c>
      <c r="L21891">
        <v>17521</v>
      </c>
      <c r="M21891" t="s">
        <v>133</v>
      </c>
      <c r="N21891" t="str">
        <f t="shared" si="390"/>
        <v xml:space="preserve">12340023771 </v>
      </c>
      <c r="O21891">
        <v>231016</v>
      </c>
    </row>
    <row r="21892" spans="1:15" x14ac:dyDescent="0.25">
      <c r="A21892" t="s">
        <v>16</v>
      </c>
      <c r="B21892" t="s">
        <v>3221</v>
      </c>
      <c r="C21892">
        <v>13894</v>
      </c>
      <c r="D21892" t="s">
        <v>263</v>
      </c>
      <c r="E21892" t="s">
        <v>264</v>
      </c>
      <c r="F21892">
        <v>6.27</v>
      </c>
      <c r="G21892">
        <v>231004</v>
      </c>
      <c r="H21892">
        <v>4362</v>
      </c>
      <c r="I21892" t="s">
        <v>79</v>
      </c>
      <c r="J21892">
        <v>7.77</v>
      </c>
      <c r="K21892">
        <v>1.5</v>
      </c>
      <c r="L21892">
        <v>17522</v>
      </c>
      <c r="M21892" t="s">
        <v>451</v>
      </c>
      <c r="N21892" t="str">
        <f t="shared" si="390"/>
        <v xml:space="preserve">12340023771 </v>
      </c>
      <c r="O21892">
        <v>231016</v>
      </c>
    </row>
    <row r="21893" spans="1:15" x14ac:dyDescent="0.25">
      <c r="A21893" t="s">
        <v>16</v>
      </c>
      <c r="B21893" t="s">
        <v>3221</v>
      </c>
      <c r="C21893">
        <v>13894</v>
      </c>
      <c r="D21893" t="s">
        <v>263</v>
      </c>
      <c r="E21893" t="s">
        <v>264</v>
      </c>
      <c r="F21893">
        <v>10.43</v>
      </c>
      <c r="G21893">
        <v>231004</v>
      </c>
      <c r="H21893">
        <v>4362</v>
      </c>
      <c r="I21893" t="s">
        <v>79</v>
      </c>
      <c r="J21893">
        <v>12.93</v>
      </c>
      <c r="K21893">
        <v>2.5</v>
      </c>
      <c r="L21893">
        <v>17523</v>
      </c>
      <c r="M21893" t="s">
        <v>134</v>
      </c>
      <c r="N21893" t="str">
        <f t="shared" si="390"/>
        <v xml:space="preserve">12340023771 </v>
      </c>
      <c r="O21893">
        <v>231016</v>
      </c>
    </row>
    <row r="21894" spans="1:15" x14ac:dyDescent="0.25">
      <c r="A21894" t="s">
        <v>16</v>
      </c>
      <c r="B21894" t="s">
        <v>3221</v>
      </c>
      <c r="C21894">
        <v>13894</v>
      </c>
      <c r="D21894" t="s">
        <v>263</v>
      </c>
      <c r="E21894" t="s">
        <v>264</v>
      </c>
      <c r="F21894">
        <v>5.4</v>
      </c>
      <c r="G21894">
        <v>231004</v>
      </c>
      <c r="H21894">
        <v>4362</v>
      </c>
      <c r="I21894" t="s">
        <v>79</v>
      </c>
      <c r="J21894">
        <v>6.7</v>
      </c>
      <c r="K21894">
        <v>1.3</v>
      </c>
      <c r="L21894">
        <v>17524</v>
      </c>
      <c r="M21894" t="s">
        <v>452</v>
      </c>
      <c r="N21894" t="str">
        <f t="shared" si="390"/>
        <v xml:space="preserve">12340023771 </v>
      </c>
      <c r="O21894">
        <v>231016</v>
      </c>
    </row>
    <row r="21895" spans="1:15" x14ac:dyDescent="0.25">
      <c r="A21895" t="s">
        <v>16</v>
      </c>
      <c r="B21895" t="s">
        <v>3221</v>
      </c>
      <c r="C21895">
        <v>13894</v>
      </c>
      <c r="D21895" t="s">
        <v>263</v>
      </c>
      <c r="E21895" t="s">
        <v>264</v>
      </c>
      <c r="F21895">
        <v>2.7</v>
      </c>
      <c r="G21895">
        <v>231004</v>
      </c>
      <c r="H21895">
        <v>4362</v>
      </c>
      <c r="I21895" t="s">
        <v>79</v>
      </c>
      <c r="J21895">
        <v>3.35</v>
      </c>
      <c r="K21895">
        <v>0.65</v>
      </c>
      <c r="L21895">
        <v>17525</v>
      </c>
      <c r="M21895" t="s">
        <v>135</v>
      </c>
      <c r="N21895" t="str">
        <f t="shared" si="390"/>
        <v xml:space="preserve">12340023771 </v>
      </c>
      <c r="O21895">
        <v>231016</v>
      </c>
    </row>
    <row r="21896" spans="1:15" x14ac:dyDescent="0.25">
      <c r="A21896" t="s">
        <v>16</v>
      </c>
      <c r="B21896" t="s">
        <v>3221</v>
      </c>
      <c r="C21896">
        <v>13894</v>
      </c>
      <c r="D21896" t="s">
        <v>263</v>
      </c>
      <c r="E21896" t="s">
        <v>264</v>
      </c>
      <c r="F21896">
        <v>8.1</v>
      </c>
      <c r="G21896">
        <v>231004</v>
      </c>
      <c r="H21896">
        <v>4362</v>
      </c>
      <c r="I21896" t="s">
        <v>79</v>
      </c>
      <c r="J21896">
        <v>10.039999999999999</v>
      </c>
      <c r="K21896">
        <v>1.94</v>
      </c>
      <c r="L21896">
        <v>17526</v>
      </c>
      <c r="M21896" t="s">
        <v>437</v>
      </c>
      <c r="N21896" t="str">
        <f t="shared" si="390"/>
        <v xml:space="preserve">12340023771 </v>
      </c>
      <c r="O21896">
        <v>231016</v>
      </c>
    </row>
    <row r="21897" spans="1:15" x14ac:dyDescent="0.25">
      <c r="A21897" t="s">
        <v>16</v>
      </c>
      <c r="B21897" t="s">
        <v>3221</v>
      </c>
      <c r="C21897">
        <v>13894</v>
      </c>
      <c r="D21897" t="s">
        <v>263</v>
      </c>
      <c r="E21897" t="s">
        <v>264</v>
      </c>
      <c r="F21897">
        <v>7.8</v>
      </c>
      <c r="G21897">
        <v>231004</v>
      </c>
      <c r="H21897">
        <v>4362</v>
      </c>
      <c r="I21897" t="s">
        <v>79</v>
      </c>
      <c r="J21897">
        <v>9.67</v>
      </c>
      <c r="K21897">
        <v>1.87</v>
      </c>
      <c r="L21897">
        <v>17527</v>
      </c>
      <c r="M21897" t="s">
        <v>422</v>
      </c>
      <c r="N21897" t="str">
        <f t="shared" si="390"/>
        <v xml:space="preserve">12340023771 </v>
      </c>
      <c r="O21897">
        <v>231016</v>
      </c>
    </row>
    <row r="21898" spans="1:15" x14ac:dyDescent="0.25">
      <c r="A21898" t="s">
        <v>16</v>
      </c>
      <c r="B21898" t="s">
        <v>3221</v>
      </c>
      <c r="C21898">
        <v>13894</v>
      </c>
      <c r="D21898" t="s">
        <v>263</v>
      </c>
      <c r="E21898" t="s">
        <v>264</v>
      </c>
      <c r="F21898">
        <v>12.2</v>
      </c>
      <c r="G21898">
        <v>231004</v>
      </c>
      <c r="H21898">
        <v>4362</v>
      </c>
      <c r="I21898" t="s">
        <v>79</v>
      </c>
      <c r="J21898">
        <v>15.13</v>
      </c>
      <c r="K21898">
        <v>2.93</v>
      </c>
      <c r="L21898">
        <v>17529</v>
      </c>
      <c r="M21898" t="s">
        <v>453</v>
      </c>
      <c r="N21898" t="str">
        <f t="shared" si="390"/>
        <v xml:space="preserve">12340023771 </v>
      </c>
      <c r="O21898">
        <v>231016</v>
      </c>
    </row>
    <row r="21899" spans="1:15" x14ac:dyDescent="0.25">
      <c r="A21899" t="s">
        <v>16</v>
      </c>
      <c r="B21899" t="s">
        <v>3221</v>
      </c>
      <c r="C21899">
        <v>13894</v>
      </c>
      <c r="D21899" t="s">
        <v>263</v>
      </c>
      <c r="E21899" t="s">
        <v>264</v>
      </c>
      <c r="F21899">
        <v>16.03</v>
      </c>
      <c r="G21899">
        <v>231004</v>
      </c>
      <c r="H21899">
        <v>4362</v>
      </c>
      <c r="I21899" t="s">
        <v>79</v>
      </c>
      <c r="J21899">
        <v>19.88</v>
      </c>
      <c r="K21899">
        <v>3.85</v>
      </c>
      <c r="L21899">
        <v>17530</v>
      </c>
      <c r="M21899" t="s">
        <v>454</v>
      </c>
      <c r="N21899" t="str">
        <f t="shared" si="390"/>
        <v xml:space="preserve">12340023771 </v>
      </c>
      <c r="O21899">
        <v>231016</v>
      </c>
    </row>
    <row r="21900" spans="1:15" x14ac:dyDescent="0.25">
      <c r="A21900" t="s">
        <v>16</v>
      </c>
      <c r="B21900" t="s">
        <v>3221</v>
      </c>
      <c r="C21900">
        <v>13894</v>
      </c>
      <c r="D21900" t="s">
        <v>263</v>
      </c>
      <c r="E21900" t="s">
        <v>264</v>
      </c>
      <c r="F21900">
        <v>18.64</v>
      </c>
      <c r="G21900">
        <v>231004</v>
      </c>
      <c r="H21900">
        <v>4362</v>
      </c>
      <c r="I21900" t="s">
        <v>79</v>
      </c>
      <c r="J21900">
        <v>23.11</v>
      </c>
      <c r="K21900">
        <v>4.47</v>
      </c>
      <c r="L21900">
        <v>17531</v>
      </c>
      <c r="M21900" t="s">
        <v>136</v>
      </c>
      <c r="N21900" t="str">
        <f t="shared" si="390"/>
        <v xml:space="preserve">12340023771 </v>
      </c>
      <c r="O21900">
        <v>231016</v>
      </c>
    </row>
    <row r="21901" spans="1:15" x14ac:dyDescent="0.25">
      <c r="A21901" t="s">
        <v>16</v>
      </c>
      <c r="B21901" t="s">
        <v>3221</v>
      </c>
      <c r="C21901">
        <v>13894</v>
      </c>
      <c r="D21901" t="s">
        <v>263</v>
      </c>
      <c r="E21901" t="s">
        <v>264</v>
      </c>
      <c r="F21901">
        <v>10.35</v>
      </c>
      <c r="G21901">
        <v>231004</v>
      </c>
      <c r="H21901">
        <v>4362</v>
      </c>
      <c r="I21901" t="s">
        <v>79</v>
      </c>
      <c r="J21901">
        <v>12.83</v>
      </c>
      <c r="K21901">
        <v>2.48</v>
      </c>
      <c r="L21901">
        <v>17532</v>
      </c>
      <c r="M21901" t="s">
        <v>543</v>
      </c>
      <c r="N21901" t="str">
        <f t="shared" si="390"/>
        <v xml:space="preserve">12340023771 </v>
      </c>
      <c r="O21901">
        <v>231016</v>
      </c>
    </row>
    <row r="21902" spans="1:15" x14ac:dyDescent="0.25">
      <c r="A21902" t="s">
        <v>16</v>
      </c>
      <c r="B21902" t="s">
        <v>3221</v>
      </c>
      <c r="C21902">
        <v>13894</v>
      </c>
      <c r="D21902" t="s">
        <v>263</v>
      </c>
      <c r="E21902" t="s">
        <v>264</v>
      </c>
      <c r="F21902">
        <v>5.4</v>
      </c>
      <c r="G21902">
        <v>231004</v>
      </c>
      <c r="H21902">
        <v>4362</v>
      </c>
      <c r="I21902" t="s">
        <v>79</v>
      </c>
      <c r="J21902">
        <v>6.7</v>
      </c>
      <c r="K21902">
        <v>1.3</v>
      </c>
      <c r="L21902">
        <v>17533</v>
      </c>
      <c r="M21902" t="s">
        <v>990</v>
      </c>
      <c r="N21902" t="str">
        <f t="shared" si="390"/>
        <v xml:space="preserve">12340023771 </v>
      </c>
      <c r="O21902">
        <v>231016</v>
      </c>
    </row>
    <row r="21903" spans="1:15" x14ac:dyDescent="0.25">
      <c r="A21903" t="s">
        <v>16</v>
      </c>
      <c r="B21903" t="s">
        <v>3221</v>
      </c>
      <c r="C21903">
        <v>13894</v>
      </c>
      <c r="D21903" t="s">
        <v>263</v>
      </c>
      <c r="E21903" t="s">
        <v>264</v>
      </c>
      <c r="F21903">
        <v>6.97</v>
      </c>
      <c r="G21903">
        <v>231004</v>
      </c>
      <c r="H21903">
        <v>4362</v>
      </c>
      <c r="I21903" t="s">
        <v>79</v>
      </c>
      <c r="J21903">
        <v>8.64</v>
      </c>
      <c r="K21903">
        <v>1.67</v>
      </c>
      <c r="L21903">
        <v>17534</v>
      </c>
      <c r="M21903" t="s">
        <v>440</v>
      </c>
      <c r="N21903" t="str">
        <f t="shared" si="390"/>
        <v xml:space="preserve">12340023771 </v>
      </c>
      <c r="O21903">
        <v>231016</v>
      </c>
    </row>
    <row r="21904" spans="1:15" x14ac:dyDescent="0.25">
      <c r="A21904" t="s">
        <v>16</v>
      </c>
      <c r="B21904" t="s">
        <v>3221</v>
      </c>
      <c r="C21904">
        <v>13894</v>
      </c>
      <c r="D21904" t="s">
        <v>263</v>
      </c>
      <c r="E21904" t="s">
        <v>264</v>
      </c>
      <c r="F21904">
        <v>2.7</v>
      </c>
      <c r="G21904">
        <v>231004</v>
      </c>
      <c r="H21904">
        <v>4362</v>
      </c>
      <c r="I21904" t="s">
        <v>79</v>
      </c>
      <c r="J21904">
        <v>3.35</v>
      </c>
      <c r="K21904">
        <v>0.65</v>
      </c>
      <c r="L21904">
        <v>17535</v>
      </c>
      <c r="M21904" t="s">
        <v>357</v>
      </c>
      <c r="N21904" t="str">
        <f t="shared" si="390"/>
        <v xml:space="preserve">12340023771 </v>
      </c>
      <c r="O21904">
        <v>231016</v>
      </c>
    </row>
    <row r="21905" spans="1:15" x14ac:dyDescent="0.25">
      <c r="A21905" t="s">
        <v>16</v>
      </c>
      <c r="B21905" t="s">
        <v>3221</v>
      </c>
      <c r="C21905">
        <v>13894</v>
      </c>
      <c r="D21905" t="s">
        <v>263</v>
      </c>
      <c r="E21905" t="s">
        <v>264</v>
      </c>
      <c r="F21905">
        <v>5.4</v>
      </c>
      <c r="G21905">
        <v>231004</v>
      </c>
      <c r="H21905">
        <v>4362</v>
      </c>
      <c r="I21905" t="s">
        <v>79</v>
      </c>
      <c r="J21905">
        <v>6.7</v>
      </c>
      <c r="K21905">
        <v>1.3</v>
      </c>
      <c r="L21905">
        <v>17536</v>
      </c>
      <c r="M21905" t="s">
        <v>734</v>
      </c>
      <c r="N21905" t="str">
        <f t="shared" si="390"/>
        <v xml:space="preserve">12340023771 </v>
      </c>
      <c r="O21905">
        <v>231016</v>
      </c>
    </row>
    <row r="21906" spans="1:15" x14ac:dyDescent="0.25">
      <c r="A21906" t="s">
        <v>16</v>
      </c>
      <c r="B21906" t="s">
        <v>3221</v>
      </c>
      <c r="C21906">
        <v>13894</v>
      </c>
      <c r="D21906" t="s">
        <v>263</v>
      </c>
      <c r="E21906" t="s">
        <v>264</v>
      </c>
      <c r="F21906">
        <v>7.95</v>
      </c>
      <c r="G21906">
        <v>231004</v>
      </c>
      <c r="H21906">
        <v>4362</v>
      </c>
      <c r="I21906" t="s">
        <v>79</v>
      </c>
      <c r="J21906">
        <v>9.86</v>
      </c>
      <c r="K21906">
        <v>1.91</v>
      </c>
      <c r="L21906">
        <v>17537</v>
      </c>
      <c r="M21906" t="s">
        <v>455</v>
      </c>
      <c r="N21906" t="str">
        <f t="shared" si="390"/>
        <v xml:space="preserve">12340023771 </v>
      </c>
      <c r="O21906">
        <v>231016</v>
      </c>
    </row>
    <row r="21907" spans="1:15" x14ac:dyDescent="0.25">
      <c r="A21907" t="s">
        <v>16</v>
      </c>
      <c r="B21907" t="s">
        <v>3221</v>
      </c>
      <c r="C21907">
        <v>13894</v>
      </c>
      <c r="D21907" t="s">
        <v>263</v>
      </c>
      <c r="E21907" t="s">
        <v>264</v>
      </c>
      <c r="F21907">
        <v>14.29</v>
      </c>
      <c r="G21907">
        <v>231004</v>
      </c>
      <c r="H21907">
        <v>4362</v>
      </c>
      <c r="I21907" t="s">
        <v>79</v>
      </c>
      <c r="J21907">
        <v>17.72</v>
      </c>
      <c r="K21907">
        <v>3.43</v>
      </c>
      <c r="L21907">
        <v>17538</v>
      </c>
      <c r="M21907" t="s">
        <v>24</v>
      </c>
      <c r="N21907" t="str">
        <f t="shared" si="390"/>
        <v xml:space="preserve">12340023771 </v>
      </c>
      <c r="O21907">
        <v>231016</v>
      </c>
    </row>
    <row r="21908" spans="1:15" x14ac:dyDescent="0.25">
      <c r="A21908" t="s">
        <v>16</v>
      </c>
      <c r="B21908" t="s">
        <v>3221</v>
      </c>
      <c r="C21908">
        <v>13894</v>
      </c>
      <c r="D21908" t="s">
        <v>263</v>
      </c>
      <c r="E21908" t="s">
        <v>264</v>
      </c>
      <c r="F21908">
        <v>10.8</v>
      </c>
      <c r="G21908">
        <v>231004</v>
      </c>
      <c r="H21908">
        <v>4362</v>
      </c>
      <c r="I21908" t="s">
        <v>79</v>
      </c>
      <c r="J21908">
        <v>13.39</v>
      </c>
      <c r="K21908">
        <v>2.59</v>
      </c>
      <c r="L21908">
        <v>17950</v>
      </c>
      <c r="M21908" t="s">
        <v>86</v>
      </c>
      <c r="N21908" t="str">
        <f t="shared" si="390"/>
        <v xml:space="preserve">12340023771 </v>
      </c>
      <c r="O21908">
        <v>231016</v>
      </c>
    </row>
    <row r="21909" spans="1:15" x14ac:dyDescent="0.25">
      <c r="A21909" t="s">
        <v>16</v>
      </c>
      <c r="B21909" t="s">
        <v>3221</v>
      </c>
      <c r="C21909">
        <v>13894</v>
      </c>
      <c r="D21909" t="s">
        <v>263</v>
      </c>
      <c r="E21909" t="s">
        <v>264</v>
      </c>
      <c r="F21909">
        <v>2.7</v>
      </c>
      <c r="G21909">
        <v>231004</v>
      </c>
      <c r="H21909">
        <v>4362</v>
      </c>
      <c r="I21909" t="s">
        <v>79</v>
      </c>
      <c r="J21909">
        <v>3.35</v>
      </c>
      <c r="K21909">
        <v>0.65</v>
      </c>
      <c r="L21909">
        <v>17956</v>
      </c>
      <c r="M21909" t="s">
        <v>53</v>
      </c>
      <c r="N21909" t="str">
        <f t="shared" si="390"/>
        <v xml:space="preserve">12340023771 </v>
      </c>
      <c r="O21909">
        <v>231016</v>
      </c>
    </row>
    <row r="21910" spans="1:15" x14ac:dyDescent="0.25">
      <c r="A21910" t="s">
        <v>16</v>
      </c>
      <c r="B21910" t="s">
        <v>3221</v>
      </c>
      <c r="C21910">
        <v>13894</v>
      </c>
      <c r="D21910" t="s">
        <v>263</v>
      </c>
      <c r="E21910" t="s">
        <v>264</v>
      </c>
      <c r="F21910">
        <v>14.32</v>
      </c>
      <c r="G21910">
        <v>231004</v>
      </c>
      <c r="H21910">
        <v>4362</v>
      </c>
      <c r="I21910" t="s">
        <v>79</v>
      </c>
      <c r="J21910">
        <v>17.760000000000002</v>
      </c>
      <c r="K21910">
        <v>3.44</v>
      </c>
      <c r="L21910">
        <v>17971</v>
      </c>
      <c r="M21910" t="s">
        <v>138</v>
      </c>
      <c r="N21910" t="str">
        <f t="shared" si="390"/>
        <v xml:space="preserve">12340023771 </v>
      </c>
      <c r="O21910">
        <v>231016</v>
      </c>
    </row>
    <row r="21911" spans="1:15" x14ac:dyDescent="0.25">
      <c r="A21911" t="s">
        <v>16</v>
      </c>
      <c r="B21911" t="s">
        <v>3221</v>
      </c>
      <c r="C21911">
        <v>13894</v>
      </c>
      <c r="D21911" t="s">
        <v>263</v>
      </c>
      <c r="E21911" t="s">
        <v>264</v>
      </c>
      <c r="F21911">
        <v>2.8</v>
      </c>
      <c r="G21911">
        <v>231004</v>
      </c>
      <c r="H21911">
        <v>4362</v>
      </c>
      <c r="I21911" t="s">
        <v>79</v>
      </c>
      <c r="J21911">
        <v>3.47</v>
      </c>
      <c r="K21911">
        <v>0.67</v>
      </c>
      <c r="L21911">
        <v>17972</v>
      </c>
      <c r="M21911" t="s">
        <v>248</v>
      </c>
      <c r="N21911" t="str">
        <f t="shared" si="390"/>
        <v xml:space="preserve">12340023771 </v>
      </c>
      <c r="O21911">
        <v>231016</v>
      </c>
    </row>
    <row r="21912" spans="1:15" x14ac:dyDescent="0.25">
      <c r="A21912" t="s">
        <v>16</v>
      </c>
      <c r="B21912" t="s">
        <v>3221</v>
      </c>
      <c r="C21912">
        <v>13894</v>
      </c>
      <c r="D21912" t="s">
        <v>263</v>
      </c>
      <c r="E21912" t="s">
        <v>264</v>
      </c>
      <c r="F21912">
        <v>2.7</v>
      </c>
      <c r="G21912">
        <v>231004</v>
      </c>
      <c r="H21912">
        <v>4362</v>
      </c>
      <c r="I21912" t="s">
        <v>79</v>
      </c>
      <c r="J21912">
        <v>3.35</v>
      </c>
      <c r="K21912">
        <v>0.65</v>
      </c>
      <c r="L21912">
        <v>17974</v>
      </c>
      <c r="M21912" t="s">
        <v>460</v>
      </c>
      <c r="N21912" t="str">
        <f t="shared" si="390"/>
        <v xml:space="preserve">12340023771 </v>
      </c>
      <c r="O21912">
        <v>231016</v>
      </c>
    </row>
    <row r="21913" spans="1:15" x14ac:dyDescent="0.25">
      <c r="A21913" t="s">
        <v>16</v>
      </c>
      <c r="B21913" t="s">
        <v>3221</v>
      </c>
      <c r="C21913">
        <v>13894</v>
      </c>
      <c r="D21913" t="s">
        <v>263</v>
      </c>
      <c r="E21913" t="s">
        <v>264</v>
      </c>
      <c r="F21913">
        <v>8.1</v>
      </c>
      <c r="G21913">
        <v>231004</v>
      </c>
      <c r="H21913">
        <v>4362</v>
      </c>
      <c r="I21913" t="s">
        <v>79</v>
      </c>
      <c r="J21913">
        <v>10.039999999999999</v>
      </c>
      <c r="K21913">
        <v>1.94</v>
      </c>
      <c r="L21913">
        <v>17975</v>
      </c>
      <c r="M21913" t="s">
        <v>798</v>
      </c>
      <c r="N21913" t="str">
        <f t="shared" si="390"/>
        <v xml:space="preserve">12340023771 </v>
      </c>
      <c r="O21913">
        <v>231016</v>
      </c>
    </row>
    <row r="21914" spans="1:15" x14ac:dyDescent="0.25">
      <c r="A21914" t="s">
        <v>16</v>
      </c>
      <c r="B21914" t="s">
        <v>3221</v>
      </c>
      <c r="C21914">
        <v>13895</v>
      </c>
      <c r="D21914" t="s">
        <v>263</v>
      </c>
      <c r="E21914" t="s">
        <v>264</v>
      </c>
      <c r="F21914">
        <v>6.08</v>
      </c>
      <c r="G21914">
        <v>231004</v>
      </c>
      <c r="H21914">
        <v>4362</v>
      </c>
      <c r="I21914" t="s">
        <v>79</v>
      </c>
      <c r="J21914">
        <v>7.54</v>
      </c>
      <c r="K21914">
        <v>1.46</v>
      </c>
      <c r="L21914">
        <v>44222</v>
      </c>
      <c r="M21914" t="s">
        <v>232</v>
      </c>
      <c r="N21914" t="str">
        <f>"12340023763 "</f>
        <v xml:space="preserve">12340023763 </v>
      </c>
      <c r="O21914">
        <v>231016</v>
      </c>
    </row>
    <row r="21915" spans="1:15" x14ac:dyDescent="0.25">
      <c r="A21915" t="s">
        <v>16</v>
      </c>
      <c r="B21915" t="s">
        <v>3221</v>
      </c>
      <c r="C21915">
        <v>13895</v>
      </c>
      <c r="D21915" t="s">
        <v>263</v>
      </c>
      <c r="E21915" t="s">
        <v>264</v>
      </c>
      <c r="F21915">
        <v>21.03</v>
      </c>
      <c r="G21915">
        <v>231004</v>
      </c>
      <c r="H21915">
        <v>4362</v>
      </c>
      <c r="I21915" t="s">
        <v>79</v>
      </c>
      <c r="J21915">
        <v>26.08</v>
      </c>
      <c r="K21915">
        <v>5.05</v>
      </c>
      <c r="L21915">
        <v>44222</v>
      </c>
      <c r="M21915" t="s">
        <v>232</v>
      </c>
      <c r="N21915" t="str">
        <f>"12340023763 "</f>
        <v xml:space="preserve">12340023763 </v>
      </c>
      <c r="O21915">
        <v>231016</v>
      </c>
    </row>
    <row r="21916" spans="1:15" x14ac:dyDescent="0.25">
      <c r="A21916" t="s">
        <v>16</v>
      </c>
      <c r="B21916" t="s">
        <v>3221</v>
      </c>
      <c r="C21916">
        <v>13895</v>
      </c>
      <c r="D21916" t="s">
        <v>263</v>
      </c>
      <c r="E21916" t="s">
        <v>264</v>
      </c>
      <c r="F21916">
        <v>2.7</v>
      </c>
      <c r="G21916">
        <v>231004</v>
      </c>
      <c r="H21916">
        <v>4362</v>
      </c>
      <c r="I21916" t="s">
        <v>79</v>
      </c>
      <c r="J21916">
        <v>3.35</v>
      </c>
      <c r="K21916">
        <v>0.65</v>
      </c>
      <c r="L21916">
        <v>44251</v>
      </c>
      <c r="M21916" t="s">
        <v>156</v>
      </c>
      <c r="N21916" t="str">
        <f>"12340023763 "</f>
        <v xml:space="preserve">12340023763 </v>
      </c>
      <c r="O21916">
        <v>231016</v>
      </c>
    </row>
    <row r="21917" spans="1:15" x14ac:dyDescent="0.25">
      <c r="A21917" t="s">
        <v>16</v>
      </c>
      <c r="B21917" t="s">
        <v>3221</v>
      </c>
      <c r="C21917">
        <v>13895</v>
      </c>
      <c r="D21917" t="s">
        <v>263</v>
      </c>
      <c r="E21917" t="s">
        <v>264</v>
      </c>
      <c r="F21917">
        <v>2.5499999999999998</v>
      </c>
      <c r="G21917">
        <v>231004</v>
      </c>
      <c r="H21917">
        <v>4362</v>
      </c>
      <c r="I21917" t="s">
        <v>79</v>
      </c>
      <c r="J21917">
        <v>3.16</v>
      </c>
      <c r="K21917">
        <v>0.61</v>
      </c>
      <c r="L21917">
        <v>44253</v>
      </c>
      <c r="M21917" t="s">
        <v>1058</v>
      </c>
      <c r="N21917" t="str">
        <f>"12340023763 "</f>
        <v xml:space="preserve">12340023763 </v>
      </c>
      <c r="O21917">
        <v>231016</v>
      </c>
    </row>
    <row r="21918" spans="1:15" x14ac:dyDescent="0.25">
      <c r="A21918" t="s">
        <v>16</v>
      </c>
      <c r="B21918" t="s">
        <v>3221</v>
      </c>
      <c r="C21918">
        <v>13895</v>
      </c>
      <c r="D21918" t="s">
        <v>263</v>
      </c>
      <c r="E21918" t="s">
        <v>264</v>
      </c>
      <c r="F21918">
        <v>3.34</v>
      </c>
      <c r="G21918">
        <v>231004</v>
      </c>
      <c r="H21918">
        <v>4362</v>
      </c>
      <c r="I21918" t="s">
        <v>79</v>
      </c>
      <c r="J21918">
        <v>3.34</v>
      </c>
      <c r="K21918">
        <v>0</v>
      </c>
      <c r="L21918">
        <v>49702</v>
      </c>
      <c r="M21918" t="s">
        <v>584</v>
      </c>
      <c r="N21918" t="str">
        <f>"12340023763 "</f>
        <v xml:space="preserve">12340023763 </v>
      </c>
      <c r="O21918">
        <v>231016</v>
      </c>
    </row>
    <row r="21919" spans="1:15" x14ac:dyDescent="0.25">
      <c r="A21919" t="s">
        <v>16</v>
      </c>
      <c r="B21919" t="s">
        <v>3221</v>
      </c>
      <c r="C21919">
        <v>13899</v>
      </c>
      <c r="D21919" t="s">
        <v>263</v>
      </c>
      <c r="E21919" t="s">
        <v>264</v>
      </c>
      <c r="F21919">
        <v>2.7</v>
      </c>
      <c r="G21919">
        <v>231004</v>
      </c>
      <c r="H21919">
        <v>4362</v>
      </c>
      <c r="I21919" t="s">
        <v>79</v>
      </c>
      <c r="J21919">
        <v>3.35</v>
      </c>
      <c r="K21919">
        <v>0.65</v>
      </c>
      <c r="L21919">
        <v>11901</v>
      </c>
      <c r="M21919" t="s">
        <v>36</v>
      </c>
      <c r="N21919" t="str">
        <f>"12340023776 "</f>
        <v xml:space="preserve">12340023776 </v>
      </c>
      <c r="O21919">
        <v>231016</v>
      </c>
    </row>
    <row r="21920" spans="1:15" x14ac:dyDescent="0.25">
      <c r="A21920" t="s">
        <v>16</v>
      </c>
      <c r="B21920" t="s">
        <v>3221</v>
      </c>
      <c r="C21920">
        <v>13899</v>
      </c>
      <c r="D21920" t="s">
        <v>263</v>
      </c>
      <c r="E21920" t="s">
        <v>264</v>
      </c>
      <c r="F21920">
        <v>2.7</v>
      </c>
      <c r="G21920">
        <v>231004</v>
      </c>
      <c r="H21920">
        <v>4362</v>
      </c>
      <c r="I21920" t="s">
        <v>79</v>
      </c>
      <c r="J21920">
        <v>3.35</v>
      </c>
      <c r="K21920">
        <v>0.65</v>
      </c>
      <c r="L21920">
        <v>11903</v>
      </c>
      <c r="M21920" t="s">
        <v>406</v>
      </c>
      <c r="N21920" t="str">
        <f>"12340023776 "</f>
        <v xml:space="preserve">12340023776 </v>
      </c>
      <c r="O21920">
        <v>231016</v>
      </c>
    </row>
    <row r="21921" spans="1:15" x14ac:dyDescent="0.25">
      <c r="A21921" t="s">
        <v>16</v>
      </c>
      <c r="B21921" t="s">
        <v>3221</v>
      </c>
      <c r="C21921">
        <v>13902</v>
      </c>
      <c r="D21921" t="s">
        <v>263</v>
      </c>
      <c r="E21921" t="s">
        <v>264</v>
      </c>
      <c r="F21921">
        <v>24.29</v>
      </c>
      <c r="G21921">
        <v>231004</v>
      </c>
      <c r="H21921">
        <v>4362</v>
      </c>
      <c r="I21921" t="s">
        <v>79</v>
      </c>
      <c r="J21921">
        <v>30.12</v>
      </c>
      <c r="K21921">
        <v>5.83</v>
      </c>
      <c r="L21921">
        <v>49501</v>
      </c>
      <c r="M21921" t="s">
        <v>177</v>
      </c>
      <c r="N21921" t="str">
        <f>"12340023755 "</f>
        <v xml:space="preserve">12340023755 </v>
      </c>
      <c r="O21921">
        <v>231016</v>
      </c>
    </row>
    <row r="21922" spans="1:15" x14ac:dyDescent="0.25">
      <c r="A21922" t="s">
        <v>16</v>
      </c>
      <c r="B21922" t="s">
        <v>3221</v>
      </c>
      <c r="C21922">
        <v>13903</v>
      </c>
      <c r="D21922" t="s">
        <v>263</v>
      </c>
      <c r="E21922" t="s">
        <v>264</v>
      </c>
      <c r="F21922">
        <v>10.8</v>
      </c>
      <c r="G21922">
        <v>231004</v>
      </c>
      <c r="H21922">
        <v>4362</v>
      </c>
      <c r="I21922" t="s">
        <v>79</v>
      </c>
      <c r="J21922">
        <v>13.39</v>
      </c>
      <c r="K21922">
        <v>2.59</v>
      </c>
      <c r="L21922">
        <v>46555</v>
      </c>
      <c r="M21922" t="s">
        <v>597</v>
      </c>
      <c r="N21922" t="str">
        <f>"12340023765 "</f>
        <v xml:space="preserve">12340023765 </v>
      </c>
      <c r="O21922">
        <v>231016</v>
      </c>
    </row>
    <row r="21923" spans="1:15" x14ac:dyDescent="0.25">
      <c r="A21923" t="s">
        <v>16</v>
      </c>
      <c r="B21923" t="s">
        <v>3221</v>
      </c>
      <c r="C21923">
        <v>13903</v>
      </c>
      <c r="D21923" t="s">
        <v>263</v>
      </c>
      <c r="E21923" t="s">
        <v>264</v>
      </c>
      <c r="F21923">
        <v>3.44</v>
      </c>
      <c r="G21923">
        <v>231004</v>
      </c>
      <c r="H21923">
        <v>4362</v>
      </c>
      <c r="I21923" t="s">
        <v>79</v>
      </c>
      <c r="J21923">
        <v>4.2699999999999996</v>
      </c>
      <c r="K21923">
        <v>0.83</v>
      </c>
      <c r="L21923">
        <v>48601</v>
      </c>
      <c r="M21923" t="s">
        <v>1047</v>
      </c>
      <c r="N21923" t="str">
        <f>"12340023765 "</f>
        <v xml:space="preserve">12340023765 </v>
      </c>
      <c r="O21923">
        <v>231016</v>
      </c>
    </row>
    <row r="21924" spans="1:15" x14ac:dyDescent="0.25">
      <c r="A21924" t="s">
        <v>16</v>
      </c>
      <c r="B21924" t="s">
        <v>3221</v>
      </c>
      <c r="C21924">
        <v>13904</v>
      </c>
      <c r="D21924" t="s">
        <v>263</v>
      </c>
      <c r="E21924" t="s">
        <v>264</v>
      </c>
      <c r="F21924">
        <v>3.47</v>
      </c>
      <c r="G21924">
        <v>231004</v>
      </c>
      <c r="H21924">
        <v>4362</v>
      </c>
      <c r="I21924" t="s">
        <v>79</v>
      </c>
      <c r="J21924">
        <v>4.3</v>
      </c>
      <c r="K21924">
        <v>0.83</v>
      </c>
      <c r="L21924">
        <v>48601</v>
      </c>
      <c r="M21924" t="s">
        <v>1047</v>
      </c>
      <c r="N21924" t="str">
        <f>"12340023760 "</f>
        <v xml:space="preserve">12340023760 </v>
      </c>
      <c r="O21924">
        <v>231016</v>
      </c>
    </row>
    <row r="21925" spans="1:15" x14ac:dyDescent="0.25">
      <c r="A21925" t="s">
        <v>16</v>
      </c>
      <c r="B21925" t="s">
        <v>3221</v>
      </c>
      <c r="C21925">
        <v>13904</v>
      </c>
      <c r="D21925" t="s">
        <v>263</v>
      </c>
      <c r="E21925" t="s">
        <v>264</v>
      </c>
      <c r="F21925">
        <v>13.48</v>
      </c>
      <c r="G21925">
        <v>231004</v>
      </c>
      <c r="H21925">
        <v>4362</v>
      </c>
      <c r="I21925" t="s">
        <v>79</v>
      </c>
      <c r="J21925">
        <v>16.71</v>
      </c>
      <c r="K21925">
        <v>3.23</v>
      </c>
      <c r="L21925">
        <v>49704</v>
      </c>
      <c r="M21925" t="s">
        <v>1065</v>
      </c>
      <c r="N21925" t="str">
        <f>"12340023760 "</f>
        <v xml:space="preserve">12340023760 </v>
      </c>
      <c r="O21925">
        <v>231016</v>
      </c>
    </row>
    <row r="21926" spans="1:15" x14ac:dyDescent="0.25">
      <c r="A21926" t="s">
        <v>16</v>
      </c>
      <c r="B21926" t="s">
        <v>3221</v>
      </c>
      <c r="C21926">
        <v>13904</v>
      </c>
      <c r="D21926" t="s">
        <v>263</v>
      </c>
      <c r="E21926" t="s">
        <v>264</v>
      </c>
      <c r="F21926">
        <v>21.6</v>
      </c>
      <c r="G21926">
        <v>231004</v>
      </c>
      <c r="H21926">
        <v>4362</v>
      </c>
      <c r="I21926" t="s">
        <v>79</v>
      </c>
      <c r="J21926">
        <v>26.79</v>
      </c>
      <c r="K21926">
        <v>5.19</v>
      </c>
      <c r="L21926">
        <v>49705</v>
      </c>
      <c r="M21926" t="s">
        <v>575</v>
      </c>
      <c r="N21926" t="str">
        <f>"12340023760 "</f>
        <v xml:space="preserve">12340023760 </v>
      </c>
      <c r="O21926">
        <v>231016</v>
      </c>
    </row>
    <row r="21927" spans="1:15" x14ac:dyDescent="0.25">
      <c r="A21927" t="s">
        <v>16</v>
      </c>
      <c r="B21927" t="s">
        <v>3221</v>
      </c>
      <c r="C21927">
        <v>13905</v>
      </c>
      <c r="D21927" t="s">
        <v>263</v>
      </c>
      <c r="E21927" t="s">
        <v>264</v>
      </c>
      <c r="F21927">
        <v>2.97</v>
      </c>
      <c r="G21927">
        <v>231004</v>
      </c>
      <c r="H21927">
        <v>4362</v>
      </c>
      <c r="I21927" t="s">
        <v>79</v>
      </c>
      <c r="J21927">
        <v>3.68</v>
      </c>
      <c r="K21927">
        <v>0.71</v>
      </c>
      <c r="L21927">
        <v>51138</v>
      </c>
      <c r="M21927" t="s">
        <v>1162</v>
      </c>
      <c r="N21927" t="str">
        <f t="shared" ref="N21927:N21934" si="391">"12340023752 "</f>
        <v xml:space="preserve">12340023752 </v>
      </c>
      <c r="O21927">
        <v>231016</v>
      </c>
    </row>
    <row r="21928" spans="1:15" x14ac:dyDescent="0.25">
      <c r="A21928" t="s">
        <v>16</v>
      </c>
      <c r="B21928" t="s">
        <v>3221</v>
      </c>
      <c r="C21928">
        <v>13905</v>
      </c>
      <c r="D21928" t="s">
        <v>263</v>
      </c>
      <c r="E21928" t="s">
        <v>264</v>
      </c>
      <c r="F21928">
        <v>19.010000000000002</v>
      </c>
      <c r="G21928">
        <v>231004</v>
      </c>
      <c r="H21928">
        <v>4362</v>
      </c>
      <c r="I21928" t="s">
        <v>79</v>
      </c>
      <c r="J21928">
        <v>23.57</v>
      </c>
      <c r="K21928">
        <v>4.5599999999999996</v>
      </c>
      <c r="L21928">
        <v>54222</v>
      </c>
      <c r="M21928" t="s">
        <v>308</v>
      </c>
      <c r="N21928" t="str">
        <f t="shared" si="391"/>
        <v xml:space="preserve">12340023752 </v>
      </c>
      <c r="O21928">
        <v>231016</v>
      </c>
    </row>
    <row r="21929" spans="1:15" x14ac:dyDescent="0.25">
      <c r="A21929" t="s">
        <v>16</v>
      </c>
      <c r="B21929" t="s">
        <v>3221</v>
      </c>
      <c r="C21929">
        <v>13905</v>
      </c>
      <c r="D21929" t="s">
        <v>263</v>
      </c>
      <c r="E21929" t="s">
        <v>264</v>
      </c>
      <c r="F21929">
        <v>2.7</v>
      </c>
      <c r="G21929">
        <v>231004</v>
      </c>
      <c r="H21929">
        <v>4362</v>
      </c>
      <c r="I21929" t="s">
        <v>79</v>
      </c>
      <c r="J21929">
        <v>3.35</v>
      </c>
      <c r="K21929">
        <v>0.65</v>
      </c>
      <c r="L21929">
        <v>54251</v>
      </c>
      <c r="M21929" t="s">
        <v>309</v>
      </c>
      <c r="N21929" t="str">
        <f t="shared" si="391"/>
        <v xml:space="preserve">12340023752 </v>
      </c>
      <c r="O21929">
        <v>231016</v>
      </c>
    </row>
    <row r="21930" spans="1:15" x14ac:dyDescent="0.25">
      <c r="A21930" t="s">
        <v>16</v>
      </c>
      <c r="B21930" t="s">
        <v>3221</v>
      </c>
      <c r="C21930">
        <v>13905</v>
      </c>
      <c r="D21930" t="s">
        <v>263</v>
      </c>
      <c r="E21930" t="s">
        <v>264</v>
      </c>
      <c r="F21930">
        <v>2.7</v>
      </c>
      <c r="G21930">
        <v>231004</v>
      </c>
      <c r="H21930">
        <v>4362</v>
      </c>
      <c r="I21930" t="s">
        <v>79</v>
      </c>
      <c r="J21930">
        <v>3.35</v>
      </c>
      <c r="K21930">
        <v>0.65</v>
      </c>
      <c r="L21930">
        <v>54252</v>
      </c>
      <c r="M21930" t="s">
        <v>534</v>
      </c>
      <c r="N21930" t="str">
        <f t="shared" si="391"/>
        <v xml:space="preserve">12340023752 </v>
      </c>
      <c r="O21930">
        <v>231016</v>
      </c>
    </row>
    <row r="21931" spans="1:15" x14ac:dyDescent="0.25">
      <c r="A21931" t="s">
        <v>16</v>
      </c>
      <c r="B21931" t="s">
        <v>3221</v>
      </c>
      <c r="C21931">
        <v>13905</v>
      </c>
      <c r="D21931" t="s">
        <v>263</v>
      </c>
      <c r="E21931" t="s">
        <v>264</v>
      </c>
      <c r="F21931">
        <v>7.11</v>
      </c>
      <c r="G21931">
        <v>231004</v>
      </c>
      <c r="H21931">
        <v>4362</v>
      </c>
      <c r="I21931" t="s">
        <v>79</v>
      </c>
      <c r="J21931">
        <v>8.82</v>
      </c>
      <c r="K21931">
        <v>1.71</v>
      </c>
      <c r="L21931">
        <v>54422</v>
      </c>
      <c r="M21931" t="s">
        <v>234</v>
      </c>
      <c r="N21931" t="str">
        <f t="shared" si="391"/>
        <v xml:space="preserve">12340023752 </v>
      </c>
      <c r="O21931">
        <v>231016</v>
      </c>
    </row>
    <row r="21932" spans="1:15" x14ac:dyDescent="0.25">
      <c r="A21932" t="s">
        <v>16</v>
      </c>
      <c r="B21932" t="s">
        <v>3221</v>
      </c>
      <c r="C21932">
        <v>13905</v>
      </c>
      <c r="D21932" t="s">
        <v>263</v>
      </c>
      <c r="E21932" t="s">
        <v>264</v>
      </c>
      <c r="F21932">
        <v>5.4</v>
      </c>
      <c r="G21932">
        <v>231004</v>
      </c>
      <c r="H21932">
        <v>4362</v>
      </c>
      <c r="I21932" t="s">
        <v>79</v>
      </c>
      <c r="J21932">
        <v>6.7</v>
      </c>
      <c r="K21932">
        <v>1.3</v>
      </c>
      <c r="L21932">
        <v>54451</v>
      </c>
      <c r="M21932" t="s">
        <v>158</v>
      </c>
      <c r="N21932" t="str">
        <f t="shared" si="391"/>
        <v xml:space="preserve">12340023752 </v>
      </c>
      <c r="O21932">
        <v>231016</v>
      </c>
    </row>
    <row r="21933" spans="1:15" x14ac:dyDescent="0.25">
      <c r="A21933" t="s">
        <v>16</v>
      </c>
      <c r="B21933" t="s">
        <v>3221</v>
      </c>
      <c r="C21933">
        <v>13905</v>
      </c>
      <c r="D21933" t="s">
        <v>263</v>
      </c>
      <c r="E21933" t="s">
        <v>264</v>
      </c>
      <c r="F21933">
        <v>5.4</v>
      </c>
      <c r="G21933">
        <v>231004</v>
      </c>
      <c r="H21933">
        <v>4362</v>
      </c>
      <c r="I21933" t="s">
        <v>79</v>
      </c>
      <c r="J21933">
        <v>6.7</v>
      </c>
      <c r="K21933">
        <v>1.3</v>
      </c>
      <c r="L21933">
        <v>56563</v>
      </c>
      <c r="M21933" t="s">
        <v>953</v>
      </c>
      <c r="N21933" t="str">
        <f t="shared" si="391"/>
        <v xml:space="preserve">12340023752 </v>
      </c>
      <c r="O21933">
        <v>231016</v>
      </c>
    </row>
    <row r="21934" spans="1:15" x14ac:dyDescent="0.25">
      <c r="A21934" t="s">
        <v>16</v>
      </c>
      <c r="B21934" t="s">
        <v>3221</v>
      </c>
      <c r="C21934">
        <v>13905</v>
      </c>
      <c r="D21934" t="s">
        <v>263</v>
      </c>
      <c r="E21934" t="s">
        <v>264</v>
      </c>
      <c r="F21934">
        <v>18.59</v>
      </c>
      <c r="G21934">
        <v>231004</v>
      </c>
      <c r="H21934">
        <v>4362</v>
      </c>
      <c r="I21934" t="s">
        <v>79</v>
      </c>
      <c r="J21934">
        <v>23.05</v>
      </c>
      <c r="K21934">
        <v>4.46</v>
      </c>
      <c r="L21934">
        <v>58601</v>
      </c>
      <c r="M21934" t="s">
        <v>251</v>
      </c>
      <c r="N21934" t="str">
        <f t="shared" si="391"/>
        <v xml:space="preserve">12340023752 </v>
      </c>
      <c r="O21934">
        <v>231016</v>
      </c>
    </row>
    <row r="21935" spans="1:15" x14ac:dyDescent="0.25">
      <c r="A21935" t="s">
        <v>16</v>
      </c>
      <c r="B21935" t="s">
        <v>3221</v>
      </c>
      <c r="C21935">
        <v>13912</v>
      </c>
      <c r="D21935" t="s">
        <v>263</v>
      </c>
      <c r="E21935" t="s">
        <v>264</v>
      </c>
      <c r="F21935">
        <v>33.29</v>
      </c>
      <c r="G21935">
        <v>231004</v>
      </c>
      <c r="H21935">
        <v>4362</v>
      </c>
      <c r="I21935" t="s">
        <v>79</v>
      </c>
      <c r="J21935">
        <v>41.28</v>
      </c>
      <c r="K21935">
        <v>7.99</v>
      </c>
      <c r="L21935">
        <v>41126</v>
      </c>
      <c r="M21935" t="s">
        <v>761</v>
      </c>
      <c r="N21935" t="str">
        <f>"12340023756 "</f>
        <v xml:space="preserve">12340023756 </v>
      </c>
      <c r="O21935">
        <v>231016</v>
      </c>
    </row>
    <row r="21936" spans="1:15" x14ac:dyDescent="0.25">
      <c r="A21936" t="s">
        <v>16</v>
      </c>
      <c r="B21936" t="s">
        <v>3221</v>
      </c>
      <c r="C21936">
        <v>13912</v>
      </c>
      <c r="D21936" t="s">
        <v>263</v>
      </c>
      <c r="E21936" t="s">
        <v>264</v>
      </c>
      <c r="F21936">
        <v>10.8</v>
      </c>
      <c r="G21936">
        <v>231004</v>
      </c>
      <c r="H21936">
        <v>4362</v>
      </c>
      <c r="I21936" t="s">
        <v>79</v>
      </c>
      <c r="J21936">
        <v>13.39</v>
      </c>
      <c r="K21936">
        <v>2.59</v>
      </c>
      <c r="L21936">
        <v>46222</v>
      </c>
      <c r="M21936" t="s">
        <v>293</v>
      </c>
      <c r="N21936" t="str">
        <f>"12340023756 "</f>
        <v xml:space="preserve">12340023756 </v>
      </c>
      <c r="O21936">
        <v>231016</v>
      </c>
    </row>
    <row r="21937" spans="1:15" x14ac:dyDescent="0.25">
      <c r="A21937" t="s">
        <v>16</v>
      </c>
      <c r="B21937" t="s">
        <v>3221</v>
      </c>
      <c r="C21937">
        <v>13913</v>
      </c>
      <c r="D21937" t="s">
        <v>263</v>
      </c>
      <c r="E21937" t="s">
        <v>264</v>
      </c>
      <c r="F21937">
        <v>5.87</v>
      </c>
      <c r="G21937">
        <v>231004</v>
      </c>
      <c r="H21937">
        <v>4362</v>
      </c>
      <c r="I21937" t="s">
        <v>79</v>
      </c>
      <c r="J21937">
        <v>7.28</v>
      </c>
      <c r="K21937">
        <v>1.41</v>
      </c>
      <c r="L21937">
        <v>46557</v>
      </c>
      <c r="M21937" t="s">
        <v>221</v>
      </c>
      <c r="N21937" t="str">
        <f>"12340023780 "</f>
        <v xml:space="preserve">12340023780 </v>
      </c>
      <c r="O21937">
        <v>231016</v>
      </c>
    </row>
    <row r="21938" spans="1:15" x14ac:dyDescent="0.25">
      <c r="A21938" t="s">
        <v>16</v>
      </c>
      <c r="B21938" t="s">
        <v>3221</v>
      </c>
      <c r="C21938">
        <v>13924</v>
      </c>
      <c r="D21938" t="s">
        <v>263</v>
      </c>
      <c r="E21938" t="s">
        <v>264</v>
      </c>
      <c r="F21938">
        <v>25.54</v>
      </c>
      <c r="G21938">
        <v>231004</v>
      </c>
      <c r="H21938">
        <v>4362</v>
      </c>
      <c r="I21938" t="s">
        <v>79</v>
      </c>
      <c r="J21938">
        <v>31.67</v>
      </c>
      <c r="K21938">
        <v>6.13</v>
      </c>
      <c r="L21938">
        <v>11101</v>
      </c>
      <c r="M21938" t="s">
        <v>110</v>
      </c>
      <c r="N21938" t="str">
        <f>"12340023779 "</f>
        <v xml:space="preserve">12340023779 </v>
      </c>
      <c r="O21938">
        <v>231016</v>
      </c>
    </row>
    <row r="21939" spans="1:15" x14ac:dyDescent="0.25">
      <c r="A21939" t="s">
        <v>16</v>
      </c>
      <c r="B21939" t="s">
        <v>3221</v>
      </c>
      <c r="C21939">
        <v>13924</v>
      </c>
      <c r="D21939" t="s">
        <v>263</v>
      </c>
      <c r="E21939" t="s">
        <v>264</v>
      </c>
      <c r="F21939">
        <v>2.7</v>
      </c>
      <c r="G21939">
        <v>231004</v>
      </c>
      <c r="H21939">
        <v>4362</v>
      </c>
      <c r="I21939" t="s">
        <v>79</v>
      </c>
      <c r="J21939">
        <v>3.35</v>
      </c>
      <c r="K21939">
        <v>0.65</v>
      </c>
      <c r="L21939">
        <v>11201</v>
      </c>
      <c r="M21939" t="s">
        <v>305</v>
      </c>
      <c r="N21939" t="str">
        <f>"12340023779 "</f>
        <v xml:space="preserve">12340023779 </v>
      </c>
      <c r="O21939">
        <v>231016</v>
      </c>
    </row>
    <row r="21940" spans="1:15" x14ac:dyDescent="0.25">
      <c r="A21940" t="s">
        <v>16</v>
      </c>
      <c r="B21940" t="s">
        <v>3221</v>
      </c>
      <c r="C21940">
        <v>13926</v>
      </c>
      <c r="D21940" t="s">
        <v>263</v>
      </c>
      <c r="E21940" t="s">
        <v>264</v>
      </c>
      <c r="F21940">
        <v>24.15</v>
      </c>
      <c r="G21940">
        <v>231004</v>
      </c>
      <c r="H21940">
        <v>4362</v>
      </c>
      <c r="I21940" t="s">
        <v>79</v>
      </c>
      <c r="J21940">
        <v>29.95</v>
      </c>
      <c r="K21940">
        <v>5.8</v>
      </c>
      <c r="L21940">
        <v>13601</v>
      </c>
      <c r="M21940" t="s">
        <v>147</v>
      </c>
      <c r="N21940" t="str">
        <f>"12340023774 "</f>
        <v xml:space="preserve">12340023774 </v>
      </c>
      <c r="O21940">
        <v>231016</v>
      </c>
    </row>
    <row r="21941" spans="1:15" x14ac:dyDescent="0.25">
      <c r="A21941" t="s">
        <v>16</v>
      </c>
      <c r="B21941" t="s">
        <v>3221</v>
      </c>
      <c r="C21941">
        <v>13942</v>
      </c>
      <c r="D21941" t="s">
        <v>263</v>
      </c>
      <c r="E21941" t="s">
        <v>264</v>
      </c>
      <c r="F21941">
        <v>6.83</v>
      </c>
      <c r="G21941">
        <v>231004</v>
      </c>
      <c r="H21941">
        <v>4362</v>
      </c>
      <c r="I21941" t="s">
        <v>79</v>
      </c>
      <c r="J21941">
        <v>8.4700000000000006</v>
      </c>
      <c r="K21941">
        <v>1.64</v>
      </c>
      <c r="L21941">
        <v>14972</v>
      </c>
      <c r="M21941" t="s">
        <v>898</v>
      </c>
      <c r="N21941" t="str">
        <f t="shared" ref="N21941:N21948" si="392">"12340023747 "</f>
        <v xml:space="preserve">12340023747 </v>
      </c>
      <c r="O21941">
        <v>231017</v>
      </c>
    </row>
    <row r="21942" spans="1:15" x14ac:dyDescent="0.25">
      <c r="A21942" t="s">
        <v>16</v>
      </c>
      <c r="B21942" t="s">
        <v>3221</v>
      </c>
      <c r="C21942">
        <v>13942</v>
      </c>
      <c r="D21942" t="s">
        <v>263</v>
      </c>
      <c r="E21942" t="s">
        <v>264</v>
      </c>
      <c r="F21942">
        <v>5.25</v>
      </c>
      <c r="G21942">
        <v>231004</v>
      </c>
      <c r="H21942">
        <v>4362</v>
      </c>
      <c r="I21942" t="s">
        <v>79</v>
      </c>
      <c r="J21942">
        <v>6.51</v>
      </c>
      <c r="K21942">
        <v>1.26</v>
      </c>
      <c r="L21942">
        <v>17972</v>
      </c>
      <c r="M21942" t="s">
        <v>248</v>
      </c>
      <c r="N21942" t="str">
        <f t="shared" si="392"/>
        <v xml:space="preserve">12340023747 </v>
      </c>
      <c r="O21942">
        <v>231017</v>
      </c>
    </row>
    <row r="21943" spans="1:15" x14ac:dyDescent="0.25">
      <c r="A21943" t="s">
        <v>16</v>
      </c>
      <c r="B21943" t="s">
        <v>3221</v>
      </c>
      <c r="C21943">
        <v>13942</v>
      </c>
      <c r="D21943" t="s">
        <v>263</v>
      </c>
      <c r="E21943" t="s">
        <v>264</v>
      </c>
      <c r="F21943">
        <v>20.59</v>
      </c>
      <c r="G21943">
        <v>231004</v>
      </c>
      <c r="H21943">
        <v>4362</v>
      </c>
      <c r="I21943" t="s">
        <v>79</v>
      </c>
      <c r="J21943">
        <v>25.53</v>
      </c>
      <c r="K21943">
        <v>4.9400000000000004</v>
      </c>
      <c r="L21943">
        <v>18010</v>
      </c>
      <c r="M21943" t="s">
        <v>1344</v>
      </c>
      <c r="N21943" t="str">
        <f t="shared" si="392"/>
        <v xml:space="preserve">12340023747 </v>
      </c>
      <c r="O21943">
        <v>231017</v>
      </c>
    </row>
    <row r="21944" spans="1:15" x14ac:dyDescent="0.25">
      <c r="A21944" t="s">
        <v>16</v>
      </c>
      <c r="B21944" t="s">
        <v>3221</v>
      </c>
      <c r="C21944">
        <v>13942</v>
      </c>
      <c r="D21944" t="s">
        <v>263</v>
      </c>
      <c r="E21944" t="s">
        <v>264</v>
      </c>
      <c r="F21944">
        <v>2.69</v>
      </c>
      <c r="G21944">
        <v>231004</v>
      </c>
      <c r="H21944">
        <v>4362</v>
      </c>
      <c r="I21944" t="s">
        <v>79</v>
      </c>
      <c r="J21944">
        <v>3.34</v>
      </c>
      <c r="K21944">
        <v>0.65</v>
      </c>
      <c r="L21944">
        <v>18120</v>
      </c>
      <c r="M21944" t="s">
        <v>329</v>
      </c>
      <c r="N21944" t="str">
        <f t="shared" si="392"/>
        <v xml:space="preserve">12340023747 </v>
      </c>
      <c r="O21944">
        <v>231017</v>
      </c>
    </row>
    <row r="21945" spans="1:15" x14ac:dyDescent="0.25">
      <c r="A21945" t="s">
        <v>16</v>
      </c>
      <c r="B21945" t="s">
        <v>3221</v>
      </c>
      <c r="C21945">
        <v>13942</v>
      </c>
      <c r="D21945" t="s">
        <v>263</v>
      </c>
      <c r="E21945" t="s">
        <v>264</v>
      </c>
      <c r="F21945">
        <v>5.0999999999999996</v>
      </c>
      <c r="G21945">
        <v>231004</v>
      </c>
      <c r="H21945">
        <v>4362</v>
      </c>
      <c r="I21945" t="s">
        <v>79</v>
      </c>
      <c r="J21945">
        <v>6.32</v>
      </c>
      <c r="K21945">
        <v>1.22</v>
      </c>
      <c r="L21945">
        <v>18971</v>
      </c>
      <c r="M21945" t="s">
        <v>63</v>
      </c>
      <c r="N21945" t="str">
        <f t="shared" si="392"/>
        <v xml:space="preserve">12340023747 </v>
      </c>
      <c r="O21945">
        <v>231017</v>
      </c>
    </row>
    <row r="21946" spans="1:15" x14ac:dyDescent="0.25">
      <c r="A21946" t="s">
        <v>16</v>
      </c>
      <c r="B21946" t="s">
        <v>3221</v>
      </c>
      <c r="C21946">
        <v>13942</v>
      </c>
      <c r="D21946" t="s">
        <v>263</v>
      </c>
      <c r="E21946" t="s">
        <v>264</v>
      </c>
      <c r="F21946">
        <v>42.68</v>
      </c>
      <c r="G21946">
        <v>231004</v>
      </c>
      <c r="H21946">
        <v>4362</v>
      </c>
      <c r="I21946" t="s">
        <v>79</v>
      </c>
      <c r="J21946">
        <v>52.92</v>
      </c>
      <c r="K21946">
        <v>10.24</v>
      </c>
      <c r="L21946">
        <v>18972</v>
      </c>
      <c r="M21946" t="s">
        <v>163</v>
      </c>
      <c r="N21946" t="str">
        <f t="shared" si="392"/>
        <v xml:space="preserve">12340023747 </v>
      </c>
      <c r="O21946">
        <v>231017</v>
      </c>
    </row>
    <row r="21947" spans="1:15" x14ac:dyDescent="0.25">
      <c r="A21947" t="s">
        <v>16</v>
      </c>
      <c r="B21947" t="s">
        <v>3221</v>
      </c>
      <c r="C21947">
        <v>13942</v>
      </c>
      <c r="D21947" t="s">
        <v>263</v>
      </c>
      <c r="E21947" t="s">
        <v>264</v>
      </c>
      <c r="F21947">
        <v>2.85</v>
      </c>
      <c r="G21947">
        <v>231004</v>
      </c>
      <c r="H21947">
        <v>4362</v>
      </c>
      <c r="I21947" t="s">
        <v>79</v>
      </c>
      <c r="J21947">
        <v>3.53</v>
      </c>
      <c r="K21947">
        <v>0.68</v>
      </c>
      <c r="L21947">
        <v>49702</v>
      </c>
      <c r="M21947" t="s">
        <v>584</v>
      </c>
      <c r="N21947" t="str">
        <f t="shared" si="392"/>
        <v xml:space="preserve">12340023747 </v>
      </c>
      <c r="O21947">
        <v>231017</v>
      </c>
    </row>
    <row r="21948" spans="1:15" x14ac:dyDescent="0.25">
      <c r="A21948" t="s">
        <v>16</v>
      </c>
      <c r="B21948" t="s">
        <v>3221</v>
      </c>
      <c r="C21948">
        <v>13942</v>
      </c>
      <c r="D21948" t="s">
        <v>263</v>
      </c>
      <c r="E21948" t="s">
        <v>264</v>
      </c>
      <c r="F21948">
        <v>5.25</v>
      </c>
      <c r="G21948">
        <v>231004</v>
      </c>
      <c r="H21948">
        <v>4362</v>
      </c>
      <c r="I21948" t="s">
        <v>79</v>
      </c>
      <c r="J21948">
        <v>6.51</v>
      </c>
      <c r="K21948">
        <v>1.26</v>
      </c>
      <c r="L21948">
        <v>59702</v>
      </c>
      <c r="M21948" t="s">
        <v>328</v>
      </c>
      <c r="N21948" t="str">
        <f t="shared" si="392"/>
        <v xml:space="preserve">12340023747 </v>
      </c>
      <c r="O21948">
        <v>231017</v>
      </c>
    </row>
    <row r="21949" spans="1:15" x14ac:dyDescent="0.25">
      <c r="A21949" t="s">
        <v>16</v>
      </c>
      <c r="B21949" t="s">
        <v>3221</v>
      </c>
      <c r="C21949">
        <v>13947</v>
      </c>
      <c r="D21949" t="s">
        <v>263</v>
      </c>
      <c r="E21949" t="s">
        <v>264</v>
      </c>
      <c r="F21949">
        <v>3.29</v>
      </c>
      <c r="G21949">
        <v>231004</v>
      </c>
      <c r="H21949">
        <v>4362</v>
      </c>
      <c r="I21949" t="s">
        <v>79</v>
      </c>
      <c r="J21949">
        <v>4.08</v>
      </c>
      <c r="K21949">
        <v>0.79</v>
      </c>
      <c r="L21949">
        <v>11900</v>
      </c>
      <c r="M21949" t="s">
        <v>1105</v>
      </c>
      <c r="N21949" t="str">
        <f>"12340023766 "</f>
        <v xml:space="preserve">12340023766 </v>
      </c>
      <c r="O21949">
        <v>231017</v>
      </c>
    </row>
    <row r="21950" spans="1:15" x14ac:dyDescent="0.25">
      <c r="A21950" t="s">
        <v>16</v>
      </c>
      <c r="B21950" t="s">
        <v>3221</v>
      </c>
      <c r="C21950">
        <v>13948</v>
      </c>
      <c r="D21950" t="s">
        <v>263</v>
      </c>
      <c r="E21950" t="s">
        <v>264</v>
      </c>
      <c r="F21950">
        <v>33.4</v>
      </c>
      <c r="G21950">
        <v>231004</v>
      </c>
      <c r="H21950">
        <v>4362</v>
      </c>
      <c r="I21950" t="s">
        <v>79</v>
      </c>
      <c r="J21950">
        <v>41.42</v>
      </c>
      <c r="K21950">
        <v>8.02</v>
      </c>
      <c r="L21950">
        <v>61122</v>
      </c>
      <c r="M21950" t="s">
        <v>402</v>
      </c>
      <c r="N21950" t="str">
        <f t="shared" ref="N21950:N21976" si="393">"12340023751 "</f>
        <v xml:space="preserve">12340023751 </v>
      </c>
      <c r="O21950">
        <v>231017</v>
      </c>
    </row>
    <row r="21951" spans="1:15" x14ac:dyDescent="0.25">
      <c r="A21951" t="s">
        <v>16</v>
      </c>
      <c r="B21951" t="s">
        <v>3221</v>
      </c>
      <c r="C21951">
        <v>13948</v>
      </c>
      <c r="D21951" t="s">
        <v>263</v>
      </c>
      <c r="E21951" t="s">
        <v>264</v>
      </c>
      <c r="F21951">
        <v>2.7</v>
      </c>
      <c r="G21951">
        <v>231004</v>
      </c>
      <c r="H21951">
        <v>4362</v>
      </c>
      <c r="I21951" t="s">
        <v>79</v>
      </c>
      <c r="J21951">
        <v>3.35</v>
      </c>
      <c r="K21951">
        <v>0.65</v>
      </c>
      <c r="L21951">
        <v>61122</v>
      </c>
      <c r="M21951" t="s">
        <v>402</v>
      </c>
      <c r="N21951" t="str">
        <f t="shared" si="393"/>
        <v xml:space="preserve">12340023751 </v>
      </c>
      <c r="O21951">
        <v>231017</v>
      </c>
    </row>
    <row r="21952" spans="1:15" x14ac:dyDescent="0.25">
      <c r="A21952" t="s">
        <v>16</v>
      </c>
      <c r="B21952" t="s">
        <v>3221</v>
      </c>
      <c r="C21952">
        <v>13948</v>
      </c>
      <c r="D21952" t="s">
        <v>263</v>
      </c>
      <c r="E21952" t="s">
        <v>264</v>
      </c>
      <c r="F21952">
        <v>10.87</v>
      </c>
      <c r="G21952">
        <v>231004</v>
      </c>
      <c r="H21952">
        <v>4362</v>
      </c>
      <c r="I21952" t="s">
        <v>79</v>
      </c>
      <c r="J21952">
        <v>13.48</v>
      </c>
      <c r="K21952">
        <v>2.61</v>
      </c>
      <c r="L21952">
        <v>65222</v>
      </c>
      <c r="M21952" t="s">
        <v>487</v>
      </c>
      <c r="N21952" t="str">
        <f t="shared" si="393"/>
        <v xml:space="preserve">12340023751 </v>
      </c>
      <c r="O21952">
        <v>231017</v>
      </c>
    </row>
    <row r="21953" spans="1:15" x14ac:dyDescent="0.25">
      <c r="A21953" t="s">
        <v>16</v>
      </c>
      <c r="B21953" t="s">
        <v>3221</v>
      </c>
      <c r="C21953">
        <v>13948</v>
      </c>
      <c r="D21953" t="s">
        <v>263</v>
      </c>
      <c r="E21953" t="s">
        <v>264</v>
      </c>
      <c r="F21953">
        <v>2.9</v>
      </c>
      <c r="G21953">
        <v>231004</v>
      </c>
      <c r="H21953">
        <v>4362</v>
      </c>
      <c r="I21953" t="s">
        <v>79</v>
      </c>
      <c r="J21953">
        <v>3.6</v>
      </c>
      <c r="K21953">
        <v>0.7</v>
      </c>
      <c r="L21953">
        <v>65422</v>
      </c>
      <c r="M21953" t="s">
        <v>602</v>
      </c>
      <c r="N21953" t="str">
        <f t="shared" si="393"/>
        <v xml:space="preserve">12340023751 </v>
      </c>
      <c r="O21953">
        <v>231017</v>
      </c>
    </row>
    <row r="21954" spans="1:15" x14ac:dyDescent="0.25">
      <c r="A21954" t="s">
        <v>16</v>
      </c>
      <c r="B21954" t="s">
        <v>3221</v>
      </c>
      <c r="C21954">
        <v>13948</v>
      </c>
      <c r="D21954" t="s">
        <v>263</v>
      </c>
      <c r="E21954" t="s">
        <v>264</v>
      </c>
      <c r="F21954">
        <v>8.1</v>
      </c>
      <c r="G21954">
        <v>231004</v>
      </c>
      <c r="H21954">
        <v>4362</v>
      </c>
      <c r="I21954" t="s">
        <v>79</v>
      </c>
      <c r="J21954">
        <v>10.039999999999999</v>
      </c>
      <c r="K21954">
        <v>1.94</v>
      </c>
      <c r="L21954">
        <v>66722</v>
      </c>
      <c r="M21954" t="s">
        <v>518</v>
      </c>
      <c r="N21954" t="str">
        <f t="shared" si="393"/>
        <v xml:space="preserve">12340023751 </v>
      </c>
      <c r="O21954">
        <v>231017</v>
      </c>
    </row>
    <row r="21955" spans="1:15" x14ac:dyDescent="0.25">
      <c r="A21955" t="s">
        <v>16</v>
      </c>
      <c r="B21955" t="s">
        <v>3221</v>
      </c>
      <c r="C21955">
        <v>13948</v>
      </c>
      <c r="D21955" t="s">
        <v>263</v>
      </c>
      <c r="E21955" t="s">
        <v>264</v>
      </c>
      <c r="F21955">
        <v>2.44</v>
      </c>
      <c r="G21955">
        <v>231004</v>
      </c>
      <c r="H21955">
        <v>4362</v>
      </c>
      <c r="I21955" t="s">
        <v>79</v>
      </c>
      <c r="J21955">
        <v>3.02</v>
      </c>
      <c r="K21955">
        <v>0.57999999999999996</v>
      </c>
      <c r="L21955">
        <v>66754</v>
      </c>
      <c r="M21955" t="s">
        <v>239</v>
      </c>
      <c r="N21955" t="str">
        <f t="shared" si="393"/>
        <v xml:space="preserve">12340023751 </v>
      </c>
      <c r="O21955">
        <v>231017</v>
      </c>
    </row>
    <row r="21956" spans="1:15" x14ac:dyDescent="0.25">
      <c r="A21956" t="s">
        <v>16</v>
      </c>
      <c r="B21956" t="s">
        <v>3221</v>
      </c>
      <c r="C21956">
        <v>13948</v>
      </c>
      <c r="D21956" t="s">
        <v>263</v>
      </c>
      <c r="E21956" t="s">
        <v>264</v>
      </c>
      <c r="F21956">
        <v>2.9</v>
      </c>
      <c r="G21956">
        <v>231004</v>
      </c>
      <c r="H21956">
        <v>4362</v>
      </c>
      <c r="I21956" t="s">
        <v>79</v>
      </c>
      <c r="J21956">
        <v>3.6</v>
      </c>
      <c r="K21956">
        <v>0.7</v>
      </c>
      <c r="L21956">
        <v>66754</v>
      </c>
      <c r="M21956" t="s">
        <v>239</v>
      </c>
      <c r="N21956" t="str">
        <f t="shared" si="393"/>
        <v xml:space="preserve">12340023751 </v>
      </c>
      <c r="O21956">
        <v>231017</v>
      </c>
    </row>
    <row r="21957" spans="1:15" x14ac:dyDescent="0.25">
      <c r="A21957" t="s">
        <v>16</v>
      </c>
      <c r="B21957" t="s">
        <v>3221</v>
      </c>
      <c r="C21957">
        <v>13948</v>
      </c>
      <c r="D21957" t="s">
        <v>263</v>
      </c>
      <c r="E21957" t="s">
        <v>264</v>
      </c>
      <c r="F21957">
        <v>3.24</v>
      </c>
      <c r="G21957">
        <v>231004</v>
      </c>
      <c r="H21957">
        <v>4362</v>
      </c>
      <c r="I21957" t="s">
        <v>79</v>
      </c>
      <c r="J21957">
        <v>4.0199999999999996</v>
      </c>
      <c r="K21957">
        <v>0.78</v>
      </c>
      <c r="L21957">
        <v>66754</v>
      </c>
      <c r="M21957" t="s">
        <v>239</v>
      </c>
      <c r="N21957" t="str">
        <f t="shared" si="393"/>
        <v xml:space="preserve">12340023751 </v>
      </c>
      <c r="O21957">
        <v>231017</v>
      </c>
    </row>
    <row r="21958" spans="1:15" x14ac:dyDescent="0.25">
      <c r="A21958" t="s">
        <v>16</v>
      </c>
      <c r="B21958" t="s">
        <v>3221</v>
      </c>
      <c r="C21958">
        <v>13948</v>
      </c>
      <c r="D21958" t="s">
        <v>263</v>
      </c>
      <c r="E21958" t="s">
        <v>264</v>
      </c>
      <c r="F21958">
        <v>16.05</v>
      </c>
      <c r="G21958">
        <v>231004</v>
      </c>
      <c r="H21958">
        <v>4362</v>
      </c>
      <c r="I21958" t="s">
        <v>79</v>
      </c>
      <c r="J21958">
        <v>19.899999999999999</v>
      </c>
      <c r="K21958">
        <v>3.85</v>
      </c>
      <c r="L21958">
        <v>66754</v>
      </c>
      <c r="M21958" t="s">
        <v>239</v>
      </c>
      <c r="N21958" t="str">
        <f t="shared" si="393"/>
        <v xml:space="preserve">12340023751 </v>
      </c>
      <c r="O21958">
        <v>231017</v>
      </c>
    </row>
    <row r="21959" spans="1:15" x14ac:dyDescent="0.25">
      <c r="A21959" t="s">
        <v>16</v>
      </c>
      <c r="B21959" t="s">
        <v>3221</v>
      </c>
      <c r="C21959">
        <v>13948</v>
      </c>
      <c r="D21959" t="s">
        <v>263</v>
      </c>
      <c r="E21959" t="s">
        <v>264</v>
      </c>
      <c r="F21959">
        <v>8.17</v>
      </c>
      <c r="G21959">
        <v>231004</v>
      </c>
      <c r="H21959">
        <v>4362</v>
      </c>
      <c r="I21959" t="s">
        <v>79</v>
      </c>
      <c r="J21959">
        <v>10.130000000000001</v>
      </c>
      <c r="K21959">
        <v>1.96</v>
      </c>
      <c r="L21959">
        <v>66756</v>
      </c>
      <c r="M21959" t="s">
        <v>209</v>
      </c>
      <c r="N21959" t="str">
        <f t="shared" si="393"/>
        <v xml:space="preserve">12340023751 </v>
      </c>
      <c r="O21959">
        <v>231017</v>
      </c>
    </row>
    <row r="21960" spans="1:15" x14ac:dyDescent="0.25">
      <c r="A21960" t="s">
        <v>16</v>
      </c>
      <c r="B21960" t="s">
        <v>3221</v>
      </c>
      <c r="C21960">
        <v>13948</v>
      </c>
      <c r="D21960" t="s">
        <v>263</v>
      </c>
      <c r="E21960" t="s">
        <v>264</v>
      </c>
      <c r="F21960">
        <v>22.45</v>
      </c>
      <c r="G21960">
        <v>231004</v>
      </c>
      <c r="H21960">
        <v>4362</v>
      </c>
      <c r="I21960" t="s">
        <v>79</v>
      </c>
      <c r="J21960">
        <v>27.84</v>
      </c>
      <c r="K21960">
        <v>5.39</v>
      </c>
      <c r="L21960">
        <v>67522</v>
      </c>
      <c r="M21960" t="s">
        <v>397</v>
      </c>
      <c r="N21960" t="str">
        <f t="shared" si="393"/>
        <v xml:space="preserve">12340023751 </v>
      </c>
      <c r="O21960">
        <v>231017</v>
      </c>
    </row>
    <row r="21961" spans="1:15" x14ac:dyDescent="0.25">
      <c r="A21961" t="s">
        <v>16</v>
      </c>
      <c r="B21961" t="s">
        <v>3221</v>
      </c>
      <c r="C21961">
        <v>13948</v>
      </c>
      <c r="D21961" t="s">
        <v>263</v>
      </c>
      <c r="E21961" t="s">
        <v>264</v>
      </c>
      <c r="F21961">
        <v>19.829999999999998</v>
      </c>
      <c r="G21961">
        <v>231004</v>
      </c>
      <c r="H21961">
        <v>4362</v>
      </c>
      <c r="I21961" t="s">
        <v>79</v>
      </c>
      <c r="J21961">
        <v>24.59</v>
      </c>
      <c r="K21961">
        <v>4.76</v>
      </c>
      <c r="L21961">
        <v>67522</v>
      </c>
      <c r="M21961" t="s">
        <v>397</v>
      </c>
      <c r="N21961" t="str">
        <f t="shared" si="393"/>
        <v xml:space="preserve">12340023751 </v>
      </c>
      <c r="O21961">
        <v>231017</v>
      </c>
    </row>
    <row r="21962" spans="1:15" x14ac:dyDescent="0.25">
      <c r="A21962" t="s">
        <v>16</v>
      </c>
      <c r="B21962" t="s">
        <v>3221</v>
      </c>
      <c r="C21962">
        <v>13948</v>
      </c>
      <c r="D21962" t="s">
        <v>263</v>
      </c>
      <c r="E21962" t="s">
        <v>264</v>
      </c>
      <c r="F21962">
        <v>2.44</v>
      </c>
      <c r="G21962">
        <v>231004</v>
      </c>
      <c r="H21962">
        <v>4362</v>
      </c>
      <c r="I21962" t="s">
        <v>79</v>
      </c>
      <c r="J21962">
        <v>3.02</v>
      </c>
      <c r="K21962">
        <v>0.57999999999999996</v>
      </c>
      <c r="L21962">
        <v>67554</v>
      </c>
      <c r="M21962" t="s">
        <v>60</v>
      </c>
      <c r="N21962" t="str">
        <f t="shared" si="393"/>
        <v xml:space="preserve">12340023751 </v>
      </c>
      <c r="O21962">
        <v>231017</v>
      </c>
    </row>
    <row r="21963" spans="1:15" x14ac:dyDescent="0.25">
      <c r="A21963" t="s">
        <v>16</v>
      </c>
      <c r="B21963" t="s">
        <v>3221</v>
      </c>
      <c r="C21963">
        <v>13948</v>
      </c>
      <c r="D21963" t="s">
        <v>263</v>
      </c>
      <c r="E21963" t="s">
        <v>264</v>
      </c>
      <c r="F21963">
        <v>13.12</v>
      </c>
      <c r="G21963">
        <v>231004</v>
      </c>
      <c r="H21963">
        <v>4362</v>
      </c>
      <c r="I21963" t="s">
        <v>79</v>
      </c>
      <c r="J21963">
        <v>16.27</v>
      </c>
      <c r="K21963">
        <v>3.15</v>
      </c>
      <c r="L21963">
        <v>67554</v>
      </c>
      <c r="M21963" t="s">
        <v>60</v>
      </c>
      <c r="N21963" t="str">
        <f t="shared" si="393"/>
        <v xml:space="preserve">12340023751 </v>
      </c>
      <c r="O21963">
        <v>231017</v>
      </c>
    </row>
    <row r="21964" spans="1:15" x14ac:dyDescent="0.25">
      <c r="A21964" t="s">
        <v>16</v>
      </c>
      <c r="B21964" t="s">
        <v>3221</v>
      </c>
      <c r="C21964">
        <v>13948</v>
      </c>
      <c r="D21964" t="s">
        <v>263</v>
      </c>
      <c r="E21964" t="s">
        <v>264</v>
      </c>
      <c r="F21964">
        <v>51.25</v>
      </c>
      <c r="G21964">
        <v>231004</v>
      </c>
      <c r="H21964">
        <v>4362</v>
      </c>
      <c r="I21964" t="s">
        <v>79</v>
      </c>
      <c r="J21964">
        <v>63.55</v>
      </c>
      <c r="K21964">
        <v>12.3</v>
      </c>
      <c r="L21964">
        <v>67554</v>
      </c>
      <c r="M21964" t="s">
        <v>60</v>
      </c>
      <c r="N21964" t="str">
        <f t="shared" si="393"/>
        <v xml:space="preserve">12340023751 </v>
      </c>
      <c r="O21964">
        <v>231017</v>
      </c>
    </row>
    <row r="21965" spans="1:15" x14ac:dyDescent="0.25">
      <c r="A21965" t="s">
        <v>16</v>
      </c>
      <c r="B21965" t="s">
        <v>3221</v>
      </c>
      <c r="C21965">
        <v>13948</v>
      </c>
      <c r="D21965" t="s">
        <v>263</v>
      </c>
      <c r="E21965" t="s">
        <v>264</v>
      </c>
      <c r="F21965">
        <v>2.7</v>
      </c>
      <c r="G21965">
        <v>231004</v>
      </c>
      <c r="H21965">
        <v>4362</v>
      </c>
      <c r="I21965" t="s">
        <v>79</v>
      </c>
      <c r="J21965">
        <v>3.35</v>
      </c>
      <c r="K21965">
        <v>0.65</v>
      </c>
      <c r="L21965">
        <v>67554</v>
      </c>
      <c r="M21965" t="s">
        <v>60</v>
      </c>
      <c r="N21965" t="str">
        <f t="shared" si="393"/>
        <v xml:space="preserve">12340023751 </v>
      </c>
      <c r="O21965">
        <v>231017</v>
      </c>
    </row>
    <row r="21966" spans="1:15" x14ac:dyDescent="0.25">
      <c r="A21966" t="s">
        <v>16</v>
      </c>
      <c r="B21966" t="s">
        <v>3221</v>
      </c>
      <c r="C21966">
        <v>13948</v>
      </c>
      <c r="D21966" t="s">
        <v>263</v>
      </c>
      <c r="E21966" t="s">
        <v>264</v>
      </c>
      <c r="F21966">
        <v>8.3000000000000007</v>
      </c>
      <c r="G21966">
        <v>231004</v>
      </c>
      <c r="H21966">
        <v>4362</v>
      </c>
      <c r="I21966" t="s">
        <v>79</v>
      </c>
      <c r="J21966">
        <v>10.29</v>
      </c>
      <c r="K21966">
        <v>1.99</v>
      </c>
      <c r="L21966">
        <v>69111</v>
      </c>
      <c r="M21966" t="s">
        <v>471</v>
      </c>
      <c r="N21966" t="str">
        <f t="shared" si="393"/>
        <v xml:space="preserve">12340023751 </v>
      </c>
      <c r="O21966">
        <v>231017</v>
      </c>
    </row>
    <row r="21967" spans="1:15" x14ac:dyDescent="0.25">
      <c r="A21967" t="s">
        <v>16</v>
      </c>
      <c r="B21967" t="s">
        <v>3221</v>
      </c>
      <c r="C21967">
        <v>13948</v>
      </c>
      <c r="D21967" t="s">
        <v>263</v>
      </c>
      <c r="E21967" t="s">
        <v>264</v>
      </c>
      <c r="F21967">
        <v>2.7</v>
      </c>
      <c r="G21967">
        <v>231004</v>
      </c>
      <c r="H21967">
        <v>4362</v>
      </c>
      <c r="I21967" t="s">
        <v>79</v>
      </c>
      <c r="J21967">
        <v>3.35</v>
      </c>
      <c r="K21967">
        <v>0.65</v>
      </c>
      <c r="L21967">
        <v>69112</v>
      </c>
      <c r="M21967" t="s">
        <v>313</v>
      </c>
      <c r="N21967" t="str">
        <f t="shared" si="393"/>
        <v xml:space="preserve">12340023751 </v>
      </c>
      <c r="O21967">
        <v>231017</v>
      </c>
    </row>
    <row r="21968" spans="1:15" x14ac:dyDescent="0.25">
      <c r="A21968" t="s">
        <v>16</v>
      </c>
      <c r="B21968" t="s">
        <v>3221</v>
      </c>
      <c r="C21968">
        <v>13948</v>
      </c>
      <c r="D21968" t="s">
        <v>263</v>
      </c>
      <c r="E21968" t="s">
        <v>264</v>
      </c>
      <c r="F21968">
        <v>10.73</v>
      </c>
      <c r="G21968">
        <v>231004</v>
      </c>
      <c r="H21968">
        <v>4362</v>
      </c>
      <c r="I21968" t="s">
        <v>79</v>
      </c>
      <c r="J21968">
        <v>13.31</v>
      </c>
      <c r="K21968">
        <v>2.58</v>
      </c>
      <c r="L21968">
        <v>69113</v>
      </c>
      <c r="M21968" t="s">
        <v>282</v>
      </c>
      <c r="N21968" t="str">
        <f t="shared" si="393"/>
        <v xml:space="preserve">12340023751 </v>
      </c>
      <c r="O21968">
        <v>231017</v>
      </c>
    </row>
    <row r="21969" spans="1:15" x14ac:dyDescent="0.25">
      <c r="A21969" t="s">
        <v>16</v>
      </c>
      <c r="B21969" t="s">
        <v>3221</v>
      </c>
      <c r="C21969">
        <v>13948</v>
      </c>
      <c r="D21969" t="s">
        <v>263</v>
      </c>
      <c r="E21969" t="s">
        <v>264</v>
      </c>
      <c r="F21969">
        <v>29.6</v>
      </c>
      <c r="G21969">
        <v>231004</v>
      </c>
      <c r="H21969">
        <v>4362</v>
      </c>
      <c r="I21969" t="s">
        <v>79</v>
      </c>
      <c r="J21969">
        <v>36.700000000000003</v>
      </c>
      <c r="K21969">
        <v>7.1</v>
      </c>
      <c r="L21969">
        <v>69501</v>
      </c>
      <c r="M21969" t="s">
        <v>185</v>
      </c>
      <c r="N21969" t="str">
        <f t="shared" si="393"/>
        <v xml:space="preserve">12340023751 </v>
      </c>
      <c r="O21969">
        <v>231017</v>
      </c>
    </row>
    <row r="21970" spans="1:15" x14ac:dyDescent="0.25">
      <c r="A21970" t="s">
        <v>16</v>
      </c>
      <c r="B21970" t="s">
        <v>3221</v>
      </c>
      <c r="C21970">
        <v>13948</v>
      </c>
      <c r="D21970" t="s">
        <v>263</v>
      </c>
      <c r="E21970" t="s">
        <v>264</v>
      </c>
      <c r="F21970">
        <v>4.05</v>
      </c>
      <c r="G21970">
        <v>231004</v>
      </c>
      <c r="H21970">
        <v>4362</v>
      </c>
      <c r="I21970" t="s">
        <v>79</v>
      </c>
      <c r="J21970">
        <v>5.0199999999999996</v>
      </c>
      <c r="K21970">
        <v>0.97</v>
      </c>
      <c r="L21970">
        <v>69701</v>
      </c>
      <c r="M21970" t="s">
        <v>488</v>
      </c>
      <c r="N21970" t="str">
        <f t="shared" si="393"/>
        <v xml:space="preserve">12340023751 </v>
      </c>
      <c r="O21970">
        <v>231017</v>
      </c>
    </row>
    <row r="21971" spans="1:15" x14ac:dyDescent="0.25">
      <c r="A21971" t="s">
        <v>16</v>
      </c>
      <c r="B21971" t="s">
        <v>3221</v>
      </c>
      <c r="C21971">
        <v>13948</v>
      </c>
      <c r="D21971" t="s">
        <v>263</v>
      </c>
      <c r="E21971" t="s">
        <v>264</v>
      </c>
      <c r="F21971">
        <v>2.7</v>
      </c>
      <c r="G21971">
        <v>231004</v>
      </c>
      <c r="H21971">
        <v>4362</v>
      </c>
      <c r="I21971" t="s">
        <v>79</v>
      </c>
      <c r="J21971">
        <v>3.35</v>
      </c>
      <c r="K21971">
        <v>0.65</v>
      </c>
      <c r="L21971">
        <v>69702</v>
      </c>
      <c r="M21971" t="s">
        <v>489</v>
      </c>
      <c r="N21971" t="str">
        <f t="shared" si="393"/>
        <v xml:space="preserve">12340023751 </v>
      </c>
      <c r="O21971">
        <v>231017</v>
      </c>
    </row>
    <row r="21972" spans="1:15" x14ac:dyDescent="0.25">
      <c r="A21972" t="s">
        <v>16</v>
      </c>
      <c r="B21972" t="s">
        <v>3221</v>
      </c>
      <c r="C21972">
        <v>13948</v>
      </c>
      <c r="D21972" t="s">
        <v>263</v>
      </c>
      <c r="E21972" t="s">
        <v>264</v>
      </c>
      <c r="F21972">
        <v>5.24</v>
      </c>
      <c r="G21972">
        <v>231004</v>
      </c>
      <c r="H21972">
        <v>4362</v>
      </c>
      <c r="I21972" t="s">
        <v>79</v>
      </c>
      <c r="J21972">
        <v>6.5</v>
      </c>
      <c r="K21972">
        <v>1.26</v>
      </c>
      <c r="L21972">
        <v>69702</v>
      </c>
      <c r="M21972" t="s">
        <v>489</v>
      </c>
      <c r="N21972" t="str">
        <f t="shared" si="393"/>
        <v xml:space="preserve">12340023751 </v>
      </c>
      <c r="O21972">
        <v>231017</v>
      </c>
    </row>
    <row r="21973" spans="1:15" x14ac:dyDescent="0.25">
      <c r="A21973" t="s">
        <v>16</v>
      </c>
      <c r="B21973" t="s">
        <v>3221</v>
      </c>
      <c r="C21973">
        <v>13948</v>
      </c>
      <c r="D21973" t="s">
        <v>263</v>
      </c>
      <c r="E21973" t="s">
        <v>264</v>
      </c>
      <c r="F21973">
        <v>4.17</v>
      </c>
      <c r="G21973">
        <v>231004</v>
      </c>
      <c r="H21973">
        <v>4362</v>
      </c>
      <c r="I21973" t="s">
        <v>79</v>
      </c>
      <c r="J21973">
        <v>5.17</v>
      </c>
      <c r="K21973">
        <v>1</v>
      </c>
      <c r="L21973">
        <v>69703</v>
      </c>
      <c r="M21973" t="s">
        <v>1036</v>
      </c>
      <c r="N21973" t="str">
        <f t="shared" si="393"/>
        <v xml:space="preserve">12340023751 </v>
      </c>
      <c r="O21973">
        <v>231017</v>
      </c>
    </row>
    <row r="21974" spans="1:15" x14ac:dyDescent="0.25">
      <c r="A21974" t="s">
        <v>16</v>
      </c>
      <c r="B21974" t="s">
        <v>3221</v>
      </c>
      <c r="C21974">
        <v>13948</v>
      </c>
      <c r="D21974" t="s">
        <v>263</v>
      </c>
      <c r="E21974" t="s">
        <v>264</v>
      </c>
      <c r="F21974">
        <v>10.77</v>
      </c>
      <c r="G21974">
        <v>231004</v>
      </c>
      <c r="H21974">
        <v>4362</v>
      </c>
      <c r="I21974" t="s">
        <v>79</v>
      </c>
      <c r="J21974">
        <v>13.35</v>
      </c>
      <c r="K21974">
        <v>2.58</v>
      </c>
      <c r="L21974">
        <v>69704</v>
      </c>
      <c r="M21974" t="s">
        <v>325</v>
      </c>
      <c r="N21974" t="str">
        <f t="shared" si="393"/>
        <v xml:space="preserve">12340023751 </v>
      </c>
      <c r="O21974">
        <v>231017</v>
      </c>
    </row>
    <row r="21975" spans="1:15" x14ac:dyDescent="0.25">
      <c r="A21975" t="s">
        <v>16</v>
      </c>
      <c r="B21975" t="s">
        <v>3221</v>
      </c>
      <c r="C21975">
        <v>13948</v>
      </c>
      <c r="D21975" t="s">
        <v>263</v>
      </c>
      <c r="E21975" t="s">
        <v>264</v>
      </c>
      <c r="F21975">
        <v>8.1</v>
      </c>
      <c r="G21975">
        <v>231004</v>
      </c>
      <c r="H21975">
        <v>4362</v>
      </c>
      <c r="I21975" t="s">
        <v>79</v>
      </c>
      <c r="J21975">
        <v>10.039999999999999</v>
      </c>
      <c r="K21975">
        <v>1.94</v>
      </c>
      <c r="L21975">
        <v>69707</v>
      </c>
      <c r="M21975" t="s">
        <v>490</v>
      </c>
      <c r="N21975" t="str">
        <f t="shared" si="393"/>
        <v xml:space="preserve">12340023751 </v>
      </c>
      <c r="O21975">
        <v>231017</v>
      </c>
    </row>
    <row r="21976" spans="1:15" x14ac:dyDescent="0.25">
      <c r="A21976" t="s">
        <v>16</v>
      </c>
      <c r="B21976" t="s">
        <v>3221</v>
      </c>
      <c r="C21976">
        <v>13948</v>
      </c>
      <c r="D21976" t="s">
        <v>263</v>
      </c>
      <c r="E21976" t="s">
        <v>264</v>
      </c>
      <c r="F21976">
        <v>5.44</v>
      </c>
      <c r="G21976">
        <v>231004</v>
      </c>
      <c r="H21976">
        <v>4362</v>
      </c>
      <c r="I21976" t="s">
        <v>79</v>
      </c>
      <c r="J21976">
        <v>6.75</v>
      </c>
      <c r="K21976">
        <v>1.31</v>
      </c>
      <c r="L21976">
        <v>69708</v>
      </c>
      <c r="M21976" t="s">
        <v>491</v>
      </c>
      <c r="N21976" t="str">
        <f t="shared" si="393"/>
        <v xml:space="preserve">12340023751 </v>
      </c>
      <c r="O21976">
        <v>231017</v>
      </c>
    </row>
    <row r="21977" spans="1:15" x14ac:dyDescent="0.25">
      <c r="A21977" t="s">
        <v>16</v>
      </c>
      <c r="B21977" t="s">
        <v>3221</v>
      </c>
      <c r="C21977">
        <v>13949</v>
      </c>
      <c r="D21977" t="s">
        <v>263</v>
      </c>
      <c r="E21977" t="s">
        <v>264</v>
      </c>
      <c r="F21977">
        <v>45.9</v>
      </c>
      <c r="G21977">
        <v>231004</v>
      </c>
      <c r="H21977">
        <v>4362</v>
      </c>
      <c r="I21977" t="s">
        <v>79</v>
      </c>
      <c r="J21977">
        <v>56.92</v>
      </c>
      <c r="K21977">
        <v>11.02</v>
      </c>
      <c r="L21977">
        <v>10002</v>
      </c>
      <c r="M21977" t="s">
        <v>1066</v>
      </c>
      <c r="N21977" t="str">
        <f>"12340023788 "</f>
        <v xml:space="preserve">12340023788 </v>
      </c>
      <c r="O21977">
        <v>231017</v>
      </c>
    </row>
    <row r="21978" spans="1:15" x14ac:dyDescent="0.25">
      <c r="A21978" t="s">
        <v>16</v>
      </c>
      <c r="B21978" t="s">
        <v>3221</v>
      </c>
      <c r="C21978">
        <v>14040</v>
      </c>
      <c r="D21978" t="s">
        <v>263</v>
      </c>
      <c r="E21978" t="s">
        <v>264</v>
      </c>
      <c r="F21978">
        <v>5.4</v>
      </c>
      <c r="G21978">
        <v>231004</v>
      </c>
      <c r="H21978">
        <v>4362</v>
      </c>
      <c r="I21978" t="s">
        <v>79</v>
      </c>
      <c r="J21978">
        <v>6.7</v>
      </c>
      <c r="K21978">
        <v>1.3</v>
      </c>
      <c r="L21978">
        <v>43222</v>
      </c>
      <c r="M21978" t="s">
        <v>507</v>
      </c>
      <c r="N21978" t="str">
        <f t="shared" ref="N21978:N21983" si="394">"12340023761 "</f>
        <v xml:space="preserve">12340023761 </v>
      </c>
      <c r="O21978">
        <v>231017</v>
      </c>
    </row>
    <row r="21979" spans="1:15" x14ac:dyDescent="0.25">
      <c r="A21979" t="s">
        <v>16</v>
      </c>
      <c r="B21979" t="s">
        <v>3221</v>
      </c>
      <c r="C21979">
        <v>14040</v>
      </c>
      <c r="D21979" t="s">
        <v>263</v>
      </c>
      <c r="E21979" t="s">
        <v>264</v>
      </c>
      <c r="F21979">
        <v>6.73</v>
      </c>
      <c r="G21979">
        <v>231004</v>
      </c>
      <c r="H21979">
        <v>4362</v>
      </c>
      <c r="I21979" t="s">
        <v>79</v>
      </c>
      <c r="J21979">
        <v>8.35</v>
      </c>
      <c r="K21979">
        <v>1.62</v>
      </c>
      <c r="L21979">
        <v>44422</v>
      </c>
      <c r="M21979" t="s">
        <v>482</v>
      </c>
      <c r="N21979" t="str">
        <f t="shared" si="394"/>
        <v xml:space="preserve">12340023761 </v>
      </c>
      <c r="O21979">
        <v>231017</v>
      </c>
    </row>
    <row r="21980" spans="1:15" x14ac:dyDescent="0.25">
      <c r="A21980" t="s">
        <v>16</v>
      </c>
      <c r="B21980" t="s">
        <v>3221</v>
      </c>
      <c r="C21980">
        <v>14040</v>
      </c>
      <c r="D21980" t="s">
        <v>263</v>
      </c>
      <c r="E21980" t="s">
        <v>264</v>
      </c>
      <c r="F21980">
        <v>5.4</v>
      </c>
      <c r="G21980">
        <v>231004</v>
      </c>
      <c r="H21980">
        <v>4362</v>
      </c>
      <c r="I21980" t="s">
        <v>79</v>
      </c>
      <c r="J21980">
        <v>6.7</v>
      </c>
      <c r="K21980">
        <v>1.3</v>
      </c>
      <c r="L21980">
        <v>44423</v>
      </c>
      <c r="M21980" t="s">
        <v>502</v>
      </c>
      <c r="N21980" t="str">
        <f t="shared" si="394"/>
        <v xml:space="preserve">12340023761 </v>
      </c>
      <c r="O21980">
        <v>231017</v>
      </c>
    </row>
    <row r="21981" spans="1:15" x14ac:dyDescent="0.25">
      <c r="A21981" t="s">
        <v>16</v>
      </c>
      <c r="B21981" t="s">
        <v>3221</v>
      </c>
      <c r="C21981">
        <v>14040</v>
      </c>
      <c r="D21981" t="s">
        <v>263</v>
      </c>
      <c r="E21981" t="s">
        <v>264</v>
      </c>
      <c r="F21981">
        <v>2.7</v>
      </c>
      <c r="G21981">
        <v>231004</v>
      </c>
      <c r="H21981">
        <v>4362</v>
      </c>
      <c r="I21981" t="s">
        <v>79</v>
      </c>
      <c r="J21981">
        <v>3.35</v>
      </c>
      <c r="K21981">
        <v>0.65</v>
      </c>
      <c r="L21981">
        <v>44453</v>
      </c>
      <c r="M21981" t="s">
        <v>492</v>
      </c>
      <c r="N21981" t="str">
        <f t="shared" si="394"/>
        <v xml:space="preserve">12340023761 </v>
      </c>
      <c r="O21981">
        <v>231017</v>
      </c>
    </row>
    <row r="21982" spans="1:15" x14ac:dyDescent="0.25">
      <c r="A21982" t="s">
        <v>16</v>
      </c>
      <c r="B21982" t="s">
        <v>3221</v>
      </c>
      <c r="C21982">
        <v>14040</v>
      </c>
      <c r="D21982" t="s">
        <v>263</v>
      </c>
      <c r="E21982" t="s">
        <v>264</v>
      </c>
      <c r="F21982">
        <v>2.7</v>
      </c>
      <c r="G21982">
        <v>231004</v>
      </c>
      <c r="H21982">
        <v>4362</v>
      </c>
      <c r="I21982" t="s">
        <v>79</v>
      </c>
      <c r="J21982">
        <v>3.35</v>
      </c>
      <c r="K21982">
        <v>0.65</v>
      </c>
      <c r="L21982">
        <v>48601</v>
      </c>
      <c r="M21982" t="s">
        <v>1047</v>
      </c>
      <c r="N21982" t="str">
        <f t="shared" si="394"/>
        <v xml:space="preserve">12340023761 </v>
      </c>
      <c r="O21982">
        <v>231017</v>
      </c>
    </row>
    <row r="21983" spans="1:15" x14ac:dyDescent="0.25">
      <c r="A21983" t="s">
        <v>16</v>
      </c>
      <c r="B21983" t="s">
        <v>3221</v>
      </c>
      <c r="C21983">
        <v>14040</v>
      </c>
      <c r="D21983" t="s">
        <v>263</v>
      </c>
      <c r="E21983" t="s">
        <v>264</v>
      </c>
      <c r="F21983">
        <v>35.26</v>
      </c>
      <c r="G21983">
        <v>231004</v>
      </c>
      <c r="H21983">
        <v>4362</v>
      </c>
      <c r="I21983" t="s">
        <v>79</v>
      </c>
      <c r="J21983">
        <v>35.26</v>
      </c>
      <c r="K21983">
        <v>0</v>
      </c>
      <c r="L21983">
        <v>49702</v>
      </c>
      <c r="M21983" t="s">
        <v>584</v>
      </c>
      <c r="N21983" t="str">
        <f t="shared" si="394"/>
        <v xml:space="preserve">12340023761 </v>
      </c>
      <c r="O21983">
        <v>231017</v>
      </c>
    </row>
    <row r="21984" spans="1:15" x14ac:dyDescent="0.25">
      <c r="A21984" t="s">
        <v>16</v>
      </c>
      <c r="B21984" t="s">
        <v>3221</v>
      </c>
      <c r="C21984">
        <v>14041</v>
      </c>
      <c r="D21984" t="s">
        <v>263</v>
      </c>
      <c r="E21984" t="s">
        <v>264</v>
      </c>
      <c r="F21984">
        <v>5.6</v>
      </c>
      <c r="G21984">
        <v>231004</v>
      </c>
      <c r="H21984">
        <v>4362</v>
      </c>
      <c r="I21984" t="s">
        <v>79</v>
      </c>
      <c r="J21984">
        <v>6.94</v>
      </c>
      <c r="K21984">
        <v>1.34</v>
      </c>
      <c r="L21984">
        <v>46556</v>
      </c>
      <c r="M21984" t="s">
        <v>125</v>
      </c>
      <c r="N21984" t="str">
        <f>"12340023762 "</f>
        <v xml:space="preserve">12340023762 </v>
      </c>
      <c r="O21984">
        <v>231017</v>
      </c>
    </row>
    <row r="21985" spans="1:15" x14ac:dyDescent="0.25">
      <c r="A21985" t="s">
        <v>16</v>
      </c>
      <c r="B21985" t="s">
        <v>3221</v>
      </c>
      <c r="C21985">
        <v>14042</v>
      </c>
      <c r="D21985" t="s">
        <v>263</v>
      </c>
      <c r="E21985" t="s">
        <v>264</v>
      </c>
      <c r="F21985">
        <v>5.39</v>
      </c>
      <c r="G21985">
        <v>231004</v>
      </c>
      <c r="H21985">
        <v>4362</v>
      </c>
      <c r="I21985" t="s">
        <v>79</v>
      </c>
      <c r="J21985">
        <v>6.68</v>
      </c>
      <c r="K21985">
        <v>1.29</v>
      </c>
      <c r="L21985">
        <v>46554</v>
      </c>
      <c r="M21985" t="s">
        <v>117</v>
      </c>
      <c r="N21985" t="str">
        <f>"12340023759 "</f>
        <v xml:space="preserve">12340023759 </v>
      </c>
      <c r="O21985">
        <v>231017</v>
      </c>
    </row>
    <row r="21986" spans="1:15" x14ac:dyDescent="0.25">
      <c r="A21986" t="s">
        <v>16</v>
      </c>
      <c r="B21986" t="s">
        <v>3221</v>
      </c>
      <c r="C21986">
        <v>14042</v>
      </c>
      <c r="D21986" t="s">
        <v>263</v>
      </c>
      <c r="E21986" t="s">
        <v>264</v>
      </c>
      <c r="F21986">
        <v>24.53</v>
      </c>
      <c r="G21986">
        <v>231004</v>
      </c>
      <c r="H21986">
        <v>4362</v>
      </c>
      <c r="I21986" t="s">
        <v>79</v>
      </c>
      <c r="J21986">
        <v>30.42</v>
      </c>
      <c r="K21986">
        <v>5.89</v>
      </c>
      <c r="L21986">
        <v>46554</v>
      </c>
      <c r="M21986" t="s">
        <v>117</v>
      </c>
      <c r="N21986" t="str">
        <f>"12340023759 "</f>
        <v xml:space="preserve">12340023759 </v>
      </c>
      <c r="O21986">
        <v>231017</v>
      </c>
    </row>
    <row r="21987" spans="1:15" x14ac:dyDescent="0.25">
      <c r="A21987" t="s">
        <v>16</v>
      </c>
      <c r="B21987" t="s">
        <v>3221</v>
      </c>
      <c r="C21987">
        <v>14044</v>
      </c>
      <c r="D21987" t="s">
        <v>263</v>
      </c>
      <c r="E21987" t="s">
        <v>264</v>
      </c>
      <c r="F21987">
        <v>2.23</v>
      </c>
      <c r="G21987">
        <v>231004</v>
      </c>
      <c r="H21987">
        <v>4362</v>
      </c>
      <c r="I21987" t="s">
        <v>79</v>
      </c>
      <c r="J21987">
        <v>2.77</v>
      </c>
      <c r="K21987">
        <v>0.54</v>
      </c>
      <c r="L21987">
        <v>41126</v>
      </c>
      <c r="M21987" t="s">
        <v>761</v>
      </c>
      <c r="N21987" t="str">
        <f t="shared" ref="N21987:N21992" si="395">"12340023767 "</f>
        <v xml:space="preserve">12340023767 </v>
      </c>
      <c r="O21987">
        <v>231017</v>
      </c>
    </row>
    <row r="21988" spans="1:15" x14ac:dyDescent="0.25">
      <c r="A21988" t="s">
        <v>16</v>
      </c>
      <c r="B21988" t="s">
        <v>3221</v>
      </c>
      <c r="C21988">
        <v>14044</v>
      </c>
      <c r="D21988" t="s">
        <v>263</v>
      </c>
      <c r="E21988" t="s">
        <v>264</v>
      </c>
      <c r="F21988">
        <v>1.73</v>
      </c>
      <c r="G21988">
        <v>231004</v>
      </c>
      <c r="H21988">
        <v>4362</v>
      </c>
      <c r="I21988" t="s">
        <v>79</v>
      </c>
      <c r="J21988">
        <v>2.14</v>
      </c>
      <c r="K21988">
        <v>0.41</v>
      </c>
      <c r="L21988">
        <v>43222</v>
      </c>
      <c r="M21988" t="s">
        <v>507</v>
      </c>
      <c r="N21988" t="str">
        <f t="shared" si="395"/>
        <v xml:space="preserve">12340023767 </v>
      </c>
      <c r="O21988">
        <v>231017</v>
      </c>
    </row>
    <row r="21989" spans="1:15" x14ac:dyDescent="0.25">
      <c r="A21989" t="s">
        <v>16</v>
      </c>
      <c r="B21989" t="s">
        <v>3221</v>
      </c>
      <c r="C21989">
        <v>14044</v>
      </c>
      <c r="D21989" t="s">
        <v>263</v>
      </c>
      <c r="E21989" t="s">
        <v>264</v>
      </c>
      <c r="F21989">
        <v>2.06</v>
      </c>
      <c r="G21989">
        <v>231004</v>
      </c>
      <c r="H21989">
        <v>4362</v>
      </c>
      <c r="I21989" t="s">
        <v>79</v>
      </c>
      <c r="J21989">
        <v>2.56</v>
      </c>
      <c r="K21989">
        <v>0.5</v>
      </c>
      <c r="L21989">
        <v>44222</v>
      </c>
      <c r="M21989" t="s">
        <v>232</v>
      </c>
      <c r="N21989" t="str">
        <f t="shared" si="395"/>
        <v xml:space="preserve">12340023767 </v>
      </c>
      <c r="O21989">
        <v>231017</v>
      </c>
    </row>
    <row r="21990" spans="1:15" x14ac:dyDescent="0.25">
      <c r="A21990" t="s">
        <v>16</v>
      </c>
      <c r="B21990" t="s">
        <v>3221</v>
      </c>
      <c r="C21990">
        <v>14044</v>
      </c>
      <c r="D21990" t="s">
        <v>263</v>
      </c>
      <c r="E21990" t="s">
        <v>264</v>
      </c>
      <c r="F21990">
        <v>2.23</v>
      </c>
      <c r="G21990">
        <v>231004</v>
      </c>
      <c r="H21990">
        <v>4362</v>
      </c>
      <c r="I21990" t="s">
        <v>79</v>
      </c>
      <c r="J21990">
        <v>2.77</v>
      </c>
      <c r="K21990">
        <v>0.54</v>
      </c>
      <c r="L21990">
        <v>44424</v>
      </c>
      <c r="M21990" t="s">
        <v>776</v>
      </c>
      <c r="N21990" t="str">
        <f t="shared" si="395"/>
        <v xml:space="preserve">12340023767 </v>
      </c>
      <c r="O21990">
        <v>231017</v>
      </c>
    </row>
    <row r="21991" spans="1:15" x14ac:dyDescent="0.25">
      <c r="A21991" t="s">
        <v>16</v>
      </c>
      <c r="B21991" t="s">
        <v>3221</v>
      </c>
      <c r="C21991">
        <v>14044</v>
      </c>
      <c r="D21991" t="s">
        <v>263</v>
      </c>
      <c r="E21991" t="s">
        <v>264</v>
      </c>
      <c r="F21991">
        <v>1.21</v>
      </c>
      <c r="G21991">
        <v>231004</v>
      </c>
      <c r="H21991">
        <v>4362</v>
      </c>
      <c r="I21991" t="s">
        <v>79</v>
      </c>
      <c r="J21991">
        <v>1.5</v>
      </c>
      <c r="K21991">
        <v>0.28999999999999998</v>
      </c>
      <c r="L21991">
        <v>46222</v>
      </c>
      <c r="M21991" t="s">
        <v>293</v>
      </c>
      <c r="N21991" t="str">
        <f t="shared" si="395"/>
        <v xml:space="preserve">12340023767 </v>
      </c>
      <c r="O21991">
        <v>231017</v>
      </c>
    </row>
    <row r="21992" spans="1:15" x14ac:dyDescent="0.25">
      <c r="A21992" t="s">
        <v>16</v>
      </c>
      <c r="B21992" t="s">
        <v>3221</v>
      </c>
      <c r="C21992">
        <v>14044</v>
      </c>
      <c r="D21992" t="s">
        <v>263</v>
      </c>
      <c r="E21992" t="s">
        <v>264</v>
      </c>
      <c r="F21992">
        <v>7.74</v>
      </c>
      <c r="G21992">
        <v>231004</v>
      </c>
      <c r="H21992">
        <v>4362</v>
      </c>
      <c r="I21992" t="s">
        <v>79</v>
      </c>
      <c r="J21992">
        <v>9.6</v>
      </c>
      <c r="K21992">
        <v>1.86</v>
      </c>
      <c r="L21992">
        <v>46559</v>
      </c>
      <c r="M21992" t="s">
        <v>1104</v>
      </c>
      <c r="N21992" t="str">
        <f t="shared" si="395"/>
        <v xml:space="preserve">12340023767 </v>
      </c>
      <c r="O21992">
        <v>231017</v>
      </c>
    </row>
    <row r="21993" spans="1:15" x14ac:dyDescent="0.25">
      <c r="A21993" t="s">
        <v>16</v>
      </c>
      <c r="B21993" t="s">
        <v>3221</v>
      </c>
      <c r="C21993">
        <v>14049</v>
      </c>
      <c r="D21993" t="s">
        <v>263</v>
      </c>
      <c r="E21993" t="s">
        <v>264</v>
      </c>
      <c r="F21993">
        <v>10.8</v>
      </c>
      <c r="G21993">
        <v>231004</v>
      </c>
      <c r="H21993">
        <v>4362</v>
      </c>
      <c r="I21993" t="s">
        <v>79</v>
      </c>
      <c r="J21993">
        <v>13.39</v>
      </c>
      <c r="K21993">
        <v>2.59</v>
      </c>
      <c r="L21993">
        <v>17131</v>
      </c>
      <c r="M21993" t="s">
        <v>64</v>
      </c>
      <c r="N21993" t="str">
        <f t="shared" ref="N21993:N22003" si="396">"12340023770 "</f>
        <v xml:space="preserve">12340023770 </v>
      </c>
      <c r="O21993">
        <v>231018</v>
      </c>
    </row>
    <row r="21994" spans="1:15" x14ac:dyDescent="0.25">
      <c r="A21994" t="s">
        <v>16</v>
      </c>
      <c r="B21994" t="s">
        <v>3221</v>
      </c>
      <c r="C21994">
        <v>14049</v>
      </c>
      <c r="D21994" t="s">
        <v>263</v>
      </c>
      <c r="E21994" t="s">
        <v>264</v>
      </c>
      <c r="F21994">
        <v>2.7</v>
      </c>
      <c r="G21994">
        <v>231004</v>
      </c>
      <c r="H21994">
        <v>4362</v>
      </c>
      <c r="I21994" t="s">
        <v>79</v>
      </c>
      <c r="J21994">
        <v>3.35</v>
      </c>
      <c r="K21994">
        <v>0.65</v>
      </c>
      <c r="L21994">
        <v>17147</v>
      </c>
      <c r="M21994" t="s">
        <v>1734</v>
      </c>
      <c r="N21994" t="str">
        <f t="shared" si="396"/>
        <v xml:space="preserve">12340023770 </v>
      </c>
      <c r="O21994">
        <v>231018</v>
      </c>
    </row>
    <row r="21995" spans="1:15" x14ac:dyDescent="0.25">
      <c r="A21995" t="s">
        <v>16</v>
      </c>
      <c r="B21995" t="s">
        <v>3221</v>
      </c>
      <c r="C21995">
        <v>14049</v>
      </c>
      <c r="D21995" t="s">
        <v>263</v>
      </c>
      <c r="E21995" t="s">
        <v>264</v>
      </c>
      <c r="F21995">
        <v>13.35</v>
      </c>
      <c r="G21995">
        <v>231004</v>
      </c>
      <c r="H21995">
        <v>4362</v>
      </c>
      <c r="I21995" t="s">
        <v>79</v>
      </c>
      <c r="J21995">
        <v>16.55</v>
      </c>
      <c r="K21995">
        <v>3.2</v>
      </c>
      <c r="L21995">
        <v>17711</v>
      </c>
      <c r="M21995" t="s">
        <v>65</v>
      </c>
      <c r="N21995" t="str">
        <f t="shared" si="396"/>
        <v xml:space="preserve">12340023770 </v>
      </c>
      <c r="O21995">
        <v>231018</v>
      </c>
    </row>
    <row r="21996" spans="1:15" x14ac:dyDescent="0.25">
      <c r="A21996" t="s">
        <v>16</v>
      </c>
      <c r="B21996" t="s">
        <v>3221</v>
      </c>
      <c r="C21996">
        <v>14049</v>
      </c>
      <c r="D21996" t="s">
        <v>263</v>
      </c>
      <c r="E21996" t="s">
        <v>264</v>
      </c>
      <c r="F21996">
        <v>16.2</v>
      </c>
      <c r="G21996">
        <v>231004</v>
      </c>
      <c r="H21996">
        <v>4362</v>
      </c>
      <c r="I21996" t="s">
        <v>79</v>
      </c>
      <c r="J21996">
        <v>20.09</v>
      </c>
      <c r="K21996">
        <v>3.89</v>
      </c>
      <c r="L21996">
        <v>17711</v>
      </c>
      <c r="M21996" t="s">
        <v>65</v>
      </c>
      <c r="N21996" t="str">
        <f t="shared" si="396"/>
        <v xml:space="preserve">12340023770 </v>
      </c>
      <c r="O21996">
        <v>231018</v>
      </c>
    </row>
    <row r="21997" spans="1:15" x14ac:dyDescent="0.25">
      <c r="A21997" t="s">
        <v>16</v>
      </c>
      <c r="B21997" t="s">
        <v>3221</v>
      </c>
      <c r="C21997">
        <v>14049</v>
      </c>
      <c r="D21997" t="s">
        <v>263</v>
      </c>
      <c r="E21997" t="s">
        <v>264</v>
      </c>
      <c r="F21997">
        <v>5.8</v>
      </c>
      <c r="G21997">
        <v>231004</v>
      </c>
      <c r="H21997">
        <v>4362</v>
      </c>
      <c r="I21997" t="s">
        <v>79</v>
      </c>
      <c r="J21997">
        <v>7.19</v>
      </c>
      <c r="K21997">
        <v>1.39</v>
      </c>
      <c r="L21997">
        <v>17737</v>
      </c>
      <c r="M21997" t="s">
        <v>279</v>
      </c>
      <c r="N21997" t="str">
        <f t="shared" si="396"/>
        <v xml:space="preserve">12340023770 </v>
      </c>
      <c r="O21997">
        <v>231018</v>
      </c>
    </row>
    <row r="21998" spans="1:15" x14ac:dyDescent="0.25">
      <c r="A21998" t="s">
        <v>16</v>
      </c>
      <c r="B21998" t="s">
        <v>3221</v>
      </c>
      <c r="C21998">
        <v>14049</v>
      </c>
      <c r="D21998" t="s">
        <v>263</v>
      </c>
      <c r="E21998" t="s">
        <v>264</v>
      </c>
      <c r="F21998">
        <v>15.01</v>
      </c>
      <c r="G21998">
        <v>231004</v>
      </c>
      <c r="H21998">
        <v>4362</v>
      </c>
      <c r="I21998" t="s">
        <v>79</v>
      </c>
      <c r="J21998">
        <v>18.61</v>
      </c>
      <c r="K21998">
        <v>3.6</v>
      </c>
      <c r="L21998">
        <v>17737</v>
      </c>
      <c r="M21998" t="s">
        <v>279</v>
      </c>
      <c r="N21998" t="str">
        <f t="shared" si="396"/>
        <v xml:space="preserve">12340023770 </v>
      </c>
      <c r="O21998">
        <v>231018</v>
      </c>
    </row>
    <row r="21999" spans="1:15" x14ac:dyDescent="0.25">
      <c r="A21999" t="s">
        <v>16</v>
      </c>
      <c r="B21999" t="s">
        <v>3221</v>
      </c>
      <c r="C21999">
        <v>14049</v>
      </c>
      <c r="D21999" t="s">
        <v>263</v>
      </c>
      <c r="E21999" t="s">
        <v>264</v>
      </c>
      <c r="F21999">
        <v>2.7</v>
      </c>
      <c r="G21999">
        <v>231004</v>
      </c>
      <c r="H21999">
        <v>4362</v>
      </c>
      <c r="I21999" t="s">
        <v>79</v>
      </c>
      <c r="J21999">
        <v>3.35</v>
      </c>
      <c r="K21999">
        <v>0.65</v>
      </c>
      <c r="L21999">
        <v>17912</v>
      </c>
      <c r="M21999" t="s">
        <v>419</v>
      </c>
      <c r="N21999" t="str">
        <f t="shared" si="396"/>
        <v xml:space="preserve">12340023770 </v>
      </c>
      <c r="O21999">
        <v>231018</v>
      </c>
    </row>
    <row r="22000" spans="1:15" x14ac:dyDescent="0.25">
      <c r="A22000" t="s">
        <v>16</v>
      </c>
      <c r="B22000" t="s">
        <v>3221</v>
      </c>
      <c r="C22000">
        <v>14049</v>
      </c>
      <c r="D22000" t="s">
        <v>263</v>
      </c>
      <c r="E22000" t="s">
        <v>264</v>
      </c>
      <c r="F22000">
        <v>2.7</v>
      </c>
      <c r="G22000">
        <v>231004</v>
      </c>
      <c r="H22000">
        <v>4362</v>
      </c>
      <c r="I22000" t="s">
        <v>79</v>
      </c>
      <c r="J22000">
        <v>3.35</v>
      </c>
      <c r="K22000">
        <v>0.65</v>
      </c>
      <c r="L22000">
        <v>17915</v>
      </c>
      <c r="M22000" t="s">
        <v>572</v>
      </c>
      <c r="N22000" t="str">
        <f t="shared" si="396"/>
        <v xml:space="preserve">12340023770 </v>
      </c>
      <c r="O22000">
        <v>231018</v>
      </c>
    </row>
    <row r="22001" spans="1:15" x14ac:dyDescent="0.25">
      <c r="A22001" t="s">
        <v>16</v>
      </c>
      <c r="B22001" t="s">
        <v>3221</v>
      </c>
      <c r="C22001">
        <v>14049</v>
      </c>
      <c r="D22001" t="s">
        <v>263</v>
      </c>
      <c r="E22001" t="s">
        <v>264</v>
      </c>
      <c r="F22001">
        <v>13.16</v>
      </c>
      <c r="G22001">
        <v>231004</v>
      </c>
      <c r="H22001">
        <v>4362</v>
      </c>
      <c r="I22001" t="s">
        <v>79</v>
      </c>
      <c r="J22001">
        <v>16.32</v>
      </c>
      <c r="K22001">
        <v>3.16</v>
      </c>
      <c r="L22001">
        <v>17951</v>
      </c>
      <c r="M22001" t="s">
        <v>87</v>
      </c>
      <c r="N22001" t="str">
        <f t="shared" si="396"/>
        <v xml:space="preserve">12340023770 </v>
      </c>
      <c r="O22001">
        <v>231018</v>
      </c>
    </row>
    <row r="22002" spans="1:15" x14ac:dyDescent="0.25">
      <c r="A22002" t="s">
        <v>16</v>
      </c>
      <c r="B22002" t="s">
        <v>3221</v>
      </c>
      <c r="C22002">
        <v>14049</v>
      </c>
      <c r="D22002" t="s">
        <v>263</v>
      </c>
      <c r="E22002" t="s">
        <v>264</v>
      </c>
      <c r="F22002">
        <v>12.72</v>
      </c>
      <c r="G22002">
        <v>231004</v>
      </c>
      <c r="H22002">
        <v>4362</v>
      </c>
      <c r="I22002" t="s">
        <v>79</v>
      </c>
      <c r="J22002">
        <v>15.77</v>
      </c>
      <c r="K22002">
        <v>3.05</v>
      </c>
      <c r="L22002">
        <v>17971</v>
      </c>
      <c r="M22002" t="s">
        <v>138</v>
      </c>
      <c r="N22002" t="str">
        <f t="shared" si="396"/>
        <v xml:space="preserve">12340023770 </v>
      </c>
      <c r="O22002">
        <v>231018</v>
      </c>
    </row>
    <row r="22003" spans="1:15" x14ac:dyDescent="0.25">
      <c r="A22003" t="s">
        <v>16</v>
      </c>
      <c r="B22003" t="s">
        <v>3221</v>
      </c>
      <c r="C22003">
        <v>14049</v>
      </c>
      <c r="D22003" t="s">
        <v>263</v>
      </c>
      <c r="E22003" t="s">
        <v>264</v>
      </c>
      <c r="F22003">
        <v>5.4</v>
      </c>
      <c r="G22003">
        <v>231004</v>
      </c>
      <c r="H22003">
        <v>4362</v>
      </c>
      <c r="I22003" t="s">
        <v>79</v>
      </c>
      <c r="J22003">
        <v>6.7</v>
      </c>
      <c r="K22003">
        <v>1.3</v>
      </c>
      <c r="L22003">
        <v>17972</v>
      </c>
      <c r="M22003" t="s">
        <v>248</v>
      </c>
      <c r="N22003" t="str">
        <f t="shared" si="396"/>
        <v xml:space="preserve">12340023770 </v>
      </c>
      <c r="O22003">
        <v>231018</v>
      </c>
    </row>
    <row r="22004" spans="1:15" x14ac:dyDescent="0.25">
      <c r="A22004" t="s">
        <v>16</v>
      </c>
      <c r="B22004" t="s">
        <v>3221</v>
      </c>
      <c r="C22004">
        <v>14053</v>
      </c>
      <c r="D22004" t="s">
        <v>263</v>
      </c>
      <c r="E22004" t="s">
        <v>264</v>
      </c>
      <c r="F22004">
        <v>65.88</v>
      </c>
      <c r="G22004">
        <v>231004</v>
      </c>
      <c r="H22004">
        <v>4362</v>
      </c>
      <c r="I22004" t="s">
        <v>79</v>
      </c>
      <c r="J22004">
        <v>81.69</v>
      </c>
      <c r="K22004">
        <v>15.81</v>
      </c>
      <c r="L22004">
        <v>11801</v>
      </c>
      <c r="M22004" t="s">
        <v>92</v>
      </c>
      <c r="N22004" t="str">
        <f>"12340023775 "</f>
        <v xml:space="preserve">12340023775 </v>
      </c>
      <c r="O22004">
        <v>231018</v>
      </c>
    </row>
    <row r="22005" spans="1:15" x14ac:dyDescent="0.25">
      <c r="A22005" t="s">
        <v>16</v>
      </c>
      <c r="B22005" t="s">
        <v>3221</v>
      </c>
      <c r="C22005">
        <v>14057</v>
      </c>
      <c r="D22005" t="s">
        <v>263</v>
      </c>
      <c r="E22005" t="s">
        <v>264</v>
      </c>
      <c r="F22005">
        <v>137.65</v>
      </c>
      <c r="G22005">
        <v>231013</v>
      </c>
      <c r="H22005">
        <v>4362</v>
      </c>
      <c r="I22005" t="s">
        <v>79</v>
      </c>
      <c r="J22005">
        <v>170.69</v>
      </c>
      <c r="K22005">
        <v>33.04</v>
      </c>
      <c r="L22005">
        <v>11801</v>
      </c>
      <c r="M22005" t="s">
        <v>92</v>
      </c>
      <c r="N22005" t="str">
        <f>"104682048   "</f>
        <v xml:space="preserve">104682048   </v>
      </c>
      <c r="O22005">
        <v>231018</v>
      </c>
    </row>
    <row r="22006" spans="1:15" x14ac:dyDescent="0.25">
      <c r="A22006" t="s">
        <v>16</v>
      </c>
      <c r="B22006" t="s">
        <v>3221</v>
      </c>
      <c r="C22006">
        <v>14068</v>
      </c>
      <c r="D22006" t="s">
        <v>263</v>
      </c>
      <c r="E22006" t="s">
        <v>264</v>
      </c>
      <c r="F22006">
        <v>2.7</v>
      </c>
      <c r="G22006">
        <v>231004</v>
      </c>
      <c r="H22006">
        <v>4362</v>
      </c>
      <c r="I22006" t="s">
        <v>79</v>
      </c>
      <c r="J22006">
        <v>3.35</v>
      </c>
      <c r="K22006">
        <v>0.65</v>
      </c>
      <c r="L22006">
        <v>11001</v>
      </c>
      <c r="M22006" t="s">
        <v>326</v>
      </c>
      <c r="N22006" t="str">
        <f t="shared" ref="N22006:N22011" si="397">"12340023746 "</f>
        <v xml:space="preserve">12340023746 </v>
      </c>
      <c r="O22006">
        <v>231018</v>
      </c>
    </row>
    <row r="22007" spans="1:15" x14ac:dyDescent="0.25">
      <c r="A22007" t="s">
        <v>16</v>
      </c>
      <c r="B22007" t="s">
        <v>3221</v>
      </c>
      <c r="C22007">
        <v>14068</v>
      </c>
      <c r="D22007" t="s">
        <v>263</v>
      </c>
      <c r="E22007" t="s">
        <v>264</v>
      </c>
      <c r="F22007">
        <v>53.87</v>
      </c>
      <c r="G22007">
        <v>231004</v>
      </c>
      <c r="H22007">
        <v>4362</v>
      </c>
      <c r="I22007" t="s">
        <v>79</v>
      </c>
      <c r="J22007">
        <v>53.87</v>
      </c>
      <c r="K22007">
        <v>0</v>
      </c>
      <c r="L22007">
        <v>11001</v>
      </c>
      <c r="M22007" t="s">
        <v>326</v>
      </c>
      <c r="N22007" t="str">
        <f t="shared" si="397"/>
        <v xml:space="preserve">12340023746 </v>
      </c>
      <c r="O22007">
        <v>231018</v>
      </c>
    </row>
    <row r="22008" spans="1:15" x14ac:dyDescent="0.25">
      <c r="A22008" t="s">
        <v>16</v>
      </c>
      <c r="B22008" t="s">
        <v>3221</v>
      </c>
      <c r="C22008">
        <v>14068</v>
      </c>
      <c r="D22008" t="s">
        <v>263</v>
      </c>
      <c r="E22008" t="s">
        <v>264</v>
      </c>
      <c r="F22008">
        <v>6.4</v>
      </c>
      <c r="G22008">
        <v>231004</v>
      </c>
      <c r="H22008">
        <v>4362</v>
      </c>
      <c r="I22008" t="s">
        <v>79</v>
      </c>
      <c r="J22008">
        <v>7.94</v>
      </c>
      <c r="K22008">
        <v>1.54</v>
      </c>
      <c r="L22008">
        <v>11501</v>
      </c>
      <c r="M22008" t="s">
        <v>339</v>
      </c>
      <c r="N22008" t="str">
        <f t="shared" si="397"/>
        <v xml:space="preserve">12340023746 </v>
      </c>
      <c r="O22008">
        <v>231018</v>
      </c>
    </row>
    <row r="22009" spans="1:15" x14ac:dyDescent="0.25">
      <c r="A22009" t="s">
        <v>16</v>
      </c>
      <c r="B22009" t="s">
        <v>3221</v>
      </c>
      <c r="C22009">
        <v>14068</v>
      </c>
      <c r="D22009" t="s">
        <v>263</v>
      </c>
      <c r="E22009" t="s">
        <v>264</v>
      </c>
      <c r="F22009">
        <v>2.7</v>
      </c>
      <c r="G22009">
        <v>231004</v>
      </c>
      <c r="H22009">
        <v>4362</v>
      </c>
      <c r="I22009" t="s">
        <v>79</v>
      </c>
      <c r="J22009">
        <v>3.35</v>
      </c>
      <c r="K22009">
        <v>0.65</v>
      </c>
      <c r="L22009">
        <v>11701</v>
      </c>
      <c r="M22009" t="s">
        <v>1204</v>
      </c>
      <c r="N22009" t="str">
        <f t="shared" si="397"/>
        <v xml:space="preserve">12340023746 </v>
      </c>
      <c r="O22009">
        <v>231018</v>
      </c>
    </row>
    <row r="22010" spans="1:15" x14ac:dyDescent="0.25">
      <c r="A22010" t="s">
        <v>16</v>
      </c>
      <c r="B22010" t="s">
        <v>3221</v>
      </c>
      <c r="C22010">
        <v>14068</v>
      </c>
      <c r="D22010" t="s">
        <v>263</v>
      </c>
      <c r="E22010" t="s">
        <v>264</v>
      </c>
      <c r="F22010">
        <v>5.4</v>
      </c>
      <c r="G22010">
        <v>231004</v>
      </c>
      <c r="H22010">
        <v>4362</v>
      </c>
      <c r="I22010" t="s">
        <v>79</v>
      </c>
      <c r="J22010">
        <v>6.7</v>
      </c>
      <c r="K22010">
        <v>1.3</v>
      </c>
      <c r="L22010">
        <v>11751</v>
      </c>
      <c r="M22010" t="s">
        <v>1339</v>
      </c>
      <c r="N22010" t="str">
        <f t="shared" si="397"/>
        <v xml:space="preserve">12340023746 </v>
      </c>
      <c r="O22010">
        <v>231018</v>
      </c>
    </row>
    <row r="22011" spans="1:15" x14ac:dyDescent="0.25">
      <c r="A22011" t="s">
        <v>16</v>
      </c>
      <c r="B22011" t="s">
        <v>3221</v>
      </c>
      <c r="C22011">
        <v>14068</v>
      </c>
      <c r="D22011" t="s">
        <v>263</v>
      </c>
      <c r="E22011" t="s">
        <v>264</v>
      </c>
      <c r="F22011">
        <v>25.96</v>
      </c>
      <c r="G22011">
        <v>231004</v>
      </c>
      <c r="H22011">
        <v>4362</v>
      </c>
      <c r="I22011" t="s">
        <v>79</v>
      </c>
      <c r="J22011">
        <v>32.19</v>
      </c>
      <c r="K22011">
        <v>6.23</v>
      </c>
      <c r="L22011">
        <v>14622</v>
      </c>
      <c r="M22011" t="s">
        <v>1005</v>
      </c>
      <c r="N22011" t="str">
        <f t="shared" si="397"/>
        <v xml:space="preserve">12340023746 </v>
      </c>
      <c r="O22011">
        <v>231018</v>
      </c>
    </row>
    <row r="22012" spans="1:15" x14ac:dyDescent="0.25">
      <c r="A22012" t="s">
        <v>16</v>
      </c>
      <c r="B22012" t="s">
        <v>3221</v>
      </c>
      <c r="C22012">
        <v>14070</v>
      </c>
      <c r="D22012" t="s">
        <v>263</v>
      </c>
      <c r="E22012" t="s">
        <v>264</v>
      </c>
      <c r="F22012">
        <v>2.5499999999999998</v>
      </c>
      <c r="G22012">
        <v>231004</v>
      </c>
      <c r="H22012">
        <v>4362</v>
      </c>
      <c r="I22012" t="s">
        <v>79</v>
      </c>
      <c r="J22012">
        <v>3.16</v>
      </c>
      <c r="K22012">
        <v>0.61</v>
      </c>
      <c r="L22012">
        <v>13801</v>
      </c>
      <c r="M22012" t="s">
        <v>162</v>
      </c>
      <c r="N22012" t="str">
        <f>"12340023777 "</f>
        <v xml:space="preserve">12340023777 </v>
      </c>
      <c r="O22012">
        <v>231018</v>
      </c>
    </row>
    <row r="22013" spans="1:15" x14ac:dyDescent="0.25">
      <c r="A22013" t="s">
        <v>16</v>
      </c>
      <c r="B22013" t="s">
        <v>3221</v>
      </c>
      <c r="C22013">
        <v>14090</v>
      </c>
      <c r="D22013" t="s">
        <v>263</v>
      </c>
      <c r="E22013" t="s">
        <v>264</v>
      </c>
      <c r="F22013">
        <v>10.18</v>
      </c>
      <c r="G22013">
        <v>231004</v>
      </c>
      <c r="H22013">
        <v>4362</v>
      </c>
      <c r="I22013" t="s">
        <v>79</v>
      </c>
      <c r="J22013">
        <v>12.62</v>
      </c>
      <c r="K22013">
        <v>2.44</v>
      </c>
      <c r="L22013">
        <v>17913</v>
      </c>
      <c r="M22013" t="s">
        <v>431</v>
      </c>
      <c r="N22013" t="str">
        <f>"12340023768 "</f>
        <v xml:space="preserve">12340023768 </v>
      </c>
      <c r="O22013">
        <v>231018</v>
      </c>
    </row>
    <row r="22014" spans="1:15" x14ac:dyDescent="0.25">
      <c r="A22014" t="s">
        <v>16</v>
      </c>
      <c r="B22014" t="s">
        <v>3221</v>
      </c>
      <c r="C22014">
        <v>14090</v>
      </c>
      <c r="D22014" t="s">
        <v>263</v>
      </c>
      <c r="E22014" t="s">
        <v>264</v>
      </c>
      <c r="F22014">
        <v>22.41</v>
      </c>
      <c r="G22014">
        <v>231004</v>
      </c>
      <c r="H22014">
        <v>4362</v>
      </c>
      <c r="I22014" t="s">
        <v>79</v>
      </c>
      <c r="J22014">
        <v>27.79</v>
      </c>
      <c r="K22014">
        <v>5.38</v>
      </c>
      <c r="L22014">
        <v>17951</v>
      </c>
      <c r="M22014" t="s">
        <v>87</v>
      </c>
      <c r="N22014" t="str">
        <f>"12340023768 "</f>
        <v xml:space="preserve">12340023768 </v>
      </c>
      <c r="O22014">
        <v>231018</v>
      </c>
    </row>
    <row r="22015" spans="1:15" x14ac:dyDescent="0.25">
      <c r="A22015" t="s">
        <v>16</v>
      </c>
      <c r="B22015" t="s">
        <v>3221</v>
      </c>
      <c r="C22015">
        <v>14090</v>
      </c>
      <c r="D22015" t="s">
        <v>263</v>
      </c>
      <c r="E22015" t="s">
        <v>264</v>
      </c>
      <c r="F22015">
        <v>10.8</v>
      </c>
      <c r="G22015">
        <v>231004</v>
      </c>
      <c r="H22015">
        <v>4362</v>
      </c>
      <c r="I22015" t="s">
        <v>79</v>
      </c>
      <c r="J22015">
        <v>13.39</v>
      </c>
      <c r="K22015">
        <v>2.59</v>
      </c>
      <c r="L22015">
        <v>17971</v>
      </c>
      <c r="M22015" t="s">
        <v>138</v>
      </c>
      <c r="N22015" t="str">
        <f>"12340023768 "</f>
        <v xml:space="preserve">12340023768 </v>
      </c>
      <c r="O22015">
        <v>231018</v>
      </c>
    </row>
    <row r="22016" spans="1:15" x14ac:dyDescent="0.25">
      <c r="A22016" t="s">
        <v>16</v>
      </c>
      <c r="B22016" t="s">
        <v>3221</v>
      </c>
      <c r="C22016">
        <v>14090</v>
      </c>
      <c r="D22016" t="s">
        <v>263</v>
      </c>
      <c r="E22016" t="s">
        <v>264</v>
      </c>
      <c r="F22016">
        <v>5.25</v>
      </c>
      <c r="G22016">
        <v>231004</v>
      </c>
      <c r="H22016">
        <v>4362</v>
      </c>
      <c r="I22016" t="s">
        <v>79</v>
      </c>
      <c r="J22016">
        <v>6.51</v>
      </c>
      <c r="K22016">
        <v>1.26</v>
      </c>
      <c r="L22016">
        <v>17974</v>
      </c>
      <c r="M22016" t="s">
        <v>460</v>
      </c>
      <c r="N22016" t="str">
        <f>"12340023768 "</f>
        <v xml:space="preserve">12340023768 </v>
      </c>
      <c r="O22016">
        <v>231018</v>
      </c>
    </row>
    <row r="22017" spans="1:15" x14ac:dyDescent="0.25">
      <c r="A22017" t="s">
        <v>16</v>
      </c>
      <c r="B22017" t="s">
        <v>3221</v>
      </c>
      <c r="C22017">
        <v>14090</v>
      </c>
      <c r="D22017" t="s">
        <v>263</v>
      </c>
      <c r="E22017" t="s">
        <v>264</v>
      </c>
      <c r="F22017">
        <v>12.06</v>
      </c>
      <c r="G22017">
        <v>231004</v>
      </c>
      <c r="H22017">
        <v>4362</v>
      </c>
      <c r="I22017" t="s">
        <v>79</v>
      </c>
      <c r="J22017">
        <v>14.96</v>
      </c>
      <c r="K22017">
        <v>2.9</v>
      </c>
      <c r="L22017">
        <v>17975</v>
      </c>
      <c r="M22017" t="s">
        <v>798</v>
      </c>
      <c r="N22017" t="str">
        <f>"12340023768 "</f>
        <v xml:space="preserve">12340023768 </v>
      </c>
      <c r="O22017">
        <v>231018</v>
      </c>
    </row>
    <row r="22018" spans="1:15" x14ac:dyDescent="0.25">
      <c r="A22018" t="s">
        <v>16</v>
      </c>
      <c r="B22018" t="s">
        <v>3221</v>
      </c>
      <c r="C22018">
        <v>14093</v>
      </c>
      <c r="D22018" t="s">
        <v>263</v>
      </c>
      <c r="E22018" t="s">
        <v>264</v>
      </c>
      <c r="F22018">
        <v>2.5499999999999998</v>
      </c>
      <c r="G22018">
        <v>231004</v>
      </c>
      <c r="H22018">
        <v>4362</v>
      </c>
      <c r="I22018" t="s">
        <v>79</v>
      </c>
      <c r="J22018">
        <v>3.16</v>
      </c>
      <c r="K22018">
        <v>0.61</v>
      </c>
      <c r="L22018">
        <v>10002</v>
      </c>
      <c r="M22018" t="s">
        <v>1066</v>
      </c>
      <c r="N22018" t="str">
        <f t="shared" ref="N22018:N22028" si="398">"12340023745 "</f>
        <v xml:space="preserve">12340023745 </v>
      </c>
      <c r="O22018">
        <v>231018</v>
      </c>
    </row>
    <row r="22019" spans="1:15" x14ac:dyDescent="0.25">
      <c r="A22019" t="s">
        <v>16</v>
      </c>
      <c r="B22019" t="s">
        <v>3221</v>
      </c>
      <c r="C22019">
        <v>14093</v>
      </c>
      <c r="D22019" t="s">
        <v>263</v>
      </c>
      <c r="E22019" t="s">
        <v>264</v>
      </c>
      <c r="F22019">
        <v>2.5499999999999998</v>
      </c>
      <c r="G22019">
        <v>231004</v>
      </c>
      <c r="H22019">
        <v>4362</v>
      </c>
      <c r="I22019" t="s">
        <v>79</v>
      </c>
      <c r="J22019">
        <v>3.16</v>
      </c>
      <c r="K22019">
        <v>0.61</v>
      </c>
      <c r="L22019">
        <v>10002</v>
      </c>
      <c r="M22019" t="s">
        <v>1066</v>
      </c>
      <c r="N22019" t="str">
        <f t="shared" si="398"/>
        <v xml:space="preserve">12340023745 </v>
      </c>
      <c r="O22019">
        <v>231018</v>
      </c>
    </row>
    <row r="22020" spans="1:15" x14ac:dyDescent="0.25">
      <c r="A22020" t="s">
        <v>16</v>
      </c>
      <c r="B22020" t="s">
        <v>3221</v>
      </c>
      <c r="C22020">
        <v>14093</v>
      </c>
      <c r="D22020" t="s">
        <v>263</v>
      </c>
      <c r="E22020" t="s">
        <v>264</v>
      </c>
      <c r="F22020">
        <v>2.5499999999999998</v>
      </c>
      <c r="G22020">
        <v>231004</v>
      </c>
      <c r="H22020">
        <v>4362</v>
      </c>
      <c r="I22020" t="s">
        <v>79</v>
      </c>
      <c r="J22020">
        <v>3.16</v>
      </c>
      <c r="K22020">
        <v>0.61</v>
      </c>
      <c r="L22020">
        <v>11001</v>
      </c>
      <c r="M22020" t="s">
        <v>326</v>
      </c>
      <c r="N22020" t="str">
        <f t="shared" si="398"/>
        <v xml:space="preserve">12340023745 </v>
      </c>
      <c r="O22020">
        <v>231018</v>
      </c>
    </row>
    <row r="22021" spans="1:15" x14ac:dyDescent="0.25">
      <c r="A22021" t="s">
        <v>16</v>
      </c>
      <c r="B22021" t="s">
        <v>3221</v>
      </c>
      <c r="C22021">
        <v>14093</v>
      </c>
      <c r="D22021" t="s">
        <v>263</v>
      </c>
      <c r="E22021" t="s">
        <v>264</v>
      </c>
      <c r="F22021">
        <v>5.85</v>
      </c>
      <c r="G22021">
        <v>231004</v>
      </c>
      <c r="H22021">
        <v>4362</v>
      </c>
      <c r="I22021" t="s">
        <v>79</v>
      </c>
      <c r="J22021">
        <v>7.26</v>
      </c>
      <c r="K22021">
        <v>1.41</v>
      </c>
      <c r="L22021">
        <v>11001</v>
      </c>
      <c r="M22021" t="s">
        <v>326</v>
      </c>
      <c r="N22021" t="str">
        <f t="shared" si="398"/>
        <v xml:space="preserve">12340023745 </v>
      </c>
      <c r="O22021">
        <v>231018</v>
      </c>
    </row>
    <row r="22022" spans="1:15" x14ac:dyDescent="0.25">
      <c r="A22022" t="s">
        <v>16</v>
      </c>
      <c r="B22022" t="s">
        <v>3221</v>
      </c>
      <c r="C22022">
        <v>14093</v>
      </c>
      <c r="D22022" t="s">
        <v>263</v>
      </c>
      <c r="E22022" t="s">
        <v>264</v>
      </c>
      <c r="F22022">
        <v>17.03</v>
      </c>
      <c r="G22022">
        <v>231004</v>
      </c>
      <c r="H22022">
        <v>4362</v>
      </c>
      <c r="I22022" t="s">
        <v>79</v>
      </c>
      <c r="J22022">
        <v>17.03</v>
      </c>
      <c r="K22022">
        <v>0</v>
      </c>
      <c r="L22022">
        <v>11001</v>
      </c>
      <c r="M22022" t="s">
        <v>326</v>
      </c>
      <c r="N22022" t="str">
        <f t="shared" si="398"/>
        <v xml:space="preserve">12340023745 </v>
      </c>
      <c r="O22022">
        <v>231018</v>
      </c>
    </row>
    <row r="22023" spans="1:15" x14ac:dyDescent="0.25">
      <c r="A22023" t="s">
        <v>16</v>
      </c>
      <c r="B22023" t="s">
        <v>3221</v>
      </c>
      <c r="C22023">
        <v>14093</v>
      </c>
      <c r="D22023" t="s">
        <v>263</v>
      </c>
      <c r="E22023" t="s">
        <v>264</v>
      </c>
      <c r="F22023">
        <v>24.84</v>
      </c>
      <c r="G22023">
        <v>231004</v>
      </c>
      <c r="H22023">
        <v>4362</v>
      </c>
      <c r="I22023" t="s">
        <v>79</v>
      </c>
      <c r="J22023">
        <v>24.84</v>
      </c>
      <c r="K22023">
        <v>0</v>
      </c>
      <c r="L22023">
        <v>11301</v>
      </c>
      <c r="M22023" t="s">
        <v>29</v>
      </c>
      <c r="N22023" t="str">
        <f t="shared" si="398"/>
        <v xml:space="preserve">12340023745 </v>
      </c>
      <c r="O22023">
        <v>231018</v>
      </c>
    </row>
    <row r="22024" spans="1:15" x14ac:dyDescent="0.25">
      <c r="A22024" t="s">
        <v>16</v>
      </c>
      <c r="B22024" t="s">
        <v>3221</v>
      </c>
      <c r="C22024">
        <v>14093</v>
      </c>
      <c r="D22024" t="s">
        <v>263</v>
      </c>
      <c r="E22024" t="s">
        <v>264</v>
      </c>
      <c r="F22024">
        <v>2.5499999999999998</v>
      </c>
      <c r="G22024">
        <v>231004</v>
      </c>
      <c r="H22024">
        <v>4362</v>
      </c>
      <c r="I22024" t="s">
        <v>79</v>
      </c>
      <c r="J22024">
        <v>3.16</v>
      </c>
      <c r="K22024">
        <v>0.61</v>
      </c>
      <c r="L22024">
        <v>11501</v>
      </c>
      <c r="M22024" t="s">
        <v>339</v>
      </c>
      <c r="N22024" t="str">
        <f t="shared" si="398"/>
        <v xml:space="preserve">12340023745 </v>
      </c>
      <c r="O22024">
        <v>231018</v>
      </c>
    </row>
    <row r="22025" spans="1:15" x14ac:dyDescent="0.25">
      <c r="A22025" t="s">
        <v>16</v>
      </c>
      <c r="B22025" t="s">
        <v>3221</v>
      </c>
      <c r="C22025">
        <v>14093</v>
      </c>
      <c r="D22025" t="s">
        <v>263</v>
      </c>
      <c r="E22025" t="s">
        <v>264</v>
      </c>
      <c r="F22025">
        <v>3.35</v>
      </c>
      <c r="G22025">
        <v>231004</v>
      </c>
      <c r="H22025">
        <v>4362</v>
      </c>
      <c r="I22025" t="s">
        <v>79</v>
      </c>
      <c r="J22025">
        <v>3.35</v>
      </c>
      <c r="K22025">
        <v>0</v>
      </c>
      <c r="L22025">
        <v>11501</v>
      </c>
      <c r="M22025" t="s">
        <v>339</v>
      </c>
      <c r="N22025" t="str">
        <f t="shared" si="398"/>
        <v xml:space="preserve">12340023745 </v>
      </c>
      <c r="O22025">
        <v>231018</v>
      </c>
    </row>
    <row r="22026" spans="1:15" x14ac:dyDescent="0.25">
      <c r="A22026" t="s">
        <v>16</v>
      </c>
      <c r="B22026" t="s">
        <v>3221</v>
      </c>
      <c r="C22026">
        <v>14093</v>
      </c>
      <c r="D22026" t="s">
        <v>263</v>
      </c>
      <c r="E22026" t="s">
        <v>264</v>
      </c>
      <c r="F22026">
        <v>17.04</v>
      </c>
      <c r="G22026">
        <v>231004</v>
      </c>
      <c r="H22026">
        <v>4362</v>
      </c>
      <c r="I22026" t="s">
        <v>79</v>
      </c>
      <c r="J22026">
        <v>17.04</v>
      </c>
      <c r="K22026">
        <v>0</v>
      </c>
      <c r="L22026">
        <v>17807</v>
      </c>
      <c r="M22026" t="s">
        <v>318</v>
      </c>
      <c r="N22026" t="str">
        <f t="shared" si="398"/>
        <v xml:space="preserve">12340023745 </v>
      </c>
      <c r="O22026">
        <v>231018</v>
      </c>
    </row>
    <row r="22027" spans="1:15" x14ac:dyDescent="0.25">
      <c r="A22027" t="s">
        <v>16</v>
      </c>
      <c r="B22027" t="s">
        <v>3221</v>
      </c>
      <c r="C22027">
        <v>14093</v>
      </c>
      <c r="D22027" t="s">
        <v>263</v>
      </c>
      <c r="E22027" t="s">
        <v>264</v>
      </c>
      <c r="F22027">
        <v>5.0999999999999996</v>
      </c>
      <c r="G22027">
        <v>231004</v>
      </c>
      <c r="H22027">
        <v>4362</v>
      </c>
      <c r="I22027" t="s">
        <v>79</v>
      </c>
      <c r="J22027">
        <v>6.32</v>
      </c>
      <c r="K22027">
        <v>1.22</v>
      </c>
      <c r="L22027">
        <v>18972</v>
      </c>
      <c r="M22027" t="s">
        <v>163</v>
      </c>
      <c r="N22027" t="str">
        <f t="shared" si="398"/>
        <v xml:space="preserve">12340023745 </v>
      </c>
      <c r="O22027">
        <v>231018</v>
      </c>
    </row>
    <row r="22028" spans="1:15" x14ac:dyDescent="0.25">
      <c r="A22028" t="s">
        <v>16</v>
      </c>
      <c r="B22028" t="s">
        <v>3221</v>
      </c>
      <c r="C22028">
        <v>14093</v>
      </c>
      <c r="D22028" t="s">
        <v>263</v>
      </c>
      <c r="E22028" t="s">
        <v>264</v>
      </c>
      <c r="F22028">
        <v>8.94</v>
      </c>
      <c r="G22028">
        <v>231004</v>
      </c>
      <c r="H22028">
        <v>4362</v>
      </c>
      <c r="I22028" t="s">
        <v>79</v>
      </c>
      <c r="J22028">
        <v>8.94</v>
      </c>
      <c r="K22028">
        <v>0</v>
      </c>
      <c r="L22028">
        <v>18972</v>
      </c>
      <c r="M22028" t="s">
        <v>163</v>
      </c>
      <c r="N22028" t="str">
        <f t="shared" si="398"/>
        <v xml:space="preserve">12340023745 </v>
      </c>
      <c r="O22028">
        <v>231018</v>
      </c>
    </row>
    <row r="22029" spans="1:15" x14ac:dyDescent="0.25">
      <c r="A22029" t="s">
        <v>16</v>
      </c>
      <c r="B22029" t="s">
        <v>3221</v>
      </c>
      <c r="C22029">
        <v>14168</v>
      </c>
      <c r="D22029" t="s">
        <v>263</v>
      </c>
      <c r="E22029" t="s">
        <v>264</v>
      </c>
      <c r="F22029">
        <v>14.34</v>
      </c>
      <c r="G22029">
        <v>231004</v>
      </c>
      <c r="H22029">
        <v>4362</v>
      </c>
      <c r="I22029" t="s">
        <v>79</v>
      </c>
      <c r="J22029">
        <v>17.78</v>
      </c>
      <c r="K22029">
        <v>3.44</v>
      </c>
      <c r="L22029">
        <v>11601</v>
      </c>
      <c r="M22029" t="s">
        <v>535</v>
      </c>
      <c r="N22029" t="str">
        <f t="shared" ref="N22029:N22046" si="399">"12340023781 "</f>
        <v xml:space="preserve">12340023781 </v>
      </c>
      <c r="O22029">
        <v>231023</v>
      </c>
    </row>
    <row r="22030" spans="1:15" x14ac:dyDescent="0.25">
      <c r="A22030" t="s">
        <v>16</v>
      </c>
      <c r="B22030" t="s">
        <v>3221</v>
      </c>
      <c r="C22030">
        <v>14168</v>
      </c>
      <c r="D22030" t="s">
        <v>263</v>
      </c>
      <c r="E22030" t="s">
        <v>264</v>
      </c>
      <c r="F22030">
        <v>2.5499999999999998</v>
      </c>
      <c r="G22030">
        <v>231004</v>
      </c>
      <c r="H22030">
        <v>4362</v>
      </c>
      <c r="I22030" t="s">
        <v>79</v>
      </c>
      <c r="J22030">
        <v>3.16</v>
      </c>
      <c r="K22030">
        <v>0.61</v>
      </c>
      <c r="L22030">
        <v>11603</v>
      </c>
      <c r="M22030" t="s">
        <v>945</v>
      </c>
      <c r="N22030" t="str">
        <f t="shared" si="399"/>
        <v xml:space="preserve">12340023781 </v>
      </c>
      <c r="O22030">
        <v>231023</v>
      </c>
    </row>
    <row r="22031" spans="1:15" x14ac:dyDescent="0.25">
      <c r="A22031" t="s">
        <v>16</v>
      </c>
      <c r="B22031" t="s">
        <v>3221</v>
      </c>
      <c r="C22031">
        <v>14168</v>
      </c>
      <c r="D22031" t="s">
        <v>263</v>
      </c>
      <c r="E22031" t="s">
        <v>264</v>
      </c>
      <c r="F22031">
        <v>14.27</v>
      </c>
      <c r="G22031">
        <v>231004</v>
      </c>
      <c r="H22031">
        <v>4362</v>
      </c>
      <c r="I22031" t="s">
        <v>79</v>
      </c>
      <c r="J22031">
        <v>17.7</v>
      </c>
      <c r="K22031">
        <v>3.43</v>
      </c>
      <c r="L22031">
        <v>14121</v>
      </c>
      <c r="M22031" t="s">
        <v>880</v>
      </c>
      <c r="N22031" t="str">
        <f t="shared" si="399"/>
        <v xml:space="preserve">12340023781 </v>
      </c>
      <c r="O22031">
        <v>231023</v>
      </c>
    </row>
    <row r="22032" spans="1:15" x14ac:dyDescent="0.25">
      <c r="A22032" t="s">
        <v>16</v>
      </c>
      <c r="B22032" t="s">
        <v>3221</v>
      </c>
      <c r="C22032">
        <v>14168</v>
      </c>
      <c r="D22032" t="s">
        <v>263</v>
      </c>
      <c r="E22032" t="s">
        <v>264</v>
      </c>
      <c r="F22032">
        <v>16.27</v>
      </c>
      <c r="G22032">
        <v>231004</v>
      </c>
      <c r="H22032">
        <v>4362</v>
      </c>
      <c r="I22032" t="s">
        <v>79</v>
      </c>
      <c r="J22032">
        <v>20.170000000000002</v>
      </c>
      <c r="K22032">
        <v>3.9</v>
      </c>
      <c r="L22032">
        <v>14321</v>
      </c>
      <c r="M22032" t="s">
        <v>717</v>
      </c>
      <c r="N22032" t="str">
        <f t="shared" si="399"/>
        <v xml:space="preserve">12340023781 </v>
      </c>
      <c r="O22032">
        <v>231023</v>
      </c>
    </row>
    <row r="22033" spans="1:15" x14ac:dyDescent="0.25">
      <c r="A22033" t="s">
        <v>16</v>
      </c>
      <c r="B22033" t="s">
        <v>3221</v>
      </c>
      <c r="C22033">
        <v>14168</v>
      </c>
      <c r="D22033" t="s">
        <v>263</v>
      </c>
      <c r="E22033" t="s">
        <v>264</v>
      </c>
      <c r="F22033">
        <v>15.31</v>
      </c>
      <c r="G22033">
        <v>231004</v>
      </c>
      <c r="H22033">
        <v>4362</v>
      </c>
      <c r="I22033" t="s">
        <v>79</v>
      </c>
      <c r="J22033">
        <v>18.989999999999998</v>
      </c>
      <c r="K22033">
        <v>3.68</v>
      </c>
      <c r="L22033">
        <v>14422</v>
      </c>
      <c r="M22033" t="s">
        <v>228</v>
      </c>
      <c r="N22033" t="str">
        <f t="shared" si="399"/>
        <v xml:space="preserve">12340023781 </v>
      </c>
      <c r="O22033">
        <v>231023</v>
      </c>
    </row>
    <row r="22034" spans="1:15" x14ac:dyDescent="0.25">
      <c r="A22034" t="s">
        <v>16</v>
      </c>
      <c r="B22034" t="s">
        <v>3221</v>
      </c>
      <c r="C22034">
        <v>14168</v>
      </c>
      <c r="D22034" t="s">
        <v>263</v>
      </c>
      <c r="E22034" t="s">
        <v>264</v>
      </c>
      <c r="F22034">
        <v>8.1</v>
      </c>
      <c r="G22034">
        <v>231004</v>
      </c>
      <c r="H22034">
        <v>4362</v>
      </c>
      <c r="I22034" t="s">
        <v>79</v>
      </c>
      <c r="J22034">
        <v>10.039999999999999</v>
      </c>
      <c r="K22034">
        <v>1.94</v>
      </c>
      <c r="L22034">
        <v>14431</v>
      </c>
      <c r="M22034" t="s">
        <v>861</v>
      </c>
      <c r="N22034" t="str">
        <f t="shared" si="399"/>
        <v xml:space="preserve">12340023781 </v>
      </c>
      <c r="O22034">
        <v>231023</v>
      </c>
    </row>
    <row r="22035" spans="1:15" x14ac:dyDescent="0.25">
      <c r="A22035" t="s">
        <v>16</v>
      </c>
      <c r="B22035" t="s">
        <v>3221</v>
      </c>
      <c r="C22035">
        <v>14168</v>
      </c>
      <c r="D22035" t="s">
        <v>263</v>
      </c>
      <c r="E22035" t="s">
        <v>264</v>
      </c>
      <c r="F22035">
        <v>8.1</v>
      </c>
      <c r="G22035">
        <v>231004</v>
      </c>
      <c r="H22035">
        <v>4362</v>
      </c>
      <c r="I22035" t="s">
        <v>79</v>
      </c>
      <c r="J22035">
        <v>10.039999999999999</v>
      </c>
      <c r="K22035">
        <v>1.94</v>
      </c>
      <c r="L22035">
        <v>14432</v>
      </c>
      <c r="M22035" t="s">
        <v>862</v>
      </c>
      <c r="N22035" t="str">
        <f t="shared" si="399"/>
        <v xml:space="preserve">12340023781 </v>
      </c>
      <c r="O22035">
        <v>231023</v>
      </c>
    </row>
    <row r="22036" spans="1:15" x14ac:dyDescent="0.25">
      <c r="A22036" t="s">
        <v>16</v>
      </c>
      <c r="B22036" t="s">
        <v>3221</v>
      </c>
      <c r="C22036">
        <v>14168</v>
      </c>
      <c r="D22036" t="s">
        <v>263</v>
      </c>
      <c r="E22036" t="s">
        <v>264</v>
      </c>
      <c r="F22036">
        <v>3.9</v>
      </c>
      <c r="G22036">
        <v>231004</v>
      </c>
      <c r="H22036">
        <v>4362</v>
      </c>
      <c r="I22036" t="s">
        <v>79</v>
      </c>
      <c r="J22036">
        <v>4.84</v>
      </c>
      <c r="K22036">
        <v>0.94</v>
      </c>
      <c r="L22036">
        <v>14541</v>
      </c>
      <c r="M22036" t="s">
        <v>626</v>
      </c>
      <c r="N22036" t="str">
        <f t="shared" si="399"/>
        <v xml:space="preserve">12340023781 </v>
      </c>
      <c r="O22036">
        <v>231023</v>
      </c>
    </row>
    <row r="22037" spans="1:15" x14ac:dyDescent="0.25">
      <c r="A22037" t="s">
        <v>16</v>
      </c>
      <c r="B22037" t="s">
        <v>3221</v>
      </c>
      <c r="C22037">
        <v>14168</v>
      </c>
      <c r="D22037" t="s">
        <v>263</v>
      </c>
      <c r="E22037" t="s">
        <v>264</v>
      </c>
      <c r="F22037">
        <v>40.69</v>
      </c>
      <c r="G22037">
        <v>231004</v>
      </c>
      <c r="H22037">
        <v>4362</v>
      </c>
      <c r="I22037" t="s">
        <v>79</v>
      </c>
      <c r="J22037">
        <v>50.46</v>
      </c>
      <c r="K22037">
        <v>9.77</v>
      </c>
      <c r="L22037">
        <v>14622</v>
      </c>
      <c r="M22037" t="s">
        <v>1005</v>
      </c>
      <c r="N22037" t="str">
        <f t="shared" si="399"/>
        <v xml:space="preserve">12340023781 </v>
      </c>
      <c r="O22037">
        <v>231023</v>
      </c>
    </row>
    <row r="22038" spans="1:15" x14ac:dyDescent="0.25">
      <c r="A22038" t="s">
        <v>16</v>
      </c>
      <c r="B22038" t="s">
        <v>3221</v>
      </c>
      <c r="C22038">
        <v>14168</v>
      </c>
      <c r="D22038" t="s">
        <v>263</v>
      </c>
      <c r="E22038" t="s">
        <v>264</v>
      </c>
      <c r="F22038">
        <v>5.86</v>
      </c>
      <c r="G22038">
        <v>231004</v>
      </c>
      <c r="H22038">
        <v>4362</v>
      </c>
      <c r="I22038" t="s">
        <v>79</v>
      </c>
      <c r="J22038">
        <v>7.27</v>
      </c>
      <c r="K22038">
        <v>1.41</v>
      </c>
      <c r="L22038">
        <v>14640</v>
      </c>
      <c r="M22038" t="s">
        <v>229</v>
      </c>
      <c r="N22038" t="str">
        <f t="shared" si="399"/>
        <v xml:space="preserve">12340023781 </v>
      </c>
      <c r="O22038">
        <v>231023</v>
      </c>
    </row>
    <row r="22039" spans="1:15" x14ac:dyDescent="0.25">
      <c r="A22039" t="s">
        <v>16</v>
      </c>
      <c r="B22039" t="s">
        <v>3221</v>
      </c>
      <c r="C22039">
        <v>14168</v>
      </c>
      <c r="D22039" t="s">
        <v>263</v>
      </c>
      <c r="E22039" t="s">
        <v>264</v>
      </c>
      <c r="F22039">
        <v>2.69</v>
      </c>
      <c r="G22039">
        <v>231004</v>
      </c>
      <c r="H22039">
        <v>4362</v>
      </c>
      <c r="I22039" t="s">
        <v>79</v>
      </c>
      <c r="J22039">
        <v>3.34</v>
      </c>
      <c r="K22039">
        <v>0.65</v>
      </c>
      <c r="L22039">
        <v>14861</v>
      </c>
      <c r="M22039" t="s">
        <v>785</v>
      </c>
      <c r="N22039" t="str">
        <f t="shared" si="399"/>
        <v xml:space="preserve">12340023781 </v>
      </c>
      <c r="O22039">
        <v>231023</v>
      </c>
    </row>
    <row r="22040" spans="1:15" x14ac:dyDescent="0.25">
      <c r="A22040" t="s">
        <v>16</v>
      </c>
      <c r="B22040" t="s">
        <v>3221</v>
      </c>
      <c r="C22040">
        <v>14168</v>
      </c>
      <c r="D22040" t="s">
        <v>263</v>
      </c>
      <c r="E22040" t="s">
        <v>264</v>
      </c>
      <c r="F22040">
        <v>5.8</v>
      </c>
      <c r="G22040">
        <v>231004</v>
      </c>
      <c r="H22040">
        <v>4362</v>
      </c>
      <c r="I22040" t="s">
        <v>79</v>
      </c>
      <c r="J22040">
        <v>7.19</v>
      </c>
      <c r="K22040">
        <v>1.39</v>
      </c>
      <c r="L22040">
        <v>14912</v>
      </c>
      <c r="M22040" t="s">
        <v>230</v>
      </c>
      <c r="N22040" t="str">
        <f t="shared" si="399"/>
        <v xml:space="preserve">12340023781 </v>
      </c>
      <c r="O22040">
        <v>231023</v>
      </c>
    </row>
    <row r="22041" spans="1:15" x14ac:dyDescent="0.25">
      <c r="A22041" t="s">
        <v>16</v>
      </c>
      <c r="B22041" t="s">
        <v>3221</v>
      </c>
      <c r="C22041">
        <v>14168</v>
      </c>
      <c r="D22041" t="s">
        <v>263</v>
      </c>
      <c r="E22041" t="s">
        <v>264</v>
      </c>
      <c r="F22041">
        <v>2.82</v>
      </c>
      <c r="G22041">
        <v>231004</v>
      </c>
      <c r="H22041">
        <v>4362</v>
      </c>
      <c r="I22041" t="s">
        <v>79</v>
      </c>
      <c r="J22041">
        <v>3.5</v>
      </c>
      <c r="K22041">
        <v>0.68</v>
      </c>
      <c r="L22041">
        <v>14971</v>
      </c>
      <c r="M22041" t="s">
        <v>1259</v>
      </c>
      <c r="N22041" t="str">
        <f t="shared" si="399"/>
        <v xml:space="preserve">12340023781 </v>
      </c>
      <c r="O22041">
        <v>231023</v>
      </c>
    </row>
    <row r="22042" spans="1:15" x14ac:dyDescent="0.25">
      <c r="A22042" t="s">
        <v>16</v>
      </c>
      <c r="B22042" t="s">
        <v>3221</v>
      </c>
      <c r="C22042">
        <v>14168</v>
      </c>
      <c r="D22042" t="s">
        <v>263</v>
      </c>
      <c r="E22042" t="s">
        <v>264</v>
      </c>
      <c r="F22042">
        <v>3.51</v>
      </c>
      <c r="G22042">
        <v>231004</v>
      </c>
      <c r="H22042">
        <v>4362</v>
      </c>
      <c r="I22042" t="s">
        <v>79</v>
      </c>
      <c r="J22042">
        <v>4.3499999999999996</v>
      </c>
      <c r="K22042">
        <v>0.84</v>
      </c>
      <c r="L22042">
        <v>14972</v>
      </c>
      <c r="M22042" t="s">
        <v>898</v>
      </c>
      <c r="N22042" t="str">
        <f t="shared" si="399"/>
        <v xml:space="preserve">12340023781 </v>
      </c>
      <c r="O22042">
        <v>231023</v>
      </c>
    </row>
    <row r="22043" spans="1:15" x14ac:dyDescent="0.25">
      <c r="A22043" t="s">
        <v>16</v>
      </c>
      <c r="B22043" t="s">
        <v>3221</v>
      </c>
      <c r="C22043">
        <v>14168</v>
      </c>
      <c r="D22043" t="s">
        <v>263</v>
      </c>
      <c r="E22043" t="s">
        <v>264</v>
      </c>
      <c r="F22043">
        <v>3.44</v>
      </c>
      <c r="G22043">
        <v>231004</v>
      </c>
      <c r="H22043">
        <v>4362</v>
      </c>
      <c r="I22043" t="s">
        <v>79</v>
      </c>
      <c r="J22043">
        <v>4.26</v>
      </c>
      <c r="K22043">
        <v>0.82</v>
      </c>
      <c r="L22043">
        <v>14974</v>
      </c>
      <c r="M22043" t="s">
        <v>1340</v>
      </c>
      <c r="N22043" t="str">
        <f t="shared" si="399"/>
        <v xml:space="preserve">12340023781 </v>
      </c>
      <c r="O22043">
        <v>231023</v>
      </c>
    </row>
    <row r="22044" spans="1:15" x14ac:dyDescent="0.25">
      <c r="A22044" t="s">
        <v>16</v>
      </c>
      <c r="B22044" t="s">
        <v>3221</v>
      </c>
      <c r="C22044">
        <v>14168</v>
      </c>
      <c r="D22044" t="s">
        <v>263</v>
      </c>
      <c r="E22044" t="s">
        <v>264</v>
      </c>
      <c r="F22044">
        <v>2.69</v>
      </c>
      <c r="G22044">
        <v>231004</v>
      </c>
      <c r="H22044">
        <v>4362</v>
      </c>
      <c r="I22044" t="s">
        <v>79</v>
      </c>
      <c r="J22044">
        <v>3.34</v>
      </c>
      <c r="K22044">
        <v>0.65</v>
      </c>
      <c r="L22044">
        <v>14975</v>
      </c>
      <c r="M22044" t="s">
        <v>1341</v>
      </c>
      <c r="N22044" t="str">
        <f t="shared" si="399"/>
        <v xml:space="preserve">12340023781 </v>
      </c>
      <c r="O22044">
        <v>231023</v>
      </c>
    </row>
    <row r="22045" spans="1:15" x14ac:dyDescent="0.25">
      <c r="A22045" t="s">
        <v>16</v>
      </c>
      <c r="B22045" t="s">
        <v>3221</v>
      </c>
      <c r="C22045">
        <v>14168</v>
      </c>
      <c r="D22045" t="s">
        <v>263</v>
      </c>
      <c r="E22045" t="s">
        <v>264</v>
      </c>
      <c r="F22045">
        <v>3.17</v>
      </c>
      <c r="G22045">
        <v>231004</v>
      </c>
      <c r="H22045">
        <v>4362</v>
      </c>
      <c r="I22045" t="s">
        <v>79</v>
      </c>
      <c r="J22045">
        <v>3.93</v>
      </c>
      <c r="K22045">
        <v>0.76</v>
      </c>
      <c r="L22045">
        <v>14975</v>
      </c>
      <c r="M22045" t="s">
        <v>1341</v>
      </c>
      <c r="N22045" t="str">
        <f t="shared" si="399"/>
        <v xml:space="preserve">12340023781 </v>
      </c>
      <c r="O22045">
        <v>231023</v>
      </c>
    </row>
    <row r="22046" spans="1:15" x14ac:dyDescent="0.25">
      <c r="A22046" t="s">
        <v>16</v>
      </c>
      <c r="B22046" t="s">
        <v>3221</v>
      </c>
      <c r="C22046">
        <v>14168</v>
      </c>
      <c r="D22046" t="s">
        <v>263</v>
      </c>
      <c r="E22046" t="s">
        <v>264</v>
      </c>
      <c r="F22046">
        <v>2.69</v>
      </c>
      <c r="G22046">
        <v>231004</v>
      </c>
      <c r="H22046">
        <v>4362</v>
      </c>
      <c r="I22046" t="s">
        <v>79</v>
      </c>
      <c r="J22046">
        <v>3.34</v>
      </c>
      <c r="K22046">
        <v>0.65</v>
      </c>
      <c r="L22046">
        <v>14990</v>
      </c>
      <c r="M22046" t="s">
        <v>1725</v>
      </c>
      <c r="N22046" t="str">
        <f t="shared" si="399"/>
        <v xml:space="preserve">12340023781 </v>
      </c>
      <c r="O22046">
        <v>231023</v>
      </c>
    </row>
    <row r="22047" spans="1:15" x14ac:dyDescent="0.25">
      <c r="A22047" t="s">
        <v>16</v>
      </c>
      <c r="B22047" t="s">
        <v>3221</v>
      </c>
      <c r="C22047">
        <v>14188</v>
      </c>
      <c r="D22047" t="s">
        <v>263</v>
      </c>
      <c r="E22047" t="s">
        <v>264</v>
      </c>
      <c r="F22047">
        <v>3.4</v>
      </c>
      <c r="G22047">
        <v>231004</v>
      </c>
      <c r="H22047">
        <v>4362</v>
      </c>
      <c r="I22047" t="s">
        <v>79</v>
      </c>
      <c r="J22047">
        <v>3.4</v>
      </c>
      <c r="K22047">
        <v>0</v>
      </c>
      <c r="L22047">
        <v>13201</v>
      </c>
      <c r="M22047" t="s">
        <v>161</v>
      </c>
      <c r="N22047" t="str">
        <f t="shared" ref="N22047:N22058" si="400">"12340023773 "</f>
        <v xml:space="preserve">12340023773 </v>
      </c>
      <c r="O22047">
        <v>231023</v>
      </c>
    </row>
    <row r="22048" spans="1:15" x14ac:dyDescent="0.25">
      <c r="A22048" t="s">
        <v>16</v>
      </c>
      <c r="B22048" t="s">
        <v>3221</v>
      </c>
      <c r="C22048">
        <v>14188</v>
      </c>
      <c r="D22048" t="s">
        <v>263</v>
      </c>
      <c r="E22048" t="s">
        <v>264</v>
      </c>
      <c r="F22048">
        <v>24.35</v>
      </c>
      <c r="G22048">
        <v>231004</v>
      </c>
      <c r="H22048">
        <v>4362</v>
      </c>
      <c r="I22048" t="s">
        <v>79</v>
      </c>
      <c r="J22048">
        <v>30.2</v>
      </c>
      <c r="K22048">
        <v>5.85</v>
      </c>
      <c r="L22048">
        <v>13401</v>
      </c>
      <c r="M22048" t="s">
        <v>80</v>
      </c>
      <c r="N22048" t="str">
        <f t="shared" si="400"/>
        <v xml:space="preserve">12340023773 </v>
      </c>
      <c r="O22048">
        <v>231023</v>
      </c>
    </row>
    <row r="22049" spans="1:15" x14ac:dyDescent="0.25">
      <c r="A22049" t="s">
        <v>16</v>
      </c>
      <c r="B22049" t="s">
        <v>3221</v>
      </c>
      <c r="C22049">
        <v>14188</v>
      </c>
      <c r="D22049" t="s">
        <v>263</v>
      </c>
      <c r="E22049" t="s">
        <v>264</v>
      </c>
      <c r="F22049">
        <v>5.65</v>
      </c>
      <c r="G22049">
        <v>231004</v>
      </c>
      <c r="H22049">
        <v>4362</v>
      </c>
      <c r="I22049" t="s">
        <v>79</v>
      </c>
      <c r="J22049">
        <v>7</v>
      </c>
      <c r="K22049">
        <v>1.35</v>
      </c>
      <c r="L22049">
        <v>13401</v>
      </c>
      <c r="M22049" t="s">
        <v>80</v>
      </c>
      <c r="N22049" t="str">
        <f t="shared" si="400"/>
        <v xml:space="preserve">12340023773 </v>
      </c>
      <c r="O22049">
        <v>231023</v>
      </c>
    </row>
    <row r="22050" spans="1:15" x14ac:dyDescent="0.25">
      <c r="A22050" t="s">
        <v>16</v>
      </c>
      <c r="B22050" t="s">
        <v>3221</v>
      </c>
      <c r="C22050">
        <v>14188</v>
      </c>
      <c r="D22050" t="s">
        <v>263</v>
      </c>
      <c r="E22050" t="s">
        <v>264</v>
      </c>
      <c r="F22050">
        <v>24.68</v>
      </c>
      <c r="G22050">
        <v>231004</v>
      </c>
      <c r="H22050">
        <v>4362</v>
      </c>
      <c r="I22050" t="s">
        <v>79</v>
      </c>
      <c r="J22050">
        <v>30.6</v>
      </c>
      <c r="K22050">
        <v>5.92</v>
      </c>
      <c r="L22050">
        <v>13501</v>
      </c>
      <c r="M22050" t="s">
        <v>20</v>
      </c>
      <c r="N22050" t="str">
        <f t="shared" si="400"/>
        <v xml:space="preserve">12340023773 </v>
      </c>
      <c r="O22050">
        <v>231023</v>
      </c>
    </row>
    <row r="22051" spans="1:15" x14ac:dyDescent="0.25">
      <c r="A22051" t="s">
        <v>16</v>
      </c>
      <c r="B22051" t="s">
        <v>3221</v>
      </c>
      <c r="C22051">
        <v>14188</v>
      </c>
      <c r="D22051" t="s">
        <v>263</v>
      </c>
      <c r="E22051" t="s">
        <v>264</v>
      </c>
      <c r="F22051">
        <v>2.82</v>
      </c>
      <c r="G22051">
        <v>231004</v>
      </c>
      <c r="H22051">
        <v>4362</v>
      </c>
      <c r="I22051" t="s">
        <v>79</v>
      </c>
      <c r="J22051">
        <v>3.5</v>
      </c>
      <c r="K22051">
        <v>0.68</v>
      </c>
      <c r="L22051">
        <v>13501</v>
      </c>
      <c r="M22051" t="s">
        <v>20</v>
      </c>
      <c r="N22051" t="str">
        <f t="shared" si="400"/>
        <v xml:space="preserve">12340023773 </v>
      </c>
      <c r="O22051">
        <v>231023</v>
      </c>
    </row>
    <row r="22052" spans="1:15" x14ac:dyDescent="0.25">
      <c r="A22052" t="s">
        <v>16</v>
      </c>
      <c r="B22052" t="s">
        <v>3221</v>
      </c>
      <c r="C22052">
        <v>14188</v>
      </c>
      <c r="D22052" t="s">
        <v>263</v>
      </c>
      <c r="E22052" t="s">
        <v>264</v>
      </c>
      <c r="F22052">
        <v>2.82</v>
      </c>
      <c r="G22052">
        <v>231004</v>
      </c>
      <c r="H22052">
        <v>4362</v>
      </c>
      <c r="I22052" t="s">
        <v>79</v>
      </c>
      <c r="J22052">
        <v>3.5</v>
      </c>
      <c r="K22052">
        <v>0.68</v>
      </c>
      <c r="L22052">
        <v>13561</v>
      </c>
      <c r="M22052" t="s">
        <v>246</v>
      </c>
      <c r="N22052" t="str">
        <f t="shared" si="400"/>
        <v xml:space="preserve">12340023773 </v>
      </c>
      <c r="O22052">
        <v>231023</v>
      </c>
    </row>
    <row r="22053" spans="1:15" x14ac:dyDescent="0.25">
      <c r="A22053" t="s">
        <v>16</v>
      </c>
      <c r="B22053" t="s">
        <v>3221</v>
      </c>
      <c r="C22053">
        <v>14188</v>
      </c>
      <c r="D22053" t="s">
        <v>263</v>
      </c>
      <c r="E22053" t="s">
        <v>264</v>
      </c>
      <c r="F22053">
        <v>2.82</v>
      </c>
      <c r="G22053">
        <v>231004</v>
      </c>
      <c r="H22053">
        <v>4362</v>
      </c>
      <c r="I22053" t="s">
        <v>79</v>
      </c>
      <c r="J22053">
        <v>3.5</v>
      </c>
      <c r="K22053">
        <v>0.68</v>
      </c>
      <c r="L22053">
        <v>13601</v>
      </c>
      <c r="M22053" t="s">
        <v>147</v>
      </c>
      <c r="N22053" t="str">
        <f t="shared" si="400"/>
        <v xml:space="preserve">12340023773 </v>
      </c>
      <c r="O22053">
        <v>231023</v>
      </c>
    </row>
    <row r="22054" spans="1:15" x14ac:dyDescent="0.25">
      <c r="A22054" t="s">
        <v>16</v>
      </c>
      <c r="B22054" t="s">
        <v>3221</v>
      </c>
      <c r="C22054">
        <v>14188</v>
      </c>
      <c r="D22054" t="s">
        <v>263</v>
      </c>
      <c r="E22054" t="s">
        <v>264</v>
      </c>
      <c r="F22054">
        <v>2.82</v>
      </c>
      <c r="G22054">
        <v>231004</v>
      </c>
      <c r="H22054">
        <v>4362</v>
      </c>
      <c r="I22054" t="s">
        <v>79</v>
      </c>
      <c r="J22054">
        <v>3.5</v>
      </c>
      <c r="K22054">
        <v>0.68</v>
      </c>
      <c r="L22054">
        <v>13661</v>
      </c>
      <c r="M22054" t="s">
        <v>247</v>
      </c>
      <c r="N22054" t="str">
        <f t="shared" si="400"/>
        <v xml:space="preserve">12340023773 </v>
      </c>
      <c r="O22054">
        <v>231023</v>
      </c>
    </row>
    <row r="22055" spans="1:15" x14ac:dyDescent="0.25">
      <c r="A22055" t="s">
        <v>16</v>
      </c>
      <c r="B22055" t="s">
        <v>3221</v>
      </c>
      <c r="C22055">
        <v>14188</v>
      </c>
      <c r="D22055" t="s">
        <v>263</v>
      </c>
      <c r="E22055" t="s">
        <v>264</v>
      </c>
      <c r="F22055">
        <v>13.06</v>
      </c>
      <c r="G22055">
        <v>231004</v>
      </c>
      <c r="H22055">
        <v>4362</v>
      </c>
      <c r="I22055" t="s">
        <v>79</v>
      </c>
      <c r="J22055">
        <v>16.2</v>
      </c>
      <c r="K22055">
        <v>3.14</v>
      </c>
      <c r="L22055">
        <v>13801</v>
      </c>
      <c r="M22055" t="s">
        <v>162</v>
      </c>
      <c r="N22055" t="str">
        <f t="shared" si="400"/>
        <v xml:space="preserve">12340023773 </v>
      </c>
      <c r="O22055">
        <v>231023</v>
      </c>
    </row>
    <row r="22056" spans="1:15" x14ac:dyDescent="0.25">
      <c r="A22056" t="s">
        <v>16</v>
      </c>
      <c r="B22056" t="s">
        <v>3221</v>
      </c>
      <c r="C22056">
        <v>14188</v>
      </c>
      <c r="D22056" t="s">
        <v>263</v>
      </c>
      <c r="E22056" t="s">
        <v>264</v>
      </c>
      <c r="F22056">
        <v>13.51</v>
      </c>
      <c r="G22056">
        <v>231004</v>
      </c>
      <c r="H22056">
        <v>4362</v>
      </c>
      <c r="I22056" t="s">
        <v>79</v>
      </c>
      <c r="J22056">
        <v>16.75</v>
      </c>
      <c r="K22056">
        <v>3.24</v>
      </c>
      <c r="L22056">
        <v>13801</v>
      </c>
      <c r="M22056" t="s">
        <v>162</v>
      </c>
      <c r="N22056" t="str">
        <f t="shared" si="400"/>
        <v xml:space="preserve">12340023773 </v>
      </c>
      <c r="O22056">
        <v>231023</v>
      </c>
    </row>
    <row r="22057" spans="1:15" x14ac:dyDescent="0.25">
      <c r="A22057" t="s">
        <v>16</v>
      </c>
      <c r="B22057" t="s">
        <v>3221</v>
      </c>
      <c r="C22057">
        <v>14188</v>
      </c>
      <c r="D22057" t="s">
        <v>263</v>
      </c>
      <c r="E22057" t="s">
        <v>264</v>
      </c>
      <c r="F22057">
        <v>13.47</v>
      </c>
      <c r="G22057">
        <v>231004</v>
      </c>
      <c r="H22057">
        <v>4362</v>
      </c>
      <c r="I22057" t="s">
        <v>79</v>
      </c>
      <c r="J22057">
        <v>16.7</v>
      </c>
      <c r="K22057">
        <v>3.23</v>
      </c>
      <c r="L22057">
        <v>13802</v>
      </c>
      <c r="M22057" t="s">
        <v>200</v>
      </c>
      <c r="N22057" t="str">
        <f t="shared" si="400"/>
        <v xml:space="preserve">12340023773 </v>
      </c>
      <c r="O22057">
        <v>231023</v>
      </c>
    </row>
    <row r="22058" spans="1:15" x14ac:dyDescent="0.25">
      <c r="A22058" t="s">
        <v>16</v>
      </c>
      <c r="B22058" t="s">
        <v>3221</v>
      </c>
      <c r="C22058">
        <v>14188</v>
      </c>
      <c r="D22058" t="s">
        <v>263</v>
      </c>
      <c r="E22058" t="s">
        <v>264</v>
      </c>
      <c r="F22058">
        <v>2.4</v>
      </c>
      <c r="G22058">
        <v>231004</v>
      </c>
      <c r="H22058">
        <v>4362</v>
      </c>
      <c r="I22058" t="s">
        <v>79</v>
      </c>
      <c r="J22058">
        <v>2.98</v>
      </c>
      <c r="K22058">
        <v>0.57999999999999996</v>
      </c>
      <c r="L22058">
        <v>17971</v>
      </c>
      <c r="M22058" t="s">
        <v>138</v>
      </c>
      <c r="N22058" t="str">
        <f t="shared" si="400"/>
        <v xml:space="preserve">12340023773 </v>
      </c>
      <c r="O22058">
        <v>231023</v>
      </c>
    </row>
    <row r="22059" spans="1:15" x14ac:dyDescent="0.25">
      <c r="A22059" t="s">
        <v>16</v>
      </c>
      <c r="B22059" t="s">
        <v>3221</v>
      </c>
      <c r="C22059">
        <v>14208</v>
      </c>
      <c r="D22059" t="s">
        <v>263</v>
      </c>
      <c r="E22059" t="s">
        <v>264</v>
      </c>
      <c r="F22059">
        <v>5.25</v>
      </c>
      <c r="G22059">
        <v>231004</v>
      </c>
      <c r="H22059">
        <v>4362</v>
      </c>
      <c r="I22059" t="s">
        <v>79</v>
      </c>
      <c r="J22059">
        <v>6.51</v>
      </c>
      <c r="K22059">
        <v>1.26</v>
      </c>
      <c r="L22059">
        <v>16321</v>
      </c>
      <c r="M22059" t="s">
        <v>423</v>
      </c>
      <c r="N22059" t="str">
        <f t="shared" ref="N22059:N22068" si="401">"12340023769 "</f>
        <v xml:space="preserve">12340023769 </v>
      </c>
      <c r="O22059">
        <v>231024</v>
      </c>
    </row>
    <row r="22060" spans="1:15" x14ac:dyDescent="0.25">
      <c r="A22060" t="s">
        <v>16</v>
      </c>
      <c r="B22060" t="s">
        <v>3221</v>
      </c>
      <c r="C22060">
        <v>14208</v>
      </c>
      <c r="D22060" t="s">
        <v>263</v>
      </c>
      <c r="E22060" t="s">
        <v>264</v>
      </c>
      <c r="F22060">
        <v>10.32</v>
      </c>
      <c r="G22060">
        <v>231004</v>
      </c>
      <c r="H22060">
        <v>4362</v>
      </c>
      <c r="I22060" t="s">
        <v>79</v>
      </c>
      <c r="J22060">
        <v>12.8</v>
      </c>
      <c r="K22060">
        <v>2.48</v>
      </c>
      <c r="L22060">
        <v>16431</v>
      </c>
      <c r="M22060" t="s">
        <v>231</v>
      </c>
      <c r="N22060" t="str">
        <f t="shared" si="401"/>
        <v xml:space="preserve">12340023769 </v>
      </c>
      <c r="O22060">
        <v>231024</v>
      </c>
    </row>
    <row r="22061" spans="1:15" x14ac:dyDescent="0.25">
      <c r="A22061" t="s">
        <v>16</v>
      </c>
      <c r="B22061" t="s">
        <v>3221</v>
      </c>
      <c r="C22061">
        <v>14208</v>
      </c>
      <c r="D22061" t="s">
        <v>263</v>
      </c>
      <c r="E22061" t="s">
        <v>264</v>
      </c>
      <c r="F22061">
        <v>40.119999999999997</v>
      </c>
      <c r="G22061">
        <v>231004</v>
      </c>
      <c r="H22061">
        <v>4362</v>
      </c>
      <c r="I22061" t="s">
        <v>79</v>
      </c>
      <c r="J22061">
        <v>49.75</v>
      </c>
      <c r="K22061">
        <v>9.6300000000000008</v>
      </c>
      <c r="L22061">
        <v>17802</v>
      </c>
      <c r="M22061" t="s">
        <v>174</v>
      </c>
      <c r="N22061" t="str">
        <f t="shared" si="401"/>
        <v xml:space="preserve">12340023769 </v>
      </c>
      <c r="O22061">
        <v>231024</v>
      </c>
    </row>
    <row r="22062" spans="1:15" x14ac:dyDescent="0.25">
      <c r="A22062" t="s">
        <v>16</v>
      </c>
      <c r="B22062" t="s">
        <v>3221</v>
      </c>
      <c r="C22062">
        <v>14208</v>
      </c>
      <c r="D22062" t="s">
        <v>263</v>
      </c>
      <c r="E22062" t="s">
        <v>264</v>
      </c>
      <c r="F22062">
        <v>10.71</v>
      </c>
      <c r="G22062">
        <v>231004</v>
      </c>
      <c r="H22062">
        <v>4362</v>
      </c>
      <c r="I22062" t="s">
        <v>79</v>
      </c>
      <c r="J22062">
        <v>13.28</v>
      </c>
      <c r="K22062">
        <v>2.57</v>
      </c>
      <c r="L22062">
        <v>17803</v>
      </c>
      <c r="M22062" t="s">
        <v>389</v>
      </c>
      <c r="N22062" t="str">
        <f t="shared" si="401"/>
        <v xml:space="preserve">12340023769 </v>
      </c>
      <c r="O22062">
        <v>231024</v>
      </c>
    </row>
    <row r="22063" spans="1:15" x14ac:dyDescent="0.25">
      <c r="A22063" t="s">
        <v>16</v>
      </c>
      <c r="B22063" t="s">
        <v>3221</v>
      </c>
      <c r="C22063">
        <v>14208</v>
      </c>
      <c r="D22063" t="s">
        <v>263</v>
      </c>
      <c r="E22063" t="s">
        <v>264</v>
      </c>
      <c r="F22063">
        <v>3.91</v>
      </c>
      <c r="G22063">
        <v>231004</v>
      </c>
      <c r="H22063">
        <v>4362</v>
      </c>
      <c r="I22063" t="s">
        <v>79</v>
      </c>
      <c r="J22063">
        <v>4.8499999999999996</v>
      </c>
      <c r="K22063">
        <v>0.94</v>
      </c>
      <c r="L22063">
        <v>17804</v>
      </c>
      <c r="M22063" t="s">
        <v>549</v>
      </c>
      <c r="N22063" t="str">
        <f t="shared" si="401"/>
        <v xml:space="preserve">12340023769 </v>
      </c>
      <c r="O22063">
        <v>231024</v>
      </c>
    </row>
    <row r="22064" spans="1:15" x14ac:dyDescent="0.25">
      <c r="A22064" t="s">
        <v>16</v>
      </c>
      <c r="B22064" t="s">
        <v>3221</v>
      </c>
      <c r="C22064">
        <v>14208</v>
      </c>
      <c r="D22064" t="s">
        <v>263</v>
      </c>
      <c r="E22064" t="s">
        <v>264</v>
      </c>
      <c r="F22064">
        <v>2.7</v>
      </c>
      <c r="G22064">
        <v>231004</v>
      </c>
      <c r="H22064">
        <v>4362</v>
      </c>
      <c r="I22064" t="s">
        <v>79</v>
      </c>
      <c r="J22064">
        <v>3.35</v>
      </c>
      <c r="K22064">
        <v>0.65</v>
      </c>
      <c r="L22064">
        <v>17805</v>
      </c>
      <c r="M22064" t="s">
        <v>102</v>
      </c>
      <c r="N22064" t="str">
        <f t="shared" si="401"/>
        <v xml:space="preserve">12340023769 </v>
      </c>
      <c r="O22064">
        <v>231024</v>
      </c>
    </row>
    <row r="22065" spans="1:15" x14ac:dyDescent="0.25">
      <c r="A22065" t="s">
        <v>16</v>
      </c>
      <c r="B22065" t="s">
        <v>3221</v>
      </c>
      <c r="C22065">
        <v>14208</v>
      </c>
      <c r="D22065" t="s">
        <v>263</v>
      </c>
      <c r="E22065" t="s">
        <v>264</v>
      </c>
      <c r="F22065">
        <v>5.53</v>
      </c>
      <c r="G22065">
        <v>231004</v>
      </c>
      <c r="H22065">
        <v>4362</v>
      </c>
      <c r="I22065" t="s">
        <v>79</v>
      </c>
      <c r="J22065">
        <v>6.86</v>
      </c>
      <c r="K22065">
        <v>1.33</v>
      </c>
      <c r="L22065">
        <v>17806</v>
      </c>
      <c r="M22065" t="s">
        <v>265</v>
      </c>
      <c r="N22065" t="str">
        <f t="shared" si="401"/>
        <v xml:space="preserve">12340023769 </v>
      </c>
      <c r="O22065">
        <v>231024</v>
      </c>
    </row>
    <row r="22066" spans="1:15" x14ac:dyDescent="0.25">
      <c r="A22066" t="s">
        <v>16</v>
      </c>
      <c r="B22066" t="s">
        <v>3221</v>
      </c>
      <c r="C22066">
        <v>14208</v>
      </c>
      <c r="D22066" t="s">
        <v>263</v>
      </c>
      <c r="E22066" t="s">
        <v>264</v>
      </c>
      <c r="F22066">
        <v>16.05</v>
      </c>
      <c r="G22066">
        <v>231004</v>
      </c>
      <c r="H22066">
        <v>4362</v>
      </c>
      <c r="I22066" t="s">
        <v>79</v>
      </c>
      <c r="J22066">
        <v>19.899999999999999</v>
      </c>
      <c r="K22066">
        <v>3.85</v>
      </c>
      <c r="L22066">
        <v>17807</v>
      </c>
      <c r="M22066" t="s">
        <v>318</v>
      </c>
      <c r="N22066" t="str">
        <f t="shared" si="401"/>
        <v xml:space="preserve">12340023769 </v>
      </c>
      <c r="O22066">
        <v>231024</v>
      </c>
    </row>
    <row r="22067" spans="1:15" x14ac:dyDescent="0.25">
      <c r="A22067" t="s">
        <v>16</v>
      </c>
      <c r="B22067" t="s">
        <v>3221</v>
      </c>
      <c r="C22067">
        <v>14208</v>
      </c>
      <c r="D22067" t="s">
        <v>263</v>
      </c>
      <c r="E22067" t="s">
        <v>264</v>
      </c>
      <c r="F22067">
        <v>8.1</v>
      </c>
      <c r="G22067">
        <v>231004</v>
      </c>
      <c r="H22067">
        <v>4362</v>
      </c>
      <c r="I22067" t="s">
        <v>79</v>
      </c>
      <c r="J22067">
        <v>10.039999999999999</v>
      </c>
      <c r="K22067">
        <v>1.94</v>
      </c>
      <c r="L22067">
        <v>17808</v>
      </c>
      <c r="M22067" t="s">
        <v>322</v>
      </c>
      <c r="N22067" t="str">
        <f t="shared" si="401"/>
        <v xml:space="preserve">12340023769 </v>
      </c>
      <c r="O22067">
        <v>231024</v>
      </c>
    </row>
    <row r="22068" spans="1:15" x14ac:dyDescent="0.25">
      <c r="A22068" t="s">
        <v>16</v>
      </c>
      <c r="B22068" t="s">
        <v>3221</v>
      </c>
      <c r="C22068">
        <v>14208</v>
      </c>
      <c r="D22068" t="s">
        <v>263</v>
      </c>
      <c r="E22068" t="s">
        <v>264</v>
      </c>
      <c r="F22068">
        <v>8.06</v>
      </c>
      <c r="G22068">
        <v>231004</v>
      </c>
      <c r="H22068">
        <v>4362</v>
      </c>
      <c r="I22068" t="s">
        <v>79</v>
      </c>
      <c r="J22068">
        <v>9.99</v>
      </c>
      <c r="K22068">
        <v>1.93</v>
      </c>
      <c r="L22068">
        <v>17809</v>
      </c>
      <c r="M22068" t="s">
        <v>376</v>
      </c>
      <c r="N22068" t="str">
        <f t="shared" si="401"/>
        <v xml:space="preserve">12340023769 </v>
      </c>
      <c r="O22068">
        <v>231024</v>
      </c>
    </row>
    <row r="22069" spans="1:15" x14ac:dyDescent="0.25">
      <c r="A22069" t="s">
        <v>16</v>
      </c>
      <c r="B22069" t="s">
        <v>3221</v>
      </c>
      <c r="C22069">
        <v>14209</v>
      </c>
      <c r="D22069" t="s">
        <v>263</v>
      </c>
      <c r="E22069" t="s">
        <v>264</v>
      </c>
      <c r="F22069">
        <v>24.8</v>
      </c>
      <c r="G22069">
        <v>231004</v>
      </c>
      <c r="H22069">
        <v>4362</v>
      </c>
      <c r="I22069" t="s">
        <v>79</v>
      </c>
      <c r="J22069">
        <v>30.75</v>
      </c>
      <c r="K22069">
        <v>5.95</v>
      </c>
      <c r="L22069">
        <v>16121</v>
      </c>
      <c r="M22069" t="s">
        <v>21</v>
      </c>
      <c r="N22069" t="str">
        <f t="shared" ref="N22069:N22077" si="402">"12340023772 "</f>
        <v xml:space="preserve">12340023772 </v>
      </c>
      <c r="O22069">
        <v>231024</v>
      </c>
    </row>
    <row r="22070" spans="1:15" x14ac:dyDescent="0.25">
      <c r="A22070" t="s">
        <v>16</v>
      </c>
      <c r="B22070" t="s">
        <v>3221</v>
      </c>
      <c r="C22070">
        <v>14209</v>
      </c>
      <c r="D22070" t="s">
        <v>263</v>
      </c>
      <c r="E22070" t="s">
        <v>264</v>
      </c>
      <c r="F22070">
        <v>5.4</v>
      </c>
      <c r="G22070">
        <v>231004</v>
      </c>
      <c r="H22070">
        <v>4362</v>
      </c>
      <c r="I22070" t="s">
        <v>79</v>
      </c>
      <c r="J22070">
        <v>6.69</v>
      </c>
      <c r="K22070">
        <v>1.29</v>
      </c>
      <c r="L22070">
        <v>16322</v>
      </c>
      <c r="M22070" t="s">
        <v>22</v>
      </c>
      <c r="N22070" t="str">
        <f t="shared" si="402"/>
        <v xml:space="preserve">12340023772 </v>
      </c>
      <c r="O22070">
        <v>231024</v>
      </c>
    </row>
    <row r="22071" spans="1:15" x14ac:dyDescent="0.25">
      <c r="A22071" t="s">
        <v>16</v>
      </c>
      <c r="B22071" t="s">
        <v>3221</v>
      </c>
      <c r="C22071">
        <v>14209</v>
      </c>
      <c r="D22071" t="s">
        <v>263</v>
      </c>
      <c r="E22071" t="s">
        <v>264</v>
      </c>
      <c r="F22071">
        <v>2.7</v>
      </c>
      <c r="G22071">
        <v>231004</v>
      </c>
      <c r="H22071">
        <v>4362</v>
      </c>
      <c r="I22071" t="s">
        <v>79</v>
      </c>
      <c r="J22071">
        <v>3.35</v>
      </c>
      <c r="K22071">
        <v>0.65</v>
      </c>
      <c r="L22071">
        <v>16820</v>
      </c>
      <c r="M22071" t="s">
        <v>23</v>
      </c>
      <c r="N22071" t="str">
        <f t="shared" si="402"/>
        <v xml:space="preserve">12340023772 </v>
      </c>
      <c r="O22071">
        <v>231024</v>
      </c>
    </row>
    <row r="22072" spans="1:15" x14ac:dyDescent="0.25">
      <c r="A22072" t="s">
        <v>16</v>
      </c>
      <c r="B22072" t="s">
        <v>3221</v>
      </c>
      <c r="C22072">
        <v>14209</v>
      </c>
      <c r="D22072" t="s">
        <v>263</v>
      </c>
      <c r="E22072" t="s">
        <v>264</v>
      </c>
      <c r="F22072">
        <v>6.01</v>
      </c>
      <c r="G22072">
        <v>231004</v>
      </c>
      <c r="H22072">
        <v>4362</v>
      </c>
      <c r="I22072" t="s">
        <v>79</v>
      </c>
      <c r="J22072">
        <v>7.45</v>
      </c>
      <c r="K22072">
        <v>1.44</v>
      </c>
      <c r="L22072">
        <v>16820</v>
      </c>
      <c r="M22072" t="s">
        <v>23</v>
      </c>
      <c r="N22072" t="str">
        <f t="shared" si="402"/>
        <v xml:space="preserve">12340023772 </v>
      </c>
      <c r="O22072">
        <v>231024</v>
      </c>
    </row>
    <row r="22073" spans="1:15" x14ac:dyDescent="0.25">
      <c r="A22073" t="s">
        <v>16</v>
      </c>
      <c r="B22073" t="s">
        <v>3221</v>
      </c>
      <c r="C22073">
        <v>14209</v>
      </c>
      <c r="D22073" t="s">
        <v>263</v>
      </c>
      <c r="E22073" t="s">
        <v>264</v>
      </c>
      <c r="F22073">
        <v>2.7</v>
      </c>
      <c r="G22073">
        <v>231004</v>
      </c>
      <c r="H22073">
        <v>4362</v>
      </c>
      <c r="I22073" t="s">
        <v>79</v>
      </c>
      <c r="J22073">
        <v>3.35</v>
      </c>
      <c r="K22073">
        <v>0.65</v>
      </c>
      <c r="L22073">
        <v>17950</v>
      </c>
      <c r="M22073" t="s">
        <v>86</v>
      </c>
      <c r="N22073" t="str">
        <f t="shared" si="402"/>
        <v xml:space="preserve">12340023772 </v>
      </c>
      <c r="O22073">
        <v>231024</v>
      </c>
    </row>
    <row r="22074" spans="1:15" x14ac:dyDescent="0.25">
      <c r="A22074" t="s">
        <v>16</v>
      </c>
      <c r="B22074" t="s">
        <v>3221</v>
      </c>
      <c r="C22074">
        <v>14209</v>
      </c>
      <c r="D22074" t="s">
        <v>263</v>
      </c>
      <c r="E22074" t="s">
        <v>264</v>
      </c>
      <c r="F22074">
        <v>2.7</v>
      </c>
      <c r="G22074">
        <v>231004</v>
      </c>
      <c r="H22074">
        <v>4362</v>
      </c>
      <c r="I22074" t="s">
        <v>79</v>
      </c>
      <c r="J22074">
        <v>3.35</v>
      </c>
      <c r="K22074">
        <v>0.65</v>
      </c>
      <c r="L22074">
        <v>17971</v>
      </c>
      <c r="M22074" t="s">
        <v>138</v>
      </c>
      <c r="N22074" t="str">
        <f t="shared" si="402"/>
        <v xml:space="preserve">12340023772 </v>
      </c>
      <c r="O22074">
        <v>231024</v>
      </c>
    </row>
    <row r="22075" spans="1:15" x14ac:dyDescent="0.25">
      <c r="A22075" t="s">
        <v>16</v>
      </c>
      <c r="B22075" t="s">
        <v>3221</v>
      </c>
      <c r="C22075">
        <v>14209</v>
      </c>
      <c r="D22075" t="s">
        <v>263</v>
      </c>
      <c r="E22075" t="s">
        <v>264</v>
      </c>
      <c r="F22075">
        <v>2.7</v>
      </c>
      <c r="G22075">
        <v>231004</v>
      </c>
      <c r="H22075">
        <v>4362</v>
      </c>
      <c r="I22075" t="s">
        <v>79</v>
      </c>
      <c r="J22075">
        <v>3.35</v>
      </c>
      <c r="K22075">
        <v>0.65</v>
      </c>
      <c r="L22075">
        <v>17972</v>
      </c>
      <c r="M22075" t="s">
        <v>248</v>
      </c>
      <c r="N22075" t="str">
        <f t="shared" si="402"/>
        <v xml:space="preserve">12340023772 </v>
      </c>
      <c r="O22075">
        <v>231024</v>
      </c>
    </row>
    <row r="22076" spans="1:15" x14ac:dyDescent="0.25">
      <c r="A22076" t="s">
        <v>16</v>
      </c>
      <c r="B22076" t="s">
        <v>3221</v>
      </c>
      <c r="C22076">
        <v>14209</v>
      </c>
      <c r="D22076" t="s">
        <v>263</v>
      </c>
      <c r="E22076" t="s">
        <v>264</v>
      </c>
      <c r="F22076">
        <v>2.5499999999999998</v>
      </c>
      <c r="G22076">
        <v>231004</v>
      </c>
      <c r="H22076">
        <v>4362</v>
      </c>
      <c r="I22076" t="s">
        <v>79</v>
      </c>
      <c r="J22076">
        <v>3.16</v>
      </c>
      <c r="K22076">
        <v>0.61</v>
      </c>
      <c r="L22076">
        <v>17974</v>
      </c>
      <c r="M22076" t="s">
        <v>460</v>
      </c>
      <c r="N22076" t="str">
        <f t="shared" si="402"/>
        <v xml:space="preserve">12340023772 </v>
      </c>
      <c r="O22076">
        <v>231024</v>
      </c>
    </row>
    <row r="22077" spans="1:15" x14ac:dyDescent="0.25">
      <c r="A22077" t="s">
        <v>16</v>
      </c>
      <c r="B22077" t="s">
        <v>3221</v>
      </c>
      <c r="C22077">
        <v>14209</v>
      </c>
      <c r="D22077" t="s">
        <v>263</v>
      </c>
      <c r="E22077" t="s">
        <v>264</v>
      </c>
      <c r="F22077">
        <v>2.7</v>
      </c>
      <c r="G22077">
        <v>231004</v>
      </c>
      <c r="H22077">
        <v>4362</v>
      </c>
      <c r="I22077" t="s">
        <v>79</v>
      </c>
      <c r="J22077">
        <v>3.35</v>
      </c>
      <c r="K22077">
        <v>0.65</v>
      </c>
      <c r="L22077">
        <v>17974</v>
      </c>
      <c r="M22077" t="s">
        <v>460</v>
      </c>
      <c r="N22077" t="str">
        <f t="shared" si="402"/>
        <v xml:space="preserve">12340023772 </v>
      </c>
      <c r="O22077">
        <v>231024</v>
      </c>
    </row>
    <row r="22078" spans="1:15" x14ac:dyDescent="0.25">
      <c r="A22078" t="s">
        <v>16</v>
      </c>
      <c r="B22078" t="s">
        <v>3221</v>
      </c>
      <c r="C22078">
        <v>14241</v>
      </c>
      <c r="D22078" t="s">
        <v>263</v>
      </c>
      <c r="E22078" t="s">
        <v>264</v>
      </c>
      <c r="F22078">
        <v>2.96</v>
      </c>
      <c r="G22078">
        <v>231004</v>
      </c>
      <c r="H22078">
        <v>4362</v>
      </c>
      <c r="I22078" t="s">
        <v>79</v>
      </c>
      <c r="J22078">
        <v>3.67</v>
      </c>
      <c r="K22078">
        <v>0.71</v>
      </c>
      <c r="L22078">
        <v>11301</v>
      </c>
      <c r="M22078" t="s">
        <v>29</v>
      </c>
      <c r="N22078" t="str">
        <f t="shared" ref="N22078:N22088" si="403">"12340023753 "</f>
        <v xml:space="preserve">12340023753 </v>
      </c>
      <c r="O22078">
        <v>231025</v>
      </c>
    </row>
    <row r="22079" spans="1:15" x14ac:dyDescent="0.25">
      <c r="A22079" t="s">
        <v>16</v>
      </c>
      <c r="B22079" t="s">
        <v>3221</v>
      </c>
      <c r="C22079">
        <v>14241</v>
      </c>
      <c r="D22079" t="s">
        <v>263</v>
      </c>
      <c r="E22079" t="s">
        <v>264</v>
      </c>
      <c r="F22079">
        <v>5.25</v>
      </c>
      <c r="G22079">
        <v>231004</v>
      </c>
      <c r="H22079">
        <v>4362</v>
      </c>
      <c r="I22079" t="s">
        <v>79</v>
      </c>
      <c r="J22079">
        <v>6.51</v>
      </c>
      <c r="K22079">
        <v>1.26</v>
      </c>
      <c r="L22079">
        <v>11301</v>
      </c>
      <c r="M22079" t="s">
        <v>29</v>
      </c>
      <c r="N22079" t="str">
        <f t="shared" si="403"/>
        <v xml:space="preserve">12340023753 </v>
      </c>
      <c r="O22079">
        <v>231025</v>
      </c>
    </row>
    <row r="22080" spans="1:15" x14ac:dyDescent="0.25">
      <c r="A22080" t="s">
        <v>16</v>
      </c>
      <c r="B22080" t="s">
        <v>3221</v>
      </c>
      <c r="C22080">
        <v>14241</v>
      </c>
      <c r="D22080" t="s">
        <v>263</v>
      </c>
      <c r="E22080" t="s">
        <v>264</v>
      </c>
      <c r="F22080">
        <v>4.09</v>
      </c>
      <c r="G22080">
        <v>231004</v>
      </c>
      <c r="H22080">
        <v>4362</v>
      </c>
      <c r="I22080" t="s">
        <v>79</v>
      </c>
      <c r="J22080">
        <v>5.07</v>
      </c>
      <c r="K22080">
        <v>0.98</v>
      </c>
      <c r="L22080">
        <v>11900</v>
      </c>
      <c r="M22080" t="s">
        <v>1105</v>
      </c>
      <c r="N22080" t="str">
        <f t="shared" si="403"/>
        <v xml:space="preserve">12340023753 </v>
      </c>
      <c r="O22080">
        <v>231025</v>
      </c>
    </row>
    <row r="22081" spans="1:15" x14ac:dyDescent="0.25">
      <c r="A22081" t="s">
        <v>16</v>
      </c>
      <c r="B22081" t="s">
        <v>3221</v>
      </c>
      <c r="C22081">
        <v>14241</v>
      </c>
      <c r="D22081" t="s">
        <v>263</v>
      </c>
      <c r="E22081" t="s">
        <v>264</v>
      </c>
      <c r="F22081">
        <v>2.7</v>
      </c>
      <c r="G22081">
        <v>231004</v>
      </c>
      <c r="H22081">
        <v>4362</v>
      </c>
      <c r="I22081" t="s">
        <v>79</v>
      </c>
      <c r="J22081">
        <v>3.35</v>
      </c>
      <c r="K22081">
        <v>0.65</v>
      </c>
      <c r="L22081">
        <v>11901</v>
      </c>
      <c r="M22081" t="s">
        <v>36</v>
      </c>
      <c r="N22081" t="str">
        <f t="shared" si="403"/>
        <v xml:space="preserve">12340023753 </v>
      </c>
      <c r="O22081">
        <v>231025</v>
      </c>
    </row>
    <row r="22082" spans="1:15" x14ac:dyDescent="0.25">
      <c r="A22082" t="s">
        <v>16</v>
      </c>
      <c r="B22082" t="s">
        <v>3221</v>
      </c>
      <c r="C22082">
        <v>14241</v>
      </c>
      <c r="D22082" t="s">
        <v>263</v>
      </c>
      <c r="E22082" t="s">
        <v>264</v>
      </c>
      <c r="F22082">
        <v>7.75</v>
      </c>
      <c r="G22082">
        <v>231004</v>
      </c>
      <c r="H22082">
        <v>4362</v>
      </c>
      <c r="I22082" t="s">
        <v>79</v>
      </c>
      <c r="J22082">
        <v>9.61</v>
      </c>
      <c r="K22082">
        <v>1.86</v>
      </c>
      <c r="L22082">
        <v>11901</v>
      </c>
      <c r="M22082" t="s">
        <v>36</v>
      </c>
      <c r="N22082" t="str">
        <f t="shared" si="403"/>
        <v xml:space="preserve">12340023753 </v>
      </c>
      <c r="O22082">
        <v>231025</v>
      </c>
    </row>
    <row r="22083" spans="1:15" x14ac:dyDescent="0.25">
      <c r="A22083" t="s">
        <v>16</v>
      </c>
      <c r="B22083" t="s">
        <v>3221</v>
      </c>
      <c r="C22083">
        <v>14241</v>
      </c>
      <c r="D22083" t="s">
        <v>263</v>
      </c>
      <c r="E22083" t="s">
        <v>264</v>
      </c>
      <c r="F22083">
        <v>8.94</v>
      </c>
      <c r="G22083">
        <v>231004</v>
      </c>
      <c r="H22083">
        <v>4362</v>
      </c>
      <c r="I22083" t="s">
        <v>79</v>
      </c>
      <c r="J22083">
        <v>11.09</v>
      </c>
      <c r="K22083">
        <v>2.15</v>
      </c>
      <c r="L22083">
        <v>11901</v>
      </c>
      <c r="M22083" t="s">
        <v>36</v>
      </c>
      <c r="N22083" t="str">
        <f t="shared" si="403"/>
        <v xml:space="preserve">12340023753 </v>
      </c>
      <c r="O22083">
        <v>231025</v>
      </c>
    </row>
    <row r="22084" spans="1:15" x14ac:dyDescent="0.25">
      <c r="A22084" t="s">
        <v>16</v>
      </c>
      <c r="B22084" t="s">
        <v>3221</v>
      </c>
      <c r="C22084">
        <v>14241</v>
      </c>
      <c r="D22084" t="s">
        <v>263</v>
      </c>
      <c r="E22084" t="s">
        <v>264</v>
      </c>
      <c r="F22084">
        <v>21.11</v>
      </c>
      <c r="G22084">
        <v>231004</v>
      </c>
      <c r="H22084">
        <v>4362</v>
      </c>
      <c r="I22084" t="s">
        <v>79</v>
      </c>
      <c r="J22084">
        <v>21.11</v>
      </c>
      <c r="K22084">
        <v>0</v>
      </c>
      <c r="L22084">
        <v>11901</v>
      </c>
      <c r="M22084" t="s">
        <v>36</v>
      </c>
      <c r="N22084" t="str">
        <f t="shared" si="403"/>
        <v xml:space="preserve">12340023753 </v>
      </c>
      <c r="O22084">
        <v>231025</v>
      </c>
    </row>
    <row r="22085" spans="1:15" x14ac:dyDescent="0.25">
      <c r="A22085" t="s">
        <v>16</v>
      </c>
      <c r="B22085" t="s">
        <v>3221</v>
      </c>
      <c r="C22085">
        <v>14241</v>
      </c>
      <c r="D22085" t="s">
        <v>263</v>
      </c>
      <c r="E22085" t="s">
        <v>264</v>
      </c>
      <c r="F22085">
        <v>2.7</v>
      </c>
      <c r="G22085">
        <v>231004</v>
      </c>
      <c r="H22085">
        <v>4362</v>
      </c>
      <c r="I22085" t="s">
        <v>79</v>
      </c>
      <c r="J22085">
        <v>3.35</v>
      </c>
      <c r="K22085">
        <v>0.65</v>
      </c>
      <c r="L22085">
        <v>11903</v>
      </c>
      <c r="M22085" t="s">
        <v>406</v>
      </c>
      <c r="N22085" t="str">
        <f t="shared" si="403"/>
        <v xml:space="preserve">12340023753 </v>
      </c>
      <c r="O22085">
        <v>231025</v>
      </c>
    </row>
    <row r="22086" spans="1:15" x14ac:dyDescent="0.25">
      <c r="A22086" t="s">
        <v>16</v>
      </c>
      <c r="B22086" t="s">
        <v>3221</v>
      </c>
      <c r="C22086">
        <v>14241</v>
      </c>
      <c r="D22086" t="s">
        <v>263</v>
      </c>
      <c r="E22086" t="s">
        <v>264</v>
      </c>
      <c r="F22086">
        <v>5.4</v>
      </c>
      <c r="G22086">
        <v>231004</v>
      </c>
      <c r="H22086">
        <v>4362</v>
      </c>
      <c r="I22086" t="s">
        <v>79</v>
      </c>
      <c r="J22086">
        <v>6.7</v>
      </c>
      <c r="K22086">
        <v>1.3</v>
      </c>
      <c r="L22086">
        <v>11903</v>
      </c>
      <c r="M22086" t="s">
        <v>406</v>
      </c>
      <c r="N22086" t="str">
        <f t="shared" si="403"/>
        <v xml:space="preserve">12340023753 </v>
      </c>
      <c r="O22086">
        <v>231025</v>
      </c>
    </row>
    <row r="22087" spans="1:15" x14ac:dyDescent="0.25">
      <c r="A22087" t="s">
        <v>16</v>
      </c>
      <c r="B22087" t="s">
        <v>3221</v>
      </c>
      <c r="C22087">
        <v>14241</v>
      </c>
      <c r="D22087" t="s">
        <v>263</v>
      </c>
      <c r="E22087" t="s">
        <v>264</v>
      </c>
      <c r="F22087">
        <v>2.7</v>
      </c>
      <c r="G22087">
        <v>231004</v>
      </c>
      <c r="H22087">
        <v>4362</v>
      </c>
      <c r="I22087" t="s">
        <v>79</v>
      </c>
      <c r="J22087">
        <v>3.35</v>
      </c>
      <c r="K22087">
        <v>0.65</v>
      </c>
      <c r="L22087">
        <v>11903</v>
      </c>
      <c r="M22087" t="s">
        <v>406</v>
      </c>
      <c r="N22087" t="str">
        <f t="shared" si="403"/>
        <v xml:space="preserve">12340023753 </v>
      </c>
      <c r="O22087">
        <v>231025</v>
      </c>
    </row>
    <row r="22088" spans="1:15" x14ac:dyDescent="0.25">
      <c r="A22088" t="s">
        <v>16</v>
      </c>
      <c r="B22088" t="s">
        <v>3221</v>
      </c>
      <c r="C22088">
        <v>14241</v>
      </c>
      <c r="D22088" t="s">
        <v>263</v>
      </c>
      <c r="E22088" t="s">
        <v>264</v>
      </c>
      <c r="F22088">
        <v>3.62</v>
      </c>
      <c r="G22088">
        <v>231004</v>
      </c>
      <c r="H22088">
        <v>4362</v>
      </c>
      <c r="I22088" t="s">
        <v>79</v>
      </c>
      <c r="J22088">
        <v>4.49</v>
      </c>
      <c r="K22088">
        <v>0.87</v>
      </c>
      <c r="L22088">
        <v>13501</v>
      </c>
      <c r="M22088" t="s">
        <v>20</v>
      </c>
      <c r="N22088" t="str">
        <f t="shared" si="403"/>
        <v xml:space="preserve">12340023753 </v>
      </c>
      <c r="O22088">
        <v>231025</v>
      </c>
    </row>
    <row r="22089" spans="1:15" x14ac:dyDescent="0.25">
      <c r="A22089" t="s">
        <v>16</v>
      </c>
      <c r="B22089" t="s">
        <v>3221</v>
      </c>
      <c r="C22089">
        <v>15227</v>
      </c>
      <c r="D22089" t="s">
        <v>263</v>
      </c>
      <c r="E22089" t="s">
        <v>264</v>
      </c>
      <c r="F22089">
        <v>23.28</v>
      </c>
      <c r="G22089">
        <v>231106</v>
      </c>
      <c r="H22089">
        <v>4362</v>
      </c>
      <c r="I22089" t="s">
        <v>79</v>
      </c>
      <c r="J22089">
        <v>28.87</v>
      </c>
      <c r="K22089">
        <v>5.59</v>
      </c>
      <c r="L22089">
        <v>49501</v>
      </c>
      <c r="M22089" t="s">
        <v>177</v>
      </c>
      <c r="N22089" t="str">
        <f>"12345023603 "</f>
        <v xml:space="preserve">12345023603 </v>
      </c>
      <c r="O22089">
        <v>231109</v>
      </c>
    </row>
    <row r="22090" spans="1:15" x14ac:dyDescent="0.25">
      <c r="A22090" t="s">
        <v>16</v>
      </c>
      <c r="B22090" t="s">
        <v>3221</v>
      </c>
      <c r="C22090">
        <v>15228</v>
      </c>
      <c r="D22090" t="s">
        <v>263</v>
      </c>
      <c r="E22090" t="s">
        <v>264</v>
      </c>
      <c r="F22090">
        <v>10.86</v>
      </c>
      <c r="G22090">
        <v>231106</v>
      </c>
      <c r="H22090">
        <v>4362</v>
      </c>
      <c r="I22090" t="s">
        <v>79</v>
      </c>
      <c r="J22090">
        <v>13.47</v>
      </c>
      <c r="K22090">
        <v>2.61</v>
      </c>
      <c r="L22090">
        <v>17131</v>
      </c>
      <c r="M22090" t="s">
        <v>64</v>
      </c>
      <c r="N22090" t="str">
        <f t="shared" ref="N22090:N22100" si="404">"12345023618 "</f>
        <v xml:space="preserve">12345023618 </v>
      </c>
      <c r="O22090">
        <v>231109</v>
      </c>
    </row>
    <row r="22091" spans="1:15" x14ac:dyDescent="0.25">
      <c r="A22091" t="s">
        <v>16</v>
      </c>
      <c r="B22091" t="s">
        <v>3221</v>
      </c>
      <c r="C22091">
        <v>15228</v>
      </c>
      <c r="D22091" t="s">
        <v>263</v>
      </c>
      <c r="E22091" t="s">
        <v>264</v>
      </c>
      <c r="F22091">
        <v>2.7</v>
      </c>
      <c r="G22091">
        <v>231106</v>
      </c>
      <c r="H22091">
        <v>4362</v>
      </c>
      <c r="I22091" t="s">
        <v>79</v>
      </c>
      <c r="J22091">
        <v>3.35</v>
      </c>
      <c r="K22091">
        <v>0.65</v>
      </c>
      <c r="L22091">
        <v>17147</v>
      </c>
      <c r="M22091" t="s">
        <v>1734</v>
      </c>
      <c r="N22091" t="str">
        <f t="shared" si="404"/>
        <v xml:space="preserve">12345023618 </v>
      </c>
      <c r="O22091">
        <v>231109</v>
      </c>
    </row>
    <row r="22092" spans="1:15" x14ac:dyDescent="0.25">
      <c r="A22092" t="s">
        <v>16</v>
      </c>
      <c r="B22092" t="s">
        <v>3221</v>
      </c>
      <c r="C22092">
        <v>15228</v>
      </c>
      <c r="D22092" t="s">
        <v>263</v>
      </c>
      <c r="E22092" t="s">
        <v>264</v>
      </c>
      <c r="F22092">
        <v>13.79</v>
      </c>
      <c r="G22092">
        <v>231106</v>
      </c>
      <c r="H22092">
        <v>4362</v>
      </c>
      <c r="I22092" t="s">
        <v>79</v>
      </c>
      <c r="J22092">
        <v>17.100000000000001</v>
      </c>
      <c r="K22092">
        <v>3.31</v>
      </c>
      <c r="L22092">
        <v>17711</v>
      </c>
      <c r="M22092" t="s">
        <v>65</v>
      </c>
      <c r="N22092" t="str">
        <f t="shared" si="404"/>
        <v xml:space="preserve">12345023618 </v>
      </c>
      <c r="O22092">
        <v>231109</v>
      </c>
    </row>
    <row r="22093" spans="1:15" x14ac:dyDescent="0.25">
      <c r="A22093" t="s">
        <v>16</v>
      </c>
      <c r="B22093" t="s">
        <v>3221</v>
      </c>
      <c r="C22093">
        <v>15228</v>
      </c>
      <c r="D22093" t="s">
        <v>263</v>
      </c>
      <c r="E22093" t="s">
        <v>264</v>
      </c>
      <c r="F22093">
        <v>16.190000000000001</v>
      </c>
      <c r="G22093">
        <v>231106</v>
      </c>
      <c r="H22093">
        <v>4362</v>
      </c>
      <c r="I22093" t="s">
        <v>79</v>
      </c>
      <c r="J22093">
        <v>20.079999999999998</v>
      </c>
      <c r="K22093">
        <v>3.89</v>
      </c>
      <c r="L22093">
        <v>17711</v>
      </c>
      <c r="M22093" t="s">
        <v>65</v>
      </c>
      <c r="N22093" t="str">
        <f t="shared" si="404"/>
        <v xml:space="preserve">12345023618 </v>
      </c>
      <c r="O22093">
        <v>231109</v>
      </c>
    </row>
    <row r="22094" spans="1:15" x14ac:dyDescent="0.25">
      <c r="A22094" t="s">
        <v>16</v>
      </c>
      <c r="B22094" t="s">
        <v>3221</v>
      </c>
      <c r="C22094">
        <v>15228</v>
      </c>
      <c r="D22094" t="s">
        <v>263</v>
      </c>
      <c r="E22094" t="s">
        <v>264</v>
      </c>
      <c r="F22094">
        <v>5.94</v>
      </c>
      <c r="G22094">
        <v>231106</v>
      </c>
      <c r="H22094">
        <v>4362</v>
      </c>
      <c r="I22094" t="s">
        <v>79</v>
      </c>
      <c r="J22094">
        <v>7.37</v>
      </c>
      <c r="K22094">
        <v>1.43</v>
      </c>
      <c r="L22094">
        <v>17737</v>
      </c>
      <c r="M22094" t="s">
        <v>279</v>
      </c>
      <c r="N22094" t="str">
        <f t="shared" si="404"/>
        <v xml:space="preserve">12345023618 </v>
      </c>
      <c r="O22094">
        <v>231109</v>
      </c>
    </row>
    <row r="22095" spans="1:15" x14ac:dyDescent="0.25">
      <c r="A22095" t="s">
        <v>16</v>
      </c>
      <c r="B22095" t="s">
        <v>3221</v>
      </c>
      <c r="C22095">
        <v>15228</v>
      </c>
      <c r="D22095" t="s">
        <v>263</v>
      </c>
      <c r="E22095" t="s">
        <v>264</v>
      </c>
      <c r="F22095">
        <v>13.5</v>
      </c>
      <c r="G22095">
        <v>231106</v>
      </c>
      <c r="H22095">
        <v>4362</v>
      </c>
      <c r="I22095" t="s">
        <v>79</v>
      </c>
      <c r="J22095">
        <v>16.739999999999998</v>
      </c>
      <c r="K22095">
        <v>3.24</v>
      </c>
      <c r="L22095">
        <v>17737</v>
      </c>
      <c r="M22095" t="s">
        <v>279</v>
      </c>
      <c r="N22095" t="str">
        <f t="shared" si="404"/>
        <v xml:space="preserve">12345023618 </v>
      </c>
      <c r="O22095">
        <v>231109</v>
      </c>
    </row>
    <row r="22096" spans="1:15" x14ac:dyDescent="0.25">
      <c r="A22096" t="s">
        <v>16</v>
      </c>
      <c r="B22096" t="s">
        <v>3221</v>
      </c>
      <c r="C22096">
        <v>15228</v>
      </c>
      <c r="D22096" t="s">
        <v>263</v>
      </c>
      <c r="E22096" t="s">
        <v>264</v>
      </c>
      <c r="F22096">
        <v>2.7</v>
      </c>
      <c r="G22096">
        <v>231106</v>
      </c>
      <c r="H22096">
        <v>4362</v>
      </c>
      <c r="I22096" t="s">
        <v>79</v>
      </c>
      <c r="J22096">
        <v>3.35</v>
      </c>
      <c r="K22096">
        <v>0.65</v>
      </c>
      <c r="L22096">
        <v>17912</v>
      </c>
      <c r="M22096" t="s">
        <v>419</v>
      </c>
      <c r="N22096" t="str">
        <f t="shared" si="404"/>
        <v xml:space="preserve">12345023618 </v>
      </c>
      <c r="O22096">
        <v>231109</v>
      </c>
    </row>
    <row r="22097" spans="1:15" x14ac:dyDescent="0.25">
      <c r="A22097" t="s">
        <v>16</v>
      </c>
      <c r="B22097" t="s">
        <v>3221</v>
      </c>
      <c r="C22097">
        <v>15228</v>
      </c>
      <c r="D22097" t="s">
        <v>263</v>
      </c>
      <c r="E22097" t="s">
        <v>264</v>
      </c>
      <c r="F22097">
        <v>2.7</v>
      </c>
      <c r="G22097">
        <v>231106</v>
      </c>
      <c r="H22097">
        <v>4362</v>
      </c>
      <c r="I22097" t="s">
        <v>79</v>
      </c>
      <c r="J22097">
        <v>3.35</v>
      </c>
      <c r="K22097">
        <v>0.65</v>
      </c>
      <c r="L22097">
        <v>17915</v>
      </c>
      <c r="M22097" t="s">
        <v>572</v>
      </c>
      <c r="N22097" t="str">
        <f t="shared" si="404"/>
        <v xml:space="preserve">12345023618 </v>
      </c>
      <c r="O22097">
        <v>231109</v>
      </c>
    </row>
    <row r="22098" spans="1:15" x14ac:dyDescent="0.25">
      <c r="A22098" t="s">
        <v>16</v>
      </c>
      <c r="B22098" t="s">
        <v>3221</v>
      </c>
      <c r="C22098">
        <v>15228</v>
      </c>
      <c r="D22098" t="s">
        <v>263</v>
      </c>
      <c r="E22098" t="s">
        <v>264</v>
      </c>
      <c r="F22098">
        <v>12.01</v>
      </c>
      <c r="G22098">
        <v>231106</v>
      </c>
      <c r="H22098">
        <v>4362</v>
      </c>
      <c r="I22098" t="s">
        <v>79</v>
      </c>
      <c r="J22098">
        <v>14.89</v>
      </c>
      <c r="K22098">
        <v>2.88</v>
      </c>
      <c r="L22098">
        <v>17952</v>
      </c>
      <c r="M22098" t="s">
        <v>88</v>
      </c>
      <c r="N22098" t="str">
        <f t="shared" si="404"/>
        <v xml:space="preserve">12345023618 </v>
      </c>
      <c r="O22098">
        <v>231109</v>
      </c>
    </row>
    <row r="22099" spans="1:15" x14ac:dyDescent="0.25">
      <c r="A22099" t="s">
        <v>16</v>
      </c>
      <c r="B22099" t="s">
        <v>3221</v>
      </c>
      <c r="C22099">
        <v>15228</v>
      </c>
      <c r="D22099" t="s">
        <v>263</v>
      </c>
      <c r="E22099" t="s">
        <v>264</v>
      </c>
      <c r="F22099">
        <v>12.82</v>
      </c>
      <c r="G22099">
        <v>231106</v>
      </c>
      <c r="H22099">
        <v>4362</v>
      </c>
      <c r="I22099" t="s">
        <v>79</v>
      </c>
      <c r="J22099">
        <v>15.9</v>
      </c>
      <c r="K22099">
        <v>3.08</v>
      </c>
      <c r="L22099">
        <v>17971</v>
      </c>
      <c r="M22099" t="s">
        <v>138</v>
      </c>
      <c r="N22099" t="str">
        <f t="shared" si="404"/>
        <v xml:space="preserve">12345023618 </v>
      </c>
      <c r="O22099">
        <v>231109</v>
      </c>
    </row>
    <row r="22100" spans="1:15" x14ac:dyDescent="0.25">
      <c r="A22100" t="s">
        <v>16</v>
      </c>
      <c r="B22100" t="s">
        <v>3221</v>
      </c>
      <c r="C22100">
        <v>15228</v>
      </c>
      <c r="D22100" t="s">
        <v>263</v>
      </c>
      <c r="E22100" t="s">
        <v>264</v>
      </c>
      <c r="F22100">
        <v>5.41</v>
      </c>
      <c r="G22100">
        <v>231106</v>
      </c>
      <c r="H22100">
        <v>4362</v>
      </c>
      <c r="I22100" t="s">
        <v>79</v>
      </c>
      <c r="J22100">
        <v>6.71</v>
      </c>
      <c r="K22100">
        <v>1.3</v>
      </c>
      <c r="L22100">
        <v>17972</v>
      </c>
      <c r="M22100" t="s">
        <v>248</v>
      </c>
      <c r="N22100" t="str">
        <f t="shared" si="404"/>
        <v xml:space="preserve">12345023618 </v>
      </c>
      <c r="O22100">
        <v>231109</v>
      </c>
    </row>
    <row r="22101" spans="1:15" x14ac:dyDescent="0.25">
      <c r="A22101" t="s">
        <v>16</v>
      </c>
      <c r="B22101" t="s">
        <v>3221</v>
      </c>
      <c r="C22101">
        <v>15229</v>
      </c>
      <c r="D22101" t="s">
        <v>263</v>
      </c>
      <c r="E22101" t="s">
        <v>264</v>
      </c>
      <c r="F22101">
        <v>5.53</v>
      </c>
      <c r="G22101">
        <v>231106</v>
      </c>
      <c r="H22101">
        <v>4362</v>
      </c>
      <c r="I22101" t="s">
        <v>79</v>
      </c>
      <c r="J22101">
        <v>6.86</v>
      </c>
      <c r="K22101">
        <v>1.33</v>
      </c>
      <c r="L22101">
        <v>46557</v>
      </c>
      <c r="M22101" t="s">
        <v>221</v>
      </c>
      <c r="N22101" t="str">
        <f>"12345023628 "</f>
        <v xml:space="preserve">12345023628 </v>
      </c>
      <c r="O22101">
        <v>231109</v>
      </c>
    </row>
    <row r="22102" spans="1:15" x14ac:dyDescent="0.25">
      <c r="A22102" t="s">
        <v>16</v>
      </c>
      <c r="B22102" t="s">
        <v>3221</v>
      </c>
      <c r="C22102">
        <v>15230</v>
      </c>
      <c r="D22102" t="s">
        <v>263</v>
      </c>
      <c r="E22102" t="s">
        <v>264</v>
      </c>
      <c r="F22102">
        <v>2.7</v>
      </c>
      <c r="G22102">
        <v>231106</v>
      </c>
      <c r="H22102">
        <v>4362</v>
      </c>
      <c r="I22102" t="s">
        <v>79</v>
      </c>
      <c r="J22102">
        <v>3.35</v>
      </c>
      <c r="K22102">
        <v>0.65</v>
      </c>
      <c r="L22102">
        <v>11301</v>
      </c>
      <c r="M22102" t="s">
        <v>29</v>
      </c>
      <c r="N22102" t="str">
        <f t="shared" ref="N22102:N22113" si="405">"12345023601 "</f>
        <v xml:space="preserve">12345023601 </v>
      </c>
      <c r="O22102">
        <v>231109</v>
      </c>
    </row>
    <row r="22103" spans="1:15" x14ac:dyDescent="0.25">
      <c r="A22103" t="s">
        <v>16</v>
      </c>
      <c r="B22103" t="s">
        <v>3221</v>
      </c>
      <c r="C22103">
        <v>15230</v>
      </c>
      <c r="D22103" t="s">
        <v>263</v>
      </c>
      <c r="E22103" t="s">
        <v>264</v>
      </c>
      <c r="F22103">
        <v>5.92</v>
      </c>
      <c r="G22103">
        <v>231106</v>
      </c>
      <c r="H22103">
        <v>4362</v>
      </c>
      <c r="I22103" t="s">
        <v>79</v>
      </c>
      <c r="J22103">
        <v>7.34</v>
      </c>
      <c r="K22103">
        <v>1.42</v>
      </c>
      <c r="L22103">
        <v>11301</v>
      </c>
      <c r="M22103" t="s">
        <v>29</v>
      </c>
      <c r="N22103" t="str">
        <f t="shared" si="405"/>
        <v xml:space="preserve">12345023601 </v>
      </c>
      <c r="O22103">
        <v>231109</v>
      </c>
    </row>
    <row r="22104" spans="1:15" x14ac:dyDescent="0.25">
      <c r="A22104" t="s">
        <v>16</v>
      </c>
      <c r="B22104" t="s">
        <v>3221</v>
      </c>
      <c r="C22104">
        <v>15230</v>
      </c>
      <c r="D22104" t="s">
        <v>263</v>
      </c>
      <c r="E22104" t="s">
        <v>264</v>
      </c>
      <c r="F22104">
        <v>5.12</v>
      </c>
      <c r="G22104">
        <v>231106</v>
      </c>
      <c r="H22104">
        <v>4362</v>
      </c>
      <c r="I22104" t="s">
        <v>79</v>
      </c>
      <c r="J22104">
        <v>6.35</v>
      </c>
      <c r="K22104">
        <v>1.23</v>
      </c>
      <c r="L22104">
        <v>11900</v>
      </c>
      <c r="M22104" t="s">
        <v>1105</v>
      </c>
      <c r="N22104" t="str">
        <f t="shared" si="405"/>
        <v xml:space="preserve">12345023601 </v>
      </c>
      <c r="O22104">
        <v>231109</v>
      </c>
    </row>
    <row r="22105" spans="1:15" x14ac:dyDescent="0.25">
      <c r="A22105" t="s">
        <v>16</v>
      </c>
      <c r="B22105" t="s">
        <v>3221</v>
      </c>
      <c r="C22105">
        <v>15230</v>
      </c>
      <c r="D22105" t="s">
        <v>263</v>
      </c>
      <c r="E22105" t="s">
        <v>264</v>
      </c>
      <c r="F22105">
        <v>2.7</v>
      </c>
      <c r="G22105">
        <v>231106</v>
      </c>
      <c r="H22105">
        <v>4362</v>
      </c>
      <c r="I22105" t="s">
        <v>79</v>
      </c>
      <c r="J22105">
        <v>3.35</v>
      </c>
      <c r="K22105">
        <v>0.65</v>
      </c>
      <c r="L22105">
        <v>11901</v>
      </c>
      <c r="M22105" t="s">
        <v>36</v>
      </c>
      <c r="N22105" t="str">
        <f t="shared" si="405"/>
        <v xml:space="preserve">12345023601 </v>
      </c>
      <c r="O22105">
        <v>231109</v>
      </c>
    </row>
    <row r="22106" spans="1:15" x14ac:dyDescent="0.25">
      <c r="A22106" t="s">
        <v>16</v>
      </c>
      <c r="B22106" t="s">
        <v>3221</v>
      </c>
      <c r="C22106">
        <v>15230</v>
      </c>
      <c r="D22106" t="s">
        <v>263</v>
      </c>
      <c r="E22106" t="s">
        <v>264</v>
      </c>
      <c r="F22106">
        <v>10.36</v>
      </c>
      <c r="G22106">
        <v>231106</v>
      </c>
      <c r="H22106">
        <v>4362</v>
      </c>
      <c r="I22106" t="s">
        <v>79</v>
      </c>
      <c r="J22106">
        <v>10.36</v>
      </c>
      <c r="K22106">
        <v>0</v>
      </c>
      <c r="L22106">
        <v>11901</v>
      </c>
      <c r="M22106" t="s">
        <v>36</v>
      </c>
      <c r="N22106" t="str">
        <f t="shared" si="405"/>
        <v xml:space="preserve">12345023601 </v>
      </c>
      <c r="O22106">
        <v>231109</v>
      </c>
    </row>
    <row r="22107" spans="1:15" x14ac:dyDescent="0.25">
      <c r="A22107" t="s">
        <v>16</v>
      </c>
      <c r="B22107" t="s">
        <v>3221</v>
      </c>
      <c r="C22107">
        <v>15230</v>
      </c>
      <c r="D22107" t="s">
        <v>263</v>
      </c>
      <c r="E22107" t="s">
        <v>264</v>
      </c>
      <c r="F22107">
        <v>8.77</v>
      </c>
      <c r="G22107">
        <v>231106</v>
      </c>
      <c r="H22107">
        <v>4362</v>
      </c>
      <c r="I22107" t="s">
        <v>79</v>
      </c>
      <c r="J22107">
        <v>10.87</v>
      </c>
      <c r="K22107">
        <v>2.1</v>
      </c>
      <c r="L22107">
        <v>11901</v>
      </c>
      <c r="M22107" t="s">
        <v>36</v>
      </c>
      <c r="N22107" t="str">
        <f t="shared" si="405"/>
        <v xml:space="preserve">12345023601 </v>
      </c>
      <c r="O22107">
        <v>231109</v>
      </c>
    </row>
    <row r="22108" spans="1:15" x14ac:dyDescent="0.25">
      <c r="A22108" t="s">
        <v>16</v>
      </c>
      <c r="B22108" t="s">
        <v>3221</v>
      </c>
      <c r="C22108">
        <v>15230</v>
      </c>
      <c r="D22108" t="s">
        <v>263</v>
      </c>
      <c r="E22108" t="s">
        <v>264</v>
      </c>
      <c r="F22108">
        <v>7.73</v>
      </c>
      <c r="G22108">
        <v>231106</v>
      </c>
      <c r="H22108">
        <v>4362</v>
      </c>
      <c r="I22108" t="s">
        <v>79</v>
      </c>
      <c r="J22108">
        <v>9.58</v>
      </c>
      <c r="K22108">
        <v>1.85</v>
      </c>
      <c r="L22108">
        <v>11903</v>
      </c>
      <c r="M22108" t="s">
        <v>406</v>
      </c>
      <c r="N22108" t="str">
        <f t="shared" si="405"/>
        <v xml:space="preserve">12345023601 </v>
      </c>
      <c r="O22108">
        <v>231109</v>
      </c>
    </row>
    <row r="22109" spans="1:15" x14ac:dyDescent="0.25">
      <c r="A22109" t="s">
        <v>16</v>
      </c>
      <c r="B22109" t="s">
        <v>3221</v>
      </c>
      <c r="C22109">
        <v>15230</v>
      </c>
      <c r="D22109" t="s">
        <v>263</v>
      </c>
      <c r="E22109" t="s">
        <v>264</v>
      </c>
      <c r="F22109">
        <v>5.4</v>
      </c>
      <c r="G22109">
        <v>231106</v>
      </c>
      <c r="H22109">
        <v>4362</v>
      </c>
      <c r="I22109" t="s">
        <v>79</v>
      </c>
      <c r="J22109">
        <v>6.7</v>
      </c>
      <c r="K22109">
        <v>1.3</v>
      </c>
      <c r="L22109">
        <v>11903</v>
      </c>
      <c r="M22109" t="s">
        <v>406</v>
      </c>
      <c r="N22109" t="str">
        <f t="shared" si="405"/>
        <v xml:space="preserve">12345023601 </v>
      </c>
      <c r="O22109">
        <v>231109</v>
      </c>
    </row>
    <row r="22110" spans="1:15" x14ac:dyDescent="0.25">
      <c r="A22110" t="s">
        <v>16</v>
      </c>
      <c r="B22110" t="s">
        <v>3221</v>
      </c>
      <c r="C22110">
        <v>15230</v>
      </c>
      <c r="D22110" t="s">
        <v>263</v>
      </c>
      <c r="E22110" t="s">
        <v>264</v>
      </c>
      <c r="F22110">
        <v>2.7</v>
      </c>
      <c r="G22110">
        <v>231106</v>
      </c>
      <c r="H22110">
        <v>4362</v>
      </c>
      <c r="I22110" t="s">
        <v>79</v>
      </c>
      <c r="J22110">
        <v>3.35</v>
      </c>
      <c r="K22110">
        <v>0.65</v>
      </c>
      <c r="L22110">
        <v>11903</v>
      </c>
      <c r="M22110" t="s">
        <v>406</v>
      </c>
      <c r="N22110" t="str">
        <f t="shared" si="405"/>
        <v xml:space="preserve">12345023601 </v>
      </c>
      <c r="O22110">
        <v>231109</v>
      </c>
    </row>
    <row r="22111" spans="1:15" x14ac:dyDescent="0.25">
      <c r="A22111" t="s">
        <v>16</v>
      </c>
      <c r="B22111" t="s">
        <v>3221</v>
      </c>
      <c r="C22111">
        <v>15230</v>
      </c>
      <c r="D22111" t="s">
        <v>263</v>
      </c>
      <c r="E22111" t="s">
        <v>264</v>
      </c>
      <c r="F22111">
        <v>2.7</v>
      </c>
      <c r="G22111">
        <v>231106</v>
      </c>
      <c r="H22111">
        <v>4362</v>
      </c>
      <c r="I22111" t="s">
        <v>79</v>
      </c>
      <c r="J22111">
        <v>3.35</v>
      </c>
      <c r="K22111">
        <v>0.65</v>
      </c>
      <c r="L22111">
        <v>11905</v>
      </c>
      <c r="M22111" t="s">
        <v>39</v>
      </c>
      <c r="N22111" t="str">
        <f t="shared" si="405"/>
        <v xml:space="preserve">12345023601 </v>
      </c>
      <c r="O22111">
        <v>231109</v>
      </c>
    </row>
    <row r="22112" spans="1:15" x14ac:dyDescent="0.25">
      <c r="A22112" t="s">
        <v>16</v>
      </c>
      <c r="B22112" t="s">
        <v>3221</v>
      </c>
      <c r="C22112">
        <v>15230</v>
      </c>
      <c r="D22112" t="s">
        <v>263</v>
      </c>
      <c r="E22112" t="s">
        <v>264</v>
      </c>
      <c r="F22112">
        <v>3.04</v>
      </c>
      <c r="G22112">
        <v>231106</v>
      </c>
      <c r="H22112">
        <v>4362</v>
      </c>
      <c r="I22112" t="s">
        <v>79</v>
      </c>
      <c r="J22112">
        <v>3.77</v>
      </c>
      <c r="K22112">
        <v>0.73</v>
      </c>
      <c r="L22112">
        <v>12010</v>
      </c>
      <c r="M22112" t="s">
        <v>2189</v>
      </c>
      <c r="N22112" t="str">
        <f t="shared" si="405"/>
        <v xml:space="preserve">12345023601 </v>
      </c>
      <c r="O22112">
        <v>231109</v>
      </c>
    </row>
    <row r="22113" spans="1:15" x14ac:dyDescent="0.25">
      <c r="A22113" t="s">
        <v>16</v>
      </c>
      <c r="B22113" t="s">
        <v>3221</v>
      </c>
      <c r="C22113">
        <v>15230</v>
      </c>
      <c r="D22113" t="s">
        <v>263</v>
      </c>
      <c r="E22113" t="s">
        <v>264</v>
      </c>
      <c r="F22113">
        <v>4.25</v>
      </c>
      <c r="G22113">
        <v>231106</v>
      </c>
      <c r="H22113">
        <v>4362</v>
      </c>
      <c r="I22113" t="s">
        <v>79</v>
      </c>
      <c r="J22113">
        <v>5.27</v>
      </c>
      <c r="K22113">
        <v>1.02</v>
      </c>
      <c r="L22113">
        <v>13401</v>
      </c>
      <c r="M22113" t="s">
        <v>80</v>
      </c>
      <c r="N22113" t="str">
        <f t="shared" si="405"/>
        <v xml:space="preserve">12345023601 </v>
      </c>
      <c r="O22113">
        <v>231109</v>
      </c>
    </row>
    <row r="22114" spans="1:15" x14ac:dyDescent="0.25">
      <c r="A22114" t="s">
        <v>16</v>
      </c>
      <c r="B22114" t="s">
        <v>3221</v>
      </c>
      <c r="C22114">
        <v>15231</v>
      </c>
      <c r="D22114" t="s">
        <v>263</v>
      </c>
      <c r="E22114" t="s">
        <v>264</v>
      </c>
      <c r="F22114">
        <v>2.15</v>
      </c>
      <c r="G22114">
        <v>231106</v>
      </c>
      <c r="H22114">
        <v>4362</v>
      </c>
      <c r="I22114" t="s">
        <v>79</v>
      </c>
      <c r="J22114">
        <v>2.66</v>
      </c>
      <c r="K22114">
        <v>0.51</v>
      </c>
      <c r="L22114">
        <v>41126</v>
      </c>
      <c r="M22114" t="s">
        <v>761</v>
      </c>
      <c r="N22114" t="str">
        <f t="shared" ref="N22114:N22119" si="406">"12345023615 "</f>
        <v xml:space="preserve">12345023615 </v>
      </c>
      <c r="O22114">
        <v>231109</v>
      </c>
    </row>
    <row r="22115" spans="1:15" x14ac:dyDescent="0.25">
      <c r="A22115" t="s">
        <v>16</v>
      </c>
      <c r="B22115" t="s">
        <v>3221</v>
      </c>
      <c r="C22115">
        <v>15231</v>
      </c>
      <c r="D22115" t="s">
        <v>263</v>
      </c>
      <c r="E22115" t="s">
        <v>264</v>
      </c>
      <c r="F22115">
        <v>1.65</v>
      </c>
      <c r="G22115">
        <v>231106</v>
      </c>
      <c r="H22115">
        <v>4362</v>
      </c>
      <c r="I22115" t="s">
        <v>79</v>
      </c>
      <c r="J22115">
        <v>2.04</v>
      </c>
      <c r="K22115">
        <v>0.39</v>
      </c>
      <c r="L22115">
        <v>43222</v>
      </c>
      <c r="M22115" t="s">
        <v>507</v>
      </c>
      <c r="N22115" t="str">
        <f t="shared" si="406"/>
        <v xml:space="preserve">12345023615 </v>
      </c>
      <c r="O22115">
        <v>231109</v>
      </c>
    </row>
    <row r="22116" spans="1:15" x14ac:dyDescent="0.25">
      <c r="A22116" t="s">
        <v>16</v>
      </c>
      <c r="B22116" t="s">
        <v>3221</v>
      </c>
      <c r="C22116">
        <v>15231</v>
      </c>
      <c r="D22116" t="s">
        <v>263</v>
      </c>
      <c r="E22116" t="s">
        <v>264</v>
      </c>
      <c r="F22116">
        <v>1.98</v>
      </c>
      <c r="G22116">
        <v>231106</v>
      </c>
      <c r="H22116">
        <v>4362</v>
      </c>
      <c r="I22116" t="s">
        <v>79</v>
      </c>
      <c r="J22116">
        <v>2.4500000000000002</v>
      </c>
      <c r="K22116">
        <v>0.47</v>
      </c>
      <c r="L22116">
        <v>44222</v>
      </c>
      <c r="M22116" t="s">
        <v>232</v>
      </c>
      <c r="N22116" t="str">
        <f t="shared" si="406"/>
        <v xml:space="preserve">12345023615 </v>
      </c>
      <c r="O22116">
        <v>231109</v>
      </c>
    </row>
    <row r="22117" spans="1:15" x14ac:dyDescent="0.25">
      <c r="A22117" t="s">
        <v>16</v>
      </c>
      <c r="B22117" t="s">
        <v>3221</v>
      </c>
      <c r="C22117">
        <v>15231</v>
      </c>
      <c r="D22117" t="s">
        <v>263</v>
      </c>
      <c r="E22117" t="s">
        <v>264</v>
      </c>
      <c r="F22117">
        <v>2.14</v>
      </c>
      <c r="G22117">
        <v>231106</v>
      </c>
      <c r="H22117">
        <v>4362</v>
      </c>
      <c r="I22117" t="s">
        <v>79</v>
      </c>
      <c r="J22117">
        <v>2.65</v>
      </c>
      <c r="K22117">
        <v>0.51</v>
      </c>
      <c r="L22117">
        <v>44424</v>
      </c>
      <c r="M22117" t="s">
        <v>776</v>
      </c>
      <c r="N22117" t="str">
        <f t="shared" si="406"/>
        <v xml:space="preserve">12345023615 </v>
      </c>
      <c r="O22117">
        <v>231109</v>
      </c>
    </row>
    <row r="22118" spans="1:15" x14ac:dyDescent="0.25">
      <c r="A22118" t="s">
        <v>16</v>
      </c>
      <c r="B22118" t="s">
        <v>3221</v>
      </c>
      <c r="C22118">
        <v>15231</v>
      </c>
      <c r="D22118" t="s">
        <v>263</v>
      </c>
      <c r="E22118" t="s">
        <v>264</v>
      </c>
      <c r="F22118">
        <v>1.1499999999999999</v>
      </c>
      <c r="G22118">
        <v>231106</v>
      </c>
      <c r="H22118">
        <v>4362</v>
      </c>
      <c r="I22118" t="s">
        <v>79</v>
      </c>
      <c r="J22118">
        <v>1.43</v>
      </c>
      <c r="K22118">
        <v>0.28000000000000003</v>
      </c>
      <c r="L22118">
        <v>46222</v>
      </c>
      <c r="M22118" t="s">
        <v>293</v>
      </c>
      <c r="N22118" t="str">
        <f t="shared" si="406"/>
        <v xml:space="preserve">12345023615 </v>
      </c>
      <c r="O22118">
        <v>231109</v>
      </c>
    </row>
    <row r="22119" spans="1:15" x14ac:dyDescent="0.25">
      <c r="A22119" t="s">
        <v>16</v>
      </c>
      <c r="B22119" t="s">
        <v>3221</v>
      </c>
      <c r="C22119">
        <v>15231</v>
      </c>
      <c r="D22119" t="s">
        <v>263</v>
      </c>
      <c r="E22119" t="s">
        <v>264</v>
      </c>
      <c r="F22119">
        <v>7.41</v>
      </c>
      <c r="G22119">
        <v>231106</v>
      </c>
      <c r="H22119">
        <v>4362</v>
      </c>
      <c r="I22119" t="s">
        <v>79</v>
      </c>
      <c r="J22119">
        <v>9.19</v>
      </c>
      <c r="K22119">
        <v>1.78</v>
      </c>
      <c r="L22119">
        <v>46559</v>
      </c>
      <c r="M22119" t="s">
        <v>1104</v>
      </c>
      <c r="N22119" t="str">
        <f t="shared" si="406"/>
        <v xml:space="preserve">12345023615 </v>
      </c>
      <c r="O22119">
        <v>231109</v>
      </c>
    </row>
    <row r="22120" spans="1:15" x14ac:dyDescent="0.25">
      <c r="A22120" t="s">
        <v>16</v>
      </c>
      <c r="B22120" t="s">
        <v>3221</v>
      </c>
      <c r="C22120">
        <v>15232</v>
      </c>
      <c r="D22120" t="s">
        <v>263</v>
      </c>
      <c r="E22120" t="s">
        <v>264</v>
      </c>
      <c r="F22120">
        <v>32.020000000000003</v>
      </c>
      <c r="G22120">
        <v>231106</v>
      </c>
      <c r="H22120">
        <v>4362</v>
      </c>
      <c r="I22120" t="s">
        <v>79</v>
      </c>
      <c r="J22120">
        <v>39.71</v>
      </c>
      <c r="K22120">
        <v>7.69</v>
      </c>
      <c r="L22120">
        <v>41126</v>
      </c>
      <c r="M22120" t="s">
        <v>761</v>
      </c>
      <c r="N22120" t="str">
        <f>"12345023604 "</f>
        <v xml:space="preserve">12345023604 </v>
      </c>
      <c r="O22120">
        <v>231109</v>
      </c>
    </row>
    <row r="22121" spans="1:15" x14ac:dyDescent="0.25">
      <c r="A22121" t="s">
        <v>16</v>
      </c>
      <c r="B22121" t="s">
        <v>3221</v>
      </c>
      <c r="C22121">
        <v>15232</v>
      </c>
      <c r="D22121" t="s">
        <v>263</v>
      </c>
      <c r="E22121" t="s">
        <v>264</v>
      </c>
      <c r="F22121">
        <v>10.81</v>
      </c>
      <c r="G22121">
        <v>231106</v>
      </c>
      <c r="H22121">
        <v>4362</v>
      </c>
      <c r="I22121" t="s">
        <v>79</v>
      </c>
      <c r="J22121">
        <v>13.4</v>
      </c>
      <c r="K22121">
        <v>2.59</v>
      </c>
      <c r="L22121">
        <v>46222</v>
      </c>
      <c r="M22121" t="s">
        <v>293</v>
      </c>
      <c r="N22121" t="str">
        <f>"12345023604 "</f>
        <v xml:space="preserve">12345023604 </v>
      </c>
      <c r="O22121">
        <v>231109</v>
      </c>
    </row>
    <row r="22122" spans="1:15" x14ac:dyDescent="0.25">
      <c r="A22122" t="s">
        <v>16</v>
      </c>
      <c r="B22122" t="s">
        <v>3221</v>
      </c>
      <c r="C22122">
        <v>15233</v>
      </c>
      <c r="D22122" t="s">
        <v>263</v>
      </c>
      <c r="E22122" t="s">
        <v>264</v>
      </c>
      <c r="F22122">
        <v>11.8</v>
      </c>
      <c r="G22122">
        <v>231106</v>
      </c>
      <c r="H22122">
        <v>4362</v>
      </c>
      <c r="I22122" t="s">
        <v>79</v>
      </c>
      <c r="J22122">
        <v>14.63</v>
      </c>
      <c r="K22122">
        <v>2.83</v>
      </c>
      <c r="L22122">
        <v>17913</v>
      </c>
      <c r="M22122" t="s">
        <v>431</v>
      </c>
      <c r="N22122" t="str">
        <f>"12345023616 "</f>
        <v xml:space="preserve">12345023616 </v>
      </c>
      <c r="O22122">
        <v>231109</v>
      </c>
    </row>
    <row r="22123" spans="1:15" x14ac:dyDescent="0.25">
      <c r="A22123" t="s">
        <v>16</v>
      </c>
      <c r="B22123" t="s">
        <v>3221</v>
      </c>
      <c r="C22123">
        <v>15233</v>
      </c>
      <c r="D22123" t="s">
        <v>263</v>
      </c>
      <c r="E22123" t="s">
        <v>264</v>
      </c>
      <c r="F22123">
        <v>22.74</v>
      </c>
      <c r="G22123">
        <v>231106</v>
      </c>
      <c r="H22123">
        <v>4362</v>
      </c>
      <c r="I22123" t="s">
        <v>79</v>
      </c>
      <c r="J22123">
        <v>28.2</v>
      </c>
      <c r="K22123">
        <v>5.46</v>
      </c>
      <c r="L22123">
        <v>17951</v>
      </c>
      <c r="M22123" t="s">
        <v>87</v>
      </c>
      <c r="N22123" t="str">
        <f>"12345023616 "</f>
        <v xml:space="preserve">12345023616 </v>
      </c>
      <c r="O22123">
        <v>231109</v>
      </c>
    </row>
    <row r="22124" spans="1:15" x14ac:dyDescent="0.25">
      <c r="A22124" t="s">
        <v>16</v>
      </c>
      <c r="B22124" t="s">
        <v>3221</v>
      </c>
      <c r="C22124">
        <v>15233</v>
      </c>
      <c r="D22124" t="s">
        <v>263</v>
      </c>
      <c r="E22124" t="s">
        <v>264</v>
      </c>
      <c r="F22124">
        <v>10.8</v>
      </c>
      <c r="G22124">
        <v>231106</v>
      </c>
      <c r="H22124">
        <v>4362</v>
      </c>
      <c r="I22124" t="s">
        <v>79</v>
      </c>
      <c r="J22124">
        <v>13.39</v>
      </c>
      <c r="K22124">
        <v>2.59</v>
      </c>
      <c r="L22124">
        <v>17971</v>
      </c>
      <c r="M22124" t="s">
        <v>138</v>
      </c>
      <c r="N22124" t="str">
        <f>"12345023616 "</f>
        <v xml:space="preserve">12345023616 </v>
      </c>
      <c r="O22124">
        <v>231109</v>
      </c>
    </row>
    <row r="22125" spans="1:15" x14ac:dyDescent="0.25">
      <c r="A22125" t="s">
        <v>16</v>
      </c>
      <c r="B22125" t="s">
        <v>3221</v>
      </c>
      <c r="C22125">
        <v>15233</v>
      </c>
      <c r="D22125" t="s">
        <v>263</v>
      </c>
      <c r="E22125" t="s">
        <v>264</v>
      </c>
      <c r="F22125">
        <v>5.25</v>
      </c>
      <c r="G22125">
        <v>231106</v>
      </c>
      <c r="H22125">
        <v>4362</v>
      </c>
      <c r="I22125" t="s">
        <v>79</v>
      </c>
      <c r="J22125">
        <v>6.51</v>
      </c>
      <c r="K22125">
        <v>1.26</v>
      </c>
      <c r="L22125">
        <v>17974</v>
      </c>
      <c r="M22125" t="s">
        <v>460</v>
      </c>
      <c r="N22125" t="str">
        <f>"12345023616 "</f>
        <v xml:space="preserve">12345023616 </v>
      </c>
      <c r="O22125">
        <v>231109</v>
      </c>
    </row>
    <row r="22126" spans="1:15" x14ac:dyDescent="0.25">
      <c r="A22126" t="s">
        <v>16</v>
      </c>
      <c r="B22126" t="s">
        <v>3221</v>
      </c>
      <c r="C22126">
        <v>15233</v>
      </c>
      <c r="D22126" t="s">
        <v>263</v>
      </c>
      <c r="E22126" t="s">
        <v>264</v>
      </c>
      <c r="F22126">
        <v>9.43</v>
      </c>
      <c r="G22126">
        <v>231106</v>
      </c>
      <c r="H22126">
        <v>4362</v>
      </c>
      <c r="I22126" t="s">
        <v>79</v>
      </c>
      <c r="J22126">
        <v>11.69</v>
      </c>
      <c r="K22126">
        <v>2.2599999999999998</v>
      </c>
      <c r="L22126">
        <v>17975</v>
      </c>
      <c r="M22126" t="s">
        <v>798</v>
      </c>
      <c r="N22126" t="str">
        <f>"12345023616 "</f>
        <v xml:space="preserve">12345023616 </v>
      </c>
      <c r="O22126">
        <v>231109</v>
      </c>
    </row>
    <row r="22127" spans="1:15" x14ac:dyDescent="0.25">
      <c r="A22127" t="s">
        <v>16</v>
      </c>
      <c r="B22127" t="s">
        <v>3221</v>
      </c>
      <c r="C22127">
        <v>15234</v>
      </c>
      <c r="D22127" t="s">
        <v>263</v>
      </c>
      <c r="E22127" t="s">
        <v>264</v>
      </c>
      <c r="F22127">
        <v>18.75</v>
      </c>
      <c r="G22127">
        <v>231106</v>
      </c>
      <c r="H22127">
        <v>4362</v>
      </c>
      <c r="I22127" t="s">
        <v>79</v>
      </c>
      <c r="J22127">
        <v>23.25</v>
      </c>
      <c r="K22127">
        <v>4.5</v>
      </c>
      <c r="L22127">
        <v>47522</v>
      </c>
      <c r="M22127" t="s">
        <v>410</v>
      </c>
      <c r="N22127" t="str">
        <f>"12345023606 "</f>
        <v xml:space="preserve">12345023606 </v>
      </c>
      <c r="O22127">
        <v>231109</v>
      </c>
    </row>
    <row r="22128" spans="1:15" x14ac:dyDescent="0.25">
      <c r="A22128" t="s">
        <v>16</v>
      </c>
      <c r="B22128" t="s">
        <v>3221</v>
      </c>
      <c r="C22128">
        <v>15234</v>
      </c>
      <c r="D22128" t="s">
        <v>263</v>
      </c>
      <c r="E22128" t="s">
        <v>264</v>
      </c>
      <c r="F22128">
        <v>5.27</v>
      </c>
      <c r="G22128">
        <v>231106</v>
      </c>
      <c r="H22128">
        <v>4362</v>
      </c>
      <c r="I22128" t="s">
        <v>79</v>
      </c>
      <c r="J22128">
        <v>5.27</v>
      </c>
      <c r="K22128">
        <v>0</v>
      </c>
      <c r="L22128">
        <v>49702</v>
      </c>
      <c r="M22128" t="s">
        <v>584</v>
      </c>
      <c r="N22128" t="str">
        <f>"12345023606 "</f>
        <v xml:space="preserve">12345023606 </v>
      </c>
      <c r="O22128">
        <v>231109</v>
      </c>
    </row>
    <row r="22129" spans="1:15" x14ac:dyDescent="0.25">
      <c r="A22129" t="s">
        <v>16</v>
      </c>
      <c r="B22129" t="s">
        <v>3221</v>
      </c>
      <c r="C22129">
        <v>15235</v>
      </c>
      <c r="D22129" t="s">
        <v>263</v>
      </c>
      <c r="E22129" t="s">
        <v>264</v>
      </c>
      <c r="F22129">
        <v>5.4</v>
      </c>
      <c r="G22129">
        <v>231106</v>
      </c>
      <c r="H22129">
        <v>4362</v>
      </c>
      <c r="I22129" t="s">
        <v>79</v>
      </c>
      <c r="J22129">
        <v>6.7</v>
      </c>
      <c r="K22129">
        <v>1.3</v>
      </c>
      <c r="L22129">
        <v>43222</v>
      </c>
      <c r="M22129" t="s">
        <v>507</v>
      </c>
      <c r="N22129" t="str">
        <f t="shared" ref="N22129:N22134" si="407">"12345023609 "</f>
        <v xml:space="preserve">12345023609 </v>
      </c>
      <c r="O22129">
        <v>231109</v>
      </c>
    </row>
    <row r="22130" spans="1:15" x14ac:dyDescent="0.25">
      <c r="A22130" t="s">
        <v>16</v>
      </c>
      <c r="B22130" t="s">
        <v>3221</v>
      </c>
      <c r="C22130">
        <v>15235</v>
      </c>
      <c r="D22130" t="s">
        <v>263</v>
      </c>
      <c r="E22130" t="s">
        <v>264</v>
      </c>
      <c r="F22130">
        <v>8.35</v>
      </c>
      <c r="G22130">
        <v>231106</v>
      </c>
      <c r="H22130">
        <v>4362</v>
      </c>
      <c r="I22130" t="s">
        <v>79</v>
      </c>
      <c r="J22130">
        <v>10.35</v>
      </c>
      <c r="K22130">
        <v>2</v>
      </c>
      <c r="L22130">
        <v>44422</v>
      </c>
      <c r="M22130" t="s">
        <v>482</v>
      </c>
      <c r="N22130" t="str">
        <f t="shared" si="407"/>
        <v xml:space="preserve">12345023609 </v>
      </c>
      <c r="O22130">
        <v>231109</v>
      </c>
    </row>
    <row r="22131" spans="1:15" x14ac:dyDescent="0.25">
      <c r="A22131" t="s">
        <v>16</v>
      </c>
      <c r="B22131" t="s">
        <v>3221</v>
      </c>
      <c r="C22131">
        <v>15235</v>
      </c>
      <c r="D22131" t="s">
        <v>263</v>
      </c>
      <c r="E22131" t="s">
        <v>264</v>
      </c>
      <c r="F22131">
        <v>6.07</v>
      </c>
      <c r="G22131">
        <v>231106</v>
      </c>
      <c r="H22131">
        <v>4362</v>
      </c>
      <c r="I22131" t="s">
        <v>79</v>
      </c>
      <c r="J22131">
        <v>7.53</v>
      </c>
      <c r="K22131">
        <v>1.46</v>
      </c>
      <c r="L22131">
        <v>44423</v>
      </c>
      <c r="M22131" t="s">
        <v>502</v>
      </c>
      <c r="N22131" t="str">
        <f t="shared" si="407"/>
        <v xml:space="preserve">12345023609 </v>
      </c>
      <c r="O22131">
        <v>231109</v>
      </c>
    </row>
    <row r="22132" spans="1:15" x14ac:dyDescent="0.25">
      <c r="A22132" t="s">
        <v>16</v>
      </c>
      <c r="B22132" t="s">
        <v>3221</v>
      </c>
      <c r="C22132">
        <v>15235</v>
      </c>
      <c r="D22132" t="s">
        <v>263</v>
      </c>
      <c r="E22132" t="s">
        <v>264</v>
      </c>
      <c r="F22132">
        <v>2.7</v>
      </c>
      <c r="G22132">
        <v>231106</v>
      </c>
      <c r="H22132">
        <v>4362</v>
      </c>
      <c r="I22132" t="s">
        <v>79</v>
      </c>
      <c r="J22132">
        <v>3.35</v>
      </c>
      <c r="K22132">
        <v>0.65</v>
      </c>
      <c r="L22132">
        <v>44453</v>
      </c>
      <c r="M22132" t="s">
        <v>492</v>
      </c>
      <c r="N22132" t="str">
        <f t="shared" si="407"/>
        <v xml:space="preserve">12345023609 </v>
      </c>
      <c r="O22132">
        <v>231109</v>
      </c>
    </row>
    <row r="22133" spans="1:15" x14ac:dyDescent="0.25">
      <c r="A22133" t="s">
        <v>16</v>
      </c>
      <c r="B22133" t="s">
        <v>3221</v>
      </c>
      <c r="C22133">
        <v>15235</v>
      </c>
      <c r="D22133" t="s">
        <v>263</v>
      </c>
      <c r="E22133" t="s">
        <v>264</v>
      </c>
      <c r="F22133">
        <v>2.7</v>
      </c>
      <c r="G22133">
        <v>231106</v>
      </c>
      <c r="H22133">
        <v>4362</v>
      </c>
      <c r="I22133" t="s">
        <v>79</v>
      </c>
      <c r="J22133">
        <v>3.35</v>
      </c>
      <c r="K22133">
        <v>0.65</v>
      </c>
      <c r="L22133">
        <v>48601</v>
      </c>
      <c r="M22133" t="s">
        <v>1047</v>
      </c>
      <c r="N22133" t="str">
        <f t="shared" si="407"/>
        <v xml:space="preserve">12345023609 </v>
      </c>
      <c r="O22133">
        <v>231109</v>
      </c>
    </row>
    <row r="22134" spans="1:15" x14ac:dyDescent="0.25">
      <c r="A22134" t="s">
        <v>16</v>
      </c>
      <c r="B22134" t="s">
        <v>3221</v>
      </c>
      <c r="C22134">
        <v>15235</v>
      </c>
      <c r="D22134" t="s">
        <v>263</v>
      </c>
      <c r="E22134" t="s">
        <v>264</v>
      </c>
      <c r="F22134">
        <v>53.28</v>
      </c>
      <c r="G22134">
        <v>231106</v>
      </c>
      <c r="H22134">
        <v>4362</v>
      </c>
      <c r="I22134" t="s">
        <v>79</v>
      </c>
      <c r="J22134">
        <v>53.28</v>
      </c>
      <c r="K22134">
        <v>0</v>
      </c>
      <c r="L22134">
        <v>49702</v>
      </c>
      <c r="M22134" t="s">
        <v>584</v>
      </c>
      <c r="N22134" t="str">
        <f t="shared" si="407"/>
        <v xml:space="preserve">12345023609 </v>
      </c>
      <c r="O22134">
        <v>231109</v>
      </c>
    </row>
    <row r="22135" spans="1:15" x14ac:dyDescent="0.25">
      <c r="A22135" t="s">
        <v>16</v>
      </c>
      <c r="B22135" t="s">
        <v>3221</v>
      </c>
      <c r="C22135">
        <v>15236</v>
      </c>
      <c r="D22135" t="s">
        <v>263</v>
      </c>
      <c r="E22135" t="s">
        <v>264</v>
      </c>
      <c r="F22135">
        <v>5.4</v>
      </c>
      <c r="G22135">
        <v>231106</v>
      </c>
      <c r="H22135">
        <v>4362</v>
      </c>
      <c r="I22135" t="s">
        <v>79</v>
      </c>
      <c r="J22135">
        <v>6.7</v>
      </c>
      <c r="K22135">
        <v>1.3</v>
      </c>
      <c r="L22135">
        <v>49701</v>
      </c>
      <c r="M22135" t="s">
        <v>166</v>
      </c>
      <c r="N22135" t="str">
        <f>"12345023605 "</f>
        <v xml:space="preserve">12345023605 </v>
      </c>
      <c r="O22135">
        <v>231109</v>
      </c>
    </row>
    <row r="22136" spans="1:15" x14ac:dyDescent="0.25">
      <c r="A22136" t="s">
        <v>16</v>
      </c>
      <c r="B22136" t="s">
        <v>3221</v>
      </c>
      <c r="C22136">
        <v>15236</v>
      </c>
      <c r="D22136" t="s">
        <v>263</v>
      </c>
      <c r="E22136" t="s">
        <v>264</v>
      </c>
      <c r="F22136">
        <v>5.4</v>
      </c>
      <c r="G22136">
        <v>231106</v>
      </c>
      <c r="H22136">
        <v>4362</v>
      </c>
      <c r="I22136" t="s">
        <v>79</v>
      </c>
      <c r="J22136">
        <v>6.69</v>
      </c>
      <c r="K22136">
        <v>1.29</v>
      </c>
      <c r="L22136">
        <v>49702</v>
      </c>
      <c r="M22136" t="s">
        <v>584</v>
      </c>
      <c r="N22136" t="str">
        <f>"12345023605 "</f>
        <v xml:space="preserve">12345023605 </v>
      </c>
      <c r="O22136">
        <v>231109</v>
      </c>
    </row>
    <row r="22137" spans="1:15" x14ac:dyDescent="0.25">
      <c r="A22137" t="s">
        <v>16</v>
      </c>
      <c r="B22137" t="s">
        <v>3221</v>
      </c>
      <c r="C22137">
        <v>15237</v>
      </c>
      <c r="D22137" t="s">
        <v>263</v>
      </c>
      <c r="E22137" t="s">
        <v>264</v>
      </c>
      <c r="F22137">
        <v>8.1</v>
      </c>
      <c r="G22137">
        <v>231106</v>
      </c>
      <c r="H22137">
        <v>4362</v>
      </c>
      <c r="I22137" t="s">
        <v>79</v>
      </c>
      <c r="J22137">
        <v>10.039999999999999</v>
      </c>
      <c r="K22137">
        <v>1.94</v>
      </c>
      <c r="L22137">
        <v>46555</v>
      </c>
      <c r="M22137" t="s">
        <v>597</v>
      </c>
      <c r="N22137" t="str">
        <f>"12345023613 "</f>
        <v xml:space="preserve">12345023613 </v>
      </c>
      <c r="O22137">
        <v>231109</v>
      </c>
    </row>
    <row r="22138" spans="1:15" x14ac:dyDescent="0.25">
      <c r="A22138" t="s">
        <v>16</v>
      </c>
      <c r="B22138" t="s">
        <v>3221</v>
      </c>
      <c r="C22138">
        <v>15237</v>
      </c>
      <c r="D22138" t="s">
        <v>263</v>
      </c>
      <c r="E22138" t="s">
        <v>264</v>
      </c>
      <c r="F22138">
        <v>2.9</v>
      </c>
      <c r="G22138">
        <v>231106</v>
      </c>
      <c r="H22138">
        <v>4362</v>
      </c>
      <c r="I22138" t="s">
        <v>79</v>
      </c>
      <c r="J22138">
        <v>3.6</v>
      </c>
      <c r="K22138">
        <v>0.7</v>
      </c>
      <c r="L22138">
        <v>48601</v>
      </c>
      <c r="M22138" t="s">
        <v>1047</v>
      </c>
      <c r="N22138" t="str">
        <f>"12345023613 "</f>
        <v xml:space="preserve">12345023613 </v>
      </c>
      <c r="O22138">
        <v>231109</v>
      </c>
    </row>
    <row r="22139" spans="1:15" x14ac:dyDescent="0.25">
      <c r="A22139" t="s">
        <v>16</v>
      </c>
      <c r="B22139" t="s">
        <v>3221</v>
      </c>
      <c r="C22139">
        <v>15238</v>
      </c>
      <c r="D22139" t="s">
        <v>263</v>
      </c>
      <c r="E22139" t="s">
        <v>264</v>
      </c>
      <c r="F22139">
        <v>5.27</v>
      </c>
      <c r="G22139">
        <v>231106</v>
      </c>
      <c r="H22139">
        <v>4362</v>
      </c>
      <c r="I22139" t="s">
        <v>79</v>
      </c>
      <c r="J22139">
        <v>6.54</v>
      </c>
      <c r="K22139">
        <v>1.27</v>
      </c>
      <c r="L22139">
        <v>48601</v>
      </c>
      <c r="M22139" t="s">
        <v>1047</v>
      </c>
      <c r="N22139" t="str">
        <f>"12345023608 "</f>
        <v xml:space="preserve">12345023608 </v>
      </c>
      <c r="O22139">
        <v>231109</v>
      </c>
    </row>
    <row r="22140" spans="1:15" x14ac:dyDescent="0.25">
      <c r="A22140" t="s">
        <v>16</v>
      </c>
      <c r="B22140" t="s">
        <v>3221</v>
      </c>
      <c r="C22140">
        <v>15238</v>
      </c>
      <c r="D22140" t="s">
        <v>263</v>
      </c>
      <c r="E22140" t="s">
        <v>264</v>
      </c>
      <c r="F22140">
        <v>2.7</v>
      </c>
      <c r="G22140">
        <v>231106</v>
      </c>
      <c r="H22140">
        <v>4362</v>
      </c>
      <c r="I22140" t="s">
        <v>79</v>
      </c>
      <c r="J22140">
        <v>3.35</v>
      </c>
      <c r="K22140">
        <v>0.65</v>
      </c>
      <c r="L22140">
        <v>49501</v>
      </c>
      <c r="M22140" t="s">
        <v>177</v>
      </c>
      <c r="N22140" t="str">
        <f>"12345023608 "</f>
        <v xml:space="preserve">12345023608 </v>
      </c>
      <c r="O22140">
        <v>231109</v>
      </c>
    </row>
    <row r="22141" spans="1:15" x14ac:dyDescent="0.25">
      <c r="A22141" t="s">
        <v>16</v>
      </c>
      <c r="B22141" t="s">
        <v>3221</v>
      </c>
      <c r="C22141">
        <v>15238</v>
      </c>
      <c r="D22141" t="s">
        <v>263</v>
      </c>
      <c r="E22141" t="s">
        <v>264</v>
      </c>
      <c r="F22141">
        <v>10.65</v>
      </c>
      <c r="G22141">
        <v>231106</v>
      </c>
      <c r="H22141">
        <v>4362</v>
      </c>
      <c r="I22141" t="s">
        <v>79</v>
      </c>
      <c r="J22141">
        <v>13.2</v>
      </c>
      <c r="K22141">
        <v>2.5499999999999998</v>
      </c>
      <c r="L22141">
        <v>49704</v>
      </c>
      <c r="M22141" t="s">
        <v>1065</v>
      </c>
      <c r="N22141" t="str">
        <f>"12345023608 "</f>
        <v xml:space="preserve">12345023608 </v>
      </c>
      <c r="O22141">
        <v>231109</v>
      </c>
    </row>
    <row r="22142" spans="1:15" x14ac:dyDescent="0.25">
      <c r="A22142" t="s">
        <v>16</v>
      </c>
      <c r="B22142" t="s">
        <v>3221</v>
      </c>
      <c r="C22142">
        <v>15238</v>
      </c>
      <c r="D22142" t="s">
        <v>263</v>
      </c>
      <c r="E22142" t="s">
        <v>264</v>
      </c>
      <c r="F22142">
        <v>18.899999999999999</v>
      </c>
      <c r="G22142">
        <v>231106</v>
      </c>
      <c r="H22142">
        <v>4362</v>
      </c>
      <c r="I22142" t="s">
        <v>79</v>
      </c>
      <c r="J22142">
        <v>23.43</v>
      </c>
      <c r="K22142">
        <v>4.53</v>
      </c>
      <c r="L22142">
        <v>49705</v>
      </c>
      <c r="M22142" t="s">
        <v>575</v>
      </c>
      <c r="N22142" t="str">
        <f>"12345023608 "</f>
        <v xml:space="preserve">12345023608 </v>
      </c>
      <c r="O22142">
        <v>231109</v>
      </c>
    </row>
    <row r="22143" spans="1:15" x14ac:dyDescent="0.25">
      <c r="A22143" t="s">
        <v>16</v>
      </c>
      <c r="B22143" t="s">
        <v>3221</v>
      </c>
      <c r="C22143">
        <v>15239</v>
      </c>
      <c r="D22143" t="s">
        <v>263</v>
      </c>
      <c r="E22143" t="s">
        <v>264</v>
      </c>
      <c r="F22143">
        <v>24.15</v>
      </c>
      <c r="G22143">
        <v>231106</v>
      </c>
      <c r="H22143">
        <v>4362</v>
      </c>
      <c r="I22143" t="s">
        <v>79</v>
      </c>
      <c r="J22143">
        <v>29.95</v>
      </c>
      <c r="K22143">
        <v>5.8</v>
      </c>
      <c r="L22143">
        <v>13601</v>
      </c>
      <c r="M22143" t="s">
        <v>147</v>
      </c>
      <c r="N22143" t="str">
        <f>"12345023622 "</f>
        <v xml:space="preserve">12345023622 </v>
      </c>
      <c r="O22143">
        <v>231109</v>
      </c>
    </row>
    <row r="22144" spans="1:15" x14ac:dyDescent="0.25">
      <c r="A22144" t="s">
        <v>16</v>
      </c>
      <c r="B22144" t="s">
        <v>3221</v>
      </c>
      <c r="C22144">
        <v>15240</v>
      </c>
      <c r="D22144" t="s">
        <v>263</v>
      </c>
      <c r="E22144" t="s">
        <v>264</v>
      </c>
      <c r="F22144">
        <v>61.51</v>
      </c>
      <c r="G22144">
        <v>231106</v>
      </c>
      <c r="H22144">
        <v>4362</v>
      </c>
      <c r="I22144" t="s">
        <v>79</v>
      </c>
      <c r="J22144">
        <v>76.27</v>
      </c>
      <c r="K22144">
        <v>14.76</v>
      </c>
      <c r="L22144">
        <v>11801</v>
      </c>
      <c r="M22144" t="s">
        <v>92</v>
      </c>
      <c r="N22144" t="str">
        <f>"12345023623 "</f>
        <v xml:space="preserve">12345023623 </v>
      </c>
      <c r="O22144">
        <v>231109</v>
      </c>
    </row>
    <row r="22145" spans="1:15" x14ac:dyDescent="0.25">
      <c r="A22145" t="s">
        <v>16</v>
      </c>
      <c r="B22145" t="s">
        <v>3221</v>
      </c>
      <c r="C22145">
        <v>15241</v>
      </c>
      <c r="D22145" t="s">
        <v>263</v>
      </c>
      <c r="E22145" t="s">
        <v>264</v>
      </c>
      <c r="F22145">
        <v>4.43</v>
      </c>
      <c r="G22145">
        <v>231106</v>
      </c>
      <c r="H22145">
        <v>4362</v>
      </c>
      <c r="I22145" t="s">
        <v>79</v>
      </c>
      <c r="J22145">
        <v>5.49</v>
      </c>
      <c r="K22145">
        <v>1.06</v>
      </c>
      <c r="L22145">
        <v>11901</v>
      </c>
      <c r="M22145" t="s">
        <v>36</v>
      </c>
      <c r="N22145" t="str">
        <f>"12345023624 "</f>
        <v xml:space="preserve">12345023624 </v>
      </c>
      <c r="O22145">
        <v>231109</v>
      </c>
    </row>
    <row r="22146" spans="1:15" x14ac:dyDescent="0.25">
      <c r="A22146" t="s">
        <v>16</v>
      </c>
      <c r="B22146" t="s">
        <v>3221</v>
      </c>
      <c r="C22146">
        <v>15241</v>
      </c>
      <c r="D22146" t="s">
        <v>263</v>
      </c>
      <c r="E22146" t="s">
        <v>264</v>
      </c>
      <c r="F22146">
        <v>2.7</v>
      </c>
      <c r="G22146">
        <v>231106</v>
      </c>
      <c r="H22146">
        <v>4362</v>
      </c>
      <c r="I22146" t="s">
        <v>79</v>
      </c>
      <c r="J22146">
        <v>3.35</v>
      </c>
      <c r="K22146">
        <v>0.65</v>
      </c>
      <c r="L22146">
        <v>11903</v>
      </c>
      <c r="M22146" t="s">
        <v>406</v>
      </c>
      <c r="N22146" t="str">
        <f>"12345023624 "</f>
        <v xml:space="preserve">12345023624 </v>
      </c>
      <c r="O22146">
        <v>231109</v>
      </c>
    </row>
    <row r="22147" spans="1:15" x14ac:dyDescent="0.25">
      <c r="A22147" t="s">
        <v>16</v>
      </c>
      <c r="B22147" t="s">
        <v>3221</v>
      </c>
      <c r="C22147">
        <v>15242</v>
      </c>
      <c r="D22147" t="s">
        <v>263</v>
      </c>
      <c r="E22147" t="s">
        <v>264</v>
      </c>
      <c r="F22147">
        <v>5.25</v>
      </c>
      <c r="G22147">
        <v>231106</v>
      </c>
      <c r="H22147">
        <v>4362</v>
      </c>
      <c r="I22147" t="s">
        <v>79</v>
      </c>
      <c r="J22147">
        <v>6.51</v>
      </c>
      <c r="K22147">
        <v>1.26</v>
      </c>
      <c r="L22147">
        <v>46554</v>
      </c>
      <c r="M22147" t="s">
        <v>117</v>
      </c>
      <c r="N22147" t="str">
        <f>"12345023607 "</f>
        <v xml:space="preserve">12345023607 </v>
      </c>
      <c r="O22147">
        <v>231109</v>
      </c>
    </row>
    <row r="22148" spans="1:15" x14ac:dyDescent="0.25">
      <c r="A22148" t="s">
        <v>16</v>
      </c>
      <c r="B22148" t="s">
        <v>3221</v>
      </c>
      <c r="C22148">
        <v>15242</v>
      </c>
      <c r="D22148" t="s">
        <v>263</v>
      </c>
      <c r="E22148" t="s">
        <v>264</v>
      </c>
      <c r="F22148">
        <v>23.59</v>
      </c>
      <c r="G22148">
        <v>231106</v>
      </c>
      <c r="H22148">
        <v>4362</v>
      </c>
      <c r="I22148" t="s">
        <v>79</v>
      </c>
      <c r="J22148">
        <v>29.25</v>
      </c>
      <c r="K22148">
        <v>5.66</v>
      </c>
      <c r="L22148">
        <v>46554</v>
      </c>
      <c r="M22148" t="s">
        <v>117</v>
      </c>
      <c r="N22148" t="str">
        <f>"12345023607 "</f>
        <v xml:space="preserve">12345023607 </v>
      </c>
      <c r="O22148">
        <v>231109</v>
      </c>
    </row>
    <row r="22149" spans="1:15" x14ac:dyDescent="0.25">
      <c r="A22149" t="s">
        <v>16</v>
      </c>
      <c r="B22149" t="s">
        <v>3221</v>
      </c>
      <c r="C22149">
        <v>15243</v>
      </c>
      <c r="D22149" t="s">
        <v>263</v>
      </c>
      <c r="E22149" t="s">
        <v>264</v>
      </c>
      <c r="F22149">
        <v>5.83</v>
      </c>
      <c r="G22149">
        <v>231106</v>
      </c>
      <c r="H22149">
        <v>4362</v>
      </c>
      <c r="I22149" t="s">
        <v>79</v>
      </c>
      <c r="J22149">
        <v>7.23</v>
      </c>
      <c r="K22149">
        <v>1.4</v>
      </c>
      <c r="L22149">
        <v>44222</v>
      </c>
      <c r="M22149" t="s">
        <v>232</v>
      </c>
      <c r="N22149" t="str">
        <f>"12345023611 "</f>
        <v xml:space="preserve">12345023611 </v>
      </c>
      <c r="O22149">
        <v>231109</v>
      </c>
    </row>
    <row r="22150" spans="1:15" x14ac:dyDescent="0.25">
      <c r="A22150" t="s">
        <v>16</v>
      </c>
      <c r="B22150" t="s">
        <v>3221</v>
      </c>
      <c r="C22150">
        <v>15243</v>
      </c>
      <c r="D22150" t="s">
        <v>263</v>
      </c>
      <c r="E22150" t="s">
        <v>264</v>
      </c>
      <c r="F22150">
        <v>20.75</v>
      </c>
      <c r="G22150">
        <v>231106</v>
      </c>
      <c r="H22150">
        <v>4362</v>
      </c>
      <c r="I22150" t="s">
        <v>79</v>
      </c>
      <c r="J22150">
        <v>25.73</v>
      </c>
      <c r="K22150">
        <v>4.9800000000000004</v>
      </c>
      <c r="L22150">
        <v>44222</v>
      </c>
      <c r="M22150" t="s">
        <v>232</v>
      </c>
      <c r="N22150" t="str">
        <f>"12345023611 "</f>
        <v xml:space="preserve">12345023611 </v>
      </c>
      <c r="O22150">
        <v>231109</v>
      </c>
    </row>
    <row r="22151" spans="1:15" x14ac:dyDescent="0.25">
      <c r="A22151" t="s">
        <v>16</v>
      </c>
      <c r="B22151" t="s">
        <v>3221</v>
      </c>
      <c r="C22151">
        <v>15243</v>
      </c>
      <c r="D22151" t="s">
        <v>263</v>
      </c>
      <c r="E22151" t="s">
        <v>264</v>
      </c>
      <c r="F22151">
        <v>2.7</v>
      </c>
      <c r="G22151">
        <v>231106</v>
      </c>
      <c r="H22151">
        <v>4362</v>
      </c>
      <c r="I22151" t="s">
        <v>79</v>
      </c>
      <c r="J22151">
        <v>3.35</v>
      </c>
      <c r="K22151">
        <v>0.65</v>
      </c>
      <c r="L22151">
        <v>44251</v>
      </c>
      <c r="M22151" t="s">
        <v>156</v>
      </c>
      <c r="N22151" t="str">
        <f>"12345023611 "</f>
        <v xml:space="preserve">12345023611 </v>
      </c>
      <c r="O22151">
        <v>231109</v>
      </c>
    </row>
    <row r="22152" spans="1:15" x14ac:dyDescent="0.25">
      <c r="A22152" t="s">
        <v>16</v>
      </c>
      <c r="B22152" t="s">
        <v>3221</v>
      </c>
      <c r="C22152">
        <v>15243</v>
      </c>
      <c r="D22152" t="s">
        <v>263</v>
      </c>
      <c r="E22152" t="s">
        <v>264</v>
      </c>
      <c r="F22152">
        <v>2.5499999999999998</v>
      </c>
      <c r="G22152">
        <v>231106</v>
      </c>
      <c r="H22152">
        <v>4362</v>
      </c>
      <c r="I22152" t="s">
        <v>79</v>
      </c>
      <c r="J22152">
        <v>3.16</v>
      </c>
      <c r="K22152">
        <v>0.61</v>
      </c>
      <c r="L22152">
        <v>44253</v>
      </c>
      <c r="M22152" t="s">
        <v>1058</v>
      </c>
      <c r="N22152" t="str">
        <f>"12345023611 "</f>
        <v xml:space="preserve">12345023611 </v>
      </c>
      <c r="O22152">
        <v>231109</v>
      </c>
    </row>
    <row r="22153" spans="1:15" x14ac:dyDescent="0.25">
      <c r="A22153" t="s">
        <v>16</v>
      </c>
      <c r="B22153" t="s">
        <v>3221</v>
      </c>
      <c r="C22153">
        <v>15243</v>
      </c>
      <c r="D22153" t="s">
        <v>263</v>
      </c>
      <c r="E22153" t="s">
        <v>264</v>
      </c>
      <c r="F22153">
        <v>4.72</v>
      </c>
      <c r="G22153">
        <v>231106</v>
      </c>
      <c r="H22153">
        <v>4362</v>
      </c>
      <c r="I22153" t="s">
        <v>79</v>
      </c>
      <c r="J22153">
        <v>4.72</v>
      </c>
      <c r="K22153">
        <v>0</v>
      </c>
      <c r="L22153">
        <v>49702</v>
      </c>
      <c r="M22153" t="s">
        <v>584</v>
      </c>
      <c r="N22153" t="str">
        <f>"12345023611 "</f>
        <v xml:space="preserve">12345023611 </v>
      </c>
      <c r="O22153">
        <v>231109</v>
      </c>
    </row>
    <row r="22154" spans="1:15" x14ac:dyDescent="0.25">
      <c r="A22154" t="s">
        <v>16</v>
      </c>
      <c r="B22154" t="s">
        <v>3221</v>
      </c>
      <c r="C22154">
        <v>15244</v>
      </c>
      <c r="D22154" t="s">
        <v>263</v>
      </c>
      <c r="E22154" t="s">
        <v>264</v>
      </c>
      <c r="F22154">
        <v>18.82</v>
      </c>
      <c r="G22154">
        <v>231106</v>
      </c>
      <c r="H22154">
        <v>4362</v>
      </c>
      <c r="I22154" t="s">
        <v>79</v>
      </c>
      <c r="J22154">
        <v>23.34</v>
      </c>
      <c r="K22154">
        <v>4.5199999999999996</v>
      </c>
      <c r="L22154">
        <v>11101</v>
      </c>
      <c r="M22154" t="s">
        <v>110</v>
      </c>
      <c r="N22154" t="str">
        <f>"12345023627 "</f>
        <v xml:space="preserve">12345023627 </v>
      </c>
      <c r="O22154">
        <v>231109</v>
      </c>
    </row>
    <row r="22155" spans="1:15" x14ac:dyDescent="0.25">
      <c r="A22155" t="s">
        <v>16</v>
      </c>
      <c r="B22155" t="s">
        <v>3221</v>
      </c>
      <c r="C22155">
        <v>15244</v>
      </c>
      <c r="D22155" t="s">
        <v>263</v>
      </c>
      <c r="E22155" t="s">
        <v>264</v>
      </c>
      <c r="F22155">
        <v>3.37</v>
      </c>
      <c r="G22155">
        <v>231106</v>
      </c>
      <c r="H22155">
        <v>4362</v>
      </c>
      <c r="I22155" t="s">
        <v>79</v>
      </c>
      <c r="J22155">
        <v>4.18</v>
      </c>
      <c r="K22155">
        <v>0.81</v>
      </c>
      <c r="L22155">
        <v>11201</v>
      </c>
      <c r="M22155" t="s">
        <v>305</v>
      </c>
      <c r="N22155" t="str">
        <f>"12345023627 "</f>
        <v xml:space="preserve">12345023627 </v>
      </c>
      <c r="O22155">
        <v>231109</v>
      </c>
    </row>
    <row r="22156" spans="1:15" x14ac:dyDescent="0.25">
      <c r="A22156" t="s">
        <v>16</v>
      </c>
      <c r="B22156" t="s">
        <v>3221</v>
      </c>
      <c r="C22156">
        <v>15245</v>
      </c>
      <c r="D22156" t="s">
        <v>263</v>
      </c>
      <c r="E22156" t="s">
        <v>264</v>
      </c>
      <c r="F22156">
        <v>117.3</v>
      </c>
      <c r="G22156">
        <v>231106</v>
      </c>
      <c r="H22156">
        <v>4362</v>
      </c>
      <c r="I22156" t="s">
        <v>79</v>
      </c>
      <c r="J22156">
        <v>145.44999999999999</v>
      </c>
      <c r="K22156">
        <v>28.15</v>
      </c>
      <c r="L22156">
        <v>46556</v>
      </c>
      <c r="M22156" t="s">
        <v>125</v>
      </c>
      <c r="N22156" t="str">
        <f>"12345023610 "</f>
        <v xml:space="preserve">12345023610 </v>
      </c>
      <c r="O22156">
        <v>231109</v>
      </c>
    </row>
    <row r="22157" spans="1:15" x14ac:dyDescent="0.25">
      <c r="A22157" t="s">
        <v>16</v>
      </c>
      <c r="B22157" t="s">
        <v>3221</v>
      </c>
      <c r="C22157">
        <v>15253</v>
      </c>
      <c r="D22157" t="s">
        <v>263</v>
      </c>
      <c r="E22157" t="s">
        <v>264</v>
      </c>
      <c r="F22157">
        <v>43.35</v>
      </c>
      <c r="G22157">
        <v>231106</v>
      </c>
      <c r="H22157">
        <v>4362</v>
      </c>
      <c r="I22157" t="s">
        <v>79</v>
      </c>
      <c r="J22157">
        <v>53.75</v>
      </c>
      <c r="K22157">
        <v>10.4</v>
      </c>
      <c r="L22157">
        <v>10002</v>
      </c>
      <c r="M22157" t="s">
        <v>1066</v>
      </c>
      <c r="N22157" t="str">
        <f>"12345023636 "</f>
        <v xml:space="preserve">12345023636 </v>
      </c>
      <c r="O22157">
        <v>231109</v>
      </c>
    </row>
    <row r="22158" spans="1:15" x14ac:dyDescent="0.25">
      <c r="A22158" t="s">
        <v>16</v>
      </c>
      <c r="B22158" t="s">
        <v>3221</v>
      </c>
      <c r="C22158">
        <v>15254</v>
      </c>
      <c r="D22158" t="s">
        <v>263</v>
      </c>
      <c r="E22158" t="s">
        <v>264</v>
      </c>
      <c r="F22158">
        <v>21.6</v>
      </c>
      <c r="G22158">
        <v>231106</v>
      </c>
      <c r="H22158">
        <v>4362</v>
      </c>
      <c r="I22158" t="s">
        <v>79</v>
      </c>
      <c r="J22158">
        <v>26.79</v>
      </c>
      <c r="K22158">
        <v>5.19</v>
      </c>
      <c r="L22158">
        <v>16121</v>
      </c>
      <c r="M22158" t="s">
        <v>21</v>
      </c>
      <c r="N22158" t="str">
        <f t="shared" ref="N22158:N22166" si="408">"12345023620 "</f>
        <v xml:space="preserve">12345023620 </v>
      </c>
      <c r="O22158">
        <v>231109</v>
      </c>
    </row>
    <row r="22159" spans="1:15" x14ac:dyDescent="0.25">
      <c r="A22159" t="s">
        <v>16</v>
      </c>
      <c r="B22159" t="s">
        <v>3221</v>
      </c>
      <c r="C22159">
        <v>15254</v>
      </c>
      <c r="D22159" t="s">
        <v>263</v>
      </c>
      <c r="E22159" t="s">
        <v>264</v>
      </c>
      <c r="F22159">
        <v>5.4</v>
      </c>
      <c r="G22159">
        <v>231106</v>
      </c>
      <c r="H22159">
        <v>4362</v>
      </c>
      <c r="I22159" t="s">
        <v>79</v>
      </c>
      <c r="J22159">
        <v>6.7</v>
      </c>
      <c r="K22159">
        <v>1.3</v>
      </c>
      <c r="L22159">
        <v>16322</v>
      </c>
      <c r="M22159" t="s">
        <v>22</v>
      </c>
      <c r="N22159" t="str">
        <f t="shared" si="408"/>
        <v xml:space="preserve">12345023620 </v>
      </c>
      <c r="O22159">
        <v>231109</v>
      </c>
    </row>
    <row r="22160" spans="1:15" x14ac:dyDescent="0.25">
      <c r="A22160" t="s">
        <v>16</v>
      </c>
      <c r="B22160" t="s">
        <v>3221</v>
      </c>
      <c r="C22160">
        <v>15254</v>
      </c>
      <c r="D22160" t="s">
        <v>263</v>
      </c>
      <c r="E22160" t="s">
        <v>264</v>
      </c>
      <c r="F22160">
        <v>2.69</v>
      </c>
      <c r="G22160">
        <v>231106</v>
      </c>
      <c r="H22160">
        <v>4362</v>
      </c>
      <c r="I22160" t="s">
        <v>79</v>
      </c>
      <c r="J22160">
        <v>3.34</v>
      </c>
      <c r="K22160">
        <v>0.65</v>
      </c>
      <c r="L22160">
        <v>16820</v>
      </c>
      <c r="M22160" t="s">
        <v>23</v>
      </c>
      <c r="N22160" t="str">
        <f t="shared" si="408"/>
        <v xml:space="preserve">12345023620 </v>
      </c>
      <c r="O22160">
        <v>231109</v>
      </c>
    </row>
    <row r="22161" spans="1:15" x14ac:dyDescent="0.25">
      <c r="A22161" t="s">
        <v>16</v>
      </c>
      <c r="B22161" t="s">
        <v>3221</v>
      </c>
      <c r="C22161">
        <v>15254</v>
      </c>
      <c r="D22161" t="s">
        <v>263</v>
      </c>
      <c r="E22161" t="s">
        <v>264</v>
      </c>
      <c r="F22161">
        <v>5.69</v>
      </c>
      <c r="G22161">
        <v>231106</v>
      </c>
      <c r="H22161">
        <v>4362</v>
      </c>
      <c r="I22161" t="s">
        <v>79</v>
      </c>
      <c r="J22161">
        <v>7.05</v>
      </c>
      <c r="K22161">
        <v>1.36</v>
      </c>
      <c r="L22161">
        <v>16820</v>
      </c>
      <c r="M22161" t="s">
        <v>23</v>
      </c>
      <c r="N22161" t="str">
        <f t="shared" si="408"/>
        <v xml:space="preserve">12345023620 </v>
      </c>
      <c r="O22161">
        <v>231109</v>
      </c>
    </row>
    <row r="22162" spans="1:15" x14ac:dyDescent="0.25">
      <c r="A22162" t="s">
        <v>16</v>
      </c>
      <c r="B22162" t="s">
        <v>3221</v>
      </c>
      <c r="C22162">
        <v>15254</v>
      </c>
      <c r="D22162" t="s">
        <v>263</v>
      </c>
      <c r="E22162" t="s">
        <v>264</v>
      </c>
      <c r="F22162">
        <v>2.7</v>
      </c>
      <c r="G22162">
        <v>231106</v>
      </c>
      <c r="H22162">
        <v>4362</v>
      </c>
      <c r="I22162" t="s">
        <v>79</v>
      </c>
      <c r="J22162">
        <v>3.35</v>
      </c>
      <c r="K22162">
        <v>0.65</v>
      </c>
      <c r="L22162">
        <v>17950</v>
      </c>
      <c r="M22162" t="s">
        <v>86</v>
      </c>
      <c r="N22162" t="str">
        <f t="shared" si="408"/>
        <v xml:space="preserve">12345023620 </v>
      </c>
      <c r="O22162">
        <v>231109</v>
      </c>
    </row>
    <row r="22163" spans="1:15" x14ac:dyDescent="0.25">
      <c r="A22163" t="s">
        <v>16</v>
      </c>
      <c r="B22163" t="s">
        <v>3221</v>
      </c>
      <c r="C22163">
        <v>15254</v>
      </c>
      <c r="D22163" t="s">
        <v>263</v>
      </c>
      <c r="E22163" t="s">
        <v>264</v>
      </c>
      <c r="F22163">
        <v>2.7</v>
      </c>
      <c r="G22163">
        <v>231106</v>
      </c>
      <c r="H22163">
        <v>4362</v>
      </c>
      <c r="I22163" t="s">
        <v>79</v>
      </c>
      <c r="J22163">
        <v>3.35</v>
      </c>
      <c r="K22163">
        <v>0.65</v>
      </c>
      <c r="L22163">
        <v>17971</v>
      </c>
      <c r="M22163" t="s">
        <v>138</v>
      </c>
      <c r="N22163" t="str">
        <f t="shared" si="408"/>
        <v xml:space="preserve">12345023620 </v>
      </c>
      <c r="O22163">
        <v>231109</v>
      </c>
    </row>
    <row r="22164" spans="1:15" x14ac:dyDescent="0.25">
      <c r="A22164" t="s">
        <v>16</v>
      </c>
      <c r="B22164" t="s">
        <v>3221</v>
      </c>
      <c r="C22164">
        <v>15254</v>
      </c>
      <c r="D22164" t="s">
        <v>263</v>
      </c>
      <c r="E22164" t="s">
        <v>264</v>
      </c>
      <c r="F22164">
        <v>2.7</v>
      </c>
      <c r="G22164">
        <v>231106</v>
      </c>
      <c r="H22164">
        <v>4362</v>
      </c>
      <c r="I22164" t="s">
        <v>79</v>
      </c>
      <c r="J22164">
        <v>3.35</v>
      </c>
      <c r="K22164">
        <v>0.65</v>
      </c>
      <c r="L22164">
        <v>17972</v>
      </c>
      <c r="M22164" t="s">
        <v>248</v>
      </c>
      <c r="N22164" t="str">
        <f t="shared" si="408"/>
        <v xml:space="preserve">12345023620 </v>
      </c>
      <c r="O22164">
        <v>231109</v>
      </c>
    </row>
    <row r="22165" spans="1:15" x14ac:dyDescent="0.25">
      <c r="A22165" t="s">
        <v>16</v>
      </c>
      <c r="B22165" t="s">
        <v>3221</v>
      </c>
      <c r="C22165">
        <v>15254</v>
      </c>
      <c r="D22165" t="s">
        <v>263</v>
      </c>
      <c r="E22165" t="s">
        <v>264</v>
      </c>
      <c r="F22165">
        <v>2.5499999999999998</v>
      </c>
      <c r="G22165">
        <v>231106</v>
      </c>
      <c r="H22165">
        <v>4362</v>
      </c>
      <c r="I22165" t="s">
        <v>79</v>
      </c>
      <c r="J22165">
        <v>3.16</v>
      </c>
      <c r="K22165">
        <v>0.61</v>
      </c>
      <c r="L22165">
        <v>17974</v>
      </c>
      <c r="M22165" t="s">
        <v>460</v>
      </c>
      <c r="N22165" t="str">
        <f t="shared" si="408"/>
        <v xml:space="preserve">12345023620 </v>
      </c>
      <c r="O22165">
        <v>231109</v>
      </c>
    </row>
    <row r="22166" spans="1:15" x14ac:dyDescent="0.25">
      <c r="A22166" t="s">
        <v>16</v>
      </c>
      <c r="B22166" t="s">
        <v>3221</v>
      </c>
      <c r="C22166">
        <v>15254</v>
      </c>
      <c r="D22166" t="s">
        <v>263</v>
      </c>
      <c r="E22166" t="s">
        <v>264</v>
      </c>
      <c r="F22166">
        <v>2.7</v>
      </c>
      <c r="G22166">
        <v>231106</v>
      </c>
      <c r="H22166">
        <v>4362</v>
      </c>
      <c r="I22166" t="s">
        <v>79</v>
      </c>
      <c r="J22166">
        <v>3.35</v>
      </c>
      <c r="K22166">
        <v>0.65</v>
      </c>
      <c r="L22166">
        <v>17974</v>
      </c>
      <c r="M22166" t="s">
        <v>460</v>
      </c>
      <c r="N22166" t="str">
        <f t="shared" si="408"/>
        <v xml:space="preserve">12345023620 </v>
      </c>
      <c r="O22166">
        <v>231109</v>
      </c>
    </row>
    <row r="22167" spans="1:15" x14ac:dyDescent="0.25">
      <c r="A22167" t="s">
        <v>16</v>
      </c>
      <c r="B22167" t="s">
        <v>3221</v>
      </c>
      <c r="C22167">
        <v>15255</v>
      </c>
      <c r="D22167" t="s">
        <v>263</v>
      </c>
      <c r="E22167" t="s">
        <v>264</v>
      </c>
      <c r="F22167">
        <v>1.52</v>
      </c>
      <c r="G22167">
        <v>231106</v>
      </c>
      <c r="H22167">
        <v>4362</v>
      </c>
      <c r="I22167" t="s">
        <v>79</v>
      </c>
      <c r="J22167">
        <v>1.89</v>
      </c>
      <c r="K22167">
        <v>0.37</v>
      </c>
      <c r="L22167">
        <v>13540</v>
      </c>
      <c r="M22167" t="s">
        <v>85</v>
      </c>
      <c r="N22167" t="str">
        <f t="shared" ref="N22167:N22191" si="409">"12345023619 "</f>
        <v xml:space="preserve">12345023619 </v>
      </c>
      <c r="O22167">
        <v>231109</v>
      </c>
    </row>
    <row r="22168" spans="1:15" x14ac:dyDescent="0.25">
      <c r="A22168" t="s">
        <v>16</v>
      </c>
      <c r="B22168" t="s">
        <v>3221</v>
      </c>
      <c r="C22168">
        <v>15255</v>
      </c>
      <c r="D22168" t="s">
        <v>263</v>
      </c>
      <c r="E22168" t="s">
        <v>264</v>
      </c>
      <c r="F22168">
        <v>7.95</v>
      </c>
      <c r="G22168">
        <v>231106</v>
      </c>
      <c r="H22168">
        <v>4362</v>
      </c>
      <c r="I22168" t="s">
        <v>79</v>
      </c>
      <c r="J22168">
        <v>9.86</v>
      </c>
      <c r="K22168">
        <v>1.91</v>
      </c>
      <c r="L22168">
        <v>16930</v>
      </c>
      <c r="M22168" t="s">
        <v>450</v>
      </c>
      <c r="N22168" t="str">
        <f t="shared" si="409"/>
        <v xml:space="preserve">12345023619 </v>
      </c>
      <c r="O22168">
        <v>231109</v>
      </c>
    </row>
    <row r="22169" spans="1:15" x14ac:dyDescent="0.25">
      <c r="A22169" t="s">
        <v>16</v>
      </c>
      <c r="B22169" t="s">
        <v>3221</v>
      </c>
      <c r="C22169">
        <v>15255</v>
      </c>
      <c r="D22169" t="s">
        <v>263</v>
      </c>
      <c r="E22169" t="s">
        <v>264</v>
      </c>
      <c r="F22169">
        <v>12.8</v>
      </c>
      <c r="G22169">
        <v>231106</v>
      </c>
      <c r="H22169">
        <v>4362</v>
      </c>
      <c r="I22169" t="s">
        <v>79</v>
      </c>
      <c r="J22169">
        <v>15.87</v>
      </c>
      <c r="K22169">
        <v>3.07</v>
      </c>
      <c r="L22169">
        <v>17521</v>
      </c>
      <c r="M22169" t="s">
        <v>133</v>
      </c>
      <c r="N22169" t="str">
        <f t="shared" si="409"/>
        <v xml:space="preserve">12345023619 </v>
      </c>
      <c r="O22169">
        <v>231109</v>
      </c>
    </row>
    <row r="22170" spans="1:15" x14ac:dyDescent="0.25">
      <c r="A22170" t="s">
        <v>16</v>
      </c>
      <c r="B22170" t="s">
        <v>3221</v>
      </c>
      <c r="C22170">
        <v>15255</v>
      </c>
      <c r="D22170" t="s">
        <v>263</v>
      </c>
      <c r="E22170" t="s">
        <v>264</v>
      </c>
      <c r="F22170">
        <v>8.36</v>
      </c>
      <c r="G22170">
        <v>231106</v>
      </c>
      <c r="H22170">
        <v>4362</v>
      </c>
      <c r="I22170" t="s">
        <v>79</v>
      </c>
      <c r="J22170">
        <v>10.37</v>
      </c>
      <c r="K22170">
        <v>2.0099999999999998</v>
      </c>
      <c r="L22170">
        <v>17522</v>
      </c>
      <c r="M22170" t="s">
        <v>451</v>
      </c>
      <c r="N22170" t="str">
        <f t="shared" si="409"/>
        <v xml:space="preserve">12345023619 </v>
      </c>
      <c r="O22170">
        <v>231109</v>
      </c>
    </row>
    <row r="22171" spans="1:15" x14ac:dyDescent="0.25">
      <c r="A22171" t="s">
        <v>16</v>
      </c>
      <c r="B22171" t="s">
        <v>3221</v>
      </c>
      <c r="C22171">
        <v>15255</v>
      </c>
      <c r="D22171" t="s">
        <v>263</v>
      </c>
      <c r="E22171" t="s">
        <v>264</v>
      </c>
      <c r="F22171">
        <v>9.11</v>
      </c>
      <c r="G22171">
        <v>231106</v>
      </c>
      <c r="H22171">
        <v>4362</v>
      </c>
      <c r="I22171" t="s">
        <v>79</v>
      </c>
      <c r="J22171">
        <v>11.3</v>
      </c>
      <c r="K22171">
        <v>2.19</v>
      </c>
      <c r="L22171">
        <v>17523</v>
      </c>
      <c r="M22171" t="s">
        <v>134</v>
      </c>
      <c r="N22171" t="str">
        <f t="shared" si="409"/>
        <v xml:space="preserve">12345023619 </v>
      </c>
      <c r="O22171">
        <v>231109</v>
      </c>
    </row>
    <row r="22172" spans="1:15" x14ac:dyDescent="0.25">
      <c r="A22172" t="s">
        <v>16</v>
      </c>
      <c r="B22172" t="s">
        <v>3221</v>
      </c>
      <c r="C22172">
        <v>15255</v>
      </c>
      <c r="D22172" t="s">
        <v>263</v>
      </c>
      <c r="E22172" t="s">
        <v>264</v>
      </c>
      <c r="F22172">
        <v>8.0299999999999994</v>
      </c>
      <c r="G22172">
        <v>231106</v>
      </c>
      <c r="H22172">
        <v>4362</v>
      </c>
      <c r="I22172" t="s">
        <v>79</v>
      </c>
      <c r="J22172">
        <v>9.9600000000000009</v>
      </c>
      <c r="K22172">
        <v>1.93</v>
      </c>
      <c r="L22172">
        <v>17524</v>
      </c>
      <c r="M22172" t="s">
        <v>452</v>
      </c>
      <c r="N22172" t="str">
        <f t="shared" si="409"/>
        <v xml:space="preserve">12345023619 </v>
      </c>
      <c r="O22172">
        <v>231109</v>
      </c>
    </row>
    <row r="22173" spans="1:15" x14ac:dyDescent="0.25">
      <c r="A22173" t="s">
        <v>16</v>
      </c>
      <c r="B22173" t="s">
        <v>3221</v>
      </c>
      <c r="C22173">
        <v>15255</v>
      </c>
      <c r="D22173" t="s">
        <v>263</v>
      </c>
      <c r="E22173" t="s">
        <v>264</v>
      </c>
      <c r="F22173">
        <v>2.7</v>
      </c>
      <c r="G22173">
        <v>231106</v>
      </c>
      <c r="H22173">
        <v>4362</v>
      </c>
      <c r="I22173" t="s">
        <v>79</v>
      </c>
      <c r="J22173">
        <v>3.35</v>
      </c>
      <c r="K22173">
        <v>0.65</v>
      </c>
      <c r="L22173">
        <v>17525</v>
      </c>
      <c r="M22173" t="s">
        <v>135</v>
      </c>
      <c r="N22173" t="str">
        <f t="shared" si="409"/>
        <v xml:space="preserve">12345023619 </v>
      </c>
      <c r="O22173">
        <v>231109</v>
      </c>
    </row>
    <row r="22174" spans="1:15" x14ac:dyDescent="0.25">
      <c r="A22174" t="s">
        <v>16</v>
      </c>
      <c r="B22174" t="s">
        <v>3221</v>
      </c>
      <c r="C22174">
        <v>15255</v>
      </c>
      <c r="D22174" t="s">
        <v>263</v>
      </c>
      <c r="E22174" t="s">
        <v>264</v>
      </c>
      <c r="F22174">
        <v>8.1</v>
      </c>
      <c r="G22174">
        <v>231106</v>
      </c>
      <c r="H22174">
        <v>4362</v>
      </c>
      <c r="I22174" t="s">
        <v>79</v>
      </c>
      <c r="J22174">
        <v>10.039999999999999</v>
      </c>
      <c r="K22174">
        <v>1.94</v>
      </c>
      <c r="L22174">
        <v>17526</v>
      </c>
      <c r="M22174" t="s">
        <v>437</v>
      </c>
      <c r="N22174" t="str">
        <f t="shared" si="409"/>
        <v xml:space="preserve">12345023619 </v>
      </c>
      <c r="O22174">
        <v>231109</v>
      </c>
    </row>
    <row r="22175" spans="1:15" x14ac:dyDescent="0.25">
      <c r="A22175" t="s">
        <v>16</v>
      </c>
      <c r="B22175" t="s">
        <v>3221</v>
      </c>
      <c r="C22175">
        <v>15255</v>
      </c>
      <c r="D22175" t="s">
        <v>263</v>
      </c>
      <c r="E22175" t="s">
        <v>264</v>
      </c>
      <c r="F22175">
        <v>11.25</v>
      </c>
      <c r="G22175">
        <v>231106</v>
      </c>
      <c r="H22175">
        <v>4362</v>
      </c>
      <c r="I22175" t="s">
        <v>79</v>
      </c>
      <c r="J22175">
        <v>13.95</v>
      </c>
      <c r="K22175">
        <v>2.7</v>
      </c>
      <c r="L22175">
        <v>17527</v>
      </c>
      <c r="M22175" t="s">
        <v>422</v>
      </c>
      <c r="N22175" t="str">
        <f t="shared" si="409"/>
        <v xml:space="preserve">12345023619 </v>
      </c>
      <c r="O22175">
        <v>231109</v>
      </c>
    </row>
    <row r="22176" spans="1:15" x14ac:dyDescent="0.25">
      <c r="A22176" t="s">
        <v>16</v>
      </c>
      <c r="B22176" t="s">
        <v>3221</v>
      </c>
      <c r="C22176">
        <v>15255</v>
      </c>
      <c r="D22176" t="s">
        <v>263</v>
      </c>
      <c r="E22176" t="s">
        <v>264</v>
      </c>
      <c r="F22176">
        <v>9.57</v>
      </c>
      <c r="G22176">
        <v>231106</v>
      </c>
      <c r="H22176">
        <v>4362</v>
      </c>
      <c r="I22176" t="s">
        <v>79</v>
      </c>
      <c r="J22176">
        <v>11.87</v>
      </c>
      <c r="K22176">
        <v>2.2999999999999998</v>
      </c>
      <c r="L22176">
        <v>17529</v>
      </c>
      <c r="M22176" t="s">
        <v>453</v>
      </c>
      <c r="N22176" t="str">
        <f t="shared" si="409"/>
        <v xml:space="preserve">12345023619 </v>
      </c>
      <c r="O22176">
        <v>231109</v>
      </c>
    </row>
    <row r="22177" spans="1:15" x14ac:dyDescent="0.25">
      <c r="A22177" t="s">
        <v>16</v>
      </c>
      <c r="B22177" t="s">
        <v>3221</v>
      </c>
      <c r="C22177">
        <v>15255</v>
      </c>
      <c r="D22177" t="s">
        <v>263</v>
      </c>
      <c r="E22177" t="s">
        <v>264</v>
      </c>
      <c r="F22177">
        <v>15.06</v>
      </c>
      <c r="G22177">
        <v>231106</v>
      </c>
      <c r="H22177">
        <v>4362</v>
      </c>
      <c r="I22177" t="s">
        <v>79</v>
      </c>
      <c r="J22177">
        <v>18.670000000000002</v>
      </c>
      <c r="K22177">
        <v>3.61</v>
      </c>
      <c r="L22177">
        <v>17530</v>
      </c>
      <c r="M22177" t="s">
        <v>454</v>
      </c>
      <c r="N22177" t="str">
        <f t="shared" si="409"/>
        <v xml:space="preserve">12345023619 </v>
      </c>
      <c r="O22177">
        <v>231109</v>
      </c>
    </row>
    <row r="22178" spans="1:15" x14ac:dyDescent="0.25">
      <c r="A22178" t="s">
        <v>16</v>
      </c>
      <c r="B22178" t="s">
        <v>3221</v>
      </c>
      <c r="C22178">
        <v>15255</v>
      </c>
      <c r="D22178" t="s">
        <v>263</v>
      </c>
      <c r="E22178" t="s">
        <v>264</v>
      </c>
      <c r="F22178">
        <v>18.45</v>
      </c>
      <c r="G22178">
        <v>231106</v>
      </c>
      <c r="H22178">
        <v>4362</v>
      </c>
      <c r="I22178" t="s">
        <v>79</v>
      </c>
      <c r="J22178">
        <v>22.88</v>
      </c>
      <c r="K22178">
        <v>4.43</v>
      </c>
      <c r="L22178">
        <v>17531</v>
      </c>
      <c r="M22178" t="s">
        <v>136</v>
      </c>
      <c r="N22178" t="str">
        <f t="shared" si="409"/>
        <v xml:space="preserve">12345023619 </v>
      </c>
      <c r="O22178">
        <v>231109</v>
      </c>
    </row>
    <row r="22179" spans="1:15" x14ac:dyDescent="0.25">
      <c r="A22179" t="s">
        <v>16</v>
      </c>
      <c r="B22179" t="s">
        <v>3221</v>
      </c>
      <c r="C22179">
        <v>15255</v>
      </c>
      <c r="D22179" t="s">
        <v>263</v>
      </c>
      <c r="E22179" t="s">
        <v>264</v>
      </c>
      <c r="F22179">
        <v>11.36</v>
      </c>
      <c r="G22179">
        <v>231106</v>
      </c>
      <c r="H22179">
        <v>4362</v>
      </c>
      <c r="I22179" t="s">
        <v>79</v>
      </c>
      <c r="J22179">
        <v>14.09</v>
      </c>
      <c r="K22179">
        <v>2.73</v>
      </c>
      <c r="L22179">
        <v>17532</v>
      </c>
      <c r="M22179" t="s">
        <v>543</v>
      </c>
      <c r="N22179" t="str">
        <f t="shared" si="409"/>
        <v xml:space="preserve">12345023619 </v>
      </c>
      <c r="O22179">
        <v>231109</v>
      </c>
    </row>
    <row r="22180" spans="1:15" x14ac:dyDescent="0.25">
      <c r="A22180" t="s">
        <v>16</v>
      </c>
      <c r="B22180" t="s">
        <v>3221</v>
      </c>
      <c r="C22180">
        <v>15255</v>
      </c>
      <c r="D22180" t="s">
        <v>263</v>
      </c>
      <c r="E22180" t="s">
        <v>264</v>
      </c>
      <c r="F22180">
        <v>5.4</v>
      </c>
      <c r="G22180">
        <v>231106</v>
      </c>
      <c r="H22180">
        <v>4362</v>
      </c>
      <c r="I22180" t="s">
        <v>79</v>
      </c>
      <c r="J22180">
        <v>6.7</v>
      </c>
      <c r="K22180">
        <v>1.3</v>
      </c>
      <c r="L22180">
        <v>17533</v>
      </c>
      <c r="M22180" t="s">
        <v>990</v>
      </c>
      <c r="N22180" t="str">
        <f t="shared" si="409"/>
        <v xml:space="preserve">12345023619 </v>
      </c>
      <c r="O22180">
        <v>231109</v>
      </c>
    </row>
    <row r="22181" spans="1:15" x14ac:dyDescent="0.25">
      <c r="A22181" t="s">
        <v>16</v>
      </c>
      <c r="B22181" t="s">
        <v>3221</v>
      </c>
      <c r="C22181">
        <v>15255</v>
      </c>
      <c r="D22181" t="s">
        <v>263</v>
      </c>
      <c r="E22181" t="s">
        <v>264</v>
      </c>
      <c r="F22181">
        <v>6.01</v>
      </c>
      <c r="G22181">
        <v>231106</v>
      </c>
      <c r="H22181">
        <v>4362</v>
      </c>
      <c r="I22181" t="s">
        <v>79</v>
      </c>
      <c r="J22181">
        <v>7.45</v>
      </c>
      <c r="K22181">
        <v>1.44</v>
      </c>
      <c r="L22181">
        <v>17534</v>
      </c>
      <c r="M22181" t="s">
        <v>440</v>
      </c>
      <c r="N22181" t="str">
        <f t="shared" si="409"/>
        <v xml:space="preserve">12345023619 </v>
      </c>
      <c r="O22181">
        <v>231109</v>
      </c>
    </row>
    <row r="22182" spans="1:15" x14ac:dyDescent="0.25">
      <c r="A22182" t="s">
        <v>16</v>
      </c>
      <c r="B22182" t="s">
        <v>3221</v>
      </c>
      <c r="C22182">
        <v>15255</v>
      </c>
      <c r="D22182" t="s">
        <v>263</v>
      </c>
      <c r="E22182" t="s">
        <v>264</v>
      </c>
      <c r="F22182">
        <v>2.7</v>
      </c>
      <c r="G22182">
        <v>231106</v>
      </c>
      <c r="H22182">
        <v>4362</v>
      </c>
      <c r="I22182" t="s">
        <v>79</v>
      </c>
      <c r="J22182">
        <v>3.35</v>
      </c>
      <c r="K22182">
        <v>0.65</v>
      </c>
      <c r="L22182">
        <v>17535</v>
      </c>
      <c r="M22182" t="s">
        <v>357</v>
      </c>
      <c r="N22182" t="str">
        <f t="shared" si="409"/>
        <v xml:space="preserve">12345023619 </v>
      </c>
      <c r="O22182">
        <v>231109</v>
      </c>
    </row>
    <row r="22183" spans="1:15" x14ac:dyDescent="0.25">
      <c r="A22183" t="s">
        <v>16</v>
      </c>
      <c r="B22183" t="s">
        <v>3221</v>
      </c>
      <c r="C22183">
        <v>15255</v>
      </c>
      <c r="D22183" t="s">
        <v>263</v>
      </c>
      <c r="E22183" t="s">
        <v>264</v>
      </c>
      <c r="F22183">
        <v>5.4</v>
      </c>
      <c r="G22183">
        <v>231106</v>
      </c>
      <c r="H22183">
        <v>4362</v>
      </c>
      <c r="I22183" t="s">
        <v>79</v>
      </c>
      <c r="J22183">
        <v>6.7</v>
      </c>
      <c r="K22183">
        <v>1.3</v>
      </c>
      <c r="L22183">
        <v>17536</v>
      </c>
      <c r="M22183" t="s">
        <v>734</v>
      </c>
      <c r="N22183" t="str">
        <f t="shared" si="409"/>
        <v xml:space="preserve">12345023619 </v>
      </c>
      <c r="O22183">
        <v>231109</v>
      </c>
    </row>
    <row r="22184" spans="1:15" x14ac:dyDescent="0.25">
      <c r="A22184" t="s">
        <v>16</v>
      </c>
      <c r="B22184" t="s">
        <v>3221</v>
      </c>
      <c r="C22184">
        <v>15255</v>
      </c>
      <c r="D22184" t="s">
        <v>263</v>
      </c>
      <c r="E22184" t="s">
        <v>264</v>
      </c>
      <c r="F22184">
        <v>10.39</v>
      </c>
      <c r="G22184">
        <v>231106</v>
      </c>
      <c r="H22184">
        <v>4362</v>
      </c>
      <c r="I22184" t="s">
        <v>79</v>
      </c>
      <c r="J22184">
        <v>12.88</v>
      </c>
      <c r="K22184">
        <v>2.4900000000000002</v>
      </c>
      <c r="L22184">
        <v>17537</v>
      </c>
      <c r="M22184" t="s">
        <v>455</v>
      </c>
      <c r="N22184" t="str">
        <f t="shared" si="409"/>
        <v xml:space="preserve">12345023619 </v>
      </c>
      <c r="O22184">
        <v>231109</v>
      </c>
    </row>
    <row r="22185" spans="1:15" x14ac:dyDescent="0.25">
      <c r="A22185" t="s">
        <v>16</v>
      </c>
      <c r="B22185" t="s">
        <v>3221</v>
      </c>
      <c r="C22185">
        <v>15255</v>
      </c>
      <c r="D22185" t="s">
        <v>263</v>
      </c>
      <c r="E22185" t="s">
        <v>264</v>
      </c>
      <c r="F22185">
        <v>13.68</v>
      </c>
      <c r="G22185">
        <v>231106</v>
      </c>
      <c r="H22185">
        <v>4362</v>
      </c>
      <c r="I22185" t="s">
        <v>79</v>
      </c>
      <c r="J22185">
        <v>16.96</v>
      </c>
      <c r="K22185">
        <v>3.28</v>
      </c>
      <c r="L22185">
        <v>17538</v>
      </c>
      <c r="M22185" t="s">
        <v>24</v>
      </c>
      <c r="N22185" t="str">
        <f t="shared" si="409"/>
        <v xml:space="preserve">12345023619 </v>
      </c>
      <c r="O22185">
        <v>231109</v>
      </c>
    </row>
    <row r="22186" spans="1:15" x14ac:dyDescent="0.25">
      <c r="A22186" t="s">
        <v>16</v>
      </c>
      <c r="B22186" t="s">
        <v>3221</v>
      </c>
      <c r="C22186">
        <v>15255</v>
      </c>
      <c r="D22186" t="s">
        <v>263</v>
      </c>
      <c r="E22186" t="s">
        <v>264</v>
      </c>
      <c r="F22186">
        <v>9.73</v>
      </c>
      <c r="G22186">
        <v>231106</v>
      </c>
      <c r="H22186">
        <v>4362</v>
      </c>
      <c r="I22186" t="s">
        <v>79</v>
      </c>
      <c r="J22186">
        <v>12.06</v>
      </c>
      <c r="K22186">
        <v>2.33</v>
      </c>
      <c r="L22186">
        <v>17950</v>
      </c>
      <c r="M22186" t="s">
        <v>86</v>
      </c>
      <c r="N22186" t="str">
        <f t="shared" si="409"/>
        <v xml:space="preserve">12345023619 </v>
      </c>
      <c r="O22186">
        <v>231109</v>
      </c>
    </row>
    <row r="22187" spans="1:15" x14ac:dyDescent="0.25">
      <c r="A22187" t="s">
        <v>16</v>
      </c>
      <c r="B22187" t="s">
        <v>3221</v>
      </c>
      <c r="C22187">
        <v>15255</v>
      </c>
      <c r="D22187" t="s">
        <v>263</v>
      </c>
      <c r="E22187" t="s">
        <v>264</v>
      </c>
      <c r="F22187">
        <v>2.7</v>
      </c>
      <c r="G22187">
        <v>231106</v>
      </c>
      <c r="H22187">
        <v>4362</v>
      </c>
      <c r="I22187" t="s">
        <v>79</v>
      </c>
      <c r="J22187">
        <v>3.35</v>
      </c>
      <c r="K22187">
        <v>0.65</v>
      </c>
      <c r="L22187">
        <v>17956</v>
      </c>
      <c r="M22187" t="s">
        <v>53</v>
      </c>
      <c r="N22187" t="str">
        <f t="shared" si="409"/>
        <v xml:space="preserve">12345023619 </v>
      </c>
      <c r="O22187">
        <v>231109</v>
      </c>
    </row>
    <row r="22188" spans="1:15" x14ac:dyDescent="0.25">
      <c r="A22188" t="s">
        <v>16</v>
      </c>
      <c r="B22188" t="s">
        <v>3221</v>
      </c>
      <c r="C22188">
        <v>15255</v>
      </c>
      <c r="D22188" t="s">
        <v>263</v>
      </c>
      <c r="E22188" t="s">
        <v>264</v>
      </c>
      <c r="F22188">
        <v>17.39</v>
      </c>
      <c r="G22188">
        <v>231106</v>
      </c>
      <c r="H22188">
        <v>4362</v>
      </c>
      <c r="I22188" t="s">
        <v>79</v>
      </c>
      <c r="J22188">
        <v>21.56</v>
      </c>
      <c r="K22188">
        <v>4.17</v>
      </c>
      <c r="L22188">
        <v>17971</v>
      </c>
      <c r="M22188" t="s">
        <v>138</v>
      </c>
      <c r="N22188" t="str">
        <f t="shared" si="409"/>
        <v xml:space="preserve">12345023619 </v>
      </c>
      <c r="O22188">
        <v>231109</v>
      </c>
    </row>
    <row r="22189" spans="1:15" x14ac:dyDescent="0.25">
      <c r="A22189" t="s">
        <v>16</v>
      </c>
      <c r="B22189" t="s">
        <v>3221</v>
      </c>
      <c r="C22189">
        <v>15255</v>
      </c>
      <c r="D22189" t="s">
        <v>263</v>
      </c>
      <c r="E22189" t="s">
        <v>264</v>
      </c>
      <c r="F22189">
        <v>2.7</v>
      </c>
      <c r="G22189">
        <v>231106</v>
      </c>
      <c r="H22189">
        <v>4362</v>
      </c>
      <c r="I22189" t="s">
        <v>79</v>
      </c>
      <c r="J22189">
        <v>3.35</v>
      </c>
      <c r="K22189">
        <v>0.65</v>
      </c>
      <c r="L22189">
        <v>17972</v>
      </c>
      <c r="M22189" t="s">
        <v>248</v>
      </c>
      <c r="N22189" t="str">
        <f t="shared" si="409"/>
        <v xml:space="preserve">12345023619 </v>
      </c>
      <c r="O22189">
        <v>231109</v>
      </c>
    </row>
    <row r="22190" spans="1:15" x14ac:dyDescent="0.25">
      <c r="A22190" t="s">
        <v>16</v>
      </c>
      <c r="B22190" t="s">
        <v>3221</v>
      </c>
      <c r="C22190">
        <v>15255</v>
      </c>
      <c r="D22190" t="s">
        <v>263</v>
      </c>
      <c r="E22190" t="s">
        <v>264</v>
      </c>
      <c r="F22190">
        <v>2.7</v>
      </c>
      <c r="G22190">
        <v>231106</v>
      </c>
      <c r="H22190">
        <v>4362</v>
      </c>
      <c r="I22190" t="s">
        <v>79</v>
      </c>
      <c r="J22190">
        <v>3.35</v>
      </c>
      <c r="K22190">
        <v>0.65</v>
      </c>
      <c r="L22190">
        <v>17974</v>
      </c>
      <c r="M22190" t="s">
        <v>460</v>
      </c>
      <c r="N22190" t="str">
        <f t="shared" si="409"/>
        <v xml:space="preserve">12345023619 </v>
      </c>
      <c r="O22190">
        <v>231109</v>
      </c>
    </row>
    <row r="22191" spans="1:15" x14ac:dyDescent="0.25">
      <c r="A22191" t="s">
        <v>16</v>
      </c>
      <c r="B22191" t="s">
        <v>3221</v>
      </c>
      <c r="C22191">
        <v>15255</v>
      </c>
      <c r="D22191" t="s">
        <v>263</v>
      </c>
      <c r="E22191" t="s">
        <v>264</v>
      </c>
      <c r="F22191">
        <v>8.44</v>
      </c>
      <c r="G22191">
        <v>231106</v>
      </c>
      <c r="H22191">
        <v>4362</v>
      </c>
      <c r="I22191" t="s">
        <v>79</v>
      </c>
      <c r="J22191">
        <v>10.47</v>
      </c>
      <c r="K22191">
        <v>2.0299999999999998</v>
      </c>
      <c r="L22191">
        <v>17975</v>
      </c>
      <c r="M22191" t="s">
        <v>798</v>
      </c>
      <c r="N22191" t="str">
        <f t="shared" si="409"/>
        <v xml:space="preserve">12345023619 </v>
      </c>
      <c r="O22191">
        <v>231109</v>
      </c>
    </row>
    <row r="22192" spans="1:15" x14ac:dyDescent="0.25">
      <c r="A22192" t="s">
        <v>16</v>
      </c>
      <c r="B22192" t="s">
        <v>3221</v>
      </c>
      <c r="C22192">
        <v>15256</v>
      </c>
      <c r="D22192" t="s">
        <v>263</v>
      </c>
      <c r="E22192" t="s">
        <v>264</v>
      </c>
      <c r="F22192">
        <v>6.34</v>
      </c>
      <c r="G22192">
        <v>231106</v>
      </c>
      <c r="H22192">
        <v>4362</v>
      </c>
      <c r="I22192" t="s">
        <v>79</v>
      </c>
      <c r="J22192">
        <v>7.86</v>
      </c>
      <c r="K22192">
        <v>1.52</v>
      </c>
      <c r="L22192">
        <v>49112</v>
      </c>
      <c r="M22192" t="s">
        <v>233</v>
      </c>
      <c r="N22192" t="str">
        <f>"12345023612 "</f>
        <v xml:space="preserve">12345023612 </v>
      </c>
      <c r="O22192">
        <v>231109</v>
      </c>
    </row>
    <row r="22193" spans="1:15" x14ac:dyDescent="0.25">
      <c r="A22193" t="s">
        <v>16</v>
      </c>
      <c r="B22193" t="s">
        <v>3221</v>
      </c>
      <c r="C22193">
        <v>15257</v>
      </c>
      <c r="D22193" t="s">
        <v>263</v>
      </c>
      <c r="E22193" t="s">
        <v>264</v>
      </c>
      <c r="F22193">
        <v>2.7</v>
      </c>
      <c r="G22193">
        <v>231106</v>
      </c>
      <c r="H22193">
        <v>4362</v>
      </c>
      <c r="I22193" t="s">
        <v>79</v>
      </c>
      <c r="J22193">
        <v>3.35</v>
      </c>
      <c r="K22193">
        <v>0.65</v>
      </c>
      <c r="L22193">
        <v>13501</v>
      </c>
      <c r="M22193" t="s">
        <v>20</v>
      </c>
      <c r="N22193" t="str">
        <f>"12345023635 "</f>
        <v xml:space="preserve">12345023635 </v>
      </c>
      <c r="O22193">
        <v>231109</v>
      </c>
    </row>
    <row r="22194" spans="1:15" x14ac:dyDescent="0.25">
      <c r="A22194" t="s">
        <v>16</v>
      </c>
      <c r="B22194" t="s">
        <v>3221</v>
      </c>
      <c r="C22194">
        <v>15500</v>
      </c>
      <c r="D22194" t="s">
        <v>263</v>
      </c>
      <c r="E22194" t="s">
        <v>264</v>
      </c>
      <c r="F22194">
        <v>2.5499999999999998</v>
      </c>
      <c r="G22194">
        <v>231106</v>
      </c>
      <c r="H22194">
        <v>4362</v>
      </c>
      <c r="I22194" t="s">
        <v>79</v>
      </c>
      <c r="J22194">
        <v>3.16</v>
      </c>
      <c r="K22194">
        <v>0.61</v>
      </c>
      <c r="L22194">
        <v>10002</v>
      </c>
      <c r="M22194" t="s">
        <v>1066</v>
      </c>
      <c r="N22194" t="str">
        <f t="shared" ref="N22194:N22205" si="410">"12345023593 "</f>
        <v xml:space="preserve">12345023593 </v>
      </c>
      <c r="O22194">
        <v>231113</v>
      </c>
    </row>
    <row r="22195" spans="1:15" x14ac:dyDescent="0.25">
      <c r="A22195" t="s">
        <v>16</v>
      </c>
      <c r="B22195" t="s">
        <v>3221</v>
      </c>
      <c r="C22195">
        <v>15500</v>
      </c>
      <c r="D22195" t="s">
        <v>263</v>
      </c>
      <c r="E22195" t="s">
        <v>264</v>
      </c>
      <c r="F22195">
        <v>2.5499999999999998</v>
      </c>
      <c r="G22195">
        <v>231106</v>
      </c>
      <c r="H22195">
        <v>4362</v>
      </c>
      <c r="I22195" t="s">
        <v>79</v>
      </c>
      <c r="J22195">
        <v>3.16</v>
      </c>
      <c r="K22195">
        <v>0.61</v>
      </c>
      <c r="L22195">
        <v>10002</v>
      </c>
      <c r="M22195" t="s">
        <v>1066</v>
      </c>
      <c r="N22195" t="str">
        <f t="shared" si="410"/>
        <v xml:space="preserve">12345023593 </v>
      </c>
      <c r="O22195">
        <v>231113</v>
      </c>
    </row>
    <row r="22196" spans="1:15" x14ac:dyDescent="0.25">
      <c r="A22196" t="s">
        <v>16</v>
      </c>
      <c r="B22196" t="s">
        <v>3221</v>
      </c>
      <c r="C22196">
        <v>15500</v>
      </c>
      <c r="D22196" t="s">
        <v>263</v>
      </c>
      <c r="E22196" t="s">
        <v>264</v>
      </c>
      <c r="F22196">
        <v>1.68</v>
      </c>
      <c r="G22196">
        <v>231106</v>
      </c>
      <c r="H22196">
        <v>4362</v>
      </c>
      <c r="I22196" t="s">
        <v>79</v>
      </c>
      <c r="J22196">
        <v>1.68</v>
      </c>
      <c r="K22196">
        <v>0</v>
      </c>
      <c r="L22196">
        <v>11001</v>
      </c>
      <c r="M22196" t="s">
        <v>326</v>
      </c>
      <c r="N22196" t="str">
        <f t="shared" si="410"/>
        <v xml:space="preserve">12345023593 </v>
      </c>
      <c r="O22196">
        <v>231113</v>
      </c>
    </row>
    <row r="22197" spans="1:15" x14ac:dyDescent="0.25">
      <c r="A22197" t="s">
        <v>16</v>
      </c>
      <c r="B22197" t="s">
        <v>3221</v>
      </c>
      <c r="C22197">
        <v>15500</v>
      </c>
      <c r="D22197" t="s">
        <v>263</v>
      </c>
      <c r="E22197" t="s">
        <v>264</v>
      </c>
      <c r="F22197">
        <v>2.5499999999999998</v>
      </c>
      <c r="G22197">
        <v>231106</v>
      </c>
      <c r="H22197">
        <v>4362</v>
      </c>
      <c r="I22197" t="s">
        <v>79</v>
      </c>
      <c r="J22197">
        <v>3.16</v>
      </c>
      <c r="K22197">
        <v>0.61</v>
      </c>
      <c r="L22197">
        <v>11001</v>
      </c>
      <c r="M22197" t="s">
        <v>326</v>
      </c>
      <c r="N22197" t="str">
        <f t="shared" si="410"/>
        <v xml:space="preserve">12345023593 </v>
      </c>
      <c r="O22197">
        <v>231113</v>
      </c>
    </row>
    <row r="22198" spans="1:15" x14ac:dyDescent="0.25">
      <c r="A22198" t="s">
        <v>16</v>
      </c>
      <c r="B22198" t="s">
        <v>3221</v>
      </c>
      <c r="C22198">
        <v>15500</v>
      </c>
      <c r="D22198" t="s">
        <v>263</v>
      </c>
      <c r="E22198" t="s">
        <v>264</v>
      </c>
      <c r="F22198">
        <v>5.38</v>
      </c>
      <c r="G22198">
        <v>231106</v>
      </c>
      <c r="H22198">
        <v>4362</v>
      </c>
      <c r="I22198" t="s">
        <v>79</v>
      </c>
      <c r="J22198">
        <v>6.67</v>
      </c>
      <c r="K22198">
        <v>1.29</v>
      </c>
      <c r="L22198">
        <v>11001</v>
      </c>
      <c r="M22198" t="s">
        <v>326</v>
      </c>
      <c r="N22198" t="str">
        <f t="shared" si="410"/>
        <v xml:space="preserve">12345023593 </v>
      </c>
      <c r="O22198">
        <v>231113</v>
      </c>
    </row>
    <row r="22199" spans="1:15" x14ac:dyDescent="0.25">
      <c r="A22199" t="s">
        <v>16</v>
      </c>
      <c r="B22199" t="s">
        <v>3221</v>
      </c>
      <c r="C22199">
        <v>15500</v>
      </c>
      <c r="D22199" t="s">
        <v>263</v>
      </c>
      <c r="E22199" t="s">
        <v>264</v>
      </c>
      <c r="F22199">
        <v>8.1</v>
      </c>
      <c r="G22199">
        <v>231106</v>
      </c>
      <c r="H22199">
        <v>4362</v>
      </c>
      <c r="I22199" t="s">
        <v>79</v>
      </c>
      <c r="J22199">
        <v>10.050000000000001</v>
      </c>
      <c r="K22199">
        <v>1.95</v>
      </c>
      <c r="L22199">
        <v>11301</v>
      </c>
      <c r="M22199" t="s">
        <v>29</v>
      </c>
      <c r="N22199" t="str">
        <f t="shared" si="410"/>
        <v xml:space="preserve">12345023593 </v>
      </c>
      <c r="O22199">
        <v>231113</v>
      </c>
    </row>
    <row r="22200" spans="1:15" x14ac:dyDescent="0.25">
      <c r="A22200" t="s">
        <v>16</v>
      </c>
      <c r="B22200" t="s">
        <v>3221</v>
      </c>
      <c r="C22200">
        <v>15500</v>
      </c>
      <c r="D22200" t="s">
        <v>263</v>
      </c>
      <c r="E22200" t="s">
        <v>264</v>
      </c>
      <c r="F22200">
        <v>12.51</v>
      </c>
      <c r="G22200">
        <v>231106</v>
      </c>
      <c r="H22200">
        <v>4362</v>
      </c>
      <c r="I22200" t="s">
        <v>79</v>
      </c>
      <c r="J22200">
        <v>15.51</v>
      </c>
      <c r="K22200">
        <v>3</v>
      </c>
      <c r="L22200">
        <v>11401</v>
      </c>
      <c r="M22200" t="s">
        <v>84</v>
      </c>
      <c r="N22200" t="str">
        <f t="shared" si="410"/>
        <v xml:space="preserve">12345023593 </v>
      </c>
      <c r="O22200">
        <v>231113</v>
      </c>
    </row>
    <row r="22201" spans="1:15" x14ac:dyDescent="0.25">
      <c r="A22201" t="s">
        <v>16</v>
      </c>
      <c r="B22201" t="s">
        <v>3221</v>
      </c>
      <c r="C22201">
        <v>15500</v>
      </c>
      <c r="D22201" t="s">
        <v>263</v>
      </c>
      <c r="E22201" t="s">
        <v>264</v>
      </c>
      <c r="F22201">
        <v>2.5499999999999998</v>
      </c>
      <c r="G22201">
        <v>231106</v>
      </c>
      <c r="H22201">
        <v>4362</v>
      </c>
      <c r="I22201" t="s">
        <v>79</v>
      </c>
      <c r="J22201">
        <v>3.16</v>
      </c>
      <c r="K22201">
        <v>0.61</v>
      </c>
      <c r="L22201">
        <v>11501</v>
      </c>
      <c r="M22201" t="s">
        <v>339</v>
      </c>
      <c r="N22201" t="str">
        <f t="shared" si="410"/>
        <v xml:space="preserve">12345023593 </v>
      </c>
      <c r="O22201">
        <v>231113</v>
      </c>
    </row>
    <row r="22202" spans="1:15" x14ac:dyDescent="0.25">
      <c r="A22202" t="s">
        <v>16</v>
      </c>
      <c r="B22202" t="s">
        <v>3221</v>
      </c>
      <c r="C22202">
        <v>15500</v>
      </c>
      <c r="D22202" t="s">
        <v>263</v>
      </c>
      <c r="E22202" t="s">
        <v>264</v>
      </c>
      <c r="F22202">
        <v>3.41</v>
      </c>
      <c r="G22202">
        <v>231106</v>
      </c>
      <c r="H22202">
        <v>4362</v>
      </c>
      <c r="I22202" t="s">
        <v>79</v>
      </c>
      <c r="J22202">
        <v>3.41</v>
      </c>
      <c r="K22202">
        <v>0</v>
      </c>
      <c r="L22202">
        <v>11501</v>
      </c>
      <c r="M22202" t="s">
        <v>339</v>
      </c>
      <c r="N22202" t="str">
        <f t="shared" si="410"/>
        <v xml:space="preserve">12345023593 </v>
      </c>
      <c r="O22202">
        <v>231113</v>
      </c>
    </row>
    <row r="22203" spans="1:15" x14ac:dyDescent="0.25">
      <c r="A22203" t="s">
        <v>16</v>
      </c>
      <c r="B22203" t="s">
        <v>3221</v>
      </c>
      <c r="C22203">
        <v>15500</v>
      </c>
      <c r="D22203" t="s">
        <v>263</v>
      </c>
      <c r="E22203" t="s">
        <v>264</v>
      </c>
      <c r="F22203">
        <v>1.67</v>
      </c>
      <c r="G22203">
        <v>231106</v>
      </c>
      <c r="H22203">
        <v>4362</v>
      </c>
      <c r="I22203" t="s">
        <v>79</v>
      </c>
      <c r="J22203">
        <v>1.67</v>
      </c>
      <c r="K22203">
        <v>0</v>
      </c>
      <c r="L22203">
        <v>17807</v>
      </c>
      <c r="M22203" t="s">
        <v>318</v>
      </c>
      <c r="N22203" t="str">
        <f t="shared" si="410"/>
        <v xml:space="preserve">12345023593 </v>
      </c>
      <c r="O22203">
        <v>231113</v>
      </c>
    </row>
    <row r="22204" spans="1:15" x14ac:dyDescent="0.25">
      <c r="A22204" t="s">
        <v>16</v>
      </c>
      <c r="B22204" t="s">
        <v>3221</v>
      </c>
      <c r="C22204">
        <v>15500</v>
      </c>
      <c r="D22204" t="s">
        <v>263</v>
      </c>
      <c r="E22204" t="s">
        <v>264</v>
      </c>
      <c r="F22204">
        <v>5.0999999999999996</v>
      </c>
      <c r="G22204">
        <v>231106</v>
      </c>
      <c r="H22204">
        <v>4362</v>
      </c>
      <c r="I22204" t="s">
        <v>79</v>
      </c>
      <c r="J22204">
        <v>6.32</v>
      </c>
      <c r="K22204">
        <v>1.22</v>
      </c>
      <c r="L22204">
        <v>18972</v>
      </c>
      <c r="M22204" t="s">
        <v>163</v>
      </c>
      <c r="N22204" t="str">
        <f t="shared" si="410"/>
        <v xml:space="preserve">12345023593 </v>
      </c>
      <c r="O22204">
        <v>231113</v>
      </c>
    </row>
    <row r="22205" spans="1:15" x14ac:dyDescent="0.25">
      <c r="A22205" t="s">
        <v>16</v>
      </c>
      <c r="B22205" t="s">
        <v>3221</v>
      </c>
      <c r="C22205">
        <v>15500</v>
      </c>
      <c r="D22205" t="s">
        <v>263</v>
      </c>
      <c r="E22205" t="s">
        <v>264</v>
      </c>
      <c r="F22205">
        <v>12.02</v>
      </c>
      <c r="G22205">
        <v>231106</v>
      </c>
      <c r="H22205">
        <v>4362</v>
      </c>
      <c r="I22205" t="s">
        <v>79</v>
      </c>
      <c r="J22205">
        <v>12.02</v>
      </c>
      <c r="K22205">
        <v>0</v>
      </c>
      <c r="L22205">
        <v>18972</v>
      </c>
      <c r="M22205" t="s">
        <v>163</v>
      </c>
      <c r="N22205" t="str">
        <f t="shared" si="410"/>
        <v xml:space="preserve">12345023593 </v>
      </c>
      <c r="O22205">
        <v>231113</v>
      </c>
    </row>
    <row r="22206" spans="1:15" x14ac:dyDescent="0.25">
      <c r="A22206" t="s">
        <v>16</v>
      </c>
      <c r="B22206" t="s">
        <v>3221</v>
      </c>
      <c r="C22206">
        <v>15502</v>
      </c>
      <c r="D22206" t="s">
        <v>263</v>
      </c>
      <c r="E22206" t="s">
        <v>264</v>
      </c>
      <c r="F22206">
        <v>2.7</v>
      </c>
      <c r="G22206">
        <v>231106</v>
      </c>
      <c r="H22206">
        <v>4362</v>
      </c>
      <c r="I22206" t="s">
        <v>79</v>
      </c>
      <c r="J22206">
        <v>3.35</v>
      </c>
      <c r="K22206">
        <v>0.65</v>
      </c>
      <c r="L22206">
        <v>11001</v>
      </c>
      <c r="M22206" t="s">
        <v>326</v>
      </c>
      <c r="N22206" t="str">
        <f t="shared" ref="N22206:N22211" si="411">"12345023594 "</f>
        <v xml:space="preserve">12345023594 </v>
      </c>
      <c r="O22206">
        <v>231113</v>
      </c>
    </row>
    <row r="22207" spans="1:15" x14ac:dyDescent="0.25">
      <c r="A22207" t="s">
        <v>16</v>
      </c>
      <c r="B22207" t="s">
        <v>3221</v>
      </c>
      <c r="C22207">
        <v>15502</v>
      </c>
      <c r="D22207" t="s">
        <v>263</v>
      </c>
      <c r="E22207" t="s">
        <v>264</v>
      </c>
      <c r="F22207">
        <v>31.3</v>
      </c>
      <c r="G22207">
        <v>231106</v>
      </c>
      <c r="H22207">
        <v>4362</v>
      </c>
      <c r="I22207" t="s">
        <v>79</v>
      </c>
      <c r="J22207">
        <v>31.3</v>
      </c>
      <c r="K22207">
        <v>0</v>
      </c>
      <c r="L22207">
        <v>11001</v>
      </c>
      <c r="M22207" t="s">
        <v>326</v>
      </c>
      <c r="N22207" t="str">
        <f t="shared" si="411"/>
        <v xml:space="preserve">12345023594 </v>
      </c>
      <c r="O22207">
        <v>231113</v>
      </c>
    </row>
    <row r="22208" spans="1:15" x14ac:dyDescent="0.25">
      <c r="A22208" t="s">
        <v>16</v>
      </c>
      <c r="B22208" t="s">
        <v>3221</v>
      </c>
      <c r="C22208">
        <v>15502</v>
      </c>
      <c r="D22208" t="s">
        <v>263</v>
      </c>
      <c r="E22208" t="s">
        <v>264</v>
      </c>
      <c r="F22208">
        <v>9.85</v>
      </c>
      <c r="G22208">
        <v>231106</v>
      </c>
      <c r="H22208">
        <v>4362</v>
      </c>
      <c r="I22208" t="s">
        <v>79</v>
      </c>
      <c r="J22208">
        <v>12.21</v>
      </c>
      <c r="K22208">
        <v>2.36</v>
      </c>
      <c r="L22208">
        <v>11501</v>
      </c>
      <c r="M22208" t="s">
        <v>339</v>
      </c>
      <c r="N22208" t="str">
        <f t="shared" si="411"/>
        <v xml:space="preserve">12345023594 </v>
      </c>
      <c r="O22208">
        <v>231113</v>
      </c>
    </row>
    <row r="22209" spans="1:15" x14ac:dyDescent="0.25">
      <c r="A22209" t="s">
        <v>16</v>
      </c>
      <c r="B22209" t="s">
        <v>3221</v>
      </c>
      <c r="C22209">
        <v>15502</v>
      </c>
      <c r="D22209" t="s">
        <v>263</v>
      </c>
      <c r="E22209" t="s">
        <v>264</v>
      </c>
      <c r="F22209">
        <v>2.7</v>
      </c>
      <c r="G22209">
        <v>231106</v>
      </c>
      <c r="H22209">
        <v>4362</v>
      </c>
      <c r="I22209" t="s">
        <v>79</v>
      </c>
      <c r="J22209">
        <v>3.35</v>
      </c>
      <c r="K22209">
        <v>0.65</v>
      </c>
      <c r="L22209">
        <v>11701</v>
      </c>
      <c r="M22209" t="s">
        <v>1204</v>
      </c>
      <c r="N22209" t="str">
        <f t="shared" si="411"/>
        <v xml:space="preserve">12345023594 </v>
      </c>
      <c r="O22209">
        <v>231113</v>
      </c>
    </row>
    <row r="22210" spans="1:15" x14ac:dyDescent="0.25">
      <c r="A22210" t="s">
        <v>16</v>
      </c>
      <c r="B22210" t="s">
        <v>3221</v>
      </c>
      <c r="C22210">
        <v>15502</v>
      </c>
      <c r="D22210" t="s">
        <v>263</v>
      </c>
      <c r="E22210" t="s">
        <v>264</v>
      </c>
      <c r="F22210">
        <v>5.4</v>
      </c>
      <c r="G22210">
        <v>231106</v>
      </c>
      <c r="H22210">
        <v>4362</v>
      </c>
      <c r="I22210" t="s">
        <v>79</v>
      </c>
      <c r="J22210">
        <v>6.7</v>
      </c>
      <c r="K22210">
        <v>1.3</v>
      </c>
      <c r="L22210">
        <v>11751</v>
      </c>
      <c r="M22210" t="s">
        <v>1339</v>
      </c>
      <c r="N22210" t="str">
        <f t="shared" si="411"/>
        <v xml:space="preserve">12345023594 </v>
      </c>
      <c r="O22210">
        <v>231113</v>
      </c>
    </row>
    <row r="22211" spans="1:15" x14ac:dyDescent="0.25">
      <c r="A22211" t="s">
        <v>16</v>
      </c>
      <c r="B22211" t="s">
        <v>3221</v>
      </c>
      <c r="C22211">
        <v>15502</v>
      </c>
      <c r="D22211" t="s">
        <v>263</v>
      </c>
      <c r="E22211" t="s">
        <v>264</v>
      </c>
      <c r="F22211">
        <v>25.97</v>
      </c>
      <c r="G22211">
        <v>231106</v>
      </c>
      <c r="H22211">
        <v>4362</v>
      </c>
      <c r="I22211" t="s">
        <v>79</v>
      </c>
      <c r="J22211">
        <v>32.200000000000003</v>
      </c>
      <c r="K22211">
        <v>6.23</v>
      </c>
      <c r="L22211">
        <v>14622</v>
      </c>
      <c r="M22211" t="s">
        <v>1005</v>
      </c>
      <c r="N22211" t="str">
        <f t="shared" si="411"/>
        <v xml:space="preserve">12345023594 </v>
      </c>
      <c r="O22211">
        <v>231113</v>
      </c>
    </row>
    <row r="22212" spans="1:15" x14ac:dyDescent="0.25">
      <c r="A22212" t="s">
        <v>16</v>
      </c>
      <c r="B22212" t="s">
        <v>3221</v>
      </c>
      <c r="C22212">
        <v>15504</v>
      </c>
      <c r="D22212" t="s">
        <v>263</v>
      </c>
      <c r="E22212" t="s">
        <v>264</v>
      </c>
      <c r="F22212">
        <v>3.35</v>
      </c>
      <c r="G22212">
        <v>231106</v>
      </c>
      <c r="H22212">
        <v>4362</v>
      </c>
      <c r="I22212" t="s">
        <v>79</v>
      </c>
      <c r="J22212">
        <v>3.35</v>
      </c>
      <c r="K22212">
        <v>0</v>
      </c>
      <c r="L22212">
        <v>13201</v>
      </c>
      <c r="M22212" t="s">
        <v>161</v>
      </c>
      <c r="N22212" t="str">
        <f t="shared" ref="N22212:N22223" si="412">"12345023621 "</f>
        <v xml:space="preserve">12345023621 </v>
      </c>
      <c r="O22212">
        <v>231113</v>
      </c>
    </row>
    <row r="22213" spans="1:15" x14ac:dyDescent="0.25">
      <c r="A22213" t="s">
        <v>16</v>
      </c>
      <c r="B22213" t="s">
        <v>3221</v>
      </c>
      <c r="C22213">
        <v>15504</v>
      </c>
      <c r="D22213" t="s">
        <v>263</v>
      </c>
      <c r="E22213" t="s">
        <v>264</v>
      </c>
      <c r="F22213">
        <v>25.36</v>
      </c>
      <c r="G22213">
        <v>231106</v>
      </c>
      <c r="H22213">
        <v>4362</v>
      </c>
      <c r="I22213" t="s">
        <v>79</v>
      </c>
      <c r="J22213">
        <v>31.45</v>
      </c>
      <c r="K22213">
        <v>6.09</v>
      </c>
      <c r="L22213">
        <v>13401</v>
      </c>
      <c r="M22213" t="s">
        <v>80</v>
      </c>
      <c r="N22213" t="str">
        <f t="shared" si="412"/>
        <v xml:space="preserve">12345023621 </v>
      </c>
      <c r="O22213">
        <v>231113</v>
      </c>
    </row>
    <row r="22214" spans="1:15" x14ac:dyDescent="0.25">
      <c r="A22214" t="s">
        <v>16</v>
      </c>
      <c r="B22214" t="s">
        <v>3221</v>
      </c>
      <c r="C22214">
        <v>15504</v>
      </c>
      <c r="D22214" t="s">
        <v>263</v>
      </c>
      <c r="E22214" t="s">
        <v>264</v>
      </c>
      <c r="F22214">
        <v>5.4</v>
      </c>
      <c r="G22214">
        <v>231106</v>
      </c>
      <c r="H22214">
        <v>4362</v>
      </c>
      <c r="I22214" t="s">
        <v>79</v>
      </c>
      <c r="J22214">
        <v>6.7</v>
      </c>
      <c r="K22214">
        <v>1.3</v>
      </c>
      <c r="L22214">
        <v>13401</v>
      </c>
      <c r="M22214" t="s">
        <v>80</v>
      </c>
      <c r="N22214" t="str">
        <f t="shared" si="412"/>
        <v xml:space="preserve">12345023621 </v>
      </c>
      <c r="O22214">
        <v>231113</v>
      </c>
    </row>
    <row r="22215" spans="1:15" x14ac:dyDescent="0.25">
      <c r="A22215" t="s">
        <v>16</v>
      </c>
      <c r="B22215" t="s">
        <v>3221</v>
      </c>
      <c r="C22215">
        <v>15504</v>
      </c>
      <c r="D22215" t="s">
        <v>263</v>
      </c>
      <c r="E22215" t="s">
        <v>264</v>
      </c>
      <c r="F22215">
        <v>25</v>
      </c>
      <c r="G22215">
        <v>231106</v>
      </c>
      <c r="H22215">
        <v>4362</v>
      </c>
      <c r="I22215" t="s">
        <v>79</v>
      </c>
      <c r="J22215">
        <v>31</v>
      </c>
      <c r="K22215">
        <v>6</v>
      </c>
      <c r="L22215">
        <v>13501</v>
      </c>
      <c r="M22215" t="s">
        <v>20</v>
      </c>
      <c r="N22215" t="str">
        <f t="shared" si="412"/>
        <v xml:space="preserve">12345023621 </v>
      </c>
      <c r="O22215">
        <v>231113</v>
      </c>
    </row>
    <row r="22216" spans="1:15" x14ac:dyDescent="0.25">
      <c r="A22216" t="s">
        <v>16</v>
      </c>
      <c r="B22216" t="s">
        <v>3221</v>
      </c>
      <c r="C22216">
        <v>15504</v>
      </c>
      <c r="D22216" t="s">
        <v>263</v>
      </c>
      <c r="E22216" t="s">
        <v>264</v>
      </c>
      <c r="F22216">
        <v>2.7</v>
      </c>
      <c r="G22216">
        <v>231106</v>
      </c>
      <c r="H22216">
        <v>4362</v>
      </c>
      <c r="I22216" t="s">
        <v>79</v>
      </c>
      <c r="J22216">
        <v>3.35</v>
      </c>
      <c r="K22216">
        <v>0.65</v>
      </c>
      <c r="L22216">
        <v>13561</v>
      </c>
      <c r="M22216" t="s">
        <v>246</v>
      </c>
      <c r="N22216" t="str">
        <f t="shared" si="412"/>
        <v xml:space="preserve">12345023621 </v>
      </c>
      <c r="O22216">
        <v>231113</v>
      </c>
    </row>
    <row r="22217" spans="1:15" x14ac:dyDescent="0.25">
      <c r="A22217" t="s">
        <v>16</v>
      </c>
      <c r="B22217" t="s">
        <v>3221</v>
      </c>
      <c r="C22217">
        <v>15504</v>
      </c>
      <c r="D22217" t="s">
        <v>263</v>
      </c>
      <c r="E22217" t="s">
        <v>264</v>
      </c>
      <c r="F22217">
        <v>2.7</v>
      </c>
      <c r="G22217">
        <v>231106</v>
      </c>
      <c r="H22217">
        <v>4362</v>
      </c>
      <c r="I22217" t="s">
        <v>79</v>
      </c>
      <c r="J22217">
        <v>3.35</v>
      </c>
      <c r="K22217">
        <v>0.65</v>
      </c>
      <c r="L22217">
        <v>13561</v>
      </c>
      <c r="M22217" t="s">
        <v>246</v>
      </c>
      <c r="N22217" t="str">
        <f t="shared" si="412"/>
        <v xml:space="preserve">12345023621 </v>
      </c>
      <c r="O22217">
        <v>231113</v>
      </c>
    </row>
    <row r="22218" spans="1:15" x14ac:dyDescent="0.25">
      <c r="A22218" t="s">
        <v>16</v>
      </c>
      <c r="B22218" t="s">
        <v>3221</v>
      </c>
      <c r="C22218">
        <v>15504</v>
      </c>
      <c r="D22218" t="s">
        <v>263</v>
      </c>
      <c r="E22218" t="s">
        <v>264</v>
      </c>
      <c r="F22218">
        <v>2.7</v>
      </c>
      <c r="G22218">
        <v>231106</v>
      </c>
      <c r="H22218">
        <v>4362</v>
      </c>
      <c r="I22218" t="s">
        <v>79</v>
      </c>
      <c r="J22218">
        <v>3.35</v>
      </c>
      <c r="K22218">
        <v>0.65</v>
      </c>
      <c r="L22218">
        <v>13601</v>
      </c>
      <c r="M22218" t="s">
        <v>147</v>
      </c>
      <c r="N22218" t="str">
        <f t="shared" si="412"/>
        <v xml:space="preserve">12345023621 </v>
      </c>
      <c r="O22218">
        <v>231113</v>
      </c>
    </row>
    <row r="22219" spans="1:15" x14ac:dyDescent="0.25">
      <c r="A22219" t="s">
        <v>16</v>
      </c>
      <c r="B22219" t="s">
        <v>3221</v>
      </c>
      <c r="C22219">
        <v>15504</v>
      </c>
      <c r="D22219" t="s">
        <v>263</v>
      </c>
      <c r="E22219" t="s">
        <v>264</v>
      </c>
      <c r="F22219">
        <v>3.67</v>
      </c>
      <c r="G22219">
        <v>231106</v>
      </c>
      <c r="H22219">
        <v>4362</v>
      </c>
      <c r="I22219" t="s">
        <v>79</v>
      </c>
      <c r="J22219">
        <v>4.55</v>
      </c>
      <c r="K22219">
        <v>0.88</v>
      </c>
      <c r="L22219">
        <v>13661</v>
      </c>
      <c r="M22219" t="s">
        <v>247</v>
      </c>
      <c r="N22219" t="str">
        <f t="shared" si="412"/>
        <v xml:space="preserve">12345023621 </v>
      </c>
      <c r="O22219">
        <v>231113</v>
      </c>
    </row>
    <row r="22220" spans="1:15" x14ac:dyDescent="0.25">
      <c r="A22220" t="s">
        <v>16</v>
      </c>
      <c r="B22220" t="s">
        <v>3221</v>
      </c>
      <c r="C22220">
        <v>15504</v>
      </c>
      <c r="D22220" t="s">
        <v>263</v>
      </c>
      <c r="E22220" t="s">
        <v>264</v>
      </c>
      <c r="F22220">
        <v>16.29</v>
      </c>
      <c r="G22220">
        <v>231106</v>
      </c>
      <c r="H22220">
        <v>4362</v>
      </c>
      <c r="I22220" t="s">
        <v>79</v>
      </c>
      <c r="J22220">
        <v>20.2</v>
      </c>
      <c r="K22220">
        <v>3.91</v>
      </c>
      <c r="L22220">
        <v>13801</v>
      </c>
      <c r="M22220" t="s">
        <v>162</v>
      </c>
      <c r="N22220" t="str">
        <f t="shared" si="412"/>
        <v xml:space="preserve">12345023621 </v>
      </c>
      <c r="O22220">
        <v>231113</v>
      </c>
    </row>
    <row r="22221" spans="1:15" x14ac:dyDescent="0.25">
      <c r="A22221" t="s">
        <v>16</v>
      </c>
      <c r="B22221" t="s">
        <v>3221</v>
      </c>
      <c r="C22221">
        <v>15504</v>
      </c>
      <c r="D22221" t="s">
        <v>263</v>
      </c>
      <c r="E22221" t="s">
        <v>264</v>
      </c>
      <c r="F22221">
        <v>14.76</v>
      </c>
      <c r="G22221">
        <v>231106</v>
      </c>
      <c r="H22221">
        <v>4362</v>
      </c>
      <c r="I22221" t="s">
        <v>79</v>
      </c>
      <c r="J22221">
        <v>18.3</v>
      </c>
      <c r="K22221">
        <v>3.54</v>
      </c>
      <c r="L22221">
        <v>13801</v>
      </c>
      <c r="M22221" t="s">
        <v>162</v>
      </c>
      <c r="N22221" t="str">
        <f t="shared" si="412"/>
        <v xml:space="preserve">12345023621 </v>
      </c>
      <c r="O22221">
        <v>231113</v>
      </c>
    </row>
    <row r="22222" spans="1:15" x14ac:dyDescent="0.25">
      <c r="A22222" t="s">
        <v>16</v>
      </c>
      <c r="B22222" t="s">
        <v>3221</v>
      </c>
      <c r="C22222">
        <v>15504</v>
      </c>
      <c r="D22222" t="s">
        <v>263</v>
      </c>
      <c r="E22222" t="s">
        <v>264</v>
      </c>
      <c r="F22222">
        <v>14.35</v>
      </c>
      <c r="G22222">
        <v>231106</v>
      </c>
      <c r="H22222">
        <v>4362</v>
      </c>
      <c r="I22222" t="s">
        <v>79</v>
      </c>
      <c r="J22222">
        <v>17.8</v>
      </c>
      <c r="K22222">
        <v>3.45</v>
      </c>
      <c r="L22222">
        <v>13802</v>
      </c>
      <c r="M22222" t="s">
        <v>200</v>
      </c>
      <c r="N22222" t="str">
        <f t="shared" si="412"/>
        <v xml:space="preserve">12345023621 </v>
      </c>
      <c r="O22222">
        <v>231113</v>
      </c>
    </row>
    <row r="22223" spans="1:15" x14ac:dyDescent="0.25">
      <c r="A22223" t="s">
        <v>16</v>
      </c>
      <c r="B22223" t="s">
        <v>3221</v>
      </c>
      <c r="C22223">
        <v>15504</v>
      </c>
      <c r="D22223" t="s">
        <v>263</v>
      </c>
      <c r="E22223" t="s">
        <v>264</v>
      </c>
      <c r="F22223">
        <v>2.7</v>
      </c>
      <c r="G22223">
        <v>231106</v>
      </c>
      <c r="H22223">
        <v>4362</v>
      </c>
      <c r="I22223" t="s">
        <v>79</v>
      </c>
      <c r="J22223">
        <v>3.35</v>
      </c>
      <c r="K22223">
        <v>0.65</v>
      </c>
      <c r="L22223">
        <v>17971</v>
      </c>
      <c r="M22223" t="s">
        <v>138</v>
      </c>
      <c r="N22223" t="str">
        <f t="shared" si="412"/>
        <v xml:space="preserve">12345023621 </v>
      </c>
      <c r="O22223">
        <v>231113</v>
      </c>
    </row>
    <row r="22224" spans="1:15" x14ac:dyDescent="0.25">
      <c r="A22224" t="s">
        <v>16</v>
      </c>
      <c r="B22224" t="s">
        <v>3221</v>
      </c>
      <c r="C22224">
        <v>15505</v>
      </c>
      <c r="D22224" t="s">
        <v>263</v>
      </c>
      <c r="E22224" t="s">
        <v>264</v>
      </c>
      <c r="F22224">
        <v>6.06</v>
      </c>
      <c r="G22224">
        <v>231106</v>
      </c>
      <c r="H22224">
        <v>4362</v>
      </c>
      <c r="I22224" t="s">
        <v>79</v>
      </c>
      <c r="J22224">
        <v>7.51</v>
      </c>
      <c r="K22224">
        <v>1.45</v>
      </c>
      <c r="L22224">
        <v>16321</v>
      </c>
      <c r="M22224" t="s">
        <v>423</v>
      </c>
      <c r="N22224" t="str">
        <f t="shared" ref="N22224:N22233" si="413">"12345023617 "</f>
        <v xml:space="preserve">12345023617 </v>
      </c>
      <c r="O22224">
        <v>231113</v>
      </c>
    </row>
    <row r="22225" spans="1:15" x14ac:dyDescent="0.25">
      <c r="A22225" t="s">
        <v>16</v>
      </c>
      <c r="B22225" t="s">
        <v>3221</v>
      </c>
      <c r="C22225">
        <v>15505</v>
      </c>
      <c r="D22225" t="s">
        <v>263</v>
      </c>
      <c r="E22225" t="s">
        <v>264</v>
      </c>
      <c r="F22225">
        <v>8.1</v>
      </c>
      <c r="G22225">
        <v>231106</v>
      </c>
      <c r="H22225">
        <v>4362</v>
      </c>
      <c r="I22225" t="s">
        <v>79</v>
      </c>
      <c r="J22225">
        <v>10.039999999999999</v>
      </c>
      <c r="K22225">
        <v>1.94</v>
      </c>
      <c r="L22225">
        <v>16431</v>
      </c>
      <c r="M22225" t="s">
        <v>231</v>
      </c>
      <c r="N22225" t="str">
        <f t="shared" si="413"/>
        <v xml:space="preserve">12345023617 </v>
      </c>
      <c r="O22225">
        <v>231113</v>
      </c>
    </row>
    <row r="22226" spans="1:15" x14ac:dyDescent="0.25">
      <c r="A22226" t="s">
        <v>16</v>
      </c>
      <c r="B22226" t="s">
        <v>3221</v>
      </c>
      <c r="C22226">
        <v>15505</v>
      </c>
      <c r="D22226" t="s">
        <v>263</v>
      </c>
      <c r="E22226" t="s">
        <v>264</v>
      </c>
      <c r="F22226">
        <v>35.549999999999997</v>
      </c>
      <c r="G22226">
        <v>231106</v>
      </c>
      <c r="H22226">
        <v>4362</v>
      </c>
      <c r="I22226" t="s">
        <v>79</v>
      </c>
      <c r="J22226">
        <v>44.08</v>
      </c>
      <c r="K22226">
        <v>8.5299999999999994</v>
      </c>
      <c r="L22226">
        <v>17802</v>
      </c>
      <c r="M22226" t="s">
        <v>174</v>
      </c>
      <c r="N22226" t="str">
        <f t="shared" si="413"/>
        <v xml:space="preserve">12345023617 </v>
      </c>
      <c r="O22226">
        <v>231113</v>
      </c>
    </row>
    <row r="22227" spans="1:15" x14ac:dyDescent="0.25">
      <c r="A22227" t="s">
        <v>16</v>
      </c>
      <c r="B22227" t="s">
        <v>3221</v>
      </c>
      <c r="C22227">
        <v>15505</v>
      </c>
      <c r="D22227" t="s">
        <v>263</v>
      </c>
      <c r="E22227" t="s">
        <v>264</v>
      </c>
      <c r="F22227">
        <v>8.6199999999999992</v>
      </c>
      <c r="G22227">
        <v>231106</v>
      </c>
      <c r="H22227">
        <v>4362</v>
      </c>
      <c r="I22227" t="s">
        <v>79</v>
      </c>
      <c r="J22227">
        <v>10.69</v>
      </c>
      <c r="K22227">
        <v>2.0699999999999998</v>
      </c>
      <c r="L22227">
        <v>17803</v>
      </c>
      <c r="M22227" t="s">
        <v>389</v>
      </c>
      <c r="N22227" t="str">
        <f t="shared" si="413"/>
        <v xml:space="preserve">12345023617 </v>
      </c>
      <c r="O22227">
        <v>231113</v>
      </c>
    </row>
    <row r="22228" spans="1:15" x14ac:dyDescent="0.25">
      <c r="A22228" t="s">
        <v>16</v>
      </c>
      <c r="B22228" t="s">
        <v>3221</v>
      </c>
      <c r="C22228">
        <v>15505</v>
      </c>
      <c r="D22228" t="s">
        <v>263</v>
      </c>
      <c r="E22228" t="s">
        <v>264</v>
      </c>
      <c r="F22228">
        <v>3.84</v>
      </c>
      <c r="G22228">
        <v>231106</v>
      </c>
      <c r="H22228">
        <v>4362</v>
      </c>
      <c r="I22228" t="s">
        <v>79</v>
      </c>
      <c r="J22228">
        <v>4.76</v>
      </c>
      <c r="K22228">
        <v>0.92</v>
      </c>
      <c r="L22228">
        <v>17804</v>
      </c>
      <c r="M22228" t="s">
        <v>549</v>
      </c>
      <c r="N22228" t="str">
        <f t="shared" si="413"/>
        <v xml:space="preserve">12345023617 </v>
      </c>
      <c r="O22228">
        <v>231113</v>
      </c>
    </row>
    <row r="22229" spans="1:15" x14ac:dyDescent="0.25">
      <c r="A22229" t="s">
        <v>16</v>
      </c>
      <c r="B22229" t="s">
        <v>3221</v>
      </c>
      <c r="C22229">
        <v>15505</v>
      </c>
      <c r="D22229" t="s">
        <v>263</v>
      </c>
      <c r="E22229" t="s">
        <v>264</v>
      </c>
      <c r="F22229">
        <v>2.7</v>
      </c>
      <c r="G22229">
        <v>231106</v>
      </c>
      <c r="H22229">
        <v>4362</v>
      </c>
      <c r="I22229" t="s">
        <v>79</v>
      </c>
      <c r="J22229">
        <v>3.35</v>
      </c>
      <c r="K22229">
        <v>0.65</v>
      </c>
      <c r="L22229">
        <v>17805</v>
      </c>
      <c r="M22229" t="s">
        <v>102</v>
      </c>
      <c r="N22229" t="str">
        <f t="shared" si="413"/>
        <v xml:space="preserve">12345023617 </v>
      </c>
      <c r="O22229">
        <v>231113</v>
      </c>
    </row>
    <row r="22230" spans="1:15" x14ac:dyDescent="0.25">
      <c r="A22230" t="s">
        <v>16</v>
      </c>
      <c r="B22230" t="s">
        <v>3221</v>
      </c>
      <c r="C22230">
        <v>15505</v>
      </c>
      <c r="D22230" t="s">
        <v>263</v>
      </c>
      <c r="E22230" t="s">
        <v>264</v>
      </c>
      <c r="F22230">
        <v>5.47</v>
      </c>
      <c r="G22230">
        <v>231106</v>
      </c>
      <c r="H22230">
        <v>4362</v>
      </c>
      <c r="I22230" t="s">
        <v>79</v>
      </c>
      <c r="J22230">
        <v>6.78</v>
      </c>
      <c r="K22230">
        <v>1.31</v>
      </c>
      <c r="L22230">
        <v>17806</v>
      </c>
      <c r="M22230" t="s">
        <v>265</v>
      </c>
      <c r="N22230" t="str">
        <f t="shared" si="413"/>
        <v xml:space="preserve">12345023617 </v>
      </c>
      <c r="O22230">
        <v>231113</v>
      </c>
    </row>
    <row r="22231" spans="1:15" x14ac:dyDescent="0.25">
      <c r="A22231" t="s">
        <v>16</v>
      </c>
      <c r="B22231" t="s">
        <v>3221</v>
      </c>
      <c r="C22231">
        <v>15505</v>
      </c>
      <c r="D22231" t="s">
        <v>263</v>
      </c>
      <c r="E22231" t="s">
        <v>264</v>
      </c>
      <c r="F22231">
        <v>16.05</v>
      </c>
      <c r="G22231">
        <v>231106</v>
      </c>
      <c r="H22231">
        <v>4362</v>
      </c>
      <c r="I22231" t="s">
        <v>79</v>
      </c>
      <c r="J22231">
        <v>19.899999999999999</v>
      </c>
      <c r="K22231">
        <v>3.85</v>
      </c>
      <c r="L22231">
        <v>17807</v>
      </c>
      <c r="M22231" t="s">
        <v>318</v>
      </c>
      <c r="N22231" t="str">
        <f t="shared" si="413"/>
        <v xml:space="preserve">12345023617 </v>
      </c>
      <c r="O22231">
        <v>231113</v>
      </c>
    </row>
    <row r="22232" spans="1:15" x14ac:dyDescent="0.25">
      <c r="A22232" t="s">
        <v>16</v>
      </c>
      <c r="B22232" t="s">
        <v>3221</v>
      </c>
      <c r="C22232">
        <v>15505</v>
      </c>
      <c r="D22232" t="s">
        <v>263</v>
      </c>
      <c r="E22232" t="s">
        <v>264</v>
      </c>
      <c r="F22232">
        <v>8.1</v>
      </c>
      <c r="G22232">
        <v>231106</v>
      </c>
      <c r="H22232">
        <v>4362</v>
      </c>
      <c r="I22232" t="s">
        <v>79</v>
      </c>
      <c r="J22232">
        <v>10.050000000000001</v>
      </c>
      <c r="K22232">
        <v>1.95</v>
      </c>
      <c r="L22232">
        <v>17808</v>
      </c>
      <c r="M22232" t="s">
        <v>322</v>
      </c>
      <c r="N22232" t="str">
        <f t="shared" si="413"/>
        <v xml:space="preserve">12345023617 </v>
      </c>
      <c r="O22232">
        <v>231113</v>
      </c>
    </row>
    <row r="22233" spans="1:15" x14ac:dyDescent="0.25">
      <c r="A22233" t="s">
        <v>16</v>
      </c>
      <c r="B22233" t="s">
        <v>3221</v>
      </c>
      <c r="C22233">
        <v>15505</v>
      </c>
      <c r="D22233" t="s">
        <v>263</v>
      </c>
      <c r="E22233" t="s">
        <v>264</v>
      </c>
      <c r="F22233">
        <v>8.0299999999999994</v>
      </c>
      <c r="G22233">
        <v>231106</v>
      </c>
      <c r="H22233">
        <v>4362</v>
      </c>
      <c r="I22233" t="s">
        <v>79</v>
      </c>
      <c r="J22233">
        <v>9.9600000000000009</v>
      </c>
      <c r="K22233">
        <v>1.93</v>
      </c>
      <c r="L22233">
        <v>17809</v>
      </c>
      <c r="M22233" t="s">
        <v>376</v>
      </c>
      <c r="N22233" t="str">
        <f t="shared" si="413"/>
        <v xml:space="preserve">12345023617 </v>
      </c>
      <c r="O22233">
        <v>231113</v>
      </c>
    </row>
    <row r="22234" spans="1:15" x14ac:dyDescent="0.25">
      <c r="A22234" t="s">
        <v>16</v>
      </c>
      <c r="B22234" t="s">
        <v>3221</v>
      </c>
      <c r="C22234">
        <v>15597</v>
      </c>
      <c r="D22234" t="s">
        <v>263</v>
      </c>
      <c r="E22234" t="s">
        <v>264</v>
      </c>
      <c r="F22234">
        <v>2.5499999999999998</v>
      </c>
      <c r="G22234">
        <v>231106</v>
      </c>
      <c r="H22234">
        <v>4362</v>
      </c>
      <c r="I22234" t="s">
        <v>79</v>
      </c>
      <c r="J22234">
        <v>3.16</v>
      </c>
      <c r="K22234">
        <v>0.61</v>
      </c>
      <c r="L22234">
        <v>13801</v>
      </c>
      <c r="M22234" t="s">
        <v>162</v>
      </c>
      <c r="N22234" t="str">
        <f>"12345023625 "</f>
        <v xml:space="preserve">12345023625 </v>
      </c>
      <c r="O22234">
        <v>231114</v>
      </c>
    </row>
    <row r="22235" spans="1:15" x14ac:dyDescent="0.25">
      <c r="A22235" t="s">
        <v>16</v>
      </c>
      <c r="B22235" t="s">
        <v>3221</v>
      </c>
      <c r="C22235">
        <v>15598</v>
      </c>
      <c r="D22235" t="s">
        <v>263</v>
      </c>
      <c r="E22235" t="s">
        <v>264</v>
      </c>
      <c r="F22235">
        <v>3.1</v>
      </c>
      <c r="G22235">
        <v>231106</v>
      </c>
      <c r="H22235">
        <v>4362</v>
      </c>
      <c r="I22235" t="s">
        <v>79</v>
      </c>
      <c r="J22235">
        <v>3.84</v>
      </c>
      <c r="K22235">
        <v>0.74</v>
      </c>
      <c r="L22235">
        <v>51157</v>
      </c>
      <c r="M22235" t="s">
        <v>1216</v>
      </c>
      <c r="N22235" t="str">
        <f t="shared" ref="N22235:N22246" si="414">"12345023602 "</f>
        <v xml:space="preserve">12345023602 </v>
      </c>
      <c r="O22235">
        <v>231114</v>
      </c>
    </row>
    <row r="22236" spans="1:15" x14ac:dyDescent="0.25">
      <c r="A22236" t="s">
        <v>16</v>
      </c>
      <c r="B22236" t="s">
        <v>3221</v>
      </c>
      <c r="C22236">
        <v>15598</v>
      </c>
      <c r="D22236" t="s">
        <v>263</v>
      </c>
      <c r="E22236" t="s">
        <v>264</v>
      </c>
      <c r="F22236">
        <v>2.7</v>
      </c>
      <c r="G22236">
        <v>231106</v>
      </c>
      <c r="H22236">
        <v>4362</v>
      </c>
      <c r="I22236" t="s">
        <v>79</v>
      </c>
      <c r="J22236">
        <v>3.35</v>
      </c>
      <c r="K22236">
        <v>0.65</v>
      </c>
      <c r="L22236">
        <v>56526</v>
      </c>
      <c r="M22236" t="s">
        <v>1217</v>
      </c>
      <c r="N22236" t="str">
        <f t="shared" si="414"/>
        <v xml:space="preserve">12345023602 </v>
      </c>
      <c r="O22236">
        <v>231114</v>
      </c>
    </row>
    <row r="22237" spans="1:15" x14ac:dyDescent="0.25">
      <c r="A22237" t="s">
        <v>16</v>
      </c>
      <c r="B22237" t="s">
        <v>3221</v>
      </c>
      <c r="C22237">
        <v>15598</v>
      </c>
      <c r="D22237" t="s">
        <v>263</v>
      </c>
      <c r="E22237" t="s">
        <v>264</v>
      </c>
      <c r="F22237">
        <v>14.5</v>
      </c>
      <c r="G22237">
        <v>231106</v>
      </c>
      <c r="H22237">
        <v>4362</v>
      </c>
      <c r="I22237" t="s">
        <v>79</v>
      </c>
      <c r="J22237">
        <v>17.98</v>
      </c>
      <c r="K22237">
        <v>3.48</v>
      </c>
      <c r="L22237">
        <v>56558</v>
      </c>
      <c r="M22237" t="s">
        <v>217</v>
      </c>
      <c r="N22237" t="str">
        <f t="shared" si="414"/>
        <v xml:space="preserve">12345023602 </v>
      </c>
      <c r="O22237">
        <v>231114</v>
      </c>
    </row>
    <row r="22238" spans="1:15" x14ac:dyDescent="0.25">
      <c r="A22238" t="s">
        <v>16</v>
      </c>
      <c r="B22238" t="s">
        <v>3221</v>
      </c>
      <c r="C22238">
        <v>15598</v>
      </c>
      <c r="D22238" t="s">
        <v>263</v>
      </c>
      <c r="E22238" t="s">
        <v>264</v>
      </c>
      <c r="F22238">
        <v>21.56</v>
      </c>
      <c r="G22238">
        <v>231106</v>
      </c>
      <c r="H22238">
        <v>4362</v>
      </c>
      <c r="I22238" t="s">
        <v>79</v>
      </c>
      <c r="J22238">
        <v>26.73</v>
      </c>
      <c r="K22238">
        <v>5.17</v>
      </c>
      <c r="L22238">
        <v>56559</v>
      </c>
      <c r="M22238" t="s">
        <v>129</v>
      </c>
      <c r="N22238" t="str">
        <f t="shared" si="414"/>
        <v xml:space="preserve">12345023602 </v>
      </c>
      <c r="O22238">
        <v>231114</v>
      </c>
    </row>
    <row r="22239" spans="1:15" x14ac:dyDescent="0.25">
      <c r="A22239" t="s">
        <v>16</v>
      </c>
      <c r="B22239" t="s">
        <v>3221</v>
      </c>
      <c r="C22239">
        <v>15598</v>
      </c>
      <c r="D22239" t="s">
        <v>263</v>
      </c>
      <c r="E22239" t="s">
        <v>264</v>
      </c>
      <c r="F22239">
        <v>10.050000000000001</v>
      </c>
      <c r="G22239">
        <v>231106</v>
      </c>
      <c r="H22239">
        <v>4362</v>
      </c>
      <c r="I22239" t="s">
        <v>79</v>
      </c>
      <c r="J22239">
        <v>12.46</v>
      </c>
      <c r="K22239">
        <v>2.41</v>
      </c>
      <c r="L22239">
        <v>56560</v>
      </c>
      <c r="M22239" t="s">
        <v>654</v>
      </c>
      <c r="N22239" t="str">
        <f t="shared" si="414"/>
        <v xml:space="preserve">12345023602 </v>
      </c>
      <c r="O22239">
        <v>231114</v>
      </c>
    </row>
    <row r="22240" spans="1:15" x14ac:dyDescent="0.25">
      <c r="A22240" t="s">
        <v>16</v>
      </c>
      <c r="B22240" t="s">
        <v>3221</v>
      </c>
      <c r="C22240">
        <v>15598</v>
      </c>
      <c r="D22240" t="s">
        <v>263</v>
      </c>
      <c r="E22240" t="s">
        <v>264</v>
      </c>
      <c r="F22240">
        <v>2.7</v>
      </c>
      <c r="G22240">
        <v>231106</v>
      </c>
      <c r="H22240">
        <v>4362</v>
      </c>
      <c r="I22240" t="s">
        <v>79</v>
      </c>
      <c r="J22240">
        <v>3.35</v>
      </c>
      <c r="K22240">
        <v>0.65</v>
      </c>
      <c r="L22240">
        <v>56561</v>
      </c>
      <c r="M22240" t="s">
        <v>358</v>
      </c>
      <c r="N22240" t="str">
        <f t="shared" si="414"/>
        <v xml:space="preserve">12345023602 </v>
      </c>
      <c r="O22240">
        <v>231114</v>
      </c>
    </row>
    <row r="22241" spans="1:15" x14ac:dyDescent="0.25">
      <c r="A22241" t="s">
        <v>16</v>
      </c>
      <c r="B22241" t="s">
        <v>3221</v>
      </c>
      <c r="C22241">
        <v>15598</v>
      </c>
      <c r="D22241" t="s">
        <v>263</v>
      </c>
      <c r="E22241" t="s">
        <v>264</v>
      </c>
      <c r="F22241">
        <v>5.4</v>
      </c>
      <c r="G22241">
        <v>231106</v>
      </c>
      <c r="H22241">
        <v>4362</v>
      </c>
      <c r="I22241" t="s">
        <v>79</v>
      </c>
      <c r="J22241">
        <v>6.7</v>
      </c>
      <c r="K22241">
        <v>1.3</v>
      </c>
      <c r="L22241">
        <v>56562</v>
      </c>
      <c r="M22241" t="s">
        <v>126</v>
      </c>
      <c r="N22241" t="str">
        <f t="shared" si="414"/>
        <v xml:space="preserve">12345023602 </v>
      </c>
      <c r="O22241">
        <v>231114</v>
      </c>
    </row>
    <row r="22242" spans="1:15" x14ac:dyDescent="0.25">
      <c r="A22242" t="s">
        <v>16</v>
      </c>
      <c r="B22242" t="s">
        <v>3221</v>
      </c>
      <c r="C22242">
        <v>15598</v>
      </c>
      <c r="D22242" t="s">
        <v>263</v>
      </c>
      <c r="E22242" t="s">
        <v>264</v>
      </c>
      <c r="F22242">
        <v>9.35</v>
      </c>
      <c r="G22242">
        <v>231106</v>
      </c>
      <c r="H22242">
        <v>4362</v>
      </c>
      <c r="I22242" t="s">
        <v>79</v>
      </c>
      <c r="J22242">
        <v>11.59</v>
      </c>
      <c r="K22242">
        <v>2.2400000000000002</v>
      </c>
      <c r="L22242">
        <v>56564</v>
      </c>
      <c r="M22242" t="s">
        <v>327</v>
      </c>
      <c r="N22242" t="str">
        <f t="shared" si="414"/>
        <v xml:space="preserve">12345023602 </v>
      </c>
      <c r="O22242">
        <v>231114</v>
      </c>
    </row>
    <row r="22243" spans="1:15" x14ac:dyDescent="0.25">
      <c r="A22243" t="s">
        <v>16</v>
      </c>
      <c r="B22243" t="s">
        <v>3221</v>
      </c>
      <c r="C22243">
        <v>15598</v>
      </c>
      <c r="D22243" t="s">
        <v>263</v>
      </c>
      <c r="E22243" t="s">
        <v>264</v>
      </c>
      <c r="F22243">
        <v>2.7</v>
      </c>
      <c r="G22243">
        <v>231106</v>
      </c>
      <c r="H22243">
        <v>4362</v>
      </c>
      <c r="I22243" t="s">
        <v>79</v>
      </c>
      <c r="J22243">
        <v>3.35</v>
      </c>
      <c r="K22243">
        <v>0.65</v>
      </c>
      <c r="L22243">
        <v>56565</v>
      </c>
      <c r="M22243" t="s">
        <v>758</v>
      </c>
      <c r="N22243" t="str">
        <f t="shared" si="414"/>
        <v xml:space="preserve">12345023602 </v>
      </c>
      <c r="O22243">
        <v>231114</v>
      </c>
    </row>
    <row r="22244" spans="1:15" x14ac:dyDescent="0.25">
      <c r="A22244" t="s">
        <v>16</v>
      </c>
      <c r="B22244" t="s">
        <v>3221</v>
      </c>
      <c r="C22244">
        <v>15598</v>
      </c>
      <c r="D22244" t="s">
        <v>263</v>
      </c>
      <c r="E22244" t="s">
        <v>264</v>
      </c>
      <c r="F22244">
        <v>1.93</v>
      </c>
      <c r="G22244">
        <v>231106</v>
      </c>
      <c r="H22244">
        <v>4362</v>
      </c>
      <c r="I22244" t="s">
        <v>79</v>
      </c>
      <c r="J22244">
        <v>2.2000000000000002</v>
      </c>
      <c r="K22244">
        <v>0.27</v>
      </c>
      <c r="L22244">
        <v>56566</v>
      </c>
      <c r="M22244" t="s">
        <v>652</v>
      </c>
      <c r="N22244" t="str">
        <f t="shared" si="414"/>
        <v xml:space="preserve">12345023602 </v>
      </c>
      <c r="O22244">
        <v>231114</v>
      </c>
    </row>
    <row r="22245" spans="1:15" x14ac:dyDescent="0.25">
      <c r="A22245" t="s">
        <v>16</v>
      </c>
      <c r="B22245" t="s">
        <v>3221</v>
      </c>
      <c r="C22245">
        <v>15598</v>
      </c>
      <c r="D22245" t="s">
        <v>263</v>
      </c>
      <c r="E22245" t="s">
        <v>264</v>
      </c>
      <c r="F22245">
        <v>10.25</v>
      </c>
      <c r="G22245">
        <v>231106</v>
      </c>
      <c r="H22245">
        <v>4362</v>
      </c>
      <c r="I22245" t="s">
        <v>79</v>
      </c>
      <c r="J22245">
        <v>12.71</v>
      </c>
      <c r="K22245">
        <v>2.46</v>
      </c>
      <c r="L22245">
        <v>56566</v>
      </c>
      <c r="M22245" t="s">
        <v>652</v>
      </c>
      <c r="N22245" t="str">
        <f t="shared" si="414"/>
        <v xml:space="preserve">12345023602 </v>
      </c>
      <c r="O22245">
        <v>231114</v>
      </c>
    </row>
    <row r="22246" spans="1:15" x14ac:dyDescent="0.25">
      <c r="A22246" t="s">
        <v>16</v>
      </c>
      <c r="B22246" t="s">
        <v>3221</v>
      </c>
      <c r="C22246">
        <v>15598</v>
      </c>
      <c r="D22246" t="s">
        <v>263</v>
      </c>
      <c r="E22246" t="s">
        <v>264</v>
      </c>
      <c r="F22246">
        <v>2.7</v>
      </c>
      <c r="G22246">
        <v>231106</v>
      </c>
      <c r="H22246">
        <v>4362</v>
      </c>
      <c r="I22246" t="s">
        <v>79</v>
      </c>
      <c r="J22246">
        <v>3.35</v>
      </c>
      <c r="K22246">
        <v>0.65</v>
      </c>
      <c r="L22246">
        <v>56568</v>
      </c>
      <c r="M22246" t="s">
        <v>268</v>
      </c>
      <c r="N22246" t="str">
        <f t="shared" si="414"/>
        <v xml:space="preserve">12345023602 </v>
      </c>
      <c r="O22246">
        <v>231114</v>
      </c>
    </row>
    <row r="22247" spans="1:15" x14ac:dyDescent="0.25">
      <c r="A22247" t="s">
        <v>16</v>
      </c>
      <c r="B22247" t="s">
        <v>3221</v>
      </c>
      <c r="C22247">
        <v>15599</v>
      </c>
      <c r="D22247" t="s">
        <v>263</v>
      </c>
      <c r="E22247" t="s">
        <v>264</v>
      </c>
      <c r="F22247">
        <v>2.7</v>
      </c>
      <c r="G22247">
        <v>231106</v>
      </c>
      <c r="H22247">
        <v>4362</v>
      </c>
      <c r="I22247" t="s">
        <v>79</v>
      </c>
      <c r="J22247">
        <v>3.35</v>
      </c>
      <c r="K22247">
        <v>0.65</v>
      </c>
      <c r="L22247">
        <v>51138</v>
      </c>
      <c r="M22247" t="s">
        <v>1162</v>
      </c>
      <c r="N22247" t="str">
        <f t="shared" ref="N22247:N22254" si="415">"12345023600 "</f>
        <v xml:space="preserve">12345023600 </v>
      </c>
      <c r="O22247">
        <v>231114</v>
      </c>
    </row>
    <row r="22248" spans="1:15" x14ac:dyDescent="0.25">
      <c r="A22248" t="s">
        <v>16</v>
      </c>
      <c r="B22248" t="s">
        <v>3221</v>
      </c>
      <c r="C22248">
        <v>15599</v>
      </c>
      <c r="D22248" t="s">
        <v>263</v>
      </c>
      <c r="E22248" t="s">
        <v>264</v>
      </c>
      <c r="F22248">
        <v>19.690000000000001</v>
      </c>
      <c r="G22248">
        <v>231106</v>
      </c>
      <c r="H22248">
        <v>4362</v>
      </c>
      <c r="I22248" t="s">
        <v>79</v>
      </c>
      <c r="J22248">
        <v>24.42</v>
      </c>
      <c r="K22248">
        <v>4.7300000000000004</v>
      </c>
      <c r="L22248">
        <v>54222</v>
      </c>
      <c r="M22248" t="s">
        <v>308</v>
      </c>
      <c r="N22248" t="str">
        <f t="shared" si="415"/>
        <v xml:space="preserve">12345023600 </v>
      </c>
      <c r="O22248">
        <v>231114</v>
      </c>
    </row>
    <row r="22249" spans="1:15" x14ac:dyDescent="0.25">
      <c r="A22249" t="s">
        <v>16</v>
      </c>
      <c r="B22249" t="s">
        <v>3221</v>
      </c>
      <c r="C22249">
        <v>15599</v>
      </c>
      <c r="D22249" t="s">
        <v>263</v>
      </c>
      <c r="E22249" t="s">
        <v>264</v>
      </c>
      <c r="F22249">
        <v>2.7</v>
      </c>
      <c r="G22249">
        <v>231106</v>
      </c>
      <c r="H22249">
        <v>4362</v>
      </c>
      <c r="I22249" t="s">
        <v>79</v>
      </c>
      <c r="J22249">
        <v>3.35</v>
      </c>
      <c r="K22249">
        <v>0.65</v>
      </c>
      <c r="L22249">
        <v>54251</v>
      </c>
      <c r="M22249" t="s">
        <v>309</v>
      </c>
      <c r="N22249" t="str">
        <f t="shared" si="415"/>
        <v xml:space="preserve">12345023600 </v>
      </c>
      <c r="O22249">
        <v>231114</v>
      </c>
    </row>
    <row r="22250" spans="1:15" x14ac:dyDescent="0.25">
      <c r="A22250" t="s">
        <v>16</v>
      </c>
      <c r="B22250" t="s">
        <v>3221</v>
      </c>
      <c r="C22250">
        <v>15599</v>
      </c>
      <c r="D22250" t="s">
        <v>263</v>
      </c>
      <c r="E22250" t="s">
        <v>264</v>
      </c>
      <c r="F22250">
        <v>2.7</v>
      </c>
      <c r="G22250">
        <v>231106</v>
      </c>
      <c r="H22250">
        <v>4362</v>
      </c>
      <c r="I22250" t="s">
        <v>79</v>
      </c>
      <c r="J22250">
        <v>3.35</v>
      </c>
      <c r="K22250">
        <v>0.65</v>
      </c>
      <c r="L22250">
        <v>54252</v>
      </c>
      <c r="M22250" t="s">
        <v>534</v>
      </c>
      <c r="N22250" t="str">
        <f t="shared" si="415"/>
        <v xml:space="preserve">12345023600 </v>
      </c>
      <c r="O22250">
        <v>231114</v>
      </c>
    </row>
    <row r="22251" spans="1:15" x14ac:dyDescent="0.25">
      <c r="A22251" t="s">
        <v>16</v>
      </c>
      <c r="B22251" t="s">
        <v>3221</v>
      </c>
      <c r="C22251">
        <v>15599</v>
      </c>
      <c r="D22251" t="s">
        <v>263</v>
      </c>
      <c r="E22251" t="s">
        <v>264</v>
      </c>
      <c r="F22251">
        <v>5.4</v>
      </c>
      <c r="G22251">
        <v>231106</v>
      </c>
      <c r="H22251">
        <v>4362</v>
      </c>
      <c r="I22251" t="s">
        <v>79</v>
      </c>
      <c r="J22251">
        <v>6.7</v>
      </c>
      <c r="K22251">
        <v>1.3</v>
      </c>
      <c r="L22251">
        <v>54422</v>
      </c>
      <c r="M22251" t="s">
        <v>234</v>
      </c>
      <c r="N22251" t="str">
        <f t="shared" si="415"/>
        <v xml:space="preserve">12345023600 </v>
      </c>
      <c r="O22251">
        <v>231114</v>
      </c>
    </row>
    <row r="22252" spans="1:15" x14ac:dyDescent="0.25">
      <c r="A22252" t="s">
        <v>16</v>
      </c>
      <c r="B22252" t="s">
        <v>3221</v>
      </c>
      <c r="C22252">
        <v>15599</v>
      </c>
      <c r="D22252" t="s">
        <v>263</v>
      </c>
      <c r="E22252" t="s">
        <v>264</v>
      </c>
      <c r="F22252">
        <v>5.4</v>
      </c>
      <c r="G22252">
        <v>231106</v>
      </c>
      <c r="H22252">
        <v>4362</v>
      </c>
      <c r="I22252" t="s">
        <v>79</v>
      </c>
      <c r="J22252">
        <v>6.7</v>
      </c>
      <c r="K22252">
        <v>1.3</v>
      </c>
      <c r="L22252">
        <v>54451</v>
      </c>
      <c r="M22252" t="s">
        <v>158</v>
      </c>
      <c r="N22252" t="str">
        <f t="shared" si="415"/>
        <v xml:space="preserve">12345023600 </v>
      </c>
      <c r="O22252">
        <v>231114</v>
      </c>
    </row>
    <row r="22253" spans="1:15" x14ac:dyDescent="0.25">
      <c r="A22253" t="s">
        <v>16</v>
      </c>
      <c r="B22253" t="s">
        <v>3221</v>
      </c>
      <c r="C22253">
        <v>15599</v>
      </c>
      <c r="D22253" t="s">
        <v>263</v>
      </c>
      <c r="E22253" t="s">
        <v>264</v>
      </c>
      <c r="F22253">
        <v>5.4</v>
      </c>
      <c r="G22253">
        <v>231106</v>
      </c>
      <c r="H22253">
        <v>4362</v>
      </c>
      <c r="I22253" t="s">
        <v>79</v>
      </c>
      <c r="J22253">
        <v>6.7</v>
      </c>
      <c r="K22253">
        <v>1.3</v>
      </c>
      <c r="L22253">
        <v>56563</v>
      </c>
      <c r="M22253" t="s">
        <v>953</v>
      </c>
      <c r="N22253" t="str">
        <f t="shared" si="415"/>
        <v xml:space="preserve">12345023600 </v>
      </c>
      <c r="O22253">
        <v>231114</v>
      </c>
    </row>
    <row r="22254" spans="1:15" x14ac:dyDescent="0.25">
      <c r="A22254" t="s">
        <v>16</v>
      </c>
      <c r="B22254" t="s">
        <v>3221</v>
      </c>
      <c r="C22254">
        <v>15599</v>
      </c>
      <c r="D22254" t="s">
        <v>263</v>
      </c>
      <c r="E22254" t="s">
        <v>264</v>
      </c>
      <c r="F22254">
        <v>11.8</v>
      </c>
      <c r="G22254">
        <v>231106</v>
      </c>
      <c r="H22254">
        <v>4362</v>
      </c>
      <c r="I22254" t="s">
        <v>79</v>
      </c>
      <c r="J22254">
        <v>14.63</v>
      </c>
      <c r="K22254">
        <v>2.83</v>
      </c>
      <c r="L22254">
        <v>58601</v>
      </c>
      <c r="M22254" t="s">
        <v>251</v>
      </c>
      <c r="N22254" t="str">
        <f t="shared" si="415"/>
        <v xml:space="preserve">12345023600 </v>
      </c>
      <c r="O22254">
        <v>231114</v>
      </c>
    </row>
    <row r="22255" spans="1:15" x14ac:dyDescent="0.25">
      <c r="A22255" t="s">
        <v>16</v>
      </c>
      <c r="B22255" t="s">
        <v>3221</v>
      </c>
      <c r="C22255">
        <v>15666</v>
      </c>
      <c r="D22255" t="s">
        <v>263</v>
      </c>
      <c r="E22255" t="s">
        <v>264</v>
      </c>
      <c r="F22255">
        <v>27.87</v>
      </c>
      <c r="G22255">
        <v>231106</v>
      </c>
      <c r="H22255">
        <v>4362</v>
      </c>
      <c r="I22255" t="s">
        <v>79</v>
      </c>
      <c r="J22255">
        <v>34.56</v>
      </c>
      <c r="K22255">
        <v>6.69</v>
      </c>
      <c r="L22255">
        <v>61122</v>
      </c>
      <c r="M22255" t="s">
        <v>402</v>
      </c>
      <c r="N22255" t="str">
        <f t="shared" ref="N22255:N22281" si="416">"12345023599 "</f>
        <v xml:space="preserve">12345023599 </v>
      </c>
      <c r="O22255">
        <v>231116</v>
      </c>
    </row>
    <row r="22256" spans="1:15" x14ac:dyDescent="0.25">
      <c r="A22256" t="s">
        <v>16</v>
      </c>
      <c r="B22256" t="s">
        <v>3221</v>
      </c>
      <c r="C22256">
        <v>15666</v>
      </c>
      <c r="D22256" t="s">
        <v>263</v>
      </c>
      <c r="E22256" t="s">
        <v>264</v>
      </c>
      <c r="F22256">
        <v>2.76</v>
      </c>
      <c r="G22256">
        <v>231106</v>
      </c>
      <c r="H22256">
        <v>4362</v>
      </c>
      <c r="I22256" t="s">
        <v>79</v>
      </c>
      <c r="J22256">
        <v>3.42</v>
      </c>
      <c r="K22256">
        <v>0.66</v>
      </c>
      <c r="L22256">
        <v>61122</v>
      </c>
      <c r="M22256" t="s">
        <v>402</v>
      </c>
      <c r="N22256" t="str">
        <f t="shared" si="416"/>
        <v xml:space="preserve">12345023599 </v>
      </c>
      <c r="O22256">
        <v>231116</v>
      </c>
    </row>
    <row r="22257" spans="1:15" x14ac:dyDescent="0.25">
      <c r="A22257" t="s">
        <v>16</v>
      </c>
      <c r="B22257" t="s">
        <v>3221</v>
      </c>
      <c r="C22257">
        <v>15666</v>
      </c>
      <c r="D22257" t="s">
        <v>263</v>
      </c>
      <c r="E22257" t="s">
        <v>264</v>
      </c>
      <c r="F22257">
        <v>10.8</v>
      </c>
      <c r="G22257">
        <v>231106</v>
      </c>
      <c r="H22257">
        <v>4362</v>
      </c>
      <c r="I22257" t="s">
        <v>79</v>
      </c>
      <c r="J22257">
        <v>13.39</v>
      </c>
      <c r="K22257">
        <v>2.59</v>
      </c>
      <c r="L22257">
        <v>65222</v>
      </c>
      <c r="M22257" t="s">
        <v>487</v>
      </c>
      <c r="N22257" t="str">
        <f t="shared" si="416"/>
        <v xml:space="preserve">12345023599 </v>
      </c>
      <c r="O22257">
        <v>231116</v>
      </c>
    </row>
    <row r="22258" spans="1:15" x14ac:dyDescent="0.25">
      <c r="A22258" t="s">
        <v>16</v>
      </c>
      <c r="B22258" t="s">
        <v>3221</v>
      </c>
      <c r="C22258">
        <v>15666</v>
      </c>
      <c r="D22258" t="s">
        <v>263</v>
      </c>
      <c r="E22258" t="s">
        <v>264</v>
      </c>
      <c r="F22258">
        <v>3.73</v>
      </c>
      <c r="G22258">
        <v>231106</v>
      </c>
      <c r="H22258">
        <v>4362</v>
      </c>
      <c r="I22258" t="s">
        <v>79</v>
      </c>
      <c r="J22258">
        <v>4.63</v>
      </c>
      <c r="K22258">
        <v>0.9</v>
      </c>
      <c r="L22258">
        <v>65422</v>
      </c>
      <c r="M22258" t="s">
        <v>602</v>
      </c>
      <c r="N22258" t="str">
        <f t="shared" si="416"/>
        <v xml:space="preserve">12345023599 </v>
      </c>
      <c r="O22258">
        <v>231116</v>
      </c>
    </row>
    <row r="22259" spans="1:15" x14ac:dyDescent="0.25">
      <c r="A22259" t="s">
        <v>16</v>
      </c>
      <c r="B22259" t="s">
        <v>3221</v>
      </c>
      <c r="C22259">
        <v>15666</v>
      </c>
      <c r="D22259" t="s">
        <v>263</v>
      </c>
      <c r="E22259" t="s">
        <v>264</v>
      </c>
      <c r="F22259">
        <v>8.85</v>
      </c>
      <c r="G22259">
        <v>231106</v>
      </c>
      <c r="H22259">
        <v>4362</v>
      </c>
      <c r="I22259" t="s">
        <v>79</v>
      </c>
      <c r="J22259">
        <v>10.97</v>
      </c>
      <c r="K22259">
        <v>2.12</v>
      </c>
      <c r="L22259">
        <v>66722</v>
      </c>
      <c r="M22259" t="s">
        <v>518</v>
      </c>
      <c r="N22259" t="str">
        <f t="shared" si="416"/>
        <v xml:space="preserve">12345023599 </v>
      </c>
      <c r="O22259">
        <v>231116</v>
      </c>
    </row>
    <row r="22260" spans="1:15" x14ac:dyDescent="0.25">
      <c r="A22260" t="s">
        <v>16</v>
      </c>
      <c r="B22260" t="s">
        <v>3221</v>
      </c>
      <c r="C22260">
        <v>15666</v>
      </c>
      <c r="D22260" t="s">
        <v>263</v>
      </c>
      <c r="E22260" t="s">
        <v>264</v>
      </c>
      <c r="F22260">
        <v>1.62</v>
      </c>
      <c r="G22260">
        <v>231106</v>
      </c>
      <c r="H22260">
        <v>4362</v>
      </c>
      <c r="I22260" t="s">
        <v>79</v>
      </c>
      <c r="J22260">
        <v>2.0099999999999998</v>
      </c>
      <c r="K22260">
        <v>0.39</v>
      </c>
      <c r="L22260">
        <v>66754</v>
      </c>
      <c r="M22260" t="s">
        <v>239</v>
      </c>
      <c r="N22260" t="str">
        <f t="shared" si="416"/>
        <v xml:space="preserve">12345023599 </v>
      </c>
      <c r="O22260">
        <v>231116</v>
      </c>
    </row>
    <row r="22261" spans="1:15" x14ac:dyDescent="0.25">
      <c r="A22261" t="s">
        <v>16</v>
      </c>
      <c r="B22261" t="s">
        <v>3221</v>
      </c>
      <c r="C22261">
        <v>15666</v>
      </c>
      <c r="D22261" t="s">
        <v>263</v>
      </c>
      <c r="E22261" t="s">
        <v>264</v>
      </c>
      <c r="F22261">
        <v>2.7</v>
      </c>
      <c r="G22261">
        <v>231106</v>
      </c>
      <c r="H22261">
        <v>4362</v>
      </c>
      <c r="I22261" t="s">
        <v>79</v>
      </c>
      <c r="J22261">
        <v>3.35</v>
      </c>
      <c r="K22261">
        <v>0.65</v>
      </c>
      <c r="L22261">
        <v>66754</v>
      </c>
      <c r="M22261" t="s">
        <v>239</v>
      </c>
      <c r="N22261" t="str">
        <f t="shared" si="416"/>
        <v xml:space="preserve">12345023599 </v>
      </c>
      <c r="O22261">
        <v>231116</v>
      </c>
    </row>
    <row r="22262" spans="1:15" x14ac:dyDescent="0.25">
      <c r="A22262" t="s">
        <v>16</v>
      </c>
      <c r="B22262" t="s">
        <v>3221</v>
      </c>
      <c r="C22262">
        <v>15666</v>
      </c>
      <c r="D22262" t="s">
        <v>263</v>
      </c>
      <c r="E22262" t="s">
        <v>264</v>
      </c>
      <c r="F22262">
        <v>2.7</v>
      </c>
      <c r="G22262">
        <v>231106</v>
      </c>
      <c r="H22262">
        <v>4362</v>
      </c>
      <c r="I22262" t="s">
        <v>79</v>
      </c>
      <c r="J22262">
        <v>3.35</v>
      </c>
      <c r="K22262">
        <v>0.65</v>
      </c>
      <c r="L22262">
        <v>66754</v>
      </c>
      <c r="M22262" t="s">
        <v>239</v>
      </c>
      <c r="N22262" t="str">
        <f t="shared" si="416"/>
        <v xml:space="preserve">12345023599 </v>
      </c>
      <c r="O22262">
        <v>231116</v>
      </c>
    </row>
    <row r="22263" spans="1:15" x14ac:dyDescent="0.25">
      <c r="A22263" t="s">
        <v>16</v>
      </c>
      <c r="B22263" t="s">
        <v>3221</v>
      </c>
      <c r="C22263">
        <v>15666</v>
      </c>
      <c r="D22263" t="s">
        <v>263</v>
      </c>
      <c r="E22263" t="s">
        <v>264</v>
      </c>
      <c r="F22263">
        <v>17.190000000000001</v>
      </c>
      <c r="G22263">
        <v>231106</v>
      </c>
      <c r="H22263">
        <v>4362</v>
      </c>
      <c r="I22263" t="s">
        <v>79</v>
      </c>
      <c r="J22263">
        <v>21.32</v>
      </c>
      <c r="K22263">
        <v>4.13</v>
      </c>
      <c r="L22263">
        <v>66754</v>
      </c>
      <c r="M22263" t="s">
        <v>239</v>
      </c>
      <c r="N22263" t="str">
        <f t="shared" si="416"/>
        <v xml:space="preserve">12345023599 </v>
      </c>
      <c r="O22263">
        <v>231116</v>
      </c>
    </row>
    <row r="22264" spans="1:15" x14ac:dyDescent="0.25">
      <c r="A22264" t="s">
        <v>16</v>
      </c>
      <c r="B22264" t="s">
        <v>3221</v>
      </c>
      <c r="C22264">
        <v>15666</v>
      </c>
      <c r="D22264" t="s">
        <v>263</v>
      </c>
      <c r="E22264" t="s">
        <v>264</v>
      </c>
      <c r="F22264">
        <v>8.31</v>
      </c>
      <c r="G22264">
        <v>231106</v>
      </c>
      <c r="H22264">
        <v>4362</v>
      </c>
      <c r="I22264" t="s">
        <v>79</v>
      </c>
      <c r="J22264">
        <v>10.3</v>
      </c>
      <c r="K22264">
        <v>1.99</v>
      </c>
      <c r="L22264">
        <v>66756</v>
      </c>
      <c r="M22264" t="s">
        <v>209</v>
      </c>
      <c r="N22264" t="str">
        <f t="shared" si="416"/>
        <v xml:space="preserve">12345023599 </v>
      </c>
      <c r="O22264">
        <v>231116</v>
      </c>
    </row>
    <row r="22265" spans="1:15" x14ac:dyDescent="0.25">
      <c r="A22265" t="s">
        <v>16</v>
      </c>
      <c r="B22265" t="s">
        <v>3221</v>
      </c>
      <c r="C22265">
        <v>15666</v>
      </c>
      <c r="D22265" t="s">
        <v>263</v>
      </c>
      <c r="E22265" t="s">
        <v>264</v>
      </c>
      <c r="F22265">
        <v>30.31</v>
      </c>
      <c r="G22265">
        <v>231106</v>
      </c>
      <c r="H22265">
        <v>4362</v>
      </c>
      <c r="I22265" t="s">
        <v>79</v>
      </c>
      <c r="J22265">
        <v>37.58</v>
      </c>
      <c r="K22265">
        <v>7.27</v>
      </c>
      <c r="L22265">
        <v>67522</v>
      </c>
      <c r="M22265" t="s">
        <v>397</v>
      </c>
      <c r="N22265" t="str">
        <f t="shared" si="416"/>
        <v xml:space="preserve">12345023599 </v>
      </c>
      <c r="O22265">
        <v>231116</v>
      </c>
    </row>
    <row r="22266" spans="1:15" x14ac:dyDescent="0.25">
      <c r="A22266" t="s">
        <v>16</v>
      </c>
      <c r="B22266" t="s">
        <v>3221</v>
      </c>
      <c r="C22266">
        <v>15666</v>
      </c>
      <c r="D22266" t="s">
        <v>263</v>
      </c>
      <c r="E22266" t="s">
        <v>264</v>
      </c>
      <c r="F22266">
        <v>14.91</v>
      </c>
      <c r="G22266">
        <v>231106</v>
      </c>
      <c r="H22266">
        <v>4362</v>
      </c>
      <c r="I22266" t="s">
        <v>79</v>
      </c>
      <c r="J22266">
        <v>18.489999999999998</v>
      </c>
      <c r="K22266">
        <v>3.58</v>
      </c>
      <c r="L22266">
        <v>67522</v>
      </c>
      <c r="M22266" t="s">
        <v>397</v>
      </c>
      <c r="N22266" t="str">
        <f t="shared" si="416"/>
        <v xml:space="preserve">12345023599 </v>
      </c>
      <c r="O22266">
        <v>231116</v>
      </c>
    </row>
    <row r="22267" spans="1:15" x14ac:dyDescent="0.25">
      <c r="A22267" t="s">
        <v>16</v>
      </c>
      <c r="B22267" t="s">
        <v>3221</v>
      </c>
      <c r="C22267">
        <v>15666</v>
      </c>
      <c r="D22267" t="s">
        <v>263</v>
      </c>
      <c r="E22267" t="s">
        <v>264</v>
      </c>
      <c r="F22267">
        <v>1.62</v>
      </c>
      <c r="G22267">
        <v>231106</v>
      </c>
      <c r="H22267">
        <v>4362</v>
      </c>
      <c r="I22267" t="s">
        <v>79</v>
      </c>
      <c r="J22267">
        <v>2.0099999999999998</v>
      </c>
      <c r="K22267">
        <v>0.39</v>
      </c>
      <c r="L22267">
        <v>67554</v>
      </c>
      <c r="M22267" t="s">
        <v>60</v>
      </c>
      <c r="N22267" t="str">
        <f t="shared" si="416"/>
        <v xml:space="preserve">12345023599 </v>
      </c>
      <c r="O22267">
        <v>231116</v>
      </c>
    </row>
    <row r="22268" spans="1:15" x14ac:dyDescent="0.25">
      <c r="A22268" t="s">
        <v>16</v>
      </c>
      <c r="B22268" t="s">
        <v>3221</v>
      </c>
      <c r="C22268">
        <v>15666</v>
      </c>
      <c r="D22268" t="s">
        <v>263</v>
      </c>
      <c r="E22268" t="s">
        <v>264</v>
      </c>
      <c r="F22268">
        <v>7.67</v>
      </c>
      <c r="G22268">
        <v>231106</v>
      </c>
      <c r="H22268">
        <v>4362</v>
      </c>
      <c r="I22268" t="s">
        <v>79</v>
      </c>
      <c r="J22268">
        <v>9.51</v>
      </c>
      <c r="K22268">
        <v>1.84</v>
      </c>
      <c r="L22268">
        <v>67554</v>
      </c>
      <c r="M22268" t="s">
        <v>60</v>
      </c>
      <c r="N22268" t="str">
        <f t="shared" si="416"/>
        <v xml:space="preserve">12345023599 </v>
      </c>
      <c r="O22268">
        <v>231116</v>
      </c>
    </row>
    <row r="22269" spans="1:15" x14ac:dyDescent="0.25">
      <c r="A22269" t="s">
        <v>16</v>
      </c>
      <c r="B22269" t="s">
        <v>3221</v>
      </c>
      <c r="C22269">
        <v>15666</v>
      </c>
      <c r="D22269" t="s">
        <v>263</v>
      </c>
      <c r="E22269" t="s">
        <v>264</v>
      </c>
      <c r="F22269">
        <v>51.73</v>
      </c>
      <c r="G22269">
        <v>231106</v>
      </c>
      <c r="H22269">
        <v>4362</v>
      </c>
      <c r="I22269" t="s">
        <v>79</v>
      </c>
      <c r="J22269">
        <v>64.150000000000006</v>
      </c>
      <c r="K22269">
        <v>12.42</v>
      </c>
      <c r="L22269">
        <v>67554</v>
      </c>
      <c r="M22269" t="s">
        <v>60</v>
      </c>
      <c r="N22269" t="str">
        <f t="shared" si="416"/>
        <v xml:space="preserve">12345023599 </v>
      </c>
      <c r="O22269">
        <v>231116</v>
      </c>
    </row>
    <row r="22270" spans="1:15" x14ac:dyDescent="0.25">
      <c r="A22270" t="s">
        <v>16</v>
      </c>
      <c r="B22270" t="s">
        <v>3221</v>
      </c>
      <c r="C22270">
        <v>15666</v>
      </c>
      <c r="D22270" t="s">
        <v>263</v>
      </c>
      <c r="E22270" t="s">
        <v>264</v>
      </c>
      <c r="F22270">
        <v>4.47</v>
      </c>
      <c r="G22270">
        <v>231106</v>
      </c>
      <c r="H22270">
        <v>4362</v>
      </c>
      <c r="I22270" t="s">
        <v>79</v>
      </c>
      <c r="J22270">
        <v>5.54</v>
      </c>
      <c r="K22270">
        <v>1.07</v>
      </c>
      <c r="L22270">
        <v>67554</v>
      </c>
      <c r="M22270" t="s">
        <v>60</v>
      </c>
      <c r="N22270" t="str">
        <f t="shared" si="416"/>
        <v xml:space="preserve">12345023599 </v>
      </c>
      <c r="O22270">
        <v>231116</v>
      </c>
    </row>
    <row r="22271" spans="1:15" x14ac:dyDescent="0.25">
      <c r="A22271" t="s">
        <v>16</v>
      </c>
      <c r="B22271" t="s">
        <v>3221</v>
      </c>
      <c r="C22271">
        <v>15666</v>
      </c>
      <c r="D22271" t="s">
        <v>263</v>
      </c>
      <c r="E22271" t="s">
        <v>264</v>
      </c>
      <c r="F22271">
        <v>8.1</v>
      </c>
      <c r="G22271">
        <v>231106</v>
      </c>
      <c r="H22271">
        <v>4362</v>
      </c>
      <c r="I22271" t="s">
        <v>79</v>
      </c>
      <c r="J22271">
        <v>10.039999999999999</v>
      </c>
      <c r="K22271">
        <v>1.94</v>
      </c>
      <c r="L22271">
        <v>69111</v>
      </c>
      <c r="M22271" t="s">
        <v>471</v>
      </c>
      <c r="N22271" t="str">
        <f t="shared" si="416"/>
        <v xml:space="preserve">12345023599 </v>
      </c>
      <c r="O22271">
        <v>231116</v>
      </c>
    </row>
    <row r="22272" spans="1:15" x14ac:dyDescent="0.25">
      <c r="A22272" t="s">
        <v>16</v>
      </c>
      <c r="B22272" t="s">
        <v>3221</v>
      </c>
      <c r="C22272">
        <v>15666</v>
      </c>
      <c r="D22272" t="s">
        <v>263</v>
      </c>
      <c r="E22272" t="s">
        <v>264</v>
      </c>
      <c r="F22272">
        <v>3.44</v>
      </c>
      <c r="G22272">
        <v>231106</v>
      </c>
      <c r="H22272">
        <v>4362</v>
      </c>
      <c r="I22272" t="s">
        <v>79</v>
      </c>
      <c r="J22272">
        <v>4.2699999999999996</v>
      </c>
      <c r="K22272">
        <v>0.83</v>
      </c>
      <c r="L22272">
        <v>69112</v>
      </c>
      <c r="M22272" t="s">
        <v>313</v>
      </c>
      <c r="N22272" t="str">
        <f t="shared" si="416"/>
        <v xml:space="preserve">12345023599 </v>
      </c>
      <c r="O22272">
        <v>231116</v>
      </c>
    </row>
    <row r="22273" spans="1:15" x14ac:dyDescent="0.25">
      <c r="A22273" t="s">
        <v>16</v>
      </c>
      <c r="B22273" t="s">
        <v>3221</v>
      </c>
      <c r="C22273">
        <v>15666</v>
      </c>
      <c r="D22273" t="s">
        <v>263</v>
      </c>
      <c r="E22273" t="s">
        <v>264</v>
      </c>
      <c r="F22273">
        <v>13.69</v>
      </c>
      <c r="G22273">
        <v>231106</v>
      </c>
      <c r="H22273">
        <v>4362</v>
      </c>
      <c r="I22273" t="s">
        <v>79</v>
      </c>
      <c r="J22273">
        <v>16.98</v>
      </c>
      <c r="K22273">
        <v>3.29</v>
      </c>
      <c r="L22273">
        <v>69113</v>
      </c>
      <c r="M22273" t="s">
        <v>282</v>
      </c>
      <c r="N22273" t="str">
        <f t="shared" si="416"/>
        <v xml:space="preserve">12345023599 </v>
      </c>
      <c r="O22273">
        <v>231116</v>
      </c>
    </row>
    <row r="22274" spans="1:15" x14ac:dyDescent="0.25">
      <c r="A22274" t="s">
        <v>16</v>
      </c>
      <c r="B22274" t="s">
        <v>3221</v>
      </c>
      <c r="C22274">
        <v>15666</v>
      </c>
      <c r="D22274" t="s">
        <v>263</v>
      </c>
      <c r="E22274" t="s">
        <v>264</v>
      </c>
      <c r="F22274">
        <v>30.73</v>
      </c>
      <c r="G22274">
        <v>231106</v>
      </c>
      <c r="H22274">
        <v>4362</v>
      </c>
      <c r="I22274" t="s">
        <v>79</v>
      </c>
      <c r="J22274">
        <v>38.11</v>
      </c>
      <c r="K22274">
        <v>7.38</v>
      </c>
      <c r="L22274">
        <v>69501</v>
      </c>
      <c r="M22274" t="s">
        <v>185</v>
      </c>
      <c r="N22274" t="str">
        <f t="shared" si="416"/>
        <v xml:space="preserve">12345023599 </v>
      </c>
      <c r="O22274">
        <v>231116</v>
      </c>
    </row>
    <row r="22275" spans="1:15" x14ac:dyDescent="0.25">
      <c r="A22275" t="s">
        <v>16</v>
      </c>
      <c r="B22275" t="s">
        <v>3221</v>
      </c>
      <c r="C22275">
        <v>15666</v>
      </c>
      <c r="D22275" t="s">
        <v>263</v>
      </c>
      <c r="E22275" t="s">
        <v>264</v>
      </c>
      <c r="F22275">
        <v>4.05</v>
      </c>
      <c r="G22275">
        <v>231106</v>
      </c>
      <c r="H22275">
        <v>4362</v>
      </c>
      <c r="I22275" t="s">
        <v>79</v>
      </c>
      <c r="J22275">
        <v>5.0199999999999996</v>
      </c>
      <c r="K22275">
        <v>0.97</v>
      </c>
      <c r="L22275">
        <v>69701</v>
      </c>
      <c r="M22275" t="s">
        <v>488</v>
      </c>
      <c r="N22275" t="str">
        <f t="shared" si="416"/>
        <v xml:space="preserve">12345023599 </v>
      </c>
      <c r="O22275">
        <v>231116</v>
      </c>
    </row>
    <row r="22276" spans="1:15" x14ac:dyDescent="0.25">
      <c r="A22276" t="s">
        <v>16</v>
      </c>
      <c r="B22276" t="s">
        <v>3221</v>
      </c>
      <c r="C22276">
        <v>15666</v>
      </c>
      <c r="D22276" t="s">
        <v>263</v>
      </c>
      <c r="E22276" t="s">
        <v>264</v>
      </c>
      <c r="F22276">
        <v>2.7</v>
      </c>
      <c r="G22276">
        <v>231106</v>
      </c>
      <c r="H22276">
        <v>4362</v>
      </c>
      <c r="I22276" t="s">
        <v>79</v>
      </c>
      <c r="J22276">
        <v>3.35</v>
      </c>
      <c r="K22276">
        <v>0.65</v>
      </c>
      <c r="L22276">
        <v>69702</v>
      </c>
      <c r="M22276" t="s">
        <v>489</v>
      </c>
      <c r="N22276" t="str">
        <f t="shared" si="416"/>
        <v xml:space="preserve">12345023599 </v>
      </c>
      <c r="O22276">
        <v>231116</v>
      </c>
    </row>
    <row r="22277" spans="1:15" x14ac:dyDescent="0.25">
      <c r="A22277" t="s">
        <v>16</v>
      </c>
      <c r="B22277" t="s">
        <v>3221</v>
      </c>
      <c r="C22277">
        <v>15666</v>
      </c>
      <c r="D22277" t="s">
        <v>263</v>
      </c>
      <c r="E22277" t="s">
        <v>264</v>
      </c>
      <c r="F22277">
        <v>4.05</v>
      </c>
      <c r="G22277">
        <v>231106</v>
      </c>
      <c r="H22277">
        <v>4362</v>
      </c>
      <c r="I22277" t="s">
        <v>79</v>
      </c>
      <c r="J22277">
        <v>5.0199999999999996</v>
      </c>
      <c r="K22277">
        <v>0.97</v>
      </c>
      <c r="L22277">
        <v>69703</v>
      </c>
      <c r="M22277" t="s">
        <v>1036</v>
      </c>
      <c r="N22277" t="str">
        <f t="shared" si="416"/>
        <v xml:space="preserve">12345023599 </v>
      </c>
      <c r="O22277">
        <v>231116</v>
      </c>
    </row>
    <row r="22278" spans="1:15" x14ac:dyDescent="0.25">
      <c r="A22278" t="s">
        <v>16</v>
      </c>
      <c r="B22278" t="s">
        <v>3221</v>
      </c>
      <c r="C22278">
        <v>15666</v>
      </c>
      <c r="D22278" t="s">
        <v>263</v>
      </c>
      <c r="E22278" t="s">
        <v>264</v>
      </c>
      <c r="F22278">
        <v>5.25</v>
      </c>
      <c r="G22278">
        <v>231106</v>
      </c>
      <c r="H22278">
        <v>4362</v>
      </c>
      <c r="I22278" t="s">
        <v>79</v>
      </c>
      <c r="J22278">
        <v>6.51</v>
      </c>
      <c r="K22278">
        <v>1.26</v>
      </c>
      <c r="L22278">
        <v>69704</v>
      </c>
      <c r="M22278" t="s">
        <v>325</v>
      </c>
      <c r="N22278" t="str">
        <f t="shared" si="416"/>
        <v xml:space="preserve">12345023599 </v>
      </c>
      <c r="O22278">
        <v>231116</v>
      </c>
    </row>
    <row r="22279" spans="1:15" x14ac:dyDescent="0.25">
      <c r="A22279" t="s">
        <v>16</v>
      </c>
      <c r="B22279" t="s">
        <v>3221</v>
      </c>
      <c r="C22279">
        <v>15666</v>
      </c>
      <c r="D22279" t="s">
        <v>263</v>
      </c>
      <c r="E22279" t="s">
        <v>264</v>
      </c>
      <c r="F22279">
        <v>5.25</v>
      </c>
      <c r="G22279">
        <v>231106</v>
      </c>
      <c r="H22279">
        <v>4362</v>
      </c>
      <c r="I22279" t="s">
        <v>79</v>
      </c>
      <c r="J22279">
        <v>6.51</v>
      </c>
      <c r="K22279">
        <v>1.26</v>
      </c>
      <c r="L22279">
        <v>69704</v>
      </c>
      <c r="M22279" t="s">
        <v>325</v>
      </c>
      <c r="N22279" t="str">
        <f t="shared" si="416"/>
        <v xml:space="preserve">12345023599 </v>
      </c>
      <c r="O22279">
        <v>231116</v>
      </c>
    </row>
    <row r="22280" spans="1:15" x14ac:dyDescent="0.25">
      <c r="A22280" t="s">
        <v>16</v>
      </c>
      <c r="B22280" t="s">
        <v>3221</v>
      </c>
      <c r="C22280">
        <v>15666</v>
      </c>
      <c r="D22280" t="s">
        <v>263</v>
      </c>
      <c r="E22280" t="s">
        <v>264</v>
      </c>
      <c r="F22280">
        <v>8.1</v>
      </c>
      <c r="G22280">
        <v>231106</v>
      </c>
      <c r="H22280">
        <v>4362</v>
      </c>
      <c r="I22280" t="s">
        <v>79</v>
      </c>
      <c r="J22280">
        <v>10.039999999999999</v>
      </c>
      <c r="K22280">
        <v>1.94</v>
      </c>
      <c r="L22280">
        <v>69707</v>
      </c>
      <c r="M22280" t="s">
        <v>490</v>
      </c>
      <c r="N22280" t="str">
        <f t="shared" si="416"/>
        <v xml:space="preserve">12345023599 </v>
      </c>
      <c r="O22280">
        <v>231116</v>
      </c>
    </row>
    <row r="22281" spans="1:15" x14ac:dyDescent="0.25">
      <c r="A22281" t="s">
        <v>16</v>
      </c>
      <c r="B22281" t="s">
        <v>3221</v>
      </c>
      <c r="C22281">
        <v>15666</v>
      </c>
      <c r="D22281" t="s">
        <v>263</v>
      </c>
      <c r="E22281" t="s">
        <v>264</v>
      </c>
      <c r="F22281">
        <v>8.1</v>
      </c>
      <c r="G22281">
        <v>231106</v>
      </c>
      <c r="H22281">
        <v>4362</v>
      </c>
      <c r="I22281" t="s">
        <v>79</v>
      </c>
      <c r="J22281">
        <v>10.039999999999999</v>
      </c>
      <c r="K22281">
        <v>1.94</v>
      </c>
      <c r="L22281">
        <v>69708</v>
      </c>
      <c r="M22281" t="s">
        <v>491</v>
      </c>
      <c r="N22281" t="str">
        <f t="shared" si="416"/>
        <v xml:space="preserve">12345023599 </v>
      </c>
      <c r="O22281">
        <v>231116</v>
      </c>
    </row>
    <row r="22282" spans="1:15" x14ac:dyDescent="0.25">
      <c r="A22282" t="s">
        <v>16</v>
      </c>
      <c r="B22282" t="s">
        <v>3221</v>
      </c>
      <c r="C22282">
        <v>15701</v>
      </c>
      <c r="D22282" t="s">
        <v>263</v>
      </c>
      <c r="E22282" t="s">
        <v>264</v>
      </c>
      <c r="F22282">
        <v>2.7</v>
      </c>
      <c r="G22282">
        <v>231106</v>
      </c>
      <c r="H22282">
        <v>4362</v>
      </c>
      <c r="I22282" t="s">
        <v>79</v>
      </c>
      <c r="J22282">
        <v>3.35</v>
      </c>
      <c r="K22282">
        <v>0.65</v>
      </c>
      <c r="L22282">
        <v>54451</v>
      </c>
      <c r="M22282" t="s">
        <v>158</v>
      </c>
      <c r="N22282" t="str">
        <f t="shared" ref="N22282:N22296" si="417">"12345023596 "</f>
        <v xml:space="preserve">12345023596 </v>
      </c>
      <c r="O22282">
        <v>231116</v>
      </c>
    </row>
    <row r="22283" spans="1:15" x14ac:dyDescent="0.25">
      <c r="A22283" t="s">
        <v>16</v>
      </c>
      <c r="B22283" t="s">
        <v>3221</v>
      </c>
      <c r="C22283">
        <v>15701</v>
      </c>
      <c r="D22283" t="s">
        <v>263</v>
      </c>
      <c r="E22283" t="s">
        <v>264</v>
      </c>
      <c r="F22283">
        <v>18.600000000000001</v>
      </c>
      <c r="G22283">
        <v>231106</v>
      </c>
      <c r="H22283">
        <v>4362</v>
      </c>
      <c r="I22283" t="s">
        <v>79</v>
      </c>
      <c r="J22283">
        <v>23.06</v>
      </c>
      <c r="K22283">
        <v>4.46</v>
      </c>
      <c r="L22283">
        <v>59111</v>
      </c>
      <c r="M22283" t="s">
        <v>1010</v>
      </c>
      <c r="N22283" t="str">
        <f t="shared" si="417"/>
        <v xml:space="preserve">12345023596 </v>
      </c>
      <c r="O22283">
        <v>231116</v>
      </c>
    </row>
    <row r="22284" spans="1:15" x14ac:dyDescent="0.25">
      <c r="A22284" t="s">
        <v>16</v>
      </c>
      <c r="B22284" t="s">
        <v>3221</v>
      </c>
      <c r="C22284">
        <v>15701</v>
      </c>
      <c r="D22284" t="s">
        <v>263</v>
      </c>
      <c r="E22284" t="s">
        <v>264</v>
      </c>
      <c r="F22284">
        <v>8.3699999999999992</v>
      </c>
      <c r="G22284">
        <v>231106</v>
      </c>
      <c r="H22284">
        <v>4362</v>
      </c>
      <c r="I22284" t="s">
        <v>79</v>
      </c>
      <c r="J22284">
        <v>10.38</v>
      </c>
      <c r="K22284">
        <v>2.0099999999999998</v>
      </c>
      <c r="L22284">
        <v>59113</v>
      </c>
      <c r="M22284" t="s">
        <v>235</v>
      </c>
      <c r="N22284" t="str">
        <f t="shared" si="417"/>
        <v xml:space="preserve">12345023596 </v>
      </c>
      <c r="O22284">
        <v>231116</v>
      </c>
    </row>
    <row r="22285" spans="1:15" x14ac:dyDescent="0.25">
      <c r="A22285" t="s">
        <v>16</v>
      </c>
      <c r="B22285" t="s">
        <v>3221</v>
      </c>
      <c r="C22285">
        <v>15701</v>
      </c>
      <c r="D22285" t="s">
        <v>263</v>
      </c>
      <c r="E22285" t="s">
        <v>264</v>
      </c>
      <c r="F22285">
        <v>8.77</v>
      </c>
      <c r="G22285">
        <v>231106</v>
      </c>
      <c r="H22285">
        <v>4362</v>
      </c>
      <c r="I22285" t="s">
        <v>79</v>
      </c>
      <c r="J22285">
        <v>10.87</v>
      </c>
      <c r="K22285">
        <v>2.1</v>
      </c>
      <c r="L22285">
        <v>59114</v>
      </c>
      <c r="M22285" t="s">
        <v>556</v>
      </c>
      <c r="N22285" t="str">
        <f t="shared" si="417"/>
        <v xml:space="preserve">12345023596 </v>
      </c>
      <c r="O22285">
        <v>231116</v>
      </c>
    </row>
    <row r="22286" spans="1:15" x14ac:dyDescent="0.25">
      <c r="A22286" t="s">
        <v>16</v>
      </c>
      <c r="B22286" t="s">
        <v>3221</v>
      </c>
      <c r="C22286">
        <v>15701</v>
      </c>
      <c r="D22286" t="s">
        <v>263</v>
      </c>
      <c r="E22286" t="s">
        <v>264</v>
      </c>
      <c r="F22286">
        <v>47.53</v>
      </c>
      <c r="G22286">
        <v>231106</v>
      </c>
      <c r="H22286">
        <v>4362</v>
      </c>
      <c r="I22286" t="s">
        <v>79</v>
      </c>
      <c r="J22286">
        <v>58.94</v>
      </c>
      <c r="K22286">
        <v>11.41</v>
      </c>
      <c r="L22286">
        <v>59501</v>
      </c>
      <c r="M22286" t="s">
        <v>69</v>
      </c>
      <c r="N22286" t="str">
        <f t="shared" si="417"/>
        <v xml:space="preserve">12345023596 </v>
      </c>
      <c r="O22286">
        <v>231116</v>
      </c>
    </row>
    <row r="22287" spans="1:15" x14ac:dyDescent="0.25">
      <c r="A22287" t="s">
        <v>16</v>
      </c>
      <c r="B22287" t="s">
        <v>3221</v>
      </c>
      <c r="C22287">
        <v>15701</v>
      </c>
      <c r="D22287" t="s">
        <v>263</v>
      </c>
      <c r="E22287" t="s">
        <v>264</v>
      </c>
      <c r="F22287">
        <v>31.89</v>
      </c>
      <c r="G22287">
        <v>231106</v>
      </c>
      <c r="H22287">
        <v>4362</v>
      </c>
      <c r="I22287" t="s">
        <v>79</v>
      </c>
      <c r="J22287">
        <v>39.54</v>
      </c>
      <c r="K22287">
        <v>7.65</v>
      </c>
      <c r="L22287">
        <v>59502</v>
      </c>
      <c r="M22287" t="s">
        <v>70</v>
      </c>
      <c r="N22287" t="str">
        <f t="shared" si="417"/>
        <v xml:space="preserve">12345023596 </v>
      </c>
      <c r="O22287">
        <v>231116</v>
      </c>
    </row>
    <row r="22288" spans="1:15" x14ac:dyDescent="0.25">
      <c r="A22288" t="s">
        <v>16</v>
      </c>
      <c r="B22288" t="s">
        <v>3221</v>
      </c>
      <c r="C22288">
        <v>15701</v>
      </c>
      <c r="D22288" t="s">
        <v>263</v>
      </c>
      <c r="E22288" t="s">
        <v>264</v>
      </c>
      <c r="F22288">
        <v>8.33</v>
      </c>
      <c r="G22288">
        <v>231106</v>
      </c>
      <c r="H22288">
        <v>4362</v>
      </c>
      <c r="I22288" t="s">
        <v>79</v>
      </c>
      <c r="J22288">
        <v>10.33</v>
      </c>
      <c r="K22288">
        <v>2</v>
      </c>
      <c r="L22288">
        <v>59504</v>
      </c>
      <c r="M22288" t="s">
        <v>71</v>
      </c>
      <c r="N22288" t="str">
        <f t="shared" si="417"/>
        <v xml:space="preserve">12345023596 </v>
      </c>
      <c r="O22288">
        <v>231116</v>
      </c>
    </row>
    <row r="22289" spans="1:15" x14ac:dyDescent="0.25">
      <c r="A22289" t="s">
        <v>16</v>
      </c>
      <c r="B22289" t="s">
        <v>3221</v>
      </c>
      <c r="C22289">
        <v>15701</v>
      </c>
      <c r="D22289" t="s">
        <v>263</v>
      </c>
      <c r="E22289" t="s">
        <v>264</v>
      </c>
      <c r="F22289">
        <v>5.4</v>
      </c>
      <c r="G22289">
        <v>231106</v>
      </c>
      <c r="H22289">
        <v>4362</v>
      </c>
      <c r="I22289" t="s">
        <v>79</v>
      </c>
      <c r="J22289">
        <v>6.7</v>
      </c>
      <c r="K22289">
        <v>1.3</v>
      </c>
      <c r="L22289">
        <v>59505</v>
      </c>
      <c r="M22289" t="s">
        <v>72</v>
      </c>
      <c r="N22289" t="str">
        <f t="shared" si="417"/>
        <v xml:space="preserve">12345023596 </v>
      </c>
      <c r="O22289">
        <v>231116</v>
      </c>
    </row>
    <row r="22290" spans="1:15" x14ac:dyDescent="0.25">
      <c r="A22290" t="s">
        <v>16</v>
      </c>
      <c r="B22290" t="s">
        <v>3221</v>
      </c>
      <c r="C22290">
        <v>15701</v>
      </c>
      <c r="D22290" t="s">
        <v>263</v>
      </c>
      <c r="E22290" t="s">
        <v>264</v>
      </c>
      <c r="F22290">
        <v>11.88</v>
      </c>
      <c r="G22290">
        <v>231106</v>
      </c>
      <c r="H22290">
        <v>4362</v>
      </c>
      <c r="I22290" t="s">
        <v>79</v>
      </c>
      <c r="J22290">
        <v>14.73</v>
      </c>
      <c r="K22290">
        <v>2.85</v>
      </c>
      <c r="L22290">
        <v>59701</v>
      </c>
      <c r="M22290" t="s">
        <v>297</v>
      </c>
      <c r="N22290" t="str">
        <f t="shared" si="417"/>
        <v xml:space="preserve">12345023596 </v>
      </c>
      <c r="O22290">
        <v>231116</v>
      </c>
    </row>
    <row r="22291" spans="1:15" x14ac:dyDescent="0.25">
      <c r="A22291" t="s">
        <v>16</v>
      </c>
      <c r="B22291" t="s">
        <v>3221</v>
      </c>
      <c r="C22291">
        <v>15701</v>
      </c>
      <c r="D22291" t="s">
        <v>263</v>
      </c>
      <c r="E22291" t="s">
        <v>264</v>
      </c>
      <c r="F22291">
        <v>2.7</v>
      </c>
      <c r="G22291">
        <v>231106</v>
      </c>
      <c r="H22291">
        <v>4362</v>
      </c>
      <c r="I22291" t="s">
        <v>79</v>
      </c>
      <c r="J22291">
        <v>3.35</v>
      </c>
      <c r="K22291">
        <v>0.65</v>
      </c>
      <c r="L22291">
        <v>59702</v>
      </c>
      <c r="M22291" t="s">
        <v>328</v>
      </c>
      <c r="N22291" t="str">
        <f t="shared" si="417"/>
        <v xml:space="preserve">12345023596 </v>
      </c>
      <c r="O22291">
        <v>231116</v>
      </c>
    </row>
    <row r="22292" spans="1:15" x14ac:dyDescent="0.25">
      <c r="A22292" t="s">
        <v>16</v>
      </c>
      <c r="B22292" t="s">
        <v>3221</v>
      </c>
      <c r="C22292">
        <v>15701</v>
      </c>
      <c r="D22292" t="s">
        <v>263</v>
      </c>
      <c r="E22292" t="s">
        <v>264</v>
      </c>
      <c r="F22292">
        <v>5.25</v>
      </c>
      <c r="G22292">
        <v>231106</v>
      </c>
      <c r="H22292">
        <v>4362</v>
      </c>
      <c r="I22292" t="s">
        <v>79</v>
      </c>
      <c r="J22292">
        <v>6.51</v>
      </c>
      <c r="K22292">
        <v>1.26</v>
      </c>
      <c r="L22292">
        <v>59704</v>
      </c>
      <c r="M22292" t="s">
        <v>1103</v>
      </c>
      <c r="N22292" t="str">
        <f t="shared" si="417"/>
        <v xml:space="preserve">12345023596 </v>
      </c>
      <c r="O22292">
        <v>231116</v>
      </c>
    </row>
    <row r="22293" spans="1:15" x14ac:dyDescent="0.25">
      <c r="A22293" t="s">
        <v>16</v>
      </c>
      <c r="B22293" t="s">
        <v>3221</v>
      </c>
      <c r="C22293">
        <v>15701</v>
      </c>
      <c r="D22293" t="s">
        <v>263</v>
      </c>
      <c r="E22293" t="s">
        <v>264</v>
      </c>
      <c r="F22293">
        <v>5.4</v>
      </c>
      <c r="G22293">
        <v>231106</v>
      </c>
      <c r="H22293">
        <v>4362</v>
      </c>
      <c r="I22293" t="s">
        <v>79</v>
      </c>
      <c r="J22293">
        <v>6.7</v>
      </c>
      <c r="K22293">
        <v>1.3</v>
      </c>
      <c r="L22293">
        <v>59705</v>
      </c>
      <c r="M22293" t="s">
        <v>843</v>
      </c>
      <c r="N22293" t="str">
        <f t="shared" si="417"/>
        <v xml:space="preserve">12345023596 </v>
      </c>
      <c r="O22293">
        <v>231116</v>
      </c>
    </row>
    <row r="22294" spans="1:15" x14ac:dyDescent="0.25">
      <c r="A22294" t="s">
        <v>16</v>
      </c>
      <c r="B22294" t="s">
        <v>3221</v>
      </c>
      <c r="C22294">
        <v>15701</v>
      </c>
      <c r="D22294" t="s">
        <v>263</v>
      </c>
      <c r="E22294" t="s">
        <v>264</v>
      </c>
      <c r="F22294">
        <v>15.9</v>
      </c>
      <c r="G22294">
        <v>231106</v>
      </c>
      <c r="H22294">
        <v>4362</v>
      </c>
      <c r="I22294" t="s">
        <v>79</v>
      </c>
      <c r="J22294">
        <v>19.72</v>
      </c>
      <c r="K22294">
        <v>3.82</v>
      </c>
      <c r="L22294">
        <v>59802</v>
      </c>
      <c r="M22294" t="s">
        <v>73</v>
      </c>
      <c r="N22294" t="str">
        <f t="shared" si="417"/>
        <v xml:space="preserve">12345023596 </v>
      </c>
      <c r="O22294">
        <v>231116</v>
      </c>
    </row>
    <row r="22295" spans="1:15" x14ac:dyDescent="0.25">
      <c r="A22295" t="s">
        <v>16</v>
      </c>
      <c r="B22295" t="s">
        <v>3221</v>
      </c>
      <c r="C22295">
        <v>15701</v>
      </c>
      <c r="D22295" t="s">
        <v>263</v>
      </c>
      <c r="E22295" t="s">
        <v>264</v>
      </c>
      <c r="F22295">
        <v>11.76</v>
      </c>
      <c r="G22295">
        <v>231106</v>
      </c>
      <c r="H22295">
        <v>4362</v>
      </c>
      <c r="I22295" t="s">
        <v>79</v>
      </c>
      <c r="J22295">
        <v>14.58</v>
      </c>
      <c r="K22295">
        <v>2.82</v>
      </c>
      <c r="L22295">
        <v>59812</v>
      </c>
      <c r="M22295" t="s">
        <v>74</v>
      </c>
      <c r="N22295" t="str">
        <f t="shared" si="417"/>
        <v xml:space="preserve">12345023596 </v>
      </c>
      <c r="O22295">
        <v>231116</v>
      </c>
    </row>
    <row r="22296" spans="1:15" x14ac:dyDescent="0.25">
      <c r="A22296" t="s">
        <v>16</v>
      </c>
      <c r="B22296" t="s">
        <v>3221</v>
      </c>
      <c r="C22296">
        <v>15701</v>
      </c>
      <c r="D22296" t="s">
        <v>263</v>
      </c>
      <c r="E22296" t="s">
        <v>264</v>
      </c>
      <c r="F22296">
        <v>6.65</v>
      </c>
      <c r="G22296">
        <v>231106</v>
      </c>
      <c r="H22296">
        <v>4362</v>
      </c>
      <c r="I22296" t="s">
        <v>79</v>
      </c>
      <c r="J22296">
        <v>8.25</v>
      </c>
      <c r="K22296">
        <v>1.6</v>
      </c>
      <c r="L22296">
        <v>59815</v>
      </c>
      <c r="M22296" t="s">
        <v>1182</v>
      </c>
      <c r="N22296" t="str">
        <f t="shared" si="417"/>
        <v xml:space="preserve">12345023596 </v>
      </c>
      <c r="O22296">
        <v>231116</v>
      </c>
    </row>
    <row r="22297" spans="1:15" x14ac:dyDescent="0.25">
      <c r="A22297" t="s">
        <v>16</v>
      </c>
      <c r="B22297" t="s">
        <v>3221</v>
      </c>
      <c r="C22297">
        <v>15702</v>
      </c>
      <c r="D22297" t="s">
        <v>263</v>
      </c>
      <c r="E22297" t="s">
        <v>264</v>
      </c>
      <c r="F22297">
        <v>3.9</v>
      </c>
      <c r="G22297">
        <v>231106</v>
      </c>
      <c r="H22297">
        <v>4362</v>
      </c>
      <c r="I22297" t="s">
        <v>79</v>
      </c>
      <c r="J22297">
        <v>4.84</v>
      </c>
      <c r="K22297">
        <v>0.94</v>
      </c>
      <c r="L22297">
        <v>14972</v>
      </c>
      <c r="M22297" t="s">
        <v>898</v>
      </c>
      <c r="N22297" t="str">
        <f t="shared" ref="N22297:N22304" si="418">"12345023595 "</f>
        <v xml:space="preserve">12345023595 </v>
      </c>
      <c r="O22297">
        <v>231116</v>
      </c>
    </row>
    <row r="22298" spans="1:15" x14ac:dyDescent="0.25">
      <c r="A22298" t="s">
        <v>16</v>
      </c>
      <c r="B22298" t="s">
        <v>3221</v>
      </c>
      <c r="C22298">
        <v>15702</v>
      </c>
      <c r="D22298" t="s">
        <v>263</v>
      </c>
      <c r="E22298" t="s">
        <v>264</v>
      </c>
      <c r="F22298">
        <v>5.25</v>
      </c>
      <c r="G22298">
        <v>231106</v>
      </c>
      <c r="H22298">
        <v>4362</v>
      </c>
      <c r="I22298" t="s">
        <v>79</v>
      </c>
      <c r="J22298">
        <v>6.51</v>
      </c>
      <c r="K22298">
        <v>1.26</v>
      </c>
      <c r="L22298">
        <v>17972</v>
      </c>
      <c r="M22298" t="s">
        <v>248</v>
      </c>
      <c r="N22298" t="str">
        <f t="shared" si="418"/>
        <v xml:space="preserve">12345023595 </v>
      </c>
      <c r="O22298">
        <v>231116</v>
      </c>
    </row>
    <row r="22299" spans="1:15" x14ac:dyDescent="0.25">
      <c r="A22299" t="s">
        <v>16</v>
      </c>
      <c r="B22299" t="s">
        <v>3221</v>
      </c>
      <c r="C22299">
        <v>15702</v>
      </c>
      <c r="D22299" t="s">
        <v>263</v>
      </c>
      <c r="E22299" t="s">
        <v>264</v>
      </c>
      <c r="F22299">
        <v>19.28</v>
      </c>
      <c r="G22299">
        <v>231106</v>
      </c>
      <c r="H22299">
        <v>4362</v>
      </c>
      <c r="I22299" t="s">
        <v>79</v>
      </c>
      <c r="J22299">
        <v>23.91</v>
      </c>
      <c r="K22299">
        <v>4.63</v>
      </c>
      <c r="L22299">
        <v>18010</v>
      </c>
      <c r="M22299" t="s">
        <v>1344</v>
      </c>
      <c r="N22299" t="str">
        <f t="shared" si="418"/>
        <v xml:space="preserve">12345023595 </v>
      </c>
      <c r="O22299">
        <v>231116</v>
      </c>
    </row>
    <row r="22300" spans="1:15" x14ac:dyDescent="0.25">
      <c r="A22300" t="s">
        <v>16</v>
      </c>
      <c r="B22300" t="s">
        <v>3221</v>
      </c>
      <c r="C22300">
        <v>15702</v>
      </c>
      <c r="D22300" t="s">
        <v>263</v>
      </c>
      <c r="E22300" t="s">
        <v>264</v>
      </c>
      <c r="F22300">
        <v>2.69</v>
      </c>
      <c r="G22300">
        <v>231106</v>
      </c>
      <c r="H22300">
        <v>4362</v>
      </c>
      <c r="I22300" t="s">
        <v>79</v>
      </c>
      <c r="J22300">
        <v>3.34</v>
      </c>
      <c r="K22300">
        <v>0.65</v>
      </c>
      <c r="L22300">
        <v>18120</v>
      </c>
      <c r="M22300" t="s">
        <v>329</v>
      </c>
      <c r="N22300" t="str">
        <f t="shared" si="418"/>
        <v xml:space="preserve">12345023595 </v>
      </c>
      <c r="O22300">
        <v>231116</v>
      </c>
    </row>
    <row r="22301" spans="1:15" x14ac:dyDescent="0.25">
      <c r="A22301" t="s">
        <v>16</v>
      </c>
      <c r="B22301" t="s">
        <v>3221</v>
      </c>
      <c r="C22301">
        <v>15702</v>
      </c>
      <c r="D22301" t="s">
        <v>263</v>
      </c>
      <c r="E22301" t="s">
        <v>264</v>
      </c>
      <c r="F22301">
        <v>5.0999999999999996</v>
      </c>
      <c r="G22301">
        <v>231106</v>
      </c>
      <c r="H22301">
        <v>4362</v>
      </c>
      <c r="I22301" t="s">
        <v>79</v>
      </c>
      <c r="J22301">
        <v>6.32</v>
      </c>
      <c r="K22301">
        <v>1.22</v>
      </c>
      <c r="L22301">
        <v>18971</v>
      </c>
      <c r="M22301" t="s">
        <v>63</v>
      </c>
      <c r="N22301" t="str">
        <f t="shared" si="418"/>
        <v xml:space="preserve">12345023595 </v>
      </c>
      <c r="O22301">
        <v>231116</v>
      </c>
    </row>
    <row r="22302" spans="1:15" x14ac:dyDescent="0.25">
      <c r="A22302" t="s">
        <v>16</v>
      </c>
      <c r="B22302" t="s">
        <v>3221</v>
      </c>
      <c r="C22302">
        <v>15702</v>
      </c>
      <c r="D22302" t="s">
        <v>263</v>
      </c>
      <c r="E22302" t="s">
        <v>264</v>
      </c>
      <c r="F22302">
        <v>36.380000000000003</v>
      </c>
      <c r="G22302">
        <v>231106</v>
      </c>
      <c r="H22302">
        <v>4362</v>
      </c>
      <c r="I22302" t="s">
        <v>79</v>
      </c>
      <c r="J22302">
        <v>45.11</v>
      </c>
      <c r="K22302">
        <v>8.73</v>
      </c>
      <c r="L22302">
        <v>18972</v>
      </c>
      <c r="M22302" t="s">
        <v>163</v>
      </c>
      <c r="N22302" t="str">
        <f t="shared" si="418"/>
        <v xml:space="preserve">12345023595 </v>
      </c>
      <c r="O22302">
        <v>231116</v>
      </c>
    </row>
    <row r="22303" spans="1:15" x14ac:dyDescent="0.25">
      <c r="A22303" t="s">
        <v>16</v>
      </c>
      <c r="B22303" t="s">
        <v>3221</v>
      </c>
      <c r="C22303">
        <v>15702</v>
      </c>
      <c r="D22303" t="s">
        <v>263</v>
      </c>
      <c r="E22303" t="s">
        <v>264</v>
      </c>
      <c r="F22303">
        <v>2.7</v>
      </c>
      <c r="G22303">
        <v>231106</v>
      </c>
      <c r="H22303">
        <v>4362</v>
      </c>
      <c r="I22303" t="s">
        <v>79</v>
      </c>
      <c r="J22303">
        <v>3.35</v>
      </c>
      <c r="K22303">
        <v>0.65</v>
      </c>
      <c r="L22303">
        <v>49702</v>
      </c>
      <c r="M22303" t="s">
        <v>584</v>
      </c>
      <c r="N22303" t="str">
        <f t="shared" si="418"/>
        <v xml:space="preserve">12345023595 </v>
      </c>
      <c r="O22303">
        <v>231116</v>
      </c>
    </row>
    <row r="22304" spans="1:15" x14ac:dyDescent="0.25">
      <c r="A22304" t="s">
        <v>16</v>
      </c>
      <c r="B22304" t="s">
        <v>3221</v>
      </c>
      <c r="C22304">
        <v>15702</v>
      </c>
      <c r="D22304" t="s">
        <v>263</v>
      </c>
      <c r="E22304" t="s">
        <v>264</v>
      </c>
      <c r="F22304">
        <v>9.0399999999999991</v>
      </c>
      <c r="G22304">
        <v>231106</v>
      </c>
      <c r="H22304">
        <v>4362</v>
      </c>
      <c r="I22304" t="s">
        <v>79</v>
      </c>
      <c r="J22304">
        <v>11.21</v>
      </c>
      <c r="K22304">
        <v>2.17</v>
      </c>
      <c r="L22304">
        <v>59702</v>
      </c>
      <c r="M22304" t="s">
        <v>328</v>
      </c>
      <c r="N22304" t="str">
        <f t="shared" si="418"/>
        <v xml:space="preserve">12345023595 </v>
      </c>
      <c r="O22304">
        <v>231116</v>
      </c>
    </row>
    <row r="22305" spans="1:15" x14ac:dyDescent="0.25">
      <c r="A22305" t="s">
        <v>16</v>
      </c>
      <c r="B22305" t="s">
        <v>3221</v>
      </c>
      <c r="C22305">
        <v>15703</v>
      </c>
      <c r="D22305" t="s">
        <v>263</v>
      </c>
      <c r="E22305" t="s">
        <v>264</v>
      </c>
      <c r="F22305">
        <v>3.35</v>
      </c>
      <c r="G22305">
        <v>231106</v>
      </c>
      <c r="H22305">
        <v>4362</v>
      </c>
      <c r="I22305" t="s">
        <v>79</v>
      </c>
      <c r="J22305">
        <v>3.35</v>
      </c>
      <c r="K22305">
        <v>0</v>
      </c>
      <c r="L22305">
        <v>59702</v>
      </c>
      <c r="M22305" t="s">
        <v>328</v>
      </c>
      <c r="N22305" t="str">
        <f>"12345023598 "</f>
        <v xml:space="preserve">12345023598 </v>
      </c>
      <c r="O22305">
        <v>231116</v>
      </c>
    </row>
    <row r="22306" spans="1:15" x14ac:dyDescent="0.25">
      <c r="A22306" t="s">
        <v>16</v>
      </c>
      <c r="B22306" t="s">
        <v>3221</v>
      </c>
      <c r="C22306">
        <v>15703</v>
      </c>
      <c r="D22306" t="s">
        <v>263</v>
      </c>
      <c r="E22306" t="s">
        <v>264</v>
      </c>
      <c r="F22306">
        <v>22.88</v>
      </c>
      <c r="G22306">
        <v>231106</v>
      </c>
      <c r="H22306">
        <v>4362</v>
      </c>
      <c r="I22306" t="s">
        <v>79</v>
      </c>
      <c r="J22306">
        <v>28.37</v>
      </c>
      <c r="K22306">
        <v>5.49</v>
      </c>
      <c r="L22306">
        <v>59702</v>
      </c>
      <c r="M22306" t="s">
        <v>328</v>
      </c>
      <c r="N22306" t="str">
        <f>"12345023598 "</f>
        <v xml:space="preserve">12345023598 </v>
      </c>
      <c r="O22306">
        <v>231116</v>
      </c>
    </row>
    <row r="22307" spans="1:15" x14ac:dyDescent="0.25">
      <c r="A22307" t="s">
        <v>16</v>
      </c>
      <c r="B22307" t="s">
        <v>3221</v>
      </c>
      <c r="C22307">
        <v>15703</v>
      </c>
      <c r="D22307" t="s">
        <v>263</v>
      </c>
      <c r="E22307" t="s">
        <v>264</v>
      </c>
      <c r="F22307">
        <v>7.95</v>
      </c>
      <c r="G22307">
        <v>231106</v>
      </c>
      <c r="H22307">
        <v>4362</v>
      </c>
      <c r="I22307" t="s">
        <v>79</v>
      </c>
      <c r="J22307">
        <v>9.86</v>
      </c>
      <c r="K22307">
        <v>1.91</v>
      </c>
      <c r="L22307">
        <v>59704</v>
      </c>
      <c r="M22307" t="s">
        <v>1103</v>
      </c>
      <c r="N22307" t="str">
        <f>"12345023598 "</f>
        <v xml:space="preserve">12345023598 </v>
      </c>
      <c r="O22307">
        <v>231116</v>
      </c>
    </row>
    <row r="22308" spans="1:15" x14ac:dyDescent="0.25">
      <c r="A22308" t="s">
        <v>16</v>
      </c>
      <c r="B22308" t="s">
        <v>3221</v>
      </c>
      <c r="C22308">
        <v>15738</v>
      </c>
      <c r="D22308" t="s">
        <v>263</v>
      </c>
      <c r="E22308" t="s">
        <v>264</v>
      </c>
      <c r="F22308">
        <v>2.42</v>
      </c>
      <c r="G22308">
        <v>231106</v>
      </c>
      <c r="H22308">
        <v>4362</v>
      </c>
      <c r="I22308" t="s">
        <v>79</v>
      </c>
      <c r="J22308">
        <v>3</v>
      </c>
      <c r="K22308">
        <v>0.57999999999999996</v>
      </c>
      <c r="L22308">
        <v>53222</v>
      </c>
      <c r="M22308" t="s">
        <v>445</v>
      </c>
      <c r="N22308" t="str">
        <f>"12345023626 "</f>
        <v xml:space="preserve">12345023626 </v>
      </c>
      <c r="O22308">
        <v>231116</v>
      </c>
    </row>
    <row r="22309" spans="1:15" x14ac:dyDescent="0.25">
      <c r="A22309" t="s">
        <v>16</v>
      </c>
      <c r="B22309" t="s">
        <v>3221</v>
      </c>
      <c r="C22309">
        <v>15738</v>
      </c>
      <c r="D22309" t="s">
        <v>263</v>
      </c>
      <c r="E22309" t="s">
        <v>264</v>
      </c>
      <c r="F22309">
        <v>13.64</v>
      </c>
      <c r="G22309">
        <v>231106</v>
      </c>
      <c r="H22309">
        <v>4362</v>
      </c>
      <c r="I22309" t="s">
        <v>79</v>
      </c>
      <c r="J22309">
        <v>16.91</v>
      </c>
      <c r="K22309">
        <v>3.27</v>
      </c>
      <c r="L22309">
        <v>53222</v>
      </c>
      <c r="M22309" t="s">
        <v>445</v>
      </c>
      <c r="N22309" t="str">
        <f>"12345023626 "</f>
        <v xml:space="preserve">12345023626 </v>
      </c>
      <c r="O22309">
        <v>231116</v>
      </c>
    </row>
    <row r="22310" spans="1:15" x14ac:dyDescent="0.25">
      <c r="A22310" t="s">
        <v>16</v>
      </c>
      <c r="B22310" t="s">
        <v>3221</v>
      </c>
      <c r="C22310">
        <v>15738</v>
      </c>
      <c r="D22310" t="s">
        <v>263</v>
      </c>
      <c r="E22310" t="s">
        <v>264</v>
      </c>
      <c r="F22310">
        <v>5.1100000000000003</v>
      </c>
      <c r="G22310">
        <v>231106</v>
      </c>
      <c r="H22310">
        <v>4362</v>
      </c>
      <c r="I22310" t="s">
        <v>79</v>
      </c>
      <c r="J22310">
        <v>6.34</v>
      </c>
      <c r="K22310">
        <v>1.23</v>
      </c>
      <c r="L22310">
        <v>54622</v>
      </c>
      <c r="M22310" t="s">
        <v>872</v>
      </c>
      <c r="N22310" t="str">
        <f>"12345023626 "</f>
        <v xml:space="preserve">12345023626 </v>
      </c>
      <c r="O22310">
        <v>231116</v>
      </c>
    </row>
    <row r="22311" spans="1:15" x14ac:dyDescent="0.25">
      <c r="A22311" t="s">
        <v>16</v>
      </c>
      <c r="B22311" t="s">
        <v>3221</v>
      </c>
      <c r="C22311">
        <v>15738</v>
      </c>
      <c r="D22311" t="s">
        <v>263</v>
      </c>
      <c r="E22311" t="s">
        <v>264</v>
      </c>
      <c r="F22311">
        <v>5.26</v>
      </c>
      <c r="G22311">
        <v>231106</v>
      </c>
      <c r="H22311">
        <v>4362</v>
      </c>
      <c r="I22311" t="s">
        <v>79</v>
      </c>
      <c r="J22311">
        <v>6.52</v>
      </c>
      <c r="K22311">
        <v>1.26</v>
      </c>
      <c r="L22311">
        <v>55222</v>
      </c>
      <c r="M22311" t="s">
        <v>873</v>
      </c>
      <c r="N22311" t="str">
        <f>"12345023626 "</f>
        <v xml:space="preserve">12345023626 </v>
      </c>
      <c r="O22311">
        <v>231116</v>
      </c>
    </row>
    <row r="22312" spans="1:15" x14ac:dyDescent="0.25">
      <c r="A22312" t="s">
        <v>16</v>
      </c>
      <c r="B22312" t="s">
        <v>3221</v>
      </c>
      <c r="C22312">
        <v>15770</v>
      </c>
      <c r="D22312" t="s">
        <v>263</v>
      </c>
      <c r="E22312" t="s">
        <v>264</v>
      </c>
      <c r="F22312">
        <v>2.97</v>
      </c>
      <c r="G22312">
        <v>231106</v>
      </c>
      <c r="H22312">
        <v>4362</v>
      </c>
      <c r="I22312" t="s">
        <v>79</v>
      </c>
      <c r="J22312">
        <v>3.68</v>
      </c>
      <c r="K22312">
        <v>0.71</v>
      </c>
      <c r="L22312">
        <v>11900</v>
      </c>
      <c r="M22312" t="s">
        <v>1105</v>
      </c>
      <c r="N22312" t="str">
        <f>"12345023614 "</f>
        <v xml:space="preserve">12345023614 </v>
      </c>
      <c r="O22312">
        <v>231116</v>
      </c>
    </row>
    <row r="22313" spans="1:15" x14ac:dyDescent="0.25">
      <c r="A22313" t="s">
        <v>16</v>
      </c>
      <c r="B22313" t="s">
        <v>3221</v>
      </c>
      <c r="C22313">
        <v>15772</v>
      </c>
      <c r="D22313" t="s">
        <v>263</v>
      </c>
      <c r="E22313" t="s">
        <v>264</v>
      </c>
      <c r="F22313">
        <v>13.92</v>
      </c>
      <c r="G22313">
        <v>231106</v>
      </c>
      <c r="H22313">
        <v>4362</v>
      </c>
      <c r="I22313" t="s">
        <v>79</v>
      </c>
      <c r="J22313">
        <v>17.260000000000002</v>
      </c>
      <c r="K22313">
        <v>3.34</v>
      </c>
      <c r="L22313">
        <v>11601</v>
      </c>
      <c r="M22313" t="s">
        <v>535</v>
      </c>
      <c r="N22313" t="str">
        <f t="shared" ref="N22313:N22330" si="419">"12345023629 "</f>
        <v xml:space="preserve">12345023629 </v>
      </c>
      <c r="O22313">
        <v>231117</v>
      </c>
    </row>
    <row r="22314" spans="1:15" x14ac:dyDescent="0.25">
      <c r="A22314" t="s">
        <v>16</v>
      </c>
      <c r="B22314" t="s">
        <v>3221</v>
      </c>
      <c r="C22314">
        <v>15772</v>
      </c>
      <c r="D22314" t="s">
        <v>263</v>
      </c>
      <c r="E22314" t="s">
        <v>264</v>
      </c>
      <c r="F22314">
        <v>2.5499999999999998</v>
      </c>
      <c r="G22314">
        <v>231106</v>
      </c>
      <c r="H22314">
        <v>4362</v>
      </c>
      <c r="I22314" t="s">
        <v>79</v>
      </c>
      <c r="J22314">
        <v>3.16</v>
      </c>
      <c r="K22314">
        <v>0.61</v>
      </c>
      <c r="L22314">
        <v>11603</v>
      </c>
      <c r="M22314" t="s">
        <v>945</v>
      </c>
      <c r="N22314" t="str">
        <f t="shared" si="419"/>
        <v xml:space="preserve">12345023629 </v>
      </c>
      <c r="O22314">
        <v>231117</v>
      </c>
    </row>
    <row r="22315" spans="1:15" x14ac:dyDescent="0.25">
      <c r="A22315" t="s">
        <v>16</v>
      </c>
      <c r="B22315" t="s">
        <v>3221</v>
      </c>
      <c r="C22315">
        <v>15772</v>
      </c>
      <c r="D22315" t="s">
        <v>263</v>
      </c>
      <c r="E22315" t="s">
        <v>264</v>
      </c>
      <c r="F22315">
        <v>20</v>
      </c>
      <c r="G22315">
        <v>231106</v>
      </c>
      <c r="H22315">
        <v>4362</v>
      </c>
      <c r="I22315" t="s">
        <v>79</v>
      </c>
      <c r="J22315">
        <v>24.8</v>
      </c>
      <c r="K22315">
        <v>4.8</v>
      </c>
      <c r="L22315">
        <v>14121</v>
      </c>
      <c r="M22315" t="s">
        <v>880</v>
      </c>
      <c r="N22315" t="str">
        <f t="shared" si="419"/>
        <v xml:space="preserve">12345023629 </v>
      </c>
      <c r="O22315">
        <v>231117</v>
      </c>
    </row>
    <row r="22316" spans="1:15" x14ac:dyDescent="0.25">
      <c r="A22316" t="s">
        <v>16</v>
      </c>
      <c r="B22316" t="s">
        <v>3221</v>
      </c>
      <c r="C22316">
        <v>15772</v>
      </c>
      <c r="D22316" t="s">
        <v>263</v>
      </c>
      <c r="E22316" t="s">
        <v>264</v>
      </c>
      <c r="F22316">
        <v>16.53</v>
      </c>
      <c r="G22316">
        <v>231106</v>
      </c>
      <c r="H22316">
        <v>4362</v>
      </c>
      <c r="I22316" t="s">
        <v>79</v>
      </c>
      <c r="J22316">
        <v>20.5</v>
      </c>
      <c r="K22316">
        <v>3.97</v>
      </c>
      <c r="L22316">
        <v>14321</v>
      </c>
      <c r="M22316" t="s">
        <v>717</v>
      </c>
      <c r="N22316" t="str">
        <f t="shared" si="419"/>
        <v xml:space="preserve">12345023629 </v>
      </c>
      <c r="O22316">
        <v>231117</v>
      </c>
    </row>
    <row r="22317" spans="1:15" x14ac:dyDescent="0.25">
      <c r="A22317" t="s">
        <v>16</v>
      </c>
      <c r="B22317" t="s">
        <v>3221</v>
      </c>
      <c r="C22317">
        <v>15772</v>
      </c>
      <c r="D22317" t="s">
        <v>263</v>
      </c>
      <c r="E22317" t="s">
        <v>264</v>
      </c>
      <c r="F22317">
        <v>14.51</v>
      </c>
      <c r="G22317">
        <v>231106</v>
      </c>
      <c r="H22317">
        <v>4362</v>
      </c>
      <c r="I22317" t="s">
        <v>79</v>
      </c>
      <c r="J22317">
        <v>17.989999999999998</v>
      </c>
      <c r="K22317">
        <v>3.48</v>
      </c>
      <c r="L22317">
        <v>14422</v>
      </c>
      <c r="M22317" t="s">
        <v>228</v>
      </c>
      <c r="N22317" t="str">
        <f t="shared" si="419"/>
        <v xml:space="preserve">12345023629 </v>
      </c>
      <c r="O22317">
        <v>231117</v>
      </c>
    </row>
    <row r="22318" spans="1:15" x14ac:dyDescent="0.25">
      <c r="A22318" t="s">
        <v>16</v>
      </c>
      <c r="B22318" t="s">
        <v>3221</v>
      </c>
      <c r="C22318">
        <v>15772</v>
      </c>
      <c r="D22318" t="s">
        <v>263</v>
      </c>
      <c r="E22318" t="s">
        <v>264</v>
      </c>
      <c r="F22318">
        <v>8.1</v>
      </c>
      <c r="G22318">
        <v>231106</v>
      </c>
      <c r="H22318">
        <v>4362</v>
      </c>
      <c r="I22318" t="s">
        <v>79</v>
      </c>
      <c r="J22318">
        <v>10.039999999999999</v>
      </c>
      <c r="K22318">
        <v>1.94</v>
      </c>
      <c r="L22318">
        <v>14431</v>
      </c>
      <c r="M22318" t="s">
        <v>861</v>
      </c>
      <c r="N22318" t="str">
        <f t="shared" si="419"/>
        <v xml:space="preserve">12345023629 </v>
      </c>
      <c r="O22318">
        <v>231117</v>
      </c>
    </row>
    <row r="22319" spans="1:15" x14ac:dyDescent="0.25">
      <c r="A22319" t="s">
        <v>16</v>
      </c>
      <c r="B22319" t="s">
        <v>3221</v>
      </c>
      <c r="C22319">
        <v>15772</v>
      </c>
      <c r="D22319" t="s">
        <v>263</v>
      </c>
      <c r="E22319" t="s">
        <v>264</v>
      </c>
      <c r="F22319">
        <v>8.1</v>
      </c>
      <c r="G22319">
        <v>231106</v>
      </c>
      <c r="H22319">
        <v>4362</v>
      </c>
      <c r="I22319" t="s">
        <v>79</v>
      </c>
      <c r="J22319">
        <v>10.039999999999999</v>
      </c>
      <c r="K22319">
        <v>1.94</v>
      </c>
      <c r="L22319">
        <v>14432</v>
      </c>
      <c r="M22319" t="s">
        <v>862</v>
      </c>
      <c r="N22319" t="str">
        <f t="shared" si="419"/>
        <v xml:space="preserve">12345023629 </v>
      </c>
      <c r="O22319">
        <v>231117</v>
      </c>
    </row>
    <row r="22320" spans="1:15" x14ac:dyDescent="0.25">
      <c r="A22320" t="s">
        <v>16</v>
      </c>
      <c r="B22320" t="s">
        <v>3221</v>
      </c>
      <c r="C22320">
        <v>15772</v>
      </c>
      <c r="D22320" t="s">
        <v>263</v>
      </c>
      <c r="E22320" t="s">
        <v>264</v>
      </c>
      <c r="F22320">
        <v>2.9</v>
      </c>
      <c r="G22320">
        <v>231106</v>
      </c>
      <c r="H22320">
        <v>4362</v>
      </c>
      <c r="I22320" t="s">
        <v>79</v>
      </c>
      <c r="J22320">
        <v>3.59</v>
      </c>
      <c r="K22320">
        <v>0.69</v>
      </c>
      <c r="L22320">
        <v>14541</v>
      </c>
      <c r="M22320" t="s">
        <v>626</v>
      </c>
      <c r="N22320" t="str">
        <f t="shared" si="419"/>
        <v xml:space="preserve">12345023629 </v>
      </c>
      <c r="O22320">
        <v>231117</v>
      </c>
    </row>
    <row r="22321" spans="1:15" x14ac:dyDescent="0.25">
      <c r="A22321" t="s">
        <v>16</v>
      </c>
      <c r="B22321" t="s">
        <v>3221</v>
      </c>
      <c r="C22321">
        <v>15772</v>
      </c>
      <c r="D22321" t="s">
        <v>263</v>
      </c>
      <c r="E22321" t="s">
        <v>264</v>
      </c>
      <c r="F22321">
        <v>37.31</v>
      </c>
      <c r="G22321">
        <v>231106</v>
      </c>
      <c r="H22321">
        <v>4362</v>
      </c>
      <c r="I22321" t="s">
        <v>79</v>
      </c>
      <c r="J22321">
        <v>46.27</v>
      </c>
      <c r="K22321">
        <v>8.9600000000000009</v>
      </c>
      <c r="L22321">
        <v>14622</v>
      </c>
      <c r="M22321" t="s">
        <v>1005</v>
      </c>
      <c r="N22321" t="str">
        <f t="shared" si="419"/>
        <v xml:space="preserve">12345023629 </v>
      </c>
      <c r="O22321">
        <v>231117</v>
      </c>
    </row>
    <row r="22322" spans="1:15" x14ac:dyDescent="0.25">
      <c r="A22322" t="s">
        <v>16</v>
      </c>
      <c r="B22322" t="s">
        <v>3221</v>
      </c>
      <c r="C22322">
        <v>15772</v>
      </c>
      <c r="D22322" t="s">
        <v>263</v>
      </c>
      <c r="E22322" t="s">
        <v>264</v>
      </c>
      <c r="F22322">
        <v>5.4</v>
      </c>
      <c r="G22322">
        <v>231106</v>
      </c>
      <c r="H22322">
        <v>4362</v>
      </c>
      <c r="I22322" t="s">
        <v>79</v>
      </c>
      <c r="J22322">
        <v>6.69</v>
      </c>
      <c r="K22322">
        <v>1.29</v>
      </c>
      <c r="L22322">
        <v>14640</v>
      </c>
      <c r="M22322" t="s">
        <v>229</v>
      </c>
      <c r="N22322" t="str">
        <f t="shared" si="419"/>
        <v xml:space="preserve">12345023629 </v>
      </c>
      <c r="O22322">
        <v>231117</v>
      </c>
    </row>
    <row r="22323" spans="1:15" x14ac:dyDescent="0.25">
      <c r="A22323" t="s">
        <v>16</v>
      </c>
      <c r="B22323" t="s">
        <v>3221</v>
      </c>
      <c r="C22323">
        <v>15772</v>
      </c>
      <c r="D22323" t="s">
        <v>263</v>
      </c>
      <c r="E22323" t="s">
        <v>264</v>
      </c>
      <c r="F22323">
        <v>2.69</v>
      </c>
      <c r="G22323">
        <v>231106</v>
      </c>
      <c r="H22323">
        <v>4362</v>
      </c>
      <c r="I22323" t="s">
        <v>79</v>
      </c>
      <c r="J22323">
        <v>3.34</v>
      </c>
      <c r="K22323">
        <v>0.65</v>
      </c>
      <c r="L22323">
        <v>14861</v>
      </c>
      <c r="M22323" t="s">
        <v>785</v>
      </c>
      <c r="N22323" t="str">
        <f t="shared" si="419"/>
        <v xml:space="preserve">12345023629 </v>
      </c>
      <c r="O22323">
        <v>231117</v>
      </c>
    </row>
    <row r="22324" spans="1:15" x14ac:dyDescent="0.25">
      <c r="A22324" t="s">
        <v>16</v>
      </c>
      <c r="B22324" t="s">
        <v>3221</v>
      </c>
      <c r="C22324">
        <v>15772</v>
      </c>
      <c r="D22324" t="s">
        <v>263</v>
      </c>
      <c r="E22324" t="s">
        <v>264</v>
      </c>
      <c r="F22324">
        <v>7.07</v>
      </c>
      <c r="G22324">
        <v>231106</v>
      </c>
      <c r="H22324">
        <v>4362</v>
      </c>
      <c r="I22324" t="s">
        <v>79</v>
      </c>
      <c r="J22324">
        <v>8.77</v>
      </c>
      <c r="K22324">
        <v>1.7</v>
      </c>
      <c r="L22324">
        <v>14912</v>
      </c>
      <c r="M22324" t="s">
        <v>230</v>
      </c>
      <c r="N22324" t="str">
        <f t="shared" si="419"/>
        <v xml:space="preserve">12345023629 </v>
      </c>
      <c r="O22324">
        <v>231117</v>
      </c>
    </row>
    <row r="22325" spans="1:15" x14ac:dyDescent="0.25">
      <c r="A22325" t="s">
        <v>16</v>
      </c>
      <c r="B22325" t="s">
        <v>3221</v>
      </c>
      <c r="C22325">
        <v>15772</v>
      </c>
      <c r="D22325" t="s">
        <v>263</v>
      </c>
      <c r="E22325" t="s">
        <v>264</v>
      </c>
      <c r="F22325">
        <v>4.3499999999999996</v>
      </c>
      <c r="G22325">
        <v>231106</v>
      </c>
      <c r="H22325">
        <v>4362</v>
      </c>
      <c r="I22325" t="s">
        <v>79</v>
      </c>
      <c r="J22325">
        <v>5.39</v>
      </c>
      <c r="K22325">
        <v>1.04</v>
      </c>
      <c r="L22325">
        <v>14971</v>
      </c>
      <c r="M22325" t="s">
        <v>1259</v>
      </c>
      <c r="N22325" t="str">
        <f t="shared" si="419"/>
        <v xml:space="preserve">12345023629 </v>
      </c>
      <c r="O22325">
        <v>231117</v>
      </c>
    </row>
    <row r="22326" spans="1:15" x14ac:dyDescent="0.25">
      <c r="A22326" t="s">
        <v>16</v>
      </c>
      <c r="B22326" t="s">
        <v>3221</v>
      </c>
      <c r="C22326">
        <v>15772</v>
      </c>
      <c r="D22326" t="s">
        <v>263</v>
      </c>
      <c r="E22326" t="s">
        <v>264</v>
      </c>
      <c r="F22326">
        <v>3.73</v>
      </c>
      <c r="G22326">
        <v>231106</v>
      </c>
      <c r="H22326">
        <v>4362</v>
      </c>
      <c r="I22326" t="s">
        <v>79</v>
      </c>
      <c r="J22326">
        <v>4.63</v>
      </c>
      <c r="K22326">
        <v>0.9</v>
      </c>
      <c r="L22326">
        <v>14972</v>
      </c>
      <c r="M22326" t="s">
        <v>898</v>
      </c>
      <c r="N22326" t="str">
        <f t="shared" si="419"/>
        <v xml:space="preserve">12345023629 </v>
      </c>
      <c r="O22326">
        <v>231117</v>
      </c>
    </row>
    <row r="22327" spans="1:15" x14ac:dyDescent="0.25">
      <c r="A22327" t="s">
        <v>16</v>
      </c>
      <c r="B22327" t="s">
        <v>3221</v>
      </c>
      <c r="C22327">
        <v>15772</v>
      </c>
      <c r="D22327" t="s">
        <v>263</v>
      </c>
      <c r="E22327" t="s">
        <v>264</v>
      </c>
      <c r="F22327">
        <v>2.69</v>
      </c>
      <c r="G22327">
        <v>231106</v>
      </c>
      <c r="H22327">
        <v>4362</v>
      </c>
      <c r="I22327" t="s">
        <v>79</v>
      </c>
      <c r="J22327">
        <v>3.34</v>
      </c>
      <c r="K22327">
        <v>0.65</v>
      </c>
      <c r="L22327">
        <v>14974</v>
      </c>
      <c r="M22327" t="s">
        <v>1340</v>
      </c>
      <c r="N22327" t="str">
        <f t="shared" si="419"/>
        <v xml:space="preserve">12345023629 </v>
      </c>
      <c r="O22327">
        <v>231117</v>
      </c>
    </row>
    <row r="22328" spans="1:15" x14ac:dyDescent="0.25">
      <c r="A22328" t="s">
        <v>16</v>
      </c>
      <c r="B22328" t="s">
        <v>3221</v>
      </c>
      <c r="C22328">
        <v>15772</v>
      </c>
      <c r="D22328" t="s">
        <v>263</v>
      </c>
      <c r="E22328" t="s">
        <v>264</v>
      </c>
      <c r="F22328">
        <v>2.69</v>
      </c>
      <c r="G22328">
        <v>231106</v>
      </c>
      <c r="H22328">
        <v>4362</v>
      </c>
      <c r="I22328" t="s">
        <v>79</v>
      </c>
      <c r="J22328">
        <v>3.34</v>
      </c>
      <c r="K22328">
        <v>0.65</v>
      </c>
      <c r="L22328">
        <v>14975</v>
      </c>
      <c r="M22328" t="s">
        <v>1341</v>
      </c>
      <c r="N22328" t="str">
        <f t="shared" si="419"/>
        <v xml:space="preserve">12345023629 </v>
      </c>
      <c r="O22328">
        <v>231117</v>
      </c>
    </row>
    <row r="22329" spans="1:15" x14ac:dyDescent="0.25">
      <c r="A22329" t="s">
        <v>16</v>
      </c>
      <c r="B22329" t="s">
        <v>3221</v>
      </c>
      <c r="C22329">
        <v>15772</v>
      </c>
      <c r="D22329" t="s">
        <v>263</v>
      </c>
      <c r="E22329" t="s">
        <v>264</v>
      </c>
      <c r="F22329">
        <v>2.69</v>
      </c>
      <c r="G22329">
        <v>231106</v>
      </c>
      <c r="H22329">
        <v>4362</v>
      </c>
      <c r="I22329" t="s">
        <v>79</v>
      </c>
      <c r="J22329">
        <v>3.34</v>
      </c>
      <c r="K22329">
        <v>0.65</v>
      </c>
      <c r="L22329">
        <v>14975</v>
      </c>
      <c r="M22329" t="s">
        <v>1341</v>
      </c>
      <c r="N22329" t="str">
        <f t="shared" si="419"/>
        <v xml:space="preserve">12345023629 </v>
      </c>
      <c r="O22329">
        <v>231117</v>
      </c>
    </row>
    <row r="22330" spans="1:15" x14ac:dyDescent="0.25">
      <c r="A22330" t="s">
        <v>16</v>
      </c>
      <c r="B22330" t="s">
        <v>3221</v>
      </c>
      <c r="C22330">
        <v>15772</v>
      </c>
      <c r="D22330" t="s">
        <v>263</v>
      </c>
      <c r="E22330" t="s">
        <v>264</v>
      </c>
      <c r="F22330">
        <v>2.69</v>
      </c>
      <c r="G22330">
        <v>231106</v>
      </c>
      <c r="H22330">
        <v>4362</v>
      </c>
      <c r="I22330" t="s">
        <v>79</v>
      </c>
      <c r="J22330">
        <v>3.34</v>
      </c>
      <c r="K22330">
        <v>0.65</v>
      </c>
      <c r="L22330">
        <v>14990</v>
      </c>
      <c r="M22330" t="s">
        <v>1725</v>
      </c>
      <c r="N22330" t="str">
        <f t="shared" si="419"/>
        <v xml:space="preserve">12345023629 </v>
      </c>
      <c r="O22330">
        <v>231117</v>
      </c>
    </row>
    <row r="22331" spans="1:15" x14ac:dyDescent="0.25">
      <c r="A22331" t="s">
        <v>16</v>
      </c>
      <c r="B22331" t="s">
        <v>3221</v>
      </c>
      <c r="C22331">
        <v>15808</v>
      </c>
      <c r="D22331" t="s">
        <v>263</v>
      </c>
      <c r="E22331" t="s">
        <v>264</v>
      </c>
      <c r="F22331">
        <v>3.71</v>
      </c>
      <c r="G22331">
        <v>231106</v>
      </c>
      <c r="H22331">
        <v>4362</v>
      </c>
      <c r="I22331" t="s">
        <v>79</v>
      </c>
      <c r="J22331">
        <v>4.5999999999999996</v>
      </c>
      <c r="K22331">
        <v>0.89</v>
      </c>
      <c r="L22331">
        <v>56522</v>
      </c>
      <c r="M22331" t="s">
        <v>43</v>
      </c>
      <c r="N22331" t="str">
        <f>"12345023597 "</f>
        <v xml:space="preserve">12345023597 </v>
      </c>
      <c r="O22331">
        <v>231120</v>
      </c>
    </row>
    <row r="22332" spans="1:15" x14ac:dyDescent="0.25">
      <c r="A22332" t="s">
        <v>16</v>
      </c>
      <c r="B22332" t="s">
        <v>3221</v>
      </c>
      <c r="C22332">
        <v>15808</v>
      </c>
      <c r="D22332" t="s">
        <v>263</v>
      </c>
      <c r="E22332" t="s">
        <v>264</v>
      </c>
      <c r="F22332">
        <v>10.5</v>
      </c>
      <c r="G22332">
        <v>231106</v>
      </c>
      <c r="H22332">
        <v>4362</v>
      </c>
      <c r="I22332" t="s">
        <v>79</v>
      </c>
      <c r="J22332">
        <v>13.02</v>
      </c>
      <c r="K22332">
        <v>2.52</v>
      </c>
      <c r="L22332">
        <v>56524</v>
      </c>
      <c r="M22332" t="s">
        <v>150</v>
      </c>
      <c r="N22332" t="str">
        <f>"12345023597 "</f>
        <v xml:space="preserve">12345023597 </v>
      </c>
      <c r="O22332">
        <v>231120</v>
      </c>
    </row>
    <row r="22333" spans="1:15" x14ac:dyDescent="0.25">
      <c r="A22333" t="s">
        <v>16</v>
      </c>
      <c r="B22333" t="s">
        <v>3221</v>
      </c>
      <c r="C22333">
        <v>15808</v>
      </c>
      <c r="D22333" t="s">
        <v>263</v>
      </c>
      <c r="E22333" t="s">
        <v>264</v>
      </c>
      <c r="F22333">
        <v>13.5</v>
      </c>
      <c r="G22333">
        <v>231106</v>
      </c>
      <c r="H22333">
        <v>4362</v>
      </c>
      <c r="I22333" t="s">
        <v>79</v>
      </c>
      <c r="J22333">
        <v>16.739999999999998</v>
      </c>
      <c r="K22333">
        <v>3.24</v>
      </c>
      <c r="L22333">
        <v>56528</v>
      </c>
      <c r="M22333" t="s">
        <v>153</v>
      </c>
      <c r="N22333" t="str">
        <f>"12345023597 "</f>
        <v xml:space="preserve">12345023597 </v>
      </c>
      <c r="O22333">
        <v>231120</v>
      </c>
    </row>
    <row r="22334" spans="1:15" x14ac:dyDescent="0.25">
      <c r="A22334" t="s">
        <v>16</v>
      </c>
      <c r="B22334" t="s">
        <v>3221</v>
      </c>
      <c r="C22334">
        <v>16069</v>
      </c>
      <c r="D22334" t="s">
        <v>263</v>
      </c>
      <c r="E22334" t="s">
        <v>264</v>
      </c>
      <c r="F22334">
        <v>98.14</v>
      </c>
      <c r="G22334">
        <v>231114</v>
      </c>
      <c r="H22334">
        <v>4362</v>
      </c>
      <c r="I22334" t="s">
        <v>79</v>
      </c>
      <c r="J22334">
        <v>121.69</v>
      </c>
      <c r="K22334">
        <v>23.55</v>
      </c>
      <c r="L22334">
        <v>11301</v>
      </c>
      <c r="M22334" t="s">
        <v>29</v>
      </c>
      <c r="N22334" t="str">
        <f>"104723816   "</f>
        <v xml:space="preserve">104723816   </v>
      </c>
      <c r="O22334">
        <v>231122</v>
      </c>
    </row>
    <row r="22335" spans="1:15" x14ac:dyDescent="0.25">
      <c r="A22335" t="s">
        <v>16</v>
      </c>
      <c r="B22335" t="s">
        <v>3221</v>
      </c>
      <c r="C22335">
        <v>16069</v>
      </c>
      <c r="D22335" t="s">
        <v>263</v>
      </c>
      <c r="E22335" t="s">
        <v>264</v>
      </c>
      <c r="F22335">
        <v>39.520000000000003</v>
      </c>
      <c r="G22335">
        <v>231114</v>
      </c>
      <c r="H22335">
        <v>4362</v>
      </c>
      <c r="I22335" t="s">
        <v>79</v>
      </c>
      <c r="J22335">
        <v>49</v>
      </c>
      <c r="K22335">
        <v>9.48</v>
      </c>
      <c r="L22335">
        <v>11801</v>
      </c>
      <c r="M22335" t="s">
        <v>92</v>
      </c>
      <c r="N22335" t="str">
        <f>"104723816   "</f>
        <v xml:space="preserve">104723816   </v>
      </c>
      <c r="O22335">
        <v>231122</v>
      </c>
    </row>
    <row r="22336" spans="1:15" x14ac:dyDescent="0.25">
      <c r="A22336" t="s">
        <v>16</v>
      </c>
      <c r="B22336" t="s">
        <v>3221</v>
      </c>
      <c r="C22336">
        <v>16072</v>
      </c>
      <c r="D22336" t="s">
        <v>263</v>
      </c>
      <c r="E22336" t="s">
        <v>264</v>
      </c>
      <c r="F22336">
        <v>120</v>
      </c>
      <c r="G22336">
        <v>231114</v>
      </c>
      <c r="H22336">
        <v>4362</v>
      </c>
      <c r="I22336" t="s">
        <v>79</v>
      </c>
      <c r="J22336">
        <v>148.80000000000001</v>
      </c>
      <c r="K22336">
        <v>28.8</v>
      </c>
      <c r="L22336">
        <v>18972</v>
      </c>
      <c r="M22336" t="s">
        <v>163</v>
      </c>
      <c r="N22336" t="str">
        <f>"104723799   "</f>
        <v xml:space="preserve">104723799   </v>
      </c>
      <c r="O22336">
        <v>231122</v>
      </c>
    </row>
    <row r="22337" spans="1:15" x14ac:dyDescent="0.25">
      <c r="A22337" t="s">
        <v>16</v>
      </c>
      <c r="B22337" t="s">
        <v>3221</v>
      </c>
      <c r="C22337">
        <v>16852</v>
      </c>
      <c r="D22337" t="s">
        <v>263</v>
      </c>
      <c r="E22337" t="s">
        <v>264</v>
      </c>
      <c r="F22337">
        <v>5.67</v>
      </c>
      <c r="G22337">
        <v>231204</v>
      </c>
      <c r="H22337">
        <v>4362</v>
      </c>
      <c r="I22337" t="s">
        <v>79</v>
      </c>
      <c r="J22337">
        <v>7.03</v>
      </c>
      <c r="K22337">
        <v>1.36</v>
      </c>
      <c r="L22337">
        <v>46557</v>
      </c>
      <c r="M22337" t="s">
        <v>221</v>
      </c>
      <c r="N22337" t="str">
        <f>"12349023388 "</f>
        <v xml:space="preserve">12349023388 </v>
      </c>
      <c r="O22337">
        <v>231211</v>
      </c>
    </row>
    <row r="22338" spans="1:15" x14ac:dyDescent="0.25">
      <c r="A22338" t="s">
        <v>16</v>
      </c>
      <c r="B22338" t="s">
        <v>3221</v>
      </c>
      <c r="C22338">
        <v>16887</v>
      </c>
      <c r="D22338" t="s">
        <v>263</v>
      </c>
      <c r="E22338" t="s">
        <v>264</v>
      </c>
      <c r="F22338">
        <v>7.95</v>
      </c>
      <c r="G22338">
        <v>231204</v>
      </c>
      <c r="H22338">
        <v>4362</v>
      </c>
      <c r="I22338" t="s">
        <v>79</v>
      </c>
      <c r="J22338">
        <v>9.86</v>
      </c>
      <c r="K22338">
        <v>1.91</v>
      </c>
      <c r="L22338">
        <v>16930</v>
      </c>
      <c r="M22338" t="s">
        <v>450</v>
      </c>
      <c r="N22338" t="str">
        <f t="shared" ref="N22338:N22361" si="420">"12349023379 "</f>
        <v xml:space="preserve">12349023379 </v>
      </c>
      <c r="O22338">
        <v>231211</v>
      </c>
    </row>
    <row r="22339" spans="1:15" x14ac:dyDescent="0.25">
      <c r="A22339" t="s">
        <v>16</v>
      </c>
      <c r="B22339" t="s">
        <v>3221</v>
      </c>
      <c r="C22339">
        <v>16887</v>
      </c>
      <c r="D22339" t="s">
        <v>263</v>
      </c>
      <c r="E22339" t="s">
        <v>264</v>
      </c>
      <c r="F22339">
        <v>10.86</v>
      </c>
      <c r="G22339">
        <v>231204</v>
      </c>
      <c r="H22339">
        <v>4362</v>
      </c>
      <c r="I22339" t="s">
        <v>79</v>
      </c>
      <c r="J22339">
        <v>13.47</v>
      </c>
      <c r="K22339">
        <v>2.61</v>
      </c>
      <c r="L22339">
        <v>17521</v>
      </c>
      <c r="M22339" t="s">
        <v>133</v>
      </c>
      <c r="N22339" t="str">
        <f t="shared" si="420"/>
        <v xml:space="preserve">12349023379 </v>
      </c>
      <c r="O22339">
        <v>231211</v>
      </c>
    </row>
    <row r="22340" spans="1:15" x14ac:dyDescent="0.25">
      <c r="A22340" t="s">
        <v>16</v>
      </c>
      <c r="B22340" t="s">
        <v>3221</v>
      </c>
      <c r="C22340">
        <v>16887</v>
      </c>
      <c r="D22340" t="s">
        <v>263</v>
      </c>
      <c r="E22340" t="s">
        <v>264</v>
      </c>
      <c r="F22340">
        <v>6.21</v>
      </c>
      <c r="G22340">
        <v>231204</v>
      </c>
      <c r="H22340">
        <v>4362</v>
      </c>
      <c r="I22340" t="s">
        <v>79</v>
      </c>
      <c r="J22340">
        <v>7.7</v>
      </c>
      <c r="K22340">
        <v>1.49</v>
      </c>
      <c r="L22340">
        <v>17522</v>
      </c>
      <c r="M22340" t="s">
        <v>451</v>
      </c>
      <c r="N22340" t="str">
        <f t="shared" si="420"/>
        <v xml:space="preserve">12349023379 </v>
      </c>
      <c r="O22340">
        <v>231211</v>
      </c>
    </row>
    <row r="22341" spans="1:15" x14ac:dyDescent="0.25">
      <c r="A22341" t="s">
        <v>16</v>
      </c>
      <c r="B22341" t="s">
        <v>3221</v>
      </c>
      <c r="C22341">
        <v>16887</v>
      </c>
      <c r="D22341" t="s">
        <v>263</v>
      </c>
      <c r="E22341" t="s">
        <v>264</v>
      </c>
      <c r="F22341">
        <v>8.5299999999999994</v>
      </c>
      <c r="G22341">
        <v>231204</v>
      </c>
      <c r="H22341">
        <v>4362</v>
      </c>
      <c r="I22341" t="s">
        <v>79</v>
      </c>
      <c r="J22341">
        <v>10.58</v>
      </c>
      <c r="K22341">
        <v>2.0499999999999998</v>
      </c>
      <c r="L22341">
        <v>17523</v>
      </c>
      <c r="M22341" t="s">
        <v>134</v>
      </c>
      <c r="N22341" t="str">
        <f t="shared" si="420"/>
        <v xml:space="preserve">12349023379 </v>
      </c>
      <c r="O22341">
        <v>231211</v>
      </c>
    </row>
    <row r="22342" spans="1:15" x14ac:dyDescent="0.25">
      <c r="A22342" t="s">
        <v>16</v>
      </c>
      <c r="B22342" t="s">
        <v>3221</v>
      </c>
      <c r="C22342">
        <v>16887</v>
      </c>
      <c r="D22342" t="s">
        <v>263</v>
      </c>
      <c r="E22342" t="s">
        <v>264</v>
      </c>
      <c r="F22342">
        <v>5.87</v>
      </c>
      <c r="G22342">
        <v>231204</v>
      </c>
      <c r="H22342">
        <v>4362</v>
      </c>
      <c r="I22342" t="s">
        <v>79</v>
      </c>
      <c r="J22342">
        <v>7.28</v>
      </c>
      <c r="K22342">
        <v>1.41</v>
      </c>
      <c r="L22342">
        <v>17524</v>
      </c>
      <c r="M22342" t="s">
        <v>452</v>
      </c>
      <c r="N22342" t="str">
        <f t="shared" si="420"/>
        <v xml:space="preserve">12349023379 </v>
      </c>
      <c r="O22342">
        <v>231211</v>
      </c>
    </row>
    <row r="22343" spans="1:15" x14ac:dyDescent="0.25">
      <c r="A22343" t="s">
        <v>16</v>
      </c>
      <c r="B22343" t="s">
        <v>3221</v>
      </c>
      <c r="C22343">
        <v>16887</v>
      </c>
      <c r="D22343" t="s">
        <v>263</v>
      </c>
      <c r="E22343" t="s">
        <v>264</v>
      </c>
      <c r="F22343">
        <v>2.7</v>
      </c>
      <c r="G22343">
        <v>231204</v>
      </c>
      <c r="H22343">
        <v>4362</v>
      </c>
      <c r="I22343" t="s">
        <v>79</v>
      </c>
      <c r="J22343">
        <v>3.35</v>
      </c>
      <c r="K22343">
        <v>0.65</v>
      </c>
      <c r="L22343">
        <v>17525</v>
      </c>
      <c r="M22343" t="s">
        <v>135</v>
      </c>
      <c r="N22343" t="str">
        <f t="shared" si="420"/>
        <v xml:space="preserve">12349023379 </v>
      </c>
      <c r="O22343">
        <v>231211</v>
      </c>
    </row>
    <row r="22344" spans="1:15" x14ac:dyDescent="0.25">
      <c r="A22344" t="s">
        <v>16</v>
      </c>
      <c r="B22344" t="s">
        <v>3221</v>
      </c>
      <c r="C22344">
        <v>16887</v>
      </c>
      <c r="D22344" t="s">
        <v>263</v>
      </c>
      <c r="E22344" t="s">
        <v>264</v>
      </c>
      <c r="F22344">
        <v>8.1</v>
      </c>
      <c r="G22344">
        <v>231204</v>
      </c>
      <c r="H22344">
        <v>4362</v>
      </c>
      <c r="I22344" t="s">
        <v>79</v>
      </c>
      <c r="J22344">
        <v>10.039999999999999</v>
      </c>
      <c r="K22344">
        <v>1.94</v>
      </c>
      <c r="L22344">
        <v>17526</v>
      </c>
      <c r="M22344" t="s">
        <v>437</v>
      </c>
      <c r="N22344" t="str">
        <f t="shared" si="420"/>
        <v xml:space="preserve">12349023379 </v>
      </c>
      <c r="O22344">
        <v>231211</v>
      </c>
    </row>
    <row r="22345" spans="1:15" x14ac:dyDescent="0.25">
      <c r="A22345" t="s">
        <v>16</v>
      </c>
      <c r="B22345" t="s">
        <v>3221</v>
      </c>
      <c r="C22345">
        <v>16887</v>
      </c>
      <c r="D22345" t="s">
        <v>263</v>
      </c>
      <c r="E22345" t="s">
        <v>264</v>
      </c>
      <c r="F22345">
        <v>8.07</v>
      </c>
      <c r="G22345">
        <v>231204</v>
      </c>
      <c r="H22345">
        <v>4362</v>
      </c>
      <c r="I22345" t="s">
        <v>79</v>
      </c>
      <c r="J22345">
        <v>10.01</v>
      </c>
      <c r="K22345">
        <v>1.94</v>
      </c>
      <c r="L22345">
        <v>17527</v>
      </c>
      <c r="M22345" t="s">
        <v>422</v>
      </c>
      <c r="N22345" t="str">
        <f t="shared" si="420"/>
        <v xml:space="preserve">12349023379 </v>
      </c>
      <c r="O22345">
        <v>231211</v>
      </c>
    </row>
    <row r="22346" spans="1:15" x14ac:dyDescent="0.25">
      <c r="A22346" t="s">
        <v>16</v>
      </c>
      <c r="B22346" t="s">
        <v>3221</v>
      </c>
      <c r="C22346">
        <v>16887</v>
      </c>
      <c r="D22346" t="s">
        <v>263</v>
      </c>
      <c r="E22346" t="s">
        <v>264</v>
      </c>
      <c r="F22346">
        <v>5.4</v>
      </c>
      <c r="G22346">
        <v>231204</v>
      </c>
      <c r="H22346">
        <v>4362</v>
      </c>
      <c r="I22346" t="s">
        <v>79</v>
      </c>
      <c r="J22346">
        <v>6.7</v>
      </c>
      <c r="K22346">
        <v>1.3</v>
      </c>
      <c r="L22346">
        <v>17529</v>
      </c>
      <c r="M22346" t="s">
        <v>453</v>
      </c>
      <c r="N22346" t="str">
        <f t="shared" si="420"/>
        <v xml:space="preserve">12349023379 </v>
      </c>
      <c r="O22346">
        <v>231211</v>
      </c>
    </row>
    <row r="22347" spans="1:15" x14ac:dyDescent="0.25">
      <c r="A22347" t="s">
        <v>16</v>
      </c>
      <c r="B22347" t="s">
        <v>3221</v>
      </c>
      <c r="C22347">
        <v>16887</v>
      </c>
      <c r="D22347" t="s">
        <v>263</v>
      </c>
      <c r="E22347" t="s">
        <v>264</v>
      </c>
      <c r="F22347">
        <v>11.33</v>
      </c>
      <c r="G22347">
        <v>231204</v>
      </c>
      <c r="H22347">
        <v>4362</v>
      </c>
      <c r="I22347" t="s">
        <v>79</v>
      </c>
      <c r="J22347">
        <v>14.05</v>
      </c>
      <c r="K22347">
        <v>2.72</v>
      </c>
      <c r="L22347">
        <v>17530</v>
      </c>
      <c r="M22347" t="s">
        <v>454</v>
      </c>
      <c r="N22347" t="str">
        <f t="shared" si="420"/>
        <v xml:space="preserve">12349023379 </v>
      </c>
      <c r="O22347">
        <v>231211</v>
      </c>
    </row>
    <row r="22348" spans="1:15" x14ac:dyDescent="0.25">
      <c r="A22348" t="s">
        <v>16</v>
      </c>
      <c r="B22348" t="s">
        <v>3221</v>
      </c>
      <c r="C22348">
        <v>16887</v>
      </c>
      <c r="D22348" t="s">
        <v>263</v>
      </c>
      <c r="E22348" t="s">
        <v>264</v>
      </c>
      <c r="F22348">
        <v>18.45</v>
      </c>
      <c r="G22348">
        <v>231204</v>
      </c>
      <c r="H22348">
        <v>4362</v>
      </c>
      <c r="I22348" t="s">
        <v>79</v>
      </c>
      <c r="J22348">
        <v>22.88</v>
      </c>
      <c r="K22348">
        <v>4.43</v>
      </c>
      <c r="L22348">
        <v>17531</v>
      </c>
      <c r="M22348" t="s">
        <v>136</v>
      </c>
      <c r="N22348" t="str">
        <f t="shared" si="420"/>
        <v xml:space="preserve">12349023379 </v>
      </c>
      <c r="O22348">
        <v>231211</v>
      </c>
    </row>
    <row r="22349" spans="1:15" x14ac:dyDescent="0.25">
      <c r="A22349" t="s">
        <v>16</v>
      </c>
      <c r="B22349" t="s">
        <v>3221</v>
      </c>
      <c r="C22349">
        <v>16887</v>
      </c>
      <c r="D22349" t="s">
        <v>263</v>
      </c>
      <c r="E22349" t="s">
        <v>264</v>
      </c>
      <c r="F22349">
        <v>18.87</v>
      </c>
      <c r="G22349">
        <v>231204</v>
      </c>
      <c r="H22349">
        <v>4362</v>
      </c>
      <c r="I22349" t="s">
        <v>79</v>
      </c>
      <c r="J22349">
        <v>23.4</v>
      </c>
      <c r="K22349">
        <v>4.53</v>
      </c>
      <c r="L22349">
        <v>17532</v>
      </c>
      <c r="M22349" t="s">
        <v>543</v>
      </c>
      <c r="N22349" t="str">
        <f t="shared" si="420"/>
        <v xml:space="preserve">12349023379 </v>
      </c>
      <c r="O22349">
        <v>231211</v>
      </c>
    </row>
    <row r="22350" spans="1:15" x14ac:dyDescent="0.25">
      <c r="A22350" t="s">
        <v>16</v>
      </c>
      <c r="B22350" t="s">
        <v>3221</v>
      </c>
      <c r="C22350">
        <v>16887</v>
      </c>
      <c r="D22350" t="s">
        <v>263</v>
      </c>
      <c r="E22350" t="s">
        <v>264</v>
      </c>
      <c r="F22350">
        <v>6.07</v>
      </c>
      <c r="G22350">
        <v>231204</v>
      </c>
      <c r="H22350">
        <v>4362</v>
      </c>
      <c r="I22350" t="s">
        <v>79</v>
      </c>
      <c r="J22350">
        <v>7.53</v>
      </c>
      <c r="K22350">
        <v>1.46</v>
      </c>
      <c r="L22350">
        <v>17533</v>
      </c>
      <c r="M22350" t="s">
        <v>990</v>
      </c>
      <c r="N22350" t="str">
        <f t="shared" si="420"/>
        <v xml:space="preserve">12349023379 </v>
      </c>
      <c r="O22350">
        <v>231211</v>
      </c>
    </row>
    <row r="22351" spans="1:15" x14ac:dyDescent="0.25">
      <c r="A22351" t="s">
        <v>16</v>
      </c>
      <c r="B22351" t="s">
        <v>3221</v>
      </c>
      <c r="C22351">
        <v>16887</v>
      </c>
      <c r="D22351" t="s">
        <v>263</v>
      </c>
      <c r="E22351" t="s">
        <v>264</v>
      </c>
      <c r="F22351">
        <v>5.74</v>
      </c>
      <c r="G22351">
        <v>231204</v>
      </c>
      <c r="H22351">
        <v>4362</v>
      </c>
      <c r="I22351" t="s">
        <v>79</v>
      </c>
      <c r="J22351">
        <v>7.12</v>
      </c>
      <c r="K22351">
        <v>1.38</v>
      </c>
      <c r="L22351">
        <v>17534</v>
      </c>
      <c r="M22351" t="s">
        <v>440</v>
      </c>
      <c r="N22351" t="str">
        <f t="shared" si="420"/>
        <v xml:space="preserve">12349023379 </v>
      </c>
      <c r="O22351">
        <v>231211</v>
      </c>
    </row>
    <row r="22352" spans="1:15" x14ac:dyDescent="0.25">
      <c r="A22352" t="s">
        <v>16</v>
      </c>
      <c r="B22352" t="s">
        <v>3221</v>
      </c>
      <c r="C22352">
        <v>16887</v>
      </c>
      <c r="D22352" t="s">
        <v>263</v>
      </c>
      <c r="E22352" t="s">
        <v>264</v>
      </c>
      <c r="F22352">
        <v>2.7</v>
      </c>
      <c r="G22352">
        <v>231204</v>
      </c>
      <c r="H22352">
        <v>4362</v>
      </c>
      <c r="I22352" t="s">
        <v>79</v>
      </c>
      <c r="J22352">
        <v>3.35</v>
      </c>
      <c r="K22352">
        <v>0.65</v>
      </c>
      <c r="L22352">
        <v>17535</v>
      </c>
      <c r="M22352" t="s">
        <v>357</v>
      </c>
      <c r="N22352" t="str">
        <f t="shared" si="420"/>
        <v xml:space="preserve">12349023379 </v>
      </c>
      <c r="O22352">
        <v>231211</v>
      </c>
    </row>
    <row r="22353" spans="1:15" x14ac:dyDescent="0.25">
      <c r="A22353" t="s">
        <v>16</v>
      </c>
      <c r="B22353" t="s">
        <v>3221</v>
      </c>
      <c r="C22353">
        <v>16887</v>
      </c>
      <c r="D22353" t="s">
        <v>263</v>
      </c>
      <c r="E22353" t="s">
        <v>264</v>
      </c>
      <c r="F22353">
        <v>5.4</v>
      </c>
      <c r="G22353">
        <v>231204</v>
      </c>
      <c r="H22353">
        <v>4362</v>
      </c>
      <c r="I22353" t="s">
        <v>79</v>
      </c>
      <c r="J22353">
        <v>6.7</v>
      </c>
      <c r="K22353">
        <v>1.3</v>
      </c>
      <c r="L22353">
        <v>17536</v>
      </c>
      <c r="M22353" t="s">
        <v>734</v>
      </c>
      <c r="N22353" t="str">
        <f t="shared" si="420"/>
        <v xml:space="preserve">12349023379 </v>
      </c>
      <c r="O22353">
        <v>231211</v>
      </c>
    </row>
    <row r="22354" spans="1:15" x14ac:dyDescent="0.25">
      <c r="A22354" t="s">
        <v>16</v>
      </c>
      <c r="B22354" t="s">
        <v>3221</v>
      </c>
      <c r="C22354">
        <v>16887</v>
      </c>
      <c r="D22354" t="s">
        <v>263</v>
      </c>
      <c r="E22354" t="s">
        <v>264</v>
      </c>
      <c r="F22354">
        <v>8.76</v>
      </c>
      <c r="G22354">
        <v>231204</v>
      </c>
      <c r="H22354">
        <v>4362</v>
      </c>
      <c r="I22354" t="s">
        <v>79</v>
      </c>
      <c r="J22354">
        <v>10.86</v>
      </c>
      <c r="K22354">
        <v>2.1</v>
      </c>
      <c r="L22354">
        <v>17537</v>
      </c>
      <c r="M22354" t="s">
        <v>455</v>
      </c>
      <c r="N22354" t="str">
        <f t="shared" si="420"/>
        <v xml:space="preserve">12349023379 </v>
      </c>
      <c r="O22354">
        <v>231211</v>
      </c>
    </row>
    <row r="22355" spans="1:15" x14ac:dyDescent="0.25">
      <c r="A22355" t="s">
        <v>16</v>
      </c>
      <c r="B22355" t="s">
        <v>3221</v>
      </c>
      <c r="C22355">
        <v>16887</v>
      </c>
      <c r="D22355" t="s">
        <v>263</v>
      </c>
      <c r="E22355" t="s">
        <v>264</v>
      </c>
      <c r="F22355">
        <v>14.58</v>
      </c>
      <c r="G22355">
        <v>231204</v>
      </c>
      <c r="H22355">
        <v>4362</v>
      </c>
      <c r="I22355" t="s">
        <v>79</v>
      </c>
      <c r="J22355">
        <v>18.079999999999998</v>
      </c>
      <c r="K22355">
        <v>3.5</v>
      </c>
      <c r="L22355">
        <v>17538</v>
      </c>
      <c r="M22355" t="s">
        <v>24</v>
      </c>
      <c r="N22355" t="str">
        <f t="shared" si="420"/>
        <v xml:space="preserve">12349023379 </v>
      </c>
      <c r="O22355">
        <v>231211</v>
      </c>
    </row>
    <row r="22356" spans="1:15" x14ac:dyDescent="0.25">
      <c r="A22356" t="s">
        <v>16</v>
      </c>
      <c r="B22356" t="s">
        <v>3221</v>
      </c>
      <c r="C22356">
        <v>16887</v>
      </c>
      <c r="D22356" t="s">
        <v>263</v>
      </c>
      <c r="E22356" t="s">
        <v>264</v>
      </c>
      <c r="F22356">
        <v>12.15</v>
      </c>
      <c r="G22356">
        <v>231204</v>
      </c>
      <c r="H22356">
        <v>4362</v>
      </c>
      <c r="I22356" t="s">
        <v>79</v>
      </c>
      <c r="J22356">
        <v>15.07</v>
      </c>
      <c r="K22356">
        <v>2.92</v>
      </c>
      <c r="L22356">
        <v>17950</v>
      </c>
      <c r="M22356" t="s">
        <v>86</v>
      </c>
      <c r="N22356" t="str">
        <f t="shared" si="420"/>
        <v xml:space="preserve">12349023379 </v>
      </c>
      <c r="O22356">
        <v>231211</v>
      </c>
    </row>
    <row r="22357" spans="1:15" x14ac:dyDescent="0.25">
      <c r="A22357" t="s">
        <v>16</v>
      </c>
      <c r="B22357" t="s">
        <v>3221</v>
      </c>
      <c r="C22357">
        <v>16887</v>
      </c>
      <c r="D22357" t="s">
        <v>263</v>
      </c>
      <c r="E22357" t="s">
        <v>264</v>
      </c>
      <c r="F22357">
        <v>2.7</v>
      </c>
      <c r="G22357">
        <v>231204</v>
      </c>
      <c r="H22357">
        <v>4362</v>
      </c>
      <c r="I22357" t="s">
        <v>79</v>
      </c>
      <c r="J22357">
        <v>3.35</v>
      </c>
      <c r="K22357">
        <v>0.65</v>
      </c>
      <c r="L22357">
        <v>17956</v>
      </c>
      <c r="M22357" t="s">
        <v>53</v>
      </c>
      <c r="N22357" t="str">
        <f t="shared" si="420"/>
        <v xml:space="preserve">12349023379 </v>
      </c>
      <c r="O22357">
        <v>231211</v>
      </c>
    </row>
    <row r="22358" spans="1:15" x14ac:dyDescent="0.25">
      <c r="A22358" t="s">
        <v>16</v>
      </c>
      <c r="B22358" t="s">
        <v>3221</v>
      </c>
      <c r="C22358">
        <v>16887</v>
      </c>
      <c r="D22358" t="s">
        <v>263</v>
      </c>
      <c r="E22358" t="s">
        <v>264</v>
      </c>
      <c r="F22358">
        <v>13.48</v>
      </c>
      <c r="G22358">
        <v>231204</v>
      </c>
      <c r="H22358">
        <v>4362</v>
      </c>
      <c r="I22358" t="s">
        <v>79</v>
      </c>
      <c r="J22358">
        <v>16.71</v>
      </c>
      <c r="K22358">
        <v>3.23</v>
      </c>
      <c r="L22358">
        <v>17971</v>
      </c>
      <c r="M22358" t="s">
        <v>138</v>
      </c>
      <c r="N22358" t="str">
        <f t="shared" si="420"/>
        <v xml:space="preserve">12349023379 </v>
      </c>
      <c r="O22358">
        <v>231211</v>
      </c>
    </row>
    <row r="22359" spans="1:15" x14ac:dyDescent="0.25">
      <c r="A22359" t="s">
        <v>16</v>
      </c>
      <c r="B22359" t="s">
        <v>3221</v>
      </c>
      <c r="C22359">
        <v>16887</v>
      </c>
      <c r="D22359" t="s">
        <v>263</v>
      </c>
      <c r="E22359" t="s">
        <v>264</v>
      </c>
      <c r="F22359">
        <v>5.46</v>
      </c>
      <c r="G22359">
        <v>231204</v>
      </c>
      <c r="H22359">
        <v>4362</v>
      </c>
      <c r="I22359" t="s">
        <v>79</v>
      </c>
      <c r="J22359">
        <v>6.77</v>
      </c>
      <c r="K22359">
        <v>1.31</v>
      </c>
      <c r="L22359">
        <v>17972</v>
      </c>
      <c r="M22359" t="s">
        <v>248</v>
      </c>
      <c r="N22359" t="str">
        <f t="shared" si="420"/>
        <v xml:space="preserve">12349023379 </v>
      </c>
      <c r="O22359">
        <v>231211</v>
      </c>
    </row>
    <row r="22360" spans="1:15" x14ac:dyDescent="0.25">
      <c r="A22360" t="s">
        <v>16</v>
      </c>
      <c r="B22360" t="s">
        <v>3221</v>
      </c>
      <c r="C22360">
        <v>16887</v>
      </c>
      <c r="D22360" t="s">
        <v>263</v>
      </c>
      <c r="E22360" t="s">
        <v>264</v>
      </c>
      <c r="F22360">
        <v>2.7</v>
      </c>
      <c r="G22360">
        <v>231204</v>
      </c>
      <c r="H22360">
        <v>4362</v>
      </c>
      <c r="I22360" t="s">
        <v>79</v>
      </c>
      <c r="J22360">
        <v>3.35</v>
      </c>
      <c r="K22360">
        <v>0.65</v>
      </c>
      <c r="L22360">
        <v>17974</v>
      </c>
      <c r="M22360" t="s">
        <v>460</v>
      </c>
      <c r="N22360" t="str">
        <f t="shared" si="420"/>
        <v xml:space="preserve">12349023379 </v>
      </c>
      <c r="O22360">
        <v>231211</v>
      </c>
    </row>
    <row r="22361" spans="1:15" x14ac:dyDescent="0.25">
      <c r="A22361" t="s">
        <v>16</v>
      </c>
      <c r="B22361" t="s">
        <v>3221</v>
      </c>
      <c r="C22361">
        <v>16887</v>
      </c>
      <c r="D22361" t="s">
        <v>263</v>
      </c>
      <c r="E22361" t="s">
        <v>264</v>
      </c>
      <c r="F22361">
        <v>8.1</v>
      </c>
      <c r="G22361">
        <v>231204</v>
      </c>
      <c r="H22361">
        <v>4362</v>
      </c>
      <c r="I22361" t="s">
        <v>79</v>
      </c>
      <c r="J22361">
        <v>10.039999999999999</v>
      </c>
      <c r="K22361">
        <v>1.94</v>
      </c>
      <c r="L22361">
        <v>17975</v>
      </c>
      <c r="M22361" t="s">
        <v>798</v>
      </c>
      <c r="N22361" t="str">
        <f t="shared" si="420"/>
        <v xml:space="preserve">12349023379 </v>
      </c>
      <c r="O22361">
        <v>231211</v>
      </c>
    </row>
    <row r="22362" spans="1:15" x14ac:dyDescent="0.25">
      <c r="A22362" t="s">
        <v>16</v>
      </c>
      <c r="B22362" t="s">
        <v>3221</v>
      </c>
      <c r="C22362">
        <v>16896</v>
      </c>
      <c r="D22362" t="s">
        <v>263</v>
      </c>
      <c r="E22362" t="s">
        <v>264</v>
      </c>
      <c r="F22362">
        <v>21.52</v>
      </c>
      <c r="G22362">
        <v>231204</v>
      </c>
      <c r="H22362">
        <v>4362</v>
      </c>
      <c r="I22362" t="s">
        <v>79</v>
      </c>
      <c r="J22362">
        <v>26.68</v>
      </c>
      <c r="K22362">
        <v>5.16</v>
      </c>
      <c r="L22362">
        <v>47522</v>
      </c>
      <c r="M22362" t="s">
        <v>410</v>
      </c>
      <c r="N22362" t="str">
        <f>"12349023366 "</f>
        <v xml:space="preserve">12349023366 </v>
      </c>
      <c r="O22362">
        <v>231211</v>
      </c>
    </row>
    <row r="22363" spans="1:15" x14ac:dyDescent="0.25">
      <c r="A22363" t="s">
        <v>16</v>
      </c>
      <c r="B22363" t="s">
        <v>3221</v>
      </c>
      <c r="C22363">
        <v>16896</v>
      </c>
      <c r="D22363" t="s">
        <v>263</v>
      </c>
      <c r="E22363" t="s">
        <v>264</v>
      </c>
      <c r="F22363">
        <v>8.1999999999999993</v>
      </c>
      <c r="G22363">
        <v>231204</v>
      </c>
      <c r="H22363">
        <v>4362</v>
      </c>
      <c r="I22363" t="s">
        <v>79</v>
      </c>
      <c r="J22363">
        <v>8.1999999999999993</v>
      </c>
      <c r="K22363">
        <v>0</v>
      </c>
      <c r="L22363">
        <v>49702</v>
      </c>
      <c r="M22363" t="s">
        <v>584</v>
      </c>
      <c r="N22363" t="str">
        <f>"12349023366 "</f>
        <v xml:space="preserve">12349023366 </v>
      </c>
      <c r="O22363">
        <v>231211</v>
      </c>
    </row>
    <row r="22364" spans="1:15" x14ac:dyDescent="0.25">
      <c r="A22364" t="s">
        <v>16</v>
      </c>
      <c r="B22364" t="s">
        <v>3221</v>
      </c>
      <c r="C22364">
        <v>16904</v>
      </c>
      <c r="D22364" t="s">
        <v>263</v>
      </c>
      <c r="E22364" t="s">
        <v>264</v>
      </c>
      <c r="F22364">
        <v>22.3</v>
      </c>
      <c r="G22364">
        <v>231204</v>
      </c>
      <c r="H22364">
        <v>4362</v>
      </c>
      <c r="I22364" t="s">
        <v>79</v>
      </c>
      <c r="J22364">
        <v>27.65</v>
      </c>
      <c r="K22364">
        <v>5.35</v>
      </c>
      <c r="L22364">
        <v>16121</v>
      </c>
      <c r="M22364" t="s">
        <v>21</v>
      </c>
      <c r="N22364" t="str">
        <f t="shared" ref="N22364:N22372" si="421">"12349023380 "</f>
        <v xml:space="preserve">12349023380 </v>
      </c>
      <c r="O22364">
        <v>231211</v>
      </c>
    </row>
    <row r="22365" spans="1:15" x14ac:dyDescent="0.25">
      <c r="A22365" t="s">
        <v>16</v>
      </c>
      <c r="B22365" t="s">
        <v>3221</v>
      </c>
      <c r="C22365">
        <v>16904</v>
      </c>
      <c r="D22365" t="s">
        <v>263</v>
      </c>
      <c r="E22365" t="s">
        <v>264</v>
      </c>
      <c r="F22365">
        <v>6.07</v>
      </c>
      <c r="G22365">
        <v>231204</v>
      </c>
      <c r="H22365">
        <v>4362</v>
      </c>
      <c r="I22365" t="s">
        <v>79</v>
      </c>
      <c r="J22365">
        <v>7.53</v>
      </c>
      <c r="K22365">
        <v>1.46</v>
      </c>
      <c r="L22365">
        <v>16322</v>
      </c>
      <c r="M22365" t="s">
        <v>22</v>
      </c>
      <c r="N22365" t="str">
        <f t="shared" si="421"/>
        <v xml:space="preserve">12349023380 </v>
      </c>
      <c r="O22365">
        <v>231211</v>
      </c>
    </row>
    <row r="22366" spans="1:15" x14ac:dyDescent="0.25">
      <c r="A22366" t="s">
        <v>16</v>
      </c>
      <c r="B22366" t="s">
        <v>3221</v>
      </c>
      <c r="C22366">
        <v>16904</v>
      </c>
      <c r="D22366" t="s">
        <v>263</v>
      </c>
      <c r="E22366" t="s">
        <v>264</v>
      </c>
      <c r="F22366">
        <v>2.69</v>
      </c>
      <c r="G22366">
        <v>231204</v>
      </c>
      <c r="H22366">
        <v>4362</v>
      </c>
      <c r="I22366" t="s">
        <v>79</v>
      </c>
      <c r="J22366">
        <v>3.34</v>
      </c>
      <c r="K22366">
        <v>0.65</v>
      </c>
      <c r="L22366">
        <v>16820</v>
      </c>
      <c r="M22366" t="s">
        <v>23</v>
      </c>
      <c r="N22366" t="str">
        <f t="shared" si="421"/>
        <v xml:space="preserve">12349023380 </v>
      </c>
      <c r="O22366">
        <v>231211</v>
      </c>
    </row>
    <row r="22367" spans="1:15" x14ac:dyDescent="0.25">
      <c r="A22367" t="s">
        <v>16</v>
      </c>
      <c r="B22367" t="s">
        <v>3221</v>
      </c>
      <c r="C22367">
        <v>16904</v>
      </c>
      <c r="D22367" t="s">
        <v>263</v>
      </c>
      <c r="E22367" t="s">
        <v>264</v>
      </c>
      <c r="F22367">
        <v>5.4</v>
      </c>
      <c r="G22367">
        <v>231204</v>
      </c>
      <c r="H22367">
        <v>4362</v>
      </c>
      <c r="I22367" t="s">
        <v>79</v>
      </c>
      <c r="J22367">
        <v>6.7</v>
      </c>
      <c r="K22367">
        <v>1.3</v>
      </c>
      <c r="L22367">
        <v>16820</v>
      </c>
      <c r="M22367" t="s">
        <v>23</v>
      </c>
      <c r="N22367" t="str">
        <f t="shared" si="421"/>
        <v xml:space="preserve">12349023380 </v>
      </c>
      <c r="O22367">
        <v>231211</v>
      </c>
    </row>
    <row r="22368" spans="1:15" x14ac:dyDescent="0.25">
      <c r="A22368" t="s">
        <v>16</v>
      </c>
      <c r="B22368" t="s">
        <v>3221</v>
      </c>
      <c r="C22368">
        <v>16904</v>
      </c>
      <c r="D22368" t="s">
        <v>263</v>
      </c>
      <c r="E22368" t="s">
        <v>264</v>
      </c>
      <c r="F22368">
        <v>2.7</v>
      </c>
      <c r="G22368">
        <v>231204</v>
      </c>
      <c r="H22368">
        <v>4362</v>
      </c>
      <c r="I22368" t="s">
        <v>79</v>
      </c>
      <c r="J22368">
        <v>3.35</v>
      </c>
      <c r="K22368">
        <v>0.65</v>
      </c>
      <c r="L22368">
        <v>17950</v>
      </c>
      <c r="M22368" t="s">
        <v>86</v>
      </c>
      <c r="N22368" t="str">
        <f t="shared" si="421"/>
        <v xml:space="preserve">12349023380 </v>
      </c>
      <c r="O22368">
        <v>231211</v>
      </c>
    </row>
    <row r="22369" spans="1:15" x14ac:dyDescent="0.25">
      <c r="A22369" t="s">
        <v>16</v>
      </c>
      <c r="B22369" t="s">
        <v>3221</v>
      </c>
      <c r="C22369">
        <v>16904</v>
      </c>
      <c r="D22369" t="s">
        <v>263</v>
      </c>
      <c r="E22369" t="s">
        <v>264</v>
      </c>
      <c r="F22369">
        <v>3.04</v>
      </c>
      <c r="G22369">
        <v>231204</v>
      </c>
      <c r="H22369">
        <v>4362</v>
      </c>
      <c r="I22369" t="s">
        <v>79</v>
      </c>
      <c r="J22369">
        <v>3.77</v>
      </c>
      <c r="K22369">
        <v>0.73</v>
      </c>
      <c r="L22369">
        <v>17971</v>
      </c>
      <c r="M22369" t="s">
        <v>138</v>
      </c>
      <c r="N22369" t="str">
        <f t="shared" si="421"/>
        <v xml:space="preserve">12349023380 </v>
      </c>
      <c r="O22369">
        <v>231211</v>
      </c>
    </row>
    <row r="22370" spans="1:15" x14ac:dyDescent="0.25">
      <c r="A22370" t="s">
        <v>16</v>
      </c>
      <c r="B22370" t="s">
        <v>3221</v>
      </c>
      <c r="C22370">
        <v>16904</v>
      </c>
      <c r="D22370" t="s">
        <v>263</v>
      </c>
      <c r="E22370" t="s">
        <v>264</v>
      </c>
      <c r="F22370">
        <v>2.7</v>
      </c>
      <c r="G22370">
        <v>231204</v>
      </c>
      <c r="H22370">
        <v>4362</v>
      </c>
      <c r="I22370" t="s">
        <v>79</v>
      </c>
      <c r="J22370">
        <v>3.35</v>
      </c>
      <c r="K22370">
        <v>0.65</v>
      </c>
      <c r="L22370">
        <v>17972</v>
      </c>
      <c r="M22370" t="s">
        <v>248</v>
      </c>
      <c r="N22370" t="str">
        <f t="shared" si="421"/>
        <v xml:space="preserve">12349023380 </v>
      </c>
      <c r="O22370">
        <v>231211</v>
      </c>
    </row>
    <row r="22371" spans="1:15" x14ac:dyDescent="0.25">
      <c r="A22371" t="s">
        <v>16</v>
      </c>
      <c r="B22371" t="s">
        <v>3221</v>
      </c>
      <c r="C22371">
        <v>16904</v>
      </c>
      <c r="D22371" t="s">
        <v>263</v>
      </c>
      <c r="E22371" t="s">
        <v>264</v>
      </c>
      <c r="F22371">
        <v>2.5499999999999998</v>
      </c>
      <c r="G22371">
        <v>231204</v>
      </c>
      <c r="H22371">
        <v>4362</v>
      </c>
      <c r="I22371" t="s">
        <v>79</v>
      </c>
      <c r="J22371">
        <v>3.16</v>
      </c>
      <c r="K22371">
        <v>0.61</v>
      </c>
      <c r="L22371">
        <v>17974</v>
      </c>
      <c r="M22371" t="s">
        <v>460</v>
      </c>
      <c r="N22371" t="str">
        <f t="shared" si="421"/>
        <v xml:space="preserve">12349023380 </v>
      </c>
      <c r="O22371">
        <v>231211</v>
      </c>
    </row>
    <row r="22372" spans="1:15" x14ac:dyDescent="0.25">
      <c r="A22372" t="s">
        <v>16</v>
      </c>
      <c r="B22372" t="s">
        <v>3221</v>
      </c>
      <c r="C22372">
        <v>16904</v>
      </c>
      <c r="D22372" t="s">
        <v>263</v>
      </c>
      <c r="E22372" t="s">
        <v>264</v>
      </c>
      <c r="F22372">
        <v>2.74</v>
      </c>
      <c r="G22372">
        <v>231204</v>
      </c>
      <c r="H22372">
        <v>4362</v>
      </c>
      <c r="I22372" t="s">
        <v>79</v>
      </c>
      <c r="J22372">
        <v>3.4</v>
      </c>
      <c r="K22372">
        <v>0.66</v>
      </c>
      <c r="L22372">
        <v>17974</v>
      </c>
      <c r="M22372" t="s">
        <v>460</v>
      </c>
      <c r="N22372" t="str">
        <f t="shared" si="421"/>
        <v xml:space="preserve">12349023380 </v>
      </c>
      <c r="O22372">
        <v>231211</v>
      </c>
    </row>
    <row r="22373" spans="1:15" x14ac:dyDescent="0.25">
      <c r="A22373" t="s">
        <v>16</v>
      </c>
      <c r="B22373" t="s">
        <v>3221</v>
      </c>
      <c r="C22373">
        <v>16916</v>
      </c>
      <c r="D22373" t="s">
        <v>263</v>
      </c>
      <c r="E22373" t="s">
        <v>264</v>
      </c>
      <c r="F22373">
        <v>5.91</v>
      </c>
      <c r="G22373">
        <v>231204</v>
      </c>
      <c r="H22373">
        <v>4362</v>
      </c>
      <c r="I22373" t="s">
        <v>79</v>
      </c>
      <c r="J22373">
        <v>7.33</v>
      </c>
      <c r="K22373">
        <v>1.42</v>
      </c>
      <c r="L22373">
        <v>44222</v>
      </c>
      <c r="M22373" t="s">
        <v>232</v>
      </c>
      <c r="N22373" t="str">
        <f>"12349023371 "</f>
        <v xml:space="preserve">12349023371 </v>
      </c>
      <c r="O22373">
        <v>231211</v>
      </c>
    </row>
    <row r="22374" spans="1:15" x14ac:dyDescent="0.25">
      <c r="A22374" t="s">
        <v>16</v>
      </c>
      <c r="B22374" t="s">
        <v>3221</v>
      </c>
      <c r="C22374">
        <v>16916</v>
      </c>
      <c r="D22374" t="s">
        <v>263</v>
      </c>
      <c r="E22374" t="s">
        <v>264</v>
      </c>
      <c r="F22374">
        <v>24.82</v>
      </c>
      <c r="G22374">
        <v>231204</v>
      </c>
      <c r="H22374">
        <v>4362</v>
      </c>
      <c r="I22374" t="s">
        <v>79</v>
      </c>
      <c r="J22374">
        <v>30.78</v>
      </c>
      <c r="K22374">
        <v>5.96</v>
      </c>
      <c r="L22374">
        <v>44222</v>
      </c>
      <c r="M22374" t="s">
        <v>232</v>
      </c>
      <c r="N22374" t="str">
        <f>"12349023371 "</f>
        <v xml:space="preserve">12349023371 </v>
      </c>
      <c r="O22374">
        <v>231211</v>
      </c>
    </row>
    <row r="22375" spans="1:15" x14ac:dyDescent="0.25">
      <c r="A22375" t="s">
        <v>16</v>
      </c>
      <c r="B22375" t="s">
        <v>3221</v>
      </c>
      <c r="C22375">
        <v>16916</v>
      </c>
      <c r="D22375" t="s">
        <v>263</v>
      </c>
      <c r="E22375" t="s">
        <v>264</v>
      </c>
      <c r="F22375">
        <v>2.7</v>
      </c>
      <c r="G22375">
        <v>231204</v>
      </c>
      <c r="H22375">
        <v>4362</v>
      </c>
      <c r="I22375" t="s">
        <v>79</v>
      </c>
      <c r="J22375">
        <v>3.35</v>
      </c>
      <c r="K22375">
        <v>0.65</v>
      </c>
      <c r="L22375">
        <v>44251</v>
      </c>
      <c r="M22375" t="s">
        <v>156</v>
      </c>
      <c r="N22375" t="str">
        <f>"12349023371 "</f>
        <v xml:space="preserve">12349023371 </v>
      </c>
      <c r="O22375">
        <v>231211</v>
      </c>
    </row>
    <row r="22376" spans="1:15" x14ac:dyDescent="0.25">
      <c r="A22376" t="s">
        <v>16</v>
      </c>
      <c r="B22376" t="s">
        <v>3221</v>
      </c>
      <c r="C22376">
        <v>16916</v>
      </c>
      <c r="D22376" t="s">
        <v>263</v>
      </c>
      <c r="E22376" t="s">
        <v>264</v>
      </c>
      <c r="F22376">
        <v>2.5499999999999998</v>
      </c>
      <c r="G22376">
        <v>231204</v>
      </c>
      <c r="H22376">
        <v>4362</v>
      </c>
      <c r="I22376" t="s">
        <v>79</v>
      </c>
      <c r="J22376">
        <v>3.16</v>
      </c>
      <c r="K22376">
        <v>0.61</v>
      </c>
      <c r="L22376">
        <v>44253</v>
      </c>
      <c r="M22376" t="s">
        <v>1058</v>
      </c>
      <c r="N22376" t="str">
        <f>"12349023371 "</f>
        <v xml:space="preserve">12349023371 </v>
      </c>
      <c r="O22376">
        <v>231211</v>
      </c>
    </row>
    <row r="22377" spans="1:15" x14ac:dyDescent="0.25">
      <c r="A22377" t="s">
        <v>16</v>
      </c>
      <c r="B22377" t="s">
        <v>3221</v>
      </c>
      <c r="C22377">
        <v>16916</v>
      </c>
      <c r="D22377" t="s">
        <v>263</v>
      </c>
      <c r="E22377" t="s">
        <v>264</v>
      </c>
      <c r="F22377">
        <v>6.51</v>
      </c>
      <c r="G22377">
        <v>231204</v>
      </c>
      <c r="H22377">
        <v>4362</v>
      </c>
      <c r="I22377" t="s">
        <v>79</v>
      </c>
      <c r="J22377">
        <v>6.51</v>
      </c>
      <c r="K22377">
        <v>0</v>
      </c>
      <c r="L22377">
        <v>49702</v>
      </c>
      <c r="M22377" t="s">
        <v>584</v>
      </c>
      <c r="N22377" t="str">
        <f>"12349023371 "</f>
        <v xml:space="preserve">12349023371 </v>
      </c>
      <c r="O22377">
        <v>231211</v>
      </c>
    </row>
    <row r="22378" spans="1:15" x14ac:dyDescent="0.25">
      <c r="A22378" t="s">
        <v>16</v>
      </c>
      <c r="B22378" t="s">
        <v>3221</v>
      </c>
      <c r="C22378">
        <v>16918</v>
      </c>
      <c r="D22378" t="s">
        <v>263</v>
      </c>
      <c r="E22378" t="s">
        <v>264</v>
      </c>
      <c r="F22378">
        <v>28.51</v>
      </c>
      <c r="G22378">
        <v>231204</v>
      </c>
      <c r="H22378">
        <v>4362</v>
      </c>
      <c r="I22378" t="s">
        <v>79</v>
      </c>
      <c r="J22378">
        <v>35.35</v>
      </c>
      <c r="K22378">
        <v>6.84</v>
      </c>
      <c r="L22378">
        <v>49501</v>
      </c>
      <c r="M22378" t="s">
        <v>177</v>
      </c>
      <c r="N22378" t="str">
        <f>"12349023363 "</f>
        <v xml:space="preserve">12349023363 </v>
      </c>
      <c r="O22378">
        <v>231211</v>
      </c>
    </row>
    <row r="22379" spans="1:15" x14ac:dyDescent="0.25">
      <c r="A22379" t="s">
        <v>16</v>
      </c>
      <c r="B22379" t="s">
        <v>3221</v>
      </c>
      <c r="C22379">
        <v>16923</v>
      </c>
      <c r="D22379" t="s">
        <v>263</v>
      </c>
      <c r="E22379" t="s">
        <v>264</v>
      </c>
      <c r="F22379">
        <v>7.08</v>
      </c>
      <c r="G22379">
        <v>231204</v>
      </c>
      <c r="H22379">
        <v>4362</v>
      </c>
      <c r="I22379" t="s">
        <v>79</v>
      </c>
      <c r="J22379">
        <v>8.7799999999999994</v>
      </c>
      <c r="K22379">
        <v>1.7</v>
      </c>
      <c r="L22379">
        <v>49701</v>
      </c>
      <c r="M22379" t="s">
        <v>166</v>
      </c>
      <c r="N22379" t="str">
        <f>"12349023365 "</f>
        <v xml:space="preserve">12349023365 </v>
      </c>
      <c r="O22379">
        <v>231211</v>
      </c>
    </row>
    <row r="22380" spans="1:15" x14ac:dyDescent="0.25">
      <c r="A22380" t="s">
        <v>16</v>
      </c>
      <c r="B22380" t="s">
        <v>3221</v>
      </c>
      <c r="C22380">
        <v>16923</v>
      </c>
      <c r="D22380" t="s">
        <v>263</v>
      </c>
      <c r="E22380" t="s">
        <v>264</v>
      </c>
      <c r="F22380">
        <v>5.4</v>
      </c>
      <c r="G22380">
        <v>231204</v>
      </c>
      <c r="H22380">
        <v>4362</v>
      </c>
      <c r="I22380" t="s">
        <v>79</v>
      </c>
      <c r="J22380">
        <v>6.7</v>
      </c>
      <c r="K22380">
        <v>1.3</v>
      </c>
      <c r="L22380">
        <v>49702</v>
      </c>
      <c r="M22380" t="s">
        <v>584</v>
      </c>
      <c r="N22380" t="str">
        <f>"12349023365 "</f>
        <v xml:space="preserve">12349023365 </v>
      </c>
      <c r="O22380">
        <v>231211</v>
      </c>
    </row>
    <row r="22381" spans="1:15" x14ac:dyDescent="0.25">
      <c r="A22381" t="s">
        <v>16</v>
      </c>
      <c r="B22381" t="s">
        <v>3221</v>
      </c>
      <c r="C22381">
        <v>16927</v>
      </c>
      <c r="D22381" t="s">
        <v>263</v>
      </c>
      <c r="E22381" t="s">
        <v>264</v>
      </c>
      <c r="F22381">
        <v>2.11</v>
      </c>
      <c r="G22381">
        <v>231204</v>
      </c>
      <c r="H22381">
        <v>4362</v>
      </c>
      <c r="I22381" t="s">
        <v>79</v>
      </c>
      <c r="J22381">
        <v>2.62</v>
      </c>
      <c r="K22381">
        <v>0.51</v>
      </c>
      <c r="L22381">
        <v>41126</v>
      </c>
      <c r="M22381" t="s">
        <v>761</v>
      </c>
      <c r="N22381" t="str">
        <f t="shared" ref="N22381:N22386" si="422">"12349023375 "</f>
        <v xml:space="preserve">12349023375 </v>
      </c>
      <c r="O22381">
        <v>231211</v>
      </c>
    </row>
    <row r="22382" spans="1:15" x14ac:dyDescent="0.25">
      <c r="A22382" t="s">
        <v>16</v>
      </c>
      <c r="B22382" t="s">
        <v>3221</v>
      </c>
      <c r="C22382">
        <v>16927</v>
      </c>
      <c r="D22382" t="s">
        <v>263</v>
      </c>
      <c r="E22382" t="s">
        <v>264</v>
      </c>
      <c r="F22382">
        <v>1.63</v>
      </c>
      <c r="G22382">
        <v>231204</v>
      </c>
      <c r="H22382">
        <v>4362</v>
      </c>
      <c r="I22382" t="s">
        <v>79</v>
      </c>
      <c r="J22382">
        <v>2.02</v>
      </c>
      <c r="K22382">
        <v>0.39</v>
      </c>
      <c r="L22382">
        <v>43222</v>
      </c>
      <c r="M22382" t="s">
        <v>507</v>
      </c>
      <c r="N22382" t="str">
        <f t="shared" si="422"/>
        <v xml:space="preserve">12349023375 </v>
      </c>
      <c r="O22382">
        <v>231211</v>
      </c>
    </row>
    <row r="22383" spans="1:15" x14ac:dyDescent="0.25">
      <c r="A22383" t="s">
        <v>16</v>
      </c>
      <c r="B22383" t="s">
        <v>3221</v>
      </c>
      <c r="C22383">
        <v>16927</v>
      </c>
      <c r="D22383" t="s">
        <v>263</v>
      </c>
      <c r="E22383" t="s">
        <v>264</v>
      </c>
      <c r="F22383">
        <v>1.96</v>
      </c>
      <c r="G22383">
        <v>231204</v>
      </c>
      <c r="H22383">
        <v>4362</v>
      </c>
      <c r="I22383" t="s">
        <v>79</v>
      </c>
      <c r="J22383">
        <v>2.4300000000000002</v>
      </c>
      <c r="K22383">
        <v>0.47</v>
      </c>
      <c r="L22383">
        <v>44222</v>
      </c>
      <c r="M22383" t="s">
        <v>232</v>
      </c>
      <c r="N22383" t="str">
        <f t="shared" si="422"/>
        <v xml:space="preserve">12349023375 </v>
      </c>
      <c r="O22383">
        <v>231211</v>
      </c>
    </row>
    <row r="22384" spans="1:15" x14ac:dyDescent="0.25">
      <c r="A22384" t="s">
        <v>16</v>
      </c>
      <c r="B22384" t="s">
        <v>3221</v>
      </c>
      <c r="C22384">
        <v>16927</v>
      </c>
      <c r="D22384" t="s">
        <v>263</v>
      </c>
      <c r="E22384" t="s">
        <v>264</v>
      </c>
      <c r="F22384">
        <v>2.11</v>
      </c>
      <c r="G22384">
        <v>231204</v>
      </c>
      <c r="H22384">
        <v>4362</v>
      </c>
      <c r="I22384" t="s">
        <v>79</v>
      </c>
      <c r="J22384">
        <v>2.62</v>
      </c>
      <c r="K22384">
        <v>0.51</v>
      </c>
      <c r="L22384">
        <v>44424</v>
      </c>
      <c r="M22384" t="s">
        <v>776</v>
      </c>
      <c r="N22384" t="str">
        <f t="shared" si="422"/>
        <v xml:space="preserve">12349023375 </v>
      </c>
      <c r="O22384">
        <v>231211</v>
      </c>
    </row>
    <row r="22385" spans="1:15" x14ac:dyDescent="0.25">
      <c r="A22385" t="s">
        <v>16</v>
      </c>
      <c r="B22385" t="s">
        <v>3221</v>
      </c>
      <c r="C22385">
        <v>16927</v>
      </c>
      <c r="D22385" t="s">
        <v>263</v>
      </c>
      <c r="E22385" t="s">
        <v>264</v>
      </c>
      <c r="F22385">
        <v>1.1499999999999999</v>
      </c>
      <c r="G22385">
        <v>231204</v>
      </c>
      <c r="H22385">
        <v>4362</v>
      </c>
      <c r="I22385" t="s">
        <v>79</v>
      </c>
      <c r="J22385">
        <v>1.42</v>
      </c>
      <c r="K22385">
        <v>0.27</v>
      </c>
      <c r="L22385">
        <v>46222</v>
      </c>
      <c r="M22385" t="s">
        <v>293</v>
      </c>
      <c r="N22385" t="str">
        <f t="shared" si="422"/>
        <v xml:space="preserve">12349023375 </v>
      </c>
      <c r="O22385">
        <v>231211</v>
      </c>
    </row>
    <row r="22386" spans="1:15" x14ac:dyDescent="0.25">
      <c r="A22386" t="s">
        <v>16</v>
      </c>
      <c r="B22386" t="s">
        <v>3221</v>
      </c>
      <c r="C22386">
        <v>16927</v>
      </c>
      <c r="D22386" t="s">
        <v>263</v>
      </c>
      <c r="E22386" t="s">
        <v>264</v>
      </c>
      <c r="F22386">
        <v>7.33</v>
      </c>
      <c r="G22386">
        <v>231204</v>
      </c>
      <c r="H22386">
        <v>4362</v>
      </c>
      <c r="I22386" t="s">
        <v>79</v>
      </c>
      <c r="J22386">
        <v>9.09</v>
      </c>
      <c r="K22386">
        <v>1.76</v>
      </c>
      <c r="L22386">
        <v>46559</v>
      </c>
      <c r="M22386" t="s">
        <v>1104</v>
      </c>
      <c r="N22386" t="str">
        <f t="shared" si="422"/>
        <v xml:space="preserve">12349023375 </v>
      </c>
      <c r="O22386">
        <v>231211</v>
      </c>
    </row>
    <row r="22387" spans="1:15" x14ac:dyDescent="0.25">
      <c r="A22387" t="s">
        <v>16</v>
      </c>
      <c r="B22387" t="s">
        <v>3221</v>
      </c>
      <c r="C22387">
        <v>16931</v>
      </c>
      <c r="D22387" t="s">
        <v>263</v>
      </c>
      <c r="E22387" t="s">
        <v>264</v>
      </c>
      <c r="F22387">
        <v>5.4</v>
      </c>
      <c r="G22387">
        <v>231204</v>
      </c>
      <c r="H22387">
        <v>4362</v>
      </c>
      <c r="I22387" t="s">
        <v>79</v>
      </c>
      <c r="J22387">
        <v>6.7</v>
      </c>
      <c r="K22387">
        <v>1.3</v>
      </c>
      <c r="L22387">
        <v>43222</v>
      </c>
      <c r="M22387" t="s">
        <v>507</v>
      </c>
      <c r="N22387" t="str">
        <f t="shared" ref="N22387:N22392" si="423">"12349023369 "</f>
        <v xml:space="preserve">12349023369 </v>
      </c>
      <c r="O22387">
        <v>231211</v>
      </c>
    </row>
    <row r="22388" spans="1:15" x14ac:dyDescent="0.25">
      <c r="A22388" t="s">
        <v>16</v>
      </c>
      <c r="B22388" t="s">
        <v>3221</v>
      </c>
      <c r="C22388">
        <v>16931</v>
      </c>
      <c r="D22388" t="s">
        <v>263</v>
      </c>
      <c r="E22388" t="s">
        <v>264</v>
      </c>
      <c r="F22388">
        <v>5.86</v>
      </c>
      <c r="G22388">
        <v>231204</v>
      </c>
      <c r="H22388">
        <v>4362</v>
      </c>
      <c r="I22388" t="s">
        <v>79</v>
      </c>
      <c r="J22388">
        <v>7.27</v>
      </c>
      <c r="K22388">
        <v>1.41</v>
      </c>
      <c r="L22388">
        <v>44422</v>
      </c>
      <c r="M22388" t="s">
        <v>482</v>
      </c>
      <c r="N22388" t="str">
        <f t="shared" si="423"/>
        <v xml:space="preserve">12349023369 </v>
      </c>
      <c r="O22388">
        <v>231211</v>
      </c>
    </row>
    <row r="22389" spans="1:15" x14ac:dyDescent="0.25">
      <c r="A22389" t="s">
        <v>16</v>
      </c>
      <c r="B22389" t="s">
        <v>3221</v>
      </c>
      <c r="C22389">
        <v>16931</v>
      </c>
      <c r="D22389" t="s">
        <v>263</v>
      </c>
      <c r="E22389" t="s">
        <v>264</v>
      </c>
      <c r="F22389">
        <v>5.8</v>
      </c>
      <c r="G22389">
        <v>231204</v>
      </c>
      <c r="H22389">
        <v>4362</v>
      </c>
      <c r="I22389" t="s">
        <v>79</v>
      </c>
      <c r="J22389">
        <v>7.19</v>
      </c>
      <c r="K22389">
        <v>1.39</v>
      </c>
      <c r="L22389">
        <v>44423</v>
      </c>
      <c r="M22389" t="s">
        <v>502</v>
      </c>
      <c r="N22389" t="str">
        <f t="shared" si="423"/>
        <v xml:space="preserve">12349023369 </v>
      </c>
      <c r="O22389">
        <v>231211</v>
      </c>
    </row>
    <row r="22390" spans="1:15" x14ac:dyDescent="0.25">
      <c r="A22390" t="s">
        <v>16</v>
      </c>
      <c r="B22390" t="s">
        <v>3221</v>
      </c>
      <c r="C22390">
        <v>16931</v>
      </c>
      <c r="D22390" t="s">
        <v>263</v>
      </c>
      <c r="E22390" t="s">
        <v>264</v>
      </c>
      <c r="F22390">
        <v>2.7</v>
      </c>
      <c r="G22390">
        <v>231204</v>
      </c>
      <c r="H22390">
        <v>4362</v>
      </c>
      <c r="I22390" t="s">
        <v>79</v>
      </c>
      <c r="J22390">
        <v>3.35</v>
      </c>
      <c r="K22390">
        <v>0.65</v>
      </c>
      <c r="L22390">
        <v>44453</v>
      </c>
      <c r="M22390" t="s">
        <v>492</v>
      </c>
      <c r="N22390" t="str">
        <f t="shared" si="423"/>
        <v xml:space="preserve">12349023369 </v>
      </c>
      <c r="O22390">
        <v>231211</v>
      </c>
    </row>
    <row r="22391" spans="1:15" x14ac:dyDescent="0.25">
      <c r="A22391" t="s">
        <v>16</v>
      </c>
      <c r="B22391" t="s">
        <v>3221</v>
      </c>
      <c r="C22391">
        <v>16931</v>
      </c>
      <c r="D22391" t="s">
        <v>263</v>
      </c>
      <c r="E22391" t="s">
        <v>264</v>
      </c>
      <c r="F22391">
        <v>2.83</v>
      </c>
      <c r="G22391">
        <v>231204</v>
      </c>
      <c r="H22391">
        <v>4362</v>
      </c>
      <c r="I22391" t="s">
        <v>79</v>
      </c>
      <c r="J22391">
        <v>3.51</v>
      </c>
      <c r="K22391">
        <v>0.68</v>
      </c>
      <c r="L22391">
        <v>48601</v>
      </c>
      <c r="M22391" t="s">
        <v>1047</v>
      </c>
      <c r="N22391" t="str">
        <f t="shared" si="423"/>
        <v xml:space="preserve">12349023369 </v>
      </c>
      <c r="O22391">
        <v>231211</v>
      </c>
    </row>
    <row r="22392" spans="1:15" x14ac:dyDescent="0.25">
      <c r="A22392" t="s">
        <v>16</v>
      </c>
      <c r="B22392" t="s">
        <v>3221</v>
      </c>
      <c r="C22392">
        <v>16931</v>
      </c>
      <c r="D22392" t="s">
        <v>263</v>
      </c>
      <c r="E22392" t="s">
        <v>264</v>
      </c>
      <c r="F22392">
        <v>45.46</v>
      </c>
      <c r="G22392">
        <v>231204</v>
      </c>
      <c r="H22392">
        <v>4362</v>
      </c>
      <c r="I22392" t="s">
        <v>79</v>
      </c>
      <c r="J22392">
        <v>45.46</v>
      </c>
      <c r="K22392">
        <v>0</v>
      </c>
      <c r="L22392">
        <v>49702</v>
      </c>
      <c r="M22392" t="s">
        <v>584</v>
      </c>
      <c r="N22392" t="str">
        <f t="shared" si="423"/>
        <v xml:space="preserve">12349023369 </v>
      </c>
      <c r="O22392">
        <v>231211</v>
      </c>
    </row>
    <row r="22393" spans="1:15" x14ac:dyDescent="0.25">
      <c r="A22393" t="s">
        <v>16</v>
      </c>
      <c r="B22393" t="s">
        <v>3221</v>
      </c>
      <c r="C22393">
        <v>16932</v>
      </c>
      <c r="D22393" t="s">
        <v>263</v>
      </c>
      <c r="E22393" t="s">
        <v>264</v>
      </c>
      <c r="F22393">
        <v>3.54</v>
      </c>
      <c r="G22393">
        <v>231204</v>
      </c>
      <c r="H22393">
        <v>4362</v>
      </c>
      <c r="I22393" t="s">
        <v>79</v>
      </c>
      <c r="J22393">
        <v>4.3899999999999997</v>
      </c>
      <c r="K22393">
        <v>0.85</v>
      </c>
      <c r="L22393">
        <v>48601</v>
      </c>
      <c r="M22393" t="s">
        <v>1047</v>
      </c>
      <c r="N22393" t="str">
        <f>"12349023368 "</f>
        <v xml:space="preserve">12349023368 </v>
      </c>
      <c r="O22393">
        <v>231211</v>
      </c>
    </row>
    <row r="22394" spans="1:15" x14ac:dyDescent="0.25">
      <c r="A22394" t="s">
        <v>16</v>
      </c>
      <c r="B22394" t="s">
        <v>3221</v>
      </c>
      <c r="C22394">
        <v>16932</v>
      </c>
      <c r="D22394" t="s">
        <v>263</v>
      </c>
      <c r="E22394" t="s">
        <v>264</v>
      </c>
      <c r="F22394">
        <v>2.7</v>
      </c>
      <c r="G22394">
        <v>231204</v>
      </c>
      <c r="H22394">
        <v>4362</v>
      </c>
      <c r="I22394" t="s">
        <v>79</v>
      </c>
      <c r="J22394">
        <v>3.35</v>
      </c>
      <c r="K22394">
        <v>0.65</v>
      </c>
      <c r="L22394">
        <v>49501</v>
      </c>
      <c r="M22394" t="s">
        <v>177</v>
      </c>
      <c r="N22394" t="str">
        <f>"12349023368 "</f>
        <v xml:space="preserve">12349023368 </v>
      </c>
      <c r="O22394">
        <v>231211</v>
      </c>
    </row>
    <row r="22395" spans="1:15" x14ac:dyDescent="0.25">
      <c r="A22395" t="s">
        <v>16</v>
      </c>
      <c r="B22395" t="s">
        <v>3221</v>
      </c>
      <c r="C22395">
        <v>16932</v>
      </c>
      <c r="D22395" t="s">
        <v>263</v>
      </c>
      <c r="E22395" t="s">
        <v>264</v>
      </c>
      <c r="F22395">
        <v>12.69</v>
      </c>
      <c r="G22395">
        <v>231204</v>
      </c>
      <c r="H22395">
        <v>4362</v>
      </c>
      <c r="I22395" t="s">
        <v>79</v>
      </c>
      <c r="J22395">
        <v>15.74</v>
      </c>
      <c r="K22395">
        <v>3.05</v>
      </c>
      <c r="L22395">
        <v>49704</v>
      </c>
      <c r="M22395" t="s">
        <v>1065</v>
      </c>
      <c r="N22395" t="str">
        <f>"12349023368 "</f>
        <v xml:space="preserve">12349023368 </v>
      </c>
      <c r="O22395">
        <v>231211</v>
      </c>
    </row>
    <row r="22396" spans="1:15" x14ac:dyDescent="0.25">
      <c r="A22396" t="s">
        <v>16</v>
      </c>
      <c r="B22396" t="s">
        <v>3221</v>
      </c>
      <c r="C22396">
        <v>16932</v>
      </c>
      <c r="D22396" t="s">
        <v>263</v>
      </c>
      <c r="E22396" t="s">
        <v>264</v>
      </c>
      <c r="F22396">
        <v>16.190000000000001</v>
      </c>
      <c r="G22396">
        <v>231204</v>
      </c>
      <c r="H22396">
        <v>4362</v>
      </c>
      <c r="I22396" t="s">
        <v>79</v>
      </c>
      <c r="J22396">
        <v>20.079999999999998</v>
      </c>
      <c r="K22396">
        <v>3.89</v>
      </c>
      <c r="L22396">
        <v>49705</v>
      </c>
      <c r="M22396" t="s">
        <v>575</v>
      </c>
      <c r="N22396" t="str">
        <f>"12349023368 "</f>
        <v xml:space="preserve">12349023368 </v>
      </c>
      <c r="O22396">
        <v>231211</v>
      </c>
    </row>
    <row r="22397" spans="1:15" x14ac:dyDescent="0.25">
      <c r="A22397" t="s">
        <v>16</v>
      </c>
      <c r="B22397" t="s">
        <v>3221</v>
      </c>
      <c r="C22397">
        <v>16935</v>
      </c>
      <c r="D22397" t="s">
        <v>263</v>
      </c>
      <c r="E22397" t="s">
        <v>264</v>
      </c>
      <c r="F22397">
        <v>2.7</v>
      </c>
      <c r="G22397">
        <v>231204</v>
      </c>
      <c r="H22397">
        <v>4362</v>
      </c>
      <c r="I22397" t="s">
        <v>79</v>
      </c>
      <c r="J22397">
        <v>3.35</v>
      </c>
      <c r="K22397">
        <v>0.65</v>
      </c>
      <c r="L22397">
        <v>11001</v>
      </c>
      <c r="M22397" t="s">
        <v>326</v>
      </c>
      <c r="N22397" t="str">
        <f t="shared" ref="N22397:N22402" si="424">"12349023354 "</f>
        <v xml:space="preserve">12349023354 </v>
      </c>
      <c r="O22397">
        <v>231211</v>
      </c>
    </row>
    <row r="22398" spans="1:15" x14ac:dyDescent="0.25">
      <c r="A22398" t="s">
        <v>16</v>
      </c>
      <c r="B22398" t="s">
        <v>3221</v>
      </c>
      <c r="C22398">
        <v>16935</v>
      </c>
      <c r="D22398" t="s">
        <v>263</v>
      </c>
      <c r="E22398" t="s">
        <v>264</v>
      </c>
      <c r="F22398">
        <v>39.69</v>
      </c>
      <c r="G22398">
        <v>231204</v>
      </c>
      <c r="H22398">
        <v>4362</v>
      </c>
      <c r="I22398" t="s">
        <v>79</v>
      </c>
      <c r="J22398">
        <v>39.69</v>
      </c>
      <c r="K22398">
        <v>0</v>
      </c>
      <c r="L22398">
        <v>11001</v>
      </c>
      <c r="M22398" t="s">
        <v>326</v>
      </c>
      <c r="N22398" t="str">
        <f t="shared" si="424"/>
        <v xml:space="preserve">12349023354 </v>
      </c>
      <c r="O22398">
        <v>231211</v>
      </c>
    </row>
    <row r="22399" spans="1:15" x14ac:dyDescent="0.25">
      <c r="A22399" t="s">
        <v>16</v>
      </c>
      <c r="B22399" t="s">
        <v>3221</v>
      </c>
      <c r="C22399">
        <v>16935</v>
      </c>
      <c r="D22399" t="s">
        <v>263</v>
      </c>
      <c r="E22399" t="s">
        <v>264</v>
      </c>
      <c r="F22399">
        <v>8.1</v>
      </c>
      <c r="G22399">
        <v>231204</v>
      </c>
      <c r="H22399">
        <v>4362</v>
      </c>
      <c r="I22399" t="s">
        <v>79</v>
      </c>
      <c r="J22399">
        <v>10.039999999999999</v>
      </c>
      <c r="K22399">
        <v>1.94</v>
      </c>
      <c r="L22399">
        <v>11501</v>
      </c>
      <c r="M22399" t="s">
        <v>339</v>
      </c>
      <c r="N22399" t="str">
        <f t="shared" si="424"/>
        <v xml:space="preserve">12349023354 </v>
      </c>
      <c r="O22399">
        <v>231211</v>
      </c>
    </row>
    <row r="22400" spans="1:15" x14ac:dyDescent="0.25">
      <c r="A22400" t="s">
        <v>16</v>
      </c>
      <c r="B22400" t="s">
        <v>3221</v>
      </c>
      <c r="C22400">
        <v>16935</v>
      </c>
      <c r="D22400" t="s">
        <v>263</v>
      </c>
      <c r="E22400" t="s">
        <v>264</v>
      </c>
      <c r="F22400">
        <v>2.7</v>
      </c>
      <c r="G22400">
        <v>231204</v>
      </c>
      <c r="H22400">
        <v>4362</v>
      </c>
      <c r="I22400" t="s">
        <v>79</v>
      </c>
      <c r="J22400">
        <v>3.35</v>
      </c>
      <c r="K22400">
        <v>0.65</v>
      </c>
      <c r="L22400">
        <v>11701</v>
      </c>
      <c r="M22400" t="s">
        <v>1204</v>
      </c>
      <c r="N22400" t="str">
        <f t="shared" si="424"/>
        <v xml:space="preserve">12349023354 </v>
      </c>
      <c r="O22400">
        <v>231211</v>
      </c>
    </row>
    <row r="22401" spans="1:15" x14ac:dyDescent="0.25">
      <c r="A22401" t="s">
        <v>16</v>
      </c>
      <c r="B22401" t="s">
        <v>3221</v>
      </c>
      <c r="C22401">
        <v>16935</v>
      </c>
      <c r="D22401" t="s">
        <v>263</v>
      </c>
      <c r="E22401" t="s">
        <v>264</v>
      </c>
      <c r="F22401">
        <v>5.4</v>
      </c>
      <c r="G22401">
        <v>231204</v>
      </c>
      <c r="H22401">
        <v>4362</v>
      </c>
      <c r="I22401" t="s">
        <v>79</v>
      </c>
      <c r="J22401">
        <v>6.7</v>
      </c>
      <c r="K22401">
        <v>1.3</v>
      </c>
      <c r="L22401">
        <v>11751</v>
      </c>
      <c r="M22401" t="s">
        <v>1339</v>
      </c>
      <c r="N22401" t="str">
        <f t="shared" si="424"/>
        <v xml:space="preserve">12349023354 </v>
      </c>
      <c r="O22401">
        <v>231211</v>
      </c>
    </row>
    <row r="22402" spans="1:15" x14ac:dyDescent="0.25">
      <c r="A22402" t="s">
        <v>16</v>
      </c>
      <c r="B22402" t="s">
        <v>3221</v>
      </c>
      <c r="C22402">
        <v>16935</v>
      </c>
      <c r="D22402" t="s">
        <v>263</v>
      </c>
      <c r="E22402" t="s">
        <v>264</v>
      </c>
      <c r="F22402">
        <v>25.97</v>
      </c>
      <c r="G22402">
        <v>231204</v>
      </c>
      <c r="H22402">
        <v>4362</v>
      </c>
      <c r="I22402" t="s">
        <v>79</v>
      </c>
      <c r="J22402">
        <v>32.200000000000003</v>
      </c>
      <c r="K22402">
        <v>6.23</v>
      </c>
      <c r="L22402">
        <v>14622</v>
      </c>
      <c r="M22402" t="s">
        <v>1005</v>
      </c>
      <c r="N22402" t="str">
        <f t="shared" si="424"/>
        <v xml:space="preserve">12349023354 </v>
      </c>
      <c r="O22402">
        <v>231211</v>
      </c>
    </row>
    <row r="22403" spans="1:15" x14ac:dyDescent="0.25">
      <c r="A22403" t="s">
        <v>16</v>
      </c>
      <c r="B22403" t="s">
        <v>3221</v>
      </c>
      <c r="C22403">
        <v>16942</v>
      </c>
      <c r="D22403" t="s">
        <v>263</v>
      </c>
      <c r="E22403" t="s">
        <v>264</v>
      </c>
      <c r="F22403">
        <v>5.69</v>
      </c>
      <c r="G22403">
        <v>231204</v>
      </c>
      <c r="H22403">
        <v>4362</v>
      </c>
      <c r="I22403" t="s">
        <v>79</v>
      </c>
      <c r="J22403">
        <v>7.06</v>
      </c>
      <c r="K22403">
        <v>1.37</v>
      </c>
      <c r="L22403">
        <v>46556</v>
      </c>
      <c r="M22403" t="s">
        <v>125</v>
      </c>
      <c r="N22403" t="str">
        <f>"12349023370 "</f>
        <v xml:space="preserve">12349023370 </v>
      </c>
      <c r="O22403">
        <v>231211</v>
      </c>
    </row>
    <row r="22404" spans="1:15" x14ac:dyDescent="0.25">
      <c r="A22404" t="s">
        <v>16</v>
      </c>
      <c r="B22404" t="s">
        <v>3221</v>
      </c>
      <c r="C22404">
        <v>16943</v>
      </c>
      <c r="D22404" t="s">
        <v>263</v>
      </c>
      <c r="E22404" t="s">
        <v>264</v>
      </c>
      <c r="F22404">
        <v>2.7</v>
      </c>
      <c r="G22404">
        <v>231204</v>
      </c>
      <c r="H22404">
        <v>4362</v>
      </c>
      <c r="I22404" t="s">
        <v>79</v>
      </c>
      <c r="J22404">
        <v>3.35</v>
      </c>
      <c r="K22404">
        <v>0.65</v>
      </c>
      <c r="L22404">
        <v>11901</v>
      </c>
      <c r="M22404" t="s">
        <v>36</v>
      </c>
      <c r="N22404" t="str">
        <f>"12349023384 "</f>
        <v xml:space="preserve">12349023384 </v>
      </c>
      <c r="O22404">
        <v>231211</v>
      </c>
    </row>
    <row r="22405" spans="1:15" x14ac:dyDescent="0.25">
      <c r="A22405" t="s">
        <v>16</v>
      </c>
      <c r="B22405" t="s">
        <v>3221</v>
      </c>
      <c r="C22405">
        <v>16943</v>
      </c>
      <c r="D22405" t="s">
        <v>263</v>
      </c>
      <c r="E22405" t="s">
        <v>264</v>
      </c>
      <c r="F22405">
        <v>2.7</v>
      </c>
      <c r="G22405">
        <v>231204</v>
      </c>
      <c r="H22405">
        <v>4362</v>
      </c>
      <c r="I22405" t="s">
        <v>79</v>
      </c>
      <c r="J22405">
        <v>3.35</v>
      </c>
      <c r="K22405">
        <v>0.65</v>
      </c>
      <c r="L22405">
        <v>11903</v>
      </c>
      <c r="M22405" t="s">
        <v>406</v>
      </c>
      <c r="N22405" t="str">
        <f>"12349023384 "</f>
        <v xml:space="preserve">12349023384 </v>
      </c>
      <c r="O22405">
        <v>231211</v>
      </c>
    </row>
    <row r="22406" spans="1:15" x14ac:dyDescent="0.25">
      <c r="A22406" t="s">
        <v>16</v>
      </c>
      <c r="B22406" t="s">
        <v>3221</v>
      </c>
      <c r="C22406">
        <v>16950</v>
      </c>
      <c r="D22406" t="s">
        <v>263</v>
      </c>
      <c r="E22406" t="s">
        <v>264</v>
      </c>
      <c r="F22406">
        <v>7.22</v>
      </c>
      <c r="G22406">
        <v>231204</v>
      </c>
      <c r="H22406">
        <v>4362</v>
      </c>
      <c r="I22406" t="s">
        <v>79</v>
      </c>
      <c r="J22406">
        <v>8.9499999999999993</v>
      </c>
      <c r="K22406">
        <v>1.73</v>
      </c>
      <c r="L22406">
        <v>49112</v>
      </c>
      <c r="M22406" t="s">
        <v>233</v>
      </c>
      <c r="N22406" t="str">
        <f>"12349023372 "</f>
        <v xml:space="preserve">12349023372 </v>
      </c>
      <c r="O22406">
        <v>231211</v>
      </c>
    </row>
    <row r="22407" spans="1:15" x14ac:dyDescent="0.25">
      <c r="A22407" t="s">
        <v>16</v>
      </c>
      <c r="B22407" t="s">
        <v>3221</v>
      </c>
      <c r="C22407">
        <v>16951</v>
      </c>
      <c r="D22407" t="s">
        <v>263</v>
      </c>
      <c r="E22407" t="s">
        <v>264</v>
      </c>
      <c r="F22407">
        <v>25.29</v>
      </c>
      <c r="G22407">
        <v>231204</v>
      </c>
      <c r="H22407">
        <v>4362</v>
      </c>
      <c r="I22407" t="s">
        <v>79</v>
      </c>
      <c r="J22407">
        <v>31.36</v>
      </c>
      <c r="K22407">
        <v>6.07</v>
      </c>
      <c r="L22407">
        <v>13601</v>
      </c>
      <c r="M22407" t="s">
        <v>147</v>
      </c>
      <c r="N22407" t="str">
        <f>"12349023382 "</f>
        <v xml:space="preserve">12349023382 </v>
      </c>
      <c r="O22407">
        <v>231211</v>
      </c>
    </row>
    <row r="22408" spans="1:15" x14ac:dyDescent="0.25">
      <c r="A22408" t="s">
        <v>16</v>
      </c>
      <c r="B22408" t="s">
        <v>3221</v>
      </c>
      <c r="C22408">
        <v>16955</v>
      </c>
      <c r="D22408" t="s">
        <v>263</v>
      </c>
      <c r="E22408" t="s">
        <v>264</v>
      </c>
      <c r="F22408">
        <v>10.79</v>
      </c>
      <c r="G22408">
        <v>231204</v>
      </c>
      <c r="H22408">
        <v>4362</v>
      </c>
      <c r="I22408" t="s">
        <v>79</v>
      </c>
      <c r="J22408">
        <v>13.38</v>
      </c>
      <c r="K22408">
        <v>2.59</v>
      </c>
      <c r="L22408">
        <v>17131</v>
      </c>
      <c r="M22408" t="s">
        <v>64</v>
      </c>
      <c r="N22408" t="str">
        <f t="shared" ref="N22408:N22418" si="425">"12349023378 "</f>
        <v xml:space="preserve">12349023378 </v>
      </c>
      <c r="O22408">
        <v>231211</v>
      </c>
    </row>
    <row r="22409" spans="1:15" x14ac:dyDescent="0.25">
      <c r="A22409" t="s">
        <v>16</v>
      </c>
      <c r="B22409" t="s">
        <v>3221</v>
      </c>
      <c r="C22409">
        <v>16955</v>
      </c>
      <c r="D22409" t="s">
        <v>263</v>
      </c>
      <c r="E22409" t="s">
        <v>264</v>
      </c>
      <c r="F22409">
        <v>2.7</v>
      </c>
      <c r="G22409">
        <v>231204</v>
      </c>
      <c r="H22409">
        <v>4362</v>
      </c>
      <c r="I22409" t="s">
        <v>79</v>
      </c>
      <c r="J22409">
        <v>3.35</v>
      </c>
      <c r="K22409">
        <v>0.65</v>
      </c>
      <c r="L22409">
        <v>17147</v>
      </c>
      <c r="M22409" t="s">
        <v>1734</v>
      </c>
      <c r="N22409" t="str">
        <f t="shared" si="425"/>
        <v xml:space="preserve">12349023378 </v>
      </c>
      <c r="O22409">
        <v>231211</v>
      </c>
    </row>
    <row r="22410" spans="1:15" x14ac:dyDescent="0.25">
      <c r="A22410" t="s">
        <v>16</v>
      </c>
      <c r="B22410" t="s">
        <v>3221</v>
      </c>
      <c r="C22410">
        <v>16955</v>
      </c>
      <c r="D22410" t="s">
        <v>263</v>
      </c>
      <c r="E22410" t="s">
        <v>264</v>
      </c>
      <c r="F22410">
        <v>13.35</v>
      </c>
      <c r="G22410">
        <v>231204</v>
      </c>
      <c r="H22410">
        <v>4362</v>
      </c>
      <c r="I22410" t="s">
        <v>79</v>
      </c>
      <c r="J22410">
        <v>16.55</v>
      </c>
      <c r="K22410">
        <v>3.2</v>
      </c>
      <c r="L22410">
        <v>17711</v>
      </c>
      <c r="M22410" t="s">
        <v>65</v>
      </c>
      <c r="N22410" t="str">
        <f t="shared" si="425"/>
        <v xml:space="preserve">12349023378 </v>
      </c>
      <c r="O22410">
        <v>231211</v>
      </c>
    </row>
    <row r="22411" spans="1:15" x14ac:dyDescent="0.25">
      <c r="A22411" t="s">
        <v>16</v>
      </c>
      <c r="B22411" t="s">
        <v>3221</v>
      </c>
      <c r="C22411">
        <v>16955</v>
      </c>
      <c r="D22411" t="s">
        <v>263</v>
      </c>
      <c r="E22411" t="s">
        <v>264</v>
      </c>
      <c r="F22411">
        <v>16.2</v>
      </c>
      <c r="G22411">
        <v>231204</v>
      </c>
      <c r="H22411">
        <v>4362</v>
      </c>
      <c r="I22411" t="s">
        <v>79</v>
      </c>
      <c r="J22411">
        <v>20.09</v>
      </c>
      <c r="K22411">
        <v>3.89</v>
      </c>
      <c r="L22411">
        <v>17711</v>
      </c>
      <c r="M22411" t="s">
        <v>65</v>
      </c>
      <c r="N22411" t="str">
        <f t="shared" si="425"/>
        <v xml:space="preserve">12349023378 </v>
      </c>
      <c r="O22411">
        <v>231211</v>
      </c>
    </row>
    <row r="22412" spans="1:15" x14ac:dyDescent="0.25">
      <c r="A22412" t="s">
        <v>16</v>
      </c>
      <c r="B22412" t="s">
        <v>3221</v>
      </c>
      <c r="C22412">
        <v>16955</v>
      </c>
      <c r="D22412" t="s">
        <v>263</v>
      </c>
      <c r="E22412" t="s">
        <v>264</v>
      </c>
      <c r="F22412">
        <v>7.69</v>
      </c>
      <c r="G22412">
        <v>231204</v>
      </c>
      <c r="H22412">
        <v>4362</v>
      </c>
      <c r="I22412" t="s">
        <v>79</v>
      </c>
      <c r="J22412">
        <v>9.5399999999999991</v>
      </c>
      <c r="K22412">
        <v>1.85</v>
      </c>
      <c r="L22412">
        <v>17737</v>
      </c>
      <c r="M22412" t="s">
        <v>279</v>
      </c>
      <c r="N22412" t="str">
        <f t="shared" si="425"/>
        <v xml:space="preserve">12349023378 </v>
      </c>
      <c r="O22412">
        <v>231211</v>
      </c>
    </row>
    <row r="22413" spans="1:15" x14ac:dyDescent="0.25">
      <c r="A22413" t="s">
        <v>16</v>
      </c>
      <c r="B22413" t="s">
        <v>3221</v>
      </c>
      <c r="C22413">
        <v>16955</v>
      </c>
      <c r="D22413" t="s">
        <v>263</v>
      </c>
      <c r="E22413" t="s">
        <v>264</v>
      </c>
      <c r="F22413">
        <v>13.5</v>
      </c>
      <c r="G22413">
        <v>231204</v>
      </c>
      <c r="H22413">
        <v>4362</v>
      </c>
      <c r="I22413" t="s">
        <v>79</v>
      </c>
      <c r="J22413">
        <v>16.739999999999998</v>
      </c>
      <c r="K22413">
        <v>3.24</v>
      </c>
      <c r="L22413">
        <v>17737</v>
      </c>
      <c r="M22413" t="s">
        <v>279</v>
      </c>
      <c r="N22413" t="str">
        <f t="shared" si="425"/>
        <v xml:space="preserve">12349023378 </v>
      </c>
      <c r="O22413">
        <v>231211</v>
      </c>
    </row>
    <row r="22414" spans="1:15" x14ac:dyDescent="0.25">
      <c r="A22414" t="s">
        <v>16</v>
      </c>
      <c r="B22414" t="s">
        <v>3221</v>
      </c>
      <c r="C22414">
        <v>16955</v>
      </c>
      <c r="D22414" t="s">
        <v>263</v>
      </c>
      <c r="E22414" t="s">
        <v>264</v>
      </c>
      <c r="F22414">
        <v>2.7</v>
      </c>
      <c r="G22414">
        <v>231204</v>
      </c>
      <c r="H22414">
        <v>4362</v>
      </c>
      <c r="I22414" t="s">
        <v>79</v>
      </c>
      <c r="J22414">
        <v>3.35</v>
      </c>
      <c r="K22414">
        <v>0.65</v>
      </c>
      <c r="L22414">
        <v>17912</v>
      </c>
      <c r="M22414" t="s">
        <v>419</v>
      </c>
      <c r="N22414" t="str">
        <f t="shared" si="425"/>
        <v xml:space="preserve">12349023378 </v>
      </c>
      <c r="O22414">
        <v>231211</v>
      </c>
    </row>
    <row r="22415" spans="1:15" x14ac:dyDescent="0.25">
      <c r="A22415" t="s">
        <v>16</v>
      </c>
      <c r="B22415" t="s">
        <v>3221</v>
      </c>
      <c r="C22415">
        <v>16955</v>
      </c>
      <c r="D22415" t="s">
        <v>263</v>
      </c>
      <c r="E22415" t="s">
        <v>264</v>
      </c>
      <c r="F22415">
        <v>2.7</v>
      </c>
      <c r="G22415">
        <v>231204</v>
      </c>
      <c r="H22415">
        <v>4362</v>
      </c>
      <c r="I22415" t="s">
        <v>79</v>
      </c>
      <c r="J22415">
        <v>3.35</v>
      </c>
      <c r="K22415">
        <v>0.65</v>
      </c>
      <c r="L22415">
        <v>17915</v>
      </c>
      <c r="M22415" t="s">
        <v>572</v>
      </c>
      <c r="N22415" t="str">
        <f t="shared" si="425"/>
        <v xml:space="preserve">12349023378 </v>
      </c>
      <c r="O22415">
        <v>231211</v>
      </c>
    </row>
    <row r="22416" spans="1:15" x14ac:dyDescent="0.25">
      <c r="A22416" t="s">
        <v>16</v>
      </c>
      <c r="B22416" t="s">
        <v>3221</v>
      </c>
      <c r="C22416">
        <v>16955</v>
      </c>
      <c r="D22416" t="s">
        <v>263</v>
      </c>
      <c r="E22416" t="s">
        <v>264</v>
      </c>
      <c r="F22416">
        <v>12.2</v>
      </c>
      <c r="G22416">
        <v>231204</v>
      </c>
      <c r="H22416">
        <v>4362</v>
      </c>
      <c r="I22416" t="s">
        <v>79</v>
      </c>
      <c r="J22416">
        <v>15.13</v>
      </c>
      <c r="K22416">
        <v>2.93</v>
      </c>
      <c r="L22416">
        <v>17952</v>
      </c>
      <c r="M22416" t="s">
        <v>88</v>
      </c>
      <c r="N22416" t="str">
        <f t="shared" si="425"/>
        <v xml:space="preserve">12349023378 </v>
      </c>
      <c r="O22416">
        <v>231211</v>
      </c>
    </row>
    <row r="22417" spans="1:15" x14ac:dyDescent="0.25">
      <c r="A22417" t="s">
        <v>16</v>
      </c>
      <c r="B22417" t="s">
        <v>3221</v>
      </c>
      <c r="C22417">
        <v>16955</v>
      </c>
      <c r="D22417" t="s">
        <v>263</v>
      </c>
      <c r="E22417" t="s">
        <v>264</v>
      </c>
      <c r="F22417">
        <v>9.01</v>
      </c>
      <c r="G22417">
        <v>231204</v>
      </c>
      <c r="H22417">
        <v>4362</v>
      </c>
      <c r="I22417" t="s">
        <v>79</v>
      </c>
      <c r="J22417">
        <v>11.17</v>
      </c>
      <c r="K22417">
        <v>2.16</v>
      </c>
      <c r="L22417">
        <v>17971</v>
      </c>
      <c r="M22417" t="s">
        <v>138</v>
      </c>
      <c r="N22417" t="str">
        <f t="shared" si="425"/>
        <v xml:space="preserve">12349023378 </v>
      </c>
      <c r="O22417">
        <v>231211</v>
      </c>
    </row>
    <row r="22418" spans="1:15" x14ac:dyDescent="0.25">
      <c r="A22418" t="s">
        <v>16</v>
      </c>
      <c r="B22418" t="s">
        <v>3221</v>
      </c>
      <c r="C22418">
        <v>16955</v>
      </c>
      <c r="D22418" t="s">
        <v>263</v>
      </c>
      <c r="E22418" t="s">
        <v>264</v>
      </c>
      <c r="F22418">
        <v>5.4</v>
      </c>
      <c r="G22418">
        <v>231204</v>
      </c>
      <c r="H22418">
        <v>4362</v>
      </c>
      <c r="I22418" t="s">
        <v>79</v>
      </c>
      <c r="J22418">
        <v>6.7</v>
      </c>
      <c r="K22418">
        <v>1.3</v>
      </c>
      <c r="L22418">
        <v>17972</v>
      </c>
      <c r="M22418" t="s">
        <v>248</v>
      </c>
      <c r="N22418" t="str">
        <f t="shared" si="425"/>
        <v xml:space="preserve">12349023378 </v>
      </c>
      <c r="O22418">
        <v>231211</v>
      </c>
    </row>
    <row r="22419" spans="1:15" x14ac:dyDescent="0.25">
      <c r="A22419" t="s">
        <v>16</v>
      </c>
      <c r="B22419" t="s">
        <v>3221</v>
      </c>
      <c r="C22419">
        <v>16961</v>
      </c>
      <c r="D22419" t="s">
        <v>263</v>
      </c>
      <c r="E22419" t="s">
        <v>264</v>
      </c>
      <c r="F22419">
        <v>8.1</v>
      </c>
      <c r="G22419">
        <v>231204</v>
      </c>
      <c r="H22419">
        <v>4362</v>
      </c>
      <c r="I22419" t="s">
        <v>79</v>
      </c>
      <c r="J22419">
        <v>10.039999999999999</v>
      </c>
      <c r="K22419">
        <v>1.94</v>
      </c>
      <c r="L22419">
        <v>46555</v>
      </c>
      <c r="M22419" t="s">
        <v>597</v>
      </c>
      <c r="N22419" t="str">
        <f>"12349023373 "</f>
        <v xml:space="preserve">12349023373 </v>
      </c>
      <c r="O22419">
        <v>231211</v>
      </c>
    </row>
    <row r="22420" spans="1:15" x14ac:dyDescent="0.25">
      <c r="A22420" t="s">
        <v>16</v>
      </c>
      <c r="B22420" t="s">
        <v>3221</v>
      </c>
      <c r="C22420">
        <v>16961</v>
      </c>
      <c r="D22420" t="s">
        <v>263</v>
      </c>
      <c r="E22420" t="s">
        <v>264</v>
      </c>
      <c r="F22420">
        <v>11.71</v>
      </c>
      <c r="G22420">
        <v>231204</v>
      </c>
      <c r="H22420">
        <v>4362</v>
      </c>
      <c r="I22420" t="s">
        <v>79</v>
      </c>
      <c r="J22420">
        <v>14.52</v>
      </c>
      <c r="K22420">
        <v>2.81</v>
      </c>
      <c r="L22420">
        <v>48601</v>
      </c>
      <c r="M22420" t="s">
        <v>1047</v>
      </c>
      <c r="N22420" t="str">
        <f>"12349023373 "</f>
        <v xml:space="preserve">12349023373 </v>
      </c>
      <c r="O22420">
        <v>231211</v>
      </c>
    </row>
    <row r="22421" spans="1:15" x14ac:dyDescent="0.25">
      <c r="A22421" t="s">
        <v>16</v>
      </c>
      <c r="B22421" t="s">
        <v>3221</v>
      </c>
      <c r="C22421">
        <v>16962</v>
      </c>
      <c r="D22421" t="s">
        <v>263</v>
      </c>
      <c r="E22421" t="s">
        <v>264</v>
      </c>
      <c r="F22421">
        <v>11.8</v>
      </c>
      <c r="G22421">
        <v>231204</v>
      </c>
      <c r="H22421">
        <v>4362</v>
      </c>
      <c r="I22421" t="s">
        <v>79</v>
      </c>
      <c r="J22421">
        <v>14.63</v>
      </c>
      <c r="K22421">
        <v>2.83</v>
      </c>
      <c r="L22421">
        <v>17913</v>
      </c>
      <c r="M22421" t="s">
        <v>431</v>
      </c>
      <c r="N22421" t="str">
        <f>"12349023376 "</f>
        <v xml:space="preserve">12349023376 </v>
      </c>
      <c r="O22421">
        <v>231211</v>
      </c>
    </row>
    <row r="22422" spans="1:15" x14ac:dyDescent="0.25">
      <c r="A22422" t="s">
        <v>16</v>
      </c>
      <c r="B22422" t="s">
        <v>3221</v>
      </c>
      <c r="C22422">
        <v>16962</v>
      </c>
      <c r="D22422" t="s">
        <v>263</v>
      </c>
      <c r="E22422" t="s">
        <v>264</v>
      </c>
      <c r="F22422">
        <v>21.87</v>
      </c>
      <c r="G22422">
        <v>231204</v>
      </c>
      <c r="H22422">
        <v>4362</v>
      </c>
      <c r="I22422" t="s">
        <v>79</v>
      </c>
      <c r="J22422">
        <v>27.12</v>
      </c>
      <c r="K22422">
        <v>5.25</v>
      </c>
      <c r="L22422">
        <v>17951</v>
      </c>
      <c r="M22422" t="s">
        <v>87</v>
      </c>
      <c r="N22422" t="str">
        <f>"12349023376 "</f>
        <v xml:space="preserve">12349023376 </v>
      </c>
      <c r="O22422">
        <v>231211</v>
      </c>
    </row>
    <row r="22423" spans="1:15" x14ac:dyDescent="0.25">
      <c r="A22423" t="s">
        <v>16</v>
      </c>
      <c r="B22423" t="s">
        <v>3221</v>
      </c>
      <c r="C22423">
        <v>16962</v>
      </c>
      <c r="D22423" t="s">
        <v>263</v>
      </c>
      <c r="E22423" t="s">
        <v>264</v>
      </c>
      <c r="F22423">
        <v>11</v>
      </c>
      <c r="G22423">
        <v>231204</v>
      </c>
      <c r="H22423">
        <v>4362</v>
      </c>
      <c r="I22423" t="s">
        <v>79</v>
      </c>
      <c r="J22423">
        <v>13.64</v>
      </c>
      <c r="K22423">
        <v>2.64</v>
      </c>
      <c r="L22423">
        <v>17971</v>
      </c>
      <c r="M22423" t="s">
        <v>138</v>
      </c>
      <c r="N22423" t="str">
        <f>"12349023376 "</f>
        <v xml:space="preserve">12349023376 </v>
      </c>
      <c r="O22423">
        <v>231211</v>
      </c>
    </row>
    <row r="22424" spans="1:15" x14ac:dyDescent="0.25">
      <c r="A22424" t="s">
        <v>16</v>
      </c>
      <c r="B22424" t="s">
        <v>3221</v>
      </c>
      <c r="C22424">
        <v>16962</v>
      </c>
      <c r="D22424" t="s">
        <v>263</v>
      </c>
      <c r="E22424" t="s">
        <v>264</v>
      </c>
      <c r="F22424">
        <v>5.29</v>
      </c>
      <c r="G22424">
        <v>231204</v>
      </c>
      <c r="H22424">
        <v>4362</v>
      </c>
      <c r="I22424" t="s">
        <v>79</v>
      </c>
      <c r="J22424">
        <v>6.56</v>
      </c>
      <c r="K22424">
        <v>1.27</v>
      </c>
      <c r="L22424">
        <v>17974</v>
      </c>
      <c r="M22424" t="s">
        <v>460</v>
      </c>
      <c r="N22424" t="str">
        <f>"12349023376 "</f>
        <v xml:space="preserve">12349023376 </v>
      </c>
      <c r="O22424">
        <v>231211</v>
      </c>
    </row>
    <row r="22425" spans="1:15" x14ac:dyDescent="0.25">
      <c r="A22425" t="s">
        <v>16</v>
      </c>
      <c r="B22425" t="s">
        <v>3221</v>
      </c>
      <c r="C22425">
        <v>16962</v>
      </c>
      <c r="D22425" t="s">
        <v>263</v>
      </c>
      <c r="E22425" t="s">
        <v>264</v>
      </c>
      <c r="F22425">
        <v>8.15</v>
      </c>
      <c r="G22425">
        <v>231204</v>
      </c>
      <c r="H22425">
        <v>4362</v>
      </c>
      <c r="I22425" t="s">
        <v>79</v>
      </c>
      <c r="J22425">
        <v>10.11</v>
      </c>
      <c r="K22425">
        <v>1.96</v>
      </c>
      <c r="L22425">
        <v>17975</v>
      </c>
      <c r="M22425" t="s">
        <v>798</v>
      </c>
      <c r="N22425" t="str">
        <f>"12349023376 "</f>
        <v xml:space="preserve">12349023376 </v>
      </c>
      <c r="O22425">
        <v>231211</v>
      </c>
    </row>
    <row r="22426" spans="1:15" x14ac:dyDescent="0.25">
      <c r="A22426" t="s">
        <v>16</v>
      </c>
      <c r="B22426" t="s">
        <v>3221</v>
      </c>
      <c r="C22426">
        <v>16963</v>
      </c>
      <c r="D22426" t="s">
        <v>263</v>
      </c>
      <c r="E22426" t="s">
        <v>264</v>
      </c>
      <c r="F22426">
        <v>5.25</v>
      </c>
      <c r="G22426">
        <v>231204</v>
      </c>
      <c r="H22426">
        <v>4362</v>
      </c>
      <c r="I22426" t="s">
        <v>79</v>
      </c>
      <c r="J22426">
        <v>6.51</v>
      </c>
      <c r="K22426">
        <v>1.26</v>
      </c>
      <c r="L22426">
        <v>46554</v>
      </c>
      <c r="M22426" t="s">
        <v>117</v>
      </c>
      <c r="N22426" t="str">
        <f>"12349023367 "</f>
        <v xml:space="preserve">12349023367 </v>
      </c>
      <c r="O22426">
        <v>231211</v>
      </c>
    </row>
    <row r="22427" spans="1:15" x14ac:dyDescent="0.25">
      <c r="A22427" t="s">
        <v>16</v>
      </c>
      <c r="B22427" t="s">
        <v>3221</v>
      </c>
      <c r="C22427">
        <v>16963</v>
      </c>
      <c r="D22427" t="s">
        <v>263</v>
      </c>
      <c r="E22427" t="s">
        <v>264</v>
      </c>
      <c r="F22427">
        <v>33.11</v>
      </c>
      <c r="G22427">
        <v>231204</v>
      </c>
      <c r="H22427">
        <v>4362</v>
      </c>
      <c r="I22427" t="s">
        <v>79</v>
      </c>
      <c r="J22427">
        <v>41.06</v>
      </c>
      <c r="K22427">
        <v>7.95</v>
      </c>
      <c r="L22427">
        <v>46554</v>
      </c>
      <c r="M22427" t="s">
        <v>117</v>
      </c>
      <c r="N22427" t="str">
        <f>"12349023367 "</f>
        <v xml:space="preserve">12349023367 </v>
      </c>
      <c r="O22427">
        <v>231211</v>
      </c>
    </row>
    <row r="22428" spans="1:15" x14ac:dyDescent="0.25">
      <c r="A22428" t="s">
        <v>16</v>
      </c>
      <c r="B22428" t="s">
        <v>3221</v>
      </c>
      <c r="C22428">
        <v>16964</v>
      </c>
      <c r="D22428" t="s">
        <v>263</v>
      </c>
      <c r="E22428" t="s">
        <v>264</v>
      </c>
      <c r="F22428">
        <v>36.880000000000003</v>
      </c>
      <c r="G22428">
        <v>231204</v>
      </c>
      <c r="H22428">
        <v>4362</v>
      </c>
      <c r="I22428" t="s">
        <v>79</v>
      </c>
      <c r="J22428">
        <v>45.73</v>
      </c>
      <c r="K22428">
        <v>8.85</v>
      </c>
      <c r="L22428">
        <v>41126</v>
      </c>
      <c r="M22428" t="s">
        <v>761</v>
      </c>
      <c r="N22428" t="str">
        <f>"12349023364 "</f>
        <v xml:space="preserve">12349023364 </v>
      </c>
      <c r="O22428">
        <v>231211</v>
      </c>
    </row>
    <row r="22429" spans="1:15" x14ac:dyDescent="0.25">
      <c r="A22429" t="s">
        <v>16</v>
      </c>
      <c r="B22429" t="s">
        <v>3221</v>
      </c>
      <c r="C22429">
        <v>16964</v>
      </c>
      <c r="D22429" t="s">
        <v>263</v>
      </c>
      <c r="E22429" t="s">
        <v>264</v>
      </c>
      <c r="F22429">
        <v>8.1</v>
      </c>
      <c r="G22429">
        <v>231204</v>
      </c>
      <c r="H22429">
        <v>4362</v>
      </c>
      <c r="I22429" t="s">
        <v>79</v>
      </c>
      <c r="J22429">
        <v>10.039999999999999</v>
      </c>
      <c r="K22429">
        <v>1.94</v>
      </c>
      <c r="L22429">
        <v>46222</v>
      </c>
      <c r="M22429" t="s">
        <v>293</v>
      </c>
      <c r="N22429" t="str">
        <f>"12349023364 "</f>
        <v xml:space="preserve">12349023364 </v>
      </c>
      <c r="O22429">
        <v>231211</v>
      </c>
    </row>
    <row r="22430" spans="1:15" x14ac:dyDescent="0.25">
      <c r="A22430" t="s">
        <v>16</v>
      </c>
      <c r="B22430" t="s">
        <v>3221</v>
      </c>
      <c r="C22430">
        <v>16964</v>
      </c>
      <c r="D22430" t="s">
        <v>263</v>
      </c>
      <c r="E22430" t="s">
        <v>264</v>
      </c>
      <c r="F22430">
        <v>2.7</v>
      </c>
      <c r="G22430">
        <v>231204</v>
      </c>
      <c r="H22430">
        <v>4362</v>
      </c>
      <c r="I22430" t="s">
        <v>79</v>
      </c>
      <c r="J22430">
        <v>3.35</v>
      </c>
      <c r="K22430">
        <v>0.65</v>
      </c>
      <c r="L22430">
        <v>46555</v>
      </c>
      <c r="M22430" t="s">
        <v>597</v>
      </c>
      <c r="N22430" t="str">
        <f>"12349023364 "</f>
        <v xml:space="preserve">12349023364 </v>
      </c>
      <c r="O22430">
        <v>231211</v>
      </c>
    </row>
    <row r="22431" spans="1:15" x14ac:dyDescent="0.25">
      <c r="A22431" t="s">
        <v>16</v>
      </c>
      <c r="B22431" t="s">
        <v>3221</v>
      </c>
      <c r="C22431">
        <v>16965</v>
      </c>
      <c r="D22431" t="s">
        <v>263</v>
      </c>
      <c r="E22431" t="s">
        <v>264</v>
      </c>
      <c r="F22431">
        <v>43.35</v>
      </c>
      <c r="G22431">
        <v>231204</v>
      </c>
      <c r="H22431">
        <v>4362</v>
      </c>
      <c r="I22431" t="s">
        <v>79</v>
      </c>
      <c r="J22431">
        <v>53.75</v>
      </c>
      <c r="K22431">
        <v>10.4</v>
      </c>
      <c r="L22431">
        <v>10002</v>
      </c>
      <c r="M22431" t="s">
        <v>1066</v>
      </c>
      <c r="N22431" t="str">
        <f>"12349023396 "</f>
        <v xml:space="preserve">12349023396 </v>
      </c>
      <c r="O22431">
        <v>231211</v>
      </c>
    </row>
    <row r="22432" spans="1:15" x14ac:dyDescent="0.25">
      <c r="A22432" t="s">
        <v>16</v>
      </c>
      <c r="B22432" t="s">
        <v>3221</v>
      </c>
      <c r="C22432">
        <v>16966</v>
      </c>
      <c r="D22432" t="s">
        <v>263</v>
      </c>
      <c r="E22432" t="s">
        <v>264</v>
      </c>
      <c r="F22432">
        <v>2.7</v>
      </c>
      <c r="G22432">
        <v>231204</v>
      </c>
      <c r="H22432">
        <v>4362</v>
      </c>
      <c r="I22432" t="s">
        <v>79</v>
      </c>
      <c r="J22432">
        <v>3.35</v>
      </c>
      <c r="K22432">
        <v>0.65</v>
      </c>
      <c r="L22432">
        <v>13501</v>
      </c>
      <c r="M22432" t="s">
        <v>20</v>
      </c>
      <c r="N22432" t="str">
        <f>"12349023395 "</f>
        <v xml:space="preserve">12349023395 </v>
      </c>
      <c r="O22432">
        <v>231211</v>
      </c>
    </row>
    <row r="22433" spans="1:15" x14ac:dyDescent="0.25">
      <c r="A22433" t="s">
        <v>16</v>
      </c>
      <c r="B22433" t="s">
        <v>3221</v>
      </c>
      <c r="C22433">
        <v>17014</v>
      </c>
      <c r="D22433" t="s">
        <v>263</v>
      </c>
      <c r="E22433" t="s">
        <v>264</v>
      </c>
      <c r="F22433">
        <v>7.23</v>
      </c>
      <c r="G22433">
        <v>231204</v>
      </c>
      <c r="H22433">
        <v>4362</v>
      </c>
      <c r="I22433" t="s">
        <v>79</v>
      </c>
      <c r="J22433">
        <v>8.9700000000000006</v>
      </c>
      <c r="K22433">
        <v>1.74</v>
      </c>
      <c r="L22433">
        <v>16321</v>
      </c>
      <c r="M22433" t="s">
        <v>423</v>
      </c>
      <c r="N22433" t="str">
        <f t="shared" ref="N22433:N22442" si="426">"12349023377 "</f>
        <v xml:space="preserve">12349023377 </v>
      </c>
      <c r="O22433">
        <v>231211</v>
      </c>
    </row>
    <row r="22434" spans="1:15" x14ac:dyDescent="0.25">
      <c r="A22434" t="s">
        <v>16</v>
      </c>
      <c r="B22434" t="s">
        <v>3221</v>
      </c>
      <c r="C22434">
        <v>17014</v>
      </c>
      <c r="D22434" t="s">
        <v>263</v>
      </c>
      <c r="E22434" t="s">
        <v>264</v>
      </c>
      <c r="F22434">
        <v>9.7799999999999994</v>
      </c>
      <c r="G22434">
        <v>231204</v>
      </c>
      <c r="H22434">
        <v>4362</v>
      </c>
      <c r="I22434" t="s">
        <v>79</v>
      </c>
      <c r="J22434">
        <v>12.13</v>
      </c>
      <c r="K22434">
        <v>2.35</v>
      </c>
      <c r="L22434">
        <v>16431</v>
      </c>
      <c r="M22434" t="s">
        <v>231</v>
      </c>
      <c r="N22434" t="str">
        <f t="shared" si="426"/>
        <v xml:space="preserve">12349023377 </v>
      </c>
      <c r="O22434">
        <v>231211</v>
      </c>
    </row>
    <row r="22435" spans="1:15" x14ac:dyDescent="0.25">
      <c r="A22435" t="s">
        <v>16</v>
      </c>
      <c r="B22435" t="s">
        <v>3221</v>
      </c>
      <c r="C22435">
        <v>17014</v>
      </c>
      <c r="D22435" t="s">
        <v>263</v>
      </c>
      <c r="E22435" t="s">
        <v>264</v>
      </c>
      <c r="F22435">
        <v>44.5</v>
      </c>
      <c r="G22435">
        <v>231204</v>
      </c>
      <c r="H22435">
        <v>4362</v>
      </c>
      <c r="I22435" t="s">
        <v>79</v>
      </c>
      <c r="J22435">
        <v>55.18</v>
      </c>
      <c r="K22435">
        <v>10.68</v>
      </c>
      <c r="L22435">
        <v>17802</v>
      </c>
      <c r="M22435" t="s">
        <v>174</v>
      </c>
      <c r="N22435" t="str">
        <f t="shared" si="426"/>
        <v xml:space="preserve">12349023377 </v>
      </c>
      <c r="O22435">
        <v>231211</v>
      </c>
    </row>
    <row r="22436" spans="1:15" x14ac:dyDescent="0.25">
      <c r="A22436" t="s">
        <v>16</v>
      </c>
      <c r="B22436" t="s">
        <v>3221</v>
      </c>
      <c r="C22436">
        <v>17014</v>
      </c>
      <c r="D22436" t="s">
        <v>263</v>
      </c>
      <c r="E22436" t="s">
        <v>264</v>
      </c>
      <c r="F22436">
        <v>10.69</v>
      </c>
      <c r="G22436">
        <v>231204</v>
      </c>
      <c r="H22436">
        <v>4362</v>
      </c>
      <c r="I22436" t="s">
        <v>79</v>
      </c>
      <c r="J22436">
        <v>13.26</v>
      </c>
      <c r="K22436">
        <v>2.57</v>
      </c>
      <c r="L22436">
        <v>17803</v>
      </c>
      <c r="M22436" t="s">
        <v>389</v>
      </c>
      <c r="N22436" t="str">
        <f t="shared" si="426"/>
        <v xml:space="preserve">12349023377 </v>
      </c>
      <c r="O22436">
        <v>231211</v>
      </c>
    </row>
    <row r="22437" spans="1:15" x14ac:dyDescent="0.25">
      <c r="A22437" t="s">
        <v>16</v>
      </c>
      <c r="B22437" t="s">
        <v>3221</v>
      </c>
      <c r="C22437">
        <v>17014</v>
      </c>
      <c r="D22437" t="s">
        <v>263</v>
      </c>
      <c r="E22437" t="s">
        <v>264</v>
      </c>
      <c r="F22437">
        <v>3.51</v>
      </c>
      <c r="G22437">
        <v>231204</v>
      </c>
      <c r="H22437">
        <v>4362</v>
      </c>
      <c r="I22437" t="s">
        <v>79</v>
      </c>
      <c r="J22437">
        <v>4.3499999999999996</v>
      </c>
      <c r="K22437">
        <v>0.84</v>
      </c>
      <c r="L22437">
        <v>17804</v>
      </c>
      <c r="M22437" t="s">
        <v>549</v>
      </c>
      <c r="N22437" t="str">
        <f t="shared" si="426"/>
        <v xml:space="preserve">12349023377 </v>
      </c>
      <c r="O22437">
        <v>231211</v>
      </c>
    </row>
    <row r="22438" spans="1:15" x14ac:dyDescent="0.25">
      <c r="A22438" t="s">
        <v>16</v>
      </c>
      <c r="B22438" t="s">
        <v>3221</v>
      </c>
      <c r="C22438">
        <v>17014</v>
      </c>
      <c r="D22438" t="s">
        <v>263</v>
      </c>
      <c r="E22438" t="s">
        <v>264</v>
      </c>
      <c r="F22438">
        <v>2.7</v>
      </c>
      <c r="G22438">
        <v>231204</v>
      </c>
      <c r="H22438">
        <v>4362</v>
      </c>
      <c r="I22438" t="s">
        <v>79</v>
      </c>
      <c r="J22438">
        <v>3.35</v>
      </c>
      <c r="K22438">
        <v>0.65</v>
      </c>
      <c r="L22438">
        <v>17805</v>
      </c>
      <c r="M22438" t="s">
        <v>102</v>
      </c>
      <c r="N22438" t="str">
        <f t="shared" si="426"/>
        <v xml:space="preserve">12349023377 </v>
      </c>
      <c r="O22438">
        <v>231211</v>
      </c>
    </row>
    <row r="22439" spans="1:15" x14ac:dyDescent="0.25">
      <c r="A22439" t="s">
        <v>16</v>
      </c>
      <c r="B22439" t="s">
        <v>3221</v>
      </c>
      <c r="C22439">
        <v>17014</v>
      </c>
      <c r="D22439" t="s">
        <v>263</v>
      </c>
      <c r="E22439" t="s">
        <v>264</v>
      </c>
      <c r="F22439">
        <v>5.4</v>
      </c>
      <c r="G22439">
        <v>231204</v>
      </c>
      <c r="H22439">
        <v>4362</v>
      </c>
      <c r="I22439" t="s">
        <v>79</v>
      </c>
      <c r="J22439">
        <v>6.7</v>
      </c>
      <c r="K22439">
        <v>1.3</v>
      </c>
      <c r="L22439">
        <v>17806</v>
      </c>
      <c r="M22439" t="s">
        <v>265</v>
      </c>
      <c r="N22439" t="str">
        <f t="shared" si="426"/>
        <v xml:space="preserve">12349023377 </v>
      </c>
      <c r="O22439">
        <v>231211</v>
      </c>
    </row>
    <row r="22440" spans="1:15" x14ac:dyDescent="0.25">
      <c r="A22440" t="s">
        <v>16</v>
      </c>
      <c r="B22440" t="s">
        <v>3221</v>
      </c>
      <c r="C22440">
        <v>17014</v>
      </c>
      <c r="D22440" t="s">
        <v>263</v>
      </c>
      <c r="E22440" t="s">
        <v>264</v>
      </c>
      <c r="F22440">
        <v>16.32</v>
      </c>
      <c r="G22440">
        <v>231204</v>
      </c>
      <c r="H22440">
        <v>4362</v>
      </c>
      <c r="I22440" t="s">
        <v>79</v>
      </c>
      <c r="J22440">
        <v>20.239999999999998</v>
      </c>
      <c r="K22440">
        <v>3.92</v>
      </c>
      <c r="L22440">
        <v>17807</v>
      </c>
      <c r="M22440" t="s">
        <v>318</v>
      </c>
      <c r="N22440" t="str">
        <f t="shared" si="426"/>
        <v xml:space="preserve">12349023377 </v>
      </c>
      <c r="O22440">
        <v>231211</v>
      </c>
    </row>
    <row r="22441" spans="1:15" x14ac:dyDescent="0.25">
      <c r="A22441" t="s">
        <v>16</v>
      </c>
      <c r="B22441" t="s">
        <v>3221</v>
      </c>
      <c r="C22441">
        <v>17014</v>
      </c>
      <c r="D22441" t="s">
        <v>263</v>
      </c>
      <c r="E22441" t="s">
        <v>264</v>
      </c>
      <c r="F22441">
        <v>10.8</v>
      </c>
      <c r="G22441">
        <v>231204</v>
      </c>
      <c r="H22441">
        <v>4362</v>
      </c>
      <c r="I22441" t="s">
        <v>79</v>
      </c>
      <c r="J22441">
        <v>13.39</v>
      </c>
      <c r="K22441">
        <v>2.59</v>
      </c>
      <c r="L22441">
        <v>17808</v>
      </c>
      <c r="M22441" t="s">
        <v>322</v>
      </c>
      <c r="N22441" t="str">
        <f t="shared" si="426"/>
        <v xml:space="preserve">12349023377 </v>
      </c>
      <c r="O22441">
        <v>231211</v>
      </c>
    </row>
    <row r="22442" spans="1:15" x14ac:dyDescent="0.25">
      <c r="A22442" t="s">
        <v>16</v>
      </c>
      <c r="B22442" t="s">
        <v>3221</v>
      </c>
      <c r="C22442">
        <v>17014</v>
      </c>
      <c r="D22442" t="s">
        <v>263</v>
      </c>
      <c r="E22442" t="s">
        <v>264</v>
      </c>
      <c r="F22442">
        <v>9.43</v>
      </c>
      <c r="G22442">
        <v>231204</v>
      </c>
      <c r="H22442">
        <v>4362</v>
      </c>
      <c r="I22442" t="s">
        <v>79</v>
      </c>
      <c r="J22442">
        <v>11.69</v>
      </c>
      <c r="K22442">
        <v>2.2599999999999998</v>
      </c>
      <c r="L22442">
        <v>17809</v>
      </c>
      <c r="M22442" t="s">
        <v>376</v>
      </c>
      <c r="N22442" t="str">
        <f t="shared" si="426"/>
        <v xml:space="preserve">12349023377 </v>
      </c>
      <c r="O22442">
        <v>231211</v>
      </c>
    </row>
    <row r="22443" spans="1:15" x14ac:dyDescent="0.25">
      <c r="A22443" t="s">
        <v>16</v>
      </c>
      <c r="B22443" t="s">
        <v>3221</v>
      </c>
      <c r="C22443">
        <v>17039</v>
      </c>
      <c r="D22443" t="s">
        <v>263</v>
      </c>
      <c r="E22443" t="s">
        <v>264</v>
      </c>
      <c r="F22443">
        <v>25.83</v>
      </c>
      <c r="G22443">
        <v>231204</v>
      </c>
      <c r="H22443">
        <v>4362</v>
      </c>
      <c r="I22443" t="s">
        <v>79</v>
      </c>
      <c r="J22443">
        <v>32.03</v>
      </c>
      <c r="K22443">
        <v>6.2</v>
      </c>
      <c r="L22443">
        <v>11101</v>
      </c>
      <c r="M22443" t="s">
        <v>110</v>
      </c>
      <c r="N22443" t="str">
        <f>"12349023387 "</f>
        <v xml:space="preserve">12349023387 </v>
      </c>
      <c r="O22443">
        <v>231212</v>
      </c>
    </row>
    <row r="22444" spans="1:15" x14ac:dyDescent="0.25">
      <c r="A22444" t="s">
        <v>16</v>
      </c>
      <c r="B22444" t="s">
        <v>3221</v>
      </c>
      <c r="C22444">
        <v>17039</v>
      </c>
      <c r="D22444" t="s">
        <v>263</v>
      </c>
      <c r="E22444" t="s">
        <v>264</v>
      </c>
      <c r="F22444">
        <v>4.25</v>
      </c>
      <c r="G22444">
        <v>231204</v>
      </c>
      <c r="H22444">
        <v>4362</v>
      </c>
      <c r="I22444" t="s">
        <v>79</v>
      </c>
      <c r="J22444">
        <v>5.27</v>
      </c>
      <c r="K22444">
        <v>1.02</v>
      </c>
      <c r="L22444">
        <v>11201</v>
      </c>
      <c r="M22444" t="s">
        <v>305</v>
      </c>
      <c r="N22444" t="str">
        <f>"12349023387 "</f>
        <v xml:space="preserve">12349023387 </v>
      </c>
      <c r="O22444">
        <v>231212</v>
      </c>
    </row>
    <row r="22445" spans="1:15" x14ac:dyDescent="0.25">
      <c r="A22445" t="s">
        <v>16</v>
      </c>
      <c r="B22445" t="s">
        <v>3221</v>
      </c>
      <c r="C22445">
        <v>17254</v>
      </c>
      <c r="D22445" t="s">
        <v>263</v>
      </c>
      <c r="E22445" t="s">
        <v>264</v>
      </c>
      <c r="F22445">
        <v>15.56</v>
      </c>
      <c r="G22445">
        <v>231204</v>
      </c>
      <c r="H22445">
        <v>4362</v>
      </c>
      <c r="I22445" t="s">
        <v>79</v>
      </c>
      <c r="J22445">
        <v>19.29</v>
      </c>
      <c r="K22445">
        <v>3.73</v>
      </c>
      <c r="L22445">
        <v>11601</v>
      </c>
      <c r="M22445" t="s">
        <v>535</v>
      </c>
      <c r="N22445" t="str">
        <f t="shared" ref="N22445:N22460" si="427">"12349023389 "</f>
        <v xml:space="preserve">12349023389 </v>
      </c>
      <c r="O22445">
        <v>231212</v>
      </c>
    </row>
    <row r="22446" spans="1:15" x14ac:dyDescent="0.25">
      <c r="A22446" t="s">
        <v>16</v>
      </c>
      <c r="B22446" t="s">
        <v>3221</v>
      </c>
      <c r="C22446">
        <v>17254</v>
      </c>
      <c r="D22446" t="s">
        <v>263</v>
      </c>
      <c r="E22446" t="s">
        <v>264</v>
      </c>
      <c r="F22446">
        <v>2.5499999999999998</v>
      </c>
      <c r="G22446">
        <v>231204</v>
      </c>
      <c r="H22446">
        <v>4362</v>
      </c>
      <c r="I22446" t="s">
        <v>79</v>
      </c>
      <c r="J22446">
        <v>3.16</v>
      </c>
      <c r="K22446">
        <v>0.61</v>
      </c>
      <c r="L22446">
        <v>11603</v>
      </c>
      <c r="M22446" t="s">
        <v>945</v>
      </c>
      <c r="N22446" t="str">
        <f t="shared" si="427"/>
        <v xml:space="preserve">12349023389 </v>
      </c>
      <c r="O22446">
        <v>231212</v>
      </c>
    </row>
    <row r="22447" spans="1:15" x14ac:dyDescent="0.25">
      <c r="A22447" t="s">
        <v>16</v>
      </c>
      <c r="B22447" t="s">
        <v>3221</v>
      </c>
      <c r="C22447">
        <v>17254</v>
      </c>
      <c r="D22447" t="s">
        <v>263</v>
      </c>
      <c r="E22447" t="s">
        <v>264</v>
      </c>
      <c r="F22447">
        <v>15.25</v>
      </c>
      <c r="G22447">
        <v>231204</v>
      </c>
      <c r="H22447">
        <v>4362</v>
      </c>
      <c r="I22447" t="s">
        <v>79</v>
      </c>
      <c r="J22447">
        <v>18.91</v>
      </c>
      <c r="K22447">
        <v>3.66</v>
      </c>
      <c r="L22447">
        <v>14121</v>
      </c>
      <c r="M22447" t="s">
        <v>880</v>
      </c>
      <c r="N22447" t="str">
        <f t="shared" si="427"/>
        <v xml:space="preserve">12349023389 </v>
      </c>
      <c r="O22447">
        <v>231212</v>
      </c>
    </row>
    <row r="22448" spans="1:15" x14ac:dyDescent="0.25">
      <c r="A22448" t="s">
        <v>16</v>
      </c>
      <c r="B22448" t="s">
        <v>3221</v>
      </c>
      <c r="C22448">
        <v>17254</v>
      </c>
      <c r="D22448" t="s">
        <v>263</v>
      </c>
      <c r="E22448" t="s">
        <v>264</v>
      </c>
      <c r="F22448">
        <v>16.420000000000002</v>
      </c>
      <c r="G22448">
        <v>231204</v>
      </c>
      <c r="H22448">
        <v>4362</v>
      </c>
      <c r="I22448" t="s">
        <v>79</v>
      </c>
      <c r="J22448">
        <v>20.36</v>
      </c>
      <c r="K22448">
        <v>3.94</v>
      </c>
      <c r="L22448">
        <v>14321</v>
      </c>
      <c r="M22448" t="s">
        <v>717</v>
      </c>
      <c r="N22448" t="str">
        <f t="shared" si="427"/>
        <v xml:space="preserve">12349023389 </v>
      </c>
      <c r="O22448">
        <v>231212</v>
      </c>
    </row>
    <row r="22449" spans="1:15" x14ac:dyDescent="0.25">
      <c r="A22449" t="s">
        <v>16</v>
      </c>
      <c r="B22449" t="s">
        <v>3221</v>
      </c>
      <c r="C22449">
        <v>17254</v>
      </c>
      <c r="D22449" t="s">
        <v>263</v>
      </c>
      <c r="E22449" t="s">
        <v>264</v>
      </c>
      <c r="F22449">
        <v>14.24</v>
      </c>
      <c r="G22449">
        <v>231204</v>
      </c>
      <c r="H22449">
        <v>4362</v>
      </c>
      <c r="I22449" t="s">
        <v>79</v>
      </c>
      <c r="J22449">
        <v>17.66</v>
      </c>
      <c r="K22449">
        <v>3.42</v>
      </c>
      <c r="L22449">
        <v>14422</v>
      </c>
      <c r="M22449" t="s">
        <v>228</v>
      </c>
      <c r="N22449" t="str">
        <f t="shared" si="427"/>
        <v xml:space="preserve">12349023389 </v>
      </c>
      <c r="O22449">
        <v>231212</v>
      </c>
    </row>
    <row r="22450" spans="1:15" x14ac:dyDescent="0.25">
      <c r="A22450" t="s">
        <v>16</v>
      </c>
      <c r="B22450" t="s">
        <v>3221</v>
      </c>
      <c r="C22450">
        <v>17254</v>
      </c>
      <c r="D22450" t="s">
        <v>263</v>
      </c>
      <c r="E22450" t="s">
        <v>264</v>
      </c>
      <c r="F22450">
        <v>8.1</v>
      </c>
      <c r="G22450">
        <v>231204</v>
      </c>
      <c r="H22450">
        <v>4362</v>
      </c>
      <c r="I22450" t="s">
        <v>79</v>
      </c>
      <c r="J22450">
        <v>10.039999999999999</v>
      </c>
      <c r="K22450">
        <v>1.94</v>
      </c>
      <c r="L22450">
        <v>14431</v>
      </c>
      <c r="M22450" t="s">
        <v>861</v>
      </c>
      <c r="N22450" t="str">
        <f t="shared" si="427"/>
        <v xml:space="preserve">12349023389 </v>
      </c>
      <c r="O22450">
        <v>231212</v>
      </c>
    </row>
    <row r="22451" spans="1:15" x14ac:dyDescent="0.25">
      <c r="A22451" t="s">
        <v>16</v>
      </c>
      <c r="B22451" t="s">
        <v>3221</v>
      </c>
      <c r="C22451">
        <v>17254</v>
      </c>
      <c r="D22451" t="s">
        <v>263</v>
      </c>
      <c r="E22451" t="s">
        <v>264</v>
      </c>
      <c r="F22451">
        <v>8.1</v>
      </c>
      <c r="G22451">
        <v>231204</v>
      </c>
      <c r="H22451">
        <v>4362</v>
      </c>
      <c r="I22451" t="s">
        <v>79</v>
      </c>
      <c r="J22451">
        <v>10.039999999999999</v>
      </c>
      <c r="K22451">
        <v>1.94</v>
      </c>
      <c r="L22451">
        <v>14432</v>
      </c>
      <c r="M22451" t="s">
        <v>862</v>
      </c>
      <c r="N22451" t="str">
        <f t="shared" si="427"/>
        <v xml:space="preserve">12349023389 </v>
      </c>
      <c r="O22451">
        <v>231212</v>
      </c>
    </row>
    <row r="22452" spans="1:15" x14ac:dyDescent="0.25">
      <c r="A22452" t="s">
        <v>16</v>
      </c>
      <c r="B22452" t="s">
        <v>3221</v>
      </c>
      <c r="C22452">
        <v>17254</v>
      </c>
      <c r="D22452" t="s">
        <v>263</v>
      </c>
      <c r="E22452" t="s">
        <v>264</v>
      </c>
      <c r="F22452">
        <v>2.73</v>
      </c>
      <c r="G22452">
        <v>231204</v>
      </c>
      <c r="H22452">
        <v>4362</v>
      </c>
      <c r="I22452" t="s">
        <v>79</v>
      </c>
      <c r="J22452">
        <v>3.39</v>
      </c>
      <c r="K22452">
        <v>0.66</v>
      </c>
      <c r="L22452">
        <v>14541</v>
      </c>
      <c r="M22452" t="s">
        <v>626</v>
      </c>
      <c r="N22452" t="str">
        <f t="shared" si="427"/>
        <v xml:space="preserve">12349023389 </v>
      </c>
      <c r="O22452">
        <v>231212</v>
      </c>
    </row>
    <row r="22453" spans="1:15" x14ac:dyDescent="0.25">
      <c r="A22453" t="s">
        <v>16</v>
      </c>
      <c r="B22453" t="s">
        <v>3221</v>
      </c>
      <c r="C22453">
        <v>17254</v>
      </c>
      <c r="D22453" t="s">
        <v>263</v>
      </c>
      <c r="E22453" t="s">
        <v>264</v>
      </c>
      <c r="F22453">
        <v>36.32</v>
      </c>
      <c r="G22453">
        <v>231204</v>
      </c>
      <c r="H22453">
        <v>4362</v>
      </c>
      <c r="I22453" t="s">
        <v>79</v>
      </c>
      <c r="J22453">
        <v>45.04</v>
      </c>
      <c r="K22453">
        <v>8.7200000000000006</v>
      </c>
      <c r="L22453">
        <v>14622</v>
      </c>
      <c r="M22453" t="s">
        <v>1005</v>
      </c>
      <c r="N22453" t="str">
        <f t="shared" si="427"/>
        <v xml:space="preserve">12349023389 </v>
      </c>
      <c r="O22453">
        <v>231212</v>
      </c>
    </row>
    <row r="22454" spans="1:15" x14ac:dyDescent="0.25">
      <c r="A22454" t="s">
        <v>16</v>
      </c>
      <c r="B22454" t="s">
        <v>3221</v>
      </c>
      <c r="C22454">
        <v>17254</v>
      </c>
      <c r="D22454" t="s">
        <v>263</v>
      </c>
      <c r="E22454" t="s">
        <v>264</v>
      </c>
      <c r="F22454">
        <v>5.4</v>
      </c>
      <c r="G22454">
        <v>231204</v>
      </c>
      <c r="H22454">
        <v>4362</v>
      </c>
      <c r="I22454" t="s">
        <v>79</v>
      </c>
      <c r="J22454">
        <v>6.7</v>
      </c>
      <c r="K22454">
        <v>1.3</v>
      </c>
      <c r="L22454">
        <v>14640</v>
      </c>
      <c r="M22454" t="s">
        <v>229</v>
      </c>
      <c r="N22454" t="str">
        <f t="shared" si="427"/>
        <v xml:space="preserve">12349023389 </v>
      </c>
      <c r="O22454">
        <v>231212</v>
      </c>
    </row>
    <row r="22455" spans="1:15" x14ac:dyDescent="0.25">
      <c r="A22455" t="s">
        <v>16</v>
      </c>
      <c r="B22455" t="s">
        <v>3221</v>
      </c>
      <c r="C22455">
        <v>17254</v>
      </c>
      <c r="D22455" t="s">
        <v>263</v>
      </c>
      <c r="E22455" t="s">
        <v>264</v>
      </c>
      <c r="F22455">
        <v>2.7</v>
      </c>
      <c r="G22455">
        <v>231204</v>
      </c>
      <c r="H22455">
        <v>4362</v>
      </c>
      <c r="I22455" t="s">
        <v>79</v>
      </c>
      <c r="J22455">
        <v>3.35</v>
      </c>
      <c r="K22455">
        <v>0.65</v>
      </c>
      <c r="L22455">
        <v>14861</v>
      </c>
      <c r="M22455" t="s">
        <v>785</v>
      </c>
      <c r="N22455" t="str">
        <f t="shared" si="427"/>
        <v xml:space="preserve">12349023389 </v>
      </c>
      <c r="O22455">
        <v>231212</v>
      </c>
    </row>
    <row r="22456" spans="1:15" x14ac:dyDescent="0.25">
      <c r="A22456" t="s">
        <v>16</v>
      </c>
      <c r="B22456" t="s">
        <v>3221</v>
      </c>
      <c r="C22456">
        <v>17254</v>
      </c>
      <c r="D22456" t="s">
        <v>263</v>
      </c>
      <c r="E22456" t="s">
        <v>264</v>
      </c>
      <c r="F22456">
        <v>7.76</v>
      </c>
      <c r="G22456">
        <v>231204</v>
      </c>
      <c r="H22456">
        <v>4362</v>
      </c>
      <c r="I22456" t="s">
        <v>79</v>
      </c>
      <c r="J22456">
        <v>9.6199999999999992</v>
      </c>
      <c r="K22456">
        <v>1.86</v>
      </c>
      <c r="L22456">
        <v>14912</v>
      </c>
      <c r="M22456" t="s">
        <v>230</v>
      </c>
      <c r="N22456" t="str">
        <f t="shared" si="427"/>
        <v xml:space="preserve">12349023389 </v>
      </c>
      <c r="O22456">
        <v>231212</v>
      </c>
    </row>
    <row r="22457" spans="1:15" x14ac:dyDescent="0.25">
      <c r="A22457" t="s">
        <v>16</v>
      </c>
      <c r="B22457" t="s">
        <v>3221</v>
      </c>
      <c r="C22457">
        <v>17254</v>
      </c>
      <c r="D22457" t="s">
        <v>263</v>
      </c>
      <c r="E22457" t="s">
        <v>264</v>
      </c>
      <c r="F22457">
        <v>3.44</v>
      </c>
      <c r="G22457">
        <v>231204</v>
      </c>
      <c r="H22457">
        <v>4362</v>
      </c>
      <c r="I22457" t="s">
        <v>79</v>
      </c>
      <c r="J22457">
        <v>4.2699999999999996</v>
      </c>
      <c r="K22457">
        <v>0.83</v>
      </c>
      <c r="L22457">
        <v>14971</v>
      </c>
      <c r="M22457" t="s">
        <v>1259</v>
      </c>
      <c r="N22457" t="str">
        <f t="shared" si="427"/>
        <v xml:space="preserve">12349023389 </v>
      </c>
      <c r="O22457">
        <v>231212</v>
      </c>
    </row>
    <row r="22458" spans="1:15" x14ac:dyDescent="0.25">
      <c r="A22458" t="s">
        <v>16</v>
      </c>
      <c r="B22458" t="s">
        <v>3221</v>
      </c>
      <c r="C22458">
        <v>17254</v>
      </c>
      <c r="D22458" t="s">
        <v>263</v>
      </c>
      <c r="E22458" t="s">
        <v>264</v>
      </c>
      <c r="F22458">
        <v>3.09</v>
      </c>
      <c r="G22458">
        <v>231204</v>
      </c>
      <c r="H22458">
        <v>4362</v>
      </c>
      <c r="I22458" t="s">
        <v>79</v>
      </c>
      <c r="J22458">
        <v>3.83</v>
      </c>
      <c r="K22458">
        <v>0.74</v>
      </c>
      <c r="L22458">
        <v>14972</v>
      </c>
      <c r="M22458" t="s">
        <v>898</v>
      </c>
      <c r="N22458" t="str">
        <f t="shared" si="427"/>
        <v xml:space="preserve">12349023389 </v>
      </c>
      <c r="O22458">
        <v>231212</v>
      </c>
    </row>
    <row r="22459" spans="1:15" x14ac:dyDescent="0.25">
      <c r="A22459" t="s">
        <v>16</v>
      </c>
      <c r="B22459" t="s">
        <v>3221</v>
      </c>
      <c r="C22459">
        <v>17254</v>
      </c>
      <c r="D22459" t="s">
        <v>263</v>
      </c>
      <c r="E22459" t="s">
        <v>264</v>
      </c>
      <c r="F22459">
        <v>2.7</v>
      </c>
      <c r="G22459">
        <v>231204</v>
      </c>
      <c r="H22459">
        <v>4362</v>
      </c>
      <c r="I22459" t="s">
        <v>79</v>
      </c>
      <c r="J22459">
        <v>3.35</v>
      </c>
      <c r="K22459">
        <v>0.65</v>
      </c>
      <c r="L22459">
        <v>14974</v>
      </c>
      <c r="M22459" t="s">
        <v>1340</v>
      </c>
      <c r="N22459" t="str">
        <f t="shared" si="427"/>
        <v xml:space="preserve">12349023389 </v>
      </c>
      <c r="O22459">
        <v>231212</v>
      </c>
    </row>
    <row r="22460" spans="1:15" x14ac:dyDescent="0.25">
      <c r="A22460" t="s">
        <v>16</v>
      </c>
      <c r="B22460" t="s">
        <v>3221</v>
      </c>
      <c r="C22460">
        <v>17254</v>
      </c>
      <c r="D22460" t="s">
        <v>263</v>
      </c>
      <c r="E22460" t="s">
        <v>264</v>
      </c>
      <c r="F22460">
        <v>4.3499999999999996</v>
      </c>
      <c r="G22460">
        <v>231204</v>
      </c>
      <c r="H22460">
        <v>4362</v>
      </c>
      <c r="I22460" t="s">
        <v>79</v>
      </c>
      <c r="J22460">
        <v>5.4</v>
      </c>
      <c r="K22460">
        <v>1.05</v>
      </c>
      <c r="L22460">
        <v>14975</v>
      </c>
      <c r="M22460" t="s">
        <v>1341</v>
      </c>
      <c r="N22460" t="str">
        <f t="shared" si="427"/>
        <v xml:space="preserve">12349023389 </v>
      </c>
      <c r="O22460">
        <v>231212</v>
      </c>
    </row>
    <row r="22461" spans="1:15" x14ac:dyDescent="0.25">
      <c r="A22461" t="s">
        <v>16</v>
      </c>
      <c r="B22461" t="s">
        <v>3221</v>
      </c>
      <c r="C22461">
        <v>17319</v>
      </c>
      <c r="D22461" t="s">
        <v>263</v>
      </c>
      <c r="E22461" t="s">
        <v>264</v>
      </c>
      <c r="F22461">
        <v>2.7</v>
      </c>
      <c r="G22461">
        <v>231204</v>
      </c>
      <c r="H22461">
        <v>4362</v>
      </c>
      <c r="I22461" t="s">
        <v>79</v>
      </c>
      <c r="J22461">
        <v>3.35</v>
      </c>
      <c r="K22461">
        <v>0.65</v>
      </c>
      <c r="L22461">
        <v>11900</v>
      </c>
      <c r="M22461" t="s">
        <v>1105</v>
      </c>
      <c r="N22461" t="str">
        <f>"12349023374 "</f>
        <v xml:space="preserve">12349023374 </v>
      </c>
      <c r="O22461">
        <v>231213</v>
      </c>
    </row>
    <row r="22462" spans="1:15" x14ac:dyDescent="0.25">
      <c r="A22462" t="s">
        <v>16</v>
      </c>
      <c r="B22462" t="s">
        <v>3221</v>
      </c>
      <c r="C22462">
        <v>17378</v>
      </c>
      <c r="D22462" t="s">
        <v>263</v>
      </c>
      <c r="E22462" t="s">
        <v>264</v>
      </c>
      <c r="F22462">
        <v>2.7</v>
      </c>
      <c r="G22462">
        <v>231204</v>
      </c>
      <c r="H22462">
        <v>4362</v>
      </c>
      <c r="I22462" t="s">
        <v>79</v>
      </c>
      <c r="J22462">
        <v>3.35</v>
      </c>
      <c r="K22462">
        <v>0.65</v>
      </c>
      <c r="L22462">
        <v>54451</v>
      </c>
      <c r="M22462" t="s">
        <v>158</v>
      </c>
      <c r="N22462" t="str">
        <f t="shared" ref="N22462:N22476" si="428">"12349023356 "</f>
        <v xml:space="preserve">12349023356 </v>
      </c>
      <c r="O22462">
        <v>231213</v>
      </c>
    </row>
    <row r="22463" spans="1:15" x14ac:dyDescent="0.25">
      <c r="A22463" t="s">
        <v>16</v>
      </c>
      <c r="B22463" t="s">
        <v>3221</v>
      </c>
      <c r="C22463">
        <v>17378</v>
      </c>
      <c r="D22463" t="s">
        <v>263</v>
      </c>
      <c r="E22463" t="s">
        <v>264</v>
      </c>
      <c r="F22463">
        <v>10.6</v>
      </c>
      <c r="G22463">
        <v>231204</v>
      </c>
      <c r="H22463">
        <v>4362</v>
      </c>
      <c r="I22463" t="s">
        <v>79</v>
      </c>
      <c r="J22463">
        <v>13.14</v>
      </c>
      <c r="K22463">
        <v>2.54</v>
      </c>
      <c r="L22463">
        <v>59111</v>
      </c>
      <c r="M22463" t="s">
        <v>1010</v>
      </c>
      <c r="N22463" t="str">
        <f t="shared" si="428"/>
        <v xml:space="preserve">12349023356 </v>
      </c>
      <c r="O22463">
        <v>231213</v>
      </c>
    </row>
    <row r="22464" spans="1:15" x14ac:dyDescent="0.25">
      <c r="A22464" t="s">
        <v>16</v>
      </c>
      <c r="B22464" t="s">
        <v>3221</v>
      </c>
      <c r="C22464">
        <v>17378</v>
      </c>
      <c r="D22464" t="s">
        <v>263</v>
      </c>
      <c r="E22464" t="s">
        <v>264</v>
      </c>
      <c r="F22464">
        <v>9.3800000000000008</v>
      </c>
      <c r="G22464">
        <v>231204</v>
      </c>
      <c r="H22464">
        <v>4362</v>
      </c>
      <c r="I22464" t="s">
        <v>79</v>
      </c>
      <c r="J22464">
        <v>11.63</v>
      </c>
      <c r="K22464">
        <v>2.25</v>
      </c>
      <c r="L22464">
        <v>59113</v>
      </c>
      <c r="M22464" t="s">
        <v>235</v>
      </c>
      <c r="N22464" t="str">
        <f t="shared" si="428"/>
        <v xml:space="preserve">12349023356 </v>
      </c>
      <c r="O22464">
        <v>231213</v>
      </c>
    </row>
    <row r="22465" spans="1:15" x14ac:dyDescent="0.25">
      <c r="A22465" t="s">
        <v>16</v>
      </c>
      <c r="B22465" t="s">
        <v>3221</v>
      </c>
      <c r="C22465">
        <v>17378</v>
      </c>
      <c r="D22465" t="s">
        <v>263</v>
      </c>
      <c r="E22465" t="s">
        <v>264</v>
      </c>
      <c r="F22465">
        <v>9.7799999999999994</v>
      </c>
      <c r="G22465">
        <v>231204</v>
      </c>
      <c r="H22465">
        <v>4362</v>
      </c>
      <c r="I22465" t="s">
        <v>79</v>
      </c>
      <c r="J22465">
        <v>12.13</v>
      </c>
      <c r="K22465">
        <v>2.35</v>
      </c>
      <c r="L22465">
        <v>59114</v>
      </c>
      <c r="M22465" t="s">
        <v>556</v>
      </c>
      <c r="N22465" t="str">
        <f t="shared" si="428"/>
        <v xml:space="preserve">12349023356 </v>
      </c>
      <c r="O22465">
        <v>231213</v>
      </c>
    </row>
    <row r="22466" spans="1:15" x14ac:dyDescent="0.25">
      <c r="A22466" t="s">
        <v>16</v>
      </c>
      <c r="B22466" t="s">
        <v>3221</v>
      </c>
      <c r="C22466">
        <v>17378</v>
      </c>
      <c r="D22466" t="s">
        <v>263</v>
      </c>
      <c r="E22466" t="s">
        <v>264</v>
      </c>
      <c r="F22466">
        <v>57.64</v>
      </c>
      <c r="G22466">
        <v>231204</v>
      </c>
      <c r="H22466">
        <v>4362</v>
      </c>
      <c r="I22466" t="s">
        <v>79</v>
      </c>
      <c r="J22466">
        <v>71.47</v>
      </c>
      <c r="K22466">
        <v>13.83</v>
      </c>
      <c r="L22466">
        <v>59501</v>
      </c>
      <c r="M22466" t="s">
        <v>69</v>
      </c>
      <c r="N22466" t="str">
        <f t="shared" si="428"/>
        <v xml:space="preserve">12349023356 </v>
      </c>
      <c r="O22466">
        <v>231213</v>
      </c>
    </row>
    <row r="22467" spans="1:15" x14ac:dyDescent="0.25">
      <c r="A22467" t="s">
        <v>16</v>
      </c>
      <c r="B22467" t="s">
        <v>3221</v>
      </c>
      <c r="C22467">
        <v>17378</v>
      </c>
      <c r="D22467" t="s">
        <v>263</v>
      </c>
      <c r="E22467" t="s">
        <v>264</v>
      </c>
      <c r="F22467">
        <v>31.9</v>
      </c>
      <c r="G22467">
        <v>231204</v>
      </c>
      <c r="H22467">
        <v>4362</v>
      </c>
      <c r="I22467" t="s">
        <v>79</v>
      </c>
      <c r="J22467">
        <v>39.56</v>
      </c>
      <c r="K22467">
        <v>7.66</v>
      </c>
      <c r="L22467">
        <v>59502</v>
      </c>
      <c r="M22467" t="s">
        <v>70</v>
      </c>
      <c r="N22467" t="str">
        <f t="shared" si="428"/>
        <v xml:space="preserve">12349023356 </v>
      </c>
      <c r="O22467">
        <v>231213</v>
      </c>
    </row>
    <row r="22468" spans="1:15" x14ac:dyDescent="0.25">
      <c r="A22468" t="s">
        <v>16</v>
      </c>
      <c r="B22468" t="s">
        <v>3221</v>
      </c>
      <c r="C22468">
        <v>17378</v>
      </c>
      <c r="D22468" t="s">
        <v>263</v>
      </c>
      <c r="E22468" t="s">
        <v>264</v>
      </c>
      <c r="F22468">
        <v>8.1</v>
      </c>
      <c r="G22468">
        <v>231204</v>
      </c>
      <c r="H22468">
        <v>4362</v>
      </c>
      <c r="I22468" t="s">
        <v>79</v>
      </c>
      <c r="J22468">
        <v>10.039999999999999</v>
      </c>
      <c r="K22468">
        <v>1.94</v>
      </c>
      <c r="L22468">
        <v>59504</v>
      </c>
      <c r="M22468" t="s">
        <v>71</v>
      </c>
      <c r="N22468" t="str">
        <f t="shared" si="428"/>
        <v xml:space="preserve">12349023356 </v>
      </c>
      <c r="O22468">
        <v>231213</v>
      </c>
    </row>
    <row r="22469" spans="1:15" x14ac:dyDescent="0.25">
      <c r="A22469" t="s">
        <v>16</v>
      </c>
      <c r="B22469" t="s">
        <v>3221</v>
      </c>
      <c r="C22469">
        <v>17378</v>
      </c>
      <c r="D22469" t="s">
        <v>263</v>
      </c>
      <c r="E22469" t="s">
        <v>264</v>
      </c>
      <c r="F22469">
        <v>5.4</v>
      </c>
      <c r="G22469">
        <v>231204</v>
      </c>
      <c r="H22469">
        <v>4362</v>
      </c>
      <c r="I22469" t="s">
        <v>79</v>
      </c>
      <c r="J22469">
        <v>6.7</v>
      </c>
      <c r="K22469">
        <v>1.3</v>
      </c>
      <c r="L22469">
        <v>59505</v>
      </c>
      <c r="M22469" t="s">
        <v>72</v>
      </c>
      <c r="N22469" t="str">
        <f t="shared" si="428"/>
        <v xml:space="preserve">12349023356 </v>
      </c>
      <c r="O22469">
        <v>231213</v>
      </c>
    </row>
    <row r="22470" spans="1:15" x14ac:dyDescent="0.25">
      <c r="A22470" t="s">
        <v>16</v>
      </c>
      <c r="B22470" t="s">
        <v>3221</v>
      </c>
      <c r="C22470">
        <v>17378</v>
      </c>
      <c r="D22470" t="s">
        <v>263</v>
      </c>
      <c r="E22470" t="s">
        <v>264</v>
      </c>
      <c r="F22470">
        <v>13.64</v>
      </c>
      <c r="G22470">
        <v>231204</v>
      </c>
      <c r="H22470">
        <v>4362</v>
      </c>
      <c r="I22470" t="s">
        <v>79</v>
      </c>
      <c r="J22470">
        <v>16.91</v>
      </c>
      <c r="K22470">
        <v>3.27</v>
      </c>
      <c r="L22470">
        <v>59701</v>
      </c>
      <c r="M22470" t="s">
        <v>297</v>
      </c>
      <c r="N22470" t="str">
        <f t="shared" si="428"/>
        <v xml:space="preserve">12349023356 </v>
      </c>
      <c r="O22470">
        <v>231213</v>
      </c>
    </row>
    <row r="22471" spans="1:15" x14ac:dyDescent="0.25">
      <c r="A22471" t="s">
        <v>16</v>
      </c>
      <c r="B22471" t="s">
        <v>3221</v>
      </c>
      <c r="C22471">
        <v>17378</v>
      </c>
      <c r="D22471" t="s">
        <v>263</v>
      </c>
      <c r="E22471" t="s">
        <v>264</v>
      </c>
      <c r="F22471">
        <v>2.7</v>
      </c>
      <c r="G22471">
        <v>231204</v>
      </c>
      <c r="H22471">
        <v>4362</v>
      </c>
      <c r="I22471" t="s">
        <v>79</v>
      </c>
      <c r="J22471">
        <v>3.35</v>
      </c>
      <c r="K22471">
        <v>0.65</v>
      </c>
      <c r="L22471">
        <v>59702</v>
      </c>
      <c r="M22471" t="s">
        <v>328</v>
      </c>
      <c r="N22471" t="str">
        <f t="shared" si="428"/>
        <v xml:space="preserve">12349023356 </v>
      </c>
      <c r="O22471">
        <v>231213</v>
      </c>
    </row>
    <row r="22472" spans="1:15" x14ac:dyDescent="0.25">
      <c r="A22472" t="s">
        <v>16</v>
      </c>
      <c r="B22472" t="s">
        <v>3221</v>
      </c>
      <c r="C22472">
        <v>17378</v>
      </c>
      <c r="D22472" t="s">
        <v>263</v>
      </c>
      <c r="E22472" t="s">
        <v>264</v>
      </c>
      <c r="F22472">
        <v>5.25</v>
      </c>
      <c r="G22472">
        <v>231204</v>
      </c>
      <c r="H22472">
        <v>4362</v>
      </c>
      <c r="I22472" t="s">
        <v>79</v>
      </c>
      <c r="J22472">
        <v>6.51</v>
      </c>
      <c r="K22472">
        <v>1.26</v>
      </c>
      <c r="L22472">
        <v>59704</v>
      </c>
      <c r="M22472" t="s">
        <v>1103</v>
      </c>
      <c r="N22472" t="str">
        <f t="shared" si="428"/>
        <v xml:space="preserve">12349023356 </v>
      </c>
      <c r="O22472">
        <v>231213</v>
      </c>
    </row>
    <row r="22473" spans="1:15" x14ac:dyDescent="0.25">
      <c r="A22473" t="s">
        <v>16</v>
      </c>
      <c r="B22473" t="s">
        <v>3221</v>
      </c>
      <c r="C22473">
        <v>17378</v>
      </c>
      <c r="D22473" t="s">
        <v>263</v>
      </c>
      <c r="E22473" t="s">
        <v>264</v>
      </c>
      <c r="F22473">
        <v>5.4</v>
      </c>
      <c r="G22473">
        <v>231204</v>
      </c>
      <c r="H22473">
        <v>4362</v>
      </c>
      <c r="I22473" t="s">
        <v>79</v>
      </c>
      <c r="J22473">
        <v>6.7</v>
      </c>
      <c r="K22473">
        <v>1.3</v>
      </c>
      <c r="L22473">
        <v>59705</v>
      </c>
      <c r="M22473" t="s">
        <v>843</v>
      </c>
      <c r="N22473" t="str">
        <f t="shared" si="428"/>
        <v xml:space="preserve">12349023356 </v>
      </c>
      <c r="O22473">
        <v>231213</v>
      </c>
    </row>
    <row r="22474" spans="1:15" x14ac:dyDescent="0.25">
      <c r="A22474" t="s">
        <v>16</v>
      </c>
      <c r="B22474" t="s">
        <v>3221</v>
      </c>
      <c r="C22474">
        <v>17378</v>
      </c>
      <c r="D22474" t="s">
        <v>263</v>
      </c>
      <c r="E22474" t="s">
        <v>264</v>
      </c>
      <c r="F22474">
        <v>15.9</v>
      </c>
      <c r="G22474">
        <v>231204</v>
      </c>
      <c r="H22474">
        <v>4362</v>
      </c>
      <c r="I22474" t="s">
        <v>79</v>
      </c>
      <c r="J22474">
        <v>19.72</v>
      </c>
      <c r="K22474">
        <v>3.82</v>
      </c>
      <c r="L22474">
        <v>59802</v>
      </c>
      <c r="M22474" t="s">
        <v>73</v>
      </c>
      <c r="N22474" t="str">
        <f t="shared" si="428"/>
        <v xml:space="preserve">12349023356 </v>
      </c>
      <c r="O22474">
        <v>231213</v>
      </c>
    </row>
    <row r="22475" spans="1:15" x14ac:dyDescent="0.25">
      <c r="A22475" t="s">
        <v>16</v>
      </c>
      <c r="B22475" t="s">
        <v>3221</v>
      </c>
      <c r="C22475">
        <v>17378</v>
      </c>
      <c r="D22475" t="s">
        <v>263</v>
      </c>
      <c r="E22475" t="s">
        <v>264</v>
      </c>
      <c r="F22475">
        <v>11.46</v>
      </c>
      <c r="G22475">
        <v>231204</v>
      </c>
      <c r="H22475">
        <v>4362</v>
      </c>
      <c r="I22475" t="s">
        <v>79</v>
      </c>
      <c r="J22475">
        <v>14.21</v>
      </c>
      <c r="K22475">
        <v>2.75</v>
      </c>
      <c r="L22475">
        <v>59812</v>
      </c>
      <c r="M22475" t="s">
        <v>74</v>
      </c>
      <c r="N22475" t="str">
        <f t="shared" si="428"/>
        <v xml:space="preserve">12349023356 </v>
      </c>
      <c r="O22475">
        <v>231213</v>
      </c>
    </row>
    <row r="22476" spans="1:15" x14ac:dyDescent="0.25">
      <c r="A22476" t="s">
        <v>16</v>
      </c>
      <c r="B22476" t="s">
        <v>3221</v>
      </c>
      <c r="C22476">
        <v>17378</v>
      </c>
      <c r="D22476" t="s">
        <v>263</v>
      </c>
      <c r="E22476" t="s">
        <v>264</v>
      </c>
      <c r="F22476">
        <v>2.7</v>
      </c>
      <c r="G22476">
        <v>231204</v>
      </c>
      <c r="H22476">
        <v>4362</v>
      </c>
      <c r="I22476" t="s">
        <v>79</v>
      </c>
      <c r="J22476">
        <v>3.35</v>
      </c>
      <c r="K22476">
        <v>0.65</v>
      </c>
      <c r="L22476">
        <v>59815</v>
      </c>
      <c r="M22476" t="s">
        <v>1182</v>
      </c>
      <c r="N22476" t="str">
        <f t="shared" si="428"/>
        <v xml:space="preserve">12349023356 </v>
      </c>
      <c r="O22476">
        <v>231213</v>
      </c>
    </row>
    <row r="22477" spans="1:15" x14ac:dyDescent="0.25">
      <c r="A22477" t="s">
        <v>16</v>
      </c>
      <c r="B22477" t="s">
        <v>3221</v>
      </c>
      <c r="C22477">
        <v>17379</v>
      </c>
      <c r="D22477" t="s">
        <v>263</v>
      </c>
      <c r="E22477" t="s">
        <v>264</v>
      </c>
      <c r="F22477">
        <v>3.35</v>
      </c>
      <c r="G22477">
        <v>231204</v>
      </c>
      <c r="H22477">
        <v>4362</v>
      </c>
      <c r="I22477" t="s">
        <v>79</v>
      </c>
      <c r="J22477">
        <v>3.35</v>
      </c>
      <c r="K22477">
        <v>0</v>
      </c>
      <c r="L22477">
        <v>59702</v>
      </c>
      <c r="M22477" t="s">
        <v>328</v>
      </c>
      <c r="N22477" t="str">
        <f>"12349023358 "</f>
        <v xml:space="preserve">12349023358 </v>
      </c>
      <c r="O22477">
        <v>231213</v>
      </c>
    </row>
    <row r="22478" spans="1:15" x14ac:dyDescent="0.25">
      <c r="A22478" t="s">
        <v>16</v>
      </c>
      <c r="B22478" t="s">
        <v>3221</v>
      </c>
      <c r="C22478">
        <v>17379</v>
      </c>
      <c r="D22478" t="s">
        <v>263</v>
      </c>
      <c r="E22478" t="s">
        <v>264</v>
      </c>
      <c r="F22478">
        <v>16.79</v>
      </c>
      <c r="G22478">
        <v>231204</v>
      </c>
      <c r="H22478">
        <v>4362</v>
      </c>
      <c r="I22478" t="s">
        <v>79</v>
      </c>
      <c r="J22478">
        <v>20.82</v>
      </c>
      <c r="K22478">
        <v>4.03</v>
      </c>
      <c r="L22478">
        <v>59702</v>
      </c>
      <c r="M22478" t="s">
        <v>328</v>
      </c>
      <c r="N22478" t="str">
        <f>"12349023358 "</f>
        <v xml:space="preserve">12349023358 </v>
      </c>
      <c r="O22478">
        <v>231213</v>
      </c>
    </row>
    <row r="22479" spans="1:15" x14ac:dyDescent="0.25">
      <c r="A22479" t="s">
        <v>16</v>
      </c>
      <c r="B22479" t="s">
        <v>3221</v>
      </c>
      <c r="C22479">
        <v>17379</v>
      </c>
      <c r="D22479" t="s">
        <v>263</v>
      </c>
      <c r="E22479" t="s">
        <v>264</v>
      </c>
      <c r="F22479">
        <v>8.56</v>
      </c>
      <c r="G22479">
        <v>231204</v>
      </c>
      <c r="H22479">
        <v>4362</v>
      </c>
      <c r="I22479" t="s">
        <v>79</v>
      </c>
      <c r="J22479">
        <v>10.61</v>
      </c>
      <c r="K22479">
        <v>2.0499999999999998</v>
      </c>
      <c r="L22479">
        <v>59704</v>
      </c>
      <c r="M22479" t="s">
        <v>1103</v>
      </c>
      <c r="N22479" t="str">
        <f>"12349023358 "</f>
        <v xml:space="preserve">12349023358 </v>
      </c>
      <c r="O22479">
        <v>231213</v>
      </c>
    </row>
    <row r="22480" spans="1:15" x14ac:dyDescent="0.25">
      <c r="A22480" t="s">
        <v>16</v>
      </c>
      <c r="B22480" t="s">
        <v>3221</v>
      </c>
      <c r="C22480">
        <v>17380</v>
      </c>
      <c r="D22480" t="s">
        <v>263</v>
      </c>
      <c r="E22480" t="s">
        <v>264</v>
      </c>
      <c r="F22480">
        <v>5.26</v>
      </c>
      <c r="G22480">
        <v>231204</v>
      </c>
      <c r="H22480">
        <v>4362</v>
      </c>
      <c r="I22480" t="s">
        <v>79</v>
      </c>
      <c r="J22480">
        <v>6.52</v>
      </c>
      <c r="K22480">
        <v>1.26</v>
      </c>
      <c r="L22480">
        <v>14972</v>
      </c>
      <c r="M22480" t="s">
        <v>898</v>
      </c>
      <c r="N22480" t="str">
        <f t="shared" ref="N22480:N22488" si="429">"12349023355 "</f>
        <v xml:space="preserve">12349023355 </v>
      </c>
      <c r="O22480">
        <v>231213</v>
      </c>
    </row>
    <row r="22481" spans="1:15" x14ac:dyDescent="0.25">
      <c r="A22481" t="s">
        <v>16</v>
      </c>
      <c r="B22481" t="s">
        <v>3221</v>
      </c>
      <c r="C22481">
        <v>17380</v>
      </c>
      <c r="D22481" t="s">
        <v>263</v>
      </c>
      <c r="E22481" t="s">
        <v>264</v>
      </c>
      <c r="F22481">
        <v>5.27</v>
      </c>
      <c r="G22481">
        <v>231204</v>
      </c>
      <c r="H22481">
        <v>4362</v>
      </c>
      <c r="I22481" t="s">
        <v>79</v>
      </c>
      <c r="J22481">
        <v>6.53</v>
      </c>
      <c r="K22481">
        <v>1.26</v>
      </c>
      <c r="L22481">
        <v>17972</v>
      </c>
      <c r="M22481" t="s">
        <v>248</v>
      </c>
      <c r="N22481" t="str">
        <f t="shared" si="429"/>
        <v xml:space="preserve">12349023355 </v>
      </c>
      <c r="O22481">
        <v>231213</v>
      </c>
    </row>
    <row r="22482" spans="1:15" x14ac:dyDescent="0.25">
      <c r="A22482" t="s">
        <v>16</v>
      </c>
      <c r="B22482" t="s">
        <v>3221</v>
      </c>
      <c r="C22482">
        <v>17380</v>
      </c>
      <c r="D22482" t="s">
        <v>263</v>
      </c>
      <c r="E22482" t="s">
        <v>264</v>
      </c>
      <c r="F22482">
        <v>15.9</v>
      </c>
      <c r="G22482">
        <v>231204</v>
      </c>
      <c r="H22482">
        <v>4362</v>
      </c>
      <c r="I22482" t="s">
        <v>79</v>
      </c>
      <c r="J22482">
        <v>19.71</v>
      </c>
      <c r="K22482">
        <v>3.81</v>
      </c>
      <c r="L22482">
        <v>18010</v>
      </c>
      <c r="M22482" t="s">
        <v>1344</v>
      </c>
      <c r="N22482" t="str">
        <f t="shared" si="429"/>
        <v xml:space="preserve">12349023355 </v>
      </c>
      <c r="O22482">
        <v>231213</v>
      </c>
    </row>
    <row r="22483" spans="1:15" x14ac:dyDescent="0.25">
      <c r="A22483" t="s">
        <v>16</v>
      </c>
      <c r="B22483" t="s">
        <v>3221</v>
      </c>
      <c r="C22483">
        <v>17380</v>
      </c>
      <c r="D22483" t="s">
        <v>263</v>
      </c>
      <c r="E22483" t="s">
        <v>264</v>
      </c>
      <c r="F22483">
        <v>2.7</v>
      </c>
      <c r="G22483">
        <v>231204</v>
      </c>
      <c r="H22483">
        <v>4362</v>
      </c>
      <c r="I22483" t="s">
        <v>79</v>
      </c>
      <c r="J22483">
        <v>3.35</v>
      </c>
      <c r="K22483">
        <v>0.65</v>
      </c>
      <c r="L22483">
        <v>18120</v>
      </c>
      <c r="M22483" t="s">
        <v>329</v>
      </c>
      <c r="N22483" t="str">
        <f t="shared" si="429"/>
        <v xml:space="preserve">12349023355 </v>
      </c>
      <c r="O22483">
        <v>231213</v>
      </c>
    </row>
    <row r="22484" spans="1:15" x14ac:dyDescent="0.25">
      <c r="A22484" t="s">
        <v>16</v>
      </c>
      <c r="B22484" t="s">
        <v>3221</v>
      </c>
      <c r="C22484">
        <v>17380</v>
      </c>
      <c r="D22484" t="s">
        <v>263</v>
      </c>
      <c r="E22484" t="s">
        <v>264</v>
      </c>
      <c r="F22484">
        <v>5.0999999999999996</v>
      </c>
      <c r="G22484">
        <v>231204</v>
      </c>
      <c r="H22484">
        <v>4362</v>
      </c>
      <c r="I22484" t="s">
        <v>79</v>
      </c>
      <c r="J22484">
        <v>6.33</v>
      </c>
      <c r="K22484">
        <v>1.23</v>
      </c>
      <c r="L22484">
        <v>18971</v>
      </c>
      <c r="M22484" t="s">
        <v>63</v>
      </c>
      <c r="N22484" t="str">
        <f t="shared" si="429"/>
        <v xml:space="preserve">12349023355 </v>
      </c>
      <c r="O22484">
        <v>231213</v>
      </c>
    </row>
    <row r="22485" spans="1:15" x14ac:dyDescent="0.25">
      <c r="A22485" t="s">
        <v>16</v>
      </c>
      <c r="B22485" t="s">
        <v>3221</v>
      </c>
      <c r="C22485">
        <v>17380</v>
      </c>
      <c r="D22485" t="s">
        <v>263</v>
      </c>
      <c r="E22485" t="s">
        <v>264</v>
      </c>
      <c r="F22485">
        <v>0.01</v>
      </c>
      <c r="G22485">
        <v>231204</v>
      </c>
      <c r="H22485">
        <v>4362</v>
      </c>
      <c r="I22485" t="s">
        <v>79</v>
      </c>
      <c r="J22485">
        <v>0.01</v>
      </c>
      <c r="K22485">
        <v>0</v>
      </c>
      <c r="L22485">
        <v>18972</v>
      </c>
      <c r="M22485" t="s">
        <v>163</v>
      </c>
      <c r="N22485" t="str">
        <f t="shared" si="429"/>
        <v xml:space="preserve">12349023355 </v>
      </c>
      <c r="O22485">
        <v>231213</v>
      </c>
    </row>
    <row r="22486" spans="1:15" x14ac:dyDescent="0.25">
      <c r="A22486" t="s">
        <v>16</v>
      </c>
      <c r="B22486" t="s">
        <v>3221</v>
      </c>
      <c r="C22486">
        <v>17380</v>
      </c>
      <c r="D22486" t="s">
        <v>263</v>
      </c>
      <c r="E22486" t="s">
        <v>264</v>
      </c>
      <c r="F22486">
        <v>30.69</v>
      </c>
      <c r="G22486">
        <v>231204</v>
      </c>
      <c r="H22486">
        <v>4362</v>
      </c>
      <c r="I22486" t="s">
        <v>79</v>
      </c>
      <c r="J22486">
        <v>38.06</v>
      </c>
      <c r="K22486">
        <v>7.37</v>
      </c>
      <c r="L22486">
        <v>18972</v>
      </c>
      <c r="M22486" t="s">
        <v>163</v>
      </c>
      <c r="N22486" t="str">
        <f t="shared" si="429"/>
        <v xml:space="preserve">12349023355 </v>
      </c>
      <c r="O22486">
        <v>231213</v>
      </c>
    </row>
    <row r="22487" spans="1:15" x14ac:dyDescent="0.25">
      <c r="A22487" t="s">
        <v>16</v>
      </c>
      <c r="B22487" t="s">
        <v>3221</v>
      </c>
      <c r="C22487">
        <v>17380</v>
      </c>
      <c r="D22487" t="s">
        <v>263</v>
      </c>
      <c r="E22487" t="s">
        <v>264</v>
      </c>
      <c r="F22487">
        <v>2.7</v>
      </c>
      <c r="G22487">
        <v>231204</v>
      </c>
      <c r="H22487">
        <v>4362</v>
      </c>
      <c r="I22487" t="s">
        <v>79</v>
      </c>
      <c r="J22487">
        <v>3.35</v>
      </c>
      <c r="K22487">
        <v>0.65</v>
      </c>
      <c r="L22487">
        <v>49702</v>
      </c>
      <c r="M22487" t="s">
        <v>584</v>
      </c>
      <c r="N22487" t="str">
        <f t="shared" si="429"/>
        <v xml:space="preserve">12349023355 </v>
      </c>
      <c r="O22487">
        <v>231213</v>
      </c>
    </row>
    <row r="22488" spans="1:15" x14ac:dyDescent="0.25">
      <c r="A22488" t="s">
        <v>16</v>
      </c>
      <c r="B22488" t="s">
        <v>3221</v>
      </c>
      <c r="C22488">
        <v>17380</v>
      </c>
      <c r="D22488" t="s">
        <v>263</v>
      </c>
      <c r="E22488" t="s">
        <v>264</v>
      </c>
      <c r="F22488">
        <v>7.67</v>
      </c>
      <c r="G22488">
        <v>231204</v>
      </c>
      <c r="H22488">
        <v>4362</v>
      </c>
      <c r="I22488" t="s">
        <v>79</v>
      </c>
      <c r="J22488">
        <v>9.51</v>
      </c>
      <c r="K22488">
        <v>1.84</v>
      </c>
      <c r="L22488">
        <v>59702</v>
      </c>
      <c r="M22488" t="s">
        <v>328</v>
      </c>
      <c r="N22488" t="str">
        <f t="shared" si="429"/>
        <v xml:space="preserve">12349023355 </v>
      </c>
      <c r="O22488">
        <v>231213</v>
      </c>
    </row>
    <row r="22489" spans="1:15" x14ac:dyDescent="0.25">
      <c r="A22489" t="s">
        <v>16</v>
      </c>
      <c r="B22489" t="s">
        <v>3221</v>
      </c>
      <c r="C22489">
        <v>17381</v>
      </c>
      <c r="D22489" t="s">
        <v>263</v>
      </c>
      <c r="E22489" t="s">
        <v>264</v>
      </c>
      <c r="F22489">
        <v>2.5499999999999998</v>
      </c>
      <c r="G22489">
        <v>231204</v>
      </c>
      <c r="H22489">
        <v>4362</v>
      </c>
      <c r="I22489" t="s">
        <v>79</v>
      </c>
      <c r="J22489">
        <v>3.16</v>
      </c>
      <c r="K22489">
        <v>0.61</v>
      </c>
      <c r="L22489">
        <v>13801</v>
      </c>
      <c r="M22489" t="s">
        <v>162</v>
      </c>
      <c r="N22489" t="str">
        <f>"12349023385 "</f>
        <v xml:space="preserve">12349023385 </v>
      </c>
      <c r="O22489">
        <v>231213</v>
      </c>
    </row>
    <row r="22490" spans="1:15" x14ac:dyDescent="0.25">
      <c r="A22490" t="s">
        <v>16</v>
      </c>
      <c r="B22490" t="s">
        <v>3221</v>
      </c>
      <c r="C22490">
        <v>17382</v>
      </c>
      <c r="D22490" t="s">
        <v>263</v>
      </c>
      <c r="E22490" t="s">
        <v>264</v>
      </c>
      <c r="F22490">
        <v>2.7</v>
      </c>
      <c r="G22490">
        <v>231204</v>
      </c>
      <c r="H22490">
        <v>4362</v>
      </c>
      <c r="I22490" t="s">
        <v>79</v>
      </c>
      <c r="J22490">
        <v>3.35</v>
      </c>
      <c r="K22490">
        <v>0.65</v>
      </c>
      <c r="L22490">
        <v>51157</v>
      </c>
      <c r="M22490" t="s">
        <v>1216</v>
      </c>
      <c r="N22490" t="str">
        <f t="shared" ref="N22490:N22500" si="430">"12349023362 "</f>
        <v xml:space="preserve">12349023362 </v>
      </c>
      <c r="O22490">
        <v>231213</v>
      </c>
    </row>
    <row r="22491" spans="1:15" x14ac:dyDescent="0.25">
      <c r="A22491" t="s">
        <v>16</v>
      </c>
      <c r="B22491" t="s">
        <v>3221</v>
      </c>
      <c r="C22491">
        <v>17382</v>
      </c>
      <c r="D22491" t="s">
        <v>263</v>
      </c>
      <c r="E22491" t="s">
        <v>264</v>
      </c>
      <c r="F22491">
        <v>2.7</v>
      </c>
      <c r="G22491">
        <v>231204</v>
      </c>
      <c r="H22491">
        <v>4362</v>
      </c>
      <c r="I22491" t="s">
        <v>79</v>
      </c>
      <c r="J22491">
        <v>3.35</v>
      </c>
      <c r="K22491">
        <v>0.65</v>
      </c>
      <c r="L22491">
        <v>56526</v>
      </c>
      <c r="M22491" t="s">
        <v>1217</v>
      </c>
      <c r="N22491" t="str">
        <f t="shared" si="430"/>
        <v xml:space="preserve">12349023362 </v>
      </c>
      <c r="O22491">
        <v>231213</v>
      </c>
    </row>
    <row r="22492" spans="1:15" x14ac:dyDescent="0.25">
      <c r="A22492" t="s">
        <v>16</v>
      </c>
      <c r="B22492" t="s">
        <v>3221</v>
      </c>
      <c r="C22492">
        <v>17382</v>
      </c>
      <c r="D22492" t="s">
        <v>263</v>
      </c>
      <c r="E22492" t="s">
        <v>264</v>
      </c>
      <c r="F22492">
        <v>13.5</v>
      </c>
      <c r="G22492">
        <v>231204</v>
      </c>
      <c r="H22492">
        <v>4362</v>
      </c>
      <c r="I22492" t="s">
        <v>79</v>
      </c>
      <c r="J22492">
        <v>16.739999999999998</v>
      </c>
      <c r="K22492">
        <v>3.24</v>
      </c>
      <c r="L22492">
        <v>56558</v>
      </c>
      <c r="M22492" t="s">
        <v>217</v>
      </c>
      <c r="N22492" t="str">
        <f t="shared" si="430"/>
        <v xml:space="preserve">12349023362 </v>
      </c>
      <c r="O22492">
        <v>231213</v>
      </c>
    </row>
    <row r="22493" spans="1:15" x14ac:dyDescent="0.25">
      <c r="A22493" t="s">
        <v>16</v>
      </c>
      <c r="B22493" t="s">
        <v>3221</v>
      </c>
      <c r="C22493">
        <v>17382</v>
      </c>
      <c r="D22493" t="s">
        <v>263</v>
      </c>
      <c r="E22493" t="s">
        <v>264</v>
      </c>
      <c r="F22493">
        <v>27.55</v>
      </c>
      <c r="G22493">
        <v>231204</v>
      </c>
      <c r="H22493">
        <v>4362</v>
      </c>
      <c r="I22493" t="s">
        <v>79</v>
      </c>
      <c r="J22493">
        <v>34.159999999999997</v>
      </c>
      <c r="K22493">
        <v>6.61</v>
      </c>
      <c r="L22493">
        <v>56559</v>
      </c>
      <c r="M22493" t="s">
        <v>129</v>
      </c>
      <c r="N22493" t="str">
        <f t="shared" si="430"/>
        <v xml:space="preserve">12349023362 </v>
      </c>
      <c r="O22493">
        <v>231213</v>
      </c>
    </row>
    <row r="22494" spans="1:15" x14ac:dyDescent="0.25">
      <c r="A22494" t="s">
        <v>16</v>
      </c>
      <c r="B22494" t="s">
        <v>3221</v>
      </c>
      <c r="C22494">
        <v>17382</v>
      </c>
      <c r="D22494" t="s">
        <v>263</v>
      </c>
      <c r="E22494" t="s">
        <v>264</v>
      </c>
      <c r="F22494">
        <v>11.5</v>
      </c>
      <c r="G22494">
        <v>231204</v>
      </c>
      <c r="H22494">
        <v>4362</v>
      </c>
      <c r="I22494" t="s">
        <v>79</v>
      </c>
      <c r="J22494">
        <v>14.26</v>
      </c>
      <c r="K22494">
        <v>2.76</v>
      </c>
      <c r="L22494">
        <v>56560</v>
      </c>
      <c r="M22494" t="s">
        <v>654</v>
      </c>
      <c r="N22494" t="str">
        <f t="shared" si="430"/>
        <v xml:space="preserve">12349023362 </v>
      </c>
      <c r="O22494">
        <v>231213</v>
      </c>
    </row>
    <row r="22495" spans="1:15" x14ac:dyDescent="0.25">
      <c r="A22495" t="s">
        <v>16</v>
      </c>
      <c r="B22495" t="s">
        <v>3221</v>
      </c>
      <c r="C22495">
        <v>17382</v>
      </c>
      <c r="D22495" t="s">
        <v>263</v>
      </c>
      <c r="E22495" t="s">
        <v>264</v>
      </c>
      <c r="F22495">
        <v>3.64</v>
      </c>
      <c r="G22495">
        <v>231204</v>
      </c>
      <c r="H22495">
        <v>4362</v>
      </c>
      <c r="I22495" t="s">
        <v>79</v>
      </c>
      <c r="J22495">
        <v>4.51</v>
      </c>
      <c r="K22495">
        <v>0.87</v>
      </c>
      <c r="L22495">
        <v>56561</v>
      </c>
      <c r="M22495" t="s">
        <v>358</v>
      </c>
      <c r="N22495" t="str">
        <f t="shared" si="430"/>
        <v xml:space="preserve">12349023362 </v>
      </c>
      <c r="O22495">
        <v>231213</v>
      </c>
    </row>
    <row r="22496" spans="1:15" x14ac:dyDescent="0.25">
      <c r="A22496" t="s">
        <v>16</v>
      </c>
      <c r="B22496" t="s">
        <v>3221</v>
      </c>
      <c r="C22496">
        <v>17382</v>
      </c>
      <c r="D22496" t="s">
        <v>263</v>
      </c>
      <c r="E22496" t="s">
        <v>264</v>
      </c>
      <c r="F22496">
        <v>5.6</v>
      </c>
      <c r="G22496">
        <v>231204</v>
      </c>
      <c r="H22496">
        <v>4362</v>
      </c>
      <c r="I22496" t="s">
        <v>79</v>
      </c>
      <c r="J22496">
        <v>6.94</v>
      </c>
      <c r="K22496">
        <v>1.34</v>
      </c>
      <c r="L22496">
        <v>56562</v>
      </c>
      <c r="M22496" t="s">
        <v>126</v>
      </c>
      <c r="N22496" t="str">
        <f t="shared" si="430"/>
        <v xml:space="preserve">12349023362 </v>
      </c>
      <c r="O22496">
        <v>231213</v>
      </c>
    </row>
    <row r="22497" spans="1:15" x14ac:dyDescent="0.25">
      <c r="A22497" t="s">
        <v>16</v>
      </c>
      <c r="B22497" t="s">
        <v>3221</v>
      </c>
      <c r="C22497">
        <v>17382</v>
      </c>
      <c r="D22497" t="s">
        <v>263</v>
      </c>
      <c r="E22497" t="s">
        <v>264</v>
      </c>
      <c r="F22497">
        <v>8.06</v>
      </c>
      <c r="G22497">
        <v>231204</v>
      </c>
      <c r="H22497">
        <v>4362</v>
      </c>
      <c r="I22497" t="s">
        <v>79</v>
      </c>
      <c r="J22497">
        <v>10</v>
      </c>
      <c r="K22497">
        <v>1.94</v>
      </c>
      <c r="L22497">
        <v>56564</v>
      </c>
      <c r="M22497" t="s">
        <v>327</v>
      </c>
      <c r="N22497" t="str">
        <f t="shared" si="430"/>
        <v xml:space="preserve">12349023362 </v>
      </c>
      <c r="O22497">
        <v>231213</v>
      </c>
    </row>
    <row r="22498" spans="1:15" x14ac:dyDescent="0.25">
      <c r="A22498" t="s">
        <v>16</v>
      </c>
      <c r="B22498" t="s">
        <v>3221</v>
      </c>
      <c r="C22498">
        <v>17382</v>
      </c>
      <c r="D22498" t="s">
        <v>263</v>
      </c>
      <c r="E22498" t="s">
        <v>264</v>
      </c>
      <c r="F22498">
        <v>2.7</v>
      </c>
      <c r="G22498">
        <v>231204</v>
      </c>
      <c r="H22498">
        <v>4362</v>
      </c>
      <c r="I22498" t="s">
        <v>79</v>
      </c>
      <c r="J22498">
        <v>3.35</v>
      </c>
      <c r="K22498">
        <v>0.65</v>
      </c>
      <c r="L22498">
        <v>56565</v>
      </c>
      <c r="M22498" t="s">
        <v>758</v>
      </c>
      <c r="N22498" t="str">
        <f t="shared" si="430"/>
        <v xml:space="preserve">12349023362 </v>
      </c>
      <c r="O22498">
        <v>231213</v>
      </c>
    </row>
    <row r="22499" spans="1:15" x14ac:dyDescent="0.25">
      <c r="A22499" t="s">
        <v>16</v>
      </c>
      <c r="B22499" t="s">
        <v>3221</v>
      </c>
      <c r="C22499">
        <v>17382</v>
      </c>
      <c r="D22499" t="s">
        <v>263</v>
      </c>
      <c r="E22499" t="s">
        <v>264</v>
      </c>
      <c r="F22499">
        <v>8.1</v>
      </c>
      <c r="G22499">
        <v>231204</v>
      </c>
      <c r="H22499">
        <v>4362</v>
      </c>
      <c r="I22499" t="s">
        <v>79</v>
      </c>
      <c r="J22499">
        <v>10.050000000000001</v>
      </c>
      <c r="K22499">
        <v>1.95</v>
      </c>
      <c r="L22499">
        <v>56566</v>
      </c>
      <c r="M22499" t="s">
        <v>652</v>
      </c>
      <c r="N22499" t="str">
        <f t="shared" si="430"/>
        <v xml:space="preserve">12349023362 </v>
      </c>
      <c r="O22499">
        <v>231213</v>
      </c>
    </row>
    <row r="22500" spans="1:15" x14ac:dyDescent="0.25">
      <c r="A22500" t="s">
        <v>16</v>
      </c>
      <c r="B22500" t="s">
        <v>3221</v>
      </c>
      <c r="C22500">
        <v>17382</v>
      </c>
      <c r="D22500" t="s">
        <v>263</v>
      </c>
      <c r="E22500" t="s">
        <v>264</v>
      </c>
      <c r="F22500">
        <v>2.7</v>
      </c>
      <c r="G22500">
        <v>231204</v>
      </c>
      <c r="H22500">
        <v>4362</v>
      </c>
      <c r="I22500" t="s">
        <v>79</v>
      </c>
      <c r="J22500">
        <v>3.35</v>
      </c>
      <c r="K22500">
        <v>0.65</v>
      </c>
      <c r="L22500">
        <v>56568</v>
      </c>
      <c r="M22500" t="s">
        <v>268</v>
      </c>
      <c r="N22500" t="str">
        <f t="shared" si="430"/>
        <v xml:space="preserve">12349023362 </v>
      </c>
      <c r="O22500">
        <v>231213</v>
      </c>
    </row>
    <row r="22501" spans="1:15" x14ac:dyDescent="0.25">
      <c r="A22501" t="s">
        <v>16</v>
      </c>
      <c r="B22501" t="s">
        <v>3221</v>
      </c>
      <c r="C22501">
        <v>17383</v>
      </c>
      <c r="D22501" t="s">
        <v>263</v>
      </c>
      <c r="E22501" t="s">
        <v>264</v>
      </c>
      <c r="F22501">
        <v>2.69</v>
      </c>
      <c r="G22501">
        <v>231204</v>
      </c>
      <c r="H22501">
        <v>4362</v>
      </c>
      <c r="I22501" t="s">
        <v>79</v>
      </c>
      <c r="J22501">
        <v>3.34</v>
      </c>
      <c r="K22501">
        <v>0.65</v>
      </c>
      <c r="L22501">
        <v>11301</v>
      </c>
      <c r="M22501" t="s">
        <v>29</v>
      </c>
      <c r="N22501" t="str">
        <f t="shared" ref="N22501:N22514" si="431">"12349023361 "</f>
        <v xml:space="preserve">12349023361 </v>
      </c>
      <c r="O22501">
        <v>231213</v>
      </c>
    </row>
    <row r="22502" spans="1:15" x14ac:dyDescent="0.25">
      <c r="A22502" t="s">
        <v>16</v>
      </c>
      <c r="B22502" t="s">
        <v>3221</v>
      </c>
      <c r="C22502">
        <v>17383</v>
      </c>
      <c r="D22502" t="s">
        <v>263</v>
      </c>
      <c r="E22502" t="s">
        <v>264</v>
      </c>
      <c r="F22502">
        <v>5.25</v>
      </c>
      <c r="G22502">
        <v>231204</v>
      </c>
      <c r="H22502">
        <v>4362</v>
      </c>
      <c r="I22502" t="s">
        <v>79</v>
      </c>
      <c r="J22502">
        <v>6.51</v>
      </c>
      <c r="K22502">
        <v>1.26</v>
      </c>
      <c r="L22502">
        <v>11301</v>
      </c>
      <c r="M22502" t="s">
        <v>29</v>
      </c>
      <c r="N22502" t="str">
        <f t="shared" si="431"/>
        <v xml:space="preserve">12349023361 </v>
      </c>
      <c r="O22502">
        <v>231213</v>
      </c>
    </row>
    <row r="22503" spans="1:15" x14ac:dyDescent="0.25">
      <c r="A22503" t="s">
        <v>16</v>
      </c>
      <c r="B22503" t="s">
        <v>3221</v>
      </c>
      <c r="C22503">
        <v>17383</v>
      </c>
      <c r="D22503" t="s">
        <v>263</v>
      </c>
      <c r="E22503" t="s">
        <v>264</v>
      </c>
      <c r="F22503">
        <v>2.97</v>
      </c>
      <c r="G22503">
        <v>231204</v>
      </c>
      <c r="H22503">
        <v>4362</v>
      </c>
      <c r="I22503" t="s">
        <v>79</v>
      </c>
      <c r="J22503">
        <v>3.68</v>
      </c>
      <c r="K22503">
        <v>0.71</v>
      </c>
      <c r="L22503">
        <v>11900</v>
      </c>
      <c r="M22503" t="s">
        <v>1105</v>
      </c>
      <c r="N22503" t="str">
        <f t="shared" si="431"/>
        <v xml:space="preserve">12349023361 </v>
      </c>
      <c r="O22503">
        <v>231213</v>
      </c>
    </row>
    <row r="22504" spans="1:15" x14ac:dyDescent="0.25">
      <c r="A22504" t="s">
        <v>16</v>
      </c>
      <c r="B22504" t="s">
        <v>3221</v>
      </c>
      <c r="C22504">
        <v>17383</v>
      </c>
      <c r="D22504" t="s">
        <v>263</v>
      </c>
      <c r="E22504" t="s">
        <v>264</v>
      </c>
      <c r="F22504">
        <v>3.21</v>
      </c>
      <c r="G22504">
        <v>231204</v>
      </c>
      <c r="H22504">
        <v>4362</v>
      </c>
      <c r="I22504" t="s">
        <v>79</v>
      </c>
      <c r="J22504">
        <v>3.98</v>
      </c>
      <c r="K22504">
        <v>0.77</v>
      </c>
      <c r="L22504">
        <v>11900</v>
      </c>
      <c r="M22504" t="s">
        <v>1105</v>
      </c>
      <c r="N22504" t="str">
        <f t="shared" si="431"/>
        <v xml:space="preserve">12349023361 </v>
      </c>
      <c r="O22504">
        <v>231213</v>
      </c>
    </row>
    <row r="22505" spans="1:15" x14ac:dyDescent="0.25">
      <c r="A22505" t="s">
        <v>16</v>
      </c>
      <c r="B22505" t="s">
        <v>3221</v>
      </c>
      <c r="C22505">
        <v>17383</v>
      </c>
      <c r="D22505" t="s">
        <v>263</v>
      </c>
      <c r="E22505" t="s">
        <v>264</v>
      </c>
      <c r="F22505">
        <v>2.7</v>
      </c>
      <c r="G22505">
        <v>231204</v>
      </c>
      <c r="H22505">
        <v>4362</v>
      </c>
      <c r="I22505" t="s">
        <v>79</v>
      </c>
      <c r="J22505">
        <v>3.35</v>
      </c>
      <c r="K22505">
        <v>0.65</v>
      </c>
      <c r="L22505">
        <v>11901</v>
      </c>
      <c r="M22505" t="s">
        <v>36</v>
      </c>
      <c r="N22505" t="str">
        <f t="shared" si="431"/>
        <v xml:space="preserve">12349023361 </v>
      </c>
      <c r="O22505">
        <v>231213</v>
      </c>
    </row>
    <row r="22506" spans="1:15" x14ac:dyDescent="0.25">
      <c r="A22506" t="s">
        <v>16</v>
      </c>
      <c r="B22506" t="s">
        <v>3221</v>
      </c>
      <c r="C22506">
        <v>17383</v>
      </c>
      <c r="D22506" t="s">
        <v>263</v>
      </c>
      <c r="E22506" t="s">
        <v>264</v>
      </c>
      <c r="F22506">
        <v>2.7</v>
      </c>
      <c r="G22506">
        <v>231204</v>
      </c>
      <c r="H22506">
        <v>4362</v>
      </c>
      <c r="I22506" t="s">
        <v>79</v>
      </c>
      <c r="J22506">
        <v>3.35</v>
      </c>
      <c r="K22506">
        <v>0.65</v>
      </c>
      <c r="L22506">
        <v>11901</v>
      </c>
      <c r="M22506" t="s">
        <v>36</v>
      </c>
      <c r="N22506" t="str">
        <f t="shared" si="431"/>
        <v xml:space="preserve">12349023361 </v>
      </c>
      <c r="O22506">
        <v>231213</v>
      </c>
    </row>
    <row r="22507" spans="1:15" x14ac:dyDescent="0.25">
      <c r="A22507" t="s">
        <v>16</v>
      </c>
      <c r="B22507" t="s">
        <v>3221</v>
      </c>
      <c r="C22507">
        <v>17383</v>
      </c>
      <c r="D22507" t="s">
        <v>263</v>
      </c>
      <c r="E22507" t="s">
        <v>264</v>
      </c>
      <c r="F22507">
        <v>2.7</v>
      </c>
      <c r="G22507">
        <v>231204</v>
      </c>
      <c r="H22507">
        <v>4362</v>
      </c>
      <c r="I22507" t="s">
        <v>79</v>
      </c>
      <c r="J22507">
        <v>3.35</v>
      </c>
      <c r="K22507">
        <v>0.65</v>
      </c>
      <c r="L22507">
        <v>11901</v>
      </c>
      <c r="M22507" t="s">
        <v>36</v>
      </c>
      <c r="N22507" t="str">
        <f t="shared" si="431"/>
        <v xml:space="preserve">12349023361 </v>
      </c>
      <c r="O22507">
        <v>231213</v>
      </c>
    </row>
    <row r="22508" spans="1:15" x14ac:dyDescent="0.25">
      <c r="A22508" t="s">
        <v>16</v>
      </c>
      <c r="B22508" t="s">
        <v>3221</v>
      </c>
      <c r="C22508">
        <v>17383</v>
      </c>
      <c r="D22508" t="s">
        <v>263</v>
      </c>
      <c r="E22508" t="s">
        <v>264</v>
      </c>
      <c r="F22508">
        <v>4.5</v>
      </c>
      <c r="G22508">
        <v>231204</v>
      </c>
      <c r="H22508">
        <v>4362</v>
      </c>
      <c r="I22508" t="s">
        <v>79</v>
      </c>
      <c r="J22508">
        <v>4.5</v>
      </c>
      <c r="K22508">
        <v>0</v>
      </c>
      <c r="L22508">
        <v>11901</v>
      </c>
      <c r="M22508" t="s">
        <v>36</v>
      </c>
      <c r="N22508" t="str">
        <f t="shared" si="431"/>
        <v xml:space="preserve">12349023361 </v>
      </c>
      <c r="O22508">
        <v>231213</v>
      </c>
    </row>
    <row r="22509" spans="1:15" x14ac:dyDescent="0.25">
      <c r="A22509" t="s">
        <v>16</v>
      </c>
      <c r="B22509" t="s">
        <v>3221</v>
      </c>
      <c r="C22509">
        <v>17383</v>
      </c>
      <c r="D22509" t="s">
        <v>263</v>
      </c>
      <c r="E22509" t="s">
        <v>264</v>
      </c>
      <c r="F22509">
        <v>5.4</v>
      </c>
      <c r="G22509">
        <v>231204</v>
      </c>
      <c r="H22509">
        <v>4362</v>
      </c>
      <c r="I22509" t="s">
        <v>79</v>
      </c>
      <c r="J22509">
        <v>6.7</v>
      </c>
      <c r="K22509">
        <v>1.3</v>
      </c>
      <c r="L22509">
        <v>11903</v>
      </c>
      <c r="M22509" t="s">
        <v>406</v>
      </c>
      <c r="N22509" t="str">
        <f t="shared" si="431"/>
        <v xml:space="preserve">12349023361 </v>
      </c>
      <c r="O22509">
        <v>231213</v>
      </c>
    </row>
    <row r="22510" spans="1:15" x14ac:dyDescent="0.25">
      <c r="A22510" t="s">
        <v>16</v>
      </c>
      <c r="B22510" t="s">
        <v>3221</v>
      </c>
      <c r="C22510">
        <v>17383</v>
      </c>
      <c r="D22510" t="s">
        <v>263</v>
      </c>
      <c r="E22510" t="s">
        <v>264</v>
      </c>
      <c r="F22510">
        <v>2.83</v>
      </c>
      <c r="G22510">
        <v>231204</v>
      </c>
      <c r="H22510">
        <v>4362</v>
      </c>
      <c r="I22510" t="s">
        <v>79</v>
      </c>
      <c r="J22510">
        <v>3.51</v>
      </c>
      <c r="K22510">
        <v>0.68</v>
      </c>
      <c r="L22510">
        <v>11903</v>
      </c>
      <c r="M22510" t="s">
        <v>406</v>
      </c>
      <c r="N22510" t="str">
        <f t="shared" si="431"/>
        <v xml:space="preserve">12349023361 </v>
      </c>
      <c r="O22510">
        <v>231213</v>
      </c>
    </row>
    <row r="22511" spans="1:15" x14ac:dyDescent="0.25">
      <c r="A22511" t="s">
        <v>16</v>
      </c>
      <c r="B22511" t="s">
        <v>3221</v>
      </c>
      <c r="C22511">
        <v>17383</v>
      </c>
      <c r="D22511" t="s">
        <v>263</v>
      </c>
      <c r="E22511" t="s">
        <v>264</v>
      </c>
      <c r="F22511">
        <v>2.7</v>
      </c>
      <c r="G22511">
        <v>231204</v>
      </c>
      <c r="H22511">
        <v>4362</v>
      </c>
      <c r="I22511" t="s">
        <v>79</v>
      </c>
      <c r="J22511">
        <v>3.35</v>
      </c>
      <c r="K22511">
        <v>0.65</v>
      </c>
      <c r="L22511">
        <v>11903</v>
      </c>
      <c r="M22511" t="s">
        <v>406</v>
      </c>
      <c r="N22511" t="str">
        <f t="shared" si="431"/>
        <v xml:space="preserve">12349023361 </v>
      </c>
      <c r="O22511">
        <v>231213</v>
      </c>
    </row>
    <row r="22512" spans="1:15" x14ac:dyDescent="0.25">
      <c r="A22512" t="s">
        <v>16</v>
      </c>
      <c r="B22512" t="s">
        <v>3221</v>
      </c>
      <c r="C22512">
        <v>17383</v>
      </c>
      <c r="D22512" t="s">
        <v>263</v>
      </c>
      <c r="E22512" t="s">
        <v>264</v>
      </c>
      <c r="F22512">
        <v>2.7</v>
      </c>
      <c r="G22512">
        <v>231204</v>
      </c>
      <c r="H22512">
        <v>4362</v>
      </c>
      <c r="I22512" t="s">
        <v>79</v>
      </c>
      <c r="J22512">
        <v>3.35</v>
      </c>
      <c r="K22512">
        <v>0.65</v>
      </c>
      <c r="L22512">
        <v>12010</v>
      </c>
      <c r="M22512" t="s">
        <v>2189</v>
      </c>
      <c r="N22512" t="str">
        <f t="shared" si="431"/>
        <v xml:space="preserve">12349023361 </v>
      </c>
      <c r="O22512">
        <v>231213</v>
      </c>
    </row>
    <row r="22513" spans="1:15" x14ac:dyDescent="0.25">
      <c r="A22513" t="s">
        <v>16</v>
      </c>
      <c r="B22513" t="s">
        <v>3221</v>
      </c>
      <c r="C22513">
        <v>17383</v>
      </c>
      <c r="D22513" t="s">
        <v>263</v>
      </c>
      <c r="E22513" t="s">
        <v>264</v>
      </c>
      <c r="F22513">
        <v>2.89</v>
      </c>
      <c r="G22513">
        <v>231204</v>
      </c>
      <c r="H22513">
        <v>4362</v>
      </c>
      <c r="I22513" t="s">
        <v>79</v>
      </c>
      <c r="J22513">
        <v>3.58</v>
      </c>
      <c r="K22513">
        <v>0.69</v>
      </c>
      <c r="L22513">
        <v>13501</v>
      </c>
      <c r="M22513" t="s">
        <v>20</v>
      </c>
      <c r="N22513" t="str">
        <f t="shared" si="431"/>
        <v xml:space="preserve">12349023361 </v>
      </c>
      <c r="O22513">
        <v>231213</v>
      </c>
    </row>
    <row r="22514" spans="1:15" x14ac:dyDescent="0.25">
      <c r="A22514" t="s">
        <v>16</v>
      </c>
      <c r="B22514" t="s">
        <v>3221</v>
      </c>
      <c r="C22514">
        <v>17383</v>
      </c>
      <c r="D22514" t="s">
        <v>263</v>
      </c>
      <c r="E22514" t="s">
        <v>264</v>
      </c>
      <c r="F22514">
        <v>3.77</v>
      </c>
      <c r="G22514">
        <v>231204</v>
      </c>
      <c r="H22514">
        <v>4362</v>
      </c>
      <c r="I22514" t="s">
        <v>79</v>
      </c>
      <c r="J22514">
        <v>4.67</v>
      </c>
      <c r="K22514">
        <v>0.9</v>
      </c>
      <c r="L22514">
        <v>18991</v>
      </c>
      <c r="M22514" t="s">
        <v>1106</v>
      </c>
      <c r="N22514" t="str">
        <f t="shared" si="431"/>
        <v xml:space="preserve">12349023361 </v>
      </c>
      <c r="O22514">
        <v>231213</v>
      </c>
    </row>
    <row r="22515" spans="1:15" x14ac:dyDescent="0.25">
      <c r="A22515" t="s">
        <v>16</v>
      </c>
      <c r="B22515" t="s">
        <v>3221</v>
      </c>
      <c r="C22515">
        <v>17395</v>
      </c>
      <c r="D22515" t="s">
        <v>263</v>
      </c>
      <c r="E22515" t="s">
        <v>264</v>
      </c>
      <c r="F22515">
        <v>4.0999999999999996</v>
      </c>
      <c r="G22515">
        <v>231204</v>
      </c>
      <c r="H22515">
        <v>4362</v>
      </c>
      <c r="I22515" t="s">
        <v>79</v>
      </c>
      <c r="J22515">
        <v>4.0999999999999996</v>
      </c>
      <c r="K22515">
        <v>0</v>
      </c>
      <c r="L22515">
        <v>13201</v>
      </c>
      <c r="M22515" t="s">
        <v>161</v>
      </c>
      <c r="N22515" t="str">
        <f t="shared" ref="N22515:N22526" si="432">"12349023381 "</f>
        <v xml:space="preserve">12349023381 </v>
      </c>
      <c r="O22515">
        <v>231213</v>
      </c>
    </row>
    <row r="22516" spans="1:15" x14ac:dyDescent="0.25">
      <c r="A22516" t="s">
        <v>16</v>
      </c>
      <c r="B22516" t="s">
        <v>3221</v>
      </c>
      <c r="C22516">
        <v>17395</v>
      </c>
      <c r="D22516" t="s">
        <v>263</v>
      </c>
      <c r="E22516" t="s">
        <v>264</v>
      </c>
      <c r="F22516">
        <v>24.3</v>
      </c>
      <c r="G22516">
        <v>231204</v>
      </c>
      <c r="H22516">
        <v>4362</v>
      </c>
      <c r="I22516" t="s">
        <v>79</v>
      </c>
      <c r="J22516">
        <v>30.13</v>
      </c>
      <c r="K22516">
        <v>5.83</v>
      </c>
      <c r="L22516">
        <v>13401</v>
      </c>
      <c r="M22516" t="s">
        <v>80</v>
      </c>
      <c r="N22516" t="str">
        <f t="shared" si="432"/>
        <v xml:space="preserve">12349023381 </v>
      </c>
      <c r="O22516">
        <v>231213</v>
      </c>
    </row>
    <row r="22517" spans="1:15" x14ac:dyDescent="0.25">
      <c r="A22517" t="s">
        <v>16</v>
      </c>
      <c r="B22517" t="s">
        <v>3221</v>
      </c>
      <c r="C22517">
        <v>17395</v>
      </c>
      <c r="D22517" t="s">
        <v>263</v>
      </c>
      <c r="E22517" t="s">
        <v>264</v>
      </c>
      <c r="F22517">
        <v>7.7</v>
      </c>
      <c r="G22517">
        <v>231204</v>
      </c>
      <c r="H22517">
        <v>4362</v>
      </c>
      <c r="I22517" t="s">
        <v>79</v>
      </c>
      <c r="J22517">
        <v>9.5500000000000007</v>
      </c>
      <c r="K22517">
        <v>1.85</v>
      </c>
      <c r="L22517">
        <v>13401</v>
      </c>
      <c r="M22517" t="s">
        <v>80</v>
      </c>
      <c r="N22517" t="str">
        <f t="shared" si="432"/>
        <v xml:space="preserve">12349023381 </v>
      </c>
      <c r="O22517">
        <v>231213</v>
      </c>
    </row>
    <row r="22518" spans="1:15" x14ac:dyDescent="0.25">
      <c r="A22518" t="s">
        <v>16</v>
      </c>
      <c r="B22518" t="s">
        <v>3221</v>
      </c>
      <c r="C22518">
        <v>17395</v>
      </c>
      <c r="D22518" t="s">
        <v>263</v>
      </c>
      <c r="E22518" t="s">
        <v>264</v>
      </c>
      <c r="F22518">
        <v>22.26</v>
      </c>
      <c r="G22518">
        <v>231204</v>
      </c>
      <c r="H22518">
        <v>4362</v>
      </c>
      <c r="I22518" t="s">
        <v>79</v>
      </c>
      <c r="J22518">
        <v>27.6</v>
      </c>
      <c r="K22518">
        <v>5.34</v>
      </c>
      <c r="L22518">
        <v>13501</v>
      </c>
      <c r="M22518" t="s">
        <v>20</v>
      </c>
      <c r="N22518" t="str">
        <f t="shared" si="432"/>
        <v xml:space="preserve">12349023381 </v>
      </c>
      <c r="O22518">
        <v>231213</v>
      </c>
    </row>
    <row r="22519" spans="1:15" x14ac:dyDescent="0.25">
      <c r="A22519" t="s">
        <v>16</v>
      </c>
      <c r="B22519" t="s">
        <v>3221</v>
      </c>
      <c r="C22519">
        <v>17395</v>
      </c>
      <c r="D22519" t="s">
        <v>263</v>
      </c>
      <c r="E22519" t="s">
        <v>264</v>
      </c>
      <c r="F22519">
        <v>2.7</v>
      </c>
      <c r="G22519">
        <v>231204</v>
      </c>
      <c r="H22519">
        <v>4362</v>
      </c>
      <c r="I22519" t="s">
        <v>79</v>
      </c>
      <c r="J22519">
        <v>3.35</v>
      </c>
      <c r="K22519">
        <v>0.65</v>
      </c>
      <c r="L22519">
        <v>13561</v>
      </c>
      <c r="M22519" t="s">
        <v>246</v>
      </c>
      <c r="N22519" t="str">
        <f t="shared" si="432"/>
        <v xml:space="preserve">12349023381 </v>
      </c>
      <c r="O22519">
        <v>231213</v>
      </c>
    </row>
    <row r="22520" spans="1:15" x14ac:dyDescent="0.25">
      <c r="A22520" t="s">
        <v>16</v>
      </c>
      <c r="B22520" t="s">
        <v>3221</v>
      </c>
      <c r="C22520">
        <v>17395</v>
      </c>
      <c r="D22520" t="s">
        <v>263</v>
      </c>
      <c r="E22520" t="s">
        <v>264</v>
      </c>
      <c r="F22520">
        <v>2.7</v>
      </c>
      <c r="G22520">
        <v>231204</v>
      </c>
      <c r="H22520">
        <v>4362</v>
      </c>
      <c r="I22520" t="s">
        <v>79</v>
      </c>
      <c r="J22520">
        <v>3.35</v>
      </c>
      <c r="K22520">
        <v>0.65</v>
      </c>
      <c r="L22520">
        <v>13561</v>
      </c>
      <c r="M22520" t="s">
        <v>246</v>
      </c>
      <c r="N22520" t="str">
        <f t="shared" si="432"/>
        <v xml:space="preserve">12349023381 </v>
      </c>
      <c r="O22520">
        <v>231213</v>
      </c>
    </row>
    <row r="22521" spans="1:15" x14ac:dyDescent="0.25">
      <c r="A22521" t="s">
        <v>16</v>
      </c>
      <c r="B22521" t="s">
        <v>3221</v>
      </c>
      <c r="C22521">
        <v>17395</v>
      </c>
      <c r="D22521" t="s">
        <v>263</v>
      </c>
      <c r="E22521" t="s">
        <v>264</v>
      </c>
      <c r="F22521">
        <v>2.7</v>
      </c>
      <c r="G22521">
        <v>231204</v>
      </c>
      <c r="H22521">
        <v>4362</v>
      </c>
      <c r="I22521" t="s">
        <v>79</v>
      </c>
      <c r="J22521">
        <v>3.35</v>
      </c>
      <c r="K22521">
        <v>0.65</v>
      </c>
      <c r="L22521">
        <v>13601</v>
      </c>
      <c r="M22521" t="s">
        <v>147</v>
      </c>
      <c r="N22521" t="str">
        <f t="shared" si="432"/>
        <v xml:space="preserve">12349023381 </v>
      </c>
      <c r="O22521">
        <v>231213</v>
      </c>
    </row>
    <row r="22522" spans="1:15" x14ac:dyDescent="0.25">
      <c r="A22522" t="s">
        <v>16</v>
      </c>
      <c r="B22522" t="s">
        <v>3221</v>
      </c>
      <c r="C22522">
        <v>17395</v>
      </c>
      <c r="D22522" t="s">
        <v>263</v>
      </c>
      <c r="E22522" t="s">
        <v>264</v>
      </c>
      <c r="F22522">
        <v>5.48</v>
      </c>
      <c r="G22522">
        <v>231204</v>
      </c>
      <c r="H22522">
        <v>4362</v>
      </c>
      <c r="I22522" t="s">
        <v>79</v>
      </c>
      <c r="J22522">
        <v>6.8</v>
      </c>
      <c r="K22522">
        <v>1.32</v>
      </c>
      <c r="L22522">
        <v>13661</v>
      </c>
      <c r="M22522" t="s">
        <v>247</v>
      </c>
      <c r="N22522" t="str">
        <f t="shared" si="432"/>
        <v xml:space="preserve">12349023381 </v>
      </c>
      <c r="O22522">
        <v>231213</v>
      </c>
    </row>
    <row r="22523" spans="1:15" x14ac:dyDescent="0.25">
      <c r="A22523" t="s">
        <v>16</v>
      </c>
      <c r="B22523" t="s">
        <v>3221</v>
      </c>
      <c r="C22523">
        <v>17395</v>
      </c>
      <c r="D22523" t="s">
        <v>263</v>
      </c>
      <c r="E22523" t="s">
        <v>264</v>
      </c>
      <c r="F22523">
        <v>14.52</v>
      </c>
      <c r="G22523">
        <v>231204</v>
      </c>
      <c r="H22523">
        <v>4362</v>
      </c>
      <c r="I22523" t="s">
        <v>79</v>
      </c>
      <c r="J22523">
        <v>18</v>
      </c>
      <c r="K22523">
        <v>3.48</v>
      </c>
      <c r="L22523">
        <v>13801</v>
      </c>
      <c r="M22523" t="s">
        <v>162</v>
      </c>
      <c r="N22523" t="str">
        <f t="shared" si="432"/>
        <v xml:space="preserve">12349023381 </v>
      </c>
      <c r="O22523">
        <v>231213</v>
      </c>
    </row>
    <row r="22524" spans="1:15" x14ac:dyDescent="0.25">
      <c r="A22524" t="s">
        <v>16</v>
      </c>
      <c r="B22524" t="s">
        <v>3221</v>
      </c>
      <c r="C22524">
        <v>17395</v>
      </c>
      <c r="D22524" t="s">
        <v>263</v>
      </c>
      <c r="E22524" t="s">
        <v>264</v>
      </c>
      <c r="F22524">
        <v>16.13</v>
      </c>
      <c r="G22524">
        <v>231204</v>
      </c>
      <c r="H22524">
        <v>4362</v>
      </c>
      <c r="I22524" t="s">
        <v>79</v>
      </c>
      <c r="J22524">
        <v>20</v>
      </c>
      <c r="K22524">
        <v>3.87</v>
      </c>
      <c r="L22524">
        <v>13801</v>
      </c>
      <c r="M22524" t="s">
        <v>162</v>
      </c>
      <c r="N22524" t="str">
        <f t="shared" si="432"/>
        <v xml:space="preserve">12349023381 </v>
      </c>
      <c r="O22524">
        <v>231213</v>
      </c>
    </row>
    <row r="22525" spans="1:15" x14ac:dyDescent="0.25">
      <c r="A22525" t="s">
        <v>16</v>
      </c>
      <c r="B22525" t="s">
        <v>3221</v>
      </c>
      <c r="C22525">
        <v>17395</v>
      </c>
      <c r="D22525" t="s">
        <v>263</v>
      </c>
      <c r="E22525" t="s">
        <v>264</v>
      </c>
      <c r="F22525">
        <v>13.35</v>
      </c>
      <c r="G22525">
        <v>231204</v>
      </c>
      <c r="H22525">
        <v>4362</v>
      </c>
      <c r="I22525" t="s">
        <v>79</v>
      </c>
      <c r="J22525">
        <v>16.55</v>
      </c>
      <c r="K22525">
        <v>3.2</v>
      </c>
      <c r="L22525">
        <v>13802</v>
      </c>
      <c r="M22525" t="s">
        <v>200</v>
      </c>
      <c r="N22525" t="str">
        <f t="shared" si="432"/>
        <v xml:space="preserve">12349023381 </v>
      </c>
      <c r="O22525">
        <v>231213</v>
      </c>
    </row>
    <row r="22526" spans="1:15" x14ac:dyDescent="0.25">
      <c r="A22526" t="s">
        <v>16</v>
      </c>
      <c r="B22526" t="s">
        <v>3221</v>
      </c>
      <c r="C22526">
        <v>17395</v>
      </c>
      <c r="D22526" t="s">
        <v>263</v>
      </c>
      <c r="E22526" t="s">
        <v>264</v>
      </c>
      <c r="F22526">
        <v>2.73</v>
      </c>
      <c r="G22526">
        <v>231204</v>
      </c>
      <c r="H22526">
        <v>4362</v>
      </c>
      <c r="I22526" t="s">
        <v>79</v>
      </c>
      <c r="J22526">
        <v>3.39</v>
      </c>
      <c r="K22526">
        <v>0.66</v>
      </c>
      <c r="L22526">
        <v>17971</v>
      </c>
      <c r="M22526" t="s">
        <v>138</v>
      </c>
      <c r="N22526" t="str">
        <f t="shared" si="432"/>
        <v xml:space="preserve">12349023381 </v>
      </c>
      <c r="O22526">
        <v>231213</v>
      </c>
    </row>
    <row r="22527" spans="1:15" x14ac:dyDescent="0.25">
      <c r="A22527" t="s">
        <v>16</v>
      </c>
      <c r="B22527" t="s">
        <v>3221</v>
      </c>
      <c r="C22527">
        <v>17399</v>
      </c>
      <c r="D22527" t="s">
        <v>263</v>
      </c>
      <c r="E22527" t="s">
        <v>264</v>
      </c>
      <c r="F22527">
        <v>2.61</v>
      </c>
      <c r="G22527">
        <v>231204</v>
      </c>
      <c r="H22527">
        <v>4362</v>
      </c>
      <c r="I22527" t="s">
        <v>79</v>
      </c>
      <c r="J22527">
        <v>3.24</v>
      </c>
      <c r="K22527">
        <v>0.63</v>
      </c>
      <c r="L22527">
        <v>53222</v>
      </c>
      <c r="M22527" t="s">
        <v>445</v>
      </c>
      <c r="N22527" t="str">
        <f>"12349023386 "</f>
        <v xml:space="preserve">12349023386 </v>
      </c>
      <c r="O22527">
        <v>231213</v>
      </c>
    </row>
    <row r="22528" spans="1:15" x14ac:dyDescent="0.25">
      <c r="A22528" t="s">
        <v>16</v>
      </c>
      <c r="B22528" t="s">
        <v>3221</v>
      </c>
      <c r="C22528">
        <v>17399</v>
      </c>
      <c r="D22528" t="s">
        <v>263</v>
      </c>
      <c r="E22528" t="s">
        <v>264</v>
      </c>
      <c r="F22528">
        <v>14.79</v>
      </c>
      <c r="G22528">
        <v>231204</v>
      </c>
      <c r="H22528">
        <v>4362</v>
      </c>
      <c r="I22528" t="s">
        <v>79</v>
      </c>
      <c r="J22528">
        <v>18.34</v>
      </c>
      <c r="K22528">
        <v>3.55</v>
      </c>
      <c r="L22528">
        <v>53222</v>
      </c>
      <c r="M22528" t="s">
        <v>445</v>
      </c>
      <c r="N22528" t="str">
        <f>"12349023386 "</f>
        <v xml:space="preserve">12349023386 </v>
      </c>
      <c r="O22528">
        <v>231213</v>
      </c>
    </row>
    <row r="22529" spans="1:15" x14ac:dyDescent="0.25">
      <c r="A22529" t="s">
        <v>16</v>
      </c>
      <c r="B22529" t="s">
        <v>3221</v>
      </c>
      <c r="C22529">
        <v>17399</v>
      </c>
      <c r="D22529" t="s">
        <v>263</v>
      </c>
      <c r="E22529" t="s">
        <v>264</v>
      </c>
      <c r="F22529">
        <v>3.51</v>
      </c>
      <c r="G22529">
        <v>231204</v>
      </c>
      <c r="H22529">
        <v>4362</v>
      </c>
      <c r="I22529" t="s">
        <v>79</v>
      </c>
      <c r="J22529">
        <v>4.3499999999999996</v>
      </c>
      <c r="K22529">
        <v>0.84</v>
      </c>
      <c r="L22529">
        <v>54622</v>
      </c>
      <c r="M22529" t="s">
        <v>872</v>
      </c>
      <c r="N22529" t="str">
        <f>"12349023386 "</f>
        <v xml:space="preserve">12349023386 </v>
      </c>
      <c r="O22529">
        <v>231213</v>
      </c>
    </row>
    <row r="22530" spans="1:15" x14ac:dyDescent="0.25">
      <c r="A22530" t="s">
        <v>16</v>
      </c>
      <c r="B22530" t="s">
        <v>3221</v>
      </c>
      <c r="C22530">
        <v>17399</v>
      </c>
      <c r="D22530" t="s">
        <v>263</v>
      </c>
      <c r="E22530" t="s">
        <v>264</v>
      </c>
      <c r="F22530">
        <v>2.77</v>
      </c>
      <c r="G22530">
        <v>231204</v>
      </c>
      <c r="H22530">
        <v>4362</v>
      </c>
      <c r="I22530" t="s">
        <v>79</v>
      </c>
      <c r="J22530">
        <v>3.43</v>
      </c>
      <c r="K22530">
        <v>0.66</v>
      </c>
      <c r="L22530">
        <v>55222</v>
      </c>
      <c r="M22530" t="s">
        <v>873</v>
      </c>
      <c r="N22530" t="str">
        <f>"12349023386 "</f>
        <v xml:space="preserve">12349023386 </v>
      </c>
      <c r="O22530">
        <v>231213</v>
      </c>
    </row>
    <row r="22531" spans="1:15" x14ac:dyDescent="0.25">
      <c r="A22531" t="s">
        <v>16</v>
      </c>
      <c r="B22531" t="s">
        <v>3221</v>
      </c>
      <c r="C22531">
        <v>17434</v>
      </c>
      <c r="D22531" t="s">
        <v>263</v>
      </c>
      <c r="E22531" t="s">
        <v>264</v>
      </c>
      <c r="F22531">
        <v>2.7</v>
      </c>
      <c r="G22531">
        <v>231204</v>
      </c>
      <c r="H22531">
        <v>4362</v>
      </c>
      <c r="I22531" t="s">
        <v>79</v>
      </c>
      <c r="J22531">
        <v>3.35</v>
      </c>
      <c r="K22531">
        <v>0.65</v>
      </c>
      <c r="L22531">
        <v>51138</v>
      </c>
      <c r="M22531" t="s">
        <v>1162</v>
      </c>
      <c r="N22531" t="str">
        <f t="shared" ref="N22531:N22538" si="433">"12349023360 "</f>
        <v xml:space="preserve">12349023360 </v>
      </c>
      <c r="O22531">
        <v>231214</v>
      </c>
    </row>
    <row r="22532" spans="1:15" x14ac:dyDescent="0.25">
      <c r="A22532" t="s">
        <v>16</v>
      </c>
      <c r="B22532" t="s">
        <v>3221</v>
      </c>
      <c r="C22532">
        <v>17434</v>
      </c>
      <c r="D22532" t="s">
        <v>263</v>
      </c>
      <c r="E22532" t="s">
        <v>264</v>
      </c>
      <c r="F22532">
        <v>19.559999999999999</v>
      </c>
      <c r="G22532">
        <v>231204</v>
      </c>
      <c r="H22532">
        <v>4362</v>
      </c>
      <c r="I22532" t="s">
        <v>79</v>
      </c>
      <c r="J22532">
        <v>24.25</v>
      </c>
      <c r="K22532">
        <v>4.6900000000000004</v>
      </c>
      <c r="L22532">
        <v>54222</v>
      </c>
      <c r="M22532" t="s">
        <v>308</v>
      </c>
      <c r="N22532" t="str">
        <f t="shared" si="433"/>
        <v xml:space="preserve">12349023360 </v>
      </c>
      <c r="O22532">
        <v>231214</v>
      </c>
    </row>
    <row r="22533" spans="1:15" x14ac:dyDescent="0.25">
      <c r="A22533" t="s">
        <v>16</v>
      </c>
      <c r="B22533" t="s">
        <v>3221</v>
      </c>
      <c r="C22533">
        <v>17434</v>
      </c>
      <c r="D22533" t="s">
        <v>263</v>
      </c>
      <c r="E22533" t="s">
        <v>264</v>
      </c>
      <c r="F22533">
        <v>9.25</v>
      </c>
      <c r="G22533">
        <v>231204</v>
      </c>
      <c r="H22533">
        <v>4362</v>
      </c>
      <c r="I22533" t="s">
        <v>79</v>
      </c>
      <c r="J22533">
        <v>11.47</v>
      </c>
      <c r="K22533">
        <v>2.2200000000000002</v>
      </c>
      <c r="L22533">
        <v>54251</v>
      </c>
      <c r="M22533" t="s">
        <v>309</v>
      </c>
      <c r="N22533" t="str">
        <f t="shared" si="433"/>
        <v xml:space="preserve">12349023360 </v>
      </c>
      <c r="O22533">
        <v>231214</v>
      </c>
    </row>
    <row r="22534" spans="1:15" x14ac:dyDescent="0.25">
      <c r="A22534" t="s">
        <v>16</v>
      </c>
      <c r="B22534" t="s">
        <v>3221</v>
      </c>
      <c r="C22534">
        <v>17434</v>
      </c>
      <c r="D22534" t="s">
        <v>263</v>
      </c>
      <c r="E22534" t="s">
        <v>264</v>
      </c>
      <c r="F22534">
        <v>2.7</v>
      </c>
      <c r="G22534">
        <v>231204</v>
      </c>
      <c r="H22534">
        <v>4362</v>
      </c>
      <c r="I22534" t="s">
        <v>79</v>
      </c>
      <c r="J22534">
        <v>3.35</v>
      </c>
      <c r="K22534">
        <v>0.65</v>
      </c>
      <c r="L22534">
        <v>54252</v>
      </c>
      <c r="M22534" t="s">
        <v>534</v>
      </c>
      <c r="N22534" t="str">
        <f t="shared" si="433"/>
        <v xml:space="preserve">12349023360 </v>
      </c>
      <c r="O22534">
        <v>231214</v>
      </c>
    </row>
    <row r="22535" spans="1:15" x14ac:dyDescent="0.25">
      <c r="A22535" t="s">
        <v>16</v>
      </c>
      <c r="B22535" t="s">
        <v>3221</v>
      </c>
      <c r="C22535">
        <v>17434</v>
      </c>
      <c r="D22535" t="s">
        <v>263</v>
      </c>
      <c r="E22535" t="s">
        <v>264</v>
      </c>
      <c r="F22535">
        <v>6.15</v>
      </c>
      <c r="G22535">
        <v>231204</v>
      </c>
      <c r="H22535">
        <v>4362</v>
      </c>
      <c r="I22535" t="s">
        <v>79</v>
      </c>
      <c r="J22535">
        <v>7.63</v>
      </c>
      <c r="K22535">
        <v>1.48</v>
      </c>
      <c r="L22535">
        <v>54422</v>
      </c>
      <c r="M22535" t="s">
        <v>234</v>
      </c>
      <c r="N22535" t="str">
        <f t="shared" si="433"/>
        <v xml:space="preserve">12349023360 </v>
      </c>
      <c r="O22535">
        <v>231214</v>
      </c>
    </row>
    <row r="22536" spans="1:15" x14ac:dyDescent="0.25">
      <c r="A22536" t="s">
        <v>16</v>
      </c>
      <c r="B22536" t="s">
        <v>3221</v>
      </c>
      <c r="C22536">
        <v>17434</v>
      </c>
      <c r="D22536" t="s">
        <v>263</v>
      </c>
      <c r="E22536" t="s">
        <v>264</v>
      </c>
      <c r="F22536">
        <v>5.4</v>
      </c>
      <c r="G22536">
        <v>231204</v>
      </c>
      <c r="H22536">
        <v>4362</v>
      </c>
      <c r="I22536" t="s">
        <v>79</v>
      </c>
      <c r="J22536">
        <v>6.7</v>
      </c>
      <c r="K22536">
        <v>1.3</v>
      </c>
      <c r="L22536">
        <v>54451</v>
      </c>
      <c r="M22536" t="s">
        <v>158</v>
      </c>
      <c r="N22536" t="str">
        <f t="shared" si="433"/>
        <v xml:space="preserve">12349023360 </v>
      </c>
      <c r="O22536">
        <v>231214</v>
      </c>
    </row>
    <row r="22537" spans="1:15" x14ac:dyDescent="0.25">
      <c r="A22537" t="s">
        <v>16</v>
      </c>
      <c r="B22537" t="s">
        <v>3221</v>
      </c>
      <c r="C22537">
        <v>17434</v>
      </c>
      <c r="D22537" t="s">
        <v>263</v>
      </c>
      <c r="E22537" t="s">
        <v>264</v>
      </c>
      <c r="F22537">
        <v>5.4</v>
      </c>
      <c r="G22537">
        <v>231204</v>
      </c>
      <c r="H22537">
        <v>4362</v>
      </c>
      <c r="I22537" t="s">
        <v>79</v>
      </c>
      <c r="J22537">
        <v>6.7</v>
      </c>
      <c r="K22537">
        <v>1.3</v>
      </c>
      <c r="L22537">
        <v>56563</v>
      </c>
      <c r="M22537" t="s">
        <v>953</v>
      </c>
      <c r="N22537" t="str">
        <f t="shared" si="433"/>
        <v xml:space="preserve">12349023360 </v>
      </c>
      <c r="O22537">
        <v>231214</v>
      </c>
    </row>
    <row r="22538" spans="1:15" x14ac:dyDescent="0.25">
      <c r="A22538" t="s">
        <v>16</v>
      </c>
      <c r="B22538" t="s">
        <v>3221</v>
      </c>
      <c r="C22538">
        <v>17434</v>
      </c>
      <c r="D22538" t="s">
        <v>263</v>
      </c>
      <c r="E22538" t="s">
        <v>264</v>
      </c>
      <c r="F22538">
        <v>9.23</v>
      </c>
      <c r="G22538">
        <v>231204</v>
      </c>
      <c r="H22538">
        <v>4362</v>
      </c>
      <c r="I22538" t="s">
        <v>79</v>
      </c>
      <c r="J22538">
        <v>11.45</v>
      </c>
      <c r="K22538">
        <v>2.2200000000000002</v>
      </c>
      <c r="L22538">
        <v>58601</v>
      </c>
      <c r="M22538" t="s">
        <v>251</v>
      </c>
      <c r="N22538" t="str">
        <f t="shared" si="433"/>
        <v xml:space="preserve">12349023360 </v>
      </c>
      <c r="O22538">
        <v>231214</v>
      </c>
    </row>
    <row r="22539" spans="1:15" x14ac:dyDescent="0.25">
      <c r="A22539" t="s">
        <v>16</v>
      </c>
      <c r="B22539" t="s">
        <v>3221</v>
      </c>
      <c r="C22539">
        <v>17437</v>
      </c>
      <c r="D22539" t="s">
        <v>263</v>
      </c>
      <c r="E22539" t="s">
        <v>264</v>
      </c>
      <c r="F22539">
        <v>2.7</v>
      </c>
      <c r="G22539">
        <v>231204</v>
      </c>
      <c r="H22539">
        <v>4362</v>
      </c>
      <c r="I22539" t="s">
        <v>79</v>
      </c>
      <c r="J22539">
        <v>3.35</v>
      </c>
      <c r="K22539">
        <v>0.65</v>
      </c>
      <c r="L22539">
        <v>56522</v>
      </c>
      <c r="M22539" t="s">
        <v>43</v>
      </c>
      <c r="N22539" t="str">
        <f>"12349023357 "</f>
        <v xml:space="preserve">12349023357 </v>
      </c>
      <c r="O22539">
        <v>231214</v>
      </c>
    </row>
    <row r="22540" spans="1:15" x14ac:dyDescent="0.25">
      <c r="A22540" t="s">
        <v>16</v>
      </c>
      <c r="B22540" t="s">
        <v>3221</v>
      </c>
      <c r="C22540">
        <v>17437</v>
      </c>
      <c r="D22540" t="s">
        <v>263</v>
      </c>
      <c r="E22540" t="s">
        <v>264</v>
      </c>
      <c r="F22540">
        <v>10.84</v>
      </c>
      <c r="G22540">
        <v>231204</v>
      </c>
      <c r="H22540">
        <v>4362</v>
      </c>
      <c r="I22540" t="s">
        <v>79</v>
      </c>
      <c r="J22540">
        <v>13.44</v>
      </c>
      <c r="K22540">
        <v>2.6</v>
      </c>
      <c r="L22540">
        <v>56524</v>
      </c>
      <c r="M22540" t="s">
        <v>150</v>
      </c>
      <c r="N22540" t="str">
        <f>"12349023357 "</f>
        <v xml:space="preserve">12349023357 </v>
      </c>
      <c r="O22540">
        <v>231214</v>
      </c>
    </row>
    <row r="22541" spans="1:15" x14ac:dyDescent="0.25">
      <c r="A22541" t="s">
        <v>16</v>
      </c>
      <c r="B22541" t="s">
        <v>3221</v>
      </c>
      <c r="C22541">
        <v>17437</v>
      </c>
      <c r="D22541" t="s">
        <v>263</v>
      </c>
      <c r="E22541" t="s">
        <v>264</v>
      </c>
      <c r="F22541">
        <v>13.5</v>
      </c>
      <c r="G22541">
        <v>231204</v>
      </c>
      <c r="H22541">
        <v>4362</v>
      </c>
      <c r="I22541" t="s">
        <v>79</v>
      </c>
      <c r="J22541">
        <v>16.739999999999998</v>
      </c>
      <c r="K22541">
        <v>3.24</v>
      </c>
      <c r="L22541">
        <v>56528</v>
      </c>
      <c r="M22541" t="s">
        <v>153</v>
      </c>
      <c r="N22541" t="str">
        <f>"12349023357 "</f>
        <v xml:space="preserve">12349023357 </v>
      </c>
      <c r="O22541">
        <v>231214</v>
      </c>
    </row>
    <row r="22542" spans="1:15" x14ac:dyDescent="0.25">
      <c r="A22542" t="s">
        <v>16</v>
      </c>
      <c r="B22542" t="s">
        <v>3221</v>
      </c>
      <c r="C22542">
        <v>17645</v>
      </c>
      <c r="D22542" t="s">
        <v>263</v>
      </c>
      <c r="E22542" t="s">
        <v>264</v>
      </c>
      <c r="F22542">
        <v>63.49</v>
      </c>
      <c r="G22542">
        <v>231204</v>
      </c>
      <c r="H22542">
        <v>4362</v>
      </c>
      <c r="I22542" t="s">
        <v>79</v>
      </c>
      <c r="J22542">
        <v>78.73</v>
      </c>
      <c r="K22542">
        <v>15.24</v>
      </c>
      <c r="L22542">
        <v>11801</v>
      </c>
      <c r="M22542" t="s">
        <v>92</v>
      </c>
      <c r="N22542" t="str">
        <f>"12349023383 "</f>
        <v xml:space="preserve">12349023383 </v>
      </c>
      <c r="O22542">
        <v>231218</v>
      </c>
    </row>
    <row r="22543" spans="1:15" x14ac:dyDescent="0.25">
      <c r="A22543" t="s">
        <v>16</v>
      </c>
      <c r="B22543" t="s">
        <v>3221</v>
      </c>
      <c r="C22543">
        <v>17650</v>
      </c>
      <c r="D22543" t="s">
        <v>263</v>
      </c>
      <c r="E22543" t="s">
        <v>264</v>
      </c>
      <c r="F22543">
        <v>37.43</v>
      </c>
      <c r="G22543">
        <v>231204</v>
      </c>
      <c r="H22543">
        <v>4362</v>
      </c>
      <c r="I22543" t="s">
        <v>79</v>
      </c>
      <c r="J22543">
        <v>46.41</v>
      </c>
      <c r="K22543">
        <v>8.98</v>
      </c>
      <c r="L22543">
        <v>61122</v>
      </c>
      <c r="M22543" t="s">
        <v>402</v>
      </c>
      <c r="N22543" t="str">
        <f t="shared" ref="N22543:N22569" si="434">"12349023359 "</f>
        <v xml:space="preserve">12349023359 </v>
      </c>
      <c r="O22543">
        <v>231218</v>
      </c>
    </row>
    <row r="22544" spans="1:15" x14ac:dyDescent="0.25">
      <c r="A22544" t="s">
        <v>16</v>
      </c>
      <c r="B22544" t="s">
        <v>3221</v>
      </c>
      <c r="C22544">
        <v>17650</v>
      </c>
      <c r="D22544" t="s">
        <v>263</v>
      </c>
      <c r="E22544" t="s">
        <v>264</v>
      </c>
      <c r="F22544">
        <v>2.7</v>
      </c>
      <c r="G22544">
        <v>231204</v>
      </c>
      <c r="H22544">
        <v>4362</v>
      </c>
      <c r="I22544" t="s">
        <v>79</v>
      </c>
      <c r="J22544">
        <v>3.35</v>
      </c>
      <c r="K22544">
        <v>0.65</v>
      </c>
      <c r="L22544">
        <v>61122</v>
      </c>
      <c r="M22544" t="s">
        <v>402</v>
      </c>
      <c r="N22544" t="str">
        <f t="shared" si="434"/>
        <v xml:space="preserve">12349023359 </v>
      </c>
      <c r="O22544">
        <v>231218</v>
      </c>
    </row>
    <row r="22545" spans="1:15" x14ac:dyDescent="0.25">
      <c r="A22545" t="s">
        <v>16</v>
      </c>
      <c r="B22545" t="s">
        <v>3221</v>
      </c>
      <c r="C22545">
        <v>17650</v>
      </c>
      <c r="D22545" t="s">
        <v>263</v>
      </c>
      <c r="E22545" t="s">
        <v>264</v>
      </c>
      <c r="F22545">
        <v>16.72</v>
      </c>
      <c r="G22545">
        <v>231204</v>
      </c>
      <c r="H22545">
        <v>4362</v>
      </c>
      <c r="I22545" t="s">
        <v>79</v>
      </c>
      <c r="J22545">
        <v>20.73</v>
      </c>
      <c r="K22545">
        <v>4.01</v>
      </c>
      <c r="L22545">
        <v>65222</v>
      </c>
      <c r="M22545" t="s">
        <v>487</v>
      </c>
      <c r="N22545" t="str">
        <f t="shared" si="434"/>
        <v xml:space="preserve">12349023359 </v>
      </c>
      <c r="O22545">
        <v>231218</v>
      </c>
    </row>
    <row r="22546" spans="1:15" x14ac:dyDescent="0.25">
      <c r="A22546" t="s">
        <v>16</v>
      </c>
      <c r="B22546" t="s">
        <v>3221</v>
      </c>
      <c r="C22546">
        <v>17650</v>
      </c>
      <c r="D22546" t="s">
        <v>263</v>
      </c>
      <c r="E22546" t="s">
        <v>264</v>
      </c>
      <c r="F22546">
        <v>2.74</v>
      </c>
      <c r="G22546">
        <v>231204</v>
      </c>
      <c r="H22546">
        <v>4362</v>
      </c>
      <c r="I22546" t="s">
        <v>79</v>
      </c>
      <c r="J22546">
        <v>3.4</v>
      </c>
      <c r="K22546">
        <v>0.66</v>
      </c>
      <c r="L22546">
        <v>65422</v>
      </c>
      <c r="M22546" t="s">
        <v>602</v>
      </c>
      <c r="N22546" t="str">
        <f t="shared" si="434"/>
        <v xml:space="preserve">12349023359 </v>
      </c>
      <c r="O22546">
        <v>231218</v>
      </c>
    </row>
    <row r="22547" spans="1:15" x14ac:dyDescent="0.25">
      <c r="A22547" t="s">
        <v>16</v>
      </c>
      <c r="B22547" t="s">
        <v>3221</v>
      </c>
      <c r="C22547">
        <v>17650</v>
      </c>
      <c r="D22547" t="s">
        <v>263</v>
      </c>
      <c r="E22547" t="s">
        <v>264</v>
      </c>
      <c r="F22547">
        <v>8.1</v>
      </c>
      <c r="G22547">
        <v>231204</v>
      </c>
      <c r="H22547">
        <v>4362</v>
      </c>
      <c r="I22547" t="s">
        <v>79</v>
      </c>
      <c r="J22547">
        <v>10.039999999999999</v>
      </c>
      <c r="K22547">
        <v>1.94</v>
      </c>
      <c r="L22547">
        <v>66722</v>
      </c>
      <c r="M22547" t="s">
        <v>518</v>
      </c>
      <c r="N22547" t="str">
        <f t="shared" si="434"/>
        <v xml:space="preserve">12349023359 </v>
      </c>
      <c r="O22547">
        <v>231218</v>
      </c>
    </row>
    <row r="22548" spans="1:15" x14ac:dyDescent="0.25">
      <c r="A22548" t="s">
        <v>16</v>
      </c>
      <c r="B22548" t="s">
        <v>3221</v>
      </c>
      <c r="C22548">
        <v>17650</v>
      </c>
      <c r="D22548" t="s">
        <v>263</v>
      </c>
      <c r="E22548" t="s">
        <v>264</v>
      </c>
      <c r="F22548">
        <v>1.68</v>
      </c>
      <c r="G22548">
        <v>231204</v>
      </c>
      <c r="H22548">
        <v>4362</v>
      </c>
      <c r="I22548" t="s">
        <v>79</v>
      </c>
      <c r="J22548">
        <v>2.08</v>
      </c>
      <c r="K22548">
        <v>0.4</v>
      </c>
      <c r="L22548">
        <v>66754</v>
      </c>
      <c r="M22548" t="s">
        <v>239</v>
      </c>
      <c r="N22548" t="str">
        <f t="shared" si="434"/>
        <v xml:space="preserve">12349023359 </v>
      </c>
      <c r="O22548">
        <v>231218</v>
      </c>
    </row>
    <row r="22549" spans="1:15" x14ac:dyDescent="0.25">
      <c r="A22549" t="s">
        <v>16</v>
      </c>
      <c r="B22549" t="s">
        <v>3221</v>
      </c>
      <c r="C22549">
        <v>17650</v>
      </c>
      <c r="D22549" t="s">
        <v>263</v>
      </c>
      <c r="E22549" t="s">
        <v>264</v>
      </c>
      <c r="F22549">
        <v>2.7</v>
      </c>
      <c r="G22549">
        <v>231204</v>
      </c>
      <c r="H22549">
        <v>4362</v>
      </c>
      <c r="I22549" t="s">
        <v>79</v>
      </c>
      <c r="J22549">
        <v>3.35</v>
      </c>
      <c r="K22549">
        <v>0.65</v>
      </c>
      <c r="L22549">
        <v>66754</v>
      </c>
      <c r="M22549" t="s">
        <v>239</v>
      </c>
      <c r="N22549" t="str">
        <f t="shared" si="434"/>
        <v xml:space="preserve">12349023359 </v>
      </c>
      <c r="O22549">
        <v>231218</v>
      </c>
    </row>
    <row r="22550" spans="1:15" x14ac:dyDescent="0.25">
      <c r="A22550" t="s">
        <v>16</v>
      </c>
      <c r="B22550" t="s">
        <v>3221</v>
      </c>
      <c r="C22550">
        <v>17650</v>
      </c>
      <c r="D22550" t="s">
        <v>263</v>
      </c>
      <c r="E22550" t="s">
        <v>264</v>
      </c>
      <c r="F22550">
        <v>3.31</v>
      </c>
      <c r="G22550">
        <v>231204</v>
      </c>
      <c r="H22550">
        <v>4362</v>
      </c>
      <c r="I22550" t="s">
        <v>79</v>
      </c>
      <c r="J22550">
        <v>4.0999999999999996</v>
      </c>
      <c r="K22550">
        <v>0.79</v>
      </c>
      <c r="L22550">
        <v>66754</v>
      </c>
      <c r="M22550" t="s">
        <v>239</v>
      </c>
      <c r="N22550" t="str">
        <f t="shared" si="434"/>
        <v xml:space="preserve">12349023359 </v>
      </c>
      <c r="O22550">
        <v>231218</v>
      </c>
    </row>
    <row r="22551" spans="1:15" x14ac:dyDescent="0.25">
      <c r="A22551" t="s">
        <v>16</v>
      </c>
      <c r="B22551" t="s">
        <v>3221</v>
      </c>
      <c r="C22551">
        <v>17650</v>
      </c>
      <c r="D22551" t="s">
        <v>263</v>
      </c>
      <c r="E22551" t="s">
        <v>264</v>
      </c>
      <c r="F22551">
        <v>19.68</v>
      </c>
      <c r="G22551">
        <v>231204</v>
      </c>
      <c r="H22551">
        <v>4362</v>
      </c>
      <c r="I22551" t="s">
        <v>79</v>
      </c>
      <c r="J22551">
        <v>24.4</v>
      </c>
      <c r="K22551">
        <v>4.72</v>
      </c>
      <c r="L22551">
        <v>66754</v>
      </c>
      <c r="M22551" t="s">
        <v>239</v>
      </c>
      <c r="N22551" t="str">
        <f t="shared" si="434"/>
        <v xml:space="preserve">12349023359 </v>
      </c>
      <c r="O22551">
        <v>231218</v>
      </c>
    </row>
    <row r="22552" spans="1:15" x14ac:dyDescent="0.25">
      <c r="A22552" t="s">
        <v>16</v>
      </c>
      <c r="B22552" t="s">
        <v>3221</v>
      </c>
      <c r="C22552">
        <v>17650</v>
      </c>
      <c r="D22552" t="s">
        <v>263</v>
      </c>
      <c r="E22552" t="s">
        <v>264</v>
      </c>
      <c r="F22552">
        <v>8.25</v>
      </c>
      <c r="G22552">
        <v>231204</v>
      </c>
      <c r="H22552">
        <v>4362</v>
      </c>
      <c r="I22552" t="s">
        <v>79</v>
      </c>
      <c r="J22552">
        <v>10.23</v>
      </c>
      <c r="K22552">
        <v>1.98</v>
      </c>
      <c r="L22552">
        <v>66756</v>
      </c>
      <c r="M22552" t="s">
        <v>209</v>
      </c>
      <c r="N22552" t="str">
        <f t="shared" si="434"/>
        <v xml:space="preserve">12349023359 </v>
      </c>
      <c r="O22552">
        <v>231218</v>
      </c>
    </row>
    <row r="22553" spans="1:15" x14ac:dyDescent="0.25">
      <c r="A22553" t="s">
        <v>16</v>
      </c>
      <c r="B22553" t="s">
        <v>3221</v>
      </c>
      <c r="C22553">
        <v>17650</v>
      </c>
      <c r="D22553" t="s">
        <v>263</v>
      </c>
      <c r="E22553" t="s">
        <v>264</v>
      </c>
      <c r="F22553">
        <v>38.17</v>
      </c>
      <c r="G22553">
        <v>231204</v>
      </c>
      <c r="H22553">
        <v>4362</v>
      </c>
      <c r="I22553" t="s">
        <v>79</v>
      </c>
      <c r="J22553">
        <v>47.33</v>
      </c>
      <c r="K22553">
        <v>9.16</v>
      </c>
      <c r="L22553">
        <v>67522</v>
      </c>
      <c r="M22553" t="s">
        <v>397</v>
      </c>
      <c r="N22553" t="str">
        <f t="shared" si="434"/>
        <v xml:space="preserve">12349023359 </v>
      </c>
      <c r="O22553">
        <v>231218</v>
      </c>
    </row>
    <row r="22554" spans="1:15" x14ac:dyDescent="0.25">
      <c r="A22554" t="s">
        <v>16</v>
      </c>
      <c r="B22554" t="s">
        <v>3221</v>
      </c>
      <c r="C22554">
        <v>17650</v>
      </c>
      <c r="D22554" t="s">
        <v>263</v>
      </c>
      <c r="E22554" t="s">
        <v>264</v>
      </c>
      <c r="F22554">
        <v>18.149999999999999</v>
      </c>
      <c r="G22554">
        <v>231204</v>
      </c>
      <c r="H22554">
        <v>4362</v>
      </c>
      <c r="I22554" t="s">
        <v>79</v>
      </c>
      <c r="J22554">
        <v>22.51</v>
      </c>
      <c r="K22554">
        <v>4.3600000000000003</v>
      </c>
      <c r="L22554">
        <v>67522</v>
      </c>
      <c r="M22554" t="s">
        <v>397</v>
      </c>
      <c r="N22554" t="str">
        <f t="shared" si="434"/>
        <v xml:space="preserve">12349023359 </v>
      </c>
      <c r="O22554">
        <v>231218</v>
      </c>
    </row>
    <row r="22555" spans="1:15" x14ac:dyDescent="0.25">
      <c r="A22555" t="s">
        <v>16</v>
      </c>
      <c r="B22555" t="s">
        <v>3221</v>
      </c>
      <c r="C22555">
        <v>17650</v>
      </c>
      <c r="D22555" t="s">
        <v>263</v>
      </c>
      <c r="E22555" t="s">
        <v>264</v>
      </c>
      <c r="F22555">
        <v>1.68</v>
      </c>
      <c r="G22555">
        <v>231204</v>
      </c>
      <c r="H22555">
        <v>4362</v>
      </c>
      <c r="I22555" t="s">
        <v>79</v>
      </c>
      <c r="J22555">
        <v>2.08</v>
      </c>
      <c r="K22555">
        <v>0.4</v>
      </c>
      <c r="L22555">
        <v>67554</v>
      </c>
      <c r="M22555" t="s">
        <v>60</v>
      </c>
      <c r="N22555" t="str">
        <f t="shared" si="434"/>
        <v xml:space="preserve">12349023359 </v>
      </c>
      <c r="O22555">
        <v>231218</v>
      </c>
    </row>
    <row r="22556" spans="1:15" x14ac:dyDescent="0.25">
      <c r="A22556" t="s">
        <v>16</v>
      </c>
      <c r="B22556" t="s">
        <v>3221</v>
      </c>
      <c r="C22556">
        <v>17650</v>
      </c>
      <c r="D22556" t="s">
        <v>263</v>
      </c>
      <c r="E22556" t="s">
        <v>264</v>
      </c>
      <c r="F22556">
        <v>5.52</v>
      </c>
      <c r="G22556">
        <v>231204</v>
      </c>
      <c r="H22556">
        <v>4362</v>
      </c>
      <c r="I22556" t="s">
        <v>79</v>
      </c>
      <c r="J22556">
        <v>6.84</v>
      </c>
      <c r="K22556">
        <v>1.32</v>
      </c>
      <c r="L22556">
        <v>67554</v>
      </c>
      <c r="M22556" t="s">
        <v>60</v>
      </c>
      <c r="N22556" t="str">
        <f t="shared" si="434"/>
        <v xml:space="preserve">12349023359 </v>
      </c>
      <c r="O22556">
        <v>231218</v>
      </c>
    </row>
    <row r="22557" spans="1:15" x14ac:dyDescent="0.25">
      <c r="A22557" t="s">
        <v>16</v>
      </c>
      <c r="B22557" t="s">
        <v>3221</v>
      </c>
      <c r="C22557">
        <v>17650</v>
      </c>
      <c r="D22557" t="s">
        <v>263</v>
      </c>
      <c r="E22557" t="s">
        <v>264</v>
      </c>
      <c r="F22557">
        <v>52.93</v>
      </c>
      <c r="G22557">
        <v>231204</v>
      </c>
      <c r="H22557">
        <v>4362</v>
      </c>
      <c r="I22557" t="s">
        <v>79</v>
      </c>
      <c r="J22557">
        <v>65.63</v>
      </c>
      <c r="K22557">
        <v>12.7</v>
      </c>
      <c r="L22557">
        <v>67554</v>
      </c>
      <c r="M22557" t="s">
        <v>60</v>
      </c>
      <c r="N22557" t="str">
        <f t="shared" si="434"/>
        <v xml:space="preserve">12349023359 </v>
      </c>
      <c r="O22557">
        <v>231218</v>
      </c>
    </row>
    <row r="22558" spans="1:15" x14ac:dyDescent="0.25">
      <c r="A22558" t="s">
        <v>16</v>
      </c>
      <c r="B22558" t="s">
        <v>3221</v>
      </c>
      <c r="C22558">
        <v>17650</v>
      </c>
      <c r="D22558" t="s">
        <v>263</v>
      </c>
      <c r="E22558" t="s">
        <v>264</v>
      </c>
      <c r="F22558">
        <v>2.7</v>
      </c>
      <c r="G22558">
        <v>231204</v>
      </c>
      <c r="H22558">
        <v>4362</v>
      </c>
      <c r="I22558" t="s">
        <v>79</v>
      </c>
      <c r="J22558">
        <v>3.35</v>
      </c>
      <c r="K22558">
        <v>0.65</v>
      </c>
      <c r="L22558">
        <v>67554</v>
      </c>
      <c r="M22558" t="s">
        <v>60</v>
      </c>
      <c r="N22558" t="str">
        <f t="shared" si="434"/>
        <v xml:space="preserve">12349023359 </v>
      </c>
      <c r="O22558">
        <v>231218</v>
      </c>
    </row>
    <row r="22559" spans="1:15" x14ac:dyDescent="0.25">
      <c r="A22559" t="s">
        <v>16</v>
      </c>
      <c r="B22559" t="s">
        <v>3221</v>
      </c>
      <c r="C22559">
        <v>17650</v>
      </c>
      <c r="D22559" t="s">
        <v>263</v>
      </c>
      <c r="E22559" t="s">
        <v>264</v>
      </c>
      <c r="F22559">
        <v>8.1</v>
      </c>
      <c r="G22559">
        <v>231204</v>
      </c>
      <c r="H22559">
        <v>4362</v>
      </c>
      <c r="I22559" t="s">
        <v>79</v>
      </c>
      <c r="J22559">
        <v>10.039999999999999</v>
      </c>
      <c r="K22559">
        <v>1.94</v>
      </c>
      <c r="L22559">
        <v>69111</v>
      </c>
      <c r="M22559" t="s">
        <v>471</v>
      </c>
      <c r="N22559" t="str">
        <f t="shared" si="434"/>
        <v xml:space="preserve">12349023359 </v>
      </c>
      <c r="O22559">
        <v>231218</v>
      </c>
    </row>
    <row r="22560" spans="1:15" x14ac:dyDescent="0.25">
      <c r="A22560" t="s">
        <v>16</v>
      </c>
      <c r="B22560" t="s">
        <v>3221</v>
      </c>
      <c r="C22560">
        <v>17650</v>
      </c>
      <c r="D22560" t="s">
        <v>263</v>
      </c>
      <c r="E22560" t="s">
        <v>264</v>
      </c>
      <c r="F22560">
        <v>2.7</v>
      </c>
      <c r="G22560">
        <v>231204</v>
      </c>
      <c r="H22560">
        <v>4362</v>
      </c>
      <c r="I22560" t="s">
        <v>79</v>
      </c>
      <c r="J22560">
        <v>3.35</v>
      </c>
      <c r="K22560">
        <v>0.65</v>
      </c>
      <c r="L22560">
        <v>69112</v>
      </c>
      <c r="M22560" t="s">
        <v>313</v>
      </c>
      <c r="N22560" t="str">
        <f t="shared" si="434"/>
        <v xml:space="preserve">12349023359 </v>
      </c>
      <c r="O22560">
        <v>231218</v>
      </c>
    </row>
    <row r="22561" spans="1:15" x14ac:dyDescent="0.25">
      <c r="A22561" t="s">
        <v>16</v>
      </c>
      <c r="B22561" t="s">
        <v>3221</v>
      </c>
      <c r="C22561">
        <v>17650</v>
      </c>
      <c r="D22561" t="s">
        <v>263</v>
      </c>
      <c r="E22561" t="s">
        <v>264</v>
      </c>
      <c r="F22561">
        <v>12.95</v>
      </c>
      <c r="G22561">
        <v>231204</v>
      </c>
      <c r="H22561">
        <v>4362</v>
      </c>
      <c r="I22561" t="s">
        <v>79</v>
      </c>
      <c r="J22561">
        <v>16.059999999999999</v>
      </c>
      <c r="K22561">
        <v>3.11</v>
      </c>
      <c r="L22561">
        <v>69113</v>
      </c>
      <c r="M22561" t="s">
        <v>282</v>
      </c>
      <c r="N22561" t="str">
        <f t="shared" si="434"/>
        <v xml:space="preserve">12349023359 </v>
      </c>
      <c r="O22561">
        <v>231218</v>
      </c>
    </row>
    <row r="22562" spans="1:15" x14ac:dyDescent="0.25">
      <c r="A22562" t="s">
        <v>16</v>
      </c>
      <c r="B22562" t="s">
        <v>3221</v>
      </c>
      <c r="C22562">
        <v>17650</v>
      </c>
      <c r="D22562" t="s">
        <v>263</v>
      </c>
      <c r="E22562" t="s">
        <v>264</v>
      </c>
      <c r="F22562">
        <v>29.29</v>
      </c>
      <c r="G22562">
        <v>231204</v>
      </c>
      <c r="H22562">
        <v>4362</v>
      </c>
      <c r="I22562" t="s">
        <v>79</v>
      </c>
      <c r="J22562">
        <v>36.32</v>
      </c>
      <c r="K22562">
        <v>7.03</v>
      </c>
      <c r="L22562">
        <v>69501</v>
      </c>
      <c r="M22562" t="s">
        <v>185</v>
      </c>
      <c r="N22562" t="str">
        <f t="shared" si="434"/>
        <v xml:space="preserve">12349023359 </v>
      </c>
      <c r="O22562">
        <v>231218</v>
      </c>
    </row>
    <row r="22563" spans="1:15" x14ac:dyDescent="0.25">
      <c r="A22563" t="s">
        <v>16</v>
      </c>
      <c r="B22563" t="s">
        <v>3221</v>
      </c>
      <c r="C22563">
        <v>17650</v>
      </c>
      <c r="D22563" t="s">
        <v>263</v>
      </c>
      <c r="E22563" t="s">
        <v>264</v>
      </c>
      <c r="F22563">
        <v>4.07</v>
      </c>
      <c r="G22563">
        <v>231204</v>
      </c>
      <c r="H22563">
        <v>4362</v>
      </c>
      <c r="I22563" t="s">
        <v>79</v>
      </c>
      <c r="J22563">
        <v>5.05</v>
      </c>
      <c r="K22563">
        <v>0.98</v>
      </c>
      <c r="L22563">
        <v>69701</v>
      </c>
      <c r="M22563" t="s">
        <v>488</v>
      </c>
      <c r="N22563" t="str">
        <f t="shared" si="434"/>
        <v xml:space="preserve">12349023359 </v>
      </c>
      <c r="O22563">
        <v>231218</v>
      </c>
    </row>
    <row r="22564" spans="1:15" x14ac:dyDescent="0.25">
      <c r="A22564" t="s">
        <v>16</v>
      </c>
      <c r="B22564" t="s">
        <v>3221</v>
      </c>
      <c r="C22564">
        <v>17650</v>
      </c>
      <c r="D22564" t="s">
        <v>263</v>
      </c>
      <c r="E22564" t="s">
        <v>264</v>
      </c>
      <c r="F22564">
        <v>2.7</v>
      </c>
      <c r="G22564">
        <v>231204</v>
      </c>
      <c r="H22564">
        <v>4362</v>
      </c>
      <c r="I22564" t="s">
        <v>79</v>
      </c>
      <c r="J22564">
        <v>3.35</v>
      </c>
      <c r="K22564">
        <v>0.65</v>
      </c>
      <c r="L22564">
        <v>69702</v>
      </c>
      <c r="M22564" t="s">
        <v>489</v>
      </c>
      <c r="N22564" t="str">
        <f t="shared" si="434"/>
        <v xml:space="preserve">12349023359 </v>
      </c>
      <c r="O22564">
        <v>231218</v>
      </c>
    </row>
    <row r="22565" spans="1:15" x14ac:dyDescent="0.25">
      <c r="A22565" t="s">
        <v>16</v>
      </c>
      <c r="B22565" t="s">
        <v>3221</v>
      </c>
      <c r="C22565">
        <v>17650</v>
      </c>
      <c r="D22565" t="s">
        <v>263</v>
      </c>
      <c r="E22565" t="s">
        <v>264</v>
      </c>
      <c r="F22565">
        <v>5.25</v>
      </c>
      <c r="G22565">
        <v>231204</v>
      </c>
      <c r="H22565">
        <v>4362</v>
      </c>
      <c r="I22565" t="s">
        <v>79</v>
      </c>
      <c r="J22565">
        <v>6.51</v>
      </c>
      <c r="K22565">
        <v>1.26</v>
      </c>
      <c r="L22565">
        <v>69702</v>
      </c>
      <c r="M22565" t="s">
        <v>489</v>
      </c>
      <c r="N22565" t="str">
        <f t="shared" si="434"/>
        <v xml:space="preserve">12349023359 </v>
      </c>
      <c r="O22565">
        <v>231218</v>
      </c>
    </row>
    <row r="22566" spans="1:15" x14ac:dyDescent="0.25">
      <c r="A22566" t="s">
        <v>16</v>
      </c>
      <c r="B22566" t="s">
        <v>3221</v>
      </c>
      <c r="C22566">
        <v>17650</v>
      </c>
      <c r="D22566" t="s">
        <v>263</v>
      </c>
      <c r="E22566" t="s">
        <v>264</v>
      </c>
      <c r="F22566">
        <v>4.05</v>
      </c>
      <c r="G22566">
        <v>231204</v>
      </c>
      <c r="H22566">
        <v>4362</v>
      </c>
      <c r="I22566" t="s">
        <v>79</v>
      </c>
      <c r="J22566">
        <v>5.0199999999999996</v>
      </c>
      <c r="K22566">
        <v>0.97</v>
      </c>
      <c r="L22566">
        <v>69703</v>
      </c>
      <c r="M22566" t="s">
        <v>1036</v>
      </c>
      <c r="N22566" t="str">
        <f t="shared" si="434"/>
        <v xml:space="preserve">12349023359 </v>
      </c>
      <c r="O22566">
        <v>231218</v>
      </c>
    </row>
    <row r="22567" spans="1:15" x14ac:dyDescent="0.25">
      <c r="A22567" t="s">
        <v>16</v>
      </c>
      <c r="B22567" t="s">
        <v>3221</v>
      </c>
      <c r="C22567">
        <v>17650</v>
      </c>
      <c r="D22567" t="s">
        <v>263</v>
      </c>
      <c r="E22567" t="s">
        <v>264</v>
      </c>
      <c r="F22567">
        <v>5.25</v>
      </c>
      <c r="G22567">
        <v>231204</v>
      </c>
      <c r="H22567">
        <v>4362</v>
      </c>
      <c r="I22567" t="s">
        <v>79</v>
      </c>
      <c r="J22567">
        <v>6.51</v>
      </c>
      <c r="K22567">
        <v>1.26</v>
      </c>
      <c r="L22567">
        <v>69704</v>
      </c>
      <c r="M22567" t="s">
        <v>325</v>
      </c>
      <c r="N22567" t="str">
        <f t="shared" si="434"/>
        <v xml:space="preserve">12349023359 </v>
      </c>
      <c r="O22567">
        <v>231218</v>
      </c>
    </row>
    <row r="22568" spans="1:15" x14ac:dyDescent="0.25">
      <c r="A22568" t="s">
        <v>16</v>
      </c>
      <c r="B22568" t="s">
        <v>3221</v>
      </c>
      <c r="C22568">
        <v>17650</v>
      </c>
      <c r="D22568" t="s">
        <v>263</v>
      </c>
      <c r="E22568" t="s">
        <v>264</v>
      </c>
      <c r="F22568">
        <v>8.1</v>
      </c>
      <c r="G22568">
        <v>231204</v>
      </c>
      <c r="H22568">
        <v>4362</v>
      </c>
      <c r="I22568" t="s">
        <v>79</v>
      </c>
      <c r="J22568">
        <v>10.039999999999999</v>
      </c>
      <c r="K22568">
        <v>1.94</v>
      </c>
      <c r="L22568">
        <v>69707</v>
      </c>
      <c r="M22568" t="s">
        <v>490</v>
      </c>
      <c r="N22568" t="str">
        <f t="shared" si="434"/>
        <v xml:space="preserve">12349023359 </v>
      </c>
      <c r="O22568">
        <v>231218</v>
      </c>
    </row>
    <row r="22569" spans="1:15" x14ac:dyDescent="0.25">
      <c r="A22569" t="s">
        <v>16</v>
      </c>
      <c r="B22569" t="s">
        <v>3221</v>
      </c>
      <c r="C22569">
        <v>17650</v>
      </c>
      <c r="D22569" t="s">
        <v>263</v>
      </c>
      <c r="E22569" t="s">
        <v>264</v>
      </c>
      <c r="F22569">
        <v>8.14</v>
      </c>
      <c r="G22569">
        <v>231204</v>
      </c>
      <c r="H22569">
        <v>4362</v>
      </c>
      <c r="I22569" t="s">
        <v>79</v>
      </c>
      <c r="J22569">
        <v>10.09</v>
      </c>
      <c r="K22569">
        <v>1.95</v>
      </c>
      <c r="L22569">
        <v>69708</v>
      </c>
      <c r="M22569" t="s">
        <v>491</v>
      </c>
      <c r="N22569" t="str">
        <f t="shared" si="434"/>
        <v xml:space="preserve">12349023359 </v>
      </c>
      <c r="O22569">
        <v>231218</v>
      </c>
    </row>
    <row r="22570" spans="1:15" x14ac:dyDescent="0.25">
      <c r="A22570" t="s">
        <v>16</v>
      </c>
      <c r="B22570" t="s">
        <v>3221</v>
      </c>
      <c r="C22570">
        <v>17740</v>
      </c>
      <c r="D22570" t="s">
        <v>263</v>
      </c>
      <c r="E22570" t="s">
        <v>264</v>
      </c>
      <c r="F22570">
        <v>2.5499999999999998</v>
      </c>
      <c r="G22570">
        <v>231204</v>
      </c>
      <c r="H22570">
        <v>4362</v>
      </c>
      <c r="I22570" t="s">
        <v>79</v>
      </c>
      <c r="J22570">
        <v>3.16</v>
      </c>
      <c r="K22570">
        <v>0.61</v>
      </c>
      <c r="L22570">
        <v>10002</v>
      </c>
      <c r="M22570" t="s">
        <v>1066</v>
      </c>
      <c r="N22570" t="str">
        <f t="shared" ref="N22570:N22584" si="435">"12349023353 "</f>
        <v xml:space="preserve">12349023353 </v>
      </c>
      <c r="O22570">
        <v>231222</v>
      </c>
    </row>
    <row r="22571" spans="1:15" x14ac:dyDescent="0.25">
      <c r="A22571" t="s">
        <v>16</v>
      </c>
      <c r="B22571" t="s">
        <v>3221</v>
      </c>
      <c r="C22571">
        <v>17740</v>
      </c>
      <c r="D22571" t="s">
        <v>263</v>
      </c>
      <c r="E22571" t="s">
        <v>264</v>
      </c>
      <c r="F22571">
        <v>2.5499999999999998</v>
      </c>
      <c r="G22571">
        <v>231204</v>
      </c>
      <c r="H22571">
        <v>4362</v>
      </c>
      <c r="I22571" t="s">
        <v>79</v>
      </c>
      <c r="J22571">
        <v>3.16</v>
      </c>
      <c r="K22571">
        <v>0.61</v>
      </c>
      <c r="L22571">
        <v>10002</v>
      </c>
      <c r="M22571" t="s">
        <v>1066</v>
      </c>
      <c r="N22571" t="str">
        <f t="shared" si="435"/>
        <v xml:space="preserve">12349023353 </v>
      </c>
      <c r="O22571">
        <v>231222</v>
      </c>
    </row>
    <row r="22572" spans="1:15" x14ac:dyDescent="0.25">
      <c r="A22572" t="s">
        <v>16</v>
      </c>
      <c r="B22572" t="s">
        <v>3221</v>
      </c>
      <c r="C22572">
        <v>17740</v>
      </c>
      <c r="D22572" t="s">
        <v>263</v>
      </c>
      <c r="E22572" t="s">
        <v>264</v>
      </c>
      <c r="F22572">
        <v>1.68</v>
      </c>
      <c r="G22572">
        <v>231204</v>
      </c>
      <c r="H22572">
        <v>4362</v>
      </c>
      <c r="I22572" t="s">
        <v>79</v>
      </c>
      <c r="J22572">
        <v>1.68</v>
      </c>
      <c r="K22572">
        <v>0</v>
      </c>
      <c r="L22572">
        <v>11001</v>
      </c>
      <c r="M22572" t="s">
        <v>326</v>
      </c>
      <c r="N22572" t="str">
        <f t="shared" si="435"/>
        <v xml:space="preserve">12349023353 </v>
      </c>
      <c r="O22572">
        <v>231222</v>
      </c>
    </row>
    <row r="22573" spans="1:15" x14ac:dyDescent="0.25">
      <c r="A22573" t="s">
        <v>16</v>
      </c>
      <c r="B22573" t="s">
        <v>3221</v>
      </c>
      <c r="C22573">
        <v>17740</v>
      </c>
      <c r="D22573" t="s">
        <v>263</v>
      </c>
      <c r="E22573" t="s">
        <v>264</v>
      </c>
      <c r="F22573">
        <v>2.5499999999999998</v>
      </c>
      <c r="G22573">
        <v>231204</v>
      </c>
      <c r="H22573">
        <v>4362</v>
      </c>
      <c r="I22573" t="s">
        <v>79</v>
      </c>
      <c r="J22573">
        <v>3.16</v>
      </c>
      <c r="K22573">
        <v>0.61</v>
      </c>
      <c r="L22573">
        <v>11001</v>
      </c>
      <c r="M22573" t="s">
        <v>326</v>
      </c>
      <c r="N22573" t="str">
        <f t="shared" si="435"/>
        <v xml:space="preserve">12349023353 </v>
      </c>
      <c r="O22573">
        <v>231222</v>
      </c>
    </row>
    <row r="22574" spans="1:15" x14ac:dyDescent="0.25">
      <c r="A22574" t="s">
        <v>16</v>
      </c>
      <c r="B22574" t="s">
        <v>3221</v>
      </c>
      <c r="C22574">
        <v>17740</v>
      </c>
      <c r="D22574" t="s">
        <v>263</v>
      </c>
      <c r="E22574" t="s">
        <v>264</v>
      </c>
      <c r="F22574">
        <v>5.86</v>
      </c>
      <c r="G22574">
        <v>231204</v>
      </c>
      <c r="H22574">
        <v>4362</v>
      </c>
      <c r="I22574" t="s">
        <v>79</v>
      </c>
      <c r="J22574">
        <v>7.27</v>
      </c>
      <c r="K22574">
        <v>1.41</v>
      </c>
      <c r="L22574">
        <v>11001</v>
      </c>
      <c r="M22574" t="s">
        <v>326</v>
      </c>
      <c r="N22574" t="str">
        <f t="shared" si="435"/>
        <v xml:space="preserve">12349023353 </v>
      </c>
      <c r="O22574">
        <v>231222</v>
      </c>
    </row>
    <row r="22575" spans="1:15" x14ac:dyDescent="0.25">
      <c r="A22575" t="s">
        <v>16</v>
      </c>
      <c r="B22575" t="s">
        <v>3221</v>
      </c>
      <c r="C22575">
        <v>17740</v>
      </c>
      <c r="D22575" t="s">
        <v>263</v>
      </c>
      <c r="E22575" t="s">
        <v>264</v>
      </c>
      <c r="F22575">
        <v>8.1</v>
      </c>
      <c r="G22575">
        <v>231204</v>
      </c>
      <c r="H22575">
        <v>4362</v>
      </c>
      <c r="I22575" t="s">
        <v>79</v>
      </c>
      <c r="J22575">
        <v>10.050000000000001</v>
      </c>
      <c r="K22575">
        <v>1.95</v>
      </c>
      <c r="L22575">
        <v>11301</v>
      </c>
      <c r="M22575" t="s">
        <v>29</v>
      </c>
      <c r="N22575" t="str">
        <f t="shared" si="435"/>
        <v xml:space="preserve">12349023353 </v>
      </c>
      <c r="O22575">
        <v>231222</v>
      </c>
    </row>
    <row r="22576" spans="1:15" x14ac:dyDescent="0.25">
      <c r="A22576" t="s">
        <v>16</v>
      </c>
      <c r="B22576" t="s">
        <v>3221</v>
      </c>
      <c r="C22576">
        <v>17740</v>
      </c>
      <c r="D22576" t="s">
        <v>263</v>
      </c>
      <c r="E22576" t="s">
        <v>264</v>
      </c>
      <c r="F22576">
        <v>0.8</v>
      </c>
      <c r="G22576">
        <v>231204</v>
      </c>
      <c r="H22576">
        <v>4362</v>
      </c>
      <c r="I22576" t="s">
        <v>79</v>
      </c>
      <c r="J22576">
        <v>0.99</v>
      </c>
      <c r="K22576">
        <v>0.19</v>
      </c>
      <c r="L22576">
        <v>11401</v>
      </c>
      <c r="M22576" t="s">
        <v>84</v>
      </c>
      <c r="N22576" t="str">
        <f t="shared" si="435"/>
        <v xml:space="preserve">12349023353 </v>
      </c>
      <c r="O22576">
        <v>231222</v>
      </c>
    </row>
    <row r="22577" spans="1:15" x14ac:dyDescent="0.25">
      <c r="A22577" t="s">
        <v>16</v>
      </c>
      <c r="B22577" t="s">
        <v>3221</v>
      </c>
      <c r="C22577">
        <v>17740</v>
      </c>
      <c r="D22577" t="s">
        <v>263</v>
      </c>
      <c r="E22577" t="s">
        <v>264</v>
      </c>
      <c r="F22577">
        <v>2.5499999999999998</v>
      </c>
      <c r="G22577">
        <v>231204</v>
      </c>
      <c r="H22577">
        <v>4362</v>
      </c>
      <c r="I22577" t="s">
        <v>79</v>
      </c>
      <c r="J22577">
        <v>3.16</v>
      </c>
      <c r="K22577">
        <v>0.61</v>
      </c>
      <c r="L22577">
        <v>11401</v>
      </c>
      <c r="M22577" t="s">
        <v>84</v>
      </c>
      <c r="N22577" t="str">
        <f t="shared" si="435"/>
        <v xml:space="preserve">12349023353 </v>
      </c>
      <c r="O22577">
        <v>231222</v>
      </c>
    </row>
    <row r="22578" spans="1:15" x14ac:dyDescent="0.25">
      <c r="A22578" t="s">
        <v>16</v>
      </c>
      <c r="B22578" t="s">
        <v>3221</v>
      </c>
      <c r="C22578">
        <v>17740</v>
      </c>
      <c r="D22578" t="s">
        <v>263</v>
      </c>
      <c r="E22578" t="s">
        <v>264</v>
      </c>
      <c r="F22578">
        <v>3.77</v>
      </c>
      <c r="G22578">
        <v>231204</v>
      </c>
      <c r="H22578">
        <v>4362</v>
      </c>
      <c r="I22578" t="s">
        <v>79</v>
      </c>
      <c r="J22578">
        <v>3.77</v>
      </c>
      <c r="K22578">
        <v>0</v>
      </c>
      <c r="L22578">
        <v>11401</v>
      </c>
      <c r="M22578" t="s">
        <v>84</v>
      </c>
      <c r="N22578" t="str">
        <f t="shared" si="435"/>
        <v xml:space="preserve">12349023353 </v>
      </c>
      <c r="O22578">
        <v>231222</v>
      </c>
    </row>
    <row r="22579" spans="1:15" x14ac:dyDescent="0.25">
      <c r="A22579" t="s">
        <v>16</v>
      </c>
      <c r="B22579" t="s">
        <v>3221</v>
      </c>
      <c r="C22579">
        <v>17740</v>
      </c>
      <c r="D22579" t="s">
        <v>263</v>
      </c>
      <c r="E22579" t="s">
        <v>264</v>
      </c>
      <c r="F22579">
        <v>5.45</v>
      </c>
      <c r="G22579">
        <v>231204</v>
      </c>
      <c r="H22579">
        <v>4362</v>
      </c>
      <c r="I22579" t="s">
        <v>79</v>
      </c>
      <c r="J22579">
        <v>6.76</v>
      </c>
      <c r="K22579">
        <v>1.31</v>
      </c>
      <c r="L22579">
        <v>11401</v>
      </c>
      <c r="M22579" t="s">
        <v>84</v>
      </c>
      <c r="N22579" t="str">
        <f t="shared" si="435"/>
        <v xml:space="preserve">12349023353 </v>
      </c>
      <c r="O22579">
        <v>231222</v>
      </c>
    </row>
    <row r="22580" spans="1:15" x14ac:dyDescent="0.25">
      <c r="A22580" t="s">
        <v>16</v>
      </c>
      <c r="B22580" t="s">
        <v>3221</v>
      </c>
      <c r="C22580">
        <v>17740</v>
      </c>
      <c r="D22580" t="s">
        <v>263</v>
      </c>
      <c r="E22580" t="s">
        <v>264</v>
      </c>
      <c r="F22580">
        <v>2.5499999999999998</v>
      </c>
      <c r="G22580">
        <v>231204</v>
      </c>
      <c r="H22580">
        <v>4362</v>
      </c>
      <c r="I22580" t="s">
        <v>79</v>
      </c>
      <c r="J22580">
        <v>3.16</v>
      </c>
      <c r="K22580">
        <v>0.61</v>
      </c>
      <c r="L22580">
        <v>11501</v>
      </c>
      <c r="M22580" t="s">
        <v>339</v>
      </c>
      <c r="N22580" t="str">
        <f t="shared" si="435"/>
        <v xml:space="preserve">12349023353 </v>
      </c>
      <c r="O22580">
        <v>231222</v>
      </c>
    </row>
    <row r="22581" spans="1:15" x14ac:dyDescent="0.25">
      <c r="A22581" t="s">
        <v>16</v>
      </c>
      <c r="B22581" t="s">
        <v>3221</v>
      </c>
      <c r="C22581">
        <v>17740</v>
      </c>
      <c r="D22581" t="s">
        <v>263</v>
      </c>
      <c r="E22581" t="s">
        <v>264</v>
      </c>
      <c r="F22581">
        <v>3.35</v>
      </c>
      <c r="G22581">
        <v>231204</v>
      </c>
      <c r="H22581">
        <v>4362</v>
      </c>
      <c r="I22581" t="s">
        <v>79</v>
      </c>
      <c r="J22581">
        <v>3.35</v>
      </c>
      <c r="K22581">
        <v>0</v>
      </c>
      <c r="L22581">
        <v>11501</v>
      </c>
      <c r="M22581" t="s">
        <v>339</v>
      </c>
      <c r="N22581" t="str">
        <f t="shared" si="435"/>
        <v xml:space="preserve">12349023353 </v>
      </c>
      <c r="O22581">
        <v>231222</v>
      </c>
    </row>
    <row r="22582" spans="1:15" x14ac:dyDescent="0.25">
      <c r="A22582" t="s">
        <v>16</v>
      </c>
      <c r="B22582" t="s">
        <v>3221</v>
      </c>
      <c r="C22582">
        <v>17740</v>
      </c>
      <c r="D22582" t="s">
        <v>263</v>
      </c>
      <c r="E22582" t="s">
        <v>264</v>
      </c>
      <c r="F22582">
        <v>1.67</v>
      </c>
      <c r="G22582">
        <v>231204</v>
      </c>
      <c r="H22582">
        <v>4362</v>
      </c>
      <c r="I22582" t="s">
        <v>79</v>
      </c>
      <c r="J22582">
        <v>1.67</v>
      </c>
      <c r="K22582">
        <v>0</v>
      </c>
      <c r="L22582">
        <v>17807</v>
      </c>
      <c r="M22582" t="s">
        <v>318</v>
      </c>
      <c r="N22582" t="str">
        <f t="shared" si="435"/>
        <v xml:space="preserve">12349023353 </v>
      </c>
      <c r="O22582">
        <v>231222</v>
      </c>
    </row>
    <row r="22583" spans="1:15" x14ac:dyDescent="0.25">
      <c r="A22583" t="s">
        <v>16</v>
      </c>
      <c r="B22583" t="s">
        <v>3221</v>
      </c>
      <c r="C22583">
        <v>17740</v>
      </c>
      <c r="D22583" t="s">
        <v>263</v>
      </c>
      <c r="E22583" t="s">
        <v>264</v>
      </c>
      <c r="F22583">
        <v>4.76</v>
      </c>
      <c r="G22583">
        <v>231204</v>
      </c>
      <c r="H22583">
        <v>4362</v>
      </c>
      <c r="I22583" t="s">
        <v>79</v>
      </c>
      <c r="J22583">
        <v>4.76</v>
      </c>
      <c r="K22583">
        <v>0</v>
      </c>
      <c r="L22583">
        <v>18972</v>
      </c>
      <c r="M22583" t="s">
        <v>163</v>
      </c>
      <c r="N22583" t="str">
        <f t="shared" si="435"/>
        <v xml:space="preserve">12349023353 </v>
      </c>
      <c r="O22583">
        <v>231222</v>
      </c>
    </row>
    <row r="22584" spans="1:15" x14ac:dyDescent="0.25">
      <c r="A22584" t="s">
        <v>16</v>
      </c>
      <c r="B22584" t="s">
        <v>3221</v>
      </c>
      <c r="C22584">
        <v>17740</v>
      </c>
      <c r="D22584" t="s">
        <v>263</v>
      </c>
      <c r="E22584" t="s">
        <v>264</v>
      </c>
      <c r="F22584">
        <v>5.0999999999999996</v>
      </c>
      <c r="G22584">
        <v>231204</v>
      </c>
      <c r="H22584">
        <v>4362</v>
      </c>
      <c r="I22584" t="s">
        <v>79</v>
      </c>
      <c r="J22584">
        <v>6.32</v>
      </c>
      <c r="K22584">
        <v>1.22</v>
      </c>
      <c r="L22584">
        <v>18972</v>
      </c>
      <c r="M22584" t="s">
        <v>163</v>
      </c>
      <c r="N22584" t="str">
        <f t="shared" si="435"/>
        <v xml:space="preserve">12349023353 </v>
      </c>
      <c r="O22584">
        <v>231222</v>
      </c>
    </row>
    <row r="22585" spans="1:15" x14ac:dyDescent="0.25">
      <c r="A22585" t="s">
        <v>16</v>
      </c>
      <c r="B22585" t="s">
        <v>3221</v>
      </c>
      <c r="C22585">
        <v>18352</v>
      </c>
      <c r="D22585" t="s">
        <v>263</v>
      </c>
      <c r="E22585" t="s">
        <v>264</v>
      </c>
      <c r="F22585">
        <v>137.65</v>
      </c>
      <c r="G22585">
        <v>231215</v>
      </c>
      <c r="H22585">
        <v>4362</v>
      </c>
      <c r="I22585" t="s">
        <v>79</v>
      </c>
      <c r="J22585">
        <v>170.69</v>
      </c>
      <c r="K22585">
        <v>33.04</v>
      </c>
      <c r="L22585">
        <v>11801</v>
      </c>
      <c r="M22585" t="s">
        <v>92</v>
      </c>
      <c r="N22585" t="str">
        <f>"104762928   "</f>
        <v xml:space="preserve">104762928   </v>
      </c>
      <c r="O22585">
        <v>240103</v>
      </c>
    </row>
    <row r="22586" spans="1:15" x14ac:dyDescent="0.25">
      <c r="A22586" t="s">
        <v>16</v>
      </c>
      <c r="B22586" t="s">
        <v>3221</v>
      </c>
      <c r="C22586">
        <v>18773</v>
      </c>
      <c r="D22586" t="s">
        <v>263</v>
      </c>
      <c r="E22586" t="s">
        <v>264</v>
      </c>
      <c r="F22586">
        <v>2.7</v>
      </c>
      <c r="G22586">
        <v>240104</v>
      </c>
      <c r="H22586">
        <v>4362</v>
      </c>
      <c r="I22586" t="s">
        <v>79</v>
      </c>
      <c r="J22586">
        <v>3.35</v>
      </c>
      <c r="K22586">
        <v>0.65</v>
      </c>
      <c r="L22586">
        <v>13401</v>
      </c>
      <c r="M22586" t="s">
        <v>80</v>
      </c>
      <c r="N22586" t="str">
        <f>"12401023253 "</f>
        <v xml:space="preserve">12401023253 </v>
      </c>
      <c r="O22586">
        <v>240105</v>
      </c>
    </row>
    <row r="22587" spans="1:15" x14ac:dyDescent="0.25">
      <c r="A22587" t="s">
        <v>16</v>
      </c>
      <c r="B22587" t="s">
        <v>3221</v>
      </c>
      <c r="C22587">
        <v>18774</v>
      </c>
      <c r="D22587" t="s">
        <v>263</v>
      </c>
      <c r="E22587" t="s">
        <v>264</v>
      </c>
      <c r="F22587">
        <v>2.1</v>
      </c>
      <c r="G22587">
        <v>240104</v>
      </c>
      <c r="H22587">
        <v>4362</v>
      </c>
      <c r="I22587" t="s">
        <v>79</v>
      </c>
      <c r="J22587">
        <v>2.61</v>
      </c>
      <c r="K22587">
        <v>0.51</v>
      </c>
      <c r="L22587">
        <v>41126</v>
      </c>
      <c r="M22587" t="s">
        <v>761</v>
      </c>
      <c r="N22587" t="str">
        <f t="shared" ref="N22587:N22592" si="436">"12401023233 "</f>
        <v xml:space="preserve">12401023233 </v>
      </c>
      <c r="O22587">
        <v>240105</v>
      </c>
    </row>
    <row r="22588" spans="1:15" x14ac:dyDescent="0.25">
      <c r="A22588" t="s">
        <v>16</v>
      </c>
      <c r="B22588" t="s">
        <v>3221</v>
      </c>
      <c r="C22588">
        <v>18774</v>
      </c>
      <c r="D22588" t="s">
        <v>263</v>
      </c>
      <c r="E22588" t="s">
        <v>264</v>
      </c>
      <c r="F22588">
        <v>1.62</v>
      </c>
      <c r="G22588">
        <v>240104</v>
      </c>
      <c r="H22588">
        <v>4362</v>
      </c>
      <c r="I22588" t="s">
        <v>79</v>
      </c>
      <c r="J22588">
        <v>2.0099999999999998</v>
      </c>
      <c r="K22588">
        <v>0.39</v>
      </c>
      <c r="L22588">
        <v>43222</v>
      </c>
      <c r="M22588" t="s">
        <v>507</v>
      </c>
      <c r="N22588" t="str">
        <f t="shared" si="436"/>
        <v xml:space="preserve">12401023233 </v>
      </c>
      <c r="O22588">
        <v>240105</v>
      </c>
    </row>
    <row r="22589" spans="1:15" x14ac:dyDescent="0.25">
      <c r="A22589" t="s">
        <v>16</v>
      </c>
      <c r="B22589" t="s">
        <v>3221</v>
      </c>
      <c r="C22589">
        <v>18774</v>
      </c>
      <c r="D22589" t="s">
        <v>263</v>
      </c>
      <c r="E22589" t="s">
        <v>264</v>
      </c>
      <c r="F22589">
        <v>1.94</v>
      </c>
      <c r="G22589">
        <v>240104</v>
      </c>
      <c r="H22589">
        <v>4362</v>
      </c>
      <c r="I22589" t="s">
        <v>79</v>
      </c>
      <c r="J22589">
        <v>2.41</v>
      </c>
      <c r="K22589">
        <v>0.47</v>
      </c>
      <c r="L22589">
        <v>44222</v>
      </c>
      <c r="M22589" t="s">
        <v>232</v>
      </c>
      <c r="N22589" t="str">
        <f t="shared" si="436"/>
        <v xml:space="preserve">12401023233 </v>
      </c>
      <c r="O22589">
        <v>240105</v>
      </c>
    </row>
    <row r="22590" spans="1:15" x14ac:dyDescent="0.25">
      <c r="A22590" t="s">
        <v>16</v>
      </c>
      <c r="B22590" t="s">
        <v>3221</v>
      </c>
      <c r="C22590">
        <v>18774</v>
      </c>
      <c r="D22590" t="s">
        <v>263</v>
      </c>
      <c r="E22590" t="s">
        <v>264</v>
      </c>
      <c r="F22590">
        <v>2.1</v>
      </c>
      <c r="G22590">
        <v>240104</v>
      </c>
      <c r="H22590">
        <v>4362</v>
      </c>
      <c r="I22590" t="s">
        <v>79</v>
      </c>
      <c r="J22590">
        <v>2.61</v>
      </c>
      <c r="K22590">
        <v>0.51</v>
      </c>
      <c r="L22590">
        <v>44424</v>
      </c>
      <c r="M22590" t="s">
        <v>776</v>
      </c>
      <c r="N22590" t="str">
        <f t="shared" si="436"/>
        <v xml:space="preserve">12401023233 </v>
      </c>
      <c r="O22590">
        <v>240105</v>
      </c>
    </row>
    <row r="22591" spans="1:15" x14ac:dyDescent="0.25">
      <c r="A22591" t="s">
        <v>16</v>
      </c>
      <c r="B22591" t="s">
        <v>3221</v>
      </c>
      <c r="C22591">
        <v>18774</v>
      </c>
      <c r="D22591" t="s">
        <v>263</v>
      </c>
      <c r="E22591" t="s">
        <v>264</v>
      </c>
      <c r="F22591">
        <v>1.1399999999999999</v>
      </c>
      <c r="G22591">
        <v>240104</v>
      </c>
      <c r="H22591">
        <v>4362</v>
      </c>
      <c r="I22591" t="s">
        <v>79</v>
      </c>
      <c r="J22591">
        <v>1.41</v>
      </c>
      <c r="K22591">
        <v>0.27</v>
      </c>
      <c r="L22591">
        <v>46222</v>
      </c>
      <c r="M22591" t="s">
        <v>293</v>
      </c>
      <c r="N22591" t="str">
        <f t="shared" si="436"/>
        <v xml:space="preserve">12401023233 </v>
      </c>
      <c r="O22591">
        <v>240105</v>
      </c>
    </row>
    <row r="22592" spans="1:15" x14ac:dyDescent="0.25">
      <c r="A22592" t="s">
        <v>16</v>
      </c>
      <c r="B22592" t="s">
        <v>3221</v>
      </c>
      <c r="C22592">
        <v>18774</v>
      </c>
      <c r="D22592" t="s">
        <v>263</v>
      </c>
      <c r="E22592" t="s">
        <v>264</v>
      </c>
      <c r="F22592">
        <v>7.29</v>
      </c>
      <c r="G22592">
        <v>240104</v>
      </c>
      <c r="H22592">
        <v>4362</v>
      </c>
      <c r="I22592" t="s">
        <v>79</v>
      </c>
      <c r="J22592">
        <v>9.0399999999999991</v>
      </c>
      <c r="K22592">
        <v>1.75</v>
      </c>
      <c r="L22592">
        <v>46559</v>
      </c>
      <c r="M22592" t="s">
        <v>1104</v>
      </c>
      <c r="N22592" t="str">
        <f t="shared" si="436"/>
        <v xml:space="preserve">12401023233 </v>
      </c>
      <c r="O22592">
        <v>240105</v>
      </c>
    </row>
    <row r="22593" spans="1:15" x14ac:dyDescent="0.25">
      <c r="A22593" t="s">
        <v>16</v>
      </c>
      <c r="B22593" t="s">
        <v>3221</v>
      </c>
      <c r="C22593">
        <v>18775</v>
      </c>
      <c r="D22593" t="s">
        <v>263</v>
      </c>
      <c r="E22593" t="s">
        <v>264</v>
      </c>
      <c r="F22593">
        <v>11.06</v>
      </c>
      <c r="G22593">
        <v>240104</v>
      </c>
      <c r="H22593">
        <v>4362</v>
      </c>
      <c r="I22593" t="s">
        <v>79</v>
      </c>
      <c r="J22593">
        <v>13.71</v>
      </c>
      <c r="K22593">
        <v>2.65</v>
      </c>
      <c r="L22593">
        <v>17913</v>
      </c>
      <c r="M22593" t="s">
        <v>431</v>
      </c>
      <c r="N22593" t="str">
        <f>"12401023234 "</f>
        <v xml:space="preserve">12401023234 </v>
      </c>
      <c r="O22593">
        <v>240105</v>
      </c>
    </row>
    <row r="22594" spans="1:15" x14ac:dyDescent="0.25">
      <c r="A22594" t="s">
        <v>16</v>
      </c>
      <c r="B22594" t="s">
        <v>3221</v>
      </c>
      <c r="C22594">
        <v>18775</v>
      </c>
      <c r="D22594" t="s">
        <v>263</v>
      </c>
      <c r="E22594" t="s">
        <v>264</v>
      </c>
      <c r="F22594">
        <v>21.6</v>
      </c>
      <c r="G22594">
        <v>240104</v>
      </c>
      <c r="H22594">
        <v>4362</v>
      </c>
      <c r="I22594" t="s">
        <v>79</v>
      </c>
      <c r="J22594">
        <v>26.78</v>
      </c>
      <c r="K22594">
        <v>5.18</v>
      </c>
      <c r="L22594">
        <v>17951</v>
      </c>
      <c r="M22594" t="s">
        <v>87</v>
      </c>
      <c r="N22594" t="str">
        <f>"12401023234 "</f>
        <v xml:space="preserve">12401023234 </v>
      </c>
      <c r="O22594">
        <v>240105</v>
      </c>
    </row>
    <row r="22595" spans="1:15" x14ac:dyDescent="0.25">
      <c r="A22595" t="s">
        <v>16</v>
      </c>
      <c r="B22595" t="s">
        <v>3221</v>
      </c>
      <c r="C22595">
        <v>18775</v>
      </c>
      <c r="D22595" t="s">
        <v>263</v>
      </c>
      <c r="E22595" t="s">
        <v>264</v>
      </c>
      <c r="F22595">
        <v>11.25</v>
      </c>
      <c r="G22595">
        <v>240104</v>
      </c>
      <c r="H22595">
        <v>4362</v>
      </c>
      <c r="I22595" t="s">
        <v>79</v>
      </c>
      <c r="J22595">
        <v>13.95</v>
      </c>
      <c r="K22595">
        <v>2.7</v>
      </c>
      <c r="L22595">
        <v>17971</v>
      </c>
      <c r="M22595" t="s">
        <v>138</v>
      </c>
      <c r="N22595" t="str">
        <f>"12401023234 "</f>
        <v xml:space="preserve">12401023234 </v>
      </c>
      <c r="O22595">
        <v>240105</v>
      </c>
    </row>
    <row r="22596" spans="1:15" x14ac:dyDescent="0.25">
      <c r="A22596" t="s">
        <v>16</v>
      </c>
      <c r="B22596" t="s">
        <v>3221</v>
      </c>
      <c r="C22596">
        <v>18775</v>
      </c>
      <c r="D22596" t="s">
        <v>263</v>
      </c>
      <c r="E22596" t="s">
        <v>264</v>
      </c>
      <c r="F22596">
        <v>5.25</v>
      </c>
      <c r="G22596">
        <v>240104</v>
      </c>
      <c r="H22596">
        <v>4362</v>
      </c>
      <c r="I22596" t="s">
        <v>79</v>
      </c>
      <c r="J22596">
        <v>6.51</v>
      </c>
      <c r="K22596">
        <v>1.26</v>
      </c>
      <c r="L22596">
        <v>17974</v>
      </c>
      <c r="M22596" t="s">
        <v>460</v>
      </c>
      <c r="N22596" t="str">
        <f>"12401023234 "</f>
        <v xml:space="preserve">12401023234 </v>
      </c>
      <c r="O22596">
        <v>240105</v>
      </c>
    </row>
    <row r="22597" spans="1:15" x14ac:dyDescent="0.25">
      <c r="A22597" t="s">
        <v>16</v>
      </c>
      <c r="B22597" t="s">
        <v>3221</v>
      </c>
      <c r="C22597">
        <v>18775</v>
      </c>
      <c r="D22597" t="s">
        <v>263</v>
      </c>
      <c r="E22597" t="s">
        <v>264</v>
      </c>
      <c r="F22597">
        <v>12.06</v>
      </c>
      <c r="G22597">
        <v>240104</v>
      </c>
      <c r="H22597">
        <v>4362</v>
      </c>
      <c r="I22597" t="s">
        <v>79</v>
      </c>
      <c r="J22597">
        <v>14.96</v>
      </c>
      <c r="K22597">
        <v>2.9</v>
      </c>
      <c r="L22597">
        <v>17975</v>
      </c>
      <c r="M22597" t="s">
        <v>798</v>
      </c>
      <c r="N22597" t="str">
        <f>"12401023234 "</f>
        <v xml:space="preserve">12401023234 </v>
      </c>
      <c r="O22597">
        <v>240105</v>
      </c>
    </row>
    <row r="22598" spans="1:15" x14ac:dyDescent="0.25">
      <c r="A22598" t="s">
        <v>16</v>
      </c>
      <c r="B22598" t="s">
        <v>3221</v>
      </c>
      <c r="C22598">
        <v>18776</v>
      </c>
      <c r="D22598" t="s">
        <v>263</v>
      </c>
      <c r="E22598" t="s">
        <v>264</v>
      </c>
      <c r="F22598">
        <v>5.59</v>
      </c>
      <c r="G22598">
        <v>240104</v>
      </c>
      <c r="H22598">
        <v>4362</v>
      </c>
      <c r="I22598" t="s">
        <v>79</v>
      </c>
      <c r="J22598">
        <v>6.93</v>
      </c>
      <c r="K22598">
        <v>1.34</v>
      </c>
      <c r="L22598">
        <v>46554</v>
      </c>
      <c r="M22598" t="s">
        <v>117</v>
      </c>
      <c r="N22598" t="str">
        <f>"12401023225 "</f>
        <v xml:space="preserve">12401023225 </v>
      </c>
      <c r="O22598">
        <v>240105</v>
      </c>
    </row>
    <row r="22599" spans="1:15" x14ac:dyDescent="0.25">
      <c r="A22599" t="s">
        <v>16</v>
      </c>
      <c r="B22599" t="s">
        <v>3221</v>
      </c>
      <c r="C22599">
        <v>18776</v>
      </c>
      <c r="D22599" t="s">
        <v>263</v>
      </c>
      <c r="E22599" t="s">
        <v>264</v>
      </c>
      <c r="F22599">
        <v>35.46</v>
      </c>
      <c r="G22599">
        <v>240104</v>
      </c>
      <c r="H22599">
        <v>4362</v>
      </c>
      <c r="I22599" t="s">
        <v>79</v>
      </c>
      <c r="J22599">
        <v>43.97</v>
      </c>
      <c r="K22599">
        <v>8.51</v>
      </c>
      <c r="L22599">
        <v>46554</v>
      </c>
      <c r="M22599" t="s">
        <v>117</v>
      </c>
      <c r="N22599" t="str">
        <f>"12401023225 "</f>
        <v xml:space="preserve">12401023225 </v>
      </c>
      <c r="O22599">
        <v>240105</v>
      </c>
    </row>
    <row r="22600" spans="1:15" x14ac:dyDescent="0.25">
      <c r="A22600" t="s">
        <v>16</v>
      </c>
      <c r="B22600" t="s">
        <v>3221</v>
      </c>
      <c r="C22600">
        <v>18777</v>
      </c>
      <c r="D22600" t="s">
        <v>263</v>
      </c>
      <c r="E22600" t="s">
        <v>264</v>
      </c>
      <c r="F22600">
        <v>34.270000000000003</v>
      </c>
      <c r="G22600">
        <v>240104</v>
      </c>
      <c r="H22600">
        <v>4362</v>
      </c>
      <c r="I22600" t="s">
        <v>79</v>
      </c>
      <c r="J22600">
        <v>42.49</v>
      </c>
      <c r="K22600">
        <v>8.2200000000000006</v>
      </c>
      <c r="L22600">
        <v>11101</v>
      </c>
      <c r="M22600" t="s">
        <v>110</v>
      </c>
      <c r="N22600" t="str">
        <f>"12401023245 "</f>
        <v xml:space="preserve">12401023245 </v>
      </c>
      <c r="O22600">
        <v>240105</v>
      </c>
    </row>
    <row r="22601" spans="1:15" x14ac:dyDescent="0.25">
      <c r="A22601" t="s">
        <v>16</v>
      </c>
      <c r="B22601" t="s">
        <v>3221</v>
      </c>
      <c r="C22601">
        <v>18777</v>
      </c>
      <c r="D22601" t="s">
        <v>263</v>
      </c>
      <c r="E22601" t="s">
        <v>264</v>
      </c>
      <c r="F22601">
        <v>3.57</v>
      </c>
      <c r="G22601">
        <v>240104</v>
      </c>
      <c r="H22601">
        <v>4362</v>
      </c>
      <c r="I22601" t="s">
        <v>79</v>
      </c>
      <c r="J22601">
        <v>4.43</v>
      </c>
      <c r="K22601">
        <v>0.86</v>
      </c>
      <c r="L22601">
        <v>11201</v>
      </c>
      <c r="M22601" t="s">
        <v>305</v>
      </c>
      <c r="N22601" t="str">
        <f>"12401023245 "</f>
        <v xml:space="preserve">12401023245 </v>
      </c>
      <c r="O22601">
        <v>240105</v>
      </c>
    </row>
    <row r="22602" spans="1:15" x14ac:dyDescent="0.25">
      <c r="A22602" t="s">
        <v>16</v>
      </c>
      <c r="B22602" t="s">
        <v>3221</v>
      </c>
      <c r="C22602">
        <v>18778</v>
      </c>
      <c r="D22602" t="s">
        <v>263</v>
      </c>
      <c r="E22602" t="s">
        <v>264</v>
      </c>
      <c r="F22602">
        <v>2.5499999999999998</v>
      </c>
      <c r="G22602">
        <v>240104</v>
      </c>
      <c r="H22602">
        <v>4362</v>
      </c>
      <c r="I22602" t="s">
        <v>79</v>
      </c>
      <c r="J22602">
        <v>3.16</v>
      </c>
      <c r="K22602">
        <v>0.61</v>
      </c>
      <c r="L22602">
        <v>13801</v>
      </c>
      <c r="M22602" t="s">
        <v>162</v>
      </c>
      <c r="N22602" t="str">
        <f>"12401023243 "</f>
        <v xml:space="preserve">12401023243 </v>
      </c>
      <c r="O22602">
        <v>240105</v>
      </c>
    </row>
    <row r="22603" spans="1:15" x14ac:dyDescent="0.25">
      <c r="A22603" t="s">
        <v>16</v>
      </c>
      <c r="B22603" t="s">
        <v>3221</v>
      </c>
      <c r="C22603">
        <v>18779</v>
      </c>
      <c r="D22603" t="s">
        <v>263</v>
      </c>
      <c r="E22603" t="s">
        <v>264</v>
      </c>
      <c r="F22603">
        <v>9.98</v>
      </c>
      <c r="G22603">
        <v>240104</v>
      </c>
      <c r="H22603">
        <v>4362</v>
      </c>
      <c r="I22603" t="s">
        <v>79</v>
      </c>
      <c r="J22603">
        <v>12.38</v>
      </c>
      <c r="K22603">
        <v>2.4</v>
      </c>
      <c r="L22603">
        <v>49112</v>
      </c>
      <c r="M22603" t="s">
        <v>233</v>
      </c>
      <c r="N22603" t="str">
        <f>"12401023230 "</f>
        <v xml:space="preserve">12401023230 </v>
      </c>
      <c r="O22603">
        <v>240105</v>
      </c>
    </row>
    <row r="22604" spans="1:15" x14ac:dyDescent="0.25">
      <c r="A22604" t="s">
        <v>16</v>
      </c>
      <c r="B22604" t="s">
        <v>3221</v>
      </c>
      <c r="C22604">
        <v>18780</v>
      </c>
      <c r="D22604" t="s">
        <v>263</v>
      </c>
      <c r="E22604" t="s">
        <v>264</v>
      </c>
      <c r="F22604">
        <v>33.770000000000003</v>
      </c>
      <c r="G22604">
        <v>240104</v>
      </c>
      <c r="H22604">
        <v>4362</v>
      </c>
      <c r="I22604" t="s">
        <v>79</v>
      </c>
      <c r="J22604">
        <v>41.88</v>
      </c>
      <c r="K22604">
        <v>8.11</v>
      </c>
      <c r="L22604">
        <v>41126</v>
      </c>
      <c r="M22604" t="s">
        <v>761</v>
      </c>
      <c r="N22604" t="str">
        <f>"12401023222 "</f>
        <v xml:space="preserve">12401023222 </v>
      </c>
      <c r="O22604">
        <v>240105</v>
      </c>
    </row>
    <row r="22605" spans="1:15" x14ac:dyDescent="0.25">
      <c r="A22605" t="s">
        <v>16</v>
      </c>
      <c r="B22605" t="s">
        <v>3221</v>
      </c>
      <c r="C22605">
        <v>18780</v>
      </c>
      <c r="D22605" t="s">
        <v>263</v>
      </c>
      <c r="E22605" t="s">
        <v>264</v>
      </c>
      <c r="F22605">
        <v>10.050000000000001</v>
      </c>
      <c r="G22605">
        <v>240104</v>
      </c>
      <c r="H22605">
        <v>4362</v>
      </c>
      <c r="I22605" t="s">
        <v>79</v>
      </c>
      <c r="J22605">
        <v>12.46</v>
      </c>
      <c r="K22605">
        <v>2.41</v>
      </c>
      <c r="L22605">
        <v>46222</v>
      </c>
      <c r="M22605" t="s">
        <v>293</v>
      </c>
      <c r="N22605" t="str">
        <f>"12401023222 "</f>
        <v xml:space="preserve">12401023222 </v>
      </c>
      <c r="O22605">
        <v>240105</v>
      </c>
    </row>
    <row r="22606" spans="1:15" x14ac:dyDescent="0.25">
      <c r="A22606" t="s">
        <v>16</v>
      </c>
      <c r="B22606" t="s">
        <v>3221</v>
      </c>
      <c r="C22606">
        <v>18781</v>
      </c>
      <c r="D22606" t="s">
        <v>263</v>
      </c>
      <c r="E22606" t="s">
        <v>264</v>
      </c>
      <c r="F22606">
        <v>23.55</v>
      </c>
      <c r="G22606">
        <v>240104</v>
      </c>
      <c r="H22606">
        <v>4362</v>
      </c>
      <c r="I22606" t="s">
        <v>79</v>
      </c>
      <c r="J22606">
        <v>29.2</v>
      </c>
      <c r="K22606">
        <v>5.65</v>
      </c>
      <c r="L22606">
        <v>16121</v>
      </c>
      <c r="M22606" t="s">
        <v>21</v>
      </c>
      <c r="N22606" t="str">
        <f t="shared" ref="N22606:N22614" si="437">"12401023238 "</f>
        <v xml:space="preserve">12401023238 </v>
      </c>
      <c r="O22606">
        <v>240105</v>
      </c>
    </row>
    <row r="22607" spans="1:15" x14ac:dyDescent="0.25">
      <c r="A22607" t="s">
        <v>16</v>
      </c>
      <c r="B22607" t="s">
        <v>3221</v>
      </c>
      <c r="C22607">
        <v>18781</v>
      </c>
      <c r="D22607" t="s">
        <v>263</v>
      </c>
      <c r="E22607" t="s">
        <v>264</v>
      </c>
      <c r="F22607">
        <v>5.4</v>
      </c>
      <c r="G22607">
        <v>240104</v>
      </c>
      <c r="H22607">
        <v>4362</v>
      </c>
      <c r="I22607" t="s">
        <v>79</v>
      </c>
      <c r="J22607">
        <v>6.69</v>
      </c>
      <c r="K22607">
        <v>1.29</v>
      </c>
      <c r="L22607">
        <v>16322</v>
      </c>
      <c r="M22607" t="s">
        <v>22</v>
      </c>
      <c r="N22607" t="str">
        <f t="shared" si="437"/>
        <v xml:space="preserve">12401023238 </v>
      </c>
      <c r="O22607">
        <v>240105</v>
      </c>
    </row>
    <row r="22608" spans="1:15" x14ac:dyDescent="0.25">
      <c r="A22608" t="s">
        <v>16</v>
      </c>
      <c r="B22608" t="s">
        <v>3221</v>
      </c>
      <c r="C22608">
        <v>18781</v>
      </c>
      <c r="D22608" t="s">
        <v>263</v>
      </c>
      <c r="E22608" t="s">
        <v>264</v>
      </c>
      <c r="F22608">
        <v>2.7</v>
      </c>
      <c r="G22608">
        <v>240104</v>
      </c>
      <c r="H22608">
        <v>4362</v>
      </c>
      <c r="I22608" t="s">
        <v>79</v>
      </c>
      <c r="J22608">
        <v>3.35</v>
      </c>
      <c r="K22608">
        <v>0.65</v>
      </c>
      <c r="L22608">
        <v>16820</v>
      </c>
      <c r="M22608" t="s">
        <v>23</v>
      </c>
      <c r="N22608" t="str">
        <f t="shared" si="437"/>
        <v xml:space="preserve">12401023238 </v>
      </c>
      <c r="O22608">
        <v>240105</v>
      </c>
    </row>
    <row r="22609" spans="1:15" x14ac:dyDescent="0.25">
      <c r="A22609" t="s">
        <v>16</v>
      </c>
      <c r="B22609" t="s">
        <v>3221</v>
      </c>
      <c r="C22609">
        <v>18781</v>
      </c>
      <c r="D22609" t="s">
        <v>263</v>
      </c>
      <c r="E22609" t="s">
        <v>264</v>
      </c>
      <c r="F22609">
        <v>7.42</v>
      </c>
      <c r="G22609">
        <v>240104</v>
      </c>
      <c r="H22609">
        <v>4362</v>
      </c>
      <c r="I22609" t="s">
        <v>79</v>
      </c>
      <c r="J22609">
        <v>9.1999999999999993</v>
      </c>
      <c r="K22609">
        <v>1.78</v>
      </c>
      <c r="L22609">
        <v>16820</v>
      </c>
      <c r="M22609" t="s">
        <v>23</v>
      </c>
      <c r="N22609" t="str">
        <f t="shared" si="437"/>
        <v xml:space="preserve">12401023238 </v>
      </c>
      <c r="O22609">
        <v>240105</v>
      </c>
    </row>
    <row r="22610" spans="1:15" x14ac:dyDescent="0.25">
      <c r="A22610" t="s">
        <v>16</v>
      </c>
      <c r="B22610" t="s">
        <v>3221</v>
      </c>
      <c r="C22610">
        <v>18781</v>
      </c>
      <c r="D22610" t="s">
        <v>263</v>
      </c>
      <c r="E22610" t="s">
        <v>264</v>
      </c>
      <c r="F22610">
        <v>2.7</v>
      </c>
      <c r="G22610">
        <v>240104</v>
      </c>
      <c r="H22610">
        <v>4362</v>
      </c>
      <c r="I22610" t="s">
        <v>79</v>
      </c>
      <c r="J22610">
        <v>3.35</v>
      </c>
      <c r="K22610">
        <v>0.65</v>
      </c>
      <c r="L22610">
        <v>17950</v>
      </c>
      <c r="M22610" t="s">
        <v>86</v>
      </c>
      <c r="N22610" t="str">
        <f t="shared" si="437"/>
        <v xml:space="preserve">12401023238 </v>
      </c>
      <c r="O22610">
        <v>240105</v>
      </c>
    </row>
    <row r="22611" spans="1:15" x14ac:dyDescent="0.25">
      <c r="A22611" t="s">
        <v>16</v>
      </c>
      <c r="B22611" t="s">
        <v>3221</v>
      </c>
      <c r="C22611">
        <v>18781</v>
      </c>
      <c r="D22611" t="s">
        <v>263</v>
      </c>
      <c r="E22611" t="s">
        <v>264</v>
      </c>
      <c r="F22611">
        <v>2.7</v>
      </c>
      <c r="G22611">
        <v>240104</v>
      </c>
      <c r="H22611">
        <v>4362</v>
      </c>
      <c r="I22611" t="s">
        <v>79</v>
      </c>
      <c r="J22611">
        <v>3.35</v>
      </c>
      <c r="K22611">
        <v>0.65</v>
      </c>
      <c r="L22611">
        <v>17971</v>
      </c>
      <c r="M22611" t="s">
        <v>138</v>
      </c>
      <c r="N22611" t="str">
        <f t="shared" si="437"/>
        <v xml:space="preserve">12401023238 </v>
      </c>
      <c r="O22611">
        <v>240105</v>
      </c>
    </row>
    <row r="22612" spans="1:15" x14ac:dyDescent="0.25">
      <c r="A22612" t="s">
        <v>16</v>
      </c>
      <c r="B22612" t="s">
        <v>3221</v>
      </c>
      <c r="C22612">
        <v>18781</v>
      </c>
      <c r="D22612" t="s">
        <v>263</v>
      </c>
      <c r="E22612" t="s">
        <v>264</v>
      </c>
      <c r="F22612">
        <v>2.7</v>
      </c>
      <c r="G22612">
        <v>240104</v>
      </c>
      <c r="H22612">
        <v>4362</v>
      </c>
      <c r="I22612" t="s">
        <v>79</v>
      </c>
      <c r="J22612">
        <v>3.35</v>
      </c>
      <c r="K22612">
        <v>0.65</v>
      </c>
      <c r="L22612">
        <v>17972</v>
      </c>
      <c r="M22612" t="s">
        <v>248</v>
      </c>
      <c r="N22612" t="str">
        <f t="shared" si="437"/>
        <v xml:space="preserve">12401023238 </v>
      </c>
      <c r="O22612">
        <v>240105</v>
      </c>
    </row>
    <row r="22613" spans="1:15" x14ac:dyDescent="0.25">
      <c r="A22613" t="s">
        <v>16</v>
      </c>
      <c r="B22613" t="s">
        <v>3221</v>
      </c>
      <c r="C22613">
        <v>18781</v>
      </c>
      <c r="D22613" t="s">
        <v>263</v>
      </c>
      <c r="E22613" t="s">
        <v>264</v>
      </c>
      <c r="F22613">
        <v>2.5499999999999998</v>
      </c>
      <c r="G22613">
        <v>240104</v>
      </c>
      <c r="H22613">
        <v>4362</v>
      </c>
      <c r="I22613" t="s">
        <v>79</v>
      </c>
      <c r="J22613">
        <v>3.16</v>
      </c>
      <c r="K22613">
        <v>0.61</v>
      </c>
      <c r="L22613">
        <v>17974</v>
      </c>
      <c r="M22613" t="s">
        <v>460</v>
      </c>
      <c r="N22613" t="str">
        <f t="shared" si="437"/>
        <v xml:space="preserve">12401023238 </v>
      </c>
      <c r="O22613">
        <v>240105</v>
      </c>
    </row>
    <row r="22614" spans="1:15" x14ac:dyDescent="0.25">
      <c r="A22614" t="s">
        <v>16</v>
      </c>
      <c r="B22614" t="s">
        <v>3221</v>
      </c>
      <c r="C22614">
        <v>18781</v>
      </c>
      <c r="D22614" t="s">
        <v>263</v>
      </c>
      <c r="E22614" t="s">
        <v>264</v>
      </c>
      <c r="F22614">
        <v>2.7</v>
      </c>
      <c r="G22614">
        <v>240104</v>
      </c>
      <c r="H22614">
        <v>4362</v>
      </c>
      <c r="I22614" t="s">
        <v>79</v>
      </c>
      <c r="J22614">
        <v>3.35</v>
      </c>
      <c r="K22614">
        <v>0.65</v>
      </c>
      <c r="L22614">
        <v>17974</v>
      </c>
      <c r="M22614" t="s">
        <v>460</v>
      </c>
      <c r="N22614" t="str">
        <f t="shared" si="437"/>
        <v xml:space="preserve">12401023238 </v>
      </c>
      <c r="O22614">
        <v>240105</v>
      </c>
    </row>
    <row r="22615" spans="1:15" x14ac:dyDescent="0.25">
      <c r="A22615" t="s">
        <v>16</v>
      </c>
      <c r="B22615" t="s">
        <v>3221</v>
      </c>
      <c r="C22615">
        <v>18782</v>
      </c>
      <c r="D22615" t="s">
        <v>263</v>
      </c>
      <c r="E22615" t="s">
        <v>264</v>
      </c>
      <c r="F22615">
        <v>8.86</v>
      </c>
      <c r="G22615">
        <v>240104</v>
      </c>
      <c r="H22615">
        <v>4362</v>
      </c>
      <c r="I22615" t="s">
        <v>79</v>
      </c>
      <c r="J22615">
        <v>10.99</v>
      </c>
      <c r="K22615">
        <v>2.13</v>
      </c>
      <c r="L22615">
        <v>43222</v>
      </c>
      <c r="M22615" t="s">
        <v>507</v>
      </c>
      <c r="N22615" t="str">
        <f t="shared" ref="N22615:N22620" si="438">"12401023227 "</f>
        <v xml:space="preserve">12401023227 </v>
      </c>
      <c r="O22615">
        <v>240105</v>
      </c>
    </row>
    <row r="22616" spans="1:15" x14ac:dyDescent="0.25">
      <c r="A22616" t="s">
        <v>16</v>
      </c>
      <c r="B22616" t="s">
        <v>3221</v>
      </c>
      <c r="C22616">
        <v>18782</v>
      </c>
      <c r="D22616" t="s">
        <v>263</v>
      </c>
      <c r="E22616" t="s">
        <v>264</v>
      </c>
      <c r="F22616">
        <v>5.25</v>
      </c>
      <c r="G22616">
        <v>240104</v>
      </c>
      <c r="H22616">
        <v>4362</v>
      </c>
      <c r="I22616" t="s">
        <v>79</v>
      </c>
      <c r="J22616">
        <v>6.51</v>
      </c>
      <c r="K22616">
        <v>1.26</v>
      </c>
      <c r="L22616">
        <v>44422</v>
      </c>
      <c r="M22616" t="s">
        <v>482</v>
      </c>
      <c r="N22616" t="str">
        <f t="shared" si="438"/>
        <v xml:space="preserve">12401023227 </v>
      </c>
      <c r="O22616">
        <v>240105</v>
      </c>
    </row>
    <row r="22617" spans="1:15" x14ac:dyDescent="0.25">
      <c r="A22617" t="s">
        <v>16</v>
      </c>
      <c r="B22617" t="s">
        <v>3221</v>
      </c>
      <c r="C22617">
        <v>18782</v>
      </c>
      <c r="D22617" t="s">
        <v>263</v>
      </c>
      <c r="E22617" t="s">
        <v>264</v>
      </c>
      <c r="F22617">
        <v>5.4</v>
      </c>
      <c r="G22617">
        <v>240104</v>
      </c>
      <c r="H22617">
        <v>4362</v>
      </c>
      <c r="I22617" t="s">
        <v>79</v>
      </c>
      <c r="J22617">
        <v>6.7</v>
      </c>
      <c r="K22617">
        <v>1.3</v>
      </c>
      <c r="L22617">
        <v>44423</v>
      </c>
      <c r="M22617" t="s">
        <v>502</v>
      </c>
      <c r="N22617" t="str">
        <f t="shared" si="438"/>
        <v xml:space="preserve">12401023227 </v>
      </c>
      <c r="O22617">
        <v>240105</v>
      </c>
    </row>
    <row r="22618" spans="1:15" x14ac:dyDescent="0.25">
      <c r="A22618" t="s">
        <v>16</v>
      </c>
      <c r="B22618" t="s">
        <v>3221</v>
      </c>
      <c r="C22618">
        <v>18782</v>
      </c>
      <c r="D22618" t="s">
        <v>263</v>
      </c>
      <c r="E22618" t="s">
        <v>264</v>
      </c>
      <c r="F22618">
        <v>2.7</v>
      </c>
      <c r="G22618">
        <v>240104</v>
      </c>
      <c r="H22618">
        <v>4362</v>
      </c>
      <c r="I22618" t="s">
        <v>79</v>
      </c>
      <c r="J22618">
        <v>3.35</v>
      </c>
      <c r="K22618">
        <v>0.65</v>
      </c>
      <c r="L22618">
        <v>44453</v>
      </c>
      <c r="M22618" t="s">
        <v>492</v>
      </c>
      <c r="N22618" t="str">
        <f t="shared" si="438"/>
        <v xml:space="preserve">12401023227 </v>
      </c>
      <c r="O22618">
        <v>240105</v>
      </c>
    </row>
    <row r="22619" spans="1:15" x14ac:dyDescent="0.25">
      <c r="A22619" t="s">
        <v>16</v>
      </c>
      <c r="B22619" t="s">
        <v>3221</v>
      </c>
      <c r="C22619">
        <v>18782</v>
      </c>
      <c r="D22619" t="s">
        <v>263</v>
      </c>
      <c r="E22619" t="s">
        <v>264</v>
      </c>
      <c r="F22619">
        <v>2.7</v>
      </c>
      <c r="G22619">
        <v>240104</v>
      </c>
      <c r="H22619">
        <v>4362</v>
      </c>
      <c r="I22619" t="s">
        <v>79</v>
      </c>
      <c r="J22619">
        <v>3.35</v>
      </c>
      <c r="K22619">
        <v>0.65</v>
      </c>
      <c r="L22619">
        <v>48601</v>
      </c>
      <c r="M22619" t="s">
        <v>1047</v>
      </c>
      <c r="N22619" t="str">
        <f t="shared" si="438"/>
        <v xml:space="preserve">12401023227 </v>
      </c>
      <c r="O22619">
        <v>240105</v>
      </c>
    </row>
    <row r="22620" spans="1:15" x14ac:dyDescent="0.25">
      <c r="A22620" t="s">
        <v>16</v>
      </c>
      <c r="B22620" t="s">
        <v>3221</v>
      </c>
      <c r="C22620">
        <v>18782</v>
      </c>
      <c r="D22620" t="s">
        <v>263</v>
      </c>
      <c r="E22620" t="s">
        <v>264</v>
      </c>
      <c r="F22620">
        <v>53.38</v>
      </c>
      <c r="G22620">
        <v>240104</v>
      </c>
      <c r="H22620">
        <v>4362</v>
      </c>
      <c r="I22620" t="s">
        <v>79</v>
      </c>
      <c r="J22620">
        <v>53.38</v>
      </c>
      <c r="K22620">
        <v>0</v>
      </c>
      <c r="L22620">
        <v>49702</v>
      </c>
      <c r="M22620" t="s">
        <v>584</v>
      </c>
      <c r="N22620" t="str">
        <f t="shared" si="438"/>
        <v xml:space="preserve">12401023227 </v>
      </c>
      <c r="O22620">
        <v>240105</v>
      </c>
    </row>
    <row r="22621" spans="1:15" x14ac:dyDescent="0.25">
      <c r="A22621" t="s">
        <v>16</v>
      </c>
      <c r="B22621" t="s">
        <v>3221</v>
      </c>
      <c r="C22621">
        <v>18783</v>
      </c>
      <c r="D22621" t="s">
        <v>263</v>
      </c>
      <c r="E22621" t="s">
        <v>264</v>
      </c>
      <c r="F22621">
        <v>5.4</v>
      </c>
      <c r="G22621">
        <v>240104</v>
      </c>
      <c r="H22621">
        <v>4362</v>
      </c>
      <c r="I22621" t="s">
        <v>79</v>
      </c>
      <c r="J22621">
        <v>6.7</v>
      </c>
      <c r="K22621">
        <v>1.3</v>
      </c>
      <c r="L22621">
        <v>49701</v>
      </c>
      <c r="M22621" t="s">
        <v>166</v>
      </c>
      <c r="N22621" t="str">
        <f>"12401023223 "</f>
        <v xml:space="preserve">12401023223 </v>
      </c>
      <c r="O22621">
        <v>240105</v>
      </c>
    </row>
    <row r="22622" spans="1:15" x14ac:dyDescent="0.25">
      <c r="A22622" t="s">
        <v>16</v>
      </c>
      <c r="B22622" t="s">
        <v>3221</v>
      </c>
      <c r="C22622">
        <v>18783</v>
      </c>
      <c r="D22622" t="s">
        <v>263</v>
      </c>
      <c r="E22622" t="s">
        <v>264</v>
      </c>
      <c r="F22622">
        <v>5.4</v>
      </c>
      <c r="G22622">
        <v>240104</v>
      </c>
      <c r="H22622">
        <v>4362</v>
      </c>
      <c r="I22622" t="s">
        <v>79</v>
      </c>
      <c r="J22622">
        <v>6.69</v>
      </c>
      <c r="K22622">
        <v>1.29</v>
      </c>
      <c r="L22622">
        <v>49702</v>
      </c>
      <c r="M22622" t="s">
        <v>584</v>
      </c>
      <c r="N22622" t="str">
        <f>"12401023223 "</f>
        <v xml:space="preserve">12401023223 </v>
      </c>
      <c r="O22622">
        <v>240105</v>
      </c>
    </row>
    <row r="22623" spans="1:15" x14ac:dyDescent="0.25">
      <c r="A22623" t="s">
        <v>16</v>
      </c>
      <c r="B22623" t="s">
        <v>3221</v>
      </c>
      <c r="C22623">
        <v>18784</v>
      </c>
      <c r="D22623" t="s">
        <v>263</v>
      </c>
      <c r="E22623" t="s">
        <v>264</v>
      </c>
      <c r="F22623">
        <v>5.25</v>
      </c>
      <c r="G22623">
        <v>240104</v>
      </c>
      <c r="H22623">
        <v>4362</v>
      </c>
      <c r="I22623" t="s">
        <v>79</v>
      </c>
      <c r="J22623">
        <v>6.51</v>
      </c>
      <c r="K22623">
        <v>1.26</v>
      </c>
      <c r="L22623">
        <v>16321</v>
      </c>
      <c r="M22623" t="s">
        <v>423</v>
      </c>
      <c r="N22623" t="str">
        <f t="shared" ref="N22623:N22632" si="439">"12401023235 "</f>
        <v xml:space="preserve">12401023235 </v>
      </c>
      <c r="O22623">
        <v>240105</v>
      </c>
    </row>
    <row r="22624" spans="1:15" x14ac:dyDescent="0.25">
      <c r="A22624" t="s">
        <v>16</v>
      </c>
      <c r="B22624" t="s">
        <v>3221</v>
      </c>
      <c r="C22624">
        <v>18784</v>
      </c>
      <c r="D22624" t="s">
        <v>263</v>
      </c>
      <c r="E22624" t="s">
        <v>264</v>
      </c>
      <c r="F22624">
        <v>9.24</v>
      </c>
      <c r="G22624">
        <v>240104</v>
      </c>
      <c r="H22624">
        <v>4362</v>
      </c>
      <c r="I22624" t="s">
        <v>79</v>
      </c>
      <c r="J22624">
        <v>11.46</v>
      </c>
      <c r="K22624">
        <v>2.2200000000000002</v>
      </c>
      <c r="L22624">
        <v>16431</v>
      </c>
      <c r="M22624" t="s">
        <v>231</v>
      </c>
      <c r="N22624" t="str">
        <f t="shared" si="439"/>
        <v xml:space="preserve">12401023235 </v>
      </c>
      <c r="O22624">
        <v>240105</v>
      </c>
    </row>
    <row r="22625" spans="1:15" x14ac:dyDescent="0.25">
      <c r="A22625" t="s">
        <v>16</v>
      </c>
      <c r="B22625" t="s">
        <v>3221</v>
      </c>
      <c r="C22625">
        <v>18784</v>
      </c>
      <c r="D22625" t="s">
        <v>263</v>
      </c>
      <c r="E22625" t="s">
        <v>264</v>
      </c>
      <c r="F22625">
        <v>16.23</v>
      </c>
      <c r="G22625">
        <v>240104</v>
      </c>
      <c r="H22625">
        <v>4362</v>
      </c>
      <c r="I22625" t="s">
        <v>79</v>
      </c>
      <c r="J22625">
        <v>20.13</v>
      </c>
      <c r="K22625">
        <v>3.9</v>
      </c>
      <c r="L22625">
        <v>17802</v>
      </c>
      <c r="M22625" t="s">
        <v>174</v>
      </c>
      <c r="N22625" t="str">
        <f t="shared" si="439"/>
        <v xml:space="preserve">12401023235 </v>
      </c>
      <c r="O22625">
        <v>240105</v>
      </c>
    </row>
    <row r="22626" spans="1:15" x14ac:dyDescent="0.25">
      <c r="A22626" t="s">
        <v>16</v>
      </c>
      <c r="B22626" t="s">
        <v>3221</v>
      </c>
      <c r="C22626">
        <v>18784</v>
      </c>
      <c r="D22626" t="s">
        <v>263</v>
      </c>
      <c r="E22626" t="s">
        <v>264</v>
      </c>
      <c r="F22626">
        <v>8.02</v>
      </c>
      <c r="G22626">
        <v>240104</v>
      </c>
      <c r="H22626">
        <v>4362</v>
      </c>
      <c r="I22626" t="s">
        <v>79</v>
      </c>
      <c r="J22626">
        <v>9.94</v>
      </c>
      <c r="K22626">
        <v>1.92</v>
      </c>
      <c r="L22626">
        <v>17803</v>
      </c>
      <c r="M22626" t="s">
        <v>389</v>
      </c>
      <c r="N22626" t="str">
        <f t="shared" si="439"/>
        <v xml:space="preserve">12401023235 </v>
      </c>
      <c r="O22626">
        <v>240105</v>
      </c>
    </row>
    <row r="22627" spans="1:15" x14ac:dyDescent="0.25">
      <c r="A22627" t="s">
        <v>16</v>
      </c>
      <c r="B22627" t="s">
        <v>3221</v>
      </c>
      <c r="C22627">
        <v>18784</v>
      </c>
      <c r="D22627" t="s">
        <v>263</v>
      </c>
      <c r="E22627" t="s">
        <v>264</v>
      </c>
      <c r="F22627">
        <v>2.72</v>
      </c>
      <c r="G22627">
        <v>240104</v>
      </c>
      <c r="H22627">
        <v>4362</v>
      </c>
      <c r="I22627" t="s">
        <v>79</v>
      </c>
      <c r="J22627">
        <v>3.37</v>
      </c>
      <c r="K22627">
        <v>0.65</v>
      </c>
      <c r="L22627">
        <v>17804</v>
      </c>
      <c r="M22627" t="s">
        <v>549</v>
      </c>
      <c r="N22627" t="str">
        <f t="shared" si="439"/>
        <v xml:space="preserve">12401023235 </v>
      </c>
      <c r="O22627">
        <v>240105</v>
      </c>
    </row>
    <row r="22628" spans="1:15" x14ac:dyDescent="0.25">
      <c r="A22628" t="s">
        <v>16</v>
      </c>
      <c r="B22628" t="s">
        <v>3221</v>
      </c>
      <c r="C22628">
        <v>18784</v>
      </c>
      <c r="D22628" t="s">
        <v>263</v>
      </c>
      <c r="E22628" t="s">
        <v>264</v>
      </c>
      <c r="F22628">
        <v>6.75</v>
      </c>
      <c r="G22628">
        <v>240104</v>
      </c>
      <c r="H22628">
        <v>4362</v>
      </c>
      <c r="I22628" t="s">
        <v>79</v>
      </c>
      <c r="J22628">
        <v>8.3699999999999992</v>
      </c>
      <c r="K22628">
        <v>1.62</v>
      </c>
      <c r="L22628">
        <v>17805</v>
      </c>
      <c r="M22628" t="s">
        <v>102</v>
      </c>
      <c r="N22628" t="str">
        <f t="shared" si="439"/>
        <v xml:space="preserve">12401023235 </v>
      </c>
      <c r="O22628">
        <v>240105</v>
      </c>
    </row>
    <row r="22629" spans="1:15" x14ac:dyDescent="0.25">
      <c r="A22629" t="s">
        <v>16</v>
      </c>
      <c r="B22629" t="s">
        <v>3221</v>
      </c>
      <c r="C22629">
        <v>18784</v>
      </c>
      <c r="D22629" t="s">
        <v>263</v>
      </c>
      <c r="E22629" t="s">
        <v>264</v>
      </c>
      <c r="F22629">
        <v>5.4</v>
      </c>
      <c r="G22629">
        <v>240104</v>
      </c>
      <c r="H22629">
        <v>4362</v>
      </c>
      <c r="I22629" t="s">
        <v>79</v>
      </c>
      <c r="J22629">
        <v>6.7</v>
      </c>
      <c r="K22629">
        <v>1.3</v>
      </c>
      <c r="L22629">
        <v>17806</v>
      </c>
      <c r="M22629" t="s">
        <v>265</v>
      </c>
      <c r="N22629" t="str">
        <f t="shared" si="439"/>
        <v xml:space="preserve">12401023235 </v>
      </c>
      <c r="O22629">
        <v>240105</v>
      </c>
    </row>
    <row r="22630" spans="1:15" x14ac:dyDescent="0.25">
      <c r="A22630" t="s">
        <v>16</v>
      </c>
      <c r="B22630" t="s">
        <v>3221</v>
      </c>
      <c r="C22630">
        <v>18784</v>
      </c>
      <c r="D22630" t="s">
        <v>263</v>
      </c>
      <c r="E22630" t="s">
        <v>264</v>
      </c>
      <c r="F22630">
        <v>16.05</v>
      </c>
      <c r="G22630">
        <v>240104</v>
      </c>
      <c r="H22630">
        <v>4362</v>
      </c>
      <c r="I22630" t="s">
        <v>79</v>
      </c>
      <c r="J22630">
        <v>19.899999999999999</v>
      </c>
      <c r="K22630">
        <v>3.85</v>
      </c>
      <c r="L22630">
        <v>17807</v>
      </c>
      <c r="M22630" t="s">
        <v>318</v>
      </c>
      <c r="N22630" t="str">
        <f t="shared" si="439"/>
        <v xml:space="preserve">12401023235 </v>
      </c>
      <c r="O22630">
        <v>240105</v>
      </c>
    </row>
    <row r="22631" spans="1:15" x14ac:dyDescent="0.25">
      <c r="A22631" t="s">
        <v>16</v>
      </c>
      <c r="B22631" t="s">
        <v>3221</v>
      </c>
      <c r="C22631">
        <v>18784</v>
      </c>
      <c r="D22631" t="s">
        <v>263</v>
      </c>
      <c r="E22631" t="s">
        <v>264</v>
      </c>
      <c r="F22631">
        <v>10.8</v>
      </c>
      <c r="G22631">
        <v>240104</v>
      </c>
      <c r="H22631">
        <v>4362</v>
      </c>
      <c r="I22631" t="s">
        <v>79</v>
      </c>
      <c r="J22631">
        <v>13.39</v>
      </c>
      <c r="K22631">
        <v>2.59</v>
      </c>
      <c r="L22631">
        <v>17808</v>
      </c>
      <c r="M22631" t="s">
        <v>322</v>
      </c>
      <c r="N22631" t="str">
        <f t="shared" si="439"/>
        <v xml:space="preserve">12401023235 </v>
      </c>
      <c r="O22631">
        <v>240105</v>
      </c>
    </row>
    <row r="22632" spans="1:15" x14ac:dyDescent="0.25">
      <c r="A22632" t="s">
        <v>16</v>
      </c>
      <c r="B22632" t="s">
        <v>3221</v>
      </c>
      <c r="C22632">
        <v>18784</v>
      </c>
      <c r="D22632" t="s">
        <v>263</v>
      </c>
      <c r="E22632" t="s">
        <v>264</v>
      </c>
      <c r="F22632">
        <v>6.53</v>
      </c>
      <c r="G22632">
        <v>240104</v>
      </c>
      <c r="H22632">
        <v>4362</v>
      </c>
      <c r="I22632" t="s">
        <v>79</v>
      </c>
      <c r="J22632">
        <v>8.1</v>
      </c>
      <c r="K22632">
        <v>1.57</v>
      </c>
      <c r="L22632">
        <v>17809</v>
      </c>
      <c r="M22632" t="s">
        <v>376</v>
      </c>
      <c r="N22632" t="str">
        <f t="shared" si="439"/>
        <v xml:space="preserve">12401023235 </v>
      </c>
      <c r="O22632">
        <v>240105</v>
      </c>
    </row>
    <row r="22633" spans="1:15" x14ac:dyDescent="0.25">
      <c r="A22633" t="s">
        <v>16</v>
      </c>
      <c r="B22633" t="s">
        <v>3221</v>
      </c>
      <c r="C22633">
        <v>18785</v>
      </c>
      <c r="D22633" t="s">
        <v>263</v>
      </c>
      <c r="E22633" t="s">
        <v>264</v>
      </c>
      <c r="F22633">
        <v>3.91</v>
      </c>
      <c r="G22633">
        <v>240104</v>
      </c>
      <c r="H22633">
        <v>4362</v>
      </c>
      <c r="I22633" t="s">
        <v>79</v>
      </c>
      <c r="J22633">
        <v>4.8499999999999996</v>
      </c>
      <c r="K22633">
        <v>0.94</v>
      </c>
      <c r="L22633">
        <v>48601</v>
      </c>
      <c r="M22633" t="s">
        <v>1047</v>
      </c>
      <c r="N22633" t="str">
        <f>"12401023226 "</f>
        <v xml:space="preserve">12401023226 </v>
      </c>
      <c r="O22633">
        <v>240105</v>
      </c>
    </row>
    <row r="22634" spans="1:15" x14ac:dyDescent="0.25">
      <c r="A22634" t="s">
        <v>16</v>
      </c>
      <c r="B22634" t="s">
        <v>3221</v>
      </c>
      <c r="C22634">
        <v>18785</v>
      </c>
      <c r="D22634" t="s">
        <v>263</v>
      </c>
      <c r="E22634" t="s">
        <v>264</v>
      </c>
      <c r="F22634">
        <v>11.8</v>
      </c>
      <c r="G22634">
        <v>240104</v>
      </c>
      <c r="H22634">
        <v>4362</v>
      </c>
      <c r="I22634" t="s">
        <v>79</v>
      </c>
      <c r="J22634">
        <v>14.63</v>
      </c>
      <c r="K22634">
        <v>2.83</v>
      </c>
      <c r="L22634">
        <v>49704</v>
      </c>
      <c r="M22634" t="s">
        <v>1065</v>
      </c>
      <c r="N22634" t="str">
        <f>"12401023226 "</f>
        <v xml:space="preserve">12401023226 </v>
      </c>
      <c r="O22634">
        <v>240105</v>
      </c>
    </row>
    <row r="22635" spans="1:15" x14ac:dyDescent="0.25">
      <c r="A22635" t="s">
        <v>16</v>
      </c>
      <c r="B22635" t="s">
        <v>3221</v>
      </c>
      <c r="C22635">
        <v>18785</v>
      </c>
      <c r="D22635" t="s">
        <v>263</v>
      </c>
      <c r="E22635" t="s">
        <v>264</v>
      </c>
      <c r="F22635">
        <v>18.899999999999999</v>
      </c>
      <c r="G22635">
        <v>240104</v>
      </c>
      <c r="H22635">
        <v>4362</v>
      </c>
      <c r="I22635" t="s">
        <v>79</v>
      </c>
      <c r="J22635">
        <v>23.44</v>
      </c>
      <c r="K22635">
        <v>4.54</v>
      </c>
      <c r="L22635">
        <v>49705</v>
      </c>
      <c r="M22635" t="s">
        <v>575</v>
      </c>
      <c r="N22635" t="str">
        <f>"12401023226 "</f>
        <v xml:space="preserve">12401023226 </v>
      </c>
      <c r="O22635">
        <v>240105</v>
      </c>
    </row>
    <row r="22636" spans="1:15" x14ac:dyDescent="0.25">
      <c r="A22636" t="s">
        <v>16</v>
      </c>
      <c r="B22636" t="s">
        <v>3221</v>
      </c>
      <c r="C22636">
        <v>18786</v>
      </c>
      <c r="D22636" t="s">
        <v>263</v>
      </c>
      <c r="E22636" t="s">
        <v>264</v>
      </c>
      <c r="F22636">
        <v>4.0199999999999996</v>
      </c>
      <c r="G22636">
        <v>240104</v>
      </c>
      <c r="H22636">
        <v>4362</v>
      </c>
      <c r="I22636" t="s">
        <v>79</v>
      </c>
      <c r="J22636">
        <v>4.9800000000000004</v>
      </c>
      <c r="K22636">
        <v>0.96</v>
      </c>
      <c r="L22636">
        <v>11901</v>
      </c>
      <c r="M22636" t="s">
        <v>36</v>
      </c>
      <c r="N22636" t="str">
        <f>"12401023242 "</f>
        <v xml:space="preserve">12401023242 </v>
      </c>
      <c r="O22636">
        <v>240105</v>
      </c>
    </row>
    <row r="22637" spans="1:15" x14ac:dyDescent="0.25">
      <c r="A22637" t="s">
        <v>16</v>
      </c>
      <c r="B22637" t="s">
        <v>3221</v>
      </c>
      <c r="C22637">
        <v>18786</v>
      </c>
      <c r="D22637" t="s">
        <v>263</v>
      </c>
      <c r="E22637" t="s">
        <v>264</v>
      </c>
      <c r="F22637">
        <v>2.7</v>
      </c>
      <c r="G22637">
        <v>240104</v>
      </c>
      <c r="H22637">
        <v>4362</v>
      </c>
      <c r="I22637" t="s">
        <v>79</v>
      </c>
      <c r="J22637">
        <v>3.35</v>
      </c>
      <c r="K22637">
        <v>0.65</v>
      </c>
      <c r="L22637">
        <v>11903</v>
      </c>
      <c r="M22637" t="s">
        <v>406</v>
      </c>
      <c r="N22637" t="str">
        <f>"12401023242 "</f>
        <v xml:space="preserve">12401023242 </v>
      </c>
      <c r="O22637">
        <v>240105</v>
      </c>
    </row>
    <row r="22638" spans="1:15" x14ac:dyDescent="0.25">
      <c r="A22638" t="s">
        <v>16</v>
      </c>
      <c r="B22638" t="s">
        <v>3221</v>
      </c>
      <c r="C22638">
        <v>18787</v>
      </c>
      <c r="D22638" t="s">
        <v>263</v>
      </c>
      <c r="E22638" t="s">
        <v>264</v>
      </c>
      <c r="F22638">
        <v>23.21</v>
      </c>
      <c r="G22638">
        <v>240104</v>
      </c>
      <c r="H22638">
        <v>4362</v>
      </c>
      <c r="I22638" t="s">
        <v>79</v>
      </c>
      <c r="J22638">
        <v>28.78</v>
      </c>
      <c r="K22638">
        <v>5.57</v>
      </c>
      <c r="L22638">
        <v>49501</v>
      </c>
      <c r="M22638" t="s">
        <v>177</v>
      </c>
      <c r="N22638" t="str">
        <f>"12401023221 "</f>
        <v xml:space="preserve">12401023221 </v>
      </c>
      <c r="O22638">
        <v>240105</v>
      </c>
    </row>
    <row r="22639" spans="1:15" x14ac:dyDescent="0.25">
      <c r="A22639" t="s">
        <v>16</v>
      </c>
      <c r="B22639" t="s">
        <v>3221</v>
      </c>
      <c r="C22639">
        <v>18788</v>
      </c>
      <c r="D22639" t="s">
        <v>263</v>
      </c>
      <c r="E22639" t="s">
        <v>264</v>
      </c>
      <c r="F22639">
        <v>5.4</v>
      </c>
      <c r="G22639">
        <v>240104</v>
      </c>
      <c r="H22639">
        <v>4362</v>
      </c>
      <c r="I22639" t="s">
        <v>79</v>
      </c>
      <c r="J22639">
        <v>6.7</v>
      </c>
      <c r="K22639">
        <v>1.3</v>
      </c>
      <c r="L22639">
        <v>46556</v>
      </c>
      <c r="M22639" t="s">
        <v>125</v>
      </c>
      <c r="N22639" t="str">
        <f>"12401023228 "</f>
        <v xml:space="preserve">12401023228 </v>
      </c>
      <c r="O22639">
        <v>240105</v>
      </c>
    </row>
    <row r="22640" spans="1:15" x14ac:dyDescent="0.25">
      <c r="A22640" t="s">
        <v>16</v>
      </c>
      <c r="B22640" t="s">
        <v>3221</v>
      </c>
      <c r="C22640">
        <v>18880</v>
      </c>
      <c r="D22640" t="s">
        <v>263</v>
      </c>
      <c r="E22640" t="s">
        <v>264</v>
      </c>
      <c r="F22640">
        <v>58.96</v>
      </c>
      <c r="G22640">
        <v>240104</v>
      </c>
      <c r="H22640">
        <v>4362</v>
      </c>
      <c r="I22640" t="s">
        <v>79</v>
      </c>
      <c r="J22640">
        <v>73.11</v>
      </c>
      <c r="K22640">
        <v>14.15</v>
      </c>
      <c r="L22640">
        <v>11801</v>
      </c>
      <c r="M22640" t="s">
        <v>92</v>
      </c>
      <c r="N22640" t="str">
        <f>"12401023241 "</f>
        <v xml:space="preserve">12401023241 </v>
      </c>
      <c r="O22640">
        <v>240108</v>
      </c>
    </row>
    <row r="22641" spans="1:15" x14ac:dyDescent="0.25">
      <c r="A22641" t="s">
        <v>16</v>
      </c>
      <c r="B22641" t="s">
        <v>3221</v>
      </c>
      <c r="C22641">
        <v>18882</v>
      </c>
      <c r="D22641" t="s">
        <v>263</v>
      </c>
      <c r="E22641" t="s">
        <v>264</v>
      </c>
      <c r="F22641">
        <v>24.15</v>
      </c>
      <c r="G22641">
        <v>240104</v>
      </c>
      <c r="H22641">
        <v>4362</v>
      </c>
      <c r="I22641" t="s">
        <v>79</v>
      </c>
      <c r="J22641">
        <v>29.95</v>
      </c>
      <c r="K22641">
        <v>5.8</v>
      </c>
      <c r="L22641">
        <v>13601</v>
      </c>
      <c r="M22641" t="s">
        <v>147</v>
      </c>
      <c r="N22641" t="str">
        <f>"12401023240 "</f>
        <v xml:space="preserve">12401023240 </v>
      </c>
      <c r="O22641">
        <v>240108</v>
      </c>
    </row>
    <row r="22642" spans="1:15" x14ac:dyDescent="0.25">
      <c r="A22642" t="s">
        <v>16</v>
      </c>
      <c r="B22642" t="s">
        <v>3221</v>
      </c>
      <c r="C22642">
        <v>18889</v>
      </c>
      <c r="D22642" t="s">
        <v>263</v>
      </c>
      <c r="E22642" t="s">
        <v>264</v>
      </c>
      <c r="F22642">
        <v>10.79</v>
      </c>
      <c r="G22642">
        <v>240104</v>
      </c>
      <c r="H22642">
        <v>4362</v>
      </c>
      <c r="I22642" t="s">
        <v>79</v>
      </c>
      <c r="J22642">
        <v>13.38</v>
      </c>
      <c r="K22642">
        <v>2.59</v>
      </c>
      <c r="L22642">
        <v>17131</v>
      </c>
      <c r="M22642" t="s">
        <v>64</v>
      </c>
      <c r="N22642" t="str">
        <f t="shared" ref="N22642:N22652" si="440">"12401023236 "</f>
        <v xml:space="preserve">12401023236 </v>
      </c>
      <c r="O22642">
        <v>240108</v>
      </c>
    </row>
    <row r="22643" spans="1:15" x14ac:dyDescent="0.25">
      <c r="A22643" t="s">
        <v>16</v>
      </c>
      <c r="B22643" t="s">
        <v>3221</v>
      </c>
      <c r="C22643">
        <v>18889</v>
      </c>
      <c r="D22643" t="s">
        <v>263</v>
      </c>
      <c r="E22643" t="s">
        <v>264</v>
      </c>
      <c r="F22643">
        <v>2.7</v>
      </c>
      <c r="G22643">
        <v>240104</v>
      </c>
      <c r="H22643">
        <v>4362</v>
      </c>
      <c r="I22643" t="s">
        <v>79</v>
      </c>
      <c r="J22643">
        <v>3.35</v>
      </c>
      <c r="K22643">
        <v>0.65</v>
      </c>
      <c r="L22643">
        <v>17147</v>
      </c>
      <c r="M22643" t="s">
        <v>1734</v>
      </c>
      <c r="N22643" t="str">
        <f t="shared" si="440"/>
        <v xml:space="preserve">12401023236 </v>
      </c>
      <c r="O22643">
        <v>240108</v>
      </c>
    </row>
    <row r="22644" spans="1:15" x14ac:dyDescent="0.25">
      <c r="A22644" t="s">
        <v>16</v>
      </c>
      <c r="B22644" t="s">
        <v>3221</v>
      </c>
      <c r="C22644">
        <v>18889</v>
      </c>
      <c r="D22644" t="s">
        <v>263</v>
      </c>
      <c r="E22644" t="s">
        <v>264</v>
      </c>
      <c r="F22644">
        <v>14.95</v>
      </c>
      <c r="G22644">
        <v>240104</v>
      </c>
      <c r="H22644">
        <v>4362</v>
      </c>
      <c r="I22644" t="s">
        <v>79</v>
      </c>
      <c r="J22644">
        <v>18.54</v>
      </c>
      <c r="K22644">
        <v>3.59</v>
      </c>
      <c r="L22644">
        <v>17711</v>
      </c>
      <c r="M22644" t="s">
        <v>65</v>
      </c>
      <c r="N22644" t="str">
        <f t="shared" si="440"/>
        <v xml:space="preserve">12401023236 </v>
      </c>
      <c r="O22644">
        <v>240108</v>
      </c>
    </row>
    <row r="22645" spans="1:15" x14ac:dyDescent="0.25">
      <c r="A22645" t="s">
        <v>16</v>
      </c>
      <c r="B22645" t="s">
        <v>3221</v>
      </c>
      <c r="C22645">
        <v>18889</v>
      </c>
      <c r="D22645" t="s">
        <v>263</v>
      </c>
      <c r="E22645" t="s">
        <v>264</v>
      </c>
      <c r="F22645">
        <v>16.2</v>
      </c>
      <c r="G22645">
        <v>240104</v>
      </c>
      <c r="H22645">
        <v>4362</v>
      </c>
      <c r="I22645" t="s">
        <v>79</v>
      </c>
      <c r="J22645">
        <v>20.09</v>
      </c>
      <c r="K22645">
        <v>3.89</v>
      </c>
      <c r="L22645">
        <v>17711</v>
      </c>
      <c r="M22645" t="s">
        <v>65</v>
      </c>
      <c r="N22645" t="str">
        <f t="shared" si="440"/>
        <v xml:space="preserve">12401023236 </v>
      </c>
      <c r="O22645">
        <v>240108</v>
      </c>
    </row>
    <row r="22646" spans="1:15" x14ac:dyDescent="0.25">
      <c r="A22646" t="s">
        <v>16</v>
      </c>
      <c r="B22646" t="s">
        <v>3221</v>
      </c>
      <c r="C22646">
        <v>18889</v>
      </c>
      <c r="D22646" t="s">
        <v>263</v>
      </c>
      <c r="E22646" t="s">
        <v>264</v>
      </c>
      <c r="F22646">
        <v>5.4</v>
      </c>
      <c r="G22646">
        <v>240104</v>
      </c>
      <c r="H22646">
        <v>4362</v>
      </c>
      <c r="I22646" t="s">
        <v>79</v>
      </c>
      <c r="J22646">
        <v>6.7</v>
      </c>
      <c r="K22646">
        <v>1.3</v>
      </c>
      <c r="L22646">
        <v>17737</v>
      </c>
      <c r="M22646" t="s">
        <v>279</v>
      </c>
      <c r="N22646" t="str">
        <f t="shared" si="440"/>
        <v xml:space="preserve">12401023236 </v>
      </c>
      <c r="O22646">
        <v>240108</v>
      </c>
    </row>
    <row r="22647" spans="1:15" x14ac:dyDescent="0.25">
      <c r="A22647" t="s">
        <v>16</v>
      </c>
      <c r="B22647" t="s">
        <v>3221</v>
      </c>
      <c r="C22647">
        <v>18889</v>
      </c>
      <c r="D22647" t="s">
        <v>263</v>
      </c>
      <c r="E22647" t="s">
        <v>264</v>
      </c>
      <c r="F22647">
        <v>16.2</v>
      </c>
      <c r="G22647">
        <v>240104</v>
      </c>
      <c r="H22647">
        <v>4362</v>
      </c>
      <c r="I22647" t="s">
        <v>79</v>
      </c>
      <c r="J22647">
        <v>20.09</v>
      </c>
      <c r="K22647">
        <v>3.89</v>
      </c>
      <c r="L22647">
        <v>17737</v>
      </c>
      <c r="M22647" t="s">
        <v>279</v>
      </c>
      <c r="N22647" t="str">
        <f t="shared" si="440"/>
        <v xml:space="preserve">12401023236 </v>
      </c>
      <c r="O22647">
        <v>240108</v>
      </c>
    </row>
    <row r="22648" spans="1:15" x14ac:dyDescent="0.25">
      <c r="A22648" t="s">
        <v>16</v>
      </c>
      <c r="B22648" t="s">
        <v>3221</v>
      </c>
      <c r="C22648">
        <v>18889</v>
      </c>
      <c r="D22648" t="s">
        <v>263</v>
      </c>
      <c r="E22648" t="s">
        <v>264</v>
      </c>
      <c r="F22648">
        <v>2.7</v>
      </c>
      <c r="G22648">
        <v>240104</v>
      </c>
      <c r="H22648">
        <v>4362</v>
      </c>
      <c r="I22648" t="s">
        <v>79</v>
      </c>
      <c r="J22648">
        <v>3.35</v>
      </c>
      <c r="K22648">
        <v>0.65</v>
      </c>
      <c r="L22648">
        <v>17912</v>
      </c>
      <c r="M22648" t="s">
        <v>419</v>
      </c>
      <c r="N22648" t="str">
        <f t="shared" si="440"/>
        <v xml:space="preserve">12401023236 </v>
      </c>
      <c r="O22648">
        <v>240108</v>
      </c>
    </row>
    <row r="22649" spans="1:15" x14ac:dyDescent="0.25">
      <c r="A22649" t="s">
        <v>16</v>
      </c>
      <c r="B22649" t="s">
        <v>3221</v>
      </c>
      <c r="C22649">
        <v>18889</v>
      </c>
      <c r="D22649" t="s">
        <v>263</v>
      </c>
      <c r="E22649" t="s">
        <v>264</v>
      </c>
      <c r="F22649">
        <v>4.1100000000000003</v>
      </c>
      <c r="G22649">
        <v>240104</v>
      </c>
      <c r="H22649">
        <v>4362</v>
      </c>
      <c r="I22649" t="s">
        <v>79</v>
      </c>
      <c r="J22649">
        <v>5.0999999999999996</v>
      </c>
      <c r="K22649">
        <v>0.99</v>
      </c>
      <c r="L22649">
        <v>17915</v>
      </c>
      <c r="M22649" t="s">
        <v>572</v>
      </c>
      <c r="N22649" t="str">
        <f t="shared" si="440"/>
        <v xml:space="preserve">12401023236 </v>
      </c>
      <c r="O22649">
        <v>240108</v>
      </c>
    </row>
    <row r="22650" spans="1:15" x14ac:dyDescent="0.25">
      <c r="A22650" t="s">
        <v>16</v>
      </c>
      <c r="B22650" t="s">
        <v>3221</v>
      </c>
      <c r="C22650">
        <v>18889</v>
      </c>
      <c r="D22650" t="s">
        <v>263</v>
      </c>
      <c r="E22650" t="s">
        <v>264</v>
      </c>
      <c r="F22650">
        <v>11.93</v>
      </c>
      <c r="G22650">
        <v>240104</v>
      </c>
      <c r="H22650">
        <v>4362</v>
      </c>
      <c r="I22650" t="s">
        <v>79</v>
      </c>
      <c r="J22650">
        <v>14.79</v>
      </c>
      <c r="K22650">
        <v>2.86</v>
      </c>
      <c r="L22650">
        <v>17952</v>
      </c>
      <c r="M22650" t="s">
        <v>88</v>
      </c>
      <c r="N22650" t="str">
        <f t="shared" si="440"/>
        <v xml:space="preserve">12401023236 </v>
      </c>
      <c r="O22650">
        <v>240108</v>
      </c>
    </row>
    <row r="22651" spans="1:15" x14ac:dyDescent="0.25">
      <c r="A22651" t="s">
        <v>16</v>
      </c>
      <c r="B22651" t="s">
        <v>3221</v>
      </c>
      <c r="C22651">
        <v>18889</v>
      </c>
      <c r="D22651" t="s">
        <v>263</v>
      </c>
      <c r="E22651" t="s">
        <v>264</v>
      </c>
      <c r="F22651">
        <v>8.1</v>
      </c>
      <c r="G22651">
        <v>240104</v>
      </c>
      <c r="H22651">
        <v>4362</v>
      </c>
      <c r="I22651" t="s">
        <v>79</v>
      </c>
      <c r="J22651">
        <v>10.039999999999999</v>
      </c>
      <c r="K22651">
        <v>1.94</v>
      </c>
      <c r="L22651">
        <v>17971</v>
      </c>
      <c r="M22651" t="s">
        <v>138</v>
      </c>
      <c r="N22651" t="str">
        <f t="shared" si="440"/>
        <v xml:space="preserve">12401023236 </v>
      </c>
      <c r="O22651">
        <v>240108</v>
      </c>
    </row>
    <row r="22652" spans="1:15" x14ac:dyDescent="0.25">
      <c r="A22652" t="s">
        <v>16</v>
      </c>
      <c r="B22652" t="s">
        <v>3221</v>
      </c>
      <c r="C22652">
        <v>18889</v>
      </c>
      <c r="D22652" t="s">
        <v>263</v>
      </c>
      <c r="E22652" t="s">
        <v>264</v>
      </c>
      <c r="F22652">
        <v>5.4</v>
      </c>
      <c r="G22652">
        <v>240104</v>
      </c>
      <c r="H22652">
        <v>4362</v>
      </c>
      <c r="I22652" t="s">
        <v>79</v>
      </c>
      <c r="J22652">
        <v>6.7</v>
      </c>
      <c r="K22652">
        <v>1.3</v>
      </c>
      <c r="L22652">
        <v>17972</v>
      </c>
      <c r="M22652" t="s">
        <v>248</v>
      </c>
      <c r="N22652" t="str">
        <f t="shared" si="440"/>
        <v xml:space="preserve">12401023236 </v>
      </c>
      <c r="O22652">
        <v>240108</v>
      </c>
    </row>
    <row r="22653" spans="1:15" x14ac:dyDescent="0.25">
      <c r="A22653" t="s">
        <v>16</v>
      </c>
      <c r="B22653" t="s">
        <v>3221</v>
      </c>
      <c r="C22653">
        <v>18909</v>
      </c>
      <c r="D22653" t="s">
        <v>263</v>
      </c>
      <c r="E22653" t="s">
        <v>264</v>
      </c>
      <c r="F22653">
        <v>5.32</v>
      </c>
      <c r="G22653">
        <v>240104</v>
      </c>
      <c r="H22653">
        <v>4362</v>
      </c>
      <c r="I22653" t="s">
        <v>79</v>
      </c>
      <c r="J22653">
        <v>6.6</v>
      </c>
      <c r="K22653">
        <v>1.28</v>
      </c>
      <c r="L22653">
        <v>44222</v>
      </c>
      <c r="M22653" t="s">
        <v>232</v>
      </c>
      <c r="N22653" t="str">
        <f>"12401023229 "</f>
        <v xml:space="preserve">12401023229 </v>
      </c>
      <c r="O22653">
        <v>240108</v>
      </c>
    </row>
    <row r="22654" spans="1:15" x14ac:dyDescent="0.25">
      <c r="A22654" t="s">
        <v>16</v>
      </c>
      <c r="B22654" t="s">
        <v>3221</v>
      </c>
      <c r="C22654">
        <v>18909</v>
      </c>
      <c r="D22654" t="s">
        <v>263</v>
      </c>
      <c r="E22654" t="s">
        <v>264</v>
      </c>
      <c r="F22654">
        <v>18.87</v>
      </c>
      <c r="G22654">
        <v>240104</v>
      </c>
      <c r="H22654">
        <v>4362</v>
      </c>
      <c r="I22654" t="s">
        <v>79</v>
      </c>
      <c r="J22654">
        <v>23.4</v>
      </c>
      <c r="K22654">
        <v>4.53</v>
      </c>
      <c r="L22654">
        <v>44222</v>
      </c>
      <c r="M22654" t="s">
        <v>232</v>
      </c>
      <c r="N22654" t="str">
        <f>"12401023229 "</f>
        <v xml:space="preserve">12401023229 </v>
      </c>
      <c r="O22654">
        <v>240108</v>
      </c>
    </row>
    <row r="22655" spans="1:15" x14ac:dyDescent="0.25">
      <c r="A22655" t="s">
        <v>16</v>
      </c>
      <c r="B22655" t="s">
        <v>3221</v>
      </c>
      <c r="C22655">
        <v>18909</v>
      </c>
      <c r="D22655" t="s">
        <v>263</v>
      </c>
      <c r="E22655" t="s">
        <v>264</v>
      </c>
      <c r="F22655">
        <v>2.97</v>
      </c>
      <c r="G22655">
        <v>240104</v>
      </c>
      <c r="H22655">
        <v>4362</v>
      </c>
      <c r="I22655" t="s">
        <v>79</v>
      </c>
      <c r="J22655">
        <v>3.68</v>
      </c>
      <c r="K22655">
        <v>0.71</v>
      </c>
      <c r="L22655">
        <v>44251</v>
      </c>
      <c r="M22655" t="s">
        <v>156</v>
      </c>
      <c r="N22655" t="str">
        <f>"12401023229 "</f>
        <v xml:space="preserve">12401023229 </v>
      </c>
      <c r="O22655">
        <v>240108</v>
      </c>
    </row>
    <row r="22656" spans="1:15" x14ac:dyDescent="0.25">
      <c r="A22656" t="s">
        <v>16</v>
      </c>
      <c r="B22656" t="s">
        <v>3221</v>
      </c>
      <c r="C22656">
        <v>18909</v>
      </c>
      <c r="D22656" t="s">
        <v>263</v>
      </c>
      <c r="E22656" t="s">
        <v>264</v>
      </c>
      <c r="F22656">
        <v>2.5499999999999998</v>
      </c>
      <c r="G22656">
        <v>240104</v>
      </c>
      <c r="H22656">
        <v>4362</v>
      </c>
      <c r="I22656" t="s">
        <v>79</v>
      </c>
      <c r="J22656">
        <v>3.16</v>
      </c>
      <c r="K22656">
        <v>0.61</v>
      </c>
      <c r="L22656">
        <v>44253</v>
      </c>
      <c r="M22656" t="s">
        <v>1058</v>
      </c>
      <c r="N22656" t="str">
        <f>"12401023229 "</f>
        <v xml:space="preserve">12401023229 </v>
      </c>
      <c r="O22656">
        <v>240108</v>
      </c>
    </row>
    <row r="22657" spans="1:15" x14ac:dyDescent="0.25">
      <c r="A22657" t="s">
        <v>16</v>
      </c>
      <c r="B22657" t="s">
        <v>3221</v>
      </c>
      <c r="C22657">
        <v>18909</v>
      </c>
      <c r="D22657" t="s">
        <v>263</v>
      </c>
      <c r="E22657" t="s">
        <v>264</v>
      </c>
      <c r="F22657">
        <v>7.43</v>
      </c>
      <c r="G22657">
        <v>240104</v>
      </c>
      <c r="H22657">
        <v>4362</v>
      </c>
      <c r="I22657" t="s">
        <v>79</v>
      </c>
      <c r="J22657">
        <v>7.43</v>
      </c>
      <c r="K22657">
        <v>0</v>
      </c>
      <c r="L22657">
        <v>49702</v>
      </c>
      <c r="M22657" t="s">
        <v>584</v>
      </c>
      <c r="N22657" t="str">
        <f>"12401023229 "</f>
        <v xml:space="preserve">12401023229 </v>
      </c>
      <c r="O22657">
        <v>240108</v>
      </c>
    </row>
    <row r="22658" spans="1:15" x14ac:dyDescent="0.25">
      <c r="A22658" t="s">
        <v>16</v>
      </c>
      <c r="B22658" t="s">
        <v>3221</v>
      </c>
      <c r="C22658">
        <v>18945</v>
      </c>
      <c r="D22658" t="s">
        <v>263</v>
      </c>
      <c r="E22658" t="s">
        <v>264</v>
      </c>
      <c r="F22658">
        <v>27.44</v>
      </c>
      <c r="G22658">
        <v>240104</v>
      </c>
      <c r="H22658">
        <v>4362</v>
      </c>
      <c r="I22658" t="s">
        <v>79</v>
      </c>
      <c r="J22658">
        <v>34.03</v>
      </c>
      <c r="K22658">
        <v>6.59</v>
      </c>
      <c r="L22658">
        <v>61122</v>
      </c>
      <c r="M22658" t="s">
        <v>402</v>
      </c>
      <c r="N22658" t="str">
        <f t="shared" ref="N22658:N22684" si="441">"12401023217 "</f>
        <v xml:space="preserve">12401023217 </v>
      </c>
      <c r="O22658">
        <v>240109</v>
      </c>
    </row>
    <row r="22659" spans="1:15" x14ac:dyDescent="0.25">
      <c r="A22659" t="s">
        <v>16</v>
      </c>
      <c r="B22659" t="s">
        <v>3221</v>
      </c>
      <c r="C22659">
        <v>18945</v>
      </c>
      <c r="D22659" t="s">
        <v>263</v>
      </c>
      <c r="E22659" t="s">
        <v>264</v>
      </c>
      <c r="F22659">
        <v>3.78</v>
      </c>
      <c r="G22659">
        <v>240104</v>
      </c>
      <c r="H22659">
        <v>4362</v>
      </c>
      <c r="I22659" t="s">
        <v>79</v>
      </c>
      <c r="J22659">
        <v>4.6900000000000004</v>
      </c>
      <c r="K22659">
        <v>0.91</v>
      </c>
      <c r="L22659">
        <v>61122</v>
      </c>
      <c r="M22659" t="s">
        <v>402</v>
      </c>
      <c r="N22659" t="str">
        <f t="shared" si="441"/>
        <v xml:space="preserve">12401023217 </v>
      </c>
      <c r="O22659">
        <v>240109</v>
      </c>
    </row>
    <row r="22660" spans="1:15" x14ac:dyDescent="0.25">
      <c r="A22660" t="s">
        <v>16</v>
      </c>
      <c r="B22660" t="s">
        <v>3221</v>
      </c>
      <c r="C22660">
        <v>18945</v>
      </c>
      <c r="D22660" t="s">
        <v>263</v>
      </c>
      <c r="E22660" t="s">
        <v>264</v>
      </c>
      <c r="F22660">
        <v>13.16</v>
      </c>
      <c r="G22660">
        <v>240104</v>
      </c>
      <c r="H22660">
        <v>4362</v>
      </c>
      <c r="I22660" t="s">
        <v>79</v>
      </c>
      <c r="J22660">
        <v>16.32</v>
      </c>
      <c r="K22660">
        <v>3.16</v>
      </c>
      <c r="L22660">
        <v>65222</v>
      </c>
      <c r="M22660" t="s">
        <v>487</v>
      </c>
      <c r="N22660" t="str">
        <f t="shared" si="441"/>
        <v xml:space="preserve">12401023217 </v>
      </c>
      <c r="O22660">
        <v>240109</v>
      </c>
    </row>
    <row r="22661" spans="1:15" x14ac:dyDescent="0.25">
      <c r="A22661" t="s">
        <v>16</v>
      </c>
      <c r="B22661" t="s">
        <v>3221</v>
      </c>
      <c r="C22661">
        <v>18945</v>
      </c>
      <c r="D22661" t="s">
        <v>263</v>
      </c>
      <c r="E22661" t="s">
        <v>264</v>
      </c>
      <c r="F22661">
        <v>2.7</v>
      </c>
      <c r="G22661">
        <v>240104</v>
      </c>
      <c r="H22661">
        <v>4362</v>
      </c>
      <c r="I22661" t="s">
        <v>79</v>
      </c>
      <c r="J22661">
        <v>3.35</v>
      </c>
      <c r="K22661">
        <v>0.65</v>
      </c>
      <c r="L22661">
        <v>65422</v>
      </c>
      <c r="M22661" t="s">
        <v>602</v>
      </c>
      <c r="N22661" t="str">
        <f t="shared" si="441"/>
        <v xml:space="preserve">12401023217 </v>
      </c>
      <c r="O22661">
        <v>240109</v>
      </c>
    </row>
    <row r="22662" spans="1:15" x14ac:dyDescent="0.25">
      <c r="A22662" t="s">
        <v>16</v>
      </c>
      <c r="B22662" t="s">
        <v>3221</v>
      </c>
      <c r="C22662">
        <v>18945</v>
      </c>
      <c r="D22662" t="s">
        <v>263</v>
      </c>
      <c r="E22662" t="s">
        <v>264</v>
      </c>
      <c r="F22662">
        <v>8.84</v>
      </c>
      <c r="G22662">
        <v>240104</v>
      </c>
      <c r="H22662">
        <v>4362</v>
      </c>
      <c r="I22662" t="s">
        <v>79</v>
      </c>
      <c r="J22662">
        <v>10.96</v>
      </c>
      <c r="K22662">
        <v>2.12</v>
      </c>
      <c r="L22662">
        <v>66722</v>
      </c>
      <c r="M22662" t="s">
        <v>518</v>
      </c>
      <c r="N22662" t="str">
        <f t="shared" si="441"/>
        <v xml:space="preserve">12401023217 </v>
      </c>
      <c r="O22662">
        <v>240109</v>
      </c>
    </row>
    <row r="22663" spans="1:15" x14ac:dyDescent="0.25">
      <c r="A22663" t="s">
        <v>16</v>
      </c>
      <c r="B22663" t="s">
        <v>3221</v>
      </c>
      <c r="C22663">
        <v>18945</v>
      </c>
      <c r="D22663" t="s">
        <v>263</v>
      </c>
      <c r="E22663" t="s">
        <v>264</v>
      </c>
      <c r="F22663">
        <v>1.35</v>
      </c>
      <c r="G22663">
        <v>240104</v>
      </c>
      <c r="H22663">
        <v>4362</v>
      </c>
      <c r="I22663" t="s">
        <v>79</v>
      </c>
      <c r="J22663">
        <v>1.67</v>
      </c>
      <c r="K22663">
        <v>0.32</v>
      </c>
      <c r="L22663">
        <v>66754</v>
      </c>
      <c r="M22663" t="s">
        <v>239</v>
      </c>
      <c r="N22663" t="str">
        <f t="shared" si="441"/>
        <v xml:space="preserve">12401023217 </v>
      </c>
      <c r="O22663">
        <v>240109</v>
      </c>
    </row>
    <row r="22664" spans="1:15" x14ac:dyDescent="0.25">
      <c r="A22664" t="s">
        <v>16</v>
      </c>
      <c r="B22664" t="s">
        <v>3221</v>
      </c>
      <c r="C22664">
        <v>18945</v>
      </c>
      <c r="D22664" t="s">
        <v>263</v>
      </c>
      <c r="E22664" t="s">
        <v>264</v>
      </c>
      <c r="F22664">
        <v>2.7</v>
      </c>
      <c r="G22664">
        <v>240104</v>
      </c>
      <c r="H22664">
        <v>4362</v>
      </c>
      <c r="I22664" t="s">
        <v>79</v>
      </c>
      <c r="J22664">
        <v>3.35</v>
      </c>
      <c r="K22664">
        <v>0.65</v>
      </c>
      <c r="L22664">
        <v>66754</v>
      </c>
      <c r="M22664" t="s">
        <v>239</v>
      </c>
      <c r="N22664" t="str">
        <f t="shared" si="441"/>
        <v xml:space="preserve">12401023217 </v>
      </c>
      <c r="O22664">
        <v>240109</v>
      </c>
    </row>
    <row r="22665" spans="1:15" x14ac:dyDescent="0.25">
      <c r="A22665" t="s">
        <v>16</v>
      </c>
      <c r="B22665" t="s">
        <v>3221</v>
      </c>
      <c r="C22665">
        <v>18945</v>
      </c>
      <c r="D22665" t="s">
        <v>263</v>
      </c>
      <c r="E22665" t="s">
        <v>264</v>
      </c>
      <c r="F22665">
        <v>2.7</v>
      </c>
      <c r="G22665">
        <v>240104</v>
      </c>
      <c r="H22665">
        <v>4362</v>
      </c>
      <c r="I22665" t="s">
        <v>79</v>
      </c>
      <c r="J22665">
        <v>3.35</v>
      </c>
      <c r="K22665">
        <v>0.65</v>
      </c>
      <c r="L22665">
        <v>66754</v>
      </c>
      <c r="M22665" t="s">
        <v>239</v>
      </c>
      <c r="N22665" t="str">
        <f t="shared" si="441"/>
        <v xml:space="preserve">12401023217 </v>
      </c>
      <c r="O22665">
        <v>240109</v>
      </c>
    </row>
    <row r="22666" spans="1:15" x14ac:dyDescent="0.25">
      <c r="A22666" t="s">
        <v>16</v>
      </c>
      <c r="B22666" t="s">
        <v>3221</v>
      </c>
      <c r="C22666">
        <v>18945</v>
      </c>
      <c r="D22666" t="s">
        <v>263</v>
      </c>
      <c r="E22666" t="s">
        <v>264</v>
      </c>
      <c r="F22666">
        <v>19.96</v>
      </c>
      <c r="G22666">
        <v>240104</v>
      </c>
      <c r="H22666">
        <v>4362</v>
      </c>
      <c r="I22666" t="s">
        <v>79</v>
      </c>
      <c r="J22666">
        <v>24.75</v>
      </c>
      <c r="K22666">
        <v>4.79</v>
      </c>
      <c r="L22666">
        <v>66754</v>
      </c>
      <c r="M22666" t="s">
        <v>239</v>
      </c>
      <c r="N22666" t="str">
        <f t="shared" si="441"/>
        <v xml:space="preserve">12401023217 </v>
      </c>
      <c r="O22666">
        <v>240109</v>
      </c>
    </row>
    <row r="22667" spans="1:15" x14ac:dyDescent="0.25">
      <c r="A22667" t="s">
        <v>16</v>
      </c>
      <c r="B22667" t="s">
        <v>3221</v>
      </c>
      <c r="C22667">
        <v>18945</v>
      </c>
      <c r="D22667" t="s">
        <v>263</v>
      </c>
      <c r="E22667" t="s">
        <v>264</v>
      </c>
      <c r="F22667">
        <v>8.65</v>
      </c>
      <c r="G22667">
        <v>240104</v>
      </c>
      <c r="H22667">
        <v>4362</v>
      </c>
      <c r="I22667" t="s">
        <v>79</v>
      </c>
      <c r="J22667">
        <v>10.73</v>
      </c>
      <c r="K22667">
        <v>2.08</v>
      </c>
      <c r="L22667">
        <v>66756</v>
      </c>
      <c r="M22667" t="s">
        <v>209</v>
      </c>
      <c r="N22667" t="str">
        <f t="shared" si="441"/>
        <v xml:space="preserve">12401023217 </v>
      </c>
      <c r="O22667">
        <v>240109</v>
      </c>
    </row>
    <row r="22668" spans="1:15" x14ac:dyDescent="0.25">
      <c r="A22668" t="s">
        <v>16</v>
      </c>
      <c r="B22668" t="s">
        <v>3221</v>
      </c>
      <c r="C22668">
        <v>18945</v>
      </c>
      <c r="D22668" t="s">
        <v>263</v>
      </c>
      <c r="E22668" t="s">
        <v>264</v>
      </c>
      <c r="F22668">
        <v>48.99</v>
      </c>
      <c r="G22668">
        <v>240104</v>
      </c>
      <c r="H22668">
        <v>4362</v>
      </c>
      <c r="I22668" t="s">
        <v>79</v>
      </c>
      <c r="J22668">
        <v>60.75</v>
      </c>
      <c r="K22668">
        <v>11.76</v>
      </c>
      <c r="L22668">
        <v>67522</v>
      </c>
      <c r="M22668" t="s">
        <v>397</v>
      </c>
      <c r="N22668" t="str">
        <f t="shared" si="441"/>
        <v xml:space="preserve">12401023217 </v>
      </c>
      <c r="O22668">
        <v>240109</v>
      </c>
    </row>
    <row r="22669" spans="1:15" x14ac:dyDescent="0.25">
      <c r="A22669" t="s">
        <v>16</v>
      </c>
      <c r="B22669" t="s">
        <v>3221</v>
      </c>
      <c r="C22669">
        <v>18945</v>
      </c>
      <c r="D22669" t="s">
        <v>263</v>
      </c>
      <c r="E22669" t="s">
        <v>264</v>
      </c>
      <c r="F22669">
        <v>13.5</v>
      </c>
      <c r="G22669">
        <v>240104</v>
      </c>
      <c r="H22669">
        <v>4362</v>
      </c>
      <c r="I22669" t="s">
        <v>79</v>
      </c>
      <c r="J22669">
        <v>16.739999999999998</v>
      </c>
      <c r="K22669">
        <v>3.24</v>
      </c>
      <c r="L22669">
        <v>67522</v>
      </c>
      <c r="M22669" t="s">
        <v>397</v>
      </c>
      <c r="N22669" t="str">
        <f t="shared" si="441"/>
        <v xml:space="preserve">12401023217 </v>
      </c>
      <c r="O22669">
        <v>240109</v>
      </c>
    </row>
    <row r="22670" spans="1:15" x14ac:dyDescent="0.25">
      <c r="A22670" t="s">
        <v>16</v>
      </c>
      <c r="B22670" t="s">
        <v>3221</v>
      </c>
      <c r="C22670">
        <v>18945</v>
      </c>
      <c r="D22670" t="s">
        <v>263</v>
      </c>
      <c r="E22670" t="s">
        <v>264</v>
      </c>
      <c r="F22670">
        <v>1.35</v>
      </c>
      <c r="G22670">
        <v>240104</v>
      </c>
      <c r="H22670">
        <v>4362</v>
      </c>
      <c r="I22670" t="s">
        <v>79</v>
      </c>
      <c r="J22670">
        <v>1.67</v>
      </c>
      <c r="K22670">
        <v>0.32</v>
      </c>
      <c r="L22670">
        <v>67554</v>
      </c>
      <c r="M22670" t="s">
        <v>60</v>
      </c>
      <c r="N22670" t="str">
        <f t="shared" si="441"/>
        <v xml:space="preserve">12401023217 </v>
      </c>
      <c r="O22670">
        <v>240109</v>
      </c>
    </row>
    <row r="22671" spans="1:15" x14ac:dyDescent="0.25">
      <c r="A22671" t="s">
        <v>16</v>
      </c>
      <c r="B22671" t="s">
        <v>3221</v>
      </c>
      <c r="C22671">
        <v>18945</v>
      </c>
      <c r="D22671" t="s">
        <v>263</v>
      </c>
      <c r="E22671" t="s">
        <v>264</v>
      </c>
      <c r="F22671">
        <v>5.25</v>
      </c>
      <c r="G22671">
        <v>240104</v>
      </c>
      <c r="H22671">
        <v>4362</v>
      </c>
      <c r="I22671" t="s">
        <v>79</v>
      </c>
      <c r="J22671">
        <v>6.51</v>
      </c>
      <c r="K22671">
        <v>1.26</v>
      </c>
      <c r="L22671">
        <v>67554</v>
      </c>
      <c r="M22671" t="s">
        <v>60</v>
      </c>
      <c r="N22671" t="str">
        <f t="shared" si="441"/>
        <v xml:space="preserve">12401023217 </v>
      </c>
      <c r="O22671">
        <v>240109</v>
      </c>
    </row>
    <row r="22672" spans="1:15" x14ac:dyDescent="0.25">
      <c r="A22672" t="s">
        <v>16</v>
      </c>
      <c r="B22672" t="s">
        <v>3221</v>
      </c>
      <c r="C22672">
        <v>18945</v>
      </c>
      <c r="D22672" t="s">
        <v>263</v>
      </c>
      <c r="E22672" t="s">
        <v>264</v>
      </c>
      <c r="F22672">
        <v>58.05</v>
      </c>
      <c r="G22672">
        <v>240104</v>
      </c>
      <c r="H22672">
        <v>4362</v>
      </c>
      <c r="I22672" t="s">
        <v>79</v>
      </c>
      <c r="J22672">
        <v>71.98</v>
      </c>
      <c r="K22672">
        <v>13.93</v>
      </c>
      <c r="L22672">
        <v>67554</v>
      </c>
      <c r="M22672" t="s">
        <v>60</v>
      </c>
      <c r="N22672" t="str">
        <f t="shared" si="441"/>
        <v xml:space="preserve">12401023217 </v>
      </c>
      <c r="O22672">
        <v>240109</v>
      </c>
    </row>
    <row r="22673" spans="1:15" x14ac:dyDescent="0.25">
      <c r="A22673" t="s">
        <v>16</v>
      </c>
      <c r="B22673" t="s">
        <v>3221</v>
      </c>
      <c r="C22673">
        <v>18945</v>
      </c>
      <c r="D22673" t="s">
        <v>263</v>
      </c>
      <c r="E22673" t="s">
        <v>264</v>
      </c>
      <c r="F22673">
        <v>5.41</v>
      </c>
      <c r="G22673">
        <v>240104</v>
      </c>
      <c r="H22673">
        <v>4362</v>
      </c>
      <c r="I22673" t="s">
        <v>79</v>
      </c>
      <c r="J22673">
        <v>6.71</v>
      </c>
      <c r="K22673">
        <v>1.3</v>
      </c>
      <c r="L22673">
        <v>67554</v>
      </c>
      <c r="M22673" t="s">
        <v>60</v>
      </c>
      <c r="N22673" t="str">
        <f t="shared" si="441"/>
        <v xml:space="preserve">12401023217 </v>
      </c>
      <c r="O22673">
        <v>240109</v>
      </c>
    </row>
    <row r="22674" spans="1:15" x14ac:dyDescent="0.25">
      <c r="A22674" t="s">
        <v>16</v>
      </c>
      <c r="B22674" t="s">
        <v>3221</v>
      </c>
      <c r="C22674">
        <v>18945</v>
      </c>
      <c r="D22674" t="s">
        <v>263</v>
      </c>
      <c r="E22674" t="s">
        <v>264</v>
      </c>
      <c r="F22674">
        <v>8.1</v>
      </c>
      <c r="G22674">
        <v>240104</v>
      </c>
      <c r="H22674">
        <v>4362</v>
      </c>
      <c r="I22674" t="s">
        <v>79</v>
      </c>
      <c r="J22674">
        <v>10.039999999999999</v>
      </c>
      <c r="K22674">
        <v>1.94</v>
      </c>
      <c r="L22674">
        <v>69111</v>
      </c>
      <c r="M22674" t="s">
        <v>471</v>
      </c>
      <c r="N22674" t="str">
        <f t="shared" si="441"/>
        <v xml:space="preserve">12401023217 </v>
      </c>
      <c r="O22674">
        <v>240109</v>
      </c>
    </row>
    <row r="22675" spans="1:15" x14ac:dyDescent="0.25">
      <c r="A22675" t="s">
        <v>16</v>
      </c>
      <c r="B22675" t="s">
        <v>3221</v>
      </c>
      <c r="C22675">
        <v>18945</v>
      </c>
      <c r="D22675" t="s">
        <v>263</v>
      </c>
      <c r="E22675" t="s">
        <v>264</v>
      </c>
      <c r="F22675">
        <v>2.7</v>
      </c>
      <c r="G22675">
        <v>240104</v>
      </c>
      <c r="H22675">
        <v>4362</v>
      </c>
      <c r="I22675" t="s">
        <v>79</v>
      </c>
      <c r="J22675">
        <v>3.35</v>
      </c>
      <c r="K22675">
        <v>0.65</v>
      </c>
      <c r="L22675">
        <v>69112</v>
      </c>
      <c r="M22675" t="s">
        <v>313</v>
      </c>
      <c r="N22675" t="str">
        <f t="shared" si="441"/>
        <v xml:space="preserve">12401023217 </v>
      </c>
      <c r="O22675">
        <v>240109</v>
      </c>
    </row>
    <row r="22676" spans="1:15" x14ac:dyDescent="0.25">
      <c r="A22676" t="s">
        <v>16</v>
      </c>
      <c r="B22676" t="s">
        <v>3221</v>
      </c>
      <c r="C22676">
        <v>18945</v>
      </c>
      <c r="D22676" t="s">
        <v>263</v>
      </c>
      <c r="E22676" t="s">
        <v>264</v>
      </c>
      <c r="F22676">
        <v>11.07</v>
      </c>
      <c r="G22676">
        <v>240104</v>
      </c>
      <c r="H22676">
        <v>4362</v>
      </c>
      <c r="I22676" t="s">
        <v>79</v>
      </c>
      <c r="J22676">
        <v>13.73</v>
      </c>
      <c r="K22676">
        <v>2.66</v>
      </c>
      <c r="L22676">
        <v>69113</v>
      </c>
      <c r="M22676" t="s">
        <v>282</v>
      </c>
      <c r="N22676" t="str">
        <f t="shared" si="441"/>
        <v xml:space="preserve">12401023217 </v>
      </c>
      <c r="O22676">
        <v>240109</v>
      </c>
    </row>
    <row r="22677" spans="1:15" x14ac:dyDescent="0.25">
      <c r="A22677" t="s">
        <v>16</v>
      </c>
      <c r="B22677" t="s">
        <v>3221</v>
      </c>
      <c r="C22677">
        <v>18945</v>
      </c>
      <c r="D22677" t="s">
        <v>263</v>
      </c>
      <c r="E22677" t="s">
        <v>264</v>
      </c>
      <c r="F22677">
        <v>28.5</v>
      </c>
      <c r="G22677">
        <v>240104</v>
      </c>
      <c r="H22677">
        <v>4362</v>
      </c>
      <c r="I22677" t="s">
        <v>79</v>
      </c>
      <c r="J22677">
        <v>35.340000000000003</v>
      </c>
      <c r="K22677">
        <v>6.84</v>
      </c>
      <c r="L22677">
        <v>69501</v>
      </c>
      <c r="M22677" t="s">
        <v>185</v>
      </c>
      <c r="N22677" t="str">
        <f t="shared" si="441"/>
        <v xml:space="preserve">12401023217 </v>
      </c>
      <c r="O22677">
        <v>240109</v>
      </c>
    </row>
    <row r="22678" spans="1:15" x14ac:dyDescent="0.25">
      <c r="A22678" t="s">
        <v>16</v>
      </c>
      <c r="B22678" t="s">
        <v>3221</v>
      </c>
      <c r="C22678">
        <v>18945</v>
      </c>
      <c r="D22678" t="s">
        <v>263</v>
      </c>
      <c r="E22678" t="s">
        <v>264</v>
      </c>
      <c r="F22678">
        <v>4.05</v>
      </c>
      <c r="G22678">
        <v>240104</v>
      </c>
      <c r="H22678">
        <v>4362</v>
      </c>
      <c r="I22678" t="s">
        <v>79</v>
      </c>
      <c r="J22678">
        <v>5.0199999999999996</v>
      </c>
      <c r="K22678">
        <v>0.97</v>
      </c>
      <c r="L22678">
        <v>69701</v>
      </c>
      <c r="M22678" t="s">
        <v>488</v>
      </c>
      <c r="N22678" t="str">
        <f t="shared" si="441"/>
        <v xml:space="preserve">12401023217 </v>
      </c>
      <c r="O22678">
        <v>240109</v>
      </c>
    </row>
    <row r="22679" spans="1:15" x14ac:dyDescent="0.25">
      <c r="A22679" t="s">
        <v>16</v>
      </c>
      <c r="B22679" t="s">
        <v>3221</v>
      </c>
      <c r="C22679">
        <v>18945</v>
      </c>
      <c r="D22679" t="s">
        <v>263</v>
      </c>
      <c r="E22679" t="s">
        <v>264</v>
      </c>
      <c r="F22679">
        <v>2.7</v>
      </c>
      <c r="G22679">
        <v>240104</v>
      </c>
      <c r="H22679">
        <v>4362</v>
      </c>
      <c r="I22679" t="s">
        <v>79</v>
      </c>
      <c r="J22679">
        <v>3.35</v>
      </c>
      <c r="K22679">
        <v>0.65</v>
      </c>
      <c r="L22679">
        <v>69702</v>
      </c>
      <c r="M22679" t="s">
        <v>489</v>
      </c>
      <c r="N22679" t="str">
        <f t="shared" si="441"/>
        <v xml:space="preserve">12401023217 </v>
      </c>
      <c r="O22679">
        <v>240109</v>
      </c>
    </row>
    <row r="22680" spans="1:15" x14ac:dyDescent="0.25">
      <c r="A22680" t="s">
        <v>16</v>
      </c>
      <c r="B22680" t="s">
        <v>3221</v>
      </c>
      <c r="C22680">
        <v>18945</v>
      </c>
      <c r="D22680" t="s">
        <v>263</v>
      </c>
      <c r="E22680" t="s">
        <v>264</v>
      </c>
      <c r="F22680">
        <v>4.05</v>
      </c>
      <c r="G22680">
        <v>240104</v>
      </c>
      <c r="H22680">
        <v>4362</v>
      </c>
      <c r="I22680" t="s">
        <v>79</v>
      </c>
      <c r="J22680">
        <v>5.0199999999999996</v>
      </c>
      <c r="K22680">
        <v>0.97</v>
      </c>
      <c r="L22680">
        <v>69703</v>
      </c>
      <c r="M22680" t="s">
        <v>1036</v>
      </c>
      <c r="N22680" t="str">
        <f t="shared" si="441"/>
        <v xml:space="preserve">12401023217 </v>
      </c>
      <c r="O22680">
        <v>240109</v>
      </c>
    </row>
    <row r="22681" spans="1:15" x14ac:dyDescent="0.25">
      <c r="A22681" t="s">
        <v>16</v>
      </c>
      <c r="B22681" t="s">
        <v>3221</v>
      </c>
      <c r="C22681">
        <v>18945</v>
      </c>
      <c r="D22681" t="s">
        <v>263</v>
      </c>
      <c r="E22681" t="s">
        <v>264</v>
      </c>
      <c r="F22681">
        <v>5.25</v>
      </c>
      <c r="G22681">
        <v>240104</v>
      </c>
      <c r="H22681">
        <v>4362</v>
      </c>
      <c r="I22681" t="s">
        <v>79</v>
      </c>
      <c r="J22681">
        <v>6.51</v>
      </c>
      <c r="K22681">
        <v>1.26</v>
      </c>
      <c r="L22681">
        <v>69704</v>
      </c>
      <c r="M22681" t="s">
        <v>325</v>
      </c>
      <c r="N22681" t="str">
        <f t="shared" si="441"/>
        <v xml:space="preserve">12401023217 </v>
      </c>
      <c r="O22681">
        <v>240109</v>
      </c>
    </row>
    <row r="22682" spans="1:15" x14ac:dyDescent="0.25">
      <c r="A22682" t="s">
        <v>16</v>
      </c>
      <c r="B22682" t="s">
        <v>3221</v>
      </c>
      <c r="C22682">
        <v>18945</v>
      </c>
      <c r="D22682" t="s">
        <v>263</v>
      </c>
      <c r="E22682" t="s">
        <v>264</v>
      </c>
      <c r="F22682">
        <v>5.25</v>
      </c>
      <c r="G22682">
        <v>240104</v>
      </c>
      <c r="H22682">
        <v>4362</v>
      </c>
      <c r="I22682" t="s">
        <v>79</v>
      </c>
      <c r="J22682">
        <v>6.51</v>
      </c>
      <c r="K22682">
        <v>1.26</v>
      </c>
      <c r="L22682">
        <v>69704</v>
      </c>
      <c r="M22682" t="s">
        <v>325</v>
      </c>
      <c r="N22682" t="str">
        <f t="shared" si="441"/>
        <v xml:space="preserve">12401023217 </v>
      </c>
      <c r="O22682">
        <v>240109</v>
      </c>
    </row>
    <row r="22683" spans="1:15" x14ac:dyDescent="0.25">
      <c r="A22683" t="s">
        <v>16</v>
      </c>
      <c r="B22683" t="s">
        <v>3221</v>
      </c>
      <c r="C22683">
        <v>18945</v>
      </c>
      <c r="D22683" t="s">
        <v>263</v>
      </c>
      <c r="E22683" t="s">
        <v>264</v>
      </c>
      <c r="F22683">
        <v>8.1</v>
      </c>
      <c r="G22683">
        <v>240104</v>
      </c>
      <c r="H22683">
        <v>4362</v>
      </c>
      <c r="I22683" t="s">
        <v>79</v>
      </c>
      <c r="J22683">
        <v>10.039999999999999</v>
      </c>
      <c r="K22683">
        <v>1.94</v>
      </c>
      <c r="L22683">
        <v>69707</v>
      </c>
      <c r="M22683" t="s">
        <v>490</v>
      </c>
      <c r="N22683" t="str">
        <f t="shared" si="441"/>
        <v xml:space="preserve">12401023217 </v>
      </c>
      <c r="O22683">
        <v>240109</v>
      </c>
    </row>
    <row r="22684" spans="1:15" x14ac:dyDescent="0.25">
      <c r="A22684" t="s">
        <v>16</v>
      </c>
      <c r="B22684" t="s">
        <v>3221</v>
      </c>
      <c r="C22684">
        <v>18945</v>
      </c>
      <c r="D22684" t="s">
        <v>263</v>
      </c>
      <c r="E22684" t="s">
        <v>264</v>
      </c>
      <c r="F22684">
        <v>10.8</v>
      </c>
      <c r="G22684">
        <v>240104</v>
      </c>
      <c r="H22684">
        <v>4362</v>
      </c>
      <c r="I22684" t="s">
        <v>79</v>
      </c>
      <c r="J22684">
        <v>13.39</v>
      </c>
      <c r="K22684">
        <v>2.59</v>
      </c>
      <c r="L22684">
        <v>69708</v>
      </c>
      <c r="M22684" t="s">
        <v>491</v>
      </c>
      <c r="N22684" t="str">
        <f t="shared" si="441"/>
        <v xml:space="preserve">12401023217 </v>
      </c>
      <c r="O22684">
        <v>240109</v>
      </c>
    </row>
    <row r="22685" spans="1:15" x14ac:dyDescent="0.25">
      <c r="A22685" t="s">
        <v>16</v>
      </c>
      <c r="B22685" t="s">
        <v>3221</v>
      </c>
      <c r="C22685">
        <v>18950</v>
      </c>
      <c r="D22685" t="s">
        <v>263</v>
      </c>
      <c r="E22685" t="s">
        <v>264</v>
      </c>
      <c r="F22685">
        <v>6.07</v>
      </c>
      <c r="G22685">
        <v>240104</v>
      </c>
      <c r="H22685">
        <v>4362</v>
      </c>
      <c r="I22685" t="s">
        <v>79</v>
      </c>
      <c r="J22685">
        <v>7.53</v>
      </c>
      <c r="K22685">
        <v>1.46</v>
      </c>
      <c r="L22685">
        <v>46557</v>
      </c>
      <c r="M22685" t="s">
        <v>221</v>
      </c>
      <c r="N22685" t="str">
        <f>"12401023246 "</f>
        <v xml:space="preserve">12401023246 </v>
      </c>
      <c r="O22685">
        <v>240109</v>
      </c>
    </row>
    <row r="22686" spans="1:15" x14ac:dyDescent="0.25">
      <c r="A22686" t="s">
        <v>16</v>
      </c>
      <c r="B22686" t="s">
        <v>3221</v>
      </c>
      <c r="C22686">
        <v>18954</v>
      </c>
      <c r="D22686" t="s">
        <v>263</v>
      </c>
      <c r="E22686" t="s">
        <v>264</v>
      </c>
      <c r="F22686">
        <v>2.48</v>
      </c>
      <c r="G22686">
        <v>240104</v>
      </c>
      <c r="H22686">
        <v>4362</v>
      </c>
      <c r="I22686" t="s">
        <v>79</v>
      </c>
      <c r="J22686">
        <v>3.07</v>
      </c>
      <c r="K22686">
        <v>0.59</v>
      </c>
      <c r="L22686">
        <v>53222</v>
      </c>
      <c r="M22686" t="s">
        <v>445</v>
      </c>
      <c r="N22686" t="str">
        <f>"12401023244 "</f>
        <v xml:space="preserve">12401023244 </v>
      </c>
      <c r="O22686">
        <v>240109</v>
      </c>
    </row>
    <row r="22687" spans="1:15" x14ac:dyDescent="0.25">
      <c r="A22687" t="s">
        <v>16</v>
      </c>
      <c r="B22687" t="s">
        <v>3221</v>
      </c>
      <c r="C22687">
        <v>18954</v>
      </c>
      <c r="D22687" t="s">
        <v>263</v>
      </c>
      <c r="E22687" t="s">
        <v>264</v>
      </c>
      <c r="F22687">
        <v>14.04</v>
      </c>
      <c r="G22687">
        <v>240104</v>
      </c>
      <c r="H22687">
        <v>4362</v>
      </c>
      <c r="I22687" t="s">
        <v>79</v>
      </c>
      <c r="J22687">
        <v>17.41</v>
      </c>
      <c r="K22687">
        <v>3.37</v>
      </c>
      <c r="L22687">
        <v>53222</v>
      </c>
      <c r="M22687" t="s">
        <v>445</v>
      </c>
      <c r="N22687" t="str">
        <f>"12401023244 "</f>
        <v xml:space="preserve">12401023244 </v>
      </c>
      <c r="O22687">
        <v>240109</v>
      </c>
    </row>
    <row r="22688" spans="1:15" x14ac:dyDescent="0.25">
      <c r="A22688" t="s">
        <v>16</v>
      </c>
      <c r="B22688" t="s">
        <v>3221</v>
      </c>
      <c r="C22688">
        <v>18954</v>
      </c>
      <c r="D22688" t="s">
        <v>263</v>
      </c>
      <c r="E22688" t="s">
        <v>264</v>
      </c>
      <c r="F22688">
        <v>2.7</v>
      </c>
      <c r="G22688">
        <v>240104</v>
      </c>
      <c r="H22688">
        <v>4362</v>
      </c>
      <c r="I22688" t="s">
        <v>79</v>
      </c>
      <c r="J22688">
        <v>3.35</v>
      </c>
      <c r="K22688">
        <v>0.65</v>
      </c>
      <c r="L22688">
        <v>54622</v>
      </c>
      <c r="M22688" t="s">
        <v>872</v>
      </c>
      <c r="N22688" t="str">
        <f>"12401023244 "</f>
        <v xml:space="preserve">12401023244 </v>
      </c>
      <c r="O22688">
        <v>240109</v>
      </c>
    </row>
    <row r="22689" spans="1:15" x14ac:dyDescent="0.25">
      <c r="A22689" t="s">
        <v>16</v>
      </c>
      <c r="B22689" t="s">
        <v>3221</v>
      </c>
      <c r="C22689">
        <v>18954</v>
      </c>
      <c r="D22689" t="s">
        <v>263</v>
      </c>
      <c r="E22689" t="s">
        <v>264</v>
      </c>
      <c r="F22689">
        <v>2.7</v>
      </c>
      <c r="G22689">
        <v>240104</v>
      </c>
      <c r="H22689">
        <v>4362</v>
      </c>
      <c r="I22689" t="s">
        <v>79</v>
      </c>
      <c r="J22689">
        <v>3.35</v>
      </c>
      <c r="K22689">
        <v>0.65</v>
      </c>
      <c r="L22689">
        <v>55222</v>
      </c>
      <c r="M22689" t="s">
        <v>873</v>
      </c>
      <c r="N22689" t="str">
        <f>"12401023244 "</f>
        <v xml:space="preserve">12401023244 </v>
      </c>
      <c r="O22689">
        <v>240109</v>
      </c>
    </row>
    <row r="22690" spans="1:15" x14ac:dyDescent="0.25">
      <c r="A22690" t="s">
        <v>16</v>
      </c>
      <c r="B22690" t="s">
        <v>3221</v>
      </c>
      <c r="C22690">
        <v>18955</v>
      </c>
      <c r="D22690" t="s">
        <v>263</v>
      </c>
      <c r="E22690" t="s">
        <v>264</v>
      </c>
      <c r="F22690">
        <v>4.55</v>
      </c>
      <c r="G22690">
        <v>240104</v>
      </c>
      <c r="H22690">
        <v>4362</v>
      </c>
      <c r="I22690" t="s">
        <v>79</v>
      </c>
      <c r="J22690">
        <v>4.55</v>
      </c>
      <c r="K22690">
        <v>0</v>
      </c>
      <c r="L22690">
        <v>59702</v>
      </c>
      <c r="M22690" t="s">
        <v>328</v>
      </c>
      <c r="N22690" t="str">
        <f>"12401023216 "</f>
        <v xml:space="preserve">12401023216 </v>
      </c>
      <c r="O22690">
        <v>240109</v>
      </c>
    </row>
    <row r="22691" spans="1:15" x14ac:dyDescent="0.25">
      <c r="A22691" t="s">
        <v>16</v>
      </c>
      <c r="B22691" t="s">
        <v>3221</v>
      </c>
      <c r="C22691">
        <v>18955</v>
      </c>
      <c r="D22691" t="s">
        <v>263</v>
      </c>
      <c r="E22691" t="s">
        <v>264</v>
      </c>
      <c r="F22691">
        <v>11.13</v>
      </c>
      <c r="G22691">
        <v>240104</v>
      </c>
      <c r="H22691">
        <v>4362</v>
      </c>
      <c r="I22691" t="s">
        <v>79</v>
      </c>
      <c r="J22691">
        <v>13.8</v>
      </c>
      <c r="K22691">
        <v>2.67</v>
      </c>
      <c r="L22691">
        <v>59702</v>
      </c>
      <c r="M22691" t="s">
        <v>328</v>
      </c>
      <c r="N22691" t="str">
        <f>"12401023216 "</f>
        <v xml:space="preserve">12401023216 </v>
      </c>
      <c r="O22691">
        <v>240109</v>
      </c>
    </row>
    <row r="22692" spans="1:15" x14ac:dyDescent="0.25">
      <c r="A22692" t="s">
        <v>16</v>
      </c>
      <c r="B22692" t="s">
        <v>3221</v>
      </c>
      <c r="C22692">
        <v>18955</v>
      </c>
      <c r="D22692" t="s">
        <v>263</v>
      </c>
      <c r="E22692" t="s">
        <v>264</v>
      </c>
      <c r="F22692">
        <v>7.95</v>
      </c>
      <c r="G22692">
        <v>240104</v>
      </c>
      <c r="H22692">
        <v>4362</v>
      </c>
      <c r="I22692" t="s">
        <v>79</v>
      </c>
      <c r="J22692">
        <v>9.86</v>
      </c>
      <c r="K22692">
        <v>1.91</v>
      </c>
      <c r="L22692">
        <v>59704</v>
      </c>
      <c r="M22692" t="s">
        <v>1103</v>
      </c>
      <c r="N22692" t="str">
        <f>"12401023216 "</f>
        <v xml:space="preserve">12401023216 </v>
      </c>
      <c r="O22692">
        <v>240109</v>
      </c>
    </row>
    <row r="22693" spans="1:15" x14ac:dyDescent="0.25">
      <c r="A22693" t="s">
        <v>16</v>
      </c>
      <c r="B22693" t="s">
        <v>3221</v>
      </c>
      <c r="C22693">
        <v>18962</v>
      </c>
      <c r="D22693" t="s">
        <v>263</v>
      </c>
      <c r="E22693" t="s">
        <v>264</v>
      </c>
      <c r="F22693">
        <v>18.850000000000001</v>
      </c>
      <c r="G22693">
        <v>240104</v>
      </c>
      <c r="H22693">
        <v>4362</v>
      </c>
      <c r="I22693" t="s">
        <v>79</v>
      </c>
      <c r="J22693">
        <v>23.38</v>
      </c>
      <c r="K22693">
        <v>4.53</v>
      </c>
      <c r="L22693">
        <v>46555</v>
      </c>
      <c r="M22693" t="s">
        <v>597</v>
      </c>
      <c r="N22693" t="str">
        <f>"12401023231 "</f>
        <v xml:space="preserve">12401023231 </v>
      </c>
      <c r="O22693">
        <v>240109</v>
      </c>
    </row>
    <row r="22694" spans="1:15" x14ac:dyDescent="0.25">
      <c r="A22694" t="s">
        <v>16</v>
      </c>
      <c r="B22694" t="s">
        <v>3221</v>
      </c>
      <c r="C22694">
        <v>18962</v>
      </c>
      <c r="D22694" t="s">
        <v>263</v>
      </c>
      <c r="E22694" t="s">
        <v>264</v>
      </c>
      <c r="F22694">
        <v>5.2</v>
      </c>
      <c r="G22694">
        <v>240104</v>
      </c>
      <c r="H22694">
        <v>4362</v>
      </c>
      <c r="I22694" t="s">
        <v>79</v>
      </c>
      <c r="J22694">
        <v>6.45</v>
      </c>
      <c r="K22694">
        <v>1.25</v>
      </c>
      <c r="L22694">
        <v>48601</v>
      </c>
      <c r="M22694" t="s">
        <v>1047</v>
      </c>
      <c r="N22694" t="str">
        <f>"12401023231 "</f>
        <v xml:space="preserve">12401023231 </v>
      </c>
      <c r="O22694">
        <v>240109</v>
      </c>
    </row>
    <row r="22695" spans="1:15" x14ac:dyDescent="0.25">
      <c r="A22695" t="s">
        <v>16</v>
      </c>
      <c r="B22695" t="s">
        <v>3221</v>
      </c>
      <c r="C22695">
        <v>18968</v>
      </c>
      <c r="D22695" t="s">
        <v>263</v>
      </c>
      <c r="E22695" t="s">
        <v>264</v>
      </c>
      <c r="F22695">
        <v>19.489999999999998</v>
      </c>
      <c r="G22695">
        <v>240104</v>
      </c>
      <c r="H22695">
        <v>4362</v>
      </c>
      <c r="I22695" t="s">
        <v>79</v>
      </c>
      <c r="J22695">
        <v>24.17</v>
      </c>
      <c r="K22695">
        <v>4.68</v>
      </c>
      <c r="L22695">
        <v>47522</v>
      </c>
      <c r="M22695" t="s">
        <v>410</v>
      </c>
      <c r="N22695" t="str">
        <f>"12401023224 "</f>
        <v xml:space="preserve">12401023224 </v>
      </c>
      <c r="O22695">
        <v>240109</v>
      </c>
    </row>
    <row r="22696" spans="1:15" x14ac:dyDescent="0.25">
      <c r="A22696" t="s">
        <v>16</v>
      </c>
      <c r="B22696" t="s">
        <v>3221</v>
      </c>
      <c r="C22696">
        <v>18968</v>
      </c>
      <c r="D22696" t="s">
        <v>263</v>
      </c>
      <c r="E22696" t="s">
        <v>264</v>
      </c>
      <c r="F22696">
        <v>6.51</v>
      </c>
      <c r="G22696">
        <v>240104</v>
      </c>
      <c r="H22696">
        <v>4362</v>
      </c>
      <c r="I22696" t="s">
        <v>79</v>
      </c>
      <c r="J22696">
        <v>6.51</v>
      </c>
      <c r="K22696">
        <v>0</v>
      </c>
      <c r="L22696">
        <v>49702</v>
      </c>
      <c r="M22696" t="s">
        <v>584</v>
      </c>
      <c r="N22696" t="str">
        <f>"12401023224 "</f>
        <v xml:space="preserve">12401023224 </v>
      </c>
      <c r="O22696">
        <v>240109</v>
      </c>
    </row>
    <row r="22697" spans="1:15" x14ac:dyDescent="0.25">
      <c r="A22697" t="s">
        <v>16</v>
      </c>
      <c r="B22697" t="s">
        <v>3221</v>
      </c>
      <c r="C22697">
        <v>18968</v>
      </c>
      <c r="D22697" t="s">
        <v>263</v>
      </c>
      <c r="E22697" t="s">
        <v>264</v>
      </c>
      <c r="F22697">
        <v>2.7</v>
      </c>
      <c r="G22697">
        <v>240104</v>
      </c>
      <c r="H22697">
        <v>4362</v>
      </c>
      <c r="I22697" t="s">
        <v>79</v>
      </c>
      <c r="J22697">
        <v>3.35</v>
      </c>
      <c r="K22697">
        <v>0.65</v>
      </c>
      <c r="L22697">
        <v>49705</v>
      </c>
      <c r="M22697" t="s">
        <v>575</v>
      </c>
      <c r="N22697" t="str">
        <f>"12401023224 "</f>
        <v xml:space="preserve">12401023224 </v>
      </c>
      <c r="O22697">
        <v>240109</v>
      </c>
    </row>
    <row r="22698" spans="1:15" x14ac:dyDescent="0.25">
      <c r="A22698" t="s">
        <v>16</v>
      </c>
      <c r="B22698" t="s">
        <v>3221</v>
      </c>
      <c r="C22698">
        <v>19018</v>
      </c>
      <c r="D22698" t="s">
        <v>263</v>
      </c>
      <c r="E22698" t="s">
        <v>264</v>
      </c>
      <c r="F22698">
        <v>2.7</v>
      </c>
      <c r="G22698">
        <v>240104</v>
      </c>
      <c r="H22698">
        <v>4362</v>
      </c>
      <c r="I22698" t="s">
        <v>79</v>
      </c>
      <c r="J22698">
        <v>3.35</v>
      </c>
      <c r="K22698">
        <v>0.65</v>
      </c>
      <c r="L22698">
        <v>54222</v>
      </c>
      <c r="M22698" t="s">
        <v>308</v>
      </c>
      <c r="N22698" t="str">
        <f t="shared" ref="N22698:N22705" si="442">"12401023218 "</f>
        <v xml:space="preserve">12401023218 </v>
      </c>
      <c r="O22698">
        <v>240109</v>
      </c>
    </row>
    <row r="22699" spans="1:15" x14ac:dyDescent="0.25">
      <c r="A22699" t="s">
        <v>16</v>
      </c>
      <c r="B22699" t="s">
        <v>3221</v>
      </c>
      <c r="C22699">
        <v>19018</v>
      </c>
      <c r="D22699" t="s">
        <v>263</v>
      </c>
      <c r="E22699" t="s">
        <v>264</v>
      </c>
      <c r="F22699">
        <v>18.899999999999999</v>
      </c>
      <c r="G22699">
        <v>240104</v>
      </c>
      <c r="H22699">
        <v>4362</v>
      </c>
      <c r="I22699" t="s">
        <v>79</v>
      </c>
      <c r="J22699">
        <v>23.44</v>
      </c>
      <c r="K22699">
        <v>4.54</v>
      </c>
      <c r="L22699">
        <v>54222</v>
      </c>
      <c r="M22699" t="s">
        <v>308</v>
      </c>
      <c r="N22699" t="str">
        <f t="shared" si="442"/>
        <v xml:space="preserve">12401023218 </v>
      </c>
      <c r="O22699">
        <v>240109</v>
      </c>
    </row>
    <row r="22700" spans="1:15" x14ac:dyDescent="0.25">
      <c r="A22700" t="s">
        <v>16</v>
      </c>
      <c r="B22700" t="s">
        <v>3221</v>
      </c>
      <c r="C22700">
        <v>19018</v>
      </c>
      <c r="D22700" t="s">
        <v>263</v>
      </c>
      <c r="E22700" t="s">
        <v>264</v>
      </c>
      <c r="F22700">
        <v>2.7</v>
      </c>
      <c r="G22700">
        <v>240104</v>
      </c>
      <c r="H22700">
        <v>4362</v>
      </c>
      <c r="I22700" t="s">
        <v>79</v>
      </c>
      <c r="J22700">
        <v>3.35</v>
      </c>
      <c r="K22700">
        <v>0.65</v>
      </c>
      <c r="L22700">
        <v>54251</v>
      </c>
      <c r="M22700" t="s">
        <v>309</v>
      </c>
      <c r="N22700" t="str">
        <f t="shared" si="442"/>
        <v xml:space="preserve">12401023218 </v>
      </c>
      <c r="O22700">
        <v>240109</v>
      </c>
    </row>
    <row r="22701" spans="1:15" x14ac:dyDescent="0.25">
      <c r="A22701" t="s">
        <v>16</v>
      </c>
      <c r="B22701" t="s">
        <v>3221</v>
      </c>
      <c r="C22701">
        <v>19018</v>
      </c>
      <c r="D22701" t="s">
        <v>263</v>
      </c>
      <c r="E22701" t="s">
        <v>264</v>
      </c>
      <c r="F22701">
        <v>2.7</v>
      </c>
      <c r="G22701">
        <v>240104</v>
      </c>
      <c r="H22701">
        <v>4362</v>
      </c>
      <c r="I22701" t="s">
        <v>79</v>
      </c>
      <c r="J22701">
        <v>3.35</v>
      </c>
      <c r="K22701">
        <v>0.65</v>
      </c>
      <c r="L22701">
        <v>54252</v>
      </c>
      <c r="M22701" t="s">
        <v>534</v>
      </c>
      <c r="N22701" t="str">
        <f t="shared" si="442"/>
        <v xml:space="preserve">12401023218 </v>
      </c>
      <c r="O22701">
        <v>240109</v>
      </c>
    </row>
    <row r="22702" spans="1:15" x14ac:dyDescent="0.25">
      <c r="A22702" t="s">
        <v>16</v>
      </c>
      <c r="B22702" t="s">
        <v>3221</v>
      </c>
      <c r="C22702">
        <v>19018</v>
      </c>
      <c r="D22702" t="s">
        <v>263</v>
      </c>
      <c r="E22702" t="s">
        <v>264</v>
      </c>
      <c r="F22702">
        <v>5.61</v>
      </c>
      <c r="G22702">
        <v>240104</v>
      </c>
      <c r="H22702">
        <v>4362</v>
      </c>
      <c r="I22702" t="s">
        <v>79</v>
      </c>
      <c r="J22702">
        <v>6.96</v>
      </c>
      <c r="K22702">
        <v>1.35</v>
      </c>
      <c r="L22702">
        <v>54422</v>
      </c>
      <c r="M22702" t="s">
        <v>234</v>
      </c>
      <c r="N22702" t="str">
        <f t="shared" si="442"/>
        <v xml:space="preserve">12401023218 </v>
      </c>
      <c r="O22702">
        <v>240109</v>
      </c>
    </row>
    <row r="22703" spans="1:15" x14ac:dyDescent="0.25">
      <c r="A22703" t="s">
        <v>16</v>
      </c>
      <c r="B22703" t="s">
        <v>3221</v>
      </c>
      <c r="C22703">
        <v>19018</v>
      </c>
      <c r="D22703" t="s">
        <v>263</v>
      </c>
      <c r="E22703" t="s">
        <v>264</v>
      </c>
      <c r="F22703">
        <v>5.4</v>
      </c>
      <c r="G22703">
        <v>240104</v>
      </c>
      <c r="H22703">
        <v>4362</v>
      </c>
      <c r="I22703" t="s">
        <v>79</v>
      </c>
      <c r="J22703">
        <v>6.7</v>
      </c>
      <c r="K22703">
        <v>1.3</v>
      </c>
      <c r="L22703">
        <v>54451</v>
      </c>
      <c r="M22703" t="s">
        <v>158</v>
      </c>
      <c r="N22703" t="str">
        <f t="shared" si="442"/>
        <v xml:space="preserve">12401023218 </v>
      </c>
      <c r="O22703">
        <v>240109</v>
      </c>
    </row>
    <row r="22704" spans="1:15" x14ac:dyDescent="0.25">
      <c r="A22704" t="s">
        <v>16</v>
      </c>
      <c r="B22704" t="s">
        <v>3221</v>
      </c>
      <c r="C22704">
        <v>19018</v>
      </c>
      <c r="D22704" t="s">
        <v>263</v>
      </c>
      <c r="E22704" t="s">
        <v>264</v>
      </c>
      <c r="F22704">
        <v>5.4</v>
      </c>
      <c r="G22704">
        <v>240104</v>
      </c>
      <c r="H22704">
        <v>4362</v>
      </c>
      <c r="I22704" t="s">
        <v>79</v>
      </c>
      <c r="J22704">
        <v>6.7</v>
      </c>
      <c r="K22704">
        <v>1.3</v>
      </c>
      <c r="L22704">
        <v>56563</v>
      </c>
      <c r="M22704" t="s">
        <v>953</v>
      </c>
      <c r="N22704" t="str">
        <f t="shared" si="442"/>
        <v xml:space="preserve">12401023218 </v>
      </c>
      <c r="O22704">
        <v>240109</v>
      </c>
    </row>
    <row r="22705" spans="1:15" x14ac:dyDescent="0.25">
      <c r="A22705" t="s">
        <v>16</v>
      </c>
      <c r="B22705" t="s">
        <v>3221</v>
      </c>
      <c r="C22705">
        <v>19018</v>
      </c>
      <c r="D22705" t="s">
        <v>263</v>
      </c>
      <c r="E22705" t="s">
        <v>264</v>
      </c>
      <c r="F22705">
        <v>8.08</v>
      </c>
      <c r="G22705">
        <v>240104</v>
      </c>
      <c r="H22705">
        <v>4362</v>
      </c>
      <c r="I22705" t="s">
        <v>79</v>
      </c>
      <c r="J22705">
        <v>10.02</v>
      </c>
      <c r="K22705">
        <v>1.94</v>
      </c>
      <c r="L22705">
        <v>58601</v>
      </c>
      <c r="M22705" t="s">
        <v>251</v>
      </c>
      <c r="N22705" t="str">
        <f t="shared" si="442"/>
        <v xml:space="preserve">12401023218 </v>
      </c>
      <c r="O22705">
        <v>240109</v>
      </c>
    </row>
    <row r="22706" spans="1:15" x14ac:dyDescent="0.25">
      <c r="A22706" t="s">
        <v>16</v>
      </c>
      <c r="B22706" t="s">
        <v>3221</v>
      </c>
      <c r="C22706">
        <v>19019</v>
      </c>
      <c r="D22706" t="s">
        <v>263</v>
      </c>
      <c r="E22706" t="s">
        <v>264</v>
      </c>
      <c r="F22706">
        <v>2.7</v>
      </c>
      <c r="G22706">
        <v>240104</v>
      </c>
      <c r="H22706">
        <v>4362</v>
      </c>
      <c r="I22706" t="s">
        <v>79</v>
      </c>
      <c r="J22706">
        <v>3.35</v>
      </c>
      <c r="K22706">
        <v>0.65</v>
      </c>
      <c r="L22706">
        <v>56522</v>
      </c>
      <c r="M22706" t="s">
        <v>43</v>
      </c>
      <c r="N22706" t="str">
        <f>"12401023215 "</f>
        <v xml:space="preserve">12401023215 </v>
      </c>
      <c r="O22706">
        <v>240109</v>
      </c>
    </row>
    <row r="22707" spans="1:15" x14ac:dyDescent="0.25">
      <c r="A22707" t="s">
        <v>16</v>
      </c>
      <c r="B22707" t="s">
        <v>3221</v>
      </c>
      <c r="C22707">
        <v>19019</v>
      </c>
      <c r="D22707" t="s">
        <v>263</v>
      </c>
      <c r="E22707" t="s">
        <v>264</v>
      </c>
      <c r="F22707">
        <v>10.97</v>
      </c>
      <c r="G22707">
        <v>240104</v>
      </c>
      <c r="H22707">
        <v>4362</v>
      </c>
      <c r="I22707" t="s">
        <v>79</v>
      </c>
      <c r="J22707">
        <v>13.6</v>
      </c>
      <c r="K22707">
        <v>2.63</v>
      </c>
      <c r="L22707">
        <v>56524</v>
      </c>
      <c r="M22707" t="s">
        <v>150</v>
      </c>
      <c r="N22707" t="str">
        <f>"12401023215 "</f>
        <v xml:space="preserve">12401023215 </v>
      </c>
      <c r="O22707">
        <v>240109</v>
      </c>
    </row>
    <row r="22708" spans="1:15" x14ac:dyDescent="0.25">
      <c r="A22708" t="s">
        <v>16</v>
      </c>
      <c r="B22708" t="s">
        <v>3221</v>
      </c>
      <c r="C22708">
        <v>19019</v>
      </c>
      <c r="D22708" t="s">
        <v>263</v>
      </c>
      <c r="E22708" t="s">
        <v>264</v>
      </c>
      <c r="F22708">
        <v>13.5</v>
      </c>
      <c r="G22708">
        <v>240104</v>
      </c>
      <c r="H22708">
        <v>4362</v>
      </c>
      <c r="I22708" t="s">
        <v>79</v>
      </c>
      <c r="J22708">
        <v>16.739999999999998</v>
      </c>
      <c r="K22708">
        <v>3.24</v>
      </c>
      <c r="L22708">
        <v>56528</v>
      </c>
      <c r="M22708" t="s">
        <v>153</v>
      </c>
      <c r="N22708" t="str">
        <f>"12401023215 "</f>
        <v xml:space="preserve">12401023215 </v>
      </c>
      <c r="O22708">
        <v>240109</v>
      </c>
    </row>
    <row r="22709" spans="1:15" x14ac:dyDescent="0.25">
      <c r="A22709" t="s">
        <v>16</v>
      </c>
      <c r="B22709" t="s">
        <v>3221</v>
      </c>
      <c r="C22709">
        <v>19020</v>
      </c>
      <c r="D22709" t="s">
        <v>263</v>
      </c>
      <c r="E22709" t="s">
        <v>264</v>
      </c>
      <c r="F22709">
        <v>2.7</v>
      </c>
      <c r="G22709">
        <v>240104</v>
      </c>
      <c r="H22709">
        <v>4362</v>
      </c>
      <c r="I22709" t="s">
        <v>79</v>
      </c>
      <c r="J22709">
        <v>3.35</v>
      </c>
      <c r="K22709">
        <v>0.65</v>
      </c>
      <c r="L22709">
        <v>51157</v>
      </c>
      <c r="M22709" t="s">
        <v>1216</v>
      </c>
      <c r="N22709" t="str">
        <f t="shared" ref="N22709:N22719" si="443">"12401023220 "</f>
        <v xml:space="preserve">12401023220 </v>
      </c>
      <c r="O22709">
        <v>240109</v>
      </c>
    </row>
    <row r="22710" spans="1:15" x14ac:dyDescent="0.25">
      <c r="A22710" t="s">
        <v>16</v>
      </c>
      <c r="B22710" t="s">
        <v>3221</v>
      </c>
      <c r="C22710">
        <v>19020</v>
      </c>
      <c r="D22710" t="s">
        <v>263</v>
      </c>
      <c r="E22710" t="s">
        <v>264</v>
      </c>
      <c r="F22710">
        <v>2.7</v>
      </c>
      <c r="G22710">
        <v>240104</v>
      </c>
      <c r="H22710">
        <v>4362</v>
      </c>
      <c r="I22710" t="s">
        <v>79</v>
      </c>
      <c r="J22710">
        <v>3.35</v>
      </c>
      <c r="K22710">
        <v>0.65</v>
      </c>
      <c r="L22710">
        <v>56526</v>
      </c>
      <c r="M22710" t="s">
        <v>1217</v>
      </c>
      <c r="N22710" t="str">
        <f t="shared" si="443"/>
        <v xml:space="preserve">12401023220 </v>
      </c>
      <c r="O22710">
        <v>240109</v>
      </c>
    </row>
    <row r="22711" spans="1:15" x14ac:dyDescent="0.25">
      <c r="A22711" t="s">
        <v>16</v>
      </c>
      <c r="B22711" t="s">
        <v>3221</v>
      </c>
      <c r="C22711">
        <v>19020</v>
      </c>
      <c r="D22711" t="s">
        <v>263</v>
      </c>
      <c r="E22711" t="s">
        <v>264</v>
      </c>
      <c r="F22711">
        <v>13.5</v>
      </c>
      <c r="G22711">
        <v>240104</v>
      </c>
      <c r="H22711">
        <v>4362</v>
      </c>
      <c r="I22711" t="s">
        <v>79</v>
      </c>
      <c r="J22711">
        <v>16.739999999999998</v>
      </c>
      <c r="K22711">
        <v>3.24</v>
      </c>
      <c r="L22711">
        <v>56558</v>
      </c>
      <c r="M22711" t="s">
        <v>217</v>
      </c>
      <c r="N22711" t="str">
        <f t="shared" si="443"/>
        <v xml:space="preserve">12401023220 </v>
      </c>
      <c r="O22711">
        <v>240109</v>
      </c>
    </row>
    <row r="22712" spans="1:15" x14ac:dyDescent="0.25">
      <c r="A22712" t="s">
        <v>16</v>
      </c>
      <c r="B22712" t="s">
        <v>3221</v>
      </c>
      <c r="C22712">
        <v>19020</v>
      </c>
      <c r="D22712" t="s">
        <v>263</v>
      </c>
      <c r="E22712" t="s">
        <v>264</v>
      </c>
      <c r="F22712">
        <v>17.239999999999998</v>
      </c>
      <c r="G22712">
        <v>240104</v>
      </c>
      <c r="H22712">
        <v>4362</v>
      </c>
      <c r="I22712" t="s">
        <v>79</v>
      </c>
      <c r="J22712">
        <v>21.38</v>
      </c>
      <c r="K22712">
        <v>4.1399999999999997</v>
      </c>
      <c r="L22712">
        <v>56559</v>
      </c>
      <c r="M22712" t="s">
        <v>129</v>
      </c>
      <c r="N22712" t="str">
        <f t="shared" si="443"/>
        <v xml:space="preserve">12401023220 </v>
      </c>
      <c r="O22712">
        <v>240109</v>
      </c>
    </row>
    <row r="22713" spans="1:15" x14ac:dyDescent="0.25">
      <c r="A22713" t="s">
        <v>16</v>
      </c>
      <c r="B22713" t="s">
        <v>3221</v>
      </c>
      <c r="C22713">
        <v>19020</v>
      </c>
      <c r="D22713" t="s">
        <v>263</v>
      </c>
      <c r="E22713" t="s">
        <v>264</v>
      </c>
      <c r="F22713">
        <v>8.1</v>
      </c>
      <c r="G22713">
        <v>240104</v>
      </c>
      <c r="H22713">
        <v>4362</v>
      </c>
      <c r="I22713" t="s">
        <v>79</v>
      </c>
      <c r="J22713">
        <v>10.039999999999999</v>
      </c>
      <c r="K22713">
        <v>1.94</v>
      </c>
      <c r="L22713">
        <v>56560</v>
      </c>
      <c r="M22713" t="s">
        <v>654</v>
      </c>
      <c r="N22713" t="str">
        <f t="shared" si="443"/>
        <v xml:space="preserve">12401023220 </v>
      </c>
      <c r="O22713">
        <v>240109</v>
      </c>
    </row>
    <row r="22714" spans="1:15" x14ac:dyDescent="0.25">
      <c r="A22714" t="s">
        <v>16</v>
      </c>
      <c r="B22714" t="s">
        <v>3221</v>
      </c>
      <c r="C22714">
        <v>19020</v>
      </c>
      <c r="D22714" t="s">
        <v>263</v>
      </c>
      <c r="E22714" t="s">
        <v>264</v>
      </c>
      <c r="F22714">
        <v>2.7</v>
      </c>
      <c r="G22714">
        <v>240104</v>
      </c>
      <c r="H22714">
        <v>4362</v>
      </c>
      <c r="I22714" t="s">
        <v>79</v>
      </c>
      <c r="J22714">
        <v>3.35</v>
      </c>
      <c r="K22714">
        <v>0.65</v>
      </c>
      <c r="L22714">
        <v>56561</v>
      </c>
      <c r="M22714" t="s">
        <v>358</v>
      </c>
      <c r="N22714" t="str">
        <f t="shared" si="443"/>
        <v xml:space="preserve">12401023220 </v>
      </c>
      <c r="O22714">
        <v>240109</v>
      </c>
    </row>
    <row r="22715" spans="1:15" x14ac:dyDescent="0.25">
      <c r="A22715" t="s">
        <v>16</v>
      </c>
      <c r="B22715" t="s">
        <v>3221</v>
      </c>
      <c r="C22715">
        <v>19020</v>
      </c>
      <c r="D22715" t="s">
        <v>263</v>
      </c>
      <c r="E22715" t="s">
        <v>264</v>
      </c>
      <c r="F22715">
        <v>5.4</v>
      </c>
      <c r="G22715">
        <v>240104</v>
      </c>
      <c r="H22715">
        <v>4362</v>
      </c>
      <c r="I22715" t="s">
        <v>79</v>
      </c>
      <c r="J22715">
        <v>6.7</v>
      </c>
      <c r="K22715">
        <v>1.3</v>
      </c>
      <c r="L22715">
        <v>56562</v>
      </c>
      <c r="M22715" t="s">
        <v>126</v>
      </c>
      <c r="N22715" t="str">
        <f t="shared" si="443"/>
        <v xml:space="preserve">12401023220 </v>
      </c>
      <c r="O22715">
        <v>240109</v>
      </c>
    </row>
    <row r="22716" spans="1:15" x14ac:dyDescent="0.25">
      <c r="A22716" t="s">
        <v>16</v>
      </c>
      <c r="B22716" t="s">
        <v>3221</v>
      </c>
      <c r="C22716">
        <v>19020</v>
      </c>
      <c r="D22716" t="s">
        <v>263</v>
      </c>
      <c r="E22716" t="s">
        <v>264</v>
      </c>
      <c r="F22716">
        <v>7.8</v>
      </c>
      <c r="G22716">
        <v>240104</v>
      </c>
      <c r="H22716">
        <v>4362</v>
      </c>
      <c r="I22716" t="s">
        <v>79</v>
      </c>
      <c r="J22716">
        <v>9.67</v>
      </c>
      <c r="K22716">
        <v>1.87</v>
      </c>
      <c r="L22716">
        <v>56564</v>
      </c>
      <c r="M22716" t="s">
        <v>327</v>
      </c>
      <c r="N22716" t="str">
        <f t="shared" si="443"/>
        <v xml:space="preserve">12401023220 </v>
      </c>
      <c r="O22716">
        <v>240109</v>
      </c>
    </row>
    <row r="22717" spans="1:15" x14ac:dyDescent="0.25">
      <c r="A22717" t="s">
        <v>16</v>
      </c>
      <c r="B22717" t="s">
        <v>3221</v>
      </c>
      <c r="C22717">
        <v>19020</v>
      </c>
      <c r="D22717" t="s">
        <v>263</v>
      </c>
      <c r="E22717" t="s">
        <v>264</v>
      </c>
      <c r="F22717">
        <v>2.97</v>
      </c>
      <c r="G22717">
        <v>240104</v>
      </c>
      <c r="H22717">
        <v>4362</v>
      </c>
      <c r="I22717" t="s">
        <v>79</v>
      </c>
      <c r="J22717">
        <v>3.68</v>
      </c>
      <c r="K22717">
        <v>0.71</v>
      </c>
      <c r="L22717">
        <v>56565</v>
      </c>
      <c r="M22717" t="s">
        <v>758</v>
      </c>
      <c r="N22717" t="str">
        <f t="shared" si="443"/>
        <v xml:space="preserve">12401023220 </v>
      </c>
      <c r="O22717">
        <v>240109</v>
      </c>
    </row>
    <row r="22718" spans="1:15" x14ac:dyDescent="0.25">
      <c r="A22718" t="s">
        <v>16</v>
      </c>
      <c r="B22718" t="s">
        <v>3221</v>
      </c>
      <c r="C22718">
        <v>19020</v>
      </c>
      <c r="D22718" t="s">
        <v>263</v>
      </c>
      <c r="E22718" t="s">
        <v>264</v>
      </c>
      <c r="F22718">
        <v>8.1</v>
      </c>
      <c r="G22718">
        <v>240104</v>
      </c>
      <c r="H22718">
        <v>4362</v>
      </c>
      <c r="I22718" t="s">
        <v>79</v>
      </c>
      <c r="J22718">
        <v>10.039999999999999</v>
      </c>
      <c r="K22718">
        <v>1.94</v>
      </c>
      <c r="L22718">
        <v>56566</v>
      </c>
      <c r="M22718" t="s">
        <v>652</v>
      </c>
      <c r="N22718" t="str">
        <f t="shared" si="443"/>
        <v xml:space="preserve">12401023220 </v>
      </c>
      <c r="O22718">
        <v>240109</v>
      </c>
    </row>
    <row r="22719" spans="1:15" x14ac:dyDescent="0.25">
      <c r="A22719" t="s">
        <v>16</v>
      </c>
      <c r="B22719" t="s">
        <v>3221</v>
      </c>
      <c r="C22719">
        <v>19020</v>
      </c>
      <c r="D22719" t="s">
        <v>263</v>
      </c>
      <c r="E22719" t="s">
        <v>264</v>
      </c>
      <c r="F22719">
        <v>2.7</v>
      </c>
      <c r="G22719">
        <v>240104</v>
      </c>
      <c r="H22719">
        <v>4362</v>
      </c>
      <c r="I22719" t="s">
        <v>79</v>
      </c>
      <c r="J22719">
        <v>3.35</v>
      </c>
      <c r="K22719">
        <v>0.65</v>
      </c>
      <c r="L22719">
        <v>56568</v>
      </c>
      <c r="M22719" t="s">
        <v>268</v>
      </c>
      <c r="N22719" t="str">
        <f t="shared" si="443"/>
        <v xml:space="preserve">12401023220 </v>
      </c>
      <c r="O22719">
        <v>240109</v>
      </c>
    </row>
    <row r="22720" spans="1:15" x14ac:dyDescent="0.25">
      <c r="A22720" t="s">
        <v>16</v>
      </c>
      <c r="B22720" t="s">
        <v>3221</v>
      </c>
      <c r="C22720">
        <v>19063</v>
      </c>
      <c r="D22720" t="s">
        <v>263</v>
      </c>
      <c r="E22720" t="s">
        <v>264</v>
      </c>
      <c r="F22720">
        <v>3.84</v>
      </c>
      <c r="G22720">
        <v>240104</v>
      </c>
      <c r="H22720">
        <v>4362</v>
      </c>
      <c r="I22720" t="s">
        <v>79</v>
      </c>
      <c r="J22720">
        <v>4.76</v>
      </c>
      <c r="K22720">
        <v>0.92</v>
      </c>
      <c r="L22720">
        <v>14972</v>
      </c>
      <c r="M22720" t="s">
        <v>898</v>
      </c>
      <c r="N22720" t="str">
        <f t="shared" ref="N22720:N22727" si="444">"12401023213 "</f>
        <v xml:space="preserve">12401023213 </v>
      </c>
      <c r="O22720">
        <v>240110</v>
      </c>
    </row>
    <row r="22721" spans="1:15" x14ac:dyDescent="0.25">
      <c r="A22721" t="s">
        <v>16</v>
      </c>
      <c r="B22721" t="s">
        <v>3221</v>
      </c>
      <c r="C22721">
        <v>19063</v>
      </c>
      <c r="D22721" t="s">
        <v>263</v>
      </c>
      <c r="E22721" t="s">
        <v>264</v>
      </c>
      <c r="F22721">
        <v>5.25</v>
      </c>
      <c r="G22721">
        <v>240104</v>
      </c>
      <c r="H22721">
        <v>4362</v>
      </c>
      <c r="I22721" t="s">
        <v>79</v>
      </c>
      <c r="J22721">
        <v>6.51</v>
      </c>
      <c r="K22721">
        <v>1.26</v>
      </c>
      <c r="L22721">
        <v>17972</v>
      </c>
      <c r="M22721" t="s">
        <v>248</v>
      </c>
      <c r="N22721" t="str">
        <f t="shared" si="444"/>
        <v xml:space="preserve">12401023213 </v>
      </c>
      <c r="O22721">
        <v>240110</v>
      </c>
    </row>
    <row r="22722" spans="1:15" x14ac:dyDescent="0.25">
      <c r="A22722" t="s">
        <v>16</v>
      </c>
      <c r="B22722" t="s">
        <v>3221</v>
      </c>
      <c r="C22722">
        <v>19063</v>
      </c>
      <c r="D22722" t="s">
        <v>263</v>
      </c>
      <c r="E22722" t="s">
        <v>264</v>
      </c>
      <c r="F22722">
        <v>16.510000000000002</v>
      </c>
      <c r="G22722">
        <v>240104</v>
      </c>
      <c r="H22722">
        <v>4362</v>
      </c>
      <c r="I22722" t="s">
        <v>79</v>
      </c>
      <c r="J22722">
        <v>20.47</v>
      </c>
      <c r="K22722">
        <v>3.96</v>
      </c>
      <c r="L22722">
        <v>18010</v>
      </c>
      <c r="M22722" t="s">
        <v>1344</v>
      </c>
      <c r="N22722" t="str">
        <f t="shared" si="444"/>
        <v xml:space="preserve">12401023213 </v>
      </c>
      <c r="O22722">
        <v>240110</v>
      </c>
    </row>
    <row r="22723" spans="1:15" x14ac:dyDescent="0.25">
      <c r="A22723" t="s">
        <v>16</v>
      </c>
      <c r="B22723" t="s">
        <v>3221</v>
      </c>
      <c r="C22723">
        <v>19063</v>
      </c>
      <c r="D22723" t="s">
        <v>263</v>
      </c>
      <c r="E22723" t="s">
        <v>264</v>
      </c>
      <c r="F22723">
        <v>2.7</v>
      </c>
      <c r="G22723">
        <v>240104</v>
      </c>
      <c r="H22723">
        <v>4362</v>
      </c>
      <c r="I22723" t="s">
        <v>79</v>
      </c>
      <c r="J22723">
        <v>3.35</v>
      </c>
      <c r="K22723">
        <v>0.65</v>
      </c>
      <c r="L22723">
        <v>18120</v>
      </c>
      <c r="M22723" t="s">
        <v>329</v>
      </c>
      <c r="N22723" t="str">
        <f t="shared" si="444"/>
        <v xml:space="preserve">12401023213 </v>
      </c>
      <c r="O22723">
        <v>240110</v>
      </c>
    </row>
    <row r="22724" spans="1:15" x14ac:dyDescent="0.25">
      <c r="A22724" t="s">
        <v>16</v>
      </c>
      <c r="B22724" t="s">
        <v>3221</v>
      </c>
      <c r="C22724">
        <v>19063</v>
      </c>
      <c r="D22724" t="s">
        <v>263</v>
      </c>
      <c r="E22724" t="s">
        <v>264</v>
      </c>
      <c r="F22724">
        <v>5.0999999999999996</v>
      </c>
      <c r="G22724">
        <v>240104</v>
      </c>
      <c r="H22724">
        <v>4362</v>
      </c>
      <c r="I22724" t="s">
        <v>79</v>
      </c>
      <c r="J22724">
        <v>6.32</v>
      </c>
      <c r="K22724">
        <v>1.22</v>
      </c>
      <c r="L22724">
        <v>18971</v>
      </c>
      <c r="M22724" t="s">
        <v>63</v>
      </c>
      <c r="N22724" t="str">
        <f t="shared" si="444"/>
        <v xml:space="preserve">12401023213 </v>
      </c>
      <c r="O22724">
        <v>240110</v>
      </c>
    </row>
    <row r="22725" spans="1:15" x14ac:dyDescent="0.25">
      <c r="A22725" t="s">
        <v>16</v>
      </c>
      <c r="B22725" t="s">
        <v>3221</v>
      </c>
      <c r="C22725">
        <v>19063</v>
      </c>
      <c r="D22725" t="s">
        <v>263</v>
      </c>
      <c r="E22725" t="s">
        <v>264</v>
      </c>
      <c r="F22725">
        <v>28.64</v>
      </c>
      <c r="G22725">
        <v>240104</v>
      </c>
      <c r="H22725">
        <v>4362</v>
      </c>
      <c r="I22725" t="s">
        <v>79</v>
      </c>
      <c r="J22725">
        <v>35.51</v>
      </c>
      <c r="K22725">
        <v>6.87</v>
      </c>
      <c r="L22725">
        <v>18972</v>
      </c>
      <c r="M22725" t="s">
        <v>163</v>
      </c>
      <c r="N22725" t="str">
        <f t="shared" si="444"/>
        <v xml:space="preserve">12401023213 </v>
      </c>
      <c r="O22725">
        <v>240110</v>
      </c>
    </row>
    <row r="22726" spans="1:15" x14ac:dyDescent="0.25">
      <c r="A22726" t="s">
        <v>16</v>
      </c>
      <c r="B22726" t="s">
        <v>3221</v>
      </c>
      <c r="C22726">
        <v>19063</v>
      </c>
      <c r="D22726" t="s">
        <v>263</v>
      </c>
      <c r="E22726" t="s">
        <v>264</v>
      </c>
      <c r="F22726">
        <v>2.7</v>
      </c>
      <c r="G22726">
        <v>240104</v>
      </c>
      <c r="H22726">
        <v>4362</v>
      </c>
      <c r="I22726" t="s">
        <v>79</v>
      </c>
      <c r="J22726">
        <v>3.35</v>
      </c>
      <c r="K22726">
        <v>0.65</v>
      </c>
      <c r="L22726">
        <v>49702</v>
      </c>
      <c r="M22726" t="s">
        <v>584</v>
      </c>
      <c r="N22726" t="str">
        <f t="shared" si="444"/>
        <v xml:space="preserve">12401023213 </v>
      </c>
      <c r="O22726">
        <v>240110</v>
      </c>
    </row>
    <row r="22727" spans="1:15" x14ac:dyDescent="0.25">
      <c r="A22727" t="s">
        <v>16</v>
      </c>
      <c r="B22727" t="s">
        <v>3221</v>
      </c>
      <c r="C22727">
        <v>19063</v>
      </c>
      <c r="D22727" t="s">
        <v>263</v>
      </c>
      <c r="E22727" t="s">
        <v>264</v>
      </c>
      <c r="F22727">
        <v>5.25</v>
      </c>
      <c r="G22727">
        <v>240104</v>
      </c>
      <c r="H22727">
        <v>4362</v>
      </c>
      <c r="I22727" t="s">
        <v>79</v>
      </c>
      <c r="J22727">
        <v>6.51</v>
      </c>
      <c r="K22727">
        <v>1.26</v>
      </c>
      <c r="L22727">
        <v>59702</v>
      </c>
      <c r="M22727" t="s">
        <v>328</v>
      </c>
      <c r="N22727" t="str">
        <f t="shared" si="444"/>
        <v xml:space="preserve">12401023213 </v>
      </c>
      <c r="O22727">
        <v>240110</v>
      </c>
    </row>
    <row r="22728" spans="1:15" x14ac:dyDescent="0.25">
      <c r="A22728" t="s">
        <v>16</v>
      </c>
      <c r="B22728" t="s">
        <v>3221</v>
      </c>
      <c r="C22728">
        <v>19069</v>
      </c>
      <c r="D22728" t="s">
        <v>263</v>
      </c>
      <c r="E22728" t="s">
        <v>264</v>
      </c>
      <c r="F22728">
        <v>2.7</v>
      </c>
      <c r="G22728">
        <v>240104</v>
      </c>
      <c r="H22728">
        <v>4362</v>
      </c>
      <c r="I22728" t="s">
        <v>79</v>
      </c>
      <c r="J22728">
        <v>3.35</v>
      </c>
      <c r="K22728">
        <v>0.65</v>
      </c>
      <c r="L22728">
        <v>11001</v>
      </c>
      <c r="M22728" t="s">
        <v>326</v>
      </c>
      <c r="N22728" t="str">
        <f t="shared" ref="N22728:N22733" si="445">"12401023212 "</f>
        <v xml:space="preserve">12401023212 </v>
      </c>
      <c r="O22728">
        <v>240110</v>
      </c>
    </row>
    <row r="22729" spans="1:15" x14ac:dyDescent="0.25">
      <c r="A22729" t="s">
        <v>16</v>
      </c>
      <c r="B22729" t="s">
        <v>3221</v>
      </c>
      <c r="C22729">
        <v>19069</v>
      </c>
      <c r="D22729" t="s">
        <v>263</v>
      </c>
      <c r="E22729" t="s">
        <v>264</v>
      </c>
      <c r="F22729">
        <v>31.57</v>
      </c>
      <c r="G22729">
        <v>240104</v>
      </c>
      <c r="H22729">
        <v>4362</v>
      </c>
      <c r="I22729" t="s">
        <v>79</v>
      </c>
      <c r="J22729">
        <v>31.57</v>
      </c>
      <c r="K22729">
        <v>0</v>
      </c>
      <c r="L22729">
        <v>11001</v>
      </c>
      <c r="M22729" t="s">
        <v>326</v>
      </c>
      <c r="N22729" t="str">
        <f t="shared" si="445"/>
        <v xml:space="preserve">12401023212 </v>
      </c>
      <c r="O22729">
        <v>240110</v>
      </c>
    </row>
    <row r="22730" spans="1:15" x14ac:dyDescent="0.25">
      <c r="A22730" t="s">
        <v>16</v>
      </c>
      <c r="B22730" t="s">
        <v>3221</v>
      </c>
      <c r="C22730">
        <v>19069</v>
      </c>
      <c r="D22730" t="s">
        <v>263</v>
      </c>
      <c r="E22730" t="s">
        <v>264</v>
      </c>
      <c r="F22730">
        <v>8.57</v>
      </c>
      <c r="G22730">
        <v>240104</v>
      </c>
      <c r="H22730">
        <v>4362</v>
      </c>
      <c r="I22730" t="s">
        <v>79</v>
      </c>
      <c r="J22730">
        <v>10.63</v>
      </c>
      <c r="K22730">
        <v>2.06</v>
      </c>
      <c r="L22730">
        <v>11501</v>
      </c>
      <c r="M22730" t="s">
        <v>339</v>
      </c>
      <c r="N22730" t="str">
        <f t="shared" si="445"/>
        <v xml:space="preserve">12401023212 </v>
      </c>
      <c r="O22730">
        <v>240110</v>
      </c>
    </row>
    <row r="22731" spans="1:15" x14ac:dyDescent="0.25">
      <c r="A22731" t="s">
        <v>16</v>
      </c>
      <c r="B22731" t="s">
        <v>3221</v>
      </c>
      <c r="C22731">
        <v>19069</v>
      </c>
      <c r="D22731" t="s">
        <v>263</v>
      </c>
      <c r="E22731" t="s">
        <v>264</v>
      </c>
      <c r="F22731">
        <v>2.7</v>
      </c>
      <c r="G22731">
        <v>240104</v>
      </c>
      <c r="H22731">
        <v>4362</v>
      </c>
      <c r="I22731" t="s">
        <v>79</v>
      </c>
      <c r="J22731">
        <v>3.35</v>
      </c>
      <c r="K22731">
        <v>0.65</v>
      </c>
      <c r="L22731">
        <v>11701</v>
      </c>
      <c r="M22731" t="s">
        <v>1204</v>
      </c>
      <c r="N22731" t="str">
        <f t="shared" si="445"/>
        <v xml:space="preserve">12401023212 </v>
      </c>
      <c r="O22731">
        <v>240110</v>
      </c>
    </row>
    <row r="22732" spans="1:15" x14ac:dyDescent="0.25">
      <c r="A22732" t="s">
        <v>16</v>
      </c>
      <c r="B22732" t="s">
        <v>3221</v>
      </c>
      <c r="C22732">
        <v>19069</v>
      </c>
      <c r="D22732" t="s">
        <v>263</v>
      </c>
      <c r="E22732" t="s">
        <v>264</v>
      </c>
      <c r="F22732">
        <v>5.4</v>
      </c>
      <c r="G22732">
        <v>240104</v>
      </c>
      <c r="H22732">
        <v>4362</v>
      </c>
      <c r="I22732" t="s">
        <v>79</v>
      </c>
      <c r="J22732">
        <v>6.7</v>
      </c>
      <c r="K22732">
        <v>1.3</v>
      </c>
      <c r="L22732">
        <v>11751</v>
      </c>
      <c r="M22732" t="s">
        <v>1339</v>
      </c>
      <c r="N22732" t="str">
        <f t="shared" si="445"/>
        <v xml:space="preserve">12401023212 </v>
      </c>
      <c r="O22732">
        <v>240110</v>
      </c>
    </row>
    <row r="22733" spans="1:15" x14ac:dyDescent="0.25">
      <c r="A22733" t="s">
        <v>16</v>
      </c>
      <c r="B22733" t="s">
        <v>3221</v>
      </c>
      <c r="C22733">
        <v>19069</v>
      </c>
      <c r="D22733" t="s">
        <v>263</v>
      </c>
      <c r="E22733" t="s">
        <v>264</v>
      </c>
      <c r="F22733">
        <v>25.96</v>
      </c>
      <c r="G22733">
        <v>240104</v>
      </c>
      <c r="H22733">
        <v>4362</v>
      </c>
      <c r="I22733" t="s">
        <v>79</v>
      </c>
      <c r="J22733">
        <v>32.19</v>
      </c>
      <c r="K22733">
        <v>6.23</v>
      </c>
      <c r="L22733">
        <v>14622</v>
      </c>
      <c r="M22733" t="s">
        <v>1005</v>
      </c>
      <c r="N22733" t="str">
        <f t="shared" si="445"/>
        <v xml:space="preserve">12401023212 </v>
      </c>
      <c r="O22733">
        <v>240110</v>
      </c>
    </row>
    <row r="22734" spans="1:15" x14ac:dyDescent="0.25">
      <c r="A22734" t="s">
        <v>16</v>
      </c>
      <c r="B22734" t="s">
        <v>3221</v>
      </c>
      <c r="C22734">
        <v>19084</v>
      </c>
      <c r="D22734" t="s">
        <v>263</v>
      </c>
      <c r="E22734" t="s">
        <v>264</v>
      </c>
      <c r="F22734">
        <v>2.7</v>
      </c>
      <c r="G22734">
        <v>240104</v>
      </c>
      <c r="H22734">
        <v>4362</v>
      </c>
      <c r="I22734" t="s">
        <v>79</v>
      </c>
      <c r="J22734">
        <v>3.35</v>
      </c>
      <c r="K22734">
        <v>0.65</v>
      </c>
      <c r="L22734">
        <v>54451</v>
      </c>
      <c r="M22734" t="s">
        <v>158</v>
      </c>
      <c r="N22734" t="str">
        <f t="shared" ref="N22734:N22748" si="446">"12401023214 "</f>
        <v xml:space="preserve">12401023214 </v>
      </c>
      <c r="O22734">
        <v>240110</v>
      </c>
    </row>
    <row r="22735" spans="1:15" x14ac:dyDescent="0.25">
      <c r="A22735" t="s">
        <v>16</v>
      </c>
      <c r="B22735" t="s">
        <v>3221</v>
      </c>
      <c r="C22735">
        <v>19084</v>
      </c>
      <c r="D22735" t="s">
        <v>263</v>
      </c>
      <c r="E22735" t="s">
        <v>264</v>
      </c>
      <c r="F22735">
        <v>2.7</v>
      </c>
      <c r="G22735">
        <v>240104</v>
      </c>
      <c r="H22735">
        <v>4362</v>
      </c>
      <c r="I22735" t="s">
        <v>79</v>
      </c>
      <c r="J22735">
        <v>3.35</v>
      </c>
      <c r="K22735">
        <v>0.65</v>
      </c>
      <c r="L22735">
        <v>59111</v>
      </c>
      <c r="M22735" t="s">
        <v>1010</v>
      </c>
      <c r="N22735" t="str">
        <f t="shared" si="446"/>
        <v xml:space="preserve">12401023214 </v>
      </c>
      <c r="O22735">
        <v>240110</v>
      </c>
    </row>
    <row r="22736" spans="1:15" x14ac:dyDescent="0.25">
      <c r="A22736" t="s">
        <v>16</v>
      </c>
      <c r="B22736" t="s">
        <v>3221</v>
      </c>
      <c r="C22736">
        <v>19084</v>
      </c>
      <c r="D22736" t="s">
        <v>263</v>
      </c>
      <c r="E22736" t="s">
        <v>264</v>
      </c>
      <c r="F22736">
        <v>8.77</v>
      </c>
      <c r="G22736">
        <v>240104</v>
      </c>
      <c r="H22736">
        <v>4362</v>
      </c>
      <c r="I22736" t="s">
        <v>79</v>
      </c>
      <c r="J22736">
        <v>10.87</v>
      </c>
      <c r="K22736">
        <v>2.1</v>
      </c>
      <c r="L22736">
        <v>59113</v>
      </c>
      <c r="M22736" t="s">
        <v>235</v>
      </c>
      <c r="N22736" t="str">
        <f t="shared" si="446"/>
        <v xml:space="preserve">12401023214 </v>
      </c>
      <c r="O22736">
        <v>240110</v>
      </c>
    </row>
    <row r="22737" spans="1:15" x14ac:dyDescent="0.25">
      <c r="A22737" t="s">
        <v>16</v>
      </c>
      <c r="B22737" t="s">
        <v>3221</v>
      </c>
      <c r="C22737">
        <v>19084</v>
      </c>
      <c r="D22737" t="s">
        <v>263</v>
      </c>
      <c r="E22737" t="s">
        <v>264</v>
      </c>
      <c r="F22737">
        <v>6.81</v>
      </c>
      <c r="G22737">
        <v>240104</v>
      </c>
      <c r="H22737">
        <v>4362</v>
      </c>
      <c r="I22737" t="s">
        <v>79</v>
      </c>
      <c r="J22737">
        <v>8.44</v>
      </c>
      <c r="K22737">
        <v>1.63</v>
      </c>
      <c r="L22737">
        <v>59114</v>
      </c>
      <c r="M22737" t="s">
        <v>556</v>
      </c>
      <c r="N22737" t="str">
        <f t="shared" si="446"/>
        <v xml:space="preserve">12401023214 </v>
      </c>
      <c r="O22737">
        <v>240110</v>
      </c>
    </row>
    <row r="22738" spans="1:15" x14ac:dyDescent="0.25">
      <c r="A22738" t="s">
        <v>16</v>
      </c>
      <c r="B22738" t="s">
        <v>3221</v>
      </c>
      <c r="C22738">
        <v>19084</v>
      </c>
      <c r="D22738" t="s">
        <v>263</v>
      </c>
      <c r="E22738" t="s">
        <v>264</v>
      </c>
      <c r="F22738">
        <v>46.7</v>
      </c>
      <c r="G22738">
        <v>240104</v>
      </c>
      <c r="H22738">
        <v>4362</v>
      </c>
      <c r="I22738" t="s">
        <v>79</v>
      </c>
      <c r="J22738">
        <v>57.91</v>
      </c>
      <c r="K22738">
        <v>11.21</v>
      </c>
      <c r="L22738">
        <v>59501</v>
      </c>
      <c r="M22738" t="s">
        <v>69</v>
      </c>
      <c r="N22738" t="str">
        <f t="shared" si="446"/>
        <v xml:space="preserve">12401023214 </v>
      </c>
      <c r="O22738">
        <v>240110</v>
      </c>
    </row>
    <row r="22739" spans="1:15" x14ac:dyDescent="0.25">
      <c r="A22739" t="s">
        <v>16</v>
      </c>
      <c r="B22739" t="s">
        <v>3221</v>
      </c>
      <c r="C22739">
        <v>19084</v>
      </c>
      <c r="D22739" t="s">
        <v>263</v>
      </c>
      <c r="E22739" t="s">
        <v>264</v>
      </c>
      <c r="F22739">
        <v>31.9</v>
      </c>
      <c r="G22739">
        <v>240104</v>
      </c>
      <c r="H22739">
        <v>4362</v>
      </c>
      <c r="I22739" t="s">
        <v>79</v>
      </c>
      <c r="J22739">
        <v>39.56</v>
      </c>
      <c r="K22739">
        <v>7.66</v>
      </c>
      <c r="L22739">
        <v>59502</v>
      </c>
      <c r="M22739" t="s">
        <v>70</v>
      </c>
      <c r="N22739" t="str">
        <f t="shared" si="446"/>
        <v xml:space="preserve">12401023214 </v>
      </c>
      <c r="O22739">
        <v>240110</v>
      </c>
    </row>
    <row r="22740" spans="1:15" x14ac:dyDescent="0.25">
      <c r="A22740" t="s">
        <v>16</v>
      </c>
      <c r="B22740" t="s">
        <v>3221</v>
      </c>
      <c r="C22740">
        <v>19084</v>
      </c>
      <c r="D22740" t="s">
        <v>263</v>
      </c>
      <c r="E22740" t="s">
        <v>264</v>
      </c>
      <c r="F22740">
        <v>8.1</v>
      </c>
      <c r="G22740">
        <v>240104</v>
      </c>
      <c r="H22740">
        <v>4362</v>
      </c>
      <c r="I22740" t="s">
        <v>79</v>
      </c>
      <c r="J22740">
        <v>10.039999999999999</v>
      </c>
      <c r="K22740">
        <v>1.94</v>
      </c>
      <c r="L22740">
        <v>59504</v>
      </c>
      <c r="M22740" t="s">
        <v>71</v>
      </c>
      <c r="N22740" t="str">
        <f t="shared" si="446"/>
        <v xml:space="preserve">12401023214 </v>
      </c>
      <c r="O22740">
        <v>240110</v>
      </c>
    </row>
    <row r="22741" spans="1:15" x14ac:dyDescent="0.25">
      <c r="A22741" t="s">
        <v>16</v>
      </c>
      <c r="B22741" t="s">
        <v>3221</v>
      </c>
      <c r="C22741">
        <v>19084</v>
      </c>
      <c r="D22741" t="s">
        <v>263</v>
      </c>
      <c r="E22741" t="s">
        <v>264</v>
      </c>
      <c r="F22741">
        <v>5.4</v>
      </c>
      <c r="G22741">
        <v>240104</v>
      </c>
      <c r="H22741">
        <v>4362</v>
      </c>
      <c r="I22741" t="s">
        <v>79</v>
      </c>
      <c r="J22741">
        <v>6.7</v>
      </c>
      <c r="K22741">
        <v>1.3</v>
      </c>
      <c r="L22741">
        <v>59505</v>
      </c>
      <c r="M22741" t="s">
        <v>72</v>
      </c>
      <c r="N22741" t="str">
        <f t="shared" si="446"/>
        <v xml:space="preserve">12401023214 </v>
      </c>
      <c r="O22741">
        <v>240110</v>
      </c>
    </row>
    <row r="22742" spans="1:15" x14ac:dyDescent="0.25">
      <c r="A22742" t="s">
        <v>16</v>
      </c>
      <c r="B22742" t="s">
        <v>3221</v>
      </c>
      <c r="C22742">
        <v>19084</v>
      </c>
      <c r="D22742" t="s">
        <v>263</v>
      </c>
      <c r="E22742" t="s">
        <v>264</v>
      </c>
      <c r="F22742">
        <v>10.8</v>
      </c>
      <c r="G22742">
        <v>240104</v>
      </c>
      <c r="H22742">
        <v>4362</v>
      </c>
      <c r="I22742" t="s">
        <v>79</v>
      </c>
      <c r="J22742">
        <v>13.39</v>
      </c>
      <c r="K22742">
        <v>2.59</v>
      </c>
      <c r="L22742">
        <v>59701</v>
      </c>
      <c r="M22742" t="s">
        <v>297</v>
      </c>
      <c r="N22742" t="str">
        <f t="shared" si="446"/>
        <v xml:space="preserve">12401023214 </v>
      </c>
      <c r="O22742">
        <v>240110</v>
      </c>
    </row>
    <row r="22743" spans="1:15" x14ac:dyDescent="0.25">
      <c r="A22743" t="s">
        <v>16</v>
      </c>
      <c r="B22743" t="s">
        <v>3221</v>
      </c>
      <c r="C22743">
        <v>19084</v>
      </c>
      <c r="D22743" t="s">
        <v>263</v>
      </c>
      <c r="E22743" t="s">
        <v>264</v>
      </c>
      <c r="F22743">
        <v>2.7</v>
      </c>
      <c r="G22743">
        <v>240104</v>
      </c>
      <c r="H22743">
        <v>4362</v>
      </c>
      <c r="I22743" t="s">
        <v>79</v>
      </c>
      <c r="J22743">
        <v>3.35</v>
      </c>
      <c r="K22743">
        <v>0.65</v>
      </c>
      <c r="L22743">
        <v>59702</v>
      </c>
      <c r="M22743" t="s">
        <v>328</v>
      </c>
      <c r="N22743" t="str">
        <f t="shared" si="446"/>
        <v xml:space="preserve">12401023214 </v>
      </c>
      <c r="O22743">
        <v>240110</v>
      </c>
    </row>
    <row r="22744" spans="1:15" x14ac:dyDescent="0.25">
      <c r="A22744" t="s">
        <v>16</v>
      </c>
      <c r="B22744" t="s">
        <v>3221</v>
      </c>
      <c r="C22744">
        <v>19084</v>
      </c>
      <c r="D22744" t="s">
        <v>263</v>
      </c>
      <c r="E22744" t="s">
        <v>264</v>
      </c>
      <c r="F22744">
        <v>5.25</v>
      </c>
      <c r="G22744">
        <v>240104</v>
      </c>
      <c r="H22744">
        <v>4362</v>
      </c>
      <c r="I22744" t="s">
        <v>79</v>
      </c>
      <c r="J22744">
        <v>6.51</v>
      </c>
      <c r="K22744">
        <v>1.26</v>
      </c>
      <c r="L22744">
        <v>59704</v>
      </c>
      <c r="M22744" t="s">
        <v>1103</v>
      </c>
      <c r="N22744" t="str">
        <f t="shared" si="446"/>
        <v xml:space="preserve">12401023214 </v>
      </c>
      <c r="O22744">
        <v>240110</v>
      </c>
    </row>
    <row r="22745" spans="1:15" x14ac:dyDescent="0.25">
      <c r="A22745" t="s">
        <v>16</v>
      </c>
      <c r="B22745" t="s">
        <v>3221</v>
      </c>
      <c r="C22745">
        <v>19084</v>
      </c>
      <c r="D22745" t="s">
        <v>263</v>
      </c>
      <c r="E22745" t="s">
        <v>264</v>
      </c>
      <c r="F22745">
        <v>5.4</v>
      </c>
      <c r="G22745">
        <v>240104</v>
      </c>
      <c r="H22745">
        <v>4362</v>
      </c>
      <c r="I22745" t="s">
        <v>79</v>
      </c>
      <c r="J22745">
        <v>6.7</v>
      </c>
      <c r="K22745">
        <v>1.3</v>
      </c>
      <c r="L22745">
        <v>59705</v>
      </c>
      <c r="M22745" t="s">
        <v>843</v>
      </c>
      <c r="N22745" t="str">
        <f t="shared" si="446"/>
        <v xml:space="preserve">12401023214 </v>
      </c>
      <c r="O22745">
        <v>240110</v>
      </c>
    </row>
    <row r="22746" spans="1:15" x14ac:dyDescent="0.25">
      <c r="A22746" t="s">
        <v>16</v>
      </c>
      <c r="B22746" t="s">
        <v>3221</v>
      </c>
      <c r="C22746">
        <v>19084</v>
      </c>
      <c r="D22746" t="s">
        <v>263</v>
      </c>
      <c r="E22746" t="s">
        <v>264</v>
      </c>
      <c r="F22746">
        <v>15.9</v>
      </c>
      <c r="G22746">
        <v>240104</v>
      </c>
      <c r="H22746">
        <v>4362</v>
      </c>
      <c r="I22746" t="s">
        <v>79</v>
      </c>
      <c r="J22746">
        <v>19.72</v>
      </c>
      <c r="K22746">
        <v>3.82</v>
      </c>
      <c r="L22746">
        <v>59802</v>
      </c>
      <c r="M22746" t="s">
        <v>73</v>
      </c>
      <c r="N22746" t="str">
        <f t="shared" si="446"/>
        <v xml:space="preserve">12401023214 </v>
      </c>
      <c r="O22746">
        <v>240110</v>
      </c>
    </row>
    <row r="22747" spans="1:15" x14ac:dyDescent="0.25">
      <c r="A22747" t="s">
        <v>16</v>
      </c>
      <c r="B22747" t="s">
        <v>3221</v>
      </c>
      <c r="C22747">
        <v>19084</v>
      </c>
      <c r="D22747" t="s">
        <v>263</v>
      </c>
      <c r="E22747" t="s">
        <v>264</v>
      </c>
      <c r="F22747">
        <v>11.55</v>
      </c>
      <c r="G22747">
        <v>240104</v>
      </c>
      <c r="H22747">
        <v>4362</v>
      </c>
      <c r="I22747" t="s">
        <v>79</v>
      </c>
      <c r="J22747">
        <v>14.32</v>
      </c>
      <c r="K22747">
        <v>2.77</v>
      </c>
      <c r="L22747">
        <v>59812</v>
      </c>
      <c r="M22747" t="s">
        <v>74</v>
      </c>
      <c r="N22747" t="str">
        <f t="shared" si="446"/>
        <v xml:space="preserve">12401023214 </v>
      </c>
      <c r="O22747">
        <v>240110</v>
      </c>
    </row>
    <row r="22748" spans="1:15" x14ac:dyDescent="0.25">
      <c r="A22748" t="s">
        <v>16</v>
      </c>
      <c r="B22748" t="s">
        <v>3221</v>
      </c>
      <c r="C22748">
        <v>19084</v>
      </c>
      <c r="D22748" t="s">
        <v>263</v>
      </c>
      <c r="E22748" t="s">
        <v>264</v>
      </c>
      <c r="F22748">
        <v>3.31</v>
      </c>
      <c r="G22748">
        <v>240104</v>
      </c>
      <c r="H22748">
        <v>4362</v>
      </c>
      <c r="I22748" t="s">
        <v>79</v>
      </c>
      <c r="J22748">
        <v>4.0999999999999996</v>
      </c>
      <c r="K22748">
        <v>0.79</v>
      </c>
      <c r="L22748">
        <v>59815</v>
      </c>
      <c r="M22748" t="s">
        <v>1182</v>
      </c>
      <c r="N22748" t="str">
        <f t="shared" si="446"/>
        <v xml:space="preserve">12401023214 </v>
      </c>
      <c r="O22748">
        <v>240110</v>
      </c>
    </row>
    <row r="22749" spans="1:15" x14ac:dyDescent="0.25">
      <c r="A22749" t="s">
        <v>16</v>
      </c>
      <c r="B22749" t="s">
        <v>3221</v>
      </c>
      <c r="C22749">
        <v>19085</v>
      </c>
      <c r="D22749" t="s">
        <v>263</v>
      </c>
      <c r="E22749" t="s">
        <v>264</v>
      </c>
      <c r="F22749">
        <v>16.87</v>
      </c>
      <c r="G22749">
        <v>240104</v>
      </c>
      <c r="H22749">
        <v>4362</v>
      </c>
      <c r="I22749" t="s">
        <v>79</v>
      </c>
      <c r="J22749">
        <v>20.92</v>
      </c>
      <c r="K22749">
        <v>4.05</v>
      </c>
      <c r="L22749">
        <v>11601</v>
      </c>
      <c r="M22749" t="s">
        <v>535</v>
      </c>
      <c r="N22749" t="str">
        <f t="shared" ref="N22749:N22765" si="447">"12401023247 "</f>
        <v xml:space="preserve">12401023247 </v>
      </c>
      <c r="O22749">
        <v>240110</v>
      </c>
    </row>
    <row r="22750" spans="1:15" x14ac:dyDescent="0.25">
      <c r="A22750" t="s">
        <v>16</v>
      </c>
      <c r="B22750" t="s">
        <v>3221</v>
      </c>
      <c r="C22750">
        <v>19085</v>
      </c>
      <c r="D22750" t="s">
        <v>263</v>
      </c>
      <c r="E22750" t="s">
        <v>264</v>
      </c>
      <c r="F22750">
        <v>2.5499999999999998</v>
      </c>
      <c r="G22750">
        <v>240104</v>
      </c>
      <c r="H22750">
        <v>4362</v>
      </c>
      <c r="I22750" t="s">
        <v>79</v>
      </c>
      <c r="J22750">
        <v>3.16</v>
      </c>
      <c r="K22750">
        <v>0.61</v>
      </c>
      <c r="L22750">
        <v>11603</v>
      </c>
      <c r="M22750" t="s">
        <v>945</v>
      </c>
      <c r="N22750" t="str">
        <f t="shared" si="447"/>
        <v xml:space="preserve">12401023247 </v>
      </c>
      <c r="O22750">
        <v>240110</v>
      </c>
    </row>
    <row r="22751" spans="1:15" x14ac:dyDescent="0.25">
      <c r="A22751" t="s">
        <v>16</v>
      </c>
      <c r="B22751" t="s">
        <v>3221</v>
      </c>
      <c r="C22751">
        <v>19085</v>
      </c>
      <c r="D22751" t="s">
        <v>263</v>
      </c>
      <c r="E22751" t="s">
        <v>264</v>
      </c>
      <c r="F22751">
        <v>22.44</v>
      </c>
      <c r="G22751">
        <v>240104</v>
      </c>
      <c r="H22751">
        <v>4362</v>
      </c>
      <c r="I22751" t="s">
        <v>79</v>
      </c>
      <c r="J22751">
        <v>27.83</v>
      </c>
      <c r="K22751">
        <v>5.39</v>
      </c>
      <c r="L22751">
        <v>14121</v>
      </c>
      <c r="M22751" t="s">
        <v>880</v>
      </c>
      <c r="N22751" t="str">
        <f t="shared" si="447"/>
        <v xml:space="preserve">12401023247 </v>
      </c>
      <c r="O22751">
        <v>240110</v>
      </c>
    </row>
    <row r="22752" spans="1:15" x14ac:dyDescent="0.25">
      <c r="A22752" t="s">
        <v>16</v>
      </c>
      <c r="B22752" t="s">
        <v>3221</v>
      </c>
      <c r="C22752">
        <v>19085</v>
      </c>
      <c r="D22752" t="s">
        <v>263</v>
      </c>
      <c r="E22752" t="s">
        <v>264</v>
      </c>
      <c r="F22752">
        <v>21.6</v>
      </c>
      <c r="G22752">
        <v>240104</v>
      </c>
      <c r="H22752">
        <v>4362</v>
      </c>
      <c r="I22752" t="s">
        <v>79</v>
      </c>
      <c r="J22752">
        <v>26.78</v>
      </c>
      <c r="K22752">
        <v>5.18</v>
      </c>
      <c r="L22752">
        <v>14321</v>
      </c>
      <c r="M22752" t="s">
        <v>717</v>
      </c>
      <c r="N22752" t="str">
        <f t="shared" si="447"/>
        <v xml:space="preserve">12401023247 </v>
      </c>
      <c r="O22752">
        <v>240110</v>
      </c>
    </row>
    <row r="22753" spans="1:15" x14ac:dyDescent="0.25">
      <c r="A22753" t="s">
        <v>16</v>
      </c>
      <c r="B22753" t="s">
        <v>3221</v>
      </c>
      <c r="C22753">
        <v>19085</v>
      </c>
      <c r="D22753" t="s">
        <v>263</v>
      </c>
      <c r="E22753" t="s">
        <v>264</v>
      </c>
      <c r="F22753">
        <v>13.63</v>
      </c>
      <c r="G22753">
        <v>240104</v>
      </c>
      <c r="H22753">
        <v>4362</v>
      </c>
      <c r="I22753" t="s">
        <v>79</v>
      </c>
      <c r="J22753">
        <v>16.899999999999999</v>
      </c>
      <c r="K22753">
        <v>3.27</v>
      </c>
      <c r="L22753">
        <v>14422</v>
      </c>
      <c r="M22753" t="s">
        <v>228</v>
      </c>
      <c r="N22753" t="str">
        <f t="shared" si="447"/>
        <v xml:space="preserve">12401023247 </v>
      </c>
      <c r="O22753">
        <v>240110</v>
      </c>
    </row>
    <row r="22754" spans="1:15" x14ac:dyDescent="0.25">
      <c r="A22754" t="s">
        <v>16</v>
      </c>
      <c r="B22754" t="s">
        <v>3221</v>
      </c>
      <c r="C22754">
        <v>19085</v>
      </c>
      <c r="D22754" t="s">
        <v>263</v>
      </c>
      <c r="E22754" t="s">
        <v>264</v>
      </c>
      <c r="F22754">
        <v>8.1</v>
      </c>
      <c r="G22754">
        <v>240104</v>
      </c>
      <c r="H22754">
        <v>4362</v>
      </c>
      <c r="I22754" t="s">
        <v>79</v>
      </c>
      <c r="J22754">
        <v>10.039999999999999</v>
      </c>
      <c r="K22754">
        <v>1.94</v>
      </c>
      <c r="L22754">
        <v>14431</v>
      </c>
      <c r="M22754" t="s">
        <v>861</v>
      </c>
      <c r="N22754" t="str">
        <f t="shared" si="447"/>
        <v xml:space="preserve">12401023247 </v>
      </c>
      <c r="O22754">
        <v>240110</v>
      </c>
    </row>
    <row r="22755" spans="1:15" x14ac:dyDescent="0.25">
      <c r="A22755" t="s">
        <v>16</v>
      </c>
      <c r="B22755" t="s">
        <v>3221</v>
      </c>
      <c r="C22755">
        <v>19085</v>
      </c>
      <c r="D22755" t="s">
        <v>263</v>
      </c>
      <c r="E22755" t="s">
        <v>264</v>
      </c>
      <c r="F22755">
        <v>8.1</v>
      </c>
      <c r="G22755">
        <v>240104</v>
      </c>
      <c r="H22755">
        <v>4362</v>
      </c>
      <c r="I22755" t="s">
        <v>79</v>
      </c>
      <c r="J22755">
        <v>10.039999999999999</v>
      </c>
      <c r="K22755">
        <v>1.94</v>
      </c>
      <c r="L22755">
        <v>14432</v>
      </c>
      <c r="M22755" t="s">
        <v>862</v>
      </c>
      <c r="N22755" t="str">
        <f t="shared" si="447"/>
        <v xml:space="preserve">12401023247 </v>
      </c>
      <c r="O22755">
        <v>240110</v>
      </c>
    </row>
    <row r="22756" spans="1:15" x14ac:dyDescent="0.25">
      <c r="A22756" t="s">
        <v>16</v>
      </c>
      <c r="B22756" t="s">
        <v>3221</v>
      </c>
      <c r="C22756">
        <v>19085</v>
      </c>
      <c r="D22756" t="s">
        <v>263</v>
      </c>
      <c r="E22756" t="s">
        <v>264</v>
      </c>
      <c r="F22756">
        <v>2.73</v>
      </c>
      <c r="G22756">
        <v>240104</v>
      </c>
      <c r="H22756">
        <v>4362</v>
      </c>
      <c r="I22756" t="s">
        <v>79</v>
      </c>
      <c r="J22756">
        <v>3.38</v>
      </c>
      <c r="K22756">
        <v>0.65</v>
      </c>
      <c r="L22756">
        <v>14541</v>
      </c>
      <c r="M22756" t="s">
        <v>626</v>
      </c>
      <c r="N22756" t="str">
        <f t="shared" si="447"/>
        <v xml:space="preserve">12401023247 </v>
      </c>
      <c r="O22756">
        <v>240110</v>
      </c>
    </row>
    <row r="22757" spans="1:15" x14ac:dyDescent="0.25">
      <c r="A22757" t="s">
        <v>16</v>
      </c>
      <c r="B22757" t="s">
        <v>3221</v>
      </c>
      <c r="C22757">
        <v>19085</v>
      </c>
      <c r="D22757" t="s">
        <v>263</v>
      </c>
      <c r="E22757" t="s">
        <v>264</v>
      </c>
      <c r="F22757">
        <v>35.9</v>
      </c>
      <c r="G22757">
        <v>240104</v>
      </c>
      <c r="H22757">
        <v>4362</v>
      </c>
      <c r="I22757" t="s">
        <v>79</v>
      </c>
      <c r="J22757">
        <v>44.52</v>
      </c>
      <c r="K22757">
        <v>8.6199999999999992</v>
      </c>
      <c r="L22757">
        <v>14622</v>
      </c>
      <c r="M22757" t="s">
        <v>1005</v>
      </c>
      <c r="N22757" t="str">
        <f t="shared" si="447"/>
        <v xml:space="preserve">12401023247 </v>
      </c>
      <c r="O22757">
        <v>240110</v>
      </c>
    </row>
    <row r="22758" spans="1:15" x14ac:dyDescent="0.25">
      <c r="A22758" t="s">
        <v>16</v>
      </c>
      <c r="B22758" t="s">
        <v>3221</v>
      </c>
      <c r="C22758">
        <v>19085</v>
      </c>
      <c r="D22758" t="s">
        <v>263</v>
      </c>
      <c r="E22758" t="s">
        <v>264</v>
      </c>
      <c r="F22758">
        <v>6.88</v>
      </c>
      <c r="G22758">
        <v>240104</v>
      </c>
      <c r="H22758">
        <v>4362</v>
      </c>
      <c r="I22758" t="s">
        <v>79</v>
      </c>
      <c r="J22758">
        <v>8.5299999999999994</v>
      </c>
      <c r="K22758">
        <v>1.65</v>
      </c>
      <c r="L22758">
        <v>14640</v>
      </c>
      <c r="M22758" t="s">
        <v>229</v>
      </c>
      <c r="N22758" t="str">
        <f t="shared" si="447"/>
        <v xml:space="preserve">12401023247 </v>
      </c>
      <c r="O22758">
        <v>240110</v>
      </c>
    </row>
    <row r="22759" spans="1:15" x14ac:dyDescent="0.25">
      <c r="A22759" t="s">
        <v>16</v>
      </c>
      <c r="B22759" t="s">
        <v>3221</v>
      </c>
      <c r="C22759">
        <v>19085</v>
      </c>
      <c r="D22759" t="s">
        <v>263</v>
      </c>
      <c r="E22759" t="s">
        <v>264</v>
      </c>
      <c r="F22759">
        <v>5.56</v>
      </c>
      <c r="G22759">
        <v>240104</v>
      </c>
      <c r="H22759">
        <v>4362</v>
      </c>
      <c r="I22759" t="s">
        <v>79</v>
      </c>
      <c r="J22759">
        <v>6.9</v>
      </c>
      <c r="K22759">
        <v>1.34</v>
      </c>
      <c r="L22759">
        <v>14861</v>
      </c>
      <c r="M22759" t="s">
        <v>785</v>
      </c>
      <c r="N22759" t="str">
        <f t="shared" si="447"/>
        <v xml:space="preserve">12401023247 </v>
      </c>
      <c r="O22759">
        <v>240110</v>
      </c>
    </row>
    <row r="22760" spans="1:15" x14ac:dyDescent="0.25">
      <c r="A22760" t="s">
        <v>16</v>
      </c>
      <c r="B22760" t="s">
        <v>3221</v>
      </c>
      <c r="C22760">
        <v>19085</v>
      </c>
      <c r="D22760" t="s">
        <v>263</v>
      </c>
      <c r="E22760" t="s">
        <v>264</v>
      </c>
      <c r="F22760">
        <v>10.44</v>
      </c>
      <c r="G22760">
        <v>240104</v>
      </c>
      <c r="H22760">
        <v>4362</v>
      </c>
      <c r="I22760" t="s">
        <v>79</v>
      </c>
      <c r="J22760">
        <v>12.95</v>
      </c>
      <c r="K22760">
        <v>2.5099999999999998</v>
      </c>
      <c r="L22760">
        <v>14912</v>
      </c>
      <c r="M22760" t="s">
        <v>230</v>
      </c>
      <c r="N22760" t="str">
        <f t="shared" si="447"/>
        <v xml:space="preserve">12401023247 </v>
      </c>
      <c r="O22760">
        <v>240110</v>
      </c>
    </row>
    <row r="22761" spans="1:15" x14ac:dyDescent="0.25">
      <c r="A22761" t="s">
        <v>16</v>
      </c>
      <c r="B22761" t="s">
        <v>3221</v>
      </c>
      <c r="C22761">
        <v>19085</v>
      </c>
      <c r="D22761" t="s">
        <v>263</v>
      </c>
      <c r="E22761" t="s">
        <v>264</v>
      </c>
      <c r="F22761">
        <v>2.71</v>
      </c>
      <c r="G22761">
        <v>240104</v>
      </c>
      <c r="H22761">
        <v>4362</v>
      </c>
      <c r="I22761" t="s">
        <v>79</v>
      </c>
      <c r="J22761">
        <v>3.36</v>
      </c>
      <c r="K22761">
        <v>0.65</v>
      </c>
      <c r="L22761">
        <v>14971</v>
      </c>
      <c r="M22761" t="s">
        <v>1259</v>
      </c>
      <c r="N22761" t="str">
        <f t="shared" si="447"/>
        <v xml:space="preserve">12401023247 </v>
      </c>
      <c r="O22761">
        <v>240110</v>
      </c>
    </row>
    <row r="22762" spans="1:15" x14ac:dyDescent="0.25">
      <c r="A22762" t="s">
        <v>16</v>
      </c>
      <c r="B22762" t="s">
        <v>3221</v>
      </c>
      <c r="C22762">
        <v>19085</v>
      </c>
      <c r="D22762" t="s">
        <v>263</v>
      </c>
      <c r="E22762" t="s">
        <v>264</v>
      </c>
      <c r="F22762">
        <v>3.71</v>
      </c>
      <c r="G22762">
        <v>240104</v>
      </c>
      <c r="H22762">
        <v>4362</v>
      </c>
      <c r="I22762" t="s">
        <v>79</v>
      </c>
      <c r="J22762">
        <v>4.5999999999999996</v>
      </c>
      <c r="K22762">
        <v>0.89</v>
      </c>
      <c r="L22762">
        <v>14972</v>
      </c>
      <c r="M22762" t="s">
        <v>898</v>
      </c>
      <c r="N22762" t="str">
        <f t="shared" si="447"/>
        <v xml:space="preserve">12401023247 </v>
      </c>
      <c r="O22762">
        <v>240110</v>
      </c>
    </row>
    <row r="22763" spans="1:15" x14ac:dyDescent="0.25">
      <c r="A22763" t="s">
        <v>16</v>
      </c>
      <c r="B22763" t="s">
        <v>3221</v>
      </c>
      <c r="C22763">
        <v>19085</v>
      </c>
      <c r="D22763" t="s">
        <v>263</v>
      </c>
      <c r="E22763" t="s">
        <v>264</v>
      </c>
      <c r="F22763">
        <v>2.69</v>
      </c>
      <c r="G22763">
        <v>240104</v>
      </c>
      <c r="H22763">
        <v>4362</v>
      </c>
      <c r="I22763" t="s">
        <v>79</v>
      </c>
      <c r="J22763">
        <v>3.34</v>
      </c>
      <c r="K22763">
        <v>0.65</v>
      </c>
      <c r="L22763">
        <v>14974</v>
      </c>
      <c r="M22763" t="s">
        <v>1340</v>
      </c>
      <c r="N22763" t="str">
        <f t="shared" si="447"/>
        <v xml:space="preserve">12401023247 </v>
      </c>
      <c r="O22763">
        <v>240110</v>
      </c>
    </row>
    <row r="22764" spans="1:15" x14ac:dyDescent="0.25">
      <c r="A22764" t="s">
        <v>16</v>
      </c>
      <c r="B22764" t="s">
        <v>3221</v>
      </c>
      <c r="C22764">
        <v>19085</v>
      </c>
      <c r="D22764" t="s">
        <v>263</v>
      </c>
      <c r="E22764" t="s">
        <v>264</v>
      </c>
      <c r="F22764">
        <v>3.03</v>
      </c>
      <c r="G22764">
        <v>240104</v>
      </c>
      <c r="H22764">
        <v>4362</v>
      </c>
      <c r="I22764" t="s">
        <v>79</v>
      </c>
      <c r="J22764">
        <v>3.76</v>
      </c>
      <c r="K22764">
        <v>0.73</v>
      </c>
      <c r="L22764">
        <v>14975</v>
      </c>
      <c r="M22764" t="s">
        <v>1341</v>
      </c>
      <c r="N22764" t="str">
        <f t="shared" si="447"/>
        <v xml:space="preserve">12401023247 </v>
      </c>
      <c r="O22764">
        <v>240110</v>
      </c>
    </row>
    <row r="22765" spans="1:15" x14ac:dyDescent="0.25">
      <c r="A22765" t="s">
        <v>16</v>
      </c>
      <c r="B22765" t="s">
        <v>3221</v>
      </c>
      <c r="C22765">
        <v>19085</v>
      </c>
      <c r="D22765" t="s">
        <v>263</v>
      </c>
      <c r="E22765" t="s">
        <v>264</v>
      </c>
      <c r="F22765">
        <v>10.8</v>
      </c>
      <c r="G22765">
        <v>240104</v>
      </c>
      <c r="H22765">
        <v>4362</v>
      </c>
      <c r="I22765" t="s">
        <v>79</v>
      </c>
      <c r="J22765">
        <v>13.39</v>
      </c>
      <c r="K22765">
        <v>2.59</v>
      </c>
      <c r="L22765">
        <v>14975</v>
      </c>
      <c r="M22765" t="s">
        <v>1341</v>
      </c>
      <c r="N22765" t="str">
        <f t="shared" si="447"/>
        <v xml:space="preserve">12401023247 </v>
      </c>
      <c r="O22765">
        <v>240110</v>
      </c>
    </row>
    <row r="22766" spans="1:15" x14ac:dyDescent="0.25">
      <c r="A22766" t="s">
        <v>16</v>
      </c>
      <c r="B22766" t="s">
        <v>3221</v>
      </c>
      <c r="C22766">
        <v>19113</v>
      </c>
      <c r="D22766" t="s">
        <v>263</v>
      </c>
      <c r="E22766" t="s">
        <v>264</v>
      </c>
      <c r="F22766">
        <v>1.25</v>
      </c>
      <c r="G22766">
        <v>240104</v>
      </c>
      <c r="H22766">
        <v>4362</v>
      </c>
      <c r="I22766" t="s">
        <v>79</v>
      </c>
      <c r="J22766">
        <v>1.55</v>
      </c>
      <c r="K22766">
        <v>0.3</v>
      </c>
      <c r="L22766">
        <v>13501</v>
      </c>
      <c r="M22766" t="s">
        <v>20</v>
      </c>
      <c r="N22766" t="str">
        <f t="shared" ref="N22766:N22790" si="448">"12401023237 "</f>
        <v xml:space="preserve">12401023237 </v>
      </c>
      <c r="O22766">
        <v>240110</v>
      </c>
    </row>
    <row r="22767" spans="1:15" x14ac:dyDescent="0.25">
      <c r="A22767" t="s">
        <v>16</v>
      </c>
      <c r="B22767" t="s">
        <v>3221</v>
      </c>
      <c r="C22767">
        <v>19113</v>
      </c>
      <c r="D22767" t="s">
        <v>263</v>
      </c>
      <c r="E22767" t="s">
        <v>264</v>
      </c>
      <c r="F22767">
        <v>7.95</v>
      </c>
      <c r="G22767">
        <v>240104</v>
      </c>
      <c r="H22767">
        <v>4362</v>
      </c>
      <c r="I22767" t="s">
        <v>79</v>
      </c>
      <c r="J22767">
        <v>9.86</v>
      </c>
      <c r="K22767">
        <v>1.91</v>
      </c>
      <c r="L22767">
        <v>16930</v>
      </c>
      <c r="M22767" t="s">
        <v>450</v>
      </c>
      <c r="N22767" t="str">
        <f t="shared" si="448"/>
        <v xml:space="preserve">12401023237 </v>
      </c>
      <c r="O22767">
        <v>240110</v>
      </c>
    </row>
    <row r="22768" spans="1:15" x14ac:dyDescent="0.25">
      <c r="A22768" t="s">
        <v>16</v>
      </c>
      <c r="B22768" t="s">
        <v>3221</v>
      </c>
      <c r="C22768">
        <v>19113</v>
      </c>
      <c r="D22768" t="s">
        <v>263</v>
      </c>
      <c r="E22768" t="s">
        <v>264</v>
      </c>
      <c r="F22768">
        <v>10.9</v>
      </c>
      <c r="G22768">
        <v>240104</v>
      </c>
      <c r="H22768">
        <v>4362</v>
      </c>
      <c r="I22768" t="s">
        <v>79</v>
      </c>
      <c r="J22768">
        <v>13.52</v>
      </c>
      <c r="K22768">
        <v>2.62</v>
      </c>
      <c r="L22768">
        <v>17521</v>
      </c>
      <c r="M22768" t="s">
        <v>133</v>
      </c>
      <c r="N22768" t="str">
        <f t="shared" si="448"/>
        <v xml:space="preserve">12401023237 </v>
      </c>
      <c r="O22768">
        <v>240110</v>
      </c>
    </row>
    <row r="22769" spans="1:15" x14ac:dyDescent="0.25">
      <c r="A22769" t="s">
        <v>16</v>
      </c>
      <c r="B22769" t="s">
        <v>3221</v>
      </c>
      <c r="C22769">
        <v>19113</v>
      </c>
      <c r="D22769" t="s">
        <v>263</v>
      </c>
      <c r="E22769" t="s">
        <v>264</v>
      </c>
      <c r="F22769">
        <v>5.4</v>
      </c>
      <c r="G22769">
        <v>240104</v>
      </c>
      <c r="H22769">
        <v>4362</v>
      </c>
      <c r="I22769" t="s">
        <v>79</v>
      </c>
      <c r="J22769">
        <v>6.7</v>
      </c>
      <c r="K22769">
        <v>1.3</v>
      </c>
      <c r="L22769">
        <v>17522</v>
      </c>
      <c r="M22769" t="s">
        <v>451</v>
      </c>
      <c r="N22769" t="str">
        <f t="shared" si="448"/>
        <v xml:space="preserve">12401023237 </v>
      </c>
      <c r="O22769">
        <v>240110</v>
      </c>
    </row>
    <row r="22770" spans="1:15" x14ac:dyDescent="0.25">
      <c r="A22770" t="s">
        <v>16</v>
      </c>
      <c r="B22770" t="s">
        <v>3221</v>
      </c>
      <c r="C22770">
        <v>19113</v>
      </c>
      <c r="D22770" t="s">
        <v>263</v>
      </c>
      <c r="E22770" t="s">
        <v>264</v>
      </c>
      <c r="F22770">
        <v>14.82</v>
      </c>
      <c r="G22770">
        <v>240104</v>
      </c>
      <c r="H22770">
        <v>4362</v>
      </c>
      <c r="I22770" t="s">
        <v>79</v>
      </c>
      <c r="J22770">
        <v>18.38</v>
      </c>
      <c r="K22770">
        <v>3.56</v>
      </c>
      <c r="L22770">
        <v>17523</v>
      </c>
      <c r="M22770" t="s">
        <v>134</v>
      </c>
      <c r="N22770" t="str">
        <f t="shared" si="448"/>
        <v xml:space="preserve">12401023237 </v>
      </c>
      <c r="O22770">
        <v>240110</v>
      </c>
    </row>
    <row r="22771" spans="1:15" x14ac:dyDescent="0.25">
      <c r="A22771" t="s">
        <v>16</v>
      </c>
      <c r="B22771" t="s">
        <v>3221</v>
      </c>
      <c r="C22771">
        <v>19113</v>
      </c>
      <c r="D22771" t="s">
        <v>263</v>
      </c>
      <c r="E22771" t="s">
        <v>264</v>
      </c>
      <c r="F22771">
        <v>5.4</v>
      </c>
      <c r="G22771">
        <v>240104</v>
      </c>
      <c r="H22771">
        <v>4362</v>
      </c>
      <c r="I22771" t="s">
        <v>79</v>
      </c>
      <c r="J22771">
        <v>6.7</v>
      </c>
      <c r="K22771">
        <v>1.3</v>
      </c>
      <c r="L22771">
        <v>17524</v>
      </c>
      <c r="M22771" t="s">
        <v>452</v>
      </c>
      <c r="N22771" t="str">
        <f t="shared" si="448"/>
        <v xml:space="preserve">12401023237 </v>
      </c>
      <c r="O22771">
        <v>240110</v>
      </c>
    </row>
    <row r="22772" spans="1:15" x14ac:dyDescent="0.25">
      <c r="A22772" t="s">
        <v>16</v>
      </c>
      <c r="B22772" t="s">
        <v>3221</v>
      </c>
      <c r="C22772">
        <v>19113</v>
      </c>
      <c r="D22772" t="s">
        <v>263</v>
      </c>
      <c r="E22772" t="s">
        <v>264</v>
      </c>
      <c r="F22772">
        <v>2.97</v>
      </c>
      <c r="G22772">
        <v>240104</v>
      </c>
      <c r="H22772">
        <v>4362</v>
      </c>
      <c r="I22772" t="s">
        <v>79</v>
      </c>
      <c r="J22772">
        <v>3.68</v>
      </c>
      <c r="K22772">
        <v>0.71</v>
      </c>
      <c r="L22772">
        <v>17525</v>
      </c>
      <c r="M22772" t="s">
        <v>135</v>
      </c>
      <c r="N22772" t="str">
        <f t="shared" si="448"/>
        <v xml:space="preserve">12401023237 </v>
      </c>
      <c r="O22772">
        <v>240110</v>
      </c>
    </row>
    <row r="22773" spans="1:15" x14ac:dyDescent="0.25">
      <c r="A22773" t="s">
        <v>16</v>
      </c>
      <c r="B22773" t="s">
        <v>3221</v>
      </c>
      <c r="C22773">
        <v>19113</v>
      </c>
      <c r="D22773" t="s">
        <v>263</v>
      </c>
      <c r="E22773" t="s">
        <v>264</v>
      </c>
      <c r="F22773">
        <v>8.1</v>
      </c>
      <c r="G22773">
        <v>240104</v>
      </c>
      <c r="H22773">
        <v>4362</v>
      </c>
      <c r="I22773" t="s">
        <v>79</v>
      </c>
      <c r="J22773">
        <v>10.039999999999999</v>
      </c>
      <c r="K22773">
        <v>1.94</v>
      </c>
      <c r="L22773">
        <v>17526</v>
      </c>
      <c r="M22773" t="s">
        <v>437</v>
      </c>
      <c r="N22773" t="str">
        <f t="shared" si="448"/>
        <v xml:space="preserve">12401023237 </v>
      </c>
      <c r="O22773">
        <v>240110</v>
      </c>
    </row>
    <row r="22774" spans="1:15" x14ac:dyDescent="0.25">
      <c r="A22774" t="s">
        <v>16</v>
      </c>
      <c r="B22774" t="s">
        <v>3221</v>
      </c>
      <c r="C22774">
        <v>19113</v>
      </c>
      <c r="D22774" t="s">
        <v>263</v>
      </c>
      <c r="E22774" t="s">
        <v>264</v>
      </c>
      <c r="F22774">
        <v>8.9700000000000006</v>
      </c>
      <c r="G22774">
        <v>240104</v>
      </c>
      <c r="H22774">
        <v>4362</v>
      </c>
      <c r="I22774" t="s">
        <v>79</v>
      </c>
      <c r="J22774">
        <v>11.12</v>
      </c>
      <c r="K22774">
        <v>2.15</v>
      </c>
      <c r="L22774">
        <v>17527</v>
      </c>
      <c r="M22774" t="s">
        <v>422</v>
      </c>
      <c r="N22774" t="str">
        <f t="shared" si="448"/>
        <v xml:space="preserve">12401023237 </v>
      </c>
      <c r="O22774">
        <v>240110</v>
      </c>
    </row>
    <row r="22775" spans="1:15" x14ac:dyDescent="0.25">
      <c r="A22775" t="s">
        <v>16</v>
      </c>
      <c r="B22775" t="s">
        <v>3221</v>
      </c>
      <c r="C22775">
        <v>19113</v>
      </c>
      <c r="D22775" t="s">
        <v>263</v>
      </c>
      <c r="E22775" t="s">
        <v>264</v>
      </c>
      <c r="F22775">
        <v>5.4</v>
      </c>
      <c r="G22775">
        <v>240104</v>
      </c>
      <c r="H22775">
        <v>4362</v>
      </c>
      <c r="I22775" t="s">
        <v>79</v>
      </c>
      <c r="J22775">
        <v>6.7</v>
      </c>
      <c r="K22775">
        <v>1.3</v>
      </c>
      <c r="L22775">
        <v>17529</v>
      </c>
      <c r="M22775" t="s">
        <v>453</v>
      </c>
      <c r="N22775" t="str">
        <f t="shared" si="448"/>
        <v xml:space="preserve">12401023237 </v>
      </c>
      <c r="O22775">
        <v>240110</v>
      </c>
    </row>
    <row r="22776" spans="1:15" x14ac:dyDescent="0.25">
      <c r="A22776" t="s">
        <v>16</v>
      </c>
      <c r="B22776" t="s">
        <v>3221</v>
      </c>
      <c r="C22776">
        <v>19113</v>
      </c>
      <c r="D22776" t="s">
        <v>263</v>
      </c>
      <c r="E22776" t="s">
        <v>264</v>
      </c>
      <c r="F22776">
        <v>10.89</v>
      </c>
      <c r="G22776">
        <v>240104</v>
      </c>
      <c r="H22776">
        <v>4362</v>
      </c>
      <c r="I22776" t="s">
        <v>79</v>
      </c>
      <c r="J22776">
        <v>13.5</v>
      </c>
      <c r="K22776">
        <v>2.61</v>
      </c>
      <c r="L22776">
        <v>17530</v>
      </c>
      <c r="M22776" t="s">
        <v>454</v>
      </c>
      <c r="N22776" t="str">
        <f t="shared" si="448"/>
        <v xml:space="preserve">12401023237 </v>
      </c>
      <c r="O22776">
        <v>240110</v>
      </c>
    </row>
    <row r="22777" spans="1:15" x14ac:dyDescent="0.25">
      <c r="A22777" t="s">
        <v>16</v>
      </c>
      <c r="B22777" t="s">
        <v>3221</v>
      </c>
      <c r="C22777">
        <v>19113</v>
      </c>
      <c r="D22777" t="s">
        <v>263</v>
      </c>
      <c r="E22777" t="s">
        <v>264</v>
      </c>
      <c r="F22777">
        <v>18.45</v>
      </c>
      <c r="G22777">
        <v>240104</v>
      </c>
      <c r="H22777">
        <v>4362</v>
      </c>
      <c r="I22777" t="s">
        <v>79</v>
      </c>
      <c r="J22777">
        <v>22.88</v>
      </c>
      <c r="K22777">
        <v>4.43</v>
      </c>
      <c r="L22777">
        <v>17531</v>
      </c>
      <c r="M22777" t="s">
        <v>136</v>
      </c>
      <c r="N22777" t="str">
        <f t="shared" si="448"/>
        <v xml:space="preserve">12401023237 </v>
      </c>
      <c r="O22777">
        <v>240110</v>
      </c>
    </row>
    <row r="22778" spans="1:15" x14ac:dyDescent="0.25">
      <c r="A22778" t="s">
        <v>16</v>
      </c>
      <c r="B22778" t="s">
        <v>3221</v>
      </c>
      <c r="C22778">
        <v>19113</v>
      </c>
      <c r="D22778" t="s">
        <v>263</v>
      </c>
      <c r="E22778" t="s">
        <v>264</v>
      </c>
      <c r="F22778">
        <v>10.35</v>
      </c>
      <c r="G22778">
        <v>240104</v>
      </c>
      <c r="H22778">
        <v>4362</v>
      </c>
      <c r="I22778" t="s">
        <v>79</v>
      </c>
      <c r="J22778">
        <v>12.83</v>
      </c>
      <c r="K22778">
        <v>2.48</v>
      </c>
      <c r="L22778">
        <v>17532</v>
      </c>
      <c r="M22778" t="s">
        <v>543</v>
      </c>
      <c r="N22778" t="str">
        <f t="shared" si="448"/>
        <v xml:space="preserve">12401023237 </v>
      </c>
      <c r="O22778">
        <v>240110</v>
      </c>
    </row>
    <row r="22779" spans="1:15" x14ac:dyDescent="0.25">
      <c r="A22779" t="s">
        <v>16</v>
      </c>
      <c r="B22779" t="s">
        <v>3221</v>
      </c>
      <c r="C22779">
        <v>19113</v>
      </c>
      <c r="D22779" t="s">
        <v>263</v>
      </c>
      <c r="E22779" t="s">
        <v>264</v>
      </c>
      <c r="F22779">
        <v>5.4</v>
      </c>
      <c r="G22779">
        <v>240104</v>
      </c>
      <c r="H22779">
        <v>4362</v>
      </c>
      <c r="I22779" t="s">
        <v>79</v>
      </c>
      <c r="J22779">
        <v>6.7</v>
      </c>
      <c r="K22779">
        <v>1.3</v>
      </c>
      <c r="L22779">
        <v>17533</v>
      </c>
      <c r="M22779" t="s">
        <v>990</v>
      </c>
      <c r="N22779" t="str">
        <f t="shared" si="448"/>
        <v xml:space="preserve">12401023237 </v>
      </c>
      <c r="O22779">
        <v>240110</v>
      </c>
    </row>
    <row r="22780" spans="1:15" x14ac:dyDescent="0.25">
      <c r="A22780" t="s">
        <v>16</v>
      </c>
      <c r="B22780" t="s">
        <v>3221</v>
      </c>
      <c r="C22780">
        <v>19113</v>
      </c>
      <c r="D22780" t="s">
        <v>263</v>
      </c>
      <c r="E22780" t="s">
        <v>264</v>
      </c>
      <c r="F22780">
        <v>5.4</v>
      </c>
      <c r="G22780">
        <v>240104</v>
      </c>
      <c r="H22780">
        <v>4362</v>
      </c>
      <c r="I22780" t="s">
        <v>79</v>
      </c>
      <c r="J22780">
        <v>6.7</v>
      </c>
      <c r="K22780">
        <v>1.3</v>
      </c>
      <c r="L22780">
        <v>17534</v>
      </c>
      <c r="M22780" t="s">
        <v>440</v>
      </c>
      <c r="N22780" t="str">
        <f t="shared" si="448"/>
        <v xml:space="preserve">12401023237 </v>
      </c>
      <c r="O22780">
        <v>240110</v>
      </c>
    </row>
    <row r="22781" spans="1:15" x14ac:dyDescent="0.25">
      <c r="A22781" t="s">
        <v>16</v>
      </c>
      <c r="B22781" t="s">
        <v>3221</v>
      </c>
      <c r="C22781">
        <v>19113</v>
      </c>
      <c r="D22781" t="s">
        <v>263</v>
      </c>
      <c r="E22781" t="s">
        <v>264</v>
      </c>
      <c r="F22781">
        <v>3.4</v>
      </c>
      <c r="G22781">
        <v>240104</v>
      </c>
      <c r="H22781">
        <v>4362</v>
      </c>
      <c r="I22781" t="s">
        <v>79</v>
      </c>
      <c r="J22781">
        <v>4.22</v>
      </c>
      <c r="K22781">
        <v>0.82</v>
      </c>
      <c r="L22781">
        <v>17535</v>
      </c>
      <c r="M22781" t="s">
        <v>357</v>
      </c>
      <c r="N22781" t="str">
        <f t="shared" si="448"/>
        <v xml:space="preserve">12401023237 </v>
      </c>
      <c r="O22781">
        <v>240110</v>
      </c>
    </row>
    <row r="22782" spans="1:15" x14ac:dyDescent="0.25">
      <c r="A22782" t="s">
        <v>16</v>
      </c>
      <c r="B22782" t="s">
        <v>3221</v>
      </c>
      <c r="C22782">
        <v>19113</v>
      </c>
      <c r="D22782" t="s">
        <v>263</v>
      </c>
      <c r="E22782" t="s">
        <v>264</v>
      </c>
      <c r="F22782">
        <v>5.4</v>
      </c>
      <c r="G22782">
        <v>240104</v>
      </c>
      <c r="H22782">
        <v>4362</v>
      </c>
      <c r="I22782" t="s">
        <v>79</v>
      </c>
      <c r="J22782">
        <v>6.7</v>
      </c>
      <c r="K22782">
        <v>1.3</v>
      </c>
      <c r="L22782">
        <v>17536</v>
      </c>
      <c r="M22782" t="s">
        <v>734</v>
      </c>
      <c r="N22782" t="str">
        <f t="shared" si="448"/>
        <v xml:space="preserve">12401023237 </v>
      </c>
      <c r="O22782">
        <v>240110</v>
      </c>
    </row>
    <row r="22783" spans="1:15" x14ac:dyDescent="0.25">
      <c r="A22783" t="s">
        <v>16</v>
      </c>
      <c r="B22783" t="s">
        <v>3221</v>
      </c>
      <c r="C22783">
        <v>19113</v>
      </c>
      <c r="D22783" t="s">
        <v>263</v>
      </c>
      <c r="E22783" t="s">
        <v>264</v>
      </c>
      <c r="F22783">
        <v>8.4</v>
      </c>
      <c r="G22783">
        <v>240104</v>
      </c>
      <c r="H22783">
        <v>4362</v>
      </c>
      <c r="I22783" t="s">
        <v>79</v>
      </c>
      <c r="J22783">
        <v>10.42</v>
      </c>
      <c r="K22783">
        <v>2.02</v>
      </c>
      <c r="L22783">
        <v>17537</v>
      </c>
      <c r="M22783" t="s">
        <v>455</v>
      </c>
      <c r="N22783" t="str">
        <f t="shared" si="448"/>
        <v xml:space="preserve">12401023237 </v>
      </c>
      <c r="O22783">
        <v>240110</v>
      </c>
    </row>
    <row r="22784" spans="1:15" x14ac:dyDescent="0.25">
      <c r="A22784" t="s">
        <v>16</v>
      </c>
      <c r="B22784" t="s">
        <v>3221</v>
      </c>
      <c r="C22784">
        <v>19113</v>
      </c>
      <c r="D22784" t="s">
        <v>263</v>
      </c>
      <c r="E22784" t="s">
        <v>264</v>
      </c>
      <c r="F22784">
        <v>11.17</v>
      </c>
      <c r="G22784">
        <v>240104</v>
      </c>
      <c r="H22784">
        <v>4362</v>
      </c>
      <c r="I22784" t="s">
        <v>79</v>
      </c>
      <c r="J22784">
        <v>13.85</v>
      </c>
      <c r="K22784">
        <v>2.68</v>
      </c>
      <c r="L22784">
        <v>17538</v>
      </c>
      <c r="M22784" t="s">
        <v>24</v>
      </c>
      <c r="N22784" t="str">
        <f t="shared" si="448"/>
        <v xml:space="preserve">12401023237 </v>
      </c>
      <c r="O22784">
        <v>240110</v>
      </c>
    </row>
    <row r="22785" spans="1:15" x14ac:dyDescent="0.25">
      <c r="A22785" t="s">
        <v>16</v>
      </c>
      <c r="B22785" t="s">
        <v>3221</v>
      </c>
      <c r="C22785">
        <v>19113</v>
      </c>
      <c r="D22785" t="s">
        <v>263</v>
      </c>
      <c r="E22785" t="s">
        <v>264</v>
      </c>
      <c r="F22785">
        <v>10.09</v>
      </c>
      <c r="G22785">
        <v>240104</v>
      </c>
      <c r="H22785">
        <v>4362</v>
      </c>
      <c r="I22785" t="s">
        <v>79</v>
      </c>
      <c r="J22785">
        <v>12.51</v>
      </c>
      <c r="K22785">
        <v>2.42</v>
      </c>
      <c r="L22785">
        <v>17950</v>
      </c>
      <c r="M22785" t="s">
        <v>86</v>
      </c>
      <c r="N22785" t="str">
        <f t="shared" si="448"/>
        <v xml:space="preserve">12401023237 </v>
      </c>
      <c r="O22785">
        <v>240110</v>
      </c>
    </row>
    <row r="22786" spans="1:15" x14ac:dyDescent="0.25">
      <c r="A22786" t="s">
        <v>16</v>
      </c>
      <c r="B22786" t="s">
        <v>3221</v>
      </c>
      <c r="C22786">
        <v>19113</v>
      </c>
      <c r="D22786" t="s">
        <v>263</v>
      </c>
      <c r="E22786" t="s">
        <v>264</v>
      </c>
      <c r="F22786">
        <v>2.7</v>
      </c>
      <c r="G22786">
        <v>240104</v>
      </c>
      <c r="H22786">
        <v>4362</v>
      </c>
      <c r="I22786" t="s">
        <v>79</v>
      </c>
      <c r="J22786">
        <v>3.35</v>
      </c>
      <c r="K22786">
        <v>0.65</v>
      </c>
      <c r="L22786">
        <v>17956</v>
      </c>
      <c r="M22786" t="s">
        <v>53</v>
      </c>
      <c r="N22786" t="str">
        <f t="shared" si="448"/>
        <v xml:space="preserve">12401023237 </v>
      </c>
      <c r="O22786">
        <v>240110</v>
      </c>
    </row>
    <row r="22787" spans="1:15" x14ac:dyDescent="0.25">
      <c r="A22787" t="s">
        <v>16</v>
      </c>
      <c r="B22787" t="s">
        <v>3221</v>
      </c>
      <c r="C22787">
        <v>19113</v>
      </c>
      <c r="D22787" t="s">
        <v>263</v>
      </c>
      <c r="E22787" t="s">
        <v>264</v>
      </c>
      <c r="F22787">
        <v>14.17</v>
      </c>
      <c r="G22787">
        <v>240104</v>
      </c>
      <c r="H22787">
        <v>4362</v>
      </c>
      <c r="I22787" t="s">
        <v>79</v>
      </c>
      <c r="J22787">
        <v>17.57</v>
      </c>
      <c r="K22787">
        <v>3.4</v>
      </c>
      <c r="L22787">
        <v>17971</v>
      </c>
      <c r="M22787" t="s">
        <v>138</v>
      </c>
      <c r="N22787" t="str">
        <f t="shared" si="448"/>
        <v xml:space="preserve">12401023237 </v>
      </c>
      <c r="O22787">
        <v>240110</v>
      </c>
    </row>
    <row r="22788" spans="1:15" x14ac:dyDescent="0.25">
      <c r="A22788" t="s">
        <v>16</v>
      </c>
      <c r="B22788" t="s">
        <v>3221</v>
      </c>
      <c r="C22788">
        <v>19113</v>
      </c>
      <c r="D22788" t="s">
        <v>263</v>
      </c>
      <c r="E22788" t="s">
        <v>264</v>
      </c>
      <c r="F22788">
        <v>2.7</v>
      </c>
      <c r="G22788">
        <v>240104</v>
      </c>
      <c r="H22788">
        <v>4362</v>
      </c>
      <c r="I22788" t="s">
        <v>79</v>
      </c>
      <c r="J22788">
        <v>3.35</v>
      </c>
      <c r="K22788">
        <v>0.65</v>
      </c>
      <c r="L22788">
        <v>17972</v>
      </c>
      <c r="M22788" t="s">
        <v>248</v>
      </c>
      <c r="N22788" t="str">
        <f t="shared" si="448"/>
        <v xml:space="preserve">12401023237 </v>
      </c>
      <c r="O22788">
        <v>240110</v>
      </c>
    </row>
    <row r="22789" spans="1:15" x14ac:dyDescent="0.25">
      <c r="A22789" t="s">
        <v>16</v>
      </c>
      <c r="B22789" t="s">
        <v>3221</v>
      </c>
      <c r="C22789">
        <v>19113</v>
      </c>
      <c r="D22789" t="s">
        <v>263</v>
      </c>
      <c r="E22789" t="s">
        <v>264</v>
      </c>
      <c r="F22789">
        <v>2.7</v>
      </c>
      <c r="G22789">
        <v>240104</v>
      </c>
      <c r="H22789">
        <v>4362</v>
      </c>
      <c r="I22789" t="s">
        <v>79</v>
      </c>
      <c r="J22789">
        <v>3.35</v>
      </c>
      <c r="K22789">
        <v>0.65</v>
      </c>
      <c r="L22789">
        <v>17974</v>
      </c>
      <c r="M22789" t="s">
        <v>460</v>
      </c>
      <c r="N22789" t="str">
        <f t="shared" si="448"/>
        <v xml:space="preserve">12401023237 </v>
      </c>
      <c r="O22789">
        <v>240110</v>
      </c>
    </row>
    <row r="22790" spans="1:15" x14ac:dyDescent="0.25">
      <c r="A22790" t="s">
        <v>16</v>
      </c>
      <c r="B22790" t="s">
        <v>3221</v>
      </c>
      <c r="C22790">
        <v>19113</v>
      </c>
      <c r="D22790" t="s">
        <v>263</v>
      </c>
      <c r="E22790" t="s">
        <v>264</v>
      </c>
      <c r="F22790">
        <v>12.59</v>
      </c>
      <c r="G22790">
        <v>240104</v>
      </c>
      <c r="H22790">
        <v>4362</v>
      </c>
      <c r="I22790" t="s">
        <v>79</v>
      </c>
      <c r="J22790">
        <v>15.61</v>
      </c>
      <c r="K22790">
        <v>3.02</v>
      </c>
      <c r="L22790">
        <v>17975</v>
      </c>
      <c r="M22790" t="s">
        <v>798</v>
      </c>
      <c r="N22790" t="str">
        <f t="shared" si="448"/>
        <v xml:space="preserve">12401023237 </v>
      </c>
      <c r="O22790">
        <v>240110</v>
      </c>
    </row>
    <row r="22791" spans="1:15" x14ac:dyDescent="0.25">
      <c r="A22791" t="s">
        <v>16</v>
      </c>
      <c r="B22791" t="s">
        <v>3221</v>
      </c>
      <c r="C22791">
        <v>19116</v>
      </c>
      <c r="D22791" t="s">
        <v>263</v>
      </c>
      <c r="E22791" t="s">
        <v>264</v>
      </c>
      <c r="F22791">
        <v>2.7</v>
      </c>
      <c r="G22791">
        <v>240104</v>
      </c>
      <c r="H22791">
        <v>4362</v>
      </c>
      <c r="I22791" t="s">
        <v>79</v>
      </c>
      <c r="J22791">
        <v>3.35</v>
      </c>
      <c r="K22791">
        <v>0.65</v>
      </c>
      <c r="L22791">
        <v>11900</v>
      </c>
      <c r="M22791" t="s">
        <v>1105</v>
      </c>
      <c r="N22791" t="str">
        <f>"12401023232 "</f>
        <v xml:space="preserve">12401023232 </v>
      </c>
      <c r="O22791">
        <v>240110</v>
      </c>
    </row>
    <row r="22792" spans="1:15" x14ac:dyDescent="0.25">
      <c r="A22792" t="s">
        <v>16</v>
      </c>
      <c r="B22792" t="s">
        <v>3221</v>
      </c>
      <c r="C22792">
        <v>19174</v>
      </c>
      <c r="D22792" t="s">
        <v>263</v>
      </c>
      <c r="E22792" t="s">
        <v>264</v>
      </c>
      <c r="F22792">
        <v>43.35</v>
      </c>
      <c r="G22792">
        <v>240104</v>
      </c>
      <c r="H22792">
        <v>4362</v>
      </c>
      <c r="I22792" t="s">
        <v>79</v>
      </c>
      <c r="J22792">
        <v>53.75</v>
      </c>
      <c r="K22792">
        <v>10.4</v>
      </c>
      <c r="L22792">
        <v>10002</v>
      </c>
      <c r="M22792" t="s">
        <v>1066</v>
      </c>
      <c r="N22792" t="str">
        <f>"12401023254 "</f>
        <v xml:space="preserve">12401023254 </v>
      </c>
      <c r="O22792">
        <v>240129</v>
      </c>
    </row>
    <row r="22793" spans="1:15" x14ac:dyDescent="0.25">
      <c r="A22793" t="s">
        <v>16</v>
      </c>
      <c r="B22793" t="s">
        <v>3221</v>
      </c>
      <c r="C22793">
        <v>19278</v>
      </c>
      <c r="D22793" t="s">
        <v>263</v>
      </c>
      <c r="E22793" t="s">
        <v>264</v>
      </c>
      <c r="F22793">
        <v>16.8</v>
      </c>
      <c r="G22793">
        <v>240104</v>
      </c>
      <c r="H22793">
        <v>4362</v>
      </c>
      <c r="I22793" t="s">
        <v>79</v>
      </c>
      <c r="J22793">
        <v>20.83</v>
      </c>
      <c r="K22793">
        <v>4.03</v>
      </c>
      <c r="L22793">
        <v>49112</v>
      </c>
      <c r="M22793" t="s">
        <v>233</v>
      </c>
      <c r="N22793" t="str">
        <f>"20027566    "</f>
        <v xml:space="preserve">20027566    </v>
      </c>
      <c r="O22793">
        <v>240116</v>
      </c>
    </row>
    <row r="22794" spans="1:15" x14ac:dyDescent="0.25">
      <c r="A22794" t="s">
        <v>16</v>
      </c>
      <c r="B22794" t="s">
        <v>3221</v>
      </c>
      <c r="C22794">
        <v>19285</v>
      </c>
      <c r="D22794" t="s">
        <v>263</v>
      </c>
      <c r="E22794" t="s">
        <v>264</v>
      </c>
      <c r="F22794">
        <v>3.35</v>
      </c>
      <c r="G22794">
        <v>240104</v>
      </c>
      <c r="H22794">
        <v>4362</v>
      </c>
      <c r="I22794" t="s">
        <v>79</v>
      </c>
      <c r="J22794">
        <v>3.35</v>
      </c>
      <c r="K22794">
        <v>0</v>
      </c>
      <c r="L22794">
        <v>13201</v>
      </c>
      <c r="M22794" t="s">
        <v>161</v>
      </c>
      <c r="N22794" t="str">
        <f t="shared" ref="N22794:N22805" si="449">"12401023239 "</f>
        <v xml:space="preserve">12401023239 </v>
      </c>
      <c r="O22794">
        <v>240116</v>
      </c>
    </row>
    <row r="22795" spans="1:15" x14ac:dyDescent="0.25">
      <c r="A22795" t="s">
        <v>16</v>
      </c>
      <c r="B22795" t="s">
        <v>3221</v>
      </c>
      <c r="C22795">
        <v>19285</v>
      </c>
      <c r="D22795" t="s">
        <v>263</v>
      </c>
      <c r="E22795" t="s">
        <v>264</v>
      </c>
      <c r="F22795">
        <v>24.3</v>
      </c>
      <c r="G22795">
        <v>240104</v>
      </c>
      <c r="H22795">
        <v>4362</v>
      </c>
      <c r="I22795" t="s">
        <v>79</v>
      </c>
      <c r="J22795">
        <v>30.13</v>
      </c>
      <c r="K22795">
        <v>5.83</v>
      </c>
      <c r="L22795">
        <v>13401</v>
      </c>
      <c r="M22795" t="s">
        <v>80</v>
      </c>
      <c r="N22795" t="str">
        <f t="shared" si="449"/>
        <v xml:space="preserve">12401023239 </v>
      </c>
      <c r="O22795">
        <v>240116</v>
      </c>
    </row>
    <row r="22796" spans="1:15" x14ac:dyDescent="0.25">
      <c r="A22796" t="s">
        <v>16</v>
      </c>
      <c r="B22796" t="s">
        <v>3221</v>
      </c>
      <c r="C22796">
        <v>19285</v>
      </c>
      <c r="D22796" t="s">
        <v>263</v>
      </c>
      <c r="E22796" t="s">
        <v>264</v>
      </c>
      <c r="F22796">
        <v>5.4</v>
      </c>
      <c r="G22796">
        <v>240104</v>
      </c>
      <c r="H22796">
        <v>4362</v>
      </c>
      <c r="I22796" t="s">
        <v>79</v>
      </c>
      <c r="J22796">
        <v>6.7</v>
      </c>
      <c r="K22796">
        <v>1.3</v>
      </c>
      <c r="L22796">
        <v>13401</v>
      </c>
      <c r="M22796" t="s">
        <v>80</v>
      </c>
      <c r="N22796" t="str">
        <f t="shared" si="449"/>
        <v xml:space="preserve">12401023239 </v>
      </c>
      <c r="O22796">
        <v>240116</v>
      </c>
    </row>
    <row r="22797" spans="1:15" x14ac:dyDescent="0.25">
      <c r="A22797" t="s">
        <v>16</v>
      </c>
      <c r="B22797" t="s">
        <v>3221</v>
      </c>
      <c r="C22797">
        <v>19285</v>
      </c>
      <c r="D22797" t="s">
        <v>263</v>
      </c>
      <c r="E22797" t="s">
        <v>264</v>
      </c>
      <c r="F22797">
        <v>22.6</v>
      </c>
      <c r="G22797">
        <v>240104</v>
      </c>
      <c r="H22797">
        <v>4362</v>
      </c>
      <c r="I22797" t="s">
        <v>79</v>
      </c>
      <c r="J22797">
        <v>28.03</v>
      </c>
      <c r="K22797">
        <v>5.43</v>
      </c>
      <c r="L22797">
        <v>13501</v>
      </c>
      <c r="M22797" t="s">
        <v>20</v>
      </c>
      <c r="N22797" t="str">
        <f t="shared" si="449"/>
        <v xml:space="preserve">12401023239 </v>
      </c>
      <c r="O22797">
        <v>240116</v>
      </c>
    </row>
    <row r="22798" spans="1:15" x14ac:dyDescent="0.25">
      <c r="A22798" t="s">
        <v>16</v>
      </c>
      <c r="B22798" t="s">
        <v>3221</v>
      </c>
      <c r="C22798">
        <v>19285</v>
      </c>
      <c r="D22798" t="s">
        <v>263</v>
      </c>
      <c r="E22798" t="s">
        <v>264</v>
      </c>
      <c r="F22798">
        <v>2.7</v>
      </c>
      <c r="G22798">
        <v>240104</v>
      </c>
      <c r="H22798">
        <v>4362</v>
      </c>
      <c r="I22798" t="s">
        <v>79</v>
      </c>
      <c r="J22798">
        <v>3.35</v>
      </c>
      <c r="K22798">
        <v>0.65</v>
      </c>
      <c r="L22798">
        <v>13561</v>
      </c>
      <c r="M22798" t="s">
        <v>246</v>
      </c>
      <c r="N22798" t="str">
        <f t="shared" si="449"/>
        <v xml:space="preserve">12401023239 </v>
      </c>
      <c r="O22798">
        <v>240116</v>
      </c>
    </row>
    <row r="22799" spans="1:15" x14ac:dyDescent="0.25">
      <c r="A22799" t="s">
        <v>16</v>
      </c>
      <c r="B22799" t="s">
        <v>3221</v>
      </c>
      <c r="C22799">
        <v>19285</v>
      </c>
      <c r="D22799" t="s">
        <v>263</v>
      </c>
      <c r="E22799" t="s">
        <v>264</v>
      </c>
      <c r="F22799">
        <v>2.8</v>
      </c>
      <c r="G22799">
        <v>240104</v>
      </c>
      <c r="H22799">
        <v>4362</v>
      </c>
      <c r="I22799" t="s">
        <v>79</v>
      </c>
      <c r="J22799">
        <v>3.47</v>
      </c>
      <c r="K22799">
        <v>0.67</v>
      </c>
      <c r="L22799">
        <v>13561</v>
      </c>
      <c r="M22799" t="s">
        <v>246</v>
      </c>
      <c r="N22799" t="str">
        <f t="shared" si="449"/>
        <v xml:space="preserve">12401023239 </v>
      </c>
      <c r="O22799">
        <v>240116</v>
      </c>
    </row>
    <row r="22800" spans="1:15" x14ac:dyDescent="0.25">
      <c r="A22800" t="s">
        <v>16</v>
      </c>
      <c r="B22800" t="s">
        <v>3221</v>
      </c>
      <c r="C22800">
        <v>19285</v>
      </c>
      <c r="D22800" t="s">
        <v>263</v>
      </c>
      <c r="E22800" t="s">
        <v>264</v>
      </c>
      <c r="F22800">
        <v>2.7</v>
      </c>
      <c r="G22800">
        <v>240104</v>
      </c>
      <c r="H22800">
        <v>4362</v>
      </c>
      <c r="I22800" t="s">
        <v>79</v>
      </c>
      <c r="J22800">
        <v>3.35</v>
      </c>
      <c r="K22800">
        <v>0.65</v>
      </c>
      <c r="L22800">
        <v>13601</v>
      </c>
      <c r="M22800" t="s">
        <v>147</v>
      </c>
      <c r="N22800" t="str">
        <f t="shared" si="449"/>
        <v xml:space="preserve">12401023239 </v>
      </c>
      <c r="O22800">
        <v>240116</v>
      </c>
    </row>
    <row r="22801" spans="1:15" x14ac:dyDescent="0.25">
      <c r="A22801" t="s">
        <v>16</v>
      </c>
      <c r="B22801" t="s">
        <v>3221</v>
      </c>
      <c r="C22801">
        <v>19285</v>
      </c>
      <c r="D22801" t="s">
        <v>263</v>
      </c>
      <c r="E22801" t="s">
        <v>264</v>
      </c>
      <c r="F22801">
        <v>2.7</v>
      </c>
      <c r="G22801">
        <v>240104</v>
      </c>
      <c r="H22801">
        <v>4362</v>
      </c>
      <c r="I22801" t="s">
        <v>79</v>
      </c>
      <c r="J22801">
        <v>3.35</v>
      </c>
      <c r="K22801">
        <v>0.65</v>
      </c>
      <c r="L22801">
        <v>13661</v>
      </c>
      <c r="M22801" t="s">
        <v>247</v>
      </c>
      <c r="N22801" t="str">
        <f t="shared" si="449"/>
        <v xml:space="preserve">12401023239 </v>
      </c>
      <c r="O22801">
        <v>240116</v>
      </c>
    </row>
    <row r="22802" spans="1:15" x14ac:dyDescent="0.25">
      <c r="A22802" t="s">
        <v>16</v>
      </c>
      <c r="B22802" t="s">
        <v>3221</v>
      </c>
      <c r="C22802">
        <v>19285</v>
      </c>
      <c r="D22802" t="s">
        <v>263</v>
      </c>
      <c r="E22802" t="s">
        <v>264</v>
      </c>
      <c r="F22802">
        <v>13.05</v>
      </c>
      <c r="G22802">
        <v>240104</v>
      </c>
      <c r="H22802">
        <v>4362</v>
      </c>
      <c r="I22802" t="s">
        <v>79</v>
      </c>
      <c r="J22802">
        <v>16.18</v>
      </c>
      <c r="K22802">
        <v>3.13</v>
      </c>
      <c r="L22802">
        <v>13801</v>
      </c>
      <c r="M22802" t="s">
        <v>162</v>
      </c>
      <c r="N22802" t="str">
        <f t="shared" si="449"/>
        <v xml:space="preserve">12401023239 </v>
      </c>
      <c r="O22802">
        <v>240116</v>
      </c>
    </row>
    <row r="22803" spans="1:15" x14ac:dyDescent="0.25">
      <c r="A22803" t="s">
        <v>16</v>
      </c>
      <c r="B22803" t="s">
        <v>3221</v>
      </c>
      <c r="C22803">
        <v>19285</v>
      </c>
      <c r="D22803" t="s">
        <v>263</v>
      </c>
      <c r="E22803" t="s">
        <v>264</v>
      </c>
      <c r="F22803">
        <v>13.51</v>
      </c>
      <c r="G22803">
        <v>240104</v>
      </c>
      <c r="H22803">
        <v>4362</v>
      </c>
      <c r="I22803" t="s">
        <v>79</v>
      </c>
      <c r="J22803">
        <v>16.75</v>
      </c>
      <c r="K22803">
        <v>3.24</v>
      </c>
      <c r="L22803">
        <v>13801</v>
      </c>
      <c r="M22803" t="s">
        <v>162</v>
      </c>
      <c r="N22803" t="str">
        <f t="shared" si="449"/>
        <v xml:space="preserve">12401023239 </v>
      </c>
      <c r="O22803">
        <v>240116</v>
      </c>
    </row>
    <row r="22804" spans="1:15" x14ac:dyDescent="0.25">
      <c r="A22804" t="s">
        <v>16</v>
      </c>
      <c r="B22804" t="s">
        <v>3221</v>
      </c>
      <c r="C22804">
        <v>19285</v>
      </c>
      <c r="D22804" t="s">
        <v>263</v>
      </c>
      <c r="E22804" t="s">
        <v>264</v>
      </c>
      <c r="F22804">
        <v>14.3</v>
      </c>
      <c r="G22804">
        <v>240104</v>
      </c>
      <c r="H22804">
        <v>4362</v>
      </c>
      <c r="I22804" t="s">
        <v>79</v>
      </c>
      <c r="J22804">
        <v>17.73</v>
      </c>
      <c r="K22804">
        <v>3.43</v>
      </c>
      <c r="L22804">
        <v>13802</v>
      </c>
      <c r="M22804" t="s">
        <v>200</v>
      </c>
      <c r="N22804" t="str">
        <f t="shared" si="449"/>
        <v xml:space="preserve">12401023239 </v>
      </c>
      <c r="O22804">
        <v>240116</v>
      </c>
    </row>
    <row r="22805" spans="1:15" x14ac:dyDescent="0.25">
      <c r="A22805" t="s">
        <v>16</v>
      </c>
      <c r="B22805" t="s">
        <v>3221</v>
      </c>
      <c r="C22805">
        <v>19285</v>
      </c>
      <c r="D22805" t="s">
        <v>263</v>
      </c>
      <c r="E22805" t="s">
        <v>264</v>
      </c>
      <c r="F22805">
        <v>2.82</v>
      </c>
      <c r="G22805">
        <v>240104</v>
      </c>
      <c r="H22805">
        <v>4362</v>
      </c>
      <c r="I22805" t="s">
        <v>79</v>
      </c>
      <c r="J22805">
        <v>3.5</v>
      </c>
      <c r="K22805">
        <v>0.68</v>
      </c>
      <c r="L22805">
        <v>17971</v>
      </c>
      <c r="M22805" t="s">
        <v>138</v>
      </c>
      <c r="N22805" t="str">
        <f t="shared" si="449"/>
        <v xml:space="preserve">12401023239 </v>
      </c>
      <c r="O22805">
        <v>240116</v>
      </c>
    </row>
    <row r="22806" spans="1:15" x14ac:dyDescent="0.25">
      <c r="A22806" t="s">
        <v>16</v>
      </c>
      <c r="B22806" t="s">
        <v>3221</v>
      </c>
      <c r="C22806">
        <v>19303</v>
      </c>
      <c r="D22806" t="s">
        <v>263</v>
      </c>
      <c r="E22806" t="s">
        <v>264</v>
      </c>
      <c r="F22806">
        <v>137.65</v>
      </c>
      <c r="G22806">
        <v>240115</v>
      </c>
      <c r="H22806">
        <v>4362</v>
      </c>
      <c r="I22806" t="s">
        <v>79</v>
      </c>
      <c r="J22806">
        <v>170.69</v>
      </c>
      <c r="K22806">
        <v>33.04</v>
      </c>
      <c r="L22806">
        <v>11801</v>
      </c>
      <c r="M22806" t="s">
        <v>92</v>
      </c>
      <c r="N22806" t="str">
        <f>"104803560   "</f>
        <v xml:space="preserve">104803560   </v>
      </c>
      <c r="O22806">
        <v>240116</v>
      </c>
    </row>
    <row r="22807" spans="1:15" x14ac:dyDescent="0.25">
      <c r="A22807" t="s">
        <v>16</v>
      </c>
      <c r="B22807" t="s">
        <v>3221</v>
      </c>
      <c r="C22807">
        <v>19307</v>
      </c>
      <c r="D22807" t="s">
        <v>263</v>
      </c>
      <c r="E22807" t="s">
        <v>264</v>
      </c>
      <c r="F22807">
        <v>2.5499999999999998</v>
      </c>
      <c r="G22807">
        <v>240104</v>
      </c>
      <c r="H22807">
        <v>4362</v>
      </c>
      <c r="I22807" t="s">
        <v>79</v>
      </c>
      <c r="J22807">
        <v>3.16</v>
      </c>
      <c r="K22807">
        <v>0.61</v>
      </c>
      <c r="L22807">
        <v>10002</v>
      </c>
      <c r="M22807" t="s">
        <v>1066</v>
      </c>
      <c r="N22807" t="str">
        <f t="shared" ref="N22807:N22819" si="450">"12401023211 "</f>
        <v xml:space="preserve">12401023211 </v>
      </c>
      <c r="O22807">
        <v>240117</v>
      </c>
    </row>
    <row r="22808" spans="1:15" x14ac:dyDescent="0.25">
      <c r="A22808" t="s">
        <v>16</v>
      </c>
      <c r="B22808" t="s">
        <v>3221</v>
      </c>
      <c r="C22808">
        <v>19307</v>
      </c>
      <c r="D22808" t="s">
        <v>263</v>
      </c>
      <c r="E22808" t="s">
        <v>264</v>
      </c>
      <c r="F22808">
        <v>2.5499999999999998</v>
      </c>
      <c r="G22808">
        <v>240104</v>
      </c>
      <c r="H22808">
        <v>4362</v>
      </c>
      <c r="I22808" t="s">
        <v>79</v>
      </c>
      <c r="J22808">
        <v>3.16</v>
      </c>
      <c r="K22808">
        <v>0.61</v>
      </c>
      <c r="L22808">
        <v>10002</v>
      </c>
      <c r="M22808" t="s">
        <v>1066</v>
      </c>
      <c r="N22808" t="str">
        <f t="shared" si="450"/>
        <v xml:space="preserve">12401023211 </v>
      </c>
      <c r="O22808">
        <v>240117</v>
      </c>
    </row>
    <row r="22809" spans="1:15" x14ac:dyDescent="0.25">
      <c r="A22809" t="s">
        <v>16</v>
      </c>
      <c r="B22809" t="s">
        <v>3221</v>
      </c>
      <c r="C22809">
        <v>19307</v>
      </c>
      <c r="D22809" t="s">
        <v>263</v>
      </c>
      <c r="E22809" t="s">
        <v>264</v>
      </c>
      <c r="F22809">
        <v>2.5499999999999998</v>
      </c>
      <c r="G22809">
        <v>240104</v>
      </c>
      <c r="H22809">
        <v>4362</v>
      </c>
      <c r="I22809" t="s">
        <v>79</v>
      </c>
      <c r="J22809">
        <v>3.16</v>
      </c>
      <c r="K22809">
        <v>0.61</v>
      </c>
      <c r="L22809">
        <v>11001</v>
      </c>
      <c r="M22809" t="s">
        <v>326</v>
      </c>
      <c r="N22809" t="str">
        <f t="shared" si="450"/>
        <v xml:space="preserve">12401023211 </v>
      </c>
      <c r="O22809">
        <v>240117</v>
      </c>
    </row>
    <row r="22810" spans="1:15" x14ac:dyDescent="0.25">
      <c r="A22810" t="s">
        <v>16</v>
      </c>
      <c r="B22810" t="s">
        <v>3221</v>
      </c>
      <c r="C22810">
        <v>19307</v>
      </c>
      <c r="D22810" t="s">
        <v>263</v>
      </c>
      <c r="E22810" t="s">
        <v>264</v>
      </c>
      <c r="F22810">
        <v>5.63</v>
      </c>
      <c r="G22810">
        <v>240104</v>
      </c>
      <c r="H22810">
        <v>4362</v>
      </c>
      <c r="I22810" t="s">
        <v>79</v>
      </c>
      <c r="J22810">
        <v>5.63</v>
      </c>
      <c r="K22810">
        <v>0</v>
      </c>
      <c r="L22810">
        <v>11001</v>
      </c>
      <c r="M22810" t="s">
        <v>326</v>
      </c>
      <c r="N22810" t="str">
        <f t="shared" si="450"/>
        <v xml:space="preserve">12401023211 </v>
      </c>
      <c r="O22810">
        <v>240117</v>
      </c>
    </row>
    <row r="22811" spans="1:15" x14ac:dyDescent="0.25">
      <c r="A22811" t="s">
        <v>16</v>
      </c>
      <c r="B22811" t="s">
        <v>3221</v>
      </c>
      <c r="C22811">
        <v>19307</v>
      </c>
      <c r="D22811" t="s">
        <v>263</v>
      </c>
      <c r="E22811" t="s">
        <v>264</v>
      </c>
      <c r="F22811">
        <v>5.25</v>
      </c>
      <c r="G22811">
        <v>240104</v>
      </c>
      <c r="H22811">
        <v>4362</v>
      </c>
      <c r="I22811" t="s">
        <v>79</v>
      </c>
      <c r="J22811">
        <v>6.51</v>
      </c>
      <c r="K22811">
        <v>1.26</v>
      </c>
      <c r="L22811">
        <v>11001</v>
      </c>
      <c r="M22811" t="s">
        <v>326</v>
      </c>
      <c r="N22811" t="str">
        <f t="shared" si="450"/>
        <v xml:space="preserve">12401023211 </v>
      </c>
      <c r="O22811">
        <v>240117</v>
      </c>
    </row>
    <row r="22812" spans="1:15" x14ac:dyDescent="0.25">
      <c r="A22812" t="s">
        <v>16</v>
      </c>
      <c r="B22812" t="s">
        <v>3221</v>
      </c>
      <c r="C22812">
        <v>19307</v>
      </c>
      <c r="D22812" t="s">
        <v>263</v>
      </c>
      <c r="E22812" t="s">
        <v>264</v>
      </c>
      <c r="F22812">
        <v>8.1</v>
      </c>
      <c r="G22812">
        <v>240104</v>
      </c>
      <c r="H22812">
        <v>4362</v>
      </c>
      <c r="I22812" t="s">
        <v>79</v>
      </c>
      <c r="J22812">
        <v>10.050000000000001</v>
      </c>
      <c r="K22812">
        <v>1.95</v>
      </c>
      <c r="L22812">
        <v>11301</v>
      </c>
      <c r="M22812" t="s">
        <v>29</v>
      </c>
      <c r="N22812" t="str">
        <f t="shared" si="450"/>
        <v xml:space="preserve">12401023211 </v>
      </c>
      <c r="O22812">
        <v>240117</v>
      </c>
    </row>
    <row r="22813" spans="1:15" x14ac:dyDescent="0.25">
      <c r="A22813" t="s">
        <v>16</v>
      </c>
      <c r="B22813" t="s">
        <v>3221</v>
      </c>
      <c r="C22813">
        <v>19307</v>
      </c>
      <c r="D22813" t="s">
        <v>263</v>
      </c>
      <c r="E22813" t="s">
        <v>264</v>
      </c>
      <c r="F22813">
        <v>5.48</v>
      </c>
      <c r="G22813">
        <v>240104</v>
      </c>
      <c r="H22813">
        <v>4362</v>
      </c>
      <c r="I22813" t="s">
        <v>79</v>
      </c>
      <c r="J22813">
        <v>5.48</v>
      </c>
      <c r="K22813">
        <v>0</v>
      </c>
      <c r="L22813">
        <v>11401</v>
      </c>
      <c r="M22813" t="s">
        <v>84</v>
      </c>
      <c r="N22813" t="str">
        <f t="shared" si="450"/>
        <v xml:space="preserve">12401023211 </v>
      </c>
      <c r="O22813">
        <v>240117</v>
      </c>
    </row>
    <row r="22814" spans="1:15" x14ac:dyDescent="0.25">
      <c r="A22814" t="s">
        <v>16</v>
      </c>
      <c r="B22814" t="s">
        <v>3221</v>
      </c>
      <c r="C22814">
        <v>19307</v>
      </c>
      <c r="D22814" t="s">
        <v>263</v>
      </c>
      <c r="E22814" t="s">
        <v>264</v>
      </c>
      <c r="F22814">
        <v>8.5299999999999994</v>
      </c>
      <c r="G22814">
        <v>240104</v>
      </c>
      <c r="H22814">
        <v>4362</v>
      </c>
      <c r="I22814" t="s">
        <v>79</v>
      </c>
      <c r="J22814">
        <v>10.58</v>
      </c>
      <c r="K22814">
        <v>2.0499999999999998</v>
      </c>
      <c r="L22814">
        <v>11401</v>
      </c>
      <c r="M22814" t="s">
        <v>84</v>
      </c>
      <c r="N22814" t="str">
        <f t="shared" si="450"/>
        <v xml:space="preserve">12401023211 </v>
      </c>
      <c r="O22814">
        <v>240117</v>
      </c>
    </row>
    <row r="22815" spans="1:15" x14ac:dyDescent="0.25">
      <c r="A22815" t="s">
        <v>16</v>
      </c>
      <c r="B22815" t="s">
        <v>3221</v>
      </c>
      <c r="C22815">
        <v>19307</v>
      </c>
      <c r="D22815" t="s">
        <v>263</v>
      </c>
      <c r="E22815" t="s">
        <v>264</v>
      </c>
      <c r="F22815">
        <v>2.5499999999999998</v>
      </c>
      <c r="G22815">
        <v>240104</v>
      </c>
      <c r="H22815">
        <v>4362</v>
      </c>
      <c r="I22815" t="s">
        <v>79</v>
      </c>
      <c r="J22815">
        <v>3.16</v>
      </c>
      <c r="K22815">
        <v>0.61</v>
      </c>
      <c r="L22815">
        <v>11501</v>
      </c>
      <c r="M22815" t="s">
        <v>339</v>
      </c>
      <c r="N22815" t="str">
        <f t="shared" si="450"/>
        <v xml:space="preserve">12401023211 </v>
      </c>
      <c r="O22815">
        <v>240117</v>
      </c>
    </row>
    <row r="22816" spans="1:15" x14ac:dyDescent="0.25">
      <c r="A22816" t="s">
        <v>16</v>
      </c>
      <c r="B22816" t="s">
        <v>3221</v>
      </c>
      <c r="C22816">
        <v>19307</v>
      </c>
      <c r="D22816" t="s">
        <v>263</v>
      </c>
      <c r="E22816" t="s">
        <v>264</v>
      </c>
      <c r="F22816">
        <v>3.24</v>
      </c>
      <c r="G22816">
        <v>240104</v>
      </c>
      <c r="H22816">
        <v>4362</v>
      </c>
      <c r="I22816" t="s">
        <v>79</v>
      </c>
      <c r="J22816">
        <v>3.24</v>
      </c>
      <c r="K22816">
        <v>0</v>
      </c>
      <c r="L22816">
        <v>11501</v>
      </c>
      <c r="M22816" t="s">
        <v>339</v>
      </c>
      <c r="N22816" t="str">
        <f t="shared" si="450"/>
        <v xml:space="preserve">12401023211 </v>
      </c>
      <c r="O22816">
        <v>240117</v>
      </c>
    </row>
    <row r="22817" spans="1:15" x14ac:dyDescent="0.25">
      <c r="A22817" t="s">
        <v>16</v>
      </c>
      <c r="B22817" t="s">
        <v>3221</v>
      </c>
      <c r="C22817">
        <v>19307</v>
      </c>
      <c r="D22817" t="s">
        <v>263</v>
      </c>
      <c r="E22817" t="s">
        <v>264</v>
      </c>
      <c r="F22817">
        <v>5.63</v>
      </c>
      <c r="G22817">
        <v>240104</v>
      </c>
      <c r="H22817">
        <v>4362</v>
      </c>
      <c r="I22817" t="s">
        <v>79</v>
      </c>
      <c r="J22817">
        <v>5.63</v>
      </c>
      <c r="K22817">
        <v>0</v>
      </c>
      <c r="L22817">
        <v>17807</v>
      </c>
      <c r="M22817" t="s">
        <v>318</v>
      </c>
      <c r="N22817" t="str">
        <f t="shared" si="450"/>
        <v xml:space="preserve">12401023211 </v>
      </c>
      <c r="O22817">
        <v>240117</v>
      </c>
    </row>
    <row r="22818" spans="1:15" x14ac:dyDescent="0.25">
      <c r="A22818" t="s">
        <v>16</v>
      </c>
      <c r="B22818" t="s">
        <v>3221</v>
      </c>
      <c r="C22818">
        <v>19307</v>
      </c>
      <c r="D22818" t="s">
        <v>263</v>
      </c>
      <c r="E22818" t="s">
        <v>264</v>
      </c>
      <c r="F22818">
        <v>3.58</v>
      </c>
      <c r="G22818">
        <v>240104</v>
      </c>
      <c r="H22818">
        <v>4362</v>
      </c>
      <c r="I22818" t="s">
        <v>79</v>
      </c>
      <c r="J22818">
        <v>3.58</v>
      </c>
      <c r="K22818">
        <v>0</v>
      </c>
      <c r="L22818">
        <v>18972</v>
      </c>
      <c r="M22818" t="s">
        <v>163</v>
      </c>
      <c r="N22818" t="str">
        <f t="shared" si="450"/>
        <v xml:space="preserve">12401023211 </v>
      </c>
      <c r="O22818">
        <v>240117</v>
      </c>
    </row>
    <row r="22819" spans="1:15" x14ac:dyDescent="0.25">
      <c r="A22819" t="s">
        <v>16</v>
      </c>
      <c r="B22819" t="s">
        <v>3221</v>
      </c>
      <c r="C22819">
        <v>19307</v>
      </c>
      <c r="D22819" t="s">
        <v>263</v>
      </c>
      <c r="E22819" t="s">
        <v>264</v>
      </c>
      <c r="F22819">
        <v>5.0999999999999996</v>
      </c>
      <c r="G22819">
        <v>240104</v>
      </c>
      <c r="H22819">
        <v>4362</v>
      </c>
      <c r="I22819" t="s">
        <v>79</v>
      </c>
      <c r="J22819">
        <v>6.32</v>
      </c>
      <c r="K22819">
        <v>1.22</v>
      </c>
      <c r="L22819">
        <v>18972</v>
      </c>
      <c r="M22819" t="s">
        <v>163</v>
      </c>
      <c r="N22819" t="str">
        <f t="shared" si="450"/>
        <v xml:space="preserve">12401023211 </v>
      </c>
      <c r="O22819">
        <v>240117</v>
      </c>
    </row>
    <row r="22820" spans="1:15" x14ac:dyDescent="0.25">
      <c r="A22820" t="s">
        <v>16</v>
      </c>
      <c r="B22820" t="s">
        <v>3221</v>
      </c>
      <c r="C22820">
        <v>13841</v>
      </c>
      <c r="D22820" t="s">
        <v>263</v>
      </c>
      <c r="E22820" t="s">
        <v>264</v>
      </c>
      <c r="F22820">
        <v>162.37</v>
      </c>
      <c r="G22820">
        <v>231006</v>
      </c>
      <c r="H22820">
        <v>4580</v>
      </c>
      <c r="I22820" t="s">
        <v>35</v>
      </c>
      <c r="J22820">
        <v>201.34</v>
      </c>
      <c r="K22820">
        <v>38.97</v>
      </c>
      <c r="L22820">
        <v>17737</v>
      </c>
      <c r="M22820" t="s">
        <v>279</v>
      </c>
      <c r="N22820" t="str">
        <f>"20000137    "</f>
        <v xml:space="preserve">20000137    </v>
      </c>
      <c r="O22820">
        <v>231013</v>
      </c>
    </row>
    <row r="22821" spans="1:15" x14ac:dyDescent="0.25">
      <c r="A22821" t="s">
        <v>16</v>
      </c>
      <c r="B22821" t="s">
        <v>3221</v>
      </c>
      <c r="C22821">
        <v>14460</v>
      </c>
      <c r="D22821" t="s">
        <v>263</v>
      </c>
      <c r="E22821" t="s">
        <v>264</v>
      </c>
      <c r="F22821">
        <v>328.4</v>
      </c>
      <c r="G22821">
        <v>231017</v>
      </c>
      <c r="H22821">
        <v>4580</v>
      </c>
      <c r="I22821" t="s">
        <v>35</v>
      </c>
      <c r="J22821">
        <v>407.22</v>
      </c>
      <c r="K22821">
        <v>78.819999999999993</v>
      </c>
      <c r="L22821">
        <v>14121</v>
      </c>
      <c r="M22821" t="s">
        <v>880</v>
      </c>
      <c r="N22821" t="str">
        <f>"20003536    "</f>
        <v xml:space="preserve">20003536    </v>
      </c>
      <c r="O22821">
        <v>231030</v>
      </c>
    </row>
    <row r="22822" spans="1:15" x14ac:dyDescent="0.25">
      <c r="A22822" t="s">
        <v>16</v>
      </c>
      <c r="B22822" t="s">
        <v>3221</v>
      </c>
      <c r="C22822">
        <v>14460</v>
      </c>
      <c r="D22822" t="s">
        <v>263</v>
      </c>
      <c r="E22822" t="s">
        <v>264</v>
      </c>
      <c r="F22822">
        <v>20.64</v>
      </c>
      <c r="G22822">
        <v>231017</v>
      </c>
      <c r="H22822">
        <v>4580</v>
      </c>
      <c r="I22822" t="s">
        <v>35</v>
      </c>
      <c r="J22822">
        <v>25.59</v>
      </c>
      <c r="K22822">
        <v>4.95</v>
      </c>
      <c r="L22822">
        <v>17737</v>
      </c>
      <c r="M22822" t="s">
        <v>279</v>
      </c>
      <c r="N22822" t="str">
        <f>"20003536    "</f>
        <v xml:space="preserve">20003536    </v>
      </c>
      <c r="O22822">
        <v>231030</v>
      </c>
    </row>
    <row r="22823" spans="1:15" x14ac:dyDescent="0.25">
      <c r="A22823" t="s">
        <v>16</v>
      </c>
      <c r="B22823" t="s">
        <v>3221</v>
      </c>
      <c r="C22823">
        <v>14460</v>
      </c>
      <c r="D22823" t="s">
        <v>263</v>
      </c>
      <c r="E22823" t="s">
        <v>264</v>
      </c>
      <c r="F22823">
        <v>25.86</v>
      </c>
      <c r="G22823">
        <v>231017</v>
      </c>
      <c r="H22823">
        <v>4580</v>
      </c>
      <c r="I22823" t="s">
        <v>35</v>
      </c>
      <c r="J22823">
        <v>32.07</v>
      </c>
      <c r="K22823">
        <v>6.21</v>
      </c>
      <c r="L22823">
        <v>17809</v>
      </c>
      <c r="M22823" t="s">
        <v>376</v>
      </c>
      <c r="N22823" t="str">
        <f>"20003536    "</f>
        <v xml:space="preserve">20003536    </v>
      </c>
      <c r="O22823">
        <v>231030</v>
      </c>
    </row>
    <row r="22824" spans="1:15" x14ac:dyDescent="0.25">
      <c r="A22824" t="s">
        <v>16</v>
      </c>
      <c r="B22824" t="s">
        <v>3221</v>
      </c>
      <c r="C22824">
        <v>14460</v>
      </c>
      <c r="D22824" t="s">
        <v>263</v>
      </c>
      <c r="E22824" t="s">
        <v>264</v>
      </c>
      <c r="F22824">
        <v>183.23</v>
      </c>
      <c r="G22824">
        <v>231017</v>
      </c>
      <c r="H22824">
        <v>4580</v>
      </c>
      <c r="I22824" t="s">
        <v>35</v>
      </c>
      <c r="J22824">
        <v>227.21</v>
      </c>
      <c r="K22824">
        <v>43.98</v>
      </c>
      <c r="L22824">
        <v>61122</v>
      </c>
      <c r="M22824" t="s">
        <v>402</v>
      </c>
      <c r="N22824" t="str">
        <f>"20003536    "</f>
        <v xml:space="preserve">20003536    </v>
      </c>
      <c r="O22824">
        <v>231030</v>
      </c>
    </row>
    <row r="22825" spans="1:15" x14ac:dyDescent="0.25">
      <c r="A22825" t="s">
        <v>16</v>
      </c>
      <c r="B22825" t="s">
        <v>3221</v>
      </c>
      <c r="C22825">
        <v>14525</v>
      </c>
      <c r="D22825" t="s">
        <v>263</v>
      </c>
      <c r="E22825" t="s">
        <v>264</v>
      </c>
      <c r="F22825">
        <v>183.63</v>
      </c>
      <c r="G22825">
        <v>231019</v>
      </c>
      <c r="H22825">
        <v>4580</v>
      </c>
      <c r="I22825" t="s">
        <v>35</v>
      </c>
      <c r="J22825">
        <v>227.7</v>
      </c>
      <c r="K22825">
        <v>44.07</v>
      </c>
      <c r="L22825">
        <v>11701</v>
      </c>
      <c r="M22825" t="s">
        <v>1204</v>
      </c>
      <c r="N22825" t="str">
        <f>"20005065    "</f>
        <v xml:space="preserve">20005065    </v>
      </c>
      <c r="O22825">
        <v>231030</v>
      </c>
    </row>
    <row r="22826" spans="1:15" x14ac:dyDescent="0.25">
      <c r="A22826" t="s">
        <v>16</v>
      </c>
      <c r="B22826" t="s">
        <v>3221</v>
      </c>
      <c r="C22826">
        <v>14525</v>
      </c>
      <c r="D22826" t="s">
        <v>263</v>
      </c>
      <c r="E22826" t="s">
        <v>264</v>
      </c>
      <c r="F22826">
        <v>182.64</v>
      </c>
      <c r="G22826">
        <v>231019</v>
      </c>
      <c r="H22826">
        <v>4580</v>
      </c>
      <c r="I22826" t="s">
        <v>35</v>
      </c>
      <c r="J22826">
        <v>226.47</v>
      </c>
      <c r="K22826">
        <v>43.83</v>
      </c>
      <c r="L22826">
        <v>49704</v>
      </c>
      <c r="M22826" t="s">
        <v>1065</v>
      </c>
      <c r="N22826" t="str">
        <f>"20005065    "</f>
        <v xml:space="preserve">20005065    </v>
      </c>
      <c r="O22826">
        <v>231030</v>
      </c>
    </row>
    <row r="22827" spans="1:15" x14ac:dyDescent="0.25">
      <c r="A22827" t="s">
        <v>16</v>
      </c>
      <c r="B22827" t="s">
        <v>3221</v>
      </c>
      <c r="C22827">
        <v>14578</v>
      </c>
      <c r="D22827" t="s">
        <v>263</v>
      </c>
      <c r="E22827" t="s">
        <v>264</v>
      </c>
      <c r="F22827">
        <v>157.91</v>
      </c>
      <c r="G22827">
        <v>231023</v>
      </c>
      <c r="H22827">
        <v>4580</v>
      </c>
      <c r="I22827" t="s">
        <v>35</v>
      </c>
      <c r="J22827">
        <v>195.81</v>
      </c>
      <c r="K22827">
        <v>37.9</v>
      </c>
      <c r="L22827">
        <v>67554</v>
      </c>
      <c r="M22827" t="s">
        <v>60</v>
      </c>
      <c r="N22827" t="str">
        <f>"20006010    "</f>
        <v xml:space="preserve">20006010    </v>
      </c>
      <c r="O22827">
        <v>231030</v>
      </c>
    </row>
    <row r="22828" spans="1:15" x14ac:dyDescent="0.25">
      <c r="A22828" t="s">
        <v>16</v>
      </c>
      <c r="B22828" t="s">
        <v>3221</v>
      </c>
      <c r="C22828">
        <v>14578</v>
      </c>
      <c r="D22828" t="s">
        <v>263</v>
      </c>
      <c r="E22828" t="s">
        <v>264</v>
      </c>
      <c r="F22828">
        <v>15.95</v>
      </c>
      <c r="G22828">
        <v>231023</v>
      </c>
      <c r="H22828">
        <v>4580</v>
      </c>
      <c r="I22828" t="s">
        <v>35</v>
      </c>
      <c r="J22828">
        <v>19.78</v>
      </c>
      <c r="K22828">
        <v>3.83</v>
      </c>
      <c r="L22828">
        <v>69702</v>
      </c>
      <c r="M22828" t="s">
        <v>489</v>
      </c>
      <c r="N22828" t="str">
        <f>"20006010    "</f>
        <v xml:space="preserve">20006010    </v>
      </c>
      <c r="O22828">
        <v>231030</v>
      </c>
    </row>
    <row r="22829" spans="1:15" x14ac:dyDescent="0.25">
      <c r="A22829" t="s">
        <v>16</v>
      </c>
      <c r="B22829" t="s">
        <v>3221</v>
      </c>
      <c r="C22829">
        <v>15017</v>
      </c>
      <c r="D22829" t="s">
        <v>263</v>
      </c>
      <c r="E22829" t="s">
        <v>264</v>
      </c>
      <c r="F22829">
        <v>42</v>
      </c>
      <c r="G22829">
        <v>231013</v>
      </c>
      <c r="H22829">
        <v>4580</v>
      </c>
      <c r="I22829" t="s">
        <v>35</v>
      </c>
      <c r="J22829">
        <v>52.08</v>
      </c>
      <c r="K22829">
        <v>10.08</v>
      </c>
      <c r="L22829">
        <v>11501</v>
      </c>
      <c r="M22829" t="s">
        <v>339</v>
      </c>
      <c r="N22829" t="str">
        <f>"20002960    "</f>
        <v xml:space="preserve">20002960    </v>
      </c>
      <c r="O22829">
        <v>231108</v>
      </c>
    </row>
    <row r="22830" spans="1:15" x14ac:dyDescent="0.25">
      <c r="A22830" t="s">
        <v>16</v>
      </c>
      <c r="B22830" t="s">
        <v>3221</v>
      </c>
      <c r="C22830">
        <v>15017</v>
      </c>
      <c r="D22830" t="s">
        <v>263</v>
      </c>
      <c r="E22830" t="s">
        <v>264</v>
      </c>
      <c r="F22830">
        <v>231.52</v>
      </c>
      <c r="G22830">
        <v>231013</v>
      </c>
      <c r="H22830">
        <v>4580</v>
      </c>
      <c r="I22830" t="s">
        <v>35</v>
      </c>
      <c r="J22830">
        <v>287.08</v>
      </c>
      <c r="K22830">
        <v>55.56</v>
      </c>
      <c r="L22830">
        <v>17971</v>
      </c>
      <c r="M22830" t="s">
        <v>138</v>
      </c>
      <c r="N22830" t="str">
        <f>"20002960    "</f>
        <v xml:space="preserve">20002960    </v>
      </c>
      <c r="O22830">
        <v>231108</v>
      </c>
    </row>
    <row r="22831" spans="1:15" x14ac:dyDescent="0.25">
      <c r="A22831" t="s">
        <v>16</v>
      </c>
      <c r="B22831" t="s">
        <v>3221</v>
      </c>
      <c r="C22831">
        <v>15160</v>
      </c>
      <c r="D22831" t="s">
        <v>263</v>
      </c>
      <c r="E22831" t="s">
        <v>264</v>
      </c>
      <c r="F22831">
        <v>162.36000000000001</v>
      </c>
      <c r="G22831">
        <v>231031</v>
      </c>
      <c r="H22831">
        <v>4580</v>
      </c>
      <c r="I22831" t="s">
        <v>35</v>
      </c>
      <c r="J22831">
        <v>201.33</v>
      </c>
      <c r="K22831">
        <v>38.97</v>
      </c>
      <c r="L22831">
        <v>17913</v>
      </c>
      <c r="M22831" t="s">
        <v>431</v>
      </c>
      <c r="N22831" t="str">
        <f>"20008087    "</f>
        <v xml:space="preserve">20008087    </v>
      </c>
      <c r="O22831">
        <v>231109</v>
      </c>
    </row>
    <row r="22832" spans="1:15" x14ac:dyDescent="0.25">
      <c r="A22832" t="s">
        <v>16</v>
      </c>
      <c r="B22832" t="s">
        <v>3221</v>
      </c>
      <c r="C22832">
        <v>15160</v>
      </c>
      <c r="D22832" t="s">
        <v>263</v>
      </c>
      <c r="E22832" t="s">
        <v>264</v>
      </c>
      <c r="F22832">
        <v>162.36000000000001</v>
      </c>
      <c r="G22832">
        <v>231031</v>
      </c>
      <c r="H22832">
        <v>4580</v>
      </c>
      <c r="I22832" t="s">
        <v>35</v>
      </c>
      <c r="J22832">
        <v>201.33</v>
      </c>
      <c r="K22832">
        <v>38.97</v>
      </c>
      <c r="L22832">
        <v>17951</v>
      </c>
      <c r="M22832" t="s">
        <v>87</v>
      </c>
      <c r="N22832" t="str">
        <f>"20008087    "</f>
        <v xml:space="preserve">20008087    </v>
      </c>
      <c r="O22832">
        <v>231109</v>
      </c>
    </row>
    <row r="22833" spans="1:15" x14ac:dyDescent="0.25">
      <c r="A22833" t="s">
        <v>16</v>
      </c>
      <c r="B22833" t="s">
        <v>3221</v>
      </c>
      <c r="C22833">
        <v>15620</v>
      </c>
      <c r="D22833" t="s">
        <v>263</v>
      </c>
      <c r="E22833" t="s">
        <v>264</v>
      </c>
      <c r="F22833">
        <v>169.36</v>
      </c>
      <c r="G22833">
        <v>231108</v>
      </c>
      <c r="H22833">
        <v>4580</v>
      </c>
      <c r="I22833" t="s">
        <v>35</v>
      </c>
      <c r="J22833">
        <v>210.01</v>
      </c>
      <c r="K22833">
        <v>40.65</v>
      </c>
      <c r="L22833">
        <v>48601</v>
      </c>
      <c r="M22833" t="s">
        <v>1047</v>
      </c>
      <c r="N22833" t="str">
        <f>"20011002    "</f>
        <v xml:space="preserve">20011002    </v>
      </c>
      <c r="O22833">
        <v>231114</v>
      </c>
    </row>
    <row r="22834" spans="1:15" x14ac:dyDescent="0.25">
      <c r="A22834" t="s">
        <v>16</v>
      </c>
      <c r="B22834" t="s">
        <v>3221</v>
      </c>
      <c r="C22834">
        <v>15747</v>
      </c>
      <c r="D22834" t="s">
        <v>263</v>
      </c>
      <c r="E22834" t="s">
        <v>264</v>
      </c>
      <c r="F22834">
        <v>223.1</v>
      </c>
      <c r="G22834">
        <v>231113</v>
      </c>
      <c r="H22834">
        <v>4580</v>
      </c>
      <c r="I22834" t="s">
        <v>35</v>
      </c>
      <c r="J22834">
        <v>276.64999999999998</v>
      </c>
      <c r="K22834">
        <v>53.55</v>
      </c>
      <c r="L22834">
        <v>13561</v>
      </c>
      <c r="M22834" t="s">
        <v>246</v>
      </c>
      <c r="N22834" t="str">
        <f>"20012610    "</f>
        <v xml:space="preserve">20012610    </v>
      </c>
      <c r="O22834">
        <v>231116</v>
      </c>
    </row>
    <row r="22835" spans="1:15" x14ac:dyDescent="0.25">
      <c r="A22835" t="s">
        <v>16</v>
      </c>
      <c r="B22835" t="s">
        <v>3221</v>
      </c>
      <c r="C22835">
        <v>15747</v>
      </c>
      <c r="D22835" t="s">
        <v>263</v>
      </c>
      <c r="E22835" t="s">
        <v>264</v>
      </c>
      <c r="F22835">
        <v>223.1</v>
      </c>
      <c r="G22835">
        <v>231113</v>
      </c>
      <c r="H22835">
        <v>4580</v>
      </c>
      <c r="I22835" t="s">
        <v>35</v>
      </c>
      <c r="J22835">
        <v>276.64</v>
      </c>
      <c r="K22835">
        <v>53.54</v>
      </c>
      <c r="L22835">
        <v>17971</v>
      </c>
      <c r="M22835" t="s">
        <v>138</v>
      </c>
      <c r="N22835" t="str">
        <f>"20012610    "</f>
        <v xml:space="preserve">20012610    </v>
      </c>
      <c r="O22835">
        <v>231116</v>
      </c>
    </row>
    <row r="22836" spans="1:15" x14ac:dyDescent="0.25">
      <c r="A22836" t="s">
        <v>16</v>
      </c>
      <c r="B22836" t="s">
        <v>3221</v>
      </c>
      <c r="C22836">
        <v>15747</v>
      </c>
      <c r="D22836" t="s">
        <v>263</v>
      </c>
      <c r="E22836" t="s">
        <v>264</v>
      </c>
      <c r="F22836">
        <v>384.9</v>
      </c>
      <c r="G22836">
        <v>231113</v>
      </c>
      <c r="H22836">
        <v>4580</v>
      </c>
      <c r="I22836" t="s">
        <v>35</v>
      </c>
      <c r="J22836">
        <v>477.28</v>
      </c>
      <c r="K22836">
        <v>92.38</v>
      </c>
      <c r="L22836">
        <v>18972</v>
      </c>
      <c r="M22836" t="s">
        <v>163</v>
      </c>
      <c r="N22836" t="str">
        <f>"20012610    "</f>
        <v xml:space="preserve">20012610    </v>
      </c>
      <c r="O22836">
        <v>231116</v>
      </c>
    </row>
    <row r="22837" spans="1:15" x14ac:dyDescent="0.25">
      <c r="A22837" t="s">
        <v>16</v>
      </c>
      <c r="B22837" t="s">
        <v>3221</v>
      </c>
      <c r="C22837">
        <v>15806</v>
      </c>
      <c r="D22837" t="s">
        <v>263</v>
      </c>
      <c r="E22837" t="s">
        <v>264</v>
      </c>
      <c r="F22837">
        <v>180.86</v>
      </c>
      <c r="G22837">
        <v>231026</v>
      </c>
      <c r="H22837">
        <v>4580</v>
      </c>
      <c r="I22837" t="s">
        <v>35</v>
      </c>
      <c r="J22837">
        <v>224.27</v>
      </c>
      <c r="K22837">
        <v>43.41</v>
      </c>
      <c r="L22837">
        <v>11801</v>
      </c>
      <c r="M22837" t="s">
        <v>92</v>
      </c>
      <c r="N22837" t="str">
        <f>"20007275    "</f>
        <v xml:space="preserve">20007275    </v>
      </c>
      <c r="O22837">
        <v>231120</v>
      </c>
    </row>
    <row r="22838" spans="1:15" x14ac:dyDescent="0.25">
      <c r="A22838" t="s">
        <v>16</v>
      </c>
      <c r="B22838" t="s">
        <v>3221</v>
      </c>
      <c r="C22838">
        <v>15806</v>
      </c>
      <c r="D22838" t="s">
        <v>263</v>
      </c>
      <c r="E22838" t="s">
        <v>264</v>
      </c>
      <c r="F22838">
        <v>180.86</v>
      </c>
      <c r="G22838">
        <v>231026</v>
      </c>
      <c r="H22838">
        <v>4580</v>
      </c>
      <c r="I22838" t="s">
        <v>35</v>
      </c>
      <c r="J22838">
        <v>224.27</v>
      </c>
      <c r="K22838">
        <v>43.41</v>
      </c>
      <c r="L22838">
        <v>46559</v>
      </c>
      <c r="M22838" t="s">
        <v>1104</v>
      </c>
      <c r="N22838" t="str">
        <f>"20007275    "</f>
        <v xml:space="preserve">20007275    </v>
      </c>
      <c r="O22838">
        <v>231120</v>
      </c>
    </row>
    <row r="22839" spans="1:15" x14ac:dyDescent="0.25">
      <c r="A22839" t="s">
        <v>16</v>
      </c>
      <c r="B22839" t="s">
        <v>3221</v>
      </c>
      <c r="C22839">
        <v>15806</v>
      </c>
      <c r="D22839" t="s">
        <v>263</v>
      </c>
      <c r="E22839" t="s">
        <v>264</v>
      </c>
      <c r="F22839">
        <v>180.86</v>
      </c>
      <c r="G22839">
        <v>231026</v>
      </c>
      <c r="H22839">
        <v>4580</v>
      </c>
      <c r="I22839" t="s">
        <v>35</v>
      </c>
      <c r="J22839">
        <v>224.27</v>
      </c>
      <c r="K22839">
        <v>43.41</v>
      </c>
      <c r="L22839">
        <v>49702</v>
      </c>
      <c r="M22839" t="s">
        <v>584</v>
      </c>
      <c r="N22839" t="str">
        <f>"20007275    "</f>
        <v xml:space="preserve">20007275    </v>
      </c>
      <c r="O22839">
        <v>231120</v>
      </c>
    </row>
    <row r="22840" spans="1:15" x14ac:dyDescent="0.25">
      <c r="A22840" t="s">
        <v>16</v>
      </c>
      <c r="B22840" t="s">
        <v>3221</v>
      </c>
      <c r="C22840">
        <v>16028</v>
      </c>
      <c r="D22840" t="s">
        <v>263</v>
      </c>
      <c r="E22840" t="s">
        <v>264</v>
      </c>
      <c r="F22840">
        <v>226.05</v>
      </c>
      <c r="G22840">
        <v>231116</v>
      </c>
      <c r="H22840">
        <v>4580</v>
      </c>
      <c r="I22840" t="s">
        <v>35</v>
      </c>
      <c r="J22840">
        <v>280.3</v>
      </c>
      <c r="K22840">
        <v>54.25</v>
      </c>
      <c r="L22840">
        <v>59705</v>
      </c>
      <c r="M22840" t="s">
        <v>843</v>
      </c>
      <c r="N22840" t="str">
        <f>"20014181    "</f>
        <v xml:space="preserve">20014181    </v>
      </c>
      <c r="O22840">
        <v>231122</v>
      </c>
    </row>
    <row r="22841" spans="1:15" x14ac:dyDescent="0.25">
      <c r="A22841" t="s">
        <v>16</v>
      </c>
      <c r="B22841" t="s">
        <v>3221</v>
      </c>
      <c r="C22841">
        <v>16092</v>
      </c>
      <c r="D22841" t="s">
        <v>263</v>
      </c>
      <c r="E22841" t="s">
        <v>264</v>
      </c>
      <c r="F22841">
        <v>178.55</v>
      </c>
      <c r="G22841">
        <v>231121</v>
      </c>
      <c r="H22841">
        <v>4580</v>
      </c>
      <c r="I22841" t="s">
        <v>35</v>
      </c>
      <c r="J22841">
        <v>221.4</v>
      </c>
      <c r="K22841">
        <v>42.85</v>
      </c>
      <c r="L22841">
        <v>17808</v>
      </c>
      <c r="M22841" t="s">
        <v>322</v>
      </c>
      <c r="N22841" t="str">
        <f>"20015446    "</f>
        <v xml:space="preserve">20015446    </v>
      </c>
      <c r="O22841">
        <v>231122</v>
      </c>
    </row>
    <row r="22842" spans="1:15" x14ac:dyDescent="0.25">
      <c r="A22842" t="s">
        <v>16</v>
      </c>
      <c r="B22842" t="s">
        <v>3221</v>
      </c>
      <c r="C22842">
        <v>16282</v>
      </c>
      <c r="D22842" t="s">
        <v>263</v>
      </c>
      <c r="E22842" t="s">
        <v>264</v>
      </c>
      <c r="F22842">
        <v>180.86</v>
      </c>
      <c r="G22842">
        <v>231117</v>
      </c>
      <c r="H22842">
        <v>4580</v>
      </c>
      <c r="I22842" t="s">
        <v>35</v>
      </c>
      <c r="J22842">
        <v>224.27</v>
      </c>
      <c r="K22842">
        <v>43.41</v>
      </c>
      <c r="L22842">
        <v>49501</v>
      </c>
      <c r="M22842" t="s">
        <v>177</v>
      </c>
      <c r="N22842" t="str">
        <f>"20014786    "</f>
        <v xml:space="preserve">20014786    </v>
      </c>
      <c r="O22842">
        <v>231127</v>
      </c>
    </row>
    <row r="22843" spans="1:15" x14ac:dyDescent="0.25">
      <c r="A22843" t="s">
        <v>16</v>
      </c>
      <c r="B22843" t="s">
        <v>3221</v>
      </c>
      <c r="C22843">
        <v>16440</v>
      </c>
      <c r="D22843" t="s">
        <v>263</v>
      </c>
      <c r="E22843" t="s">
        <v>264</v>
      </c>
      <c r="F22843">
        <v>180.86</v>
      </c>
      <c r="G22843">
        <v>231124</v>
      </c>
      <c r="H22843">
        <v>4580</v>
      </c>
      <c r="I22843" t="s">
        <v>35</v>
      </c>
      <c r="J22843">
        <v>224.27</v>
      </c>
      <c r="K22843">
        <v>43.41</v>
      </c>
      <c r="L22843">
        <v>16121</v>
      </c>
      <c r="M22843" t="s">
        <v>21</v>
      </c>
      <c r="N22843" t="str">
        <f>"20017034    "</f>
        <v xml:space="preserve">20017034    </v>
      </c>
      <c r="O22843">
        <v>231129</v>
      </c>
    </row>
    <row r="22844" spans="1:15" x14ac:dyDescent="0.25">
      <c r="A22844" t="s">
        <v>16</v>
      </c>
      <c r="B22844" t="s">
        <v>3221</v>
      </c>
      <c r="C22844">
        <v>16762</v>
      </c>
      <c r="D22844" t="s">
        <v>263</v>
      </c>
      <c r="E22844" t="s">
        <v>264</v>
      </c>
      <c r="F22844">
        <v>180.86</v>
      </c>
      <c r="G22844">
        <v>231124</v>
      </c>
      <c r="H22844">
        <v>4580</v>
      </c>
      <c r="I22844" t="s">
        <v>35</v>
      </c>
      <c r="J22844">
        <v>224.27</v>
      </c>
      <c r="K22844">
        <v>43.41</v>
      </c>
      <c r="L22844">
        <v>46555</v>
      </c>
      <c r="M22844" t="s">
        <v>597</v>
      </c>
      <c r="N22844" t="str">
        <f>"20017266    "</f>
        <v xml:space="preserve">20017266    </v>
      </c>
      <c r="O22844">
        <v>231208</v>
      </c>
    </row>
    <row r="22845" spans="1:15" x14ac:dyDescent="0.25">
      <c r="A22845" t="s">
        <v>16</v>
      </c>
      <c r="B22845" t="s">
        <v>3221</v>
      </c>
      <c r="C22845">
        <v>16762</v>
      </c>
      <c r="D22845" t="s">
        <v>263</v>
      </c>
      <c r="E22845" t="s">
        <v>264</v>
      </c>
      <c r="F22845">
        <v>178.77</v>
      </c>
      <c r="G22845">
        <v>231124</v>
      </c>
      <c r="H22845">
        <v>4580</v>
      </c>
      <c r="I22845" t="s">
        <v>35</v>
      </c>
      <c r="J22845">
        <v>221.68</v>
      </c>
      <c r="K22845">
        <v>42.91</v>
      </c>
      <c r="L22845">
        <v>68601</v>
      </c>
      <c r="M22845" t="s">
        <v>2370</v>
      </c>
      <c r="N22845" t="str">
        <f>"20017266    "</f>
        <v xml:space="preserve">20017266    </v>
      </c>
      <c r="O22845">
        <v>231208</v>
      </c>
    </row>
    <row r="22846" spans="1:15" x14ac:dyDescent="0.25">
      <c r="A22846" t="s">
        <v>16</v>
      </c>
      <c r="B22846" t="s">
        <v>3221</v>
      </c>
      <c r="C22846">
        <v>16778</v>
      </c>
      <c r="D22846" t="s">
        <v>263</v>
      </c>
      <c r="E22846" t="s">
        <v>264</v>
      </c>
      <c r="F22846">
        <v>192.05</v>
      </c>
      <c r="G22846">
        <v>231129</v>
      </c>
      <c r="H22846">
        <v>4580</v>
      </c>
      <c r="I22846" t="s">
        <v>35</v>
      </c>
      <c r="J22846">
        <v>238.14</v>
      </c>
      <c r="K22846">
        <v>46.09</v>
      </c>
      <c r="L22846">
        <v>17803</v>
      </c>
      <c r="M22846" t="s">
        <v>389</v>
      </c>
      <c r="N22846" t="str">
        <f>"20018335    "</f>
        <v xml:space="preserve">20018335    </v>
      </c>
      <c r="O22846">
        <v>231208</v>
      </c>
    </row>
    <row r="22847" spans="1:15" x14ac:dyDescent="0.25">
      <c r="A22847" t="s">
        <v>16</v>
      </c>
      <c r="B22847" t="s">
        <v>3221</v>
      </c>
      <c r="C22847">
        <v>16778</v>
      </c>
      <c r="D22847" t="s">
        <v>263</v>
      </c>
      <c r="E22847" t="s">
        <v>264</v>
      </c>
      <c r="F22847">
        <v>187.91</v>
      </c>
      <c r="G22847">
        <v>231129</v>
      </c>
      <c r="H22847">
        <v>4580</v>
      </c>
      <c r="I22847" t="s">
        <v>35</v>
      </c>
      <c r="J22847">
        <v>233.01</v>
      </c>
      <c r="K22847">
        <v>45.1</v>
      </c>
      <c r="L22847">
        <v>49501</v>
      </c>
      <c r="M22847" t="s">
        <v>177</v>
      </c>
      <c r="N22847" t="str">
        <f>"20018335    "</f>
        <v xml:space="preserve">20018335    </v>
      </c>
      <c r="O22847">
        <v>231208</v>
      </c>
    </row>
    <row r="22848" spans="1:15" x14ac:dyDescent="0.25">
      <c r="A22848" t="s">
        <v>16</v>
      </c>
      <c r="B22848" t="s">
        <v>3221</v>
      </c>
      <c r="C22848">
        <v>17518</v>
      </c>
      <c r="D22848" t="s">
        <v>263</v>
      </c>
      <c r="E22848" t="s">
        <v>264</v>
      </c>
      <c r="F22848">
        <v>190.26</v>
      </c>
      <c r="G22848">
        <v>231201</v>
      </c>
      <c r="H22848">
        <v>4580</v>
      </c>
      <c r="I22848" t="s">
        <v>35</v>
      </c>
      <c r="J22848">
        <v>235.92</v>
      </c>
      <c r="K22848">
        <v>45.66</v>
      </c>
      <c r="L22848">
        <v>67522</v>
      </c>
      <c r="M22848" t="s">
        <v>397</v>
      </c>
      <c r="N22848" t="str">
        <f>"20018849    "</f>
        <v xml:space="preserve">20018849    </v>
      </c>
      <c r="O22848">
        <v>231215</v>
      </c>
    </row>
    <row r="22849" spans="1:15" x14ac:dyDescent="0.25">
      <c r="A22849" t="s">
        <v>16</v>
      </c>
      <c r="B22849" t="s">
        <v>3221</v>
      </c>
      <c r="C22849">
        <v>17524</v>
      </c>
      <c r="D22849" t="s">
        <v>263</v>
      </c>
      <c r="E22849" t="s">
        <v>264</v>
      </c>
      <c r="F22849">
        <v>362.45</v>
      </c>
      <c r="G22849">
        <v>231208</v>
      </c>
      <c r="H22849">
        <v>4580</v>
      </c>
      <c r="I22849" t="s">
        <v>35</v>
      </c>
      <c r="J22849">
        <v>449.44</v>
      </c>
      <c r="K22849">
        <v>86.99</v>
      </c>
      <c r="L22849">
        <v>67554</v>
      </c>
      <c r="M22849" t="s">
        <v>60</v>
      </c>
      <c r="N22849" t="str">
        <f>"20021095    "</f>
        <v xml:space="preserve">20021095    </v>
      </c>
      <c r="O22849">
        <v>231215</v>
      </c>
    </row>
    <row r="22850" spans="1:15" x14ac:dyDescent="0.25">
      <c r="A22850" t="s">
        <v>16</v>
      </c>
      <c r="B22850" t="s">
        <v>3221</v>
      </c>
      <c r="C22850">
        <v>17524</v>
      </c>
      <c r="D22850" t="s">
        <v>263</v>
      </c>
      <c r="E22850" t="s">
        <v>264</v>
      </c>
      <c r="F22850">
        <v>343.95</v>
      </c>
      <c r="G22850">
        <v>231208</v>
      </c>
      <c r="H22850">
        <v>4580</v>
      </c>
      <c r="I22850" t="s">
        <v>35</v>
      </c>
      <c r="J22850">
        <v>426.5</v>
      </c>
      <c r="K22850">
        <v>82.55</v>
      </c>
      <c r="L22850">
        <v>69708</v>
      </c>
      <c r="M22850" t="s">
        <v>491</v>
      </c>
      <c r="N22850" t="str">
        <f>"20021095    "</f>
        <v xml:space="preserve">20021095    </v>
      </c>
      <c r="O22850">
        <v>231215</v>
      </c>
    </row>
    <row r="22851" spans="1:15" x14ac:dyDescent="0.25">
      <c r="A22851" t="s">
        <v>16</v>
      </c>
      <c r="B22851" t="s">
        <v>3221</v>
      </c>
      <c r="C22851">
        <v>17885</v>
      </c>
      <c r="D22851" t="s">
        <v>263</v>
      </c>
      <c r="E22851" t="s">
        <v>264</v>
      </c>
      <c r="F22851">
        <v>96.4</v>
      </c>
      <c r="G22851">
        <v>231207</v>
      </c>
      <c r="H22851">
        <v>4580</v>
      </c>
      <c r="I22851" t="s">
        <v>35</v>
      </c>
      <c r="J22851">
        <v>119.54</v>
      </c>
      <c r="K22851">
        <v>23.14</v>
      </c>
      <c r="L22851">
        <v>46554</v>
      </c>
      <c r="M22851" t="s">
        <v>117</v>
      </c>
      <c r="N22851" t="str">
        <f>"20020862    "</f>
        <v xml:space="preserve">20020862    </v>
      </c>
      <c r="O22851">
        <v>231227</v>
      </c>
    </row>
    <row r="22852" spans="1:15" x14ac:dyDescent="0.25">
      <c r="A22852" t="s">
        <v>16</v>
      </c>
      <c r="B22852" t="s">
        <v>3221</v>
      </c>
      <c r="C22852">
        <v>17885</v>
      </c>
      <c r="D22852" t="s">
        <v>263</v>
      </c>
      <c r="E22852" t="s">
        <v>264</v>
      </c>
      <c r="F22852">
        <v>247.88</v>
      </c>
      <c r="G22852">
        <v>231207</v>
      </c>
      <c r="H22852">
        <v>4580</v>
      </c>
      <c r="I22852" t="s">
        <v>35</v>
      </c>
      <c r="J22852">
        <v>307.37</v>
      </c>
      <c r="K22852">
        <v>59.49</v>
      </c>
      <c r="L22852">
        <v>59701</v>
      </c>
      <c r="M22852" t="s">
        <v>297</v>
      </c>
      <c r="N22852" t="str">
        <f>"20020862    "</f>
        <v xml:space="preserve">20020862    </v>
      </c>
      <c r="O22852">
        <v>231227</v>
      </c>
    </row>
    <row r="22853" spans="1:15" x14ac:dyDescent="0.25">
      <c r="A22853" t="s">
        <v>16</v>
      </c>
      <c r="B22853" t="s">
        <v>3221</v>
      </c>
      <c r="C22853">
        <v>17885</v>
      </c>
      <c r="D22853" t="s">
        <v>263</v>
      </c>
      <c r="E22853" t="s">
        <v>264</v>
      </c>
      <c r="F22853">
        <v>190.26</v>
      </c>
      <c r="G22853">
        <v>231207</v>
      </c>
      <c r="H22853">
        <v>4580</v>
      </c>
      <c r="I22853" t="s">
        <v>35</v>
      </c>
      <c r="J22853">
        <v>235.92</v>
      </c>
      <c r="K22853">
        <v>45.66</v>
      </c>
      <c r="L22853">
        <v>69708</v>
      </c>
      <c r="M22853" t="s">
        <v>491</v>
      </c>
      <c r="N22853" t="str">
        <f>"20020862    "</f>
        <v xml:space="preserve">20020862    </v>
      </c>
      <c r="O22853">
        <v>231227</v>
      </c>
    </row>
    <row r="22854" spans="1:15" x14ac:dyDescent="0.25">
      <c r="A22854" t="s">
        <v>16</v>
      </c>
      <c r="B22854" t="s">
        <v>3221</v>
      </c>
      <c r="C22854">
        <v>18045</v>
      </c>
      <c r="D22854" t="s">
        <v>263</v>
      </c>
      <c r="E22854" t="s">
        <v>264</v>
      </c>
      <c r="F22854">
        <v>218.69</v>
      </c>
      <c r="G22854">
        <v>231212</v>
      </c>
      <c r="H22854">
        <v>4580</v>
      </c>
      <c r="I22854" t="s">
        <v>35</v>
      </c>
      <c r="J22854">
        <v>271.18</v>
      </c>
      <c r="K22854">
        <v>52.49</v>
      </c>
      <c r="L22854">
        <v>14121</v>
      </c>
      <c r="M22854" t="s">
        <v>880</v>
      </c>
      <c r="N22854" t="str">
        <f>"20021917    "</f>
        <v xml:space="preserve">20021917    </v>
      </c>
      <c r="O22854">
        <v>240102</v>
      </c>
    </row>
    <row r="22855" spans="1:15" x14ac:dyDescent="0.25">
      <c r="A22855" t="s">
        <v>16</v>
      </c>
      <c r="B22855" t="s">
        <v>3221</v>
      </c>
      <c r="C22855">
        <v>18045</v>
      </c>
      <c r="D22855" t="s">
        <v>263</v>
      </c>
      <c r="E22855" t="s">
        <v>264</v>
      </c>
      <c r="F22855">
        <v>218.69</v>
      </c>
      <c r="G22855">
        <v>231212</v>
      </c>
      <c r="H22855">
        <v>4580</v>
      </c>
      <c r="I22855" t="s">
        <v>35</v>
      </c>
      <c r="J22855">
        <v>271.18</v>
      </c>
      <c r="K22855">
        <v>52.49</v>
      </c>
      <c r="L22855">
        <v>14861</v>
      </c>
      <c r="M22855" t="s">
        <v>785</v>
      </c>
      <c r="N22855" t="str">
        <f>"20021917    "</f>
        <v xml:space="preserve">20021917    </v>
      </c>
      <c r="O22855">
        <v>240102</v>
      </c>
    </row>
    <row r="22856" spans="1:15" x14ac:dyDescent="0.25">
      <c r="A22856" t="s">
        <v>16</v>
      </c>
      <c r="B22856" t="s">
        <v>3221</v>
      </c>
      <c r="C22856">
        <v>18045</v>
      </c>
      <c r="D22856" t="s">
        <v>263</v>
      </c>
      <c r="E22856" t="s">
        <v>264</v>
      </c>
      <c r="F22856">
        <v>218.73</v>
      </c>
      <c r="G22856">
        <v>231212</v>
      </c>
      <c r="H22856">
        <v>4580</v>
      </c>
      <c r="I22856" t="s">
        <v>35</v>
      </c>
      <c r="J22856">
        <v>271.23</v>
      </c>
      <c r="K22856">
        <v>52.5</v>
      </c>
      <c r="L22856">
        <v>14975</v>
      </c>
      <c r="M22856" t="s">
        <v>1341</v>
      </c>
      <c r="N22856" t="str">
        <f>"20021917    "</f>
        <v xml:space="preserve">20021917    </v>
      </c>
      <c r="O22856">
        <v>240102</v>
      </c>
    </row>
    <row r="22857" spans="1:15" x14ac:dyDescent="0.25">
      <c r="A22857" t="s">
        <v>16</v>
      </c>
      <c r="B22857" t="s">
        <v>3221</v>
      </c>
      <c r="C22857">
        <v>18265</v>
      </c>
      <c r="D22857" t="s">
        <v>263</v>
      </c>
      <c r="E22857" t="s">
        <v>264</v>
      </c>
      <c r="F22857">
        <v>-141.96</v>
      </c>
      <c r="G22857">
        <v>231219</v>
      </c>
      <c r="H22857">
        <v>4580</v>
      </c>
      <c r="I22857" t="s">
        <v>35</v>
      </c>
      <c r="J22857">
        <v>-176.03</v>
      </c>
      <c r="K22857">
        <v>-34.07</v>
      </c>
      <c r="L22857">
        <v>17975</v>
      </c>
      <c r="M22857" t="s">
        <v>798</v>
      </c>
      <c r="N22857" t="str">
        <f>"20024413    "</f>
        <v xml:space="preserve">20024413    </v>
      </c>
      <c r="O22857">
        <v>240102</v>
      </c>
    </row>
    <row r="22858" spans="1:15" x14ac:dyDescent="0.25">
      <c r="A22858" t="s">
        <v>16</v>
      </c>
      <c r="B22858" t="s">
        <v>3221</v>
      </c>
      <c r="C22858">
        <v>18266</v>
      </c>
      <c r="D22858" t="s">
        <v>263</v>
      </c>
      <c r="E22858" t="s">
        <v>264</v>
      </c>
      <c r="F22858">
        <v>188.77</v>
      </c>
      <c r="G22858">
        <v>231214</v>
      </c>
      <c r="H22858">
        <v>4580</v>
      </c>
      <c r="I22858" t="s">
        <v>35</v>
      </c>
      <c r="J22858">
        <v>234.08</v>
      </c>
      <c r="K22858">
        <v>45.31</v>
      </c>
      <c r="L22858">
        <v>17975</v>
      </c>
      <c r="M22858" t="s">
        <v>798</v>
      </c>
      <c r="N22858" t="str">
        <f>"20022999    "</f>
        <v xml:space="preserve">20022999    </v>
      </c>
      <c r="O22858">
        <v>240102</v>
      </c>
    </row>
    <row r="22859" spans="1:15" x14ac:dyDescent="0.25">
      <c r="A22859" t="s">
        <v>16</v>
      </c>
      <c r="B22859" t="s">
        <v>3221</v>
      </c>
      <c r="C22859">
        <v>18400</v>
      </c>
      <c r="D22859" t="s">
        <v>263</v>
      </c>
      <c r="E22859" t="s">
        <v>264</v>
      </c>
      <c r="F22859">
        <v>154.51</v>
      </c>
      <c r="G22859">
        <v>231218</v>
      </c>
      <c r="H22859">
        <v>4580</v>
      </c>
      <c r="I22859" t="s">
        <v>35</v>
      </c>
      <c r="J22859">
        <v>191.59</v>
      </c>
      <c r="K22859">
        <v>37.08</v>
      </c>
      <c r="L22859">
        <v>69702</v>
      </c>
      <c r="M22859" t="s">
        <v>489</v>
      </c>
      <c r="N22859" t="str">
        <f>"20023832    "</f>
        <v xml:space="preserve">20023832    </v>
      </c>
      <c r="O22859">
        <v>240103</v>
      </c>
    </row>
    <row r="22860" spans="1:15" x14ac:dyDescent="0.25">
      <c r="A22860" t="s">
        <v>16</v>
      </c>
      <c r="B22860" t="s">
        <v>3221</v>
      </c>
      <c r="C22860">
        <v>18436</v>
      </c>
      <c r="D22860" t="s">
        <v>263</v>
      </c>
      <c r="E22860" t="s">
        <v>264</v>
      </c>
      <c r="F22860">
        <v>180.86</v>
      </c>
      <c r="G22860">
        <v>231219</v>
      </c>
      <c r="H22860">
        <v>4580</v>
      </c>
      <c r="I22860" t="s">
        <v>35</v>
      </c>
      <c r="J22860">
        <v>224.27</v>
      </c>
      <c r="K22860">
        <v>43.41</v>
      </c>
      <c r="L22860">
        <v>49705</v>
      </c>
      <c r="M22860" t="s">
        <v>575</v>
      </c>
      <c r="N22860" t="str">
        <f>"20024306    "</f>
        <v xml:space="preserve">20024306    </v>
      </c>
      <c r="O22860">
        <v>240103</v>
      </c>
    </row>
    <row r="22861" spans="1:15" x14ac:dyDescent="0.25">
      <c r="A22861" t="s">
        <v>16</v>
      </c>
      <c r="B22861" t="s">
        <v>3221</v>
      </c>
      <c r="C22861">
        <v>18447</v>
      </c>
      <c r="D22861" t="s">
        <v>263</v>
      </c>
      <c r="E22861" t="s">
        <v>264</v>
      </c>
      <c r="F22861">
        <v>333.76</v>
      </c>
      <c r="G22861">
        <v>231220</v>
      </c>
      <c r="H22861">
        <v>4580</v>
      </c>
      <c r="I22861" t="s">
        <v>35</v>
      </c>
      <c r="J22861">
        <v>413.86</v>
      </c>
      <c r="K22861">
        <v>80.099999999999994</v>
      </c>
      <c r="L22861">
        <v>14321</v>
      </c>
      <c r="M22861" t="s">
        <v>717</v>
      </c>
      <c r="N22861" t="str">
        <f>"20024877    "</f>
        <v xml:space="preserve">20024877    </v>
      </c>
      <c r="O22861">
        <v>240103</v>
      </c>
    </row>
    <row r="22862" spans="1:15" x14ac:dyDescent="0.25">
      <c r="A22862" t="s">
        <v>16</v>
      </c>
      <c r="B22862" t="s">
        <v>3221</v>
      </c>
      <c r="C22862">
        <v>18735</v>
      </c>
      <c r="D22862" t="s">
        <v>263</v>
      </c>
      <c r="E22862" t="s">
        <v>264</v>
      </c>
      <c r="F22862">
        <v>180.86</v>
      </c>
      <c r="G22862">
        <v>231222</v>
      </c>
      <c r="H22862">
        <v>4580</v>
      </c>
      <c r="I22862" t="s">
        <v>35</v>
      </c>
      <c r="J22862">
        <v>224.27</v>
      </c>
      <c r="K22862">
        <v>43.41</v>
      </c>
      <c r="L22862">
        <v>11101</v>
      </c>
      <c r="M22862" t="s">
        <v>110</v>
      </c>
      <c r="N22862" t="str">
        <f>"20025715    "</f>
        <v xml:space="preserve">20025715    </v>
      </c>
      <c r="O22862">
        <v>240105</v>
      </c>
    </row>
    <row r="22863" spans="1:15" x14ac:dyDescent="0.25">
      <c r="A22863" t="s">
        <v>16</v>
      </c>
      <c r="B22863" t="s">
        <v>3221</v>
      </c>
      <c r="C22863">
        <v>18735</v>
      </c>
      <c r="D22863" t="s">
        <v>263</v>
      </c>
      <c r="E22863" t="s">
        <v>264</v>
      </c>
      <c r="F22863">
        <v>181.66</v>
      </c>
      <c r="G22863">
        <v>231222</v>
      </c>
      <c r="H22863">
        <v>4580</v>
      </c>
      <c r="I22863" t="s">
        <v>35</v>
      </c>
      <c r="J22863">
        <v>225.26</v>
      </c>
      <c r="K22863">
        <v>43.6</v>
      </c>
      <c r="L22863">
        <v>17803</v>
      </c>
      <c r="M22863" t="s">
        <v>389</v>
      </c>
      <c r="N22863" t="str">
        <f>"20025715    "</f>
        <v xml:space="preserve">20025715    </v>
      </c>
      <c r="O22863">
        <v>240105</v>
      </c>
    </row>
    <row r="22864" spans="1:15" x14ac:dyDescent="0.25">
      <c r="A22864" t="s">
        <v>16</v>
      </c>
      <c r="B22864" t="s">
        <v>3221</v>
      </c>
      <c r="C22864">
        <v>13948</v>
      </c>
      <c r="D22864" t="s">
        <v>263</v>
      </c>
      <c r="E22864" t="s">
        <v>264</v>
      </c>
      <c r="F22864">
        <v>11.4</v>
      </c>
      <c r="G22864">
        <v>231004</v>
      </c>
      <c r="H22864">
        <v>4425</v>
      </c>
      <c r="I22864" t="s">
        <v>1345</v>
      </c>
      <c r="J22864">
        <v>12.54</v>
      </c>
      <c r="K22864">
        <v>1.1399999999999999</v>
      </c>
      <c r="L22864">
        <v>66756</v>
      </c>
      <c r="M22864" t="s">
        <v>209</v>
      </c>
      <c r="N22864" t="str">
        <f>"12340023751 "</f>
        <v xml:space="preserve">12340023751 </v>
      </c>
      <c r="O22864">
        <v>231017</v>
      </c>
    </row>
    <row r="22865" spans="1:15" x14ac:dyDescent="0.25">
      <c r="A22865" t="s">
        <v>16</v>
      </c>
      <c r="B22865" t="s">
        <v>3221</v>
      </c>
      <c r="C22865">
        <v>16286</v>
      </c>
      <c r="D22865" t="s">
        <v>263</v>
      </c>
      <c r="E22865" t="s">
        <v>264</v>
      </c>
      <c r="F22865">
        <v>110.85</v>
      </c>
      <c r="G22865">
        <v>231123</v>
      </c>
      <c r="H22865">
        <v>4600</v>
      </c>
      <c r="I22865" t="s">
        <v>105</v>
      </c>
      <c r="J22865">
        <v>137.44999999999999</v>
      </c>
      <c r="K22865">
        <v>26.6</v>
      </c>
      <c r="L22865">
        <v>59704</v>
      </c>
      <c r="M22865" t="s">
        <v>1103</v>
      </c>
      <c r="N22865" t="str">
        <f>"20016671    "</f>
        <v xml:space="preserve">20016671    </v>
      </c>
      <c r="O22865">
        <v>231127</v>
      </c>
    </row>
    <row r="22866" spans="1:15" x14ac:dyDescent="0.25">
      <c r="A22866" t="s">
        <v>16</v>
      </c>
      <c r="B22866" t="s">
        <v>3221</v>
      </c>
      <c r="C22866">
        <v>1621</v>
      </c>
      <c r="D22866" t="s">
        <v>263</v>
      </c>
      <c r="E22866" t="s">
        <v>264</v>
      </c>
      <c r="F22866">
        <v>2.7</v>
      </c>
      <c r="G22866">
        <v>230206</v>
      </c>
      <c r="H22866">
        <v>4363</v>
      </c>
      <c r="I22866" t="s">
        <v>947</v>
      </c>
      <c r="J22866">
        <v>3.35</v>
      </c>
      <c r="K22866">
        <v>0.65</v>
      </c>
      <c r="L22866">
        <v>11908</v>
      </c>
      <c r="M22866" t="s">
        <v>598</v>
      </c>
      <c r="N22866" t="str">
        <f>"12306024752 "</f>
        <v xml:space="preserve">12306024752 </v>
      </c>
      <c r="O22866">
        <v>230210</v>
      </c>
    </row>
    <row r="22867" spans="1:15" x14ac:dyDescent="0.25">
      <c r="A22867" t="s">
        <v>16</v>
      </c>
      <c r="B22867" t="s">
        <v>3221</v>
      </c>
      <c r="C22867">
        <v>14460</v>
      </c>
      <c r="D22867" t="s">
        <v>263</v>
      </c>
      <c r="E22867" t="s">
        <v>264</v>
      </c>
      <c r="F22867">
        <v>39.35</v>
      </c>
      <c r="G22867">
        <v>231017</v>
      </c>
      <c r="H22867">
        <v>4500</v>
      </c>
      <c r="I22867" t="s">
        <v>212</v>
      </c>
      <c r="J22867">
        <v>48.79</v>
      </c>
      <c r="K22867">
        <v>9.44</v>
      </c>
      <c r="L22867">
        <v>59501</v>
      </c>
      <c r="M22867" t="s">
        <v>69</v>
      </c>
      <c r="N22867" t="str">
        <f>"20003536    "</f>
        <v xml:space="preserve">20003536    </v>
      </c>
      <c r="O22867">
        <v>231030</v>
      </c>
    </row>
    <row r="22868" spans="1:15" x14ac:dyDescent="0.25">
      <c r="A22868" t="s">
        <v>16</v>
      </c>
      <c r="B22868" t="s">
        <v>3221</v>
      </c>
      <c r="C22868">
        <v>14840</v>
      </c>
      <c r="D22868" t="s">
        <v>263</v>
      </c>
      <c r="E22868" t="s">
        <v>264</v>
      </c>
      <c r="F22868">
        <v>56.9</v>
      </c>
      <c r="G22868">
        <v>231023</v>
      </c>
      <c r="H22868">
        <v>4500</v>
      </c>
      <c r="I22868" t="s">
        <v>212</v>
      </c>
      <c r="J22868">
        <v>70.56</v>
      </c>
      <c r="K22868">
        <v>13.66</v>
      </c>
      <c r="L22868">
        <v>11903</v>
      </c>
      <c r="M22868" t="s">
        <v>406</v>
      </c>
      <c r="N22868" t="str">
        <f>"20006078    "</f>
        <v xml:space="preserve">20006078    </v>
      </c>
      <c r="O22868">
        <v>231107</v>
      </c>
    </row>
    <row r="22869" spans="1:15" x14ac:dyDescent="0.25">
      <c r="A22869" t="s">
        <v>16</v>
      </c>
      <c r="B22869" t="s">
        <v>3221</v>
      </c>
      <c r="C22869">
        <v>16762</v>
      </c>
      <c r="D22869" t="s">
        <v>263</v>
      </c>
      <c r="E22869" t="s">
        <v>264</v>
      </c>
      <c r="F22869">
        <v>47.1</v>
      </c>
      <c r="G22869">
        <v>231124</v>
      </c>
      <c r="H22869">
        <v>4500</v>
      </c>
      <c r="I22869" t="s">
        <v>212</v>
      </c>
      <c r="J22869">
        <v>58.4</v>
      </c>
      <c r="K22869">
        <v>11.3</v>
      </c>
      <c r="L22869">
        <v>13801</v>
      </c>
      <c r="M22869" t="s">
        <v>162</v>
      </c>
      <c r="N22869" t="str">
        <f>"20017266    "</f>
        <v xml:space="preserve">20017266    </v>
      </c>
      <c r="O22869">
        <v>231208</v>
      </c>
    </row>
    <row r="22870" spans="1:15" x14ac:dyDescent="0.25">
      <c r="A22870" t="s">
        <v>16</v>
      </c>
      <c r="B22870" t="s">
        <v>3221</v>
      </c>
      <c r="C22870">
        <v>16762</v>
      </c>
      <c r="D22870" t="s">
        <v>263</v>
      </c>
      <c r="E22870" t="s">
        <v>264</v>
      </c>
      <c r="F22870">
        <v>78.489999999999995</v>
      </c>
      <c r="G22870">
        <v>231124</v>
      </c>
      <c r="H22870">
        <v>4500</v>
      </c>
      <c r="I22870" t="s">
        <v>212</v>
      </c>
      <c r="J22870">
        <v>97.33</v>
      </c>
      <c r="K22870">
        <v>18.84</v>
      </c>
      <c r="L22870">
        <v>65222</v>
      </c>
      <c r="M22870" t="s">
        <v>487</v>
      </c>
      <c r="N22870" t="str">
        <f>"20017266    "</f>
        <v xml:space="preserve">20017266    </v>
      </c>
      <c r="O22870">
        <v>231208</v>
      </c>
    </row>
    <row r="22871" spans="1:15" x14ac:dyDescent="0.25">
      <c r="A22871" t="s">
        <v>16</v>
      </c>
      <c r="B22871" t="s">
        <v>3221</v>
      </c>
      <c r="C22871">
        <v>18266</v>
      </c>
      <c r="D22871" t="s">
        <v>263</v>
      </c>
      <c r="E22871" t="s">
        <v>264</v>
      </c>
      <c r="F22871">
        <v>29.63</v>
      </c>
      <c r="G22871">
        <v>231214</v>
      </c>
      <c r="H22871">
        <v>4500</v>
      </c>
      <c r="I22871" t="s">
        <v>212</v>
      </c>
      <c r="J22871">
        <v>36.74</v>
      </c>
      <c r="K22871">
        <v>7.11</v>
      </c>
      <c r="L22871">
        <v>11001</v>
      </c>
      <c r="M22871" t="s">
        <v>326</v>
      </c>
      <c r="N22871" t="str">
        <f>"20022999    "</f>
        <v xml:space="preserve">20022999    </v>
      </c>
      <c r="O22871">
        <v>240102</v>
      </c>
    </row>
    <row r="22872" spans="1:15" x14ac:dyDescent="0.25">
      <c r="A22872" t="s">
        <v>16</v>
      </c>
      <c r="B22872" t="s">
        <v>3221</v>
      </c>
      <c r="C22872">
        <v>18400</v>
      </c>
      <c r="D22872" t="s">
        <v>263</v>
      </c>
      <c r="E22872" t="s">
        <v>264</v>
      </c>
      <c r="F22872">
        <v>43.9</v>
      </c>
      <c r="G22872">
        <v>231218</v>
      </c>
      <c r="H22872">
        <v>4500</v>
      </c>
      <c r="I22872" t="s">
        <v>212</v>
      </c>
      <c r="J22872">
        <v>54.43</v>
      </c>
      <c r="K22872">
        <v>10.53</v>
      </c>
      <c r="L22872">
        <v>11001</v>
      </c>
      <c r="M22872" t="s">
        <v>326</v>
      </c>
      <c r="N22872" t="str">
        <f>"20023832    "</f>
        <v xml:space="preserve">20023832    </v>
      </c>
      <c r="O22872">
        <v>240103</v>
      </c>
    </row>
    <row r="22873" spans="1:15" x14ac:dyDescent="0.25">
      <c r="A22873" t="s">
        <v>16</v>
      </c>
      <c r="B22873" t="s">
        <v>3221</v>
      </c>
      <c r="C22873">
        <v>18447</v>
      </c>
      <c r="D22873" t="s">
        <v>263</v>
      </c>
      <c r="E22873" t="s">
        <v>264</v>
      </c>
      <c r="F22873">
        <v>50.17</v>
      </c>
      <c r="G22873">
        <v>231220</v>
      </c>
      <c r="H22873">
        <v>4500</v>
      </c>
      <c r="I22873" t="s">
        <v>212</v>
      </c>
      <c r="J22873">
        <v>62.21</v>
      </c>
      <c r="K22873">
        <v>12.04</v>
      </c>
      <c r="L22873">
        <v>11601</v>
      </c>
      <c r="M22873" t="s">
        <v>535</v>
      </c>
      <c r="N22873" t="str">
        <f>"20024877    "</f>
        <v xml:space="preserve">20024877    </v>
      </c>
      <c r="O22873">
        <v>240103</v>
      </c>
    </row>
    <row r="22874" spans="1:15" x14ac:dyDescent="0.25">
      <c r="A22874" t="s">
        <v>16</v>
      </c>
      <c r="B22874" t="s">
        <v>3221</v>
      </c>
      <c r="C22874">
        <v>15017</v>
      </c>
      <c r="D22874" t="s">
        <v>263</v>
      </c>
      <c r="E22874" t="s">
        <v>264</v>
      </c>
      <c r="F22874">
        <v>8.9</v>
      </c>
      <c r="G22874">
        <v>231013</v>
      </c>
      <c r="H22874">
        <v>4347</v>
      </c>
      <c r="I22874" t="s">
        <v>193</v>
      </c>
      <c r="J22874">
        <v>11.04</v>
      </c>
      <c r="K22874">
        <v>2.14</v>
      </c>
      <c r="L22874">
        <v>11501</v>
      </c>
      <c r="M22874" t="s">
        <v>339</v>
      </c>
      <c r="N22874" t="str">
        <f>"20002960    "</f>
        <v xml:space="preserve">20002960    </v>
      </c>
      <c r="O22874">
        <v>231108</v>
      </c>
    </row>
    <row r="22875" spans="1:15" x14ac:dyDescent="0.25">
      <c r="A22875" t="s">
        <v>16</v>
      </c>
      <c r="B22875" t="s">
        <v>3221</v>
      </c>
      <c r="C22875">
        <v>15017</v>
      </c>
      <c r="D22875" t="s">
        <v>263</v>
      </c>
      <c r="E22875" t="s">
        <v>264</v>
      </c>
      <c r="F22875">
        <v>8.9</v>
      </c>
      <c r="G22875">
        <v>231013</v>
      </c>
      <c r="H22875">
        <v>4347</v>
      </c>
      <c r="I22875" t="s">
        <v>193</v>
      </c>
      <c r="J22875">
        <v>11.04</v>
      </c>
      <c r="K22875">
        <v>2.14</v>
      </c>
      <c r="L22875">
        <v>17971</v>
      </c>
      <c r="M22875" t="s">
        <v>138</v>
      </c>
      <c r="N22875" t="str">
        <f>"20002960    "</f>
        <v xml:space="preserve">20002960    </v>
      </c>
      <c r="O22875">
        <v>231108</v>
      </c>
    </row>
    <row r="22876" spans="1:15" x14ac:dyDescent="0.25">
      <c r="A22876" t="s">
        <v>16</v>
      </c>
      <c r="B22876" t="s">
        <v>3221</v>
      </c>
      <c r="C22876">
        <v>184</v>
      </c>
      <c r="D22876" t="s">
        <v>291</v>
      </c>
      <c r="E22876" t="s">
        <v>292</v>
      </c>
      <c r="F22876">
        <v>163.02000000000001</v>
      </c>
      <c r="G22876">
        <v>230104</v>
      </c>
      <c r="H22876">
        <v>4580</v>
      </c>
      <c r="I22876" t="s">
        <v>35</v>
      </c>
      <c r="J22876">
        <v>202.14</v>
      </c>
      <c r="K22876">
        <v>39.119999999999997</v>
      </c>
      <c r="L22876">
        <v>46222</v>
      </c>
      <c r="M22876" t="s">
        <v>293</v>
      </c>
      <c r="N22876" t="str">
        <f>"11253257    "</f>
        <v xml:space="preserve">11253257    </v>
      </c>
      <c r="O22876">
        <v>230116</v>
      </c>
    </row>
    <row r="22877" spans="1:15" x14ac:dyDescent="0.25">
      <c r="A22877" t="s">
        <v>16</v>
      </c>
      <c r="B22877" t="s">
        <v>3221</v>
      </c>
      <c r="C22877">
        <v>184</v>
      </c>
      <c r="D22877" t="s">
        <v>291</v>
      </c>
      <c r="E22877" t="s">
        <v>292</v>
      </c>
      <c r="F22877">
        <v>163.02000000000001</v>
      </c>
      <c r="G22877">
        <v>230104</v>
      </c>
      <c r="H22877">
        <v>4580</v>
      </c>
      <c r="I22877" t="s">
        <v>35</v>
      </c>
      <c r="J22877">
        <v>202.15</v>
      </c>
      <c r="K22877">
        <v>39.130000000000003</v>
      </c>
      <c r="L22877">
        <v>46554</v>
      </c>
      <c r="M22877" t="s">
        <v>117</v>
      </c>
      <c r="N22877" t="str">
        <f>"11253257    "</f>
        <v xml:space="preserve">11253257    </v>
      </c>
      <c r="O22877">
        <v>230116</v>
      </c>
    </row>
    <row r="22878" spans="1:15" x14ac:dyDescent="0.25">
      <c r="A22878" t="s">
        <v>16</v>
      </c>
      <c r="B22878" t="s">
        <v>3221</v>
      </c>
      <c r="C22878">
        <v>239</v>
      </c>
      <c r="D22878" t="s">
        <v>291</v>
      </c>
      <c r="E22878" t="s">
        <v>292</v>
      </c>
      <c r="F22878">
        <v>154.33000000000001</v>
      </c>
      <c r="G22878">
        <v>230111</v>
      </c>
      <c r="H22878">
        <v>4580</v>
      </c>
      <c r="I22878" t="s">
        <v>35</v>
      </c>
      <c r="J22878">
        <v>191.37</v>
      </c>
      <c r="K22878">
        <v>37.04</v>
      </c>
      <c r="L22878">
        <v>17711</v>
      </c>
      <c r="M22878" t="s">
        <v>65</v>
      </c>
      <c r="N22878" t="str">
        <f>"11272121    "</f>
        <v xml:space="preserve">11272121    </v>
      </c>
      <c r="O22878">
        <v>230116</v>
      </c>
    </row>
    <row r="22879" spans="1:15" x14ac:dyDescent="0.25">
      <c r="A22879" t="s">
        <v>16</v>
      </c>
      <c r="B22879" t="s">
        <v>3221</v>
      </c>
      <c r="C22879">
        <v>239</v>
      </c>
      <c r="D22879" t="s">
        <v>291</v>
      </c>
      <c r="E22879" t="s">
        <v>292</v>
      </c>
      <c r="F22879">
        <v>195.2</v>
      </c>
      <c r="G22879">
        <v>230111</v>
      </c>
      <c r="H22879">
        <v>4580</v>
      </c>
      <c r="I22879" t="s">
        <v>35</v>
      </c>
      <c r="J22879">
        <v>242.05</v>
      </c>
      <c r="K22879">
        <v>46.85</v>
      </c>
      <c r="L22879">
        <v>59113</v>
      </c>
      <c r="M22879" t="s">
        <v>235</v>
      </c>
      <c r="N22879" t="str">
        <f>"11272121    "</f>
        <v xml:space="preserve">11272121    </v>
      </c>
      <c r="O22879">
        <v>230116</v>
      </c>
    </row>
    <row r="22880" spans="1:15" x14ac:dyDescent="0.25">
      <c r="A22880" t="s">
        <v>16</v>
      </c>
      <c r="B22880" t="s">
        <v>3221</v>
      </c>
      <c r="C22880">
        <v>316</v>
      </c>
      <c r="D22880" t="s">
        <v>291</v>
      </c>
      <c r="E22880" t="s">
        <v>292</v>
      </c>
      <c r="F22880">
        <v>53.9</v>
      </c>
      <c r="G22880">
        <v>230116</v>
      </c>
      <c r="H22880">
        <v>4580</v>
      </c>
      <c r="I22880" t="s">
        <v>35</v>
      </c>
      <c r="J22880">
        <v>66.84</v>
      </c>
      <c r="K22880">
        <v>12.94</v>
      </c>
      <c r="L22880">
        <v>17974</v>
      </c>
      <c r="M22880" t="s">
        <v>460</v>
      </c>
      <c r="N22880" t="str">
        <f>"11279011    "</f>
        <v xml:space="preserve">11279011    </v>
      </c>
      <c r="O22880">
        <v>230118</v>
      </c>
    </row>
    <row r="22881" spans="1:15" x14ac:dyDescent="0.25">
      <c r="A22881" t="s">
        <v>16</v>
      </c>
      <c r="B22881" t="s">
        <v>3221</v>
      </c>
      <c r="C22881">
        <v>482</v>
      </c>
      <c r="D22881" t="s">
        <v>291</v>
      </c>
      <c r="E22881" t="s">
        <v>292</v>
      </c>
      <c r="F22881">
        <v>161.53</v>
      </c>
      <c r="G22881">
        <v>230113</v>
      </c>
      <c r="H22881">
        <v>4580</v>
      </c>
      <c r="I22881" t="s">
        <v>35</v>
      </c>
      <c r="J22881">
        <v>200.3</v>
      </c>
      <c r="K22881">
        <v>38.770000000000003</v>
      </c>
      <c r="L22881">
        <v>46222</v>
      </c>
      <c r="M22881" t="s">
        <v>293</v>
      </c>
      <c r="N22881" t="str">
        <f>"11273818    "</f>
        <v xml:space="preserve">11273818    </v>
      </c>
      <c r="O22881">
        <v>230124</v>
      </c>
    </row>
    <row r="22882" spans="1:15" x14ac:dyDescent="0.25">
      <c r="A22882" t="s">
        <v>16</v>
      </c>
      <c r="B22882" t="s">
        <v>3221</v>
      </c>
      <c r="C22882">
        <v>482</v>
      </c>
      <c r="D22882" t="s">
        <v>291</v>
      </c>
      <c r="E22882" t="s">
        <v>292</v>
      </c>
      <c r="F22882">
        <v>161.54</v>
      </c>
      <c r="G22882">
        <v>230113</v>
      </c>
      <c r="H22882">
        <v>4580</v>
      </c>
      <c r="I22882" t="s">
        <v>35</v>
      </c>
      <c r="J22882">
        <v>200.31</v>
      </c>
      <c r="K22882">
        <v>38.770000000000003</v>
      </c>
      <c r="L22882">
        <v>46554</v>
      </c>
      <c r="M22882" t="s">
        <v>117</v>
      </c>
      <c r="N22882" t="str">
        <f>"11273818    "</f>
        <v xml:space="preserve">11273818    </v>
      </c>
      <c r="O22882">
        <v>230124</v>
      </c>
    </row>
    <row r="22883" spans="1:15" x14ac:dyDescent="0.25">
      <c r="A22883" t="s">
        <v>16</v>
      </c>
      <c r="B22883" t="s">
        <v>3221</v>
      </c>
      <c r="C22883">
        <v>482</v>
      </c>
      <c r="D22883" t="s">
        <v>291</v>
      </c>
      <c r="E22883" t="s">
        <v>292</v>
      </c>
      <c r="F22883">
        <v>161.54</v>
      </c>
      <c r="G22883">
        <v>230113</v>
      </c>
      <c r="H22883">
        <v>4580</v>
      </c>
      <c r="I22883" t="s">
        <v>35</v>
      </c>
      <c r="J22883">
        <v>200.31</v>
      </c>
      <c r="K22883">
        <v>38.770000000000003</v>
      </c>
      <c r="L22883">
        <v>49705</v>
      </c>
      <c r="M22883" t="s">
        <v>575</v>
      </c>
      <c r="N22883" t="str">
        <f>"11273818    "</f>
        <v xml:space="preserve">11273818    </v>
      </c>
      <c r="O22883">
        <v>230124</v>
      </c>
    </row>
    <row r="22884" spans="1:15" x14ac:dyDescent="0.25">
      <c r="A22884" t="s">
        <v>16</v>
      </c>
      <c r="B22884" t="s">
        <v>3221</v>
      </c>
      <c r="C22884">
        <v>849</v>
      </c>
      <c r="D22884" t="s">
        <v>291</v>
      </c>
      <c r="E22884" t="s">
        <v>292</v>
      </c>
      <c r="F22884">
        <v>157.27000000000001</v>
      </c>
      <c r="G22884">
        <v>230119</v>
      </c>
      <c r="H22884">
        <v>4580</v>
      </c>
      <c r="I22884" t="s">
        <v>35</v>
      </c>
      <c r="J22884">
        <v>195.01</v>
      </c>
      <c r="K22884">
        <v>37.74</v>
      </c>
      <c r="L22884">
        <v>17711</v>
      </c>
      <c r="M22884" t="s">
        <v>65</v>
      </c>
      <c r="N22884" t="str">
        <f>"11280795    "</f>
        <v xml:space="preserve">11280795    </v>
      </c>
      <c r="O22884">
        <v>230131</v>
      </c>
    </row>
    <row r="22885" spans="1:15" x14ac:dyDescent="0.25">
      <c r="A22885" t="s">
        <v>16</v>
      </c>
      <c r="B22885" t="s">
        <v>3221</v>
      </c>
      <c r="C22885">
        <v>897</v>
      </c>
      <c r="D22885" t="s">
        <v>291</v>
      </c>
      <c r="E22885" t="s">
        <v>292</v>
      </c>
      <c r="F22885">
        <v>163.02000000000001</v>
      </c>
      <c r="G22885">
        <v>230124</v>
      </c>
      <c r="H22885">
        <v>4580</v>
      </c>
      <c r="I22885" t="s">
        <v>35</v>
      </c>
      <c r="J22885">
        <v>202.14</v>
      </c>
      <c r="K22885">
        <v>39.119999999999997</v>
      </c>
      <c r="L22885">
        <v>11801</v>
      </c>
      <c r="M22885" t="s">
        <v>92</v>
      </c>
      <c r="N22885" t="str">
        <f>"11282535    "</f>
        <v xml:space="preserve">11282535    </v>
      </c>
      <c r="O22885">
        <v>230201</v>
      </c>
    </row>
    <row r="22886" spans="1:15" x14ac:dyDescent="0.25">
      <c r="A22886" t="s">
        <v>16</v>
      </c>
      <c r="B22886" t="s">
        <v>3221</v>
      </c>
      <c r="C22886">
        <v>897</v>
      </c>
      <c r="D22886" t="s">
        <v>291</v>
      </c>
      <c r="E22886" t="s">
        <v>292</v>
      </c>
      <c r="F22886">
        <v>141.91</v>
      </c>
      <c r="G22886">
        <v>230124</v>
      </c>
      <c r="H22886">
        <v>4580</v>
      </c>
      <c r="I22886" t="s">
        <v>35</v>
      </c>
      <c r="J22886">
        <v>175.97</v>
      </c>
      <c r="K22886">
        <v>34.06</v>
      </c>
      <c r="L22886">
        <v>14861</v>
      </c>
      <c r="M22886" t="s">
        <v>785</v>
      </c>
      <c r="N22886" t="str">
        <f>"11282535    "</f>
        <v xml:space="preserve">11282535    </v>
      </c>
      <c r="O22886">
        <v>230201</v>
      </c>
    </row>
    <row r="22887" spans="1:15" x14ac:dyDescent="0.25">
      <c r="A22887" t="s">
        <v>16</v>
      </c>
      <c r="B22887" t="s">
        <v>3221</v>
      </c>
      <c r="C22887">
        <v>897</v>
      </c>
      <c r="D22887" t="s">
        <v>291</v>
      </c>
      <c r="E22887" t="s">
        <v>292</v>
      </c>
      <c r="F22887">
        <v>163.02000000000001</v>
      </c>
      <c r="G22887">
        <v>230124</v>
      </c>
      <c r="H22887">
        <v>4580</v>
      </c>
      <c r="I22887" t="s">
        <v>35</v>
      </c>
      <c r="J22887">
        <v>202.14</v>
      </c>
      <c r="K22887">
        <v>39.119999999999997</v>
      </c>
      <c r="L22887">
        <v>44423</v>
      </c>
      <c r="M22887" t="s">
        <v>502</v>
      </c>
      <c r="N22887" t="str">
        <f>"11282535    "</f>
        <v xml:space="preserve">11282535    </v>
      </c>
      <c r="O22887">
        <v>230201</v>
      </c>
    </row>
    <row r="22888" spans="1:15" x14ac:dyDescent="0.25">
      <c r="A22888" t="s">
        <v>16</v>
      </c>
      <c r="B22888" t="s">
        <v>3221</v>
      </c>
      <c r="C22888">
        <v>1036</v>
      </c>
      <c r="D22888" t="s">
        <v>291</v>
      </c>
      <c r="E22888" t="s">
        <v>292</v>
      </c>
      <c r="F22888">
        <v>140.29</v>
      </c>
      <c r="G22888">
        <v>230130</v>
      </c>
      <c r="H22888">
        <v>4580</v>
      </c>
      <c r="I22888" t="s">
        <v>35</v>
      </c>
      <c r="J22888">
        <v>173.96</v>
      </c>
      <c r="K22888">
        <v>33.67</v>
      </c>
      <c r="L22888">
        <v>14640</v>
      </c>
      <c r="M22888" t="s">
        <v>229</v>
      </c>
      <c r="N22888" t="str">
        <f>"11284888    "</f>
        <v xml:space="preserve">11284888    </v>
      </c>
      <c r="O22888">
        <v>230202</v>
      </c>
    </row>
    <row r="22889" spans="1:15" x14ac:dyDescent="0.25">
      <c r="A22889" t="s">
        <v>16</v>
      </c>
      <c r="B22889" t="s">
        <v>3221</v>
      </c>
      <c r="C22889">
        <v>1751</v>
      </c>
      <c r="D22889" t="s">
        <v>291</v>
      </c>
      <c r="E22889" t="s">
        <v>292</v>
      </c>
      <c r="F22889">
        <v>235.4</v>
      </c>
      <c r="G22889">
        <v>230207</v>
      </c>
      <c r="H22889">
        <v>4580</v>
      </c>
      <c r="I22889" t="s">
        <v>35</v>
      </c>
      <c r="J22889">
        <v>291.89999999999998</v>
      </c>
      <c r="K22889">
        <v>56.5</v>
      </c>
      <c r="L22889">
        <v>17972</v>
      </c>
      <c r="M22889" t="s">
        <v>248</v>
      </c>
      <c r="N22889" t="str">
        <f>"11304779    "</f>
        <v xml:space="preserve">11304779    </v>
      </c>
      <c r="O22889">
        <v>230213</v>
      </c>
    </row>
    <row r="22890" spans="1:15" x14ac:dyDescent="0.25">
      <c r="A22890" t="s">
        <v>16</v>
      </c>
      <c r="B22890" t="s">
        <v>3221</v>
      </c>
      <c r="C22890">
        <v>1751</v>
      </c>
      <c r="D22890" t="s">
        <v>291</v>
      </c>
      <c r="E22890" t="s">
        <v>292</v>
      </c>
      <c r="F22890">
        <v>235.4</v>
      </c>
      <c r="G22890">
        <v>230207</v>
      </c>
      <c r="H22890">
        <v>4580</v>
      </c>
      <c r="I22890" t="s">
        <v>35</v>
      </c>
      <c r="J22890">
        <v>291.89999999999998</v>
      </c>
      <c r="K22890">
        <v>56.5</v>
      </c>
      <c r="L22890">
        <v>49702</v>
      </c>
      <c r="M22890" t="s">
        <v>584</v>
      </c>
      <c r="N22890" t="str">
        <f>"11304779    "</f>
        <v xml:space="preserve">11304779    </v>
      </c>
      <c r="O22890">
        <v>230213</v>
      </c>
    </row>
    <row r="22891" spans="1:15" x14ac:dyDescent="0.25">
      <c r="A22891" t="s">
        <v>16</v>
      </c>
      <c r="B22891" t="s">
        <v>3221</v>
      </c>
      <c r="C22891">
        <v>2023</v>
      </c>
      <c r="D22891" t="s">
        <v>291</v>
      </c>
      <c r="E22891" t="s">
        <v>292</v>
      </c>
      <c r="F22891">
        <v>151.75</v>
      </c>
      <c r="G22891">
        <v>230215</v>
      </c>
      <c r="H22891">
        <v>4580</v>
      </c>
      <c r="I22891" t="s">
        <v>35</v>
      </c>
      <c r="J22891">
        <v>188.17</v>
      </c>
      <c r="K22891">
        <v>36.42</v>
      </c>
      <c r="L22891">
        <v>69702</v>
      </c>
      <c r="M22891" t="s">
        <v>489</v>
      </c>
      <c r="N22891" t="str">
        <f>"11312708    "</f>
        <v xml:space="preserve">11312708    </v>
      </c>
      <c r="O22891">
        <v>230217</v>
      </c>
    </row>
    <row r="22892" spans="1:15" x14ac:dyDescent="0.25">
      <c r="A22892" t="s">
        <v>16</v>
      </c>
      <c r="B22892" t="s">
        <v>3221</v>
      </c>
      <c r="C22892">
        <v>2422</v>
      </c>
      <c r="D22892" t="s">
        <v>291</v>
      </c>
      <c r="E22892" t="s">
        <v>292</v>
      </c>
      <c r="F22892">
        <v>165.26</v>
      </c>
      <c r="G22892">
        <v>230220</v>
      </c>
      <c r="H22892">
        <v>4580</v>
      </c>
      <c r="I22892" t="s">
        <v>35</v>
      </c>
      <c r="J22892">
        <v>204.92</v>
      </c>
      <c r="K22892">
        <v>39.659999999999997</v>
      </c>
      <c r="L22892">
        <v>49705</v>
      </c>
      <c r="M22892" t="s">
        <v>575</v>
      </c>
      <c r="N22892" t="str">
        <f>"11314796    "</f>
        <v xml:space="preserve">11314796    </v>
      </c>
      <c r="O22892">
        <v>230227</v>
      </c>
    </row>
    <row r="22893" spans="1:15" x14ac:dyDescent="0.25">
      <c r="A22893" t="s">
        <v>16</v>
      </c>
      <c r="B22893" t="s">
        <v>3221</v>
      </c>
      <c r="C22893">
        <v>2515</v>
      </c>
      <c r="D22893" t="s">
        <v>291</v>
      </c>
      <c r="E22893" t="s">
        <v>292</v>
      </c>
      <c r="F22893">
        <v>240.56</v>
      </c>
      <c r="G22893">
        <v>230224</v>
      </c>
      <c r="H22893">
        <v>4580</v>
      </c>
      <c r="I22893" t="s">
        <v>35</v>
      </c>
      <c r="J22893">
        <v>298.29000000000002</v>
      </c>
      <c r="K22893">
        <v>57.73</v>
      </c>
      <c r="L22893">
        <v>47522</v>
      </c>
      <c r="M22893" t="s">
        <v>410</v>
      </c>
      <c r="N22893" t="str">
        <f>"11316649    "</f>
        <v xml:space="preserve">11316649    </v>
      </c>
      <c r="O22893">
        <v>230301</v>
      </c>
    </row>
    <row r="22894" spans="1:15" x14ac:dyDescent="0.25">
      <c r="A22894" t="s">
        <v>16</v>
      </c>
      <c r="B22894" t="s">
        <v>3221</v>
      </c>
      <c r="C22894">
        <v>2613</v>
      </c>
      <c r="D22894" t="s">
        <v>291</v>
      </c>
      <c r="E22894" t="s">
        <v>292</v>
      </c>
      <c r="F22894">
        <v>165.26</v>
      </c>
      <c r="G22894">
        <v>230221</v>
      </c>
      <c r="H22894">
        <v>4580</v>
      </c>
      <c r="I22894" t="s">
        <v>35</v>
      </c>
      <c r="J22894">
        <v>204.92</v>
      </c>
      <c r="K22894">
        <v>39.659999999999997</v>
      </c>
      <c r="L22894">
        <v>11201</v>
      </c>
      <c r="M22894" t="s">
        <v>305</v>
      </c>
      <c r="N22894" t="str">
        <f>"11315300    "</f>
        <v xml:space="preserve">11315300    </v>
      </c>
      <c r="O22894">
        <v>230302</v>
      </c>
    </row>
    <row r="22895" spans="1:15" x14ac:dyDescent="0.25">
      <c r="A22895" t="s">
        <v>16</v>
      </c>
      <c r="B22895" t="s">
        <v>3221</v>
      </c>
      <c r="C22895">
        <v>2613</v>
      </c>
      <c r="D22895" t="s">
        <v>291</v>
      </c>
      <c r="E22895" t="s">
        <v>292</v>
      </c>
      <c r="F22895">
        <v>137.24</v>
      </c>
      <c r="G22895">
        <v>230221</v>
      </c>
      <c r="H22895">
        <v>4580</v>
      </c>
      <c r="I22895" t="s">
        <v>35</v>
      </c>
      <c r="J22895">
        <v>170.18</v>
      </c>
      <c r="K22895">
        <v>32.94</v>
      </c>
      <c r="L22895">
        <v>14321</v>
      </c>
      <c r="M22895" t="s">
        <v>717</v>
      </c>
      <c r="N22895" t="str">
        <f>"11315300    "</f>
        <v xml:space="preserve">11315300    </v>
      </c>
      <c r="O22895">
        <v>230302</v>
      </c>
    </row>
    <row r="22896" spans="1:15" x14ac:dyDescent="0.25">
      <c r="A22896" t="s">
        <v>16</v>
      </c>
      <c r="B22896" t="s">
        <v>3221</v>
      </c>
      <c r="C22896">
        <v>3117</v>
      </c>
      <c r="D22896" t="s">
        <v>291</v>
      </c>
      <c r="E22896" t="s">
        <v>292</v>
      </c>
      <c r="F22896">
        <v>132.21</v>
      </c>
      <c r="G22896">
        <v>230306</v>
      </c>
      <c r="H22896">
        <v>4580</v>
      </c>
      <c r="I22896" t="s">
        <v>35</v>
      </c>
      <c r="J22896">
        <v>163.94</v>
      </c>
      <c r="K22896">
        <v>31.73</v>
      </c>
      <c r="L22896">
        <v>69113</v>
      </c>
      <c r="M22896" t="s">
        <v>282</v>
      </c>
      <c r="N22896" t="str">
        <f>"11333276    "</f>
        <v xml:space="preserve">11333276    </v>
      </c>
      <c r="O22896">
        <v>230309</v>
      </c>
    </row>
    <row r="22897" spans="1:15" x14ac:dyDescent="0.25">
      <c r="A22897" t="s">
        <v>16</v>
      </c>
      <c r="B22897" t="s">
        <v>3221</v>
      </c>
      <c r="C22897">
        <v>3117</v>
      </c>
      <c r="D22897" t="s">
        <v>291</v>
      </c>
      <c r="E22897" t="s">
        <v>292</v>
      </c>
      <c r="F22897">
        <v>16.52</v>
      </c>
      <c r="G22897">
        <v>230306</v>
      </c>
      <c r="H22897">
        <v>4580</v>
      </c>
      <c r="I22897" t="s">
        <v>35</v>
      </c>
      <c r="J22897">
        <v>20.49</v>
      </c>
      <c r="K22897">
        <v>3.97</v>
      </c>
      <c r="L22897">
        <v>69802</v>
      </c>
      <c r="M22897" t="s">
        <v>283</v>
      </c>
      <c r="N22897" t="str">
        <f>"11333276    "</f>
        <v xml:space="preserve">11333276    </v>
      </c>
      <c r="O22897">
        <v>230309</v>
      </c>
    </row>
    <row r="22898" spans="1:15" x14ac:dyDescent="0.25">
      <c r="A22898" t="s">
        <v>16</v>
      </c>
      <c r="B22898" t="s">
        <v>3221</v>
      </c>
      <c r="C22898">
        <v>3117</v>
      </c>
      <c r="D22898" t="s">
        <v>291</v>
      </c>
      <c r="E22898" t="s">
        <v>292</v>
      </c>
      <c r="F22898">
        <v>16.52</v>
      </c>
      <c r="G22898">
        <v>230306</v>
      </c>
      <c r="H22898">
        <v>4580</v>
      </c>
      <c r="I22898" t="s">
        <v>35</v>
      </c>
      <c r="J22898">
        <v>20.49</v>
      </c>
      <c r="K22898">
        <v>3.97</v>
      </c>
      <c r="L22898">
        <v>69804</v>
      </c>
      <c r="M22898" t="s">
        <v>284</v>
      </c>
      <c r="N22898" t="str">
        <f>"11333276    "</f>
        <v xml:space="preserve">11333276    </v>
      </c>
      <c r="O22898">
        <v>230309</v>
      </c>
    </row>
    <row r="22899" spans="1:15" x14ac:dyDescent="0.25">
      <c r="A22899" t="s">
        <v>16</v>
      </c>
      <c r="B22899" t="s">
        <v>3221</v>
      </c>
      <c r="C22899">
        <v>3285</v>
      </c>
      <c r="D22899" t="s">
        <v>291</v>
      </c>
      <c r="E22899" t="s">
        <v>292</v>
      </c>
      <c r="F22899">
        <v>217.15</v>
      </c>
      <c r="G22899">
        <v>230308</v>
      </c>
      <c r="H22899">
        <v>4580</v>
      </c>
      <c r="I22899" t="s">
        <v>35</v>
      </c>
      <c r="J22899">
        <v>269.27</v>
      </c>
      <c r="K22899">
        <v>52.12</v>
      </c>
      <c r="L22899">
        <v>11751</v>
      </c>
      <c r="M22899" t="s">
        <v>1339</v>
      </c>
      <c r="N22899" t="str">
        <f>"11337267    "</f>
        <v xml:space="preserve">11337267    </v>
      </c>
      <c r="O22899">
        <v>230313</v>
      </c>
    </row>
    <row r="22900" spans="1:15" x14ac:dyDescent="0.25">
      <c r="A22900" t="s">
        <v>16</v>
      </c>
      <c r="B22900" t="s">
        <v>3221</v>
      </c>
      <c r="C22900">
        <v>3469</v>
      </c>
      <c r="D22900" t="s">
        <v>291</v>
      </c>
      <c r="E22900" t="s">
        <v>292</v>
      </c>
      <c r="F22900">
        <v>165.26</v>
      </c>
      <c r="G22900">
        <v>230313</v>
      </c>
      <c r="H22900">
        <v>4580</v>
      </c>
      <c r="I22900" t="s">
        <v>35</v>
      </c>
      <c r="J22900">
        <v>204.92</v>
      </c>
      <c r="K22900">
        <v>39.659999999999997</v>
      </c>
      <c r="L22900">
        <v>49501</v>
      </c>
      <c r="M22900" t="s">
        <v>177</v>
      </c>
      <c r="N22900" t="str">
        <f>"11343755    "</f>
        <v xml:space="preserve">11343755    </v>
      </c>
      <c r="O22900">
        <v>230316</v>
      </c>
    </row>
    <row r="22901" spans="1:15" x14ac:dyDescent="0.25">
      <c r="A22901" t="s">
        <v>16</v>
      </c>
      <c r="B22901" t="s">
        <v>3221</v>
      </c>
      <c r="C22901">
        <v>3507</v>
      </c>
      <c r="D22901" t="s">
        <v>291</v>
      </c>
      <c r="E22901" t="s">
        <v>292</v>
      </c>
      <c r="F22901">
        <v>165.26</v>
      </c>
      <c r="G22901">
        <v>230314</v>
      </c>
      <c r="H22901">
        <v>4580</v>
      </c>
      <c r="I22901" t="s">
        <v>35</v>
      </c>
      <c r="J22901">
        <v>204.92</v>
      </c>
      <c r="K22901">
        <v>39.659999999999997</v>
      </c>
      <c r="L22901">
        <v>17808</v>
      </c>
      <c r="M22901" t="s">
        <v>322</v>
      </c>
      <c r="N22901" t="str">
        <f>"11344241    "</f>
        <v xml:space="preserve">11344241    </v>
      </c>
      <c r="O22901">
        <v>230316</v>
      </c>
    </row>
    <row r="22902" spans="1:15" x14ac:dyDescent="0.25">
      <c r="A22902" t="s">
        <v>16</v>
      </c>
      <c r="B22902" t="s">
        <v>3221</v>
      </c>
      <c r="C22902">
        <v>3507</v>
      </c>
      <c r="D22902" t="s">
        <v>291</v>
      </c>
      <c r="E22902" t="s">
        <v>292</v>
      </c>
      <c r="F22902">
        <v>687.25</v>
      </c>
      <c r="G22902">
        <v>230314</v>
      </c>
      <c r="H22902">
        <v>4580</v>
      </c>
      <c r="I22902" t="s">
        <v>35</v>
      </c>
      <c r="J22902">
        <v>852.19</v>
      </c>
      <c r="K22902">
        <v>164.94</v>
      </c>
      <c r="L22902">
        <v>17974</v>
      </c>
      <c r="M22902" t="s">
        <v>460</v>
      </c>
      <c r="N22902" t="str">
        <f>"11344241    "</f>
        <v xml:space="preserve">11344241    </v>
      </c>
      <c r="O22902">
        <v>230316</v>
      </c>
    </row>
    <row r="22903" spans="1:15" x14ac:dyDescent="0.25">
      <c r="A22903" t="s">
        <v>16</v>
      </c>
      <c r="B22903" t="s">
        <v>3221</v>
      </c>
      <c r="C22903">
        <v>3853</v>
      </c>
      <c r="D22903" t="s">
        <v>291</v>
      </c>
      <c r="E22903" t="s">
        <v>292</v>
      </c>
      <c r="F22903">
        <v>165.26</v>
      </c>
      <c r="G22903">
        <v>230316</v>
      </c>
      <c r="H22903">
        <v>4580</v>
      </c>
      <c r="I22903" t="s">
        <v>35</v>
      </c>
      <c r="J22903">
        <v>204.92</v>
      </c>
      <c r="K22903">
        <v>39.659999999999997</v>
      </c>
      <c r="L22903">
        <v>14422</v>
      </c>
      <c r="M22903" t="s">
        <v>228</v>
      </c>
      <c r="N22903" t="str">
        <f>"11345171    "</f>
        <v xml:space="preserve">11345171    </v>
      </c>
      <c r="O22903">
        <v>230323</v>
      </c>
    </row>
    <row r="22904" spans="1:15" x14ac:dyDescent="0.25">
      <c r="A22904" t="s">
        <v>16</v>
      </c>
      <c r="B22904" t="s">
        <v>3221</v>
      </c>
      <c r="C22904">
        <v>3853</v>
      </c>
      <c r="D22904" t="s">
        <v>291</v>
      </c>
      <c r="E22904" t="s">
        <v>292</v>
      </c>
      <c r="F22904">
        <v>246.37</v>
      </c>
      <c r="G22904">
        <v>230316</v>
      </c>
      <c r="H22904">
        <v>4580</v>
      </c>
      <c r="I22904" t="s">
        <v>35</v>
      </c>
      <c r="J22904">
        <v>305.5</v>
      </c>
      <c r="K22904">
        <v>59.13</v>
      </c>
      <c r="L22904">
        <v>59501</v>
      </c>
      <c r="M22904" t="s">
        <v>69</v>
      </c>
      <c r="N22904" t="str">
        <f>"11345171    "</f>
        <v xml:space="preserve">11345171    </v>
      </c>
      <c r="O22904">
        <v>230323</v>
      </c>
    </row>
    <row r="22905" spans="1:15" x14ac:dyDescent="0.25">
      <c r="A22905" t="s">
        <v>16</v>
      </c>
      <c r="B22905" t="s">
        <v>3221</v>
      </c>
      <c r="C22905">
        <v>4217</v>
      </c>
      <c r="D22905" t="s">
        <v>291</v>
      </c>
      <c r="E22905" t="s">
        <v>292</v>
      </c>
      <c r="F22905">
        <v>165.26</v>
      </c>
      <c r="G22905">
        <v>230315</v>
      </c>
      <c r="H22905">
        <v>4580</v>
      </c>
      <c r="I22905" t="s">
        <v>35</v>
      </c>
      <c r="J22905">
        <v>204.92</v>
      </c>
      <c r="K22905">
        <v>39.659999999999997</v>
      </c>
      <c r="L22905">
        <v>66722</v>
      </c>
      <c r="M22905" t="s">
        <v>518</v>
      </c>
      <c r="N22905" t="str">
        <f>"11344658    "</f>
        <v xml:space="preserve">11344658    </v>
      </c>
      <c r="O22905">
        <v>230403</v>
      </c>
    </row>
    <row r="22906" spans="1:15" x14ac:dyDescent="0.25">
      <c r="A22906" t="s">
        <v>16</v>
      </c>
      <c r="B22906" t="s">
        <v>3221</v>
      </c>
      <c r="C22906">
        <v>4241</v>
      </c>
      <c r="D22906" t="s">
        <v>291</v>
      </c>
      <c r="E22906" t="s">
        <v>292</v>
      </c>
      <c r="F22906">
        <v>162.11000000000001</v>
      </c>
      <c r="G22906">
        <v>230329</v>
      </c>
      <c r="H22906">
        <v>4580</v>
      </c>
      <c r="I22906" t="s">
        <v>35</v>
      </c>
      <c r="J22906">
        <v>201.02</v>
      </c>
      <c r="K22906">
        <v>38.909999999999997</v>
      </c>
      <c r="L22906">
        <v>13661</v>
      </c>
      <c r="M22906" t="s">
        <v>247</v>
      </c>
      <c r="N22906" t="str">
        <f>"11350277    "</f>
        <v xml:space="preserve">11350277    </v>
      </c>
      <c r="O22906">
        <v>230403</v>
      </c>
    </row>
    <row r="22907" spans="1:15" x14ac:dyDescent="0.25">
      <c r="A22907" t="s">
        <v>16</v>
      </c>
      <c r="B22907" t="s">
        <v>3221</v>
      </c>
      <c r="C22907">
        <v>4268</v>
      </c>
      <c r="D22907" t="s">
        <v>291</v>
      </c>
      <c r="E22907" t="s">
        <v>292</v>
      </c>
      <c r="F22907">
        <v>421.89</v>
      </c>
      <c r="G22907">
        <v>230330</v>
      </c>
      <c r="H22907">
        <v>4580</v>
      </c>
      <c r="I22907" t="s">
        <v>35</v>
      </c>
      <c r="J22907">
        <v>523.14</v>
      </c>
      <c r="K22907">
        <v>101.25</v>
      </c>
      <c r="L22907">
        <v>18972</v>
      </c>
      <c r="M22907" t="s">
        <v>163</v>
      </c>
      <c r="N22907" t="str">
        <f>"11350904    "</f>
        <v xml:space="preserve">11350904    </v>
      </c>
      <c r="O22907">
        <v>230403</v>
      </c>
    </row>
    <row r="22908" spans="1:15" x14ac:dyDescent="0.25">
      <c r="A22908" t="s">
        <v>16</v>
      </c>
      <c r="B22908" t="s">
        <v>3221</v>
      </c>
      <c r="C22908">
        <v>4405</v>
      </c>
      <c r="D22908" t="s">
        <v>291</v>
      </c>
      <c r="E22908" t="s">
        <v>292</v>
      </c>
      <c r="F22908">
        <v>141.71</v>
      </c>
      <c r="G22908">
        <v>230331</v>
      </c>
      <c r="H22908">
        <v>4580</v>
      </c>
      <c r="I22908" t="s">
        <v>35</v>
      </c>
      <c r="J22908">
        <v>175.72</v>
      </c>
      <c r="K22908">
        <v>34.01</v>
      </c>
      <c r="L22908">
        <v>17527</v>
      </c>
      <c r="M22908" t="s">
        <v>422</v>
      </c>
      <c r="N22908" t="str">
        <f>"11351370    "</f>
        <v xml:space="preserve">11351370    </v>
      </c>
      <c r="O22908">
        <v>230405</v>
      </c>
    </row>
    <row r="22909" spans="1:15" x14ac:dyDescent="0.25">
      <c r="A22909" t="s">
        <v>16</v>
      </c>
      <c r="B22909" t="s">
        <v>3221</v>
      </c>
      <c r="C22909">
        <v>4405</v>
      </c>
      <c r="D22909" t="s">
        <v>291</v>
      </c>
      <c r="E22909" t="s">
        <v>292</v>
      </c>
      <c r="F22909">
        <v>141.71</v>
      </c>
      <c r="G22909">
        <v>230331</v>
      </c>
      <c r="H22909">
        <v>4580</v>
      </c>
      <c r="I22909" t="s">
        <v>35</v>
      </c>
      <c r="J22909">
        <v>175.72</v>
      </c>
      <c r="K22909">
        <v>34.01</v>
      </c>
      <c r="L22909">
        <v>17535</v>
      </c>
      <c r="M22909" t="s">
        <v>357</v>
      </c>
      <c r="N22909" t="str">
        <f>"11351370    "</f>
        <v xml:space="preserve">11351370    </v>
      </c>
      <c r="O22909">
        <v>230405</v>
      </c>
    </row>
    <row r="22910" spans="1:15" x14ac:dyDescent="0.25">
      <c r="A22910" t="s">
        <v>16</v>
      </c>
      <c r="B22910" t="s">
        <v>3221</v>
      </c>
      <c r="C22910">
        <v>4880</v>
      </c>
      <c r="D22910" t="s">
        <v>291</v>
      </c>
      <c r="E22910" t="s">
        <v>292</v>
      </c>
      <c r="F22910">
        <v>-160.79</v>
      </c>
      <c r="G22910">
        <v>230411</v>
      </c>
      <c r="H22910">
        <v>4580</v>
      </c>
      <c r="I22910" t="s">
        <v>35</v>
      </c>
      <c r="J22910">
        <v>-199.38</v>
      </c>
      <c r="K22910">
        <v>-38.590000000000003</v>
      </c>
      <c r="L22910">
        <v>11801</v>
      </c>
      <c r="M22910" t="s">
        <v>92</v>
      </c>
      <c r="N22910" t="str">
        <f>"11370851    "</f>
        <v xml:space="preserve">11370851    </v>
      </c>
      <c r="O22910">
        <v>230413</v>
      </c>
    </row>
    <row r="22911" spans="1:15" x14ac:dyDescent="0.25">
      <c r="A22911" t="s">
        <v>16</v>
      </c>
      <c r="B22911" t="s">
        <v>3221</v>
      </c>
      <c r="C22911">
        <v>5403</v>
      </c>
      <c r="D22911" t="s">
        <v>291</v>
      </c>
      <c r="E22911" t="s">
        <v>292</v>
      </c>
      <c r="F22911">
        <v>163.05000000000001</v>
      </c>
      <c r="G22911">
        <v>230420</v>
      </c>
      <c r="H22911">
        <v>4580</v>
      </c>
      <c r="I22911" t="s">
        <v>35</v>
      </c>
      <c r="J22911">
        <v>202.18</v>
      </c>
      <c r="K22911">
        <v>39.130000000000003</v>
      </c>
      <c r="L22911">
        <v>67554</v>
      </c>
      <c r="M22911" t="s">
        <v>60</v>
      </c>
      <c r="N22911" t="str">
        <f>"11380103    "</f>
        <v xml:space="preserve">11380103    </v>
      </c>
      <c r="O22911">
        <v>230424</v>
      </c>
    </row>
    <row r="22912" spans="1:15" x14ac:dyDescent="0.25">
      <c r="A22912" t="s">
        <v>16</v>
      </c>
      <c r="B22912" t="s">
        <v>3221</v>
      </c>
      <c r="C22912">
        <v>6073</v>
      </c>
      <c r="D22912" t="s">
        <v>291</v>
      </c>
      <c r="E22912" t="s">
        <v>292</v>
      </c>
      <c r="F22912">
        <v>19.11</v>
      </c>
      <c r="G22912">
        <v>230418</v>
      </c>
      <c r="H22912">
        <v>4580</v>
      </c>
      <c r="I22912" t="s">
        <v>35</v>
      </c>
      <c r="J22912">
        <v>23.7</v>
      </c>
      <c r="K22912">
        <v>4.59</v>
      </c>
      <c r="L22912">
        <v>17974</v>
      </c>
      <c r="M22912" t="s">
        <v>460</v>
      </c>
      <c r="N22912" t="str">
        <f>"11378972    "</f>
        <v xml:space="preserve">11378972    </v>
      </c>
      <c r="O22912">
        <v>230508</v>
      </c>
    </row>
    <row r="22913" spans="1:15" x14ac:dyDescent="0.25">
      <c r="A22913" t="s">
        <v>16</v>
      </c>
      <c r="B22913" t="s">
        <v>3221</v>
      </c>
      <c r="C22913">
        <v>6518</v>
      </c>
      <c r="D22913" t="s">
        <v>291</v>
      </c>
      <c r="E22913" t="s">
        <v>292</v>
      </c>
      <c r="F22913">
        <v>163.05000000000001</v>
      </c>
      <c r="G22913">
        <v>230510</v>
      </c>
      <c r="H22913">
        <v>4580</v>
      </c>
      <c r="I22913" t="s">
        <v>35</v>
      </c>
      <c r="J22913">
        <v>202.18</v>
      </c>
      <c r="K22913">
        <v>39.130000000000003</v>
      </c>
      <c r="L22913">
        <v>67522</v>
      </c>
      <c r="M22913" t="s">
        <v>397</v>
      </c>
      <c r="N22913" t="str">
        <f>"11404972    "</f>
        <v xml:space="preserve">11404972    </v>
      </c>
      <c r="O22913">
        <v>230512</v>
      </c>
    </row>
    <row r="22914" spans="1:15" x14ac:dyDescent="0.25">
      <c r="A22914" t="s">
        <v>16</v>
      </c>
      <c r="B22914" t="s">
        <v>3221</v>
      </c>
      <c r="C22914">
        <v>6835</v>
      </c>
      <c r="D22914" t="s">
        <v>291</v>
      </c>
      <c r="E22914" t="s">
        <v>292</v>
      </c>
      <c r="F22914">
        <v>163.05000000000001</v>
      </c>
      <c r="G22914">
        <v>230509</v>
      </c>
      <c r="H22914">
        <v>4580</v>
      </c>
      <c r="I22914" t="s">
        <v>35</v>
      </c>
      <c r="J22914">
        <v>202.18</v>
      </c>
      <c r="K22914">
        <v>39.130000000000003</v>
      </c>
      <c r="L22914">
        <v>11101</v>
      </c>
      <c r="M22914" t="s">
        <v>110</v>
      </c>
      <c r="N22914" t="str">
        <f>"11401859    "</f>
        <v xml:space="preserve">11401859    </v>
      </c>
      <c r="O22914">
        <v>230522</v>
      </c>
    </row>
    <row r="22915" spans="1:15" x14ac:dyDescent="0.25">
      <c r="A22915" t="s">
        <v>16</v>
      </c>
      <c r="B22915" t="s">
        <v>3221</v>
      </c>
      <c r="C22915">
        <v>6900</v>
      </c>
      <c r="D22915" t="s">
        <v>291</v>
      </c>
      <c r="E22915" t="s">
        <v>292</v>
      </c>
      <c r="F22915">
        <v>601.12</v>
      </c>
      <c r="G22915">
        <v>230511</v>
      </c>
      <c r="H22915">
        <v>4580</v>
      </c>
      <c r="I22915" t="s">
        <v>35</v>
      </c>
      <c r="J22915">
        <v>745.39</v>
      </c>
      <c r="K22915">
        <v>144.27000000000001</v>
      </c>
      <c r="L22915">
        <v>49702</v>
      </c>
      <c r="M22915" t="s">
        <v>584</v>
      </c>
      <c r="N22915" t="str">
        <f>"11405544    "</f>
        <v xml:space="preserve">11405544    </v>
      </c>
      <c r="O22915">
        <v>230523</v>
      </c>
    </row>
    <row r="22916" spans="1:15" x14ac:dyDescent="0.25">
      <c r="A22916" t="s">
        <v>16</v>
      </c>
      <c r="B22916" t="s">
        <v>3221</v>
      </c>
      <c r="C22916">
        <v>7260</v>
      </c>
      <c r="D22916" t="s">
        <v>291</v>
      </c>
      <c r="E22916" t="s">
        <v>292</v>
      </c>
      <c r="F22916">
        <v>249.98</v>
      </c>
      <c r="G22916">
        <v>230523</v>
      </c>
      <c r="H22916">
        <v>4580</v>
      </c>
      <c r="I22916" t="s">
        <v>35</v>
      </c>
      <c r="J22916">
        <v>309.97000000000003</v>
      </c>
      <c r="K22916">
        <v>59.99</v>
      </c>
      <c r="L22916">
        <v>54422</v>
      </c>
      <c r="M22916" t="s">
        <v>234</v>
      </c>
      <c r="N22916" t="str">
        <f>"11414965    "</f>
        <v xml:space="preserve">11414965    </v>
      </c>
      <c r="O22916">
        <v>230526</v>
      </c>
    </row>
    <row r="22917" spans="1:15" x14ac:dyDescent="0.25">
      <c r="A22917" t="s">
        <v>16</v>
      </c>
      <c r="B22917" t="s">
        <v>3221</v>
      </c>
      <c r="C22917">
        <v>8465</v>
      </c>
      <c r="D22917" t="s">
        <v>291</v>
      </c>
      <c r="E22917" t="s">
        <v>292</v>
      </c>
      <c r="F22917">
        <v>162.37</v>
      </c>
      <c r="G22917">
        <v>230602</v>
      </c>
      <c r="H22917">
        <v>4580</v>
      </c>
      <c r="I22917" t="s">
        <v>35</v>
      </c>
      <c r="J22917">
        <v>201.34</v>
      </c>
      <c r="K22917">
        <v>38.97</v>
      </c>
      <c r="L22917">
        <v>46222</v>
      </c>
      <c r="M22917" t="s">
        <v>293</v>
      </c>
      <c r="N22917" t="str">
        <f>"11420376    "</f>
        <v xml:space="preserve">11420376    </v>
      </c>
      <c r="O22917">
        <v>230609</v>
      </c>
    </row>
    <row r="22918" spans="1:15" x14ac:dyDescent="0.25">
      <c r="A22918" t="s">
        <v>16</v>
      </c>
      <c r="B22918" t="s">
        <v>3221</v>
      </c>
      <c r="C22918">
        <v>8465</v>
      </c>
      <c r="D22918" t="s">
        <v>291</v>
      </c>
      <c r="E22918" t="s">
        <v>292</v>
      </c>
      <c r="F22918">
        <v>249.98</v>
      </c>
      <c r="G22918">
        <v>230602</v>
      </c>
      <c r="H22918">
        <v>4580</v>
      </c>
      <c r="I22918" t="s">
        <v>35</v>
      </c>
      <c r="J22918">
        <v>309.97000000000003</v>
      </c>
      <c r="K22918">
        <v>59.99</v>
      </c>
      <c r="L22918">
        <v>59501</v>
      </c>
      <c r="M22918" t="s">
        <v>69</v>
      </c>
      <c r="N22918" t="str">
        <f>"11420376    "</f>
        <v xml:space="preserve">11420376    </v>
      </c>
      <c r="O22918">
        <v>230609</v>
      </c>
    </row>
    <row r="22919" spans="1:15" x14ac:dyDescent="0.25">
      <c r="A22919" t="s">
        <v>16</v>
      </c>
      <c r="B22919" t="s">
        <v>3221</v>
      </c>
      <c r="C22919">
        <v>8583</v>
      </c>
      <c r="D22919" t="s">
        <v>291</v>
      </c>
      <c r="E22919" t="s">
        <v>292</v>
      </c>
      <c r="F22919">
        <v>218.52</v>
      </c>
      <c r="G22919">
        <v>230609</v>
      </c>
      <c r="H22919">
        <v>4580</v>
      </c>
      <c r="I22919" t="s">
        <v>35</v>
      </c>
      <c r="J22919">
        <v>270.95999999999998</v>
      </c>
      <c r="K22919">
        <v>52.44</v>
      </c>
      <c r="L22919">
        <v>61122</v>
      </c>
      <c r="M22919" t="s">
        <v>402</v>
      </c>
      <c r="N22919" t="str">
        <f>"11430040    "</f>
        <v xml:space="preserve">11430040    </v>
      </c>
      <c r="O22919">
        <v>230612</v>
      </c>
    </row>
    <row r="22920" spans="1:15" x14ac:dyDescent="0.25">
      <c r="A22920" t="s">
        <v>16</v>
      </c>
      <c r="B22920" t="s">
        <v>3221</v>
      </c>
      <c r="C22920">
        <v>8685</v>
      </c>
      <c r="D22920" t="s">
        <v>291</v>
      </c>
      <c r="E22920" t="s">
        <v>292</v>
      </c>
      <c r="F22920">
        <v>360.62</v>
      </c>
      <c r="G22920">
        <v>230608</v>
      </c>
      <c r="H22920">
        <v>4580</v>
      </c>
      <c r="I22920" t="s">
        <v>35</v>
      </c>
      <c r="J22920">
        <v>447.17</v>
      </c>
      <c r="K22920">
        <v>86.55</v>
      </c>
      <c r="L22920">
        <v>14622</v>
      </c>
      <c r="M22920" t="s">
        <v>1005</v>
      </c>
      <c r="N22920" t="str">
        <f>"11429607    "</f>
        <v xml:space="preserve">11429607    </v>
      </c>
      <c r="O22920">
        <v>230613</v>
      </c>
    </row>
    <row r="22921" spans="1:15" x14ac:dyDescent="0.25">
      <c r="A22921" t="s">
        <v>16</v>
      </c>
      <c r="B22921" t="s">
        <v>3221</v>
      </c>
      <c r="C22921">
        <v>8685</v>
      </c>
      <c r="D22921" t="s">
        <v>291</v>
      </c>
      <c r="E22921" t="s">
        <v>292</v>
      </c>
      <c r="F22921">
        <v>412.42</v>
      </c>
      <c r="G22921">
        <v>230608</v>
      </c>
      <c r="H22921">
        <v>4580</v>
      </c>
      <c r="I22921" t="s">
        <v>35</v>
      </c>
      <c r="J22921">
        <v>511.4</v>
      </c>
      <c r="K22921">
        <v>98.98</v>
      </c>
      <c r="L22921">
        <v>69707</v>
      </c>
      <c r="M22921" t="s">
        <v>490</v>
      </c>
      <c r="N22921" t="str">
        <f>"11429607    "</f>
        <v xml:space="preserve">11429607    </v>
      </c>
      <c r="O22921">
        <v>230613</v>
      </c>
    </row>
    <row r="22922" spans="1:15" x14ac:dyDescent="0.25">
      <c r="A22922" t="s">
        <v>16</v>
      </c>
      <c r="B22922" t="s">
        <v>3221</v>
      </c>
      <c r="C22922">
        <v>8996</v>
      </c>
      <c r="D22922" t="s">
        <v>291</v>
      </c>
      <c r="E22922" t="s">
        <v>292</v>
      </c>
      <c r="F22922">
        <v>771.24</v>
      </c>
      <c r="G22922">
        <v>230616</v>
      </c>
      <c r="H22922">
        <v>4580</v>
      </c>
      <c r="I22922" t="s">
        <v>35</v>
      </c>
      <c r="J22922">
        <v>956.34</v>
      </c>
      <c r="K22922">
        <v>185.1</v>
      </c>
      <c r="L22922">
        <v>14622</v>
      </c>
      <c r="M22922" t="s">
        <v>1005</v>
      </c>
      <c r="N22922" t="str">
        <f>"11442435    "</f>
        <v xml:space="preserve">11442435    </v>
      </c>
      <c r="O22922">
        <v>230620</v>
      </c>
    </row>
    <row r="22923" spans="1:15" x14ac:dyDescent="0.25">
      <c r="A22923" t="s">
        <v>16</v>
      </c>
      <c r="B22923" t="s">
        <v>3221</v>
      </c>
      <c r="C22923">
        <v>9083</v>
      </c>
      <c r="D22923" t="s">
        <v>291</v>
      </c>
      <c r="E22923" t="s">
        <v>292</v>
      </c>
      <c r="F22923">
        <v>491.63</v>
      </c>
      <c r="G22923">
        <v>230621</v>
      </c>
      <c r="H22923">
        <v>4580</v>
      </c>
      <c r="I22923" t="s">
        <v>35</v>
      </c>
      <c r="J22923">
        <v>609.62</v>
      </c>
      <c r="K22923">
        <v>117.99</v>
      </c>
      <c r="L22923">
        <v>11801</v>
      </c>
      <c r="M22923" t="s">
        <v>92</v>
      </c>
      <c r="N22923" t="str">
        <f>"11449509    "</f>
        <v xml:space="preserve">11449509    </v>
      </c>
      <c r="O22923">
        <v>230622</v>
      </c>
    </row>
    <row r="22924" spans="1:15" x14ac:dyDescent="0.25">
      <c r="A22924" t="s">
        <v>16</v>
      </c>
      <c r="B22924" t="s">
        <v>3221</v>
      </c>
      <c r="C22924">
        <v>9262</v>
      </c>
      <c r="D22924" t="s">
        <v>291</v>
      </c>
      <c r="E22924" t="s">
        <v>292</v>
      </c>
      <c r="F22924">
        <v>162.26</v>
      </c>
      <c r="G22924">
        <v>230626</v>
      </c>
      <c r="H22924">
        <v>4580</v>
      </c>
      <c r="I22924" t="s">
        <v>35</v>
      </c>
      <c r="J22924">
        <v>201.2</v>
      </c>
      <c r="K22924">
        <v>38.94</v>
      </c>
      <c r="L22924">
        <v>49702</v>
      </c>
      <c r="M22924" t="s">
        <v>584</v>
      </c>
      <c r="N22924" t="str">
        <f>"11450413    "</f>
        <v xml:space="preserve">11450413    </v>
      </c>
      <c r="O22924">
        <v>230703</v>
      </c>
    </row>
    <row r="22925" spans="1:15" x14ac:dyDescent="0.25">
      <c r="A22925" t="s">
        <v>16</v>
      </c>
      <c r="B22925" t="s">
        <v>3221</v>
      </c>
      <c r="C22925">
        <v>9628</v>
      </c>
      <c r="D22925" t="s">
        <v>291</v>
      </c>
      <c r="E22925" t="s">
        <v>292</v>
      </c>
      <c r="F22925">
        <v>157.81</v>
      </c>
      <c r="G22925">
        <v>230710</v>
      </c>
      <c r="H22925">
        <v>4580</v>
      </c>
      <c r="I22925" t="s">
        <v>35</v>
      </c>
      <c r="J22925">
        <v>195.69</v>
      </c>
      <c r="K22925">
        <v>37.880000000000003</v>
      </c>
      <c r="L22925">
        <v>66754</v>
      </c>
      <c r="M22925" t="s">
        <v>239</v>
      </c>
      <c r="N22925" t="str">
        <f>"11461419    "</f>
        <v xml:space="preserve">11461419    </v>
      </c>
      <c r="O22925">
        <v>230717</v>
      </c>
    </row>
    <row r="22926" spans="1:15" x14ac:dyDescent="0.25">
      <c r="A22926" t="s">
        <v>16</v>
      </c>
      <c r="B22926" t="s">
        <v>3221</v>
      </c>
      <c r="C22926">
        <v>9718</v>
      </c>
      <c r="D22926" t="s">
        <v>291</v>
      </c>
      <c r="E22926" t="s">
        <v>292</v>
      </c>
      <c r="F22926">
        <v>180.76</v>
      </c>
      <c r="G22926">
        <v>230717</v>
      </c>
      <c r="H22926">
        <v>4580</v>
      </c>
      <c r="I22926" t="s">
        <v>35</v>
      </c>
      <c r="J22926">
        <v>224.14</v>
      </c>
      <c r="K22926">
        <v>43.38</v>
      </c>
      <c r="L22926">
        <v>67522</v>
      </c>
      <c r="M22926" t="s">
        <v>397</v>
      </c>
      <c r="N22926" t="str">
        <f>"11472356    "</f>
        <v xml:space="preserve">11472356    </v>
      </c>
      <c r="O22926">
        <v>230720</v>
      </c>
    </row>
    <row r="22927" spans="1:15" x14ac:dyDescent="0.25">
      <c r="A22927" t="s">
        <v>16</v>
      </c>
      <c r="B22927" t="s">
        <v>3221</v>
      </c>
      <c r="C22927">
        <v>9742</v>
      </c>
      <c r="D22927" t="s">
        <v>291</v>
      </c>
      <c r="E22927" t="s">
        <v>292</v>
      </c>
      <c r="F22927">
        <v>197.65</v>
      </c>
      <c r="G22927">
        <v>230705</v>
      </c>
      <c r="H22927">
        <v>4580</v>
      </c>
      <c r="I22927" t="s">
        <v>35</v>
      </c>
      <c r="J22927">
        <v>245.09</v>
      </c>
      <c r="K22927">
        <v>47.44</v>
      </c>
      <c r="L22927">
        <v>11801</v>
      </c>
      <c r="M22927" t="s">
        <v>92</v>
      </c>
      <c r="N22927" t="str">
        <f>"11460270    "</f>
        <v xml:space="preserve">11460270    </v>
      </c>
      <c r="O22927">
        <v>230724</v>
      </c>
    </row>
    <row r="22928" spans="1:15" x14ac:dyDescent="0.25">
      <c r="A22928" t="s">
        <v>16</v>
      </c>
      <c r="B22928" t="s">
        <v>3221</v>
      </c>
      <c r="C22928">
        <v>9955</v>
      </c>
      <c r="D22928" t="s">
        <v>291</v>
      </c>
      <c r="E22928" t="s">
        <v>292</v>
      </c>
      <c r="F22928">
        <v>8.9</v>
      </c>
      <c r="G22928">
        <v>230731</v>
      </c>
      <c r="H22928">
        <v>4580</v>
      </c>
      <c r="I22928" t="s">
        <v>35</v>
      </c>
      <c r="J22928">
        <v>11.04</v>
      </c>
      <c r="K22928">
        <v>2.14</v>
      </c>
      <c r="L22928">
        <v>11801</v>
      </c>
      <c r="M22928" t="s">
        <v>92</v>
      </c>
      <c r="N22928" t="str">
        <f>"11480886    "</f>
        <v xml:space="preserve">11480886    </v>
      </c>
      <c r="O22928">
        <v>230802</v>
      </c>
    </row>
    <row r="22929" spans="1:15" x14ac:dyDescent="0.25">
      <c r="A22929" t="s">
        <v>16</v>
      </c>
      <c r="B22929" t="s">
        <v>3221</v>
      </c>
      <c r="C22929">
        <v>10337</v>
      </c>
      <c r="D22929" t="s">
        <v>291</v>
      </c>
      <c r="E22929" t="s">
        <v>292</v>
      </c>
      <c r="F22929">
        <v>275.24</v>
      </c>
      <c r="G22929">
        <v>230804</v>
      </c>
      <c r="H22929">
        <v>4580</v>
      </c>
      <c r="I22929" t="s">
        <v>35</v>
      </c>
      <c r="J22929">
        <v>341.3</v>
      </c>
      <c r="K22929">
        <v>66.06</v>
      </c>
      <c r="L22929">
        <v>41126</v>
      </c>
      <c r="M22929" t="s">
        <v>761</v>
      </c>
      <c r="N22929" t="str">
        <f>"11489775    "</f>
        <v xml:space="preserve">11489775    </v>
      </c>
      <c r="O22929">
        <v>230814</v>
      </c>
    </row>
    <row r="22930" spans="1:15" x14ac:dyDescent="0.25">
      <c r="A22930" t="s">
        <v>16</v>
      </c>
      <c r="B22930" t="s">
        <v>3221</v>
      </c>
      <c r="C22930">
        <v>10379</v>
      </c>
      <c r="D22930" t="s">
        <v>291</v>
      </c>
      <c r="E22930" t="s">
        <v>292</v>
      </c>
      <c r="F22930">
        <v>180.76</v>
      </c>
      <c r="G22930">
        <v>230803</v>
      </c>
      <c r="H22930">
        <v>4580</v>
      </c>
      <c r="I22930" t="s">
        <v>35</v>
      </c>
      <c r="J22930">
        <v>224.14</v>
      </c>
      <c r="K22930">
        <v>43.38</v>
      </c>
      <c r="L22930">
        <v>67522</v>
      </c>
      <c r="M22930" t="s">
        <v>397</v>
      </c>
      <c r="N22930" t="str">
        <f>"11489274    "</f>
        <v xml:space="preserve">11489274    </v>
      </c>
      <c r="O22930">
        <v>230815</v>
      </c>
    </row>
    <row r="22931" spans="1:15" x14ac:dyDescent="0.25">
      <c r="A22931" t="s">
        <v>16</v>
      </c>
      <c r="B22931" t="s">
        <v>3221</v>
      </c>
      <c r="C22931">
        <v>10397</v>
      </c>
      <c r="D22931" t="s">
        <v>291</v>
      </c>
      <c r="E22931" t="s">
        <v>292</v>
      </c>
      <c r="F22931">
        <v>41.09</v>
      </c>
      <c r="G22931">
        <v>230802</v>
      </c>
      <c r="H22931">
        <v>4580</v>
      </c>
      <c r="I22931" t="s">
        <v>35</v>
      </c>
      <c r="J22931">
        <v>50.95</v>
      </c>
      <c r="K22931">
        <v>9.86</v>
      </c>
      <c r="L22931">
        <v>11001</v>
      </c>
      <c r="M22931" t="s">
        <v>326</v>
      </c>
      <c r="N22931" t="str">
        <f t="shared" ref="N22931:N22937" si="451">"11486819    "</f>
        <v xml:space="preserve">11486819    </v>
      </c>
      <c r="O22931">
        <v>230815</v>
      </c>
    </row>
    <row r="22932" spans="1:15" x14ac:dyDescent="0.25">
      <c r="A22932" t="s">
        <v>16</v>
      </c>
      <c r="B22932" t="s">
        <v>3221</v>
      </c>
      <c r="C22932">
        <v>10397</v>
      </c>
      <c r="D22932" t="s">
        <v>291</v>
      </c>
      <c r="E22932" t="s">
        <v>292</v>
      </c>
      <c r="F22932">
        <v>206.84</v>
      </c>
      <c r="G22932">
        <v>230802</v>
      </c>
      <c r="H22932">
        <v>4580</v>
      </c>
      <c r="I22932" t="s">
        <v>35</v>
      </c>
      <c r="J22932">
        <v>256.48</v>
      </c>
      <c r="K22932">
        <v>49.64</v>
      </c>
      <c r="L22932">
        <v>11601</v>
      </c>
      <c r="M22932" t="s">
        <v>535</v>
      </c>
      <c r="N22932" t="str">
        <f t="shared" si="451"/>
        <v xml:space="preserve">11486819    </v>
      </c>
      <c r="O22932">
        <v>230815</v>
      </c>
    </row>
    <row r="22933" spans="1:15" x14ac:dyDescent="0.25">
      <c r="A22933" t="s">
        <v>16</v>
      </c>
      <c r="B22933" t="s">
        <v>3221</v>
      </c>
      <c r="C22933">
        <v>10397</v>
      </c>
      <c r="D22933" t="s">
        <v>291</v>
      </c>
      <c r="E22933" t="s">
        <v>292</v>
      </c>
      <c r="F22933">
        <v>27.4</v>
      </c>
      <c r="G22933">
        <v>230802</v>
      </c>
      <c r="H22933">
        <v>4580</v>
      </c>
      <c r="I22933" t="s">
        <v>35</v>
      </c>
      <c r="J22933">
        <v>33.979999999999997</v>
      </c>
      <c r="K22933">
        <v>6.58</v>
      </c>
      <c r="L22933">
        <v>17530</v>
      </c>
      <c r="M22933" t="s">
        <v>454</v>
      </c>
      <c r="N22933" t="str">
        <f t="shared" si="451"/>
        <v xml:space="preserve">11486819    </v>
      </c>
      <c r="O22933">
        <v>230815</v>
      </c>
    </row>
    <row r="22934" spans="1:15" x14ac:dyDescent="0.25">
      <c r="A22934" t="s">
        <v>16</v>
      </c>
      <c r="B22934" t="s">
        <v>3221</v>
      </c>
      <c r="C22934">
        <v>10397</v>
      </c>
      <c r="D22934" t="s">
        <v>291</v>
      </c>
      <c r="E22934" t="s">
        <v>292</v>
      </c>
      <c r="F22934">
        <v>27.4</v>
      </c>
      <c r="G22934">
        <v>230802</v>
      </c>
      <c r="H22934">
        <v>4580</v>
      </c>
      <c r="I22934" t="s">
        <v>35</v>
      </c>
      <c r="J22934">
        <v>33.97</v>
      </c>
      <c r="K22934">
        <v>6.57</v>
      </c>
      <c r="L22934">
        <v>17807</v>
      </c>
      <c r="M22934" t="s">
        <v>318</v>
      </c>
      <c r="N22934" t="str">
        <f t="shared" si="451"/>
        <v xml:space="preserve">11486819    </v>
      </c>
      <c r="O22934">
        <v>230815</v>
      </c>
    </row>
    <row r="22935" spans="1:15" x14ac:dyDescent="0.25">
      <c r="A22935" t="s">
        <v>16</v>
      </c>
      <c r="B22935" t="s">
        <v>3221</v>
      </c>
      <c r="C22935">
        <v>10397</v>
      </c>
      <c r="D22935" t="s">
        <v>291</v>
      </c>
      <c r="E22935" t="s">
        <v>292</v>
      </c>
      <c r="F22935">
        <v>189.47</v>
      </c>
      <c r="G22935">
        <v>230802</v>
      </c>
      <c r="H22935">
        <v>4580</v>
      </c>
      <c r="I22935" t="s">
        <v>35</v>
      </c>
      <c r="J22935">
        <v>234.94</v>
      </c>
      <c r="K22935">
        <v>45.47</v>
      </c>
      <c r="L22935">
        <v>46559</v>
      </c>
      <c r="M22935" t="s">
        <v>1104</v>
      </c>
      <c r="N22935" t="str">
        <f t="shared" si="451"/>
        <v xml:space="preserve">11486819    </v>
      </c>
      <c r="O22935">
        <v>230815</v>
      </c>
    </row>
    <row r="22936" spans="1:15" x14ac:dyDescent="0.25">
      <c r="A22936" t="s">
        <v>16</v>
      </c>
      <c r="B22936" t="s">
        <v>3221</v>
      </c>
      <c r="C22936">
        <v>10397</v>
      </c>
      <c r="D22936" t="s">
        <v>291</v>
      </c>
      <c r="E22936" t="s">
        <v>292</v>
      </c>
      <c r="F22936">
        <v>245.82</v>
      </c>
      <c r="G22936">
        <v>230802</v>
      </c>
      <c r="H22936">
        <v>4580</v>
      </c>
      <c r="I22936" t="s">
        <v>35</v>
      </c>
      <c r="J22936">
        <v>304.82</v>
      </c>
      <c r="K22936">
        <v>59</v>
      </c>
      <c r="L22936">
        <v>56566</v>
      </c>
      <c r="M22936" t="s">
        <v>652</v>
      </c>
      <c r="N22936" t="str">
        <f t="shared" si="451"/>
        <v xml:space="preserve">11486819    </v>
      </c>
      <c r="O22936">
        <v>230815</v>
      </c>
    </row>
    <row r="22937" spans="1:15" x14ac:dyDescent="0.25">
      <c r="A22937" t="s">
        <v>16</v>
      </c>
      <c r="B22937" t="s">
        <v>3221</v>
      </c>
      <c r="C22937">
        <v>10397</v>
      </c>
      <c r="D22937" t="s">
        <v>291</v>
      </c>
      <c r="E22937" t="s">
        <v>292</v>
      </c>
      <c r="F22937">
        <v>245.81</v>
      </c>
      <c r="G22937">
        <v>230802</v>
      </c>
      <c r="H22937">
        <v>4580</v>
      </c>
      <c r="I22937" t="s">
        <v>35</v>
      </c>
      <c r="J22937">
        <v>304.8</v>
      </c>
      <c r="K22937">
        <v>58.99</v>
      </c>
      <c r="L22937">
        <v>58601</v>
      </c>
      <c r="M22937" t="s">
        <v>251</v>
      </c>
      <c r="N22937" t="str">
        <f t="shared" si="451"/>
        <v xml:space="preserve">11486819    </v>
      </c>
      <c r="O22937">
        <v>230815</v>
      </c>
    </row>
    <row r="22938" spans="1:15" x14ac:dyDescent="0.25">
      <c r="A22938" t="s">
        <v>16</v>
      </c>
      <c r="B22938" t="s">
        <v>3221</v>
      </c>
      <c r="C22938">
        <v>10561</v>
      </c>
      <c r="D22938" t="s">
        <v>291</v>
      </c>
      <c r="E22938" t="s">
        <v>292</v>
      </c>
      <c r="F22938">
        <v>155.08000000000001</v>
      </c>
      <c r="G22938">
        <v>230807</v>
      </c>
      <c r="H22938">
        <v>4580</v>
      </c>
      <c r="I22938" t="s">
        <v>35</v>
      </c>
      <c r="J22938">
        <v>192.3</v>
      </c>
      <c r="K22938">
        <v>37.22</v>
      </c>
      <c r="L22938">
        <v>17530</v>
      </c>
      <c r="M22938" t="s">
        <v>454</v>
      </c>
      <c r="N22938" t="str">
        <f>"11499245    "</f>
        <v xml:space="preserve">11499245    </v>
      </c>
      <c r="O22938">
        <v>230818</v>
      </c>
    </row>
    <row r="22939" spans="1:15" x14ac:dyDescent="0.25">
      <c r="A22939" t="s">
        <v>16</v>
      </c>
      <c r="B22939" t="s">
        <v>3221</v>
      </c>
      <c r="C22939">
        <v>10869</v>
      </c>
      <c r="D22939" t="s">
        <v>291</v>
      </c>
      <c r="E22939" t="s">
        <v>292</v>
      </c>
      <c r="F22939">
        <v>193.68</v>
      </c>
      <c r="G22939">
        <v>230815</v>
      </c>
      <c r="H22939">
        <v>4580</v>
      </c>
      <c r="I22939" t="s">
        <v>35</v>
      </c>
      <c r="J22939">
        <v>240.16</v>
      </c>
      <c r="K22939">
        <v>46.48</v>
      </c>
      <c r="L22939">
        <v>61122</v>
      </c>
      <c r="M22939" t="s">
        <v>402</v>
      </c>
      <c r="N22939" t="str">
        <f>"11507568    "</f>
        <v xml:space="preserve">11507568    </v>
      </c>
      <c r="O22939">
        <v>230824</v>
      </c>
    </row>
    <row r="22940" spans="1:15" x14ac:dyDescent="0.25">
      <c r="A22940" t="s">
        <v>16</v>
      </c>
      <c r="B22940" t="s">
        <v>3221</v>
      </c>
      <c r="C22940">
        <v>10869</v>
      </c>
      <c r="D22940" t="s">
        <v>291</v>
      </c>
      <c r="E22940" t="s">
        <v>292</v>
      </c>
      <c r="F22940">
        <v>193.67</v>
      </c>
      <c r="G22940">
        <v>230815</v>
      </c>
      <c r="H22940">
        <v>4580</v>
      </c>
      <c r="I22940" t="s">
        <v>35</v>
      </c>
      <c r="J22940">
        <v>240.15</v>
      </c>
      <c r="K22940">
        <v>46.48</v>
      </c>
      <c r="L22940">
        <v>61122</v>
      </c>
      <c r="M22940" t="s">
        <v>402</v>
      </c>
      <c r="N22940" t="str">
        <f>"11507568    "</f>
        <v xml:space="preserve">11507568    </v>
      </c>
      <c r="O22940">
        <v>230824</v>
      </c>
    </row>
    <row r="22941" spans="1:15" x14ac:dyDescent="0.25">
      <c r="A22941" t="s">
        <v>16</v>
      </c>
      <c r="B22941" t="s">
        <v>3221</v>
      </c>
      <c r="C22941">
        <v>10936</v>
      </c>
      <c r="D22941" t="s">
        <v>291</v>
      </c>
      <c r="E22941" t="s">
        <v>292</v>
      </c>
      <c r="F22941">
        <v>181.87</v>
      </c>
      <c r="G22941">
        <v>230821</v>
      </c>
      <c r="H22941">
        <v>4580</v>
      </c>
      <c r="I22941" t="s">
        <v>35</v>
      </c>
      <c r="J22941">
        <v>225.52</v>
      </c>
      <c r="K22941">
        <v>43.65</v>
      </c>
      <c r="L22941">
        <v>13601</v>
      </c>
      <c r="M22941" t="s">
        <v>147</v>
      </c>
      <c r="N22941" t="str">
        <f>"11509788    "</f>
        <v xml:space="preserve">11509788    </v>
      </c>
      <c r="O22941">
        <v>230825</v>
      </c>
    </row>
    <row r="22942" spans="1:15" x14ac:dyDescent="0.25">
      <c r="A22942" t="s">
        <v>16</v>
      </c>
      <c r="B22942" t="s">
        <v>3221</v>
      </c>
      <c r="C22942">
        <v>10995</v>
      </c>
      <c r="D22942" t="s">
        <v>291</v>
      </c>
      <c r="E22942" t="s">
        <v>292</v>
      </c>
      <c r="F22942">
        <v>248.9</v>
      </c>
      <c r="G22942">
        <v>230822</v>
      </c>
      <c r="H22942">
        <v>4580</v>
      </c>
      <c r="I22942" t="s">
        <v>35</v>
      </c>
      <c r="J22942">
        <v>308.64</v>
      </c>
      <c r="K22942">
        <v>59.74</v>
      </c>
      <c r="L22942">
        <v>13561</v>
      </c>
      <c r="M22942" t="s">
        <v>246</v>
      </c>
      <c r="N22942" t="str">
        <f>"11510264    "</f>
        <v xml:space="preserve">11510264    </v>
      </c>
      <c r="O22942">
        <v>230828</v>
      </c>
    </row>
    <row r="22943" spans="1:15" x14ac:dyDescent="0.25">
      <c r="A22943" t="s">
        <v>16</v>
      </c>
      <c r="B22943" t="s">
        <v>3221</v>
      </c>
      <c r="C22943">
        <v>11026</v>
      </c>
      <c r="D22943" t="s">
        <v>291</v>
      </c>
      <c r="E22943" t="s">
        <v>292</v>
      </c>
      <c r="F22943">
        <v>500.54</v>
      </c>
      <c r="G22943">
        <v>230817</v>
      </c>
      <c r="H22943">
        <v>4580</v>
      </c>
      <c r="I22943" t="s">
        <v>35</v>
      </c>
      <c r="J22943">
        <v>620.66999999999996</v>
      </c>
      <c r="K22943">
        <v>120.13</v>
      </c>
      <c r="L22943">
        <v>53222</v>
      </c>
      <c r="M22943" t="s">
        <v>445</v>
      </c>
      <c r="N22943" t="str">
        <f>"11508544    "</f>
        <v xml:space="preserve">11508544    </v>
      </c>
      <c r="O22943">
        <v>230828</v>
      </c>
    </row>
    <row r="22944" spans="1:15" x14ac:dyDescent="0.25">
      <c r="A22944" t="s">
        <v>16</v>
      </c>
      <c r="B22944" t="s">
        <v>3221</v>
      </c>
      <c r="C22944">
        <v>11026</v>
      </c>
      <c r="D22944" t="s">
        <v>291</v>
      </c>
      <c r="E22944" t="s">
        <v>292</v>
      </c>
      <c r="F22944">
        <v>250.26</v>
      </c>
      <c r="G22944">
        <v>230817</v>
      </c>
      <c r="H22944">
        <v>4580</v>
      </c>
      <c r="I22944" t="s">
        <v>35</v>
      </c>
      <c r="J22944">
        <v>310.32</v>
      </c>
      <c r="K22944">
        <v>60.06</v>
      </c>
      <c r="L22944">
        <v>54222</v>
      </c>
      <c r="M22944" t="s">
        <v>308</v>
      </c>
      <c r="N22944" t="str">
        <f>"11508544    "</f>
        <v xml:space="preserve">11508544    </v>
      </c>
      <c r="O22944">
        <v>230828</v>
      </c>
    </row>
    <row r="22945" spans="1:15" x14ac:dyDescent="0.25">
      <c r="A22945" t="s">
        <v>16</v>
      </c>
      <c r="B22945" t="s">
        <v>3221</v>
      </c>
      <c r="C22945">
        <v>11027</v>
      </c>
      <c r="D22945" t="s">
        <v>291</v>
      </c>
      <c r="E22945" t="s">
        <v>292</v>
      </c>
      <c r="F22945">
        <v>250.27</v>
      </c>
      <c r="G22945">
        <v>230818</v>
      </c>
      <c r="H22945">
        <v>4580</v>
      </c>
      <c r="I22945" t="s">
        <v>35</v>
      </c>
      <c r="J22945">
        <v>310.33</v>
      </c>
      <c r="K22945">
        <v>60.06</v>
      </c>
      <c r="L22945">
        <v>56564</v>
      </c>
      <c r="M22945" t="s">
        <v>327</v>
      </c>
      <c r="N22945" t="str">
        <f>"11509336    "</f>
        <v xml:space="preserve">11509336    </v>
      </c>
      <c r="O22945">
        <v>230828</v>
      </c>
    </row>
    <row r="22946" spans="1:15" x14ac:dyDescent="0.25">
      <c r="A22946" t="s">
        <v>16</v>
      </c>
      <c r="B22946" t="s">
        <v>3221</v>
      </c>
      <c r="C22946">
        <v>11213</v>
      </c>
      <c r="D22946" t="s">
        <v>291</v>
      </c>
      <c r="E22946" t="s">
        <v>292</v>
      </c>
      <c r="F22946">
        <v>229.4</v>
      </c>
      <c r="G22946">
        <v>230824</v>
      </c>
      <c r="H22946">
        <v>4580</v>
      </c>
      <c r="I22946" t="s">
        <v>35</v>
      </c>
      <c r="J22946">
        <v>284.45</v>
      </c>
      <c r="K22946">
        <v>55.05</v>
      </c>
      <c r="L22946">
        <v>11801</v>
      </c>
      <c r="M22946" t="s">
        <v>92</v>
      </c>
      <c r="N22946" t="str">
        <f>"11511279    "</f>
        <v xml:space="preserve">11511279    </v>
      </c>
      <c r="O22946">
        <v>230831</v>
      </c>
    </row>
    <row r="22947" spans="1:15" x14ac:dyDescent="0.25">
      <c r="A22947" t="s">
        <v>16</v>
      </c>
      <c r="B22947" t="s">
        <v>3221</v>
      </c>
      <c r="C22947">
        <v>11214</v>
      </c>
      <c r="D22947" t="s">
        <v>291</v>
      </c>
      <c r="E22947" t="s">
        <v>292</v>
      </c>
      <c r="F22947">
        <v>226.56</v>
      </c>
      <c r="G22947">
        <v>230828</v>
      </c>
      <c r="H22947">
        <v>4580</v>
      </c>
      <c r="I22947" t="s">
        <v>35</v>
      </c>
      <c r="J22947">
        <v>280.94</v>
      </c>
      <c r="K22947">
        <v>54.38</v>
      </c>
      <c r="L22947">
        <v>69703</v>
      </c>
      <c r="M22947" t="s">
        <v>1036</v>
      </c>
      <c r="N22947" t="str">
        <f>"11512300    "</f>
        <v xml:space="preserve">11512300    </v>
      </c>
      <c r="O22947">
        <v>230831</v>
      </c>
    </row>
    <row r="22948" spans="1:15" x14ac:dyDescent="0.25">
      <c r="A22948" t="s">
        <v>16</v>
      </c>
      <c r="B22948" t="s">
        <v>3221</v>
      </c>
      <c r="C22948">
        <v>11214</v>
      </c>
      <c r="D22948" t="s">
        <v>291</v>
      </c>
      <c r="E22948" t="s">
        <v>292</v>
      </c>
      <c r="F22948">
        <v>226.56</v>
      </c>
      <c r="G22948">
        <v>230828</v>
      </c>
      <c r="H22948">
        <v>4580</v>
      </c>
      <c r="I22948" t="s">
        <v>35</v>
      </c>
      <c r="J22948">
        <v>280.94</v>
      </c>
      <c r="K22948">
        <v>54.38</v>
      </c>
      <c r="L22948">
        <v>69708</v>
      </c>
      <c r="M22948" t="s">
        <v>491</v>
      </c>
      <c r="N22948" t="str">
        <f>"11512300    "</f>
        <v xml:space="preserve">11512300    </v>
      </c>
      <c r="O22948">
        <v>230831</v>
      </c>
    </row>
    <row r="22949" spans="1:15" x14ac:dyDescent="0.25">
      <c r="A22949" t="s">
        <v>16</v>
      </c>
      <c r="B22949" t="s">
        <v>3221</v>
      </c>
      <c r="C22949">
        <v>11796</v>
      </c>
      <c r="D22949" t="s">
        <v>291</v>
      </c>
      <c r="E22949" t="s">
        <v>292</v>
      </c>
      <c r="F22949">
        <v>179.87</v>
      </c>
      <c r="G22949">
        <v>230829</v>
      </c>
      <c r="H22949">
        <v>4580</v>
      </c>
      <c r="I22949" t="s">
        <v>35</v>
      </c>
      <c r="J22949">
        <v>223.04</v>
      </c>
      <c r="K22949">
        <v>43.17</v>
      </c>
      <c r="L22949">
        <v>69113</v>
      </c>
      <c r="M22949" t="s">
        <v>282</v>
      </c>
      <c r="N22949" t="str">
        <f>"11512689    "</f>
        <v xml:space="preserve">11512689    </v>
      </c>
      <c r="O22949">
        <v>230911</v>
      </c>
    </row>
    <row r="22950" spans="1:15" x14ac:dyDescent="0.25">
      <c r="A22950" t="s">
        <v>16</v>
      </c>
      <c r="B22950" t="s">
        <v>3221</v>
      </c>
      <c r="C22950">
        <v>11796</v>
      </c>
      <c r="D22950" t="s">
        <v>291</v>
      </c>
      <c r="E22950" t="s">
        <v>292</v>
      </c>
      <c r="F22950">
        <v>359.74</v>
      </c>
      <c r="G22950">
        <v>230829</v>
      </c>
      <c r="H22950">
        <v>4580</v>
      </c>
      <c r="I22950" t="s">
        <v>35</v>
      </c>
      <c r="J22950">
        <v>446.08</v>
      </c>
      <c r="K22950">
        <v>86.34</v>
      </c>
      <c r="L22950">
        <v>69501</v>
      </c>
      <c r="M22950" t="s">
        <v>185</v>
      </c>
      <c r="N22950" t="str">
        <f>"11512689    "</f>
        <v xml:space="preserve">11512689    </v>
      </c>
      <c r="O22950">
        <v>230911</v>
      </c>
    </row>
    <row r="22951" spans="1:15" x14ac:dyDescent="0.25">
      <c r="A22951" t="s">
        <v>16</v>
      </c>
      <c r="B22951" t="s">
        <v>3221</v>
      </c>
      <c r="C22951">
        <v>11833</v>
      </c>
      <c r="D22951" t="s">
        <v>291</v>
      </c>
      <c r="E22951" t="s">
        <v>292</v>
      </c>
      <c r="F22951">
        <v>231.02</v>
      </c>
      <c r="G22951">
        <v>230830</v>
      </c>
      <c r="H22951">
        <v>4580</v>
      </c>
      <c r="I22951" t="s">
        <v>35</v>
      </c>
      <c r="J22951">
        <v>286.45999999999998</v>
      </c>
      <c r="K22951">
        <v>55.44</v>
      </c>
      <c r="L22951">
        <v>58601</v>
      </c>
      <c r="M22951" t="s">
        <v>251</v>
      </c>
      <c r="N22951" t="str">
        <f>"11513045    "</f>
        <v xml:space="preserve">11513045    </v>
      </c>
      <c r="O22951">
        <v>230911</v>
      </c>
    </row>
    <row r="22952" spans="1:15" x14ac:dyDescent="0.25">
      <c r="A22952" t="s">
        <v>16</v>
      </c>
      <c r="B22952" t="s">
        <v>3221</v>
      </c>
      <c r="C22952">
        <v>12068</v>
      </c>
      <c r="D22952" t="s">
        <v>291</v>
      </c>
      <c r="E22952" t="s">
        <v>292</v>
      </c>
      <c r="F22952">
        <v>162.37</v>
      </c>
      <c r="G22952">
        <v>230905</v>
      </c>
      <c r="H22952">
        <v>4580</v>
      </c>
      <c r="I22952" t="s">
        <v>35</v>
      </c>
      <c r="J22952">
        <v>201.34</v>
      </c>
      <c r="K22952">
        <v>38.97</v>
      </c>
      <c r="L22952">
        <v>17808</v>
      </c>
      <c r="M22952" t="s">
        <v>322</v>
      </c>
      <c r="N22952" t="str">
        <f>"11520589    "</f>
        <v xml:space="preserve">11520589    </v>
      </c>
      <c r="O22952">
        <v>230913</v>
      </c>
    </row>
    <row r="22953" spans="1:15" x14ac:dyDescent="0.25">
      <c r="A22953" t="s">
        <v>16</v>
      </c>
      <c r="B22953" t="s">
        <v>3221</v>
      </c>
      <c r="C22953">
        <v>12068</v>
      </c>
      <c r="D22953" t="s">
        <v>291</v>
      </c>
      <c r="E22953" t="s">
        <v>292</v>
      </c>
      <c r="F22953">
        <v>539.30999999999995</v>
      </c>
      <c r="G22953">
        <v>230905</v>
      </c>
      <c r="H22953">
        <v>4580</v>
      </c>
      <c r="I22953" t="s">
        <v>35</v>
      </c>
      <c r="J22953">
        <v>668.75</v>
      </c>
      <c r="K22953">
        <v>129.44</v>
      </c>
      <c r="L22953">
        <v>69702</v>
      </c>
      <c r="M22953" t="s">
        <v>489</v>
      </c>
      <c r="N22953" t="str">
        <f>"11520589    "</f>
        <v xml:space="preserve">11520589    </v>
      </c>
      <c r="O22953">
        <v>230913</v>
      </c>
    </row>
    <row r="22954" spans="1:15" x14ac:dyDescent="0.25">
      <c r="A22954" t="s">
        <v>16</v>
      </c>
      <c r="B22954" t="s">
        <v>3221</v>
      </c>
      <c r="C22954">
        <v>12070</v>
      </c>
      <c r="D22954" t="s">
        <v>291</v>
      </c>
      <c r="E22954" t="s">
        <v>292</v>
      </c>
      <c r="F22954">
        <v>179.87</v>
      </c>
      <c r="G22954">
        <v>230908</v>
      </c>
      <c r="H22954">
        <v>4580</v>
      </c>
      <c r="I22954" t="s">
        <v>35</v>
      </c>
      <c r="J22954">
        <v>223.04</v>
      </c>
      <c r="K22954">
        <v>43.17</v>
      </c>
      <c r="L22954">
        <v>66722</v>
      </c>
      <c r="M22954" t="s">
        <v>518</v>
      </c>
      <c r="N22954" t="str">
        <f>"11524199    "</f>
        <v xml:space="preserve">11524199    </v>
      </c>
      <c r="O22954">
        <v>230913</v>
      </c>
    </row>
    <row r="22955" spans="1:15" x14ac:dyDescent="0.25">
      <c r="A22955" t="s">
        <v>16</v>
      </c>
      <c r="B22955" t="s">
        <v>3221</v>
      </c>
      <c r="C22955">
        <v>12366</v>
      </c>
      <c r="D22955" t="s">
        <v>291</v>
      </c>
      <c r="E22955" t="s">
        <v>292</v>
      </c>
      <c r="F22955">
        <v>176.42</v>
      </c>
      <c r="G22955">
        <v>230911</v>
      </c>
      <c r="H22955">
        <v>4580</v>
      </c>
      <c r="I22955" t="s">
        <v>35</v>
      </c>
      <c r="J22955">
        <v>218.76</v>
      </c>
      <c r="K22955">
        <v>42.34</v>
      </c>
      <c r="L22955">
        <v>46554</v>
      </c>
      <c r="M22955" t="s">
        <v>117</v>
      </c>
      <c r="N22955" t="str">
        <f>"11533639    "</f>
        <v xml:space="preserve">11533639    </v>
      </c>
      <c r="O22955">
        <v>230918</v>
      </c>
    </row>
    <row r="22956" spans="1:15" x14ac:dyDescent="0.25">
      <c r="A22956" t="s">
        <v>16</v>
      </c>
      <c r="B22956" t="s">
        <v>3221</v>
      </c>
      <c r="C22956">
        <v>12366</v>
      </c>
      <c r="D22956" t="s">
        <v>291</v>
      </c>
      <c r="E22956" t="s">
        <v>292</v>
      </c>
      <c r="F22956">
        <v>176.42</v>
      </c>
      <c r="G22956">
        <v>230911</v>
      </c>
      <c r="H22956">
        <v>4580</v>
      </c>
      <c r="I22956" t="s">
        <v>35</v>
      </c>
      <c r="J22956">
        <v>218.76</v>
      </c>
      <c r="K22956">
        <v>42.34</v>
      </c>
      <c r="L22956">
        <v>49501</v>
      </c>
      <c r="M22956" t="s">
        <v>177</v>
      </c>
      <c r="N22956" t="str">
        <f>"11533639    "</f>
        <v xml:space="preserve">11533639    </v>
      </c>
      <c r="O22956">
        <v>230918</v>
      </c>
    </row>
    <row r="22957" spans="1:15" x14ac:dyDescent="0.25">
      <c r="A22957" t="s">
        <v>16</v>
      </c>
      <c r="B22957" t="s">
        <v>3221</v>
      </c>
      <c r="C22957">
        <v>12560</v>
      </c>
      <c r="D22957" t="s">
        <v>291</v>
      </c>
      <c r="E22957" t="s">
        <v>292</v>
      </c>
      <c r="F22957">
        <v>348.39</v>
      </c>
      <c r="G22957">
        <v>230913</v>
      </c>
      <c r="H22957">
        <v>4580</v>
      </c>
      <c r="I22957" t="s">
        <v>35</v>
      </c>
      <c r="J22957">
        <v>432</v>
      </c>
      <c r="K22957">
        <v>83.61</v>
      </c>
      <c r="L22957">
        <v>14431</v>
      </c>
      <c r="M22957" t="s">
        <v>861</v>
      </c>
      <c r="N22957" t="str">
        <f>"11534579    "</f>
        <v xml:space="preserve">11534579    </v>
      </c>
      <c r="O22957">
        <v>230921</v>
      </c>
    </row>
    <row r="22958" spans="1:15" x14ac:dyDescent="0.25">
      <c r="A22958" t="s">
        <v>16</v>
      </c>
      <c r="B22958" t="s">
        <v>3221</v>
      </c>
      <c r="C22958">
        <v>12560</v>
      </c>
      <c r="D22958" t="s">
        <v>291</v>
      </c>
      <c r="E22958" t="s">
        <v>292</v>
      </c>
      <c r="F22958">
        <v>176.42</v>
      </c>
      <c r="G22958">
        <v>230913</v>
      </c>
      <c r="H22958">
        <v>4580</v>
      </c>
      <c r="I22958" t="s">
        <v>35</v>
      </c>
      <c r="J22958">
        <v>218.76</v>
      </c>
      <c r="K22958">
        <v>42.34</v>
      </c>
      <c r="L22958">
        <v>14432</v>
      </c>
      <c r="M22958" t="s">
        <v>862</v>
      </c>
      <c r="N22958" t="str">
        <f>"11534579    "</f>
        <v xml:space="preserve">11534579    </v>
      </c>
      <c r="O22958">
        <v>230921</v>
      </c>
    </row>
    <row r="22959" spans="1:15" x14ac:dyDescent="0.25">
      <c r="A22959" t="s">
        <v>16</v>
      </c>
      <c r="B22959" t="s">
        <v>3221</v>
      </c>
      <c r="C22959">
        <v>12560</v>
      </c>
      <c r="D22959" t="s">
        <v>291</v>
      </c>
      <c r="E22959" t="s">
        <v>292</v>
      </c>
      <c r="F22959">
        <v>180.89</v>
      </c>
      <c r="G22959">
        <v>230913</v>
      </c>
      <c r="H22959">
        <v>4580</v>
      </c>
      <c r="I22959" t="s">
        <v>35</v>
      </c>
      <c r="J22959">
        <v>224.3</v>
      </c>
      <c r="K22959">
        <v>43.41</v>
      </c>
      <c r="L22959">
        <v>49501</v>
      </c>
      <c r="M22959" t="s">
        <v>177</v>
      </c>
      <c r="N22959" t="str">
        <f>"11534579    "</f>
        <v xml:space="preserve">11534579    </v>
      </c>
      <c r="O22959">
        <v>230921</v>
      </c>
    </row>
    <row r="22960" spans="1:15" x14ac:dyDescent="0.25">
      <c r="A22960" t="s">
        <v>16</v>
      </c>
      <c r="B22960" t="s">
        <v>3221</v>
      </c>
      <c r="C22960">
        <v>12560</v>
      </c>
      <c r="D22960" t="s">
        <v>291</v>
      </c>
      <c r="E22960" t="s">
        <v>292</v>
      </c>
      <c r="F22960">
        <v>229.39</v>
      </c>
      <c r="G22960">
        <v>230913</v>
      </c>
      <c r="H22960">
        <v>4580</v>
      </c>
      <c r="I22960" t="s">
        <v>35</v>
      </c>
      <c r="J22960">
        <v>284.44</v>
      </c>
      <c r="K22960">
        <v>55.05</v>
      </c>
      <c r="L22960">
        <v>56562</v>
      </c>
      <c r="M22960" t="s">
        <v>126</v>
      </c>
      <c r="N22960" t="str">
        <f>"11534579    "</f>
        <v xml:space="preserve">11534579    </v>
      </c>
      <c r="O22960">
        <v>230921</v>
      </c>
    </row>
    <row r="22961" spans="1:15" x14ac:dyDescent="0.25">
      <c r="A22961" t="s">
        <v>16</v>
      </c>
      <c r="B22961" t="s">
        <v>3221</v>
      </c>
      <c r="C22961">
        <v>12560</v>
      </c>
      <c r="D22961" t="s">
        <v>291</v>
      </c>
      <c r="E22961" t="s">
        <v>292</v>
      </c>
      <c r="F22961">
        <v>229.39</v>
      </c>
      <c r="G22961">
        <v>230913</v>
      </c>
      <c r="H22961">
        <v>4580</v>
      </c>
      <c r="I22961" t="s">
        <v>35</v>
      </c>
      <c r="J22961">
        <v>284.44</v>
      </c>
      <c r="K22961">
        <v>55.05</v>
      </c>
      <c r="L22961">
        <v>69703</v>
      </c>
      <c r="M22961" t="s">
        <v>1036</v>
      </c>
      <c r="N22961" t="str">
        <f>"11534579    "</f>
        <v xml:space="preserve">11534579    </v>
      </c>
      <c r="O22961">
        <v>230921</v>
      </c>
    </row>
    <row r="22962" spans="1:15" x14ac:dyDescent="0.25">
      <c r="A22962" t="s">
        <v>16</v>
      </c>
      <c r="B22962" t="s">
        <v>3221</v>
      </c>
      <c r="C22962">
        <v>12722</v>
      </c>
      <c r="D22962" t="s">
        <v>291</v>
      </c>
      <c r="E22962" t="s">
        <v>292</v>
      </c>
      <c r="F22962">
        <v>171.42</v>
      </c>
      <c r="G22962">
        <v>230914</v>
      </c>
      <c r="H22962">
        <v>4580</v>
      </c>
      <c r="I22962" t="s">
        <v>35</v>
      </c>
      <c r="J22962">
        <v>212.56</v>
      </c>
      <c r="K22962">
        <v>41.14</v>
      </c>
      <c r="L22962">
        <v>17711</v>
      </c>
      <c r="M22962" t="s">
        <v>65</v>
      </c>
      <c r="N22962" t="str">
        <f>"11535041    "</f>
        <v xml:space="preserve">11535041    </v>
      </c>
      <c r="O22962">
        <v>230925</v>
      </c>
    </row>
    <row r="22963" spans="1:15" x14ac:dyDescent="0.25">
      <c r="A22963" t="s">
        <v>16</v>
      </c>
      <c r="B22963" t="s">
        <v>3221</v>
      </c>
      <c r="C22963">
        <v>12722</v>
      </c>
      <c r="D22963" t="s">
        <v>291</v>
      </c>
      <c r="E22963" t="s">
        <v>292</v>
      </c>
      <c r="F22963">
        <v>157.91999999999999</v>
      </c>
      <c r="G22963">
        <v>230914</v>
      </c>
      <c r="H22963">
        <v>4580</v>
      </c>
      <c r="I22963" t="s">
        <v>35</v>
      </c>
      <c r="J22963">
        <v>195.82</v>
      </c>
      <c r="K22963">
        <v>37.9</v>
      </c>
      <c r="L22963">
        <v>17915</v>
      </c>
      <c r="M22963" t="s">
        <v>572</v>
      </c>
      <c r="N22963" t="str">
        <f>"11535041    "</f>
        <v xml:space="preserve">11535041    </v>
      </c>
      <c r="O22963">
        <v>230925</v>
      </c>
    </row>
    <row r="22964" spans="1:15" x14ac:dyDescent="0.25">
      <c r="A22964" t="s">
        <v>16</v>
      </c>
      <c r="B22964" t="s">
        <v>3221</v>
      </c>
      <c r="C22964">
        <v>12723</v>
      </c>
      <c r="D22964" t="s">
        <v>291</v>
      </c>
      <c r="E22964" t="s">
        <v>292</v>
      </c>
      <c r="F22964">
        <v>20.65</v>
      </c>
      <c r="G22964">
        <v>230915</v>
      </c>
      <c r="H22964">
        <v>4580</v>
      </c>
      <c r="I22964" t="s">
        <v>35</v>
      </c>
      <c r="J22964">
        <v>25.6</v>
      </c>
      <c r="K22964">
        <v>4.95</v>
      </c>
      <c r="L22964">
        <v>17711</v>
      </c>
      <c r="M22964" t="s">
        <v>65</v>
      </c>
      <c r="N22964" t="str">
        <f>"11535966    "</f>
        <v xml:space="preserve">11535966    </v>
      </c>
      <c r="O22964">
        <v>230925</v>
      </c>
    </row>
    <row r="22965" spans="1:15" x14ac:dyDescent="0.25">
      <c r="A22965" t="s">
        <v>16</v>
      </c>
      <c r="B22965" t="s">
        <v>3221</v>
      </c>
      <c r="C22965">
        <v>12723</v>
      </c>
      <c r="D22965" t="s">
        <v>291</v>
      </c>
      <c r="E22965" t="s">
        <v>292</v>
      </c>
      <c r="F22965">
        <v>20.64</v>
      </c>
      <c r="G22965">
        <v>230915</v>
      </c>
      <c r="H22965">
        <v>4580</v>
      </c>
      <c r="I22965" t="s">
        <v>35</v>
      </c>
      <c r="J22965">
        <v>25.59</v>
      </c>
      <c r="K22965">
        <v>4.95</v>
      </c>
      <c r="L22965">
        <v>17915</v>
      </c>
      <c r="M22965" t="s">
        <v>572</v>
      </c>
      <c r="N22965" t="str">
        <f>"11535966    "</f>
        <v xml:space="preserve">11535966    </v>
      </c>
      <c r="O22965">
        <v>230925</v>
      </c>
    </row>
    <row r="22966" spans="1:15" x14ac:dyDescent="0.25">
      <c r="A22966" t="s">
        <v>16</v>
      </c>
      <c r="B22966" t="s">
        <v>3221</v>
      </c>
      <c r="C22966">
        <v>12845</v>
      </c>
      <c r="D22966" t="s">
        <v>291</v>
      </c>
      <c r="E22966" t="s">
        <v>292</v>
      </c>
      <c r="F22966">
        <v>440.98</v>
      </c>
      <c r="G22966">
        <v>230912</v>
      </c>
      <c r="H22966">
        <v>4580</v>
      </c>
      <c r="I22966" t="s">
        <v>35</v>
      </c>
      <c r="J22966">
        <v>546.82000000000005</v>
      </c>
      <c r="K22966">
        <v>105.84</v>
      </c>
      <c r="L22966">
        <v>11101</v>
      </c>
      <c r="M22966" t="s">
        <v>110</v>
      </c>
      <c r="N22966" t="str">
        <f t="shared" ref="N22966:N22971" si="452">"11534121    "</f>
        <v xml:space="preserve">11534121    </v>
      </c>
      <c r="O22966">
        <v>230928</v>
      </c>
    </row>
    <row r="22967" spans="1:15" x14ac:dyDescent="0.25">
      <c r="A22967" t="s">
        <v>16</v>
      </c>
      <c r="B22967" t="s">
        <v>3221</v>
      </c>
      <c r="C22967">
        <v>12845</v>
      </c>
      <c r="D22967" t="s">
        <v>291</v>
      </c>
      <c r="E22967" t="s">
        <v>292</v>
      </c>
      <c r="F22967">
        <v>25.1</v>
      </c>
      <c r="G22967">
        <v>230912</v>
      </c>
      <c r="H22967">
        <v>4580</v>
      </c>
      <c r="I22967" t="s">
        <v>35</v>
      </c>
      <c r="J22967">
        <v>31.12</v>
      </c>
      <c r="K22967">
        <v>6.02</v>
      </c>
      <c r="L22967">
        <v>16121</v>
      </c>
      <c r="M22967" t="s">
        <v>21</v>
      </c>
      <c r="N22967" t="str">
        <f t="shared" si="452"/>
        <v xml:space="preserve">11534121    </v>
      </c>
      <c r="O22967">
        <v>230928</v>
      </c>
    </row>
    <row r="22968" spans="1:15" x14ac:dyDescent="0.25">
      <c r="A22968" t="s">
        <v>16</v>
      </c>
      <c r="B22968" t="s">
        <v>3221</v>
      </c>
      <c r="C22968">
        <v>12845</v>
      </c>
      <c r="D22968" t="s">
        <v>291</v>
      </c>
      <c r="E22968" t="s">
        <v>292</v>
      </c>
      <c r="F22968">
        <v>454.4</v>
      </c>
      <c r="G22968">
        <v>230912</v>
      </c>
      <c r="H22968">
        <v>4580</v>
      </c>
      <c r="I22968" t="s">
        <v>35</v>
      </c>
      <c r="J22968">
        <v>563.46</v>
      </c>
      <c r="K22968">
        <v>109.06</v>
      </c>
      <c r="L22968">
        <v>17971</v>
      </c>
      <c r="M22968" t="s">
        <v>138</v>
      </c>
      <c r="N22968" t="str">
        <f t="shared" si="452"/>
        <v xml:space="preserve">11534121    </v>
      </c>
      <c r="O22968">
        <v>230928</v>
      </c>
    </row>
    <row r="22969" spans="1:15" x14ac:dyDescent="0.25">
      <c r="A22969" t="s">
        <v>16</v>
      </c>
      <c r="B22969" t="s">
        <v>3221</v>
      </c>
      <c r="C22969">
        <v>12845</v>
      </c>
      <c r="D22969" t="s">
        <v>291</v>
      </c>
      <c r="E22969" t="s">
        <v>292</v>
      </c>
      <c r="F22969">
        <v>229.39</v>
      </c>
      <c r="G22969">
        <v>230912</v>
      </c>
      <c r="H22969">
        <v>4580</v>
      </c>
      <c r="I22969" t="s">
        <v>35</v>
      </c>
      <c r="J22969">
        <v>284.44</v>
      </c>
      <c r="K22969">
        <v>55.05</v>
      </c>
      <c r="L22969">
        <v>56560</v>
      </c>
      <c r="M22969" t="s">
        <v>654</v>
      </c>
      <c r="N22969" t="str">
        <f t="shared" si="452"/>
        <v xml:space="preserve">11534121    </v>
      </c>
      <c r="O22969">
        <v>230928</v>
      </c>
    </row>
    <row r="22970" spans="1:15" x14ac:dyDescent="0.25">
      <c r="A22970" t="s">
        <v>16</v>
      </c>
      <c r="B22970" t="s">
        <v>3221</v>
      </c>
      <c r="C22970">
        <v>12845</v>
      </c>
      <c r="D22970" t="s">
        <v>291</v>
      </c>
      <c r="E22970" t="s">
        <v>292</v>
      </c>
      <c r="F22970">
        <v>182.43</v>
      </c>
      <c r="G22970">
        <v>230912</v>
      </c>
      <c r="H22970">
        <v>4580</v>
      </c>
      <c r="I22970" t="s">
        <v>35</v>
      </c>
      <c r="J22970">
        <v>226.21</v>
      </c>
      <c r="K22970">
        <v>43.78</v>
      </c>
      <c r="L22970">
        <v>59113</v>
      </c>
      <c r="M22970" t="s">
        <v>235</v>
      </c>
      <c r="N22970" t="str">
        <f t="shared" si="452"/>
        <v xml:space="preserve">11534121    </v>
      </c>
      <c r="O22970">
        <v>230928</v>
      </c>
    </row>
    <row r="22971" spans="1:15" x14ac:dyDescent="0.25">
      <c r="A22971" t="s">
        <v>16</v>
      </c>
      <c r="B22971" t="s">
        <v>3221</v>
      </c>
      <c r="C22971">
        <v>12845</v>
      </c>
      <c r="D22971" t="s">
        <v>291</v>
      </c>
      <c r="E22971" t="s">
        <v>292</v>
      </c>
      <c r="F22971">
        <v>898.75</v>
      </c>
      <c r="G22971">
        <v>230912</v>
      </c>
      <c r="H22971">
        <v>4580</v>
      </c>
      <c r="I22971" t="s">
        <v>35</v>
      </c>
      <c r="J22971">
        <v>1114.45</v>
      </c>
      <c r="K22971">
        <v>215.7</v>
      </c>
      <c r="L22971">
        <v>59501</v>
      </c>
      <c r="M22971" t="s">
        <v>69</v>
      </c>
      <c r="N22971" t="str">
        <f t="shared" si="452"/>
        <v xml:space="preserve">11534121    </v>
      </c>
      <c r="O22971">
        <v>230928</v>
      </c>
    </row>
    <row r="22972" spans="1:15" x14ac:dyDescent="0.25">
      <c r="A22972" t="s">
        <v>16</v>
      </c>
      <c r="B22972" t="s">
        <v>3221</v>
      </c>
      <c r="C22972">
        <v>13045</v>
      </c>
      <c r="D22972" t="s">
        <v>291</v>
      </c>
      <c r="E22972" t="s">
        <v>292</v>
      </c>
      <c r="F22972">
        <v>101.4</v>
      </c>
      <c r="G22972">
        <v>230928</v>
      </c>
      <c r="H22972">
        <v>4580</v>
      </c>
      <c r="I22972" t="s">
        <v>35</v>
      </c>
      <c r="J22972">
        <v>125.74</v>
      </c>
      <c r="K22972">
        <v>24.34</v>
      </c>
      <c r="L22972">
        <v>69702</v>
      </c>
      <c r="M22972" t="s">
        <v>489</v>
      </c>
      <c r="N22972" t="str">
        <f>"11545798    "</f>
        <v xml:space="preserve">11545798    </v>
      </c>
      <c r="O22972">
        <v>231002</v>
      </c>
    </row>
    <row r="22973" spans="1:15" x14ac:dyDescent="0.25">
      <c r="A22973" t="s">
        <v>16</v>
      </c>
      <c r="B22973" t="s">
        <v>3221</v>
      </c>
      <c r="C22973">
        <v>13064</v>
      </c>
      <c r="D22973" t="s">
        <v>291</v>
      </c>
      <c r="E22973" t="s">
        <v>292</v>
      </c>
      <c r="F22973">
        <v>182.05</v>
      </c>
      <c r="G22973">
        <v>230920</v>
      </c>
      <c r="H22973">
        <v>4580</v>
      </c>
      <c r="I22973" t="s">
        <v>35</v>
      </c>
      <c r="J22973">
        <v>225.74</v>
      </c>
      <c r="K22973">
        <v>43.69</v>
      </c>
      <c r="L22973">
        <v>14640</v>
      </c>
      <c r="M22973" t="s">
        <v>229</v>
      </c>
      <c r="N22973" t="str">
        <f>"11542960    "</f>
        <v xml:space="preserve">11542960    </v>
      </c>
      <c r="O22973">
        <v>231003</v>
      </c>
    </row>
    <row r="22974" spans="1:15" x14ac:dyDescent="0.25">
      <c r="A22974" t="s">
        <v>16</v>
      </c>
      <c r="B22974" t="s">
        <v>3221</v>
      </c>
      <c r="C22974">
        <v>13064</v>
      </c>
      <c r="D22974" t="s">
        <v>291</v>
      </c>
      <c r="E22974" t="s">
        <v>292</v>
      </c>
      <c r="F22974">
        <v>182.06</v>
      </c>
      <c r="G22974">
        <v>230920</v>
      </c>
      <c r="H22974">
        <v>4580</v>
      </c>
      <c r="I22974" t="s">
        <v>35</v>
      </c>
      <c r="J22974">
        <v>225.75</v>
      </c>
      <c r="K22974">
        <v>43.69</v>
      </c>
      <c r="L22974">
        <v>61122</v>
      </c>
      <c r="M22974" t="s">
        <v>402</v>
      </c>
      <c r="N22974" t="str">
        <f>"11542960    "</f>
        <v xml:space="preserve">11542960    </v>
      </c>
      <c r="O22974">
        <v>231003</v>
      </c>
    </row>
    <row r="22975" spans="1:15" x14ac:dyDescent="0.25">
      <c r="A22975" t="s">
        <v>16</v>
      </c>
      <c r="B22975" t="s">
        <v>3221</v>
      </c>
      <c r="C22975">
        <v>13231</v>
      </c>
      <c r="D22975" t="s">
        <v>291</v>
      </c>
      <c r="E22975" t="s">
        <v>292</v>
      </c>
      <c r="F22975">
        <v>248.9</v>
      </c>
      <c r="G22975">
        <v>230919</v>
      </c>
      <c r="H22975">
        <v>4580</v>
      </c>
      <c r="I22975" t="s">
        <v>35</v>
      </c>
      <c r="J22975">
        <v>308.64</v>
      </c>
      <c r="K22975">
        <v>59.74</v>
      </c>
      <c r="L22975">
        <v>11905</v>
      </c>
      <c r="M22975" t="s">
        <v>39</v>
      </c>
      <c r="N22975" t="str">
        <f>"11542370    "</f>
        <v xml:space="preserve">11542370    </v>
      </c>
      <c r="O22975">
        <v>231006</v>
      </c>
    </row>
    <row r="22976" spans="1:15" x14ac:dyDescent="0.25">
      <c r="A22976" t="s">
        <v>16</v>
      </c>
      <c r="B22976" t="s">
        <v>3221</v>
      </c>
      <c r="C22976">
        <v>13231</v>
      </c>
      <c r="D22976" t="s">
        <v>291</v>
      </c>
      <c r="E22976" t="s">
        <v>292</v>
      </c>
      <c r="F22976">
        <v>178.78</v>
      </c>
      <c r="G22976">
        <v>230919</v>
      </c>
      <c r="H22976">
        <v>4580</v>
      </c>
      <c r="I22976" t="s">
        <v>35</v>
      </c>
      <c r="J22976">
        <v>221.69</v>
      </c>
      <c r="K22976">
        <v>42.91</v>
      </c>
      <c r="L22976">
        <v>54222</v>
      </c>
      <c r="M22976" t="s">
        <v>308</v>
      </c>
      <c r="N22976" t="str">
        <f>"11542370    "</f>
        <v xml:space="preserve">11542370    </v>
      </c>
      <c r="O22976">
        <v>231006</v>
      </c>
    </row>
    <row r="22977" spans="1:15" x14ac:dyDescent="0.25">
      <c r="A22977" t="s">
        <v>16</v>
      </c>
      <c r="B22977" t="s">
        <v>3221</v>
      </c>
      <c r="C22977">
        <v>13231</v>
      </c>
      <c r="D22977" t="s">
        <v>291</v>
      </c>
      <c r="E22977" t="s">
        <v>292</v>
      </c>
      <c r="F22977">
        <v>178.78</v>
      </c>
      <c r="G22977">
        <v>230919</v>
      </c>
      <c r="H22977">
        <v>4580</v>
      </c>
      <c r="I22977" t="s">
        <v>35</v>
      </c>
      <c r="J22977">
        <v>221.69</v>
      </c>
      <c r="K22977">
        <v>42.91</v>
      </c>
      <c r="L22977">
        <v>56528</v>
      </c>
      <c r="M22977" t="s">
        <v>153</v>
      </c>
      <c r="N22977" t="str">
        <f>"11542370    "</f>
        <v xml:space="preserve">11542370    </v>
      </c>
      <c r="O22977">
        <v>231006</v>
      </c>
    </row>
    <row r="22978" spans="1:15" x14ac:dyDescent="0.25">
      <c r="A22978" t="s">
        <v>16</v>
      </c>
      <c r="B22978" t="s">
        <v>3221</v>
      </c>
      <c r="C22978">
        <v>14252</v>
      </c>
      <c r="D22978" t="s">
        <v>291</v>
      </c>
      <c r="E22978" t="s">
        <v>292</v>
      </c>
      <c r="F22978">
        <v>1112.0999999999999</v>
      </c>
      <c r="G22978">
        <v>231009</v>
      </c>
      <c r="H22978">
        <v>4580</v>
      </c>
      <c r="I22978" t="s">
        <v>35</v>
      </c>
      <c r="J22978">
        <v>1379</v>
      </c>
      <c r="K22978">
        <v>266.89999999999998</v>
      </c>
      <c r="L22978">
        <v>18972</v>
      </c>
      <c r="M22978" t="s">
        <v>163</v>
      </c>
      <c r="N22978" t="str">
        <f>"11546986    "</f>
        <v xml:space="preserve">11546986    </v>
      </c>
      <c r="O22978">
        <v>231025</v>
      </c>
    </row>
    <row r="22979" spans="1:15" x14ac:dyDescent="0.25">
      <c r="A22979" t="s">
        <v>16</v>
      </c>
      <c r="B22979" t="s">
        <v>3221</v>
      </c>
      <c r="C22979">
        <v>10128</v>
      </c>
      <c r="D22979" t="s">
        <v>291</v>
      </c>
      <c r="E22979" t="s">
        <v>292</v>
      </c>
      <c r="F22979">
        <v>180.76</v>
      </c>
      <c r="G22979">
        <v>230727</v>
      </c>
      <c r="H22979">
        <v>4840</v>
      </c>
      <c r="I22979" t="s">
        <v>19</v>
      </c>
      <c r="J22979">
        <v>224.14</v>
      </c>
      <c r="K22979">
        <v>43.38</v>
      </c>
      <c r="L22979">
        <v>13802</v>
      </c>
      <c r="M22979" t="s">
        <v>200</v>
      </c>
      <c r="N22979" t="str">
        <f>"11480380    "</f>
        <v xml:space="preserve">11480380    </v>
      </c>
      <c r="O22979">
        <v>230808</v>
      </c>
    </row>
    <row r="22980" spans="1:15" x14ac:dyDescent="0.25">
      <c r="A22980" t="s">
        <v>16</v>
      </c>
      <c r="B22980" t="s">
        <v>3221</v>
      </c>
      <c r="C22980">
        <v>1826</v>
      </c>
      <c r="D22980" t="s">
        <v>291</v>
      </c>
      <c r="E22980" t="s">
        <v>292</v>
      </c>
      <c r="F22980">
        <v>28.4</v>
      </c>
      <c r="G22980">
        <v>230210</v>
      </c>
      <c r="H22980">
        <v>4600</v>
      </c>
      <c r="I22980" t="s">
        <v>105</v>
      </c>
      <c r="J22980">
        <v>35.22</v>
      </c>
      <c r="K22980">
        <v>6.82</v>
      </c>
      <c r="L22980">
        <v>17972</v>
      </c>
      <c r="M22980" t="s">
        <v>248</v>
      </c>
      <c r="N22980" t="str">
        <f>"11306292    "</f>
        <v xml:space="preserve">11306292    </v>
      </c>
      <c r="O22980">
        <v>230214</v>
      </c>
    </row>
    <row r="22981" spans="1:15" x14ac:dyDescent="0.25">
      <c r="A22981" t="s">
        <v>16</v>
      </c>
      <c r="B22981" t="s">
        <v>3221</v>
      </c>
      <c r="C22981">
        <v>4241</v>
      </c>
      <c r="D22981" t="s">
        <v>291</v>
      </c>
      <c r="E22981" t="s">
        <v>292</v>
      </c>
      <c r="F22981">
        <v>30.9</v>
      </c>
      <c r="G22981">
        <v>230329</v>
      </c>
      <c r="H22981">
        <v>4600</v>
      </c>
      <c r="I22981" t="s">
        <v>105</v>
      </c>
      <c r="J22981">
        <v>38.32</v>
      </c>
      <c r="K22981">
        <v>7.42</v>
      </c>
      <c r="L22981">
        <v>14972</v>
      </c>
      <c r="M22981" t="s">
        <v>898</v>
      </c>
      <c r="N22981" t="str">
        <f>"11350277    "</f>
        <v xml:space="preserve">11350277    </v>
      </c>
      <c r="O22981">
        <v>230403</v>
      </c>
    </row>
    <row r="22982" spans="1:15" x14ac:dyDescent="0.25">
      <c r="A22982" t="s">
        <v>16</v>
      </c>
      <c r="B22982" t="s">
        <v>3221</v>
      </c>
      <c r="C22982">
        <v>5424</v>
      </c>
      <c r="D22982" t="s">
        <v>291</v>
      </c>
      <c r="E22982" t="s">
        <v>292</v>
      </c>
      <c r="F22982">
        <v>26.32</v>
      </c>
      <c r="G22982">
        <v>230421</v>
      </c>
      <c r="H22982">
        <v>4600</v>
      </c>
      <c r="I22982" t="s">
        <v>105</v>
      </c>
      <c r="J22982">
        <v>32.64</v>
      </c>
      <c r="K22982">
        <v>6.32</v>
      </c>
      <c r="L22982">
        <v>17975</v>
      </c>
      <c r="M22982" t="s">
        <v>798</v>
      </c>
      <c r="N22982" t="str">
        <f>"11381160    "</f>
        <v xml:space="preserve">11381160    </v>
      </c>
      <c r="O22982">
        <v>230424</v>
      </c>
    </row>
    <row r="22983" spans="1:15" x14ac:dyDescent="0.25">
      <c r="A22983" t="s">
        <v>16</v>
      </c>
      <c r="B22983" t="s">
        <v>3221</v>
      </c>
      <c r="C22983">
        <v>8346</v>
      </c>
      <c r="D22983" t="s">
        <v>291</v>
      </c>
      <c r="E22983" t="s">
        <v>292</v>
      </c>
      <c r="F22983">
        <v>41.9</v>
      </c>
      <c r="G22983">
        <v>230529</v>
      </c>
      <c r="H22983">
        <v>4600</v>
      </c>
      <c r="I22983" t="s">
        <v>105</v>
      </c>
      <c r="J22983">
        <v>51.96</v>
      </c>
      <c r="K22983">
        <v>10.06</v>
      </c>
      <c r="L22983">
        <v>13402</v>
      </c>
      <c r="M22983" t="s">
        <v>242</v>
      </c>
      <c r="N22983" t="str">
        <f>"11417790    "</f>
        <v xml:space="preserve">11417790    </v>
      </c>
      <c r="O22983">
        <v>230608</v>
      </c>
    </row>
    <row r="22984" spans="1:15" x14ac:dyDescent="0.25">
      <c r="A22984" t="s">
        <v>16</v>
      </c>
      <c r="B22984" t="s">
        <v>3221</v>
      </c>
      <c r="C22984">
        <v>8346</v>
      </c>
      <c r="D22984" t="s">
        <v>291</v>
      </c>
      <c r="E22984" t="s">
        <v>292</v>
      </c>
      <c r="F22984">
        <v>19.66</v>
      </c>
      <c r="G22984">
        <v>230529</v>
      </c>
      <c r="H22984">
        <v>4600</v>
      </c>
      <c r="I22984" t="s">
        <v>105</v>
      </c>
      <c r="J22984">
        <v>24.38</v>
      </c>
      <c r="K22984">
        <v>4.72</v>
      </c>
      <c r="L22984">
        <v>17711</v>
      </c>
      <c r="M22984" t="s">
        <v>65</v>
      </c>
      <c r="N22984" t="str">
        <f>"11417790    "</f>
        <v xml:space="preserve">11417790    </v>
      </c>
      <c r="O22984">
        <v>230608</v>
      </c>
    </row>
    <row r="22985" spans="1:15" x14ac:dyDescent="0.25">
      <c r="A22985" t="s">
        <v>16</v>
      </c>
      <c r="B22985" t="s">
        <v>3221</v>
      </c>
      <c r="C22985">
        <v>3122</v>
      </c>
      <c r="D22985" t="s">
        <v>291</v>
      </c>
      <c r="E22985" t="s">
        <v>292</v>
      </c>
      <c r="F22985">
        <v>11.04</v>
      </c>
      <c r="G22985">
        <v>230307</v>
      </c>
      <c r="H22985">
        <v>4364</v>
      </c>
      <c r="I22985" t="s">
        <v>296</v>
      </c>
      <c r="J22985">
        <v>11.04</v>
      </c>
      <c r="K22985">
        <v>0</v>
      </c>
      <c r="L22985">
        <v>11751</v>
      </c>
      <c r="M22985" t="s">
        <v>1339</v>
      </c>
      <c r="N22985" t="str">
        <f>"11336723    "</f>
        <v xml:space="preserve">11336723    </v>
      </c>
      <c r="O22985">
        <v>230309</v>
      </c>
    </row>
    <row r="22986" spans="1:15" x14ac:dyDescent="0.25">
      <c r="A22986" t="s">
        <v>16</v>
      </c>
      <c r="B22986" t="s">
        <v>3221</v>
      </c>
      <c r="C22986">
        <v>3772</v>
      </c>
      <c r="D22986" t="s">
        <v>291</v>
      </c>
      <c r="E22986" t="s">
        <v>292</v>
      </c>
      <c r="F22986">
        <v>8.9</v>
      </c>
      <c r="G22986">
        <v>230317</v>
      </c>
      <c r="H22986">
        <v>4364</v>
      </c>
      <c r="I22986" t="s">
        <v>296</v>
      </c>
      <c r="J22986">
        <v>11.04</v>
      </c>
      <c r="K22986">
        <v>2.14</v>
      </c>
      <c r="L22986">
        <v>11751</v>
      </c>
      <c r="M22986" t="s">
        <v>1339</v>
      </c>
      <c r="N22986" t="str">
        <f>"11346212    "</f>
        <v xml:space="preserve">11346212    </v>
      </c>
      <c r="O22986">
        <v>230322</v>
      </c>
    </row>
    <row r="22987" spans="1:15" x14ac:dyDescent="0.25">
      <c r="A22987" t="s">
        <v>16</v>
      </c>
      <c r="B22987" t="s">
        <v>3221</v>
      </c>
      <c r="C22987">
        <v>4405</v>
      </c>
      <c r="D22987" t="s">
        <v>291</v>
      </c>
      <c r="E22987" t="s">
        <v>292</v>
      </c>
      <c r="F22987">
        <v>8.9</v>
      </c>
      <c r="G22987">
        <v>230331</v>
      </c>
      <c r="H22987">
        <v>4364</v>
      </c>
      <c r="I22987" t="s">
        <v>296</v>
      </c>
      <c r="J22987">
        <v>11.04</v>
      </c>
      <c r="K22987">
        <v>2.14</v>
      </c>
      <c r="L22987">
        <v>17527</v>
      </c>
      <c r="M22987" t="s">
        <v>422</v>
      </c>
      <c r="N22987" t="str">
        <f>"11351370    "</f>
        <v xml:space="preserve">11351370    </v>
      </c>
      <c r="O22987">
        <v>230405</v>
      </c>
    </row>
    <row r="22988" spans="1:15" x14ac:dyDescent="0.25">
      <c r="A22988" t="s">
        <v>16</v>
      </c>
      <c r="B22988" t="s">
        <v>3221</v>
      </c>
      <c r="C22988">
        <v>4405</v>
      </c>
      <c r="D22988" t="s">
        <v>291</v>
      </c>
      <c r="E22988" t="s">
        <v>292</v>
      </c>
      <c r="F22988">
        <v>8.9</v>
      </c>
      <c r="G22988">
        <v>230331</v>
      </c>
      <c r="H22988">
        <v>4364</v>
      </c>
      <c r="I22988" t="s">
        <v>296</v>
      </c>
      <c r="J22988">
        <v>11.04</v>
      </c>
      <c r="K22988">
        <v>2.14</v>
      </c>
      <c r="L22988">
        <v>17535</v>
      </c>
      <c r="M22988" t="s">
        <v>357</v>
      </c>
      <c r="N22988" t="str">
        <f>"11351370    "</f>
        <v xml:space="preserve">11351370    </v>
      </c>
      <c r="O22988">
        <v>230405</v>
      </c>
    </row>
    <row r="22989" spans="1:15" x14ac:dyDescent="0.25">
      <c r="A22989" t="s">
        <v>16</v>
      </c>
      <c r="B22989" t="s">
        <v>3221</v>
      </c>
      <c r="C22989">
        <v>6073</v>
      </c>
      <c r="D22989" t="s">
        <v>291</v>
      </c>
      <c r="E22989" t="s">
        <v>292</v>
      </c>
      <c r="F22989">
        <v>8.9</v>
      </c>
      <c r="G22989">
        <v>230418</v>
      </c>
      <c r="H22989">
        <v>4364</v>
      </c>
      <c r="I22989" t="s">
        <v>296</v>
      </c>
      <c r="J22989">
        <v>11.03</v>
      </c>
      <c r="K22989">
        <v>2.13</v>
      </c>
      <c r="L22989">
        <v>17974</v>
      </c>
      <c r="M22989" t="s">
        <v>460</v>
      </c>
      <c r="N22989" t="str">
        <f>"11378972    "</f>
        <v xml:space="preserve">11378972    </v>
      </c>
      <c r="O22989">
        <v>230508</v>
      </c>
    </row>
    <row r="22990" spans="1:15" x14ac:dyDescent="0.25">
      <c r="A22990" t="s">
        <v>16</v>
      </c>
      <c r="B22990" t="s">
        <v>3221</v>
      </c>
      <c r="C22990">
        <v>10561</v>
      </c>
      <c r="D22990" t="s">
        <v>291</v>
      </c>
      <c r="E22990" t="s">
        <v>292</v>
      </c>
      <c r="F22990">
        <v>7.18</v>
      </c>
      <c r="G22990">
        <v>230807</v>
      </c>
      <c r="H22990">
        <v>4364</v>
      </c>
      <c r="I22990" t="s">
        <v>296</v>
      </c>
      <c r="J22990">
        <v>8.9</v>
      </c>
      <c r="K22990">
        <v>1.72</v>
      </c>
      <c r="L22990">
        <v>17530</v>
      </c>
      <c r="M22990" t="s">
        <v>454</v>
      </c>
      <c r="N22990" t="str">
        <f>"11499245    "</f>
        <v xml:space="preserve">11499245    </v>
      </c>
      <c r="O22990">
        <v>230818</v>
      </c>
    </row>
    <row r="22991" spans="1:15" x14ac:dyDescent="0.25">
      <c r="A22991" t="s">
        <v>16</v>
      </c>
      <c r="B22991" t="s">
        <v>3221</v>
      </c>
      <c r="C22991">
        <v>14252</v>
      </c>
      <c r="D22991" t="s">
        <v>291</v>
      </c>
      <c r="E22991" t="s">
        <v>292</v>
      </c>
      <c r="F22991">
        <v>8.9</v>
      </c>
      <c r="G22991">
        <v>231009</v>
      </c>
      <c r="H22991">
        <v>4364</v>
      </c>
      <c r="I22991" t="s">
        <v>296</v>
      </c>
      <c r="J22991">
        <v>11.04</v>
      </c>
      <c r="K22991">
        <v>2.14</v>
      </c>
      <c r="L22991">
        <v>18972</v>
      </c>
      <c r="M22991" t="s">
        <v>163</v>
      </c>
      <c r="N22991" t="str">
        <f>"11546986    "</f>
        <v xml:space="preserve">11546986    </v>
      </c>
      <c r="O22991">
        <v>231025</v>
      </c>
    </row>
    <row r="22992" spans="1:15" x14ac:dyDescent="0.25">
      <c r="A22992" t="s">
        <v>16</v>
      </c>
      <c r="B22992" t="s">
        <v>3221</v>
      </c>
      <c r="C22992">
        <v>1743</v>
      </c>
      <c r="D22992" t="s">
        <v>291</v>
      </c>
      <c r="E22992" t="s">
        <v>292</v>
      </c>
      <c r="F22992">
        <v>88.91</v>
      </c>
      <c r="G22992">
        <v>230206</v>
      </c>
      <c r="H22992">
        <v>4500</v>
      </c>
      <c r="I22992" t="s">
        <v>212</v>
      </c>
      <c r="J22992">
        <v>110.25</v>
      </c>
      <c r="K22992">
        <v>21.34</v>
      </c>
      <c r="L22992">
        <v>18991</v>
      </c>
      <c r="M22992" t="s">
        <v>1106</v>
      </c>
      <c r="N22992" t="str">
        <f>"11301333    "</f>
        <v xml:space="preserve">11301333    </v>
      </c>
      <c r="O22992">
        <v>230213</v>
      </c>
    </row>
    <row r="22993" spans="1:15" x14ac:dyDescent="0.25">
      <c r="A22993" t="s">
        <v>16</v>
      </c>
      <c r="B22993" t="s">
        <v>3221</v>
      </c>
      <c r="C22993">
        <v>2515</v>
      </c>
      <c r="D22993" t="s">
        <v>291</v>
      </c>
      <c r="E22993" t="s">
        <v>292</v>
      </c>
      <c r="F22993">
        <v>32.68</v>
      </c>
      <c r="G22993">
        <v>230224</v>
      </c>
      <c r="H22993">
        <v>4500</v>
      </c>
      <c r="I22993" t="s">
        <v>212</v>
      </c>
      <c r="J22993">
        <v>40.520000000000003</v>
      </c>
      <c r="K22993">
        <v>7.84</v>
      </c>
      <c r="L22993">
        <v>11401</v>
      </c>
      <c r="M22993" t="s">
        <v>84</v>
      </c>
      <c r="N22993" t="str">
        <f>"11316649    "</f>
        <v xml:space="preserve">11316649    </v>
      </c>
      <c r="O22993">
        <v>230301</v>
      </c>
    </row>
    <row r="22994" spans="1:15" x14ac:dyDescent="0.25">
      <c r="A22994" t="s">
        <v>16</v>
      </c>
      <c r="B22994" t="s">
        <v>3221</v>
      </c>
      <c r="C22994">
        <v>2515</v>
      </c>
      <c r="D22994" t="s">
        <v>291</v>
      </c>
      <c r="E22994" t="s">
        <v>292</v>
      </c>
      <c r="F22994">
        <v>33.549999999999997</v>
      </c>
      <c r="G22994">
        <v>230224</v>
      </c>
      <c r="H22994">
        <v>4500</v>
      </c>
      <c r="I22994" t="s">
        <v>212</v>
      </c>
      <c r="J22994">
        <v>41.6</v>
      </c>
      <c r="K22994">
        <v>8.0500000000000007</v>
      </c>
      <c r="L22994">
        <v>46555</v>
      </c>
      <c r="M22994" t="s">
        <v>597</v>
      </c>
      <c r="N22994" t="str">
        <f>"11316649    "</f>
        <v xml:space="preserve">11316649    </v>
      </c>
      <c r="O22994">
        <v>230301</v>
      </c>
    </row>
    <row r="22995" spans="1:15" x14ac:dyDescent="0.25">
      <c r="A22995" t="s">
        <v>16</v>
      </c>
      <c r="B22995" t="s">
        <v>3221</v>
      </c>
      <c r="C22995">
        <v>2613</v>
      </c>
      <c r="D22995" t="s">
        <v>291</v>
      </c>
      <c r="E22995" t="s">
        <v>292</v>
      </c>
      <c r="F22995">
        <v>81.88</v>
      </c>
      <c r="G22995">
        <v>230221</v>
      </c>
      <c r="H22995">
        <v>4500</v>
      </c>
      <c r="I22995" t="s">
        <v>212</v>
      </c>
      <c r="J22995">
        <v>101.53</v>
      </c>
      <c r="K22995">
        <v>19.649999999999999</v>
      </c>
      <c r="L22995">
        <v>11801</v>
      </c>
      <c r="M22995" t="s">
        <v>92</v>
      </c>
      <c r="N22995" t="str">
        <f>"11315300    "</f>
        <v xml:space="preserve">11315300    </v>
      </c>
      <c r="O22995">
        <v>230302</v>
      </c>
    </row>
    <row r="22996" spans="1:15" x14ac:dyDescent="0.25">
      <c r="A22996" t="s">
        <v>16</v>
      </c>
      <c r="B22996" t="s">
        <v>3221</v>
      </c>
      <c r="C22996">
        <v>4405</v>
      </c>
      <c r="D22996" t="s">
        <v>291</v>
      </c>
      <c r="E22996" t="s">
        <v>292</v>
      </c>
      <c r="F22996">
        <v>26.62</v>
      </c>
      <c r="G22996">
        <v>230331</v>
      </c>
      <c r="H22996">
        <v>4500</v>
      </c>
      <c r="I22996" t="s">
        <v>212</v>
      </c>
      <c r="J22996">
        <v>33.01</v>
      </c>
      <c r="K22996">
        <v>6.39</v>
      </c>
      <c r="L22996">
        <v>17527</v>
      </c>
      <c r="M22996" t="s">
        <v>422</v>
      </c>
      <c r="N22996" t="str">
        <f>"11351370    "</f>
        <v xml:space="preserve">11351370    </v>
      </c>
      <c r="O22996">
        <v>230405</v>
      </c>
    </row>
    <row r="22997" spans="1:15" x14ac:dyDescent="0.25">
      <c r="A22997" t="s">
        <v>16</v>
      </c>
      <c r="B22997" t="s">
        <v>3221</v>
      </c>
      <c r="C22997">
        <v>4405</v>
      </c>
      <c r="D22997" t="s">
        <v>291</v>
      </c>
      <c r="E22997" t="s">
        <v>292</v>
      </c>
      <c r="F22997">
        <v>13.12</v>
      </c>
      <c r="G22997">
        <v>230331</v>
      </c>
      <c r="H22997">
        <v>4500</v>
      </c>
      <c r="I22997" t="s">
        <v>212</v>
      </c>
      <c r="J22997">
        <v>16.27</v>
      </c>
      <c r="K22997">
        <v>3.15</v>
      </c>
      <c r="L22997">
        <v>17535</v>
      </c>
      <c r="M22997" t="s">
        <v>357</v>
      </c>
      <c r="N22997" t="str">
        <f>"11351370    "</f>
        <v xml:space="preserve">11351370    </v>
      </c>
      <c r="O22997">
        <v>230405</v>
      </c>
    </row>
    <row r="22998" spans="1:15" x14ac:dyDescent="0.25">
      <c r="A22998" t="s">
        <v>16</v>
      </c>
      <c r="B22998" t="s">
        <v>3221</v>
      </c>
      <c r="C22998">
        <v>9628</v>
      </c>
      <c r="D22998" t="s">
        <v>291</v>
      </c>
      <c r="E22998" t="s">
        <v>292</v>
      </c>
      <c r="F22998">
        <v>21.95</v>
      </c>
      <c r="G22998">
        <v>230710</v>
      </c>
      <c r="H22998">
        <v>4500</v>
      </c>
      <c r="I22998" t="s">
        <v>212</v>
      </c>
      <c r="J22998">
        <v>27.22</v>
      </c>
      <c r="K22998">
        <v>5.27</v>
      </c>
      <c r="L22998">
        <v>69702</v>
      </c>
      <c r="M22998" t="s">
        <v>489</v>
      </c>
      <c r="N22998" t="str">
        <f>"11461419    "</f>
        <v xml:space="preserve">11461419    </v>
      </c>
      <c r="O22998">
        <v>230717</v>
      </c>
    </row>
    <row r="22999" spans="1:15" x14ac:dyDescent="0.25">
      <c r="A22999" t="s">
        <v>16</v>
      </c>
      <c r="B22999" t="s">
        <v>3221</v>
      </c>
      <c r="C22999">
        <v>10337</v>
      </c>
      <c r="D22999" t="s">
        <v>291</v>
      </c>
      <c r="E22999" t="s">
        <v>292</v>
      </c>
      <c r="F22999">
        <v>92.11</v>
      </c>
      <c r="G22999">
        <v>230804</v>
      </c>
      <c r="H22999">
        <v>4500</v>
      </c>
      <c r="I22999" t="s">
        <v>212</v>
      </c>
      <c r="J22999">
        <v>114.22</v>
      </c>
      <c r="K22999">
        <v>22.11</v>
      </c>
      <c r="L22999">
        <v>11801</v>
      </c>
      <c r="M22999" t="s">
        <v>92</v>
      </c>
      <c r="N22999" t="str">
        <f>"11489775    "</f>
        <v xml:space="preserve">11489775    </v>
      </c>
      <c r="O22999">
        <v>230814</v>
      </c>
    </row>
    <row r="23000" spans="1:15" x14ac:dyDescent="0.25">
      <c r="A23000" t="s">
        <v>16</v>
      </c>
      <c r="B23000" t="s">
        <v>3221</v>
      </c>
      <c r="C23000">
        <v>10337</v>
      </c>
      <c r="D23000" t="s">
        <v>291</v>
      </c>
      <c r="E23000" t="s">
        <v>292</v>
      </c>
      <c r="F23000">
        <v>372.8</v>
      </c>
      <c r="G23000">
        <v>230804</v>
      </c>
      <c r="H23000">
        <v>4500</v>
      </c>
      <c r="I23000" t="s">
        <v>212</v>
      </c>
      <c r="J23000">
        <v>462.27</v>
      </c>
      <c r="K23000">
        <v>89.47</v>
      </c>
      <c r="L23000">
        <v>49702</v>
      </c>
      <c r="M23000" t="s">
        <v>584</v>
      </c>
      <c r="N23000" t="str">
        <f>"11489775    "</f>
        <v xml:space="preserve">11489775    </v>
      </c>
      <c r="O23000">
        <v>230814</v>
      </c>
    </row>
    <row r="23001" spans="1:15" x14ac:dyDescent="0.25">
      <c r="A23001" t="s">
        <v>16</v>
      </c>
      <c r="B23001" t="s">
        <v>3221</v>
      </c>
      <c r="C23001">
        <v>10397</v>
      </c>
      <c r="D23001" t="s">
        <v>291</v>
      </c>
      <c r="E23001" t="s">
        <v>292</v>
      </c>
      <c r="F23001">
        <v>26.4</v>
      </c>
      <c r="G23001">
        <v>230802</v>
      </c>
      <c r="H23001">
        <v>4500</v>
      </c>
      <c r="I23001" t="s">
        <v>212</v>
      </c>
      <c r="J23001">
        <v>32.74</v>
      </c>
      <c r="K23001">
        <v>6.34</v>
      </c>
      <c r="L23001">
        <v>49702</v>
      </c>
      <c r="M23001" t="s">
        <v>584</v>
      </c>
      <c r="N23001" t="str">
        <f>"11486819    "</f>
        <v xml:space="preserve">11486819    </v>
      </c>
      <c r="O23001">
        <v>230815</v>
      </c>
    </row>
    <row r="23002" spans="1:15" x14ac:dyDescent="0.25">
      <c r="A23002" t="s">
        <v>16</v>
      </c>
      <c r="B23002" t="s">
        <v>3221</v>
      </c>
      <c r="C23002">
        <v>12489</v>
      </c>
      <c r="D23002" t="s">
        <v>291</v>
      </c>
      <c r="E23002" t="s">
        <v>292</v>
      </c>
      <c r="F23002">
        <v>208.53</v>
      </c>
      <c r="G23002">
        <v>230918</v>
      </c>
      <c r="H23002">
        <v>4500</v>
      </c>
      <c r="I23002" t="s">
        <v>212</v>
      </c>
      <c r="J23002">
        <v>258.58</v>
      </c>
      <c r="K23002">
        <v>50.05</v>
      </c>
      <c r="L23002">
        <v>17536</v>
      </c>
      <c r="M23002" t="s">
        <v>734</v>
      </c>
      <c r="N23002" t="str">
        <f>"11541838    "</f>
        <v xml:space="preserve">11541838    </v>
      </c>
      <c r="O23002">
        <v>230920</v>
      </c>
    </row>
    <row r="23003" spans="1:15" x14ac:dyDescent="0.25">
      <c r="A23003" t="s">
        <v>16</v>
      </c>
      <c r="B23003" t="s">
        <v>3221</v>
      </c>
      <c r="C23003">
        <v>13136</v>
      </c>
      <c r="D23003" t="s">
        <v>291</v>
      </c>
      <c r="E23003" t="s">
        <v>292</v>
      </c>
      <c r="F23003">
        <v>33.4</v>
      </c>
      <c r="G23003">
        <v>230921</v>
      </c>
      <c r="H23003">
        <v>4500</v>
      </c>
      <c r="I23003" t="s">
        <v>212</v>
      </c>
      <c r="J23003">
        <v>41.42</v>
      </c>
      <c r="K23003">
        <v>8.02</v>
      </c>
      <c r="L23003">
        <v>17536</v>
      </c>
      <c r="M23003" t="s">
        <v>734</v>
      </c>
      <c r="N23003" t="str">
        <f>"11543354    "</f>
        <v xml:space="preserve">11543354    </v>
      </c>
      <c r="O23003">
        <v>231004</v>
      </c>
    </row>
    <row r="23004" spans="1:15" x14ac:dyDescent="0.25">
      <c r="A23004" t="s">
        <v>16</v>
      </c>
      <c r="B23004" t="s">
        <v>3221</v>
      </c>
      <c r="C23004">
        <v>13152</v>
      </c>
      <c r="D23004" t="s">
        <v>291</v>
      </c>
      <c r="E23004" t="s">
        <v>292</v>
      </c>
      <c r="F23004">
        <v>27.4</v>
      </c>
      <c r="G23004">
        <v>230927</v>
      </c>
      <c r="H23004">
        <v>4500</v>
      </c>
      <c r="I23004" t="s">
        <v>212</v>
      </c>
      <c r="J23004">
        <v>33.979999999999997</v>
      </c>
      <c r="K23004">
        <v>6.58</v>
      </c>
      <c r="L23004">
        <v>17536</v>
      </c>
      <c r="M23004" t="s">
        <v>734</v>
      </c>
      <c r="N23004" t="str">
        <f>"11545498    "</f>
        <v xml:space="preserve">11545498    </v>
      </c>
      <c r="O23004">
        <v>231004</v>
      </c>
    </row>
    <row r="23005" spans="1:15" x14ac:dyDescent="0.25">
      <c r="A23005" t="s">
        <v>16</v>
      </c>
      <c r="B23005" t="s">
        <v>3221</v>
      </c>
      <c r="C23005">
        <v>19186</v>
      </c>
      <c r="D23005" t="s">
        <v>120</v>
      </c>
      <c r="E23005" t="s">
        <v>121</v>
      </c>
      <c r="F23005">
        <v>3800</v>
      </c>
      <c r="G23005">
        <v>231231</v>
      </c>
      <c r="H23005">
        <v>1196</v>
      </c>
      <c r="I23005" t="s">
        <v>392</v>
      </c>
      <c r="J23005">
        <v>4712</v>
      </c>
      <c r="K23005">
        <v>912</v>
      </c>
      <c r="L23005">
        <v>95501</v>
      </c>
      <c r="M23005" t="s">
        <v>623</v>
      </c>
      <c r="N23005" t="str">
        <f>"1001034407  "</f>
        <v xml:space="preserve">1001034407  </v>
      </c>
      <c r="O23005">
        <v>240129</v>
      </c>
    </row>
    <row r="23006" spans="1:15" x14ac:dyDescent="0.25">
      <c r="A23006" t="s">
        <v>16</v>
      </c>
      <c r="B23006" t="s">
        <v>3221</v>
      </c>
      <c r="C23006">
        <v>978</v>
      </c>
      <c r="D23006" t="s">
        <v>120</v>
      </c>
      <c r="E23006" t="s">
        <v>121</v>
      </c>
      <c r="F23006">
        <v>1787.39</v>
      </c>
      <c r="G23006">
        <v>230201</v>
      </c>
      <c r="H23006">
        <v>4400</v>
      </c>
      <c r="I23006" t="s">
        <v>348</v>
      </c>
      <c r="J23006">
        <v>1787.39</v>
      </c>
      <c r="K23006">
        <v>0</v>
      </c>
      <c r="L23006">
        <v>59504</v>
      </c>
      <c r="M23006" t="s">
        <v>71</v>
      </c>
      <c r="N23006" t="str">
        <f>"1001031248  "</f>
        <v xml:space="preserve">1001031248  </v>
      </c>
      <c r="O23006">
        <v>230202</v>
      </c>
    </row>
    <row r="23007" spans="1:15" x14ac:dyDescent="0.25">
      <c r="A23007" t="s">
        <v>16</v>
      </c>
      <c r="B23007" t="s">
        <v>3221</v>
      </c>
      <c r="C23007">
        <v>1165</v>
      </c>
      <c r="D23007" t="s">
        <v>120</v>
      </c>
      <c r="E23007" t="s">
        <v>121</v>
      </c>
      <c r="F23007">
        <v>-1787.39</v>
      </c>
      <c r="G23007">
        <v>230201</v>
      </c>
      <c r="H23007">
        <v>4400</v>
      </c>
      <c r="I23007" t="s">
        <v>348</v>
      </c>
      <c r="J23007">
        <v>-1787.39</v>
      </c>
      <c r="K23007">
        <v>0</v>
      </c>
      <c r="L23007">
        <v>59504</v>
      </c>
      <c r="M23007" t="s">
        <v>71</v>
      </c>
      <c r="N23007" t="str">
        <f>"1051001384  "</f>
        <v xml:space="preserve">1051001384  </v>
      </c>
      <c r="O23007">
        <v>230206</v>
      </c>
    </row>
    <row r="23008" spans="1:15" x14ac:dyDescent="0.25">
      <c r="A23008" t="s">
        <v>16</v>
      </c>
      <c r="B23008" t="s">
        <v>3221</v>
      </c>
      <c r="C23008">
        <v>1257</v>
      </c>
      <c r="D23008" t="s">
        <v>120</v>
      </c>
      <c r="E23008" t="s">
        <v>121</v>
      </c>
      <c r="F23008">
        <v>1787.39</v>
      </c>
      <c r="G23008">
        <v>230124</v>
      </c>
      <c r="H23008">
        <v>4400</v>
      </c>
      <c r="I23008" t="s">
        <v>348</v>
      </c>
      <c r="J23008">
        <v>1787.39</v>
      </c>
      <c r="K23008">
        <v>0</v>
      </c>
      <c r="L23008">
        <v>59504</v>
      </c>
      <c r="M23008" t="s">
        <v>71</v>
      </c>
      <c r="N23008" t="str">
        <f>"1001031171  "</f>
        <v xml:space="preserve">1001031171  </v>
      </c>
      <c r="O23008">
        <v>230207</v>
      </c>
    </row>
    <row r="23009" spans="1:15" x14ac:dyDescent="0.25">
      <c r="A23009" t="s">
        <v>16</v>
      </c>
      <c r="B23009" t="s">
        <v>3221</v>
      </c>
      <c r="C23009">
        <v>4302</v>
      </c>
      <c r="D23009" t="s">
        <v>120</v>
      </c>
      <c r="E23009" t="s">
        <v>121</v>
      </c>
      <c r="F23009">
        <v>204.01</v>
      </c>
      <c r="G23009">
        <v>230330</v>
      </c>
      <c r="H23009">
        <v>4400</v>
      </c>
      <c r="I23009" t="s">
        <v>348</v>
      </c>
      <c r="J23009">
        <v>204.01</v>
      </c>
      <c r="K23009">
        <v>0</v>
      </c>
      <c r="L23009">
        <v>59112</v>
      </c>
      <c r="M23009" t="s">
        <v>182</v>
      </c>
      <c r="N23009" t="str">
        <f>"1001031741  "</f>
        <v xml:space="preserve">1001031741  </v>
      </c>
      <c r="O23009">
        <v>230404</v>
      </c>
    </row>
    <row r="23010" spans="1:15" x14ac:dyDescent="0.25">
      <c r="A23010" t="s">
        <v>16</v>
      </c>
      <c r="B23010" t="s">
        <v>3221</v>
      </c>
      <c r="C23010">
        <v>8118</v>
      </c>
      <c r="D23010" t="s">
        <v>120</v>
      </c>
      <c r="E23010" t="s">
        <v>121</v>
      </c>
      <c r="F23010">
        <v>109.6</v>
      </c>
      <c r="G23010">
        <v>230606</v>
      </c>
      <c r="H23010">
        <v>4400</v>
      </c>
      <c r="I23010" t="s">
        <v>348</v>
      </c>
      <c r="J23010">
        <v>109.6</v>
      </c>
      <c r="K23010">
        <v>0</v>
      </c>
      <c r="L23010">
        <v>59504</v>
      </c>
      <c r="M23010" t="s">
        <v>71</v>
      </c>
      <c r="N23010" t="str">
        <f>"1001032297  "</f>
        <v xml:space="preserve">1001032297  </v>
      </c>
      <c r="O23010">
        <v>230607</v>
      </c>
    </row>
    <row r="23011" spans="1:15" x14ac:dyDescent="0.25">
      <c r="A23011" t="s">
        <v>16</v>
      </c>
      <c r="B23011" t="s">
        <v>3221</v>
      </c>
      <c r="C23011">
        <v>14991</v>
      </c>
      <c r="D23011" t="s">
        <v>120</v>
      </c>
      <c r="E23011" t="s">
        <v>121</v>
      </c>
      <c r="F23011">
        <v>136.65</v>
      </c>
      <c r="G23011">
        <v>231024</v>
      </c>
      <c r="H23011">
        <v>4600</v>
      </c>
      <c r="I23011" t="s">
        <v>105</v>
      </c>
      <c r="J23011">
        <v>169.45</v>
      </c>
      <c r="K23011">
        <v>32.799999999999997</v>
      </c>
      <c r="L23011">
        <v>59501</v>
      </c>
      <c r="M23011" t="s">
        <v>69</v>
      </c>
      <c r="N23011" t="str">
        <f>"1001033580  "</f>
        <v xml:space="preserve">1001033580  </v>
      </c>
      <c r="O23011">
        <v>231108</v>
      </c>
    </row>
    <row r="23012" spans="1:15" x14ac:dyDescent="0.25">
      <c r="A23012" t="s">
        <v>16</v>
      </c>
      <c r="B23012" t="s">
        <v>3221</v>
      </c>
      <c r="C23012">
        <v>819</v>
      </c>
      <c r="D23012" t="s">
        <v>120</v>
      </c>
      <c r="E23012" t="s">
        <v>121</v>
      </c>
      <c r="F23012">
        <v>77.3</v>
      </c>
      <c r="G23012">
        <v>230127</v>
      </c>
      <c r="H23012">
        <v>4390</v>
      </c>
      <c r="I23012" t="s">
        <v>98</v>
      </c>
      <c r="J23012">
        <v>77.3</v>
      </c>
      <c r="K23012">
        <v>0</v>
      </c>
      <c r="L23012">
        <v>59501</v>
      </c>
      <c r="M23012" t="s">
        <v>69</v>
      </c>
      <c r="N23012" t="str">
        <f>"1001031196  "</f>
        <v xml:space="preserve">1001031196  </v>
      </c>
      <c r="O23012">
        <v>230131</v>
      </c>
    </row>
    <row r="23013" spans="1:15" x14ac:dyDescent="0.25">
      <c r="A23013" t="s">
        <v>16</v>
      </c>
      <c r="B23013" t="s">
        <v>3221</v>
      </c>
      <c r="C23013">
        <v>1280</v>
      </c>
      <c r="D23013" t="s">
        <v>120</v>
      </c>
      <c r="E23013" t="s">
        <v>121</v>
      </c>
      <c r="F23013">
        <v>717.09</v>
      </c>
      <c r="G23013">
        <v>230206</v>
      </c>
      <c r="H23013">
        <v>4390</v>
      </c>
      <c r="I23013" t="s">
        <v>98</v>
      </c>
      <c r="J23013">
        <v>717.09</v>
      </c>
      <c r="K23013">
        <v>0</v>
      </c>
      <c r="L23013">
        <v>59504</v>
      </c>
      <c r="M23013" t="s">
        <v>71</v>
      </c>
      <c r="N23013" t="str">
        <f>"1001031280  "</f>
        <v xml:space="preserve">1001031280  </v>
      </c>
      <c r="O23013">
        <v>230207</v>
      </c>
    </row>
    <row r="23014" spans="1:15" x14ac:dyDescent="0.25">
      <c r="A23014" t="s">
        <v>16</v>
      </c>
      <c r="B23014" t="s">
        <v>3221</v>
      </c>
      <c r="C23014">
        <v>2713</v>
      </c>
      <c r="D23014" t="s">
        <v>120</v>
      </c>
      <c r="E23014" t="s">
        <v>121</v>
      </c>
      <c r="F23014">
        <v>246.8</v>
      </c>
      <c r="G23014">
        <v>230224</v>
      </c>
      <c r="H23014">
        <v>4390</v>
      </c>
      <c r="I23014" t="s">
        <v>98</v>
      </c>
      <c r="J23014">
        <v>246.8</v>
      </c>
      <c r="K23014">
        <v>0</v>
      </c>
      <c r="L23014">
        <v>59502</v>
      </c>
      <c r="M23014" t="s">
        <v>70</v>
      </c>
      <c r="N23014" t="str">
        <f>"1001031473  "</f>
        <v xml:space="preserve">1001031473  </v>
      </c>
      <c r="O23014">
        <v>230307</v>
      </c>
    </row>
    <row r="23015" spans="1:15" x14ac:dyDescent="0.25">
      <c r="A23015" t="s">
        <v>16</v>
      </c>
      <c r="B23015" t="s">
        <v>3221</v>
      </c>
      <c r="C23015">
        <v>2716</v>
      </c>
      <c r="D23015" t="s">
        <v>120</v>
      </c>
      <c r="E23015" t="s">
        <v>121</v>
      </c>
      <c r="F23015">
        <v>121.62</v>
      </c>
      <c r="G23015">
        <v>230224</v>
      </c>
      <c r="H23015">
        <v>4390</v>
      </c>
      <c r="I23015" t="s">
        <v>98</v>
      </c>
      <c r="J23015">
        <v>121.62</v>
      </c>
      <c r="K23015">
        <v>0</v>
      </c>
      <c r="L23015">
        <v>59505</v>
      </c>
      <c r="M23015" t="s">
        <v>72</v>
      </c>
      <c r="N23015" t="str">
        <f>"1001031463  "</f>
        <v xml:space="preserve">1001031463  </v>
      </c>
      <c r="O23015">
        <v>230307</v>
      </c>
    </row>
    <row r="23016" spans="1:15" x14ac:dyDescent="0.25">
      <c r="A23016" t="s">
        <v>16</v>
      </c>
      <c r="B23016" t="s">
        <v>3221</v>
      </c>
      <c r="C23016">
        <v>4029</v>
      </c>
      <c r="D23016" t="s">
        <v>120</v>
      </c>
      <c r="E23016" t="s">
        <v>121</v>
      </c>
      <c r="F23016">
        <v>523.87</v>
      </c>
      <c r="G23016">
        <v>230324</v>
      </c>
      <c r="H23016">
        <v>4390</v>
      </c>
      <c r="I23016" t="s">
        <v>98</v>
      </c>
      <c r="J23016">
        <v>523.87</v>
      </c>
      <c r="K23016">
        <v>0</v>
      </c>
      <c r="L23016">
        <v>59504</v>
      </c>
      <c r="M23016" t="s">
        <v>71</v>
      </c>
      <c r="N23016" t="str">
        <f>"1001031652  "</f>
        <v xml:space="preserve">1001031652  </v>
      </c>
      <c r="O23016">
        <v>230329</v>
      </c>
    </row>
    <row r="23017" spans="1:15" x14ac:dyDescent="0.25">
      <c r="A23017" t="s">
        <v>16</v>
      </c>
      <c r="B23017" t="s">
        <v>3221</v>
      </c>
      <c r="C23017">
        <v>6802</v>
      </c>
      <c r="D23017" t="s">
        <v>120</v>
      </c>
      <c r="E23017" t="s">
        <v>121</v>
      </c>
      <c r="F23017">
        <v>54.66</v>
      </c>
      <c r="G23017">
        <v>230515</v>
      </c>
      <c r="H23017">
        <v>4390</v>
      </c>
      <c r="I23017" t="s">
        <v>98</v>
      </c>
      <c r="J23017">
        <v>54.66</v>
      </c>
      <c r="K23017">
        <v>0</v>
      </c>
      <c r="L23017">
        <v>59501</v>
      </c>
      <c r="M23017" t="s">
        <v>69</v>
      </c>
      <c r="N23017" t="str">
        <f>"1001032113  "</f>
        <v xml:space="preserve">1001032113  </v>
      </c>
      <c r="O23017">
        <v>230522</v>
      </c>
    </row>
    <row r="23018" spans="1:15" x14ac:dyDescent="0.25">
      <c r="A23018" t="s">
        <v>16</v>
      </c>
      <c r="B23018" t="s">
        <v>3221</v>
      </c>
      <c r="C23018">
        <v>9399</v>
      </c>
      <c r="D23018" t="s">
        <v>120</v>
      </c>
      <c r="E23018" t="s">
        <v>121</v>
      </c>
      <c r="F23018">
        <v>144.68</v>
      </c>
      <c r="G23018">
        <v>230703</v>
      </c>
      <c r="H23018">
        <v>4390</v>
      </c>
      <c r="I23018" t="s">
        <v>98</v>
      </c>
      <c r="J23018">
        <v>144.68</v>
      </c>
      <c r="K23018">
        <v>0</v>
      </c>
      <c r="L23018">
        <v>59501</v>
      </c>
      <c r="M23018" t="s">
        <v>69</v>
      </c>
      <c r="N23018" t="str">
        <f>"1001032548  "</f>
        <v xml:space="preserve">1001032548  </v>
      </c>
      <c r="O23018">
        <v>230710</v>
      </c>
    </row>
    <row r="23019" spans="1:15" x14ac:dyDescent="0.25">
      <c r="A23019" t="s">
        <v>16</v>
      </c>
      <c r="B23019" t="s">
        <v>3221</v>
      </c>
      <c r="C23019">
        <v>102</v>
      </c>
      <c r="D23019" t="s">
        <v>120</v>
      </c>
      <c r="E23019" t="s">
        <v>121</v>
      </c>
      <c r="F23019">
        <v>78.52</v>
      </c>
      <c r="G23019">
        <v>230103</v>
      </c>
      <c r="H23019">
        <v>4572</v>
      </c>
      <c r="I23019" t="s">
        <v>122</v>
      </c>
      <c r="J23019">
        <v>97.36</v>
      </c>
      <c r="K23019">
        <v>18.84</v>
      </c>
      <c r="L23019">
        <v>59501</v>
      </c>
      <c r="M23019" t="s">
        <v>69</v>
      </c>
      <c r="N23019" t="str">
        <f>"1001030982  "</f>
        <v xml:space="preserve">1001030982  </v>
      </c>
      <c r="O23019">
        <v>230110</v>
      </c>
    </row>
    <row r="23020" spans="1:15" x14ac:dyDescent="0.25">
      <c r="A23020" t="s">
        <v>16</v>
      </c>
      <c r="B23020" t="s">
        <v>3221</v>
      </c>
      <c r="C23020">
        <v>1455</v>
      </c>
      <c r="D23020" t="s">
        <v>120</v>
      </c>
      <c r="E23020" t="s">
        <v>121</v>
      </c>
      <c r="F23020">
        <v>288.56</v>
      </c>
      <c r="G23020">
        <v>230206</v>
      </c>
      <c r="H23020">
        <v>4572</v>
      </c>
      <c r="I23020" t="s">
        <v>122</v>
      </c>
      <c r="J23020">
        <v>357.81</v>
      </c>
      <c r="K23020">
        <v>69.25</v>
      </c>
      <c r="L23020">
        <v>59501</v>
      </c>
      <c r="M23020" t="s">
        <v>69</v>
      </c>
      <c r="N23020" t="str">
        <f>"1001031265  "</f>
        <v xml:space="preserve">1001031265  </v>
      </c>
      <c r="O23020">
        <v>230209</v>
      </c>
    </row>
    <row r="23021" spans="1:15" x14ac:dyDescent="0.25">
      <c r="A23021" t="s">
        <v>16</v>
      </c>
      <c r="B23021" t="s">
        <v>3221</v>
      </c>
      <c r="C23021">
        <v>2157</v>
      </c>
      <c r="D23021" t="s">
        <v>120</v>
      </c>
      <c r="E23021" t="s">
        <v>121</v>
      </c>
      <c r="F23021">
        <v>108.94</v>
      </c>
      <c r="G23021">
        <v>230220</v>
      </c>
      <c r="H23021">
        <v>4572</v>
      </c>
      <c r="I23021" t="s">
        <v>122</v>
      </c>
      <c r="J23021">
        <v>135.09</v>
      </c>
      <c r="K23021">
        <v>26.15</v>
      </c>
      <c r="L23021">
        <v>59504</v>
      </c>
      <c r="M23021" t="s">
        <v>71</v>
      </c>
      <c r="N23021" t="str">
        <f>"1001031442  "</f>
        <v xml:space="preserve">1001031442  </v>
      </c>
      <c r="O23021">
        <v>230221</v>
      </c>
    </row>
    <row r="23022" spans="1:15" x14ac:dyDescent="0.25">
      <c r="A23022" t="s">
        <v>16</v>
      </c>
      <c r="B23022" t="s">
        <v>3221</v>
      </c>
      <c r="C23022">
        <v>2769</v>
      </c>
      <c r="D23022" t="s">
        <v>120</v>
      </c>
      <c r="E23022" t="s">
        <v>121</v>
      </c>
      <c r="F23022">
        <v>69.95</v>
      </c>
      <c r="G23022">
        <v>230301</v>
      </c>
      <c r="H23022">
        <v>4572</v>
      </c>
      <c r="I23022" t="s">
        <v>122</v>
      </c>
      <c r="J23022">
        <v>86.74</v>
      </c>
      <c r="K23022">
        <v>16.79</v>
      </c>
      <c r="L23022">
        <v>59501</v>
      </c>
      <c r="M23022" t="s">
        <v>69</v>
      </c>
      <c r="N23022" t="str">
        <f>"1001031496  "</f>
        <v xml:space="preserve">1001031496  </v>
      </c>
      <c r="O23022">
        <v>230307</v>
      </c>
    </row>
    <row r="23023" spans="1:15" x14ac:dyDescent="0.25">
      <c r="A23023" t="s">
        <v>16</v>
      </c>
      <c r="B23023" t="s">
        <v>3221</v>
      </c>
      <c r="C23023">
        <v>3132</v>
      </c>
      <c r="D23023" t="s">
        <v>120</v>
      </c>
      <c r="E23023" t="s">
        <v>121</v>
      </c>
      <c r="F23023">
        <v>79.69</v>
      </c>
      <c r="G23023">
        <v>230306</v>
      </c>
      <c r="H23023">
        <v>4572</v>
      </c>
      <c r="I23023" t="s">
        <v>122</v>
      </c>
      <c r="J23023">
        <v>98.82</v>
      </c>
      <c r="K23023">
        <v>19.13</v>
      </c>
      <c r="L23023">
        <v>59502</v>
      </c>
      <c r="M23023" t="s">
        <v>70</v>
      </c>
      <c r="N23023" t="str">
        <f>"1001031504  "</f>
        <v xml:space="preserve">1001031504  </v>
      </c>
      <c r="O23023">
        <v>230309</v>
      </c>
    </row>
    <row r="23024" spans="1:15" x14ac:dyDescent="0.25">
      <c r="A23024" t="s">
        <v>16</v>
      </c>
      <c r="B23024" t="s">
        <v>3221</v>
      </c>
      <c r="C23024">
        <v>3907</v>
      </c>
      <c r="D23024" t="s">
        <v>120</v>
      </c>
      <c r="E23024" t="s">
        <v>121</v>
      </c>
      <c r="F23024">
        <v>331.65</v>
      </c>
      <c r="G23024">
        <v>230317</v>
      </c>
      <c r="H23024">
        <v>4572</v>
      </c>
      <c r="I23024" t="s">
        <v>122</v>
      </c>
      <c r="J23024">
        <v>411.25</v>
      </c>
      <c r="K23024">
        <v>79.599999999999994</v>
      </c>
      <c r="L23024">
        <v>59504</v>
      </c>
      <c r="M23024" t="s">
        <v>71</v>
      </c>
      <c r="N23024" t="str">
        <f>"1001031569  "</f>
        <v xml:space="preserve">1001031569  </v>
      </c>
      <c r="O23024">
        <v>230324</v>
      </c>
    </row>
    <row r="23025" spans="1:15" x14ac:dyDescent="0.25">
      <c r="A23025" t="s">
        <v>16</v>
      </c>
      <c r="B23025" t="s">
        <v>3221</v>
      </c>
      <c r="C23025">
        <v>5381</v>
      </c>
      <c r="D23025" t="s">
        <v>120</v>
      </c>
      <c r="E23025" t="s">
        <v>121</v>
      </c>
      <c r="F23025">
        <v>69.790000000000006</v>
      </c>
      <c r="G23025">
        <v>230420</v>
      </c>
      <c r="H23025">
        <v>4572</v>
      </c>
      <c r="I23025" t="s">
        <v>122</v>
      </c>
      <c r="J23025">
        <v>86.54</v>
      </c>
      <c r="K23025">
        <v>16.75</v>
      </c>
      <c r="L23025">
        <v>59501</v>
      </c>
      <c r="M23025" t="s">
        <v>69</v>
      </c>
      <c r="N23025" t="str">
        <f>"1001031916  "</f>
        <v xml:space="preserve">1001031916  </v>
      </c>
      <c r="O23025">
        <v>230421</v>
      </c>
    </row>
    <row r="23026" spans="1:15" x14ac:dyDescent="0.25">
      <c r="A23026" t="s">
        <v>16</v>
      </c>
      <c r="B23026" t="s">
        <v>3221</v>
      </c>
      <c r="C23026">
        <v>9137</v>
      </c>
      <c r="D23026" t="s">
        <v>120</v>
      </c>
      <c r="E23026" t="s">
        <v>121</v>
      </c>
      <c r="F23026">
        <v>1030.1500000000001</v>
      </c>
      <c r="G23026">
        <v>230621</v>
      </c>
      <c r="H23026">
        <v>4572</v>
      </c>
      <c r="I23026" t="s">
        <v>122</v>
      </c>
      <c r="J23026">
        <v>1277.3900000000001</v>
      </c>
      <c r="K23026">
        <v>247.24</v>
      </c>
      <c r="L23026">
        <v>59501</v>
      </c>
      <c r="M23026" t="s">
        <v>69</v>
      </c>
      <c r="N23026" t="str">
        <f>"1001032458  "</f>
        <v xml:space="preserve">1001032458  </v>
      </c>
      <c r="O23026">
        <v>230628</v>
      </c>
    </row>
    <row r="23027" spans="1:15" x14ac:dyDescent="0.25">
      <c r="A23027" t="s">
        <v>16</v>
      </c>
      <c r="B23027" t="s">
        <v>3221</v>
      </c>
      <c r="C23027">
        <v>10434</v>
      </c>
      <c r="D23027" t="s">
        <v>120</v>
      </c>
      <c r="E23027" t="s">
        <v>121</v>
      </c>
      <c r="F23027">
        <v>72</v>
      </c>
      <c r="G23027">
        <v>230814</v>
      </c>
      <c r="H23027">
        <v>4572</v>
      </c>
      <c r="I23027" t="s">
        <v>122</v>
      </c>
      <c r="J23027">
        <v>89.28</v>
      </c>
      <c r="K23027">
        <v>17.28</v>
      </c>
      <c r="L23027">
        <v>59504</v>
      </c>
      <c r="M23027" t="s">
        <v>71</v>
      </c>
      <c r="N23027" t="str">
        <f>"1001032870  "</f>
        <v xml:space="preserve">1001032870  </v>
      </c>
      <c r="O23027">
        <v>230816</v>
      </c>
    </row>
    <row r="23028" spans="1:15" x14ac:dyDescent="0.25">
      <c r="A23028" t="s">
        <v>16</v>
      </c>
      <c r="B23028" t="s">
        <v>3221</v>
      </c>
      <c r="C23028">
        <v>10542</v>
      </c>
      <c r="D23028" t="s">
        <v>120</v>
      </c>
      <c r="E23028" t="s">
        <v>121</v>
      </c>
      <c r="F23028">
        <v>78.03</v>
      </c>
      <c r="G23028">
        <v>230816</v>
      </c>
      <c r="H23028">
        <v>4572</v>
      </c>
      <c r="I23028" t="s">
        <v>122</v>
      </c>
      <c r="J23028">
        <v>96.76</v>
      </c>
      <c r="K23028">
        <v>18.73</v>
      </c>
      <c r="L23028">
        <v>59502</v>
      </c>
      <c r="M23028" t="s">
        <v>70</v>
      </c>
      <c r="N23028" t="str">
        <f>"1001032884  "</f>
        <v xml:space="preserve">1001032884  </v>
      </c>
      <c r="O23028">
        <v>230818</v>
      </c>
    </row>
    <row r="23029" spans="1:15" x14ac:dyDescent="0.25">
      <c r="A23029" t="s">
        <v>16</v>
      </c>
      <c r="B23029" t="s">
        <v>3221</v>
      </c>
      <c r="C23029">
        <v>10942</v>
      </c>
      <c r="D23029" t="s">
        <v>120</v>
      </c>
      <c r="E23029" t="s">
        <v>121</v>
      </c>
      <c r="F23029">
        <v>4.18</v>
      </c>
      <c r="G23029">
        <v>230824</v>
      </c>
      <c r="H23029">
        <v>4572</v>
      </c>
      <c r="I23029" t="s">
        <v>122</v>
      </c>
      <c r="J23029">
        <v>5.18</v>
      </c>
      <c r="K23029">
        <v>1</v>
      </c>
      <c r="L23029">
        <v>59504</v>
      </c>
      <c r="M23029" t="s">
        <v>71</v>
      </c>
      <c r="N23029" t="str">
        <f>"1001032941  "</f>
        <v xml:space="preserve">1001032941  </v>
      </c>
      <c r="O23029">
        <v>230825</v>
      </c>
    </row>
    <row r="23030" spans="1:15" x14ac:dyDescent="0.25">
      <c r="A23030" t="s">
        <v>16</v>
      </c>
      <c r="B23030" t="s">
        <v>3221</v>
      </c>
      <c r="C23030">
        <v>13702</v>
      </c>
      <c r="D23030" t="s">
        <v>120</v>
      </c>
      <c r="E23030" t="s">
        <v>121</v>
      </c>
      <c r="F23030">
        <v>35.090000000000003</v>
      </c>
      <c r="G23030">
        <v>231006</v>
      </c>
      <c r="H23030">
        <v>4572</v>
      </c>
      <c r="I23030" t="s">
        <v>122</v>
      </c>
      <c r="J23030">
        <v>43.51</v>
      </c>
      <c r="K23030">
        <v>8.42</v>
      </c>
      <c r="L23030">
        <v>59504</v>
      </c>
      <c r="M23030" t="s">
        <v>71</v>
      </c>
      <c r="N23030" t="str">
        <f>"1001033393  "</f>
        <v xml:space="preserve">1001033393  </v>
      </c>
      <c r="O23030">
        <v>231012</v>
      </c>
    </row>
    <row r="23031" spans="1:15" x14ac:dyDescent="0.25">
      <c r="A23031" t="s">
        <v>16</v>
      </c>
      <c r="B23031" t="s">
        <v>3221</v>
      </c>
      <c r="C23031">
        <v>13824</v>
      </c>
      <c r="D23031" t="s">
        <v>120</v>
      </c>
      <c r="E23031" t="s">
        <v>121</v>
      </c>
      <c r="F23031">
        <v>33.82</v>
      </c>
      <c r="G23031">
        <v>231012</v>
      </c>
      <c r="H23031">
        <v>4572</v>
      </c>
      <c r="I23031" t="s">
        <v>122</v>
      </c>
      <c r="J23031">
        <v>41.94</v>
      </c>
      <c r="K23031">
        <v>8.1199999999999992</v>
      </c>
      <c r="L23031">
        <v>59504</v>
      </c>
      <c r="M23031" t="s">
        <v>71</v>
      </c>
      <c r="N23031" t="str">
        <f>"1001033446  "</f>
        <v xml:space="preserve">1001033446  </v>
      </c>
      <c r="O23031">
        <v>231013</v>
      </c>
    </row>
    <row r="23032" spans="1:15" x14ac:dyDescent="0.25">
      <c r="A23032" t="s">
        <v>16</v>
      </c>
      <c r="B23032" t="s">
        <v>3221</v>
      </c>
      <c r="C23032">
        <v>14194</v>
      </c>
      <c r="D23032" t="s">
        <v>120</v>
      </c>
      <c r="E23032" t="s">
        <v>121</v>
      </c>
      <c r="F23032">
        <v>393.99</v>
      </c>
      <c r="G23032">
        <v>231010</v>
      </c>
      <c r="H23032">
        <v>4572</v>
      </c>
      <c r="I23032" t="s">
        <v>122</v>
      </c>
      <c r="J23032">
        <v>488.55</v>
      </c>
      <c r="K23032">
        <v>94.56</v>
      </c>
      <c r="L23032">
        <v>59501</v>
      </c>
      <c r="M23032" t="s">
        <v>69</v>
      </c>
      <c r="N23032" t="str">
        <f>"1001033423  "</f>
        <v xml:space="preserve">1001033423  </v>
      </c>
      <c r="O23032">
        <v>231023</v>
      </c>
    </row>
    <row r="23033" spans="1:15" x14ac:dyDescent="0.25">
      <c r="A23033" t="s">
        <v>16</v>
      </c>
      <c r="B23033" t="s">
        <v>3221</v>
      </c>
      <c r="C23033">
        <v>14823</v>
      </c>
      <c r="D23033" t="s">
        <v>120</v>
      </c>
      <c r="E23033" t="s">
        <v>121</v>
      </c>
      <c r="F23033">
        <v>341.17</v>
      </c>
      <c r="G23033">
        <v>231027</v>
      </c>
      <c r="H23033">
        <v>4572</v>
      </c>
      <c r="I23033" t="s">
        <v>122</v>
      </c>
      <c r="J23033">
        <v>423.05</v>
      </c>
      <c r="K23033">
        <v>81.88</v>
      </c>
      <c r="L23033">
        <v>59501</v>
      </c>
      <c r="M23033" t="s">
        <v>69</v>
      </c>
      <c r="N23033" t="str">
        <f>"1001033629  "</f>
        <v xml:space="preserve">1001033629  </v>
      </c>
      <c r="O23033">
        <v>231106</v>
      </c>
    </row>
    <row r="23034" spans="1:15" x14ac:dyDescent="0.25">
      <c r="A23034" t="s">
        <v>16</v>
      </c>
      <c r="B23034" t="s">
        <v>3221</v>
      </c>
      <c r="C23034">
        <v>774</v>
      </c>
      <c r="D23034" t="s">
        <v>732</v>
      </c>
      <c r="E23034" t="s">
        <v>733</v>
      </c>
      <c r="F23034">
        <v>866.28</v>
      </c>
      <c r="G23034">
        <v>230124</v>
      </c>
      <c r="H23034">
        <v>4600</v>
      </c>
      <c r="I23034" t="s">
        <v>105</v>
      </c>
      <c r="J23034">
        <v>1074.19</v>
      </c>
      <c r="K23034">
        <v>207.91</v>
      </c>
      <c r="L23034">
        <v>17522</v>
      </c>
      <c r="M23034" t="s">
        <v>451</v>
      </c>
      <c r="N23034" t="str">
        <f>"16000974    "</f>
        <v xml:space="preserve">16000974    </v>
      </c>
      <c r="O23034">
        <v>230130</v>
      </c>
    </row>
    <row r="23035" spans="1:15" x14ac:dyDescent="0.25">
      <c r="A23035" t="s">
        <v>16</v>
      </c>
      <c r="B23035" t="s">
        <v>3221</v>
      </c>
      <c r="C23035">
        <v>11343</v>
      </c>
      <c r="D23035" t="s">
        <v>2479</v>
      </c>
      <c r="E23035" t="s">
        <v>2480</v>
      </c>
      <c r="F23035">
        <v>182.15</v>
      </c>
      <c r="G23035">
        <v>230822</v>
      </c>
      <c r="H23035">
        <v>4600</v>
      </c>
      <c r="I23035" t="s">
        <v>105</v>
      </c>
      <c r="J23035">
        <v>225.86</v>
      </c>
      <c r="K23035">
        <v>43.71</v>
      </c>
      <c r="L23035">
        <v>17525</v>
      </c>
      <c r="M23035" t="s">
        <v>135</v>
      </c>
      <c r="N23035" t="str">
        <f>"00233956    "</f>
        <v xml:space="preserve">00233956    </v>
      </c>
      <c r="O23035">
        <v>230904</v>
      </c>
    </row>
    <row r="23036" spans="1:15" x14ac:dyDescent="0.25">
      <c r="A23036" t="s">
        <v>16</v>
      </c>
      <c r="B23036" t="s">
        <v>3221</v>
      </c>
      <c r="C23036">
        <v>13454</v>
      </c>
      <c r="D23036" t="s">
        <v>2479</v>
      </c>
      <c r="E23036" t="s">
        <v>2480</v>
      </c>
      <c r="F23036">
        <v>73.150000000000006</v>
      </c>
      <c r="G23036">
        <v>231005</v>
      </c>
      <c r="H23036">
        <v>4600</v>
      </c>
      <c r="I23036" t="s">
        <v>105</v>
      </c>
      <c r="J23036">
        <v>90.7</v>
      </c>
      <c r="K23036">
        <v>17.55</v>
      </c>
      <c r="L23036">
        <v>17529</v>
      </c>
      <c r="M23036" t="s">
        <v>453</v>
      </c>
      <c r="N23036" t="str">
        <f>"00234859    "</f>
        <v xml:space="preserve">00234859    </v>
      </c>
      <c r="O23036">
        <v>231010</v>
      </c>
    </row>
    <row r="23037" spans="1:15" x14ac:dyDescent="0.25">
      <c r="A23037" t="s">
        <v>16</v>
      </c>
      <c r="B23037" t="s">
        <v>3221</v>
      </c>
      <c r="C23037">
        <v>10384</v>
      </c>
      <c r="D23037" t="s">
        <v>2375</v>
      </c>
      <c r="E23037" t="s">
        <v>2376</v>
      </c>
      <c r="F23037">
        <v>470</v>
      </c>
      <c r="G23037">
        <v>230813</v>
      </c>
      <c r="H23037">
        <v>4400</v>
      </c>
      <c r="I23037" t="s">
        <v>348</v>
      </c>
      <c r="J23037">
        <v>582.79999999999995</v>
      </c>
      <c r="K23037">
        <v>112.8</v>
      </c>
      <c r="L23037">
        <v>17951</v>
      </c>
      <c r="M23037" t="s">
        <v>87</v>
      </c>
      <c r="N23037" t="str">
        <f>"298567      "</f>
        <v xml:space="preserve">298567      </v>
      </c>
      <c r="O23037">
        <v>230815</v>
      </c>
    </row>
    <row r="23038" spans="1:15" x14ac:dyDescent="0.25">
      <c r="A23038" t="s">
        <v>16</v>
      </c>
      <c r="B23038" t="s">
        <v>3221</v>
      </c>
      <c r="C23038">
        <v>75</v>
      </c>
      <c r="D23038" t="s">
        <v>58</v>
      </c>
      <c r="E23038" t="s">
        <v>59</v>
      </c>
      <c r="F23038">
        <v>103.64</v>
      </c>
      <c r="G23038">
        <v>221227</v>
      </c>
      <c r="H23038">
        <v>4510</v>
      </c>
      <c r="I23038" t="s">
        <v>42</v>
      </c>
      <c r="J23038">
        <v>114</v>
      </c>
      <c r="K23038">
        <v>10.36</v>
      </c>
      <c r="L23038">
        <v>67554</v>
      </c>
      <c r="M23038" t="s">
        <v>60</v>
      </c>
      <c r="N23038" t="str">
        <f>"389726      "</f>
        <v xml:space="preserve">389726      </v>
      </c>
      <c r="O23038">
        <v>230109</v>
      </c>
    </row>
    <row r="23039" spans="1:15" x14ac:dyDescent="0.25">
      <c r="A23039" t="s">
        <v>16</v>
      </c>
      <c r="B23039" t="s">
        <v>3221</v>
      </c>
      <c r="C23039">
        <v>77</v>
      </c>
      <c r="D23039" t="s">
        <v>58</v>
      </c>
      <c r="E23039" t="s">
        <v>59</v>
      </c>
      <c r="F23039">
        <v>51.54</v>
      </c>
      <c r="G23039">
        <v>221227</v>
      </c>
      <c r="H23039">
        <v>4510</v>
      </c>
      <c r="I23039" t="s">
        <v>42</v>
      </c>
      <c r="J23039">
        <v>56.69</v>
      </c>
      <c r="K23039">
        <v>5.15</v>
      </c>
      <c r="L23039">
        <v>17131</v>
      </c>
      <c r="M23039" t="s">
        <v>64</v>
      </c>
      <c r="N23039" t="str">
        <f>"390322      "</f>
        <v xml:space="preserve">390322      </v>
      </c>
      <c r="O23039">
        <v>230109</v>
      </c>
    </row>
    <row r="23040" spans="1:15" x14ac:dyDescent="0.25">
      <c r="A23040" t="s">
        <v>16</v>
      </c>
      <c r="B23040" t="s">
        <v>3221</v>
      </c>
      <c r="C23040">
        <v>77</v>
      </c>
      <c r="D23040" t="s">
        <v>58</v>
      </c>
      <c r="E23040" t="s">
        <v>59</v>
      </c>
      <c r="F23040">
        <v>51.54</v>
      </c>
      <c r="G23040">
        <v>221227</v>
      </c>
      <c r="H23040">
        <v>4510</v>
      </c>
      <c r="I23040" t="s">
        <v>42</v>
      </c>
      <c r="J23040">
        <v>56.69</v>
      </c>
      <c r="K23040">
        <v>5.15</v>
      </c>
      <c r="L23040">
        <v>17711</v>
      </c>
      <c r="M23040" t="s">
        <v>65</v>
      </c>
      <c r="N23040" t="str">
        <f>"390322      "</f>
        <v xml:space="preserve">390322      </v>
      </c>
      <c r="O23040">
        <v>230109</v>
      </c>
    </row>
    <row r="23041" spans="1:15" x14ac:dyDescent="0.25">
      <c r="A23041" t="s">
        <v>16</v>
      </c>
      <c r="B23041" t="s">
        <v>3221</v>
      </c>
      <c r="C23041">
        <v>5402</v>
      </c>
      <c r="D23041" t="s">
        <v>191</v>
      </c>
      <c r="E23041" t="s">
        <v>192</v>
      </c>
      <c r="F23041">
        <v>747.97</v>
      </c>
      <c r="G23041">
        <v>230419</v>
      </c>
      <c r="H23041">
        <v>4346</v>
      </c>
      <c r="I23041" t="s">
        <v>197</v>
      </c>
      <c r="J23041">
        <v>927.48</v>
      </c>
      <c r="K23041">
        <v>179.51</v>
      </c>
      <c r="L23041">
        <v>17951</v>
      </c>
      <c r="M23041" t="s">
        <v>87</v>
      </c>
      <c r="N23041" t="str">
        <f>"2023045     "</f>
        <v xml:space="preserve">2023045     </v>
      </c>
      <c r="O23041">
        <v>230424</v>
      </c>
    </row>
    <row r="23042" spans="1:15" x14ac:dyDescent="0.25">
      <c r="A23042" t="s">
        <v>16</v>
      </c>
      <c r="B23042" t="s">
        <v>3221</v>
      </c>
      <c r="C23042">
        <v>9241</v>
      </c>
      <c r="D23042" t="s">
        <v>191</v>
      </c>
      <c r="E23042" t="s">
        <v>192</v>
      </c>
      <c r="F23042">
        <v>9737.25</v>
      </c>
      <c r="G23042">
        <v>230627</v>
      </c>
      <c r="H23042">
        <v>4390</v>
      </c>
      <c r="I23042" t="s">
        <v>98</v>
      </c>
      <c r="J23042">
        <v>12074.19</v>
      </c>
      <c r="K23042">
        <v>2336.94</v>
      </c>
      <c r="L23042">
        <v>18951</v>
      </c>
      <c r="M23042" t="s">
        <v>1017</v>
      </c>
      <c r="N23042" t="str">
        <f>"2023076     "</f>
        <v xml:space="preserve">2023076     </v>
      </c>
      <c r="O23042">
        <v>230703</v>
      </c>
    </row>
    <row r="23043" spans="1:15" x14ac:dyDescent="0.25">
      <c r="A23043" t="s">
        <v>16</v>
      </c>
      <c r="B23043" t="s">
        <v>3221</v>
      </c>
      <c r="C23043">
        <v>130</v>
      </c>
      <c r="D23043" t="s">
        <v>191</v>
      </c>
      <c r="E23043" t="s">
        <v>192</v>
      </c>
      <c r="F23043">
        <v>423.38</v>
      </c>
      <c r="G23043">
        <v>230104</v>
      </c>
      <c r="H23043">
        <v>4347</v>
      </c>
      <c r="I23043" t="s">
        <v>193</v>
      </c>
      <c r="J23043">
        <v>524.99</v>
      </c>
      <c r="K23043">
        <v>101.61</v>
      </c>
      <c r="L23043">
        <v>59503</v>
      </c>
      <c r="M23043" t="s">
        <v>194</v>
      </c>
      <c r="N23043" t="str">
        <f>"2023001     "</f>
        <v xml:space="preserve">2023001     </v>
      </c>
      <c r="O23043">
        <v>230112</v>
      </c>
    </row>
    <row r="23044" spans="1:15" x14ac:dyDescent="0.25">
      <c r="A23044" t="s">
        <v>16</v>
      </c>
      <c r="B23044" t="s">
        <v>3221</v>
      </c>
      <c r="C23044">
        <v>3676</v>
      </c>
      <c r="D23044" t="s">
        <v>1590</v>
      </c>
      <c r="E23044" t="s">
        <v>1591</v>
      </c>
      <c r="F23044">
        <v>90</v>
      </c>
      <c r="G23044">
        <v>230308</v>
      </c>
      <c r="H23044">
        <v>4500</v>
      </c>
      <c r="I23044" t="s">
        <v>212</v>
      </c>
      <c r="J23044">
        <v>111.6</v>
      </c>
      <c r="K23044">
        <v>21.6</v>
      </c>
      <c r="L23044">
        <v>13801</v>
      </c>
      <c r="M23044" t="s">
        <v>162</v>
      </c>
      <c r="N23044" t="str">
        <f>"12685       "</f>
        <v xml:space="preserve">12685       </v>
      </c>
      <c r="O23044">
        <v>230321</v>
      </c>
    </row>
    <row r="23045" spans="1:15" x14ac:dyDescent="0.25">
      <c r="A23045" t="s">
        <v>16</v>
      </c>
      <c r="B23045" t="s">
        <v>3221</v>
      </c>
      <c r="C23045">
        <v>11806</v>
      </c>
      <c r="D23045" t="s">
        <v>2516</v>
      </c>
      <c r="E23045" t="s">
        <v>2517</v>
      </c>
      <c r="F23045">
        <v>131.71</v>
      </c>
      <c r="G23045">
        <v>230829</v>
      </c>
      <c r="H23045">
        <v>4600</v>
      </c>
      <c r="I23045" t="s">
        <v>105</v>
      </c>
      <c r="J23045">
        <v>163.32</v>
      </c>
      <c r="K23045">
        <v>31.61</v>
      </c>
      <c r="L23045">
        <v>56550</v>
      </c>
      <c r="M23045" t="s">
        <v>913</v>
      </c>
      <c r="N23045" t="str">
        <f>"2304011     "</f>
        <v xml:space="preserve">2304011     </v>
      </c>
      <c r="O23045">
        <v>230911</v>
      </c>
    </row>
    <row r="23046" spans="1:15" x14ac:dyDescent="0.25">
      <c r="A23046" t="s">
        <v>16</v>
      </c>
      <c r="B23046" t="s">
        <v>3221</v>
      </c>
      <c r="C23046">
        <v>1800</v>
      </c>
      <c r="D23046" t="s">
        <v>1189</v>
      </c>
      <c r="E23046" t="s">
        <v>1190</v>
      </c>
      <c r="F23046">
        <v>514</v>
      </c>
      <c r="G23046">
        <v>230210</v>
      </c>
      <c r="H23046">
        <v>4580</v>
      </c>
      <c r="I23046" t="s">
        <v>35</v>
      </c>
      <c r="J23046">
        <v>637.36</v>
      </c>
      <c r="K23046">
        <v>123.36</v>
      </c>
      <c r="L23046">
        <v>17635</v>
      </c>
      <c r="M23046" t="s">
        <v>349</v>
      </c>
      <c r="N23046" t="str">
        <f>"2303000611  "</f>
        <v xml:space="preserve">2303000611  </v>
      </c>
      <c r="O23046">
        <v>230214</v>
      </c>
    </row>
    <row r="23047" spans="1:15" x14ac:dyDescent="0.25">
      <c r="A23047" t="s">
        <v>16</v>
      </c>
      <c r="B23047" t="s">
        <v>3221</v>
      </c>
      <c r="C23047">
        <v>16419</v>
      </c>
      <c r="D23047" t="s">
        <v>1189</v>
      </c>
      <c r="E23047" t="s">
        <v>1190</v>
      </c>
      <c r="F23047">
        <v>551.57000000000005</v>
      </c>
      <c r="G23047">
        <v>231121</v>
      </c>
      <c r="H23047">
        <v>4580</v>
      </c>
      <c r="I23047" t="s">
        <v>35</v>
      </c>
      <c r="J23047">
        <v>683.95</v>
      </c>
      <c r="K23047">
        <v>132.38</v>
      </c>
      <c r="L23047">
        <v>17524</v>
      </c>
      <c r="M23047" t="s">
        <v>452</v>
      </c>
      <c r="N23047" t="str">
        <f>"2303004581  "</f>
        <v xml:space="preserve">2303004581  </v>
      </c>
      <c r="O23047">
        <v>231129</v>
      </c>
    </row>
    <row r="23048" spans="1:15" x14ac:dyDescent="0.25">
      <c r="A23048" t="s">
        <v>16</v>
      </c>
      <c r="B23048" t="s">
        <v>3221</v>
      </c>
      <c r="C23048">
        <v>11270</v>
      </c>
      <c r="D23048" t="s">
        <v>1189</v>
      </c>
      <c r="E23048" t="s">
        <v>1190</v>
      </c>
      <c r="F23048">
        <v>690.43</v>
      </c>
      <c r="G23048">
        <v>230825</v>
      </c>
      <c r="H23048">
        <v>4400</v>
      </c>
      <c r="I23048" t="s">
        <v>348</v>
      </c>
      <c r="J23048">
        <v>856.13</v>
      </c>
      <c r="K23048">
        <v>165.7</v>
      </c>
      <c r="L23048">
        <v>17524</v>
      </c>
      <c r="M23048" t="s">
        <v>452</v>
      </c>
      <c r="N23048" t="str">
        <f>"2303003296  "</f>
        <v xml:space="preserve">2303003296  </v>
      </c>
      <c r="O23048">
        <v>230904</v>
      </c>
    </row>
    <row r="23049" spans="1:15" x14ac:dyDescent="0.25">
      <c r="A23049" t="s">
        <v>16</v>
      </c>
      <c r="B23049" t="s">
        <v>3221</v>
      </c>
      <c r="C23049">
        <v>15760</v>
      </c>
      <c r="D23049" t="s">
        <v>2908</v>
      </c>
      <c r="E23049" t="s">
        <v>2909</v>
      </c>
      <c r="F23049">
        <v>185</v>
      </c>
      <c r="G23049">
        <v>231109</v>
      </c>
      <c r="H23049">
        <v>4600</v>
      </c>
      <c r="I23049" t="s">
        <v>105</v>
      </c>
      <c r="J23049">
        <v>229.4</v>
      </c>
      <c r="K23049">
        <v>44.4</v>
      </c>
      <c r="L23049">
        <v>59504</v>
      </c>
      <c r="M23049" t="s">
        <v>71</v>
      </c>
      <c r="N23049" t="str">
        <f>"202311181   "</f>
        <v xml:space="preserve">202311181   </v>
      </c>
      <c r="O23049">
        <v>231116</v>
      </c>
    </row>
    <row r="23050" spans="1:15" x14ac:dyDescent="0.25">
      <c r="A23050" t="s">
        <v>16</v>
      </c>
      <c r="B23050" t="s">
        <v>3221</v>
      </c>
      <c r="C23050">
        <v>408</v>
      </c>
      <c r="D23050" t="s">
        <v>519</v>
      </c>
      <c r="E23050" t="s">
        <v>520</v>
      </c>
      <c r="F23050">
        <v>902.5</v>
      </c>
      <c r="G23050">
        <v>230116</v>
      </c>
      <c r="H23050">
        <v>4600</v>
      </c>
      <c r="I23050" t="s">
        <v>105</v>
      </c>
      <c r="J23050">
        <v>1119.0999999999999</v>
      </c>
      <c r="K23050">
        <v>216.6</v>
      </c>
      <c r="L23050">
        <v>17805</v>
      </c>
      <c r="M23050" t="s">
        <v>102</v>
      </c>
      <c r="N23050" t="str">
        <f>"338052      "</f>
        <v xml:space="preserve">338052      </v>
      </c>
      <c r="O23050">
        <v>230120</v>
      </c>
    </row>
    <row r="23051" spans="1:15" x14ac:dyDescent="0.25">
      <c r="A23051" t="s">
        <v>16</v>
      </c>
      <c r="B23051" t="s">
        <v>3221</v>
      </c>
      <c r="C23051">
        <v>3251</v>
      </c>
      <c r="D23051" t="s">
        <v>519</v>
      </c>
      <c r="E23051" t="s">
        <v>520</v>
      </c>
      <c r="F23051">
        <v>71.400000000000006</v>
      </c>
      <c r="G23051">
        <v>230309</v>
      </c>
      <c r="H23051">
        <v>4600</v>
      </c>
      <c r="I23051" t="s">
        <v>105</v>
      </c>
      <c r="J23051">
        <v>88.54</v>
      </c>
      <c r="K23051">
        <v>17.14</v>
      </c>
      <c r="L23051">
        <v>17805</v>
      </c>
      <c r="M23051" t="s">
        <v>102</v>
      </c>
      <c r="N23051" t="str">
        <f>"340484      "</f>
        <v xml:space="preserve">340484      </v>
      </c>
      <c r="O23051">
        <v>230310</v>
      </c>
    </row>
    <row r="23052" spans="1:15" x14ac:dyDescent="0.25">
      <c r="A23052" t="s">
        <v>16</v>
      </c>
      <c r="B23052" t="s">
        <v>3221</v>
      </c>
      <c r="C23052">
        <v>7329</v>
      </c>
      <c r="D23052" t="s">
        <v>519</v>
      </c>
      <c r="E23052" t="s">
        <v>520</v>
      </c>
      <c r="F23052">
        <v>307.74</v>
      </c>
      <c r="G23052">
        <v>230525</v>
      </c>
      <c r="H23052">
        <v>4600</v>
      </c>
      <c r="I23052" t="s">
        <v>105</v>
      </c>
      <c r="J23052">
        <v>381.6</v>
      </c>
      <c r="K23052">
        <v>73.86</v>
      </c>
      <c r="L23052">
        <v>17805</v>
      </c>
      <c r="M23052" t="s">
        <v>102</v>
      </c>
      <c r="N23052" t="str">
        <f>"343973      "</f>
        <v xml:space="preserve">343973      </v>
      </c>
      <c r="O23052">
        <v>230529</v>
      </c>
    </row>
    <row r="23053" spans="1:15" x14ac:dyDescent="0.25">
      <c r="A23053" t="s">
        <v>16</v>
      </c>
      <c r="B23053" t="s">
        <v>3221</v>
      </c>
      <c r="C23053">
        <v>10480</v>
      </c>
      <c r="D23053" t="s">
        <v>519</v>
      </c>
      <c r="E23053" t="s">
        <v>520</v>
      </c>
      <c r="F23053">
        <v>212.9</v>
      </c>
      <c r="G23053">
        <v>230814</v>
      </c>
      <c r="H23053">
        <v>4600</v>
      </c>
      <c r="I23053" t="s">
        <v>105</v>
      </c>
      <c r="J23053">
        <v>264</v>
      </c>
      <c r="K23053">
        <v>51.1</v>
      </c>
      <c r="L23053">
        <v>17805</v>
      </c>
      <c r="M23053" t="s">
        <v>102</v>
      </c>
      <c r="N23053" t="str">
        <f>"346693      "</f>
        <v xml:space="preserve">346693      </v>
      </c>
      <c r="O23053">
        <v>230817</v>
      </c>
    </row>
    <row r="23054" spans="1:15" x14ac:dyDescent="0.25">
      <c r="A23054" t="s">
        <v>16</v>
      </c>
      <c r="B23054" t="s">
        <v>3221</v>
      </c>
      <c r="C23054">
        <v>607</v>
      </c>
      <c r="D23054" t="s">
        <v>637</v>
      </c>
      <c r="E23054" t="s">
        <v>638</v>
      </c>
      <c r="F23054">
        <v>75</v>
      </c>
      <c r="G23054">
        <v>230120</v>
      </c>
      <c r="H23054">
        <v>4500</v>
      </c>
      <c r="I23054" t="s">
        <v>212</v>
      </c>
      <c r="J23054">
        <v>93</v>
      </c>
      <c r="K23054">
        <v>18</v>
      </c>
      <c r="L23054">
        <v>69702</v>
      </c>
      <c r="M23054" t="s">
        <v>489</v>
      </c>
      <c r="N23054" t="str">
        <f>"103423000166"</f>
        <v>103423000166</v>
      </c>
      <c r="O23054">
        <v>230125</v>
      </c>
    </row>
    <row r="23055" spans="1:15" x14ac:dyDescent="0.25">
      <c r="A23055" t="s">
        <v>16</v>
      </c>
      <c r="B23055" t="s">
        <v>3221</v>
      </c>
      <c r="C23055">
        <v>607</v>
      </c>
      <c r="D23055" t="s">
        <v>637</v>
      </c>
      <c r="E23055" t="s">
        <v>638</v>
      </c>
      <c r="F23055">
        <v>75</v>
      </c>
      <c r="G23055">
        <v>230120</v>
      </c>
      <c r="H23055">
        <v>4500</v>
      </c>
      <c r="I23055" t="s">
        <v>212</v>
      </c>
      <c r="J23055">
        <v>93</v>
      </c>
      <c r="K23055">
        <v>18</v>
      </c>
      <c r="L23055">
        <v>69704</v>
      </c>
      <c r="M23055" t="s">
        <v>325</v>
      </c>
      <c r="N23055" t="str">
        <f>"103423000166"</f>
        <v>103423000166</v>
      </c>
      <c r="O23055">
        <v>230125</v>
      </c>
    </row>
    <row r="23056" spans="1:15" x14ac:dyDescent="0.25">
      <c r="A23056" t="s">
        <v>16</v>
      </c>
      <c r="B23056" t="s">
        <v>3221</v>
      </c>
      <c r="C23056">
        <v>1853</v>
      </c>
      <c r="D23056" t="s">
        <v>637</v>
      </c>
      <c r="E23056" t="s">
        <v>638</v>
      </c>
      <c r="F23056">
        <v>300</v>
      </c>
      <c r="G23056">
        <v>230208</v>
      </c>
      <c r="H23056">
        <v>4500</v>
      </c>
      <c r="I23056" t="s">
        <v>212</v>
      </c>
      <c r="J23056">
        <v>372</v>
      </c>
      <c r="K23056">
        <v>72</v>
      </c>
      <c r="L23056">
        <v>14972</v>
      </c>
      <c r="M23056" t="s">
        <v>898</v>
      </c>
      <c r="N23056" t="str">
        <f>"103423000271"</f>
        <v>103423000271</v>
      </c>
      <c r="O23056">
        <v>230215</v>
      </c>
    </row>
    <row r="23057" spans="1:15" x14ac:dyDescent="0.25">
      <c r="A23057" t="s">
        <v>16</v>
      </c>
      <c r="B23057" t="s">
        <v>3221</v>
      </c>
      <c r="C23057">
        <v>1853</v>
      </c>
      <c r="D23057" t="s">
        <v>637</v>
      </c>
      <c r="E23057" t="s">
        <v>638</v>
      </c>
      <c r="F23057">
        <v>300</v>
      </c>
      <c r="G23057">
        <v>230208</v>
      </c>
      <c r="H23057">
        <v>4500</v>
      </c>
      <c r="I23057" t="s">
        <v>212</v>
      </c>
      <c r="J23057">
        <v>372</v>
      </c>
      <c r="K23057">
        <v>72</v>
      </c>
      <c r="L23057">
        <v>18972</v>
      </c>
      <c r="M23057" t="s">
        <v>163</v>
      </c>
      <c r="N23057" t="str">
        <f>"103423000271"</f>
        <v>103423000271</v>
      </c>
      <c r="O23057">
        <v>230215</v>
      </c>
    </row>
    <row r="23058" spans="1:15" x14ac:dyDescent="0.25">
      <c r="A23058" t="s">
        <v>16</v>
      </c>
      <c r="B23058" t="s">
        <v>3221</v>
      </c>
      <c r="C23058">
        <v>4474</v>
      </c>
      <c r="D23058" t="s">
        <v>637</v>
      </c>
      <c r="E23058" t="s">
        <v>638</v>
      </c>
      <c r="F23058">
        <v>250</v>
      </c>
      <c r="G23058">
        <v>230404</v>
      </c>
      <c r="H23058">
        <v>4500</v>
      </c>
      <c r="I23058" t="s">
        <v>212</v>
      </c>
      <c r="J23058">
        <v>310</v>
      </c>
      <c r="K23058">
        <v>60</v>
      </c>
      <c r="L23058">
        <v>17971</v>
      </c>
      <c r="M23058" t="s">
        <v>138</v>
      </c>
      <c r="N23058" t="str">
        <f>"103423000862"</f>
        <v>103423000862</v>
      </c>
      <c r="O23058">
        <v>230406</v>
      </c>
    </row>
    <row r="23059" spans="1:15" x14ac:dyDescent="0.25">
      <c r="A23059" t="s">
        <v>16</v>
      </c>
      <c r="B23059" t="s">
        <v>3221</v>
      </c>
      <c r="C23059">
        <v>9056</v>
      </c>
      <c r="D23059" t="s">
        <v>637</v>
      </c>
      <c r="E23059" t="s">
        <v>638</v>
      </c>
      <c r="F23059">
        <v>300</v>
      </c>
      <c r="G23059">
        <v>230613</v>
      </c>
      <c r="H23059">
        <v>4500</v>
      </c>
      <c r="I23059" t="s">
        <v>212</v>
      </c>
      <c r="J23059">
        <v>372</v>
      </c>
      <c r="K23059">
        <v>72</v>
      </c>
      <c r="L23059">
        <v>59701</v>
      </c>
      <c r="M23059" t="s">
        <v>297</v>
      </c>
      <c r="N23059" t="str">
        <f>"103423001330"</f>
        <v>103423001330</v>
      </c>
      <c r="O23059">
        <v>230622</v>
      </c>
    </row>
    <row r="23060" spans="1:15" x14ac:dyDescent="0.25">
      <c r="A23060" t="s">
        <v>16</v>
      </c>
      <c r="B23060" t="s">
        <v>3221</v>
      </c>
      <c r="C23060">
        <v>11858</v>
      </c>
      <c r="D23060" t="s">
        <v>637</v>
      </c>
      <c r="E23060" t="s">
        <v>638</v>
      </c>
      <c r="F23060">
        <v>300</v>
      </c>
      <c r="G23060">
        <v>230906</v>
      </c>
      <c r="H23060">
        <v>4500</v>
      </c>
      <c r="I23060" t="s">
        <v>212</v>
      </c>
      <c r="J23060">
        <v>372</v>
      </c>
      <c r="K23060">
        <v>72</v>
      </c>
      <c r="L23060">
        <v>49702</v>
      </c>
      <c r="M23060" t="s">
        <v>584</v>
      </c>
      <c r="N23060" t="str">
        <f>"103423001916"</f>
        <v>103423001916</v>
      </c>
      <c r="O23060">
        <v>230911</v>
      </c>
    </row>
    <row r="23061" spans="1:15" x14ac:dyDescent="0.25">
      <c r="A23061" t="s">
        <v>16</v>
      </c>
      <c r="B23061" t="s">
        <v>3221</v>
      </c>
      <c r="C23061">
        <v>15348</v>
      </c>
      <c r="D23061" t="s">
        <v>637</v>
      </c>
      <c r="E23061" t="s">
        <v>638</v>
      </c>
      <c r="F23061">
        <v>300</v>
      </c>
      <c r="G23061">
        <v>231102</v>
      </c>
      <c r="H23061">
        <v>4500</v>
      </c>
      <c r="I23061" t="s">
        <v>212</v>
      </c>
      <c r="J23061">
        <v>372</v>
      </c>
      <c r="K23061">
        <v>72</v>
      </c>
      <c r="L23061">
        <v>14972</v>
      </c>
      <c r="M23061" t="s">
        <v>898</v>
      </c>
      <c r="N23061" t="str">
        <f>"103423002352"</f>
        <v>103423002352</v>
      </c>
      <c r="O23061">
        <v>231113</v>
      </c>
    </row>
    <row r="23062" spans="1:15" x14ac:dyDescent="0.25">
      <c r="A23062" t="s">
        <v>16</v>
      </c>
      <c r="B23062" t="s">
        <v>3221</v>
      </c>
      <c r="C23062">
        <v>15348</v>
      </c>
      <c r="D23062" t="s">
        <v>637</v>
      </c>
      <c r="E23062" t="s">
        <v>638</v>
      </c>
      <c r="F23062">
        <v>300</v>
      </c>
      <c r="G23062">
        <v>231102</v>
      </c>
      <c r="H23062">
        <v>4500</v>
      </c>
      <c r="I23062" t="s">
        <v>212</v>
      </c>
      <c r="J23062">
        <v>372</v>
      </c>
      <c r="K23062">
        <v>72</v>
      </c>
      <c r="L23062">
        <v>18972</v>
      </c>
      <c r="M23062" t="s">
        <v>163</v>
      </c>
      <c r="N23062" t="str">
        <f>"103423002352"</f>
        <v>103423002352</v>
      </c>
      <c r="O23062">
        <v>231113</v>
      </c>
    </row>
    <row r="23063" spans="1:15" x14ac:dyDescent="0.25">
      <c r="A23063" t="s">
        <v>16</v>
      </c>
      <c r="B23063" t="s">
        <v>3221</v>
      </c>
      <c r="C23063">
        <v>15355</v>
      </c>
      <c r="D23063" t="s">
        <v>637</v>
      </c>
      <c r="E23063" t="s">
        <v>638</v>
      </c>
      <c r="F23063">
        <v>50</v>
      </c>
      <c r="G23063">
        <v>231102</v>
      </c>
      <c r="H23063">
        <v>4500</v>
      </c>
      <c r="I23063" t="s">
        <v>212</v>
      </c>
      <c r="J23063">
        <v>62</v>
      </c>
      <c r="K23063">
        <v>12</v>
      </c>
      <c r="L23063">
        <v>69702</v>
      </c>
      <c r="M23063" t="s">
        <v>489</v>
      </c>
      <c r="N23063" t="str">
        <f>"103423002353"</f>
        <v>103423002353</v>
      </c>
      <c r="O23063">
        <v>231113</v>
      </c>
    </row>
    <row r="23064" spans="1:15" x14ac:dyDescent="0.25">
      <c r="A23064" t="s">
        <v>16</v>
      </c>
      <c r="B23064" t="s">
        <v>3221</v>
      </c>
      <c r="C23064">
        <v>15355</v>
      </c>
      <c r="D23064" t="s">
        <v>637</v>
      </c>
      <c r="E23064" t="s">
        <v>638</v>
      </c>
      <c r="F23064">
        <v>50</v>
      </c>
      <c r="G23064">
        <v>231102</v>
      </c>
      <c r="H23064">
        <v>4500</v>
      </c>
      <c r="I23064" t="s">
        <v>212</v>
      </c>
      <c r="J23064">
        <v>62</v>
      </c>
      <c r="K23064">
        <v>12</v>
      </c>
      <c r="L23064">
        <v>69704</v>
      </c>
      <c r="M23064" t="s">
        <v>325</v>
      </c>
      <c r="N23064" t="str">
        <f>"103423002353"</f>
        <v>103423002353</v>
      </c>
      <c r="O23064">
        <v>231113</v>
      </c>
    </row>
    <row r="23065" spans="1:15" x14ac:dyDescent="0.25">
      <c r="A23065" t="s">
        <v>16</v>
      </c>
      <c r="B23065" t="s">
        <v>3221</v>
      </c>
      <c r="C23065">
        <v>17825</v>
      </c>
      <c r="D23065" t="s">
        <v>637</v>
      </c>
      <c r="E23065" t="s">
        <v>638</v>
      </c>
      <c r="F23065">
        <v>200</v>
      </c>
      <c r="G23065">
        <v>231213</v>
      </c>
      <c r="H23065">
        <v>4500</v>
      </c>
      <c r="I23065" t="s">
        <v>212</v>
      </c>
      <c r="J23065">
        <v>248</v>
      </c>
      <c r="K23065">
        <v>48</v>
      </c>
      <c r="L23065">
        <v>18972</v>
      </c>
      <c r="M23065" t="s">
        <v>163</v>
      </c>
      <c r="N23065" t="str">
        <f>"103423002613"</f>
        <v>103423002613</v>
      </c>
      <c r="O23065">
        <v>231227</v>
      </c>
    </row>
    <row r="23066" spans="1:15" x14ac:dyDescent="0.25">
      <c r="A23066" t="s">
        <v>16</v>
      </c>
      <c r="B23066" t="s">
        <v>3221</v>
      </c>
      <c r="C23066">
        <v>16122</v>
      </c>
      <c r="D23066" t="s">
        <v>3712</v>
      </c>
      <c r="E23066" t="s">
        <v>2930</v>
      </c>
      <c r="F23066">
        <v>311.89999999999998</v>
      </c>
      <c r="G23066">
        <v>231115</v>
      </c>
      <c r="H23066">
        <v>4600</v>
      </c>
      <c r="I23066" t="s">
        <v>105</v>
      </c>
      <c r="J23066">
        <v>386.76</v>
      </c>
      <c r="K23066">
        <v>74.86</v>
      </c>
      <c r="L23066">
        <v>17807</v>
      </c>
      <c r="M23066" t="s">
        <v>318</v>
      </c>
      <c r="N23066" t="str">
        <f>"4316        "</f>
        <v xml:space="preserve">4316        </v>
      </c>
      <c r="O23066">
        <v>231123</v>
      </c>
    </row>
    <row r="23067" spans="1:15" x14ac:dyDescent="0.25">
      <c r="A23067" t="s">
        <v>16</v>
      </c>
      <c r="B23067" t="s">
        <v>3221</v>
      </c>
      <c r="C23067">
        <v>14661</v>
      </c>
      <c r="D23067" t="s">
        <v>2784</v>
      </c>
      <c r="E23067" t="s">
        <v>2785</v>
      </c>
      <c r="F23067">
        <v>375</v>
      </c>
      <c r="G23067">
        <v>231017</v>
      </c>
      <c r="H23067">
        <v>4341</v>
      </c>
      <c r="I23067" t="s">
        <v>32</v>
      </c>
      <c r="J23067">
        <v>465</v>
      </c>
      <c r="K23067">
        <v>90</v>
      </c>
      <c r="L23067">
        <v>11801</v>
      </c>
      <c r="M23067" t="s">
        <v>92</v>
      </c>
      <c r="N23067" t="str">
        <f>"112709      "</f>
        <v xml:space="preserve">112709      </v>
      </c>
      <c r="O23067">
        <v>231031</v>
      </c>
    </row>
    <row r="23068" spans="1:15" x14ac:dyDescent="0.25">
      <c r="A23068" t="s">
        <v>16</v>
      </c>
      <c r="B23068" t="s">
        <v>3221</v>
      </c>
      <c r="C23068">
        <v>8682</v>
      </c>
      <c r="D23068" t="s">
        <v>1764</v>
      </c>
      <c r="E23068" t="s">
        <v>1765</v>
      </c>
      <c r="F23068">
        <v>1120</v>
      </c>
      <c r="G23068">
        <v>230531</v>
      </c>
      <c r="H23068">
        <v>4341</v>
      </c>
      <c r="I23068" t="s">
        <v>32</v>
      </c>
      <c r="J23068">
        <v>1388.8</v>
      </c>
      <c r="K23068">
        <v>268.8</v>
      </c>
      <c r="L23068">
        <v>11801</v>
      </c>
      <c r="M23068" t="s">
        <v>92</v>
      </c>
      <c r="N23068" t="str">
        <f>"6187        "</f>
        <v xml:space="preserve">6187        </v>
      </c>
      <c r="O23068">
        <v>230613</v>
      </c>
    </row>
    <row r="23069" spans="1:15" x14ac:dyDescent="0.25">
      <c r="A23069" t="s">
        <v>16</v>
      </c>
      <c r="B23069" t="s">
        <v>3221</v>
      </c>
      <c r="C23069">
        <v>9744</v>
      </c>
      <c r="D23069" t="s">
        <v>1764</v>
      </c>
      <c r="E23069" t="s">
        <v>1765</v>
      </c>
      <c r="F23069">
        <v>700</v>
      </c>
      <c r="G23069">
        <v>230630</v>
      </c>
      <c r="H23069">
        <v>4341</v>
      </c>
      <c r="I23069" t="s">
        <v>32</v>
      </c>
      <c r="J23069">
        <v>868</v>
      </c>
      <c r="K23069">
        <v>168</v>
      </c>
      <c r="L23069">
        <v>11801</v>
      </c>
      <c r="M23069" t="s">
        <v>92</v>
      </c>
      <c r="N23069" t="str">
        <f>"6362        "</f>
        <v xml:space="preserve">6362        </v>
      </c>
      <c r="O23069">
        <v>230724</v>
      </c>
    </row>
    <row r="23070" spans="1:15" x14ac:dyDescent="0.25">
      <c r="A23070" t="s">
        <v>16</v>
      </c>
      <c r="B23070" t="s">
        <v>3221</v>
      </c>
      <c r="C23070">
        <v>15216</v>
      </c>
      <c r="D23070" t="s">
        <v>1764</v>
      </c>
      <c r="E23070" t="s">
        <v>1765</v>
      </c>
      <c r="F23070">
        <v>700</v>
      </c>
      <c r="G23070">
        <v>231031</v>
      </c>
      <c r="H23070">
        <v>4341</v>
      </c>
      <c r="I23070" t="s">
        <v>32</v>
      </c>
      <c r="J23070">
        <v>868</v>
      </c>
      <c r="K23070">
        <v>168</v>
      </c>
      <c r="L23070">
        <v>11801</v>
      </c>
      <c r="M23070" t="s">
        <v>92</v>
      </c>
      <c r="N23070" t="str">
        <f>"6766        "</f>
        <v xml:space="preserve">6766        </v>
      </c>
      <c r="O23070">
        <v>231109</v>
      </c>
    </row>
    <row r="23071" spans="1:15" x14ac:dyDescent="0.25">
      <c r="A23071" t="s">
        <v>16</v>
      </c>
      <c r="B23071" t="s">
        <v>3221</v>
      </c>
      <c r="C23071">
        <v>4862</v>
      </c>
      <c r="D23071" t="s">
        <v>1764</v>
      </c>
      <c r="E23071" t="s">
        <v>1765</v>
      </c>
      <c r="F23071">
        <v>210</v>
      </c>
      <c r="G23071">
        <v>230331</v>
      </c>
      <c r="H23071">
        <v>4343</v>
      </c>
      <c r="I23071" t="s">
        <v>91</v>
      </c>
      <c r="J23071">
        <v>260.39999999999998</v>
      </c>
      <c r="K23071">
        <v>50.4</v>
      </c>
      <c r="L23071">
        <v>11801</v>
      </c>
      <c r="M23071" t="s">
        <v>92</v>
      </c>
      <c r="N23071" t="str">
        <f>"5913        "</f>
        <v xml:space="preserve">5913        </v>
      </c>
      <c r="O23071">
        <v>230413</v>
      </c>
    </row>
    <row r="23072" spans="1:15" x14ac:dyDescent="0.25">
      <c r="A23072" t="s">
        <v>16</v>
      </c>
      <c r="B23072" t="s">
        <v>3221</v>
      </c>
      <c r="C23072">
        <v>5272</v>
      </c>
      <c r="D23072" t="s">
        <v>1764</v>
      </c>
      <c r="E23072" t="s">
        <v>1765</v>
      </c>
      <c r="F23072">
        <v>493.56</v>
      </c>
      <c r="G23072">
        <v>230331</v>
      </c>
      <c r="H23072">
        <v>4343</v>
      </c>
      <c r="I23072" t="s">
        <v>91</v>
      </c>
      <c r="J23072">
        <v>612.01</v>
      </c>
      <c r="K23072">
        <v>118.45</v>
      </c>
      <c r="L23072">
        <v>11801</v>
      </c>
      <c r="M23072" t="s">
        <v>92</v>
      </c>
      <c r="N23072" t="str">
        <f>"5826        "</f>
        <v xml:space="preserve">5826        </v>
      </c>
      <c r="O23072">
        <v>230419</v>
      </c>
    </row>
    <row r="23073" spans="1:15" x14ac:dyDescent="0.25">
      <c r="A23073" t="s">
        <v>16</v>
      </c>
      <c r="B23073" t="s">
        <v>3221</v>
      </c>
      <c r="C23073">
        <v>6267</v>
      </c>
      <c r="D23073" t="s">
        <v>1764</v>
      </c>
      <c r="E23073" t="s">
        <v>1765</v>
      </c>
      <c r="F23073">
        <v>1610</v>
      </c>
      <c r="G23073">
        <v>230430</v>
      </c>
      <c r="H23073">
        <v>4343</v>
      </c>
      <c r="I23073" t="s">
        <v>91</v>
      </c>
      <c r="J23073">
        <v>1996.4</v>
      </c>
      <c r="K23073">
        <v>386.4</v>
      </c>
      <c r="L23073">
        <v>11801</v>
      </c>
      <c r="M23073" t="s">
        <v>92</v>
      </c>
      <c r="N23073" t="str">
        <f>"6036        "</f>
        <v xml:space="preserve">6036        </v>
      </c>
      <c r="O23073">
        <v>230509</v>
      </c>
    </row>
    <row r="23074" spans="1:15" x14ac:dyDescent="0.25">
      <c r="A23074" t="s">
        <v>16</v>
      </c>
      <c r="B23074" t="s">
        <v>3221</v>
      </c>
      <c r="C23074">
        <v>12507</v>
      </c>
      <c r="D23074" t="s">
        <v>1764</v>
      </c>
      <c r="E23074" t="s">
        <v>1765</v>
      </c>
      <c r="F23074">
        <v>3400</v>
      </c>
      <c r="G23074">
        <v>230901</v>
      </c>
      <c r="H23074">
        <v>4343</v>
      </c>
      <c r="I23074" t="s">
        <v>91</v>
      </c>
      <c r="J23074">
        <v>4216</v>
      </c>
      <c r="K23074">
        <v>816</v>
      </c>
      <c r="L23074">
        <v>11801</v>
      </c>
      <c r="M23074" t="s">
        <v>92</v>
      </c>
      <c r="N23074" t="str">
        <f>"6482        "</f>
        <v xml:space="preserve">6482        </v>
      </c>
      <c r="O23074">
        <v>230920</v>
      </c>
    </row>
    <row r="23075" spans="1:15" x14ac:dyDescent="0.25">
      <c r="A23075" t="s">
        <v>16</v>
      </c>
      <c r="B23075" t="s">
        <v>3221</v>
      </c>
      <c r="C23075">
        <v>17433</v>
      </c>
      <c r="D23075" t="s">
        <v>1764</v>
      </c>
      <c r="E23075" t="s">
        <v>1765</v>
      </c>
      <c r="F23075">
        <v>420</v>
      </c>
      <c r="G23075">
        <v>231130</v>
      </c>
      <c r="H23075">
        <v>4362</v>
      </c>
      <c r="I23075" t="s">
        <v>79</v>
      </c>
      <c r="J23075">
        <v>520.79999999999995</v>
      </c>
      <c r="K23075">
        <v>100.8</v>
      </c>
      <c r="L23075">
        <v>11801</v>
      </c>
      <c r="M23075" t="s">
        <v>92</v>
      </c>
      <c r="N23075" t="str">
        <f>"6919        "</f>
        <v xml:space="preserve">6919        </v>
      </c>
      <c r="O23075">
        <v>231214</v>
      </c>
    </row>
    <row r="23076" spans="1:15" x14ac:dyDescent="0.25">
      <c r="A23076" t="s">
        <v>16</v>
      </c>
      <c r="B23076" t="s">
        <v>3221</v>
      </c>
      <c r="C23076">
        <v>18886</v>
      </c>
      <c r="D23076" t="s">
        <v>1764</v>
      </c>
      <c r="E23076" t="s">
        <v>1765</v>
      </c>
      <c r="F23076">
        <v>280</v>
      </c>
      <c r="G23076">
        <v>231231</v>
      </c>
      <c r="H23076">
        <v>4362</v>
      </c>
      <c r="I23076" t="s">
        <v>79</v>
      </c>
      <c r="J23076">
        <v>347.2</v>
      </c>
      <c r="K23076">
        <v>67.2</v>
      </c>
      <c r="L23076">
        <v>11801</v>
      </c>
      <c r="M23076" t="s">
        <v>92</v>
      </c>
      <c r="N23076" t="str">
        <f>"7054        "</f>
        <v xml:space="preserve">7054        </v>
      </c>
      <c r="O23076">
        <v>240108</v>
      </c>
    </row>
    <row r="23077" spans="1:15" x14ac:dyDescent="0.25">
      <c r="A23077" t="s">
        <v>16</v>
      </c>
      <c r="B23077" t="s">
        <v>3221</v>
      </c>
      <c r="C23077">
        <v>136</v>
      </c>
      <c r="D23077" t="s">
        <v>3713</v>
      </c>
      <c r="E23077" t="s">
        <v>3326</v>
      </c>
      <c r="F23077">
        <v>350</v>
      </c>
      <c r="G23077">
        <v>230106</v>
      </c>
      <c r="H23077">
        <v>4343</v>
      </c>
      <c r="I23077" t="s">
        <v>91</v>
      </c>
      <c r="J23077">
        <v>434</v>
      </c>
      <c r="K23077">
        <v>84</v>
      </c>
      <c r="L23077">
        <v>18420</v>
      </c>
      <c r="M23077" t="s">
        <v>1489</v>
      </c>
      <c r="N23077" t="str">
        <f>"6746        "</f>
        <v xml:space="preserve">6746        </v>
      </c>
      <c r="O23077">
        <v>230112</v>
      </c>
    </row>
    <row r="23078" spans="1:15" x14ac:dyDescent="0.25">
      <c r="A23078" t="s">
        <v>16</v>
      </c>
      <c r="B23078" t="s">
        <v>3221</v>
      </c>
      <c r="C23078">
        <v>10191</v>
      </c>
      <c r="D23078" t="s">
        <v>2353</v>
      </c>
      <c r="E23078" t="s">
        <v>2354</v>
      </c>
      <c r="F23078">
        <v>85</v>
      </c>
      <c r="G23078">
        <v>230807</v>
      </c>
      <c r="H23078">
        <v>4420</v>
      </c>
      <c r="I23078" t="s">
        <v>132</v>
      </c>
      <c r="J23078">
        <v>105.4</v>
      </c>
      <c r="K23078">
        <v>20.399999999999999</v>
      </c>
      <c r="L23078">
        <v>44423</v>
      </c>
      <c r="M23078" t="s">
        <v>502</v>
      </c>
      <c r="N23078" t="str">
        <f>"523754      "</f>
        <v xml:space="preserve">523754      </v>
      </c>
      <c r="O23078">
        <v>230809</v>
      </c>
    </row>
    <row r="23079" spans="1:15" x14ac:dyDescent="0.25">
      <c r="A23079" t="s">
        <v>16</v>
      </c>
      <c r="B23079" t="s">
        <v>3221</v>
      </c>
      <c r="C23079">
        <v>2682</v>
      </c>
      <c r="D23079" t="s">
        <v>1456</v>
      </c>
      <c r="E23079" t="s">
        <v>1457</v>
      </c>
      <c r="F23079">
        <v>6500</v>
      </c>
      <c r="G23079">
        <v>230228</v>
      </c>
      <c r="H23079">
        <v>4440</v>
      </c>
      <c r="I23079" t="s">
        <v>250</v>
      </c>
      <c r="J23079">
        <v>8060</v>
      </c>
      <c r="K23079">
        <v>1560</v>
      </c>
      <c r="L23079">
        <v>18122</v>
      </c>
      <c r="M23079" t="s">
        <v>407</v>
      </c>
      <c r="N23079" t="str">
        <f>"1579        "</f>
        <v xml:space="preserve">1579        </v>
      </c>
      <c r="O23079">
        <v>230306</v>
      </c>
    </row>
    <row r="23080" spans="1:15" x14ac:dyDescent="0.25">
      <c r="A23080" t="s">
        <v>16</v>
      </c>
      <c r="B23080" t="s">
        <v>3221</v>
      </c>
      <c r="C23080">
        <v>2904</v>
      </c>
      <c r="D23080" t="s">
        <v>1456</v>
      </c>
      <c r="E23080" t="s">
        <v>1457</v>
      </c>
      <c r="F23080">
        <v>6300</v>
      </c>
      <c r="G23080">
        <v>230306</v>
      </c>
      <c r="H23080">
        <v>4440</v>
      </c>
      <c r="I23080" t="s">
        <v>250</v>
      </c>
      <c r="J23080">
        <v>7812</v>
      </c>
      <c r="K23080">
        <v>1512</v>
      </c>
      <c r="L23080">
        <v>18122</v>
      </c>
      <c r="M23080" t="s">
        <v>407</v>
      </c>
      <c r="N23080" t="str">
        <f>"1585        "</f>
        <v xml:space="preserve">1585        </v>
      </c>
      <c r="O23080">
        <v>230308</v>
      </c>
    </row>
    <row r="23081" spans="1:15" x14ac:dyDescent="0.25">
      <c r="A23081" t="s">
        <v>16</v>
      </c>
      <c r="B23081" t="s">
        <v>3221</v>
      </c>
      <c r="C23081">
        <v>3337</v>
      </c>
      <c r="D23081" t="s">
        <v>1456</v>
      </c>
      <c r="E23081" t="s">
        <v>1457</v>
      </c>
      <c r="F23081">
        <v>6500</v>
      </c>
      <c r="G23081">
        <v>230228</v>
      </c>
      <c r="H23081">
        <v>4440</v>
      </c>
      <c r="I23081" t="s">
        <v>250</v>
      </c>
      <c r="J23081">
        <v>8060</v>
      </c>
      <c r="K23081">
        <v>1560</v>
      </c>
      <c r="L23081">
        <v>18122</v>
      </c>
      <c r="M23081" t="s">
        <v>407</v>
      </c>
      <c r="N23081" t="str">
        <f>"1576        "</f>
        <v xml:space="preserve">1576        </v>
      </c>
      <c r="O23081">
        <v>230315</v>
      </c>
    </row>
    <row r="23082" spans="1:15" x14ac:dyDescent="0.25">
      <c r="A23082" t="s">
        <v>16</v>
      </c>
      <c r="B23082" t="s">
        <v>3221</v>
      </c>
      <c r="C23082">
        <v>3337</v>
      </c>
      <c r="D23082" t="s">
        <v>1456</v>
      </c>
      <c r="E23082" t="s">
        <v>1457</v>
      </c>
      <c r="F23082">
        <v>5000</v>
      </c>
      <c r="G23082">
        <v>230228</v>
      </c>
      <c r="H23082">
        <v>4440</v>
      </c>
      <c r="I23082" t="s">
        <v>250</v>
      </c>
      <c r="J23082">
        <v>6200</v>
      </c>
      <c r="K23082">
        <v>1200</v>
      </c>
      <c r="L23082">
        <v>18982</v>
      </c>
      <c r="M23082" t="s">
        <v>1121</v>
      </c>
      <c r="N23082" t="str">
        <f>"1576        "</f>
        <v xml:space="preserve">1576        </v>
      </c>
      <c r="O23082">
        <v>230315</v>
      </c>
    </row>
    <row r="23083" spans="1:15" x14ac:dyDescent="0.25">
      <c r="A23083" t="s">
        <v>16</v>
      </c>
      <c r="B23083" t="s">
        <v>3221</v>
      </c>
      <c r="C23083">
        <v>4291</v>
      </c>
      <c r="D23083" t="s">
        <v>1456</v>
      </c>
      <c r="E23083" t="s">
        <v>1457</v>
      </c>
      <c r="F23083">
        <v>9360</v>
      </c>
      <c r="G23083">
        <v>230327</v>
      </c>
      <c r="H23083">
        <v>4440</v>
      </c>
      <c r="I23083" t="s">
        <v>250</v>
      </c>
      <c r="J23083">
        <v>11606.4</v>
      </c>
      <c r="K23083">
        <v>2246.4</v>
      </c>
      <c r="L23083">
        <v>18122</v>
      </c>
      <c r="M23083" t="s">
        <v>407</v>
      </c>
      <c r="N23083" t="str">
        <f>"1598        "</f>
        <v xml:space="preserve">1598        </v>
      </c>
      <c r="O23083">
        <v>230404</v>
      </c>
    </row>
    <row r="23084" spans="1:15" x14ac:dyDescent="0.25">
      <c r="A23084" t="s">
        <v>16</v>
      </c>
      <c r="B23084" t="s">
        <v>3221</v>
      </c>
      <c r="C23084">
        <v>8902</v>
      </c>
      <c r="D23084" t="s">
        <v>1456</v>
      </c>
      <c r="E23084" t="s">
        <v>1457</v>
      </c>
      <c r="F23084">
        <v>5390</v>
      </c>
      <c r="G23084">
        <v>230530</v>
      </c>
      <c r="H23084">
        <v>4440</v>
      </c>
      <c r="I23084" t="s">
        <v>250</v>
      </c>
      <c r="J23084">
        <v>6683.6</v>
      </c>
      <c r="K23084">
        <v>1293.5999999999999</v>
      </c>
      <c r="L23084">
        <v>18122</v>
      </c>
      <c r="M23084" t="s">
        <v>407</v>
      </c>
      <c r="N23084" t="str">
        <f>"1628        "</f>
        <v xml:space="preserve">1628        </v>
      </c>
      <c r="O23084">
        <v>230619</v>
      </c>
    </row>
    <row r="23085" spans="1:15" x14ac:dyDescent="0.25">
      <c r="A23085" t="s">
        <v>16</v>
      </c>
      <c r="B23085" t="s">
        <v>3221</v>
      </c>
      <c r="C23085">
        <v>8902</v>
      </c>
      <c r="D23085" t="s">
        <v>1456</v>
      </c>
      <c r="E23085" t="s">
        <v>1457</v>
      </c>
      <c r="F23085">
        <v>4900</v>
      </c>
      <c r="G23085">
        <v>230530</v>
      </c>
      <c r="H23085">
        <v>4440</v>
      </c>
      <c r="I23085" t="s">
        <v>250</v>
      </c>
      <c r="J23085">
        <v>6076</v>
      </c>
      <c r="K23085">
        <v>1176</v>
      </c>
      <c r="L23085">
        <v>18982</v>
      </c>
      <c r="M23085" t="s">
        <v>1121</v>
      </c>
      <c r="N23085" t="str">
        <f>"1628        "</f>
        <v xml:space="preserve">1628        </v>
      </c>
      <c r="O23085">
        <v>230619</v>
      </c>
    </row>
    <row r="23086" spans="1:15" x14ac:dyDescent="0.25">
      <c r="A23086" t="s">
        <v>16</v>
      </c>
      <c r="B23086" t="s">
        <v>3221</v>
      </c>
      <c r="C23086">
        <v>8903</v>
      </c>
      <c r="D23086" t="s">
        <v>1456</v>
      </c>
      <c r="E23086" t="s">
        <v>1457</v>
      </c>
      <c r="F23086">
        <v>8580</v>
      </c>
      <c r="G23086">
        <v>230602</v>
      </c>
      <c r="H23086">
        <v>4440</v>
      </c>
      <c r="I23086" t="s">
        <v>250</v>
      </c>
      <c r="J23086">
        <v>10639.2</v>
      </c>
      <c r="K23086">
        <v>2059.1999999999998</v>
      </c>
      <c r="L23086">
        <v>18122</v>
      </c>
      <c r="M23086" t="s">
        <v>407</v>
      </c>
      <c r="N23086" t="str">
        <f>"1633        "</f>
        <v xml:space="preserve">1633        </v>
      </c>
      <c r="O23086">
        <v>230619</v>
      </c>
    </row>
    <row r="23087" spans="1:15" x14ac:dyDescent="0.25">
      <c r="A23087" t="s">
        <v>16</v>
      </c>
      <c r="B23087" t="s">
        <v>3221</v>
      </c>
      <c r="C23087">
        <v>8905</v>
      </c>
      <c r="D23087" t="s">
        <v>1456</v>
      </c>
      <c r="E23087" t="s">
        <v>1457</v>
      </c>
      <c r="F23087">
        <v>5525</v>
      </c>
      <c r="G23087">
        <v>230601</v>
      </c>
      <c r="H23087">
        <v>4440</v>
      </c>
      <c r="I23087" t="s">
        <v>250</v>
      </c>
      <c r="J23087">
        <v>6851</v>
      </c>
      <c r="K23087">
        <v>1326</v>
      </c>
      <c r="L23087">
        <v>18122</v>
      </c>
      <c r="M23087" t="s">
        <v>407</v>
      </c>
      <c r="N23087" t="str">
        <f>"1631        "</f>
        <v xml:space="preserve">1631        </v>
      </c>
      <c r="O23087">
        <v>230619</v>
      </c>
    </row>
    <row r="23088" spans="1:15" x14ac:dyDescent="0.25">
      <c r="A23088" t="s">
        <v>16</v>
      </c>
      <c r="B23088" t="s">
        <v>3221</v>
      </c>
      <c r="C23088">
        <v>11769</v>
      </c>
      <c r="D23088" t="s">
        <v>1456</v>
      </c>
      <c r="E23088" t="s">
        <v>1457</v>
      </c>
      <c r="F23088">
        <v>8970</v>
      </c>
      <c r="G23088">
        <v>230824</v>
      </c>
      <c r="H23088">
        <v>4440</v>
      </c>
      <c r="I23088" t="s">
        <v>250</v>
      </c>
      <c r="J23088">
        <v>11122.8</v>
      </c>
      <c r="K23088">
        <v>2152.8000000000002</v>
      </c>
      <c r="L23088">
        <v>18122</v>
      </c>
      <c r="M23088" t="s">
        <v>407</v>
      </c>
      <c r="N23088" t="str">
        <f>"1653        "</f>
        <v xml:space="preserve">1653        </v>
      </c>
      <c r="O23088">
        <v>230908</v>
      </c>
    </row>
    <row r="23089" spans="1:15" x14ac:dyDescent="0.25">
      <c r="A23089" t="s">
        <v>16</v>
      </c>
      <c r="B23089" t="s">
        <v>3221</v>
      </c>
      <c r="C23089">
        <v>11920</v>
      </c>
      <c r="D23089" t="s">
        <v>1456</v>
      </c>
      <c r="E23089" t="s">
        <v>1457</v>
      </c>
      <c r="F23089">
        <v>7500</v>
      </c>
      <c r="G23089">
        <v>230824</v>
      </c>
      <c r="H23089">
        <v>4440</v>
      </c>
      <c r="I23089" t="s">
        <v>250</v>
      </c>
      <c r="J23089">
        <v>9300</v>
      </c>
      <c r="K23089">
        <v>1800</v>
      </c>
      <c r="L23089">
        <v>18122</v>
      </c>
      <c r="M23089" t="s">
        <v>407</v>
      </c>
      <c r="N23089" t="str">
        <f>"1654        "</f>
        <v xml:space="preserve">1654        </v>
      </c>
      <c r="O23089">
        <v>230911</v>
      </c>
    </row>
    <row r="23090" spans="1:15" x14ac:dyDescent="0.25">
      <c r="A23090" t="s">
        <v>16</v>
      </c>
      <c r="B23090" t="s">
        <v>3221</v>
      </c>
      <c r="C23090">
        <v>12815</v>
      </c>
      <c r="D23090" t="s">
        <v>1456</v>
      </c>
      <c r="E23090" t="s">
        <v>1457</v>
      </c>
      <c r="F23090">
        <v>8125</v>
      </c>
      <c r="G23090">
        <v>230922</v>
      </c>
      <c r="H23090">
        <v>4440</v>
      </c>
      <c r="I23090" t="s">
        <v>250</v>
      </c>
      <c r="J23090">
        <v>10075</v>
      </c>
      <c r="K23090">
        <v>1950</v>
      </c>
      <c r="L23090">
        <v>18122</v>
      </c>
      <c r="M23090" t="s">
        <v>407</v>
      </c>
      <c r="N23090" t="str">
        <f>"1670        "</f>
        <v xml:space="preserve">1670        </v>
      </c>
      <c r="O23090">
        <v>230926</v>
      </c>
    </row>
    <row r="23091" spans="1:15" x14ac:dyDescent="0.25">
      <c r="A23091" t="s">
        <v>16</v>
      </c>
      <c r="B23091" t="s">
        <v>3221</v>
      </c>
      <c r="C23091">
        <v>15525</v>
      </c>
      <c r="D23091" t="s">
        <v>1456</v>
      </c>
      <c r="E23091" t="s">
        <v>1457</v>
      </c>
      <c r="F23091">
        <v>6525</v>
      </c>
      <c r="G23091">
        <v>231103</v>
      </c>
      <c r="H23091">
        <v>4440</v>
      </c>
      <c r="I23091" t="s">
        <v>250</v>
      </c>
      <c r="J23091">
        <v>8091</v>
      </c>
      <c r="K23091">
        <v>1566</v>
      </c>
      <c r="L23091">
        <v>18122</v>
      </c>
      <c r="M23091" t="s">
        <v>407</v>
      </c>
      <c r="N23091" t="str">
        <f>"1687        "</f>
        <v xml:space="preserve">1687        </v>
      </c>
      <c r="O23091">
        <v>231113</v>
      </c>
    </row>
    <row r="23092" spans="1:15" x14ac:dyDescent="0.25">
      <c r="A23092" t="s">
        <v>16</v>
      </c>
      <c r="B23092" t="s">
        <v>3221</v>
      </c>
      <c r="C23092">
        <v>17325</v>
      </c>
      <c r="D23092" t="s">
        <v>1456</v>
      </c>
      <c r="E23092" t="s">
        <v>1457</v>
      </c>
      <c r="F23092">
        <v>8125</v>
      </c>
      <c r="G23092">
        <v>231207</v>
      </c>
      <c r="H23092">
        <v>4440</v>
      </c>
      <c r="I23092" t="s">
        <v>250</v>
      </c>
      <c r="J23092">
        <v>10075</v>
      </c>
      <c r="K23092">
        <v>1950</v>
      </c>
      <c r="L23092">
        <v>18122</v>
      </c>
      <c r="M23092" t="s">
        <v>407</v>
      </c>
      <c r="N23092" t="str">
        <f>"1699        "</f>
        <v xml:space="preserve">1699        </v>
      </c>
      <c r="O23092">
        <v>231213</v>
      </c>
    </row>
    <row r="23093" spans="1:15" x14ac:dyDescent="0.25">
      <c r="A23093" t="s">
        <v>16</v>
      </c>
      <c r="B23093" t="s">
        <v>3221</v>
      </c>
      <c r="C23093">
        <v>17326</v>
      </c>
      <c r="D23093" t="s">
        <v>1456</v>
      </c>
      <c r="E23093" t="s">
        <v>1457</v>
      </c>
      <c r="F23093">
        <v>8190</v>
      </c>
      <c r="G23093">
        <v>231207</v>
      </c>
      <c r="H23093">
        <v>4440</v>
      </c>
      <c r="I23093" t="s">
        <v>250</v>
      </c>
      <c r="J23093">
        <v>10155.6</v>
      </c>
      <c r="K23093">
        <v>1965.6</v>
      </c>
      <c r="L23093">
        <v>18122</v>
      </c>
      <c r="M23093" t="s">
        <v>407</v>
      </c>
      <c r="N23093" t="str">
        <f>"1700        "</f>
        <v xml:space="preserve">1700        </v>
      </c>
      <c r="O23093">
        <v>231213</v>
      </c>
    </row>
    <row r="23094" spans="1:15" x14ac:dyDescent="0.25">
      <c r="A23094" t="s">
        <v>16</v>
      </c>
      <c r="B23094" t="s">
        <v>3221</v>
      </c>
      <c r="C23094">
        <v>18020</v>
      </c>
      <c r="D23094" t="s">
        <v>1456</v>
      </c>
      <c r="E23094" t="s">
        <v>1457</v>
      </c>
      <c r="F23094">
        <v>9750</v>
      </c>
      <c r="G23094">
        <v>231218</v>
      </c>
      <c r="H23094">
        <v>4440</v>
      </c>
      <c r="I23094" t="s">
        <v>250</v>
      </c>
      <c r="J23094">
        <v>12090</v>
      </c>
      <c r="K23094">
        <v>2340</v>
      </c>
      <c r="L23094">
        <v>18122</v>
      </c>
      <c r="M23094" t="s">
        <v>407</v>
      </c>
      <c r="N23094" t="str">
        <f>"1714        "</f>
        <v xml:space="preserve">1714        </v>
      </c>
      <c r="O23094">
        <v>231228</v>
      </c>
    </row>
    <row r="23095" spans="1:15" x14ac:dyDescent="0.25">
      <c r="A23095" t="s">
        <v>16</v>
      </c>
      <c r="B23095" t="s">
        <v>3221</v>
      </c>
      <c r="C23095">
        <v>7327</v>
      </c>
      <c r="D23095" t="s">
        <v>2083</v>
      </c>
      <c r="E23095" t="s">
        <v>2084</v>
      </c>
      <c r="F23095">
        <v>100</v>
      </c>
      <c r="G23095">
        <v>230525</v>
      </c>
      <c r="H23095">
        <v>4600</v>
      </c>
      <c r="I23095" t="s">
        <v>105</v>
      </c>
      <c r="J23095">
        <v>100</v>
      </c>
      <c r="K23095">
        <v>0</v>
      </c>
      <c r="L23095">
        <v>13661</v>
      </c>
      <c r="M23095" t="s">
        <v>247</v>
      </c>
      <c r="N23095" t="str">
        <f>"29861       "</f>
        <v xml:space="preserve">29861       </v>
      </c>
      <c r="O23095">
        <v>230529</v>
      </c>
    </row>
    <row r="23096" spans="1:15" x14ac:dyDescent="0.25">
      <c r="A23096" t="s">
        <v>16</v>
      </c>
      <c r="B23096" t="s">
        <v>3221</v>
      </c>
      <c r="C23096">
        <v>14372</v>
      </c>
      <c r="D23096" t="s">
        <v>2083</v>
      </c>
      <c r="E23096" t="s">
        <v>2084</v>
      </c>
      <c r="F23096">
        <v>75.81</v>
      </c>
      <c r="G23096">
        <v>231019</v>
      </c>
      <c r="H23096">
        <v>4600</v>
      </c>
      <c r="I23096" t="s">
        <v>105</v>
      </c>
      <c r="J23096">
        <v>94</v>
      </c>
      <c r="K23096">
        <v>18.190000000000001</v>
      </c>
      <c r="L23096">
        <v>13801</v>
      </c>
      <c r="M23096" t="s">
        <v>162</v>
      </c>
      <c r="N23096" t="str">
        <f>"30471       "</f>
        <v xml:space="preserve">30471       </v>
      </c>
      <c r="O23096">
        <v>231030</v>
      </c>
    </row>
    <row r="23097" spans="1:15" x14ac:dyDescent="0.25">
      <c r="A23097" t="s">
        <v>16</v>
      </c>
      <c r="B23097" t="s">
        <v>3221</v>
      </c>
      <c r="C23097">
        <v>6814</v>
      </c>
      <c r="D23097" t="s">
        <v>2025</v>
      </c>
      <c r="E23097" t="s">
        <v>2026</v>
      </c>
      <c r="F23097">
        <v>1000</v>
      </c>
      <c r="G23097">
        <v>230515</v>
      </c>
      <c r="H23097">
        <v>4420</v>
      </c>
      <c r="I23097" t="s">
        <v>132</v>
      </c>
      <c r="J23097">
        <v>1100</v>
      </c>
      <c r="K23097">
        <v>100</v>
      </c>
      <c r="L23097">
        <v>13501</v>
      </c>
      <c r="M23097" t="s">
        <v>20</v>
      </c>
      <c r="N23097" t="str">
        <f>"2627        "</f>
        <v xml:space="preserve">2627        </v>
      </c>
      <c r="O23097">
        <v>230522</v>
      </c>
    </row>
    <row r="23098" spans="1:15" x14ac:dyDescent="0.25">
      <c r="A23098" t="s">
        <v>16</v>
      </c>
      <c r="B23098" t="s">
        <v>3221</v>
      </c>
      <c r="C23098">
        <v>11537</v>
      </c>
      <c r="D23098" t="s">
        <v>2025</v>
      </c>
      <c r="E23098" t="s">
        <v>2026</v>
      </c>
      <c r="F23098">
        <v>318.18</v>
      </c>
      <c r="G23098">
        <v>230906</v>
      </c>
      <c r="H23098">
        <v>4420</v>
      </c>
      <c r="I23098" t="s">
        <v>132</v>
      </c>
      <c r="J23098">
        <v>350</v>
      </c>
      <c r="K23098">
        <v>31.82</v>
      </c>
      <c r="L23098">
        <v>13801</v>
      </c>
      <c r="M23098" t="s">
        <v>162</v>
      </c>
      <c r="N23098" t="str">
        <f>"2826        "</f>
        <v xml:space="preserve">2826        </v>
      </c>
      <c r="O23098">
        <v>230907</v>
      </c>
    </row>
    <row r="23099" spans="1:15" x14ac:dyDescent="0.25">
      <c r="A23099" t="s">
        <v>16</v>
      </c>
      <c r="B23099" t="s">
        <v>3221</v>
      </c>
      <c r="C23099">
        <v>5780</v>
      </c>
      <c r="D23099" t="s">
        <v>1898</v>
      </c>
      <c r="E23099" t="s">
        <v>1899</v>
      </c>
      <c r="F23099">
        <v>700</v>
      </c>
      <c r="G23099">
        <v>230425</v>
      </c>
      <c r="H23099">
        <v>4426</v>
      </c>
      <c r="I23099" t="s">
        <v>1172</v>
      </c>
      <c r="J23099">
        <v>700</v>
      </c>
      <c r="K23099">
        <v>0</v>
      </c>
      <c r="L23099">
        <v>56564</v>
      </c>
      <c r="M23099" t="s">
        <v>327</v>
      </c>
      <c r="N23099" t="str">
        <f>"6023040007  "</f>
        <v xml:space="preserve">6023040007  </v>
      </c>
      <c r="O23099">
        <v>230502</v>
      </c>
    </row>
    <row r="23100" spans="1:15" x14ac:dyDescent="0.25">
      <c r="A23100" t="s">
        <v>16</v>
      </c>
      <c r="B23100" t="s">
        <v>3221</v>
      </c>
      <c r="C23100">
        <v>5846</v>
      </c>
      <c r="D23100" t="s">
        <v>3714</v>
      </c>
      <c r="E23100" t="s">
        <v>1911</v>
      </c>
      <c r="F23100">
        <v>1060</v>
      </c>
      <c r="G23100">
        <v>230430</v>
      </c>
      <c r="H23100">
        <v>4420</v>
      </c>
      <c r="I23100" t="s">
        <v>132</v>
      </c>
      <c r="J23100">
        <v>1060</v>
      </c>
      <c r="K23100">
        <v>0</v>
      </c>
      <c r="L23100">
        <v>13802</v>
      </c>
      <c r="M23100" t="s">
        <v>200</v>
      </c>
      <c r="N23100" t="str">
        <f>"3244        "</f>
        <v xml:space="preserve">3244        </v>
      </c>
      <c r="O23100">
        <v>230503</v>
      </c>
    </row>
    <row r="23101" spans="1:15" x14ac:dyDescent="0.25">
      <c r="A23101" t="s">
        <v>16</v>
      </c>
      <c r="B23101" t="s">
        <v>3221</v>
      </c>
      <c r="C23101">
        <v>9355</v>
      </c>
      <c r="D23101" t="s">
        <v>2306</v>
      </c>
      <c r="E23101" t="s">
        <v>2307</v>
      </c>
      <c r="F23101">
        <v>4200</v>
      </c>
      <c r="G23101">
        <v>230703</v>
      </c>
      <c r="H23101">
        <v>4390</v>
      </c>
      <c r="I23101" t="s">
        <v>98</v>
      </c>
      <c r="J23101">
        <v>4200</v>
      </c>
      <c r="K23101">
        <v>0</v>
      </c>
      <c r="L23101">
        <v>69501</v>
      </c>
      <c r="M23101" t="s">
        <v>185</v>
      </c>
      <c r="N23101" t="str">
        <f>"230114      "</f>
        <v xml:space="preserve">230114      </v>
      </c>
      <c r="O23101">
        <v>230710</v>
      </c>
    </row>
    <row r="23102" spans="1:15" x14ac:dyDescent="0.25">
      <c r="A23102" t="s">
        <v>16</v>
      </c>
      <c r="B23102" t="s">
        <v>3221</v>
      </c>
      <c r="C23102">
        <v>5456</v>
      </c>
      <c r="D23102" t="s">
        <v>1847</v>
      </c>
      <c r="E23102" t="s">
        <v>1848</v>
      </c>
      <c r="F23102">
        <v>120</v>
      </c>
      <c r="G23102">
        <v>230421</v>
      </c>
      <c r="H23102">
        <v>4441</v>
      </c>
      <c r="I23102" t="s">
        <v>109</v>
      </c>
      <c r="J23102">
        <v>148.80000000000001</v>
      </c>
      <c r="K23102">
        <v>28.8</v>
      </c>
      <c r="L23102">
        <v>56559</v>
      </c>
      <c r="M23102" t="s">
        <v>129</v>
      </c>
      <c r="N23102" t="str">
        <f>"23578       "</f>
        <v xml:space="preserve">23578       </v>
      </c>
      <c r="O23102">
        <v>230425</v>
      </c>
    </row>
    <row r="23103" spans="1:15" x14ac:dyDescent="0.25">
      <c r="A23103" t="s">
        <v>16</v>
      </c>
      <c r="B23103" t="s">
        <v>3221</v>
      </c>
      <c r="C23103">
        <v>5720</v>
      </c>
      <c r="D23103" t="s">
        <v>1847</v>
      </c>
      <c r="E23103" t="s">
        <v>1848</v>
      </c>
      <c r="F23103">
        <v>120</v>
      </c>
      <c r="G23103">
        <v>230427</v>
      </c>
      <c r="H23103">
        <v>4441</v>
      </c>
      <c r="I23103" t="s">
        <v>109</v>
      </c>
      <c r="J23103">
        <v>148.80000000000001</v>
      </c>
      <c r="K23103">
        <v>28.8</v>
      </c>
      <c r="L23103">
        <v>65222</v>
      </c>
      <c r="M23103" t="s">
        <v>487</v>
      </c>
      <c r="N23103" t="str">
        <f>"23625       "</f>
        <v xml:space="preserve">23625       </v>
      </c>
      <c r="O23103">
        <v>230502</v>
      </c>
    </row>
    <row r="23104" spans="1:15" x14ac:dyDescent="0.25">
      <c r="A23104" t="s">
        <v>16</v>
      </c>
      <c r="B23104" t="s">
        <v>3221</v>
      </c>
      <c r="C23104">
        <v>5408</v>
      </c>
      <c r="D23104" t="s">
        <v>1847</v>
      </c>
      <c r="E23104" t="s">
        <v>1848</v>
      </c>
      <c r="F23104">
        <v>120</v>
      </c>
      <c r="G23104">
        <v>230420</v>
      </c>
      <c r="H23104">
        <v>4440</v>
      </c>
      <c r="I23104" t="s">
        <v>250</v>
      </c>
      <c r="J23104">
        <v>148.80000000000001</v>
      </c>
      <c r="K23104">
        <v>28.8</v>
      </c>
      <c r="L23104">
        <v>14422</v>
      </c>
      <c r="M23104" t="s">
        <v>228</v>
      </c>
      <c r="N23104" t="str">
        <f>"23556       "</f>
        <v xml:space="preserve">23556       </v>
      </c>
      <c r="O23104">
        <v>230424</v>
      </c>
    </row>
    <row r="23105" spans="1:15" x14ac:dyDescent="0.25">
      <c r="A23105" t="s">
        <v>16</v>
      </c>
      <c r="B23105" t="s">
        <v>3221</v>
      </c>
      <c r="C23105">
        <v>2570</v>
      </c>
      <c r="D23105" t="s">
        <v>1428</v>
      </c>
      <c r="E23105" t="s">
        <v>1429</v>
      </c>
      <c r="F23105">
        <v>96.92</v>
      </c>
      <c r="G23105">
        <v>230228</v>
      </c>
      <c r="H23105">
        <v>4520</v>
      </c>
      <c r="I23105" t="s">
        <v>254</v>
      </c>
      <c r="J23105">
        <v>110.49</v>
      </c>
      <c r="K23105">
        <v>13.57</v>
      </c>
      <c r="L23105">
        <v>65222</v>
      </c>
      <c r="M23105" t="s">
        <v>487</v>
      </c>
      <c r="N23105" t="str">
        <f>"2360179296  "</f>
        <v xml:space="preserve">2360179296  </v>
      </c>
      <c r="O23105">
        <v>230302</v>
      </c>
    </row>
    <row r="23106" spans="1:15" x14ac:dyDescent="0.25">
      <c r="A23106" t="s">
        <v>16</v>
      </c>
      <c r="B23106" t="s">
        <v>3221</v>
      </c>
      <c r="C23106">
        <v>2570</v>
      </c>
      <c r="D23106" t="s">
        <v>1428</v>
      </c>
      <c r="E23106" t="s">
        <v>1429</v>
      </c>
      <c r="F23106">
        <v>4.32</v>
      </c>
      <c r="G23106">
        <v>230228</v>
      </c>
      <c r="H23106">
        <v>4600</v>
      </c>
      <c r="I23106" t="s">
        <v>105</v>
      </c>
      <c r="J23106">
        <v>5.36</v>
      </c>
      <c r="K23106">
        <v>1.04</v>
      </c>
      <c r="L23106">
        <v>65222</v>
      </c>
      <c r="M23106" t="s">
        <v>487</v>
      </c>
      <c r="N23106" t="str">
        <f>"2360179296  "</f>
        <v xml:space="preserve">2360179296  </v>
      </c>
      <c r="O23106">
        <v>230302</v>
      </c>
    </row>
    <row r="23107" spans="1:15" x14ac:dyDescent="0.25">
      <c r="A23107" t="s">
        <v>16</v>
      </c>
      <c r="B23107" t="s">
        <v>3221</v>
      </c>
      <c r="C23107">
        <v>1409</v>
      </c>
      <c r="D23107" t="s">
        <v>1031</v>
      </c>
      <c r="E23107" t="s">
        <v>1032</v>
      </c>
      <c r="F23107">
        <v>1845</v>
      </c>
      <c r="G23107">
        <v>230207</v>
      </c>
      <c r="H23107">
        <v>4400</v>
      </c>
      <c r="I23107" t="s">
        <v>348</v>
      </c>
      <c r="J23107">
        <v>2287.8000000000002</v>
      </c>
      <c r="K23107">
        <v>442.8</v>
      </c>
      <c r="L23107">
        <v>46557</v>
      </c>
      <c r="M23107" t="s">
        <v>221</v>
      </c>
      <c r="N23107" t="str">
        <f>"201         "</f>
        <v xml:space="preserve">201         </v>
      </c>
      <c r="O23107">
        <v>230208</v>
      </c>
    </row>
    <row r="23108" spans="1:15" x14ac:dyDescent="0.25">
      <c r="A23108" t="s">
        <v>16</v>
      </c>
      <c r="B23108" t="s">
        <v>3221</v>
      </c>
      <c r="C23108">
        <v>18948</v>
      </c>
      <c r="D23108" t="s">
        <v>1031</v>
      </c>
      <c r="E23108" t="s">
        <v>1032</v>
      </c>
      <c r="F23108">
        <v>1040</v>
      </c>
      <c r="G23108">
        <v>231229</v>
      </c>
      <c r="H23108">
        <v>4400</v>
      </c>
      <c r="I23108" t="s">
        <v>348</v>
      </c>
      <c r="J23108">
        <v>1289.5999999999999</v>
      </c>
      <c r="K23108">
        <v>249.6</v>
      </c>
      <c r="L23108">
        <v>46557</v>
      </c>
      <c r="M23108" t="s">
        <v>221</v>
      </c>
      <c r="N23108" t="str">
        <f>"282         "</f>
        <v xml:space="preserve">282         </v>
      </c>
      <c r="O23108">
        <v>240109</v>
      </c>
    </row>
    <row r="23109" spans="1:15" x14ac:dyDescent="0.25">
      <c r="A23109" t="s">
        <v>16</v>
      </c>
      <c r="B23109" t="s">
        <v>3221</v>
      </c>
      <c r="C23109">
        <v>3433</v>
      </c>
      <c r="D23109" t="s">
        <v>1559</v>
      </c>
      <c r="E23109" t="s">
        <v>1560</v>
      </c>
      <c r="F23109">
        <v>86.58</v>
      </c>
      <c r="G23109">
        <v>230313</v>
      </c>
      <c r="H23109">
        <v>4600</v>
      </c>
      <c r="I23109" t="s">
        <v>105</v>
      </c>
      <c r="J23109">
        <v>107.36</v>
      </c>
      <c r="K23109">
        <v>20.78</v>
      </c>
      <c r="L23109">
        <v>56570</v>
      </c>
      <c r="M23109" t="s">
        <v>1561</v>
      </c>
      <c r="N23109" t="str">
        <f>"8409972     "</f>
        <v xml:space="preserve">8409972     </v>
      </c>
      <c r="O23109">
        <v>230315</v>
      </c>
    </row>
    <row r="23110" spans="1:15" x14ac:dyDescent="0.25">
      <c r="A23110" t="s">
        <v>16</v>
      </c>
      <c r="B23110" t="s">
        <v>3221</v>
      </c>
      <c r="C23110">
        <v>5090</v>
      </c>
      <c r="D23110" t="s">
        <v>1559</v>
      </c>
      <c r="E23110" t="s">
        <v>1560</v>
      </c>
      <c r="F23110">
        <v>107.81</v>
      </c>
      <c r="G23110">
        <v>230324</v>
      </c>
      <c r="H23110">
        <v>4600</v>
      </c>
      <c r="I23110" t="s">
        <v>105</v>
      </c>
      <c r="J23110">
        <v>133.68</v>
      </c>
      <c r="K23110">
        <v>25.87</v>
      </c>
      <c r="L23110">
        <v>56573</v>
      </c>
      <c r="M23110" t="s">
        <v>521</v>
      </c>
      <c r="N23110" t="str">
        <f>"8410337     "</f>
        <v xml:space="preserve">8410337     </v>
      </c>
      <c r="O23110">
        <v>230418</v>
      </c>
    </row>
    <row r="23111" spans="1:15" x14ac:dyDescent="0.25">
      <c r="A23111" t="s">
        <v>16</v>
      </c>
      <c r="B23111" t="s">
        <v>3221</v>
      </c>
      <c r="C23111">
        <v>4369</v>
      </c>
      <c r="D23111" t="s">
        <v>1700</v>
      </c>
      <c r="E23111" t="s">
        <v>1701</v>
      </c>
      <c r="F23111">
        <v>78.680000000000007</v>
      </c>
      <c r="G23111">
        <v>230331</v>
      </c>
      <c r="H23111">
        <v>4400</v>
      </c>
      <c r="I23111" t="s">
        <v>348</v>
      </c>
      <c r="J23111">
        <v>97.56</v>
      </c>
      <c r="K23111">
        <v>18.88</v>
      </c>
      <c r="L23111">
        <v>59502</v>
      </c>
      <c r="M23111" t="s">
        <v>70</v>
      </c>
      <c r="N23111" t="str">
        <f>"14188       "</f>
        <v xml:space="preserve">14188       </v>
      </c>
      <c r="O23111">
        <v>230405</v>
      </c>
    </row>
    <row r="23112" spans="1:15" x14ac:dyDescent="0.25">
      <c r="A23112" t="s">
        <v>16</v>
      </c>
      <c r="B23112" t="s">
        <v>3221</v>
      </c>
      <c r="C23112">
        <v>4369</v>
      </c>
      <c r="D23112" t="s">
        <v>1700</v>
      </c>
      <c r="E23112" t="s">
        <v>1701</v>
      </c>
      <c r="F23112">
        <v>50.32</v>
      </c>
      <c r="G23112">
        <v>230331</v>
      </c>
      <c r="H23112">
        <v>4400</v>
      </c>
      <c r="I23112" t="s">
        <v>348</v>
      </c>
      <c r="J23112">
        <v>62.4</v>
      </c>
      <c r="K23112">
        <v>12.08</v>
      </c>
      <c r="L23112">
        <v>59802</v>
      </c>
      <c r="M23112" t="s">
        <v>73</v>
      </c>
      <c r="N23112" t="str">
        <f>"14188       "</f>
        <v xml:space="preserve">14188       </v>
      </c>
      <c r="O23112">
        <v>230405</v>
      </c>
    </row>
    <row r="23113" spans="1:15" x14ac:dyDescent="0.25">
      <c r="A23113" t="s">
        <v>16</v>
      </c>
      <c r="B23113" t="s">
        <v>3221</v>
      </c>
      <c r="C23113">
        <v>9775</v>
      </c>
      <c r="D23113" t="s">
        <v>1700</v>
      </c>
      <c r="E23113" t="s">
        <v>1701</v>
      </c>
      <c r="F23113">
        <v>79.599999999999994</v>
      </c>
      <c r="G23113">
        <v>230630</v>
      </c>
      <c r="H23113">
        <v>4400</v>
      </c>
      <c r="I23113" t="s">
        <v>348</v>
      </c>
      <c r="J23113">
        <v>98.7</v>
      </c>
      <c r="K23113">
        <v>19.100000000000001</v>
      </c>
      <c r="L23113">
        <v>17951</v>
      </c>
      <c r="M23113" t="s">
        <v>87</v>
      </c>
      <c r="N23113" t="str">
        <f>"14869       "</f>
        <v xml:space="preserve">14869       </v>
      </c>
      <c r="O23113">
        <v>230725</v>
      </c>
    </row>
    <row r="23114" spans="1:15" x14ac:dyDescent="0.25">
      <c r="A23114" t="s">
        <v>16</v>
      </c>
      <c r="B23114" t="s">
        <v>3221</v>
      </c>
      <c r="C23114">
        <v>16832</v>
      </c>
      <c r="D23114" t="s">
        <v>1700</v>
      </c>
      <c r="E23114" t="s">
        <v>1701</v>
      </c>
      <c r="F23114">
        <v>79.09</v>
      </c>
      <c r="G23114">
        <v>231130</v>
      </c>
      <c r="H23114">
        <v>4400</v>
      </c>
      <c r="I23114" t="s">
        <v>348</v>
      </c>
      <c r="J23114">
        <v>98.07</v>
      </c>
      <c r="K23114">
        <v>18.98</v>
      </c>
      <c r="L23114">
        <v>59501</v>
      </c>
      <c r="M23114" t="s">
        <v>69</v>
      </c>
      <c r="N23114" t="str">
        <f>"15761       "</f>
        <v xml:space="preserve">15761       </v>
      </c>
      <c r="O23114">
        <v>231211</v>
      </c>
    </row>
    <row r="23115" spans="1:15" x14ac:dyDescent="0.25">
      <c r="A23115" t="s">
        <v>16</v>
      </c>
      <c r="B23115" t="s">
        <v>3221</v>
      </c>
      <c r="C23115">
        <v>17963</v>
      </c>
      <c r="D23115" t="s">
        <v>1700</v>
      </c>
      <c r="E23115" t="s">
        <v>1701</v>
      </c>
      <c r="F23115">
        <v>192.17</v>
      </c>
      <c r="G23115">
        <v>231215</v>
      </c>
      <c r="H23115">
        <v>4400</v>
      </c>
      <c r="I23115" t="s">
        <v>348</v>
      </c>
      <c r="J23115">
        <v>238.29</v>
      </c>
      <c r="K23115">
        <v>46.12</v>
      </c>
      <c r="L23115">
        <v>59502</v>
      </c>
      <c r="M23115" t="s">
        <v>70</v>
      </c>
      <c r="N23115" t="str">
        <f>"15888       "</f>
        <v xml:space="preserve">15888       </v>
      </c>
      <c r="O23115">
        <v>231228</v>
      </c>
    </row>
    <row r="23116" spans="1:15" x14ac:dyDescent="0.25">
      <c r="A23116" t="s">
        <v>16</v>
      </c>
      <c r="B23116" t="s">
        <v>3221</v>
      </c>
      <c r="C23116">
        <v>17963</v>
      </c>
      <c r="D23116" t="s">
        <v>1700</v>
      </c>
      <c r="E23116" t="s">
        <v>1701</v>
      </c>
      <c r="F23116">
        <v>122.91</v>
      </c>
      <c r="G23116">
        <v>231215</v>
      </c>
      <c r="H23116">
        <v>4400</v>
      </c>
      <c r="I23116" t="s">
        <v>348</v>
      </c>
      <c r="J23116">
        <v>152.41</v>
      </c>
      <c r="K23116">
        <v>29.5</v>
      </c>
      <c r="L23116">
        <v>59802</v>
      </c>
      <c r="M23116" t="s">
        <v>73</v>
      </c>
      <c r="N23116" t="str">
        <f>"15888       "</f>
        <v xml:space="preserve">15888       </v>
      </c>
      <c r="O23116">
        <v>231228</v>
      </c>
    </row>
    <row r="23117" spans="1:15" x14ac:dyDescent="0.25">
      <c r="A23117" t="s">
        <v>16</v>
      </c>
      <c r="B23117" t="s">
        <v>3221</v>
      </c>
      <c r="C23117">
        <v>19135</v>
      </c>
      <c r="D23117" t="s">
        <v>1700</v>
      </c>
      <c r="E23117" t="s">
        <v>1701</v>
      </c>
      <c r="F23117">
        <v>96</v>
      </c>
      <c r="G23117">
        <v>231231</v>
      </c>
      <c r="H23117">
        <v>4400</v>
      </c>
      <c r="I23117" t="s">
        <v>348</v>
      </c>
      <c r="J23117">
        <v>119.04</v>
      </c>
      <c r="K23117">
        <v>23.04</v>
      </c>
      <c r="L23117">
        <v>17951</v>
      </c>
      <c r="M23117" t="s">
        <v>87</v>
      </c>
      <c r="N23117" t="str">
        <f>"15909       "</f>
        <v xml:space="preserve">15909       </v>
      </c>
      <c r="O23117">
        <v>240111</v>
      </c>
    </row>
    <row r="23118" spans="1:15" x14ac:dyDescent="0.25">
      <c r="A23118" t="s">
        <v>16</v>
      </c>
      <c r="B23118" t="s">
        <v>3221</v>
      </c>
      <c r="C23118">
        <v>8251</v>
      </c>
      <c r="D23118" t="s">
        <v>1700</v>
      </c>
      <c r="E23118" t="s">
        <v>1701</v>
      </c>
      <c r="F23118">
        <v>44.36</v>
      </c>
      <c r="G23118">
        <v>230530</v>
      </c>
      <c r="H23118">
        <v>4380</v>
      </c>
      <c r="I23118" t="s">
        <v>113</v>
      </c>
      <c r="J23118">
        <v>55.01</v>
      </c>
      <c r="K23118">
        <v>10.65</v>
      </c>
      <c r="L23118">
        <v>13540</v>
      </c>
      <c r="M23118" t="s">
        <v>85</v>
      </c>
      <c r="N23118" t="str">
        <f>"14532       "</f>
        <v xml:space="preserve">14532       </v>
      </c>
      <c r="O23118">
        <v>230608</v>
      </c>
    </row>
    <row r="23119" spans="1:15" x14ac:dyDescent="0.25">
      <c r="A23119" t="s">
        <v>16</v>
      </c>
      <c r="B23119" t="s">
        <v>3221</v>
      </c>
      <c r="C23119">
        <v>8251</v>
      </c>
      <c r="D23119" t="s">
        <v>1700</v>
      </c>
      <c r="E23119" t="s">
        <v>1701</v>
      </c>
      <c r="F23119">
        <v>358.94</v>
      </c>
      <c r="G23119">
        <v>230530</v>
      </c>
      <c r="H23119">
        <v>4380</v>
      </c>
      <c r="I23119" t="s">
        <v>113</v>
      </c>
      <c r="J23119">
        <v>445.09</v>
      </c>
      <c r="K23119">
        <v>86.15</v>
      </c>
      <c r="L23119">
        <v>17950</v>
      </c>
      <c r="M23119" t="s">
        <v>86</v>
      </c>
      <c r="N23119" t="str">
        <f>"14532       "</f>
        <v xml:space="preserve">14532       </v>
      </c>
      <c r="O23119">
        <v>230608</v>
      </c>
    </row>
    <row r="23120" spans="1:15" x14ac:dyDescent="0.25">
      <c r="A23120" t="s">
        <v>16</v>
      </c>
      <c r="B23120" t="s">
        <v>3221</v>
      </c>
      <c r="C23120">
        <v>5606</v>
      </c>
      <c r="D23120" t="s">
        <v>1870</v>
      </c>
      <c r="E23120" t="s">
        <v>1871</v>
      </c>
      <c r="F23120">
        <v>1691.25</v>
      </c>
      <c r="G23120">
        <v>230426</v>
      </c>
      <c r="H23120">
        <v>4380</v>
      </c>
      <c r="I23120" t="s">
        <v>113</v>
      </c>
      <c r="J23120">
        <v>2097.15</v>
      </c>
      <c r="K23120">
        <v>405.9</v>
      </c>
      <c r="L23120">
        <v>59502</v>
      </c>
      <c r="M23120" t="s">
        <v>70</v>
      </c>
      <c r="N23120" t="str">
        <f>"110         "</f>
        <v xml:space="preserve">110         </v>
      </c>
      <c r="O23120">
        <v>230428</v>
      </c>
    </row>
    <row r="23121" spans="1:15" x14ac:dyDescent="0.25">
      <c r="A23121" t="s">
        <v>16</v>
      </c>
      <c r="B23121" t="s">
        <v>3221</v>
      </c>
      <c r="C23121">
        <v>5606</v>
      </c>
      <c r="D23121" t="s">
        <v>1870</v>
      </c>
      <c r="E23121" t="s">
        <v>1871</v>
      </c>
      <c r="F23121">
        <v>1081.75</v>
      </c>
      <c r="G23121">
        <v>230426</v>
      </c>
      <c r="H23121">
        <v>4380</v>
      </c>
      <c r="I23121" t="s">
        <v>113</v>
      </c>
      <c r="J23121">
        <v>1341.37</v>
      </c>
      <c r="K23121">
        <v>259.62</v>
      </c>
      <c r="L23121">
        <v>59802</v>
      </c>
      <c r="M23121" t="s">
        <v>73</v>
      </c>
      <c r="N23121" t="str">
        <f>"110         "</f>
        <v xml:space="preserve">110         </v>
      </c>
      <c r="O23121">
        <v>230428</v>
      </c>
    </row>
    <row r="23122" spans="1:15" x14ac:dyDescent="0.25">
      <c r="A23122" t="s">
        <v>16</v>
      </c>
      <c r="B23122" t="s">
        <v>3221</v>
      </c>
      <c r="C23122">
        <v>450</v>
      </c>
      <c r="D23122" t="s">
        <v>554</v>
      </c>
      <c r="E23122" t="s">
        <v>555</v>
      </c>
      <c r="F23122">
        <v>3975.25</v>
      </c>
      <c r="G23122">
        <v>230120</v>
      </c>
      <c r="H23122">
        <v>4600</v>
      </c>
      <c r="I23122" t="s">
        <v>105</v>
      </c>
      <c r="J23122">
        <v>4929.3100000000004</v>
      </c>
      <c r="K23122">
        <v>954.06</v>
      </c>
      <c r="L23122">
        <v>17803</v>
      </c>
      <c r="M23122" t="s">
        <v>389</v>
      </c>
      <c r="N23122" t="str">
        <f>"5026616     "</f>
        <v xml:space="preserve">5026616     </v>
      </c>
      <c r="O23122">
        <v>230123</v>
      </c>
    </row>
    <row r="23123" spans="1:15" x14ac:dyDescent="0.25">
      <c r="A23123" t="s">
        <v>16</v>
      </c>
      <c r="B23123" t="s">
        <v>3221</v>
      </c>
      <c r="C23123">
        <v>16807</v>
      </c>
      <c r="D23123" t="s">
        <v>554</v>
      </c>
      <c r="E23123" t="s">
        <v>555</v>
      </c>
      <c r="F23123">
        <v>1088.5999999999999</v>
      </c>
      <c r="G23123">
        <v>231130</v>
      </c>
      <c r="H23123">
        <v>4600</v>
      </c>
      <c r="I23123" t="s">
        <v>105</v>
      </c>
      <c r="J23123">
        <v>1349.86</v>
      </c>
      <c r="K23123">
        <v>261.26</v>
      </c>
      <c r="L23123">
        <v>17803</v>
      </c>
      <c r="M23123" t="s">
        <v>389</v>
      </c>
      <c r="N23123" t="str">
        <f>"5030645     "</f>
        <v xml:space="preserve">5030645     </v>
      </c>
      <c r="O23123">
        <v>231211</v>
      </c>
    </row>
    <row r="23124" spans="1:15" x14ac:dyDescent="0.25">
      <c r="A23124" t="s">
        <v>16</v>
      </c>
      <c r="B23124" t="s">
        <v>3221</v>
      </c>
      <c r="C23124">
        <v>12415</v>
      </c>
      <c r="D23124" t="s">
        <v>538</v>
      </c>
      <c r="E23124" t="s">
        <v>539</v>
      </c>
      <c r="F23124">
        <v>19.88</v>
      </c>
      <c r="G23124">
        <v>230911</v>
      </c>
      <c r="H23124">
        <v>4600</v>
      </c>
      <c r="I23124" t="s">
        <v>105</v>
      </c>
      <c r="J23124">
        <v>24.65</v>
      </c>
      <c r="K23124">
        <v>4.7699999999999996</v>
      </c>
      <c r="L23124">
        <v>13802</v>
      </c>
      <c r="M23124" t="s">
        <v>200</v>
      </c>
      <c r="N23124" t="str">
        <f>"652         "</f>
        <v xml:space="preserve">652         </v>
      </c>
      <c r="O23124">
        <v>230919</v>
      </c>
    </row>
    <row r="23125" spans="1:15" x14ac:dyDescent="0.25">
      <c r="A23125" t="s">
        <v>16</v>
      </c>
      <c r="B23125" t="s">
        <v>3221</v>
      </c>
      <c r="C23125">
        <v>15792</v>
      </c>
      <c r="D23125" t="s">
        <v>538</v>
      </c>
      <c r="E23125" t="s">
        <v>539</v>
      </c>
      <c r="F23125">
        <v>37.82</v>
      </c>
      <c r="G23125">
        <v>231106</v>
      </c>
      <c r="H23125">
        <v>4600</v>
      </c>
      <c r="I23125" t="s">
        <v>105</v>
      </c>
      <c r="J23125">
        <v>46.9</v>
      </c>
      <c r="K23125">
        <v>9.08</v>
      </c>
      <c r="L23125">
        <v>13802</v>
      </c>
      <c r="M23125" t="s">
        <v>200</v>
      </c>
      <c r="N23125" t="str">
        <f>"695         "</f>
        <v xml:space="preserve">695         </v>
      </c>
      <c r="O23125">
        <v>231120</v>
      </c>
    </row>
    <row r="23126" spans="1:15" x14ac:dyDescent="0.25">
      <c r="A23126" t="s">
        <v>16</v>
      </c>
      <c r="B23126" t="s">
        <v>3221</v>
      </c>
      <c r="C23126">
        <v>15944</v>
      </c>
      <c r="D23126" t="s">
        <v>538</v>
      </c>
      <c r="E23126" t="s">
        <v>539</v>
      </c>
      <c r="F23126">
        <v>58.57</v>
      </c>
      <c r="G23126">
        <v>231114</v>
      </c>
      <c r="H23126">
        <v>4600</v>
      </c>
      <c r="I23126" t="s">
        <v>105</v>
      </c>
      <c r="J23126">
        <v>72.63</v>
      </c>
      <c r="K23126">
        <v>14.06</v>
      </c>
      <c r="L23126">
        <v>13802</v>
      </c>
      <c r="M23126" t="s">
        <v>200</v>
      </c>
      <c r="N23126" t="str">
        <f>"705         "</f>
        <v xml:space="preserve">705         </v>
      </c>
      <c r="O23126">
        <v>231122</v>
      </c>
    </row>
    <row r="23127" spans="1:15" x14ac:dyDescent="0.25">
      <c r="A23127" t="s">
        <v>16</v>
      </c>
      <c r="B23127" t="s">
        <v>3221</v>
      </c>
      <c r="C23127">
        <v>439</v>
      </c>
      <c r="D23127" t="s">
        <v>538</v>
      </c>
      <c r="E23127" t="s">
        <v>539</v>
      </c>
      <c r="F23127">
        <v>104.77</v>
      </c>
      <c r="G23127">
        <v>230113</v>
      </c>
      <c r="H23127">
        <v>4500</v>
      </c>
      <c r="I23127" t="s">
        <v>212</v>
      </c>
      <c r="J23127">
        <v>129.91</v>
      </c>
      <c r="K23127">
        <v>25.14</v>
      </c>
      <c r="L23127">
        <v>13821</v>
      </c>
      <c r="M23127" t="s">
        <v>540</v>
      </c>
      <c r="N23127" t="str">
        <f>"545         "</f>
        <v xml:space="preserve">545         </v>
      </c>
      <c r="O23127">
        <v>230123</v>
      </c>
    </row>
    <row r="23128" spans="1:15" x14ac:dyDescent="0.25">
      <c r="A23128" t="s">
        <v>16</v>
      </c>
      <c r="B23128" t="s">
        <v>3221</v>
      </c>
      <c r="C23128">
        <v>7337</v>
      </c>
      <c r="D23128" t="s">
        <v>2085</v>
      </c>
      <c r="E23128" t="s">
        <v>2086</v>
      </c>
      <c r="F23128">
        <v>61.98</v>
      </c>
      <c r="G23128">
        <v>230525</v>
      </c>
      <c r="H23128">
        <v>4580</v>
      </c>
      <c r="I23128" t="s">
        <v>35</v>
      </c>
      <c r="J23128">
        <v>76.86</v>
      </c>
      <c r="K23128">
        <v>14.88</v>
      </c>
      <c r="L23128">
        <v>17532</v>
      </c>
      <c r="M23128" t="s">
        <v>543</v>
      </c>
      <c r="N23128" t="str">
        <f>"302315261   "</f>
        <v xml:space="preserve">302315261   </v>
      </c>
      <c r="O23128">
        <v>230529</v>
      </c>
    </row>
    <row r="23129" spans="1:15" x14ac:dyDescent="0.25">
      <c r="A23129" t="s">
        <v>16</v>
      </c>
      <c r="B23129" t="s">
        <v>3221</v>
      </c>
      <c r="C23129">
        <v>14180</v>
      </c>
      <c r="D23129" t="s">
        <v>2085</v>
      </c>
      <c r="E23129" t="s">
        <v>2086</v>
      </c>
      <c r="F23129">
        <v>76.59</v>
      </c>
      <c r="G23129">
        <v>231005</v>
      </c>
      <c r="H23129">
        <v>4580</v>
      </c>
      <c r="I23129" t="s">
        <v>35</v>
      </c>
      <c r="J23129">
        <v>94.97</v>
      </c>
      <c r="K23129">
        <v>18.38</v>
      </c>
      <c r="L23129">
        <v>17532</v>
      </c>
      <c r="M23129" t="s">
        <v>543</v>
      </c>
      <c r="N23129" t="str">
        <f>"302316230   "</f>
        <v xml:space="preserve">302316230   </v>
      </c>
      <c r="O23129">
        <v>231023</v>
      </c>
    </row>
    <row r="23130" spans="1:15" x14ac:dyDescent="0.25">
      <c r="A23130" t="s">
        <v>16</v>
      </c>
      <c r="B23130" t="s">
        <v>3221</v>
      </c>
      <c r="C23130">
        <v>16609</v>
      </c>
      <c r="D23130" t="s">
        <v>2085</v>
      </c>
      <c r="E23130" t="s">
        <v>2086</v>
      </c>
      <c r="F23130">
        <v>398.76</v>
      </c>
      <c r="G23130">
        <v>231128</v>
      </c>
      <c r="H23130">
        <v>4580</v>
      </c>
      <c r="I23130" t="s">
        <v>35</v>
      </c>
      <c r="J23130">
        <v>494.46</v>
      </c>
      <c r="K23130">
        <v>95.7</v>
      </c>
      <c r="L23130">
        <v>13801</v>
      </c>
      <c r="M23130" t="s">
        <v>162</v>
      </c>
      <c r="N23130" t="str">
        <f>"302317068   "</f>
        <v xml:space="preserve">302317068   </v>
      </c>
      <c r="O23130">
        <v>231204</v>
      </c>
    </row>
    <row r="23131" spans="1:15" x14ac:dyDescent="0.25">
      <c r="A23131" t="s">
        <v>16</v>
      </c>
      <c r="B23131" t="s">
        <v>3221</v>
      </c>
      <c r="C23131">
        <v>13081</v>
      </c>
      <c r="D23131" t="s">
        <v>2624</v>
      </c>
      <c r="E23131" t="s">
        <v>2625</v>
      </c>
      <c r="F23131">
        <v>45</v>
      </c>
      <c r="G23131">
        <v>230929</v>
      </c>
      <c r="H23131">
        <v>4362</v>
      </c>
      <c r="I23131" t="s">
        <v>79</v>
      </c>
      <c r="J23131">
        <v>55.8</v>
      </c>
      <c r="K23131">
        <v>10.8</v>
      </c>
      <c r="L23131">
        <v>54622</v>
      </c>
      <c r="M23131" t="s">
        <v>872</v>
      </c>
      <c r="N23131" t="str">
        <f>"4743        "</f>
        <v xml:space="preserve">4743        </v>
      </c>
      <c r="O23131">
        <v>231003</v>
      </c>
    </row>
    <row r="23132" spans="1:15" x14ac:dyDescent="0.25">
      <c r="A23132" t="s">
        <v>16</v>
      </c>
      <c r="B23132" t="s">
        <v>3221</v>
      </c>
      <c r="C23132">
        <v>14646</v>
      </c>
      <c r="D23132" t="s">
        <v>2624</v>
      </c>
      <c r="E23132" t="s">
        <v>2625</v>
      </c>
      <c r="F23132">
        <v>45</v>
      </c>
      <c r="G23132">
        <v>231030</v>
      </c>
      <c r="H23132">
        <v>4362</v>
      </c>
      <c r="I23132" t="s">
        <v>79</v>
      </c>
      <c r="J23132">
        <v>55.8</v>
      </c>
      <c r="K23132">
        <v>10.8</v>
      </c>
      <c r="L23132">
        <v>54622</v>
      </c>
      <c r="M23132" t="s">
        <v>872</v>
      </c>
      <c r="N23132" t="str">
        <f>"4798        "</f>
        <v xml:space="preserve">4798        </v>
      </c>
      <c r="O23132">
        <v>231031</v>
      </c>
    </row>
    <row r="23133" spans="1:15" x14ac:dyDescent="0.25">
      <c r="A23133" t="s">
        <v>16</v>
      </c>
      <c r="B23133" t="s">
        <v>3221</v>
      </c>
      <c r="C23133">
        <v>4956</v>
      </c>
      <c r="D23133" t="s">
        <v>1770</v>
      </c>
      <c r="E23133" t="s">
        <v>1771</v>
      </c>
      <c r="F23133">
        <v>335</v>
      </c>
      <c r="G23133">
        <v>230405</v>
      </c>
      <c r="H23133">
        <v>4580</v>
      </c>
      <c r="I23133" t="s">
        <v>35</v>
      </c>
      <c r="J23133">
        <v>415.4</v>
      </c>
      <c r="K23133">
        <v>80.400000000000006</v>
      </c>
      <c r="L23133">
        <v>67554</v>
      </c>
      <c r="M23133" t="s">
        <v>60</v>
      </c>
      <c r="N23133" t="str">
        <f>"302369      "</f>
        <v xml:space="preserve">302369      </v>
      </c>
      <c r="O23133">
        <v>230414</v>
      </c>
    </row>
    <row r="23134" spans="1:15" x14ac:dyDescent="0.25">
      <c r="A23134" t="s">
        <v>16</v>
      </c>
      <c r="B23134" t="s">
        <v>3221</v>
      </c>
      <c r="C23134">
        <v>641</v>
      </c>
      <c r="D23134" t="s">
        <v>417</v>
      </c>
      <c r="E23134" t="s">
        <v>418</v>
      </c>
      <c r="F23134">
        <v>13.3</v>
      </c>
      <c r="G23134">
        <v>230115</v>
      </c>
      <c r="H23134">
        <v>4520</v>
      </c>
      <c r="I23134" t="s">
        <v>254</v>
      </c>
      <c r="J23134">
        <v>15.16</v>
      </c>
      <c r="K23134">
        <v>1.86</v>
      </c>
      <c r="L23134">
        <v>17538</v>
      </c>
      <c r="M23134" t="s">
        <v>24</v>
      </c>
      <c r="N23134" t="str">
        <f>"5408973     "</f>
        <v xml:space="preserve">5408973     </v>
      </c>
      <c r="O23134">
        <v>230126</v>
      </c>
    </row>
    <row r="23135" spans="1:15" x14ac:dyDescent="0.25">
      <c r="A23135" t="s">
        <v>16</v>
      </c>
      <c r="B23135" t="s">
        <v>3221</v>
      </c>
      <c r="C23135">
        <v>1090</v>
      </c>
      <c r="D23135" t="s">
        <v>417</v>
      </c>
      <c r="E23135" t="s">
        <v>418</v>
      </c>
      <c r="F23135">
        <v>7.41</v>
      </c>
      <c r="G23135">
        <v>230131</v>
      </c>
      <c r="H23135">
        <v>4520</v>
      </c>
      <c r="I23135" t="s">
        <v>254</v>
      </c>
      <c r="J23135">
        <v>8.4499999999999993</v>
      </c>
      <c r="K23135">
        <v>1.04</v>
      </c>
      <c r="L23135">
        <v>44222</v>
      </c>
      <c r="M23135" t="s">
        <v>232</v>
      </c>
      <c r="N23135" t="str">
        <f>"5410212     "</f>
        <v xml:space="preserve">5410212     </v>
      </c>
      <c r="O23135">
        <v>230203</v>
      </c>
    </row>
    <row r="23136" spans="1:15" x14ac:dyDescent="0.25">
      <c r="A23136" t="s">
        <v>16</v>
      </c>
      <c r="B23136" t="s">
        <v>3221</v>
      </c>
      <c r="C23136">
        <v>1090</v>
      </c>
      <c r="D23136" t="s">
        <v>417</v>
      </c>
      <c r="E23136" t="s">
        <v>418</v>
      </c>
      <c r="F23136">
        <v>21.02</v>
      </c>
      <c r="G23136">
        <v>230131</v>
      </c>
      <c r="H23136">
        <v>4520</v>
      </c>
      <c r="I23136" t="s">
        <v>254</v>
      </c>
      <c r="J23136">
        <v>23.96</v>
      </c>
      <c r="K23136">
        <v>2.94</v>
      </c>
      <c r="L23136">
        <v>44453</v>
      </c>
      <c r="M23136" t="s">
        <v>492</v>
      </c>
      <c r="N23136" t="str">
        <f>"5410212     "</f>
        <v xml:space="preserve">5410212     </v>
      </c>
      <c r="O23136">
        <v>230203</v>
      </c>
    </row>
    <row r="23137" spans="1:15" x14ac:dyDescent="0.25">
      <c r="A23137" t="s">
        <v>16</v>
      </c>
      <c r="B23137" t="s">
        <v>3221</v>
      </c>
      <c r="C23137">
        <v>1342</v>
      </c>
      <c r="D23137" t="s">
        <v>417</v>
      </c>
      <c r="E23137" t="s">
        <v>418</v>
      </c>
      <c r="F23137">
        <v>1.58</v>
      </c>
      <c r="G23137">
        <v>230131</v>
      </c>
      <c r="H23137">
        <v>4520</v>
      </c>
      <c r="I23137" t="s">
        <v>254</v>
      </c>
      <c r="J23137">
        <v>1.8</v>
      </c>
      <c r="K23137">
        <v>0.22</v>
      </c>
      <c r="L23137">
        <v>13501</v>
      </c>
      <c r="M23137" t="s">
        <v>20</v>
      </c>
      <c r="N23137" t="str">
        <f>"5412906     "</f>
        <v xml:space="preserve">5412906     </v>
      </c>
      <c r="O23137">
        <v>230208</v>
      </c>
    </row>
    <row r="23138" spans="1:15" x14ac:dyDescent="0.25">
      <c r="A23138" t="s">
        <v>16</v>
      </c>
      <c r="B23138" t="s">
        <v>3221</v>
      </c>
      <c r="C23138">
        <v>1345</v>
      </c>
      <c r="D23138" t="s">
        <v>417</v>
      </c>
      <c r="E23138" t="s">
        <v>418</v>
      </c>
      <c r="F23138">
        <v>1.82</v>
      </c>
      <c r="G23138">
        <v>230131</v>
      </c>
      <c r="H23138">
        <v>4520</v>
      </c>
      <c r="I23138" t="s">
        <v>254</v>
      </c>
      <c r="J23138">
        <v>2.08</v>
      </c>
      <c r="K23138">
        <v>0.26</v>
      </c>
      <c r="L23138">
        <v>59112</v>
      </c>
      <c r="M23138" t="s">
        <v>182</v>
      </c>
      <c r="N23138" t="str">
        <f>"5410700     "</f>
        <v xml:space="preserve">5410700     </v>
      </c>
      <c r="O23138">
        <v>230208</v>
      </c>
    </row>
    <row r="23139" spans="1:15" x14ac:dyDescent="0.25">
      <c r="A23139" t="s">
        <v>16</v>
      </c>
      <c r="B23139" t="s">
        <v>3221</v>
      </c>
      <c r="C23139">
        <v>1473</v>
      </c>
      <c r="D23139" t="s">
        <v>417</v>
      </c>
      <c r="E23139" t="s">
        <v>418</v>
      </c>
      <c r="F23139">
        <v>10.51</v>
      </c>
      <c r="G23139">
        <v>230131</v>
      </c>
      <c r="H23139">
        <v>4520</v>
      </c>
      <c r="I23139" t="s">
        <v>254</v>
      </c>
      <c r="J23139">
        <v>11.98</v>
      </c>
      <c r="K23139">
        <v>1.47</v>
      </c>
      <c r="L23139">
        <v>17711</v>
      </c>
      <c r="M23139" t="s">
        <v>65</v>
      </c>
      <c r="N23139" t="str">
        <f>"5412127     "</f>
        <v xml:space="preserve">5412127     </v>
      </c>
      <c r="O23139">
        <v>230209</v>
      </c>
    </row>
    <row r="23140" spans="1:15" x14ac:dyDescent="0.25">
      <c r="A23140" t="s">
        <v>16</v>
      </c>
      <c r="B23140" t="s">
        <v>3221</v>
      </c>
      <c r="C23140">
        <v>1702</v>
      </c>
      <c r="D23140" t="s">
        <v>417</v>
      </c>
      <c r="E23140" t="s">
        <v>418</v>
      </c>
      <c r="F23140">
        <v>2.5</v>
      </c>
      <c r="G23140">
        <v>230131</v>
      </c>
      <c r="H23140">
        <v>4520</v>
      </c>
      <c r="I23140" t="s">
        <v>254</v>
      </c>
      <c r="J23140">
        <v>2.85</v>
      </c>
      <c r="K23140">
        <v>0.35</v>
      </c>
      <c r="L23140">
        <v>69111</v>
      </c>
      <c r="M23140" t="s">
        <v>471</v>
      </c>
      <c r="N23140" t="str">
        <f>"5410420     "</f>
        <v xml:space="preserve">5410420     </v>
      </c>
      <c r="O23140">
        <v>230213</v>
      </c>
    </row>
    <row r="23141" spans="1:15" x14ac:dyDescent="0.25">
      <c r="A23141" t="s">
        <v>16</v>
      </c>
      <c r="B23141" t="s">
        <v>3221</v>
      </c>
      <c r="C23141">
        <v>1989</v>
      </c>
      <c r="D23141" t="s">
        <v>417</v>
      </c>
      <c r="E23141" t="s">
        <v>418</v>
      </c>
      <c r="F23141">
        <v>48.77</v>
      </c>
      <c r="G23141">
        <v>230215</v>
      </c>
      <c r="H23141">
        <v>4520</v>
      </c>
      <c r="I23141" t="s">
        <v>254</v>
      </c>
      <c r="J23141">
        <v>55.6</v>
      </c>
      <c r="K23141">
        <v>6.83</v>
      </c>
      <c r="L23141">
        <v>17808</v>
      </c>
      <c r="M23141" t="s">
        <v>322</v>
      </c>
      <c r="N23141" t="str">
        <f>"5414787     "</f>
        <v xml:space="preserve">5414787     </v>
      </c>
      <c r="O23141">
        <v>230217</v>
      </c>
    </row>
    <row r="23142" spans="1:15" x14ac:dyDescent="0.25">
      <c r="A23142" t="s">
        <v>16</v>
      </c>
      <c r="B23142" t="s">
        <v>3221</v>
      </c>
      <c r="C23142">
        <v>2071</v>
      </c>
      <c r="D23142" t="s">
        <v>417</v>
      </c>
      <c r="E23142" t="s">
        <v>418</v>
      </c>
      <c r="F23142">
        <v>12.11</v>
      </c>
      <c r="G23142">
        <v>230215</v>
      </c>
      <c r="H23142">
        <v>4520</v>
      </c>
      <c r="I23142" t="s">
        <v>254</v>
      </c>
      <c r="J23142">
        <v>13.8</v>
      </c>
      <c r="K23142">
        <v>1.69</v>
      </c>
      <c r="L23142">
        <v>13661</v>
      </c>
      <c r="M23142" t="s">
        <v>247</v>
      </c>
      <c r="N23142" t="str">
        <f>"5416898     "</f>
        <v xml:space="preserve">5416898     </v>
      </c>
      <c r="O23142">
        <v>230220</v>
      </c>
    </row>
    <row r="23143" spans="1:15" x14ac:dyDescent="0.25">
      <c r="A23143" t="s">
        <v>16</v>
      </c>
      <c r="B23143" t="s">
        <v>3221</v>
      </c>
      <c r="C23143">
        <v>2265</v>
      </c>
      <c r="D23143" t="s">
        <v>417</v>
      </c>
      <c r="E23143" t="s">
        <v>418</v>
      </c>
      <c r="F23143">
        <v>13.02</v>
      </c>
      <c r="G23143">
        <v>230215</v>
      </c>
      <c r="H23143">
        <v>4520</v>
      </c>
      <c r="I23143" t="s">
        <v>254</v>
      </c>
      <c r="J23143">
        <v>14.84</v>
      </c>
      <c r="K23143">
        <v>1.82</v>
      </c>
      <c r="L23143">
        <v>13561</v>
      </c>
      <c r="M23143" t="s">
        <v>246</v>
      </c>
      <c r="N23143" t="str">
        <f>"5416120     "</f>
        <v xml:space="preserve">5416120     </v>
      </c>
      <c r="O23143">
        <v>230223</v>
      </c>
    </row>
    <row r="23144" spans="1:15" x14ac:dyDescent="0.25">
      <c r="A23144" t="s">
        <v>16</v>
      </c>
      <c r="B23144" t="s">
        <v>3221</v>
      </c>
      <c r="C23144">
        <v>2265</v>
      </c>
      <c r="D23144" t="s">
        <v>417</v>
      </c>
      <c r="E23144" t="s">
        <v>418</v>
      </c>
      <c r="F23144">
        <v>108.61</v>
      </c>
      <c r="G23144">
        <v>230215</v>
      </c>
      <c r="H23144">
        <v>4520</v>
      </c>
      <c r="I23144" t="s">
        <v>254</v>
      </c>
      <c r="J23144">
        <v>123.81</v>
      </c>
      <c r="K23144">
        <v>15.2</v>
      </c>
      <c r="L23144">
        <v>17971</v>
      </c>
      <c r="M23144" t="s">
        <v>138</v>
      </c>
      <c r="N23144" t="str">
        <f>"5416120     "</f>
        <v xml:space="preserve">5416120     </v>
      </c>
      <c r="O23144">
        <v>230223</v>
      </c>
    </row>
    <row r="23145" spans="1:15" x14ac:dyDescent="0.25">
      <c r="A23145" t="s">
        <v>16</v>
      </c>
      <c r="B23145" t="s">
        <v>3221</v>
      </c>
      <c r="C23145">
        <v>2595</v>
      </c>
      <c r="D23145" t="s">
        <v>417</v>
      </c>
      <c r="E23145" t="s">
        <v>418</v>
      </c>
      <c r="F23145">
        <v>35.43</v>
      </c>
      <c r="G23145">
        <v>230228</v>
      </c>
      <c r="H23145">
        <v>4520</v>
      </c>
      <c r="I23145" t="s">
        <v>254</v>
      </c>
      <c r="J23145">
        <v>40.39</v>
      </c>
      <c r="K23145">
        <v>4.96</v>
      </c>
      <c r="L23145">
        <v>69111</v>
      </c>
      <c r="M23145" t="s">
        <v>471</v>
      </c>
      <c r="N23145" t="str">
        <f>"5417752     "</f>
        <v xml:space="preserve">5417752     </v>
      </c>
      <c r="O23145">
        <v>230302</v>
      </c>
    </row>
    <row r="23146" spans="1:15" x14ac:dyDescent="0.25">
      <c r="A23146" t="s">
        <v>16</v>
      </c>
      <c r="B23146" t="s">
        <v>3221</v>
      </c>
      <c r="C23146">
        <v>2761</v>
      </c>
      <c r="D23146" t="s">
        <v>417</v>
      </c>
      <c r="E23146" t="s">
        <v>418</v>
      </c>
      <c r="F23146">
        <v>9.81</v>
      </c>
      <c r="G23146">
        <v>230228</v>
      </c>
      <c r="H23146">
        <v>4520</v>
      </c>
      <c r="I23146" t="s">
        <v>254</v>
      </c>
      <c r="J23146">
        <v>11.18</v>
      </c>
      <c r="K23146">
        <v>1.37</v>
      </c>
      <c r="L23146">
        <v>44453</v>
      </c>
      <c r="M23146" t="s">
        <v>492</v>
      </c>
      <c r="N23146" t="str">
        <f>"5417564     "</f>
        <v xml:space="preserve">5417564     </v>
      </c>
      <c r="O23146">
        <v>230307</v>
      </c>
    </row>
    <row r="23147" spans="1:15" x14ac:dyDescent="0.25">
      <c r="A23147" t="s">
        <v>16</v>
      </c>
      <c r="B23147" t="s">
        <v>3221</v>
      </c>
      <c r="C23147">
        <v>2761</v>
      </c>
      <c r="D23147" t="s">
        <v>417</v>
      </c>
      <c r="E23147" t="s">
        <v>418</v>
      </c>
      <c r="F23147">
        <v>17.36</v>
      </c>
      <c r="G23147">
        <v>230228</v>
      </c>
      <c r="H23147">
        <v>4520</v>
      </c>
      <c r="I23147" t="s">
        <v>254</v>
      </c>
      <c r="J23147">
        <v>19.79</v>
      </c>
      <c r="K23147">
        <v>2.4300000000000002</v>
      </c>
      <c r="L23147">
        <v>49705</v>
      </c>
      <c r="M23147" t="s">
        <v>575</v>
      </c>
      <c r="N23147" t="str">
        <f>"5417564     "</f>
        <v xml:space="preserve">5417564     </v>
      </c>
      <c r="O23147">
        <v>230307</v>
      </c>
    </row>
    <row r="23148" spans="1:15" x14ac:dyDescent="0.25">
      <c r="A23148" t="s">
        <v>16</v>
      </c>
      <c r="B23148" t="s">
        <v>3221</v>
      </c>
      <c r="C23148">
        <v>2925</v>
      </c>
      <c r="D23148" t="s">
        <v>417</v>
      </c>
      <c r="E23148" t="s">
        <v>418</v>
      </c>
      <c r="F23148">
        <v>33.46</v>
      </c>
      <c r="G23148">
        <v>230228</v>
      </c>
      <c r="H23148">
        <v>4520</v>
      </c>
      <c r="I23148" t="s">
        <v>254</v>
      </c>
      <c r="J23148">
        <v>38.15</v>
      </c>
      <c r="K23148">
        <v>4.6900000000000004</v>
      </c>
      <c r="L23148">
        <v>59702</v>
      </c>
      <c r="M23148" t="s">
        <v>328</v>
      </c>
      <c r="N23148" t="str">
        <f>"5418007     "</f>
        <v xml:space="preserve">5418007     </v>
      </c>
      <c r="O23148">
        <v>230308</v>
      </c>
    </row>
    <row r="23149" spans="1:15" x14ac:dyDescent="0.25">
      <c r="A23149" t="s">
        <v>16</v>
      </c>
      <c r="B23149" t="s">
        <v>3221</v>
      </c>
      <c r="C23149">
        <v>4709</v>
      </c>
      <c r="D23149" t="s">
        <v>417</v>
      </c>
      <c r="E23149" t="s">
        <v>418</v>
      </c>
      <c r="F23149">
        <v>4.38</v>
      </c>
      <c r="G23149">
        <v>230331</v>
      </c>
      <c r="H23149">
        <v>4520</v>
      </c>
      <c r="I23149" t="s">
        <v>254</v>
      </c>
      <c r="J23149">
        <v>4.99</v>
      </c>
      <c r="K23149">
        <v>0.61</v>
      </c>
      <c r="L23149">
        <v>69111</v>
      </c>
      <c r="M23149" t="s">
        <v>471</v>
      </c>
      <c r="N23149" t="str">
        <f>"5424517     "</f>
        <v xml:space="preserve">5424517     </v>
      </c>
      <c r="O23149">
        <v>230412</v>
      </c>
    </row>
    <row r="23150" spans="1:15" x14ac:dyDescent="0.25">
      <c r="A23150" t="s">
        <v>16</v>
      </c>
      <c r="B23150" t="s">
        <v>3221</v>
      </c>
      <c r="C23150">
        <v>4888</v>
      </c>
      <c r="D23150" t="s">
        <v>417</v>
      </c>
      <c r="E23150" t="s">
        <v>418</v>
      </c>
      <c r="F23150">
        <v>60.39</v>
      </c>
      <c r="G23150">
        <v>230331</v>
      </c>
      <c r="H23150">
        <v>4520</v>
      </c>
      <c r="I23150" t="s">
        <v>254</v>
      </c>
      <c r="J23150">
        <v>68.849999999999994</v>
      </c>
      <c r="K23150">
        <v>8.4600000000000009</v>
      </c>
      <c r="L23150">
        <v>43222</v>
      </c>
      <c r="M23150" t="s">
        <v>507</v>
      </c>
      <c r="N23150" t="str">
        <f>"5424275     "</f>
        <v xml:space="preserve">5424275     </v>
      </c>
      <c r="O23150">
        <v>230414</v>
      </c>
    </row>
    <row r="23151" spans="1:15" x14ac:dyDescent="0.25">
      <c r="A23151" t="s">
        <v>16</v>
      </c>
      <c r="B23151" t="s">
        <v>3221</v>
      </c>
      <c r="C23151">
        <v>4888</v>
      </c>
      <c r="D23151" t="s">
        <v>417</v>
      </c>
      <c r="E23151" t="s">
        <v>418</v>
      </c>
      <c r="F23151">
        <v>19.12</v>
      </c>
      <c r="G23151">
        <v>230331</v>
      </c>
      <c r="H23151">
        <v>4520</v>
      </c>
      <c r="I23151" t="s">
        <v>254</v>
      </c>
      <c r="J23151">
        <v>21.8</v>
      </c>
      <c r="K23151">
        <v>2.68</v>
      </c>
      <c r="L23151">
        <v>44222</v>
      </c>
      <c r="M23151" t="s">
        <v>232</v>
      </c>
      <c r="N23151" t="str">
        <f>"5424275     "</f>
        <v xml:space="preserve">5424275     </v>
      </c>
      <c r="O23151">
        <v>230414</v>
      </c>
    </row>
    <row r="23152" spans="1:15" x14ac:dyDescent="0.25">
      <c r="A23152" t="s">
        <v>16</v>
      </c>
      <c r="B23152" t="s">
        <v>3221</v>
      </c>
      <c r="C23152">
        <v>4888</v>
      </c>
      <c r="D23152" t="s">
        <v>417</v>
      </c>
      <c r="E23152" t="s">
        <v>418</v>
      </c>
      <c r="F23152">
        <v>18.16</v>
      </c>
      <c r="G23152">
        <v>230331</v>
      </c>
      <c r="H23152">
        <v>4520</v>
      </c>
      <c r="I23152" t="s">
        <v>254</v>
      </c>
      <c r="J23152">
        <v>20.7</v>
      </c>
      <c r="K23152">
        <v>2.54</v>
      </c>
      <c r="L23152">
        <v>46556</v>
      </c>
      <c r="M23152" t="s">
        <v>125</v>
      </c>
      <c r="N23152" t="str">
        <f>"5424275     "</f>
        <v xml:space="preserve">5424275     </v>
      </c>
      <c r="O23152">
        <v>230414</v>
      </c>
    </row>
    <row r="23153" spans="1:15" x14ac:dyDescent="0.25">
      <c r="A23153" t="s">
        <v>16</v>
      </c>
      <c r="B23153" t="s">
        <v>3221</v>
      </c>
      <c r="C23153">
        <v>4888</v>
      </c>
      <c r="D23153" t="s">
        <v>417</v>
      </c>
      <c r="E23153" t="s">
        <v>418</v>
      </c>
      <c r="F23153">
        <v>16.260000000000002</v>
      </c>
      <c r="G23153">
        <v>230331</v>
      </c>
      <c r="H23153">
        <v>4520</v>
      </c>
      <c r="I23153" t="s">
        <v>254</v>
      </c>
      <c r="J23153">
        <v>18.54</v>
      </c>
      <c r="K23153">
        <v>2.2799999999999998</v>
      </c>
      <c r="L23153">
        <v>49705</v>
      </c>
      <c r="M23153" t="s">
        <v>575</v>
      </c>
      <c r="N23153" t="str">
        <f>"5424275     "</f>
        <v xml:space="preserve">5424275     </v>
      </c>
      <c r="O23153">
        <v>230414</v>
      </c>
    </row>
    <row r="23154" spans="1:15" x14ac:dyDescent="0.25">
      <c r="A23154" t="s">
        <v>16</v>
      </c>
      <c r="B23154" t="s">
        <v>3221</v>
      </c>
      <c r="C23154">
        <v>4888</v>
      </c>
      <c r="D23154" t="s">
        <v>417</v>
      </c>
      <c r="E23154" t="s">
        <v>418</v>
      </c>
      <c r="F23154">
        <v>28.11</v>
      </c>
      <c r="G23154">
        <v>230331</v>
      </c>
      <c r="H23154">
        <v>4520</v>
      </c>
      <c r="I23154" t="s">
        <v>254</v>
      </c>
      <c r="J23154">
        <v>32.04</v>
      </c>
      <c r="K23154">
        <v>3.93</v>
      </c>
      <c r="L23154">
        <v>49705</v>
      </c>
      <c r="M23154" t="s">
        <v>575</v>
      </c>
      <c r="N23154" t="str">
        <f>"5424275     "</f>
        <v xml:space="preserve">5424275     </v>
      </c>
      <c r="O23154">
        <v>230414</v>
      </c>
    </row>
    <row r="23155" spans="1:15" x14ac:dyDescent="0.25">
      <c r="A23155" t="s">
        <v>16</v>
      </c>
      <c r="B23155" t="s">
        <v>3221</v>
      </c>
      <c r="C23155">
        <v>5035</v>
      </c>
      <c r="D23155" t="s">
        <v>417</v>
      </c>
      <c r="E23155" t="s">
        <v>418</v>
      </c>
      <c r="F23155">
        <v>37.880000000000003</v>
      </c>
      <c r="G23155">
        <v>230331</v>
      </c>
      <c r="H23155">
        <v>4520</v>
      </c>
      <c r="I23155" t="s">
        <v>254</v>
      </c>
      <c r="J23155">
        <v>43.18</v>
      </c>
      <c r="K23155">
        <v>5.3</v>
      </c>
      <c r="L23155">
        <v>59702</v>
      </c>
      <c r="M23155" t="s">
        <v>328</v>
      </c>
      <c r="N23155" t="str">
        <f>"5424815     "</f>
        <v xml:space="preserve">5424815     </v>
      </c>
      <c r="O23155">
        <v>230417</v>
      </c>
    </row>
    <row r="23156" spans="1:15" x14ac:dyDescent="0.25">
      <c r="A23156" t="s">
        <v>16</v>
      </c>
      <c r="B23156" t="s">
        <v>3221</v>
      </c>
      <c r="C23156">
        <v>5259</v>
      </c>
      <c r="D23156" t="s">
        <v>417</v>
      </c>
      <c r="E23156" t="s">
        <v>418</v>
      </c>
      <c r="F23156">
        <v>6.77</v>
      </c>
      <c r="G23156">
        <v>230415</v>
      </c>
      <c r="H23156">
        <v>4520</v>
      </c>
      <c r="I23156" t="s">
        <v>254</v>
      </c>
      <c r="J23156">
        <v>7.72</v>
      </c>
      <c r="K23156">
        <v>0.95</v>
      </c>
      <c r="L23156">
        <v>17862</v>
      </c>
      <c r="M23156" t="s">
        <v>319</v>
      </c>
      <c r="N23156" t="str">
        <f>"5430240     "</f>
        <v xml:space="preserve">5430240     </v>
      </c>
      <c r="O23156">
        <v>230419</v>
      </c>
    </row>
    <row r="23157" spans="1:15" x14ac:dyDescent="0.25">
      <c r="A23157" t="s">
        <v>16</v>
      </c>
      <c r="B23157" t="s">
        <v>3221</v>
      </c>
      <c r="C23157">
        <v>6124</v>
      </c>
      <c r="D23157" t="s">
        <v>417</v>
      </c>
      <c r="E23157" t="s">
        <v>418</v>
      </c>
      <c r="F23157">
        <v>9.56</v>
      </c>
      <c r="G23157">
        <v>230430</v>
      </c>
      <c r="H23157">
        <v>4520</v>
      </c>
      <c r="I23157" t="s">
        <v>254</v>
      </c>
      <c r="J23157">
        <v>10.9</v>
      </c>
      <c r="K23157">
        <v>1.34</v>
      </c>
      <c r="L23157">
        <v>49112</v>
      </c>
      <c r="M23157" t="s">
        <v>233</v>
      </c>
      <c r="N23157" t="str">
        <f>"5431583     "</f>
        <v xml:space="preserve">5431583     </v>
      </c>
      <c r="O23157">
        <v>230508</v>
      </c>
    </row>
    <row r="23158" spans="1:15" x14ac:dyDescent="0.25">
      <c r="A23158" t="s">
        <v>16</v>
      </c>
      <c r="B23158" t="s">
        <v>3221</v>
      </c>
      <c r="C23158">
        <v>6124</v>
      </c>
      <c r="D23158" t="s">
        <v>417</v>
      </c>
      <c r="E23158" t="s">
        <v>418</v>
      </c>
      <c r="F23158">
        <v>8.0299999999999994</v>
      </c>
      <c r="G23158">
        <v>230430</v>
      </c>
      <c r="H23158">
        <v>4520</v>
      </c>
      <c r="I23158" t="s">
        <v>254</v>
      </c>
      <c r="J23158">
        <v>9.15</v>
      </c>
      <c r="K23158">
        <v>1.1200000000000001</v>
      </c>
      <c r="L23158">
        <v>49705</v>
      </c>
      <c r="M23158" t="s">
        <v>575</v>
      </c>
      <c r="N23158" t="str">
        <f>"5431583     "</f>
        <v xml:space="preserve">5431583     </v>
      </c>
      <c r="O23158">
        <v>230508</v>
      </c>
    </row>
    <row r="23159" spans="1:15" x14ac:dyDescent="0.25">
      <c r="A23159" t="s">
        <v>16</v>
      </c>
      <c r="B23159" t="s">
        <v>3221</v>
      </c>
      <c r="C23159">
        <v>6124</v>
      </c>
      <c r="D23159" t="s">
        <v>417</v>
      </c>
      <c r="E23159" t="s">
        <v>418</v>
      </c>
      <c r="F23159">
        <v>20.09</v>
      </c>
      <c r="G23159">
        <v>230430</v>
      </c>
      <c r="H23159">
        <v>4520</v>
      </c>
      <c r="I23159" t="s">
        <v>254</v>
      </c>
      <c r="J23159">
        <v>22.9</v>
      </c>
      <c r="K23159">
        <v>2.81</v>
      </c>
      <c r="L23159">
        <v>49705</v>
      </c>
      <c r="M23159" t="s">
        <v>575</v>
      </c>
      <c r="N23159" t="str">
        <f>"5431583     "</f>
        <v xml:space="preserve">5431583     </v>
      </c>
      <c r="O23159">
        <v>230508</v>
      </c>
    </row>
    <row r="23160" spans="1:15" x14ac:dyDescent="0.25">
      <c r="A23160" t="s">
        <v>16</v>
      </c>
      <c r="B23160" t="s">
        <v>3221</v>
      </c>
      <c r="C23160">
        <v>6353</v>
      </c>
      <c r="D23160" t="s">
        <v>417</v>
      </c>
      <c r="E23160" t="s">
        <v>418</v>
      </c>
      <c r="F23160">
        <v>12.05</v>
      </c>
      <c r="G23160">
        <v>230430</v>
      </c>
      <c r="H23160">
        <v>4520</v>
      </c>
      <c r="I23160" t="s">
        <v>254</v>
      </c>
      <c r="J23160">
        <v>13.74</v>
      </c>
      <c r="K23160">
        <v>1.69</v>
      </c>
      <c r="L23160">
        <v>54251</v>
      </c>
      <c r="M23160" t="s">
        <v>309</v>
      </c>
      <c r="N23160" t="str">
        <f>"5432071     "</f>
        <v xml:space="preserve">5432071     </v>
      </c>
      <c r="O23160">
        <v>230510</v>
      </c>
    </row>
    <row r="23161" spans="1:15" x14ac:dyDescent="0.25">
      <c r="A23161" t="s">
        <v>16</v>
      </c>
      <c r="B23161" t="s">
        <v>3221</v>
      </c>
      <c r="C23161">
        <v>6353</v>
      </c>
      <c r="D23161" t="s">
        <v>417</v>
      </c>
      <c r="E23161" t="s">
        <v>418</v>
      </c>
      <c r="F23161">
        <v>61.61</v>
      </c>
      <c r="G23161">
        <v>230430</v>
      </c>
      <c r="H23161">
        <v>4520</v>
      </c>
      <c r="I23161" t="s">
        <v>254</v>
      </c>
      <c r="J23161">
        <v>70.23</v>
      </c>
      <c r="K23161">
        <v>8.6199999999999992</v>
      </c>
      <c r="L23161">
        <v>59111</v>
      </c>
      <c r="M23161" t="s">
        <v>1010</v>
      </c>
      <c r="N23161" t="str">
        <f>"5432071     "</f>
        <v xml:space="preserve">5432071     </v>
      </c>
      <c r="O23161">
        <v>230510</v>
      </c>
    </row>
    <row r="23162" spans="1:15" x14ac:dyDescent="0.25">
      <c r="A23162" t="s">
        <v>16</v>
      </c>
      <c r="B23162" t="s">
        <v>3221</v>
      </c>
      <c r="C23162">
        <v>6353</v>
      </c>
      <c r="D23162" t="s">
        <v>417</v>
      </c>
      <c r="E23162" t="s">
        <v>418</v>
      </c>
      <c r="F23162">
        <v>27.55</v>
      </c>
      <c r="G23162">
        <v>230430</v>
      </c>
      <c r="H23162">
        <v>4520</v>
      </c>
      <c r="I23162" t="s">
        <v>254</v>
      </c>
      <c r="J23162">
        <v>31.41</v>
      </c>
      <c r="K23162">
        <v>3.86</v>
      </c>
      <c r="L23162">
        <v>59702</v>
      </c>
      <c r="M23162" t="s">
        <v>328</v>
      </c>
      <c r="N23162" t="str">
        <f>"5432071     "</f>
        <v xml:space="preserve">5432071     </v>
      </c>
      <c r="O23162">
        <v>230510</v>
      </c>
    </row>
    <row r="23163" spans="1:15" x14ac:dyDescent="0.25">
      <c r="A23163" t="s">
        <v>16</v>
      </c>
      <c r="B23163" t="s">
        <v>3221</v>
      </c>
      <c r="C23163">
        <v>6816</v>
      </c>
      <c r="D23163" t="s">
        <v>417</v>
      </c>
      <c r="E23163" t="s">
        <v>418</v>
      </c>
      <c r="F23163">
        <v>3.49</v>
      </c>
      <c r="G23163">
        <v>230515</v>
      </c>
      <c r="H23163">
        <v>4520</v>
      </c>
      <c r="I23163" t="s">
        <v>254</v>
      </c>
      <c r="J23163">
        <v>3.98</v>
      </c>
      <c r="K23163">
        <v>0.49</v>
      </c>
      <c r="L23163">
        <v>17912</v>
      </c>
      <c r="M23163" t="s">
        <v>419</v>
      </c>
      <c r="N23163" t="str">
        <f>"5436956     "</f>
        <v xml:space="preserve">5436956     </v>
      </c>
      <c r="O23163">
        <v>230522</v>
      </c>
    </row>
    <row r="23164" spans="1:15" x14ac:dyDescent="0.25">
      <c r="A23164" t="s">
        <v>16</v>
      </c>
      <c r="B23164" t="s">
        <v>3221</v>
      </c>
      <c r="C23164">
        <v>8254</v>
      </c>
      <c r="D23164" t="s">
        <v>417</v>
      </c>
      <c r="E23164" t="s">
        <v>418</v>
      </c>
      <c r="F23164">
        <v>15.76</v>
      </c>
      <c r="G23164">
        <v>230531</v>
      </c>
      <c r="H23164">
        <v>4520</v>
      </c>
      <c r="I23164" t="s">
        <v>254</v>
      </c>
      <c r="J23164">
        <v>17.97</v>
      </c>
      <c r="K23164">
        <v>2.21</v>
      </c>
      <c r="L23164">
        <v>69111</v>
      </c>
      <c r="M23164" t="s">
        <v>471</v>
      </c>
      <c r="N23164" t="str">
        <f>"5439622     "</f>
        <v xml:space="preserve">5439622     </v>
      </c>
      <c r="O23164">
        <v>230608</v>
      </c>
    </row>
    <row r="23165" spans="1:15" x14ac:dyDescent="0.25">
      <c r="A23165" t="s">
        <v>16</v>
      </c>
      <c r="B23165" t="s">
        <v>3221</v>
      </c>
      <c r="C23165">
        <v>8371</v>
      </c>
      <c r="D23165" t="s">
        <v>417</v>
      </c>
      <c r="E23165" t="s">
        <v>418</v>
      </c>
      <c r="F23165">
        <v>12.47</v>
      </c>
      <c r="G23165">
        <v>230531</v>
      </c>
      <c r="H23165">
        <v>4520</v>
      </c>
      <c r="I23165" t="s">
        <v>254</v>
      </c>
      <c r="J23165">
        <v>14.22</v>
      </c>
      <c r="K23165">
        <v>1.75</v>
      </c>
      <c r="L23165">
        <v>56528</v>
      </c>
      <c r="M23165" t="s">
        <v>153</v>
      </c>
      <c r="N23165" t="str">
        <f>"5439919     "</f>
        <v xml:space="preserve">5439919     </v>
      </c>
      <c r="O23165">
        <v>230608</v>
      </c>
    </row>
    <row r="23166" spans="1:15" x14ac:dyDescent="0.25">
      <c r="A23166" t="s">
        <v>16</v>
      </c>
      <c r="B23166" t="s">
        <v>3221</v>
      </c>
      <c r="C23166">
        <v>10457</v>
      </c>
      <c r="D23166" t="s">
        <v>417</v>
      </c>
      <c r="E23166" t="s">
        <v>418</v>
      </c>
      <c r="F23166">
        <v>10.15</v>
      </c>
      <c r="G23166">
        <v>230815</v>
      </c>
      <c r="H23166">
        <v>4520</v>
      </c>
      <c r="I23166" t="s">
        <v>254</v>
      </c>
      <c r="J23166">
        <v>11.57</v>
      </c>
      <c r="K23166">
        <v>1.42</v>
      </c>
      <c r="L23166">
        <v>17971</v>
      </c>
      <c r="M23166" t="s">
        <v>138</v>
      </c>
      <c r="N23166" t="str">
        <f>"5458589     "</f>
        <v xml:space="preserve">5458589     </v>
      </c>
      <c r="O23166">
        <v>230816</v>
      </c>
    </row>
    <row r="23167" spans="1:15" x14ac:dyDescent="0.25">
      <c r="A23167" t="s">
        <v>16</v>
      </c>
      <c r="B23167" t="s">
        <v>3221</v>
      </c>
      <c r="C23167">
        <v>10805</v>
      </c>
      <c r="D23167" t="s">
        <v>417</v>
      </c>
      <c r="E23167" t="s">
        <v>418</v>
      </c>
      <c r="F23167">
        <v>14.89</v>
      </c>
      <c r="G23167">
        <v>230815</v>
      </c>
      <c r="H23167">
        <v>4520</v>
      </c>
      <c r="I23167" t="s">
        <v>254</v>
      </c>
      <c r="J23167">
        <v>16.98</v>
      </c>
      <c r="K23167">
        <v>2.09</v>
      </c>
      <c r="L23167">
        <v>17975</v>
      </c>
      <c r="M23167" t="s">
        <v>798</v>
      </c>
      <c r="N23167" t="str">
        <f>"5459299     "</f>
        <v xml:space="preserve">5459299     </v>
      </c>
      <c r="O23167">
        <v>230823</v>
      </c>
    </row>
    <row r="23168" spans="1:15" x14ac:dyDescent="0.25">
      <c r="A23168" t="s">
        <v>16</v>
      </c>
      <c r="B23168" t="s">
        <v>3221</v>
      </c>
      <c r="C23168">
        <v>11279</v>
      </c>
      <c r="D23168" t="s">
        <v>417</v>
      </c>
      <c r="E23168" t="s">
        <v>418</v>
      </c>
      <c r="F23168">
        <v>5.25</v>
      </c>
      <c r="G23168">
        <v>230831</v>
      </c>
      <c r="H23168">
        <v>4520</v>
      </c>
      <c r="I23168" t="s">
        <v>254</v>
      </c>
      <c r="J23168">
        <v>5.99</v>
      </c>
      <c r="K23168">
        <v>0.74</v>
      </c>
      <c r="L23168">
        <v>17711</v>
      </c>
      <c r="M23168" t="s">
        <v>65</v>
      </c>
      <c r="N23168" t="str">
        <f>"5462912     "</f>
        <v xml:space="preserve">5462912     </v>
      </c>
      <c r="O23168">
        <v>230904</v>
      </c>
    </row>
    <row r="23169" spans="1:15" x14ac:dyDescent="0.25">
      <c r="A23169" t="s">
        <v>16</v>
      </c>
      <c r="B23169" t="s">
        <v>3221</v>
      </c>
      <c r="C23169">
        <v>11933</v>
      </c>
      <c r="D23169" t="s">
        <v>417</v>
      </c>
      <c r="E23169" t="s">
        <v>418</v>
      </c>
      <c r="F23169">
        <v>28.11</v>
      </c>
      <c r="G23169">
        <v>230831</v>
      </c>
      <c r="H23169">
        <v>4520</v>
      </c>
      <c r="I23169" t="s">
        <v>254</v>
      </c>
      <c r="J23169">
        <v>32.04</v>
      </c>
      <c r="K23169">
        <v>3.93</v>
      </c>
      <c r="L23169">
        <v>41126</v>
      </c>
      <c r="M23169" t="s">
        <v>761</v>
      </c>
      <c r="N23169" t="str">
        <f>"5460935     "</f>
        <v xml:space="preserve">5460935     </v>
      </c>
      <c r="O23169">
        <v>230912</v>
      </c>
    </row>
    <row r="23170" spans="1:15" x14ac:dyDescent="0.25">
      <c r="A23170" t="s">
        <v>16</v>
      </c>
      <c r="B23170" t="s">
        <v>3221</v>
      </c>
      <c r="C23170">
        <v>11933</v>
      </c>
      <c r="D23170" t="s">
        <v>417</v>
      </c>
      <c r="E23170" t="s">
        <v>418</v>
      </c>
      <c r="F23170">
        <v>30.94</v>
      </c>
      <c r="G23170">
        <v>230831</v>
      </c>
      <c r="H23170">
        <v>4520</v>
      </c>
      <c r="I23170" t="s">
        <v>254</v>
      </c>
      <c r="J23170">
        <v>35.270000000000003</v>
      </c>
      <c r="K23170">
        <v>4.33</v>
      </c>
      <c r="L23170">
        <v>46559</v>
      </c>
      <c r="M23170" t="s">
        <v>1104</v>
      </c>
      <c r="N23170" t="str">
        <f>"5460935     "</f>
        <v xml:space="preserve">5460935     </v>
      </c>
      <c r="O23170">
        <v>230912</v>
      </c>
    </row>
    <row r="23171" spans="1:15" x14ac:dyDescent="0.25">
      <c r="A23171" t="s">
        <v>16</v>
      </c>
      <c r="B23171" t="s">
        <v>3221</v>
      </c>
      <c r="C23171">
        <v>11933</v>
      </c>
      <c r="D23171" t="s">
        <v>417</v>
      </c>
      <c r="E23171" t="s">
        <v>418</v>
      </c>
      <c r="F23171">
        <v>19.73</v>
      </c>
      <c r="G23171">
        <v>230831</v>
      </c>
      <c r="H23171">
        <v>4520</v>
      </c>
      <c r="I23171" t="s">
        <v>254</v>
      </c>
      <c r="J23171">
        <v>22.49</v>
      </c>
      <c r="K23171">
        <v>2.76</v>
      </c>
      <c r="L23171">
        <v>49702</v>
      </c>
      <c r="M23171" t="s">
        <v>584</v>
      </c>
      <c r="N23171" t="str">
        <f>"5460935     "</f>
        <v xml:space="preserve">5460935     </v>
      </c>
      <c r="O23171">
        <v>230912</v>
      </c>
    </row>
    <row r="23172" spans="1:15" x14ac:dyDescent="0.25">
      <c r="A23172" t="s">
        <v>16</v>
      </c>
      <c r="B23172" t="s">
        <v>3221</v>
      </c>
      <c r="C23172">
        <v>12234</v>
      </c>
      <c r="D23172" t="s">
        <v>417</v>
      </c>
      <c r="E23172" t="s">
        <v>418</v>
      </c>
      <c r="F23172">
        <v>10.47</v>
      </c>
      <c r="G23172">
        <v>230831</v>
      </c>
      <c r="H23172">
        <v>4520</v>
      </c>
      <c r="I23172" t="s">
        <v>254</v>
      </c>
      <c r="J23172">
        <v>11.94</v>
      </c>
      <c r="K23172">
        <v>1.47</v>
      </c>
      <c r="L23172">
        <v>69111</v>
      </c>
      <c r="M23172" t="s">
        <v>471</v>
      </c>
      <c r="N23172" t="str">
        <f>"5461194     "</f>
        <v xml:space="preserve">5461194     </v>
      </c>
      <c r="O23172">
        <v>230918</v>
      </c>
    </row>
    <row r="23173" spans="1:15" x14ac:dyDescent="0.25">
      <c r="A23173" t="s">
        <v>16</v>
      </c>
      <c r="B23173" t="s">
        <v>3221</v>
      </c>
      <c r="C23173">
        <v>13522</v>
      </c>
      <c r="D23173" t="s">
        <v>417</v>
      </c>
      <c r="E23173" t="s">
        <v>418</v>
      </c>
      <c r="F23173">
        <v>61.83</v>
      </c>
      <c r="G23173">
        <v>230930</v>
      </c>
      <c r="H23173">
        <v>4520</v>
      </c>
      <c r="I23173" t="s">
        <v>254</v>
      </c>
      <c r="J23173">
        <v>70.489999999999995</v>
      </c>
      <c r="K23173">
        <v>8.66</v>
      </c>
      <c r="L23173">
        <v>69702</v>
      </c>
      <c r="M23173" t="s">
        <v>489</v>
      </c>
      <c r="N23173" t="str">
        <f>"5469066     "</f>
        <v xml:space="preserve">5469066     </v>
      </c>
      <c r="O23173">
        <v>231011</v>
      </c>
    </row>
    <row r="23174" spans="1:15" x14ac:dyDescent="0.25">
      <c r="A23174" t="s">
        <v>16</v>
      </c>
      <c r="B23174" t="s">
        <v>3221</v>
      </c>
      <c r="C23174">
        <v>13690</v>
      </c>
      <c r="D23174" t="s">
        <v>417</v>
      </c>
      <c r="E23174" t="s">
        <v>418</v>
      </c>
      <c r="F23174">
        <v>38.79</v>
      </c>
      <c r="G23174">
        <v>230930</v>
      </c>
      <c r="H23174">
        <v>4520</v>
      </c>
      <c r="I23174" t="s">
        <v>254</v>
      </c>
      <c r="J23174">
        <v>44.22</v>
      </c>
      <c r="K23174">
        <v>5.43</v>
      </c>
      <c r="L23174">
        <v>59702</v>
      </c>
      <c r="M23174" t="s">
        <v>328</v>
      </c>
      <c r="N23174" t="str">
        <f>"5469342     "</f>
        <v xml:space="preserve">5469342     </v>
      </c>
      <c r="O23174">
        <v>231012</v>
      </c>
    </row>
    <row r="23175" spans="1:15" x14ac:dyDescent="0.25">
      <c r="A23175" t="s">
        <v>16</v>
      </c>
      <c r="B23175" t="s">
        <v>3221</v>
      </c>
      <c r="C23175">
        <v>14922</v>
      </c>
      <c r="D23175" t="s">
        <v>417</v>
      </c>
      <c r="E23175" t="s">
        <v>418</v>
      </c>
      <c r="F23175">
        <v>7.49</v>
      </c>
      <c r="G23175">
        <v>231031</v>
      </c>
      <c r="H23175">
        <v>4520</v>
      </c>
      <c r="I23175" t="s">
        <v>254</v>
      </c>
      <c r="J23175">
        <v>8.5399999999999991</v>
      </c>
      <c r="K23175">
        <v>1.05</v>
      </c>
      <c r="L23175">
        <v>44453</v>
      </c>
      <c r="M23175" t="s">
        <v>492</v>
      </c>
      <c r="N23175" t="str">
        <f>"5476327     "</f>
        <v xml:space="preserve">5476327     </v>
      </c>
      <c r="O23175">
        <v>231107</v>
      </c>
    </row>
    <row r="23176" spans="1:15" x14ac:dyDescent="0.25">
      <c r="A23176" t="s">
        <v>16</v>
      </c>
      <c r="B23176" t="s">
        <v>3221</v>
      </c>
      <c r="C23176">
        <v>15064</v>
      </c>
      <c r="D23176" t="s">
        <v>417</v>
      </c>
      <c r="E23176" t="s">
        <v>418</v>
      </c>
      <c r="F23176">
        <v>7.87</v>
      </c>
      <c r="G23176">
        <v>231031</v>
      </c>
      <c r="H23176">
        <v>4520</v>
      </c>
      <c r="I23176" t="s">
        <v>254</v>
      </c>
      <c r="J23176">
        <v>8.9700000000000006</v>
      </c>
      <c r="K23176">
        <v>1.1000000000000001</v>
      </c>
      <c r="L23176">
        <v>13561</v>
      </c>
      <c r="M23176" t="s">
        <v>246</v>
      </c>
      <c r="N23176" t="str">
        <f>"5478978     "</f>
        <v xml:space="preserve">5478978     </v>
      </c>
      <c r="O23176">
        <v>231108</v>
      </c>
    </row>
    <row r="23177" spans="1:15" x14ac:dyDescent="0.25">
      <c r="A23177" t="s">
        <v>16</v>
      </c>
      <c r="B23177" t="s">
        <v>3221</v>
      </c>
      <c r="C23177">
        <v>15979</v>
      </c>
      <c r="D23177" t="s">
        <v>417</v>
      </c>
      <c r="E23177" t="s">
        <v>418</v>
      </c>
      <c r="F23177">
        <v>8.77</v>
      </c>
      <c r="G23177">
        <v>231115</v>
      </c>
      <c r="H23177">
        <v>4520</v>
      </c>
      <c r="I23177" t="s">
        <v>254</v>
      </c>
      <c r="J23177">
        <v>10</v>
      </c>
      <c r="K23177">
        <v>1.23</v>
      </c>
      <c r="L23177">
        <v>17711</v>
      </c>
      <c r="M23177" t="s">
        <v>65</v>
      </c>
      <c r="N23177" t="str">
        <f>"5482057     "</f>
        <v xml:space="preserve">5482057     </v>
      </c>
      <c r="O23177">
        <v>231122</v>
      </c>
    </row>
    <row r="23178" spans="1:15" x14ac:dyDescent="0.25">
      <c r="A23178" t="s">
        <v>16</v>
      </c>
      <c r="B23178" t="s">
        <v>3221</v>
      </c>
      <c r="C23178">
        <v>15979</v>
      </c>
      <c r="D23178" t="s">
        <v>417</v>
      </c>
      <c r="E23178" t="s">
        <v>418</v>
      </c>
      <c r="F23178">
        <v>4.4000000000000004</v>
      </c>
      <c r="G23178">
        <v>231115</v>
      </c>
      <c r="H23178">
        <v>4520</v>
      </c>
      <c r="I23178" t="s">
        <v>254</v>
      </c>
      <c r="J23178">
        <v>5.0199999999999996</v>
      </c>
      <c r="K23178">
        <v>0.62</v>
      </c>
      <c r="L23178">
        <v>17912</v>
      </c>
      <c r="M23178" t="s">
        <v>419</v>
      </c>
      <c r="N23178" t="str">
        <f>"5482057     "</f>
        <v xml:space="preserve">5482057     </v>
      </c>
      <c r="O23178">
        <v>231122</v>
      </c>
    </row>
    <row r="23179" spans="1:15" x14ac:dyDescent="0.25">
      <c r="A23179" t="s">
        <v>16</v>
      </c>
      <c r="B23179" t="s">
        <v>3221</v>
      </c>
      <c r="C23179">
        <v>15982</v>
      </c>
      <c r="D23179" t="s">
        <v>417</v>
      </c>
      <c r="E23179" t="s">
        <v>418</v>
      </c>
      <c r="F23179">
        <v>1.42</v>
      </c>
      <c r="G23179">
        <v>231115</v>
      </c>
      <c r="H23179">
        <v>4520</v>
      </c>
      <c r="I23179" t="s">
        <v>254</v>
      </c>
      <c r="J23179">
        <v>1.62</v>
      </c>
      <c r="K23179">
        <v>0.2</v>
      </c>
      <c r="L23179">
        <v>17538</v>
      </c>
      <c r="M23179" t="s">
        <v>24</v>
      </c>
      <c r="N23179" t="str">
        <f>"5482822     "</f>
        <v xml:space="preserve">5482822     </v>
      </c>
      <c r="O23179">
        <v>231122</v>
      </c>
    </row>
    <row r="23180" spans="1:15" x14ac:dyDescent="0.25">
      <c r="A23180" t="s">
        <v>16</v>
      </c>
      <c r="B23180" t="s">
        <v>3221</v>
      </c>
      <c r="C23180">
        <v>16946</v>
      </c>
      <c r="D23180" t="s">
        <v>417</v>
      </c>
      <c r="E23180" t="s">
        <v>418</v>
      </c>
      <c r="F23180">
        <v>15.4</v>
      </c>
      <c r="G23180">
        <v>231130</v>
      </c>
      <c r="H23180">
        <v>4520</v>
      </c>
      <c r="I23180" t="s">
        <v>254</v>
      </c>
      <c r="J23180">
        <v>17.559999999999999</v>
      </c>
      <c r="K23180">
        <v>2.16</v>
      </c>
      <c r="L23180">
        <v>17971</v>
      </c>
      <c r="M23180" t="s">
        <v>138</v>
      </c>
      <c r="N23180" t="str">
        <f>"5486340     "</f>
        <v xml:space="preserve">5486340     </v>
      </c>
      <c r="O23180">
        <v>231211</v>
      </c>
    </row>
    <row r="23181" spans="1:15" x14ac:dyDescent="0.25">
      <c r="A23181" t="s">
        <v>16</v>
      </c>
      <c r="B23181" t="s">
        <v>3221</v>
      </c>
      <c r="C23181">
        <v>17358</v>
      </c>
      <c r="D23181" t="s">
        <v>417</v>
      </c>
      <c r="E23181" t="s">
        <v>418</v>
      </c>
      <c r="F23181">
        <v>51.42</v>
      </c>
      <c r="G23181">
        <v>231130</v>
      </c>
      <c r="H23181">
        <v>4520</v>
      </c>
      <c r="I23181" t="s">
        <v>254</v>
      </c>
      <c r="J23181">
        <v>58.62</v>
      </c>
      <c r="K23181">
        <v>7.2</v>
      </c>
      <c r="L23181">
        <v>13802</v>
      </c>
      <c r="M23181" t="s">
        <v>200</v>
      </c>
      <c r="N23181" t="str">
        <f>"5488828     "</f>
        <v xml:space="preserve">5488828     </v>
      </c>
      <c r="O23181">
        <v>231213</v>
      </c>
    </row>
    <row r="23182" spans="1:15" x14ac:dyDescent="0.25">
      <c r="A23182" t="s">
        <v>16</v>
      </c>
      <c r="B23182" t="s">
        <v>3221</v>
      </c>
      <c r="C23182">
        <v>17406</v>
      </c>
      <c r="D23182" t="s">
        <v>417</v>
      </c>
      <c r="E23182" t="s">
        <v>418</v>
      </c>
      <c r="F23182">
        <v>36.270000000000003</v>
      </c>
      <c r="G23182">
        <v>231130</v>
      </c>
      <c r="H23182">
        <v>4520</v>
      </c>
      <c r="I23182" t="s">
        <v>254</v>
      </c>
      <c r="J23182">
        <v>41.35</v>
      </c>
      <c r="K23182">
        <v>5.08</v>
      </c>
      <c r="L23182">
        <v>11001</v>
      </c>
      <c r="M23182" t="s">
        <v>326</v>
      </c>
      <c r="N23182" t="str">
        <f>"5485439     "</f>
        <v xml:space="preserve">5485439     </v>
      </c>
      <c r="O23182">
        <v>231214</v>
      </c>
    </row>
    <row r="23183" spans="1:15" x14ac:dyDescent="0.25">
      <c r="A23183" t="s">
        <v>16</v>
      </c>
      <c r="B23183" t="s">
        <v>3221</v>
      </c>
      <c r="C23183">
        <v>17406</v>
      </c>
      <c r="D23183" t="s">
        <v>417</v>
      </c>
      <c r="E23183" t="s">
        <v>418</v>
      </c>
      <c r="F23183">
        <v>12.41</v>
      </c>
      <c r="G23183">
        <v>231130</v>
      </c>
      <c r="H23183">
        <v>4520</v>
      </c>
      <c r="I23183" t="s">
        <v>254</v>
      </c>
      <c r="J23183">
        <v>15.39</v>
      </c>
      <c r="K23183">
        <v>2.98</v>
      </c>
      <c r="L23183">
        <v>11605</v>
      </c>
      <c r="M23183" t="s">
        <v>106</v>
      </c>
      <c r="N23183" t="str">
        <f>"5485439     "</f>
        <v xml:space="preserve">5485439     </v>
      </c>
      <c r="O23183">
        <v>231214</v>
      </c>
    </row>
    <row r="23184" spans="1:15" x14ac:dyDescent="0.25">
      <c r="A23184" t="s">
        <v>16</v>
      </c>
      <c r="B23184" t="s">
        <v>3221</v>
      </c>
      <c r="C23184">
        <v>17406</v>
      </c>
      <c r="D23184" t="s">
        <v>417</v>
      </c>
      <c r="E23184" t="s">
        <v>418</v>
      </c>
      <c r="F23184">
        <v>7.66</v>
      </c>
      <c r="G23184">
        <v>231130</v>
      </c>
      <c r="H23184">
        <v>4520</v>
      </c>
      <c r="I23184" t="s">
        <v>254</v>
      </c>
      <c r="J23184">
        <v>8.73</v>
      </c>
      <c r="K23184">
        <v>1.07</v>
      </c>
      <c r="L23184">
        <v>56524</v>
      </c>
      <c r="M23184" t="s">
        <v>150</v>
      </c>
      <c r="N23184" t="str">
        <f>"5485439     "</f>
        <v xml:space="preserve">5485439     </v>
      </c>
      <c r="O23184">
        <v>231214</v>
      </c>
    </row>
    <row r="23185" spans="1:15" x14ac:dyDescent="0.25">
      <c r="A23185" t="s">
        <v>16</v>
      </c>
      <c r="B23185" t="s">
        <v>3221</v>
      </c>
      <c r="C23185">
        <v>17406</v>
      </c>
      <c r="D23185" t="s">
        <v>417</v>
      </c>
      <c r="E23185" t="s">
        <v>418</v>
      </c>
      <c r="F23185">
        <v>14.29</v>
      </c>
      <c r="G23185">
        <v>231130</v>
      </c>
      <c r="H23185">
        <v>4520</v>
      </c>
      <c r="I23185" t="s">
        <v>254</v>
      </c>
      <c r="J23185">
        <v>16.29</v>
      </c>
      <c r="K23185">
        <v>2</v>
      </c>
      <c r="L23185">
        <v>56524</v>
      </c>
      <c r="M23185" t="s">
        <v>150</v>
      </c>
      <c r="N23185" t="str">
        <f>"5485439     "</f>
        <v xml:space="preserve">5485439     </v>
      </c>
      <c r="O23185">
        <v>231214</v>
      </c>
    </row>
    <row r="23186" spans="1:15" x14ac:dyDescent="0.25">
      <c r="A23186" t="s">
        <v>16</v>
      </c>
      <c r="B23186" t="s">
        <v>3221</v>
      </c>
      <c r="C23186">
        <v>17406</v>
      </c>
      <c r="D23186" t="s">
        <v>417</v>
      </c>
      <c r="E23186" t="s">
        <v>418</v>
      </c>
      <c r="F23186">
        <v>67.61</v>
      </c>
      <c r="G23186">
        <v>231130</v>
      </c>
      <c r="H23186">
        <v>4520</v>
      </c>
      <c r="I23186" t="s">
        <v>254</v>
      </c>
      <c r="J23186">
        <v>77.069999999999993</v>
      </c>
      <c r="K23186">
        <v>9.4600000000000009</v>
      </c>
      <c r="L23186">
        <v>59702</v>
      </c>
      <c r="M23186" t="s">
        <v>328</v>
      </c>
      <c r="N23186" t="str">
        <f>"5485439     "</f>
        <v xml:space="preserve">5485439     </v>
      </c>
      <c r="O23186">
        <v>231214</v>
      </c>
    </row>
    <row r="23187" spans="1:15" x14ac:dyDescent="0.25">
      <c r="A23187" t="s">
        <v>16</v>
      </c>
      <c r="B23187" t="s">
        <v>3221</v>
      </c>
      <c r="C23187">
        <v>17983</v>
      </c>
      <c r="D23187" t="s">
        <v>417</v>
      </c>
      <c r="E23187" t="s">
        <v>418</v>
      </c>
      <c r="F23187">
        <v>35.04</v>
      </c>
      <c r="G23187">
        <v>231215</v>
      </c>
      <c r="H23187">
        <v>4520</v>
      </c>
      <c r="I23187" t="s">
        <v>254</v>
      </c>
      <c r="J23187">
        <v>39.950000000000003</v>
      </c>
      <c r="K23187">
        <v>4.91</v>
      </c>
      <c r="L23187">
        <v>13561</v>
      </c>
      <c r="M23187" t="s">
        <v>246</v>
      </c>
      <c r="N23187" t="str">
        <f>"5492266     "</f>
        <v xml:space="preserve">5492266     </v>
      </c>
      <c r="O23187">
        <v>231228</v>
      </c>
    </row>
    <row r="23188" spans="1:15" x14ac:dyDescent="0.25">
      <c r="A23188" t="s">
        <v>16</v>
      </c>
      <c r="B23188" t="s">
        <v>3221</v>
      </c>
      <c r="C23188">
        <v>17983</v>
      </c>
      <c r="D23188" t="s">
        <v>417</v>
      </c>
      <c r="E23188" t="s">
        <v>418</v>
      </c>
      <c r="F23188">
        <v>3.66</v>
      </c>
      <c r="G23188">
        <v>231215</v>
      </c>
      <c r="H23188">
        <v>4520</v>
      </c>
      <c r="I23188" t="s">
        <v>254</v>
      </c>
      <c r="J23188">
        <v>4.17</v>
      </c>
      <c r="K23188">
        <v>0.51</v>
      </c>
      <c r="L23188">
        <v>17971</v>
      </c>
      <c r="M23188" t="s">
        <v>138</v>
      </c>
      <c r="N23188" t="str">
        <f>"5492266     "</f>
        <v xml:space="preserve">5492266     </v>
      </c>
      <c r="O23188">
        <v>231228</v>
      </c>
    </row>
    <row r="23189" spans="1:15" x14ac:dyDescent="0.25">
      <c r="A23189" t="s">
        <v>16</v>
      </c>
      <c r="B23189" t="s">
        <v>3221</v>
      </c>
      <c r="C23189">
        <v>18706</v>
      </c>
      <c r="D23189" t="s">
        <v>417</v>
      </c>
      <c r="E23189" t="s">
        <v>418</v>
      </c>
      <c r="F23189">
        <v>9.8000000000000007</v>
      </c>
      <c r="G23189">
        <v>231231</v>
      </c>
      <c r="H23189">
        <v>4520</v>
      </c>
      <c r="I23189" t="s">
        <v>254</v>
      </c>
      <c r="J23189">
        <v>11.17</v>
      </c>
      <c r="K23189">
        <v>1.37</v>
      </c>
      <c r="L23189">
        <v>69702</v>
      </c>
      <c r="M23189" t="s">
        <v>489</v>
      </c>
      <c r="N23189" t="str">
        <f>"5494603     "</f>
        <v xml:space="preserve">5494603     </v>
      </c>
      <c r="O23189">
        <v>240105</v>
      </c>
    </row>
    <row r="23190" spans="1:15" x14ac:dyDescent="0.25">
      <c r="A23190" t="s">
        <v>16</v>
      </c>
      <c r="B23190" t="s">
        <v>3221</v>
      </c>
      <c r="C23190">
        <v>18974</v>
      </c>
      <c r="D23190" t="s">
        <v>417</v>
      </c>
      <c r="E23190" t="s">
        <v>418</v>
      </c>
      <c r="F23190">
        <v>40.86</v>
      </c>
      <c r="G23190">
        <v>231231</v>
      </c>
      <c r="H23190">
        <v>4520</v>
      </c>
      <c r="I23190" t="s">
        <v>254</v>
      </c>
      <c r="J23190">
        <v>46.58</v>
      </c>
      <c r="K23190">
        <v>5.72</v>
      </c>
      <c r="L23190">
        <v>41126</v>
      </c>
      <c r="M23190" t="s">
        <v>761</v>
      </c>
      <c r="N23190" t="str">
        <f>"5494396     "</f>
        <v xml:space="preserve">5494396     </v>
      </c>
      <c r="O23190">
        <v>240109</v>
      </c>
    </row>
    <row r="23191" spans="1:15" x14ac:dyDescent="0.25">
      <c r="A23191" t="s">
        <v>16</v>
      </c>
      <c r="B23191" t="s">
        <v>3221</v>
      </c>
      <c r="C23191">
        <v>18974</v>
      </c>
      <c r="D23191" t="s">
        <v>417</v>
      </c>
      <c r="E23191" t="s">
        <v>418</v>
      </c>
      <c r="F23191">
        <v>8.77</v>
      </c>
      <c r="G23191">
        <v>231231</v>
      </c>
      <c r="H23191">
        <v>4520</v>
      </c>
      <c r="I23191" t="s">
        <v>254</v>
      </c>
      <c r="J23191">
        <v>10</v>
      </c>
      <c r="K23191">
        <v>1.23</v>
      </c>
      <c r="L23191">
        <v>44251</v>
      </c>
      <c r="M23191" t="s">
        <v>156</v>
      </c>
      <c r="N23191" t="str">
        <f>"5494396     "</f>
        <v xml:space="preserve">5494396     </v>
      </c>
      <c r="O23191">
        <v>240109</v>
      </c>
    </row>
    <row r="23192" spans="1:15" x14ac:dyDescent="0.25">
      <c r="A23192" t="s">
        <v>16</v>
      </c>
      <c r="B23192" t="s">
        <v>3221</v>
      </c>
      <c r="C23192">
        <v>18974</v>
      </c>
      <c r="D23192" t="s">
        <v>417</v>
      </c>
      <c r="E23192" t="s">
        <v>418</v>
      </c>
      <c r="F23192">
        <v>47.69</v>
      </c>
      <c r="G23192">
        <v>231231</v>
      </c>
      <c r="H23192">
        <v>4520</v>
      </c>
      <c r="I23192" t="s">
        <v>254</v>
      </c>
      <c r="J23192">
        <v>54.37</v>
      </c>
      <c r="K23192">
        <v>6.68</v>
      </c>
      <c r="L23192">
        <v>49112</v>
      </c>
      <c r="M23192" t="s">
        <v>233</v>
      </c>
      <c r="N23192" t="str">
        <f>"5494396     "</f>
        <v xml:space="preserve">5494396     </v>
      </c>
      <c r="O23192">
        <v>240109</v>
      </c>
    </row>
    <row r="23193" spans="1:15" x14ac:dyDescent="0.25">
      <c r="A23193" t="s">
        <v>16</v>
      </c>
      <c r="B23193" t="s">
        <v>3221</v>
      </c>
      <c r="C23193">
        <v>18974</v>
      </c>
      <c r="D23193" t="s">
        <v>417</v>
      </c>
      <c r="E23193" t="s">
        <v>418</v>
      </c>
      <c r="F23193">
        <v>43.89</v>
      </c>
      <c r="G23193">
        <v>231231</v>
      </c>
      <c r="H23193">
        <v>4520</v>
      </c>
      <c r="I23193" t="s">
        <v>254</v>
      </c>
      <c r="J23193">
        <v>50.03</v>
      </c>
      <c r="K23193">
        <v>6.14</v>
      </c>
      <c r="L23193">
        <v>49705</v>
      </c>
      <c r="M23193" t="s">
        <v>575</v>
      </c>
      <c r="N23193" t="str">
        <f>"5494396     "</f>
        <v xml:space="preserve">5494396     </v>
      </c>
      <c r="O23193">
        <v>240109</v>
      </c>
    </row>
    <row r="23194" spans="1:15" x14ac:dyDescent="0.25">
      <c r="A23194" t="s">
        <v>16</v>
      </c>
      <c r="B23194" t="s">
        <v>3221</v>
      </c>
      <c r="C23194">
        <v>19137</v>
      </c>
      <c r="D23194" t="s">
        <v>417</v>
      </c>
      <c r="E23194" t="s">
        <v>418</v>
      </c>
      <c r="F23194">
        <v>26.32</v>
      </c>
      <c r="G23194">
        <v>231231</v>
      </c>
      <c r="H23194">
        <v>4520</v>
      </c>
      <c r="I23194" t="s">
        <v>254</v>
      </c>
      <c r="J23194">
        <v>30</v>
      </c>
      <c r="K23194">
        <v>3.68</v>
      </c>
      <c r="L23194">
        <v>59815</v>
      </c>
      <c r="M23194" t="s">
        <v>1182</v>
      </c>
      <c r="N23194" t="str">
        <f>"5494907     "</f>
        <v xml:space="preserve">5494907     </v>
      </c>
      <c r="O23194">
        <v>240111</v>
      </c>
    </row>
    <row r="23195" spans="1:15" x14ac:dyDescent="0.25">
      <c r="A23195" t="s">
        <v>16</v>
      </c>
      <c r="B23195" t="s">
        <v>3221</v>
      </c>
      <c r="C23195">
        <v>17406</v>
      </c>
      <c r="D23195" t="s">
        <v>417</v>
      </c>
      <c r="E23195" t="s">
        <v>418</v>
      </c>
      <c r="F23195">
        <v>23.02</v>
      </c>
      <c r="G23195">
        <v>231130</v>
      </c>
      <c r="H23195">
        <v>4534</v>
      </c>
      <c r="I23195" t="s">
        <v>273</v>
      </c>
      <c r="J23195">
        <v>28.55</v>
      </c>
      <c r="K23195">
        <v>5.53</v>
      </c>
      <c r="L23195">
        <v>59111</v>
      </c>
      <c r="M23195" t="s">
        <v>1010</v>
      </c>
      <c r="N23195" t="str">
        <f>"5485439     "</f>
        <v xml:space="preserve">5485439     </v>
      </c>
      <c r="O23195">
        <v>231214</v>
      </c>
    </row>
    <row r="23196" spans="1:15" x14ac:dyDescent="0.25">
      <c r="A23196" t="s">
        <v>16</v>
      </c>
      <c r="B23196" t="s">
        <v>3221</v>
      </c>
      <c r="C23196">
        <v>15979</v>
      </c>
      <c r="D23196" t="s">
        <v>417</v>
      </c>
      <c r="E23196" t="s">
        <v>418</v>
      </c>
      <c r="F23196">
        <v>68.930000000000007</v>
      </c>
      <c r="G23196">
        <v>231115</v>
      </c>
      <c r="H23196">
        <v>4574</v>
      </c>
      <c r="I23196" t="s">
        <v>396</v>
      </c>
      <c r="J23196">
        <v>85.47</v>
      </c>
      <c r="K23196">
        <v>16.54</v>
      </c>
      <c r="L23196">
        <v>17951</v>
      </c>
      <c r="M23196" t="s">
        <v>87</v>
      </c>
      <c r="N23196" t="str">
        <f>"5482057     "</f>
        <v xml:space="preserve">5482057     </v>
      </c>
      <c r="O23196">
        <v>231122</v>
      </c>
    </row>
    <row r="23197" spans="1:15" x14ac:dyDescent="0.25">
      <c r="A23197" t="s">
        <v>16</v>
      </c>
      <c r="B23197" t="s">
        <v>3221</v>
      </c>
      <c r="C23197">
        <v>1342</v>
      </c>
      <c r="D23197" t="s">
        <v>417</v>
      </c>
      <c r="E23197" t="s">
        <v>418</v>
      </c>
      <c r="F23197">
        <v>17.64</v>
      </c>
      <c r="G23197">
        <v>230131</v>
      </c>
      <c r="H23197">
        <v>4580</v>
      </c>
      <c r="I23197" t="s">
        <v>35</v>
      </c>
      <c r="J23197">
        <v>21.87</v>
      </c>
      <c r="K23197">
        <v>4.2300000000000004</v>
      </c>
      <c r="L23197">
        <v>13540</v>
      </c>
      <c r="M23197" t="s">
        <v>85</v>
      </c>
      <c r="N23197" t="str">
        <f>"5412906     "</f>
        <v xml:space="preserve">5412906     </v>
      </c>
      <c r="O23197">
        <v>230208</v>
      </c>
    </row>
    <row r="23198" spans="1:15" x14ac:dyDescent="0.25">
      <c r="A23198" t="s">
        <v>16</v>
      </c>
      <c r="B23198" t="s">
        <v>3221</v>
      </c>
      <c r="C23198">
        <v>1342</v>
      </c>
      <c r="D23198" t="s">
        <v>417</v>
      </c>
      <c r="E23198" t="s">
        <v>418</v>
      </c>
      <c r="F23198">
        <v>99.44</v>
      </c>
      <c r="G23198">
        <v>230131</v>
      </c>
      <c r="H23198">
        <v>4580</v>
      </c>
      <c r="I23198" t="s">
        <v>35</v>
      </c>
      <c r="J23198">
        <v>123.31</v>
      </c>
      <c r="K23198">
        <v>23.87</v>
      </c>
      <c r="L23198">
        <v>13561</v>
      </c>
      <c r="M23198" t="s">
        <v>246</v>
      </c>
      <c r="N23198" t="str">
        <f>"5412906     "</f>
        <v xml:space="preserve">5412906     </v>
      </c>
      <c r="O23198">
        <v>230208</v>
      </c>
    </row>
    <row r="23199" spans="1:15" x14ac:dyDescent="0.25">
      <c r="A23199" t="s">
        <v>16</v>
      </c>
      <c r="B23199" t="s">
        <v>3221</v>
      </c>
      <c r="C23199">
        <v>1342</v>
      </c>
      <c r="D23199" t="s">
        <v>417</v>
      </c>
      <c r="E23199" t="s">
        <v>418</v>
      </c>
      <c r="F23199">
        <v>73.47</v>
      </c>
      <c r="G23199">
        <v>230131</v>
      </c>
      <c r="H23199">
        <v>4580</v>
      </c>
      <c r="I23199" t="s">
        <v>35</v>
      </c>
      <c r="J23199">
        <v>91.1</v>
      </c>
      <c r="K23199">
        <v>17.63</v>
      </c>
      <c r="L23199">
        <v>17537</v>
      </c>
      <c r="M23199" t="s">
        <v>455</v>
      </c>
      <c r="N23199" t="str">
        <f>"5412906     "</f>
        <v xml:space="preserve">5412906     </v>
      </c>
      <c r="O23199">
        <v>230208</v>
      </c>
    </row>
    <row r="23200" spans="1:15" x14ac:dyDescent="0.25">
      <c r="A23200" t="s">
        <v>16</v>
      </c>
      <c r="B23200" t="s">
        <v>3221</v>
      </c>
      <c r="C23200">
        <v>1342</v>
      </c>
      <c r="D23200" t="s">
        <v>417</v>
      </c>
      <c r="E23200" t="s">
        <v>418</v>
      </c>
      <c r="F23200">
        <v>35.270000000000003</v>
      </c>
      <c r="G23200">
        <v>230131</v>
      </c>
      <c r="H23200">
        <v>4580</v>
      </c>
      <c r="I23200" t="s">
        <v>35</v>
      </c>
      <c r="J23200">
        <v>43.74</v>
      </c>
      <c r="K23200">
        <v>8.4700000000000006</v>
      </c>
      <c r="L23200">
        <v>17538</v>
      </c>
      <c r="M23200" t="s">
        <v>24</v>
      </c>
      <c r="N23200" t="str">
        <f>"5412906     "</f>
        <v xml:space="preserve">5412906     </v>
      </c>
      <c r="O23200">
        <v>230208</v>
      </c>
    </row>
    <row r="23201" spans="1:15" x14ac:dyDescent="0.25">
      <c r="A23201" t="s">
        <v>16</v>
      </c>
      <c r="B23201" t="s">
        <v>3221</v>
      </c>
      <c r="C23201">
        <v>1345</v>
      </c>
      <c r="D23201" t="s">
        <v>417</v>
      </c>
      <c r="E23201" t="s">
        <v>418</v>
      </c>
      <c r="F23201">
        <v>60.52</v>
      </c>
      <c r="G23201">
        <v>230131</v>
      </c>
      <c r="H23201">
        <v>4580</v>
      </c>
      <c r="I23201" t="s">
        <v>35</v>
      </c>
      <c r="J23201">
        <v>75.05</v>
      </c>
      <c r="K23201">
        <v>14.53</v>
      </c>
      <c r="L23201">
        <v>59111</v>
      </c>
      <c r="M23201" t="s">
        <v>1010</v>
      </c>
      <c r="N23201" t="str">
        <f>"5410700     "</f>
        <v xml:space="preserve">5410700     </v>
      </c>
      <c r="O23201">
        <v>230208</v>
      </c>
    </row>
    <row r="23202" spans="1:15" x14ac:dyDescent="0.25">
      <c r="A23202" t="s">
        <v>16</v>
      </c>
      <c r="B23202" t="s">
        <v>3221</v>
      </c>
      <c r="C23202">
        <v>1473</v>
      </c>
      <c r="D23202" t="s">
        <v>417</v>
      </c>
      <c r="E23202" t="s">
        <v>418</v>
      </c>
      <c r="F23202">
        <v>81.319999999999993</v>
      </c>
      <c r="G23202">
        <v>230131</v>
      </c>
      <c r="H23202">
        <v>4580</v>
      </c>
      <c r="I23202" t="s">
        <v>35</v>
      </c>
      <c r="J23202">
        <v>100.84</v>
      </c>
      <c r="K23202">
        <v>19.52</v>
      </c>
      <c r="L23202">
        <v>17527</v>
      </c>
      <c r="M23202" t="s">
        <v>422</v>
      </c>
      <c r="N23202" t="str">
        <f>"5412127     "</f>
        <v xml:space="preserve">5412127     </v>
      </c>
      <c r="O23202">
        <v>230209</v>
      </c>
    </row>
    <row r="23203" spans="1:15" x14ac:dyDescent="0.25">
      <c r="A23203" t="s">
        <v>16</v>
      </c>
      <c r="B23203" t="s">
        <v>3221</v>
      </c>
      <c r="C23203">
        <v>1473</v>
      </c>
      <c r="D23203" t="s">
        <v>417</v>
      </c>
      <c r="E23203" t="s">
        <v>418</v>
      </c>
      <c r="F23203">
        <v>90.85</v>
      </c>
      <c r="G23203">
        <v>230131</v>
      </c>
      <c r="H23203">
        <v>4580</v>
      </c>
      <c r="I23203" t="s">
        <v>35</v>
      </c>
      <c r="J23203">
        <v>112.65</v>
      </c>
      <c r="K23203">
        <v>21.8</v>
      </c>
      <c r="L23203">
        <v>17711</v>
      </c>
      <c r="M23203" t="s">
        <v>65</v>
      </c>
      <c r="N23203" t="str">
        <f>"5412127     "</f>
        <v xml:space="preserve">5412127     </v>
      </c>
      <c r="O23203">
        <v>230209</v>
      </c>
    </row>
    <row r="23204" spans="1:15" x14ac:dyDescent="0.25">
      <c r="A23204" t="s">
        <v>16</v>
      </c>
      <c r="B23204" t="s">
        <v>3221</v>
      </c>
      <c r="C23204">
        <v>1702</v>
      </c>
      <c r="D23204" t="s">
        <v>417</v>
      </c>
      <c r="E23204" t="s">
        <v>418</v>
      </c>
      <c r="F23204">
        <v>62.04</v>
      </c>
      <c r="G23204">
        <v>230131</v>
      </c>
      <c r="H23204">
        <v>4580</v>
      </c>
      <c r="I23204" t="s">
        <v>35</v>
      </c>
      <c r="J23204">
        <v>76.930000000000007</v>
      </c>
      <c r="K23204">
        <v>14.89</v>
      </c>
      <c r="L23204">
        <v>66722</v>
      </c>
      <c r="M23204" t="s">
        <v>518</v>
      </c>
      <c r="N23204" t="str">
        <f>"5410420     "</f>
        <v xml:space="preserve">5410420     </v>
      </c>
      <c r="O23204">
        <v>230213</v>
      </c>
    </row>
    <row r="23205" spans="1:15" x14ac:dyDescent="0.25">
      <c r="A23205" t="s">
        <v>16</v>
      </c>
      <c r="B23205" t="s">
        <v>3221</v>
      </c>
      <c r="C23205">
        <v>1702</v>
      </c>
      <c r="D23205" t="s">
        <v>417</v>
      </c>
      <c r="E23205" t="s">
        <v>418</v>
      </c>
      <c r="F23205">
        <v>42.87</v>
      </c>
      <c r="G23205">
        <v>230131</v>
      </c>
      <c r="H23205">
        <v>4580</v>
      </c>
      <c r="I23205" t="s">
        <v>35</v>
      </c>
      <c r="J23205">
        <v>53.16</v>
      </c>
      <c r="K23205">
        <v>10.29</v>
      </c>
      <c r="L23205">
        <v>66754</v>
      </c>
      <c r="M23205" t="s">
        <v>239</v>
      </c>
      <c r="N23205" t="str">
        <f>"5410420     "</f>
        <v xml:space="preserve">5410420     </v>
      </c>
      <c r="O23205">
        <v>230213</v>
      </c>
    </row>
    <row r="23206" spans="1:15" x14ac:dyDescent="0.25">
      <c r="A23206" t="s">
        <v>16</v>
      </c>
      <c r="B23206" t="s">
        <v>3221</v>
      </c>
      <c r="C23206">
        <v>1702</v>
      </c>
      <c r="D23206" t="s">
        <v>417</v>
      </c>
      <c r="E23206" t="s">
        <v>418</v>
      </c>
      <c r="F23206">
        <v>74.650000000000006</v>
      </c>
      <c r="G23206">
        <v>230131</v>
      </c>
      <c r="H23206">
        <v>4580</v>
      </c>
      <c r="I23206" t="s">
        <v>35</v>
      </c>
      <c r="J23206">
        <v>92.56</v>
      </c>
      <c r="K23206">
        <v>17.91</v>
      </c>
      <c r="L23206">
        <v>67522</v>
      </c>
      <c r="M23206" t="s">
        <v>397</v>
      </c>
      <c r="N23206" t="str">
        <f>"5410420     "</f>
        <v xml:space="preserve">5410420     </v>
      </c>
      <c r="O23206">
        <v>230213</v>
      </c>
    </row>
    <row r="23207" spans="1:15" x14ac:dyDescent="0.25">
      <c r="A23207" t="s">
        <v>16</v>
      </c>
      <c r="B23207" t="s">
        <v>3221</v>
      </c>
      <c r="C23207">
        <v>1702</v>
      </c>
      <c r="D23207" t="s">
        <v>417</v>
      </c>
      <c r="E23207" t="s">
        <v>418</v>
      </c>
      <c r="F23207">
        <v>74.650000000000006</v>
      </c>
      <c r="G23207">
        <v>230131</v>
      </c>
      <c r="H23207">
        <v>4580</v>
      </c>
      <c r="I23207" t="s">
        <v>35</v>
      </c>
      <c r="J23207">
        <v>92.56</v>
      </c>
      <c r="K23207">
        <v>17.91</v>
      </c>
      <c r="L23207">
        <v>67554</v>
      </c>
      <c r="M23207" t="s">
        <v>60</v>
      </c>
      <c r="N23207" t="str">
        <f>"5410420     "</f>
        <v xml:space="preserve">5410420     </v>
      </c>
      <c r="O23207">
        <v>230213</v>
      </c>
    </row>
    <row r="23208" spans="1:15" x14ac:dyDescent="0.25">
      <c r="A23208" t="s">
        <v>16</v>
      </c>
      <c r="B23208" t="s">
        <v>3221</v>
      </c>
      <c r="C23208">
        <v>1702</v>
      </c>
      <c r="D23208" t="s">
        <v>417</v>
      </c>
      <c r="E23208" t="s">
        <v>418</v>
      </c>
      <c r="F23208">
        <v>157.77000000000001</v>
      </c>
      <c r="G23208">
        <v>230131</v>
      </c>
      <c r="H23208">
        <v>4580</v>
      </c>
      <c r="I23208" t="s">
        <v>35</v>
      </c>
      <c r="J23208">
        <v>195.63</v>
      </c>
      <c r="K23208">
        <v>37.86</v>
      </c>
      <c r="L23208">
        <v>69111</v>
      </c>
      <c r="M23208" t="s">
        <v>471</v>
      </c>
      <c r="N23208" t="str">
        <f>"5410420     "</f>
        <v xml:space="preserve">5410420     </v>
      </c>
      <c r="O23208">
        <v>230213</v>
      </c>
    </row>
    <row r="23209" spans="1:15" x14ac:dyDescent="0.25">
      <c r="A23209" t="s">
        <v>16</v>
      </c>
      <c r="B23209" t="s">
        <v>3221</v>
      </c>
      <c r="C23209">
        <v>3712</v>
      </c>
      <c r="D23209" t="s">
        <v>417</v>
      </c>
      <c r="E23209" t="s">
        <v>418</v>
      </c>
      <c r="F23209">
        <v>342.87</v>
      </c>
      <c r="G23209">
        <v>230315</v>
      </c>
      <c r="H23209">
        <v>4580</v>
      </c>
      <c r="I23209" t="s">
        <v>35</v>
      </c>
      <c r="J23209">
        <v>425.16</v>
      </c>
      <c r="K23209">
        <v>82.29</v>
      </c>
      <c r="L23209">
        <v>17862</v>
      </c>
      <c r="M23209" t="s">
        <v>319</v>
      </c>
      <c r="N23209" t="str">
        <f>"5422781     "</f>
        <v xml:space="preserve">5422781     </v>
      </c>
      <c r="O23209">
        <v>230321</v>
      </c>
    </row>
    <row r="23210" spans="1:15" x14ac:dyDescent="0.25">
      <c r="A23210" t="s">
        <v>16</v>
      </c>
      <c r="B23210" t="s">
        <v>3221</v>
      </c>
      <c r="C23210">
        <v>4264</v>
      </c>
      <c r="D23210" t="s">
        <v>417</v>
      </c>
      <c r="E23210" t="s">
        <v>418</v>
      </c>
      <c r="F23210">
        <v>46.1</v>
      </c>
      <c r="G23210">
        <v>230331</v>
      </c>
      <c r="H23210">
        <v>4580</v>
      </c>
      <c r="I23210" t="s">
        <v>35</v>
      </c>
      <c r="J23210">
        <v>57.16</v>
      </c>
      <c r="K23210">
        <v>11.06</v>
      </c>
      <c r="L23210">
        <v>17952</v>
      </c>
      <c r="M23210" t="s">
        <v>88</v>
      </c>
      <c r="N23210" t="str">
        <f>"5426309     "</f>
        <v xml:space="preserve">5426309     </v>
      </c>
      <c r="O23210">
        <v>230403</v>
      </c>
    </row>
    <row r="23211" spans="1:15" x14ac:dyDescent="0.25">
      <c r="A23211" t="s">
        <v>16</v>
      </c>
      <c r="B23211" t="s">
        <v>3221</v>
      </c>
      <c r="C23211">
        <v>4709</v>
      </c>
      <c r="D23211" t="s">
        <v>417</v>
      </c>
      <c r="E23211" t="s">
        <v>418</v>
      </c>
      <c r="F23211">
        <v>36.69</v>
      </c>
      <c r="G23211">
        <v>230331</v>
      </c>
      <c r="H23211">
        <v>4580</v>
      </c>
      <c r="I23211" t="s">
        <v>35</v>
      </c>
      <c r="J23211">
        <v>45.5</v>
      </c>
      <c r="K23211">
        <v>8.81</v>
      </c>
      <c r="L23211">
        <v>69111</v>
      </c>
      <c r="M23211" t="s">
        <v>471</v>
      </c>
      <c r="N23211" t="str">
        <f>"5424517     "</f>
        <v xml:space="preserve">5424517     </v>
      </c>
      <c r="O23211">
        <v>230412</v>
      </c>
    </row>
    <row r="23212" spans="1:15" x14ac:dyDescent="0.25">
      <c r="A23212" t="s">
        <v>16</v>
      </c>
      <c r="B23212" t="s">
        <v>3221</v>
      </c>
      <c r="C23212">
        <v>4888</v>
      </c>
      <c r="D23212" t="s">
        <v>417</v>
      </c>
      <c r="E23212" t="s">
        <v>418</v>
      </c>
      <c r="F23212">
        <v>28.31</v>
      </c>
      <c r="G23212">
        <v>230331</v>
      </c>
      <c r="H23212">
        <v>4580</v>
      </c>
      <c r="I23212" t="s">
        <v>35</v>
      </c>
      <c r="J23212">
        <v>35.1</v>
      </c>
      <c r="K23212">
        <v>6.79</v>
      </c>
      <c r="L23212">
        <v>44222</v>
      </c>
      <c r="M23212" t="s">
        <v>232</v>
      </c>
      <c r="N23212" t="str">
        <f>"5424275     "</f>
        <v xml:space="preserve">5424275     </v>
      </c>
      <c r="O23212">
        <v>230414</v>
      </c>
    </row>
    <row r="23213" spans="1:15" x14ac:dyDescent="0.25">
      <c r="A23213" t="s">
        <v>16</v>
      </c>
      <c r="B23213" t="s">
        <v>3221</v>
      </c>
      <c r="C23213">
        <v>4888</v>
      </c>
      <c r="D23213" t="s">
        <v>417</v>
      </c>
      <c r="E23213" t="s">
        <v>418</v>
      </c>
      <c r="F23213">
        <v>78.099999999999994</v>
      </c>
      <c r="G23213">
        <v>230331</v>
      </c>
      <c r="H23213">
        <v>4580</v>
      </c>
      <c r="I23213" t="s">
        <v>35</v>
      </c>
      <c r="J23213">
        <v>96.85</v>
      </c>
      <c r="K23213">
        <v>18.75</v>
      </c>
      <c r="L23213">
        <v>44222</v>
      </c>
      <c r="M23213" t="s">
        <v>232</v>
      </c>
      <c r="N23213" t="str">
        <f>"5424275     "</f>
        <v xml:space="preserve">5424275     </v>
      </c>
      <c r="O23213">
        <v>230414</v>
      </c>
    </row>
    <row r="23214" spans="1:15" x14ac:dyDescent="0.25">
      <c r="A23214" t="s">
        <v>16</v>
      </c>
      <c r="B23214" t="s">
        <v>3221</v>
      </c>
      <c r="C23214">
        <v>5259</v>
      </c>
      <c r="D23214" t="s">
        <v>417</v>
      </c>
      <c r="E23214" t="s">
        <v>418</v>
      </c>
      <c r="F23214">
        <v>111.09</v>
      </c>
      <c r="G23214">
        <v>230415</v>
      </c>
      <c r="H23214">
        <v>4580</v>
      </c>
      <c r="I23214" t="s">
        <v>35</v>
      </c>
      <c r="J23214">
        <v>137.75</v>
      </c>
      <c r="K23214">
        <v>26.66</v>
      </c>
      <c r="L23214">
        <v>17536</v>
      </c>
      <c r="M23214" t="s">
        <v>734</v>
      </c>
      <c r="N23214" t="str">
        <f>"5430240     "</f>
        <v xml:space="preserve">5430240     </v>
      </c>
      <c r="O23214">
        <v>230419</v>
      </c>
    </row>
    <row r="23215" spans="1:15" x14ac:dyDescent="0.25">
      <c r="A23215" t="s">
        <v>16</v>
      </c>
      <c r="B23215" t="s">
        <v>3221</v>
      </c>
      <c r="C23215">
        <v>5260</v>
      </c>
      <c r="D23215" t="s">
        <v>417</v>
      </c>
      <c r="E23215" t="s">
        <v>418</v>
      </c>
      <c r="F23215">
        <v>117.96</v>
      </c>
      <c r="G23215">
        <v>230415</v>
      </c>
      <c r="H23215">
        <v>4580</v>
      </c>
      <c r="I23215" t="s">
        <v>35</v>
      </c>
      <c r="J23215">
        <v>146.27000000000001</v>
      </c>
      <c r="K23215">
        <v>28.31</v>
      </c>
      <c r="L23215">
        <v>17711</v>
      </c>
      <c r="M23215" t="s">
        <v>65</v>
      </c>
      <c r="N23215" t="str">
        <f>"5429578     "</f>
        <v xml:space="preserve">5429578     </v>
      </c>
      <c r="O23215">
        <v>230419</v>
      </c>
    </row>
    <row r="23216" spans="1:15" x14ac:dyDescent="0.25">
      <c r="A23216" t="s">
        <v>16</v>
      </c>
      <c r="B23216" t="s">
        <v>3221</v>
      </c>
      <c r="C23216">
        <v>5900</v>
      </c>
      <c r="D23216" t="s">
        <v>417</v>
      </c>
      <c r="E23216" t="s">
        <v>418</v>
      </c>
      <c r="F23216">
        <v>40.33</v>
      </c>
      <c r="G23216">
        <v>230430</v>
      </c>
      <c r="H23216">
        <v>4580</v>
      </c>
      <c r="I23216" t="s">
        <v>35</v>
      </c>
      <c r="J23216">
        <v>50.01</v>
      </c>
      <c r="K23216">
        <v>9.68</v>
      </c>
      <c r="L23216">
        <v>17952</v>
      </c>
      <c r="M23216" t="s">
        <v>88</v>
      </c>
      <c r="N23216" t="str">
        <f>"5433435     "</f>
        <v xml:space="preserve">5433435     </v>
      </c>
      <c r="O23216">
        <v>230503</v>
      </c>
    </row>
    <row r="23217" spans="1:15" x14ac:dyDescent="0.25">
      <c r="A23217" t="s">
        <v>16</v>
      </c>
      <c r="B23217" t="s">
        <v>3221</v>
      </c>
      <c r="C23217">
        <v>6301</v>
      </c>
      <c r="D23217" t="s">
        <v>417</v>
      </c>
      <c r="E23217" t="s">
        <v>418</v>
      </c>
      <c r="F23217">
        <v>2.42</v>
      </c>
      <c r="G23217">
        <v>230430</v>
      </c>
      <c r="H23217">
        <v>4580</v>
      </c>
      <c r="I23217" t="s">
        <v>35</v>
      </c>
      <c r="J23217">
        <v>3</v>
      </c>
      <c r="K23217">
        <v>0.57999999999999996</v>
      </c>
      <c r="L23217">
        <v>13561</v>
      </c>
      <c r="M23217" t="s">
        <v>246</v>
      </c>
      <c r="N23217" t="str">
        <f>"5434229     "</f>
        <v xml:space="preserve">5434229     </v>
      </c>
      <c r="O23217">
        <v>230510</v>
      </c>
    </row>
    <row r="23218" spans="1:15" x14ac:dyDescent="0.25">
      <c r="A23218" t="s">
        <v>16</v>
      </c>
      <c r="B23218" t="s">
        <v>3221</v>
      </c>
      <c r="C23218">
        <v>6301</v>
      </c>
      <c r="D23218" t="s">
        <v>417</v>
      </c>
      <c r="E23218" t="s">
        <v>418</v>
      </c>
      <c r="F23218">
        <v>19.61</v>
      </c>
      <c r="G23218">
        <v>230430</v>
      </c>
      <c r="H23218">
        <v>4580</v>
      </c>
      <c r="I23218" t="s">
        <v>35</v>
      </c>
      <c r="J23218">
        <v>24.32</v>
      </c>
      <c r="K23218">
        <v>4.71</v>
      </c>
      <c r="L23218">
        <v>17971</v>
      </c>
      <c r="M23218" t="s">
        <v>138</v>
      </c>
      <c r="N23218" t="str">
        <f>"5434229     "</f>
        <v xml:space="preserve">5434229     </v>
      </c>
      <c r="O23218">
        <v>230510</v>
      </c>
    </row>
    <row r="23219" spans="1:15" x14ac:dyDescent="0.25">
      <c r="A23219" t="s">
        <v>16</v>
      </c>
      <c r="B23219" t="s">
        <v>3221</v>
      </c>
      <c r="C23219">
        <v>7961</v>
      </c>
      <c r="D23219" t="s">
        <v>417</v>
      </c>
      <c r="E23219" t="s">
        <v>418</v>
      </c>
      <c r="F23219">
        <v>19.66</v>
      </c>
      <c r="G23219">
        <v>230531</v>
      </c>
      <c r="H23219">
        <v>4580</v>
      </c>
      <c r="I23219" t="s">
        <v>35</v>
      </c>
      <c r="J23219">
        <v>24.38</v>
      </c>
      <c r="K23219">
        <v>4.72</v>
      </c>
      <c r="L23219">
        <v>17952</v>
      </c>
      <c r="M23219" t="s">
        <v>88</v>
      </c>
      <c r="N23219" t="str">
        <f>"5441436     "</f>
        <v xml:space="preserve">5441436     </v>
      </c>
      <c r="O23219">
        <v>230606</v>
      </c>
    </row>
    <row r="23220" spans="1:15" x14ac:dyDescent="0.25">
      <c r="A23220" t="s">
        <v>16</v>
      </c>
      <c r="B23220" t="s">
        <v>3221</v>
      </c>
      <c r="C23220">
        <v>8254</v>
      </c>
      <c r="D23220" t="s">
        <v>417</v>
      </c>
      <c r="E23220" t="s">
        <v>418</v>
      </c>
      <c r="F23220">
        <v>6.89</v>
      </c>
      <c r="G23220">
        <v>230531</v>
      </c>
      <c r="H23220">
        <v>4580</v>
      </c>
      <c r="I23220" t="s">
        <v>35</v>
      </c>
      <c r="J23220">
        <v>8.5399999999999991</v>
      </c>
      <c r="K23220">
        <v>1.65</v>
      </c>
      <c r="L23220">
        <v>67554</v>
      </c>
      <c r="M23220" t="s">
        <v>60</v>
      </c>
      <c r="N23220" t="str">
        <f>"5439622     "</f>
        <v xml:space="preserve">5439622     </v>
      </c>
      <c r="O23220">
        <v>230608</v>
      </c>
    </row>
    <row r="23221" spans="1:15" x14ac:dyDescent="0.25">
      <c r="A23221" t="s">
        <v>16</v>
      </c>
      <c r="B23221" t="s">
        <v>3221</v>
      </c>
      <c r="C23221">
        <v>8254</v>
      </c>
      <c r="D23221" t="s">
        <v>417</v>
      </c>
      <c r="E23221" t="s">
        <v>418</v>
      </c>
      <c r="F23221">
        <v>61.21</v>
      </c>
      <c r="G23221">
        <v>230531</v>
      </c>
      <c r="H23221">
        <v>4580</v>
      </c>
      <c r="I23221" t="s">
        <v>35</v>
      </c>
      <c r="J23221">
        <v>75.900000000000006</v>
      </c>
      <c r="K23221">
        <v>14.69</v>
      </c>
      <c r="L23221">
        <v>69111</v>
      </c>
      <c r="M23221" t="s">
        <v>471</v>
      </c>
      <c r="N23221" t="str">
        <f>"5439622     "</f>
        <v xml:space="preserve">5439622     </v>
      </c>
      <c r="O23221">
        <v>230608</v>
      </c>
    </row>
    <row r="23222" spans="1:15" x14ac:dyDescent="0.25">
      <c r="A23222" t="s">
        <v>16</v>
      </c>
      <c r="B23222" t="s">
        <v>3221</v>
      </c>
      <c r="C23222">
        <v>10805</v>
      </c>
      <c r="D23222" t="s">
        <v>417</v>
      </c>
      <c r="E23222" t="s">
        <v>418</v>
      </c>
      <c r="F23222">
        <v>283.39999999999998</v>
      </c>
      <c r="G23222">
        <v>230815</v>
      </c>
      <c r="H23222">
        <v>4580</v>
      </c>
      <c r="I23222" t="s">
        <v>35</v>
      </c>
      <c r="J23222">
        <v>351.41</v>
      </c>
      <c r="K23222">
        <v>68.010000000000005</v>
      </c>
      <c r="L23222">
        <v>17531</v>
      </c>
      <c r="M23222" t="s">
        <v>136</v>
      </c>
      <c r="N23222" t="str">
        <f>"5459299     "</f>
        <v xml:space="preserve">5459299     </v>
      </c>
      <c r="O23222">
        <v>230823</v>
      </c>
    </row>
    <row r="23223" spans="1:15" x14ac:dyDescent="0.25">
      <c r="A23223" t="s">
        <v>16</v>
      </c>
      <c r="B23223" t="s">
        <v>3221</v>
      </c>
      <c r="C23223">
        <v>10805</v>
      </c>
      <c r="D23223" t="s">
        <v>417</v>
      </c>
      <c r="E23223" t="s">
        <v>418</v>
      </c>
      <c r="F23223">
        <v>16.809999999999999</v>
      </c>
      <c r="G23223">
        <v>230815</v>
      </c>
      <c r="H23223">
        <v>4580</v>
      </c>
      <c r="I23223" t="s">
        <v>35</v>
      </c>
      <c r="J23223">
        <v>20.85</v>
      </c>
      <c r="K23223">
        <v>4.04</v>
      </c>
      <c r="L23223">
        <v>17534</v>
      </c>
      <c r="M23223" t="s">
        <v>440</v>
      </c>
      <c r="N23223" t="str">
        <f>"5459299     "</f>
        <v xml:space="preserve">5459299     </v>
      </c>
      <c r="O23223">
        <v>230823</v>
      </c>
    </row>
    <row r="23224" spans="1:15" x14ac:dyDescent="0.25">
      <c r="A23224" t="s">
        <v>16</v>
      </c>
      <c r="B23224" t="s">
        <v>3221</v>
      </c>
      <c r="C23224">
        <v>10805</v>
      </c>
      <c r="D23224" t="s">
        <v>417</v>
      </c>
      <c r="E23224" t="s">
        <v>418</v>
      </c>
      <c r="F23224">
        <v>29.56</v>
      </c>
      <c r="G23224">
        <v>230815</v>
      </c>
      <c r="H23224">
        <v>4580</v>
      </c>
      <c r="I23224" t="s">
        <v>35</v>
      </c>
      <c r="J23224">
        <v>36.659999999999997</v>
      </c>
      <c r="K23224">
        <v>7.1</v>
      </c>
      <c r="L23224">
        <v>17975</v>
      </c>
      <c r="M23224" t="s">
        <v>798</v>
      </c>
      <c r="N23224" t="str">
        <f>"5459299     "</f>
        <v xml:space="preserve">5459299     </v>
      </c>
      <c r="O23224">
        <v>230823</v>
      </c>
    </row>
    <row r="23225" spans="1:15" x14ac:dyDescent="0.25">
      <c r="A23225" t="s">
        <v>16</v>
      </c>
      <c r="B23225" t="s">
        <v>3221</v>
      </c>
      <c r="C23225">
        <v>11470</v>
      </c>
      <c r="D23225" t="s">
        <v>417</v>
      </c>
      <c r="E23225" t="s">
        <v>418</v>
      </c>
      <c r="F23225">
        <v>9.4</v>
      </c>
      <c r="G23225">
        <v>230831</v>
      </c>
      <c r="H23225">
        <v>4580</v>
      </c>
      <c r="I23225" t="s">
        <v>35</v>
      </c>
      <c r="J23225">
        <v>11.65</v>
      </c>
      <c r="K23225">
        <v>2.25</v>
      </c>
      <c r="L23225">
        <v>17975</v>
      </c>
      <c r="M23225" t="s">
        <v>798</v>
      </c>
      <c r="N23225" t="str">
        <f>"5463706     "</f>
        <v xml:space="preserve">5463706     </v>
      </c>
      <c r="O23225">
        <v>230906</v>
      </c>
    </row>
    <row r="23226" spans="1:15" x14ac:dyDescent="0.25">
      <c r="A23226" t="s">
        <v>16</v>
      </c>
      <c r="B23226" t="s">
        <v>3221</v>
      </c>
      <c r="C23226">
        <v>11933</v>
      </c>
      <c r="D23226" t="s">
        <v>417</v>
      </c>
      <c r="E23226" t="s">
        <v>418</v>
      </c>
      <c r="F23226">
        <v>26.77</v>
      </c>
      <c r="G23226">
        <v>230831</v>
      </c>
      <c r="H23226">
        <v>4580</v>
      </c>
      <c r="I23226" t="s">
        <v>35</v>
      </c>
      <c r="J23226">
        <v>33.200000000000003</v>
      </c>
      <c r="K23226">
        <v>6.43</v>
      </c>
      <c r="L23226">
        <v>44222</v>
      </c>
      <c r="M23226" t="s">
        <v>232</v>
      </c>
      <c r="N23226" t="str">
        <f>"5460935     "</f>
        <v xml:space="preserve">5460935     </v>
      </c>
      <c r="O23226">
        <v>230912</v>
      </c>
    </row>
    <row r="23227" spans="1:15" x14ac:dyDescent="0.25">
      <c r="A23227" t="s">
        <v>16</v>
      </c>
      <c r="B23227" t="s">
        <v>3221</v>
      </c>
      <c r="C23227">
        <v>11933</v>
      </c>
      <c r="D23227" t="s">
        <v>417</v>
      </c>
      <c r="E23227" t="s">
        <v>418</v>
      </c>
      <c r="F23227">
        <v>28.99</v>
      </c>
      <c r="G23227">
        <v>230831</v>
      </c>
      <c r="H23227">
        <v>4580</v>
      </c>
      <c r="I23227" t="s">
        <v>35</v>
      </c>
      <c r="J23227">
        <v>35.950000000000003</v>
      </c>
      <c r="K23227">
        <v>6.96</v>
      </c>
      <c r="L23227">
        <v>48601</v>
      </c>
      <c r="M23227" t="s">
        <v>1047</v>
      </c>
      <c r="N23227" t="str">
        <f>"5460935     "</f>
        <v xml:space="preserve">5460935     </v>
      </c>
      <c r="O23227">
        <v>230912</v>
      </c>
    </row>
    <row r="23228" spans="1:15" x14ac:dyDescent="0.25">
      <c r="A23228" t="s">
        <v>16</v>
      </c>
      <c r="B23228" t="s">
        <v>3221</v>
      </c>
      <c r="C23228">
        <v>11933</v>
      </c>
      <c r="D23228" t="s">
        <v>417</v>
      </c>
      <c r="E23228" t="s">
        <v>418</v>
      </c>
      <c r="F23228">
        <v>52.91</v>
      </c>
      <c r="G23228">
        <v>230831</v>
      </c>
      <c r="H23228">
        <v>4580</v>
      </c>
      <c r="I23228" t="s">
        <v>35</v>
      </c>
      <c r="J23228">
        <v>65.61</v>
      </c>
      <c r="K23228">
        <v>12.7</v>
      </c>
      <c r="L23228">
        <v>49501</v>
      </c>
      <c r="M23228" t="s">
        <v>177</v>
      </c>
      <c r="N23228" t="str">
        <f>"5460935     "</f>
        <v xml:space="preserve">5460935     </v>
      </c>
      <c r="O23228">
        <v>230912</v>
      </c>
    </row>
    <row r="23229" spans="1:15" x14ac:dyDescent="0.25">
      <c r="A23229" t="s">
        <v>16</v>
      </c>
      <c r="B23229" t="s">
        <v>3221</v>
      </c>
      <c r="C23229">
        <v>12234</v>
      </c>
      <c r="D23229" t="s">
        <v>417</v>
      </c>
      <c r="E23229" t="s">
        <v>418</v>
      </c>
      <c r="F23229">
        <v>21.77</v>
      </c>
      <c r="G23229">
        <v>230831</v>
      </c>
      <c r="H23229">
        <v>4580</v>
      </c>
      <c r="I23229" t="s">
        <v>35</v>
      </c>
      <c r="J23229">
        <v>26.99</v>
      </c>
      <c r="K23229">
        <v>5.22</v>
      </c>
      <c r="L23229">
        <v>67554</v>
      </c>
      <c r="M23229" t="s">
        <v>60</v>
      </c>
      <c r="N23229" t="str">
        <f>"5461194     "</f>
        <v xml:space="preserve">5461194     </v>
      </c>
      <c r="O23229">
        <v>230918</v>
      </c>
    </row>
    <row r="23230" spans="1:15" x14ac:dyDescent="0.25">
      <c r="A23230" t="s">
        <v>16</v>
      </c>
      <c r="B23230" t="s">
        <v>3221</v>
      </c>
      <c r="C23230">
        <v>13409</v>
      </c>
      <c r="D23230" t="s">
        <v>417</v>
      </c>
      <c r="E23230" t="s">
        <v>418</v>
      </c>
      <c r="F23230">
        <v>4.08</v>
      </c>
      <c r="G23230">
        <v>230930</v>
      </c>
      <c r="H23230">
        <v>4580</v>
      </c>
      <c r="I23230" t="s">
        <v>35</v>
      </c>
      <c r="J23230">
        <v>5.0599999999999996</v>
      </c>
      <c r="K23230">
        <v>0.98</v>
      </c>
      <c r="L23230">
        <v>13540</v>
      </c>
      <c r="M23230" t="s">
        <v>85</v>
      </c>
      <c r="N23230" t="str">
        <f>"5471362     "</f>
        <v xml:space="preserve">5471362     </v>
      </c>
      <c r="O23230">
        <v>231010</v>
      </c>
    </row>
    <row r="23231" spans="1:15" x14ac:dyDescent="0.25">
      <c r="A23231" t="s">
        <v>16</v>
      </c>
      <c r="B23231" t="s">
        <v>3221</v>
      </c>
      <c r="C23231">
        <v>13409</v>
      </c>
      <c r="D23231" t="s">
        <v>417</v>
      </c>
      <c r="E23231" t="s">
        <v>418</v>
      </c>
      <c r="F23231">
        <v>33</v>
      </c>
      <c r="G23231">
        <v>230930</v>
      </c>
      <c r="H23231">
        <v>4580</v>
      </c>
      <c r="I23231" t="s">
        <v>35</v>
      </c>
      <c r="J23231">
        <v>40.92</v>
      </c>
      <c r="K23231">
        <v>7.92</v>
      </c>
      <c r="L23231">
        <v>17950</v>
      </c>
      <c r="M23231" t="s">
        <v>86</v>
      </c>
      <c r="N23231" t="str">
        <f>"5471362     "</f>
        <v xml:space="preserve">5471362     </v>
      </c>
      <c r="O23231">
        <v>231010</v>
      </c>
    </row>
    <row r="23232" spans="1:15" x14ac:dyDescent="0.25">
      <c r="A23232" t="s">
        <v>16</v>
      </c>
      <c r="B23232" t="s">
        <v>3221</v>
      </c>
      <c r="C23232">
        <v>13690</v>
      </c>
      <c r="D23232" t="s">
        <v>417</v>
      </c>
      <c r="E23232" t="s">
        <v>418</v>
      </c>
      <c r="F23232">
        <v>202.18</v>
      </c>
      <c r="G23232">
        <v>230930</v>
      </c>
      <c r="H23232">
        <v>4580</v>
      </c>
      <c r="I23232" t="s">
        <v>35</v>
      </c>
      <c r="J23232">
        <v>250.7</v>
      </c>
      <c r="K23232">
        <v>48.52</v>
      </c>
      <c r="L23232">
        <v>56566</v>
      </c>
      <c r="M23232" t="s">
        <v>652</v>
      </c>
      <c r="N23232" t="str">
        <f>"5469342     "</f>
        <v xml:space="preserve">5469342     </v>
      </c>
      <c r="O23232">
        <v>231012</v>
      </c>
    </row>
    <row r="23233" spans="1:15" x14ac:dyDescent="0.25">
      <c r="A23233" t="s">
        <v>16</v>
      </c>
      <c r="B23233" t="s">
        <v>3221</v>
      </c>
      <c r="C23233">
        <v>14008</v>
      </c>
      <c r="D23233" t="s">
        <v>417</v>
      </c>
      <c r="E23233" t="s">
        <v>418</v>
      </c>
      <c r="F23233">
        <v>75.849999999999994</v>
      </c>
      <c r="G23233">
        <v>230930</v>
      </c>
      <c r="H23233">
        <v>4580</v>
      </c>
      <c r="I23233" t="s">
        <v>35</v>
      </c>
      <c r="J23233">
        <v>94.05</v>
      </c>
      <c r="K23233">
        <v>18.2</v>
      </c>
      <c r="L23233">
        <v>49704</v>
      </c>
      <c r="M23233" t="s">
        <v>1065</v>
      </c>
      <c r="N23233" t="str">
        <f>"5468843     "</f>
        <v xml:space="preserve">5468843     </v>
      </c>
      <c r="O23233">
        <v>231017</v>
      </c>
    </row>
    <row r="23234" spans="1:15" x14ac:dyDescent="0.25">
      <c r="A23234" t="s">
        <v>16</v>
      </c>
      <c r="B23234" t="s">
        <v>3221</v>
      </c>
      <c r="C23234">
        <v>14283</v>
      </c>
      <c r="D23234" t="s">
        <v>417</v>
      </c>
      <c r="E23234" t="s">
        <v>418</v>
      </c>
      <c r="F23234">
        <v>2.68</v>
      </c>
      <c r="G23234">
        <v>231015</v>
      </c>
      <c r="H23234">
        <v>4580</v>
      </c>
      <c r="I23234" t="s">
        <v>35</v>
      </c>
      <c r="J23234">
        <v>3.32</v>
      </c>
      <c r="K23234">
        <v>0.64</v>
      </c>
      <c r="L23234">
        <v>17521</v>
      </c>
      <c r="M23234" t="s">
        <v>133</v>
      </c>
      <c r="N23234" t="str">
        <f>"5474664     "</f>
        <v xml:space="preserve">5474664     </v>
      </c>
      <c r="O23234">
        <v>231025</v>
      </c>
    </row>
    <row r="23235" spans="1:15" x14ac:dyDescent="0.25">
      <c r="A23235" t="s">
        <v>16</v>
      </c>
      <c r="B23235" t="s">
        <v>3221</v>
      </c>
      <c r="C23235">
        <v>14882</v>
      </c>
      <c r="D23235" t="s">
        <v>417</v>
      </c>
      <c r="E23235" t="s">
        <v>418</v>
      </c>
      <c r="F23235">
        <v>49.84</v>
      </c>
      <c r="G23235">
        <v>231031</v>
      </c>
      <c r="H23235">
        <v>4580</v>
      </c>
      <c r="I23235" t="s">
        <v>35</v>
      </c>
      <c r="J23235">
        <v>61.8</v>
      </c>
      <c r="K23235">
        <v>11.96</v>
      </c>
      <c r="L23235">
        <v>17952</v>
      </c>
      <c r="M23235" t="s">
        <v>88</v>
      </c>
      <c r="N23235" t="str">
        <f>"5478195     "</f>
        <v xml:space="preserve">5478195     </v>
      </c>
      <c r="O23235">
        <v>231107</v>
      </c>
    </row>
    <row r="23236" spans="1:15" x14ac:dyDescent="0.25">
      <c r="A23236" t="s">
        <v>16</v>
      </c>
      <c r="B23236" t="s">
        <v>3221</v>
      </c>
      <c r="C23236">
        <v>15568</v>
      </c>
      <c r="D23236" t="s">
        <v>417</v>
      </c>
      <c r="E23236" t="s">
        <v>418</v>
      </c>
      <c r="F23236">
        <v>50.73</v>
      </c>
      <c r="G23236">
        <v>231031</v>
      </c>
      <c r="H23236">
        <v>4580</v>
      </c>
      <c r="I23236" t="s">
        <v>35</v>
      </c>
      <c r="J23236">
        <v>62.9</v>
      </c>
      <c r="K23236">
        <v>12.17</v>
      </c>
      <c r="L23236">
        <v>59111</v>
      </c>
      <c r="M23236" t="s">
        <v>1010</v>
      </c>
      <c r="N23236" t="str">
        <f>"5476813     "</f>
        <v xml:space="preserve">5476813     </v>
      </c>
      <c r="O23236">
        <v>231114</v>
      </c>
    </row>
    <row r="23237" spans="1:15" x14ac:dyDescent="0.25">
      <c r="A23237" t="s">
        <v>16</v>
      </c>
      <c r="B23237" t="s">
        <v>3221</v>
      </c>
      <c r="C23237">
        <v>15568</v>
      </c>
      <c r="D23237" t="s">
        <v>417</v>
      </c>
      <c r="E23237" t="s">
        <v>418</v>
      </c>
      <c r="F23237">
        <v>76.09</v>
      </c>
      <c r="G23237">
        <v>231031</v>
      </c>
      <c r="H23237">
        <v>4580</v>
      </c>
      <c r="I23237" t="s">
        <v>35</v>
      </c>
      <c r="J23237">
        <v>94.35</v>
      </c>
      <c r="K23237">
        <v>18.260000000000002</v>
      </c>
      <c r="L23237">
        <v>59111</v>
      </c>
      <c r="M23237" t="s">
        <v>1010</v>
      </c>
      <c r="N23237" t="str">
        <f>"5476813     "</f>
        <v xml:space="preserve">5476813     </v>
      </c>
      <c r="O23237">
        <v>231114</v>
      </c>
    </row>
    <row r="23238" spans="1:15" x14ac:dyDescent="0.25">
      <c r="A23238" t="s">
        <v>16</v>
      </c>
      <c r="B23238" t="s">
        <v>3221</v>
      </c>
      <c r="C23238">
        <v>15982</v>
      </c>
      <c r="D23238" t="s">
        <v>417</v>
      </c>
      <c r="E23238" t="s">
        <v>418</v>
      </c>
      <c r="F23238">
        <v>71.819999999999993</v>
      </c>
      <c r="G23238">
        <v>231115</v>
      </c>
      <c r="H23238">
        <v>4580</v>
      </c>
      <c r="I23238" t="s">
        <v>35</v>
      </c>
      <c r="J23238">
        <v>71.819999999999993</v>
      </c>
      <c r="K23238">
        <v>0</v>
      </c>
      <c r="L23238">
        <v>17527</v>
      </c>
      <c r="M23238" t="s">
        <v>422</v>
      </c>
      <c r="N23238" t="str">
        <f>"5482822     "</f>
        <v xml:space="preserve">5482822     </v>
      </c>
      <c r="O23238">
        <v>231122</v>
      </c>
    </row>
    <row r="23239" spans="1:15" x14ac:dyDescent="0.25">
      <c r="A23239" t="s">
        <v>16</v>
      </c>
      <c r="B23239" t="s">
        <v>3221</v>
      </c>
      <c r="C23239">
        <v>15982</v>
      </c>
      <c r="D23239" t="s">
        <v>417</v>
      </c>
      <c r="E23239" t="s">
        <v>418</v>
      </c>
      <c r="F23239">
        <v>62.48</v>
      </c>
      <c r="G23239">
        <v>231115</v>
      </c>
      <c r="H23239">
        <v>4580</v>
      </c>
      <c r="I23239" t="s">
        <v>35</v>
      </c>
      <c r="J23239">
        <v>77.48</v>
      </c>
      <c r="K23239">
        <v>15</v>
      </c>
      <c r="L23239">
        <v>17538</v>
      </c>
      <c r="M23239" t="s">
        <v>24</v>
      </c>
      <c r="N23239" t="str">
        <f>"5482822     "</f>
        <v xml:space="preserve">5482822     </v>
      </c>
      <c r="O23239">
        <v>231122</v>
      </c>
    </row>
    <row r="23240" spans="1:15" x14ac:dyDescent="0.25">
      <c r="A23240" t="s">
        <v>16</v>
      </c>
      <c r="B23240" t="s">
        <v>3221</v>
      </c>
      <c r="C23240">
        <v>15982</v>
      </c>
      <c r="D23240" t="s">
        <v>417</v>
      </c>
      <c r="E23240" t="s">
        <v>418</v>
      </c>
      <c r="F23240">
        <v>13.75</v>
      </c>
      <c r="G23240">
        <v>231115</v>
      </c>
      <c r="H23240">
        <v>4580</v>
      </c>
      <c r="I23240" t="s">
        <v>35</v>
      </c>
      <c r="J23240">
        <v>17.05</v>
      </c>
      <c r="K23240">
        <v>3.3</v>
      </c>
      <c r="L23240">
        <v>17950</v>
      </c>
      <c r="M23240" t="s">
        <v>86</v>
      </c>
      <c r="N23240" t="str">
        <f>"5482822     "</f>
        <v xml:space="preserve">5482822     </v>
      </c>
      <c r="O23240">
        <v>231122</v>
      </c>
    </row>
    <row r="23241" spans="1:15" x14ac:dyDescent="0.25">
      <c r="A23241" t="s">
        <v>16</v>
      </c>
      <c r="B23241" t="s">
        <v>3221</v>
      </c>
      <c r="C23241">
        <v>16946</v>
      </c>
      <c r="D23241" t="s">
        <v>417</v>
      </c>
      <c r="E23241" t="s">
        <v>418</v>
      </c>
      <c r="F23241">
        <v>17.66</v>
      </c>
      <c r="G23241">
        <v>231130</v>
      </c>
      <c r="H23241">
        <v>4580</v>
      </c>
      <c r="I23241" t="s">
        <v>35</v>
      </c>
      <c r="J23241">
        <v>21.9</v>
      </c>
      <c r="K23241">
        <v>4.24</v>
      </c>
      <c r="L23241">
        <v>17913</v>
      </c>
      <c r="M23241" t="s">
        <v>431</v>
      </c>
      <c r="N23241" t="str">
        <f>"5486340     "</f>
        <v xml:space="preserve">5486340     </v>
      </c>
      <c r="O23241">
        <v>231211</v>
      </c>
    </row>
    <row r="23242" spans="1:15" x14ac:dyDescent="0.25">
      <c r="A23242" t="s">
        <v>16</v>
      </c>
      <c r="B23242" t="s">
        <v>3221</v>
      </c>
      <c r="C23242">
        <v>17406</v>
      </c>
      <c r="D23242" t="s">
        <v>417</v>
      </c>
      <c r="E23242" t="s">
        <v>418</v>
      </c>
      <c r="F23242">
        <v>29.07</v>
      </c>
      <c r="G23242">
        <v>231130</v>
      </c>
      <c r="H23242">
        <v>4580</v>
      </c>
      <c r="I23242" t="s">
        <v>35</v>
      </c>
      <c r="J23242">
        <v>36.049999999999997</v>
      </c>
      <c r="K23242">
        <v>6.98</v>
      </c>
      <c r="L23242">
        <v>56528</v>
      </c>
      <c r="M23242" t="s">
        <v>153</v>
      </c>
      <c r="N23242" t="str">
        <f>"5485439     "</f>
        <v xml:space="preserve">5485439     </v>
      </c>
      <c r="O23242">
        <v>231214</v>
      </c>
    </row>
    <row r="23243" spans="1:15" x14ac:dyDescent="0.25">
      <c r="A23243" t="s">
        <v>16</v>
      </c>
      <c r="B23243" t="s">
        <v>3221</v>
      </c>
      <c r="C23243">
        <v>17983</v>
      </c>
      <c r="D23243" t="s">
        <v>417</v>
      </c>
      <c r="E23243" t="s">
        <v>418</v>
      </c>
      <c r="F23243">
        <v>110.37</v>
      </c>
      <c r="G23243">
        <v>231215</v>
      </c>
      <c r="H23243">
        <v>4580</v>
      </c>
      <c r="I23243" t="s">
        <v>35</v>
      </c>
      <c r="J23243">
        <v>136.86000000000001</v>
      </c>
      <c r="K23243">
        <v>26.49</v>
      </c>
      <c r="L23243">
        <v>17971</v>
      </c>
      <c r="M23243" t="s">
        <v>138</v>
      </c>
      <c r="N23243" t="str">
        <f>"5492266     "</f>
        <v xml:space="preserve">5492266     </v>
      </c>
      <c r="O23243">
        <v>231228</v>
      </c>
    </row>
    <row r="23244" spans="1:15" x14ac:dyDescent="0.25">
      <c r="A23244" t="s">
        <v>16</v>
      </c>
      <c r="B23244" t="s">
        <v>3221</v>
      </c>
      <c r="C23244">
        <v>13522</v>
      </c>
      <c r="D23244" t="s">
        <v>417</v>
      </c>
      <c r="E23244" t="s">
        <v>418</v>
      </c>
      <c r="F23244">
        <v>6.89</v>
      </c>
      <c r="G23244">
        <v>230930</v>
      </c>
      <c r="H23244">
        <v>4553</v>
      </c>
      <c r="I23244" t="s">
        <v>1385</v>
      </c>
      <c r="J23244">
        <v>8.5399999999999991</v>
      </c>
      <c r="K23244">
        <v>1.65</v>
      </c>
      <c r="L23244">
        <v>66722</v>
      </c>
      <c r="M23244" t="s">
        <v>518</v>
      </c>
      <c r="N23244" t="str">
        <f>"5469066     "</f>
        <v xml:space="preserve">5469066     </v>
      </c>
      <c r="O23244">
        <v>231011</v>
      </c>
    </row>
    <row r="23245" spans="1:15" x14ac:dyDescent="0.25">
      <c r="A23245" t="s">
        <v>16</v>
      </c>
      <c r="B23245" t="s">
        <v>3221</v>
      </c>
      <c r="C23245">
        <v>2595</v>
      </c>
      <c r="D23245" t="s">
        <v>417</v>
      </c>
      <c r="E23245" t="s">
        <v>418</v>
      </c>
      <c r="F23245">
        <v>6.87</v>
      </c>
      <c r="G23245">
        <v>230228</v>
      </c>
      <c r="H23245">
        <v>4557</v>
      </c>
      <c r="I23245" t="s">
        <v>238</v>
      </c>
      <c r="J23245">
        <v>8.52</v>
      </c>
      <c r="K23245">
        <v>1.65</v>
      </c>
      <c r="L23245">
        <v>67522</v>
      </c>
      <c r="M23245" t="s">
        <v>397</v>
      </c>
      <c r="N23245" t="str">
        <f>"5417752     "</f>
        <v xml:space="preserve">5417752     </v>
      </c>
      <c r="O23245">
        <v>230302</v>
      </c>
    </row>
    <row r="23246" spans="1:15" x14ac:dyDescent="0.25">
      <c r="A23246" t="s">
        <v>16</v>
      </c>
      <c r="B23246" t="s">
        <v>3221</v>
      </c>
      <c r="C23246">
        <v>6301</v>
      </c>
      <c r="D23246" t="s">
        <v>417</v>
      </c>
      <c r="E23246" t="s">
        <v>418</v>
      </c>
      <c r="F23246">
        <v>1.75</v>
      </c>
      <c r="G23246">
        <v>230430</v>
      </c>
      <c r="H23246">
        <v>4557</v>
      </c>
      <c r="I23246" t="s">
        <v>238</v>
      </c>
      <c r="J23246">
        <v>2.17</v>
      </c>
      <c r="K23246">
        <v>0.42</v>
      </c>
      <c r="L23246">
        <v>13561</v>
      </c>
      <c r="M23246" t="s">
        <v>246</v>
      </c>
      <c r="N23246" t="str">
        <f>"5434229     "</f>
        <v xml:space="preserve">5434229     </v>
      </c>
      <c r="O23246">
        <v>230510</v>
      </c>
    </row>
    <row r="23247" spans="1:15" x14ac:dyDescent="0.25">
      <c r="A23247" t="s">
        <v>16</v>
      </c>
      <c r="B23247" t="s">
        <v>3221</v>
      </c>
      <c r="C23247">
        <v>6301</v>
      </c>
      <c r="D23247" t="s">
        <v>417</v>
      </c>
      <c r="E23247" t="s">
        <v>418</v>
      </c>
      <c r="F23247">
        <v>14.35</v>
      </c>
      <c r="G23247">
        <v>230430</v>
      </c>
      <c r="H23247">
        <v>4557</v>
      </c>
      <c r="I23247" t="s">
        <v>238</v>
      </c>
      <c r="J23247">
        <v>17.8</v>
      </c>
      <c r="K23247">
        <v>3.45</v>
      </c>
      <c r="L23247">
        <v>17950</v>
      </c>
      <c r="M23247" t="s">
        <v>86</v>
      </c>
      <c r="N23247" t="str">
        <f>"5434229     "</f>
        <v xml:space="preserve">5434229     </v>
      </c>
      <c r="O23247">
        <v>230510</v>
      </c>
    </row>
    <row r="23248" spans="1:15" x14ac:dyDescent="0.25">
      <c r="A23248" t="s">
        <v>16</v>
      </c>
      <c r="B23248" t="s">
        <v>3221</v>
      </c>
      <c r="C23248">
        <v>9936</v>
      </c>
      <c r="D23248" t="s">
        <v>417</v>
      </c>
      <c r="E23248" t="s">
        <v>418</v>
      </c>
      <c r="F23248">
        <v>2.69</v>
      </c>
      <c r="G23248">
        <v>230731</v>
      </c>
      <c r="H23248">
        <v>4557</v>
      </c>
      <c r="I23248" t="s">
        <v>238</v>
      </c>
      <c r="J23248">
        <v>3.34</v>
      </c>
      <c r="K23248">
        <v>0.65</v>
      </c>
      <c r="L23248">
        <v>13561</v>
      </c>
      <c r="M23248" t="s">
        <v>246</v>
      </c>
      <c r="N23248" t="str">
        <f>"5456244     "</f>
        <v xml:space="preserve">5456244     </v>
      </c>
      <c r="O23248">
        <v>230802</v>
      </c>
    </row>
    <row r="23249" spans="1:15" x14ac:dyDescent="0.25">
      <c r="A23249" t="s">
        <v>16</v>
      </c>
      <c r="B23249" t="s">
        <v>3221</v>
      </c>
      <c r="C23249">
        <v>9936</v>
      </c>
      <c r="D23249" t="s">
        <v>417</v>
      </c>
      <c r="E23249" t="s">
        <v>418</v>
      </c>
      <c r="F23249">
        <v>21.79</v>
      </c>
      <c r="G23249">
        <v>230731</v>
      </c>
      <c r="H23249">
        <v>4557</v>
      </c>
      <c r="I23249" t="s">
        <v>238</v>
      </c>
      <c r="J23249">
        <v>27.02</v>
      </c>
      <c r="K23249">
        <v>5.23</v>
      </c>
      <c r="L23249">
        <v>17971</v>
      </c>
      <c r="M23249" t="s">
        <v>138</v>
      </c>
      <c r="N23249" t="str">
        <f>"5456244     "</f>
        <v xml:space="preserve">5456244     </v>
      </c>
      <c r="O23249">
        <v>230802</v>
      </c>
    </row>
    <row r="23250" spans="1:15" x14ac:dyDescent="0.25">
      <c r="A23250" t="s">
        <v>16</v>
      </c>
      <c r="B23250" t="s">
        <v>3221</v>
      </c>
      <c r="C23250">
        <v>13522</v>
      </c>
      <c r="D23250" t="s">
        <v>417</v>
      </c>
      <c r="E23250" t="s">
        <v>418</v>
      </c>
      <c r="F23250">
        <v>74.58</v>
      </c>
      <c r="G23250">
        <v>230930</v>
      </c>
      <c r="H23250">
        <v>4557</v>
      </c>
      <c r="I23250" t="s">
        <v>238</v>
      </c>
      <c r="J23250">
        <v>92.48</v>
      </c>
      <c r="K23250">
        <v>17.899999999999999</v>
      </c>
      <c r="L23250">
        <v>66722</v>
      </c>
      <c r="M23250" t="s">
        <v>518</v>
      </c>
      <c r="N23250" t="str">
        <f>"5469066     "</f>
        <v xml:space="preserve">5469066     </v>
      </c>
      <c r="O23250">
        <v>231011</v>
      </c>
    </row>
    <row r="23251" spans="1:15" x14ac:dyDescent="0.25">
      <c r="A23251" t="s">
        <v>16</v>
      </c>
      <c r="B23251" t="s">
        <v>3221</v>
      </c>
      <c r="C23251">
        <v>12234</v>
      </c>
      <c r="D23251" t="s">
        <v>417</v>
      </c>
      <c r="E23251" t="s">
        <v>418</v>
      </c>
      <c r="F23251">
        <v>32.9</v>
      </c>
      <c r="G23251">
        <v>230831</v>
      </c>
      <c r="H23251">
        <v>4551</v>
      </c>
      <c r="I23251" t="s">
        <v>1020</v>
      </c>
      <c r="J23251">
        <v>40.799999999999997</v>
      </c>
      <c r="K23251">
        <v>7.9</v>
      </c>
      <c r="L23251">
        <v>66754</v>
      </c>
      <c r="M23251" t="s">
        <v>239</v>
      </c>
      <c r="N23251" t="str">
        <f>"5461194     "</f>
        <v xml:space="preserve">5461194     </v>
      </c>
      <c r="O23251">
        <v>230918</v>
      </c>
    </row>
    <row r="23252" spans="1:15" x14ac:dyDescent="0.25">
      <c r="A23252" t="s">
        <v>16</v>
      </c>
      <c r="B23252" t="s">
        <v>3221</v>
      </c>
      <c r="C23252">
        <v>13522</v>
      </c>
      <c r="D23252" t="s">
        <v>417</v>
      </c>
      <c r="E23252" t="s">
        <v>418</v>
      </c>
      <c r="F23252">
        <v>16.649999999999999</v>
      </c>
      <c r="G23252">
        <v>230930</v>
      </c>
      <c r="H23252">
        <v>4551</v>
      </c>
      <c r="I23252" t="s">
        <v>1020</v>
      </c>
      <c r="J23252">
        <v>20.64</v>
      </c>
      <c r="K23252">
        <v>3.99</v>
      </c>
      <c r="L23252">
        <v>66722</v>
      </c>
      <c r="M23252" t="s">
        <v>518</v>
      </c>
      <c r="N23252" t="str">
        <f>"5469066     "</f>
        <v xml:space="preserve">5469066     </v>
      </c>
      <c r="O23252">
        <v>231011</v>
      </c>
    </row>
    <row r="23253" spans="1:15" x14ac:dyDescent="0.25">
      <c r="A23253" t="s">
        <v>16</v>
      </c>
      <c r="B23253" t="s">
        <v>3221</v>
      </c>
      <c r="C23253">
        <v>285</v>
      </c>
      <c r="D23253" t="s">
        <v>417</v>
      </c>
      <c r="E23253" t="s">
        <v>418</v>
      </c>
      <c r="F23253">
        <v>62.1</v>
      </c>
      <c r="G23253">
        <v>230115</v>
      </c>
      <c r="H23253">
        <v>4600</v>
      </c>
      <c r="I23253" t="s">
        <v>105</v>
      </c>
      <c r="J23253">
        <v>77.010000000000005</v>
      </c>
      <c r="K23253">
        <v>14.91</v>
      </c>
      <c r="L23253">
        <v>17912</v>
      </c>
      <c r="M23253" t="s">
        <v>419</v>
      </c>
      <c r="N23253" t="str">
        <f>"5408297     "</f>
        <v xml:space="preserve">5408297     </v>
      </c>
      <c r="O23253">
        <v>230117</v>
      </c>
    </row>
    <row r="23254" spans="1:15" x14ac:dyDescent="0.25">
      <c r="A23254" t="s">
        <v>16</v>
      </c>
      <c r="B23254" t="s">
        <v>3221</v>
      </c>
      <c r="C23254">
        <v>641</v>
      </c>
      <c r="D23254" t="s">
        <v>417</v>
      </c>
      <c r="E23254" t="s">
        <v>418</v>
      </c>
      <c r="F23254">
        <v>185.83</v>
      </c>
      <c r="G23254">
        <v>230115</v>
      </c>
      <c r="H23254">
        <v>4600</v>
      </c>
      <c r="I23254" t="s">
        <v>105</v>
      </c>
      <c r="J23254">
        <v>230.43</v>
      </c>
      <c r="K23254">
        <v>44.6</v>
      </c>
      <c r="L23254">
        <v>17538</v>
      </c>
      <c r="M23254" t="s">
        <v>24</v>
      </c>
      <c r="N23254" t="str">
        <f>"5408973     "</f>
        <v xml:space="preserve">5408973     </v>
      </c>
      <c r="O23254">
        <v>230126</v>
      </c>
    </row>
    <row r="23255" spans="1:15" x14ac:dyDescent="0.25">
      <c r="A23255" t="s">
        <v>16</v>
      </c>
      <c r="B23255" t="s">
        <v>3221</v>
      </c>
      <c r="C23255">
        <v>1090</v>
      </c>
      <c r="D23255" t="s">
        <v>417</v>
      </c>
      <c r="E23255" t="s">
        <v>418</v>
      </c>
      <c r="F23255">
        <v>69.260000000000005</v>
      </c>
      <c r="G23255">
        <v>230131</v>
      </c>
      <c r="H23255">
        <v>4600</v>
      </c>
      <c r="I23255" t="s">
        <v>105</v>
      </c>
      <c r="J23255">
        <v>85.88</v>
      </c>
      <c r="K23255">
        <v>16.62</v>
      </c>
      <c r="L23255">
        <v>44453</v>
      </c>
      <c r="M23255" t="s">
        <v>492</v>
      </c>
      <c r="N23255" t="str">
        <f>"5410212     "</f>
        <v xml:space="preserve">5410212     </v>
      </c>
      <c r="O23255">
        <v>230203</v>
      </c>
    </row>
    <row r="23256" spans="1:15" x14ac:dyDescent="0.25">
      <c r="A23256" t="s">
        <v>16</v>
      </c>
      <c r="B23256" t="s">
        <v>3221</v>
      </c>
      <c r="C23256">
        <v>1090</v>
      </c>
      <c r="D23256" t="s">
        <v>417</v>
      </c>
      <c r="E23256" t="s">
        <v>418</v>
      </c>
      <c r="F23256">
        <v>14.5</v>
      </c>
      <c r="G23256">
        <v>230131</v>
      </c>
      <c r="H23256">
        <v>4600</v>
      </c>
      <c r="I23256" t="s">
        <v>105</v>
      </c>
      <c r="J23256">
        <v>17.98</v>
      </c>
      <c r="K23256">
        <v>3.48</v>
      </c>
      <c r="L23256">
        <v>46554</v>
      </c>
      <c r="M23256" t="s">
        <v>117</v>
      </c>
      <c r="N23256" t="str">
        <f>"5410212     "</f>
        <v xml:space="preserve">5410212     </v>
      </c>
      <c r="O23256">
        <v>230203</v>
      </c>
    </row>
    <row r="23257" spans="1:15" x14ac:dyDescent="0.25">
      <c r="A23257" t="s">
        <v>16</v>
      </c>
      <c r="B23257" t="s">
        <v>3221</v>
      </c>
      <c r="C23257">
        <v>1342</v>
      </c>
      <c r="D23257" t="s">
        <v>417</v>
      </c>
      <c r="E23257" t="s">
        <v>418</v>
      </c>
      <c r="F23257">
        <v>19.11</v>
      </c>
      <c r="G23257">
        <v>230131</v>
      </c>
      <c r="H23257">
        <v>4600</v>
      </c>
      <c r="I23257" t="s">
        <v>105</v>
      </c>
      <c r="J23257">
        <v>23.7</v>
      </c>
      <c r="K23257">
        <v>4.59</v>
      </c>
      <c r="L23257">
        <v>17537</v>
      </c>
      <c r="M23257" t="s">
        <v>455</v>
      </c>
      <c r="N23257" t="str">
        <f>"5412906     "</f>
        <v xml:space="preserve">5412906     </v>
      </c>
      <c r="O23257">
        <v>230208</v>
      </c>
    </row>
    <row r="23258" spans="1:15" x14ac:dyDescent="0.25">
      <c r="A23258" t="s">
        <v>16</v>
      </c>
      <c r="B23258" t="s">
        <v>3221</v>
      </c>
      <c r="C23258">
        <v>1345</v>
      </c>
      <c r="D23258" t="s">
        <v>417</v>
      </c>
      <c r="E23258" t="s">
        <v>418</v>
      </c>
      <c r="F23258">
        <v>103.01</v>
      </c>
      <c r="G23258">
        <v>230131</v>
      </c>
      <c r="H23258">
        <v>4600</v>
      </c>
      <c r="I23258" t="s">
        <v>105</v>
      </c>
      <c r="J23258">
        <v>127.73</v>
      </c>
      <c r="K23258">
        <v>24.72</v>
      </c>
      <c r="L23258">
        <v>54222</v>
      </c>
      <c r="M23258" t="s">
        <v>308</v>
      </c>
      <c r="N23258" t="str">
        <f t="shared" ref="N23258:N23263" si="453">"5410700     "</f>
        <v xml:space="preserve">5410700     </v>
      </c>
      <c r="O23258">
        <v>230208</v>
      </c>
    </row>
    <row r="23259" spans="1:15" x14ac:dyDescent="0.25">
      <c r="A23259" t="s">
        <v>16</v>
      </c>
      <c r="B23259" t="s">
        <v>3221</v>
      </c>
      <c r="C23259">
        <v>1345</v>
      </c>
      <c r="D23259" t="s">
        <v>417</v>
      </c>
      <c r="E23259" t="s">
        <v>418</v>
      </c>
      <c r="F23259">
        <v>104.66</v>
      </c>
      <c r="G23259">
        <v>230131</v>
      </c>
      <c r="H23259">
        <v>4600</v>
      </c>
      <c r="I23259" t="s">
        <v>105</v>
      </c>
      <c r="J23259">
        <v>129.78</v>
      </c>
      <c r="K23259">
        <v>25.12</v>
      </c>
      <c r="L23259">
        <v>59111</v>
      </c>
      <c r="M23259" t="s">
        <v>1010</v>
      </c>
      <c r="N23259" t="str">
        <f t="shared" si="453"/>
        <v xml:space="preserve">5410700     </v>
      </c>
      <c r="O23259">
        <v>230208</v>
      </c>
    </row>
    <row r="23260" spans="1:15" x14ac:dyDescent="0.25">
      <c r="A23260" t="s">
        <v>16</v>
      </c>
      <c r="B23260" t="s">
        <v>3221</v>
      </c>
      <c r="C23260">
        <v>1345</v>
      </c>
      <c r="D23260" t="s">
        <v>417</v>
      </c>
      <c r="E23260" t="s">
        <v>418</v>
      </c>
      <c r="F23260">
        <v>48.14</v>
      </c>
      <c r="G23260">
        <v>230131</v>
      </c>
      <c r="H23260">
        <v>4600</v>
      </c>
      <c r="I23260" t="s">
        <v>105</v>
      </c>
      <c r="J23260">
        <v>59.69</v>
      </c>
      <c r="K23260">
        <v>11.55</v>
      </c>
      <c r="L23260">
        <v>59112</v>
      </c>
      <c r="M23260" t="s">
        <v>182</v>
      </c>
      <c r="N23260" t="str">
        <f t="shared" si="453"/>
        <v xml:space="preserve">5410700     </v>
      </c>
      <c r="O23260">
        <v>230208</v>
      </c>
    </row>
    <row r="23261" spans="1:15" x14ac:dyDescent="0.25">
      <c r="A23261" t="s">
        <v>16</v>
      </c>
      <c r="B23261" t="s">
        <v>3221</v>
      </c>
      <c r="C23261">
        <v>1345</v>
      </c>
      <c r="D23261" t="s">
        <v>417</v>
      </c>
      <c r="E23261" t="s">
        <v>418</v>
      </c>
      <c r="F23261">
        <v>4.28</v>
      </c>
      <c r="G23261">
        <v>230131</v>
      </c>
      <c r="H23261">
        <v>4600</v>
      </c>
      <c r="I23261" t="s">
        <v>105</v>
      </c>
      <c r="J23261">
        <v>5.31</v>
      </c>
      <c r="K23261">
        <v>1.03</v>
      </c>
      <c r="L23261">
        <v>59501</v>
      </c>
      <c r="M23261" t="s">
        <v>69</v>
      </c>
      <c r="N23261" t="str">
        <f t="shared" si="453"/>
        <v xml:space="preserve">5410700     </v>
      </c>
      <c r="O23261">
        <v>230208</v>
      </c>
    </row>
    <row r="23262" spans="1:15" x14ac:dyDescent="0.25">
      <c r="A23262" t="s">
        <v>16</v>
      </c>
      <c r="B23262" t="s">
        <v>3221</v>
      </c>
      <c r="C23262">
        <v>1345</v>
      </c>
      <c r="D23262" t="s">
        <v>417</v>
      </c>
      <c r="E23262" t="s">
        <v>418</v>
      </c>
      <c r="F23262">
        <v>45.2</v>
      </c>
      <c r="G23262">
        <v>230131</v>
      </c>
      <c r="H23262">
        <v>4600</v>
      </c>
      <c r="I23262" t="s">
        <v>105</v>
      </c>
      <c r="J23262">
        <v>56.05</v>
      </c>
      <c r="K23262">
        <v>10.85</v>
      </c>
      <c r="L23262">
        <v>59501</v>
      </c>
      <c r="M23262" t="s">
        <v>69</v>
      </c>
      <c r="N23262" t="str">
        <f t="shared" si="453"/>
        <v xml:space="preserve">5410700     </v>
      </c>
      <c r="O23262">
        <v>230208</v>
      </c>
    </row>
    <row r="23263" spans="1:15" x14ac:dyDescent="0.25">
      <c r="A23263" t="s">
        <v>16</v>
      </c>
      <c r="B23263" t="s">
        <v>3221</v>
      </c>
      <c r="C23263">
        <v>1345</v>
      </c>
      <c r="D23263" t="s">
        <v>417</v>
      </c>
      <c r="E23263" t="s">
        <v>418</v>
      </c>
      <c r="F23263">
        <v>101.53</v>
      </c>
      <c r="G23263">
        <v>230131</v>
      </c>
      <c r="H23263">
        <v>4600</v>
      </c>
      <c r="I23263" t="s">
        <v>105</v>
      </c>
      <c r="J23263">
        <v>125.9</v>
      </c>
      <c r="K23263">
        <v>24.37</v>
      </c>
      <c r="L23263">
        <v>59504</v>
      </c>
      <c r="M23263" t="s">
        <v>71</v>
      </c>
      <c r="N23263" t="str">
        <f t="shared" si="453"/>
        <v xml:space="preserve">5410700     </v>
      </c>
      <c r="O23263">
        <v>230208</v>
      </c>
    </row>
    <row r="23264" spans="1:15" x14ac:dyDescent="0.25">
      <c r="A23264" t="s">
        <v>16</v>
      </c>
      <c r="B23264" t="s">
        <v>3221</v>
      </c>
      <c r="C23264">
        <v>1473</v>
      </c>
      <c r="D23264" t="s">
        <v>417</v>
      </c>
      <c r="E23264" t="s">
        <v>418</v>
      </c>
      <c r="F23264">
        <v>54.22</v>
      </c>
      <c r="G23264">
        <v>230131</v>
      </c>
      <c r="H23264">
        <v>4600</v>
      </c>
      <c r="I23264" t="s">
        <v>105</v>
      </c>
      <c r="J23264">
        <v>67.23</v>
      </c>
      <c r="K23264">
        <v>13.01</v>
      </c>
      <c r="L23264">
        <v>17527</v>
      </c>
      <c r="M23264" t="s">
        <v>422</v>
      </c>
      <c r="N23264" t="str">
        <f>"5412127     "</f>
        <v xml:space="preserve">5412127     </v>
      </c>
      <c r="O23264">
        <v>230209</v>
      </c>
    </row>
    <row r="23265" spans="1:15" x14ac:dyDescent="0.25">
      <c r="A23265" t="s">
        <v>16</v>
      </c>
      <c r="B23265" t="s">
        <v>3221</v>
      </c>
      <c r="C23265">
        <v>1473</v>
      </c>
      <c r="D23265" t="s">
        <v>417</v>
      </c>
      <c r="E23265" t="s">
        <v>418</v>
      </c>
      <c r="F23265">
        <v>20.48</v>
      </c>
      <c r="G23265">
        <v>230131</v>
      </c>
      <c r="H23265">
        <v>4600</v>
      </c>
      <c r="I23265" t="s">
        <v>105</v>
      </c>
      <c r="J23265">
        <v>25.39</v>
      </c>
      <c r="K23265">
        <v>4.91</v>
      </c>
      <c r="L23265">
        <v>17737</v>
      </c>
      <c r="M23265" t="s">
        <v>279</v>
      </c>
      <c r="N23265" t="str">
        <f>"5412127     "</f>
        <v xml:space="preserve">5412127     </v>
      </c>
      <c r="O23265">
        <v>230209</v>
      </c>
    </row>
    <row r="23266" spans="1:15" x14ac:dyDescent="0.25">
      <c r="A23266" t="s">
        <v>16</v>
      </c>
      <c r="B23266" t="s">
        <v>3221</v>
      </c>
      <c r="C23266">
        <v>1702</v>
      </c>
      <c r="D23266" t="s">
        <v>417</v>
      </c>
      <c r="E23266" t="s">
        <v>418</v>
      </c>
      <c r="F23266">
        <v>2.36</v>
      </c>
      <c r="G23266">
        <v>230131</v>
      </c>
      <c r="H23266">
        <v>4600</v>
      </c>
      <c r="I23266" t="s">
        <v>105</v>
      </c>
      <c r="J23266">
        <v>2.93</v>
      </c>
      <c r="K23266">
        <v>0.56999999999999995</v>
      </c>
      <c r="L23266">
        <v>69111</v>
      </c>
      <c r="M23266" t="s">
        <v>471</v>
      </c>
      <c r="N23266" t="str">
        <f>"5410420     "</f>
        <v xml:space="preserve">5410420     </v>
      </c>
      <c r="O23266">
        <v>230213</v>
      </c>
    </row>
    <row r="23267" spans="1:15" x14ac:dyDescent="0.25">
      <c r="A23267" t="s">
        <v>16</v>
      </c>
      <c r="B23267" t="s">
        <v>3221</v>
      </c>
      <c r="C23267">
        <v>1968</v>
      </c>
      <c r="D23267" t="s">
        <v>417</v>
      </c>
      <c r="E23267" t="s">
        <v>418</v>
      </c>
      <c r="F23267">
        <v>32.82</v>
      </c>
      <c r="G23267">
        <v>230215</v>
      </c>
      <c r="H23267">
        <v>4600</v>
      </c>
      <c r="I23267" t="s">
        <v>105</v>
      </c>
      <c r="J23267">
        <v>40.700000000000003</v>
      </c>
      <c r="K23267">
        <v>7.88</v>
      </c>
      <c r="L23267">
        <v>17952</v>
      </c>
      <c r="M23267" t="s">
        <v>88</v>
      </c>
      <c r="N23267" t="str">
        <f>"5415371     "</f>
        <v xml:space="preserve">5415371     </v>
      </c>
      <c r="O23267">
        <v>230216</v>
      </c>
    </row>
    <row r="23268" spans="1:15" x14ac:dyDescent="0.25">
      <c r="A23268" t="s">
        <v>16</v>
      </c>
      <c r="B23268" t="s">
        <v>3221</v>
      </c>
      <c r="C23268">
        <v>1968</v>
      </c>
      <c r="D23268" t="s">
        <v>417</v>
      </c>
      <c r="E23268" t="s">
        <v>418</v>
      </c>
      <c r="F23268">
        <v>27.98</v>
      </c>
      <c r="G23268">
        <v>230215</v>
      </c>
      <c r="H23268">
        <v>4600</v>
      </c>
      <c r="I23268" t="s">
        <v>105</v>
      </c>
      <c r="J23268">
        <v>34.700000000000003</v>
      </c>
      <c r="K23268">
        <v>6.72</v>
      </c>
      <c r="L23268">
        <v>17971</v>
      </c>
      <c r="M23268" t="s">
        <v>138</v>
      </c>
      <c r="N23268" t="str">
        <f>"5415371     "</f>
        <v xml:space="preserve">5415371     </v>
      </c>
      <c r="O23268">
        <v>230216</v>
      </c>
    </row>
    <row r="23269" spans="1:15" x14ac:dyDescent="0.25">
      <c r="A23269" t="s">
        <v>16</v>
      </c>
      <c r="B23269" t="s">
        <v>3221</v>
      </c>
      <c r="C23269">
        <v>2071</v>
      </c>
      <c r="D23269" t="s">
        <v>417</v>
      </c>
      <c r="E23269" t="s">
        <v>418</v>
      </c>
      <c r="F23269">
        <v>92.33</v>
      </c>
      <c r="G23269">
        <v>230215</v>
      </c>
      <c r="H23269">
        <v>4600</v>
      </c>
      <c r="I23269" t="s">
        <v>105</v>
      </c>
      <c r="J23269">
        <v>114.49</v>
      </c>
      <c r="K23269">
        <v>22.16</v>
      </c>
      <c r="L23269">
        <v>13661</v>
      </c>
      <c r="M23269" t="s">
        <v>247</v>
      </c>
      <c r="N23269" t="str">
        <f>"5416898     "</f>
        <v xml:space="preserve">5416898     </v>
      </c>
      <c r="O23269">
        <v>230220</v>
      </c>
    </row>
    <row r="23270" spans="1:15" x14ac:dyDescent="0.25">
      <c r="A23270" t="s">
        <v>16</v>
      </c>
      <c r="B23270" t="s">
        <v>3221</v>
      </c>
      <c r="C23270">
        <v>2265</v>
      </c>
      <c r="D23270" t="s">
        <v>417</v>
      </c>
      <c r="E23270" t="s">
        <v>418</v>
      </c>
      <c r="F23270">
        <v>20.32</v>
      </c>
      <c r="G23270">
        <v>230215</v>
      </c>
      <c r="H23270">
        <v>4600</v>
      </c>
      <c r="I23270" t="s">
        <v>105</v>
      </c>
      <c r="J23270">
        <v>25.2</v>
      </c>
      <c r="K23270">
        <v>4.88</v>
      </c>
      <c r="L23270">
        <v>13502</v>
      </c>
      <c r="M23270" t="s">
        <v>243</v>
      </c>
      <c r="N23270" t="str">
        <f>"5416120     "</f>
        <v xml:space="preserve">5416120     </v>
      </c>
      <c r="O23270">
        <v>230223</v>
      </c>
    </row>
    <row r="23271" spans="1:15" x14ac:dyDescent="0.25">
      <c r="A23271" t="s">
        <v>16</v>
      </c>
      <c r="B23271" t="s">
        <v>3221</v>
      </c>
      <c r="C23271">
        <v>2265</v>
      </c>
      <c r="D23271" t="s">
        <v>417</v>
      </c>
      <c r="E23271" t="s">
        <v>418</v>
      </c>
      <c r="F23271">
        <v>2.81</v>
      </c>
      <c r="G23271">
        <v>230215</v>
      </c>
      <c r="H23271">
        <v>4600</v>
      </c>
      <c r="I23271" t="s">
        <v>105</v>
      </c>
      <c r="J23271">
        <v>3.48</v>
      </c>
      <c r="K23271">
        <v>0.67</v>
      </c>
      <c r="L23271">
        <v>13561</v>
      </c>
      <c r="M23271" t="s">
        <v>246</v>
      </c>
      <c r="N23271" t="str">
        <f>"5416120     "</f>
        <v xml:space="preserve">5416120     </v>
      </c>
      <c r="O23271">
        <v>230223</v>
      </c>
    </row>
    <row r="23272" spans="1:15" x14ac:dyDescent="0.25">
      <c r="A23272" t="s">
        <v>16</v>
      </c>
      <c r="B23272" t="s">
        <v>3221</v>
      </c>
      <c r="C23272">
        <v>2265</v>
      </c>
      <c r="D23272" t="s">
        <v>417</v>
      </c>
      <c r="E23272" t="s">
        <v>418</v>
      </c>
      <c r="F23272">
        <v>22.66</v>
      </c>
      <c r="G23272">
        <v>230215</v>
      </c>
      <c r="H23272">
        <v>4600</v>
      </c>
      <c r="I23272" t="s">
        <v>105</v>
      </c>
      <c r="J23272">
        <v>28.1</v>
      </c>
      <c r="K23272">
        <v>5.44</v>
      </c>
      <c r="L23272">
        <v>17971</v>
      </c>
      <c r="M23272" t="s">
        <v>138</v>
      </c>
      <c r="N23272" t="str">
        <f>"5416120     "</f>
        <v xml:space="preserve">5416120     </v>
      </c>
      <c r="O23272">
        <v>230223</v>
      </c>
    </row>
    <row r="23273" spans="1:15" x14ac:dyDescent="0.25">
      <c r="A23273" t="s">
        <v>16</v>
      </c>
      <c r="B23273" t="s">
        <v>3221</v>
      </c>
      <c r="C23273">
        <v>2595</v>
      </c>
      <c r="D23273" t="s">
        <v>417</v>
      </c>
      <c r="E23273" t="s">
        <v>418</v>
      </c>
      <c r="F23273">
        <v>16.309999999999999</v>
      </c>
      <c r="G23273">
        <v>230228</v>
      </c>
      <c r="H23273">
        <v>4600</v>
      </c>
      <c r="I23273" t="s">
        <v>105</v>
      </c>
      <c r="J23273">
        <v>20.22</v>
      </c>
      <c r="K23273">
        <v>3.91</v>
      </c>
      <c r="L23273">
        <v>67522</v>
      </c>
      <c r="M23273" t="s">
        <v>397</v>
      </c>
      <c r="N23273" t="str">
        <f>"5417752     "</f>
        <v xml:space="preserve">5417752     </v>
      </c>
      <c r="O23273">
        <v>230302</v>
      </c>
    </row>
    <row r="23274" spans="1:15" x14ac:dyDescent="0.25">
      <c r="A23274" t="s">
        <v>16</v>
      </c>
      <c r="B23274" t="s">
        <v>3221</v>
      </c>
      <c r="C23274">
        <v>2595</v>
      </c>
      <c r="D23274" t="s">
        <v>417</v>
      </c>
      <c r="E23274" t="s">
        <v>418</v>
      </c>
      <c r="F23274">
        <v>72.25</v>
      </c>
      <c r="G23274">
        <v>230228</v>
      </c>
      <c r="H23274">
        <v>4600</v>
      </c>
      <c r="I23274" t="s">
        <v>105</v>
      </c>
      <c r="J23274">
        <v>89.59</v>
      </c>
      <c r="K23274">
        <v>17.34</v>
      </c>
      <c r="L23274">
        <v>69111</v>
      </c>
      <c r="M23274" t="s">
        <v>471</v>
      </c>
      <c r="N23274" t="str">
        <f>"5417752     "</f>
        <v xml:space="preserve">5417752     </v>
      </c>
      <c r="O23274">
        <v>230302</v>
      </c>
    </row>
    <row r="23275" spans="1:15" x14ac:dyDescent="0.25">
      <c r="A23275" t="s">
        <v>16</v>
      </c>
      <c r="B23275" t="s">
        <v>3221</v>
      </c>
      <c r="C23275">
        <v>2761</v>
      </c>
      <c r="D23275" t="s">
        <v>417</v>
      </c>
      <c r="E23275" t="s">
        <v>418</v>
      </c>
      <c r="F23275">
        <v>44.62</v>
      </c>
      <c r="G23275">
        <v>230228</v>
      </c>
      <c r="H23275">
        <v>4600</v>
      </c>
      <c r="I23275" t="s">
        <v>105</v>
      </c>
      <c r="J23275">
        <v>55.33</v>
      </c>
      <c r="K23275">
        <v>10.71</v>
      </c>
      <c r="L23275">
        <v>44453</v>
      </c>
      <c r="M23275" t="s">
        <v>492</v>
      </c>
      <c r="N23275" t="str">
        <f>"5417564     "</f>
        <v xml:space="preserve">5417564     </v>
      </c>
      <c r="O23275">
        <v>230307</v>
      </c>
    </row>
    <row r="23276" spans="1:15" x14ac:dyDescent="0.25">
      <c r="A23276" t="s">
        <v>16</v>
      </c>
      <c r="B23276" t="s">
        <v>3221</v>
      </c>
      <c r="C23276">
        <v>2761</v>
      </c>
      <c r="D23276" t="s">
        <v>417</v>
      </c>
      <c r="E23276" t="s">
        <v>418</v>
      </c>
      <c r="F23276">
        <v>87.58</v>
      </c>
      <c r="G23276">
        <v>230228</v>
      </c>
      <c r="H23276">
        <v>4600</v>
      </c>
      <c r="I23276" t="s">
        <v>105</v>
      </c>
      <c r="J23276">
        <v>108.6</v>
      </c>
      <c r="K23276">
        <v>21.02</v>
      </c>
      <c r="L23276">
        <v>47522</v>
      </c>
      <c r="M23276" t="s">
        <v>410</v>
      </c>
      <c r="N23276" t="str">
        <f>"5417564     "</f>
        <v xml:space="preserve">5417564     </v>
      </c>
      <c r="O23276">
        <v>230307</v>
      </c>
    </row>
    <row r="23277" spans="1:15" x14ac:dyDescent="0.25">
      <c r="A23277" t="s">
        <v>16</v>
      </c>
      <c r="B23277" t="s">
        <v>3221</v>
      </c>
      <c r="C23277">
        <v>2761</v>
      </c>
      <c r="D23277" t="s">
        <v>417</v>
      </c>
      <c r="E23277" t="s">
        <v>418</v>
      </c>
      <c r="F23277">
        <v>65.510000000000005</v>
      </c>
      <c r="G23277">
        <v>230228</v>
      </c>
      <c r="H23277">
        <v>4600</v>
      </c>
      <c r="I23277" t="s">
        <v>105</v>
      </c>
      <c r="J23277">
        <v>81.23</v>
      </c>
      <c r="K23277">
        <v>15.72</v>
      </c>
      <c r="L23277">
        <v>49501</v>
      </c>
      <c r="M23277" t="s">
        <v>177</v>
      </c>
      <c r="N23277" t="str">
        <f>"5417564     "</f>
        <v xml:space="preserve">5417564     </v>
      </c>
      <c r="O23277">
        <v>230307</v>
      </c>
    </row>
    <row r="23278" spans="1:15" x14ac:dyDescent="0.25">
      <c r="A23278" t="s">
        <v>16</v>
      </c>
      <c r="B23278" t="s">
        <v>3221</v>
      </c>
      <c r="C23278">
        <v>2761</v>
      </c>
      <c r="D23278" t="s">
        <v>417</v>
      </c>
      <c r="E23278" t="s">
        <v>418</v>
      </c>
      <c r="F23278">
        <v>0.23</v>
      </c>
      <c r="G23278">
        <v>230228</v>
      </c>
      <c r="H23278">
        <v>4600</v>
      </c>
      <c r="I23278" t="s">
        <v>105</v>
      </c>
      <c r="J23278">
        <v>0.28999999999999998</v>
      </c>
      <c r="K23278">
        <v>0.06</v>
      </c>
      <c r="L23278">
        <v>49705</v>
      </c>
      <c r="M23278" t="s">
        <v>575</v>
      </c>
      <c r="N23278" t="str">
        <f>"5417564     "</f>
        <v xml:space="preserve">5417564     </v>
      </c>
      <c r="O23278">
        <v>230307</v>
      </c>
    </row>
    <row r="23279" spans="1:15" x14ac:dyDescent="0.25">
      <c r="A23279" t="s">
        <v>16</v>
      </c>
      <c r="B23279" t="s">
        <v>3221</v>
      </c>
      <c r="C23279">
        <v>2925</v>
      </c>
      <c r="D23279" t="s">
        <v>417</v>
      </c>
      <c r="E23279" t="s">
        <v>418</v>
      </c>
      <c r="F23279">
        <v>27.34</v>
      </c>
      <c r="G23279">
        <v>230228</v>
      </c>
      <c r="H23279">
        <v>4600</v>
      </c>
      <c r="I23279" t="s">
        <v>105</v>
      </c>
      <c r="J23279">
        <v>33.9</v>
      </c>
      <c r="K23279">
        <v>6.56</v>
      </c>
      <c r="L23279">
        <v>54252</v>
      </c>
      <c r="M23279" t="s">
        <v>534</v>
      </c>
      <c r="N23279" t="str">
        <f>"5418007     "</f>
        <v xml:space="preserve">5418007     </v>
      </c>
      <c r="O23279">
        <v>230308</v>
      </c>
    </row>
    <row r="23280" spans="1:15" x14ac:dyDescent="0.25">
      <c r="A23280" t="s">
        <v>16</v>
      </c>
      <c r="B23280" t="s">
        <v>3221</v>
      </c>
      <c r="C23280">
        <v>2925</v>
      </c>
      <c r="D23280" t="s">
        <v>417</v>
      </c>
      <c r="E23280" t="s">
        <v>418</v>
      </c>
      <c r="F23280">
        <v>5.81</v>
      </c>
      <c r="G23280">
        <v>230228</v>
      </c>
      <c r="H23280">
        <v>4600</v>
      </c>
      <c r="I23280" t="s">
        <v>105</v>
      </c>
      <c r="J23280">
        <v>7.2</v>
      </c>
      <c r="K23280">
        <v>1.39</v>
      </c>
      <c r="L23280">
        <v>54422</v>
      </c>
      <c r="M23280" t="s">
        <v>234</v>
      </c>
      <c r="N23280" t="str">
        <f>"5418007     "</f>
        <v xml:space="preserve">5418007     </v>
      </c>
      <c r="O23280">
        <v>230308</v>
      </c>
    </row>
    <row r="23281" spans="1:15" x14ac:dyDescent="0.25">
      <c r="A23281" t="s">
        <v>16</v>
      </c>
      <c r="B23281" t="s">
        <v>3221</v>
      </c>
      <c r="C23281">
        <v>2925</v>
      </c>
      <c r="D23281" t="s">
        <v>417</v>
      </c>
      <c r="E23281" t="s">
        <v>418</v>
      </c>
      <c r="F23281">
        <v>14.79</v>
      </c>
      <c r="G23281">
        <v>230228</v>
      </c>
      <c r="H23281">
        <v>4600</v>
      </c>
      <c r="I23281" t="s">
        <v>105</v>
      </c>
      <c r="J23281">
        <v>18.34</v>
      </c>
      <c r="K23281">
        <v>3.55</v>
      </c>
      <c r="L23281">
        <v>59111</v>
      </c>
      <c r="M23281" t="s">
        <v>1010</v>
      </c>
      <c r="N23281" t="str">
        <f>"5418007     "</f>
        <v xml:space="preserve">5418007     </v>
      </c>
      <c r="O23281">
        <v>230308</v>
      </c>
    </row>
    <row r="23282" spans="1:15" x14ac:dyDescent="0.25">
      <c r="A23282" t="s">
        <v>16</v>
      </c>
      <c r="B23282" t="s">
        <v>3221</v>
      </c>
      <c r="C23282">
        <v>2925</v>
      </c>
      <c r="D23282" t="s">
        <v>417</v>
      </c>
      <c r="E23282" t="s">
        <v>418</v>
      </c>
      <c r="F23282">
        <v>0.23</v>
      </c>
      <c r="G23282">
        <v>230228</v>
      </c>
      <c r="H23282">
        <v>4600</v>
      </c>
      <c r="I23282" t="s">
        <v>105</v>
      </c>
      <c r="J23282">
        <v>0.28999999999999998</v>
      </c>
      <c r="K23282">
        <v>0.06</v>
      </c>
      <c r="L23282">
        <v>59702</v>
      </c>
      <c r="M23282" t="s">
        <v>328</v>
      </c>
      <c r="N23282" t="str">
        <f>"5418007     "</f>
        <v xml:space="preserve">5418007     </v>
      </c>
      <c r="O23282">
        <v>230308</v>
      </c>
    </row>
    <row r="23283" spans="1:15" x14ac:dyDescent="0.25">
      <c r="A23283" t="s">
        <v>16</v>
      </c>
      <c r="B23283" t="s">
        <v>3221</v>
      </c>
      <c r="C23283">
        <v>3951</v>
      </c>
      <c r="D23283" t="s">
        <v>417</v>
      </c>
      <c r="E23283" t="s">
        <v>418</v>
      </c>
      <c r="F23283">
        <v>55.78</v>
      </c>
      <c r="G23283">
        <v>230315</v>
      </c>
      <c r="H23283">
        <v>4600</v>
      </c>
      <c r="I23283" t="s">
        <v>105</v>
      </c>
      <c r="J23283">
        <v>69.17</v>
      </c>
      <c r="K23283">
        <v>13.39</v>
      </c>
      <c r="L23283">
        <v>17952</v>
      </c>
      <c r="M23283" t="s">
        <v>88</v>
      </c>
      <c r="N23283" t="str">
        <f>"5422088     "</f>
        <v xml:space="preserve">5422088     </v>
      </c>
      <c r="O23283">
        <v>230328</v>
      </c>
    </row>
    <row r="23284" spans="1:15" x14ac:dyDescent="0.25">
      <c r="A23284" t="s">
        <v>16</v>
      </c>
      <c r="B23284" t="s">
        <v>3221</v>
      </c>
      <c r="C23284">
        <v>4264</v>
      </c>
      <c r="D23284" t="s">
        <v>417</v>
      </c>
      <c r="E23284" t="s">
        <v>418</v>
      </c>
      <c r="F23284">
        <v>21.3</v>
      </c>
      <c r="G23284">
        <v>230331</v>
      </c>
      <c r="H23284">
        <v>4600</v>
      </c>
      <c r="I23284" t="s">
        <v>105</v>
      </c>
      <c r="J23284">
        <v>26.41</v>
      </c>
      <c r="K23284">
        <v>5.1100000000000003</v>
      </c>
      <c r="L23284">
        <v>17952</v>
      </c>
      <c r="M23284" t="s">
        <v>88</v>
      </c>
      <c r="N23284" t="str">
        <f>"5426309     "</f>
        <v xml:space="preserve">5426309     </v>
      </c>
      <c r="O23284">
        <v>230403</v>
      </c>
    </row>
    <row r="23285" spans="1:15" x14ac:dyDescent="0.25">
      <c r="A23285" t="s">
        <v>16</v>
      </c>
      <c r="B23285" t="s">
        <v>3221</v>
      </c>
      <c r="C23285">
        <v>4308</v>
      </c>
      <c r="D23285" t="s">
        <v>417</v>
      </c>
      <c r="E23285" t="s">
        <v>418</v>
      </c>
      <c r="F23285">
        <v>111.04</v>
      </c>
      <c r="G23285">
        <v>230331</v>
      </c>
      <c r="H23285">
        <v>4600</v>
      </c>
      <c r="I23285" t="s">
        <v>105</v>
      </c>
      <c r="J23285">
        <v>137.69</v>
      </c>
      <c r="K23285">
        <v>26.65</v>
      </c>
      <c r="L23285">
        <v>13802</v>
      </c>
      <c r="M23285" t="s">
        <v>200</v>
      </c>
      <c r="N23285" t="str">
        <f>"5427933     "</f>
        <v xml:space="preserve">5427933     </v>
      </c>
      <c r="O23285">
        <v>230404</v>
      </c>
    </row>
    <row r="23286" spans="1:15" x14ac:dyDescent="0.25">
      <c r="A23286" t="s">
        <v>16</v>
      </c>
      <c r="B23286" t="s">
        <v>3221</v>
      </c>
      <c r="C23286">
        <v>4396</v>
      </c>
      <c r="D23286" t="s">
        <v>417</v>
      </c>
      <c r="E23286" t="s">
        <v>418</v>
      </c>
      <c r="F23286">
        <v>207.34</v>
      </c>
      <c r="G23286">
        <v>230331</v>
      </c>
      <c r="H23286">
        <v>4600</v>
      </c>
      <c r="I23286" t="s">
        <v>105</v>
      </c>
      <c r="J23286">
        <v>257.10000000000002</v>
      </c>
      <c r="K23286">
        <v>49.76</v>
      </c>
      <c r="L23286">
        <v>17538</v>
      </c>
      <c r="M23286" t="s">
        <v>24</v>
      </c>
      <c r="N23286" t="str">
        <f>"5427124     "</f>
        <v xml:space="preserve">5427124     </v>
      </c>
      <c r="O23286">
        <v>230405</v>
      </c>
    </row>
    <row r="23287" spans="1:15" x14ac:dyDescent="0.25">
      <c r="A23287" t="s">
        <v>16</v>
      </c>
      <c r="B23287" t="s">
        <v>3221</v>
      </c>
      <c r="C23287">
        <v>4709</v>
      </c>
      <c r="D23287" t="s">
        <v>417</v>
      </c>
      <c r="E23287" t="s">
        <v>418</v>
      </c>
      <c r="F23287">
        <v>53.44</v>
      </c>
      <c r="G23287">
        <v>230331</v>
      </c>
      <c r="H23287">
        <v>4600</v>
      </c>
      <c r="I23287" t="s">
        <v>105</v>
      </c>
      <c r="J23287">
        <v>66.27</v>
      </c>
      <c r="K23287">
        <v>12.83</v>
      </c>
      <c r="L23287">
        <v>67522</v>
      </c>
      <c r="M23287" t="s">
        <v>397</v>
      </c>
      <c r="N23287" t="str">
        <f>"5424517     "</f>
        <v xml:space="preserve">5424517     </v>
      </c>
      <c r="O23287">
        <v>230412</v>
      </c>
    </row>
    <row r="23288" spans="1:15" x14ac:dyDescent="0.25">
      <c r="A23288" t="s">
        <v>16</v>
      </c>
      <c r="B23288" t="s">
        <v>3221</v>
      </c>
      <c r="C23288">
        <v>4709</v>
      </c>
      <c r="D23288" t="s">
        <v>417</v>
      </c>
      <c r="E23288" t="s">
        <v>418</v>
      </c>
      <c r="F23288">
        <v>0.23</v>
      </c>
      <c r="G23288">
        <v>230331</v>
      </c>
      <c r="H23288">
        <v>4600</v>
      </c>
      <c r="I23288" t="s">
        <v>105</v>
      </c>
      <c r="J23288">
        <v>0.28999999999999998</v>
      </c>
      <c r="K23288">
        <v>0.06</v>
      </c>
      <c r="L23288">
        <v>69111</v>
      </c>
      <c r="M23288" t="s">
        <v>471</v>
      </c>
      <c r="N23288" t="str">
        <f>"5424517     "</f>
        <v xml:space="preserve">5424517     </v>
      </c>
      <c r="O23288">
        <v>230412</v>
      </c>
    </row>
    <row r="23289" spans="1:15" x14ac:dyDescent="0.25">
      <c r="A23289" t="s">
        <v>16</v>
      </c>
      <c r="B23289" t="s">
        <v>3221</v>
      </c>
      <c r="C23289">
        <v>4709</v>
      </c>
      <c r="D23289" t="s">
        <v>417</v>
      </c>
      <c r="E23289" t="s">
        <v>418</v>
      </c>
      <c r="F23289">
        <v>32.06</v>
      </c>
      <c r="G23289">
        <v>230331</v>
      </c>
      <c r="H23289">
        <v>4600</v>
      </c>
      <c r="I23289" t="s">
        <v>105</v>
      </c>
      <c r="J23289">
        <v>39.75</v>
      </c>
      <c r="K23289">
        <v>7.69</v>
      </c>
      <c r="L23289">
        <v>69501</v>
      </c>
      <c r="M23289" t="s">
        <v>185</v>
      </c>
      <c r="N23289" t="str">
        <f>"5424517     "</f>
        <v xml:space="preserve">5424517     </v>
      </c>
      <c r="O23289">
        <v>230412</v>
      </c>
    </row>
    <row r="23290" spans="1:15" x14ac:dyDescent="0.25">
      <c r="A23290" t="s">
        <v>16</v>
      </c>
      <c r="B23290" t="s">
        <v>3221</v>
      </c>
      <c r="C23290">
        <v>4709</v>
      </c>
      <c r="D23290" t="s">
        <v>417</v>
      </c>
      <c r="E23290" t="s">
        <v>418</v>
      </c>
      <c r="F23290">
        <v>4.0599999999999996</v>
      </c>
      <c r="G23290">
        <v>230331</v>
      </c>
      <c r="H23290">
        <v>4600</v>
      </c>
      <c r="I23290" t="s">
        <v>105</v>
      </c>
      <c r="J23290">
        <v>5.03</v>
      </c>
      <c r="K23290">
        <v>0.97</v>
      </c>
      <c r="L23290">
        <v>69704</v>
      </c>
      <c r="M23290" t="s">
        <v>325</v>
      </c>
      <c r="N23290" t="str">
        <f>"5424517     "</f>
        <v xml:space="preserve">5424517     </v>
      </c>
      <c r="O23290">
        <v>230412</v>
      </c>
    </row>
    <row r="23291" spans="1:15" x14ac:dyDescent="0.25">
      <c r="A23291" t="s">
        <v>16</v>
      </c>
      <c r="B23291" t="s">
        <v>3221</v>
      </c>
      <c r="C23291">
        <v>4735</v>
      </c>
      <c r="D23291" t="s">
        <v>417</v>
      </c>
      <c r="E23291" t="s">
        <v>418</v>
      </c>
      <c r="F23291">
        <v>16.05</v>
      </c>
      <c r="G23291">
        <v>230331</v>
      </c>
      <c r="H23291">
        <v>4600</v>
      </c>
      <c r="I23291" t="s">
        <v>105</v>
      </c>
      <c r="J23291">
        <v>19.899999999999999</v>
      </c>
      <c r="K23291">
        <v>3.85</v>
      </c>
      <c r="L23291">
        <v>17808</v>
      </c>
      <c r="M23291" t="s">
        <v>322</v>
      </c>
      <c r="N23291" t="str">
        <f>"5425609     "</f>
        <v xml:space="preserve">5425609     </v>
      </c>
      <c r="O23291">
        <v>230412</v>
      </c>
    </row>
    <row r="23292" spans="1:15" x14ac:dyDescent="0.25">
      <c r="A23292" t="s">
        <v>16</v>
      </c>
      <c r="B23292" t="s">
        <v>3221</v>
      </c>
      <c r="C23292">
        <v>4888</v>
      </c>
      <c r="D23292" t="s">
        <v>417</v>
      </c>
      <c r="E23292" t="s">
        <v>418</v>
      </c>
      <c r="F23292">
        <v>3.9</v>
      </c>
      <c r="G23292">
        <v>230331</v>
      </c>
      <c r="H23292">
        <v>4600</v>
      </c>
      <c r="I23292" t="s">
        <v>105</v>
      </c>
      <c r="J23292">
        <v>4.83</v>
      </c>
      <c r="K23292">
        <v>0.93</v>
      </c>
      <c r="L23292">
        <v>43222</v>
      </c>
      <c r="M23292" t="s">
        <v>507</v>
      </c>
      <c r="N23292" t="str">
        <f t="shared" ref="N23292:N23302" si="454">"5424275     "</f>
        <v xml:space="preserve">5424275     </v>
      </c>
      <c r="O23292">
        <v>230414</v>
      </c>
    </row>
    <row r="23293" spans="1:15" x14ac:dyDescent="0.25">
      <c r="A23293" t="s">
        <v>16</v>
      </c>
      <c r="B23293" t="s">
        <v>3221</v>
      </c>
      <c r="C23293">
        <v>4888</v>
      </c>
      <c r="D23293" t="s">
        <v>417</v>
      </c>
      <c r="E23293" t="s">
        <v>418</v>
      </c>
      <c r="F23293">
        <v>8.73</v>
      </c>
      <c r="G23293">
        <v>230331</v>
      </c>
      <c r="H23293">
        <v>4600</v>
      </c>
      <c r="I23293" t="s">
        <v>105</v>
      </c>
      <c r="J23293">
        <v>10.82</v>
      </c>
      <c r="K23293">
        <v>2.09</v>
      </c>
      <c r="L23293">
        <v>44222</v>
      </c>
      <c r="M23293" t="s">
        <v>232</v>
      </c>
      <c r="N23293" t="str">
        <f t="shared" si="454"/>
        <v xml:space="preserve">5424275     </v>
      </c>
      <c r="O23293">
        <v>230414</v>
      </c>
    </row>
    <row r="23294" spans="1:15" x14ac:dyDescent="0.25">
      <c r="A23294" t="s">
        <v>16</v>
      </c>
      <c r="B23294" t="s">
        <v>3221</v>
      </c>
      <c r="C23294">
        <v>4888</v>
      </c>
      <c r="D23294" t="s">
        <v>417</v>
      </c>
      <c r="E23294" t="s">
        <v>418</v>
      </c>
      <c r="F23294">
        <v>13.01</v>
      </c>
      <c r="G23294">
        <v>230331</v>
      </c>
      <c r="H23294">
        <v>4600</v>
      </c>
      <c r="I23294" t="s">
        <v>105</v>
      </c>
      <c r="J23294">
        <v>16.13</v>
      </c>
      <c r="K23294">
        <v>3.12</v>
      </c>
      <c r="L23294">
        <v>44222</v>
      </c>
      <c r="M23294" t="s">
        <v>232</v>
      </c>
      <c r="N23294" t="str">
        <f t="shared" si="454"/>
        <v xml:space="preserve">5424275     </v>
      </c>
      <c r="O23294">
        <v>230414</v>
      </c>
    </row>
    <row r="23295" spans="1:15" x14ac:dyDescent="0.25">
      <c r="A23295" t="s">
        <v>16</v>
      </c>
      <c r="B23295" t="s">
        <v>3221</v>
      </c>
      <c r="C23295">
        <v>4888</v>
      </c>
      <c r="D23295" t="s">
        <v>417</v>
      </c>
      <c r="E23295" t="s">
        <v>418</v>
      </c>
      <c r="F23295">
        <v>16.54</v>
      </c>
      <c r="G23295">
        <v>230331</v>
      </c>
      <c r="H23295">
        <v>4600</v>
      </c>
      <c r="I23295" t="s">
        <v>105</v>
      </c>
      <c r="J23295">
        <v>20.51</v>
      </c>
      <c r="K23295">
        <v>3.97</v>
      </c>
      <c r="L23295">
        <v>46555</v>
      </c>
      <c r="M23295" t="s">
        <v>597</v>
      </c>
      <c r="N23295" t="str">
        <f t="shared" si="454"/>
        <v xml:space="preserve">5424275     </v>
      </c>
      <c r="O23295">
        <v>230414</v>
      </c>
    </row>
    <row r="23296" spans="1:15" x14ac:dyDescent="0.25">
      <c r="A23296" t="s">
        <v>16</v>
      </c>
      <c r="B23296" t="s">
        <v>3221</v>
      </c>
      <c r="C23296">
        <v>4888</v>
      </c>
      <c r="D23296" t="s">
        <v>417</v>
      </c>
      <c r="E23296" t="s">
        <v>418</v>
      </c>
      <c r="F23296">
        <v>33.46</v>
      </c>
      <c r="G23296">
        <v>230331</v>
      </c>
      <c r="H23296">
        <v>4600</v>
      </c>
      <c r="I23296" t="s">
        <v>105</v>
      </c>
      <c r="J23296">
        <v>41.49</v>
      </c>
      <c r="K23296">
        <v>8.0299999999999994</v>
      </c>
      <c r="L23296">
        <v>46556</v>
      </c>
      <c r="M23296" t="s">
        <v>125</v>
      </c>
      <c r="N23296" t="str">
        <f t="shared" si="454"/>
        <v xml:space="preserve">5424275     </v>
      </c>
      <c r="O23296">
        <v>230414</v>
      </c>
    </row>
    <row r="23297" spans="1:15" x14ac:dyDescent="0.25">
      <c r="A23297" t="s">
        <v>16</v>
      </c>
      <c r="B23297" t="s">
        <v>3221</v>
      </c>
      <c r="C23297">
        <v>4888</v>
      </c>
      <c r="D23297" t="s">
        <v>417</v>
      </c>
      <c r="E23297" t="s">
        <v>418</v>
      </c>
      <c r="F23297">
        <v>146.62</v>
      </c>
      <c r="G23297">
        <v>230331</v>
      </c>
      <c r="H23297">
        <v>4600</v>
      </c>
      <c r="I23297" t="s">
        <v>105</v>
      </c>
      <c r="J23297">
        <v>181.81</v>
      </c>
      <c r="K23297">
        <v>35.19</v>
      </c>
      <c r="L23297">
        <v>46556</v>
      </c>
      <c r="M23297" t="s">
        <v>125</v>
      </c>
      <c r="N23297" t="str">
        <f t="shared" si="454"/>
        <v xml:space="preserve">5424275     </v>
      </c>
      <c r="O23297">
        <v>230414</v>
      </c>
    </row>
    <row r="23298" spans="1:15" x14ac:dyDescent="0.25">
      <c r="A23298" t="s">
        <v>16</v>
      </c>
      <c r="B23298" t="s">
        <v>3221</v>
      </c>
      <c r="C23298">
        <v>4888</v>
      </c>
      <c r="D23298" t="s">
        <v>417</v>
      </c>
      <c r="E23298" t="s">
        <v>418</v>
      </c>
      <c r="F23298">
        <v>27.23</v>
      </c>
      <c r="G23298">
        <v>230331</v>
      </c>
      <c r="H23298">
        <v>4600</v>
      </c>
      <c r="I23298" t="s">
        <v>105</v>
      </c>
      <c r="J23298">
        <v>33.770000000000003</v>
      </c>
      <c r="K23298">
        <v>6.54</v>
      </c>
      <c r="L23298">
        <v>47522</v>
      </c>
      <c r="M23298" t="s">
        <v>410</v>
      </c>
      <c r="N23298" t="str">
        <f t="shared" si="454"/>
        <v xml:space="preserve">5424275     </v>
      </c>
      <c r="O23298">
        <v>230414</v>
      </c>
    </row>
    <row r="23299" spans="1:15" x14ac:dyDescent="0.25">
      <c r="A23299" t="s">
        <v>16</v>
      </c>
      <c r="B23299" t="s">
        <v>3221</v>
      </c>
      <c r="C23299">
        <v>4888</v>
      </c>
      <c r="D23299" t="s">
        <v>417</v>
      </c>
      <c r="E23299" t="s">
        <v>418</v>
      </c>
      <c r="F23299">
        <v>2.52</v>
      </c>
      <c r="G23299">
        <v>230331</v>
      </c>
      <c r="H23299">
        <v>4600</v>
      </c>
      <c r="I23299" t="s">
        <v>105</v>
      </c>
      <c r="J23299">
        <v>3.13</v>
      </c>
      <c r="K23299">
        <v>0.61</v>
      </c>
      <c r="L23299">
        <v>48601</v>
      </c>
      <c r="M23299" t="s">
        <v>1047</v>
      </c>
      <c r="N23299" t="str">
        <f t="shared" si="454"/>
        <v xml:space="preserve">5424275     </v>
      </c>
      <c r="O23299">
        <v>230414</v>
      </c>
    </row>
    <row r="23300" spans="1:15" x14ac:dyDescent="0.25">
      <c r="A23300" t="s">
        <v>16</v>
      </c>
      <c r="B23300" t="s">
        <v>3221</v>
      </c>
      <c r="C23300">
        <v>4888</v>
      </c>
      <c r="D23300" t="s">
        <v>417</v>
      </c>
      <c r="E23300" t="s">
        <v>418</v>
      </c>
      <c r="F23300">
        <v>25.16</v>
      </c>
      <c r="G23300">
        <v>230331</v>
      </c>
      <c r="H23300">
        <v>4600</v>
      </c>
      <c r="I23300" t="s">
        <v>105</v>
      </c>
      <c r="J23300">
        <v>31.2</v>
      </c>
      <c r="K23300">
        <v>6.04</v>
      </c>
      <c r="L23300">
        <v>49501</v>
      </c>
      <c r="M23300" t="s">
        <v>177</v>
      </c>
      <c r="N23300" t="str">
        <f t="shared" si="454"/>
        <v xml:space="preserve">5424275     </v>
      </c>
      <c r="O23300">
        <v>230414</v>
      </c>
    </row>
    <row r="23301" spans="1:15" x14ac:dyDescent="0.25">
      <c r="A23301" t="s">
        <v>16</v>
      </c>
      <c r="B23301" t="s">
        <v>3221</v>
      </c>
      <c r="C23301">
        <v>4888</v>
      </c>
      <c r="D23301" t="s">
        <v>417</v>
      </c>
      <c r="E23301" t="s">
        <v>418</v>
      </c>
      <c r="F23301">
        <v>65.69</v>
      </c>
      <c r="G23301">
        <v>230331</v>
      </c>
      <c r="H23301">
        <v>4600</v>
      </c>
      <c r="I23301" t="s">
        <v>105</v>
      </c>
      <c r="J23301">
        <v>81.45</v>
      </c>
      <c r="K23301">
        <v>15.76</v>
      </c>
      <c r="L23301">
        <v>49501</v>
      </c>
      <c r="M23301" t="s">
        <v>177</v>
      </c>
      <c r="N23301" t="str">
        <f t="shared" si="454"/>
        <v xml:space="preserve">5424275     </v>
      </c>
      <c r="O23301">
        <v>230414</v>
      </c>
    </row>
    <row r="23302" spans="1:15" x14ac:dyDescent="0.25">
      <c r="A23302" t="s">
        <v>16</v>
      </c>
      <c r="B23302" t="s">
        <v>3221</v>
      </c>
      <c r="C23302">
        <v>4888</v>
      </c>
      <c r="D23302" t="s">
        <v>417</v>
      </c>
      <c r="E23302" t="s">
        <v>418</v>
      </c>
      <c r="F23302">
        <v>2.17</v>
      </c>
      <c r="G23302">
        <v>230331</v>
      </c>
      <c r="H23302">
        <v>4600</v>
      </c>
      <c r="I23302" t="s">
        <v>105</v>
      </c>
      <c r="J23302">
        <v>2.69</v>
      </c>
      <c r="K23302">
        <v>0.52</v>
      </c>
      <c r="L23302">
        <v>49705</v>
      </c>
      <c r="M23302" t="s">
        <v>575</v>
      </c>
      <c r="N23302" t="str">
        <f t="shared" si="454"/>
        <v xml:space="preserve">5424275     </v>
      </c>
      <c r="O23302">
        <v>230414</v>
      </c>
    </row>
    <row r="23303" spans="1:15" x14ac:dyDescent="0.25">
      <c r="A23303" t="s">
        <v>16</v>
      </c>
      <c r="B23303" t="s">
        <v>3221</v>
      </c>
      <c r="C23303">
        <v>5035</v>
      </c>
      <c r="D23303" t="s">
        <v>417</v>
      </c>
      <c r="E23303" t="s">
        <v>418</v>
      </c>
      <c r="F23303">
        <v>65.53</v>
      </c>
      <c r="G23303">
        <v>230331</v>
      </c>
      <c r="H23303">
        <v>4600</v>
      </c>
      <c r="I23303" t="s">
        <v>105</v>
      </c>
      <c r="J23303">
        <v>81.260000000000005</v>
      </c>
      <c r="K23303">
        <v>15.73</v>
      </c>
      <c r="L23303">
        <v>54222</v>
      </c>
      <c r="M23303" t="s">
        <v>308</v>
      </c>
      <c r="N23303" t="str">
        <f>"5424815     "</f>
        <v xml:space="preserve">5424815     </v>
      </c>
      <c r="O23303">
        <v>230417</v>
      </c>
    </row>
    <row r="23304" spans="1:15" x14ac:dyDescent="0.25">
      <c r="A23304" t="s">
        <v>16</v>
      </c>
      <c r="B23304" t="s">
        <v>3221</v>
      </c>
      <c r="C23304">
        <v>5035</v>
      </c>
      <c r="D23304" t="s">
        <v>417</v>
      </c>
      <c r="E23304" t="s">
        <v>418</v>
      </c>
      <c r="F23304">
        <v>28.83</v>
      </c>
      <c r="G23304">
        <v>230331</v>
      </c>
      <c r="H23304">
        <v>4600</v>
      </c>
      <c r="I23304" t="s">
        <v>105</v>
      </c>
      <c r="J23304">
        <v>35.75</v>
      </c>
      <c r="K23304">
        <v>6.92</v>
      </c>
      <c r="L23304">
        <v>56528</v>
      </c>
      <c r="M23304" t="s">
        <v>153</v>
      </c>
      <c r="N23304" t="str">
        <f>"5424815     "</f>
        <v xml:space="preserve">5424815     </v>
      </c>
      <c r="O23304">
        <v>230417</v>
      </c>
    </row>
    <row r="23305" spans="1:15" x14ac:dyDescent="0.25">
      <c r="A23305" t="s">
        <v>16</v>
      </c>
      <c r="B23305" t="s">
        <v>3221</v>
      </c>
      <c r="C23305">
        <v>5035</v>
      </c>
      <c r="D23305" t="s">
        <v>417</v>
      </c>
      <c r="E23305" t="s">
        <v>418</v>
      </c>
      <c r="F23305">
        <v>174.67</v>
      </c>
      <c r="G23305">
        <v>230331</v>
      </c>
      <c r="H23305">
        <v>4600</v>
      </c>
      <c r="I23305" t="s">
        <v>105</v>
      </c>
      <c r="J23305">
        <v>216.59</v>
      </c>
      <c r="K23305">
        <v>41.92</v>
      </c>
      <c r="L23305">
        <v>59501</v>
      </c>
      <c r="M23305" t="s">
        <v>69</v>
      </c>
      <c r="N23305" t="str">
        <f>"5424815     "</f>
        <v xml:space="preserve">5424815     </v>
      </c>
      <c r="O23305">
        <v>230417</v>
      </c>
    </row>
    <row r="23306" spans="1:15" x14ac:dyDescent="0.25">
      <c r="A23306" t="s">
        <v>16</v>
      </c>
      <c r="B23306" t="s">
        <v>3221</v>
      </c>
      <c r="C23306">
        <v>5035</v>
      </c>
      <c r="D23306" t="s">
        <v>417</v>
      </c>
      <c r="E23306" t="s">
        <v>418</v>
      </c>
      <c r="F23306">
        <v>0.23</v>
      </c>
      <c r="G23306">
        <v>230331</v>
      </c>
      <c r="H23306">
        <v>4600</v>
      </c>
      <c r="I23306" t="s">
        <v>105</v>
      </c>
      <c r="J23306">
        <v>0.28999999999999998</v>
      </c>
      <c r="K23306">
        <v>0.06</v>
      </c>
      <c r="L23306">
        <v>59702</v>
      </c>
      <c r="M23306" t="s">
        <v>328</v>
      </c>
      <c r="N23306" t="str">
        <f>"5424815     "</f>
        <v xml:space="preserve">5424815     </v>
      </c>
      <c r="O23306">
        <v>230417</v>
      </c>
    </row>
    <row r="23307" spans="1:15" x14ac:dyDescent="0.25">
      <c r="A23307" t="s">
        <v>16</v>
      </c>
      <c r="B23307" t="s">
        <v>3221</v>
      </c>
      <c r="C23307">
        <v>5715</v>
      </c>
      <c r="D23307" t="s">
        <v>417</v>
      </c>
      <c r="E23307" t="s">
        <v>418</v>
      </c>
      <c r="F23307">
        <v>131.19</v>
      </c>
      <c r="G23307">
        <v>230415</v>
      </c>
      <c r="H23307">
        <v>4600</v>
      </c>
      <c r="I23307" t="s">
        <v>105</v>
      </c>
      <c r="J23307">
        <v>162.68</v>
      </c>
      <c r="K23307">
        <v>31.49</v>
      </c>
      <c r="L23307">
        <v>13801</v>
      </c>
      <c r="M23307" t="s">
        <v>162</v>
      </c>
      <c r="N23307" t="str">
        <f>"5430858     "</f>
        <v xml:space="preserve">5430858     </v>
      </c>
      <c r="O23307">
        <v>230502</v>
      </c>
    </row>
    <row r="23308" spans="1:15" x14ac:dyDescent="0.25">
      <c r="A23308" t="s">
        <v>16</v>
      </c>
      <c r="B23308" t="s">
        <v>3221</v>
      </c>
      <c r="C23308">
        <v>5715</v>
      </c>
      <c r="D23308" t="s">
        <v>417</v>
      </c>
      <c r="E23308" t="s">
        <v>418</v>
      </c>
      <c r="F23308">
        <v>27.14</v>
      </c>
      <c r="G23308">
        <v>230415</v>
      </c>
      <c r="H23308">
        <v>4600</v>
      </c>
      <c r="I23308" t="s">
        <v>105</v>
      </c>
      <c r="J23308">
        <v>30.94</v>
      </c>
      <c r="K23308">
        <v>3.8</v>
      </c>
      <c r="L23308">
        <v>13802</v>
      </c>
      <c r="M23308" t="s">
        <v>200</v>
      </c>
      <c r="N23308" t="str">
        <f>"5430858     "</f>
        <v xml:space="preserve">5430858     </v>
      </c>
      <c r="O23308">
        <v>230502</v>
      </c>
    </row>
    <row r="23309" spans="1:15" x14ac:dyDescent="0.25">
      <c r="A23309" t="s">
        <v>16</v>
      </c>
      <c r="B23309" t="s">
        <v>3221</v>
      </c>
      <c r="C23309">
        <v>5715</v>
      </c>
      <c r="D23309" t="s">
        <v>417</v>
      </c>
      <c r="E23309" t="s">
        <v>418</v>
      </c>
      <c r="F23309">
        <v>28.28</v>
      </c>
      <c r="G23309">
        <v>230415</v>
      </c>
      <c r="H23309">
        <v>4600</v>
      </c>
      <c r="I23309" t="s">
        <v>105</v>
      </c>
      <c r="J23309">
        <v>35.07</v>
      </c>
      <c r="K23309">
        <v>6.79</v>
      </c>
      <c r="L23309">
        <v>13802</v>
      </c>
      <c r="M23309" t="s">
        <v>200</v>
      </c>
      <c r="N23309" t="str">
        <f>"5430858     "</f>
        <v xml:space="preserve">5430858     </v>
      </c>
      <c r="O23309">
        <v>230502</v>
      </c>
    </row>
    <row r="23310" spans="1:15" x14ac:dyDescent="0.25">
      <c r="A23310" t="s">
        <v>16</v>
      </c>
      <c r="B23310" t="s">
        <v>3221</v>
      </c>
      <c r="C23310">
        <v>5874</v>
      </c>
      <c r="D23310" t="s">
        <v>417</v>
      </c>
      <c r="E23310" t="s">
        <v>418</v>
      </c>
      <c r="F23310">
        <v>13.11</v>
      </c>
      <c r="G23310">
        <v>230430</v>
      </c>
      <c r="H23310">
        <v>4600</v>
      </c>
      <c r="I23310" t="s">
        <v>105</v>
      </c>
      <c r="J23310">
        <v>16.260000000000002</v>
      </c>
      <c r="K23310">
        <v>3.15</v>
      </c>
      <c r="L23310">
        <v>17972</v>
      </c>
      <c r="M23310" t="s">
        <v>248</v>
      </c>
      <c r="N23310" t="str">
        <f>"5432818     "</f>
        <v xml:space="preserve">5432818     </v>
      </c>
      <c r="O23310">
        <v>230503</v>
      </c>
    </row>
    <row r="23311" spans="1:15" x14ac:dyDescent="0.25">
      <c r="A23311" t="s">
        <v>16</v>
      </c>
      <c r="B23311" t="s">
        <v>3221</v>
      </c>
      <c r="C23311">
        <v>5900</v>
      </c>
      <c r="D23311" t="s">
        <v>417</v>
      </c>
      <c r="E23311" t="s">
        <v>418</v>
      </c>
      <c r="F23311">
        <v>130.31</v>
      </c>
      <c r="G23311">
        <v>230430</v>
      </c>
      <c r="H23311">
        <v>4600</v>
      </c>
      <c r="I23311" t="s">
        <v>105</v>
      </c>
      <c r="J23311">
        <v>161.59</v>
      </c>
      <c r="K23311">
        <v>31.28</v>
      </c>
      <c r="L23311">
        <v>17952</v>
      </c>
      <c r="M23311" t="s">
        <v>88</v>
      </c>
      <c r="N23311" t="str">
        <f>"5433435     "</f>
        <v xml:space="preserve">5433435     </v>
      </c>
      <c r="O23311">
        <v>230503</v>
      </c>
    </row>
    <row r="23312" spans="1:15" x14ac:dyDescent="0.25">
      <c r="A23312" t="s">
        <v>16</v>
      </c>
      <c r="B23312" t="s">
        <v>3221</v>
      </c>
      <c r="C23312">
        <v>5901</v>
      </c>
      <c r="D23312" t="s">
        <v>417</v>
      </c>
      <c r="E23312" t="s">
        <v>418</v>
      </c>
      <c r="F23312">
        <v>31.73</v>
      </c>
      <c r="G23312">
        <v>230430</v>
      </c>
      <c r="H23312">
        <v>4600</v>
      </c>
      <c r="I23312" t="s">
        <v>105</v>
      </c>
      <c r="J23312">
        <v>39.35</v>
      </c>
      <c r="K23312">
        <v>7.62</v>
      </c>
      <c r="L23312">
        <v>69111</v>
      </c>
      <c r="M23312" t="s">
        <v>471</v>
      </c>
      <c r="N23312" t="str">
        <f>"5431790     "</f>
        <v xml:space="preserve">5431790     </v>
      </c>
      <c r="O23312">
        <v>230503</v>
      </c>
    </row>
    <row r="23313" spans="1:15" x14ac:dyDescent="0.25">
      <c r="A23313" t="s">
        <v>16</v>
      </c>
      <c r="B23313" t="s">
        <v>3221</v>
      </c>
      <c r="C23313">
        <v>6124</v>
      </c>
      <c r="D23313" t="s">
        <v>417</v>
      </c>
      <c r="E23313" t="s">
        <v>418</v>
      </c>
      <c r="F23313">
        <v>12.38</v>
      </c>
      <c r="G23313">
        <v>230430</v>
      </c>
      <c r="H23313">
        <v>4600</v>
      </c>
      <c r="I23313" t="s">
        <v>105</v>
      </c>
      <c r="J23313">
        <v>15.35</v>
      </c>
      <c r="K23313">
        <v>2.97</v>
      </c>
      <c r="L23313">
        <v>44422</v>
      </c>
      <c r="M23313" t="s">
        <v>482</v>
      </c>
      <c r="N23313" t="str">
        <f t="shared" ref="N23313:N23318" si="455">"5431583     "</f>
        <v xml:space="preserve">5431583     </v>
      </c>
      <c r="O23313">
        <v>230508</v>
      </c>
    </row>
    <row r="23314" spans="1:15" x14ac:dyDescent="0.25">
      <c r="A23314" t="s">
        <v>16</v>
      </c>
      <c r="B23314" t="s">
        <v>3221</v>
      </c>
      <c r="C23314">
        <v>6124</v>
      </c>
      <c r="D23314" t="s">
        <v>417</v>
      </c>
      <c r="E23314" t="s">
        <v>418</v>
      </c>
      <c r="F23314">
        <v>103.4</v>
      </c>
      <c r="G23314">
        <v>230430</v>
      </c>
      <c r="H23314">
        <v>4600</v>
      </c>
      <c r="I23314" t="s">
        <v>105</v>
      </c>
      <c r="J23314">
        <v>128.21</v>
      </c>
      <c r="K23314">
        <v>24.81</v>
      </c>
      <c r="L23314">
        <v>46554</v>
      </c>
      <c r="M23314" t="s">
        <v>117</v>
      </c>
      <c r="N23314" t="str">
        <f t="shared" si="455"/>
        <v xml:space="preserve">5431583     </v>
      </c>
      <c r="O23314">
        <v>230508</v>
      </c>
    </row>
    <row r="23315" spans="1:15" x14ac:dyDescent="0.25">
      <c r="A23315" t="s">
        <v>16</v>
      </c>
      <c r="B23315" t="s">
        <v>3221</v>
      </c>
      <c r="C23315">
        <v>6124</v>
      </c>
      <c r="D23315" t="s">
        <v>417</v>
      </c>
      <c r="E23315" t="s">
        <v>418</v>
      </c>
      <c r="F23315">
        <v>77.86</v>
      </c>
      <c r="G23315">
        <v>230430</v>
      </c>
      <c r="H23315">
        <v>4600</v>
      </c>
      <c r="I23315" t="s">
        <v>105</v>
      </c>
      <c r="J23315">
        <v>96.55</v>
      </c>
      <c r="K23315">
        <v>18.690000000000001</v>
      </c>
      <c r="L23315">
        <v>47522</v>
      </c>
      <c r="M23315" t="s">
        <v>410</v>
      </c>
      <c r="N23315" t="str">
        <f t="shared" si="455"/>
        <v xml:space="preserve">5431583     </v>
      </c>
      <c r="O23315">
        <v>230508</v>
      </c>
    </row>
    <row r="23316" spans="1:15" x14ac:dyDescent="0.25">
      <c r="A23316" t="s">
        <v>16</v>
      </c>
      <c r="B23316" t="s">
        <v>3221</v>
      </c>
      <c r="C23316">
        <v>6124</v>
      </c>
      <c r="D23316" t="s">
        <v>417</v>
      </c>
      <c r="E23316" t="s">
        <v>418</v>
      </c>
      <c r="F23316">
        <v>0.47</v>
      </c>
      <c r="G23316">
        <v>230430</v>
      </c>
      <c r="H23316">
        <v>4600</v>
      </c>
      <c r="I23316" t="s">
        <v>105</v>
      </c>
      <c r="J23316">
        <v>0.57999999999999996</v>
      </c>
      <c r="K23316">
        <v>0.11</v>
      </c>
      <c r="L23316">
        <v>49112</v>
      </c>
      <c r="M23316" t="s">
        <v>233</v>
      </c>
      <c r="N23316" t="str">
        <f t="shared" si="455"/>
        <v xml:space="preserve">5431583     </v>
      </c>
      <c r="O23316">
        <v>230508</v>
      </c>
    </row>
    <row r="23317" spans="1:15" x14ac:dyDescent="0.25">
      <c r="A23317" t="s">
        <v>16</v>
      </c>
      <c r="B23317" t="s">
        <v>3221</v>
      </c>
      <c r="C23317">
        <v>6124</v>
      </c>
      <c r="D23317" t="s">
        <v>417</v>
      </c>
      <c r="E23317" t="s">
        <v>418</v>
      </c>
      <c r="F23317">
        <v>67.31</v>
      </c>
      <c r="G23317">
        <v>230430</v>
      </c>
      <c r="H23317">
        <v>4600</v>
      </c>
      <c r="I23317" t="s">
        <v>105</v>
      </c>
      <c r="J23317">
        <v>83.47</v>
      </c>
      <c r="K23317">
        <v>16.16</v>
      </c>
      <c r="L23317">
        <v>49501</v>
      </c>
      <c r="M23317" t="s">
        <v>177</v>
      </c>
      <c r="N23317" t="str">
        <f t="shared" si="455"/>
        <v xml:space="preserve">5431583     </v>
      </c>
      <c r="O23317">
        <v>230508</v>
      </c>
    </row>
    <row r="23318" spans="1:15" x14ac:dyDescent="0.25">
      <c r="A23318" t="s">
        <v>16</v>
      </c>
      <c r="B23318" t="s">
        <v>3221</v>
      </c>
      <c r="C23318">
        <v>6124</v>
      </c>
      <c r="D23318" t="s">
        <v>417</v>
      </c>
      <c r="E23318" t="s">
        <v>418</v>
      </c>
      <c r="F23318">
        <v>27.99</v>
      </c>
      <c r="G23318">
        <v>230430</v>
      </c>
      <c r="H23318">
        <v>4600</v>
      </c>
      <c r="I23318" t="s">
        <v>105</v>
      </c>
      <c r="J23318">
        <v>34.71</v>
      </c>
      <c r="K23318">
        <v>6.72</v>
      </c>
      <c r="L23318">
        <v>49705</v>
      </c>
      <c r="M23318" t="s">
        <v>575</v>
      </c>
      <c r="N23318" t="str">
        <f t="shared" si="455"/>
        <v xml:space="preserve">5431583     </v>
      </c>
      <c r="O23318">
        <v>230508</v>
      </c>
    </row>
    <row r="23319" spans="1:15" x14ac:dyDescent="0.25">
      <c r="A23319" t="s">
        <v>16</v>
      </c>
      <c r="B23319" t="s">
        <v>3221</v>
      </c>
      <c r="C23319">
        <v>6301</v>
      </c>
      <c r="D23319" t="s">
        <v>417</v>
      </c>
      <c r="E23319" t="s">
        <v>418</v>
      </c>
      <c r="F23319">
        <v>3.28</v>
      </c>
      <c r="G23319">
        <v>230430</v>
      </c>
      <c r="H23319">
        <v>4600</v>
      </c>
      <c r="I23319" t="s">
        <v>105</v>
      </c>
      <c r="J23319">
        <v>4.07</v>
      </c>
      <c r="K23319">
        <v>0.79</v>
      </c>
      <c r="L23319">
        <v>13561</v>
      </c>
      <c r="M23319" t="s">
        <v>246</v>
      </c>
      <c r="N23319" t="str">
        <f>"5434229     "</f>
        <v xml:space="preserve">5434229     </v>
      </c>
      <c r="O23319">
        <v>230510</v>
      </c>
    </row>
    <row r="23320" spans="1:15" x14ac:dyDescent="0.25">
      <c r="A23320" t="s">
        <v>16</v>
      </c>
      <c r="B23320" t="s">
        <v>3221</v>
      </c>
      <c r="C23320">
        <v>6301</v>
      </c>
      <c r="D23320" t="s">
        <v>417</v>
      </c>
      <c r="E23320" t="s">
        <v>418</v>
      </c>
      <c r="F23320">
        <v>26.01</v>
      </c>
      <c r="G23320">
        <v>230430</v>
      </c>
      <c r="H23320">
        <v>4600</v>
      </c>
      <c r="I23320" t="s">
        <v>105</v>
      </c>
      <c r="J23320">
        <v>32.25</v>
      </c>
      <c r="K23320">
        <v>6.24</v>
      </c>
      <c r="L23320">
        <v>17524</v>
      </c>
      <c r="M23320" t="s">
        <v>452</v>
      </c>
      <c r="N23320" t="str">
        <f>"5434229     "</f>
        <v xml:space="preserve">5434229     </v>
      </c>
      <c r="O23320">
        <v>230510</v>
      </c>
    </row>
    <row r="23321" spans="1:15" x14ac:dyDescent="0.25">
      <c r="A23321" t="s">
        <v>16</v>
      </c>
      <c r="B23321" t="s">
        <v>3221</v>
      </c>
      <c r="C23321">
        <v>6301</v>
      </c>
      <c r="D23321" t="s">
        <v>417</v>
      </c>
      <c r="E23321" t="s">
        <v>418</v>
      </c>
      <c r="F23321">
        <v>26.57</v>
      </c>
      <c r="G23321">
        <v>230430</v>
      </c>
      <c r="H23321">
        <v>4600</v>
      </c>
      <c r="I23321" t="s">
        <v>105</v>
      </c>
      <c r="J23321">
        <v>32.950000000000003</v>
      </c>
      <c r="K23321">
        <v>6.38</v>
      </c>
      <c r="L23321">
        <v>17971</v>
      </c>
      <c r="M23321" t="s">
        <v>138</v>
      </c>
      <c r="N23321" t="str">
        <f>"5434229     "</f>
        <v xml:space="preserve">5434229     </v>
      </c>
      <c r="O23321">
        <v>230510</v>
      </c>
    </row>
    <row r="23322" spans="1:15" x14ac:dyDescent="0.25">
      <c r="A23322" t="s">
        <v>16</v>
      </c>
      <c r="B23322" t="s">
        <v>3221</v>
      </c>
      <c r="C23322">
        <v>6353</v>
      </c>
      <c r="D23322" t="s">
        <v>417</v>
      </c>
      <c r="E23322" t="s">
        <v>418</v>
      </c>
      <c r="F23322">
        <v>28.73</v>
      </c>
      <c r="G23322">
        <v>230430</v>
      </c>
      <c r="H23322">
        <v>4600</v>
      </c>
      <c r="I23322" t="s">
        <v>105</v>
      </c>
      <c r="J23322">
        <v>35.630000000000003</v>
      </c>
      <c r="K23322">
        <v>6.9</v>
      </c>
      <c r="L23322">
        <v>54251</v>
      </c>
      <c r="M23322" t="s">
        <v>309</v>
      </c>
      <c r="N23322" t="str">
        <f>"5432071     "</f>
        <v xml:space="preserve">5432071     </v>
      </c>
      <c r="O23322">
        <v>230510</v>
      </c>
    </row>
    <row r="23323" spans="1:15" x14ac:dyDescent="0.25">
      <c r="A23323" t="s">
        <v>16</v>
      </c>
      <c r="B23323" t="s">
        <v>3221</v>
      </c>
      <c r="C23323">
        <v>6353</v>
      </c>
      <c r="D23323" t="s">
        <v>417</v>
      </c>
      <c r="E23323" t="s">
        <v>418</v>
      </c>
      <c r="F23323">
        <v>27.47</v>
      </c>
      <c r="G23323">
        <v>230430</v>
      </c>
      <c r="H23323">
        <v>4600</v>
      </c>
      <c r="I23323" t="s">
        <v>105</v>
      </c>
      <c r="J23323">
        <v>34.06</v>
      </c>
      <c r="K23323">
        <v>6.59</v>
      </c>
      <c r="L23323">
        <v>56573</v>
      </c>
      <c r="M23323" t="s">
        <v>521</v>
      </c>
      <c r="N23323" t="str">
        <f>"5432071     "</f>
        <v xml:space="preserve">5432071     </v>
      </c>
      <c r="O23323">
        <v>230510</v>
      </c>
    </row>
    <row r="23324" spans="1:15" x14ac:dyDescent="0.25">
      <c r="A23324" t="s">
        <v>16</v>
      </c>
      <c r="B23324" t="s">
        <v>3221</v>
      </c>
      <c r="C23324">
        <v>6353</v>
      </c>
      <c r="D23324" t="s">
        <v>417</v>
      </c>
      <c r="E23324" t="s">
        <v>418</v>
      </c>
      <c r="F23324">
        <v>0.23</v>
      </c>
      <c r="G23324">
        <v>230430</v>
      </c>
      <c r="H23324">
        <v>4600</v>
      </c>
      <c r="I23324" t="s">
        <v>105</v>
      </c>
      <c r="J23324">
        <v>0.28999999999999998</v>
      </c>
      <c r="K23324">
        <v>0.06</v>
      </c>
      <c r="L23324">
        <v>59111</v>
      </c>
      <c r="M23324" t="s">
        <v>1010</v>
      </c>
      <c r="N23324" t="str">
        <f>"5432071     "</f>
        <v xml:space="preserve">5432071     </v>
      </c>
      <c r="O23324">
        <v>230510</v>
      </c>
    </row>
    <row r="23325" spans="1:15" x14ac:dyDescent="0.25">
      <c r="A23325" t="s">
        <v>16</v>
      </c>
      <c r="B23325" t="s">
        <v>3221</v>
      </c>
      <c r="C23325">
        <v>6816</v>
      </c>
      <c r="D23325" t="s">
        <v>417</v>
      </c>
      <c r="E23325" t="s">
        <v>418</v>
      </c>
      <c r="F23325">
        <v>12.98</v>
      </c>
      <c r="G23325">
        <v>230515</v>
      </c>
      <c r="H23325">
        <v>4600</v>
      </c>
      <c r="I23325" t="s">
        <v>105</v>
      </c>
      <c r="J23325">
        <v>16.100000000000001</v>
      </c>
      <c r="K23325">
        <v>3.12</v>
      </c>
      <c r="L23325">
        <v>17912</v>
      </c>
      <c r="M23325" t="s">
        <v>419</v>
      </c>
      <c r="N23325" t="str">
        <f>"5436956     "</f>
        <v xml:space="preserve">5436956     </v>
      </c>
      <c r="O23325">
        <v>230522</v>
      </c>
    </row>
    <row r="23326" spans="1:15" x14ac:dyDescent="0.25">
      <c r="A23326" t="s">
        <v>16</v>
      </c>
      <c r="B23326" t="s">
        <v>3221</v>
      </c>
      <c r="C23326">
        <v>6816</v>
      </c>
      <c r="D23326" t="s">
        <v>417</v>
      </c>
      <c r="E23326" t="s">
        <v>418</v>
      </c>
      <c r="F23326">
        <v>25.13</v>
      </c>
      <c r="G23326">
        <v>230515</v>
      </c>
      <c r="H23326">
        <v>4600</v>
      </c>
      <c r="I23326" t="s">
        <v>105</v>
      </c>
      <c r="J23326">
        <v>31.16</v>
      </c>
      <c r="K23326">
        <v>6.03</v>
      </c>
      <c r="L23326">
        <v>17952</v>
      </c>
      <c r="M23326" t="s">
        <v>88</v>
      </c>
      <c r="N23326" t="str">
        <f>"5436956     "</f>
        <v xml:space="preserve">5436956     </v>
      </c>
      <c r="O23326">
        <v>230522</v>
      </c>
    </row>
    <row r="23327" spans="1:15" x14ac:dyDescent="0.25">
      <c r="A23327" t="s">
        <v>16</v>
      </c>
      <c r="B23327" t="s">
        <v>3221</v>
      </c>
      <c r="C23327">
        <v>7869</v>
      </c>
      <c r="D23327" t="s">
        <v>417</v>
      </c>
      <c r="E23327" t="s">
        <v>418</v>
      </c>
      <c r="F23327">
        <v>65.31</v>
      </c>
      <c r="G23327">
        <v>230531</v>
      </c>
      <c r="H23327">
        <v>4600</v>
      </c>
      <c r="I23327" t="s">
        <v>105</v>
      </c>
      <c r="J23327">
        <v>80.989999999999995</v>
      </c>
      <c r="K23327">
        <v>15.68</v>
      </c>
      <c r="L23327">
        <v>44453</v>
      </c>
      <c r="M23327" t="s">
        <v>492</v>
      </c>
      <c r="N23327" t="str">
        <f>"5439370     "</f>
        <v xml:space="preserve">5439370     </v>
      </c>
      <c r="O23327">
        <v>230605</v>
      </c>
    </row>
    <row r="23328" spans="1:15" x14ac:dyDescent="0.25">
      <c r="A23328" t="s">
        <v>16</v>
      </c>
      <c r="B23328" t="s">
        <v>3221</v>
      </c>
      <c r="C23328">
        <v>7869</v>
      </c>
      <c r="D23328" t="s">
        <v>417</v>
      </c>
      <c r="E23328" t="s">
        <v>418</v>
      </c>
      <c r="F23328">
        <v>139.41999999999999</v>
      </c>
      <c r="G23328">
        <v>230531</v>
      </c>
      <c r="H23328">
        <v>4600</v>
      </c>
      <c r="I23328" t="s">
        <v>105</v>
      </c>
      <c r="J23328">
        <v>172.88</v>
      </c>
      <c r="K23328">
        <v>33.46</v>
      </c>
      <c r="L23328">
        <v>49501</v>
      </c>
      <c r="M23328" t="s">
        <v>177</v>
      </c>
      <c r="N23328" t="str">
        <f>"5439370     "</f>
        <v xml:space="preserve">5439370     </v>
      </c>
      <c r="O23328">
        <v>230605</v>
      </c>
    </row>
    <row r="23329" spans="1:15" x14ac:dyDescent="0.25">
      <c r="A23329" t="s">
        <v>16</v>
      </c>
      <c r="B23329" t="s">
        <v>3221</v>
      </c>
      <c r="C23329">
        <v>7869</v>
      </c>
      <c r="D23329" t="s">
        <v>417</v>
      </c>
      <c r="E23329" t="s">
        <v>418</v>
      </c>
      <c r="F23329">
        <v>8.0299999999999994</v>
      </c>
      <c r="G23329">
        <v>230531</v>
      </c>
      <c r="H23329">
        <v>4600</v>
      </c>
      <c r="I23329" t="s">
        <v>105</v>
      </c>
      <c r="J23329">
        <v>9.9600000000000009</v>
      </c>
      <c r="K23329">
        <v>1.93</v>
      </c>
      <c r="L23329">
        <v>49701</v>
      </c>
      <c r="M23329" t="s">
        <v>166</v>
      </c>
      <c r="N23329" t="str">
        <f>"5439370     "</f>
        <v xml:space="preserve">5439370     </v>
      </c>
      <c r="O23329">
        <v>230605</v>
      </c>
    </row>
    <row r="23330" spans="1:15" x14ac:dyDescent="0.25">
      <c r="A23330" t="s">
        <v>16</v>
      </c>
      <c r="B23330" t="s">
        <v>3221</v>
      </c>
      <c r="C23330">
        <v>7961</v>
      </c>
      <c r="D23330" t="s">
        <v>417</v>
      </c>
      <c r="E23330" t="s">
        <v>418</v>
      </c>
      <c r="F23330">
        <v>9.6999999999999993</v>
      </c>
      <c r="G23330">
        <v>230531</v>
      </c>
      <c r="H23330">
        <v>4600</v>
      </c>
      <c r="I23330" t="s">
        <v>105</v>
      </c>
      <c r="J23330">
        <v>12.03</v>
      </c>
      <c r="K23330">
        <v>2.33</v>
      </c>
      <c r="L23330">
        <v>17952</v>
      </c>
      <c r="M23330" t="s">
        <v>88</v>
      </c>
      <c r="N23330" t="str">
        <f>"5441436     "</f>
        <v xml:space="preserve">5441436     </v>
      </c>
      <c r="O23330">
        <v>230606</v>
      </c>
    </row>
    <row r="23331" spans="1:15" x14ac:dyDescent="0.25">
      <c r="A23331" t="s">
        <v>16</v>
      </c>
      <c r="B23331" t="s">
        <v>3221</v>
      </c>
      <c r="C23331">
        <v>7961</v>
      </c>
      <c r="D23331" t="s">
        <v>417</v>
      </c>
      <c r="E23331" t="s">
        <v>418</v>
      </c>
      <c r="F23331">
        <v>72.47</v>
      </c>
      <c r="G23331">
        <v>230531</v>
      </c>
      <c r="H23331">
        <v>4600</v>
      </c>
      <c r="I23331" t="s">
        <v>105</v>
      </c>
      <c r="J23331">
        <v>89.86</v>
      </c>
      <c r="K23331">
        <v>17.39</v>
      </c>
      <c r="L23331">
        <v>17952</v>
      </c>
      <c r="M23331" t="s">
        <v>88</v>
      </c>
      <c r="N23331" t="str">
        <f>"5441436     "</f>
        <v xml:space="preserve">5441436     </v>
      </c>
      <c r="O23331">
        <v>230606</v>
      </c>
    </row>
    <row r="23332" spans="1:15" x14ac:dyDescent="0.25">
      <c r="A23332" t="s">
        <v>16</v>
      </c>
      <c r="B23332" t="s">
        <v>3221</v>
      </c>
      <c r="C23332">
        <v>8254</v>
      </c>
      <c r="D23332" t="s">
        <v>417</v>
      </c>
      <c r="E23332" t="s">
        <v>418</v>
      </c>
      <c r="F23332">
        <v>39.82</v>
      </c>
      <c r="G23332">
        <v>230531</v>
      </c>
      <c r="H23332">
        <v>4600</v>
      </c>
      <c r="I23332" t="s">
        <v>105</v>
      </c>
      <c r="J23332">
        <v>49.38</v>
      </c>
      <c r="K23332">
        <v>9.56</v>
      </c>
      <c r="L23332">
        <v>69111</v>
      </c>
      <c r="M23332" t="s">
        <v>471</v>
      </c>
      <c r="N23332" t="str">
        <f>"5439622     "</f>
        <v xml:space="preserve">5439622     </v>
      </c>
      <c r="O23332">
        <v>230608</v>
      </c>
    </row>
    <row r="23333" spans="1:15" x14ac:dyDescent="0.25">
      <c r="A23333" t="s">
        <v>16</v>
      </c>
      <c r="B23333" t="s">
        <v>3221</v>
      </c>
      <c r="C23333">
        <v>8271</v>
      </c>
      <c r="D23333" t="s">
        <v>417</v>
      </c>
      <c r="E23333" t="s">
        <v>418</v>
      </c>
      <c r="F23333">
        <v>4.74</v>
      </c>
      <c r="G23333">
        <v>230531</v>
      </c>
      <c r="H23333">
        <v>4600</v>
      </c>
      <c r="I23333" t="s">
        <v>105</v>
      </c>
      <c r="J23333">
        <v>5.88</v>
      </c>
      <c r="K23333">
        <v>1.1399999999999999</v>
      </c>
      <c r="L23333">
        <v>13540</v>
      </c>
      <c r="M23333" t="s">
        <v>85</v>
      </c>
      <c r="N23333" t="str">
        <f>"5442289     "</f>
        <v xml:space="preserve">5442289     </v>
      </c>
      <c r="O23333">
        <v>230608</v>
      </c>
    </row>
    <row r="23334" spans="1:15" x14ac:dyDescent="0.25">
      <c r="A23334" t="s">
        <v>16</v>
      </c>
      <c r="B23334" t="s">
        <v>3221</v>
      </c>
      <c r="C23334">
        <v>8271</v>
      </c>
      <c r="D23334" t="s">
        <v>417</v>
      </c>
      <c r="E23334" t="s">
        <v>418</v>
      </c>
      <c r="F23334">
        <v>60.41</v>
      </c>
      <c r="G23334">
        <v>230531</v>
      </c>
      <c r="H23334">
        <v>4600</v>
      </c>
      <c r="I23334" t="s">
        <v>105</v>
      </c>
      <c r="J23334">
        <v>74.91</v>
      </c>
      <c r="K23334">
        <v>14.5</v>
      </c>
      <c r="L23334">
        <v>17524</v>
      </c>
      <c r="M23334" t="s">
        <v>452</v>
      </c>
      <c r="N23334" t="str">
        <f>"5442289     "</f>
        <v xml:space="preserve">5442289     </v>
      </c>
      <c r="O23334">
        <v>230608</v>
      </c>
    </row>
    <row r="23335" spans="1:15" x14ac:dyDescent="0.25">
      <c r="A23335" t="s">
        <v>16</v>
      </c>
      <c r="B23335" t="s">
        <v>3221</v>
      </c>
      <c r="C23335">
        <v>8271</v>
      </c>
      <c r="D23335" t="s">
        <v>417</v>
      </c>
      <c r="E23335" t="s">
        <v>418</v>
      </c>
      <c r="F23335">
        <v>38.369999999999997</v>
      </c>
      <c r="G23335">
        <v>230531</v>
      </c>
      <c r="H23335">
        <v>4600</v>
      </c>
      <c r="I23335" t="s">
        <v>105</v>
      </c>
      <c r="J23335">
        <v>47.58</v>
      </c>
      <c r="K23335">
        <v>9.2100000000000009</v>
      </c>
      <c r="L23335">
        <v>17950</v>
      </c>
      <c r="M23335" t="s">
        <v>86</v>
      </c>
      <c r="N23335" t="str">
        <f>"5442289     "</f>
        <v xml:space="preserve">5442289     </v>
      </c>
      <c r="O23335">
        <v>230608</v>
      </c>
    </row>
    <row r="23336" spans="1:15" x14ac:dyDescent="0.25">
      <c r="A23336" t="s">
        <v>16</v>
      </c>
      <c r="B23336" t="s">
        <v>3221</v>
      </c>
      <c r="C23336">
        <v>8371</v>
      </c>
      <c r="D23336" t="s">
        <v>417</v>
      </c>
      <c r="E23336" t="s">
        <v>418</v>
      </c>
      <c r="F23336">
        <v>32.340000000000003</v>
      </c>
      <c r="G23336">
        <v>230531</v>
      </c>
      <c r="H23336">
        <v>4600</v>
      </c>
      <c r="I23336" t="s">
        <v>105</v>
      </c>
      <c r="J23336">
        <v>40.1</v>
      </c>
      <c r="K23336">
        <v>7.76</v>
      </c>
      <c r="L23336">
        <v>54222</v>
      </c>
      <c r="M23336" t="s">
        <v>308</v>
      </c>
      <c r="N23336" t="str">
        <f>"5439919     "</f>
        <v xml:space="preserve">5439919     </v>
      </c>
      <c r="O23336">
        <v>230608</v>
      </c>
    </row>
    <row r="23337" spans="1:15" x14ac:dyDescent="0.25">
      <c r="A23337" t="s">
        <v>16</v>
      </c>
      <c r="B23337" t="s">
        <v>3221</v>
      </c>
      <c r="C23337">
        <v>8371</v>
      </c>
      <c r="D23337" t="s">
        <v>417</v>
      </c>
      <c r="E23337" t="s">
        <v>418</v>
      </c>
      <c r="F23337">
        <v>13.75</v>
      </c>
      <c r="G23337">
        <v>230531</v>
      </c>
      <c r="H23337">
        <v>4600</v>
      </c>
      <c r="I23337" t="s">
        <v>105</v>
      </c>
      <c r="J23337">
        <v>17.05</v>
      </c>
      <c r="K23337">
        <v>3.3</v>
      </c>
      <c r="L23337">
        <v>59111</v>
      </c>
      <c r="M23337" t="s">
        <v>1010</v>
      </c>
      <c r="N23337" t="str">
        <f>"5439919     "</f>
        <v xml:space="preserve">5439919     </v>
      </c>
      <c r="O23337">
        <v>230608</v>
      </c>
    </row>
    <row r="23338" spans="1:15" x14ac:dyDescent="0.25">
      <c r="A23338" t="s">
        <v>16</v>
      </c>
      <c r="B23338" t="s">
        <v>3221</v>
      </c>
      <c r="C23338">
        <v>8371</v>
      </c>
      <c r="D23338" t="s">
        <v>417</v>
      </c>
      <c r="E23338" t="s">
        <v>418</v>
      </c>
      <c r="F23338">
        <v>73.930000000000007</v>
      </c>
      <c r="G23338">
        <v>230531</v>
      </c>
      <c r="H23338">
        <v>4600</v>
      </c>
      <c r="I23338" t="s">
        <v>105</v>
      </c>
      <c r="J23338">
        <v>91.67</v>
      </c>
      <c r="K23338">
        <v>17.739999999999998</v>
      </c>
      <c r="L23338">
        <v>59501</v>
      </c>
      <c r="M23338" t="s">
        <v>69</v>
      </c>
      <c r="N23338" t="str">
        <f>"5439919     "</f>
        <v xml:space="preserve">5439919     </v>
      </c>
      <c r="O23338">
        <v>230608</v>
      </c>
    </row>
    <row r="23339" spans="1:15" x14ac:dyDescent="0.25">
      <c r="A23339" t="s">
        <v>16</v>
      </c>
      <c r="B23339" t="s">
        <v>3221</v>
      </c>
      <c r="C23339">
        <v>8892</v>
      </c>
      <c r="D23339" t="s">
        <v>417</v>
      </c>
      <c r="E23339" t="s">
        <v>418</v>
      </c>
      <c r="F23339">
        <v>14.44</v>
      </c>
      <c r="G23339">
        <v>230615</v>
      </c>
      <c r="H23339">
        <v>4600</v>
      </c>
      <c r="I23339" t="s">
        <v>105</v>
      </c>
      <c r="J23339">
        <v>17.899999999999999</v>
      </c>
      <c r="K23339">
        <v>3.46</v>
      </c>
      <c r="L23339">
        <v>17737</v>
      </c>
      <c r="M23339" t="s">
        <v>279</v>
      </c>
      <c r="N23339" t="str">
        <f>"5445312     "</f>
        <v xml:space="preserve">5445312     </v>
      </c>
      <c r="O23339">
        <v>230619</v>
      </c>
    </row>
    <row r="23340" spans="1:15" x14ac:dyDescent="0.25">
      <c r="A23340" t="s">
        <v>16</v>
      </c>
      <c r="B23340" t="s">
        <v>3221</v>
      </c>
      <c r="C23340">
        <v>8892</v>
      </c>
      <c r="D23340" t="s">
        <v>417</v>
      </c>
      <c r="E23340" t="s">
        <v>418</v>
      </c>
      <c r="F23340">
        <v>28.58</v>
      </c>
      <c r="G23340">
        <v>230615</v>
      </c>
      <c r="H23340">
        <v>4600</v>
      </c>
      <c r="I23340" t="s">
        <v>105</v>
      </c>
      <c r="J23340">
        <v>35.44</v>
      </c>
      <c r="K23340">
        <v>6.86</v>
      </c>
      <c r="L23340">
        <v>17952</v>
      </c>
      <c r="M23340" t="s">
        <v>88</v>
      </c>
      <c r="N23340" t="str">
        <f>"5445312     "</f>
        <v xml:space="preserve">5445312     </v>
      </c>
      <c r="O23340">
        <v>230619</v>
      </c>
    </row>
    <row r="23341" spans="1:15" x14ac:dyDescent="0.25">
      <c r="A23341" t="s">
        <v>16</v>
      </c>
      <c r="B23341" t="s">
        <v>3221</v>
      </c>
      <c r="C23341">
        <v>8892</v>
      </c>
      <c r="D23341" t="s">
        <v>417</v>
      </c>
      <c r="E23341" t="s">
        <v>418</v>
      </c>
      <c r="F23341">
        <v>46.5</v>
      </c>
      <c r="G23341">
        <v>230615</v>
      </c>
      <c r="H23341">
        <v>4600</v>
      </c>
      <c r="I23341" t="s">
        <v>105</v>
      </c>
      <c r="J23341">
        <v>57.66</v>
      </c>
      <c r="K23341">
        <v>11.16</v>
      </c>
      <c r="L23341">
        <v>17971</v>
      </c>
      <c r="M23341" t="s">
        <v>138</v>
      </c>
      <c r="N23341" t="str">
        <f>"5445312     "</f>
        <v xml:space="preserve">5445312     </v>
      </c>
      <c r="O23341">
        <v>230619</v>
      </c>
    </row>
    <row r="23342" spans="1:15" x14ac:dyDescent="0.25">
      <c r="A23342" t="s">
        <v>16</v>
      </c>
      <c r="B23342" t="s">
        <v>3221</v>
      </c>
      <c r="C23342">
        <v>8946</v>
      </c>
      <c r="D23342" t="s">
        <v>417</v>
      </c>
      <c r="E23342" t="s">
        <v>418</v>
      </c>
      <c r="F23342">
        <v>28.51</v>
      </c>
      <c r="G23342">
        <v>230615</v>
      </c>
      <c r="H23342">
        <v>4600</v>
      </c>
      <c r="I23342" t="s">
        <v>105</v>
      </c>
      <c r="J23342">
        <v>35.35</v>
      </c>
      <c r="K23342">
        <v>6.84</v>
      </c>
      <c r="L23342">
        <v>11908</v>
      </c>
      <c r="M23342" t="s">
        <v>598</v>
      </c>
      <c r="N23342" t="str">
        <f>"5446169     "</f>
        <v xml:space="preserve">5446169     </v>
      </c>
      <c r="O23342">
        <v>230620</v>
      </c>
    </row>
    <row r="23343" spans="1:15" x14ac:dyDescent="0.25">
      <c r="A23343" t="s">
        <v>16</v>
      </c>
      <c r="B23343" t="s">
        <v>3221</v>
      </c>
      <c r="C23343">
        <v>9272</v>
      </c>
      <c r="D23343" t="s">
        <v>417</v>
      </c>
      <c r="E23343" t="s">
        <v>418</v>
      </c>
      <c r="F23343">
        <v>24.22</v>
      </c>
      <c r="G23343">
        <v>230630</v>
      </c>
      <c r="H23343">
        <v>4600</v>
      </c>
      <c r="I23343" t="s">
        <v>105</v>
      </c>
      <c r="J23343">
        <v>30.03</v>
      </c>
      <c r="K23343">
        <v>5.81</v>
      </c>
      <c r="L23343">
        <v>17952</v>
      </c>
      <c r="M23343" t="s">
        <v>88</v>
      </c>
      <c r="N23343" t="str">
        <f>"5449514     "</f>
        <v xml:space="preserve">5449514     </v>
      </c>
      <c r="O23343">
        <v>230703</v>
      </c>
    </row>
    <row r="23344" spans="1:15" x14ac:dyDescent="0.25">
      <c r="A23344" t="s">
        <v>16</v>
      </c>
      <c r="B23344" t="s">
        <v>3221</v>
      </c>
      <c r="C23344">
        <v>9344</v>
      </c>
      <c r="D23344" t="s">
        <v>417</v>
      </c>
      <c r="E23344" t="s">
        <v>418</v>
      </c>
      <c r="F23344">
        <v>48.59</v>
      </c>
      <c r="G23344">
        <v>230630</v>
      </c>
      <c r="H23344">
        <v>4600</v>
      </c>
      <c r="I23344" t="s">
        <v>105</v>
      </c>
      <c r="J23344">
        <v>60.25</v>
      </c>
      <c r="K23344">
        <v>11.66</v>
      </c>
      <c r="L23344">
        <v>69501</v>
      </c>
      <c r="M23344" t="s">
        <v>185</v>
      </c>
      <c r="N23344" t="str">
        <f>"5448131     "</f>
        <v xml:space="preserve">5448131     </v>
      </c>
      <c r="O23344">
        <v>230706</v>
      </c>
    </row>
    <row r="23345" spans="1:15" x14ac:dyDescent="0.25">
      <c r="A23345" t="s">
        <v>16</v>
      </c>
      <c r="B23345" t="s">
        <v>3221</v>
      </c>
      <c r="C23345">
        <v>9411</v>
      </c>
      <c r="D23345" t="s">
        <v>417</v>
      </c>
      <c r="E23345" t="s">
        <v>418</v>
      </c>
      <c r="F23345">
        <v>527.73</v>
      </c>
      <c r="G23345">
        <v>230630</v>
      </c>
      <c r="H23345">
        <v>4600</v>
      </c>
      <c r="I23345" t="s">
        <v>105</v>
      </c>
      <c r="J23345">
        <v>654.39</v>
      </c>
      <c r="K23345">
        <v>126.66</v>
      </c>
      <c r="L23345">
        <v>49501</v>
      </c>
      <c r="M23345" t="s">
        <v>177</v>
      </c>
      <c r="N23345" t="str">
        <f>"5447953     "</f>
        <v xml:space="preserve">5447953     </v>
      </c>
      <c r="O23345">
        <v>230710</v>
      </c>
    </row>
    <row r="23346" spans="1:15" x14ac:dyDescent="0.25">
      <c r="A23346" t="s">
        <v>16</v>
      </c>
      <c r="B23346" t="s">
        <v>3221</v>
      </c>
      <c r="C23346">
        <v>9464</v>
      </c>
      <c r="D23346" t="s">
        <v>417</v>
      </c>
      <c r="E23346" t="s">
        <v>418</v>
      </c>
      <c r="F23346">
        <v>21.71</v>
      </c>
      <c r="G23346">
        <v>230630</v>
      </c>
      <c r="H23346">
        <v>4600</v>
      </c>
      <c r="I23346" t="s">
        <v>105</v>
      </c>
      <c r="J23346">
        <v>26.92</v>
      </c>
      <c r="K23346">
        <v>5.21</v>
      </c>
      <c r="L23346">
        <v>17951</v>
      </c>
      <c r="M23346" t="s">
        <v>87</v>
      </c>
      <c r="N23346" t="str">
        <f>"5448946     "</f>
        <v xml:space="preserve">5448946     </v>
      </c>
      <c r="O23346">
        <v>230711</v>
      </c>
    </row>
    <row r="23347" spans="1:15" x14ac:dyDescent="0.25">
      <c r="A23347" t="s">
        <v>16</v>
      </c>
      <c r="B23347" t="s">
        <v>3221</v>
      </c>
      <c r="C23347">
        <v>9860</v>
      </c>
      <c r="D23347" t="s">
        <v>417</v>
      </c>
      <c r="E23347" t="s">
        <v>418</v>
      </c>
      <c r="F23347">
        <v>181.98</v>
      </c>
      <c r="G23347">
        <v>230715</v>
      </c>
      <c r="H23347">
        <v>4600</v>
      </c>
      <c r="I23347" t="s">
        <v>105</v>
      </c>
      <c r="J23347">
        <v>225.66</v>
      </c>
      <c r="K23347">
        <v>43.68</v>
      </c>
      <c r="L23347">
        <v>17952</v>
      </c>
      <c r="M23347" t="s">
        <v>88</v>
      </c>
      <c r="N23347" t="str">
        <f>"5452589     "</f>
        <v xml:space="preserve">5452589     </v>
      </c>
      <c r="O23347">
        <v>230731</v>
      </c>
    </row>
    <row r="23348" spans="1:15" x14ac:dyDescent="0.25">
      <c r="A23348" t="s">
        <v>16</v>
      </c>
      <c r="B23348" t="s">
        <v>3221</v>
      </c>
      <c r="C23348">
        <v>10083</v>
      </c>
      <c r="D23348" t="s">
        <v>417</v>
      </c>
      <c r="E23348" t="s">
        <v>418</v>
      </c>
      <c r="F23348">
        <v>53.1</v>
      </c>
      <c r="G23348">
        <v>230731</v>
      </c>
      <c r="H23348">
        <v>4600</v>
      </c>
      <c r="I23348" t="s">
        <v>105</v>
      </c>
      <c r="J23348">
        <v>65.84</v>
      </c>
      <c r="K23348">
        <v>12.74</v>
      </c>
      <c r="L23348">
        <v>17952</v>
      </c>
      <c r="M23348" t="s">
        <v>88</v>
      </c>
      <c r="N23348" t="str">
        <f>"5455623     "</f>
        <v xml:space="preserve">5455623     </v>
      </c>
      <c r="O23348">
        <v>230808</v>
      </c>
    </row>
    <row r="23349" spans="1:15" x14ac:dyDescent="0.25">
      <c r="A23349" t="s">
        <v>16</v>
      </c>
      <c r="B23349" t="s">
        <v>3221</v>
      </c>
      <c r="C23349">
        <v>10227</v>
      </c>
      <c r="D23349" t="s">
        <v>417</v>
      </c>
      <c r="E23349" t="s">
        <v>418</v>
      </c>
      <c r="F23349">
        <v>54.96</v>
      </c>
      <c r="G23349">
        <v>230731</v>
      </c>
      <c r="H23349">
        <v>4600</v>
      </c>
      <c r="I23349" t="s">
        <v>105</v>
      </c>
      <c r="J23349">
        <v>68.150000000000006</v>
      </c>
      <c r="K23349">
        <v>13.19</v>
      </c>
      <c r="L23349">
        <v>59111</v>
      </c>
      <c r="M23349" t="s">
        <v>1010</v>
      </c>
      <c r="N23349" t="str">
        <f>"5454721     "</f>
        <v xml:space="preserve">5454721     </v>
      </c>
      <c r="O23349">
        <v>230810</v>
      </c>
    </row>
    <row r="23350" spans="1:15" x14ac:dyDescent="0.25">
      <c r="A23350" t="s">
        <v>16</v>
      </c>
      <c r="B23350" t="s">
        <v>3221</v>
      </c>
      <c r="C23350">
        <v>10227</v>
      </c>
      <c r="D23350" t="s">
        <v>417</v>
      </c>
      <c r="E23350" t="s">
        <v>418</v>
      </c>
      <c r="F23350">
        <v>12.54</v>
      </c>
      <c r="G23350">
        <v>230731</v>
      </c>
      <c r="H23350">
        <v>4600</v>
      </c>
      <c r="I23350" t="s">
        <v>105</v>
      </c>
      <c r="J23350">
        <v>15.55</v>
      </c>
      <c r="K23350">
        <v>3.01</v>
      </c>
      <c r="L23350">
        <v>59702</v>
      </c>
      <c r="M23350" t="s">
        <v>328</v>
      </c>
      <c r="N23350" t="str">
        <f>"5454721     "</f>
        <v xml:space="preserve">5454721     </v>
      </c>
      <c r="O23350">
        <v>230810</v>
      </c>
    </row>
    <row r="23351" spans="1:15" x14ac:dyDescent="0.25">
      <c r="A23351" t="s">
        <v>16</v>
      </c>
      <c r="B23351" t="s">
        <v>3221</v>
      </c>
      <c r="C23351">
        <v>10457</v>
      </c>
      <c r="D23351" t="s">
        <v>417</v>
      </c>
      <c r="E23351" t="s">
        <v>418</v>
      </c>
      <c r="F23351">
        <v>32.69</v>
      </c>
      <c r="G23351">
        <v>230815</v>
      </c>
      <c r="H23351">
        <v>4600</v>
      </c>
      <c r="I23351" t="s">
        <v>105</v>
      </c>
      <c r="J23351">
        <v>40.54</v>
      </c>
      <c r="K23351">
        <v>7.85</v>
      </c>
      <c r="L23351">
        <v>17912</v>
      </c>
      <c r="M23351" t="s">
        <v>419</v>
      </c>
      <c r="N23351" t="str">
        <f>"5458589     "</f>
        <v xml:space="preserve">5458589     </v>
      </c>
      <c r="O23351">
        <v>230816</v>
      </c>
    </row>
    <row r="23352" spans="1:15" x14ac:dyDescent="0.25">
      <c r="A23352" t="s">
        <v>16</v>
      </c>
      <c r="B23352" t="s">
        <v>3221</v>
      </c>
      <c r="C23352">
        <v>10457</v>
      </c>
      <c r="D23352" t="s">
        <v>417</v>
      </c>
      <c r="E23352" t="s">
        <v>418</v>
      </c>
      <c r="F23352">
        <v>24.15</v>
      </c>
      <c r="G23352">
        <v>230815</v>
      </c>
      <c r="H23352">
        <v>4600</v>
      </c>
      <c r="I23352" t="s">
        <v>105</v>
      </c>
      <c r="J23352">
        <v>29.94</v>
      </c>
      <c r="K23352">
        <v>5.79</v>
      </c>
      <c r="L23352">
        <v>17952</v>
      </c>
      <c r="M23352" t="s">
        <v>88</v>
      </c>
      <c r="N23352" t="str">
        <f>"5458589     "</f>
        <v xml:space="preserve">5458589     </v>
      </c>
      <c r="O23352">
        <v>230816</v>
      </c>
    </row>
    <row r="23353" spans="1:15" x14ac:dyDescent="0.25">
      <c r="A23353" t="s">
        <v>16</v>
      </c>
      <c r="B23353" t="s">
        <v>3221</v>
      </c>
      <c r="C23353">
        <v>10457</v>
      </c>
      <c r="D23353" t="s">
        <v>417</v>
      </c>
      <c r="E23353" t="s">
        <v>418</v>
      </c>
      <c r="F23353">
        <v>26.76</v>
      </c>
      <c r="G23353">
        <v>230815</v>
      </c>
      <c r="H23353">
        <v>4600</v>
      </c>
      <c r="I23353" t="s">
        <v>105</v>
      </c>
      <c r="J23353">
        <v>33.18</v>
      </c>
      <c r="K23353">
        <v>6.42</v>
      </c>
      <c r="L23353">
        <v>17971</v>
      </c>
      <c r="M23353" t="s">
        <v>138</v>
      </c>
      <c r="N23353" t="str">
        <f>"5458589     "</f>
        <v xml:space="preserve">5458589     </v>
      </c>
      <c r="O23353">
        <v>230816</v>
      </c>
    </row>
    <row r="23354" spans="1:15" x14ac:dyDescent="0.25">
      <c r="A23354" t="s">
        <v>16</v>
      </c>
      <c r="B23354" t="s">
        <v>3221</v>
      </c>
      <c r="C23354">
        <v>10614</v>
      </c>
      <c r="D23354" t="s">
        <v>417</v>
      </c>
      <c r="E23354" t="s">
        <v>418</v>
      </c>
      <c r="F23354">
        <v>23.39</v>
      </c>
      <c r="G23354">
        <v>230731</v>
      </c>
      <c r="H23354">
        <v>4600</v>
      </c>
      <c r="I23354" t="s">
        <v>105</v>
      </c>
      <c r="J23354">
        <v>29</v>
      </c>
      <c r="K23354">
        <v>5.61</v>
      </c>
      <c r="L23354">
        <v>49501</v>
      </c>
      <c r="M23354" t="s">
        <v>177</v>
      </c>
      <c r="N23354" t="str">
        <f>"5454472     "</f>
        <v xml:space="preserve">5454472     </v>
      </c>
      <c r="O23354">
        <v>230821</v>
      </c>
    </row>
    <row r="23355" spans="1:15" x14ac:dyDescent="0.25">
      <c r="A23355" t="s">
        <v>16</v>
      </c>
      <c r="B23355" t="s">
        <v>3221</v>
      </c>
      <c r="C23355">
        <v>10805</v>
      </c>
      <c r="D23355" t="s">
        <v>417</v>
      </c>
      <c r="E23355" t="s">
        <v>418</v>
      </c>
      <c r="F23355">
        <v>50.88</v>
      </c>
      <c r="G23355">
        <v>230815</v>
      </c>
      <c r="H23355">
        <v>4600</v>
      </c>
      <c r="I23355" t="s">
        <v>105</v>
      </c>
      <c r="J23355">
        <v>63.09</v>
      </c>
      <c r="K23355">
        <v>12.21</v>
      </c>
      <c r="L23355">
        <v>17531</v>
      </c>
      <c r="M23355" t="s">
        <v>136</v>
      </c>
      <c r="N23355" t="str">
        <f>"5459299     "</f>
        <v xml:space="preserve">5459299     </v>
      </c>
      <c r="O23355">
        <v>230823</v>
      </c>
    </row>
    <row r="23356" spans="1:15" x14ac:dyDescent="0.25">
      <c r="A23356" t="s">
        <v>16</v>
      </c>
      <c r="B23356" t="s">
        <v>3221</v>
      </c>
      <c r="C23356">
        <v>10805</v>
      </c>
      <c r="D23356" t="s">
        <v>417</v>
      </c>
      <c r="E23356" t="s">
        <v>418</v>
      </c>
      <c r="F23356">
        <v>33.869999999999997</v>
      </c>
      <c r="G23356">
        <v>230815</v>
      </c>
      <c r="H23356">
        <v>4600</v>
      </c>
      <c r="I23356" t="s">
        <v>105</v>
      </c>
      <c r="J23356">
        <v>42</v>
      </c>
      <c r="K23356">
        <v>8.1300000000000008</v>
      </c>
      <c r="L23356">
        <v>17536</v>
      </c>
      <c r="M23356" t="s">
        <v>734</v>
      </c>
      <c r="N23356" t="str">
        <f>"5459299     "</f>
        <v xml:space="preserve">5459299     </v>
      </c>
      <c r="O23356">
        <v>230823</v>
      </c>
    </row>
    <row r="23357" spans="1:15" x14ac:dyDescent="0.25">
      <c r="A23357" t="s">
        <v>16</v>
      </c>
      <c r="B23357" t="s">
        <v>3221</v>
      </c>
      <c r="C23357">
        <v>11279</v>
      </c>
      <c r="D23357" t="s">
        <v>417</v>
      </c>
      <c r="E23357" t="s">
        <v>418</v>
      </c>
      <c r="F23357">
        <v>98.09</v>
      </c>
      <c r="G23357">
        <v>230831</v>
      </c>
      <c r="H23357">
        <v>4600</v>
      </c>
      <c r="I23357" t="s">
        <v>105</v>
      </c>
      <c r="J23357">
        <v>121.63</v>
      </c>
      <c r="K23357">
        <v>23.54</v>
      </c>
      <c r="L23357">
        <v>17711</v>
      </c>
      <c r="M23357" t="s">
        <v>65</v>
      </c>
      <c r="N23357" t="str">
        <f>"5462912     "</f>
        <v xml:space="preserve">5462912     </v>
      </c>
      <c r="O23357">
        <v>230904</v>
      </c>
    </row>
    <row r="23358" spans="1:15" x14ac:dyDescent="0.25">
      <c r="A23358" t="s">
        <v>16</v>
      </c>
      <c r="B23358" t="s">
        <v>3221</v>
      </c>
      <c r="C23358">
        <v>11470</v>
      </c>
      <c r="D23358" t="s">
        <v>417</v>
      </c>
      <c r="E23358" t="s">
        <v>418</v>
      </c>
      <c r="F23358">
        <v>1.81</v>
      </c>
      <c r="G23358">
        <v>230831</v>
      </c>
      <c r="H23358">
        <v>4600</v>
      </c>
      <c r="I23358" t="s">
        <v>105</v>
      </c>
      <c r="J23358">
        <v>2.2400000000000002</v>
      </c>
      <c r="K23358">
        <v>0.43</v>
      </c>
      <c r="L23358">
        <v>13501</v>
      </c>
      <c r="M23358" t="s">
        <v>20</v>
      </c>
      <c r="N23358" t="str">
        <f>"5463706     "</f>
        <v xml:space="preserve">5463706     </v>
      </c>
      <c r="O23358">
        <v>230906</v>
      </c>
    </row>
    <row r="23359" spans="1:15" x14ac:dyDescent="0.25">
      <c r="A23359" t="s">
        <v>16</v>
      </c>
      <c r="B23359" t="s">
        <v>3221</v>
      </c>
      <c r="C23359">
        <v>11470</v>
      </c>
      <c r="D23359" t="s">
        <v>417</v>
      </c>
      <c r="E23359" t="s">
        <v>418</v>
      </c>
      <c r="F23359">
        <v>8.56</v>
      </c>
      <c r="G23359">
        <v>230831</v>
      </c>
      <c r="H23359">
        <v>4600</v>
      </c>
      <c r="I23359" t="s">
        <v>105</v>
      </c>
      <c r="J23359">
        <v>10.61</v>
      </c>
      <c r="K23359">
        <v>2.0499999999999998</v>
      </c>
      <c r="L23359">
        <v>13561</v>
      </c>
      <c r="M23359" t="s">
        <v>246</v>
      </c>
      <c r="N23359" t="str">
        <f>"5463706     "</f>
        <v xml:space="preserve">5463706     </v>
      </c>
      <c r="O23359">
        <v>230906</v>
      </c>
    </row>
    <row r="23360" spans="1:15" x14ac:dyDescent="0.25">
      <c r="A23360" t="s">
        <v>16</v>
      </c>
      <c r="B23360" t="s">
        <v>3221</v>
      </c>
      <c r="C23360">
        <v>11470</v>
      </c>
      <c r="D23360" t="s">
        <v>417</v>
      </c>
      <c r="E23360" t="s">
        <v>418</v>
      </c>
      <c r="F23360">
        <v>14.65</v>
      </c>
      <c r="G23360">
        <v>230831</v>
      </c>
      <c r="H23360">
        <v>4600</v>
      </c>
      <c r="I23360" t="s">
        <v>105</v>
      </c>
      <c r="J23360">
        <v>18.16</v>
      </c>
      <c r="K23360">
        <v>3.51</v>
      </c>
      <c r="L23360">
        <v>17538</v>
      </c>
      <c r="M23360" t="s">
        <v>24</v>
      </c>
      <c r="N23360" t="str">
        <f>"5463706     "</f>
        <v xml:space="preserve">5463706     </v>
      </c>
      <c r="O23360">
        <v>230906</v>
      </c>
    </row>
    <row r="23361" spans="1:15" x14ac:dyDescent="0.25">
      <c r="A23361" t="s">
        <v>16</v>
      </c>
      <c r="B23361" t="s">
        <v>3221</v>
      </c>
      <c r="C23361">
        <v>11470</v>
      </c>
      <c r="D23361" t="s">
        <v>417</v>
      </c>
      <c r="E23361" t="s">
        <v>418</v>
      </c>
      <c r="F23361">
        <v>63.56</v>
      </c>
      <c r="G23361">
        <v>230831</v>
      </c>
      <c r="H23361">
        <v>4600</v>
      </c>
      <c r="I23361" t="s">
        <v>105</v>
      </c>
      <c r="J23361">
        <v>78.81</v>
      </c>
      <c r="K23361">
        <v>15.25</v>
      </c>
      <c r="L23361">
        <v>17950</v>
      </c>
      <c r="M23361" t="s">
        <v>86</v>
      </c>
      <c r="N23361" t="str">
        <f>"5463706     "</f>
        <v xml:space="preserve">5463706     </v>
      </c>
      <c r="O23361">
        <v>230906</v>
      </c>
    </row>
    <row r="23362" spans="1:15" x14ac:dyDescent="0.25">
      <c r="A23362" t="s">
        <v>16</v>
      </c>
      <c r="B23362" t="s">
        <v>3221</v>
      </c>
      <c r="C23362">
        <v>11470</v>
      </c>
      <c r="D23362" t="s">
        <v>417</v>
      </c>
      <c r="E23362" t="s">
        <v>418</v>
      </c>
      <c r="F23362">
        <v>17.12</v>
      </c>
      <c r="G23362">
        <v>230831</v>
      </c>
      <c r="H23362">
        <v>4600</v>
      </c>
      <c r="I23362" t="s">
        <v>105</v>
      </c>
      <c r="J23362">
        <v>21.23</v>
      </c>
      <c r="K23362">
        <v>4.1100000000000003</v>
      </c>
      <c r="L23362">
        <v>17971</v>
      </c>
      <c r="M23362" t="s">
        <v>138</v>
      </c>
      <c r="N23362" t="str">
        <f>"5463706     "</f>
        <v xml:space="preserve">5463706     </v>
      </c>
      <c r="O23362">
        <v>230906</v>
      </c>
    </row>
    <row r="23363" spans="1:15" x14ac:dyDescent="0.25">
      <c r="A23363" t="s">
        <v>16</v>
      </c>
      <c r="B23363" t="s">
        <v>3221</v>
      </c>
      <c r="C23363">
        <v>11802</v>
      </c>
      <c r="D23363" t="s">
        <v>417</v>
      </c>
      <c r="E23363" t="s">
        <v>418</v>
      </c>
      <c r="F23363">
        <v>118.98</v>
      </c>
      <c r="G23363">
        <v>230831</v>
      </c>
      <c r="H23363">
        <v>4600</v>
      </c>
      <c r="I23363" t="s">
        <v>105</v>
      </c>
      <c r="J23363">
        <v>147.53</v>
      </c>
      <c r="K23363">
        <v>28.55</v>
      </c>
      <c r="L23363">
        <v>54222</v>
      </c>
      <c r="M23363" t="s">
        <v>308</v>
      </c>
      <c r="N23363" t="str">
        <f>"5461483     "</f>
        <v xml:space="preserve">5461483     </v>
      </c>
      <c r="O23363">
        <v>230911</v>
      </c>
    </row>
    <row r="23364" spans="1:15" x14ac:dyDescent="0.25">
      <c r="A23364" t="s">
        <v>16</v>
      </c>
      <c r="B23364" t="s">
        <v>3221</v>
      </c>
      <c r="C23364">
        <v>11802</v>
      </c>
      <c r="D23364" t="s">
        <v>417</v>
      </c>
      <c r="E23364" t="s">
        <v>418</v>
      </c>
      <c r="F23364">
        <v>20.84</v>
      </c>
      <c r="G23364">
        <v>230831</v>
      </c>
      <c r="H23364">
        <v>4600</v>
      </c>
      <c r="I23364" t="s">
        <v>105</v>
      </c>
      <c r="J23364">
        <v>25.84</v>
      </c>
      <c r="K23364">
        <v>5</v>
      </c>
      <c r="L23364">
        <v>59111</v>
      </c>
      <c r="M23364" t="s">
        <v>1010</v>
      </c>
      <c r="N23364" t="str">
        <f>"5461483     "</f>
        <v xml:space="preserve">5461483     </v>
      </c>
      <c r="O23364">
        <v>230911</v>
      </c>
    </row>
    <row r="23365" spans="1:15" x14ac:dyDescent="0.25">
      <c r="A23365" t="s">
        <v>16</v>
      </c>
      <c r="B23365" t="s">
        <v>3221</v>
      </c>
      <c r="C23365">
        <v>11802</v>
      </c>
      <c r="D23365" t="s">
        <v>417</v>
      </c>
      <c r="E23365" t="s">
        <v>418</v>
      </c>
      <c r="F23365">
        <v>54.45</v>
      </c>
      <c r="G23365">
        <v>230831</v>
      </c>
      <c r="H23365">
        <v>4600</v>
      </c>
      <c r="I23365" t="s">
        <v>105</v>
      </c>
      <c r="J23365">
        <v>67.52</v>
      </c>
      <c r="K23365">
        <v>13.07</v>
      </c>
      <c r="L23365">
        <v>59501</v>
      </c>
      <c r="M23365" t="s">
        <v>69</v>
      </c>
      <c r="N23365" t="str">
        <f>"5461483     "</f>
        <v xml:space="preserve">5461483     </v>
      </c>
      <c r="O23365">
        <v>230911</v>
      </c>
    </row>
    <row r="23366" spans="1:15" x14ac:dyDescent="0.25">
      <c r="A23366" t="s">
        <v>16</v>
      </c>
      <c r="B23366" t="s">
        <v>3221</v>
      </c>
      <c r="C23366">
        <v>11933</v>
      </c>
      <c r="D23366" t="s">
        <v>417</v>
      </c>
      <c r="E23366" t="s">
        <v>418</v>
      </c>
      <c r="F23366">
        <v>19.96</v>
      </c>
      <c r="G23366">
        <v>230831</v>
      </c>
      <c r="H23366">
        <v>4600</v>
      </c>
      <c r="I23366" t="s">
        <v>105</v>
      </c>
      <c r="J23366">
        <v>24.75</v>
      </c>
      <c r="K23366">
        <v>4.79</v>
      </c>
      <c r="L23366">
        <v>41126</v>
      </c>
      <c r="M23366" t="s">
        <v>761</v>
      </c>
      <c r="N23366" t="str">
        <f t="shared" ref="N23366:N23375" si="456">"5460935     "</f>
        <v xml:space="preserve">5460935     </v>
      </c>
      <c r="O23366">
        <v>230912</v>
      </c>
    </row>
    <row r="23367" spans="1:15" x14ac:dyDescent="0.25">
      <c r="A23367" t="s">
        <v>16</v>
      </c>
      <c r="B23367" t="s">
        <v>3221</v>
      </c>
      <c r="C23367">
        <v>11933</v>
      </c>
      <c r="D23367" t="s">
        <v>417</v>
      </c>
      <c r="E23367" t="s">
        <v>418</v>
      </c>
      <c r="F23367">
        <v>21.75</v>
      </c>
      <c r="G23367">
        <v>230831</v>
      </c>
      <c r="H23367">
        <v>4600</v>
      </c>
      <c r="I23367" t="s">
        <v>105</v>
      </c>
      <c r="J23367">
        <v>26.97</v>
      </c>
      <c r="K23367">
        <v>5.22</v>
      </c>
      <c r="L23367">
        <v>44222</v>
      </c>
      <c r="M23367" t="s">
        <v>232</v>
      </c>
      <c r="N23367" t="str">
        <f t="shared" si="456"/>
        <v xml:space="preserve">5460935     </v>
      </c>
      <c r="O23367">
        <v>230912</v>
      </c>
    </row>
    <row r="23368" spans="1:15" x14ac:dyDescent="0.25">
      <c r="A23368" t="s">
        <v>16</v>
      </c>
      <c r="B23368" t="s">
        <v>3221</v>
      </c>
      <c r="C23368">
        <v>11933</v>
      </c>
      <c r="D23368" t="s">
        <v>417</v>
      </c>
      <c r="E23368" t="s">
        <v>418</v>
      </c>
      <c r="F23368">
        <v>60.69</v>
      </c>
      <c r="G23368">
        <v>230831</v>
      </c>
      <c r="H23368">
        <v>4600</v>
      </c>
      <c r="I23368" t="s">
        <v>105</v>
      </c>
      <c r="J23368">
        <v>75.25</v>
      </c>
      <c r="K23368">
        <v>14.56</v>
      </c>
      <c r="L23368">
        <v>44222</v>
      </c>
      <c r="M23368" t="s">
        <v>232</v>
      </c>
      <c r="N23368" t="str">
        <f t="shared" si="456"/>
        <v xml:space="preserve">5460935     </v>
      </c>
      <c r="O23368">
        <v>230912</v>
      </c>
    </row>
    <row r="23369" spans="1:15" x14ac:dyDescent="0.25">
      <c r="A23369" t="s">
        <v>16</v>
      </c>
      <c r="B23369" t="s">
        <v>3221</v>
      </c>
      <c r="C23369">
        <v>11933</v>
      </c>
      <c r="D23369" t="s">
        <v>417</v>
      </c>
      <c r="E23369" t="s">
        <v>418</v>
      </c>
      <c r="F23369">
        <v>19.760000000000002</v>
      </c>
      <c r="G23369">
        <v>230831</v>
      </c>
      <c r="H23369">
        <v>4600</v>
      </c>
      <c r="I23369" t="s">
        <v>105</v>
      </c>
      <c r="J23369">
        <v>24.5</v>
      </c>
      <c r="K23369">
        <v>4.74</v>
      </c>
      <c r="L23369">
        <v>46556</v>
      </c>
      <c r="M23369" t="s">
        <v>125</v>
      </c>
      <c r="N23369" t="str">
        <f t="shared" si="456"/>
        <v xml:space="preserve">5460935     </v>
      </c>
      <c r="O23369">
        <v>230912</v>
      </c>
    </row>
    <row r="23370" spans="1:15" x14ac:dyDescent="0.25">
      <c r="A23370" t="s">
        <v>16</v>
      </c>
      <c r="B23370" t="s">
        <v>3221</v>
      </c>
      <c r="C23370">
        <v>11933</v>
      </c>
      <c r="D23370" t="s">
        <v>417</v>
      </c>
      <c r="E23370" t="s">
        <v>418</v>
      </c>
      <c r="F23370">
        <v>4.51</v>
      </c>
      <c r="G23370">
        <v>230831</v>
      </c>
      <c r="H23370">
        <v>4600</v>
      </c>
      <c r="I23370" t="s">
        <v>105</v>
      </c>
      <c r="J23370">
        <v>5.59</v>
      </c>
      <c r="K23370">
        <v>1.08</v>
      </c>
      <c r="L23370">
        <v>46559</v>
      </c>
      <c r="M23370" t="s">
        <v>1104</v>
      </c>
      <c r="N23370" t="str">
        <f t="shared" si="456"/>
        <v xml:space="preserve">5460935     </v>
      </c>
      <c r="O23370">
        <v>230912</v>
      </c>
    </row>
    <row r="23371" spans="1:15" x14ac:dyDescent="0.25">
      <c r="A23371" t="s">
        <v>16</v>
      </c>
      <c r="B23371" t="s">
        <v>3221</v>
      </c>
      <c r="C23371">
        <v>11933</v>
      </c>
      <c r="D23371" t="s">
        <v>417</v>
      </c>
      <c r="E23371" t="s">
        <v>418</v>
      </c>
      <c r="F23371">
        <v>39.97</v>
      </c>
      <c r="G23371">
        <v>230831</v>
      </c>
      <c r="H23371">
        <v>4600</v>
      </c>
      <c r="I23371" t="s">
        <v>105</v>
      </c>
      <c r="J23371">
        <v>49.56</v>
      </c>
      <c r="K23371">
        <v>9.59</v>
      </c>
      <c r="L23371">
        <v>47522</v>
      </c>
      <c r="M23371" t="s">
        <v>410</v>
      </c>
      <c r="N23371" t="str">
        <f t="shared" si="456"/>
        <v xml:space="preserve">5460935     </v>
      </c>
      <c r="O23371">
        <v>230912</v>
      </c>
    </row>
    <row r="23372" spans="1:15" x14ac:dyDescent="0.25">
      <c r="A23372" t="s">
        <v>16</v>
      </c>
      <c r="B23372" t="s">
        <v>3221</v>
      </c>
      <c r="C23372">
        <v>11933</v>
      </c>
      <c r="D23372" t="s">
        <v>417</v>
      </c>
      <c r="E23372" t="s">
        <v>418</v>
      </c>
      <c r="F23372">
        <v>65.94</v>
      </c>
      <c r="G23372">
        <v>230831</v>
      </c>
      <c r="H23372">
        <v>4600</v>
      </c>
      <c r="I23372" t="s">
        <v>105</v>
      </c>
      <c r="J23372">
        <v>81.77</v>
      </c>
      <c r="K23372">
        <v>15.83</v>
      </c>
      <c r="L23372">
        <v>48601</v>
      </c>
      <c r="M23372" t="s">
        <v>1047</v>
      </c>
      <c r="N23372" t="str">
        <f t="shared" si="456"/>
        <v xml:space="preserve">5460935     </v>
      </c>
      <c r="O23372">
        <v>230912</v>
      </c>
    </row>
    <row r="23373" spans="1:15" x14ac:dyDescent="0.25">
      <c r="A23373" t="s">
        <v>16</v>
      </c>
      <c r="B23373" t="s">
        <v>3221</v>
      </c>
      <c r="C23373">
        <v>11933</v>
      </c>
      <c r="D23373" t="s">
        <v>417</v>
      </c>
      <c r="E23373" t="s">
        <v>418</v>
      </c>
      <c r="F23373">
        <v>26.19</v>
      </c>
      <c r="G23373">
        <v>230831</v>
      </c>
      <c r="H23373">
        <v>4600</v>
      </c>
      <c r="I23373" t="s">
        <v>105</v>
      </c>
      <c r="J23373">
        <v>32.479999999999997</v>
      </c>
      <c r="K23373">
        <v>6.29</v>
      </c>
      <c r="L23373">
        <v>49501</v>
      </c>
      <c r="M23373" t="s">
        <v>177</v>
      </c>
      <c r="N23373" t="str">
        <f t="shared" si="456"/>
        <v xml:space="preserve">5460935     </v>
      </c>
      <c r="O23373">
        <v>230912</v>
      </c>
    </row>
    <row r="23374" spans="1:15" x14ac:dyDescent="0.25">
      <c r="A23374" t="s">
        <v>16</v>
      </c>
      <c r="B23374" t="s">
        <v>3221</v>
      </c>
      <c r="C23374">
        <v>11933</v>
      </c>
      <c r="D23374" t="s">
        <v>417</v>
      </c>
      <c r="E23374" t="s">
        <v>418</v>
      </c>
      <c r="F23374">
        <v>94.95</v>
      </c>
      <c r="G23374">
        <v>230831</v>
      </c>
      <c r="H23374">
        <v>4600</v>
      </c>
      <c r="I23374" t="s">
        <v>105</v>
      </c>
      <c r="J23374">
        <v>117.74</v>
      </c>
      <c r="K23374">
        <v>22.79</v>
      </c>
      <c r="L23374">
        <v>49501</v>
      </c>
      <c r="M23374" t="s">
        <v>177</v>
      </c>
      <c r="N23374" t="str">
        <f t="shared" si="456"/>
        <v xml:space="preserve">5460935     </v>
      </c>
      <c r="O23374">
        <v>230912</v>
      </c>
    </row>
    <row r="23375" spans="1:15" x14ac:dyDescent="0.25">
      <c r="A23375" t="s">
        <v>16</v>
      </c>
      <c r="B23375" t="s">
        <v>3221</v>
      </c>
      <c r="C23375">
        <v>11933</v>
      </c>
      <c r="D23375" t="s">
        <v>417</v>
      </c>
      <c r="E23375" t="s">
        <v>418</v>
      </c>
      <c r="F23375">
        <v>2.02</v>
      </c>
      <c r="G23375">
        <v>230831</v>
      </c>
      <c r="H23375">
        <v>4600</v>
      </c>
      <c r="I23375" t="s">
        <v>105</v>
      </c>
      <c r="J23375">
        <v>2.5</v>
      </c>
      <c r="K23375">
        <v>0.48</v>
      </c>
      <c r="L23375">
        <v>49702</v>
      </c>
      <c r="M23375" t="s">
        <v>584</v>
      </c>
      <c r="N23375" t="str">
        <f t="shared" si="456"/>
        <v xml:space="preserve">5460935     </v>
      </c>
      <c r="O23375">
        <v>230912</v>
      </c>
    </row>
    <row r="23376" spans="1:15" x14ac:dyDescent="0.25">
      <c r="A23376" t="s">
        <v>16</v>
      </c>
      <c r="B23376" t="s">
        <v>3221</v>
      </c>
      <c r="C23376">
        <v>12234</v>
      </c>
      <c r="D23376" t="s">
        <v>417</v>
      </c>
      <c r="E23376" t="s">
        <v>418</v>
      </c>
      <c r="F23376">
        <v>3.21</v>
      </c>
      <c r="G23376">
        <v>230831</v>
      </c>
      <c r="H23376">
        <v>4600</v>
      </c>
      <c r="I23376" t="s">
        <v>105</v>
      </c>
      <c r="J23376">
        <v>3.98</v>
      </c>
      <c r="K23376">
        <v>0.77</v>
      </c>
      <c r="L23376">
        <v>66754</v>
      </c>
      <c r="M23376" t="s">
        <v>239</v>
      </c>
      <c r="N23376" t="str">
        <f>"5461194     "</f>
        <v xml:space="preserve">5461194     </v>
      </c>
      <c r="O23376">
        <v>230918</v>
      </c>
    </row>
    <row r="23377" spans="1:15" x14ac:dyDescent="0.25">
      <c r="A23377" t="s">
        <v>16</v>
      </c>
      <c r="B23377" t="s">
        <v>3221</v>
      </c>
      <c r="C23377">
        <v>12234</v>
      </c>
      <c r="D23377" t="s">
        <v>417</v>
      </c>
      <c r="E23377" t="s">
        <v>418</v>
      </c>
      <c r="F23377">
        <v>14.4</v>
      </c>
      <c r="G23377">
        <v>230831</v>
      </c>
      <c r="H23377">
        <v>4600</v>
      </c>
      <c r="I23377" t="s">
        <v>105</v>
      </c>
      <c r="J23377">
        <v>17.850000000000001</v>
      </c>
      <c r="K23377">
        <v>3.45</v>
      </c>
      <c r="L23377">
        <v>67522</v>
      </c>
      <c r="M23377" t="s">
        <v>397</v>
      </c>
      <c r="N23377" t="str">
        <f>"5461194     "</f>
        <v xml:space="preserve">5461194     </v>
      </c>
      <c r="O23377">
        <v>230918</v>
      </c>
    </row>
    <row r="23378" spans="1:15" x14ac:dyDescent="0.25">
      <c r="A23378" t="s">
        <v>16</v>
      </c>
      <c r="B23378" t="s">
        <v>3221</v>
      </c>
      <c r="C23378">
        <v>12234</v>
      </c>
      <c r="D23378" t="s">
        <v>417</v>
      </c>
      <c r="E23378" t="s">
        <v>418</v>
      </c>
      <c r="F23378">
        <v>25.64</v>
      </c>
      <c r="G23378">
        <v>230831</v>
      </c>
      <c r="H23378">
        <v>4600</v>
      </c>
      <c r="I23378" t="s">
        <v>105</v>
      </c>
      <c r="J23378">
        <v>31.79</v>
      </c>
      <c r="K23378">
        <v>6.15</v>
      </c>
      <c r="L23378">
        <v>69111</v>
      </c>
      <c r="M23378" t="s">
        <v>471</v>
      </c>
      <c r="N23378" t="str">
        <f>"5461194     "</f>
        <v xml:space="preserve">5461194     </v>
      </c>
      <c r="O23378">
        <v>230918</v>
      </c>
    </row>
    <row r="23379" spans="1:15" x14ac:dyDescent="0.25">
      <c r="A23379" t="s">
        <v>16</v>
      </c>
      <c r="B23379" t="s">
        <v>3221</v>
      </c>
      <c r="C23379">
        <v>12234</v>
      </c>
      <c r="D23379" t="s">
        <v>417</v>
      </c>
      <c r="E23379" t="s">
        <v>418</v>
      </c>
      <c r="F23379">
        <v>5.07</v>
      </c>
      <c r="G23379">
        <v>230831</v>
      </c>
      <c r="H23379">
        <v>4600</v>
      </c>
      <c r="I23379" t="s">
        <v>105</v>
      </c>
      <c r="J23379">
        <v>6.29</v>
      </c>
      <c r="K23379">
        <v>1.22</v>
      </c>
      <c r="L23379">
        <v>69113</v>
      </c>
      <c r="M23379" t="s">
        <v>282</v>
      </c>
      <c r="N23379" t="str">
        <f>"5461194     "</f>
        <v xml:space="preserve">5461194     </v>
      </c>
      <c r="O23379">
        <v>230918</v>
      </c>
    </row>
    <row r="23380" spans="1:15" x14ac:dyDescent="0.25">
      <c r="A23380" t="s">
        <v>16</v>
      </c>
      <c r="B23380" t="s">
        <v>3221</v>
      </c>
      <c r="C23380">
        <v>12435</v>
      </c>
      <c r="D23380" t="s">
        <v>417</v>
      </c>
      <c r="E23380" t="s">
        <v>418</v>
      </c>
      <c r="F23380">
        <v>63.9</v>
      </c>
      <c r="G23380">
        <v>230915</v>
      </c>
      <c r="H23380">
        <v>4600</v>
      </c>
      <c r="I23380" t="s">
        <v>105</v>
      </c>
      <c r="J23380">
        <v>79.239999999999995</v>
      </c>
      <c r="K23380">
        <v>15.34</v>
      </c>
      <c r="L23380">
        <v>17952</v>
      </c>
      <c r="M23380" t="s">
        <v>88</v>
      </c>
      <c r="N23380" t="str">
        <f>"5466484     "</f>
        <v xml:space="preserve">5466484     </v>
      </c>
      <c r="O23380">
        <v>230919</v>
      </c>
    </row>
    <row r="23381" spans="1:15" x14ac:dyDescent="0.25">
      <c r="A23381" t="s">
        <v>16</v>
      </c>
      <c r="B23381" t="s">
        <v>3221</v>
      </c>
      <c r="C23381">
        <v>12566</v>
      </c>
      <c r="D23381" t="s">
        <v>417</v>
      </c>
      <c r="E23381" t="s">
        <v>418</v>
      </c>
      <c r="F23381">
        <v>62.15</v>
      </c>
      <c r="G23381">
        <v>230915</v>
      </c>
      <c r="H23381">
        <v>4600</v>
      </c>
      <c r="I23381" t="s">
        <v>105</v>
      </c>
      <c r="J23381">
        <v>77.069999999999993</v>
      </c>
      <c r="K23381">
        <v>14.92</v>
      </c>
      <c r="L23381">
        <v>17538</v>
      </c>
      <c r="M23381" t="s">
        <v>24</v>
      </c>
      <c r="N23381" t="str">
        <f>"5467205     "</f>
        <v xml:space="preserve">5467205     </v>
      </c>
      <c r="O23381">
        <v>230921</v>
      </c>
    </row>
    <row r="23382" spans="1:15" x14ac:dyDescent="0.25">
      <c r="A23382" t="s">
        <v>16</v>
      </c>
      <c r="B23382" t="s">
        <v>3221</v>
      </c>
      <c r="C23382">
        <v>12566</v>
      </c>
      <c r="D23382" t="s">
        <v>417</v>
      </c>
      <c r="E23382" t="s">
        <v>418</v>
      </c>
      <c r="F23382">
        <v>18.75</v>
      </c>
      <c r="G23382">
        <v>230915</v>
      </c>
      <c r="H23382">
        <v>4600</v>
      </c>
      <c r="I23382" t="s">
        <v>105</v>
      </c>
      <c r="J23382">
        <v>21.38</v>
      </c>
      <c r="K23382">
        <v>2.63</v>
      </c>
      <c r="L23382">
        <v>17971</v>
      </c>
      <c r="M23382" t="s">
        <v>138</v>
      </c>
      <c r="N23382" t="str">
        <f>"5467205     "</f>
        <v xml:space="preserve">5467205     </v>
      </c>
      <c r="O23382">
        <v>230921</v>
      </c>
    </row>
    <row r="23383" spans="1:15" x14ac:dyDescent="0.25">
      <c r="A23383" t="s">
        <v>16</v>
      </c>
      <c r="B23383" t="s">
        <v>3221</v>
      </c>
      <c r="C23383">
        <v>12566</v>
      </c>
      <c r="D23383" t="s">
        <v>417</v>
      </c>
      <c r="E23383" t="s">
        <v>418</v>
      </c>
      <c r="F23383">
        <v>40.61</v>
      </c>
      <c r="G23383">
        <v>230915</v>
      </c>
      <c r="H23383">
        <v>4600</v>
      </c>
      <c r="I23383" t="s">
        <v>105</v>
      </c>
      <c r="J23383">
        <v>50.36</v>
      </c>
      <c r="K23383">
        <v>9.75</v>
      </c>
      <c r="L23383">
        <v>17971</v>
      </c>
      <c r="M23383" t="s">
        <v>138</v>
      </c>
      <c r="N23383" t="str">
        <f>"5467205     "</f>
        <v xml:space="preserve">5467205     </v>
      </c>
      <c r="O23383">
        <v>230921</v>
      </c>
    </row>
    <row r="23384" spans="1:15" x14ac:dyDescent="0.25">
      <c r="A23384" t="s">
        <v>16</v>
      </c>
      <c r="B23384" t="s">
        <v>3221</v>
      </c>
      <c r="C23384">
        <v>12566</v>
      </c>
      <c r="D23384" t="s">
        <v>417</v>
      </c>
      <c r="E23384" t="s">
        <v>418</v>
      </c>
      <c r="F23384">
        <v>34.270000000000003</v>
      </c>
      <c r="G23384">
        <v>230915</v>
      </c>
      <c r="H23384">
        <v>4600</v>
      </c>
      <c r="I23384" t="s">
        <v>105</v>
      </c>
      <c r="J23384">
        <v>42.49</v>
      </c>
      <c r="K23384">
        <v>8.2200000000000006</v>
      </c>
      <c r="L23384">
        <v>17974</v>
      </c>
      <c r="M23384" t="s">
        <v>460</v>
      </c>
      <c r="N23384" t="str">
        <f>"5467205     "</f>
        <v xml:space="preserve">5467205     </v>
      </c>
      <c r="O23384">
        <v>230921</v>
      </c>
    </row>
    <row r="23385" spans="1:15" x14ac:dyDescent="0.25">
      <c r="A23385" t="s">
        <v>16</v>
      </c>
      <c r="B23385" t="s">
        <v>3221</v>
      </c>
      <c r="C23385">
        <v>13424</v>
      </c>
      <c r="D23385" t="s">
        <v>417</v>
      </c>
      <c r="E23385" t="s">
        <v>418</v>
      </c>
      <c r="F23385">
        <v>72.48</v>
      </c>
      <c r="G23385">
        <v>230930</v>
      </c>
      <c r="H23385">
        <v>4600</v>
      </c>
      <c r="I23385" t="s">
        <v>105</v>
      </c>
      <c r="J23385">
        <v>89.88</v>
      </c>
      <c r="K23385">
        <v>17.399999999999999</v>
      </c>
      <c r="L23385">
        <v>17952</v>
      </c>
      <c r="M23385" t="s">
        <v>88</v>
      </c>
      <c r="N23385" t="str">
        <f>"5470645     "</f>
        <v xml:space="preserve">5470645     </v>
      </c>
      <c r="O23385">
        <v>231010</v>
      </c>
    </row>
    <row r="23386" spans="1:15" x14ac:dyDescent="0.25">
      <c r="A23386" t="s">
        <v>16</v>
      </c>
      <c r="B23386" t="s">
        <v>3221</v>
      </c>
      <c r="C23386">
        <v>13690</v>
      </c>
      <c r="D23386" t="s">
        <v>417</v>
      </c>
      <c r="E23386" t="s">
        <v>418</v>
      </c>
      <c r="F23386">
        <v>53.68</v>
      </c>
      <c r="G23386">
        <v>230930</v>
      </c>
      <c r="H23386">
        <v>4600</v>
      </c>
      <c r="I23386" t="s">
        <v>105</v>
      </c>
      <c r="J23386">
        <v>66.56</v>
      </c>
      <c r="K23386">
        <v>12.88</v>
      </c>
      <c r="L23386">
        <v>56524</v>
      </c>
      <c r="M23386" t="s">
        <v>150</v>
      </c>
      <c r="N23386" t="str">
        <f>"5469342     "</f>
        <v xml:space="preserve">5469342     </v>
      </c>
      <c r="O23386">
        <v>231012</v>
      </c>
    </row>
    <row r="23387" spans="1:15" x14ac:dyDescent="0.25">
      <c r="A23387" t="s">
        <v>16</v>
      </c>
      <c r="B23387" t="s">
        <v>3221</v>
      </c>
      <c r="C23387">
        <v>13690</v>
      </c>
      <c r="D23387" t="s">
        <v>417</v>
      </c>
      <c r="E23387" t="s">
        <v>418</v>
      </c>
      <c r="F23387">
        <v>11.47</v>
      </c>
      <c r="G23387">
        <v>230930</v>
      </c>
      <c r="H23387">
        <v>4600</v>
      </c>
      <c r="I23387" t="s">
        <v>105</v>
      </c>
      <c r="J23387">
        <v>14.22</v>
      </c>
      <c r="K23387">
        <v>2.75</v>
      </c>
      <c r="L23387">
        <v>59111</v>
      </c>
      <c r="M23387" t="s">
        <v>1010</v>
      </c>
      <c r="N23387" t="str">
        <f>"5469342     "</f>
        <v xml:space="preserve">5469342     </v>
      </c>
      <c r="O23387">
        <v>231012</v>
      </c>
    </row>
    <row r="23388" spans="1:15" x14ac:dyDescent="0.25">
      <c r="A23388" t="s">
        <v>16</v>
      </c>
      <c r="B23388" t="s">
        <v>3221</v>
      </c>
      <c r="C23388">
        <v>13690</v>
      </c>
      <c r="D23388" t="s">
        <v>417</v>
      </c>
      <c r="E23388" t="s">
        <v>418</v>
      </c>
      <c r="F23388">
        <v>9.9</v>
      </c>
      <c r="G23388">
        <v>230930</v>
      </c>
      <c r="H23388">
        <v>4600</v>
      </c>
      <c r="I23388" t="s">
        <v>105</v>
      </c>
      <c r="J23388">
        <v>12.28</v>
      </c>
      <c r="K23388">
        <v>2.38</v>
      </c>
      <c r="L23388">
        <v>59112</v>
      </c>
      <c r="M23388" t="s">
        <v>182</v>
      </c>
      <c r="N23388" t="str">
        <f>"5469342     "</f>
        <v xml:space="preserve">5469342     </v>
      </c>
      <c r="O23388">
        <v>231012</v>
      </c>
    </row>
    <row r="23389" spans="1:15" x14ac:dyDescent="0.25">
      <c r="A23389" t="s">
        <v>16</v>
      </c>
      <c r="B23389" t="s">
        <v>3221</v>
      </c>
      <c r="C23389">
        <v>14008</v>
      </c>
      <c r="D23389" t="s">
        <v>417</v>
      </c>
      <c r="E23389" t="s">
        <v>418</v>
      </c>
      <c r="F23389">
        <v>24.74</v>
      </c>
      <c r="G23389">
        <v>230930</v>
      </c>
      <c r="H23389">
        <v>4600</v>
      </c>
      <c r="I23389" t="s">
        <v>105</v>
      </c>
      <c r="J23389">
        <v>30.68</v>
      </c>
      <c r="K23389">
        <v>5.94</v>
      </c>
      <c r="L23389">
        <v>46554</v>
      </c>
      <c r="M23389" t="s">
        <v>117</v>
      </c>
      <c r="N23389" t="str">
        <f>"5468843     "</f>
        <v xml:space="preserve">5468843     </v>
      </c>
      <c r="O23389">
        <v>231017</v>
      </c>
    </row>
    <row r="23390" spans="1:15" x14ac:dyDescent="0.25">
      <c r="A23390" t="s">
        <v>16</v>
      </c>
      <c r="B23390" t="s">
        <v>3221</v>
      </c>
      <c r="C23390">
        <v>14008</v>
      </c>
      <c r="D23390" t="s">
        <v>417</v>
      </c>
      <c r="E23390" t="s">
        <v>418</v>
      </c>
      <c r="F23390">
        <v>10.72</v>
      </c>
      <c r="G23390">
        <v>230930</v>
      </c>
      <c r="H23390">
        <v>4600</v>
      </c>
      <c r="I23390" t="s">
        <v>105</v>
      </c>
      <c r="J23390">
        <v>13.29</v>
      </c>
      <c r="K23390">
        <v>2.57</v>
      </c>
      <c r="L23390">
        <v>47522</v>
      </c>
      <c r="M23390" t="s">
        <v>410</v>
      </c>
      <c r="N23390" t="str">
        <f>"5468843     "</f>
        <v xml:space="preserve">5468843     </v>
      </c>
      <c r="O23390">
        <v>231017</v>
      </c>
    </row>
    <row r="23391" spans="1:15" x14ac:dyDescent="0.25">
      <c r="A23391" t="s">
        <v>16</v>
      </c>
      <c r="B23391" t="s">
        <v>3221</v>
      </c>
      <c r="C23391">
        <v>14008</v>
      </c>
      <c r="D23391" t="s">
        <v>417</v>
      </c>
      <c r="E23391" t="s">
        <v>418</v>
      </c>
      <c r="F23391">
        <v>222.95</v>
      </c>
      <c r="G23391">
        <v>230930</v>
      </c>
      <c r="H23391">
        <v>4600</v>
      </c>
      <c r="I23391" t="s">
        <v>105</v>
      </c>
      <c r="J23391">
        <v>276.45999999999998</v>
      </c>
      <c r="K23391">
        <v>53.51</v>
      </c>
      <c r="L23391">
        <v>49501</v>
      </c>
      <c r="M23391" t="s">
        <v>177</v>
      </c>
      <c r="N23391" t="str">
        <f>"5468843     "</f>
        <v xml:space="preserve">5468843     </v>
      </c>
      <c r="O23391">
        <v>231017</v>
      </c>
    </row>
    <row r="23392" spans="1:15" x14ac:dyDescent="0.25">
      <c r="A23392" t="s">
        <v>16</v>
      </c>
      <c r="B23392" t="s">
        <v>3221</v>
      </c>
      <c r="C23392">
        <v>14134</v>
      </c>
      <c r="D23392" t="s">
        <v>417</v>
      </c>
      <c r="E23392" t="s">
        <v>418</v>
      </c>
      <c r="F23392">
        <v>23.24</v>
      </c>
      <c r="G23392">
        <v>231015</v>
      </c>
      <c r="H23392">
        <v>4600</v>
      </c>
      <c r="I23392" t="s">
        <v>105</v>
      </c>
      <c r="J23392">
        <v>28.82</v>
      </c>
      <c r="K23392">
        <v>5.58</v>
      </c>
      <c r="L23392">
        <v>17971</v>
      </c>
      <c r="M23392" t="s">
        <v>138</v>
      </c>
      <c r="N23392" t="str">
        <f>"5473426     "</f>
        <v xml:space="preserve">5473426     </v>
      </c>
      <c r="O23392">
        <v>231019</v>
      </c>
    </row>
    <row r="23393" spans="1:15" x14ac:dyDescent="0.25">
      <c r="A23393" t="s">
        <v>16</v>
      </c>
      <c r="B23393" t="s">
        <v>3221</v>
      </c>
      <c r="C23393">
        <v>14882</v>
      </c>
      <c r="D23393" t="s">
        <v>417</v>
      </c>
      <c r="E23393" t="s">
        <v>418</v>
      </c>
      <c r="F23393">
        <v>58.15</v>
      </c>
      <c r="G23393">
        <v>231031</v>
      </c>
      <c r="H23393">
        <v>4600</v>
      </c>
      <c r="I23393" t="s">
        <v>105</v>
      </c>
      <c r="J23393">
        <v>72.099999999999994</v>
      </c>
      <c r="K23393">
        <v>13.95</v>
      </c>
      <c r="L23393">
        <v>17912</v>
      </c>
      <c r="M23393" t="s">
        <v>419</v>
      </c>
      <c r="N23393" t="str">
        <f>"5478195     "</f>
        <v xml:space="preserve">5478195     </v>
      </c>
      <c r="O23393">
        <v>231107</v>
      </c>
    </row>
    <row r="23394" spans="1:15" x14ac:dyDescent="0.25">
      <c r="A23394" t="s">
        <v>16</v>
      </c>
      <c r="B23394" t="s">
        <v>3221</v>
      </c>
      <c r="C23394">
        <v>14882</v>
      </c>
      <c r="D23394" t="s">
        <v>417</v>
      </c>
      <c r="E23394" t="s">
        <v>418</v>
      </c>
      <c r="F23394">
        <v>8.69</v>
      </c>
      <c r="G23394">
        <v>231031</v>
      </c>
      <c r="H23394">
        <v>4600</v>
      </c>
      <c r="I23394" t="s">
        <v>105</v>
      </c>
      <c r="J23394">
        <v>10.78</v>
      </c>
      <c r="K23394">
        <v>2.09</v>
      </c>
      <c r="L23394">
        <v>17952</v>
      </c>
      <c r="M23394" t="s">
        <v>88</v>
      </c>
      <c r="N23394" t="str">
        <f>"5478195     "</f>
        <v xml:space="preserve">5478195     </v>
      </c>
      <c r="O23394">
        <v>231107</v>
      </c>
    </row>
    <row r="23395" spans="1:15" x14ac:dyDescent="0.25">
      <c r="A23395" t="s">
        <v>16</v>
      </c>
      <c r="B23395" t="s">
        <v>3221</v>
      </c>
      <c r="C23395">
        <v>14922</v>
      </c>
      <c r="D23395" t="s">
        <v>417</v>
      </c>
      <c r="E23395" t="s">
        <v>418</v>
      </c>
      <c r="F23395">
        <v>64.47</v>
      </c>
      <c r="G23395">
        <v>231031</v>
      </c>
      <c r="H23395">
        <v>4600</v>
      </c>
      <c r="I23395" t="s">
        <v>105</v>
      </c>
      <c r="J23395">
        <v>79.94</v>
      </c>
      <c r="K23395">
        <v>15.47</v>
      </c>
      <c r="L23395">
        <v>44252</v>
      </c>
      <c r="M23395" t="s">
        <v>157</v>
      </c>
      <c r="N23395" t="str">
        <f>"5476327     "</f>
        <v xml:space="preserve">5476327     </v>
      </c>
      <c r="O23395">
        <v>231107</v>
      </c>
    </row>
    <row r="23396" spans="1:15" x14ac:dyDescent="0.25">
      <c r="A23396" t="s">
        <v>16</v>
      </c>
      <c r="B23396" t="s">
        <v>3221</v>
      </c>
      <c r="C23396">
        <v>14922</v>
      </c>
      <c r="D23396" t="s">
        <v>417</v>
      </c>
      <c r="E23396" t="s">
        <v>418</v>
      </c>
      <c r="F23396">
        <v>79.56</v>
      </c>
      <c r="G23396">
        <v>231031</v>
      </c>
      <c r="H23396">
        <v>4600</v>
      </c>
      <c r="I23396" t="s">
        <v>105</v>
      </c>
      <c r="J23396">
        <v>98.65</v>
      </c>
      <c r="K23396">
        <v>19.09</v>
      </c>
      <c r="L23396">
        <v>44453</v>
      </c>
      <c r="M23396" t="s">
        <v>492</v>
      </c>
      <c r="N23396" t="str">
        <f>"5476327     "</f>
        <v xml:space="preserve">5476327     </v>
      </c>
      <c r="O23396">
        <v>231107</v>
      </c>
    </row>
    <row r="23397" spans="1:15" x14ac:dyDescent="0.25">
      <c r="A23397" t="s">
        <v>16</v>
      </c>
      <c r="B23397" t="s">
        <v>3221</v>
      </c>
      <c r="C23397">
        <v>14922</v>
      </c>
      <c r="D23397" t="s">
        <v>417</v>
      </c>
      <c r="E23397" t="s">
        <v>418</v>
      </c>
      <c r="F23397">
        <v>0.23</v>
      </c>
      <c r="G23397">
        <v>231031</v>
      </c>
      <c r="H23397">
        <v>4600</v>
      </c>
      <c r="I23397" t="s">
        <v>105</v>
      </c>
      <c r="J23397">
        <v>0.28999999999999998</v>
      </c>
      <c r="K23397">
        <v>0.06</v>
      </c>
      <c r="L23397">
        <v>47522</v>
      </c>
      <c r="M23397" t="s">
        <v>410</v>
      </c>
      <c r="N23397" t="str">
        <f>"5476327     "</f>
        <v xml:space="preserve">5476327     </v>
      </c>
      <c r="O23397">
        <v>231107</v>
      </c>
    </row>
    <row r="23398" spans="1:15" x14ac:dyDescent="0.25">
      <c r="A23398" t="s">
        <v>16</v>
      </c>
      <c r="B23398" t="s">
        <v>3221</v>
      </c>
      <c r="C23398">
        <v>14922</v>
      </c>
      <c r="D23398" t="s">
        <v>417</v>
      </c>
      <c r="E23398" t="s">
        <v>418</v>
      </c>
      <c r="F23398">
        <v>20.65</v>
      </c>
      <c r="G23398">
        <v>231031</v>
      </c>
      <c r="H23398">
        <v>4600</v>
      </c>
      <c r="I23398" t="s">
        <v>105</v>
      </c>
      <c r="J23398">
        <v>25.6</v>
      </c>
      <c r="K23398">
        <v>4.95</v>
      </c>
      <c r="L23398">
        <v>49503</v>
      </c>
      <c r="M23398" t="s">
        <v>178</v>
      </c>
      <c r="N23398" t="str">
        <f>"5476327     "</f>
        <v xml:space="preserve">5476327     </v>
      </c>
      <c r="O23398">
        <v>231107</v>
      </c>
    </row>
    <row r="23399" spans="1:15" x14ac:dyDescent="0.25">
      <c r="A23399" t="s">
        <v>16</v>
      </c>
      <c r="B23399" t="s">
        <v>3221</v>
      </c>
      <c r="C23399">
        <v>15064</v>
      </c>
      <c r="D23399" t="s">
        <v>417</v>
      </c>
      <c r="E23399" t="s">
        <v>418</v>
      </c>
      <c r="F23399">
        <v>56.94</v>
      </c>
      <c r="G23399">
        <v>231031</v>
      </c>
      <c r="H23399">
        <v>4600</v>
      </c>
      <c r="I23399" t="s">
        <v>105</v>
      </c>
      <c r="J23399">
        <v>70.599999999999994</v>
      </c>
      <c r="K23399">
        <v>13.66</v>
      </c>
      <c r="L23399">
        <v>17537</v>
      </c>
      <c r="M23399" t="s">
        <v>455</v>
      </c>
      <c r="N23399" t="str">
        <f>"5478978     "</f>
        <v xml:space="preserve">5478978     </v>
      </c>
      <c r="O23399">
        <v>231108</v>
      </c>
    </row>
    <row r="23400" spans="1:15" x14ac:dyDescent="0.25">
      <c r="A23400" t="s">
        <v>16</v>
      </c>
      <c r="B23400" t="s">
        <v>3221</v>
      </c>
      <c r="C23400">
        <v>15064</v>
      </c>
      <c r="D23400" t="s">
        <v>417</v>
      </c>
      <c r="E23400" t="s">
        <v>418</v>
      </c>
      <c r="F23400">
        <v>115.4</v>
      </c>
      <c r="G23400">
        <v>231031</v>
      </c>
      <c r="H23400">
        <v>4600</v>
      </c>
      <c r="I23400" t="s">
        <v>105</v>
      </c>
      <c r="J23400">
        <v>143.09</v>
      </c>
      <c r="K23400">
        <v>27.69</v>
      </c>
      <c r="L23400">
        <v>17971</v>
      </c>
      <c r="M23400" t="s">
        <v>138</v>
      </c>
      <c r="N23400" t="str">
        <f>"5478978     "</f>
        <v xml:space="preserve">5478978     </v>
      </c>
      <c r="O23400">
        <v>231108</v>
      </c>
    </row>
    <row r="23401" spans="1:15" x14ac:dyDescent="0.25">
      <c r="A23401" t="s">
        <v>16</v>
      </c>
      <c r="B23401" t="s">
        <v>3221</v>
      </c>
      <c r="C23401">
        <v>15161</v>
      </c>
      <c r="D23401" t="s">
        <v>417</v>
      </c>
      <c r="E23401" t="s">
        <v>418</v>
      </c>
      <c r="F23401">
        <v>15.54</v>
      </c>
      <c r="G23401">
        <v>231031</v>
      </c>
      <c r="H23401">
        <v>4600</v>
      </c>
      <c r="I23401" t="s">
        <v>105</v>
      </c>
      <c r="J23401">
        <v>19.27</v>
      </c>
      <c r="K23401">
        <v>3.73</v>
      </c>
      <c r="L23401">
        <v>17951</v>
      </c>
      <c r="M23401" t="s">
        <v>87</v>
      </c>
      <c r="N23401" t="str">
        <f>"5477551     "</f>
        <v xml:space="preserve">5477551     </v>
      </c>
      <c r="O23401">
        <v>231109</v>
      </c>
    </row>
    <row r="23402" spans="1:15" x14ac:dyDescent="0.25">
      <c r="A23402" t="s">
        <v>16</v>
      </c>
      <c r="B23402" t="s">
        <v>3221</v>
      </c>
      <c r="C23402">
        <v>15568</v>
      </c>
      <c r="D23402" t="s">
        <v>417</v>
      </c>
      <c r="E23402" t="s">
        <v>418</v>
      </c>
      <c r="F23402">
        <v>39.369999999999997</v>
      </c>
      <c r="G23402">
        <v>231031</v>
      </c>
      <c r="H23402">
        <v>4600</v>
      </c>
      <c r="I23402" t="s">
        <v>105</v>
      </c>
      <c r="J23402">
        <v>48.82</v>
      </c>
      <c r="K23402">
        <v>9.4499999999999993</v>
      </c>
      <c r="L23402">
        <v>54251</v>
      </c>
      <c r="M23402" t="s">
        <v>309</v>
      </c>
      <c r="N23402" t="str">
        <f>"5476813     "</f>
        <v xml:space="preserve">5476813     </v>
      </c>
      <c r="O23402">
        <v>231114</v>
      </c>
    </row>
    <row r="23403" spans="1:15" x14ac:dyDescent="0.25">
      <c r="A23403" t="s">
        <v>16</v>
      </c>
      <c r="B23403" t="s">
        <v>3221</v>
      </c>
      <c r="C23403">
        <v>15568</v>
      </c>
      <c r="D23403" t="s">
        <v>417</v>
      </c>
      <c r="E23403" t="s">
        <v>418</v>
      </c>
      <c r="F23403">
        <v>117.17</v>
      </c>
      <c r="G23403">
        <v>231031</v>
      </c>
      <c r="H23403">
        <v>4600</v>
      </c>
      <c r="I23403" t="s">
        <v>105</v>
      </c>
      <c r="J23403">
        <v>145.29</v>
      </c>
      <c r="K23403">
        <v>28.12</v>
      </c>
      <c r="L23403">
        <v>54251</v>
      </c>
      <c r="M23403" t="s">
        <v>309</v>
      </c>
      <c r="N23403" t="str">
        <f>"5476813     "</f>
        <v xml:space="preserve">5476813     </v>
      </c>
      <c r="O23403">
        <v>231114</v>
      </c>
    </row>
    <row r="23404" spans="1:15" x14ac:dyDescent="0.25">
      <c r="A23404" t="s">
        <v>16</v>
      </c>
      <c r="B23404" t="s">
        <v>3221</v>
      </c>
      <c r="C23404">
        <v>15568</v>
      </c>
      <c r="D23404" t="s">
        <v>417</v>
      </c>
      <c r="E23404" t="s">
        <v>418</v>
      </c>
      <c r="F23404">
        <v>21.41</v>
      </c>
      <c r="G23404">
        <v>231031</v>
      </c>
      <c r="H23404">
        <v>4600</v>
      </c>
      <c r="I23404" t="s">
        <v>105</v>
      </c>
      <c r="J23404">
        <v>26.55</v>
      </c>
      <c r="K23404">
        <v>5.14</v>
      </c>
      <c r="L23404">
        <v>54252</v>
      </c>
      <c r="M23404" t="s">
        <v>534</v>
      </c>
      <c r="N23404" t="str">
        <f>"5476813     "</f>
        <v xml:space="preserve">5476813     </v>
      </c>
      <c r="O23404">
        <v>231114</v>
      </c>
    </row>
    <row r="23405" spans="1:15" x14ac:dyDescent="0.25">
      <c r="A23405" t="s">
        <v>16</v>
      </c>
      <c r="B23405" t="s">
        <v>3221</v>
      </c>
      <c r="C23405">
        <v>15568</v>
      </c>
      <c r="D23405" t="s">
        <v>417</v>
      </c>
      <c r="E23405" t="s">
        <v>418</v>
      </c>
      <c r="F23405">
        <v>41.62</v>
      </c>
      <c r="G23405">
        <v>231031</v>
      </c>
      <c r="H23405">
        <v>4600</v>
      </c>
      <c r="I23405" t="s">
        <v>105</v>
      </c>
      <c r="J23405">
        <v>51.61</v>
      </c>
      <c r="K23405">
        <v>9.99</v>
      </c>
      <c r="L23405">
        <v>59501</v>
      </c>
      <c r="M23405" t="s">
        <v>69</v>
      </c>
      <c r="N23405" t="str">
        <f>"5476813     "</f>
        <v xml:space="preserve">5476813     </v>
      </c>
      <c r="O23405">
        <v>231114</v>
      </c>
    </row>
    <row r="23406" spans="1:15" x14ac:dyDescent="0.25">
      <c r="A23406" t="s">
        <v>16</v>
      </c>
      <c r="B23406" t="s">
        <v>3221</v>
      </c>
      <c r="C23406">
        <v>15762</v>
      </c>
      <c r="D23406" t="s">
        <v>417</v>
      </c>
      <c r="E23406" t="s">
        <v>418</v>
      </c>
      <c r="F23406">
        <v>49.64</v>
      </c>
      <c r="G23406">
        <v>231115</v>
      </c>
      <c r="H23406">
        <v>4600</v>
      </c>
      <c r="I23406" t="s">
        <v>105</v>
      </c>
      <c r="J23406">
        <v>61.55</v>
      </c>
      <c r="K23406">
        <v>11.91</v>
      </c>
      <c r="L23406">
        <v>17808</v>
      </c>
      <c r="M23406" t="s">
        <v>322</v>
      </c>
      <c r="N23406" t="str">
        <f>"5481405     "</f>
        <v xml:space="preserve">5481405     </v>
      </c>
      <c r="O23406">
        <v>231116</v>
      </c>
    </row>
    <row r="23407" spans="1:15" x14ac:dyDescent="0.25">
      <c r="A23407" t="s">
        <v>16</v>
      </c>
      <c r="B23407" t="s">
        <v>3221</v>
      </c>
      <c r="C23407">
        <v>15979</v>
      </c>
      <c r="D23407" t="s">
        <v>417</v>
      </c>
      <c r="E23407" t="s">
        <v>418</v>
      </c>
      <c r="F23407">
        <v>145.63</v>
      </c>
      <c r="G23407">
        <v>231115</v>
      </c>
      <c r="H23407">
        <v>4600</v>
      </c>
      <c r="I23407" t="s">
        <v>105</v>
      </c>
      <c r="J23407">
        <v>180.58</v>
      </c>
      <c r="K23407">
        <v>34.950000000000003</v>
      </c>
      <c r="L23407">
        <v>17711</v>
      </c>
      <c r="M23407" t="s">
        <v>65</v>
      </c>
      <c r="N23407" t="str">
        <f>"5482057     "</f>
        <v xml:space="preserve">5482057     </v>
      </c>
      <c r="O23407">
        <v>231122</v>
      </c>
    </row>
    <row r="23408" spans="1:15" x14ac:dyDescent="0.25">
      <c r="A23408" t="s">
        <v>16</v>
      </c>
      <c r="B23408" t="s">
        <v>3221</v>
      </c>
      <c r="C23408">
        <v>15979</v>
      </c>
      <c r="D23408" t="s">
        <v>417</v>
      </c>
      <c r="E23408" t="s">
        <v>418</v>
      </c>
      <c r="F23408">
        <v>29.3</v>
      </c>
      <c r="G23408">
        <v>231115</v>
      </c>
      <c r="H23408">
        <v>4600</v>
      </c>
      <c r="I23408" t="s">
        <v>105</v>
      </c>
      <c r="J23408">
        <v>36.33</v>
      </c>
      <c r="K23408">
        <v>7.03</v>
      </c>
      <c r="L23408">
        <v>17912</v>
      </c>
      <c r="M23408" t="s">
        <v>419</v>
      </c>
      <c r="N23408" t="str">
        <f>"5482057     "</f>
        <v xml:space="preserve">5482057     </v>
      </c>
      <c r="O23408">
        <v>231122</v>
      </c>
    </row>
    <row r="23409" spans="1:15" x14ac:dyDescent="0.25">
      <c r="A23409" t="s">
        <v>16</v>
      </c>
      <c r="B23409" t="s">
        <v>3221</v>
      </c>
      <c r="C23409">
        <v>15979</v>
      </c>
      <c r="D23409" t="s">
        <v>417</v>
      </c>
      <c r="E23409" t="s">
        <v>418</v>
      </c>
      <c r="F23409">
        <v>6.89</v>
      </c>
      <c r="G23409">
        <v>231115</v>
      </c>
      <c r="H23409">
        <v>4600</v>
      </c>
      <c r="I23409" t="s">
        <v>105</v>
      </c>
      <c r="J23409">
        <v>8.5399999999999991</v>
      </c>
      <c r="K23409">
        <v>1.65</v>
      </c>
      <c r="L23409">
        <v>17951</v>
      </c>
      <c r="M23409" t="s">
        <v>87</v>
      </c>
      <c r="N23409" t="str">
        <f>"5482057     "</f>
        <v xml:space="preserve">5482057     </v>
      </c>
      <c r="O23409">
        <v>231122</v>
      </c>
    </row>
    <row r="23410" spans="1:15" x14ac:dyDescent="0.25">
      <c r="A23410" t="s">
        <v>16</v>
      </c>
      <c r="B23410" t="s">
        <v>3221</v>
      </c>
      <c r="C23410">
        <v>15979</v>
      </c>
      <c r="D23410" t="s">
        <v>417</v>
      </c>
      <c r="E23410" t="s">
        <v>418</v>
      </c>
      <c r="F23410">
        <v>4.6900000000000004</v>
      </c>
      <c r="G23410">
        <v>231115</v>
      </c>
      <c r="H23410">
        <v>4600</v>
      </c>
      <c r="I23410" t="s">
        <v>105</v>
      </c>
      <c r="J23410">
        <v>5.81</v>
      </c>
      <c r="K23410">
        <v>1.1200000000000001</v>
      </c>
      <c r="L23410">
        <v>17971</v>
      </c>
      <c r="M23410" t="s">
        <v>138</v>
      </c>
      <c r="N23410" t="str">
        <f>"5482057     "</f>
        <v xml:space="preserve">5482057     </v>
      </c>
      <c r="O23410">
        <v>231122</v>
      </c>
    </row>
    <row r="23411" spans="1:15" x14ac:dyDescent="0.25">
      <c r="A23411" t="s">
        <v>16</v>
      </c>
      <c r="B23411" t="s">
        <v>3221</v>
      </c>
      <c r="C23411">
        <v>16639</v>
      </c>
      <c r="D23411" t="s">
        <v>417</v>
      </c>
      <c r="E23411" t="s">
        <v>418</v>
      </c>
      <c r="F23411">
        <v>109.08</v>
      </c>
      <c r="G23411">
        <v>231130</v>
      </c>
      <c r="H23411">
        <v>4600</v>
      </c>
      <c r="I23411" t="s">
        <v>105</v>
      </c>
      <c r="J23411">
        <v>135.26</v>
      </c>
      <c r="K23411">
        <v>26.18</v>
      </c>
      <c r="L23411">
        <v>17952</v>
      </c>
      <c r="M23411" t="s">
        <v>88</v>
      </c>
      <c r="N23411" t="str">
        <f>"5487073     "</f>
        <v xml:space="preserve">5487073     </v>
      </c>
      <c r="O23411">
        <v>231205</v>
      </c>
    </row>
    <row r="23412" spans="1:15" x14ac:dyDescent="0.25">
      <c r="A23412" t="s">
        <v>16</v>
      </c>
      <c r="B23412" t="s">
        <v>3221</v>
      </c>
      <c r="C23412">
        <v>16815</v>
      </c>
      <c r="D23412" t="s">
        <v>417</v>
      </c>
      <c r="E23412" t="s">
        <v>418</v>
      </c>
      <c r="F23412">
        <v>66.52</v>
      </c>
      <c r="G23412">
        <v>231130</v>
      </c>
      <c r="H23412">
        <v>4600</v>
      </c>
      <c r="I23412" t="s">
        <v>105</v>
      </c>
      <c r="J23412">
        <v>82.48</v>
      </c>
      <c r="K23412">
        <v>15.96</v>
      </c>
      <c r="L23412">
        <v>13501</v>
      </c>
      <c r="M23412" t="s">
        <v>20</v>
      </c>
      <c r="N23412" t="str">
        <f>"5487937     "</f>
        <v xml:space="preserve">5487937     </v>
      </c>
      <c r="O23412">
        <v>231211</v>
      </c>
    </row>
    <row r="23413" spans="1:15" x14ac:dyDescent="0.25">
      <c r="A23413" t="s">
        <v>16</v>
      </c>
      <c r="B23413" t="s">
        <v>3221</v>
      </c>
      <c r="C23413">
        <v>16815</v>
      </c>
      <c r="D23413" t="s">
        <v>417</v>
      </c>
      <c r="E23413" t="s">
        <v>418</v>
      </c>
      <c r="F23413">
        <v>66.52</v>
      </c>
      <c r="G23413">
        <v>231130</v>
      </c>
      <c r="H23413">
        <v>4600</v>
      </c>
      <c r="I23413" t="s">
        <v>105</v>
      </c>
      <c r="J23413">
        <v>82.48</v>
      </c>
      <c r="K23413">
        <v>15.96</v>
      </c>
      <c r="L23413">
        <v>16121</v>
      </c>
      <c r="M23413" t="s">
        <v>21</v>
      </c>
      <c r="N23413" t="str">
        <f>"5487937     "</f>
        <v xml:space="preserve">5487937     </v>
      </c>
      <c r="O23413">
        <v>231211</v>
      </c>
    </row>
    <row r="23414" spans="1:15" x14ac:dyDescent="0.25">
      <c r="A23414" t="s">
        <v>16</v>
      </c>
      <c r="B23414" t="s">
        <v>3221</v>
      </c>
      <c r="C23414">
        <v>16815</v>
      </c>
      <c r="D23414" t="s">
        <v>417</v>
      </c>
      <c r="E23414" t="s">
        <v>418</v>
      </c>
      <c r="F23414">
        <v>66.52</v>
      </c>
      <c r="G23414">
        <v>231130</v>
      </c>
      <c r="H23414">
        <v>4600</v>
      </c>
      <c r="I23414" t="s">
        <v>105</v>
      </c>
      <c r="J23414">
        <v>82.48</v>
      </c>
      <c r="K23414">
        <v>15.96</v>
      </c>
      <c r="L23414">
        <v>17538</v>
      </c>
      <c r="M23414" t="s">
        <v>24</v>
      </c>
      <c r="N23414" t="str">
        <f>"5487937     "</f>
        <v xml:space="preserve">5487937     </v>
      </c>
      <c r="O23414">
        <v>231211</v>
      </c>
    </row>
    <row r="23415" spans="1:15" x14ac:dyDescent="0.25">
      <c r="A23415" t="s">
        <v>16</v>
      </c>
      <c r="B23415" t="s">
        <v>3221</v>
      </c>
      <c r="C23415">
        <v>16946</v>
      </c>
      <c r="D23415" t="s">
        <v>417</v>
      </c>
      <c r="E23415" t="s">
        <v>418</v>
      </c>
      <c r="F23415">
        <v>4.9800000000000004</v>
      </c>
      <c r="G23415">
        <v>231130</v>
      </c>
      <c r="H23415">
        <v>4600</v>
      </c>
      <c r="I23415" t="s">
        <v>105</v>
      </c>
      <c r="J23415">
        <v>6.17</v>
      </c>
      <c r="K23415">
        <v>1.19</v>
      </c>
      <c r="L23415">
        <v>17806</v>
      </c>
      <c r="M23415" t="s">
        <v>265</v>
      </c>
      <c r="N23415" t="str">
        <f>"5486340     "</f>
        <v xml:space="preserve">5486340     </v>
      </c>
      <c r="O23415">
        <v>231211</v>
      </c>
    </row>
    <row r="23416" spans="1:15" x14ac:dyDescent="0.25">
      <c r="A23416" t="s">
        <v>16</v>
      </c>
      <c r="B23416" t="s">
        <v>3221</v>
      </c>
      <c r="C23416">
        <v>17155</v>
      </c>
      <c r="D23416" t="s">
        <v>417</v>
      </c>
      <c r="E23416" t="s">
        <v>418</v>
      </c>
      <c r="F23416">
        <v>126.5</v>
      </c>
      <c r="G23416">
        <v>231130</v>
      </c>
      <c r="H23416">
        <v>4600</v>
      </c>
      <c r="I23416" t="s">
        <v>105</v>
      </c>
      <c r="J23416">
        <v>156.86000000000001</v>
      </c>
      <c r="K23416">
        <v>30.36</v>
      </c>
      <c r="L23416">
        <v>65422</v>
      </c>
      <c r="M23416" t="s">
        <v>602</v>
      </c>
      <c r="N23416" t="str">
        <f>"5485123     "</f>
        <v xml:space="preserve">5485123     </v>
      </c>
      <c r="O23416">
        <v>231212</v>
      </c>
    </row>
    <row r="23417" spans="1:15" x14ac:dyDescent="0.25">
      <c r="A23417" t="s">
        <v>16</v>
      </c>
      <c r="B23417" t="s">
        <v>3221</v>
      </c>
      <c r="C23417">
        <v>17155</v>
      </c>
      <c r="D23417" t="s">
        <v>417</v>
      </c>
      <c r="E23417" t="s">
        <v>418</v>
      </c>
      <c r="F23417">
        <v>151.85</v>
      </c>
      <c r="G23417">
        <v>231130</v>
      </c>
      <c r="H23417">
        <v>4600</v>
      </c>
      <c r="I23417" t="s">
        <v>105</v>
      </c>
      <c r="J23417">
        <v>188.29</v>
      </c>
      <c r="K23417">
        <v>36.44</v>
      </c>
      <c r="L23417">
        <v>66754</v>
      </c>
      <c r="M23417" t="s">
        <v>239</v>
      </c>
      <c r="N23417" t="str">
        <f>"5485123     "</f>
        <v xml:space="preserve">5485123     </v>
      </c>
      <c r="O23417">
        <v>231212</v>
      </c>
    </row>
    <row r="23418" spans="1:15" x14ac:dyDescent="0.25">
      <c r="A23418" t="s">
        <v>16</v>
      </c>
      <c r="B23418" t="s">
        <v>3221</v>
      </c>
      <c r="C23418">
        <v>17155</v>
      </c>
      <c r="D23418" t="s">
        <v>417</v>
      </c>
      <c r="E23418" t="s">
        <v>418</v>
      </c>
      <c r="F23418">
        <v>84.86</v>
      </c>
      <c r="G23418">
        <v>231130</v>
      </c>
      <c r="H23418">
        <v>4600</v>
      </c>
      <c r="I23418" t="s">
        <v>105</v>
      </c>
      <c r="J23418">
        <v>105.23</v>
      </c>
      <c r="K23418">
        <v>20.37</v>
      </c>
      <c r="L23418">
        <v>67554</v>
      </c>
      <c r="M23418" t="s">
        <v>60</v>
      </c>
      <c r="N23418" t="str">
        <f>"5485123     "</f>
        <v xml:space="preserve">5485123     </v>
      </c>
      <c r="O23418">
        <v>231212</v>
      </c>
    </row>
    <row r="23419" spans="1:15" x14ac:dyDescent="0.25">
      <c r="A23419" t="s">
        <v>16</v>
      </c>
      <c r="B23419" t="s">
        <v>3221</v>
      </c>
      <c r="C23419">
        <v>17358</v>
      </c>
      <c r="D23419" t="s">
        <v>417</v>
      </c>
      <c r="E23419" t="s">
        <v>418</v>
      </c>
      <c r="F23419">
        <v>259.89999999999998</v>
      </c>
      <c r="G23419">
        <v>231130</v>
      </c>
      <c r="H23419">
        <v>4600</v>
      </c>
      <c r="I23419" t="s">
        <v>105</v>
      </c>
      <c r="J23419">
        <v>322.27999999999997</v>
      </c>
      <c r="K23419">
        <v>62.38</v>
      </c>
      <c r="L23419">
        <v>13661</v>
      </c>
      <c r="M23419" t="s">
        <v>247</v>
      </c>
      <c r="N23419" t="str">
        <f>"5488828     "</f>
        <v xml:space="preserve">5488828     </v>
      </c>
      <c r="O23419">
        <v>231213</v>
      </c>
    </row>
    <row r="23420" spans="1:15" x14ac:dyDescent="0.25">
      <c r="A23420" t="s">
        <v>16</v>
      </c>
      <c r="B23420" t="s">
        <v>3221</v>
      </c>
      <c r="C23420">
        <v>17358</v>
      </c>
      <c r="D23420" t="s">
        <v>417</v>
      </c>
      <c r="E23420" t="s">
        <v>418</v>
      </c>
      <c r="F23420">
        <v>75.25</v>
      </c>
      <c r="G23420">
        <v>231130</v>
      </c>
      <c r="H23420">
        <v>4600</v>
      </c>
      <c r="I23420" t="s">
        <v>105</v>
      </c>
      <c r="J23420">
        <v>93.31</v>
      </c>
      <c r="K23420">
        <v>18.059999999999999</v>
      </c>
      <c r="L23420">
        <v>13801</v>
      </c>
      <c r="M23420" t="s">
        <v>162</v>
      </c>
      <c r="N23420" t="str">
        <f>"5488828     "</f>
        <v xml:space="preserve">5488828     </v>
      </c>
      <c r="O23420">
        <v>231213</v>
      </c>
    </row>
    <row r="23421" spans="1:15" x14ac:dyDescent="0.25">
      <c r="A23421" t="s">
        <v>16</v>
      </c>
      <c r="B23421" t="s">
        <v>3221</v>
      </c>
      <c r="C23421">
        <v>17358</v>
      </c>
      <c r="D23421" t="s">
        <v>417</v>
      </c>
      <c r="E23421" t="s">
        <v>418</v>
      </c>
      <c r="F23421">
        <v>12.98</v>
      </c>
      <c r="G23421">
        <v>231130</v>
      </c>
      <c r="H23421">
        <v>4600</v>
      </c>
      <c r="I23421" t="s">
        <v>105</v>
      </c>
      <c r="J23421">
        <v>16.09</v>
      </c>
      <c r="K23421">
        <v>3.11</v>
      </c>
      <c r="L23421">
        <v>13802</v>
      </c>
      <c r="M23421" t="s">
        <v>200</v>
      </c>
      <c r="N23421" t="str">
        <f>"5488828     "</f>
        <v xml:space="preserve">5488828     </v>
      </c>
      <c r="O23421">
        <v>231213</v>
      </c>
    </row>
    <row r="23422" spans="1:15" x14ac:dyDescent="0.25">
      <c r="A23422" t="s">
        <v>16</v>
      </c>
      <c r="B23422" t="s">
        <v>3221</v>
      </c>
      <c r="C23422">
        <v>17403</v>
      </c>
      <c r="D23422" t="s">
        <v>417</v>
      </c>
      <c r="E23422" t="s">
        <v>418</v>
      </c>
      <c r="F23422">
        <v>781.53</v>
      </c>
      <c r="G23422">
        <v>231130</v>
      </c>
      <c r="H23422">
        <v>4600</v>
      </c>
      <c r="I23422" t="s">
        <v>105</v>
      </c>
      <c r="J23422">
        <v>969.1</v>
      </c>
      <c r="K23422">
        <v>187.57</v>
      </c>
      <c r="L23422">
        <v>49501</v>
      </c>
      <c r="M23422" t="s">
        <v>177</v>
      </c>
      <c r="N23422" t="str">
        <f>"5484855     "</f>
        <v xml:space="preserve">5484855     </v>
      </c>
      <c r="O23422">
        <v>231214</v>
      </c>
    </row>
    <row r="23423" spans="1:15" x14ac:dyDescent="0.25">
      <c r="A23423" t="s">
        <v>16</v>
      </c>
      <c r="B23423" t="s">
        <v>3221</v>
      </c>
      <c r="C23423">
        <v>17406</v>
      </c>
      <c r="D23423" t="s">
        <v>417</v>
      </c>
      <c r="E23423" t="s">
        <v>418</v>
      </c>
      <c r="F23423">
        <v>178.98</v>
      </c>
      <c r="G23423">
        <v>231130</v>
      </c>
      <c r="H23423">
        <v>4600</v>
      </c>
      <c r="I23423" t="s">
        <v>105</v>
      </c>
      <c r="J23423">
        <v>221.94</v>
      </c>
      <c r="K23423">
        <v>42.96</v>
      </c>
      <c r="L23423">
        <v>11605</v>
      </c>
      <c r="M23423" t="s">
        <v>106</v>
      </c>
      <c r="N23423" t="str">
        <f t="shared" ref="N23423:N23433" si="457">"5485439     "</f>
        <v xml:space="preserve">5485439     </v>
      </c>
      <c r="O23423">
        <v>231214</v>
      </c>
    </row>
    <row r="23424" spans="1:15" x14ac:dyDescent="0.25">
      <c r="A23424" t="s">
        <v>16</v>
      </c>
      <c r="B23424" t="s">
        <v>3221</v>
      </c>
      <c r="C23424">
        <v>17406</v>
      </c>
      <c r="D23424" t="s">
        <v>417</v>
      </c>
      <c r="E23424" t="s">
        <v>418</v>
      </c>
      <c r="F23424">
        <v>16.239999999999998</v>
      </c>
      <c r="G23424">
        <v>231130</v>
      </c>
      <c r="H23424">
        <v>4600</v>
      </c>
      <c r="I23424" t="s">
        <v>105</v>
      </c>
      <c r="J23424">
        <v>20.14</v>
      </c>
      <c r="K23424">
        <v>3.9</v>
      </c>
      <c r="L23424">
        <v>54251</v>
      </c>
      <c r="M23424" t="s">
        <v>309</v>
      </c>
      <c r="N23424" t="str">
        <f t="shared" si="457"/>
        <v xml:space="preserve">5485439     </v>
      </c>
      <c r="O23424">
        <v>231214</v>
      </c>
    </row>
    <row r="23425" spans="1:15" x14ac:dyDescent="0.25">
      <c r="A23425" t="s">
        <v>16</v>
      </c>
      <c r="B23425" t="s">
        <v>3221</v>
      </c>
      <c r="C23425">
        <v>17406</v>
      </c>
      <c r="D23425" t="s">
        <v>417</v>
      </c>
      <c r="E23425" t="s">
        <v>418</v>
      </c>
      <c r="F23425">
        <v>94.5</v>
      </c>
      <c r="G23425">
        <v>231130</v>
      </c>
      <c r="H23425">
        <v>4600</v>
      </c>
      <c r="I23425" t="s">
        <v>105</v>
      </c>
      <c r="J23425">
        <v>117.18</v>
      </c>
      <c r="K23425">
        <v>22.68</v>
      </c>
      <c r="L23425">
        <v>54251</v>
      </c>
      <c r="M23425" t="s">
        <v>309</v>
      </c>
      <c r="N23425" t="str">
        <f t="shared" si="457"/>
        <v xml:space="preserve">5485439     </v>
      </c>
      <c r="O23425">
        <v>231214</v>
      </c>
    </row>
    <row r="23426" spans="1:15" x14ac:dyDescent="0.25">
      <c r="A23426" t="s">
        <v>16</v>
      </c>
      <c r="B23426" t="s">
        <v>3221</v>
      </c>
      <c r="C23426">
        <v>17406</v>
      </c>
      <c r="D23426" t="s">
        <v>417</v>
      </c>
      <c r="E23426" t="s">
        <v>418</v>
      </c>
      <c r="F23426">
        <v>142.83000000000001</v>
      </c>
      <c r="G23426">
        <v>231130</v>
      </c>
      <c r="H23426">
        <v>4600</v>
      </c>
      <c r="I23426" t="s">
        <v>105</v>
      </c>
      <c r="J23426">
        <v>177.11</v>
      </c>
      <c r="K23426">
        <v>34.28</v>
      </c>
      <c r="L23426">
        <v>54251</v>
      </c>
      <c r="M23426" t="s">
        <v>309</v>
      </c>
      <c r="N23426" t="str">
        <f t="shared" si="457"/>
        <v xml:space="preserve">5485439     </v>
      </c>
      <c r="O23426">
        <v>231214</v>
      </c>
    </row>
    <row r="23427" spans="1:15" x14ac:dyDescent="0.25">
      <c r="A23427" t="s">
        <v>16</v>
      </c>
      <c r="B23427" t="s">
        <v>3221</v>
      </c>
      <c r="C23427">
        <v>17406</v>
      </c>
      <c r="D23427" t="s">
        <v>417</v>
      </c>
      <c r="E23427" t="s">
        <v>418</v>
      </c>
      <c r="F23427">
        <v>68.28</v>
      </c>
      <c r="G23427">
        <v>231130</v>
      </c>
      <c r="H23427">
        <v>4600</v>
      </c>
      <c r="I23427" t="s">
        <v>105</v>
      </c>
      <c r="J23427">
        <v>84.67</v>
      </c>
      <c r="K23427">
        <v>16.39</v>
      </c>
      <c r="L23427">
        <v>56524</v>
      </c>
      <c r="M23427" t="s">
        <v>150</v>
      </c>
      <c r="N23427" t="str">
        <f t="shared" si="457"/>
        <v xml:space="preserve">5485439     </v>
      </c>
      <c r="O23427">
        <v>231214</v>
      </c>
    </row>
    <row r="23428" spans="1:15" x14ac:dyDescent="0.25">
      <c r="A23428" t="s">
        <v>16</v>
      </c>
      <c r="B23428" t="s">
        <v>3221</v>
      </c>
      <c r="C23428">
        <v>17406</v>
      </c>
      <c r="D23428" t="s">
        <v>417</v>
      </c>
      <c r="E23428" t="s">
        <v>418</v>
      </c>
      <c r="F23428">
        <v>199.8</v>
      </c>
      <c r="G23428">
        <v>231130</v>
      </c>
      <c r="H23428">
        <v>4600</v>
      </c>
      <c r="I23428" t="s">
        <v>105</v>
      </c>
      <c r="J23428">
        <v>247.75</v>
      </c>
      <c r="K23428">
        <v>47.95</v>
      </c>
      <c r="L23428">
        <v>56524</v>
      </c>
      <c r="M23428" t="s">
        <v>150</v>
      </c>
      <c r="N23428" t="str">
        <f t="shared" si="457"/>
        <v xml:space="preserve">5485439     </v>
      </c>
      <c r="O23428">
        <v>231214</v>
      </c>
    </row>
    <row r="23429" spans="1:15" x14ac:dyDescent="0.25">
      <c r="A23429" t="s">
        <v>16</v>
      </c>
      <c r="B23429" t="s">
        <v>3221</v>
      </c>
      <c r="C23429">
        <v>17406</v>
      </c>
      <c r="D23429" t="s">
        <v>417</v>
      </c>
      <c r="E23429" t="s">
        <v>418</v>
      </c>
      <c r="F23429">
        <v>26.39</v>
      </c>
      <c r="G23429">
        <v>231130</v>
      </c>
      <c r="H23429">
        <v>4600</v>
      </c>
      <c r="I23429" t="s">
        <v>105</v>
      </c>
      <c r="J23429">
        <v>32.72</v>
      </c>
      <c r="K23429">
        <v>6.33</v>
      </c>
      <c r="L23429">
        <v>56528</v>
      </c>
      <c r="M23429" t="s">
        <v>153</v>
      </c>
      <c r="N23429" t="str">
        <f t="shared" si="457"/>
        <v xml:space="preserve">5485439     </v>
      </c>
      <c r="O23429">
        <v>231214</v>
      </c>
    </row>
    <row r="23430" spans="1:15" x14ac:dyDescent="0.25">
      <c r="A23430" t="s">
        <v>16</v>
      </c>
      <c r="B23430" t="s">
        <v>3221</v>
      </c>
      <c r="C23430">
        <v>17406</v>
      </c>
      <c r="D23430" t="s">
        <v>417</v>
      </c>
      <c r="E23430" t="s">
        <v>418</v>
      </c>
      <c r="F23430">
        <v>41.38</v>
      </c>
      <c r="G23430">
        <v>231130</v>
      </c>
      <c r="H23430">
        <v>4600</v>
      </c>
      <c r="I23430" t="s">
        <v>105</v>
      </c>
      <c r="J23430">
        <v>51.31</v>
      </c>
      <c r="K23430">
        <v>9.93</v>
      </c>
      <c r="L23430">
        <v>56553</v>
      </c>
      <c r="M23430" t="s">
        <v>1793</v>
      </c>
      <c r="N23430" t="str">
        <f t="shared" si="457"/>
        <v xml:space="preserve">5485439     </v>
      </c>
      <c r="O23430">
        <v>231214</v>
      </c>
    </row>
    <row r="23431" spans="1:15" x14ac:dyDescent="0.25">
      <c r="A23431" t="s">
        <v>16</v>
      </c>
      <c r="B23431" t="s">
        <v>3221</v>
      </c>
      <c r="C23431">
        <v>17406</v>
      </c>
      <c r="D23431" t="s">
        <v>417</v>
      </c>
      <c r="E23431" t="s">
        <v>418</v>
      </c>
      <c r="F23431">
        <v>4.82</v>
      </c>
      <c r="G23431">
        <v>231130</v>
      </c>
      <c r="H23431">
        <v>4600</v>
      </c>
      <c r="I23431" t="s">
        <v>105</v>
      </c>
      <c r="J23431">
        <v>5.98</v>
      </c>
      <c r="K23431">
        <v>1.1599999999999999</v>
      </c>
      <c r="L23431">
        <v>59501</v>
      </c>
      <c r="M23431" t="s">
        <v>69</v>
      </c>
      <c r="N23431" t="str">
        <f t="shared" si="457"/>
        <v xml:space="preserve">5485439     </v>
      </c>
      <c r="O23431">
        <v>231214</v>
      </c>
    </row>
    <row r="23432" spans="1:15" x14ac:dyDescent="0.25">
      <c r="A23432" t="s">
        <v>16</v>
      </c>
      <c r="B23432" t="s">
        <v>3221</v>
      </c>
      <c r="C23432">
        <v>17406</v>
      </c>
      <c r="D23432" t="s">
        <v>417</v>
      </c>
      <c r="E23432" t="s">
        <v>418</v>
      </c>
      <c r="F23432">
        <v>175.4</v>
      </c>
      <c r="G23432">
        <v>231130</v>
      </c>
      <c r="H23432">
        <v>4600</v>
      </c>
      <c r="I23432" t="s">
        <v>105</v>
      </c>
      <c r="J23432">
        <v>217.5</v>
      </c>
      <c r="K23432">
        <v>42.1</v>
      </c>
      <c r="L23432">
        <v>59504</v>
      </c>
      <c r="M23432" t="s">
        <v>71</v>
      </c>
      <c r="N23432" t="str">
        <f t="shared" si="457"/>
        <v xml:space="preserve">5485439     </v>
      </c>
      <c r="O23432">
        <v>231214</v>
      </c>
    </row>
    <row r="23433" spans="1:15" x14ac:dyDescent="0.25">
      <c r="A23433" t="s">
        <v>16</v>
      </c>
      <c r="B23433" t="s">
        <v>3221</v>
      </c>
      <c r="C23433">
        <v>17406</v>
      </c>
      <c r="D23433" t="s">
        <v>417</v>
      </c>
      <c r="E23433" t="s">
        <v>418</v>
      </c>
      <c r="F23433">
        <v>11.27</v>
      </c>
      <c r="G23433">
        <v>231130</v>
      </c>
      <c r="H23433">
        <v>4600</v>
      </c>
      <c r="I23433" t="s">
        <v>105</v>
      </c>
      <c r="J23433">
        <v>13.98</v>
      </c>
      <c r="K23433">
        <v>2.71</v>
      </c>
      <c r="L23433">
        <v>59702</v>
      </c>
      <c r="M23433" t="s">
        <v>328</v>
      </c>
      <c r="N23433" t="str">
        <f t="shared" si="457"/>
        <v xml:space="preserve">5485439     </v>
      </c>
      <c r="O23433">
        <v>231214</v>
      </c>
    </row>
    <row r="23434" spans="1:15" x14ac:dyDescent="0.25">
      <c r="A23434" t="s">
        <v>16</v>
      </c>
      <c r="B23434" t="s">
        <v>3221</v>
      </c>
      <c r="C23434">
        <v>17983</v>
      </c>
      <c r="D23434" t="s">
        <v>417</v>
      </c>
      <c r="E23434" t="s">
        <v>418</v>
      </c>
      <c r="F23434">
        <v>29.7</v>
      </c>
      <c r="G23434">
        <v>231215</v>
      </c>
      <c r="H23434">
        <v>4600</v>
      </c>
      <c r="I23434" t="s">
        <v>105</v>
      </c>
      <c r="J23434">
        <v>36.83</v>
      </c>
      <c r="K23434">
        <v>7.13</v>
      </c>
      <c r="L23434">
        <v>16121</v>
      </c>
      <c r="M23434" t="s">
        <v>21</v>
      </c>
      <c r="N23434" t="str">
        <f>"5492266     "</f>
        <v xml:space="preserve">5492266     </v>
      </c>
      <c r="O23434">
        <v>231228</v>
      </c>
    </row>
    <row r="23435" spans="1:15" x14ac:dyDescent="0.25">
      <c r="A23435" t="s">
        <v>16</v>
      </c>
      <c r="B23435" t="s">
        <v>3221</v>
      </c>
      <c r="C23435">
        <v>17983</v>
      </c>
      <c r="D23435" t="s">
        <v>417</v>
      </c>
      <c r="E23435" t="s">
        <v>418</v>
      </c>
      <c r="F23435">
        <v>154.15</v>
      </c>
      <c r="G23435">
        <v>231215</v>
      </c>
      <c r="H23435">
        <v>4600</v>
      </c>
      <c r="I23435" t="s">
        <v>105</v>
      </c>
      <c r="J23435">
        <v>191.15</v>
      </c>
      <c r="K23435">
        <v>37</v>
      </c>
      <c r="L23435">
        <v>17537</v>
      </c>
      <c r="M23435" t="s">
        <v>455</v>
      </c>
      <c r="N23435" t="str">
        <f>"5492266     "</f>
        <v xml:space="preserve">5492266     </v>
      </c>
      <c r="O23435">
        <v>231228</v>
      </c>
    </row>
    <row r="23436" spans="1:15" x14ac:dyDescent="0.25">
      <c r="A23436" t="s">
        <v>16</v>
      </c>
      <c r="B23436" t="s">
        <v>3221</v>
      </c>
      <c r="C23436">
        <v>17983</v>
      </c>
      <c r="D23436" t="s">
        <v>417</v>
      </c>
      <c r="E23436" t="s">
        <v>418</v>
      </c>
      <c r="F23436">
        <v>62.81</v>
      </c>
      <c r="G23436">
        <v>231215</v>
      </c>
      <c r="H23436">
        <v>4600</v>
      </c>
      <c r="I23436" t="s">
        <v>105</v>
      </c>
      <c r="J23436">
        <v>77.89</v>
      </c>
      <c r="K23436">
        <v>15.08</v>
      </c>
      <c r="L23436">
        <v>17538</v>
      </c>
      <c r="M23436" t="s">
        <v>24</v>
      </c>
      <c r="N23436" t="str">
        <f>"5492266     "</f>
        <v xml:space="preserve">5492266     </v>
      </c>
      <c r="O23436">
        <v>231228</v>
      </c>
    </row>
    <row r="23437" spans="1:15" x14ac:dyDescent="0.25">
      <c r="A23437" t="s">
        <v>16</v>
      </c>
      <c r="B23437" t="s">
        <v>3221</v>
      </c>
      <c r="C23437">
        <v>17983</v>
      </c>
      <c r="D23437" t="s">
        <v>417</v>
      </c>
      <c r="E23437" t="s">
        <v>418</v>
      </c>
      <c r="F23437">
        <v>96.61</v>
      </c>
      <c r="G23437">
        <v>231215</v>
      </c>
      <c r="H23437">
        <v>4600</v>
      </c>
      <c r="I23437" t="s">
        <v>105</v>
      </c>
      <c r="J23437">
        <v>119.8</v>
      </c>
      <c r="K23437">
        <v>23.19</v>
      </c>
      <c r="L23437">
        <v>17862</v>
      </c>
      <c r="M23437" t="s">
        <v>319</v>
      </c>
      <c r="N23437" t="str">
        <f>"5492266     "</f>
        <v xml:space="preserve">5492266     </v>
      </c>
      <c r="O23437">
        <v>231228</v>
      </c>
    </row>
    <row r="23438" spans="1:15" x14ac:dyDescent="0.25">
      <c r="A23438" t="s">
        <v>16</v>
      </c>
      <c r="B23438" t="s">
        <v>3221</v>
      </c>
      <c r="C23438">
        <v>17983</v>
      </c>
      <c r="D23438" t="s">
        <v>417</v>
      </c>
      <c r="E23438" t="s">
        <v>418</v>
      </c>
      <c r="F23438">
        <v>38.03</v>
      </c>
      <c r="G23438">
        <v>231215</v>
      </c>
      <c r="H23438">
        <v>4600</v>
      </c>
      <c r="I23438" t="s">
        <v>105</v>
      </c>
      <c r="J23438">
        <v>47.16</v>
      </c>
      <c r="K23438">
        <v>9.1300000000000008</v>
      </c>
      <c r="L23438">
        <v>17971</v>
      </c>
      <c r="M23438" t="s">
        <v>138</v>
      </c>
      <c r="N23438" t="str">
        <f>"5492266     "</f>
        <v xml:space="preserve">5492266     </v>
      </c>
      <c r="O23438">
        <v>231228</v>
      </c>
    </row>
    <row r="23439" spans="1:15" x14ac:dyDescent="0.25">
      <c r="A23439" t="s">
        <v>16</v>
      </c>
      <c r="B23439" t="s">
        <v>3221</v>
      </c>
      <c r="C23439">
        <v>17993</v>
      </c>
      <c r="D23439" t="s">
        <v>417</v>
      </c>
      <c r="E23439" t="s">
        <v>418</v>
      </c>
      <c r="F23439">
        <v>71.709999999999994</v>
      </c>
      <c r="G23439">
        <v>231215</v>
      </c>
      <c r="H23439">
        <v>4600</v>
      </c>
      <c r="I23439" t="s">
        <v>105</v>
      </c>
      <c r="J23439">
        <v>88.92</v>
      </c>
      <c r="K23439">
        <v>17.21</v>
      </c>
      <c r="L23439">
        <v>17711</v>
      </c>
      <c r="M23439" t="s">
        <v>65</v>
      </c>
      <c r="N23439" t="str">
        <f>"5491477     "</f>
        <v xml:space="preserve">5491477     </v>
      </c>
      <c r="O23439">
        <v>231228</v>
      </c>
    </row>
    <row r="23440" spans="1:15" x14ac:dyDescent="0.25">
      <c r="A23440" t="s">
        <v>16</v>
      </c>
      <c r="B23440" t="s">
        <v>3221</v>
      </c>
      <c r="C23440">
        <v>18593</v>
      </c>
      <c r="D23440" t="s">
        <v>417</v>
      </c>
      <c r="E23440" t="s">
        <v>418</v>
      </c>
      <c r="F23440">
        <v>3.44</v>
      </c>
      <c r="G23440">
        <v>231231</v>
      </c>
      <c r="H23440">
        <v>4600</v>
      </c>
      <c r="I23440" t="s">
        <v>105</v>
      </c>
      <c r="J23440">
        <v>4.2699999999999996</v>
      </c>
      <c r="K23440">
        <v>0.83</v>
      </c>
      <c r="L23440">
        <v>17862</v>
      </c>
      <c r="M23440" t="s">
        <v>319</v>
      </c>
      <c r="N23440" t="str">
        <f>"5496776     "</f>
        <v xml:space="preserve">5496776     </v>
      </c>
      <c r="O23440">
        <v>240104</v>
      </c>
    </row>
    <row r="23441" spans="1:15" x14ac:dyDescent="0.25">
      <c r="A23441" t="s">
        <v>16</v>
      </c>
      <c r="B23441" t="s">
        <v>3221</v>
      </c>
      <c r="C23441">
        <v>18706</v>
      </c>
      <c r="D23441" t="s">
        <v>417</v>
      </c>
      <c r="E23441" t="s">
        <v>418</v>
      </c>
      <c r="F23441">
        <v>10.18</v>
      </c>
      <c r="G23441">
        <v>231231</v>
      </c>
      <c r="H23441">
        <v>4600</v>
      </c>
      <c r="I23441" t="s">
        <v>105</v>
      </c>
      <c r="J23441">
        <v>12.62</v>
      </c>
      <c r="K23441">
        <v>2.44</v>
      </c>
      <c r="L23441">
        <v>69702</v>
      </c>
      <c r="M23441" t="s">
        <v>489</v>
      </c>
      <c r="N23441" t="str">
        <f>"5494603     "</f>
        <v xml:space="preserve">5494603     </v>
      </c>
      <c r="O23441">
        <v>240105</v>
      </c>
    </row>
    <row r="23442" spans="1:15" x14ac:dyDescent="0.25">
      <c r="A23442" t="s">
        <v>16</v>
      </c>
      <c r="B23442" t="s">
        <v>3221</v>
      </c>
      <c r="C23442">
        <v>18974</v>
      </c>
      <c r="D23442" t="s">
        <v>417</v>
      </c>
      <c r="E23442" t="s">
        <v>418</v>
      </c>
      <c r="F23442">
        <v>25.68</v>
      </c>
      <c r="G23442">
        <v>231231</v>
      </c>
      <c r="H23442">
        <v>4600</v>
      </c>
      <c r="I23442" t="s">
        <v>105</v>
      </c>
      <c r="J23442">
        <v>31.84</v>
      </c>
      <c r="K23442">
        <v>6.16</v>
      </c>
      <c r="L23442">
        <v>41126</v>
      </c>
      <c r="M23442" t="s">
        <v>761</v>
      </c>
      <c r="N23442" t="str">
        <f t="shared" ref="N23442:N23448" si="458">"5494396     "</f>
        <v xml:space="preserve">5494396     </v>
      </c>
      <c r="O23442">
        <v>240109</v>
      </c>
    </row>
    <row r="23443" spans="1:15" x14ac:dyDescent="0.25">
      <c r="A23443" t="s">
        <v>16</v>
      </c>
      <c r="B23443" t="s">
        <v>3221</v>
      </c>
      <c r="C23443">
        <v>18974</v>
      </c>
      <c r="D23443" t="s">
        <v>417</v>
      </c>
      <c r="E23443" t="s">
        <v>418</v>
      </c>
      <c r="F23443">
        <v>75.599999999999994</v>
      </c>
      <c r="G23443">
        <v>231231</v>
      </c>
      <c r="H23443">
        <v>4600</v>
      </c>
      <c r="I23443" t="s">
        <v>105</v>
      </c>
      <c r="J23443">
        <v>93.75</v>
      </c>
      <c r="K23443">
        <v>18.149999999999999</v>
      </c>
      <c r="L23443">
        <v>44222</v>
      </c>
      <c r="M23443" t="s">
        <v>232</v>
      </c>
      <c r="N23443" t="str">
        <f t="shared" si="458"/>
        <v xml:space="preserve">5494396     </v>
      </c>
      <c r="O23443">
        <v>240109</v>
      </c>
    </row>
    <row r="23444" spans="1:15" x14ac:dyDescent="0.25">
      <c r="A23444" t="s">
        <v>16</v>
      </c>
      <c r="B23444" t="s">
        <v>3221</v>
      </c>
      <c r="C23444">
        <v>18974</v>
      </c>
      <c r="D23444" t="s">
        <v>417</v>
      </c>
      <c r="E23444" t="s">
        <v>418</v>
      </c>
      <c r="F23444">
        <v>21.23</v>
      </c>
      <c r="G23444">
        <v>231231</v>
      </c>
      <c r="H23444">
        <v>4600</v>
      </c>
      <c r="I23444" t="s">
        <v>105</v>
      </c>
      <c r="J23444">
        <v>26.32</v>
      </c>
      <c r="K23444">
        <v>5.09</v>
      </c>
      <c r="L23444">
        <v>44453</v>
      </c>
      <c r="M23444" t="s">
        <v>492</v>
      </c>
      <c r="N23444" t="str">
        <f t="shared" si="458"/>
        <v xml:space="preserve">5494396     </v>
      </c>
      <c r="O23444">
        <v>240109</v>
      </c>
    </row>
    <row r="23445" spans="1:15" x14ac:dyDescent="0.25">
      <c r="A23445" t="s">
        <v>16</v>
      </c>
      <c r="B23445" t="s">
        <v>3221</v>
      </c>
      <c r="C23445">
        <v>18974</v>
      </c>
      <c r="D23445" t="s">
        <v>417</v>
      </c>
      <c r="E23445" t="s">
        <v>418</v>
      </c>
      <c r="F23445">
        <v>56.34</v>
      </c>
      <c r="G23445">
        <v>231231</v>
      </c>
      <c r="H23445">
        <v>4600</v>
      </c>
      <c r="I23445" t="s">
        <v>105</v>
      </c>
      <c r="J23445">
        <v>69.86</v>
      </c>
      <c r="K23445">
        <v>13.52</v>
      </c>
      <c r="L23445">
        <v>46554</v>
      </c>
      <c r="M23445" t="s">
        <v>117</v>
      </c>
      <c r="N23445" t="str">
        <f t="shared" si="458"/>
        <v xml:space="preserve">5494396     </v>
      </c>
      <c r="O23445">
        <v>240109</v>
      </c>
    </row>
    <row r="23446" spans="1:15" x14ac:dyDescent="0.25">
      <c r="A23446" t="s">
        <v>16</v>
      </c>
      <c r="B23446" t="s">
        <v>3221</v>
      </c>
      <c r="C23446">
        <v>18974</v>
      </c>
      <c r="D23446" t="s">
        <v>417</v>
      </c>
      <c r="E23446" t="s">
        <v>418</v>
      </c>
      <c r="F23446">
        <v>18.440000000000001</v>
      </c>
      <c r="G23446">
        <v>231231</v>
      </c>
      <c r="H23446">
        <v>4600</v>
      </c>
      <c r="I23446" t="s">
        <v>105</v>
      </c>
      <c r="J23446">
        <v>22.87</v>
      </c>
      <c r="K23446">
        <v>4.43</v>
      </c>
      <c r="L23446">
        <v>47522</v>
      </c>
      <c r="M23446" t="s">
        <v>410</v>
      </c>
      <c r="N23446" t="str">
        <f t="shared" si="458"/>
        <v xml:space="preserve">5494396     </v>
      </c>
      <c r="O23446">
        <v>240109</v>
      </c>
    </row>
    <row r="23447" spans="1:15" x14ac:dyDescent="0.25">
      <c r="A23447" t="s">
        <v>16</v>
      </c>
      <c r="B23447" t="s">
        <v>3221</v>
      </c>
      <c r="C23447">
        <v>18974</v>
      </c>
      <c r="D23447" t="s">
        <v>417</v>
      </c>
      <c r="E23447" t="s">
        <v>418</v>
      </c>
      <c r="F23447">
        <v>80.61</v>
      </c>
      <c r="G23447">
        <v>231231</v>
      </c>
      <c r="H23447">
        <v>4600</v>
      </c>
      <c r="I23447" t="s">
        <v>105</v>
      </c>
      <c r="J23447">
        <v>99.96</v>
      </c>
      <c r="K23447">
        <v>19.350000000000001</v>
      </c>
      <c r="L23447">
        <v>49501</v>
      </c>
      <c r="M23447" t="s">
        <v>177</v>
      </c>
      <c r="N23447" t="str">
        <f t="shared" si="458"/>
        <v xml:space="preserve">5494396     </v>
      </c>
      <c r="O23447">
        <v>240109</v>
      </c>
    </row>
    <row r="23448" spans="1:15" x14ac:dyDescent="0.25">
      <c r="A23448" t="s">
        <v>16</v>
      </c>
      <c r="B23448" t="s">
        <v>3221</v>
      </c>
      <c r="C23448">
        <v>18974</v>
      </c>
      <c r="D23448" t="s">
        <v>417</v>
      </c>
      <c r="E23448" t="s">
        <v>418</v>
      </c>
      <c r="F23448">
        <v>7.48</v>
      </c>
      <c r="G23448">
        <v>231231</v>
      </c>
      <c r="H23448">
        <v>4600</v>
      </c>
      <c r="I23448" t="s">
        <v>105</v>
      </c>
      <c r="J23448">
        <v>9.2799999999999994</v>
      </c>
      <c r="K23448">
        <v>1.8</v>
      </c>
      <c r="L23448">
        <v>49705</v>
      </c>
      <c r="M23448" t="s">
        <v>575</v>
      </c>
      <c r="N23448" t="str">
        <f t="shared" si="458"/>
        <v xml:space="preserve">5494396     </v>
      </c>
      <c r="O23448">
        <v>240109</v>
      </c>
    </row>
    <row r="23449" spans="1:15" x14ac:dyDescent="0.25">
      <c r="A23449" t="s">
        <v>16</v>
      </c>
      <c r="B23449" t="s">
        <v>3221</v>
      </c>
      <c r="C23449">
        <v>19137</v>
      </c>
      <c r="D23449" t="s">
        <v>417</v>
      </c>
      <c r="E23449" t="s">
        <v>418</v>
      </c>
      <c r="F23449">
        <v>14.18</v>
      </c>
      <c r="G23449">
        <v>231231</v>
      </c>
      <c r="H23449">
        <v>4600</v>
      </c>
      <c r="I23449" t="s">
        <v>105</v>
      </c>
      <c r="J23449">
        <v>17.579999999999998</v>
      </c>
      <c r="K23449">
        <v>3.4</v>
      </c>
      <c r="L23449">
        <v>54251</v>
      </c>
      <c r="M23449" t="s">
        <v>309</v>
      </c>
      <c r="N23449" t="str">
        <f>"5494907     "</f>
        <v xml:space="preserve">5494907     </v>
      </c>
      <c r="O23449">
        <v>240111</v>
      </c>
    </row>
    <row r="23450" spans="1:15" x14ac:dyDescent="0.25">
      <c r="A23450" t="s">
        <v>16</v>
      </c>
      <c r="B23450" t="s">
        <v>3221</v>
      </c>
      <c r="C23450">
        <v>19137</v>
      </c>
      <c r="D23450" t="s">
        <v>417</v>
      </c>
      <c r="E23450" t="s">
        <v>418</v>
      </c>
      <c r="F23450">
        <v>57.86</v>
      </c>
      <c r="G23450">
        <v>231231</v>
      </c>
      <c r="H23450">
        <v>4600</v>
      </c>
      <c r="I23450" t="s">
        <v>105</v>
      </c>
      <c r="J23450">
        <v>71.75</v>
      </c>
      <c r="K23450">
        <v>13.89</v>
      </c>
      <c r="L23450">
        <v>56524</v>
      </c>
      <c r="M23450" t="s">
        <v>150</v>
      </c>
      <c r="N23450" t="str">
        <f>"5494907     "</f>
        <v xml:space="preserve">5494907     </v>
      </c>
      <c r="O23450">
        <v>240111</v>
      </c>
    </row>
    <row r="23451" spans="1:15" x14ac:dyDescent="0.25">
      <c r="A23451" t="s">
        <v>16</v>
      </c>
      <c r="B23451" t="s">
        <v>3221</v>
      </c>
      <c r="C23451">
        <v>19137</v>
      </c>
      <c r="D23451" t="s">
        <v>417</v>
      </c>
      <c r="E23451" t="s">
        <v>418</v>
      </c>
      <c r="F23451">
        <v>58.63</v>
      </c>
      <c r="G23451">
        <v>231231</v>
      </c>
      <c r="H23451">
        <v>4600</v>
      </c>
      <c r="I23451" t="s">
        <v>105</v>
      </c>
      <c r="J23451">
        <v>72.7</v>
      </c>
      <c r="K23451">
        <v>14.07</v>
      </c>
      <c r="L23451">
        <v>56524</v>
      </c>
      <c r="M23451" t="s">
        <v>150</v>
      </c>
      <c r="N23451" t="str">
        <f>"5494907     "</f>
        <v xml:space="preserve">5494907     </v>
      </c>
      <c r="O23451">
        <v>240111</v>
      </c>
    </row>
    <row r="23452" spans="1:15" x14ac:dyDescent="0.25">
      <c r="A23452" t="s">
        <v>16</v>
      </c>
      <c r="B23452" t="s">
        <v>3221</v>
      </c>
      <c r="C23452">
        <v>19137</v>
      </c>
      <c r="D23452" t="s">
        <v>417</v>
      </c>
      <c r="E23452" t="s">
        <v>418</v>
      </c>
      <c r="F23452">
        <v>2.2999999999999998</v>
      </c>
      <c r="G23452">
        <v>231231</v>
      </c>
      <c r="H23452">
        <v>4600</v>
      </c>
      <c r="I23452" t="s">
        <v>105</v>
      </c>
      <c r="J23452">
        <v>2.85</v>
      </c>
      <c r="K23452">
        <v>0.55000000000000004</v>
      </c>
      <c r="L23452">
        <v>59111</v>
      </c>
      <c r="M23452" t="s">
        <v>1010</v>
      </c>
      <c r="N23452" t="str">
        <f>"5494907     "</f>
        <v xml:space="preserve">5494907     </v>
      </c>
      <c r="O23452">
        <v>240111</v>
      </c>
    </row>
    <row r="23453" spans="1:15" x14ac:dyDescent="0.25">
      <c r="A23453" t="s">
        <v>16</v>
      </c>
      <c r="B23453" t="s">
        <v>3221</v>
      </c>
      <c r="C23453">
        <v>19137</v>
      </c>
      <c r="D23453" t="s">
        <v>417</v>
      </c>
      <c r="E23453" t="s">
        <v>418</v>
      </c>
      <c r="F23453">
        <v>6.77</v>
      </c>
      <c r="G23453">
        <v>231231</v>
      </c>
      <c r="H23453">
        <v>4600</v>
      </c>
      <c r="I23453" t="s">
        <v>105</v>
      </c>
      <c r="J23453">
        <v>8.39</v>
      </c>
      <c r="K23453">
        <v>1.62</v>
      </c>
      <c r="L23453">
        <v>59815</v>
      </c>
      <c r="M23453" t="s">
        <v>1182</v>
      </c>
      <c r="N23453" t="str">
        <f>"5494907     "</f>
        <v xml:space="preserve">5494907     </v>
      </c>
      <c r="O23453">
        <v>240111</v>
      </c>
    </row>
    <row r="23454" spans="1:15" x14ac:dyDescent="0.25">
      <c r="A23454" t="s">
        <v>16</v>
      </c>
      <c r="B23454" t="s">
        <v>3221</v>
      </c>
      <c r="C23454">
        <v>4709</v>
      </c>
      <c r="D23454" t="s">
        <v>417</v>
      </c>
      <c r="E23454" t="s">
        <v>418</v>
      </c>
      <c r="F23454">
        <v>51.2</v>
      </c>
      <c r="G23454">
        <v>230331</v>
      </c>
      <c r="H23454">
        <v>4555</v>
      </c>
      <c r="I23454" t="s">
        <v>481</v>
      </c>
      <c r="J23454">
        <v>63.49</v>
      </c>
      <c r="K23454">
        <v>12.29</v>
      </c>
      <c r="L23454">
        <v>69111</v>
      </c>
      <c r="M23454" t="s">
        <v>471</v>
      </c>
      <c r="N23454" t="str">
        <f>"5424517     "</f>
        <v xml:space="preserve">5424517     </v>
      </c>
      <c r="O23454">
        <v>230412</v>
      </c>
    </row>
    <row r="23455" spans="1:15" x14ac:dyDescent="0.25">
      <c r="A23455" t="s">
        <v>16</v>
      </c>
      <c r="B23455" t="s">
        <v>3221</v>
      </c>
      <c r="C23455">
        <v>15136</v>
      </c>
      <c r="D23455" t="s">
        <v>417</v>
      </c>
      <c r="E23455" t="s">
        <v>418</v>
      </c>
      <c r="F23455">
        <v>46.2</v>
      </c>
      <c r="G23455">
        <v>231031</v>
      </c>
      <c r="H23455">
        <v>4555</v>
      </c>
      <c r="I23455" t="s">
        <v>481</v>
      </c>
      <c r="J23455">
        <v>57.29</v>
      </c>
      <c r="K23455">
        <v>11.09</v>
      </c>
      <c r="L23455">
        <v>66754</v>
      </c>
      <c r="M23455" t="s">
        <v>239</v>
      </c>
      <c r="N23455" t="str">
        <f>"5476537     "</f>
        <v xml:space="preserve">5476537     </v>
      </c>
      <c r="O23455">
        <v>231109</v>
      </c>
    </row>
    <row r="23456" spans="1:15" x14ac:dyDescent="0.25">
      <c r="A23456" t="s">
        <v>16</v>
      </c>
      <c r="B23456" t="s">
        <v>3221</v>
      </c>
      <c r="C23456">
        <v>15982</v>
      </c>
      <c r="D23456" t="s">
        <v>417</v>
      </c>
      <c r="E23456" t="s">
        <v>418</v>
      </c>
      <c r="F23456">
        <v>0.36</v>
      </c>
      <c r="G23456">
        <v>231115</v>
      </c>
      <c r="H23456">
        <v>4470</v>
      </c>
      <c r="I23456" t="s">
        <v>83</v>
      </c>
      <c r="J23456">
        <v>0.45</v>
      </c>
      <c r="K23456">
        <v>0.09</v>
      </c>
      <c r="L23456">
        <v>17527</v>
      </c>
      <c r="M23456" t="s">
        <v>422</v>
      </c>
      <c r="N23456" t="str">
        <f>"5482822     "</f>
        <v xml:space="preserve">5482822     </v>
      </c>
      <c r="O23456">
        <v>231122</v>
      </c>
    </row>
    <row r="23457" spans="1:15" x14ac:dyDescent="0.25">
      <c r="A23457" t="s">
        <v>16</v>
      </c>
      <c r="B23457" t="s">
        <v>3221</v>
      </c>
      <c r="C23457">
        <v>15982</v>
      </c>
      <c r="D23457" t="s">
        <v>417</v>
      </c>
      <c r="E23457" t="s">
        <v>418</v>
      </c>
      <c r="F23457">
        <v>40.65</v>
      </c>
      <c r="G23457">
        <v>231115</v>
      </c>
      <c r="H23457">
        <v>4470</v>
      </c>
      <c r="I23457" t="s">
        <v>83</v>
      </c>
      <c r="J23457">
        <v>50.4</v>
      </c>
      <c r="K23457">
        <v>9.75</v>
      </c>
      <c r="L23457">
        <v>17538</v>
      </c>
      <c r="M23457" t="s">
        <v>24</v>
      </c>
      <c r="N23457" t="str">
        <f>"5482822     "</f>
        <v xml:space="preserve">5482822     </v>
      </c>
      <c r="O23457">
        <v>231122</v>
      </c>
    </row>
    <row r="23458" spans="1:15" x14ac:dyDescent="0.25">
      <c r="A23458" t="s">
        <v>16</v>
      </c>
      <c r="B23458" t="s">
        <v>3221</v>
      </c>
      <c r="C23458">
        <v>14922</v>
      </c>
      <c r="D23458" t="s">
        <v>417</v>
      </c>
      <c r="E23458" t="s">
        <v>418</v>
      </c>
      <c r="F23458">
        <v>19.899999999999999</v>
      </c>
      <c r="G23458">
        <v>231031</v>
      </c>
      <c r="H23458">
        <v>4560</v>
      </c>
      <c r="I23458" t="s">
        <v>345</v>
      </c>
      <c r="J23458">
        <v>24.68</v>
      </c>
      <c r="K23458">
        <v>4.78</v>
      </c>
      <c r="L23458">
        <v>47522</v>
      </c>
      <c r="M23458" t="s">
        <v>410</v>
      </c>
      <c r="N23458" t="str">
        <f>"5476327     "</f>
        <v xml:space="preserve">5476327     </v>
      </c>
      <c r="O23458">
        <v>231107</v>
      </c>
    </row>
    <row r="23459" spans="1:15" x14ac:dyDescent="0.25">
      <c r="A23459" t="s">
        <v>16</v>
      </c>
      <c r="B23459" t="s">
        <v>3221</v>
      </c>
      <c r="C23459">
        <v>17406</v>
      </c>
      <c r="D23459" t="s">
        <v>417</v>
      </c>
      <c r="E23459" t="s">
        <v>418</v>
      </c>
      <c r="F23459">
        <v>90</v>
      </c>
      <c r="G23459">
        <v>231130</v>
      </c>
      <c r="H23459">
        <v>4364</v>
      </c>
      <c r="I23459" t="s">
        <v>296</v>
      </c>
      <c r="J23459">
        <v>90</v>
      </c>
      <c r="K23459">
        <v>0</v>
      </c>
      <c r="L23459">
        <v>11001</v>
      </c>
      <c r="M23459" t="s">
        <v>326</v>
      </c>
      <c r="N23459" t="str">
        <f>"5485439     "</f>
        <v xml:space="preserve">5485439     </v>
      </c>
      <c r="O23459">
        <v>231214</v>
      </c>
    </row>
    <row r="23460" spans="1:15" x14ac:dyDescent="0.25">
      <c r="A23460" t="s">
        <v>16</v>
      </c>
      <c r="B23460" t="s">
        <v>3221</v>
      </c>
      <c r="C23460">
        <v>1345</v>
      </c>
      <c r="D23460" t="s">
        <v>417</v>
      </c>
      <c r="E23460" t="s">
        <v>418</v>
      </c>
      <c r="F23460">
        <v>38.32</v>
      </c>
      <c r="G23460">
        <v>230131</v>
      </c>
      <c r="H23460">
        <v>4590</v>
      </c>
      <c r="I23460" t="s">
        <v>203</v>
      </c>
      <c r="J23460">
        <v>47.52</v>
      </c>
      <c r="K23460">
        <v>9.1999999999999993</v>
      </c>
      <c r="L23460">
        <v>56551</v>
      </c>
      <c r="M23460" t="s">
        <v>619</v>
      </c>
      <c r="N23460" t="str">
        <f>"5410700     "</f>
        <v xml:space="preserve">5410700     </v>
      </c>
      <c r="O23460">
        <v>230208</v>
      </c>
    </row>
    <row r="23461" spans="1:15" x14ac:dyDescent="0.25">
      <c r="A23461" t="s">
        <v>16</v>
      </c>
      <c r="B23461" t="s">
        <v>3221</v>
      </c>
      <c r="C23461">
        <v>1473</v>
      </c>
      <c r="D23461" t="s">
        <v>417</v>
      </c>
      <c r="E23461" t="s">
        <v>418</v>
      </c>
      <c r="F23461">
        <v>37.36</v>
      </c>
      <c r="G23461">
        <v>230131</v>
      </c>
      <c r="H23461">
        <v>4590</v>
      </c>
      <c r="I23461" t="s">
        <v>203</v>
      </c>
      <c r="J23461">
        <v>46.33</v>
      </c>
      <c r="K23461">
        <v>8.9700000000000006</v>
      </c>
      <c r="L23461">
        <v>17527</v>
      </c>
      <c r="M23461" t="s">
        <v>422</v>
      </c>
      <c r="N23461" t="str">
        <f>"5412127     "</f>
        <v xml:space="preserve">5412127     </v>
      </c>
      <c r="O23461">
        <v>230209</v>
      </c>
    </row>
    <row r="23462" spans="1:15" x14ac:dyDescent="0.25">
      <c r="A23462" t="s">
        <v>16</v>
      </c>
      <c r="B23462" t="s">
        <v>3221</v>
      </c>
      <c r="C23462">
        <v>9918</v>
      </c>
      <c r="D23462" t="s">
        <v>417</v>
      </c>
      <c r="E23462" t="s">
        <v>418</v>
      </c>
      <c r="F23462">
        <v>17.079999999999998</v>
      </c>
      <c r="G23462">
        <v>230731</v>
      </c>
      <c r="H23462">
        <v>4590</v>
      </c>
      <c r="I23462" t="s">
        <v>203</v>
      </c>
      <c r="J23462">
        <v>21.18</v>
      </c>
      <c r="K23462">
        <v>4.0999999999999996</v>
      </c>
      <c r="L23462">
        <v>69111</v>
      </c>
      <c r="M23462" t="s">
        <v>471</v>
      </c>
      <c r="N23462" t="str">
        <f>"5454573     "</f>
        <v xml:space="preserve">5454573     </v>
      </c>
      <c r="O23462">
        <v>230802</v>
      </c>
    </row>
    <row r="23463" spans="1:15" x14ac:dyDescent="0.25">
      <c r="A23463" t="s">
        <v>16</v>
      </c>
      <c r="B23463" t="s">
        <v>3221</v>
      </c>
      <c r="C23463">
        <v>11279</v>
      </c>
      <c r="D23463" t="s">
        <v>417</v>
      </c>
      <c r="E23463" t="s">
        <v>418</v>
      </c>
      <c r="F23463">
        <v>41.52</v>
      </c>
      <c r="G23463">
        <v>230831</v>
      </c>
      <c r="H23463">
        <v>4590</v>
      </c>
      <c r="I23463" t="s">
        <v>203</v>
      </c>
      <c r="J23463">
        <v>51.48</v>
      </c>
      <c r="K23463">
        <v>9.9600000000000009</v>
      </c>
      <c r="L23463">
        <v>17952</v>
      </c>
      <c r="M23463" t="s">
        <v>88</v>
      </c>
      <c r="N23463" t="str">
        <f>"5462912     "</f>
        <v xml:space="preserve">5462912     </v>
      </c>
      <c r="O23463">
        <v>230904</v>
      </c>
    </row>
    <row r="23464" spans="1:15" x14ac:dyDescent="0.25">
      <c r="A23464" t="s">
        <v>16</v>
      </c>
      <c r="B23464" t="s">
        <v>3221</v>
      </c>
      <c r="C23464">
        <v>1033</v>
      </c>
      <c r="D23464" t="s">
        <v>417</v>
      </c>
      <c r="E23464" t="s">
        <v>418</v>
      </c>
      <c r="F23464">
        <v>15.52</v>
      </c>
      <c r="G23464">
        <v>230131</v>
      </c>
      <c r="H23464">
        <v>4550</v>
      </c>
      <c r="I23464" t="s">
        <v>312</v>
      </c>
      <c r="J23464">
        <v>19.25</v>
      </c>
      <c r="K23464">
        <v>3.73</v>
      </c>
      <c r="L23464">
        <v>13801</v>
      </c>
      <c r="M23464" t="s">
        <v>162</v>
      </c>
      <c r="N23464" t="str">
        <f>"5413704     "</f>
        <v xml:space="preserve">5413704     </v>
      </c>
      <c r="O23464">
        <v>230202</v>
      </c>
    </row>
    <row r="23465" spans="1:15" x14ac:dyDescent="0.25">
      <c r="A23465" t="s">
        <v>16</v>
      </c>
      <c r="B23465" t="s">
        <v>3221</v>
      </c>
      <c r="C23465">
        <v>1345</v>
      </c>
      <c r="D23465" t="s">
        <v>417</v>
      </c>
      <c r="E23465" t="s">
        <v>418</v>
      </c>
      <c r="F23465">
        <v>27.76</v>
      </c>
      <c r="G23465">
        <v>230131</v>
      </c>
      <c r="H23465">
        <v>4550</v>
      </c>
      <c r="I23465" t="s">
        <v>312</v>
      </c>
      <c r="J23465">
        <v>34.42</v>
      </c>
      <c r="K23465">
        <v>6.66</v>
      </c>
      <c r="L23465">
        <v>59112</v>
      </c>
      <c r="M23465" t="s">
        <v>182</v>
      </c>
      <c r="N23465" t="str">
        <f>"5410700     "</f>
        <v xml:space="preserve">5410700     </v>
      </c>
      <c r="O23465">
        <v>230208</v>
      </c>
    </row>
    <row r="23466" spans="1:15" x14ac:dyDescent="0.25">
      <c r="A23466" t="s">
        <v>16</v>
      </c>
      <c r="B23466" t="s">
        <v>3221</v>
      </c>
      <c r="C23466">
        <v>2761</v>
      </c>
      <c r="D23466" t="s">
        <v>417</v>
      </c>
      <c r="E23466" t="s">
        <v>418</v>
      </c>
      <c r="F23466">
        <v>6.27</v>
      </c>
      <c r="G23466">
        <v>230228</v>
      </c>
      <c r="H23466">
        <v>4550</v>
      </c>
      <c r="I23466" t="s">
        <v>312</v>
      </c>
      <c r="J23466">
        <v>7.77</v>
      </c>
      <c r="K23466">
        <v>1.5</v>
      </c>
      <c r="L23466">
        <v>44453</v>
      </c>
      <c r="M23466" t="s">
        <v>492</v>
      </c>
      <c r="N23466" t="str">
        <f>"5417564     "</f>
        <v xml:space="preserve">5417564     </v>
      </c>
      <c r="O23466">
        <v>230307</v>
      </c>
    </row>
    <row r="23467" spans="1:15" x14ac:dyDescent="0.25">
      <c r="A23467" t="s">
        <v>16</v>
      </c>
      <c r="B23467" t="s">
        <v>3221</v>
      </c>
      <c r="C23467">
        <v>2761</v>
      </c>
      <c r="D23467" t="s">
        <v>417</v>
      </c>
      <c r="E23467" t="s">
        <v>418</v>
      </c>
      <c r="F23467">
        <v>6.35</v>
      </c>
      <c r="G23467">
        <v>230228</v>
      </c>
      <c r="H23467">
        <v>4550</v>
      </c>
      <c r="I23467" t="s">
        <v>312</v>
      </c>
      <c r="J23467">
        <v>7.88</v>
      </c>
      <c r="K23467">
        <v>1.53</v>
      </c>
      <c r="L23467">
        <v>47522</v>
      </c>
      <c r="M23467" t="s">
        <v>410</v>
      </c>
      <c r="N23467" t="str">
        <f>"5417564     "</f>
        <v xml:space="preserve">5417564     </v>
      </c>
      <c r="O23467">
        <v>230307</v>
      </c>
    </row>
    <row r="23468" spans="1:15" x14ac:dyDescent="0.25">
      <c r="A23468" t="s">
        <v>16</v>
      </c>
      <c r="B23468" t="s">
        <v>3221</v>
      </c>
      <c r="C23468">
        <v>2925</v>
      </c>
      <c r="D23468" t="s">
        <v>417</v>
      </c>
      <c r="E23468" t="s">
        <v>418</v>
      </c>
      <c r="F23468">
        <v>45.46</v>
      </c>
      <c r="G23468">
        <v>230228</v>
      </c>
      <c r="H23468">
        <v>4550</v>
      </c>
      <c r="I23468" t="s">
        <v>312</v>
      </c>
      <c r="J23468">
        <v>56.37</v>
      </c>
      <c r="K23468">
        <v>10.91</v>
      </c>
      <c r="L23468">
        <v>54252</v>
      </c>
      <c r="M23468" t="s">
        <v>534</v>
      </c>
      <c r="N23468" t="str">
        <f>"5418007     "</f>
        <v xml:space="preserve">5418007     </v>
      </c>
      <c r="O23468">
        <v>230308</v>
      </c>
    </row>
    <row r="23469" spans="1:15" x14ac:dyDescent="0.25">
      <c r="A23469" t="s">
        <v>16</v>
      </c>
      <c r="B23469" t="s">
        <v>3221</v>
      </c>
      <c r="C23469">
        <v>4709</v>
      </c>
      <c r="D23469" t="s">
        <v>417</v>
      </c>
      <c r="E23469" t="s">
        <v>418</v>
      </c>
      <c r="F23469">
        <v>18.18</v>
      </c>
      <c r="G23469">
        <v>230331</v>
      </c>
      <c r="H23469">
        <v>4550</v>
      </c>
      <c r="I23469" t="s">
        <v>312</v>
      </c>
      <c r="J23469">
        <v>22.54</v>
      </c>
      <c r="K23469">
        <v>4.3600000000000003</v>
      </c>
      <c r="L23469">
        <v>69111</v>
      </c>
      <c r="M23469" t="s">
        <v>471</v>
      </c>
      <c r="N23469" t="str">
        <f>"5424517     "</f>
        <v xml:space="preserve">5424517     </v>
      </c>
      <c r="O23469">
        <v>230412</v>
      </c>
    </row>
    <row r="23470" spans="1:15" x14ac:dyDescent="0.25">
      <c r="A23470" t="s">
        <v>16</v>
      </c>
      <c r="B23470" t="s">
        <v>3221</v>
      </c>
      <c r="C23470">
        <v>4709</v>
      </c>
      <c r="D23470" t="s">
        <v>417</v>
      </c>
      <c r="E23470" t="s">
        <v>418</v>
      </c>
      <c r="F23470">
        <v>3.77</v>
      </c>
      <c r="G23470">
        <v>230331</v>
      </c>
      <c r="H23470">
        <v>4550</v>
      </c>
      <c r="I23470" t="s">
        <v>312</v>
      </c>
      <c r="J23470">
        <v>4.68</v>
      </c>
      <c r="K23470">
        <v>0.91</v>
      </c>
      <c r="L23470">
        <v>69501</v>
      </c>
      <c r="M23470" t="s">
        <v>185</v>
      </c>
      <c r="N23470" t="str">
        <f>"5424517     "</f>
        <v xml:space="preserve">5424517     </v>
      </c>
      <c r="O23470">
        <v>230412</v>
      </c>
    </row>
    <row r="23471" spans="1:15" x14ac:dyDescent="0.25">
      <c r="A23471" t="s">
        <v>16</v>
      </c>
      <c r="B23471" t="s">
        <v>3221</v>
      </c>
      <c r="C23471">
        <v>4709</v>
      </c>
      <c r="D23471" t="s">
        <v>417</v>
      </c>
      <c r="E23471" t="s">
        <v>418</v>
      </c>
      <c r="F23471">
        <v>3.98</v>
      </c>
      <c r="G23471">
        <v>230331</v>
      </c>
      <c r="H23471">
        <v>4550</v>
      </c>
      <c r="I23471" t="s">
        <v>312</v>
      </c>
      <c r="J23471">
        <v>4.93</v>
      </c>
      <c r="K23471">
        <v>0.95</v>
      </c>
      <c r="L23471">
        <v>69704</v>
      </c>
      <c r="M23471" t="s">
        <v>325</v>
      </c>
      <c r="N23471" t="str">
        <f>"5424517     "</f>
        <v xml:space="preserve">5424517     </v>
      </c>
      <c r="O23471">
        <v>230412</v>
      </c>
    </row>
    <row r="23472" spans="1:15" x14ac:dyDescent="0.25">
      <c r="A23472" t="s">
        <v>16</v>
      </c>
      <c r="B23472" t="s">
        <v>3221</v>
      </c>
      <c r="C23472">
        <v>4888</v>
      </c>
      <c r="D23472" t="s">
        <v>417</v>
      </c>
      <c r="E23472" t="s">
        <v>418</v>
      </c>
      <c r="F23472">
        <v>11.77</v>
      </c>
      <c r="G23472">
        <v>230331</v>
      </c>
      <c r="H23472">
        <v>4550</v>
      </c>
      <c r="I23472" t="s">
        <v>312</v>
      </c>
      <c r="J23472">
        <v>14.59</v>
      </c>
      <c r="K23472">
        <v>2.82</v>
      </c>
      <c r="L23472">
        <v>46556</v>
      </c>
      <c r="M23472" t="s">
        <v>125</v>
      </c>
      <c r="N23472" t="str">
        <f>"5424275     "</f>
        <v xml:space="preserve">5424275     </v>
      </c>
      <c r="O23472">
        <v>230414</v>
      </c>
    </row>
    <row r="23473" spans="1:15" x14ac:dyDescent="0.25">
      <c r="A23473" t="s">
        <v>16</v>
      </c>
      <c r="B23473" t="s">
        <v>3221</v>
      </c>
      <c r="C23473">
        <v>5260</v>
      </c>
      <c r="D23473" t="s">
        <v>417</v>
      </c>
      <c r="E23473" t="s">
        <v>418</v>
      </c>
      <c r="F23473">
        <v>6.55</v>
      </c>
      <c r="G23473">
        <v>230415</v>
      </c>
      <c r="H23473">
        <v>4550</v>
      </c>
      <c r="I23473" t="s">
        <v>312</v>
      </c>
      <c r="J23473">
        <v>8.1199999999999992</v>
      </c>
      <c r="K23473">
        <v>1.57</v>
      </c>
      <c r="L23473">
        <v>17711</v>
      </c>
      <c r="M23473" t="s">
        <v>65</v>
      </c>
      <c r="N23473" t="str">
        <f>"5429578     "</f>
        <v xml:space="preserve">5429578     </v>
      </c>
      <c r="O23473">
        <v>230419</v>
      </c>
    </row>
    <row r="23474" spans="1:15" x14ac:dyDescent="0.25">
      <c r="A23474" t="s">
        <v>16</v>
      </c>
      <c r="B23474" t="s">
        <v>3221</v>
      </c>
      <c r="C23474">
        <v>5260</v>
      </c>
      <c r="D23474" t="s">
        <v>417</v>
      </c>
      <c r="E23474" t="s">
        <v>418</v>
      </c>
      <c r="F23474">
        <v>7.97</v>
      </c>
      <c r="G23474">
        <v>230415</v>
      </c>
      <c r="H23474">
        <v>4550</v>
      </c>
      <c r="I23474" t="s">
        <v>312</v>
      </c>
      <c r="J23474">
        <v>9.8800000000000008</v>
      </c>
      <c r="K23474">
        <v>1.91</v>
      </c>
      <c r="L23474">
        <v>17912</v>
      </c>
      <c r="M23474" t="s">
        <v>419</v>
      </c>
      <c r="N23474" t="str">
        <f>"5429578     "</f>
        <v xml:space="preserve">5429578     </v>
      </c>
      <c r="O23474">
        <v>230419</v>
      </c>
    </row>
    <row r="23475" spans="1:15" x14ac:dyDescent="0.25">
      <c r="A23475" t="s">
        <v>16</v>
      </c>
      <c r="B23475" t="s">
        <v>3221</v>
      </c>
      <c r="C23475">
        <v>5901</v>
      </c>
      <c r="D23475" t="s">
        <v>417</v>
      </c>
      <c r="E23475" t="s">
        <v>418</v>
      </c>
      <c r="F23475">
        <v>17.13</v>
      </c>
      <c r="G23475">
        <v>230430</v>
      </c>
      <c r="H23475">
        <v>4550</v>
      </c>
      <c r="I23475" t="s">
        <v>312</v>
      </c>
      <c r="J23475">
        <v>21.24</v>
      </c>
      <c r="K23475">
        <v>4.1100000000000003</v>
      </c>
      <c r="L23475">
        <v>66754</v>
      </c>
      <c r="M23475" t="s">
        <v>239</v>
      </c>
      <c r="N23475" t="str">
        <f>"5431790     "</f>
        <v xml:space="preserve">5431790     </v>
      </c>
      <c r="O23475">
        <v>230503</v>
      </c>
    </row>
    <row r="23476" spans="1:15" x14ac:dyDescent="0.25">
      <c r="A23476" t="s">
        <v>16</v>
      </c>
      <c r="B23476" t="s">
        <v>3221</v>
      </c>
      <c r="C23476">
        <v>6124</v>
      </c>
      <c r="D23476" t="s">
        <v>417</v>
      </c>
      <c r="E23476" t="s">
        <v>418</v>
      </c>
      <c r="F23476">
        <v>15.59</v>
      </c>
      <c r="G23476">
        <v>230430</v>
      </c>
      <c r="H23476">
        <v>4550</v>
      </c>
      <c r="I23476" t="s">
        <v>312</v>
      </c>
      <c r="J23476">
        <v>19.329999999999998</v>
      </c>
      <c r="K23476">
        <v>3.74</v>
      </c>
      <c r="L23476">
        <v>49501</v>
      </c>
      <c r="M23476" t="s">
        <v>177</v>
      </c>
      <c r="N23476" t="str">
        <f>"5431583     "</f>
        <v xml:space="preserve">5431583     </v>
      </c>
      <c r="O23476">
        <v>230508</v>
      </c>
    </row>
    <row r="23477" spans="1:15" x14ac:dyDescent="0.25">
      <c r="A23477" t="s">
        <v>16</v>
      </c>
      <c r="B23477" t="s">
        <v>3221</v>
      </c>
      <c r="C23477">
        <v>7869</v>
      </c>
      <c r="D23477" t="s">
        <v>417</v>
      </c>
      <c r="E23477" t="s">
        <v>418</v>
      </c>
      <c r="F23477">
        <v>14.01</v>
      </c>
      <c r="G23477">
        <v>230531</v>
      </c>
      <c r="H23477">
        <v>4550</v>
      </c>
      <c r="I23477" t="s">
        <v>312</v>
      </c>
      <c r="J23477">
        <v>17.37</v>
      </c>
      <c r="K23477">
        <v>3.36</v>
      </c>
      <c r="L23477">
        <v>49501</v>
      </c>
      <c r="M23477" t="s">
        <v>177</v>
      </c>
      <c r="N23477" t="str">
        <f>"5439370     "</f>
        <v xml:space="preserve">5439370     </v>
      </c>
      <c r="O23477">
        <v>230605</v>
      </c>
    </row>
    <row r="23478" spans="1:15" x14ac:dyDescent="0.25">
      <c r="A23478" t="s">
        <v>16</v>
      </c>
      <c r="B23478" t="s">
        <v>3221</v>
      </c>
      <c r="C23478">
        <v>8254</v>
      </c>
      <c r="D23478" t="s">
        <v>417</v>
      </c>
      <c r="E23478" t="s">
        <v>418</v>
      </c>
      <c r="F23478">
        <v>6.51</v>
      </c>
      <c r="G23478">
        <v>230531</v>
      </c>
      <c r="H23478">
        <v>4550</v>
      </c>
      <c r="I23478" t="s">
        <v>312</v>
      </c>
      <c r="J23478">
        <v>8.07</v>
      </c>
      <c r="K23478">
        <v>1.56</v>
      </c>
      <c r="L23478">
        <v>69111</v>
      </c>
      <c r="M23478" t="s">
        <v>471</v>
      </c>
      <c r="N23478" t="str">
        <f>"5439622     "</f>
        <v xml:space="preserve">5439622     </v>
      </c>
      <c r="O23478">
        <v>230608</v>
      </c>
    </row>
    <row r="23479" spans="1:15" x14ac:dyDescent="0.25">
      <c r="A23479" t="s">
        <v>16</v>
      </c>
      <c r="B23479" t="s">
        <v>3221</v>
      </c>
      <c r="C23479">
        <v>8271</v>
      </c>
      <c r="D23479" t="s">
        <v>417</v>
      </c>
      <c r="E23479" t="s">
        <v>418</v>
      </c>
      <c r="F23479">
        <v>39.5</v>
      </c>
      <c r="G23479">
        <v>230531</v>
      </c>
      <c r="H23479">
        <v>4550</v>
      </c>
      <c r="I23479" t="s">
        <v>312</v>
      </c>
      <c r="J23479">
        <v>48.98</v>
      </c>
      <c r="K23479">
        <v>9.48</v>
      </c>
      <c r="L23479">
        <v>17950</v>
      </c>
      <c r="M23479" t="s">
        <v>86</v>
      </c>
      <c r="N23479" t="str">
        <f>"5442289     "</f>
        <v xml:space="preserve">5442289     </v>
      </c>
      <c r="O23479">
        <v>230608</v>
      </c>
    </row>
    <row r="23480" spans="1:15" x14ac:dyDescent="0.25">
      <c r="A23480" t="s">
        <v>16</v>
      </c>
      <c r="B23480" t="s">
        <v>3221</v>
      </c>
      <c r="C23480">
        <v>8271</v>
      </c>
      <c r="D23480" t="s">
        <v>417</v>
      </c>
      <c r="E23480" t="s">
        <v>418</v>
      </c>
      <c r="F23480">
        <v>13.16</v>
      </c>
      <c r="G23480">
        <v>230531</v>
      </c>
      <c r="H23480">
        <v>4550</v>
      </c>
      <c r="I23480" t="s">
        <v>312</v>
      </c>
      <c r="J23480">
        <v>16.32</v>
      </c>
      <c r="K23480">
        <v>3.16</v>
      </c>
      <c r="L23480">
        <v>17956</v>
      </c>
      <c r="M23480" t="s">
        <v>53</v>
      </c>
      <c r="N23480" t="str">
        <f>"5442289     "</f>
        <v xml:space="preserve">5442289     </v>
      </c>
      <c r="O23480">
        <v>230608</v>
      </c>
    </row>
    <row r="23481" spans="1:15" x14ac:dyDescent="0.25">
      <c r="A23481" t="s">
        <v>16</v>
      </c>
      <c r="B23481" t="s">
        <v>3221</v>
      </c>
      <c r="C23481">
        <v>8371</v>
      </c>
      <c r="D23481" t="s">
        <v>417</v>
      </c>
      <c r="E23481" t="s">
        <v>418</v>
      </c>
      <c r="F23481">
        <v>45.07</v>
      </c>
      <c r="G23481">
        <v>230531</v>
      </c>
      <c r="H23481">
        <v>4550</v>
      </c>
      <c r="I23481" t="s">
        <v>312</v>
      </c>
      <c r="J23481">
        <v>55.89</v>
      </c>
      <c r="K23481">
        <v>10.82</v>
      </c>
      <c r="L23481">
        <v>54222</v>
      </c>
      <c r="M23481" t="s">
        <v>308</v>
      </c>
      <c r="N23481" t="str">
        <f>"5439919     "</f>
        <v xml:space="preserve">5439919     </v>
      </c>
      <c r="O23481">
        <v>230608</v>
      </c>
    </row>
    <row r="23482" spans="1:15" x14ac:dyDescent="0.25">
      <c r="A23482" t="s">
        <v>16</v>
      </c>
      <c r="B23482" t="s">
        <v>3221</v>
      </c>
      <c r="C23482">
        <v>9344</v>
      </c>
      <c r="D23482" t="s">
        <v>417</v>
      </c>
      <c r="E23482" t="s">
        <v>418</v>
      </c>
      <c r="F23482">
        <v>26.37</v>
      </c>
      <c r="G23482">
        <v>230630</v>
      </c>
      <c r="H23482">
        <v>4550</v>
      </c>
      <c r="I23482" t="s">
        <v>312</v>
      </c>
      <c r="J23482">
        <v>32.700000000000003</v>
      </c>
      <c r="K23482">
        <v>6.33</v>
      </c>
      <c r="L23482">
        <v>69111</v>
      </c>
      <c r="M23482" t="s">
        <v>471</v>
      </c>
      <c r="N23482" t="str">
        <f>"5448131     "</f>
        <v xml:space="preserve">5448131     </v>
      </c>
      <c r="O23482">
        <v>230706</v>
      </c>
    </row>
    <row r="23483" spans="1:15" x14ac:dyDescent="0.25">
      <c r="A23483" t="s">
        <v>16</v>
      </c>
      <c r="B23483" t="s">
        <v>3221</v>
      </c>
      <c r="C23483">
        <v>9344</v>
      </c>
      <c r="D23483" t="s">
        <v>417</v>
      </c>
      <c r="E23483" t="s">
        <v>418</v>
      </c>
      <c r="F23483">
        <v>16.66</v>
      </c>
      <c r="G23483">
        <v>230630</v>
      </c>
      <c r="H23483">
        <v>4550</v>
      </c>
      <c r="I23483" t="s">
        <v>312</v>
      </c>
      <c r="J23483">
        <v>20.66</v>
      </c>
      <c r="K23483">
        <v>4</v>
      </c>
      <c r="L23483">
        <v>69501</v>
      </c>
      <c r="M23483" t="s">
        <v>185</v>
      </c>
      <c r="N23483" t="str">
        <f>"5448131     "</f>
        <v xml:space="preserve">5448131     </v>
      </c>
      <c r="O23483">
        <v>230706</v>
      </c>
    </row>
    <row r="23484" spans="1:15" x14ac:dyDescent="0.25">
      <c r="A23484" t="s">
        <v>16</v>
      </c>
      <c r="B23484" t="s">
        <v>3221</v>
      </c>
      <c r="C23484">
        <v>9379</v>
      </c>
      <c r="D23484" t="s">
        <v>417</v>
      </c>
      <c r="E23484" t="s">
        <v>418</v>
      </c>
      <c r="F23484">
        <v>36.979999999999997</v>
      </c>
      <c r="G23484">
        <v>230630</v>
      </c>
      <c r="H23484">
        <v>4550</v>
      </c>
      <c r="I23484" t="s">
        <v>312</v>
      </c>
      <c r="J23484">
        <v>45.86</v>
      </c>
      <c r="K23484">
        <v>8.8800000000000008</v>
      </c>
      <c r="L23484">
        <v>59112</v>
      </c>
      <c r="M23484" t="s">
        <v>182</v>
      </c>
      <c r="N23484" t="str">
        <f>"5448377     "</f>
        <v xml:space="preserve">5448377     </v>
      </c>
      <c r="O23484">
        <v>230710</v>
      </c>
    </row>
    <row r="23485" spans="1:15" x14ac:dyDescent="0.25">
      <c r="A23485" t="s">
        <v>16</v>
      </c>
      <c r="B23485" t="s">
        <v>3221</v>
      </c>
      <c r="C23485">
        <v>9379</v>
      </c>
      <c r="D23485" t="s">
        <v>417</v>
      </c>
      <c r="E23485" t="s">
        <v>418</v>
      </c>
      <c r="F23485">
        <v>26.35</v>
      </c>
      <c r="G23485">
        <v>230630</v>
      </c>
      <c r="H23485">
        <v>4550</v>
      </c>
      <c r="I23485" t="s">
        <v>312</v>
      </c>
      <c r="J23485">
        <v>32.68</v>
      </c>
      <c r="K23485">
        <v>6.33</v>
      </c>
      <c r="L23485">
        <v>59501</v>
      </c>
      <c r="M23485" t="s">
        <v>69</v>
      </c>
      <c r="N23485" t="str">
        <f>"5448377     "</f>
        <v xml:space="preserve">5448377     </v>
      </c>
      <c r="O23485">
        <v>230710</v>
      </c>
    </row>
    <row r="23486" spans="1:15" x14ac:dyDescent="0.25">
      <c r="A23486" t="s">
        <v>16</v>
      </c>
      <c r="B23486" t="s">
        <v>3221</v>
      </c>
      <c r="C23486">
        <v>9860</v>
      </c>
      <c r="D23486" t="s">
        <v>417</v>
      </c>
      <c r="E23486" t="s">
        <v>418</v>
      </c>
      <c r="F23486">
        <v>35.520000000000003</v>
      </c>
      <c r="G23486">
        <v>230715</v>
      </c>
      <c r="H23486">
        <v>4550</v>
      </c>
      <c r="I23486" t="s">
        <v>312</v>
      </c>
      <c r="J23486">
        <v>44.05</v>
      </c>
      <c r="K23486">
        <v>8.5299999999999994</v>
      </c>
      <c r="L23486">
        <v>17912</v>
      </c>
      <c r="M23486" t="s">
        <v>419</v>
      </c>
      <c r="N23486" t="str">
        <f>"5452589     "</f>
        <v xml:space="preserve">5452589     </v>
      </c>
      <c r="O23486">
        <v>230731</v>
      </c>
    </row>
    <row r="23487" spans="1:15" x14ac:dyDescent="0.25">
      <c r="A23487" t="s">
        <v>16</v>
      </c>
      <c r="B23487" t="s">
        <v>3221</v>
      </c>
      <c r="C23487">
        <v>10227</v>
      </c>
      <c r="D23487" t="s">
        <v>417</v>
      </c>
      <c r="E23487" t="s">
        <v>418</v>
      </c>
      <c r="F23487">
        <v>43.12</v>
      </c>
      <c r="G23487">
        <v>230731</v>
      </c>
      <c r="H23487">
        <v>4550</v>
      </c>
      <c r="I23487" t="s">
        <v>312</v>
      </c>
      <c r="J23487">
        <v>53.47</v>
      </c>
      <c r="K23487">
        <v>10.35</v>
      </c>
      <c r="L23487">
        <v>59111</v>
      </c>
      <c r="M23487" t="s">
        <v>1010</v>
      </c>
      <c r="N23487" t="str">
        <f>"5454721     "</f>
        <v xml:space="preserve">5454721     </v>
      </c>
      <c r="O23487">
        <v>230810</v>
      </c>
    </row>
    <row r="23488" spans="1:15" x14ac:dyDescent="0.25">
      <c r="A23488" t="s">
        <v>16</v>
      </c>
      <c r="B23488" t="s">
        <v>3221</v>
      </c>
      <c r="C23488">
        <v>11279</v>
      </c>
      <c r="D23488" t="s">
        <v>417</v>
      </c>
      <c r="E23488" t="s">
        <v>418</v>
      </c>
      <c r="F23488">
        <v>22.26</v>
      </c>
      <c r="G23488">
        <v>230831</v>
      </c>
      <c r="H23488">
        <v>4550</v>
      </c>
      <c r="I23488" t="s">
        <v>312</v>
      </c>
      <c r="J23488">
        <v>27.6</v>
      </c>
      <c r="K23488">
        <v>5.34</v>
      </c>
      <c r="L23488">
        <v>17711</v>
      </c>
      <c r="M23488" t="s">
        <v>65</v>
      </c>
      <c r="N23488" t="str">
        <f>"5462912     "</f>
        <v xml:space="preserve">5462912     </v>
      </c>
      <c r="O23488">
        <v>230904</v>
      </c>
    </row>
    <row r="23489" spans="1:15" x14ac:dyDescent="0.25">
      <c r="A23489" t="s">
        <v>16</v>
      </c>
      <c r="B23489" t="s">
        <v>3221</v>
      </c>
      <c r="C23489">
        <v>11933</v>
      </c>
      <c r="D23489" t="s">
        <v>417</v>
      </c>
      <c r="E23489" t="s">
        <v>418</v>
      </c>
      <c r="F23489">
        <v>5.58</v>
      </c>
      <c r="G23489">
        <v>230831</v>
      </c>
      <c r="H23489">
        <v>4550</v>
      </c>
      <c r="I23489" t="s">
        <v>312</v>
      </c>
      <c r="J23489">
        <v>6.92</v>
      </c>
      <c r="K23489">
        <v>1.34</v>
      </c>
      <c r="L23489">
        <v>47522</v>
      </c>
      <c r="M23489" t="s">
        <v>410</v>
      </c>
      <c r="N23489" t="str">
        <f>"5460935     "</f>
        <v xml:space="preserve">5460935     </v>
      </c>
      <c r="O23489">
        <v>230912</v>
      </c>
    </row>
    <row r="23490" spans="1:15" x14ac:dyDescent="0.25">
      <c r="A23490" t="s">
        <v>16</v>
      </c>
      <c r="B23490" t="s">
        <v>3221</v>
      </c>
      <c r="C23490">
        <v>12234</v>
      </c>
      <c r="D23490" t="s">
        <v>417</v>
      </c>
      <c r="E23490" t="s">
        <v>418</v>
      </c>
      <c r="F23490">
        <v>35.270000000000003</v>
      </c>
      <c r="G23490">
        <v>230831</v>
      </c>
      <c r="H23490">
        <v>4550</v>
      </c>
      <c r="I23490" t="s">
        <v>312</v>
      </c>
      <c r="J23490">
        <v>43.73</v>
      </c>
      <c r="K23490">
        <v>8.4600000000000009</v>
      </c>
      <c r="L23490">
        <v>67554</v>
      </c>
      <c r="M23490" t="s">
        <v>60</v>
      </c>
      <c r="N23490" t="str">
        <f>"5461194     "</f>
        <v xml:space="preserve">5461194     </v>
      </c>
      <c r="O23490">
        <v>230918</v>
      </c>
    </row>
    <row r="23491" spans="1:15" x14ac:dyDescent="0.25">
      <c r="A23491" t="s">
        <v>16</v>
      </c>
      <c r="B23491" t="s">
        <v>3221</v>
      </c>
      <c r="C23491">
        <v>13690</v>
      </c>
      <c r="D23491" t="s">
        <v>417</v>
      </c>
      <c r="E23491" t="s">
        <v>418</v>
      </c>
      <c r="F23491">
        <v>28.35</v>
      </c>
      <c r="G23491">
        <v>230930</v>
      </c>
      <c r="H23491">
        <v>4550</v>
      </c>
      <c r="I23491" t="s">
        <v>312</v>
      </c>
      <c r="J23491">
        <v>35.159999999999997</v>
      </c>
      <c r="K23491">
        <v>6.81</v>
      </c>
      <c r="L23491">
        <v>59111</v>
      </c>
      <c r="M23491" t="s">
        <v>1010</v>
      </c>
      <c r="N23491" t="str">
        <f>"5469342     "</f>
        <v xml:space="preserve">5469342     </v>
      </c>
      <c r="O23491">
        <v>231012</v>
      </c>
    </row>
    <row r="23492" spans="1:15" x14ac:dyDescent="0.25">
      <c r="A23492" t="s">
        <v>16</v>
      </c>
      <c r="B23492" t="s">
        <v>3221</v>
      </c>
      <c r="C23492">
        <v>14008</v>
      </c>
      <c r="D23492" t="s">
        <v>417</v>
      </c>
      <c r="E23492" t="s">
        <v>418</v>
      </c>
      <c r="F23492">
        <v>14.44</v>
      </c>
      <c r="G23492">
        <v>230930</v>
      </c>
      <c r="H23492">
        <v>4550</v>
      </c>
      <c r="I23492" t="s">
        <v>312</v>
      </c>
      <c r="J23492">
        <v>17.91</v>
      </c>
      <c r="K23492">
        <v>3.47</v>
      </c>
      <c r="L23492">
        <v>47522</v>
      </c>
      <c r="M23492" t="s">
        <v>410</v>
      </c>
      <c r="N23492" t="str">
        <f>"5468843     "</f>
        <v xml:space="preserve">5468843     </v>
      </c>
      <c r="O23492">
        <v>231017</v>
      </c>
    </row>
    <row r="23493" spans="1:15" x14ac:dyDescent="0.25">
      <c r="A23493" t="s">
        <v>16</v>
      </c>
      <c r="B23493" t="s">
        <v>3221</v>
      </c>
      <c r="C23493">
        <v>14283</v>
      </c>
      <c r="D23493" t="s">
        <v>417</v>
      </c>
      <c r="E23493" t="s">
        <v>418</v>
      </c>
      <c r="F23493">
        <v>12.31</v>
      </c>
      <c r="G23493">
        <v>231015</v>
      </c>
      <c r="H23493">
        <v>4550</v>
      </c>
      <c r="I23493" t="s">
        <v>312</v>
      </c>
      <c r="J23493">
        <v>15.26</v>
      </c>
      <c r="K23493">
        <v>2.95</v>
      </c>
      <c r="L23493">
        <v>17950</v>
      </c>
      <c r="M23493" t="s">
        <v>86</v>
      </c>
      <c r="N23493" t="str">
        <f>"5474664     "</f>
        <v xml:space="preserve">5474664     </v>
      </c>
      <c r="O23493">
        <v>231025</v>
      </c>
    </row>
    <row r="23494" spans="1:15" x14ac:dyDescent="0.25">
      <c r="A23494" t="s">
        <v>16</v>
      </c>
      <c r="B23494" t="s">
        <v>3221</v>
      </c>
      <c r="C23494">
        <v>14922</v>
      </c>
      <c r="D23494" t="s">
        <v>417</v>
      </c>
      <c r="E23494" t="s">
        <v>418</v>
      </c>
      <c r="F23494">
        <v>80.45</v>
      </c>
      <c r="G23494">
        <v>231031</v>
      </c>
      <c r="H23494">
        <v>4550</v>
      </c>
      <c r="I23494" t="s">
        <v>312</v>
      </c>
      <c r="J23494">
        <v>99.76</v>
      </c>
      <c r="K23494">
        <v>19.309999999999999</v>
      </c>
      <c r="L23494">
        <v>44252</v>
      </c>
      <c r="M23494" t="s">
        <v>157</v>
      </c>
      <c r="N23494" t="str">
        <f>"5476327     "</f>
        <v xml:space="preserve">5476327     </v>
      </c>
      <c r="O23494">
        <v>231107</v>
      </c>
    </row>
    <row r="23495" spans="1:15" x14ac:dyDescent="0.25">
      <c r="A23495" t="s">
        <v>16</v>
      </c>
      <c r="B23495" t="s">
        <v>3221</v>
      </c>
      <c r="C23495">
        <v>14922</v>
      </c>
      <c r="D23495" t="s">
        <v>417</v>
      </c>
      <c r="E23495" t="s">
        <v>418</v>
      </c>
      <c r="F23495">
        <v>130.65</v>
      </c>
      <c r="G23495">
        <v>231031</v>
      </c>
      <c r="H23495">
        <v>4550</v>
      </c>
      <c r="I23495" t="s">
        <v>312</v>
      </c>
      <c r="J23495">
        <v>162.01</v>
      </c>
      <c r="K23495">
        <v>31.36</v>
      </c>
      <c r="L23495">
        <v>49803</v>
      </c>
      <c r="M23495" t="s">
        <v>1229</v>
      </c>
      <c r="N23495" t="str">
        <f>"5476327     "</f>
        <v xml:space="preserve">5476327     </v>
      </c>
      <c r="O23495">
        <v>231107</v>
      </c>
    </row>
    <row r="23496" spans="1:15" x14ac:dyDescent="0.25">
      <c r="A23496" t="s">
        <v>16</v>
      </c>
      <c r="B23496" t="s">
        <v>3221</v>
      </c>
      <c r="C23496">
        <v>15568</v>
      </c>
      <c r="D23496" t="s">
        <v>417</v>
      </c>
      <c r="E23496" t="s">
        <v>418</v>
      </c>
      <c r="F23496">
        <v>7.66</v>
      </c>
      <c r="G23496">
        <v>231031</v>
      </c>
      <c r="H23496">
        <v>4550</v>
      </c>
      <c r="I23496" t="s">
        <v>312</v>
      </c>
      <c r="J23496">
        <v>9.5</v>
      </c>
      <c r="K23496">
        <v>1.84</v>
      </c>
      <c r="L23496">
        <v>54252</v>
      </c>
      <c r="M23496" t="s">
        <v>534</v>
      </c>
      <c r="N23496" t="str">
        <f>"5476813     "</f>
        <v xml:space="preserve">5476813     </v>
      </c>
      <c r="O23496">
        <v>231114</v>
      </c>
    </row>
    <row r="23497" spans="1:15" x14ac:dyDescent="0.25">
      <c r="A23497" t="s">
        <v>16</v>
      </c>
      <c r="B23497" t="s">
        <v>3221</v>
      </c>
      <c r="C23497">
        <v>8254</v>
      </c>
      <c r="D23497" t="s">
        <v>417</v>
      </c>
      <c r="E23497" t="s">
        <v>418</v>
      </c>
      <c r="F23497">
        <v>17.95</v>
      </c>
      <c r="G23497">
        <v>230531</v>
      </c>
      <c r="H23497">
        <v>4572</v>
      </c>
      <c r="I23497" t="s">
        <v>122</v>
      </c>
      <c r="J23497">
        <v>22.26</v>
      </c>
      <c r="K23497">
        <v>4.3099999999999996</v>
      </c>
      <c r="L23497">
        <v>69111</v>
      </c>
      <c r="M23497" t="s">
        <v>471</v>
      </c>
      <c r="N23497" t="str">
        <f>"5439622     "</f>
        <v xml:space="preserve">5439622     </v>
      </c>
      <c r="O23497">
        <v>230608</v>
      </c>
    </row>
    <row r="23498" spans="1:15" x14ac:dyDescent="0.25">
      <c r="A23498" t="s">
        <v>16</v>
      </c>
      <c r="B23498" t="s">
        <v>3221</v>
      </c>
      <c r="C23498">
        <v>9272</v>
      </c>
      <c r="D23498" t="s">
        <v>417</v>
      </c>
      <c r="E23498" t="s">
        <v>418</v>
      </c>
      <c r="F23498">
        <v>31.48</v>
      </c>
      <c r="G23498">
        <v>230630</v>
      </c>
      <c r="H23498">
        <v>4572</v>
      </c>
      <c r="I23498" t="s">
        <v>122</v>
      </c>
      <c r="J23498">
        <v>39.04</v>
      </c>
      <c r="K23498">
        <v>7.56</v>
      </c>
      <c r="L23498">
        <v>17952</v>
      </c>
      <c r="M23498" t="s">
        <v>88</v>
      </c>
      <c r="N23498" t="str">
        <f>"5449514     "</f>
        <v xml:space="preserve">5449514     </v>
      </c>
      <c r="O23498">
        <v>230703</v>
      </c>
    </row>
    <row r="23499" spans="1:15" x14ac:dyDescent="0.25">
      <c r="A23499" t="s">
        <v>16</v>
      </c>
      <c r="B23499" t="s">
        <v>3221</v>
      </c>
      <c r="C23499">
        <v>14882</v>
      </c>
      <c r="D23499" t="s">
        <v>417</v>
      </c>
      <c r="E23499" t="s">
        <v>418</v>
      </c>
      <c r="F23499">
        <v>49.91</v>
      </c>
      <c r="G23499">
        <v>231031</v>
      </c>
      <c r="H23499">
        <v>4572</v>
      </c>
      <c r="I23499" t="s">
        <v>122</v>
      </c>
      <c r="J23499">
        <v>61.89</v>
      </c>
      <c r="K23499">
        <v>11.98</v>
      </c>
      <c r="L23499">
        <v>17952</v>
      </c>
      <c r="M23499" t="s">
        <v>88</v>
      </c>
      <c r="N23499" t="str">
        <f>"5478195     "</f>
        <v xml:space="preserve">5478195     </v>
      </c>
      <c r="O23499">
        <v>231107</v>
      </c>
    </row>
    <row r="23500" spans="1:15" x14ac:dyDescent="0.25">
      <c r="A23500" t="s">
        <v>16</v>
      </c>
      <c r="B23500" t="s">
        <v>3221</v>
      </c>
      <c r="C23500">
        <v>15979</v>
      </c>
      <c r="D23500" t="s">
        <v>417</v>
      </c>
      <c r="E23500" t="s">
        <v>418</v>
      </c>
      <c r="F23500">
        <v>46.1</v>
      </c>
      <c r="G23500">
        <v>231115</v>
      </c>
      <c r="H23500">
        <v>4572</v>
      </c>
      <c r="I23500" t="s">
        <v>122</v>
      </c>
      <c r="J23500">
        <v>57.16</v>
      </c>
      <c r="K23500">
        <v>11.06</v>
      </c>
      <c r="L23500">
        <v>17951</v>
      </c>
      <c r="M23500" t="s">
        <v>87</v>
      </c>
      <c r="N23500" t="str">
        <f>"5482057     "</f>
        <v xml:space="preserve">5482057     </v>
      </c>
      <c r="O23500">
        <v>231122</v>
      </c>
    </row>
    <row r="23501" spans="1:15" x14ac:dyDescent="0.25">
      <c r="A23501" t="s">
        <v>16</v>
      </c>
      <c r="B23501" t="s">
        <v>3221</v>
      </c>
      <c r="C23501">
        <v>1342</v>
      </c>
      <c r="D23501" t="s">
        <v>417</v>
      </c>
      <c r="E23501" t="s">
        <v>418</v>
      </c>
      <c r="F23501">
        <v>30.13</v>
      </c>
      <c r="G23501">
        <v>230131</v>
      </c>
      <c r="H23501">
        <v>4500</v>
      </c>
      <c r="I23501" t="s">
        <v>212</v>
      </c>
      <c r="J23501">
        <v>37.36</v>
      </c>
      <c r="K23501">
        <v>7.23</v>
      </c>
      <c r="L23501">
        <v>13502</v>
      </c>
      <c r="M23501" t="s">
        <v>243</v>
      </c>
      <c r="N23501" t="str">
        <f>"5412906     "</f>
        <v xml:space="preserve">5412906     </v>
      </c>
      <c r="O23501">
        <v>230208</v>
      </c>
    </row>
    <row r="23502" spans="1:15" x14ac:dyDescent="0.25">
      <c r="A23502" t="s">
        <v>16</v>
      </c>
      <c r="B23502" t="s">
        <v>3221</v>
      </c>
      <c r="C23502">
        <v>1342</v>
      </c>
      <c r="D23502" t="s">
        <v>417</v>
      </c>
      <c r="E23502" t="s">
        <v>418</v>
      </c>
      <c r="F23502">
        <v>52.62</v>
      </c>
      <c r="G23502">
        <v>230131</v>
      </c>
      <c r="H23502">
        <v>4500</v>
      </c>
      <c r="I23502" t="s">
        <v>212</v>
      </c>
      <c r="J23502">
        <v>65.25</v>
      </c>
      <c r="K23502">
        <v>12.63</v>
      </c>
      <c r="L23502">
        <v>17537</v>
      </c>
      <c r="M23502" t="s">
        <v>455</v>
      </c>
      <c r="N23502" t="str">
        <f>"5412906     "</f>
        <v xml:space="preserve">5412906     </v>
      </c>
      <c r="O23502">
        <v>230208</v>
      </c>
    </row>
    <row r="23503" spans="1:15" x14ac:dyDescent="0.25">
      <c r="A23503" t="s">
        <v>16</v>
      </c>
      <c r="B23503" t="s">
        <v>3221</v>
      </c>
      <c r="C23503">
        <v>1345</v>
      </c>
      <c r="D23503" t="s">
        <v>417</v>
      </c>
      <c r="E23503" t="s">
        <v>418</v>
      </c>
      <c r="F23503">
        <v>28.93</v>
      </c>
      <c r="G23503">
        <v>230131</v>
      </c>
      <c r="H23503">
        <v>4500</v>
      </c>
      <c r="I23503" t="s">
        <v>212</v>
      </c>
      <c r="J23503">
        <v>35.869999999999997</v>
      </c>
      <c r="K23503">
        <v>6.94</v>
      </c>
      <c r="L23503">
        <v>59702</v>
      </c>
      <c r="M23503" t="s">
        <v>328</v>
      </c>
      <c r="N23503" t="str">
        <f>"5410700     "</f>
        <v xml:space="preserve">5410700     </v>
      </c>
      <c r="O23503">
        <v>230208</v>
      </c>
    </row>
    <row r="23504" spans="1:15" x14ac:dyDescent="0.25">
      <c r="A23504" t="s">
        <v>16</v>
      </c>
      <c r="B23504" t="s">
        <v>3221</v>
      </c>
      <c r="C23504">
        <v>2761</v>
      </c>
      <c r="D23504" t="s">
        <v>417</v>
      </c>
      <c r="E23504" t="s">
        <v>418</v>
      </c>
      <c r="F23504">
        <v>13.8</v>
      </c>
      <c r="G23504">
        <v>230228</v>
      </c>
      <c r="H23504">
        <v>4500</v>
      </c>
      <c r="I23504" t="s">
        <v>212</v>
      </c>
      <c r="J23504">
        <v>17.11</v>
      </c>
      <c r="K23504">
        <v>3.31</v>
      </c>
      <c r="L23504">
        <v>49501</v>
      </c>
      <c r="M23504" t="s">
        <v>177</v>
      </c>
      <c r="N23504" t="str">
        <f>"5417564     "</f>
        <v xml:space="preserve">5417564     </v>
      </c>
      <c r="O23504">
        <v>230307</v>
      </c>
    </row>
    <row r="23505" spans="1:15" x14ac:dyDescent="0.25">
      <c r="A23505" t="s">
        <v>16</v>
      </c>
      <c r="B23505" t="s">
        <v>3221</v>
      </c>
      <c r="C23505">
        <v>3070</v>
      </c>
      <c r="D23505" t="s">
        <v>417</v>
      </c>
      <c r="E23505" t="s">
        <v>418</v>
      </c>
      <c r="F23505">
        <v>24.14</v>
      </c>
      <c r="G23505">
        <v>230228</v>
      </c>
      <c r="H23505">
        <v>4500</v>
      </c>
      <c r="I23505" t="s">
        <v>212</v>
      </c>
      <c r="J23505">
        <v>29.93</v>
      </c>
      <c r="K23505">
        <v>5.79</v>
      </c>
      <c r="L23505">
        <v>13501</v>
      </c>
      <c r="M23505" t="s">
        <v>20</v>
      </c>
      <c r="N23505" t="str">
        <f>"5419812     "</f>
        <v xml:space="preserve">5419812     </v>
      </c>
      <c r="O23505">
        <v>230309</v>
      </c>
    </row>
    <row r="23506" spans="1:15" x14ac:dyDescent="0.25">
      <c r="A23506" t="s">
        <v>16</v>
      </c>
      <c r="B23506" t="s">
        <v>3221</v>
      </c>
      <c r="C23506">
        <v>4888</v>
      </c>
      <c r="D23506" t="s">
        <v>417</v>
      </c>
      <c r="E23506" t="s">
        <v>418</v>
      </c>
      <c r="F23506">
        <v>9.68</v>
      </c>
      <c r="G23506">
        <v>230331</v>
      </c>
      <c r="H23506">
        <v>4500</v>
      </c>
      <c r="I23506" t="s">
        <v>212</v>
      </c>
      <c r="J23506">
        <v>12</v>
      </c>
      <c r="K23506">
        <v>2.3199999999999998</v>
      </c>
      <c r="L23506">
        <v>48601</v>
      </c>
      <c r="M23506" t="s">
        <v>1047</v>
      </c>
      <c r="N23506" t="str">
        <f>"5424275     "</f>
        <v xml:space="preserve">5424275     </v>
      </c>
      <c r="O23506">
        <v>230414</v>
      </c>
    </row>
    <row r="23507" spans="1:15" x14ac:dyDescent="0.25">
      <c r="A23507" t="s">
        <v>16</v>
      </c>
      <c r="B23507" t="s">
        <v>3221</v>
      </c>
      <c r="C23507">
        <v>5259</v>
      </c>
      <c r="D23507" t="s">
        <v>417</v>
      </c>
      <c r="E23507" t="s">
        <v>418</v>
      </c>
      <c r="F23507">
        <v>22.08</v>
      </c>
      <c r="G23507">
        <v>230415</v>
      </c>
      <c r="H23507">
        <v>4500</v>
      </c>
      <c r="I23507" t="s">
        <v>212</v>
      </c>
      <c r="J23507">
        <v>27.38</v>
      </c>
      <c r="K23507">
        <v>5.3</v>
      </c>
      <c r="L23507">
        <v>17538</v>
      </c>
      <c r="M23507" t="s">
        <v>24</v>
      </c>
      <c r="N23507" t="str">
        <f>"5430240     "</f>
        <v xml:space="preserve">5430240     </v>
      </c>
      <c r="O23507">
        <v>230419</v>
      </c>
    </row>
    <row r="23508" spans="1:15" x14ac:dyDescent="0.25">
      <c r="A23508" t="s">
        <v>16</v>
      </c>
      <c r="B23508" t="s">
        <v>3221</v>
      </c>
      <c r="C23508">
        <v>11802</v>
      </c>
      <c r="D23508" t="s">
        <v>417</v>
      </c>
      <c r="E23508" t="s">
        <v>418</v>
      </c>
      <c r="F23508">
        <v>25.73</v>
      </c>
      <c r="G23508">
        <v>230831</v>
      </c>
      <c r="H23508">
        <v>4500</v>
      </c>
      <c r="I23508" t="s">
        <v>212</v>
      </c>
      <c r="J23508">
        <v>31.9</v>
      </c>
      <c r="K23508">
        <v>6.17</v>
      </c>
      <c r="L23508">
        <v>59702</v>
      </c>
      <c r="M23508" t="s">
        <v>328</v>
      </c>
      <c r="N23508" t="str">
        <f>"5461483     "</f>
        <v xml:space="preserve">5461483     </v>
      </c>
      <c r="O23508">
        <v>230911</v>
      </c>
    </row>
    <row r="23509" spans="1:15" x14ac:dyDescent="0.25">
      <c r="A23509" t="s">
        <v>16</v>
      </c>
      <c r="B23509" t="s">
        <v>3221</v>
      </c>
      <c r="C23509">
        <v>12566</v>
      </c>
      <c r="D23509" t="s">
        <v>417</v>
      </c>
      <c r="E23509" t="s">
        <v>418</v>
      </c>
      <c r="F23509">
        <v>4.71</v>
      </c>
      <c r="G23509">
        <v>230915</v>
      </c>
      <c r="H23509">
        <v>4500</v>
      </c>
      <c r="I23509" t="s">
        <v>212</v>
      </c>
      <c r="J23509">
        <v>5.84</v>
      </c>
      <c r="K23509">
        <v>1.1299999999999999</v>
      </c>
      <c r="L23509">
        <v>13502</v>
      </c>
      <c r="M23509" t="s">
        <v>243</v>
      </c>
      <c r="N23509" t="str">
        <f>"5467205     "</f>
        <v xml:space="preserve">5467205     </v>
      </c>
      <c r="O23509">
        <v>230921</v>
      </c>
    </row>
    <row r="23510" spans="1:15" x14ac:dyDescent="0.25">
      <c r="A23510" t="s">
        <v>16</v>
      </c>
      <c r="B23510" t="s">
        <v>3221</v>
      </c>
      <c r="C23510">
        <v>12566</v>
      </c>
      <c r="D23510" t="s">
        <v>417</v>
      </c>
      <c r="E23510" t="s">
        <v>418</v>
      </c>
      <c r="F23510">
        <v>34.18</v>
      </c>
      <c r="G23510">
        <v>230915</v>
      </c>
      <c r="H23510">
        <v>4500</v>
      </c>
      <c r="I23510" t="s">
        <v>212</v>
      </c>
      <c r="J23510">
        <v>42.38</v>
      </c>
      <c r="K23510">
        <v>8.1999999999999993</v>
      </c>
      <c r="L23510">
        <v>17538</v>
      </c>
      <c r="M23510" t="s">
        <v>24</v>
      </c>
      <c r="N23510" t="str">
        <f>"5467205     "</f>
        <v xml:space="preserve">5467205     </v>
      </c>
      <c r="O23510">
        <v>230921</v>
      </c>
    </row>
    <row r="23511" spans="1:15" x14ac:dyDescent="0.25">
      <c r="A23511" t="s">
        <v>16</v>
      </c>
      <c r="B23511" t="s">
        <v>3221</v>
      </c>
      <c r="C23511">
        <v>14236</v>
      </c>
      <c r="D23511" t="s">
        <v>417</v>
      </c>
      <c r="E23511" t="s">
        <v>418</v>
      </c>
      <c r="F23511">
        <v>105.44</v>
      </c>
      <c r="G23511">
        <v>230930</v>
      </c>
      <c r="H23511">
        <v>4500</v>
      </c>
      <c r="I23511" t="s">
        <v>212</v>
      </c>
      <c r="J23511">
        <v>130.74</v>
      </c>
      <c r="K23511">
        <v>25.3</v>
      </c>
      <c r="L23511">
        <v>13801</v>
      </c>
      <c r="M23511" t="s">
        <v>162</v>
      </c>
      <c r="N23511" t="str">
        <f>"5472039     "</f>
        <v xml:space="preserve">5472039     </v>
      </c>
      <c r="O23511">
        <v>231025</v>
      </c>
    </row>
    <row r="23512" spans="1:15" x14ac:dyDescent="0.25">
      <c r="A23512" t="s">
        <v>16</v>
      </c>
      <c r="B23512" t="s">
        <v>3221</v>
      </c>
      <c r="C23512">
        <v>15982</v>
      </c>
      <c r="D23512" t="s">
        <v>417</v>
      </c>
      <c r="E23512" t="s">
        <v>418</v>
      </c>
      <c r="F23512">
        <v>11.48</v>
      </c>
      <c r="G23512">
        <v>231115</v>
      </c>
      <c r="H23512">
        <v>4500</v>
      </c>
      <c r="I23512" t="s">
        <v>212</v>
      </c>
      <c r="J23512">
        <v>14.24</v>
      </c>
      <c r="K23512">
        <v>2.76</v>
      </c>
      <c r="L23512">
        <v>17527</v>
      </c>
      <c r="M23512" t="s">
        <v>422</v>
      </c>
      <c r="N23512" t="str">
        <f>"5482822     "</f>
        <v xml:space="preserve">5482822     </v>
      </c>
      <c r="O23512">
        <v>231122</v>
      </c>
    </row>
    <row r="23513" spans="1:15" x14ac:dyDescent="0.25">
      <c r="A23513" t="s">
        <v>16</v>
      </c>
      <c r="B23513" t="s">
        <v>3221</v>
      </c>
      <c r="C23513">
        <v>17406</v>
      </c>
      <c r="D23513" t="s">
        <v>417</v>
      </c>
      <c r="E23513" t="s">
        <v>418</v>
      </c>
      <c r="F23513">
        <v>21.15</v>
      </c>
      <c r="G23513">
        <v>231130</v>
      </c>
      <c r="H23513">
        <v>4500</v>
      </c>
      <c r="I23513" t="s">
        <v>212</v>
      </c>
      <c r="J23513">
        <v>26.23</v>
      </c>
      <c r="K23513">
        <v>5.08</v>
      </c>
      <c r="L23513">
        <v>59705</v>
      </c>
      <c r="M23513" t="s">
        <v>843</v>
      </c>
      <c r="N23513" t="str">
        <f>"5485439     "</f>
        <v xml:space="preserve">5485439     </v>
      </c>
      <c r="O23513">
        <v>231214</v>
      </c>
    </row>
    <row r="23514" spans="1:15" x14ac:dyDescent="0.25">
      <c r="A23514" t="s">
        <v>16</v>
      </c>
      <c r="B23514" t="s">
        <v>3221</v>
      </c>
      <c r="C23514">
        <v>18706</v>
      </c>
      <c r="D23514" t="s">
        <v>417</v>
      </c>
      <c r="E23514" t="s">
        <v>418</v>
      </c>
      <c r="F23514">
        <v>5.29</v>
      </c>
      <c r="G23514">
        <v>231231</v>
      </c>
      <c r="H23514">
        <v>4500</v>
      </c>
      <c r="I23514" t="s">
        <v>212</v>
      </c>
      <c r="J23514">
        <v>6.56</v>
      </c>
      <c r="K23514">
        <v>1.27</v>
      </c>
      <c r="L23514">
        <v>69704</v>
      </c>
      <c r="M23514" t="s">
        <v>325</v>
      </c>
      <c r="N23514" t="str">
        <f>"5494603     "</f>
        <v xml:space="preserve">5494603     </v>
      </c>
      <c r="O23514">
        <v>240105</v>
      </c>
    </row>
    <row r="23515" spans="1:15" x14ac:dyDescent="0.25">
      <c r="A23515" t="s">
        <v>16</v>
      </c>
      <c r="B23515" t="s">
        <v>3221</v>
      </c>
      <c r="C23515">
        <v>1989</v>
      </c>
      <c r="D23515" t="s">
        <v>417</v>
      </c>
      <c r="E23515" t="s">
        <v>418</v>
      </c>
      <c r="F23515">
        <v>46.85</v>
      </c>
      <c r="G23515">
        <v>230215</v>
      </c>
      <c r="H23515">
        <v>4530</v>
      </c>
      <c r="I23515" t="s">
        <v>342</v>
      </c>
      <c r="J23515">
        <v>58.1</v>
      </c>
      <c r="K23515">
        <v>11.25</v>
      </c>
      <c r="L23515">
        <v>17971</v>
      </c>
      <c r="M23515" t="s">
        <v>138</v>
      </c>
      <c r="N23515" t="str">
        <f>"5414787     "</f>
        <v xml:space="preserve">5414787     </v>
      </c>
      <c r="O23515">
        <v>230217</v>
      </c>
    </row>
    <row r="23516" spans="1:15" x14ac:dyDescent="0.25">
      <c r="A23516" t="s">
        <v>16</v>
      </c>
      <c r="B23516" t="s">
        <v>3221</v>
      </c>
      <c r="C23516">
        <v>2595</v>
      </c>
      <c r="D23516" t="s">
        <v>417</v>
      </c>
      <c r="E23516" t="s">
        <v>418</v>
      </c>
      <c r="F23516">
        <v>19.899999999999999</v>
      </c>
      <c r="G23516">
        <v>230228</v>
      </c>
      <c r="H23516">
        <v>4530</v>
      </c>
      <c r="I23516" t="s">
        <v>342</v>
      </c>
      <c r="J23516">
        <v>24.67</v>
      </c>
      <c r="K23516">
        <v>4.7699999999999996</v>
      </c>
      <c r="L23516">
        <v>67522</v>
      </c>
      <c r="M23516" t="s">
        <v>397</v>
      </c>
      <c r="N23516" t="str">
        <f>"5417752     "</f>
        <v xml:space="preserve">5417752     </v>
      </c>
      <c r="O23516">
        <v>230302</v>
      </c>
    </row>
    <row r="23517" spans="1:15" x14ac:dyDescent="0.25">
      <c r="A23517" t="s">
        <v>16</v>
      </c>
      <c r="B23517" t="s">
        <v>3221</v>
      </c>
      <c r="C23517">
        <v>2761</v>
      </c>
      <c r="D23517" t="s">
        <v>417</v>
      </c>
      <c r="E23517" t="s">
        <v>418</v>
      </c>
      <c r="F23517">
        <v>28.95</v>
      </c>
      <c r="G23517">
        <v>230228</v>
      </c>
      <c r="H23517">
        <v>4530</v>
      </c>
      <c r="I23517" t="s">
        <v>342</v>
      </c>
      <c r="J23517">
        <v>35.9</v>
      </c>
      <c r="K23517">
        <v>6.95</v>
      </c>
      <c r="L23517">
        <v>49501</v>
      </c>
      <c r="M23517" t="s">
        <v>177</v>
      </c>
      <c r="N23517" t="str">
        <f>"5417564     "</f>
        <v xml:space="preserve">5417564     </v>
      </c>
      <c r="O23517">
        <v>230307</v>
      </c>
    </row>
    <row r="23518" spans="1:15" x14ac:dyDescent="0.25">
      <c r="A23518" t="s">
        <v>16</v>
      </c>
      <c r="B23518" t="s">
        <v>3221</v>
      </c>
      <c r="C23518">
        <v>4888</v>
      </c>
      <c r="D23518" t="s">
        <v>417</v>
      </c>
      <c r="E23518" t="s">
        <v>418</v>
      </c>
      <c r="F23518">
        <v>5.44</v>
      </c>
      <c r="G23518">
        <v>230331</v>
      </c>
      <c r="H23518">
        <v>4530</v>
      </c>
      <c r="I23518" t="s">
        <v>342</v>
      </c>
      <c r="J23518">
        <v>6.75</v>
      </c>
      <c r="K23518">
        <v>1.31</v>
      </c>
      <c r="L23518">
        <v>44222</v>
      </c>
      <c r="M23518" t="s">
        <v>232</v>
      </c>
      <c r="N23518" t="str">
        <f>"5424275     "</f>
        <v xml:space="preserve">5424275     </v>
      </c>
      <c r="O23518">
        <v>230414</v>
      </c>
    </row>
    <row r="23519" spans="1:15" x14ac:dyDescent="0.25">
      <c r="A23519" t="s">
        <v>16</v>
      </c>
      <c r="B23519" t="s">
        <v>3221</v>
      </c>
      <c r="C23519">
        <v>4888</v>
      </c>
      <c r="D23519" t="s">
        <v>417</v>
      </c>
      <c r="E23519" t="s">
        <v>418</v>
      </c>
      <c r="F23519">
        <v>24.6</v>
      </c>
      <c r="G23519">
        <v>230331</v>
      </c>
      <c r="H23519">
        <v>4530</v>
      </c>
      <c r="I23519" t="s">
        <v>342</v>
      </c>
      <c r="J23519">
        <v>30.5</v>
      </c>
      <c r="K23519">
        <v>5.9</v>
      </c>
      <c r="L23519">
        <v>46556</v>
      </c>
      <c r="M23519" t="s">
        <v>125</v>
      </c>
      <c r="N23519" t="str">
        <f>"5424275     "</f>
        <v xml:space="preserve">5424275     </v>
      </c>
      <c r="O23519">
        <v>230414</v>
      </c>
    </row>
    <row r="23520" spans="1:15" x14ac:dyDescent="0.25">
      <c r="A23520" t="s">
        <v>16</v>
      </c>
      <c r="B23520" t="s">
        <v>3221</v>
      </c>
      <c r="C23520">
        <v>7961</v>
      </c>
      <c r="D23520" t="s">
        <v>417</v>
      </c>
      <c r="E23520" t="s">
        <v>418</v>
      </c>
      <c r="F23520">
        <v>11.02</v>
      </c>
      <c r="G23520">
        <v>230531</v>
      </c>
      <c r="H23520">
        <v>4530</v>
      </c>
      <c r="I23520" t="s">
        <v>342</v>
      </c>
      <c r="J23520">
        <v>13.66</v>
      </c>
      <c r="K23520">
        <v>2.64</v>
      </c>
      <c r="L23520">
        <v>17711</v>
      </c>
      <c r="M23520" t="s">
        <v>65</v>
      </c>
      <c r="N23520" t="str">
        <f>"5441436     "</f>
        <v xml:space="preserve">5441436     </v>
      </c>
      <c r="O23520">
        <v>230606</v>
      </c>
    </row>
    <row r="23521" spans="1:15" x14ac:dyDescent="0.25">
      <c r="A23521" t="s">
        <v>16</v>
      </c>
      <c r="B23521" t="s">
        <v>3221</v>
      </c>
      <c r="C23521">
        <v>9344</v>
      </c>
      <c r="D23521" t="s">
        <v>417</v>
      </c>
      <c r="E23521" t="s">
        <v>418</v>
      </c>
      <c r="F23521">
        <v>13.06</v>
      </c>
      <c r="G23521">
        <v>230630</v>
      </c>
      <c r="H23521">
        <v>4530</v>
      </c>
      <c r="I23521" t="s">
        <v>342</v>
      </c>
      <c r="J23521">
        <v>16.2</v>
      </c>
      <c r="K23521">
        <v>3.14</v>
      </c>
      <c r="L23521">
        <v>69113</v>
      </c>
      <c r="M23521" t="s">
        <v>282</v>
      </c>
      <c r="N23521" t="str">
        <f>"5448131     "</f>
        <v xml:space="preserve">5448131     </v>
      </c>
      <c r="O23521">
        <v>230706</v>
      </c>
    </row>
    <row r="23522" spans="1:15" x14ac:dyDescent="0.25">
      <c r="A23522" t="s">
        <v>16</v>
      </c>
      <c r="B23522" t="s">
        <v>3221</v>
      </c>
      <c r="C23522">
        <v>11933</v>
      </c>
      <c r="D23522" t="s">
        <v>417</v>
      </c>
      <c r="E23522" t="s">
        <v>418</v>
      </c>
      <c r="F23522">
        <v>29.03</v>
      </c>
      <c r="G23522">
        <v>230831</v>
      </c>
      <c r="H23522">
        <v>4530</v>
      </c>
      <c r="I23522" t="s">
        <v>342</v>
      </c>
      <c r="J23522">
        <v>36</v>
      </c>
      <c r="K23522">
        <v>6.97</v>
      </c>
      <c r="L23522">
        <v>48601</v>
      </c>
      <c r="M23522" t="s">
        <v>1047</v>
      </c>
      <c r="N23522" t="str">
        <f>"5460935     "</f>
        <v xml:space="preserve">5460935     </v>
      </c>
      <c r="O23522">
        <v>230912</v>
      </c>
    </row>
    <row r="23523" spans="1:15" x14ac:dyDescent="0.25">
      <c r="A23523" t="s">
        <v>16</v>
      </c>
      <c r="B23523" t="s">
        <v>3221</v>
      </c>
      <c r="C23523">
        <v>14922</v>
      </c>
      <c r="D23523" t="s">
        <v>417</v>
      </c>
      <c r="E23523" t="s">
        <v>418</v>
      </c>
      <c r="F23523">
        <v>14.44</v>
      </c>
      <c r="G23523">
        <v>231031</v>
      </c>
      <c r="H23523">
        <v>4530</v>
      </c>
      <c r="I23523" t="s">
        <v>342</v>
      </c>
      <c r="J23523">
        <v>17.899999999999999</v>
      </c>
      <c r="K23523">
        <v>3.46</v>
      </c>
      <c r="L23523">
        <v>44252</v>
      </c>
      <c r="M23523" t="s">
        <v>157</v>
      </c>
      <c r="N23523" t="str">
        <f>"5476327     "</f>
        <v xml:space="preserve">5476327     </v>
      </c>
      <c r="O23523">
        <v>231107</v>
      </c>
    </row>
    <row r="23524" spans="1:15" x14ac:dyDescent="0.25">
      <c r="A23524" t="s">
        <v>16</v>
      </c>
      <c r="B23524" t="s">
        <v>3221</v>
      </c>
      <c r="C23524">
        <v>15568</v>
      </c>
      <c r="D23524" t="s">
        <v>417</v>
      </c>
      <c r="E23524" t="s">
        <v>418</v>
      </c>
      <c r="F23524">
        <v>87.66</v>
      </c>
      <c r="G23524">
        <v>231031</v>
      </c>
      <c r="H23524">
        <v>4530</v>
      </c>
      <c r="I23524" t="s">
        <v>342</v>
      </c>
      <c r="J23524">
        <v>108.7</v>
      </c>
      <c r="K23524">
        <v>21.04</v>
      </c>
      <c r="L23524">
        <v>54252</v>
      </c>
      <c r="M23524" t="s">
        <v>534</v>
      </c>
      <c r="N23524" t="str">
        <f>"5476813     "</f>
        <v xml:space="preserve">5476813     </v>
      </c>
      <c r="O23524">
        <v>231114</v>
      </c>
    </row>
    <row r="23525" spans="1:15" x14ac:dyDescent="0.25">
      <c r="A23525" t="s">
        <v>16</v>
      </c>
      <c r="B23525" t="s">
        <v>3221</v>
      </c>
      <c r="C23525">
        <v>18974</v>
      </c>
      <c r="D23525" t="s">
        <v>417</v>
      </c>
      <c r="E23525" t="s">
        <v>418</v>
      </c>
      <c r="F23525">
        <v>146.49</v>
      </c>
      <c r="G23525">
        <v>231231</v>
      </c>
      <c r="H23525">
        <v>4530</v>
      </c>
      <c r="I23525" t="s">
        <v>342</v>
      </c>
      <c r="J23525">
        <v>181.65</v>
      </c>
      <c r="K23525">
        <v>35.159999999999997</v>
      </c>
      <c r="L23525">
        <v>44453</v>
      </c>
      <c r="M23525" t="s">
        <v>492</v>
      </c>
      <c r="N23525" t="str">
        <f>"5494396     "</f>
        <v xml:space="preserve">5494396     </v>
      </c>
      <c r="O23525">
        <v>240109</v>
      </c>
    </row>
    <row r="23526" spans="1:15" x14ac:dyDescent="0.25">
      <c r="A23526" t="s">
        <v>16</v>
      </c>
      <c r="B23526" t="s">
        <v>3221</v>
      </c>
      <c r="C23526">
        <v>1024</v>
      </c>
      <c r="D23526" t="s">
        <v>411</v>
      </c>
      <c r="E23526" t="s">
        <v>412</v>
      </c>
      <c r="F23526">
        <v>65.02</v>
      </c>
      <c r="G23526">
        <v>230131</v>
      </c>
      <c r="H23526">
        <v>4532</v>
      </c>
      <c r="I23526" t="s">
        <v>116</v>
      </c>
      <c r="J23526">
        <v>80.62</v>
      </c>
      <c r="K23526">
        <v>15.6</v>
      </c>
      <c r="L23526">
        <v>17805</v>
      </c>
      <c r="M23526" t="s">
        <v>102</v>
      </c>
      <c r="N23526" t="str">
        <f>"12833620    "</f>
        <v xml:space="preserve">12833620    </v>
      </c>
      <c r="O23526">
        <v>230202</v>
      </c>
    </row>
    <row r="23527" spans="1:15" x14ac:dyDescent="0.25">
      <c r="A23527" t="s">
        <v>16</v>
      </c>
      <c r="B23527" t="s">
        <v>3221</v>
      </c>
      <c r="C23527">
        <v>3564</v>
      </c>
      <c r="D23527" t="s">
        <v>411</v>
      </c>
      <c r="E23527" t="s">
        <v>412</v>
      </c>
      <c r="F23527">
        <v>198.22</v>
      </c>
      <c r="G23527">
        <v>230228</v>
      </c>
      <c r="H23527">
        <v>4532</v>
      </c>
      <c r="I23527" t="s">
        <v>116</v>
      </c>
      <c r="J23527">
        <v>245.79</v>
      </c>
      <c r="K23527">
        <v>47.57</v>
      </c>
      <c r="L23527">
        <v>46554</v>
      </c>
      <c r="M23527" t="s">
        <v>117</v>
      </c>
      <c r="N23527" t="str">
        <f>"12856550    "</f>
        <v xml:space="preserve">12856550    </v>
      </c>
      <c r="O23527">
        <v>230317</v>
      </c>
    </row>
    <row r="23528" spans="1:15" x14ac:dyDescent="0.25">
      <c r="A23528" t="s">
        <v>16</v>
      </c>
      <c r="B23528" t="s">
        <v>3221</v>
      </c>
      <c r="C23528">
        <v>12599</v>
      </c>
      <c r="D23528" t="s">
        <v>411</v>
      </c>
      <c r="E23528" t="s">
        <v>412</v>
      </c>
      <c r="F23528">
        <v>180.13</v>
      </c>
      <c r="G23528">
        <v>230915</v>
      </c>
      <c r="H23528">
        <v>4532</v>
      </c>
      <c r="I23528" t="s">
        <v>116</v>
      </c>
      <c r="J23528">
        <v>223.36</v>
      </c>
      <c r="K23528">
        <v>43.23</v>
      </c>
      <c r="L23528">
        <v>49501</v>
      </c>
      <c r="M23528" t="s">
        <v>177</v>
      </c>
      <c r="N23528" t="str">
        <f>"13014055    "</f>
        <v xml:space="preserve">13014055    </v>
      </c>
      <c r="O23528">
        <v>230922</v>
      </c>
    </row>
    <row r="23529" spans="1:15" x14ac:dyDescent="0.25">
      <c r="A23529" t="s">
        <v>16</v>
      </c>
      <c r="B23529" t="s">
        <v>3221</v>
      </c>
      <c r="C23529">
        <v>14918</v>
      </c>
      <c r="D23529" t="s">
        <v>411</v>
      </c>
      <c r="E23529" t="s">
        <v>412</v>
      </c>
      <c r="F23529">
        <v>189.9</v>
      </c>
      <c r="G23529">
        <v>231031</v>
      </c>
      <c r="H23529">
        <v>4532</v>
      </c>
      <c r="I23529" t="s">
        <v>116</v>
      </c>
      <c r="J23529">
        <v>235.48</v>
      </c>
      <c r="K23529">
        <v>45.58</v>
      </c>
      <c r="L23529">
        <v>49501</v>
      </c>
      <c r="M23529" t="s">
        <v>177</v>
      </c>
      <c r="N23529" t="str">
        <f>"13052026    "</f>
        <v xml:space="preserve">13052026    </v>
      </c>
      <c r="O23529">
        <v>231107</v>
      </c>
    </row>
    <row r="23530" spans="1:15" x14ac:dyDescent="0.25">
      <c r="A23530" t="s">
        <v>16</v>
      </c>
      <c r="B23530" t="s">
        <v>3221</v>
      </c>
      <c r="C23530">
        <v>4903</v>
      </c>
      <c r="D23530" t="s">
        <v>411</v>
      </c>
      <c r="E23530" t="s">
        <v>412</v>
      </c>
      <c r="F23530">
        <v>123.3</v>
      </c>
      <c r="G23530">
        <v>230331</v>
      </c>
      <c r="H23530">
        <v>4534</v>
      </c>
      <c r="I23530" t="s">
        <v>273</v>
      </c>
      <c r="J23530">
        <v>152.88999999999999</v>
      </c>
      <c r="K23530">
        <v>29.59</v>
      </c>
      <c r="L23530">
        <v>43222</v>
      </c>
      <c r="M23530" t="s">
        <v>507</v>
      </c>
      <c r="N23530" t="str">
        <f t="shared" ref="N23530:N23538" si="459">"12879234    "</f>
        <v xml:space="preserve">12879234    </v>
      </c>
      <c r="O23530">
        <v>230414</v>
      </c>
    </row>
    <row r="23531" spans="1:15" x14ac:dyDescent="0.25">
      <c r="A23531" t="s">
        <v>16</v>
      </c>
      <c r="B23531" t="s">
        <v>3221</v>
      </c>
      <c r="C23531">
        <v>4903</v>
      </c>
      <c r="D23531" t="s">
        <v>411</v>
      </c>
      <c r="E23531" t="s">
        <v>412</v>
      </c>
      <c r="F23531">
        <v>53.49</v>
      </c>
      <c r="G23531">
        <v>230331</v>
      </c>
      <c r="H23531">
        <v>4534</v>
      </c>
      <c r="I23531" t="s">
        <v>273</v>
      </c>
      <c r="J23531">
        <v>66.33</v>
      </c>
      <c r="K23531">
        <v>12.84</v>
      </c>
      <c r="L23531">
        <v>44222</v>
      </c>
      <c r="M23531" t="s">
        <v>232</v>
      </c>
      <c r="N23531" t="str">
        <f t="shared" si="459"/>
        <v xml:space="preserve">12879234    </v>
      </c>
      <c r="O23531">
        <v>230414</v>
      </c>
    </row>
    <row r="23532" spans="1:15" x14ac:dyDescent="0.25">
      <c r="A23532" t="s">
        <v>16</v>
      </c>
      <c r="B23532" t="s">
        <v>3221</v>
      </c>
      <c r="C23532">
        <v>4903</v>
      </c>
      <c r="D23532" t="s">
        <v>411</v>
      </c>
      <c r="E23532" t="s">
        <v>412</v>
      </c>
      <c r="F23532">
        <v>246.6</v>
      </c>
      <c r="G23532">
        <v>230331</v>
      </c>
      <c r="H23532">
        <v>4534</v>
      </c>
      <c r="I23532" t="s">
        <v>273</v>
      </c>
      <c r="J23532">
        <v>305.77999999999997</v>
      </c>
      <c r="K23532">
        <v>59.18</v>
      </c>
      <c r="L23532">
        <v>44424</v>
      </c>
      <c r="M23532" t="s">
        <v>776</v>
      </c>
      <c r="N23532" t="str">
        <f t="shared" si="459"/>
        <v xml:space="preserve">12879234    </v>
      </c>
      <c r="O23532">
        <v>230414</v>
      </c>
    </row>
    <row r="23533" spans="1:15" x14ac:dyDescent="0.25">
      <c r="A23533" t="s">
        <v>16</v>
      </c>
      <c r="B23533" t="s">
        <v>3221</v>
      </c>
      <c r="C23533">
        <v>4903</v>
      </c>
      <c r="D23533" t="s">
        <v>411</v>
      </c>
      <c r="E23533" t="s">
        <v>412</v>
      </c>
      <c r="F23533">
        <v>71.42</v>
      </c>
      <c r="G23533">
        <v>230331</v>
      </c>
      <c r="H23533">
        <v>4534</v>
      </c>
      <c r="I23533" t="s">
        <v>273</v>
      </c>
      <c r="J23533">
        <v>88.56</v>
      </c>
      <c r="K23533">
        <v>17.14</v>
      </c>
      <c r="L23533">
        <v>46554</v>
      </c>
      <c r="M23533" t="s">
        <v>117</v>
      </c>
      <c r="N23533" t="str">
        <f t="shared" si="459"/>
        <v xml:space="preserve">12879234    </v>
      </c>
      <c r="O23533">
        <v>230414</v>
      </c>
    </row>
    <row r="23534" spans="1:15" x14ac:dyDescent="0.25">
      <c r="A23534" t="s">
        <v>16</v>
      </c>
      <c r="B23534" t="s">
        <v>3221</v>
      </c>
      <c r="C23534">
        <v>4903</v>
      </c>
      <c r="D23534" t="s">
        <v>411</v>
      </c>
      <c r="E23534" t="s">
        <v>412</v>
      </c>
      <c r="F23534">
        <v>62.27</v>
      </c>
      <c r="G23534">
        <v>230331</v>
      </c>
      <c r="H23534">
        <v>4534</v>
      </c>
      <c r="I23534" t="s">
        <v>273</v>
      </c>
      <c r="J23534">
        <v>77.209999999999994</v>
      </c>
      <c r="K23534">
        <v>14.94</v>
      </c>
      <c r="L23534">
        <v>46556</v>
      </c>
      <c r="M23534" t="s">
        <v>125</v>
      </c>
      <c r="N23534" t="str">
        <f t="shared" si="459"/>
        <v xml:space="preserve">12879234    </v>
      </c>
      <c r="O23534">
        <v>230414</v>
      </c>
    </row>
    <row r="23535" spans="1:15" x14ac:dyDescent="0.25">
      <c r="A23535" t="s">
        <v>16</v>
      </c>
      <c r="B23535" t="s">
        <v>3221</v>
      </c>
      <c r="C23535">
        <v>4903</v>
      </c>
      <c r="D23535" t="s">
        <v>411</v>
      </c>
      <c r="E23535" t="s">
        <v>412</v>
      </c>
      <c r="F23535">
        <v>60.96</v>
      </c>
      <c r="G23535">
        <v>230331</v>
      </c>
      <c r="H23535">
        <v>4534</v>
      </c>
      <c r="I23535" t="s">
        <v>273</v>
      </c>
      <c r="J23535">
        <v>75.59</v>
      </c>
      <c r="K23535">
        <v>14.63</v>
      </c>
      <c r="L23535">
        <v>46557</v>
      </c>
      <c r="M23535" t="s">
        <v>221</v>
      </c>
      <c r="N23535" t="str">
        <f t="shared" si="459"/>
        <v xml:space="preserve">12879234    </v>
      </c>
      <c r="O23535">
        <v>230414</v>
      </c>
    </row>
    <row r="23536" spans="1:15" x14ac:dyDescent="0.25">
      <c r="A23536" t="s">
        <v>16</v>
      </c>
      <c r="B23536" t="s">
        <v>3221</v>
      </c>
      <c r="C23536">
        <v>4903</v>
      </c>
      <c r="D23536" t="s">
        <v>411</v>
      </c>
      <c r="E23536" t="s">
        <v>412</v>
      </c>
      <c r="F23536">
        <v>123.3</v>
      </c>
      <c r="G23536">
        <v>230331</v>
      </c>
      <c r="H23536">
        <v>4534</v>
      </c>
      <c r="I23536" t="s">
        <v>273</v>
      </c>
      <c r="J23536">
        <v>152.88999999999999</v>
      </c>
      <c r="K23536">
        <v>29.59</v>
      </c>
      <c r="L23536">
        <v>48601</v>
      </c>
      <c r="M23536" t="s">
        <v>1047</v>
      </c>
      <c r="N23536" t="str">
        <f t="shared" si="459"/>
        <v xml:space="preserve">12879234    </v>
      </c>
      <c r="O23536">
        <v>230414</v>
      </c>
    </row>
    <row r="23537" spans="1:15" x14ac:dyDescent="0.25">
      <c r="A23537" t="s">
        <v>16</v>
      </c>
      <c r="B23537" t="s">
        <v>3221</v>
      </c>
      <c r="C23537">
        <v>4903</v>
      </c>
      <c r="D23537" t="s">
        <v>411</v>
      </c>
      <c r="E23537" t="s">
        <v>412</v>
      </c>
      <c r="F23537">
        <v>123.3</v>
      </c>
      <c r="G23537">
        <v>230331</v>
      </c>
      <c r="H23537">
        <v>4534</v>
      </c>
      <c r="I23537" t="s">
        <v>273</v>
      </c>
      <c r="J23537">
        <v>152.88999999999999</v>
      </c>
      <c r="K23537">
        <v>29.59</v>
      </c>
      <c r="L23537">
        <v>49112</v>
      </c>
      <c r="M23537" t="s">
        <v>233</v>
      </c>
      <c r="N23537" t="str">
        <f t="shared" si="459"/>
        <v xml:space="preserve">12879234    </v>
      </c>
      <c r="O23537">
        <v>230414</v>
      </c>
    </row>
    <row r="23538" spans="1:15" x14ac:dyDescent="0.25">
      <c r="A23538" t="s">
        <v>16</v>
      </c>
      <c r="B23538" t="s">
        <v>3221</v>
      </c>
      <c r="C23538">
        <v>4903</v>
      </c>
      <c r="D23538" t="s">
        <v>411</v>
      </c>
      <c r="E23538" t="s">
        <v>412</v>
      </c>
      <c r="F23538">
        <v>40.86</v>
      </c>
      <c r="G23538">
        <v>230331</v>
      </c>
      <c r="H23538">
        <v>4534</v>
      </c>
      <c r="I23538" t="s">
        <v>273</v>
      </c>
      <c r="J23538">
        <v>50.67</v>
      </c>
      <c r="K23538">
        <v>9.81</v>
      </c>
      <c r="L23538">
        <v>49501</v>
      </c>
      <c r="M23538" t="s">
        <v>177</v>
      </c>
      <c r="N23538" t="str">
        <f t="shared" si="459"/>
        <v xml:space="preserve">12879234    </v>
      </c>
      <c r="O23538">
        <v>230414</v>
      </c>
    </row>
    <row r="23539" spans="1:15" x14ac:dyDescent="0.25">
      <c r="A23539" t="s">
        <v>16</v>
      </c>
      <c r="B23539" t="s">
        <v>3221</v>
      </c>
      <c r="C23539">
        <v>5449</v>
      </c>
      <c r="D23539" t="s">
        <v>411</v>
      </c>
      <c r="E23539" t="s">
        <v>412</v>
      </c>
      <c r="F23539">
        <v>246.6</v>
      </c>
      <c r="G23539">
        <v>230415</v>
      </c>
      <c r="H23539">
        <v>4534</v>
      </c>
      <c r="I23539" t="s">
        <v>273</v>
      </c>
      <c r="J23539">
        <v>305.77999999999997</v>
      </c>
      <c r="K23539">
        <v>59.18</v>
      </c>
      <c r="L23539">
        <v>46554</v>
      </c>
      <c r="M23539" t="s">
        <v>117</v>
      </c>
      <c r="N23539" t="str">
        <f>"12889335    "</f>
        <v xml:space="preserve">12889335    </v>
      </c>
      <c r="O23539">
        <v>230425</v>
      </c>
    </row>
    <row r="23540" spans="1:15" x14ac:dyDescent="0.25">
      <c r="A23540" t="s">
        <v>16</v>
      </c>
      <c r="B23540" t="s">
        <v>3221</v>
      </c>
      <c r="C23540">
        <v>281</v>
      </c>
      <c r="D23540" t="s">
        <v>411</v>
      </c>
      <c r="E23540" t="s">
        <v>412</v>
      </c>
      <c r="F23540">
        <v>223.47</v>
      </c>
      <c r="G23540">
        <v>230115</v>
      </c>
      <c r="H23540">
        <v>4580</v>
      </c>
      <c r="I23540" t="s">
        <v>35</v>
      </c>
      <c r="J23540">
        <v>277.10000000000002</v>
      </c>
      <c r="K23540">
        <v>53.63</v>
      </c>
      <c r="L23540">
        <v>46554</v>
      </c>
      <c r="M23540" t="s">
        <v>117</v>
      </c>
      <c r="N23540" t="str">
        <f>"12823203    "</f>
        <v xml:space="preserve">12823203    </v>
      </c>
      <c r="O23540">
        <v>230117</v>
      </c>
    </row>
    <row r="23541" spans="1:15" x14ac:dyDescent="0.25">
      <c r="A23541" t="s">
        <v>16</v>
      </c>
      <c r="B23541" t="s">
        <v>3221</v>
      </c>
      <c r="C23541">
        <v>379</v>
      </c>
      <c r="D23541" t="s">
        <v>411</v>
      </c>
      <c r="E23541" t="s">
        <v>412</v>
      </c>
      <c r="F23541">
        <v>33.75</v>
      </c>
      <c r="G23541">
        <v>230115</v>
      </c>
      <c r="H23541">
        <v>4580</v>
      </c>
      <c r="I23541" t="s">
        <v>35</v>
      </c>
      <c r="J23541">
        <v>41.85</v>
      </c>
      <c r="K23541">
        <v>8.1</v>
      </c>
      <c r="L23541">
        <v>17525</v>
      </c>
      <c r="M23541" t="s">
        <v>135</v>
      </c>
      <c r="N23541" t="str">
        <f>"12822655    "</f>
        <v xml:space="preserve">12822655    </v>
      </c>
      <c r="O23541">
        <v>230119</v>
      </c>
    </row>
    <row r="23542" spans="1:15" x14ac:dyDescent="0.25">
      <c r="A23542" t="s">
        <v>16</v>
      </c>
      <c r="B23542" t="s">
        <v>3221</v>
      </c>
      <c r="C23542">
        <v>1914</v>
      </c>
      <c r="D23542" t="s">
        <v>411</v>
      </c>
      <c r="E23542" t="s">
        <v>412</v>
      </c>
      <c r="F23542">
        <v>1040.32</v>
      </c>
      <c r="G23542">
        <v>230131</v>
      </c>
      <c r="H23542">
        <v>4580</v>
      </c>
      <c r="I23542" t="s">
        <v>35</v>
      </c>
      <c r="J23542">
        <v>1290</v>
      </c>
      <c r="K23542">
        <v>249.68</v>
      </c>
      <c r="L23542">
        <v>46554</v>
      </c>
      <c r="M23542" t="s">
        <v>117</v>
      </c>
      <c r="N23542" t="str">
        <f>"12835274    "</f>
        <v xml:space="preserve">12835274    </v>
      </c>
      <c r="O23542">
        <v>230216</v>
      </c>
    </row>
    <row r="23543" spans="1:15" x14ac:dyDescent="0.25">
      <c r="A23543" t="s">
        <v>16</v>
      </c>
      <c r="B23543" t="s">
        <v>3221</v>
      </c>
      <c r="C23543">
        <v>2197</v>
      </c>
      <c r="D23543" t="s">
        <v>411</v>
      </c>
      <c r="E23543" t="s">
        <v>412</v>
      </c>
      <c r="F23543">
        <v>81.17</v>
      </c>
      <c r="G23543">
        <v>230215</v>
      </c>
      <c r="H23543">
        <v>4580</v>
      </c>
      <c r="I23543" t="s">
        <v>35</v>
      </c>
      <c r="J23543">
        <v>100.65</v>
      </c>
      <c r="K23543">
        <v>19.48</v>
      </c>
      <c r="L23543">
        <v>47522</v>
      </c>
      <c r="M23543" t="s">
        <v>410</v>
      </c>
      <c r="N23543" t="str">
        <f>"12846193    "</f>
        <v xml:space="preserve">12846193    </v>
      </c>
      <c r="O23543">
        <v>230222</v>
      </c>
    </row>
    <row r="23544" spans="1:15" x14ac:dyDescent="0.25">
      <c r="A23544" t="s">
        <v>16</v>
      </c>
      <c r="B23544" t="s">
        <v>3221</v>
      </c>
      <c r="C23544">
        <v>2508</v>
      </c>
      <c r="D23544" t="s">
        <v>411</v>
      </c>
      <c r="E23544" t="s">
        <v>412</v>
      </c>
      <c r="F23544">
        <v>1742.41</v>
      </c>
      <c r="G23544">
        <v>230215</v>
      </c>
      <c r="H23544">
        <v>4580</v>
      </c>
      <c r="I23544" t="s">
        <v>35</v>
      </c>
      <c r="J23544">
        <v>2160.59</v>
      </c>
      <c r="K23544">
        <v>418.18</v>
      </c>
      <c r="L23544">
        <v>46554</v>
      </c>
      <c r="M23544" t="s">
        <v>117</v>
      </c>
      <c r="N23544" t="str">
        <f>"12846234    "</f>
        <v xml:space="preserve">12846234    </v>
      </c>
      <c r="O23544">
        <v>230301</v>
      </c>
    </row>
    <row r="23545" spans="1:15" x14ac:dyDescent="0.25">
      <c r="A23545" t="s">
        <v>16</v>
      </c>
      <c r="B23545" t="s">
        <v>3221</v>
      </c>
      <c r="C23545">
        <v>8837</v>
      </c>
      <c r="D23545" t="s">
        <v>411</v>
      </c>
      <c r="E23545" t="s">
        <v>412</v>
      </c>
      <c r="F23545">
        <v>812.5</v>
      </c>
      <c r="G23545">
        <v>230615</v>
      </c>
      <c r="H23545">
        <v>4580</v>
      </c>
      <c r="I23545" t="s">
        <v>35</v>
      </c>
      <c r="J23545">
        <v>1007.5</v>
      </c>
      <c r="K23545">
        <v>195</v>
      </c>
      <c r="L23545">
        <v>46554</v>
      </c>
      <c r="M23545" t="s">
        <v>117</v>
      </c>
      <c r="N23545" t="str">
        <f>"12944161    "</f>
        <v xml:space="preserve">12944161    </v>
      </c>
      <c r="O23545">
        <v>230616</v>
      </c>
    </row>
    <row r="23546" spans="1:15" x14ac:dyDescent="0.25">
      <c r="A23546" t="s">
        <v>16</v>
      </c>
      <c r="B23546" t="s">
        <v>3221</v>
      </c>
      <c r="C23546">
        <v>10211</v>
      </c>
      <c r="D23546" t="s">
        <v>411</v>
      </c>
      <c r="E23546" t="s">
        <v>412</v>
      </c>
      <c r="F23546">
        <v>25.98</v>
      </c>
      <c r="G23546">
        <v>230715</v>
      </c>
      <c r="H23546">
        <v>4580</v>
      </c>
      <c r="I23546" t="s">
        <v>35</v>
      </c>
      <c r="J23546">
        <v>32.22</v>
      </c>
      <c r="K23546">
        <v>6.24</v>
      </c>
      <c r="L23546">
        <v>46554</v>
      </c>
      <c r="M23546" t="s">
        <v>117</v>
      </c>
      <c r="N23546" t="str">
        <f>"12966910    "</f>
        <v xml:space="preserve">12966910    </v>
      </c>
      <c r="O23546">
        <v>230810</v>
      </c>
    </row>
    <row r="23547" spans="1:15" x14ac:dyDescent="0.25">
      <c r="A23547" t="s">
        <v>16</v>
      </c>
      <c r="B23547" t="s">
        <v>3221</v>
      </c>
      <c r="C23547">
        <v>10211</v>
      </c>
      <c r="D23547" t="s">
        <v>411</v>
      </c>
      <c r="E23547" t="s">
        <v>412</v>
      </c>
      <c r="F23547">
        <v>812.5</v>
      </c>
      <c r="G23547">
        <v>230715</v>
      </c>
      <c r="H23547">
        <v>4580</v>
      </c>
      <c r="I23547" t="s">
        <v>35</v>
      </c>
      <c r="J23547">
        <v>1007.5</v>
      </c>
      <c r="K23547">
        <v>195</v>
      </c>
      <c r="L23547">
        <v>46554</v>
      </c>
      <c r="M23547" t="s">
        <v>117</v>
      </c>
      <c r="N23547" t="str">
        <f>"12966910    "</f>
        <v xml:space="preserve">12966910    </v>
      </c>
      <c r="O23547">
        <v>230810</v>
      </c>
    </row>
    <row r="23548" spans="1:15" x14ac:dyDescent="0.25">
      <c r="A23548" t="s">
        <v>16</v>
      </c>
      <c r="B23548" t="s">
        <v>3221</v>
      </c>
      <c r="C23548">
        <v>14920</v>
      </c>
      <c r="D23548" t="s">
        <v>411</v>
      </c>
      <c r="E23548" t="s">
        <v>412</v>
      </c>
      <c r="F23548">
        <v>460</v>
      </c>
      <c r="G23548">
        <v>231031</v>
      </c>
      <c r="H23548">
        <v>4580</v>
      </c>
      <c r="I23548" t="s">
        <v>35</v>
      </c>
      <c r="J23548">
        <v>570.4</v>
      </c>
      <c r="K23548">
        <v>110.4</v>
      </c>
      <c r="L23548">
        <v>46554</v>
      </c>
      <c r="M23548" t="s">
        <v>117</v>
      </c>
      <c r="N23548" t="str">
        <f>"13052093    "</f>
        <v xml:space="preserve">13052093    </v>
      </c>
      <c r="O23548">
        <v>231107</v>
      </c>
    </row>
    <row r="23549" spans="1:15" x14ac:dyDescent="0.25">
      <c r="A23549" t="s">
        <v>16</v>
      </c>
      <c r="B23549" t="s">
        <v>3221</v>
      </c>
      <c r="C23549">
        <v>16100</v>
      </c>
      <c r="D23549" t="s">
        <v>411</v>
      </c>
      <c r="E23549" t="s">
        <v>412</v>
      </c>
      <c r="F23549">
        <v>229.23</v>
      </c>
      <c r="G23549">
        <v>231115</v>
      </c>
      <c r="H23549">
        <v>4580</v>
      </c>
      <c r="I23549" t="s">
        <v>35</v>
      </c>
      <c r="J23549">
        <v>284.24</v>
      </c>
      <c r="K23549">
        <v>55.01</v>
      </c>
      <c r="L23549">
        <v>17525</v>
      </c>
      <c r="M23549" t="s">
        <v>135</v>
      </c>
      <c r="N23549" t="str">
        <f>"13064210    "</f>
        <v xml:space="preserve">13064210    </v>
      </c>
      <c r="O23549">
        <v>231122</v>
      </c>
    </row>
    <row r="23550" spans="1:15" x14ac:dyDescent="0.25">
      <c r="A23550" t="s">
        <v>16</v>
      </c>
      <c r="B23550" t="s">
        <v>3221</v>
      </c>
      <c r="C23550">
        <v>17022</v>
      </c>
      <c r="D23550" t="s">
        <v>411</v>
      </c>
      <c r="E23550" t="s">
        <v>412</v>
      </c>
      <c r="F23550">
        <v>88</v>
      </c>
      <c r="G23550">
        <v>231130</v>
      </c>
      <c r="H23550">
        <v>4580</v>
      </c>
      <c r="I23550" t="s">
        <v>35</v>
      </c>
      <c r="J23550">
        <v>109.12</v>
      </c>
      <c r="K23550">
        <v>21.12</v>
      </c>
      <c r="L23550">
        <v>17525</v>
      </c>
      <c r="M23550" t="s">
        <v>135</v>
      </c>
      <c r="N23550" t="str">
        <f>"13076274    "</f>
        <v xml:space="preserve">13076274    </v>
      </c>
      <c r="O23550">
        <v>231211</v>
      </c>
    </row>
    <row r="23551" spans="1:15" x14ac:dyDescent="0.25">
      <c r="A23551" t="s">
        <v>16</v>
      </c>
      <c r="B23551" t="s">
        <v>3221</v>
      </c>
      <c r="C23551">
        <v>18990</v>
      </c>
      <c r="D23551" t="s">
        <v>411</v>
      </c>
      <c r="E23551" t="s">
        <v>412</v>
      </c>
      <c r="F23551">
        <v>844.92</v>
      </c>
      <c r="G23551">
        <v>231231</v>
      </c>
      <c r="H23551">
        <v>1198</v>
      </c>
      <c r="I23551" t="s">
        <v>1128</v>
      </c>
      <c r="J23551">
        <v>1047.7</v>
      </c>
      <c r="K23551">
        <v>202.78</v>
      </c>
      <c r="L23551">
        <v>96511</v>
      </c>
      <c r="M23551" t="s">
        <v>2452</v>
      </c>
      <c r="N23551" t="str">
        <f>"13096886    "</f>
        <v xml:space="preserve">13096886    </v>
      </c>
      <c r="O23551">
        <v>240109</v>
      </c>
    </row>
    <row r="23552" spans="1:15" x14ac:dyDescent="0.25">
      <c r="A23552" t="s">
        <v>16</v>
      </c>
      <c r="B23552" t="s">
        <v>3221</v>
      </c>
      <c r="C23552">
        <v>379</v>
      </c>
      <c r="D23552" t="s">
        <v>411</v>
      </c>
      <c r="E23552" t="s">
        <v>412</v>
      </c>
      <c r="F23552">
        <v>33.74</v>
      </c>
      <c r="G23552">
        <v>230115</v>
      </c>
      <c r="H23552">
        <v>4600</v>
      </c>
      <c r="I23552" t="s">
        <v>105</v>
      </c>
      <c r="J23552">
        <v>41.84</v>
      </c>
      <c r="K23552">
        <v>8.1</v>
      </c>
      <c r="L23552">
        <v>17636</v>
      </c>
      <c r="M23552" t="s">
        <v>352</v>
      </c>
      <c r="N23552" t="str">
        <f>"12822655    "</f>
        <v xml:space="preserve">12822655    </v>
      </c>
      <c r="O23552">
        <v>230119</v>
      </c>
    </row>
    <row r="23553" spans="1:15" x14ac:dyDescent="0.25">
      <c r="A23553" t="s">
        <v>16</v>
      </c>
      <c r="B23553" t="s">
        <v>3221</v>
      </c>
      <c r="C23553">
        <v>1471</v>
      </c>
      <c r="D23553" t="s">
        <v>411</v>
      </c>
      <c r="E23553" t="s">
        <v>412</v>
      </c>
      <c r="F23553">
        <v>105.02</v>
      </c>
      <c r="G23553">
        <v>230131</v>
      </c>
      <c r="H23553">
        <v>4600</v>
      </c>
      <c r="I23553" t="s">
        <v>105</v>
      </c>
      <c r="J23553">
        <v>130.22</v>
      </c>
      <c r="K23553">
        <v>25.2</v>
      </c>
      <c r="L23553">
        <v>46554</v>
      </c>
      <c r="M23553" t="s">
        <v>117</v>
      </c>
      <c r="N23553" t="str">
        <f>"12835474    "</f>
        <v xml:space="preserve">12835474    </v>
      </c>
      <c r="O23553">
        <v>230209</v>
      </c>
    </row>
    <row r="23554" spans="1:15" x14ac:dyDescent="0.25">
      <c r="A23554" t="s">
        <v>16</v>
      </c>
      <c r="B23554" t="s">
        <v>3221</v>
      </c>
      <c r="C23554">
        <v>1914</v>
      </c>
      <c r="D23554" t="s">
        <v>411</v>
      </c>
      <c r="E23554" t="s">
        <v>412</v>
      </c>
      <c r="F23554">
        <v>1116.6500000000001</v>
      </c>
      <c r="G23554">
        <v>230131</v>
      </c>
      <c r="H23554">
        <v>4600</v>
      </c>
      <c r="I23554" t="s">
        <v>105</v>
      </c>
      <c r="J23554">
        <v>1384.64</v>
      </c>
      <c r="K23554">
        <v>267.99</v>
      </c>
      <c r="L23554">
        <v>46554</v>
      </c>
      <c r="M23554" t="s">
        <v>117</v>
      </c>
      <c r="N23554" t="str">
        <f>"12835274    "</f>
        <v xml:space="preserve">12835274    </v>
      </c>
      <c r="O23554">
        <v>230216</v>
      </c>
    </row>
    <row r="23555" spans="1:15" x14ac:dyDescent="0.25">
      <c r="A23555" t="s">
        <v>16</v>
      </c>
      <c r="B23555" t="s">
        <v>3221</v>
      </c>
      <c r="C23555">
        <v>2755</v>
      </c>
      <c r="D23555" t="s">
        <v>411</v>
      </c>
      <c r="E23555" t="s">
        <v>412</v>
      </c>
      <c r="F23555">
        <v>78.78</v>
      </c>
      <c r="G23555">
        <v>230228</v>
      </c>
      <c r="H23555">
        <v>4600</v>
      </c>
      <c r="I23555" t="s">
        <v>105</v>
      </c>
      <c r="J23555">
        <v>97.69</v>
      </c>
      <c r="K23555">
        <v>18.91</v>
      </c>
      <c r="L23555">
        <v>49501</v>
      </c>
      <c r="M23555" t="s">
        <v>177</v>
      </c>
      <c r="N23555" t="str">
        <f>"12856606    "</f>
        <v xml:space="preserve">12856606    </v>
      </c>
      <c r="O23555">
        <v>230307</v>
      </c>
    </row>
    <row r="23556" spans="1:15" x14ac:dyDescent="0.25">
      <c r="A23556" t="s">
        <v>16</v>
      </c>
      <c r="B23556" t="s">
        <v>3221</v>
      </c>
      <c r="C23556">
        <v>3564</v>
      </c>
      <c r="D23556" t="s">
        <v>411</v>
      </c>
      <c r="E23556" t="s">
        <v>412</v>
      </c>
      <c r="F23556">
        <v>570.78</v>
      </c>
      <c r="G23556">
        <v>230228</v>
      </c>
      <c r="H23556">
        <v>4600</v>
      </c>
      <c r="I23556" t="s">
        <v>105</v>
      </c>
      <c r="J23556">
        <v>707.77</v>
      </c>
      <c r="K23556">
        <v>136.99</v>
      </c>
      <c r="L23556">
        <v>46554</v>
      </c>
      <c r="M23556" t="s">
        <v>117</v>
      </c>
      <c r="N23556" t="str">
        <f>"12856550    "</f>
        <v xml:space="preserve">12856550    </v>
      </c>
      <c r="O23556">
        <v>230317</v>
      </c>
    </row>
    <row r="23557" spans="1:15" x14ac:dyDescent="0.25">
      <c r="A23557" t="s">
        <v>16</v>
      </c>
      <c r="B23557" t="s">
        <v>3221</v>
      </c>
      <c r="C23557">
        <v>3566</v>
      </c>
      <c r="D23557" t="s">
        <v>411</v>
      </c>
      <c r="E23557" t="s">
        <v>412</v>
      </c>
      <c r="F23557">
        <v>443.78</v>
      </c>
      <c r="G23557">
        <v>230228</v>
      </c>
      <c r="H23557">
        <v>4600</v>
      </c>
      <c r="I23557" t="s">
        <v>105</v>
      </c>
      <c r="J23557">
        <v>550.29</v>
      </c>
      <c r="K23557">
        <v>106.51</v>
      </c>
      <c r="L23557">
        <v>46554</v>
      </c>
      <c r="M23557" t="s">
        <v>117</v>
      </c>
      <c r="N23557" t="str">
        <f>"12856549    "</f>
        <v xml:space="preserve">12856549    </v>
      </c>
      <c r="O23557">
        <v>230317</v>
      </c>
    </row>
    <row r="23558" spans="1:15" x14ac:dyDescent="0.25">
      <c r="A23558" t="s">
        <v>16</v>
      </c>
      <c r="B23558" t="s">
        <v>3221</v>
      </c>
      <c r="C23558">
        <v>3813</v>
      </c>
      <c r="D23558" t="s">
        <v>411</v>
      </c>
      <c r="E23558" t="s">
        <v>412</v>
      </c>
      <c r="F23558">
        <v>2444.7399999999998</v>
      </c>
      <c r="G23558">
        <v>230315</v>
      </c>
      <c r="H23558">
        <v>4600</v>
      </c>
      <c r="I23558" t="s">
        <v>105</v>
      </c>
      <c r="J23558">
        <v>3031.48</v>
      </c>
      <c r="K23558">
        <v>586.74</v>
      </c>
      <c r="L23558">
        <v>46554</v>
      </c>
      <c r="M23558" t="s">
        <v>117</v>
      </c>
      <c r="N23558" t="str">
        <f>"12866907    "</f>
        <v xml:space="preserve">12866907    </v>
      </c>
      <c r="O23558">
        <v>230323</v>
      </c>
    </row>
    <row r="23559" spans="1:15" x14ac:dyDescent="0.25">
      <c r="A23559" t="s">
        <v>16</v>
      </c>
      <c r="B23559" t="s">
        <v>3221</v>
      </c>
      <c r="C23559">
        <v>4456</v>
      </c>
      <c r="D23559" t="s">
        <v>411</v>
      </c>
      <c r="E23559" t="s">
        <v>412</v>
      </c>
      <c r="F23559">
        <v>1030.94</v>
      </c>
      <c r="G23559">
        <v>230331</v>
      </c>
      <c r="H23559">
        <v>4600</v>
      </c>
      <c r="I23559" t="s">
        <v>105</v>
      </c>
      <c r="J23559">
        <v>1278.3699999999999</v>
      </c>
      <c r="K23559">
        <v>247.43</v>
      </c>
      <c r="L23559">
        <v>46554</v>
      </c>
      <c r="M23559" t="s">
        <v>117</v>
      </c>
      <c r="N23559" t="str">
        <f>"12879459    "</f>
        <v xml:space="preserve">12879459    </v>
      </c>
      <c r="O23559">
        <v>230406</v>
      </c>
    </row>
    <row r="23560" spans="1:15" x14ac:dyDescent="0.25">
      <c r="A23560" t="s">
        <v>16</v>
      </c>
      <c r="B23560" t="s">
        <v>3221</v>
      </c>
      <c r="C23560">
        <v>4458</v>
      </c>
      <c r="D23560" t="s">
        <v>411</v>
      </c>
      <c r="E23560" t="s">
        <v>412</v>
      </c>
      <c r="F23560">
        <v>46.29</v>
      </c>
      <c r="G23560">
        <v>230331</v>
      </c>
      <c r="H23560">
        <v>4600</v>
      </c>
      <c r="I23560" t="s">
        <v>105</v>
      </c>
      <c r="J23560">
        <v>57.4</v>
      </c>
      <c r="K23560">
        <v>11.11</v>
      </c>
      <c r="L23560">
        <v>46554</v>
      </c>
      <c r="M23560" t="s">
        <v>117</v>
      </c>
      <c r="N23560" t="str">
        <f>"12879457    "</f>
        <v xml:space="preserve">12879457    </v>
      </c>
      <c r="O23560">
        <v>230406</v>
      </c>
    </row>
    <row r="23561" spans="1:15" x14ac:dyDescent="0.25">
      <c r="A23561" t="s">
        <v>16</v>
      </c>
      <c r="B23561" t="s">
        <v>3221</v>
      </c>
      <c r="C23561">
        <v>5244</v>
      </c>
      <c r="D23561" t="s">
        <v>411</v>
      </c>
      <c r="E23561" t="s">
        <v>412</v>
      </c>
      <c r="F23561">
        <v>93.21</v>
      </c>
      <c r="G23561">
        <v>230415</v>
      </c>
      <c r="H23561">
        <v>4600</v>
      </c>
      <c r="I23561" t="s">
        <v>105</v>
      </c>
      <c r="J23561">
        <v>115.58</v>
      </c>
      <c r="K23561">
        <v>22.37</v>
      </c>
      <c r="L23561">
        <v>46554</v>
      </c>
      <c r="M23561" t="s">
        <v>117</v>
      </c>
      <c r="N23561" t="str">
        <f>"12889491    "</f>
        <v xml:space="preserve">12889491    </v>
      </c>
      <c r="O23561">
        <v>230419</v>
      </c>
    </row>
    <row r="23562" spans="1:15" x14ac:dyDescent="0.25">
      <c r="A23562" t="s">
        <v>16</v>
      </c>
      <c r="B23562" t="s">
        <v>3221</v>
      </c>
      <c r="C23562">
        <v>5245</v>
      </c>
      <c r="D23562" t="s">
        <v>411</v>
      </c>
      <c r="E23562" t="s">
        <v>412</v>
      </c>
      <c r="F23562">
        <v>239.92</v>
      </c>
      <c r="G23562">
        <v>230415</v>
      </c>
      <c r="H23562">
        <v>4600</v>
      </c>
      <c r="I23562" t="s">
        <v>105</v>
      </c>
      <c r="J23562">
        <v>297.5</v>
      </c>
      <c r="K23562">
        <v>57.58</v>
      </c>
      <c r="L23562">
        <v>46554</v>
      </c>
      <c r="M23562" t="s">
        <v>117</v>
      </c>
      <c r="N23562" t="str">
        <f>"12889428    "</f>
        <v xml:space="preserve">12889428    </v>
      </c>
      <c r="O23562">
        <v>230419</v>
      </c>
    </row>
    <row r="23563" spans="1:15" x14ac:dyDescent="0.25">
      <c r="A23563" t="s">
        <v>16</v>
      </c>
      <c r="B23563" t="s">
        <v>3221</v>
      </c>
      <c r="C23563">
        <v>5983</v>
      </c>
      <c r="D23563" t="s">
        <v>411</v>
      </c>
      <c r="E23563" t="s">
        <v>412</v>
      </c>
      <c r="F23563">
        <v>29.15</v>
      </c>
      <c r="G23563">
        <v>230430</v>
      </c>
      <c r="H23563">
        <v>4600</v>
      </c>
      <c r="I23563" t="s">
        <v>105</v>
      </c>
      <c r="J23563">
        <v>36.15</v>
      </c>
      <c r="K23563">
        <v>7</v>
      </c>
      <c r="L23563">
        <v>46554</v>
      </c>
      <c r="M23563" t="s">
        <v>117</v>
      </c>
      <c r="N23563" t="str">
        <f>"12902417    "</f>
        <v xml:space="preserve">12902417    </v>
      </c>
      <c r="O23563">
        <v>230504</v>
      </c>
    </row>
    <row r="23564" spans="1:15" x14ac:dyDescent="0.25">
      <c r="A23564" t="s">
        <v>16</v>
      </c>
      <c r="B23564" t="s">
        <v>3221</v>
      </c>
      <c r="C23564">
        <v>6589</v>
      </c>
      <c r="D23564" t="s">
        <v>411</v>
      </c>
      <c r="E23564" t="s">
        <v>412</v>
      </c>
      <c r="F23564">
        <v>40.9</v>
      </c>
      <c r="G23564">
        <v>230430</v>
      </c>
      <c r="H23564">
        <v>4600</v>
      </c>
      <c r="I23564" t="s">
        <v>105</v>
      </c>
      <c r="J23564">
        <v>50.72</v>
      </c>
      <c r="K23564">
        <v>9.82</v>
      </c>
      <c r="L23564">
        <v>46554</v>
      </c>
      <c r="M23564" t="s">
        <v>117</v>
      </c>
      <c r="N23564" t="str">
        <f>"12902556    "</f>
        <v xml:space="preserve">12902556    </v>
      </c>
      <c r="O23564">
        <v>230516</v>
      </c>
    </row>
    <row r="23565" spans="1:15" x14ac:dyDescent="0.25">
      <c r="A23565" t="s">
        <v>16</v>
      </c>
      <c r="B23565" t="s">
        <v>3221</v>
      </c>
      <c r="C23565">
        <v>6790</v>
      </c>
      <c r="D23565" t="s">
        <v>411</v>
      </c>
      <c r="E23565" t="s">
        <v>412</v>
      </c>
      <c r="F23565">
        <v>165.32</v>
      </c>
      <c r="G23565">
        <v>230515</v>
      </c>
      <c r="H23565">
        <v>4600</v>
      </c>
      <c r="I23565" t="s">
        <v>105</v>
      </c>
      <c r="J23565">
        <v>205</v>
      </c>
      <c r="K23565">
        <v>39.68</v>
      </c>
      <c r="L23565">
        <v>46554</v>
      </c>
      <c r="M23565" t="s">
        <v>117</v>
      </c>
      <c r="N23565" t="str">
        <f>"12915113    "</f>
        <v xml:space="preserve">12915113    </v>
      </c>
      <c r="O23565">
        <v>230522</v>
      </c>
    </row>
    <row r="23566" spans="1:15" x14ac:dyDescent="0.25">
      <c r="A23566" t="s">
        <v>16</v>
      </c>
      <c r="B23566" t="s">
        <v>3221</v>
      </c>
      <c r="C23566">
        <v>6791</v>
      </c>
      <c r="D23566" t="s">
        <v>411</v>
      </c>
      <c r="E23566" t="s">
        <v>412</v>
      </c>
      <c r="F23566">
        <v>1676.88</v>
      </c>
      <c r="G23566">
        <v>230515</v>
      </c>
      <c r="H23566">
        <v>4600</v>
      </c>
      <c r="I23566" t="s">
        <v>105</v>
      </c>
      <c r="J23566">
        <v>2079.33</v>
      </c>
      <c r="K23566">
        <v>402.45</v>
      </c>
      <c r="L23566">
        <v>46554</v>
      </c>
      <c r="M23566" t="s">
        <v>117</v>
      </c>
      <c r="N23566" t="str">
        <f>"12915112    "</f>
        <v xml:space="preserve">12915112    </v>
      </c>
      <c r="O23566">
        <v>230522</v>
      </c>
    </row>
    <row r="23567" spans="1:15" x14ac:dyDescent="0.25">
      <c r="A23567" t="s">
        <v>16</v>
      </c>
      <c r="B23567" t="s">
        <v>3221</v>
      </c>
      <c r="C23567">
        <v>6798</v>
      </c>
      <c r="D23567" t="s">
        <v>411</v>
      </c>
      <c r="E23567" t="s">
        <v>412</v>
      </c>
      <c r="F23567">
        <v>780.6</v>
      </c>
      <c r="G23567">
        <v>230515</v>
      </c>
      <c r="H23567">
        <v>4600</v>
      </c>
      <c r="I23567" t="s">
        <v>105</v>
      </c>
      <c r="J23567">
        <v>967.94</v>
      </c>
      <c r="K23567">
        <v>187.34</v>
      </c>
      <c r="L23567">
        <v>46554</v>
      </c>
      <c r="M23567" t="s">
        <v>117</v>
      </c>
      <c r="N23567" t="str">
        <f>"12915111    "</f>
        <v xml:space="preserve">12915111    </v>
      </c>
      <c r="O23567">
        <v>230522</v>
      </c>
    </row>
    <row r="23568" spans="1:15" x14ac:dyDescent="0.25">
      <c r="A23568" t="s">
        <v>16</v>
      </c>
      <c r="B23568" t="s">
        <v>3221</v>
      </c>
      <c r="C23568">
        <v>6873</v>
      </c>
      <c r="D23568" t="s">
        <v>411</v>
      </c>
      <c r="E23568" t="s">
        <v>412</v>
      </c>
      <c r="F23568">
        <v>26.6</v>
      </c>
      <c r="G23568">
        <v>230515</v>
      </c>
      <c r="H23568">
        <v>4600</v>
      </c>
      <c r="I23568" t="s">
        <v>105</v>
      </c>
      <c r="J23568">
        <v>32.979999999999997</v>
      </c>
      <c r="K23568">
        <v>6.38</v>
      </c>
      <c r="L23568">
        <v>46554</v>
      </c>
      <c r="M23568" t="s">
        <v>117</v>
      </c>
      <c r="N23568" t="str">
        <f>"12915063    "</f>
        <v xml:space="preserve">12915063    </v>
      </c>
      <c r="O23568">
        <v>230523</v>
      </c>
    </row>
    <row r="23569" spans="1:15" x14ac:dyDescent="0.25">
      <c r="A23569" t="s">
        <v>16</v>
      </c>
      <c r="B23569" t="s">
        <v>3221</v>
      </c>
      <c r="C23569">
        <v>7683</v>
      </c>
      <c r="D23569" t="s">
        <v>411</v>
      </c>
      <c r="E23569" t="s">
        <v>412</v>
      </c>
      <c r="F23569">
        <v>346.48</v>
      </c>
      <c r="G23569">
        <v>230531</v>
      </c>
      <c r="H23569">
        <v>4600</v>
      </c>
      <c r="I23569" t="s">
        <v>105</v>
      </c>
      <c r="J23569">
        <v>429.64</v>
      </c>
      <c r="K23569">
        <v>83.16</v>
      </c>
      <c r="L23569">
        <v>46554</v>
      </c>
      <c r="M23569" t="s">
        <v>117</v>
      </c>
      <c r="N23569" t="str">
        <f>"12928748    "</f>
        <v xml:space="preserve">12928748    </v>
      </c>
      <c r="O23569">
        <v>230601</v>
      </c>
    </row>
    <row r="23570" spans="1:15" x14ac:dyDescent="0.25">
      <c r="A23570" t="s">
        <v>16</v>
      </c>
      <c r="B23570" t="s">
        <v>3221</v>
      </c>
      <c r="C23570">
        <v>7684</v>
      </c>
      <c r="D23570" t="s">
        <v>411</v>
      </c>
      <c r="E23570" t="s">
        <v>412</v>
      </c>
      <c r="F23570">
        <v>429.69</v>
      </c>
      <c r="G23570">
        <v>230531</v>
      </c>
      <c r="H23570">
        <v>4600</v>
      </c>
      <c r="I23570" t="s">
        <v>105</v>
      </c>
      <c r="J23570">
        <v>532.82000000000005</v>
      </c>
      <c r="K23570">
        <v>103.13</v>
      </c>
      <c r="L23570">
        <v>46554</v>
      </c>
      <c r="M23570" t="s">
        <v>117</v>
      </c>
      <c r="N23570" t="str">
        <f>"12928747    "</f>
        <v xml:space="preserve">12928747    </v>
      </c>
      <c r="O23570">
        <v>230601</v>
      </c>
    </row>
    <row r="23571" spans="1:15" x14ac:dyDescent="0.25">
      <c r="A23571" t="s">
        <v>16</v>
      </c>
      <c r="B23571" t="s">
        <v>3221</v>
      </c>
      <c r="C23571">
        <v>8833</v>
      </c>
      <c r="D23571" t="s">
        <v>411</v>
      </c>
      <c r="E23571" t="s">
        <v>412</v>
      </c>
      <c r="F23571">
        <v>274.60000000000002</v>
      </c>
      <c r="G23571">
        <v>230615</v>
      </c>
      <c r="H23571">
        <v>4600</v>
      </c>
      <c r="I23571" t="s">
        <v>105</v>
      </c>
      <c r="J23571">
        <v>340.5</v>
      </c>
      <c r="K23571">
        <v>65.900000000000006</v>
      </c>
      <c r="L23571">
        <v>46554</v>
      </c>
      <c r="M23571" t="s">
        <v>117</v>
      </c>
      <c r="N23571" t="str">
        <f>"12944281    "</f>
        <v xml:space="preserve">12944281    </v>
      </c>
      <c r="O23571">
        <v>230616</v>
      </c>
    </row>
    <row r="23572" spans="1:15" x14ac:dyDescent="0.25">
      <c r="A23572" t="s">
        <v>16</v>
      </c>
      <c r="B23572" t="s">
        <v>3221</v>
      </c>
      <c r="C23572">
        <v>8835</v>
      </c>
      <c r="D23572" t="s">
        <v>411</v>
      </c>
      <c r="E23572" t="s">
        <v>412</v>
      </c>
      <c r="F23572">
        <v>231.8</v>
      </c>
      <c r="G23572">
        <v>230615</v>
      </c>
      <c r="H23572">
        <v>4600</v>
      </c>
      <c r="I23572" t="s">
        <v>105</v>
      </c>
      <c r="J23572">
        <v>287.43</v>
      </c>
      <c r="K23572">
        <v>55.63</v>
      </c>
      <c r="L23572">
        <v>46557</v>
      </c>
      <c r="M23572" t="s">
        <v>221</v>
      </c>
      <c r="N23572" t="str">
        <f>"12944238    "</f>
        <v xml:space="preserve">12944238    </v>
      </c>
      <c r="O23572">
        <v>230616</v>
      </c>
    </row>
    <row r="23573" spans="1:15" x14ac:dyDescent="0.25">
      <c r="A23573" t="s">
        <v>16</v>
      </c>
      <c r="B23573" t="s">
        <v>3221</v>
      </c>
      <c r="C23573">
        <v>8836</v>
      </c>
      <c r="D23573" t="s">
        <v>411</v>
      </c>
      <c r="E23573" t="s">
        <v>412</v>
      </c>
      <c r="F23573">
        <v>173.66</v>
      </c>
      <c r="G23573">
        <v>230615</v>
      </c>
      <c r="H23573">
        <v>4600</v>
      </c>
      <c r="I23573" t="s">
        <v>105</v>
      </c>
      <c r="J23573">
        <v>215.34</v>
      </c>
      <c r="K23573">
        <v>41.68</v>
      </c>
      <c r="L23573">
        <v>46554</v>
      </c>
      <c r="M23573" t="s">
        <v>117</v>
      </c>
      <c r="N23573" t="str">
        <f>"12944266    "</f>
        <v xml:space="preserve">12944266    </v>
      </c>
      <c r="O23573">
        <v>230616</v>
      </c>
    </row>
    <row r="23574" spans="1:15" x14ac:dyDescent="0.25">
      <c r="A23574" t="s">
        <v>16</v>
      </c>
      <c r="B23574" t="s">
        <v>3221</v>
      </c>
      <c r="C23574">
        <v>11306</v>
      </c>
      <c r="D23574" t="s">
        <v>411</v>
      </c>
      <c r="E23574" t="s">
        <v>412</v>
      </c>
      <c r="F23574">
        <v>374.6</v>
      </c>
      <c r="G23574">
        <v>230831</v>
      </c>
      <c r="H23574">
        <v>4600</v>
      </c>
      <c r="I23574" t="s">
        <v>105</v>
      </c>
      <c r="J23574">
        <v>464.5</v>
      </c>
      <c r="K23574">
        <v>89.9</v>
      </c>
      <c r="L23574">
        <v>46554</v>
      </c>
      <c r="M23574" t="s">
        <v>117</v>
      </c>
      <c r="N23574" t="str">
        <f>"12999110    "</f>
        <v xml:space="preserve">12999110    </v>
      </c>
      <c r="O23574">
        <v>230904</v>
      </c>
    </row>
    <row r="23575" spans="1:15" x14ac:dyDescent="0.25">
      <c r="A23575" t="s">
        <v>16</v>
      </c>
      <c r="B23575" t="s">
        <v>3221</v>
      </c>
      <c r="C23575">
        <v>12593</v>
      </c>
      <c r="D23575" t="s">
        <v>411</v>
      </c>
      <c r="E23575" t="s">
        <v>412</v>
      </c>
      <c r="F23575">
        <v>272.27</v>
      </c>
      <c r="G23575">
        <v>230915</v>
      </c>
      <c r="H23575">
        <v>4600</v>
      </c>
      <c r="I23575" t="s">
        <v>105</v>
      </c>
      <c r="J23575">
        <v>337.61</v>
      </c>
      <c r="K23575">
        <v>65.34</v>
      </c>
      <c r="L23575">
        <v>46554</v>
      </c>
      <c r="M23575" t="s">
        <v>117</v>
      </c>
      <c r="N23575" t="str">
        <f>"13014113    "</f>
        <v xml:space="preserve">13014113    </v>
      </c>
      <c r="O23575">
        <v>230922</v>
      </c>
    </row>
    <row r="23576" spans="1:15" x14ac:dyDescent="0.25">
      <c r="A23576" t="s">
        <v>16</v>
      </c>
      <c r="B23576" t="s">
        <v>3221</v>
      </c>
      <c r="C23576">
        <v>12834</v>
      </c>
      <c r="D23576" t="s">
        <v>411</v>
      </c>
      <c r="E23576" t="s">
        <v>412</v>
      </c>
      <c r="F23576">
        <v>722.68</v>
      </c>
      <c r="G23576">
        <v>230915</v>
      </c>
      <c r="H23576">
        <v>4600</v>
      </c>
      <c r="I23576" t="s">
        <v>105</v>
      </c>
      <c r="J23576">
        <v>896.12</v>
      </c>
      <c r="K23576">
        <v>173.44</v>
      </c>
      <c r="L23576">
        <v>46554</v>
      </c>
      <c r="M23576" t="s">
        <v>117</v>
      </c>
      <c r="N23576" t="str">
        <f>"13014125    "</f>
        <v xml:space="preserve">13014125    </v>
      </c>
      <c r="O23576">
        <v>230928</v>
      </c>
    </row>
    <row r="23577" spans="1:15" x14ac:dyDescent="0.25">
      <c r="A23577" t="s">
        <v>16</v>
      </c>
      <c r="B23577" t="s">
        <v>3221</v>
      </c>
      <c r="C23577">
        <v>13082</v>
      </c>
      <c r="D23577" t="s">
        <v>411</v>
      </c>
      <c r="E23577" t="s">
        <v>412</v>
      </c>
      <c r="F23577">
        <v>535</v>
      </c>
      <c r="G23577">
        <v>230915</v>
      </c>
      <c r="H23577">
        <v>4600</v>
      </c>
      <c r="I23577" t="s">
        <v>105</v>
      </c>
      <c r="J23577">
        <v>663.4</v>
      </c>
      <c r="K23577">
        <v>128.4</v>
      </c>
      <c r="L23577">
        <v>46554</v>
      </c>
      <c r="M23577" t="s">
        <v>117</v>
      </c>
      <c r="N23577" t="str">
        <f>"13013943    "</f>
        <v xml:space="preserve">13013943    </v>
      </c>
      <c r="O23577">
        <v>231003</v>
      </c>
    </row>
    <row r="23578" spans="1:15" x14ac:dyDescent="0.25">
      <c r="A23578" t="s">
        <v>16</v>
      </c>
      <c r="B23578" t="s">
        <v>3221</v>
      </c>
      <c r="C23578">
        <v>13467</v>
      </c>
      <c r="D23578" t="s">
        <v>411</v>
      </c>
      <c r="E23578" t="s">
        <v>412</v>
      </c>
      <c r="F23578">
        <v>1082.6099999999999</v>
      </c>
      <c r="G23578">
        <v>230930</v>
      </c>
      <c r="H23578">
        <v>4600</v>
      </c>
      <c r="I23578" t="s">
        <v>105</v>
      </c>
      <c r="J23578">
        <v>1342.44</v>
      </c>
      <c r="K23578">
        <v>259.83</v>
      </c>
      <c r="L23578">
        <v>46554</v>
      </c>
      <c r="M23578" t="s">
        <v>117</v>
      </c>
      <c r="N23578" t="str">
        <f>"13026661    "</f>
        <v xml:space="preserve">13026661    </v>
      </c>
      <c r="O23578">
        <v>231010</v>
      </c>
    </row>
    <row r="23579" spans="1:15" x14ac:dyDescent="0.25">
      <c r="A23579" t="s">
        <v>16</v>
      </c>
      <c r="B23579" t="s">
        <v>3221</v>
      </c>
      <c r="C23579">
        <v>13957</v>
      </c>
      <c r="D23579" t="s">
        <v>411</v>
      </c>
      <c r="E23579" t="s">
        <v>412</v>
      </c>
      <c r="F23579">
        <v>66</v>
      </c>
      <c r="G23579">
        <v>231015</v>
      </c>
      <c r="H23579">
        <v>4600</v>
      </c>
      <c r="I23579" t="s">
        <v>105</v>
      </c>
      <c r="J23579">
        <v>81.84</v>
      </c>
      <c r="K23579">
        <v>15.84</v>
      </c>
      <c r="L23579">
        <v>47522</v>
      </c>
      <c r="M23579" t="s">
        <v>410</v>
      </c>
      <c r="N23579" t="str">
        <f>"13038300    "</f>
        <v xml:space="preserve">13038300    </v>
      </c>
      <c r="O23579">
        <v>231017</v>
      </c>
    </row>
    <row r="23580" spans="1:15" x14ac:dyDescent="0.25">
      <c r="A23580" t="s">
        <v>16</v>
      </c>
      <c r="B23580" t="s">
        <v>3221</v>
      </c>
      <c r="C23580">
        <v>14029</v>
      </c>
      <c r="D23580" t="s">
        <v>411</v>
      </c>
      <c r="E23580" t="s">
        <v>412</v>
      </c>
      <c r="F23580">
        <v>658.67</v>
      </c>
      <c r="G23580">
        <v>231015</v>
      </c>
      <c r="H23580">
        <v>4600</v>
      </c>
      <c r="I23580" t="s">
        <v>105</v>
      </c>
      <c r="J23580">
        <v>816.75</v>
      </c>
      <c r="K23580">
        <v>158.08000000000001</v>
      </c>
      <c r="L23580">
        <v>46554</v>
      </c>
      <c r="M23580" t="s">
        <v>117</v>
      </c>
      <c r="N23580" t="str">
        <f>"13038332    "</f>
        <v xml:space="preserve">13038332    </v>
      </c>
      <c r="O23580">
        <v>231017</v>
      </c>
    </row>
    <row r="23581" spans="1:15" x14ac:dyDescent="0.25">
      <c r="A23581" t="s">
        <v>16</v>
      </c>
      <c r="B23581" t="s">
        <v>3221</v>
      </c>
      <c r="C23581">
        <v>14175</v>
      </c>
      <c r="D23581" t="s">
        <v>411</v>
      </c>
      <c r="E23581" t="s">
        <v>412</v>
      </c>
      <c r="F23581">
        <v>46.06</v>
      </c>
      <c r="G23581">
        <v>231015</v>
      </c>
      <c r="H23581">
        <v>4600</v>
      </c>
      <c r="I23581" t="s">
        <v>105</v>
      </c>
      <c r="J23581">
        <v>57.11</v>
      </c>
      <c r="K23581">
        <v>11.05</v>
      </c>
      <c r="L23581">
        <v>47522</v>
      </c>
      <c r="M23581" t="s">
        <v>410</v>
      </c>
      <c r="N23581" t="str">
        <f>"13038422    "</f>
        <v xml:space="preserve">13038422    </v>
      </c>
      <c r="O23581">
        <v>231023</v>
      </c>
    </row>
    <row r="23582" spans="1:15" x14ac:dyDescent="0.25">
      <c r="A23582" t="s">
        <v>16</v>
      </c>
      <c r="B23582" t="s">
        <v>3221</v>
      </c>
      <c r="C23582">
        <v>14232</v>
      </c>
      <c r="D23582" t="s">
        <v>411</v>
      </c>
      <c r="E23582" t="s">
        <v>412</v>
      </c>
      <c r="F23582">
        <v>61.38</v>
      </c>
      <c r="G23582">
        <v>231015</v>
      </c>
      <c r="H23582">
        <v>4600</v>
      </c>
      <c r="I23582" t="s">
        <v>105</v>
      </c>
      <c r="J23582">
        <v>76.11</v>
      </c>
      <c r="K23582">
        <v>14.73</v>
      </c>
      <c r="L23582">
        <v>49501</v>
      </c>
      <c r="M23582" t="s">
        <v>177</v>
      </c>
      <c r="N23582" t="str">
        <f>"13038389    "</f>
        <v xml:space="preserve">13038389    </v>
      </c>
      <c r="O23582">
        <v>231024</v>
      </c>
    </row>
    <row r="23583" spans="1:15" x14ac:dyDescent="0.25">
      <c r="A23583" t="s">
        <v>16</v>
      </c>
      <c r="B23583" t="s">
        <v>3221</v>
      </c>
      <c r="C23583">
        <v>15608</v>
      </c>
      <c r="D23583" t="s">
        <v>411</v>
      </c>
      <c r="E23583" t="s">
        <v>412</v>
      </c>
      <c r="F23583">
        <v>4072</v>
      </c>
      <c r="G23583">
        <v>231031</v>
      </c>
      <c r="H23583">
        <v>4600</v>
      </c>
      <c r="I23583" t="s">
        <v>105</v>
      </c>
      <c r="J23583">
        <v>5049.28</v>
      </c>
      <c r="K23583">
        <v>977.28</v>
      </c>
      <c r="L23583">
        <v>46554</v>
      </c>
      <c r="M23583" t="s">
        <v>117</v>
      </c>
      <c r="N23583" t="str">
        <f>"13052092    "</f>
        <v xml:space="preserve">13052092    </v>
      </c>
      <c r="O23583">
        <v>231114</v>
      </c>
    </row>
    <row r="23584" spans="1:15" x14ac:dyDescent="0.25">
      <c r="A23584" t="s">
        <v>16</v>
      </c>
      <c r="B23584" t="s">
        <v>3221</v>
      </c>
      <c r="C23584">
        <v>16100</v>
      </c>
      <c r="D23584" t="s">
        <v>411</v>
      </c>
      <c r="E23584" t="s">
        <v>412</v>
      </c>
      <c r="F23584">
        <v>229.22</v>
      </c>
      <c r="G23584">
        <v>231115</v>
      </c>
      <c r="H23584">
        <v>4600</v>
      </c>
      <c r="I23584" t="s">
        <v>105</v>
      </c>
      <c r="J23584">
        <v>284.23</v>
      </c>
      <c r="K23584">
        <v>55.01</v>
      </c>
      <c r="L23584">
        <v>17636</v>
      </c>
      <c r="M23584" t="s">
        <v>352</v>
      </c>
      <c r="N23584" t="str">
        <f>"13064210    "</f>
        <v xml:space="preserve">13064210    </v>
      </c>
      <c r="O23584">
        <v>231122</v>
      </c>
    </row>
    <row r="23585" spans="1:15" x14ac:dyDescent="0.25">
      <c r="A23585" t="s">
        <v>16</v>
      </c>
      <c r="B23585" t="s">
        <v>3221</v>
      </c>
      <c r="C23585">
        <v>16186</v>
      </c>
      <c r="D23585" t="s">
        <v>411</v>
      </c>
      <c r="E23585" t="s">
        <v>412</v>
      </c>
      <c r="F23585">
        <v>63.15</v>
      </c>
      <c r="G23585">
        <v>231115</v>
      </c>
      <c r="H23585">
        <v>4600</v>
      </c>
      <c r="I23585" t="s">
        <v>105</v>
      </c>
      <c r="J23585">
        <v>78.31</v>
      </c>
      <c r="K23585">
        <v>15.16</v>
      </c>
      <c r="L23585">
        <v>49501</v>
      </c>
      <c r="M23585" t="s">
        <v>177</v>
      </c>
      <c r="N23585" t="str">
        <f>"13064947    "</f>
        <v xml:space="preserve">13064947    </v>
      </c>
      <c r="O23585">
        <v>231127</v>
      </c>
    </row>
    <row r="23586" spans="1:15" x14ac:dyDescent="0.25">
      <c r="A23586" t="s">
        <v>16</v>
      </c>
      <c r="B23586" t="s">
        <v>3221</v>
      </c>
      <c r="C23586">
        <v>16464</v>
      </c>
      <c r="D23586" t="s">
        <v>411</v>
      </c>
      <c r="E23586" t="s">
        <v>412</v>
      </c>
      <c r="F23586">
        <v>678.71</v>
      </c>
      <c r="G23586">
        <v>231115</v>
      </c>
      <c r="H23586">
        <v>4600</v>
      </c>
      <c r="I23586" t="s">
        <v>105</v>
      </c>
      <c r="J23586">
        <v>678.71</v>
      </c>
      <c r="K23586">
        <v>0</v>
      </c>
      <c r="L23586">
        <v>46554</v>
      </c>
      <c r="M23586" t="s">
        <v>117</v>
      </c>
      <c r="N23586" t="str">
        <f>"13064876    "</f>
        <v xml:space="preserve">13064876    </v>
      </c>
      <c r="O23586">
        <v>231201</v>
      </c>
    </row>
    <row r="23587" spans="1:15" x14ac:dyDescent="0.25">
      <c r="A23587" t="s">
        <v>16</v>
      </c>
      <c r="B23587" t="s">
        <v>3221</v>
      </c>
      <c r="C23587">
        <v>16805</v>
      </c>
      <c r="D23587" t="s">
        <v>411</v>
      </c>
      <c r="E23587" t="s">
        <v>412</v>
      </c>
      <c r="F23587">
        <v>270</v>
      </c>
      <c r="G23587">
        <v>231130</v>
      </c>
      <c r="H23587">
        <v>4600</v>
      </c>
      <c r="I23587" t="s">
        <v>105</v>
      </c>
      <c r="J23587">
        <v>334.8</v>
      </c>
      <c r="K23587">
        <v>64.8</v>
      </c>
      <c r="L23587">
        <v>46554</v>
      </c>
      <c r="M23587" t="s">
        <v>117</v>
      </c>
      <c r="N23587" t="str">
        <f>"13077967    "</f>
        <v xml:space="preserve">13077967    </v>
      </c>
      <c r="O23587">
        <v>231211</v>
      </c>
    </row>
    <row r="23588" spans="1:15" x14ac:dyDescent="0.25">
      <c r="A23588" t="s">
        <v>16</v>
      </c>
      <c r="B23588" t="s">
        <v>3221</v>
      </c>
      <c r="C23588">
        <v>16818</v>
      </c>
      <c r="D23588" t="s">
        <v>411</v>
      </c>
      <c r="E23588" t="s">
        <v>412</v>
      </c>
      <c r="F23588">
        <v>39.47</v>
      </c>
      <c r="G23588">
        <v>231130</v>
      </c>
      <c r="H23588">
        <v>4600</v>
      </c>
      <c r="I23588" t="s">
        <v>105</v>
      </c>
      <c r="J23588">
        <v>48.94</v>
      </c>
      <c r="K23588">
        <v>9.4700000000000006</v>
      </c>
      <c r="L23588">
        <v>46554</v>
      </c>
      <c r="M23588" t="s">
        <v>117</v>
      </c>
      <c r="N23588" t="str">
        <f>"13077805    "</f>
        <v xml:space="preserve">13077805    </v>
      </c>
      <c r="O23588">
        <v>231211</v>
      </c>
    </row>
    <row r="23589" spans="1:15" x14ac:dyDescent="0.25">
      <c r="A23589" t="s">
        <v>16</v>
      </c>
      <c r="B23589" t="s">
        <v>3221</v>
      </c>
      <c r="C23589">
        <v>17022</v>
      </c>
      <c r="D23589" t="s">
        <v>411</v>
      </c>
      <c r="E23589" t="s">
        <v>412</v>
      </c>
      <c r="F23589">
        <v>88</v>
      </c>
      <c r="G23589">
        <v>231130</v>
      </c>
      <c r="H23589">
        <v>4600</v>
      </c>
      <c r="I23589" t="s">
        <v>105</v>
      </c>
      <c r="J23589">
        <v>109.12</v>
      </c>
      <c r="K23589">
        <v>21.12</v>
      </c>
      <c r="L23589">
        <v>17636</v>
      </c>
      <c r="M23589" t="s">
        <v>352</v>
      </c>
      <c r="N23589" t="str">
        <f>"13076274    "</f>
        <v xml:space="preserve">13076274    </v>
      </c>
      <c r="O23589">
        <v>231211</v>
      </c>
    </row>
    <row r="23590" spans="1:15" x14ac:dyDescent="0.25">
      <c r="A23590" t="s">
        <v>16</v>
      </c>
      <c r="B23590" t="s">
        <v>3221</v>
      </c>
      <c r="C23590">
        <v>17670</v>
      </c>
      <c r="D23590" t="s">
        <v>411</v>
      </c>
      <c r="E23590" t="s">
        <v>412</v>
      </c>
      <c r="F23590">
        <v>56.28</v>
      </c>
      <c r="G23590">
        <v>231130</v>
      </c>
      <c r="H23590">
        <v>4600</v>
      </c>
      <c r="I23590" t="s">
        <v>105</v>
      </c>
      <c r="J23590">
        <v>69.790000000000006</v>
      </c>
      <c r="K23590">
        <v>13.51</v>
      </c>
      <c r="L23590">
        <v>46554</v>
      </c>
      <c r="M23590" t="s">
        <v>117</v>
      </c>
      <c r="N23590" t="str">
        <f>"13078158    "</f>
        <v xml:space="preserve">13078158    </v>
      </c>
      <c r="O23590">
        <v>231220</v>
      </c>
    </row>
    <row r="23591" spans="1:15" x14ac:dyDescent="0.25">
      <c r="A23591" t="s">
        <v>16</v>
      </c>
      <c r="B23591" t="s">
        <v>3221</v>
      </c>
      <c r="C23591">
        <v>17671</v>
      </c>
      <c r="D23591" t="s">
        <v>411</v>
      </c>
      <c r="E23591" t="s">
        <v>412</v>
      </c>
      <c r="F23591">
        <v>428.49</v>
      </c>
      <c r="G23591">
        <v>231130</v>
      </c>
      <c r="H23591">
        <v>4600</v>
      </c>
      <c r="I23591" t="s">
        <v>105</v>
      </c>
      <c r="J23591">
        <v>531.33000000000004</v>
      </c>
      <c r="K23591">
        <v>102.84</v>
      </c>
      <c r="L23591">
        <v>46554</v>
      </c>
      <c r="M23591" t="s">
        <v>117</v>
      </c>
      <c r="N23591" t="str">
        <f>"13078203    "</f>
        <v xml:space="preserve">13078203    </v>
      </c>
      <c r="O23591">
        <v>231220</v>
      </c>
    </row>
    <row r="23592" spans="1:15" x14ac:dyDescent="0.25">
      <c r="A23592" t="s">
        <v>16</v>
      </c>
      <c r="B23592" t="s">
        <v>3221</v>
      </c>
      <c r="C23592">
        <v>17947</v>
      </c>
      <c r="D23592" t="s">
        <v>411</v>
      </c>
      <c r="E23592" t="s">
        <v>412</v>
      </c>
      <c r="F23592">
        <v>308.10000000000002</v>
      </c>
      <c r="G23592">
        <v>231215</v>
      </c>
      <c r="H23592">
        <v>4600</v>
      </c>
      <c r="I23592" t="s">
        <v>105</v>
      </c>
      <c r="J23592">
        <v>382.04</v>
      </c>
      <c r="K23592">
        <v>73.94</v>
      </c>
      <c r="L23592">
        <v>46554</v>
      </c>
      <c r="M23592" t="s">
        <v>117</v>
      </c>
      <c r="N23592" t="str">
        <f>"13088662    "</f>
        <v xml:space="preserve">13088662    </v>
      </c>
      <c r="O23592">
        <v>231228</v>
      </c>
    </row>
    <row r="23593" spans="1:15" x14ac:dyDescent="0.25">
      <c r="A23593" t="s">
        <v>16</v>
      </c>
      <c r="B23593" t="s">
        <v>3221</v>
      </c>
      <c r="C23593">
        <v>18557</v>
      </c>
      <c r="D23593" t="s">
        <v>411</v>
      </c>
      <c r="E23593" t="s">
        <v>412</v>
      </c>
      <c r="F23593">
        <v>28.95</v>
      </c>
      <c r="G23593">
        <v>231215</v>
      </c>
      <c r="H23593">
        <v>4600</v>
      </c>
      <c r="I23593" t="s">
        <v>105</v>
      </c>
      <c r="J23593">
        <v>35.9</v>
      </c>
      <c r="K23593">
        <v>6.95</v>
      </c>
      <c r="L23593">
        <v>46554</v>
      </c>
      <c r="M23593" t="s">
        <v>117</v>
      </c>
      <c r="N23593" t="str">
        <f>"13087389    "</f>
        <v xml:space="preserve">13087389    </v>
      </c>
      <c r="O23593">
        <v>240104</v>
      </c>
    </row>
    <row r="23594" spans="1:15" x14ac:dyDescent="0.25">
      <c r="A23594" t="s">
        <v>16</v>
      </c>
      <c r="B23594" t="s">
        <v>3221</v>
      </c>
      <c r="C23594">
        <v>18949</v>
      </c>
      <c r="D23594" t="s">
        <v>411</v>
      </c>
      <c r="E23594" t="s">
        <v>412</v>
      </c>
      <c r="F23594">
        <v>326.02</v>
      </c>
      <c r="G23594">
        <v>231215</v>
      </c>
      <c r="H23594">
        <v>4600</v>
      </c>
      <c r="I23594" t="s">
        <v>105</v>
      </c>
      <c r="J23594">
        <v>404.26</v>
      </c>
      <c r="K23594">
        <v>78.239999999999995</v>
      </c>
      <c r="L23594">
        <v>46554</v>
      </c>
      <c r="M23594" t="s">
        <v>117</v>
      </c>
      <c r="N23594" t="str">
        <f>"13088477    "</f>
        <v xml:space="preserve">13088477    </v>
      </c>
      <c r="O23594">
        <v>240109</v>
      </c>
    </row>
    <row r="23595" spans="1:15" x14ac:dyDescent="0.25">
      <c r="A23595" t="s">
        <v>16</v>
      </c>
      <c r="B23595" t="s">
        <v>3221</v>
      </c>
      <c r="C23595">
        <v>19232</v>
      </c>
      <c r="D23595" t="s">
        <v>411</v>
      </c>
      <c r="E23595" t="s">
        <v>412</v>
      </c>
      <c r="F23595">
        <v>527.23</v>
      </c>
      <c r="G23595">
        <v>231231</v>
      </c>
      <c r="H23595">
        <v>4600</v>
      </c>
      <c r="I23595" t="s">
        <v>105</v>
      </c>
      <c r="J23595">
        <v>653.77</v>
      </c>
      <c r="K23595">
        <v>126.54</v>
      </c>
      <c r="L23595">
        <v>46554</v>
      </c>
      <c r="M23595" t="s">
        <v>117</v>
      </c>
      <c r="N23595" t="str">
        <f>"13096925    "</f>
        <v xml:space="preserve">13096925    </v>
      </c>
      <c r="O23595">
        <v>240115</v>
      </c>
    </row>
    <row r="23596" spans="1:15" x14ac:dyDescent="0.25">
      <c r="A23596" t="s">
        <v>16</v>
      </c>
      <c r="B23596" t="s">
        <v>3221</v>
      </c>
      <c r="C23596">
        <v>19330</v>
      </c>
      <c r="D23596" t="s">
        <v>411</v>
      </c>
      <c r="E23596" t="s">
        <v>412</v>
      </c>
      <c r="F23596">
        <v>1847.34</v>
      </c>
      <c r="G23596">
        <v>231231</v>
      </c>
      <c r="H23596">
        <v>4600</v>
      </c>
      <c r="I23596" t="s">
        <v>105</v>
      </c>
      <c r="J23596">
        <v>2290.6999999999998</v>
      </c>
      <c r="K23596">
        <v>443.36</v>
      </c>
      <c r="L23596">
        <v>46554</v>
      </c>
      <c r="M23596" t="s">
        <v>117</v>
      </c>
      <c r="N23596" t="str">
        <f>"13096792    "</f>
        <v xml:space="preserve">13096792    </v>
      </c>
      <c r="O23596">
        <v>240117</v>
      </c>
    </row>
    <row r="23597" spans="1:15" x14ac:dyDescent="0.25">
      <c r="A23597" t="s">
        <v>16</v>
      </c>
      <c r="B23597" t="s">
        <v>3221</v>
      </c>
      <c r="C23597">
        <v>5398</v>
      </c>
      <c r="D23597" t="s">
        <v>411</v>
      </c>
      <c r="E23597" t="s">
        <v>412</v>
      </c>
      <c r="F23597">
        <v>21.79</v>
      </c>
      <c r="G23597">
        <v>230415</v>
      </c>
      <c r="H23597">
        <v>4590</v>
      </c>
      <c r="I23597" t="s">
        <v>203</v>
      </c>
      <c r="J23597">
        <v>27.02</v>
      </c>
      <c r="K23597">
        <v>5.23</v>
      </c>
      <c r="L23597">
        <v>49501</v>
      </c>
      <c r="M23597" t="s">
        <v>177</v>
      </c>
      <c r="N23597" t="str">
        <f>"12889404    "</f>
        <v xml:space="preserve">12889404    </v>
      </c>
      <c r="O23597">
        <v>230424</v>
      </c>
    </row>
    <row r="23598" spans="1:15" x14ac:dyDescent="0.25">
      <c r="A23598" t="s">
        <v>16</v>
      </c>
      <c r="B23598" t="s">
        <v>3221</v>
      </c>
      <c r="C23598">
        <v>638</v>
      </c>
      <c r="D23598" t="s">
        <v>411</v>
      </c>
      <c r="E23598" t="s">
        <v>412</v>
      </c>
      <c r="F23598">
        <v>61.09</v>
      </c>
      <c r="G23598">
        <v>230115</v>
      </c>
      <c r="H23598">
        <v>4530</v>
      </c>
      <c r="I23598" t="s">
        <v>342</v>
      </c>
      <c r="J23598">
        <v>75.75</v>
      </c>
      <c r="K23598">
        <v>14.66</v>
      </c>
      <c r="L23598">
        <v>56560</v>
      </c>
      <c r="M23598" t="s">
        <v>654</v>
      </c>
      <c r="N23598" t="str">
        <f>"12822507    "</f>
        <v xml:space="preserve">12822507    </v>
      </c>
      <c r="O23598">
        <v>230126</v>
      </c>
    </row>
    <row r="23599" spans="1:15" x14ac:dyDescent="0.25">
      <c r="A23599" t="s">
        <v>16</v>
      </c>
      <c r="B23599" t="s">
        <v>3221</v>
      </c>
      <c r="C23599">
        <v>1466</v>
      </c>
      <c r="D23599" t="s">
        <v>411</v>
      </c>
      <c r="E23599" t="s">
        <v>412</v>
      </c>
      <c r="F23599">
        <v>89.81</v>
      </c>
      <c r="G23599">
        <v>230131</v>
      </c>
      <c r="H23599">
        <v>4530</v>
      </c>
      <c r="I23599" t="s">
        <v>342</v>
      </c>
      <c r="J23599">
        <v>111.36</v>
      </c>
      <c r="K23599">
        <v>21.55</v>
      </c>
      <c r="L23599">
        <v>46554</v>
      </c>
      <c r="M23599" t="s">
        <v>117</v>
      </c>
      <c r="N23599" t="str">
        <f>"12835273    "</f>
        <v xml:space="preserve">12835273    </v>
      </c>
      <c r="O23599">
        <v>230209</v>
      </c>
    </row>
    <row r="23600" spans="1:15" x14ac:dyDescent="0.25">
      <c r="A23600" t="s">
        <v>16</v>
      </c>
      <c r="B23600" t="s">
        <v>3221</v>
      </c>
      <c r="C23600">
        <v>1914</v>
      </c>
      <c r="D23600" t="s">
        <v>411</v>
      </c>
      <c r="E23600" t="s">
        <v>412</v>
      </c>
      <c r="F23600">
        <v>54.92</v>
      </c>
      <c r="G23600">
        <v>230131</v>
      </c>
      <c r="H23600">
        <v>4530</v>
      </c>
      <c r="I23600" t="s">
        <v>342</v>
      </c>
      <c r="J23600">
        <v>68.099999999999994</v>
      </c>
      <c r="K23600">
        <v>13.18</v>
      </c>
      <c r="L23600">
        <v>46554</v>
      </c>
      <c r="M23600" t="s">
        <v>117</v>
      </c>
      <c r="N23600" t="str">
        <f>"12835274    "</f>
        <v xml:space="preserve">12835274    </v>
      </c>
      <c r="O23600">
        <v>230216</v>
      </c>
    </row>
    <row r="23601" spans="1:15" x14ac:dyDescent="0.25">
      <c r="A23601" t="s">
        <v>16</v>
      </c>
      <c r="B23601" t="s">
        <v>3221</v>
      </c>
      <c r="C23601">
        <v>4457</v>
      </c>
      <c r="D23601" t="s">
        <v>411</v>
      </c>
      <c r="E23601" t="s">
        <v>412</v>
      </c>
      <c r="F23601">
        <v>299.95999999999998</v>
      </c>
      <c r="G23601">
        <v>230331</v>
      </c>
      <c r="H23601">
        <v>4530</v>
      </c>
      <c r="I23601" t="s">
        <v>342</v>
      </c>
      <c r="J23601">
        <v>371.95</v>
      </c>
      <c r="K23601">
        <v>71.989999999999995</v>
      </c>
      <c r="L23601">
        <v>46554</v>
      </c>
      <c r="M23601" t="s">
        <v>117</v>
      </c>
      <c r="N23601" t="str">
        <f>"12879458    "</f>
        <v xml:space="preserve">12879458    </v>
      </c>
      <c r="O23601">
        <v>230406</v>
      </c>
    </row>
    <row r="23602" spans="1:15" x14ac:dyDescent="0.25">
      <c r="A23602" t="s">
        <v>16</v>
      </c>
      <c r="B23602" t="s">
        <v>3221</v>
      </c>
      <c r="C23602">
        <v>5245</v>
      </c>
      <c r="D23602" t="s">
        <v>411</v>
      </c>
      <c r="E23602" t="s">
        <v>412</v>
      </c>
      <c r="F23602">
        <v>255.83</v>
      </c>
      <c r="G23602">
        <v>230415</v>
      </c>
      <c r="H23602">
        <v>4530</v>
      </c>
      <c r="I23602" t="s">
        <v>342</v>
      </c>
      <c r="J23602">
        <v>317.23</v>
      </c>
      <c r="K23602">
        <v>61.4</v>
      </c>
      <c r="L23602">
        <v>46554</v>
      </c>
      <c r="M23602" t="s">
        <v>117</v>
      </c>
      <c r="N23602" t="str">
        <f>"12889428    "</f>
        <v xml:space="preserve">12889428    </v>
      </c>
      <c r="O23602">
        <v>230419</v>
      </c>
    </row>
    <row r="23603" spans="1:15" x14ac:dyDescent="0.25">
      <c r="A23603" t="s">
        <v>16</v>
      </c>
      <c r="B23603" t="s">
        <v>3221</v>
      </c>
      <c r="C23603">
        <v>6953</v>
      </c>
      <c r="D23603" t="s">
        <v>411</v>
      </c>
      <c r="E23603" t="s">
        <v>412</v>
      </c>
      <c r="F23603">
        <v>1943.9</v>
      </c>
      <c r="G23603">
        <v>230515</v>
      </c>
      <c r="H23603">
        <v>4530</v>
      </c>
      <c r="I23603" t="s">
        <v>342</v>
      </c>
      <c r="J23603">
        <v>2410.44</v>
      </c>
      <c r="K23603">
        <v>466.54</v>
      </c>
      <c r="L23603">
        <v>17806</v>
      </c>
      <c r="M23603" t="s">
        <v>265</v>
      </c>
      <c r="N23603" t="str">
        <f>"12914432    "</f>
        <v xml:space="preserve">12914432    </v>
      </c>
      <c r="O23603">
        <v>230523</v>
      </c>
    </row>
    <row r="23604" spans="1:15" x14ac:dyDescent="0.25">
      <c r="A23604" t="s">
        <v>16</v>
      </c>
      <c r="B23604" t="s">
        <v>3221</v>
      </c>
      <c r="C23604">
        <v>7695</v>
      </c>
      <c r="D23604" t="s">
        <v>411</v>
      </c>
      <c r="E23604" t="s">
        <v>412</v>
      </c>
      <c r="F23604">
        <v>262.57</v>
      </c>
      <c r="G23604">
        <v>230531</v>
      </c>
      <c r="H23604">
        <v>4530</v>
      </c>
      <c r="I23604" t="s">
        <v>342</v>
      </c>
      <c r="J23604">
        <v>325.58999999999997</v>
      </c>
      <c r="K23604">
        <v>63.02</v>
      </c>
      <c r="L23604">
        <v>17806</v>
      </c>
      <c r="M23604" t="s">
        <v>265</v>
      </c>
      <c r="N23604" t="str">
        <f>"12930060    "</f>
        <v xml:space="preserve">12930060    </v>
      </c>
      <c r="O23604">
        <v>230601</v>
      </c>
    </row>
    <row r="23605" spans="1:15" x14ac:dyDescent="0.25">
      <c r="A23605" t="s">
        <v>16</v>
      </c>
      <c r="B23605" t="s">
        <v>3221</v>
      </c>
      <c r="C23605">
        <v>10211</v>
      </c>
      <c r="D23605" t="s">
        <v>411</v>
      </c>
      <c r="E23605" t="s">
        <v>412</v>
      </c>
      <c r="F23605">
        <v>432.81</v>
      </c>
      <c r="G23605">
        <v>230715</v>
      </c>
      <c r="H23605">
        <v>4530</v>
      </c>
      <c r="I23605" t="s">
        <v>342</v>
      </c>
      <c r="J23605">
        <v>536.67999999999995</v>
      </c>
      <c r="K23605">
        <v>103.87</v>
      </c>
      <c r="L23605">
        <v>46554</v>
      </c>
      <c r="M23605" t="s">
        <v>117</v>
      </c>
      <c r="N23605" t="str">
        <f>"12966910    "</f>
        <v xml:space="preserve">12966910    </v>
      </c>
      <c r="O23605">
        <v>230810</v>
      </c>
    </row>
    <row r="23606" spans="1:15" x14ac:dyDescent="0.25">
      <c r="A23606" t="s">
        <v>16</v>
      </c>
      <c r="B23606" t="s">
        <v>3221</v>
      </c>
      <c r="C23606">
        <v>10729</v>
      </c>
      <c r="D23606" t="s">
        <v>411</v>
      </c>
      <c r="E23606" t="s">
        <v>412</v>
      </c>
      <c r="F23606">
        <v>166.98</v>
      </c>
      <c r="G23606">
        <v>230815</v>
      </c>
      <c r="H23606">
        <v>4530</v>
      </c>
      <c r="I23606" t="s">
        <v>342</v>
      </c>
      <c r="J23606">
        <v>207.06</v>
      </c>
      <c r="K23606">
        <v>40.08</v>
      </c>
      <c r="L23606">
        <v>56558</v>
      </c>
      <c r="M23606" t="s">
        <v>217</v>
      </c>
      <c r="N23606" t="str">
        <f>"12986257    "</f>
        <v xml:space="preserve">12986257    </v>
      </c>
      <c r="O23606">
        <v>230822</v>
      </c>
    </row>
    <row r="23607" spans="1:15" x14ac:dyDescent="0.25">
      <c r="A23607" t="s">
        <v>16</v>
      </c>
      <c r="B23607" t="s">
        <v>3221</v>
      </c>
      <c r="C23607">
        <v>845</v>
      </c>
      <c r="D23607" t="s">
        <v>772</v>
      </c>
      <c r="E23607" t="s">
        <v>773</v>
      </c>
      <c r="F23607">
        <v>987.1</v>
      </c>
      <c r="G23607">
        <v>230117</v>
      </c>
      <c r="H23607">
        <v>4580</v>
      </c>
      <c r="I23607" t="s">
        <v>35</v>
      </c>
      <c r="J23607">
        <v>1224</v>
      </c>
      <c r="K23607">
        <v>236.9</v>
      </c>
      <c r="L23607">
        <v>17802</v>
      </c>
      <c r="M23607" t="s">
        <v>174</v>
      </c>
      <c r="N23607" t="str">
        <f>"16973       "</f>
        <v xml:space="preserve">16973       </v>
      </c>
      <c r="O23607">
        <v>230131</v>
      </c>
    </row>
    <row r="23608" spans="1:15" x14ac:dyDescent="0.25">
      <c r="A23608" t="s">
        <v>16</v>
      </c>
      <c r="B23608" t="s">
        <v>3221</v>
      </c>
      <c r="C23608">
        <v>7242</v>
      </c>
      <c r="D23608" t="s">
        <v>772</v>
      </c>
      <c r="E23608" t="s">
        <v>773</v>
      </c>
      <c r="F23608">
        <v>1300</v>
      </c>
      <c r="G23608">
        <v>230516</v>
      </c>
      <c r="H23608">
        <v>4580</v>
      </c>
      <c r="I23608" t="s">
        <v>35</v>
      </c>
      <c r="J23608">
        <v>1612</v>
      </c>
      <c r="K23608">
        <v>312</v>
      </c>
      <c r="L23608">
        <v>17802</v>
      </c>
      <c r="M23608" t="s">
        <v>174</v>
      </c>
      <c r="N23608" t="str">
        <f>"17179       "</f>
        <v xml:space="preserve">17179       </v>
      </c>
      <c r="O23608">
        <v>230526</v>
      </c>
    </row>
    <row r="23609" spans="1:15" x14ac:dyDescent="0.25">
      <c r="A23609" t="s">
        <v>16</v>
      </c>
      <c r="B23609" t="s">
        <v>3221</v>
      </c>
      <c r="C23609">
        <v>7243</v>
      </c>
      <c r="D23609" t="s">
        <v>772</v>
      </c>
      <c r="E23609" t="s">
        <v>773</v>
      </c>
      <c r="F23609">
        <v>870.57</v>
      </c>
      <c r="G23609">
        <v>230516</v>
      </c>
      <c r="H23609">
        <v>4580</v>
      </c>
      <c r="I23609" t="s">
        <v>35</v>
      </c>
      <c r="J23609">
        <v>1079.51</v>
      </c>
      <c r="K23609">
        <v>208.94</v>
      </c>
      <c r="L23609">
        <v>17802</v>
      </c>
      <c r="M23609" t="s">
        <v>174</v>
      </c>
      <c r="N23609" t="str">
        <f>"17177       "</f>
        <v xml:space="preserve">17177       </v>
      </c>
      <c r="O23609">
        <v>230526</v>
      </c>
    </row>
    <row r="23610" spans="1:15" x14ac:dyDescent="0.25">
      <c r="A23610" t="s">
        <v>16</v>
      </c>
      <c r="B23610" t="s">
        <v>3221</v>
      </c>
      <c r="C23610">
        <v>15043</v>
      </c>
      <c r="D23610" t="s">
        <v>772</v>
      </c>
      <c r="E23610" t="s">
        <v>773</v>
      </c>
      <c r="F23610">
        <v>592.94000000000005</v>
      </c>
      <c r="G23610">
        <v>231103</v>
      </c>
      <c r="H23610">
        <v>4580</v>
      </c>
      <c r="I23610" t="s">
        <v>35</v>
      </c>
      <c r="J23610">
        <v>735.25</v>
      </c>
      <c r="K23610">
        <v>142.31</v>
      </c>
      <c r="L23610">
        <v>17802</v>
      </c>
      <c r="M23610" t="s">
        <v>174</v>
      </c>
      <c r="N23610" t="str">
        <f>"17459       "</f>
        <v xml:space="preserve">17459       </v>
      </c>
      <c r="O23610">
        <v>231108</v>
      </c>
    </row>
    <row r="23611" spans="1:15" x14ac:dyDescent="0.25">
      <c r="A23611" t="s">
        <v>16</v>
      </c>
      <c r="B23611" t="s">
        <v>3221</v>
      </c>
      <c r="C23611">
        <v>18460</v>
      </c>
      <c r="D23611" t="s">
        <v>772</v>
      </c>
      <c r="E23611" t="s">
        <v>773</v>
      </c>
      <c r="F23611">
        <v>64864.68</v>
      </c>
      <c r="G23611">
        <v>231227</v>
      </c>
      <c r="H23611">
        <v>1198</v>
      </c>
      <c r="I23611" t="s">
        <v>1128</v>
      </c>
      <c r="J23611">
        <v>80432.2</v>
      </c>
      <c r="K23611">
        <v>15567.52</v>
      </c>
      <c r="L23611">
        <v>97627</v>
      </c>
      <c r="M23611" t="s">
        <v>2332</v>
      </c>
      <c r="N23611" t="str">
        <f>"17534       "</f>
        <v xml:space="preserve">17534       </v>
      </c>
      <c r="O23611">
        <v>240103</v>
      </c>
    </row>
    <row r="23612" spans="1:15" x14ac:dyDescent="0.25">
      <c r="A23612" t="s">
        <v>16</v>
      </c>
      <c r="B23612" t="s">
        <v>3221</v>
      </c>
      <c r="C23612">
        <v>2289</v>
      </c>
      <c r="D23612" t="s">
        <v>772</v>
      </c>
      <c r="E23612" t="s">
        <v>773</v>
      </c>
      <c r="F23612">
        <v>105.97</v>
      </c>
      <c r="G23612">
        <v>230214</v>
      </c>
      <c r="H23612">
        <v>4400</v>
      </c>
      <c r="I23612" t="s">
        <v>348</v>
      </c>
      <c r="J23612">
        <v>131.4</v>
      </c>
      <c r="K23612">
        <v>25.43</v>
      </c>
      <c r="L23612">
        <v>17802</v>
      </c>
      <c r="M23612" t="s">
        <v>174</v>
      </c>
      <c r="N23612" t="str">
        <f>"17016       "</f>
        <v xml:space="preserve">17016       </v>
      </c>
      <c r="O23612">
        <v>230224</v>
      </c>
    </row>
    <row r="23613" spans="1:15" x14ac:dyDescent="0.25">
      <c r="A23613" t="s">
        <v>16</v>
      </c>
      <c r="B23613" t="s">
        <v>3221</v>
      </c>
      <c r="C23613">
        <v>247</v>
      </c>
      <c r="D23613" t="s">
        <v>3715</v>
      </c>
      <c r="E23613" t="s">
        <v>375</v>
      </c>
      <c r="F23613">
        <v>1433.48</v>
      </c>
      <c r="G23613">
        <v>230110</v>
      </c>
      <c r="H23613">
        <v>4385</v>
      </c>
      <c r="I23613" t="s">
        <v>365</v>
      </c>
      <c r="J23613">
        <v>1777.51</v>
      </c>
      <c r="K23613">
        <v>344.03</v>
      </c>
      <c r="L23613">
        <v>17711</v>
      </c>
      <c r="M23613" t="s">
        <v>65</v>
      </c>
      <c r="N23613" t="str">
        <f>"1113        "</f>
        <v xml:space="preserve">1113        </v>
      </c>
      <c r="O23613">
        <v>230116</v>
      </c>
    </row>
    <row r="23614" spans="1:15" x14ac:dyDescent="0.25">
      <c r="A23614" t="s">
        <v>16</v>
      </c>
      <c r="B23614" t="s">
        <v>3221</v>
      </c>
      <c r="C23614">
        <v>247</v>
      </c>
      <c r="D23614" t="s">
        <v>3715</v>
      </c>
      <c r="E23614" t="s">
        <v>375</v>
      </c>
      <c r="F23614">
        <v>19.54</v>
      </c>
      <c r="G23614">
        <v>230110</v>
      </c>
      <c r="H23614">
        <v>4533</v>
      </c>
      <c r="I23614" t="s">
        <v>366</v>
      </c>
      <c r="J23614">
        <v>21.49</v>
      </c>
      <c r="K23614">
        <v>1.95</v>
      </c>
      <c r="L23614">
        <v>17711</v>
      </c>
      <c r="M23614" t="s">
        <v>65</v>
      </c>
      <c r="N23614" t="str">
        <f>"1113        "</f>
        <v xml:space="preserve">1113        </v>
      </c>
      <c r="O23614">
        <v>230116</v>
      </c>
    </row>
    <row r="23615" spans="1:15" x14ac:dyDescent="0.25">
      <c r="A23615" t="s">
        <v>16</v>
      </c>
      <c r="B23615" t="s">
        <v>3221</v>
      </c>
      <c r="C23615">
        <v>17845</v>
      </c>
      <c r="D23615" t="s">
        <v>2876</v>
      </c>
      <c r="E23615" t="s">
        <v>2877</v>
      </c>
      <c r="F23615">
        <v>88</v>
      </c>
      <c r="G23615">
        <v>231214</v>
      </c>
      <c r="H23615">
        <v>4400</v>
      </c>
      <c r="I23615" t="s">
        <v>348</v>
      </c>
      <c r="J23615">
        <v>109.12</v>
      </c>
      <c r="K23615">
        <v>21.12</v>
      </c>
      <c r="L23615">
        <v>56522</v>
      </c>
      <c r="M23615" t="s">
        <v>43</v>
      </c>
      <c r="N23615" t="str">
        <f>"1605        "</f>
        <v xml:space="preserve">1605        </v>
      </c>
      <c r="O23615">
        <v>231227</v>
      </c>
    </row>
    <row r="23616" spans="1:15" x14ac:dyDescent="0.25">
      <c r="A23616" t="s">
        <v>16</v>
      </c>
      <c r="B23616" t="s">
        <v>3221</v>
      </c>
      <c r="C23616">
        <v>15555</v>
      </c>
      <c r="D23616" t="s">
        <v>2876</v>
      </c>
      <c r="E23616" t="s">
        <v>2877</v>
      </c>
      <c r="F23616">
        <v>1328.58</v>
      </c>
      <c r="G23616">
        <v>231102</v>
      </c>
      <c r="H23616">
        <v>4390</v>
      </c>
      <c r="I23616" t="s">
        <v>98</v>
      </c>
      <c r="J23616">
        <v>1647.44</v>
      </c>
      <c r="K23616">
        <v>318.86</v>
      </c>
      <c r="L23616">
        <v>59502</v>
      </c>
      <c r="M23616" t="s">
        <v>70</v>
      </c>
      <c r="N23616" t="str">
        <f>"1600        "</f>
        <v xml:space="preserve">1600        </v>
      </c>
      <c r="O23616">
        <v>231114</v>
      </c>
    </row>
    <row r="23617" spans="1:15" x14ac:dyDescent="0.25">
      <c r="A23617" t="s">
        <v>16</v>
      </c>
      <c r="B23617" t="s">
        <v>3221</v>
      </c>
      <c r="C23617">
        <v>15555</v>
      </c>
      <c r="D23617" t="s">
        <v>2876</v>
      </c>
      <c r="E23617" t="s">
        <v>2877</v>
      </c>
      <c r="F23617">
        <v>849.42</v>
      </c>
      <c r="G23617">
        <v>231102</v>
      </c>
      <c r="H23617">
        <v>4390</v>
      </c>
      <c r="I23617" t="s">
        <v>98</v>
      </c>
      <c r="J23617">
        <v>1053.28</v>
      </c>
      <c r="K23617">
        <v>203.86</v>
      </c>
      <c r="L23617">
        <v>59802</v>
      </c>
      <c r="M23617" t="s">
        <v>73</v>
      </c>
      <c r="N23617" t="str">
        <f>"1600        "</f>
        <v xml:space="preserve">1600        </v>
      </c>
      <c r="O23617">
        <v>231114</v>
      </c>
    </row>
    <row r="23618" spans="1:15" x14ac:dyDescent="0.25">
      <c r="A23618" t="s">
        <v>16</v>
      </c>
      <c r="B23618" t="s">
        <v>3221</v>
      </c>
      <c r="C23618">
        <v>9167</v>
      </c>
      <c r="D23618" t="s">
        <v>2271</v>
      </c>
      <c r="E23618" t="s">
        <v>2272</v>
      </c>
      <c r="F23618">
        <v>125.26</v>
      </c>
      <c r="G23618">
        <v>230627</v>
      </c>
      <c r="H23618">
        <v>4520</v>
      </c>
      <c r="I23618" t="s">
        <v>254</v>
      </c>
      <c r="J23618">
        <v>142.80000000000001</v>
      </c>
      <c r="K23618">
        <v>17.54</v>
      </c>
      <c r="L23618">
        <v>11001</v>
      </c>
      <c r="M23618" t="s">
        <v>326</v>
      </c>
      <c r="N23618" t="str">
        <f>"701         "</f>
        <v xml:space="preserve">701         </v>
      </c>
      <c r="O23618">
        <v>230629</v>
      </c>
    </row>
    <row r="23619" spans="1:15" x14ac:dyDescent="0.25">
      <c r="A23619" t="s">
        <v>16</v>
      </c>
      <c r="B23619" t="s">
        <v>3221</v>
      </c>
      <c r="C23619">
        <v>5198</v>
      </c>
      <c r="D23619" t="s">
        <v>1807</v>
      </c>
      <c r="E23619" t="s">
        <v>1808</v>
      </c>
      <c r="F23619">
        <v>1477.33</v>
      </c>
      <c r="G23619">
        <v>230413</v>
      </c>
      <c r="H23619">
        <v>4600</v>
      </c>
      <c r="I23619" t="s">
        <v>105</v>
      </c>
      <c r="J23619">
        <v>1831.89</v>
      </c>
      <c r="K23619">
        <v>354.56</v>
      </c>
      <c r="L23619">
        <v>17737</v>
      </c>
      <c r="M23619" t="s">
        <v>279</v>
      </c>
      <c r="N23619" t="str">
        <f>"408643      "</f>
        <v xml:space="preserve">408643      </v>
      </c>
      <c r="O23619">
        <v>230419</v>
      </c>
    </row>
    <row r="23620" spans="1:15" x14ac:dyDescent="0.25">
      <c r="A23620" t="s">
        <v>16</v>
      </c>
      <c r="B23620" t="s">
        <v>3221</v>
      </c>
      <c r="C23620">
        <v>7928</v>
      </c>
      <c r="D23620" t="s">
        <v>1807</v>
      </c>
      <c r="E23620" t="s">
        <v>1808</v>
      </c>
      <c r="F23620">
        <v>78.849999999999994</v>
      </c>
      <c r="G23620">
        <v>230526</v>
      </c>
      <c r="H23620">
        <v>4600</v>
      </c>
      <c r="I23620" t="s">
        <v>105</v>
      </c>
      <c r="J23620">
        <v>97.78</v>
      </c>
      <c r="K23620">
        <v>18.93</v>
      </c>
      <c r="L23620">
        <v>17737</v>
      </c>
      <c r="M23620" t="s">
        <v>279</v>
      </c>
      <c r="N23620" t="str">
        <f>"408931      "</f>
        <v xml:space="preserve">408931      </v>
      </c>
      <c r="O23620">
        <v>230606</v>
      </c>
    </row>
    <row r="23621" spans="1:15" x14ac:dyDescent="0.25">
      <c r="A23621" t="s">
        <v>16</v>
      </c>
      <c r="B23621" t="s">
        <v>3221</v>
      </c>
      <c r="C23621">
        <v>13934</v>
      </c>
      <c r="D23621" t="s">
        <v>3716</v>
      </c>
      <c r="E23621" t="s">
        <v>3547</v>
      </c>
      <c r="F23621">
        <v>130.91</v>
      </c>
      <c r="G23621">
        <v>231004</v>
      </c>
      <c r="H23621">
        <v>4441</v>
      </c>
      <c r="I23621" t="s">
        <v>109</v>
      </c>
      <c r="J23621">
        <v>144</v>
      </c>
      <c r="K23621">
        <v>13.09</v>
      </c>
      <c r="L23621">
        <v>11605</v>
      </c>
      <c r="M23621" t="s">
        <v>106</v>
      </c>
      <c r="N23621" t="str">
        <f>"690         "</f>
        <v xml:space="preserve">690         </v>
      </c>
      <c r="O23621">
        <v>231017</v>
      </c>
    </row>
    <row r="23622" spans="1:15" x14ac:dyDescent="0.25">
      <c r="A23622" t="s">
        <v>16</v>
      </c>
      <c r="B23622" t="s">
        <v>3221</v>
      </c>
      <c r="C23622">
        <v>3834</v>
      </c>
      <c r="D23622" t="s">
        <v>1620</v>
      </c>
      <c r="E23622" t="s">
        <v>1621</v>
      </c>
      <c r="F23622">
        <v>401.44</v>
      </c>
      <c r="G23622">
        <v>230315</v>
      </c>
      <c r="H23622">
        <v>4600</v>
      </c>
      <c r="I23622" t="s">
        <v>105</v>
      </c>
      <c r="J23622">
        <v>497.78</v>
      </c>
      <c r="K23622">
        <v>96.34</v>
      </c>
      <c r="L23622">
        <v>54222</v>
      </c>
      <c r="M23622" t="s">
        <v>308</v>
      </c>
      <c r="N23622" t="str">
        <f>"18392       "</f>
        <v xml:space="preserve">18392       </v>
      </c>
      <c r="O23622">
        <v>230323</v>
      </c>
    </row>
    <row r="23623" spans="1:15" x14ac:dyDescent="0.25">
      <c r="A23623" t="s">
        <v>16</v>
      </c>
      <c r="B23623" t="s">
        <v>3221</v>
      </c>
      <c r="C23623">
        <v>3834</v>
      </c>
      <c r="D23623" t="s">
        <v>1620</v>
      </c>
      <c r="E23623" t="s">
        <v>1621</v>
      </c>
      <c r="F23623">
        <v>401.43</v>
      </c>
      <c r="G23623">
        <v>230315</v>
      </c>
      <c r="H23623">
        <v>4600</v>
      </c>
      <c r="I23623" t="s">
        <v>105</v>
      </c>
      <c r="J23623">
        <v>497.77</v>
      </c>
      <c r="K23623">
        <v>96.34</v>
      </c>
      <c r="L23623">
        <v>54251</v>
      </c>
      <c r="M23623" t="s">
        <v>309</v>
      </c>
      <c r="N23623" t="str">
        <f>"18392       "</f>
        <v xml:space="preserve">18392       </v>
      </c>
      <c r="O23623">
        <v>230323</v>
      </c>
    </row>
    <row r="23624" spans="1:15" x14ac:dyDescent="0.25">
      <c r="A23624" t="s">
        <v>16</v>
      </c>
      <c r="B23624" t="s">
        <v>3221</v>
      </c>
      <c r="C23624">
        <v>4330</v>
      </c>
      <c r="D23624" t="s">
        <v>1620</v>
      </c>
      <c r="E23624" t="s">
        <v>1621</v>
      </c>
      <c r="F23624">
        <v>117.34</v>
      </c>
      <c r="G23624">
        <v>230331</v>
      </c>
      <c r="H23624">
        <v>4600</v>
      </c>
      <c r="I23624" t="s">
        <v>105</v>
      </c>
      <c r="J23624">
        <v>145.5</v>
      </c>
      <c r="K23624">
        <v>28.16</v>
      </c>
      <c r="L23624">
        <v>54222</v>
      </c>
      <c r="M23624" t="s">
        <v>308</v>
      </c>
      <c r="N23624" t="str">
        <f>"18434       "</f>
        <v xml:space="preserve">18434       </v>
      </c>
      <c r="O23624">
        <v>230404</v>
      </c>
    </row>
    <row r="23625" spans="1:15" x14ac:dyDescent="0.25">
      <c r="A23625" t="s">
        <v>16</v>
      </c>
      <c r="B23625" t="s">
        <v>3221</v>
      </c>
      <c r="C23625">
        <v>10701</v>
      </c>
      <c r="D23625" t="s">
        <v>1620</v>
      </c>
      <c r="E23625" t="s">
        <v>1621</v>
      </c>
      <c r="F23625">
        <v>278.64999999999998</v>
      </c>
      <c r="G23625">
        <v>230821</v>
      </c>
      <c r="H23625">
        <v>4600</v>
      </c>
      <c r="I23625" t="s">
        <v>105</v>
      </c>
      <c r="J23625">
        <v>345.53</v>
      </c>
      <c r="K23625">
        <v>66.88</v>
      </c>
      <c r="L23625">
        <v>54222</v>
      </c>
      <c r="M23625" t="s">
        <v>308</v>
      </c>
      <c r="N23625" t="str">
        <f>"18886       "</f>
        <v xml:space="preserve">18886       </v>
      </c>
      <c r="O23625">
        <v>230822</v>
      </c>
    </row>
    <row r="23626" spans="1:15" x14ac:dyDescent="0.25">
      <c r="A23626" t="s">
        <v>16</v>
      </c>
      <c r="B23626" t="s">
        <v>3221</v>
      </c>
      <c r="C23626">
        <v>10701</v>
      </c>
      <c r="D23626" t="s">
        <v>1620</v>
      </c>
      <c r="E23626" t="s">
        <v>1621</v>
      </c>
      <c r="F23626">
        <v>278.64999999999998</v>
      </c>
      <c r="G23626">
        <v>230821</v>
      </c>
      <c r="H23626">
        <v>4600</v>
      </c>
      <c r="I23626" t="s">
        <v>105</v>
      </c>
      <c r="J23626">
        <v>345.53</v>
      </c>
      <c r="K23626">
        <v>66.88</v>
      </c>
      <c r="L23626">
        <v>54251</v>
      </c>
      <c r="M23626" t="s">
        <v>309</v>
      </c>
      <c r="N23626" t="str">
        <f>"18886       "</f>
        <v xml:space="preserve">18886       </v>
      </c>
      <c r="O23626">
        <v>230822</v>
      </c>
    </row>
    <row r="23627" spans="1:15" x14ac:dyDescent="0.25">
      <c r="A23627" t="s">
        <v>16</v>
      </c>
      <c r="B23627" t="s">
        <v>3221</v>
      </c>
      <c r="C23627">
        <v>14585</v>
      </c>
      <c r="D23627" t="s">
        <v>1620</v>
      </c>
      <c r="E23627" t="s">
        <v>1621</v>
      </c>
      <c r="F23627">
        <v>161.43</v>
      </c>
      <c r="G23627">
        <v>231024</v>
      </c>
      <c r="H23627">
        <v>4600</v>
      </c>
      <c r="I23627" t="s">
        <v>105</v>
      </c>
      <c r="J23627">
        <v>200.17</v>
      </c>
      <c r="K23627">
        <v>38.74</v>
      </c>
      <c r="L23627">
        <v>54222</v>
      </c>
      <c r="M23627" t="s">
        <v>308</v>
      </c>
      <c r="N23627" t="str">
        <f>"19128       "</f>
        <v xml:space="preserve">19128       </v>
      </c>
      <c r="O23627">
        <v>231030</v>
      </c>
    </row>
    <row r="23628" spans="1:15" x14ac:dyDescent="0.25">
      <c r="A23628" t="s">
        <v>16</v>
      </c>
      <c r="B23628" t="s">
        <v>3221</v>
      </c>
      <c r="C23628">
        <v>14585</v>
      </c>
      <c r="D23628" t="s">
        <v>1620</v>
      </c>
      <c r="E23628" t="s">
        <v>1621</v>
      </c>
      <c r="F23628">
        <v>161.41999999999999</v>
      </c>
      <c r="G23628">
        <v>231024</v>
      </c>
      <c r="H23628">
        <v>4600</v>
      </c>
      <c r="I23628" t="s">
        <v>105</v>
      </c>
      <c r="J23628">
        <v>200.16</v>
      </c>
      <c r="K23628">
        <v>38.74</v>
      </c>
      <c r="L23628">
        <v>54251</v>
      </c>
      <c r="M23628" t="s">
        <v>309</v>
      </c>
      <c r="N23628" t="str">
        <f>"19128       "</f>
        <v xml:space="preserve">19128       </v>
      </c>
      <c r="O23628">
        <v>231030</v>
      </c>
    </row>
    <row r="23629" spans="1:15" x14ac:dyDescent="0.25">
      <c r="A23629" t="s">
        <v>16</v>
      </c>
      <c r="B23629" t="s">
        <v>3221</v>
      </c>
      <c r="C23629">
        <v>15592</v>
      </c>
      <c r="D23629" t="s">
        <v>1620</v>
      </c>
      <c r="E23629" t="s">
        <v>1621</v>
      </c>
      <c r="F23629">
        <v>312.76</v>
      </c>
      <c r="G23629">
        <v>231102</v>
      </c>
      <c r="H23629">
        <v>4600</v>
      </c>
      <c r="I23629" t="s">
        <v>105</v>
      </c>
      <c r="J23629">
        <v>387.82</v>
      </c>
      <c r="K23629">
        <v>75.06</v>
      </c>
      <c r="L23629">
        <v>54251</v>
      </c>
      <c r="M23629" t="s">
        <v>309</v>
      </c>
      <c r="N23629" t="str">
        <f>"19168       "</f>
        <v xml:space="preserve">19168       </v>
      </c>
      <c r="O23629">
        <v>231114</v>
      </c>
    </row>
    <row r="23630" spans="1:15" x14ac:dyDescent="0.25">
      <c r="A23630" t="s">
        <v>16</v>
      </c>
      <c r="B23630" t="s">
        <v>3221</v>
      </c>
      <c r="C23630">
        <v>4968</v>
      </c>
      <c r="D23630" t="s">
        <v>1620</v>
      </c>
      <c r="E23630" t="s">
        <v>1621</v>
      </c>
      <c r="F23630">
        <v>440.78</v>
      </c>
      <c r="G23630">
        <v>230403</v>
      </c>
      <c r="H23630">
        <v>4555</v>
      </c>
      <c r="I23630" t="s">
        <v>481</v>
      </c>
      <c r="J23630">
        <v>546.57000000000005</v>
      </c>
      <c r="K23630">
        <v>105.79</v>
      </c>
      <c r="L23630">
        <v>44453</v>
      </c>
      <c r="M23630" t="s">
        <v>492</v>
      </c>
      <c r="N23630" t="str">
        <f>"18464       "</f>
        <v xml:space="preserve">18464       </v>
      </c>
      <c r="O23630">
        <v>230414</v>
      </c>
    </row>
    <row r="23631" spans="1:15" x14ac:dyDescent="0.25">
      <c r="A23631" t="s">
        <v>16</v>
      </c>
      <c r="B23631" t="s">
        <v>3221</v>
      </c>
      <c r="C23631">
        <v>7054</v>
      </c>
      <c r="D23631" t="s">
        <v>1620</v>
      </c>
      <c r="E23631" t="s">
        <v>1621</v>
      </c>
      <c r="F23631">
        <v>218.68</v>
      </c>
      <c r="G23631">
        <v>230511</v>
      </c>
      <c r="H23631">
        <v>4555</v>
      </c>
      <c r="I23631" t="s">
        <v>481</v>
      </c>
      <c r="J23631">
        <v>271.16000000000003</v>
      </c>
      <c r="K23631">
        <v>52.48</v>
      </c>
      <c r="L23631">
        <v>44453</v>
      </c>
      <c r="M23631" t="s">
        <v>492</v>
      </c>
      <c r="N23631" t="str">
        <f>"18603       "</f>
        <v xml:space="preserve">18603       </v>
      </c>
      <c r="O23631">
        <v>230525</v>
      </c>
    </row>
    <row r="23632" spans="1:15" x14ac:dyDescent="0.25">
      <c r="A23632" t="s">
        <v>16</v>
      </c>
      <c r="B23632" t="s">
        <v>3221</v>
      </c>
      <c r="C23632">
        <v>7117</v>
      </c>
      <c r="D23632" t="s">
        <v>1620</v>
      </c>
      <c r="E23632" t="s">
        <v>1621</v>
      </c>
      <c r="F23632">
        <v>232.55</v>
      </c>
      <c r="G23632">
        <v>230426</v>
      </c>
      <c r="H23632">
        <v>4555</v>
      </c>
      <c r="I23632" t="s">
        <v>481</v>
      </c>
      <c r="J23632">
        <v>288.36</v>
      </c>
      <c r="K23632">
        <v>55.81</v>
      </c>
      <c r="L23632">
        <v>44422</v>
      </c>
      <c r="M23632" t="s">
        <v>482</v>
      </c>
      <c r="N23632" t="str">
        <f>"18545       "</f>
        <v xml:space="preserve">18545       </v>
      </c>
      <c r="O23632">
        <v>230525</v>
      </c>
    </row>
    <row r="23633" spans="1:15" x14ac:dyDescent="0.25">
      <c r="A23633" t="s">
        <v>16</v>
      </c>
      <c r="B23633" t="s">
        <v>3221</v>
      </c>
      <c r="C23633">
        <v>12159</v>
      </c>
      <c r="D23633" t="s">
        <v>1620</v>
      </c>
      <c r="E23633" t="s">
        <v>1621</v>
      </c>
      <c r="F23633">
        <v>392.83</v>
      </c>
      <c r="G23633">
        <v>230831</v>
      </c>
      <c r="H23633">
        <v>4555</v>
      </c>
      <c r="I23633" t="s">
        <v>481</v>
      </c>
      <c r="J23633">
        <v>487.11</v>
      </c>
      <c r="K23633">
        <v>94.28</v>
      </c>
      <c r="L23633">
        <v>44453</v>
      </c>
      <c r="M23633" t="s">
        <v>492</v>
      </c>
      <c r="N23633" t="str">
        <f>"18958       "</f>
        <v xml:space="preserve">18958       </v>
      </c>
      <c r="O23633">
        <v>230914</v>
      </c>
    </row>
    <row r="23634" spans="1:15" x14ac:dyDescent="0.25">
      <c r="A23634" t="s">
        <v>16</v>
      </c>
      <c r="B23634" t="s">
        <v>3221</v>
      </c>
      <c r="C23634">
        <v>14705</v>
      </c>
      <c r="D23634" t="s">
        <v>1620</v>
      </c>
      <c r="E23634" t="s">
        <v>1621</v>
      </c>
      <c r="F23634">
        <v>406.14</v>
      </c>
      <c r="G23634">
        <v>231009</v>
      </c>
      <c r="H23634">
        <v>4555</v>
      </c>
      <c r="I23634" t="s">
        <v>481</v>
      </c>
      <c r="J23634">
        <v>503.61</v>
      </c>
      <c r="K23634">
        <v>97.47</v>
      </c>
      <c r="L23634">
        <v>44422</v>
      </c>
      <c r="M23634" t="s">
        <v>482</v>
      </c>
      <c r="N23634" t="str">
        <f>"19076       "</f>
        <v xml:space="preserve">19076       </v>
      </c>
      <c r="O23634">
        <v>231101</v>
      </c>
    </row>
    <row r="23635" spans="1:15" x14ac:dyDescent="0.25">
      <c r="A23635" t="s">
        <v>16</v>
      </c>
      <c r="B23635" t="s">
        <v>3221</v>
      </c>
      <c r="C23635">
        <v>17663</v>
      </c>
      <c r="D23635" t="s">
        <v>1620</v>
      </c>
      <c r="E23635" t="s">
        <v>1621</v>
      </c>
      <c r="F23635">
        <v>479.26</v>
      </c>
      <c r="G23635">
        <v>231113</v>
      </c>
      <c r="H23635">
        <v>4555</v>
      </c>
      <c r="I23635" t="s">
        <v>481</v>
      </c>
      <c r="J23635">
        <v>594.28</v>
      </c>
      <c r="K23635">
        <v>115.02</v>
      </c>
      <c r="L23635">
        <v>44453</v>
      </c>
      <c r="M23635" t="s">
        <v>492</v>
      </c>
      <c r="N23635" t="str">
        <f>"19194       "</f>
        <v xml:space="preserve">19194       </v>
      </c>
      <c r="O23635">
        <v>231219</v>
      </c>
    </row>
    <row r="23636" spans="1:15" x14ac:dyDescent="0.25">
      <c r="A23636" t="s">
        <v>16</v>
      </c>
      <c r="B23636" t="s">
        <v>3221</v>
      </c>
      <c r="C23636">
        <v>1329</v>
      </c>
      <c r="D23636" t="s">
        <v>1003</v>
      </c>
      <c r="E23636" t="s">
        <v>1004</v>
      </c>
      <c r="F23636">
        <v>16.13</v>
      </c>
      <c r="G23636">
        <v>230127</v>
      </c>
      <c r="H23636">
        <v>4350</v>
      </c>
      <c r="I23636" t="s">
        <v>546</v>
      </c>
      <c r="J23636">
        <v>20</v>
      </c>
      <c r="K23636">
        <v>3.87</v>
      </c>
      <c r="L23636">
        <v>11605</v>
      </c>
      <c r="M23636" t="s">
        <v>106</v>
      </c>
      <c r="N23636" t="str">
        <f>"9520        "</f>
        <v xml:space="preserve">9520        </v>
      </c>
      <c r="O23636">
        <v>230208</v>
      </c>
    </row>
    <row r="23637" spans="1:15" x14ac:dyDescent="0.25">
      <c r="A23637" t="s">
        <v>16</v>
      </c>
      <c r="B23637" t="s">
        <v>3221</v>
      </c>
      <c r="C23637">
        <v>1329</v>
      </c>
      <c r="D23637" t="s">
        <v>1003</v>
      </c>
      <c r="E23637" t="s">
        <v>1004</v>
      </c>
      <c r="F23637">
        <v>338.71</v>
      </c>
      <c r="G23637">
        <v>230127</v>
      </c>
      <c r="H23637">
        <v>4530</v>
      </c>
      <c r="I23637" t="s">
        <v>342</v>
      </c>
      <c r="J23637">
        <v>420</v>
      </c>
      <c r="K23637">
        <v>81.290000000000006</v>
      </c>
      <c r="L23637">
        <v>11605</v>
      </c>
      <c r="M23637" t="s">
        <v>106</v>
      </c>
      <c r="N23637" t="str">
        <f>"9520        "</f>
        <v xml:space="preserve">9520        </v>
      </c>
      <c r="O23637">
        <v>230208</v>
      </c>
    </row>
    <row r="23638" spans="1:15" x14ac:dyDescent="0.25">
      <c r="A23638" t="s">
        <v>16</v>
      </c>
      <c r="B23638" t="s">
        <v>3221</v>
      </c>
      <c r="C23638">
        <v>11198</v>
      </c>
      <c r="D23638" t="s">
        <v>2453</v>
      </c>
      <c r="E23638" t="s">
        <v>2454</v>
      </c>
      <c r="F23638">
        <v>66.67</v>
      </c>
      <c r="G23638">
        <v>230829</v>
      </c>
      <c r="H23638">
        <v>4343</v>
      </c>
      <c r="I23638" t="s">
        <v>91</v>
      </c>
      <c r="J23638">
        <v>82.67</v>
      </c>
      <c r="K23638">
        <v>16</v>
      </c>
      <c r="L23638">
        <v>17711</v>
      </c>
      <c r="M23638" t="s">
        <v>65</v>
      </c>
      <c r="N23638" t="str">
        <f>"230300315   "</f>
        <v xml:space="preserve">230300315   </v>
      </c>
      <c r="O23638">
        <v>230831</v>
      </c>
    </row>
    <row r="23639" spans="1:15" x14ac:dyDescent="0.25">
      <c r="A23639" t="s">
        <v>16</v>
      </c>
      <c r="B23639" t="s">
        <v>3221</v>
      </c>
      <c r="C23639">
        <v>12613</v>
      </c>
      <c r="D23639" t="s">
        <v>2590</v>
      </c>
      <c r="E23639" t="s">
        <v>2591</v>
      </c>
      <c r="F23639">
        <v>46.77</v>
      </c>
      <c r="G23639">
        <v>230919</v>
      </c>
      <c r="H23639">
        <v>4860</v>
      </c>
      <c r="I23639" t="s">
        <v>28</v>
      </c>
      <c r="J23639">
        <v>58</v>
      </c>
      <c r="K23639">
        <v>11.23</v>
      </c>
      <c r="L23639">
        <v>14541</v>
      </c>
      <c r="M23639" t="s">
        <v>626</v>
      </c>
      <c r="N23639" t="str">
        <f>"20230417    "</f>
        <v xml:space="preserve">20230417    </v>
      </c>
      <c r="O23639">
        <v>230922</v>
      </c>
    </row>
    <row r="23640" spans="1:15" x14ac:dyDescent="0.25">
      <c r="A23640" t="s">
        <v>16</v>
      </c>
      <c r="B23640" t="s">
        <v>3221</v>
      </c>
      <c r="C23640">
        <v>13331</v>
      </c>
      <c r="D23640" t="s">
        <v>2662</v>
      </c>
      <c r="E23640" t="s">
        <v>2663</v>
      </c>
      <c r="F23640">
        <v>1200</v>
      </c>
      <c r="G23640">
        <v>231004</v>
      </c>
      <c r="H23640">
        <v>4420</v>
      </c>
      <c r="I23640" t="s">
        <v>132</v>
      </c>
      <c r="J23640">
        <v>1200</v>
      </c>
      <c r="K23640">
        <v>0</v>
      </c>
      <c r="L23640">
        <v>11001</v>
      </c>
      <c r="M23640" t="s">
        <v>326</v>
      </c>
      <c r="N23640" t="str">
        <f>"2810051691  "</f>
        <v xml:space="preserve">2810051691  </v>
      </c>
      <c r="O23640">
        <v>231009</v>
      </c>
    </row>
    <row r="23641" spans="1:15" x14ac:dyDescent="0.25">
      <c r="A23641" t="s">
        <v>16</v>
      </c>
      <c r="B23641" t="s">
        <v>3221</v>
      </c>
      <c r="C23641">
        <v>4853</v>
      </c>
      <c r="D23641" t="s">
        <v>1762</v>
      </c>
      <c r="E23641" t="s">
        <v>1763</v>
      </c>
      <c r="F23641">
        <v>285</v>
      </c>
      <c r="G23641">
        <v>230410</v>
      </c>
      <c r="H23641">
        <v>4600</v>
      </c>
      <c r="I23641" t="s">
        <v>105</v>
      </c>
      <c r="J23641">
        <v>353.4</v>
      </c>
      <c r="K23641">
        <v>68.400000000000006</v>
      </c>
      <c r="L23641">
        <v>46555</v>
      </c>
      <c r="M23641" t="s">
        <v>597</v>
      </c>
      <c r="N23641" t="str">
        <f>"1169        "</f>
        <v xml:space="preserve">1169        </v>
      </c>
      <c r="O23641">
        <v>230413</v>
      </c>
    </row>
    <row r="23642" spans="1:15" x14ac:dyDescent="0.25">
      <c r="A23642" t="s">
        <v>16</v>
      </c>
      <c r="B23642" t="s">
        <v>3221</v>
      </c>
      <c r="C23642">
        <v>3932</v>
      </c>
      <c r="D23642" t="s">
        <v>1640</v>
      </c>
      <c r="E23642" t="s">
        <v>1641</v>
      </c>
      <c r="F23642">
        <v>40</v>
      </c>
      <c r="G23642">
        <v>230221</v>
      </c>
      <c r="H23642">
        <v>4470</v>
      </c>
      <c r="I23642" t="s">
        <v>83</v>
      </c>
      <c r="J23642">
        <v>49.6</v>
      </c>
      <c r="K23642">
        <v>9.6</v>
      </c>
      <c r="L23642">
        <v>54422</v>
      </c>
      <c r="M23642" t="s">
        <v>234</v>
      </c>
      <c r="N23642" t="str">
        <f>"20230017    "</f>
        <v xml:space="preserve">20230017    </v>
      </c>
      <c r="O23642">
        <v>230327</v>
      </c>
    </row>
    <row r="23643" spans="1:15" x14ac:dyDescent="0.25">
      <c r="A23643" t="s">
        <v>16</v>
      </c>
      <c r="B23643" t="s">
        <v>3221</v>
      </c>
      <c r="C23643">
        <v>18537</v>
      </c>
      <c r="D23643" t="s">
        <v>3144</v>
      </c>
      <c r="E23643" t="s">
        <v>3145</v>
      </c>
      <c r="F23643">
        <v>50</v>
      </c>
      <c r="G23643">
        <v>231222</v>
      </c>
      <c r="H23643">
        <v>4600</v>
      </c>
      <c r="I23643" t="s">
        <v>105</v>
      </c>
      <c r="J23643">
        <v>50</v>
      </c>
      <c r="K23643">
        <v>0</v>
      </c>
      <c r="L23643">
        <v>13801</v>
      </c>
      <c r="M23643" t="s">
        <v>162</v>
      </c>
      <c r="N23643" t="str">
        <f>"1043099     "</f>
        <v xml:space="preserve">1043099     </v>
      </c>
      <c r="O23643">
        <v>240103</v>
      </c>
    </row>
    <row r="23644" spans="1:15" x14ac:dyDescent="0.25">
      <c r="A23644" t="s">
        <v>16</v>
      </c>
      <c r="B23644" t="s">
        <v>3221</v>
      </c>
      <c r="C23644">
        <v>5009</v>
      </c>
      <c r="D23644" t="s">
        <v>1780</v>
      </c>
      <c r="E23644" t="s">
        <v>1781</v>
      </c>
      <c r="F23644">
        <v>680.06</v>
      </c>
      <c r="G23644">
        <v>230405</v>
      </c>
      <c r="H23644">
        <v>4390</v>
      </c>
      <c r="I23644" t="s">
        <v>98</v>
      </c>
      <c r="J23644">
        <v>843.27</v>
      </c>
      <c r="K23644">
        <v>163.21</v>
      </c>
      <c r="L23644">
        <v>49501</v>
      </c>
      <c r="M23644" t="s">
        <v>177</v>
      </c>
      <c r="N23644" t="str">
        <f>"3768        "</f>
        <v xml:space="preserve">3768        </v>
      </c>
      <c r="O23644">
        <v>230417</v>
      </c>
    </row>
    <row r="23645" spans="1:15" x14ac:dyDescent="0.25">
      <c r="A23645" t="s">
        <v>16</v>
      </c>
      <c r="B23645" t="s">
        <v>3221</v>
      </c>
      <c r="C23645">
        <v>976</v>
      </c>
      <c r="D23645" t="s">
        <v>3344</v>
      </c>
      <c r="E23645" t="s">
        <v>3345</v>
      </c>
      <c r="F23645">
        <v>1920</v>
      </c>
      <c r="G23645">
        <v>230124</v>
      </c>
      <c r="H23645">
        <v>4440</v>
      </c>
      <c r="I23645" t="s">
        <v>250</v>
      </c>
      <c r="J23645">
        <v>1920</v>
      </c>
      <c r="K23645">
        <v>0</v>
      </c>
      <c r="L23645">
        <v>18420</v>
      </c>
      <c r="M23645" t="s">
        <v>1489</v>
      </c>
      <c r="N23645" t="str">
        <f>"10400002521 "</f>
        <v xml:space="preserve">10400002521 </v>
      </c>
      <c r="O23645">
        <v>230202</v>
      </c>
    </row>
    <row r="23646" spans="1:15" x14ac:dyDescent="0.25">
      <c r="A23646" t="s">
        <v>16</v>
      </c>
      <c r="B23646" t="s">
        <v>3221</v>
      </c>
      <c r="C23646">
        <v>977</v>
      </c>
      <c r="D23646" t="s">
        <v>3344</v>
      </c>
      <c r="E23646" t="s">
        <v>3345</v>
      </c>
      <c r="F23646">
        <v>1920</v>
      </c>
      <c r="G23646">
        <v>230124</v>
      </c>
      <c r="H23646">
        <v>4440</v>
      </c>
      <c r="I23646" t="s">
        <v>250</v>
      </c>
      <c r="J23646">
        <v>1920</v>
      </c>
      <c r="K23646">
        <v>0</v>
      </c>
      <c r="L23646">
        <v>18420</v>
      </c>
      <c r="M23646" t="s">
        <v>1489</v>
      </c>
      <c r="N23646" t="str">
        <f>"10400002522 "</f>
        <v xml:space="preserve">10400002522 </v>
      </c>
      <c r="O23646">
        <v>230202</v>
      </c>
    </row>
    <row r="23647" spans="1:15" x14ac:dyDescent="0.25">
      <c r="A23647" t="s">
        <v>16</v>
      </c>
      <c r="B23647" t="s">
        <v>3221</v>
      </c>
      <c r="C23647">
        <v>1451</v>
      </c>
      <c r="D23647" t="s">
        <v>3344</v>
      </c>
      <c r="E23647" t="s">
        <v>3345</v>
      </c>
      <c r="F23647">
        <v>1920</v>
      </c>
      <c r="G23647">
        <v>230131</v>
      </c>
      <c r="H23647">
        <v>4440</v>
      </c>
      <c r="I23647" t="s">
        <v>250</v>
      </c>
      <c r="J23647">
        <v>1920</v>
      </c>
      <c r="K23647">
        <v>0</v>
      </c>
      <c r="L23647">
        <v>18420</v>
      </c>
      <c r="M23647" t="s">
        <v>1489</v>
      </c>
      <c r="N23647" t="str">
        <f>"10400002542 "</f>
        <v xml:space="preserve">10400002542 </v>
      </c>
      <c r="O23647">
        <v>230209</v>
      </c>
    </row>
    <row r="23648" spans="1:15" x14ac:dyDescent="0.25">
      <c r="A23648" t="s">
        <v>16</v>
      </c>
      <c r="B23648" t="s">
        <v>3221</v>
      </c>
      <c r="C23648">
        <v>4207</v>
      </c>
      <c r="D23648" t="s">
        <v>3344</v>
      </c>
      <c r="E23648" t="s">
        <v>3345</v>
      </c>
      <c r="F23648">
        <v>5440</v>
      </c>
      <c r="G23648">
        <v>230330</v>
      </c>
      <c r="H23648">
        <v>4440</v>
      </c>
      <c r="I23648" t="s">
        <v>250</v>
      </c>
      <c r="J23648">
        <v>5440</v>
      </c>
      <c r="K23648">
        <v>0</v>
      </c>
      <c r="L23648">
        <v>18420</v>
      </c>
      <c r="M23648" t="s">
        <v>1489</v>
      </c>
      <c r="N23648" t="str">
        <f>"10400002706 "</f>
        <v xml:space="preserve">10400002706 </v>
      </c>
      <c r="O23648">
        <v>230331</v>
      </c>
    </row>
    <row r="23649" spans="1:15" x14ac:dyDescent="0.25">
      <c r="A23649" t="s">
        <v>16</v>
      </c>
      <c r="B23649" t="s">
        <v>3221</v>
      </c>
      <c r="C23649">
        <v>4454</v>
      </c>
      <c r="D23649" t="s">
        <v>3344</v>
      </c>
      <c r="E23649" t="s">
        <v>3345</v>
      </c>
      <c r="F23649">
        <v>9025.7000000000007</v>
      </c>
      <c r="G23649">
        <v>230330</v>
      </c>
      <c r="H23649">
        <v>4440</v>
      </c>
      <c r="I23649" t="s">
        <v>250</v>
      </c>
      <c r="J23649">
        <v>9025.7000000000007</v>
      </c>
      <c r="K23649">
        <v>0</v>
      </c>
      <c r="L23649">
        <v>18420</v>
      </c>
      <c r="M23649" t="s">
        <v>1489</v>
      </c>
      <c r="N23649" t="str">
        <f>"10400002705 "</f>
        <v xml:space="preserve">10400002705 </v>
      </c>
      <c r="O23649">
        <v>230406</v>
      </c>
    </row>
    <row r="23650" spans="1:15" x14ac:dyDescent="0.25">
      <c r="A23650" t="s">
        <v>16</v>
      </c>
      <c r="B23650" t="s">
        <v>3221</v>
      </c>
      <c r="C23650">
        <v>5116</v>
      </c>
      <c r="D23650" t="s">
        <v>3344</v>
      </c>
      <c r="E23650" t="s">
        <v>3345</v>
      </c>
      <c r="F23650">
        <v>5440</v>
      </c>
      <c r="G23650">
        <v>230330</v>
      </c>
      <c r="H23650">
        <v>4440</v>
      </c>
      <c r="I23650" t="s">
        <v>250</v>
      </c>
      <c r="J23650">
        <v>5440</v>
      </c>
      <c r="K23650">
        <v>0</v>
      </c>
      <c r="L23650">
        <v>18420</v>
      </c>
      <c r="M23650" t="s">
        <v>1489</v>
      </c>
      <c r="N23650" t="str">
        <f>"10400002769 "</f>
        <v xml:space="preserve">10400002769 </v>
      </c>
      <c r="O23650">
        <v>230418</v>
      </c>
    </row>
    <row r="23651" spans="1:15" x14ac:dyDescent="0.25">
      <c r="A23651" t="s">
        <v>16</v>
      </c>
      <c r="B23651" t="s">
        <v>3221</v>
      </c>
      <c r="C23651">
        <v>6229</v>
      </c>
      <c r="D23651" t="s">
        <v>3344</v>
      </c>
      <c r="E23651" t="s">
        <v>3345</v>
      </c>
      <c r="F23651">
        <v>5389.1</v>
      </c>
      <c r="G23651">
        <v>230503</v>
      </c>
      <c r="H23651">
        <v>4440</v>
      </c>
      <c r="I23651" t="s">
        <v>250</v>
      </c>
      <c r="J23651">
        <v>5389.1</v>
      </c>
      <c r="K23651">
        <v>0</v>
      </c>
      <c r="L23651">
        <v>18420</v>
      </c>
      <c r="M23651" t="s">
        <v>1489</v>
      </c>
      <c r="N23651" t="str">
        <f>"10400002811 "</f>
        <v xml:space="preserve">10400002811 </v>
      </c>
      <c r="O23651">
        <v>230509</v>
      </c>
    </row>
    <row r="23652" spans="1:15" x14ac:dyDescent="0.25">
      <c r="A23652" t="s">
        <v>16</v>
      </c>
      <c r="B23652" t="s">
        <v>3221</v>
      </c>
      <c r="C23652">
        <v>6695</v>
      </c>
      <c r="D23652" t="s">
        <v>3344</v>
      </c>
      <c r="E23652" t="s">
        <v>3345</v>
      </c>
      <c r="F23652">
        <v>1920</v>
      </c>
      <c r="G23652">
        <v>230420</v>
      </c>
      <c r="H23652">
        <v>4440</v>
      </c>
      <c r="I23652" t="s">
        <v>250</v>
      </c>
      <c r="J23652">
        <v>1920</v>
      </c>
      <c r="K23652">
        <v>0</v>
      </c>
      <c r="L23652">
        <v>18420</v>
      </c>
      <c r="M23652" t="s">
        <v>1489</v>
      </c>
      <c r="N23652" t="str">
        <f>"10400002829 "</f>
        <v xml:space="preserve">10400002829 </v>
      </c>
      <c r="O23652">
        <v>230517</v>
      </c>
    </row>
    <row r="23653" spans="1:15" x14ac:dyDescent="0.25">
      <c r="A23653" t="s">
        <v>16</v>
      </c>
      <c r="B23653" t="s">
        <v>3221</v>
      </c>
      <c r="C23653">
        <v>7152</v>
      </c>
      <c r="D23653" t="s">
        <v>3344</v>
      </c>
      <c r="E23653" t="s">
        <v>3345</v>
      </c>
      <c r="F23653">
        <v>1920</v>
      </c>
      <c r="G23653">
        <v>230524</v>
      </c>
      <c r="H23653">
        <v>4440</v>
      </c>
      <c r="I23653" t="s">
        <v>250</v>
      </c>
      <c r="J23653">
        <v>1920</v>
      </c>
      <c r="K23653">
        <v>0</v>
      </c>
      <c r="L23653">
        <v>18420</v>
      </c>
      <c r="M23653" t="s">
        <v>1489</v>
      </c>
      <c r="N23653" t="str">
        <f>"10400002851 "</f>
        <v xml:space="preserve">10400002851 </v>
      </c>
      <c r="O23653">
        <v>230525</v>
      </c>
    </row>
    <row r="23654" spans="1:15" x14ac:dyDescent="0.25">
      <c r="A23654" t="s">
        <v>16</v>
      </c>
      <c r="B23654" t="s">
        <v>3221</v>
      </c>
      <c r="C23654">
        <v>8691</v>
      </c>
      <c r="D23654" t="s">
        <v>3344</v>
      </c>
      <c r="E23654" t="s">
        <v>3345</v>
      </c>
      <c r="F23654">
        <v>11286.7</v>
      </c>
      <c r="G23654">
        <v>230531</v>
      </c>
      <c r="H23654">
        <v>4440</v>
      </c>
      <c r="I23654" t="s">
        <v>250</v>
      </c>
      <c r="J23654">
        <v>11286.7</v>
      </c>
      <c r="K23654">
        <v>0</v>
      </c>
      <c r="L23654">
        <v>18420</v>
      </c>
      <c r="M23654" t="s">
        <v>1489</v>
      </c>
      <c r="N23654" t="str">
        <f>"10400002917 "</f>
        <v xml:space="preserve">10400002917 </v>
      </c>
      <c r="O23654">
        <v>230613</v>
      </c>
    </row>
    <row r="23655" spans="1:15" x14ac:dyDescent="0.25">
      <c r="A23655" t="s">
        <v>16</v>
      </c>
      <c r="B23655" t="s">
        <v>3221</v>
      </c>
      <c r="C23655">
        <v>9239</v>
      </c>
      <c r="D23655" t="s">
        <v>3344</v>
      </c>
      <c r="E23655" t="s">
        <v>3345</v>
      </c>
      <c r="F23655">
        <v>1920</v>
      </c>
      <c r="G23655">
        <v>230626</v>
      </c>
      <c r="H23655">
        <v>4440</v>
      </c>
      <c r="I23655" t="s">
        <v>250</v>
      </c>
      <c r="J23655">
        <v>1920</v>
      </c>
      <c r="K23655">
        <v>0</v>
      </c>
      <c r="L23655">
        <v>18420</v>
      </c>
      <c r="M23655" t="s">
        <v>1489</v>
      </c>
      <c r="N23655" t="str">
        <f>"10400002945 "</f>
        <v xml:space="preserve">10400002945 </v>
      </c>
      <c r="O23655">
        <v>230703</v>
      </c>
    </row>
    <row r="23656" spans="1:15" x14ac:dyDescent="0.25">
      <c r="A23656" t="s">
        <v>16</v>
      </c>
      <c r="B23656" t="s">
        <v>3221</v>
      </c>
      <c r="C23656">
        <v>9240</v>
      </c>
      <c r="D23656" t="s">
        <v>3344</v>
      </c>
      <c r="E23656" t="s">
        <v>3345</v>
      </c>
      <c r="F23656">
        <v>1920</v>
      </c>
      <c r="G23656">
        <v>230626</v>
      </c>
      <c r="H23656">
        <v>4440</v>
      </c>
      <c r="I23656" t="s">
        <v>250</v>
      </c>
      <c r="J23656">
        <v>1920</v>
      </c>
      <c r="K23656">
        <v>0</v>
      </c>
      <c r="L23656">
        <v>18420</v>
      </c>
      <c r="M23656" t="s">
        <v>1489</v>
      </c>
      <c r="N23656" t="str">
        <f>"10400002944 "</f>
        <v xml:space="preserve">10400002944 </v>
      </c>
      <c r="O23656">
        <v>230703</v>
      </c>
    </row>
    <row r="23657" spans="1:15" x14ac:dyDescent="0.25">
      <c r="A23657" t="s">
        <v>16</v>
      </c>
      <c r="B23657" t="s">
        <v>3221</v>
      </c>
      <c r="C23657">
        <v>10416</v>
      </c>
      <c r="D23657" t="s">
        <v>3344</v>
      </c>
      <c r="E23657" t="s">
        <v>3345</v>
      </c>
      <c r="F23657">
        <v>1920</v>
      </c>
      <c r="G23657">
        <v>230811</v>
      </c>
      <c r="H23657">
        <v>4440</v>
      </c>
      <c r="I23657" t="s">
        <v>250</v>
      </c>
      <c r="J23657">
        <v>1920</v>
      </c>
      <c r="K23657">
        <v>0</v>
      </c>
      <c r="L23657">
        <v>18420</v>
      </c>
      <c r="M23657" t="s">
        <v>1489</v>
      </c>
      <c r="N23657" t="str">
        <f>"10400002989 "</f>
        <v xml:space="preserve">10400002989 </v>
      </c>
      <c r="O23657">
        <v>230815</v>
      </c>
    </row>
    <row r="23658" spans="1:15" x14ac:dyDescent="0.25">
      <c r="A23658" t="s">
        <v>16</v>
      </c>
      <c r="B23658" t="s">
        <v>3221</v>
      </c>
      <c r="C23658">
        <v>12420</v>
      </c>
      <c r="D23658" t="s">
        <v>3344</v>
      </c>
      <c r="E23658" t="s">
        <v>3345</v>
      </c>
      <c r="F23658">
        <v>4800</v>
      </c>
      <c r="G23658">
        <v>230831</v>
      </c>
      <c r="H23658">
        <v>4440</v>
      </c>
      <c r="I23658" t="s">
        <v>250</v>
      </c>
      <c r="J23658">
        <v>4800</v>
      </c>
      <c r="K23658">
        <v>0</v>
      </c>
      <c r="L23658">
        <v>18420</v>
      </c>
      <c r="M23658" t="s">
        <v>1489</v>
      </c>
      <c r="N23658" t="str">
        <f>"10400003029 "</f>
        <v xml:space="preserve">10400003029 </v>
      </c>
      <c r="O23658">
        <v>230919</v>
      </c>
    </row>
    <row r="23659" spans="1:15" x14ac:dyDescent="0.25">
      <c r="A23659" t="s">
        <v>16</v>
      </c>
      <c r="B23659" t="s">
        <v>3221</v>
      </c>
      <c r="C23659">
        <v>14836</v>
      </c>
      <c r="D23659" t="s">
        <v>3344</v>
      </c>
      <c r="E23659" t="s">
        <v>3345</v>
      </c>
      <c r="F23659">
        <v>9600</v>
      </c>
      <c r="G23659">
        <v>231030</v>
      </c>
      <c r="H23659">
        <v>4440</v>
      </c>
      <c r="I23659" t="s">
        <v>250</v>
      </c>
      <c r="J23659">
        <v>9600</v>
      </c>
      <c r="K23659">
        <v>0</v>
      </c>
      <c r="L23659">
        <v>18420</v>
      </c>
      <c r="M23659" t="s">
        <v>1489</v>
      </c>
      <c r="N23659" t="str">
        <f>"10400003125 "</f>
        <v xml:space="preserve">10400003125 </v>
      </c>
      <c r="O23659">
        <v>231107</v>
      </c>
    </row>
    <row r="23660" spans="1:15" x14ac:dyDescent="0.25">
      <c r="A23660" t="s">
        <v>16</v>
      </c>
      <c r="B23660" t="s">
        <v>3221</v>
      </c>
      <c r="C23660">
        <v>17930</v>
      </c>
      <c r="D23660" t="s">
        <v>3344</v>
      </c>
      <c r="E23660" t="s">
        <v>3345</v>
      </c>
      <c r="F23660">
        <v>10240</v>
      </c>
      <c r="G23660">
        <v>231214</v>
      </c>
      <c r="H23660">
        <v>4440</v>
      </c>
      <c r="I23660" t="s">
        <v>250</v>
      </c>
      <c r="J23660">
        <v>10240</v>
      </c>
      <c r="K23660">
        <v>0</v>
      </c>
      <c r="L23660">
        <v>18420</v>
      </c>
      <c r="M23660" t="s">
        <v>1489</v>
      </c>
      <c r="N23660" t="str">
        <f>"10400003336 "</f>
        <v xml:space="preserve">10400003336 </v>
      </c>
      <c r="O23660">
        <v>231228</v>
      </c>
    </row>
    <row r="23661" spans="1:15" x14ac:dyDescent="0.25">
      <c r="A23661" t="s">
        <v>16</v>
      </c>
      <c r="B23661" t="s">
        <v>3221</v>
      </c>
      <c r="C23661">
        <v>18471</v>
      </c>
      <c r="D23661" t="s">
        <v>3344</v>
      </c>
      <c r="E23661" t="s">
        <v>3345</v>
      </c>
      <c r="F23661">
        <v>1920</v>
      </c>
      <c r="G23661">
        <v>231228</v>
      </c>
      <c r="H23661">
        <v>4440</v>
      </c>
      <c r="I23661" t="s">
        <v>250</v>
      </c>
      <c r="J23661">
        <v>1920</v>
      </c>
      <c r="K23661">
        <v>0</v>
      </c>
      <c r="L23661">
        <v>18420</v>
      </c>
      <c r="M23661" t="s">
        <v>1489</v>
      </c>
      <c r="N23661" t="str">
        <f>"10400003360 "</f>
        <v xml:space="preserve">10400003360 </v>
      </c>
      <c r="O23661">
        <v>240103</v>
      </c>
    </row>
    <row r="23662" spans="1:15" x14ac:dyDescent="0.25">
      <c r="A23662" t="s">
        <v>16</v>
      </c>
      <c r="B23662" t="s">
        <v>3221</v>
      </c>
      <c r="C23662">
        <v>17668</v>
      </c>
      <c r="D23662" t="s">
        <v>3312</v>
      </c>
      <c r="E23662" t="s">
        <v>3313</v>
      </c>
      <c r="F23662">
        <v>50</v>
      </c>
      <c r="G23662">
        <v>231201</v>
      </c>
      <c r="H23662">
        <v>4346</v>
      </c>
      <c r="I23662" t="s">
        <v>197</v>
      </c>
      <c r="J23662">
        <v>50</v>
      </c>
      <c r="K23662">
        <v>0</v>
      </c>
      <c r="L23662">
        <v>17526</v>
      </c>
      <c r="M23662" t="s">
        <v>437</v>
      </c>
      <c r="N23662" t="str">
        <f>"90838760    "</f>
        <v xml:space="preserve">90838760    </v>
      </c>
      <c r="O23662">
        <v>231219</v>
      </c>
    </row>
    <row r="23663" spans="1:15" x14ac:dyDescent="0.25">
      <c r="A23663" t="s">
        <v>16</v>
      </c>
      <c r="B23663" t="s">
        <v>3221</v>
      </c>
      <c r="C23663">
        <v>17668</v>
      </c>
      <c r="D23663" t="s">
        <v>3312</v>
      </c>
      <c r="E23663" t="s">
        <v>3313</v>
      </c>
      <c r="F23663">
        <v>50</v>
      </c>
      <c r="G23663">
        <v>231201</v>
      </c>
      <c r="H23663">
        <v>4346</v>
      </c>
      <c r="I23663" t="s">
        <v>197</v>
      </c>
      <c r="J23663">
        <v>50</v>
      </c>
      <c r="K23663">
        <v>0</v>
      </c>
      <c r="L23663">
        <v>17527</v>
      </c>
      <c r="M23663" t="s">
        <v>422</v>
      </c>
      <c r="N23663" t="str">
        <f>"90838760    "</f>
        <v xml:space="preserve">90838760    </v>
      </c>
      <c r="O23663">
        <v>231219</v>
      </c>
    </row>
    <row r="23664" spans="1:15" x14ac:dyDescent="0.25">
      <c r="A23664" t="s">
        <v>16</v>
      </c>
      <c r="B23664" t="s">
        <v>3221</v>
      </c>
      <c r="C23664">
        <v>17668</v>
      </c>
      <c r="D23664" t="s">
        <v>3312</v>
      </c>
      <c r="E23664" t="s">
        <v>3313</v>
      </c>
      <c r="F23664">
        <v>25</v>
      </c>
      <c r="G23664">
        <v>231201</v>
      </c>
      <c r="H23664">
        <v>4440</v>
      </c>
      <c r="I23664" t="s">
        <v>250</v>
      </c>
      <c r="J23664">
        <v>25</v>
      </c>
      <c r="K23664">
        <v>0</v>
      </c>
      <c r="L23664">
        <v>17526</v>
      </c>
      <c r="M23664" t="s">
        <v>437</v>
      </c>
      <c r="N23664" t="str">
        <f>"90838760    "</f>
        <v xml:space="preserve">90838760    </v>
      </c>
      <c r="O23664">
        <v>231219</v>
      </c>
    </row>
    <row r="23665" spans="1:15" x14ac:dyDescent="0.25">
      <c r="A23665" t="s">
        <v>16</v>
      </c>
      <c r="B23665" t="s">
        <v>3221</v>
      </c>
      <c r="C23665">
        <v>17668</v>
      </c>
      <c r="D23665" t="s">
        <v>3312</v>
      </c>
      <c r="E23665" t="s">
        <v>3313</v>
      </c>
      <c r="F23665">
        <v>25</v>
      </c>
      <c r="G23665">
        <v>231201</v>
      </c>
      <c r="H23665">
        <v>4440</v>
      </c>
      <c r="I23665" t="s">
        <v>250</v>
      </c>
      <c r="J23665">
        <v>25</v>
      </c>
      <c r="K23665">
        <v>0</v>
      </c>
      <c r="L23665">
        <v>17527</v>
      </c>
      <c r="M23665" t="s">
        <v>422</v>
      </c>
      <c r="N23665" t="str">
        <f>"90838760    "</f>
        <v xml:space="preserve">90838760    </v>
      </c>
      <c r="O23665">
        <v>231219</v>
      </c>
    </row>
    <row r="23666" spans="1:15" x14ac:dyDescent="0.25">
      <c r="A23666" t="s">
        <v>16</v>
      </c>
      <c r="B23666" t="s">
        <v>3221</v>
      </c>
      <c r="C23666">
        <v>17668</v>
      </c>
      <c r="D23666" t="s">
        <v>3312</v>
      </c>
      <c r="E23666" t="s">
        <v>3313</v>
      </c>
      <c r="F23666">
        <v>5</v>
      </c>
      <c r="G23666">
        <v>231201</v>
      </c>
      <c r="H23666">
        <v>4347</v>
      </c>
      <c r="I23666" t="s">
        <v>193</v>
      </c>
      <c r="J23666">
        <v>5</v>
      </c>
      <c r="K23666">
        <v>0</v>
      </c>
      <c r="L23666">
        <v>17526</v>
      </c>
      <c r="M23666" t="s">
        <v>437</v>
      </c>
      <c r="N23666" t="str">
        <f>"90838760    "</f>
        <v xml:space="preserve">90838760    </v>
      </c>
      <c r="O23666">
        <v>231219</v>
      </c>
    </row>
    <row r="23667" spans="1:15" x14ac:dyDescent="0.25">
      <c r="A23667" t="s">
        <v>16</v>
      </c>
      <c r="B23667" t="s">
        <v>3221</v>
      </c>
      <c r="C23667">
        <v>10642</v>
      </c>
      <c r="D23667" t="s">
        <v>2403</v>
      </c>
      <c r="E23667" t="s">
        <v>2404</v>
      </c>
      <c r="F23667">
        <v>18</v>
      </c>
      <c r="G23667">
        <v>230813</v>
      </c>
      <c r="H23667">
        <v>4410</v>
      </c>
      <c r="I23667" t="s">
        <v>517</v>
      </c>
      <c r="J23667">
        <v>18</v>
      </c>
      <c r="K23667">
        <v>0</v>
      </c>
      <c r="L23667">
        <v>56563</v>
      </c>
      <c r="M23667" t="s">
        <v>953</v>
      </c>
      <c r="N23667" t="str">
        <f>"3003362534  "</f>
        <v xml:space="preserve">3003362534  </v>
      </c>
      <c r="O23667">
        <v>230821</v>
      </c>
    </row>
    <row r="23668" spans="1:15" x14ac:dyDescent="0.25">
      <c r="A23668" t="s">
        <v>16</v>
      </c>
      <c r="B23668" t="s">
        <v>3221</v>
      </c>
      <c r="C23668">
        <v>10642</v>
      </c>
      <c r="D23668" t="s">
        <v>2403</v>
      </c>
      <c r="E23668" t="s">
        <v>2404</v>
      </c>
      <c r="F23668">
        <v>198.18</v>
      </c>
      <c r="G23668">
        <v>230813</v>
      </c>
      <c r="H23668">
        <v>4410</v>
      </c>
      <c r="I23668" t="s">
        <v>517</v>
      </c>
      <c r="J23668">
        <v>218</v>
      </c>
      <c r="K23668">
        <v>19.82</v>
      </c>
      <c r="L23668">
        <v>56563</v>
      </c>
      <c r="M23668" t="s">
        <v>953</v>
      </c>
      <c r="N23668" t="str">
        <f>"3003362534  "</f>
        <v xml:space="preserve">3003362534  </v>
      </c>
      <c r="O23668">
        <v>230821</v>
      </c>
    </row>
    <row r="23669" spans="1:15" x14ac:dyDescent="0.25">
      <c r="A23669" t="s">
        <v>16</v>
      </c>
      <c r="B23669" t="s">
        <v>3221</v>
      </c>
      <c r="C23669">
        <v>10642</v>
      </c>
      <c r="D23669" t="s">
        <v>2403</v>
      </c>
      <c r="E23669" t="s">
        <v>2404</v>
      </c>
      <c r="F23669">
        <v>36.29</v>
      </c>
      <c r="G23669">
        <v>230813</v>
      </c>
      <c r="H23669">
        <v>4420</v>
      </c>
      <c r="I23669" t="s">
        <v>132</v>
      </c>
      <c r="J23669">
        <v>45</v>
      </c>
      <c r="K23669">
        <v>8.7100000000000009</v>
      </c>
      <c r="L23669">
        <v>56563</v>
      </c>
      <c r="M23669" t="s">
        <v>953</v>
      </c>
      <c r="N23669" t="str">
        <f>"3003362534  "</f>
        <v xml:space="preserve">3003362534  </v>
      </c>
      <c r="O23669">
        <v>230821</v>
      </c>
    </row>
    <row r="23670" spans="1:15" x14ac:dyDescent="0.25">
      <c r="A23670" t="s">
        <v>16</v>
      </c>
      <c r="B23670" t="s">
        <v>3221</v>
      </c>
      <c r="C23670">
        <v>6078</v>
      </c>
      <c r="D23670" t="s">
        <v>1933</v>
      </c>
      <c r="E23670" t="s">
        <v>1934</v>
      </c>
      <c r="F23670">
        <v>414.44</v>
      </c>
      <c r="G23670">
        <v>230504</v>
      </c>
      <c r="H23670">
        <v>4530</v>
      </c>
      <c r="I23670" t="s">
        <v>342</v>
      </c>
      <c r="J23670">
        <v>513.9</v>
      </c>
      <c r="K23670">
        <v>99.46</v>
      </c>
      <c r="L23670">
        <v>13401</v>
      </c>
      <c r="M23670" t="s">
        <v>80</v>
      </c>
      <c r="N23670" t="str">
        <f>"963         "</f>
        <v xml:space="preserve">963         </v>
      </c>
      <c r="O23670">
        <v>230508</v>
      </c>
    </row>
    <row r="23671" spans="1:15" x14ac:dyDescent="0.25">
      <c r="A23671" t="s">
        <v>16</v>
      </c>
      <c r="B23671" t="s">
        <v>3221</v>
      </c>
      <c r="C23671">
        <v>471</v>
      </c>
      <c r="D23671" t="s">
        <v>568</v>
      </c>
      <c r="E23671" t="s">
        <v>569</v>
      </c>
      <c r="F23671">
        <v>7.98</v>
      </c>
      <c r="G23671">
        <v>230119</v>
      </c>
      <c r="H23671">
        <v>4364</v>
      </c>
      <c r="I23671" t="s">
        <v>296</v>
      </c>
      <c r="J23671">
        <v>9.9</v>
      </c>
      <c r="K23671">
        <v>1.92</v>
      </c>
      <c r="L23671">
        <v>17971</v>
      </c>
      <c r="M23671" t="s">
        <v>138</v>
      </c>
      <c r="N23671" t="str">
        <f>"772         "</f>
        <v xml:space="preserve">772         </v>
      </c>
      <c r="O23671">
        <v>230123</v>
      </c>
    </row>
    <row r="23672" spans="1:15" x14ac:dyDescent="0.25">
      <c r="A23672" t="s">
        <v>16</v>
      </c>
      <c r="B23672" t="s">
        <v>3221</v>
      </c>
      <c r="C23672">
        <v>471</v>
      </c>
      <c r="D23672" t="s">
        <v>568</v>
      </c>
      <c r="E23672" t="s">
        <v>569</v>
      </c>
      <c r="F23672">
        <v>95.97</v>
      </c>
      <c r="G23672">
        <v>230119</v>
      </c>
      <c r="H23672">
        <v>4500</v>
      </c>
      <c r="I23672" t="s">
        <v>212</v>
      </c>
      <c r="J23672">
        <v>119</v>
      </c>
      <c r="K23672">
        <v>23.03</v>
      </c>
      <c r="L23672">
        <v>17971</v>
      </c>
      <c r="M23672" t="s">
        <v>138</v>
      </c>
      <c r="N23672" t="str">
        <f>"772         "</f>
        <v xml:space="preserve">772         </v>
      </c>
      <c r="O23672">
        <v>230123</v>
      </c>
    </row>
    <row r="23673" spans="1:15" x14ac:dyDescent="0.25">
      <c r="A23673" t="s">
        <v>16</v>
      </c>
      <c r="B23673" t="s">
        <v>3221</v>
      </c>
      <c r="C23673">
        <v>16488</v>
      </c>
      <c r="D23673" t="s">
        <v>2985</v>
      </c>
      <c r="E23673" t="s">
        <v>2986</v>
      </c>
      <c r="F23673">
        <v>241.94</v>
      </c>
      <c r="G23673">
        <v>231124</v>
      </c>
      <c r="H23673">
        <v>4580</v>
      </c>
      <c r="I23673" t="s">
        <v>35</v>
      </c>
      <c r="J23673">
        <v>300</v>
      </c>
      <c r="K23673">
        <v>58.06</v>
      </c>
      <c r="L23673">
        <v>17521</v>
      </c>
      <c r="M23673" t="s">
        <v>133</v>
      </c>
      <c r="N23673" t="str">
        <f>"333         "</f>
        <v xml:space="preserve">333         </v>
      </c>
      <c r="O23673">
        <v>231201</v>
      </c>
    </row>
    <row r="23674" spans="1:15" x14ac:dyDescent="0.25">
      <c r="A23674" t="s">
        <v>16</v>
      </c>
      <c r="B23674" t="s">
        <v>3221</v>
      </c>
      <c r="C23674">
        <v>10349</v>
      </c>
      <c r="D23674" t="s">
        <v>3717</v>
      </c>
      <c r="E23674" t="s">
        <v>3298</v>
      </c>
      <c r="F23674">
        <v>60</v>
      </c>
      <c r="G23674">
        <v>230810</v>
      </c>
      <c r="H23674">
        <v>4470</v>
      </c>
      <c r="I23674" t="s">
        <v>83</v>
      </c>
      <c r="J23674">
        <v>60</v>
      </c>
      <c r="K23674">
        <v>0</v>
      </c>
      <c r="L23674">
        <v>49702</v>
      </c>
      <c r="M23674" t="s">
        <v>584</v>
      </c>
      <c r="N23674" t="str">
        <f>"5130061448  "</f>
        <v xml:space="preserve">5130061448  </v>
      </c>
      <c r="O23674">
        <v>230814</v>
      </c>
    </row>
    <row r="23675" spans="1:15" x14ac:dyDescent="0.25">
      <c r="A23675" t="s">
        <v>16</v>
      </c>
      <c r="B23675" t="s">
        <v>3221</v>
      </c>
      <c r="C23675">
        <v>2482</v>
      </c>
      <c r="D23675" t="s">
        <v>1408</v>
      </c>
      <c r="E23675" t="s">
        <v>1409</v>
      </c>
      <c r="F23675">
        <v>295</v>
      </c>
      <c r="G23675">
        <v>230224</v>
      </c>
      <c r="H23675">
        <v>4510</v>
      </c>
      <c r="I23675" t="s">
        <v>42</v>
      </c>
      <c r="J23675">
        <v>365.8</v>
      </c>
      <c r="K23675">
        <v>70.8</v>
      </c>
      <c r="L23675">
        <v>13402</v>
      </c>
      <c r="M23675" t="s">
        <v>242</v>
      </c>
      <c r="N23675" t="str">
        <f>"9896        "</f>
        <v xml:space="preserve">9896        </v>
      </c>
      <c r="O23675">
        <v>230228</v>
      </c>
    </row>
    <row r="23676" spans="1:15" x14ac:dyDescent="0.25">
      <c r="A23676" t="s">
        <v>16</v>
      </c>
      <c r="B23676" t="s">
        <v>3221</v>
      </c>
      <c r="C23676">
        <v>6170</v>
      </c>
      <c r="D23676" t="s">
        <v>1408</v>
      </c>
      <c r="E23676" t="s">
        <v>1409</v>
      </c>
      <c r="F23676">
        <v>14</v>
      </c>
      <c r="G23676">
        <v>230430</v>
      </c>
      <c r="H23676">
        <v>4510</v>
      </c>
      <c r="I23676" t="s">
        <v>42</v>
      </c>
      <c r="J23676">
        <v>15.4</v>
      </c>
      <c r="K23676">
        <v>1.4</v>
      </c>
      <c r="L23676">
        <v>13402</v>
      </c>
      <c r="M23676" t="s">
        <v>242</v>
      </c>
      <c r="N23676" t="str">
        <f>"10598       "</f>
        <v xml:space="preserve">10598       </v>
      </c>
      <c r="O23676">
        <v>230508</v>
      </c>
    </row>
    <row r="23677" spans="1:15" x14ac:dyDescent="0.25">
      <c r="A23677" t="s">
        <v>16</v>
      </c>
      <c r="B23677" t="s">
        <v>3221</v>
      </c>
      <c r="C23677">
        <v>11831</v>
      </c>
      <c r="D23677" t="s">
        <v>1408</v>
      </c>
      <c r="E23677" t="s">
        <v>1409</v>
      </c>
      <c r="F23677">
        <v>38</v>
      </c>
      <c r="G23677">
        <v>230831</v>
      </c>
      <c r="H23677">
        <v>4510</v>
      </c>
      <c r="I23677" t="s">
        <v>42</v>
      </c>
      <c r="J23677">
        <v>41.8</v>
      </c>
      <c r="K23677">
        <v>3.8</v>
      </c>
      <c r="L23677">
        <v>13402</v>
      </c>
      <c r="M23677" t="s">
        <v>242</v>
      </c>
      <c r="N23677" t="str">
        <f>"11006       "</f>
        <v xml:space="preserve">11006       </v>
      </c>
      <c r="O23677">
        <v>230911</v>
      </c>
    </row>
    <row r="23678" spans="1:15" x14ac:dyDescent="0.25">
      <c r="A23678" t="s">
        <v>16</v>
      </c>
      <c r="B23678" t="s">
        <v>3221</v>
      </c>
      <c r="C23678">
        <v>11831</v>
      </c>
      <c r="D23678" t="s">
        <v>1408</v>
      </c>
      <c r="E23678" t="s">
        <v>1409</v>
      </c>
      <c r="F23678">
        <v>320</v>
      </c>
      <c r="G23678">
        <v>230831</v>
      </c>
      <c r="H23678">
        <v>4510</v>
      </c>
      <c r="I23678" t="s">
        <v>42</v>
      </c>
      <c r="J23678">
        <v>396.8</v>
      </c>
      <c r="K23678">
        <v>76.8</v>
      </c>
      <c r="L23678">
        <v>13402</v>
      </c>
      <c r="M23678" t="s">
        <v>242</v>
      </c>
      <c r="N23678" t="str">
        <f>"11006       "</f>
        <v xml:space="preserve">11006       </v>
      </c>
      <c r="O23678">
        <v>230911</v>
      </c>
    </row>
    <row r="23679" spans="1:15" x14ac:dyDescent="0.25">
      <c r="A23679" t="s">
        <v>16</v>
      </c>
      <c r="B23679" t="s">
        <v>3221</v>
      </c>
      <c r="C23679">
        <v>2482</v>
      </c>
      <c r="D23679" t="s">
        <v>1408</v>
      </c>
      <c r="E23679" t="s">
        <v>1409</v>
      </c>
      <c r="F23679">
        <v>14</v>
      </c>
      <c r="G23679">
        <v>230224</v>
      </c>
      <c r="H23679">
        <v>3271</v>
      </c>
      <c r="I23679" t="s">
        <v>1410</v>
      </c>
      <c r="J23679">
        <v>15.4</v>
      </c>
      <c r="K23679">
        <v>1.4</v>
      </c>
      <c r="L23679">
        <v>13402</v>
      </c>
      <c r="M23679" t="s">
        <v>242</v>
      </c>
      <c r="N23679" t="str">
        <f>"9896        "</f>
        <v xml:space="preserve">9896        </v>
      </c>
      <c r="O23679">
        <v>230228</v>
      </c>
    </row>
    <row r="23680" spans="1:15" x14ac:dyDescent="0.25">
      <c r="A23680" t="s">
        <v>16</v>
      </c>
      <c r="B23680" t="s">
        <v>3221</v>
      </c>
      <c r="C23680">
        <v>14916</v>
      </c>
      <c r="D23680" t="s">
        <v>1408</v>
      </c>
      <c r="E23680" t="s">
        <v>1409</v>
      </c>
      <c r="F23680">
        <v>320</v>
      </c>
      <c r="G23680">
        <v>231030</v>
      </c>
      <c r="H23680">
        <v>4345</v>
      </c>
      <c r="I23680" t="s">
        <v>2817</v>
      </c>
      <c r="J23680">
        <v>396.8</v>
      </c>
      <c r="K23680">
        <v>76.8</v>
      </c>
      <c r="L23680">
        <v>13401</v>
      </c>
      <c r="M23680" t="s">
        <v>80</v>
      </c>
      <c r="N23680" t="str">
        <f>"11293       "</f>
        <v xml:space="preserve">11293       </v>
      </c>
      <c r="O23680">
        <v>231107</v>
      </c>
    </row>
    <row r="23681" spans="1:15" x14ac:dyDescent="0.25">
      <c r="A23681" t="s">
        <v>16</v>
      </c>
      <c r="B23681" t="s">
        <v>3221</v>
      </c>
      <c r="C23681">
        <v>17532</v>
      </c>
      <c r="D23681" t="s">
        <v>1408</v>
      </c>
      <c r="E23681" t="s">
        <v>1409</v>
      </c>
      <c r="F23681">
        <v>320</v>
      </c>
      <c r="G23681">
        <v>231212</v>
      </c>
      <c r="H23681">
        <v>4345</v>
      </c>
      <c r="I23681" t="s">
        <v>2817</v>
      </c>
      <c r="J23681">
        <v>396.8</v>
      </c>
      <c r="K23681">
        <v>76.8</v>
      </c>
      <c r="L23681">
        <v>13401</v>
      </c>
      <c r="M23681" t="s">
        <v>80</v>
      </c>
      <c r="N23681" t="str">
        <f>"11670       "</f>
        <v xml:space="preserve">11670       </v>
      </c>
      <c r="O23681">
        <v>231215</v>
      </c>
    </row>
    <row r="23682" spans="1:15" x14ac:dyDescent="0.25">
      <c r="A23682" t="s">
        <v>16</v>
      </c>
      <c r="B23682" t="s">
        <v>3221</v>
      </c>
      <c r="C23682">
        <v>6170</v>
      </c>
      <c r="D23682" t="s">
        <v>1408</v>
      </c>
      <c r="E23682" t="s">
        <v>1409</v>
      </c>
      <c r="F23682">
        <v>295</v>
      </c>
      <c r="G23682">
        <v>230430</v>
      </c>
      <c r="H23682">
        <v>4440</v>
      </c>
      <c r="I23682" t="s">
        <v>250</v>
      </c>
      <c r="J23682">
        <v>365.8</v>
      </c>
      <c r="K23682">
        <v>70.8</v>
      </c>
      <c r="L23682">
        <v>13401</v>
      </c>
      <c r="M23682" t="s">
        <v>80</v>
      </c>
      <c r="N23682" t="str">
        <f>"10598       "</f>
        <v xml:space="preserve">10598       </v>
      </c>
      <c r="O23682">
        <v>230508</v>
      </c>
    </row>
    <row r="23683" spans="1:15" x14ac:dyDescent="0.25">
      <c r="A23683" t="s">
        <v>16</v>
      </c>
      <c r="B23683" t="s">
        <v>3221</v>
      </c>
      <c r="C23683">
        <v>15268</v>
      </c>
      <c r="D23683" t="s">
        <v>3718</v>
      </c>
      <c r="E23683" t="s">
        <v>2853</v>
      </c>
      <c r="F23683">
        <v>3315.32</v>
      </c>
      <c r="G23683">
        <v>231108</v>
      </c>
      <c r="H23683">
        <v>4350</v>
      </c>
      <c r="I23683" t="s">
        <v>546</v>
      </c>
      <c r="J23683">
        <v>4111</v>
      </c>
      <c r="K23683">
        <v>795.68</v>
      </c>
      <c r="L23683">
        <v>11301</v>
      </c>
      <c r="M23683" t="s">
        <v>29</v>
      </c>
      <c r="N23683" t="str">
        <f>"214986      "</f>
        <v xml:space="preserve">214986      </v>
      </c>
      <c r="O23683">
        <v>231109</v>
      </c>
    </row>
    <row r="23684" spans="1:15" x14ac:dyDescent="0.25">
      <c r="A23684" t="s">
        <v>16</v>
      </c>
      <c r="B23684" t="s">
        <v>3221</v>
      </c>
      <c r="C23684">
        <v>4366</v>
      </c>
      <c r="D23684" t="s">
        <v>1696</v>
      </c>
      <c r="E23684" t="s">
        <v>1697</v>
      </c>
      <c r="F23684">
        <v>473.76</v>
      </c>
      <c r="G23684">
        <v>230329</v>
      </c>
      <c r="H23684">
        <v>4350</v>
      </c>
      <c r="I23684" t="s">
        <v>546</v>
      </c>
      <c r="J23684">
        <v>587.46</v>
      </c>
      <c r="K23684">
        <v>113.7</v>
      </c>
      <c r="L23684">
        <v>49702</v>
      </c>
      <c r="M23684" t="s">
        <v>584</v>
      </c>
      <c r="N23684" t="str">
        <f>"36718       "</f>
        <v xml:space="preserve">36718       </v>
      </c>
      <c r="O23684">
        <v>230405</v>
      </c>
    </row>
    <row r="23685" spans="1:15" x14ac:dyDescent="0.25">
      <c r="A23685" t="s">
        <v>16</v>
      </c>
      <c r="B23685" t="s">
        <v>3221</v>
      </c>
      <c r="C23685">
        <v>14826</v>
      </c>
      <c r="D23685" t="s">
        <v>1696</v>
      </c>
      <c r="E23685" t="s">
        <v>1697</v>
      </c>
      <c r="F23685">
        <v>473.76</v>
      </c>
      <c r="G23685">
        <v>231101</v>
      </c>
      <c r="H23685">
        <v>4350</v>
      </c>
      <c r="I23685" t="s">
        <v>546</v>
      </c>
      <c r="J23685">
        <v>587.46</v>
      </c>
      <c r="K23685">
        <v>113.7</v>
      </c>
      <c r="L23685">
        <v>49702</v>
      </c>
      <c r="M23685" t="s">
        <v>584</v>
      </c>
      <c r="N23685" t="str">
        <f>"38545       "</f>
        <v xml:space="preserve">38545       </v>
      </c>
      <c r="O23685">
        <v>231106</v>
      </c>
    </row>
    <row r="23686" spans="1:15" x14ac:dyDescent="0.25">
      <c r="A23686" t="s">
        <v>16</v>
      </c>
      <c r="B23686" t="s">
        <v>3221</v>
      </c>
      <c r="C23686">
        <v>6549</v>
      </c>
      <c r="D23686" t="s">
        <v>1977</v>
      </c>
      <c r="E23686" t="s">
        <v>1978</v>
      </c>
      <c r="F23686">
        <v>58.5</v>
      </c>
      <c r="G23686">
        <v>230512</v>
      </c>
      <c r="H23686">
        <v>4410</v>
      </c>
      <c r="I23686" t="s">
        <v>517</v>
      </c>
      <c r="J23686">
        <v>58.5</v>
      </c>
      <c r="K23686">
        <v>0</v>
      </c>
      <c r="L23686">
        <v>65452</v>
      </c>
      <c r="M23686" t="s">
        <v>1979</v>
      </c>
      <c r="N23686" t="str">
        <f>"86001182    "</f>
        <v xml:space="preserve">86001182    </v>
      </c>
      <c r="O23686">
        <v>230515</v>
      </c>
    </row>
    <row r="23687" spans="1:15" x14ac:dyDescent="0.25">
      <c r="A23687" t="s">
        <v>16</v>
      </c>
      <c r="B23687" t="s">
        <v>3221</v>
      </c>
      <c r="C23687">
        <v>6549</v>
      </c>
      <c r="D23687" t="s">
        <v>1977</v>
      </c>
      <c r="E23687" t="s">
        <v>1978</v>
      </c>
      <c r="F23687">
        <v>158.18</v>
      </c>
      <c r="G23687">
        <v>230512</v>
      </c>
      <c r="H23687">
        <v>4410</v>
      </c>
      <c r="I23687" t="s">
        <v>517</v>
      </c>
      <c r="J23687">
        <v>174</v>
      </c>
      <c r="K23687">
        <v>15.82</v>
      </c>
      <c r="L23687">
        <v>65452</v>
      </c>
      <c r="M23687" t="s">
        <v>1979</v>
      </c>
      <c r="N23687" t="str">
        <f>"86001182    "</f>
        <v xml:space="preserve">86001182    </v>
      </c>
      <c r="O23687">
        <v>230515</v>
      </c>
    </row>
    <row r="23688" spans="1:15" x14ac:dyDescent="0.25">
      <c r="A23688" t="s">
        <v>16</v>
      </c>
      <c r="B23688" t="s">
        <v>3221</v>
      </c>
      <c r="C23688">
        <v>6549</v>
      </c>
      <c r="D23688" t="s">
        <v>1977</v>
      </c>
      <c r="E23688" t="s">
        <v>1978</v>
      </c>
      <c r="F23688">
        <v>58.5</v>
      </c>
      <c r="G23688">
        <v>230512</v>
      </c>
      <c r="H23688">
        <v>4410</v>
      </c>
      <c r="I23688" t="s">
        <v>517</v>
      </c>
      <c r="J23688">
        <v>58.5</v>
      </c>
      <c r="K23688">
        <v>0</v>
      </c>
      <c r="L23688">
        <v>66722</v>
      </c>
      <c r="M23688" t="s">
        <v>518</v>
      </c>
      <c r="N23688" t="str">
        <f>"86001182    "</f>
        <v xml:space="preserve">86001182    </v>
      </c>
      <c r="O23688">
        <v>230515</v>
      </c>
    </row>
    <row r="23689" spans="1:15" x14ac:dyDescent="0.25">
      <c r="A23689" t="s">
        <v>16</v>
      </c>
      <c r="B23689" t="s">
        <v>3221</v>
      </c>
      <c r="C23689">
        <v>6549</v>
      </c>
      <c r="D23689" t="s">
        <v>1977</v>
      </c>
      <c r="E23689" t="s">
        <v>1978</v>
      </c>
      <c r="F23689">
        <v>158.18</v>
      </c>
      <c r="G23689">
        <v>230512</v>
      </c>
      <c r="H23689">
        <v>4410</v>
      </c>
      <c r="I23689" t="s">
        <v>517</v>
      </c>
      <c r="J23689">
        <v>174</v>
      </c>
      <c r="K23689">
        <v>15.82</v>
      </c>
      <c r="L23689">
        <v>66722</v>
      </c>
      <c r="M23689" t="s">
        <v>518</v>
      </c>
      <c r="N23689" t="str">
        <f>"86001182    "</f>
        <v xml:space="preserve">86001182    </v>
      </c>
      <c r="O23689">
        <v>230515</v>
      </c>
    </row>
    <row r="23690" spans="1:15" x14ac:dyDescent="0.25">
      <c r="A23690" t="s">
        <v>16</v>
      </c>
      <c r="B23690" t="s">
        <v>3221</v>
      </c>
      <c r="C23690">
        <v>6549</v>
      </c>
      <c r="D23690" t="s">
        <v>1977</v>
      </c>
      <c r="E23690" t="s">
        <v>1978</v>
      </c>
      <c r="F23690">
        <v>41.13</v>
      </c>
      <c r="G23690">
        <v>230512</v>
      </c>
      <c r="H23690">
        <v>4420</v>
      </c>
      <c r="I23690" t="s">
        <v>132</v>
      </c>
      <c r="J23690">
        <v>51</v>
      </c>
      <c r="K23690">
        <v>9.8699999999999992</v>
      </c>
      <c r="L23690">
        <v>65452</v>
      </c>
      <c r="M23690" t="s">
        <v>1979</v>
      </c>
      <c r="N23690" t="str">
        <f>"86001182    "</f>
        <v xml:space="preserve">86001182    </v>
      </c>
      <c r="O23690">
        <v>230515</v>
      </c>
    </row>
    <row r="23691" spans="1:15" x14ac:dyDescent="0.25">
      <c r="A23691" t="s">
        <v>16</v>
      </c>
      <c r="B23691" t="s">
        <v>3221</v>
      </c>
      <c r="C23691">
        <v>14055</v>
      </c>
      <c r="D23691" t="s">
        <v>2730</v>
      </c>
      <c r="E23691" t="s">
        <v>2731</v>
      </c>
      <c r="F23691">
        <v>128.16</v>
      </c>
      <c r="G23691">
        <v>231006</v>
      </c>
      <c r="H23691">
        <v>4343</v>
      </c>
      <c r="I23691" t="s">
        <v>91</v>
      </c>
      <c r="J23691">
        <v>158.91999999999999</v>
      </c>
      <c r="K23691">
        <v>30.76</v>
      </c>
      <c r="L23691">
        <v>61122</v>
      </c>
      <c r="M23691" t="s">
        <v>402</v>
      </c>
      <c r="N23691" t="str">
        <f>"1851        "</f>
        <v xml:space="preserve">1851        </v>
      </c>
      <c r="O23691">
        <v>231018</v>
      </c>
    </row>
    <row r="23692" spans="1:15" x14ac:dyDescent="0.25">
      <c r="A23692" t="s">
        <v>16</v>
      </c>
      <c r="B23692" t="s">
        <v>3221</v>
      </c>
      <c r="C23692">
        <v>254</v>
      </c>
      <c r="D23692" t="s">
        <v>381</v>
      </c>
      <c r="E23692" t="s">
        <v>382</v>
      </c>
      <c r="F23692">
        <v>35.159999999999997</v>
      </c>
      <c r="G23692">
        <v>230105</v>
      </c>
      <c r="H23692">
        <v>4580</v>
      </c>
      <c r="I23692" t="s">
        <v>35</v>
      </c>
      <c r="J23692">
        <v>43.6</v>
      </c>
      <c r="K23692">
        <v>8.44</v>
      </c>
      <c r="L23692">
        <v>54422</v>
      </c>
      <c r="M23692" t="s">
        <v>234</v>
      </c>
      <c r="N23692" t="str">
        <f>"123/12647   "</f>
        <v xml:space="preserve">123/12647   </v>
      </c>
      <c r="O23692">
        <v>230117</v>
      </c>
    </row>
    <row r="23693" spans="1:15" x14ac:dyDescent="0.25">
      <c r="A23693" t="s">
        <v>16</v>
      </c>
      <c r="B23693" t="s">
        <v>3221</v>
      </c>
      <c r="C23693">
        <v>402</v>
      </c>
      <c r="D23693" t="s">
        <v>381</v>
      </c>
      <c r="E23693" t="s">
        <v>382</v>
      </c>
      <c r="F23693">
        <v>53.64</v>
      </c>
      <c r="G23693">
        <v>230118</v>
      </c>
      <c r="H23693">
        <v>4510</v>
      </c>
      <c r="I23693" t="s">
        <v>42</v>
      </c>
      <c r="J23693">
        <v>59</v>
      </c>
      <c r="K23693">
        <v>5.36</v>
      </c>
      <c r="L23693">
        <v>58601</v>
      </c>
      <c r="M23693" t="s">
        <v>251</v>
      </c>
      <c r="N23693" t="str">
        <f>"123/13099   "</f>
        <v xml:space="preserve">123/13099   </v>
      </c>
      <c r="O23693">
        <v>230120</v>
      </c>
    </row>
    <row r="23694" spans="1:15" x14ac:dyDescent="0.25">
      <c r="A23694" t="s">
        <v>16</v>
      </c>
      <c r="B23694" t="s">
        <v>3221</v>
      </c>
      <c r="C23694">
        <v>525</v>
      </c>
      <c r="D23694" t="s">
        <v>381</v>
      </c>
      <c r="E23694" t="s">
        <v>382</v>
      </c>
      <c r="F23694">
        <v>268.18</v>
      </c>
      <c r="G23694">
        <v>230120</v>
      </c>
      <c r="H23694">
        <v>4510</v>
      </c>
      <c r="I23694" t="s">
        <v>42</v>
      </c>
      <c r="J23694">
        <v>295</v>
      </c>
      <c r="K23694">
        <v>26.82</v>
      </c>
      <c r="L23694">
        <v>58601</v>
      </c>
      <c r="M23694" t="s">
        <v>251</v>
      </c>
      <c r="N23694" t="str">
        <f>"123/13220   "</f>
        <v xml:space="preserve">123/13220   </v>
      </c>
      <c r="O23694">
        <v>230124</v>
      </c>
    </row>
    <row r="23695" spans="1:15" x14ac:dyDescent="0.25">
      <c r="A23695" t="s">
        <v>16</v>
      </c>
      <c r="B23695" t="s">
        <v>3221</v>
      </c>
      <c r="C23695">
        <v>2351</v>
      </c>
      <c r="D23695" t="s">
        <v>381</v>
      </c>
      <c r="E23695" t="s">
        <v>382</v>
      </c>
      <c r="F23695">
        <v>536.36</v>
      </c>
      <c r="G23695">
        <v>230217</v>
      </c>
      <c r="H23695">
        <v>4510</v>
      </c>
      <c r="I23695" t="s">
        <v>42</v>
      </c>
      <c r="J23695">
        <v>590</v>
      </c>
      <c r="K23695">
        <v>53.64</v>
      </c>
      <c r="L23695">
        <v>58601</v>
      </c>
      <c r="M23695" t="s">
        <v>251</v>
      </c>
      <c r="N23695" t="str">
        <f>"123/14164   "</f>
        <v xml:space="preserve">123/14164   </v>
      </c>
      <c r="O23695">
        <v>230224</v>
      </c>
    </row>
    <row r="23696" spans="1:15" x14ac:dyDescent="0.25">
      <c r="A23696" t="s">
        <v>16</v>
      </c>
      <c r="B23696" t="s">
        <v>3221</v>
      </c>
      <c r="C23696">
        <v>5728</v>
      </c>
      <c r="D23696" t="s">
        <v>381</v>
      </c>
      <c r="E23696" t="s">
        <v>382</v>
      </c>
      <c r="F23696">
        <v>7.27</v>
      </c>
      <c r="G23696">
        <v>230427</v>
      </c>
      <c r="H23696">
        <v>4510</v>
      </c>
      <c r="I23696" t="s">
        <v>42</v>
      </c>
      <c r="J23696">
        <v>8</v>
      </c>
      <c r="K23696">
        <v>0.73</v>
      </c>
      <c r="L23696">
        <v>58601</v>
      </c>
      <c r="M23696" t="s">
        <v>251</v>
      </c>
      <c r="N23696" t="str">
        <f>"124/684     "</f>
        <v xml:space="preserve">124/684     </v>
      </c>
      <c r="O23696">
        <v>230502</v>
      </c>
    </row>
    <row r="23697" spans="1:15" x14ac:dyDescent="0.25">
      <c r="A23697" t="s">
        <v>16</v>
      </c>
      <c r="B23697" t="s">
        <v>3221</v>
      </c>
      <c r="C23697">
        <v>12737</v>
      </c>
      <c r="D23697" t="s">
        <v>381</v>
      </c>
      <c r="E23697" t="s">
        <v>382</v>
      </c>
      <c r="F23697">
        <v>50</v>
      </c>
      <c r="G23697">
        <v>230922</v>
      </c>
      <c r="H23697">
        <v>4510</v>
      </c>
      <c r="I23697" t="s">
        <v>42</v>
      </c>
      <c r="J23697">
        <v>55</v>
      </c>
      <c r="K23697">
        <v>5</v>
      </c>
      <c r="L23697">
        <v>56565</v>
      </c>
      <c r="M23697" t="s">
        <v>758</v>
      </c>
      <c r="N23697" t="str">
        <f>"124/6486    "</f>
        <v xml:space="preserve">124/6486    </v>
      </c>
      <c r="O23697">
        <v>230925</v>
      </c>
    </row>
    <row r="23698" spans="1:15" x14ac:dyDescent="0.25">
      <c r="A23698" t="s">
        <v>16</v>
      </c>
      <c r="B23698" t="s">
        <v>3221</v>
      </c>
      <c r="C23698">
        <v>13709</v>
      </c>
      <c r="D23698" t="s">
        <v>381</v>
      </c>
      <c r="E23698" t="s">
        <v>382</v>
      </c>
      <c r="F23698">
        <v>280</v>
      </c>
      <c r="G23698">
        <v>231009</v>
      </c>
      <c r="H23698">
        <v>4510</v>
      </c>
      <c r="I23698" t="s">
        <v>42</v>
      </c>
      <c r="J23698">
        <v>280</v>
      </c>
      <c r="K23698">
        <v>0</v>
      </c>
      <c r="L23698">
        <v>56526</v>
      </c>
      <c r="M23698" t="s">
        <v>1217</v>
      </c>
      <c r="N23698" t="str">
        <f>"124/6995    "</f>
        <v xml:space="preserve">124/6995    </v>
      </c>
      <c r="O23698">
        <v>231012</v>
      </c>
    </row>
    <row r="23699" spans="1:15" x14ac:dyDescent="0.25">
      <c r="A23699" t="s">
        <v>16</v>
      </c>
      <c r="B23699" t="s">
        <v>3221</v>
      </c>
      <c r="C23699">
        <v>15409</v>
      </c>
      <c r="D23699" t="s">
        <v>381</v>
      </c>
      <c r="E23699" t="s">
        <v>382</v>
      </c>
      <c r="F23699">
        <v>450</v>
      </c>
      <c r="G23699">
        <v>231108</v>
      </c>
      <c r="H23699">
        <v>4510</v>
      </c>
      <c r="I23699" t="s">
        <v>42</v>
      </c>
      <c r="J23699">
        <v>495</v>
      </c>
      <c r="K23699">
        <v>45</v>
      </c>
      <c r="L23699">
        <v>56565</v>
      </c>
      <c r="M23699" t="s">
        <v>758</v>
      </c>
      <c r="N23699" t="str">
        <f>"124/7987    "</f>
        <v xml:space="preserve">124/7987    </v>
      </c>
      <c r="O23699">
        <v>231113</v>
      </c>
    </row>
    <row r="23700" spans="1:15" x14ac:dyDescent="0.25">
      <c r="A23700" t="s">
        <v>16</v>
      </c>
      <c r="B23700" t="s">
        <v>3221</v>
      </c>
      <c r="C23700">
        <v>10965</v>
      </c>
      <c r="D23700" t="s">
        <v>381</v>
      </c>
      <c r="E23700" t="s">
        <v>382</v>
      </c>
      <c r="F23700">
        <v>79.02</v>
      </c>
      <c r="G23700">
        <v>230824</v>
      </c>
      <c r="H23700">
        <v>4600</v>
      </c>
      <c r="I23700" t="s">
        <v>105</v>
      </c>
      <c r="J23700">
        <v>97.99</v>
      </c>
      <c r="K23700">
        <v>18.97</v>
      </c>
      <c r="L23700">
        <v>56522</v>
      </c>
      <c r="M23700" t="s">
        <v>43</v>
      </c>
      <c r="N23700" t="str">
        <f>"124/5479    "</f>
        <v xml:space="preserve">124/5479    </v>
      </c>
      <c r="O23700">
        <v>230825</v>
      </c>
    </row>
    <row r="23701" spans="1:15" x14ac:dyDescent="0.25">
      <c r="A23701" t="s">
        <v>16</v>
      </c>
      <c r="B23701" t="s">
        <v>3221</v>
      </c>
      <c r="C23701">
        <v>13709</v>
      </c>
      <c r="D23701" t="s">
        <v>381</v>
      </c>
      <c r="E23701" t="s">
        <v>382</v>
      </c>
      <c r="F23701">
        <v>14.95</v>
      </c>
      <c r="G23701">
        <v>231009</v>
      </c>
      <c r="H23701">
        <v>4600</v>
      </c>
      <c r="I23701" t="s">
        <v>105</v>
      </c>
      <c r="J23701">
        <v>14.95</v>
      </c>
      <c r="K23701">
        <v>0</v>
      </c>
      <c r="L23701">
        <v>56526</v>
      </c>
      <c r="M23701" t="s">
        <v>1217</v>
      </c>
      <c r="N23701" t="str">
        <f>"124/6995    "</f>
        <v xml:space="preserve">124/6995    </v>
      </c>
      <c r="O23701">
        <v>231012</v>
      </c>
    </row>
    <row r="23702" spans="1:15" x14ac:dyDescent="0.25">
      <c r="A23702" t="s">
        <v>16</v>
      </c>
      <c r="B23702" t="s">
        <v>3221</v>
      </c>
      <c r="C23702">
        <v>15409</v>
      </c>
      <c r="D23702" t="s">
        <v>381</v>
      </c>
      <c r="E23702" t="s">
        <v>382</v>
      </c>
      <c r="F23702">
        <v>26.9</v>
      </c>
      <c r="G23702">
        <v>231108</v>
      </c>
      <c r="H23702">
        <v>4600</v>
      </c>
      <c r="I23702" t="s">
        <v>105</v>
      </c>
      <c r="J23702">
        <v>33.36</v>
      </c>
      <c r="K23702">
        <v>6.46</v>
      </c>
      <c r="L23702">
        <v>56565</v>
      </c>
      <c r="M23702" t="s">
        <v>758</v>
      </c>
      <c r="N23702" t="str">
        <f>"124/7987    "</f>
        <v xml:space="preserve">124/7987    </v>
      </c>
      <c r="O23702">
        <v>231113</v>
      </c>
    </row>
    <row r="23703" spans="1:15" x14ac:dyDescent="0.25">
      <c r="A23703" t="s">
        <v>16</v>
      </c>
      <c r="B23703" t="s">
        <v>3221</v>
      </c>
      <c r="C23703">
        <v>3163</v>
      </c>
      <c r="D23703" t="s">
        <v>381</v>
      </c>
      <c r="E23703" t="s">
        <v>382</v>
      </c>
      <c r="F23703">
        <v>13.31</v>
      </c>
      <c r="G23703">
        <v>230308</v>
      </c>
      <c r="H23703">
        <v>4590</v>
      </c>
      <c r="I23703" t="s">
        <v>203</v>
      </c>
      <c r="J23703">
        <v>16.5</v>
      </c>
      <c r="K23703">
        <v>3.19</v>
      </c>
      <c r="L23703">
        <v>56522</v>
      </c>
      <c r="M23703" t="s">
        <v>43</v>
      </c>
      <c r="N23703" t="str">
        <f>"123/14747   "</f>
        <v xml:space="preserve">123/14747   </v>
      </c>
      <c r="O23703">
        <v>230309</v>
      </c>
    </row>
    <row r="23704" spans="1:15" x14ac:dyDescent="0.25">
      <c r="A23704" t="s">
        <v>16</v>
      </c>
      <c r="B23704" t="s">
        <v>3221</v>
      </c>
      <c r="C23704">
        <v>11182</v>
      </c>
      <c r="D23704" t="s">
        <v>381</v>
      </c>
      <c r="E23704" t="s">
        <v>382</v>
      </c>
      <c r="F23704">
        <v>26.37</v>
      </c>
      <c r="G23704">
        <v>230829</v>
      </c>
      <c r="H23704">
        <v>4590</v>
      </c>
      <c r="I23704" t="s">
        <v>203</v>
      </c>
      <c r="J23704">
        <v>32.700000000000003</v>
      </c>
      <c r="K23704">
        <v>6.33</v>
      </c>
      <c r="L23704">
        <v>56561</v>
      </c>
      <c r="M23704" t="s">
        <v>358</v>
      </c>
      <c r="N23704" t="str">
        <f>"124/5660    "</f>
        <v xml:space="preserve">124/5660    </v>
      </c>
      <c r="O23704">
        <v>230831</v>
      </c>
    </row>
    <row r="23705" spans="1:15" x14ac:dyDescent="0.25">
      <c r="A23705" t="s">
        <v>16</v>
      </c>
      <c r="B23705" t="s">
        <v>3221</v>
      </c>
      <c r="C23705">
        <v>2351</v>
      </c>
      <c r="D23705" t="s">
        <v>381</v>
      </c>
      <c r="E23705" t="s">
        <v>382</v>
      </c>
      <c r="F23705">
        <v>55.56</v>
      </c>
      <c r="G23705">
        <v>230217</v>
      </c>
      <c r="H23705">
        <v>4500</v>
      </c>
      <c r="I23705" t="s">
        <v>212</v>
      </c>
      <c r="J23705">
        <v>68.900000000000006</v>
      </c>
      <c r="K23705">
        <v>13.34</v>
      </c>
      <c r="L23705">
        <v>54422</v>
      </c>
      <c r="M23705" t="s">
        <v>234</v>
      </c>
      <c r="N23705" t="str">
        <f>"123/14164   "</f>
        <v xml:space="preserve">123/14164   </v>
      </c>
      <c r="O23705">
        <v>230224</v>
      </c>
    </row>
    <row r="23706" spans="1:15" x14ac:dyDescent="0.25">
      <c r="A23706" t="s">
        <v>16</v>
      </c>
      <c r="B23706" t="s">
        <v>3221</v>
      </c>
      <c r="C23706">
        <v>2351</v>
      </c>
      <c r="D23706" t="s">
        <v>381</v>
      </c>
      <c r="E23706" t="s">
        <v>382</v>
      </c>
      <c r="F23706">
        <v>35.56</v>
      </c>
      <c r="G23706">
        <v>230217</v>
      </c>
      <c r="H23706">
        <v>4500</v>
      </c>
      <c r="I23706" t="s">
        <v>212</v>
      </c>
      <c r="J23706">
        <v>44.1</v>
      </c>
      <c r="K23706">
        <v>8.5399999999999991</v>
      </c>
      <c r="L23706">
        <v>56564</v>
      </c>
      <c r="M23706" t="s">
        <v>327</v>
      </c>
      <c r="N23706" t="str">
        <f>"123/14164   "</f>
        <v xml:space="preserve">123/14164   </v>
      </c>
      <c r="O23706">
        <v>230224</v>
      </c>
    </row>
    <row r="23707" spans="1:15" x14ac:dyDescent="0.25">
      <c r="A23707" t="s">
        <v>16</v>
      </c>
      <c r="B23707" t="s">
        <v>3221</v>
      </c>
      <c r="C23707">
        <v>4832</v>
      </c>
      <c r="D23707" t="s">
        <v>381</v>
      </c>
      <c r="E23707" t="s">
        <v>382</v>
      </c>
      <c r="F23707">
        <v>18.100000000000001</v>
      </c>
      <c r="G23707">
        <v>230331</v>
      </c>
      <c r="H23707">
        <v>4500</v>
      </c>
      <c r="I23707" t="s">
        <v>212</v>
      </c>
      <c r="J23707">
        <v>22.45</v>
      </c>
      <c r="K23707">
        <v>4.3499999999999996</v>
      </c>
      <c r="L23707">
        <v>54252</v>
      </c>
      <c r="M23707" t="s">
        <v>534</v>
      </c>
      <c r="N23707" t="str">
        <f>"123/15401   "</f>
        <v xml:space="preserve">123/15401   </v>
      </c>
      <c r="O23707">
        <v>230413</v>
      </c>
    </row>
    <row r="23708" spans="1:15" x14ac:dyDescent="0.25">
      <c r="A23708" t="s">
        <v>16</v>
      </c>
      <c r="B23708" t="s">
        <v>3221</v>
      </c>
      <c r="C23708">
        <v>11019</v>
      </c>
      <c r="D23708" t="s">
        <v>381</v>
      </c>
      <c r="E23708" t="s">
        <v>382</v>
      </c>
      <c r="F23708">
        <v>44.35</v>
      </c>
      <c r="G23708">
        <v>230825</v>
      </c>
      <c r="H23708">
        <v>4500</v>
      </c>
      <c r="I23708" t="s">
        <v>212</v>
      </c>
      <c r="J23708">
        <v>55</v>
      </c>
      <c r="K23708">
        <v>10.65</v>
      </c>
      <c r="L23708">
        <v>56565</v>
      </c>
      <c r="M23708" t="s">
        <v>758</v>
      </c>
      <c r="N23708" t="str">
        <f>"124/5528    "</f>
        <v xml:space="preserve">124/5528    </v>
      </c>
      <c r="O23708">
        <v>230828</v>
      </c>
    </row>
    <row r="23709" spans="1:15" x14ac:dyDescent="0.25">
      <c r="A23709" t="s">
        <v>16</v>
      </c>
      <c r="B23709" t="s">
        <v>3221</v>
      </c>
      <c r="C23709">
        <v>16816</v>
      </c>
      <c r="D23709" t="s">
        <v>381</v>
      </c>
      <c r="E23709" t="s">
        <v>382</v>
      </c>
      <c r="F23709">
        <v>11.69</v>
      </c>
      <c r="G23709">
        <v>231130</v>
      </c>
      <c r="H23709">
        <v>4500</v>
      </c>
      <c r="I23709" t="s">
        <v>212</v>
      </c>
      <c r="J23709">
        <v>14.5</v>
      </c>
      <c r="K23709">
        <v>2.81</v>
      </c>
      <c r="L23709">
        <v>56565</v>
      </c>
      <c r="M23709" t="s">
        <v>758</v>
      </c>
      <c r="N23709" t="str">
        <f>"124/8961    "</f>
        <v xml:space="preserve">124/8961    </v>
      </c>
      <c r="O23709">
        <v>231211</v>
      </c>
    </row>
    <row r="23710" spans="1:15" x14ac:dyDescent="0.25">
      <c r="A23710" t="s">
        <v>16</v>
      </c>
      <c r="B23710" t="s">
        <v>3221</v>
      </c>
      <c r="C23710">
        <v>13208</v>
      </c>
      <c r="D23710" t="s">
        <v>1906</v>
      </c>
      <c r="E23710" t="s">
        <v>1907</v>
      </c>
      <c r="F23710">
        <v>438</v>
      </c>
      <c r="G23710">
        <v>230924</v>
      </c>
      <c r="H23710">
        <v>4600</v>
      </c>
      <c r="I23710" t="s">
        <v>105</v>
      </c>
      <c r="J23710">
        <v>543.12</v>
      </c>
      <c r="K23710">
        <v>105.12</v>
      </c>
      <c r="L23710">
        <v>56551</v>
      </c>
      <c r="M23710" t="s">
        <v>619</v>
      </c>
      <c r="N23710" t="str">
        <f>"35230       "</f>
        <v xml:space="preserve">35230       </v>
      </c>
      <c r="O23710">
        <v>231005</v>
      </c>
    </row>
    <row r="23711" spans="1:15" x14ac:dyDescent="0.25">
      <c r="A23711" t="s">
        <v>16</v>
      </c>
      <c r="B23711" t="s">
        <v>3221</v>
      </c>
      <c r="C23711">
        <v>17967</v>
      </c>
      <c r="D23711" t="s">
        <v>1906</v>
      </c>
      <c r="E23711" t="s">
        <v>1907</v>
      </c>
      <c r="F23711">
        <v>1757.85</v>
      </c>
      <c r="G23711">
        <v>231215</v>
      </c>
      <c r="H23711">
        <v>4350</v>
      </c>
      <c r="I23711" t="s">
        <v>546</v>
      </c>
      <c r="J23711">
        <v>2179.73</v>
      </c>
      <c r="K23711">
        <v>421.88</v>
      </c>
      <c r="L23711">
        <v>11301</v>
      </c>
      <c r="M23711" t="s">
        <v>29</v>
      </c>
      <c r="N23711" t="str">
        <f>"35451       "</f>
        <v xml:space="preserve">35451       </v>
      </c>
      <c r="O23711">
        <v>231228</v>
      </c>
    </row>
    <row r="23712" spans="1:15" x14ac:dyDescent="0.25">
      <c r="A23712" t="s">
        <v>16</v>
      </c>
      <c r="B23712" t="s">
        <v>3221</v>
      </c>
      <c r="C23712">
        <v>18016</v>
      </c>
      <c r="D23712" t="s">
        <v>1906</v>
      </c>
      <c r="E23712" t="s">
        <v>1907</v>
      </c>
      <c r="F23712">
        <v>1285</v>
      </c>
      <c r="G23712">
        <v>231217</v>
      </c>
      <c r="H23712">
        <v>4350</v>
      </c>
      <c r="I23712" t="s">
        <v>546</v>
      </c>
      <c r="J23712">
        <v>1593.4</v>
      </c>
      <c r="K23712">
        <v>308.39999999999998</v>
      </c>
      <c r="L23712">
        <v>11301</v>
      </c>
      <c r="M23712" t="s">
        <v>29</v>
      </c>
      <c r="N23712" t="str">
        <f>"35453       "</f>
        <v xml:space="preserve">35453       </v>
      </c>
      <c r="O23712">
        <v>231228</v>
      </c>
    </row>
    <row r="23713" spans="1:15" x14ac:dyDescent="0.25">
      <c r="A23713" t="s">
        <v>16</v>
      </c>
      <c r="B23713" t="s">
        <v>3221</v>
      </c>
      <c r="C23713">
        <v>16348</v>
      </c>
      <c r="D23713" t="s">
        <v>1906</v>
      </c>
      <c r="E23713" t="s">
        <v>1907</v>
      </c>
      <c r="F23713">
        <v>414.65</v>
      </c>
      <c r="G23713">
        <v>231126</v>
      </c>
      <c r="H23713">
        <v>4590</v>
      </c>
      <c r="I23713" t="s">
        <v>203</v>
      </c>
      <c r="J23713">
        <v>514.16</v>
      </c>
      <c r="K23713">
        <v>99.51</v>
      </c>
      <c r="L23713">
        <v>56522</v>
      </c>
      <c r="M23713" t="s">
        <v>43</v>
      </c>
      <c r="N23713" t="str">
        <f>"35411       "</f>
        <v xml:space="preserve">35411       </v>
      </c>
      <c r="O23713">
        <v>231128</v>
      </c>
    </row>
    <row r="23714" spans="1:15" x14ac:dyDescent="0.25">
      <c r="A23714" t="s">
        <v>16</v>
      </c>
      <c r="B23714" t="s">
        <v>3221</v>
      </c>
      <c r="C23714">
        <v>5828</v>
      </c>
      <c r="D23714" t="s">
        <v>1906</v>
      </c>
      <c r="E23714" t="s">
        <v>1907</v>
      </c>
      <c r="F23714">
        <v>500.23</v>
      </c>
      <c r="G23714">
        <v>230429</v>
      </c>
      <c r="H23714">
        <v>4500</v>
      </c>
      <c r="I23714" t="s">
        <v>212</v>
      </c>
      <c r="J23714">
        <v>620.29</v>
      </c>
      <c r="K23714">
        <v>120.06</v>
      </c>
      <c r="L23714">
        <v>17971</v>
      </c>
      <c r="M23714" t="s">
        <v>138</v>
      </c>
      <c r="N23714" t="str">
        <f>"34947       "</f>
        <v xml:space="preserve">34947       </v>
      </c>
      <c r="O23714">
        <v>230503</v>
      </c>
    </row>
    <row r="23715" spans="1:15" x14ac:dyDescent="0.25">
      <c r="A23715" t="s">
        <v>16</v>
      </c>
      <c r="B23715" t="s">
        <v>3221</v>
      </c>
      <c r="C23715">
        <v>6573</v>
      </c>
      <c r="D23715" t="s">
        <v>1906</v>
      </c>
      <c r="E23715" t="s">
        <v>1907</v>
      </c>
      <c r="F23715">
        <v>188.4</v>
      </c>
      <c r="G23715">
        <v>230512</v>
      </c>
      <c r="H23715">
        <v>4500</v>
      </c>
      <c r="I23715" t="s">
        <v>212</v>
      </c>
      <c r="J23715">
        <v>233.62</v>
      </c>
      <c r="K23715">
        <v>45.22</v>
      </c>
      <c r="L23715">
        <v>59702</v>
      </c>
      <c r="M23715" t="s">
        <v>328</v>
      </c>
      <c r="N23715" t="str">
        <f>"34983       "</f>
        <v xml:space="preserve">34983       </v>
      </c>
      <c r="O23715">
        <v>230515</v>
      </c>
    </row>
    <row r="23716" spans="1:15" x14ac:dyDescent="0.25">
      <c r="A23716" t="s">
        <v>16</v>
      </c>
      <c r="B23716" t="s">
        <v>3221</v>
      </c>
      <c r="C23716">
        <v>6724</v>
      </c>
      <c r="D23716" t="s">
        <v>1906</v>
      </c>
      <c r="E23716" t="s">
        <v>1907</v>
      </c>
      <c r="F23716">
        <v>262.8</v>
      </c>
      <c r="G23716">
        <v>230507</v>
      </c>
      <c r="H23716">
        <v>4500</v>
      </c>
      <c r="I23716" t="s">
        <v>212</v>
      </c>
      <c r="J23716">
        <v>325.87</v>
      </c>
      <c r="K23716">
        <v>63.07</v>
      </c>
      <c r="L23716">
        <v>14971</v>
      </c>
      <c r="M23716" t="s">
        <v>1259</v>
      </c>
      <c r="N23716" t="str">
        <f>"34982       "</f>
        <v xml:space="preserve">34982       </v>
      </c>
      <c r="O23716">
        <v>230522</v>
      </c>
    </row>
    <row r="23717" spans="1:15" x14ac:dyDescent="0.25">
      <c r="A23717" t="s">
        <v>16</v>
      </c>
      <c r="B23717" t="s">
        <v>3221</v>
      </c>
      <c r="C23717">
        <v>6724</v>
      </c>
      <c r="D23717" t="s">
        <v>1906</v>
      </c>
      <c r="E23717" t="s">
        <v>1907</v>
      </c>
      <c r="F23717">
        <v>262.8</v>
      </c>
      <c r="G23717">
        <v>230507</v>
      </c>
      <c r="H23717">
        <v>4500</v>
      </c>
      <c r="I23717" t="s">
        <v>212</v>
      </c>
      <c r="J23717">
        <v>325.87</v>
      </c>
      <c r="K23717">
        <v>63.07</v>
      </c>
      <c r="L23717">
        <v>18971</v>
      </c>
      <c r="M23717" t="s">
        <v>63</v>
      </c>
      <c r="N23717" t="str">
        <f>"34982       "</f>
        <v xml:space="preserve">34982       </v>
      </c>
      <c r="O23717">
        <v>230522</v>
      </c>
    </row>
    <row r="23718" spans="1:15" x14ac:dyDescent="0.25">
      <c r="A23718" t="s">
        <v>16</v>
      </c>
      <c r="B23718" t="s">
        <v>3221</v>
      </c>
      <c r="C23718">
        <v>10383</v>
      </c>
      <c r="D23718" t="s">
        <v>1906</v>
      </c>
      <c r="E23718" t="s">
        <v>1907</v>
      </c>
      <c r="F23718">
        <v>47.1</v>
      </c>
      <c r="G23718">
        <v>230813</v>
      </c>
      <c r="H23718">
        <v>4500</v>
      </c>
      <c r="I23718" t="s">
        <v>212</v>
      </c>
      <c r="J23718">
        <v>58.4</v>
      </c>
      <c r="K23718">
        <v>11.3</v>
      </c>
      <c r="L23718">
        <v>69702</v>
      </c>
      <c r="M23718" t="s">
        <v>489</v>
      </c>
      <c r="N23718" t="str">
        <f>"35143       "</f>
        <v xml:space="preserve">35143       </v>
      </c>
      <c r="O23718">
        <v>230815</v>
      </c>
    </row>
    <row r="23719" spans="1:15" x14ac:dyDescent="0.25">
      <c r="A23719" t="s">
        <v>16</v>
      </c>
      <c r="B23719" t="s">
        <v>3221</v>
      </c>
      <c r="C23719">
        <v>10383</v>
      </c>
      <c r="D23719" t="s">
        <v>1906</v>
      </c>
      <c r="E23719" t="s">
        <v>1907</v>
      </c>
      <c r="F23719">
        <v>141.31</v>
      </c>
      <c r="G23719">
        <v>230813</v>
      </c>
      <c r="H23719">
        <v>4500</v>
      </c>
      <c r="I23719" t="s">
        <v>212</v>
      </c>
      <c r="J23719">
        <v>175.22</v>
      </c>
      <c r="K23719">
        <v>33.909999999999997</v>
      </c>
      <c r="L23719">
        <v>69704</v>
      </c>
      <c r="M23719" t="s">
        <v>325</v>
      </c>
      <c r="N23719" t="str">
        <f>"35143       "</f>
        <v xml:space="preserve">35143       </v>
      </c>
      <c r="O23719">
        <v>230815</v>
      </c>
    </row>
    <row r="23720" spans="1:15" x14ac:dyDescent="0.25">
      <c r="A23720" t="s">
        <v>16</v>
      </c>
      <c r="B23720" t="s">
        <v>3221</v>
      </c>
      <c r="C23720">
        <v>11388</v>
      </c>
      <c r="D23720" t="s">
        <v>1906</v>
      </c>
      <c r="E23720" t="s">
        <v>1907</v>
      </c>
      <c r="F23720">
        <v>534</v>
      </c>
      <c r="G23720">
        <v>230831</v>
      </c>
      <c r="H23720">
        <v>4500</v>
      </c>
      <c r="I23720" t="s">
        <v>212</v>
      </c>
      <c r="J23720">
        <v>662.16</v>
      </c>
      <c r="K23720">
        <v>128.16</v>
      </c>
      <c r="L23720">
        <v>49702</v>
      </c>
      <c r="M23720" t="s">
        <v>584</v>
      </c>
      <c r="N23720" t="str">
        <f>"35179       "</f>
        <v xml:space="preserve">35179       </v>
      </c>
      <c r="O23720">
        <v>230905</v>
      </c>
    </row>
    <row r="23721" spans="1:15" x14ac:dyDescent="0.25">
      <c r="A23721" t="s">
        <v>16</v>
      </c>
      <c r="B23721" t="s">
        <v>3221</v>
      </c>
      <c r="C23721">
        <v>15076</v>
      </c>
      <c r="D23721" t="s">
        <v>1906</v>
      </c>
      <c r="E23721" t="s">
        <v>1907</v>
      </c>
      <c r="F23721">
        <v>83.7</v>
      </c>
      <c r="G23721">
        <v>231104</v>
      </c>
      <c r="H23721">
        <v>4500</v>
      </c>
      <c r="I23721" t="s">
        <v>212</v>
      </c>
      <c r="J23721">
        <v>103.79</v>
      </c>
      <c r="K23721">
        <v>20.09</v>
      </c>
      <c r="L23721">
        <v>56564</v>
      </c>
      <c r="M23721" t="s">
        <v>327</v>
      </c>
      <c r="N23721" t="str">
        <f>"35382       "</f>
        <v xml:space="preserve">35382       </v>
      </c>
      <c r="O23721">
        <v>231108</v>
      </c>
    </row>
    <row r="23722" spans="1:15" x14ac:dyDescent="0.25">
      <c r="A23722" t="s">
        <v>16</v>
      </c>
      <c r="B23722" t="s">
        <v>3221</v>
      </c>
      <c r="C23722">
        <v>15370</v>
      </c>
      <c r="D23722" t="s">
        <v>1906</v>
      </c>
      <c r="E23722" t="s">
        <v>1907</v>
      </c>
      <c r="F23722">
        <v>188.4</v>
      </c>
      <c r="G23722">
        <v>231104</v>
      </c>
      <c r="H23722">
        <v>4500</v>
      </c>
      <c r="I23722" t="s">
        <v>212</v>
      </c>
      <c r="J23722">
        <v>233.62</v>
      </c>
      <c r="K23722">
        <v>45.22</v>
      </c>
      <c r="L23722">
        <v>14972</v>
      </c>
      <c r="M23722" t="s">
        <v>898</v>
      </c>
      <c r="N23722" t="str">
        <f>"35380       "</f>
        <v xml:space="preserve">35380       </v>
      </c>
      <c r="O23722">
        <v>231113</v>
      </c>
    </row>
    <row r="23723" spans="1:15" x14ac:dyDescent="0.25">
      <c r="A23723" t="s">
        <v>16</v>
      </c>
      <c r="B23723" t="s">
        <v>3221</v>
      </c>
      <c r="C23723">
        <v>15370</v>
      </c>
      <c r="D23723" t="s">
        <v>1906</v>
      </c>
      <c r="E23723" t="s">
        <v>1907</v>
      </c>
      <c r="F23723">
        <v>188.4</v>
      </c>
      <c r="G23723">
        <v>231104</v>
      </c>
      <c r="H23723">
        <v>4500</v>
      </c>
      <c r="I23723" t="s">
        <v>212</v>
      </c>
      <c r="J23723">
        <v>233.61</v>
      </c>
      <c r="K23723">
        <v>45.21</v>
      </c>
      <c r="L23723">
        <v>18972</v>
      </c>
      <c r="M23723" t="s">
        <v>163</v>
      </c>
      <c r="N23723" t="str">
        <f>"35380       "</f>
        <v xml:space="preserve">35380       </v>
      </c>
      <c r="O23723">
        <v>231113</v>
      </c>
    </row>
    <row r="23724" spans="1:15" x14ac:dyDescent="0.25">
      <c r="A23724" t="s">
        <v>16</v>
      </c>
      <c r="B23724" t="s">
        <v>3221</v>
      </c>
      <c r="C23724">
        <v>4045</v>
      </c>
      <c r="D23724" t="s">
        <v>609</v>
      </c>
      <c r="E23724" t="s">
        <v>610</v>
      </c>
      <c r="F23724">
        <v>6.08</v>
      </c>
      <c r="G23724">
        <v>230329</v>
      </c>
      <c r="H23724">
        <v>4580</v>
      </c>
      <c r="I23724" t="s">
        <v>35</v>
      </c>
      <c r="J23724">
        <v>7.54</v>
      </c>
      <c r="K23724">
        <v>1.46</v>
      </c>
      <c r="L23724">
        <v>56565</v>
      </c>
      <c r="M23724" t="s">
        <v>758</v>
      </c>
      <c r="N23724" t="str">
        <f>"44413       "</f>
        <v xml:space="preserve">44413       </v>
      </c>
      <c r="O23724">
        <v>230329</v>
      </c>
    </row>
    <row r="23725" spans="1:15" x14ac:dyDescent="0.25">
      <c r="A23725" t="s">
        <v>16</v>
      </c>
      <c r="B23725" t="s">
        <v>3221</v>
      </c>
      <c r="C23725">
        <v>10940</v>
      </c>
      <c r="D23725" t="s">
        <v>609</v>
      </c>
      <c r="E23725" t="s">
        <v>610</v>
      </c>
      <c r="F23725">
        <v>4088.48</v>
      </c>
      <c r="G23725">
        <v>230824</v>
      </c>
      <c r="H23725">
        <v>1197</v>
      </c>
      <c r="I23725" t="s">
        <v>868</v>
      </c>
      <c r="J23725">
        <v>4088.48</v>
      </c>
      <c r="K23725">
        <v>0</v>
      </c>
      <c r="L23725">
        <v>95501</v>
      </c>
      <c r="M23725" t="s">
        <v>623</v>
      </c>
      <c r="N23725" t="str">
        <f>"45420       "</f>
        <v xml:space="preserve">45420       </v>
      </c>
      <c r="O23725">
        <v>230825</v>
      </c>
    </row>
    <row r="23726" spans="1:15" x14ac:dyDescent="0.25">
      <c r="A23726" t="s">
        <v>16</v>
      </c>
      <c r="B23726" t="s">
        <v>3221</v>
      </c>
      <c r="C23726">
        <v>17293</v>
      </c>
      <c r="D23726" t="s">
        <v>609</v>
      </c>
      <c r="E23726" t="s">
        <v>610</v>
      </c>
      <c r="F23726">
        <v>254</v>
      </c>
      <c r="G23726">
        <v>231208</v>
      </c>
      <c r="H23726">
        <v>4400</v>
      </c>
      <c r="I23726" t="s">
        <v>348</v>
      </c>
      <c r="J23726">
        <v>314.95999999999998</v>
      </c>
      <c r="K23726">
        <v>60.96</v>
      </c>
      <c r="L23726">
        <v>59501</v>
      </c>
      <c r="M23726" t="s">
        <v>69</v>
      </c>
      <c r="N23726" t="str">
        <f>"46312       "</f>
        <v xml:space="preserve">46312       </v>
      </c>
      <c r="O23726">
        <v>231212</v>
      </c>
    </row>
    <row r="23727" spans="1:15" x14ac:dyDescent="0.25">
      <c r="A23727" t="s">
        <v>16</v>
      </c>
      <c r="B23727" t="s">
        <v>3221</v>
      </c>
      <c r="C23727">
        <v>17448</v>
      </c>
      <c r="D23727" t="s">
        <v>609</v>
      </c>
      <c r="E23727" t="s">
        <v>610</v>
      </c>
      <c r="F23727">
        <v>973.49</v>
      </c>
      <c r="G23727">
        <v>231213</v>
      </c>
      <c r="H23727">
        <v>4400</v>
      </c>
      <c r="I23727" t="s">
        <v>348</v>
      </c>
      <c r="J23727">
        <v>1207.1300000000001</v>
      </c>
      <c r="K23727">
        <v>233.64</v>
      </c>
      <c r="L23727">
        <v>59501</v>
      </c>
      <c r="M23727" t="s">
        <v>69</v>
      </c>
      <c r="N23727" t="str">
        <f>"46351       "</f>
        <v xml:space="preserve">46351       </v>
      </c>
      <c r="O23727">
        <v>231214</v>
      </c>
    </row>
    <row r="23728" spans="1:15" x14ac:dyDescent="0.25">
      <c r="A23728" t="s">
        <v>16</v>
      </c>
      <c r="B23728" t="s">
        <v>3221</v>
      </c>
      <c r="C23728">
        <v>18756</v>
      </c>
      <c r="D23728" t="s">
        <v>609</v>
      </c>
      <c r="E23728" t="s">
        <v>610</v>
      </c>
      <c r="F23728">
        <v>1079.81</v>
      </c>
      <c r="G23728">
        <v>231222</v>
      </c>
      <c r="H23728">
        <v>4400</v>
      </c>
      <c r="I23728" t="s">
        <v>348</v>
      </c>
      <c r="J23728">
        <v>1338.96</v>
      </c>
      <c r="K23728">
        <v>259.14999999999998</v>
      </c>
      <c r="L23728">
        <v>54451</v>
      </c>
      <c r="M23728" t="s">
        <v>158</v>
      </c>
      <c r="N23728" t="str">
        <f>"46444       "</f>
        <v xml:space="preserve">46444       </v>
      </c>
      <c r="O23728">
        <v>240105</v>
      </c>
    </row>
    <row r="23729" spans="1:15" x14ac:dyDescent="0.25">
      <c r="A23729" t="s">
        <v>16</v>
      </c>
      <c r="B23729" t="s">
        <v>3221</v>
      </c>
      <c r="C23729">
        <v>18939</v>
      </c>
      <c r="D23729" t="s">
        <v>609</v>
      </c>
      <c r="E23729" t="s">
        <v>610</v>
      </c>
      <c r="F23729">
        <v>1644.9</v>
      </c>
      <c r="G23729">
        <v>231228</v>
      </c>
      <c r="H23729">
        <v>4400</v>
      </c>
      <c r="I23729" t="s">
        <v>348</v>
      </c>
      <c r="J23729">
        <v>2039.67</v>
      </c>
      <c r="K23729">
        <v>394.77</v>
      </c>
      <c r="L23729">
        <v>56561</v>
      </c>
      <c r="M23729" t="s">
        <v>358</v>
      </c>
      <c r="N23729" t="str">
        <f>"46493       "</f>
        <v xml:space="preserve">46493       </v>
      </c>
      <c r="O23729">
        <v>240109</v>
      </c>
    </row>
    <row r="23730" spans="1:15" x14ac:dyDescent="0.25">
      <c r="A23730" t="s">
        <v>16</v>
      </c>
      <c r="B23730" t="s">
        <v>3221</v>
      </c>
      <c r="C23730">
        <v>18939</v>
      </c>
      <c r="D23730" t="s">
        <v>609</v>
      </c>
      <c r="E23730" t="s">
        <v>610</v>
      </c>
      <c r="F23730">
        <v>1352.1</v>
      </c>
      <c r="G23730">
        <v>231228</v>
      </c>
      <c r="H23730">
        <v>4400</v>
      </c>
      <c r="I23730" t="s">
        <v>348</v>
      </c>
      <c r="J23730">
        <v>1676.61</v>
      </c>
      <c r="K23730">
        <v>324.51</v>
      </c>
      <c r="L23730">
        <v>56564</v>
      </c>
      <c r="M23730" t="s">
        <v>327</v>
      </c>
      <c r="N23730" t="str">
        <f>"46493       "</f>
        <v xml:space="preserve">46493       </v>
      </c>
      <c r="O23730">
        <v>240109</v>
      </c>
    </row>
    <row r="23731" spans="1:15" x14ac:dyDescent="0.25">
      <c r="A23731" t="s">
        <v>16</v>
      </c>
      <c r="B23731" t="s">
        <v>3221</v>
      </c>
      <c r="C23731">
        <v>18939</v>
      </c>
      <c r="D23731" t="s">
        <v>609</v>
      </c>
      <c r="E23731" t="s">
        <v>610</v>
      </c>
      <c r="F23731">
        <v>47</v>
      </c>
      <c r="G23731">
        <v>231228</v>
      </c>
      <c r="H23731">
        <v>4400</v>
      </c>
      <c r="I23731" t="s">
        <v>348</v>
      </c>
      <c r="J23731">
        <v>58.28</v>
      </c>
      <c r="K23731">
        <v>11.28</v>
      </c>
      <c r="L23731">
        <v>59501</v>
      </c>
      <c r="M23731" t="s">
        <v>69</v>
      </c>
      <c r="N23731" t="str">
        <f>"46493       "</f>
        <v xml:space="preserve">46493       </v>
      </c>
      <c r="O23731">
        <v>240109</v>
      </c>
    </row>
    <row r="23732" spans="1:15" x14ac:dyDescent="0.25">
      <c r="A23732" t="s">
        <v>16</v>
      </c>
      <c r="B23732" t="s">
        <v>3221</v>
      </c>
      <c r="C23732">
        <v>1582</v>
      </c>
      <c r="D23732" t="s">
        <v>609</v>
      </c>
      <c r="E23732" t="s">
        <v>610</v>
      </c>
      <c r="F23732">
        <v>388.29</v>
      </c>
      <c r="G23732">
        <v>230126</v>
      </c>
      <c r="H23732">
        <v>4600</v>
      </c>
      <c r="I23732" t="s">
        <v>105</v>
      </c>
      <c r="J23732">
        <v>481.48</v>
      </c>
      <c r="K23732">
        <v>93.19</v>
      </c>
      <c r="L23732">
        <v>56560</v>
      </c>
      <c r="M23732" t="s">
        <v>654</v>
      </c>
      <c r="N23732" t="str">
        <f>"43914       "</f>
        <v xml:space="preserve">43914       </v>
      </c>
      <c r="O23732">
        <v>230210</v>
      </c>
    </row>
    <row r="23733" spans="1:15" x14ac:dyDescent="0.25">
      <c r="A23733" t="s">
        <v>16</v>
      </c>
      <c r="B23733" t="s">
        <v>3221</v>
      </c>
      <c r="C23733">
        <v>3388</v>
      </c>
      <c r="D23733" t="s">
        <v>609</v>
      </c>
      <c r="E23733" t="s">
        <v>610</v>
      </c>
      <c r="F23733">
        <v>594</v>
      </c>
      <c r="G23733">
        <v>230225</v>
      </c>
      <c r="H23733">
        <v>4600</v>
      </c>
      <c r="I23733" t="s">
        <v>105</v>
      </c>
      <c r="J23733">
        <v>736.56</v>
      </c>
      <c r="K23733">
        <v>142.56</v>
      </c>
      <c r="L23733">
        <v>56560</v>
      </c>
      <c r="M23733" t="s">
        <v>654</v>
      </c>
      <c r="N23733" t="str">
        <f>"44194       "</f>
        <v xml:space="preserve">44194       </v>
      </c>
      <c r="O23733">
        <v>230315</v>
      </c>
    </row>
    <row r="23734" spans="1:15" x14ac:dyDescent="0.25">
      <c r="A23734" t="s">
        <v>16</v>
      </c>
      <c r="B23734" t="s">
        <v>3221</v>
      </c>
      <c r="C23734">
        <v>3388</v>
      </c>
      <c r="D23734" t="s">
        <v>609</v>
      </c>
      <c r="E23734" t="s">
        <v>610</v>
      </c>
      <c r="F23734">
        <v>26.67</v>
      </c>
      <c r="G23734">
        <v>230225</v>
      </c>
      <c r="H23734">
        <v>4600</v>
      </c>
      <c r="I23734" t="s">
        <v>105</v>
      </c>
      <c r="J23734">
        <v>33.07</v>
      </c>
      <c r="K23734">
        <v>6.4</v>
      </c>
      <c r="L23734">
        <v>56571</v>
      </c>
      <c r="M23734" t="s">
        <v>204</v>
      </c>
      <c r="N23734" t="str">
        <f>"44194       "</f>
        <v xml:space="preserve">44194       </v>
      </c>
      <c r="O23734">
        <v>230315</v>
      </c>
    </row>
    <row r="23735" spans="1:15" x14ac:dyDescent="0.25">
      <c r="A23735" t="s">
        <v>16</v>
      </c>
      <c r="B23735" t="s">
        <v>3221</v>
      </c>
      <c r="C23735">
        <v>3388</v>
      </c>
      <c r="D23735" t="s">
        <v>609</v>
      </c>
      <c r="E23735" t="s">
        <v>610</v>
      </c>
      <c r="F23735">
        <v>71.75</v>
      </c>
      <c r="G23735">
        <v>230225</v>
      </c>
      <c r="H23735">
        <v>4600</v>
      </c>
      <c r="I23735" t="s">
        <v>105</v>
      </c>
      <c r="J23735">
        <v>88.97</v>
      </c>
      <c r="K23735">
        <v>17.22</v>
      </c>
      <c r="L23735">
        <v>59504</v>
      </c>
      <c r="M23735" t="s">
        <v>71</v>
      </c>
      <c r="N23735" t="str">
        <f>"44194       "</f>
        <v xml:space="preserve">44194       </v>
      </c>
      <c r="O23735">
        <v>230315</v>
      </c>
    </row>
    <row r="23736" spans="1:15" x14ac:dyDescent="0.25">
      <c r="A23736" t="s">
        <v>16</v>
      </c>
      <c r="B23736" t="s">
        <v>3221</v>
      </c>
      <c r="C23736">
        <v>3862</v>
      </c>
      <c r="D23736" t="s">
        <v>609</v>
      </c>
      <c r="E23736" t="s">
        <v>610</v>
      </c>
      <c r="F23736">
        <v>119.8</v>
      </c>
      <c r="G23736">
        <v>230310</v>
      </c>
      <c r="H23736">
        <v>4600</v>
      </c>
      <c r="I23736" t="s">
        <v>105</v>
      </c>
      <c r="J23736">
        <v>148.55000000000001</v>
      </c>
      <c r="K23736">
        <v>28.75</v>
      </c>
      <c r="L23736">
        <v>56560</v>
      </c>
      <c r="M23736" t="s">
        <v>654</v>
      </c>
      <c r="N23736" t="str">
        <f>"44270       "</f>
        <v xml:space="preserve">44270       </v>
      </c>
      <c r="O23736">
        <v>230323</v>
      </c>
    </row>
    <row r="23737" spans="1:15" x14ac:dyDescent="0.25">
      <c r="A23737" t="s">
        <v>16</v>
      </c>
      <c r="B23737" t="s">
        <v>3221</v>
      </c>
      <c r="C23737">
        <v>4257</v>
      </c>
      <c r="D23737" t="s">
        <v>609</v>
      </c>
      <c r="E23737" t="s">
        <v>610</v>
      </c>
      <c r="F23737">
        <v>330.06</v>
      </c>
      <c r="G23737">
        <v>230329</v>
      </c>
      <c r="H23737">
        <v>4600</v>
      </c>
      <c r="I23737" t="s">
        <v>105</v>
      </c>
      <c r="J23737">
        <v>409.28</v>
      </c>
      <c r="K23737">
        <v>79.22</v>
      </c>
      <c r="L23737">
        <v>56560</v>
      </c>
      <c r="M23737" t="s">
        <v>654</v>
      </c>
      <c r="N23737" t="str">
        <f>"44412       "</f>
        <v xml:space="preserve">44412       </v>
      </c>
      <c r="O23737">
        <v>230403</v>
      </c>
    </row>
    <row r="23738" spans="1:15" x14ac:dyDescent="0.25">
      <c r="A23738" t="s">
        <v>16</v>
      </c>
      <c r="B23738" t="s">
        <v>3221</v>
      </c>
      <c r="C23738">
        <v>4698</v>
      </c>
      <c r="D23738" t="s">
        <v>609</v>
      </c>
      <c r="E23738" t="s">
        <v>610</v>
      </c>
      <c r="F23738">
        <v>889.74</v>
      </c>
      <c r="G23738">
        <v>230329</v>
      </c>
      <c r="H23738">
        <v>4600</v>
      </c>
      <c r="I23738" t="s">
        <v>105</v>
      </c>
      <c r="J23738">
        <v>1103.28</v>
      </c>
      <c r="K23738">
        <v>213.54</v>
      </c>
      <c r="L23738">
        <v>56560</v>
      </c>
      <c r="M23738" t="s">
        <v>654</v>
      </c>
      <c r="N23738" t="str">
        <f>"44414       "</f>
        <v xml:space="preserve">44414       </v>
      </c>
      <c r="O23738">
        <v>230412</v>
      </c>
    </row>
    <row r="23739" spans="1:15" x14ac:dyDescent="0.25">
      <c r="A23739" t="s">
        <v>16</v>
      </c>
      <c r="B23739" t="s">
        <v>3221</v>
      </c>
      <c r="C23739">
        <v>4698</v>
      </c>
      <c r="D23739" t="s">
        <v>609</v>
      </c>
      <c r="E23739" t="s">
        <v>610</v>
      </c>
      <c r="F23739">
        <v>116.9</v>
      </c>
      <c r="G23739">
        <v>230329</v>
      </c>
      <c r="H23739">
        <v>4600</v>
      </c>
      <c r="I23739" t="s">
        <v>105</v>
      </c>
      <c r="J23739">
        <v>144.94999999999999</v>
      </c>
      <c r="K23739">
        <v>28.05</v>
      </c>
      <c r="L23739">
        <v>56562</v>
      </c>
      <c r="M23739" t="s">
        <v>126</v>
      </c>
      <c r="N23739" t="str">
        <f>"44414       "</f>
        <v xml:space="preserve">44414       </v>
      </c>
      <c r="O23739">
        <v>230412</v>
      </c>
    </row>
    <row r="23740" spans="1:15" x14ac:dyDescent="0.25">
      <c r="A23740" t="s">
        <v>16</v>
      </c>
      <c r="B23740" t="s">
        <v>3221</v>
      </c>
      <c r="C23740">
        <v>4791</v>
      </c>
      <c r="D23740" t="s">
        <v>609</v>
      </c>
      <c r="E23740" t="s">
        <v>610</v>
      </c>
      <c r="F23740">
        <v>6407.45</v>
      </c>
      <c r="G23740">
        <v>230401</v>
      </c>
      <c r="H23740">
        <v>4600</v>
      </c>
      <c r="I23740" t="s">
        <v>105</v>
      </c>
      <c r="J23740">
        <v>7945.24</v>
      </c>
      <c r="K23740">
        <v>1537.79</v>
      </c>
      <c r="L23740">
        <v>56569</v>
      </c>
      <c r="M23740" t="s">
        <v>1752</v>
      </c>
      <c r="N23740" t="str">
        <f>"44451       "</f>
        <v xml:space="preserve">44451       </v>
      </c>
      <c r="O23740">
        <v>230412</v>
      </c>
    </row>
    <row r="23741" spans="1:15" x14ac:dyDescent="0.25">
      <c r="A23741" t="s">
        <v>16</v>
      </c>
      <c r="B23741" t="s">
        <v>3221</v>
      </c>
      <c r="C23741">
        <v>6080</v>
      </c>
      <c r="D23741" t="s">
        <v>609</v>
      </c>
      <c r="E23741" t="s">
        <v>610</v>
      </c>
      <c r="F23741">
        <v>465.2</v>
      </c>
      <c r="G23741">
        <v>230424</v>
      </c>
      <c r="H23741">
        <v>4600</v>
      </c>
      <c r="I23741" t="s">
        <v>105</v>
      </c>
      <c r="J23741">
        <v>576.85</v>
      </c>
      <c r="K23741">
        <v>111.65</v>
      </c>
      <c r="L23741">
        <v>56560</v>
      </c>
      <c r="M23741" t="s">
        <v>654</v>
      </c>
      <c r="N23741" t="str">
        <f>"44559       "</f>
        <v xml:space="preserve">44559       </v>
      </c>
      <c r="O23741">
        <v>230508</v>
      </c>
    </row>
    <row r="23742" spans="1:15" x14ac:dyDescent="0.25">
      <c r="A23742" t="s">
        <v>16</v>
      </c>
      <c r="B23742" t="s">
        <v>3221</v>
      </c>
      <c r="C23742">
        <v>6195</v>
      </c>
      <c r="D23742" t="s">
        <v>609</v>
      </c>
      <c r="E23742" t="s">
        <v>610</v>
      </c>
      <c r="F23742">
        <v>238.06</v>
      </c>
      <c r="G23742">
        <v>230424</v>
      </c>
      <c r="H23742">
        <v>4600</v>
      </c>
      <c r="I23742" t="s">
        <v>105</v>
      </c>
      <c r="J23742">
        <v>295.19</v>
      </c>
      <c r="K23742">
        <v>57.13</v>
      </c>
      <c r="L23742">
        <v>56560</v>
      </c>
      <c r="M23742" t="s">
        <v>654</v>
      </c>
      <c r="N23742" t="str">
        <f>"44560       "</f>
        <v xml:space="preserve">44560       </v>
      </c>
      <c r="O23742">
        <v>230508</v>
      </c>
    </row>
    <row r="23743" spans="1:15" x14ac:dyDescent="0.25">
      <c r="A23743" t="s">
        <v>16</v>
      </c>
      <c r="B23743" t="s">
        <v>3221</v>
      </c>
      <c r="C23743">
        <v>7308</v>
      </c>
      <c r="D23743" t="s">
        <v>609</v>
      </c>
      <c r="E23743" t="s">
        <v>610</v>
      </c>
      <c r="F23743">
        <v>174.65</v>
      </c>
      <c r="G23743">
        <v>230513</v>
      </c>
      <c r="H23743">
        <v>4600</v>
      </c>
      <c r="I23743" t="s">
        <v>105</v>
      </c>
      <c r="J23743">
        <v>216.56</v>
      </c>
      <c r="K23743">
        <v>41.91</v>
      </c>
      <c r="L23743">
        <v>56560</v>
      </c>
      <c r="M23743" t="s">
        <v>654</v>
      </c>
      <c r="N23743" t="str">
        <f>"44650       "</f>
        <v xml:space="preserve">44650       </v>
      </c>
      <c r="O23743">
        <v>230529</v>
      </c>
    </row>
    <row r="23744" spans="1:15" x14ac:dyDescent="0.25">
      <c r="A23744" t="s">
        <v>16</v>
      </c>
      <c r="B23744" t="s">
        <v>3221</v>
      </c>
      <c r="C23744">
        <v>7455</v>
      </c>
      <c r="D23744" t="s">
        <v>609</v>
      </c>
      <c r="E23744" t="s">
        <v>610</v>
      </c>
      <c r="F23744">
        <v>262</v>
      </c>
      <c r="G23744">
        <v>230530</v>
      </c>
      <c r="H23744">
        <v>4600</v>
      </c>
      <c r="I23744" t="s">
        <v>105</v>
      </c>
      <c r="J23744">
        <v>324.88</v>
      </c>
      <c r="K23744">
        <v>62.88</v>
      </c>
      <c r="L23744">
        <v>59501</v>
      </c>
      <c r="M23744" t="s">
        <v>69</v>
      </c>
      <c r="N23744" t="str">
        <f>"44794       "</f>
        <v xml:space="preserve">44794       </v>
      </c>
      <c r="O23744">
        <v>230531</v>
      </c>
    </row>
    <row r="23745" spans="1:15" x14ac:dyDescent="0.25">
      <c r="A23745" t="s">
        <v>16</v>
      </c>
      <c r="B23745" t="s">
        <v>3221</v>
      </c>
      <c r="C23745">
        <v>7942</v>
      </c>
      <c r="D23745" t="s">
        <v>609</v>
      </c>
      <c r="E23745" t="s">
        <v>610</v>
      </c>
      <c r="F23745">
        <v>237.46</v>
      </c>
      <c r="G23745">
        <v>230525</v>
      </c>
      <c r="H23745">
        <v>4600</v>
      </c>
      <c r="I23745" t="s">
        <v>105</v>
      </c>
      <c r="J23745">
        <v>294.45</v>
      </c>
      <c r="K23745">
        <v>56.99</v>
      </c>
      <c r="L23745">
        <v>56569</v>
      </c>
      <c r="M23745" t="s">
        <v>1752</v>
      </c>
      <c r="N23745" t="str">
        <f>"44764       "</f>
        <v xml:space="preserve">44764       </v>
      </c>
      <c r="O23745">
        <v>230606</v>
      </c>
    </row>
    <row r="23746" spans="1:15" x14ac:dyDescent="0.25">
      <c r="A23746" t="s">
        <v>16</v>
      </c>
      <c r="B23746" t="s">
        <v>3221</v>
      </c>
      <c r="C23746">
        <v>8082</v>
      </c>
      <c r="D23746" t="s">
        <v>609</v>
      </c>
      <c r="E23746" t="s">
        <v>610</v>
      </c>
      <c r="F23746">
        <v>66.02</v>
      </c>
      <c r="G23746">
        <v>230605</v>
      </c>
      <c r="H23746">
        <v>4600</v>
      </c>
      <c r="I23746" t="s">
        <v>105</v>
      </c>
      <c r="J23746">
        <v>81.87</v>
      </c>
      <c r="K23746">
        <v>15.85</v>
      </c>
      <c r="L23746">
        <v>56560</v>
      </c>
      <c r="M23746" t="s">
        <v>654</v>
      </c>
      <c r="N23746" t="str">
        <f>"44837       "</f>
        <v xml:space="preserve">44837       </v>
      </c>
      <c r="O23746">
        <v>230607</v>
      </c>
    </row>
    <row r="23747" spans="1:15" x14ac:dyDescent="0.25">
      <c r="A23747" t="s">
        <v>16</v>
      </c>
      <c r="B23747" t="s">
        <v>3221</v>
      </c>
      <c r="C23747">
        <v>8083</v>
      </c>
      <c r="D23747" t="s">
        <v>609</v>
      </c>
      <c r="E23747" t="s">
        <v>610</v>
      </c>
      <c r="F23747">
        <v>119.91</v>
      </c>
      <c r="G23747">
        <v>230605</v>
      </c>
      <c r="H23747">
        <v>4600</v>
      </c>
      <c r="I23747" t="s">
        <v>105</v>
      </c>
      <c r="J23747">
        <v>148.69</v>
      </c>
      <c r="K23747">
        <v>28.78</v>
      </c>
      <c r="L23747">
        <v>56569</v>
      </c>
      <c r="M23747" t="s">
        <v>1752</v>
      </c>
      <c r="N23747" t="str">
        <f>"44838       "</f>
        <v xml:space="preserve">44838       </v>
      </c>
      <c r="O23747">
        <v>230607</v>
      </c>
    </row>
    <row r="23748" spans="1:15" x14ac:dyDescent="0.25">
      <c r="A23748" t="s">
        <v>16</v>
      </c>
      <c r="B23748" t="s">
        <v>3221</v>
      </c>
      <c r="C23748">
        <v>8504</v>
      </c>
      <c r="D23748" t="s">
        <v>609</v>
      </c>
      <c r="E23748" t="s">
        <v>610</v>
      </c>
      <c r="F23748">
        <v>191.94</v>
      </c>
      <c r="G23748">
        <v>230605</v>
      </c>
      <c r="H23748">
        <v>4600</v>
      </c>
      <c r="I23748" t="s">
        <v>105</v>
      </c>
      <c r="J23748">
        <v>238</v>
      </c>
      <c r="K23748">
        <v>46.06</v>
      </c>
      <c r="L23748">
        <v>56560</v>
      </c>
      <c r="M23748" t="s">
        <v>654</v>
      </c>
      <c r="N23748" t="str">
        <f>"44839       "</f>
        <v xml:space="preserve">44839       </v>
      </c>
      <c r="O23748">
        <v>230609</v>
      </c>
    </row>
    <row r="23749" spans="1:15" x14ac:dyDescent="0.25">
      <c r="A23749" t="s">
        <v>16</v>
      </c>
      <c r="B23749" t="s">
        <v>3221</v>
      </c>
      <c r="C23749">
        <v>11319</v>
      </c>
      <c r="D23749" t="s">
        <v>609</v>
      </c>
      <c r="E23749" t="s">
        <v>610</v>
      </c>
      <c r="F23749">
        <v>95.58</v>
      </c>
      <c r="G23749">
        <v>230830</v>
      </c>
      <c r="H23749">
        <v>4600</v>
      </c>
      <c r="I23749" t="s">
        <v>105</v>
      </c>
      <c r="J23749">
        <v>118.52</v>
      </c>
      <c r="K23749">
        <v>22.94</v>
      </c>
      <c r="L23749">
        <v>56560</v>
      </c>
      <c r="M23749" t="s">
        <v>654</v>
      </c>
      <c r="N23749" t="str">
        <f>"45487       "</f>
        <v xml:space="preserve">45487       </v>
      </c>
      <c r="O23749">
        <v>230904</v>
      </c>
    </row>
    <row r="23750" spans="1:15" x14ac:dyDescent="0.25">
      <c r="A23750" t="s">
        <v>16</v>
      </c>
      <c r="B23750" t="s">
        <v>3221</v>
      </c>
      <c r="C23750">
        <v>12226</v>
      </c>
      <c r="D23750" t="s">
        <v>609</v>
      </c>
      <c r="E23750" t="s">
        <v>610</v>
      </c>
      <c r="F23750">
        <v>270.16000000000003</v>
      </c>
      <c r="G23750">
        <v>230906</v>
      </c>
      <c r="H23750">
        <v>4600</v>
      </c>
      <c r="I23750" t="s">
        <v>105</v>
      </c>
      <c r="J23750">
        <v>335</v>
      </c>
      <c r="K23750">
        <v>64.84</v>
      </c>
      <c r="L23750">
        <v>56560</v>
      </c>
      <c r="M23750" t="s">
        <v>654</v>
      </c>
      <c r="N23750" t="str">
        <f>"45546       "</f>
        <v xml:space="preserve">45546       </v>
      </c>
      <c r="O23750">
        <v>230915</v>
      </c>
    </row>
    <row r="23751" spans="1:15" x14ac:dyDescent="0.25">
      <c r="A23751" t="s">
        <v>16</v>
      </c>
      <c r="B23751" t="s">
        <v>3221</v>
      </c>
      <c r="C23751">
        <v>12226</v>
      </c>
      <c r="D23751" t="s">
        <v>609</v>
      </c>
      <c r="E23751" t="s">
        <v>610</v>
      </c>
      <c r="F23751">
        <v>328.4</v>
      </c>
      <c r="G23751">
        <v>230906</v>
      </c>
      <c r="H23751">
        <v>4600</v>
      </c>
      <c r="I23751" t="s">
        <v>105</v>
      </c>
      <c r="J23751">
        <v>407.22</v>
      </c>
      <c r="K23751">
        <v>78.819999999999993</v>
      </c>
      <c r="L23751">
        <v>56571</v>
      </c>
      <c r="M23751" t="s">
        <v>204</v>
      </c>
      <c r="N23751" t="str">
        <f>"45546       "</f>
        <v xml:space="preserve">45546       </v>
      </c>
      <c r="O23751">
        <v>230915</v>
      </c>
    </row>
    <row r="23752" spans="1:15" x14ac:dyDescent="0.25">
      <c r="A23752" t="s">
        <v>16</v>
      </c>
      <c r="B23752" t="s">
        <v>3221</v>
      </c>
      <c r="C23752">
        <v>13674</v>
      </c>
      <c r="D23752" t="s">
        <v>609</v>
      </c>
      <c r="E23752" t="s">
        <v>610</v>
      </c>
      <c r="F23752">
        <v>124.12</v>
      </c>
      <c r="G23752">
        <v>231007</v>
      </c>
      <c r="H23752">
        <v>4600</v>
      </c>
      <c r="I23752" t="s">
        <v>105</v>
      </c>
      <c r="J23752">
        <v>153.91</v>
      </c>
      <c r="K23752">
        <v>29.79</v>
      </c>
      <c r="L23752">
        <v>59501</v>
      </c>
      <c r="M23752" t="s">
        <v>69</v>
      </c>
      <c r="N23752" t="str">
        <f>"45791       "</f>
        <v xml:space="preserve">45791       </v>
      </c>
      <c r="O23752">
        <v>231012</v>
      </c>
    </row>
    <row r="23753" spans="1:15" x14ac:dyDescent="0.25">
      <c r="A23753" t="s">
        <v>16</v>
      </c>
      <c r="B23753" t="s">
        <v>3221</v>
      </c>
      <c r="C23753">
        <v>14690</v>
      </c>
      <c r="D23753" t="s">
        <v>609</v>
      </c>
      <c r="E23753" t="s">
        <v>610</v>
      </c>
      <c r="F23753">
        <v>670.2</v>
      </c>
      <c r="G23753">
        <v>231017</v>
      </c>
      <c r="H23753">
        <v>4600</v>
      </c>
      <c r="I23753" t="s">
        <v>105</v>
      </c>
      <c r="J23753">
        <v>831.05</v>
      </c>
      <c r="K23753">
        <v>160.85</v>
      </c>
      <c r="L23753">
        <v>56560</v>
      </c>
      <c r="M23753" t="s">
        <v>654</v>
      </c>
      <c r="N23753" t="str">
        <f>"45891       "</f>
        <v xml:space="preserve">45891       </v>
      </c>
      <c r="O23753">
        <v>231101</v>
      </c>
    </row>
    <row r="23754" spans="1:15" x14ac:dyDescent="0.25">
      <c r="A23754" t="s">
        <v>16</v>
      </c>
      <c r="B23754" t="s">
        <v>3221</v>
      </c>
      <c r="C23754">
        <v>14690</v>
      </c>
      <c r="D23754" t="s">
        <v>609</v>
      </c>
      <c r="E23754" t="s">
        <v>610</v>
      </c>
      <c r="F23754">
        <v>127.64</v>
      </c>
      <c r="G23754">
        <v>231017</v>
      </c>
      <c r="H23754">
        <v>4600</v>
      </c>
      <c r="I23754" t="s">
        <v>105</v>
      </c>
      <c r="J23754">
        <v>158.27000000000001</v>
      </c>
      <c r="K23754">
        <v>30.63</v>
      </c>
      <c r="L23754">
        <v>59505</v>
      </c>
      <c r="M23754" t="s">
        <v>72</v>
      </c>
      <c r="N23754" t="str">
        <f>"45891       "</f>
        <v xml:space="preserve">45891       </v>
      </c>
      <c r="O23754">
        <v>231101</v>
      </c>
    </row>
    <row r="23755" spans="1:15" x14ac:dyDescent="0.25">
      <c r="A23755" t="s">
        <v>16</v>
      </c>
      <c r="B23755" t="s">
        <v>3221</v>
      </c>
      <c r="C23755">
        <v>14992</v>
      </c>
      <c r="D23755" t="s">
        <v>609</v>
      </c>
      <c r="E23755" t="s">
        <v>610</v>
      </c>
      <c r="F23755">
        <v>285.45</v>
      </c>
      <c r="G23755">
        <v>231025</v>
      </c>
      <c r="H23755">
        <v>4600</v>
      </c>
      <c r="I23755" t="s">
        <v>105</v>
      </c>
      <c r="J23755">
        <v>353.96</v>
      </c>
      <c r="K23755">
        <v>68.510000000000005</v>
      </c>
      <c r="L23755">
        <v>59501</v>
      </c>
      <c r="M23755" t="s">
        <v>69</v>
      </c>
      <c r="N23755" t="str">
        <f>"45990       "</f>
        <v xml:space="preserve">45990       </v>
      </c>
      <c r="O23755">
        <v>231108</v>
      </c>
    </row>
    <row r="23756" spans="1:15" x14ac:dyDescent="0.25">
      <c r="A23756" t="s">
        <v>16</v>
      </c>
      <c r="B23756" t="s">
        <v>3221</v>
      </c>
      <c r="C23756">
        <v>17726</v>
      </c>
      <c r="D23756" t="s">
        <v>609</v>
      </c>
      <c r="E23756" t="s">
        <v>610</v>
      </c>
      <c r="F23756">
        <v>366.54</v>
      </c>
      <c r="G23756">
        <v>231209</v>
      </c>
      <c r="H23756">
        <v>4600</v>
      </c>
      <c r="I23756" t="s">
        <v>105</v>
      </c>
      <c r="J23756">
        <v>454.51</v>
      </c>
      <c r="K23756">
        <v>87.97</v>
      </c>
      <c r="L23756">
        <v>56560</v>
      </c>
      <c r="M23756" t="s">
        <v>654</v>
      </c>
      <c r="N23756" t="str">
        <f>"46319       "</f>
        <v xml:space="preserve">46319       </v>
      </c>
      <c r="O23756">
        <v>231222</v>
      </c>
    </row>
    <row r="23757" spans="1:15" x14ac:dyDescent="0.25">
      <c r="A23757" t="s">
        <v>16</v>
      </c>
      <c r="B23757" t="s">
        <v>3221</v>
      </c>
      <c r="C23757">
        <v>17726</v>
      </c>
      <c r="D23757" t="s">
        <v>609</v>
      </c>
      <c r="E23757" t="s">
        <v>610</v>
      </c>
      <c r="F23757">
        <v>29.3</v>
      </c>
      <c r="G23757">
        <v>231209</v>
      </c>
      <c r="H23757">
        <v>4600</v>
      </c>
      <c r="I23757" t="s">
        <v>105</v>
      </c>
      <c r="J23757">
        <v>36.33</v>
      </c>
      <c r="K23757">
        <v>7.03</v>
      </c>
      <c r="L23757">
        <v>59501</v>
      </c>
      <c r="M23757" t="s">
        <v>69</v>
      </c>
      <c r="N23757" t="str">
        <f>"46319       "</f>
        <v xml:space="preserve">46319       </v>
      </c>
      <c r="O23757">
        <v>231222</v>
      </c>
    </row>
    <row r="23758" spans="1:15" x14ac:dyDescent="0.25">
      <c r="A23758" t="s">
        <v>16</v>
      </c>
      <c r="B23758" t="s">
        <v>3221</v>
      </c>
      <c r="C23758">
        <v>19122</v>
      </c>
      <c r="D23758" t="s">
        <v>609</v>
      </c>
      <c r="E23758" t="s">
        <v>610</v>
      </c>
      <c r="F23758">
        <v>401</v>
      </c>
      <c r="G23758">
        <v>231227</v>
      </c>
      <c r="H23758">
        <v>4600</v>
      </c>
      <c r="I23758" t="s">
        <v>105</v>
      </c>
      <c r="J23758">
        <v>497.24</v>
      </c>
      <c r="K23758">
        <v>96.24</v>
      </c>
      <c r="L23758">
        <v>56560</v>
      </c>
      <c r="M23758" t="s">
        <v>654</v>
      </c>
      <c r="N23758" t="str">
        <f>"46463       "</f>
        <v xml:space="preserve">46463       </v>
      </c>
      <c r="O23758">
        <v>240111</v>
      </c>
    </row>
    <row r="23759" spans="1:15" x14ac:dyDescent="0.25">
      <c r="A23759" t="s">
        <v>16</v>
      </c>
      <c r="B23759" t="s">
        <v>3221</v>
      </c>
      <c r="C23759">
        <v>19122</v>
      </c>
      <c r="D23759" t="s">
        <v>609</v>
      </c>
      <c r="E23759" t="s">
        <v>610</v>
      </c>
      <c r="F23759">
        <v>22.13</v>
      </c>
      <c r="G23759">
        <v>231227</v>
      </c>
      <c r="H23759">
        <v>4600</v>
      </c>
      <c r="I23759" t="s">
        <v>105</v>
      </c>
      <c r="J23759">
        <v>27.44</v>
      </c>
      <c r="K23759">
        <v>5.31</v>
      </c>
      <c r="L23759">
        <v>56565</v>
      </c>
      <c r="M23759" t="s">
        <v>758</v>
      </c>
      <c r="N23759" t="str">
        <f>"46463       "</f>
        <v xml:space="preserve">46463       </v>
      </c>
      <c r="O23759">
        <v>240111</v>
      </c>
    </row>
    <row r="23760" spans="1:15" x14ac:dyDescent="0.25">
      <c r="A23760" t="s">
        <v>16</v>
      </c>
      <c r="B23760" t="s">
        <v>3221</v>
      </c>
      <c r="C23760">
        <v>19122</v>
      </c>
      <c r="D23760" t="s">
        <v>609</v>
      </c>
      <c r="E23760" t="s">
        <v>610</v>
      </c>
      <c r="F23760">
        <v>245.02</v>
      </c>
      <c r="G23760">
        <v>231227</v>
      </c>
      <c r="H23760">
        <v>4600</v>
      </c>
      <c r="I23760" t="s">
        <v>105</v>
      </c>
      <c r="J23760">
        <v>303.82</v>
      </c>
      <c r="K23760">
        <v>58.8</v>
      </c>
      <c r="L23760">
        <v>59501</v>
      </c>
      <c r="M23760" t="s">
        <v>69</v>
      </c>
      <c r="N23760" t="str">
        <f>"46463       "</f>
        <v xml:space="preserve">46463       </v>
      </c>
      <c r="O23760">
        <v>240111</v>
      </c>
    </row>
    <row r="23761" spans="1:15" x14ac:dyDescent="0.25">
      <c r="A23761" t="s">
        <v>16</v>
      </c>
      <c r="B23761" t="s">
        <v>3221</v>
      </c>
      <c r="C23761">
        <v>19123</v>
      </c>
      <c r="D23761" t="s">
        <v>609</v>
      </c>
      <c r="E23761" t="s">
        <v>610</v>
      </c>
      <c r="F23761">
        <v>109.6</v>
      </c>
      <c r="G23761">
        <v>231228</v>
      </c>
      <c r="H23761">
        <v>4600</v>
      </c>
      <c r="I23761" t="s">
        <v>105</v>
      </c>
      <c r="J23761">
        <v>135.9</v>
      </c>
      <c r="K23761">
        <v>26.3</v>
      </c>
      <c r="L23761">
        <v>56560</v>
      </c>
      <c r="M23761" t="s">
        <v>654</v>
      </c>
      <c r="N23761" t="str">
        <f>"46486       "</f>
        <v xml:space="preserve">46486       </v>
      </c>
      <c r="O23761">
        <v>240111</v>
      </c>
    </row>
    <row r="23762" spans="1:15" x14ac:dyDescent="0.25">
      <c r="A23762" t="s">
        <v>16</v>
      </c>
      <c r="B23762" t="s">
        <v>3221</v>
      </c>
      <c r="C23762">
        <v>19271</v>
      </c>
      <c r="D23762" t="s">
        <v>609</v>
      </c>
      <c r="E23762" t="s">
        <v>610</v>
      </c>
      <c r="F23762">
        <v>70.650000000000006</v>
      </c>
      <c r="G23762">
        <v>240102</v>
      </c>
      <c r="H23762">
        <v>4600</v>
      </c>
      <c r="I23762" t="s">
        <v>105</v>
      </c>
      <c r="J23762">
        <v>87.6</v>
      </c>
      <c r="K23762">
        <v>16.95</v>
      </c>
      <c r="L23762">
        <v>59501</v>
      </c>
      <c r="M23762" t="s">
        <v>69</v>
      </c>
      <c r="N23762" t="str">
        <f>"46544       "</f>
        <v xml:space="preserve">46544       </v>
      </c>
      <c r="O23762">
        <v>240116</v>
      </c>
    </row>
    <row r="23763" spans="1:15" x14ac:dyDescent="0.25">
      <c r="A23763" t="s">
        <v>16</v>
      </c>
      <c r="B23763" t="s">
        <v>3221</v>
      </c>
      <c r="C23763">
        <v>19272</v>
      </c>
      <c r="D23763" t="s">
        <v>609</v>
      </c>
      <c r="E23763" t="s">
        <v>610</v>
      </c>
      <c r="F23763">
        <v>28.02</v>
      </c>
      <c r="G23763">
        <v>240103</v>
      </c>
      <c r="H23763">
        <v>4600</v>
      </c>
      <c r="I23763" t="s">
        <v>105</v>
      </c>
      <c r="J23763">
        <v>34.74</v>
      </c>
      <c r="K23763">
        <v>6.72</v>
      </c>
      <c r="L23763">
        <v>59501</v>
      </c>
      <c r="M23763" t="s">
        <v>69</v>
      </c>
      <c r="N23763" t="str">
        <f>"46551       "</f>
        <v xml:space="preserve">46551       </v>
      </c>
      <c r="O23763">
        <v>240116</v>
      </c>
    </row>
    <row r="23764" spans="1:15" x14ac:dyDescent="0.25">
      <c r="A23764" t="s">
        <v>16</v>
      </c>
      <c r="B23764" t="s">
        <v>3221</v>
      </c>
      <c r="C23764">
        <v>17610</v>
      </c>
      <c r="D23764" t="s">
        <v>609</v>
      </c>
      <c r="E23764" t="s">
        <v>610</v>
      </c>
      <c r="F23764">
        <v>913.09</v>
      </c>
      <c r="G23764">
        <v>231213</v>
      </c>
      <c r="H23764">
        <v>4390</v>
      </c>
      <c r="I23764" t="s">
        <v>98</v>
      </c>
      <c r="J23764">
        <v>1132.23</v>
      </c>
      <c r="K23764">
        <v>219.14</v>
      </c>
      <c r="L23764">
        <v>59501</v>
      </c>
      <c r="M23764" t="s">
        <v>69</v>
      </c>
      <c r="N23764" t="str">
        <f>"46350       "</f>
        <v xml:space="preserve">46350       </v>
      </c>
      <c r="O23764">
        <v>231215</v>
      </c>
    </row>
    <row r="23765" spans="1:15" x14ac:dyDescent="0.25">
      <c r="A23765" t="s">
        <v>16</v>
      </c>
      <c r="B23765" t="s">
        <v>3221</v>
      </c>
      <c r="C23765">
        <v>18466</v>
      </c>
      <c r="D23765" t="s">
        <v>609</v>
      </c>
      <c r="E23765" t="s">
        <v>610</v>
      </c>
      <c r="F23765">
        <v>354</v>
      </c>
      <c r="G23765">
        <v>231227</v>
      </c>
      <c r="H23765">
        <v>4390</v>
      </c>
      <c r="I23765" t="s">
        <v>98</v>
      </c>
      <c r="J23765">
        <v>438.96</v>
      </c>
      <c r="K23765">
        <v>84.96</v>
      </c>
      <c r="L23765">
        <v>17951</v>
      </c>
      <c r="M23765" t="s">
        <v>87</v>
      </c>
      <c r="N23765" t="str">
        <f>"46471       "</f>
        <v xml:space="preserve">46471       </v>
      </c>
      <c r="O23765">
        <v>240103</v>
      </c>
    </row>
    <row r="23766" spans="1:15" x14ac:dyDescent="0.25">
      <c r="A23766" t="s">
        <v>16</v>
      </c>
      <c r="B23766" t="s">
        <v>3221</v>
      </c>
      <c r="C23766">
        <v>7498</v>
      </c>
      <c r="D23766" t="s">
        <v>609</v>
      </c>
      <c r="E23766" t="s">
        <v>610</v>
      </c>
      <c r="F23766">
        <v>9.1999999999999993</v>
      </c>
      <c r="G23766">
        <v>230530</v>
      </c>
      <c r="H23766">
        <v>4572</v>
      </c>
      <c r="I23766" t="s">
        <v>122</v>
      </c>
      <c r="J23766">
        <v>11.41</v>
      </c>
      <c r="K23766">
        <v>2.21</v>
      </c>
      <c r="L23766">
        <v>59504</v>
      </c>
      <c r="M23766" t="s">
        <v>71</v>
      </c>
      <c r="N23766" t="str">
        <f>"44793       "</f>
        <v xml:space="preserve">44793       </v>
      </c>
      <c r="O23766">
        <v>230531</v>
      </c>
    </row>
    <row r="23767" spans="1:15" x14ac:dyDescent="0.25">
      <c r="A23767" t="s">
        <v>16</v>
      </c>
      <c r="B23767" t="s">
        <v>3221</v>
      </c>
      <c r="C23767">
        <v>9958</v>
      </c>
      <c r="D23767" t="s">
        <v>609</v>
      </c>
      <c r="E23767" t="s">
        <v>610</v>
      </c>
      <c r="F23767">
        <v>2000</v>
      </c>
      <c r="G23767">
        <v>230729</v>
      </c>
      <c r="H23767">
        <v>4572</v>
      </c>
      <c r="I23767" t="s">
        <v>122</v>
      </c>
      <c r="J23767">
        <v>2000</v>
      </c>
      <c r="K23767">
        <v>0</v>
      </c>
      <c r="L23767">
        <v>11001</v>
      </c>
      <c r="M23767" t="s">
        <v>326</v>
      </c>
      <c r="N23767" t="str">
        <f>"45254       "</f>
        <v xml:space="preserve">45254       </v>
      </c>
      <c r="O23767">
        <v>230803</v>
      </c>
    </row>
    <row r="23768" spans="1:15" x14ac:dyDescent="0.25">
      <c r="A23768" t="s">
        <v>16</v>
      </c>
      <c r="B23768" t="s">
        <v>3221</v>
      </c>
      <c r="C23768">
        <v>17280</v>
      </c>
      <c r="D23768" t="s">
        <v>609</v>
      </c>
      <c r="E23768" t="s">
        <v>610</v>
      </c>
      <c r="F23768">
        <v>15.26</v>
      </c>
      <c r="G23768">
        <v>231209</v>
      </c>
      <c r="H23768">
        <v>4572</v>
      </c>
      <c r="I23768" t="s">
        <v>122</v>
      </c>
      <c r="J23768">
        <v>18.920000000000002</v>
      </c>
      <c r="K23768">
        <v>3.66</v>
      </c>
      <c r="L23768">
        <v>59505</v>
      </c>
      <c r="M23768" t="s">
        <v>72</v>
      </c>
      <c r="N23768" t="str">
        <f>"46318       "</f>
        <v xml:space="preserve">46318       </v>
      </c>
      <c r="O23768">
        <v>231212</v>
      </c>
    </row>
    <row r="23769" spans="1:15" x14ac:dyDescent="0.25">
      <c r="A23769" t="s">
        <v>16</v>
      </c>
      <c r="B23769" t="s">
        <v>3221</v>
      </c>
      <c r="C23769">
        <v>18866</v>
      </c>
      <c r="D23769" t="s">
        <v>609</v>
      </c>
      <c r="E23769" t="s">
        <v>610</v>
      </c>
      <c r="F23769">
        <v>101.25</v>
      </c>
      <c r="G23769">
        <v>240103</v>
      </c>
      <c r="H23769">
        <v>4572</v>
      </c>
      <c r="I23769" t="s">
        <v>122</v>
      </c>
      <c r="J23769">
        <v>125.55</v>
      </c>
      <c r="K23769">
        <v>24.3</v>
      </c>
      <c r="L23769">
        <v>59501</v>
      </c>
      <c r="M23769" t="s">
        <v>69</v>
      </c>
      <c r="N23769" t="str">
        <f>"46552       "</f>
        <v xml:space="preserve">46552       </v>
      </c>
      <c r="O23769">
        <v>240108</v>
      </c>
    </row>
    <row r="23770" spans="1:15" x14ac:dyDescent="0.25">
      <c r="A23770" t="s">
        <v>16</v>
      </c>
      <c r="B23770" t="s">
        <v>3221</v>
      </c>
      <c r="C23770">
        <v>2698</v>
      </c>
      <c r="D23770" t="s">
        <v>609</v>
      </c>
      <c r="E23770" t="s">
        <v>610</v>
      </c>
      <c r="F23770">
        <v>52.42</v>
      </c>
      <c r="G23770">
        <v>230225</v>
      </c>
      <c r="H23770">
        <v>4500</v>
      </c>
      <c r="I23770" t="s">
        <v>212</v>
      </c>
      <c r="J23770">
        <v>65</v>
      </c>
      <c r="K23770">
        <v>12.58</v>
      </c>
      <c r="L23770">
        <v>56565</v>
      </c>
      <c r="M23770" t="s">
        <v>758</v>
      </c>
      <c r="N23770" t="str">
        <f>"44192       "</f>
        <v xml:space="preserve">44192       </v>
      </c>
      <c r="O23770">
        <v>230307</v>
      </c>
    </row>
    <row r="23771" spans="1:15" x14ac:dyDescent="0.25">
      <c r="A23771" t="s">
        <v>16</v>
      </c>
      <c r="B23771" t="s">
        <v>3221</v>
      </c>
      <c r="C23771">
        <v>8555</v>
      </c>
      <c r="D23771" t="s">
        <v>2190</v>
      </c>
      <c r="E23771" t="s">
        <v>2191</v>
      </c>
      <c r="F23771">
        <v>536.36</v>
      </c>
      <c r="G23771">
        <v>230609</v>
      </c>
      <c r="H23771">
        <v>4420</v>
      </c>
      <c r="I23771" t="s">
        <v>132</v>
      </c>
      <c r="J23771">
        <v>590</v>
      </c>
      <c r="K23771">
        <v>53.64</v>
      </c>
      <c r="L23771">
        <v>55255</v>
      </c>
      <c r="M23771" t="s">
        <v>1174</v>
      </c>
      <c r="N23771" t="str">
        <f>"2729        "</f>
        <v xml:space="preserve">2729        </v>
      </c>
      <c r="O23771">
        <v>230612</v>
      </c>
    </row>
    <row r="23772" spans="1:15" x14ac:dyDescent="0.25">
      <c r="A23772" t="s">
        <v>16</v>
      </c>
      <c r="B23772" t="s">
        <v>3221</v>
      </c>
      <c r="C23772">
        <v>226</v>
      </c>
      <c r="D23772" t="s">
        <v>343</v>
      </c>
      <c r="E23772" t="s">
        <v>344</v>
      </c>
      <c r="F23772">
        <v>55.42</v>
      </c>
      <c r="G23772">
        <v>230113</v>
      </c>
      <c r="H23772">
        <v>4600</v>
      </c>
      <c r="I23772" t="s">
        <v>105</v>
      </c>
      <c r="J23772">
        <v>68.72</v>
      </c>
      <c r="K23772">
        <v>13.3</v>
      </c>
      <c r="L23772">
        <v>67554</v>
      </c>
      <c r="M23772" t="s">
        <v>60</v>
      </c>
      <c r="N23772" t="str">
        <f>"129712      "</f>
        <v xml:space="preserve">129712      </v>
      </c>
      <c r="O23772">
        <v>230116</v>
      </c>
    </row>
    <row r="23773" spans="1:15" x14ac:dyDescent="0.25">
      <c r="A23773" t="s">
        <v>16</v>
      </c>
      <c r="B23773" t="s">
        <v>3221</v>
      </c>
      <c r="C23773">
        <v>3108</v>
      </c>
      <c r="D23773" t="s">
        <v>343</v>
      </c>
      <c r="E23773" t="s">
        <v>344</v>
      </c>
      <c r="F23773">
        <v>47.23</v>
      </c>
      <c r="G23773">
        <v>230308</v>
      </c>
      <c r="H23773">
        <v>4600</v>
      </c>
      <c r="I23773" t="s">
        <v>105</v>
      </c>
      <c r="J23773">
        <v>58.56</v>
      </c>
      <c r="K23773">
        <v>11.33</v>
      </c>
      <c r="L23773">
        <v>67554</v>
      </c>
      <c r="M23773" t="s">
        <v>60</v>
      </c>
      <c r="N23773" t="str">
        <f>"131290      "</f>
        <v xml:space="preserve">131290      </v>
      </c>
      <c r="O23773">
        <v>230309</v>
      </c>
    </row>
    <row r="23774" spans="1:15" x14ac:dyDescent="0.25">
      <c r="A23774" t="s">
        <v>16</v>
      </c>
      <c r="B23774" t="s">
        <v>3221</v>
      </c>
      <c r="C23774">
        <v>226</v>
      </c>
      <c r="D23774" t="s">
        <v>343</v>
      </c>
      <c r="E23774" t="s">
        <v>344</v>
      </c>
      <c r="F23774">
        <v>74.31</v>
      </c>
      <c r="G23774">
        <v>230113</v>
      </c>
      <c r="H23774">
        <v>4560</v>
      </c>
      <c r="I23774" t="s">
        <v>345</v>
      </c>
      <c r="J23774">
        <v>92.15</v>
      </c>
      <c r="K23774">
        <v>17.84</v>
      </c>
      <c r="L23774">
        <v>67554</v>
      </c>
      <c r="M23774" t="s">
        <v>60</v>
      </c>
      <c r="N23774" t="str">
        <f>"129712      "</f>
        <v xml:space="preserve">129712      </v>
      </c>
      <c r="O23774">
        <v>230116</v>
      </c>
    </row>
    <row r="23775" spans="1:15" x14ac:dyDescent="0.25">
      <c r="A23775" t="s">
        <v>16</v>
      </c>
      <c r="B23775" t="s">
        <v>3221</v>
      </c>
      <c r="C23775">
        <v>3108</v>
      </c>
      <c r="D23775" t="s">
        <v>343</v>
      </c>
      <c r="E23775" t="s">
        <v>344</v>
      </c>
      <c r="F23775">
        <v>70.180000000000007</v>
      </c>
      <c r="G23775">
        <v>230308</v>
      </c>
      <c r="H23775">
        <v>4560</v>
      </c>
      <c r="I23775" t="s">
        <v>345</v>
      </c>
      <c r="J23775">
        <v>87.02</v>
      </c>
      <c r="K23775">
        <v>16.84</v>
      </c>
      <c r="L23775">
        <v>67554</v>
      </c>
      <c r="M23775" t="s">
        <v>60</v>
      </c>
      <c r="N23775" t="str">
        <f>"131290      "</f>
        <v xml:space="preserve">131290      </v>
      </c>
      <c r="O23775">
        <v>230309</v>
      </c>
    </row>
    <row r="23776" spans="1:15" x14ac:dyDescent="0.25">
      <c r="A23776" t="s">
        <v>16</v>
      </c>
      <c r="B23776" t="s">
        <v>3221</v>
      </c>
      <c r="C23776">
        <v>3523</v>
      </c>
      <c r="D23776" t="s">
        <v>343</v>
      </c>
      <c r="E23776" t="s">
        <v>344</v>
      </c>
      <c r="F23776">
        <v>53.24</v>
      </c>
      <c r="G23776">
        <v>230315</v>
      </c>
      <c r="H23776">
        <v>4590</v>
      </c>
      <c r="I23776" t="s">
        <v>203</v>
      </c>
      <c r="J23776">
        <v>66.02</v>
      </c>
      <c r="K23776">
        <v>12.78</v>
      </c>
      <c r="L23776">
        <v>67554</v>
      </c>
      <c r="M23776" t="s">
        <v>60</v>
      </c>
      <c r="N23776" t="str">
        <f>"131648      "</f>
        <v xml:space="preserve">131648      </v>
      </c>
      <c r="O23776">
        <v>230316</v>
      </c>
    </row>
    <row r="23777" spans="1:15" x14ac:dyDescent="0.25">
      <c r="A23777" t="s">
        <v>16</v>
      </c>
      <c r="B23777" t="s">
        <v>3221</v>
      </c>
      <c r="C23777">
        <v>2817</v>
      </c>
      <c r="D23777" t="s">
        <v>1474</v>
      </c>
      <c r="E23777" t="s">
        <v>1475</v>
      </c>
      <c r="F23777">
        <v>1115.8699999999999</v>
      </c>
      <c r="G23777">
        <v>230228</v>
      </c>
      <c r="H23777">
        <v>4580</v>
      </c>
      <c r="I23777" t="s">
        <v>35</v>
      </c>
      <c r="J23777">
        <v>1383.68</v>
      </c>
      <c r="K23777">
        <v>267.81</v>
      </c>
      <c r="L23777">
        <v>17737</v>
      </c>
      <c r="M23777" t="s">
        <v>279</v>
      </c>
      <c r="N23777" t="str">
        <f>"304305      "</f>
        <v xml:space="preserve">304305      </v>
      </c>
      <c r="O23777">
        <v>230307</v>
      </c>
    </row>
    <row r="23778" spans="1:15" x14ac:dyDescent="0.25">
      <c r="A23778" t="s">
        <v>16</v>
      </c>
      <c r="B23778" t="s">
        <v>3221</v>
      </c>
      <c r="C23778">
        <v>2817</v>
      </c>
      <c r="D23778" t="s">
        <v>1474</v>
      </c>
      <c r="E23778" t="s">
        <v>1475</v>
      </c>
      <c r="F23778">
        <v>519.39</v>
      </c>
      <c r="G23778">
        <v>230228</v>
      </c>
      <c r="H23778">
        <v>4600</v>
      </c>
      <c r="I23778" t="s">
        <v>105</v>
      </c>
      <c r="J23778">
        <v>644.04</v>
      </c>
      <c r="K23778">
        <v>124.65</v>
      </c>
      <c r="L23778">
        <v>17711</v>
      </c>
      <c r="M23778" t="s">
        <v>65</v>
      </c>
      <c r="N23778" t="str">
        <f>"304305      "</f>
        <v xml:space="preserve">304305      </v>
      </c>
      <c r="O23778">
        <v>230307</v>
      </c>
    </row>
    <row r="23779" spans="1:15" x14ac:dyDescent="0.25">
      <c r="A23779" t="s">
        <v>16</v>
      </c>
      <c r="B23779" t="s">
        <v>3221</v>
      </c>
      <c r="C23779">
        <v>713</v>
      </c>
      <c r="D23779" t="s">
        <v>3719</v>
      </c>
      <c r="E23779" t="s">
        <v>701</v>
      </c>
      <c r="F23779">
        <v>96.5</v>
      </c>
      <c r="G23779">
        <v>230120</v>
      </c>
      <c r="H23779">
        <v>4580</v>
      </c>
      <c r="I23779" t="s">
        <v>35</v>
      </c>
      <c r="J23779">
        <v>119.66</v>
      </c>
      <c r="K23779">
        <v>23.16</v>
      </c>
      <c r="L23779">
        <v>17525</v>
      </c>
      <c r="M23779" t="s">
        <v>135</v>
      </c>
      <c r="N23779" t="str">
        <f>"V/2023/01311"</f>
        <v>V/2023/01311</v>
      </c>
      <c r="O23779">
        <v>230127</v>
      </c>
    </row>
    <row r="23780" spans="1:15" x14ac:dyDescent="0.25">
      <c r="A23780" t="s">
        <v>16</v>
      </c>
      <c r="B23780" t="s">
        <v>3221</v>
      </c>
      <c r="C23780">
        <v>10044</v>
      </c>
      <c r="D23780" t="s">
        <v>3719</v>
      </c>
      <c r="E23780" t="s">
        <v>701</v>
      </c>
      <c r="F23780">
        <v>466</v>
      </c>
      <c r="G23780">
        <v>230801</v>
      </c>
      <c r="H23780">
        <v>4580</v>
      </c>
      <c r="I23780" t="s">
        <v>35</v>
      </c>
      <c r="J23780">
        <v>577.84</v>
      </c>
      <c r="K23780">
        <v>111.84</v>
      </c>
      <c r="L23780">
        <v>56558</v>
      </c>
      <c r="M23780" t="s">
        <v>217</v>
      </c>
      <c r="N23780" t="str">
        <f>"V/2023/13476"</f>
        <v>V/2023/13476</v>
      </c>
      <c r="O23780">
        <v>230807</v>
      </c>
    </row>
    <row r="23781" spans="1:15" x14ac:dyDescent="0.25">
      <c r="A23781" t="s">
        <v>16</v>
      </c>
      <c r="B23781" t="s">
        <v>3221</v>
      </c>
      <c r="C23781">
        <v>10145</v>
      </c>
      <c r="D23781" t="s">
        <v>3719</v>
      </c>
      <c r="E23781" t="s">
        <v>701</v>
      </c>
      <c r="F23781">
        <v>980.4</v>
      </c>
      <c r="G23781">
        <v>230801</v>
      </c>
      <c r="H23781">
        <v>4580</v>
      </c>
      <c r="I23781" t="s">
        <v>35</v>
      </c>
      <c r="J23781">
        <v>1215.7</v>
      </c>
      <c r="K23781">
        <v>235.3</v>
      </c>
      <c r="L23781">
        <v>56558</v>
      </c>
      <c r="M23781" t="s">
        <v>217</v>
      </c>
      <c r="N23781" t="str">
        <f>"V/2023/13471"</f>
        <v>V/2023/13471</v>
      </c>
      <c r="O23781">
        <v>230808</v>
      </c>
    </row>
    <row r="23782" spans="1:15" x14ac:dyDescent="0.25">
      <c r="A23782" t="s">
        <v>16</v>
      </c>
      <c r="B23782" t="s">
        <v>3221</v>
      </c>
      <c r="C23782">
        <v>13141</v>
      </c>
      <c r="D23782" t="s">
        <v>3719</v>
      </c>
      <c r="E23782" t="s">
        <v>701</v>
      </c>
      <c r="F23782">
        <v>138.80000000000001</v>
      </c>
      <c r="G23782">
        <v>230913</v>
      </c>
      <c r="H23782">
        <v>4580</v>
      </c>
      <c r="I23782" t="s">
        <v>35</v>
      </c>
      <c r="J23782">
        <v>172.11</v>
      </c>
      <c r="K23782">
        <v>33.31</v>
      </c>
      <c r="L23782">
        <v>17521</v>
      </c>
      <c r="M23782" t="s">
        <v>133</v>
      </c>
      <c r="N23782" t="str">
        <f>"V/2023/16125"</f>
        <v>V/2023/16125</v>
      </c>
      <c r="O23782">
        <v>231004</v>
      </c>
    </row>
    <row r="23783" spans="1:15" x14ac:dyDescent="0.25">
      <c r="A23783" t="s">
        <v>16</v>
      </c>
      <c r="B23783" t="s">
        <v>3221</v>
      </c>
      <c r="C23783">
        <v>13646</v>
      </c>
      <c r="D23783" t="s">
        <v>3719</v>
      </c>
      <c r="E23783" t="s">
        <v>701</v>
      </c>
      <c r="F23783">
        <v>381</v>
      </c>
      <c r="G23783">
        <v>231003</v>
      </c>
      <c r="H23783">
        <v>4580</v>
      </c>
      <c r="I23783" t="s">
        <v>35</v>
      </c>
      <c r="J23783">
        <v>472.44</v>
      </c>
      <c r="K23783">
        <v>91.44</v>
      </c>
      <c r="L23783">
        <v>56558</v>
      </c>
      <c r="M23783" t="s">
        <v>217</v>
      </c>
      <c r="N23783" t="str">
        <f>"V/2023/17344"</f>
        <v>V/2023/17344</v>
      </c>
      <c r="O23783">
        <v>231012</v>
      </c>
    </row>
    <row r="23784" spans="1:15" x14ac:dyDescent="0.25">
      <c r="A23784" t="s">
        <v>16</v>
      </c>
      <c r="B23784" t="s">
        <v>3221</v>
      </c>
      <c r="C23784">
        <v>15285</v>
      </c>
      <c r="D23784" t="s">
        <v>3719</v>
      </c>
      <c r="E23784" t="s">
        <v>701</v>
      </c>
      <c r="F23784">
        <v>45.2</v>
      </c>
      <c r="G23784">
        <v>231108</v>
      </c>
      <c r="H23784">
        <v>4580</v>
      </c>
      <c r="I23784" t="s">
        <v>35</v>
      </c>
      <c r="J23784">
        <v>56.05</v>
      </c>
      <c r="K23784">
        <v>10.85</v>
      </c>
      <c r="L23784">
        <v>17525</v>
      </c>
      <c r="M23784" t="s">
        <v>135</v>
      </c>
      <c r="N23784" t="str">
        <f>"V/2023/19803"</f>
        <v>V/2023/19803</v>
      </c>
      <c r="O23784">
        <v>231109</v>
      </c>
    </row>
    <row r="23785" spans="1:15" x14ac:dyDescent="0.25">
      <c r="A23785" t="s">
        <v>16</v>
      </c>
      <c r="B23785" t="s">
        <v>3221</v>
      </c>
      <c r="C23785">
        <v>15637</v>
      </c>
      <c r="D23785" t="s">
        <v>3719</v>
      </c>
      <c r="E23785" t="s">
        <v>701</v>
      </c>
      <c r="F23785">
        <v>357.26</v>
      </c>
      <c r="G23785">
        <v>231106</v>
      </c>
      <c r="H23785">
        <v>4580</v>
      </c>
      <c r="I23785" t="s">
        <v>35</v>
      </c>
      <c r="J23785">
        <v>443</v>
      </c>
      <c r="K23785">
        <v>85.74</v>
      </c>
      <c r="L23785">
        <v>56558</v>
      </c>
      <c r="M23785" t="s">
        <v>217</v>
      </c>
      <c r="N23785" t="str">
        <f>"V/2023/19663"</f>
        <v>V/2023/19663</v>
      </c>
      <c r="O23785">
        <v>231114</v>
      </c>
    </row>
    <row r="23786" spans="1:15" x14ac:dyDescent="0.25">
      <c r="A23786" t="s">
        <v>16</v>
      </c>
      <c r="B23786" t="s">
        <v>3221</v>
      </c>
      <c r="C23786">
        <v>16444</v>
      </c>
      <c r="D23786" t="s">
        <v>3719</v>
      </c>
      <c r="E23786" t="s">
        <v>701</v>
      </c>
      <c r="F23786">
        <v>82.75</v>
      </c>
      <c r="G23786">
        <v>231124</v>
      </c>
      <c r="H23786">
        <v>4580</v>
      </c>
      <c r="I23786" t="s">
        <v>35</v>
      </c>
      <c r="J23786">
        <v>102.61</v>
      </c>
      <c r="K23786">
        <v>19.86</v>
      </c>
      <c r="L23786">
        <v>56558</v>
      </c>
      <c r="M23786" t="s">
        <v>217</v>
      </c>
      <c r="N23786" t="str">
        <f>"V/2023/20893"</f>
        <v>V/2023/20893</v>
      </c>
      <c r="O23786">
        <v>231129</v>
      </c>
    </row>
    <row r="23787" spans="1:15" x14ac:dyDescent="0.25">
      <c r="A23787" t="s">
        <v>16</v>
      </c>
      <c r="B23787" t="s">
        <v>3221</v>
      </c>
      <c r="C23787">
        <v>13156</v>
      </c>
      <c r="D23787" t="s">
        <v>3719</v>
      </c>
      <c r="E23787" t="s">
        <v>701</v>
      </c>
      <c r="F23787">
        <v>224.87</v>
      </c>
      <c r="G23787">
        <v>230922</v>
      </c>
      <c r="H23787">
        <v>4400</v>
      </c>
      <c r="I23787" t="s">
        <v>348</v>
      </c>
      <c r="J23787">
        <v>278.83999999999997</v>
      </c>
      <c r="K23787">
        <v>53.97</v>
      </c>
      <c r="L23787">
        <v>17524</v>
      </c>
      <c r="M23787" t="s">
        <v>452</v>
      </c>
      <c r="N23787" t="str">
        <f>"V/2023/16774"</f>
        <v>V/2023/16774</v>
      </c>
      <c r="O23787">
        <v>231004</v>
      </c>
    </row>
    <row r="23788" spans="1:15" x14ac:dyDescent="0.25">
      <c r="A23788" t="s">
        <v>16</v>
      </c>
      <c r="B23788" t="s">
        <v>3221</v>
      </c>
      <c r="C23788">
        <v>10485</v>
      </c>
      <c r="D23788" t="s">
        <v>3719</v>
      </c>
      <c r="E23788" t="s">
        <v>701</v>
      </c>
      <c r="F23788">
        <v>464</v>
      </c>
      <c r="G23788">
        <v>230801</v>
      </c>
      <c r="H23788">
        <v>4600</v>
      </c>
      <c r="I23788" t="s">
        <v>105</v>
      </c>
      <c r="J23788">
        <v>575.36</v>
      </c>
      <c r="K23788">
        <v>111.36</v>
      </c>
      <c r="L23788">
        <v>56558</v>
      </c>
      <c r="M23788" t="s">
        <v>217</v>
      </c>
      <c r="N23788" t="str">
        <f>"V/2023/13475"</f>
        <v>V/2023/13475</v>
      </c>
      <c r="O23788">
        <v>230817</v>
      </c>
    </row>
    <row r="23789" spans="1:15" x14ac:dyDescent="0.25">
      <c r="A23789" t="s">
        <v>16</v>
      </c>
      <c r="B23789" t="s">
        <v>3221</v>
      </c>
      <c r="C23789">
        <v>15285</v>
      </c>
      <c r="D23789" t="s">
        <v>3719</v>
      </c>
      <c r="E23789" t="s">
        <v>701</v>
      </c>
      <c r="F23789">
        <v>45.2</v>
      </c>
      <c r="G23789">
        <v>231108</v>
      </c>
      <c r="H23789">
        <v>4600</v>
      </c>
      <c r="I23789" t="s">
        <v>105</v>
      </c>
      <c r="J23789">
        <v>56.05</v>
      </c>
      <c r="K23789">
        <v>10.85</v>
      </c>
      <c r="L23789">
        <v>17636</v>
      </c>
      <c r="M23789" t="s">
        <v>352</v>
      </c>
      <c r="N23789" t="str">
        <f>"V/2023/19803"</f>
        <v>V/2023/19803</v>
      </c>
      <c r="O23789">
        <v>231109</v>
      </c>
    </row>
    <row r="23790" spans="1:15" x14ac:dyDescent="0.25">
      <c r="A23790" t="s">
        <v>16</v>
      </c>
      <c r="B23790" t="s">
        <v>3221</v>
      </c>
      <c r="C23790">
        <v>808</v>
      </c>
      <c r="D23790" t="s">
        <v>3342</v>
      </c>
      <c r="E23790" t="s">
        <v>3343</v>
      </c>
      <c r="F23790">
        <v>175</v>
      </c>
      <c r="G23790">
        <v>230117</v>
      </c>
      <c r="H23790">
        <v>4510</v>
      </c>
      <c r="I23790" t="s">
        <v>42</v>
      </c>
      <c r="J23790">
        <v>217</v>
      </c>
      <c r="K23790">
        <v>42</v>
      </c>
      <c r="L23790">
        <v>56566</v>
      </c>
      <c r="M23790" t="s">
        <v>652</v>
      </c>
      <c r="N23790" t="str">
        <f>"T2300543    "</f>
        <v xml:space="preserve">T2300543    </v>
      </c>
      <c r="O23790">
        <v>230130</v>
      </c>
    </row>
    <row r="23791" spans="1:15" x14ac:dyDescent="0.25">
      <c r="A23791" t="s">
        <v>16</v>
      </c>
      <c r="B23791" t="s">
        <v>3221</v>
      </c>
      <c r="C23791">
        <v>2509</v>
      </c>
      <c r="D23791" t="s">
        <v>3342</v>
      </c>
      <c r="E23791" t="s">
        <v>3343</v>
      </c>
      <c r="F23791">
        <v>305</v>
      </c>
      <c r="G23791">
        <v>230216</v>
      </c>
      <c r="H23791">
        <v>4510</v>
      </c>
      <c r="I23791" t="s">
        <v>42</v>
      </c>
      <c r="J23791">
        <v>378.2</v>
      </c>
      <c r="K23791">
        <v>73.2</v>
      </c>
      <c r="L23791">
        <v>56566</v>
      </c>
      <c r="M23791" t="s">
        <v>652</v>
      </c>
      <c r="N23791" t="str">
        <f>"T2301027    "</f>
        <v xml:space="preserve">T2301027    </v>
      </c>
      <c r="O23791">
        <v>230301</v>
      </c>
    </row>
    <row r="23792" spans="1:15" x14ac:dyDescent="0.25">
      <c r="A23792" t="s">
        <v>16</v>
      </c>
      <c r="B23792" t="s">
        <v>3221</v>
      </c>
      <c r="C23792">
        <v>5109</v>
      </c>
      <c r="D23792" t="s">
        <v>3342</v>
      </c>
      <c r="E23792" t="s">
        <v>3343</v>
      </c>
      <c r="F23792">
        <v>274</v>
      </c>
      <c r="G23792">
        <v>230331</v>
      </c>
      <c r="H23792">
        <v>4510</v>
      </c>
      <c r="I23792" t="s">
        <v>42</v>
      </c>
      <c r="J23792">
        <v>339.76</v>
      </c>
      <c r="K23792">
        <v>65.760000000000005</v>
      </c>
      <c r="L23792">
        <v>17809</v>
      </c>
      <c r="M23792" t="s">
        <v>376</v>
      </c>
      <c r="N23792" t="str">
        <f>"T2302288    "</f>
        <v xml:space="preserve">T2302288    </v>
      </c>
      <c r="O23792">
        <v>230418</v>
      </c>
    </row>
    <row r="23793" spans="1:15" x14ac:dyDescent="0.25">
      <c r="A23793" t="s">
        <v>16</v>
      </c>
      <c r="B23793" t="s">
        <v>3221</v>
      </c>
      <c r="C23793">
        <v>7530</v>
      </c>
      <c r="D23793" t="s">
        <v>3342</v>
      </c>
      <c r="E23793" t="s">
        <v>3343</v>
      </c>
      <c r="F23793">
        <v>139</v>
      </c>
      <c r="G23793">
        <v>230525</v>
      </c>
      <c r="H23793">
        <v>4510</v>
      </c>
      <c r="I23793" t="s">
        <v>42</v>
      </c>
      <c r="J23793">
        <v>172.36</v>
      </c>
      <c r="K23793">
        <v>33.36</v>
      </c>
      <c r="L23793">
        <v>46554</v>
      </c>
      <c r="M23793" t="s">
        <v>117</v>
      </c>
      <c r="N23793" t="str">
        <f>"T2303253    "</f>
        <v xml:space="preserve">T2303253    </v>
      </c>
      <c r="O23793">
        <v>230531</v>
      </c>
    </row>
    <row r="23794" spans="1:15" x14ac:dyDescent="0.25">
      <c r="A23794" t="s">
        <v>16</v>
      </c>
      <c r="B23794" t="s">
        <v>3221</v>
      </c>
      <c r="C23794">
        <v>11099</v>
      </c>
      <c r="D23794" t="s">
        <v>3342</v>
      </c>
      <c r="E23794" t="s">
        <v>3343</v>
      </c>
      <c r="F23794">
        <v>20.16</v>
      </c>
      <c r="G23794">
        <v>230828</v>
      </c>
      <c r="H23794">
        <v>4510</v>
      </c>
      <c r="I23794" t="s">
        <v>42</v>
      </c>
      <c r="J23794">
        <v>25</v>
      </c>
      <c r="K23794">
        <v>4.84</v>
      </c>
      <c r="L23794">
        <v>17809</v>
      </c>
      <c r="M23794" t="s">
        <v>376</v>
      </c>
      <c r="N23794" t="str">
        <f>"T2304468    "</f>
        <v xml:space="preserve">T2304468    </v>
      </c>
      <c r="O23794">
        <v>230830</v>
      </c>
    </row>
    <row r="23795" spans="1:15" x14ac:dyDescent="0.25">
      <c r="A23795" t="s">
        <v>16</v>
      </c>
      <c r="B23795" t="s">
        <v>3221</v>
      </c>
      <c r="C23795">
        <v>12485</v>
      </c>
      <c r="D23795" t="s">
        <v>3342</v>
      </c>
      <c r="E23795" t="s">
        <v>3343</v>
      </c>
      <c r="F23795">
        <v>11.69</v>
      </c>
      <c r="G23795">
        <v>230920</v>
      </c>
      <c r="H23795">
        <v>4510</v>
      </c>
      <c r="I23795" t="s">
        <v>42</v>
      </c>
      <c r="J23795">
        <v>14.5</v>
      </c>
      <c r="K23795">
        <v>2.81</v>
      </c>
      <c r="L23795">
        <v>56564</v>
      </c>
      <c r="M23795" t="s">
        <v>327</v>
      </c>
      <c r="N23795" t="str">
        <f>"T2304912    "</f>
        <v xml:space="preserve">T2304912    </v>
      </c>
      <c r="O23795">
        <v>230920</v>
      </c>
    </row>
    <row r="23796" spans="1:15" x14ac:dyDescent="0.25">
      <c r="A23796" t="s">
        <v>16</v>
      </c>
      <c r="B23796" t="s">
        <v>3221</v>
      </c>
      <c r="C23796">
        <v>14349</v>
      </c>
      <c r="D23796" t="s">
        <v>3342</v>
      </c>
      <c r="E23796" t="s">
        <v>3343</v>
      </c>
      <c r="F23796">
        <v>22</v>
      </c>
      <c r="G23796">
        <v>231019</v>
      </c>
      <c r="H23796">
        <v>4510</v>
      </c>
      <c r="I23796" t="s">
        <v>42</v>
      </c>
      <c r="J23796">
        <v>27.28</v>
      </c>
      <c r="K23796">
        <v>5.28</v>
      </c>
      <c r="L23796">
        <v>56566</v>
      </c>
      <c r="M23796" t="s">
        <v>652</v>
      </c>
      <c r="N23796" t="str">
        <f>"T2305659    "</f>
        <v xml:space="preserve">T2305659    </v>
      </c>
      <c r="O23796">
        <v>231027</v>
      </c>
    </row>
    <row r="23797" spans="1:15" x14ac:dyDescent="0.25">
      <c r="A23797" t="s">
        <v>16</v>
      </c>
      <c r="B23797" t="s">
        <v>3221</v>
      </c>
      <c r="C23797">
        <v>16928</v>
      </c>
      <c r="D23797" t="s">
        <v>3342</v>
      </c>
      <c r="E23797" t="s">
        <v>3343</v>
      </c>
      <c r="F23797">
        <v>4</v>
      </c>
      <c r="G23797">
        <v>231130</v>
      </c>
      <c r="H23797">
        <v>4510</v>
      </c>
      <c r="I23797" t="s">
        <v>42</v>
      </c>
      <c r="J23797">
        <v>4.96</v>
      </c>
      <c r="K23797">
        <v>0.96</v>
      </c>
      <c r="L23797">
        <v>56566</v>
      </c>
      <c r="M23797" t="s">
        <v>652</v>
      </c>
      <c r="N23797" t="str">
        <f>"T2306800    "</f>
        <v xml:space="preserve">T2306800    </v>
      </c>
      <c r="O23797">
        <v>231211</v>
      </c>
    </row>
    <row r="23798" spans="1:15" x14ac:dyDescent="0.25">
      <c r="A23798" t="s">
        <v>16</v>
      </c>
      <c r="B23798" t="s">
        <v>3221</v>
      </c>
      <c r="C23798">
        <v>18072</v>
      </c>
      <c r="D23798" t="s">
        <v>3342</v>
      </c>
      <c r="E23798" t="s">
        <v>3343</v>
      </c>
      <c r="F23798">
        <v>108</v>
      </c>
      <c r="G23798">
        <v>231201</v>
      </c>
      <c r="H23798">
        <v>4510</v>
      </c>
      <c r="I23798" t="s">
        <v>42</v>
      </c>
      <c r="J23798">
        <v>133.91999999999999</v>
      </c>
      <c r="K23798">
        <v>25.92</v>
      </c>
      <c r="L23798">
        <v>56566</v>
      </c>
      <c r="M23798" t="s">
        <v>652</v>
      </c>
      <c r="N23798" t="str">
        <f>"T2306639    "</f>
        <v xml:space="preserve">T2306639    </v>
      </c>
      <c r="O23798">
        <v>240102</v>
      </c>
    </row>
    <row r="23799" spans="1:15" x14ac:dyDescent="0.25">
      <c r="A23799" t="s">
        <v>16</v>
      </c>
      <c r="B23799" t="s">
        <v>3221</v>
      </c>
      <c r="C23799">
        <v>19136</v>
      </c>
      <c r="D23799" t="s">
        <v>3342</v>
      </c>
      <c r="E23799" t="s">
        <v>3343</v>
      </c>
      <c r="F23799">
        <v>4</v>
      </c>
      <c r="G23799">
        <v>231231</v>
      </c>
      <c r="H23799">
        <v>4510</v>
      </c>
      <c r="I23799" t="s">
        <v>42</v>
      </c>
      <c r="J23799">
        <v>4.96</v>
      </c>
      <c r="K23799">
        <v>0.96</v>
      </c>
      <c r="L23799">
        <v>56566</v>
      </c>
      <c r="M23799" t="s">
        <v>652</v>
      </c>
      <c r="N23799" t="str">
        <f>"T2307181    "</f>
        <v xml:space="preserve">T2307181    </v>
      </c>
      <c r="O23799">
        <v>240111</v>
      </c>
    </row>
    <row r="23800" spans="1:15" x14ac:dyDescent="0.25">
      <c r="A23800" t="s">
        <v>16</v>
      </c>
      <c r="B23800" t="s">
        <v>3221</v>
      </c>
      <c r="C23800">
        <v>1136</v>
      </c>
      <c r="D23800" t="s">
        <v>3342</v>
      </c>
      <c r="E23800" t="s">
        <v>3343</v>
      </c>
      <c r="F23800">
        <v>220</v>
      </c>
      <c r="G23800">
        <v>230131</v>
      </c>
      <c r="H23800">
        <v>4600</v>
      </c>
      <c r="I23800" t="s">
        <v>105</v>
      </c>
      <c r="J23800">
        <v>272.8</v>
      </c>
      <c r="K23800">
        <v>52.8</v>
      </c>
      <c r="L23800">
        <v>17809</v>
      </c>
      <c r="M23800" t="s">
        <v>376</v>
      </c>
      <c r="N23800" t="str">
        <f>"T2300708    "</f>
        <v xml:space="preserve">T2300708    </v>
      </c>
      <c r="O23800">
        <v>230206</v>
      </c>
    </row>
    <row r="23801" spans="1:15" x14ac:dyDescent="0.25">
      <c r="A23801" t="s">
        <v>16</v>
      </c>
      <c r="B23801" t="s">
        <v>3221</v>
      </c>
      <c r="C23801">
        <v>2509</v>
      </c>
      <c r="D23801" t="s">
        <v>3342</v>
      </c>
      <c r="E23801" t="s">
        <v>3343</v>
      </c>
      <c r="F23801">
        <v>85</v>
      </c>
      <c r="G23801">
        <v>230216</v>
      </c>
      <c r="H23801">
        <v>4600</v>
      </c>
      <c r="I23801" t="s">
        <v>105</v>
      </c>
      <c r="J23801">
        <v>105.4</v>
      </c>
      <c r="K23801">
        <v>20.399999999999999</v>
      </c>
      <c r="L23801">
        <v>46559</v>
      </c>
      <c r="M23801" t="s">
        <v>1104</v>
      </c>
      <c r="N23801" t="str">
        <f>"T2301027    "</f>
        <v xml:space="preserve">T2301027    </v>
      </c>
      <c r="O23801">
        <v>230301</v>
      </c>
    </row>
    <row r="23802" spans="1:15" x14ac:dyDescent="0.25">
      <c r="A23802" t="s">
        <v>16</v>
      </c>
      <c r="B23802" t="s">
        <v>3221</v>
      </c>
      <c r="C23802">
        <v>7138</v>
      </c>
      <c r="D23802" t="s">
        <v>3342</v>
      </c>
      <c r="E23802" t="s">
        <v>3343</v>
      </c>
      <c r="F23802">
        <v>148</v>
      </c>
      <c r="G23802">
        <v>230501</v>
      </c>
      <c r="H23802">
        <v>4600</v>
      </c>
      <c r="I23802" t="s">
        <v>105</v>
      </c>
      <c r="J23802">
        <v>183.52</v>
      </c>
      <c r="K23802">
        <v>35.520000000000003</v>
      </c>
      <c r="L23802">
        <v>17809</v>
      </c>
      <c r="M23802" t="s">
        <v>376</v>
      </c>
      <c r="N23802" t="str">
        <f>"T2302617    "</f>
        <v xml:space="preserve">T2302617    </v>
      </c>
      <c r="O23802">
        <v>230525</v>
      </c>
    </row>
    <row r="23803" spans="1:15" x14ac:dyDescent="0.25">
      <c r="A23803" t="s">
        <v>16</v>
      </c>
      <c r="B23803" t="s">
        <v>3221</v>
      </c>
      <c r="C23803">
        <v>7138</v>
      </c>
      <c r="D23803" t="s">
        <v>3342</v>
      </c>
      <c r="E23803" t="s">
        <v>3343</v>
      </c>
      <c r="F23803">
        <v>157</v>
      </c>
      <c r="G23803">
        <v>230501</v>
      </c>
      <c r="H23803">
        <v>4600</v>
      </c>
      <c r="I23803" t="s">
        <v>105</v>
      </c>
      <c r="J23803">
        <v>194.68</v>
      </c>
      <c r="K23803">
        <v>37.68</v>
      </c>
      <c r="L23803">
        <v>46556</v>
      </c>
      <c r="M23803" t="s">
        <v>125</v>
      </c>
      <c r="N23803" t="str">
        <f>"T2302617    "</f>
        <v xml:space="preserve">T2302617    </v>
      </c>
      <c r="O23803">
        <v>230525</v>
      </c>
    </row>
    <row r="23804" spans="1:15" x14ac:dyDescent="0.25">
      <c r="A23804" t="s">
        <v>16</v>
      </c>
      <c r="B23804" t="s">
        <v>3221</v>
      </c>
      <c r="C23804">
        <v>7138</v>
      </c>
      <c r="D23804" t="s">
        <v>3342</v>
      </c>
      <c r="E23804" t="s">
        <v>3343</v>
      </c>
      <c r="F23804">
        <v>85</v>
      </c>
      <c r="G23804">
        <v>230501</v>
      </c>
      <c r="H23804">
        <v>4600</v>
      </c>
      <c r="I23804" t="s">
        <v>105</v>
      </c>
      <c r="J23804">
        <v>105.4</v>
      </c>
      <c r="K23804">
        <v>20.399999999999999</v>
      </c>
      <c r="L23804">
        <v>56566</v>
      </c>
      <c r="M23804" t="s">
        <v>652</v>
      </c>
      <c r="N23804" t="str">
        <f>"T2302617    "</f>
        <v xml:space="preserve">T2302617    </v>
      </c>
      <c r="O23804">
        <v>230525</v>
      </c>
    </row>
    <row r="23805" spans="1:15" x14ac:dyDescent="0.25">
      <c r="A23805" t="s">
        <v>16</v>
      </c>
      <c r="B23805" t="s">
        <v>3221</v>
      </c>
      <c r="C23805">
        <v>13178</v>
      </c>
      <c r="D23805" t="s">
        <v>3342</v>
      </c>
      <c r="E23805" t="s">
        <v>3343</v>
      </c>
      <c r="F23805">
        <v>121</v>
      </c>
      <c r="G23805">
        <v>230921</v>
      </c>
      <c r="H23805">
        <v>4600</v>
      </c>
      <c r="I23805" t="s">
        <v>105</v>
      </c>
      <c r="J23805">
        <v>150.04</v>
      </c>
      <c r="K23805">
        <v>29.04</v>
      </c>
      <c r="L23805">
        <v>46554</v>
      </c>
      <c r="M23805" t="s">
        <v>117</v>
      </c>
      <c r="N23805" t="str">
        <f>"T2305021    "</f>
        <v xml:space="preserve">T2305021    </v>
      </c>
      <c r="O23805">
        <v>231005</v>
      </c>
    </row>
    <row r="23806" spans="1:15" x14ac:dyDescent="0.25">
      <c r="A23806" t="s">
        <v>16</v>
      </c>
      <c r="B23806" t="s">
        <v>3221</v>
      </c>
      <c r="C23806">
        <v>13326</v>
      </c>
      <c r="D23806" t="s">
        <v>3342</v>
      </c>
      <c r="E23806" t="s">
        <v>3343</v>
      </c>
      <c r="F23806">
        <v>8.0399999999999991</v>
      </c>
      <c r="G23806">
        <v>231005</v>
      </c>
      <c r="H23806">
        <v>4600</v>
      </c>
      <c r="I23806" t="s">
        <v>105</v>
      </c>
      <c r="J23806">
        <v>9.9700000000000006</v>
      </c>
      <c r="K23806">
        <v>1.93</v>
      </c>
      <c r="L23806">
        <v>17807</v>
      </c>
      <c r="M23806" t="s">
        <v>318</v>
      </c>
      <c r="N23806" t="str">
        <f>"T2305350    "</f>
        <v xml:space="preserve">T2305350    </v>
      </c>
      <c r="O23806">
        <v>231009</v>
      </c>
    </row>
    <row r="23807" spans="1:15" x14ac:dyDescent="0.25">
      <c r="A23807" t="s">
        <v>16</v>
      </c>
      <c r="B23807" t="s">
        <v>3221</v>
      </c>
      <c r="C23807">
        <v>15997</v>
      </c>
      <c r="D23807" t="s">
        <v>3342</v>
      </c>
      <c r="E23807" t="s">
        <v>3343</v>
      </c>
      <c r="F23807">
        <v>24</v>
      </c>
      <c r="G23807">
        <v>231116</v>
      </c>
      <c r="H23807">
        <v>4600</v>
      </c>
      <c r="I23807" t="s">
        <v>105</v>
      </c>
      <c r="J23807">
        <v>29.76</v>
      </c>
      <c r="K23807">
        <v>5.76</v>
      </c>
      <c r="L23807">
        <v>17808</v>
      </c>
      <c r="M23807" t="s">
        <v>322</v>
      </c>
      <c r="N23807" t="str">
        <f>"T2306304    "</f>
        <v xml:space="preserve">T2306304    </v>
      </c>
      <c r="O23807">
        <v>231122</v>
      </c>
    </row>
    <row r="23808" spans="1:15" x14ac:dyDescent="0.25">
      <c r="A23808" t="s">
        <v>16</v>
      </c>
      <c r="B23808" t="s">
        <v>3221</v>
      </c>
      <c r="C23808">
        <v>9060</v>
      </c>
      <c r="D23808" t="s">
        <v>3342</v>
      </c>
      <c r="E23808" t="s">
        <v>3343</v>
      </c>
      <c r="F23808">
        <v>103</v>
      </c>
      <c r="G23808">
        <v>230615</v>
      </c>
      <c r="H23808">
        <v>4470</v>
      </c>
      <c r="I23808" t="s">
        <v>83</v>
      </c>
      <c r="J23808">
        <v>127.72</v>
      </c>
      <c r="K23808">
        <v>24.72</v>
      </c>
      <c r="L23808">
        <v>56566</v>
      </c>
      <c r="M23808" t="s">
        <v>652</v>
      </c>
      <c r="N23808" t="str">
        <f>"T2303705    "</f>
        <v xml:space="preserve">T2303705    </v>
      </c>
      <c r="O23808">
        <v>230622</v>
      </c>
    </row>
    <row r="23809" spans="1:15" x14ac:dyDescent="0.25">
      <c r="A23809" t="s">
        <v>16</v>
      </c>
      <c r="B23809" t="s">
        <v>3221</v>
      </c>
      <c r="C23809">
        <v>5619</v>
      </c>
      <c r="D23809" t="s">
        <v>3342</v>
      </c>
      <c r="E23809" t="s">
        <v>3343</v>
      </c>
      <c r="F23809">
        <v>121</v>
      </c>
      <c r="G23809">
        <v>230420</v>
      </c>
      <c r="H23809">
        <v>4440</v>
      </c>
      <c r="I23809" t="s">
        <v>250</v>
      </c>
      <c r="J23809">
        <v>150.04</v>
      </c>
      <c r="K23809">
        <v>29.04</v>
      </c>
      <c r="L23809">
        <v>17809</v>
      </c>
      <c r="M23809" t="s">
        <v>376</v>
      </c>
      <c r="N23809" t="str">
        <f t="shared" ref="N23809:N23814" si="460">"T2302424    "</f>
        <v xml:space="preserve">T2302424    </v>
      </c>
      <c r="O23809">
        <v>230428</v>
      </c>
    </row>
    <row r="23810" spans="1:15" x14ac:dyDescent="0.25">
      <c r="A23810" t="s">
        <v>16</v>
      </c>
      <c r="B23810" t="s">
        <v>3221</v>
      </c>
      <c r="C23810">
        <v>5619</v>
      </c>
      <c r="D23810" t="s">
        <v>3342</v>
      </c>
      <c r="E23810" t="s">
        <v>3343</v>
      </c>
      <c r="F23810">
        <v>65</v>
      </c>
      <c r="G23810">
        <v>230420</v>
      </c>
      <c r="H23810">
        <v>4440</v>
      </c>
      <c r="I23810" t="s">
        <v>250</v>
      </c>
      <c r="J23810">
        <v>80.599999999999994</v>
      </c>
      <c r="K23810">
        <v>15.6</v>
      </c>
      <c r="L23810">
        <v>56522</v>
      </c>
      <c r="M23810" t="s">
        <v>43</v>
      </c>
      <c r="N23810" t="str">
        <f t="shared" si="460"/>
        <v xml:space="preserve">T2302424    </v>
      </c>
      <c r="O23810">
        <v>230428</v>
      </c>
    </row>
    <row r="23811" spans="1:15" x14ac:dyDescent="0.25">
      <c r="A23811" t="s">
        <v>16</v>
      </c>
      <c r="B23811" t="s">
        <v>3221</v>
      </c>
      <c r="C23811">
        <v>5619</v>
      </c>
      <c r="D23811" t="s">
        <v>3342</v>
      </c>
      <c r="E23811" t="s">
        <v>3343</v>
      </c>
      <c r="F23811">
        <v>65</v>
      </c>
      <c r="G23811">
        <v>230420</v>
      </c>
      <c r="H23811">
        <v>4440</v>
      </c>
      <c r="I23811" t="s">
        <v>250</v>
      </c>
      <c r="J23811">
        <v>80.599999999999994</v>
      </c>
      <c r="K23811">
        <v>15.6</v>
      </c>
      <c r="L23811">
        <v>56566</v>
      </c>
      <c r="M23811" t="s">
        <v>652</v>
      </c>
      <c r="N23811" t="str">
        <f t="shared" si="460"/>
        <v xml:space="preserve">T2302424    </v>
      </c>
      <c r="O23811">
        <v>230428</v>
      </c>
    </row>
    <row r="23812" spans="1:15" x14ac:dyDescent="0.25">
      <c r="A23812" t="s">
        <v>16</v>
      </c>
      <c r="B23812" t="s">
        <v>3221</v>
      </c>
      <c r="C23812">
        <v>5619</v>
      </c>
      <c r="D23812" t="s">
        <v>3342</v>
      </c>
      <c r="E23812" t="s">
        <v>3343</v>
      </c>
      <c r="F23812">
        <v>18.32</v>
      </c>
      <c r="G23812">
        <v>230420</v>
      </c>
      <c r="H23812">
        <v>4440</v>
      </c>
      <c r="I23812" t="s">
        <v>250</v>
      </c>
      <c r="J23812">
        <v>22.72</v>
      </c>
      <c r="K23812">
        <v>4.4000000000000004</v>
      </c>
      <c r="L23812">
        <v>66722</v>
      </c>
      <c r="M23812" t="s">
        <v>518</v>
      </c>
      <c r="N23812" t="str">
        <f t="shared" si="460"/>
        <v xml:space="preserve">T2302424    </v>
      </c>
      <c r="O23812">
        <v>230428</v>
      </c>
    </row>
    <row r="23813" spans="1:15" x14ac:dyDescent="0.25">
      <c r="A23813" t="s">
        <v>16</v>
      </c>
      <c r="B23813" t="s">
        <v>3221</v>
      </c>
      <c r="C23813">
        <v>5619</v>
      </c>
      <c r="D23813" t="s">
        <v>3342</v>
      </c>
      <c r="E23813" t="s">
        <v>3343</v>
      </c>
      <c r="F23813">
        <v>109.84</v>
      </c>
      <c r="G23813">
        <v>230420</v>
      </c>
      <c r="H23813">
        <v>4440</v>
      </c>
      <c r="I23813" t="s">
        <v>250</v>
      </c>
      <c r="J23813">
        <v>136.19999999999999</v>
      </c>
      <c r="K23813">
        <v>26.36</v>
      </c>
      <c r="L23813">
        <v>66756</v>
      </c>
      <c r="M23813" t="s">
        <v>209</v>
      </c>
      <c r="N23813" t="str">
        <f t="shared" si="460"/>
        <v xml:space="preserve">T2302424    </v>
      </c>
      <c r="O23813">
        <v>230428</v>
      </c>
    </row>
    <row r="23814" spans="1:15" x14ac:dyDescent="0.25">
      <c r="A23814" t="s">
        <v>16</v>
      </c>
      <c r="B23814" t="s">
        <v>3221</v>
      </c>
      <c r="C23814">
        <v>5619</v>
      </c>
      <c r="D23814" t="s">
        <v>3342</v>
      </c>
      <c r="E23814" t="s">
        <v>3343</v>
      </c>
      <c r="F23814">
        <v>109.84</v>
      </c>
      <c r="G23814">
        <v>230420</v>
      </c>
      <c r="H23814">
        <v>4440</v>
      </c>
      <c r="I23814" t="s">
        <v>250</v>
      </c>
      <c r="J23814">
        <v>136.19999999999999</v>
      </c>
      <c r="K23814">
        <v>26.36</v>
      </c>
      <c r="L23814">
        <v>67522</v>
      </c>
      <c r="M23814" t="s">
        <v>397</v>
      </c>
      <c r="N23814" t="str">
        <f t="shared" si="460"/>
        <v xml:space="preserve">T2302424    </v>
      </c>
      <c r="O23814">
        <v>230428</v>
      </c>
    </row>
    <row r="23815" spans="1:15" x14ac:dyDescent="0.25">
      <c r="A23815" t="s">
        <v>16</v>
      </c>
      <c r="B23815" t="s">
        <v>3221</v>
      </c>
      <c r="C23815">
        <v>6308</v>
      </c>
      <c r="D23815" t="s">
        <v>3342</v>
      </c>
      <c r="E23815" t="s">
        <v>3343</v>
      </c>
      <c r="F23815">
        <v>175</v>
      </c>
      <c r="G23815">
        <v>230504</v>
      </c>
      <c r="H23815">
        <v>4440</v>
      </c>
      <c r="I23815" t="s">
        <v>250</v>
      </c>
      <c r="J23815">
        <v>217</v>
      </c>
      <c r="K23815">
        <v>42</v>
      </c>
      <c r="L23815">
        <v>17807</v>
      </c>
      <c r="M23815" t="s">
        <v>318</v>
      </c>
      <c r="N23815" t="str">
        <f>"T2302777    "</f>
        <v xml:space="preserve">T2302777    </v>
      </c>
      <c r="O23815">
        <v>230510</v>
      </c>
    </row>
    <row r="23816" spans="1:15" x14ac:dyDescent="0.25">
      <c r="A23816" t="s">
        <v>16</v>
      </c>
      <c r="B23816" t="s">
        <v>3221</v>
      </c>
      <c r="C23816">
        <v>7405</v>
      </c>
      <c r="D23816" t="s">
        <v>3342</v>
      </c>
      <c r="E23816" t="s">
        <v>3343</v>
      </c>
      <c r="F23816">
        <v>157</v>
      </c>
      <c r="G23816">
        <v>230518</v>
      </c>
      <c r="H23816">
        <v>4440</v>
      </c>
      <c r="I23816" t="s">
        <v>250</v>
      </c>
      <c r="J23816">
        <v>194.68</v>
      </c>
      <c r="K23816">
        <v>37.68</v>
      </c>
      <c r="L23816">
        <v>47522</v>
      </c>
      <c r="M23816" t="s">
        <v>410</v>
      </c>
      <c r="N23816" t="str">
        <f>"T2303100    "</f>
        <v xml:space="preserve">T2303100    </v>
      </c>
      <c r="O23816">
        <v>230529</v>
      </c>
    </row>
    <row r="23817" spans="1:15" x14ac:dyDescent="0.25">
      <c r="A23817" t="s">
        <v>16</v>
      </c>
      <c r="B23817" t="s">
        <v>3221</v>
      </c>
      <c r="C23817">
        <v>13178</v>
      </c>
      <c r="D23817" t="s">
        <v>3342</v>
      </c>
      <c r="E23817" t="s">
        <v>3343</v>
      </c>
      <c r="F23817">
        <v>157</v>
      </c>
      <c r="G23817">
        <v>230921</v>
      </c>
      <c r="H23817">
        <v>4440</v>
      </c>
      <c r="I23817" t="s">
        <v>250</v>
      </c>
      <c r="J23817">
        <v>194.68</v>
      </c>
      <c r="K23817">
        <v>37.68</v>
      </c>
      <c r="L23817">
        <v>17808</v>
      </c>
      <c r="M23817" t="s">
        <v>322</v>
      </c>
      <c r="N23817" t="str">
        <f>"T2305021    "</f>
        <v xml:space="preserve">T2305021    </v>
      </c>
      <c r="O23817">
        <v>231005</v>
      </c>
    </row>
    <row r="23818" spans="1:15" x14ac:dyDescent="0.25">
      <c r="A23818" t="s">
        <v>16</v>
      </c>
      <c r="B23818" t="s">
        <v>3221</v>
      </c>
      <c r="C23818">
        <v>13952</v>
      </c>
      <c r="D23818" t="s">
        <v>3342</v>
      </c>
      <c r="E23818" t="s">
        <v>3343</v>
      </c>
      <c r="F23818">
        <v>22</v>
      </c>
      <c r="G23818">
        <v>231005</v>
      </c>
      <c r="H23818">
        <v>4440</v>
      </c>
      <c r="I23818" t="s">
        <v>250</v>
      </c>
      <c r="J23818">
        <v>27.28</v>
      </c>
      <c r="K23818">
        <v>5.28</v>
      </c>
      <c r="L23818">
        <v>11401</v>
      </c>
      <c r="M23818" t="s">
        <v>84</v>
      </c>
      <c r="N23818" t="str">
        <f>"T2305328    "</f>
        <v xml:space="preserve">T2305328    </v>
      </c>
      <c r="O23818">
        <v>231017</v>
      </c>
    </row>
    <row r="23819" spans="1:15" x14ac:dyDescent="0.25">
      <c r="A23819" t="s">
        <v>16</v>
      </c>
      <c r="B23819" t="s">
        <v>3221</v>
      </c>
      <c r="C23819">
        <v>15438</v>
      </c>
      <c r="D23819" t="s">
        <v>3342</v>
      </c>
      <c r="E23819" t="s">
        <v>3343</v>
      </c>
      <c r="F23819">
        <v>194</v>
      </c>
      <c r="G23819">
        <v>231109</v>
      </c>
      <c r="H23819">
        <v>4440</v>
      </c>
      <c r="I23819" t="s">
        <v>250</v>
      </c>
      <c r="J23819">
        <v>240.56</v>
      </c>
      <c r="K23819">
        <v>46.56</v>
      </c>
      <c r="L23819">
        <v>41170</v>
      </c>
      <c r="M23819" t="s">
        <v>3558</v>
      </c>
      <c r="N23819" t="str">
        <f>"T2306144    "</f>
        <v xml:space="preserve">T2306144    </v>
      </c>
      <c r="O23819">
        <v>231113</v>
      </c>
    </row>
    <row r="23820" spans="1:15" x14ac:dyDescent="0.25">
      <c r="A23820" t="s">
        <v>16</v>
      </c>
      <c r="B23820" t="s">
        <v>3221</v>
      </c>
      <c r="C23820">
        <v>17882</v>
      </c>
      <c r="D23820" t="s">
        <v>3342</v>
      </c>
      <c r="E23820" t="s">
        <v>3343</v>
      </c>
      <c r="F23820">
        <v>84</v>
      </c>
      <c r="G23820">
        <v>231214</v>
      </c>
      <c r="H23820">
        <v>4440</v>
      </c>
      <c r="I23820" t="s">
        <v>250</v>
      </c>
      <c r="J23820">
        <v>104.16</v>
      </c>
      <c r="K23820">
        <v>20.16</v>
      </c>
      <c r="L23820">
        <v>17711</v>
      </c>
      <c r="M23820" t="s">
        <v>65</v>
      </c>
      <c r="N23820" t="str">
        <f>"T2306931    "</f>
        <v xml:space="preserve">T2306931    </v>
      </c>
      <c r="O23820">
        <v>231227</v>
      </c>
    </row>
    <row r="23821" spans="1:15" x14ac:dyDescent="0.25">
      <c r="A23821" t="s">
        <v>16</v>
      </c>
      <c r="B23821" t="s">
        <v>3221</v>
      </c>
      <c r="C23821">
        <v>18072</v>
      </c>
      <c r="D23821" t="s">
        <v>3342</v>
      </c>
      <c r="E23821" t="s">
        <v>3343</v>
      </c>
      <c r="F23821">
        <v>64</v>
      </c>
      <c r="G23821">
        <v>231201</v>
      </c>
      <c r="H23821">
        <v>4440</v>
      </c>
      <c r="I23821" t="s">
        <v>250</v>
      </c>
      <c r="J23821">
        <v>79.36</v>
      </c>
      <c r="K23821">
        <v>15.36</v>
      </c>
      <c r="L23821">
        <v>66756</v>
      </c>
      <c r="M23821" t="s">
        <v>209</v>
      </c>
      <c r="N23821" t="str">
        <f>"T2306639    "</f>
        <v xml:space="preserve">T2306639    </v>
      </c>
      <c r="O23821">
        <v>240102</v>
      </c>
    </row>
    <row r="23822" spans="1:15" x14ac:dyDescent="0.25">
      <c r="A23822" t="s">
        <v>16</v>
      </c>
      <c r="B23822" t="s">
        <v>3221</v>
      </c>
      <c r="C23822">
        <v>2811</v>
      </c>
      <c r="D23822" t="s">
        <v>1472</v>
      </c>
      <c r="E23822" t="s">
        <v>1473</v>
      </c>
      <c r="F23822">
        <v>107.73</v>
      </c>
      <c r="G23822">
        <v>230304</v>
      </c>
      <c r="H23822">
        <v>4470</v>
      </c>
      <c r="I23822" t="s">
        <v>83</v>
      </c>
      <c r="J23822">
        <v>118.5</v>
      </c>
      <c r="K23822">
        <v>10.77</v>
      </c>
      <c r="L23822">
        <v>46555</v>
      </c>
      <c r="M23822" t="s">
        <v>597</v>
      </c>
      <c r="N23822" t="str">
        <f>"358         "</f>
        <v xml:space="preserve">358         </v>
      </c>
      <c r="O23822">
        <v>230307</v>
      </c>
    </row>
    <row r="23823" spans="1:15" x14ac:dyDescent="0.25">
      <c r="A23823" t="s">
        <v>16</v>
      </c>
      <c r="B23823" t="s">
        <v>3221</v>
      </c>
      <c r="C23823">
        <v>4990</v>
      </c>
      <c r="D23823" t="s">
        <v>1472</v>
      </c>
      <c r="E23823" t="s">
        <v>1473</v>
      </c>
      <c r="F23823">
        <v>36.36</v>
      </c>
      <c r="G23823">
        <v>230404</v>
      </c>
      <c r="H23823">
        <v>4470</v>
      </c>
      <c r="I23823" t="s">
        <v>83</v>
      </c>
      <c r="J23823">
        <v>40</v>
      </c>
      <c r="K23823">
        <v>3.64</v>
      </c>
      <c r="L23823">
        <v>46556</v>
      </c>
      <c r="M23823" t="s">
        <v>125</v>
      </c>
      <c r="N23823" t="str">
        <f>"365         "</f>
        <v xml:space="preserve">365         </v>
      </c>
      <c r="O23823">
        <v>230417</v>
      </c>
    </row>
    <row r="23824" spans="1:15" x14ac:dyDescent="0.25">
      <c r="A23824" t="s">
        <v>16</v>
      </c>
      <c r="B23824" t="s">
        <v>3221</v>
      </c>
      <c r="C23824">
        <v>4990</v>
      </c>
      <c r="D23824" t="s">
        <v>1472</v>
      </c>
      <c r="E23824" t="s">
        <v>1473</v>
      </c>
      <c r="F23824">
        <v>36.36</v>
      </c>
      <c r="G23824">
        <v>230404</v>
      </c>
      <c r="H23824">
        <v>4470</v>
      </c>
      <c r="I23824" t="s">
        <v>83</v>
      </c>
      <c r="J23824">
        <v>40</v>
      </c>
      <c r="K23824">
        <v>3.64</v>
      </c>
      <c r="L23824">
        <v>46557</v>
      </c>
      <c r="M23824" t="s">
        <v>221</v>
      </c>
      <c r="N23824" t="str">
        <f>"365         "</f>
        <v xml:space="preserve">365         </v>
      </c>
      <c r="O23824">
        <v>230417</v>
      </c>
    </row>
    <row r="23825" spans="1:15" x14ac:dyDescent="0.25">
      <c r="A23825" t="s">
        <v>16</v>
      </c>
      <c r="B23825" t="s">
        <v>3221</v>
      </c>
      <c r="C23825">
        <v>4990</v>
      </c>
      <c r="D23825" t="s">
        <v>1472</v>
      </c>
      <c r="E23825" t="s">
        <v>1473</v>
      </c>
      <c r="F23825">
        <v>37.270000000000003</v>
      </c>
      <c r="G23825">
        <v>230404</v>
      </c>
      <c r="H23825">
        <v>4470</v>
      </c>
      <c r="I23825" t="s">
        <v>83</v>
      </c>
      <c r="J23825">
        <v>41</v>
      </c>
      <c r="K23825">
        <v>3.73</v>
      </c>
      <c r="L23825">
        <v>48601</v>
      </c>
      <c r="M23825" t="s">
        <v>1047</v>
      </c>
      <c r="N23825" t="str">
        <f>"365         "</f>
        <v xml:space="preserve">365         </v>
      </c>
      <c r="O23825">
        <v>230417</v>
      </c>
    </row>
    <row r="23826" spans="1:15" x14ac:dyDescent="0.25">
      <c r="A23826" t="s">
        <v>16</v>
      </c>
      <c r="B23826" t="s">
        <v>3221</v>
      </c>
      <c r="C23826">
        <v>6118</v>
      </c>
      <c r="D23826" t="s">
        <v>1472</v>
      </c>
      <c r="E23826" t="s">
        <v>1473</v>
      </c>
      <c r="F23826">
        <v>50.91</v>
      </c>
      <c r="G23826">
        <v>230501</v>
      </c>
      <c r="H23826">
        <v>4470</v>
      </c>
      <c r="I23826" t="s">
        <v>83</v>
      </c>
      <c r="J23826">
        <v>56</v>
      </c>
      <c r="K23826">
        <v>5.09</v>
      </c>
      <c r="L23826">
        <v>46554</v>
      </c>
      <c r="M23826" t="s">
        <v>117</v>
      </c>
      <c r="N23826" t="str">
        <f>"371         "</f>
        <v xml:space="preserve">371         </v>
      </c>
      <c r="O23826">
        <v>230508</v>
      </c>
    </row>
    <row r="23827" spans="1:15" x14ac:dyDescent="0.25">
      <c r="A23827" t="s">
        <v>16</v>
      </c>
      <c r="B23827" t="s">
        <v>3221</v>
      </c>
      <c r="C23827">
        <v>8231</v>
      </c>
      <c r="D23827" t="s">
        <v>1472</v>
      </c>
      <c r="E23827" t="s">
        <v>1473</v>
      </c>
      <c r="F23827">
        <v>34.549999999999997</v>
      </c>
      <c r="G23827">
        <v>230601</v>
      </c>
      <c r="H23827">
        <v>4470</v>
      </c>
      <c r="I23827" t="s">
        <v>83</v>
      </c>
      <c r="J23827">
        <v>38</v>
      </c>
      <c r="K23827">
        <v>3.45</v>
      </c>
      <c r="L23827">
        <v>49807</v>
      </c>
      <c r="M23827" t="s">
        <v>914</v>
      </c>
      <c r="N23827" t="str">
        <f>"379         "</f>
        <v xml:space="preserve">379         </v>
      </c>
      <c r="O23827">
        <v>230608</v>
      </c>
    </row>
    <row r="23828" spans="1:15" x14ac:dyDescent="0.25">
      <c r="A23828" t="s">
        <v>16</v>
      </c>
      <c r="B23828" t="s">
        <v>3221</v>
      </c>
      <c r="C23828">
        <v>11771</v>
      </c>
      <c r="D23828" t="s">
        <v>1472</v>
      </c>
      <c r="E23828" t="s">
        <v>1473</v>
      </c>
      <c r="F23828">
        <v>29.69</v>
      </c>
      <c r="G23828">
        <v>230905</v>
      </c>
      <c r="H23828">
        <v>4470</v>
      </c>
      <c r="I23828" t="s">
        <v>83</v>
      </c>
      <c r="J23828">
        <v>32.659999999999997</v>
      </c>
      <c r="K23828">
        <v>2.97</v>
      </c>
      <c r="L23828">
        <v>43222</v>
      </c>
      <c r="M23828" t="s">
        <v>507</v>
      </c>
      <c r="N23828" t="str">
        <f t="shared" ref="N23828:N23835" si="461">"400         "</f>
        <v xml:space="preserve">400         </v>
      </c>
      <c r="O23828">
        <v>230911</v>
      </c>
    </row>
    <row r="23829" spans="1:15" x14ac:dyDescent="0.25">
      <c r="A23829" t="s">
        <v>16</v>
      </c>
      <c r="B23829" t="s">
        <v>3221</v>
      </c>
      <c r="C23829">
        <v>11771</v>
      </c>
      <c r="D23829" t="s">
        <v>1472</v>
      </c>
      <c r="E23829" t="s">
        <v>1473</v>
      </c>
      <c r="F23829">
        <v>29.7</v>
      </c>
      <c r="G23829">
        <v>230905</v>
      </c>
      <c r="H23829">
        <v>4470</v>
      </c>
      <c r="I23829" t="s">
        <v>83</v>
      </c>
      <c r="J23829">
        <v>32.67</v>
      </c>
      <c r="K23829">
        <v>2.97</v>
      </c>
      <c r="L23829">
        <v>44422</v>
      </c>
      <c r="M23829" t="s">
        <v>482</v>
      </c>
      <c r="N23829" t="str">
        <f t="shared" si="461"/>
        <v xml:space="preserve">400         </v>
      </c>
      <c r="O23829">
        <v>230911</v>
      </c>
    </row>
    <row r="23830" spans="1:15" x14ac:dyDescent="0.25">
      <c r="A23830" t="s">
        <v>16</v>
      </c>
      <c r="B23830" t="s">
        <v>3221</v>
      </c>
      <c r="C23830">
        <v>11771</v>
      </c>
      <c r="D23830" t="s">
        <v>1472</v>
      </c>
      <c r="E23830" t="s">
        <v>1473</v>
      </c>
      <c r="F23830">
        <v>29.7</v>
      </c>
      <c r="G23830">
        <v>230905</v>
      </c>
      <c r="H23830">
        <v>4470</v>
      </c>
      <c r="I23830" t="s">
        <v>83</v>
      </c>
      <c r="J23830">
        <v>32.67</v>
      </c>
      <c r="K23830">
        <v>2.97</v>
      </c>
      <c r="L23830">
        <v>44423</v>
      </c>
      <c r="M23830" t="s">
        <v>502</v>
      </c>
      <c r="N23830" t="str">
        <f t="shared" si="461"/>
        <v xml:space="preserve">400         </v>
      </c>
      <c r="O23830">
        <v>230911</v>
      </c>
    </row>
    <row r="23831" spans="1:15" x14ac:dyDescent="0.25">
      <c r="A23831" t="s">
        <v>16</v>
      </c>
      <c r="B23831" t="s">
        <v>3221</v>
      </c>
      <c r="C23831">
        <v>11771</v>
      </c>
      <c r="D23831" t="s">
        <v>1472</v>
      </c>
      <c r="E23831" t="s">
        <v>1473</v>
      </c>
      <c r="F23831">
        <v>65.45</v>
      </c>
      <c r="G23831">
        <v>230905</v>
      </c>
      <c r="H23831">
        <v>4470</v>
      </c>
      <c r="I23831" t="s">
        <v>83</v>
      </c>
      <c r="J23831">
        <v>72</v>
      </c>
      <c r="K23831">
        <v>6.55</v>
      </c>
      <c r="L23831">
        <v>46555</v>
      </c>
      <c r="M23831" t="s">
        <v>597</v>
      </c>
      <c r="N23831" t="str">
        <f t="shared" si="461"/>
        <v xml:space="preserve">400         </v>
      </c>
      <c r="O23831">
        <v>230911</v>
      </c>
    </row>
    <row r="23832" spans="1:15" x14ac:dyDescent="0.25">
      <c r="A23832" t="s">
        <v>16</v>
      </c>
      <c r="B23832" t="s">
        <v>3221</v>
      </c>
      <c r="C23832">
        <v>11771</v>
      </c>
      <c r="D23832" t="s">
        <v>1472</v>
      </c>
      <c r="E23832" t="s">
        <v>1473</v>
      </c>
      <c r="F23832">
        <v>49.09</v>
      </c>
      <c r="G23832">
        <v>230905</v>
      </c>
      <c r="H23832">
        <v>4470</v>
      </c>
      <c r="I23832" t="s">
        <v>83</v>
      </c>
      <c r="J23832">
        <v>54</v>
      </c>
      <c r="K23832">
        <v>4.91</v>
      </c>
      <c r="L23832">
        <v>46556</v>
      </c>
      <c r="M23832" t="s">
        <v>125</v>
      </c>
      <c r="N23832" t="str">
        <f t="shared" si="461"/>
        <v xml:space="preserve">400         </v>
      </c>
      <c r="O23832">
        <v>230911</v>
      </c>
    </row>
    <row r="23833" spans="1:15" x14ac:dyDescent="0.25">
      <c r="A23833" t="s">
        <v>16</v>
      </c>
      <c r="B23833" t="s">
        <v>3221</v>
      </c>
      <c r="C23833">
        <v>11771</v>
      </c>
      <c r="D23833" t="s">
        <v>1472</v>
      </c>
      <c r="E23833" t="s">
        <v>1473</v>
      </c>
      <c r="F23833">
        <v>49.09</v>
      </c>
      <c r="G23833">
        <v>230905</v>
      </c>
      <c r="H23833">
        <v>4470</v>
      </c>
      <c r="I23833" t="s">
        <v>83</v>
      </c>
      <c r="J23833">
        <v>54</v>
      </c>
      <c r="K23833">
        <v>4.91</v>
      </c>
      <c r="L23833">
        <v>46557</v>
      </c>
      <c r="M23833" t="s">
        <v>221</v>
      </c>
      <c r="N23833" t="str">
        <f t="shared" si="461"/>
        <v xml:space="preserve">400         </v>
      </c>
      <c r="O23833">
        <v>230911</v>
      </c>
    </row>
    <row r="23834" spans="1:15" x14ac:dyDescent="0.25">
      <c r="A23834" t="s">
        <v>16</v>
      </c>
      <c r="B23834" t="s">
        <v>3221</v>
      </c>
      <c r="C23834">
        <v>11771</v>
      </c>
      <c r="D23834" t="s">
        <v>1472</v>
      </c>
      <c r="E23834" t="s">
        <v>1473</v>
      </c>
      <c r="F23834">
        <v>34.549999999999997</v>
      </c>
      <c r="G23834">
        <v>230905</v>
      </c>
      <c r="H23834">
        <v>4470</v>
      </c>
      <c r="I23834" t="s">
        <v>83</v>
      </c>
      <c r="J23834">
        <v>38</v>
      </c>
      <c r="K23834">
        <v>3.45</v>
      </c>
      <c r="L23834">
        <v>47522</v>
      </c>
      <c r="M23834" t="s">
        <v>410</v>
      </c>
      <c r="N23834" t="str">
        <f t="shared" si="461"/>
        <v xml:space="preserve">400         </v>
      </c>
      <c r="O23834">
        <v>230911</v>
      </c>
    </row>
    <row r="23835" spans="1:15" x14ac:dyDescent="0.25">
      <c r="A23835" t="s">
        <v>16</v>
      </c>
      <c r="B23835" t="s">
        <v>3221</v>
      </c>
      <c r="C23835">
        <v>11771</v>
      </c>
      <c r="D23835" t="s">
        <v>1472</v>
      </c>
      <c r="E23835" t="s">
        <v>1473</v>
      </c>
      <c r="F23835">
        <v>123.64</v>
      </c>
      <c r="G23835">
        <v>230905</v>
      </c>
      <c r="H23835">
        <v>4470</v>
      </c>
      <c r="I23835" t="s">
        <v>83</v>
      </c>
      <c r="J23835">
        <v>136</v>
      </c>
      <c r="K23835">
        <v>12.36</v>
      </c>
      <c r="L23835">
        <v>49807</v>
      </c>
      <c r="M23835" t="s">
        <v>914</v>
      </c>
      <c r="N23835" t="str">
        <f t="shared" si="461"/>
        <v xml:space="preserve">400         </v>
      </c>
      <c r="O23835">
        <v>230911</v>
      </c>
    </row>
    <row r="23836" spans="1:15" x14ac:dyDescent="0.25">
      <c r="A23836" t="s">
        <v>16</v>
      </c>
      <c r="B23836" t="s">
        <v>3221</v>
      </c>
      <c r="C23836">
        <v>14765</v>
      </c>
      <c r="D23836" t="s">
        <v>1472</v>
      </c>
      <c r="E23836" t="s">
        <v>1473</v>
      </c>
      <c r="F23836">
        <v>96.36</v>
      </c>
      <c r="G23836">
        <v>231031</v>
      </c>
      <c r="H23836">
        <v>4470</v>
      </c>
      <c r="I23836" t="s">
        <v>83</v>
      </c>
      <c r="J23836">
        <v>106</v>
      </c>
      <c r="K23836">
        <v>9.64</v>
      </c>
      <c r="L23836">
        <v>43222</v>
      </c>
      <c r="M23836" t="s">
        <v>507</v>
      </c>
      <c r="N23836" t="str">
        <f>"410         "</f>
        <v xml:space="preserve">410         </v>
      </c>
      <c r="O23836">
        <v>231106</v>
      </c>
    </row>
    <row r="23837" spans="1:15" x14ac:dyDescent="0.25">
      <c r="A23837" t="s">
        <v>16</v>
      </c>
      <c r="B23837" t="s">
        <v>3221</v>
      </c>
      <c r="C23837">
        <v>14765</v>
      </c>
      <c r="D23837" t="s">
        <v>1472</v>
      </c>
      <c r="E23837" t="s">
        <v>1473</v>
      </c>
      <c r="F23837">
        <v>96.36</v>
      </c>
      <c r="G23837">
        <v>231031</v>
      </c>
      <c r="H23837">
        <v>4470</v>
      </c>
      <c r="I23837" t="s">
        <v>83</v>
      </c>
      <c r="J23837">
        <v>106</v>
      </c>
      <c r="K23837">
        <v>9.64</v>
      </c>
      <c r="L23837">
        <v>44422</v>
      </c>
      <c r="M23837" t="s">
        <v>482</v>
      </c>
      <c r="N23837" t="str">
        <f>"410         "</f>
        <v xml:space="preserve">410         </v>
      </c>
      <c r="O23837">
        <v>231106</v>
      </c>
    </row>
    <row r="23838" spans="1:15" x14ac:dyDescent="0.25">
      <c r="A23838" t="s">
        <v>16</v>
      </c>
      <c r="B23838" t="s">
        <v>3221</v>
      </c>
      <c r="C23838">
        <v>12926</v>
      </c>
      <c r="D23838" t="s">
        <v>2612</v>
      </c>
      <c r="E23838" t="s">
        <v>2613</v>
      </c>
      <c r="F23838">
        <v>794.93</v>
      </c>
      <c r="G23838">
        <v>230920</v>
      </c>
      <c r="H23838">
        <v>4600</v>
      </c>
      <c r="I23838" t="s">
        <v>105</v>
      </c>
      <c r="J23838">
        <v>985.71</v>
      </c>
      <c r="K23838">
        <v>190.78</v>
      </c>
      <c r="L23838">
        <v>67554</v>
      </c>
      <c r="M23838" t="s">
        <v>60</v>
      </c>
      <c r="N23838" t="str">
        <f>"3504794     "</f>
        <v xml:space="preserve">3504794     </v>
      </c>
      <c r="O23838">
        <v>231002</v>
      </c>
    </row>
    <row r="23839" spans="1:15" x14ac:dyDescent="0.25">
      <c r="A23839" t="s">
        <v>16</v>
      </c>
      <c r="B23839" t="s">
        <v>3221</v>
      </c>
      <c r="C23839">
        <v>12926</v>
      </c>
      <c r="D23839" t="s">
        <v>2612</v>
      </c>
      <c r="E23839" t="s">
        <v>2613</v>
      </c>
      <c r="F23839">
        <v>624.54999999999995</v>
      </c>
      <c r="G23839">
        <v>230920</v>
      </c>
      <c r="H23839">
        <v>4600</v>
      </c>
      <c r="I23839" t="s">
        <v>105</v>
      </c>
      <c r="J23839">
        <v>774.44</v>
      </c>
      <c r="K23839">
        <v>149.88999999999999</v>
      </c>
      <c r="L23839">
        <v>69501</v>
      </c>
      <c r="M23839" t="s">
        <v>185</v>
      </c>
      <c r="N23839" t="str">
        <f>"3504794     "</f>
        <v xml:space="preserve">3504794     </v>
      </c>
      <c r="O23839">
        <v>231002</v>
      </c>
    </row>
    <row r="23840" spans="1:15" x14ac:dyDescent="0.25">
      <c r="A23840" t="s">
        <v>16</v>
      </c>
      <c r="B23840" t="s">
        <v>3221</v>
      </c>
      <c r="C23840">
        <v>9863</v>
      </c>
      <c r="D23840" t="s">
        <v>2330</v>
      </c>
      <c r="E23840" t="s">
        <v>2331</v>
      </c>
      <c r="F23840">
        <v>483.87</v>
      </c>
      <c r="G23840">
        <v>230726</v>
      </c>
      <c r="H23840">
        <v>4470</v>
      </c>
      <c r="I23840" t="s">
        <v>83</v>
      </c>
      <c r="J23840">
        <v>600</v>
      </c>
      <c r="K23840">
        <v>116.13</v>
      </c>
      <c r="L23840">
        <v>17711</v>
      </c>
      <c r="M23840" t="s">
        <v>65</v>
      </c>
      <c r="N23840" t="str">
        <f>"5853        "</f>
        <v xml:space="preserve">5853        </v>
      </c>
      <c r="O23840">
        <v>230731</v>
      </c>
    </row>
    <row r="23841" spans="1:15" x14ac:dyDescent="0.25">
      <c r="A23841" t="s">
        <v>16</v>
      </c>
      <c r="B23841" t="s">
        <v>3221</v>
      </c>
      <c r="C23841">
        <v>2222</v>
      </c>
      <c r="D23841" t="s">
        <v>1327</v>
      </c>
      <c r="E23841" t="s">
        <v>1328</v>
      </c>
      <c r="F23841">
        <v>228.83</v>
      </c>
      <c r="G23841">
        <v>230220</v>
      </c>
      <c r="H23841">
        <v>4580</v>
      </c>
      <c r="I23841" t="s">
        <v>35</v>
      </c>
      <c r="J23841">
        <v>283.75</v>
      </c>
      <c r="K23841">
        <v>54.92</v>
      </c>
      <c r="L23841">
        <v>17527</v>
      </c>
      <c r="M23841" t="s">
        <v>422</v>
      </c>
      <c r="N23841" t="str">
        <f>"1570434     "</f>
        <v xml:space="preserve">1570434     </v>
      </c>
      <c r="O23841">
        <v>230222</v>
      </c>
    </row>
    <row r="23842" spans="1:15" x14ac:dyDescent="0.25">
      <c r="A23842" t="s">
        <v>16</v>
      </c>
      <c r="B23842" t="s">
        <v>3221</v>
      </c>
      <c r="C23842">
        <v>3788</v>
      </c>
      <c r="D23842" t="s">
        <v>1327</v>
      </c>
      <c r="E23842" t="s">
        <v>1328</v>
      </c>
      <c r="F23842">
        <v>91.11</v>
      </c>
      <c r="G23842">
        <v>230320</v>
      </c>
      <c r="H23842">
        <v>4580</v>
      </c>
      <c r="I23842" t="s">
        <v>35</v>
      </c>
      <c r="J23842">
        <v>112.98</v>
      </c>
      <c r="K23842">
        <v>21.87</v>
      </c>
      <c r="L23842">
        <v>17527</v>
      </c>
      <c r="M23842" t="s">
        <v>422</v>
      </c>
      <c r="N23842" t="str">
        <f>"1571300     "</f>
        <v xml:space="preserve">1571300     </v>
      </c>
      <c r="O23842">
        <v>230322</v>
      </c>
    </row>
    <row r="23843" spans="1:15" x14ac:dyDescent="0.25">
      <c r="A23843" t="s">
        <v>16</v>
      </c>
      <c r="B23843" t="s">
        <v>3221</v>
      </c>
      <c r="C23843">
        <v>6139</v>
      </c>
      <c r="D23843" t="s">
        <v>1327</v>
      </c>
      <c r="E23843" t="s">
        <v>1328</v>
      </c>
      <c r="F23843">
        <v>88.76</v>
      </c>
      <c r="G23843">
        <v>230504</v>
      </c>
      <c r="H23843">
        <v>4580</v>
      </c>
      <c r="I23843" t="s">
        <v>35</v>
      </c>
      <c r="J23843">
        <v>110.06</v>
      </c>
      <c r="K23843">
        <v>21.3</v>
      </c>
      <c r="L23843">
        <v>17523</v>
      </c>
      <c r="M23843" t="s">
        <v>134</v>
      </c>
      <c r="N23843" t="str">
        <f>"1573366     "</f>
        <v xml:space="preserve">1573366     </v>
      </c>
      <c r="O23843">
        <v>230508</v>
      </c>
    </row>
    <row r="23844" spans="1:15" x14ac:dyDescent="0.25">
      <c r="A23844" t="s">
        <v>16</v>
      </c>
      <c r="B23844" t="s">
        <v>3221</v>
      </c>
      <c r="C23844">
        <v>10900</v>
      </c>
      <c r="D23844" t="s">
        <v>1327</v>
      </c>
      <c r="E23844" t="s">
        <v>1328</v>
      </c>
      <c r="F23844">
        <v>84.82</v>
      </c>
      <c r="G23844">
        <v>230811</v>
      </c>
      <c r="H23844">
        <v>4580</v>
      </c>
      <c r="I23844" t="s">
        <v>35</v>
      </c>
      <c r="J23844">
        <v>105.18</v>
      </c>
      <c r="K23844">
        <v>20.36</v>
      </c>
      <c r="L23844">
        <v>17711</v>
      </c>
      <c r="M23844" t="s">
        <v>65</v>
      </c>
      <c r="N23844" t="str">
        <f>"1578044     "</f>
        <v xml:space="preserve">1578044     </v>
      </c>
      <c r="O23844">
        <v>230825</v>
      </c>
    </row>
    <row r="23845" spans="1:15" x14ac:dyDescent="0.25">
      <c r="A23845" t="s">
        <v>16</v>
      </c>
      <c r="B23845" t="s">
        <v>3221</v>
      </c>
      <c r="C23845">
        <v>1849</v>
      </c>
      <c r="D23845" t="s">
        <v>3720</v>
      </c>
      <c r="E23845" t="s">
        <v>1220</v>
      </c>
      <c r="F23845">
        <v>185.19</v>
      </c>
      <c r="G23845">
        <v>230131</v>
      </c>
      <c r="H23845">
        <v>4346</v>
      </c>
      <c r="I23845" t="s">
        <v>197</v>
      </c>
      <c r="J23845">
        <v>229.64</v>
      </c>
      <c r="K23845">
        <v>44.45</v>
      </c>
      <c r="L23845">
        <v>11601</v>
      </c>
      <c r="M23845" t="s">
        <v>535</v>
      </c>
      <c r="N23845" t="str">
        <f>"1927699     "</f>
        <v xml:space="preserve">1927699     </v>
      </c>
      <c r="O23845">
        <v>230215</v>
      </c>
    </row>
    <row r="23846" spans="1:15" x14ac:dyDescent="0.25">
      <c r="A23846" t="s">
        <v>16</v>
      </c>
      <c r="B23846" t="s">
        <v>3221</v>
      </c>
      <c r="C23846">
        <v>2772</v>
      </c>
      <c r="D23846" t="s">
        <v>3720</v>
      </c>
      <c r="E23846" t="s">
        <v>1220</v>
      </c>
      <c r="F23846">
        <v>174.59</v>
      </c>
      <c r="G23846">
        <v>230301</v>
      </c>
      <c r="H23846">
        <v>4346</v>
      </c>
      <c r="I23846" t="s">
        <v>197</v>
      </c>
      <c r="J23846">
        <v>216.49</v>
      </c>
      <c r="K23846">
        <v>41.9</v>
      </c>
      <c r="L23846">
        <v>11601</v>
      </c>
      <c r="M23846" t="s">
        <v>535</v>
      </c>
      <c r="N23846" t="str">
        <f>"1939625     "</f>
        <v xml:space="preserve">1939625     </v>
      </c>
      <c r="O23846">
        <v>230307</v>
      </c>
    </row>
    <row r="23847" spans="1:15" x14ac:dyDescent="0.25">
      <c r="A23847" t="s">
        <v>16</v>
      </c>
      <c r="B23847" t="s">
        <v>3221</v>
      </c>
      <c r="C23847">
        <v>4496</v>
      </c>
      <c r="D23847" t="s">
        <v>3720</v>
      </c>
      <c r="E23847" t="s">
        <v>1220</v>
      </c>
      <c r="F23847">
        <v>349.18</v>
      </c>
      <c r="G23847">
        <v>230331</v>
      </c>
      <c r="H23847">
        <v>4346</v>
      </c>
      <c r="I23847" t="s">
        <v>197</v>
      </c>
      <c r="J23847">
        <v>432.98</v>
      </c>
      <c r="K23847">
        <v>83.8</v>
      </c>
      <c r="L23847">
        <v>11601</v>
      </c>
      <c r="M23847" t="s">
        <v>535</v>
      </c>
      <c r="N23847" t="str">
        <f>"1950668     "</f>
        <v xml:space="preserve">1950668     </v>
      </c>
      <c r="O23847">
        <v>230406</v>
      </c>
    </row>
    <row r="23848" spans="1:15" x14ac:dyDescent="0.25">
      <c r="A23848" t="s">
        <v>16</v>
      </c>
      <c r="B23848" t="s">
        <v>3221</v>
      </c>
      <c r="C23848">
        <v>5146</v>
      </c>
      <c r="D23848" t="s">
        <v>1033</v>
      </c>
      <c r="E23848" t="s">
        <v>1034</v>
      </c>
      <c r="F23848">
        <v>12.84</v>
      </c>
      <c r="G23848">
        <v>230412</v>
      </c>
      <c r="H23848">
        <v>4580</v>
      </c>
      <c r="I23848" t="s">
        <v>35</v>
      </c>
      <c r="J23848">
        <v>15.92</v>
      </c>
      <c r="K23848">
        <v>3.08</v>
      </c>
      <c r="L23848">
        <v>17531</v>
      </c>
      <c r="M23848" t="s">
        <v>136</v>
      </c>
      <c r="N23848" t="str">
        <f>"123/473     "</f>
        <v xml:space="preserve">123/473     </v>
      </c>
      <c r="O23848">
        <v>230418</v>
      </c>
    </row>
    <row r="23849" spans="1:15" x14ac:dyDescent="0.25">
      <c r="A23849" t="s">
        <v>16</v>
      </c>
      <c r="B23849" t="s">
        <v>3221</v>
      </c>
      <c r="C23849">
        <v>1420</v>
      </c>
      <c r="D23849" t="s">
        <v>1033</v>
      </c>
      <c r="E23849" t="s">
        <v>1034</v>
      </c>
      <c r="F23849">
        <v>76.03</v>
      </c>
      <c r="G23849">
        <v>230202</v>
      </c>
      <c r="H23849">
        <v>4600</v>
      </c>
      <c r="I23849" t="s">
        <v>105</v>
      </c>
      <c r="J23849">
        <v>94.28</v>
      </c>
      <c r="K23849">
        <v>18.25</v>
      </c>
      <c r="L23849">
        <v>17531</v>
      </c>
      <c r="M23849" t="s">
        <v>136</v>
      </c>
      <c r="N23849" t="str">
        <f>"123/342     "</f>
        <v xml:space="preserve">123/342     </v>
      </c>
      <c r="O23849">
        <v>230208</v>
      </c>
    </row>
    <row r="23850" spans="1:15" x14ac:dyDescent="0.25">
      <c r="A23850" t="s">
        <v>16</v>
      </c>
      <c r="B23850" t="s">
        <v>3221</v>
      </c>
      <c r="C23850">
        <v>1420</v>
      </c>
      <c r="D23850" t="s">
        <v>1033</v>
      </c>
      <c r="E23850" t="s">
        <v>1034</v>
      </c>
      <c r="F23850">
        <v>76.03</v>
      </c>
      <c r="G23850">
        <v>230202</v>
      </c>
      <c r="H23850">
        <v>4600</v>
      </c>
      <c r="I23850" t="s">
        <v>105</v>
      </c>
      <c r="J23850">
        <v>94.28</v>
      </c>
      <c r="K23850">
        <v>18.25</v>
      </c>
      <c r="L23850">
        <v>17645</v>
      </c>
      <c r="M23850" t="s">
        <v>1035</v>
      </c>
      <c r="N23850" t="str">
        <f>"123/342     "</f>
        <v xml:space="preserve">123/342     </v>
      </c>
      <c r="O23850">
        <v>230208</v>
      </c>
    </row>
    <row r="23851" spans="1:15" x14ac:dyDescent="0.25">
      <c r="A23851" t="s">
        <v>16</v>
      </c>
      <c r="B23851" t="s">
        <v>3221</v>
      </c>
      <c r="C23851">
        <v>3390</v>
      </c>
      <c r="D23851" t="s">
        <v>1033</v>
      </c>
      <c r="E23851" t="s">
        <v>1034</v>
      </c>
      <c r="F23851">
        <v>77.8</v>
      </c>
      <c r="G23851">
        <v>230309</v>
      </c>
      <c r="H23851">
        <v>4600</v>
      </c>
      <c r="I23851" t="s">
        <v>105</v>
      </c>
      <c r="J23851">
        <v>96.47</v>
      </c>
      <c r="K23851">
        <v>18.670000000000002</v>
      </c>
      <c r="L23851">
        <v>17531</v>
      </c>
      <c r="M23851" t="s">
        <v>136</v>
      </c>
      <c r="N23851" t="str">
        <f>"123/416     "</f>
        <v xml:space="preserve">123/416     </v>
      </c>
      <c r="O23851">
        <v>230315</v>
      </c>
    </row>
    <row r="23852" spans="1:15" x14ac:dyDescent="0.25">
      <c r="A23852" t="s">
        <v>16</v>
      </c>
      <c r="B23852" t="s">
        <v>3221</v>
      </c>
      <c r="C23852">
        <v>3390</v>
      </c>
      <c r="D23852" t="s">
        <v>1033</v>
      </c>
      <c r="E23852" t="s">
        <v>1034</v>
      </c>
      <c r="F23852">
        <v>77.8</v>
      </c>
      <c r="G23852">
        <v>230309</v>
      </c>
      <c r="H23852">
        <v>4600</v>
      </c>
      <c r="I23852" t="s">
        <v>105</v>
      </c>
      <c r="J23852">
        <v>96.47</v>
      </c>
      <c r="K23852">
        <v>18.670000000000002</v>
      </c>
      <c r="L23852">
        <v>17645</v>
      </c>
      <c r="M23852" t="s">
        <v>1035</v>
      </c>
      <c r="N23852" t="str">
        <f>"123/416     "</f>
        <v xml:space="preserve">123/416     </v>
      </c>
      <c r="O23852">
        <v>230315</v>
      </c>
    </row>
    <row r="23853" spans="1:15" x14ac:dyDescent="0.25">
      <c r="A23853" t="s">
        <v>16</v>
      </c>
      <c r="B23853" t="s">
        <v>3221</v>
      </c>
      <c r="C23853">
        <v>4687</v>
      </c>
      <c r="D23853" t="s">
        <v>1033</v>
      </c>
      <c r="E23853" t="s">
        <v>1034</v>
      </c>
      <c r="F23853">
        <v>51.8</v>
      </c>
      <c r="G23853">
        <v>230403</v>
      </c>
      <c r="H23853">
        <v>4600</v>
      </c>
      <c r="I23853" t="s">
        <v>105</v>
      </c>
      <c r="J23853">
        <v>64.23</v>
      </c>
      <c r="K23853">
        <v>12.43</v>
      </c>
      <c r="L23853">
        <v>17531</v>
      </c>
      <c r="M23853" t="s">
        <v>136</v>
      </c>
      <c r="N23853" t="str">
        <f>"123/464     "</f>
        <v xml:space="preserve">123/464     </v>
      </c>
      <c r="O23853">
        <v>230411</v>
      </c>
    </row>
    <row r="23854" spans="1:15" x14ac:dyDescent="0.25">
      <c r="A23854" t="s">
        <v>16</v>
      </c>
      <c r="B23854" t="s">
        <v>3221</v>
      </c>
      <c r="C23854">
        <v>4690</v>
      </c>
      <c r="D23854" t="s">
        <v>1033</v>
      </c>
      <c r="E23854" t="s">
        <v>1034</v>
      </c>
      <c r="F23854">
        <v>30.85</v>
      </c>
      <c r="G23854">
        <v>230404</v>
      </c>
      <c r="H23854">
        <v>4600</v>
      </c>
      <c r="I23854" t="s">
        <v>105</v>
      </c>
      <c r="J23854">
        <v>38.25</v>
      </c>
      <c r="K23854">
        <v>7.4</v>
      </c>
      <c r="L23854">
        <v>17531</v>
      </c>
      <c r="M23854" t="s">
        <v>136</v>
      </c>
      <c r="N23854" t="str">
        <f>"123/465     "</f>
        <v xml:space="preserve">123/465     </v>
      </c>
      <c r="O23854">
        <v>230411</v>
      </c>
    </row>
    <row r="23855" spans="1:15" x14ac:dyDescent="0.25">
      <c r="A23855" t="s">
        <v>16</v>
      </c>
      <c r="B23855" t="s">
        <v>3221</v>
      </c>
      <c r="C23855">
        <v>5146</v>
      </c>
      <c r="D23855" t="s">
        <v>1033</v>
      </c>
      <c r="E23855" t="s">
        <v>1034</v>
      </c>
      <c r="F23855">
        <v>29.04</v>
      </c>
      <c r="G23855">
        <v>230412</v>
      </c>
      <c r="H23855">
        <v>4600</v>
      </c>
      <c r="I23855" t="s">
        <v>105</v>
      </c>
      <c r="J23855">
        <v>36.01</v>
      </c>
      <c r="K23855">
        <v>6.97</v>
      </c>
      <c r="L23855">
        <v>17531</v>
      </c>
      <c r="M23855" t="s">
        <v>136</v>
      </c>
      <c r="N23855" t="str">
        <f>"123/473     "</f>
        <v xml:space="preserve">123/473     </v>
      </c>
      <c r="O23855">
        <v>230418</v>
      </c>
    </row>
    <row r="23856" spans="1:15" x14ac:dyDescent="0.25">
      <c r="A23856" t="s">
        <v>16</v>
      </c>
      <c r="B23856" t="s">
        <v>3221</v>
      </c>
      <c r="C23856">
        <v>5146</v>
      </c>
      <c r="D23856" t="s">
        <v>1033</v>
      </c>
      <c r="E23856" t="s">
        <v>1034</v>
      </c>
      <c r="F23856">
        <v>113.26</v>
      </c>
      <c r="G23856">
        <v>230412</v>
      </c>
      <c r="H23856">
        <v>4600</v>
      </c>
      <c r="I23856" t="s">
        <v>105</v>
      </c>
      <c r="J23856">
        <v>140.44</v>
      </c>
      <c r="K23856">
        <v>27.18</v>
      </c>
      <c r="L23856">
        <v>17645</v>
      </c>
      <c r="M23856" t="s">
        <v>1035</v>
      </c>
      <c r="N23856" t="str">
        <f>"123/473     "</f>
        <v xml:space="preserve">123/473     </v>
      </c>
      <c r="O23856">
        <v>230418</v>
      </c>
    </row>
    <row r="23857" spans="1:15" x14ac:dyDescent="0.25">
      <c r="A23857" t="s">
        <v>16</v>
      </c>
      <c r="B23857" t="s">
        <v>3221</v>
      </c>
      <c r="C23857">
        <v>15458</v>
      </c>
      <c r="D23857" t="s">
        <v>1033</v>
      </c>
      <c r="E23857" t="s">
        <v>1034</v>
      </c>
      <c r="F23857">
        <v>39.44</v>
      </c>
      <c r="G23857">
        <v>231102</v>
      </c>
      <c r="H23857">
        <v>4600</v>
      </c>
      <c r="I23857" t="s">
        <v>105</v>
      </c>
      <c r="J23857">
        <v>48.9</v>
      </c>
      <c r="K23857">
        <v>9.4600000000000009</v>
      </c>
      <c r="L23857">
        <v>17533</v>
      </c>
      <c r="M23857" t="s">
        <v>990</v>
      </c>
      <c r="N23857" t="str">
        <f>"124/186     "</f>
        <v xml:space="preserve">124/186     </v>
      </c>
      <c r="O23857">
        <v>231113</v>
      </c>
    </row>
    <row r="23858" spans="1:15" x14ac:dyDescent="0.25">
      <c r="A23858" t="s">
        <v>16</v>
      </c>
      <c r="B23858" t="s">
        <v>3221</v>
      </c>
      <c r="C23858">
        <v>5594</v>
      </c>
      <c r="D23858" t="s">
        <v>1863</v>
      </c>
      <c r="E23858" t="s">
        <v>1864</v>
      </c>
      <c r="F23858">
        <v>154.82</v>
      </c>
      <c r="G23858">
        <v>230425</v>
      </c>
      <c r="H23858">
        <v>4520</v>
      </c>
      <c r="I23858" t="s">
        <v>254</v>
      </c>
      <c r="J23858">
        <v>176.49</v>
      </c>
      <c r="K23858">
        <v>21.67</v>
      </c>
      <c r="L23858">
        <v>69811</v>
      </c>
      <c r="M23858" t="s">
        <v>315</v>
      </c>
      <c r="N23858" t="str">
        <f>"6370957068  "</f>
        <v xml:space="preserve">6370957068  </v>
      </c>
      <c r="O23858">
        <v>230427</v>
      </c>
    </row>
    <row r="23859" spans="1:15" x14ac:dyDescent="0.25">
      <c r="A23859" t="s">
        <v>16</v>
      </c>
      <c r="B23859" t="s">
        <v>3221</v>
      </c>
      <c r="C23859">
        <v>15729</v>
      </c>
      <c r="D23859" t="s">
        <v>2905</v>
      </c>
      <c r="E23859" t="s">
        <v>2906</v>
      </c>
      <c r="F23859">
        <v>455</v>
      </c>
      <c r="G23859">
        <v>231114</v>
      </c>
      <c r="H23859">
        <v>4580</v>
      </c>
      <c r="I23859" t="s">
        <v>35</v>
      </c>
      <c r="J23859">
        <v>564.20000000000005</v>
      </c>
      <c r="K23859">
        <v>109.2</v>
      </c>
      <c r="L23859">
        <v>17952</v>
      </c>
      <c r="M23859" t="s">
        <v>88</v>
      </c>
      <c r="N23859" t="str">
        <f>"0020643     "</f>
        <v xml:space="preserve">0020643     </v>
      </c>
      <c r="O23859">
        <v>231116</v>
      </c>
    </row>
    <row r="23860" spans="1:15" x14ac:dyDescent="0.25">
      <c r="A23860" t="s">
        <v>16</v>
      </c>
      <c r="B23860" t="s">
        <v>3221</v>
      </c>
      <c r="C23860">
        <v>15729</v>
      </c>
      <c r="D23860" t="s">
        <v>2905</v>
      </c>
      <c r="E23860" t="s">
        <v>2906</v>
      </c>
      <c r="F23860">
        <v>850</v>
      </c>
      <c r="G23860">
        <v>231114</v>
      </c>
      <c r="H23860">
        <v>4840</v>
      </c>
      <c r="I23860" t="s">
        <v>19</v>
      </c>
      <c r="J23860">
        <v>1054</v>
      </c>
      <c r="K23860">
        <v>204</v>
      </c>
      <c r="L23860">
        <v>17952</v>
      </c>
      <c r="M23860" t="s">
        <v>88</v>
      </c>
      <c r="N23860" t="str">
        <f>"0020643     "</f>
        <v xml:space="preserve">0020643     </v>
      </c>
      <c r="O23860">
        <v>231116</v>
      </c>
    </row>
    <row r="23861" spans="1:15" x14ac:dyDescent="0.25">
      <c r="A23861" t="s">
        <v>16</v>
      </c>
      <c r="B23861" t="s">
        <v>3221</v>
      </c>
      <c r="C23861">
        <v>12637</v>
      </c>
      <c r="D23861" t="s">
        <v>2592</v>
      </c>
      <c r="E23861" t="s">
        <v>2593</v>
      </c>
      <c r="F23861">
        <v>579.17999999999995</v>
      </c>
      <c r="G23861">
        <v>230921</v>
      </c>
      <c r="H23861">
        <v>4420</v>
      </c>
      <c r="I23861" t="s">
        <v>132</v>
      </c>
      <c r="J23861">
        <v>718.18</v>
      </c>
      <c r="K23861">
        <v>139</v>
      </c>
      <c r="L23861">
        <v>17952</v>
      </c>
      <c r="M23861" t="s">
        <v>88</v>
      </c>
      <c r="N23861" t="str">
        <f>"1247        "</f>
        <v xml:space="preserve">1247        </v>
      </c>
      <c r="O23861">
        <v>230922</v>
      </c>
    </row>
    <row r="23862" spans="1:15" x14ac:dyDescent="0.25">
      <c r="A23862" t="s">
        <v>16</v>
      </c>
      <c r="B23862" t="s">
        <v>3221</v>
      </c>
      <c r="C23862">
        <v>12637</v>
      </c>
      <c r="D23862" t="s">
        <v>2592</v>
      </c>
      <c r="E23862" t="s">
        <v>2593</v>
      </c>
      <c r="F23862">
        <v>400</v>
      </c>
      <c r="G23862">
        <v>230921</v>
      </c>
      <c r="H23862">
        <v>4380</v>
      </c>
      <c r="I23862" t="s">
        <v>113</v>
      </c>
      <c r="J23862">
        <v>496</v>
      </c>
      <c r="K23862">
        <v>96</v>
      </c>
      <c r="L23862">
        <v>17952</v>
      </c>
      <c r="M23862" t="s">
        <v>88</v>
      </c>
      <c r="N23862" t="str">
        <f>"1247        "</f>
        <v xml:space="preserve">1247        </v>
      </c>
      <c r="O23862">
        <v>230922</v>
      </c>
    </row>
    <row r="23863" spans="1:15" x14ac:dyDescent="0.25">
      <c r="A23863" t="s">
        <v>16</v>
      </c>
      <c r="B23863" t="s">
        <v>3221</v>
      </c>
      <c r="C23863">
        <v>1002</v>
      </c>
      <c r="D23863" t="s">
        <v>828</v>
      </c>
      <c r="E23863" t="s">
        <v>829</v>
      </c>
      <c r="F23863">
        <v>248.18</v>
      </c>
      <c r="G23863">
        <v>230117</v>
      </c>
      <c r="H23863">
        <v>4510</v>
      </c>
      <c r="I23863" t="s">
        <v>42</v>
      </c>
      <c r="J23863">
        <v>273</v>
      </c>
      <c r="K23863">
        <v>24.82</v>
      </c>
      <c r="L23863">
        <v>17524</v>
      </c>
      <c r="M23863" t="s">
        <v>452</v>
      </c>
      <c r="N23863" t="str">
        <f>"1169        "</f>
        <v xml:space="preserve">1169        </v>
      </c>
      <c r="O23863">
        <v>230202</v>
      </c>
    </row>
    <row r="23864" spans="1:15" x14ac:dyDescent="0.25">
      <c r="A23864" t="s">
        <v>16</v>
      </c>
      <c r="B23864" t="s">
        <v>3221</v>
      </c>
      <c r="C23864">
        <v>1002</v>
      </c>
      <c r="D23864" t="s">
        <v>828</v>
      </c>
      <c r="E23864" t="s">
        <v>829</v>
      </c>
      <c r="F23864">
        <v>701.13</v>
      </c>
      <c r="G23864">
        <v>230117</v>
      </c>
      <c r="H23864">
        <v>4600</v>
      </c>
      <c r="I23864" t="s">
        <v>105</v>
      </c>
      <c r="J23864">
        <v>869.4</v>
      </c>
      <c r="K23864">
        <v>168.27</v>
      </c>
      <c r="L23864">
        <v>17635</v>
      </c>
      <c r="M23864" t="s">
        <v>349</v>
      </c>
      <c r="N23864" t="str">
        <f>"1169        "</f>
        <v xml:space="preserve">1169        </v>
      </c>
      <c r="O23864">
        <v>230202</v>
      </c>
    </row>
    <row r="23865" spans="1:15" x14ac:dyDescent="0.25">
      <c r="A23865" t="s">
        <v>16</v>
      </c>
      <c r="B23865" t="s">
        <v>3221</v>
      </c>
      <c r="C23865">
        <v>17964</v>
      </c>
      <c r="D23865" t="s">
        <v>3591</v>
      </c>
      <c r="E23865" t="s">
        <v>3115</v>
      </c>
      <c r="F23865">
        <v>451.9</v>
      </c>
      <c r="G23865">
        <v>231219</v>
      </c>
      <c r="H23865">
        <v>4520</v>
      </c>
      <c r="I23865" t="s">
        <v>254</v>
      </c>
      <c r="J23865">
        <v>515.16999999999996</v>
      </c>
      <c r="K23865">
        <v>63.27</v>
      </c>
      <c r="L23865">
        <v>11301</v>
      </c>
      <c r="M23865" t="s">
        <v>29</v>
      </c>
      <c r="N23865" t="str">
        <f>"9940        "</f>
        <v xml:space="preserve">9940        </v>
      </c>
      <c r="O23865">
        <v>231228</v>
      </c>
    </row>
    <row r="23866" spans="1:15" x14ac:dyDescent="0.25">
      <c r="A23866" t="s">
        <v>16</v>
      </c>
      <c r="B23866" t="s">
        <v>3221</v>
      </c>
      <c r="C23866">
        <v>11233</v>
      </c>
      <c r="D23866" t="s">
        <v>2463</v>
      </c>
      <c r="E23866" t="s">
        <v>2464</v>
      </c>
      <c r="F23866">
        <v>104.24</v>
      </c>
      <c r="G23866">
        <v>230830</v>
      </c>
      <c r="H23866">
        <v>4400</v>
      </c>
      <c r="I23866" t="s">
        <v>348</v>
      </c>
      <c r="J23866">
        <v>129.26</v>
      </c>
      <c r="K23866">
        <v>25.02</v>
      </c>
      <c r="L23866">
        <v>17808</v>
      </c>
      <c r="M23866" t="s">
        <v>322</v>
      </c>
      <c r="N23866" t="str">
        <f>"399636      "</f>
        <v xml:space="preserve">399636      </v>
      </c>
      <c r="O23866">
        <v>230901</v>
      </c>
    </row>
    <row r="23867" spans="1:15" x14ac:dyDescent="0.25">
      <c r="A23867" t="s">
        <v>16</v>
      </c>
      <c r="B23867" t="s">
        <v>3221</v>
      </c>
      <c r="C23867">
        <v>11203</v>
      </c>
      <c r="D23867" t="s">
        <v>1969</v>
      </c>
      <c r="E23867" t="s">
        <v>1970</v>
      </c>
      <c r="F23867">
        <v>474.19</v>
      </c>
      <c r="G23867">
        <v>230829</v>
      </c>
      <c r="H23867">
        <v>4580</v>
      </c>
      <c r="I23867" t="s">
        <v>35</v>
      </c>
      <c r="J23867">
        <v>588</v>
      </c>
      <c r="K23867">
        <v>113.81</v>
      </c>
      <c r="L23867">
        <v>56561</v>
      </c>
      <c r="M23867" t="s">
        <v>358</v>
      </c>
      <c r="N23867" t="str">
        <f>"18904       "</f>
        <v xml:space="preserve">18904       </v>
      </c>
      <c r="O23867">
        <v>230831</v>
      </c>
    </row>
    <row r="23868" spans="1:15" x14ac:dyDescent="0.25">
      <c r="A23868" t="s">
        <v>16</v>
      </c>
      <c r="B23868" t="s">
        <v>3221</v>
      </c>
      <c r="C23868">
        <v>6456</v>
      </c>
      <c r="D23868" t="s">
        <v>1969</v>
      </c>
      <c r="E23868" t="s">
        <v>1970</v>
      </c>
      <c r="F23868">
        <v>82.18</v>
      </c>
      <c r="G23868">
        <v>230505</v>
      </c>
      <c r="H23868">
        <v>4600</v>
      </c>
      <c r="I23868" t="s">
        <v>105</v>
      </c>
      <c r="J23868">
        <v>101.9</v>
      </c>
      <c r="K23868">
        <v>19.72</v>
      </c>
      <c r="L23868">
        <v>46554</v>
      </c>
      <c r="M23868" t="s">
        <v>117</v>
      </c>
      <c r="N23868" t="str">
        <f>"15705       "</f>
        <v xml:space="preserve">15705       </v>
      </c>
      <c r="O23868">
        <v>230512</v>
      </c>
    </row>
    <row r="23869" spans="1:15" x14ac:dyDescent="0.25">
      <c r="A23869" t="s">
        <v>16</v>
      </c>
      <c r="B23869" t="s">
        <v>3221</v>
      </c>
      <c r="C23869">
        <v>5941</v>
      </c>
      <c r="D23869" t="s">
        <v>1914</v>
      </c>
      <c r="E23869" t="s">
        <v>1915</v>
      </c>
      <c r="F23869">
        <v>672.8</v>
      </c>
      <c r="G23869">
        <v>230428</v>
      </c>
      <c r="H23869">
        <v>4400</v>
      </c>
      <c r="I23869" t="s">
        <v>348</v>
      </c>
      <c r="J23869">
        <v>834.27</v>
      </c>
      <c r="K23869">
        <v>161.47</v>
      </c>
      <c r="L23869">
        <v>17711</v>
      </c>
      <c r="M23869" t="s">
        <v>65</v>
      </c>
      <c r="N23869" t="str">
        <f>"1004937     "</f>
        <v xml:space="preserve">1004937     </v>
      </c>
      <c r="O23869">
        <v>230504</v>
      </c>
    </row>
    <row r="23870" spans="1:15" x14ac:dyDescent="0.25">
      <c r="A23870" t="s">
        <v>16</v>
      </c>
      <c r="B23870" t="s">
        <v>3221</v>
      </c>
      <c r="C23870">
        <v>11188</v>
      </c>
      <c r="D23870" t="s">
        <v>2446</v>
      </c>
      <c r="E23870" t="s">
        <v>2447</v>
      </c>
      <c r="F23870">
        <v>263.08999999999997</v>
      </c>
      <c r="G23870">
        <v>230828</v>
      </c>
      <c r="H23870">
        <v>4600</v>
      </c>
      <c r="I23870" t="s">
        <v>105</v>
      </c>
      <c r="J23870">
        <v>326.23</v>
      </c>
      <c r="K23870">
        <v>63.14</v>
      </c>
      <c r="L23870">
        <v>17526</v>
      </c>
      <c r="M23870" t="s">
        <v>437</v>
      </c>
      <c r="N23870" t="str">
        <f>"309882      "</f>
        <v xml:space="preserve">309882      </v>
      </c>
      <c r="O23870">
        <v>230831</v>
      </c>
    </row>
    <row r="23871" spans="1:15" x14ac:dyDescent="0.25">
      <c r="A23871" t="s">
        <v>16</v>
      </c>
      <c r="B23871" t="s">
        <v>3221</v>
      </c>
      <c r="C23871">
        <v>4025</v>
      </c>
      <c r="D23871" t="s">
        <v>1651</v>
      </c>
      <c r="E23871" t="s">
        <v>1652</v>
      </c>
      <c r="F23871">
        <v>300.24</v>
      </c>
      <c r="G23871">
        <v>230323</v>
      </c>
      <c r="H23871">
        <v>4580</v>
      </c>
      <c r="I23871" t="s">
        <v>35</v>
      </c>
      <c r="J23871">
        <v>372.3</v>
      </c>
      <c r="K23871">
        <v>72.06</v>
      </c>
      <c r="L23871">
        <v>17527</v>
      </c>
      <c r="M23871" t="s">
        <v>422</v>
      </c>
      <c r="N23871" t="str">
        <f>"3432        "</f>
        <v xml:space="preserve">3432        </v>
      </c>
      <c r="O23871">
        <v>230329</v>
      </c>
    </row>
    <row r="23872" spans="1:15" x14ac:dyDescent="0.25">
      <c r="A23872" t="s">
        <v>16</v>
      </c>
      <c r="B23872" t="s">
        <v>3221</v>
      </c>
      <c r="C23872">
        <v>6600</v>
      </c>
      <c r="D23872" t="s">
        <v>1651</v>
      </c>
      <c r="E23872" t="s">
        <v>1652</v>
      </c>
      <c r="F23872">
        <v>98.95</v>
      </c>
      <c r="G23872">
        <v>230508</v>
      </c>
      <c r="H23872">
        <v>4600</v>
      </c>
      <c r="I23872" t="s">
        <v>105</v>
      </c>
      <c r="J23872">
        <v>122.7</v>
      </c>
      <c r="K23872">
        <v>23.75</v>
      </c>
      <c r="L23872">
        <v>17523</v>
      </c>
      <c r="M23872" t="s">
        <v>134</v>
      </c>
      <c r="N23872" t="str">
        <f>"3465        "</f>
        <v xml:space="preserve">3465        </v>
      </c>
      <c r="O23872">
        <v>230516</v>
      </c>
    </row>
    <row r="23873" spans="1:15" x14ac:dyDescent="0.25">
      <c r="A23873" t="s">
        <v>16</v>
      </c>
      <c r="B23873" t="s">
        <v>3221</v>
      </c>
      <c r="C23873">
        <v>13549</v>
      </c>
      <c r="D23873" t="s">
        <v>1651</v>
      </c>
      <c r="E23873" t="s">
        <v>1652</v>
      </c>
      <c r="F23873">
        <v>125.3</v>
      </c>
      <c r="G23873">
        <v>231010</v>
      </c>
      <c r="H23873">
        <v>4600</v>
      </c>
      <c r="I23873" t="s">
        <v>105</v>
      </c>
      <c r="J23873">
        <v>155.37</v>
      </c>
      <c r="K23873">
        <v>30.07</v>
      </c>
      <c r="L23873">
        <v>17527</v>
      </c>
      <c r="M23873" t="s">
        <v>422</v>
      </c>
      <c r="N23873" t="str">
        <f>"3583        "</f>
        <v xml:space="preserve">3583        </v>
      </c>
      <c r="O23873">
        <v>231011</v>
      </c>
    </row>
    <row r="23874" spans="1:15" x14ac:dyDescent="0.25">
      <c r="A23874" t="s">
        <v>16</v>
      </c>
      <c r="B23874" t="s">
        <v>3221</v>
      </c>
      <c r="C23874">
        <v>9170</v>
      </c>
      <c r="D23874" t="s">
        <v>2273</v>
      </c>
      <c r="E23874" t="s">
        <v>2274</v>
      </c>
      <c r="F23874">
        <v>1450</v>
      </c>
      <c r="G23874">
        <v>230627</v>
      </c>
      <c r="H23874">
        <v>4580</v>
      </c>
      <c r="I23874" t="s">
        <v>35</v>
      </c>
      <c r="J23874">
        <v>1798</v>
      </c>
      <c r="K23874">
        <v>348</v>
      </c>
      <c r="L23874">
        <v>66754</v>
      </c>
      <c r="M23874" t="s">
        <v>239</v>
      </c>
      <c r="N23874" t="str">
        <f>"5017677     "</f>
        <v xml:space="preserve">5017677     </v>
      </c>
      <c r="O23874">
        <v>230629</v>
      </c>
    </row>
    <row r="23875" spans="1:15" x14ac:dyDescent="0.25">
      <c r="A23875" t="s">
        <v>16</v>
      </c>
      <c r="B23875" t="s">
        <v>3221</v>
      </c>
      <c r="C23875">
        <v>8821</v>
      </c>
      <c r="D23875" t="s">
        <v>2210</v>
      </c>
      <c r="E23875" t="s">
        <v>2211</v>
      </c>
      <c r="F23875">
        <v>833.5</v>
      </c>
      <c r="G23875">
        <v>230613</v>
      </c>
      <c r="H23875">
        <v>4600</v>
      </c>
      <c r="I23875" t="s">
        <v>105</v>
      </c>
      <c r="J23875">
        <v>1033.54</v>
      </c>
      <c r="K23875">
        <v>200.04</v>
      </c>
      <c r="L23875">
        <v>59802</v>
      </c>
      <c r="M23875" t="s">
        <v>73</v>
      </c>
      <c r="N23875" t="str">
        <f>"7392        "</f>
        <v xml:space="preserve">7392        </v>
      </c>
      <c r="O23875">
        <v>230616</v>
      </c>
    </row>
    <row r="23876" spans="1:15" x14ac:dyDescent="0.25">
      <c r="A23876" t="s">
        <v>16</v>
      </c>
      <c r="B23876" t="s">
        <v>3221</v>
      </c>
      <c r="C23876">
        <v>12803</v>
      </c>
      <c r="D23876" t="s">
        <v>2210</v>
      </c>
      <c r="E23876" t="s">
        <v>2211</v>
      </c>
      <c r="F23876">
        <v>642</v>
      </c>
      <c r="G23876">
        <v>230920</v>
      </c>
      <c r="H23876">
        <v>4600</v>
      </c>
      <c r="I23876" t="s">
        <v>105</v>
      </c>
      <c r="J23876">
        <v>796.08</v>
      </c>
      <c r="K23876">
        <v>154.08000000000001</v>
      </c>
      <c r="L23876">
        <v>59802</v>
      </c>
      <c r="M23876" t="s">
        <v>73</v>
      </c>
      <c r="N23876" t="str">
        <f>"7470        "</f>
        <v xml:space="preserve">7470        </v>
      </c>
      <c r="O23876">
        <v>230926</v>
      </c>
    </row>
    <row r="23877" spans="1:15" x14ac:dyDescent="0.25">
      <c r="A23877" t="s">
        <v>16</v>
      </c>
      <c r="B23877" t="s">
        <v>3221</v>
      </c>
      <c r="C23877">
        <v>15264</v>
      </c>
      <c r="D23877" t="s">
        <v>3355</v>
      </c>
      <c r="E23877" t="s">
        <v>3356</v>
      </c>
      <c r="F23877">
        <v>100</v>
      </c>
      <c r="G23877">
        <v>231115</v>
      </c>
      <c r="H23877">
        <v>4940</v>
      </c>
      <c r="I23877" t="s">
        <v>514</v>
      </c>
      <c r="J23877">
        <v>100</v>
      </c>
      <c r="K23877">
        <v>0</v>
      </c>
      <c r="L23877">
        <v>11001</v>
      </c>
      <c r="M23877" t="s">
        <v>326</v>
      </c>
      <c r="N23877" t="str">
        <f>"081123      "</f>
        <v xml:space="preserve">081123      </v>
      </c>
      <c r="O23877">
        <v>231109</v>
      </c>
    </row>
    <row r="23878" spans="1:15" x14ac:dyDescent="0.25">
      <c r="A23878" t="s">
        <v>16</v>
      </c>
      <c r="B23878" t="s">
        <v>3221</v>
      </c>
      <c r="C23878">
        <v>1332</v>
      </c>
      <c r="D23878" t="s">
        <v>3355</v>
      </c>
      <c r="E23878" t="s">
        <v>3356</v>
      </c>
      <c r="F23878">
        <v>3000</v>
      </c>
      <c r="G23878">
        <v>230202</v>
      </c>
      <c r="H23878">
        <v>4350</v>
      </c>
      <c r="I23878" t="s">
        <v>546</v>
      </c>
      <c r="J23878">
        <v>3000</v>
      </c>
      <c r="K23878">
        <v>0</v>
      </c>
      <c r="L23878">
        <v>18972</v>
      </c>
      <c r="M23878" t="s">
        <v>163</v>
      </c>
      <c r="N23878" t="str">
        <f>"2707        "</f>
        <v xml:space="preserve">2707        </v>
      </c>
      <c r="O23878">
        <v>230208</v>
      </c>
    </row>
    <row r="23879" spans="1:15" x14ac:dyDescent="0.25">
      <c r="A23879" t="s">
        <v>16</v>
      </c>
      <c r="B23879" t="s">
        <v>3221</v>
      </c>
      <c r="C23879">
        <v>1208</v>
      </c>
      <c r="D23879" t="s">
        <v>951</v>
      </c>
      <c r="E23879" t="s">
        <v>952</v>
      </c>
      <c r="F23879">
        <v>316.11</v>
      </c>
      <c r="G23879">
        <v>230131</v>
      </c>
      <c r="H23879">
        <v>4520</v>
      </c>
      <c r="I23879" t="s">
        <v>254</v>
      </c>
      <c r="J23879">
        <v>360.37</v>
      </c>
      <c r="K23879">
        <v>44.26</v>
      </c>
      <c r="L23879">
        <v>56563</v>
      </c>
      <c r="M23879" t="s">
        <v>953</v>
      </c>
      <c r="N23879" t="str">
        <f>"1008170399  "</f>
        <v xml:space="preserve">1008170399  </v>
      </c>
      <c r="O23879">
        <v>230206</v>
      </c>
    </row>
    <row r="23880" spans="1:15" x14ac:dyDescent="0.25">
      <c r="A23880" t="s">
        <v>16</v>
      </c>
      <c r="B23880" t="s">
        <v>3221</v>
      </c>
      <c r="C23880">
        <v>6155</v>
      </c>
      <c r="D23880" t="s">
        <v>951</v>
      </c>
      <c r="E23880" t="s">
        <v>952</v>
      </c>
      <c r="F23880">
        <v>108.33</v>
      </c>
      <c r="G23880">
        <v>230430</v>
      </c>
      <c r="H23880">
        <v>4520</v>
      </c>
      <c r="I23880" t="s">
        <v>254</v>
      </c>
      <c r="J23880">
        <v>123.5</v>
      </c>
      <c r="K23880">
        <v>15.17</v>
      </c>
      <c r="L23880">
        <v>54422</v>
      </c>
      <c r="M23880" t="s">
        <v>234</v>
      </c>
      <c r="N23880" t="str">
        <f>"1008300716  "</f>
        <v xml:space="preserve">1008300716  </v>
      </c>
      <c r="O23880">
        <v>230508</v>
      </c>
    </row>
    <row r="23881" spans="1:15" x14ac:dyDescent="0.25">
      <c r="A23881" t="s">
        <v>16</v>
      </c>
      <c r="B23881" t="s">
        <v>3221</v>
      </c>
      <c r="C23881">
        <v>12343</v>
      </c>
      <c r="D23881" t="s">
        <v>951</v>
      </c>
      <c r="E23881" t="s">
        <v>952</v>
      </c>
      <c r="F23881">
        <v>318.95999999999998</v>
      </c>
      <c r="G23881">
        <v>230907</v>
      </c>
      <c r="H23881">
        <v>4520</v>
      </c>
      <c r="I23881" t="s">
        <v>254</v>
      </c>
      <c r="J23881">
        <v>363.62</v>
      </c>
      <c r="K23881">
        <v>44.66</v>
      </c>
      <c r="L23881">
        <v>54422</v>
      </c>
      <c r="M23881" t="s">
        <v>234</v>
      </c>
      <c r="N23881" t="str">
        <f>"1008477031  "</f>
        <v xml:space="preserve">1008477031  </v>
      </c>
      <c r="O23881">
        <v>230918</v>
      </c>
    </row>
    <row r="23882" spans="1:15" x14ac:dyDescent="0.25">
      <c r="A23882" t="s">
        <v>16</v>
      </c>
      <c r="B23882" t="s">
        <v>3221</v>
      </c>
      <c r="C23882">
        <v>12343</v>
      </c>
      <c r="D23882" t="s">
        <v>951</v>
      </c>
      <c r="E23882" t="s">
        <v>952</v>
      </c>
      <c r="F23882">
        <v>318.95999999999998</v>
      </c>
      <c r="G23882">
        <v>230907</v>
      </c>
      <c r="H23882">
        <v>4520</v>
      </c>
      <c r="I23882" t="s">
        <v>254</v>
      </c>
      <c r="J23882">
        <v>363.62</v>
      </c>
      <c r="K23882">
        <v>44.66</v>
      </c>
      <c r="L23882">
        <v>54451</v>
      </c>
      <c r="M23882" t="s">
        <v>158</v>
      </c>
      <c r="N23882" t="str">
        <f>"1008477031  "</f>
        <v xml:space="preserve">1008477031  </v>
      </c>
      <c r="O23882">
        <v>230918</v>
      </c>
    </row>
    <row r="23883" spans="1:15" x14ac:dyDescent="0.25">
      <c r="A23883" t="s">
        <v>16</v>
      </c>
      <c r="B23883" t="s">
        <v>3221</v>
      </c>
      <c r="C23883">
        <v>12643</v>
      </c>
      <c r="D23883" t="s">
        <v>951</v>
      </c>
      <c r="E23883" t="s">
        <v>952</v>
      </c>
      <c r="F23883">
        <v>624.98</v>
      </c>
      <c r="G23883">
        <v>230915</v>
      </c>
      <c r="H23883">
        <v>4520</v>
      </c>
      <c r="I23883" t="s">
        <v>254</v>
      </c>
      <c r="J23883">
        <v>712.48</v>
      </c>
      <c r="K23883">
        <v>87.5</v>
      </c>
      <c r="L23883">
        <v>54422</v>
      </c>
      <c r="M23883" t="s">
        <v>234</v>
      </c>
      <c r="N23883" t="str">
        <f>"1008487748  "</f>
        <v xml:space="preserve">1008487748  </v>
      </c>
      <c r="O23883">
        <v>230922</v>
      </c>
    </row>
    <row r="23884" spans="1:15" x14ac:dyDescent="0.25">
      <c r="A23884" t="s">
        <v>16</v>
      </c>
      <c r="B23884" t="s">
        <v>3221</v>
      </c>
      <c r="C23884">
        <v>14581</v>
      </c>
      <c r="D23884" t="s">
        <v>951</v>
      </c>
      <c r="E23884" t="s">
        <v>952</v>
      </c>
      <c r="F23884">
        <v>478.53</v>
      </c>
      <c r="G23884">
        <v>231023</v>
      </c>
      <c r="H23884">
        <v>4520</v>
      </c>
      <c r="I23884" t="s">
        <v>254</v>
      </c>
      <c r="J23884">
        <v>545.52</v>
      </c>
      <c r="K23884">
        <v>66.989999999999995</v>
      </c>
      <c r="L23884">
        <v>54422</v>
      </c>
      <c r="M23884" t="s">
        <v>234</v>
      </c>
      <c r="N23884" t="str">
        <f>"1008539521  "</f>
        <v xml:space="preserve">1008539521  </v>
      </c>
      <c r="O23884">
        <v>231030</v>
      </c>
    </row>
    <row r="23885" spans="1:15" x14ac:dyDescent="0.25">
      <c r="A23885" t="s">
        <v>16</v>
      </c>
      <c r="B23885" t="s">
        <v>3221</v>
      </c>
      <c r="C23885">
        <v>14581</v>
      </c>
      <c r="D23885" t="s">
        <v>951</v>
      </c>
      <c r="E23885" t="s">
        <v>952</v>
      </c>
      <c r="F23885">
        <v>478.53</v>
      </c>
      <c r="G23885">
        <v>231023</v>
      </c>
      <c r="H23885">
        <v>4520</v>
      </c>
      <c r="I23885" t="s">
        <v>254</v>
      </c>
      <c r="J23885">
        <v>545.52</v>
      </c>
      <c r="K23885">
        <v>66.989999999999995</v>
      </c>
      <c r="L23885">
        <v>54451</v>
      </c>
      <c r="M23885" t="s">
        <v>158</v>
      </c>
      <c r="N23885" t="str">
        <f>"1008539521  "</f>
        <v xml:space="preserve">1008539521  </v>
      </c>
      <c r="O23885">
        <v>231030</v>
      </c>
    </row>
    <row r="23886" spans="1:15" x14ac:dyDescent="0.25">
      <c r="A23886" t="s">
        <v>16</v>
      </c>
      <c r="B23886" t="s">
        <v>3221</v>
      </c>
      <c r="C23886">
        <v>16642</v>
      </c>
      <c r="D23886" t="s">
        <v>951</v>
      </c>
      <c r="E23886" t="s">
        <v>952</v>
      </c>
      <c r="F23886">
        <v>253.45</v>
      </c>
      <c r="G23886">
        <v>231123</v>
      </c>
      <c r="H23886">
        <v>4520</v>
      </c>
      <c r="I23886" t="s">
        <v>254</v>
      </c>
      <c r="J23886">
        <v>288.93</v>
      </c>
      <c r="K23886">
        <v>35.479999999999997</v>
      </c>
      <c r="L23886">
        <v>14642</v>
      </c>
      <c r="M23886" t="s">
        <v>863</v>
      </c>
      <c r="N23886" t="str">
        <f>"1008586594  "</f>
        <v xml:space="preserve">1008586594  </v>
      </c>
      <c r="O23886">
        <v>231205</v>
      </c>
    </row>
    <row r="23887" spans="1:15" x14ac:dyDescent="0.25">
      <c r="A23887" t="s">
        <v>16</v>
      </c>
      <c r="B23887" t="s">
        <v>3221</v>
      </c>
      <c r="C23887">
        <v>4299</v>
      </c>
      <c r="D23887" t="s">
        <v>3260</v>
      </c>
      <c r="E23887" t="s">
        <v>3261</v>
      </c>
      <c r="F23887">
        <v>780</v>
      </c>
      <c r="G23887">
        <v>230329</v>
      </c>
      <c r="H23887">
        <v>4345</v>
      </c>
      <c r="I23887" t="s">
        <v>2817</v>
      </c>
      <c r="J23887">
        <v>780</v>
      </c>
      <c r="K23887">
        <v>0</v>
      </c>
      <c r="L23887">
        <v>13201</v>
      </c>
      <c r="M23887" t="s">
        <v>161</v>
      </c>
      <c r="N23887" t="str">
        <f>"18002662    "</f>
        <v xml:space="preserve">18002662    </v>
      </c>
      <c r="O23887">
        <v>230404</v>
      </c>
    </row>
    <row r="23888" spans="1:15" x14ac:dyDescent="0.25">
      <c r="A23888" t="s">
        <v>16</v>
      </c>
      <c r="B23888" t="s">
        <v>3221</v>
      </c>
      <c r="C23888">
        <v>9116</v>
      </c>
      <c r="D23888" t="s">
        <v>3260</v>
      </c>
      <c r="E23888" t="s">
        <v>3261</v>
      </c>
      <c r="F23888">
        <v>1690</v>
      </c>
      <c r="G23888">
        <v>230619</v>
      </c>
      <c r="H23888">
        <v>4345</v>
      </c>
      <c r="I23888" t="s">
        <v>2817</v>
      </c>
      <c r="J23888">
        <v>1690</v>
      </c>
      <c r="K23888">
        <v>0</v>
      </c>
      <c r="L23888">
        <v>13201</v>
      </c>
      <c r="M23888" t="s">
        <v>161</v>
      </c>
      <c r="N23888" t="str">
        <f>"18002766    "</f>
        <v xml:space="preserve">18002766    </v>
      </c>
      <c r="O23888">
        <v>230628</v>
      </c>
    </row>
    <row r="23889" spans="1:15" x14ac:dyDescent="0.25">
      <c r="A23889" t="s">
        <v>16</v>
      </c>
      <c r="B23889" t="s">
        <v>3221</v>
      </c>
      <c r="C23889">
        <v>9116</v>
      </c>
      <c r="D23889" t="s">
        <v>3260</v>
      </c>
      <c r="E23889" t="s">
        <v>3261</v>
      </c>
      <c r="F23889">
        <v>390</v>
      </c>
      <c r="G23889">
        <v>230619</v>
      </c>
      <c r="H23889">
        <v>4345</v>
      </c>
      <c r="I23889" t="s">
        <v>2817</v>
      </c>
      <c r="J23889">
        <v>390</v>
      </c>
      <c r="K23889">
        <v>0</v>
      </c>
      <c r="L23889">
        <v>13501</v>
      </c>
      <c r="M23889" t="s">
        <v>20</v>
      </c>
      <c r="N23889" t="str">
        <f>"18002766    "</f>
        <v xml:space="preserve">18002766    </v>
      </c>
      <c r="O23889">
        <v>230628</v>
      </c>
    </row>
    <row r="23890" spans="1:15" x14ac:dyDescent="0.25">
      <c r="A23890" t="s">
        <v>16</v>
      </c>
      <c r="B23890" t="s">
        <v>3221</v>
      </c>
      <c r="C23890">
        <v>18464</v>
      </c>
      <c r="D23890" t="s">
        <v>3721</v>
      </c>
      <c r="E23890" t="s">
        <v>3265</v>
      </c>
      <c r="F23890">
        <v>900</v>
      </c>
      <c r="G23890">
        <v>231220</v>
      </c>
      <c r="H23890">
        <v>4440</v>
      </c>
      <c r="I23890" t="s">
        <v>250</v>
      </c>
      <c r="J23890">
        <v>900</v>
      </c>
      <c r="K23890">
        <v>0</v>
      </c>
      <c r="L23890">
        <v>18481</v>
      </c>
      <c r="M23890" t="s">
        <v>3314</v>
      </c>
      <c r="N23890" t="str">
        <f>"1000026/2024"</f>
        <v>1000026/2024</v>
      </c>
      <c r="O23890">
        <v>240104</v>
      </c>
    </row>
    <row r="23891" spans="1:15" x14ac:dyDescent="0.25">
      <c r="A23891" t="s">
        <v>16</v>
      </c>
      <c r="B23891" t="s">
        <v>3221</v>
      </c>
      <c r="C23891">
        <v>311</v>
      </c>
      <c r="D23891" t="s">
        <v>456</v>
      </c>
      <c r="E23891" t="s">
        <v>457</v>
      </c>
      <c r="F23891">
        <v>509.1</v>
      </c>
      <c r="G23891">
        <v>230117</v>
      </c>
      <c r="H23891">
        <v>4400</v>
      </c>
      <c r="I23891" t="s">
        <v>348</v>
      </c>
      <c r="J23891">
        <v>631.28</v>
      </c>
      <c r="K23891">
        <v>122.18</v>
      </c>
      <c r="L23891">
        <v>59501</v>
      </c>
      <c r="M23891" t="s">
        <v>69</v>
      </c>
      <c r="N23891" t="str">
        <f>"113717      "</f>
        <v xml:space="preserve">113717      </v>
      </c>
      <c r="O23891">
        <v>230118</v>
      </c>
    </row>
    <row r="23892" spans="1:15" x14ac:dyDescent="0.25">
      <c r="A23892" t="s">
        <v>16</v>
      </c>
      <c r="B23892" t="s">
        <v>3221</v>
      </c>
      <c r="C23892">
        <v>11375</v>
      </c>
      <c r="D23892" t="s">
        <v>2481</v>
      </c>
      <c r="E23892" t="s">
        <v>2482</v>
      </c>
      <c r="F23892">
        <v>100.05</v>
      </c>
      <c r="G23892">
        <v>230828</v>
      </c>
      <c r="H23892">
        <v>4590</v>
      </c>
      <c r="I23892" t="s">
        <v>203</v>
      </c>
      <c r="J23892">
        <v>124.06</v>
      </c>
      <c r="K23892">
        <v>24.01</v>
      </c>
      <c r="L23892">
        <v>49501</v>
      </c>
      <c r="M23892" t="s">
        <v>177</v>
      </c>
      <c r="N23892" t="str">
        <f>"926485      "</f>
        <v xml:space="preserve">926485      </v>
      </c>
      <c r="O23892">
        <v>230905</v>
      </c>
    </row>
    <row r="23893" spans="1:15" x14ac:dyDescent="0.25">
      <c r="A23893" t="s">
        <v>16</v>
      </c>
      <c r="B23893" t="s">
        <v>3221</v>
      </c>
      <c r="C23893">
        <v>5790</v>
      </c>
      <c r="D23893" t="s">
        <v>1902</v>
      </c>
      <c r="E23893" t="s">
        <v>1903</v>
      </c>
      <c r="F23893">
        <v>300</v>
      </c>
      <c r="G23893">
        <v>230419</v>
      </c>
      <c r="H23893">
        <v>4410</v>
      </c>
      <c r="I23893" t="s">
        <v>517</v>
      </c>
      <c r="J23893">
        <v>300</v>
      </c>
      <c r="K23893">
        <v>0</v>
      </c>
      <c r="L23893">
        <v>49702</v>
      </c>
      <c r="M23893" t="s">
        <v>584</v>
      </c>
      <c r="N23893" t="str">
        <f>"112300704   "</f>
        <v xml:space="preserve">112300704   </v>
      </c>
      <c r="O23893">
        <v>230503</v>
      </c>
    </row>
    <row r="23894" spans="1:15" x14ac:dyDescent="0.25">
      <c r="A23894" t="s">
        <v>16</v>
      </c>
      <c r="B23894" t="s">
        <v>3221</v>
      </c>
      <c r="C23894">
        <v>14107</v>
      </c>
      <c r="D23894" t="s">
        <v>1551</v>
      </c>
      <c r="E23894" t="s">
        <v>1552</v>
      </c>
      <c r="F23894">
        <v>372.68</v>
      </c>
      <c r="G23894">
        <v>231010</v>
      </c>
      <c r="H23894">
        <v>4840</v>
      </c>
      <c r="I23894" t="s">
        <v>19</v>
      </c>
      <c r="J23894">
        <v>462.12</v>
      </c>
      <c r="K23894">
        <v>89.44</v>
      </c>
      <c r="L23894">
        <v>69501</v>
      </c>
      <c r="M23894" t="s">
        <v>185</v>
      </c>
      <c r="N23894" t="str">
        <f>"132593      "</f>
        <v xml:space="preserve">132593      </v>
      </c>
      <c r="O23894">
        <v>231018</v>
      </c>
    </row>
    <row r="23895" spans="1:15" x14ac:dyDescent="0.25">
      <c r="A23895" t="s">
        <v>16</v>
      </c>
      <c r="B23895" t="s">
        <v>3221</v>
      </c>
      <c r="C23895">
        <v>3406</v>
      </c>
      <c r="D23895" t="s">
        <v>1551</v>
      </c>
      <c r="E23895" t="s">
        <v>1552</v>
      </c>
      <c r="F23895">
        <v>92.9</v>
      </c>
      <c r="G23895">
        <v>230309</v>
      </c>
      <c r="H23895">
        <v>4860</v>
      </c>
      <c r="I23895" t="s">
        <v>28</v>
      </c>
      <c r="J23895">
        <v>115.2</v>
      </c>
      <c r="K23895">
        <v>22.3</v>
      </c>
      <c r="L23895">
        <v>69501</v>
      </c>
      <c r="M23895" t="s">
        <v>185</v>
      </c>
      <c r="N23895" t="str">
        <f>"131452      "</f>
        <v xml:space="preserve">131452      </v>
      </c>
      <c r="O23895">
        <v>230315</v>
      </c>
    </row>
    <row r="23896" spans="1:15" x14ac:dyDescent="0.25">
      <c r="A23896" t="s">
        <v>16</v>
      </c>
      <c r="B23896" t="s">
        <v>3221</v>
      </c>
      <c r="C23896">
        <v>163</v>
      </c>
      <c r="D23896" t="s">
        <v>3209</v>
      </c>
      <c r="E23896" t="s">
        <v>3210</v>
      </c>
      <c r="F23896">
        <v>50.43</v>
      </c>
      <c r="G23896">
        <v>230102</v>
      </c>
      <c r="H23896">
        <v>4362</v>
      </c>
      <c r="I23896" t="s">
        <v>79</v>
      </c>
      <c r="J23896">
        <v>50.43</v>
      </c>
      <c r="K23896">
        <v>0</v>
      </c>
      <c r="L23896">
        <v>13801</v>
      </c>
      <c r="M23896" t="s">
        <v>162</v>
      </c>
      <c r="N23896" t="str">
        <f>"3010029523  "</f>
        <v xml:space="preserve">3010029523  </v>
      </c>
      <c r="O23896">
        <v>230113</v>
      </c>
    </row>
    <row r="23897" spans="1:15" x14ac:dyDescent="0.25">
      <c r="A23897" t="s">
        <v>16</v>
      </c>
      <c r="B23897" t="s">
        <v>3221</v>
      </c>
      <c r="C23897">
        <v>2477</v>
      </c>
      <c r="D23897" t="s">
        <v>3209</v>
      </c>
      <c r="E23897" t="s">
        <v>3210</v>
      </c>
      <c r="F23897">
        <v>56.32</v>
      </c>
      <c r="G23897">
        <v>230227</v>
      </c>
      <c r="H23897">
        <v>4362</v>
      </c>
      <c r="I23897" t="s">
        <v>79</v>
      </c>
      <c r="J23897">
        <v>56.32</v>
      </c>
      <c r="K23897">
        <v>0</v>
      </c>
      <c r="L23897">
        <v>13801</v>
      </c>
      <c r="M23897" t="s">
        <v>162</v>
      </c>
      <c r="N23897" t="str">
        <f>"3010029863  "</f>
        <v xml:space="preserve">3010029863  </v>
      </c>
      <c r="O23897">
        <v>230228</v>
      </c>
    </row>
    <row r="23898" spans="1:15" x14ac:dyDescent="0.25">
      <c r="A23898" t="s">
        <v>16</v>
      </c>
      <c r="B23898" t="s">
        <v>3221</v>
      </c>
      <c r="C23898">
        <v>4201</v>
      </c>
      <c r="D23898" t="s">
        <v>3209</v>
      </c>
      <c r="E23898" t="s">
        <v>3210</v>
      </c>
      <c r="F23898">
        <v>50.26</v>
      </c>
      <c r="G23898">
        <v>230328</v>
      </c>
      <c r="H23898">
        <v>4362</v>
      </c>
      <c r="I23898" t="s">
        <v>79</v>
      </c>
      <c r="J23898">
        <v>50.26</v>
      </c>
      <c r="K23898">
        <v>0</v>
      </c>
      <c r="L23898">
        <v>13801</v>
      </c>
      <c r="M23898" t="s">
        <v>162</v>
      </c>
      <c r="N23898" t="str">
        <f>"3010030026  "</f>
        <v xml:space="preserve">3010030026  </v>
      </c>
      <c r="O23898">
        <v>230331</v>
      </c>
    </row>
    <row r="23899" spans="1:15" x14ac:dyDescent="0.25">
      <c r="A23899" t="s">
        <v>16</v>
      </c>
      <c r="B23899" t="s">
        <v>3221</v>
      </c>
      <c r="C23899">
        <v>5566</v>
      </c>
      <c r="D23899" t="s">
        <v>3209</v>
      </c>
      <c r="E23899" t="s">
        <v>3210</v>
      </c>
      <c r="F23899">
        <v>50.52</v>
      </c>
      <c r="G23899">
        <v>230426</v>
      </c>
      <c r="H23899">
        <v>4362</v>
      </c>
      <c r="I23899" t="s">
        <v>79</v>
      </c>
      <c r="J23899">
        <v>50.52</v>
      </c>
      <c r="K23899">
        <v>0</v>
      </c>
      <c r="L23899">
        <v>13801</v>
      </c>
      <c r="M23899" t="s">
        <v>162</v>
      </c>
      <c r="N23899" t="str">
        <f>"3010030212  "</f>
        <v xml:space="preserve">3010030212  </v>
      </c>
      <c r="O23899">
        <v>230426</v>
      </c>
    </row>
    <row r="23900" spans="1:15" x14ac:dyDescent="0.25">
      <c r="A23900" t="s">
        <v>16</v>
      </c>
      <c r="B23900" t="s">
        <v>3221</v>
      </c>
      <c r="C23900">
        <v>7503</v>
      </c>
      <c r="D23900" t="s">
        <v>3209</v>
      </c>
      <c r="E23900" t="s">
        <v>3210</v>
      </c>
      <c r="F23900">
        <v>51.29</v>
      </c>
      <c r="G23900">
        <v>230529</v>
      </c>
      <c r="H23900">
        <v>4362</v>
      </c>
      <c r="I23900" t="s">
        <v>79</v>
      </c>
      <c r="J23900">
        <v>51.29</v>
      </c>
      <c r="K23900">
        <v>0</v>
      </c>
      <c r="L23900">
        <v>13801</v>
      </c>
      <c r="M23900" t="s">
        <v>162</v>
      </c>
      <c r="N23900" t="str">
        <f>"3010030449  "</f>
        <v xml:space="preserve">3010030449  </v>
      </c>
      <c r="O23900">
        <v>230531</v>
      </c>
    </row>
    <row r="23901" spans="1:15" x14ac:dyDescent="0.25">
      <c r="A23901" t="s">
        <v>16</v>
      </c>
      <c r="B23901" t="s">
        <v>3221</v>
      </c>
      <c r="C23901">
        <v>9570</v>
      </c>
      <c r="D23901" t="s">
        <v>3209</v>
      </c>
      <c r="E23901" t="s">
        <v>3210</v>
      </c>
      <c r="F23901">
        <v>53.61</v>
      </c>
      <c r="G23901">
        <v>230630</v>
      </c>
      <c r="H23901">
        <v>4362</v>
      </c>
      <c r="I23901" t="s">
        <v>79</v>
      </c>
      <c r="J23901">
        <v>53.61</v>
      </c>
      <c r="K23901">
        <v>0</v>
      </c>
      <c r="L23901">
        <v>13801</v>
      </c>
      <c r="M23901" t="s">
        <v>162</v>
      </c>
      <c r="N23901" t="str">
        <f>"3010030617  "</f>
        <v xml:space="preserve">3010030617  </v>
      </c>
      <c r="O23901">
        <v>230717</v>
      </c>
    </row>
    <row r="23902" spans="1:15" x14ac:dyDescent="0.25">
      <c r="A23902" t="s">
        <v>16</v>
      </c>
      <c r="B23902" t="s">
        <v>3221</v>
      </c>
      <c r="C23902">
        <v>10722</v>
      </c>
      <c r="D23902" t="s">
        <v>3209</v>
      </c>
      <c r="E23902" t="s">
        <v>3210</v>
      </c>
      <c r="F23902">
        <v>51.25</v>
      </c>
      <c r="G23902">
        <v>230818</v>
      </c>
      <c r="H23902">
        <v>4362</v>
      </c>
      <c r="I23902" t="s">
        <v>79</v>
      </c>
      <c r="J23902">
        <v>51.25</v>
      </c>
      <c r="K23902">
        <v>0</v>
      </c>
      <c r="L23902">
        <v>13801</v>
      </c>
      <c r="M23902" t="s">
        <v>162</v>
      </c>
      <c r="N23902" t="str">
        <f>"3010030805  "</f>
        <v xml:space="preserve">3010030805  </v>
      </c>
      <c r="O23902">
        <v>230822</v>
      </c>
    </row>
    <row r="23903" spans="1:15" x14ac:dyDescent="0.25">
      <c r="A23903" t="s">
        <v>16</v>
      </c>
      <c r="B23903" t="s">
        <v>3221</v>
      </c>
      <c r="C23903">
        <v>10937</v>
      </c>
      <c r="D23903" t="s">
        <v>3209</v>
      </c>
      <c r="E23903" t="s">
        <v>3210</v>
      </c>
      <c r="F23903">
        <v>50.13</v>
      </c>
      <c r="G23903">
        <v>230822</v>
      </c>
      <c r="H23903">
        <v>4362</v>
      </c>
      <c r="I23903" t="s">
        <v>79</v>
      </c>
      <c r="J23903">
        <v>50.13</v>
      </c>
      <c r="K23903">
        <v>0</v>
      </c>
      <c r="L23903">
        <v>13801</v>
      </c>
      <c r="M23903" t="s">
        <v>162</v>
      </c>
      <c r="N23903" t="str">
        <f>"3010030975  "</f>
        <v xml:space="preserve">3010030975  </v>
      </c>
      <c r="O23903">
        <v>230825</v>
      </c>
    </row>
    <row r="23904" spans="1:15" x14ac:dyDescent="0.25">
      <c r="A23904" t="s">
        <v>16</v>
      </c>
      <c r="B23904" t="s">
        <v>3221</v>
      </c>
      <c r="C23904">
        <v>14111</v>
      </c>
      <c r="D23904" t="s">
        <v>3209</v>
      </c>
      <c r="E23904" t="s">
        <v>3210</v>
      </c>
      <c r="F23904">
        <v>121.63</v>
      </c>
      <c r="G23904">
        <v>231005</v>
      </c>
      <c r="H23904">
        <v>4362</v>
      </c>
      <c r="I23904" t="s">
        <v>79</v>
      </c>
      <c r="J23904">
        <v>121.63</v>
      </c>
      <c r="K23904">
        <v>0</v>
      </c>
      <c r="L23904">
        <v>13801</v>
      </c>
      <c r="M23904" t="s">
        <v>162</v>
      </c>
      <c r="N23904" t="str">
        <f>"3010031245  "</f>
        <v xml:space="preserve">3010031245  </v>
      </c>
      <c r="O23904">
        <v>231018</v>
      </c>
    </row>
    <row r="23905" spans="1:15" x14ac:dyDescent="0.25">
      <c r="A23905" t="s">
        <v>16</v>
      </c>
      <c r="B23905" t="s">
        <v>3221</v>
      </c>
      <c r="C23905">
        <v>14596</v>
      </c>
      <c r="D23905" t="s">
        <v>3209</v>
      </c>
      <c r="E23905" t="s">
        <v>3210</v>
      </c>
      <c r="F23905">
        <v>59.71</v>
      </c>
      <c r="G23905">
        <v>231027</v>
      </c>
      <c r="H23905">
        <v>4362</v>
      </c>
      <c r="I23905" t="s">
        <v>79</v>
      </c>
      <c r="J23905">
        <v>59.71</v>
      </c>
      <c r="K23905">
        <v>0</v>
      </c>
      <c r="L23905">
        <v>13801</v>
      </c>
      <c r="M23905" t="s">
        <v>162</v>
      </c>
      <c r="N23905" t="str">
        <f>"3010031417  "</f>
        <v xml:space="preserve">3010031417  </v>
      </c>
      <c r="O23905">
        <v>231030</v>
      </c>
    </row>
    <row r="23906" spans="1:15" x14ac:dyDescent="0.25">
      <c r="A23906" t="s">
        <v>16</v>
      </c>
      <c r="B23906" t="s">
        <v>3221</v>
      </c>
      <c r="C23906">
        <v>16768</v>
      </c>
      <c r="D23906" t="s">
        <v>3209</v>
      </c>
      <c r="E23906" t="s">
        <v>3210</v>
      </c>
      <c r="F23906">
        <v>53.64</v>
      </c>
      <c r="G23906">
        <v>231128</v>
      </c>
      <c r="H23906">
        <v>4362</v>
      </c>
      <c r="I23906" t="s">
        <v>79</v>
      </c>
      <c r="J23906">
        <v>53.64</v>
      </c>
      <c r="K23906">
        <v>0</v>
      </c>
      <c r="L23906">
        <v>13801</v>
      </c>
      <c r="M23906" t="s">
        <v>162</v>
      </c>
      <c r="N23906" t="str">
        <f>"3010031612  "</f>
        <v xml:space="preserve">3010031612  </v>
      </c>
      <c r="O23906">
        <v>231208</v>
      </c>
    </row>
    <row r="23907" spans="1:15" x14ac:dyDescent="0.25">
      <c r="A23907" t="s">
        <v>16</v>
      </c>
      <c r="B23907" t="s">
        <v>3221</v>
      </c>
      <c r="C23907">
        <v>18673</v>
      </c>
      <c r="D23907" t="s">
        <v>3209</v>
      </c>
      <c r="E23907" t="s">
        <v>3210</v>
      </c>
      <c r="F23907">
        <v>51.9</v>
      </c>
      <c r="G23907">
        <v>231222</v>
      </c>
      <c r="H23907">
        <v>4362</v>
      </c>
      <c r="I23907" t="s">
        <v>79</v>
      </c>
      <c r="J23907">
        <v>51.9</v>
      </c>
      <c r="K23907">
        <v>0</v>
      </c>
      <c r="L23907">
        <v>13801</v>
      </c>
      <c r="M23907" t="s">
        <v>162</v>
      </c>
      <c r="N23907" t="str">
        <f>"3010031835  "</f>
        <v xml:space="preserve">3010031835  </v>
      </c>
      <c r="O23907">
        <v>240104</v>
      </c>
    </row>
    <row r="23908" spans="1:15" x14ac:dyDescent="0.25">
      <c r="A23908" t="s">
        <v>16</v>
      </c>
      <c r="B23908" t="s">
        <v>3221</v>
      </c>
      <c r="C23908">
        <v>18999</v>
      </c>
      <c r="D23908" t="s">
        <v>3209</v>
      </c>
      <c r="E23908" t="s">
        <v>3210</v>
      </c>
      <c r="F23908">
        <v>55.65</v>
      </c>
      <c r="G23908">
        <v>231231</v>
      </c>
      <c r="H23908">
        <v>4362</v>
      </c>
      <c r="I23908" t="s">
        <v>79</v>
      </c>
      <c r="J23908">
        <v>55.65</v>
      </c>
      <c r="K23908">
        <v>0</v>
      </c>
      <c r="L23908">
        <v>13801</v>
      </c>
      <c r="M23908" t="s">
        <v>162</v>
      </c>
      <c r="N23908" t="str">
        <f>"3010032030  "</f>
        <v xml:space="preserve">3010032030  </v>
      </c>
      <c r="O23908">
        <v>240109</v>
      </c>
    </row>
    <row r="23909" spans="1:15" x14ac:dyDescent="0.25">
      <c r="A23909" t="s">
        <v>16</v>
      </c>
      <c r="B23909" t="s">
        <v>3221</v>
      </c>
      <c r="C23909">
        <v>2225</v>
      </c>
      <c r="D23909" t="s">
        <v>1329</v>
      </c>
      <c r="E23909" t="s">
        <v>1330</v>
      </c>
      <c r="F23909">
        <v>34.11</v>
      </c>
      <c r="G23909">
        <v>230221</v>
      </c>
      <c r="H23909">
        <v>4600</v>
      </c>
      <c r="I23909" t="s">
        <v>105</v>
      </c>
      <c r="J23909">
        <v>42.3</v>
      </c>
      <c r="K23909">
        <v>8.19</v>
      </c>
      <c r="L23909">
        <v>56573</v>
      </c>
      <c r="M23909" t="s">
        <v>521</v>
      </c>
      <c r="N23909" t="str">
        <f>"3758        "</f>
        <v xml:space="preserve">3758        </v>
      </c>
      <c r="O23909">
        <v>230222</v>
      </c>
    </row>
    <row r="23910" spans="1:15" x14ac:dyDescent="0.25">
      <c r="A23910" t="s">
        <v>16</v>
      </c>
      <c r="B23910" t="s">
        <v>3221</v>
      </c>
      <c r="C23910">
        <v>14499</v>
      </c>
      <c r="D23910" t="s">
        <v>1329</v>
      </c>
      <c r="E23910" t="s">
        <v>1330</v>
      </c>
      <c r="F23910">
        <v>210.12</v>
      </c>
      <c r="G23910">
        <v>231025</v>
      </c>
      <c r="H23910">
        <v>4600</v>
      </c>
      <c r="I23910" t="s">
        <v>105</v>
      </c>
      <c r="J23910">
        <v>260.55</v>
      </c>
      <c r="K23910">
        <v>50.43</v>
      </c>
      <c r="L23910">
        <v>56568</v>
      </c>
      <c r="M23910" t="s">
        <v>268</v>
      </c>
      <c r="N23910" t="str">
        <f>"4215        "</f>
        <v xml:space="preserve">4215        </v>
      </c>
      <c r="O23910">
        <v>231030</v>
      </c>
    </row>
    <row r="23911" spans="1:15" x14ac:dyDescent="0.25">
      <c r="A23911" t="s">
        <v>16</v>
      </c>
      <c r="B23911" t="s">
        <v>3221</v>
      </c>
      <c r="C23911">
        <v>19324</v>
      </c>
      <c r="D23911" t="s">
        <v>1329</v>
      </c>
      <c r="E23911" t="s">
        <v>1330</v>
      </c>
      <c r="F23911">
        <v>136.09</v>
      </c>
      <c r="G23911">
        <v>231220</v>
      </c>
      <c r="H23911">
        <v>4600</v>
      </c>
      <c r="I23911" t="s">
        <v>105</v>
      </c>
      <c r="J23911">
        <v>168.75</v>
      </c>
      <c r="K23911">
        <v>32.659999999999997</v>
      </c>
      <c r="L23911">
        <v>56568</v>
      </c>
      <c r="M23911" t="s">
        <v>268</v>
      </c>
      <c r="N23911" t="str">
        <f>"4348        "</f>
        <v xml:space="preserve">4348        </v>
      </c>
      <c r="O23911">
        <v>240117</v>
      </c>
    </row>
    <row r="23912" spans="1:15" x14ac:dyDescent="0.25">
      <c r="A23912" t="s">
        <v>16</v>
      </c>
      <c r="B23912" t="s">
        <v>3221</v>
      </c>
      <c r="C23912">
        <v>14343</v>
      </c>
      <c r="D23912" t="s">
        <v>1576</v>
      </c>
      <c r="E23912" t="s">
        <v>1577</v>
      </c>
      <c r="F23912">
        <v>4819.08</v>
      </c>
      <c r="G23912">
        <v>231018</v>
      </c>
      <c r="H23912">
        <v>1196</v>
      </c>
      <c r="I23912" t="s">
        <v>392</v>
      </c>
      <c r="J23912">
        <v>5975.66</v>
      </c>
      <c r="K23912">
        <v>1156.58</v>
      </c>
      <c r="L23912">
        <v>97701</v>
      </c>
      <c r="M23912" t="s">
        <v>869</v>
      </c>
      <c r="N23912" t="str">
        <f>"37576       "</f>
        <v xml:space="preserve">37576       </v>
      </c>
      <c r="O23912">
        <v>231027</v>
      </c>
    </row>
    <row r="23913" spans="1:15" x14ac:dyDescent="0.25">
      <c r="A23913" t="s">
        <v>16</v>
      </c>
      <c r="B23913" t="s">
        <v>3221</v>
      </c>
      <c r="C23913">
        <v>1604</v>
      </c>
      <c r="D23913" t="s">
        <v>1098</v>
      </c>
      <c r="E23913" t="s">
        <v>1099</v>
      </c>
      <c r="F23913">
        <v>32.44</v>
      </c>
      <c r="G23913">
        <v>230131</v>
      </c>
      <c r="H23913">
        <v>4380</v>
      </c>
      <c r="I23913" t="s">
        <v>113</v>
      </c>
      <c r="J23913">
        <v>40.22</v>
      </c>
      <c r="K23913">
        <v>7.78</v>
      </c>
      <c r="L23913">
        <v>59111</v>
      </c>
      <c r="M23913" t="s">
        <v>1010</v>
      </c>
      <c r="N23913" t="str">
        <f>"1230100052  "</f>
        <v xml:space="preserve">1230100052  </v>
      </c>
      <c r="O23913">
        <v>230210</v>
      </c>
    </row>
    <row r="23914" spans="1:15" x14ac:dyDescent="0.25">
      <c r="A23914" t="s">
        <v>16</v>
      </c>
      <c r="B23914" t="s">
        <v>3221</v>
      </c>
      <c r="C23914">
        <v>1604</v>
      </c>
      <c r="D23914" t="s">
        <v>1098</v>
      </c>
      <c r="E23914" t="s">
        <v>1099</v>
      </c>
      <c r="F23914">
        <v>508.16</v>
      </c>
      <c r="G23914">
        <v>230131</v>
      </c>
      <c r="H23914">
        <v>4380</v>
      </c>
      <c r="I23914" t="s">
        <v>113</v>
      </c>
      <c r="J23914">
        <v>630.12</v>
      </c>
      <c r="K23914">
        <v>121.96</v>
      </c>
      <c r="L23914">
        <v>59501</v>
      </c>
      <c r="M23914" t="s">
        <v>69</v>
      </c>
      <c r="N23914" t="str">
        <f>"1230100052  "</f>
        <v xml:space="preserve">1230100052  </v>
      </c>
      <c r="O23914">
        <v>230210</v>
      </c>
    </row>
    <row r="23915" spans="1:15" x14ac:dyDescent="0.25">
      <c r="A23915" t="s">
        <v>16</v>
      </c>
      <c r="B23915" t="s">
        <v>3221</v>
      </c>
      <c r="C23915">
        <v>1605</v>
      </c>
      <c r="D23915" t="s">
        <v>1098</v>
      </c>
      <c r="E23915" t="s">
        <v>1099</v>
      </c>
      <c r="F23915">
        <v>125.55</v>
      </c>
      <c r="G23915">
        <v>230131</v>
      </c>
      <c r="H23915">
        <v>4380</v>
      </c>
      <c r="I23915" t="s">
        <v>113</v>
      </c>
      <c r="J23915">
        <v>155.68</v>
      </c>
      <c r="K23915">
        <v>30.13</v>
      </c>
      <c r="L23915">
        <v>59505</v>
      </c>
      <c r="M23915" t="s">
        <v>72</v>
      </c>
      <c r="N23915" t="str">
        <f>"1230100055  "</f>
        <v xml:space="preserve">1230100055  </v>
      </c>
      <c r="O23915">
        <v>230210</v>
      </c>
    </row>
    <row r="23916" spans="1:15" x14ac:dyDescent="0.25">
      <c r="A23916" t="s">
        <v>16</v>
      </c>
      <c r="B23916" t="s">
        <v>3221</v>
      </c>
      <c r="C23916">
        <v>1606</v>
      </c>
      <c r="D23916" t="s">
        <v>1098</v>
      </c>
      <c r="E23916" t="s">
        <v>1099</v>
      </c>
      <c r="F23916">
        <v>161.71</v>
      </c>
      <c r="G23916">
        <v>230131</v>
      </c>
      <c r="H23916">
        <v>4380</v>
      </c>
      <c r="I23916" t="s">
        <v>113</v>
      </c>
      <c r="J23916">
        <v>200.52</v>
      </c>
      <c r="K23916">
        <v>38.81</v>
      </c>
      <c r="L23916">
        <v>59502</v>
      </c>
      <c r="M23916" t="s">
        <v>70</v>
      </c>
      <c r="N23916" t="str">
        <f>"1230100058  "</f>
        <v xml:space="preserve">1230100058  </v>
      </c>
      <c r="O23916">
        <v>230210</v>
      </c>
    </row>
    <row r="23917" spans="1:15" x14ac:dyDescent="0.25">
      <c r="A23917" t="s">
        <v>16</v>
      </c>
      <c r="B23917" t="s">
        <v>3221</v>
      </c>
      <c r="C23917">
        <v>1606</v>
      </c>
      <c r="D23917" t="s">
        <v>1098</v>
      </c>
      <c r="E23917" t="s">
        <v>1099</v>
      </c>
      <c r="F23917">
        <v>103.39</v>
      </c>
      <c r="G23917">
        <v>230131</v>
      </c>
      <c r="H23917">
        <v>4380</v>
      </c>
      <c r="I23917" t="s">
        <v>113</v>
      </c>
      <c r="J23917">
        <v>128.19999999999999</v>
      </c>
      <c r="K23917">
        <v>24.81</v>
      </c>
      <c r="L23917">
        <v>59802</v>
      </c>
      <c r="M23917" t="s">
        <v>73</v>
      </c>
      <c r="N23917" t="str">
        <f>"1230100058  "</f>
        <v xml:space="preserve">1230100058  </v>
      </c>
      <c r="O23917">
        <v>230210</v>
      </c>
    </row>
    <row r="23918" spans="1:15" x14ac:dyDescent="0.25">
      <c r="A23918" t="s">
        <v>16</v>
      </c>
      <c r="B23918" t="s">
        <v>3221</v>
      </c>
      <c r="C23918">
        <v>1649</v>
      </c>
      <c r="D23918" t="s">
        <v>1098</v>
      </c>
      <c r="E23918" t="s">
        <v>1099</v>
      </c>
      <c r="F23918">
        <v>55.35</v>
      </c>
      <c r="G23918">
        <v>230131</v>
      </c>
      <c r="H23918">
        <v>4380</v>
      </c>
      <c r="I23918" t="s">
        <v>113</v>
      </c>
      <c r="J23918">
        <v>68.63</v>
      </c>
      <c r="K23918">
        <v>13.28</v>
      </c>
      <c r="L23918">
        <v>59112</v>
      </c>
      <c r="M23918" t="s">
        <v>182</v>
      </c>
      <c r="N23918" t="str">
        <f>"1230100047  "</f>
        <v xml:space="preserve">1230100047  </v>
      </c>
      <c r="O23918">
        <v>230213</v>
      </c>
    </row>
    <row r="23919" spans="1:15" x14ac:dyDescent="0.25">
      <c r="A23919" t="s">
        <v>16</v>
      </c>
      <c r="B23919" t="s">
        <v>3221</v>
      </c>
      <c r="C23919">
        <v>1649</v>
      </c>
      <c r="D23919" t="s">
        <v>1098</v>
      </c>
      <c r="E23919" t="s">
        <v>1099</v>
      </c>
      <c r="F23919">
        <v>149.65</v>
      </c>
      <c r="G23919">
        <v>230131</v>
      </c>
      <c r="H23919">
        <v>4380</v>
      </c>
      <c r="I23919" t="s">
        <v>113</v>
      </c>
      <c r="J23919">
        <v>185.56</v>
      </c>
      <c r="K23919">
        <v>35.909999999999997</v>
      </c>
      <c r="L23919">
        <v>59504</v>
      </c>
      <c r="M23919" t="s">
        <v>71</v>
      </c>
      <c r="N23919" t="str">
        <f>"1230100047  "</f>
        <v xml:space="preserve">1230100047  </v>
      </c>
      <c r="O23919">
        <v>230213</v>
      </c>
    </row>
    <row r="23920" spans="1:15" x14ac:dyDescent="0.25">
      <c r="A23920" t="s">
        <v>16</v>
      </c>
      <c r="B23920" t="s">
        <v>3221</v>
      </c>
      <c r="C23920">
        <v>3131</v>
      </c>
      <c r="D23920" t="s">
        <v>1098</v>
      </c>
      <c r="E23920" t="s">
        <v>1099</v>
      </c>
      <c r="F23920">
        <v>192.31</v>
      </c>
      <c r="G23920">
        <v>230228</v>
      </c>
      <c r="H23920">
        <v>4380</v>
      </c>
      <c r="I23920" t="s">
        <v>113</v>
      </c>
      <c r="J23920">
        <v>238.46</v>
      </c>
      <c r="K23920">
        <v>46.15</v>
      </c>
      <c r="L23920">
        <v>59505</v>
      </c>
      <c r="M23920" t="s">
        <v>72</v>
      </c>
      <c r="N23920" t="str">
        <f>"1230200397  "</f>
        <v xml:space="preserve">1230200397  </v>
      </c>
      <c r="O23920">
        <v>230309</v>
      </c>
    </row>
    <row r="23921" spans="1:15" x14ac:dyDescent="0.25">
      <c r="A23921" t="s">
        <v>16</v>
      </c>
      <c r="B23921" t="s">
        <v>3221</v>
      </c>
      <c r="C23921">
        <v>3133</v>
      </c>
      <c r="D23921" t="s">
        <v>1098</v>
      </c>
      <c r="E23921" t="s">
        <v>1099</v>
      </c>
      <c r="F23921">
        <v>34.450000000000003</v>
      </c>
      <c r="G23921">
        <v>230228</v>
      </c>
      <c r="H23921">
        <v>4380</v>
      </c>
      <c r="I23921" t="s">
        <v>113</v>
      </c>
      <c r="J23921">
        <v>42.72</v>
      </c>
      <c r="K23921">
        <v>8.27</v>
      </c>
      <c r="L23921">
        <v>59111</v>
      </c>
      <c r="M23921" t="s">
        <v>1010</v>
      </c>
      <c r="N23921" t="str">
        <f>"1230200394  "</f>
        <v xml:space="preserve">1230200394  </v>
      </c>
      <c r="O23921">
        <v>230309</v>
      </c>
    </row>
    <row r="23922" spans="1:15" x14ac:dyDescent="0.25">
      <c r="A23922" t="s">
        <v>16</v>
      </c>
      <c r="B23922" t="s">
        <v>3221</v>
      </c>
      <c r="C23922">
        <v>3133</v>
      </c>
      <c r="D23922" t="s">
        <v>1098</v>
      </c>
      <c r="E23922" t="s">
        <v>1099</v>
      </c>
      <c r="F23922">
        <v>539.69000000000005</v>
      </c>
      <c r="G23922">
        <v>230228</v>
      </c>
      <c r="H23922">
        <v>4380</v>
      </c>
      <c r="I23922" t="s">
        <v>113</v>
      </c>
      <c r="J23922">
        <v>669.22</v>
      </c>
      <c r="K23922">
        <v>129.53</v>
      </c>
      <c r="L23922">
        <v>59501</v>
      </c>
      <c r="M23922" t="s">
        <v>69</v>
      </c>
      <c r="N23922" t="str">
        <f>"1230200394  "</f>
        <v xml:space="preserve">1230200394  </v>
      </c>
      <c r="O23922">
        <v>230309</v>
      </c>
    </row>
    <row r="23923" spans="1:15" x14ac:dyDescent="0.25">
      <c r="A23923" t="s">
        <v>16</v>
      </c>
      <c r="B23923" t="s">
        <v>3221</v>
      </c>
      <c r="C23923">
        <v>3134</v>
      </c>
      <c r="D23923" t="s">
        <v>1098</v>
      </c>
      <c r="E23923" t="s">
        <v>1099</v>
      </c>
      <c r="F23923">
        <v>219.66</v>
      </c>
      <c r="G23923">
        <v>230228</v>
      </c>
      <c r="H23923">
        <v>4380</v>
      </c>
      <c r="I23923" t="s">
        <v>113</v>
      </c>
      <c r="J23923">
        <v>272.38</v>
      </c>
      <c r="K23923">
        <v>52.72</v>
      </c>
      <c r="L23923">
        <v>59502</v>
      </c>
      <c r="M23923" t="s">
        <v>70</v>
      </c>
      <c r="N23923" t="str">
        <f>"1230200400  "</f>
        <v xml:space="preserve">1230200400  </v>
      </c>
      <c r="O23923">
        <v>230309</v>
      </c>
    </row>
    <row r="23924" spans="1:15" x14ac:dyDescent="0.25">
      <c r="A23924" t="s">
        <v>16</v>
      </c>
      <c r="B23924" t="s">
        <v>3221</v>
      </c>
      <c r="C23924">
        <v>3134</v>
      </c>
      <c r="D23924" t="s">
        <v>1098</v>
      </c>
      <c r="E23924" t="s">
        <v>1099</v>
      </c>
      <c r="F23924">
        <v>140.44</v>
      </c>
      <c r="G23924">
        <v>230228</v>
      </c>
      <c r="H23924">
        <v>4380</v>
      </c>
      <c r="I23924" t="s">
        <v>113</v>
      </c>
      <c r="J23924">
        <v>174.14</v>
      </c>
      <c r="K23924">
        <v>33.700000000000003</v>
      </c>
      <c r="L23924">
        <v>59802</v>
      </c>
      <c r="M23924" t="s">
        <v>73</v>
      </c>
      <c r="N23924" t="str">
        <f>"1230200400  "</f>
        <v xml:space="preserve">1230200400  </v>
      </c>
      <c r="O23924">
        <v>230309</v>
      </c>
    </row>
    <row r="23925" spans="1:15" x14ac:dyDescent="0.25">
      <c r="A23925" t="s">
        <v>16</v>
      </c>
      <c r="B23925" t="s">
        <v>3221</v>
      </c>
      <c r="C23925">
        <v>3179</v>
      </c>
      <c r="D23925" t="s">
        <v>1098</v>
      </c>
      <c r="E23925" t="s">
        <v>1099</v>
      </c>
      <c r="F23925">
        <v>1.98</v>
      </c>
      <c r="G23925">
        <v>230228</v>
      </c>
      <c r="H23925">
        <v>4380</v>
      </c>
      <c r="I23925" t="s">
        <v>113</v>
      </c>
      <c r="J23925">
        <v>2.4500000000000002</v>
      </c>
      <c r="K23925">
        <v>0.47</v>
      </c>
      <c r="L23925">
        <v>13540</v>
      </c>
      <c r="M23925" t="s">
        <v>85</v>
      </c>
      <c r="N23925" t="str">
        <f>"1230200346  "</f>
        <v xml:space="preserve">1230200346  </v>
      </c>
      <c r="O23925">
        <v>230310</v>
      </c>
    </row>
    <row r="23926" spans="1:15" x14ac:dyDescent="0.25">
      <c r="A23926" t="s">
        <v>16</v>
      </c>
      <c r="B23926" t="s">
        <v>3221</v>
      </c>
      <c r="C23926">
        <v>3179</v>
      </c>
      <c r="D23926" t="s">
        <v>1098</v>
      </c>
      <c r="E23926" t="s">
        <v>1099</v>
      </c>
      <c r="F23926">
        <v>8.24</v>
      </c>
      <c r="G23926">
        <v>230228</v>
      </c>
      <c r="H23926">
        <v>4380</v>
      </c>
      <c r="I23926" t="s">
        <v>113</v>
      </c>
      <c r="J23926">
        <v>10.220000000000001</v>
      </c>
      <c r="K23926">
        <v>1.98</v>
      </c>
      <c r="L23926">
        <v>13552</v>
      </c>
      <c r="M23926" t="s">
        <v>624</v>
      </c>
      <c r="N23926" t="str">
        <f>"1230200346  "</f>
        <v xml:space="preserve">1230200346  </v>
      </c>
      <c r="O23926">
        <v>230310</v>
      </c>
    </row>
    <row r="23927" spans="1:15" x14ac:dyDescent="0.25">
      <c r="A23927" t="s">
        <v>16</v>
      </c>
      <c r="B23927" t="s">
        <v>3221</v>
      </c>
      <c r="C23927">
        <v>3179</v>
      </c>
      <c r="D23927" t="s">
        <v>1098</v>
      </c>
      <c r="E23927" t="s">
        <v>1099</v>
      </c>
      <c r="F23927">
        <v>66.680000000000007</v>
      </c>
      <c r="G23927">
        <v>230228</v>
      </c>
      <c r="H23927">
        <v>4380</v>
      </c>
      <c r="I23927" t="s">
        <v>113</v>
      </c>
      <c r="J23927">
        <v>82.68</v>
      </c>
      <c r="K23927">
        <v>16</v>
      </c>
      <c r="L23927">
        <v>17918</v>
      </c>
      <c r="M23927" t="s">
        <v>137</v>
      </c>
      <c r="N23927" t="str">
        <f>"1230200346  "</f>
        <v xml:space="preserve">1230200346  </v>
      </c>
      <c r="O23927">
        <v>230310</v>
      </c>
    </row>
    <row r="23928" spans="1:15" x14ac:dyDescent="0.25">
      <c r="A23928" t="s">
        <v>16</v>
      </c>
      <c r="B23928" t="s">
        <v>3221</v>
      </c>
      <c r="C23928">
        <v>3179</v>
      </c>
      <c r="D23928" t="s">
        <v>1098</v>
      </c>
      <c r="E23928" t="s">
        <v>1099</v>
      </c>
      <c r="F23928">
        <v>16.010000000000002</v>
      </c>
      <c r="G23928">
        <v>230228</v>
      </c>
      <c r="H23928">
        <v>4380</v>
      </c>
      <c r="I23928" t="s">
        <v>113</v>
      </c>
      <c r="J23928">
        <v>19.850000000000001</v>
      </c>
      <c r="K23928">
        <v>3.84</v>
      </c>
      <c r="L23928">
        <v>17950</v>
      </c>
      <c r="M23928" t="s">
        <v>86</v>
      </c>
      <c r="N23928" t="str">
        <f>"1230200346  "</f>
        <v xml:space="preserve">1230200346  </v>
      </c>
      <c r="O23928">
        <v>230310</v>
      </c>
    </row>
    <row r="23929" spans="1:15" x14ac:dyDescent="0.25">
      <c r="A23929" t="s">
        <v>16</v>
      </c>
      <c r="B23929" t="s">
        <v>3221</v>
      </c>
      <c r="C23929">
        <v>3195</v>
      </c>
      <c r="D23929" t="s">
        <v>1098</v>
      </c>
      <c r="E23929" t="s">
        <v>1099</v>
      </c>
      <c r="F23929">
        <v>7</v>
      </c>
      <c r="G23929">
        <v>230228</v>
      </c>
      <c r="H23929">
        <v>4380</v>
      </c>
      <c r="I23929" t="s">
        <v>113</v>
      </c>
      <c r="J23929">
        <v>8.68</v>
      </c>
      <c r="K23929">
        <v>1.68</v>
      </c>
      <c r="L23929">
        <v>17952</v>
      </c>
      <c r="M23929" t="s">
        <v>88</v>
      </c>
      <c r="N23929" t="str">
        <f>"1230200509  "</f>
        <v xml:space="preserve">1230200509  </v>
      </c>
      <c r="O23929">
        <v>230310</v>
      </c>
    </row>
    <row r="23930" spans="1:15" x14ac:dyDescent="0.25">
      <c r="A23930" t="s">
        <v>16</v>
      </c>
      <c r="B23930" t="s">
        <v>3221</v>
      </c>
      <c r="C23930">
        <v>3264</v>
      </c>
      <c r="D23930" t="s">
        <v>1098</v>
      </c>
      <c r="E23930" t="s">
        <v>1099</v>
      </c>
      <c r="F23930">
        <v>56.35</v>
      </c>
      <c r="G23930">
        <v>230228</v>
      </c>
      <c r="H23930">
        <v>4380</v>
      </c>
      <c r="I23930" t="s">
        <v>113</v>
      </c>
      <c r="J23930">
        <v>69.87</v>
      </c>
      <c r="K23930">
        <v>13.52</v>
      </c>
      <c r="L23930">
        <v>59112</v>
      </c>
      <c r="M23930" t="s">
        <v>182</v>
      </c>
      <c r="N23930" t="str">
        <f>"1230200389  "</f>
        <v xml:space="preserve">1230200389  </v>
      </c>
      <c r="O23930">
        <v>230313</v>
      </c>
    </row>
    <row r="23931" spans="1:15" x14ac:dyDescent="0.25">
      <c r="A23931" t="s">
        <v>16</v>
      </c>
      <c r="B23931" t="s">
        <v>3221</v>
      </c>
      <c r="C23931">
        <v>3264</v>
      </c>
      <c r="D23931" t="s">
        <v>1098</v>
      </c>
      <c r="E23931" t="s">
        <v>1099</v>
      </c>
      <c r="F23931">
        <v>152.35</v>
      </c>
      <c r="G23931">
        <v>230228</v>
      </c>
      <c r="H23931">
        <v>4380</v>
      </c>
      <c r="I23931" t="s">
        <v>113</v>
      </c>
      <c r="J23931">
        <v>188.91</v>
      </c>
      <c r="K23931">
        <v>36.56</v>
      </c>
      <c r="L23931">
        <v>59504</v>
      </c>
      <c r="M23931" t="s">
        <v>71</v>
      </c>
      <c r="N23931" t="str">
        <f>"1230200389  "</f>
        <v xml:space="preserve">1230200389  </v>
      </c>
      <c r="O23931">
        <v>230313</v>
      </c>
    </row>
    <row r="23932" spans="1:15" x14ac:dyDescent="0.25">
      <c r="A23932" t="s">
        <v>16</v>
      </c>
      <c r="B23932" t="s">
        <v>3221</v>
      </c>
      <c r="C23932">
        <v>4383</v>
      </c>
      <c r="D23932" t="s">
        <v>1098</v>
      </c>
      <c r="E23932" t="s">
        <v>1099</v>
      </c>
      <c r="F23932">
        <v>68.47</v>
      </c>
      <c r="G23932">
        <v>230331</v>
      </c>
      <c r="H23932">
        <v>4380</v>
      </c>
      <c r="I23932" t="s">
        <v>113</v>
      </c>
      <c r="J23932">
        <v>84.9</v>
      </c>
      <c r="K23932">
        <v>16.43</v>
      </c>
      <c r="L23932">
        <v>59112</v>
      </c>
      <c r="M23932" t="s">
        <v>182</v>
      </c>
      <c r="N23932" t="str">
        <f>"1230302464  "</f>
        <v xml:space="preserve">1230302464  </v>
      </c>
      <c r="O23932">
        <v>230405</v>
      </c>
    </row>
    <row r="23933" spans="1:15" x14ac:dyDescent="0.25">
      <c r="A23933" t="s">
        <v>16</v>
      </c>
      <c r="B23933" t="s">
        <v>3221</v>
      </c>
      <c r="C23933">
        <v>4383</v>
      </c>
      <c r="D23933" t="s">
        <v>1098</v>
      </c>
      <c r="E23933" t="s">
        <v>1099</v>
      </c>
      <c r="F23933">
        <v>185.1</v>
      </c>
      <c r="G23933">
        <v>230331</v>
      </c>
      <c r="H23933">
        <v>4380</v>
      </c>
      <c r="I23933" t="s">
        <v>113</v>
      </c>
      <c r="J23933">
        <v>229.53</v>
      </c>
      <c r="K23933">
        <v>44.43</v>
      </c>
      <c r="L23933">
        <v>59504</v>
      </c>
      <c r="M23933" t="s">
        <v>71</v>
      </c>
      <c r="N23933" t="str">
        <f>"1230302464  "</f>
        <v xml:space="preserve">1230302464  </v>
      </c>
      <c r="O23933">
        <v>230405</v>
      </c>
    </row>
    <row r="23934" spans="1:15" x14ac:dyDescent="0.25">
      <c r="A23934" t="s">
        <v>16</v>
      </c>
      <c r="B23934" t="s">
        <v>3221</v>
      </c>
      <c r="C23934">
        <v>4402</v>
      </c>
      <c r="D23934" t="s">
        <v>1098</v>
      </c>
      <c r="E23934" t="s">
        <v>1099</v>
      </c>
      <c r="F23934">
        <v>18.899999999999999</v>
      </c>
      <c r="G23934">
        <v>230331</v>
      </c>
      <c r="H23934">
        <v>4380</v>
      </c>
      <c r="I23934" t="s">
        <v>113</v>
      </c>
      <c r="J23934">
        <v>23.44</v>
      </c>
      <c r="K23934">
        <v>4.54</v>
      </c>
      <c r="L23934">
        <v>17952</v>
      </c>
      <c r="M23934" t="s">
        <v>88</v>
      </c>
      <c r="N23934" t="str">
        <f>"1230302581  "</f>
        <v xml:space="preserve">1230302581  </v>
      </c>
      <c r="O23934">
        <v>230405</v>
      </c>
    </row>
    <row r="23935" spans="1:15" x14ac:dyDescent="0.25">
      <c r="A23935" t="s">
        <v>16</v>
      </c>
      <c r="B23935" t="s">
        <v>3221</v>
      </c>
      <c r="C23935">
        <v>4466</v>
      </c>
      <c r="D23935" t="s">
        <v>1098</v>
      </c>
      <c r="E23935" t="s">
        <v>1099</v>
      </c>
      <c r="F23935">
        <v>225.4</v>
      </c>
      <c r="G23935">
        <v>230331</v>
      </c>
      <c r="H23935">
        <v>4380</v>
      </c>
      <c r="I23935" t="s">
        <v>113</v>
      </c>
      <c r="J23935">
        <v>279.49</v>
      </c>
      <c r="K23935">
        <v>54.09</v>
      </c>
      <c r="L23935">
        <v>59502</v>
      </c>
      <c r="M23935" t="s">
        <v>70</v>
      </c>
      <c r="N23935" t="str">
        <f>"1230302476  "</f>
        <v xml:space="preserve">1230302476  </v>
      </c>
      <c r="O23935">
        <v>230406</v>
      </c>
    </row>
    <row r="23936" spans="1:15" x14ac:dyDescent="0.25">
      <c r="A23936" t="s">
        <v>16</v>
      </c>
      <c r="B23936" t="s">
        <v>3221</v>
      </c>
      <c r="C23936">
        <v>4466</v>
      </c>
      <c r="D23936" t="s">
        <v>1098</v>
      </c>
      <c r="E23936" t="s">
        <v>1099</v>
      </c>
      <c r="F23936">
        <v>144.1</v>
      </c>
      <c r="G23936">
        <v>230331</v>
      </c>
      <c r="H23936">
        <v>4380</v>
      </c>
      <c r="I23936" t="s">
        <v>113</v>
      </c>
      <c r="J23936">
        <v>178.69</v>
      </c>
      <c r="K23936">
        <v>34.590000000000003</v>
      </c>
      <c r="L23936">
        <v>59802</v>
      </c>
      <c r="M23936" t="s">
        <v>73</v>
      </c>
      <c r="N23936" t="str">
        <f>"1230302476  "</f>
        <v xml:space="preserve">1230302476  </v>
      </c>
      <c r="O23936">
        <v>230406</v>
      </c>
    </row>
    <row r="23937" spans="1:15" x14ac:dyDescent="0.25">
      <c r="A23937" t="s">
        <v>16</v>
      </c>
      <c r="B23937" t="s">
        <v>3221</v>
      </c>
      <c r="C23937">
        <v>4470</v>
      </c>
      <c r="D23937" t="s">
        <v>1098</v>
      </c>
      <c r="E23937" t="s">
        <v>1099</v>
      </c>
      <c r="F23937">
        <v>230.91</v>
      </c>
      <c r="G23937">
        <v>230331</v>
      </c>
      <c r="H23937">
        <v>4380</v>
      </c>
      <c r="I23937" t="s">
        <v>113</v>
      </c>
      <c r="J23937">
        <v>286.33</v>
      </c>
      <c r="K23937">
        <v>55.42</v>
      </c>
      <c r="L23937">
        <v>59505</v>
      </c>
      <c r="M23937" t="s">
        <v>72</v>
      </c>
      <c r="N23937" t="str">
        <f>"1230302473  "</f>
        <v xml:space="preserve">1230302473  </v>
      </c>
      <c r="O23937">
        <v>230406</v>
      </c>
    </row>
    <row r="23938" spans="1:15" x14ac:dyDescent="0.25">
      <c r="A23938" t="s">
        <v>16</v>
      </c>
      <c r="B23938" t="s">
        <v>3221</v>
      </c>
      <c r="C23938">
        <v>4471</v>
      </c>
      <c r="D23938" t="s">
        <v>1098</v>
      </c>
      <c r="E23938" t="s">
        <v>1099</v>
      </c>
      <c r="F23938">
        <v>90.07</v>
      </c>
      <c r="G23938">
        <v>230331</v>
      </c>
      <c r="H23938">
        <v>4380</v>
      </c>
      <c r="I23938" t="s">
        <v>113</v>
      </c>
      <c r="J23938">
        <v>111.69</v>
      </c>
      <c r="K23938">
        <v>21.62</v>
      </c>
      <c r="L23938">
        <v>59111</v>
      </c>
      <c r="M23938" t="s">
        <v>1010</v>
      </c>
      <c r="N23938" t="str">
        <f>"1230302470  "</f>
        <v xml:space="preserve">1230302470  </v>
      </c>
      <c r="O23938">
        <v>230406</v>
      </c>
    </row>
    <row r="23939" spans="1:15" x14ac:dyDescent="0.25">
      <c r="A23939" t="s">
        <v>16</v>
      </c>
      <c r="B23939" t="s">
        <v>3221</v>
      </c>
      <c r="C23939">
        <v>4471</v>
      </c>
      <c r="D23939" t="s">
        <v>1098</v>
      </c>
      <c r="E23939" t="s">
        <v>1099</v>
      </c>
      <c r="F23939">
        <v>1411.1</v>
      </c>
      <c r="G23939">
        <v>230331</v>
      </c>
      <c r="H23939">
        <v>4380</v>
      </c>
      <c r="I23939" t="s">
        <v>113</v>
      </c>
      <c r="J23939">
        <v>1749.77</v>
      </c>
      <c r="K23939">
        <v>338.67</v>
      </c>
      <c r="L23939">
        <v>59501</v>
      </c>
      <c r="M23939" t="s">
        <v>69</v>
      </c>
      <c r="N23939" t="str">
        <f>"1230302470  "</f>
        <v xml:space="preserve">1230302470  </v>
      </c>
      <c r="O23939">
        <v>230406</v>
      </c>
    </row>
    <row r="23940" spans="1:15" x14ac:dyDescent="0.25">
      <c r="A23940" t="s">
        <v>16</v>
      </c>
      <c r="B23940" t="s">
        <v>3221</v>
      </c>
      <c r="C23940">
        <v>5972</v>
      </c>
      <c r="D23940" t="s">
        <v>1098</v>
      </c>
      <c r="E23940" t="s">
        <v>1099</v>
      </c>
      <c r="F23940">
        <v>74.63</v>
      </c>
      <c r="G23940">
        <v>230430</v>
      </c>
      <c r="H23940">
        <v>4380</v>
      </c>
      <c r="I23940" t="s">
        <v>113</v>
      </c>
      <c r="J23940">
        <v>92.54</v>
      </c>
      <c r="K23940">
        <v>17.91</v>
      </c>
      <c r="L23940">
        <v>59112</v>
      </c>
      <c r="M23940" t="s">
        <v>182</v>
      </c>
      <c r="N23940" t="str">
        <f>"1230400396  "</f>
        <v xml:space="preserve">1230400396  </v>
      </c>
      <c r="O23940">
        <v>230504</v>
      </c>
    </row>
    <row r="23941" spans="1:15" x14ac:dyDescent="0.25">
      <c r="A23941" t="s">
        <v>16</v>
      </c>
      <c r="B23941" t="s">
        <v>3221</v>
      </c>
      <c r="C23941">
        <v>5972</v>
      </c>
      <c r="D23941" t="s">
        <v>1098</v>
      </c>
      <c r="E23941" t="s">
        <v>1099</v>
      </c>
      <c r="F23941">
        <v>201.78</v>
      </c>
      <c r="G23941">
        <v>230430</v>
      </c>
      <c r="H23941">
        <v>4380</v>
      </c>
      <c r="I23941" t="s">
        <v>113</v>
      </c>
      <c r="J23941">
        <v>250.21</v>
      </c>
      <c r="K23941">
        <v>48.43</v>
      </c>
      <c r="L23941">
        <v>59504</v>
      </c>
      <c r="M23941" t="s">
        <v>71</v>
      </c>
      <c r="N23941" t="str">
        <f>"1230400396  "</f>
        <v xml:space="preserve">1230400396  </v>
      </c>
      <c r="O23941">
        <v>230504</v>
      </c>
    </row>
    <row r="23942" spans="1:15" x14ac:dyDescent="0.25">
      <c r="A23942" t="s">
        <v>16</v>
      </c>
      <c r="B23942" t="s">
        <v>3221</v>
      </c>
      <c r="C23942">
        <v>6099</v>
      </c>
      <c r="D23942" t="s">
        <v>1098</v>
      </c>
      <c r="E23942" t="s">
        <v>1099</v>
      </c>
      <c r="F23942">
        <v>11.9</v>
      </c>
      <c r="G23942">
        <v>230430</v>
      </c>
      <c r="H23942">
        <v>4380</v>
      </c>
      <c r="I23942" t="s">
        <v>113</v>
      </c>
      <c r="J23942">
        <v>14.76</v>
      </c>
      <c r="K23942">
        <v>2.86</v>
      </c>
      <c r="L23942">
        <v>17952</v>
      </c>
      <c r="M23942" t="s">
        <v>88</v>
      </c>
      <c r="N23942" t="str">
        <f>"1230400511  "</f>
        <v xml:space="preserve">1230400511  </v>
      </c>
      <c r="O23942">
        <v>230508</v>
      </c>
    </row>
    <row r="23943" spans="1:15" x14ac:dyDescent="0.25">
      <c r="A23943" t="s">
        <v>16</v>
      </c>
      <c r="B23943" t="s">
        <v>3221</v>
      </c>
      <c r="C23943">
        <v>6224</v>
      </c>
      <c r="D23943" t="s">
        <v>1098</v>
      </c>
      <c r="E23943" t="s">
        <v>1099</v>
      </c>
      <c r="F23943">
        <v>11.43</v>
      </c>
      <c r="G23943">
        <v>230430</v>
      </c>
      <c r="H23943">
        <v>4380</v>
      </c>
      <c r="I23943" t="s">
        <v>113</v>
      </c>
      <c r="J23943">
        <v>14.17</v>
      </c>
      <c r="K23943">
        <v>2.74</v>
      </c>
      <c r="L23943">
        <v>13540</v>
      </c>
      <c r="M23943" t="s">
        <v>85</v>
      </c>
      <c r="N23943" t="str">
        <f>"1230400359  "</f>
        <v xml:space="preserve">1230400359  </v>
      </c>
      <c r="O23943">
        <v>230509</v>
      </c>
    </row>
    <row r="23944" spans="1:15" x14ac:dyDescent="0.25">
      <c r="A23944" t="s">
        <v>16</v>
      </c>
      <c r="B23944" t="s">
        <v>3221</v>
      </c>
      <c r="C23944">
        <v>6224</v>
      </c>
      <c r="D23944" t="s">
        <v>1098</v>
      </c>
      <c r="E23944" t="s">
        <v>1099</v>
      </c>
      <c r="F23944">
        <v>77.930000000000007</v>
      </c>
      <c r="G23944">
        <v>230430</v>
      </c>
      <c r="H23944">
        <v>4380</v>
      </c>
      <c r="I23944" t="s">
        <v>113</v>
      </c>
      <c r="J23944">
        <v>96.63</v>
      </c>
      <c r="K23944">
        <v>18.7</v>
      </c>
      <c r="L23944">
        <v>17950</v>
      </c>
      <c r="M23944" t="s">
        <v>86</v>
      </c>
      <c r="N23944" t="str">
        <f>"1230400359  "</f>
        <v xml:space="preserve">1230400359  </v>
      </c>
      <c r="O23944">
        <v>230509</v>
      </c>
    </row>
    <row r="23945" spans="1:15" x14ac:dyDescent="0.25">
      <c r="A23945" t="s">
        <v>16</v>
      </c>
      <c r="B23945" t="s">
        <v>3221</v>
      </c>
      <c r="C23945">
        <v>6224</v>
      </c>
      <c r="D23945" t="s">
        <v>1098</v>
      </c>
      <c r="E23945" t="s">
        <v>1099</v>
      </c>
      <c r="F23945">
        <v>14.55</v>
      </c>
      <c r="G23945">
        <v>230430</v>
      </c>
      <c r="H23945">
        <v>4380</v>
      </c>
      <c r="I23945" t="s">
        <v>113</v>
      </c>
      <c r="J23945">
        <v>18.04</v>
      </c>
      <c r="K23945">
        <v>3.49</v>
      </c>
      <c r="L23945">
        <v>17956</v>
      </c>
      <c r="M23945" t="s">
        <v>53</v>
      </c>
      <c r="N23945" t="str">
        <f>"1230400359  "</f>
        <v xml:space="preserve">1230400359  </v>
      </c>
      <c r="O23945">
        <v>230509</v>
      </c>
    </row>
    <row r="23946" spans="1:15" x14ac:dyDescent="0.25">
      <c r="A23946" t="s">
        <v>16</v>
      </c>
      <c r="B23946" t="s">
        <v>3221</v>
      </c>
      <c r="C23946">
        <v>6350</v>
      </c>
      <c r="D23946" t="s">
        <v>1098</v>
      </c>
      <c r="E23946" t="s">
        <v>1099</v>
      </c>
      <c r="F23946">
        <v>202.83</v>
      </c>
      <c r="G23946">
        <v>230430</v>
      </c>
      <c r="H23946">
        <v>4380</v>
      </c>
      <c r="I23946" t="s">
        <v>113</v>
      </c>
      <c r="J23946">
        <v>251.51</v>
      </c>
      <c r="K23946">
        <v>48.68</v>
      </c>
      <c r="L23946">
        <v>59505</v>
      </c>
      <c r="M23946" t="s">
        <v>72</v>
      </c>
      <c r="N23946" t="str">
        <f>"1230400406  "</f>
        <v xml:space="preserve">1230400406  </v>
      </c>
      <c r="O23946">
        <v>230510</v>
      </c>
    </row>
    <row r="23947" spans="1:15" x14ac:dyDescent="0.25">
      <c r="A23947" t="s">
        <v>16</v>
      </c>
      <c r="B23947" t="s">
        <v>3221</v>
      </c>
      <c r="C23947">
        <v>6351</v>
      </c>
      <c r="D23947" t="s">
        <v>1098</v>
      </c>
      <c r="E23947" t="s">
        <v>1099</v>
      </c>
      <c r="F23947">
        <v>239.31</v>
      </c>
      <c r="G23947">
        <v>230430</v>
      </c>
      <c r="H23947">
        <v>4380</v>
      </c>
      <c r="I23947" t="s">
        <v>113</v>
      </c>
      <c r="J23947">
        <v>296.75</v>
      </c>
      <c r="K23947">
        <v>57.44</v>
      </c>
      <c r="L23947">
        <v>59502</v>
      </c>
      <c r="M23947" t="s">
        <v>70</v>
      </c>
      <c r="N23947" t="str">
        <f>"1230400409  "</f>
        <v xml:space="preserve">1230400409  </v>
      </c>
      <c r="O23947">
        <v>230510</v>
      </c>
    </row>
    <row r="23948" spans="1:15" x14ac:dyDescent="0.25">
      <c r="A23948" t="s">
        <v>16</v>
      </c>
      <c r="B23948" t="s">
        <v>3221</v>
      </c>
      <c r="C23948">
        <v>6351</v>
      </c>
      <c r="D23948" t="s">
        <v>1098</v>
      </c>
      <c r="E23948" t="s">
        <v>1099</v>
      </c>
      <c r="F23948">
        <v>153.01</v>
      </c>
      <c r="G23948">
        <v>230430</v>
      </c>
      <c r="H23948">
        <v>4380</v>
      </c>
      <c r="I23948" t="s">
        <v>113</v>
      </c>
      <c r="J23948">
        <v>189.73</v>
      </c>
      <c r="K23948">
        <v>36.72</v>
      </c>
      <c r="L23948">
        <v>59802</v>
      </c>
      <c r="M23948" t="s">
        <v>73</v>
      </c>
      <c r="N23948" t="str">
        <f>"1230400409  "</f>
        <v xml:space="preserve">1230400409  </v>
      </c>
      <c r="O23948">
        <v>230510</v>
      </c>
    </row>
    <row r="23949" spans="1:15" x14ac:dyDescent="0.25">
      <c r="A23949" t="s">
        <v>16</v>
      </c>
      <c r="B23949" t="s">
        <v>3221</v>
      </c>
      <c r="C23949">
        <v>6352</v>
      </c>
      <c r="D23949" t="s">
        <v>1098</v>
      </c>
      <c r="E23949" t="s">
        <v>1099</v>
      </c>
      <c r="F23949">
        <v>49.27</v>
      </c>
      <c r="G23949">
        <v>230430</v>
      </c>
      <c r="H23949">
        <v>4380</v>
      </c>
      <c r="I23949" t="s">
        <v>113</v>
      </c>
      <c r="J23949">
        <v>61.1</v>
      </c>
      <c r="K23949">
        <v>11.83</v>
      </c>
      <c r="L23949">
        <v>59111</v>
      </c>
      <c r="M23949" t="s">
        <v>1010</v>
      </c>
      <c r="N23949" t="str">
        <f>"1230400403  "</f>
        <v xml:space="preserve">1230400403  </v>
      </c>
      <c r="O23949">
        <v>230510</v>
      </c>
    </row>
    <row r="23950" spans="1:15" x14ac:dyDescent="0.25">
      <c r="A23950" t="s">
        <v>16</v>
      </c>
      <c r="B23950" t="s">
        <v>3221</v>
      </c>
      <c r="C23950">
        <v>6352</v>
      </c>
      <c r="D23950" t="s">
        <v>1098</v>
      </c>
      <c r="E23950" t="s">
        <v>1099</v>
      </c>
      <c r="F23950">
        <v>772.02</v>
      </c>
      <c r="G23950">
        <v>230430</v>
      </c>
      <c r="H23950">
        <v>4380</v>
      </c>
      <c r="I23950" t="s">
        <v>113</v>
      </c>
      <c r="J23950">
        <v>957.31</v>
      </c>
      <c r="K23950">
        <v>185.29</v>
      </c>
      <c r="L23950">
        <v>59501</v>
      </c>
      <c r="M23950" t="s">
        <v>69</v>
      </c>
      <c r="N23950" t="str">
        <f>"1230400403  "</f>
        <v xml:space="preserve">1230400403  </v>
      </c>
      <c r="O23950">
        <v>230510</v>
      </c>
    </row>
    <row r="23951" spans="1:15" x14ac:dyDescent="0.25">
      <c r="A23951" t="s">
        <v>16</v>
      </c>
      <c r="B23951" t="s">
        <v>3221</v>
      </c>
      <c r="C23951">
        <v>8108</v>
      </c>
      <c r="D23951" t="s">
        <v>1098</v>
      </c>
      <c r="E23951" t="s">
        <v>1099</v>
      </c>
      <c r="F23951">
        <v>62.34</v>
      </c>
      <c r="G23951">
        <v>230531</v>
      </c>
      <c r="H23951">
        <v>4380</v>
      </c>
      <c r="I23951" t="s">
        <v>113</v>
      </c>
      <c r="J23951">
        <v>77.3</v>
      </c>
      <c r="K23951">
        <v>14.96</v>
      </c>
      <c r="L23951">
        <v>59112</v>
      </c>
      <c r="M23951" t="s">
        <v>182</v>
      </c>
      <c r="N23951" t="str">
        <f>"1230500073  "</f>
        <v xml:space="preserve">1230500073  </v>
      </c>
      <c r="O23951">
        <v>230607</v>
      </c>
    </row>
    <row r="23952" spans="1:15" x14ac:dyDescent="0.25">
      <c r="A23952" t="s">
        <v>16</v>
      </c>
      <c r="B23952" t="s">
        <v>3221</v>
      </c>
      <c r="C23952">
        <v>8108</v>
      </c>
      <c r="D23952" t="s">
        <v>1098</v>
      </c>
      <c r="E23952" t="s">
        <v>1099</v>
      </c>
      <c r="F23952">
        <v>168.53</v>
      </c>
      <c r="G23952">
        <v>230531</v>
      </c>
      <c r="H23952">
        <v>4380</v>
      </c>
      <c r="I23952" t="s">
        <v>113</v>
      </c>
      <c r="J23952">
        <v>208.98</v>
      </c>
      <c r="K23952">
        <v>40.450000000000003</v>
      </c>
      <c r="L23952">
        <v>59504</v>
      </c>
      <c r="M23952" t="s">
        <v>71</v>
      </c>
      <c r="N23952" t="str">
        <f>"1230500073  "</f>
        <v xml:space="preserve">1230500073  </v>
      </c>
      <c r="O23952">
        <v>230607</v>
      </c>
    </row>
    <row r="23953" spans="1:15" x14ac:dyDescent="0.25">
      <c r="A23953" t="s">
        <v>16</v>
      </c>
      <c r="B23953" t="s">
        <v>3221</v>
      </c>
      <c r="C23953">
        <v>8368</v>
      </c>
      <c r="D23953" t="s">
        <v>1098</v>
      </c>
      <c r="E23953" t="s">
        <v>1099</v>
      </c>
      <c r="F23953">
        <v>106.5</v>
      </c>
      <c r="G23953">
        <v>230531</v>
      </c>
      <c r="H23953">
        <v>4380</v>
      </c>
      <c r="I23953" t="s">
        <v>113</v>
      </c>
      <c r="J23953">
        <v>132.06</v>
      </c>
      <c r="K23953">
        <v>25.56</v>
      </c>
      <c r="L23953">
        <v>59111</v>
      </c>
      <c r="M23953" t="s">
        <v>1010</v>
      </c>
      <c r="N23953" t="str">
        <f>"1230500078  "</f>
        <v xml:space="preserve">1230500078  </v>
      </c>
      <c r="O23953">
        <v>230608</v>
      </c>
    </row>
    <row r="23954" spans="1:15" x14ac:dyDescent="0.25">
      <c r="A23954" t="s">
        <v>16</v>
      </c>
      <c r="B23954" t="s">
        <v>3221</v>
      </c>
      <c r="C23954">
        <v>8368</v>
      </c>
      <c r="D23954" t="s">
        <v>1098</v>
      </c>
      <c r="E23954" t="s">
        <v>1099</v>
      </c>
      <c r="F23954">
        <v>1668.51</v>
      </c>
      <c r="G23954">
        <v>230531</v>
      </c>
      <c r="H23954">
        <v>4380</v>
      </c>
      <c r="I23954" t="s">
        <v>113</v>
      </c>
      <c r="J23954">
        <v>2068.9499999999998</v>
      </c>
      <c r="K23954">
        <v>400.44</v>
      </c>
      <c r="L23954">
        <v>59501</v>
      </c>
      <c r="M23954" t="s">
        <v>69</v>
      </c>
      <c r="N23954" t="str">
        <f>"1230500078  "</f>
        <v xml:space="preserve">1230500078  </v>
      </c>
      <c r="O23954">
        <v>230608</v>
      </c>
    </row>
    <row r="23955" spans="1:15" x14ac:dyDescent="0.25">
      <c r="A23955" t="s">
        <v>16</v>
      </c>
      <c r="B23955" t="s">
        <v>3221</v>
      </c>
      <c r="C23955">
        <v>8369</v>
      </c>
      <c r="D23955" t="s">
        <v>1098</v>
      </c>
      <c r="E23955" t="s">
        <v>1099</v>
      </c>
      <c r="F23955">
        <v>258.05</v>
      </c>
      <c r="G23955">
        <v>230531</v>
      </c>
      <c r="H23955">
        <v>4380</v>
      </c>
      <c r="I23955" t="s">
        <v>113</v>
      </c>
      <c r="J23955">
        <v>319.98</v>
      </c>
      <c r="K23955">
        <v>61.93</v>
      </c>
      <c r="L23955">
        <v>59505</v>
      </c>
      <c r="M23955" t="s">
        <v>72</v>
      </c>
      <c r="N23955" t="str">
        <f>"1230500080  "</f>
        <v xml:space="preserve">1230500080  </v>
      </c>
      <c r="O23955">
        <v>230608</v>
      </c>
    </row>
    <row r="23956" spans="1:15" x14ac:dyDescent="0.25">
      <c r="A23956" t="s">
        <v>16</v>
      </c>
      <c r="B23956" t="s">
        <v>3221</v>
      </c>
      <c r="C23956">
        <v>8370</v>
      </c>
      <c r="D23956" t="s">
        <v>1098</v>
      </c>
      <c r="E23956" t="s">
        <v>1099</v>
      </c>
      <c r="F23956">
        <v>221.06</v>
      </c>
      <c r="G23956">
        <v>230531</v>
      </c>
      <c r="H23956">
        <v>4380</v>
      </c>
      <c r="I23956" t="s">
        <v>113</v>
      </c>
      <c r="J23956">
        <v>274.12</v>
      </c>
      <c r="K23956">
        <v>53.06</v>
      </c>
      <c r="L23956">
        <v>59502</v>
      </c>
      <c r="M23956" t="s">
        <v>70</v>
      </c>
      <c r="N23956" t="str">
        <f>"1230500083  "</f>
        <v xml:space="preserve">1230500083  </v>
      </c>
      <c r="O23956">
        <v>230608</v>
      </c>
    </row>
    <row r="23957" spans="1:15" x14ac:dyDescent="0.25">
      <c r="A23957" t="s">
        <v>16</v>
      </c>
      <c r="B23957" t="s">
        <v>3221</v>
      </c>
      <c r="C23957">
        <v>8370</v>
      </c>
      <c r="D23957" t="s">
        <v>1098</v>
      </c>
      <c r="E23957" t="s">
        <v>1099</v>
      </c>
      <c r="F23957">
        <v>141.33000000000001</v>
      </c>
      <c r="G23957">
        <v>230531</v>
      </c>
      <c r="H23957">
        <v>4380</v>
      </c>
      <c r="I23957" t="s">
        <v>113</v>
      </c>
      <c r="J23957">
        <v>175.25</v>
      </c>
      <c r="K23957">
        <v>33.92</v>
      </c>
      <c r="L23957">
        <v>59802</v>
      </c>
      <c r="M23957" t="s">
        <v>73</v>
      </c>
      <c r="N23957" t="str">
        <f>"1230500083  "</f>
        <v xml:space="preserve">1230500083  </v>
      </c>
      <c r="O23957">
        <v>230608</v>
      </c>
    </row>
    <row r="23958" spans="1:15" x14ac:dyDescent="0.25">
      <c r="A23958" t="s">
        <v>16</v>
      </c>
      <c r="B23958" t="s">
        <v>3221</v>
      </c>
      <c r="C23958">
        <v>8521</v>
      </c>
      <c r="D23958" t="s">
        <v>1098</v>
      </c>
      <c r="E23958" t="s">
        <v>1099</v>
      </c>
      <c r="F23958">
        <v>11.9</v>
      </c>
      <c r="G23958">
        <v>230531</v>
      </c>
      <c r="H23958">
        <v>4380</v>
      </c>
      <c r="I23958" t="s">
        <v>113</v>
      </c>
      <c r="J23958">
        <v>14.76</v>
      </c>
      <c r="K23958">
        <v>2.86</v>
      </c>
      <c r="L23958">
        <v>17952</v>
      </c>
      <c r="M23958" t="s">
        <v>88</v>
      </c>
      <c r="N23958" t="str">
        <f>"1230500169  "</f>
        <v xml:space="preserve">1230500169  </v>
      </c>
      <c r="O23958">
        <v>230612</v>
      </c>
    </row>
    <row r="23959" spans="1:15" x14ac:dyDescent="0.25">
      <c r="A23959" t="s">
        <v>16</v>
      </c>
      <c r="B23959" t="s">
        <v>3221</v>
      </c>
      <c r="C23959">
        <v>9372</v>
      </c>
      <c r="D23959" t="s">
        <v>1098</v>
      </c>
      <c r="E23959" t="s">
        <v>1099</v>
      </c>
      <c r="F23959">
        <v>43.99</v>
      </c>
      <c r="G23959">
        <v>230630</v>
      </c>
      <c r="H23959">
        <v>4380</v>
      </c>
      <c r="I23959" t="s">
        <v>113</v>
      </c>
      <c r="J23959">
        <v>54.55</v>
      </c>
      <c r="K23959">
        <v>10.56</v>
      </c>
      <c r="L23959">
        <v>59112</v>
      </c>
      <c r="M23959" t="s">
        <v>182</v>
      </c>
      <c r="N23959" t="str">
        <f>"1230601712  "</f>
        <v xml:space="preserve">1230601712  </v>
      </c>
      <c r="O23959">
        <v>230710</v>
      </c>
    </row>
    <row r="23960" spans="1:15" x14ac:dyDescent="0.25">
      <c r="A23960" t="s">
        <v>16</v>
      </c>
      <c r="B23960" t="s">
        <v>3221</v>
      </c>
      <c r="C23960">
        <v>9372</v>
      </c>
      <c r="D23960" t="s">
        <v>1098</v>
      </c>
      <c r="E23960" t="s">
        <v>1099</v>
      </c>
      <c r="F23960">
        <v>118.94</v>
      </c>
      <c r="G23960">
        <v>230630</v>
      </c>
      <c r="H23960">
        <v>4380</v>
      </c>
      <c r="I23960" t="s">
        <v>113</v>
      </c>
      <c r="J23960">
        <v>147.47999999999999</v>
      </c>
      <c r="K23960">
        <v>28.54</v>
      </c>
      <c r="L23960">
        <v>59504</v>
      </c>
      <c r="M23960" t="s">
        <v>71</v>
      </c>
      <c r="N23960" t="str">
        <f>"1230601712  "</f>
        <v xml:space="preserve">1230601712  </v>
      </c>
      <c r="O23960">
        <v>230710</v>
      </c>
    </row>
    <row r="23961" spans="1:15" x14ac:dyDescent="0.25">
      <c r="A23961" t="s">
        <v>16</v>
      </c>
      <c r="B23961" t="s">
        <v>3221</v>
      </c>
      <c r="C23961">
        <v>9375</v>
      </c>
      <c r="D23961" t="s">
        <v>1098</v>
      </c>
      <c r="E23961" t="s">
        <v>1099</v>
      </c>
      <c r="F23961">
        <v>11.9</v>
      </c>
      <c r="G23961">
        <v>230630</v>
      </c>
      <c r="H23961">
        <v>4380</v>
      </c>
      <c r="I23961" t="s">
        <v>113</v>
      </c>
      <c r="J23961">
        <v>14.76</v>
      </c>
      <c r="K23961">
        <v>2.86</v>
      </c>
      <c r="L23961">
        <v>17952</v>
      </c>
      <c r="M23961" t="s">
        <v>88</v>
      </c>
      <c r="N23961" t="str">
        <f>"1230601838  "</f>
        <v xml:space="preserve">1230601838  </v>
      </c>
      <c r="O23961">
        <v>230710</v>
      </c>
    </row>
    <row r="23962" spans="1:15" x14ac:dyDescent="0.25">
      <c r="A23962" t="s">
        <v>16</v>
      </c>
      <c r="B23962" t="s">
        <v>3221</v>
      </c>
      <c r="C23962">
        <v>9661</v>
      </c>
      <c r="D23962" t="s">
        <v>1098</v>
      </c>
      <c r="E23962" t="s">
        <v>1099</v>
      </c>
      <c r="F23962">
        <v>184.01</v>
      </c>
      <c r="G23962">
        <v>230630</v>
      </c>
      <c r="H23962">
        <v>4380</v>
      </c>
      <c r="I23962" t="s">
        <v>113</v>
      </c>
      <c r="J23962">
        <v>228.17</v>
      </c>
      <c r="K23962">
        <v>44.16</v>
      </c>
      <c r="L23962">
        <v>59505</v>
      </c>
      <c r="M23962" t="s">
        <v>72</v>
      </c>
      <c r="N23962" t="str">
        <f>"1230601721  "</f>
        <v xml:space="preserve">1230601721  </v>
      </c>
      <c r="O23962">
        <v>230718</v>
      </c>
    </row>
    <row r="23963" spans="1:15" x14ac:dyDescent="0.25">
      <c r="A23963" t="s">
        <v>16</v>
      </c>
      <c r="B23963" t="s">
        <v>3221</v>
      </c>
      <c r="C23963">
        <v>9662</v>
      </c>
      <c r="D23963" t="s">
        <v>1098</v>
      </c>
      <c r="E23963" t="s">
        <v>1099</v>
      </c>
      <c r="F23963">
        <v>214.1</v>
      </c>
      <c r="G23963">
        <v>230630</v>
      </c>
      <c r="H23963">
        <v>4380</v>
      </c>
      <c r="I23963" t="s">
        <v>113</v>
      </c>
      <c r="J23963">
        <v>265.49</v>
      </c>
      <c r="K23963">
        <v>51.39</v>
      </c>
      <c r="L23963">
        <v>59502</v>
      </c>
      <c r="M23963" t="s">
        <v>70</v>
      </c>
      <c r="N23963" t="str">
        <f>"1230601726  "</f>
        <v xml:space="preserve">1230601726  </v>
      </c>
      <c r="O23963">
        <v>230718</v>
      </c>
    </row>
    <row r="23964" spans="1:15" x14ac:dyDescent="0.25">
      <c r="A23964" t="s">
        <v>16</v>
      </c>
      <c r="B23964" t="s">
        <v>3221</v>
      </c>
      <c r="C23964">
        <v>9662</v>
      </c>
      <c r="D23964" t="s">
        <v>1098</v>
      </c>
      <c r="E23964" t="s">
        <v>1099</v>
      </c>
      <c r="F23964">
        <v>136.88999999999999</v>
      </c>
      <c r="G23964">
        <v>230630</v>
      </c>
      <c r="H23964">
        <v>4380</v>
      </c>
      <c r="I23964" t="s">
        <v>113</v>
      </c>
      <c r="J23964">
        <v>169.74</v>
      </c>
      <c r="K23964">
        <v>32.85</v>
      </c>
      <c r="L23964">
        <v>59802</v>
      </c>
      <c r="M23964" t="s">
        <v>73</v>
      </c>
      <c r="N23964" t="str">
        <f>"1230601726  "</f>
        <v xml:space="preserve">1230601726  </v>
      </c>
      <c r="O23964">
        <v>230718</v>
      </c>
    </row>
    <row r="23965" spans="1:15" x14ac:dyDescent="0.25">
      <c r="A23965" t="s">
        <v>16</v>
      </c>
      <c r="B23965" t="s">
        <v>3221</v>
      </c>
      <c r="C23965">
        <v>9723</v>
      </c>
      <c r="D23965" t="s">
        <v>1098</v>
      </c>
      <c r="E23965" t="s">
        <v>1099</v>
      </c>
      <c r="F23965">
        <v>47.51</v>
      </c>
      <c r="G23965">
        <v>230630</v>
      </c>
      <c r="H23965">
        <v>4380</v>
      </c>
      <c r="I23965" t="s">
        <v>113</v>
      </c>
      <c r="J23965">
        <v>58.91</v>
      </c>
      <c r="K23965">
        <v>11.4</v>
      </c>
      <c r="L23965">
        <v>59111</v>
      </c>
      <c r="M23965" t="s">
        <v>1010</v>
      </c>
      <c r="N23965" t="str">
        <f>"1230601718  "</f>
        <v xml:space="preserve">1230601718  </v>
      </c>
      <c r="O23965">
        <v>230720</v>
      </c>
    </row>
    <row r="23966" spans="1:15" x14ac:dyDescent="0.25">
      <c r="A23966" t="s">
        <v>16</v>
      </c>
      <c r="B23966" t="s">
        <v>3221</v>
      </c>
      <c r="C23966">
        <v>9723</v>
      </c>
      <c r="D23966" t="s">
        <v>1098</v>
      </c>
      <c r="E23966" t="s">
        <v>1099</v>
      </c>
      <c r="F23966">
        <v>744.29</v>
      </c>
      <c r="G23966">
        <v>230630</v>
      </c>
      <c r="H23966">
        <v>4380</v>
      </c>
      <c r="I23966" t="s">
        <v>113</v>
      </c>
      <c r="J23966">
        <v>922.92</v>
      </c>
      <c r="K23966">
        <v>178.63</v>
      </c>
      <c r="L23966">
        <v>59501</v>
      </c>
      <c r="M23966" t="s">
        <v>69</v>
      </c>
      <c r="N23966" t="str">
        <f>"1230601718  "</f>
        <v xml:space="preserve">1230601718  </v>
      </c>
      <c r="O23966">
        <v>230720</v>
      </c>
    </row>
    <row r="23967" spans="1:15" x14ac:dyDescent="0.25">
      <c r="A23967" t="s">
        <v>16</v>
      </c>
      <c r="B23967" t="s">
        <v>3221</v>
      </c>
      <c r="C23967">
        <v>9759</v>
      </c>
      <c r="D23967" t="s">
        <v>1098</v>
      </c>
      <c r="E23967" t="s">
        <v>1099</v>
      </c>
      <c r="F23967">
        <v>10.220000000000001</v>
      </c>
      <c r="G23967">
        <v>230630</v>
      </c>
      <c r="H23967">
        <v>4380</v>
      </c>
      <c r="I23967" t="s">
        <v>113</v>
      </c>
      <c r="J23967">
        <v>12.67</v>
      </c>
      <c r="K23967">
        <v>2.4500000000000002</v>
      </c>
      <c r="L23967">
        <v>13540</v>
      </c>
      <c r="M23967" t="s">
        <v>85</v>
      </c>
      <c r="N23967" t="str">
        <f>"1230603083  "</f>
        <v xml:space="preserve">1230603083  </v>
      </c>
      <c r="O23967">
        <v>230725</v>
      </c>
    </row>
    <row r="23968" spans="1:15" x14ac:dyDescent="0.25">
      <c r="A23968" t="s">
        <v>16</v>
      </c>
      <c r="B23968" t="s">
        <v>3221</v>
      </c>
      <c r="C23968">
        <v>9759</v>
      </c>
      <c r="D23968" t="s">
        <v>1098</v>
      </c>
      <c r="E23968" t="s">
        <v>1099</v>
      </c>
      <c r="F23968">
        <v>82.69</v>
      </c>
      <c r="G23968">
        <v>230630</v>
      </c>
      <c r="H23968">
        <v>4380</v>
      </c>
      <c r="I23968" t="s">
        <v>113</v>
      </c>
      <c r="J23968">
        <v>102.53</v>
      </c>
      <c r="K23968">
        <v>19.84</v>
      </c>
      <c r="L23968">
        <v>17950</v>
      </c>
      <c r="M23968" t="s">
        <v>86</v>
      </c>
      <c r="N23968" t="str">
        <f>"1230603083  "</f>
        <v xml:space="preserve">1230603083  </v>
      </c>
      <c r="O23968">
        <v>230725</v>
      </c>
    </row>
    <row r="23969" spans="1:15" x14ac:dyDescent="0.25">
      <c r="A23969" t="s">
        <v>16</v>
      </c>
      <c r="B23969" t="s">
        <v>3221</v>
      </c>
      <c r="C23969">
        <v>10031</v>
      </c>
      <c r="D23969" t="s">
        <v>1098</v>
      </c>
      <c r="E23969" t="s">
        <v>1099</v>
      </c>
      <c r="F23969">
        <v>59.27</v>
      </c>
      <c r="G23969">
        <v>230731</v>
      </c>
      <c r="H23969">
        <v>4380</v>
      </c>
      <c r="I23969" t="s">
        <v>113</v>
      </c>
      <c r="J23969">
        <v>73.489999999999995</v>
      </c>
      <c r="K23969">
        <v>14.22</v>
      </c>
      <c r="L23969">
        <v>59505</v>
      </c>
      <c r="M23969" t="s">
        <v>72</v>
      </c>
      <c r="N23969" t="str">
        <f>"1230700063  "</f>
        <v xml:space="preserve">1230700063  </v>
      </c>
      <c r="O23969">
        <v>230807</v>
      </c>
    </row>
    <row r="23970" spans="1:15" x14ac:dyDescent="0.25">
      <c r="A23970" t="s">
        <v>16</v>
      </c>
      <c r="B23970" t="s">
        <v>3221</v>
      </c>
      <c r="C23970">
        <v>10053</v>
      </c>
      <c r="D23970" t="s">
        <v>1098</v>
      </c>
      <c r="E23970" t="s">
        <v>1099</v>
      </c>
      <c r="F23970">
        <v>37.76</v>
      </c>
      <c r="G23970">
        <v>230731</v>
      </c>
      <c r="H23970">
        <v>4380</v>
      </c>
      <c r="I23970" t="s">
        <v>113</v>
      </c>
      <c r="J23970">
        <v>46.82</v>
      </c>
      <c r="K23970">
        <v>9.06</v>
      </c>
      <c r="L23970">
        <v>59111</v>
      </c>
      <c r="M23970" t="s">
        <v>1010</v>
      </c>
      <c r="N23970" t="str">
        <f>"1230700060  "</f>
        <v xml:space="preserve">1230700060  </v>
      </c>
      <c r="O23970">
        <v>230807</v>
      </c>
    </row>
    <row r="23971" spans="1:15" x14ac:dyDescent="0.25">
      <c r="A23971" t="s">
        <v>16</v>
      </c>
      <c r="B23971" t="s">
        <v>3221</v>
      </c>
      <c r="C23971">
        <v>10053</v>
      </c>
      <c r="D23971" t="s">
        <v>1098</v>
      </c>
      <c r="E23971" t="s">
        <v>1099</v>
      </c>
      <c r="F23971">
        <v>591.6</v>
      </c>
      <c r="G23971">
        <v>230731</v>
      </c>
      <c r="H23971">
        <v>4380</v>
      </c>
      <c r="I23971" t="s">
        <v>113</v>
      </c>
      <c r="J23971">
        <v>733.58</v>
      </c>
      <c r="K23971">
        <v>141.97999999999999</v>
      </c>
      <c r="L23971">
        <v>59501</v>
      </c>
      <c r="M23971" t="s">
        <v>69</v>
      </c>
      <c r="N23971" t="str">
        <f>"1230700060  "</f>
        <v xml:space="preserve">1230700060  </v>
      </c>
      <c r="O23971">
        <v>230807</v>
      </c>
    </row>
    <row r="23972" spans="1:15" x14ac:dyDescent="0.25">
      <c r="A23972" t="s">
        <v>16</v>
      </c>
      <c r="B23972" t="s">
        <v>3221</v>
      </c>
      <c r="C23972">
        <v>10079</v>
      </c>
      <c r="D23972" t="s">
        <v>1098</v>
      </c>
      <c r="E23972" t="s">
        <v>1099</v>
      </c>
      <c r="F23972">
        <v>18.899999999999999</v>
      </c>
      <c r="G23972">
        <v>230731</v>
      </c>
      <c r="H23972">
        <v>4380</v>
      </c>
      <c r="I23972" t="s">
        <v>113</v>
      </c>
      <c r="J23972">
        <v>23.44</v>
      </c>
      <c r="K23972">
        <v>4.54</v>
      </c>
      <c r="L23972">
        <v>17952</v>
      </c>
      <c r="M23972" t="s">
        <v>88</v>
      </c>
      <c r="N23972" t="str">
        <f>"1230700166  "</f>
        <v xml:space="preserve">1230700166  </v>
      </c>
      <c r="O23972">
        <v>230808</v>
      </c>
    </row>
    <row r="23973" spans="1:15" x14ac:dyDescent="0.25">
      <c r="A23973" t="s">
        <v>16</v>
      </c>
      <c r="B23973" t="s">
        <v>3221</v>
      </c>
      <c r="C23973">
        <v>10096</v>
      </c>
      <c r="D23973" t="s">
        <v>1098</v>
      </c>
      <c r="E23973" t="s">
        <v>1099</v>
      </c>
      <c r="F23973">
        <v>39.229999999999997</v>
      </c>
      <c r="G23973">
        <v>230731</v>
      </c>
      <c r="H23973">
        <v>4380</v>
      </c>
      <c r="I23973" t="s">
        <v>113</v>
      </c>
      <c r="J23973">
        <v>48.64</v>
      </c>
      <c r="K23973">
        <v>9.41</v>
      </c>
      <c r="L23973">
        <v>59502</v>
      </c>
      <c r="M23973" t="s">
        <v>70</v>
      </c>
      <c r="N23973" t="str">
        <f>"1230700067  "</f>
        <v xml:space="preserve">1230700067  </v>
      </c>
      <c r="O23973">
        <v>230808</v>
      </c>
    </row>
    <row r="23974" spans="1:15" x14ac:dyDescent="0.25">
      <c r="A23974" t="s">
        <v>16</v>
      </c>
      <c r="B23974" t="s">
        <v>3221</v>
      </c>
      <c r="C23974">
        <v>10096</v>
      </c>
      <c r="D23974" t="s">
        <v>1098</v>
      </c>
      <c r="E23974" t="s">
        <v>1099</v>
      </c>
      <c r="F23974">
        <v>25.07</v>
      </c>
      <c r="G23974">
        <v>230731</v>
      </c>
      <c r="H23974">
        <v>4380</v>
      </c>
      <c r="I23974" t="s">
        <v>113</v>
      </c>
      <c r="J23974">
        <v>31.09</v>
      </c>
      <c r="K23974">
        <v>6.02</v>
      </c>
      <c r="L23974">
        <v>59802</v>
      </c>
      <c r="M23974" t="s">
        <v>73</v>
      </c>
      <c r="N23974" t="str">
        <f>"1230700067  "</f>
        <v xml:space="preserve">1230700067  </v>
      </c>
      <c r="O23974">
        <v>230808</v>
      </c>
    </row>
    <row r="23975" spans="1:15" x14ac:dyDescent="0.25">
      <c r="A23975" t="s">
        <v>16</v>
      </c>
      <c r="B23975" t="s">
        <v>3221</v>
      </c>
      <c r="C23975">
        <v>11676</v>
      </c>
      <c r="D23975" t="s">
        <v>1098</v>
      </c>
      <c r="E23975" t="s">
        <v>1099</v>
      </c>
      <c r="F23975">
        <v>89.9</v>
      </c>
      <c r="G23975">
        <v>230831</v>
      </c>
      <c r="H23975">
        <v>4380</v>
      </c>
      <c r="I23975" t="s">
        <v>113</v>
      </c>
      <c r="J23975">
        <v>111.48</v>
      </c>
      <c r="K23975">
        <v>21.58</v>
      </c>
      <c r="L23975">
        <v>59503</v>
      </c>
      <c r="M23975" t="s">
        <v>194</v>
      </c>
      <c r="N23975" t="str">
        <f>"1230800488  "</f>
        <v xml:space="preserve">1230800488  </v>
      </c>
      <c r="O23975">
        <v>230908</v>
      </c>
    </row>
    <row r="23976" spans="1:15" x14ac:dyDescent="0.25">
      <c r="A23976" t="s">
        <v>16</v>
      </c>
      <c r="B23976" t="s">
        <v>3221</v>
      </c>
      <c r="C23976">
        <v>11677</v>
      </c>
      <c r="D23976" t="s">
        <v>1098</v>
      </c>
      <c r="E23976" t="s">
        <v>1099</v>
      </c>
      <c r="F23976">
        <v>73.540000000000006</v>
      </c>
      <c r="G23976">
        <v>230831</v>
      </c>
      <c r="H23976">
        <v>4380</v>
      </c>
      <c r="I23976" t="s">
        <v>113</v>
      </c>
      <c r="J23976">
        <v>91.19</v>
      </c>
      <c r="K23976">
        <v>17.649999999999999</v>
      </c>
      <c r="L23976">
        <v>59112</v>
      </c>
      <c r="M23976" t="s">
        <v>182</v>
      </c>
      <c r="N23976" t="str">
        <f>"1230800377  "</f>
        <v xml:space="preserve">1230800377  </v>
      </c>
      <c r="O23976">
        <v>230908</v>
      </c>
    </row>
    <row r="23977" spans="1:15" x14ac:dyDescent="0.25">
      <c r="A23977" t="s">
        <v>16</v>
      </c>
      <c r="B23977" t="s">
        <v>3221</v>
      </c>
      <c r="C23977">
        <v>11677</v>
      </c>
      <c r="D23977" t="s">
        <v>1098</v>
      </c>
      <c r="E23977" t="s">
        <v>1099</v>
      </c>
      <c r="F23977">
        <v>198.84</v>
      </c>
      <c r="G23977">
        <v>230831</v>
      </c>
      <c r="H23977">
        <v>4380</v>
      </c>
      <c r="I23977" t="s">
        <v>113</v>
      </c>
      <c r="J23977">
        <v>246.56</v>
      </c>
      <c r="K23977">
        <v>47.72</v>
      </c>
      <c r="L23977">
        <v>59504</v>
      </c>
      <c r="M23977" t="s">
        <v>71</v>
      </c>
      <c r="N23977" t="str">
        <f>"1230800377  "</f>
        <v xml:space="preserve">1230800377  </v>
      </c>
      <c r="O23977">
        <v>230908</v>
      </c>
    </row>
    <row r="23978" spans="1:15" x14ac:dyDescent="0.25">
      <c r="A23978" t="s">
        <v>16</v>
      </c>
      <c r="B23978" t="s">
        <v>3221</v>
      </c>
      <c r="C23978">
        <v>11678</v>
      </c>
      <c r="D23978" t="s">
        <v>1098</v>
      </c>
      <c r="E23978" t="s">
        <v>1099</v>
      </c>
      <c r="F23978">
        <v>159.62</v>
      </c>
      <c r="G23978">
        <v>230831</v>
      </c>
      <c r="H23978">
        <v>4380</v>
      </c>
      <c r="I23978" t="s">
        <v>113</v>
      </c>
      <c r="J23978">
        <v>197.93</v>
      </c>
      <c r="K23978">
        <v>38.31</v>
      </c>
      <c r="L23978">
        <v>59502</v>
      </c>
      <c r="M23978" t="s">
        <v>70</v>
      </c>
      <c r="N23978" t="str">
        <f>"1230800391  "</f>
        <v xml:space="preserve">1230800391  </v>
      </c>
      <c r="O23978">
        <v>230908</v>
      </c>
    </row>
    <row r="23979" spans="1:15" x14ac:dyDescent="0.25">
      <c r="A23979" t="s">
        <v>16</v>
      </c>
      <c r="B23979" t="s">
        <v>3221</v>
      </c>
      <c r="C23979">
        <v>11678</v>
      </c>
      <c r="D23979" t="s">
        <v>1098</v>
      </c>
      <c r="E23979" t="s">
        <v>1099</v>
      </c>
      <c r="F23979">
        <v>102.06</v>
      </c>
      <c r="G23979">
        <v>230831</v>
      </c>
      <c r="H23979">
        <v>4380</v>
      </c>
      <c r="I23979" t="s">
        <v>113</v>
      </c>
      <c r="J23979">
        <v>126.55</v>
      </c>
      <c r="K23979">
        <v>24.49</v>
      </c>
      <c r="L23979">
        <v>59802</v>
      </c>
      <c r="M23979" t="s">
        <v>73</v>
      </c>
      <c r="N23979" t="str">
        <f>"1230800391  "</f>
        <v xml:space="preserve">1230800391  </v>
      </c>
      <c r="O23979">
        <v>230908</v>
      </c>
    </row>
    <row r="23980" spans="1:15" x14ac:dyDescent="0.25">
      <c r="A23980" t="s">
        <v>16</v>
      </c>
      <c r="B23980" t="s">
        <v>3221</v>
      </c>
      <c r="C23980">
        <v>11679</v>
      </c>
      <c r="D23980" t="s">
        <v>1098</v>
      </c>
      <c r="E23980" t="s">
        <v>1099</v>
      </c>
      <c r="F23980">
        <v>26.65</v>
      </c>
      <c r="G23980">
        <v>230831</v>
      </c>
      <c r="H23980">
        <v>4380</v>
      </c>
      <c r="I23980" t="s">
        <v>113</v>
      </c>
      <c r="J23980">
        <v>33.04</v>
      </c>
      <c r="K23980">
        <v>6.39</v>
      </c>
      <c r="L23980">
        <v>59111</v>
      </c>
      <c r="M23980" t="s">
        <v>1010</v>
      </c>
      <c r="N23980" t="str">
        <f>"1230800384  "</f>
        <v xml:space="preserve">1230800384  </v>
      </c>
      <c r="O23980">
        <v>230908</v>
      </c>
    </row>
    <row r="23981" spans="1:15" x14ac:dyDescent="0.25">
      <c r="A23981" t="s">
        <v>16</v>
      </c>
      <c r="B23981" t="s">
        <v>3221</v>
      </c>
      <c r="C23981">
        <v>11679</v>
      </c>
      <c r="D23981" t="s">
        <v>1098</v>
      </c>
      <c r="E23981" t="s">
        <v>1099</v>
      </c>
      <c r="F23981">
        <v>417.4</v>
      </c>
      <c r="G23981">
        <v>230831</v>
      </c>
      <c r="H23981">
        <v>4380</v>
      </c>
      <c r="I23981" t="s">
        <v>113</v>
      </c>
      <c r="J23981">
        <v>517.58000000000004</v>
      </c>
      <c r="K23981">
        <v>100.18</v>
      </c>
      <c r="L23981">
        <v>59501</v>
      </c>
      <c r="M23981" t="s">
        <v>69</v>
      </c>
      <c r="N23981" t="str">
        <f>"1230800384  "</f>
        <v xml:space="preserve">1230800384  </v>
      </c>
      <c r="O23981">
        <v>230908</v>
      </c>
    </row>
    <row r="23982" spans="1:15" x14ac:dyDescent="0.25">
      <c r="A23982" t="s">
        <v>16</v>
      </c>
      <c r="B23982" t="s">
        <v>3221</v>
      </c>
      <c r="C23982">
        <v>11681</v>
      </c>
      <c r="D23982" t="s">
        <v>1098</v>
      </c>
      <c r="E23982" t="s">
        <v>1099</v>
      </c>
      <c r="F23982">
        <v>110.71</v>
      </c>
      <c r="G23982">
        <v>230831</v>
      </c>
      <c r="H23982">
        <v>4380</v>
      </c>
      <c r="I23982" t="s">
        <v>113</v>
      </c>
      <c r="J23982">
        <v>137.28</v>
      </c>
      <c r="K23982">
        <v>26.57</v>
      </c>
      <c r="L23982">
        <v>59505</v>
      </c>
      <c r="M23982" t="s">
        <v>72</v>
      </c>
      <c r="N23982" t="str">
        <f>"1230800387  "</f>
        <v xml:space="preserve">1230800387  </v>
      </c>
      <c r="O23982">
        <v>230908</v>
      </c>
    </row>
    <row r="23983" spans="1:15" x14ac:dyDescent="0.25">
      <c r="A23983" t="s">
        <v>16</v>
      </c>
      <c r="B23983" t="s">
        <v>3221</v>
      </c>
      <c r="C23983">
        <v>11727</v>
      </c>
      <c r="D23983" t="s">
        <v>1098</v>
      </c>
      <c r="E23983" t="s">
        <v>1099</v>
      </c>
      <c r="F23983">
        <v>18.899999999999999</v>
      </c>
      <c r="G23983">
        <v>230831</v>
      </c>
      <c r="H23983">
        <v>4380</v>
      </c>
      <c r="I23983" t="s">
        <v>113</v>
      </c>
      <c r="J23983">
        <v>23.44</v>
      </c>
      <c r="K23983">
        <v>4.54</v>
      </c>
      <c r="L23983">
        <v>17952</v>
      </c>
      <c r="M23983" t="s">
        <v>88</v>
      </c>
      <c r="N23983" t="str">
        <f>"1230800501  "</f>
        <v xml:space="preserve">1230800501  </v>
      </c>
      <c r="O23983">
        <v>230908</v>
      </c>
    </row>
    <row r="23984" spans="1:15" x14ac:dyDescent="0.25">
      <c r="A23984" t="s">
        <v>16</v>
      </c>
      <c r="B23984" t="s">
        <v>3221</v>
      </c>
      <c r="C23984">
        <v>11791</v>
      </c>
      <c r="D23984" t="s">
        <v>1098</v>
      </c>
      <c r="E23984" t="s">
        <v>1099</v>
      </c>
      <c r="F23984">
        <v>10.220000000000001</v>
      </c>
      <c r="G23984">
        <v>230831</v>
      </c>
      <c r="H23984">
        <v>4380</v>
      </c>
      <c r="I23984" t="s">
        <v>113</v>
      </c>
      <c r="J23984">
        <v>12.67</v>
      </c>
      <c r="K23984">
        <v>2.4500000000000002</v>
      </c>
      <c r="L23984">
        <v>13540</v>
      </c>
      <c r="M23984" t="s">
        <v>85</v>
      </c>
      <c r="N23984" t="str">
        <f>"1230800342  "</f>
        <v xml:space="preserve">1230800342  </v>
      </c>
      <c r="O23984">
        <v>230911</v>
      </c>
    </row>
    <row r="23985" spans="1:15" x14ac:dyDescent="0.25">
      <c r="A23985" t="s">
        <v>16</v>
      </c>
      <c r="B23985" t="s">
        <v>3221</v>
      </c>
      <c r="C23985">
        <v>11791</v>
      </c>
      <c r="D23985" t="s">
        <v>1098</v>
      </c>
      <c r="E23985" t="s">
        <v>1099</v>
      </c>
      <c r="F23985">
        <v>82.69</v>
      </c>
      <c r="G23985">
        <v>230831</v>
      </c>
      <c r="H23985">
        <v>4380</v>
      </c>
      <c r="I23985" t="s">
        <v>113</v>
      </c>
      <c r="J23985">
        <v>102.53</v>
      </c>
      <c r="K23985">
        <v>19.84</v>
      </c>
      <c r="L23985">
        <v>17950</v>
      </c>
      <c r="M23985" t="s">
        <v>86</v>
      </c>
      <c r="N23985" t="str">
        <f>"1230800342  "</f>
        <v xml:space="preserve">1230800342  </v>
      </c>
      <c r="O23985">
        <v>230911</v>
      </c>
    </row>
    <row r="23986" spans="1:15" x14ac:dyDescent="0.25">
      <c r="A23986" t="s">
        <v>16</v>
      </c>
      <c r="B23986" t="s">
        <v>3221</v>
      </c>
      <c r="C23986">
        <v>13358</v>
      </c>
      <c r="D23986" t="s">
        <v>1098</v>
      </c>
      <c r="E23986" t="s">
        <v>1099</v>
      </c>
      <c r="F23986">
        <v>61.47</v>
      </c>
      <c r="G23986">
        <v>230930</v>
      </c>
      <c r="H23986">
        <v>4380</v>
      </c>
      <c r="I23986" t="s">
        <v>113</v>
      </c>
      <c r="J23986">
        <v>76.22</v>
      </c>
      <c r="K23986">
        <v>14.75</v>
      </c>
      <c r="L23986">
        <v>59112</v>
      </c>
      <c r="M23986" t="s">
        <v>182</v>
      </c>
      <c r="N23986" t="str">
        <f>"1230902515  "</f>
        <v xml:space="preserve">1230902515  </v>
      </c>
      <c r="O23986">
        <v>231009</v>
      </c>
    </row>
    <row r="23987" spans="1:15" x14ac:dyDescent="0.25">
      <c r="A23987" t="s">
        <v>16</v>
      </c>
      <c r="B23987" t="s">
        <v>3221</v>
      </c>
      <c r="C23987">
        <v>13358</v>
      </c>
      <c r="D23987" t="s">
        <v>1098</v>
      </c>
      <c r="E23987" t="s">
        <v>1099</v>
      </c>
      <c r="F23987">
        <v>166.2</v>
      </c>
      <c r="G23987">
        <v>230930</v>
      </c>
      <c r="H23987">
        <v>4380</v>
      </c>
      <c r="I23987" t="s">
        <v>113</v>
      </c>
      <c r="J23987">
        <v>206.09</v>
      </c>
      <c r="K23987">
        <v>39.89</v>
      </c>
      <c r="L23987">
        <v>59504</v>
      </c>
      <c r="M23987" t="s">
        <v>71</v>
      </c>
      <c r="N23987" t="str">
        <f>"1230902515  "</f>
        <v xml:space="preserve">1230902515  </v>
      </c>
      <c r="O23987">
        <v>231009</v>
      </c>
    </row>
    <row r="23988" spans="1:15" x14ac:dyDescent="0.25">
      <c r="A23988" t="s">
        <v>16</v>
      </c>
      <c r="B23988" t="s">
        <v>3221</v>
      </c>
      <c r="C23988">
        <v>13423</v>
      </c>
      <c r="D23988" t="s">
        <v>1098</v>
      </c>
      <c r="E23988" t="s">
        <v>1099</v>
      </c>
      <c r="F23988">
        <v>25.9</v>
      </c>
      <c r="G23988">
        <v>230930</v>
      </c>
      <c r="H23988">
        <v>4380</v>
      </c>
      <c r="I23988" t="s">
        <v>113</v>
      </c>
      <c r="J23988">
        <v>32.119999999999997</v>
      </c>
      <c r="K23988">
        <v>6.22</v>
      </c>
      <c r="L23988">
        <v>17952</v>
      </c>
      <c r="M23988" t="s">
        <v>88</v>
      </c>
      <c r="N23988" t="str">
        <f>"1230902631  "</f>
        <v xml:space="preserve">1230902631  </v>
      </c>
      <c r="O23988">
        <v>231010</v>
      </c>
    </row>
    <row r="23989" spans="1:15" x14ac:dyDescent="0.25">
      <c r="A23989" t="s">
        <v>16</v>
      </c>
      <c r="B23989" t="s">
        <v>3221</v>
      </c>
      <c r="C23989">
        <v>14079</v>
      </c>
      <c r="D23989" t="s">
        <v>1098</v>
      </c>
      <c r="E23989" t="s">
        <v>1099</v>
      </c>
      <c r="F23989">
        <v>78.709999999999994</v>
      </c>
      <c r="G23989">
        <v>230930</v>
      </c>
      <c r="H23989">
        <v>4380</v>
      </c>
      <c r="I23989" t="s">
        <v>113</v>
      </c>
      <c r="J23989">
        <v>97.6</v>
      </c>
      <c r="K23989">
        <v>18.89</v>
      </c>
      <c r="L23989">
        <v>59505</v>
      </c>
      <c r="M23989" t="s">
        <v>72</v>
      </c>
      <c r="N23989" t="str">
        <f>"1230902524  "</f>
        <v xml:space="preserve">1230902524  </v>
      </c>
      <c r="O23989">
        <v>231018</v>
      </c>
    </row>
    <row r="23990" spans="1:15" x14ac:dyDescent="0.25">
      <c r="A23990" t="s">
        <v>16</v>
      </c>
      <c r="B23990" t="s">
        <v>3221</v>
      </c>
      <c r="C23990">
        <v>14080</v>
      </c>
      <c r="D23990" t="s">
        <v>1098</v>
      </c>
      <c r="E23990" t="s">
        <v>1099</v>
      </c>
      <c r="F23990">
        <v>132.61000000000001</v>
      </c>
      <c r="G23990">
        <v>230930</v>
      </c>
      <c r="H23990">
        <v>4380</v>
      </c>
      <c r="I23990" t="s">
        <v>113</v>
      </c>
      <c r="J23990">
        <v>164.44</v>
      </c>
      <c r="K23990">
        <v>31.83</v>
      </c>
      <c r="L23990">
        <v>59502</v>
      </c>
      <c r="M23990" t="s">
        <v>70</v>
      </c>
      <c r="N23990" t="str">
        <f>"1230902528  "</f>
        <v xml:space="preserve">1230902528  </v>
      </c>
      <c r="O23990">
        <v>231018</v>
      </c>
    </row>
    <row r="23991" spans="1:15" x14ac:dyDescent="0.25">
      <c r="A23991" t="s">
        <v>16</v>
      </c>
      <c r="B23991" t="s">
        <v>3221</v>
      </c>
      <c r="C23991">
        <v>14080</v>
      </c>
      <c r="D23991" t="s">
        <v>1098</v>
      </c>
      <c r="E23991" t="s">
        <v>1099</v>
      </c>
      <c r="F23991">
        <v>84.78</v>
      </c>
      <c r="G23991">
        <v>230930</v>
      </c>
      <c r="H23991">
        <v>4380</v>
      </c>
      <c r="I23991" t="s">
        <v>113</v>
      </c>
      <c r="J23991">
        <v>105.13</v>
      </c>
      <c r="K23991">
        <v>20.350000000000001</v>
      </c>
      <c r="L23991">
        <v>59802</v>
      </c>
      <c r="M23991" t="s">
        <v>73</v>
      </c>
      <c r="N23991" t="str">
        <f>"1230902528  "</f>
        <v xml:space="preserve">1230902528  </v>
      </c>
      <c r="O23991">
        <v>231018</v>
      </c>
    </row>
    <row r="23992" spans="1:15" x14ac:dyDescent="0.25">
      <c r="A23992" t="s">
        <v>16</v>
      </c>
      <c r="B23992" t="s">
        <v>3221</v>
      </c>
      <c r="C23992">
        <v>14081</v>
      </c>
      <c r="D23992" t="s">
        <v>1098</v>
      </c>
      <c r="E23992" t="s">
        <v>1099</v>
      </c>
      <c r="F23992">
        <v>45.19</v>
      </c>
      <c r="G23992">
        <v>230930</v>
      </c>
      <c r="H23992">
        <v>4380</v>
      </c>
      <c r="I23992" t="s">
        <v>113</v>
      </c>
      <c r="J23992">
        <v>56.04</v>
      </c>
      <c r="K23992">
        <v>10.85</v>
      </c>
      <c r="L23992">
        <v>59111</v>
      </c>
      <c r="M23992" t="s">
        <v>1010</v>
      </c>
      <c r="N23992" t="str">
        <f>"1230902521  "</f>
        <v xml:space="preserve">1230902521  </v>
      </c>
      <c r="O23992">
        <v>231018</v>
      </c>
    </row>
    <row r="23993" spans="1:15" x14ac:dyDescent="0.25">
      <c r="A23993" t="s">
        <v>16</v>
      </c>
      <c r="B23993" t="s">
        <v>3221</v>
      </c>
      <c r="C23993">
        <v>14081</v>
      </c>
      <c r="D23993" t="s">
        <v>1098</v>
      </c>
      <c r="E23993" t="s">
        <v>1099</v>
      </c>
      <c r="F23993">
        <v>708.02</v>
      </c>
      <c r="G23993">
        <v>230930</v>
      </c>
      <c r="H23993">
        <v>4380</v>
      </c>
      <c r="I23993" t="s">
        <v>113</v>
      </c>
      <c r="J23993">
        <v>877.94</v>
      </c>
      <c r="K23993">
        <v>169.92</v>
      </c>
      <c r="L23993">
        <v>59501</v>
      </c>
      <c r="M23993" t="s">
        <v>69</v>
      </c>
      <c r="N23993" t="str">
        <f>"1230902521  "</f>
        <v xml:space="preserve">1230902521  </v>
      </c>
      <c r="O23993">
        <v>231018</v>
      </c>
    </row>
    <row r="23994" spans="1:15" x14ac:dyDescent="0.25">
      <c r="A23994" t="s">
        <v>16</v>
      </c>
      <c r="B23994" t="s">
        <v>3221</v>
      </c>
      <c r="C23994">
        <v>14848</v>
      </c>
      <c r="D23994" t="s">
        <v>1098</v>
      </c>
      <c r="E23994" t="s">
        <v>1099</v>
      </c>
      <c r="F23994">
        <v>18.899999999999999</v>
      </c>
      <c r="G23994">
        <v>231031</v>
      </c>
      <c r="H23994">
        <v>4380</v>
      </c>
      <c r="I23994" t="s">
        <v>113</v>
      </c>
      <c r="J23994">
        <v>23.44</v>
      </c>
      <c r="K23994">
        <v>4.54</v>
      </c>
      <c r="L23994">
        <v>17952</v>
      </c>
      <c r="M23994" t="s">
        <v>88</v>
      </c>
      <c r="N23994" t="str">
        <f>"1231000388  "</f>
        <v xml:space="preserve">1231000388  </v>
      </c>
      <c r="O23994">
        <v>231107</v>
      </c>
    </row>
    <row r="23995" spans="1:15" x14ac:dyDescent="0.25">
      <c r="A23995" t="s">
        <v>16</v>
      </c>
      <c r="B23995" t="s">
        <v>3221</v>
      </c>
      <c r="C23995">
        <v>14929</v>
      </c>
      <c r="D23995" t="s">
        <v>1098</v>
      </c>
      <c r="E23995" t="s">
        <v>1099</v>
      </c>
      <c r="F23995">
        <v>64.98</v>
      </c>
      <c r="G23995">
        <v>231031</v>
      </c>
      <c r="H23995">
        <v>4380</v>
      </c>
      <c r="I23995" t="s">
        <v>113</v>
      </c>
      <c r="J23995">
        <v>80.569999999999993</v>
      </c>
      <c r="K23995">
        <v>15.59</v>
      </c>
      <c r="L23995">
        <v>59112</v>
      </c>
      <c r="M23995" t="s">
        <v>182</v>
      </c>
      <c r="N23995" t="str">
        <f>"1231000266  "</f>
        <v xml:space="preserve">1231000266  </v>
      </c>
      <c r="O23995">
        <v>231107</v>
      </c>
    </row>
    <row r="23996" spans="1:15" x14ac:dyDescent="0.25">
      <c r="A23996" t="s">
        <v>16</v>
      </c>
      <c r="B23996" t="s">
        <v>3221</v>
      </c>
      <c r="C23996">
        <v>14929</v>
      </c>
      <c r="D23996" t="s">
        <v>1098</v>
      </c>
      <c r="E23996" t="s">
        <v>1099</v>
      </c>
      <c r="F23996">
        <v>175.66</v>
      </c>
      <c r="G23996">
        <v>231031</v>
      </c>
      <c r="H23996">
        <v>4380</v>
      </c>
      <c r="I23996" t="s">
        <v>113</v>
      </c>
      <c r="J23996">
        <v>217.82</v>
      </c>
      <c r="K23996">
        <v>42.16</v>
      </c>
      <c r="L23996">
        <v>59504</v>
      </c>
      <c r="M23996" t="s">
        <v>71</v>
      </c>
      <c r="N23996" t="str">
        <f>"1231000266  "</f>
        <v xml:space="preserve">1231000266  </v>
      </c>
      <c r="O23996">
        <v>231107</v>
      </c>
    </row>
    <row r="23997" spans="1:15" x14ac:dyDescent="0.25">
      <c r="A23997" t="s">
        <v>16</v>
      </c>
      <c r="B23997" t="s">
        <v>3221</v>
      </c>
      <c r="C23997">
        <v>14937</v>
      </c>
      <c r="D23997" t="s">
        <v>1098</v>
      </c>
      <c r="E23997" t="s">
        <v>1099</v>
      </c>
      <c r="F23997">
        <v>16.27</v>
      </c>
      <c r="G23997">
        <v>231031</v>
      </c>
      <c r="H23997">
        <v>4380</v>
      </c>
      <c r="I23997" t="s">
        <v>113</v>
      </c>
      <c r="J23997">
        <v>20.170000000000002</v>
      </c>
      <c r="K23997">
        <v>3.9</v>
      </c>
      <c r="L23997">
        <v>13540</v>
      </c>
      <c r="M23997" t="s">
        <v>85</v>
      </c>
      <c r="N23997" t="str">
        <f>"1231000563  "</f>
        <v xml:space="preserve">1231000563  </v>
      </c>
      <c r="O23997">
        <v>231107</v>
      </c>
    </row>
    <row r="23998" spans="1:15" x14ac:dyDescent="0.25">
      <c r="A23998" t="s">
        <v>16</v>
      </c>
      <c r="B23998" t="s">
        <v>3221</v>
      </c>
      <c r="C23998">
        <v>14937</v>
      </c>
      <c r="D23998" t="s">
        <v>1098</v>
      </c>
      <c r="E23998" t="s">
        <v>1099</v>
      </c>
      <c r="F23998">
        <v>131.63999999999999</v>
      </c>
      <c r="G23998">
        <v>231031</v>
      </c>
      <c r="H23998">
        <v>4380</v>
      </c>
      <c r="I23998" t="s">
        <v>113</v>
      </c>
      <c r="J23998">
        <v>163.22999999999999</v>
      </c>
      <c r="K23998">
        <v>31.59</v>
      </c>
      <c r="L23998">
        <v>17950</v>
      </c>
      <c r="M23998" t="s">
        <v>86</v>
      </c>
      <c r="N23998" t="str">
        <f>"1231000563  "</f>
        <v xml:space="preserve">1231000563  </v>
      </c>
      <c r="O23998">
        <v>231107</v>
      </c>
    </row>
    <row r="23999" spans="1:15" x14ac:dyDescent="0.25">
      <c r="A23999" t="s">
        <v>16</v>
      </c>
      <c r="B23999" t="s">
        <v>3221</v>
      </c>
      <c r="C23999">
        <v>15081</v>
      </c>
      <c r="D23999" t="s">
        <v>1098</v>
      </c>
      <c r="E23999" t="s">
        <v>1099</v>
      </c>
      <c r="F23999">
        <v>44.29</v>
      </c>
      <c r="G23999">
        <v>231031</v>
      </c>
      <c r="H23999">
        <v>4380</v>
      </c>
      <c r="I23999" t="s">
        <v>113</v>
      </c>
      <c r="J23999">
        <v>54.92</v>
      </c>
      <c r="K23999">
        <v>10.63</v>
      </c>
      <c r="L23999">
        <v>59111</v>
      </c>
      <c r="M23999" t="s">
        <v>1010</v>
      </c>
      <c r="N23999" t="str">
        <f>"1231000273  "</f>
        <v xml:space="preserve">1231000273  </v>
      </c>
      <c r="O23999">
        <v>231108</v>
      </c>
    </row>
    <row r="24000" spans="1:15" x14ac:dyDescent="0.25">
      <c r="A24000" t="s">
        <v>16</v>
      </c>
      <c r="B24000" t="s">
        <v>3221</v>
      </c>
      <c r="C24000">
        <v>15081</v>
      </c>
      <c r="D24000" t="s">
        <v>1098</v>
      </c>
      <c r="E24000" t="s">
        <v>1099</v>
      </c>
      <c r="F24000">
        <v>693.88</v>
      </c>
      <c r="G24000">
        <v>231031</v>
      </c>
      <c r="H24000">
        <v>4380</v>
      </c>
      <c r="I24000" t="s">
        <v>113</v>
      </c>
      <c r="J24000">
        <v>860.41</v>
      </c>
      <c r="K24000">
        <v>166.53</v>
      </c>
      <c r="L24000">
        <v>59501</v>
      </c>
      <c r="M24000" t="s">
        <v>69</v>
      </c>
      <c r="N24000" t="str">
        <f>"1231000273  "</f>
        <v xml:space="preserve">1231000273  </v>
      </c>
      <c r="O24000">
        <v>231108</v>
      </c>
    </row>
    <row r="24001" spans="1:15" x14ac:dyDescent="0.25">
      <c r="A24001" t="s">
        <v>16</v>
      </c>
      <c r="B24001" t="s">
        <v>3221</v>
      </c>
      <c r="C24001">
        <v>15083</v>
      </c>
      <c r="D24001" t="s">
        <v>1098</v>
      </c>
      <c r="E24001" t="s">
        <v>1099</v>
      </c>
      <c r="F24001">
        <v>78.709999999999994</v>
      </c>
      <c r="G24001">
        <v>231031</v>
      </c>
      <c r="H24001">
        <v>4380</v>
      </c>
      <c r="I24001" t="s">
        <v>113</v>
      </c>
      <c r="J24001">
        <v>97.6</v>
      </c>
      <c r="K24001">
        <v>18.89</v>
      </c>
      <c r="L24001">
        <v>59505</v>
      </c>
      <c r="M24001" t="s">
        <v>72</v>
      </c>
      <c r="N24001" t="str">
        <f>"1231000276  "</f>
        <v xml:space="preserve">1231000276  </v>
      </c>
      <c r="O24001">
        <v>231108</v>
      </c>
    </row>
    <row r="24002" spans="1:15" x14ac:dyDescent="0.25">
      <c r="A24002" t="s">
        <v>16</v>
      </c>
      <c r="B24002" t="s">
        <v>3221</v>
      </c>
      <c r="C24002">
        <v>15084</v>
      </c>
      <c r="D24002" t="s">
        <v>1098</v>
      </c>
      <c r="E24002" t="s">
        <v>1099</v>
      </c>
      <c r="F24002">
        <v>100.52</v>
      </c>
      <c r="G24002">
        <v>231031</v>
      </c>
      <c r="H24002">
        <v>4380</v>
      </c>
      <c r="I24002" t="s">
        <v>113</v>
      </c>
      <c r="J24002">
        <v>124.64</v>
      </c>
      <c r="K24002">
        <v>24.12</v>
      </c>
      <c r="L24002">
        <v>59502</v>
      </c>
      <c r="M24002" t="s">
        <v>70</v>
      </c>
      <c r="N24002" t="str">
        <f>"1231000280  "</f>
        <v xml:space="preserve">1231000280  </v>
      </c>
      <c r="O24002">
        <v>231108</v>
      </c>
    </row>
    <row r="24003" spans="1:15" x14ac:dyDescent="0.25">
      <c r="A24003" t="s">
        <v>16</v>
      </c>
      <c r="B24003" t="s">
        <v>3221</v>
      </c>
      <c r="C24003">
        <v>15084</v>
      </c>
      <c r="D24003" t="s">
        <v>1098</v>
      </c>
      <c r="E24003" t="s">
        <v>1099</v>
      </c>
      <c r="F24003">
        <v>64.27</v>
      </c>
      <c r="G24003">
        <v>231031</v>
      </c>
      <c r="H24003">
        <v>4380</v>
      </c>
      <c r="I24003" t="s">
        <v>113</v>
      </c>
      <c r="J24003">
        <v>79.69</v>
      </c>
      <c r="K24003">
        <v>15.42</v>
      </c>
      <c r="L24003">
        <v>59802</v>
      </c>
      <c r="M24003" t="s">
        <v>73</v>
      </c>
      <c r="N24003" t="str">
        <f>"1231000280  "</f>
        <v xml:space="preserve">1231000280  </v>
      </c>
      <c r="O24003">
        <v>231108</v>
      </c>
    </row>
    <row r="24004" spans="1:15" x14ac:dyDescent="0.25">
      <c r="A24004" t="s">
        <v>16</v>
      </c>
      <c r="B24004" t="s">
        <v>3221</v>
      </c>
      <c r="C24004">
        <v>16748</v>
      </c>
      <c r="D24004" t="s">
        <v>1098</v>
      </c>
      <c r="E24004" t="s">
        <v>1099</v>
      </c>
      <c r="F24004">
        <v>115.62</v>
      </c>
      <c r="G24004">
        <v>231130</v>
      </c>
      <c r="H24004">
        <v>4380</v>
      </c>
      <c r="I24004" t="s">
        <v>113</v>
      </c>
      <c r="J24004">
        <v>143.37</v>
      </c>
      <c r="K24004">
        <v>27.75</v>
      </c>
      <c r="L24004">
        <v>59505</v>
      </c>
      <c r="M24004" t="s">
        <v>72</v>
      </c>
      <c r="N24004" t="str">
        <f>"1231100386  "</f>
        <v xml:space="preserve">1231100386  </v>
      </c>
      <c r="O24004">
        <v>231208</v>
      </c>
    </row>
    <row r="24005" spans="1:15" x14ac:dyDescent="0.25">
      <c r="A24005" t="s">
        <v>16</v>
      </c>
      <c r="B24005" t="s">
        <v>3221</v>
      </c>
      <c r="C24005">
        <v>16752</v>
      </c>
      <c r="D24005" t="s">
        <v>1098</v>
      </c>
      <c r="E24005" t="s">
        <v>1099</v>
      </c>
      <c r="F24005">
        <v>52.73</v>
      </c>
      <c r="G24005">
        <v>231130</v>
      </c>
      <c r="H24005">
        <v>4380</v>
      </c>
      <c r="I24005" t="s">
        <v>113</v>
      </c>
      <c r="J24005">
        <v>65.39</v>
      </c>
      <c r="K24005">
        <v>12.66</v>
      </c>
      <c r="L24005">
        <v>59111</v>
      </c>
      <c r="M24005" t="s">
        <v>1010</v>
      </c>
      <c r="N24005" t="str">
        <f>"1231100383  "</f>
        <v xml:space="preserve">1231100383  </v>
      </c>
      <c r="O24005">
        <v>231208</v>
      </c>
    </row>
    <row r="24006" spans="1:15" x14ac:dyDescent="0.25">
      <c r="A24006" t="s">
        <v>16</v>
      </c>
      <c r="B24006" t="s">
        <v>3221</v>
      </c>
      <c r="C24006">
        <v>16752</v>
      </c>
      <c r="D24006" t="s">
        <v>1098</v>
      </c>
      <c r="E24006" t="s">
        <v>1099</v>
      </c>
      <c r="F24006">
        <v>826.15</v>
      </c>
      <c r="G24006">
        <v>231130</v>
      </c>
      <c r="H24006">
        <v>4380</v>
      </c>
      <c r="I24006" t="s">
        <v>113</v>
      </c>
      <c r="J24006">
        <v>1024.42</v>
      </c>
      <c r="K24006">
        <v>198.27</v>
      </c>
      <c r="L24006">
        <v>59501</v>
      </c>
      <c r="M24006" t="s">
        <v>69</v>
      </c>
      <c r="N24006" t="str">
        <f>"1231100383  "</f>
        <v xml:space="preserve">1231100383  </v>
      </c>
      <c r="O24006">
        <v>231208</v>
      </c>
    </row>
    <row r="24007" spans="1:15" x14ac:dyDescent="0.25">
      <c r="A24007" t="s">
        <v>16</v>
      </c>
      <c r="B24007" t="s">
        <v>3221</v>
      </c>
      <c r="C24007">
        <v>16793</v>
      </c>
      <c r="D24007" t="s">
        <v>1098</v>
      </c>
      <c r="E24007" t="s">
        <v>1099</v>
      </c>
      <c r="F24007">
        <v>108.02</v>
      </c>
      <c r="G24007">
        <v>231130</v>
      </c>
      <c r="H24007">
        <v>4380</v>
      </c>
      <c r="I24007" t="s">
        <v>113</v>
      </c>
      <c r="J24007">
        <v>133.94999999999999</v>
      </c>
      <c r="K24007">
        <v>25.93</v>
      </c>
      <c r="L24007">
        <v>59502</v>
      </c>
      <c r="M24007" t="s">
        <v>70</v>
      </c>
      <c r="N24007" t="str">
        <f>"1231100390  "</f>
        <v xml:space="preserve">1231100390  </v>
      </c>
      <c r="O24007">
        <v>231211</v>
      </c>
    </row>
    <row r="24008" spans="1:15" x14ac:dyDescent="0.25">
      <c r="A24008" t="s">
        <v>16</v>
      </c>
      <c r="B24008" t="s">
        <v>3221</v>
      </c>
      <c r="C24008">
        <v>16793</v>
      </c>
      <c r="D24008" t="s">
        <v>1098</v>
      </c>
      <c r="E24008" t="s">
        <v>1099</v>
      </c>
      <c r="F24008">
        <v>69.06</v>
      </c>
      <c r="G24008">
        <v>231130</v>
      </c>
      <c r="H24008">
        <v>4380</v>
      </c>
      <c r="I24008" t="s">
        <v>113</v>
      </c>
      <c r="J24008">
        <v>85.64</v>
      </c>
      <c r="K24008">
        <v>16.579999999999998</v>
      </c>
      <c r="L24008">
        <v>59802</v>
      </c>
      <c r="M24008" t="s">
        <v>73</v>
      </c>
      <c r="N24008" t="str">
        <f>"1231100390  "</f>
        <v xml:space="preserve">1231100390  </v>
      </c>
      <c r="O24008">
        <v>231211</v>
      </c>
    </row>
    <row r="24009" spans="1:15" x14ac:dyDescent="0.25">
      <c r="A24009" t="s">
        <v>16</v>
      </c>
      <c r="B24009" t="s">
        <v>3221</v>
      </c>
      <c r="C24009">
        <v>16825</v>
      </c>
      <c r="D24009" t="s">
        <v>1098</v>
      </c>
      <c r="E24009" t="s">
        <v>1099</v>
      </c>
      <c r="F24009">
        <v>62.82</v>
      </c>
      <c r="G24009">
        <v>231130</v>
      </c>
      <c r="H24009">
        <v>4380</v>
      </c>
      <c r="I24009" t="s">
        <v>113</v>
      </c>
      <c r="J24009">
        <v>77.900000000000006</v>
      </c>
      <c r="K24009">
        <v>15.08</v>
      </c>
      <c r="L24009">
        <v>59112</v>
      </c>
      <c r="M24009" t="s">
        <v>182</v>
      </c>
      <c r="N24009" t="str">
        <f>"1231100376  "</f>
        <v xml:space="preserve">1231100376  </v>
      </c>
      <c r="O24009">
        <v>231211</v>
      </c>
    </row>
    <row r="24010" spans="1:15" x14ac:dyDescent="0.25">
      <c r="A24010" t="s">
        <v>16</v>
      </c>
      <c r="B24010" t="s">
        <v>3221</v>
      </c>
      <c r="C24010">
        <v>16825</v>
      </c>
      <c r="D24010" t="s">
        <v>1098</v>
      </c>
      <c r="E24010" t="s">
        <v>1099</v>
      </c>
      <c r="F24010">
        <v>169.85</v>
      </c>
      <c r="G24010">
        <v>231130</v>
      </c>
      <c r="H24010">
        <v>4380</v>
      </c>
      <c r="I24010" t="s">
        <v>113</v>
      </c>
      <c r="J24010">
        <v>210.61</v>
      </c>
      <c r="K24010">
        <v>40.76</v>
      </c>
      <c r="L24010">
        <v>59504</v>
      </c>
      <c r="M24010" t="s">
        <v>71</v>
      </c>
      <c r="N24010" t="str">
        <f>"1231100376  "</f>
        <v xml:space="preserve">1231100376  </v>
      </c>
      <c r="O24010">
        <v>231211</v>
      </c>
    </row>
    <row r="24011" spans="1:15" x14ac:dyDescent="0.25">
      <c r="A24011" t="s">
        <v>16</v>
      </c>
      <c r="B24011" t="s">
        <v>3221</v>
      </c>
      <c r="C24011">
        <v>16834</v>
      </c>
      <c r="D24011" t="s">
        <v>1098</v>
      </c>
      <c r="E24011" t="s">
        <v>1099</v>
      </c>
      <c r="F24011">
        <v>11.9</v>
      </c>
      <c r="G24011">
        <v>231130</v>
      </c>
      <c r="H24011">
        <v>4380</v>
      </c>
      <c r="I24011" t="s">
        <v>113</v>
      </c>
      <c r="J24011">
        <v>14.76</v>
      </c>
      <c r="K24011">
        <v>2.86</v>
      </c>
      <c r="L24011">
        <v>17952</v>
      </c>
      <c r="M24011" t="s">
        <v>88</v>
      </c>
      <c r="N24011" t="str">
        <f>"1231100491  "</f>
        <v xml:space="preserve">1231100491  </v>
      </c>
      <c r="O24011">
        <v>231211</v>
      </c>
    </row>
    <row r="24012" spans="1:15" x14ac:dyDescent="0.25">
      <c r="A24012" t="s">
        <v>16</v>
      </c>
      <c r="B24012" t="s">
        <v>3221</v>
      </c>
      <c r="C24012">
        <v>18841</v>
      </c>
      <c r="D24012" t="s">
        <v>1098</v>
      </c>
      <c r="E24012" t="s">
        <v>1099</v>
      </c>
      <c r="F24012">
        <v>85.52</v>
      </c>
      <c r="G24012">
        <v>231231</v>
      </c>
      <c r="H24012">
        <v>4380</v>
      </c>
      <c r="I24012" t="s">
        <v>113</v>
      </c>
      <c r="J24012">
        <v>106.04</v>
      </c>
      <c r="K24012">
        <v>20.52</v>
      </c>
      <c r="L24012">
        <v>59502</v>
      </c>
      <c r="M24012" t="s">
        <v>70</v>
      </c>
      <c r="N24012" t="str">
        <f>"1231205192  "</f>
        <v xml:space="preserve">1231205192  </v>
      </c>
      <c r="O24012">
        <v>240108</v>
      </c>
    </row>
    <row r="24013" spans="1:15" x14ac:dyDescent="0.25">
      <c r="A24013" t="s">
        <v>16</v>
      </c>
      <c r="B24013" t="s">
        <v>3221</v>
      </c>
      <c r="C24013">
        <v>18841</v>
      </c>
      <c r="D24013" t="s">
        <v>1098</v>
      </c>
      <c r="E24013" t="s">
        <v>1099</v>
      </c>
      <c r="F24013">
        <v>54.68</v>
      </c>
      <c r="G24013">
        <v>231231</v>
      </c>
      <c r="H24013">
        <v>4380</v>
      </c>
      <c r="I24013" t="s">
        <v>113</v>
      </c>
      <c r="J24013">
        <v>67.8</v>
      </c>
      <c r="K24013">
        <v>13.12</v>
      </c>
      <c r="L24013">
        <v>59802</v>
      </c>
      <c r="M24013" t="s">
        <v>73</v>
      </c>
      <c r="N24013" t="str">
        <f>"1231205192  "</f>
        <v xml:space="preserve">1231205192  </v>
      </c>
      <c r="O24013">
        <v>240108</v>
      </c>
    </row>
    <row r="24014" spans="1:15" x14ac:dyDescent="0.25">
      <c r="A24014" t="s">
        <v>16</v>
      </c>
      <c r="B24014" t="s">
        <v>3221</v>
      </c>
      <c r="C24014">
        <v>18855</v>
      </c>
      <c r="D24014" t="s">
        <v>1098</v>
      </c>
      <c r="E24014" t="s">
        <v>1099</v>
      </c>
      <c r="F24014">
        <v>31.46</v>
      </c>
      <c r="G24014">
        <v>231231</v>
      </c>
      <c r="H24014">
        <v>4380</v>
      </c>
      <c r="I24014" t="s">
        <v>113</v>
      </c>
      <c r="J24014">
        <v>39.01</v>
      </c>
      <c r="K24014">
        <v>7.55</v>
      </c>
      <c r="L24014">
        <v>59111</v>
      </c>
      <c r="M24014" t="s">
        <v>1010</v>
      </c>
      <c r="N24014" t="str">
        <f>"1231205186  "</f>
        <v xml:space="preserve">1231205186  </v>
      </c>
      <c r="O24014">
        <v>240108</v>
      </c>
    </row>
    <row r="24015" spans="1:15" x14ac:dyDescent="0.25">
      <c r="A24015" t="s">
        <v>16</v>
      </c>
      <c r="B24015" t="s">
        <v>3221</v>
      </c>
      <c r="C24015">
        <v>18855</v>
      </c>
      <c r="D24015" t="s">
        <v>1098</v>
      </c>
      <c r="E24015" t="s">
        <v>1099</v>
      </c>
      <c r="F24015">
        <v>492.9</v>
      </c>
      <c r="G24015">
        <v>231231</v>
      </c>
      <c r="H24015">
        <v>4380</v>
      </c>
      <c r="I24015" t="s">
        <v>113</v>
      </c>
      <c r="J24015">
        <v>611.20000000000005</v>
      </c>
      <c r="K24015">
        <v>118.3</v>
      </c>
      <c r="L24015">
        <v>59501</v>
      </c>
      <c r="M24015" t="s">
        <v>69</v>
      </c>
      <c r="N24015" t="str">
        <f>"1231205186  "</f>
        <v xml:space="preserve">1231205186  </v>
      </c>
      <c r="O24015">
        <v>240108</v>
      </c>
    </row>
    <row r="24016" spans="1:15" x14ac:dyDescent="0.25">
      <c r="A24016" t="s">
        <v>16</v>
      </c>
      <c r="B24016" t="s">
        <v>3221</v>
      </c>
      <c r="C24016">
        <v>18856</v>
      </c>
      <c r="D24016" t="s">
        <v>1098</v>
      </c>
      <c r="E24016" t="s">
        <v>1099</v>
      </c>
      <c r="F24016">
        <v>44.67</v>
      </c>
      <c r="G24016">
        <v>231231</v>
      </c>
      <c r="H24016">
        <v>4380</v>
      </c>
      <c r="I24016" t="s">
        <v>113</v>
      </c>
      <c r="J24016">
        <v>55.39</v>
      </c>
      <c r="K24016">
        <v>10.72</v>
      </c>
      <c r="L24016">
        <v>59112</v>
      </c>
      <c r="M24016" t="s">
        <v>182</v>
      </c>
      <c r="N24016" t="str">
        <f>"1231205181  "</f>
        <v xml:space="preserve">1231205181  </v>
      </c>
      <c r="O24016">
        <v>240108</v>
      </c>
    </row>
    <row r="24017" spans="1:15" x14ac:dyDescent="0.25">
      <c r="A24017" t="s">
        <v>16</v>
      </c>
      <c r="B24017" t="s">
        <v>3221</v>
      </c>
      <c r="C24017">
        <v>18856</v>
      </c>
      <c r="D24017" t="s">
        <v>1098</v>
      </c>
      <c r="E24017" t="s">
        <v>1099</v>
      </c>
      <c r="F24017">
        <v>120.76</v>
      </c>
      <c r="G24017">
        <v>231231</v>
      </c>
      <c r="H24017">
        <v>4380</v>
      </c>
      <c r="I24017" t="s">
        <v>113</v>
      </c>
      <c r="J24017">
        <v>149.74</v>
      </c>
      <c r="K24017">
        <v>28.98</v>
      </c>
      <c r="L24017">
        <v>59504</v>
      </c>
      <c r="M24017" t="s">
        <v>71</v>
      </c>
      <c r="N24017" t="str">
        <f>"1231205181  "</f>
        <v xml:space="preserve">1231205181  </v>
      </c>
      <c r="O24017">
        <v>240108</v>
      </c>
    </row>
    <row r="24018" spans="1:15" x14ac:dyDescent="0.25">
      <c r="A24018" t="s">
        <v>16</v>
      </c>
      <c r="B24018" t="s">
        <v>3221</v>
      </c>
      <c r="C24018">
        <v>18857</v>
      </c>
      <c r="D24018" t="s">
        <v>1098</v>
      </c>
      <c r="E24018" t="s">
        <v>1099</v>
      </c>
      <c r="F24018">
        <v>103.32</v>
      </c>
      <c r="G24018">
        <v>231231</v>
      </c>
      <c r="H24018">
        <v>4380</v>
      </c>
      <c r="I24018" t="s">
        <v>113</v>
      </c>
      <c r="J24018">
        <v>128.12</v>
      </c>
      <c r="K24018">
        <v>24.8</v>
      </c>
      <c r="L24018">
        <v>59505</v>
      </c>
      <c r="M24018" t="s">
        <v>72</v>
      </c>
      <c r="N24018" t="str">
        <f>"1231205189  "</f>
        <v xml:space="preserve">1231205189  </v>
      </c>
      <c r="O24018">
        <v>240108</v>
      </c>
    </row>
    <row r="24019" spans="1:15" x14ac:dyDescent="0.25">
      <c r="A24019" t="s">
        <v>16</v>
      </c>
      <c r="B24019" t="s">
        <v>3221</v>
      </c>
      <c r="C24019">
        <v>19182</v>
      </c>
      <c r="D24019" t="s">
        <v>1098</v>
      </c>
      <c r="E24019" t="s">
        <v>1099</v>
      </c>
      <c r="F24019">
        <v>23.52</v>
      </c>
      <c r="G24019">
        <v>231231</v>
      </c>
      <c r="H24019">
        <v>4380</v>
      </c>
      <c r="I24019" t="s">
        <v>113</v>
      </c>
      <c r="J24019">
        <v>29.17</v>
      </c>
      <c r="K24019">
        <v>5.65</v>
      </c>
      <c r="L24019">
        <v>13540</v>
      </c>
      <c r="M24019" t="s">
        <v>85</v>
      </c>
      <c r="N24019" t="str">
        <f>"1231205129  "</f>
        <v xml:space="preserve">1231205129  </v>
      </c>
      <c r="O24019">
        <v>240129</v>
      </c>
    </row>
    <row r="24020" spans="1:15" x14ac:dyDescent="0.25">
      <c r="A24020" t="s">
        <v>16</v>
      </c>
      <c r="B24020" t="s">
        <v>3221</v>
      </c>
      <c r="C24020">
        <v>19182</v>
      </c>
      <c r="D24020" t="s">
        <v>1098</v>
      </c>
      <c r="E24020" t="s">
        <v>1099</v>
      </c>
      <c r="F24020">
        <v>190.38</v>
      </c>
      <c r="G24020">
        <v>231231</v>
      </c>
      <c r="H24020">
        <v>4380</v>
      </c>
      <c r="I24020" t="s">
        <v>113</v>
      </c>
      <c r="J24020">
        <v>236.07</v>
      </c>
      <c r="K24020">
        <v>45.69</v>
      </c>
      <c r="L24020">
        <v>17950</v>
      </c>
      <c r="M24020" t="s">
        <v>86</v>
      </c>
      <c r="N24020" t="str">
        <f>"1231205129  "</f>
        <v xml:space="preserve">1231205129  </v>
      </c>
      <c r="O24020">
        <v>240129</v>
      </c>
    </row>
    <row r="24021" spans="1:15" x14ac:dyDescent="0.25">
      <c r="A24021" t="s">
        <v>16</v>
      </c>
      <c r="B24021" t="s">
        <v>3221</v>
      </c>
      <c r="C24021">
        <v>19306</v>
      </c>
      <c r="D24021" t="s">
        <v>1098</v>
      </c>
      <c r="E24021" t="s">
        <v>1099</v>
      </c>
      <c r="F24021">
        <v>11.9</v>
      </c>
      <c r="G24021">
        <v>231231</v>
      </c>
      <c r="H24021">
        <v>4380</v>
      </c>
      <c r="I24021" t="s">
        <v>113</v>
      </c>
      <c r="J24021">
        <v>14.76</v>
      </c>
      <c r="K24021">
        <v>2.86</v>
      </c>
      <c r="L24021">
        <v>17952</v>
      </c>
      <c r="M24021" t="s">
        <v>88</v>
      </c>
      <c r="N24021" t="str">
        <f>"1231205258  "</f>
        <v xml:space="preserve">1231205258  </v>
      </c>
      <c r="O24021">
        <v>240117</v>
      </c>
    </row>
    <row r="24022" spans="1:15" x14ac:dyDescent="0.25">
      <c r="A24022" t="s">
        <v>16</v>
      </c>
      <c r="B24022" t="s">
        <v>3221</v>
      </c>
      <c r="C24022">
        <v>2649</v>
      </c>
      <c r="D24022" t="s">
        <v>1439</v>
      </c>
      <c r="E24022" t="s">
        <v>1440</v>
      </c>
      <c r="F24022">
        <v>667.69</v>
      </c>
      <c r="G24022">
        <v>230222</v>
      </c>
      <c r="H24022">
        <v>4600</v>
      </c>
      <c r="I24022" t="s">
        <v>105</v>
      </c>
      <c r="J24022">
        <v>827.94</v>
      </c>
      <c r="K24022">
        <v>160.25</v>
      </c>
      <c r="L24022">
        <v>56568</v>
      </c>
      <c r="M24022" t="s">
        <v>268</v>
      </c>
      <c r="N24022" t="str">
        <f>"6812        "</f>
        <v xml:space="preserve">6812        </v>
      </c>
      <c r="O24022">
        <v>230306</v>
      </c>
    </row>
    <row r="24023" spans="1:15" x14ac:dyDescent="0.25">
      <c r="A24023" t="s">
        <v>16</v>
      </c>
      <c r="B24023" t="s">
        <v>3221</v>
      </c>
      <c r="C24023">
        <v>6256</v>
      </c>
      <c r="D24023" t="s">
        <v>1439</v>
      </c>
      <c r="E24023" t="s">
        <v>1440</v>
      </c>
      <c r="F24023">
        <v>661.02</v>
      </c>
      <c r="G24023">
        <v>230428</v>
      </c>
      <c r="H24023">
        <v>4600</v>
      </c>
      <c r="I24023" t="s">
        <v>105</v>
      </c>
      <c r="J24023">
        <v>819.67</v>
      </c>
      <c r="K24023">
        <v>158.65</v>
      </c>
      <c r="L24023">
        <v>56568</v>
      </c>
      <c r="M24023" t="s">
        <v>268</v>
      </c>
      <c r="N24023" t="str">
        <f>"6871        "</f>
        <v xml:space="preserve">6871        </v>
      </c>
      <c r="O24023">
        <v>230509</v>
      </c>
    </row>
    <row r="24024" spans="1:15" x14ac:dyDescent="0.25">
      <c r="A24024" t="s">
        <v>16</v>
      </c>
      <c r="B24024" t="s">
        <v>3221</v>
      </c>
      <c r="C24024">
        <v>13277</v>
      </c>
      <c r="D24024" t="s">
        <v>1439</v>
      </c>
      <c r="E24024" t="s">
        <v>1440</v>
      </c>
      <c r="F24024">
        <v>175.89</v>
      </c>
      <c r="G24024">
        <v>230929</v>
      </c>
      <c r="H24024">
        <v>4600</v>
      </c>
      <c r="I24024" t="s">
        <v>105</v>
      </c>
      <c r="J24024">
        <v>218.1</v>
      </c>
      <c r="K24024">
        <v>42.21</v>
      </c>
      <c r="L24024">
        <v>56568</v>
      </c>
      <c r="M24024" t="s">
        <v>268</v>
      </c>
      <c r="N24024" t="str">
        <f>"7014        "</f>
        <v xml:space="preserve">7014        </v>
      </c>
      <c r="O24024">
        <v>231009</v>
      </c>
    </row>
    <row r="24025" spans="1:15" x14ac:dyDescent="0.25">
      <c r="A24025" t="s">
        <v>16</v>
      </c>
      <c r="B24025" t="s">
        <v>3221</v>
      </c>
      <c r="C24025">
        <v>16654</v>
      </c>
      <c r="D24025" t="s">
        <v>415</v>
      </c>
      <c r="E24025" t="s">
        <v>416</v>
      </c>
      <c r="F24025">
        <v>59.25</v>
      </c>
      <c r="G24025">
        <v>231201</v>
      </c>
      <c r="H24025">
        <v>4400</v>
      </c>
      <c r="I24025" t="s">
        <v>348</v>
      </c>
      <c r="J24025">
        <v>73.47</v>
      </c>
      <c r="K24025">
        <v>14.22</v>
      </c>
      <c r="L24025">
        <v>56564</v>
      </c>
      <c r="M24025" t="s">
        <v>327</v>
      </c>
      <c r="N24025" t="str">
        <f>"106458      "</f>
        <v xml:space="preserve">106458      </v>
      </c>
      <c r="O24025">
        <v>231205</v>
      </c>
    </row>
    <row r="24026" spans="1:15" x14ac:dyDescent="0.25">
      <c r="A24026" t="s">
        <v>16</v>
      </c>
      <c r="B24026" t="s">
        <v>3221</v>
      </c>
      <c r="C24026">
        <v>283</v>
      </c>
      <c r="D24026" t="s">
        <v>415</v>
      </c>
      <c r="E24026" t="s">
        <v>416</v>
      </c>
      <c r="F24026">
        <v>270.45999999999998</v>
      </c>
      <c r="G24026">
        <v>230116</v>
      </c>
      <c r="H24026">
        <v>4600</v>
      </c>
      <c r="I24026" t="s">
        <v>105</v>
      </c>
      <c r="J24026">
        <v>335.37</v>
      </c>
      <c r="K24026">
        <v>64.91</v>
      </c>
      <c r="L24026">
        <v>56568</v>
      </c>
      <c r="M24026" t="s">
        <v>268</v>
      </c>
      <c r="N24026" t="str">
        <f>"105936      "</f>
        <v xml:space="preserve">105936      </v>
      </c>
      <c r="O24026">
        <v>230117</v>
      </c>
    </row>
    <row r="24027" spans="1:15" x14ac:dyDescent="0.25">
      <c r="A24027" t="s">
        <v>16</v>
      </c>
      <c r="B24027" t="s">
        <v>3221</v>
      </c>
      <c r="C24027">
        <v>2637</v>
      </c>
      <c r="D24027" t="s">
        <v>415</v>
      </c>
      <c r="E24027" t="s">
        <v>416</v>
      </c>
      <c r="F24027">
        <v>35.479999999999997</v>
      </c>
      <c r="G24027">
        <v>230217</v>
      </c>
      <c r="H24027">
        <v>4600</v>
      </c>
      <c r="I24027" t="s">
        <v>105</v>
      </c>
      <c r="J24027">
        <v>44</v>
      </c>
      <c r="K24027">
        <v>8.52</v>
      </c>
      <c r="L24027">
        <v>56568</v>
      </c>
      <c r="M24027" t="s">
        <v>268</v>
      </c>
      <c r="N24027" t="str">
        <f>"105968      "</f>
        <v xml:space="preserve">105968      </v>
      </c>
      <c r="O24027">
        <v>230306</v>
      </c>
    </row>
    <row r="24028" spans="1:15" x14ac:dyDescent="0.25">
      <c r="A24028" t="s">
        <v>16</v>
      </c>
      <c r="B24028" t="s">
        <v>3221</v>
      </c>
      <c r="C24028">
        <v>2679</v>
      </c>
      <c r="D24028" t="s">
        <v>415</v>
      </c>
      <c r="E24028" t="s">
        <v>416</v>
      </c>
      <c r="F24028">
        <v>64.52</v>
      </c>
      <c r="G24028">
        <v>230227</v>
      </c>
      <c r="H24028">
        <v>4600</v>
      </c>
      <c r="I24028" t="s">
        <v>105</v>
      </c>
      <c r="J24028">
        <v>80</v>
      </c>
      <c r="K24028">
        <v>15.48</v>
      </c>
      <c r="L24028">
        <v>56568</v>
      </c>
      <c r="M24028" t="s">
        <v>268</v>
      </c>
      <c r="N24028" t="str">
        <f>"105976      "</f>
        <v xml:space="preserve">105976      </v>
      </c>
      <c r="O24028">
        <v>230306</v>
      </c>
    </row>
    <row r="24029" spans="1:15" x14ac:dyDescent="0.25">
      <c r="A24029" t="s">
        <v>16</v>
      </c>
      <c r="B24029" t="s">
        <v>3221</v>
      </c>
      <c r="C24029">
        <v>3965</v>
      </c>
      <c r="D24029" t="s">
        <v>415</v>
      </c>
      <c r="E24029" t="s">
        <v>416</v>
      </c>
      <c r="F24029">
        <v>258.07</v>
      </c>
      <c r="G24029">
        <v>230324</v>
      </c>
      <c r="H24029">
        <v>4600</v>
      </c>
      <c r="I24029" t="s">
        <v>105</v>
      </c>
      <c r="J24029">
        <v>320.01</v>
      </c>
      <c r="K24029">
        <v>61.94</v>
      </c>
      <c r="L24029">
        <v>56568</v>
      </c>
      <c r="M24029" t="s">
        <v>268</v>
      </c>
      <c r="N24029" t="str">
        <f>"106001      "</f>
        <v xml:space="preserve">106001      </v>
      </c>
      <c r="O24029">
        <v>230328</v>
      </c>
    </row>
    <row r="24030" spans="1:15" x14ac:dyDescent="0.25">
      <c r="A24030" t="s">
        <v>16</v>
      </c>
      <c r="B24030" t="s">
        <v>3221</v>
      </c>
      <c r="C24030">
        <v>5124</v>
      </c>
      <c r="D24030" t="s">
        <v>415</v>
      </c>
      <c r="E24030" t="s">
        <v>416</v>
      </c>
      <c r="F24030">
        <v>151.21</v>
      </c>
      <c r="G24030">
        <v>230415</v>
      </c>
      <c r="H24030">
        <v>4600</v>
      </c>
      <c r="I24030" t="s">
        <v>105</v>
      </c>
      <c r="J24030">
        <v>187.5</v>
      </c>
      <c r="K24030">
        <v>36.29</v>
      </c>
      <c r="L24030">
        <v>56568</v>
      </c>
      <c r="M24030" t="s">
        <v>268</v>
      </c>
      <c r="N24030" t="str">
        <f>"106023      "</f>
        <v xml:space="preserve">106023      </v>
      </c>
      <c r="O24030">
        <v>230418</v>
      </c>
    </row>
    <row r="24031" spans="1:15" x14ac:dyDescent="0.25">
      <c r="A24031" t="s">
        <v>16</v>
      </c>
      <c r="B24031" t="s">
        <v>3221</v>
      </c>
      <c r="C24031">
        <v>8001</v>
      </c>
      <c r="D24031" t="s">
        <v>415</v>
      </c>
      <c r="E24031" t="s">
        <v>416</v>
      </c>
      <c r="F24031">
        <v>282.26</v>
      </c>
      <c r="G24031">
        <v>230602</v>
      </c>
      <c r="H24031">
        <v>4600</v>
      </c>
      <c r="I24031" t="s">
        <v>105</v>
      </c>
      <c r="J24031">
        <v>350</v>
      </c>
      <c r="K24031">
        <v>67.739999999999995</v>
      </c>
      <c r="L24031">
        <v>56568</v>
      </c>
      <c r="M24031" t="s">
        <v>268</v>
      </c>
      <c r="N24031" t="str">
        <f>"106173      "</f>
        <v xml:space="preserve">106173      </v>
      </c>
      <c r="O24031">
        <v>230606</v>
      </c>
    </row>
    <row r="24032" spans="1:15" x14ac:dyDescent="0.25">
      <c r="A24032" t="s">
        <v>16</v>
      </c>
      <c r="B24032" t="s">
        <v>3221</v>
      </c>
      <c r="C24032">
        <v>13143</v>
      </c>
      <c r="D24032" t="s">
        <v>415</v>
      </c>
      <c r="E24032" t="s">
        <v>416</v>
      </c>
      <c r="F24032">
        <v>1339.22</v>
      </c>
      <c r="G24032">
        <v>230929</v>
      </c>
      <c r="H24032">
        <v>4600</v>
      </c>
      <c r="I24032" t="s">
        <v>105</v>
      </c>
      <c r="J24032">
        <v>1660.63</v>
      </c>
      <c r="K24032">
        <v>321.41000000000003</v>
      </c>
      <c r="L24032">
        <v>56564</v>
      </c>
      <c r="M24032" t="s">
        <v>327</v>
      </c>
      <c r="N24032" t="str">
        <f>"106297      "</f>
        <v xml:space="preserve">106297      </v>
      </c>
      <c r="O24032">
        <v>231004</v>
      </c>
    </row>
    <row r="24033" spans="1:15" x14ac:dyDescent="0.25">
      <c r="A24033" t="s">
        <v>16</v>
      </c>
      <c r="B24033" t="s">
        <v>3221</v>
      </c>
      <c r="C24033">
        <v>14718</v>
      </c>
      <c r="D24033" t="s">
        <v>415</v>
      </c>
      <c r="E24033" t="s">
        <v>416</v>
      </c>
      <c r="F24033">
        <v>181.45</v>
      </c>
      <c r="G24033">
        <v>231028</v>
      </c>
      <c r="H24033">
        <v>4600</v>
      </c>
      <c r="I24033" t="s">
        <v>105</v>
      </c>
      <c r="J24033">
        <v>225</v>
      </c>
      <c r="K24033">
        <v>43.55</v>
      </c>
      <c r="L24033">
        <v>56568</v>
      </c>
      <c r="M24033" t="s">
        <v>268</v>
      </c>
      <c r="N24033" t="str">
        <f>"106365      "</f>
        <v xml:space="preserve">106365      </v>
      </c>
      <c r="O24033">
        <v>231101</v>
      </c>
    </row>
    <row r="24034" spans="1:15" x14ac:dyDescent="0.25">
      <c r="A24034" t="s">
        <v>16</v>
      </c>
      <c r="B24034" t="s">
        <v>3221</v>
      </c>
      <c r="C24034">
        <v>16038</v>
      </c>
      <c r="D24034" t="s">
        <v>415</v>
      </c>
      <c r="E24034" t="s">
        <v>416</v>
      </c>
      <c r="F24034">
        <v>96.76</v>
      </c>
      <c r="G24034">
        <v>231117</v>
      </c>
      <c r="H24034">
        <v>4600</v>
      </c>
      <c r="I24034" t="s">
        <v>105</v>
      </c>
      <c r="J24034">
        <v>119.98</v>
      </c>
      <c r="K24034">
        <v>23.22</v>
      </c>
      <c r="L24034">
        <v>56568</v>
      </c>
      <c r="M24034" t="s">
        <v>268</v>
      </c>
      <c r="N24034" t="str">
        <f>"106446      "</f>
        <v xml:space="preserve">106446      </v>
      </c>
      <c r="O24034">
        <v>231122</v>
      </c>
    </row>
    <row r="24035" spans="1:15" x14ac:dyDescent="0.25">
      <c r="A24035" t="s">
        <v>16</v>
      </c>
      <c r="B24035" t="s">
        <v>3221</v>
      </c>
      <c r="C24035">
        <v>2046</v>
      </c>
      <c r="D24035" t="s">
        <v>1272</v>
      </c>
      <c r="E24035" t="s">
        <v>1273</v>
      </c>
      <c r="F24035">
        <v>36.549999999999997</v>
      </c>
      <c r="G24035">
        <v>230207</v>
      </c>
      <c r="H24035">
        <v>4590</v>
      </c>
      <c r="I24035" t="s">
        <v>203</v>
      </c>
      <c r="J24035">
        <v>45.32</v>
      </c>
      <c r="K24035">
        <v>8.77</v>
      </c>
      <c r="L24035">
        <v>56551</v>
      </c>
      <c r="M24035" t="s">
        <v>619</v>
      </c>
      <c r="N24035" t="str">
        <f>"3245        "</f>
        <v xml:space="preserve">3245        </v>
      </c>
      <c r="O24035">
        <v>230220</v>
      </c>
    </row>
    <row r="24036" spans="1:15" x14ac:dyDescent="0.25">
      <c r="A24036" t="s">
        <v>16</v>
      </c>
      <c r="B24036" t="s">
        <v>3221</v>
      </c>
      <c r="C24036">
        <v>2053</v>
      </c>
      <c r="D24036" t="s">
        <v>1278</v>
      </c>
      <c r="E24036" t="s">
        <v>1279</v>
      </c>
      <c r="F24036">
        <v>94.35</v>
      </c>
      <c r="G24036">
        <v>230131</v>
      </c>
      <c r="H24036">
        <v>4580</v>
      </c>
      <c r="I24036" t="s">
        <v>35</v>
      </c>
      <c r="J24036">
        <v>117</v>
      </c>
      <c r="K24036">
        <v>22.65</v>
      </c>
      <c r="L24036">
        <v>56522</v>
      </c>
      <c r="M24036" t="s">
        <v>43</v>
      </c>
      <c r="N24036" t="str">
        <f>"200569      "</f>
        <v xml:space="preserve">200569      </v>
      </c>
      <c r="O24036">
        <v>230220</v>
      </c>
    </row>
    <row r="24037" spans="1:15" x14ac:dyDescent="0.25">
      <c r="A24037" t="s">
        <v>16</v>
      </c>
      <c r="B24037" t="s">
        <v>3221</v>
      </c>
      <c r="C24037">
        <v>2053</v>
      </c>
      <c r="D24037" t="s">
        <v>1278</v>
      </c>
      <c r="E24037" t="s">
        <v>1279</v>
      </c>
      <c r="F24037">
        <v>123.48</v>
      </c>
      <c r="G24037">
        <v>230131</v>
      </c>
      <c r="H24037">
        <v>4580</v>
      </c>
      <c r="I24037" t="s">
        <v>35</v>
      </c>
      <c r="J24037">
        <v>153.11000000000001</v>
      </c>
      <c r="K24037">
        <v>29.63</v>
      </c>
      <c r="L24037">
        <v>56562</v>
      </c>
      <c r="M24037" t="s">
        <v>126</v>
      </c>
      <c r="N24037" t="str">
        <f>"200569      "</f>
        <v xml:space="preserve">200569      </v>
      </c>
      <c r="O24037">
        <v>230220</v>
      </c>
    </row>
    <row r="24038" spans="1:15" x14ac:dyDescent="0.25">
      <c r="A24038" t="s">
        <v>16</v>
      </c>
      <c r="B24038" t="s">
        <v>3221</v>
      </c>
      <c r="C24038">
        <v>14316</v>
      </c>
      <c r="D24038" t="s">
        <v>1278</v>
      </c>
      <c r="E24038" t="s">
        <v>1279</v>
      </c>
      <c r="F24038">
        <v>118.19</v>
      </c>
      <c r="G24038">
        <v>230930</v>
      </c>
      <c r="H24038">
        <v>4580</v>
      </c>
      <c r="I24038" t="s">
        <v>35</v>
      </c>
      <c r="J24038">
        <v>146.55000000000001</v>
      </c>
      <c r="K24038">
        <v>28.36</v>
      </c>
      <c r="L24038">
        <v>56522</v>
      </c>
      <c r="M24038" t="s">
        <v>43</v>
      </c>
      <c r="N24038" t="str">
        <f>"200673      "</f>
        <v xml:space="preserve">200673      </v>
      </c>
      <c r="O24038">
        <v>231026</v>
      </c>
    </row>
    <row r="24039" spans="1:15" x14ac:dyDescent="0.25">
      <c r="A24039" t="s">
        <v>16</v>
      </c>
      <c r="B24039" t="s">
        <v>3221</v>
      </c>
      <c r="C24039">
        <v>14316</v>
      </c>
      <c r="D24039" t="s">
        <v>1278</v>
      </c>
      <c r="E24039" t="s">
        <v>1279</v>
      </c>
      <c r="F24039">
        <v>231.03</v>
      </c>
      <c r="G24039">
        <v>230930</v>
      </c>
      <c r="H24039">
        <v>4580</v>
      </c>
      <c r="I24039" t="s">
        <v>35</v>
      </c>
      <c r="J24039">
        <v>286.48</v>
      </c>
      <c r="K24039">
        <v>55.45</v>
      </c>
      <c r="L24039">
        <v>56562</v>
      </c>
      <c r="M24039" t="s">
        <v>126</v>
      </c>
      <c r="N24039" t="str">
        <f>"200673      "</f>
        <v xml:space="preserve">200673      </v>
      </c>
      <c r="O24039">
        <v>231026</v>
      </c>
    </row>
    <row r="24040" spans="1:15" x14ac:dyDescent="0.25">
      <c r="A24040" t="s">
        <v>16</v>
      </c>
      <c r="B24040" t="s">
        <v>3221</v>
      </c>
      <c r="C24040">
        <v>2974</v>
      </c>
      <c r="D24040" t="s">
        <v>1278</v>
      </c>
      <c r="E24040" t="s">
        <v>1279</v>
      </c>
      <c r="F24040">
        <v>6.24</v>
      </c>
      <c r="G24040">
        <v>230228</v>
      </c>
      <c r="H24040">
        <v>4590</v>
      </c>
      <c r="I24040" t="s">
        <v>203</v>
      </c>
      <c r="J24040">
        <v>7.74</v>
      </c>
      <c r="K24040">
        <v>1.5</v>
      </c>
      <c r="L24040">
        <v>56551</v>
      </c>
      <c r="M24040" t="s">
        <v>619</v>
      </c>
      <c r="N24040" t="str">
        <f>"200581      "</f>
        <v xml:space="preserve">200581      </v>
      </c>
      <c r="O24040">
        <v>230308</v>
      </c>
    </row>
    <row r="24041" spans="1:15" x14ac:dyDescent="0.25">
      <c r="A24041" t="s">
        <v>16</v>
      </c>
      <c r="B24041" t="s">
        <v>3221</v>
      </c>
      <c r="C24041">
        <v>2974</v>
      </c>
      <c r="D24041" t="s">
        <v>1278</v>
      </c>
      <c r="E24041" t="s">
        <v>1279</v>
      </c>
      <c r="F24041">
        <v>133.97999999999999</v>
      </c>
      <c r="G24041">
        <v>230228</v>
      </c>
      <c r="H24041">
        <v>4590</v>
      </c>
      <c r="I24041" t="s">
        <v>203</v>
      </c>
      <c r="J24041">
        <v>166.13</v>
      </c>
      <c r="K24041">
        <v>32.15</v>
      </c>
      <c r="L24041">
        <v>56562</v>
      </c>
      <c r="M24041" t="s">
        <v>126</v>
      </c>
      <c r="N24041" t="str">
        <f>"200581      "</f>
        <v xml:space="preserve">200581      </v>
      </c>
      <c r="O24041">
        <v>230308</v>
      </c>
    </row>
    <row r="24042" spans="1:15" x14ac:dyDescent="0.25">
      <c r="A24042" t="s">
        <v>16</v>
      </c>
      <c r="B24042" t="s">
        <v>3221</v>
      </c>
      <c r="C24042">
        <v>2974</v>
      </c>
      <c r="D24042" t="s">
        <v>1278</v>
      </c>
      <c r="E24042" t="s">
        <v>1279</v>
      </c>
      <c r="F24042">
        <v>55.31</v>
      </c>
      <c r="G24042">
        <v>230228</v>
      </c>
      <c r="H24042">
        <v>4590</v>
      </c>
      <c r="I24042" t="s">
        <v>203</v>
      </c>
      <c r="J24042">
        <v>68.59</v>
      </c>
      <c r="K24042">
        <v>13.28</v>
      </c>
      <c r="L24042">
        <v>56571</v>
      </c>
      <c r="M24042" t="s">
        <v>204</v>
      </c>
      <c r="N24042" t="str">
        <f>"200581      "</f>
        <v xml:space="preserve">200581      </v>
      </c>
      <c r="O24042">
        <v>230308</v>
      </c>
    </row>
    <row r="24043" spans="1:15" x14ac:dyDescent="0.25">
      <c r="A24043" t="s">
        <v>16</v>
      </c>
      <c r="B24043" t="s">
        <v>3221</v>
      </c>
      <c r="C24043">
        <v>4437</v>
      </c>
      <c r="D24043" t="s">
        <v>1278</v>
      </c>
      <c r="E24043" t="s">
        <v>1279</v>
      </c>
      <c r="F24043">
        <v>83.9</v>
      </c>
      <c r="G24043">
        <v>230331</v>
      </c>
      <c r="H24043">
        <v>4590</v>
      </c>
      <c r="I24043" t="s">
        <v>203</v>
      </c>
      <c r="J24043">
        <v>104.03</v>
      </c>
      <c r="K24043">
        <v>20.13</v>
      </c>
      <c r="L24043">
        <v>56562</v>
      </c>
      <c r="M24043" t="s">
        <v>126</v>
      </c>
      <c r="N24043" t="str">
        <f>"200595      "</f>
        <v xml:space="preserve">200595      </v>
      </c>
      <c r="O24043">
        <v>230405</v>
      </c>
    </row>
    <row r="24044" spans="1:15" x14ac:dyDescent="0.25">
      <c r="A24044" t="s">
        <v>16</v>
      </c>
      <c r="B24044" t="s">
        <v>3221</v>
      </c>
      <c r="C24044">
        <v>4437</v>
      </c>
      <c r="D24044" t="s">
        <v>1278</v>
      </c>
      <c r="E24044" t="s">
        <v>1279</v>
      </c>
      <c r="F24044">
        <v>25.37</v>
      </c>
      <c r="G24044">
        <v>230331</v>
      </c>
      <c r="H24044">
        <v>4590</v>
      </c>
      <c r="I24044" t="s">
        <v>203</v>
      </c>
      <c r="J24044">
        <v>31.46</v>
      </c>
      <c r="K24044">
        <v>6.09</v>
      </c>
      <c r="L24044">
        <v>56571</v>
      </c>
      <c r="M24044" t="s">
        <v>204</v>
      </c>
      <c r="N24044" t="str">
        <f>"200595      "</f>
        <v xml:space="preserve">200595      </v>
      </c>
      <c r="O24044">
        <v>230405</v>
      </c>
    </row>
    <row r="24045" spans="1:15" x14ac:dyDescent="0.25">
      <c r="A24045" t="s">
        <v>16</v>
      </c>
      <c r="B24045" t="s">
        <v>3221</v>
      </c>
      <c r="C24045">
        <v>5998</v>
      </c>
      <c r="D24045" t="s">
        <v>1278</v>
      </c>
      <c r="E24045" t="s">
        <v>1279</v>
      </c>
      <c r="F24045">
        <v>107.74</v>
      </c>
      <c r="G24045">
        <v>230430</v>
      </c>
      <c r="H24045">
        <v>4590</v>
      </c>
      <c r="I24045" t="s">
        <v>203</v>
      </c>
      <c r="J24045">
        <v>133.6</v>
      </c>
      <c r="K24045">
        <v>25.86</v>
      </c>
      <c r="L24045">
        <v>56562</v>
      </c>
      <c r="M24045" t="s">
        <v>126</v>
      </c>
      <c r="N24045" t="str">
        <f>"200606      "</f>
        <v xml:space="preserve">200606      </v>
      </c>
      <c r="O24045">
        <v>230505</v>
      </c>
    </row>
    <row r="24046" spans="1:15" x14ac:dyDescent="0.25">
      <c r="A24046" t="s">
        <v>16</v>
      </c>
      <c r="B24046" t="s">
        <v>3221</v>
      </c>
      <c r="C24046">
        <v>8187</v>
      </c>
      <c r="D24046" t="s">
        <v>1278</v>
      </c>
      <c r="E24046" t="s">
        <v>1279</v>
      </c>
      <c r="F24046">
        <v>26.43</v>
      </c>
      <c r="G24046">
        <v>230531</v>
      </c>
      <c r="H24046">
        <v>4590</v>
      </c>
      <c r="I24046" t="s">
        <v>203</v>
      </c>
      <c r="J24046">
        <v>32.770000000000003</v>
      </c>
      <c r="K24046">
        <v>6.34</v>
      </c>
      <c r="L24046">
        <v>56562</v>
      </c>
      <c r="M24046" t="s">
        <v>126</v>
      </c>
      <c r="N24046" t="str">
        <f>"200625      "</f>
        <v xml:space="preserve">200625      </v>
      </c>
      <c r="O24046">
        <v>230607</v>
      </c>
    </row>
    <row r="24047" spans="1:15" x14ac:dyDescent="0.25">
      <c r="A24047" t="s">
        <v>16</v>
      </c>
      <c r="B24047" t="s">
        <v>3221</v>
      </c>
      <c r="C24047">
        <v>12141</v>
      </c>
      <c r="D24047" t="s">
        <v>1278</v>
      </c>
      <c r="E24047" t="s">
        <v>1279</v>
      </c>
      <c r="F24047">
        <v>149.02000000000001</v>
      </c>
      <c r="G24047">
        <v>230831</v>
      </c>
      <c r="H24047">
        <v>4590</v>
      </c>
      <c r="I24047" t="s">
        <v>203</v>
      </c>
      <c r="J24047">
        <v>184.78</v>
      </c>
      <c r="K24047">
        <v>35.76</v>
      </c>
      <c r="L24047">
        <v>56562</v>
      </c>
      <c r="M24047" t="s">
        <v>126</v>
      </c>
      <c r="N24047" t="str">
        <f>"200662      "</f>
        <v xml:space="preserve">200662      </v>
      </c>
      <c r="O24047">
        <v>230914</v>
      </c>
    </row>
    <row r="24048" spans="1:15" x14ac:dyDescent="0.25">
      <c r="A24048" t="s">
        <v>16</v>
      </c>
      <c r="B24048" t="s">
        <v>3221</v>
      </c>
      <c r="C24048">
        <v>16185</v>
      </c>
      <c r="D24048" t="s">
        <v>1278</v>
      </c>
      <c r="E24048" t="s">
        <v>1279</v>
      </c>
      <c r="F24048">
        <v>34.44</v>
      </c>
      <c r="G24048">
        <v>231115</v>
      </c>
      <c r="H24048">
        <v>4590</v>
      </c>
      <c r="I24048" t="s">
        <v>203</v>
      </c>
      <c r="J24048">
        <v>42.7</v>
      </c>
      <c r="K24048">
        <v>8.26</v>
      </c>
      <c r="L24048">
        <v>56551</v>
      </c>
      <c r="M24048" t="s">
        <v>619</v>
      </c>
      <c r="N24048" t="str">
        <f>"200698      "</f>
        <v xml:space="preserve">200698      </v>
      </c>
      <c r="O24048">
        <v>231127</v>
      </c>
    </row>
    <row r="24049" spans="1:15" x14ac:dyDescent="0.25">
      <c r="A24049" t="s">
        <v>16</v>
      </c>
      <c r="B24049" t="s">
        <v>3221</v>
      </c>
      <c r="C24049">
        <v>4128</v>
      </c>
      <c r="D24049" t="s">
        <v>1659</v>
      </c>
      <c r="E24049" t="s">
        <v>1660</v>
      </c>
      <c r="F24049">
        <v>61.29</v>
      </c>
      <c r="G24049">
        <v>230324</v>
      </c>
      <c r="H24049">
        <v>4820</v>
      </c>
      <c r="I24049" t="s">
        <v>50</v>
      </c>
      <c r="J24049">
        <v>76</v>
      </c>
      <c r="K24049">
        <v>14.71</v>
      </c>
      <c r="L24049">
        <v>11908</v>
      </c>
      <c r="M24049" t="s">
        <v>598</v>
      </c>
      <c r="N24049" t="str">
        <f>"212         "</f>
        <v xml:space="preserve">212         </v>
      </c>
      <c r="O24049">
        <v>230330</v>
      </c>
    </row>
    <row r="24050" spans="1:15" x14ac:dyDescent="0.25">
      <c r="A24050" t="s">
        <v>16</v>
      </c>
      <c r="B24050" t="s">
        <v>3221</v>
      </c>
      <c r="C24050">
        <v>10601</v>
      </c>
      <c r="D24050" t="s">
        <v>2308</v>
      </c>
      <c r="E24050" t="s">
        <v>2309</v>
      </c>
      <c r="F24050">
        <v>132</v>
      </c>
      <c r="G24050">
        <v>230817</v>
      </c>
      <c r="H24050">
        <v>4510</v>
      </c>
      <c r="I24050" t="s">
        <v>42</v>
      </c>
      <c r="J24050">
        <v>163.68</v>
      </c>
      <c r="K24050">
        <v>31.68</v>
      </c>
      <c r="L24050">
        <v>59702</v>
      </c>
      <c r="M24050" t="s">
        <v>328</v>
      </c>
      <c r="N24050" t="str">
        <f>"6023080096  "</f>
        <v xml:space="preserve">6023080096  </v>
      </c>
      <c r="O24050">
        <v>230818</v>
      </c>
    </row>
    <row r="24051" spans="1:15" x14ac:dyDescent="0.25">
      <c r="A24051" t="s">
        <v>16</v>
      </c>
      <c r="B24051" t="s">
        <v>3221</v>
      </c>
      <c r="C24051">
        <v>9416</v>
      </c>
      <c r="D24051" t="s">
        <v>2308</v>
      </c>
      <c r="E24051" t="s">
        <v>2309</v>
      </c>
      <c r="F24051">
        <v>1795</v>
      </c>
      <c r="G24051">
        <v>230704</v>
      </c>
      <c r="H24051">
        <v>4500</v>
      </c>
      <c r="I24051" t="s">
        <v>212</v>
      </c>
      <c r="J24051">
        <v>2225.8000000000002</v>
      </c>
      <c r="K24051">
        <v>430.8</v>
      </c>
      <c r="L24051">
        <v>59702</v>
      </c>
      <c r="M24051" t="s">
        <v>328</v>
      </c>
      <c r="N24051" t="str">
        <f>"6023070006  "</f>
        <v xml:space="preserve">6023070006  </v>
      </c>
      <c r="O24051">
        <v>230710</v>
      </c>
    </row>
    <row r="24052" spans="1:15" x14ac:dyDescent="0.25">
      <c r="A24052" t="s">
        <v>16</v>
      </c>
      <c r="B24052" t="s">
        <v>3221</v>
      </c>
      <c r="C24052">
        <v>2147</v>
      </c>
      <c r="D24052" t="s">
        <v>650</v>
      </c>
      <c r="E24052" t="s">
        <v>651</v>
      </c>
      <c r="F24052">
        <v>1339</v>
      </c>
      <c r="G24052">
        <v>230217</v>
      </c>
      <c r="H24052">
        <v>4400</v>
      </c>
      <c r="I24052" t="s">
        <v>348</v>
      </c>
      <c r="J24052">
        <v>1660.36</v>
      </c>
      <c r="K24052">
        <v>321.36</v>
      </c>
      <c r="L24052">
        <v>59504</v>
      </c>
      <c r="M24052" t="s">
        <v>71</v>
      </c>
      <c r="N24052" t="str">
        <f>"023140      "</f>
        <v xml:space="preserve">023140      </v>
      </c>
      <c r="O24052">
        <v>230221</v>
      </c>
    </row>
    <row r="24053" spans="1:15" x14ac:dyDescent="0.25">
      <c r="A24053" t="s">
        <v>16</v>
      </c>
      <c r="B24053" t="s">
        <v>3221</v>
      </c>
      <c r="C24053">
        <v>9363</v>
      </c>
      <c r="D24053" t="s">
        <v>650</v>
      </c>
      <c r="E24053" t="s">
        <v>651</v>
      </c>
      <c r="F24053">
        <v>105</v>
      </c>
      <c r="G24053">
        <v>230628</v>
      </c>
      <c r="H24053">
        <v>4400</v>
      </c>
      <c r="I24053" t="s">
        <v>348</v>
      </c>
      <c r="J24053">
        <v>130.19999999999999</v>
      </c>
      <c r="K24053">
        <v>25.2</v>
      </c>
      <c r="L24053">
        <v>59501</v>
      </c>
      <c r="M24053" t="s">
        <v>69</v>
      </c>
      <c r="N24053" t="str">
        <f>"023489      "</f>
        <v xml:space="preserve">023489      </v>
      </c>
      <c r="O24053">
        <v>230710</v>
      </c>
    </row>
    <row r="24054" spans="1:15" x14ac:dyDescent="0.25">
      <c r="A24054" t="s">
        <v>16</v>
      </c>
      <c r="B24054" t="s">
        <v>3221</v>
      </c>
      <c r="C24054">
        <v>16297</v>
      </c>
      <c r="D24054" t="s">
        <v>650</v>
      </c>
      <c r="E24054" t="s">
        <v>651</v>
      </c>
      <c r="F24054">
        <v>365</v>
      </c>
      <c r="G24054">
        <v>231121</v>
      </c>
      <c r="H24054">
        <v>4400</v>
      </c>
      <c r="I24054" t="s">
        <v>348</v>
      </c>
      <c r="J24054">
        <v>452.6</v>
      </c>
      <c r="K24054">
        <v>87.6</v>
      </c>
      <c r="L24054">
        <v>14952</v>
      </c>
      <c r="M24054" t="s">
        <v>99</v>
      </c>
      <c r="N24054" t="str">
        <f>"023804      "</f>
        <v xml:space="preserve">023804      </v>
      </c>
      <c r="O24054">
        <v>231127</v>
      </c>
    </row>
    <row r="24055" spans="1:15" x14ac:dyDescent="0.25">
      <c r="A24055" t="s">
        <v>16</v>
      </c>
      <c r="B24055" t="s">
        <v>3221</v>
      </c>
      <c r="C24055">
        <v>633</v>
      </c>
      <c r="D24055" t="s">
        <v>650</v>
      </c>
      <c r="E24055" t="s">
        <v>651</v>
      </c>
      <c r="F24055">
        <v>340</v>
      </c>
      <c r="G24055">
        <v>230118</v>
      </c>
      <c r="H24055">
        <v>4840</v>
      </c>
      <c r="I24055" t="s">
        <v>19</v>
      </c>
      <c r="J24055">
        <v>421.6</v>
      </c>
      <c r="K24055">
        <v>81.599999999999994</v>
      </c>
      <c r="L24055">
        <v>56566</v>
      </c>
      <c r="M24055" t="s">
        <v>652</v>
      </c>
      <c r="N24055" t="str">
        <f>"023067      "</f>
        <v xml:space="preserve">023067      </v>
      </c>
      <c r="O24055">
        <v>230125</v>
      </c>
    </row>
    <row r="24056" spans="1:15" x14ac:dyDescent="0.25">
      <c r="A24056" t="s">
        <v>16</v>
      </c>
      <c r="B24056" t="s">
        <v>3221</v>
      </c>
      <c r="C24056">
        <v>4936</v>
      </c>
      <c r="D24056" t="s">
        <v>650</v>
      </c>
      <c r="E24056" t="s">
        <v>651</v>
      </c>
      <c r="F24056">
        <v>175</v>
      </c>
      <c r="G24056">
        <v>230406</v>
      </c>
      <c r="H24056">
        <v>4840</v>
      </c>
      <c r="I24056" t="s">
        <v>19</v>
      </c>
      <c r="J24056">
        <v>217</v>
      </c>
      <c r="K24056">
        <v>42</v>
      </c>
      <c r="L24056">
        <v>56566</v>
      </c>
      <c r="M24056" t="s">
        <v>652</v>
      </c>
      <c r="N24056" t="str">
        <f>"023252      "</f>
        <v xml:space="preserve">023252      </v>
      </c>
      <c r="O24056">
        <v>230414</v>
      </c>
    </row>
    <row r="24057" spans="1:15" x14ac:dyDescent="0.25">
      <c r="A24057" t="s">
        <v>16</v>
      </c>
      <c r="B24057" t="s">
        <v>3221</v>
      </c>
      <c r="C24057">
        <v>8014</v>
      </c>
      <c r="D24057" t="s">
        <v>650</v>
      </c>
      <c r="E24057" t="s">
        <v>651</v>
      </c>
      <c r="F24057">
        <v>145</v>
      </c>
      <c r="G24057">
        <v>230525</v>
      </c>
      <c r="H24057">
        <v>4840</v>
      </c>
      <c r="I24057" t="s">
        <v>19</v>
      </c>
      <c r="J24057">
        <v>179.8</v>
      </c>
      <c r="K24057">
        <v>34.799999999999997</v>
      </c>
      <c r="L24057">
        <v>56566</v>
      </c>
      <c r="M24057" t="s">
        <v>652</v>
      </c>
      <c r="N24057" t="str">
        <f>"023386      "</f>
        <v xml:space="preserve">023386      </v>
      </c>
      <c r="O24057">
        <v>230607</v>
      </c>
    </row>
    <row r="24058" spans="1:15" x14ac:dyDescent="0.25">
      <c r="A24058" t="s">
        <v>16</v>
      </c>
      <c r="B24058" t="s">
        <v>3221</v>
      </c>
      <c r="C24058">
        <v>5629</v>
      </c>
      <c r="D24058" t="s">
        <v>650</v>
      </c>
      <c r="E24058" t="s">
        <v>651</v>
      </c>
      <c r="F24058">
        <v>147.61000000000001</v>
      </c>
      <c r="G24058">
        <v>230426</v>
      </c>
      <c r="H24058">
        <v>4600</v>
      </c>
      <c r="I24058" t="s">
        <v>105</v>
      </c>
      <c r="J24058">
        <v>183.04</v>
      </c>
      <c r="K24058">
        <v>35.43</v>
      </c>
      <c r="L24058">
        <v>59505</v>
      </c>
      <c r="M24058" t="s">
        <v>72</v>
      </c>
      <c r="N24058" t="str">
        <f>"023298      "</f>
        <v xml:space="preserve">023298      </v>
      </c>
      <c r="O24058">
        <v>230428</v>
      </c>
    </row>
    <row r="24059" spans="1:15" x14ac:dyDescent="0.25">
      <c r="A24059" t="s">
        <v>16</v>
      </c>
      <c r="B24059" t="s">
        <v>3221</v>
      </c>
      <c r="C24059">
        <v>8014</v>
      </c>
      <c r="D24059" t="s">
        <v>650</v>
      </c>
      <c r="E24059" t="s">
        <v>651</v>
      </c>
      <c r="F24059">
        <v>40</v>
      </c>
      <c r="G24059">
        <v>230525</v>
      </c>
      <c r="H24059">
        <v>4600</v>
      </c>
      <c r="I24059" t="s">
        <v>105</v>
      </c>
      <c r="J24059">
        <v>49.6</v>
      </c>
      <c r="K24059">
        <v>9.6</v>
      </c>
      <c r="L24059">
        <v>56566</v>
      </c>
      <c r="M24059" t="s">
        <v>652</v>
      </c>
      <c r="N24059" t="str">
        <f>"023386      "</f>
        <v xml:space="preserve">023386      </v>
      </c>
      <c r="O24059">
        <v>230607</v>
      </c>
    </row>
    <row r="24060" spans="1:15" x14ac:dyDescent="0.25">
      <c r="A24060" t="s">
        <v>16</v>
      </c>
      <c r="B24060" t="s">
        <v>3221</v>
      </c>
      <c r="C24060">
        <v>14810</v>
      </c>
      <c r="D24060" t="s">
        <v>650</v>
      </c>
      <c r="E24060" t="s">
        <v>651</v>
      </c>
      <c r="F24060">
        <v>195</v>
      </c>
      <c r="G24060">
        <v>231027</v>
      </c>
      <c r="H24060">
        <v>4600</v>
      </c>
      <c r="I24060" t="s">
        <v>105</v>
      </c>
      <c r="J24060">
        <v>241.8</v>
      </c>
      <c r="K24060">
        <v>46.8</v>
      </c>
      <c r="L24060">
        <v>56566</v>
      </c>
      <c r="M24060" t="s">
        <v>652</v>
      </c>
      <c r="N24060" t="str">
        <f>"023741      "</f>
        <v xml:space="preserve">023741      </v>
      </c>
      <c r="O24060">
        <v>231106</v>
      </c>
    </row>
    <row r="24061" spans="1:15" x14ac:dyDescent="0.25">
      <c r="A24061" t="s">
        <v>16</v>
      </c>
      <c r="B24061" t="s">
        <v>3221</v>
      </c>
      <c r="C24061">
        <v>15006</v>
      </c>
      <c r="D24061" t="s">
        <v>650</v>
      </c>
      <c r="E24061" t="s">
        <v>651</v>
      </c>
      <c r="F24061">
        <v>185</v>
      </c>
      <c r="G24061">
        <v>231102</v>
      </c>
      <c r="H24061">
        <v>4600</v>
      </c>
      <c r="I24061" t="s">
        <v>105</v>
      </c>
      <c r="J24061">
        <v>229.4</v>
      </c>
      <c r="K24061">
        <v>44.4</v>
      </c>
      <c r="L24061">
        <v>56566</v>
      </c>
      <c r="M24061" t="s">
        <v>652</v>
      </c>
      <c r="N24061" t="str">
        <f>"023754      "</f>
        <v xml:space="preserve">023754      </v>
      </c>
      <c r="O24061">
        <v>231108</v>
      </c>
    </row>
    <row r="24062" spans="1:15" x14ac:dyDescent="0.25">
      <c r="A24062" t="s">
        <v>16</v>
      </c>
      <c r="B24062" t="s">
        <v>3221</v>
      </c>
      <c r="C24062">
        <v>16423</v>
      </c>
      <c r="D24062" t="s">
        <v>650</v>
      </c>
      <c r="E24062" t="s">
        <v>651</v>
      </c>
      <c r="F24062">
        <v>505</v>
      </c>
      <c r="G24062">
        <v>231123</v>
      </c>
      <c r="H24062">
        <v>4470</v>
      </c>
      <c r="I24062" t="s">
        <v>83</v>
      </c>
      <c r="J24062">
        <v>626.20000000000005</v>
      </c>
      <c r="K24062">
        <v>121.2</v>
      </c>
      <c r="L24062">
        <v>56566</v>
      </c>
      <c r="M24062" t="s">
        <v>652</v>
      </c>
      <c r="N24062" t="str">
        <f>"023814      "</f>
        <v xml:space="preserve">023814      </v>
      </c>
      <c r="O24062">
        <v>231129</v>
      </c>
    </row>
    <row r="24063" spans="1:15" x14ac:dyDescent="0.25">
      <c r="A24063" t="s">
        <v>16</v>
      </c>
      <c r="B24063" t="s">
        <v>3221</v>
      </c>
      <c r="C24063">
        <v>2337</v>
      </c>
      <c r="D24063" t="s">
        <v>650</v>
      </c>
      <c r="E24063" t="s">
        <v>651</v>
      </c>
      <c r="F24063">
        <v>175</v>
      </c>
      <c r="G24063">
        <v>230220</v>
      </c>
      <c r="H24063">
        <v>4860</v>
      </c>
      <c r="I24063" t="s">
        <v>28</v>
      </c>
      <c r="J24063">
        <v>217</v>
      </c>
      <c r="K24063">
        <v>42</v>
      </c>
      <c r="L24063">
        <v>56566</v>
      </c>
      <c r="M24063" t="s">
        <v>652</v>
      </c>
      <c r="N24063" t="str">
        <f>"023146      "</f>
        <v xml:space="preserve">023146      </v>
      </c>
      <c r="O24063">
        <v>230224</v>
      </c>
    </row>
    <row r="24064" spans="1:15" x14ac:dyDescent="0.25">
      <c r="A24064" t="s">
        <v>16</v>
      </c>
      <c r="B24064" t="s">
        <v>3221</v>
      </c>
      <c r="C24064">
        <v>13696</v>
      </c>
      <c r="D24064" t="s">
        <v>650</v>
      </c>
      <c r="E24064" t="s">
        <v>651</v>
      </c>
      <c r="F24064">
        <v>185</v>
      </c>
      <c r="G24064">
        <v>231005</v>
      </c>
      <c r="H24064">
        <v>4860</v>
      </c>
      <c r="I24064" t="s">
        <v>28</v>
      </c>
      <c r="J24064">
        <v>229.4</v>
      </c>
      <c r="K24064">
        <v>44.4</v>
      </c>
      <c r="L24064">
        <v>56566</v>
      </c>
      <c r="M24064" t="s">
        <v>652</v>
      </c>
      <c r="N24064" t="str">
        <f>"023689      "</f>
        <v xml:space="preserve">023689      </v>
      </c>
      <c r="O24064">
        <v>231012</v>
      </c>
    </row>
    <row r="24065" spans="1:15" x14ac:dyDescent="0.25">
      <c r="A24065" t="s">
        <v>16</v>
      </c>
      <c r="B24065" t="s">
        <v>3221</v>
      </c>
      <c r="C24065">
        <v>8367</v>
      </c>
      <c r="D24065" t="s">
        <v>650</v>
      </c>
      <c r="E24065" t="s">
        <v>651</v>
      </c>
      <c r="F24065">
        <v>920</v>
      </c>
      <c r="G24065">
        <v>230530</v>
      </c>
      <c r="H24065">
        <v>4390</v>
      </c>
      <c r="I24065" t="s">
        <v>98</v>
      </c>
      <c r="J24065">
        <v>1140.8</v>
      </c>
      <c r="K24065">
        <v>220.8</v>
      </c>
      <c r="L24065">
        <v>59501</v>
      </c>
      <c r="M24065" t="s">
        <v>69</v>
      </c>
      <c r="N24065" t="str">
        <f>"023419      "</f>
        <v xml:space="preserve">023419      </v>
      </c>
      <c r="O24065">
        <v>230608</v>
      </c>
    </row>
    <row r="24066" spans="1:15" x14ac:dyDescent="0.25">
      <c r="A24066" t="s">
        <v>16</v>
      </c>
      <c r="B24066" t="s">
        <v>3221</v>
      </c>
      <c r="C24066">
        <v>15266</v>
      </c>
      <c r="D24066" t="s">
        <v>2851</v>
      </c>
      <c r="E24066" t="s">
        <v>2852</v>
      </c>
      <c r="F24066">
        <v>101.46</v>
      </c>
      <c r="G24066">
        <v>231103</v>
      </c>
      <c r="H24066">
        <v>4840</v>
      </c>
      <c r="I24066" t="s">
        <v>19</v>
      </c>
      <c r="J24066">
        <v>125.81</v>
      </c>
      <c r="K24066">
        <v>24.35</v>
      </c>
      <c r="L24066">
        <v>11301</v>
      </c>
      <c r="M24066" t="s">
        <v>29</v>
      </c>
      <c r="N24066" t="str">
        <f t="shared" ref="N24066:N24072" si="462">"165833      "</f>
        <v xml:space="preserve">165833      </v>
      </c>
      <c r="O24066">
        <v>231109</v>
      </c>
    </row>
    <row r="24067" spans="1:15" x14ac:dyDescent="0.25">
      <c r="A24067" t="s">
        <v>16</v>
      </c>
      <c r="B24067" t="s">
        <v>3221</v>
      </c>
      <c r="C24067">
        <v>15266</v>
      </c>
      <c r="D24067" t="s">
        <v>2851</v>
      </c>
      <c r="E24067" t="s">
        <v>2852</v>
      </c>
      <c r="F24067">
        <v>85.85</v>
      </c>
      <c r="G24067">
        <v>231103</v>
      </c>
      <c r="H24067">
        <v>4840</v>
      </c>
      <c r="I24067" t="s">
        <v>19</v>
      </c>
      <c r="J24067">
        <v>106.45</v>
      </c>
      <c r="K24067">
        <v>20.6</v>
      </c>
      <c r="L24067">
        <v>16121</v>
      </c>
      <c r="M24067" t="s">
        <v>21</v>
      </c>
      <c r="N24067" t="str">
        <f t="shared" si="462"/>
        <v xml:space="preserve">165833      </v>
      </c>
      <c r="O24067">
        <v>231109</v>
      </c>
    </row>
    <row r="24068" spans="1:15" x14ac:dyDescent="0.25">
      <c r="A24068" t="s">
        <v>16</v>
      </c>
      <c r="B24068" t="s">
        <v>3221</v>
      </c>
      <c r="C24068">
        <v>15266</v>
      </c>
      <c r="D24068" t="s">
        <v>2851</v>
      </c>
      <c r="E24068" t="s">
        <v>2852</v>
      </c>
      <c r="F24068">
        <v>98.85</v>
      </c>
      <c r="G24068">
        <v>231103</v>
      </c>
      <c r="H24068">
        <v>4840</v>
      </c>
      <c r="I24068" t="s">
        <v>19</v>
      </c>
      <c r="J24068">
        <v>122.58</v>
      </c>
      <c r="K24068">
        <v>23.73</v>
      </c>
      <c r="L24068">
        <v>16820</v>
      </c>
      <c r="M24068" t="s">
        <v>23</v>
      </c>
      <c r="N24068" t="str">
        <f t="shared" si="462"/>
        <v xml:space="preserve">165833      </v>
      </c>
      <c r="O24068">
        <v>231109</v>
      </c>
    </row>
    <row r="24069" spans="1:15" x14ac:dyDescent="0.25">
      <c r="A24069" t="s">
        <v>16</v>
      </c>
      <c r="B24069" t="s">
        <v>3221</v>
      </c>
      <c r="C24069">
        <v>15266</v>
      </c>
      <c r="D24069" t="s">
        <v>2851</v>
      </c>
      <c r="E24069" t="s">
        <v>2852</v>
      </c>
      <c r="F24069">
        <v>93.65</v>
      </c>
      <c r="G24069">
        <v>231103</v>
      </c>
      <c r="H24069">
        <v>4840</v>
      </c>
      <c r="I24069" t="s">
        <v>19</v>
      </c>
      <c r="J24069">
        <v>116.13</v>
      </c>
      <c r="K24069">
        <v>22.48</v>
      </c>
      <c r="L24069">
        <v>17524</v>
      </c>
      <c r="M24069" t="s">
        <v>452</v>
      </c>
      <c r="N24069" t="str">
        <f t="shared" si="462"/>
        <v xml:space="preserve">165833      </v>
      </c>
      <c r="O24069">
        <v>231109</v>
      </c>
    </row>
    <row r="24070" spans="1:15" x14ac:dyDescent="0.25">
      <c r="A24070" t="s">
        <v>16</v>
      </c>
      <c r="B24070" t="s">
        <v>3221</v>
      </c>
      <c r="C24070">
        <v>15266</v>
      </c>
      <c r="D24070" t="s">
        <v>2851</v>
      </c>
      <c r="E24070" t="s">
        <v>2852</v>
      </c>
      <c r="F24070">
        <v>101.46</v>
      </c>
      <c r="G24070">
        <v>231103</v>
      </c>
      <c r="H24070">
        <v>4840</v>
      </c>
      <c r="I24070" t="s">
        <v>19</v>
      </c>
      <c r="J24070">
        <v>125.81</v>
      </c>
      <c r="K24070">
        <v>24.35</v>
      </c>
      <c r="L24070">
        <v>17529</v>
      </c>
      <c r="M24070" t="s">
        <v>453</v>
      </c>
      <c r="N24070" t="str">
        <f t="shared" si="462"/>
        <v xml:space="preserve">165833      </v>
      </c>
      <c r="O24070">
        <v>231109</v>
      </c>
    </row>
    <row r="24071" spans="1:15" x14ac:dyDescent="0.25">
      <c r="A24071" t="s">
        <v>16</v>
      </c>
      <c r="B24071" t="s">
        <v>3221</v>
      </c>
      <c r="C24071">
        <v>15266</v>
      </c>
      <c r="D24071" t="s">
        <v>2851</v>
      </c>
      <c r="E24071" t="s">
        <v>2852</v>
      </c>
      <c r="F24071">
        <v>93.65</v>
      </c>
      <c r="G24071">
        <v>231103</v>
      </c>
      <c r="H24071">
        <v>4840</v>
      </c>
      <c r="I24071" t="s">
        <v>19</v>
      </c>
      <c r="J24071">
        <v>116.13</v>
      </c>
      <c r="K24071">
        <v>22.48</v>
      </c>
      <c r="L24071">
        <v>17972</v>
      </c>
      <c r="M24071" t="s">
        <v>248</v>
      </c>
      <c r="N24071" t="str">
        <f t="shared" si="462"/>
        <v xml:space="preserve">165833      </v>
      </c>
      <c r="O24071">
        <v>231109</v>
      </c>
    </row>
    <row r="24072" spans="1:15" x14ac:dyDescent="0.25">
      <c r="A24072" t="s">
        <v>16</v>
      </c>
      <c r="B24072" t="s">
        <v>3221</v>
      </c>
      <c r="C24072">
        <v>15266</v>
      </c>
      <c r="D24072" t="s">
        <v>2851</v>
      </c>
      <c r="E24072" t="s">
        <v>2852</v>
      </c>
      <c r="F24072">
        <v>101.46</v>
      </c>
      <c r="G24072">
        <v>231103</v>
      </c>
      <c r="H24072">
        <v>4840</v>
      </c>
      <c r="I24072" t="s">
        <v>19</v>
      </c>
      <c r="J24072">
        <v>125.81</v>
      </c>
      <c r="K24072">
        <v>24.35</v>
      </c>
      <c r="L24072">
        <v>17972</v>
      </c>
      <c r="M24072" t="s">
        <v>248</v>
      </c>
      <c r="N24072" t="str">
        <f t="shared" si="462"/>
        <v xml:space="preserve">165833      </v>
      </c>
      <c r="O24072">
        <v>231109</v>
      </c>
    </row>
    <row r="24073" spans="1:15" x14ac:dyDescent="0.25">
      <c r="A24073" t="s">
        <v>16</v>
      </c>
      <c r="B24073" t="s">
        <v>3221</v>
      </c>
      <c r="C24073">
        <v>17396</v>
      </c>
      <c r="D24073" t="s">
        <v>2851</v>
      </c>
      <c r="E24073" t="s">
        <v>2852</v>
      </c>
      <c r="F24073">
        <v>120.97</v>
      </c>
      <c r="G24073">
        <v>231204</v>
      </c>
      <c r="H24073">
        <v>4840</v>
      </c>
      <c r="I24073" t="s">
        <v>19</v>
      </c>
      <c r="J24073">
        <v>150</v>
      </c>
      <c r="K24073">
        <v>29.03</v>
      </c>
      <c r="L24073">
        <v>14622</v>
      </c>
      <c r="M24073" t="s">
        <v>1005</v>
      </c>
      <c r="N24073" t="str">
        <f t="shared" ref="N24073:N24084" si="463">"167587      "</f>
        <v xml:space="preserve">167587      </v>
      </c>
      <c r="O24073">
        <v>231213</v>
      </c>
    </row>
    <row r="24074" spans="1:15" x14ac:dyDescent="0.25">
      <c r="A24074" t="s">
        <v>16</v>
      </c>
      <c r="B24074" t="s">
        <v>3221</v>
      </c>
      <c r="C24074">
        <v>17396</v>
      </c>
      <c r="D24074" t="s">
        <v>2851</v>
      </c>
      <c r="E24074" t="s">
        <v>2852</v>
      </c>
      <c r="F24074">
        <v>129.03</v>
      </c>
      <c r="G24074">
        <v>231204</v>
      </c>
      <c r="H24074">
        <v>4840</v>
      </c>
      <c r="I24074" t="s">
        <v>19</v>
      </c>
      <c r="J24074">
        <v>160</v>
      </c>
      <c r="K24074">
        <v>30.97</v>
      </c>
      <c r="L24074">
        <v>14622</v>
      </c>
      <c r="M24074" t="s">
        <v>1005</v>
      </c>
      <c r="N24074" t="str">
        <f t="shared" si="463"/>
        <v xml:space="preserve">167587      </v>
      </c>
      <c r="O24074">
        <v>231213</v>
      </c>
    </row>
    <row r="24075" spans="1:15" x14ac:dyDescent="0.25">
      <c r="A24075" t="s">
        <v>16</v>
      </c>
      <c r="B24075" t="s">
        <v>3221</v>
      </c>
      <c r="C24075">
        <v>17396</v>
      </c>
      <c r="D24075" t="s">
        <v>2851</v>
      </c>
      <c r="E24075" t="s">
        <v>2852</v>
      </c>
      <c r="F24075">
        <v>80.650000000000006</v>
      </c>
      <c r="G24075">
        <v>231204</v>
      </c>
      <c r="H24075">
        <v>4840</v>
      </c>
      <c r="I24075" t="s">
        <v>19</v>
      </c>
      <c r="J24075">
        <v>100</v>
      </c>
      <c r="K24075">
        <v>19.350000000000001</v>
      </c>
      <c r="L24075">
        <v>16121</v>
      </c>
      <c r="M24075" t="s">
        <v>21</v>
      </c>
      <c r="N24075" t="str">
        <f t="shared" si="463"/>
        <v xml:space="preserve">167587      </v>
      </c>
      <c r="O24075">
        <v>231213</v>
      </c>
    </row>
    <row r="24076" spans="1:15" x14ac:dyDescent="0.25">
      <c r="A24076" t="s">
        <v>16</v>
      </c>
      <c r="B24076" t="s">
        <v>3221</v>
      </c>
      <c r="C24076">
        <v>17396</v>
      </c>
      <c r="D24076" t="s">
        <v>2851</v>
      </c>
      <c r="E24076" t="s">
        <v>2852</v>
      </c>
      <c r="F24076">
        <v>80.650000000000006</v>
      </c>
      <c r="G24076">
        <v>231204</v>
      </c>
      <c r="H24076">
        <v>4840</v>
      </c>
      <c r="I24076" t="s">
        <v>19</v>
      </c>
      <c r="J24076">
        <v>100</v>
      </c>
      <c r="K24076">
        <v>19.350000000000001</v>
      </c>
      <c r="L24076">
        <v>16820</v>
      </c>
      <c r="M24076" t="s">
        <v>23</v>
      </c>
      <c r="N24076" t="str">
        <f t="shared" si="463"/>
        <v xml:space="preserve">167587      </v>
      </c>
      <c r="O24076">
        <v>231213</v>
      </c>
    </row>
    <row r="24077" spans="1:15" x14ac:dyDescent="0.25">
      <c r="A24077" t="s">
        <v>16</v>
      </c>
      <c r="B24077" t="s">
        <v>3221</v>
      </c>
      <c r="C24077">
        <v>17396</v>
      </c>
      <c r="D24077" t="s">
        <v>2851</v>
      </c>
      <c r="E24077" t="s">
        <v>2852</v>
      </c>
      <c r="F24077">
        <v>80.650000000000006</v>
      </c>
      <c r="G24077">
        <v>231204</v>
      </c>
      <c r="H24077">
        <v>4840</v>
      </c>
      <c r="I24077" t="s">
        <v>19</v>
      </c>
      <c r="J24077">
        <v>100</v>
      </c>
      <c r="K24077">
        <v>19.350000000000001</v>
      </c>
      <c r="L24077">
        <v>17524</v>
      </c>
      <c r="M24077" t="s">
        <v>452</v>
      </c>
      <c r="N24077" t="str">
        <f t="shared" si="463"/>
        <v xml:space="preserve">167587      </v>
      </c>
      <c r="O24077">
        <v>231213</v>
      </c>
    </row>
    <row r="24078" spans="1:15" x14ac:dyDescent="0.25">
      <c r="A24078" t="s">
        <v>16</v>
      </c>
      <c r="B24078" t="s">
        <v>3221</v>
      </c>
      <c r="C24078">
        <v>17396</v>
      </c>
      <c r="D24078" t="s">
        <v>2851</v>
      </c>
      <c r="E24078" t="s">
        <v>2852</v>
      </c>
      <c r="F24078">
        <v>80.650000000000006</v>
      </c>
      <c r="G24078">
        <v>231204</v>
      </c>
      <c r="H24078">
        <v>4840</v>
      </c>
      <c r="I24078" t="s">
        <v>19</v>
      </c>
      <c r="J24078">
        <v>100</v>
      </c>
      <c r="K24078">
        <v>19.350000000000001</v>
      </c>
      <c r="L24078">
        <v>17529</v>
      </c>
      <c r="M24078" t="s">
        <v>453</v>
      </c>
      <c r="N24078" t="str">
        <f t="shared" si="463"/>
        <v xml:space="preserve">167587      </v>
      </c>
      <c r="O24078">
        <v>231213</v>
      </c>
    </row>
    <row r="24079" spans="1:15" x14ac:dyDescent="0.25">
      <c r="A24079" t="s">
        <v>16</v>
      </c>
      <c r="B24079" t="s">
        <v>3221</v>
      </c>
      <c r="C24079">
        <v>17396</v>
      </c>
      <c r="D24079" t="s">
        <v>2851</v>
      </c>
      <c r="E24079" t="s">
        <v>2852</v>
      </c>
      <c r="F24079">
        <v>80.650000000000006</v>
      </c>
      <c r="G24079">
        <v>231204</v>
      </c>
      <c r="H24079">
        <v>4840</v>
      </c>
      <c r="I24079" t="s">
        <v>19</v>
      </c>
      <c r="J24079">
        <v>100</v>
      </c>
      <c r="K24079">
        <v>19.350000000000001</v>
      </c>
      <c r="L24079">
        <v>17529</v>
      </c>
      <c r="M24079" t="s">
        <v>453</v>
      </c>
      <c r="N24079" t="str">
        <f t="shared" si="463"/>
        <v xml:space="preserve">167587      </v>
      </c>
      <c r="O24079">
        <v>231213</v>
      </c>
    </row>
    <row r="24080" spans="1:15" x14ac:dyDescent="0.25">
      <c r="A24080" t="s">
        <v>16</v>
      </c>
      <c r="B24080" t="s">
        <v>3221</v>
      </c>
      <c r="C24080">
        <v>17396</v>
      </c>
      <c r="D24080" t="s">
        <v>2851</v>
      </c>
      <c r="E24080" t="s">
        <v>2852</v>
      </c>
      <c r="F24080">
        <v>80.650000000000006</v>
      </c>
      <c r="G24080">
        <v>231204</v>
      </c>
      <c r="H24080">
        <v>4840</v>
      </c>
      <c r="I24080" t="s">
        <v>19</v>
      </c>
      <c r="J24080">
        <v>100</v>
      </c>
      <c r="K24080">
        <v>19.350000000000001</v>
      </c>
      <c r="L24080">
        <v>17972</v>
      </c>
      <c r="M24080" t="s">
        <v>248</v>
      </c>
      <c r="N24080" t="str">
        <f t="shared" si="463"/>
        <v xml:space="preserve">167587      </v>
      </c>
      <c r="O24080">
        <v>231213</v>
      </c>
    </row>
    <row r="24081" spans="1:15" x14ac:dyDescent="0.25">
      <c r="A24081" t="s">
        <v>16</v>
      </c>
      <c r="B24081" t="s">
        <v>3221</v>
      </c>
      <c r="C24081">
        <v>17396</v>
      </c>
      <c r="D24081" t="s">
        <v>2851</v>
      </c>
      <c r="E24081" t="s">
        <v>2852</v>
      </c>
      <c r="F24081">
        <v>80.650000000000006</v>
      </c>
      <c r="G24081">
        <v>231204</v>
      </c>
      <c r="H24081">
        <v>4840</v>
      </c>
      <c r="I24081" t="s">
        <v>19</v>
      </c>
      <c r="J24081">
        <v>100</v>
      </c>
      <c r="K24081">
        <v>19.350000000000001</v>
      </c>
      <c r="L24081">
        <v>17972</v>
      </c>
      <c r="M24081" t="s">
        <v>248</v>
      </c>
      <c r="N24081" t="str">
        <f t="shared" si="463"/>
        <v xml:space="preserve">167587      </v>
      </c>
      <c r="O24081">
        <v>231213</v>
      </c>
    </row>
    <row r="24082" spans="1:15" x14ac:dyDescent="0.25">
      <c r="A24082" t="s">
        <v>16</v>
      </c>
      <c r="B24082" t="s">
        <v>3221</v>
      </c>
      <c r="C24082">
        <v>17396</v>
      </c>
      <c r="D24082" t="s">
        <v>2851</v>
      </c>
      <c r="E24082" t="s">
        <v>2852</v>
      </c>
      <c r="F24082">
        <v>139.78</v>
      </c>
      <c r="G24082">
        <v>231204</v>
      </c>
      <c r="H24082">
        <v>4840</v>
      </c>
      <c r="I24082" t="s">
        <v>19</v>
      </c>
      <c r="J24082">
        <v>173.33</v>
      </c>
      <c r="K24082">
        <v>33.549999999999997</v>
      </c>
      <c r="L24082">
        <v>17974</v>
      </c>
      <c r="M24082" t="s">
        <v>460</v>
      </c>
      <c r="N24082" t="str">
        <f t="shared" si="463"/>
        <v xml:space="preserve">167587      </v>
      </c>
      <c r="O24082">
        <v>231213</v>
      </c>
    </row>
    <row r="24083" spans="1:15" x14ac:dyDescent="0.25">
      <c r="A24083" t="s">
        <v>16</v>
      </c>
      <c r="B24083" t="s">
        <v>3221</v>
      </c>
      <c r="C24083">
        <v>17396</v>
      </c>
      <c r="D24083" t="s">
        <v>2851</v>
      </c>
      <c r="E24083" t="s">
        <v>2852</v>
      </c>
      <c r="F24083">
        <v>126.35</v>
      </c>
      <c r="G24083">
        <v>231204</v>
      </c>
      <c r="H24083">
        <v>4840</v>
      </c>
      <c r="I24083" t="s">
        <v>19</v>
      </c>
      <c r="J24083">
        <v>156.66999999999999</v>
      </c>
      <c r="K24083">
        <v>30.32</v>
      </c>
      <c r="L24083">
        <v>47522</v>
      </c>
      <c r="M24083" t="s">
        <v>410</v>
      </c>
      <c r="N24083" t="str">
        <f t="shared" si="463"/>
        <v xml:space="preserve">167587      </v>
      </c>
      <c r="O24083">
        <v>231213</v>
      </c>
    </row>
    <row r="24084" spans="1:15" x14ac:dyDescent="0.25">
      <c r="A24084" t="s">
        <v>16</v>
      </c>
      <c r="B24084" t="s">
        <v>3221</v>
      </c>
      <c r="C24084">
        <v>17396</v>
      </c>
      <c r="D24084" t="s">
        <v>2851</v>
      </c>
      <c r="E24084" t="s">
        <v>2852</v>
      </c>
      <c r="F24084">
        <v>158.6</v>
      </c>
      <c r="G24084">
        <v>231204</v>
      </c>
      <c r="H24084">
        <v>4840</v>
      </c>
      <c r="I24084" t="s">
        <v>19</v>
      </c>
      <c r="J24084">
        <v>196.67</v>
      </c>
      <c r="K24084">
        <v>38.07</v>
      </c>
      <c r="L24084">
        <v>69113</v>
      </c>
      <c r="M24084" t="s">
        <v>282</v>
      </c>
      <c r="N24084" t="str">
        <f t="shared" si="463"/>
        <v xml:space="preserve">167587      </v>
      </c>
      <c r="O24084">
        <v>231213</v>
      </c>
    </row>
    <row r="24085" spans="1:15" x14ac:dyDescent="0.25">
      <c r="A24085" t="s">
        <v>16</v>
      </c>
      <c r="B24085" t="s">
        <v>3221</v>
      </c>
      <c r="C24085">
        <v>2450</v>
      </c>
      <c r="D24085" t="s">
        <v>3377</v>
      </c>
      <c r="E24085" t="s">
        <v>3378</v>
      </c>
      <c r="F24085">
        <v>169.09</v>
      </c>
      <c r="G24085">
        <v>230217</v>
      </c>
      <c r="H24085">
        <v>4410</v>
      </c>
      <c r="I24085" t="s">
        <v>517</v>
      </c>
      <c r="J24085">
        <v>186</v>
      </c>
      <c r="K24085">
        <v>16.91</v>
      </c>
      <c r="L24085">
        <v>14972</v>
      </c>
      <c r="M24085" t="s">
        <v>898</v>
      </c>
      <c r="N24085" t="str">
        <f>"21612       "</f>
        <v xml:space="preserve">21612       </v>
      </c>
      <c r="O24085">
        <v>230228</v>
      </c>
    </row>
    <row r="24086" spans="1:15" x14ac:dyDescent="0.25">
      <c r="A24086" t="s">
        <v>16</v>
      </c>
      <c r="B24086" t="s">
        <v>3221</v>
      </c>
      <c r="C24086">
        <v>2450</v>
      </c>
      <c r="D24086" t="s">
        <v>3377</v>
      </c>
      <c r="E24086" t="s">
        <v>3378</v>
      </c>
      <c r="F24086">
        <v>158.06</v>
      </c>
      <c r="G24086">
        <v>230217</v>
      </c>
      <c r="H24086">
        <v>4410</v>
      </c>
      <c r="I24086" t="s">
        <v>517</v>
      </c>
      <c r="J24086">
        <v>195.99</v>
      </c>
      <c r="K24086">
        <v>37.93</v>
      </c>
      <c r="L24086">
        <v>14972</v>
      </c>
      <c r="M24086" t="s">
        <v>898</v>
      </c>
      <c r="N24086" t="str">
        <f>"21612       "</f>
        <v xml:space="preserve">21612       </v>
      </c>
      <c r="O24086">
        <v>230228</v>
      </c>
    </row>
    <row r="24087" spans="1:15" x14ac:dyDescent="0.25">
      <c r="A24087" t="s">
        <v>16</v>
      </c>
      <c r="B24087" t="s">
        <v>3221</v>
      </c>
      <c r="C24087">
        <v>11084</v>
      </c>
      <c r="D24087" t="s">
        <v>3377</v>
      </c>
      <c r="E24087" t="s">
        <v>3378</v>
      </c>
      <c r="F24087">
        <v>302.39999999999998</v>
      </c>
      <c r="G24087">
        <v>230825</v>
      </c>
      <c r="H24087">
        <v>4410</v>
      </c>
      <c r="I24087" t="s">
        <v>517</v>
      </c>
      <c r="J24087">
        <v>374.98</v>
      </c>
      <c r="K24087">
        <v>72.58</v>
      </c>
      <c r="L24087">
        <v>18972</v>
      </c>
      <c r="M24087" t="s">
        <v>163</v>
      </c>
      <c r="N24087" t="str">
        <f>"22671       "</f>
        <v xml:space="preserve">22671       </v>
      </c>
      <c r="O24087">
        <v>230830</v>
      </c>
    </row>
    <row r="24088" spans="1:15" x14ac:dyDescent="0.25">
      <c r="A24088" t="s">
        <v>16</v>
      </c>
      <c r="B24088" t="s">
        <v>3221</v>
      </c>
      <c r="C24088">
        <v>11084</v>
      </c>
      <c r="D24088" t="s">
        <v>3377</v>
      </c>
      <c r="E24088" t="s">
        <v>3378</v>
      </c>
      <c r="F24088">
        <v>428.2</v>
      </c>
      <c r="G24088">
        <v>230825</v>
      </c>
      <c r="H24088">
        <v>4410</v>
      </c>
      <c r="I24088" t="s">
        <v>517</v>
      </c>
      <c r="J24088">
        <v>488.15</v>
      </c>
      <c r="K24088">
        <v>59.95</v>
      </c>
      <c r="L24088">
        <v>18972</v>
      </c>
      <c r="M24088" t="s">
        <v>163</v>
      </c>
      <c r="N24088" t="str">
        <f>"22671       "</f>
        <v xml:space="preserve">22671       </v>
      </c>
      <c r="O24088">
        <v>230830</v>
      </c>
    </row>
    <row r="24089" spans="1:15" x14ac:dyDescent="0.25">
      <c r="A24089" t="s">
        <v>16</v>
      </c>
      <c r="B24089" t="s">
        <v>3221</v>
      </c>
      <c r="C24089">
        <v>18821</v>
      </c>
      <c r="D24089" t="s">
        <v>3377</v>
      </c>
      <c r="E24089" t="s">
        <v>3378</v>
      </c>
      <c r="F24089">
        <v>1373.06</v>
      </c>
      <c r="G24089">
        <v>231228</v>
      </c>
      <c r="H24089">
        <v>4440</v>
      </c>
      <c r="I24089" t="s">
        <v>250</v>
      </c>
      <c r="J24089">
        <v>1373.06</v>
      </c>
      <c r="K24089">
        <v>0</v>
      </c>
      <c r="L24089">
        <v>13501</v>
      </c>
      <c r="M24089" t="s">
        <v>20</v>
      </c>
      <c r="N24089" t="str">
        <f>"23505       "</f>
        <v xml:space="preserve">23505       </v>
      </c>
      <c r="O24089">
        <v>240108</v>
      </c>
    </row>
    <row r="24090" spans="1:15" x14ac:dyDescent="0.25">
      <c r="A24090" t="s">
        <v>16</v>
      </c>
      <c r="B24090" t="s">
        <v>3221</v>
      </c>
      <c r="C24090">
        <v>12771</v>
      </c>
      <c r="D24090" t="s">
        <v>3377</v>
      </c>
      <c r="E24090" t="s">
        <v>3378</v>
      </c>
      <c r="F24090">
        <v>104.82</v>
      </c>
      <c r="G24090">
        <v>230921</v>
      </c>
      <c r="H24090">
        <v>4820</v>
      </c>
      <c r="I24090" t="s">
        <v>50</v>
      </c>
      <c r="J24090">
        <v>129.97999999999999</v>
      </c>
      <c r="K24090">
        <v>25.16</v>
      </c>
      <c r="L24090">
        <v>11905</v>
      </c>
      <c r="M24090" t="s">
        <v>39</v>
      </c>
      <c r="N24090" t="str">
        <f>"22826       "</f>
        <v xml:space="preserve">22826       </v>
      </c>
      <c r="O24090">
        <v>230926</v>
      </c>
    </row>
    <row r="24091" spans="1:15" x14ac:dyDescent="0.25">
      <c r="A24091" t="s">
        <v>16</v>
      </c>
      <c r="B24091" t="s">
        <v>3221</v>
      </c>
      <c r="C24091">
        <v>12771</v>
      </c>
      <c r="D24091" t="s">
        <v>3377</v>
      </c>
      <c r="E24091" t="s">
        <v>3378</v>
      </c>
      <c r="F24091">
        <v>524.19000000000005</v>
      </c>
      <c r="G24091">
        <v>230921</v>
      </c>
      <c r="H24091">
        <v>4820</v>
      </c>
      <c r="I24091" t="s">
        <v>50</v>
      </c>
      <c r="J24091">
        <v>650</v>
      </c>
      <c r="K24091">
        <v>125.81</v>
      </c>
      <c r="L24091">
        <v>11905</v>
      </c>
      <c r="M24091" t="s">
        <v>39</v>
      </c>
      <c r="N24091" t="str">
        <f>"22826       "</f>
        <v xml:space="preserve">22826       </v>
      </c>
      <c r="O24091">
        <v>230926</v>
      </c>
    </row>
    <row r="24092" spans="1:15" x14ac:dyDescent="0.25">
      <c r="A24092" t="s">
        <v>16</v>
      </c>
      <c r="B24092" t="s">
        <v>3221</v>
      </c>
      <c r="C24092">
        <v>2002</v>
      </c>
      <c r="D24092" t="s">
        <v>1255</v>
      </c>
      <c r="E24092" t="s">
        <v>1256</v>
      </c>
      <c r="F24092">
        <v>33.21</v>
      </c>
      <c r="G24092">
        <v>230206</v>
      </c>
      <c r="H24092">
        <v>4600</v>
      </c>
      <c r="I24092" t="s">
        <v>105</v>
      </c>
      <c r="J24092">
        <v>41.18</v>
      </c>
      <c r="K24092">
        <v>7.97</v>
      </c>
      <c r="L24092">
        <v>56560</v>
      </c>
      <c r="M24092" t="s">
        <v>654</v>
      </c>
      <c r="N24092" t="str">
        <f>"340433452   "</f>
        <v xml:space="preserve">340433452   </v>
      </c>
      <c r="O24092">
        <v>230217</v>
      </c>
    </row>
    <row r="24093" spans="1:15" x14ac:dyDescent="0.25">
      <c r="A24093" t="s">
        <v>16</v>
      </c>
      <c r="B24093" t="s">
        <v>3221</v>
      </c>
      <c r="C24093">
        <v>3283</v>
      </c>
      <c r="D24093" t="s">
        <v>1538</v>
      </c>
      <c r="E24093" t="s">
        <v>1539</v>
      </c>
      <c r="F24093">
        <v>225.81</v>
      </c>
      <c r="G24093">
        <v>230304</v>
      </c>
      <c r="H24093">
        <v>4820</v>
      </c>
      <c r="I24093" t="s">
        <v>50</v>
      </c>
      <c r="J24093">
        <v>280</v>
      </c>
      <c r="K24093">
        <v>54.19</v>
      </c>
      <c r="L24093">
        <v>13841</v>
      </c>
      <c r="M24093" t="s">
        <v>47</v>
      </c>
      <c r="N24093" t="str">
        <f>"10941       "</f>
        <v xml:space="preserve">10941       </v>
      </c>
      <c r="O24093">
        <v>230313</v>
      </c>
    </row>
    <row r="24094" spans="1:15" x14ac:dyDescent="0.25">
      <c r="A24094" t="s">
        <v>16</v>
      </c>
      <c r="B24094" t="s">
        <v>3221</v>
      </c>
      <c r="C24094">
        <v>18853</v>
      </c>
      <c r="D24094" t="s">
        <v>1538</v>
      </c>
      <c r="E24094" t="s">
        <v>1539</v>
      </c>
      <c r="F24094">
        <v>354.84</v>
      </c>
      <c r="G24094">
        <v>231231</v>
      </c>
      <c r="H24094">
        <v>4820</v>
      </c>
      <c r="I24094" t="s">
        <v>50</v>
      </c>
      <c r="J24094">
        <v>440</v>
      </c>
      <c r="K24094">
        <v>85.16</v>
      </c>
      <c r="L24094">
        <v>13841</v>
      </c>
      <c r="M24094" t="s">
        <v>47</v>
      </c>
      <c r="N24094" t="str">
        <f>"11207       "</f>
        <v xml:space="preserve">11207       </v>
      </c>
      <c r="O24094">
        <v>240108</v>
      </c>
    </row>
    <row r="24095" spans="1:15" x14ac:dyDescent="0.25">
      <c r="A24095" t="s">
        <v>16</v>
      </c>
      <c r="B24095" t="s">
        <v>3221</v>
      </c>
      <c r="C24095">
        <v>10568</v>
      </c>
      <c r="D24095" t="s">
        <v>198</v>
      </c>
      <c r="E24095" t="s">
        <v>199</v>
      </c>
      <c r="F24095">
        <v>82.66</v>
      </c>
      <c r="G24095">
        <v>230814</v>
      </c>
      <c r="H24095">
        <v>4580</v>
      </c>
      <c r="I24095" t="s">
        <v>35</v>
      </c>
      <c r="J24095">
        <v>102.5</v>
      </c>
      <c r="K24095">
        <v>19.84</v>
      </c>
      <c r="L24095">
        <v>17535</v>
      </c>
      <c r="M24095" t="s">
        <v>357</v>
      </c>
      <c r="N24095" t="str">
        <f>"30232088    "</f>
        <v xml:space="preserve">30232088    </v>
      </c>
      <c r="O24095">
        <v>230818</v>
      </c>
    </row>
    <row r="24096" spans="1:15" x14ac:dyDescent="0.25">
      <c r="A24096" t="s">
        <v>16</v>
      </c>
      <c r="B24096" t="s">
        <v>3221</v>
      </c>
      <c r="C24096">
        <v>7470</v>
      </c>
      <c r="D24096" t="s">
        <v>198</v>
      </c>
      <c r="E24096" t="s">
        <v>199</v>
      </c>
      <c r="F24096">
        <v>186.05</v>
      </c>
      <c r="G24096">
        <v>230524</v>
      </c>
      <c r="H24096">
        <v>4400</v>
      </c>
      <c r="I24096" t="s">
        <v>348</v>
      </c>
      <c r="J24096">
        <v>230.7</v>
      </c>
      <c r="K24096">
        <v>44.65</v>
      </c>
      <c r="L24096">
        <v>13801</v>
      </c>
      <c r="M24096" t="s">
        <v>162</v>
      </c>
      <c r="N24096" t="str">
        <f>"30231305    "</f>
        <v xml:space="preserve">30231305    </v>
      </c>
      <c r="O24096">
        <v>230531</v>
      </c>
    </row>
    <row r="24097" spans="1:15" x14ac:dyDescent="0.25">
      <c r="A24097" t="s">
        <v>16</v>
      </c>
      <c r="B24097" t="s">
        <v>3221</v>
      </c>
      <c r="C24097">
        <v>16413</v>
      </c>
      <c r="D24097" t="s">
        <v>198</v>
      </c>
      <c r="E24097" t="s">
        <v>199</v>
      </c>
      <c r="F24097">
        <v>36.9</v>
      </c>
      <c r="G24097">
        <v>231119</v>
      </c>
      <c r="H24097">
        <v>4400</v>
      </c>
      <c r="I24097" t="s">
        <v>348</v>
      </c>
      <c r="J24097">
        <v>45.76</v>
      </c>
      <c r="K24097">
        <v>8.86</v>
      </c>
      <c r="L24097">
        <v>17535</v>
      </c>
      <c r="M24097" t="s">
        <v>357</v>
      </c>
      <c r="N24097" t="str">
        <f>"30233832    "</f>
        <v xml:space="preserve">30233832    </v>
      </c>
      <c r="O24097">
        <v>231129</v>
      </c>
    </row>
    <row r="24098" spans="1:15" x14ac:dyDescent="0.25">
      <c r="A24098" t="s">
        <v>16</v>
      </c>
      <c r="B24098" t="s">
        <v>3221</v>
      </c>
      <c r="C24098">
        <v>7470</v>
      </c>
      <c r="D24098" t="s">
        <v>198</v>
      </c>
      <c r="E24098" t="s">
        <v>199</v>
      </c>
      <c r="F24098">
        <v>11.05</v>
      </c>
      <c r="G24098">
        <v>230524</v>
      </c>
      <c r="H24098">
        <v>4420</v>
      </c>
      <c r="I24098" t="s">
        <v>132</v>
      </c>
      <c r="J24098">
        <v>13.7</v>
      </c>
      <c r="K24098">
        <v>2.65</v>
      </c>
      <c r="L24098">
        <v>13801</v>
      </c>
      <c r="M24098" t="s">
        <v>162</v>
      </c>
      <c r="N24098" t="str">
        <f>"30231305    "</f>
        <v xml:space="preserve">30231305    </v>
      </c>
      <c r="O24098">
        <v>230531</v>
      </c>
    </row>
    <row r="24099" spans="1:15" x14ac:dyDescent="0.25">
      <c r="A24099" t="s">
        <v>16</v>
      </c>
      <c r="B24099" t="s">
        <v>3221</v>
      </c>
      <c r="C24099">
        <v>10568</v>
      </c>
      <c r="D24099" t="s">
        <v>198</v>
      </c>
      <c r="E24099" t="s">
        <v>199</v>
      </c>
      <c r="F24099">
        <v>6.37</v>
      </c>
      <c r="G24099">
        <v>230814</v>
      </c>
      <c r="H24099">
        <v>4420</v>
      </c>
      <c r="I24099" t="s">
        <v>132</v>
      </c>
      <c r="J24099">
        <v>7.9</v>
      </c>
      <c r="K24099">
        <v>1.53</v>
      </c>
      <c r="L24099">
        <v>17535</v>
      </c>
      <c r="M24099" t="s">
        <v>357</v>
      </c>
      <c r="N24099" t="str">
        <f>"30232088    "</f>
        <v xml:space="preserve">30232088    </v>
      </c>
      <c r="O24099">
        <v>230818</v>
      </c>
    </row>
    <row r="24100" spans="1:15" x14ac:dyDescent="0.25">
      <c r="A24100" t="s">
        <v>16</v>
      </c>
      <c r="B24100" t="s">
        <v>3221</v>
      </c>
      <c r="C24100">
        <v>135</v>
      </c>
      <c r="D24100" t="s">
        <v>198</v>
      </c>
      <c r="E24100" t="s">
        <v>199</v>
      </c>
      <c r="F24100">
        <v>258.73</v>
      </c>
      <c r="G24100">
        <v>230105</v>
      </c>
      <c r="H24100">
        <v>4600</v>
      </c>
      <c r="I24100" t="s">
        <v>105</v>
      </c>
      <c r="J24100">
        <v>320.83</v>
      </c>
      <c r="K24100">
        <v>62.1</v>
      </c>
      <c r="L24100">
        <v>13802</v>
      </c>
      <c r="M24100" t="s">
        <v>200</v>
      </c>
      <c r="N24100" t="str">
        <f>"101980      "</f>
        <v xml:space="preserve">101980      </v>
      </c>
      <c r="O24100">
        <v>230112</v>
      </c>
    </row>
    <row r="24101" spans="1:15" x14ac:dyDescent="0.25">
      <c r="A24101" t="s">
        <v>16</v>
      </c>
      <c r="B24101" t="s">
        <v>3221</v>
      </c>
      <c r="C24101">
        <v>5906</v>
      </c>
      <c r="D24101" t="s">
        <v>198</v>
      </c>
      <c r="E24101" t="s">
        <v>199</v>
      </c>
      <c r="F24101">
        <v>372.9</v>
      </c>
      <c r="G24101">
        <v>230502</v>
      </c>
      <c r="H24101">
        <v>4600</v>
      </c>
      <c r="I24101" t="s">
        <v>105</v>
      </c>
      <c r="J24101">
        <v>462.4</v>
      </c>
      <c r="K24101">
        <v>89.5</v>
      </c>
      <c r="L24101">
        <v>13801</v>
      </c>
      <c r="M24101" t="s">
        <v>162</v>
      </c>
      <c r="N24101" t="str">
        <f>"30231038    "</f>
        <v xml:space="preserve">30231038    </v>
      </c>
      <c r="O24101">
        <v>230503</v>
      </c>
    </row>
    <row r="24102" spans="1:15" x14ac:dyDescent="0.25">
      <c r="A24102" t="s">
        <v>16</v>
      </c>
      <c r="B24102" t="s">
        <v>3221</v>
      </c>
      <c r="C24102">
        <v>7328</v>
      </c>
      <c r="D24102" t="s">
        <v>198</v>
      </c>
      <c r="E24102" t="s">
        <v>199</v>
      </c>
      <c r="F24102">
        <v>200</v>
      </c>
      <c r="G24102">
        <v>230525</v>
      </c>
      <c r="H24102">
        <v>4600</v>
      </c>
      <c r="I24102" t="s">
        <v>105</v>
      </c>
      <c r="J24102">
        <v>248</v>
      </c>
      <c r="K24102">
        <v>48</v>
      </c>
      <c r="L24102">
        <v>13801</v>
      </c>
      <c r="M24102" t="s">
        <v>162</v>
      </c>
      <c r="N24102" t="str">
        <f>"30231319    "</f>
        <v xml:space="preserve">30231319    </v>
      </c>
      <c r="O24102">
        <v>230529</v>
      </c>
    </row>
    <row r="24103" spans="1:15" x14ac:dyDescent="0.25">
      <c r="A24103" t="s">
        <v>16</v>
      </c>
      <c r="B24103" t="s">
        <v>3221</v>
      </c>
      <c r="C24103">
        <v>10568</v>
      </c>
      <c r="D24103" t="s">
        <v>198</v>
      </c>
      <c r="E24103" t="s">
        <v>199</v>
      </c>
      <c r="F24103">
        <v>18.75</v>
      </c>
      <c r="G24103">
        <v>230814</v>
      </c>
      <c r="H24103">
        <v>4600</v>
      </c>
      <c r="I24103" t="s">
        <v>105</v>
      </c>
      <c r="J24103">
        <v>23.25</v>
      </c>
      <c r="K24103">
        <v>4.5</v>
      </c>
      <c r="L24103">
        <v>17535</v>
      </c>
      <c r="M24103" t="s">
        <v>357</v>
      </c>
      <c r="N24103" t="str">
        <f>"30232088    "</f>
        <v xml:space="preserve">30232088    </v>
      </c>
      <c r="O24103">
        <v>230818</v>
      </c>
    </row>
    <row r="24104" spans="1:15" x14ac:dyDescent="0.25">
      <c r="A24104" t="s">
        <v>16</v>
      </c>
      <c r="B24104" t="s">
        <v>3221</v>
      </c>
      <c r="C24104">
        <v>16413</v>
      </c>
      <c r="D24104" t="s">
        <v>198</v>
      </c>
      <c r="E24104" t="s">
        <v>199</v>
      </c>
      <c r="F24104">
        <v>10.68</v>
      </c>
      <c r="G24104">
        <v>231119</v>
      </c>
      <c r="H24104">
        <v>4364</v>
      </c>
      <c r="I24104" t="s">
        <v>296</v>
      </c>
      <c r="J24104">
        <v>13.24</v>
      </c>
      <c r="K24104">
        <v>2.56</v>
      </c>
      <c r="L24104">
        <v>17535</v>
      </c>
      <c r="M24104" t="s">
        <v>357</v>
      </c>
      <c r="N24104" t="str">
        <f>"30233832    "</f>
        <v xml:space="preserve">30233832    </v>
      </c>
      <c r="O24104">
        <v>231129</v>
      </c>
    </row>
    <row r="24105" spans="1:15" x14ac:dyDescent="0.25">
      <c r="A24105" t="s">
        <v>16</v>
      </c>
      <c r="B24105" t="s">
        <v>3221</v>
      </c>
      <c r="C24105">
        <v>1556</v>
      </c>
      <c r="D24105" t="s">
        <v>198</v>
      </c>
      <c r="E24105" t="s">
        <v>199</v>
      </c>
      <c r="F24105">
        <v>34.68</v>
      </c>
      <c r="G24105">
        <v>230208</v>
      </c>
      <c r="H24105">
        <v>4500</v>
      </c>
      <c r="I24105" t="s">
        <v>212</v>
      </c>
      <c r="J24105">
        <v>43</v>
      </c>
      <c r="K24105">
        <v>8.32</v>
      </c>
      <c r="L24105">
        <v>13801</v>
      </c>
      <c r="M24105" t="s">
        <v>162</v>
      </c>
      <c r="N24105" t="str">
        <f>"102306      "</f>
        <v xml:space="preserve">102306      </v>
      </c>
      <c r="O24105">
        <v>230209</v>
      </c>
    </row>
    <row r="24106" spans="1:15" x14ac:dyDescent="0.25">
      <c r="A24106" t="s">
        <v>16</v>
      </c>
      <c r="B24106" t="s">
        <v>3221</v>
      </c>
      <c r="C24106">
        <v>3359</v>
      </c>
      <c r="D24106" t="s">
        <v>198</v>
      </c>
      <c r="E24106" t="s">
        <v>199</v>
      </c>
      <c r="F24106">
        <v>34.229999999999997</v>
      </c>
      <c r="G24106">
        <v>230313</v>
      </c>
      <c r="H24106">
        <v>4500</v>
      </c>
      <c r="I24106" t="s">
        <v>212</v>
      </c>
      <c r="J24106">
        <v>42.45</v>
      </c>
      <c r="K24106">
        <v>8.2200000000000006</v>
      </c>
      <c r="L24106">
        <v>13802</v>
      </c>
      <c r="M24106" t="s">
        <v>200</v>
      </c>
      <c r="N24106" t="str">
        <f>"3023282     "</f>
        <v xml:space="preserve">3023282     </v>
      </c>
      <c r="O24106">
        <v>230315</v>
      </c>
    </row>
    <row r="24107" spans="1:15" x14ac:dyDescent="0.25">
      <c r="A24107" t="s">
        <v>16</v>
      </c>
      <c r="B24107" t="s">
        <v>3221</v>
      </c>
      <c r="C24107">
        <v>4199</v>
      </c>
      <c r="D24107" t="s">
        <v>198</v>
      </c>
      <c r="E24107" t="s">
        <v>199</v>
      </c>
      <c r="F24107">
        <v>38.26</v>
      </c>
      <c r="G24107">
        <v>230329</v>
      </c>
      <c r="H24107">
        <v>4500</v>
      </c>
      <c r="I24107" t="s">
        <v>212</v>
      </c>
      <c r="J24107">
        <v>47.44</v>
      </c>
      <c r="K24107">
        <v>9.18</v>
      </c>
      <c r="L24107">
        <v>13801</v>
      </c>
      <c r="M24107" t="s">
        <v>162</v>
      </c>
      <c r="N24107" t="str">
        <f>"3023573     "</f>
        <v xml:space="preserve">3023573     </v>
      </c>
      <c r="O24107">
        <v>230331</v>
      </c>
    </row>
    <row r="24108" spans="1:15" x14ac:dyDescent="0.25">
      <c r="A24108" t="s">
        <v>16</v>
      </c>
      <c r="B24108" t="s">
        <v>3221</v>
      </c>
      <c r="C24108">
        <v>11828</v>
      </c>
      <c r="D24108" t="s">
        <v>198</v>
      </c>
      <c r="E24108" t="s">
        <v>199</v>
      </c>
      <c r="F24108">
        <v>59.43</v>
      </c>
      <c r="G24108">
        <v>230905</v>
      </c>
      <c r="H24108">
        <v>4500</v>
      </c>
      <c r="I24108" t="s">
        <v>212</v>
      </c>
      <c r="J24108">
        <v>73.69</v>
      </c>
      <c r="K24108">
        <v>14.26</v>
      </c>
      <c r="L24108">
        <v>13801</v>
      </c>
      <c r="M24108" t="s">
        <v>162</v>
      </c>
      <c r="N24108" t="str">
        <f>"30232458    "</f>
        <v xml:space="preserve">30232458    </v>
      </c>
      <c r="O24108">
        <v>230911</v>
      </c>
    </row>
    <row r="24109" spans="1:15" x14ac:dyDescent="0.25">
      <c r="A24109" t="s">
        <v>16</v>
      </c>
      <c r="B24109" t="s">
        <v>3221</v>
      </c>
      <c r="C24109">
        <v>11230</v>
      </c>
      <c r="D24109" t="s">
        <v>1746</v>
      </c>
      <c r="E24109" t="s">
        <v>1747</v>
      </c>
      <c r="F24109">
        <v>112</v>
      </c>
      <c r="G24109">
        <v>230829</v>
      </c>
      <c r="H24109">
        <v>4346</v>
      </c>
      <c r="I24109" t="s">
        <v>197</v>
      </c>
      <c r="J24109">
        <v>138.88</v>
      </c>
      <c r="K24109">
        <v>26.88</v>
      </c>
      <c r="L24109">
        <v>11201</v>
      </c>
      <c r="M24109" t="s">
        <v>305</v>
      </c>
      <c r="N24109" t="str">
        <f>"1311950     "</f>
        <v xml:space="preserve">1311950     </v>
      </c>
      <c r="O24109">
        <v>230901</v>
      </c>
    </row>
    <row r="24110" spans="1:15" x14ac:dyDescent="0.25">
      <c r="A24110" t="s">
        <v>16</v>
      </c>
      <c r="B24110" t="s">
        <v>3221</v>
      </c>
      <c r="C24110">
        <v>11500</v>
      </c>
      <c r="D24110" t="s">
        <v>1746</v>
      </c>
      <c r="E24110" t="s">
        <v>1747</v>
      </c>
      <c r="F24110">
        <v>43.33</v>
      </c>
      <c r="G24110">
        <v>230831</v>
      </c>
      <c r="H24110">
        <v>4362</v>
      </c>
      <c r="I24110" t="s">
        <v>79</v>
      </c>
      <c r="J24110">
        <v>53.73</v>
      </c>
      <c r="K24110">
        <v>10.4</v>
      </c>
      <c r="L24110">
        <v>11401</v>
      </c>
      <c r="M24110" t="s">
        <v>84</v>
      </c>
      <c r="N24110" t="str">
        <f>"1313217     "</f>
        <v xml:space="preserve">1313217     </v>
      </c>
      <c r="O24110">
        <v>230907</v>
      </c>
    </row>
    <row r="24111" spans="1:15" x14ac:dyDescent="0.25">
      <c r="A24111" t="s">
        <v>16</v>
      </c>
      <c r="B24111" t="s">
        <v>3221</v>
      </c>
      <c r="C24111">
        <v>4755</v>
      </c>
      <c r="D24111" t="s">
        <v>1746</v>
      </c>
      <c r="E24111" t="s">
        <v>1747</v>
      </c>
      <c r="F24111">
        <v>33.200000000000003</v>
      </c>
      <c r="G24111">
        <v>230405</v>
      </c>
      <c r="H24111">
        <v>4600</v>
      </c>
      <c r="I24111" t="s">
        <v>105</v>
      </c>
      <c r="J24111">
        <v>41.17</v>
      </c>
      <c r="K24111">
        <v>7.97</v>
      </c>
      <c r="L24111">
        <v>17809</v>
      </c>
      <c r="M24111" t="s">
        <v>376</v>
      </c>
      <c r="N24111" t="str">
        <f>"1253790     "</f>
        <v xml:space="preserve">1253790     </v>
      </c>
      <c r="O24111">
        <v>230412</v>
      </c>
    </row>
    <row r="24112" spans="1:15" x14ac:dyDescent="0.25">
      <c r="A24112" t="s">
        <v>16</v>
      </c>
      <c r="B24112" t="s">
        <v>3221</v>
      </c>
      <c r="C24112">
        <v>4855</v>
      </c>
      <c r="D24112" t="s">
        <v>1746</v>
      </c>
      <c r="E24112" t="s">
        <v>1747</v>
      </c>
      <c r="F24112">
        <v>66.400000000000006</v>
      </c>
      <c r="G24112">
        <v>230407</v>
      </c>
      <c r="H24112">
        <v>4600</v>
      </c>
      <c r="I24112" t="s">
        <v>105</v>
      </c>
      <c r="J24112">
        <v>82.34</v>
      </c>
      <c r="K24112">
        <v>15.94</v>
      </c>
      <c r="L24112">
        <v>17527</v>
      </c>
      <c r="M24112" t="s">
        <v>422</v>
      </c>
      <c r="N24112" t="str">
        <f>"1254633     "</f>
        <v xml:space="preserve">1254633     </v>
      </c>
      <c r="O24112">
        <v>230413</v>
      </c>
    </row>
    <row r="24113" spans="1:15" x14ac:dyDescent="0.25">
      <c r="A24113" t="s">
        <v>16</v>
      </c>
      <c r="B24113" t="s">
        <v>3221</v>
      </c>
      <c r="C24113">
        <v>12508</v>
      </c>
      <c r="D24113" t="s">
        <v>1746</v>
      </c>
      <c r="E24113" t="s">
        <v>1747</v>
      </c>
      <c r="F24113">
        <v>36.200000000000003</v>
      </c>
      <c r="G24113">
        <v>230919</v>
      </c>
      <c r="H24113">
        <v>4600</v>
      </c>
      <c r="I24113" t="s">
        <v>105</v>
      </c>
      <c r="J24113">
        <v>44.89</v>
      </c>
      <c r="K24113">
        <v>8.69</v>
      </c>
      <c r="L24113">
        <v>17806</v>
      </c>
      <c r="M24113" t="s">
        <v>265</v>
      </c>
      <c r="N24113" t="str">
        <f>"1322248     "</f>
        <v xml:space="preserve">1322248     </v>
      </c>
      <c r="O24113">
        <v>230920</v>
      </c>
    </row>
    <row r="24114" spans="1:15" x14ac:dyDescent="0.25">
      <c r="A24114" t="s">
        <v>16</v>
      </c>
      <c r="B24114" t="s">
        <v>3221</v>
      </c>
      <c r="C24114">
        <v>14190</v>
      </c>
      <c r="D24114" t="s">
        <v>1746</v>
      </c>
      <c r="E24114" t="s">
        <v>1747</v>
      </c>
      <c r="F24114">
        <v>36.200000000000003</v>
      </c>
      <c r="G24114">
        <v>231004</v>
      </c>
      <c r="H24114">
        <v>4600</v>
      </c>
      <c r="I24114" t="s">
        <v>105</v>
      </c>
      <c r="J24114">
        <v>44.89</v>
      </c>
      <c r="K24114">
        <v>8.69</v>
      </c>
      <c r="L24114">
        <v>17809</v>
      </c>
      <c r="M24114" t="s">
        <v>376</v>
      </c>
      <c r="N24114" t="str">
        <f>"1329151     "</f>
        <v xml:space="preserve">1329151     </v>
      </c>
      <c r="O24114">
        <v>231023</v>
      </c>
    </row>
    <row r="24115" spans="1:15" x14ac:dyDescent="0.25">
      <c r="A24115" t="s">
        <v>16</v>
      </c>
      <c r="B24115" t="s">
        <v>3221</v>
      </c>
      <c r="C24115">
        <v>14285</v>
      </c>
      <c r="D24115" t="s">
        <v>1746</v>
      </c>
      <c r="E24115" t="s">
        <v>1747</v>
      </c>
      <c r="F24115">
        <v>181.2</v>
      </c>
      <c r="G24115">
        <v>231017</v>
      </c>
      <c r="H24115">
        <v>4600</v>
      </c>
      <c r="I24115" t="s">
        <v>105</v>
      </c>
      <c r="J24115">
        <v>224.69</v>
      </c>
      <c r="K24115">
        <v>43.49</v>
      </c>
      <c r="L24115">
        <v>17807</v>
      </c>
      <c r="M24115" t="s">
        <v>318</v>
      </c>
      <c r="N24115" t="str">
        <f>"1335445     "</f>
        <v xml:space="preserve">1335445     </v>
      </c>
      <c r="O24115">
        <v>231025</v>
      </c>
    </row>
    <row r="24116" spans="1:15" x14ac:dyDescent="0.25">
      <c r="A24116" t="s">
        <v>16</v>
      </c>
      <c r="B24116" t="s">
        <v>3221</v>
      </c>
      <c r="C24116">
        <v>14398</v>
      </c>
      <c r="D24116" t="s">
        <v>1746</v>
      </c>
      <c r="E24116" t="s">
        <v>1747</v>
      </c>
      <c r="F24116">
        <v>36.200000000000003</v>
      </c>
      <c r="G24116">
        <v>231020</v>
      </c>
      <c r="H24116">
        <v>4600</v>
      </c>
      <c r="I24116" t="s">
        <v>105</v>
      </c>
      <c r="J24116">
        <v>44.89</v>
      </c>
      <c r="K24116">
        <v>8.69</v>
      </c>
      <c r="L24116">
        <v>17807</v>
      </c>
      <c r="M24116" t="s">
        <v>318</v>
      </c>
      <c r="N24116" t="str">
        <f>"1336452     "</f>
        <v xml:space="preserve">1336452     </v>
      </c>
      <c r="O24116">
        <v>231030</v>
      </c>
    </row>
    <row r="24117" spans="1:15" x14ac:dyDescent="0.25">
      <c r="A24117" t="s">
        <v>16</v>
      </c>
      <c r="B24117" t="s">
        <v>3221</v>
      </c>
      <c r="C24117">
        <v>14928</v>
      </c>
      <c r="D24117" t="s">
        <v>1746</v>
      </c>
      <c r="E24117" t="s">
        <v>1747</v>
      </c>
      <c r="F24117">
        <v>94.2</v>
      </c>
      <c r="G24117">
        <v>231031</v>
      </c>
      <c r="H24117">
        <v>4600</v>
      </c>
      <c r="I24117" t="s">
        <v>105</v>
      </c>
      <c r="J24117">
        <v>116.81</v>
      </c>
      <c r="K24117">
        <v>22.61</v>
      </c>
      <c r="L24117">
        <v>17807</v>
      </c>
      <c r="M24117" t="s">
        <v>318</v>
      </c>
      <c r="N24117" t="str">
        <f>"1342060     "</f>
        <v xml:space="preserve">1342060     </v>
      </c>
      <c r="O24117">
        <v>231107</v>
      </c>
    </row>
    <row r="24118" spans="1:15" x14ac:dyDescent="0.25">
      <c r="A24118" t="s">
        <v>16</v>
      </c>
      <c r="B24118" t="s">
        <v>3221</v>
      </c>
      <c r="C24118">
        <v>14958</v>
      </c>
      <c r="D24118" t="s">
        <v>1746</v>
      </c>
      <c r="E24118" t="s">
        <v>1747</v>
      </c>
      <c r="F24118">
        <v>36.200000000000003</v>
      </c>
      <c r="G24118">
        <v>231101</v>
      </c>
      <c r="H24118">
        <v>4600</v>
      </c>
      <c r="I24118" t="s">
        <v>105</v>
      </c>
      <c r="J24118">
        <v>44.89</v>
      </c>
      <c r="K24118">
        <v>8.69</v>
      </c>
      <c r="L24118">
        <v>17809</v>
      </c>
      <c r="M24118" t="s">
        <v>376</v>
      </c>
      <c r="N24118" t="str">
        <f>"1342496     "</f>
        <v xml:space="preserve">1342496     </v>
      </c>
      <c r="O24118">
        <v>231107</v>
      </c>
    </row>
    <row r="24119" spans="1:15" x14ac:dyDescent="0.25">
      <c r="A24119" t="s">
        <v>16</v>
      </c>
      <c r="B24119" t="s">
        <v>3221</v>
      </c>
      <c r="C24119">
        <v>16427</v>
      </c>
      <c r="D24119" t="s">
        <v>1746</v>
      </c>
      <c r="E24119" t="s">
        <v>1747</v>
      </c>
      <c r="F24119">
        <v>36.200000000000003</v>
      </c>
      <c r="G24119">
        <v>231124</v>
      </c>
      <c r="H24119">
        <v>4600</v>
      </c>
      <c r="I24119" t="s">
        <v>105</v>
      </c>
      <c r="J24119">
        <v>44.89</v>
      </c>
      <c r="K24119">
        <v>8.69</v>
      </c>
      <c r="L24119">
        <v>56560</v>
      </c>
      <c r="M24119" t="s">
        <v>654</v>
      </c>
      <c r="N24119" t="str">
        <f>"1351625     "</f>
        <v xml:space="preserve">1351625     </v>
      </c>
      <c r="O24119">
        <v>231129</v>
      </c>
    </row>
    <row r="24120" spans="1:15" x14ac:dyDescent="0.25">
      <c r="A24120" t="s">
        <v>16</v>
      </c>
      <c r="B24120" t="s">
        <v>3221</v>
      </c>
      <c r="C24120">
        <v>16460</v>
      </c>
      <c r="D24120" t="s">
        <v>1746</v>
      </c>
      <c r="E24120" t="s">
        <v>1747</v>
      </c>
      <c r="F24120">
        <v>36.200000000000003</v>
      </c>
      <c r="G24120">
        <v>231128</v>
      </c>
      <c r="H24120">
        <v>4600</v>
      </c>
      <c r="I24120" t="s">
        <v>105</v>
      </c>
      <c r="J24120">
        <v>44.89</v>
      </c>
      <c r="K24120">
        <v>8.69</v>
      </c>
      <c r="L24120">
        <v>17807</v>
      </c>
      <c r="M24120" t="s">
        <v>318</v>
      </c>
      <c r="N24120" t="str">
        <f>"1352933     "</f>
        <v xml:space="preserve">1352933     </v>
      </c>
      <c r="O24120">
        <v>231129</v>
      </c>
    </row>
    <row r="24121" spans="1:15" x14ac:dyDescent="0.25">
      <c r="A24121" t="s">
        <v>16</v>
      </c>
      <c r="B24121" t="s">
        <v>3221</v>
      </c>
      <c r="C24121">
        <v>17554</v>
      </c>
      <c r="D24121" t="s">
        <v>1746</v>
      </c>
      <c r="E24121" t="s">
        <v>1747</v>
      </c>
      <c r="F24121">
        <v>36.200000000000003</v>
      </c>
      <c r="G24121">
        <v>231213</v>
      </c>
      <c r="H24121">
        <v>4600</v>
      </c>
      <c r="I24121" t="s">
        <v>105</v>
      </c>
      <c r="J24121">
        <v>44.89</v>
      </c>
      <c r="K24121">
        <v>8.69</v>
      </c>
      <c r="L24121">
        <v>17809</v>
      </c>
      <c r="M24121" t="s">
        <v>376</v>
      </c>
      <c r="N24121" t="str">
        <f>"1358323     "</f>
        <v xml:space="preserve">1358323     </v>
      </c>
      <c r="O24121">
        <v>231215</v>
      </c>
    </row>
    <row r="24122" spans="1:15" x14ac:dyDescent="0.25">
      <c r="A24122" t="s">
        <v>16</v>
      </c>
      <c r="B24122" t="s">
        <v>3221</v>
      </c>
      <c r="C24122">
        <v>11863</v>
      </c>
      <c r="D24122" t="s">
        <v>1746</v>
      </c>
      <c r="E24122" t="s">
        <v>1747</v>
      </c>
      <c r="F24122">
        <v>65.2</v>
      </c>
      <c r="G24122">
        <v>230907</v>
      </c>
      <c r="H24122">
        <v>4470</v>
      </c>
      <c r="I24122" t="s">
        <v>83</v>
      </c>
      <c r="J24122">
        <v>80.849999999999994</v>
      </c>
      <c r="K24122">
        <v>15.65</v>
      </c>
      <c r="L24122">
        <v>66722</v>
      </c>
      <c r="M24122" t="s">
        <v>518</v>
      </c>
      <c r="N24122" t="str">
        <f>"1316541     "</f>
        <v xml:space="preserve">1316541     </v>
      </c>
      <c r="O24122">
        <v>230911</v>
      </c>
    </row>
    <row r="24123" spans="1:15" x14ac:dyDescent="0.25">
      <c r="A24123" t="s">
        <v>16</v>
      </c>
      <c r="B24123" t="s">
        <v>3221</v>
      </c>
      <c r="C24123">
        <v>10609</v>
      </c>
      <c r="D24123" t="s">
        <v>1746</v>
      </c>
      <c r="E24123" t="s">
        <v>1747</v>
      </c>
      <c r="F24123">
        <v>65.2</v>
      </c>
      <c r="G24123">
        <v>230816</v>
      </c>
      <c r="H24123">
        <v>4440</v>
      </c>
      <c r="I24123" t="s">
        <v>250</v>
      </c>
      <c r="J24123">
        <v>80.849999999999994</v>
      </c>
      <c r="K24123">
        <v>15.65</v>
      </c>
      <c r="L24123">
        <v>17806</v>
      </c>
      <c r="M24123" t="s">
        <v>265</v>
      </c>
      <c r="N24123" t="str">
        <f>"1307545     "</f>
        <v xml:space="preserve">1307545     </v>
      </c>
      <c r="O24123">
        <v>230818</v>
      </c>
    </row>
    <row r="24124" spans="1:15" x14ac:dyDescent="0.25">
      <c r="A24124" t="s">
        <v>16</v>
      </c>
      <c r="B24124" t="s">
        <v>3221</v>
      </c>
      <c r="C24124">
        <v>1296</v>
      </c>
      <c r="D24124" t="s">
        <v>985</v>
      </c>
      <c r="E24124" t="s">
        <v>986</v>
      </c>
      <c r="F24124">
        <v>311.79000000000002</v>
      </c>
      <c r="G24124">
        <v>230202</v>
      </c>
      <c r="H24124">
        <v>4572</v>
      </c>
      <c r="I24124" t="s">
        <v>122</v>
      </c>
      <c r="J24124">
        <v>386.62</v>
      </c>
      <c r="K24124">
        <v>74.83</v>
      </c>
      <c r="L24124">
        <v>13841</v>
      </c>
      <c r="M24124" t="s">
        <v>47</v>
      </c>
      <c r="N24124" t="str">
        <f>"400234834   "</f>
        <v xml:space="preserve">400234834   </v>
      </c>
      <c r="O24124">
        <v>230207</v>
      </c>
    </row>
    <row r="24125" spans="1:15" x14ac:dyDescent="0.25">
      <c r="A24125" t="s">
        <v>16</v>
      </c>
      <c r="B24125" t="s">
        <v>3221</v>
      </c>
      <c r="C24125">
        <v>3043</v>
      </c>
      <c r="D24125" t="s">
        <v>985</v>
      </c>
      <c r="E24125" t="s">
        <v>986</v>
      </c>
      <c r="F24125">
        <v>193.5</v>
      </c>
      <c r="G24125">
        <v>230302</v>
      </c>
      <c r="H24125">
        <v>4572</v>
      </c>
      <c r="I24125" t="s">
        <v>122</v>
      </c>
      <c r="J24125">
        <v>239.94</v>
      </c>
      <c r="K24125">
        <v>46.44</v>
      </c>
      <c r="L24125">
        <v>13841</v>
      </c>
      <c r="M24125" t="s">
        <v>47</v>
      </c>
      <c r="N24125" t="str">
        <f>"400239501   "</f>
        <v xml:space="preserve">400239501   </v>
      </c>
      <c r="O24125">
        <v>230308</v>
      </c>
    </row>
    <row r="24126" spans="1:15" x14ac:dyDescent="0.25">
      <c r="A24126" t="s">
        <v>16</v>
      </c>
      <c r="B24126" t="s">
        <v>3221</v>
      </c>
      <c r="C24126">
        <v>3044</v>
      </c>
      <c r="D24126" t="s">
        <v>985</v>
      </c>
      <c r="E24126" t="s">
        <v>986</v>
      </c>
      <c r="F24126">
        <v>301.57</v>
      </c>
      <c r="G24126">
        <v>230302</v>
      </c>
      <c r="H24126">
        <v>4572</v>
      </c>
      <c r="I24126" t="s">
        <v>122</v>
      </c>
      <c r="J24126">
        <v>373.95</v>
      </c>
      <c r="K24126">
        <v>72.38</v>
      </c>
      <c r="L24126">
        <v>13841</v>
      </c>
      <c r="M24126" t="s">
        <v>47</v>
      </c>
      <c r="N24126" t="str">
        <f>"400243918   "</f>
        <v xml:space="preserve">400243918   </v>
      </c>
      <c r="O24126">
        <v>230308</v>
      </c>
    </row>
    <row r="24127" spans="1:15" x14ac:dyDescent="0.25">
      <c r="A24127" t="s">
        <v>16</v>
      </c>
      <c r="B24127" t="s">
        <v>3221</v>
      </c>
      <c r="C24127">
        <v>4682</v>
      </c>
      <c r="D24127" t="s">
        <v>985</v>
      </c>
      <c r="E24127" t="s">
        <v>986</v>
      </c>
      <c r="F24127">
        <v>342.91</v>
      </c>
      <c r="G24127">
        <v>230406</v>
      </c>
      <c r="H24127">
        <v>4572</v>
      </c>
      <c r="I24127" t="s">
        <v>122</v>
      </c>
      <c r="J24127">
        <v>425.21</v>
      </c>
      <c r="K24127">
        <v>82.3</v>
      </c>
      <c r="L24127">
        <v>13841</v>
      </c>
      <c r="M24127" t="s">
        <v>47</v>
      </c>
      <c r="N24127" t="str">
        <f>"400259497   "</f>
        <v xml:space="preserve">400259497   </v>
      </c>
      <c r="O24127">
        <v>230411</v>
      </c>
    </row>
    <row r="24128" spans="1:15" x14ac:dyDescent="0.25">
      <c r="A24128" t="s">
        <v>16</v>
      </c>
      <c r="B24128" t="s">
        <v>3221</v>
      </c>
      <c r="C24128">
        <v>5992</v>
      </c>
      <c r="D24128" t="s">
        <v>985</v>
      </c>
      <c r="E24128" t="s">
        <v>986</v>
      </c>
      <c r="F24128">
        <v>242.49</v>
      </c>
      <c r="G24128">
        <v>230503</v>
      </c>
      <c r="H24128">
        <v>4572</v>
      </c>
      <c r="I24128" t="s">
        <v>122</v>
      </c>
      <c r="J24128">
        <v>300.69</v>
      </c>
      <c r="K24128">
        <v>58.2</v>
      </c>
      <c r="L24128">
        <v>13841</v>
      </c>
      <c r="M24128" t="s">
        <v>47</v>
      </c>
      <c r="N24128" t="str">
        <f>"400271531   "</f>
        <v xml:space="preserve">400271531   </v>
      </c>
      <c r="O24128">
        <v>230505</v>
      </c>
    </row>
    <row r="24129" spans="1:15" x14ac:dyDescent="0.25">
      <c r="A24129" t="s">
        <v>16</v>
      </c>
      <c r="B24129" t="s">
        <v>3221</v>
      </c>
      <c r="C24129">
        <v>5994</v>
      </c>
      <c r="D24129" t="s">
        <v>985</v>
      </c>
      <c r="E24129" t="s">
        <v>986</v>
      </c>
      <c r="F24129">
        <v>222.92</v>
      </c>
      <c r="G24129">
        <v>230503</v>
      </c>
      <c r="H24129">
        <v>4572</v>
      </c>
      <c r="I24129" t="s">
        <v>122</v>
      </c>
      <c r="J24129">
        <v>276.42</v>
      </c>
      <c r="K24129">
        <v>53.5</v>
      </c>
      <c r="L24129">
        <v>13841</v>
      </c>
      <c r="M24129" t="s">
        <v>47</v>
      </c>
      <c r="N24129" t="str">
        <f>"400275395   "</f>
        <v xml:space="preserve">400275395   </v>
      </c>
      <c r="O24129">
        <v>230505</v>
      </c>
    </row>
    <row r="24130" spans="1:15" x14ac:dyDescent="0.25">
      <c r="A24130" t="s">
        <v>16</v>
      </c>
      <c r="B24130" t="s">
        <v>3221</v>
      </c>
      <c r="C24130">
        <v>8148</v>
      </c>
      <c r="D24130" t="s">
        <v>985</v>
      </c>
      <c r="E24130" t="s">
        <v>986</v>
      </c>
      <c r="F24130">
        <v>160.08000000000001</v>
      </c>
      <c r="G24130">
        <v>230602</v>
      </c>
      <c r="H24130">
        <v>4572</v>
      </c>
      <c r="I24130" t="s">
        <v>122</v>
      </c>
      <c r="J24130">
        <v>198.5</v>
      </c>
      <c r="K24130">
        <v>38.42</v>
      </c>
      <c r="L24130">
        <v>13841</v>
      </c>
      <c r="M24130" t="s">
        <v>47</v>
      </c>
      <c r="N24130" t="str">
        <f>"400284518   "</f>
        <v xml:space="preserve">400284518   </v>
      </c>
      <c r="O24130">
        <v>230607</v>
      </c>
    </row>
    <row r="24131" spans="1:15" x14ac:dyDescent="0.25">
      <c r="A24131" t="s">
        <v>16</v>
      </c>
      <c r="B24131" t="s">
        <v>3221</v>
      </c>
      <c r="C24131">
        <v>9558</v>
      </c>
      <c r="D24131" t="s">
        <v>985</v>
      </c>
      <c r="E24131" t="s">
        <v>986</v>
      </c>
      <c r="F24131">
        <v>153.02000000000001</v>
      </c>
      <c r="G24131">
        <v>230704</v>
      </c>
      <c r="H24131">
        <v>4572</v>
      </c>
      <c r="I24131" t="s">
        <v>122</v>
      </c>
      <c r="J24131">
        <v>189.74</v>
      </c>
      <c r="K24131">
        <v>36.72</v>
      </c>
      <c r="L24131">
        <v>13841</v>
      </c>
      <c r="M24131" t="s">
        <v>47</v>
      </c>
      <c r="N24131" t="str">
        <f>"400293688   "</f>
        <v xml:space="preserve">400293688   </v>
      </c>
      <c r="O24131">
        <v>230717</v>
      </c>
    </row>
    <row r="24132" spans="1:15" x14ac:dyDescent="0.25">
      <c r="A24132" t="s">
        <v>16</v>
      </c>
      <c r="B24132" t="s">
        <v>3221</v>
      </c>
      <c r="C24132">
        <v>9571</v>
      </c>
      <c r="D24132" t="s">
        <v>985</v>
      </c>
      <c r="E24132" t="s">
        <v>986</v>
      </c>
      <c r="F24132">
        <v>150.29</v>
      </c>
      <c r="G24132">
        <v>230704</v>
      </c>
      <c r="H24132">
        <v>4572</v>
      </c>
      <c r="I24132" t="s">
        <v>122</v>
      </c>
      <c r="J24132">
        <v>186.36</v>
      </c>
      <c r="K24132">
        <v>36.07</v>
      </c>
      <c r="L24132">
        <v>13841</v>
      </c>
      <c r="M24132" t="s">
        <v>47</v>
      </c>
      <c r="N24132" t="str">
        <f>"400295097   "</f>
        <v xml:space="preserve">400295097   </v>
      </c>
      <c r="O24132">
        <v>230717</v>
      </c>
    </row>
    <row r="24133" spans="1:15" x14ac:dyDescent="0.25">
      <c r="A24133" t="s">
        <v>16</v>
      </c>
      <c r="B24133" t="s">
        <v>3221</v>
      </c>
      <c r="C24133">
        <v>10086</v>
      </c>
      <c r="D24133" t="s">
        <v>985</v>
      </c>
      <c r="E24133" t="s">
        <v>986</v>
      </c>
      <c r="F24133">
        <v>148.19999999999999</v>
      </c>
      <c r="G24133">
        <v>230802</v>
      </c>
      <c r="H24133">
        <v>4572</v>
      </c>
      <c r="I24133" t="s">
        <v>122</v>
      </c>
      <c r="J24133">
        <v>183.77</v>
      </c>
      <c r="K24133">
        <v>35.57</v>
      </c>
      <c r="L24133">
        <v>13841</v>
      </c>
      <c r="M24133" t="s">
        <v>47</v>
      </c>
      <c r="N24133" t="str">
        <f>"400306433   "</f>
        <v xml:space="preserve">400306433   </v>
      </c>
      <c r="O24133">
        <v>230808</v>
      </c>
    </row>
    <row r="24134" spans="1:15" x14ac:dyDescent="0.25">
      <c r="A24134" t="s">
        <v>16</v>
      </c>
      <c r="B24134" t="s">
        <v>3221</v>
      </c>
      <c r="C24134">
        <v>11712</v>
      </c>
      <c r="D24134" t="s">
        <v>985</v>
      </c>
      <c r="E24134" t="s">
        <v>986</v>
      </c>
      <c r="F24134">
        <v>119.85</v>
      </c>
      <c r="G24134">
        <v>230904</v>
      </c>
      <c r="H24134">
        <v>4572</v>
      </c>
      <c r="I24134" t="s">
        <v>122</v>
      </c>
      <c r="J24134">
        <v>148.62</v>
      </c>
      <c r="K24134">
        <v>28.77</v>
      </c>
      <c r="L24134">
        <v>13841</v>
      </c>
      <c r="M24134" t="s">
        <v>47</v>
      </c>
      <c r="N24134" t="str">
        <f>"400313444   "</f>
        <v xml:space="preserve">400313444   </v>
      </c>
      <c r="O24134">
        <v>230908</v>
      </c>
    </row>
    <row r="24135" spans="1:15" x14ac:dyDescent="0.25">
      <c r="A24135" t="s">
        <v>16</v>
      </c>
      <c r="B24135" t="s">
        <v>3221</v>
      </c>
      <c r="C24135">
        <v>11715</v>
      </c>
      <c r="D24135" t="s">
        <v>985</v>
      </c>
      <c r="E24135" t="s">
        <v>986</v>
      </c>
      <c r="F24135">
        <v>162.86000000000001</v>
      </c>
      <c r="G24135">
        <v>230904</v>
      </c>
      <c r="H24135">
        <v>4572</v>
      </c>
      <c r="I24135" t="s">
        <v>122</v>
      </c>
      <c r="J24135">
        <v>201.95</v>
      </c>
      <c r="K24135">
        <v>39.090000000000003</v>
      </c>
      <c r="L24135">
        <v>13841</v>
      </c>
      <c r="M24135" t="s">
        <v>47</v>
      </c>
      <c r="N24135" t="str">
        <f>"400318414   "</f>
        <v xml:space="preserve">400318414   </v>
      </c>
      <c r="O24135">
        <v>230908</v>
      </c>
    </row>
    <row r="24136" spans="1:15" x14ac:dyDescent="0.25">
      <c r="A24136" t="s">
        <v>16</v>
      </c>
      <c r="B24136" t="s">
        <v>3221</v>
      </c>
      <c r="C24136">
        <v>14067</v>
      </c>
      <c r="D24136" t="s">
        <v>985</v>
      </c>
      <c r="E24136" t="s">
        <v>986</v>
      </c>
      <c r="F24136">
        <v>181.3</v>
      </c>
      <c r="G24136">
        <v>231003</v>
      </c>
      <c r="H24136">
        <v>4572</v>
      </c>
      <c r="I24136" t="s">
        <v>122</v>
      </c>
      <c r="J24136">
        <v>224.81</v>
      </c>
      <c r="K24136">
        <v>43.51</v>
      </c>
      <c r="L24136">
        <v>13841</v>
      </c>
      <c r="M24136" t="s">
        <v>47</v>
      </c>
      <c r="N24136" t="str">
        <f>"400331273   "</f>
        <v xml:space="preserve">400331273   </v>
      </c>
      <c r="O24136">
        <v>231018</v>
      </c>
    </row>
    <row r="24137" spans="1:15" x14ac:dyDescent="0.25">
      <c r="A24137" t="s">
        <v>16</v>
      </c>
      <c r="B24137" t="s">
        <v>3221</v>
      </c>
      <c r="C24137">
        <v>15112</v>
      </c>
      <c r="D24137" t="s">
        <v>985</v>
      </c>
      <c r="E24137" t="s">
        <v>986</v>
      </c>
      <c r="F24137">
        <v>119.92</v>
      </c>
      <c r="G24137">
        <v>231102</v>
      </c>
      <c r="H24137">
        <v>4572</v>
      </c>
      <c r="I24137" t="s">
        <v>122</v>
      </c>
      <c r="J24137">
        <v>148.69999999999999</v>
      </c>
      <c r="K24137">
        <v>28.78</v>
      </c>
      <c r="L24137">
        <v>13841</v>
      </c>
      <c r="M24137" t="s">
        <v>47</v>
      </c>
      <c r="N24137" t="str">
        <f>"400340975   "</f>
        <v xml:space="preserve">400340975   </v>
      </c>
      <c r="O24137">
        <v>231108</v>
      </c>
    </row>
    <row r="24138" spans="1:15" x14ac:dyDescent="0.25">
      <c r="A24138" t="s">
        <v>16</v>
      </c>
      <c r="B24138" t="s">
        <v>3221</v>
      </c>
      <c r="C24138">
        <v>15119</v>
      </c>
      <c r="D24138" t="s">
        <v>985</v>
      </c>
      <c r="E24138" t="s">
        <v>986</v>
      </c>
      <c r="F24138">
        <v>274.31</v>
      </c>
      <c r="G24138">
        <v>231102</v>
      </c>
      <c r="H24138">
        <v>4572</v>
      </c>
      <c r="I24138" t="s">
        <v>122</v>
      </c>
      <c r="J24138">
        <v>340.14</v>
      </c>
      <c r="K24138">
        <v>65.83</v>
      </c>
      <c r="L24138">
        <v>13841</v>
      </c>
      <c r="M24138" t="s">
        <v>47</v>
      </c>
      <c r="N24138" t="str">
        <f>"400343345   "</f>
        <v xml:space="preserve">400343345   </v>
      </c>
      <c r="O24138">
        <v>231108</v>
      </c>
    </row>
    <row r="24139" spans="1:15" x14ac:dyDescent="0.25">
      <c r="A24139" t="s">
        <v>16</v>
      </c>
      <c r="B24139" t="s">
        <v>3221</v>
      </c>
      <c r="C24139">
        <v>17375</v>
      </c>
      <c r="D24139" t="s">
        <v>985</v>
      </c>
      <c r="E24139" t="s">
        <v>986</v>
      </c>
      <c r="F24139">
        <v>364.34</v>
      </c>
      <c r="G24139">
        <v>231204</v>
      </c>
      <c r="H24139">
        <v>4572</v>
      </c>
      <c r="I24139" t="s">
        <v>122</v>
      </c>
      <c r="J24139">
        <v>451.78</v>
      </c>
      <c r="K24139">
        <v>87.44</v>
      </c>
      <c r="L24139">
        <v>13841</v>
      </c>
      <c r="M24139" t="s">
        <v>47</v>
      </c>
      <c r="N24139" t="str">
        <f>"400352098   "</f>
        <v xml:space="preserve">400352098   </v>
      </c>
      <c r="O24139">
        <v>231213</v>
      </c>
    </row>
    <row r="24140" spans="1:15" x14ac:dyDescent="0.25">
      <c r="A24140" t="s">
        <v>16</v>
      </c>
      <c r="B24140" t="s">
        <v>3221</v>
      </c>
      <c r="C24140">
        <v>18627</v>
      </c>
      <c r="D24140" t="s">
        <v>985</v>
      </c>
      <c r="E24140" t="s">
        <v>986</v>
      </c>
      <c r="F24140">
        <v>229.31</v>
      </c>
      <c r="G24140">
        <v>240103</v>
      </c>
      <c r="H24140">
        <v>4572</v>
      </c>
      <c r="I24140" t="s">
        <v>122</v>
      </c>
      <c r="J24140">
        <v>284.33999999999997</v>
      </c>
      <c r="K24140">
        <v>55.03</v>
      </c>
      <c r="L24140">
        <v>13841</v>
      </c>
      <c r="M24140" t="s">
        <v>47</v>
      </c>
      <c r="N24140" t="str">
        <f>"400362049   "</f>
        <v xml:space="preserve">400362049   </v>
      </c>
      <c r="O24140">
        <v>240104</v>
      </c>
    </row>
    <row r="24141" spans="1:15" x14ac:dyDescent="0.25">
      <c r="A24141" t="s">
        <v>16</v>
      </c>
      <c r="B24141" t="s">
        <v>3221</v>
      </c>
      <c r="C24141">
        <v>18631</v>
      </c>
      <c r="D24141" t="s">
        <v>985</v>
      </c>
      <c r="E24141" t="s">
        <v>986</v>
      </c>
      <c r="F24141">
        <v>283.39</v>
      </c>
      <c r="G24141">
        <v>240103</v>
      </c>
      <c r="H24141">
        <v>4572</v>
      </c>
      <c r="I24141" t="s">
        <v>122</v>
      </c>
      <c r="J24141">
        <v>351.4</v>
      </c>
      <c r="K24141">
        <v>68.010000000000005</v>
      </c>
      <c r="L24141">
        <v>13841</v>
      </c>
      <c r="M24141" t="s">
        <v>47</v>
      </c>
      <c r="N24141" t="str">
        <f>"400369955   "</f>
        <v xml:space="preserve">400369955   </v>
      </c>
      <c r="O24141">
        <v>240104</v>
      </c>
    </row>
    <row r="24142" spans="1:15" x14ac:dyDescent="0.25">
      <c r="A24142" t="s">
        <v>16</v>
      </c>
      <c r="B24142" t="s">
        <v>3221</v>
      </c>
      <c r="C24142">
        <v>1429</v>
      </c>
      <c r="D24142" t="s">
        <v>1037</v>
      </c>
      <c r="E24142" t="s">
        <v>1038</v>
      </c>
      <c r="F24142">
        <v>408.83</v>
      </c>
      <c r="G24142">
        <v>230203</v>
      </c>
      <c r="H24142">
        <v>4600</v>
      </c>
      <c r="I24142" t="s">
        <v>105</v>
      </c>
      <c r="J24142">
        <v>506.95</v>
      </c>
      <c r="K24142">
        <v>98.12</v>
      </c>
      <c r="L24142">
        <v>54222</v>
      </c>
      <c r="M24142" t="s">
        <v>308</v>
      </c>
      <c r="N24142" t="str">
        <f>"885376      "</f>
        <v xml:space="preserve">885376      </v>
      </c>
      <c r="O24142">
        <v>230208</v>
      </c>
    </row>
    <row r="24143" spans="1:15" x14ac:dyDescent="0.25">
      <c r="A24143" t="s">
        <v>16</v>
      </c>
      <c r="B24143" t="s">
        <v>3221</v>
      </c>
      <c r="C24143">
        <v>1429</v>
      </c>
      <c r="D24143" t="s">
        <v>1037</v>
      </c>
      <c r="E24143" t="s">
        <v>1038</v>
      </c>
      <c r="F24143">
        <v>408.83</v>
      </c>
      <c r="G24143">
        <v>230203</v>
      </c>
      <c r="H24143">
        <v>4600</v>
      </c>
      <c r="I24143" t="s">
        <v>105</v>
      </c>
      <c r="J24143">
        <v>506.95</v>
      </c>
      <c r="K24143">
        <v>98.12</v>
      </c>
      <c r="L24143">
        <v>54251</v>
      </c>
      <c r="M24143" t="s">
        <v>309</v>
      </c>
      <c r="N24143" t="str">
        <f>"885376      "</f>
        <v xml:space="preserve">885376      </v>
      </c>
      <c r="O24143">
        <v>230208</v>
      </c>
    </row>
    <row r="24144" spans="1:15" x14ac:dyDescent="0.25">
      <c r="A24144" t="s">
        <v>16</v>
      </c>
      <c r="B24144" t="s">
        <v>3221</v>
      </c>
      <c r="C24144">
        <v>4015</v>
      </c>
      <c r="D24144" t="s">
        <v>1037</v>
      </c>
      <c r="E24144" t="s">
        <v>1038</v>
      </c>
      <c r="F24144">
        <v>500</v>
      </c>
      <c r="G24144">
        <v>230324</v>
      </c>
      <c r="H24144">
        <v>4600</v>
      </c>
      <c r="I24144" t="s">
        <v>105</v>
      </c>
      <c r="J24144">
        <v>620</v>
      </c>
      <c r="K24144">
        <v>120</v>
      </c>
      <c r="L24144">
        <v>54222</v>
      </c>
      <c r="M24144" t="s">
        <v>308</v>
      </c>
      <c r="N24144" t="str">
        <f>"886027      "</f>
        <v xml:space="preserve">886027      </v>
      </c>
      <c r="O24144">
        <v>230329</v>
      </c>
    </row>
    <row r="24145" spans="1:15" x14ac:dyDescent="0.25">
      <c r="A24145" t="s">
        <v>16</v>
      </c>
      <c r="B24145" t="s">
        <v>3221</v>
      </c>
      <c r="C24145">
        <v>4015</v>
      </c>
      <c r="D24145" t="s">
        <v>1037</v>
      </c>
      <c r="E24145" t="s">
        <v>1038</v>
      </c>
      <c r="F24145">
        <v>500</v>
      </c>
      <c r="G24145">
        <v>230324</v>
      </c>
      <c r="H24145">
        <v>4600</v>
      </c>
      <c r="I24145" t="s">
        <v>105</v>
      </c>
      <c r="J24145">
        <v>620</v>
      </c>
      <c r="K24145">
        <v>120</v>
      </c>
      <c r="L24145">
        <v>54251</v>
      </c>
      <c r="M24145" t="s">
        <v>309</v>
      </c>
      <c r="N24145" t="str">
        <f>"886027      "</f>
        <v xml:space="preserve">886027      </v>
      </c>
      <c r="O24145">
        <v>230329</v>
      </c>
    </row>
    <row r="24146" spans="1:15" x14ac:dyDescent="0.25">
      <c r="A24146" t="s">
        <v>16</v>
      </c>
      <c r="B24146" t="s">
        <v>3221</v>
      </c>
      <c r="C24146">
        <v>4970</v>
      </c>
      <c r="D24146" t="s">
        <v>1037</v>
      </c>
      <c r="E24146" t="s">
        <v>1038</v>
      </c>
      <c r="F24146">
        <v>150.5</v>
      </c>
      <c r="G24146">
        <v>230411</v>
      </c>
      <c r="H24146">
        <v>4600</v>
      </c>
      <c r="I24146" t="s">
        <v>105</v>
      </c>
      <c r="J24146">
        <v>186.62</v>
      </c>
      <c r="K24146">
        <v>36.119999999999997</v>
      </c>
      <c r="L24146">
        <v>44422</v>
      </c>
      <c r="M24146" t="s">
        <v>482</v>
      </c>
      <c r="N24146" t="str">
        <f>"1009702     "</f>
        <v xml:space="preserve">1009702     </v>
      </c>
      <c r="O24146">
        <v>230414</v>
      </c>
    </row>
    <row r="24147" spans="1:15" x14ac:dyDescent="0.25">
      <c r="A24147" t="s">
        <v>16</v>
      </c>
      <c r="B24147" t="s">
        <v>3221</v>
      </c>
      <c r="C24147">
        <v>5335</v>
      </c>
      <c r="D24147" t="s">
        <v>1037</v>
      </c>
      <c r="E24147" t="s">
        <v>1038</v>
      </c>
      <c r="F24147">
        <v>64.92</v>
      </c>
      <c r="G24147">
        <v>230417</v>
      </c>
      <c r="H24147">
        <v>4600</v>
      </c>
      <c r="I24147" t="s">
        <v>105</v>
      </c>
      <c r="J24147">
        <v>80.5</v>
      </c>
      <c r="K24147">
        <v>15.58</v>
      </c>
      <c r="L24147">
        <v>54222</v>
      </c>
      <c r="M24147" t="s">
        <v>308</v>
      </c>
      <c r="N24147" t="str">
        <f>"886252      "</f>
        <v xml:space="preserve">886252      </v>
      </c>
      <c r="O24147">
        <v>230421</v>
      </c>
    </row>
    <row r="24148" spans="1:15" x14ac:dyDescent="0.25">
      <c r="A24148" t="s">
        <v>16</v>
      </c>
      <c r="B24148" t="s">
        <v>3221</v>
      </c>
      <c r="C24148">
        <v>5335</v>
      </c>
      <c r="D24148" t="s">
        <v>1037</v>
      </c>
      <c r="E24148" t="s">
        <v>1038</v>
      </c>
      <c r="F24148">
        <v>64.92</v>
      </c>
      <c r="G24148">
        <v>230417</v>
      </c>
      <c r="H24148">
        <v>4600</v>
      </c>
      <c r="I24148" t="s">
        <v>105</v>
      </c>
      <c r="J24148">
        <v>80.5</v>
      </c>
      <c r="K24148">
        <v>15.58</v>
      </c>
      <c r="L24148">
        <v>54251</v>
      </c>
      <c r="M24148" t="s">
        <v>309</v>
      </c>
      <c r="N24148" t="str">
        <f>"886252      "</f>
        <v xml:space="preserve">886252      </v>
      </c>
      <c r="O24148">
        <v>230421</v>
      </c>
    </row>
    <row r="24149" spans="1:15" x14ac:dyDescent="0.25">
      <c r="A24149" t="s">
        <v>16</v>
      </c>
      <c r="B24149" t="s">
        <v>3221</v>
      </c>
      <c r="C24149">
        <v>6542</v>
      </c>
      <c r="D24149" t="s">
        <v>1037</v>
      </c>
      <c r="E24149" t="s">
        <v>1038</v>
      </c>
      <c r="F24149">
        <v>93.78</v>
      </c>
      <c r="G24149">
        <v>230509</v>
      </c>
      <c r="H24149">
        <v>4600</v>
      </c>
      <c r="I24149" t="s">
        <v>105</v>
      </c>
      <c r="J24149">
        <v>116.29</v>
      </c>
      <c r="K24149">
        <v>22.51</v>
      </c>
      <c r="L24149">
        <v>54251</v>
      </c>
      <c r="M24149" t="s">
        <v>309</v>
      </c>
      <c r="N24149" t="str">
        <f>"886506      "</f>
        <v xml:space="preserve">886506      </v>
      </c>
      <c r="O24149">
        <v>230512</v>
      </c>
    </row>
    <row r="24150" spans="1:15" x14ac:dyDescent="0.25">
      <c r="A24150" t="s">
        <v>16</v>
      </c>
      <c r="B24150" t="s">
        <v>3221</v>
      </c>
      <c r="C24150">
        <v>10512</v>
      </c>
      <c r="D24150" t="s">
        <v>1037</v>
      </c>
      <c r="E24150" t="s">
        <v>1038</v>
      </c>
      <c r="F24150">
        <v>257.5</v>
      </c>
      <c r="G24150">
        <v>230814</v>
      </c>
      <c r="H24150">
        <v>4600</v>
      </c>
      <c r="I24150" t="s">
        <v>105</v>
      </c>
      <c r="J24150">
        <v>319.3</v>
      </c>
      <c r="K24150">
        <v>61.8</v>
      </c>
      <c r="L24150">
        <v>54222</v>
      </c>
      <c r="M24150" t="s">
        <v>308</v>
      </c>
      <c r="N24150" t="str">
        <f>"887622      "</f>
        <v xml:space="preserve">887622      </v>
      </c>
      <c r="O24150">
        <v>230817</v>
      </c>
    </row>
    <row r="24151" spans="1:15" x14ac:dyDescent="0.25">
      <c r="A24151" t="s">
        <v>16</v>
      </c>
      <c r="B24151" t="s">
        <v>3221</v>
      </c>
      <c r="C24151">
        <v>10512</v>
      </c>
      <c r="D24151" t="s">
        <v>1037</v>
      </c>
      <c r="E24151" t="s">
        <v>1038</v>
      </c>
      <c r="F24151">
        <v>257.5</v>
      </c>
      <c r="G24151">
        <v>230814</v>
      </c>
      <c r="H24151">
        <v>4600</v>
      </c>
      <c r="I24151" t="s">
        <v>105</v>
      </c>
      <c r="J24151">
        <v>319.3</v>
      </c>
      <c r="K24151">
        <v>61.8</v>
      </c>
      <c r="L24151">
        <v>54251</v>
      </c>
      <c r="M24151" t="s">
        <v>309</v>
      </c>
      <c r="N24151" t="str">
        <f>"887622      "</f>
        <v xml:space="preserve">887622      </v>
      </c>
      <c r="O24151">
        <v>230817</v>
      </c>
    </row>
    <row r="24152" spans="1:15" x14ac:dyDescent="0.25">
      <c r="A24152" t="s">
        <v>16</v>
      </c>
      <c r="B24152" t="s">
        <v>3221</v>
      </c>
      <c r="C24152">
        <v>10737</v>
      </c>
      <c r="D24152" t="s">
        <v>1037</v>
      </c>
      <c r="E24152" t="s">
        <v>1038</v>
      </c>
      <c r="F24152">
        <v>300</v>
      </c>
      <c r="G24152">
        <v>230817</v>
      </c>
      <c r="H24152">
        <v>4600</v>
      </c>
      <c r="I24152" t="s">
        <v>105</v>
      </c>
      <c r="J24152">
        <v>372</v>
      </c>
      <c r="K24152">
        <v>72</v>
      </c>
      <c r="L24152">
        <v>54251</v>
      </c>
      <c r="M24152" t="s">
        <v>309</v>
      </c>
      <c r="N24152" t="str">
        <f>"162199      "</f>
        <v xml:space="preserve">162199      </v>
      </c>
      <c r="O24152">
        <v>230822</v>
      </c>
    </row>
    <row r="24153" spans="1:15" x14ac:dyDescent="0.25">
      <c r="A24153" t="s">
        <v>16</v>
      </c>
      <c r="B24153" t="s">
        <v>3221</v>
      </c>
      <c r="C24153">
        <v>13103</v>
      </c>
      <c r="D24153" t="s">
        <v>1037</v>
      </c>
      <c r="E24153" t="s">
        <v>1038</v>
      </c>
      <c r="F24153">
        <v>1116.94</v>
      </c>
      <c r="G24153">
        <v>230928</v>
      </c>
      <c r="H24153">
        <v>4600</v>
      </c>
      <c r="I24153" t="s">
        <v>105</v>
      </c>
      <c r="J24153">
        <v>1385.01</v>
      </c>
      <c r="K24153">
        <v>268.07</v>
      </c>
      <c r="L24153">
        <v>54222</v>
      </c>
      <c r="M24153" t="s">
        <v>308</v>
      </c>
      <c r="N24153" t="str">
        <f>"163328      "</f>
        <v xml:space="preserve">163328      </v>
      </c>
      <c r="O24153">
        <v>231003</v>
      </c>
    </row>
    <row r="24154" spans="1:15" x14ac:dyDescent="0.25">
      <c r="A24154" t="s">
        <v>16</v>
      </c>
      <c r="B24154" t="s">
        <v>3221</v>
      </c>
      <c r="C24154">
        <v>13103</v>
      </c>
      <c r="D24154" t="s">
        <v>1037</v>
      </c>
      <c r="E24154" t="s">
        <v>1038</v>
      </c>
      <c r="F24154">
        <v>1116.94</v>
      </c>
      <c r="G24154">
        <v>230928</v>
      </c>
      <c r="H24154">
        <v>4600</v>
      </c>
      <c r="I24154" t="s">
        <v>105</v>
      </c>
      <c r="J24154">
        <v>1385</v>
      </c>
      <c r="K24154">
        <v>268.06</v>
      </c>
      <c r="L24154">
        <v>54251</v>
      </c>
      <c r="M24154" t="s">
        <v>309</v>
      </c>
      <c r="N24154" t="str">
        <f>"163328      "</f>
        <v xml:space="preserve">163328      </v>
      </c>
      <c r="O24154">
        <v>231003</v>
      </c>
    </row>
    <row r="24155" spans="1:15" x14ac:dyDescent="0.25">
      <c r="A24155" t="s">
        <v>16</v>
      </c>
      <c r="B24155" t="s">
        <v>3221</v>
      </c>
      <c r="C24155">
        <v>16354</v>
      </c>
      <c r="D24155" t="s">
        <v>1037</v>
      </c>
      <c r="E24155" t="s">
        <v>1038</v>
      </c>
      <c r="F24155">
        <v>109.02</v>
      </c>
      <c r="G24155">
        <v>231124</v>
      </c>
      <c r="H24155">
        <v>4600</v>
      </c>
      <c r="I24155" t="s">
        <v>105</v>
      </c>
      <c r="J24155">
        <v>135.18</v>
      </c>
      <c r="K24155">
        <v>26.16</v>
      </c>
      <c r="L24155">
        <v>54222</v>
      </c>
      <c r="M24155" t="s">
        <v>308</v>
      </c>
      <c r="N24155" t="str">
        <f>"164714      "</f>
        <v xml:space="preserve">164714      </v>
      </c>
      <c r="O24155">
        <v>231128</v>
      </c>
    </row>
    <row r="24156" spans="1:15" x14ac:dyDescent="0.25">
      <c r="A24156" t="s">
        <v>16</v>
      </c>
      <c r="B24156" t="s">
        <v>3221</v>
      </c>
      <c r="C24156">
        <v>17665</v>
      </c>
      <c r="D24156" t="s">
        <v>1037</v>
      </c>
      <c r="E24156" t="s">
        <v>1038</v>
      </c>
      <c r="F24156">
        <v>339.55</v>
      </c>
      <c r="G24156">
        <v>231204</v>
      </c>
      <c r="H24156">
        <v>4555</v>
      </c>
      <c r="I24156" t="s">
        <v>481</v>
      </c>
      <c r="J24156">
        <v>421.04</v>
      </c>
      <c r="K24156">
        <v>81.489999999999995</v>
      </c>
      <c r="L24156">
        <v>44453</v>
      </c>
      <c r="M24156" t="s">
        <v>492</v>
      </c>
      <c r="N24156" t="str">
        <f>"1013231     "</f>
        <v xml:space="preserve">1013231     </v>
      </c>
      <c r="O24156">
        <v>231219</v>
      </c>
    </row>
    <row r="24157" spans="1:15" x14ac:dyDescent="0.25">
      <c r="A24157" t="s">
        <v>16</v>
      </c>
      <c r="B24157" t="s">
        <v>3221</v>
      </c>
      <c r="C24157">
        <v>1320</v>
      </c>
      <c r="D24157" t="s">
        <v>997</v>
      </c>
      <c r="E24157" t="s">
        <v>998</v>
      </c>
      <c r="F24157">
        <v>190</v>
      </c>
      <c r="G24157">
        <v>230131</v>
      </c>
      <c r="H24157">
        <v>4860</v>
      </c>
      <c r="I24157" t="s">
        <v>28</v>
      </c>
      <c r="J24157">
        <v>235.6</v>
      </c>
      <c r="K24157">
        <v>45.6</v>
      </c>
      <c r="L24157">
        <v>69501</v>
      </c>
      <c r="M24157" t="s">
        <v>185</v>
      </c>
      <c r="N24157" t="str">
        <f>"1818005     "</f>
        <v xml:space="preserve">1818005     </v>
      </c>
      <c r="O24157">
        <v>230207</v>
      </c>
    </row>
    <row r="24158" spans="1:15" x14ac:dyDescent="0.25">
      <c r="A24158" t="s">
        <v>16</v>
      </c>
      <c r="B24158" t="s">
        <v>3221</v>
      </c>
      <c r="C24158">
        <v>3153</v>
      </c>
      <c r="D24158" t="s">
        <v>997</v>
      </c>
      <c r="E24158" t="s">
        <v>998</v>
      </c>
      <c r="F24158">
        <v>38</v>
      </c>
      <c r="G24158">
        <v>230228</v>
      </c>
      <c r="H24158">
        <v>4860</v>
      </c>
      <c r="I24158" t="s">
        <v>28</v>
      </c>
      <c r="J24158">
        <v>47.12</v>
      </c>
      <c r="K24158">
        <v>9.1199999999999992</v>
      </c>
      <c r="L24158">
        <v>69111</v>
      </c>
      <c r="M24158" t="s">
        <v>471</v>
      </c>
      <c r="N24158" t="str">
        <f>"1825202     "</f>
        <v xml:space="preserve">1825202     </v>
      </c>
      <c r="O24158">
        <v>230309</v>
      </c>
    </row>
    <row r="24159" spans="1:15" x14ac:dyDescent="0.25">
      <c r="A24159" t="s">
        <v>16</v>
      </c>
      <c r="B24159" t="s">
        <v>3221</v>
      </c>
      <c r="C24159">
        <v>3153</v>
      </c>
      <c r="D24159" t="s">
        <v>997</v>
      </c>
      <c r="E24159" t="s">
        <v>998</v>
      </c>
      <c r="F24159">
        <v>152</v>
      </c>
      <c r="G24159">
        <v>230228</v>
      </c>
      <c r="H24159">
        <v>4860</v>
      </c>
      <c r="I24159" t="s">
        <v>28</v>
      </c>
      <c r="J24159">
        <v>188.48</v>
      </c>
      <c r="K24159">
        <v>36.479999999999997</v>
      </c>
      <c r="L24159">
        <v>69501</v>
      </c>
      <c r="M24159" t="s">
        <v>185</v>
      </c>
      <c r="N24159" t="str">
        <f>"1825202     "</f>
        <v xml:space="preserve">1825202     </v>
      </c>
      <c r="O24159">
        <v>230309</v>
      </c>
    </row>
    <row r="24160" spans="1:15" x14ac:dyDescent="0.25">
      <c r="A24160" t="s">
        <v>16</v>
      </c>
      <c r="B24160" t="s">
        <v>3221</v>
      </c>
      <c r="C24160">
        <v>4661</v>
      </c>
      <c r="D24160" t="s">
        <v>997</v>
      </c>
      <c r="E24160" t="s">
        <v>998</v>
      </c>
      <c r="F24160">
        <v>66.5</v>
      </c>
      <c r="G24160">
        <v>230331</v>
      </c>
      <c r="H24160">
        <v>4860</v>
      </c>
      <c r="I24160" t="s">
        <v>28</v>
      </c>
      <c r="J24160">
        <v>82.46</v>
      </c>
      <c r="K24160">
        <v>15.96</v>
      </c>
      <c r="L24160">
        <v>69111</v>
      </c>
      <c r="M24160" t="s">
        <v>471</v>
      </c>
      <c r="N24160" t="str">
        <f>"1832323     "</f>
        <v xml:space="preserve">1832323     </v>
      </c>
      <c r="O24160">
        <v>230411</v>
      </c>
    </row>
    <row r="24161" spans="1:15" x14ac:dyDescent="0.25">
      <c r="A24161" t="s">
        <v>16</v>
      </c>
      <c r="B24161" t="s">
        <v>3221</v>
      </c>
      <c r="C24161">
        <v>4661</v>
      </c>
      <c r="D24161" t="s">
        <v>997</v>
      </c>
      <c r="E24161" t="s">
        <v>998</v>
      </c>
      <c r="F24161">
        <v>123.5</v>
      </c>
      <c r="G24161">
        <v>230331</v>
      </c>
      <c r="H24161">
        <v>4860</v>
      </c>
      <c r="I24161" t="s">
        <v>28</v>
      </c>
      <c r="J24161">
        <v>153.13999999999999</v>
      </c>
      <c r="K24161">
        <v>29.64</v>
      </c>
      <c r="L24161">
        <v>69501</v>
      </c>
      <c r="M24161" t="s">
        <v>185</v>
      </c>
      <c r="N24161" t="str">
        <f>"1832323     "</f>
        <v xml:space="preserve">1832323     </v>
      </c>
      <c r="O24161">
        <v>230411</v>
      </c>
    </row>
    <row r="24162" spans="1:15" x14ac:dyDescent="0.25">
      <c r="A24162" t="s">
        <v>16</v>
      </c>
      <c r="B24162" t="s">
        <v>3221</v>
      </c>
      <c r="C24162">
        <v>4767</v>
      </c>
      <c r="D24162" t="s">
        <v>997</v>
      </c>
      <c r="E24162" t="s">
        <v>998</v>
      </c>
      <c r="F24162">
        <v>104</v>
      </c>
      <c r="G24162">
        <v>230331</v>
      </c>
      <c r="H24162">
        <v>4860</v>
      </c>
      <c r="I24162" t="s">
        <v>28</v>
      </c>
      <c r="J24162">
        <v>128.96</v>
      </c>
      <c r="K24162">
        <v>24.96</v>
      </c>
      <c r="L24162">
        <v>13661</v>
      </c>
      <c r="M24162" t="s">
        <v>247</v>
      </c>
      <c r="N24162" t="str">
        <f>"1850212     "</f>
        <v xml:space="preserve">1850212     </v>
      </c>
      <c r="O24162">
        <v>230412</v>
      </c>
    </row>
    <row r="24163" spans="1:15" x14ac:dyDescent="0.25">
      <c r="A24163" t="s">
        <v>16</v>
      </c>
      <c r="B24163" t="s">
        <v>3221</v>
      </c>
      <c r="C24163">
        <v>6390</v>
      </c>
      <c r="D24163" t="s">
        <v>997</v>
      </c>
      <c r="E24163" t="s">
        <v>998</v>
      </c>
      <c r="F24163">
        <v>85.8</v>
      </c>
      <c r="G24163">
        <v>230430</v>
      </c>
      <c r="H24163">
        <v>4860</v>
      </c>
      <c r="I24163" t="s">
        <v>28</v>
      </c>
      <c r="J24163">
        <v>106.39</v>
      </c>
      <c r="K24163">
        <v>20.59</v>
      </c>
      <c r="L24163">
        <v>69111</v>
      </c>
      <c r="M24163" t="s">
        <v>471</v>
      </c>
      <c r="N24163" t="str">
        <f>"1851959     "</f>
        <v xml:space="preserve">1851959     </v>
      </c>
      <c r="O24163">
        <v>230510</v>
      </c>
    </row>
    <row r="24164" spans="1:15" x14ac:dyDescent="0.25">
      <c r="A24164" t="s">
        <v>16</v>
      </c>
      <c r="B24164" t="s">
        <v>3221</v>
      </c>
      <c r="C24164">
        <v>6390</v>
      </c>
      <c r="D24164" t="s">
        <v>997</v>
      </c>
      <c r="E24164" t="s">
        <v>998</v>
      </c>
      <c r="F24164">
        <v>200.2</v>
      </c>
      <c r="G24164">
        <v>230430</v>
      </c>
      <c r="H24164">
        <v>4860</v>
      </c>
      <c r="I24164" t="s">
        <v>28</v>
      </c>
      <c r="J24164">
        <v>248.25</v>
      </c>
      <c r="K24164">
        <v>48.05</v>
      </c>
      <c r="L24164">
        <v>69501</v>
      </c>
      <c r="M24164" t="s">
        <v>185</v>
      </c>
      <c r="N24164" t="str">
        <f>"1851959     "</f>
        <v xml:space="preserve">1851959     </v>
      </c>
      <c r="O24164">
        <v>230510</v>
      </c>
    </row>
    <row r="24165" spans="1:15" x14ac:dyDescent="0.25">
      <c r="A24165" t="s">
        <v>16</v>
      </c>
      <c r="B24165" t="s">
        <v>3221</v>
      </c>
      <c r="C24165">
        <v>8173</v>
      </c>
      <c r="D24165" t="s">
        <v>997</v>
      </c>
      <c r="E24165" t="s">
        <v>998</v>
      </c>
      <c r="F24165">
        <v>196</v>
      </c>
      <c r="G24165">
        <v>230531</v>
      </c>
      <c r="H24165">
        <v>4860</v>
      </c>
      <c r="I24165" t="s">
        <v>28</v>
      </c>
      <c r="J24165">
        <v>243.04</v>
      </c>
      <c r="K24165">
        <v>47.04</v>
      </c>
      <c r="L24165">
        <v>69501</v>
      </c>
      <c r="M24165" t="s">
        <v>185</v>
      </c>
      <c r="N24165" t="str">
        <f>"1861230     "</f>
        <v xml:space="preserve">1861230     </v>
      </c>
      <c r="O24165">
        <v>230607</v>
      </c>
    </row>
    <row r="24166" spans="1:15" x14ac:dyDescent="0.25">
      <c r="A24166" t="s">
        <v>16</v>
      </c>
      <c r="B24166" t="s">
        <v>3221</v>
      </c>
      <c r="C24166">
        <v>9415</v>
      </c>
      <c r="D24166" t="s">
        <v>997</v>
      </c>
      <c r="E24166" t="s">
        <v>998</v>
      </c>
      <c r="F24166">
        <v>51.9</v>
      </c>
      <c r="G24166">
        <v>230630</v>
      </c>
      <c r="H24166">
        <v>4860</v>
      </c>
      <c r="I24166" t="s">
        <v>28</v>
      </c>
      <c r="J24166">
        <v>64.36</v>
      </c>
      <c r="K24166">
        <v>12.46</v>
      </c>
      <c r="L24166">
        <v>69111</v>
      </c>
      <c r="M24166" t="s">
        <v>471</v>
      </c>
      <c r="N24166" t="str">
        <f>"1868449     "</f>
        <v xml:space="preserve">1868449     </v>
      </c>
      <c r="O24166">
        <v>230710</v>
      </c>
    </row>
    <row r="24167" spans="1:15" x14ac:dyDescent="0.25">
      <c r="A24167" t="s">
        <v>16</v>
      </c>
      <c r="B24167" t="s">
        <v>3221</v>
      </c>
      <c r="C24167">
        <v>9415</v>
      </c>
      <c r="D24167" t="s">
        <v>997</v>
      </c>
      <c r="E24167" t="s">
        <v>998</v>
      </c>
      <c r="F24167">
        <v>121.1</v>
      </c>
      <c r="G24167">
        <v>230630</v>
      </c>
      <c r="H24167">
        <v>4860</v>
      </c>
      <c r="I24167" t="s">
        <v>28</v>
      </c>
      <c r="J24167">
        <v>150.16</v>
      </c>
      <c r="K24167">
        <v>29.06</v>
      </c>
      <c r="L24167">
        <v>69501</v>
      </c>
      <c r="M24167" t="s">
        <v>185</v>
      </c>
      <c r="N24167" t="str">
        <f>"1868449     "</f>
        <v xml:space="preserve">1868449     </v>
      </c>
      <c r="O24167">
        <v>230710</v>
      </c>
    </row>
    <row r="24168" spans="1:15" x14ac:dyDescent="0.25">
      <c r="A24168" t="s">
        <v>16</v>
      </c>
      <c r="B24168" t="s">
        <v>3221</v>
      </c>
      <c r="C24168">
        <v>10276</v>
      </c>
      <c r="D24168" t="s">
        <v>997</v>
      </c>
      <c r="E24168" t="s">
        <v>998</v>
      </c>
      <c r="F24168">
        <v>51.9</v>
      </c>
      <c r="G24168">
        <v>230731</v>
      </c>
      <c r="H24168">
        <v>4860</v>
      </c>
      <c r="I24168" t="s">
        <v>28</v>
      </c>
      <c r="J24168">
        <v>64.36</v>
      </c>
      <c r="K24168">
        <v>12.46</v>
      </c>
      <c r="L24168">
        <v>69111</v>
      </c>
      <c r="M24168" t="s">
        <v>471</v>
      </c>
      <c r="N24168" t="str">
        <f>"1890346     "</f>
        <v xml:space="preserve">1890346     </v>
      </c>
      <c r="O24168">
        <v>230814</v>
      </c>
    </row>
    <row r="24169" spans="1:15" x14ac:dyDescent="0.25">
      <c r="A24169" t="s">
        <v>16</v>
      </c>
      <c r="B24169" t="s">
        <v>3221</v>
      </c>
      <c r="C24169">
        <v>10276</v>
      </c>
      <c r="D24169" t="s">
        <v>997</v>
      </c>
      <c r="E24169" t="s">
        <v>998</v>
      </c>
      <c r="F24169">
        <v>121.1</v>
      </c>
      <c r="G24169">
        <v>230731</v>
      </c>
      <c r="H24169">
        <v>4860</v>
      </c>
      <c r="I24169" t="s">
        <v>28</v>
      </c>
      <c r="J24169">
        <v>150.16</v>
      </c>
      <c r="K24169">
        <v>29.06</v>
      </c>
      <c r="L24169">
        <v>69501</v>
      </c>
      <c r="M24169" t="s">
        <v>185</v>
      </c>
      <c r="N24169" t="str">
        <f>"1890346     "</f>
        <v xml:space="preserve">1890346     </v>
      </c>
      <c r="O24169">
        <v>230814</v>
      </c>
    </row>
    <row r="24170" spans="1:15" x14ac:dyDescent="0.25">
      <c r="A24170" t="s">
        <v>16</v>
      </c>
      <c r="B24170" t="s">
        <v>3221</v>
      </c>
      <c r="C24170">
        <v>11792</v>
      </c>
      <c r="D24170" t="s">
        <v>997</v>
      </c>
      <c r="E24170" t="s">
        <v>998</v>
      </c>
      <c r="F24170">
        <v>173</v>
      </c>
      <c r="G24170">
        <v>230831</v>
      </c>
      <c r="H24170">
        <v>4860</v>
      </c>
      <c r="I24170" t="s">
        <v>28</v>
      </c>
      <c r="J24170">
        <v>214.52</v>
      </c>
      <c r="K24170">
        <v>41.52</v>
      </c>
      <c r="L24170">
        <v>69501</v>
      </c>
      <c r="M24170" t="s">
        <v>185</v>
      </c>
      <c r="N24170" t="str">
        <f>"1897826     "</f>
        <v xml:space="preserve">1897826     </v>
      </c>
      <c r="O24170">
        <v>230911</v>
      </c>
    </row>
    <row r="24171" spans="1:15" x14ac:dyDescent="0.25">
      <c r="A24171" t="s">
        <v>16</v>
      </c>
      <c r="B24171" t="s">
        <v>3221</v>
      </c>
      <c r="C24171">
        <v>13758</v>
      </c>
      <c r="D24171" t="s">
        <v>997</v>
      </c>
      <c r="E24171" t="s">
        <v>998</v>
      </c>
      <c r="F24171">
        <v>51.9</v>
      </c>
      <c r="G24171">
        <v>230930</v>
      </c>
      <c r="H24171">
        <v>4860</v>
      </c>
      <c r="I24171" t="s">
        <v>28</v>
      </c>
      <c r="J24171">
        <v>64.349999999999994</v>
      </c>
      <c r="K24171">
        <v>12.45</v>
      </c>
      <c r="L24171">
        <v>69111</v>
      </c>
      <c r="M24171" t="s">
        <v>471</v>
      </c>
      <c r="N24171" t="str">
        <f>"1907702     "</f>
        <v xml:space="preserve">1907702     </v>
      </c>
      <c r="O24171">
        <v>231012</v>
      </c>
    </row>
    <row r="24172" spans="1:15" x14ac:dyDescent="0.25">
      <c r="A24172" t="s">
        <v>16</v>
      </c>
      <c r="B24172" t="s">
        <v>3221</v>
      </c>
      <c r="C24172">
        <v>13758</v>
      </c>
      <c r="D24172" t="s">
        <v>997</v>
      </c>
      <c r="E24172" t="s">
        <v>998</v>
      </c>
      <c r="F24172">
        <v>121.1</v>
      </c>
      <c r="G24172">
        <v>230930</v>
      </c>
      <c r="H24172">
        <v>4860</v>
      </c>
      <c r="I24172" t="s">
        <v>28</v>
      </c>
      <c r="J24172">
        <v>150.16999999999999</v>
      </c>
      <c r="K24172">
        <v>29.07</v>
      </c>
      <c r="L24172">
        <v>69501</v>
      </c>
      <c r="M24172" t="s">
        <v>185</v>
      </c>
      <c r="N24172" t="str">
        <f>"1907702     "</f>
        <v xml:space="preserve">1907702     </v>
      </c>
      <c r="O24172">
        <v>231012</v>
      </c>
    </row>
    <row r="24173" spans="1:15" x14ac:dyDescent="0.25">
      <c r="A24173" t="s">
        <v>16</v>
      </c>
      <c r="B24173" t="s">
        <v>3221</v>
      </c>
      <c r="C24173">
        <v>15092</v>
      </c>
      <c r="D24173" t="s">
        <v>997</v>
      </c>
      <c r="E24173" t="s">
        <v>998</v>
      </c>
      <c r="F24173">
        <v>22</v>
      </c>
      <c r="G24173">
        <v>231031</v>
      </c>
      <c r="H24173">
        <v>4860</v>
      </c>
      <c r="I24173" t="s">
        <v>28</v>
      </c>
      <c r="J24173">
        <v>27.28</v>
      </c>
      <c r="K24173">
        <v>5.28</v>
      </c>
      <c r="L24173">
        <v>13801</v>
      </c>
      <c r="M24173" t="s">
        <v>162</v>
      </c>
      <c r="N24173" t="str">
        <f>"1936030     "</f>
        <v xml:space="preserve">1936030     </v>
      </c>
      <c r="O24173">
        <v>231108</v>
      </c>
    </row>
    <row r="24174" spans="1:15" x14ac:dyDescent="0.25">
      <c r="A24174" t="s">
        <v>16</v>
      </c>
      <c r="B24174" t="s">
        <v>3221</v>
      </c>
      <c r="C24174">
        <v>15096</v>
      </c>
      <c r="D24174" t="s">
        <v>997</v>
      </c>
      <c r="E24174" t="s">
        <v>998</v>
      </c>
      <c r="F24174">
        <v>139.69999999999999</v>
      </c>
      <c r="G24174">
        <v>231031</v>
      </c>
      <c r="H24174">
        <v>4860</v>
      </c>
      <c r="I24174" t="s">
        <v>28</v>
      </c>
      <c r="J24174">
        <v>173.23</v>
      </c>
      <c r="K24174">
        <v>33.53</v>
      </c>
      <c r="L24174">
        <v>13661</v>
      </c>
      <c r="M24174" t="s">
        <v>247</v>
      </c>
      <c r="N24174" t="str">
        <f>"1936033     "</f>
        <v xml:space="preserve">1936033     </v>
      </c>
      <c r="O24174">
        <v>231108</v>
      </c>
    </row>
    <row r="24175" spans="1:15" x14ac:dyDescent="0.25">
      <c r="A24175" t="s">
        <v>16</v>
      </c>
      <c r="B24175" t="s">
        <v>3221</v>
      </c>
      <c r="C24175">
        <v>15342</v>
      </c>
      <c r="D24175" t="s">
        <v>997</v>
      </c>
      <c r="E24175" t="s">
        <v>998</v>
      </c>
      <c r="F24175">
        <v>48.44</v>
      </c>
      <c r="G24175">
        <v>231031</v>
      </c>
      <c r="H24175">
        <v>4860</v>
      </c>
      <c r="I24175" t="s">
        <v>28</v>
      </c>
      <c r="J24175">
        <v>60.07</v>
      </c>
      <c r="K24175">
        <v>11.63</v>
      </c>
      <c r="L24175">
        <v>69111</v>
      </c>
      <c r="M24175" t="s">
        <v>471</v>
      </c>
      <c r="N24175" t="str">
        <f>"1928996     "</f>
        <v xml:space="preserve">1928996     </v>
      </c>
      <c r="O24175">
        <v>231113</v>
      </c>
    </row>
    <row r="24176" spans="1:15" x14ac:dyDescent="0.25">
      <c r="A24176" t="s">
        <v>16</v>
      </c>
      <c r="B24176" t="s">
        <v>3221</v>
      </c>
      <c r="C24176">
        <v>15342</v>
      </c>
      <c r="D24176" t="s">
        <v>997</v>
      </c>
      <c r="E24176" t="s">
        <v>998</v>
      </c>
      <c r="F24176">
        <v>121.1</v>
      </c>
      <c r="G24176">
        <v>231031</v>
      </c>
      <c r="H24176">
        <v>4860</v>
      </c>
      <c r="I24176" t="s">
        <v>28</v>
      </c>
      <c r="J24176">
        <v>150.16</v>
      </c>
      <c r="K24176">
        <v>29.06</v>
      </c>
      <c r="L24176">
        <v>69501</v>
      </c>
      <c r="M24176" t="s">
        <v>185</v>
      </c>
      <c r="N24176" t="str">
        <f>"1928996     "</f>
        <v xml:space="preserve">1928996     </v>
      </c>
      <c r="O24176">
        <v>231113</v>
      </c>
    </row>
    <row r="24177" spans="1:15" x14ac:dyDescent="0.25">
      <c r="A24177" t="s">
        <v>16</v>
      </c>
      <c r="B24177" t="s">
        <v>3221</v>
      </c>
      <c r="C24177">
        <v>15342</v>
      </c>
      <c r="D24177" t="s">
        <v>997</v>
      </c>
      <c r="E24177" t="s">
        <v>998</v>
      </c>
      <c r="F24177">
        <v>1.73</v>
      </c>
      <c r="G24177">
        <v>231031</v>
      </c>
      <c r="H24177">
        <v>4860</v>
      </c>
      <c r="I24177" t="s">
        <v>28</v>
      </c>
      <c r="J24177">
        <v>2.15</v>
      </c>
      <c r="K24177">
        <v>0.42</v>
      </c>
      <c r="L24177">
        <v>69801</v>
      </c>
      <c r="M24177" t="s">
        <v>1735</v>
      </c>
      <c r="N24177" t="str">
        <f>"1928996     "</f>
        <v xml:space="preserve">1928996     </v>
      </c>
      <c r="O24177">
        <v>231113</v>
      </c>
    </row>
    <row r="24178" spans="1:15" x14ac:dyDescent="0.25">
      <c r="A24178" t="s">
        <v>16</v>
      </c>
      <c r="B24178" t="s">
        <v>3221</v>
      </c>
      <c r="C24178">
        <v>15342</v>
      </c>
      <c r="D24178" t="s">
        <v>997</v>
      </c>
      <c r="E24178" t="s">
        <v>998</v>
      </c>
      <c r="F24178">
        <v>2.15</v>
      </c>
      <c r="G24178">
        <v>231031</v>
      </c>
      <c r="H24178">
        <v>4860</v>
      </c>
      <c r="I24178" t="s">
        <v>28</v>
      </c>
      <c r="J24178">
        <v>2.15</v>
      </c>
      <c r="K24178">
        <v>0</v>
      </c>
      <c r="L24178">
        <v>69803</v>
      </c>
      <c r="M24178" t="s">
        <v>755</v>
      </c>
      <c r="N24178" t="str">
        <f>"1928996     "</f>
        <v xml:space="preserve">1928996     </v>
      </c>
      <c r="O24178">
        <v>231113</v>
      </c>
    </row>
    <row r="24179" spans="1:15" x14ac:dyDescent="0.25">
      <c r="A24179" t="s">
        <v>16</v>
      </c>
      <c r="B24179" t="s">
        <v>3221</v>
      </c>
      <c r="C24179">
        <v>17564</v>
      </c>
      <c r="D24179" t="s">
        <v>997</v>
      </c>
      <c r="E24179" t="s">
        <v>998</v>
      </c>
      <c r="F24179">
        <v>50.17</v>
      </c>
      <c r="G24179">
        <v>231130</v>
      </c>
      <c r="H24179">
        <v>4860</v>
      </c>
      <c r="I24179" t="s">
        <v>28</v>
      </c>
      <c r="J24179">
        <v>62.21</v>
      </c>
      <c r="K24179">
        <v>12.04</v>
      </c>
      <c r="L24179">
        <v>69111</v>
      </c>
      <c r="M24179" t="s">
        <v>471</v>
      </c>
      <c r="N24179" t="str">
        <f>"1938614     "</f>
        <v xml:space="preserve">1938614     </v>
      </c>
      <c r="O24179">
        <v>231215</v>
      </c>
    </row>
    <row r="24180" spans="1:15" x14ac:dyDescent="0.25">
      <c r="A24180" t="s">
        <v>16</v>
      </c>
      <c r="B24180" t="s">
        <v>3221</v>
      </c>
      <c r="C24180">
        <v>17564</v>
      </c>
      <c r="D24180" t="s">
        <v>997</v>
      </c>
      <c r="E24180" t="s">
        <v>998</v>
      </c>
      <c r="F24180">
        <v>121.1</v>
      </c>
      <c r="G24180">
        <v>231130</v>
      </c>
      <c r="H24180">
        <v>4860</v>
      </c>
      <c r="I24180" t="s">
        <v>28</v>
      </c>
      <c r="J24180">
        <v>150.16</v>
      </c>
      <c r="K24180">
        <v>29.06</v>
      </c>
      <c r="L24180">
        <v>69501</v>
      </c>
      <c r="M24180" t="s">
        <v>185</v>
      </c>
      <c r="N24180" t="str">
        <f>"1938614     "</f>
        <v xml:space="preserve">1938614     </v>
      </c>
      <c r="O24180">
        <v>231215</v>
      </c>
    </row>
    <row r="24181" spans="1:15" x14ac:dyDescent="0.25">
      <c r="A24181" t="s">
        <v>16</v>
      </c>
      <c r="B24181" t="s">
        <v>3221</v>
      </c>
      <c r="C24181">
        <v>17564</v>
      </c>
      <c r="D24181" t="s">
        <v>997</v>
      </c>
      <c r="E24181" t="s">
        <v>998</v>
      </c>
      <c r="F24181">
        <v>2.15</v>
      </c>
      <c r="G24181">
        <v>231130</v>
      </c>
      <c r="H24181">
        <v>4860</v>
      </c>
      <c r="I24181" t="s">
        <v>28</v>
      </c>
      <c r="J24181">
        <v>2.15</v>
      </c>
      <c r="K24181">
        <v>0</v>
      </c>
      <c r="L24181">
        <v>69803</v>
      </c>
      <c r="M24181" t="s">
        <v>755</v>
      </c>
      <c r="N24181" t="str">
        <f>"1938614     "</f>
        <v xml:space="preserve">1938614     </v>
      </c>
      <c r="O24181">
        <v>231215</v>
      </c>
    </row>
    <row r="24182" spans="1:15" x14ac:dyDescent="0.25">
      <c r="A24182" t="s">
        <v>16</v>
      </c>
      <c r="B24182" t="s">
        <v>3221</v>
      </c>
      <c r="C24182">
        <v>19199</v>
      </c>
      <c r="D24182" t="s">
        <v>997</v>
      </c>
      <c r="E24182" t="s">
        <v>998</v>
      </c>
      <c r="F24182">
        <v>50.17</v>
      </c>
      <c r="G24182">
        <v>231231</v>
      </c>
      <c r="H24182">
        <v>4860</v>
      </c>
      <c r="I24182" t="s">
        <v>28</v>
      </c>
      <c r="J24182">
        <v>62.21</v>
      </c>
      <c r="K24182">
        <v>12.04</v>
      </c>
      <c r="L24182">
        <v>69111</v>
      </c>
      <c r="M24182" t="s">
        <v>471</v>
      </c>
      <c r="N24182" t="str">
        <f>"1944964     "</f>
        <v xml:space="preserve">1944964     </v>
      </c>
      <c r="O24182">
        <v>240112</v>
      </c>
    </row>
    <row r="24183" spans="1:15" x14ac:dyDescent="0.25">
      <c r="A24183" t="s">
        <v>16</v>
      </c>
      <c r="B24183" t="s">
        <v>3221</v>
      </c>
      <c r="C24183">
        <v>19199</v>
      </c>
      <c r="D24183" t="s">
        <v>997</v>
      </c>
      <c r="E24183" t="s">
        <v>998</v>
      </c>
      <c r="F24183">
        <v>122.83</v>
      </c>
      <c r="G24183">
        <v>231231</v>
      </c>
      <c r="H24183">
        <v>4860</v>
      </c>
      <c r="I24183" t="s">
        <v>28</v>
      </c>
      <c r="J24183">
        <v>152.31</v>
      </c>
      <c r="K24183">
        <v>29.48</v>
      </c>
      <c r="L24183">
        <v>69501</v>
      </c>
      <c r="M24183" t="s">
        <v>185</v>
      </c>
      <c r="N24183" t="str">
        <f>"1944964     "</f>
        <v xml:space="preserve">1944964     </v>
      </c>
      <c r="O24183">
        <v>240112</v>
      </c>
    </row>
    <row r="24184" spans="1:15" x14ac:dyDescent="0.25">
      <c r="A24184" t="s">
        <v>16</v>
      </c>
      <c r="B24184" t="s">
        <v>3221</v>
      </c>
      <c r="C24184">
        <v>1320</v>
      </c>
      <c r="D24184" t="s">
        <v>997</v>
      </c>
      <c r="E24184" t="s">
        <v>998</v>
      </c>
      <c r="F24184">
        <v>1135.45</v>
      </c>
      <c r="G24184">
        <v>230131</v>
      </c>
      <c r="H24184">
        <v>4380</v>
      </c>
      <c r="I24184" t="s">
        <v>113</v>
      </c>
      <c r="J24184">
        <v>1407.96</v>
      </c>
      <c r="K24184">
        <v>272.51</v>
      </c>
      <c r="L24184">
        <v>69501</v>
      </c>
      <c r="M24184" t="s">
        <v>185</v>
      </c>
      <c r="N24184" t="str">
        <f>"1818005     "</f>
        <v xml:space="preserve">1818005     </v>
      </c>
      <c r="O24184">
        <v>230207</v>
      </c>
    </row>
    <row r="24185" spans="1:15" x14ac:dyDescent="0.25">
      <c r="A24185" t="s">
        <v>16</v>
      </c>
      <c r="B24185" t="s">
        <v>3221</v>
      </c>
      <c r="C24185">
        <v>3153</v>
      </c>
      <c r="D24185" t="s">
        <v>997</v>
      </c>
      <c r="E24185" t="s">
        <v>998</v>
      </c>
      <c r="F24185">
        <v>264.54000000000002</v>
      </c>
      <c r="G24185">
        <v>230228</v>
      </c>
      <c r="H24185">
        <v>4380</v>
      </c>
      <c r="I24185" t="s">
        <v>113</v>
      </c>
      <c r="J24185">
        <v>328.03</v>
      </c>
      <c r="K24185">
        <v>63.49</v>
      </c>
      <c r="L24185">
        <v>69111</v>
      </c>
      <c r="M24185" t="s">
        <v>471</v>
      </c>
      <c r="N24185" t="str">
        <f>"1825202     "</f>
        <v xml:space="preserve">1825202     </v>
      </c>
      <c r="O24185">
        <v>230309</v>
      </c>
    </row>
    <row r="24186" spans="1:15" x14ac:dyDescent="0.25">
      <c r="A24186" t="s">
        <v>16</v>
      </c>
      <c r="B24186" t="s">
        <v>3221</v>
      </c>
      <c r="C24186">
        <v>3153</v>
      </c>
      <c r="D24186" t="s">
        <v>997</v>
      </c>
      <c r="E24186" t="s">
        <v>998</v>
      </c>
      <c r="F24186">
        <v>-97.57</v>
      </c>
      <c r="G24186">
        <v>230228</v>
      </c>
      <c r="H24186">
        <v>4380</v>
      </c>
      <c r="I24186" t="s">
        <v>113</v>
      </c>
      <c r="J24186">
        <v>-97.57</v>
      </c>
      <c r="K24186">
        <v>0</v>
      </c>
      <c r="L24186">
        <v>69501</v>
      </c>
      <c r="M24186" t="s">
        <v>185</v>
      </c>
      <c r="N24186" t="str">
        <f>"1825202     "</f>
        <v xml:space="preserve">1825202     </v>
      </c>
      <c r="O24186">
        <v>230309</v>
      </c>
    </row>
    <row r="24187" spans="1:15" x14ac:dyDescent="0.25">
      <c r="A24187" t="s">
        <v>16</v>
      </c>
      <c r="B24187" t="s">
        <v>3221</v>
      </c>
      <c r="C24187">
        <v>3153</v>
      </c>
      <c r="D24187" t="s">
        <v>997</v>
      </c>
      <c r="E24187" t="s">
        <v>998</v>
      </c>
      <c r="F24187">
        <v>1058.17</v>
      </c>
      <c r="G24187">
        <v>230228</v>
      </c>
      <c r="H24187">
        <v>4380</v>
      </c>
      <c r="I24187" t="s">
        <v>113</v>
      </c>
      <c r="J24187">
        <v>1312.13</v>
      </c>
      <c r="K24187">
        <v>253.96</v>
      </c>
      <c r="L24187">
        <v>69501</v>
      </c>
      <c r="M24187" t="s">
        <v>185</v>
      </c>
      <c r="N24187" t="str">
        <f>"1825202     "</f>
        <v xml:space="preserve">1825202     </v>
      </c>
      <c r="O24187">
        <v>230309</v>
      </c>
    </row>
    <row r="24188" spans="1:15" x14ac:dyDescent="0.25">
      <c r="A24188" t="s">
        <v>16</v>
      </c>
      <c r="B24188" t="s">
        <v>3221</v>
      </c>
      <c r="C24188">
        <v>4661</v>
      </c>
      <c r="D24188" t="s">
        <v>997</v>
      </c>
      <c r="E24188" t="s">
        <v>998</v>
      </c>
      <c r="F24188">
        <v>528.34</v>
      </c>
      <c r="G24188">
        <v>230331</v>
      </c>
      <c r="H24188">
        <v>4380</v>
      </c>
      <c r="I24188" t="s">
        <v>113</v>
      </c>
      <c r="J24188">
        <v>655.14</v>
      </c>
      <c r="K24188">
        <v>126.8</v>
      </c>
      <c r="L24188">
        <v>69111</v>
      </c>
      <c r="M24188" t="s">
        <v>471</v>
      </c>
      <c r="N24188" t="str">
        <f>"1832323     "</f>
        <v xml:space="preserve">1832323     </v>
      </c>
      <c r="O24188">
        <v>230411</v>
      </c>
    </row>
    <row r="24189" spans="1:15" x14ac:dyDescent="0.25">
      <c r="A24189" t="s">
        <v>16</v>
      </c>
      <c r="B24189" t="s">
        <v>3221</v>
      </c>
      <c r="C24189">
        <v>4661</v>
      </c>
      <c r="D24189" t="s">
        <v>997</v>
      </c>
      <c r="E24189" t="s">
        <v>998</v>
      </c>
      <c r="F24189">
        <v>981.2</v>
      </c>
      <c r="G24189">
        <v>230331</v>
      </c>
      <c r="H24189">
        <v>4380</v>
      </c>
      <c r="I24189" t="s">
        <v>113</v>
      </c>
      <c r="J24189">
        <v>1216.69</v>
      </c>
      <c r="K24189">
        <v>235.49</v>
      </c>
      <c r="L24189">
        <v>69501</v>
      </c>
      <c r="M24189" t="s">
        <v>185</v>
      </c>
      <c r="N24189" t="str">
        <f>"1832323     "</f>
        <v xml:space="preserve">1832323     </v>
      </c>
      <c r="O24189">
        <v>230411</v>
      </c>
    </row>
    <row r="24190" spans="1:15" x14ac:dyDescent="0.25">
      <c r="A24190" t="s">
        <v>16</v>
      </c>
      <c r="B24190" t="s">
        <v>3221</v>
      </c>
      <c r="C24190">
        <v>6390</v>
      </c>
      <c r="D24190" t="s">
        <v>997</v>
      </c>
      <c r="E24190" t="s">
        <v>998</v>
      </c>
      <c r="F24190">
        <v>342.3</v>
      </c>
      <c r="G24190">
        <v>230430</v>
      </c>
      <c r="H24190">
        <v>4380</v>
      </c>
      <c r="I24190" t="s">
        <v>113</v>
      </c>
      <c r="J24190">
        <v>424.45</v>
      </c>
      <c r="K24190">
        <v>82.15</v>
      </c>
      <c r="L24190">
        <v>69111</v>
      </c>
      <c r="M24190" t="s">
        <v>471</v>
      </c>
      <c r="N24190" t="str">
        <f>"1851959     "</f>
        <v xml:space="preserve">1851959     </v>
      </c>
      <c r="O24190">
        <v>230510</v>
      </c>
    </row>
    <row r="24191" spans="1:15" x14ac:dyDescent="0.25">
      <c r="A24191" t="s">
        <v>16</v>
      </c>
      <c r="B24191" t="s">
        <v>3221</v>
      </c>
      <c r="C24191">
        <v>6390</v>
      </c>
      <c r="D24191" t="s">
        <v>997</v>
      </c>
      <c r="E24191" t="s">
        <v>998</v>
      </c>
      <c r="F24191">
        <v>798.71</v>
      </c>
      <c r="G24191">
        <v>230430</v>
      </c>
      <c r="H24191">
        <v>4380</v>
      </c>
      <c r="I24191" t="s">
        <v>113</v>
      </c>
      <c r="J24191">
        <v>990.4</v>
      </c>
      <c r="K24191">
        <v>191.69</v>
      </c>
      <c r="L24191">
        <v>69501</v>
      </c>
      <c r="M24191" t="s">
        <v>185</v>
      </c>
      <c r="N24191" t="str">
        <f>"1851959     "</f>
        <v xml:space="preserve">1851959     </v>
      </c>
      <c r="O24191">
        <v>230510</v>
      </c>
    </row>
    <row r="24192" spans="1:15" x14ac:dyDescent="0.25">
      <c r="A24192" t="s">
        <v>16</v>
      </c>
      <c r="B24192" t="s">
        <v>3221</v>
      </c>
      <c r="C24192">
        <v>8173</v>
      </c>
      <c r="D24192" t="s">
        <v>997</v>
      </c>
      <c r="E24192" t="s">
        <v>998</v>
      </c>
      <c r="F24192">
        <v>-136.13999999999999</v>
      </c>
      <c r="G24192">
        <v>230531</v>
      </c>
      <c r="H24192">
        <v>4380</v>
      </c>
      <c r="I24192" t="s">
        <v>113</v>
      </c>
      <c r="J24192">
        <v>-136.13999999999999</v>
      </c>
      <c r="K24192">
        <v>0</v>
      </c>
      <c r="L24192">
        <v>69501</v>
      </c>
      <c r="M24192" t="s">
        <v>185</v>
      </c>
      <c r="N24192" t="str">
        <f>"1861230     "</f>
        <v xml:space="preserve">1861230     </v>
      </c>
      <c r="O24192">
        <v>230607</v>
      </c>
    </row>
    <row r="24193" spans="1:15" x14ac:dyDescent="0.25">
      <c r="A24193" t="s">
        <v>16</v>
      </c>
      <c r="B24193" t="s">
        <v>3221</v>
      </c>
      <c r="C24193">
        <v>8173</v>
      </c>
      <c r="D24193" t="s">
        <v>997</v>
      </c>
      <c r="E24193" t="s">
        <v>998</v>
      </c>
      <c r="F24193">
        <v>2164.02</v>
      </c>
      <c r="G24193">
        <v>230531</v>
      </c>
      <c r="H24193">
        <v>4380</v>
      </c>
      <c r="I24193" t="s">
        <v>113</v>
      </c>
      <c r="J24193">
        <v>2683.38</v>
      </c>
      <c r="K24193">
        <v>519.36</v>
      </c>
      <c r="L24193">
        <v>69501</v>
      </c>
      <c r="M24193" t="s">
        <v>185</v>
      </c>
      <c r="N24193" t="str">
        <f>"1861230     "</f>
        <v xml:space="preserve">1861230     </v>
      </c>
      <c r="O24193">
        <v>230607</v>
      </c>
    </row>
    <row r="24194" spans="1:15" x14ac:dyDescent="0.25">
      <c r="A24194" t="s">
        <v>16</v>
      </c>
      <c r="B24194" t="s">
        <v>3221</v>
      </c>
      <c r="C24194">
        <v>9415</v>
      </c>
      <c r="D24194" t="s">
        <v>997</v>
      </c>
      <c r="E24194" t="s">
        <v>998</v>
      </c>
      <c r="F24194">
        <v>421.29</v>
      </c>
      <c r="G24194">
        <v>230630</v>
      </c>
      <c r="H24194">
        <v>4380</v>
      </c>
      <c r="I24194" t="s">
        <v>113</v>
      </c>
      <c r="J24194">
        <v>522.4</v>
      </c>
      <c r="K24194">
        <v>101.11</v>
      </c>
      <c r="L24194">
        <v>69111</v>
      </c>
      <c r="M24194" t="s">
        <v>471</v>
      </c>
      <c r="N24194" t="str">
        <f>"1868449     "</f>
        <v xml:space="preserve">1868449     </v>
      </c>
      <c r="O24194">
        <v>230710</v>
      </c>
    </row>
    <row r="24195" spans="1:15" x14ac:dyDescent="0.25">
      <c r="A24195" t="s">
        <v>16</v>
      </c>
      <c r="B24195" t="s">
        <v>3221</v>
      </c>
      <c r="C24195">
        <v>9415</v>
      </c>
      <c r="D24195" t="s">
        <v>997</v>
      </c>
      <c r="E24195" t="s">
        <v>998</v>
      </c>
      <c r="F24195">
        <v>954.93</v>
      </c>
      <c r="G24195">
        <v>230630</v>
      </c>
      <c r="H24195">
        <v>4380</v>
      </c>
      <c r="I24195" t="s">
        <v>113</v>
      </c>
      <c r="J24195">
        <v>1184.1099999999999</v>
      </c>
      <c r="K24195">
        <v>229.18</v>
      </c>
      <c r="L24195">
        <v>69501</v>
      </c>
      <c r="M24195" t="s">
        <v>185</v>
      </c>
      <c r="N24195" t="str">
        <f>"1868449     "</f>
        <v xml:space="preserve">1868449     </v>
      </c>
      <c r="O24195">
        <v>230710</v>
      </c>
    </row>
    <row r="24196" spans="1:15" x14ac:dyDescent="0.25">
      <c r="A24196" t="s">
        <v>16</v>
      </c>
      <c r="B24196" t="s">
        <v>3221</v>
      </c>
      <c r="C24196">
        <v>9415</v>
      </c>
      <c r="D24196" t="s">
        <v>997</v>
      </c>
      <c r="E24196" t="s">
        <v>998</v>
      </c>
      <c r="F24196">
        <v>34.83</v>
      </c>
      <c r="G24196">
        <v>230630</v>
      </c>
      <c r="H24196">
        <v>4380</v>
      </c>
      <c r="I24196" t="s">
        <v>113</v>
      </c>
      <c r="J24196">
        <v>34.83</v>
      </c>
      <c r="K24196">
        <v>0</v>
      </c>
      <c r="L24196">
        <v>69803</v>
      </c>
      <c r="M24196" t="s">
        <v>755</v>
      </c>
      <c r="N24196" t="str">
        <f>"1868449     "</f>
        <v xml:space="preserve">1868449     </v>
      </c>
      <c r="O24196">
        <v>230710</v>
      </c>
    </row>
    <row r="24197" spans="1:15" x14ac:dyDescent="0.25">
      <c r="A24197" t="s">
        <v>16</v>
      </c>
      <c r="B24197" t="s">
        <v>3221</v>
      </c>
      <c r="C24197">
        <v>10276</v>
      </c>
      <c r="D24197" t="s">
        <v>997</v>
      </c>
      <c r="E24197" t="s">
        <v>998</v>
      </c>
      <c r="F24197">
        <v>346.85</v>
      </c>
      <c r="G24197">
        <v>230731</v>
      </c>
      <c r="H24197">
        <v>4380</v>
      </c>
      <c r="I24197" t="s">
        <v>113</v>
      </c>
      <c r="J24197">
        <v>430.1</v>
      </c>
      <c r="K24197">
        <v>83.25</v>
      </c>
      <c r="L24197">
        <v>69111</v>
      </c>
      <c r="M24197" t="s">
        <v>471</v>
      </c>
      <c r="N24197" t="str">
        <f>"1890346     "</f>
        <v xml:space="preserve">1890346     </v>
      </c>
      <c r="O24197">
        <v>230814</v>
      </c>
    </row>
    <row r="24198" spans="1:15" x14ac:dyDescent="0.25">
      <c r="A24198" t="s">
        <v>16</v>
      </c>
      <c r="B24198" t="s">
        <v>3221</v>
      </c>
      <c r="C24198">
        <v>10276</v>
      </c>
      <c r="D24198" t="s">
        <v>997</v>
      </c>
      <c r="E24198" t="s">
        <v>998</v>
      </c>
      <c r="F24198">
        <v>809.34</v>
      </c>
      <c r="G24198">
        <v>230731</v>
      </c>
      <c r="H24198">
        <v>4380</v>
      </c>
      <c r="I24198" t="s">
        <v>113</v>
      </c>
      <c r="J24198">
        <v>1003.58</v>
      </c>
      <c r="K24198">
        <v>194.24</v>
      </c>
      <c r="L24198">
        <v>69501</v>
      </c>
      <c r="M24198" t="s">
        <v>185</v>
      </c>
      <c r="N24198" t="str">
        <f>"1890346     "</f>
        <v xml:space="preserve">1890346     </v>
      </c>
      <c r="O24198">
        <v>230814</v>
      </c>
    </row>
    <row r="24199" spans="1:15" x14ac:dyDescent="0.25">
      <c r="A24199" t="s">
        <v>16</v>
      </c>
      <c r="B24199" t="s">
        <v>3221</v>
      </c>
      <c r="C24199">
        <v>11792</v>
      </c>
      <c r="D24199" t="s">
        <v>997</v>
      </c>
      <c r="E24199" t="s">
        <v>998</v>
      </c>
      <c r="F24199">
        <v>1170.03</v>
      </c>
      <c r="G24199">
        <v>230831</v>
      </c>
      <c r="H24199">
        <v>4380</v>
      </c>
      <c r="I24199" t="s">
        <v>113</v>
      </c>
      <c r="J24199">
        <v>1450.84</v>
      </c>
      <c r="K24199">
        <v>280.81</v>
      </c>
      <c r="L24199">
        <v>69501</v>
      </c>
      <c r="M24199" t="s">
        <v>185</v>
      </c>
      <c r="N24199" t="str">
        <f>"1897826     "</f>
        <v xml:space="preserve">1897826     </v>
      </c>
      <c r="O24199">
        <v>230911</v>
      </c>
    </row>
    <row r="24200" spans="1:15" x14ac:dyDescent="0.25">
      <c r="A24200" t="s">
        <v>16</v>
      </c>
      <c r="B24200" t="s">
        <v>3221</v>
      </c>
      <c r="C24200">
        <v>13758</v>
      </c>
      <c r="D24200" t="s">
        <v>997</v>
      </c>
      <c r="E24200" t="s">
        <v>998</v>
      </c>
      <c r="F24200">
        <v>427.62</v>
      </c>
      <c r="G24200">
        <v>230930</v>
      </c>
      <c r="H24200">
        <v>4380</v>
      </c>
      <c r="I24200" t="s">
        <v>113</v>
      </c>
      <c r="J24200">
        <v>530.25</v>
      </c>
      <c r="K24200">
        <v>102.63</v>
      </c>
      <c r="L24200">
        <v>69111</v>
      </c>
      <c r="M24200" t="s">
        <v>471</v>
      </c>
      <c r="N24200" t="str">
        <f>"1907702     "</f>
        <v xml:space="preserve">1907702     </v>
      </c>
      <c r="O24200">
        <v>231012</v>
      </c>
    </row>
    <row r="24201" spans="1:15" x14ac:dyDescent="0.25">
      <c r="A24201" t="s">
        <v>16</v>
      </c>
      <c r="B24201" t="s">
        <v>3221</v>
      </c>
      <c r="C24201">
        <v>13758</v>
      </c>
      <c r="D24201" t="s">
        <v>997</v>
      </c>
      <c r="E24201" t="s">
        <v>998</v>
      </c>
      <c r="F24201">
        <v>-38.21</v>
      </c>
      <c r="G24201">
        <v>230930</v>
      </c>
      <c r="H24201">
        <v>4380</v>
      </c>
      <c r="I24201" t="s">
        <v>113</v>
      </c>
      <c r="J24201">
        <v>-38.21</v>
      </c>
      <c r="K24201">
        <v>0</v>
      </c>
      <c r="L24201">
        <v>69501</v>
      </c>
      <c r="M24201" t="s">
        <v>185</v>
      </c>
      <c r="N24201" t="str">
        <f>"1907702     "</f>
        <v xml:space="preserve">1907702     </v>
      </c>
      <c r="O24201">
        <v>231012</v>
      </c>
    </row>
    <row r="24202" spans="1:15" x14ac:dyDescent="0.25">
      <c r="A24202" t="s">
        <v>16</v>
      </c>
      <c r="B24202" t="s">
        <v>3221</v>
      </c>
      <c r="C24202">
        <v>13758</v>
      </c>
      <c r="D24202" t="s">
        <v>997</v>
      </c>
      <c r="E24202" t="s">
        <v>998</v>
      </c>
      <c r="F24202">
        <v>997.78</v>
      </c>
      <c r="G24202">
        <v>230930</v>
      </c>
      <c r="H24202">
        <v>4380</v>
      </c>
      <c r="I24202" t="s">
        <v>113</v>
      </c>
      <c r="J24202">
        <v>1237.25</v>
      </c>
      <c r="K24202">
        <v>239.47</v>
      </c>
      <c r="L24202">
        <v>69501</v>
      </c>
      <c r="M24202" t="s">
        <v>185</v>
      </c>
      <c r="N24202" t="str">
        <f>"1907702     "</f>
        <v xml:space="preserve">1907702     </v>
      </c>
      <c r="O24202">
        <v>231012</v>
      </c>
    </row>
    <row r="24203" spans="1:15" x14ac:dyDescent="0.25">
      <c r="A24203" t="s">
        <v>16</v>
      </c>
      <c r="B24203" t="s">
        <v>3221</v>
      </c>
      <c r="C24203">
        <v>15342</v>
      </c>
      <c r="D24203" t="s">
        <v>997</v>
      </c>
      <c r="E24203" t="s">
        <v>998</v>
      </c>
      <c r="F24203">
        <v>830.69</v>
      </c>
      <c r="G24203">
        <v>231031</v>
      </c>
      <c r="H24203">
        <v>4380</v>
      </c>
      <c r="I24203" t="s">
        <v>113</v>
      </c>
      <c r="J24203">
        <v>1030.05</v>
      </c>
      <c r="K24203">
        <v>199.36</v>
      </c>
      <c r="L24203">
        <v>69111</v>
      </c>
      <c r="M24203" t="s">
        <v>471</v>
      </c>
      <c r="N24203" t="str">
        <f>"1928996     "</f>
        <v xml:space="preserve">1928996     </v>
      </c>
      <c r="O24203">
        <v>231113</v>
      </c>
    </row>
    <row r="24204" spans="1:15" x14ac:dyDescent="0.25">
      <c r="A24204" t="s">
        <v>16</v>
      </c>
      <c r="B24204" t="s">
        <v>3221</v>
      </c>
      <c r="C24204">
        <v>15342</v>
      </c>
      <c r="D24204" t="s">
        <v>997</v>
      </c>
      <c r="E24204" t="s">
        <v>998</v>
      </c>
      <c r="F24204">
        <v>2076.73</v>
      </c>
      <c r="G24204">
        <v>231031</v>
      </c>
      <c r="H24204">
        <v>4380</v>
      </c>
      <c r="I24204" t="s">
        <v>113</v>
      </c>
      <c r="J24204">
        <v>2575.15</v>
      </c>
      <c r="K24204">
        <v>498.42</v>
      </c>
      <c r="L24204">
        <v>69501</v>
      </c>
      <c r="M24204" t="s">
        <v>185</v>
      </c>
      <c r="N24204" t="str">
        <f>"1928996     "</f>
        <v xml:space="preserve">1928996     </v>
      </c>
      <c r="O24204">
        <v>231113</v>
      </c>
    </row>
    <row r="24205" spans="1:15" x14ac:dyDescent="0.25">
      <c r="A24205" t="s">
        <v>16</v>
      </c>
      <c r="B24205" t="s">
        <v>3221</v>
      </c>
      <c r="C24205">
        <v>15342</v>
      </c>
      <c r="D24205" t="s">
        <v>997</v>
      </c>
      <c r="E24205" t="s">
        <v>998</v>
      </c>
      <c r="F24205">
        <v>29.67</v>
      </c>
      <c r="G24205">
        <v>231031</v>
      </c>
      <c r="H24205">
        <v>4380</v>
      </c>
      <c r="I24205" t="s">
        <v>113</v>
      </c>
      <c r="J24205">
        <v>36.79</v>
      </c>
      <c r="K24205">
        <v>7.12</v>
      </c>
      <c r="L24205">
        <v>69801</v>
      </c>
      <c r="M24205" t="s">
        <v>1735</v>
      </c>
      <c r="N24205" t="str">
        <f>"1928996     "</f>
        <v xml:space="preserve">1928996     </v>
      </c>
      <c r="O24205">
        <v>231113</v>
      </c>
    </row>
    <row r="24206" spans="1:15" x14ac:dyDescent="0.25">
      <c r="A24206" t="s">
        <v>16</v>
      </c>
      <c r="B24206" t="s">
        <v>3221</v>
      </c>
      <c r="C24206">
        <v>15342</v>
      </c>
      <c r="D24206" t="s">
        <v>997</v>
      </c>
      <c r="E24206" t="s">
        <v>998</v>
      </c>
      <c r="F24206">
        <v>36.78</v>
      </c>
      <c r="G24206">
        <v>231031</v>
      </c>
      <c r="H24206">
        <v>4380</v>
      </c>
      <c r="I24206" t="s">
        <v>113</v>
      </c>
      <c r="J24206">
        <v>36.78</v>
      </c>
      <c r="K24206">
        <v>0</v>
      </c>
      <c r="L24206">
        <v>69803</v>
      </c>
      <c r="M24206" t="s">
        <v>755</v>
      </c>
      <c r="N24206" t="str">
        <f>"1928996     "</f>
        <v xml:space="preserve">1928996     </v>
      </c>
      <c r="O24206">
        <v>231113</v>
      </c>
    </row>
    <row r="24207" spans="1:15" x14ac:dyDescent="0.25">
      <c r="A24207" t="s">
        <v>16</v>
      </c>
      <c r="B24207" t="s">
        <v>3221</v>
      </c>
      <c r="C24207">
        <v>17564</v>
      </c>
      <c r="D24207" t="s">
        <v>997</v>
      </c>
      <c r="E24207" t="s">
        <v>998</v>
      </c>
      <c r="F24207">
        <v>1072.27</v>
      </c>
      <c r="G24207">
        <v>231130</v>
      </c>
      <c r="H24207">
        <v>4380</v>
      </c>
      <c r="I24207" t="s">
        <v>113</v>
      </c>
      <c r="J24207">
        <v>1329.62</v>
      </c>
      <c r="K24207">
        <v>257.35000000000002</v>
      </c>
      <c r="L24207">
        <v>69111</v>
      </c>
      <c r="M24207" t="s">
        <v>471</v>
      </c>
      <c r="N24207" t="str">
        <f>"1938614     "</f>
        <v xml:space="preserve">1938614     </v>
      </c>
      <c r="O24207">
        <v>231215</v>
      </c>
    </row>
    <row r="24208" spans="1:15" x14ac:dyDescent="0.25">
      <c r="A24208" t="s">
        <v>16</v>
      </c>
      <c r="B24208" t="s">
        <v>3221</v>
      </c>
      <c r="C24208">
        <v>17564</v>
      </c>
      <c r="D24208" t="s">
        <v>997</v>
      </c>
      <c r="E24208" t="s">
        <v>998</v>
      </c>
      <c r="F24208">
        <v>-102.51</v>
      </c>
      <c r="G24208">
        <v>231130</v>
      </c>
      <c r="H24208">
        <v>4380</v>
      </c>
      <c r="I24208" t="s">
        <v>113</v>
      </c>
      <c r="J24208">
        <v>-102.51</v>
      </c>
      <c r="K24208">
        <v>0</v>
      </c>
      <c r="L24208">
        <v>69501</v>
      </c>
      <c r="M24208" t="s">
        <v>185</v>
      </c>
      <c r="N24208" t="str">
        <f>"1938614     "</f>
        <v xml:space="preserve">1938614     </v>
      </c>
      <c r="O24208">
        <v>231215</v>
      </c>
    </row>
    <row r="24209" spans="1:15" x14ac:dyDescent="0.25">
      <c r="A24209" t="s">
        <v>16</v>
      </c>
      <c r="B24209" t="s">
        <v>3221</v>
      </c>
      <c r="C24209">
        <v>17564</v>
      </c>
      <c r="D24209" t="s">
        <v>997</v>
      </c>
      <c r="E24209" t="s">
        <v>998</v>
      </c>
      <c r="F24209">
        <v>2588.2600000000002</v>
      </c>
      <c r="G24209">
        <v>231130</v>
      </c>
      <c r="H24209">
        <v>4380</v>
      </c>
      <c r="I24209" t="s">
        <v>113</v>
      </c>
      <c r="J24209">
        <v>3209.44</v>
      </c>
      <c r="K24209">
        <v>621.17999999999995</v>
      </c>
      <c r="L24209">
        <v>69501</v>
      </c>
      <c r="M24209" t="s">
        <v>185</v>
      </c>
      <c r="N24209" t="str">
        <f>"1938614     "</f>
        <v xml:space="preserve">1938614     </v>
      </c>
      <c r="O24209">
        <v>231215</v>
      </c>
    </row>
    <row r="24210" spans="1:15" x14ac:dyDescent="0.25">
      <c r="A24210" t="s">
        <v>16</v>
      </c>
      <c r="B24210" t="s">
        <v>3221</v>
      </c>
      <c r="C24210">
        <v>17564</v>
      </c>
      <c r="D24210" t="s">
        <v>997</v>
      </c>
      <c r="E24210" t="s">
        <v>998</v>
      </c>
      <c r="F24210">
        <v>45.85</v>
      </c>
      <c r="G24210">
        <v>231130</v>
      </c>
      <c r="H24210">
        <v>4380</v>
      </c>
      <c r="I24210" t="s">
        <v>113</v>
      </c>
      <c r="J24210">
        <v>45.85</v>
      </c>
      <c r="K24210">
        <v>0</v>
      </c>
      <c r="L24210">
        <v>69803</v>
      </c>
      <c r="M24210" t="s">
        <v>755</v>
      </c>
      <c r="N24210" t="str">
        <f>"1938614     "</f>
        <v xml:space="preserve">1938614     </v>
      </c>
      <c r="O24210">
        <v>231215</v>
      </c>
    </row>
    <row r="24211" spans="1:15" x14ac:dyDescent="0.25">
      <c r="A24211" t="s">
        <v>16</v>
      </c>
      <c r="B24211" t="s">
        <v>3221</v>
      </c>
      <c r="C24211">
        <v>19199</v>
      </c>
      <c r="D24211" t="s">
        <v>997</v>
      </c>
      <c r="E24211" t="s">
        <v>998</v>
      </c>
      <c r="F24211">
        <v>376.15</v>
      </c>
      <c r="G24211">
        <v>231231</v>
      </c>
      <c r="H24211">
        <v>4380</v>
      </c>
      <c r="I24211" t="s">
        <v>113</v>
      </c>
      <c r="J24211">
        <v>466.42</v>
      </c>
      <c r="K24211">
        <v>90.27</v>
      </c>
      <c r="L24211">
        <v>69111</v>
      </c>
      <c r="M24211" t="s">
        <v>471</v>
      </c>
      <c r="N24211" t="str">
        <f>"1944964     "</f>
        <v xml:space="preserve">1944964     </v>
      </c>
      <c r="O24211">
        <v>240112</v>
      </c>
    </row>
    <row r="24212" spans="1:15" x14ac:dyDescent="0.25">
      <c r="A24212" t="s">
        <v>16</v>
      </c>
      <c r="B24212" t="s">
        <v>3221</v>
      </c>
      <c r="C24212">
        <v>19199</v>
      </c>
      <c r="D24212" t="s">
        <v>997</v>
      </c>
      <c r="E24212" t="s">
        <v>998</v>
      </c>
      <c r="F24212">
        <v>920.9</v>
      </c>
      <c r="G24212">
        <v>231231</v>
      </c>
      <c r="H24212">
        <v>4380</v>
      </c>
      <c r="I24212" t="s">
        <v>113</v>
      </c>
      <c r="J24212">
        <v>1141.9100000000001</v>
      </c>
      <c r="K24212">
        <v>221.01</v>
      </c>
      <c r="L24212">
        <v>69501</v>
      </c>
      <c r="M24212" t="s">
        <v>185</v>
      </c>
      <c r="N24212" t="str">
        <f>"1944964     "</f>
        <v xml:space="preserve">1944964     </v>
      </c>
      <c r="O24212">
        <v>240112</v>
      </c>
    </row>
    <row r="24213" spans="1:15" x14ac:dyDescent="0.25">
      <c r="A24213" t="s">
        <v>16</v>
      </c>
      <c r="B24213" t="s">
        <v>3221</v>
      </c>
      <c r="C24213">
        <v>7157</v>
      </c>
      <c r="D24213" t="s">
        <v>458</v>
      </c>
      <c r="E24213" t="s">
        <v>459</v>
      </c>
      <c r="F24213">
        <v>26.3</v>
      </c>
      <c r="G24213">
        <v>230510</v>
      </c>
      <c r="H24213">
        <v>4532</v>
      </c>
      <c r="I24213" t="s">
        <v>116</v>
      </c>
      <c r="J24213">
        <v>32.61</v>
      </c>
      <c r="K24213">
        <v>6.31</v>
      </c>
      <c r="L24213">
        <v>17523</v>
      </c>
      <c r="M24213" t="s">
        <v>134</v>
      </c>
      <c r="N24213" t="str">
        <f>"9028906834  "</f>
        <v xml:space="preserve">9028906834  </v>
      </c>
      <c r="O24213">
        <v>230525</v>
      </c>
    </row>
    <row r="24214" spans="1:15" x14ac:dyDescent="0.25">
      <c r="A24214" t="s">
        <v>16</v>
      </c>
      <c r="B24214" t="s">
        <v>3221</v>
      </c>
      <c r="C24214">
        <v>4361</v>
      </c>
      <c r="D24214" t="s">
        <v>458</v>
      </c>
      <c r="E24214" t="s">
        <v>459</v>
      </c>
      <c r="F24214">
        <v>456</v>
      </c>
      <c r="G24214">
        <v>230322</v>
      </c>
      <c r="H24214">
        <v>4580</v>
      </c>
      <c r="I24214" t="s">
        <v>35</v>
      </c>
      <c r="J24214">
        <v>565.44000000000005</v>
      </c>
      <c r="K24214">
        <v>109.44</v>
      </c>
      <c r="L24214">
        <v>49501</v>
      </c>
      <c r="M24214" t="s">
        <v>177</v>
      </c>
      <c r="N24214" t="str">
        <f>"9028886105  "</f>
        <v xml:space="preserve">9028886105  </v>
      </c>
      <c r="O24214">
        <v>230405</v>
      </c>
    </row>
    <row r="24215" spans="1:15" x14ac:dyDescent="0.25">
      <c r="A24215" t="s">
        <v>16</v>
      </c>
      <c r="B24215" t="s">
        <v>3221</v>
      </c>
      <c r="C24215">
        <v>11147</v>
      </c>
      <c r="D24215" t="s">
        <v>458</v>
      </c>
      <c r="E24215" t="s">
        <v>459</v>
      </c>
      <c r="F24215">
        <v>399</v>
      </c>
      <c r="G24215">
        <v>230821</v>
      </c>
      <c r="H24215">
        <v>4580</v>
      </c>
      <c r="I24215" t="s">
        <v>35</v>
      </c>
      <c r="J24215">
        <v>494.76</v>
      </c>
      <c r="K24215">
        <v>95.76</v>
      </c>
      <c r="L24215">
        <v>59501</v>
      </c>
      <c r="M24215" t="s">
        <v>69</v>
      </c>
      <c r="N24215" t="str">
        <f>"9028947220  "</f>
        <v xml:space="preserve">9028947220  </v>
      </c>
      <c r="O24215">
        <v>230830</v>
      </c>
    </row>
    <row r="24216" spans="1:15" x14ac:dyDescent="0.25">
      <c r="A24216" t="s">
        <v>16</v>
      </c>
      <c r="B24216" t="s">
        <v>3221</v>
      </c>
      <c r="C24216">
        <v>12918</v>
      </c>
      <c r="D24216" t="s">
        <v>458</v>
      </c>
      <c r="E24216" t="s">
        <v>459</v>
      </c>
      <c r="F24216">
        <v>3299.02</v>
      </c>
      <c r="G24216">
        <v>230918</v>
      </c>
      <c r="H24216">
        <v>1198</v>
      </c>
      <c r="I24216" t="s">
        <v>1128</v>
      </c>
      <c r="J24216">
        <v>4090.78</v>
      </c>
      <c r="K24216">
        <v>791.76</v>
      </c>
      <c r="L24216">
        <v>95511</v>
      </c>
      <c r="M24216" t="s">
        <v>1129</v>
      </c>
      <c r="N24216" t="str">
        <f>"9028960923  "</f>
        <v xml:space="preserve">9028960923  </v>
      </c>
      <c r="O24216">
        <v>230929</v>
      </c>
    </row>
    <row r="24217" spans="1:15" x14ac:dyDescent="0.25">
      <c r="A24217" t="s">
        <v>16</v>
      </c>
      <c r="B24217" t="s">
        <v>3221</v>
      </c>
      <c r="C24217">
        <v>12221</v>
      </c>
      <c r="D24217" t="s">
        <v>458</v>
      </c>
      <c r="E24217" t="s">
        <v>459</v>
      </c>
      <c r="F24217">
        <v>28.46</v>
      </c>
      <c r="G24217">
        <v>230914</v>
      </c>
      <c r="H24217">
        <v>4400</v>
      </c>
      <c r="I24217" t="s">
        <v>348</v>
      </c>
      <c r="J24217">
        <v>35.29</v>
      </c>
      <c r="K24217">
        <v>6.83</v>
      </c>
      <c r="L24217">
        <v>59501</v>
      </c>
      <c r="M24217" t="s">
        <v>69</v>
      </c>
      <c r="N24217" t="str">
        <f>"9028959309  "</f>
        <v xml:space="preserve">9028959309  </v>
      </c>
      <c r="O24217">
        <v>230915</v>
      </c>
    </row>
    <row r="24218" spans="1:15" x14ac:dyDescent="0.25">
      <c r="A24218" t="s">
        <v>16</v>
      </c>
      <c r="B24218" t="s">
        <v>3221</v>
      </c>
      <c r="C24218">
        <v>314</v>
      </c>
      <c r="D24218" t="s">
        <v>458</v>
      </c>
      <c r="E24218" t="s">
        <v>459</v>
      </c>
      <c r="F24218">
        <v>21.35</v>
      </c>
      <c r="G24218">
        <v>230116</v>
      </c>
      <c r="H24218">
        <v>4550</v>
      </c>
      <c r="I24218" t="s">
        <v>312</v>
      </c>
      <c r="J24218">
        <v>26.47</v>
      </c>
      <c r="K24218">
        <v>5.12</v>
      </c>
      <c r="L24218">
        <v>59501</v>
      </c>
      <c r="M24218" t="s">
        <v>69</v>
      </c>
      <c r="N24218" t="str">
        <f>"9028857698  "</f>
        <v xml:space="preserve">9028857698  </v>
      </c>
      <c r="O24218">
        <v>230118</v>
      </c>
    </row>
    <row r="24219" spans="1:15" x14ac:dyDescent="0.25">
      <c r="A24219" t="s">
        <v>16</v>
      </c>
      <c r="B24219" t="s">
        <v>3221</v>
      </c>
      <c r="C24219">
        <v>349</v>
      </c>
      <c r="D24219" t="s">
        <v>458</v>
      </c>
      <c r="E24219" t="s">
        <v>459</v>
      </c>
      <c r="F24219">
        <v>138.58000000000001</v>
      </c>
      <c r="G24219">
        <v>230113</v>
      </c>
      <c r="H24219">
        <v>4550</v>
      </c>
      <c r="I24219" t="s">
        <v>312</v>
      </c>
      <c r="J24219">
        <v>171.84</v>
      </c>
      <c r="K24219">
        <v>33.26</v>
      </c>
      <c r="L24219">
        <v>59502</v>
      </c>
      <c r="M24219" t="s">
        <v>70</v>
      </c>
      <c r="N24219" t="str">
        <f>"9028857156  "</f>
        <v xml:space="preserve">9028857156  </v>
      </c>
      <c r="O24219">
        <v>230118</v>
      </c>
    </row>
    <row r="24220" spans="1:15" x14ac:dyDescent="0.25">
      <c r="A24220" t="s">
        <v>16</v>
      </c>
      <c r="B24220" t="s">
        <v>3221</v>
      </c>
      <c r="C24220">
        <v>349</v>
      </c>
      <c r="D24220" t="s">
        <v>458</v>
      </c>
      <c r="E24220" t="s">
        <v>459</v>
      </c>
      <c r="F24220">
        <v>88.64</v>
      </c>
      <c r="G24220">
        <v>230113</v>
      </c>
      <c r="H24220">
        <v>4550</v>
      </c>
      <c r="I24220" t="s">
        <v>312</v>
      </c>
      <c r="J24220">
        <v>109.91</v>
      </c>
      <c r="K24220">
        <v>21.27</v>
      </c>
      <c r="L24220">
        <v>59802</v>
      </c>
      <c r="M24220" t="s">
        <v>73</v>
      </c>
      <c r="N24220" t="str">
        <f>"9028857156  "</f>
        <v xml:space="preserve">9028857156  </v>
      </c>
      <c r="O24220">
        <v>230118</v>
      </c>
    </row>
    <row r="24221" spans="1:15" x14ac:dyDescent="0.25">
      <c r="A24221" t="s">
        <v>16</v>
      </c>
      <c r="B24221" t="s">
        <v>3221</v>
      </c>
      <c r="C24221">
        <v>1446</v>
      </c>
      <c r="D24221" t="s">
        <v>458</v>
      </c>
      <c r="E24221" t="s">
        <v>459</v>
      </c>
      <c r="F24221">
        <v>-140.27000000000001</v>
      </c>
      <c r="G24221">
        <v>230207</v>
      </c>
      <c r="H24221">
        <v>4550</v>
      </c>
      <c r="I24221" t="s">
        <v>312</v>
      </c>
      <c r="J24221">
        <v>-173.94</v>
      </c>
      <c r="K24221">
        <v>-33.67</v>
      </c>
      <c r="L24221">
        <v>59502</v>
      </c>
      <c r="M24221" t="s">
        <v>70</v>
      </c>
      <c r="N24221" t="str">
        <f>"9028867744  "</f>
        <v xml:space="preserve">9028867744  </v>
      </c>
      <c r="O24221">
        <v>230209</v>
      </c>
    </row>
    <row r="24222" spans="1:15" x14ac:dyDescent="0.25">
      <c r="A24222" t="s">
        <v>16</v>
      </c>
      <c r="B24222" t="s">
        <v>3221</v>
      </c>
      <c r="C24222">
        <v>1446</v>
      </c>
      <c r="D24222" t="s">
        <v>458</v>
      </c>
      <c r="E24222" t="s">
        <v>459</v>
      </c>
      <c r="F24222">
        <v>-89.73</v>
      </c>
      <c r="G24222">
        <v>230207</v>
      </c>
      <c r="H24222">
        <v>4550</v>
      </c>
      <c r="I24222" t="s">
        <v>312</v>
      </c>
      <c r="J24222">
        <v>-111.26</v>
      </c>
      <c r="K24222">
        <v>-21.53</v>
      </c>
      <c r="L24222">
        <v>59802</v>
      </c>
      <c r="M24222" t="s">
        <v>73</v>
      </c>
      <c r="N24222" t="str">
        <f>"9028867744  "</f>
        <v xml:space="preserve">9028867744  </v>
      </c>
      <c r="O24222">
        <v>230209</v>
      </c>
    </row>
    <row r="24223" spans="1:15" x14ac:dyDescent="0.25">
      <c r="A24223" t="s">
        <v>16</v>
      </c>
      <c r="B24223" t="s">
        <v>3221</v>
      </c>
      <c r="C24223">
        <v>2112</v>
      </c>
      <c r="D24223" t="s">
        <v>458</v>
      </c>
      <c r="E24223" t="s">
        <v>459</v>
      </c>
      <c r="F24223">
        <v>452.62</v>
      </c>
      <c r="G24223">
        <v>230214</v>
      </c>
      <c r="H24223">
        <v>4550</v>
      </c>
      <c r="I24223" t="s">
        <v>312</v>
      </c>
      <c r="J24223">
        <v>561.25</v>
      </c>
      <c r="K24223">
        <v>108.63</v>
      </c>
      <c r="L24223">
        <v>59501</v>
      </c>
      <c r="M24223" t="s">
        <v>69</v>
      </c>
      <c r="N24223" t="str">
        <f>"9028870877  "</f>
        <v xml:space="preserve">9028870877  </v>
      </c>
      <c r="O24223">
        <v>230221</v>
      </c>
    </row>
    <row r="24224" spans="1:15" x14ac:dyDescent="0.25">
      <c r="A24224" t="s">
        <v>16</v>
      </c>
      <c r="B24224" t="s">
        <v>3221</v>
      </c>
      <c r="C24224">
        <v>5977</v>
      </c>
      <c r="D24224" t="s">
        <v>458</v>
      </c>
      <c r="E24224" t="s">
        <v>459</v>
      </c>
      <c r="F24224">
        <v>42.46</v>
      </c>
      <c r="G24224">
        <v>230503</v>
      </c>
      <c r="H24224">
        <v>4550</v>
      </c>
      <c r="I24224" t="s">
        <v>312</v>
      </c>
      <c r="J24224">
        <v>52.65</v>
      </c>
      <c r="K24224">
        <v>10.19</v>
      </c>
      <c r="L24224">
        <v>59502</v>
      </c>
      <c r="M24224" t="s">
        <v>70</v>
      </c>
      <c r="N24224" t="str">
        <f>"9028903452  "</f>
        <v xml:space="preserve">9028903452  </v>
      </c>
      <c r="O24224">
        <v>230504</v>
      </c>
    </row>
    <row r="24225" spans="1:15" x14ac:dyDescent="0.25">
      <c r="A24225" t="s">
        <v>16</v>
      </c>
      <c r="B24225" t="s">
        <v>3221</v>
      </c>
      <c r="C24225">
        <v>5977</v>
      </c>
      <c r="D24225" t="s">
        <v>458</v>
      </c>
      <c r="E24225" t="s">
        <v>459</v>
      </c>
      <c r="F24225">
        <v>27.16</v>
      </c>
      <c r="G24225">
        <v>230503</v>
      </c>
      <c r="H24225">
        <v>4550</v>
      </c>
      <c r="I24225" t="s">
        <v>312</v>
      </c>
      <c r="J24225">
        <v>33.68</v>
      </c>
      <c r="K24225">
        <v>6.52</v>
      </c>
      <c r="L24225">
        <v>59802</v>
      </c>
      <c r="M24225" t="s">
        <v>73</v>
      </c>
      <c r="N24225" t="str">
        <f>"9028903452  "</f>
        <v xml:space="preserve">9028903452  </v>
      </c>
      <c r="O24225">
        <v>230504</v>
      </c>
    </row>
    <row r="24226" spans="1:15" x14ac:dyDescent="0.25">
      <c r="A24226" t="s">
        <v>16</v>
      </c>
      <c r="B24226" t="s">
        <v>3221</v>
      </c>
      <c r="C24226">
        <v>7157</v>
      </c>
      <c r="D24226" t="s">
        <v>458</v>
      </c>
      <c r="E24226" t="s">
        <v>459</v>
      </c>
      <c r="F24226">
        <v>11.91</v>
      </c>
      <c r="G24226">
        <v>230510</v>
      </c>
      <c r="H24226">
        <v>4550</v>
      </c>
      <c r="I24226" t="s">
        <v>312</v>
      </c>
      <c r="J24226">
        <v>14.77</v>
      </c>
      <c r="K24226">
        <v>2.86</v>
      </c>
      <c r="L24226">
        <v>13540</v>
      </c>
      <c r="M24226" t="s">
        <v>85</v>
      </c>
      <c r="N24226" t="str">
        <f>"9028906834  "</f>
        <v xml:space="preserve">9028906834  </v>
      </c>
      <c r="O24226">
        <v>230525</v>
      </c>
    </row>
    <row r="24227" spans="1:15" x14ac:dyDescent="0.25">
      <c r="A24227" t="s">
        <v>16</v>
      </c>
      <c r="B24227" t="s">
        <v>3221</v>
      </c>
      <c r="C24227">
        <v>7157</v>
      </c>
      <c r="D24227" t="s">
        <v>458</v>
      </c>
      <c r="E24227" t="s">
        <v>459</v>
      </c>
      <c r="F24227">
        <v>81.19</v>
      </c>
      <c r="G24227">
        <v>230510</v>
      </c>
      <c r="H24227">
        <v>4550</v>
      </c>
      <c r="I24227" t="s">
        <v>312</v>
      </c>
      <c r="J24227">
        <v>100.68</v>
      </c>
      <c r="K24227">
        <v>19.489999999999998</v>
      </c>
      <c r="L24227">
        <v>17950</v>
      </c>
      <c r="M24227" t="s">
        <v>86</v>
      </c>
      <c r="N24227" t="str">
        <f>"9028906834  "</f>
        <v xml:space="preserve">9028906834  </v>
      </c>
      <c r="O24227">
        <v>230525</v>
      </c>
    </row>
    <row r="24228" spans="1:15" x14ac:dyDescent="0.25">
      <c r="A24228" t="s">
        <v>16</v>
      </c>
      <c r="B24228" t="s">
        <v>3221</v>
      </c>
      <c r="C24228">
        <v>7157</v>
      </c>
      <c r="D24228" t="s">
        <v>458</v>
      </c>
      <c r="E24228" t="s">
        <v>459</v>
      </c>
      <c r="F24228">
        <v>15.15</v>
      </c>
      <c r="G24228">
        <v>230510</v>
      </c>
      <c r="H24228">
        <v>4550</v>
      </c>
      <c r="I24228" t="s">
        <v>312</v>
      </c>
      <c r="J24228">
        <v>18.79</v>
      </c>
      <c r="K24228">
        <v>3.64</v>
      </c>
      <c r="L24228">
        <v>17956</v>
      </c>
      <c r="M24228" t="s">
        <v>53</v>
      </c>
      <c r="N24228" t="str">
        <f>"9028906834  "</f>
        <v xml:space="preserve">9028906834  </v>
      </c>
      <c r="O24228">
        <v>230525</v>
      </c>
    </row>
    <row r="24229" spans="1:15" x14ac:dyDescent="0.25">
      <c r="A24229" t="s">
        <v>16</v>
      </c>
      <c r="B24229" t="s">
        <v>3221</v>
      </c>
      <c r="C24229">
        <v>11147</v>
      </c>
      <c r="D24229" t="s">
        <v>458</v>
      </c>
      <c r="E24229" t="s">
        <v>459</v>
      </c>
      <c r="F24229">
        <v>130</v>
      </c>
      <c r="G24229">
        <v>230821</v>
      </c>
      <c r="H24229">
        <v>4550</v>
      </c>
      <c r="I24229" t="s">
        <v>312</v>
      </c>
      <c r="J24229">
        <v>161.19999999999999</v>
      </c>
      <c r="K24229">
        <v>31.2</v>
      </c>
      <c r="L24229">
        <v>59501</v>
      </c>
      <c r="M24229" t="s">
        <v>69</v>
      </c>
      <c r="N24229" t="str">
        <f>"9028947220  "</f>
        <v xml:space="preserve">9028947220  </v>
      </c>
      <c r="O24229">
        <v>230830</v>
      </c>
    </row>
    <row r="24230" spans="1:15" x14ac:dyDescent="0.25">
      <c r="A24230" t="s">
        <v>16</v>
      </c>
      <c r="B24230" t="s">
        <v>3221</v>
      </c>
      <c r="C24230">
        <v>12454</v>
      </c>
      <c r="D24230" t="s">
        <v>458</v>
      </c>
      <c r="E24230" t="s">
        <v>459</v>
      </c>
      <c r="F24230">
        <v>17.98</v>
      </c>
      <c r="G24230">
        <v>230905</v>
      </c>
      <c r="H24230">
        <v>4550</v>
      </c>
      <c r="I24230" t="s">
        <v>312</v>
      </c>
      <c r="J24230">
        <v>22.29</v>
      </c>
      <c r="K24230">
        <v>4.3099999999999996</v>
      </c>
      <c r="L24230">
        <v>13540</v>
      </c>
      <c r="M24230" t="s">
        <v>85</v>
      </c>
      <c r="N24230" t="str">
        <f>"9028954721  "</f>
        <v xml:space="preserve">9028954721  </v>
      </c>
      <c r="O24230">
        <v>230920</v>
      </c>
    </row>
    <row r="24231" spans="1:15" x14ac:dyDescent="0.25">
      <c r="A24231" t="s">
        <v>16</v>
      </c>
      <c r="B24231" t="s">
        <v>3221</v>
      </c>
      <c r="C24231">
        <v>12454</v>
      </c>
      <c r="D24231" t="s">
        <v>458</v>
      </c>
      <c r="E24231" t="s">
        <v>459</v>
      </c>
      <c r="F24231">
        <v>96.27</v>
      </c>
      <c r="G24231">
        <v>230905</v>
      </c>
      <c r="H24231">
        <v>4550</v>
      </c>
      <c r="I24231" t="s">
        <v>312</v>
      </c>
      <c r="J24231">
        <v>119.38</v>
      </c>
      <c r="K24231">
        <v>23.11</v>
      </c>
      <c r="L24231">
        <v>17950</v>
      </c>
      <c r="M24231" t="s">
        <v>86</v>
      </c>
      <c r="N24231" t="str">
        <f>"9028954721  "</f>
        <v xml:space="preserve">9028954721  </v>
      </c>
      <c r="O24231">
        <v>230920</v>
      </c>
    </row>
    <row r="24232" spans="1:15" x14ac:dyDescent="0.25">
      <c r="A24232" t="s">
        <v>16</v>
      </c>
      <c r="B24232" t="s">
        <v>3221</v>
      </c>
      <c r="C24232">
        <v>12454</v>
      </c>
      <c r="D24232" t="s">
        <v>458</v>
      </c>
      <c r="E24232" t="s">
        <v>459</v>
      </c>
      <c r="F24232">
        <v>14.13</v>
      </c>
      <c r="G24232">
        <v>230905</v>
      </c>
      <c r="H24232">
        <v>4550</v>
      </c>
      <c r="I24232" t="s">
        <v>312</v>
      </c>
      <c r="J24232">
        <v>17.52</v>
      </c>
      <c r="K24232">
        <v>3.39</v>
      </c>
      <c r="L24232">
        <v>17956</v>
      </c>
      <c r="M24232" t="s">
        <v>53</v>
      </c>
      <c r="N24232" t="str">
        <f>"9028954721  "</f>
        <v xml:space="preserve">9028954721  </v>
      </c>
      <c r="O24232">
        <v>230920</v>
      </c>
    </row>
    <row r="24233" spans="1:15" x14ac:dyDescent="0.25">
      <c r="A24233" t="s">
        <v>16</v>
      </c>
      <c r="B24233" t="s">
        <v>3221</v>
      </c>
      <c r="C24233">
        <v>16560</v>
      </c>
      <c r="D24233" t="s">
        <v>458</v>
      </c>
      <c r="E24233" t="s">
        <v>459</v>
      </c>
      <c r="F24233">
        <v>6.1</v>
      </c>
      <c r="G24233">
        <v>231121</v>
      </c>
      <c r="H24233">
        <v>4550</v>
      </c>
      <c r="I24233" t="s">
        <v>312</v>
      </c>
      <c r="J24233">
        <v>7.56</v>
      </c>
      <c r="K24233">
        <v>1.46</v>
      </c>
      <c r="L24233">
        <v>13540</v>
      </c>
      <c r="M24233" t="s">
        <v>85</v>
      </c>
      <c r="N24233" t="str">
        <f>"9028989433  "</f>
        <v xml:space="preserve">9028989433  </v>
      </c>
      <c r="O24233">
        <v>231201</v>
      </c>
    </row>
    <row r="24234" spans="1:15" x14ac:dyDescent="0.25">
      <c r="A24234" t="s">
        <v>16</v>
      </c>
      <c r="B24234" t="s">
        <v>3221</v>
      </c>
      <c r="C24234">
        <v>16560</v>
      </c>
      <c r="D24234" t="s">
        <v>458</v>
      </c>
      <c r="E24234" t="s">
        <v>459</v>
      </c>
      <c r="F24234">
        <v>41.6</v>
      </c>
      <c r="G24234">
        <v>231121</v>
      </c>
      <c r="H24234">
        <v>4550</v>
      </c>
      <c r="I24234" t="s">
        <v>312</v>
      </c>
      <c r="J24234">
        <v>51.58</v>
      </c>
      <c r="K24234">
        <v>9.98</v>
      </c>
      <c r="L24234">
        <v>17950</v>
      </c>
      <c r="M24234" t="s">
        <v>86</v>
      </c>
      <c r="N24234" t="str">
        <f>"9028989433  "</f>
        <v xml:space="preserve">9028989433  </v>
      </c>
      <c r="O24234">
        <v>231201</v>
      </c>
    </row>
    <row r="24235" spans="1:15" x14ac:dyDescent="0.25">
      <c r="A24235" t="s">
        <v>16</v>
      </c>
      <c r="B24235" t="s">
        <v>3221</v>
      </c>
      <c r="C24235">
        <v>16560</v>
      </c>
      <c r="D24235" t="s">
        <v>458</v>
      </c>
      <c r="E24235" t="s">
        <v>459</v>
      </c>
      <c r="F24235">
        <v>7.77</v>
      </c>
      <c r="G24235">
        <v>231121</v>
      </c>
      <c r="H24235">
        <v>4550</v>
      </c>
      <c r="I24235" t="s">
        <v>312</v>
      </c>
      <c r="J24235">
        <v>9.6300000000000008</v>
      </c>
      <c r="K24235">
        <v>1.86</v>
      </c>
      <c r="L24235">
        <v>17956</v>
      </c>
      <c r="M24235" t="s">
        <v>53</v>
      </c>
      <c r="N24235" t="str">
        <f>"9028989433  "</f>
        <v xml:space="preserve">9028989433  </v>
      </c>
      <c r="O24235">
        <v>231201</v>
      </c>
    </row>
    <row r="24236" spans="1:15" x14ac:dyDescent="0.25">
      <c r="A24236" t="s">
        <v>16</v>
      </c>
      <c r="B24236" t="s">
        <v>3221</v>
      </c>
      <c r="C24236">
        <v>2691</v>
      </c>
      <c r="D24236" t="s">
        <v>1458</v>
      </c>
      <c r="E24236" t="s">
        <v>1459</v>
      </c>
      <c r="F24236">
        <v>45.2</v>
      </c>
      <c r="G24236">
        <v>230223</v>
      </c>
      <c r="H24236">
        <v>4600</v>
      </c>
      <c r="I24236" t="s">
        <v>105</v>
      </c>
      <c r="J24236">
        <v>56.05</v>
      </c>
      <c r="K24236">
        <v>10.85</v>
      </c>
      <c r="L24236">
        <v>56573</v>
      </c>
      <c r="M24236" t="s">
        <v>521</v>
      </c>
      <c r="N24236" t="str">
        <f>"26297       "</f>
        <v xml:space="preserve">26297       </v>
      </c>
      <c r="O24236">
        <v>230307</v>
      </c>
    </row>
    <row r="24237" spans="1:15" x14ac:dyDescent="0.25">
      <c r="A24237" t="s">
        <v>16</v>
      </c>
      <c r="B24237" t="s">
        <v>3221</v>
      </c>
      <c r="C24237">
        <v>3287</v>
      </c>
      <c r="D24237" t="s">
        <v>1458</v>
      </c>
      <c r="E24237" t="s">
        <v>1459</v>
      </c>
      <c r="F24237">
        <v>45.2</v>
      </c>
      <c r="G24237">
        <v>230223</v>
      </c>
      <c r="H24237">
        <v>4600</v>
      </c>
      <c r="I24237" t="s">
        <v>105</v>
      </c>
      <c r="J24237">
        <v>56.05</v>
      </c>
      <c r="K24237">
        <v>10.85</v>
      </c>
      <c r="L24237">
        <v>56573</v>
      </c>
      <c r="M24237" t="s">
        <v>521</v>
      </c>
      <c r="N24237" t="str">
        <f>"26927       "</f>
        <v xml:space="preserve">26927       </v>
      </c>
      <c r="O24237">
        <v>230313</v>
      </c>
    </row>
    <row r="24238" spans="1:15" x14ac:dyDescent="0.25">
      <c r="A24238" t="s">
        <v>16</v>
      </c>
      <c r="B24238" t="s">
        <v>3221</v>
      </c>
      <c r="C24238">
        <v>9080</v>
      </c>
      <c r="D24238" t="s">
        <v>3495</v>
      </c>
      <c r="E24238" t="s">
        <v>3496</v>
      </c>
      <c r="F24238">
        <v>294.5</v>
      </c>
      <c r="G24238">
        <v>230620</v>
      </c>
      <c r="H24238">
        <v>4820</v>
      </c>
      <c r="I24238" t="s">
        <v>50</v>
      </c>
      <c r="J24238">
        <v>294.5</v>
      </c>
      <c r="K24238">
        <v>0</v>
      </c>
      <c r="L24238">
        <v>13841</v>
      </c>
      <c r="M24238" t="s">
        <v>47</v>
      </c>
      <c r="N24238" t="str">
        <f>"2023031     "</f>
        <v xml:space="preserve">2023031     </v>
      </c>
      <c r="O24238">
        <v>230622</v>
      </c>
    </row>
    <row r="24239" spans="1:15" x14ac:dyDescent="0.25">
      <c r="A24239" t="s">
        <v>16</v>
      </c>
      <c r="B24239" t="s">
        <v>3221</v>
      </c>
      <c r="C24239">
        <v>133</v>
      </c>
      <c r="D24239" t="s">
        <v>195</v>
      </c>
      <c r="E24239" t="s">
        <v>196</v>
      </c>
      <c r="F24239">
        <v>1812.29</v>
      </c>
      <c r="G24239">
        <v>230104</v>
      </c>
      <c r="H24239">
        <v>4346</v>
      </c>
      <c r="I24239" t="s">
        <v>197</v>
      </c>
      <c r="J24239">
        <v>2247.2399999999998</v>
      </c>
      <c r="K24239">
        <v>434.95</v>
      </c>
      <c r="L24239">
        <v>11401</v>
      </c>
      <c r="M24239" t="s">
        <v>84</v>
      </c>
      <c r="N24239" t="str">
        <f>"8195453     "</f>
        <v xml:space="preserve">8195453     </v>
      </c>
      <c r="O24239">
        <v>230112</v>
      </c>
    </row>
    <row r="24240" spans="1:15" x14ac:dyDescent="0.25">
      <c r="A24240" t="s">
        <v>16</v>
      </c>
      <c r="B24240" t="s">
        <v>3221</v>
      </c>
      <c r="C24240">
        <v>16299</v>
      </c>
      <c r="D24240" t="s">
        <v>2947</v>
      </c>
      <c r="E24240" t="s">
        <v>2948</v>
      </c>
      <c r="F24240">
        <v>2203</v>
      </c>
      <c r="G24240">
        <v>230915</v>
      </c>
      <c r="H24240">
        <v>4580</v>
      </c>
      <c r="I24240" t="s">
        <v>35</v>
      </c>
      <c r="J24240">
        <v>2731.72</v>
      </c>
      <c r="K24240">
        <v>528.72</v>
      </c>
      <c r="L24240">
        <v>17971</v>
      </c>
      <c r="M24240" t="s">
        <v>138</v>
      </c>
      <c r="N24240" t="str">
        <f>"5380096     "</f>
        <v xml:space="preserve">5380096     </v>
      </c>
      <c r="O24240">
        <v>231127</v>
      </c>
    </row>
    <row r="24241" spans="1:15" x14ac:dyDescent="0.25">
      <c r="A24241" t="s">
        <v>16</v>
      </c>
      <c r="B24241" t="s">
        <v>3221</v>
      </c>
      <c r="C24241">
        <v>138</v>
      </c>
      <c r="D24241" t="s">
        <v>205</v>
      </c>
      <c r="E24241" t="s">
        <v>206</v>
      </c>
      <c r="F24241">
        <v>52.9</v>
      </c>
      <c r="G24241">
        <v>230105</v>
      </c>
      <c r="H24241">
        <v>4362</v>
      </c>
      <c r="I24241" t="s">
        <v>79</v>
      </c>
      <c r="J24241">
        <v>65.599999999999994</v>
      </c>
      <c r="K24241">
        <v>12.7</v>
      </c>
      <c r="L24241">
        <v>54451</v>
      </c>
      <c r="M24241" t="s">
        <v>158</v>
      </c>
      <c r="N24241" t="str">
        <f>"10163915    "</f>
        <v xml:space="preserve">10163915    </v>
      </c>
      <c r="O24241">
        <v>230112</v>
      </c>
    </row>
    <row r="24242" spans="1:15" x14ac:dyDescent="0.25">
      <c r="A24242" t="s">
        <v>16</v>
      </c>
      <c r="B24242" t="s">
        <v>3221</v>
      </c>
      <c r="C24242">
        <v>5042</v>
      </c>
      <c r="D24242" t="s">
        <v>205</v>
      </c>
      <c r="E24242" t="s">
        <v>206</v>
      </c>
      <c r="F24242">
        <v>52.9</v>
      </c>
      <c r="G24242">
        <v>230405</v>
      </c>
      <c r="H24242">
        <v>4362</v>
      </c>
      <c r="I24242" t="s">
        <v>79</v>
      </c>
      <c r="J24242">
        <v>65.599999999999994</v>
      </c>
      <c r="K24242">
        <v>12.7</v>
      </c>
      <c r="L24242">
        <v>54451</v>
      </c>
      <c r="M24242" t="s">
        <v>158</v>
      </c>
      <c r="N24242" t="str">
        <f>"10167035    "</f>
        <v xml:space="preserve">10167035    </v>
      </c>
      <c r="O24242">
        <v>230417</v>
      </c>
    </row>
    <row r="24243" spans="1:15" x14ac:dyDescent="0.25">
      <c r="A24243" t="s">
        <v>16</v>
      </c>
      <c r="B24243" t="s">
        <v>3221</v>
      </c>
      <c r="C24243">
        <v>9755</v>
      </c>
      <c r="D24243" t="s">
        <v>205</v>
      </c>
      <c r="E24243" t="s">
        <v>206</v>
      </c>
      <c r="F24243">
        <v>52.9</v>
      </c>
      <c r="G24243">
        <v>230706</v>
      </c>
      <c r="H24243">
        <v>4362</v>
      </c>
      <c r="I24243" t="s">
        <v>79</v>
      </c>
      <c r="J24243">
        <v>65.599999999999994</v>
      </c>
      <c r="K24243">
        <v>12.7</v>
      </c>
      <c r="L24243">
        <v>59702</v>
      </c>
      <c r="M24243" t="s">
        <v>328</v>
      </c>
      <c r="N24243" t="str">
        <f>"10170216    "</f>
        <v xml:space="preserve">10170216    </v>
      </c>
      <c r="O24243">
        <v>230725</v>
      </c>
    </row>
    <row r="24244" spans="1:15" x14ac:dyDescent="0.25">
      <c r="A24244" t="s">
        <v>16</v>
      </c>
      <c r="B24244" t="s">
        <v>3221</v>
      </c>
      <c r="C24244">
        <v>14036</v>
      </c>
      <c r="D24244" t="s">
        <v>205</v>
      </c>
      <c r="E24244" t="s">
        <v>206</v>
      </c>
      <c r="F24244">
        <v>52.9</v>
      </c>
      <c r="G24244">
        <v>231009</v>
      </c>
      <c r="H24244">
        <v>4362</v>
      </c>
      <c r="I24244" t="s">
        <v>79</v>
      </c>
      <c r="J24244">
        <v>65.599999999999994</v>
      </c>
      <c r="K24244">
        <v>12.7</v>
      </c>
      <c r="L24244">
        <v>54451</v>
      </c>
      <c r="M24244" t="s">
        <v>158</v>
      </c>
      <c r="N24244" t="str">
        <f>"10173346    "</f>
        <v xml:space="preserve">10173346    </v>
      </c>
      <c r="O24244">
        <v>231017</v>
      </c>
    </row>
    <row r="24245" spans="1:15" x14ac:dyDescent="0.25">
      <c r="A24245" t="s">
        <v>16</v>
      </c>
      <c r="B24245" t="s">
        <v>3221</v>
      </c>
      <c r="C24245">
        <v>5113</v>
      </c>
      <c r="D24245" t="s">
        <v>205</v>
      </c>
      <c r="E24245" t="s">
        <v>206</v>
      </c>
      <c r="F24245">
        <v>110.06</v>
      </c>
      <c r="G24245">
        <v>230413</v>
      </c>
      <c r="H24245">
        <v>4600</v>
      </c>
      <c r="I24245" t="s">
        <v>105</v>
      </c>
      <c r="J24245">
        <v>136.47</v>
      </c>
      <c r="K24245">
        <v>26.41</v>
      </c>
      <c r="L24245">
        <v>54451</v>
      </c>
      <c r="M24245" t="s">
        <v>158</v>
      </c>
      <c r="N24245" t="str">
        <f>"75245       "</f>
        <v xml:space="preserve">75245       </v>
      </c>
      <c r="O24245">
        <v>230418</v>
      </c>
    </row>
    <row r="24246" spans="1:15" x14ac:dyDescent="0.25">
      <c r="A24246" t="s">
        <v>16</v>
      </c>
      <c r="B24246" t="s">
        <v>3221</v>
      </c>
      <c r="C24246">
        <v>1458</v>
      </c>
      <c r="D24246" t="s">
        <v>205</v>
      </c>
      <c r="E24246" t="s">
        <v>206</v>
      </c>
      <c r="F24246">
        <v>88.9</v>
      </c>
      <c r="G24246">
        <v>230206</v>
      </c>
      <c r="H24246">
        <v>4363</v>
      </c>
      <c r="I24246" t="s">
        <v>947</v>
      </c>
      <c r="J24246">
        <v>110.24</v>
      </c>
      <c r="K24246">
        <v>21.34</v>
      </c>
      <c r="L24246">
        <v>54451</v>
      </c>
      <c r="M24246" t="s">
        <v>158</v>
      </c>
      <c r="N24246" t="str">
        <f>"10164997    "</f>
        <v xml:space="preserve">10164997    </v>
      </c>
      <c r="O24246">
        <v>230209</v>
      </c>
    </row>
    <row r="24247" spans="1:15" x14ac:dyDescent="0.25">
      <c r="A24247" t="s">
        <v>16</v>
      </c>
      <c r="B24247" t="s">
        <v>3221</v>
      </c>
      <c r="C24247">
        <v>3109</v>
      </c>
      <c r="D24247" t="s">
        <v>205</v>
      </c>
      <c r="E24247" t="s">
        <v>206</v>
      </c>
      <c r="F24247">
        <v>107.9</v>
      </c>
      <c r="G24247">
        <v>230308</v>
      </c>
      <c r="H24247">
        <v>4363</v>
      </c>
      <c r="I24247" t="s">
        <v>947</v>
      </c>
      <c r="J24247">
        <v>133.80000000000001</v>
      </c>
      <c r="K24247">
        <v>25.9</v>
      </c>
      <c r="L24247">
        <v>54451</v>
      </c>
      <c r="M24247" t="s">
        <v>158</v>
      </c>
      <c r="N24247" t="str">
        <f>"12007504    "</f>
        <v xml:space="preserve">12007504    </v>
      </c>
      <c r="O24247">
        <v>230309</v>
      </c>
    </row>
    <row r="24248" spans="1:15" x14ac:dyDescent="0.25">
      <c r="A24248" t="s">
        <v>16</v>
      </c>
      <c r="B24248" t="s">
        <v>3221</v>
      </c>
      <c r="C24248">
        <v>6314</v>
      </c>
      <c r="D24248" t="s">
        <v>205</v>
      </c>
      <c r="E24248" t="s">
        <v>206</v>
      </c>
      <c r="F24248">
        <v>88.9</v>
      </c>
      <c r="G24248">
        <v>230505</v>
      </c>
      <c r="H24248">
        <v>4363</v>
      </c>
      <c r="I24248" t="s">
        <v>947</v>
      </c>
      <c r="J24248">
        <v>110.24</v>
      </c>
      <c r="K24248">
        <v>21.34</v>
      </c>
      <c r="L24248">
        <v>54451</v>
      </c>
      <c r="M24248" t="s">
        <v>158</v>
      </c>
      <c r="N24248" t="str">
        <f>"10168125    "</f>
        <v xml:space="preserve">10168125    </v>
      </c>
      <c r="O24248">
        <v>230510</v>
      </c>
    </row>
    <row r="24249" spans="1:15" x14ac:dyDescent="0.25">
      <c r="A24249" t="s">
        <v>16</v>
      </c>
      <c r="B24249" t="s">
        <v>3221</v>
      </c>
      <c r="C24249">
        <v>10251</v>
      </c>
      <c r="D24249" t="s">
        <v>205</v>
      </c>
      <c r="E24249" t="s">
        <v>206</v>
      </c>
      <c r="F24249">
        <v>88.92</v>
      </c>
      <c r="G24249">
        <v>230808</v>
      </c>
      <c r="H24249">
        <v>4363</v>
      </c>
      <c r="I24249" t="s">
        <v>947</v>
      </c>
      <c r="J24249">
        <v>110.26</v>
      </c>
      <c r="K24249">
        <v>21.34</v>
      </c>
      <c r="L24249">
        <v>54451</v>
      </c>
      <c r="M24249" t="s">
        <v>158</v>
      </c>
      <c r="N24249" t="str">
        <f>"10171292    "</f>
        <v xml:space="preserve">10171292    </v>
      </c>
      <c r="O24249">
        <v>230810</v>
      </c>
    </row>
    <row r="24250" spans="1:15" x14ac:dyDescent="0.25">
      <c r="A24250" t="s">
        <v>16</v>
      </c>
      <c r="B24250" t="s">
        <v>3221</v>
      </c>
      <c r="C24250">
        <v>15111</v>
      </c>
      <c r="D24250" t="s">
        <v>205</v>
      </c>
      <c r="E24250" t="s">
        <v>206</v>
      </c>
      <c r="F24250">
        <v>88.9</v>
      </c>
      <c r="G24250">
        <v>231106</v>
      </c>
      <c r="H24250">
        <v>4363</v>
      </c>
      <c r="I24250" t="s">
        <v>947</v>
      </c>
      <c r="J24250">
        <v>110.24</v>
      </c>
      <c r="K24250">
        <v>21.34</v>
      </c>
      <c r="L24250">
        <v>54451</v>
      </c>
      <c r="M24250" t="s">
        <v>158</v>
      </c>
      <c r="N24250" t="str">
        <f>"10174418    "</f>
        <v xml:space="preserve">10174418    </v>
      </c>
      <c r="O24250">
        <v>231108</v>
      </c>
    </row>
    <row r="24251" spans="1:15" x14ac:dyDescent="0.25">
      <c r="A24251" t="s">
        <v>16</v>
      </c>
      <c r="B24251" t="s">
        <v>3221</v>
      </c>
      <c r="C24251">
        <v>16266</v>
      </c>
      <c r="D24251" t="s">
        <v>205</v>
      </c>
      <c r="E24251" t="s">
        <v>206</v>
      </c>
      <c r="F24251">
        <v>374.2</v>
      </c>
      <c r="G24251">
        <v>231122</v>
      </c>
      <c r="H24251">
        <v>4363</v>
      </c>
      <c r="I24251" t="s">
        <v>947</v>
      </c>
      <c r="J24251">
        <v>464.01</v>
      </c>
      <c r="K24251">
        <v>89.81</v>
      </c>
      <c r="L24251">
        <v>54451</v>
      </c>
      <c r="M24251" t="s">
        <v>158</v>
      </c>
      <c r="N24251" t="str">
        <f>"14008276    "</f>
        <v xml:space="preserve">14008276    </v>
      </c>
      <c r="O24251">
        <v>231127</v>
      </c>
    </row>
    <row r="24252" spans="1:15" x14ac:dyDescent="0.25">
      <c r="A24252" t="s">
        <v>16</v>
      </c>
      <c r="B24252" t="s">
        <v>3221</v>
      </c>
      <c r="C24252">
        <v>6657</v>
      </c>
      <c r="D24252" t="s">
        <v>2003</v>
      </c>
      <c r="E24252" t="s">
        <v>2004</v>
      </c>
      <c r="F24252">
        <v>297.37</v>
      </c>
      <c r="G24252">
        <v>230505</v>
      </c>
      <c r="H24252">
        <v>4534</v>
      </c>
      <c r="I24252" t="s">
        <v>273</v>
      </c>
      <c r="J24252">
        <v>339</v>
      </c>
      <c r="K24252">
        <v>41.63</v>
      </c>
      <c r="L24252">
        <v>17711</v>
      </c>
      <c r="M24252" t="s">
        <v>65</v>
      </c>
      <c r="N24252" t="str">
        <f>"120         "</f>
        <v xml:space="preserve">120         </v>
      </c>
      <c r="O24252">
        <v>230517</v>
      </c>
    </row>
    <row r="24253" spans="1:15" x14ac:dyDescent="0.25">
      <c r="A24253" t="s">
        <v>16</v>
      </c>
      <c r="B24253" t="s">
        <v>3221</v>
      </c>
      <c r="C24253">
        <v>9861</v>
      </c>
      <c r="D24253" t="s">
        <v>2003</v>
      </c>
      <c r="E24253" t="s">
        <v>2004</v>
      </c>
      <c r="F24253">
        <v>247.81</v>
      </c>
      <c r="G24253">
        <v>230721</v>
      </c>
      <c r="H24253">
        <v>4534</v>
      </c>
      <c r="I24253" t="s">
        <v>273</v>
      </c>
      <c r="J24253">
        <v>282.5</v>
      </c>
      <c r="K24253">
        <v>34.69</v>
      </c>
      <c r="L24253">
        <v>17711</v>
      </c>
      <c r="M24253" t="s">
        <v>65</v>
      </c>
      <c r="N24253" t="str">
        <f>"195         "</f>
        <v xml:space="preserve">195         </v>
      </c>
      <c r="O24253">
        <v>230731</v>
      </c>
    </row>
    <row r="24254" spans="1:15" x14ac:dyDescent="0.25">
      <c r="A24254" t="s">
        <v>16</v>
      </c>
      <c r="B24254" t="s">
        <v>3221</v>
      </c>
      <c r="C24254">
        <v>6657</v>
      </c>
      <c r="D24254" t="s">
        <v>2003</v>
      </c>
      <c r="E24254" t="s">
        <v>2004</v>
      </c>
      <c r="F24254">
        <v>12.1</v>
      </c>
      <c r="G24254">
        <v>230505</v>
      </c>
      <c r="H24254">
        <v>4364</v>
      </c>
      <c r="I24254" t="s">
        <v>296</v>
      </c>
      <c r="J24254">
        <v>15</v>
      </c>
      <c r="K24254">
        <v>2.9</v>
      </c>
      <c r="L24254">
        <v>17711</v>
      </c>
      <c r="M24254" t="s">
        <v>65</v>
      </c>
      <c r="N24254" t="str">
        <f>"120         "</f>
        <v xml:space="preserve">120         </v>
      </c>
      <c r="O24254">
        <v>230517</v>
      </c>
    </row>
    <row r="24255" spans="1:15" x14ac:dyDescent="0.25">
      <c r="A24255" t="s">
        <v>16</v>
      </c>
      <c r="B24255" t="s">
        <v>3221</v>
      </c>
      <c r="C24255">
        <v>9861</v>
      </c>
      <c r="D24255" t="s">
        <v>2003</v>
      </c>
      <c r="E24255" t="s">
        <v>2004</v>
      </c>
      <c r="F24255">
        <v>12.1</v>
      </c>
      <c r="G24255">
        <v>230721</v>
      </c>
      <c r="H24255">
        <v>4363</v>
      </c>
      <c r="I24255" t="s">
        <v>947</v>
      </c>
      <c r="J24255">
        <v>15</v>
      </c>
      <c r="K24255">
        <v>2.9</v>
      </c>
      <c r="L24255">
        <v>17711</v>
      </c>
      <c r="M24255" t="s">
        <v>65</v>
      </c>
      <c r="N24255" t="str">
        <f>"195         "</f>
        <v xml:space="preserve">195         </v>
      </c>
      <c r="O24255">
        <v>230731</v>
      </c>
    </row>
    <row r="24256" spans="1:15" x14ac:dyDescent="0.25">
      <c r="A24256" t="s">
        <v>16</v>
      </c>
      <c r="B24256" t="s">
        <v>3221</v>
      </c>
      <c r="C24256">
        <v>125</v>
      </c>
      <c r="D24256" t="s">
        <v>183</v>
      </c>
      <c r="E24256" t="s">
        <v>184</v>
      </c>
      <c r="F24256">
        <v>3217.72</v>
      </c>
      <c r="G24256">
        <v>230104</v>
      </c>
      <c r="H24256">
        <v>4580</v>
      </c>
      <c r="I24256" t="s">
        <v>35</v>
      </c>
      <c r="J24256">
        <v>3989.97</v>
      </c>
      <c r="K24256">
        <v>772.25</v>
      </c>
      <c r="L24256">
        <v>11301</v>
      </c>
      <c r="M24256" t="s">
        <v>29</v>
      </c>
      <c r="N24256" t="str">
        <f>"103364587   "</f>
        <v xml:space="preserve">103364587   </v>
      </c>
      <c r="O24256">
        <v>230112</v>
      </c>
    </row>
    <row r="24257" spans="1:15" x14ac:dyDescent="0.25">
      <c r="A24257" t="s">
        <v>16</v>
      </c>
      <c r="B24257" t="s">
        <v>3221</v>
      </c>
      <c r="C24257">
        <v>205</v>
      </c>
      <c r="D24257" t="s">
        <v>183</v>
      </c>
      <c r="E24257" t="s">
        <v>184</v>
      </c>
      <c r="F24257">
        <v>196.73</v>
      </c>
      <c r="G24257">
        <v>230105</v>
      </c>
      <c r="H24257">
        <v>4580</v>
      </c>
      <c r="I24257" t="s">
        <v>35</v>
      </c>
      <c r="J24257">
        <v>243.95</v>
      </c>
      <c r="K24257">
        <v>47.22</v>
      </c>
      <c r="L24257">
        <v>11301</v>
      </c>
      <c r="M24257" t="s">
        <v>29</v>
      </c>
      <c r="N24257" t="str">
        <f>"103402738   "</f>
        <v xml:space="preserve">103402738   </v>
      </c>
      <c r="O24257">
        <v>230116</v>
      </c>
    </row>
    <row r="24258" spans="1:15" x14ac:dyDescent="0.25">
      <c r="A24258" t="s">
        <v>16</v>
      </c>
      <c r="B24258" t="s">
        <v>3221</v>
      </c>
      <c r="C24258">
        <v>718</v>
      </c>
      <c r="D24258" t="s">
        <v>183</v>
      </c>
      <c r="E24258" t="s">
        <v>184</v>
      </c>
      <c r="F24258">
        <v>48.37</v>
      </c>
      <c r="G24258">
        <v>230126</v>
      </c>
      <c r="H24258">
        <v>4580</v>
      </c>
      <c r="I24258" t="s">
        <v>35</v>
      </c>
      <c r="J24258">
        <v>59.98</v>
      </c>
      <c r="K24258">
        <v>11.61</v>
      </c>
      <c r="L24258">
        <v>16121</v>
      </c>
      <c r="M24258" t="s">
        <v>21</v>
      </c>
      <c r="N24258" t="str">
        <f>"103981612   "</f>
        <v xml:space="preserve">103981612   </v>
      </c>
      <c r="O24258">
        <v>230127</v>
      </c>
    </row>
    <row r="24259" spans="1:15" x14ac:dyDescent="0.25">
      <c r="A24259" t="s">
        <v>16</v>
      </c>
      <c r="B24259" t="s">
        <v>3221</v>
      </c>
      <c r="C24259">
        <v>3575</v>
      </c>
      <c r="D24259" t="s">
        <v>183</v>
      </c>
      <c r="E24259" t="s">
        <v>184</v>
      </c>
      <c r="F24259">
        <v>136.28</v>
      </c>
      <c r="G24259">
        <v>230314</v>
      </c>
      <c r="H24259">
        <v>4580</v>
      </c>
      <c r="I24259" t="s">
        <v>35</v>
      </c>
      <c r="J24259">
        <v>168.99</v>
      </c>
      <c r="K24259">
        <v>32.71</v>
      </c>
      <c r="L24259">
        <v>11301</v>
      </c>
      <c r="M24259" t="s">
        <v>29</v>
      </c>
      <c r="N24259" t="str">
        <f>"105183334   "</f>
        <v xml:space="preserve">105183334   </v>
      </c>
      <c r="O24259">
        <v>230317</v>
      </c>
    </row>
    <row r="24260" spans="1:15" x14ac:dyDescent="0.25">
      <c r="A24260" t="s">
        <v>16</v>
      </c>
      <c r="B24260" t="s">
        <v>3221</v>
      </c>
      <c r="C24260">
        <v>3881</v>
      </c>
      <c r="D24260" t="s">
        <v>183</v>
      </c>
      <c r="E24260" t="s">
        <v>184</v>
      </c>
      <c r="F24260">
        <v>58.06</v>
      </c>
      <c r="G24260">
        <v>230312</v>
      </c>
      <c r="H24260">
        <v>4580</v>
      </c>
      <c r="I24260" t="s">
        <v>35</v>
      </c>
      <c r="J24260">
        <v>71.989999999999995</v>
      </c>
      <c r="K24260">
        <v>13.93</v>
      </c>
      <c r="L24260">
        <v>17530</v>
      </c>
      <c r="M24260" t="s">
        <v>454</v>
      </c>
      <c r="N24260" t="str">
        <f>"105066457   "</f>
        <v xml:space="preserve">105066457   </v>
      </c>
      <c r="O24260">
        <v>230324</v>
      </c>
    </row>
    <row r="24261" spans="1:15" x14ac:dyDescent="0.25">
      <c r="A24261" t="s">
        <v>16</v>
      </c>
      <c r="B24261" t="s">
        <v>3221</v>
      </c>
      <c r="C24261">
        <v>3984</v>
      </c>
      <c r="D24261" t="s">
        <v>183</v>
      </c>
      <c r="E24261" t="s">
        <v>184</v>
      </c>
      <c r="F24261">
        <v>80.63</v>
      </c>
      <c r="G24261">
        <v>230324</v>
      </c>
      <c r="H24261">
        <v>4580</v>
      </c>
      <c r="I24261" t="s">
        <v>35</v>
      </c>
      <c r="J24261">
        <v>99.98</v>
      </c>
      <c r="K24261">
        <v>19.350000000000001</v>
      </c>
      <c r="L24261">
        <v>14951</v>
      </c>
      <c r="M24261" t="s">
        <v>57</v>
      </c>
      <c r="N24261" t="str">
        <f>"105387229   "</f>
        <v xml:space="preserve">105387229   </v>
      </c>
      <c r="O24261">
        <v>230328</v>
      </c>
    </row>
    <row r="24262" spans="1:15" x14ac:dyDescent="0.25">
      <c r="A24262" t="s">
        <v>16</v>
      </c>
      <c r="B24262" t="s">
        <v>3221</v>
      </c>
      <c r="C24262">
        <v>5069</v>
      </c>
      <c r="D24262" t="s">
        <v>183</v>
      </c>
      <c r="E24262" t="s">
        <v>184</v>
      </c>
      <c r="F24262">
        <v>330.56</v>
      </c>
      <c r="G24262">
        <v>230322</v>
      </c>
      <c r="H24262">
        <v>4580</v>
      </c>
      <c r="I24262" t="s">
        <v>35</v>
      </c>
      <c r="J24262">
        <v>409.89</v>
      </c>
      <c r="K24262">
        <v>79.33</v>
      </c>
      <c r="L24262">
        <v>13401</v>
      </c>
      <c r="M24262" t="s">
        <v>80</v>
      </c>
      <c r="N24262" t="str">
        <f>"103305358   "</f>
        <v xml:space="preserve">103305358   </v>
      </c>
      <c r="O24262">
        <v>230418</v>
      </c>
    </row>
    <row r="24263" spans="1:15" x14ac:dyDescent="0.25">
      <c r="A24263" t="s">
        <v>16</v>
      </c>
      <c r="B24263" t="s">
        <v>3221</v>
      </c>
      <c r="C24263">
        <v>13408</v>
      </c>
      <c r="D24263" t="s">
        <v>183</v>
      </c>
      <c r="E24263" t="s">
        <v>184</v>
      </c>
      <c r="F24263">
        <v>137</v>
      </c>
      <c r="G24263">
        <v>230930</v>
      </c>
      <c r="H24263">
        <v>4580</v>
      </c>
      <c r="I24263" t="s">
        <v>35</v>
      </c>
      <c r="J24263">
        <v>169.88</v>
      </c>
      <c r="K24263">
        <v>32.880000000000003</v>
      </c>
      <c r="L24263">
        <v>11301</v>
      </c>
      <c r="M24263" t="s">
        <v>29</v>
      </c>
      <c r="N24263" t="str">
        <f>"110051422   "</f>
        <v xml:space="preserve">110051422   </v>
      </c>
      <c r="O24263">
        <v>231010</v>
      </c>
    </row>
    <row r="24264" spans="1:15" x14ac:dyDescent="0.25">
      <c r="A24264" t="s">
        <v>16</v>
      </c>
      <c r="B24264" t="s">
        <v>3221</v>
      </c>
      <c r="C24264">
        <v>16310</v>
      </c>
      <c r="D24264" t="s">
        <v>183</v>
      </c>
      <c r="E24264" t="s">
        <v>184</v>
      </c>
      <c r="F24264">
        <v>2449.17</v>
      </c>
      <c r="G24264">
        <v>231124</v>
      </c>
      <c r="H24264">
        <v>4580</v>
      </c>
      <c r="I24264" t="s">
        <v>35</v>
      </c>
      <c r="J24264">
        <v>3036.97</v>
      </c>
      <c r="K24264">
        <v>587.79999999999995</v>
      </c>
      <c r="L24264">
        <v>11301</v>
      </c>
      <c r="M24264" t="s">
        <v>29</v>
      </c>
      <c r="N24264" t="str">
        <f>"111709012   "</f>
        <v xml:space="preserve">111709012   </v>
      </c>
      <c r="O24264">
        <v>231127</v>
      </c>
    </row>
    <row r="24265" spans="1:15" x14ac:dyDescent="0.25">
      <c r="A24265" t="s">
        <v>16</v>
      </c>
      <c r="B24265" t="s">
        <v>3221</v>
      </c>
      <c r="C24265">
        <v>16655</v>
      </c>
      <c r="D24265" t="s">
        <v>183</v>
      </c>
      <c r="E24265" t="s">
        <v>184</v>
      </c>
      <c r="F24265">
        <v>350.8</v>
      </c>
      <c r="G24265">
        <v>231201</v>
      </c>
      <c r="H24265">
        <v>4580</v>
      </c>
      <c r="I24265" t="s">
        <v>35</v>
      </c>
      <c r="J24265">
        <v>434.99</v>
      </c>
      <c r="K24265">
        <v>84.19</v>
      </c>
      <c r="L24265">
        <v>11301</v>
      </c>
      <c r="M24265" t="s">
        <v>29</v>
      </c>
      <c r="N24265" t="str">
        <f>"112024468   "</f>
        <v xml:space="preserve">112024468   </v>
      </c>
      <c r="O24265">
        <v>231205</v>
      </c>
    </row>
    <row r="24266" spans="1:15" x14ac:dyDescent="0.25">
      <c r="A24266" t="s">
        <v>16</v>
      </c>
      <c r="B24266" t="s">
        <v>3221</v>
      </c>
      <c r="C24266">
        <v>9183</v>
      </c>
      <c r="D24266" t="s">
        <v>183</v>
      </c>
      <c r="E24266" t="s">
        <v>184</v>
      </c>
      <c r="F24266">
        <v>358.98</v>
      </c>
      <c r="G24266">
        <v>230622</v>
      </c>
      <c r="H24266">
        <v>4600</v>
      </c>
      <c r="I24266" t="s">
        <v>105</v>
      </c>
      <c r="J24266">
        <v>358.98</v>
      </c>
      <c r="K24266">
        <v>0</v>
      </c>
      <c r="L24266">
        <v>11801</v>
      </c>
      <c r="M24266" t="s">
        <v>92</v>
      </c>
      <c r="N24266" t="str">
        <f>"107354560   "</f>
        <v xml:space="preserve">107354560   </v>
      </c>
      <c r="O24266">
        <v>230629</v>
      </c>
    </row>
    <row r="24267" spans="1:15" x14ac:dyDescent="0.25">
      <c r="A24267" t="s">
        <v>16</v>
      </c>
      <c r="B24267" t="s">
        <v>3221</v>
      </c>
      <c r="C24267">
        <v>13475</v>
      </c>
      <c r="D24267" t="s">
        <v>183</v>
      </c>
      <c r="E24267" t="s">
        <v>184</v>
      </c>
      <c r="F24267">
        <v>437.85</v>
      </c>
      <c r="G24267">
        <v>231006</v>
      </c>
      <c r="H24267">
        <v>4600</v>
      </c>
      <c r="I24267" t="s">
        <v>105</v>
      </c>
      <c r="J24267">
        <v>542.94000000000005</v>
      </c>
      <c r="K24267">
        <v>105.09</v>
      </c>
      <c r="L24267">
        <v>11902</v>
      </c>
      <c r="M24267" t="s">
        <v>1443</v>
      </c>
      <c r="N24267" t="str">
        <f>"110275211   "</f>
        <v xml:space="preserve">110275211   </v>
      </c>
      <c r="O24267">
        <v>231010</v>
      </c>
    </row>
    <row r="24268" spans="1:15" x14ac:dyDescent="0.25">
      <c r="A24268" t="s">
        <v>16</v>
      </c>
      <c r="B24268" t="s">
        <v>3221</v>
      </c>
      <c r="C24268">
        <v>3881</v>
      </c>
      <c r="D24268" t="s">
        <v>183</v>
      </c>
      <c r="E24268" t="s">
        <v>184</v>
      </c>
      <c r="F24268">
        <v>8.06</v>
      </c>
      <c r="G24268">
        <v>230312</v>
      </c>
      <c r="H24268">
        <v>4364</v>
      </c>
      <c r="I24268" t="s">
        <v>296</v>
      </c>
      <c r="J24268">
        <v>9.99</v>
      </c>
      <c r="K24268">
        <v>1.93</v>
      </c>
      <c r="L24268">
        <v>17530</v>
      </c>
      <c r="M24268" t="s">
        <v>454</v>
      </c>
      <c r="N24268" t="str">
        <f>"105066457   "</f>
        <v xml:space="preserve">105066457   </v>
      </c>
      <c r="O24268">
        <v>230324</v>
      </c>
    </row>
    <row r="24269" spans="1:15" x14ac:dyDescent="0.25">
      <c r="A24269" t="s">
        <v>16</v>
      </c>
      <c r="B24269" t="s">
        <v>3221</v>
      </c>
      <c r="C24269">
        <v>14647</v>
      </c>
      <c r="D24269" t="s">
        <v>183</v>
      </c>
      <c r="E24269" t="s">
        <v>184</v>
      </c>
      <c r="F24269">
        <v>28.22</v>
      </c>
      <c r="G24269">
        <v>231023</v>
      </c>
      <c r="H24269">
        <v>4500</v>
      </c>
      <c r="I24269" t="s">
        <v>212</v>
      </c>
      <c r="J24269">
        <v>34.99</v>
      </c>
      <c r="K24269">
        <v>6.77</v>
      </c>
      <c r="L24269">
        <v>11801</v>
      </c>
      <c r="M24269" t="s">
        <v>92</v>
      </c>
      <c r="N24269" t="str">
        <f>"110675674   "</f>
        <v xml:space="preserve">110675674   </v>
      </c>
      <c r="O24269">
        <v>231031</v>
      </c>
    </row>
    <row r="24270" spans="1:15" x14ac:dyDescent="0.25">
      <c r="A24270" t="s">
        <v>16</v>
      </c>
      <c r="B24270" t="s">
        <v>3221</v>
      </c>
      <c r="C24270">
        <v>14701</v>
      </c>
      <c r="D24270" t="s">
        <v>183</v>
      </c>
      <c r="E24270" t="s">
        <v>184</v>
      </c>
      <c r="F24270">
        <v>14.5</v>
      </c>
      <c r="G24270">
        <v>231005</v>
      </c>
      <c r="H24270">
        <v>4500</v>
      </c>
      <c r="I24270" t="s">
        <v>212</v>
      </c>
      <c r="J24270">
        <v>17.98</v>
      </c>
      <c r="K24270">
        <v>3.48</v>
      </c>
      <c r="L24270">
        <v>65222</v>
      </c>
      <c r="M24270" t="s">
        <v>487</v>
      </c>
      <c r="N24270" t="str">
        <f>"110227769   "</f>
        <v xml:space="preserve">110227769   </v>
      </c>
      <c r="O24270">
        <v>231101</v>
      </c>
    </row>
    <row r="24271" spans="1:15" x14ac:dyDescent="0.25">
      <c r="A24271" t="s">
        <v>16</v>
      </c>
      <c r="B24271" t="s">
        <v>3221</v>
      </c>
      <c r="C24271">
        <v>327</v>
      </c>
      <c r="D24271" t="s">
        <v>463</v>
      </c>
      <c r="E24271" t="s">
        <v>464</v>
      </c>
      <c r="F24271">
        <v>189</v>
      </c>
      <c r="G24271">
        <v>230111</v>
      </c>
      <c r="H24271">
        <v>4510</v>
      </c>
      <c r="I24271" t="s">
        <v>42</v>
      </c>
      <c r="J24271">
        <v>207.9</v>
      </c>
      <c r="K24271">
        <v>18.899999999999999</v>
      </c>
      <c r="L24271">
        <v>11101</v>
      </c>
      <c r="M24271" t="s">
        <v>110</v>
      </c>
      <c r="N24271" t="str">
        <f>"12330061356 "</f>
        <v xml:space="preserve">12330061356 </v>
      </c>
      <c r="O24271">
        <v>230118</v>
      </c>
    </row>
    <row r="24272" spans="1:15" x14ac:dyDescent="0.25">
      <c r="A24272" t="s">
        <v>16</v>
      </c>
      <c r="B24272" t="s">
        <v>3221</v>
      </c>
      <c r="C24272">
        <v>1421</v>
      </c>
      <c r="D24272" t="s">
        <v>939</v>
      </c>
      <c r="E24272" t="s">
        <v>940</v>
      </c>
      <c r="F24272">
        <v>1134</v>
      </c>
      <c r="G24272">
        <v>230125</v>
      </c>
      <c r="H24272">
        <v>4580</v>
      </c>
      <c r="I24272" t="s">
        <v>35</v>
      </c>
      <c r="J24272">
        <v>1406.16</v>
      </c>
      <c r="K24272">
        <v>272.16000000000003</v>
      </c>
      <c r="L24272">
        <v>47522</v>
      </c>
      <c r="M24272" t="s">
        <v>410</v>
      </c>
      <c r="N24272" t="str">
        <f>"3011620     "</f>
        <v xml:space="preserve">3011620     </v>
      </c>
      <c r="O24272">
        <v>230208</v>
      </c>
    </row>
    <row r="24273" spans="1:15" x14ac:dyDescent="0.25">
      <c r="A24273" t="s">
        <v>16</v>
      </c>
      <c r="B24273" t="s">
        <v>3221</v>
      </c>
      <c r="C24273">
        <v>3855</v>
      </c>
      <c r="D24273" t="s">
        <v>939</v>
      </c>
      <c r="E24273" t="s">
        <v>940</v>
      </c>
      <c r="F24273">
        <v>564.52</v>
      </c>
      <c r="G24273">
        <v>230310</v>
      </c>
      <c r="H24273">
        <v>4580</v>
      </c>
      <c r="I24273" t="s">
        <v>35</v>
      </c>
      <c r="J24273">
        <v>700</v>
      </c>
      <c r="K24273">
        <v>135.47999999999999</v>
      </c>
      <c r="L24273">
        <v>43222</v>
      </c>
      <c r="M24273" t="s">
        <v>507</v>
      </c>
      <c r="N24273" t="str">
        <f>"3012024     "</f>
        <v xml:space="preserve">3012024     </v>
      </c>
      <c r="O24273">
        <v>230323</v>
      </c>
    </row>
    <row r="24274" spans="1:15" x14ac:dyDescent="0.25">
      <c r="A24274" t="s">
        <v>16</v>
      </c>
      <c r="B24274" t="s">
        <v>3221</v>
      </c>
      <c r="C24274">
        <v>3855</v>
      </c>
      <c r="D24274" t="s">
        <v>939</v>
      </c>
      <c r="E24274" t="s">
        <v>940</v>
      </c>
      <c r="F24274">
        <v>564.97</v>
      </c>
      <c r="G24274">
        <v>230310</v>
      </c>
      <c r="H24274">
        <v>4580</v>
      </c>
      <c r="I24274" t="s">
        <v>35</v>
      </c>
      <c r="J24274">
        <v>700.56</v>
      </c>
      <c r="K24274">
        <v>135.59</v>
      </c>
      <c r="L24274">
        <v>44422</v>
      </c>
      <c r="M24274" t="s">
        <v>482</v>
      </c>
      <c r="N24274" t="str">
        <f>"3012024     "</f>
        <v xml:space="preserve">3012024     </v>
      </c>
      <c r="O24274">
        <v>230323</v>
      </c>
    </row>
    <row r="24275" spans="1:15" x14ac:dyDescent="0.25">
      <c r="A24275" t="s">
        <v>16</v>
      </c>
      <c r="B24275" t="s">
        <v>3221</v>
      </c>
      <c r="C24275">
        <v>3855</v>
      </c>
      <c r="D24275" t="s">
        <v>939</v>
      </c>
      <c r="E24275" t="s">
        <v>940</v>
      </c>
      <c r="F24275">
        <v>289.52</v>
      </c>
      <c r="G24275">
        <v>230310</v>
      </c>
      <c r="H24275">
        <v>4580</v>
      </c>
      <c r="I24275" t="s">
        <v>35</v>
      </c>
      <c r="J24275">
        <v>359</v>
      </c>
      <c r="K24275">
        <v>69.48</v>
      </c>
      <c r="L24275">
        <v>46559</v>
      </c>
      <c r="M24275" t="s">
        <v>1104</v>
      </c>
      <c r="N24275" t="str">
        <f>"3012024     "</f>
        <v xml:space="preserve">3012024     </v>
      </c>
      <c r="O24275">
        <v>230323</v>
      </c>
    </row>
    <row r="24276" spans="1:15" x14ac:dyDescent="0.25">
      <c r="A24276" t="s">
        <v>16</v>
      </c>
      <c r="B24276" t="s">
        <v>3221</v>
      </c>
      <c r="C24276">
        <v>1195</v>
      </c>
      <c r="D24276" t="s">
        <v>939</v>
      </c>
      <c r="E24276" t="s">
        <v>940</v>
      </c>
      <c r="F24276">
        <v>390</v>
      </c>
      <c r="G24276">
        <v>230120</v>
      </c>
      <c r="H24276">
        <v>4600</v>
      </c>
      <c r="I24276" t="s">
        <v>105</v>
      </c>
      <c r="J24276">
        <v>483.6</v>
      </c>
      <c r="K24276">
        <v>93.6</v>
      </c>
      <c r="L24276">
        <v>56528</v>
      </c>
      <c r="M24276" t="s">
        <v>153</v>
      </c>
      <c r="N24276" t="str">
        <f>"3011581     "</f>
        <v xml:space="preserve">3011581     </v>
      </c>
      <c r="O24276">
        <v>230206</v>
      </c>
    </row>
    <row r="24277" spans="1:15" x14ac:dyDescent="0.25">
      <c r="A24277" t="s">
        <v>16</v>
      </c>
      <c r="B24277" t="s">
        <v>3221</v>
      </c>
      <c r="C24277">
        <v>2675</v>
      </c>
      <c r="D24277" t="s">
        <v>939</v>
      </c>
      <c r="E24277" t="s">
        <v>940</v>
      </c>
      <c r="F24277">
        <v>575.1</v>
      </c>
      <c r="G24277">
        <v>230209</v>
      </c>
      <c r="H24277">
        <v>4600</v>
      </c>
      <c r="I24277" t="s">
        <v>105</v>
      </c>
      <c r="J24277">
        <v>713.12</v>
      </c>
      <c r="K24277">
        <v>138.02000000000001</v>
      </c>
      <c r="L24277">
        <v>56565</v>
      </c>
      <c r="M24277" t="s">
        <v>758</v>
      </c>
      <c r="N24277" t="str">
        <f>"3011751     "</f>
        <v xml:space="preserve">3011751     </v>
      </c>
      <c r="O24277">
        <v>230306</v>
      </c>
    </row>
    <row r="24278" spans="1:15" x14ac:dyDescent="0.25">
      <c r="A24278" t="s">
        <v>16</v>
      </c>
      <c r="B24278" t="s">
        <v>3221</v>
      </c>
      <c r="C24278">
        <v>4005</v>
      </c>
      <c r="D24278" t="s">
        <v>939</v>
      </c>
      <c r="E24278" t="s">
        <v>940</v>
      </c>
      <c r="F24278">
        <v>544</v>
      </c>
      <c r="G24278">
        <v>230310</v>
      </c>
      <c r="H24278">
        <v>4600</v>
      </c>
      <c r="I24278" t="s">
        <v>105</v>
      </c>
      <c r="J24278">
        <v>674.56</v>
      </c>
      <c r="K24278">
        <v>130.56</v>
      </c>
      <c r="L24278">
        <v>44222</v>
      </c>
      <c r="M24278" t="s">
        <v>232</v>
      </c>
      <c r="N24278" t="str">
        <f>"3012023     "</f>
        <v xml:space="preserve">3012023     </v>
      </c>
      <c r="O24278">
        <v>230329</v>
      </c>
    </row>
    <row r="24279" spans="1:15" x14ac:dyDescent="0.25">
      <c r="A24279" t="s">
        <v>16</v>
      </c>
      <c r="B24279" t="s">
        <v>3221</v>
      </c>
      <c r="C24279">
        <v>2632</v>
      </c>
      <c r="D24279" t="s">
        <v>939</v>
      </c>
      <c r="E24279" t="s">
        <v>940</v>
      </c>
      <c r="F24279">
        <v>285</v>
      </c>
      <c r="G24279">
        <v>230224</v>
      </c>
      <c r="H24279">
        <v>4500</v>
      </c>
      <c r="I24279" t="s">
        <v>212</v>
      </c>
      <c r="J24279">
        <v>353.4</v>
      </c>
      <c r="K24279">
        <v>68.400000000000006</v>
      </c>
      <c r="L24279">
        <v>18972</v>
      </c>
      <c r="M24279" t="s">
        <v>163</v>
      </c>
      <c r="N24279" t="str">
        <f>"3011893     "</f>
        <v xml:space="preserve">3011893     </v>
      </c>
      <c r="O24279">
        <v>230303</v>
      </c>
    </row>
    <row r="24280" spans="1:15" x14ac:dyDescent="0.25">
      <c r="A24280" t="s">
        <v>16</v>
      </c>
      <c r="B24280" t="s">
        <v>3221</v>
      </c>
      <c r="C24280">
        <v>3995</v>
      </c>
      <c r="D24280" t="s">
        <v>939</v>
      </c>
      <c r="E24280" t="s">
        <v>940</v>
      </c>
      <c r="F24280">
        <v>1180</v>
      </c>
      <c r="G24280">
        <v>230310</v>
      </c>
      <c r="H24280">
        <v>4500</v>
      </c>
      <c r="I24280" t="s">
        <v>212</v>
      </c>
      <c r="J24280">
        <v>1463.2</v>
      </c>
      <c r="K24280">
        <v>283.2</v>
      </c>
      <c r="L24280">
        <v>49702</v>
      </c>
      <c r="M24280" t="s">
        <v>584</v>
      </c>
      <c r="N24280" t="str">
        <f>"3012021     "</f>
        <v xml:space="preserve">3012021     </v>
      </c>
      <c r="O24280">
        <v>230329</v>
      </c>
    </row>
    <row r="24281" spans="1:15" x14ac:dyDescent="0.25">
      <c r="A24281" t="s">
        <v>16</v>
      </c>
      <c r="B24281" t="s">
        <v>3221</v>
      </c>
      <c r="C24281">
        <v>14466</v>
      </c>
      <c r="D24281" t="s">
        <v>1498</v>
      </c>
      <c r="E24281" t="s">
        <v>1499</v>
      </c>
      <c r="F24281">
        <v>2676</v>
      </c>
      <c r="G24281">
        <v>231017</v>
      </c>
      <c r="H24281">
        <v>1196</v>
      </c>
      <c r="I24281" t="s">
        <v>392</v>
      </c>
      <c r="J24281">
        <v>3318.24</v>
      </c>
      <c r="K24281">
        <v>642.24</v>
      </c>
      <c r="L24281">
        <v>97701</v>
      </c>
      <c r="M24281" t="s">
        <v>869</v>
      </c>
      <c r="N24281" t="str">
        <f>"1231000039  "</f>
        <v xml:space="preserve">1231000039  </v>
      </c>
      <c r="O24281">
        <v>231030</v>
      </c>
    </row>
    <row r="24282" spans="1:15" x14ac:dyDescent="0.25">
      <c r="A24282" t="s">
        <v>16</v>
      </c>
      <c r="B24282" t="s">
        <v>3221</v>
      </c>
      <c r="C24282">
        <v>2962</v>
      </c>
      <c r="D24282" t="s">
        <v>1498</v>
      </c>
      <c r="E24282" t="s">
        <v>1499</v>
      </c>
      <c r="F24282">
        <v>221.5</v>
      </c>
      <c r="G24282">
        <v>230227</v>
      </c>
      <c r="H24282">
        <v>4590</v>
      </c>
      <c r="I24282" t="s">
        <v>203</v>
      </c>
      <c r="J24282">
        <v>274.66000000000003</v>
      </c>
      <c r="K24282">
        <v>53.16</v>
      </c>
      <c r="L24282">
        <v>56564</v>
      </c>
      <c r="M24282" t="s">
        <v>327</v>
      </c>
      <c r="N24282" t="str">
        <f>"1230200041  "</f>
        <v xml:space="preserve">1230200041  </v>
      </c>
      <c r="O24282">
        <v>230308</v>
      </c>
    </row>
    <row r="24283" spans="1:15" x14ac:dyDescent="0.25">
      <c r="A24283" t="s">
        <v>16</v>
      </c>
      <c r="B24283" t="s">
        <v>3221</v>
      </c>
      <c r="C24283">
        <v>13731</v>
      </c>
      <c r="D24283" t="s">
        <v>1498</v>
      </c>
      <c r="E24283" t="s">
        <v>1499</v>
      </c>
      <c r="F24283">
        <v>959.26</v>
      </c>
      <c r="G24283">
        <v>231010</v>
      </c>
      <c r="H24283">
        <v>4590</v>
      </c>
      <c r="I24283" t="s">
        <v>203</v>
      </c>
      <c r="J24283">
        <v>1189.48</v>
      </c>
      <c r="K24283">
        <v>230.22</v>
      </c>
      <c r="L24283">
        <v>56564</v>
      </c>
      <c r="M24283" t="s">
        <v>327</v>
      </c>
      <c r="N24283" t="str">
        <f>"1231000032  "</f>
        <v xml:space="preserve">1231000032  </v>
      </c>
      <c r="O24283">
        <v>231012</v>
      </c>
    </row>
    <row r="24284" spans="1:15" x14ac:dyDescent="0.25">
      <c r="A24284" t="s">
        <v>16</v>
      </c>
      <c r="B24284" t="s">
        <v>3221</v>
      </c>
      <c r="C24284">
        <v>13764</v>
      </c>
      <c r="D24284" t="s">
        <v>1498</v>
      </c>
      <c r="E24284" t="s">
        <v>1499</v>
      </c>
      <c r="F24284">
        <v>85</v>
      </c>
      <c r="G24284">
        <v>231010</v>
      </c>
      <c r="H24284">
        <v>4590</v>
      </c>
      <c r="I24284" t="s">
        <v>203</v>
      </c>
      <c r="J24284">
        <v>105.4</v>
      </c>
      <c r="K24284">
        <v>20.399999999999999</v>
      </c>
      <c r="L24284">
        <v>56564</v>
      </c>
      <c r="M24284" t="s">
        <v>327</v>
      </c>
      <c r="N24284" t="str">
        <f>"1231000031  "</f>
        <v xml:space="preserve">1231000031  </v>
      </c>
      <c r="O24284">
        <v>231013</v>
      </c>
    </row>
    <row r="24285" spans="1:15" x14ac:dyDescent="0.25">
      <c r="A24285" t="s">
        <v>16</v>
      </c>
      <c r="B24285" t="s">
        <v>3221</v>
      </c>
      <c r="C24285">
        <v>244</v>
      </c>
      <c r="D24285" t="s">
        <v>367</v>
      </c>
      <c r="E24285" t="s">
        <v>368</v>
      </c>
      <c r="F24285">
        <v>183.58</v>
      </c>
      <c r="G24285">
        <v>230109</v>
      </c>
      <c r="H24285">
        <v>4510</v>
      </c>
      <c r="I24285" t="s">
        <v>42</v>
      </c>
      <c r="J24285">
        <v>201.94</v>
      </c>
      <c r="K24285">
        <v>18.36</v>
      </c>
      <c r="L24285">
        <v>17711</v>
      </c>
      <c r="M24285" t="s">
        <v>65</v>
      </c>
      <c r="N24285" t="str">
        <f>"2968202     "</f>
        <v xml:space="preserve">2968202     </v>
      </c>
      <c r="O24285">
        <v>230116</v>
      </c>
    </row>
    <row r="24286" spans="1:15" x14ac:dyDescent="0.25">
      <c r="A24286" t="s">
        <v>16</v>
      </c>
      <c r="B24286" t="s">
        <v>3221</v>
      </c>
      <c r="C24286">
        <v>337</v>
      </c>
      <c r="D24286" t="s">
        <v>367</v>
      </c>
      <c r="E24286" t="s">
        <v>368</v>
      </c>
      <c r="F24286">
        <v>148.36000000000001</v>
      </c>
      <c r="G24286">
        <v>230116</v>
      </c>
      <c r="H24286">
        <v>4510</v>
      </c>
      <c r="I24286" t="s">
        <v>42</v>
      </c>
      <c r="J24286">
        <v>163.19999999999999</v>
      </c>
      <c r="K24286">
        <v>14.84</v>
      </c>
      <c r="L24286">
        <v>17131</v>
      </c>
      <c r="M24286" t="s">
        <v>64</v>
      </c>
      <c r="N24286" t="str">
        <f>"2995931     "</f>
        <v xml:space="preserve">2995931     </v>
      </c>
      <c r="O24286">
        <v>230118</v>
      </c>
    </row>
    <row r="24287" spans="1:15" x14ac:dyDescent="0.25">
      <c r="A24287" t="s">
        <v>16</v>
      </c>
      <c r="B24287" t="s">
        <v>3221</v>
      </c>
      <c r="C24287">
        <v>337</v>
      </c>
      <c r="D24287" t="s">
        <v>367</v>
      </c>
      <c r="E24287" t="s">
        <v>368</v>
      </c>
      <c r="F24287">
        <v>148.36000000000001</v>
      </c>
      <c r="G24287">
        <v>230116</v>
      </c>
      <c r="H24287">
        <v>4510</v>
      </c>
      <c r="I24287" t="s">
        <v>42</v>
      </c>
      <c r="J24287">
        <v>163.19999999999999</v>
      </c>
      <c r="K24287">
        <v>14.84</v>
      </c>
      <c r="L24287">
        <v>17711</v>
      </c>
      <c r="M24287" t="s">
        <v>65</v>
      </c>
      <c r="N24287" t="str">
        <f>"2995931     "</f>
        <v xml:space="preserve">2995931     </v>
      </c>
      <c r="O24287">
        <v>230118</v>
      </c>
    </row>
    <row r="24288" spans="1:15" x14ac:dyDescent="0.25">
      <c r="A24288" t="s">
        <v>16</v>
      </c>
      <c r="B24288" t="s">
        <v>3221</v>
      </c>
      <c r="C24288">
        <v>407</v>
      </c>
      <c r="D24288" t="s">
        <v>367</v>
      </c>
      <c r="E24288" t="s">
        <v>368</v>
      </c>
      <c r="F24288">
        <v>296.73</v>
      </c>
      <c r="G24288">
        <v>230116</v>
      </c>
      <c r="H24288">
        <v>4510</v>
      </c>
      <c r="I24288" t="s">
        <v>42</v>
      </c>
      <c r="J24288">
        <v>326.39999999999998</v>
      </c>
      <c r="K24288">
        <v>29.67</v>
      </c>
      <c r="L24288">
        <v>67554</v>
      </c>
      <c r="M24288" t="s">
        <v>60</v>
      </c>
      <c r="N24288" t="str">
        <f>"2995932     "</f>
        <v xml:space="preserve">2995932     </v>
      </c>
      <c r="O24288">
        <v>230120</v>
      </c>
    </row>
    <row r="24289" spans="1:15" x14ac:dyDescent="0.25">
      <c r="A24289" t="s">
        <v>16</v>
      </c>
      <c r="B24289" t="s">
        <v>3221</v>
      </c>
      <c r="C24289">
        <v>620</v>
      </c>
      <c r="D24289" t="s">
        <v>367</v>
      </c>
      <c r="E24289" t="s">
        <v>368</v>
      </c>
      <c r="F24289">
        <v>189.82</v>
      </c>
      <c r="G24289">
        <v>230123</v>
      </c>
      <c r="H24289">
        <v>4510</v>
      </c>
      <c r="I24289" t="s">
        <v>42</v>
      </c>
      <c r="J24289">
        <v>208.8</v>
      </c>
      <c r="K24289">
        <v>18.98</v>
      </c>
      <c r="L24289">
        <v>67554</v>
      </c>
      <c r="M24289" t="s">
        <v>60</v>
      </c>
      <c r="N24289" t="str">
        <f>"3005178     "</f>
        <v xml:space="preserve">3005178     </v>
      </c>
      <c r="O24289">
        <v>230125</v>
      </c>
    </row>
    <row r="24290" spans="1:15" x14ac:dyDescent="0.25">
      <c r="A24290" t="s">
        <v>16</v>
      </c>
      <c r="B24290" t="s">
        <v>3221</v>
      </c>
      <c r="C24290">
        <v>5953</v>
      </c>
      <c r="D24290" t="s">
        <v>367</v>
      </c>
      <c r="E24290" t="s">
        <v>368</v>
      </c>
      <c r="F24290">
        <v>52.73</v>
      </c>
      <c r="G24290">
        <v>230502</v>
      </c>
      <c r="H24290">
        <v>4510</v>
      </c>
      <c r="I24290" t="s">
        <v>42</v>
      </c>
      <c r="J24290">
        <v>58</v>
      </c>
      <c r="K24290">
        <v>5.27</v>
      </c>
      <c r="L24290">
        <v>17711</v>
      </c>
      <c r="M24290" t="s">
        <v>65</v>
      </c>
      <c r="N24290" t="str">
        <f>"3053872     "</f>
        <v xml:space="preserve">3053872     </v>
      </c>
      <c r="O24290">
        <v>230504</v>
      </c>
    </row>
    <row r="24291" spans="1:15" x14ac:dyDescent="0.25">
      <c r="A24291" t="s">
        <v>16</v>
      </c>
      <c r="B24291" t="s">
        <v>3221</v>
      </c>
      <c r="C24291">
        <v>10407</v>
      </c>
      <c r="D24291" t="s">
        <v>367</v>
      </c>
      <c r="E24291" t="s">
        <v>368</v>
      </c>
      <c r="F24291">
        <v>375.18</v>
      </c>
      <c r="G24291">
        <v>230807</v>
      </c>
      <c r="H24291">
        <v>4510</v>
      </c>
      <c r="I24291" t="s">
        <v>42</v>
      </c>
      <c r="J24291">
        <v>412.7</v>
      </c>
      <c r="K24291">
        <v>37.520000000000003</v>
      </c>
      <c r="L24291">
        <v>67522</v>
      </c>
      <c r="M24291" t="s">
        <v>397</v>
      </c>
      <c r="N24291" t="str">
        <f>"3089735     "</f>
        <v xml:space="preserve">3089735     </v>
      </c>
      <c r="O24291">
        <v>230815</v>
      </c>
    </row>
    <row r="24292" spans="1:15" x14ac:dyDescent="0.25">
      <c r="A24292" t="s">
        <v>16</v>
      </c>
      <c r="B24292" t="s">
        <v>3221</v>
      </c>
      <c r="C24292">
        <v>13840</v>
      </c>
      <c r="D24292" t="s">
        <v>2703</v>
      </c>
      <c r="E24292" t="s">
        <v>2704</v>
      </c>
      <c r="F24292">
        <v>30.65</v>
      </c>
      <c r="G24292">
        <v>231003</v>
      </c>
      <c r="H24292">
        <v>4580</v>
      </c>
      <c r="I24292" t="s">
        <v>35</v>
      </c>
      <c r="J24292">
        <v>38</v>
      </c>
      <c r="K24292">
        <v>7.35</v>
      </c>
      <c r="L24292">
        <v>17711</v>
      </c>
      <c r="M24292" t="s">
        <v>65</v>
      </c>
      <c r="N24292" t="str">
        <f>"1989        "</f>
        <v xml:space="preserve">1989        </v>
      </c>
      <c r="O24292">
        <v>231013</v>
      </c>
    </row>
    <row r="24293" spans="1:15" x14ac:dyDescent="0.25">
      <c r="A24293" t="s">
        <v>16</v>
      </c>
      <c r="B24293" t="s">
        <v>3221</v>
      </c>
      <c r="C24293">
        <v>13840</v>
      </c>
      <c r="D24293" t="s">
        <v>2703</v>
      </c>
      <c r="E24293" t="s">
        <v>2704</v>
      </c>
      <c r="F24293">
        <v>7.98</v>
      </c>
      <c r="G24293">
        <v>231003</v>
      </c>
      <c r="H24293">
        <v>4364</v>
      </c>
      <c r="I24293" t="s">
        <v>296</v>
      </c>
      <c r="J24293">
        <v>9.9</v>
      </c>
      <c r="K24293">
        <v>1.92</v>
      </c>
      <c r="L24293">
        <v>17711</v>
      </c>
      <c r="M24293" t="s">
        <v>65</v>
      </c>
      <c r="N24293" t="str">
        <f>"1989        "</f>
        <v xml:space="preserve">1989        </v>
      </c>
      <c r="O24293">
        <v>231013</v>
      </c>
    </row>
    <row r="24294" spans="1:15" x14ac:dyDescent="0.25">
      <c r="A24294" t="s">
        <v>16</v>
      </c>
      <c r="B24294" t="s">
        <v>3221</v>
      </c>
      <c r="C24294">
        <v>2235</v>
      </c>
      <c r="D24294" t="s">
        <v>1337</v>
      </c>
      <c r="E24294" t="s">
        <v>1338</v>
      </c>
      <c r="F24294">
        <v>55.65</v>
      </c>
      <c r="G24294">
        <v>230217</v>
      </c>
      <c r="H24294">
        <v>4350</v>
      </c>
      <c r="I24294" t="s">
        <v>546</v>
      </c>
      <c r="J24294">
        <v>69</v>
      </c>
      <c r="K24294">
        <v>13.35</v>
      </c>
      <c r="L24294">
        <v>11903</v>
      </c>
      <c r="M24294" t="s">
        <v>406</v>
      </c>
      <c r="N24294" t="str">
        <f>"21602       "</f>
        <v xml:space="preserve">21602       </v>
      </c>
      <c r="O24294">
        <v>230222</v>
      </c>
    </row>
    <row r="24295" spans="1:15" x14ac:dyDescent="0.25">
      <c r="A24295" t="s">
        <v>16</v>
      </c>
      <c r="B24295" t="s">
        <v>3221</v>
      </c>
      <c r="C24295">
        <v>10915</v>
      </c>
      <c r="D24295" t="s">
        <v>3514</v>
      </c>
      <c r="E24295" t="s">
        <v>3515</v>
      </c>
      <c r="F24295">
        <v>40.229999999999997</v>
      </c>
      <c r="G24295">
        <v>230823</v>
      </c>
      <c r="H24295">
        <v>4510</v>
      </c>
      <c r="I24295" t="s">
        <v>42</v>
      </c>
      <c r="J24295">
        <v>44.25</v>
      </c>
      <c r="K24295">
        <v>4.0199999999999996</v>
      </c>
      <c r="L24295">
        <v>66722</v>
      </c>
      <c r="M24295" t="s">
        <v>518</v>
      </c>
      <c r="N24295" t="str">
        <f>"9902543     "</f>
        <v xml:space="preserve">9902543     </v>
      </c>
      <c r="O24295">
        <v>230825</v>
      </c>
    </row>
    <row r="24296" spans="1:15" x14ac:dyDescent="0.25">
      <c r="A24296" t="s">
        <v>16</v>
      </c>
      <c r="B24296" t="s">
        <v>3221</v>
      </c>
      <c r="C24296">
        <v>11651</v>
      </c>
      <c r="D24296" t="s">
        <v>3514</v>
      </c>
      <c r="E24296" t="s">
        <v>3515</v>
      </c>
      <c r="F24296">
        <v>22.66</v>
      </c>
      <c r="G24296">
        <v>230904</v>
      </c>
      <c r="H24296">
        <v>4510</v>
      </c>
      <c r="I24296" t="s">
        <v>42</v>
      </c>
      <c r="J24296">
        <v>28.1</v>
      </c>
      <c r="K24296">
        <v>5.44</v>
      </c>
      <c r="L24296">
        <v>65422</v>
      </c>
      <c r="M24296" t="s">
        <v>602</v>
      </c>
      <c r="N24296" t="str">
        <f>"96194       "</f>
        <v xml:space="preserve">96194       </v>
      </c>
      <c r="O24296">
        <v>230907</v>
      </c>
    </row>
    <row r="24297" spans="1:15" x14ac:dyDescent="0.25">
      <c r="A24297" t="s">
        <v>16</v>
      </c>
      <c r="B24297" t="s">
        <v>3221</v>
      </c>
      <c r="C24297">
        <v>11651</v>
      </c>
      <c r="D24297" t="s">
        <v>3514</v>
      </c>
      <c r="E24297" t="s">
        <v>3515</v>
      </c>
      <c r="F24297">
        <v>90.91</v>
      </c>
      <c r="G24297">
        <v>230904</v>
      </c>
      <c r="H24297">
        <v>4510</v>
      </c>
      <c r="I24297" t="s">
        <v>42</v>
      </c>
      <c r="J24297">
        <v>100</v>
      </c>
      <c r="K24297">
        <v>9.09</v>
      </c>
      <c r="L24297">
        <v>66722</v>
      </c>
      <c r="M24297" t="s">
        <v>518</v>
      </c>
      <c r="N24297" t="str">
        <f>"96194       "</f>
        <v xml:space="preserve">96194       </v>
      </c>
      <c r="O24297">
        <v>230907</v>
      </c>
    </row>
    <row r="24298" spans="1:15" x14ac:dyDescent="0.25">
      <c r="A24298" t="s">
        <v>16</v>
      </c>
      <c r="B24298" t="s">
        <v>3221</v>
      </c>
      <c r="C24298">
        <v>12072</v>
      </c>
      <c r="D24298" t="s">
        <v>3514</v>
      </c>
      <c r="E24298" t="s">
        <v>3515</v>
      </c>
      <c r="F24298">
        <v>93.64</v>
      </c>
      <c r="G24298">
        <v>230908</v>
      </c>
      <c r="H24298">
        <v>4510</v>
      </c>
      <c r="I24298" t="s">
        <v>42</v>
      </c>
      <c r="J24298">
        <v>103</v>
      </c>
      <c r="K24298">
        <v>9.36</v>
      </c>
      <c r="L24298">
        <v>66722</v>
      </c>
      <c r="M24298" t="s">
        <v>518</v>
      </c>
      <c r="N24298" t="str">
        <f>"96199       "</f>
        <v xml:space="preserve">96199       </v>
      </c>
      <c r="O24298">
        <v>230913</v>
      </c>
    </row>
    <row r="24299" spans="1:15" x14ac:dyDescent="0.25">
      <c r="A24299" t="s">
        <v>16</v>
      </c>
      <c r="B24299" t="s">
        <v>3221</v>
      </c>
      <c r="C24299">
        <v>16215</v>
      </c>
      <c r="D24299" t="s">
        <v>3514</v>
      </c>
      <c r="E24299" t="s">
        <v>3515</v>
      </c>
      <c r="F24299">
        <v>40.909999999999997</v>
      </c>
      <c r="G24299">
        <v>231120</v>
      </c>
      <c r="H24299">
        <v>4510</v>
      </c>
      <c r="I24299" t="s">
        <v>42</v>
      </c>
      <c r="J24299">
        <v>45</v>
      </c>
      <c r="K24299">
        <v>4.09</v>
      </c>
      <c r="L24299">
        <v>66722</v>
      </c>
      <c r="M24299" t="s">
        <v>518</v>
      </c>
      <c r="N24299" t="str">
        <f>"96280       "</f>
        <v xml:space="preserve">96280       </v>
      </c>
      <c r="O24299">
        <v>231127</v>
      </c>
    </row>
    <row r="24300" spans="1:15" x14ac:dyDescent="0.25">
      <c r="A24300" t="s">
        <v>16</v>
      </c>
      <c r="B24300" t="s">
        <v>3221</v>
      </c>
      <c r="C24300">
        <v>11651</v>
      </c>
      <c r="D24300" t="s">
        <v>3514</v>
      </c>
      <c r="E24300" t="s">
        <v>3515</v>
      </c>
      <c r="F24300">
        <v>5.65</v>
      </c>
      <c r="G24300">
        <v>230904</v>
      </c>
      <c r="H24300">
        <v>4364</v>
      </c>
      <c r="I24300" t="s">
        <v>296</v>
      </c>
      <c r="J24300">
        <v>7</v>
      </c>
      <c r="K24300">
        <v>1.35</v>
      </c>
      <c r="L24300">
        <v>66722</v>
      </c>
      <c r="M24300" t="s">
        <v>518</v>
      </c>
      <c r="N24300" t="str">
        <f>"96194       "</f>
        <v xml:space="preserve">96194       </v>
      </c>
      <c r="O24300">
        <v>230907</v>
      </c>
    </row>
    <row r="24301" spans="1:15" x14ac:dyDescent="0.25">
      <c r="A24301" t="s">
        <v>16</v>
      </c>
      <c r="B24301" t="s">
        <v>3221</v>
      </c>
      <c r="C24301">
        <v>12072</v>
      </c>
      <c r="D24301" t="s">
        <v>3514</v>
      </c>
      <c r="E24301" t="s">
        <v>3515</v>
      </c>
      <c r="F24301">
        <v>5.65</v>
      </c>
      <c r="G24301">
        <v>230908</v>
      </c>
      <c r="H24301">
        <v>4364</v>
      </c>
      <c r="I24301" t="s">
        <v>296</v>
      </c>
      <c r="J24301">
        <v>7</v>
      </c>
      <c r="K24301">
        <v>1.35</v>
      </c>
      <c r="L24301">
        <v>66722</v>
      </c>
      <c r="M24301" t="s">
        <v>518</v>
      </c>
      <c r="N24301" t="str">
        <f>"96199       "</f>
        <v xml:space="preserve">96199       </v>
      </c>
      <c r="O24301">
        <v>230913</v>
      </c>
    </row>
    <row r="24302" spans="1:15" x14ac:dyDescent="0.25">
      <c r="A24302" t="s">
        <v>16</v>
      </c>
      <c r="B24302" t="s">
        <v>3221</v>
      </c>
      <c r="C24302">
        <v>16828</v>
      </c>
      <c r="D24302" t="s">
        <v>3020</v>
      </c>
      <c r="E24302" t="s">
        <v>3021</v>
      </c>
      <c r="F24302">
        <v>327.27</v>
      </c>
      <c r="G24302">
        <v>231130</v>
      </c>
      <c r="H24302">
        <v>4440</v>
      </c>
      <c r="I24302" t="s">
        <v>250</v>
      </c>
      <c r="J24302">
        <v>360</v>
      </c>
      <c r="K24302">
        <v>32.729999999999997</v>
      </c>
      <c r="L24302">
        <v>13501</v>
      </c>
      <c r="M24302" t="s">
        <v>20</v>
      </c>
      <c r="N24302" t="str">
        <f>"1879        "</f>
        <v xml:space="preserve">1879        </v>
      </c>
      <c r="O24302">
        <v>231211</v>
      </c>
    </row>
    <row r="24303" spans="1:15" x14ac:dyDescent="0.25">
      <c r="A24303" t="s">
        <v>16</v>
      </c>
      <c r="B24303" t="s">
        <v>3221</v>
      </c>
      <c r="C24303">
        <v>16828</v>
      </c>
      <c r="D24303" t="s">
        <v>3020</v>
      </c>
      <c r="E24303" t="s">
        <v>3021</v>
      </c>
      <c r="F24303">
        <v>12.1</v>
      </c>
      <c r="G24303">
        <v>231130</v>
      </c>
      <c r="H24303">
        <v>4347</v>
      </c>
      <c r="I24303" t="s">
        <v>193</v>
      </c>
      <c r="J24303">
        <v>15</v>
      </c>
      <c r="K24303">
        <v>2.9</v>
      </c>
      <c r="L24303">
        <v>13501</v>
      </c>
      <c r="M24303" t="s">
        <v>20</v>
      </c>
      <c r="N24303" t="str">
        <f>"1879        "</f>
        <v xml:space="preserve">1879        </v>
      </c>
      <c r="O24303">
        <v>231211</v>
      </c>
    </row>
    <row r="24304" spans="1:15" x14ac:dyDescent="0.25">
      <c r="A24304" t="s">
        <v>16</v>
      </c>
      <c r="B24304" t="s">
        <v>3221</v>
      </c>
      <c r="C24304">
        <v>15175</v>
      </c>
      <c r="D24304" t="s">
        <v>3722</v>
      </c>
      <c r="E24304" t="s">
        <v>2850</v>
      </c>
      <c r="F24304">
        <v>300</v>
      </c>
      <c r="G24304">
        <v>231030</v>
      </c>
      <c r="H24304">
        <v>4440</v>
      </c>
      <c r="I24304" t="s">
        <v>250</v>
      </c>
      <c r="J24304">
        <v>372</v>
      </c>
      <c r="K24304">
        <v>72</v>
      </c>
      <c r="L24304">
        <v>44222</v>
      </c>
      <c r="M24304" t="s">
        <v>232</v>
      </c>
      <c r="N24304" t="str">
        <f>"1148        "</f>
        <v xml:space="preserve">1148        </v>
      </c>
      <c r="O24304">
        <v>231109</v>
      </c>
    </row>
    <row r="24305" spans="1:15" x14ac:dyDescent="0.25">
      <c r="A24305" t="s">
        <v>16</v>
      </c>
      <c r="B24305" t="s">
        <v>3221</v>
      </c>
      <c r="C24305">
        <v>12924</v>
      </c>
      <c r="D24305" t="s">
        <v>2610</v>
      </c>
      <c r="E24305" t="s">
        <v>2611</v>
      </c>
      <c r="F24305">
        <v>336.99</v>
      </c>
      <c r="G24305">
        <v>230919</v>
      </c>
      <c r="H24305">
        <v>4420</v>
      </c>
      <c r="I24305" t="s">
        <v>132</v>
      </c>
      <c r="J24305">
        <v>417.87</v>
      </c>
      <c r="K24305">
        <v>80.88</v>
      </c>
      <c r="L24305">
        <v>56562</v>
      </c>
      <c r="M24305" t="s">
        <v>126</v>
      </c>
      <c r="N24305" t="str">
        <f>"1121212     "</f>
        <v xml:space="preserve">1121212     </v>
      </c>
      <c r="O24305">
        <v>231002</v>
      </c>
    </row>
    <row r="24306" spans="1:15" x14ac:dyDescent="0.25">
      <c r="A24306" t="s">
        <v>16</v>
      </c>
      <c r="B24306" t="s">
        <v>3221</v>
      </c>
      <c r="C24306">
        <v>2195</v>
      </c>
      <c r="D24306" t="s">
        <v>3723</v>
      </c>
      <c r="E24306" t="s">
        <v>1322</v>
      </c>
      <c r="F24306">
        <v>177.21</v>
      </c>
      <c r="G24306">
        <v>230215</v>
      </c>
      <c r="H24306">
        <v>4600</v>
      </c>
      <c r="I24306" t="s">
        <v>105</v>
      </c>
      <c r="J24306">
        <v>219.74</v>
      </c>
      <c r="K24306">
        <v>42.53</v>
      </c>
      <c r="L24306">
        <v>67522</v>
      </c>
      <c r="M24306" t="s">
        <v>397</v>
      </c>
      <c r="N24306" t="str">
        <f>"83016       "</f>
        <v xml:space="preserve">83016       </v>
      </c>
      <c r="O24306">
        <v>230222</v>
      </c>
    </row>
    <row r="24307" spans="1:15" x14ac:dyDescent="0.25">
      <c r="A24307" t="s">
        <v>16</v>
      </c>
      <c r="B24307" t="s">
        <v>3221</v>
      </c>
      <c r="C24307">
        <v>2526</v>
      </c>
      <c r="D24307" t="s">
        <v>3723</v>
      </c>
      <c r="E24307" t="s">
        <v>1322</v>
      </c>
      <c r="F24307">
        <v>89.19</v>
      </c>
      <c r="G24307">
        <v>230301</v>
      </c>
      <c r="H24307">
        <v>4600</v>
      </c>
      <c r="I24307" t="s">
        <v>105</v>
      </c>
      <c r="J24307">
        <v>110.6</v>
      </c>
      <c r="K24307">
        <v>21.41</v>
      </c>
      <c r="L24307">
        <v>67522</v>
      </c>
      <c r="M24307" t="s">
        <v>397</v>
      </c>
      <c r="N24307" t="str">
        <f>"83259       "</f>
        <v xml:space="preserve">83259       </v>
      </c>
      <c r="O24307">
        <v>230301</v>
      </c>
    </row>
    <row r="24308" spans="1:15" x14ac:dyDescent="0.25">
      <c r="A24308" t="s">
        <v>16</v>
      </c>
      <c r="B24308" t="s">
        <v>3221</v>
      </c>
      <c r="C24308">
        <v>2195</v>
      </c>
      <c r="D24308" t="s">
        <v>3723</v>
      </c>
      <c r="E24308" t="s">
        <v>1322</v>
      </c>
      <c r="F24308">
        <v>4.7</v>
      </c>
      <c r="G24308">
        <v>230215</v>
      </c>
      <c r="H24308">
        <v>4554</v>
      </c>
      <c r="I24308" t="s">
        <v>371</v>
      </c>
      <c r="J24308">
        <v>5.36</v>
      </c>
      <c r="K24308">
        <v>0.66</v>
      </c>
      <c r="L24308">
        <v>67522</v>
      </c>
      <c r="M24308" t="s">
        <v>397</v>
      </c>
      <c r="N24308" t="str">
        <f>"83016       "</f>
        <v xml:space="preserve">83016       </v>
      </c>
      <c r="O24308">
        <v>230222</v>
      </c>
    </row>
    <row r="24309" spans="1:15" x14ac:dyDescent="0.25">
      <c r="A24309" t="s">
        <v>16</v>
      </c>
      <c r="B24309" t="s">
        <v>3221</v>
      </c>
      <c r="C24309">
        <v>2195</v>
      </c>
      <c r="D24309" t="s">
        <v>3723</v>
      </c>
      <c r="E24309" t="s">
        <v>1322</v>
      </c>
      <c r="F24309">
        <v>19.88</v>
      </c>
      <c r="G24309">
        <v>230215</v>
      </c>
      <c r="H24309">
        <v>4572</v>
      </c>
      <c r="I24309" t="s">
        <v>122</v>
      </c>
      <c r="J24309">
        <v>24.65</v>
      </c>
      <c r="K24309">
        <v>4.7699999999999996</v>
      </c>
      <c r="L24309">
        <v>67522</v>
      </c>
      <c r="M24309" t="s">
        <v>397</v>
      </c>
      <c r="N24309" t="str">
        <f>"83016       "</f>
        <v xml:space="preserve">83016       </v>
      </c>
      <c r="O24309">
        <v>230222</v>
      </c>
    </row>
    <row r="24310" spans="1:15" x14ac:dyDescent="0.25">
      <c r="A24310" t="s">
        <v>16</v>
      </c>
      <c r="B24310" t="s">
        <v>3221</v>
      </c>
      <c r="C24310">
        <v>10832</v>
      </c>
      <c r="D24310" t="s">
        <v>2419</v>
      </c>
      <c r="E24310" t="s">
        <v>2420</v>
      </c>
      <c r="F24310">
        <v>300</v>
      </c>
      <c r="G24310">
        <v>230823</v>
      </c>
      <c r="H24310">
        <v>4600</v>
      </c>
      <c r="I24310" t="s">
        <v>105</v>
      </c>
      <c r="J24310">
        <v>300</v>
      </c>
      <c r="K24310">
        <v>0</v>
      </c>
      <c r="L24310">
        <v>11101</v>
      </c>
      <c r="M24310" t="s">
        <v>110</v>
      </c>
      <c r="N24310" t="str">
        <f>"1474        "</f>
        <v xml:space="preserve">1474        </v>
      </c>
      <c r="O24310">
        <v>230823</v>
      </c>
    </row>
    <row r="24311" spans="1:15" x14ac:dyDescent="0.25">
      <c r="A24311" t="s">
        <v>16</v>
      </c>
      <c r="B24311" t="s">
        <v>3221</v>
      </c>
      <c r="C24311">
        <v>7535</v>
      </c>
      <c r="D24311" t="s">
        <v>2099</v>
      </c>
      <c r="E24311" t="s">
        <v>2100</v>
      </c>
      <c r="F24311">
        <v>189.09</v>
      </c>
      <c r="G24311">
        <v>230530</v>
      </c>
      <c r="H24311">
        <v>4440</v>
      </c>
      <c r="I24311" t="s">
        <v>250</v>
      </c>
      <c r="J24311">
        <v>208</v>
      </c>
      <c r="K24311">
        <v>18.91</v>
      </c>
      <c r="L24311">
        <v>56524</v>
      </c>
      <c r="M24311" t="s">
        <v>150</v>
      </c>
      <c r="N24311" t="str">
        <f>"2023-009    "</f>
        <v xml:space="preserve">2023-009    </v>
      </c>
      <c r="O24311">
        <v>230531</v>
      </c>
    </row>
    <row r="24312" spans="1:15" x14ac:dyDescent="0.25">
      <c r="A24312" t="s">
        <v>16</v>
      </c>
      <c r="B24312" t="s">
        <v>3221</v>
      </c>
      <c r="C24312">
        <v>9073</v>
      </c>
      <c r="D24312" t="s">
        <v>2246</v>
      </c>
      <c r="E24312" t="s">
        <v>2247</v>
      </c>
      <c r="F24312">
        <v>1300</v>
      </c>
      <c r="G24312">
        <v>230619</v>
      </c>
      <c r="H24312">
        <v>4346</v>
      </c>
      <c r="I24312" t="s">
        <v>197</v>
      </c>
      <c r="J24312">
        <v>1612</v>
      </c>
      <c r="K24312">
        <v>312</v>
      </c>
      <c r="L24312">
        <v>11905</v>
      </c>
      <c r="M24312" t="s">
        <v>39</v>
      </c>
      <c r="N24312" t="str">
        <f>"370         "</f>
        <v xml:space="preserve">370         </v>
      </c>
      <c r="O24312">
        <v>230622</v>
      </c>
    </row>
    <row r="24313" spans="1:15" x14ac:dyDescent="0.25">
      <c r="A24313" t="s">
        <v>16</v>
      </c>
      <c r="B24313" t="s">
        <v>3221</v>
      </c>
      <c r="C24313">
        <v>10417</v>
      </c>
      <c r="D24313" t="s">
        <v>2246</v>
      </c>
      <c r="E24313" t="s">
        <v>2247</v>
      </c>
      <c r="F24313">
        <v>295.81</v>
      </c>
      <c r="G24313">
        <v>230810</v>
      </c>
      <c r="H24313">
        <v>4346</v>
      </c>
      <c r="I24313" t="s">
        <v>197</v>
      </c>
      <c r="J24313">
        <v>366.8</v>
      </c>
      <c r="K24313">
        <v>70.989999999999995</v>
      </c>
      <c r="L24313">
        <v>13201</v>
      </c>
      <c r="M24313" t="s">
        <v>161</v>
      </c>
      <c r="N24313" t="str">
        <f>"380         "</f>
        <v xml:space="preserve">380         </v>
      </c>
      <c r="O24313">
        <v>230815</v>
      </c>
    </row>
    <row r="24314" spans="1:15" x14ac:dyDescent="0.25">
      <c r="A24314" t="s">
        <v>16</v>
      </c>
      <c r="B24314" t="s">
        <v>3221</v>
      </c>
      <c r="C24314">
        <v>10417</v>
      </c>
      <c r="D24314" t="s">
        <v>2246</v>
      </c>
      <c r="E24314" t="s">
        <v>2247</v>
      </c>
      <c r="F24314">
        <v>2711.5</v>
      </c>
      <c r="G24314">
        <v>230810</v>
      </c>
      <c r="H24314">
        <v>4346</v>
      </c>
      <c r="I24314" t="s">
        <v>197</v>
      </c>
      <c r="J24314">
        <v>3362.26</v>
      </c>
      <c r="K24314">
        <v>650.76</v>
      </c>
      <c r="L24314">
        <v>13401</v>
      </c>
      <c r="M24314" t="s">
        <v>80</v>
      </c>
      <c r="N24314" t="str">
        <f>"380         "</f>
        <v xml:space="preserve">380         </v>
      </c>
      <c r="O24314">
        <v>230815</v>
      </c>
    </row>
    <row r="24315" spans="1:15" x14ac:dyDescent="0.25">
      <c r="A24315" t="s">
        <v>16</v>
      </c>
      <c r="B24315" t="s">
        <v>3221</v>
      </c>
      <c r="C24315">
        <v>10417</v>
      </c>
      <c r="D24315" t="s">
        <v>2246</v>
      </c>
      <c r="E24315" t="s">
        <v>2247</v>
      </c>
      <c r="F24315">
        <v>1922.69</v>
      </c>
      <c r="G24315">
        <v>230810</v>
      </c>
      <c r="H24315">
        <v>4346</v>
      </c>
      <c r="I24315" t="s">
        <v>197</v>
      </c>
      <c r="J24315">
        <v>2384.14</v>
      </c>
      <c r="K24315">
        <v>461.45</v>
      </c>
      <c r="L24315">
        <v>13501</v>
      </c>
      <c r="M24315" t="s">
        <v>20</v>
      </c>
      <c r="N24315" t="str">
        <f>"380         "</f>
        <v xml:space="preserve">380         </v>
      </c>
      <c r="O24315">
        <v>230815</v>
      </c>
    </row>
    <row r="24316" spans="1:15" x14ac:dyDescent="0.25">
      <c r="A24316" t="s">
        <v>16</v>
      </c>
      <c r="B24316" t="s">
        <v>3221</v>
      </c>
      <c r="C24316">
        <v>10886</v>
      </c>
      <c r="D24316" t="s">
        <v>2246</v>
      </c>
      <c r="E24316" t="s">
        <v>2247</v>
      </c>
      <c r="F24316">
        <v>2000</v>
      </c>
      <c r="G24316">
        <v>230823</v>
      </c>
      <c r="H24316">
        <v>4346</v>
      </c>
      <c r="I24316" t="s">
        <v>197</v>
      </c>
      <c r="J24316">
        <v>2480</v>
      </c>
      <c r="K24316">
        <v>480</v>
      </c>
      <c r="L24316">
        <v>11905</v>
      </c>
      <c r="M24316" t="s">
        <v>39</v>
      </c>
      <c r="N24316" t="str">
        <f>"387         "</f>
        <v xml:space="preserve">387         </v>
      </c>
      <c r="O24316">
        <v>230824</v>
      </c>
    </row>
    <row r="24317" spans="1:15" x14ac:dyDescent="0.25">
      <c r="A24317" t="s">
        <v>16</v>
      </c>
      <c r="B24317" t="s">
        <v>3221</v>
      </c>
      <c r="C24317">
        <v>2430</v>
      </c>
      <c r="D24317" t="s">
        <v>1396</v>
      </c>
      <c r="E24317" t="s">
        <v>1397</v>
      </c>
      <c r="F24317">
        <v>154.05000000000001</v>
      </c>
      <c r="G24317">
        <v>230223</v>
      </c>
      <c r="H24317">
        <v>4400</v>
      </c>
      <c r="I24317" t="s">
        <v>348</v>
      </c>
      <c r="J24317">
        <v>191.02</v>
      </c>
      <c r="K24317">
        <v>36.97</v>
      </c>
      <c r="L24317">
        <v>49501</v>
      </c>
      <c r="M24317" t="s">
        <v>177</v>
      </c>
      <c r="N24317" t="str">
        <f>"5805        "</f>
        <v xml:space="preserve">5805        </v>
      </c>
      <c r="O24317">
        <v>230227</v>
      </c>
    </row>
    <row r="24318" spans="1:15" x14ac:dyDescent="0.25">
      <c r="A24318" t="s">
        <v>16</v>
      </c>
      <c r="B24318" t="s">
        <v>3221</v>
      </c>
      <c r="C24318">
        <v>13374</v>
      </c>
      <c r="D24318" t="s">
        <v>1396</v>
      </c>
      <c r="E24318" t="s">
        <v>1397</v>
      </c>
      <c r="F24318">
        <v>70.56</v>
      </c>
      <c r="G24318">
        <v>231005</v>
      </c>
      <c r="H24318">
        <v>4400</v>
      </c>
      <c r="I24318" t="s">
        <v>348</v>
      </c>
      <c r="J24318">
        <v>87.5</v>
      </c>
      <c r="K24318">
        <v>16.940000000000001</v>
      </c>
      <c r="L24318">
        <v>49501</v>
      </c>
      <c r="M24318" t="s">
        <v>177</v>
      </c>
      <c r="N24318" t="str">
        <f>"6075        "</f>
        <v xml:space="preserve">6075        </v>
      </c>
      <c r="O24318">
        <v>231009</v>
      </c>
    </row>
    <row r="24319" spans="1:15" x14ac:dyDescent="0.25">
      <c r="A24319" t="s">
        <v>16</v>
      </c>
      <c r="B24319" t="s">
        <v>3221</v>
      </c>
      <c r="C24319">
        <v>17689</v>
      </c>
      <c r="D24319" t="s">
        <v>1396</v>
      </c>
      <c r="E24319" t="s">
        <v>1397</v>
      </c>
      <c r="F24319">
        <v>94.35</v>
      </c>
      <c r="G24319">
        <v>231208</v>
      </c>
      <c r="H24319">
        <v>4400</v>
      </c>
      <c r="I24319" t="s">
        <v>348</v>
      </c>
      <c r="J24319">
        <v>117</v>
      </c>
      <c r="K24319">
        <v>22.65</v>
      </c>
      <c r="L24319">
        <v>49501</v>
      </c>
      <c r="M24319" t="s">
        <v>177</v>
      </c>
      <c r="N24319" t="str">
        <f>"6120        "</f>
        <v xml:space="preserve">6120        </v>
      </c>
      <c r="O24319">
        <v>231221</v>
      </c>
    </row>
    <row r="24320" spans="1:15" x14ac:dyDescent="0.25">
      <c r="A24320" t="s">
        <v>16</v>
      </c>
      <c r="B24320" t="s">
        <v>3221</v>
      </c>
      <c r="C24320">
        <v>13766</v>
      </c>
      <c r="D24320" t="s">
        <v>3545</v>
      </c>
      <c r="E24320" t="s">
        <v>3546</v>
      </c>
      <c r="F24320">
        <v>75</v>
      </c>
      <c r="G24320">
        <v>231010</v>
      </c>
      <c r="H24320">
        <v>4350</v>
      </c>
      <c r="I24320" t="s">
        <v>546</v>
      </c>
      <c r="J24320">
        <v>75</v>
      </c>
      <c r="K24320">
        <v>0</v>
      </c>
      <c r="L24320">
        <v>49702</v>
      </c>
      <c r="M24320" t="s">
        <v>584</v>
      </c>
      <c r="N24320" t="str">
        <f>"1255        "</f>
        <v xml:space="preserve">1255        </v>
      </c>
      <c r="O24320">
        <v>231013</v>
      </c>
    </row>
    <row r="24321" spans="1:15" x14ac:dyDescent="0.25">
      <c r="A24321" t="s">
        <v>16</v>
      </c>
      <c r="B24321" t="s">
        <v>3221</v>
      </c>
      <c r="C24321">
        <v>4381</v>
      </c>
      <c r="D24321" t="s">
        <v>1708</v>
      </c>
      <c r="E24321" t="s">
        <v>1709</v>
      </c>
      <c r="F24321">
        <v>666.67</v>
      </c>
      <c r="G24321">
        <v>230402</v>
      </c>
      <c r="H24321">
        <v>4412</v>
      </c>
      <c r="I24321" t="s">
        <v>149</v>
      </c>
      <c r="J24321">
        <v>760</v>
      </c>
      <c r="K24321">
        <v>93.33</v>
      </c>
      <c r="L24321">
        <v>49701</v>
      </c>
      <c r="M24321" t="s">
        <v>166</v>
      </c>
      <c r="N24321" t="str">
        <f>"6023040001  "</f>
        <v xml:space="preserve">6023040001  </v>
      </c>
      <c r="O24321">
        <v>230405</v>
      </c>
    </row>
    <row r="24322" spans="1:15" x14ac:dyDescent="0.25">
      <c r="A24322" t="s">
        <v>16</v>
      </c>
      <c r="B24322" t="s">
        <v>3221</v>
      </c>
      <c r="C24322">
        <v>3636</v>
      </c>
      <c r="D24322" t="s">
        <v>1582</v>
      </c>
      <c r="E24322" t="s">
        <v>1583</v>
      </c>
      <c r="F24322">
        <v>171.74</v>
      </c>
      <c r="G24322">
        <v>230315</v>
      </c>
      <c r="H24322">
        <v>4600</v>
      </c>
      <c r="I24322" t="s">
        <v>105</v>
      </c>
      <c r="J24322">
        <v>212.96</v>
      </c>
      <c r="K24322">
        <v>41.22</v>
      </c>
      <c r="L24322">
        <v>17525</v>
      </c>
      <c r="M24322" t="s">
        <v>135</v>
      </c>
      <c r="N24322" t="str">
        <f>"0975942     "</f>
        <v xml:space="preserve">0975942     </v>
      </c>
      <c r="O24322">
        <v>230320</v>
      </c>
    </row>
    <row r="24323" spans="1:15" x14ac:dyDescent="0.25">
      <c r="A24323" t="s">
        <v>16</v>
      </c>
      <c r="B24323" t="s">
        <v>3221</v>
      </c>
      <c r="C24323">
        <v>3636</v>
      </c>
      <c r="D24323" t="s">
        <v>1582</v>
      </c>
      <c r="E24323" t="s">
        <v>1583</v>
      </c>
      <c r="F24323">
        <v>16.13</v>
      </c>
      <c r="G24323">
        <v>230315</v>
      </c>
      <c r="H24323">
        <v>4600</v>
      </c>
      <c r="I24323" t="s">
        <v>105</v>
      </c>
      <c r="J24323">
        <v>20</v>
      </c>
      <c r="K24323">
        <v>3.87</v>
      </c>
      <c r="L24323">
        <v>17636</v>
      </c>
      <c r="M24323" t="s">
        <v>352</v>
      </c>
      <c r="N24323" t="str">
        <f>"0975942     "</f>
        <v xml:space="preserve">0975942     </v>
      </c>
      <c r="O24323">
        <v>230320</v>
      </c>
    </row>
    <row r="24324" spans="1:15" x14ac:dyDescent="0.25">
      <c r="A24324" t="s">
        <v>16</v>
      </c>
      <c r="B24324" t="s">
        <v>3221</v>
      </c>
      <c r="C24324">
        <v>4838</v>
      </c>
      <c r="D24324" t="s">
        <v>1582</v>
      </c>
      <c r="E24324" t="s">
        <v>1583</v>
      </c>
      <c r="F24324">
        <v>12.08</v>
      </c>
      <c r="G24324">
        <v>230403</v>
      </c>
      <c r="H24324">
        <v>4600</v>
      </c>
      <c r="I24324" t="s">
        <v>105</v>
      </c>
      <c r="J24324">
        <v>14.98</v>
      </c>
      <c r="K24324">
        <v>2.9</v>
      </c>
      <c r="L24324">
        <v>17525</v>
      </c>
      <c r="M24324" t="s">
        <v>135</v>
      </c>
      <c r="N24324" t="str">
        <f>"0978056     "</f>
        <v xml:space="preserve">0978056     </v>
      </c>
      <c r="O24324">
        <v>230413</v>
      </c>
    </row>
    <row r="24325" spans="1:15" x14ac:dyDescent="0.25">
      <c r="A24325" t="s">
        <v>16</v>
      </c>
      <c r="B24325" t="s">
        <v>3221</v>
      </c>
      <c r="C24325">
        <v>1916</v>
      </c>
      <c r="D24325" t="s">
        <v>1230</v>
      </c>
      <c r="E24325" t="s">
        <v>1231</v>
      </c>
      <c r="F24325">
        <v>183.47</v>
      </c>
      <c r="G24325">
        <v>230210</v>
      </c>
      <c r="H24325">
        <v>4380</v>
      </c>
      <c r="I24325" t="s">
        <v>113</v>
      </c>
      <c r="J24325">
        <v>227.5</v>
      </c>
      <c r="K24325">
        <v>44.03</v>
      </c>
      <c r="L24325">
        <v>49112</v>
      </c>
      <c r="M24325" t="s">
        <v>233</v>
      </c>
      <c r="N24325" t="str">
        <f>"3111        "</f>
        <v xml:space="preserve">3111        </v>
      </c>
      <c r="O24325">
        <v>230216</v>
      </c>
    </row>
    <row r="24326" spans="1:15" x14ac:dyDescent="0.25">
      <c r="A24326" t="s">
        <v>16</v>
      </c>
      <c r="B24326" t="s">
        <v>3221</v>
      </c>
      <c r="C24326">
        <v>14685</v>
      </c>
      <c r="D24326" t="s">
        <v>3724</v>
      </c>
      <c r="E24326" t="s">
        <v>2787</v>
      </c>
      <c r="F24326">
        <v>1680</v>
      </c>
      <c r="G24326">
        <v>231025</v>
      </c>
      <c r="H24326">
        <v>1196</v>
      </c>
      <c r="I24326" t="s">
        <v>392</v>
      </c>
      <c r="J24326">
        <v>2083.1999999999998</v>
      </c>
      <c r="K24326">
        <v>403.2</v>
      </c>
      <c r="L24326">
        <v>97501</v>
      </c>
      <c r="M24326" t="s">
        <v>393</v>
      </c>
      <c r="N24326" t="str">
        <f>"1549        "</f>
        <v xml:space="preserve">1549        </v>
      </c>
      <c r="O24326">
        <v>231031</v>
      </c>
    </row>
    <row r="24327" spans="1:15" x14ac:dyDescent="0.25">
      <c r="A24327" t="s">
        <v>16</v>
      </c>
      <c r="B24327" t="s">
        <v>3221</v>
      </c>
      <c r="C24327">
        <v>14712</v>
      </c>
      <c r="D24327" t="s">
        <v>3724</v>
      </c>
      <c r="E24327" t="s">
        <v>2787</v>
      </c>
      <c r="F24327">
        <v>2760</v>
      </c>
      <c r="G24327">
        <v>231025</v>
      </c>
      <c r="H24327">
        <v>1196</v>
      </c>
      <c r="I24327" t="s">
        <v>392</v>
      </c>
      <c r="J24327">
        <v>3422.4</v>
      </c>
      <c r="K24327">
        <v>662.4</v>
      </c>
      <c r="L24327">
        <v>95501</v>
      </c>
      <c r="M24327" t="s">
        <v>623</v>
      </c>
      <c r="N24327" t="str">
        <f>"1548        "</f>
        <v xml:space="preserve">1548        </v>
      </c>
      <c r="O24327">
        <v>231101</v>
      </c>
    </row>
    <row r="24328" spans="1:15" x14ac:dyDescent="0.25">
      <c r="A24328" t="s">
        <v>16</v>
      </c>
      <c r="B24328" t="s">
        <v>3221</v>
      </c>
      <c r="C24328">
        <v>17009</v>
      </c>
      <c r="D24328" t="s">
        <v>3724</v>
      </c>
      <c r="E24328" t="s">
        <v>2787</v>
      </c>
      <c r="F24328">
        <v>2232</v>
      </c>
      <c r="G24328">
        <v>231201</v>
      </c>
      <c r="H24328">
        <v>1196</v>
      </c>
      <c r="I24328" t="s">
        <v>392</v>
      </c>
      <c r="J24328">
        <v>2232</v>
      </c>
      <c r="K24328">
        <v>0</v>
      </c>
      <c r="L24328">
        <v>95501</v>
      </c>
      <c r="M24328" t="s">
        <v>623</v>
      </c>
      <c r="N24328" t="str">
        <f>"1568        "</f>
        <v xml:space="preserve">1568        </v>
      </c>
      <c r="O24328">
        <v>231211</v>
      </c>
    </row>
    <row r="24329" spans="1:15" x14ac:dyDescent="0.25">
      <c r="A24329" t="s">
        <v>16</v>
      </c>
      <c r="B24329" t="s">
        <v>3221</v>
      </c>
      <c r="C24329">
        <v>5504</v>
      </c>
      <c r="D24329" t="s">
        <v>1719</v>
      </c>
      <c r="E24329" t="s">
        <v>1720</v>
      </c>
      <c r="F24329">
        <v>272.17</v>
      </c>
      <c r="G24329">
        <v>230418</v>
      </c>
      <c r="H24329">
        <v>4580</v>
      </c>
      <c r="I24329" t="s">
        <v>35</v>
      </c>
      <c r="J24329">
        <v>337.49</v>
      </c>
      <c r="K24329">
        <v>65.319999999999993</v>
      </c>
      <c r="L24329">
        <v>56562</v>
      </c>
      <c r="M24329" t="s">
        <v>126</v>
      </c>
      <c r="N24329" t="str">
        <f>"167551      "</f>
        <v xml:space="preserve">167551      </v>
      </c>
      <c r="O24329">
        <v>230426</v>
      </c>
    </row>
    <row r="24330" spans="1:15" x14ac:dyDescent="0.25">
      <c r="A24330" t="s">
        <v>16</v>
      </c>
      <c r="B24330" t="s">
        <v>3221</v>
      </c>
      <c r="C24330">
        <v>4447</v>
      </c>
      <c r="D24330" t="s">
        <v>1719</v>
      </c>
      <c r="E24330" t="s">
        <v>1720</v>
      </c>
      <c r="F24330">
        <v>732.34</v>
      </c>
      <c r="G24330">
        <v>230328</v>
      </c>
      <c r="H24330">
        <v>4600</v>
      </c>
      <c r="I24330" t="s">
        <v>105</v>
      </c>
      <c r="J24330">
        <v>908.1</v>
      </c>
      <c r="K24330">
        <v>175.76</v>
      </c>
      <c r="L24330">
        <v>46561</v>
      </c>
      <c r="M24330" t="s">
        <v>1236</v>
      </c>
      <c r="N24330" t="str">
        <f>"167199      "</f>
        <v xml:space="preserve">167199      </v>
      </c>
      <c r="O24330">
        <v>230406</v>
      </c>
    </row>
    <row r="24331" spans="1:15" x14ac:dyDescent="0.25">
      <c r="A24331" t="s">
        <v>16</v>
      </c>
      <c r="B24331" t="s">
        <v>3221</v>
      </c>
      <c r="C24331">
        <v>14504</v>
      </c>
      <c r="D24331" t="s">
        <v>3601</v>
      </c>
      <c r="E24331" t="s">
        <v>2778</v>
      </c>
      <c r="F24331">
        <v>1224.5</v>
      </c>
      <c r="G24331">
        <v>231025</v>
      </c>
      <c r="H24331">
        <v>4500</v>
      </c>
      <c r="I24331" t="s">
        <v>212</v>
      </c>
      <c r="J24331">
        <v>1518.38</v>
      </c>
      <c r="K24331">
        <v>293.88</v>
      </c>
      <c r="L24331">
        <v>11301</v>
      </c>
      <c r="M24331" t="s">
        <v>29</v>
      </c>
      <c r="N24331" t="str">
        <f>"18503       "</f>
        <v xml:space="preserve">18503       </v>
      </c>
      <c r="O24331">
        <v>231030</v>
      </c>
    </row>
    <row r="24332" spans="1:15" x14ac:dyDescent="0.25">
      <c r="A24332" t="s">
        <v>16</v>
      </c>
      <c r="B24332" t="s">
        <v>3221</v>
      </c>
      <c r="C24332">
        <v>6881</v>
      </c>
      <c r="D24332" t="s">
        <v>2035</v>
      </c>
      <c r="E24332" t="s">
        <v>2036</v>
      </c>
      <c r="F24332">
        <v>2600</v>
      </c>
      <c r="G24332">
        <v>230517</v>
      </c>
      <c r="H24332">
        <v>4346</v>
      </c>
      <c r="I24332" t="s">
        <v>197</v>
      </c>
      <c r="J24332">
        <v>3224</v>
      </c>
      <c r="K24332">
        <v>624</v>
      </c>
      <c r="L24332">
        <v>11908</v>
      </c>
      <c r="M24332" t="s">
        <v>598</v>
      </c>
      <c r="N24332" t="str">
        <f>"206         "</f>
        <v xml:space="preserve">206         </v>
      </c>
      <c r="O24332">
        <v>230523</v>
      </c>
    </row>
    <row r="24333" spans="1:15" x14ac:dyDescent="0.25">
      <c r="A24333" t="s">
        <v>16</v>
      </c>
      <c r="B24333" t="s">
        <v>3221</v>
      </c>
      <c r="C24333">
        <v>1285</v>
      </c>
      <c r="D24333" t="s">
        <v>981</v>
      </c>
      <c r="E24333" t="s">
        <v>982</v>
      </c>
      <c r="F24333">
        <v>129.03</v>
      </c>
      <c r="G24333">
        <v>230131</v>
      </c>
      <c r="H24333">
        <v>4440</v>
      </c>
      <c r="I24333" t="s">
        <v>250</v>
      </c>
      <c r="J24333">
        <v>160</v>
      </c>
      <c r="K24333">
        <v>30.97</v>
      </c>
      <c r="L24333">
        <v>13501</v>
      </c>
      <c r="M24333" t="s">
        <v>20</v>
      </c>
      <c r="N24333" t="str">
        <f>"640         "</f>
        <v xml:space="preserve">640         </v>
      </c>
      <c r="O24333">
        <v>230207</v>
      </c>
    </row>
    <row r="24334" spans="1:15" x14ac:dyDescent="0.25">
      <c r="A24334" t="s">
        <v>16</v>
      </c>
      <c r="B24334" t="s">
        <v>3221</v>
      </c>
      <c r="C24334">
        <v>1387</v>
      </c>
      <c r="D24334" t="s">
        <v>966</v>
      </c>
      <c r="E24334" t="s">
        <v>967</v>
      </c>
      <c r="F24334">
        <v>166.6</v>
      </c>
      <c r="G24334">
        <v>230131</v>
      </c>
      <c r="H24334">
        <v>4346</v>
      </c>
      <c r="I24334" t="s">
        <v>197</v>
      </c>
      <c r="J24334">
        <v>206.58</v>
      </c>
      <c r="K24334">
        <v>39.979999999999997</v>
      </c>
      <c r="L24334">
        <v>11101</v>
      </c>
      <c r="M24334" t="s">
        <v>110</v>
      </c>
      <c r="N24334" t="str">
        <f>"SEV 8118    "</f>
        <v xml:space="preserve">SEV 8118    </v>
      </c>
      <c r="O24334">
        <v>230208</v>
      </c>
    </row>
    <row r="24335" spans="1:15" x14ac:dyDescent="0.25">
      <c r="A24335" t="s">
        <v>16</v>
      </c>
      <c r="B24335" t="s">
        <v>3221</v>
      </c>
      <c r="C24335">
        <v>1797</v>
      </c>
      <c r="D24335" t="s">
        <v>966</v>
      </c>
      <c r="E24335" t="s">
        <v>967</v>
      </c>
      <c r="F24335">
        <v>36.17</v>
      </c>
      <c r="G24335">
        <v>230131</v>
      </c>
      <c r="H24335">
        <v>4346</v>
      </c>
      <c r="I24335" t="s">
        <v>197</v>
      </c>
      <c r="J24335">
        <v>44.85</v>
      </c>
      <c r="K24335">
        <v>8.68</v>
      </c>
      <c r="L24335">
        <v>11601</v>
      </c>
      <c r="M24335" t="s">
        <v>535</v>
      </c>
      <c r="N24335" t="str">
        <f>"1KK 117653  "</f>
        <v xml:space="preserve">1KK 117653  </v>
      </c>
      <c r="O24335">
        <v>230214</v>
      </c>
    </row>
    <row r="24336" spans="1:15" x14ac:dyDescent="0.25">
      <c r="A24336" t="s">
        <v>16</v>
      </c>
      <c r="B24336" t="s">
        <v>3221</v>
      </c>
      <c r="C24336">
        <v>2930</v>
      </c>
      <c r="D24336" t="s">
        <v>966</v>
      </c>
      <c r="E24336" t="s">
        <v>967</v>
      </c>
      <c r="F24336">
        <v>36.17</v>
      </c>
      <c r="G24336">
        <v>230228</v>
      </c>
      <c r="H24336">
        <v>4346</v>
      </c>
      <c r="I24336" t="s">
        <v>197</v>
      </c>
      <c r="J24336">
        <v>44.85</v>
      </c>
      <c r="K24336">
        <v>8.68</v>
      </c>
      <c r="L24336">
        <v>11601</v>
      </c>
      <c r="M24336" t="s">
        <v>535</v>
      </c>
      <c r="N24336" t="str">
        <f>"1KK 118264  "</f>
        <v xml:space="preserve">1KK 118264  </v>
      </c>
      <c r="O24336">
        <v>230308</v>
      </c>
    </row>
    <row r="24337" spans="1:15" x14ac:dyDescent="0.25">
      <c r="A24337" t="s">
        <v>16</v>
      </c>
      <c r="B24337" t="s">
        <v>3221</v>
      </c>
      <c r="C24337">
        <v>4500</v>
      </c>
      <c r="D24337" t="s">
        <v>966</v>
      </c>
      <c r="E24337" t="s">
        <v>967</v>
      </c>
      <c r="F24337">
        <v>36.17</v>
      </c>
      <c r="G24337">
        <v>230331</v>
      </c>
      <c r="H24337">
        <v>4346</v>
      </c>
      <c r="I24337" t="s">
        <v>197</v>
      </c>
      <c r="J24337">
        <v>44.85</v>
      </c>
      <c r="K24337">
        <v>8.68</v>
      </c>
      <c r="L24337">
        <v>11601</v>
      </c>
      <c r="M24337" t="s">
        <v>535</v>
      </c>
      <c r="N24337" t="str">
        <f>"1KK 118883  "</f>
        <v xml:space="preserve">1KK 118883  </v>
      </c>
      <c r="O24337">
        <v>230406</v>
      </c>
    </row>
    <row r="24338" spans="1:15" x14ac:dyDescent="0.25">
      <c r="A24338" t="s">
        <v>16</v>
      </c>
      <c r="B24338" t="s">
        <v>3221</v>
      </c>
      <c r="C24338">
        <v>5980</v>
      </c>
      <c r="D24338" t="s">
        <v>966</v>
      </c>
      <c r="E24338" t="s">
        <v>967</v>
      </c>
      <c r="F24338">
        <v>36.17</v>
      </c>
      <c r="G24338">
        <v>230427</v>
      </c>
      <c r="H24338">
        <v>4346</v>
      </c>
      <c r="I24338" t="s">
        <v>197</v>
      </c>
      <c r="J24338">
        <v>44.85</v>
      </c>
      <c r="K24338">
        <v>8.68</v>
      </c>
      <c r="L24338">
        <v>11601</v>
      </c>
      <c r="M24338" t="s">
        <v>535</v>
      </c>
      <c r="N24338" t="str">
        <f>"1KK 119485  "</f>
        <v xml:space="preserve">1KK 119485  </v>
      </c>
      <c r="O24338">
        <v>230504</v>
      </c>
    </row>
    <row r="24339" spans="1:15" x14ac:dyDescent="0.25">
      <c r="A24339" t="s">
        <v>16</v>
      </c>
      <c r="B24339" t="s">
        <v>3221</v>
      </c>
      <c r="C24339">
        <v>8614</v>
      </c>
      <c r="D24339" t="s">
        <v>966</v>
      </c>
      <c r="E24339" t="s">
        <v>967</v>
      </c>
      <c r="F24339">
        <v>36.17</v>
      </c>
      <c r="G24339">
        <v>230531</v>
      </c>
      <c r="H24339">
        <v>4346</v>
      </c>
      <c r="I24339" t="s">
        <v>197</v>
      </c>
      <c r="J24339">
        <v>44.85</v>
      </c>
      <c r="K24339">
        <v>8.68</v>
      </c>
      <c r="L24339">
        <v>11601</v>
      </c>
      <c r="M24339" t="s">
        <v>535</v>
      </c>
      <c r="N24339" t="str">
        <f>"1KK 120080  "</f>
        <v xml:space="preserve">1KK 120080  </v>
      </c>
      <c r="O24339">
        <v>230612</v>
      </c>
    </row>
    <row r="24340" spans="1:15" x14ac:dyDescent="0.25">
      <c r="A24340" t="s">
        <v>16</v>
      </c>
      <c r="B24340" t="s">
        <v>3221</v>
      </c>
      <c r="C24340">
        <v>9256</v>
      </c>
      <c r="D24340" t="s">
        <v>966</v>
      </c>
      <c r="E24340" t="s">
        <v>967</v>
      </c>
      <c r="F24340">
        <v>36.17</v>
      </c>
      <c r="G24340">
        <v>230629</v>
      </c>
      <c r="H24340">
        <v>4346</v>
      </c>
      <c r="I24340" t="s">
        <v>197</v>
      </c>
      <c r="J24340">
        <v>44.85</v>
      </c>
      <c r="K24340">
        <v>8.68</v>
      </c>
      <c r="L24340">
        <v>11601</v>
      </c>
      <c r="M24340" t="s">
        <v>535</v>
      </c>
      <c r="N24340" t="str">
        <f>"1KK 120688  "</f>
        <v xml:space="preserve">1KK 120688  </v>
      </c>
      <c r="O24340">
        <v>230703</v>
      </c>
    </row>
    <row r="24341" spans="1:15" x14ac:dyDescent="0.25">
      <c r="A24341" t="s">
        <v>16</v>
      </c>
      <c r="B24341" t="s">
        <v>3221</v>
      </c>
      <c r="C24341">
        <v>1265</v>
      </c>
      <c r="D24341" t="s">
        <v>966</v>
      </c>
      <c r="E24341" t="s">
        <v>967</v>
      </c>
      <c r="F24341">
        <v>138</v>
      </c>
      <c r="G24341">
        <v>230131</v>
      </c>
      <c r="H24341">
        <v>4341</v>
      </c>
      <c r="I24341" t="s">
        <v>32</v>
      </c>
      <c r="J24341">
        <v>171.12</v>
      </c>
      <c r="K24341">
        <v>33.119999999999997</v>
      </c>
      <c r="L24341">
        <v>11801</v>
      </c>
      <c r="M24341" t="s">
        <v>92</v>
      </c>
      <c r="N24341" t="str">
        <f>"1KK 117878  "</f>
        <v xml:space="preserve">1KK 117878  </v>
      </c>
      <c r="O24341">
        <v>230207</v>
      </c>
    </row>
    <row r="24342" spans="1:15" x14ac:dyDescent="0.25">
      <c r="A24342" t="s">
        <v>16</v>
      </c>
      <c r="B24342" t="s">
        <v>3221</v>
      </c>
      <c r="C24342">
        <v>4384</v>
      </c>
      <c r="D24342" t="s">
        <v>966</v>
      </c>
      <c r="E24342" t="s">
        <v>967</v>
      </c>
      <c r="F24342">
        <v>99</v>
      </c>
      <c r="G24342">
        <v>230331</v>
      </c>
      <c r="H24342">
        <v>4341</v>
      </c>
      <c r="I24342" t="s">
        <v>32</v>
      </c>
      <c r="J24342">
        <v>122.76</v>
      </c>
      <c r="K24342">
        <v>23.76</v>
      </c>
      <c r="L24342">
        <v>11101</v>
      </c>
      <c r="M24342" t="s">
        <v>110</v>
      </c>
      <c r="N24342" t="str">
        <f>"SUP 14306   "</f>
        <v xml:space="preserve">SUP 14306   </v>
      </c>
      <c r="O24342">
        <v>230405</v>
      </c>
    </row>
    <row r="24343" spans="1:15" x14ac:dyDescent="0.25">
      <c r="A24343" t="s">
        <v>16</v>
      </c>
      <c r="B24343" t="s">
        <v>3221</v>
      </c>
      <c r="C24343">
        <v>7406</v>
      </c>
      <c r="D24343" t="s">
        <v>966</v>
      </c>
      <c r="E24343" t="s">
        <v>967</v>
      </c>
      <c r="F24343">
        <v>99</v>
      </c>
      <c r="G24343">
        <v>230524</v>
      </c>
      <c r="H24343">
        <v>4341</v>
      </c>
      <c r="I24343" t="s">
        <v>32</v>
      </c>
      <c r="J24343">
        <v>122.76</v>
      </c>
      <c r="K24343">
        <v>23.76</v>
      </c>
      <c r="L24343">
        <v>11101</v>
      </c>
      <c r="M24343" t="s">
        <v>110</v>
      </c>
      <c r="N24343" t="str">
        <f>"SUP 14468   "</f>
        <v xml:space="preserve">SUP 14468   </v>
      </c>
      <c r="O24343">
        <v>230530</v>
      </c>
    </row>
    <row r="24344" spans="1:15" x14ac:dyDescent="0.25">
      <c r="A24344" t="s">
        <v>16</v>
      </c>
      <c r="B24344" t="s">
        <v>3221</v>
      </c>
      <c r="C24344">
        <v>9326</v>
      </c>
      <c r="D24344" t="s">
        <v>966</v>
      </c>
      <c r="E24344" t="s">
        <v>967</v>
      </c>
      <c r="F24344">
        <v>2100</v>
      </c>
      <c r="G24344">
        <v>230630</v>
      </c>
      <c r="H24344">
        <v>4341</v>
      </c>
      <c r="I24344" t="s">
        <v>32</v>
      </c>
      <c r="J24344">
        <v>2604</v>
      </c>
      <c r="K24344">
        <v>504</v>
      </c>
      <c r="L24344">
        <v>11601</v>
      </c>
      <c r="M24344" t="s">
        <v>535</v>
      </c>
      <c r="N24344" t="str">
        <f>"SUP 14681   "</f>
        <v xml:space="preserve">SUP 14681   </v>
      </c>
      <c r="O24344">
        <v>230706</v>
      </c>
    </row>
    <row r="24345" spans="1:15" x14ac:dyDescent="0.25">
      <c r="A24345" t="s">
        <v>16</v>
      </c>
      <c r="B24345" t="s">
        <v>3221</v>
      </c>
      <c r="C24345">
        <v>13494</v>
      </c>
      <c r="D24345" t="s">
        <v>966</v>
      </c>
      <c r="E24345" t="s">
        <v>967</v>
      </c>
      <c r="F24345">
        <v>99</v>
      </c>
      <c r="G24345">
        <v>230930</v>
      </c>
      <c r="H24345">
        <v>4341</v>
      </c>
      <c r="I24345" t="s">
        <v>32</v>
      </c>
      <c r="J24345">
        <v>122.76</v>
      </c>
      <c r="K24345">
        <v>23.76</v>
      </c>
      <c r="L24345">
        <v>11101</v>
      </c>
      <c r="M24345" t="s">
        <v>110</v>
      </c>
      <c r="N24345" t="str">
        <f>"SUP 15058   "</f>
        <v xml:space="preserve">SUP 15058   </v>
      </c>
      <c r="O24345">
        <v>231010</v>
      </c>
    </row>
    <row r="24346" spans="1:15" x14ac:dyDescent="0.25">
      <c r="A24346" t="s">
        <v>16</v>
      </c>
      <c r="B24346" t="s">
        <v>3221</v>
      </c>
      <c r="C24346">
        <v>15390</v>
      </c>
      <c r="D24346" t="s">
        <v>966</v>
      </c>
      <c r="E24346" t="s">
        <v>967</v>
      </c>
      <c r="F24346">
        <v>99</v>
      </c>
      <c r="G24346">
        <v>231031</v>
      </c>
      <c r="H24346">
        <v>4341</v>
      </c>
      <c r="I24346" t="s">
        <v>32</v>
      </c>
      <c r="J24346">
        <v>122.76</v>
      </c>
      <c r="K24346">
        <v>23.76</v>
      </c>
      <c r="L24346">
        <v>11101</v>
      </c>
      <c r="M24346" t="s">
        <v>110</v>
      </c>
      <c r="N24346" t="str">
        <f>"SUP 15148   "</f>
        <v xml:space="preserve">SUP 15148   </v>
      </c>
      <c r="O24346">
        <v>231113</v>
      </c>
    </row>
    <row r="24347" spans="1:15" x14ac:dyDescent="0.25">
      <c r="A24347" t="s">
        <v>16</v>
      </c>
      <c r="B24347" t="s">
        <v>3221</v>
      </c>
      <c r="C24347">
        <v>16652</v>
      </c>
      <c r="D24347" t="s">
        <v>966</v>
      </c>
      <c r="E24347" t="s">
        <v>967</v>
      </c>
      <c r="F24347">
        <v>198</v>
      </c>
      <c r="G24347">
        <v>231130</v>
      </c>
      <c r="H24347">
        <v>4341</v>
      </c>
      <c r="I24347" t="s">
        <v>32</v>
      </c>
      <c r="J24347">
        <v>245.52</v>
      </c>
      <c r="K24347">
        <v>47.52</v>
      </c>
      <c r="L24347">
        <v>11101</v>
      </c>
      <c r="M24347" t="s">
        <v>110</v>
      </c>
      <c r="N24347" t="str">
        <f>"SUP 15240   "</f>
        <v xml:space="preserve">SUP 15240   </v>
      </c>
      <c r="O24347">
        <v>231205</v>
      </c>
    </row>
    <row r="24348" spans="1:15" x14ac:dyDescent="0.25">
      <c r="A24348" t="s">
        <v>16</v>
      </c>
      <c r="B24348" t="s">
        <v>3221</v>
      </c>
      <c r="C24348">
        <v>1792</v>
      </c>
      <c r="D24348" t="s">
        <v>966</v>
      </c>
      <c r="E24348" t="s">
        <v>967</v>
      </c>
      <c r="F24348">
        <v>27.54</v>
      </c>
      <c r="G24348">
        <v>230131</v>
      </c>
      <c r="H24348">
        <v>4343</v>
      </c>
      <c r="I24348" t="s">
        <v>91</v>
      </c>
      <c r="J24348">
        <v>34.15</v>
      </c>
      <c r="K24348">
        <v>6.61</v>
      </c>
      <c r="L24348">
        <v>11601</v>
      </c>
      <c r="M24348" t="s">
        <v>535</v>
      </c>
      <c r="N24348" t="str">
        <f>"1KK 117442  "</f>
        <v xml:space="preserve">1KK 117442  </v>
      </c>
      <c r="O24348">
        <v>230214</v>
      </c>
    </row>
    <row r="24349" spans="1:15" x14ac:dyDescent="0.25">
      <c r="A24349" t="s">
        <v>16</v>
      </c>
      <c r="B24349" t="s">
        <v>3221</v>
      </c>
      <c r="C24349">
        <v>1793</v>
      </c>
      <c r="D24349" t="s">
        <v>966</v>
      </c>
      <c r="E24349" t="s">
        <v>967</v>
      </c>
      <c r="F24349">
        <v>169.54</v>
      </c>
      <c r="G24349">
        <v>230131</v>
      </c>
      <c r="H24349">
        <v>4343</v>
      </c>
      <c r="I24349" t="s">
        <v>91</v>
      </c>
      <c r="J24349">
        <v>210.23</v>
      </c>
      <c r="K24349">
        <v>40.69</v>
      </c>
      <c r="L24349">
        <v>11601</v>
      </c>
      <c r="M24349" t="s">
        <v>535</v>
      </c>
      <c r="N24349" t="str">
        <f>"1KK 117649  "</f>
        <v xml:space="preserve">1KK 117649  </v>
      </c>
      <c r="O24349">
        <v>230214</v>
      </c>
    </row>
    <row r="24350" spans="1:15" x14ac:dyDescent="0.25">
      <c r="A24350" t="s">
        <v>16</v>
      </c>
      <c r="B24350" t="s">
        <v>3221</v>
      </c>
      <c r="C24350">
        <v>1794</v>
      </c>
      <c r="D24350" t="s">
        <v>966</v>
      </c>
      <c r="E24350" t="s">
        <v>967</v>
      </c>
      <c r="F24350">
        <v>250</v>
      </c>
      <c r="G24350">
        <v>230131</v>
      </c>
      <c r="H24350">
        <v>4343</v>
      </c>
      <c r="I24350" t="s">
        <v>91</v>
      </c>
      <c r="J24350">
        <v>310</v>
      </c>
      <c r="K24350">
        <v>60</v>
      </c>
      <c r="L24350">
        <v>11601</v>
      </c>
      <c r="M24350" t="s">
        <v>535</v>
      </c>
      <c r="N24350" t="str">
        <f>"TIK 751     "</f>
        <v xml:space="preserve">TIK 751     </v>
      </c>
      <c r="O24350">
        <v>230214</v>
      </c>
    </row>
    <row r="24351" spans="1:15" x14ac:dyDescent="0.25">
      <c r="A24351" t="s">
        <v>16</v>
      </c>
      <c r="B24351" t="s">
        <v>3221</v>
      </c>
      <c r="C24351">
        <v>1818</v>
      </c>
      <c r="D24351" t="s">
        <v>966</v>
      </c>
      <c r="E24351" t="s">
        <v>967</v>
      </c>
      <c r="F24351">
        <v>4547.6499999999996</v>
      </c>
      <c r="G24351">
        <v>230131</v>
      </c>
      <c r="H24351">
        <v>4343</v>
      </c>
      <c r="I24351" t="s">
        <v>91</v>
      </c>
      <c r="J24351">
        <v>5639.08</v>
      </c>
      <c r="K24351">
        <v>1091.43</v>
      </c>
      <c r="L24351">
        <v>11801</v>
      </c>
      <c r="M24351" t="s">
        <v>92</v>
      </c>
      <c r="N24351" t="str">
        <f>"1KK 117505  "</f>
        <v xml:space="preserve">1KK 117505  </v>
      </c>
      <c r="O24351">
        <v>230214</v>
      </c>
    </row>
    <row r="24352" spans="1:15" x14ac:dyDescent="0.25">
      <c r="A24352" t="s">
        <v>16</v>
      </c>
      <c r="B24352" t="s">
        <v>3221</v>
      </c>
      <c r="C24352">
        <v>1821</v>
      </c>
      <c r="D24352" t="s">
        <v>966</v>
      </c>
      <c r="E24352" t="s">
        <v>967</v>
      </c>
      <c r="F24352">
        <v>945</v>
      </c>
      <c r="G24352">
        <v>230131</v>
      </c>
      <c r="H24352">
        <v>4343</v>
      </c>
      <c r="I24352" t="s">
        <v>91</v>
      </c>
      <c r="J24352">
        <v>1171.8</v>
      </c>
      <c r="K24352">
        <v>226.8</v>
      </c>
      <c r="L24352">
        <v>11801</v>
      </c>
      <c r="M24352" t="s">
        <v>92</v>
      </c>
      <c r="N24352" t="str">
        <f>"1KK 117944  "</f>
        <v xml:space="preserve">1KK 117944  </v>
      </c>
      <c r="O24352">
        <v>230214</v>
      </c>
    </row>
    <row r="24353" spans="1:15" x14ac:dyDescent="0.25">
      <c r="A24353" t="s">
        <v>16</v>
      </c>
      <c r="B24353" t="s">
        <v>3221</v>
      </c>
      <c r="C24353">
        <v>1822</v>
      </c>
      <c r="D24353" t="s">
        <v>966</v>
      </c>
      <c r="E24353" t="s">
        <v>967</v>
      </c>
      <c r="F24353">
        <v>1125.31</v>
      </c>
      <c r="G24353">
        <v>230131</v>
      </c>
      <c r="H24353">
        <v>4343</v>
      </c>
      <c r="I24353" t="s">
        <v>91</v>
      </c>
      <c r="J24353">
        <v>1395.38</v>
      </c>
      <c r="K24353">
        <v>270.07</v>
      </c>
      <c r="L24353">
        <v>11801</v>
      </c>
      <c r="M24353" t="s">
        <v>92</v>
      </c>
      <c r="N24353" t="str">
        <f>"1KK 117655  "</f>
        <v xml:space="preserve">1KK 117655  </v>
      </c>
      <c r="O24353">
        <v>230214</v>
      </c>
    </row>
    <row r="24354" spans="1:15" x14ac:dyDescent="0.25">
      <c r="A24354" t="s">
        <v>16</v>
      </c>
      <c r="B24354" t="s">
        <v>3221</v>
      </c>
      <c r="C24354">
        <v>1836</v>
      </c>
      <c r="D24354" t="s">
        <v>966</v>
      </c>
      <c r="E24354" t="s">
        <v>967</v>
      </c>
      <c r="F24354">
        <v>-249</v>
      </c>
      <c r="G24354">
        <v>230214</v>
      </c>
      <c r="H24354">
        <v>4343</v>
      </c>
      <c r="I24354" t="s">
        <v>91</v>
      </c>
      <c r="J24354">
        <v>-308.76</v>
      </c>
      <c r="K24354">
        <v>-59.76</v>
      </c>
      <c r="L24354">
        <v>11801</v>
      </c>
      <c r="M24354" t="s">
        <v>92</v>
      </c>
      <c r="N24354" t="str">
        <f>"HL1KK 211   "</f>
        <v xml:space="preserve">HL1KK 211   </v>
      </c>
      <c r="O24354">
        <v>230214</v>
      </c>
    </row>
    <row r="24355" spans="1:15" x14ac:dyDescent="0.25">
      <c r="A24355" t="s">
        <v>16</v>
      </c>
      <c r="B24355" t="s">
        <v>3221</v>
      </c>
      <c r="C24355">
        <v>1837</v>
      </c>
      <c r="D24355" t="s">
        <v>966</v>
      </c>
      <c r="E24355" t="s">
        <v>967</v>
      </c>
      <c r="F24355">
        <v>-249</v>
      </c>
      <c r="G24355">
        <v>230214</v>
      </c>
      <c r="H24355">
        <v>4343</v>
      </c>
      <c r="I24355" t="s">
        <v>91</v>
      </c>
      <c r="J24355">
        <v>-308.76</v>
      </c>
      <c r="K24355">
        <v>-59.76</v>
      </c>
      <c r="L24355">
        <v>11801</v>
      </c>
      <c r="M24355" t="s">
        <v>92</v>
      </c>
      <c r="N24355" t="str">
        <f>"HL1KK 212   "</f>
        <v xml:space="preserve">HL1KK 212   </v>
      </c>
      <c r="O24355">
        <v>230214</v>
      </c>
    </row>
    <row r="24356" spans="1:15" x14ac:dyDescent="0.25">
      <c r="A24356" t="s">
        <v>16</v>
      </c>
      <c r="B24356" t="s">
        <v>3221</v>
      </c>
      <c r="C24356">
        <v>1838</v>
      </c>
      <c r="D24356" t="s">
        <v>966</v>
      </c>
      <c r="E24356" t="s">
        <v>967</v>
      </c>
      <c r="F24356">
        <v>-249</v>
      </c>
      <c r="G24356">
        <v>230214</v>
      </c>
      <c r="H24356">
        <v>4343</v>
      </c>
      <c r="I24356" t="s">
        <v>91</v>
      </c>
      <c r="J24356">
        <v>-308.76</v>
      </c>
      <c r="K24356">
        <v>-59.76</v>
      </c>
      <c r="L24356">
        <v>11801</v>
      </c>
      <c r="M24356" t="s">
        <v>92</v>
      </c>
      <c r="N24356" t="str">
        <f>"HL1KK 213   "</f>
        <v xml:space="preserve">HL1KK 213   </v>
      </c>
      <c r="O24356">
        <v>230214</v>
      </c>
    </row>
    <row r="24357" spans="1:15" x14ac:dyDescent="0.25">
      <c r="A24357" t="s">
        <v>16</v>
      </c>
      <c r="B24357" t="s">
        <v>3221</v>
      </c>
      <c r="C24357">
        <v>1839</v>
      </c>
      <c r="D24357" t="s">
        <v>966</v>
      </c>
      <c r="E24357" t="s">
        <v>967</v>
      </c>
      <c r="F24357">
        <v>-298.8</v>
      </c>
      <c r="G24357">
        <v>230214</v>
      </c>
      <c r="H24357">
        <v>4343</v>
      </c>
      <c r="I24357" t="s">
        <v>91</v>
      </c>
      <c r="J24357">
        <v>-370.51</v>
      </c>
      <c r="K24357">
        <v>-71.709999999999994</v>
      </c>
      <c r="L24357">
        <v>11801</v>
      </c>
      <c r="M24357" t="s">
        <v>92</v>
      </c>
      <c r="N24357" t="str">
        <f>"HL1KK 215   "</f>
        <v xml:space="preserve">HL1KK 215   </v>
      </c>
      <c r="O24357">
        <v>230214</v>
      </c>
    </row>
    <row r="24358" spans="1:15" x14ac:dyDescent="0.25">
      <c r="A24358" t="s">
        <v>16</v>
      </c>
      <c r="B24358" t="s">
        <v>3221</v>
      </c>
      <c r="C24358">
        <v>1840</v>
      </c>
      <c r="D24358" t="s">
        <v>966</v>
      </c>
      <c r="E24358" t="s">
        <v>967</v>
      </c>
      <c r="F24358">
        <v>-249</v>
      </c>
      <c r="G24358">
        <v>230214</v>
      </c>
      <c r="H24358">
        <v>4343</v>
      </c>
      <c r="I24358" t="s">
        <v>91</v>
      </c>
      <c r="J24358">
        <v>-308.76</v>
      </c>
      <c r="K24358">
        <v>-59.76</v>
      </c>
      <c r="L24358">
        <v>11801</v>
      </c>
      <c r="M24358" t="s">
        <v>92</v>
      </c>
      <c r="N24358" t="str">
        <f>"HL1KK 214   "</f>
        <v xml:space="preserve">HL1KK 214   </v>
      </c>
      <c r="O24358">
        <v>230214</v>
      </c>
    </row>
    <row r="24359" spans="1:15" x14ac:dyDescent="0.25">
      <c r="A24359" t="s">
        <v>16</v>
      </c>
      <c r="B24359" t="s">
        <v>3221</v>
      </c>
      <c r="C24359">
        <v>2453</v>
      </c>
      <c r="D24359" t="s">
        <v>966</v>
      </c>
      <c r="E24359" t="s">
        <v>967</v>
      </c>
      <c r="F24359">
        <v>298.8</v>
      </c>
      <c r="G24359">
        <v>230131</v>
      </c>
      <c r="H24359">
        <v>4343</v>
      </c>
      <c r="I24359" t="s">
        <v>91</v>
      </c>
      <c r="J24359">
        <v>370.51</v>
      </c>
      <c r="K24359">
        <v>71.709999999999994</v>
      </c>
      <c r="L24359">
        <v>11801</v>
      </c>
      <c r="M24359" t="s">
        <v>92</v>
      </c>
      <c r="N24359" t="str">
        <f>"1KK 117823  "</f>
        <v xml:space="preserve">1KK 117823  </v>
      </c>
      <c r="O24359">
        <v>230228</v>
      </c>
    </row>
    <row r="24360" spans="1:15" x14ac:dyDescent="0.25">
      <c r="A24360" t="s">
        <v>16</v>
      </c>
      <c r="B24360" t="s">
        <v>3221</v>
      </c>
      <c r="C24360">
        <v>2869</v>
      </c>
      <c r="D24360" t="s">
        <v>966</v>
      </c>
      <c r="E24360" t="s">
        <v>967</v>
      </c>
      <c r="F24360">
        <v>945</v>
      </c>
      <c r="G24360">
        <v>230228</v>
      </c>
      <c r="H24360">
        <v>4343</v>
      </c>
      <c r="I24360" t="s">
        <v>91</v>
      </c>
      <c r="J24360">
        <v>1171.8</v>
      </c>
      <c r="K24360">
        <v>226.8</v>
      </c>
      <c r="L24360">
        <v>11801</v>
      </c>
      <c r="M24360" t="s">
        <v>92</v>
      </c>
      <c r="N24360" t="str">
        <f>"1KK 118551  "</f>
        <v xml:space="preserve">1KK 118551  </v>
      </c>
      <c r="O24360">
        <v>230308</v>
      </c>
    </row>
    <row r="24361" spans="1:15" x14ac:dyDescent="0.25">
      <c r="A24361" t="s">
        <v>16</v>
      </c>
      <c r="B24361" t="s">
        <v>3221</v>
      </c>
      <c r="C24361">
        <v>2870</v>
      </c>
      <c r="D24361" t="s">
        <v>966</v>
      </c>
      <c r="E24361" t="s">
        <v>967</v>
      </c>
      <c r="F24361">
        <v>4547.6499999999996</v>
      </c>
      <c r="G24361">
        <v>230228</v>
      </c>
      <c r="H24361">
        <v>4343</v>
      </c>
      <c r="I24361" t="s">
        <v>91</v>
      </c>
      <c r="J24361">
        <v>5639.08</v>
      </c>
      <c r="K24361">
        <v>1091.43</v>
      </c>
      <c r="L24361">
        <v>11801</v>
      </c>
      <c r="M24361" t="s">
        <v>92</v>
      </c>
      <c r="N24361" t="str">
        <f>"1KK 118120  "</f>
        <v xml:space="preserve">1KK 118120  </v>
      </c>
      <c r="O24361">
        <v>230308</v>
      </c>
    </row>
    <row r="24362" spans="1:15" x14ac:dyDescent="0.25">
      <c r="A24362" t="s">
        <v>16</v>
      </c>
      <c r="B24362" t="s">
        <v>3221</v>
      </c>
      <c r="C24362">
        <v>2874</v>
      </c>
      <c r="D24362" t="s">
        <v>966</v>
      </c>
      <c r="E24362" t="s">
        <v>967</v>
      </c>
      <c r="F24362">
        <v>1125.31</v>
      </c>
      <c r="G24362">
        <v>230228</v>
      </c>
      <c r="H24362">
        <v>4343</v>
      </c>
      <c r="I24362" t="s">
        <v>91</v>
      </c>
      <c r="J24362">
        <v>1395.38</v>
      </c>
      <c r="K24362">
        <v>270.07</v>
      </c>
      <c r="L24362">
        <v>11801</v>
      </c>
      <c r="M24362" t="s">
        <v>92</v>
      </c>
      <c r="N24362" t="str">
        <f>"1KK 118266  "</f>
        <v xml:space="preserve">1KK 118266  </v>
      </c>
      <c r="O24362">
        <v>230308</v>
      </c>
    </row>
    <row r="24363" spans="1:15" x14ac:dyDescent="0.25">
      <c r="A24363" t="s">
        <v>16</v>
      </c>
      <c r="B24363" t="s">
        <v>3221</v>
      </c>
      <c r="C24363">
        <v>2879</v>
      </c>
      <c r="D24363" t="s">
        <v>966</v>
      </c>
      <c r="E24363" t="s">
        <v>967</v>
      </c>
      <c r="F24363">
        <v>138</v>
      </c>
      <c r="G24363">
        <v>230228</v>
      </c>
      <c r="H24363">
        <v>4343</v>
      </c>
      <c r="I24363" t="s">
        <v>91</v>
      </c>
      <c r="J24363">
        <v>171.12</v>
      </c>
      <c r="K24363">
        <v>33.119999999999997</v>
      </c>
      <c r="L24363">
        <v>11801</v>
      </c>
      <c r="M24363" t="s">
        <v>92</v>
      </c>
      <c r="N24363" t="str">
        <f>"1KK 118487  "</f>
        <v xml:space="preserve">1KK 118487  </v>
      </c>
      <c r="O24363">
        <v>230308</v>
      </c>
    </row>
    <row r="24364" spans="1:15" x14ac:dyDescent="0.25">
      <c r="A24364" t="s">
        <v>16</v>
      </c>
      <c r="B24364" t="s">
        <v>3221</v>
      </c>
      <c r="C24364">
        <v>2922</v>
      </c>
      <c r="D24364" t="s">
        <v>966</v>
      </c>
      <c r="E24364" t="s">
        <v>967</v>
      </c>
      <c r="F24364">
        <v>169.54</v>
      </c>
      <c r="G24364">
        <v>230228</v>
      </c>
      <c r="H24364">
        <v>4343</v>
      </c>
      <c r="I24364" t="s">
        <v>91</v>
      </c>
      <c r="J24364">
        <v>210.23</v>
      </c>
      <c r="K24364">
        <v>40.69</v>
      </c>
      <c r="L24364">
        <v>11601</v>
      </c>
      <c r="M24364" t="s">
        <v>535</v>
      </c>
      <c r="N24364" t="str">
        <f>"1KK 118260  "</f>
        <v xml:space="preserve">1KK 118260  </v>
      </c>
      <c r="O24364">
        <v>230308</v>
      </c>
    </row>
    <row r="24365" spans="1:15" x14ac:dyDescent="0.25">
      <c r="A24365" t="s">
        <v>16</v>
      </c>
      <c r="B24365" t="s">
        <v>3221</v>
      </c>
      <c r="C24365">
        <v>2929</v>
      </c>
      <c r="D24365" t="s">
        <v>966</v>
      </c>
      <c r="E24365" t="s">
        <v>967</v>
      </c>
      <c r="F24365">
        <v>27.54</v>
      </c>
      <c r="G24365">
        <v>230228</v>
      </c>
      <c r="H24365">
        <v>4343</v>
      </c>
      <c r="I24365" t="s">
        <v>91</v>
      </c>
      <c r="J24365">
        <v>34.15</v>
      </c>
      <c r="K24365">
        <v>6.61</v>
      </c>
      <c r="L24365">
        <v>11601</v>
      </c>
      <c r="M24365" t="s">
        <v>535</v>
      </c>
      <c r="N24365" t="str">
        <f>"1KK 118058  "</f>
        <v xml:space="preserve">1KK 118058  </v>
      </c>
      <c r="O24365">
        <v>230308</v>
      </c>
    </row>
    <row r="24366" spans="1:15" x14ac:dyDescent="0.25">
      <c r="A24366" t="s">
        <v>16</v>
      </c>
      <c r="B24366" t="s">
        <v>3221</v>
      </c>
      <c r="C24366">
        <v>4469</v>
      </c>
      <c r="D24366" t="s">
        <v>966</v>
      </c>
      <c r="E24366" t="s">
        <v>967</v>
      </c>
      <c r="F24366">
        <v>138</v>
      </c>
      <c r="G24366">
        <v>230331</v>
      </c>
      <c r="H24366">
        <v>4343</v>
      </c>
      <c r="I24366" t="s">
        <v>91</v>
      </c>
      <c r="J24366">
        <v>171.12</v>
      </c>
      <c r="K24366">
        <v>33.119999999999997</v>
      </c>
      <c r="L24366">
        <v>11801</v>
      </c>
      <c r="M24366" t="s">
        <v>92</v>
      </c>
      <c r="N24366" t="str">
        <f>"1KK 119102  "</f>
        <v xml:space="preserve">1KK 119102  </v>
      </c>
      <c r="O24366">
        <v>230406</v>
      </c>
    </row>
    <row r="24367" spans="1:15" x14ac:dyDescent="0.25">
      <c r="A24367" t="s">
        <v>16</v>
      </c>
      <c r="B24367" t="s">
        <v>3221</v>
      </c>
      <c r="C24367">
        <v>4497</v>
      </c>
      <c r="D24367" t="s">
        <v>966</v>
      </c>
      <c r="E24367" t="s">
        <v>967</v>
      </c>
      <c r="F24367">
        <v>169.54</v>
      </c>
      <c r="G24367">
        <v>230331</v>
      </c>
      <c r="H24367">
        <v>4343</v>
      </c>
      <c r="I24367" t="s">
        <v>91</v>
      </c>
      <c r="J24367">
        <v>210.23</v>
      </c>
      <c r="K24367">
        <v>40.69</v>
      </c>
      <c r="L24367">
        <v>11601</v>
      </c>
      <c r="M24367" t="s">
        <v>535</v>
      </c>
      <c r="N24367" t="str">
        <f>"1KK 118879  "</f>
        <v xml:space="preserve">1KK 118879  </v>
      </c>
      <c r="O24367">
        <v>230406</v>
      </c>
    </row>
    <row r="24368" spans="1:15" x14ac:dyDescent="0.25">
      <c r="A24368" t="s">
        <v>16</v>
      </c>
      <c r="B24368" t="s">
        <v>3221</v>
      </c>
      <c r="C24368">
        <v>4499</v>
      </c>
      <c r="D24368" t="s">
        <v>966</v>
      </c>
      <c r="E24368" t="s">
        <v>967</v>
      </c>
      <c r="F24368">
        <v>250</v>
      </c>
      <c r="G24368">
        <v>230331</v>
      </c>
      <c r="H24368">
        <v>4343</v>
      </c>
      <c r="I24368" t="s">
        <v>91</v>
      </c>
      <c r="J24368">
        <v>310</v>
      </c>
      <c r="K24368">
        <v>60</v>
      </c>
      <c r="L24368">
        <v>11601</v>
      </c>
      <c r="M24368" t="s">
        <v>535</v>
      </c>
      <c r="N24368" t="str">
        <f>"TIK 861     "</f>
        <v xml:space="preserve">TIK 861     </v>
      </c>
      <c r="O24368">
        <v>230406</v>
      </c>
    </row>
    <row r="24369" spans="1:15" x14ac:dyDescent="0.25">
      <c r="A24369" t="s">
        <v>16</v>
      </c>
      <c r="B24369" t="s">
        <v>3221</v>
      </c>
      <c r="C24369">
        <v>4501</v>
      </c>
      <c r="D24369" t="s">
        <v>966</v>
      </c>
      <c r="E24369" t="s">
        <v>967</v>
      </c>
      <c r="F24369">
        <v>27.54</v>
      </c>
      <c r="G24369">
        <v>230331</v>
      </c>
      <c r="H24369">
        <v>4343</v>
      </c>
      <c r="I24369" t="s">
        <v>91</v>
      </c>
      <c r="J24369">
        <v>34.15</v>
      </c>
      <c r="K24369">
        <v>6.61</v>
      </c>
      <c r="L24369">
        <v>11601</v>
      </c>
      <c r="M24369" t="s">
        <v>535</v>
      </c>
      <c r="N24369" t="str">
        <f>"1KK 118683  "</f>
        <v xml:space="preserve">1KK 118683  </v>
      </c>
      <c r="O24369">
        <v>230406</v>
      </c>
    </row>
    <row r="24370" spans="1:15" x14ac:dyDescent="0.25">
      <c r="A24370" t="s">
        <v>16</v>
      </c>
      <c r="B24370" t="s">
        <v>3221</v>
      </c>
      <c r="C24370">
        <v>4644</v>
      </c>
      <c r="D24370" t="s">
        <v>966</v>
      </c>
      <c r="E24370" t="s">
        <v>967</v>
      </c>
      <c r="F24370">
        <v>1125.31</v>
      </c>
      <c r="G24370">
        <v>230331</v>
      </c>
      <c r="H24370">
        <v>4343</v>
      </c>
      <c r="I24370" t="s">
        <v>91</v>
      </c>
      <c r="J24370">
        <v>1395.38</v>
      </c>
      <c r="K24370">
        <v>270.07</v>
      </c>
      <c r="L24370">
        <v>11801</v>
      </c>
      <c r="M24370" t="s">
        <v>92</v>
      </c>
      <c r="N24370" t="str">
        <f>"1KK 118885  "</f>
        <v xml:space="preserve">1KK 118885  </v>
      </c>
      <c r="O24370">
        <v>230411</v>
      </c>
    </row>
    <row r="24371" spans="1:15" x14ac:dyDescent="0.25">
      <c r="A24371" t="s">
        <v>16</v>
      </c>
      <c r="B24371" t="s">
        <v>3221</v>
      </c>
      <c r="C24371">
        <v>4645</v>
      </c>
      <c r="D24371" t="s">
        <v>966</v>
      </c>
      <c r="E24371" t="s">
        <v>967</v>
      </c>
      <c r="F24371">
        <v>945</v>
      </c>
      <c r="G24371">
        <v>230331</v>
      </c>
      <c r="H24371">
        <v>4343</v>
      </c>
      <c r="I24371" t="s">
        <v>91</v>
      </c>
      <c r="J24371">
        <v>1171.8</v>
      </c>
      <c r="K24371">
        <v>226.8</v>
      </c>
      <c r="L24371">
        <v>11801</v>
      </c>
      <c r="M24371" t="s">
        <v>92</v>
      </c>
      <c r="N24371" t="str">
        <f>"1KK 119164  "</f>
        <v xml:space="preserve">1KK 119164  </v>
      </c>
      <c r="O24371">
        <v>230411</v>
      </c>
    </row>
    <row r="24372" spans="1:15" x14ac:dyDescent="0.25">
      <c r="A24372" t="s">
        <v>16</v>
      </c>
      <c r="B24372" t="s">
        <v>3221</v>
      </c>
      <c r="C24372">
        <v>4646</v>
      </c>
      <c r="D24372" t="s">
        <v>966</v>
      </c>
      <c r="E24372" t="s">
        <v>967</v>
      </c>
      <c r="F24372">
        <v>4547.6499999999996</v>
      </c>
      <c r="G24372">
        <v>230331</v>
      </c>
      <c r="H24372">
        <v>4343</v>
      </c>
      <c r="I24372" t="s">
        <v>91</v>
      </c>
      <c r="J24372">
        <v>5639.08</v>
      </c>
      <c r="K24372">
        <v>1091.43</v>
      </c>
      <c r="L24372">
        <v>11801</v>
      </c>
      <c r="M24372" t="s">
        <v>92</v>
      </c>
      <c r="N24372" t="str">
        <f>"1KK 118742  "</f>
        <v xml:space="preserve">1KK 118742  </v>
      </c>
      <c r="O24372">
        <v>230411</v>
      </c>
    </row>
    <row r="24373" spans="1:15" x14ac:dyDescent="0.25">
      <c r="A24373" t="s">
        <v>16</v>
      </c>
      <c r="B24373" t="s">
        <v>3221</v>
      </c>
      <c r="C24373">
        <v>5651</v>
      </c>
      <c r="D24373" t="s">
        <v>966</v>
      </c>
      <c r="E24373" t="s">
        <v>967</v>
      </c>
      <c r="F24373">
        <v>945</v>
      </c>
      <c r="G24373">
        <v>230427</v>
      </c>
      <c r="H24373">
        <v>4343</v>
      </c>
      <c r="I24373" t="s">
        <v>91</v>
      </c>
      <c r="J24373">
        <v>1171.8</v>
      </c>
      <c r="K24373">
        <v>226.8</v>
      </c>
      <c r="L24373">
        <v>11801</v>
      </c>
      <c r="M24373" t="s">
        <v>92</v>
      </c>
      <c r="N24373" t="str">
        <f>"1KK 119763  "</f>
        <v xml:space="preserve">1KK 119763  </v>
      </c>
      <c r="O24373">
        <v>230428</v>
      </c>
    </row>
    <row r="24374" spans="1:15" x14ac:dyDescent="0.25">
      <c r="A24374" t="s">
        <v>16</v>
      </c>
      <c r="B24374" t="s">
        <v>3221</v>
      </c>
      <c r="C24374">
        <v>5652</v>
      </c>
      <c r="D24374" t="s">
        <v>966</v>
      </c>
      <c r="E24374" t="s">
        <v>967</v>
      </c>
      <c r="F24374">
        <v>138</v>
      </c>
      <c r="G24374">
        <v>230427</v>
      </c>
      <c r="H24374">
        <v>4343</v>
      </c>
      <c r="I24374" t="s">
        <v>91</v>
      </c>
      <c r="J24374">
        <v>171.12</v>
      </c>
      <c r="K24374">
        <v>33.119999999999997</v>
      </c>
      <c r="L24374">
        <v>11801</v>
      </c>
      <c r="M24374" t="s">
        <v>92</v>
      </c>
      <c r="N24374" t="str">
        <f>"1KK 119700  "</f>
        <v xml:space="preserve">1KK 119700  </v>
      </c>
      <c r="O24374">
        <v>230428</v>
      </c>
    </row>
    <row r="24375" spans="1:15" x14ac:dyDescent="0.25">
      <c r="A24375" t="s">
        <v>16</v>
      </c>
      <c r="B24375" t="s">
        <v>3221</v>
      </c>
      <c r="C24375">
        <v>5655</v>
      </c>
      <c r="D24375" t="s">
        <v>966</v>
      </c>
      <c r="E24375" t="s">
        <v>967</v>
      </c>
      <c r="F24375">
        <v>4547.6499999999996</v>
      </c>
      <c r="G24375">
        <v>230427</v>
      </c>
      <c r="H24375">
        <v>4343</v>
      </c>
      <c r="I24375" t="s">
        <v>91</v>
      </c>
      <c r="J24375">
        <v>5639.08</v>
      </c>
      <c r="K24375">
        <v>1091.43</v>
      </c>
      <c r="L24375">
        <v>11801</v>
      </c>
      <c r="M24375" t="s">
        <v>92</v>
      </c>
      <c r="N24375" t="str">
        <f>"1KK 119347  "</f>
        <v xml:space="preserve">1KK 119347  </v>
      </c>
      <c r="O24375">
        <v>230428</v>
      </c>
    </row>
    <row r="24376" spans="1:15" x14ac:dyDescent="0.25">
      <c r="A24376" t="s">
        <v>16</v>
      </c>
      <c r="B24376" t="s">
        <v>3221</v>
      </c>
      <c r="C24376">
        <v>5656</v>
      </c>
      <c r="D24376" t="s">
        <v>966</v>
      </c>
      <c r="E24376" t="s">
        <v>967</v>
      </c>
      <c r="F24376">
        <v>1125.31</v>
      </c>
      <c r="G24376">
        <v>230427</v>
      </c>
      <c r="H24376">
        <v>4343</v>
      </c>
      <c r="I24376" t="s">
        <v>91</v>
      </c>
      <c r="J24376">
        <v>1395.38</v>
      </c>
      <c r="K24376">
        <v>270.07</v>
      </c>
      <c r="L24376">
        <v>11801</v>
      </c>
      <c r="M24376" t="s">
        <v>92</v>
      </c>
      <c r="N24376" t="str">
        <f>"1KK 119487  "</f>
        <v xml:space="preserve">1KK 119487  </v>
      </c>
      <c r="O24376">
        <v>230428</v>
      </c>
    </row>
    <row r="24377" spans="1:15" x14ac:dyDescent="0.25">
      <c r="A24377" t="s">
        <v>16</v>
      </c>
      <c r="B24377" t="s">
        <v>3221</v>
      </c>
      <c r="C24377">
        <v>5978</v>
      </c>
      <c r="D24377" t="s">
        <v>966</v>
      </c>
      <c r="E24377" t="s">
        <v>967</v>
      </c>
      <c r="F24377">
        <v>250</v>
      </c>
      <c r="G24377">
        <v>230427</v>
      </c>
      <c r="H24377">
        <v>4343</v>
      </c>
      <c r="I24377" t="s">
        <v>91</v>
      </c>
      <c r="J24377">
        <v>310</v>
      </c>
      <c r="K24377">
        <v>60</v>
      </c>
      <c r="L24377">
        <v>11601</v>
      </c>
      <c r="M24377" t="s">
        <v>535</v>
      </c>
      <c r="N24377" t="str">
        <f>"TIK 917     "</f>
        <v xml:space="preserve">TIK 917     </v>
      </c>
      <c r="O24377">
        <v>230504</v>
      </c>
    </row>
    <row r="24378" spans="1:15" x14ac:dyDescent="0.25">
      <c r="A24378" t="s">
        <v>16</v>
      </c>
      <c r="B24378" t="s">
        <v>3221</v>
      </c>
      <c r="C24378">
        <v>5979</v>
      </c>
      <c r="D24378" t="s">
        <v>966</v>
      </c>
      <c r="E24378" t="s">
        <v>967</v>
      </c>
      <c r="F24378">
        <v>169.54</v>
      </c>
      <c r="G24378">
        <v>230427</v>
      </c>
      <c r="H24378">
        <v>4343</v>
      </c>
      <c r="I24378" t="s">
        <v>91</v>
      </c>
      <c r="J24378">
        <v>210.23</v>
      </c>
      <c r="K24378">
        <v>40.69</v>
      </c>
      <c r="L24378">
        <v>11601</v>
      </c>
      <c r="M24378" t="s">
        <v>535</v>
      </c>
      <c r="N24378" t="str">
        <f>"1KK 119481  "</f>
        <v xml:space="preserve">1KK 119481  </v>
      </c>
      <c r="O24378">
        <v>230504</v>
      </c>
    </row>
    <row r="24379" spans="1:15" x14ac:dyDescent="0.25">
      <c r="A24379" t="s">
        <v>16</v>
      </c>
      <c r="B24379" t="s">
        <v>3221</v>
      </c>
      <c r="C24379">
        <v>5981</v>
      </c>
      <c r="D24379" t="s">
        <v>966</v>
      </c>
      <c r="E24379" t="s">
        <v>967</v>
      </c>
      <c r="F24379">
        <v>27.54</v>
      </c>
      <c r="G24379">
        <v>230427</v>
      </c>
      <c r="H24379">
        <v>4343</v>
      </c>
      <c r="I24379" t="s">
        <v>91</v>
      </c>
      <c r="J24379">
        <v>34.15</v>
      </c>
      <c r="K24379">
        <v>6.61</v>
      </c>
      <c r="L24379">
        <v>11601</v>
      </c>
      <c r="M24379" t="s">
        <v>535</v>
      </c>
      <c r="N24379" t="str">
        <f>"1KK 119289  "</f>
        <v xml:space="preserve">1KK 119289  </v>
      </c>
      <c r="O24379">
        <v>230504</v>
      </c>
    </row>
    <row r="24380" spans="1:15" x14ac:dyDescent="0.25">
      <c r="A24380" t="s">
        <v>16</v>
      </c>
      <c r="B24380" t="s">
        <v>3221</v>
      </c>
      <c r="C24380">
        <v>7933</v>
      </c>
      <c r="D24380" t="s">
        <v>966</v>
      </c>
      <c r="E24380" t="s">
        <v>967</v>
      </c>
      <c r="F24380">
        <v>4000</v>
      </c>
      <c r="G24380">
        <v>230524</v>
      </c>
      <c r="H24380">
        <v>4343</v>
      </c>
      <c r="I24380" t="s">
        <v>91</v>
      </c>
      <c r="J24380">
        <v>4960</v>
      </c>
      <c r="K24380">
        <v>960</v>
      </c>
      <c r="L24380">
        <v>11601</v>
      </c>
      <c r="M24380" t="s">
        <v>535</v>
      </c>
      <c r="N24380" t="str">
        <f>"SUP 14504   "</f>
        <v xml:space="preserve">SUP 14504   </v>
      </c>
      <c r="O24380">
        <v>230606</v>
      </c>
    </row>
    <row r="24381" spans="1:15" x14ac:dyDescent="0.25">
      <c r="A24381" t="s">
        <v>16</v>
      </c>
      <c r="B24381" t="s">
        <v>3221</v>
      </c>
      <c r="C24381">
        <v>7985</v>
      </c>
      <c r="D24381" t="s">
        <v>966</v>
      </c>
      <c r="E24381" t="s">
        <v>967</v>
      </c>
      <c r="F24381">
        <v>169.54</v>
      </c>
      <c r="G24381">
        <v>230531</v>
      </c>
      <c r="H24381">
        <v>4343</v>
      </c>
      <c r="I24381" t="s">
        <v>91</v>
      </c>
      <c r="J24381">
        <v>210.23</v>
      </c>
      <c r="K24381">
        <v>40.69</v>
      </c>
      <c r="L24381">
        <v>11601</v>
      </c>
      <c r="M24381" t="s">
        <v>535</v>
      </c>
      <c r="N24381" t="str">
        <f>"1KK 120076  "</f>
        <v xml:space="preserve">1KK 120076  </v>
      </c>
      <c r="O24381">
        <v>230606</v>
      </c>
    </row>
    <row r="24382" spans="1:15" x14ac:dyDescent="0.25">
      <c r="A24382" t="s">
        <v>16</v>
      </c>
      <c r="B24382" t="s">
        <v>3221</v>
      </c>
      <c r="C24382">
        <v>7987</v>
      </c>
      <c r="D24382" t="s">
        <v>966</v>
      </c>
      <c r="E24382" t="s">
        <v>967</v>
      </c>
      <c r="F24382">
        <v>27.54</v>
      </c>
      <c r="G24382">
        <v>230531</v>
      </c>
      <c r="H24382">
        <v>4343</v>
      </c>
      <c r="I24382" t="s">
        <v>91</v>
      </c>
      <c r="J24382">
        <v>34.15</v>
      </c>
      <c r="K24382">
        <v>6.61</v>
      </c>
      <c r="L24382">
        <v>11601</v>
      </c>
      <c r="M24382" t="s">
        <v>535</v>
      </c>
      <c r="N24382" t="str">
        <f>"1KK 119891  "</f>
        <v xml:space="preserve">1KK 119891  </v>
      </c>
      <c r="O24382">
        <v>230606</v>
      </c>
    </row>
    <row r="24383" spans="1:15" x14ac:dyDescent="0.25">
      <c r="A24383" t="s">
        <v>16</v>
      </c>
      <c r="B24383" t="s">
        <v>3221</v>
      </c>
      <c r="C24383">
        <v>7996</v>
      </c>
      <c r="D24383" t="s">
        <v>966</v>
      </c>
      <c r="E24383" t="s">
        <v>967</v>
      </c>
      <c r="F24383">
        <v>250</v>
      </c>
      <c r="G24383">
        <v>230531</v>
      </c>
      <c r="H24383">
        <v>4343</v>
      </c>
      <c r="I24383" t="s">
        <v>91</v>
      </c>
      <c r="J24383">
        <v>310</v>
      </c>
      <c r="K24383">
        <v>60</v>
      </c>
      <c r="L24383">
        <v>11601</v>
      </c>
      <c r="M24383" t="s">
        <v>535</v>
      </c>
      <c r="N24383" t="str">
        <f>"TIK 972     "</f>
        <v xml:space="preserve">TIK 972     </v>
      </c>
      <c r="O24383">
        <v>230606</v>
      </c>
    </row>
    <row r="24384" spans="1:15" x14ac:dyDescent="0.25">
      <c r="A24384" t="s">
        <v>16</v>
      </c>
      <c r="B24384" t="s">
        <v>3221</v>
      </c>
      <c r="C24384">
        <v>8641</v>
      </c>
      <c r="D24384" t="s">
        <v>966</v>
      </c>
      <c r="E24384" t="s">
        <v>967</v>
      </c>
      <c r="F24384">
        <v>945</v>
      </c>
      <c r="G24384">
        <v>230531</v>
      </c>
      <c r="H24384">
        <v>4343</v>
      </c>
      <c r="I24384" t="s">
        <v>91</v>
      </c>
      <c r="J24384">
        <v>1171.8</v>
      </c>
      <c r="K24384">
        <v>226.8</v>
      </c>
      <c r="L24384">
        <v>11801</v>
      </c>
      <c r="M24384" t="s">
        <v>92</v>
      </c>
      <c r="N24384" t="str">
        <f>"1KK 120356  "</f>
        <v xml:space="preserve">1KK 120356  </v>
      </c>
      <c r="O24384">
        <v>230612</v>
      </c>
    </row>
    <row r="24385" spans="1:15" x14ac:dyDescent="0.25">
      <c r="A24385" t="s">
        <v>16</v>
      </c>
      <c r="B24385" t="s">
        <v>3221</v>
      </c>
      <c r="C24385">
        <v>8642</v>
      </c>
      <c r="D24385" t="s">
        <v>966</v>
      </c>
      <c r="E24385" t="s">
        <v>967</v>
      </c>
      <c r="F24385">
        <v>138</v>
      </c>
      <c r="G24385">
        <v>230531</v>
      </c>
      <c r="H24385">
        <v>4343</v>
      </c>
      <c r="I24385" t="s">
        <v>91</v>
      </c>
      <c r="J24385">
        <v>171.12</v>
      </c>
      <c r="K24385">
        <v>33.119999999999997</v>
      </c>
      <c r="L24385">
        <v>11801</v>
      </c>
      <c r="M24385" t="s">
        <v>92</v>
      </c>
      <c r="N24385" t="str">
        <f>"1KK 120292  "</f>
        <v xml:space="preserve">1KK 120292  </v>
      </c>
      <c r="O24385">
        <v>230612</v>
      </c>
    </row>
    <row r="24386" spans="1:15" x14ac:dyDescent="0.25">
      <c r="A24386" t="s">
        <v>16</v>
      </c>
      <c r="B24386" t="s">
        <v>3221</v>
      </c>
      <c r="C24386">
        <v>8643</v>
      </c>
      <c r="D24386" t="s">
        <v>966</v>
      </c>
      <c r="E24386" t="s">
        <v>967</v>
      </c>
      <c r="F24386">
        <v>1125.31</v>
      </c>
      <c r="G24386">
        <v>230531</v>
      </c>
      <c r="H24386">
        <v>4343</v>
      </c>
      <c r="I24386" t="s">
        <v>91</v>
      </c>
      <c r="J24386">
        <v>1395.38</v>
      </c>
      <c r="K24386">
        <v>270.07</v>
      </c>
      <c r="L24386">
        <v>11801</v>
      </c>
      <c r="M24386" t="s">
        <v>92</v>
      </c>
      <c r="N24386" t="str">
        <f>"1KK 120082  "</f>
        <v xml:space="preserve">1KK 120082  </v>
      </c>
      <c r="O24386">
        <v>230612</v>
      </c>
    </row>
    <row r="24387" spans="1:15" x14ac:dyDescent="0.25">
      <c r="A24387" t="s">
        <v>16</v>
      </c>
      <c r="B24387" t="s">
        <v>3221</v>
      </c>
      <c r="C24387">
        <v>8645</v>
      </c>
      <c r="D24387" t="s">
        <v>966</v>
      </c>
      <c r="E24387" t="s">
        <v>967</v>
      </c>
      <c r="F24387">
        <v>4547.6499999999996</v>
      </c>
      <c r="G24387">
        <v>230531</v>
      </c>
      <c r="H24387">
        <v>4343</v>
      </c>
      <c r="I24387" t="s">
        <v>91</v>
      </c>
      <c r="J24387">
        <v>5639.08</v>
      </c>
      <c r="K24387">
        <v>1091.43</v>
      </c>
      <c r="L24387">
        <v>11801</v>
      </c>
      <c r="M24387" t="s">
        <v>92</v>
      </c>
      <c r="N24387" t="str">
        <f>"1KK 119947  "</f>
        <v xml:space="preserve">1KK 119947  </v>
      </c>
      <c r="O24387">
        <v>230612</v>
      </c>
    </row>
    <row r="24388" spans="1:15" x14ac:dyDescent="0.25">
      <c r="A24388" t="s">
        <v>16</v>
      </c>
      <c r="B24388" t="s">
        <v>3221</v>
      </c>
      <c r="C24388">
        <v>9251</v>
      </c>
      <c r="D24388" t="s">
        <v>966</v>
      </c>
      <c r="E24388" t="s">
        <v>967</v>
      </c>
      <c r="F24388">
        <v>27.54</v>
      </c>
      <c r="G24388">
        <v>230629</v>
      </c>
      <c r="H24388">
        <v>4343</v>
      </c>
      <c r="I24388" t="s">
        <v>91</v>
      </c>
      <c r="J24388">
        <v>34.15</v>
      </c>
      <c r="K24388">
        <v>6.61</v>
      </c>
      <c r="L24388">
        <v>11601</v>
      </c>
      <c r="M24388" t="s">
        <v>535</v>
      </c>
      <c r="N24388" t="str">
        <f>"1KK 120504  "</f>
        <v xml:space="preserve">1KK 120504  </v>
      </c>
      <c r="O24388">
        <v>230703</v>
      </c>
    </row>
    <row r="24389" spans="1:15" x14ac:dyDescent="0.25">
      <c r="A24389" t="s">
        <v>16</v>
      </c>
      <c r="B24389" t="s">
        <v>3221</v>
      </c>
      <c r="C24389">
        <v>9252</v>
      </c>
      <c r="D24389" t="s">
        <v>966</v>
      </c>
      <c r="E24389" t="s">
        <v>967</v>
      </c>
      <c r="F24389">
        <v>169.54</v>
      </c>
      <c r="G24389">
        <v>230629</v>
      </c>
      <c r="H24389">
        <v>4343</v>
      </c>
      <c r="I24389" t="s">
        <v>91</v>
      </c>
      <c r="J24389">
        <v>210.23</v>
      </c>
      <c r="K24389">
        <v>40.69</v>
      </c>
      <c r="L24389">
        <v>11601</v>
      </c>
      <c r="M24389" t="s">
        <v>535</v>
      </c>
      <c r="N24389" t="str">
        <f>"1KK 120684  "</f>
        <v xml:space="preserve">1KK 120684  </v>
      </c>
      <c r="O24389">
        <v>230703</v>
      </c>
    </row>
    <row r="24390" spans="1:15" x14ac:dyDescent="0.25">
      <c r="A24390" t="s">
        <v>16</v>
      </c>
      <c r="B24390" t="s">
        <v>3221</v>
      </c>
      <c r="C24390">
        <v>9257</v>
      </c>
      <c r="D24390" t="s">
        <v>966</v>
      </c>
      <c r="E24390" t="s">
        <v>967</v>
      </c>
      <c r="F24390">
        <v>250</v>
      </c>
      <c r="G24390">
        <v>230629</v>
      </c>
      <c r="H24390">
        <v>4343</v>
      </c>
      <c r="I24390" t="s">
        <v>91</v>
      </c>
      <c r="J24390">
        <v>310</v>
      </c>
      <c r="K24390">
        <v>60</v>
      </c>
      <c r="L24390">
        <v>11601</v>
      </c>
      <c r="M24390" t="s">
        <v>535</v>
      </c>
      <c r="N24390" t="str">
        <f>"TIK 1027    "</f>
        <v xml:space="preserve">TIK 1027    </v>
      </c>
      <c r="O24390">
        <v>230703</v>
      </c>
    </row>
    <row r="24391" spans="1:15" x14ac:dyDescent="0.25">
      <c r="A24391" t="s">
        <v>16</v>
      </c>
      <c r="B24391" t="s">
        <v>3221</v>
      </c>
      <c r="C24391">
        <v>9543</v>
      </c>
      <c r="D24391" t="s">
        <v>966</v>
      </c>
      <c r="E24391" t="s">
        <v>967</v>
      </c>
      <c r="F24391">
        <v>1125.31</v>
      </c>
      <c r="G24391">
        <v>230629</v>
      </c>
      <c r="H24391">
        <v>4343</v>
      </c>
      <c r="I24391" t="s">
        <v>91</v>
      </c>
      <c r="J24391">
        <v>1395.38</v>
      </c>
      <c r="K24391">
        <v>270.07</v>
      </c>
      <c r="L24391">
        <v>11801</v>
      </c>
      <c r="M24391" t="s">
        <v>92</v>
      </c>
      <c r="N24391" t="str">
        <f>"1KK 120690  "</f>
        <v xml:space="preserve">1KK 120690  </v>
      </c>
      <c r="O24391">
        <v>230717</v>
      </c>
    </row>
    <row r="24392" spans="1:15" x14ac:dyDescent="0.25">
      <c r="A24392" t="s">
        <v>16</v>
      </c>
      <c r="B24392" t="s">
        <v>3221</v>
      </c>
      <c r="C24392">
        <v>9544</v>
      </c>
      <c r="D24392" t="s">
        <v>966</v>
      </c>
      <c r="E24392" t="s">
        <v>967</v>
      </c>
      <c r="F24392">
        <v>4547.6499999999996</v>
      </c>
      <c r="G24392">
        <v>230629</v>
      </c>
      <c r="H24392">
        <v>4343</v>
      </c>
      <c r="I24392" t="s">
        <v>91</v>
      </c>
      <c r="J24392">
        <v>5639.08</v>
      </c>
      <c r="K24392">
        <v>1091.43</v>
      </c>
      <c r="L24392">
        <v>11801</v>
      </c>
      <c r="M24392" t="s">
        <v>92</v>
      </c>
      <c r="N24392" t="str">
        <f>"1KK 120559  "</f>
        <v xml:space="preserve">1KK 120559  </v>
      </c>
      <c r="O24392">
        <v>230717</v>
      </c>
    </row>
    <row r="24393" spans="1:15" x14ac:dyDescent="0.25">
      <c r="A24393" t="s">
        <v>16</v>
      </c>
      <c r="B24393" t="s">
        <v>3221</v>
      </c>
      <c r="C24393">
        <v>9545</v>
      </c>
      <c r="D24393" t="s">
        <v>966</v>
      </c>
      <c r="E24393" t="s">
        <v>967</v>
      </c>
      <c r="F24393">
        <v>138</v>
      </c>
      <c r="G24393">
        <v>230629</v>
      </c>
      <c r="H24393">
        <v>4343</v>
      </c>
      <c r="I24393" t="s">
        <v>91</v>
      </c>
      <c r="J24393">
        <v>171.12</v>
      </c>
      <c r="K24393">
        <v>33.119999999999997</v>
      </c>
      <c r="L24393">
        <v>11801</v>
      </c>
      <c r="M24393" t="s">
        <v>92</v>
      </c>
      <c r="N24393" t="str">
        <f>"1KK 120900  "</f>
        <v xml:space="preserve">1KK 120900  </v>
      </c>
      <c r="O24393">
        <v>230717</v>
      </c>
    </row>
    <row r="24394" spans="1:15" x14ac:dyDescent="0.25">
      <c r="A24394" t="s">
        <v>16</v>
      </c>
      <c r="B24394" t="s">
        <v>3221</v>
      </c>
      <c r="C24394">
        <v>9546</v>
      </c>
      <c r="D24394" t="s">
        <v>966</v>
      </c>
      <c r="E24394" t="s">
        <v>967</v>
      </c>
      <c r="F24394">
        <v>945</v>
      </c>
      <c r="G24394">
        <v>230629</v>
      </c>
      <c r="H24394">
        <v>4343</v>
      </c>
      <c r="I24394" t="s">
        <v>91</v>
      </c>
      <c r="J24394">
        <v>1171.8</v>
      </c>
      <c r="K24394">
        <v>226.8</v>
      </c>
      <c r="L24394">
        <v>11801</v>
      </c>
      <c r="M24394" t="s">
        <v>92</v>
      </c>
      <c r="N24394" t="str">
        <f>"1KK 120965  "</f>
        <v xml:space="preserve">1KK 120965  </v>
      </c>
      <c r="O24394">
        <v>230717</v>
      </c>
    </row>
    <row r="24395" spans="1:15" x14ac:dyDescent="0.25">
      <c r="A24395" t="s">
        <v>16</v>
      </c>
      <c r="B24395" t="s">
        <v>3221</v>
      </c>
      <c r="C24395">
        <v>9952</v>
      </c>
      <c r="D24395" t="s">
        <v>966</v>
      </c>
      <c r="E24395" t="s">
        <v>967</v>
      </c>
      <c r="F24395">
        <v>4128.8599999999997</v>
      </c>
      <c r="G24395">
        <v>230731</v>
      </c>
      <c r="H24395">
        <v>4343</v>
      </c>
      <c r="I24395" t="s">
        <v>91</v>
      </c>
      <c r="J24395">
        <v>5119.79</v>
      </c>
      <c r="K24395">
        <v>990.93</v>
      </c>
      <c r="L24395">
        <v>11801</v>
      </c>
      <c r="M24395" t="s">
        <v>92</v>
      </c>
      <c r="N24395" t="str">
        <f>"1KK 121187  "</f>
        <v xml:space="preserve">1KK 121187  </v>
      </c>
      <c r="O24395">
        <v>230802</v>
      </c>
    </row>
    <row r="24396" spans="1:15" x14ac:dyDescent="0.25">
      <c r="A24396" t="s">
        <v>16</v>
      </c>
      <c r="B24396" t="s">
        <v>3221</v>
      </c>
      <c r="C24396">
        <v>9953</v>
      </c>
      <c r="D24396" t="s">
        <v>966</v>
      </c>
      <c r="E24396" t="s">
        <v>967</v>
      </c>
      <c r="F24396">
        <v>36.17</v>
      </c>
      <c r="G24396">
        <v>230731</v>
      </c>
      <c r="H24396">
        <v>4343</v>
      </c>
      <c r="I24396" t="s">
        <v>91</v>
      </c>
      <c r="J24396">
        <v>44.85</v>
      </c>
      <c r="K24396">
        <v>8.68</v>
      </c>
      <c r="L24396">
        <v>11801</v>
      </c>
      <c r="M24396" t="s">
        <v>92</v>
      </c>
      <c r="N24396" t="str">
        <f>"1KK 121315  "</f>
        <v xml:space="preserve">1KK 121315  </v>
      </c>
      <c r="O24396">
        <v>230802</v>
      </c>
    </row>
    <row r="24397" spans="1:15" x14ac:dyDescent="0.25">
      <c r="A24397" t="s">
        <v>16</v>
      </c>
      <c r="B24397" t="s">
        <v>3221</v>
      </c>
      <c r="C24397">
        <v>9954</v>
      </c>
      <c r="D24397" t="s">
        <v>966</v>
      </c>
      <c r="E24397" t="s">
        <v>967</v>
      </c>
      <c r="F24397">
        <v>1125.31</v>
      </c>
      <c r="G24397">
        <v>230731</v>
      </c>
      <c r="H24397">
        <v>4343</v>
      </c>
      <c r="I24397" t="s">
        <v>91</v>
      </c>
      <c r="J24397">
        <v>1395.38</v>
      </c>
      <c r="K24397">
        <v>270.07</v>
      </c>
      <c r="L24397">
        <v>11801</v>
      </c>
      <c r="M24397" t="s">
        <v>92</v>
      </c>
      <c r="N24397" t="str">
        <f>"1KK 121317  "</f>
        <v xml:space="preserve">1KK 121317  </v>
      </c>
      <c r="O24397">
        <v>230802</v>
      </c>
    </row>
    <row r="24398" spans="1:15" x14ac:dyDescent="0.25">
      <c r="A24398" t="s">
        <v>16</v>
      </c>
      <c r="B24398" t="s">
        <v>3221</v>
      </c>
      <c r="C24398">
        <v>9988</v>
      </c>
      <c r="D24398" t="s">
        <v>966</v>
      </c>
      <c r="E24398" t="s">
        <v>967</v>
      </c>
      <c r="F24398">
        <v>138</v>
      </c>
      <c r="G24398">
        <v>230731</v>
      </c>
      <c r="H24398">
        <v>4343</v>
      </c>
      <c r="I24398" t="s">
        <v>91</v>
      </c>
      <c r="J24398">
        <v>171.12</v>
      </c>
      <c r="K24398">
        <v>33.119999999999997</v>
      </c>
      <c r="L24398">
        <v>11801</v>
      </c>
      <c r="M24398" t="s">
        <v>92</v>
      </c>
      <c r="N24398" t="str">
        <f>"1KK 121524  "</f>
        <v xml:space="preserve">1KK 121524  </v>
      </c>
      <c r="O24398">
        <v>230803</v>
      </c>
    </row>
    <row r="24399" spans="1:15" x14ac:dyDescent="0.25">
      <c r="A24399" t="s">
        <v>16</v>
      </c>
      <c r="B24399" t="s">
        <v>3221</v>
      </c>
      <c r="C24399">
        <v>10085</v>
      </c>
      <c r="D24399" t="s">
        <v>966</v>
      </c>
      <c r="E24399" t="s">
        <v>967</v>
      </c>
      <c r="F24399">
        <v>27.54</v>
      </c>
      <c r="G24399">
        <v>230731</v>
      </c>
      <c r="H24399">
        <v>4343</v>
      </c>
      <c r="I24399" t="s">
        <v>91</v>
      </c>
      <c r="J24399">
        <v>34.15</v>
      </c>
      <c r="K24399">
        <v>6.61</v>
      </c>
      <c r="L24399">
        <v>11601</v>
      </c>
      <c r="M24399" t="s">
        <v>535</v>
      </c>
      <c r="N24399" t="str">
        <f>"1KK 121132  "</f>
        <v xml:space="preserve">1KK 121132  </v>
      </c>
      <c r="O24399">
        <v>230808</v>
      </c>
    </row>
    <row r="24400" spans="1:15" x14ac:dyDescent="0.25">
      <c r="A24400" t="s">
        <v>16</v>
      </c>
      <c r="B24400" t="s">
        <v>3221</v>
      </c>
      <c r="C24400">
        <v>10098</v>
      </c>
      <c r="D24400" t="s">
        <v>966</v>
      </c>
      <c r="E24400" t="s">
        <v>967</v>
      </c>
      <c r="F24400">
        <v>250</v>
      </c>
      <c r="G24400">
        <v>230731</v>
      </c>
      <c r="H24400">
        <v>4343</v>
      </c>
      <c r="I24400" t="s">
        <v>91</v>
      </c>
      <c r="J24400">
        <v>310</v>
      </c>
      <c r="K24400">
        <v>60</v>
      </c>
      <c r="L24400">
        <v>11601</v>
      </c>
      <c r="M24400" t="s">
        <v>535</v>
      </c>
      <c r="N24400" t="str">
        <f>"TIK 1082    "</f>
        <v xml:space="preserve">TIK 1082    </v>
      </c>
      <c r="O24400">
        <v>230808</v>
      </c>
    </row>
    <row r="24401" spans="1:15" x14ac:dyDescent="0.25">
      <c r="A24401" t="s">
        <v>16</v>
      </c>
      <c r="B24401" t="s">
        <v>3221</v>
      </c>
      <c r="C24401">
        <v>10100</v>
      </c>
      <c r="D24401" t="s">
        <v>966</v>
      </c>
      <c r="E24401" t="s">
        <v>967</v>
      </c>
      <c r="F24401">
        <v>169.54</v>
      </c>
      <c r="G24401">
        <v>230731</v>
      </c>
      <c r="H24401">
        <v>4343</v>
      </c>
      <c r="I24401" t="s">
        <v>91</v>
      </c>
      <c r="J24401">
        <v>210.23</v>
      </c>
      <c r="K24401">
        <v>40.69</v>
      </c>
      <c r="L24401">
        <v>11601</v>
      </c>
      <c r="M24401" t="s">
        <v>535</v>
      </c>
      <c r="N24401" t="str">
        <f>"1KK 121311  "</f>
        <v xml:space="preserve">1KK 121311  </v>
      </c>
      <c r="O24401">
        <v>230808</v>
      </c>
    </row>
    <row r="24402" spans="1:15" x14ac:dyDescent="0.25">
      <c r="A24402" t="s">
        <v>16</v>
      </c>
      <c r="B24402" t="s">
        <v>3221</v>
      </c>
      <c r="C24402">
        <v>10189</v>
      </c>
      <c r="D24402" t="s">
        <v>966</v>
      </c>
      <c r="E24402" t="s">
        <v>967</v>
      </c>
      <c r="F24402">
        <v>945</v>
      </c>
      <c r="G24402">
        <v>230731</v>
      </c>
      <c r="H24402">
        <v>4343</v>
      </c>
      <c r="I24402" t="s">
        <v>91</v>
      </c>
      <c r="J24402">
        <v>1171.8</v>
      </c>
      <c r="K24402">
        <v>226.8</v>
      </c>
      <c r="L24402">
        <v>11801</v>
      </c>
      <c r="M24402" t="s">
        <v>92</v>
      </c>
      <c r="N24402" t="str">
        <f>"1KK 121588  "</f>
        <v xml:space="preserve">1KK 121588  </v>
      </c>
      <c r="O24402">
        <v>230809</v>
      </c>
    </row>
    <row r="24403" spans="1:15" x14ac:dyDescent="0.25">
      <c r="A24403" t="s">
        <v>16</v>
      </c>
      <c r="B24403" t="s">
        <v>3221</v>
      </c>
      <c r="C24403">
        <v>11333</v>
      </c>
      <c r="D24403" t="s">
        <v>966</v>
      </c>
      <c r="E24403" t="s">
        <v>967</v>
      </c>
      <c r="F24403">
        <v>945</v>
      </c>
      <c r="G24403">
        <v>230831</v>
      </c>
      <c r="H24403">
        <v>4343</v>
      </c>
      <c r="I24403" t="s">
        <v>91</v>
      </c>
      <c r="J24403">
        <v>1171.8</v>
      </c>
      <c r="K24403">
        <v>226.8</v>
      </c>
      <c r="L24403">
        <v>11801</v>
      </c>
      <c r="M24403" t="s">
        <v>92</v>
      </c>
      <c r="N24403" t="str">
        <f>"1KK 122198  "</f>
        <v xml:space="preserve">1KK 122198  </v>
      </c>
      <c r="O24403">
        <v>230904</v>
      </c>
    </row>
    <row r="24404" spans="1:15" x14ac:dyDescent="0.25">
      <c r="A24404" t="s">
        <v>16</v>
      </c>
      <c r="B24404" t="s">
        <v>3221</v>
      </c>
      <c r="C24404">
        <v>11336</v>
      </c>
      <c r="D24404" t="s">
        <v>966</v>
      </c>
      <c r="E24404" t="s">
        <v>967</v>
      </c>
      <c r="F24404">
        <v>1125.31</v>
      </c>
      <c r="G24404">
        <v>230831</v>
      </c>
      <c r="H24404">
        <v>4343</v>
      </c>
      <c r="I24404" t="s">
        <v>91</v>
      </c>
      <c r="J24404">
        <v>1395.38</v>
      </c>
      <c r="K24404">
        <v>270.07</v>
      </c>
      <c r="L24404">
        <v>11801</v>
      </c>
      <c r="M24404" t="s">
        <v>92</v>
      </c>
      <c r="N24404" t="str">
        <f>"1KK 121928  "</f>
        <v xml:space="preserve">1KK 121928  </v>
      </c>
      <c r="O24404">
        <v>230904</v>
      </c>
    </row>
    <row r="24405" spans="1:15" x14ac:dyDescent="0.25">
      <c r="A24405" t="s">
        <v>16</v>
      </c>
      <c r="B24405" t="s">
        <v>3221</v>
      </c>
      <c r="C24405">
        <v>11340</v>
      </c>
      <c r="D24405" t="s">
        <v>966</v>
      </c>
      <c r="E24405" t="s">
        <v>967</v>
      </c>
      <c r="F24405">
        <v>4128.8599999999997</v>
      </c>
      <c r="G24405">
        <v>230831</v>
      </c>
      <c r="H24405">
        <v>4343</v>
      </c>
      <c r="I24405" t="s">
        <v>91</v>
      </c>
      <c r="J24405">
        <v>5119.79</v>
      </c>
      <c r="K24405">
        <v>990.93</v>
      </c>
      <c r="L24405">
        <v>11801</v>
      </c>
      <c r="M24405" t="s">
        <v>92</v>
      </c>
      <c r="N24405" t="str">
        <f>"1KK 121798  "</f>
        <v xml:space="preserve">1KK 121798  </v>
      </c>
      <c r="O24405">
        <v>230904</v>
      </c>
    </row>
    <row r="24406" spans="1:15" x14ac:dyDescent="0.25">
      <c r="A24406" t="s">
        <v>16</v>
      </c>
      <c r="B24406" t="s">
        <v>3221</v>
      </c>
      <c r="C24406">
        <v>11341</v>
      </c>
      <c r="D24406" t="s">
        <v>966</v>
      </c>
      <c r="E24406" t="s">
        <v>967</v>
      </c>
      <c r="F24406">
        <v>36.17</v>
      </c>
      <c r="G24406">
        <v>230831</v>
      </c>
      <c r="H24406">
        <v>4343</v>
      </c>
      <c r="I24406" t="s">
        <v>91</v>
      </c>
      <c r="J24406">
        <v>44.85</v>
      </c>
      <c r="K24406">
        <v>8.68</v>
      </c>
      <c r="L24406">
        <v>11801</v>
      </c>
      <c r="M24406" t="s">
        <v>92</v>
      </c>
      <c r="N24406" t="str">
        <f>"1KK 121926  "</f>
        <v xml:space="preserve">1KK 121926  </v>
      </c>
      <c r="O24406">
        <v>230904</v>
      </c>
    </row>
    <row r="24407" spans="1:15" x14ac:dyDescent="0.25">
      <c r="A24407" t="s">
        <v>16</v>
      </c>
      <c r="B24407" t="s">
        <v>3221</v>
      </c>
      <c r="C24407">
        <v>11510</v>
      </c>
      <c r="D24407" t="s">
        <v>966</v>
      </c>
      <c r="E24407" t="s">
        <v>967</v>
      </c>
      <c r="F24407">
        <v>138</v>
      </c>
      <c r="G24407">
        <v>230831</v>
      </c>
      <c r="H24407">
        <v>4343</v>
      </c>
      <c r="I24407" t="s">
        <v>91</v>
      </c>
      <c r="J24407">
        <v>171.12</v>
      </c>
      <c r="K24407">
        <v>33.119999999999997</v>
      </c>
      <c r="L24407">
        <v>11801</v>
      </c>
      <c r="M24407" t="s">
        <v>92</v>
      </c>
      <c r="N24407" t="str">
        <f>"1KK 122133  "</f>
        <v xml:space="preserve">1KK 122133  </v>
      </c>
      <c r="O24407">
        <v>230907</v>
      </c>
    </row>
    <row r="24408" spans="1:15" x14ac:dyDescent="0.25">
      <c r="A24408" t="s">
        <v>16</v>
      </c>
      <c r="B24408" t="s">
        <v>3221</v>
      </c>
      <c r="C24408">
        <v>12152</v>
      </c>
      <c r="D24408" t="s">
        <v>966</v>
      </c>
      <c r="E24408" t="s">
        <v>967</v>
      </c>
      <c r="F24408">
        <v>250</v>
      </c>
      <c r="G24408">
        <v>230831</v>
      </c>
      <c r="H24408">
        <v>4343</v>
      </c>
      <c r="I24408" t="s">
        <v>91</v>
      </c>
      <c r="J24408">
        <v>310</v>
      </c>
      <c r="K24408">
        <v>60</v>
      </c>
      <c r="L24408">
        <v>11601</v>
      </c>
      <c r="M24408" t="s">
        <v>535</v>
      </c>
      <c r="N24408" t="str">
        <f>"TIK 1136    "</f>
        <v xml:space="preserve">TIK 1136    </v>
      </c>
      <c r="O24408">
        <v>230914</v>
      </c>
    </row>
    <row r="24409" spans="1:15" x14ac:dyDescent="0.25">
      <c r="A24409" t="s">
        <v>16</v>
      </c>
      <c r="B24409" t="s">
        <v>3221</v>
      </c>
      <c r="C24409">
        <v>12155</v>
      </c>
      <c r="D24409" t="s">
        <v>966</v>
      </c>
      <c r="E24409" t="s">
        <v>967</v>
      </c>
      <c r="F24409">
        <v>27.54</v>
      </c>
      <c r="G24409">
        <v>230831</v>
      </c>
      <c r="H24409">
        <v>4343</v>
      </c>
      <c r="I24409" t="s">
        <v>91</v>
      </c>
      <c r="J24409">
        <v>34.15</v>
      </c>
      <c r="K24409">
        <v>6.61</v>
      </c>
      <c r="L24409">
        <v>11601</v>
      </c>
      <c r="M24409" t="s">
        <v>535</v>
      </c>
      <c r="N24409" t="str">
        <f>"1KK 121743  "</f>
        <v xml:space="preserve">1KK 121743  </v>
      </c>
      <c r="O24409">
        <v>230914</v>
      </c>
    </row>
    <row r="24410" spans="1:15" x14ac:dyDescent="0.25">
      <c r="A24410" t="s">
        <v>16</v>
      </c>
      <c r="B24410" t="s">
        <v>3221</v>
      </c>
      <c r="C24410">
        <v>12156</v>
      </c>
      <c r="D24410" t="s">
        <v>966</v>
      </c>
      <c r="E24410" t="s">
        <v>967</v>
      </c>
      <c r="F24410">
        <v>169.54</v>
      </c>
      <c r="G24410">
        <v>230831</v>
      </c>
      <c r="H24410">
        <v>4343</v>
      </c>
      <c r="I24410" t="s">
        <v>91</v>
      </c>
      <c r="J24410">
        <v>210.23</v>
      </c>
      <c r="K24410">
        <v>40.69</v>
      </c>
      <c r="L24410">
        <v>11601</v>
      </c>
      <c r="M24410" t="s">
        <v>535</v>
      </c>
      <c r="N24410" t="str">
        <f>"1KK 121922  "</f>
        <v xml:space="preserve">1KK 121922  </v>
      </c>
      <c r="O24410">
        <v>230914</v>
      </c>
    </row>
    <row r="24411" spans="1:15" x14ac:dyDescent="0.25">
      <c r="A24411" t="s">
        <v>16</v>
      </c>
      <c r="B24411" t="s">
        <v>3221</v>
      </c>
      <c r="C24411">
        <v>12157</v>
      </c>
      <c r="D24411" t="s">
        <v>966</v>
      </c>
      <c r="E24411" t="s">
        <v>967</v>
      </c>
      <c r="F24411">
        <v>2500</v>
      </c>
      <c r="G24411">
        <v>230831</v>
      </c>
      <c r="H24411">
        <v>4343</v>
      </c>
      <c r="I24411" t="s">
        <v>91</v>
      </c>
      <c r="J24411">
        <v>3100</v>
      </c>
      <c r="K24411">
        <v>600</v>
      </c>
      <c r="L24411">
        <v>11601</v>
      </c>
      <c r="M24411" t="s">
        <v>535</v>
      </c>
      <c r="N24411" t="str">
        <f>"SEV 8739    "</f>
        <v xml:space="preserve">SEV 8739    </v>
      </c>
      <c r="O24411">
        <v>230914</v>
      </c>
    </row>
    <row r="24412" spans="1:15" x14ac:dyDescent="0.25">
      <c r="A24412" t="s">
        <v>16</v>
      </c>
      <c r="B24412" t="s">
        <v>3221</v>
      </c>
      <c r="C24412">
        <v>13340</v>
      </c>
      <c r="D24412" t="s">
        <v>966</v>
      </c>
      <c r="E24412" t="s">
        <v>967</v>
      </c>
      <c r="F24412">
        <v>1125.31</v>
      </c>
      <c r="G24412">
        <v>230930</v>
      </c>
      <c r="H24412">
        <v>4343</v>
      </c>
      <c r="I24412" t="s">
        <v>91</v>
      </c>
      <c r="J24412">
        <v>1395.38</v>
      </c>
      <c r="K24412">
        <v>270.07</v>
      </c>
      <c r="L24412">
        <v>11801</v>
      </c>
      <c r="M24412" t="s">
        <v>92</v>
      </c>
      <c r="N24412" t="str">
        <f>"1KK 122542  "</f>
        <v xml:space="preserve">1KK 122542  </v>
      </c>
      <c r="O24412">
        <v>231009</v>
      </c>
    </row>
    <row r="24413" spans="1:15" x14ac:dyDescent="0.25">
      <c r="A24413" t="s">
        <v>16</v>
      </c>
      <c r="B24413" t="s">
        <v>3221</v>
      </c>
      <c r="C24413">
        <v>13341</v>
      </c>
      <c r="D24413" t="s">
        <v>966</v>
      </c>
      <c r="E24413" t="s">
        <v>967</v>
      </c>
      <c r="F24413">
        <v>4128.8599999999997</v>
      </c>
      <c r="G24413">
        <v>230930</v>
      </c>
      <c r="H24413">
        <v>4343</v>
      </c>
      <c r="I24413" t="s">
        <v>91</v>
      </c>
      <c r="J24413">
        <v>5119.79</v>
      </c>
      <c r="K24413">
        <v>990.93</v>
      </c>
      <c r="L24413">
        <v>11801</v>
      </c>
      <c r="M24413" t="s">
        <v>92</v>
      </c>
      <c r="N24413" t="str">
        <f>"1KK 122413  "</f>
        <v xml:space="preserve">1KK 122413  </v>
      </c>
      <c r="O24413">
        <v>231009</v>
      </c>
    </row>
    <row r="24414" spans="1:15" x14ac:dyDescent="0.25">
      <c r="A24414" t="s">
        <v>16</v>
      </c>
      <c r="B24414" t="s">
        <v>3221</v>
      </c>
      <c r="C24414">
        <v>13342</v>
      </c>
      <c r="D24414" t="s">
        <v>966</v>
      </c>
      <c r="E24414" t="s">
        <v>967</v>
      </c>
      <c r="F24414">
        <v>36.17</v>
      </c>
      <c r="G24414">
        <v>230930</v>
      </c>
      <c r="H24414">
        <v>4343</v>
      </c>
      <c r="I24414" t="s">
        <v>91</v>
      </c>
      <c r="J24414">
        <v>44.85</v>
      </c>
      <c r="K24414">
        <v>8.68</v>
      </c>
      <c r="L24414">
        <v>11801</v>
      </c>
      <c r="M24414" t="s">
        <v>92</v>
      </c>
      <c r="N24414" t="str">
        <f>"1KK 122540  "</f>
        <v xml:space="preserve">1KK 122540  </v>
      </c>
      <c r="O24414">
        <v>231009</v>
      </c>
    </row>
    <row r="24415" spans="1:15" x14ac:dyDescent="0.25">
      <c r="A24415" t="s">
        <v>16</v>
      </c>
      <c r="B24415" t="s">
        <v>3221</v>
      </c>
      <c r="C24415">
        <v>13507</v>
      </c>
      <c r="D24415" t="s">
        <v>966</v>
      </c>
      <c r="E24415" t="s">
        <v>967</v>
      </c>
      <c r="F24415">
        <v>138</v>
      </c>
      <c r="G24415">
        <v>230930</v>
      </c>
      <c r="H24415">
        <v>4343</v>
      </c>
      <c r="I24415" t="s">
        <v>91</v>
      </c>
      <c r="J24415">
        <v>171.12</v>
      </c>
      <c r="K24415">
        <v>33.119999999999997</v>
      </c>
      <c r="L24415">
        <v>11801</v>
      </c>
      <c r="M24415" t="s">
        <v>92</v>
      </c>
      <c r="N24415" t="str">
        <f>"1KK 122747  "</f>
        <v xml:space="preserve">1KK 122747  </v>
      </c>
      <c r="O24415">
        <v>231010</v>
      </c>
    </row>
    <row r="24416" spans="1:15" x14ac:dyDescent="0.25">
      <c r="A24416" t="s">
        <v>16</v>
      </c>
      <c r="B24416" t="s">
        <v>3221</v>
      </c>
      <c r="C24416">
        <v>13586</v>
      </c>
      <c r="D24416" t="s">
        <v>966</v>
      </c>
      <c r="E24416" t="s">
        <v>967</v>
      </c>
      <c r="F24416">
        <v>250</v>
      </c>
      <c r="G24416">
        <v>230930</v>
      </c>
      <c r="H24416">
        <v>4343</v>
      </c>
      <c r="I24416" t="s">
        <v>91</v>
      </c>
      <c r="J24416">
        <v>310</v>
      </c>
      <c r="K24416">
        <v>60</v>
      </c>
      <c r="L24416">
        <v>11601</v>
      </c>
      <c r="M24416" t="s">
        <v>535</v>
      </c>
      <c r="N24416" t="str">
        <f>"TIK 1190    "</f>
        <v xml:space="preserve">TIK 1190    </v>
      </c>
      <c r="O24416">
        <v>231011</v>
      </c>
    </row>
    <row r="24417" spans="1:15" x14ac:dyDescent="0.25">
      <c r="A24417" t="s">
        <v>16</v>
      </c>
      <c r="B24417" t="s">
        <v>3221</v>
      </c>
      <c r="C24417">
        <v>13589</v>
      </c>
      <c r="D24417" t="s">
        <v>966</v>
      </c>
      <c r="E24417" t="s">
        <v>967</v>
      </c>
      <c r="F24417">
        <v>169.54</v>
      </c>
      <c r="G24417">
        <v>230930</v>
      </c>
      <c r="H24417">
        <v>4343</v>
      </c>
      <c r="I24417" t="s">
        <v>91</v>
      </c>
      <c r="J24417">
        <v>210.23</v>
      </c>
      <c r="K24417">
        <v>40.69</v>
      </c>
      <c r="L24417">
        <v>11601</v>
      </c>
      <c r="M24417" t="s">
        <v>535</v>
      </c>
      <c r="N24417" t="str">
        <f>"1KK 122536  "</f>
        <v xml:space="preserve">1KK 122536  </v>
      </c>
      <c r="O24417">
        <v>231011</v>
      </c>
    </row>
    <row r="24418" spans="1:15" x14ac:dyDescent="0.25">
      <c r="A24418" t="s">
        <v>16</v>
      </c>
      <c r="B24418" t="s">
        <v>3221</v>
      </c>
      <c r="C24418">
        <v>13590</v>
      </c>
      <c r="D24418" t="s">
        <v>966</v>
      </c>
      <c r="E24418" t="s">
        <v>967</v>
      </c>
      <c r="F24418">
        <v>27.54</v>
      </c>
      <c r="G24418">
        <v>230930</v>
      </c>
      <c r="H24418">
        <v>4343</v>
      </c>
      <c r="I24418" t="s">
        <v>91</v>
      </c>
      <c r="J24418">
        <v>34.15</v>
      </c>
      <c r="K24418">
        <v>6.61</v>
      </c>
      <c r="L24418">
        <v>11601</v>
      </c>
      <c r="M24418" t="s">
        <v>535</v>
      </c>
      <c r="N24418" t="str">
        <f>"1KK 122359  "</f>
        <v xml:space="preserve">1KK 122359  </v>
      </c>
      <c r="O24418">
        <v>231011</v>
      </c>
    </row>
    <row r="24419" spans="1:15" x14ac:dyDescent="0.25">
      <c r="A24419" t="s">
        <v>16</v>
      </c>
      <c r="B24419" t="s">
        <v>3221</v>
      </c>
      <c r="C24419">
        <v>14051</v>
      </c>
      <c r="D24419" t="s">
        <v>966</v>
      </c>
      <c r="E24419" t="s">
        <v>967</v>
      </c>
      <c r="F24419">
        <v>945</v>
      </c>
      <c r="G24419">
        <v>230930</v>
      </c>
      <c r="H24419">
        <v>4343</v>
      </c>
      <c r="I24419" t="s">
        <v>91</v>
      </c>
      <c r="J24419">
        <v>1171.8</v>
      </c>
      <c r="K24419">
        <v>226.8</v>
      </c>
      <c r="L24419">
        <v>11801</v>
      </c>
      <c r="M24419" t="s">
        <v>92</v>
      </c>
      <c r="N24419" t="str">
        <f>"1KK 122813  "</f>
        <v xml:space="preserve">1KK 122813  </v>
      </c>
      <c r="O24419">
        <v>231018</v>
      </c>
    </row>
    <row r="24420" spans="1:15" x14ac:dyDescent="0.25">
      <c r="A24420" t="s">
        <v>16</v>
      </c>
      <c r="B24420" t="s">
        <v>3221</v>
      </c>
      <c r="C24420">
        <v>14934</v>
      </c>
      <c r="D24420" t="s">
        <v>966</v>
      </c>
      <c r="E24420" t="s">
        <v>967</v>
      </c>
      <c r="F24420">
        <v>138</v>
      </c>
      <c r="G24420">
        <v>231031</v>
      </c>
      <c r="H24420">
        <v>4343</v>
      </c>
      <c r="I24420" t="s">
        <v>91</v>
      </c>
      <c r="J24420">
        <v>171.12</v>
      </c>
      <c r="K24420">
        <v>33.119999999999997</v>
      </c>
      <c r="L24420">
        <v>11801</v>
      </c>
      <c r="M24420" t="s">
        <v>92</v>
      </c>
      <c r="N24420" t="str">
        <f>"1KK 123372  "</f>
        <v xml:space="preserve">1KK 123372  </v>
      </c>
      <c r="O24420">
        <v>231107</v>
      </c>
    </row>
    <row r="24421" spans="1:15" x14ac:dyDescent="0.25">
      <c r="A24421" t="s">
        <v>16</v>
      </c>
      <c r="B24421" t="s">
        <v>3221</v>
      </c>
      <c r="C24421">
        <v>14962</v>
      </c>
      <c r="D24421" t="s">
        <v>966</v>
      </c>
      <c r="E24421" t="s">
        <v>967</v>
      </c>
      <c r="F24421">
        <v>4128.8599999999997</v>
      </c>
      <c r="G24421">
        <v>231031</v>
      </c>
      <c r="H24421">
        <v>4343</v>
      </c>
      <c r="I24421" t="s">
        <v>91</v>
      </c>
      <c r="J24421">
        <v>5119.79</v>
      </c>
      <c r="K24421">
        <v>990.93</v>
      </c>
      <c r="L24421">
        <v>11801</v>
      </c>
      <c r="M24421" t="s">
        <v>92</v>
      </c>
      <c r="N24421" t="str">
        <f>"1KK 123046  "</f>
        <v xml:space="preserve">1KK 123046  </v>
      </c>
      <c r="O24421">
        <v>231107</v>
      </c>
    </row>
    <row r="24422" spans="1:15" x14ac:dyDescent="0.25">
      <c r="A24422" t="s">
        <v>16</v>
      </c>
      <c r="B24422" t="s">
        <v>3221</v>
      </c>
      <c r="C24422">
        <v>14963</v>
      </c>
      <c r="D24422" t="s">
        <v>966</v>
      </c>
      <c r="E24422" t="s">
        <v>967</v>
      </c>
      <c r="F24422">
        <v>1125.31</v>
      </c>
      <c r="G24422">
        <v>231031</v>
      </c>
      <c r="H24422">
        <v>4343</v>
      </c>
      <c r="I24422" t="s">
        <v>91</v>
      </c>
      <c r="J24422">
        <v>1395.38</v>
      </c>
      <c r="K24422">
        <v>270.07</v>
      </c>
      <c r="L24422">
        <v>11801</v>
      </c>
      <c r="M24422" t="s">
        <v>92</v>
      </c>
      <c r="N24422" t="str">
        <f>"1KK 123171  "</f>
        <v xml:space="preserve">1KK 123171  </v>
      </c>
      <c r="O24422">
        <v>231107</v>
      </c>
    </row>
    <row r="24423" spans="1:15" x14ac:dyDescent="0.25">
      <c r="A24423" t="s">
        <v>16</v>
      </c>
      <c r="B24423" t="s">
        <v>3221</v>
      </c>
      <c r="C24423">
        <v>14969</v>
      </c>
      <c r="D24423" t="s">
        <v>966</v>
      </c>
      <c r="E24423" t="s">
        <v>967</v>
      </c>
      <c r="F24423">
        <v>36.17</v>
      </c>
      <c r="G24423">
        <v>231031</v>
      </c>
      <c r="H24423">
        <v>4343</v>
      </c>
      <c r="I24423" t="s">
        <v>91</v>
      </c>
      <c r="J24423">
        <v>44.85</v>
      </c>
      <c r="K24423">
        <v>8.68</v>
      </c>
      <c r="L24423">
        <v>11801</v>
      </c>
      <c r="M24423" t="s">
        <v>92</v>
      </c>
      <c r="N24423" t="str">
        <f>"1KK 123169  "</f>
        <v xml:space="preserve">1KK 123169  </v>
      </c>
      <c r="O24423">
        <v>231107</v>
      </c>
    </row>
    <row r="24424" spans="1:15" x14ac:dyDescent="0.25">
      <c r="A24424" t="s">
        <v>16</v>
      </c>
      <c r="B24424" t="s">
        <v>3221</v>
      </c>
      <c r="C24424">
        <v>15086</v>
      </c>
      <c r="D24424" t="s">
        <v>966</v>
      </c>
      <c r="E24424" t="s">
        <v>967</v>
      </c>
      <c r="F24424">
        <v>945</v>
      </c>
      <c r="G24424">
        <v>231031</v>
      </c>
      <c r="H24424">
        <v>4343</v>
      </c>
      <c r="I24424" t="s">
        <v>91</v>
      </c>
      <c r="J24424">
        <v>1171.8</v>
      </c>
      <c r="K24424">
        <v>226.8</v>
      </c>
      <c r="L24424">
        <v>11801</v>
      </c>
      <c r="M24424" t="s">
        <v>92</v>
      </c>
      <c r="N24424" t="str">
        <f>"1KK 123439  "</f>
        <v xml:space="preserve">1KK 123439  </v>
      </c>
      <c r="O24424">
        <v>231108</v>
      </c>
    </row>
    <row r="24425" spans="1:15" x14ac:dyDescent="0.25">
      <c r="A24425" t="s">
        <v>16</v>
      </c>
      <c r="B24425" t="s">
        <v>3221</v>
      </c>
      <c r="C24425">
        <v>15327</v>
      </c>
      <c r="D24425" t="s">
        <v>966</v>
      </c>
      <c r="E24425" t="s">
        <v>967</v>
      </c>
      <c r="F24425">
        <v>80</v>
      </c>
      <c r="G24425">
        <v>231031</v>
      </c>
      <c r="H24425">
        <v>4343</v>
      </c>
      <c r="I24425" t="s">
        <v>91</v>
      </c>
      <c r="J24425">
        <v>99.2</v>
      </c>
      <c r="K24425">
        <v>19.2</v>
      </c>
      <c r="L24425">
        <v>11601</v>
      </c>
      <c r="M24425" t="s">
        <v>535</v>
      </c>
      <c r="N24425" t="str">
        <f>"1KK 123595  "</f>
        <v xml:space="preserve">1KK 123595  </v>
      </c>
      <c r="O24425">
        <v>231113</v>
      </c>
    </row>
    <row r="24426" spans="1:15" x14ac:dyDescent="0.25">
      <c r="A24426" t="s">
        <v>16</v>
      </c>
      <c r="B24426" t="s">
        <v>3221</v>
      </c>
      <c r="C24426">
        <v>15328</v>
      </c>
      <c r="D24426" t="s">
        <v>966</v>
      </c>
      <c r="E24426" t="s">
        <v>967</v>
      </c>
      <c r="F24426">
        <v>169.54</v>
      </c>
      <c r="G24426">
        <v>231031</v>
      </c>
      <c r="H24426">
        <v>4343</v>
      </c>
      <c r="I24426" t="s">
        <v>91</v>
      </c>
      <c r="J24426">
        <v>210.23</v>
      </c>
      <c r="K24426">
        <v>40.69</v>
      </c>
      <c r="L24426">
        <v>11601</v>
      </c>
      <c r="M24426" t="s">
        <v>535</v>
      </c>
      <c r="N24426" t="str">
        <f>"1KK 123165  "</f>
        <v xml:space="preserve">1KK 123165  </v>
      </c>
      <c r="O24426">
        <v>231113</v>
      </c>
    </row>
    <row r="24427" spans="1:15" x14ac:dyDescent="0.25">
      <c r="A24427" t="s">
        <v>16</v>
      </c>
      <c r="B24427" t="s">
        <v>3221</v>
      </c>
      <c r="C24427">
        <v>15330</v>
      </c>
      <c r="D24427" t="s">
        <v>966</v>
      </c>
      <c r="E24427" t="s">
        <v>967</v>
      </c>
      <c r="F24427">
        <v>250</v>
      </c>
      <c r="G24427">
        <v>231031</v>
      </c>
      <c r="H24427">
        <v>4343</v>
      </c>
      <c r="I24427" t="s">
        <v>91</v>
      </c>
      <c r="J24427">
        <v>310</v>
      </c>
      <c r="K24427">
        <v>60</v>
      </c>
      <c r="L24427">
        <v>11601</v>
      </c>
      <c r="M24427" t="s">
        <v>535</v>
      </c>
      <c r="N24427" t="str">
        <f>"TIK 1244    "</f>
        <v xml:space="preserve">TIK 1244    </v>
      </c>
      <c r="O24427">
        <v>231113</v>
      </c>
    </row>
    <row r="24428" spans="1:15" x14ac:dyDescent="0.25">
      <c r="A24428" t="s">
        <v>16</v>
      </c>
      <c r="B24428" t="s">
        <v>3221</v>
      </c>
      <c r="C24428">
        <v>15337</v>
      </c>
      <c r="D24428" t="s">
        <v>966</v>
      </c>
      <c r="E24428" t="s">
        <v>967</v>
      </c>
      <c r="F24428">
        <v>27.54</v>
      </c>
      <c r="G24428">
        <v>231031</v>
      </c>
      <c r="H24428">
        <v>4343</v>
      </c>
      <c r="I24428" t="s">
        <v>91</v>
      </c>
      <c r="J24428">
        <v>34.15</v>
      </c>
      <c r="K24428">
        <v>6.61</v>
      </c>
      <c r="L24428">
        <v>11601</v>
      </c>
      <c r="M24428" t="s">
        <v>535</v>
      </c>
      <c r="N24428" t="str">
        <f>"1KK 122992  "</f>
        <v xml:space="preserve">1KK 122992  </v>
      </c>
      <c r="O24428">
        <v>231113</v>
      </c>
    </row>
    <row r="24429" spans="1:15" x14ac:dyDescent="0.25">
      <c r="A24429" t="s">
        <v>16</v>
      </c>
      <c r="B24429" t="s">
        <v>3221</v>
      </c>
      <c r="C24429">
        <v>15390</v>
      </c>
      <c r="D24429" t="s">
        <v>966</v>
      </c>
      <c r="E24429" t="s">
        <v>967</v>
      </c>
      <c r="F24429">
        <v>1500</v>
      </c>
      <c r="G24429">
        <v>231031</v>
      </c>
      <c r="H24429">
        <v>4343</v>
      </c>
      <c r="I24429" t="s">
        <v>91</v>
      </c>
      <c r="J24429">
        <v>1860</v>
      </c>
      <c r="K24429">
        <v>360</v>
      </c>
      <c r="L24429">
        <v>11601</v>
      </c>
      <c r="M24429" t="s">
        <v>535</v>
      </c>
      <c r="N24429" t="str">
        <f>"SUP 15148   "</f>
        <v xml:space="preserve">SUP 15148   </v>
      </c>
      <c r="O24429">
        <v>231113</v>
      </c>
    </row>
    <row r="24430" spans="1:15" x14ac:dyDescent="0.25">
      <c r="A24430" t="s">
        <v>16</v>
      </c>
      <c r="B24430" t="s">
        <v>3221</v>
      </c>
      <c r="C24430">
        <v>15934</v>
      </c>
      <c r="D24430" t="s">
        <v>966</v>
      </c>
      <c r="E24430" t="s">
        <v>967</v>
      </c>
      <c r="F24430">
        <v>27.54</v>
      </c>
      <c r="G24430">
        <v>231114</v>
      </c>
      <c r="H24430">
        <v>4343</v>
      </c>
      <c r="I24430" t="s">
        <v>91</v>
      </c>
      <c r="J24430">
        <v>34.15</v>
      </c>
      <c r="K24430">
        <v>6.61</v>
      </c>
      <c r="L24430">
        <v>11601</v>
      </c>
      <c r="M24430" t="s">
        <v>535</v>
      </c>
      <c r="N24430" t="str">
        <f>"1KK 123650  "</f>
        <v xml:space="preserve">1KK 123650  </v>
      </c>
      <c r="O24430">
        <v>231122</v>
      </c>
    </row>
    <row r="24431" spans="1:15" x14ac:dyDescent="0.25">
      <c r="A24431" t="s">
        <v>16</v>
      </c>
      <c r="B24431" t="s">
        <v>3221</v>
      </c>
      <c r="C24431">
        <v>15938</v>
      </c>
      <c r="D24431" t="s">
        <v>966</v>
      </c>
      <c r="E24431" t="s">
        <v>967</v>
      </c>
      <c r="F24431">
        <v>80</v>
      </c>
      <c r="G24431">
        <v>231114</v>
      </c>
      <c r="H24431">
        <v>4343</v>
      </c>
      <c r="I24431" t="s">
        <v>91</v>
      </c>
      <c r="J24431">
        <v>99.2</v>
      </c>
      <c r="K24431">
        <v>19.2</v>
      </c>
      <c r="L24431">
        <v>11601</v>
      </c>
      <c r="M24431" t="s">
        <v>535</v>
      </c>
      <c r="N24431" t="str">
        <f>"1KK 124245  "</f>
        <v xml:space="preserve">1KK 124245  </v>
      </c>
      <c r="O24431">
        <v>231122</v>
      </c>
    </row>
    <row r="24432" spans="1:15" x14ac:dyDescent="0.25">
      <c r="A24432" t="s">
        <v>16</v>
      </c>
      <c r="B24432" t="s">
        <v>3221</v>
      </c>
      <c r="C24432">
        <v>15939</v>
      </c>
      <c r="D24432" t="s">
        <v>966</v>
      </c>
      <c r="E24432" t="s">
        <v>967</v>
      </c>
      <c r="F24432">
        <v>1125.31</v>
      </c>
      <c r="G24432">
        <v>231114</v>
      </c>
      <c r="H24432">
        <v>4343</v>
      </c>
      <c r="I24432" t="s">
        <v>91</v>
      </c>
      <c r="J24432">
        <v>1395.38</v>
      </c>
      <c r="K24432">
        <v>270.07</v>
      </c>
      <c r="L24432">
        <v>11801</v>
      </c>
      <c r="M24432" t="s">
        <v>92</v>
      </c>
      <c r="N24432" t="str">
        <f>"1KK 123824  "</f>
        <v xml:space="preserve">1KK 123824  </v>
      </c>
      <c r="O24432">
        <v>231122</v>
      </c>
    </row>
    <row r="24433" spans="1:15" x14ac:dyDescent="0.25">
      <c r="A24433" t="s">
        <v>16</v>
      </c>
      <c r="B24433" t="s">
        <v>3221</v>
      </c>
      <c r="C24433">
        <v>15941</v>
      </c>
      <c r="D24433" t="s">
        <v>966</v>
      </c>
      <c r="E24433" t="s">
        <v>967</v>
      </c>
      <c r="F24433">
        <v>36.17</v>
      </c>
      <c r="G24433">
        <v>231114</v>
      </c>
      <c r="H24433">
        <v>4343</v>
      </c>
      <c r="I24433" t="s">
        <v>91</v>
      </c>
      <c r="J24433">
        <v>44.85</v>
      </c>
      <c r="K24433">
        <v>8.68</v>
      </c>
      <c r="L24433">
        <v>11801</v>
      </c>
      <c r="M24433" t="s">
        <v>92</v>
      </c>
      <c r="N24433" t="str">
        <f>"1KK 123822  "</f>
        <v xml:space="preserve">1KK 123822  </v>
      </c>
      <c r="O24433">
        <v>231122</v>
      </c>
    </row>
    <row r="24434" spans="1:15" x14ac:dyDescent="0.25">
      <c r="A24434" t="s">
        <v>16</v>
      </c>
      <c r="B24434" t="s">
        <v>3221</v>
      </c>
      <c r="C24434">
        <v>15943</v>
      </c>
      <c r="D24434" t="s">
        <v>966</v>
      </c>
      <c r="E24434" t="s">
        <v>967</v>
      </c>
      <c r="F24434">
        <v>4128.8599999999997</v>
      </c>
      <c r="G24434">
        <v>231114</v>
      </c>
      <c r="H24434">
        <v>4343</v>
      </c>
      <c r="I24434" t="s">
        <v>91</v>
      </c>
      <c r="J24434">
        <v>5119.79</v>
      </c>
      <c r="K24434">
        <v>990.93</v>
      </c>
      <c r="L24434">
        <v>11801</v>
      </c>
      <c r="M24434" t="s">
        <v>92</v>
      </c>
      <c r="N24434" t="str">
        <f>"1KK 123702  "</f>
        <v xml:space="preserve">1KK 123702  </v>
      </c>
      <c r="O24434">
        <v>231122</v>
      </c>
    </row>
    <row r="24435" spans="1:15" x14ac:dyDescent="0.25">
      <c r="A24435" t="s">
        <v>16</v>
      </c>
      <c r="B24435" t="s">
        <v>3221</v>
      </c>
      <c r="C24435">
        <v>15949</v>
      </c>
      <c r="D24435" t="s">
        <v>966</v>
      </c>
      <c r="E24435" t="s">
        <v>967</v>
      </c>
      <c r="F24435">
        <v>169.54</v>
      </c>
      <c r="G24435">
        <v>231114</v>
      </c>
      <c r="H24435">
        <v>4343</v>
      </c>
      <c r="I24435" t="s">
        <v>91</v>
      </c>
      <c r="J24435">
        <v>210.23</v>
      </c>
      <c r="K24435">
        <v>40.69</v>
      </c>
      <c r="L24435">
        <v>11601</v>
      </c>
      <c r="M24435" t="s">
        <v>535</v>
      </c>
      <c r="N24435" t="str">
        <f>"1KK 123819  "</f>
        <v xml:space="preserve">1KK 123819  </v>
      </c>
      <c r="O24435">
        <v>231122</v>
      </c>
    </row>
    <row r="24436" spans="1:15" x14ac:dyDescent="0.25">
      <c r="A24436" t="s">
        <v>16</v>
      </c>
      <c r="B24436" t="s">
        <v>3221</v>
      </c>
      <c r="C24436">
        <v>15951</v>
      </c>
      <c r="D24436" t="s">
        <v>966</v>
      </c>
      <c r="E24436" t="s">
        <v>967</v>
      </c>
      <c r="F24436">
        <v>138</v>
      </c>
      <c r="G24436">
        <v>231114</v>
      </c>
      <c r="H24436">
        <v>4343</v>
      </c>
      <c r="I24436" t="s">
        <v>91</v>
      </c>
      <c r="J24436">
        <v>171.12</v>
      </c>
      <c r="K24436">
        <v>33.119999999999997</v>
      </c>
      <c r="L24436">
        <v>11801</v>
      </c>
      <c r="M24436" t="s">
        <v>92</v>
      </c>
      <c r="N24436" t="str">
        <f>"1KK 124022  "</f>
        <v xml:space="preserve">1KK 124022  </v>
      </c>
      <c r="O24436">
        <v>231122</v>
      </c>
    </row>
    <row r="24437" spans="1:15" x14ac:dyDescent="0.25">
      <c r="A24437" t="s">
        <v>16</v>
      </c>
      <c r="B24437" t="s">
        <v>3221</v>
      </c>
      <c r="C24437">
        <v>15953</v>
      </c>
      <c r="D24437" t="s">
        <v>966</v>
      </c>
      <c r="E24437" t="s">
        <v>967</v>
      </c>
      <c r="F24437">
        <v>250</v>
      </c>
      <c r="G24437">
        <v>231114</v>
      </c>
      <c r="H24437">
        <v>4343</v>
      </c>
      <c r="I24437" t="s">
        <v>91</v>
      </c>
      <c r="J24437">
        <v>310</v>
      </c>
      <c r="K24437">
        <v>60</v>
      </c>
      <c r="L24437">
        <v>11601</v>
      </c>
      <c r="M24437" t="s">
        <v>535</v>
      </c>
      <c r="N24437" t="str">
        <f>"TIK 1298    "</f>
        <v xml:space="preserve">TIK 1298    </v>
      </c>
      <c r="O24437">
        <v>231122</v>
      </c>
    </row>
    <row r="24438" spans="1:15" x14ac:dyDescent="0.25">
      <c r="A24438" t="s">
        <v>16</v>
      </c>
      <c r="B24438" t="s">
        <v>3221</v>
      </c>
      <c r="C24438">
        <v>15954</v>
      </c>
      <c r="D24438" t="s">
        <v>966</v>
      </c>
      <c r="E24438" t="s">
        <v>967</v>
      </c>
      <c r="F24438">
        <v>945</v>
      </c>
      <c r="G24438">
        <v>231114</v>
      </c>
      <c r="H24438">
        <v>4343</v>
      </c>
      <c r="I24438" t="s">
        <v>91</v>
      </c>
      <c r="J24438">
        <v>1171.8</v>
      </c>
      <c r="K24438">
        <v>226.8</v>
      </c>
      <c r="L24438">
        <v>11801</v>
      </c>
      <c r="M24438" t="s">
        <v>92</v>
      </c>
      <c r="N24438" t="str">
        <f>"1KK 124089  "</f>
        <v xml:space="preserve">1KK 124089  </v>
      </c>
      <c r="O24438">
        <v>231122</v>
      </c>
    </row>
    <row r="24439" spans="1:15" x14ac:dyDescent="0.25">
      <c r="A24439" t="s">
        <v>16</v>
      </c>
      <c r="B24439" t="s">
        <v>3221</v>
      </c>
      <c r="C24439">
        <v>17781</v>
      </c>
      <c r="D24439" t="s">
        <v>966</v>
      </c>
      <c r="E24439" t="s">
        <v>967</v>
      </c>
      <c r="F24439">
        <v>27.54</v>
      </c>
      <c r="G24439">
        <v>231213</v>
      </c>
      <c r="H24439">
        <v>4343</v>
      </c>
      <c r="I24439" t="s">
        <v>91</v>
      </c>
      <c r="J24439">
        <v>34.15</v>
      </c>
      <c r="K24439">
        <v>6.61</v>
      </c>
      <c r="L24439">
        <v>11601</v>
      </c>
      <c r="M24439" t="s">
        <v>535</v>
      </c>
      <c r="N24439" t="str">
        <f>"1KK 124323  "</f>
        <v xml:space="preserve">1KK 124323  </v>
      </c>
      <c r="O24439">
        <v>231227</v>
      </c>
    </row>
    <row r="24440" spans="1:15" x14ac:dyDescent="0.25">
      <c r="A24440" t="s">
        <v>16</v>
      </c>
      <c r="B24440" t="s">
        <v>3221</v>
      </c>
      <c r="C24440">
        <v>17786</v>
      </c>
      <c r="D24440" t="s">
        <v>966</v>
      </c>
      <c r="E24440" t="s">
        <v>967</v>
      </c>
      <c r="F24440">
        <v>1125.31</v>
      </c>
      <c r="G24440">
        <v>231213</v>
      </c>
      <c r="H24440">
        <v>4343</v>
      </c>
      <c r="I24440" t="s">
        <v>91</v>
      </c>
      <c r="J24440">
        <v>1395.38</v>
      </c>
      <c r="K24440">
        <v>270.07</v>
      </c>
      <c r="L24440">
        <v>11801</v>
      </c>
      <c r="M24440" t="s">
        <v>92</v>
      </c>
      <c r="N24440" t="str">
        <f>"1KK 124496  "</f>
        <v xml:space="preserve">1KK 124496  </v>
      </c>
      <c r="O24440">
        <v>231227</v>
      </c>
    </row>
    <row r="24441" spans="1:15" x14ac:dyDescent="0.25">
      <c r="A24441" t="s">
        <v>16</v>
      </c>
      <c r="B24441" t="s">
        <v>3221</v>
      </c>
      <c r="C24441">
        <v>17787</v>
      </c>
      <c r="D24441" t="s">
        <v>966</v>
      </c>
      <c r="E24441" t="s">
        <v>967</v>
      </c>
      <c r="F24441">
        <v>4128.8599999999997</v>
      </c>
      <c r="G24441">
        <v>231213</v>
      </c>
      <c r="H24441">
        <v>4343</v>
      </c>
      <c r="I24441" t="s">
        <v>91</v>
      </c>
      <c r="J24441">
        <v>5119.79</v>
      </c>
      <c r="K24441">
        <v>990.93</v>
      </c>
      <c r="L24441">
        <v>11801</v>
      </c>
      <c r="M24441" t="s">
        <v>92</v>
      </c>
      <c r="N24441" t="str">
        <f>"1KK 124374  "</f>
        <v xml:space="preserve">1KK 124374  </v>
      </c>
      <c r="O24441">
        <v>231227</v>
      </c>
    </row>
    <row r="24442" spans="1:15" x14ac:dyDescent="0.25">
      <c r="A24442" t="s">
        <v>16</v>
      </c>
      <c r="B24442" t="s">
        <v>3221</v>
      </c>
      <c r="C24442">
        <v>17793</v>
      </c>
      <c r="D24442" t="s">
        <v>966</v>
      </c>
      <c r="E24442" t="s">
        <v>967</v>
      </c>
      <c r="F24442">
        <v>138</v>
      </c>
      <c r="G24442">
        <v>231213</v>
      </c>
      <c r="H24442">
        <v>4343</v>
      </c>
      <c r="I24442" t="s">
        <v>91</v>
      </c>
      <c r="J24442">
        <v>171.12</v>
      </c>
      <c r="K24442">
        <v>33.119999999999997</v>
      </c>
      <c r="L24442">
        <v>11801</v>
      </c>
      <c r="M24442" t="s">
        <v>92</v>
      </c>
      <c r="N24442" t="str">
        <f>"1KK 124694  "</f>
        <v xml:space="preserve">1KK 124694  </v>
      </c>
      <c r="O24442">
        <v>231227</v>
      </c>
    </row>
    <row r="24443" spans="1:15" x14ac:dyDescent="0.25">
      <c r="A24443" t="s">
        <v>16</v>
      </c>
      <c r="B24443" t="s">
        <v>3221</v>
      </c>
      <c r="C24443">
        <v>17796</v>
      </c>
      <c r="D24443" t="s">
        <v>966</v>
      </c>
      <c r="E24443" t="s">
        <v>967</v>
      </c>
      <c r="F24443">
        <v>36.17</v>
      </c>
      <c r="G24443">
        <v>231213</v>
      </c>
      <c r="H24443">
        <v>4343</v>
      </c>
      <c r="I24443" t="s">
        <v>91</v>
      </c>
      <c r="J24443">
        <v>44.85</v>
      </c>
      <c r="K24443">
        <v>8.68</v>
      </c>
      <c r="L24443">
        <v>11801</v>
      </c>
      <c r="M24443" t="s">
        <v>92</v>
      </c>
      <c r="N24443" t="str">
        <f>"1KK 124494  "</f>
        <v xml:space="preserve">1KK 124494  </v>
      </c>
      <c r="O24443">
        <v>231227</v>
      </c>
    </row>
    <row r="24444" spans="1:15" x14ac:dyDescent="0.25">
      <c r="A24444" t="s">
        <v>16</v>
      </c>
      <c r="B24444" t="s">
        <v>3221</v>
      </c>
      <c r="C24444">
        <v>17801</v>
      </c>
      <c r="D24444" t="s">
        <v>966</v>
      </c>
      <c r="E24444" t="s">
        <v>967</v>
      </c>
      <c r="F24444">
        <v>945</v>
      </c>
      <c r="G24444">
        <v>231213</v>
      </c>
      <c r="H24444">
        <v>4343</v>
      </c>
      <c r="I24444" t="s">
        <v>91</v>
      </c>
      <c r="J24444">
        <v>1171.8</v>
      </c>
      <c r="K24444">
        <v>226.8</v>
      </c>
      <c r="L24444">
        <v>11801</v>
      </c>
      <c r="M24444" t="s">
        <v>92</v>
      </c>
      <c r="N24444" t="str">
        <f>"1KK 124760  "</f>
        <v xml:space="preserve">1KK 124760  </v>
      </c>
      <c r="O24444">
        <v>231227</v>
      </c>
    </row>
    <row r="24445" spans="1:15" x14ac:dyDescent="0.25">
      <c r="A24445" t="s">
        <v>16</v>
      </c>
      <c r="B24445" t="s">
        <v>3221</v>
      </c>
      <c r="C24445">
        <v>17812</v>
      </c>
      <c r="D24445" t="s">
        <v>966</v>
      </c>
      <c r="E24445" t="s">
        <v>967</v>
      </c>
      <c r="F24445">
        <v>80</v>
      </c>
      <c r="G24445">
        <v>231213</v>
      </c>
      <c r="H24445">
        <v>4343</v>
      </c>
      <c r="I24445" t="s">
        <v>91</v>
      </c>
      <c r="J24445">
        <v>99.2</v>
      </c>
      <c r="K24445">
        <v>19.2</v>
      </c>
      <c r="L24445">
        <v>11601</v>
      </c>
      <c r="M24445" t="s">
        <v>535</v>
      </c>
      <c r="N24445" t="str">
        <f>"1KK 124921  "</f>
        <v xml:space="preserve">1KK 124921  </v>
      </c>
      <c r="O24445">
        <v>231227</v>
      </c>
    </row>
    <row r="24446" spans="1:15" x14ac:dyDescent="0.25">
      <c r="A24446" t="s">
        <v>16</v>
      </c>
      <c r="B24446" t="s">
        <v>3221</v>
      </c>
      <c r="C24446">
        <v>17827</v>
      </c>
      <c r="D24446" t="s">
        <v>966</v>
      </c>
      <c r="E24446" t="s">
        <v>967</v>
      </c>
      <c r="F24446">
        <v>169.54</v>
      </c>
      <c r="G24446">
        <v>231213</v>
      </c>
      <c r="H24446">
        <v>4343</v>
      </c>
      <c r="I24446" t="s">
        <v>91</v>
      </c>
      <c r="J24446">
        <v>210.23</v>
      </c>
      <c r="K24446">
        <v>40.69</v>
      </c>
      <c r="L24446">
        <v>11601</v>
      </c>
      <c r="M24446" t="s">
        <v>535</v>
      </c>
      <c r="N24446" t="str">
        <f>"1KK 124491  "</f>
        <v xml:space="preserve">1KK 124491  </v>
      </c>
      <c r="O24446">
        <v>231227</v>
      </c>
    </row>
    <row r="24447" spans="1:15" x14ac:dyDescent="0.25">
      <c r="A24447" t="s">
        <v>16</v>
      </c>
      <c r="B24447" t="s">
        <v>3221</v>
      </c>
      <c r="C24447">
        <v>17838</v>
      </c>
      <c r="D24447" t="s">
        <v>966</v>
      </c>
      <c r="E24447" t="s">
        <v>967</v>
      </c>
      <c r="F24447">
        <v>250</v>
      </c>
      <c r="G24447">
        <v>231213</v>
      </c>
      <c r="H24447">
        <v>4343</v>
      </c>
      <c r="I24447" t="s">
        <v>91</v>
      </c>
      <c r="J24447">
        <v>310</v>
      </c>
      <c r="K24447">
        <v>60</v>
      </c>
      <c r="L24447">
        <v>11601</v>
      </c>
      <c r="M24447" t="s">
        <v>535</v>
      </c>
      <c r="N24447" t="str">
        <f>"TIK 1352    "</f>
        <v xml:space="preserve">TIK 1352    </v>
      </c>
      <c r="O24447">
        <v>231227</v>
      </c>
    </row>
    <row r="24448" spans="1:15" x14ac:dyDescent="0.25">
      <c r="A24448" t="s">
        <v>16</v>
      </c>
      <c r="B24448" t="s">
        <v>3221</v>
      </c>
      <c r="C24448">
        <v>18603</v>
      </c>
      <c r="D24448" t="s">
        <v>966</v>
      </c>
      <c r="E24448" t="s">
        <v>967</v>
      </c>
      <c r="F24448">
        <v>396</v>
      </c>
      <c r="G24448">
        <v>231231</v>
      </c>
      <c r="H24448">
        <v>4343</v>
      </c>
      <c r="I24448" t="s">
        <v>91</v>
      </c>
      <c r="J24448">
        <v>491.04</v>
      </c>
      <c r="K24448">
        <v>95.04</v>
      </c>
      <c r="L24448">
        <v>11601</v>
      </c>
      <c r="M24448" t="s">
        <v>535</v>
      </c>
      <c r="N24448" t="str">
        <f>"SUP 15341   "</f>
        <v xml:space="preserve">SUP 15341   </v>
      </c>
      <c r="O24448">
        <v>240104</v>
      </c>
    </row>
    <row r="24449" spans="1:15" x14ac:dyDescent="0.25">
      <c r="A24449" t="s">
        <v>16</v>
      </c>
      <c r="B24449" t="s">
        <v>3221</v>
      </c>
      <c r="C24449">
        <v>1791</v>
      </c>
      <c r="D24449" t="s">
        <v>966</v>
      </c>
      <c r="E24449" t="s">
        <v>967</v>
      </c>
      <c r="F24449">
        <v>166.6</v>
      </c>
      <c r="G24449">
        <v>230131</v>
      </c>
      <c r="H24449">
        <v>4362</v>
      </c>
      <c r="I24449" t="s">
        <v>79</v>
      </c>
      <c r="J24449">
        <v>206.58</v>
      </c>
      <c r="K24449">
        <v>39.979999999999997</v>
      </c>
      <c r="L24449">
        <v>11601</v>
      </c>
      <c r="M24449" t="s">
        <v>535</v>
      </c>
      <c r="N24449" t="str">
        <f>"LA 1205     "</f>
        <v xml:space="preserve">LA 1205     </v>
      </c>
      <c r="O24449">
        <v>230214</v>
      </c>
    </row>
    <row r="24450" spans="1:15" x14ac:dyDescent="0.25">
      <c r="A24450" t="s">
        <v>16</v>
      </c>
      <c r="B24450" t="s">
        <v>3221</v>
      </c>
      <c r="C24450">
        <v>1798</v>
      </c>
      <c r="D24450" t="s">
        <v>966</v>
      </c>
      <c r="E24450" t="s">
        <v>967</v>
      </c>
      <c r="F24450">
        <v>751.1</v>
      </c>
      <c r="G24450">
        <v>230131</v>
      </c>
      <c r="H24450">
        <v>4362</v>
      </c>
      <c r="I24450" t="s">
        <v>79</v>
      </c>
      <c r="J24450">
        <v>931.36</v>
      </c>
      <c r="K24450">
        <v>180.26</v>
      </c>
      <c r="L24450">
        <v>11601</v>
      </c>
      <c r="M24450" t="s">
        <v>535</v>
      </c>
      <c r="N24450" t="str">
        <f>"VL 1013     "</f>
        <v xml:space="preserve">VL 1013     </v>
      </c>
      <c r="O24450">
        <v>230214</v>
      </c>
    </row>
    <row r="24451" spans="1:15" x14ac:dyDescent="0.25">
      <c r="A24451" t="s">
        <v>16</v>
      </c>
      <c r="B24451" t="s">
        <v>3221</v>
      </c>
      <c r="C24451">
        <v>2927</v>
      </c>
      <c r="D24451" t="s">
        <v>966</v>
      </c>
      <c r="E24451" t="s">
        <v>967</v>
      </c>
      <c r="F24451">
        <v>198</v>
      </c>
      <c r="G24451">
        <v>230228</v>
      </c>
      <c r="H24451">
        <v>4362</v>
      </c>
      <c r="I24451" t="s">
        <v>79</v>
      </c>
      <c r="J24451">
        <v>245.52</v>
      </c>
      <c r="K24451">
        <v>47.52</v>
      </c>
      <c r="L24451">
        <v>11601</v>
      </c>
      <c r="M24451" t="s">
        <v>535</v>
      </c>
      <c r="N24451" t="str">
        <f>"SUP 14233   "</f>
        <v xml:space="preserve">SUP 14233   </v>
      </c>
      <c r="O24451">
        <v>230308</v>
      </c>
    </row>
    <row r="24452" spans="1:15" x14ac:dyDescent="0.25">
      <c r="A24452" t="s">
        <v>16</v>
      </c>
      <c r="B24452" t="s">
        <v>3221</v>
      </c>
      <c r="C24452">
        <v>2928</v>
      </c>
      <c r="D24452" t="s">
        <v>966</v>
      </c>
      <c r="E24452" t="s">
        <v>967</v>
      </c>
      <c r="F24452">
        <v>250</v>
      </c>
      <c r="G24452">
        <v>230228</v>
      </c>
      <c r="H24452">
        <v>4362</v>
      </c>
      <c r="I24452" t="s">
        <v>79</v>
      </c>
      <c r="J24452">
        <v>310</v>
      </c>
      <c r="K24452">
        <v>60</v>
      </c>
      <c r="L24452">
        <v>11601</v>
      </c>
      <c r="M24452" t="s">
        <v>535</v>
      </c>
      <c r="N24452" t="str">
        <f>"TIK 805     "</f>
        <v xml:space="preserve">TIK 805     </v>
      </c>
      <c r="O24452">
        <v>230308</v>
      </c>
    </row>
    <row r="24453" spans="1:15" x14ac:dyDescent="0.25">
      <c r="A24453" t="s">
        <v>16</v>
      </c>
      <c r="B24453" t="s">
        <v>3221</v>
      </c>
      <c r="C24453">
        <v>2933</v>
      </c>
      <c r="D24453" t="s">
        <v>966</v>
      </c>
      <c r="E24453" t="s">
        <v>967</v>
      </c>
      <c r="F24453">
        <v>813.89</v>
      </c>
      <c r="G24453">
        <v>230228</v>
      </c>
      <c r="H24453">
        <v>4362</v>
      </c>
      <c r="I24453" t="s">
        <v>79</v>
      </c>
      <c r="J24453">
        <v>1009.22</v>
      </c>
      <c r="K24453">
        <v>195.33</v>
      </c>
      <c r="L24453">
        <v>11601</v>
      </c>
      <c r="M24453" t="s">
        <v>535</v>
      </c>
      <c r="N24453" t="str">
        <f>"VL 1057     "</f>
        <v xml:space="preserve">VL 1057     </v>
      </c>
      <c r="O24453">
        <v>230308</v>
      </c>
    </row>
    <row r="24454" spans="1:15" x14ac:dyDescent="0.25">
      <c r="A24454" t="s">
        <v>16</v>
      </c>
      <c r="B24454" t="s">
        <v>3221</v>
      </c>
      <c r="C24454">
        <v>2934</v>
      </c>
      <c r="D24454" t="s">
        <v>966</v>
      </c>
      <c r="E24454" t="s">
        <v>967</v>
      </c>
      <c r="F24454">
        <v>256.2</v>
      </c>
      <c r="G24454">
        <v>230228</v>
      </c>
      <c r="H24454">
        <v>4362</v>
      </c>
      <c r="I24454" t="s">
        <v>79</v>
      </c>
      <c r="J24454">
        <v>317.69</v>
      </c>
      <c r="K24454">
        <v>61.49</v>
      </c>
      <c r="L24454">
        <v>11601</v>
      </c>
      <c r="M24454" t="s">
        <v>535</v>
      </c>
      <c r="N24454" t="str">
        <f>"LA 1230     "</f>
        <v xml:space="preserve">LA 1230     </v>
      </c>
      <c r="O24454">
        <v>230308</v>
      </c>
    </row>
    <row r="24455" spans="1:15" x14ac:dyDescent="0.25">
      <c r="A24455" t="s">
        <v>16</v>
      </c>
      <c r="B24455" t="s">
        <v>3221</v>
      </c>
      <c r="C24455">
        <v>4502</v>
      </c>
      <c r="D24455" t="s">
        <v>966</v>
      </c>
      <c r="E24455" t="s">
        <v>967</v>
      </c>
      <c r="F24455">
        <v>821.85</v>
      </c>
      <c r="G24455">
        <v>230331</v>
      </c>
      <c r="H24455">
        <v>4362</v>
      </c>
      <c r="I24455" t="s">
        <v>79</v>
      </c>
      <c r="J24455">
        <v>1019.1</v>
      </c>
      <c r="K24455">
        <v>197.25</v>
      </c>
      <c r="L24455">
        <v>11601</v>
      </c>
      <c r="M24455" t="s">
        <v>535</v>
      </c>
      <c r="N24455" t="str">
        <f>"VL 1108     "</f>
        <v xml:space="preserve">VL 1108     </v>
      </c>
      <c r="O24455">
        <v>230406</v>
      </c>
    </row>
    <row r="24456" spans="1:15" x14ac:dyDescent="0.25">
      <c r="A24456" t="s">
        <v>16</v>
      </c>
      <c r="B24456" t="s">
        <v>3221</v>
      </c>
      <c r="C24456">
        <v>4503</v>
      </c>
      <c r="D24456" t="s">
        <v>966</v>
      </c>
      <c r="E24456" t="s">
        <v>967</v>
      </c>
      <c r="F24456">
        <v>245</v>
      </c>
      <c r="G24456">
        <v>230331</v>
      </c>
      <c r="H24456">
        <v>4362</v>
      </c>
      <c r="I24456" t="s">
        <v>79</v>
      </c>
      <c r="J24456">
        <v>303.8</v>
      </c>
      <c r="K24456">
        <v>58.8</v>
      </c>
      <c r="L24456">
        <v>11601</v>
      </c>
      <c r="M24456" t="s">
        <v>535</v>
      </c>
      <c r="N24456" t="str">
        <f>"LA 1265     "</f>
        <v xml:space="preserve">LA 1265     </v>
      </c>
      <c r="O24456">
        <v>230406</v>
      </c>
    </row>
    <row r="24457" spans="1:15" x14ac:dyDescent="0.25">
      <c r="A24457" t="s">
        <v>16</v>
      </c>
      <c r="B24457" t="s">
        <v>3221</v>
      </c>
      <c r="C24457">
        <v>6225</v>
      </c>
      <c r="D24457" t="s">
        <v>966</v>
      </c>
      <c r="E24457" t="s">
        <v>967</v>
      </c>
      <c r="F24457">
        <v>329</v>
      </c>
      <c r="G24457">
        <v>230430</v>
      </c>
      <c r="H24457">
        <v>4362</v>
      </c>
      <c r="I24457" t="s">
        <v>79</v>
      </c>
      <c r="J24457">
        <v>407.96</v>
      </c>
      <c r="K24457">
        <v>78.959999999999994</v>
      </c>
      <c r="L24457">
        <v>11601</v>
      </c>
      <c r="M24457" t="s">
        <v>535</v>
      </c>
      <c r="N24457" t="str">
        <f>"LA 1283     "</f>
        <v xml:space="preserve">LA 1283     </v>
      </c>
      <c r="O24457">
        <v>230509</v>
      </c>
    </row>
    <row r="24458" spans="1:15" x14ac:dyDescent="0.25">
      <c r="A24458" t="s">
        <v>16</v>
      </c>
      <c r="B24458" t="s">
        <v>3221</v>
      </c>
      <c r="C24458">
        <v>6235</v>
      </c>
      <c r="D24458" t="s">
        <v>966</v>
      </c>
      <c r="E24458" t="s">
        <v>967</v>
      </c>
      <c r="F24458">
        <v>811.56</v>
      </c>
      <c r="G24458">
        <v>230430</v>
      </c>
      <c r="H24458">
        <v>4362</v>
      </c>
      <c r="I24458" t="s">
        <v>79</v>
      </c>
      <c r="J24458">
        <v>1006.33</v>
      </c>
      <c r="K24458">
        <v>194.77</v>
      </c>
      <c r="L24458">
        <v>11601</v>
      </c>
      <c r="M24458" t="s">
        <v>535</v>
      </c>
      <c r="N24458" t="str">
        <f>"VL 1152     "</f>
        <v xml:space="preserve">VL 1152     </v>
      </c>
      <c r="O24458">
        <v>230509</v>
      </c>
    </row>
    <row r="24459" spans="1:15" x14ac:dyDescent="0.25">
      <c r="A24459" t="s">
        <v>16</v>
      </c>
      <c r="B24459" t="s">
        <v>3221</v>
      </c>
      <c r="C24459">
        <v>8813</v>
      </c>
      <c r="D24459" t="s">
        <v>966</v>
      </c>
      <c r="E24459" t="s">
        <v>967</v>
      </c>
      <c r="F24459">
        <v>854.38</v>
      </c>
      <c r="G24459">
        <v>230531</v>
      </c>
      <c r="H24459">
        <v>4362</v>
      </c>
      <c r="I24459" t="s">
        <v>79</v>
      </c>
      <c r="J24459">
        <v>1059.43</v>
      </c>
      <c r="K24459">
        <v>205.05</v>
      </c>
      <c r="L24459">
        <v>11601</v>
      </c>
      <c r="M24459" t="s">
        <v>535</v>
      </c>
      <c r="N24459" t="str">
        <f>"VL 1197     "</f>
        <v xml:space="preserve">VL 1197     </v>
      </c>
      <c r="O24459">
        <v>230616</v>
      </c>
    </row>
    <row r="24460" spans="1:15" x14ac:dyDescent="0.25">
      <c r="A24460" t="s">
        <v>16</v>
      </c>
      <c r="B24460" t="s">
        <v>3221</v>
      </c>
      <c r="C24460">
        <v>8814</v>
      </c>
      <c r="D24460" t="s">
        <v>966</v>
      </c>
      <c r="E24460" t="s">
        <v>967</v>
      </c>
      <c r="F24460">
        <v>385</v>
      </c>
      <c r="G24460">
        <v>230531</v>
      </c>
      <c r="H24460">
        <v>4362</v>
      </c>
      <c r="I24460" t="s">
        <v>79</v>
      </c>
      <c r="J24460">
        <v>477.4</v>
      </c>
      <c r="K24460">
        <v>92.4</v>
      </c>
      <c r="L24460">
        <v>11601</v>
      </c>
      <c r="M24460" t="s">
        <v>535</v>
      </c>
      <c r="N24460" t="str">
        <f>"LA 1311     "</f>
        <v xml:space="preserve">LA 1311     </v>
      </c>
      <c r="O24460">
        <v>230616</v>
      </c>
    </row>
    <row r="24461" spans="1:15" x14ac:dyDescent="0.25">
      <c r="A24461" t="s">
        <v>16</v>
      </c>
      <c r="B24461" t="s">
        <v>3221</v>
      </c>
      <c r="C24461">
        <v>9323</v>
      </c>
      <c r="D24461" t="s">
        <v>966</v>
      </c>
      <c r="E24461" t="s">
        <v>967</v>
      </c>
      <c r="F24461">
        <v>1173.72</v>
      </c>
      <c r="G24461">
        <v>230630</v>
      </c>
      <c r="H24461">
        <v>4362</v>
      </c>
      <c r="I24461" t="s">
        <v>79</v>
      </c>
      <c r="J24461">
        <v>1455.41</v>
      </c>
      <c r="K24461">
        <v>281.69</v>
      </c>
      <c r="L24461">
        <v>11601</v>
      </c>
      <c r="M24461" t="s">
        <v>535</v>
      </c>
      <c r="N24461" t="str">
        <f>"VL 1240     "</f>
        <v xml:space="preserve">VL 1240     </v>
      </c>
      <c r="O24461">
        <v>230706</v>
      </c>
    </row>
    <row r="24462" spans="1:15" x14ac:dyDescent="0.25">
      <c r="A24462" t="s">
        <v>16</v>
      </c>
      <c r="B24462" t="s">
        <v>3221</v>
      </c>
      <c r="C24462">
        <v>9325</v>
      </c>
      <c r="D24462" t="s">
        <v>966</v>
      </c>
      <c r="E24462" t="s">
        <v>967</v>
      </c>
      <c r="F24462">
        <v>385</v>
      </c>
      <c r="G24462">
        <v>230630</v>
      </c>
      <c r="H24462">
        <v>4362</v>
      </c>
      <c r="I24462" t="s">
        <v>79</v>
      </c>
      <c r="J24462">
        <v>477.4</v>
      </c>
      <c r="K24462">
        <v>92.4</v>
      </c>
      <c r="L24462">
        <v>11601</v>
      </c>
      <c r="M24462" t="s">
        <v>535</v>
      </c>
      <c r="N24462" t="str">
        <f>"LA 1337     "</f>
        <v xml:space="preserve">LA 1337     </v>
      </c>
      <c r="O24462">
        <v>230706</v>
      </c>
    </row>
    <row r="24463" spans="1:15" x14ac:dyDescent="0.25">
      <c r="A24463" t="s">
        <v>16</v>
      </c>
      <c r="B24463" t="s">
        <v>3221</v>
      </c>
      <c r="C24463">
        <v>9421</v>
      </c>
      <c r="D24463" t="s">
        <v>966</v>
      </c>
      <c r="E24463" t="s">
        <v>967</v>
      </c>
      <c r="F24463">
        <v>-385</v>
      </c>
      <c r="G24463">
        <v>230630</v>
      </c>
      <c r="H24463">
        <v>4362</v>
      </c>
      <c r="I24463" t="s">
        <v>79</v>
      </c>
      <c r="J24463">
        <v>-477.4</v>
      </c>
      <c r="K24463">
        <v>-92.4</v>
      </c>
      <c r="L24463">
        <v>11601</v>
      </c>
      <c r="M24463" t="s">
        <v>535</v>
      </c>
      <c r="N24463" t="str">
        <f>"HL 124      "</f>
        <v xml:space="preserve">HL 124      </v>
      </c>
      <c r="O24463">
        <v>230710</v>
      </c>
    </row>
    <row r="24464" spans="1:15" x14ac:dyDescent="0.25">
      <c r="A24464" t="s">
        <v>16</v>
      </c>
      <c r="B24464" t="s">
        <v>3221</v>
      </c>
      <c r="C24464">
        <v>9430</v>
      </c>
      <c r="D24464" t="s">
        <v>966</v>
      </c>
      <c r="E24464" t="s">
        <v>967</v>
      </c>
      <c r="F24464">
        <v>298.2</v>
      </c>
      <c r="G24464">
        <v>230630</v>
      </c>
      <c r="H24464">
        <v>4362</v>
      </c>
      <c r="I24464" t="s">
        <v>79</v>
      </c>
      <c r="J24464">
        <v>369.77</v>
      </c>
      <c r="K24464">
        <v>71.569999999999993</v>
      </c>
      <c r="L24464">
        <v>11601</v>
      </c>
      <c r="M24464" t="s">
        <v>535</v>
      </c>
      <c r="N24464" t="str">
        <f>"LA 1351     "</f>
        <v xml:space="preserve">LA 1351     </v>
      </c>
      <c r="O24464">
        <v>230711</v>
      </c>
    </row>
    <row r="24465" spans="1:15" x14ac:dyDescent="0.25">
      <c r="A24465" t="s">
        <v>16</v>
      </c>
      <c r="B24465" t="s">
        <v>3221</v>
      </c>
      <c r="C24465">
        <v>9554</v>
      </c>
      <c r="D24465" t="s">
        <v>966</v>
      </c>
      <c r="E24465" t="s">
        <v>967</v>
      </c>
      <c r="F24465">
        <v>198</v>
      </c>
      <c r="G24465">
        <v>230630</v>
      </c>
      <c r="H24465">
        <v>4362</v>
      </c>
      <c r="I24465" t="s">
        <v>79</v>
      </c>
      <c r="J24465">
        <v>245.52</v>
      </c>
      <c r="K24465">
        <v>47.52</v>
      </c>
      <c r="L24465">
        <v>11601</v>
      </c>
      <c r="M24465" t="s">
        <v>535</v>
      </c>
      <c r="N24465" t="str">
        <f>"SUP 14789   "</f>
        <v xml:space="preserve">SUP 14789   </v>
      </c>
      <c r="O24465">
        <v>230717</v>
      </c>
    </row>
    <row r="24466" spans="1:15" x14ac:dyDescent="0.25">
      <c r="A24466" t="s">
        <v>16</v>
      </c>
      <c r="B24466" t="s">
        <v>3221</v>
      </c>
      <c r="C24466">
        <v>10061</v>
      </c>
      <c r="D24466" t="s">
        <v>966</v>
      </c>
      <c r="E24466" t="s">
        <v>967</v>
      </c>
      <c r="F24466">
        <v>569.05999999999995</v>
      </c>
      <c r="G24466">
        <v>230731</v>
      </c>
      <c r="H24466">
        <v>4362</v>
      </c>
      <c r="I24466" t="s">
        <v>79</v>
      </c>
      <c r="J24466">
        <v>705.63</v>
      </c>
      <c r="K24466">
        <v>136.57</v>
      </c>
      <c r="L24466">
        <v>11601</v>
      </c>
      <c r="M24466" t="s">
        <v>535</v>
      </c>
      <c r="N24466" t="str">
        <f>"VL 1282     "</f>
        <v xml:space="preserve">VL 1282     </v>
      </c>
      <c r="O24466">
        <v>230808</v>
      </c>
    </row>
    <row r="24467" spans="1:15" x14ac:dyDescent="0.25">
      <c r="A24467" t="s">
        <v>16</v>
      </c>
      <c r="B24467" t="s">
        <v>3221</v>
      </c>
      <c r="C24467">
        <v>10095</v>
      </c>
      <c r="D24467" t="s">
        <v>966</v>
      </c>
      <c r="E24467" t="s">
        <v>967</v>
      </c>
      <c r="F24467">
        <v>53.2</v>
      </c>
      <c r="G24467">
        <v>230731</v>
      </c>
      <c r="H24467">
        <v>4362</v>
      </c>
      <c r="I24467" t="s">
        <v>79</v>
      </c>
      <c r="J24467">
        <v>65.97</v>
      </c>
      <c r="K24467">
        <v>12.77</v>
      </c>
      <c r="L24467">
        <v>11601</v>
      </c>
      <c r="M24467" t="s">
        <v>535</v>
      </c>
      <c r="N24467" t="str">
        <f>"LA 1363     "</f>
        <v xml:space="preserve">LA 1363     </v>
      </c>
      <c r="O24467">
        <v>230808</v>
      </c>
    </row>
    <row r="24468" spans="1:15" x14ac:dyDescent="0.25">
      <c r="A24468" t="s">
        <v>16</v>
      </c>
      <c r="B24468" t="s">
        <v>3221</v>
      </c>
      <c r="C24468">
        <v>12148</v>
      </c>
      <c r="D24468" t="s">
        <v>966</v>
      </c>
      <c r="E24468" t="s">
        <v>967</v>
      </c>
      <c r="F24468">
        <v>542.4</v>
      </c>
      <c r="G24468">
        <v>230831</v>
      </c>
      <c r="H24468">
        <v>4362</v>
      </c>
      <c r="I24468" t="s">
        <v>79</v>
      </c>
      <c r="J24468">
        <v>672.57</v>
      </c>
      <c r="K24468">
        <v>130.16999999999999</v>
      </c>
      <c r="L24468">
        <v>11601</v>
      </c>
      <c r="M24468" t="s">
        <v>535</v>
      </c>
      <c r="N24468" t="str">
        <f>"VL 1316     "</f>
        <v xml:space="preserve">VL 1316     </v>
      </c>
      <c r="O24468">
        <v>230914</v>
      </c>
    </row>
    <row r="24469" spans="1:15" x14ac:dyDescent="0.25">
      <c r="A24469" t="s">
        <v>16</v>
      </c>
      <c r="B24469" t="s">
        <v>3221</v>
      </c>
      <c r="C24469">
        <v>12149</v>
      </c>
      <c r="D24469" t="s">
        <v>966</v>
      </c>
      <c r="E24469" t="s">
        <v>967</v>
      </c>
      <c r="F24469">
        <v>237.1</v>
      </c>
      <c r="G24469">
        <v>230831</v>
      </c>
      <c r="H24469">
        <v>4362</v>
      </c>
      <c r="I24469" t="s">
        <v>79</v>
      </c>
      <c r="J24469">
        <v>294</v>
      </c>
      <c r="K24469">
        <v>56.9</v>
      </c>
      <c r="L24469">
        <v>11601</v>
      </c>
      <c r="M24469" t="s">
        <v>535</v>
      </c>
      <c r="N24469" t="str">
        <f>"VL 1347     "</f>
        <v xml:space="preserve">VL 1347     </v>
      </c>
      <c r="O24469">
        <v>230914</v>
      </c>
    </row>
    <row r="24470" spans="1:15" x14ac:dyDescent="0.25">
      <c r="A24470" t="s">
        <v>16</v>
      </c>
      <c r="B24470" t="s">
        <v>3221</v>
      </c>
      <c r="C24470">
        <v>12153</v>
      </c>
      <c r="D24470" t="s">
        <v>966</v>
      </c>
      <c r="E24470" t="s">
        <v>967</v>
      </c>
      <c r="F24470">
        <v>120.4</v>
      </c>
      <c r="G24470">
        <v>230831</v>
      </c>
      <c r="H24470">
        <v>4362</v>
      </c>
      <c r="I24470" t="s">
        <v>79</v>
      </c>
      <c r="J24470">
        <v>149.30000000000001</v>
      </c>
      <c r="K24470">
        <v>28.9</v>
      </c>
      <c r="L24470">
        <v>11601</v>
      </c>
      <c r="M24470" t="s">
        <v>535</v>
      </c>
      <c r="N24470" t="str">
        <f>"LA 1384     "</f>
        <v xml:space="preserve">LA 1384     </v>
      </c>
      <c r="O24470">
        <v>230914</v>
      </c>
    </row>
    <row r="24471" spans="1:15" x14ac:dyDescent="0.25">
      <c r="A24471" t="s">
        <v>16</v>
      </c>
      <c r="B24471" t="s">
        <v>3221</v>
      </c>
      <c r="C24471">
        <v>13585</v>
      </c>
      <c r="D24471" t="s">
        <v>966</v>
      </c>
      <c r="E24471" t="s">
        <v>967</v>
      </c>
      <c r="F24471">
        <v>788.5</v>
      </c>
      <c r="G24471">
        <v>230930</v>
      </c>
      <c r="H24471">
        <v>4362</v>
      </c>
      <c r="I24471" t="s">
        <v>79</v>
      </c>
      <c r="J24471">
        <v>977.74</v>
      </c>
      <c r="K24471">
        <v>189.24</v>
      </c>
      <c r="L24471">
        <v>11601</v>
      </c>
      <c r="M24471" t="s">
        <v>535</v>
      </c>
      <c r="N24471" t="str">
        <f>"VL 1389     "</f>
        <v xml:space="preserve">VL 1389     </v>
      </c>
      <c r="O24471">
        <v>231011</v>
      </c>
    </row>
    <row r="24472" spans="1:15" x14ac:dyDescent="0.25">
      <c r="A24472" t="s">
        <v>16</v>
      </c>
      <c r="B24472" t="s">
        <v>3221</v>
      </c>
      <c r="C24472">
        <v>13587</v>
      </c>
      <c r="D24472" t="s">
        <v>966</v>
      </c>
      <c r="E24472" t="s">
        <v>967</v>
      </c>
      <c r="F24472">
        <v>257.60000000000002</v>
      </c>
      <c r="G24472">
        <v>230930</v>
      </c>
      <c r="H24472">
        <v>4362</v>
      </c>
      <c r="I24472" t="s">
        <v>79</v>
      </c>
      <c r="J24472">
        <v>319.42</v>
      </c>
      <c r="K24472">
        <v>61.82</v>
      </c>
      <c r="L24472">
        <v>11601</v>
      </c>
      <c r="M24472" t="s">
        <v>535</v>
      </c>
      <c r="N24472" t="str">
        <f>"LA 1410     "</f>
        <v xml:space="preserve">LA 1410     </v>
      </c>
      <c r="O24472">
        <v>231011</v>
      </c>
    </row>
    <row r="24473" spans="1:15" x14ac:dyDescent="0.25">
      <c r="A24473" t="s">
        <v>16</v>
      </c>
      <c r="B24473" t="s">
        <v>3221</v>
      </c>
      <c r="C24473">
        <v>15322</v>
      </c>
      <c r="D24473" t="s">
        <v>966</v>
      </c>
      <c r="E24473" t="s">
        <v>967</v>
      </c>
      <c r="F24473">
        <v>350</v>
      </c>
      <c r="G24473">
        <v>231031</v>
      </c>
      <c r="H24473">
        <v>4362</v>
      </c>
      <c r="I24473" t="s">
        <v>79</v>
      </c>
      <c r="J24473">
        <v>434</v>
      </c>
      <c r="K24473">
        <v>84</v>
      </c>
      <c r="L24473">
        <v>11601</v>
      </c>
      <c r="M24473" t="s">
        <v>535</v>
      </c>
      <c r="N24473" t="str">
        <f>"LA 1428     "</f>
        <v xml:space="preserve">LA 1428     </v>
      </c>
      <c r="O24473">
        <v>231113</v>
      </c>
    </row>
    <row r="24474" spans="1:15" x14ac:dyDescent="0.25">
      <c r="A24474" t="s">
        <v>16</v>
      </c>
      <c r="B24474" t="s">
        <v>3221</v>
      </c>
      <c r="C24474">
        <v>15351</v>
      </c>
      <c r="D24474" t="s">
        <v>966</v>
      </c>
      <c r="E24474" t="s">
        <v>967</v>
      </c>
      <c r="F24474">
        <v>820.12</v>
      </c>
      <c r="G24474">
        <v>231031</v>
      </c>
      <c r="H24474">
        <v>4362</v>
      </c>
      <c r="I24474" t="s">
        <v>79</v>
      </c>
      <c r="J24474">
        <v>1016.95</v>
      </c>
      <c r="K24474">
        <v>196.83</v>
      </c>
      <c r="L24474">
        <v>11601</v>
      </c>
      <c r="M24474" t="s">
        <v>535</v>
      </c>
      <c r="N24474" t="str">
        <f>"VL 1435     "</f>
        <v xml:space="preserve">VL 1435     </v>
      </c>
      <c r="O24474">
        <v>231113</v>
      </c>
    </row>
    <row r="24475" spans="1:15" x14ac:dyDescent="0.25">
      <c r="A24475" t="s">
        <v>16</v>
      </c>
      <c r="B24475" t="s">
        <v>3221</v>
      </c>
      <c r="C24475">
        <v>16894</v>
      </c>
      <c r="D24475" t="s">
        <v>966</v>
      </c>
      <c r="E24475" t="s">
        <v>967</v>
      </c>
      <c r="F24475">
        <v>818.97</v>
      </c>
      <c r="G24475">
        <v>231130</v>
      </c>
      <c r="H24475">
        <v>4362</v>
      </c>
      <c r="I24475" t="s">
        <v>79</v>
      </c>
      <c r="J24475">
        <v>1015.52</v>
      </c>
      <c r="K24475">
        <v>196.55</v>
      </c>
      <c r="L24475">
        <v>11601</v>
      </c>
      <c r="M24475" t="s">
        <v>535</v>
      </c>
      <c r="N24475" t="str">
        <f>"VL 1477     "</f>
        <v xml:space="preserve">VL 1477     </v>
      </c>
      <c r="O24475">
        <v>231211</v>
      </c>
    </row>
    <row r="24476" spans="1:15" x14ac:dyDescent="0.25">
      <c r="A24476" t="s">
        <v>16</v>
      </c>
      <c r="B24476" t="s">
        <v>3221</v>
      </c>
      <c r="C24476">
        <v>17023</v>
      </c>
      <c r="D24476" t="s">
        <v>966</v>
      </c>
      <c r="E24476" t="s">
        <v>967</v>
      </c>
      <c r="F24476">
        <v>303.8</v>
      </c>
      <c r="G24476">
        <v>231130</v>
      </c>
      <c r="H24476">
        <v>4362</v>
      </c>
      <c r="I24476" t="s">
        <v>79</v>
      </c>
      <c r="J24476">
        <v>376.71</v>
      </c>
      <c r="K24476">
        <v>72.91</v>
      </c>
      <c r="L24476">
        <v>11601</v>
      </c>
      <c r="M24476" t="s">
        <v>535</v>
      </c>
      <c r="N24476" t="str">
        <f>"LA 1450     "</f>
        <v xml:space="preserve">LA 1450     </v>
      </c>
      <c r="O24476">
        <v>231211</v>
      </c>
    </row>
    <row r="24477" spans="1:15" x14ac:dyDescent="0.25">
      <c r="A24477" t="s">
        <v>16</v>
      </c>
      <c r="B24477" t="s">
        <v>3221</v>
      </c>
      <c r="C24477">
        <v>18605</v>
      </c>
      <c r="D24477" t="s">
        <v>966</v>
      </c>
      <c r="E24477" t="s">
        <v>967</v>
      </c>
      <c r="F24477">
        <v>424.2</v>
      </c>
      <c r="G24477">
        <v>231231</v>
      </c>
      <c r="H24477">
        <v>4362</v>
      </c>
      <c r="I24477" t="s">
        <v>79</v>
      </c>
      <c r="J24477">
        <v>526.01</v>
      </c>
      <c r="K24477">
        <v>101.81</v>
      </c>
      <c r="L24477">
        <v>11601</v>
      </c>
      <c r="M24477" t="s">
        <v>535</v>
      </c>
      <c r="N24477" t="str">
        <f>"LA 1608     "</f>
        <v xml:space="preserve">LA 1608     </v>
      </c>
      <c r="O24477">
        <v>240104</v>
      </c>
    </row>
    <row r="24478" spans="1:15" x14ac:dyDescent="0.25">
      <c r="A24478" t="s">
        <v>16</v>
      </c>
      <c r="B24478" t="s">
        <v>3221</v>
      </c>
      <c r="C24478">
        <v>18610</v>
      </c>
      <c r="D24478" t="s">
        <v>966</v>
      </c>
      <c r="E24478" t="s">
        <v>967</v>
      </c>
      <c r="F24478">
        <v>1069.0999999999999</v>
      </c>
      <c r="G24478">
        <v>231231</v>
      </c>
      <c r="H24478">
        <v>4362</v>
      </c>
      <c r="I24478" t="s">
        <v>79</v>
      </c>
      <c r="J24478">
        <v>1325.69</v>
      </c>
      <c r="K24478">
        <v>256.58999999999997</v>
      </c>
      <c r="L24478">
        <v>11601</v>
      </c>
      <c r="M24478" t="s">
        <v>535</v>
      </c>
      <c r="N24478" t="str">
        <f>"VL 1527     "</f>
        <v xml:space="preserve">VL 1527     </v>
      </c>
      <c r="O24478">
        <v>240104</v>
      </c>
    </row>
    <row r="24479" spans="1:15" x14ac:dyDescent="0.25">
      <c r="A24479" t="s">
        <v>16</v>
      </c>
      <c r="B24479" t="s">
        <v>3221</v>
      </c>
      <c r="C24479">
        <v>5948</v>
      </c>
      <c r="D24479" t="s">
        <v>966</v>
      </c>
      <c r="E24479" t="s">
        <v>967</v>
      </c>
      <c r="F24479">
        <v>598</v>
      </c>
      <c r="G24479">
        <v>230430</v>
      </c>
      <c r="H24479">
        <v>4441</v>
      </c>
      <c r="I24479" t="s">
        <v>109</v>
      </c>
      <c r="J24479">
        <v>741.52</v>
      </c>
      <c r="K24479">
        <v>143.52000000000001</v>
      </c>
      <c r="L24479">
        <v>11101</v>
      </c>
      <c r="M24479" t="s">
        <v>110</v>
      </c>
      <c r="N24479" t="str">
        <f>"LYY12 341   "</f>
        <v xml:space="preserve">LYY12 341   </v>
      </c>
      <c r="O24479">
        <v>230504</v>
      </c>
    </row>
    <row r="24480" spans="1:15" x14ac:dyDescent="0.25">
      <c r="A24480" t="s">
        <v>16</v>
      </c>
      <c r="B24480" t="s">
        <v>3221</v>
      </c>
      <c r="C24480">
        <v>8676</v>
      </c>
      <c r="D24480" t="s">
        <v>966</v>
      </c>
      <c r="E24480" t="s">
        <v>967</v>
      </c>
      <c r="F24480">
        <v>224.25</v>
      </c>
      <c r="G24480">
        <v>230531</v>
      </c>
      <c r="H24480">
        <v>4441</v>
      </c>
      <c r="I24480" t="s">
        <v>109</v>
      </c>
      <c r="J24480">
        <v>278.07</v>
      </c>
      <c r="K24480">
        <v>53.82</v>
      </c>
      <c r="L24480">
        <v>11601</v>
      </c>
      <c r="M24480" t="s">
        <v>535</v>
      </c>
      <c r="N24480" t="str">
        <f>"LYY12 373   "</f>
        <v xml:space="preserve">LYY12 373   </v>
      </c>
      <c r="O24480">
        <v>230613</v>
      </c>
    </row>
    <row r="24481" spans="1:15" x14ac:dyDescent="0.25">
      <c r="A24481" t="s">
        <v>16</v>
      </c>
      <c r="B24481" t="s">
        <v>3221</v>
      </c>
      <c r="C24481">
        <v>12242</v>
      </c>
      <c r="D24481" t="s">
        <v>966</v>
      </c>
      <c r="E24481" t="s">
        <v>967</v>
      </c>
      <c r="F24481">
        <v>124.58</v>
      </c>
      <c r="G24481">
        <v>230831</v>
      </c>
      <c r="H24481">
        <v>4441</v>
      </c>
      <c r="I24481" t="s">
        <v>109</v>
      </c>
      <c r="J24481">
        <v>154.47999999999999</v>
      </c>
      <c r="K24481">
        <v>29.9</v>
      </c>
      <c r="L24481">
        <v>11601</v>
      </c>
      <c r="M24481" t="s">
        <v>535</v>
      </c>
      <c r="N24481" t="str">
        <f>"LYY12 419   "</f>
        <v xml:space="preserve">LYY12 419   </v>
      </c>
      <c r="O24481">
        <v>230918</v>
      </c>
    </row>
    <row r="24482" spans="1:15" x14ac:dyDescent="0.25">
      <c r="A24482" t="s">
        <v>16</v>
      </c>
      <c r="B24482" t="s">
        <v>3221</v>
      </c>
      <c r="C24482">
        <v>13493</v>
      </c>
      <c r="D24482" t="s">
        <v>966</v>
      </c>
      <c r="E24482" t="s">
        <v>967</v>
      </c>
      <c r="F24482">
        <v>233.1</v>
      </c>
      <c r="G24482">
        <v>230930</v>
      </c>
      <c r="H24482">
        <v>4441</v>
      </c>
      <c r="I24482" t="s">
        <v>109</v>
      </c>
      <c r="J24482">
        <v>289.04000000000002</v>
      </c>
      <c r="K24482">
        <v>55.94</v>
      </c>
      <c r="L24482">
        <v>11101</v>
      </c>
      <c r="M24482" t="s">
        <v>110</v>
      </c>
      <c r="N24482" t="str">
        <f>"LYY 2356    "</f>
        <v xml:space="preserve">LYY 2356    </v>
      </c>
      <c r="O24482">
        <v>231010</v>
      </c>
    </row>
    <row r="24483" spans="1:15" x14ac:dyDescent="0.25">
      <c r="A24483" t="s">
        <v>16</v>
      </c>
      <c r="B24483" t="s">
        <v>3221</v>
      </c>
      <c r="C24483">
        <v>15390</v>
      </c>
      <c r="D24483" t="s">
        <v>966</v>
      </c>
      <c r="E24483" t="s">
        <v>967</v>
      </c>
      <c r="F24483">
        <v>396</v>
      </c>
      <c r="G24483">
        <v>231031</v>
      </c>
      <c r="H24483">
        <v>4441</v>
      </c>
      <c r="I24483" t="s">
        <v>109</v>
      </c>
      <c r="J24483">
        <v>491.04</v>
      </c>
      <c r="K24483">
        <v>95.04</v>
      </c>
      <c r="L24483">
        <v>11101</v>
      </c>
      <c r="M24483" t="s">
        <v>110</v>
      </c>
      <c r="N24483" t="str">
        <f>"SUP 15148   "</f>
        <v xml:space="preserve">SUP 15148   </v>
      </c>
      <c r="O24483">
        <v>231113</v>
      </c>
    </row>
    <row r="24484" spans="1:15" x14ac:dyDescent="0.25">
      <c r="A24484" t="s">
        <v>16</v>
      </c>
      <c r="B24484" t="s">
        <v>3221</v>
      </c>
      <c r="C24484">
        <v>18597</v>
      </c>
      <c r="D24484" t="s">
        <v>966</v>
      </c>
      <c r="E24484" t="s">
        <v>967</v>
      </c>
      <c r="F24484">
        <v>220</v>
      </c>
      <c r="G24484">
        <v>231231</v>
      </c>
      <c r="H24484">
        <v>4441</v>
      </c>
      <c r="I24484" t="s">
        <v>109</v>
      </c>
      <c r="J24484">
        <v>272.8</v>
      </c>
      <c r="K24484">
        <v>52.8</v>
      </c>
      <c r="L24484">
        <v>11601</v>
      </c>
      <c r="M24484" t="s">
        <v>535</v>
      </c>
      <c r="N24484" t="str">
        <f>"LYY 2414    "</f>
        <v xml:space="preserve">LYY 2414    </v>
      </c>
      <c r="O24484">
        <v>240104</v>
      </c>
    </row>
    <row r="24485" spans="1:15" x14ac:dyDescent="0.25">
      <c r="A24485" t="s">
        <v>16</v>
      </c>
      <c r="B24485" t="s">
        <v>3221</v>
      </c>
      <c r="C24485">
        <v>1576</v>
      </c>
      <c r="D24485" t="s">
        <v>1088</v>
      </c>
      <c r="E24485" t="s">
        <v>1089</v>
      </c>
      <c r="F24485">
        <v>16617.89</v>
      </c>
      <c r="G24485">
        <v>230131</v>
      </c>
      <c r="H24485">
        <v>4343</v>
      </c>
      <c r="I24485" t="s">
        <v>91</v>
      </c>
      <c r="J24485">
        <v>20606.18</v>
      </c>
      <c r="K24485">
        <v>3988.29</v>
      </c>
      <c r="L24485">
        <v>11801</v>
      </c>
      <c r="M24485" t="s">
        <v>92</v>
      </c>
      <c r="N24485" t="str">
        <f>"8172209     "</f>
        <v xml:space="preserve">8172209     </v>
      </c>
      <c r="O24485">
        <v>230209</v>
      </c>
    </row>
    <row r="24486" spans="1:15" x14ac:dyDescent="0.25">
      <c r="A24486" t="s">
        <v>16</v>
      </c>
      <c r="B24486" t="s">
        <v>3221</v>
      </c>
      <c r="C24486">
        <v>2836</v>
      </c>
      <c r="D24486" t="s">
        <v>1088</v>
      </c>
      <c r="E24486" t="s">
        <v>1089</v>
      </c>
      <c r="F24486">
        <v>216</v>
      </c>
      <c r="G24486">
        <v>230131</v>
      </c>
      <c r="H24486">
        <v>4343</v>
      </c>
      <c r="I24486" t="s">
        <v>91</v>
      </c>
      <c r="J24486">
        <v>267.83999999999997</v>
      </c>
      <c r="K24486">
        <v>51.84</v>
      </c>
      <c r="L24486">
        <v>14971</v>
      </c>
      <c r="M24486" t="s">
        <v>1259</v>
      </c>
      <c r="N24486" t="str">
        <f t="shared" ref="N24486:N24495" si="464">"8172836     "</f>
        <v xml:space="preserve">8172836     </v>
      </c>
      <c r="O24486">
        <v>230308</v>
      </c>
    </row>
    <row r="24487" spans="1:15" x14ac:dyDescent="0.25">
      <c r="A24487" t="s">
        <v>16</v>
      </c>
      <c r="B24487" t="s">
        <v>3221</v>
      </c>
      <c r="C24487">
        <v>2836</v>
      </c>
      <c r="D24487" t="s">
        <v>1088</v>
      </c>
      <c r="E24487" t="s">
        <v>1089</v>
      </c>
      <c r="F24487">
        <v>4.5</v>
      </c>
      <c r="G24487">
        <v>230131</v>
      </c>
      <c r="H24487">
        <v>4343</v>
      </c>
      <c r="I24487" t="s">
        <v>91</v>
      </c>
      <c r="J24487">
        <v>5.58</v>
      </c>
      <c r="K24487">
        <v>1.08</v>
      </c>
      <c r="L24487">
        <v>17972</v>
      </c>
      <c r="M24487" t="s">
        <v>248</v>
      </c>
      <c r="N24487" t="str">
        <f t="shared" si="464"/>
        <v xml:space="preserve">8172836     </v>
      </c>
      <c r="O24487">
        <v>230308</v>
      </c>
    </row>
    <row r="24488" spans="1:15" x14ac:dyDescent="0.25">
      <c r="A24488" t="s">
        <v>16</v>
      </c>
      <c r="B24488" t="s">
        <v>3221</v>
      </c>
      <c r="C24488">
        <v>2836</v>
      </c>
      <c r="D24488" t="s">
        <v>1088</v>
      </c>
      <c r="E24488" t="s">
        <v>1089</v>
      </c>
      <c r="F24488">
        <v>4.5</v>
      </c>
      <c r="G24488">
        <v>230131</v>
      </c>
      <c r="H24488">
        <v>4343</v>
      </c>
      <c r="I24488" t="s">
        <v>91</v>
      </c>
      <c r="J24488">
        <v>5.58</v>
      </c>
      <c r="K24488">
        <v>1.08</v>
      </c>
      <c r="L24488">
        <v>17972</v>
      </c>
      <c r="M24488" t="s">
        <v>248</v>
      </c>
      <c r="N24488" t="str">
        <f t="shared" si="464"/>
        <v xml:space="preserve">8172836     </v>
      </c>
      <c r="O24488">
        <v>230308</v>
      </c>
    </row>
    <row r="24489" spans="1:15" x14ac:dyDescent="0.25">
      <c r="A24489" t="s">
        <v>16</v>
      </c>
      <c r="B24489" t="s">
        <v>3221</v>
      </c>
      <c r="C24489">
        <v>2836</v>
      </c>
      <c r="D24489" t="s">
        <v>1088</v>
      </c>
      <c r="E24489" t="s">
        <v>1089</v>
      </c>
      <c r="F24489">
        <v>4.5</v>
      </c>
      <c r="G24489">
        <v>230131</v>
      </c>
      <c r="H24489">
        <v>4343</v>
      </c>
      <c r="I24489" t="s">
        <v>91</v>
      </c>
      <c r="J24489">
        <v>5.58</v>
      </c>
      <c r="K24489">
        <v>1.08</v>
      </c>
      <c r="L24489">
        <v>17972</v>
      </c>
      <c r="M24489" t="s">
        <v>248</v>
      </c>
      <c r="N24489" t="str">
        <f t="shared" si="464"/>
        <v xml:space="preserve">8172836     </v>
      </c>
      <c r="O24489">
        <v>230308</v>
      </c>
    </row>
    <row r="24490" spans="1:15" x14ac:dyDescent="0.25">
      <c r="A24490" t="s">
        <v>16</v>
      </c>
      <c r="B24490" t="s">
        <v>3221</v>
      </c>
      <c r="C24490">
        <v>2836</v>
      </c>
      <c r="D24490" t="s">
        <v>1088</v>
      </c>
      <c r="E24490" t="s">
        <v>1089</v>
      </c>
      <c r="F24490">
        <v>37.799999999999997</v>
      </c>
      <c r="G24490">
        <v>230131</v>
      </c>
      <c r="H24490">
        <v>4343</v>
      </c>
      <c r="I24490" t="s">
        <v>91</v>
      </c>
      <c r="J24490">
        <v>46.87</v>
      </c>
      <c r="K24490">
        <v>9.07</v>
      </c>
      <c r="L24490">
        <v>17972</v>
      </c>
      <c r="M24490" t="s">
        <v>248</v>
      </c>
      <c r="N24490" t="str">
        <f t="shared" si="464"/>
        <v xml:space="preserve">8172836     </v>
      </c>
      <c r="O24490">
        <v>230308</v>
      </c>
    </row>
    <row r="24491" spans="1:15" x14ac:dyDescent="0.25">
      <c r="A24491" t="s">
        <v>16</v>
      </c>
      <c r="B24491" t="s">
        <v>3221</v>
      </c>
      <c r="C24491">
        <v>2836</v>
      </c>
      <c r="D24491" t="s">
        <v>1088</v>
      </c>
      <c r="E24491" t="s">
        <v>1089</v>
      </c>
      <c r="F24491">
        <v>640.79999999999995</v>
      </c>
      <c r="G24491">
        <v>230131</v>
      </c>
      <c r="H24491">
        <v>4343</v>
      </c>
      <c r="I24491" t="s">
        <v>91</v>
      </c>
      <c r="J24491">
        <v>794.59</v>
      </c>
      <c r="K24491">
        <v>153.79</v>
      </c>
      <c r="L24491">
        <v>18972</v>
      </c>
      <c r="M24491" t="s">
        <v>163</v>
      </c>
      <c r="N24491" t="str">
        <f t="shared" si="464"/>
        <v xml:space="preserve">8172836     </v>
      </c>
      <c r="O24491">
        <v>230308</v>
      </c>
    </row>
    <row r="24492" spans="1:15" x14ac:dyDescent="0.25">
      <c r="A24492" t="s">
        <v>16</v>
      </c>
      <c r="B24492" t="s">
        <v>3221</v>
      </c>
      <c r="C24492">
        <v>2836</v>
      </c>
      <c r="D24492" t="s">
        <v>1088</v>
      </c>
      <c r="E24492" t="s">
        <v>1089</v>
      </c>
      <c r="F24492">
        <v>162.9</v>
      </c>
      <c r="G24492">
        <v>230131</v>
      </c>
      <c r="H24492">
        <v>4343</v>
      </c>
      <c r="I24492" t="s">
        <v>91</v>
      </c>
      <c r="J24492">
        <v>202</v>
      </c>
      <c r="K24492">
        <v>39.1</v>
      </c>
      <c r="L24492">
        <v>49702</v>
      </c>
      <c r="M24492" t="s">
        <v>584</v>
      </c>
      <c r="N24492" t="str">
        <f t="shared" si="464"/>
        <v xml:space="preserve">8172836     </v>
      </c>
      <c r="O24492">
        <v>230308</v>
      </c>
    </row>
    <row r="24493" spans="1:15" x14ac:dyDescent="0.25">
      <c r="A24493" t="s">
        <v>16</v>
      </c>
      <c r="B24493" t="s">
        <v>3221</v>
      </c>
      <c r="C24493">
        <v>2836</v>
      </c>
      <c r="D24493" t="s">
        <v>1088</v>
      </c>
      <c r="E24493" t="s">
        <v>1089</v>
      </c>
      <c r="F24493">
        <v>18.899999999999999</v>
      </c>
      <c r="G24493">
        <v>230131</v>
      </c>
      <c r="H24493">
        <v>4343</v>
      </c>
      <c r="I24493" t="s">
        <v>91</v>
      </c>
      <c r="J24493">
        <v>23.43</v>
      </c>
      <c r="K24493">
        <v>4.53</v>
      </c>
      <c r="L24493">
        <v>59702</v>
      </c>
      <c r="M24493" t="s">
        <v>328</v>
      </c>
      <c r="N24493" t="str">
        <f t="shared" si="464"/>
        <v xml:space="preserve">8172836     </v>
      </c>
      <c r="O24493">
        <v>230308</v>
      </c>
    </row>
    <row r="24494" spans="1:15" x14ac:dyDescent="0.25">
      <c r="A24494" t="s">
        <v>16</v>
      </c>
      <c r="B24494" t="s">
        <v>3221</v>
      </c>
      <c r="C24494">
        <v>2836</v>
      </c>
      <c r="D24494" t="s">
        <v>1088</v>
      </c>
      <c r="E24494" t="s">
        <v>1089</v>
      </c>
      <c r="F24494">
        <v>13.5</v>
      </c>
      <c r="G24494">
        <v>230131</v>
      </c>
      <c r="H24494">
        <v>4343</v>
      </c>
      <c r="I24494" t="s">
        <v>91</v>
      </c>
      <c r="J24494">
        <v>16.739999999999998</v>
      </c>
      <c r="K24494">
        <v>3.24</v>
      </c>
      <c r="L24494">
        <v>69702</v>
      </c>
      <c r="M24494" t="s">
        <v>489</v>
      </c>
      <c r="N24494" t="str">
        <f t="shared" si="464"/>
        <v xml:space="preserve">8172836     </v>
      </c>
      <c r="O24494">
        <v>230308</v>
      </c>
    </row>
    <row r="24495" spans="1:15" x14ac:dyDescent="0.25">
      <c r="A24495" t="s">
        <v>16</v>
      </c>
      <c r="B24495" t="s">
        <v>3221</v>
      </c>
      <c r="C24495">
        <v>2836</v>
      </c>
      <c r="D24495" t="s">
        <v>1088</v>
      </c>
      <c r="E24495" t="s">
        <v>1089</v>
      </c>
      <c r="F24495">
        <v>95.4</v>
      </c>
      <c r="G24495">
        <v>230131</v>
      </c>
      <c r="H24495">
        <v>4343</v>
      </c>
      <c r="I24495" t="s">
        <v>91</v>
      </c>
      <c r="J24495">
        <v>118.3</v>
      </c>
      <c r="K24495">
        <v>22.9</v>
      </c>
      <c r="L24495">
        <v>69704</v>
      </c>
      <c r="M24495" t="s">
        <v>325</v>
      </c>
      <c r="N24495" t="str">
        <f t="shared" si="464"/>
        <v xml:space="preserve">8172836     </v>
      </c>
      <c r="O24495">
        <v>230308</v>
      </c>
    </row>
    <row r="24496" spans="1:15" x14ac:dyDescent="0.25">
      <c r="A24496" t="s">
        <v>16</v>
      </c>
      <c r="B24496" t="s">
        <v>3221</v>
      </c>
      <c r="C24496">
        <v>3451</v>
      </c>
      <c r="D24496" t="s">
        <v>1088</v>
      </c>
      <c r="E24496" t="s">
        <v>1089</v>
      </c>
      <c r="F24496">
        <v>293.39999999999998</v>
      </c>
      <c r="G24496">
        <v>230228</v>
      </c>
      <c r="H24496">
        <v>4343</v>
      </c>
      <c r="I24496" t="s">
        <v>91</v>
      </c>
      <c r="J24496">
        <v>363.82</v>
      </c>
      <c r="K24496">
        <v>70.42</v>
      </c>
      <c r="L24496">
        <v>14971</v>
      </c>
      <c r="M24496" t="s">
        <v>1259</v>
      </c>
      <c r="N24496" t="str">
        <f t="shared" ref="N24496:N24505" si="465">"8174145     "</f>
        <v xml:space="preserve">8174145     </v>
      </c>
      <c r="O24496">
        <v>230316</v>
      </c>
    </row>
    <row r="24497" spans="1:15" x14ac:dyDescent="0.25">
      <c r="A24497" t="s">
        <v>16</v>
      </c>
      <c r="B24497" t="s">
        <v>3221</v>
      </c>
      <c r="C24497">
        <v>3451</v>
      </c>
      <c r="D24497" t="s">
        <v>1088</v>
      </c>
      <c r="E24497" t="s">
        <v>1089</v>
      </c>
      <c r="F24497">
        <v>9.9</v>
      </c>
      <c r="G24497">
        <v>230228</v>
      </c>
      <c r="H24497">
        <v>4343</v>
      </c>
      <c r="I24497" t="s">
        <v>91</v>
      </c>
      <c r="J24497">
        <v>12.28</v>
      </c>
      <c r="K24497">
        <v>2.38</v>
      </c>
      <c r="L24497">
        <v>17972</v>
      </c>
      <c r="M24497" t="s">
        <v>248</v>
      </c>
      <c r="N24497" t="str">
        <f t="shared" si="465"/>
        <v xml:space="preserve">8174145     </v>
      </c>
      <c r="O24497">
        <v>230316</v>
      </c>
    </row>
    <row r="24498" spans="1:15" x14ac:dyDescent="0.25">
      <c r="A24498" t="s">
        <v>16</v>
      </c>
      <c r="B24498" t="s">
        <v>3221</v>
      </c>
      <c r="C24498">
        <v>3451</v>
      </c>
      <c r="D24498" t="s">
        <v>1088</v>
      </c>
      <c r="E24498" t="s">
        <v>1089</v>
      </c>
      <c r="F24498">
        <v>16.2</v>
      </c>
      <c r="G24498">
        <v>230228</v>
      </c>
      <c r="H24498">
        <v>4343</v>
      </c>
      <c r="I24498" t="s">
        <v>91</v>
      </c>
      <c r="J24498">
        <v>20.09</v>
      </c>
      <c r="K24498">
        <v>3.89</v>
      </c>
      <c r="L24498">
        <v>17972</v>
      </c>
      <c r="M24498" t="s">
        <v>248</v>
      </c>
      <c r="N24498" t="str">
        <f t="shared" si="465"/>
        <v xml:space="preserve">8174145     </v>
      </c>
      <c r="O24498">
        <v>230316</v>
      </c>
    </row>
    <row r="24499" spans="1:15" x14ac:dyDescent="0.25">
      <c r="A24499" t="s">
        <v>16</v>
      </c>
      <c r="B24499" t="s">
        <v>3221</v>
      </c>
      <c r="C24499">
        <v>3451</v>
      </c>
      <c r="D24499" t="s">
        <v>1088</v>
      </c>
      <c r="E24499" t="s">
        <v>1089</v>
      </c>
      <c r="F24499">
        <v>16.2</v>
      </c>
      <c r="G24499">
        <v>230228</v>
      </c>
      <c r="H24499">
        <v>4343</v>
      </c>
      <c r="I24499" t="s">
        <v>91</v>
      </c>
      <c r="J24499">
        <v>20.09</v>
      </c>
      <c r="K24499">
        <v>3.89</v>
      </c>
      <c r="L24499">
        <v>17972</v>
      </c>
      <c r="M24499" t="s">
        <v>248</v>
      </c>
      <c r="N24499" t="str">
        <f t="shared" si="465"/>
        <v xml:space="preserve">8174145     </v>
      </c>
      <c r="O24499">
        <v>230316</v>
      </c>
    </row>
    <row r="24500" spans="1:15" x14ac:dyDescent="0.25">
      <c r="A24500" t="s">
        <v>16</v>
      </c>
      <c r="B24500" t="s">
        <v>3221</v>
      </c>
      <c r="C24500">
        <v>3451</v>
      </c>
      <c r="D24500" t="s">
        <v>1088</v>
      </c>
      <c r="E24500" t="s">
        <v>1089</v>
      </c>
      <c r="F24500">
        <v>19.8</v>
      </c>
      <c r="G24500">
        <v>230228</v>
      </c>
      <c r="H24500">
        <v>4343</v>
      </c>
      <c r="I24500" t="s">
        <v>91</v>
      </c>
      <c r="J24500">
        <v>24.55</v>
      </c>
      <c r="K24500">
        <v>4.75</v>
      </c>
      <c r="L24500">
        <v>17972</v>
      </c>
      <c r="M24500" t="s">
        <v>248</v>
      </c>
      <c r="N24500" t="str">
        <f t="shared" si="465"/>
        <v xml:space="preserve">8174145     </v>
      </c>
      <c r="O24500">
        <v>230316</v>
      </c>
    </row>
    <row r="24501" spans="1:15" x14ac:dyDescent="0.25">
      <c r="A24501" t="s">
        <v>16</v>
      </c>
      <c r="B24501" t="s">
        <v>3221</v>
      </c>
      <c r="C24501">
        <v>3451</v>
      </c>
      <c r="D24501" t="s">
        <v>1088</v>
      </c>
      <c r="E24501" t="s">
        <v>1089</v>
      </c>
      <c r="F24501">
        <v>619.20000000000005</v>
      </c>
      <c r="G24501">
        <v>230228</v>
      </c>
      <c r="H24501">
        <v>4343</v>
      </c>
      <c r="I24501" t="s">
        <v>91</v>
      </c>
      <c r="J24501">
        <v>767.81</v>
      </c>
      <c r="K24501">
        <v>148.61000000000001</v>
      </c>
      <c r="L24501">
        <v>18972</v>
      </c>
      <c r="M24501" t="s">
        <v>163</v>
      </c>
      <c r="N24501" t="str">
        <f t="shared" si="465"/>
        <v xml:space="preserve">8174145     </v>
      </c>
      <c r="O24501">
        <v>230316</v>
      </c>
    </row>
    <row r="24502" spans="1:15" x14ac:dyDescent="0.25">
      <c r="A24502" t="s">
        <v>16</v>
      </c>
      <c r="B24502" t="s">
        <v>3221</v>
      </c>
      <c r="C24502">
        <v>3451</v>
      </c>
      <c r="D24502" t="s">
        <v>1088</v>
      </c>
      <c r="E24502" t="s">
        <v>1089</v>
      </c>
      <c r="F24502">
        <v>210.6</v>
      </c>
      <c r="G24502">
        <v>230228</v>
      </c>
      <c r="H24502">
        <v>4343</v>
      </c>
      <c r="I24502" t="s">
        <v>91</v>
      </c>
      <c r="J24502">
        <v>261.14</v>
      </c>
      <c r="K24502">
        <v>50.54</v>
      </c>
      <c r="L24502">
        <v>49702</v>
      </c>
      <c r="M24502" t="s">
        <v>584</v>
      </c>
      <c r="N24502" t="str">
        <f t="shared" si="465"/>
        <v xml:space="preserve">8174145     </v>
      </c>
      <c r="O24502">
        <v>230316</v>
      </c>
    </row>
    <row r="24503" spans="1:15" x14ac:dyDescent="0.25">
      <c r="A24503" t="s">
        <v>16</v>
      </c>
      <c r="B24503" t="s">
        <v>3221</v>
      </c>
      <c r="C24503">
        <v>3451</v>
      </c>
      <c r="D24503" t="s">
        <v>1088</v>
      </c>
      <c r="E24503" t="s">
        <v>1089</v>
      </c>
      <c r="F24503">
        <v>31.49</v>
      </c>
      <c r="G24503">
        <v>230228</v>
      </c>
      <c r="H24503">
        <v>4343</v>
      </c>
      <c r="I24503" t="s">
        <v>91</v>
      </c>
      <c r="J24503">
        <v>39.049999999999997</v>
      </c>
      <c r="K24503">
        <v>7.56</v>
      </c>
      <c r="L24503">
        <v>59702</v>
      </c>
      <c r="M24503" t="s">
        <v>328</v>
      </c>
      <c r="N24503" t="str">
        <f t="shared" si="465"/>
        <v xml:space="preserve">8174145     </v>
      </c>
      <c r="O24503">
        <v>230316</v>
      </c>
    </row>
    <row r="24504" spans="1:15" x14ac:dyDescent="0.25">
      <c r="A24504" t="s">
        <v>16</v>
      </c>
      <c r="B24504" t="s">
        <v>3221</v>
      </c>
      <c r="C24504">
        <v>3451</v>
      </c>
      <c r="D24504" t="s">
        <v>1088</v>
      </c>
      <c r="E24504" t="s">
        <v>1089</v>
      </c>
      <c r="F24504">
        <v>46.8</v>
      </c>
      <c r="G24504">
        <v>230228</v>
      </c>
      <c r="H24504">
        <v>4343</v>
      </c>
      <c r="I24504" t="s">
        <v>91</v>
      </c>
      <c r="J24504">
        <v>58.03</v>
      </c>
      <c r="K24504">
        <v>11.23</v>
      </c>
      <c r="L24504">
        <v>69702</v>
      </c>
      <c r="M24504" t="s">
        <v>489</v>
      </c>
      <c r="N24504" t="str">
        <f t="shared" si="465"/>
        <v xml:space="preserve">8174145     </v>
      </c>
      <c r="O24504">
        <v>230316</v>
      </c>
    </row>
    <row r="24505" spans="1:15" x14ac:dyDescent="0.25">
      <c r="A24505" t="s">
        <v>16</v>
      </c>
      <c r="B24505" t="s">
        <v>3221</v>
      </c>
      <c r="C24505">
        <v>3451</v>
      </c>
      <c r="D24505" t="s">
        <v>1088</v>
      </c>
      <c r="E24505" t="s">
        <v>1089</v>
      </c>
      <c r="F24505">
        <v>86.4</v>
      </c>
      <c r="G24505">
        <v>230228</v>
      </c>
      <c r="H24505">
        <v>4343</v>
      </c>
      <c r="I24505" t="s">
        <v>91</v>
      </c>
      <c r="J24505">
        <v>107.14</v>
      </c>
      <c r="K24505">
        <v>20.74</v>
      </c>
      <c r="L24505">
        <v>69704</v>
      </c>
      <c r="M24505" t="s">
        <v>325</v>
      </c>
      <c r="N24505" t="str">
        <f t="shared" si="465"/>
        <v xml:space="preserve">8174145     </v>
      </c>
      <c r="O24505">
        <v>230316</v>
      </c>
    </row>
    <row r="24506" spans="1:15" x14ac:dyDescent="0.25">
      <c r="A24506" t="s">
        <v>16</v>
      </c>
      <c r="B24506" t="s">
        <v>3221</v>
      </c>
      <c r="C24506">
        <v>5049</v>
      </c>
      <c r="D24506" t="s">
        <v>1088</v>
      </c>
      <c r="E24506" t="s">
        <v>1089</v>
      </c>
      <c r="F24506">
        <v>203.4</v>
      </c>
      <c r="G24506">
        <v>230331</v>
      </c>
      <c r="H24506">
        <v>4343</v>
      </c>
      <c r="I24506" t="s">
        <v>91</v>
      </c>
      <c r="J24506">
        <v>252.22</v>
      </c>
      <c r="K24506">
        <v>48.82</v>
      </c>
      <c r="L24506">
        <v>14971</v>
      </c>
      <c r="M24506" t="s">
        <v>1259</v>
      </c>
      <c r="N24506" t="str">
        <f t="shared" ref="N24506:N24515" si="466">"8175266     "</f>
        <v xml:space="preserve">8175266     </v>
      </c>
      <c r="O24506">
        <v>230418</v>
      </c>
    </row>
    <row r="24507" spans="1:15" x14ac:dyDescent="0.25">
      <c r="A24507" t="s">
        <v>16</v>
      </c>
      <c r="B24507" t="s">
        <v>3221</v>
      </c>
      <c r="C24507">
        <v>5049</v>
      </c>
      <c r="D24507" t="s">
        <v>1088</v>
      </c>
      <c r="E24507" t="s">
        <v>1089</v>
      </c>
      <c r="F24507">
        <v>5.4</v>
      </c>
      <c r="G24507">
        <v>230331</v>
      </c>
      <c r="H24507">
        <v>4343</v>
      </c>
      <c r="I24507" t="s">
        <v>91</v>
      </c>
      <c r="J24507">
        <v>6.7</v>
      </c>
      <c r="K24507">
        <v>1.3</v>
      </c>
      <c r="L24507">
        <v>17972</v>
      </c>
      <c r="M24507" t="s">
        <v>248</v>
      </c>
      <c r="N24507" t="str">
        <f t="shared" si="466"/>
        <v xml:space="preserve">8175266     </v>
      </c>
      <c r="O24507">
        <v>230418</v>
      </c>
    </row>
    <row r="24508" spans="1:15" x14ac:dyDescent="0.25">
      <c r="A24508" t="s">
        <v>16</v>
      </c>
      <c r="B24508" t="s">
        <v>3221</v>
      </c>
      <c r="C24508">
        <v>5049</v>
      </c>
      <c r="D24508" t="s">
        <v>1088</v>
      </c>
      <c r="E24508" t="s">
        <v>1089</v>
      </c>
      <c r="F24508">
        <v>12.6</v>
      </c>
      <c r="G24508">
        <v>230331</v>
      </c>
      <c r="H24508">
        <v>4343</v>
      </c>
      <c r="I24508" t="s">
        <v>91</v>
      </c>
      <c r="J24508">
        <v>15.62</v>
      </c>
      <c r="K24508">
        <v>3.02</v>
      </c>
      <c r="L24508">
        <v>17972</v>
      </c>
      <c r="M24508" t="s">
        <v>248</v>
      </c>
      <c r="N24508" t="str">
        <f t="shared" si="466"/>
        <v xml:space="preserve">8175266     </v>
      </c>
      <c r="O24508">
        <v>230418</v>
      </c>
    </row>
    <row r="24509" spans="1:15" x14ac:dyDescent="0.25">
      <c r="A24509" t="s">
        <v>16</v>
      </c>
      <c r="B24509" t="s">
        <v>3221</v>
      </c>
      <c r="C24509">
        <v>5049</v>
      </c>
      <c r="D24509" t="s">
        <v>1088</v>
      </c>
      <c r="E24509" t="s">
        <v>1089</v>
      </c>
      <c r="F24509">
        <v>13.51</v>
      </c>
      <c r="G24509">
        <v>230331</v>
      </c>
      <c r="H24509">
        <v>4343</v>
      </c>
      <c r="I24509" t="s">
        <v>91</v>
      </c>
      <c r="J24509">
        <v>16.75</v>
      </c>
      <c r="K24509">
        <v>3.24</v>
      </c>
      <c r="L24509">
        <v>17972</v>
      </c>
      <c r="M24509" t="s">
        <v>248</v>
      </c>
      <c r="N24509" t="str">
        <f t="shared" si="466"/>
        <v xml:space="preserve">8175266     </v>
      </c>
      <c r="O24509">
        <v>230418</v>
      </c>
    </row>
    <row r="24510" spans="1:15" x14ac:dyDescent="0.25">
      <c r="A24510" t="s">
        <v>16</v>
      </c>
      <c r="B24510" t="s">
        <v>3221</v>
      </c>
      <c r="C24510">
        <v>5049</v>
      </c>
      <c r="D24510" t="s">
        <v>1088</v>
      </c>
      <c r="E24510" t="s">
        <v>1089</v>
      </c>
      <c r="F24510">
        <v>15.3</v>
      </c>
      <c r="G24510">
        <v>230331</v>
      </c>
      <c r="H24510">
        <v>4343</v>
      </c>
      <c r="I24510" t="s">
        <v>91</v>
      </c>
      <c r="J24510">
        <v>18.97</v>
      </c>
      <c r="K24510">
        <v>3.67</v>
      </c>
      <c r="L24510">
        <v>17972</v>
      </c>
      <c r="M24510" t="s">
        <v>248</v>
      </c>
      <c r="N24510" t="str">
        <f t="shared" si="466"/>
        <v xml:space="preserve">8175266     </v>
      </c>
      <c r="O24510">
        <v>230418</v>
      </c>
    </row>
    <row r="24511" spans="1:15" x14ac:dyDescent="0.25">
      <c r="A24511" t="s">
        <v>16</v>
      </c>
      <c r="B24511" t="s">
        <v>3221</v>
      </c>
      <c r="C24511">
        <v>5049</v>
      </c>
      <c r="D24511" t="s">
        <v>1088</v>
      </c>
      <c r="E24511" t="s">
        <v>1089</v>
      </c>
      <c r="F24511">
        <v>1096.2</v>
      </c>
      <c r="G24511">
        <v>230331</v>
      </c>
      <c r="H24511">
        <v>4343</v>
      </c>
      <c r="I24511" t="s">
        <v>91</v>
      </c>
      <c r="J24511">
        <v>1359.29</v>
      </c>
      <c r="K24511">
        <v>263.08999999999997</v>
      </c>
      <c r="L24511">
        <v>18972</v>
      </c>
      <c r="M24511" t="s">
        <v>163</v>
      </c>
      <c r="N24511" t="str">
        <f t="shared" si="466"/>
        <v xml:space="preserve">8175266     </v>
      </c>
      <c r="O24511">
        <v>230418</v>
      </c>
    </row>
    <row r="24512" spans="1:15" x14ac:dyDescent="0.25">
      <c r="A24512" t="s">
        <v>16</v>
      </c>
      <c r="B24512" t="s">
        <v>3221</v>
      </c>
      <c r="C24512">
        <v>5049</v>
      </c>
      <c r="D24512" t="s">
        <v>1088</v>
      </c>
      <c r="E24512" t="s">
        <v>1089</v>
      </c>
      <c r="F24512">
        <v>135</v>
      </c>
      <c r="G24512">
        <v>230331</v>
      </c>
      <c r="H24512">
        <v>4343</v>
      </c>
      <c r="I24512" t="s">
        <v>91</v>
      </c>
      <c r="J24512">
        <v>167.4</v>
      </c>
      <c r="K24512">
        <v>32.4</v>
      </c>
      <c r="L24512">
        <v>49702</v>
      </c>
      <c r="M24512" t="s">
        <v>584</v>
      </c>
      <c r="N24512" t="str">
        <f t="shared" si="466"/>
        <v xml:space="preserve">8175266     </v>
      </c>
      <c r="O24512">
        <v>230418</v>
      </c>
    </row>
    <row r="24513" spans="1:15" x14ac:dyDescent="0.25">
      <c r="A24513" t="s">
        <v>16</v>
      </c>
      <c r="B24513" t="s">
        <v>3221</v>
      </c>
      <c r="C24513">
        <v>5049</v>
      </c>
      <c r="D24513" t="s">
        <v>1088</v>
      </c>
      <c r="E24513" t="s">
        <v>1089</v>
      </c>
      <c r="F24513">
        <v>54.9</v>
      </c>
      <c r="G24513">
        <v>230331</v>
      </c>
      <c r="H24513">
        <v>4343</v>
      </c>
      <c r="I24513" t="s">
        <v>91</v>
      </c>
      <c r="J24513">
        <v>68.069999999999993</v>
      </c>
      <c r="K24513">
        <v>13.17</v>
      </c>
      <c r="L24513">
        <v>59702</v>
      </c>
      <c r="M24513" t="s">
        <v>328</v>
      </c>
      <c r="N24513" t="str">
        <f t="shared" si="466"/>
        <v xml:space="preserve">8175266     </v>
      </c>
      <c r="O24513">
        <v>230418</v>
      </c>
    </row>
    <row r="24514" spans="1:15" x14ac:dyDescent="0.25">
      <c r="A24514" t="s">
        <v>16</v>
      </c>
      <c r="B24514" t="s">
        <v>3221</v>
      </c>
      <c r="C24514">
        <v>5049</v>
      </c>
      <c r="D24514" t="s">
        <v>1088</v>
      </c>
      <c r="E24514" t="s">
        <v>1089</v>
      </c>
      <c r="F24514">
        <v>39.6</v>
      </c>
      <c r="G24514">
        <v>230331</v>
      </c>
      <c r="H24514">
        <v>4343</v>
      </c>
      <c r="I24514" t="s">
        <v>91</v>
      </c>
      <c r="J24514">
        <v>49.1</v>
      </c>
      <c r="K24514">
        <v>9.5</v>
      </c>
      <c r="L24514">
        <v>69702</v>
      </c>
      <c r="M24514" t="s">
        <v>489</v>
      </c>
      <c r="N24514" t="str">
        <f t="shared" si="466"/>
        <v xml:space="preserve">8175266     </v>
      </c>
      <c r="O24514">
        <v>230418</v>
      </c>
    </row>
    <row r="24515" spans="1:15" x14ac:dyDescent="0.25">
      <c r="A24515" t="s">
        <v>16</v>
      </c>
      <c r="B24515" t="s">
        <v>3221</v>
      </c>
      <c r="C24515">
        <v>5049</v>
      </c>
      <c r="D24515" t="s">
        <v>1088</v>
      </c>
      <c r="E24515" t="s">
        <v>1089</v>
      </c>
      <c r="F24515">
        <v>181.8</v>
      </c>
      <c r="G24515">
        <v>230331</v>
      </c>
      <c r="H24515">
        <v>4343</v>
      </c>
      <c r="I24515" t="s">
        <v>91</v>
      </c>
      <c r="J24515">
        <v>225.43</v>
      </c>
      <c r="K24515">
        <v>43.63</v>
      </c>
      <c r="L24515">
        <v>69704</v>
      </c>
      <c r="M24515" t="s">
        <v>325</v>
      </c>
      <c r="N24515" t="str">
        <f t="shared" si="466"/>
        <v xml:space="preserve">8175266     </v>
      </c>
      <c r="O24515">
        <v>230418</v>
      </c>
    </row>
    <row r="24516" spans="1:15" x14ac:dyDescent="0.25">
      <c r="A24516" t="s">
        <v>16</v>
      </c>
      <c r="B24516" t="s">
        <v>3221</v>
      </c>
      <c r="C24516">
        <v>6735</v>
      </c>
      <c r="D24516" t="s">
        <v>1088</v>
      </c>
      <c r="E24516" t="s">
        <v>1089</v>
      </c>
      <c r="F24516">
        <v>240.3</v>
      </c>
      <c r="G24516">
        <v>230430</v>
      </c>
      <c r="H24516">
        <v>4343</v>
      </c>
      <c r="I24516" t="s">
        <v>91</v>
      </c>
      <c r="J24516">
        <v>297.97000000000003</v>
      </c>
      <c r="K24516">
        <v>57.67</v>
      </c>
      <c r="L24516">
        <v>14971</v>
      </c>
      <c r="M24516" t="s">
        <v>1259</v>
      </c>
      <c r="N24516" t="str">
        <f t="shared" ref="N24516:N24525" si="467">"8176871     "</f>
        <v xml:space="preserve">8176871     </v>
      </c>
      <c r="O24516">
        <v>230522</v>
      </c>
    </row>
    <row r="24517" spans="1:15" x14ac:dyDescent="0.25">
      <c r="A24517" t="s">
        <v>16</v>
      </c>
      <c r="B24517" t="s">
        <v>3221</v>
      </c>
      <c r="C24517">
        <v>6735</v>
      </c>
      <c r="D24517" t="s">
        <v>1088</v>
      </c>
      <c r="E24517" t="s">
        <v>1089</v>
      </c>
      <c r="F24517">
        <v>2.7</v>
      </c>
      <c r="G24517">
        <v>230430</v>
      </c>
      <c r="H24517">
        <v>4343</v>
      </c>
      <c r="I24517" t="s">
        <v>91</v>
      </c>
      <c r="J24517">
        <v>3.35</v>
      </c>
      <c r="K24517">
        <v>0.65</v>
      </c>
      <c r="L24517">
        <v>17972</v>
      </c>
      <c r="M24517" t="s">
        <v>248</v>
      </c>
      <c r="N24517" t="str">
        <f t="shared" si="467"/>
        <v xml:space="preserve">8176871     </v>
      </c>
      <c r="O24517">
        <v>230522</v>
      </c>
    </row>
    <row r="24518" spans="1:15" x14ac:dyDescent="0.25">
      <c r="A24518" t="s">
        <v>16</v>
      </c>
      <c r="B24518" t="s">
        <v>3221</v>
      </c>
      <c r="C24518">
        <v>6735</v>
      </c>
      <c r="D24518" t="s">
        <v>1088</v>
      </c>
      <c r="E24518" t="s">
        <v>1089</v>
      </c>
      <c r="F24518">
        <v>7.2</v>
      </c>
      <c r="G24518">
        <v>230430</v>
      </c>
      <c r="H24518">
        <v>4343</v>
      </c>
      <c r="I24518" t="s">
        <v>91</v>
      </c>
      <c r="J24518">
        <v>8.93</v>
      </c>
      <c r="K24518">
        <v>1.73</v>
      </c>
      <c r="L24518">
        <v>17972</v>
      </c>
      <c r="M24518" t="s">
        <v>248</v>
      </c>
      <c r="N24518" t="str">
        <f t="shared" si="467"/>
        <v xml:space="preserve">8176871     </v>
      </c>
      <c r="O24518">
        <v>230522</v>
      </c>
    </row>
    <row r="24519" spans="1:15" x14ac:dyDescent="0.25">
      <c r="A24519" t="s">
        <v>16</v>
      </c>
      <c r="B24519" t="s">
        <v>3221</v>
      </c>
      <c r="C24519">
        <v>6735</v>
      </c>
      <c r="D24519" t="s">
        <v>1088</v>
      </c>
      <c r="E24519" t="s">
        <v>1089</v>
      </c>
      <c r="F24519">
        <v>23.4</v>
      </c>
      <c r="G24519">
        <v>230430</v>
      </c>
      <c r="H24519">
        <v>4343</v>
      </c>
      <c r="I24519" t="s">
        <v>91</v>
      </c>
      <c r="J24519">
        <v>29.02</v>
      </c>
      <c r="K24519">
        <v>5.62</v>
      </c>
      <c r="L24519">
        <v>17972</v>
      </c>
      <c r="M24519" t="s">
        <v>248</v>
      </c>
      <c r="N24519" t="str">
        <f t="shared" si="467"/>
        <v xml:space="preserve">8176871     </v>
      </c>
      <c r="O24519">
        <v>230522</v>
      </c>
    </row>
    <row r="24520" spans="1:15" x14ac:dyDescent="0.25">
      <c r="A24520" t="s">
        <v>16</v>
      </c>
      <c r="B24520" t="s">
        <v>3221</v>
      </c>
      <c r="C24520">
        <v>6735</v>
      </c>
      <c r="D24520" t="s">
        <v>1088</v>
      </c>
      <c r="E24520" t="s">
        <v>1089</v>
      </c>
      <c r="F24520">
        <v>24.3</v>
      </c>
      <c r="G24520">
        <v>230430</v>
      </c>
      <c r="H24520">
        <v>4343</v>
      </c>
      <c r="I24520" t="s">
        <v>91</v>
      </c>
      <c r="J24520">
        <v>30.13</v>
      </c>
      <c r="K24520">
        <v>5.83</v>
      </c>
      <c r="L24520">
        <v>17972</v>
      </c>
      <c r="M24520" t="s">
        <v>248</v>
      </c>
      <c r="N24520" t="str">
        <f t="shared" si="467"/>
        <v xml:space="preserve">8176871     </v>
      </c>
      <c r="O24520">
        <v>230522</v>
      </c>
    </row>
    <row r="24521" spans="1:15" x14ac:dyDescent="0.25">
      <c r="A24521" t="s">
        <v>16</v>
      </c>
      <c r="B24521" t="s">
        <v>3221</v>
      </c>
      <c r="C24521">
        <v>6735</v>
      </c>
      <c r="D24521" t="s">
        <v>1088</v>
      </c>
      <c r="E24521" t="s">
        <v>1089</v>
      </c>
      <c r="F24521">
        <v>776.7</v>
      </c>
      <c r="G24521">
        <v>230430</v>
      </c>
      <c r="H24521">
        <v>4343</v>
      </c>
      <c r="I24521" t="s">
        <v>91</v>
      </c>
      <c r="J24521">
        <v>963.11</v>
      </c>
      <c r="K24521">
        <v>186.41</v>
      </c>
      <c r="L24521">
        <v>18972</v>
      </c>
      <c r="M24521" t="s">
        <v>163</v>
      </c>
      <c r="N24521" t="str">
        <f t="shared" si="467"/>
        <v xml:space="preserve">8176871     </v>
      </c>
      <c r="O24521">
        <v>230522</v>
      </c>
    </row>
    <row r="24522" spans="1:15" x14ac:dyDescent="0.25">
      <c r="A24522" t="s">
        <v>16</v>
      </c>
      <c r="B24522" t="s">
        <v>3221</v>
      </c>
      <c r="C24522">
        <v>6735</v>
      </c>
      <c r="D24522" t="s">
        <v>1088</v>
      </c>
      <c r="E24522" t="s">
        <v>1089</v>
      </c>
      <c r="F24522">
        <v>135.9</v>
      </c>
      <c r="G24522">
        <v>230430</v>
      </c>
      <c r="H24522">
        <v>4343</v>
      </c>
      <c r="I24522" t="s">
        <v>91</v>
      </c>
      <c r="J24522">
        <v>168.52</v>
      </c>
      <c r="K24522">
        <v>32.619999999999997</v>
      </c>
      <c r="L24522">
        <v>49702</v>
      </c>
      <c r="M24522" t="s">
        <v>584</v>
      </c>
      <c r="N24522" t="str">
        <f t="shared" si="467"/>
        <v xml:space="preserve">8176871     </v>
      </c>
      <c r="O24522">
        <v>230522</v>
      </c>
    </row>
    <row r="24523" spans="1:15" x14ac:dyDescent="0.25">
      <c r="A24523" t="s">
        <v>16</v>
      </c>
      <c r="B24523" t="s">
        <v>3221</v>
      </c>
      <c r="C24523">
        <v>6735</v>
      </c>
      <c r="D24523" t="s">
        <v>1088</v>
      </c>
      <c r="E24523" t="s">
        <v>1089</v>
      </c>
      <c r="F24523">
        <v>29.69</v>
      </c>
      <c r="G24523">
        <v>230430</v>
      </c>
      <c r="H24523">
        <v>4343</v>
      </c>
      <c r="I24523" t="s">
        <v>91</v>
      </c>
      <c r="J24523">
        <v>36.82</v>
      </c>
      <c r="K24523">
        <v>7.13</v>
      </c>
      <c r="L24523">
        <v>59702</v>
      </c>
      <c r="M24523" t="s">
        <v>328</v>
      </c>
      <c r="N24523" t="str">
        <f t="shared" si="467"/>
        <v xml:space="preserve">8176871     </v>
      </c>
      <c r="O24523">
        <v>230522</v>
      </c>
    </row>
    <row r="24524" spans="1:15" x14ac:dyDescent="0.25">
      <c r="A24524" t="s">
        <v>16</v>
      </c>
      <c r="B24524" t="s">
        <v>3221</v>
      </c>
      <c r="C24524">
        <v>6735</v>
      </c>
      <c r="D24524" t="s">
        <v>1088</v>
      </c>
      <c r="E24524" t="s">
        <v>1089</v>
      </c>
      <c r="F24524">
        <v>64.8</v>
      </c>
      <c r="G24524">
        <v>230430</v>
      </c>
      <c r="H24524">
        <v>4343</v>
      </c>
      <c r="I24524" t="s">
        <v>91</v>
      </c>
      <c r="J24524">
        <v>80.349999999999994</v>
      </c>
      <c r="K24524">
        <v>15.55</v>
      </c>
      <c r="L24524">
        <v>69702</v>
      </c>
      <c r="M24524" t="s">
        <v>489</v>
      </c>
      <c r="N24524" t="str">
        <f t="shared" si="467"/>
        <v xml:space="preserve">8176871     </v>
      </c>
      <c r="O24524">
        <v>230522</v>
      </c>
    </row>
    <row r="24525" spans="1:15" x14ac:dyDescent="0.25">
      <c r="A24525" t="s">
        <v>16</v>
      </c>
      <c r="B24525" t="s">
        <v>3221</v>
      </c>
      <c r="C24525">
        <v>6735</v>
      </c>
      <c r="D24525" t="s">
        <v>1088</v>
      </c>
      <c r="E24525" t="s">
        <v>1089</v>
      </c>
      <c r="F24525">
        <v>132.30000000000001</v>
      </c>
      <c r="G24525">
        <v>230430</v>
      </c>
      <c r="H24525">
        <v>4343</v>
      </c>
      <c r="I24525" t="s">
        <v>91</v>
      </c>
      <c r="J24525">
        <v>164.05</v>
      </c>
      <c r="K24525">
        <v>31.75</v>
      </c>
      <c r="L24525">
        <v>69704</v>
      </c>
      <c r="M24525" t="s">
        <v>325</v>
      </c>
      <c r="N24525" t="str">
        <f t="shared" si="467"/>
        <v xml:space="preserve">8176871     </v>
      </c>
      <c r="O24525">
        <v>230522</v>
      </c>
    </row>
    <row r="24526" spans="1:15" x14ac:dyDescent="0.25">
      <c r="A24526" t="s">
        <v>16</v>
      </c>
      <c r="B24526" t="s">
        <v>3221</v>
      </c>
      <c r="C24526">
        <v>8904</v>
      </c>
      <c r="D24526" t="s">
        <v>1088</v>
      </c>
      <c r="E24526" t="s">
        <v>1089</v>
      </c>
      <c r="F24526">
        <v>584.1</v>
      </c>
      <c r="G24526">
        <v>230531</v>
      </c>
      <c r="H24526">
        <v>4343</v>
      </c>
      <c r="I24526" t="s">
        <v>91</v>
      </c>
      <c r="J24526">
        <v>724.28</v>
      </c>
      <c r="K24526">
        <v>140.18</v>
      </c>
      <c r="L24526">
        <v>14971</v>
      </c>
      <c r="M24526" t="s">
        <v>1259</v>
      </c>
      <c r="N24526" t="str">
        <f t="shared" ref="N24526:N24535" si="468">"8178049     "</f>
        <v xml:space="preserve">8178049     </v>
      </c>
      <c r="O24526">
        <v>230619</v>
      </c>
    </row>
    <row r="24527" spans="1:15" x14ac:dyDescent="0.25">
      <c r="A24527" t="s">
        <v>16</v>
      </c>
      <c r="B24527" t="s">
        <v>3221</v>
      </c>
      <c r="C24527">
        <v>8904</v>
      </c>
      <c r="D24527" t="s">
        <v>1088</v>
      </c>
      <c r="E24527" t="s">
        <v>1089</v>
      </c>
      <c r="F24527">
        <v>29.7</v>
      </c>
      <c r="G24527">
        <v>230531</v>
      </c>
      <c r="H24527">
        <v>4343</v>
      </c>
      <c r="I24527" t="s">
        <v>91</v>
      </c>
      <c r="J24527">
        <v>36.83</v>
      </c>
      <c r="K24527">
        <v>7.13</v>
      </c>
      <c r="L24527">
        <v>17972</v>
      </c>
      <c r="M24527" t="s">
        <v>248</v>
      </c>
      <c r="N24527" t="str">
        <f t="shared" si="468"/>
        <v xml:space="preserve">8178049     </v>
      </c>
      <c r="O24527">
        <v>230619</v>
      </c>
    </row>
    <row r="24528" spans="1:15" x14ac:dyDescent="0.25">
      <c r="A24528" t="s">
        <v>16</v>
      </c>
      <c r="B24528" t="s">
        <v>3221</v>
      </c>
      <c r="C24528">
        <v>8904</v>
      </c>
      <c r="D24528" t="s">
        <v>1088</v>
      </c>
      <c r="E24528" t="s">
        <v>1089</v>
      </c>
      <c r="F24528">
        <v>32.4</v>
      </c>
      <c r="G24528">
        <v>230531</v>
      </c>
      <c r="H24528">
        <v>4343</v>
      </c>
      <c r="I24528" t="s">
        <v>91</v>
      </c>
      <c r="J24528">
        <v>40.18</v>
      </c>
      <c r="K24528">
        <v>7.78</v>
      </c>
      <c r="L24528">
        <v>17972</v>
      </c>
      <c r="M24528" t="s">
        <v>248</v>
      </c>
      <c r="N24528" t="str">
        <f t="shared" si="468"/>
        <v xml:space="preserve">8178049     </v>
      </c>
      <c r="O24528">
        <v>230619</v>
      </c>
    </row>
    <row r="24529" spans="1:15" x14ac:dyDescent="0.25">
      <c r="A24529" t="s">
        <v>16</v>
      </c>
      <c r="B24529" t="s">
        <v>3221</v>
      </c>
      <c r="C24529">
        <v>8904</v>
      </c>
      <c r="D24529" t="s">
        <v>1088</v>
      </c>
      <c r="E24529" t="s">
        <v>1089</v>
      </c>
      <c r="F24529">
        <v>34.200000000000003</v>
      </c>
      <c r="G24529">
        <v>230531</v>
      </c>
      <c r="H24529">
        <v>4343</v>
      </c>
      <c r="I24529" t="s">
        <v>91</v>
      </c>
      <c r="J24529">
        <v>42.41</v>
      </c>
      <c r="K24529">
        <v>8.2100000000000009</v>
      </c>
      <c r="L24529">
        <v>17972</v>
      </c>
      <c r="M24529" t="s">
        <v>248</v>
      </c>
      <c r="N24529" t="str">
        <f t="shared" si="468"/>
        <v xml:space="preserve">8178049     </v>
      </c>
      <c r="O24529">
        <v>230619</v>
      </c>
    </row>
    <row r="24530" spans="1:15" x14ac:dyDescent="0.25">
      <c r="A24530" t="s">
        <v>16</v>
      </c>
      <c r="B24530" t="s">
        <v>3221</v>
      </c>
      <c r="C24530">
        <v>8904</v>
      </c>
      <c r="D24530" t="s">
        <v>1088</v>
      </c>
      <c r="E24530" t="s">
        <v>1089</v>
      </c>
      <c r="F24530">
        <v>71.099999999999994</v>
      </c>
      <c r="G24530">
        <v>230531</v>
      </c>
      <c r="H24530">
        <v>4343</v>
      </c>
      <c r="I24530" t="s">
        <v>91</v>
      </c>
      <c r="J24530">
        <v>88.16</v>
      </c>
      <c r="K24530">
        <v>17.059999999999999</v>
      </c>
      <c r="L24530">
        <v>17972</v>
      </c>
      <c r="M24530" t="s">
        <v>248</v>
      </c>
      <c r="N24530" t="str">
        <f t="shared" si="468"/>
        <v xml:space="preserve">8178049     </v>
      </c>
      <c r="O24530">
        <v>230619</v>
      </c>
    </row>
    <row r="24531" spans="1:15" x14ac:dyDescent="0.25">
      <c r="A24531" t="s">
        <v>16</v>
      </c>
      <c r="B24531" t="s">
        <v>3221</v>
      </c>
      <c r="C24531">
        <v>8904</v>
      </c>
      <c r="D24531" t="s">
        <v>1088</v>
      </c>
      <c r="E24531" t="s">
        <v>1089</v>
      </c>
      <c r="F24531">
        <v>978.3</v>
      </c>
      <c r="G24531">
        <v>230531</v>
      </c>
      <c r="H24531">
        <v>4343</v>
      </c>
      <c r="I24531" t="s">
        <v>91</v>
      </c>
      <c r="J24531">
        <v>1213.0899999999999</v>
      </c>
      <c r="K24531">
        <v>234.79</v>
      </c>
      <c r="L24531">
        <v>18972</v>
      </c>
      <c r="M24531" t="s">
        <v>163</v>
      </c>
      <c r="N24531" t="str">
        <f t="shared" si="468"/>
        <v xml:space="preserve">8178049     </v>
      </c>
      <c r="O24531">
        <v>230619</v>
      </c>
    </row>
    <row r="24532" spans="1:15" x14ac:dyDescent="0.25">
      <c r="A24532" t="s">
        <v>16</v>
      </c>
      <c r="B24532" t="s">
        <v>3221</v>
      </c>
      <c r="C24532">
        <v>8904</v>
      </c>
      <c r="D24532" t="s">
        <v>1088</v>
      </c>
      <c r="E24532" t="s">
        <v>1089</v>
      </c>
      <c r="F24532">
        <v>128.69999999999999</v>
      </c>
      <c r="G24532">
        <v>230531</v>
      </c>
      <c r="H24532">
        <v>4343</v>
      </c>
      <c r="I24532" t="s">
        <v>91</v>
      </c>
      <c r="J24532">
        <v>159.59</v>
      </c>
      <c r="K24532">
        <v>30.89</v>
      </c>
      <c r="L24532">
        <v>49702</v>
      </c>
      <c r="M24532" t="s">
        <v>584</v>
      </c>
      <c r="N24532" t="str">
        <f t="shared" si="468"/>
        <v xml:space="preserve">8178049     </v>
      </c>
      <c r="O24532">
        <v>230619</v>
      </c>
    </row>
    <row r="24533" spans="1:15" x14ac:dyDescent="0.25">
      <c r="A24533" t="s">
        <v>16</v>
      </c>
      <c r="B24533" t="s">
        <v>3221</v>
      </c>
      <c r="C24533">
        <v>8904</v>
      </c>
      <c r="D24533" t="s">
        <v>1088</v>
      </c>
      <c r="E24533" t="s">
        <v>1089</v>
      </c>
      <c r="F24533">
        <v>19.8</v>
      </c>
      <c r="G24533">
        <v>230531</v>
      </c>
      <c r="H24533">
        <v>4343</v>
      </c>
      <c r="I24533" t="s">
        <v>91</v>
      </c>
      <c r="J24533">
        <v>24.55</v>
      </c>
      <c r="K24533">
        <v>4.75</v>
      </c>
      <c r="L24533">
        <v>59702</v>
      </c>
      <c r="M24533" t="s">
        <v>328</v>
      </c>
      <c r="N24533" t="str">
        <f t="shared" si="468"/>
        <v xml:space="preserve">8178049     </v>
      </c>
      <c r="O24533">
        <v>230619</v>
      </c>
    </row>
    <row r="24534" spans="1:15" x14ac:dyDescent="0.25">
      <c r="A24534" t="s">
        <v>16</v>
      </c>
      <c r="B24534" t="s">
        <v>3221</v>
      </c>
      <c r="C24534">
        <v>8904</v>
      </c>
      <c r="D24534" t="s">
        <v>1088</v>
      </c>
      <c r="E24534" t="s">
        <v>1089</v>
      </c>
      <c r="F24534">
        <v>52.2</v>
      </c>
      <c r="G24534">
        <v>230531</v>
      </c>
      <c r="H24534">
        <v>4343</v>
      </c>
      <c r="I24534" t="s">
        <v>91</v>
      </c>
      <c r="J24534">
        <v>64.73</v>
      </c>
      <c r="K24534">
        <v>12.53</v>
      </c>
      <c r="L24534">
        <v>69702</v>
      </c>
      <c r="M24534" t="s">
        <v>489</v>
      </c>
      <c r="N24534" t="str">
        <f t="shared" si="468"/>
        <v xml:space="preserve">8178049     </v>
      </c>
      <c r="O24534">
        <v>230619</v>
      </c>
    </row>
    <row r="24535" spans="1:15" x14ac:dyDescent="0.25">
      <c r="A24535" t="s">
        <v>16</v>
      </c>
      <c r="B24535" t="s">
        <v>3221</v>
      </c>
      <c r="C24535">
        <v>8904</v>
      </c>
      <c r="D24535" t="s">
        <v>1088</v>
      </c>
      <c r="E24535" t="s">
        <v>1089</v>
      </c>
      <c r="F24535">
        <v>150.30000000000001</v>
      </c>
      <c r="G24535">
        <v>230531</v>
      </c>
      <c r="H24535">
        <v>4343</v>
      </c>
      <c r="I24535" t="s">
        <v>91</v>
      </c>
      <c r="J24535">
        <v>186.37</v>
      </c>
      <c r="K24535">
        <v>36.07</v>
      </c>
      <c r="L24535">
        <v>69704</v>
      </c>
      <c r="M24535" t="s">
        <v>325</v>
      </c>
      <c r="N24535" t="str">
        <f t="shared" si="468"/>
        <v xml:space="preserve">8178049     </v>
      </c>
      <c r="O24535">
        <v>230619</v>
      </c>
    </row>
    <row r="24536" spans="1:15" x14ac:dyDescent="0.25">
      <c r="A24536" t="s">
        <v>16</v>
      </c>
      <c r="B24536" t="s">
        <v>3221</v>
      </c>
      <c r="C24536">
        <v>9994</v>
      </c>
      <c r="D24536" t="s">
        <v>1088</v>
      </c>
      <c r="E24536" t="s">
        <v>1089</v>
      </c>
      <c r="F24536">
        <v>108</v>
      </c>
      <c r="G24536">
        <v>230630</v>
      </c>
      <c r="H24536">
        <v>4343</v>
      </c>
      <c r="I24536" t="s">
        <v>91</v>
      </c>
      <c r="J24536">
        <v>133.91999999999999</v>
      </c>
      <c r="K24536">
        <v>25.92</v>
      </c>
      <c r="L24536">
        <v>14971</v>
      </c>
      <c r="M24536" t="s">
        <v>1259</v>
      </c>
      <c r="N24536" t="str">
        <f t="shared" ref="N24536:N24545" si="469">"8179123     "</f>
        <v xml:space="preserve">8179123     </v>
      </c>
      <c r="O24536">
        <v>230807</v>
      </c>
    </row>
    <row r="24537" spans="1:15" x14ac:dyDescent="0.25">
      <c r="A24537" t="s">
        <v>16</v>
      </c>
      <c r="B24537" t="s">
        <v>3221</v>
      </c>
      <c r="C24537">
        <v>9994</v>
      </c>
      <c r="D24537" t="s">
        <v>1088</v>
      </c>
      <c r="E24537" t="s">
        <v>1089</v>
      </c>
      <c r="F24537">
        <v>3</v>
      </c>
      <c r="G24537">
        <v>230630</v>
      </c>
      <c r="H24537">
        <v>4343</v>
      </c>
      <c r="I24537" t="s">
        <v>91</v>
      </c>
      <c r="J24537">
        <v>3.72</v>
      </c>
      <c r="K24537">
        <v>0.72</v>
      </c>
      <c r="L24537">
        <v>17972</v>
      </c>
      <c r="M24537" t="s">
        <v>248</v>
      </c>
      <c r="N24537" t="str">
        <f t="shared" si="469"/>
        <v xml:space="preserve">8179123     </v>
      </c>
      <c r="O24537">
        <v>230807</v>
      </c>
    </row>
    <row r="24538" spans="1:15" x14ac:dyDescent="0.25">
      <c r="A24538" t="s">
        <v>16</v>
      </c>
      <c r="B24538" t="s">
        <v>3221</v>
      </c>
      <c r="C24538">
        <v>9994</v>
      </c>
      <c r="D24538" t="s">
        <v>1088</v>
      </c>
      <c r="E24538" t="s">
        <v>1089</v>
      </c>
      <c r="F24538">
        <v>4</v>
      </c>
      <c r="G24538">
        <v>230630</v>
      </c>
      <c r="H24538">
        <v>4343</v>
      </c>
      <c r="I24538" t="s">
        <v>91</v>
      </c>
      <c r="J24538">
        <v>4.96</v>
      </c>
      <c r="K24538">
        <v>0.96</v>
      </c>
      <c r="L24538">
        <v>17972</v>
      </c>
      <c r="M24538" t="s">
        <v>248</v>
      </c>
      <c r="N24538" t="str">
        <f t="shared" si="469"/>
        <v xml:space="preserve">8179123     </v>
      </c>
      <c r="O24538">
        <v>230807</v>
      </c>
    </row>
    <row r="24539" spans="1:15" x14ac:dyDescent="0.25">
      <c r="A24539" t="s">
        <v>16</v>
      </c>
      <c r="B24539" t="s">
        <v>3221</v>
      </c>
      <c r="C24539">
        <v>9994</v>
      </c>
      <c r="D24539" t="s">
        <v>1088</v>
      </c>
      <c r="E24539" t="s">
        <v>1089</v>
      </c>
      <c r="F24539">
        <v>44</v>
      </c>
      <c r="G24539">
        <v>230630</v>
      </c>
      <c r="H24539">
        <v>4343</v>
      </c>
      <c r="I24539" t="s">
        <v>91</v>
      </c>
      <c r="J24539">
        <v>54.56</v>
      </c>
      <c r="K24539">
        <v>10.56</v>
      </c>
      <c r="L24539">
        <v>17972</v>
      </c>
      <c r="M24539" t="s">
        <v>248</v>
      </c>
      <c r="N24539" t="str">
        <f t="shared" si="469"/>
        <v xml:space="preserve">8179123     </v>
      </c>
      <c r="O24539">
        <v>230807</v>
      </c>
    </row>
    <row r="24540" spans="1:15" x14ac:dyDescent="0.25">
      <c r="A24540" t="s">
        <v>16</v>
      </c>
      <c r="B24540" t="s">
        <v>3221</v>
      </c>
      <c r="C24540">
        <v>9994</v>
      </c>
      <c r="D24540" t="s">
        <v>1088</v>
      </c>
      <c r="E24540" t="s">
        <v>1089</v>
      </c>
      <c r="F24540">
        <v>45</v>
      </c>
      <c r="G24540">
        <v>230630</v>
      </c>
      <c r="H24540">
        <v>4343</v>
      </c>
      <c r="I24540" t="s">
        <v>91</v>
      </c>
      <c r="J24540">
        <v>55.8</v>
      </c>
      <c r="K24540">
        <v>10.8</v>
      </c>
      <c r="L24540">
        <v>17972</v>
      </c>
      <c r="M24540" t="s">
        <v>248</v>
      </c>
      <c r="N24540" t="str">
        <f t="shared" si="469"/>
        <v xml:space="preserve">8179123     </v>
      </c>
      <c r="O24540">
        <v>230807</v>
      </c>
    </row>
    <row r="24541" spans="1:15" x14ac:dyDescent="0.25">
      <c r="A24541" t="s">
        <v>16</v>
      </c>
      <c r="B24541" t="s">
        <v>3221</v>
      </c>
      <c r="C24541">
        <v>9994</v>
      </c>
      <c r="D24541" t="s">
        <v>1088</v>
      </c>
      <c r="E24541" t="s">
        <v>1089</v>
      </c>
      <c r="F24541">
        <v>188</v>
      </c>
      <c r="G24541">
        <v>230630</v>
      </c>
      <c r="H24541">
        <v>4343</v>
      </c>
      <c r="I24541" t="s">
        <v>91</v>
      </c>
      <c r="J24541">
        <v>233.12</v>
      </c>
      <c r="K24541">
        <v>45.12</v>
      </c>
      <c r="L24541">
        <v>18972</v>
      </c>
      <c r="M24541" t="s">
        <v>163</v>
      </c>
      <c r="N24541" t="str">
        <f t="shared" si="469"/>
        <v xml:space="preserve">8179123     </v>
      </c>
      <c r="O24541">
        <v>230807</v>
      </c>
    </row>
    <row r="24542" spans="1:15" x14ac:dyDescent="0.25">
      <c r="A24542" t="s">
        <v>16</v>
      </c>
      <c r="B24542" t="s">
        <v>3221</v>
      </c>
      <c r="C24542">
        <v>9994</v>
      </c>
      <c r="D24542" t="s">
        <v>1088</v>
      </c>
      <c r="E24542" t="s">
        <v>1089</v>
      </c>
      <c r="F24542">
        <v>74</v>
      </c>
      <c r="G24542">
        <v>230630</v>
      </c>
      <c r="H24542">
        <v>4343</v>
      </c>
      <c r="I24542" t="s">
        <v>91</v>
      </c>
      <c r="J24542">
        <v>91.76</v>
      </c>
      <c r="K24542">
        <v>17.760000000000002</v>
      </c>
      <c r="L24542">
        <v>49702</v>
      </c>
      <c r="M24542" t="s">
        <v>584</v>
      </c>
      <c r="N24542" t="str">
        <f t="shared" si="469"/>
        <v xml:space="preserve">8179123     </v>
      </c>
      <c r="O24542">
        <v>230807</v>
      </c>
    </row>
    <row r="24543" spans="1:15" x14ac:dyDescent="0.25">
      <c r="A24543" t="s">
        <v>16</v>
      </c>
      <c r="B24543" t="s">
        <v>3221</v>
      </c>
      <c r="C24543">
        <v>9994</v>
      </c>
      <c r="D24543" t="s">
        <v>1088</v>
      </c>
      <c r="E24543" t="s">
        <v>1089</v>
      </c>
      <c r="F24543">
        <v>6</v>
      </c>
      <c r="G24543">
        <v>230630</v>
      </c>
      <c r="H24543">
        <v>4343</v>
      </c>
      <c r="I24543" t="s">
        <v>91</v>
      </c>
      <c r="J24543">
        <v>7.44</v>
      </c>
      <c r="K24543">
        <v>1.44</v>
      </c>
      <c r="L24543">
        <v>59702</v>
      </c>
      <c r="M24543" t="s">
        <v>328</v>
      </c>
      <c r="N24543" t="str">
        <f t="shared" si="469"/>
        <v xml:space="preserve">8179123     </v>
      </c>
      <c r="O24543">
        <v>230807</v>
      </c>
    </row>
    <row r="24544" spans="1:15" x14ac:dyDescent="0.25">
      <c r="A24544" t="s">
        <v>16</v>
      </c>
      <c r="B24544" t="s">
        <v>3221</v>
      </c>
      <c r="C24544">
        <v>9994</v>
      </c>
      <c r="D24544" t="s">
        <v>1088</v>
      </c>
      <c r="E24544" t="s">
        <v>1089</v>
      </c>
      <c r="F24544">
        <v>64</v>
      </c>
      <c r="G24544">
        <v>230630</v>
      </c>
      <c r="H24544">
        <v>4343</v>
      </c>
      <c r="I24544" t="s">
        <v>91</v>
      </c>
      <c r="J24544">
        <v>79.36</v>
      </c>
      <c r="K24544">
        <v>15.36</v>
      </c>
      <c r="L24544">
        <v>69702</v>
      </c>
      <c r="M24544" t="s">
        <v>489</v>
      </c>
      <c r="N24544" t="str">
        <f t="shared" si="469"/>
        <v xml:space="preserve">8179123     </v>
      </c>
      <c r="O24544">
        <v>230807</v>
      </c>
    </row>
    <row r="24545" spans="1:15" x14ac:dyDescent="0.25">
      <c r="A24545" t="s">
        <v>16</v>
      </c>
      <c r="B24545" t="s">
        <v>3221</v>
      </c>
      <c r="C24545">
        <v>9994</v>
      </c>
      <c r="D24545" t="s">
        <v>1088</v>
      </c>
      <c r="E24545" t="s">
        <v>1089</v>
      </c>
      <c r="F24545">
        <v>50</v>
      </c>
      <c r="G24545">
        <v>230630</v>
      </c>
      <c r="H24545">
        <v>4343</v>
      </c>
      <c r="I24545" t="s">
        <v>91</v>
      </c>
      <c r="J24545">
        <v>62</v>
      </c>
      <c r="K24545">
        <v>12</v>
      </c>
      <c r="L24545">
        <v>69704</v>
      </c>
      <c r="M24545" t="s">
        <v>325</v>
      </c>
      <c r="N24545" t="str">
        <f t="shared" si="469"/>
        <v xml:space="preserve">8179123     </v>
      </c>
      <c r="O24545">
        <v>230807</v>
      </c>
    </row>
    <row r="24546" spans="1:15" x14ac:dyDescent="0.25">
      <c r="A24546" t="s">
        <v>16</v>
      </c>
      <c r="B24546" t="s">
        <v>3221</v>
      </c>
      <c r="C24546">
        <v>10172</v>
      </c>
      <c r="D24546" t="s">
        <v>1088</v>
      </c>
      <c r="E24546" t="s">
        <v>1089</v>
      </c>
      <c r="F24546">
        <v>19</v>
      </c>
      <c r="G24546">
        <v>230731</v>
      </c>
      <c r="H24546">
        <v>4343</v>
      </c>
      <c r="I24546" t="s">
        <v>91</v>
      </c>
      <c r="J24546">
        <v>23.56</v>
      </c>
      <c r="K24546">
        <v>4.5599999999999996</v>
      </c>
      <c r="L24546">
        <v>14972</v>
      </c>
      <c r="M24546" t="s">
        <v>898</v>
      </c>
      <c r="N24546" t="str">
        <f>"8180114     "</f>
        <v xml:space="preserve">8180114     </v>
      </c>
      <c r="O24546">
        <v>230809</v>
      </c>
    </row>
    <row r="24547" spans="1:15" x14ac:dyDescent="0.25">
      <c r="A24547" t="s">
        <v>16</v>
      </c>
      <c r="B24547" t="s">
        <v>3221</v>
      </c>
      <c r="C24547">
        <v>10172</v>
      </c>
      <c r="D24547" t="s">
        <v>1088</v>
      </c>
      <c r="E24547" t="s">
        <v>1089</v>
      </c>
      <c r="F24547">
        <v>1</v>
      </c>
      <c r="G24547">
        <v>230731</v>
      </c>
      <c r="H24547">
        <v>4343</v>
      </c>
      <c r="I24547" t="s">
        <v>91</v>
      </c>
      <c r="J24547">
        <v>1.24</v>
      </c>
      <c r="K24547">
        <v>0.24</v>
      </c>
      <c r="L24547">
        <v>17972</v>
      </c>
      <c r="M24547" t="s">
        <v>248</v>
      </c>
      <c r="N24547" t="str">
        <f>"8180114     "</f>
        <v xml:space="preserve">8180114     </v>
      </c>
      <c r="O24547">
        <v>230809</v>
      </c>
    </row>
    <row r="24548" spans="1:15" x14ac:dyDescent="0.25">
      <c r="A24548" t="s">
        <v>16</v>
      </c>
      <c r="B24548" t="s">
        <v>3221</v>
      </c>
      <c r="C24548">
        <v>10172</v>
      </c>
      <c r="D24548" t="s">
        <v>1088</v>
      </c>
      <c r="E24548" t="s">
        <v>1089</v>
      </c>
      <c r="F24548">
        <v>2</v>
      </c>
      <c r="G24548">
        <v>230731</v>
      </c>
      <c r="H24548">
        <v>4343</v>
      </c>
      <c r="I24548" t="s">
        <v>91</v>
      </c>
      <c r="J24548">
        <v>2.48</v>
      </c>
      <c r="K24548">
        <v>0.48</v>
      </c>
      <c r="L24548">
        <v>17972</v>
      </c>
      <c r="M24548" t="s">
        <v>248</v>
      </c>
      <c r="N24548" t="str">
        <f>"8180114     "</f>
        <v xml:space="preserve">8180114     </v>
      </c>
      <c r="O24548">
        <v>230809</v>
      </c>
    </row>
    <row r="24549" spans="1:15" x14ac:dyDescent="0.25">
      <c r="A24549" t="s">
        <v>16</v>
      </c>
      <c r="B24549" t="s">
        <v>3221</v>
      </c>
      <c r="C24549">
        <v>10172</v>
      </c>
      <c r="D24549" t="s">
        <v>1088</v>
      </c>
      <c r="E24549" t="s">
        <v>1089</v>
      </c>
      <c r="F24549">
        <v>5</v>
      </c>
      <c r="G24549">
        <v>230731</v>
      </c>
      <c r="H24549">
        <v>4343</v>
      </c>
      <c r="I24549" t="s">
        <v>91</v>
      </c>
      <c r="J24549">
        <v>6.2</v>
      </c>
      <c r="K24549">
        <v>1.2</v>
      </c>
      <c r="L24549">
        <v>18972</v>
      </c>
      <c r="M24549" t="s">
        <v>163</v>
      </c>
      <c r="N24549" t="str">
        <f>"8180114     "</f>
        <v xml:space="preserve">8180114     </v>
      </c>
      <c r="O24549">
        <v>230809</v>
      </c>
    </row>
    <row r="24550" spans="1:15" x14ac:dyDescent="0.25">
      <c r="A24550" t="s">
        <v>16</v>
      </c>
      <c r="B24550" t="s">
        <v>3221</v>
      </c>
      <c r="C24550">
        <v>10172</v>
      </c>
      <c r="D24550" t="s">
        <v>1088</v>
      </c>
      <c r="E24550" t="s">
        <v>1089</v>
      </c>
      <c r="F24550">
        <v>3</v>
      </c>
      <c r="G24550">
        <v>230731</v>
      </c>
      <c r="H24550">
        <v>4343</v>
      </c>
      <c r="I24550" t="s">
        <v>91</v>
      </c>
      <c r="J24550">
        <v>3.72</v>
      </c>
      <c r="K24550">
        <v>0.72</v>
      </c>
      <c r="L24550">
        <v>49702</v>
      </c>
      <c r="M24550" t="s">
        <v>584</v>
      </c>
      <c r="N24550" t="str">
        <f>"8180114     "</f>
        <v xml:space="preserve">8180114     </v>
      </c>
      <c r="O24550">
        <v>230809</v>
      </c>
    </row>
    <row r="24551" spans="1:15" x14ac:dyDescent="0.25">
      <c r="A24551" t="s">
        <v>16</v>
      </c>
      <c r="B24551" t="s">
        <v>3221</v>
      </c>
      <c r="C24551">
        <v>12585</v>
      </c>
      <c r="D24551" t="s">
        <v>1088</v>
      </c>
      <c r="E24551" t="s">
        <v>1089</v>
      </c>
      <c r="F24551">
        <v>371.7</v>
      </c>
      <c r="G24551">
        <v>230831</v>
      </c>
      <c r="H24551">
        <v>4343</v>
      </c>
      <c r="I24551" t="s">
        <v>91</v>
      </c>
      <c r="J24551">
        <v>460.91</v>
      </c>
      <c r="K24551">
        <v>89.21</v>
      </c>
      <c r="L24551">
        <v>14971</v>
      </c>
      <c r="M24551" t="s">
        <v>1259</v>
      </c>
      <c r="N24551" t="str">
        <f t="shared" ref="N24551:N24560" si="470">"8181898     "</f>
        <v xml:space="preserve">8181898     </v>
      </c>
      <c r="O24551">
        <v>230922</v>
      </c>
    </row>
    <row r="24552" spans="1:15" x14ac:dyDescent="0.25">
      <c r="A24552" t="s">
        <v>16</v>
      </c>
      <c r="B24552" t="s">
        <v>3221</v>
      </c>
      <c r="C24552">
        <v>12585</v>
      </c>
      <c r="D24552" t="s">
        <v>1088</v>
      </c>
      <c r="E24552" t="s">
        <v>1089</v>
      </c>
      <c r="F24552">
        <v>18.899999999999999</v>
      </c>
      <c r="G24552">
        <v>230831</v>
      </c>
      <c r="H24552">
        <v>4343</v>
      </c>
      <c r="I24552" t="s">
        <v>91</v>
      </c>
      <c r="J24552">
        <v>23.44</v>
      </c>
      <c r="K24552">
        <v>4.54</v>
      </c>
      <c r="L24552">
        <v>17971</v>
      </c>
      <c r="M24552" t="s">
        <v>138</v>
      </c>
      <c r="N24552" t="str">
        <f t="shared" si="470"/>
        <v xml:space="preserve">8181898     </v>
      </c>
      <c r="O24552">
        <v>230922</v>
      </c>
    </row>
    <row r="24553" spans="1:15" x14ac:dyDescent="0.25">
      <c r="A24553" t="s">
        <v>16</v>
      </c>
      <c r="B24553" t="s">
        <v>3221</v>
      </c>
      <c r="C24553">
        <v>12585</v>
      </c>
      <c r="D24553" t="s">
        <v>1088</v>
      </c>
      <c r="E24553" t="s">
        <v>1089</v>
      </c>
      <c r="F24553">
        <v>19.8</v>
      </c>
      <c r="G24553">
        <v>230831</v>
      </c>
      <c r="H24553">
        <v>4343</v>
      </c>
      <c r="I24553" t="s">
        <v>91</v>
      </c>
      <c r="J24553">
        <v>24.55</v>
      </c>
      <c r="K24553">
        <v>4.75</v>
      </c>
      <c r="L24553">
        <v>17971</v>
      </c>
      <c r="M24553" t="s">
        <v>138</v>
      </c>
      <c r="N24553" t="str">
        <f t="shared" si="470"/>
        <v xml:space="preserve">8181898     </v>
      </c>
      <c r="O24553">
        <v>230922</v>
      </c>
    </row>
    <row r="24554" spans="1:15" x14ac:dyDescent="0.25">
      <c r="A24554" t="s">
        <v>16</v>
      </c>
      <c r="B24554" t="s">
        <v>3221</v>
      </c>
      <c r="C24554">
        <v>12585</v>
      </c>
      <c r="D24554" t="s">
        <v>1088</v>
      </c>
      <c r="E24554" t="s">
        <v>1089</v>
      </c>
      <c r="F24554">
        <v>28.8</v>
      </c>
      <c r="G24554">
        <v>230831</v>
      </c>
      <c r="H24554">
        <v>4343</v>
      </c>
      <c r="I24554" t="s">
        <v>91</v>
      </c>
      <c r="J24554">
        <v>35.71</v>
      </c>
      <c r="K24554">
        <v>6.91</v>
      </c>
      <c r="L24554">
        <v>17971</v>
      </c>
      <c r="M24554" t="s">
        <v>138</v>
      </c>
      <c r="N24554" t="str">
        <f t="shared" si="470"/>
        <v xml:space="preserve">8181898     </v>
      </c>
      <c r="O24554">
        <v>230922</v>
      </c>
    </row>
    <row r="24555" spans="1:15" x14ac:dyDescent="0.25">
      <c r="A24555" t="s">
        <v>16</v>
      </c>
      <c r="B24555" t="s">
        <v>3221</v>
      </c>
      <c r="C24555">
        <v>12585</v>
      </c>
      <c r="D24555" t="s">
        <v>1088</v>
      </c>
      <c r="E24555" t="s">
        <v>1089</v>
      </c>
      <c r="F24555">
        <v>87.3</v>
      </c>
      <c r="G24555">
        <v>230831</v>
      </c>
      <c r="H24555">
        <v>4343</v>
      </c>
      <c r="I24555" t="s">
        <v>91</v>
      </c>
      <c r="J24555">
        <v>108.25</v>
      </c>
      <c r="K24555">
        <v>20.95</v>
      </c>
      <c r="L24555">
        <v>17971</v>
      </c>
      <c r="M24555" t="s">
        <v>138</v>
      </c>
      <c r="N24555" t="str">
        <f t="shared" si="470"/>
        <v xml:space="preserve">8181898     </v>
      </c>
      <c r="O24555">
        <v>230922</v>
      </c>
    </row>
    <row r="24556" spans="1:15" x14ac:dyDescent="0.25">
      <c r="A24556" t="s">
        <v>16</v>
      </c>
      <c r="B24556" t="s">
        <v>3221</v>
      </c>
      <c r="C24556">
        <v>12585</v>
      </c>
      <c r="D24556" t="s">
        <v>1088</v>
      </c>
      <c r="E24556" t="s">
        <v>1089</v>
      </c>
      <c r="F24556">
        <v>676.8</v>
      </c>
      <c r="G24556">
        <v>230831</v>
      </c>
      <c r="H24556">
        <v>4343</v>
      </c>
      <c r="I24556" t="s">
        <v>91</v>
      </c>
      <c r="J24556">
        <v>839.23</v>
      </c>
      <c r="K24556">
        <v>162.43</v>
      </c>
      <c r="L24556">
        <v>18972</v>
      </c>
      <c r="M24556" t="s">
        <v>163</v>
      </c>
      <c r="N24556" t="str">
        <f t="shared" si="470"/>
        <v xml:space="preserve">8181898     </v>
      </c>
      <c r="O24556">
        <v>230922</v>
      </c>
    </row>
    <row r="24557" spans="1:15" x14ac:dyDescent="0.25">
      <c r="A24557" t="s">
        <v>16</v>
      </c>
      <c r="B24557" t="s">
        <v>3221</v>
      </c>
      <c r="C24557">
        <v>12585</v>
      </c>
      <c r="D24557" t="s">
        <v>1088</v>
      </c>
      <c r="E24557" t="s">
        <v>1089</v>
      </c>
      <c r="F24557">
        <v>173.7</v>
      </c>
      <c r="G24557">
        <v>230831</v>
      </c>
      <c r="H24557">
        <v>4343</v>
      </c>
      <c r="I24557" t="s">
        <v>91</v>
      </c>
      <c r="J24557">
        <v>215.39</v>
      </c>
      <c r="K24557">
        <v>41.69</v>
      </c>
      <c r="L24557">
        <v>49702</v>
      </c>
      <c r="M24557" t="s">
        <v>584</v>
      </c>
      <c r="N24557" t="str">
        <f t="shared" si="470"/>
        <v xml:space="preserve">8181898     </v>
      </c>
      <c r="O24557">
        <v>230922</v>
      </c>
    </row>
    <row r="24558" spans="1:15" x14ac:dyDescent="0.25">
      <c r="A24558" t="s">
        <v>16</v>
      </c>
      <c r="B24558" t="s">
        <v>3221</v>
      </c>
      <c r="C24558">
        <v>12585</v>
      </c>
      <c r="D24558" t="s">
        <v>1088</v>
      </c>
      <c r="E24558" t="s">
        <v>1089</v>
      </c>
      <c r="F24558">
        <v>26.1</v>
      </c>
      <c r="G24558">
        <v>230831</v>
      </c>
      <c r="H24558">
        <v>4343</v>
      </c>
      <c r="I24558" t="s">
        <v>91</v>
      </c>
      <c r="J24558">
        <v>32.36</v>
      </c>
      <c r="K24558">
        <v>6.26</v>
      </c>
      <c r="L24558">
        <v>59702</v>
      </c>
      <c r="M24558" t="s">
        <v>328</v>
      </c>
      <c r="N24558" t="str">
        <f t="shared" si="470"/>
        <v xml:space="preserve">8181898     </v>
      </c>
      <c r="O24558">
        <v>230922</v>
      </c>
    </row>
    <row r="24559" spans="1:15" x14ac:dyDescent="0.25">
      <c r="A24559" t="s">
        <v>16</v>
      </c>
      <c r="B24559" t="s">
        <v>3221</v>
      </c>
      <c r="C24559">
        <v>12585</v>
      </c>
      <c r="D24559" t="s">
        <v>1088</v>
      </c>
      <c r="E24559" t="s">
        <v>1089</v>
      </c>
      <c r="F24559">
        <v>54.9</v>
      </c>
      <c r="G24559">
        <v>230831</v>
      </c>
      <c r="H24559">
        <v>4343</v>
      </c>
      <c r="I24559" t="s">
        <v>91</v>
      </c>
      <c r="J24559">
        <v>68.08</v>
      </c>
      <c r="K24559">
        <v>13.18</v>
      </c>
      <c r="L24559">
        <v>69702</v>
      </c>
      <c r="M24559" t="s">
        <v>489</v>
      </c>
      <c r="N24559" t="str">
        <f t="shared" si="470"/>
        <v xml:space="preserve">8181898     </v>
      </c>
      <c r="O24559">
        <v>230922</v>
      </c>
    </row>
    <row r="24560" spans="1:15" x14ac:dyDescent="0.25">
      <c r="A24560" t="s">
        <v>16</v>
      </c>
      <c r="B24560" t="s">
        <v>3221</v>
      </c>
      <c r="C24560">
        <v>12585</v>
      </c>
      <c r="D24560" t="s">
        <v>1088</v>
      </c>
      <c r="E24560" t="s">
        <v>1089</v>
      </c>
      <c r="F24560">
        <v>137.69999999999999</v>
      </c>
      <c r="G24560">
        <v>230831</v>
      </c>
      <c r="H24560">
        <v>4343</v>
      </c>
      <c r="I24560" t="s">
        <v>91</v>
      </c>
      <c r="J24560">
        <v>170.75</v>
      </c>
      <c r="K24560">
        <v>33.049999999999997</v>
      </c>
      <c r="L24560">
        <v>69704</v>
      </c>
      <c r="M24560" t="s">
        <v>325</v>
      </c>
      <c r="N24560" t="str">
        <f t="shared" si="470"/>
        <v xml:space="preserve">8181898     </v>
      </c>
      <c r="O24560">
        <v>230922</v>
      </c>
    </row>
    <row r="24561" spans="1:15" x14ac:dyDescent="0.25">
      <c r="A24561" t="s">
        <v>16</v>
      </c>
      <c r="B24561" t="s">
        <v>3221</v>
      </c>
      <c r="C24561">
        <v>13794</v>
      </c>
      <c r="D24561" t="s">
        <v>1088</v>
      </c>
      <c r="E24561" t="s">
        <v>1089</v>
      </c>
      <c r="F24561">
        <v>287.10000000000002</v>
      </c>
      <c r="G24561">
        <v>230930</v>
      </c>
      <c r="H24561">
        <v>4343</v>
      </c>
      <c r="I24561" t="s">
        <v>91</v>
      </c>
      <c r="J24561">
        <v>356</v>
      </c>
      <c r="K24561">
        <v>68.900000000000006</v>
      </c>
      <c r="L24561">
        <v>14971</v>
      </c>
      <c r="M24561" t="s">
        <v>1259</v>
      </c>
      <c r="N24561" t="str">
        <f t="shared" ref="N24561:N24570" si="471">"8183012     "</f>
        <v xml:space="preserve">8183012     </v>
      </c>
      <c r="O24561">
        <v>231013</v>
      </c>
    </row>
    <row r="24562" spans="1:15" x14ac:dyDescent="0.25">
      <c r="A24562" t="s">
        <v>16</v>
      </c>
      <c r="B24562" t="s">
        <v>3221</v>
      </c>
      <c r="C24562">
        <v>13794</v>
      </c>
      <c r="D24562" t="s">
        <v>1088</v>
      </c>
      <c r="E24562" t="s">
        <v>1089</v>
      </c>
      <c r="F24562">
        <v>1.8</v>
      </c>
      <c r="G24562">
        <v>230930</v>
      </c>
      <c r="H24562">
        <v>4343</v>
      </c>
      <c r="I24562" t="s">
        <v>91</v>
      </c>
      <c r="J24562">
        <v>2.23</v>
      </c>
      <c r="K24562">
        <v>0.43</v>
      </c>
      <c r="L24562">
        <v>17972</v>
      </c>
      <c r="M24562" t="s">
        <v>248</v>
      </c>
      <c r="N24562" t="str">
        <f t="shared" si="471"/>
        <v xml:space="preserve">8183012     </v>
      </c>
      <c r="O24562">
        <v>231013</v>
      </c>
    </row>
    <row r="24563" spans="1:15" x14ac:dyDescent="0.25">
      <c r="A24563" t="s">
        <v>16</v>
      </c>
      <c r="B24563" t="s">
        <v>3221</v>
      </c>
      <c r="C24563">
        <v>13794</v>
      </c>
      <c r="D24563" t="s">
        <v>1088</v>
      </c>
      <c r="E24563" t="s">
        <v>1089</v>
      </c>
      <c r="F24563">
        <v>20.7</v>
      </c>
      <c r="G24563">
        <v>230930</v>
      </c>
      <c r="H24563">
        <v>4343</v>
      </c>
      <c r="I24563" t="s">
        <v>91</v>
      </c>
      <c r="J24563">
        <v>25.67</v>
      </c>
      <c r="K24563">
        <v>4.97</v>
      </c>
      <c r="L24563">
        <v>17972</v>
      </c>
      <c r="M24563" t="s">
        <v>248</v>
      </c>
      <c r="N24563" t="str">
        <f t="shared" si="471"/>
        <v xml:space="preserve">8183012     </v>
      </c>
      <c r="O24563">
        <v>231013</v>
      </c>
    </row>
    <row r="24564" spans="1:15" x14ac:dyDescent="0.25">
      <c r="A24564" t="s">
        <v>16</v>
      </c>
      <c r="B24564" t="s">
        <v>3221</v>
      </c>
      <c r="C24564">
        <v>13794</v>
      </c>
      <c r="D24564" t="s">
        <v>1088</v>
      </c>
      <c r="E24564" t="s">
        <v>1089</v>
      </c>
      <c r="F24564">
        <v>31.5</v>
      </c>
      <c r="G24564">
        <v>230930</v>
      </c>
      <c r="H24564">
        <v>4343</v>
      </c>
      <c r="I24564" t="s">
        <v>91</v>
      </c>
      <c r="J24564">
        <v>39.06</v>
      </c>
      <c r="K24564">
        <v>7.56</v>
      </c>
      <c r="L24564">
        <v>17972</v>
      </c>
      <c r="M24564" t="s">
        <v>248</v>
      </c>
      <c r="N24564" t="str">
        <f t="shared" si="471"/>
        <v xml:space="preserve">8183012     </v>
      </c>
      <c r="O24564">
        <v>231013</v>
      </c>
    </row>
    <row r="24565" spans="1:15" x14ac:dyDescent="0.25">
      <c r="A24565" t="s">
        <v>16</v>
      </c>
      <c r="B24565" t="s">
        <v>3221</v>
      </c>
      <c r="C24565">
        <v>13794</v>
      </c>
      <c r="D24565" t="s">
        <v>1088</v>
      </c>
      <c r="E24565" t="s">
        <v>1089</v>
      </c>
      <c r="F24565">
        <v>46.8</v>
      </c>
      <c r="G24565">
        <v>230930</v>
      </c>
      <c r="H24565">
        <v>4343</v>
      </c>
      <c r="I24565" t="s">
        <v>91</v>
      </c>
      <c r="J24565">
        <v>58.03</v>
      </c>
      <c r="K24565">
        <v>11.23</v>
      </c>
      <c r="L24565">
        <v>17972</v>
      </c>
      <c r="M24565" t="s">
        <v>248</v>
      </c>
      <c r="N24565" t="str">
        <f t="shared" si="471"/>
        <v xml:space="preserve">8183012     </v>
      </c>
      <c r="O24565">
        <v>231013</v>
      </c>
    </row>
    <row r="24566" spans="1:15" x14ac:dyDescent="0.25">
      <c r="A24566" t="s">
        <v>16</v>
      </c>
      <c r="B24566" t="s">
        <v>3221</v>
      </c>
      <c r="C24566">
        <v>13794</v>
      </c>
      <c r="D24566" t="s">
        <v>1088</v>
      </c>
      <c r="E24566" t="s">
        <v>1089</v>
      </c>
      <c r="F24566">
        <v>1093.5</v>
      </c>
      <c r="G24566">
        <v>230930</v>
      </c>
      <c r="H24566">
        <v>4343</v>
      </c>
      <c r="I24566" t="s">
        <v>91</v>
      </c>
      <c r="J24566">
        <v>1355.94</v>
      </c>
      <c r="K24566">
        <v>262.44</v>
      </c>
      <c r="L24566">
        <v>18972</v>
      </c>
      <c r="M24566" t="s">
        <v>163</v>
      </c>
      <c r="N24566" t="str">
        <f t="shared" si="471"/>
        <v xml:space="preserve">8183012     </v>
      </c>
      <c r="O24566">
        <v>231013</v>
      </c>
    </row>
    <row r="24567" spans="1:15" x14ac:dyDescent="0.25">
      <c r="A24567" t="s">
        <v>16</v>
      </c>
      <c r="B24567" t="s">
        <v>3221</v>
      </c>
      <c r="C24567">
        <v>13794</v>
      </c>
      <c r="D24567" t="s">
        <v>1088</v>
      </c>
      <c r="E24567" t="s">
        <v>1089</v>
      </c>
      <c r="F24567">
        <v>150.30000000000001</v>
      </c>
      <c r="G24567">
        <v>230930</v>
      </c>
      <c r="H24567">
        <v>4343</v>
      </c>
      <c r="I24567" t="s">
        <v>91</v>
      </c>
      <c r="J24567">
        <v>186.37</v>
      </c>
      <c r="K24567">
        <v>36.07</v>
      </c>
      <c r="L24567">
        <v>49702</v>
      </c>
      <c r="M24567" t="s">
        <v>584</v>
      </c>
      <c r="N24567" t="str">
        <f t="shared" si="471"/>
        <v xml:space="preserve">8183012     </v>
      </c>
      <c r="O24567">
        <v>231013</v>
      </c>
    </row>
    <row r="24568" spans="1:15" x14ac:dyDescent="0.25">
      <c r="A24568" t="s">
        <v>16</v>
      </c>
      <c r="B24568" t="s">
        <v>3221</v>
      </c>
      <c r="C24568">
        <v>13794</v>
      </c>
      <c r="D24568" t="s">
        <v>1088</v>
      </c>
      <c r="E24568" t="s">
        <v>1089</v>
      </c>
      <c r="F24568">
        <v>10.81</v>
      </c>
      <c r="G24568">
        <v>230930</v>
      </c>
      <c r="H24568">
        <v>4343</v>
      </c>
      <c r="I24568" t="s">
        <v>91</v>
      </c>
      <c r="J24568">
        <v>13.4</v>
      </c>
      <c r="K24568">
        <v>2.59</v>
      </c>
      <c r="L24568">
        <v>59702</v>
      </c>
      <c r="M24568" t="s">
        <v>328</v>
      </c>
      <c r="N24568" t="str">
        <f t="shared" si="471"/>
        <v xml:space="preserve">8183012     </v>
      </c>
      <c r="O24568">
        <v>231013</v>
      </c>
    </row>
    <row r="24569" spans="1:15" x14ac:dyDescent="0.25">
      <c r="A24569" t="s">
        <v>16</v>
      </c>
      <c r="B24569" t="s">
        <v>3221</v>
      </c>
      <c r="C24569">
        <v>13794</v>
      </c>
      <c r="D24569" t="s">
        <v>1088</v>
      </c>
      <c r="E24569" t="s">
        <v>1089</v>
      </c>
      <c r="F24569">
        <v>52.2</v>
      </c>
      <c r="G24569">
        <v>230930</v>
      </c>
      <c r="H24569">
        <v>4343</v>
      </c>
      <c r="I24569" t="s">
        <v>91</v>
      </c>
      <c r="J24569">
        <v>64.73</v>
      </c>
      <c r="K24569">
        <v>12.53</v>
      </c>
      <c r="L24569">
        <v>69702</v>
      </c>
      <c r="M24569" t="s">
        <v>489</v>
      </c>
      <c r="N24569" t="str">
        <f t="shared" si="471"/>
        <v xml:space="preserve">8183012     </v>
      </c>
      <c r="O24569">
        <v>231013</v>
      </c>
    </row>
    <row r="24570" spans="1:15" x14ac:dyDescent="0.25">
      <c r="A24570" t="s">
        <v>16</v>
      </c>
      <c r="B24570" t="s">
        <v>3221</v>
      </c>
      <c r="C24570">
        <v>13794</v>
      </c>
      <c r="D24570" t="s">
        <v>1088</v>
      </c>
      <c r="E24570" t="s">
        <v>1089</v>
      </c>
      <c r="F24570">
        <v>201.6</v>
      </c>
      <c r="G24570">
        <v>230930</v>
      </c>
      <c r="H24570">
        <v>4343</v>
      </c>
      <c r="I24570" t="s">
        <v>91</v>
      </c>
      <c r="J24570">
        <v>249.98</v>
      </c>
      <c r="K24570">
        <v>48.38</v>
      </c>
      <c r="L24570">
        <v>69704</v>
      </c>
      <c r="M24570" t="s">
        <v>325</v>
      </c>
      <c r="N24570" t="str">
        <f t="shared" si="471"/>
        <v xml:space="preserve">8183012     </v>
      </c>
      <c r="O24570">
        <v>231013</v>
      </c>
    </row>
    <row r="24571" spans="1:15" x14ac:dyDescent="0.25">
      <c r="A24571" t="s">
        <v>16</v>
      </c>
      <c r="B24571" t="s">
        <v>3221</v>
      </c>
      <c r="C24571">
        <v>15602</v>
      </c>
      <c r="D24571" t="s">
        <v>1088</v>
      </c>
      <c r="E24571" t="s">
        <v>1089</v>
      </c>
      <c r="F24571">
        <v>364.5</v>
      </c>
      <c r="G24571">
        <v>231031</v>
      </c>
      <c r="H24571">
        <v>4343</v>
      </c>
      <c r="I24571" t="s">
        <v>91</v>
      </c>
      <c r="J24571">
        <v>451.98</v>
      </c>
      <c r="K24571">
        <v>87.48</v>
      </c>
      <c r="L24571">
        <v>14971</v>
      </c>
      <c r="M24571" t="s">
        <v>1259</v>
      </c>
      <c r="N24571" t="str">
        <f t="shared" ref="N24571:N24580" si="472">"8184103     "</f>
        <v xml:space="preserve">8184103     </v>
      </c>
      <c r="O24571">
        <v>231114</v>
      </c>
    </row>
    <row r="24572" spans="1:15" x14ac:dyDescent="0.25">
      <c r="A24572" t="s">
        <v>16</v>
      </c>
      <c r="B24572" t="s">
        <v>3221</v>
      </c>
      <c r="C24572">
        <v>15602</v>
      </c>
      <c r="D24572" t="s">
        <v>1088</v>
      </c>
      <c r="E24572" t="s">
        <v>1089</v>
      </c>
      <c r="F24572">
        <v>9</v>
      </c>
      <c r="G24572">
        <v>231031</v>
      </c>
      <c r="H24572">
        <v>4343</v>
      </c>
      <c r="I24572" t="s">
        <v>91</v>
      </c>
      <c r="J24572">
        <v>11.16</v>
      </c>
      <c r="K24572">
        <v>2.16</v>
      </c>
      <c r="L24572">
        <v>17972</v>
      </c>
      <c r="M24572" t="s">
        <v>248</v>
      </c>
      <c r="N24572" t="str">
        <f t="shared" si="472"/>
        <v xml:space="preserve">8184103     </v>
      </c>
      <c r="O24572">
        <v>231114</v>
      </c>
    </row>
    <row r="24573" spans="1:15" x14ac:dyDescent="0.25">
      <c r="A24573" t="s">
        <v>16</v>
      </c>
      <c r="B24573" t="s">
        <v>3221</v>
      </c>
      <c r="C24573">
        <v>15602</v>
      </c>
      <c r="D24573" t="s">
        <v>1088</v>
      </c>
      <c r="E24573" t="s">
        <v>1089</v>
      </c>
      <c r="F24573">
        <v>41.4</v>
      </c>
      <c r="G24573">
        <v>231031</v>
      </c>
      <c r="H24573">
        <v>4343</v>
      </c>
      <c r="I24573" t="s">
        <v>91</v>
      </c>
      <c r="J24573">
        <v>51.34</v>
      </c>
      <c r="K24573">
        <v>9.94</v>
      </c>
      <c r="L24573">
        <v>17972</v>
      </c>
      <c r="M24573" t="s">
        <v>248</v>
      </c>
      <c r="N24573" t="str">
        <f t="shared" si="472"/>
        <v xml:space="preserve">8184103     </v>
      </c>
      <c r="O24573">
        <v>231114</v>
      </c>
    </row>
    <row r="24574" spans="1:15" x14ac:dyDescent="0.25">
      <c r="A24574" t="s">
        <v>16</v>
      </c>
      <c r="B24574" t="s">
        <v>3221</v>
      </c>
      <c r="C24574">
        <v>15602</v>
      </c>
      <c r="D24574" t="s">
        <v>1088</v>
      </c>
      <c r="E24574" t="s">
        <v>1089</v>
      </c>
      <c r="F24574">
        <v>45</v>
      </c>
      <c r="G24574">
        <v>231031</v>
      </c>
      <c r="H24574">
        <v>4343</v>
      </c>
      <c r="I24574" t="s">
        <v>91</v>
      </c>
      <c r="J24574">
        <v>55.8</v>
      </c>
      <c r="K24574">
        <v>10.8</v>
      </c>
      <c r="L24574">
        <v>17972</v>
      </c>
      <c r="M24574" t="s">
        <v>248</v>
      </c>
      <c r="N24574" t="str">
        <f t="shared" si="472"/>
        <v xml:space="preserve">8184103     </v>
      </c>
      <c r="O24574">
        <v>231114</v>
      </c>
    </row>
    <row r="24575" spans="1:15" x14ac:dyDescent="0.25">
      <c r="A24575" t="s">
        <v>16</v>
      </c>
      <c r="B24575" t="s">
        <v>3221</v>
      </c>
      <c r="C24575">
        <v>15602</v>
      </c>
      <c r="D24575" t="s">
        <v>1088</v>
      </c>
      <c r="E24575" t="s">
        <v>1089</v>
      </c>
      <c r="F24575">
        <v>207</v>
      </c>
      <c r="G24575">
        <v>231031</v>
      </c>
      <c r="H24575">
        <v>4343</v>
      </c>
      <c r="I24575" t="s">
        <v>91</v>
      </c>
      <c r="J24575">
        <v>256.68</v>
      </c>
      <c r="K24575">
        <v>49.68</v>
      </c>
      <c r="L24575">
        <v>17972</v>
      </c>
      <c r="M24575" t="s">
        <v>248</v>
      </c>
      <c r="N24575" t="str">
        <f t="shared" si="472"/>
        <v xml:space="preserve">8184103     </v>
      </c>
      <c r="O24575">
        <v>231114</v>
      </c>
    </row>
    <row r="24576" spans="1:15" x14ac:dyDescent="0.25">
      <c r="A24576" t="s">
        <v>16</v>
      </c>
      <c r="B24576" t="s">
        <v>3221</v>
      </c>
      <c r="C24576">
        <v>15602</v>
      </c>
      <c r="D24576" t="s">
        <v>1088</v>
      </c>
      <c r="E24576" t="s">
        <v>1089</v>
      </c>
      <c r="F24576">
        <v>1175.4000000000001</v>
      </c>
      <c r="G24576">
        <v>231031</v>
      </c>
      <c r="H24576">
        <v>4343</v>
      </c>
      <c r="I24576" t="s">
        <v>91</v>
      </c>
      <c r="J24576">
        <v>1457.49</v>
      </c>
      <c r="K24576">
        <v>282.08999999999997</v>
      </c>
      <c r="L24576">
        <v>18972</v>
      </c>
      <c r="M24576" t="s">
        <v>163</v>
      </c>
      <c r="N24576" t="str">
        <f t="shared" si="472"/>
        <v xml:space="preserve">8184103     </v>
      </c>
      <c r="O24576">
        <v>231114</v>
      </c>
    </row>
    <row r="24577" spans="1:15" x14ac:dyDescent="0.25">
      <c r="A24577" t="s">
        <v>16</v>
      </c>
      <c r="B24577" t="s">
        <v>3221</v>
      </c>
      <c r="C24577">
        <v>15602</v>
      </c>
      <c r="D24577" t="s">
        <v>1088</v>
      </c>
      <c r="E24577" t="s">
        <v>1089</v>
      </c>
      <c r="F24577">
        <v>142.19999999999999</v>
      </c>
      <c r="G24577">
        <v>231031</v>
      </c>
      <c r="H24577">
        <v>4343</v>
      </c>
      <c r="I24577" t="s">
        <v>91</v>
      </c>
      <c r="J24577">
        <v>176.33</v>
      </c>
      <c r="K24577">
        <v>34.130000000000003</v>
      </c>
      <c r="L24577">
        <v>49702</v>
      </c>
      <c r="M24577" t="s">
        <v>584</v>
      </c>
      <c r="N24577" t="str">
        <f t="shared" si="472"/>
        <v xml:space="preserve">8184103     </v>
      </c>
      <c r="O24577">
        <v>231114</v>
      </c>
    </row>
    <row r="24578" spans="1:15" x14ac:dyDescent="0.25">
      <c r="A24578" t="s">
        <v>16</v>
      </c>
      <c r="B24578" t="s">
        <v>3221</v>
      </c>
      <c r="C24578">
        <v>15602</v>
      </c>
      <c r="D24578" t="s">
        <v>1088</v>
      </c>
      <c r="E24578" t="s">
        <v>1089</v>
      </c>
      <c r="F24578">
        <v>36.9</v>
      </c>
      <c r="G24578">
        <v>231031</v>
      </c>
      <c r="H24578">
        <v>4343</v>
      </c>
      <c r="I24578" t="s">
        <v>91</v>
      </c>
      <c r="J24578">
        <v>45.75</v>
      </c>
      <c r="K24578">
        <v>8.85</v>
      </c>
      <c r="L24578">
        <v>59702</v>
      </c>
      <c r="M24578" t="s">
        <v>328</v>
      </c>
      <c r="N24578" t="str">
        <f t="shared" si="472"/>
        <v xml:space="preserve">8184103     </v>
      </c>
      <c r="O24578">
        <v>231114</v>
      </c>
    </row>
    <row r="24579" spans="1:15" x14ac:dyDescent="0.25">
      <c r="A24579" t="s">
        <v>16</v>
      </c>
      <c r="B24579" t="s">
        <v>3221</v>
      </c>
      <c r="C24579">
        <v>15602</v>
      </c>
      <c r="D24579" t="s">
        <v>1088</v>
      </c>
      <c r="E24579" t="s">
        <v>1089</v>
      </c>
      <c r="F24579">
        <v>25.2</v>
      </c>
      <c r="G24579">
        <v>231031</v>
      </c>
      <c r="H24579">
        <v>4343</v>
      </c>
      <c r="I24579" t="s">
        <v>91</v>
      </c>
      <c r="J24579">
        <v>31.25</v>
      </c>
      <c r="K24579">
        <v>6.05</v>
      </c>
      <c r="L24579">
        <v>69702</v>
      </c>
      <c r="M24579" t="s">
        <v>489</v>
      </c>
      <c r="N24579" t="str">
        <f t="shared" si="472"/>
        <v xml:space="preserve">8184103     </v>
      </c>
      <c r="O24579">
        <v>231114</v>
      </c>
    </row>
    <row r="24580" spans="1:15" x14ac:dyDescent="0.25">
      <c r="A24580" t="s">
        <v>16</v>
      </c>
      <c r="B24580" t="s">
        <v>3221</v>
      </c>
      <c r="C24580">
        <v>15602</v>
      </c>
      <c r="D24580" t="s">
        <v>1088</v>
      </c>
      <c r="E24580" t="s">
        <v>1089</v>
      </c>
      <c r="F24580">
        <v>135</v>
      </c>
      <c r="G24580">
        <v>231031</v>
      </c>
      <c r="H24580">
        <v>4343</v>
      </c>
      <c r="I24580" t="s">
        <v>91</v>
      </c>
      <c r="J24580">
        <v>167.4</v>
      </c>
      <c r="K24580">
        <v>32.4</v>
      </c>
      <c r="L24580">
        <v>69704</v>
      </c>
      <c r="M24580" t="s">
        <v>325</v>
      </c>
      <c r="N24580" t="str">
        <f t="shared" si="472"/>
        <v xml:space="preserve">8184103     </v>
      </c>
      <c r="O24580">
        <v>231114</v>
      </c>
    </row>
    <row r="24581" spans="1:15" x14ac:dyDescent="0.25">
      <c r="A24581" t="s">
        <v>16</v>
      </c>
      <c r="B24581" t="s">
        <v>3221</v>
      </c>
      <c r="C24581">
        <v>17622</v>
      </c>
      <c r="D24581" t="s">
        <v>1088</v>
      </c>
      <c r="E24581" t="s">
        <v>1089</v>
      </c>
      <c r="F24581">
        <v>306</v>
      </c>
      <c r="G24581">
        <v>231130</v>
      </c>
      <c r="H24581">
        <v>4343</v>
      </c>
      <c r="I24581" t="s">
        <v>91</v>
      </c>
      <c r="J24581">
        <v>379.44</v>
      </c>
      <c r="K24581">
        <v>73.44</v>
      </c>
      <c r="L24581">
        <v>14971</v>
      </c>
      <c r="M24581" t="s">
        <v>1259</v>
      </c>
      <c r="N24581" t="str">
        <f t="shared" ref="N24581:N24590" si="473">"8185482     "</f>
        <v xml:space="preserve">8185482     </v>
      </c>
      <c r="O24581">
        <v>231215</v>
      </c>
    </row>
    <row r="24582" spans="1:15" x14ac:dyDescent="0.25">
      <c r="A24582" t="s">
        <v>16</v>
      </c>
      <c r="B24582" t="s">
        <v>3221</v>
      </c>
      <c r="C24582">
        <v>17622</v>
      </c>
      <c r="D24582" t="s">
        <v>1088</v>
      </c>
      <c r="E24582" t="s">
        <v>1089</v>
      </c>
      <c r="F24582">
        <v>9.9</v>
      </c>
      <c r="G24582">
        <v>231130</v>
      </c>
      <c r="H24582">
        <v>4343</v>
      </c>
      <c r="I24582" t="s">
        <v>91</v>
      </c>
      <c r="J24582">
        <v>12.28</v>
      </c>
      <c r="K24582">
        <v>2.38</v>
      </c>
      <c r="L24582">
        <v>17972</v>
      </c>
      <c r="M24582" t="s">
        <v>248</v>
      </c>
      <c r="N24582" t="str">
        <f t="shared" si="473"/>
        <v xml:space="preserve">8185482     </v>
      </c>
      <c r="O24582">
        <v>231215</v>
      </c>
    </row>
    <row r="24583" spans="1:15" x14ac:dyDescent="0.25">
      <c r="A24583" t="s">
        <v>16</v>
      </c>
      <c r="B24583" t="s">
        <v>3221</v>
      </c>
      <c r="C24583">
        <v>17622</v>
      </c>
      <c r="D24583" t="s">
        <v>1088</v>
      </c>
      <c r="E24583" t="s">
        <v>1089</v>
      </c>
      <c r="F24583">
        <v>36</v>
      </c>
      <c r="G24583">
        <v>231130</v>
      </c>
      <c r="H24583">
        <v>4343</v>
      </c>
      <c r="I24583" t="s">
        <v>91</v>
      </c>
      <c r="J24583">
        <v>44.64</v>
      </c>
      <c r="K24583">
        <v>8.64</v>
      </c>
      <c r="L24583">
        <v>17972</v>
      </c>
      <c r="M24583" t="s">
        <v>248</v>
      </c>
      <c r="N24583" t="str">
        <f t="shared" si="473"/>
        <v xml:space="preserve">8185482     </v>
      </c>
      <c r="O24583">
        <v>231215</v>
      </c>
    </row>
    <row r="24584" spans="1:15" x14ac:dyDescent="0.25">
      <c r="A24584" t="s">
        <v>16</v>
      </c>
      <c r="B24584" t="s">
        <v>3221</v>
      </c>
      <c r="C24584">
        <v>17622</v>
      </c>
      <c r="D24584" t="s">
        <v>1088</v>
      </c>
      <c r="E24584" t="s">
        <v>1089</v>
      </c>
      <c r="F24584">
        <v>41.4</v>
      </c>
      <c r="G24584">
        <v>231130</v>
      </c>
      <c r="H24584">
        <v>4343</v>
      </c>
      <c r="I24584" t="s">
        <v>91</v>
      </c>
      <c r="J24584">
        <v>51.34</v>
      </c>
      <c r="K24584">
        <v>9.94</v>
      </c>
      <c r="L24584">
        <v>17972</v>
      </c>
      <c r="M24584" t="s">
        <v>248</v>
      </c>
      <c r="N24584" t="str">
        <f t="shared" si="473"/>
        <v xml:space="preserve">8185482     </v>
      </c>
      <c r="O24584">
        <v>231215</v>
      </c>
    </row>
    <row r="24585" spans="1:15" x14ac:dyDescent="0.25">
      <c r="A24585" t="s">
        <v>16</v>
      </c>
      <c r="B24585" t="s">
        <v>3221</v>
      </c>
      <c r="C24585">
        <v>17622</v>
      </c>
      <c r="D24585" t="s">
        <v>1088</v>
      </c>
      <c r="E24585" t="s">
        <v>1089</v>
      </c>
      <c r="F24585">
        <v>75.599999999999994</v>
      </c>
      <c r="G24585">
        <v>231130</v>
      </c>
      <c r="H24585">
        <v>4343</v>
      </c>
      <c r="I24585" t="s">
        <v>91</v>
      </c>
      <c r="J24585">
        <v>93.74</v>
      </c>
      <c r="K24585">
        <v>18.14</v>
      </c>
      <c r="L24585">
        <v>17972</v>
      </c>
      <c r="M24585" t="s">
        <v>248</v>
      </c>
      <c r="N24585" t="str">
        <f t="shared" si="473"/>
        <v xml:space="preserve">8185482     </v>
      </c>
      <c r="O24585">
        <v>231215</v>
      </c>
    </row>
    <row r="24586" spans="1:15" x14ac:dyDescent="0.25">
      <c r="A24586" t="s">
        <v>16</v>
      </c>
      <c r="B24586" t="s">
        <v>3221</v>
      </c>
      <c r="C24586">
        <v>17622</v>
      </c>
      <c r="D24586" t="s">
        <v>1088</v>
      </c>
      <c r="E24586" t="s">
        <v>1089</v>
      </c>
      <c r="F24586">
        <v>1449.9</v>
      </c>
      <c r="G24586">
        <v>231130</v>
      </c>
      <c r="H24586">
        <v>4343</v>
      </c>
      <c r="I24586" t="s">
        <v>91</v>
      </c>
      <c r="J24586">
        <v>1797.87</v>
      </c>
      <c r="K24586">
        <v>347.97</v>
      </c>
      <c r="L24586">
        <v>18972</v>
      </c>
      <c r="M24586" t="s">
        <v>163</v>
      </c>
      <c r="N24586" t="str">
        <f t="shared" si="473"/>
        <v xml:space="preserve">8185482     </v>
      </c>
      <c r="O24586">
        <v>231215</v>
      </c>
    </row>
    <row r="24587" spans="1:15" x14ac:dyDescent="0.25">
      <c r="A24587" t="s">
        <v>16</v>
      </c>
      <c r="B24587" t="s">
        <v>3221</v>
      </c>
      <c r="C24587">
        <v>17622</v>
      </c>
      <c r="D24587" t="s">
        <v>1088</v>
      </c>
      <c r="E24587" t="s">
        <v>1089</v>
      </c>
      <c r="F24587">
        <v>195.3</v>
      </c>
      <c r="G24587">
        <v>231130</v>
      </c>
      <c r="H24587">
        <v>4343</v>
      </c>
      <c r="I24587" t="s">
        <v>91</v>
      </c>
      <c r="J24587">
        <v>242.17</v>
      </c>
      <c r="K24587">
        <v>46.87</v>
      </c>
      <c r="L24587">
        <v>49702</v>
      </c>
      <c r="M24587" t="s">
        <v>584</v>
      </c>
      <c r="N24587" t="str">
        <f t="shared" si="473"/>
        <v xml:space="preserve">8185482     </v>
      </c>
      <c r="O24587">
        <v>231215</v>
      </c>
    </row>
    <row r="24588" spans="1:15" x14ac:dyDescent="0.25">
      <c r="A24588" t="s">
        <v>16</v>
      </c>
      <c r="B24588" t="s">
        <v>3221</v>
      </c>
      <c r="C24588">
        <v>17622</v>
      </c>
      <c r="D24588" t="s">
        <v>1088</v>
      </c>
      <c r="E24588" t="s">
        <v>1089</v>
      </c>
      <c r="F24588">
        <v>18</v>
      </c>
      <c r="G24588">
        <v>231130</v>
      </c>
      <c r="H24588">
        <v>4343</v>
      </c>
      <c r="I24588" t="s">
        <v>91</v>
      </c>
      <c r="J24588">
        <v>22.32</v>
      </c>
      <c r="K24588">
        <v>4.32</v>
      </c>
      <c r="L24588">
        <v>59702</v>
      </c>
      <c r="M24588" t="s">
        <v>328</v>
      </c>
      <c r="N24588" t="str">
        <f t="shared" si="473"/>
        <v xml:space="preserve">8185482     </v>
      </c>
      <c r="O24588">
        <v>231215</v>
      </c>
    </row>
    <row r="24589" spans="1:15" x14ac:dyDescent="0.25">
      <c r="A24589" t="s">
        <v>16</v>
      </c>
      <c r="B24589" t="s">
        <v>3221</v>
      </c>
      <c r="C24589">
        <v>17622</v>
      </c>
      <c r="D24589" t="s">
        <v>1088</v>
      </c>
      <c r="E24589" t="s">
        <v>1089</v>
      </c>
      <c r="F24589">
        <v>25.2</v>
      </c>
      <c r="G24589">
        <v>231130</v>
      </c>
      <c r="H24589">
        <v>4343</v>
      </c>
      <c r="I24589" t="s">
        <v>91</v>
      </c>
      <c r="J24589">
        <v>31.25</v>
      </c>
      <c r="K24589">
        <v>6.05</v>
      </c>
      <c r="L24589">
        <v>69702</v>
      </c>
      <c r="M24589" t="s">
        <v>489</v>
      </c>
      <c r="N24589" t="str">
        <f t="shared" si="473"/>
        <v xml:space="preserve">8185482     </v>
      </c>
      <c r="O24589">
        <v>231215</v>
      </c>
    </row>
    <row r="24590" spans="1:15" x14ac:dyDescent="0.25">
      <c r="A24590" t="s">
        <v>16</v>
      </c>
      <c r="B24590" t="s">
        <v>3221</v>
      </c>
      <c r="C24590">
        <v>17622</v>
      </c>
      <c r="D24590" t="s">
        <v>1088</v>
      </c>
      <c r="E24590" t="s">
        <v>1089</v>
      </c>
      <c r="F24590">
        <v>132.30000000000001</v>
      </c>
      <c r="G24590">
        <v>231130</v>
      </c>
      <c r="H24590">
        <v>4343</v>
      </c>
      <c r="I24590" t="s">
        <v>91</v>
      </c>
      <c r="J24590">
        <v>164.05</v>
      </c>
      <c r="K24590">
        <v>31.75</v>
      </c>
      <c r="L24590">
        <v>69704</v>
      </c>
      <c r="M24590" t="s">
        <v>325</v>
      </c>
      <c r="N24590" t="str">
        <f t="shared" si="473"/>
        <v xml:space="preserve">8185482     </v>
      </c>
      <c r="O24590">
        <v>231215</v>
      </c>
    </row>
    <row r="24591" spans="1:15" x14ac:dyDescent="0.25">
      <c r="A24591" t="s">
        <v>16</v>
      </c>
      <c r="B24591" t="s">
        <v>3221</v>
      </c>
      <c r="C24591">
        <v>19204</v>
      </c>
      <c r="D24591" t="s">
        <v>1088</v>
      </c>
      <c r="E24591" t="s">
        <v>1089</v>
      </c>
      <c r="F24591">
        <v>328.5</v>
      </c>
      <c r="G24591">
        <v>231231</v>
      </c>
      <c r="H24591">
        <v>4343</v>
      </c>
      <c r="I24591" t="s">
        <v>91</v>
      </c>
      <c r="J24591">
        <v>407.34</v>
      </c>
      <c r="K24591">
        <v>78.84</v>
      </c>
      <c r="L24591">
        <v>14971</v>
      </c>
      <c r="M24591" t="s">
        <v>1259</v>
      </c>
      <c r="N24591" t="str">
        <f t="shared" ref="N24591:N24600" si="474">"8186476     "</f>
        <v xml:space="preserve">8186476     </v>
      </c>
      <c r="O24591">
        <v>240112</v>
      </c>
    </row>
    <row r="24592" spans="1:15" x14ac:dyDescent="0.25">
      <c r="A24592" t="s">
        <v>16</v>
      </c>
      <c r="B24592" t="s">
        <v>3221</v>
      </c>
      <c r="C24592">
        <v>19204</v>
      </c>
      <c r="D24592" t="s">
        <v>1088</v>
      </c>
      <c r="E24592" t="s">
        <v>1089</v>
      </c>
      <c r="F24592">
        <v>7.2</v>
      </c>
      <c r="G24592">
        <v>231231</v>
      </c>
      <c r="H24592">
        <v>4343</v>
      </c>
      <c r="I24592" t="s">
        <v>91</v>
      </c>
      <c r="J24592">
        <v>8.93</v>
      </c>
      <c r="K24592">
        <v>1.73</v>
      </c>
      <c r="L24592">
        <v>17971</v>
      </c>
      <c r="M24592" t="s">
        <v>138</v>
      </c>
      <c r="N24592" t="str">
        <f t="shared" si="474"/>
        <v xml:space="preserve">8186476     </v>
      </c>
      <c r="O24592">
        <v>240112</v>
      </c>
    </row>
    <row r="24593" spans="1:15" x14ac:dyDescent="0.25">
      <c r="A24593" t="s">
        <v>16</v>
      </c>
      <c r="B24593" t="s">
        <v>3221</v>
      </c>
      <c r="C24593">
        <v>19204</v>
      </c>
      <c r="D24593" t="s">
        <v>1088</v>
      </c>
      <c r="E24593" t="s">
        <v>1089</v>
      </c>
      <c r="F24593">
        <v>27.9</v>
      </c>
      <c r="G24593">
        <v>231231</v>
      </c>
      <c r="H24593">
        <v>4343</v>
      </c>
      <c r="I24593" t="s">
        <v>91</v>
      </c>
      <c r="J24593">
        <v>34.6</v>
      </c>
      <c r="K24593">
        <v>6.7</v>
      </c>
      <c r="L24593">
        <v>17971</v>
      </c>
      <c r="M24593" t="s">
        <v>138</v>
      </c>
      <c r="N24593" t="str">
        <f t="shared" si="474"/>
        <v xml:space="preserve">8186476     </v>
      </c>
      <c r="O24593">
        <v>240112</v>
      </c>
    </row>
    <row r="24594" spans="1:15" x14ac:dyDescent="0.25">
      <c r="A24594" t="s">
        <v>16</v>
      </c>
      <c r="B24594" t="s">
        <v>3221</v>
      </c>
      <c r="C24594">
        <v>19204</v>
      </c>
      <c r="D24594" t="s">
        <v>1088</v>
      </c>
      <c r="E24594" t="s">
        <v>1089</v>
      </c>
      <c r="F24594">
        <v>29.7</v>
      </c>
      <c r="G24594">
        <v>231231</v>
      </c>
      <c r="H24594">
        <v>4343</v>
      </c>
      <c r="I24594" t="s">
        <v>91</v>
      </c>
      <c r="J24594">
        <v>36.83</v>
      </c>
      <c r="K24594">
        <v>7.13</v>
      </c>
      <c r="L24594">
        <v>17971</v>
      </c>
      <c r="M24594" t="s">
        <v>138</v>
      </c>
      <c r="N24594" t="str">
        <f t="shared" si="474"/>
        <v xml:space="preserve">8186476     </v>
      </c>
      <c r="O24594">
        <v>240112</v>
      </c>
    </row>
    <row r="24595" spans="1:15" x14ac:dyDescent="0.25">
      <c r="A24595" t="s">
        <v>16</v>
      </c>
      <c r="B24595" t="s">
        <v>3221</v>
      </c>
      <c r="C24595">
        <v>19204</v>
      </c>
      <c r="D24595" t="s">
        <v>1088</v>
      </c>
      <c r="E24595" t="s">
        <v>1089</v>
      </c>
      <c r="F24595">
        <v>118.8</v>
      </c>
      <c r="G24595">
        <v>231231</v>
      </c>
      <c r="H24595">
        <v>4343</v>
      </c>
      <c r="I24595" t="s">
        <v>91</v>
      </c>
      <c r="J24595">
        <v>147.31</v>
      </c>
      <c r="K24595">
        <v>28.51</v>
      </c>
      <c r="L24595">
        <v>17971</v>
      </c>
      <c r="M24595" t="s">
        <v>138</v>
      </c>
      <c r="N24595" t="str">
        <f t="shared" si="474"/>
        <v xml:space="preserve">8186476     </v>
      </c>
      <c r="O24595">
        <v>240112</v>
      </c>
    </row>
    <row r="24596" spans="1:15" x14ac:dyDescent="0.25">
      <c r="A24596" t="s">
        <v>16</v>
      </c>
      <c r="B24596" t="s">
        <v>3221</v>
      </c>
      <c r="C24596">
        <v>19204</v>
      </c>
      <c r="D24596" t="s">
        <v>1088</v>
      </c>
      <c r="E24596" t="s">
        <v>1089</v>
      </c>
      <c r="F24596">
        <v>648.9</v>
      </c>
      <c r="G24596">
        <v>231231</v>
      </c>
      <c r="H24596">
        <v>4343</v>
      </c>
      <c r="I24596" t="s">
        <v>91</v>
      </c>
      <c r="J24596">
        <v>804.64</v>
      </c>
      <c r="K24596">
        <v>155.74</v>
      </c>
      <c r="L24596">
        <v>18972</v>
      </c>
      <c r="M24596" t="s">
        <v>163</v>
      </c>
      <c r="N24596" t="str">
        <f t="shared" si="474"/>
        <v xml:space="preserve">8186476     </v>
      </c>
      <c r="O24596">
        <v>240112</v>
      </c>
    </row>
    <row r="24597" spans="1:15" x14ac:dyDescent="0.25">
      <c r="A24597" t="s">
        <v>16</v>
      </c>
      <c r="B24597" t="s">
        <v>3221</v>
      </c>
      <c r="C24597">
        <v>19204</v>
      </c>
      <c r="D24597" t="s">
        <v>1088</v>
      </c>
      <c r="E24597" t="s">
        <v>1089</v>
      </c>
      <c r="F24597">
        <v>116.1</v>
      </c>
      <c r="G24597">
        <v>231231</v>
      </c>
      <c r="H24597">
        <v>4343</v>
      </c>
      <c r="I24597" t="s">
        <v>91</v>
      </c>
      <c r="J24597">
        <v>143.96</v>
      </c>
      <c r="K24597">
        <v>27.86</v>
      </c>
      <c r="L24597">
        <v>49702</v>
      </c>
      <c r="M24597" t="s">
        <v>584</v>
      </c>
      <c r="N24597" t="str">
        <f t="shared" si="474"/>
        <v xml:space="preserve">8186476     </v>
      </c>
      <c r="O24597">
        <v>240112</v>
      </c>
    </row>
    <row r="24598" spans="1:15" x14ac:dyDescent="0.25">
      <c r="A24598" t="s">
        <v>16</v>
      </c>
      <c r="B24598" t="s">
        <v>3221</v>
      </c>
      <c r="C24598">
        <v>19204</v>
      </c>
      <c r="D24598" t="s">
        <v>1088</v>
      </c>
      <c r="E24598" t="s">
        <v>1089</v>
      </c>
      <c r="F24598">
        <v>31.49</v>
      </c>
      <c r="G24598">
        <v>231231</v>
      </c>
      <c r="H24598">
        <v>4343</v>
      </c>
      <c r="I24598" t="s">
        <v>91</v>
      </c>
      <c r="J24598">
        <v>39.049999999999997</v>
      </c>
      <c r="K24598">
        <v>7.56</v>
      </c>
      <c r="L24598">
        <v>59702</v>
      </c>
      <c r="M24598" t="s">
        <v>328</v>
      </c>
      <c r="N24598" t="str">
        <f t="shared" si="474"/>
        <v xml:space="preserve">8186476     </v>
      </c>
      <c r="O24598">
        <v>240112</v>
      </c>
    </row>
    <row r="24599" spans="1:15" x14ac:dyDescent="0.25">
      <c r="A24599" t="s">
        <v>16</v>
      </c>
      <c r="B24599" t="s">
        <v>3221</v>
      </c>
      <c r="C24599">
        <v>19204</v>
      </c>
      <c r="D24599" t="s">
        <v>1088</v>
      </c>
      <c r="E24599" t="s">
        <v>1089</v>
      </c>
      <c r="F24599">
        <v>63.9</v>
      </c>
      <c r="G24599">
        <v>231231</v>
      </c>
      <c r="H24599">
        <v>4343</v>
      </c>
      <c r="I24599" t="s">
        <v>91</v>
      </c>
      <c r="J24599">
        <v>79.239999999999995</v>
      </c>
      <c r="K24599">
        <v>15.34</v>
      </c>
      <c r="L24599">
        <v>69702</v>
      </c>
      <c r="M24599" t="s">
        <v>489</v>
      </c>
      <c r="N24599" t="str">
        <f t="shared" si="474"/>
        <v xml:space="preserve">8186476     </v>
      </c>
      <c r="O24599">
        <v>240112</v>
      </c>
    </row>
    <row r="24600" spans="1:15" x14ac:dyDescent="0.25">
      <c r="A24600" t="s">
        <v>16</v>
      </c>
      <c r="B24600" t="s">
        <v>3221</v>
      </c>
      <c r="C24600">
        <v>19204</v>
      </c>
      <c r="D24600" t="s">
        <v>1088</v>
      </c>
      <c r="E24600" t="s">
        <v>1089</v>
      </c>
      <c r="F24600">
        <v>169.2</v>
      </c>
      <c r="G24600">
        <v>231231</v>
      </c>
      <c r="H24600">
        <v>4343</v>
      </c>
      <c r="I24600" t="s">
        <v>91</v>
      </c>
      <c r="J24600">
        <v>209.81</v>
      </c>
      <c r="K24600">
        <v>40.61</v>
      </c>
      <c r="L24600">
        <v>69704</v>
      </c>
      <c r="M24600" t="s">
        <v>325</v>
      </c>
      <c r="N24600" t="str">
        <f t="shared" si="474"/>
        <v xml:space="preserve">8186476     </v>
      </c>
      <c r="O24600">
        <v>240112</v>
      </c>
    </row>
    <row r="24601" spans="1:15" x14ac:dyDescent="0.25">
      <c r="A24601" t="s">
        <v>16</v>
      </c>
      <c r="B24601" t="s">
        <v>3221</v>
      </c>
      <c r="C24601">
        <v>6951</v>
      </c>
      <c r="D24601" t="s">
        <v>1088</v>
      </c>
      <c r="E24601" t="s">
        <v>1089</v>
      </c>
      <c r="F24601">
        <v>150</v>
      </c>
      <c r="G24601">
        <v>230512</v>
      </c>
      <c r="H24601">
        <v>4441</v>
      </c>
      <c r="I24601" t="s">
        <v>109</v>
      </c>
      <c r="J24601">
        <v>186</v>
      </c>
      <c r="K24601">
        <v>36</v>
      </c>
      <c r="L24601">
        <v>13401</v>
      </c>
      <c r="M24601" t="s">
        <v>80</v>
      </c>
      <c r="N24601" t="str">
        <f>"8177099     "</f>
        <v xml:space="preserve">8177099     </v>
      </c>
      <c r="O24601">
        <v>230523</v>
      </c>
    </row>
    <row r="24602" spans="1:15" x14ac:dyDescent="0.25">
      <c r="A24602" t="s">
        <v>16</v>
      </c>
      <c r="B24602" t="s">
        <v>3221</v>
      </c>
      <c r="C24602">
        <v>14152</v>
      </c>
      <c r="D24602" t="s">
        <v>1088</v>
      </c>
      <c r="E24602" t="s">
        <v>1089</v>
      </c>
      <c r="F24602">
        <v>110</v>
      </c>
      <c r="G24602">
        <v>231018</v>
      </c>
      <c r="H24602">
        <v>4441</v>
      </c>
      <c r="I24602" t="s">
        <v>109</v>
      </c>
      <c r="J24602">
        <v>136.4</v>
      </c>
      <c r="K24602">
        <v>26.4</v>
      </c>
      <c r="L24602">
        <v>11751</v>
      </c>
      <c r="M24602" t="s">
        <v>1339</v>
      </c>
      <c r="N24602" t="str">
        <f>"8183179     "</f>
        <v xml:space="preserve">8183179     </v>
      </c>
      <c r="O24602">
        <v>231019</v>
      </c>
    </row>
    <row r="24603" spans="1:15" x14ac:dyDescent="0.25">
      <c r="A24603" t="s">
        <v>16</v>
      </c>
      <c r="B24603" t="s">
        <v>3221</v>
      </c>
      <c r="C24603">
        <v>15843</v>
      </c>
      <c r="D24603" t="s">
        <v>1088</v>
      </c>
      <c r="E24603" t="s">
        <v>1089</v>
      </c>
      <c r="F24603">
        <v>50</v>
      </c>
      <c r="G24603">
        <v>231101</v>
      </c>
      <c r="H24603">
        <v>4441</v>
      </c>
      <c r="I24603" t="s">
        <v>109</v>
      </c>
      <c r="J24603">
        <v>62</v>
      </c>
      <c r="K24603">
        <v>12</v>
      </c>
      <c r="L24603">
        <v>13401</v>
      </c>
      <c r="M24603" t="s">
        <v>80</v>
      </c>
      <c r="N24603" t="str">
        <f>"8184418     "</f>
        <v xml:space="preserve">8184418     </v>
      </c>
      <c r="O24603">
        <v>231120</v>
      </c>
    </row>
    <row r="24604" spans="1:15" x14ac:dyDescent="0.25">
      <c r="A24604" t="s">
        <v>16</v>
      </c>
      <c r="B24604" t="s">
        <v>3221</v>
      </c>
      <c r="C24604">
        <v>15209</v>
      </c>
      <c r="D24604" t="s">
        <v>1088</v>
      </c>
      <c r="E24604" t="s">
        <v>1089</v>
      </c>
      <c r="F24604">
        <v>110</v>
      </c>
      <c r="G24604">
        <v>231101</v>
      </c>
      <c r="H24604">
        <v>4440</v>
      </c>
      <c r="I24604" t="s">
        <v>250</v>
      </c>
      <c r="J24604">
        <v>136.4</v>
      </c>
      <c r="K24604">
        <v>26.4</v>
      </c>
      <c r="L24604">
        <v>11751</v>
      </c>
      <c r="M24604" t="s">
        <v>1339</v>
      </c>
      <c r="N24604" t="str">
        <f>"8183559     "</f>
        <v xml:space="preserve">8183559     </v>
      </c>
      <c r="O24604">
        <v>231109</v>
      </c>
    </row>
    <row r="24605" spans="1:15" x14ac:dyDescent="0.25">
      <c r="A24605" t="s">
        <v>16</v>
      </c>
      <c r="B24605" t="s">
        <v>3221</v>
      </c>
      <c r="C24605">
        <v>277</v>
      </c>
      <c r="D24605" t="s">
        <v>400</v>
      </c>
      <c r="E24605" t="s">
        <v>401</v>
      </c>
      <c r="F24605">
        <v>194.74</v>
      </c>
      <c r="G24605">
        <v>230112</v>
      </c>
      <c r="H24605">
        <v>4343</v>
      </c>
      <c r="I24605" t="s">
        <v>91</v>
      </c>
      <c r="J24605">
        <v>241.48</v>
      </c>
      <c r="K24605">
        <v>46.74</v>
      </c>
      <c r="L24605">
        <v>61122</v>
      </c>
      <c r="M24605" t="s">
        <v>402</v>
      </c>
      <c r="N24605" t="str">
        <f>"5597350     "</f>
        <v xml:space="preserve">5597350     </v>
      </c>
      <c r="O24605">
        <v>230117</v>
      </c>
    </row>
    <row r="24606" spans="1:15" x14ac:dyDescent="0.25">
      <c r="A24606" t="s">
        <v>16</v>
      </c>
      <c r="B24606" t="s">
        <v>3221</v>
      </c>
      <c r="C24606">
        <v>1719</v>
      </c>
      <c r="D24606" t="s">
        <v>400</v>
      </c>
      <c r="E24606" t="s">
        <v>401</v>
      </c>
      <c r="F24606">
        <v>194.74</v>
      </c>
      <c r="G24606">
        <v>230210</v>
      </c>
      <c r="H24606">
        <v>4343</v>
      </c>
      <c r="I24606" t="s">
        <v>91</v>
      </c>
      <c r="J24606">
        <v>241.48</v>
      </c>
      <c r="K24606">
        <v>46.74</v>
      </c>
      <c r="L24606">
        <v>61122</v>
      </c>
      <c r="M24606" t="s">
        <v>402</v>
      </c>
      <c r="N24606" t="str">
        <f>"5614722     "</f>
        <v xml:space="preserve">5614722     </v>
      </c>
      <c r="O24606">
        <v>230213</v>
      </c>
    </row>
    <row r="24607" spans="1:15" x14ac:dyDescent="0.25">
      <c r="A24607" t="s">
        <v>16</v>
      </c>
      <c r="B24607" t="s">
        <v>3221</v>
      </c>
      <c r="C24607">
        <v>3349</v>
      </c>
      <c r="D24607" t="s">
        <v>400</v>
      </c>
      <c r="E24607" t="s">
        <v>401</v>
      </c>
      <c r="F24607">
        <v>194.74</v>
      </c>
      <c r="G24607">
        <v>230310</v>
      </c>
      <c r="H24607">
        <v>4343</v>
      </c>
      <c r="I24607" t="s">
        <v>91</v>
      </c>
      <c r="J24607">
        <v>241.48</v>
      </c>
      <c r="K24607">
        <v>46.74</v>
      </c>
      <c r="L24607">
        <v>61122</v>
      </c>
      <c r="M24607" t="s">
        <v>402</v>
      </c>
      <c r="N24607" t="str">
        <f>"5630395     "</f>
        <v xml:space="preserve">5630395     </v>
      </c>
      <c r="O24607">
        <v>230315</v>
      </c>
    </row>
    <row r="24608" spans="1:15" x14ac:dyDescent="0.25">
      <c r="A24608" t="s">
        <v>16</v>
      </c>
      <c r="B24608" t="s">
        <v>3221</v>
      </c>
      <c r="C24608">
        <v>4933</v>
      </c>
      <c r="D24608" t="s">
        <v>400</v>
      </c>
      <c r="E24608" t="s">
        <v>401</v>
      </c>
      <c r="F24608">
        <v>194.74</v>
      </c>
      <c r="G24608">
        <v>230412</v>
      </c>
      <c r="H24608">
        <v>4343</v>
      </c>
      <c r="I24608" t="s">
        <v>91</v>
      </c>
      <c r="J24608">
        <v>241.48</v>
      </c>
      <c r="K24608">
        <v>46.74</v>
      </c>
      <c r="L24608">
        <v>61122</v>
      </c>
      <c r="M24608" t="s">
        <v>402</v>
      </c>
      <c r="N24608" t="str">
        <f>"5647300     "</f>
        <v xml:space="preserve">5647300     </v>
      </c>
      <c r="O24608">
        <v>230414</v>
      </c>
    </row>
    <row r="24609" spans="1:16" x14ac:dyDescent="0.25">
      <c r="A24609" t="s">
        <v>16</v>
      </c>
      <c r="B24609" t="s">
        <v>3221</v>
      </c>
      <c r="C24609">
        <v>6466</v>
      </c>
      <c r="D24609" t="s">
        <v>400</v>
      </c>
      <c r="E24609" t="s">
        <v>401</v>
      </c>
      <c r="F24609">
        <v>194.74</v>
      </c>
      <c r="G24609">
        <v>230510</v>
      </c>
      <c r="H24609">
        <v>4343</v>
      </c>
      <c r="I24609" t="s">
        <v>91</v>
      </c>
      <c r="J24609">
        <v>241.48</v>
      </c>
      <c r="K24609">
        <v>46.74</v>
      </c>
      <c r="L24609">
        <v>61122</v>
      </c>
      <c r="M24609" t="s">
        <v>402</v>
      </c>
      <c r="N24609" t="str">
        <f>"5665837     "</f>
        <v xml:space="preserve">5665837     </v>
      </c>
      <c r="O24609">
        <v>230512</v>
      </c>
    </row>
    <row r="24610" spans="1:16" x14ac:dyDescent="0.25">
      <c r="A24610" t="s">
        <v>16</v>
      </c>
      <c r="B24610" t="s">
        <v>3221</v>
      </c>
      <c r="C24610">
        <v>8357</v>
      </c>
      <c r="D24610" t="s">
        <v>400</v>
      </c>
      <c r="E24610" t="s">
        <v>401</v>
      </c>
      <c r="F24610">
        <v>194.74</v>
      </c>
      <c r="G24610">
        <v>230607</v>
      </c>
      <c r="H24610">
        <v>4343</v>
      </c>
      <c r="I24610" t="s">
        <v>91</v>
      </c>
      <c r="J24610">
        <v>241.48</v>
      </c>
      <c r="K24610">
        <v>46.74</v>
      </c>
      <c r="L24610">
        <v>61122</v>
      </c>
      <c r="M24610" t="s">
        <v>402</v>
      </c>
      <c r="N24610" t="str">
        <f>"5680987     "</f>
        <v xml:space="preserve">5680987     </v>
      </c>
      <c r="O24610">
        <v>230608</v>
      </c>
    </row>
    <row r="24611" spans="1:16" x14ac:dyDescent="0.25">
      <c r="A24611" t="s">
        <v>16</v>
      </c>
      <c r="B24611" t="s">
        <v>3221</v>
      </c>
      <c r="C24611">
        <v>9505</v>
      </c>
      <c r="D24611" t="s">
        <v>400</v>
      </c>
      <c r="E24611" t="s">
        <v>401</v>
      </c>
      <c r="F24611">
        <v>194.74</v>
      </c>
      <c r="G24611">
        <v>230710</v>
      </c>
      <c r="H24611">
        <v>4343</v>
      </c>
      <c r="I24611" t="s">
        <v>91</v>
      </c>
      <c r="J24611">
        <v>241.48</v>
      </c>
      <c r="K24611">
        <v>46.74</v>
      </c>
      <c r="L24611">
        <v>61122</v>
      </c>
      <c r="M24611" t="s">
        <v>402</v>
      </c>
      <c r="N24611" t="str">
        <f>"5699718     "</f>
        <v xml:space="preserve">5699718     </v>
      </c>
      <c r="O24611">
        <v>230712</v>
      </c>
    </row>
    <row r="24612" spans="1:16" x14ac:dyDescent="0.25">
      <c r="A24612" t="s">
        <v>16</v>
      </c>
      <c r="B24612" t="s">
        <v>3221</v>
      </c>
      <c r="C24612">
        <v>10287</v>
      </c>
      <c r="D24612" t="s">
        <v>400</v>
      </c>
      <c r="E24612" t="s">
        <v>401</v>
      </c>
      <c r="F24612">
        <v>194.74</v>
      </c>
      <c r="G24612">
        <v>230807</v>
      </c>
      <c r="H24612">
        <v>4343</v>
      </c>
      <c r="I24612" t="s">
        <v>91</v>
      </c>
      <c r="J24612">
        <v>241.48</v>
      </c>
      <c r="K24612">
        <v>46.74</v>
      </c>
      <c r="L24612">
        <v>61122</v>
      </c>
      <c r="M24612" t="s">
        <v>402</v>
      </c>
      <c r="N24612" t="str">
        <f>"5718880     "</f>
        <v xml:space="preserve">5718880     </v>
      </c>
      <c r="O24612">
        <v>230814</v>
      </c>
    </row>
    <row r="24613" spans="1:16" x14ac:dyDescent="0.25">
      <c r="A24613" t="s">
        <v>16</v>
      </c>
      <c r="B24613" t="s">
        <v>3221</v>
      </c>
      <c r="C24613">
        <v>11888</v>
      </c>
      <c r="D24613" t="s">
        <v>400</v>
      </c>
      <c r="E24613" t="s">
        <v>401</v>
      </c>
      <c r="F24613">
        <v>194.74</v>
      </c>
      <c r="G24613">
        <v>230908</v>
      </c>
      <c r="H24613">
        <v>4343</v>
      </c>
      <c r="I24613" t="s">
        <v>91</v>
      </c>
      <c r="J24613">
        <v>241.48</v>
      </c>
      <c r="K24613">
        <v>46.74</v>
      </c>
      <c r="L24613">
        <v>61122</v>
      </c>
      <c r="M24613" t="s">
        <v>402</v>
      </c>
      <c r="N24613" t="str">
        <f>"5737606     "</f>
        <v xml:space="preserve">5737606     </v>
      </c>
      <c r="O24613">
        <v>230911</v>
      </c>
    </row>
    <row r="24614" spans="1:16" x14ac:dyDescent="0.25">
      <c r="A24614" t="s">
        <v>16</v>
      </c>
      <c r="B24614" t="s">
        <v>3221</v>
      </c>
      <c r="C24614">
        <v>15646</v>
      </c>
      <c r="D24614" t="s">
        <v>2892</v>
      </c>
      <c r="E24614" t="s">
        <v>2893</v>
      </c>
      <c r="F24614">
        <v>194.74</v>
      </c>
      <c r="G24614">
        <v>231031</v>
      </c>
      <c r="H24614">
        <v>4343</v>
      </c>
      <c r="I24614" t="s">
        <v>91</v>
      </c>
      <c r="J24614">
        <v>241.48</v>
      </c>
      <c r="K24614">
        <v>46.74</v>
      </c>
      <c r="L24614">
        <v>61122</v>
      </c>
      <c r="M24614" t="s">
        <v>402</v>
      </c>
      <c r="N24614" t="str">
        <f>"50007409    "</f>
        <v xml:space="preserve">50007409    </v>
      </c>
      <c r="O24614">
        <v>231116</v>
      </c>
    </row>
    <row r="24615" spans="1:16" x14ac:dyDescent="0.25">
      <c r="A24615" t="s">
        <v>16</v>
      </c>
      <c r="B24615" t="s">
        <v>3221</v>
      </c>
      <c r="C24615">
        <v>17156</v>
      </c>
      <c r="D24615" t="s">
        <v>2892</v>
      </c>
      <c r="E24615" t="s">
        <v>2893</v>
      </c>
      <c r="F24615">
        <v>194.74</v>
      </c>
      <c r="G24615">
        <v>231130</v>
      </c>
      <c r="H24615">
        <v>4343</v>
      </c>
      <c r="I24615" t="s">
        <v>91</v>
      </c>
      <c r="J24615">
        <v>241.48</v>
      </c>
      <c r="K24615">
        <v>46.74</v>
      </c>
      <c r="L24615">
        <v>61122</v>
      </c>
      <c r="M24615" t="s">
        <v>402</v>
      </c>
      <c r="N24615" t="str">
        <f>"50013209    "</f>
        <v xml:space="preserve">50013209    </v>
      </c>
      <c r="O24615">
        <v>231212</v>
      </c>
    </row>
    <row r="24616" spans="1:16" x14ac:dyDescent="0.25">
      <c r="A24616" t="s">
        <v>16</v>
      </c>
      <c r="B24616" t="s">
        <v>3221</v>
      </c>
      <c r="C24616">
        <v>18695</v>
      </c>
      <c r="D24616" t="s">
        <v>2892</v>
      </c>
      <c r="E24616" t="s">
        <v>2893</v>
      </c>
      <c r="F24616">
        <v>194.74</v>
      </c>
      <c r="G24616">
        <v>231231</v>
      </c>
      <c r="H24616">
        <v>4343</v>
      </c>
      <c r="I24616" t="s">
        <v>91</v>
      </c>
      <c r="J24616">
        <v>241.48</v>
      </c>
      <c r="K24616">
        <v>46.74</v>
      </c>
      <c r="L24616">
        <v>61122</v>
      </c>
      <c r="M24616" t="s">
        <v>402</v>
      </c>
      <c r="N24616" t="str">
        <f>"50030271    "</f>
        <v xml:space="preserve">50030271    </v>
      </c>
      <c r="O24616">
        <v>240104</v>
      </c>
    </row>
    <row r="24617" spans="1:16" x14ac:dyDescent="0.25">
      <c r="A24617" t="s">
        <v>16</v>
      </c>
      <c r="B24617" t="s">
        <v>3221</v>
      </c>
      <c r="C24617">
        <v>18908</v>
      </c>
      <c r="D24617" t="s">
        <v>3158</v>
      </c>
      <c r="E24617" t="s">
        <v>2893</v>
      </c>
      <c r="F24617">
        <v>5</v>
      </c>
      <c r="G24617">
        <v>231231</v>
      </c>
      <c r="H24617">
        <v>4364</v>
      </c>
      <c r="I24617" t="s">
        <v>296</v>
      </c>
      <c r="J24617">
        <v>6.2</v>
      </c>
      <c r="K24617">
        <v>1.2</v>
      </c>
      <c r="L24617">
        <v>18971</v>
      </c>
      <c r="M24617" t="s">
        <v>63</v>
      </c>
      <c r="N24617" t="str">
        <f>"15177444    "</f>
        <v xml:space="preserve">15177444    </v>
      </c>
      <c r="O24617">
        <v>240108</v>
      </c>
    </row>
    <row r="24618" spans="1:16" x14ac:dyDescent="0.25">
      <c r="A24618" t="s">
        <v>16</v>
      </c>
      <c r="B24618" t="s">
        <v>3221</v>
      </c>
      <c r="C24618">
        <v>14295</v>
      </c>
      <c r="D24618" t="s">
        <v>2755</v>
      </c>
      <c r="E24618" t="s">
        <v>2756</v>
      </c>
      <c r="F24618">
        <v>44.35</v>
      </c>
      <c r="G24618">
        <v>231017</v>
      </c>
      <c r="H24618">
        <v>4534</v>
      </c>
      <c r="I24618" t="s">
        <v>273</v>
      </c>
      <c r="J24618">
        <v>55</v>
      </c>
      <c r="K24618">
        <v>10.65</v>
      </c>
      <c r="L24618">
        <v>54252</v>
      </c>
      <c r="M24618" t="s">
        <v>534</v>
      </c>
      <c r="N24618" t="str">
        <f>"22744       "</f>
        <v xml:space="preserve">22744       </v>
      </c>
      <c r="O24618">
        <v>231025</v>
      </c>
    </row>
    <row r="24619" spans="1:16" x14ac:dyDescent="0.25">
      <c r="A24619" t="s">
        <v>16</v>
      </c>
      <c r="B24619" t="s">
        <v>3221</v>
      </c>
      <c r="C24619">
        <v>7012</v>
      </c>
      <c r="D24619" t="s">
        <v>2047</v>
      </c>
      <c r="E24619" t="s">
        <v>2048</v>
      </c>
      <c r="F24619">
        <v>627.39</v>
      </c>
      <c r="G24619">
        <v>230522</v>
      </c>
      <c r="H24619">
        <v>4441</v>
      </c>
      <c r="I24619" t="s">
        <v>109</v>
      </c>
      <c r="J24619">
        <v>777.96</v>
      </c>
      <c r="K24619">
        <v>150.57</v>
      </c>
      <c r="L24619">
        <v>69702</v>
      </c>
      <c r="M24619" t="s">
        <v>489</v>
      </c>
      <c r="N24619" t="str">
        <f>"956         "</f>
        <v xml:space="preserve">956         </v>
      </c>
      <c r="O24619">
        <v>230524</v>
      </c>
    </row>
    <row r="24620" spans="1:16" x14ac:dyDescent="0.25">
      <c r="A24620" t="s">
        <v>16</v>
      </c>
      <c r="B24620" t="s">
        <v>3221</v>
      </c>
      <c r="C24620">
        <v>7012</v>
      </c>
      <c r="D24620" t="s">
        <v>2047</v>
      </c>
      <c r="E24620" t="s">
        <v>2048</v>
      </c>
      <c r="F24620">
        <v>34.85</v>
      </c>
      <c r="G24620">
        <v>230522</v>
      </c>
      <c r="H24620">
        <v>4441</v>
      </c>
      <c r="I24620" t="s">
        <v>109</v>
      </c>
      <c r="J24620">
        <v>43.22</v>
      </c>
      <c r="K24620">
        <v>8.3699999999999992</v>
      </c>
      <c r="L24620">
        <v>69704</v>
      </c>
      <c r="M24620" t="s">
        <v>325</v>
      </c>
      <c r="N24620" t="str">
        <f>"956         "</f>
        <v xml:space="preserve">956         </v>
      </c>
      <c r="O24620">
        <v>230524</v>
      </c>
    </row>
    <row r="24621" spans="1:16" x14ac:dyDescent="0.25">
      <c r="A24621" t="s">
        <v>16</v>
      </c>
      <c r="B24621" t="s">
        <v>3221</v>
      </c>
      <c r="C24621">
        <v>7012</v>
      </c>
      <c r="D24621" t="s">
        <v>2047</v>
      </c>
      <c r="E24621" t="s">
        <v>2048</v>
      </c>
      <c r="F24621">
        <v>418.16</v>
      </c>
      <c r="G24621">
        <v>230522</v>
      </c>
      <c r="H24621">
        <v>4441</v>
      </c>
      <c r="I24621" t="s">
        <v>109</v>
      </c>
      <c r="J24621">
        <v>518.52</v>
      </c>
      <c r="K24621">
        <v>100.36</v>
      </c>
      <c r="L24621">
        <v>69704</v>
      </c>
      <c r="M24621" t="s">
        <v>325</v>
      </c>
      <c r="N24621" t="str">
        <f>"956         "</f>
        <v xml:space="preserve">956         </v>
      </c>
      <c r="O24621">
        <v>230524</v>
      </c>
    </row>
    <row r="24622" spans="1:16" x14ac:dyDescent="0.25">
      <c r="A24622" t="s">
        <v>16</v>
      </c>
      <c r="B24622" t="s">
        <v>3221</v>
      </c>
      <c r="C24622">
        <v>18348</v>
      </c>
      <c r="D24622" t="s">
        <v>3585</v>
      </c>
      <c r="E24622" s="2" t="s">
        <v>3586</v>
      </c>
      <c r="F24622">
        <v>3135</v>
      </c>
      <c r="G24622">
        <v>231221</v>
      </c>
      <c r="H24622">
        <v>4600</v>
      </c>
      <c r="I24622" t="s">
        <v>105</v>
      </c>
      <c r="J24622">
        <v>3135</v>
      </c>
      <c r="K24622">
        <v>0</v>
      </c>
      <c r="L24622">
        <v>11301</v>
      </c>
      <c r="M24622" t="s">
        <v>29</v>
      </c>
      <c r="N24622" t="str">
        <f>"2323911     "</f>
        <v xml:space="preserve">2323911     </v>
      </c>
      <c r="O24622">
        <v>240103</v>
      </c>
      <c r="P24622" t="s">
        <v>3441</v>
      </c>
    </row>
    <row r="24623" spans="1:16" x14ac:dyDescent="0.25">
      <c r="A24623" t="s">
        <v>16</v>
      </c>
      <c r="B24623" t="s">
        <v>3221</v>
      </c>
      <c r="C24623">
        <v>8906</v>
      </c>
      <c r="D24623" t="s">
        <v>3492</v>
      </c>
      <c r="F24623">
        <v>1440</v>
      </c>
      <c r="G24623">
        <v>230606</v>
      </c>
      <c r="H24623">
        <v>4410</v>
      </c>
      <c r="I24623" t="s">
        <v>517</v>
      </c>
      <c r="J24623">
        <v>1440</v>
      </c>
      <c r="K24623">
        <v>0</v>
      </c>
      <c r="L24623">
        <v>11902</v>
      </c>
      <c r="M24623" t="s">
        <v>1443</v>
      </c>
      <c r="N24623" t="str">
        <f>"106046      "</f>
        <v xml:space="preserve">106046      </v>
      </c>
      <c r="O24623">
        <v>230619</v>
      </c>
      <c r="P24623" t="s">
        <v>3441</v>
      </c>
    </row>
    <row r="24624" spans="1:16" x14ac:dyDescent="0.25">
      <c r="A24624" t="s">
        <v>16</v>
      </c>
      <c r="B24624" t="s">
        <v>3221</v>
      </c>
      <c r="C24624">
        <v>8906</v>
      </c>
      <c r="D24624" t="s">
        <v>3492</v>
      </c>
      <c r="F24624">
        <v>438.12</v>
      </c>
      <c r="G24624">
        <v>230606</v>
      </c>
      <c r="H24624">
        <v>4600</v>
      </c>
      <c r="I24624" t="s">
        <v>105</v>
      </c>
      <c r="J24624">
        <v>438.12</v>
      </c>
      <c r="K24624">
        <v>0</v>
      </c>
      <c r="L24624">
        <v>11902</v>
      </c>
      <c r="M24624" t="s">
        <v>1443</v>
      </c>
      <c r="N24624" t="str">
        <f>"106046      "</f>
        <v xml:space="preserve">106046      </v>
      </c>
      <c r="O24624">
        <v>230619</v>
      </c>
      <c r="P24624" t="s">
        <v>3441</v>
      </c>
    </row>
    <row r="24625" spans="1:15" x14ac:dyDescent="0.25">
      <c r="A24625" t="s">
        <v>16</v>
      </c>
      <c r="B24625" t="s">
        <v>3221</v>
      </c>
      <c r="C24625">
        <v>8973</v>
      </c>
      <c r="D24625" t="s">
        <v>2233</v>
      </c>
      <c r="E24625" t="s">
        <v>2234</v>
      </c>
      <c r="F24625">
        <v>666</v>
      </c>
      <c r="G24625">
        <v>230619</v>
      </c>
      <c r="H24625">
        <v>4400</v>
      </c>
      <c r="I24625" t="s">
        <v>348</v>
      </c>
      <c r="J24625">
        <v>825.84</v>
      </c>
      <c r="K24625">
        <v>159.84</v>
      </c>
      <c r="L24625">
        <v>17803</v>
      </c>
      <c r="M24625" t="s">
        <v>389</v>
      </c>
      <c r="N24625" t="str">
        <f>"22202873    "</f>
        <v xml:space="preserve">22202873    </v>
      </c>
      <c r="O24625">
        <v>230620</v>
      </c>
    </row>
    <row r="24626" spans="1:15" x14ac:dyDescent="0.25">
      <c r="A24626" t="s">
        <v>16</v>
      </c>
      <c r="B24626" t="s">
        <v>3221</v>
      </c>
      <c r="C24626">
        <v>8973</v>
      </c>
      <c r="D24626" t="s">
        <v>2233</v>
      </c>
      <c r="E24626" t="s">
        <v>2234</v>
      </c>
      <c r="F24626">
        <v>253.2</v>
      </c>
      <c r="G24626">
        <v>230619</v>
      </c>
      <c r="H24626">
        <v>4420</v>
      </c>
      <c r="I24626" t="s">
        <v>132</v>
      </c>
      <c r="J24626">
        <v>313.97000000000003</v>
      </c>
      <c r="K24626">
        <v>60.77</v>
      </c>
      <c r="L24626">
        <v>17803</v>
      </c>
      <c r="M24626" t="s">
        <v>389</v>
      </c>
      <c r="N24626" t="str">
        <f>"22202873    "</f>
        <v xml:space="preserve">22202873    </v>
      </c>
      <c r="O24626">
        <v>230620</v>
      </c>
    </row>
    <row r="24627" spans="1:15" x14ac:dyDescent="0.25">
      <c r="A24627" t="s">
        <v>16</v>
      </c>
      <c r="B24627" t="s">
        <v>3221</v>
      </c>
      <c r="C24627">
        <v>16162</v>
      </c>
      <c r="D24627" t="s">
        <v>2233</v>
      </c>
      <c r="E24627" t="s">
        <v>2234</v>
      </c>
      <c r="F24627">
        <v>1865</v>
      </c>
      <c r="G24627">
        <v>231108</v>
      </c>
      <c r="H24627">
        <v>4600</v>
      </c>
      <c r="I24627" t="s">
        <v>105</v>
      </c>
      <c r="J24627">
        <v>2312.6</v>
      </c>
      <c r="K24627">
        <v>447.6</v>
      </c>
      <c r="L24627">
        <v>46554</v>
      </c>
      <c r="M24627" t="s">
        <v>117</v>
      </c>
      <c r="N24627" t="str">
        <f>"23200657    "</f>
        <v xml:space="preserve">23200657    </v>
      </c>
      <c r="O24627">
        <v>231124</v>
      </c>
    </row>
    <row r="24628" spans="1:15" x14ac:dyDescent="0.25">
      <c r="A24628" t="s">
        <v>16</v>
      </c>
      <c r="B24628" t="s">
        <v>3221</v>
      </c>
      <c r="C24628">
        <v>16849</v>
      </c>
      <c r="D24628" t="s">
        <v>2233</v>
      </c>
      <c r="E24628" t="s">
        <v>2234</v>
      </c>
      <c r="F24628">
        <v>317.94</v>
      </c>
      <c r="G24628">
        <v>231204</v>
      </c>
      <c r="H24628">
        <v>4600</v>
      </c>
      <c r="I24628" t="s">
        <v>105</v>
      </c>
      <c r="J24628">
        <v>394.25</v>
      </c>
      <c r="K24628">
        <v>76.31</v>
      </c>
      <c r="L24628">
        <v>17529</v>
      </c>
      <c r="M24628" t="s">
        <v>453</v>
      </c>
      <c r="N24628" t="str">
        <f>"23200812    "</f>
        <v xml:space="preserve">23200812    </v>
      </c>
      <c r="O24628">
        <v>231211</v>
      </c>
    </row>
    <row r="24629" spans="1:15" x14ac:dyDescent="0.25">
      <c r="A24629" t="s">
        <v>16</v>
      </c>
      <c r="B24629" t="s">
        <v>3221</v>
      </c>
      <c r="C24629">
        <v>2908</v>
      </c>
      <c r="D24629" t="s">
        <v>1494</v>
      </c>
      <c r="E24629" t="s">
        <v>1495</v>
      </c>
      <c r="F24629">
        <v>5400</v>
      </c>
      <c r="G24629">
        <v>230306</v>
      </c>
      <c r="H24629">
        <v>4440</v>
      </c>
      <c r="I24629" t="s">
        <v>250</v>
      </c>
      <c r="J24629">
        <v>6696</v>
      </c>
      <c r="K24629">
        <v>1296</v>
      </c>
      <c r="L24629">
        <v>18120</v>
      </c>
      <c r="M24629" t="s">
        <v>329</v>
      </c>
      <c r="N24629" t="str">
        <f>"260         "</f>
        <v xml:space="preserve">260         </v>
      </c>
      <c r="O24629">
        <v>230308</v>
      </c>
    </row>
    <row r="24630" spans="1:15" x14ac:dyDescent="0.25">
      <c r="A24630" t="s">
        <v>16</v>
      </c>
      <c r="B24630" t="s">
        <v>3221</v>
      </c>
      <c r="C24630">
        <v>8525</v>
      </c>
      <c r="D24630" t="s">
        <v>1494</v>
      </c>
      <c r="E24630" t="s">
        <v>1495</v>
      </c>
      <c r="F24630">
        <v>5400</v>
      </c>
      <c r="G24630">
        <v>230606</v>
      </c>
      <c r="H24630">
        <v>4440</v>
      </c>
      <c r="I24630" t="s">
        <v>250</v>
      </c>
      <c r="J24630">
        <v>6696</v>
      </c>
      <c r="K24630">
        <v>1296</v>
      </c>
      <c r="L24630">
        <v>18120</v>
      </c>
      <c r="M24630" t="s">
        <v>329</v>
      </c>
      <c r="N24630" t="str">
        <f>"266         "</f>
        <v xml:space="preserve">266         </v>
      </c>
      <c r="O24630">
        <v>230612</v>
      </c>
    </row>
    <row r="24631" spans="1:15" x14ac:dyDescent="0.25">
      <c r="A24631" t="s">
        <v>16</v>
      </c>
      <c r="B24631" t="s">
        <v>3221</v>
      </c>
      <c r="C24631">
        <v>11768</v>
      </c>
      <c r="D24631" t="s">
        <v>1494</v>
      </c>
      <c r="E24631" t="s">
        <v>1495</v>
      </c>
      <c r="F24631">
        <v>5400</v>
      </c>
      <c r="G24631">
        <v>230904</v>
      </c>
      <c r="H24631">
        <v>4440</v>
      </c>
      <c r="I24631" t="s">
        <v>250</v>
      </c>
      <c r="J24631">
        <v>6696</v>
      </c>
      <c r="K24631">
        <v>1296</v>
      </c>
      <c r="L24631">
        <v>18120</v>
      </c>
      <c r="M24631" t="s">
        <v>329</v>
      </c>
      <c r="N24631" t="str">
        <f>"270         "</f>
        <v xml:space="preserve">270         </v>
      </c>
      <c r="O24631">
        <v>230908</v>
      </c>
    </row>
    <row r="24632" spans="1:15" x14ac:dyDescent="0.25">
      <c r="A24632" t="s">
        <v>16</v>
      </c>
      <c r="B24632" t="s">
        <v>3221</v>
      </c>
      <c r="C24632">
        <v>16296</v>
      </c>
      <c r="D24632" t="s">
        <v>1494</v>
      </c>
      <c r="E24632" t="s">
        <v>1495</v>
      </c>
      <c r="F24632">
        <v>4420</v>
      </c>
      <c r="G24632">
        <v>231120</v>
      </c>
      <c r="H24632">
        <v>4440</v>
      </c>
      <c r="I24632" t="s">
        <v>250</v>
      </c>
      <c r="J24632">
        <v>5480.8</v>
      </c>
      <c r="K24632">
        <v>1060.8</v>
      </c>
      <c r="L24632">
        <v>18120</v>
      </c>
      <c r="M24632" t="s">
        <v>329</v>
      </c>
      <c r="N24632" t="str">
        <f>"274         "</f>
        <v xml:space="preserve">274         </v>
      </c>
      <c r="O24632">
        <v>231127</v>
      </c>
    </row>
    <row r="24633" spans="1:15" x14ac:dyDescent="0.25">
      <c r="A24633" t="s">
        <v>16</v>
      </c>
      <c r="B24633" t="s">
        <v>3221</v>
      </c>
      <c r="C24633">
        <v>2272</v>
      </c>
      <c r="D24633" t="s">
        <v>404</v>
      </c>
      <c r="E24633" t="s">
        <v>405</v>
      </c>
      <c r="F24633">
        <v>18.100000000000001</v>
      </c>
      <c r="G24633">
        <v>230218</v>
      </c>
      <c r="H24633">
        <v>4425</v>
      </c>
      <c r="I24633" t="s">
        <v>1345</v>
      </c>
      <c r="J24633">
        <v>18.100000000000001</v>
      </c>
      <c r="K24633">
        <v>0</v>
      </c>
      <c r="L24633">
        <v>48601</v>
      </c>
      <c r="M24633" t="s">
        <v>1047</v>
      </c>
      <c r="N24633" t="str">
        <f>"270720597   "</f>
        <v xml:space="preserve">270720597   </v>
      </c>
      <c r="O24633">
        <v>230223</v>
      </c>
    </row>
    <row r="24634" spans="1:15" x14ac:dyDescent="0.25">
      <c r="A24634" t="s">
        <v>16</v>
      </c>
      <c r="B24634" t="s">
        <v>3221</v>
      </c>
      <c r="C24634">
        <v>2671</v>
      </c>
      <c r="D24634" t="s">
        <v>404</v>
      </c>
      <c r="E24634" t="s">
        <v>405</v>
      </c>
      <c r="F24634">
        <v>39.799999999999997</v>
      </c>
      <c r="G24634">
        <v>230224</v>
      </c>
      <c r="H24634">
        <v>4425</v>
      </c>
      <c r="I24634" t="s">
        <v>1345</v>
      </c>
      <c r="J24634">
        <v>39.799999999999997</v>
      </c>
      <c r="K24634">
        <v>0</v>
      </c>
      <c r="L24634">
        <v>17527</v>
      </c>
      <c r="M24634" t="s">
        <v>422</v>
      </c>
      <c r="N24634" t="str">
        <f>"2050002073  "</f>
        <v xml:space="preserve">2050002073  </v>
      </c>
      <c r="O24634">
        <v>230306</v>
      </c>
    </row>
    <row r="24635" spans="1:15" x14ac:dyDescent="0.25">
      <c r="A24635" t="s">
        <v>16</v>
      </c>
      <c r="B24635" t="s">
        <v>3221</v>
      </c>
      <c r="C24635">
        <v>4124</v>
      </c>
      <c r="D24635" t="s">
        <v>404</v>
      </c>
      <c r="E24635" t="s">
        <v>405</v>
      </c>
      <c r="F24635">
        <v>29.8</v>
      </c>
      <c r="G24635">
        <v>230317</v>
      </c>
      <c r="H24635">
        <v>4425</v>
      </c>
      <c r="I24635" t="s">
        <v>1345</v>
      </c>
      <c r="J24635">
        <v>29.8</v>
      </c>
      <c r="K24635">
        <v>0</v>
      </c>
      <c r="L24635">
        <v>41126</v>
      </c>
      <c r="M24635" t="s">
        <v>761</v>
      </c>
      <c r="N24635" t="str">
        <f>"2050004398  "</f>
        <v xml:space="preserve">2050004398  </v>
      </c>
      <c r="O24635">
        <v>230330</v>
      </c>
    </row>
    <row r="24636" spans="1:15" x14ac:dyDescent="0.25">
      <c r="A24636" t="s">
        <v>16</v>
      </c>
      <c r="B24636" t="s">
        <v>3221</v>
      </c>
      <c r="C24636">
        <v>4124</v>
      </c>
      <c r="D24636" t="s">
        <v>404</v>
      </c>
      <c r="E24636" t="s">
        <v>405</v>
      </c>
      <c r="F24636">
        <v>29.8</v>
      </c>
      <c r="G24636">
        <v>230317</v>
      </c>
      <c r="H24636">
        <v>4425</v>
      </c>
      <c r="I24636" t="s">
        <v>1345</v>
      </c>
      <c r="J24636">
        <v>29.8</v>
      </c>
      <c r="K24636">
        <v>0</v>
      </c>
      <c r="L24636">
        <v>44222</v>
      </c>
      <c r="M24636" t="s">
        <v>232</v>
      </c>
      <c r="N24636" t="str">
        <f>"2050004398  "</f>
        <v xml:space="preserve">2050004398  </v>
      </c>
      <c r="O24636">
        <v>230330</v>
      </c>
    </row>
    <row r="24637" spans="1:15" x14ac:dyDescent="0.25">
      <c r="A24637" t="s">
        <v>16</v>
      </c>
      <c r="B24637" t="s">
        <v>3221</v>
      </c>
      <c r="C24637">
        <v>4125</v>
      </c>
      <c r="D24637" t="s">
        <v>404</v>
      </c>
      <c r="E24637" t="s">
        <v>405</v>
      </c>
      <c r="F24637">
        <v>-39.799999999999997</v>
      </c>
      <c r="G24637">
        <v>230324</v>
      </c>
      <c r="H24637">
        <v>4425</v>
      </c>
      <c r="I24637" t="s">
        <v>1345</v>
      </c>
      <c r="J24637">
        <v>-39.799999999999997</v>
      </c>
      <c r="K24637">
        <v>0</v>
      </c>
      <c r="L24637">
        <v>17527</v>
      </c>
      <c r="M24637" t="s">
        <v>422</v>
      </c>
      <c r="N24637" t="str">
        <f>"2050005348  "</f>
        <v xml:space="preserve">2050005348  </v>
      </c>
      <c r="O24637">
        <v>230330</v>
      </c>
    </row>
    <row r="24638" spans="1:15" x14ac:dyDescent="0.25">
      <c r="A24638" t="s">
        <v>16</v>
      </c>
      <c r="B24638" t="s">
        <v>3221</v>
      </c>
      <c r="C24638">
        <v>4125</v>
      </c>
      <c r="D24638" t="s">
        <v>404</v>
      </c>
      <c r="E24638" t="s">
        <v>405</v>
      </c>
      <c r="F24638">
        <v>-29.8</v>
      </c>
      <c r="G24638">
        <v>230324</v>
      </c>
      <c r="H24638">
        <v>4425</v>
      </c>
      <c r="I24638" t="s">
        <v>1345</v>
      </c>
      <c r="J24638">
        <v>-29.8</v>
      </c>
      <c r="K24638">
        <v>0</v>
      </c>
      <c r="L24638">
        <v>41126</v>
      </c>
      <c r="M24638" t="s">
        <v>761</v>
      </c>
      <c r="N24638" t="str">
        <f>"2050005348  "</f>
        <v xml:space="preserve">2050005348  </v>
      </c>
      <c r="O24638">
        <v>230330</v>
      </c>
    </row>
    <row r="24639" spans="1:15" x14ac:dyDescent="0.25">
      <c r="A24639" t="s">
        <v>16</v>
      </c>
      <c r="B24639" t="s">
        <v>3221</v>
      </c>
      <c r="C24639">
        <v>4125</v>
      </c>
      <c r="D24639" t="s">
        <v>404</v>
      </c>
      <c r="E24639" t="s">
        <v>405</v>
      </c>
      <c r="F24639">
        <v>-29.8</v>
      </c>
      <c r="G24639">
        <v>230324</v>
      </c>
      <c r="H24639">
        <v>4425</v>
      </c>
      <c r="I24639" t="s">
        <v>1345</v>
      </c>
      <c r="J24639">
        <v>-29.8</v>
      </c>
      <c r="K24639">
        <v>0</v>
      </c>
      <c r="L24639">
        <v>44222</v>
      </c>
      <c r="M24639" t="s">
        <v>232</v>
      </c>
      <c r="N24639" t="str">
        <f>"2050005348  "</f>
        <v xml:space="preserve">2050005348  </v>
      </c>
      <c r="O24639">
        <v>230330</v>
      </c>
    </row>
    <row r="24640" spans="1:15" x14ac:dyDescent="0.25">
      <c r="A24640" t="s">
        <v>16</v>
      </c>
      <c r="B24640" t="s">
        <v>3221</v>
      </c>
      <c r="C24640">
        <v>5422</v>
      </c>
      <c r="D24640" t="s">
        <v>404</v>
      </c>
      <c r="E24640" t="s">
        <v>405</v>
      </c>
      <c r="F24640">
        <v>7.58</v>
      </c>
      <c r="G24640">
        <v>230414</v>
      </c>
      <c r="H24640">
        <v>4425</v>
      </c>
      <c r="I24640" t="s">
        <v>1345</v>
      </c>
      <c r="J24640">
        <v>9.4</v>
      </c>
      <c r="K24640">
        <v>1.82</v>
      </c>
      <c r="L24640">
        <v>17974</v>
      </c>
      <c r="M24640" t="s">
        <v>460</v>
      </c>
      <c r="N24640" t="str">
        <f>"2050008018  "</f>
        <v xml:space="preserve">2050008018  </v>
      </c>
      <c r="O24640">
        <v>230424</v>
      </c>
    </row>
    <row r="24641" spans="1:15" x14ac:dyDescent="0.25">
      <c r="A24641" t="s">
        <v>16</v>
      </c>
      <c r="B24641" t="s">
        <v>3221</v>
      </c>
      <c r="C24641">
        <v>5422</v>
      </c>
      <c r="D24641" t="s">
        <v>404</v>
      </c>
      <c r="E24641" t="s">
        <v>405</v>
      </c>
      <c r="F24641">
        <v>29.8</v>
      </c>
      <c r="G24641">
        <v>230414</v>
      </c>
      <c r="H24641">
        <v>4425</v>
      </c>
      <c r="I24641" t="s">
        <v>1345</v>
      </c>
      <c r="J24641">
        <v>29.8</v>
      </c>
      <c r="K24641">
        <v>0</v>
      </c>
      <c r="L24641">
        <v>17974</v>
      </c>
      <c r="M24641" t="s">
        <v>460</v>
      </c>
      <c r="N24641" t="str">
        <f>"2050008018  "</f>
        <v xml:space="preserve">2050008018  </v>
      </c>
      <c r="O24641">
        <v>230424</v>
      </c>
    </row>
    <row r="24642" spans="1:15" x14ac:dyDescent="0.25">
      <c r="A24642" t="s">
        <v>16</v>
      </c>
      <c r="B24642" t="s">
        <v>3221</v>
      </c>
      <c r="C24642">
        <v>5422</v>
      </c>
      <c r="D24642" t="s">
        <v>404</v>
      </c>
      <c r="E24642" t="s">
        <v>405</v>
      </c>
      <c r="F24642">
        <v>15.16</v>
      </c>
      <c r="G24642">
        <v>230414</v>
      </c>
      <c r="H24642">
        <v>4425</v>
      </c>
      <c r="I24642" t="s">
        <v>1345</v>
      </c>
      <c r="J24642">
        <v>18.8</v>
      </c>
      <c r="K24642">
        <v>3.64</v>
      </c>
      <c r="L24642">
        <v>66756</v>
      </c>
      <c r="M24642" t="s">
        <v>209</v>
      </c>
      <c r="N24642" t="str">
        <f>"2050008018  "</f>
        <v xml:space="preserve">2050008018  </v>
      </c>
      <c r="O24642">
        <v>230424</v>
      </c>
    </row>
    <row r="24643" spans="1:15" x14ac:dyDescent="0.25">
      <c r="A24643" t="s">
        <v>16</v>
      </c>
      <c r="B24643" t="s">
        <v>3221</v>
      </c>
      <c r="C24643">
        <v>5422</v>
      </c>
      <c r="D24643" t="s">
        <v>404</v>
      </c>
      <c r="E24643" t="s">
        <v>405</v>
      </c>
      <c r="F24643">
        <v>150.19999999999999</v>
      </c>
      <c r="G24643">
        <v>230414</v>
      </c>
      <c r="H24643">
        <v>4425</v>
      </c>
      <c r="I24643" t="s">
        <v>1345</v>
      </c>
      <c r="J24643">
        <v>150.19999999999999</v>
      </c>
      <c r="K24643">
        <v>0</v>
      </c>
      <c r="L24643">
        <v>66756</v>
      </c>
      <c r="M24643" t="s">
        <v>209</v>
      </c>
      <c r="N24643" t="str">
        <f>"2050008018  "</f>
        <v xml:space="preserve">2050008018  </v>
      </c>
      <c r="O24643">
        <v>230424</v>
      </c>
    </row>
    <row r="24644" spans="1:15" x14ac:dyDescent="0.25">
      <c r="A24644" t="s">
        <v>16</v>
      </c>
      <c r="B24644" t="s">
        <v>3221</v>
      </c>
      <c r="C24644">
        <v>6349</v>
      </c>
      <c r="D24644" t="s">
        <v>404</v>
      </c>
      <c r="E24644" t="s">
        <v>405</v>
      </c>
      <c r="F24644">
        <v>31.3</v>
      </c>
      <c r="G24644">
        <v>230428</v>
      </c>
      <c r="H24644">
        <v>4425</v>
      </c>
      <c r="I24644" t="s">
        <v>1345</v>
      </c>
      <c r="J24644">
        <v>31.3</v>
      </c>
      <c r="K24644">
        <v>0</v>
      </c>
      <c r="L24644">
        <v>18991</v>
      </c>
      <c r="M24644" t="s">
        <v>1106</v>
      </c>
      <c r="N24644" t="str">
        <f>"2050010347  "</f>
        <v xml:space="preserve">2050010347  </v>
      </c>
      <c r="O24644">
        <v>230510</v>
      </c>
    </row>
    <row r="24645" spans="1:15" x14ac:dyDescent="0.25">
      <c r="A24645" t="s">
        <v>16</v>
      </c>
      <c r="B24645" t="s">
        <v>3221</v>
      </c>
      <c r="C24645">
        <v>6587</v>
      </c>
      <c r="D24645" t="s">
        <v>404</v>
      </c>
      <c r="E24645" t="s">
        <v>405</v>
      </c>
      <c r="F24645">
        <v>62.45</v>
      </c>
      <c r="G24645">
        <v>230512</v>
      </c>
      <c r="H24645">
        <v>4425</v>
      </c>
      <c r="I24645" t="s">
        <v>1345</v>
      </c>
      <c r="J24645">
        <v>68.7</v>
      </c>
      <c r="K24645">
        <v>6.25</v>
      </c>
      <c r="L24645">
        <v>13861</v>
      </c>
      <c r="M24645" t="s">
        <v>1143</v>
      </c>
      <c r="N24645" t="str">
        <f>"2050012549  "</f>
        <v xml:space="preserve">2050012549  </v>
      </c>
      <c r="O24645">
        <v>230515</v>
      </c>
    </row>
    <row r="24646" spans="1:15" x14ac:dyDescent="0.25">
      <c r="A24646" t="s">
        <v>16</v>
      </c>
      <c r="B24646" t="s">
        <v>3221</v>
      </c>
      <c r="C24646">
        <v>6587</v>
      </c>
      <c r="D24646" t="s">
        <v>404</v>
      </c>
      <c r="E24646" t="s">
        <v>405</v>
      </c>
      <c r="F24646">
        <v>10.65</v>
      </c>
      <c r="G24646">
        <v>230512</v>
      </c>
      <c r="H24646">
        <v>4425</v>
      </c>
      <c r="I24646" t="s">
        <v>1345</v>
      </c>
      <c r="J24646">
        <v>13.2</v>
      </c>
      <c r="K24646">
        <v>2.5499999999999998</v>
      </c>
      <c r="L24646">
        <v>17805</v>
      </c>
      <c r="M24646" t="s">
        <v>102</v>
      </c>
      <c r="N24646" t="str">
        <f>"2050012549  "</f>
        <v xml:space="preserve">2050012549  </v>
      </c>
      <c r="O24646">
        <v>230515</v>
      </c>
    </row>
    <row r="24647" spans="1:15" x14ac:dyDescent="0.25">
      <c r="A24647" t="s">
        <v>16</v>
      </c>
      <c r="B24647" t="s">
        <v>3221</v>
      </c>
      <c r="C24647">
        <v>6587</v>
      </c>
      <c r="D24647" t="s">
        <v>404</v>
      </c>
      <c r="E24647" t="s">
        <v>405</v>
      </c>
      <c r="F24647">
        <v>10.65</v>
      </c>
      <c r="G24647">
        <v>230512</v>
      </c>
      <c r="H24647">
        <v>4425</v>
      </c>
      <c r="I24647" t="s">
        <v>1345</v>
      </c>
      <c r="J24647">
        <v>13.2</v>
      </c>
      <c r="K24647">
        <v>2.5499999999999998</v>
      </c>
      <c r="L24647">
        <v>17805</v>
      </c>
      <c r="M24647" t="s">
        <v>102</v>
      </c>
      <c r="N24647" t="str">
        <f>"2050012549  "</f>
        <v xml:space="preserve">2050012549  </v>
      </c>
      <c r="O24647">
        <v>230515</v>
      </c>
    </row>
    <row r="24648" spans="1:15" x14ac:dyDescent="0.25">
      <c r="A24648" t="s">
        <v>16</v>
      </c>
      <c r="B24648" t="s">
        <v>3221</v>
      </c>
      <c r="C24648">
        <v>6587</v>
      </c>
      <c r="D24648" t="s">
        <v>404</v>
      </c>
      <c r="E24648" t="s">
        <v>405</v>
      </c>
      <c r="F24648">
        <v>112.73</v>
      </c>
      <c r="G24648">
        <v>230512</v>
      </c>
      <c r="H24648">
        <v>4425</v>
      </c>
      <c r="I24648" t="s">
        <v>1345</v>
      </c>
      <c r="J24648">
        <v>124</v>
      </c>
      <c r="K24648">
        <v>11.27</v>
      </c>
      <c r="L24648">
        <v>17805</v>
      </c>
      <c r="M24648" t="s">
        <v>102</v>
      </c>
      <c r="N24648" t="str">
        <f>"2050012549  "</f>
        <v xml:space="preserve">2050012549  </v>
      </c>
      <c r="O24648">
        <v>230515</v>
      </c>
    </row>
    <row r="24649" spans="1:15" x14ac:dyDescent="0.25">
      <c r="A24649" t="s">
        <v>16</v>
      </c>
      <c r="B24649" t="s">
        <v>3221</v>
      </c>
      <c r="C24649">
        <v>6587</v>
      </c>
      <c r="D24649" t="s">
        <v>404</v>
      </c>
      <c r="E24649" t="s">
        <v>405</v>
      </c>
      <c r="F24649">
        <v>112.73</v>
      </c>
      <c r="G24649">
        <v>230512</v>
      </c>
      <c r="H24649">
        <v>4425</v>
      </c>
      <c r="I24649" t="s">
        <v>1345</v>
      </c>
      <c r="J24649">
        <v>124</v>
      </c>
      <c r="K24649">
        <v>11.27</v>
      </c>
      <c r="L24649">
        <v>17805</v>
      </c>
      <c r="M24649" t="s">
        <v>102</v>
      </c>
      <c r="N24649" t="str">
        <f>"2050012549  "</f>
        <v xml:space="preserve">2050012549  </v>
      </c>
      <c r="O24649">
        <v>230515</v>
      </c>
    </row>
    <row r="24650" spans="1:15" x14ac:dyDescent="0.25">
      <c r="A24650" t="s">
        <v>16</v>
      </c>
      <c r="B24650" t="s">
        <v>3221</v>
      </c>
      <c r="C24650">
        <v>7465</v>
      </c>
      <c r="D24650" t="s">
        <v>404</v>
      </c>
      <c r="E24650" t="s">
        <v>405</v>
      </c>
      <c r="F24650">
        <v>38.090000000000003</v>
      </c>
      <c r="G24650">
        <v>230519</v>
      </c>
      <c r="H24650">
        <v>4425</v>
      </c>
      <c r="I24650" t="s">
        <v>1345</v>
      </c>
      <c r="J24650">
        <v>41.9</v>
      </c>
      <c r="K24650">
        <v>3.81</v>
      </c>
      <c r="L24650">
        <v>13821</v>
      </c>
      <c r="M24650" t="s">
        <v>540</v>
      </c>
      <c r="N24650" t="str">
        <f>"2050013712  "</f>
        <v xml:space="preserve">2050013712  </v>
      </c>
      <c r="O24650">
        <v>230531</v>
      </c>
    </row>
    <row r="24651" spans="1:15" x14ac:dyDescent="0.25">
      <c r="A24651" t="s">
        <v>16</v>
      </c>
      <c r="B24651" t="s">
        <v>3221</v>
      </c>
      <c r="C24651">
        <v>7465</v>
      </c>
      <c r="D24651" t="s">
        <v>404</v>
      </c>
      <c r="E24651" t="s">
        <v>405</v>
      </c>
      <c r="F24651">
        <v>7.58</v>
      </c>
      <c r="G24651">
        <v>230519</v>
      </c>
      <c r="H24651">
        <v>4425</v>
      </c>
      <c r="I24651" t="s">
        <v>1345</v>
      </c>
      <c r="J24651">
        <v>9.4</v>
      </c>
      <c r="K24651">
        <v>1.82</v>
      </c>
      <c r="L24651">
        <v>69702</v>
      </c>
      <c r="M24651" t="s">
        <v>489</v>
      </c>
      <c r="N24651" t="str">
        <f>"2050013712  "</f>
        <v xml:space="preserve">2050013712  </v>
      </c>
      <c r="O24651">
        <v>230531</v>
      </c>
    </row>
    <row r="24652" spans="1:15" x14ac:dyDescent="0.25">
      <c r="A24652" t="s">
        <v>16</v>
      </c>
      <c r="B24652" t="s">
        <v>3221</v>
      </c>
      <c r="C24652">
        <v>7465</v>
      </c>
      <c r="D24652" t="s">
        <v>404</v>
      </c>
      <c r="E24652" t="s">
        <v>405</v>
      </c>
      <c r="F24652">
        <v>22.36</v>
      </c>
      <c r="G24652">
        <v>230519</v>
      </c>
      <c r="H24652">
        <v>4425</v>
      </c>
      <c r="I24652" t="s">
        <v>1345</v>
      </c>
      <c r="J24652">
        <v>24.6</v>
      </c>
      <c r="K24652">
        <v>2.2400000000000002</v>
      </c>
      <c r="L24652">
        <v>69702</v>
      </c>
      <c r="M24652" t="s">
        <v>489</v>
      </c>
      <c r="N24652" t="str">
        <f>"2050013712  "</f>
        <v xml:space="preserve">2050013712  </v>
      </c>
      <c r="O24652">
        <v>230531</v>
      </c>
    </row>
    <row r="24653" spans="1:15" x14ac:dyDescent="0.25">
      <c r="A24653" t="s">
        <v>16</v>
      </c>
      <c r="B24653" t="s">
        <v>3221</v>
      </c>
      <c r="C24653">
        <v>7465</v>
      </c>
      <c r="D24653" t="s">
        <v>404</v>
      </c>
      <c r="E24653" t="s">
        <v>405</v>
      </c>
      <c r="F24653">
        <v>7.58</v>
      </c>
      <c r="G24653">
        <v>230519</v>
      </c>
      <c r="H24653">
        <v>4425</v>
      </c>
      <c r="I24653" t="s">
        <v>1345</v>
      </c>
      <c r="J24653">
        <v>9.4</v>
      </c>
      <c r="K24653">
        <v>1.82</v>
      </c>
      <c r="L24653">
        <v>69704</v>
      </c>
      <c r="M24653" t="s">
        <v>325</v>
      </c>
      <c r="N24653" t="str">
        <f>"2050013712  "</f>
        <v xml:space="preserve">2050013712  </v>
      </c>
      <c r="O24653">
        <v>230531</v>
      </c>
    </row>
    <row r="24654" spans="1:15" x14ac:dyDescent="0.25">
      <c r="A24654" t="s">
        <v>16</v>
      </c>
      <c r="B24654" t="s">
        <v>3221</v>
      </c>
      <c r="C24654">
        <v>7465</v>
      </c>
      <c r="D24654" t="s">
        <v>404</v>
      </c>
      <c r="E24654" t="s">
        <v>405</v>
      </c>
      <c r="F24654">
        <v>22.36</v>
      </c>
      <c r="G24654">
        <v>230519</v>
      </c>
      <c r="H24654">
        <v>4425</v>
      </c>
      <c r="I24654" t="s">
        <v>1345</v>
      </c>
      <c r="J24654">
        <v>24.6</v>
      </c>
      <c r="K24654">
        <v>2.2400000000000002</v>
      </c>
      <c r="L24654">
        <v>69704</v>
      </c>
      <c r="M24654" t="s">
        <v>325</v>
      </c>
      <c r="N24654" t="str">
        <f>"2050013712  "</f>
        <v xml:space="preserve">2050013712  </v>
      </c>
      <c r="O24654">
        <v>230531</v>
      </c>
    </row>
    <row r="24655" spans="1:15" x14ac:dyDescent="0.25">
      <c r="A24655" t="s">
        <v>16</v>
      </c>
      <c r="B24655" t="s">
        <v>3221</v>
      </c>
      <c r="C24655">
        <v>8005</v>
      </c>
      <c r="D24655" t="s">
        <v>404</v>
      </c>
      <c r="E24655" t="s">
        <v>405</v>
      </c>
      <c r="F24655">
        <v>12</v>
      </c>
      <c r="G24655">
        <v>230602</v>
      </c>
      <c r="H24655">
        <v>4425</v>
      </c>
      <c r="I24655" t="s">
        <v>1345</v>
      </c>
      <c r="J24655">
        <v>13.2</v>
      </c>
      <c r="K24655">
        <v>1.2</v>
      </c>
      <c r="L24655">
        <v>59113</v>
      </c>
      <c r="M24655" t="s">
        <v>235</v>
      </c>
      <c r="N24655" t="str">
        <f>"2050015862  "</f>
        <v xml:space="preserve">2050015862  </v>
      </c>
      <c r="O24655">
        <v>230607</v>
      </c>
    </row>
    <row r="24656" spans="1:15" x14ac:dyDescent="0.25">
      <c r="A24656" t="s">
        <v>16</v>
      </c>
      <c r="B24656" t="s">
        <v>3221</v>
      </c>
      <c r="C24656">
        <v>8932</v>
      </c>
      <c r="D24656" t="s">
        <v>404</v>
      </c>
      <c r="E24656" t="s">
        <v>405</v>
      </c>
      <c r="F24656">
        <v>22.36</v>
      </c>
      <c r="G24656">
        <v>230609</v>
      </c>
      <c r="H24656">
        <v>4425</v>
      </c>
      <c r="I24656" t="s">
        <v>1345</v>
      </c>
      <c r="J24656">
        <v>24.6</v>
      </c>
      <c r="K24656">
        <v>2.2400000000000002</v>
      </c>
      <c r="L24656">
        <v>49112</v>
      </c>
      <c r="M24656" t="s">
        <v>233</v>
      </c>
      <c r="N24656" t="str">
        <f>"2050016588  "</f>
        <v xml:space="preserve">2050016588  </v>
      </c>
      <c r="O24656">
        <v>230620</v>
      </c>
    </row>
    <row r="24657" spans="1:15" x14ac:dyDescent="0.25">
      <c r="A24657" t="s">
        <v>16</v>
      </c>
      <c r="B24657" t="s">
        <v>3221</v>
      </c>
      <c r="C24657">
        <v>8932</v>
      </c>
      <c r="D24657" t="s">
        <v>404</v>
      </c>
      <c r="E24657" t="s">
        <v>405</v>
      </c>
      <c r="F24657">
        <v>45.36</v>
      </c>
      <c r="G24657">
        <v>230609</v>
      </c>
      <c r="H24657">
        <v>4425</v>
      </c>
      <c r="I24657" t="s">
        <v>1345</v>
      </c>
      <c r="J24657">
        <v>49.9</v>
      </c>
      <c r="K24657">
        <v>4.54</v>
      </c>
      <c r="L24657">
        <v>59702</v>
      </c>
      <c r="M24657" t="s">
        <v>328</v>
      </c>
      <c r="N24657" t="str">
        <f>"2050016588  "</f>
        <v xml:space="preserve">2050016588  </v>
      </c>
      <c r="O24657">
        <v>230620</v>
      </c>
    </row>
    <row r="24658" spans="1:15" x14ac:dyDescent="0.25">
      <c r="A24658" t="s">
        <v>16</v>
      </c>
      <c r="B24658" t="s">
        <v>3221</v>
      </c>
      <c r="C24658">
        <v>9712</v>
      </c>
      <c r="D24658" t="s">
        <v>404</v>
      </c>
      <c r="E24658" t="s">
        <v>405</v>
      </c>
      <c r="F24658">
        <v>20.27</v>
      </c>
      <c r="G24658">
        <v>230714</v>
      </c>
      <c r="H24658">
        <v>4425</v>
      </c>
      <c r="I24658" t="s">
        <v>1345</v>
      </c>
      <c r="J24658">
        <v>22.3</v>
      </c>
      <c r="K24658">
        <v>2.0299999999999998</v>
      </c>
      <c r="L24658">
        <v>69112</v>
      </c>
      <c r="M24658" t="s">
        <v>313</v>
      </c>
      <c r="N24658" t="str">
        <f>"2050019837  "</f>
        <v xml:space="preserve">2050019837  </v>
      </c>
      <c r="O24658">
        <v>230720</v>
      </c>
    </row>
    <row r="24659" spans="1:15" x14ac:dyDescent="0.25">
      <c r="A24659" t="s">
        <v>16</v>
      </c>
      <c r="B24659" t="s">
        <v>3221</v>
      </c>
      <c r="C24659">
        <v>9712</v>
      </c>
      <c r="D24659" t="s">
        <v>404</v>
      </c>
      <c r="E24659" t="s">
        <v>405</v>
      </c>
      <c r="F24659">
        <v>20.27</v>
      </c>
      <c r="G24659">
        <v>230714</v>
      </c>
      <c r="H24659">
        <v>4425</v>
      </c>
      <c r="I24659" t="s">
        <v>1345</v>
      </c>
      <c r="J24659">
        <v>22.3</v>
      </c>
      <c r="K24659">
        <v>2.0299999999999998</v>
      </c>
      <c r="L24659">
        <v>69113</v>
      </c>
      <c r="M24659" t="s">
        <v>282</v>
      </c>
      <c r="N24659" t="str">
        <f>"2050019837  "</f>
        <v xml:space="preserve">2050019837  </v>
      </c>
      <c r="O24659">
        <v>230720</v>
      </c>
    </row>
    <row r="24660" spans="1:15" x14ac:dyDescent="0.25">
      <c r="A24660" t="s">
        <v>16</v>
      </c>
      <c r="B24660" t="s">
        <v>3221</v>
      </c>
      <c r="C24660">
        <v>11569</v>
      </c>
      <c r="D24660" t="s">
        <v>404</v>
      </c>
      <c r="E24660" t="s">
        <v>405</v>
      </c>
      <c r="F24660">
        <v>26.55</v>
      </c>
      <c r="G24660">
        <v>230825</v>
      </c>
      <c r="H24660">
        <v>4425</v>
      </c>
      <c r="I24660" t="s">
        <v>1345</v>
      </c>
      <c r="J24660">
        <v>29.2</v>
      </c>
      <c r="K24660">
        <v>2.65</v>
      </c>
      <c r="L24660">
        <v>11101</v>
      </c>
      <c r="M24660" t="s">
        <v>110</v>
      </c>
      <c r="N24660" t="str">
        <f>"2050024095  "</f>
        <v xml:space="preserve">2050024095  </v>
      </c>
      <c r="O24660">
        <v>230907</v>
      </c>
    </row>
    <row r="24661" spans="1:15" x14ac:dyDescent="0.25">
      <c r="A24661" t="s">
        <v>16</v>
      </c>
      <c r="B24661" t="s">
        <v>3221</v>
      </c>
      <c r="C24661">
        <v>11569</v>
      </c>
      <c r="D24661" t="s">
        <v>404</v>
      </c>
      <c r="E24661" t="s">
        <v>405</v>
      </c>
      <c r="F24661">
        <v>9</v>
      </c>
      <c r="G24661">
        <v>230825</v>
      </c>
      <c r="H24661">
        <v>4425</v>
      </c>
      <c r="I24661" t="s">
        <v>1345</v>
      </c>
      <c r="J24661">
        <v>9.9</v>
      </c>
      <c r="K24661">
        <v>0.9</v>
      </c>
      <c r="L24661">
        <v>17533</v>
      </c>
      <c r="M24661" t="s">
        <v>990</v>
      </c>
      <c r="N24661" t="str">
        <f>"2050024095  "</f>
        <v xml:space="preserve">2050024095  </v>
      </c>
      <c r="O24661">
        <v>230907</v>
      </c>
    </row>
    <row r="24662" spans="1:15" x14ac:dyDescent="0.25">
      <c r="A24662" t="s">
        <v>16</v>
      </c>
      <c r="B24662" t="s">
        <v>3221</v>
      </c>
      <c r="C24662">
        <v>11569</v>
      </c>
      <c r="D24662" t="s">
        <v>404</v>
      </c>
      <c r="E24662" t="s">
        <v>405</v>
      </c>
      <c r="F24662">
        <v>58.55</v>
      </c>
      <c r="G24662">
        <v>230825</v>
      </c>
      <c r="H24662">
        <v>4425</v>
      </c>
      <c r="I24662" t="s">
        <v>1345</v>
      </c>
      <c r="J24662">
        <v>64.400000000000006</v>
      </c>
      <c r="K24662">
        <v>5.85</v>
      </c>
      <c r="L24662">
        <v>66722</v>
      </c>
      <c r="M24662" t="s">
        <v>518</v>
      </c>
      <c r="N24662" t="str">
        <f>"2050024095  "</f>
        <v xml:space="preserve">2050024095  </v>
      </c>
      <c r="O24662">
        <v>230907</v>
      </c>
    </row>
    <row r="24663" spans="1:15" x14ac:dyDescent="0.25">
      <c r="A24663" t="s">
        <v>16</v>
      </c>
      <c r="B24663" t="s">
        <v>3221</v>
      </c>
      <c r="C24663">
        <v>12475</v>
      </c>
      <c r="D24663" t="s">
        <v>404</v>
      </c>
      <c r="E24663" t="s">
        <v>405</v>
      </c>
      <c r="F24663">
        <v>25.18</v>
      </c>
      <c r="G24663">
        <v>230915</v>
      </c>
      <c r="H24663">
        <v>4425</v>
      </c>
      <c r="I24663" t="s">
        <v>1345</v>
      </c>
      <c r="J24663">
        <v>27.7</v>
      </c>
      <c r="K24663">
        <v>2.52</v>
      </c>
      <c r="L24663">
        <v>17531</v>
      </c>
      <c r="M24663" t="s">
        <v>136</v>
      </c>
      <c r="N24663" t="str">
        <f>"2050028081  "</f>
        <v xml:space="preserve">2050028081  </v>
      </c>
      <c r="O24663">
        <v>230920</v>
      </c>
    </row>
    <row r="24664" spans="1:15" x14ac:dyDescent="0.25">
      <c r="A24664" t="s">
        <v>16</v>
      </c>
      <c r="B24664" t="s">
        <v>3221</v>
      </c>
      <c r="C24664">
        <v>12475</v>
      </c>
      <c r="D24664" t="s">
        <v>404</v>
      </c>
      <c r="E24664" t="s">
        <v>405</v>
      </c>
      <c r="F24664">
        <v>9.4</v>
      </c>
      <c r="G24664">
        <v>230915</v>
      </c>
      <c r="H24664">
        <v>4425</v>
      </c>
      <c r="I24664" t="s">
        <v>1345</v>
      </c>
      <c r="J24664">
        <v>9.4</v>
      </c>
      <c r="K24664">
        <v>0</v>
      </c>
      <c r="L24664">
        <v>66722</v>
      </c>
      <c r="M24664" t="s">
        <v>518</v>
      </c>
      <c r="N24664" t="str">
        <f>"2050028081  "</f>
        <v xml:space="preserve">2050028081  </v>
      </c>
      <c r="O24664">
        <v>230920</v>
      </c>
    </row>
    <row r="24665" spans="1:15" x14ac:dyDescent="0.25">
      <c r="A24665" t="s">
        <v>16</v>
      </c>
      <c r="B24665" t="s">
        <v>3221</v>
      </c>
      <c r="C24665">
        <v>12475</v>
      </c>
      <c r="D24665" t="s">
        <v>404</v>
      </c>
      <c r="E24665" t="s">
        <v>405</v>
      </c>
      <c r="F24665">
        <v>-58.55</v>
      </c>
      <c r="G24665">
        <v>230915</v>
      </c>
      <c r="H24665">
        <v>4425</v>
      </c>
      <c r="I24665" t="s">
        <v>1345</v>
      </c>
      <c r="J24665">
        <v>-64.400000000000006</v>
      </c>
      <c r="K24665">
        <v>-5.85</v>
      </c>
      <c r="L24665">
        <v>66722</v>
      </c>
      <c r="M24665" t="s">
        <v>518</v>
      </c>
      <c r="N24665" t="str">
        <f>"2050028081  "</f>
        <v xml:space="preserve">2050028081  </v>
      </c>
      <c r="O24665">
        <v>230920</v>
      </c>
    </row>
    <row r="24666" spans="1:15" x14ac:dyDescent="0.25">
      <c r="A24666" t="s">
        <v>16</v>
      </c>
      <c r="B24666" t="s">
        <v>3221</v>
      </c>
      <c r="C24666">
        <v>13705</v>
      </c>
      <c r="D24666" t="s">
        <v>404</v>
      </c>
      <c r="E24666" t="s">
        <v>405</v>
      </c>
      <c r="F24666">
        <v>22.36</v>
      </c>
      <c r="G24666">
        <v>231006</v>
      </c>
      <c r="H24666">
        <v>4425</v>
      </c>
      <c r="I24666" t="s">
        <v>1345</v>
      </c>
      <c r="J24666">
        <v>24.6</v>
      </c>
      <c r="K24666">
        <v>2.2400000000000002</v>
      </c>
      <c r="L24666">
        <v>49704</v>
      </c>
      <c r="M24666" t="s">
        <v>1065</v>
      </c>
      <c r="N24666" t="str">
        <f>"2050032170  "</f>
        <v xml:space="preserve">2050032170  </v>
      </c>
      <c r="O24666">
        <v>231012</v>
      </c>
    </row>
    <row r="24667" spans="1:15" x14ac:dyDescent="0.25">
      <c r="A24667" t="s">
        <v>16</v>
      </c>
      <c r="B24667" t="s">
        <v>3221</v>
      </c>
      <c r="C24667">
        <v>13851</v>
      </c>
      <c r="D24667" t="s">
        <v>404</v>
      </c>
      <c r="E24667" t="s">
        <v>405</v>
      </c>
      <c r="F24667">
        <v>119.82</v>
      </c>
      <c r="G24667">
        <v>230929</v>
      </c>
      <c r="H24667">
        <v>4425</v>
      </c>
      <c r="I24667" t="s">
        <v>1345</v>
      </c>
      <c r="J24667">
        <v>131.80000000000001</v>
      </c>
      <c r="K24667">
        <v>11.98</v>
      </c>
      <c r="L24667">
        <v>11801</v>
      </c>
      <c r="M24667" t="s">
        <v>92</v>
      </c>
      <c r="N24667" t="str">
        <f>"2050030149  "</f>
        <v xml:space="preserve">2050030149  </v>
      </c>
      <c r="O24667">
        <v>231016</v>
      </c>
    </row>
    <row r="24668" spans="1:15" x14ac:dyDescent="0.25">
      <c r="A24668" t="s">
        <v>16</v>
      </c>
      <c r="B24668" t="s">
        <v>3221</v>
      </c>
      <c r="C24668">
        <v>13851</v>
      </c>
      <c r="D24668" t="s">
        <v>404</v>
      </c>
      <c r="E24668" t="s">
        <v>405</v>
      </c>
      <c r="F24668">
        <v>25.45</v>
      </c>
      <c r="G24668">
        <v>230929</v>
      </c>
      <c r="H24668">
        <v>4425</v>
      </c>
      <c r="I24668" t="s">
        <v>1345</v>
      </c>
      <c r="J24668">
        <v>28</v>
      </c>
      <c r="K24668">
        <v>2.5499999999999998</v>
      </c>
      <c r="L24668">
        <v>17527</v>
      </c>
      <c r="M24668" t="s">
        <v>422</v>
      </c>
      <c r="N24668" t="str">
        <f>"2050030149  "</f>
        <v xml:space="preserve">2050030149  </v>
      </c>
      <c r="O24668">
        <v>231016</v>
      </c>
    </row>
    <row r="24669" spans="1:15" x14ac:dyDescent="0.25">
      <c r="A24669" t="s">
        <v>16</v>
      </c>
      <c r="B24669" t="s">
        <v>3221</v>
      </c>
      <c r="C24669">
        <v>13851</v>
      </c>
      <c r="D24669" t="s">
        <v>404</v>
      </c>
      <c r="E24669" t="s">
        <v>405</v>
      </c>
      <c r="F24669">
        <v>27.18</v>
      </c>
      <c r="G24669">
        <v>230929</v>
      </c>
      <c r="H24669">
        <v>4425</v>
      </c>
      <c r="I24669" t="s">
        <v>1345</v>
      </c>
      <c r="J24669">
        <v>29.9</v>
      </c>
      <c r="K24669">
        <v>2.72</v>
      </c>
      <c r="L24669">
        <v>17532</v>
      </c>
      <c r="M24669" t="s">
        <v>543</v>
      </c>
      <c r="N24669" t="str">
        <f>"2050030149  "</f>
        <v xml:space="preserve">2050030149  </v>
      </c>
      <c r="O24669">
        <v>231016</v>
      </c>
    </row>
    <row r="24670" spans="1:15" x14ac:dyDescent="0.25">
      <c r="A24670" t="s">
        <v>16</v>
      </c>
      <c r="B24670" t="s">
        <v>3221</v>
      </c>
      <c r="C24670">
        <v>14244</v>
      </c>
      <c r="D24670" t="s">
        <v>404</v>
      </c>
      <c r="E24670" t="s">
        <v>405</v>
      </c>
      <c r="F24670">
        <v>188.55</v>
      </c>
      <c r="G24670">
        <v>231013</v>
      </c>
      <c r="H24670">
        <v>4425</v>
      </c>
      <c r="I24670" t="s">
        <v>1345</v>
      </c>
      <c r="J24670">
        <v>207.4</v>
      </c>
      <c r="K24670">
        <v>18.850000000000001</v>
      </c>
      <c r="L24670">
        <v>54222</v>
      </c>
      <c r="M24670" t="s">
        <v>308</v>
      </c>
      <c r="N24670" t="str">
        <f>"2050032538  "</f>
        <v xml:space="preserve">2050032538  </v>
      </c>
      <c r="O24670">
        <v>231025</v>
      </c>
    </row>
    <row r="24671" spans="1:15" x14ac:dyDescent="0.25">
      <c r="A24671" t="s">
        <v>16</v>
      </c>
      <c r="B24671" t="s">
        <v>3221</v>
      </c>
      <c r="C24671">
        <v>16191</v>
      </c>
      <c r="D24671" t="s">
        <v>404</v>
      </c>
      <c r="E24671" t="s">
        <v>405</v>
      </c>
      <c r="F24671">
        <v>82.36</v>
      </c>
      <c r="G24671">
        <v>231117</v>
      </c>
      <c r="H24671">
        <v>4425</v>
      </c>
      <c r="I24671" t="s">
        <v>1345</v>
      </c>
      <c r="J24671">
        <v>90.6</v>
      </c>
      <c r="K24671">
        <v>8.24</v>
      </c>
      <c r="L24671">
        <v>11901</v>
      </c>
      <c r="M24671" t="s">
        <v>36</v>
      </c>
      <c r="N24671" t="str">
        <f>"2050038862  "</f>
        <v xml:space="preserve">2050038862  </v>
      </c>
      <c r="O24671">
        <v>231127</v>
      </c>
    </row>
    <row r="24672" spans="1:15" x14ac:dyDescent="0.25">
      <c r="A24672" t="s">
        <v>16</v>
      </c>
      <c r="B24672" t="s">
        <v>3221</v>
      </c>
      <c r="C24672">
        <v>16191</v>
      </c>
      <c r="D24672" t="s">
        <v>404</v>
      </c>
      <c r="E24672" t="s">
        <v>405</v>
      </c>
      <c r="F24672">
        <v>183.36</v>
      </c>
      <c r="G24672">
        <v>231117</v>
      </c>
      <c r="H24672">
        <v>4425</v>
      </c>
      <c r="I24672" t="s">
        <v>1345</v>
      </c>
      <c r="J24672">
        <v>201.7</v>
      </c>
      <c r="K24672">
        <v>18.34</v>
      </c>
      <c r="L24672">
        <v>11903</v>
      </c>
      <c r="M24672" t="s">
        <v>406</v>
      </c>
      <c r="N24672" t="str">
        <f>"2050038862  "</f>
        <v xml:space="preserve">2050038862  </v>
      </c>
      <c r="O24672">
        <v>231127</v>
      </c>
    </row>
    <row r="24673" spans="1:15" x14ac:dyDescent="0.25">
      <c r="A24673" t="s">
        <v>16</v>
      </c>
      <c r="B24673" t="s">
        <v>3221</v>
      </c>
      <c r="C24673">
        <v>16191</v>
      </c>
      <c r="D24673" t="s">
        <v>404</v>
      </c>
      <c r="E24673" t="s">
        <v>405</v>
      </c>
      <c r="F24673">
        <v>93.55</v>
      </c>
      <c r="G24673">
        <v>231117</v>
      </c>
      <c r="H24673">
        <v>4425</v>
      </c>
      <c r="I24673" t="s">
        <v>1345</v>
      </c>
      <c r="J24673">
        <v>102.9</v>
      </c>
      <c r="K24673">
        <v>9.35</v>
      </c>
      <c r="L24673">
        <v>13661</v>
      </c>
      <c r="M24673" t="s">
        <v>247</v>
      </c>
      <c r="N24673" t="str">
        <f>"2050038862  "</f>
        <v xml:space="preserve">2050038862  </v>
      </c>
      <c r="O24673">
        <v>231127</v>
      </c>
    </row>
    <row r="24674" spans="1:15" x14ac:dyDescent="0.25">
      <c r="A24674" t="s">
        <v>16</v>
      </c>
      <c r="B24674" t="s">
        <v>3221</v>
      </c>
      <c r="C24674">
        <v>16191</v>
      </c>
      <c r="D24674" t="s">
        <v>404</v>
      </c>
      <c r="E24674" t="s">
        <v>405</v>
      </c>
      <c r="F24674">
        <v>38</v>
      </c>
      <c r="G24674">
        <v>231117</v>
      </c>
      <c r="H24674">
        <v>4425</v>
      </c>
      <c r="I24674" t="s">
        <v>1345</v>
      </c>
      <c r="J24674">
        <v>41.8</v>
      </c>
      <c r="K24674">
        <v>3.8</v>
      </c>
      <c r="L24674">
        <v>14971</v>
      </c>
      <c r="M24674" t="s">
        <v>1259</v>
      </c>
      <c r="N24674" t="str">
        <f>"2050038862  "</f>
        <v xml:space="preserve">2050038862  </v>
      </c>
      <c r="O24674">
        <v>231127</v>
      </c>
    </row>
    <row r="24675" spans="1:15" x14ac:dyDescent="0.25">
      <c r="A24675" t="s">
        <v>16</v>
      </c>
      <c r="B24675" t="s">
        <v>3221</v>
      </c>
      <c r="C24675">
        <v>16191</v>
      </c>
      <c r="D24675" t="s">
        <v>404</v>
      </c>
      <c r="E24675" t="s">
        <v>405</v>
      </c>
      <c r="F24675">
        <v>59</v>
      </c>
      <c r="G24675">
        <v>231117</v>
      </c>
      <c r="H24675">
        <v>4425</v>
      </c>
      <c r="I24675" t="s">
        <v>1345</v>
      </c>
      <c r="J24675">
        <v>64.900000000000006</v>
      </c>
      <c r="K24675">
        <v>5.9</v>
      </c>
      <c r="L24675">
        <v>14972</v>
      </c>
      <c r="M24675" t="s">
        <v>898</v>
      </c>
      <c r="N24675" t="str">
        <f>"2050038862  "</f>
        <v xml:space="preserve">2050038862  </v>
      </c>
      <c r="O24675">
        <v>231127</v>
      </c>
    </row>
    <row r="24676" spans="1:15" x14ac:dyDescent="0.25">
      <c r="A24676" t="s">
        <v>16</v>
      </c>
      <c r="B24676" t="s">
        <v>3221</v>
      </c>
      <c r="C24676">
        <v>17250</v>
      </c>
      <c r="D24676" t="s">
        <v>404</v>
      </c>
      <c r="E24676" t="s">
        <v>405</v>
      </c>
      <c r="F24676">
        <v>61.36</v>
      </c>
      <c r="G24676">
        <v>231208</v>
      </c>
      <c r="H24676">
        <v>4425</v>
      </c>
      <c r="I24676" t="s">
        <v>1345</v>
      </c>
      <c r="J24676">
        <v>67.5</v>
      </c>
      <c r="K24676">
        <v>6.14</v>
      </c>
      <c r="L24676">
        <v>56562</v>
      </c>
      <c r="M24676" t="s">
        <v>126</v>
      </c>
      <c r="N24676" t="str">
        <f>"2050043065  "</f>
        <v xml:space="preserve">2050043065  </v>
      </c>
      <c r="O24676">
        <v>231212</v>
      </c>
    </row>
    <row r="24677" spans="1:15" x14ac:dyDescent="0.25">
      <c r="A24677" t="s">
        <v>16</v>
      </c>
      <c r="B24677" t="s">
        <v>3221</v>
      </c>
      <c r="C24677">
        <v>18240</v>
      </c>
      <c r="D24677" t="s">
        <v>404</v>
      </c>
      <c r="E24677" t="s">
        <v>405</v>
      </c>
      <c r="F24677">
        <v>-57.09</v>
      </c>
      <c r="G24677">
        <v>231215</v>
      </c>
      <c r="H24677">
        <v>4425</v>
      </c>
      <c r="I24677" t="s">
        <v>1345</v>
      </c>
      <c r="J24677">
        <v>-62.8</v>
      </c>
      <c r="K24677">
        <v>-5.71</v>
      </c>
      <c r="L24677">
        <v>56562</v>
      </c>
      <c r="M24677" t="s">
        <v>126</v>
      </c>
      <c r="N24677" t="str">
        <f>"2050043262  "</f>
        <v xml:space="preserve">2050043262  </v>
      </c>
      <c r="O24677">
        <v>240102</v>
      </c>
    </row>
    <row r="24678" spans="1:15" x14ac:dyDescent="0.25">
      <c r="A24678" t="s">
        <v>16</v>
      </c>
      <c r="B24678" t="s">
        <v>3221</v>
      </c>
      <c r="C24678">
        <v>279</v>
      </c>
      <c r="D24678" t="s">
        <v>404</v>
      </c>
      <c r="E24678" t="s">
        <v>405</v>
      </c>
      <c r="F24678">
        <v>16.600000000000001</v>
      </c>
      <c r="G24678">
        <v>230114</v>
      </c>
      <c r="H24678">
        <v>4420</v>
      </c>
      <c r="I24678" t="s">
        <v>132</v>
      </c>
      <c r="J24678">
        <v>16.600000000000001</v>
      </c>
      <c r="K24678">
        <v>0</v>
      </c>
      <c r="L24678">
        <v>11903</v>
      </c>
      <c r="M24678" t="s">
        <v>406</v>
      </c>
      <c r="N24678" t="str">
        <f>"270716109   "</f>
        <v xml:space="preserve">270716109   </v>
      </c>
      <c r="O24678">
        <v>230117</v>
      </c>
    </row>
    <row r="24679" spans="1:15" x14ac:dyDescent="0.25">
      <c r="A24679" t="s">
        <v>16</v>
      </c>
      <c r="B24679" t="s">
        <v>3221</v>
      </c>
      <c r="C24679">
        <v>279</v>
      </c>
      <c r="D24679" t="s">
        <v>404</v>
      </c>
      <c r="E24679" t="s">
        <v>405</v>
      </c>
      <c r="F24679">
        <v>20.2</v>
      </c>
      <c r="G24679">
        <v>230114</v>
      </c>
      <c r="H24679">
        <v>4420</v>
      </c>
      <c r="I24679" t="s">
        <v>132</v>
      </c>
      <c r="J24679">
        <v>20.2</v>
      </c>
      <c r="K24679">
        <v>0</v>
      </c>
      <c r="L24679">
        <v>18122</v>
      </c>
      <c r="M24679" t="s">
        <v>407</v>
      </c>
      <c r="N24679" t="str">
        <f>"270716109   "</f>
        <v xml:space="preserve">270716109   </v>
      </c>
      <c r="O24679">
        <v>230117</v>
      </c>
    </row>
    <row r="24680" spans="1:15" x14ac:dyDescent="0.25">
      <c r="A24680" t="s">
        <v>16</v>
      </c>
      <c r="B24680" t="s">
        <v>3221</v>
      </c>
      <c r="C24680">
        <v>1081</v>
      </c>
      <c r="D24680" t="s">
        <v>404</v>
      </c>
      <c r="E24680" t="s">
        <v>405</v>
      </c>
      <c r="F24680">
        <v>832.9</v>
      </c>
      <c r="G24680">
        <v>230128</v>
      </c>
      <c r="H24680">
        <v>4420</v>
      </c>
      <c r="I24680" t="s">
        <v>132</v>
      </c>
      <c r="J24680">
        <v>832.9</v>
      </c>
      <c r="K24680">
        <v>0</v>
      </c>
      <c r="L24680">
        <v>11605</v>
      </c>
      <c r="M24680" t="s">
        <v>106</v>
      </c>
      <c r="N24680" t="str">
        <f>"270718195   "</f>
        <v xml:space="preserve">270718195   </v>
      </c>
      <c r="O24680">
        <v>230203</v>
      </c>
    </row>
    <row r="24681" spans="1:15" x14ac:dyDescent="0.25">
      <c r="A24681" t="s">
        <v>16</v>
      </c>
      <c r="B24681" t="s">
        <v>3221</v>
      </c>
      <c r="C24681">
        <v>1891</v>
      </c>
      <c r="D24681" t="s">
        <v>404</v>
      </c>
      <c r="E24681" t="s">
        <v>405</v>
      </c>
      <c r="F24681">
        <v>7.58</v>
      </c>
      <c r="G24681">
        <v>230210</v>
      </c>
      <c r="H24681">
        <v>4420</v>
      </c>
      <c r="I24681" t="s">
        <v>132</v>
      </c>
      <c r="J24681">
        <v>9.4</v>
      </c>
      <c r="K24681">
        <v>1.82</v>
      </c>
      <c r="L24681">
        <v>17531</v>
      </c>
      <c r="M24681" t="s">
        <v>136</v>
      </c>
      <c r="N24681" t="str">
        <f>"2050001052  "</f>
        <v xml:space="preserve">2050001052  </v>
      </c>
      <c r="O24681">
        <v>230215</v>
      </c>
    </row>
    <row r="24682" spans="1:15" x14ac:dyDescent="0.25">
      <c r="A24682" t="s">
        <v>16</v>
      </c>
      <c r="B24682" t="s">
        <v>3221</v>
      </c>
      <c r="C24682">
        <v>1891</v>
      </c>
      <c r="D24682" t="s">
        <v>404</v>
      </c>
      <c r="E24682" t="s">
        <v>405</v>
      </c>
      <c r="F24682">
        <v>27.2</v>
      </c>
      <c r="G24682">
        <v>230210</v>
      </c>
      <c r="H24682">
        <v>4420</v>
      </c>
      <c r="I24682" t="s">
        <v>132</v>
      </c>
      <c r="J24682">
        <v>27.2</v>
      </c>
      <c r="K24682">
        <v>0</v>
      </c>
      <c r="L24682">
        <v>17531</v>
      </c>
      <c r="M24682" t="s">
        <v>136</v>
      </c>
      <c r="N24682" t="str">
        <f>"2050001052  "</f>
        <v xml:space="preserve">2050001052  </v>
      </c>
      <c r="O24682">
        <v>230215</v>
      </c>
    </row>
    <row r="24683" spans="1:15" x14ac:dyDescent="0.25">
      <c r="A24683" t="s">
        <v>16</v>
      </c>
      <c r="B24683" t="s">
        <v>3221</v>
      </c>
      <c r="C24683">
        <v>2306</v>
      </c>
      <c r="D24683" t="s">
        <v>404</v>
      </c>
      <c r="E24683" t="s">
        <v>405</v>
      </c>
      <c r="F24683">
        <v>19.100000000000001</v>
      </c>
      <c r="G24683">
        <v>230217</v>
      </c>
      <c r="H24683">
        <v>4420</v>
      </c>
      <c r="I24683" t="s">
        <v>132</v>
      </c>
      <c r="J24683">
        <v>19.100000000000001</v>
      </c>
      <c r="K24683">
        <v>0</v>
      </c>
      <c r="L24683">
        <v>18972</v>
      </c>
      <c r="M24683" t="s">
        <v>163</v>
      </c>
      <c r="N24683" t="str">
        <f>"2050001721  "</f>
        <v xml:space="preserve">2050001721  </v>
      </c>
      <c r="O24683">
        <v>230224</v>
      </c>
    </row>
    <row r="24684" spans="1:15" x14ac:dyDescent="0.25">
      <c r="A24684" t="s">
        <v>16</v>
      </c>
      <c r="B24684" t="s">
        <v>3221</v>
      </c>
      <c r="C24684">
        <v>4124</v>
      </c>
      <c r="D24684" t="s">
        <v>404</v>
      </c>
      <c r="E24684" t="s">
        <v>405</v>
      </c>
      <c r="F24684">
        <v>22.5</v>
      </c>
      <c r="G24684">
        <v>230317</v>
      </c>
      <c r="H24684">
        <v>4420</v>
      </c>
      <c r="I24684" t="s">
        <v>132</v>
      </c>
      <c r="J24684">
        <v>22.5</v>
      </c>
      <c r="K24684">
        <v>0</v>
      </c>
      <c r="L24684">
        <v>11900</v>
      </c>
      <c r="M24684" t="s">
        <v>1105</v>
      </c>
      <c r="N24684" t="str">
        <f>"2050004398  "</f>
        <v xml:space="preserve">2050004398  </v>
      </c>
      <c r="O24684">
        <v>230330</v>
      </c>
    </row>
    <row r="24685" spans="1:15" x14ac:dyDescent="0.25">
      <c r="A24685" t="s">
        <v>16</v>
      </c>
      <c r="B24685" t="s">
        <v>3221</v>
      </c>
      <c r="C24685">
        <v>4124</v>
      </c>
      <c r="D24685" t="s">
        <v>404</v>
      </c>
      <c r="E24685" t="s">
        <v>405</v>
      </c>
      <c r="F24685">
        <v>86.3</v>
      </c>
      <c r="G24685">
        <v>230317</v>
      </c>
      <c r="H24685">
        <v>4420</v>
      </c>
      <c r="I24685" t="s">
        <v>132</v>
      </c>
      <c r="J24685">
        <v>86.3</v>
      </c>
      <c r="K24685">
        <v>0</v>
      </c>
      <c r="L24685">
        <v>11905</v>
      </c>
      <c r="M24685" t="s">
        <v>39</v>
      </c>
      <c r="N24685" t="str">
        <f>"2050004398  "</f>
        <v xml:space="preserve">2050004398  </v>
      </c>
      <c r="O24685">
        <v>230330</v>
      </c>
    </row>
    <row r="24686" spans="1:15" x14ac:dyDescent="0.25">
      <c r="A24686" t="s">
        <v>16</v>
      </c>
      <c r="B24686" t="s">
        <v>3221</v>
      </c>
      <c r="C24686">
        <v>4982</v>
      </c>
      <c r="D24686" t="s">
        <v>404</v>
      </c>
      <c r="E24686" t="s">
        <v>405</v>
      </c>
      <c r="F24686">
        <v>30.32</v>
      </c>
      <c r="G24686">
        <v>230331</v>
      </c>
      <c r="H24686">
        <v>4420</v>
      </c>
      <c r="I24686" t="s">
        <v>132</v>
      </c>
      <c r="J24686">
        <v>37.6</v>
      </c>
      <c r="K24686">
        <v>7.28</v>
      </c>
      <c r="L24686">
        <v>13601</v>
      </c>
      <c r="M24686" t="s">
        <v>147</v>
      </c>
      <c r="N24686" t="str">
        <f>"2050006742  "</f>
        <v xml:space="preserve">2050006742  </v>
      </c>
      <c r="O24686">
        <v>230414</v>
      </c>
    </row>
    <row r="24687" spans="1:15" x14ac:dyDescent="0.25">
      <c r="A24687" t="s">
        <v>16</v>
      </c>
      <c r="B24687" t="s">
        <v>3221</v>
      </c>
      <c r="C24687">
        <v>4982</v>
      </c>
      <c r="D24687" t="s">
        <v>404</v>
      </c>
      <c r="E24687" t="s">
        <v>405</v>
      </c>
      <c r="F24687">
        <v>286.8</v>
      </c>
      <c r="G24687">
        <v>230331</v>
      </c>
      <c r="H24687">
        <v>4420</v>
      </c>
      <c r="I24687" t="s">
        <v>132</v>
      </c>
      <c r="J24687">
        <v>286.8</v>
      </c>
      <c r="K24687">
        <v>0</v>
      </c>
      <c r="L24687">
        <v>13601</v>
      </c>
      <c r="M24687" t="s">
        <v>147</v>
      </c>
      <c r="N24687" t="str">
        <f>"2050006742  "</f>
        <v xml:space="preserve">2050006742  </v>
      </c>
      <c r="O24687">
        <v>230414</v>
      </c>
    </row>
    <row r="24688" spans="1:15" x14ac:dyDescent="0.25">
      <c r="A24688" t="s">
        <v>16</v>
      </c>
      <c r="B24688" t="s">
        <v>3221</v>
      </c>
      <c r="C24688">
        <v>5422</v>
      </c>
      <c r="D24688" t="s">
        <v>404</v>
      </c>
      <c r="E24688" t="s">
        <v>405</v>
      </c>
      <c r="F24688">
        <v>96.9</v>
      </c>
      <c r="G24688">
        <v>230414</v>
      </c>
      <c r="H24688">
        <v>4420</v>
      </c>
      <c r="I24688" t="s">
        <v>132</v>
      </c>
      <c r="J24688">
        <v>96.9</v>
      </c>
      <c r="K24688">
        <v>0</v>
      </c>
      <c r="L24688">
        <v>11902</v>
      </c>
      <c r="M24688" t="s">
        <v>1443</v>
      </c>
      <c r="N24688" t="str">
        <f>"2050008018  "</f>
        <v xml:space="preserve">2050008018  </v>
      </c>
      <c r="O24688">
        <v>230424</v>
      </c>
    </row>
    <row r="24689" spans="1:15" x14ac:dyDescent="0.25">
      <c r="A24689" t="s">
        <v>16</v>
      </c>
      <c r="B24689" t="s">
        <v>3221</v>
      </c>
      <c r="C24689">
        <v>5422</v>
      </c>
      <c r="D24689" t="s">
        <v>404</v>
      </c>
      <c r="E24689" t="s">
        <v>405</v>
      </c>
      <c r="F24689">
        <v>9.9</v>
      </c>
      <c r="G24689">
        <v>230414</v>
      </c>
      <c r="H24689">
        <v>4420</v>
      </c>
      <c r="I24689" t="s">
        <v>132</v>
      </c>
      <c r="J24689">
        <v>9.9</v>
      </c>
      <c r="K24689">
        <v>0</v>
      </c>
      <c r="L24689">
        <v>11903</v>
      </c>
      <c r="M24689" t="s">
        <v>406</v>
      </c>
      <c r="N24689" t="str">
        <f>"2050008018  "</f>
        <v xml:space="preserve">2050008018  </v>
      </c>
      <c r="O24689">
        <v>230424</v>
      </c>
    </row>
    <row r="24690" spans="1:15" x14ac:dyDescent="0.25">
      <c r="A24690" t="s">
        <v>16</v>
      </c>
      <c r="B24690" t="s">
        <v>3221</v>
      </c>
      <c r="C24690">
        <v>5422</v>
      </c>
      <c r="D24690" t="s">
        <v>404</v>
      </c>
      <c r="E24690" t="s">
        <v>405</v>
      </c>
      <c r="F24690">
        <v>7.58</v>
      </c>
      <c r="G24690">
        <v>230414</v>
      </c>
      <c r="H24690">
        <v>4420</v>
      </c>
      <c r="I24690" t="s">
        <v>132</v>
      </c>
      <c r="J24690">
        <v>9.4</v>
      </c>
      <c r="K24690">
        <v>1.82</v>
      </c>
      <c r="L24690">
        <v>66722</v>
      </c>
      <c r="M24690" t="s">
        <v>518</v>
      </c>
      <c r="N24690" t="str">
        <f>"2050008018  "</f>
        <v xml:space="preserve">2050008018  </v>
      </c>
      <c r="O24690">
        <v>230424</v>
      </c>
    </row>
    <row r="24691" spans="1:15" x14ac:dyDescent="0.25">
      <c r="A24691" t="s">
        <v>16</v>
      </c>
      <c r="B24691" t="s">
        <v>3221</v>
      </c>
      <c r="C24691">
        <v>5422</v>
      </c>
      <c r="D24691" t="s">
        <v>404</v>
      </c>
      <c r="E24691" t="s">
        <v>405</v>
      </c>
      <c r="F24691">
        <v>57.1</v>
      </c>
      <c r="G24691">
        <v>230414</v>
      </c>
      <c r="H24691">
        <v>4420</v>
      </c>
      <c r="I24691" t="s">
        <v>132</v>
      </c>
      <c r="J24691">
        <v>57.1</v>
      </c>
      <c r="K24691">
        <v>0</v>
      </c>
      <c r="L24691">
        <v>66722</v>
      </c>
      <c r="M24691" t="s">
        <v>518</v>
      </c>
      <c r="N24691" t="str">
        <f>"2050008018  "</f>
        <v xml:space="preserve">2050008018  </v>
      </c>
      <c r="O24691">
        <v>230424</v>
      </c>
    </row>
    <row r="24692" spans="1:15" x14ac:dyDescent="0.25">
      <c r="A24692" t="s">
        <v>16</v>
      </c>
      <c r="B24692" t="s">
        <v>3221</v>
      </c>
      <c r="C24692">
        <v>5778</v>
      </c>
      <c r="D24692" t="s">
        <v>404</v>
      </c>
      <c r="E24692" t="s">
        <v>405</v>
      </c>
      <c r="F24692">
        <v>69.5</v>
      </c>
      <c r="G24692">
        <v>230421</v>
      </c>
      <c r="H24692">
        <v>4420</v>
      </c>
      <c r="I24692" t="s">
        <v>132</v>
      </c>
      <c r="J24692">
        <v>69.5</v>
      </c>
      <c r="K24692">
        <v>0</v>
      </c>
      <c r="L24692">
        <v>17131</v>
      </c>
      <c r="M24692" t="s">
        <v>64</v>
      </c>
      <c r="N24692" t="str">
        <f>"2050009262  "</f>
        <v xml:space="preserve">2050009262  </v>
      </c>
      <c r="O24692">
        <v>230502</v>
      </c>
    </row>
    <row r="24693" spans="1:15" x14ac:dyDescent="0.25">
      <c r="A24693" t="s">
        <v>16</v>
      </c>
      <c r="B24693" t="s">
        <v>3221</v>
      </c>
      <c r="C24693">
        <v>5778</v>
      </c>
      <c r="D24693" t="s">
        <v>404</v>
      </c>
      <c r="E24693" t="s">
        <v>405</v>
      </c>
      <c r="F24693">
        <v>7.58</v>
      </c>
      <c r="G24693">
        <v>230421</v>
      </c>
      <c r="H24693">
        <v>4420</v>
      </c>
      <c r="I24693" t="s">
        <v>132</v>
      </c>
      <c r="J24693">
        <v>9.4</v>
      </c>
      <c r="K24693">
        <v>1.82</v>
      </c>
      <c r="L24693">
        <v>17531</v>
      </c>
      <c r="M24693" t="s">
        <v>136</v>
      </c>
      <c r="N24693" t="str">
        <f>"2050009262  "</f>
        <v xml:space="preserve">2050009262  </v>
      </c>
      <c r="O24693">
        <v>230502</v>
      </c>
    </row>
    <row r="24694" spans="1:15" x14ac:dyDescent="0.25">
      <c r="A24694" t="s">
        <v>16</v>
      </c>
      <c r="B24694" t="s">
        <v>3221</v>
      </c>
      <c r="C24694">
        <v>5778</v>
      </c>
      <c r="D24694" t="s">
        <v>404</v>
      </c>
      <c r="E24694" t="s">
        <v>405</v>
      </c>
      <c r="F24694">
        <v>10.5</v>
      </c>
      <c r="G24694">
        <v>230421</v>
      </c>
      <c r="H24694">
        <v>4420</v>
      </c>
      <c r="I24694" t="s">
        <v>132</v>
      </c>
      <c r="J24694">
        <v>10.5</v>
      </c>
      <c r="K24694">
        <v>0</v>
      </c>
      <c r="L24694">
        <v>17531</v>
      </c>
      <c r="M24694" t="s">
        <v>136</v>
      </c>
      <c r="N24694" t="str">
        <f>"2050009262  "</f>
        <v xml:space="preserve">2050009262  </v>
      </c>
      <c r="O24694">
        <v>230502</v>
      </c>
    </row>
    <row r="24695" spans="1:15" x14ac:dyDescent="0.25">
      <c r="A24695" t="s">
        <v>16</v>
      </c>
      <c r="B24695" t="s">
        <v>3221</v>
      </c>
      <c r="C24695">
        <v>5778</v>
      </c>
      <c r="D24695" t="s">
        <v>404</v>
      </c>
      <c r="E24695" t="s">
        <v>405</v>
      </c>
      <c r="F24695">
        <v>58</v>
      </c>
      <c r="G24695">
        <v>230421</v>
      </c>
      <c r="H24695">
        <v>4420</v>
      </c>
      <c r="I24695" t="s">
        <v>132</v>
      </c>
      <c r="J24695">
        <v>58</v>
      </c>
      <c r="K24695">
        <v>0</v>
      </c>
      <c r="L24695">
        <v>18122</v>
      </c>
      <c r="M24695" t="s">
        <v>407</v>
      </c>
      <c r="N24695" t="str">
        <f>"2050009262  "</f>
        <v xml:space="preserve">2050009262  </v>
      </c>
      <c r="O24695">
        <v>230502</v>
      </c>
    </row>
    <row r="24696" spans="1:15" x14ac:dyDescent="0.25">
      <c r="A24696" t="s">
        <v>16</v>
      </c>
      <c r="B24696" t="s">
        <v>3221</v>
      </c>
      <c r="C24696">
        <v>5778</v>
      </c>
      <c r="D24696" t="s">
        <v>404</v>
      </c>
      <c r="E24696" t="s">
        <v>405</v>
      </c>
      <c r="F24696">
        <v>9.9</v>
      </c>
      <c r="G24696">
        <v>230421</v>
      </c>
      <c r="H24696">
        <v>4420</v>
      </c>
      <c r="I24696" t="s">
        <v>132</v>
      </c>
      <c r="J24696">
        <v>9.9</v>
      </c>
      <c r="K24696">
        <v>0</v>
      </c>
      <c r="L24696">
        <v>18991</v>
      </c>
      <c r="M24696" t="s">
        <v>1106</v>
      </c>
      <c r="N24696" t="str">
        <f>"2050009262  "</f>
        <v xml:space="preserve">2050009262  </v>
      </c>
      <c r="O24696">
        <v>230502</v>
      </c>
    </row>
    <row r="24697" spans="1:15" x14ac:dyDescent="0.25">
      <c r="A24697" t="s">
        <v>16</v>
      </c>
      <c r="B24697" t="s">
        <v>3221</v>
      </c>
      <c r="C24697">
        <v>6349</v>
      </c>
      <c r="D24697" t="s">
        <v>404</v>
      </c>
      <c r="E24697" t="s">
        <v>405</v>
      </c>
      <c r="F24697">
        <v>93.3</v>
      </c>
      <c r="G24697">
        <v>230428</v>
      </c>
      <c r="H24697">
        <v>4420</v>
      </c>
      <c r="I24697" t="s">
        <v>132</v>
      </c>
      <c r="J24697">
        <v>93.3</v>
      </c>
      <c r="K24697">
        <v>0</v>
      </c>
      <c r="L24697">
        <v>14121</v>
      </c>
      <c r="M24697" t="s">
        <v>880</v>
      </c>
      <c r="N24697" t="str">
        <f>"2050010347  "</f>
        <v xml:space="preserve">2050010347  </v>
      </c>
      <c r="O24697">
        <v>230510</v>
      </c>
    </row>
    <row r="24698" spans="1:15" x14ac:dyDescent="0.25">
      <c r="A24698" t="s">
        <v>16</v>
      </c>
      <c r="B24698" t="s">
        <v>3221</v>
      </c>
      <c r="C24698">
        <v>6349</v>
      </c>
      <c r="D24698" t="s">
        <v>404</v>
      </c>
      <c r="E24698" t="s">
        <v>405</v>
      </c>
      <c r="F24698">
        <v>97.2</v>
      </c>
      <c r="G24698">
        <v>230428</v>
      </c>
      <c r="H24698">
        <v>4420</v>
      </c>
      <c r="I24698" t="s">
        <v>132</v>
      </c>
      <c r="J24698">
        <v>97.2</v>
      </c>
      <c r="K24698">
        <v>0</v>
      </c>
      <c r="L24698">
        <v>17527</v>
      </c>
      <c r="M24698" t="s">
        <v>422</v>
      </c>
      <c r="N24698" t="str">
        <f>"2050010347  "</f>
        <v xml:space="preserve">2050010347  </v>
      </c>
      <c r="O24698">
        <v>230510</v>
      </c>
    </row>
    <row r="24699" spans="1:15" x14ac:dyDescent="0.25">
      <c r="A24699" t="s">
        <v>16</v>
      </c>
      <c r="B24699" t="s">
        <v>3221</v>
      </c>
      <c r="C24699">
        <v>6349</v>
      </c>
      <c r="D24699" t="s">
        <v>404</v>
      </c>
      <c r="E24699" t="s">
        <v>405</v>
      </c>
      <c r="F24699">
        <v>58.2</v>
      </c>
      <c r="G24699">
        <v>230428</v>
      </c>
      <c r="H24699">
        <v>4420</v>
      </c>
      <c r="I24699" t="s">
        <v>132</v>
      </c>
      <c r="J24699">
        <v>58.2</v>
      </c>
      <c r="K24699">
        <v>0</v>
      </c>
      <c r="L24699">
        <v>53222</v>
      </c>
      <c r="M24699" t="s">
        <v>445</v>
      </c>
      <c r="N24699" t="str">
        <f>"2050010347  "</f>
        <v xml:space="preserve">2050010347  </v>
      </c>
      <c r="O24699">
        <v>230510</v>
      </c>
    </row>
    <row r="24700" spans="1:15" x14ac:dyDescent="0.25">
      <c r="A24700" t="s">
        <v>16</v>
      </c>
      <c r="B24700" t="s">
        <v>3221</v>
      </c>
      <c r="C24700">
        <v>6634</v>
      </c>
      <c r="D24700" t="s">
        <v>404</v>
      </c>
      <c r="E24700" t="s">
        <v>405</v>
      </c>
      <c r="F24700">
        <v>133.55000000000001</v>
      </c>
      <c r="G24700">
        <v>230505</v>
      </c>
      <c r="H24700">
        <v>4420</v>
      </c>
      <c r="I24700" t="s">
        <v>132</v>
      </c>
      <c r="J24700">
        <v>146.9</v>
      </c>
      <c r="K24700">
        <v>13.35</v>
      </c>
      <c r="L24700">
        <v>14422</v>
      </c>
      <c r="M24700" t="s">
        <v>228</v>
      </c>
      <c r="N24700" t="str">
        <f>"2050011855  "</f>
        <v xml:space="preserve">2050011855  </v>
      </c>
      <c r="O24700">
        <v>230516</v>
      </c>
    </row>
    <row r="24701" spans="1:15" x14ac:dyDescent="0.25">
      <c r="A24701" t="s">
        <v>16</v>
      </c>
      <c r="B24701" t="s">
        <v>3221</v>
      </c>
      <c r="C24701">
        <v>7609</v>
      </c>
      <c r="D24701" t="s">
        <v>404</v>
      </c>
      <c r="E24701" t="s">
        <v>405</v>
      </c>
      <c r="F24701">
        <v>7.58</v>
      </c>
      <c r="G24701">
        <v>230526</v>
      </c>
      <c r="H24701">
        <v>4420</v>
      </c>
      <c r="I24701" t="s">
        <v>132</v>
      </c>
      <c r="J24701">
        <v>9.4</v>
      </c>
      <c r="K24701">
        <v>1.82</v>
      </c>
      <c r="L24701">
        <v>11751</v>
      </c>
      <c r="M24701" t="s">
        <v>1339</v>
      </c>
      <c r="N24701" t="str">
        <f>"2050014815  "</f>
        <v xml:space="preserve">2050014815  </v>
      </c>
      <c r="O24701">
        <v>230601</v>
      </c>
    </row>
    <row r="24702" spans="1:15" x14ac:dyDescent="0.25">
      <c r="A24702" t="s">
        <v>16</v>
      </c>
      <c r="B24702" t="s">
        <v>3221</v>
      </c>
      <c r="C24702">
        <v>7609</v>
      </c>
      <c r="D24702" t="s">
        <v>404</v>
      </c>
      <c r="E24702" t="s">
        <v>405</v>
      </c>
      <c r="F24702">
        <v>15.82</v>
      </c>
      <c r="G24702">
        <v>230526</v>
      </c>
      <c r="H24702">
        <v>4420</v>
      </c>
      <c r="I24702" t="s">
        <v>132</v>
      </c>
      <c r="J24702">
        <v>17.399999999999999</v>
      </c>
      <c r="K24702">
        <v>1.58</v>
      </c>
      <c r="L24702">
        <v>11751</v>
      </c>
      <c r="M24702" t="s">
        <v>1339</v>
      </c>
      <c r="N24702" t="str">
        <f>"2050014815  "</f>
        <v xml:space="preserve">2050014815  </v>
      </c>
      <c r="O24702">
        <v>230601</v>
      </c>
    </row>
    <row r="24703" spans="1:15" x14ac:dyDescent="0.25">
      <c r="A24703" t="s">
        <v>16</v>
      </c>
      <c r="B24703" t="s">
        <v>3221</v>
      </c>
      <c r="C24703">
        <v>7609</v>
      </c>
      <c r="D24703" t="s">
        <v>404</v>
      </c>
      <c r="E24703" t="s">
        <v>405</v>
      </c>
      <c r="F24703">
        <v>7.58</v>
      </c>
      <c r="G24703">
        <v>230526</v>
      </c>
      <c r="H24703">
        <v>4420</v>
      </c>
      <c r="I24703" t="s">
        <v>132</v>
      </c>
      <c r="J24703">
        <v>9.4</v>
      </c>
      <c r="K24703">
        <v>1.82</v>
      </c>
      <c r="L24703">
        <v>14972</v>
      </c>
      <c r="M24703" t="s">
        <v>898</v>
      </c>
      <c r="N24703" t="str">
        <f>"2050014815  "</f>
        <v xml:space="preserve">2050014815  </v>
      </c>
      <c r="O24703">
        <v>230601</v>
      </c>
    </row>
    <row r="24704" spans="1:15" x14ac:dyDescent="0.25">
      <c r="A24704" t="s">
        <v>16</v>
      </c>
      <c r="B24704" t="s">
        <v>3221</v>
      </c>
      <c r="C24704">
        <v>7609</v>
      </c>
      <c r="D24704" t="s">
        <v>404</v>
      </c>
      <c r="E24704" t="s">
        <v>405</v>
      </c>
      <c r="F24704">
        <v>41.09</v>
      </c>
      <c r="G24704">
        <v>230526</v>
      </c>
      <c r="H24704">
        <v>4420</v>
      </c>
      <c r="I24704" t="s">
        <v>132</v>
      </c>
      <c r="J24704">
        <v>45.2</v>
      </c>
      <c r="K24704">
        <v>4.1100000000000003</v>
      </c>
      <c r="L24704">
        <v>14972</v>
      </c>
      <c r="M24704" t="s">
        <v>898</v>
      </c>
      <c r="N24704" t="str">
        <f>"2050014815  "</f>
        <v xml:space="preserve">2050014815  </v>
      </c>
      <c r="O24704">
        <v>230601</v>
      </c>
    </row>
    <row r="24705" spans="1:15" x14ac:dyDescent="0.25">
      <c r="A24705" t="s">
        <v>16</v>
      </c>
      <c r="B24705" t="s">
        <v>3221</v>
      </c>
      <c r="C24705">
        <v>8005</v>
      </c>
      <c r="D24705" t="s">
        <v>404</v>
      </c>
      <c r="E24705" t="s">
        <v>405</v>
      </c>
      <c r="F24705">
        <v>35.82</v>
      </c>
      <c r="G24705">
        <v>230602</v>
      </c>
      <c r="H24705">
        <v>4420</v>
      </c>
      <c r="I24705" t="s">
        <v>132</v>
      </c>
      <c r="J24705">
        <v>39.4</v>
      </c>
      <c r="K24705">
        <v>3.58</v>
      </c>
      <c r="L24705">
        <v>44222</v>
      </c>
      <c r="M24705" t="s">
        <v>232</v>
      </c>
      <c r="N24705" t="str">
        <f>"2050015862  "</f>
        <v xml:space="preserve">2050015862  </v>
      </c>
      <c r="O24705">
        <v>230607</v>
      </c>
    </row>
    <row r="24706" spans="1:15" x14ac:dyDescent="0.25">
      <c r="A24706" t="s">
        <v>16</v>
      </c>
      <c r="B24706" t="s">
        <v>3221</v>
      </c>
      <c r="C24706">
        <v>8932</v>
      </c>
      <c r="D24706" t="s">
        <v>404</v>
      </c>
      <c r="E24706" t="s">
        <v>405</v>
      </c>
      <c r="F24706">
        <v>61.64</v>
      </c>
      <c r="G24706">
        <v>230609</v>
      </c>
      <c r="H24706">
        <v>4420</v>
      </c>
      <c r="I24706" t="s">
        <v>132</v>
      </c>
      <c r="J24706">
        <v>67.8</v>
      </c>
      <c r="K24706">
        <v>6.16</v>
      </c>
      <c r="L24706">
        <v>11902</v>
      </c>
      <c r="M24706" t="s">
        <v>1443</v>
      </c>
      <c r="N24706" t="str">
        <f>"2050016588  "</f>
        <v xml:space="preserve">2050016588  </v>
      </c>
      <c r="O24706">
        <v>230620</v>
      </c>
    </row>
    <row r="24707" spans="1:15" x14ac:dyDescent="0.25">
      <c r="A24707" t="s">
        <v>16</v>
      </c>
      <c r="B24707" t="s">
        <v>3221</v>
      </c>
      <c r="C24707">
        <v>9017</v>
      </c>
      <c r="D24707" t="s">
        <v>404</v>
      </c>
      <c r="E24707" t="s">
        <v>405</v>
      </c>
      <c r="F24707">
        <v>12.55</v>
      </c>
      <c r="G24707">
        <v>230616</v>
      </c>
      <c r="H24707">
        <v>4420</v>
      </c>
      <c r="I24707" t="s">
        <v>132</v>
      </c>
      <c r="J24707">
        <v>13.8</v>
      </c>
      <c r="K24707">
        <v>1.25</v>
      </c>
      <c r="L24707">
        <v>13501</v>
      </c>
      <c r="M24707" t="s">
        <v>20</v>
      </c>
      <c r="N24707" t="str">
        <f>"2050017584  "</f>
        <v xml:space="preserve">2050017584  </v>
      </c>
      <c r="O24707">
        <v>230621</v>
      </c>
    </row>
    <row r="24708" spans="1:15" x14ac:dyDescent="0.25">
      <c r="A24708" t="s">
        <v>16</v>
      </c>
      <c r="B24708" t="s">
        <v>3221</v>
      </c>
      <c r="C24708">
        <v>9017</v>
      </c>
      <c r="D24708" t="s">
        <v>404</v>
      </c>
      <c r="E24708" t="s">
        <v>405</v>
      </c>
      <c r="F24708">
        <v>7.58</v>
      </c>
      <c r="G24708">
        <v>230616</v>
      </c>
      <c r="H24708">
        <v>4420</v>
      </c>
      <c r="I24708" t="s">
        <v>132</v>
      </c>
      <c r="J24708">
        <v>9.4</v>
      </c>
      <c r="K24708">
        <v>1.82</v>
      </c>
      <c r="L24708">
        <v>13661</v>
      </c>
      <c r="M24708" t="s">
        <v>247</v>
      </c>
      <c r="N24708" t="str">
        <f>"2050017584  "</f>
        <v xml:space="preserve">2050017584  </v>
      </c>
      <c r="O24708">
        <v>230621</v>
      </c>
    </row>
    <row r="24709" spans="1:15" x14ac:dyDescent="0.25">
      <c r="A24709" t="s">
        <v>16</v>
      </c>
      <c r="B24709" t="s">
        <v>3221</v>
      </c>
      <c r="C24709">
        <v>9017</v>
      </c>
      <c r="D24709" t="s">
        <v>404</v>
      </c>
      <c r="E24709" t="s">
        <v>405</v>
      </c>
      <c r="F24709">
        <v>53.09</v>
      </c>
      <c r="G24709">
        <v>230616</v>
      </c>
      <c r="H24709">
        <v>4420</v>
      </c>
      <c r="I24709" t="s">
        <v>132</v>
      </c>
      <c r="J24709">
        <v>58.4</v>
      </c>
      <c r="K24709">
        <v>5.31</v>
      </c>
      <c r="L24709">
        <v>13661</v>
      </c>
      <c r="M24709" t="s">
        <v>247</v>
      </c>
      <c r="N24709" t="str">
        <f>"2050017584  "</f>
        <v xml:space="preserve">2050017584  </v>
      </c>
      <c r="O24709">
        <v>230621</v>
      </c>
    </row>
    <row r="24710" spans="1:15" x14ac:dyDescent="0.25">
      <c r="A24710" t="s">
        <v>16</v>
      </c>
      <c r="B24710" t="s">
        <v>3221</v>
      </c>
      <c r="C24710">
        <v>9634</v>
      </c>
      <c r="D24710" t="s">
        <v>404</v>
      </c>
      <c r="E24710" t="s">
        <v>405</v>
      </c>
      <c r="F24710">
        <v>21.73</v>
      </c>
      <c r="G24710">
        <v>230707</v>
      </c>
      <c r="H24710">
        <v>4420</v>
      </c>
      <c r="I24710" t="s">
        <v>132</v>
      </c>
      <c r="J24710">
        <v>23.9</v>
      </c>
      <c r="K24710">
        <v>2.17</v>
      </c>
      <c r="L24710">
        <v>18122</v>
      </c>
      <c r="M24710" t="s">
        <v>407</v>
      </c>
      <c r="N24710" t="str">
        <f>"2050019564  "</f>
        <v xml:space="preserve">2050019564  </v>
      </c>
      <c r="O24710">
        <v>230718</v>
      </c>
    </row>
    <row r="24711" spans="1:15" x14ac:dyDescent="0.25">
      <c r="A24711" t="s">
        <v>16</v>
      </c>
      <c r="B24711" t="s">
        <v>3221</v>
      </c>
      <c r="C24711">
        <v>10219</v>
      </c>
      <c r="D24711" t="s">
        <v>404</v>
      </c>
      <c r="E24711" t="s">
        <v>405</v>
      </c>
      <c r="F24711">
        <v>40.64</v>
      </c>
      <c r="G24711">
        <v>230804</v>
      </c>
      <c r="H24711">
        <v>4420</v>
      </c>
      <c r="I24711" t="s">
        <v>132</v>
      </c>
      <c r="J24711">
        <v>44.7</v>
      </c>
      <c r="K24711">
        <v>4.0599999999999996</v>
      </c>
      <c r="L24711">
        <v>18122</v>
      </c>
      <c r="M24711" t="s">
        <v>407</v>
      </c>
      <c r="N24711" t="str">
        <f>"2050021259  "</f>
        <v xml:space="preserve">2050021259  </v>
      </c>
      <c r="O24711">
        <v>230810</v>
      </c>
    </row>
    <row r="24712" spans="1:15" x14ac:dyDescent="0.25">
      <c r="A24712" t="s">
        <v>16</v>
      </c>
      <c r="B24712" t="s">
        <v>3221</v>
      </c>
      <c r="C24712">
        <v>10811</v>
      </c>
      <c r="D24712" t="s">
        <v>404</v>
      </c>
      <c r="E24712" t="s">
        <v>405</v>
      </c>
      <c r="F24712">
        <v>61.45</v>
      </c>
      <c r="G24712">
        <v>230818</v>
      </c>
      <c r="H24712">
        <v>4420</v>
      </c>
      <c r="I24712" t="s">
        <v>132</v>
      </c>
      <c r="J24712">
        <v>67.599999999999994</v>
      </c>
      <c r="K24712">
        <v>6.15</v>
      </c>
      <c r="L24712">
        <v>17533</v>
      </c>
      <c r="M24712" t="s">
        <v>990</v>
      </c>
      <c r="N24712" t="str">
        <f>"2050023475  "</f>
        <v xml:space="preserve">2050023475  </v>
      </c>
      <c r="O24712">
        <v>230823</v>
      </c>
    </row>
    <row r="24713" spans="1:15" x14ac:dyDescent="0.25">
      <c r="A24713" t="s">
        <v>16</v>
      </c>
      <c r="B24713" t="s">
        <v>3221</v>
      </c>
      <c r="C24713">
        <v>11400</v>
      </c>
      <c r="D24713" t="s">
        <v>404</v>
      </c>
      <c r="E24713" t="s">
        <v>405</v>
      </c>
      <c r="F24713">
        <v>22.27</v>
      </c>
      <c r="G24713">
        <v>230901</v>
      </c>
      <c r="H24713">
        <v>4420</v>
      </c>
      <c r="I24713" t="s">
        <v>132</v>
      </c>
      <c r="J24713">
        <v>24.5</v>
      </c>
      <c r="K24713">
        <v>2.23</v>
      </c>
      <c r="L24713">
        <v>14541</v>
      </c>
      <c r="M24713" t="s">
        <v>626</v>
      </c>
      <c r="N24713" t="str">
        <f>"2050025793  "</f>
        <v xml:space="preserve">2050025793  </v>
      </c>
      <c r="O24713">
        <v>230905</v>
      </c>
    </row>
    <row r="24714" spans="1:15" x14ac:dyDescent="0.25">
      <c r="A24714" t="s">
        <v>16</v>
      </c>
      <c r="B24714" t="s">
        <v>3221</v>
      </c>
      <c r="C24714">
        <v>11400</v>
      </c>
      <c r="D24714" t="s">
        <v>404</v>
      </c>
      <c r="E24714" t="s">
        <v>405</v>
      </c>
      <c r="F24714">
        <v>22.27</v>
      </c>
      <c r="G24714">
        <v>230901</v>
      </c>
      <c r="H24714">
        <v>4420</v>
      </c>
      <c r="I24714" t="s">
        <v>132</v>
      </c>
      <c r="J24714">
        <v>24.5</v>
      </c>
      <c r="K24714">
        <v>2.23</v>
      </c>
      <c r="L24714">
        <v>14541</v>
      </c>
      <c r="M24714" t="s">
        <v>626</v>
      </c>
      <c r="N24714" t="str">
        <f>"2050025793  "</f>
        <v xml:space="preserve">2050025793  </v>
      </c>
      <c r="O24714">
        <v>230905</v>
      </c>
    </row>
    <row r="24715" spans="1:15" x14ac:dyDescent="0.25">
      <c r="A24715" t="s">
        <v>16</v>
      </c>
      <c r="B24715" t="s">
        <v>3221</v>
      </c>
      <c r="C24715">
        <v>12263</v>
      </c>
      <c r="D24715" t="s">
        <v>404</v>
      </c>
      <c r="E24715" t="s">
        <v>405</v>
      </c>
      <c r="F24715">
        <v>22.36</v>
      </c>
      <c r="G24715">
        <v>230908</v>
      </c>
      <c r="H24715">
        <v>4420</v>
      </c>
      <c r="I24715" t="s">
        <v>132</v>
      </c>
      <c r="J24715">
        <v>24.6</v>
      </c>
      <c r="K24715">
        <v>2.2400000000000002</v>
      </c>
      <c r="L24715">
        <v>18122</v>
      </c>
      <c r="M24715" t="s">
        <v>407</v>
      </c>
      <c r="N24715" t="str">
        <f>"2050026726  "</f>
        <v xml:space="preserve">2050026726  </v>
      </c>
      <c r="O24715">
        <v>230918</v>
      </c>
    </row>
    <row r="24716" spans="1:15" x14ac:dyDescent="0.25">
      <c r="A24716" t="s">
        <v>16</v>
      </c>
      <c r="B24716" t="s">
        <v>3221</v>
      </c>
      <c r="C24716">
        <v>12263</v>
      </c>
      <c r="D24716" t="s">
        <v>404</v>
      </c>
      <c r="E24716" t="s">
        <v>405</v>
      </c>
      <c r="F24716">
        <v>88.36</v>
      </c>
      <c r="G24716">
        <v>230908</v>
      </c>
      <c r="H24716">
        <v>4420</v>
      </c>
      <c r="I24716" t="s">
        <v>132</v>
      </c>
      <c r="J24716">
        <v>97.2</v>
      </c>
      <c r="K24716">
        <v>8.84</v>
      </c>
      <c r="L24716">
        <v>44222</v>
      </c>
      <c r="M24716" t="s">
        <v>232</v>
      </c>
      <c r="N24716" t="str">
        <f>"2050026726  "</f>
        <v xml:space="preserve">2050026726  </v>
      </c>
      <c r="O24716">
        <v>230918</v>
      </c>
    </row>
    <row r="24717" spans="1:15" x14ac:dyDescent="0.25">
      <c r="A24717" t="s">
        <v>16</v>
      </c>
      <c r="B24717" t="s">
        <v>3221</v>
      </c>
      <c r="C24717">
        <v>12263</v>
      </c>
      <c r="D24717" t="s">
        <v>404</v>
      </c>
      <c r="E24717" t="s">
        <v>405</v>
      </c>
      <c r="F24717">
        <v>44.18</v>
      </c>
      <c r="G24717">
        <v>230908</v>
      </c>
      <c r="H24717">
        <v>4420</v>
      </c>
      <c r="I24717" t="s">
        <v>132</v>
      </c>
      <c r="J24717">
        <v>48.6</v>
      </c>
      <c r="K24717">
        <v>4.42</v>
      </c>
      <c r="L24717">
        <v>46559</v>
      </c>
      <c r="M24717" t="s">
        <v>1104</v>
      </c>
      <c r="N24717" t="str">
        <f>"2050026726  "</f>
        <v xml:space="preserve">2050026726  </v>
      </c>
      <c r="O24717">
        <v>230918</v>
      </c>
    </row>
    <row r="24718" spans="1:15" x14ac:dyDescent="0.25">
      <c r="A24718" t="s">
        <v>16</v>
      </c>
      <c r="B24718" t="s">
        <v>3221</v>
      </c>
      <c r="C24718">
        <v>12776</v>
      </c>
      <c r="D24718" t="s">
        <v>404</v>
      </c>
      <c r="E24718" t="s">
        <v>405</v>
      </c>
      <c r="F24718">
        <v>62</v>
      </c>
      <c r="G24718">
        <v>230922</v>
      </c>
      <c r="H24718">
        <v>4420</v>
      </c>
      <c r="I24718" t="s">
        <v>132</v>
      </c>
      <c r="J24718">
        <v>68.2</v>
      </c>
      <c r="K24718">
        <v>6.2</v>
      </c>
      <c r="L24718">
        <v>17131</v>
      </c>
      <c r="M24718" t="s">
        <v>64</v>
      </c>
      <c r="N24718" t="str">
        <f>"2050029214  "</f>
        <v xml:space="preserve">2050029214  </v>
      </c>
      <c r="O24718">
        <v>230926</v>
      </c>
    </row>
    <row r="24719" spans="1:15" x14ac:dyDescent="0.25">
      <c r="A24719" t="s">
        <v>16</v>
      </c>
      <c r="B24719" t="s">
        <v>3221</v>
      </c>
      <c r="C24719">
        <v>14244</v>
      </c>
      <c r="D24719" t="s">
        <v>404</v>
      </c>
      <c r="E24719" t="s">
        <v>405</v>
      </c>
      <c r="F24719">
        <v>34.18</v>
      </c>
      <c r="G24719">
        <v>231013</v>
      </c>
      <c r="H24719">
        <v>4420</v>
      </c>
      <c r="I24719" t="s">
        <v>132</v>
      </c>
      <c r="J24719">
        <v>37.6</v>
      </c>
      <c r="K24719">
        <v>3.42</v>
      </c>
      <c r="L24719">
        <v>11902</v>
      </c>
      <c r="M24719" t="s">
        <v>1443</v>
      </c>
      <c r="N24719" t="str">
        <f>"2050032538  "</f>
        <v xml:space="preserve">2050032538  </v>
      </c>
      <c r="O24719">
        <v>231025</v>
      </c>
    </row>
    <row r="24720" spans="1:15" x14ac:dyDescent="0.25">
      <c r="A24720" t="s">
        <v>16</v>
      </c>
      <c r="B24720" t="s">
        <v>3221</v>
      </c>
      <c r="C24720">
        <v>14244</v>
      </c>
      <c r="D24720" t="s">
        <v>404</v>
      </c>
      <c r="E24720" t="s">
        <v>405</v>
      </c>
      <c r="F24720">
        <v>49.64</v>
      </c>
      <c r="G24720">
        <v>231013</v>
      </c>
      <c r="H24720">
        <v>4420</v>
      </c>
      <c r="I24720" t="s">
        <v>132</v>
      </c>
      <c r="J24720">
        <v>54.6</v>
      </c>
      <c r="K24720">
        <v>4.96</v>
      </c>
      <c r="L24720">
        <v>18972</v>
      </c>
      <c r="M24720" t="s">
        <v>163</v>
      </c>
      <c r="N24720" t="str">
        <f>"2050032538  "</f>
        <v xml:space="preserve">2050032538  </v>
      </c>
      <c r="O24720">
        <v>231025</v>
      </c>
    </row>
    <row r="24721" spans="1:15" x14ac:dyDescent="0.25">
      <c r="A24721" t="s">
        <v>16</v>
      </c>
      <c r="B24721" t="s">
        <v>3221</v>
      </c>
      <c r="C24721">
        <v>14821</v>
      </c>
      <c r="D24721" t="s">
        <v>404</v>
      </c>
      <c r="E24721" t="s">
        <v>405</v>
      </c>
      <c r="F24721">
        <v>46.18</v>
      </c>
      <c r="G24721">
        <v>231027</v>
      </c>
      <c r="H24721">
        <v>4420</v>
      </c>
      <c r="I24721" t="s">
        <v>132</v>
      </c>
      <c r="J24721">
        <v>50.8</v>
      </c>
      <c r="K24721">
        <v>4.62</v>
      </c>
      <c r="L24721">
        <v>14972</v>
      </c>
      <c r="M24721" t="s">
        <v>898</v>
      </c>
      <c r="N24721" t="str">
        <f>"2050035777  "</f>
        <v xml:space="preserve">2050035777  </v>
      </c>
      <c r="O24721">
        <v>231106</v>
      </c>
    </row>
    <row r="24722" spans="1:15" x14ac:dyDescent="0.25">
      <c r="A24722" t="s">
        <v>16</v>
      </c>
      <c r="B24722" t="s">
        <v>3221</v>
      </c>
      <c r="C24722">
        <v>15039</v>
      </c>
      <c r="D24722" t="s">
        <v>404</v>
      </c>
      <c r="E24722" t="s">
        <v>405</v>
      </c>
      <c r="F24722">
        <v>45.27</v>
      </c>
      <c r="G24722">
        <v>231103</v>
      </c>
      <c r="H24722">
        <v>4420</v>
      </c>
      <c r="I24722" t="s">
        <v>132</v>
      </c>
      <c r="J24722">
        <v>49.8</v>
      </c>
      <c r="K24722">
        <v>4.53</v>
      </c>
      <c r="L24722">
        <v>11902</v>
      </c>
      <c r="M24722" t="s">
        <v>1443</v>
      </c>
      <c r="N24722" t="str">
        <f>"2050037098  "</f>
        <v xml:space="preserve">2050037098  </v>
      </c>
      <c r="O24722">
        <v>231108</v>
      </c>
    </row>
    <row r="24723" spans="1:15" x14ac:dyDescent="0.25">
      <c r="A24723" t="s">
        <v>16</v>
      </c>
      <c r="B24723" t="s">
        <v>3221</v>
      </c>
      <c r="C24723">
        <v>15891</v>
      </c>
      <c r="D24723" t="s">
        <v>404</v>
      </c>
      <c r="E24723" t="s">
        <v>405</v>
      </c>
      <c r="F24723">
        <v>129.18</v>
      </c>
      <c r="G24723">
        <v>231110</v>
      </c>
      <c r="H24723">
        <v>4420</v>
      </c>
      <c r="I24723" t="s">
        <v>132</v>
      </c>
      <c r="J24723">
        <v>142.1</v>
      </c>
      <c r="K24723">
        <v>12.92</v>
      </c>
      <c r="L24723">
        <v>11902</v>
      </c>
      <c r="M24723" t="s">
        <v>1443</v>
      </c>
      <c r="N24723" t="str">
        <f>"2050037839  "</f>
        <v xml:space="preserve">2050037839  </v>
      </c>
      <c r="O24723">
        <v>231121</v>
      </c>
    </row>
    <row r="24724" spans="1:15" x14ac:dyDescent="0.25">
      <c r="A24724" t="s">
        <v>16</v>
      </c>
      <c r="B24724" t="s">
        <v>3221</v>
      </c>
      <c r="C24724">
        <v>15891</v>
      </c>
      <c r="D24724" t="s">
        <v>404</v>
      </c>
      <c r="E24724" t="s">
        <v>405</v>
      </c>
      <c r="F24724">
        <v>47.45</v>
      </c>
      <c r="G24724">
        <v>231110</v>
      </c>
      <c r="H24724">
        <v>4420</v>
      </c>
      <c r="I24724" t="s">
        <v>132</v>
      </c>
      <c r="J24724">
        <v>52.2</v>
      </c>
      <c r="K24724">
        <v>4.75</v>
      </c>
      <c r="L24724">
        <v>13661</v>
      </c>
      <c r="M24724" t="s">
        <v>247</v>
      </c>
      <c r="N24724" t="str">
        <f>"2050037839  "</f>
        <v xml:space="preserve">2050037839  </v>
      </c>
      <c r="O24724">
        <v>231121</v>
      </c>
    </row>
    <row r="24725" spans="1:15" x14ac:dyDescent="0.25">
      <c r="A24725" t="s">
        <v>16</v>
      </c>
      <c r="B24725" t="s">
        <v>3221</v>
      </c>
      <c r="C24725">
        <v>15891</v>
      </c>
      <c r="D24725" t="s">
        <v>404</v>
      </c>
      <c r="E24725" t="s">
        <v>405</v>
      </c>
      <c r="F24725">
        <v>35.729999999999997</v>
      </c>
      <c r="G24725">
        <v>231110</v>
      </c>
      <c r="H24725">
        <v>4420</v>
      </c>
      <c r="I24725" t="s">
        <v>132</v>
      </c>
      <c r="J24725">
        <v>39.299999999999997</v>
      </c>
      <c r="K24725">
        <v>3.57</v>
      </c>
      <c r="L24725">
        <v>17537</v>
      </c>
      <c r="M24725" t="s">
        <v>455</v>
      </c>
      <c r="N24725" t="str">
        <f>"2050037839  "</f>
        <v xml:space="preserve">2050037839  </v>
      </c>
      <c r="O24725">
        <v>231121</v>
      </c>
    </row>
    <row r="24726" spans="1:15" x14ac:dyDescent="0.25">
      <c r="A24726" t="s">
        <v>16</v>
      </c>
      <c r="B24726" t="s">
        <v>3221</v>
      </c>
      <c r="C24726">
        <v>15891</v>
      </c>
      <c r="D24726" t="s">
        <v>404</v>
      </c>
      <c r="E24726" t="s">
        <v>405</v>
      </c>
      <c r="F24726">
        <v>16.36</v>
      </c>
      <c r="G24726">
        <v>231110</v>
      </c>
      <c r="H24726">
        <v>4420</v>
      </c>
      <c r="I24726" t="s">
        <v>132</v>
      </c>
      <c r="J24726">
        <v>18</v>
      </c>
      <c r="K24726">
        <v>1.64</v>
      </c>
      <c r="L24726">
        <v>56524</v>
      </c>
      <c r="M24726" t="s">
        <v>150</v>
      </c>
      <c r="N24726" t="str">
        <f>"2050037839  "</f>
        <v xml:space="preserve">2050037839  </v>
      </c>
      <c r="O24726">
        <v>231121</v>
      </c>
    </row>
    <row r="24727" spans="1:15" x14ac:dyDescent="0.25">
      <c r="A24727" t="s">
        <v>16</v>
      </c>
      <c r="B24727" t="s">
        <v>3221</v>
      </c>
      <c r="C24727">
        <v>16191</v>
      </c>
      <c r="D24727" t="s">
        <v>404</v>
      </c>
      <c r="E24727" t="s">
        <v>405</v>
      </c>
      <c r="F24727">
        <v>362.73</v>
      </c>
      <c r="G24727">
        <v>231117</v>
      </c>
      <c r="H24727">
        <v>4420</v>
      </c>
      <c r="I24727" t="s">
        <v>132</v>
      </c>
      <c r="J24727">
        <v>399</v>
      </c>
      <c r="K24727">
        <v>36.270000000000003</v>
      </c>
      <c r="L24727">
        <v>58601</v>
      </c>
      <c r="M24727" t="s">
        <v>251</v>
      </c>
      <c r="N24727" t="str">
        <f>"2050038862  "</f>
        <v xml:space="preserve">2050038862  </v>
      </c>
      <c r="O24727">
        <v>231127</v>
      </c>
    </row>
    <row r="24728" spans="1:15" x14ac:dyDescent="0.25">
      <c r="A24728" t="s">
        <v>16</v>
      </c>
      <c r="B24728" t="s">
        <v>3221</v>
      </c>
      <c r="C24728">
        <v>16346</v>
      </c>
      <c r="D24728" t="s">
        <v>404</v>
      </c>
      <c r="E24728" t="s">
        <v>405</v>
      </c>
      <c r="F24728">
        <v>21.82</v>
      </c>
      <c r="G24728">
        <v>231124</v>
      </c>
      <c r="H24728">
        <v>4420</v>
      </c>
      <c r="I24728" t="s">
        <v>132</v>
      </c>
      <c r="J24728">
        <v>24</v>
      </c>
      <c r="K24728">
        <v>2.1800000000000002</v>
      </c>
      <c r="L24728">
        <v>58601</v>
      </c>
      <c r="M24728" t="s">
        <v>251</v>
      </c>
      <c r="N24728" t="str">
        <f>"2050040625  "</f>
        <v xml:space="preserve">2050040625  </v>
      </c>
      <c r="O24728">
        <v>231128</v>
      </c>
    </row>
    <row r="24729" spans="1:15" x14ac:dyDescent="0.25">
      <c r="A24729" t="s">
        <v>16</v>
      </c>
      <c r="B24729" t="s">
        <v>3221</v>
      </c>
      <c r="C24729">
        <v>16648</v>
      </c>
      <c r="D24729" t="s">
        <v>404</v>
      </c>
      <c r="E24729" t="s">
        <v>405</v>
      </c>
      <c r="F24729">
        <v>14.36</v>
      </c>
      <c r="G24729">
        <v>231201</v>
      </c>
      <c r="H24729">
        <v>4420</v>
      </c>
      <c r="I24729" t="s">
        <v>132</v>
      </c>
      <c r="J24729">
        <v>15.8</v>
      </c>
      <c r="K24729">
        <v>1.44</v>
      </c>
      <c r="L24729">
        <v>18972</v>
      </c>
      <c r="M24729" t="s">
        <v>163</v>
      </c>
      <c r="N24729" t="str">
        <f>"2050041993  "</f>
        <v xml:space="preserve">2050041993  </v>
      </c>
      <c r="O24729">
        <v>231205</v>
      </c>
    </row>
    <row r="24730" spans="1:15" x14ac:dyDescent="0.25">
      <c r="A24730" t="s">
        <v>16</v>
      </c>
      <c r="B24730" t="s">
        <v>3221</v>
      </c>
      <c r="C24730">
        <v>18240</v>
      </c>
      <c r="D24730" t="s">
        <v>404</v>
      </c>
      <c r="E24730" t="s">
        <v>405</v>
      </c>
      <c r="F24730">
        <v>35.909999999999997</v>
      </c>
      <c r="G24730">
        <v>231215</v>
      </c>
      <c r="H24730">
        <v>4420</v>
      </c>
      <c r="I24730" t="s">
        <v>132</v>
      </c>
      <c r="J24730">
        <v>39.5</v>
      </c>
      <c r="K24730">
        <v>3.59</v>
      </c>
      <c r="L24730">
        <v>11501</v>
      </c>
      <c r="M24730" t="s">
        <v>339</v>
      </c>
      <c r="N24730" t="str">
        <f>"2050043262  "</f>
        <v xml:space="preserve">2050043262  </v>
      </c>
      <c r="O24730">
        <v>240102</v>
      </c>
    </row>
    <row r="24731" spans="1:15" x14ac:dyDescent="0.25">
      <c r="A24731" t="s">
        <v>16</v>
      </c>
      <c r="B24731" t="s">
        <v>3221</v>
      </c>
      <c r="C24731">
        <v>18240</v>
      </c>
      <c r="D24731" t="s">
        <v>404</v>
      </c>
      <c r="E24731" t="s">
        <v>405</v>
      </c>
      <c r="F24731">
        <v>35.909999999999997</v>
      </c>
      <c r="G24731">
        <v>231215</v>
      </c>
      <c r="H24731">
        <v>4420</v>
      </c>
      <c r="I24731" t="s">
        <v>132</v>
      </c>
      <c r="J24731">
        <v>39.5</v>
      </c>
      <c r="K24731">
        <v>3.59</v>
      </c>
      <c r="L24731">
        <v>11701</v>
      </c>
      <c r="M24731" t="s">
        <v>1204</v>
      </c>
      <c r="N24731" t="str">
        <f>"2050043262  "</f>
        <v xml:space="preserve">2050043262  </v>
      </c>
      <c r="O24731">
        <v>240102</v>
      </c>
    </row>
    <row r="24732" spans="1:15" x14ac:dyDescent="0.25">
      <c r="A24732" t="s">
        <v>16</v>
      </c>
      <c r="B24732" t="s">
        <v>3221</v>
      </c>
      <c r="C24732">
        <v>18240</v>
      </c>
      <c r="D24732" t="s">
        <v>404</v>
      </c>
      <c r="E24732" t="s">
        <v>405</v>
      </c>
      <c r="F24732">
        <v>19.09</v>
      </c>
      <c r="G24732">
        <v>231215</v>
      </c>
      <c r="H24732">
        <v>4420</v>
      </c>
      <c r="I24732" t="s">
        <v>132</v>
      </c>
      <c r="J24732">
        <v>21</v>
      </c>
      <c r="K24732">
        <v>1.91</v>
      </c>
      <c r="L24732">
        <v>11901</v>
      </c>
      <c r="M24732" t="s">
        <v>36</v>
      </c>
      <c r="N24732" t="str">
        <f>"2050043262  "</f>
        <v xml:space="preserve">2050043262  </v>
      </c>
      <c r="O24732">
        <v>240102</v>
      </c>
    </row>
    <row r="24733" spans="1:15" x14ac:dyDescent="0.25">
      <c r="A24733" t="s">
        <v>16</v>
      </c>
      <c r="B24733" t="s">
        <v>3221</v>
      </c>
      <c r="C24733">
        <v>18240</v>
      </c>
      <c r="D24733" t="s">
        <v>404</v>
      </c>
      <c r="E24733" t="s">
        <v>405</v>
      </c>
      <c r="F24733">
        <v>181.55</v>
      </c>
      <c r="G24733">
        <v>231215</v>
      </c>
      <c r="H24733">
        <v>4420</v>
      </c>
      <c r="I24733" t="s">
        <v>132</v>
      </c>
      <c r="J24733">
        <v>199.7</v>
      </c>
      <c r="K24733">
        <v>18.149999999999999</v>
      </c>
      <c r="L24733">
        <v>11902</v>
      </c>
      <c r="M24733" t="s">
        <v>1443</v>
      </c>
      <c r="N24733" t="str">
        <f>"2050043262  "</f>
        <v xml:space="preserve">2050043262  </v>
      </c>
      <c r="O24733">
        <v>240102</v>
      </c>
    </row>
    <row r="24734" spans="1:15" x14ac:dyDescent="0.25">
      <c r="A24734" t="s">
        <v>16</v>
      </c>
      <c r="B24734" t="s">
        <v>3221</v>
      </c>
      <c r="C24734">
        <v>18341</v>
      </c>
      <c r="D24734" t="s">
        <v>404</v>
      </c>
      <c r="E24734" t="s">
        <v>405</v>
      </c>
      <c r="F24734">
        <v>153.36000000000001</v>
      </c>
      <c r="G24734">
        <v>231222</v>
      </c>
      <c r="H24734">
        <v>4420</v>
      </c>
      <c r="I24734" t="s">
        <v>132</v>
      </c>
      <c r="J24734">
        <v>168.7</v>
      </c>
      <c r="K24734">
        <v>15.34</v>
      </c>
      <c r="L24734">
        <v>14121</v>
      </c>
      <c r="M24734" t="s">
        <v>880</v>
      </c>
      <c r="N24734" t="str">
        <f>"2050044756  "</f>
        <v xml:space="preserve">2050044756  </v>
      </c>
      <c r="O24734">
        <v>240103</v>
      </c>
    </row>
    <row r="24735" spans="1:15" x14ac:dyDescent="0.25">
      <c r="A24735" t="s">
        <v>16</v>
      </c>
      <c r="B24735" t="s">
        <v>3221</v>
      </c>
      <c r="C24735">
        <v>18341</v>
      </c>
      <c r="D24735" t="s">
        <v>404</v>
      </c>
      <c r="E24735" t="s">
        <v>405</v>
      </c>
      <c r="F24735">
        <v>198</v>
      </c>
      <c r="G24735">
        <v>231222</v>
      </c>
      <c r="H24735">
        <v>4420</v>
      </c>
      <c r="I24735" t="s">
        <v>132</v>
      </c>
      <c r="J24735">
        <v>217.8</v>
      </c>
      <c r="K24735">
        <v>19.8</v>
      </c>
      <c r="L24735">
        <v>41126</v>
      </c>
      <c r="M24735" t="s">
        <v>761</v>
      </c>
      <c r="N24735" t="str">
        <f>"2050044756  "</f>
        <v xml:space="preserve">2050044756  </v>
      </c>
      <c r="O24735">
        <v>240103</v>
      </c>
    </row>
    <row r="24736" spans="1:15" x14ac:dyDescent="0.25">
      <c r="A24736" t="s">
        <v>16</v>
      </c>
      <c r="B24736" t="s">
        <v>3221</v>
      </c>
      <c r="C24736">
        <v>768</v>
      </c>
      <c r="D24736" t="s">
        <v>404</v>
      </c>
      <c r="E24736" t="s">
        <v>405</v>
      </c>
      <c r="F24736">
        <v>48.5</v>
      </c>
      <c r="G24736">
        <v>230121</v>
      </c>
      <c r="H24736">
        <v>4600</v>
      </c>
      <c r="I24736" t="s">
        <v>105</v>
      </c>
      <c r="J24736">
        <v>48.5</v>
      </c>
      <c r="K24736">
        <v>0</v>
      </c>
      <c r="L24736">
        <v>17537</v>
      </c>
      <c r="M24736" t="s">
        <v>455</v>
      </c>
      <c r="N24736" t="str">
        <f>"270717221   "</f>
        <v xml:space="preserve">270717221   </v>
      </c>
      <c r="O24736">
        <v>230130</v>
      </c>
    </row>
    <row r="24737" spans="1:15" x14ac:dyDescent="0.25">
      <c r="A24737" t="s">
        <v>16</v>
      </c>
      <c r="B24737" t="s">
        <v>3221</v>
      </c>
      <c r="C24737">
        <v>6349</v>
      </c>
      <c r="D24737" t="s">
        <v>404</v>
      </c>
      <c r="E24737" t="s">
        <v>405</v>
      </c>
      <c r="F24737">
        <v>7.58</v>
      </c>
      <c r="G24737">
        <v>230428</v>
      </c>
      <c r="H24737">
        <v>4470</v>
      </c>
      <c r="I24737" t="s">
        <v>83</v>
      </c>
      <c r="J24737">
        <v>9.4</v>
      </c>
      <c r="K24737">
        <v>1.82</v>
      </c>
      <c r="L24737">
        <v>17527</v>
      </c>
      <c r="M24737" t="s">
        <v>422</v>
      </c>
      <c r="N24737" t="str">
        <f>"2050010347  "</f>
        <v xml:space="preserve">2050010347  </v>
      </c>
      <c r="O24737">
        <v>230510</v>
      </c>
    </row>
    <row r="24738" spans="1:15" x14ac:dyDescent="0.25">
      <c r="A24738" t="s">
        <v>16</v>
      </c>
      <c r="B24738" t="s">
        <v>3221</v>
      </c>
      <c r="C24738">
        <v>17324</v>
      </c>
      <c r="D24738" t="s">
        <v>3055</v>
      </c>
      <c r="E24738" t="s">
        <v>3056</v>
      </c>
      <c r="F24738">
        <v>290.39999999999998</v>
      </c>
      <c r="G24738">
        <v>231206</v>
      </c>
      <c r="H24738">
        <v>4420</v>
      </c>
      <c r="I24738" t="s">
        <v>132</v>
      </c>
      <c r="J24738">
        <v>319.44</v>
      </c>
      <c r="K24738">
        <v>29.04</v>
      </c>
      <c r="L24738">
        <v>11605</v>
      </c>
      <c r="M24738" t="s">
        <v>106</v>
      </c>
      <c r="N24738" t="str">
        <f>"1135        "</f>
        <v xml:space="preserve">1135        </v>
      </c>
      <c r="O24738">
        <v>231213</v>
      </c>
    </row>
    <row r="24739" spans="1:15" x14ac:dyDescent="0.25">
      <c r="A24739" t="s">
        <v>16</v>
      </c>
      <c r="B24739" t="s">
        <v>3221</v>
      </c>
      <c r="C24739">
        <v>2715</v>
      </c>
      <c r="D24739" t="s">
        <v>1466</v>
      </c>
      <c r="E24739" t="s">
        <v>1467</v>
      </c>
      <c r="F24739">
        <v>10</v>
      </c>
      <c r="G24739">
        <v>230224</v>
      </c>
      <c r="H24739">
        <v>4410</v>
      </c>
      <c r="I24739" t="s">
        <v>517</v>
      </c>
      <c r="J24739">
        <v>10</v>
      </c>
      <c r="K24739">
        <v>0</v>
      </c>
      <c r="L24739">
        <v>47522</v>
      </c>
      <c r="M24739" t="s">
        <v>410</v>
      </c>
      <c r="N24739" t="str">
        <f>"0000650608  "</f>
        <v xml:space="preserve">0000650608  </v>
      </c>
      <c r="O24739">
        <v>230307</v>
      </c>
    </row>
    <row r="24740" spans="1:15" x14ac:dyDescent="0.25">
      <c r="A24740" t="s">
        <v>16</v>
      </c>
      <c r="B24740" t="s">
        <v>3221</v>
      </c>
      <c r="C24740">
        <v>2715</v>
      </c>
      <c r="D24740" t="s">
        <v>1466</v>
      </c>
      <c r="E24740" t="s">
        <v>1467</v>
      </c>
      <c r="F24740">
        <v>99.09</v>
      </c>
      <c r="G24740">
        <v>230224</v>
      </c>
      <c r="H24740">
        <v>4410</v>
      </c>
      <c r="I24740" t="s">
        <v>517</v>
      </c>
      <c r="J24740">
        <v>109</v>
      </c>
      <c r="K24740">
        <v>9.91</v>
      </c>
      <c r="L24740">
        <v>47522</v>
      </c>
      <c r="M24740" t="s">
        <v>410</v>
      </c>
      <c r="N24740" t="str">
        <f>"0000650608  "</f>
        <v xml:space="preserve">0000650608  </v>
      </c>
      <c r="O24740">
        <v>230307</v>
      </c>
    </row>
    <row r="24741" spans="1:15" x14ac:dyDescent="0.25">
      <c r="A24741" t="s">
        <v>16</v>
      </c>
      <c r="B24741" t="s">
        <v>3221</v>
      </c>
      <c r="C24741">
        <v>5196</v>
      </c>
      <c r="D24741" t="s">
        <v>1721</v>
      </c>
      <c r="E24741" t="s">
        <v>1722</v>
      </c>
      <c r="F24741">
        <v>399.35</v>
      </c>
      <c r="G24741">
        <v>230411</v>
      </c>
      <c r="H24741">
        <v>4600</v>
      </c>
      <c r="I24741" t="s">
        <v>105</v>
      </c>
      <c r="J24741">
        <v>495.2</v>
      </c>
      <c r="K24741">
        <v>95.85</v>
      </c>
      <c r="L24741">
        <v>46554</v>
      </c>
      <c r="M24741" t="s">
        <v>117</v>
      </c>
      <c r="N24741" t="str">
        <f>"324         "</f>
        <v xml:space="preserve">324         </v>
      </c>
      <c r="O24741">
        <v>230419</v>
      </c>
    </row>
    <row r="24742" spans="1:15" x14ac:dyDescent="0.25">
      <c r="A24742" t="s">
        <v>16</v>
      </c>
      <c r="B24742" t="s">
        <v>3221</v>
      </c>
      <c r="C24742">
        <v>6799</v>
      </c>
      <c r="D24742" t="s">
        <v>1721</v>
      </c>
      <c r="E24742" t="s">
        <v>1722</v>
      </c>
      <c r="F24742">
        <v>204.19</v>
      </c>
      <c r="G24742">
        <v>230515</v>
      </c>
      <c r="H24742">
        <v>4600</v>
      </c>
      <c r="I24742" t="s">
        <v>105</v>
      </c>
      <c r="J24742">
        <v>253.2</v>
      </c>
      <c r="K24742">
        <v>49.01</v>
      </c>
      <c r="L24742">
        <v>46554</v>
      </c>
      <c r="M24742" t="s">
        <v>117</v>
      </c>
      <c r="N24742" t="str">
        <f>"365         "</f>
        <v xml:space="preserve">365         </v>
      </c>
      <c r="O24742">
        <v>230522</v>
      </c>
    </row>
    <row r="24743" spans="1:15" x14ac:dyDescent="0.25">
      <c r="A24743" t="s">
        <v>16</v>
      </c>
      <c r="B24743" t="s">
        <v>3221</v>
      </c>
      <c r="C24743">
        <v>7531</v>
      </c>
      <c r="D24743" t="s">
        <v>1721</v>
      </c>
      <c r="E24743" t="s">
        <v>1722</v>
      </c>
      <c r="F24743">
        <v>341.63</v>
      </c>
      <c r="G24743">
        <v>230529</v>
      </c>
      <c r="H24743">
        <v>4600</v>
      </c>
      <c r="I24743" t="s">
        <v>105</v>
      </c>
      <c r="J24743">
        <v>423.62</v>
      </c>
      <c r="K24743">
        <v>81.99</v>
      </c>
      <c r="L24743">
        <v>46554</v>
      </c>
      <c r="M24743" t="s">
        <v>117</v>
      </c>
      <c r="N24743" t="str">
        <f>"387         "</f>
        <v xml:space="preserve">387         </v>
      </c>
      <c r="O24743">
        <v>230531</v>
      </c>
    </row>
    <row r="24744" spans="1:15" x14ac:dyDescent="0.25">
      <c r="A24744" t="s">
        <v>16</v>
      </c>
      <c r="B24744" t="s">
        <v>3221</v>
      </c>
      <c r="C24744">
        <v>12277</v>
      </c>
      <c r="D24744" t="s">
        <v>1721</v>
      </c>
      <c r="E24744" t="s">
        <v>1722</v>
      </c>
      <c r="F24744">
        <v>81.55</v>
      </c>
      <c r="G24744">
        <v>230911</v>
      </c>
      <c r="H24744">
        <v>4600</v>
      </c>
      <c r="I24744" t="s">
        <v>105</v>
      </c>
      <c r="J24744">
        <v>101.12</v>
      </c>
      <c r="K24744">
        <v>19.57</v>
      </c>
      <c r="L24744">
        <v>46554</v>
      </c>
      <c r="M24744" t="s">
        <v>117</v>
      </c>
      <c r="N24744" t="str">
        <f>"568         "</f>
        <v xml:space="preserve">568         </v>
      </c>
      <c r="O24744">
        <v>230918</v>
      </c>
    </row>
    <row r="24745" spans="1:15" x14ac:dyDescent="0.25">
      <c r="A24745" t="s">
        <v>16</v>
      </c>
      <c r="B24745" t="s">
        <v>3221</v>
      </c>
      <c r="C24745">
        <v>13500</v>
      </c>
      <c r="D24745" t="s">
        <v>1721</v>
      </c>
      <c r="E24745" t="s">
        <v>1722</v>
      </c>
      <c r="F24745">
        <v>286.92</v>
      </c>
      <c r="G24745">
        <v>230930</v>
      </c>
      <c r="H24745">
        <v>4600</v>
      </c>
      <c r="I24745" t="s">
        <v>105</v>
      </c>
      <c r="J24745">
        <v>355.78</v>
      </c>
      <c r="K24745">
        <v>68.86</v>
      </c>
      <c r="L24745">
        <v>46554</v>
      </c>
      <c r="M24745" t="s">
        <v>117</v>
      </c>
      <c r="N24745" t="str">
        <f>"607         "</f>
        <v xml:space="preserve">607         </v>
      </c>
      <c r="O24745">
        <v>231010</v>
      </c>
    </row>
    <row r="24746" spans="1:15" x14ac:dyDescent="0.25">
      <c r="A24746" t="s">
        <v>16</v>
      </c>
      <c r="B24746" t="s">
        <v>3221</v>
      </c>
      <c r="C24746">
        <v>15607</v>
      </c>
      <c r="D24746" t="s">
        <v>1721</v>
      </c>
      <c r="E24746" t="s">
        <v>1722</v>
      </c>
      <c r="F24746">
        <v>152.77000000000001</v>
      </c>
      <c r="G24746">
        <v>231023</v>
      </c>
      <c r="H24746">
        <v>4600</v>
      </c>
      <c r="I24746" t="s">
        <v>105</v>
      </c>
      <c r="J24746">
        <v>189.44</v>
      </c>
      <c r="K24746">
        <v>36.67</v>
      </c>
      <c r="L24746">
        <v>46554</v>
      </c>
      <c r="M24746" t="s">
        <v>117</v>
      </c>
      <c r="N24746" t="str">
        <f>"634         "</f>
        <v xml:space="preserve">634         </v>
      </c>
      <c r="O24746">
        <v>231114</v>
      </c>
    </row>
    <row r="24747" spans="1:15" x14ac:dyDescent="0.25">
      <c r="A24747" t="s">
        <v>16</v>
      </c>
      <c r="B24747" t="s">
        <v>3221</v>
      </c>
      <c r="C24747">
        <v>16938</v>
      </c>
      <c r="D24747" t="s">
        <v>1721</v>
      </c>
      <c r="E24747" t="s">
        <v>1722</v>
      </c>
      <c r="F24747">
        <v>67.739999999999995</v>
      </c>
      <c r="G24747">
        <v>231130</v>
      </c>
      <c r="H24747">
        <v>4600</v>
      </c>
      <c r="I24747" t="s">
        <v>105</v>
      </c>
      <c r="J24747">
        <v>84</v>
      </c>
      <c r="K24747">
        <v>16.260000000000002</v>
      </c>
      <c r="L24747">
        <v>46554</v>
      </c>
      <c r="M24747" t="s">
        <v>117</v>
      </c>
      <c r="N24747" t="str">
        <f>"670         "</f>
        <v xml:space="preserve">670         </v>
      </c>
      <c r="O24747">
        <v>231211</v>
      </c>
    </row>
    <row r="24748" spans="1:15" x14ac:dyDescent="0.25">
      <c r="A24748" t="s">
        <v>16</v>
      </c>
      <c r="B24748" t="s">
        <v>3221</v>
      </c>
      <c r="C24748">
        <v>4450</v>
      </c>
      <c r="D24748" t="s">
        <v>1721</v>
      </c>
      <c r="E24748" t="s">
        <v>1722</v>
      </c>
      <c r="F24748">
        <v>120.89</v>
      </c>
      <c r="G24748">
        <v>230327</v>
      </c>
      <c r="H24748">
        <v>4590</v>
      </c>
      <c r="I24748" t="s">
        <v>203</v>
      </c>
      <c r="J24748">
        <v>149.9</v>
      </c>
      <c r="K24748">
        <v>29.01</v>
      </c>
      <c r="L24748">
        <v>49501</v>
      </c>
      <c r="M24748" t="s">
        <v>177</v>
      </c>
      <c r="N24748" t="str">
        <f>"315         "</f>
        <v xml:space="preserve">315         </v>
      </c>
      <c r="O24748">
        <v>230406</v>
      </c>
    </row>
    <row r="24749" spans="1:15" x14ac:dyDescent="0.25">
      <c r="A24749" t="s">
        <v>16</v>
      </c>
      <c r="B24749" t="s">
        <v>3221</v>
      </c>
      <c r="C24749">
        <v>12612</v>
      </c>
      <c r="D24749" t="s">
        <v>1721</v>
      </c>
      <c r="E24749" t="s">
        <v>1722</v>
      </c>
      <c r="F24749">
        <v>33.1</v>
      </c>
      <c r="G24749">
        <v>230918</v>
      </c>
      <c r="H24749">
        <v>4590</v>
      </c>
      <c r="I24749" t="s">
        <v>203</v>
      </c>
      <c r="J24749">
        <v>41.04</v>
      </c>
      <c r="K24749">
        <v>7.94</v>
      </c>
      <c r="L24749">
        <v>49501</v>
      </c>
      <c r="M24749" t="s">
        <v>177</v>
      </c>
      <c r="N24749" t="str">
        <f>"590         "</f>
        <v xml:space="preserve">590         </v>
      </c>
      <c r="O24749">
        <v>230922</v>
      </c>
    </row>
    <row r="24750" spans="1:15" x14ac:dyDescent="0.25">
      <c r="A24750" t="s">
        <v>16</v>
      </c>
      <c r="B24750" t="s">
        <v>3221</v>
      </c>
      <c r="C24750">
        <v>14293</v>
      </c>
      <c r="D24750" t="s">
        <v>1721</v>
      </c>
      <c r="E24750" t="s">
        <v>1722</v>
      </c>
      <c r="F24750">
        <v>95.73</v>
      </c>
      <c r="G24750">
        <v>231009</v>
      </c>
      <c r="H24750">
        <v>4590</v>
      </c>
      <c r="I24750" t="s">
        <v>203</v>
      </c>
      <c r="J24750">
        <v>118.7</v>
      </c>
      <c r="K24750">
        <v>22.97</v>
      </c>
      <c r="L24750">
        <v>46554</v>
      </c>
      <c r="M24750" t="s">
        <v>117</v>
      </c>
      <c r="N24750" t="str">
        <f>"618         "</f>
        <v xml:space="preserve">618         </v>
      </c>
      <c r="O24750">
        <v>231025</v>
      </c>
    </row>
    <row r="24751" spans="1:15" x14ac:dyDescent="0.25">
      <c r="A24751" t="s">
        <v>16</v>
      </c>
      <c r="B24751" t="s">
        <v>3221</v>
      </c>
      <c r="C24751">
        <v>6834</v>
      </c>
      <c r="D24751" t="s">
        <v>2029</v>
      </c>
      <c r="E24751" t="s">
        <v>2030</v>
      </c>
      <c r="F24751">
        <v>4655</v>
      </c>
      <c r="G24751">
        <v>230516</v>
      </c>
      <c r="H24751">
        <v>4580</v>
      </c>
      <c r="I24751" t="s">
        <v>35</v>
      </c>
      <c r="J24751">
        <v>5772.2</v>
      </c>
      <c r="K24751">
        <v>1117.2</v>
      </c>
      <c r="L24751">
        <v>46554</v>
      </c>
      <c r="M24751" t="s">
        <v>117</v>
      </c>
      <c r="N24751" t="str">
        <f>"1001004618  "</f>
        <v xml:space="preserve">1001004618  </v>
      </c>
      <c r="O24751">
        <v>230522</v>
      </c>
    </row>
    <row r="24752" spans="1:15" x14ac:dyDescent="0.25">
      <c r="A24752" t="s">
        <v>16</v>
      </c>
      <c r="B24752" t="s">
        <v>3221</v>
      </c>
      <c r="C24752">
        <v>108</v>
      </c>
      <c r="D24752" t="s">
        <v>143</v>
      </c>
      <c r="E24752" t="s">
        <v>144</v>
      </c>
      <c r="F24752">
        <v>2930</v>
      </c>
      <c r="G24752">
        <v>230101</v>
      </c>
      <c r="H24752">
        <v>4343</v>
      </c>
      <c r="I24752" t="s">
        <v>91</v>
      </c>
      <c r="J24752">
        <v>3633.2</v>
      </c>
      <c r="K24752">
        <v>703.2</v>
      </c>
      <c r="L24752">
        <v>11801</v>
      </c>
      <c r="M24752" t="s">
        <v>92</v>
      </c>
      <c r="N24752" t="str">
        <f>"42213       "</f>
        <v xml:space="preserve">42213       </v>
      </c>
      <c r="O24752">
        <v>230111</v>
      </c>
    </row>
    <row r="24753" spans="1:15" x14ac:dyDescent="0.25">
      <c r="A24753" t="s">
        <v>16</v>
      </c>
      <c r="B24753" t="s">
        <v>3221</v>
      </c>
      <c r="C24753">
        <v>16991</v>
      </c>
      <c r="D24753" t="s">
        <v>3028</v>
      </c>
      <c r="E24753" t="s">
        <v>3029</v>
      </c>
      <c r="F24753">
        <v>5840</v>
      </c>
      <c r="G24753">
        <v>231201</v>
      </c>
      <c r="H24753">
        <v>4590</v>
      </c>
      <c r="I24753" t="s">
        <v>203</v>
      </c>
      <c r="J24753">
        <v>7241.6</v>
      </c>
      <c r="K24753">
        <v>1401.6</v>
      </c>
      <c r="L24753">
        <v>49501</v>
      </c>
      <c r="M24753" t="s">
        <v>177</v>
      </c>
      <c r="N24753" t="str">
        <f>"953329      "</f>
        <v xml:space="preserve">953329      </v>
      </c>
      <c r="O24753">
        <v>231211</v>
      </c>
    </row>
    <row r="24754" spans="1:15" x14ac:dyDescent="0.25">
      <c r="A24754" t="s">
        <v>16</v>
      </c>
      <c r="B24754" t="s">
        <v>3221</v>
      </c>
      <c r="C24754">
        <v>17702</v>
      </c>
      <c r="D24754" t="s">
        <v>3028</v>
      </c>
      <c r="E24754" t="s">
        <v>3029</v>
      </c>
      <c r="F24754">
        <v>2490</v>
      </c>
      <c r="G24754">
        <v>231208</v>
      </c>
      <c r="H24754">
        <v>4590</v>
      </c>
      <c r="I24754" t="s">
        <v>203</v>
      </c>
      <c r="J24754">
        <v>3087.6</v>
      </c>
      <c r="K24754">
        <v>597.6</v>
      </c>
      <c r="L24754">
        <v>46554</v>
      </c>
      <c r="M24754" t="s">
        <v>117</v>
      </c>
      <c r="N24754" t="str">
        <f>"953462      "</f>
        <v xml:space="preserve">953462      </v>
      </c>
      <c r="O24754">
        <v>231221</v>
      </c>
    </row>
    <row r="24755" spans="1:15" x14ac:dyDescent="0.25">
      <c r="A24755" t="s">
        <v>16</v>
      </c>
      <c r="B24755" t="s">
        <v>3221</v>
      </c>
      <c r="C24755">
        <v>17702</v>
      </c>
      <c r="D24755" t="s">
        <v>3028</v>
      </c>
      <c r="E24755" t="s">
        <v>3029</v>
      </c>
      <c r="F24755">
        <v>2490</v>
      </c>
      <c r="G24755">
        <v>231208</v>
      </c>
      <c r="H24755">
        <v>4590</v>
      </c>
      <c r="I24755" t="s">
        <v>203</v>
      </c>
      <c r="J24755">
        <v>3087.6</v>
      </c>
      <c r="K24755">
        <v>597.6</v>
      </c>
      <c r="L24755">
        <v>46556</v>
      </c>
      <c r="M24755" t="s">
        <v>125</v>
      </c>
      <c r="N24755" t="str">
        <f>"953462      "</f>
        <v xml:space="preserve">953462      </v>
      </c>
      <c r="O24755">
        <v>231221</v>
      </c>
    </row>
    <row r="24756" spans="1:15" x14ac:dyDescent="0.25">
      <c r="A24756" t="s">
        <v>16</v>
      </c>
      <c r="B24756" t="s">
        <v>3221</v>
      </c>
      <c r="C24756">
        <v>17977</v>
      </c>
      <c r="D24756" t="s">
        <v>3028</v>
      </c>
      <c r="E24756" t="s">
        <v>3029</v>
      </c>
      <c r="F24756">
        <v>2030</v>
      </c>
      <c r="G24756">
        <v>231215</v>
      </c>
      <c r="H24756">
        <v>4590</v>
      </c>
      <c r="I24756" t="s">
        <v>203</v>
      </c>
      <c r="J24756">
        <v>2517.1999999999998</v>
      </c>
      <c r="K24756">
        <v>487.2</v>
      </c>
      <c r="L24756">
        <v>46554</v>
      </c>
      <c r="M24756" t="s">
        <v>117</v>
      </c>
      <c r="N24756" t="str">
        <f>"953583      "</f>
        <v xml:space="preserve">953583      </v>
      </c>
      <c r="O24756">
        <v>231228</v>
      </c>
    </row>
    <row r="24757" spans="1:15" x14ac:dyDescent="0.25">
      <c r="A24757" t="s">
        <v>16</v>
      </c>
      <c r="B24757" t="s">
        <v>3221</v>
      </c>
      <c r="C24757">
        <v>17977</v>
      </c>
      <c r="D24757" t="s">
        <v>3028</v>
      </c>
      <c r="E24757" t="s">
        <v>3029</v>
      </c>
      <c r="F24757">
        <v>2030</v>
      </c>
      <c r="G24757">
        <v>231215</v>
      </c>
      <c r="H24757">
        <v>4590</v>
      </c>
      <c r="I24757" t="s">
        <v>203</v>
      </c>
      <c r="J24757">
        <v>2517.1999999999998</v>
      </c>
      <c r="K24757">
        <v>487.2</v>
      </c>
      <c r="L24757">
        <v>46556</v>
      </c>
      <c r="M24757" t="s">
        <v>125</v>
      </c>
      <c r="N24757" t="str">
        <f>"953583      "</f>
        <v xml:space="preserve">953583      </v>
      </c>
      <c r="O24757">
        <v>231228</v>
      </c>
    </row>
    <row r="24758" spans="1:15" x14ac:dyDescent="0.25">
      <c r="A24758" t="s">
        <v>16</v>
      </c>
      <c r="B24758" t="s">
        <v>3221</v>
      </c>
      <c r="C24758">
        <v>4346</v>
      </c>
      <c r="D24758" t="s">
        <v>1692</v>
      </c>
      <c r="E24758" t="s">
        <v>1693</v>
      </c>
      <c r="F24758">
        <v>51.09</v>
      </c>
      <c r="G24758">
        <v>230331</v>
      </c>
      <c r="H24758">
        <v>4600</v>
      </c>
      <c r="I24758" t="s">
        <v>105</v>
      </c>
      <c r="J24758">
        <v>63.35</v>
      </c>
      <c r="K24758">
        <v>12.26</v>
      </c>
      <c r="L24758">
        <v>54222</v>
      </c>
      <c r="M24758" t="s">
        <v>308</v>
      </c>
      <c r="N24758" t="str">
        <f>"7352167315  "</f>
        <v xml:space="preserve">7352167315  </v>
      </c>
      <c r="O24758">
        <v>230404</v>
      </c>
    </row>
    <row r="24759" spans="1:15" x14ac:dyDescent="0.25">
      <c r="A24759" t="s">
        <v>16</v>
      </c>
      <c r="B24759" t="s">
        <v>3221</v>
      </c>
      <c r="C24759">
        <v>4346</v>
      </c>
      <c r="D24759" t="s">
        <v>1692</v>
      </c>
      <c r="E24759" t="s">
        <v>1693</v>
      </c>
      <c r="F24759">
        <v>51.08</v>
      </c>
      <c r="G24759">
        <v>230331</v>
      </c>
      <c r="H24759">
        <v>4600</v>
      </c>
      <c r="I24759" t="s">
        <v>105</v>
      </c>
      <c r="J24759">
        <v>63.34</v>
      </c>
      <c r="K24759">
        <v>12.26</v>
      </c>
      <c r="L24759">
        <v>54251</v>
      </c>
      <c r="M24759" t="s">
        <v>309</v>
      </c>
      <c r="N24759" t="str">
        <f>"7352167315  "</f>
        <v xml:space="preserve">7352167315  </v>
      </c>
      <c r="O24759">
        <v>230404</v>
      </c>
    </row>
    <row r="24760" spans="1:15" x14ac:dyDescent="0.25">
      <c r="A24760" t="s">
        <v>16</v>
      </c>
      <c r="B24760" t="s">
        <v>3221</v>
      </c>
      <c r="C24760">
        <v>4857</v>
      </c>
      <c r="D24760" t="s">
        <v>1692</v>
      </c>
      <c r="E24760" t="s">
        <v>1693</v>
      </c>
      <c r="F24760">
        <v>528.41999999999996</v>
      </c>
      <c r="G24760">
        <v>230403</v>
      </c>
      <c r="H24760">
        <v>4600</v>
      </c>
      <c r="I24760" t="s">
        <v>105</v>
      </c>
      <c r="J24760">
        <v>655.24</v>
      </c>
      <c r="K24760">
        <v>126.82</v>
      </c>
      <c r="L24760">
        <v>54222</v>
      </c>
      <c r="M24760" t="s">
        <v>308</v>
      </c>
      <c r="N24760" t="str">
        <f>"7352167319  "</f>
        <v xml:space="preserve">7352167319  </v>
      </c>
      <c r="O24760">
        <v>230413</v>
      </c>
    </row>
    <row r="24761" spans="1:15" x14ac:dyDescent="0.25">
      <c r="A24761" t="s">
        <v>16</v>
      </c>
      <c r="B24761" t="s">
        <v>3221</v>
      </c>
      <c r="C24761">
        <v>4857</v>
      </c>
      <c r="D24761" t="s">
        <v>1692</v>
      </c>
      <c r="E24761" t="s">
        <v>1693</v>
      </c>
      <c r="F24761">
        <v>528.41</v>
      </c>
      <c r="G24761">
        <v>230403</v>
      </c>
      <c r="H24761">
        <v>4600</v>
      </c>
      <c r="I24761" t="s">
        <v>105</v>
      </c>
      <c r="J24761">
        <v>655.23</v>
      </c>
      <c r="K24761">
        <v>126.82</v>
      </c>
      <c r="L24761">
        <v>54251</v>
      </c>
      <c r="M24761" t="s">
        <v>309</v>
      </c>
      <c r="N24761" t="str">
        <f>"7352167319  "</f>
        <v xml:space="preserve">7352167319  </v>
      </c>
      <c r="O24761">
        <v>230413</v>
      </c>
    </row>
    <row r="24762" spans="1:15" x14ac:dyDescent="0.25">
      <c r="A24762" t="s">
        <v>16</v>
      </c>
      <c r="B24762" t="s">
        <v>3221</v>
      </c>
      <c r="C24762">
        <v>4858</v>
      </c>
      <c r="D24762" t="s">
        <v>1692</v>
      </c>
      <c r="E24762" t="s">
        <v>1693</v>
      </c>
      <c r="F24762">
        <v>105.87</v>
      </c>
      <c r="G24762">
        <v>230403</v>
      </c>
      <c r="H24762">
        <v>4600</v>
      </c>
      <c r="I24762" t="s">
        <v>105</v>
      </c>
      <c r="J24762">
        <v>131.28</v>
      </c>
      <c r="K24762">
        <v>25.41</v>
      </c>
      <c r="L24762">
        <v>54222</v>
      </c>
      <c r="M24762" t="s">
        <v>308</v>
      </c>
      <c r="N24762" t="str">
        <f>"7352167318  "</f>
        <v xml:space="preserve">7352167318  </v>
      </c>
      <c r="O24762">
        <v>230413</v>
      </c>
    </row>
    <row r="24763" spans="1:15" x14ac:dyDescent="0.25">
      <c r="A24763" t="s">
        <v>16</v>
      </c>
      <c r="B24763" t="s">
        <v>3221</v>
      </c>
      <c r="C24763">
        <v>4858</v>
      </c>
      <c r="D24763" t="s">
        <v>1692</v>
      </c>
      <c r="E24763" t="s">
        <v>1693</v>
      </c>
      <c r="F24763">
        <v>105.87</v>
      </c>
      <c r="G24763">
        <v>230403</v>
      </c>
      <c r="H24763">
        <v>4600</v>
      </c>
      <c r="I24763" t="s">
        <v>105</v>
      </c>
      <c r="J24763">
        <v>131.28</v>
      </c>
      <c r="K24763">
        <v>25.41</v>
      </c>
      <c r="L24763">
        <v>54251</v>
      </c>
      <c r="M24763" t="s">
        <v>309</v>
      </c>
      <c r="N24763" t="str">
        <f>"7352167318  "</f>
        <v xml:space="preserve">7352167318  </v>
      </c>
      <c r="O24763">
        <v>230413</v>
      </c>
    </row>
    <row r="24764" spans="1:15" x14ac:dyDescent="0.25">
      <c r="A24764" t="s">
        <v>16</v>
      </c>
      <c r="B24764" t="s">
        <v>3221</v>
      </c>
      <c r="C24764">
        <v>4386</v>
      </c>
      <c r="D24764" t="s">
        <v>1692</v>
      </c>
      <c r="E24764" t="s">
        <v>1693</v>
      </c>
      <c r="F24764">
        <v>579.4</v>
      </c>
      <c r="G24764">
        <v>230323</v>
      </c>
      <c r="H24764">
        <v>4555</v>
      </c>
      <c r="I24764" t="s">
        <v>481</v>
      </c>
      <c r="J24764">
        <v>718.46</v>
      </c>
      <c r="K24764">
        <v>139.06</v>
      </c>
      <c r="L24764">
        <v>44453</v>
      </c>
      <c r="M24764" t="s">
        <v>492</v>
      </c>
      <c r="N24764" t="str">
        <f>"7346553565  "</f>
        <v xml:space="preserve">7346553565  </v>
      </c>
      <c r="O24764">
        <v>230405</v>
      </c>
    </row>
    <row r="24765" spans="1:15" x14ac:dyDescent="0.25">
      <c r="A24765" t="s">
        <v>16</v>
      </c>
      <c r="B24765" t="s">
        <v>3221</v>
      </c>
      <c r="C24765">
        <v>4387</v>
      </c>
      <c r="D24765" t="s">
        <v>1692</v>
      </c>
      <c r="E24765" t="s">
        <v>1693</v>
      </c>
      <c r="F24765">
        <v>369.6</v>
      </c>
      <c r="G24765">
        <v>230323</v>
      </c>
      <c r="H24765">
        <v>4555</v>
      </c>
      <c r="I24765" t="s">
        <v>481</v>
      </c>
      <c r="J24765">
        <v>458.3</v>
      </c>
      <c r="K24765">
        <v>88.7</v>
      </c>
      <c r="L24765">
        <v>44453</v>
      </c>
      <c r="M24765" t="s">
        <v>492</v>
      </c>
      <c r="N24765" t="str">
        <f>"7346553566  "</f>
        <v xml:space="preserve">7346553566  </v>
      </c>
      <c r="O24765">
        <v>230405</v>
      </c>
    </row>
    <row r="24766" spans="1:15" x14ac:dyDescent="0.25">
      <c r="A24766" t="s">
        <v>16</v>
      </c>
      <c r="B24766" t="s">
        <v>3221</v>
      </c>
      <c r="C24766">
        <v>6649</v>
      </c>
      <c r="D24766" t="s">
        <v>1692</v>
      </c>
      <c r="E24766" t="s">
        <v>1693</v>
      </c>
      <c r="F24766">
        <v>721.45</v>
      </c>
      <c r="G24766">
        <v>230425</v>
      </c>
      <c r="H24766">
        <v>4555</v>
      </c>
      <c r="I24766" t="s">
        <v>481</v>
      </c>
      <c r="J24766">
        <v>894.6</v>
      </c>
      <c r="K24766">
        <v>173.15</v>
      </c>
      <c r="L24766">
        <v>44453</v>
      </c>
      <c r="M24766" t="s">
        <v>492</v>
      </c>
      <c r="N24766" t="str">
        <f>"7346555686  "</f>
        <v xml:space="preserve">7346555686  </v>
      </c>
      <c r="O24766">
        <v>230516</v>
      </c>
    </row>
    <row r="24767" spans="1:15" x14ac:dyDescent="0.25">
      <c r="A24767" t="s">
        <v>16</v>
      </c>
      <c r="B24767" t="s">
        <v>3221</v>
      </c>
      <c r="C24767">
        <v>7997</v>
      </c>
      <c r="D24767" t="s">
        <v>1692</v>
      </c>
      <c r="E24767" t="s">
        <v>1693</v>
      </c>
      <c r="F24767">
        <v>445</v>
      </c>
      <c r="G24767">
        <v>230516</v>
      </c>
      <c r="H24767">
        <v>4555</v>
      </c>
      <c r="I24767" t="s">
        <v>481</v>
      </c>
      <c r="J24767">
        <v>551.79999999999995</v>
      </c>
      <c r="K24767">
        <v>106.8</v>
      </c>
      <c r="L24767">
        <v>44453</v>
      </c>
      <c r="M24767" t="s">
        <v>492</v>
      </c>
      <c r="N24767" t="str">
        <f>"7346557172  "</f>
        <v xml:space="preserve">7346557172  </v>
      </c>
      <c r="O24767">
        <v>230606</v>
      </c>
    </row>
    <row r="24768" spans="1:15" x14ac:dyDescent="0.25">
      <c r="A24768" t="s">
        <v>16</v>
      </c>
      <c r="B24768" t="s">
        <v>3221</v>
      </c>
      <c r="C24768">
        <v>16570</v>
      </c>
      <c r="D24768" t="s">
        <v>1692</v>
      </c>
      <c r="E24768" t="s">
        <v>1693</v>
      </c>
      <c r="F24768">
        <v>610.75</v>
      </c>
      <c r="G24768">
        <v>231117</v>
      </c>
      <c r="H24768">
        <v>4555</v>
      </c>
      <c r="I24768" t="s">
        <v>481</v>
      </c>
      <c r="J24768">
        <v>757.33</v>
      </c>
      <c r="K24768">
        <v>146.58000000000001</v>
      </c>
      <c r="L24768">
        <v>44453</v>
      </c>
      <c r="M24768" t="s">
        <v>492</v>
      </c>
      <c r="N24768" t="str">
        <f>"7346569289  "</f>
        <v xml:space="preserve">7346569289  </v>
      </c>
      <c r="O24768">
        <v>231201</v>
      </c>
    </row>
    <row r="24769" spans="1:16" x14ac:dyDescent="0.25">
      <c r="A24769" t="s">
        <v>16</v>
      </c>
      <c r="B24769" t="s">
        <v>3221</v>
      </c>
      <c r="C24769">
        <v>16571</v>
      </c>
      <c r="D24769" t="s">
        <v>1692</v>
      </c>
      <c r="E24769" t="s">
        <v>1693</v>
      </c>
      <c r="F24769">
        <v>-445</v>
      </c>
      <c r="G24769">
        <v>231010</v>
      </c>
      <c r="H24769">
        <v>4555</v>
      </c>
      <c r="I24769" t="s">
        <v>481</v>
      </c>
      <c r="J24769">
        <v>-551.79999999999995</v>
      </c>
      <c r="K24769">
        <v>-106.8</v>
      </c>
      <c r="L24769">
        <v>44453</v>
      </c>
      <c r="M24769" t="s">
        <v>492</v>
      </c>
      <c r="N24769" t="str">
        <f>"7352207552  "</f>
        <v xml:space="preserve">7352207552  </v>
      </c>
      <c r="O24769">
        <v>231201</v>
      </c>
    </row>
    <row r="24770" spans="1:16" x14ac:dyDescent="0.25">
      <c r="A24770" t="s">
        <v>16</v>
      </c>
      <c r="B24770" t="s">
        <v>3221</v>
      </c>
      <c r="C24770">
        <v>10282</v>
      </c>
      <c r="D24770" t="s">
        <v>2362</v>
      </c>
      <c r="E24770" t="s">
        <v>2363</v>
      </c>
      <c r="F24770">
        <v>495</v>
      </c>
      <c r="G24770">
        <v>230803</v>
      </c>
      <c r="H24770">
        <v>4362</v>
      </c>
      <c r="I24770" t="s">
        <v>79</v>
      </c>
      <c r="J24770">
        <v>613.79999999999995</v>
      </c>
      <c r="K24770">
        <v>118.8</v>
      </c>
      <c r="L24770">
        <v>11801</v>
      </c>
      <c r="M24770" t="s">
        <v>92</v>
      </c>
      <c r="N24770" t="str">
        <f>"11631       "</f>
        <v xml:space="preserve">11631       </v>
      </c>
      <c r="O24770">
        <v>230814</v>
      </c>
    </row>
    <row r="24771" spans="1:16" x14ac:dyDescent="0.25">
      <c r="A24771" t="s">
        <v>16</v>
      </c>
      <c r="B24771" t="s">
        <v>3221</v>
      </c>
      <c r="C24771">
        <v>15596</v>
      </c>
      <c r="D24771" t="s">
        <v>3559</v>
      </c>
      <c r="E24771" t="s">
        <v>3560</v>
      </c>
      <c r="F24771">
        <v>35.04</v>
      </c>
      <c r="G24771">
        <v>231110</v>
      </c>
      <c r="H24771">
        <v>4600</v>
      </c>
      <c r="I24771" t="s">
        <v>105</v>
      </c>
      <c r="J24771">
        <v>35.04</v>
      </c>
      <c r="K24771">
        <v>0</v>
      </c>
      <c r="L24771">
        <v>56550</v>
      </c>
      <c r="M24771" t="s">
        <v>913</v>
      </c>
      <c r="N24771" t="str">
        <f>"598960      "</f>
        <v xml:space="preserve">598960      </v>
      </c>
      <c r="O24771">
        <v>231114</v>
      </c>
      <c r="P24771" t="s">
        <v>3561</v>
      </c>
    </row>
    <row r="24772" spans="1:16" x14ac:dyDescent="0.25">
      <c r="A24772" t="s">
        <v>16</v>
      </c>
      <c r="B24772" t="s">
        <v>3221</v>
      </c>
      <c r="C24772">
        <v>15617</v>
      </c>
      <c r="D24772" t="s">
        <v>3559</v>
      </c>
      <c r="E24772" t="s">
        <v>3560</v>
      </c>
      <c r="F24772">
        <v>268.32</v>
      </c>
      <c r="G24772">
        <v>231110</v>
      </c>
      <c r="H24772">
        <v>4600</v>
      </c>
      <c r="I24772" t="s">
        <v>105</v>
      </c>
      <c r="J24772">
        <v>268.32</v>
      </c>
      <c r="K24772">
        <v>0</v>
      </c>
      <c r="L24772">
        <v>56550</v>
      </c>
      <c r="M24772" t="s">
        <v>913</v>
      </c>
      <c r="N24772" t="str">
        <f>"598961      "</f>
        <v xml:space="preserve">598961      </v>
      </c>
      <c r="O24772">
        <v>231114</v>
      </c>
      <c r="P24772" t="s">
        <v>3561</v>
      </c>
    </row>
    <row r="24773" spans="1:16" x14ac:dyDescent="0.25">
      <c r="A24773" t="s">
        <v>16</v>
      </c>
      <c r="B24773" t="s">
        <v>3221</v>
      </c>
      <c r="C24773">
        <v>16199</v>
      </c>
      <c r="D24773" t="s">
        <v>3559</v>
      </c>
      <c r="E24773" t="s">
        <v>3560</v>
      </c>
      <c r="F24773">
        <v>108</v>
      </c>
      <c r="G24773">
        <v>231120</v>
      </c>
      <c r="H24773">
        <v>4600</v>
      </c>
      <c r="I24773" t="s">
        <v>105</v>
      </c>
      <c r="J24773">
        <v>108</v>
      </c>
      <c r="K24773">
        <v>0</v>
      </c>
      <c r="L24773">
        <v>56550</v>
      </c>
      <c r="M24773" t="s">
        <v>913</v>
      </c>
      <c r="N24773" t="str">
        <f>"601212      "</f>
        <v xml:space="preserve">601212      </v>
      </c>
      <c r="O24773">
        <v>231127</v>
      </c>
      <c r="P24773" t="s">
        <v>3561</v>
      </c>
    </row>
    <row r="24774" spans="1:16" x14ac:dyDescent="0.25">
      <c r="A24774" t="s">
        <v>16</v>
      </c>
      <c r="B24774" t="s">
        <v>3221</v>
      </c>
      <c r="C24774">
        <v>11277</v>
      </c>
      <c r="D24774" t="s">
        <v>655</v>
      </c>
      <c r="E24774" t="s">
        <v>656</v>
      </c>
      <c r="F24774">
        <v>809</v>
      </c>
      <c r="G24774">
        <v>230830</v>
      </c>
      <c r="H24774">
        <v>4532</v>
      </c>
      <c r="I24774" t="s">
        <v>116</v>
      </c>
      <c r="J24774">
        <v>1003.16</v>
      </c>
      <c r="K24774">
        <v>194.16</v>
      </c>
      <c r="L24774">
        <v>17523</v>
      </c>
      <c r="M24774" t="s">
        <v>134</v>
      </c>
      <c r="N24774" t="str">
        <f>"31428       "</f>
        <v xml:space="preserve">31428       </v>
      </c>
      <c r="O24774">
        <v>230904</v>
      </c>
    </row>
    <row r="24775" spans="1:16" x14ac:dyDescent="0.25">
      <c r="A24775" t="s">
        <v>16</v>
      </c>
      <c r="B24775" t="s">
        <v>3221</v>
      </c>
      <c r="C24775">
        <v>11304</v>
      </c>
      <c r="D24775" t="s">
        <v>655</v>
      </c>
      <c r="E24775" t="s">
        <v>656</v>
      </c>
      <c r="F24775">
        <v>276</v>
      </c>
      <c r="G24775">
        <v>230831</v>
      </c>
      <c r="H24775">
        <v>4532</v>
      </c>
      <c r="I24775" t="s">
        <v>116</v>
      </c>
      <c r="J24775">
        <v>342.24</v>
      </c>
      <c r="K24775">
        <v>66.239999999999995</v>
      </c>
      <c r="L24775">
        <v>17523</v>
      </c>
      <c r="M24775" t="s">
        <v>134</v>
      </c>
      <c r="N24775" t="str">
        <f>"31457       "</f>
        <v xml:space="preserve">31457       </v>
      </c>
      <c r="O24775">
        <v>230904</v>
      </c>
    </row>
    <row r="24776" spans="1:16" x14ac:dyDescent="0.25">
      <c r="A24776" t="s">
        <v>16</v>
      </c>
      <c r="B24776" t="s">
        <v>3221</v>
      </c>
      <c r="C24776">
        <v>13137</v>
      </c>
      <c r="D24776" t="s">
        <v>655</v>
      </c>
      <c r="E24776" t="s">
        <v>656</v>
      </c>
      <c r="F24776">
        <v>150</v>
      </c>
      <c r="G24776">
        <v>230928</v>
      </c>
      <c r="H24776">
        <v>4532</v>
      </c>
      <c r="I24776" t="s">
        <v>116</v>
      </c>
      <c r="J24776">
        <v>186</v>
      </c>
      <c r="K24776">
        <v>36</v>
      </c>
      <c r="L24776">
        <v>17523</v>
      </c>
      <c r="M24776" t="s">
        <v>134</v>
      </c>
      <c r="N24776" t="str">
        <f>"31749       "</f>
        <v xml:space="preserve">31749       </v>
      </c>
      <c r="O24776">
        <v>231004</v>
      </c>
    </row>
    <row r="24777" spans="1:16" x14ac:dyDescent="0.25">
      <c r="A24777" t="s">
        <v>16</v>
      </c>
      <c r="B24777" t="s">
        <v>3221</v>
      </c>
      <c r="C24777">
        <v>16012</v>
      </c>
      <c r="D24777" t="s">
        <v>655</v>
      </c>
      <c r="E24777" t="s">
        <v>656</v>
      </c>
      <c r="F24777">
        <v>166</v>
      </c>
      <c r="G24777">
        <v>231116</v>
      </c>
      <c r="H24777">
        <v>4532</v>
      </c>
      <c r="I24777" t="s">
        <v>116</v>
      </c>
      <c r="J24777">
        <v>205.84</v>
      </c>
      <c r="K24777">
        <v>39.840000000000003</v>
      </c>
      <c r="L24777">
        <v>17737</v>
      </c>
      <c r="M24777" t="s">
        <v>279</v>
      </c>
      <c r="N24777" t="str">
        <f>"32281       "</f>
        <v xml:space="preserve">32281       </v>
      </c>
      <c r="O24777">
        <v>231122</v>
      </c>
    </row>
    <row r="24778" spans="1:16" x14ac:dyDescent="0.25">
      <c r="A24778" t="s">
        <v>16</v>
      </c>
      <c r="B24778" t="s">
        <v>3221</v>
      </c>
      <c r="C24778">
        <v>2226</v>
      </c>
      <c r="D24778" t="s">
        <v>655</v>
      </c>
      <c r="E24778" t="s">
        <v>656</v>
      </c>
      <c r="F24778">
        <v>1016.9</v>
      </c>
      <c r="G24778">
        <v>230221</v>
      </c>
      <c r="H24778">
        <v>4580</v>
      </c>
      <c r="I24778" t="s">
        <v>35</v>
      </c>
      <c r="J24778">
        <v>1260.96</v>
      </c>
      <c r="K24778">
        <v>244.06</v>
      </c>
      <c r="L24778">
        <v>56558</v>
      </c>
      <c r="M24778" t="s">
        <v>217</v>
      </c>
      <c r="N24778" t="str">
        <f>"29671       "</f>
        <v xml:space="preserve">29671       </v>
      </c>
      <c r="O24778">
        <v>230222</v>
      </c>
    </row>
    <row r="24779" spans="1:16" x14ac:dyDescent="0.25">
      <c r="A24779" t="s">
        <v>16</v>
      </c>
      <c r="B24779" t="s">
        <v>3221</v>
      </c>
      <c r="C24779">
        <v>3631</v>
      </c>
      <c r="D24779" t="s">
        <v>655</v>
      </c>
      <c r="E24779" t="s">
        <v>656</v>
      </c>
      <c r="F24779">
        <v>190.8</v>
      </c>
      <c r="G24779">
        <v>230310</v>
      </c>
      <c r="H24779">
        <v>4580</v>
      </c>
      <c r="I24779" t="s">
        <v>35</v>
      </c>
      <c r="J24779">
        <v>236.59</v>
      </c>
      <c r="K24779">
        <v>45.79</v>
      </c>
      <c r="L24779">
        <v>17521</v>
      </c>
      <c r="M24779" t="s">
        <v>133</v>
      </c>
      <c r="N24779" t="str">
        <f>"29934       "</f>
        <v xml:space="preserve">29934       </v>
      </c>
      <c r="O24779">
        <v>230320</v>
      </c>
    </row>
    <row r="24780" spans="1:16" x14ac:dyDescent="0.25">
      <c r="A24780" t="s">
        <v>16</v>
      </c>
      <c r="B24780" t="s">
        <v>3221</v>
      </c>
      <c r="C24780">
        <v>10866</v>
      </c>
      <c r="D24780" t="s">
        <v>655</v>
      </c>
      <c r="E24780" t="s">
        <v>656</v>
      </c>
      <c r="F24780">
        <v>382.8</v>
      </c>
      <c r="G24780">
        <v>230822</v>
      </c>
      <c r="H24780">
        <v>4580</v>
      </c>
      <c r="I24780" t="s">
        <v>35</v>
      </c>
      <c r="J24780">
        <v>474.67</v>
      </c>
      <c r="K24780">
        <v>91.87</v>
      </c>
      <c r="L24780">
        <v>56559</v>
      </c>
      <c r="M24780" t="s">
        <v>129</v>
      </c>
      <c r="N24780" t="str">
        <f>"31322       "</f>
        <v xml:space="preserve">31322       </v>
      </c>
      <c r="O24780">
        <v>230824</v>
      </c>
    </row>
    <row r="24781" spans="1:16" x14ac:dyDescent="0.25">
      <c r="A24781" t="s">
        <v>16</v>
      </c>
      <c r="B24781" t="s">
        <v>3221</v>
      </c>
      <c r="C24781">
        <v>11704</v>
      </c>
      <c r="D24781" t="s">
        <v>655</v>
      </c>
      <c r="E24781" t="s">
        <v>656</v>
      </c>
      <c r="F24781">
        <v>240</v>
      </c>
      <c r="G24781">
        <v>230830</v>
      </c>
      <c r="H24781">
        <v>4580</v>
      </c>
      <c r="I24781" t="s">
        <v>35</v>
      </c>
      <c r="J24781">
        <v>297.60000000000002</v>
      </c>
      <c r="K24781">
        <v>57.6</v>
      </c>
      <c r="L24781">
        <v>17521</v>
      </c>
      <c r="M24781" t="s">
        <v>133</v>
      </c>
      <c r="N24781" t="str">
        <f>"31431       "</f>
        <v xml:space="preserve">31431       </v>
      </c>
      <c r="O24781">
        <v>230908</v>
      </c>
    </row>
    <row r="24782" spans="1:16" x14ac:dyDescent="0.25">
      <c r="A24782" t="s">
        <v>16</v>
      </c>
      <c r="B24782" t="s">
        <v>3221</v>
      </c>
      <c r="C24782">
        <v>12429</v>
      </c>
      <c r="D24782" t="s">
        <v>655</v>
      </c>
      <c r="E24782" t="s">
        <v>656</v>
      </c>
      <c r="F24782">
        <v>1087</v>
      </c>
      <c r="G24782">
        <v>230913</v>
      </c>
      <c r="H24782">
        <v>4580</v>
      </c>
      <c r="I24782" t="s">
        <v>35</v>
      </c>
      <c r="J24782">
        <v>1347.88</v>
      </c>
      <c r="K24782">
        <v>260.88</v>
      </c>
      <c r="L24782">
        <v>56558</v>
      </c>
      <c r="M24782" t="s">
        <v>217</v>
      </c>
      <c r="N24782" t="str">
        <f>"31582       "</f>
        <v xml:space="preserve">31582       </v>
      </c>
      <c r="O24782">
        <v>230919</v>
      </c>
    </row>
    <row r="24783" spans="1:16" x14ac:dyDescent="0.25">
      <c r="A24783" t="s">
        <v>16</v>
      </c>
      <c r="B24783" t="s">
        <v>3221</v>
      </c>
      <c r="C24783">
        <v>12473</v>
      </c>
      <c r="D24783" t="s">
        <v>655</v>
      </c>
      <c r="E24783" t="s">
        <v>656</v>
      </c>
      <c r="F24783">
        <v>92.58</v>
      </c>
      <c r="G24783">
        <v>230906</v>
      </c>
      <c r="H24783">
        <v>4580</v>
      </c>
      <c r="I24783" t="s">
        <v>35</v>
      </c>
      <c r="J24783">
        <v>114.8</v>
      </c>
      <c r="K24783">
        <v>22.22</v>
      </c>
      <c r="L24783">
        <v>17527</v>
      </c>
      <c r="M24783" t="s">
        <v>422</v>
      </c>
      <c r="N24783" t="str">
        <f>"31513       "</f>
        <v xml:space="preserve">31513       </v>
      </c>
      <c r="O24783">
        <v>230920</v>
      </c>
    </row>
    <row r="24784" spans="1:16" x14ac:dyDescent="0.25">
      <c r="A24784" t="s">
        <v>16</v>
      </c>
      <c r="B24784" t="s">
        <v>3221</v>
      </c>
      <c r="C24784">
        <v>639</v>
      </c>
      <c r="D24784" t="s">
        <v>655</v>
      </c>
      <c r="E24784" t="s">
        <v>656</v>
      </c>
      <c r="F24784">
        <v>556</v>
      </c>
      <c r="G24784">
        <v>230116</v>
      </c>
      <c r="H24784">
        <v>4600</v>
      </c>
      <c r="I24784" t="s">
        <v>105</v>
      </c>
      <c r="J24784">
        <v>689.44</v>
      </c>
      <c r="K24784">
        <v>133.44</v>
      </c>
      <c r="L24784">
        <v>17526</v>
      </c>
      <c r="M24784" t="s">
        <v>437</v>
      </c>
      <c r="N24784" t="str">
        <f>"29239       "</f>
        <v xml:space="preserve">29239       </v>
      </c>
      <c r="O24784">
        <v>230126</v>
      </c>
    </row>
    <row r="24785" spans="1:15" x14ac:dyDescent="0.25">
      <c r="A24785" t="s">
        <v>16</v>
      </c>
      <c r="B24785" t="s">
        <v>3221</v>
      </c>
      <c r="C24785">
        <v>943</v>
      </c>
      <c r="D24785" t="s">
        <v>655</v>
      </c>
      <c r="E24785" t="s">
        <v>656</v>
      </c>
      <c r="F24785">
        <v>96</v>
      </c>
      <c r="G24785">
        <v>230126</v>
      </c>
      <c r="H24785">
        <v>4600</v>
      </c>
      <c r="I24785" t="s">
        <v>105</v>
      </c>
      <c r="J24785">
        <v>119.04</v>
      </c>
      <c r="K24785">
        <v>23.04</v>
      </c>
      <c r="L24785">
        <v>17803</v>
      </c>
      <c r="M24785" t="s">
        <v>389</v>
      </c>
      <c r="N24785" t="str">
        <f>"29356       "</f>
        <v xml:space="preserve">29356       </v>
      </c>
      <c r="O24785">
        <v>230201</v>
      </c>
    </row>
    <row r="24786" spans="1:15" x14ac:dyDescent="0.25">
      <c r="A24786" t="s">
        <v>16</v>
      </c>
      <c r="B24786" t="s">
        <v>3221</v>
      </c>
      <c r="C24786">
        <v>1985</v>
      </c>
      <c r="D24786" t="s">
        <v>655</v>
      </c>
      <c r="E24786" t="s">
        <v>656</v>
      </c>
      <c r="F24786">
        <v>356</v>
      </c>
      <c r="G24786">
        <v>230210</v>
      </c>
      <c r="H24786">
        <v>4600</v>
      </c>
      <c r="I24786" t="s">
        <v>105</v>
      </c>
      <c r="J24786">
        <v>441.44</v>
      </c>
      <c r="K24786">
        <v>85.44</v>
      </c>
      <c r="L24786">
        <v>17526</v>
      </c>
      <c r="M24786" t="s">
        <v>437</v>
      </c>
      <c r="N24786" t="str">
        <f>"29466       "</f>
        <v xml:space="preserve">29466       </v>
      </c>
      <c r="O24786">
        <v>230216</v>
      </c>
    </row>
    <row r="24787" spans="1:15" x14ac:dyDescent="0.25">
      <c r="A24787" t="s">
        <v>16</v>
      </c>
      <c r="B24787" t="s">
        <v>3221</v>
      </c>
      <c r="C24787">
        <v>2338</v>
      </c>
      <c r="D24787" t="s">
        <v>655</v>
      </c>
      <c r="E24787" t="s">
        <v>656</v>
      </c>
      <c r="F24787">
        <v>767</v>
      </c>
      <c r="G24787">
        <v>230221</v>
      </c>
      <c r="H24787">
        <v>4600</v>
      </c>
      <c r="I24787" t="s">
        <v>105</v>
      </c>
      <c r="J24787">
        <v>951.08</v>
      </c>
      <c r="K24787">
        <v>184.08</v>
      </c>
      <c r="L24787">
        <v>56560</v>
      </c>
      <c r="M24787" t="s">
        <v>654</v>
      </c>
      <c r="N24787" t="str">
        <f>"29663       "</f>
        <v xml:space="preserve">29663       </v>
      </c>
      <c r="O24787">
        <v>230224</v>
      </c>
    </row>
    <row r="24788" spans="1:15" x14ac:dyDescent="0.25">
      <c r="A24788" t="s">
        <v>16</v>
      </c>
      <c r="B24788" t="s">
        <v>3221</v>
      </c>
      <c r="C24788">
        <v>2693</v>
      </c>
      <c r="D24788" t="s">
        <v>655</v>
      </c>
      <c r="E24788" t="s">
        <v>656</v>
      </c>
      <c r="F24788">
        <v>196.71</v>
      </c>
      <c r="G24788">
        <v>230223</v>
      </c>
      <c r="H24788">
        <v>4600</v>
      </c>
      <c r="I24788" t="s">
        <v>105</v>
      </c>
      <c r="J24788">
        <v>243.92</v>
      </c>
      <c r="K24788">
        <v>47.21</v>
      </c>
      <c r="L24788">
        <v>56565</v>
      </c>
      <c r="M24788" t="s">
        <v>758</v>
      </c>
      <c r="N24788" t="str">
        <f>"29717       "</f>
        <v xml:space="preserve">29717       </v>
      </c>
      <c r="O24788">
        <v>230307</v>
      </c>
    </row>
    <row r="24789" spans="1:15" x14ac:dyDescent="0.25">
      <c r="A24789" t="s">
        <v>16</v>
      </c>
      <c r="B24789" t="s">
        <v>3221</v>
      </c>
      <c r="C24789">
        <v>2693</v>
      </c>
      <c r="D24789" t="s">
        <v>655</v>
      </c>
      <c r="E24789" t="s">
        <v>656</v>
      </c>
      <c r="F24789">
        <v>161.29</v>
      </c>
      <c r="G24789">
        <v>230223</v>
      </c>
      <c r="H24789">
        <v>4600</v>
      </c>
      <c r="I24789" t="s">
        <v>105</v>
      </c>
      <c r="J24789">
        <v>200</v>
      </c>
      <c r="K24789">
        <v>38.71</v>
      </c>
      <c r="L24789">
        <v>56573</v>
      </c>
      <c r="M24789" t="s">
        <v>521</v>
      </c>
      <c r="N24789" t="str">
        <f>"29717       "</f>
        <v xml:space="preserve">29717       </v>
      </c>
      <c r="O24789">
        <v>230307</v>
      </c>
    </row>
    <row r="24790" spans="1:15" x14ac:dyDescent="0.25">
      <c r="A24790" t="s">
        <v>16</v>
      </c>
      <c r="B24790" t="s">
        <v>3221</v>
      </c>
      <c r="C24790">
        <v>2884</v>
      </c>
      <c r="D24790" t="s">
        <v>655</v>
      </c>
      <c r="E24790" t="s">
        <v>656</v>
      </c>
      <c r="F24790">
        <v>279</v>
      </c>
      <c r="G24790">
        <v>230303</v>
      </c>
      <c r="H24790">
        <v>4600</v>
      </c>
      <c r="I24790" t="s">
        <v>105</v>
      </c>
      <c r="J24790">
        <v>345.96</v>
      </c>
      <c r="K24790">
        <v>66.959999999999994</v>
      </c>
      <c r="L24790">
        <v>17526</v>
      </c>
      <c r="M24790" t="s">
        <v>437</v>
      </c>
      <c r="N24790" t="str">
        <f>"29833       "</f>
        <v xml:space="preserve">29833       </v>
      </c>
      <c r="O24790">
        <v>230308</v>
      </c>
    </row>
    <row r="24791" spans="1:15" x14ac:dyDescent="0.25">
      <c r="A24791" t="s">
        <v>16</v>
      </c>
      <c r="B24791" t="s">
        <v>3221</v>
      </c>
      <c r="C24791">
        <v>3835</v>
      </c>
      <c r="D24791" t="s">
        <v>655</v>
      </c>
      <c r="E24791" t="s">
        <v>656</v>
      </c>
      <c r="F24791">
        <v>1134</v>
      </c>
      <c r="G24791">
        <v>230321</v>
      </c>
      <c r="H24791">
        <v>4600</v>
      </c>
      <c r="I24791" t="s">
        <v>105</v>
      </c>
      <c r="J24791">
        <v>1406.16</v>
      </c>
      <c r="K24791">
        <v>272.16000000000003</v>
      </c>
      <c r="L24791">
        <v>46554</v>
      </c>
      <c r="M24791" t="s">
        <v>117</v>
      </c>
      <c r="N24791" t="str">
        <f>"30054       "</f>
        <v xml:space="preserve">30054       </v>
      </c>
      <c r="O24791">
        <v>230323</v>
      </c>
    </row>
    <row r="24792" spans="1:15" x14ac:dyDescent="0.25">
      <c r="A24792" t="s">
        <v>16</v>
      </c>
      <c r="B24792" t="s">
        <v>3221</v>
      </c>
      <c r="C24792">
        <v>3996</v>
      </c>
      <c r="D24792" t="s">
        <v>655</v>
      </c>
      <c r="E24792" t="s">
        <v>656</v>
      </c>
      <c r="F24792">
        <v>989.6</v>
      </c>
      <c r="G24792">
        <v>230315</v>
      </c>
      <c r="H24792">
        <v>4600</v>
      </c>
      <c r="I24792" t="s">
        <v>105</v>
      </c>
      <c r="J24792">
        <v>1227.0999999999999</v>
      </c>
      <c r="K24792">
        <v>237.5</v>
      </c>
      <c r="L24792">
        <v>47522</v>
      </c>
      <c r="M24792" t="s">
        <v>410</v>
      </c>
      <c r="N24792" t="str">
        <f>"29958       "</f>
        <v xml:space="preserve">29958       </v>
      </c>
      <c r="O24792">
        <v>230329</v>
      </c>
    </row>
    <row r="24793" spans="1:15" x14ac:dyDescent="0.25">
      <c r="A24793" t="s">
        <v>16</v>
      </c>
      <c r="B24793" t="s">
        <v>3221</v>
      </c>
      <c r="C24793">
        <v>11248</v>
      </c>
      <c r="D24793" t="s">
        <v>655</v>
      </c>
      <c r="E24793" t="s">
        <v>656</v>
      </c>
      <c r="F24793">
        <v>971</v>
      </c>
      <c r="G24793">
        <v>230831</v>
      </c>
      <c r="H24793">
        <v>4600</v>
      </c>
      <c r="I24793" t="s">
        <v>105</v>
      </c>
      <c r="J24793">
        <v>1204.04</v>
      </c>
      <c r="K24793">
        <v>233.04</v>
      </c>
      <c r="L24793">
        <v>66756</v>
      </c>
      <c r="M24793" t="s">
        <v>209</v>
      </c>
      <c r="N24793" t="str">
        <f>"31464       "</f>
        <v xml:space="preserve">31464       </v>
      </c>
      <c r="O24793">
        <v>230904</v>
      </c>
    </row>
    <row r="24794" spans="1:15" x14ac:dyDescent="0.25">
      <c r="A24794" t="s">
        <v>16</v>
      </c>
      <c r="B24794" t="s">
        <v>3221</v>
      </c>
      <c r="C24794">
        <v>11517</v>
      </c>
      <c r="D24794" t="s">
        <v>655</v>
      </c>
      <c r="E24794" t="s">
        <v>656</v>
      </c>
      <c r="F24794">
        <v>150</v>
      </c>
      <c r="G24794">
        <v>230904</v>
      </c>
      <c r="H24794">
        <v>4600</v>
      </c>
      <c r="I24794" t="s">
        <v>105</v>
      </c>
      <c r="J24794">
        <v>186</v>
      </c>
      <c r="K24794">
        <v>36</v>
      </c>
      <c r="L24794">
        <v>17809</v>
      </c>
      <c r="M24794" t="s">
        <v>376</v>
      </c>
      <c r="N24794" t="str">
        <f>"31497       "</f>
        <v xml:space="preserve">31497       </v>
      </c>
      <c r="O24794">
        <v>230907</v>
      </c>
    </row>
    <row r="24795" spans="1:15" x14ac:dyDescent="0.25">
      <c r="A24795" t="s">
        <v>16</v>
      </c>
      <c r="B24795" t="s">
        <v>3221</v>
      </c>
      <c r="C24795">
        <v>12473</v>
      </c>
      <c r="D24795" t="s">
        <v>655</v>
      </c>
      <c r="E24795" t="s">
        <v>656</v>
      </c>
      <c r="F24795">
        <v>142.74</v>
      </c>
      <c r="G24795">
        <v>230906</v>
      </c>
      <c r="H24795">
        <v>4600</v>
      </c>
      <c r="I24795" t="s">
        <v>105</v>
      </c>
      <c r="J24795">
        <v>177</v>
      </c>
      <c r="K24795">
        <v>34.26</v>
      </c>
      <c r="L24795">
        <v>17638</v>
      </c>
      <c r="M24795" t="s">
        <v>765</v>
      </c>
      <c r="N24795" t="str">
        <f>"31513       "</f>
        <v xml:space="preserve">31513       </v>
      </c>
      <c r="O24795">
        <v>230920</v>
      </c>
    </row>
    <row r="24796" spans="1:15" x14ac:dyDescent="0.25">
      <c r="A24796" t="s">
        <v>16</v>
      </c>
      <c r="B24796" t="s">
        <v>3221</v>
      </c>
      <c r="C24796">
        <v>13389</v>
      </c>
      <c r="D24796" t="s">
        <v>655</v>
      </c>
      <c r="E24796" t="s">
        <v>656</v>
      </c>
      <c r="F24796">
        <v>205</v>
      </c>
      <c r="G24796">
        <v>231006</v>
      </c>
      <c r="H24796">
        <v>4600</v>
      </c>
      <c r="I24796" t="s">
        <v>105</v>
      </c>
      <c r="J24796">
        <v>254.2</v>
      </c>
      <c r="K24796">
        <v>49.2</v>
      </c>
      <c r="L24796">
        <v>66756</v>
      </c>
      <c r="M24796" t="s">
        <v>209</v>
      </c>
      <c r="N24796" t="str">
        <f>"31826       "</f>
        <v xml:space="preserve">31826       </v>
      </c>
      <c r="O24796">
        <v>231009</v>
      </c>
    </row>
    <row r="24797" spans="1:15" x14ac:dyDescent="0.25">
      <c r="A24797" t="s">
        <v>16</v>
      </c>
      <c r="B24797" t="s">
        <v>3221</v>
      </c>
      <c r="C24797">
        <v>14034</v>
      </c>
      <c r="D24797" t="s">
        <v>655</v>
      </c>
      <c r="E24797" t="s">
        <v>656</v>
      </c>
      <c r="F24797">
        <v>999</v>
      </c>
      <c r="G24797">
        <v>231009</v>
      </c>
      <c r="H24797">
        <v>4600</v>
      </c>
      <c r="I24797" t="s">
        <v>105</v>
      </c>
      <c r="J24797">
        <v>1238.76</v>
      </c>
      <c r="K24797">
        <v>239.76</v>
      </c>
      <c r="L24797">
        <v>46555</v>
      </c>
      <c r="M24797" t="s">
        <v>597</v>
      </c>
      <c r="N24797" t="str">
        <f>"31862       "</f>
        <v xml:space="preserve">31862       </v>
      </c>
      <c r="O24797">
        <v>231017</v>
      </c>
    </row>
    <row r="24798" spans="1:15" x14ac:dyDescent="0.25">
      <c r="A24798" t="s">
        <v>16</v>
      </c>
      <c r="B24798" t="s">
        <v>3221</v>
      </c>
      <c r="C24798">
        <v>14204</v>
      </c>
      <c r="D24798" t="s">
        <v>655</v>
      </c>
      <c r="E24798" t="s">
        <v>656</v>
      </c>
      <c r="F24798">
        <v>524</v>
      </c>
      <c r="G24798">
        <v>231009</v>
      </c>
      <c r="H24798">
        <v>4600</v>
      </c>
      <c r="I24798" t="s">
        <v>105</v>
      </c>
      <c r="J24798">
        <v>649.76</v>
      </c>
      <c r="K24798">
        <v>125.76</v>
      </c>
      <c r="L24798">
        <v>46554</v>
      </c>
      <c r="M24798" t="s">
        <v>117</v>
      </c>
      <c r="N24798" t="str">
        <f>"31865       "</f>
        <v xml:space="preserve">31865       </v>
      </c>
      <c r="O24798">
        <v>231024</v>
      </c>
    </row>
    <row r="24799" spans="1:15" x14ac:dyDescent="0.25">
      <c r="A24799" t="s">
        <v>16</v>
      </c>
      <c r="B24799" t="s">
        <v>3221</v>
      </c>
      <c r="C24799">
        <v>14428</v>
      </c>
      <c r="D24799" t="s">
        <v>655</v>
      </c>
      <c r="E24799" t="s">
        <v>656</v>
      </c>
      <c r="F24799">
        <v>204</v>
      </c>
      <c r="G24799">
        <v>231023</v>
      </c>
      <c r="H24799">
        <v>4600</v>
      </c>
      <c r="I24799" t="s">
        <v>105</v>
      </c>
      <c r="J24799">
        <v>252.96</v>
      </c>
      <c r="K24799">
        <v>48.96</v>
      </c>
      <c r="L24799">
        <v>17527</v>
      </c>
      <c r="M24799" t="s">
        <v>422</v>
      </c>
      <c r="N24799" t="str">
        <f>"32033       "</f>
        <v xml:space="preserve">32033       </v>
      </c>
      <c r="O24799">
        <v>231030</v>
      </c>
    </row>
    <row r="24800" spans="1:15" x14ac:dyDescent="0.25">
      <c r="A24800" t="s">
        <v>16</v>
      </c>
      <c r="B24800" t="s">
        <v>3221</v>
      </c>
      <c r="C24800">
        <v>15564</v>
      </c>
      <c r="D24800" t="s">
        <v>655</v>
      </c>
      <c r="E24800" t="s">
        <v>656</v>
      </c>
      <c r="F24800">
        <v>597.9</v>
      </c>
      <c r="G24800">
        <v>231026</v>
      </c>
      <c r="H24800">
        <v>4600</v>
      </c>
      <c r="I24800" t="s">
        <v>105</v>
      </c>
      <c r="J24800">
        <v>741.4</v>
      </c>
      <c r="K24800">
        <v>143.5</v>
      </c>
      <c r="L24800">
        <v>44222</v>
      </c>
      <c r="M24800" t="s">
        <v>232</v>
      </c>
      <c r="N24800" t="str">
        <f>"32052       "</f>
        <v xml:space="preserve">32052       </v>
      </c>
      <c r="O24800">
        <v>231114</v>
      </c>
    </row>
    <row r="24801" spans="1:15" x14ac:dyDescent="0.25">
      <c r="A24801" t="s">
        <v>16</v>
      </c>
      <c r="B24801" t="s">
        <v>3221</v>
      </c>
      <c r="C24801">
        <v>18294</v>
      </c>
      <c r="D24801" t="s">
        <v>655</v>
      </c>
      <c r="E24801" t="s">
        <v>656</v>
      </c>
      <c r="F24801">
        <v>382</v>
      </c>
      <c r="G24801">
        <v>231221</v>
      </c>
      <c r="H24801">
        <v>4600</v>
      </c>
      <c r="I24801" t="s">
        <v>105</v>
      </c>
      <c r="J24801">
        <v>473.68</v>
      </c>
      <c r="K24801">
        <v>91.68</v>
      </c>
      <c r="L24801">
        <v>44222</v>
      </c>
      <c r="M24801" t="s">
        <v>232</v>
      </c>
      <c r="N24801" t="str">
        <f>"32759       "</f>
        <v xml:space="preserve">32759       </v>
      </c>
      <c r="O24801">
        <v>240102</v>
      </c>
    </row>
    <row r="24802" spans="1:15" x14ac:dyDescent="0.25">
      <c r="A24802" t="s">
        <v>16</v>
      </c>
      <c r="B24802" t="s">
        <v>3221</v>
      </c>
      <c r="C24802">
        <v>17540</v>
      </c>
      <c r="D24802" t="s">
        <v>655</v>
      </c>
      <c r="E24802" t="s">
        <v>656</v>
      </c>
      <c r="F24802">
        <v>145.77000000000001</v>
      </c>
      <c r="G24802">
        <v>231212</v>
      </c>
      <c r="H24802">
        <v>4550</v>
      </c>
      <c r="I24802" t="s">
        <v>312</v>
      </c>
      <c r="J24802">
        <v>180.76</v>
      </c>
      <c r="K24802">
        <v>34.99</v>
      </c>
      <c r="L24802">
        <v>67522</v>
      </c>
      <c r="M24802" t="s">
        <v>397</v>
      </c>
      <c r="N24802" t="str">
        <f>"32609       "</f>
        <v xml:space="preserve">32609       </v>
      </c>
      <c r="O24802">
        <v>231215</v>
      </c>
    </row>
    <row r="24803" spans="1:15" x14ac:dyDescent="0.25">
      <c r="A24803" t="s">
        <v>16</v>
      </c>
      <c r="B24803" t="s">
        <v>3221</v>
      </c>
      <c r="C24803">
        <v>2692</v>
      </c>
      <c r="D24803" t="s">
        <v>655</v>
      </c>
      <c r="E24803" t="s">
        <v>656</v>
      </c>
      <c r="F24803">
        <v>760</v>
      </c>
      <c r="G24803">
        <v>230223</v>
      </c>
      <c r="H24803">
        <v>4500</v>
      </c>
      <c r="I24803" t="s">
        <v>212</v>
      </c>
      <c r="J24803">
        <v>942.4</v>
      </c>
      <c r="K24803">
        <v>182.4</v>
      </c>
      <c r="L24803">
        <v>59701</v>
      </c>
      <c r="M24803" t="s">
        <v>297</v>
      </c>
      <c r="N24803" t="str">
        <f>"29705       "</f>
        <v xml:space="preserve">29705       </v>
      </c>
      <c r="O24803">
        <v>230307</v>
      </c>
    </row>
    <row r="24804" spans="1:15" x14ac:dyDescent="0.25">
      <c r="A24804" t="s">
        <v>16</v>
      </c>
      <c r="B24804" t="s">
        <v>3221</v>
      </c>
      <c r="C24804">
        <v>1860</v>
      </c>
      <c r="D24804" t="s">
        <v>655</v>
      </c>
      <c r="E24804" t="s">
        <v>656</v>
      </c>
      <c r="F24804">
        <v>258</v>
      </c>
      <c r="G24804">
        <v>230213</v>
      </c>
      <c r="H24804">
        <v>4530</v>
      </c>
      <c r="I24804" t="s">
        <v>342</v>
      </c>
      <c r="J24804">
        <v>319.92</v>
      </c>
      <c r="K24804">
        <v>61.92</v>
      </c>
      <c r="L24804">
        <v>67522</v>
      </c>
      <c r="M24804" t="s">
        <v>397</v>
      </c>
      <c r="N24804" t="str">
        <f>"29525       "</f>
        <v xml:space="preserve">29525       </v>
      </c>
      <c r="O24804">
        <v>230215</v>
      </c>
    </row>
    <row r="24805" spans="1:15" x14ac:dyDescent="0.25">
      <c r="A24805" t="s">
        <v>16</v>
      </c>
      <c r="B24805" t="s">
        <v>3221</v>
      </c>
      <c r="C24805">
        <v>2651</v>
      </c>
      <c r="D24805" t="s">
        <v>655</v>
      </c>
      <c r="E24805" t="s">
        <v>656</v>
      </c>
      <c r="F24805">
        <v>108</v>
      </c>
      <c r="G24805">
        <v>230223</v>
      </c>
      <c r="H24805">
        <v>4530</v>
      </c>
      <c r="I24805" t="s">
        <v>342</v>
      </c>
      <c r="J24805">
        <v>133.91999999999999</v>
      </c>
      <c r="K24805">
        <v>25.92</v>
      </c>
      <c r="L24805">
        <v>56565</v>
      </c>
      <c r="M24805" t="s">
        <v>758</v>
      </c>
      <c r="N24805" t="str">
        <f>"29703       "</f>
        <v xml:space="preserve">29703       </v>
      </c>
      <c r="O24805">
        <v>230306</v>
      </c>
    </row>
    <row r="24806" spans="1:15" x14ac:dyDescent="0.25">
      <c r="A24806" t="s">
        <v>16</v>
      </c>
      <c r="B24806" t="s">
        <v>3221</v>
      </c>
      <c r="C24806">
        <v>11688</v>
      </c>
      <c r="D24806" t="s">
        <v>655</v>
      </c>
      <c r="E24806" t="s">
        <v>656</v>
      </c>
      <c r="F24806">
        <v>490</v>
      </c>
      <c r="G24806">
        <v>230906</v>
      </c>
      <c r="H24806">
        <v>4530</v>
      </c>
      <c r="I24806" t="s">
        <v>342</v>
      </c>
      <c r="J24806">
        <v>607.6</v>
      </c>
      <c r="K24806">
        <v>117.6</v>
      </c>
      <c r="L24806">
        <v>17534</v>
      </c>
      <c r="M24806" t="s">
        <v>440</v>
      </c>
      <c r="N24806" t="str">
        <f>"31507       "</f>
        <v xml:space="preserve">31507       </v>
      </c>
      <c r="O24806">
        <v>230908</v>
      </c>
    </row>
    <row r="24807" spans="1:15" x14ac:dyDescent="0.25">
      <c r="A24807" t="s">
        <v>16</v>
      </c>
      <c r="B24807" t="s">
        <v>3221</v>
      </c>
      <c r="C24807">
        <v>12082</v>
      </c>
      <c r="D24807" t="s">
        <v>655</v>
      </c>
      <c r="E24807" t="s">
        <v>656</v>
      </c>
      <c r="F24807">
        <v>175.81</v>
      </c>
      <c r="G24807">
        <v>230912</v>
      </c>
      <c r="H24807">
        <v>4530</v>
      </c>
      <c r="I24807" t="s">
        <v>342</v>
      </c>
      <c r="J24807">
        <v>218</v>
      </c>
      <c r="K24807">
        <v>42.19</v>
      </c>
      <c r="L24807">
        <v>66754</v>
      </c>
      <c r="M24807" t="s">
        <v>239</v>
      </c>
      <c r="N24807" t="str">
        <f>"31569       "</f>
        <v xml:space="preserve">31569       </v>
      </c>
      <c r="O24807">
        <v>230913</v>
      </c>
    </row>
    <row r="24808" spans="1:15" x14ac:dyDescent="0.25">
      <c r="A24808" t="s">
        <v>16</v>
      </c>
      <c r="B24808" t="s">
        <v>3221</v>
      </c>
      <c r="C24808">
        <v>12082</v>
      </c>
      <c r="D24808" t="s">
        <v>655</v>
      </c>
      <c r="E24808" t="s">
        <v>656</v>
      </c>
      <c r="F24808">
        <v>382.19</v>
      </c>
      <c r="G24808">
        <v>230912</v>
      </c>
      <c r="H24808">
        <v>4530</v>
      </c>
      <c r="I24808" t="s">
        <v>342</v>
      </c>
      <c r="J24808">
        <v>473.92</v>
      </c>
      <c r="K24808">
        <v>91.73</v>
      </c>
      <c r="L24808">
        <v>66754</v>
      </c>
      <c r="M24808" t="s">
        <v>239</v>
      </c>
      <c r="N24808" t="str">
        <f>"31569       "</f>
        <v xml:space="preserve">31569       </v>
      </c>
      <c r="O24808">
        <v>230913</v>
      </c>
    </row>
    <row r="24809" spans="1:15" x14ac:dyDescent="0.25">
      <c r="A24809" t="s">
        <v>16</v>
      </c>
      <c r="B24809" t="s">
        <v>3221</v>
      </c>
      <c r="C24809">
        <v>12473</v>
      </c>
      <c r="D24809" t="s">
        <v>655</v>
      </c>
      <c r="E24809" t="s">
        <v>656</v>
      </c>
      <c r="F24809">
        <v>686.58</v>
      </c>
      <c r="G24809">
        <v>230906</v>
      </c>
      <c r="H24809">
        <v>4530</v>
      </c>
      <c r="I24809" t="s">
        <v>342</v>
      </c>
      <c r="J24809">
        <v>851.36</v>
      </c>
      <c r="K24809">
        <v>164.78</v>
      </c>
      <c r="L24809">
        <v>17527</v>
      </c>
      <c r="M24809" t="s">
        <v>422</v>
      </c>
      <c r="N24809" t="str">
        <f>"31513       "</f>
        <v xml:space="preserve">31513       </v>
      </c>
      <c r="O24809">
        <v>230920</v>
      </c>
    </row>
    <row r="24810" spans="1:15" x14ac:dyDescent="0.25">
      <c r="A24810" t="s">
        <v>16</v>
      </c>
      <c r="B24810" t="s">
        <v>3221</v>
      </c>
      <c r="C24810">
        <v>13958</v>
      </c>
      <c r="D24810" t="s">
        <v>655</v>
      </c>
      <c r="E24810" t="s">
        <v>656</v>
      </c>
      <c r="F24810">
        <v>668</v>
      </c>
      <c r="G24810">
        <v>231006</v>
      </c>
      <c r="H24810">
        <v>4530</v>
      </c>
      <c r="I24810" t="s">
        <v>342</v>
      </c>
      <c r="J24810">
        <v>828.32</v>
      </c>
      <c r="K24810">
        <v>160.32</v>
      </c>
      <c r="L24810">
        <v>17803</v>
      </c>
      <c r="M24810" t="s">
        <v>389</v>
      </c>
      <c r="N24810" t="str">
        <f>"31827       "</f>
        <v xml:space="preserve">31827       </v>
      </c>
      <c r="O24810">
        <v>231017</v>
      </c>
    </row>
    <row r="24811" spans="1:15" x14ac:dyDescent="0.25">
      <c r="A24811" t="s">
        <v>16</v>
      </c>
      <c r="B24811" t="s">
        <v>3221</v>
      </c>
      <c r="C24811">
        <v>14376</v>
      </c>
      <c r="D24811" t="s">
        <v>655</v>
      </c>
      <c r="E24811" t="s">
        <v>656</v>
      </c>
      <c r="F24811">
        <v>669</v>
      </c>
      <c r="G24811">
        <v>231019</v>
      </c>
      <c r="H24811">
        <v>4530</v>
      </c>
      <c r="I24811" t="s">
        <v>342</v>
      </c>
      <c r="J24811">
        <v>829.56</v>
      </c>
      <c r="K24811">
        <v>160.56</v>
      </c>
      <c r="L24811">
        <v>67522</v>
      </c>
      <c r="M24811" t="s">
        <v>397</v>
      </c>
      <c r="N24811" t="str">
        <f>"31939       "</f>
        <v xml:space="preserve">31939       </v>
      </c>
      <c r="O24811">
        <v>231030</v>
      </c>
    </row>
    <row r="24812" spans="1:15" x14ac:dyDescent="0.25">
      <c r="A24812" t="s">
        <v>16</v>
      </c>
      <c r="B24812" t="s">
        <v>3221</v>
      </c>
      <c r="C24812">
        <v>16012</v>
      </c>
      <c r="D24812" t="s">
        <v>655</v>
      </c>
      <c r="E24812" t="s">
        <v>656</v>
      </c>
      <c r="F24812">
        <v>166</v>
      </c>
      <c r="G24812">
        <v>231116</v>
      </c>
      <c r="H24812">
        <v>4530</v>
      </c>
      <c r="I24812" t="s">
        <v>342</v>
      </c>
      <c r="J24812">
        <v>205.84</v>
      </c>
      <c r="K24812">
        <v>39.840000000000003</v>
      </c>
      <c r="L24812">
        <v>17711</v>
      </c>
      <c r="M24812" t="s">
        <v>65</v>
      </c>
      <c r="N24812" t="str">
        <f>"32281       "</f>
        <v xml:space="preserve">32281       </v>
      </c>
      <c r="O24812">
        <v>231122</v>
      </c>
    </row>
    <row r="24813" spans="1:15" x14ac:dyDescent="0.25">
      <c r="A24813" t="s">
        <v>16</v>
      </c>
      <c r="B24813" t="s">
        <v>3221</v>
      </c>
      <c r="C24813">
        <v>17349</v>
      </c>
      <c r="D24813" t="s">
        <v>655</v>
      </c>
      <c r="E24813" t="s">
        <v>656</v>
      </c>
      <c r="F24813">
        <v>616.79999999999995</v>
      </c>
      <c r="G24813">
        <v>231123</v>
      </c>
      <c r="H24813">
        <v>4530</v>
      </c>
      <c r="I24813" t="s">
        <v>342</v>
      </c>
      <c r="J24813">
        <v>764.83</v>
      </c>
      <c r="K24813">
        <v>148.03</v>
      </c>
      <c r="L24813">
        <v>17521</v>
      </c>
      <c r="M24813" t="s">
        <v>133</v>
      </c>
      <c r="N24813" t="str">
        <f>"32388       "</f>
        <v xml:space="preserve">32388       </v>
      </c>
      <c r="O24813">
        <v>231213</v>
      </c>
    </row>
    <row r="24814" spans="1:15" x14ac:dyDescent="0.25">
      <c r="A24814" t="s">
        <v>16</v>
      </c>
      <c r="B24814" t="s">
        <v>3221</v>
      </c>
      <c r="C24814">
        <v>17540</v>
      </c>
      <c r="D24814" t="s">
        <v>655</v>
      </c>
      <c r="E24814" t="s">
        <v>656</v>
      </c>
      <c r="F24814">
        <v>153.22999999999999</v>
      </c>
      <c r="G24814">
        <v>231212</v>
      </c>
      <c r="H24814">
        <v>4530</v>
      </c>
      <c r="I24814" t="s">
        <v>342</v>
      </c>
      <c r="J24814">
        <v>190</v>
      </c>
      <c r="K24814">
        <v>36.770000000000003</v>
      </c>
      <c r="L24814">
        <v>67522</v>
      </c>
      <c r="M24814" t="s">
        <v>397</v>
      </c>
      <c r="N24814" t="str">
        <f>"32609       "</f>
        <v xml:space="preserve">32609       </v>
      </c>
      <c r="O24814">
        <v>231215</v>
      </c>
    </row>
    <row r="24815" spans="1:15" x14ac:dyDescent="0.25">
      <c r="A24815" t="s">
        <v>16</v>
      </c>
      <c r="B24815" t="s">
        <v>3221</v>
      </c>
      <c r="C24815">
        <v>18232</v>
      </c>
      <c r="D24815" t="s">
        <v>655</v>
      </c>
      <c r="E24815" t="s">
        <v>656</v>
      </c>
      <c r="F24815">
        <v>248</v>
      </c>
      <c r="G24815">
        <v>231220</v>
      </c>
      <c r="H24815">
        <v>4530</v>
      </c>
      <c r="I24815" t="s">
        <v>342</v>
      </c>
      <c r="J24815">
        <v>307.52</v>
      </c>
      <c r="K24815">
        <v>59.52</v>
      </c>
      <c r="L24815">
        <v>17804</v>
      </c>
      <c r="M24815" t="s">
        <v>549</v>
      </c>
      <c r="N24815" t="str">
        <f>"32741       "</f>
        <v xml:space="preserve">32741       </v>
      </c>
      <c r="O24815">
        <v>240102</v>
      </c>
    </row>
    <row r="24816" spans="1:15" x14ac:dyDescent="0.25">
      <c r="A24816" t="s">
        <v>16</v>
      </c>
      <c r="B24816" t="s">
        <v>3221</v>
      </c>
      <c r="C24816">
        <v>17577</v>
      </c>
      <c r="D24816" t="s">
        <v>3075</v>
      </c>
      <c r="E24816" t="s">
        <v>3076</v>
      </c>
      <c r="F24816">
        <v>707.28</v>
      </c>
      <c r="G24816">
        <v>231130</v>
      </c>
      <c r="H24816">
        <v>4410</v>
      </c>
      <c r="I24816" t="s">
        <v>517</v>
      </c>
      <c r="J24816">
        <v>806.3</v>
      </c>
      <c r="K24816">
        <v>99.02</v>
      </c>
      <c r="L24816">
        <v>18972</v>
      </c>
      <c r="M24816" t="s">
        <v>163</v>
      </c>
      <c r="N24816" t="str">
        <f>"12772       "</f>
        <v xml:space="preserve">12772       </v>
      </c>
      <c r="O24816">
        <v>231215</v>
      </c>
    </row>
    <row r="24817" spans="1:15" x14ac:dyDescent="0.25">
      <c r="A24817" t="s">
        <v>16</v>
      </c>
      <c r="B24817" t="s">
        <v>3221</v>
      </c>
      <c r="C24817">
        <v>4007</v>
      </c>
      <c r="D24817" t="s">
        <v>1647</v>
      </c>
      <c r="E24817" t="s">
        <v>1648</v>
      </c>
      <c r="F24817">
        <v>388.03</v>
      </c>
      <c r="G24817">
        <v>230327</v>
      </c>
      <c r="H24817">
        <v>4580</v>
      </c>
      <c r="I24817" t="s">
        <v>35</v>
      </c>
      <c r="J24817">
        <v>481.16</v>
      </c>
      <c r="K24817">
        <v>93.13</v>
      </c>
      <c r="L24817">
        <v>46557</v>
      </c>
      <c r="M24817" t="s">
        <v>221</v>
      </c>
      <c r="N24817" t="str">
        <f>"970132054   "</f>
        <v xml:space="preserve">970132054   </v>
      </c>
      <c r="O24817">
        <v>230329</v>
      </c>
    </row>
    <row r="24818" spans="1:15" x14ac:dyDescent="0.25">
      <c r="A24818" t="s">
        <v>16</v>
      </c>
      <c r="B24818" t="s">
        <v>3221</v>
      </c>
      <c r="C24818">
        <v>15780</v>
      </c>
      <c r="D24818" t="s">
        <v>1647</v>
      </c>
      <c r="E24818" t="s">
        <v>1648</v>
      </c>
      <c r="F24818">
        <v>1033.3599999999999</v>
      </c>
      <c r="G24818">
        <v>231106</v>
      </c>
      <c r="H24818">
        <v>4400</v>
      </c>
      <c r="I24818" t="s">
        <v>348</v>
      </c>
      <c r="J24818">
        <v>1281.3699999999999</v>
      </c>
      <c r="K24818">
        <v>248.01</v>
      </c>
      <c r="L24818">
        <v>56560</v>
      </c>
      <c r="M24818" t="s">
        <v>654</v>
      </c>
      <c r="N24818" t="str">
        <f>"130170      "</f>
        <v xml:space="preserve">130170      </v>
      </c>
      <c r="O24818">
        <v>231117</v>
      </c>
    </row>
    <row r="24819" spans="1:15" x14ac:dyDescent="0.25">
      <c r="A24819" t="s">
        <v>16</v>
      </c>
      <c r="B24819" t="s">
        <v>3221</v>
      </c>
      <c r="C24819">
        <v>934</v>
      </c>
      <c r="D24819" t="s">
        <v>804</v>
      </c>
      <c r="E24819" t="s">
        <v>805</v>
      </c>
      <c r="F24819">
        <v>1281.6400000000001</v>
      </c>
      <c r="G24819">
        <v>230131</v>
      </c>
      <c r="H24819">
        <v>4362</v>
      </c>
      <c r="I24819" t="s">
        <v>79</v>
      </c>
      <c r="J24819">
        <v>1589.23</v>
      </c>
      <c r="K24819">
        <v>307.58999999999997</v>
      </c>
      <c r="L24819">
        <v>13801</v>
      </c>
      <c r="M24819" t="s">
        <v>162</v>
      </c>
      <c r="N24819" t="str">
        <f>"14595       "</f>
        <v xml:space="preserve">14595       </v>
      </c>
      <c r="O24819">
        <v>230201</v>
      </c>
    </row>
    <row r="24820" spans="1:15" x14ac:dyDescent="0.25">
      <c r="A24820" t="s">
        <v>16</v>
      </c>
      <c r="B24820" t="s">
        <v>3221</v>
      </c>
      <c r="C24820">
        <v>6564</v>
      </c>
      <c r="D24820" t="s">
        <v>804</v>
      </c>
      <c r="E24820" t="s">
        <v>805</v>
      </c>
      <c r="F24820">
        <v>1627.42</v>
      </c>
      <c r="G24820">
        <v>230508</v>
      </c>
      <c r="H24820">
        <v>4362</v>
      </c>
      <c r="I24820" t="s">
        <v>79</v>
      </c>
      <c r="J24820">
        <v>2018</v>
      </c>
      <c r="K24820">
        <v>390.58</v>
      </c>
      <c r="L24820">
        <v>13801</v>
      </c>
      <c r="M24820" t="s">
        <v>162</v>
      </c>
      <c r="N24820" t="str">
        <f>"14867       "</f>
        <v xml:space="preserve">14867       </v>
      </c>
      <c r="O24820">
        <v>230515</v>
      </c>
    </row>
    <row r="24821" spans="1:15" x14ac:dyDescent="0.25">
      <c r="A24821" t="s">
        <v>16</v>
      </c>
      <c r="B24821" t="s">
        <v>3221</v>
      </c>
      <c r="C24821">
        <v>10019</v>
      </c>
      <c r="D24821" t="s">
        <v>804</v>
      </c>
      <c r="E24821" t="s">
        <v>805</v>
      </c>
      <c r="F24821">
        <v>1281.6400000000001</v>
      </c>
      <c r="G24821">
        <v>230731</v>
      </c>
      <c r="H24821">
        <v>4362</v>
      </c>
      <c r="I24821" t="s">
        <v>79</v>
      </c>
      <c r="J24821">
        <v>1589.23</v>
      </c>
      <c r="K24821">
        <v>307.58999999999997</v>
      </c>
      <c r="L24821">
        <v>13801</v>
      </c>
      <c r="M24821" t="s">
        <v>162</v>
      </c>
      <c r="N24821" t="str">
        <f>"15193       "</f>
        <v xml:space="preserve">15193       </v>
      </c>
      <c r="O24821">
        <v>230807</v>
      </c>
    </row>
    <row r="24822" spans="1:15" x14ac:dyDescent="0.25">
      <c r="A24822" t="s">
        <v>16</v>
      </c>
      <c r="B24822" t="s">
        <v>3221</v>
      </c>
      <c r="C24822">
        <v>14881</v>
      </c>
      <c r="D24822" t="s">
        <v>804</v>
      </c>
      <c r="E24822" t="s">
        <v>805</v>
      </c>
      <c r="F24822">
        <v>1489.54</v>
      </c>
      <c r="G24822">
        <v>231031</v>
      </c>
      <c r="H24822">
        <v>4362</v>
      </c>
      <c r="I24822" t="s">
        <v>79</v>
      </c>
      <c r="J24822">
        <v>1847.03</v>
      </c>
      <c r="K24822">
        <v>357.49</v>
      </c>
      <c r="L24822">
        <v>13801</v>
      </c>
      <c r="M24822" t="s">
        <v>162</v>
      </c>
      <c r="N24822" t="str">
        <f>"15480       "</f>
        <v xml:space="preserve">15480       </v>
      </c>
      <c r="O24822">
        <v>231107</v>
      </c>
    </row>
    <row r="24823" spans="1:15" x14ac:dyDescent="0.25">
      <c r="A24823" t="s">
        <v>16</v>
      </c>
      <c r="B24823" t="s">
        <v>3221</v>
      </c>
      <c r="C24823">
        <v>16811</v>
      </c>
      <c r="D24823" t="s">
        <v>804</v>
      </c>
      <c r="E24823" t="s">
        <v>805</v>
      </c>
      <c r="F24823">
        <v>165.24</v>
      </c>
      <c r="G24823">
        <v>231130</v>
      </c>
      <c r="H24823">
        <v>4362</v>
      </c>
      <c r="I24823" t="s">
        <v>79</v>
      </c>
      <c r="J24823">
        <v>204.9</v>
      </c>
      <c r="K24823">
        <v>39.659999999999997</v>
      </c>
      <c r="L24823">
        <v>13801</v>
      </c>
      <c r="M24823" t="s">
        <v>162</v>
      </c>
      <c r="N24823" t="str">
        <f>"15655       "</f>
        <v xml:space="preserve">15655       </v>
      </c>
      <c r="O24823">
        <v>231211</v>
      </c>
    </row>
    <row r="24824" spans="1:15" x14ac:dyDescent="0.25">
      <c r="A24824" t="s">
        <v>16</v>
      </c>
      <c r="B24824" t="s">
        <v>3221</v>
      </c>
      <c r="C24824">
        <v>18635</v>
      </c>
      <c r="D24824" t="s">
        <v>804</v>
      </c>
      <c r="E24824" t="s">
        <v>805</v>
      </c>
      <c r="F24824">
        <v>18.36</v>
      </c>
      <c r="G24824">
        <v>231229</v>
      </c>
      <c r="H24824">
        <v>4362</v>
      </c>
      <c r="I24824" t="s">
        <v>79</v>
      </c>
      <c r="J24824">
        <v>22.77</v>
      </c>
      <c r="K24824">
        <v>4.41</v>
      </c>
      <c r="L24824">
        <v>13801</v>
      </c>
      <c r="M24824" t="s">
        <v>162</v>
      </c>
      <c r="N24824" t="str">
        <f>"15867       "</f>
        <v xml:space="preserve">15867       </v>
      </c>
      <c r="O24824">
        <v>240104</v>
      </c>
    </row>
    <row r="24825" spans="1:15" x14ac:dyDescent="0.25">
      <c r="A24825" t="s">
        <v>16</v>
      </c>
      <c r="B24825" t="s">
        <v>3221</v>
      </c>
      <c r="C24825">
        <v>8900</v>
      </c>
      <c r="D24825" t="s">
        <v>804</v>
      </c>
      <c r="E24825" t="s">
        <v>805</v>
      </c>
      <c r="F24825">
        <v>1016</v>
      </c>
      <c r="G24825">
        <v>230616</v>
      </c>
      <c r="H24825">
        <v>4441</v>
      </c>
      <c r="I24825" t="s">
        <v>109</v>
      </c>
      <c r="J24825">
        <v>1259.8399999999999</v>
      </c>
      <c r="K24825">
        <v>243.84</v>
      </c>
      <c r="L24825">
        <v>13861</v>
      </c>
      <c r="M24825" t="s">
        <v>1143</v>
      </c>
      <c r="N24825" t="str">
        <f>"15005       "</f>
        <v xml:space="preserve">15005       </v>
      </c>
      <c r="O24825">
        <v>230619</v>
      </c>
    </row>
    <row r="24826" spans="1:15" x14ac:dyDescent="0.25">
      <c r="A24826" t="s">
        <v>16</v>
      </c>
      <c r="B24826" t="s">
        <v>3221</v>
      </c>
      <c r="C24826">
        <v>16811</v>
      </c>
      <c r="D24826" t="s">
        <v>804</v>
      </c>
      <c r="E24826" t="s">
        <v>805</v>
      </c>
      <c r="F24826">
        <v>50</v>
      </c>
      <c r="G24826">
        <v>231130</v>
      </c>
      <c r="H24826">
        <v>4441</v>
      </c>
      <c r="I24826" t="s">
        <v>109</v>
      </c>
      <c r="J24826">
        <v>62</v>
      </c>
      <c r="K24826">
        <v>12</v>
      </c>
      <c r="L24826">
        <v>13801</v>
      </c>
      <c r="M24826" t="s">
        <v>162</v>
      </c>
      <c r="N24826" t="str">
        <f>"15655       "</f>
        <v xml:space="preserve">15655       </v>
      </c>
      <c r="O24826">
        <v>231211</v>
      </c>
    </row>
    <row r="24827" spans="1:15" x14ac:dyDescent="0.25">
      <c r="A24827" t="s">
        <v>16</v>
      </c>
      <c r="B24827" t="s">
        <v>3221</v>
      </c>
      <c r="C24827">
        <v>5792</v>
      </c>
      <c r="D24827" t="s">
        <v>1904</v>
      </c>
      <c r="E24827" t="s">
        <v>1905</v>
      </c>
      <c r="F24827">
        <v>489.29</v>
      </c>
      <c r="G24827">
        <v>230418</v>
      </c>
      <c r="H24827">
        <v>4600</v>
      </c>
      <c r="I24827" t="s">
        <v>105</v>
      </c>
      <c r="J24827">
        <v>606.72</v>
      </c>
      <c r="K24827">
        <v>117.43</v>
      </c>
      <c r="L24827">
        <v>49501</v>
      </c>
      <c r="M24827" t="s">
        <v>177</v>
      </c>
      <c r="N24827" t="str">
        <f>"98033994    "</f>
        <v xml:space="preserve">98033994    </v>
      </c>
      <c r="O24827">
        <v>230503</v>
      </c>
    </row>
    <row r="24828" spans="1:15" x14ac:dyDescent="0.25">
      <c r="A24828" t="s">
        <v>16</v>
      </c>
      <c r="B24828" t="s">
        <v>3221</v>
      </c>
      <c r="C24828">
        <v>378</v>
      </c>
      <c r="D24828" t="s">
        <v>503</v>
      </c>
      <c r="E24828" t="s">
        <v>504</v>
      </c>
      <c r="F24828">
        <v>231</v>
      </c>
      <c r="G24828">
        <v>230113</v>
      </c>
      <c r="H24828">
        <v>4580</v>
      </c>
      <c r="I24828" t="s">
        <v>35</v>
      </c>
      <c r="J24828">
        <v>286.44</v>
      </c>
      <c r="K24828">
        <v>55.44</v>
      </c>
      <c r="L24828">
        <v>49501</v>
      </c>
      <c r="M24828" t="s">
        <v>177</v>
      </c>
      <c r="N24828" t="str">
        <f>"192264      "</f>
        <v xml:space="preserve">192264      </v>
      </c>
      <c r="O24828">
        <v>230119</v>
      </c>
    </row>
    <row r="24829" spans="1:15" x14ac:dyDescent="0.25">
      <c r="A24829" t="s">
        <v>16</v>
      </c>
      <c r="B24829" t="s">
        <v>3221</v>
      </c>
      <c r="C24829">
        <v>12654</v>
      </c>
      <c r="D24829" t="s">
        <v>503</v>
      </c>
      <c r="E24829" t="s">
        <v>504</v>
      </c>
      <c r="F24829">
        <v>1070.3</v>
      </c>
      <c r="G24829">
        <v>230914</v>
      </c>
      <c r="H24829">
        <v>4580</v>
      </c>
      <c r="I24829" t="s">
        <v>35</v>
      </c>
      <c r="J24829">
        <v>1327.17</v>
      </c>
      <c r="K24829">
        <v>256.87</v>
      </c>
      <c r="L24829">
        <v>49501</v>
      </c>
      <c r="M24829" t="s">
        <v>177</v>
      </c>
      <c r="N24829" t="str">
        <f>"195414      "</f>
        <v xml:space="preserve">195414      </v>
      </c>
      <c r="O24829">
        <v>230922</v>
      </c>
    </row>
    <row r="24830" spans="1:15" x14ac:dyDescent="0.25">
      <c r="A24830" t="s">
        <v>16</v>
      </c>
      <c r="B24830" t="s">
        <v>3221</v>
      </c>
      <c r="C24830">
        <v>2432</v>
      </c>
      <c r="D24830" t="s">
        <v>503</v>
      </c>
      <c r="E24830" t="s">
        <v>504</v>
      </c>
      <c r="F24830">
        <v>98.2</v>
      </c>
      <c r="G24830">
        <v>230215</v>
      </c>
      <c r="H24830">
        <v>4600</v>
      </c>
      <c r="I24830" t="s">
        <v>105</v>
      </c>
      <c r="J24830">
        <v>121.77</v>
      </c>
      <c r="K24830">
        <v>23.57</v>
      </c>
      <c r="L24830">
        <v>49501</v>
      </c>
      <c r="M24830" t="s">
        <v>177</v>
      </c>
      <c r="N24830" t="str">
        <f>"192668      "</f>
        <v xml:space="preserve">192668      </v>
      </c>
      <c r="O24830">
        <v>230227</v>
      </c>
    </row>
    <row r="24831" spans="1:15" x14ac:dyDescent="0.25">
      <c r="A24831" t="s">
        <v>16</v>
      </c>
      <c r="B24831" t="s">
        <v>3221</v>
      </c>
      <c r="C24831">
        <v>12741</v>
      </c>
      <c r="D24831" t="s">
        <v>503</v>
      </c>
      <c r="E24831" t="s">
        <v>504</v>
      </c>
      <c r="F24831">
        <v>138.80000000000001</v>
      </c>
      <c r="G24831">
        <v>230920</v>
      </c>
      <c r="H24831">
        <v>4600</v>
      </c>
      <c r="I24831" t="s">
        <v>105</v>
      </c>
      <c r="J24831">
        <v>172.11</v>
      </c>
      <c r="K24831">
        <v>33.31</v>
      </c>
      <c r="L24831">
        <v>47522</v>
      </c>
      <c r="M24831" t="s">
        <v>410</v>
      </c>
      <c r="N24831" t="str">
        <f>"195541      "</f>
        <v xml:space="preserve">195541      </v>
      </c>
      <c r="O24831">
        <v>230925</v>
      </c>
    </row>
    <row r="24832" spans="1:15" x14ac:dyDescent="0.25">
      <c r="A24832" t="s">
        <v>16</v>
      </c>
      <c r="B24832" t="s">
        <v>3221</v>
      </c>
      <c r="C24832">
        <v>12031</v>
      </c>
      <c r="D24832" t="s">
        <v>2535</v>
      </c>
      <c r="E24832" t="s">
        <v>2536</v>
      </c>
      <c r="F24832">
        <v>133.33000000000001</v>
      </c>
      <c r="G24832">
        <v>230831</v>
      </c>
      <c r="H24832">
        <v>4341</v>
      </c>
      <c r="I24832" t="s">
        <v>32</v>
      </c>
      <c r="J24832">
        <v>165.33</v>
      </c>
      <c r="K24832">
        <v>32</v>
      </c>
      <c r="L24832">
        <v>11801</v>
      </c>
      <c r="M24832" t="s">
        <v>92</v>
      </c>
      <c r="N24832" t="str">
        <f>"271         "</f>
        <v xml:space="preserve">271         </v>
      </c>
      <c r="O24832">
        <v>230913</v>
      </c>
    </row>
    <row r="24833" spans="1:15" x14ac:dyDescent="0.25">
      <c r="A24833" t="s">
        <v>16</v>
      </c>
      <c r="B24833" t="s">
        <v>3221</v>
      </c>
      <c r="C24833">
        <v>10427</v>
      </c>
      <c r="D24833" t="s">
        <v>2224</v>
      </c>
      <c r="E24833" t="s">
        <v>2225</v>
      </c>
      <c r="F24833">
        <v>41.92</v>
      </c>
      <c r="G24833">
        <v>230810</v>
      </c>
      <c r="H24833">
        <v>4534</v>
      </c>
      <c r="I24833" t="s">
        <v>273</v>
      </c>
      <c r="J24833">
        <v>51.98</v>
      </c>
      <c r="K24833">
        <v>10.06</v>
      </c>
      <c r="L24833">
        <v>69702</v>
      </c>
      <c r="M24833" t="s">
        <v>489</v>
      </c>
      <c r="N24833" t="str">
        <f>"5992068     "</f>
        <v xml:space="preserve">5992068     </v>
      </c>
      <c r="O24833">
        <v>230815</v>
      </c>
    </row>
    <row r="24834" spans="1:15" x14ac:dyDescent="0.25">
      <c r="A24834" t="s">
        <v>16</v>
      </c>
      <c r="B24834" t="s">
        <v>3221</v>
      </c>
      <c r="C24834">
        <v>10504</v>
      </c>
      <c r="D24834" t="s">
        <v>2224</v>
      </c>
      <c r="E24834" t="s">
        <v>2225</v>
      </c>
      <c r="F24834">
        <v>30.02</v>
      </c>
      <c r="G24834">
        <v>230809</v>
      </c>
      <c r="H24834">
        <v>4534</v>
      </c>
      <c r="I24834" t="s">
        <v>273</v>
      </c>
      <c r="J24834">
        <v>37.22</v>
      </c>
      <c r="K24834">
        <v>7.2</v>
      </c>
      <c r="L24834">
        <v>54222</v>
      </c>
      <c r="M24834" t="s">
        <v>308</v>
      </c>
      <c r="N24834" t="str">
        <f>"5991868     "</f>
        <v xml:space="preserve">5991868     </v>
      </c>
      <c r="O24834">
        <v>230817</v>
      </c>
    </row>
    <row r="24835" spans="1:15" x14ac:dyDescent="0.25">
      <c r="A24835" t="s">
        <v>16</v>
      </c>
      <c r="B24835" t="s">
        <v>3221</v>
      </c>
      <c r="C24835">
        <v>10507</v>
      </c>
      <c r="D24835" t="s">
        <v>2224</v>
      </c>
      <c r="E24835" t="s">
        <v>2225</v>
      </c>
      <c r="F24835">
        <v>226.56</v>
      </c>
      <c r="G24835">
        <v>230811</v>
      </c>
      <c r="H24835">
        <v>4534</v>
      </c>
      <c r="I24835" t="s">
        <v>273</v>
      </c>
      <c r="J24835">
        <v>280.93</v>
      </c>
      <c r="K24835">
        <v>54.37</v>
      </c>
      <c r="L24835">
        <v>17808</v>
      </c>
      <c r="M24835" t="s">
        <v>322</v>
      </c>
      <c r="N24835" t="str">
        <f>"5992322     "</f>
        <v xml:space="preserve">5992322     </v>
      </c>
      <c r="O24835">
        <v>230817</v>
      </c>
    </row>
    <row r="24836" spans="1:15" x14ac:dyDescent="0.25">
      <c r="A24836" t="s">
        <v>16</v>
      </c>
      <c r="B24836" t="s">
        <v>3221</v>
      </c>
      <c r="C24836">
        <v>10732</v>
      </c>
      <c r="D24836" t="s">
        <v>2224</v>
      </c>
      <c r="E24836" t="s">
        <v>2225</v>
      </c>
      <c r="F24836">
        <v>21.4</v>
      </c>
      <c r="G24836">
        <v>230815</v>
      </c>
      <c r="H24836">
        <v>4534</v>
      </c>
      <c r="I24836" t="s">
        <v>273</v>
      </c>
      <c r="J24836">
        <v>26.54</v>
      </c>
      <c r="K24836">
        <v>5.14</v>
      </c>
      <c r="L24836">
        <v>54222</v>
      </c>
      <c r="M24836" t="s">
        <v>308</v>
      </c>
      <c r="N24836" t="str">
        <f>"5992911     "</f>
        <v xml:space="preserve">5992911     </v>
      </c>
      <c r="O24836">
        <v>230822</v>
      </c>
    </row>
    <row r="24837" spans="1:15" x14ac:dyDescent="0.25">
      <c r="A24837" t="s">
        <v>16</v>
      </c>
      <c r="B24837" t="s">
        <v>3221</v>
      </c>
      <c r="C24837">
        <v>11638</v>
      </c>
      <c r="D24837" t="s">
        <v>2224</v>
      </c>
      <c r="E24837" t="s">
        <v>2225</v>
      </c>
      <c r="F24837">
        <v>29.82</v>
      </c>
      <c r="G24837">
        <v>230901</v>
      </c>
      <c r="H24837">
        <v>4534</v>
      </c>
      <c r="I24837" t="s">
        <v>273</v>
      </c>
      <c r="J24837">
        <v>36.979999999999997</v>
      </c>
      <c r="K24837">
        <v>7.16</v>
      </c>
      <c r="L24837">
        <v>69704</v>
      </c>
      <c r="M24837" t="s">
        <v>325</v>
      </c>
      <c r="N24837" t="str">
        <f>"5997878     "</f>
        <v xml:space="preserve">5997878     </v>
      </c>
      <c r="O24837">
        <v>230907</v>
      </c>
    </row>
    <row r="24838" spans="1:15" x14ac:dyDescent="0.25">
      <c r="A24838" t="s">
        <v>16</v>
      </c>
      <c r="B24838" t="s">
        <v>3221</v>
      </c>
      <c r="C24838">
        <v>12539</v>
      </c>
      <c r="D24838" t="s">
        <v>2224</v>
      </c>
      <c r="E24838" t="s">
        <v>2225</v>
      </c>
      <c r="F24838">
        <v>35.97</v>
      </c>
      <c r="G24838">
        <v>230914</v>
      </c>
      <c r="H24838">
        <v>4534</v>
      </c>
      <c r="I24838" t="s">
        <v>273</v>
      </c>
      <c r="J24838">
        <v>44.6</v>
      </c>
      <c r="K24838">
        <v>8.6300000000000008</v>
      </c>
      <c r="L24838">
        <v>56524</v>
      </c>
      <c r="M24838" t="s">
        <v>150</v>
      </c>
      <c r="N24838" t="str">
        <f>"5999905     "</f>
        <v xml:space="preserve">5999905     </v>
      </c>
      <c r="O24838">
        <v>230920</v>
      </c>
    </row>
    <row r="24839" spans="1:15" x14ac:dyDescent="0.25">
      <c r="A24839" t="s">
        <v>16</v>
      </c>
      <c r="B24839" t="s">
        <v>3221</v>
      </c>
      <c r="C24839">
        <v>13368</v>
      </c>
      <c r="D24839" t="s">
        <v>2224</v>
      </c>
      <c r="E24839" t="s">
        <v>2225</v>
      </c>
      <c r="F24839">
        <v>26.12</v>
      </c>
      <c r="G24839">
        <v>231003</v>
      </c>
      <c r="H24839">
        <v>4534</v>
      </c>
      <c r="I24839" t="s">
        <v>273</v>
      </c>
      <c r="J24839">
        <v>32.39</v>
      </c>
      <c r="K24839">
        <v>6.27</v>
      </c>
      <c r="L24839">
        <v>56522</v>
      </c>
      <c r="M24839" t="s">
        <v>43</v>
      </c>
      <c r="N24839" t="str">
        <f>"6004830     "</f>
        <v xml:space="preserve">6004830     </v>
      </c>
      <c r="O24839">
        <v>231009</v>
      </c>
    </row>
    <row r="24840" spans="1:15" x14ac:dyDescent="0.25">
      <c r="A24840" t="s">
        <v>16</v>
      </c>
      <c r="B24840" t="s">
        <v>3221</v>
      </c>
      <c r="C24840">
        <v>13368</v>
      </c>
      <c r="D24840" t="s">
        <v>2224</v>
      </c>
      <c r="E24840" t="s">
        <v>2225</v>
      </c>
      <c r="F24840">
        <v>26.12</v>
      </c>
      <c r="G24840">
        <v>231003</v>
      </c>
      <c r="H24840">
        <v>4534</v>
      </c>
      <c r="I24840" t="s">
        <v>273</v>
      </c>
      <c r="J24840">
        <v>32.39</v>
      </c>
      <c r="K24840">
        <v>6.27</v>
      </c>
      <c r="L24840">
        <v>56561</v>
      </c>
      <c r="M24840" t="s">
        <v>358</v>
      </c>
      <c r="N24840" t="str">
        <f>"6004830     "</f>
        <v xml:space="preserve">6004830     </v>
      </c>
      <c r="O24840">
        <v>231009</v>
      </c>
    </row>
    <row r="24841" spans="1:15" x14ac:dyDescent="0.25">
      <c r="A24841" t="s">
        <v>16</v>
      </c>
      <c r="B24841" t="s">
        <v>3221</v>
      </c>
      <c r="C24841">
        <v>13368</v>
      </c>
      <c r="D24841" t="s">
        <v>2224</v>
      </c>
      <c r="E24841" t="s">
        <v>2225</v>
      </c>
      <c r="F24841">
        <v>52.24</v>
      </c>
      <c r="G24841">
        <v>231003</v>
      </c>
      <c r="H24841">
        <v>4534</v>
      </c>
      <c r="I24841" t="s">
        <v>273</v>
      </c>
      <c r="J24841">
        <v>64.78</v>
      </c>
      <c r="K24841">
        <v>12.54</v>
      </c>
      <c r="L24841">
        <v>56562</v>
      </c>
      <c r="M24841" t="s">
        <v>126</v>
      </c>
      <c r="N24841" t="str">
        <f>"6004830     "</f>
        <v xml:space="preserve">6004830     </v>
      </c>
      <c r="O24841">
        <v>231009</v>
      </c>
    </row>
    <row r="24842" spans="1:15" x14ac:dyDescent="0.25">
      <c r="A24842" t="s">
        <v>16</v>
      </c>
      <c r="B24842" t="s">
        <v>3221</v>
      </c>
      <c r="C24842">
        <v>13368</v>
      </c>
      <c r="D24842" t="s">
        <v>2224</v>
      </c>
      <c r="E24842" t="s">
        <v>2225</v>
      </c>
      <c r="F24842">
        <v>38.08</v>
      </c>
      <c r="G24842">
        <v>231003</v>
      </c>
      <c r="H24842">
        <v>4534</v>
      </c>
      <c r="I24842" t="s">
        <v>273</v>
      </c>
      <c r="J24842">
        <v>47.22</v>
      </c>
      <c r="K24842">
        <v>9.14</v>
      </c>
      <c r="L24842">
        <v>59702</v>
      </c>
      <c r="M24842" t="s">
        <v>328</v>
      </c>
      <c r="N24842" t="str">
        <f>"6004830     "</f>
        <v xml:space="preserve">6004830     </v>
      </c>
      <c r="O24842">
        <v>231009</v>
      </c>
    </row>
    <row r="24843" spans="1:15" x14ac:dyDescent="0.25">
      <c r="A24843" t="s">
        <v>16</v>
      </c>
      <c r="B24843" t="s">
        <v>3221</v>
      </c>
      <c r="C24843">
        <v>13495</v>
      </c>
      <c r="D24843" t="s">
        <v>2224</v>
      </c>
      <c r="E24843" t="s">
        <v>2225</v>
      </c>
      <c r="F24843">
        <v>222.44</v>
      </c>
      <c r="G24843">
        <v>230929</v>
      </c>
      <c r="H24843">
        <v>4534</v>
      </c>
      <c r="I24843" t="s">
        <v>273</v>
      </c>
      <c r="J24843">
        <v>275.82</v>
      </c>
      <c r="K24843">
        <v>53.38</v>
      </c>
      <c r="L24843">
        <v>56564</v>
      </c>
      <c r="M24843" t="s">
        <v>327</v>
      </c>
      <c r="N24843" t="str">
        <f>"6004124     "</f>
        <v xml:space="preserve">6004124     </v>
      </c>
      <c r="O24843">
        <v>231010</v>
      </c>
    </row>
    <row r="24844" spans="1:15" x14ac:dyDescent="0.25">
      <c r="A24844" t="s">
        <v>16</v>
      </c>
      <c r="B24844" t="s">
        <v>3221</v>
      </c>
      <c r="C24844">
        <v>13495</v>
      </c>
      <c r="D24844" t="s">
        <v>2224</v>
      </c>
      <c r="E24844" t="s">
        <v>2225</v>
      </c>
      <c r="F24844">
        <v>9</v>
      </c>
      <c r="G24844">
        <v>230929</v>
      </c>
      <c r="H24844">
        <v>4534</v>
      </c>
      <c r="I24844" t="s">
        <v>273</v>
      </c>
      <c r="J24844">
        <v>11.16</v>
      </c>
      <c r="K24844">
        <v>2.16</v>
      </c>
      <c r="L24844">
        <v>59702</v>
      </c>
      <c r="M24844" t="s">
        <v>328</v>
      </c>
      <c r="N24844" t="str">
        <f>"6004124     "</f>
        <v xml:space="preserve">6004124     </v>
      </c>
      <c r="O24844">
        <v>231010</v>
      </c>
    </row>
    <row r="24845" spans="1:15" x14ac:dyDescent="0.25">
      <c r="A24845" t="s">
        <v>16</v>
      </c>
      <c r="B24845" t="s">
        <v>3221</v>
      </c>
      <c r="C24845">
        <v>14739</v>
      </c>
      <c r="D24845" t="s">
        <v>2224</v>
      </c>
      <c r="E24845" t="s">
        <v>2225</v>
      </c>
      <c r="F24845">
        <v>10.48</v>
      </c>
      <c r="G24845">
        <v>231026</v>
      </c>
      <c r="H24845">
        <v>4534</v>
      </c>
      <c r="I24845" t="s">
        <v>273</v>
      </c>
      <c r="J24845">
        <v>13</v>
      </c>
      <c r="K24845">
        <v>2.52</v>
      </c>
      <c r="L24845">
        <v>17711</v>
      </c>
      <c r="M24845" t="s">
        <v>65</v>
      </c>
      <c r="N24845" t="str">
        <f>"6009025     "</f>
        <v xml:space="preserve">6009025     </v>
      </c>
      <c r="O24845">
        <v>231101</v>
      </c>
    </row>
    <row r="24846" spans="1:15" x14ac:dyDescent="0.25">
      <c r="A24846" t="s">
        <v>16</v>
      </c>
      <c r="B24846" t="s">
        <v>3221</v>
      </c>
      <c r="C24846">
        <v>9173</v>
      </c>
      <c r="D24846" t="s">
        <v>2224</v>
      </c>
      <c r="E24846" t="s">
        <v>2225</v>
      </c>
      <c r="F24846">
        <v>45.93</v>
      </c>
      <c r="G24846">
        <v>230613</v>
      </c>
      <c r="H24846">
        <v>4580</v>
      </c>
      <c r="I24846" t="s">
        <v>35</v>
      </c>
      <c r="J24846">
        <v>56.95</v>
      </c>
      <c r="K24846">
        <v>11.02</v>
      </c>
      <c r="L24846">
        <v>43222</v>
      </c>
      <c r="M24846" t="s">
        <v>507</v>
      </c>
      <c r="N24846" t="str">
        <f>"5982080     "</f>
        <v xml:space="preserve">5982080     </v>
      </c>
      <c r="O24846">
        <v>230629</v>
      </c>
    </row>
    <row r="24847" spans="1:15" x14ac:dyDescent="0.25">
      <c r="A24847" t="s">
        <v>16</v>
      </c>
      <c r="B24847" t="s">
        <v>3221</v>
      </c>
      <c r="C24847">
        <v>9173</v>
      </c>
      <c r="D24847" t="s">
        <v>2224</v>
      </c>
      <c r="E24847" t="s">
        <v>2225</v>
      </c>
      <c r="F24847">
        <v>8.23</v>
      </c>
      <c r="G24847">
        <v>230613</v>
      </c>
      <c r="H24847">
        <v>4580</v>
      </c>
      <c r="I24847" t="s">
        <v>35</v>
      </c>
      <c r="J24847">
        <v>10.210000000000001</v>
      </c>
      <c r="K24847">
        <v>1.98</v>
      </c>
      <c r="L24847">
        <v>46222</v>
      </c>
      <c r="M24847" t="s">
        <v>293</v>
      </c>
      <c r="N24847" t="str">
        <f>"5982080     "</f>
        <v xml:space="preserve">5982080     </v>
      </c>
      <c r="O24847">
        <v>230629</v>
      </c>
    </row>
    <row r="24848" spans="1:15" x14ac:dyDescent="0.25">
      <c r="A24848" t="s">
        <v>16</v>
      </c>
      <c r="B24848" t="s">
        <v>3221</v>
      </c>
      <c r="C24848">
        <v>10363</v>
      </c>
      <c r="D24848" t="s">
        <v>2224</v>
      </c>
      <c r="E24848" t="s">
        <v>2225</v>
      </c>
      <c r="F24848">
        <v>79.790000000000006</v>
      </c>
      <c r="G24848">
        <v>230807</v>
      </c>
      <c r="H24848">
        <v>4580</v>
      </c>
      <c r="I24848" t="s">
        <v>35</v>
      </c>
      <c r="J24848">
        <v>98.94</v>
      </c>
      <c r="K24848">
        <v>19.149999999999999</v>
      </c>
      <c r="L24848">
        <v>13401</v>
      </c>
      <c r="M24848" t="s">
        <v>80</v>
      </c>
      <c r="N24848" t="str">
        <f>"5991468     "</f>
        <v xml:space="preserve">5991468     </v>
      </c>
      <c r="O24848">
        <v>230814</v>
      </c>
    </row>
    <row r="24849" spans="1:15" x14ac:dyDescent="0.25">
      <c r="A24849" t="s">
        <v>16</v>
      </c>
      <c r="B24849" t="s">
        <v>3221</v>
      </c>
      <c r="C24849">
        <v>12799</v>
      </c>
      <c r="D24849" t="s">
        <v>2224</v>
      </c>
      <c r="E24849" t="s">
        <v>2225</v>
      </c>
      <c r="F24849">
        <v>10.9</v>
      </c>
      <c r="G24849">
        <v>230921</v>
      </c>
      <c r="H24849">
        <v>4580</v>
      </c>
      <c r="I24849" t="s">
        <v>35</v>
      </c>
      <c r="J24849">
        <v>13.52</v>
      </c>
      <c r="K24849">
        <v>2.62</v>
      </c>
      <c r="L24849">
        <v>69501</v>
      </c>
      <c r="M24849" t="s">
        <v>185</v>
      </c>
      <c r="N24849" t="str">
        <f>"6001149     "</f>
        <v xml:space="preserve">6001149     </v>
      </c>
      <c r="O24849">
        <v>230926</v>
      </c>
    </row>
    <row r="24850" spans="1:15" x14ac:dyDescent="0.25">
      <c r="A24850" t="s">
        <v>16</v>
      </c>
      <c r="B24850" t="s">
        <v>3221</v>
      </c>
      <c r="C24850">
        <v>16145</v>
      </c>
      <c r="D24850" t="s">
        <v>2224</v>
      </c>
      <c r="E24850" t="s">
        <v>2225</v>
      </c>
      <c r="F24850">
        <v>54.68</v>
      </c>
      <c r="G24850">
        <v>231121</v>
      </c>
      <c r="H24850">
        <v>4580</v>
      </c>
      <c r="I24850" t="s">
        <v>35</v>
      </c>
      <c r="J24850">
        <v>67.8</v>
      </c>
      <c r="K24850">
        <v>13.12</v>
      </c>
      <c r="L24850">
        <v>17533</v>
      </c>
      <c r="M24850" t="s">
        <v>990</v>
      </c>
      <c r="N24850" t="str">
        <f>"2003405     "</f>
        <v xml:space="preserve">2003405     </v>
      </c>
      <c r="O24850">
        <v>231123</v>
      </c>
    </row>
    <row r="24851" spans="1:15" x14ac:dyDescent="0.25">
      <c r="A24851" t="s">
        <v>16</v>
      </c>
      <c r="B24851" t="s">
        <v>3221</v>
      </c>
      <c r="C24851">
        <v>16149</v>
      </c>
      <c r="D24851" t="s">
        <v>2224</v>
      </c>
      <c r="E24851" t="s">
        <v>2225</v>
      </c>
      <c r="F24851">
        <v>110.64</v>
      </c>
      <c r="G24851">
        <v>231122</v>
      </c>
      <c r="H24851">
        <v>4580</v>
      </c>
      <c r="I24851" t="s">
        <v>35</v>
      </c>
      <c r="J24851">
        <v>137.19</v>
      </c>
      <c r="K24851">
        <v>26.55</v>
      </c>
      <c r="L24851">
        <v>17533</v>
      </c>
      <c r="M24851" t="s">
        <v>990</v>
      </c>
      <c r="N24851" t="str">
        <f>"2003968     "</f>
        <v xml:space="preserve">2003968     </v>
      </c>
      <c r="O24851">
        <v>231123</v>
      </c>
    </row>
    <row r="24852" spans="1:15" x14ac:dyDescent="0.25">
      <c r="A24852" t="s">
        <v>16</v>
      </c>
      <c r="B24852" t="s">
        <v>3221</v>
      </c>
      <c r="C24852">
        <v>18385</v>
      </c>
      <c r="D24852" t="s">
        <v>2224</v>
      </c>
      <c r="E24852" t="s">
        <v>2225</v>
      </c>
      <c r="F24852">
        <v>138.24</v>
      </c>
      <c r="G24852">
        <v>231211</v>
      </c>
      <c r="H24852">
        <v>4580</v>
      </c>
      <c r="I24852" t="s">
        <v>35</v>
      </c>
      <c r="J24852">
        <v>171.42</v>
      </c>
      <c r="K24852">
        <v>33.18</v>
      </c>
      <c r="L24852">
        <v>41126</v>
      </c>
      <c r="M24852" t="s">
        <v>761</v>
      </c>
      <c r="N24852" t="str">
        <f>"2013506     "</f>
        <v xml:space="preserve">2013506     </v>
      </c>
      <c r="O24852">
        <v>240103</v>
      </c>
    </row>
    <row r="24853" spans="1:15" x14ac:dyDescent="0.25">
      <c r="A24853" t="s">
        <v>16</v>
      </c>
      <c r="B24853" t="s">
        <v>3221</v>
      </c>
      <c r="C24853">
        <v>18385</v>
      </c>
      <c r="D24853" t="s">
        <v>2224</v>
      </c>
      <c r="E24853" t="s">
        <v>2225</v>
      </c>
      <c r="F24853">
        <v>138.22999999999999</v>
      </c>
      <c r="G24853">
        <v>231211</v>
      </c>
      <c r="H24853">
        <v>4580</v>
      </c>
      <c r="I24853" t="s">
        <v>35</v>
      </c>
      <c r="J24853">
        <v>171.41</v>
      </c>
      <c r="K24853">
        <v>33.18</v>
      </c>
      <c r="L24853">
        <v>43222</v>
      </c>
      <c r="M24853" t="s">
        <v>507</v>
      </c>
      <c r="N24853" t="str">
        <f>"2013506     "</f>
        <v xml:space="preserve">2013506     </v>
      </c>
      <c r="O24853">
        <v>240103</v>
      </c>
    </row>
    <row r="24854" spans="1:15" x14ac:dyDescent="0.25">
      <c r="A24854" t="s">
        <v>16</v>
      </c>
      <c r="B24854" t="s">
        <v>3221</v>
      </c>
      <c r="C24854">
        <v>18385</v>
      </c>
      <c r="D24854" t="s">
        <v>2224</v>
      </c>
      <c r="E24854" t="s">
        <v>2225</v>
      </c>
      <c r="F24854">
        <v>138.22999999999999</v>
      </c>
      <c r="G24854">
        <v>231211</v>
      </c>
      <c r="H24854">
        <v>4580</v>
      </c>
      <c r="I24854" t="s">
        <v>35</v>
      </c>
      <c r="J24854">
        <v>171.41</v>
      </c>
      <c r="K24854">
        <v>33.18</v>
      </c>
      <c r="L24854">
        <v>44424</v>
      </c>
      <c r="M24854" t="s">
        <v>776</v>
      </c>
      <c r="N24854" t="str">
        <f>"2013506     "</f>
        <v xml:space="preserve">2013506     </v>
      </c>
      <c r="O24854">
        <v>240103</v>
      </c>
    </row>
    <row r="24855" spans="1:15" x14ac:dyDescent="0.25">
      <c r="A24855" t="s">
        <v>16</v>
      </c>
      <c r="B24855" t="s">
        <v>3221</v>
      </c>
      <c r="C24855">
        <v>15754</v>
      </c>
      <c r="D24855" t="s">
        <v>2224</v>
      </c>
      <c r="E24855" t="s">
        <v>2225</v>
      </c>
      <c r="F24855">
        <v>20</v>
      </c>
      <c r="G24855">
        <v>231116</v>
      </c>
      <c r="H24855">
        <v>4420</v>
      </c>
      <c r="I24855" t="s">
        <v>132</v>
      </c>
      <c r="J24855">
        <v>24.8</v>
      </c>
      <c r="K24855">
        <v>4.8</v>
      </c>
      <c r="L24855">
        <v>17972</v>
      </c>
      <c r="M24855" t="s">
        <v>248</v>
      </c>
      <c r="N24855" t="str">
        <f>"2001803     "</f>
        <v xml:space="preserve">2001803     </v>
      </c>
      <c r="O24855">
        <v>231116</v>
      </c>
    </row>
    <row r="24856" spans="1:15" x14ac:dyDescent="0.25">
      <c r="A24856" t="s">
        <v>16</v>
      </c>
      <c r="B24856" t="s">
        <v>3221</v>
      </c>
      <c r="C24856">
        <v>10427</v>
      </c>
      <c r="D24856" t="s">
        <v>2224</v>
      </c>
      <c r="E24856" t="s">
        <v>2225</v>
      </c>
      <c r="F24856">
        <v>91.7</v>
      </c>
      <c r="G24856">
        <v>230810</v>
      </c>
      <c r="H24856">
        <v>4600</v>
      </c>
      <c r="I24856" t="s">
        <v>105</v>
      </c>
      <c r="J24856">
        <v>113.71</v>
      </c>
      <c r="K24856">
        <v>22.01</v>
      </c>
      <c r="L24856">
        <v>66754</v>
      </c>
      <c r="M24856" t="s">
        <v>239</v>
      </c>
      <c r="N24856" t="str">
        <f>"5992068     "</f>
        <v xml:space="preserve">5992068     </v>
      </c>
      <c r="O24856">
        <v>230815</v>
      </c>
    </row>
    <row r="24857" spans="1:15" x14ac:dyDescent="0.25">
      <c r="A24857" t="s">
        <v>16</v>
      </c>
      <c r="B24857" t="s">
        <v>3221</v>
      </c>
      <c r="C24857">
        <v>10427</v>
      </c>
      <c r="D24857" t="s">
        <v>2224</v>
      </c>
      <c r="E24857" t="s">
        <v>2225</v>
      </c>
      <c r="F24857">
        <v>54.9</v>
      </c>
      <c r="G24857">
        <v>230810</v>
      </c>
      <c r="H24857">
        <v>4600</v>
      </c>
      <c r="I24857" t="s">
        <v>105</v>
      </c>
      <c r="J24857">
        <v>68.08</v>
      </c>
      <c r="K24857">
        <v>13.18</v>
      </c>
      <c r="L24857">
        <v>67554</v>
      </c>
      <c r="M24857" t="s">
        <v>60</v>
      </c>
      <c r="N24857" t="str">
        <f>"5992068     "</f>
        <v xml:space="preserve">5992068     </v>
      </c>
      <c r="O24857">
        <v>230815</v>
      </c>
    </row>
    <row r="24858" spans="1:15" x14ac:dyDescent="0.25">
      <c r="A24858" t="s">
        <v>16</v>
      </c>
      <c r="B24858" t="s">
        <v>3221</v>
      </c>
      <c r="C24858">
        <v>10735</v>
      </c>
      <c r="D24858" t="s">
        <v>2224</v>
      </c>
      <c r="E24858" t="s">
        <v>2225</v>
      </c>
      <c r="F24858">
        <v>22.81</v>
      </c>
      <c r="G24858">
        <v>230815</v>
      </c>
      <c r="H24858">
        <v>4600</v>
      </c>
      <c r="I24858" t="s">
        <v>105</v>
      </c>
      <c r="J24858">
        <v>28.28</v>
      </c>
      <c r="K24858">
        <v>5.47</v>
      </c>
      <c r="L24858">
        <v>46556</v>
      </c>
      <c r="M24858" t="s">
        <v>125</v>
      </c>
      <c r="N24858" t="str">
        <f>"5992910     "</f>
        <v xml:space="preserve">5992910     </v>
      </c>
      <c r="O24858">
        <v>230822</v>
      </c>
    </row>
    <row r="24859" spans="1:15" x14ac:dyDescent="0.25">
      <c r="A24859" t="s">
        <v>16</v>
      </c>
      <c r="B24859" t="s">
        <v>3221</v>
      </c>
      <c r="C24859">
        <v>10735</v>
      </c>
      <c r="D24859" t="s">
        <v>2224</v>
      </c>
      <c r="E24859" t="s">
        <v>2225</v>
      </c>
      <c r="F24859">
        <v>22.81</v>
      </c>
      <c r="G24859">
        <v>230815</v>
      </c>
      <c r="H24859">
        <v>4600</v>
      </c>
      <c r="I24859" t="s">
        <v>105</v>
      </c>
      <c r="J24859">
        <v>28.28</v>
      </c>
      <c r="K24859">
        <v>5.47</v>
      </c>
      <c r="L24859">
        <v>46557</v>
      </c>
      <c r="M24859" t="s">
        <v>221</v>
      </c>
      <c r="N24859" t="str">
        <f>"5992910     "</f>
        <v xml:space="preserve">5992910     </v>
      </c>
      <c r="O24859">
        <v>230822</v>
      </c>
    </row>
    <row r="24860" spans="1:15" x14ac:dyDescent="0.25">
      <c r="A24860" t="s">
        <v>16</v>
      </c>
      <c r="B24860" t="s">
        <v>3221</v>
      </c>
      <c r="C24860">
        <v>10735</v>
      </c>
      <c r="D24860" t="s">
        <v>2224</v>
      </c>
      <c r="E24860" t="s">
        <v>2225</v>
      </c>
      <c r="F24860">
        <v>78.44</v>
      </c>
      <c r="G24860">
        <v>230815</v>
      </c>
      <c r="H24860">
        <v>4600</v>
      </c>
      <c r="I24860" t="s">
        <v>105</v>
      </c>
      <c r="J24860">
        <v>97.26</v>
      </c>
      <c r="K24860">
        <v>18.82</v>
      </c>
      <c r="L24860">
        <v>49702</v>
      </c>
      <c r="M24860" t="s">
        <v>584</v>
      </c>
      <c r="N24860" t="str">
        <f>"5992910     "</f>
        <v xml:space="preserve">5992910     </v>
      </c>
      <c r="O24860">
        <v>230822</v>
      </c>
    </row>
    <row r="24861" spans="1:15" x14ac:dyDescent="0.25">
      <c r="A24861" t="s">
        <v>16</v>
      </c>
      <c r="B24861" t="s">
        <v>3221</v>
      </c>
      <c r="C24861">
        <v>10735</v>
      </c>
      <c r="D24861" t="s">
        <v>2224</v>
      </c>
      <c r="E24861" t="s">
        <v>2225</v>
      </c>
      <c r="F24861">
        <v>20.399999999999999</v>
      </c>
      <c r="G24861">
        <v>230815</v>
      </c>
      <c r="H24861">
        <v>4600</v>
      </c>
      <c r="I24861" t="s">
        <v>105</v>
      </c>
      <c r="J24861">
        <v>25.3</v>
      </c>
      <c r="K24861">
        <v>4.9000000000000004</v>
      </c>
      <c r="L24861">
        <v>49705</v>
      </c>
      <c r="M24861" t="s">
        <v>575</v>
      </c>
      <c r="N24861" t="str">
        <f>"5992910     "</f>
        <v xml:space="preserve">5992910     </v>
      </c>
      <c r="O24861">
        <v>230822</v>
      </c>
    </row>
    <row r="24862" spans="1:15" x14ac:dyDescent="0.25">
      <c r="A24862" t="s">
        <v>16</v>
      </c>
      <c r="B24862" t="s">
        <v>3221</v>
      </c>
      <c r="C24862">
        <v>15722</v>
      </c>
      <c r="D24862" t="s">
        <v>2224</v>
      </c>
      <c r="E24862" t="s">
        <v>2225</v>
      </c>
      <c r="F24862">
        <v>12.88</v>
      </c>
      <c r="G24862">
        <v>231114</v>
      </c>
      <c r="H24862">
        <v>4600</v>
      </c>
      <c r="I24862" t="s">
        <v>105</v>
      </c>
      <c r="J24862">
        <v>15.97</v>
      </c>
      <c r="K24862">
        <v>3.09</v>
      </c>
      <c r="L24862">
        <v>17971</v>
      </c>
      <c r="M24862" t="s">
        <v>138</v>
      </c>
      <c r="N24862" t="str">
        <f>"2000765     "</f>
        <v xml:space="preserve">2000765     </v>
      </c>
      <c r="O24862">
        <v>231116</v>
      </c>
    </row>
    <row r="24863" spans="1:15" x14ac:dyDescent="0.25">
      <c r="A24863" t="s">
        <v>16</v>
      </c>
      <c r="B24863" t="s">
        <v>3221</v>
      </c>
      <c r="C24863">
        <v>15752</v>
      </c>
      <c r="D24863" t="s">
        <v>2224</v>
      </c>
      <c r="E24863" t="s">
        <v>2225</v>
      </c>
      <c r="F24863">
        <v>7.38</v>
      </c>
      <c r="G24863">
        <v>231115</v>
      </c>
      <c r="H24863">
        <v>4600</v>
      </c>
      <c r="I24863" t="s">
        <v>105</v>
      </c>
      <c r="J24863">
        <v>9.15</v>
      </c>
      <c r="K24863">
        <v>1.77</v>
      </c>
      <c r="L24863">
        <v>17972</v>
      </c>
      <c r="M24863" t="s">
        <v>248</v>
      </c>
      <c r="N24863" t="str">
        <f>"2001230     "</f>
        <v xml:space="preserve">2001230     </v>
      </c>
      <c r="O24863">
        <v>231116</v>
      </c>
    </row>
    <row r="24864" spans="1:15" x14ac:dyDescent="0.25">
      <c r="A24864" t="s">
        <v>16</v>
      </c>
      <c r="B24864" t="s">
        <v>3221</v>
      </c>
      <c r="C24864">
        <v>16140</v>
      </c>
      <c r="D24864" t="s">
        <v>2224</v>
      </c>
      <c r="E24864" t="s">
        <v>2225</v>
      </c>
      <c r="F24864">
        <v>15.9</v>
      </c>
      <c r="G24864">
        <v>231117</v>
      </c>
      <c r="H24864">
        <v>4600</v>
      </c>
      <c r="I24864" t="s">
        <v>105</v>
      </c>
      <c r="J24864">
        <v>19.72</v>
      </c>
      <c r="K24864">
        <v>3.82</v>
      </c>
      <c r="L24864">
        <v>69702</v>
      </c>
      <c r="M24864" t="s">
        <v>489</v>
      </c>
      <c r="N24864" t="str">
        <f>"2002238     "</f>
        <v xml:space="preserve">2002238     </v>
      </c>
      <c r="O24864">
        <v>231123</v>
      </c>
    </row>
    <row r="24865" spans="1:15" x14ac:dyDescent="0.25">
      <c r="A24865" t="s">
        <v>16</v>
      </c>
      <c r="B24865" t="s">
        <v>3221</v>
      </c>
      <c r="C24865">
        <v>17277</v>
      </c>
      <c r="D24865" t="s">
        <v>2224</v>
      </c>
      <c r="E24865" t="s">
        <v>2225</v>
      </c>
      <c r="F24865">
        <v>168.27</v>
      </c>
      <c r="G24865">
        <v>231204</v>
      </c>
      <c r="H24865">
        <v>4600</v>
      </c>
      <c r="I24865" t="s">
        <v>105</v>
      </c>
      <c r="J24865">
        <v>208.66</v>
      </c>
      <c r="K24865">
        <v>40.39</v>
      </c>
      <c r="L24865">
        <v>14952</v>
      </c>
      <c r="M24865" t="s">
        <v>99</v>
      </c>
      <c r="N24865" t="str">
        <f>"2011142     "</f>
        <v xml:space="preserve">2011142     </v>
      </c>
      <c r="O24865">
        <v>231212</v>
      </c>
    </row>
    <row r="24866" spans="1:15" x14ac:dyDescent="0.25">
      <c r="A24866" t="s">
        <v>16</v>
      </c>
      <c r="B24866" t="s">
        <v>3221</v>
      </c>
      <c r="C24866">
        <v>18388</v>
      </c>
      <c r="D24866" t="s">
        <v>2224</v>
      </c>
      <c r="E24866" t="s">
        <v>2225</v>
      </c>
      <c r="F24866">
        <v>8.68</v>
      </c>
      <c r="G24866">
        <v>231212</v>
      </c>
      <c r="H24866">
        <v>4600</v>
      </c>
      <c r="I24866" t="s">
        <v>105</v>
      </c>
      <c r="J24866">
        <v>10.76</v>
      </c>
      <c r="K24866">
        <v>2.08</v>
      </c>
      <c r="L24866">
        <v>14972</v>
      </c>
      <c r="M24866" t="s">
        <v>898</v>
      </c>
      <c r="N24866" t="str">
        <f>"2014647     "</f>
        <v xml:space="preserve">2014647     </v>
      </c>
      <c r="O24866">
        <v>240103</v>
      </c>
    </row>
    <row r="24867" spans="1:15" x14ac:dyDescent="0.25">
      <c r="A24867" t="s">
        <v>16</v>
      </c>
      <c r="B24867" t="s">
        <v>3221</v>
      </c>
      <c r="C24867">
        <v>18596</v>
      </c>
      <c r="D24867" t="s">
        <v>2224</v>
      </c>
      <c r="E24867" t="s">
        <v>2225</v>
      </c>
      <c r="F24867">
        <v>46.67</v>
      </c>
      <c r="G24867">
        <v>231215</v>
      </c>
      <c r="H24867">
        <v>4600</v>
      </c>
      <c r="I24867" t="s">
        <v>105</v>
      </c>
      <c r="J24867">
        <v>57.87</v>
      </c>
      <c r="K24867">
        <v>11.2</v>
      </c>
      <c r="L24867">
        <v>66754</v>
      </c>
      <c r="M24867" t="s">
        <v>239</v>
      </c>
      <c r="N24867" t="str">
        <f>"2016459     "</f>
        <v xml:space="preserve">2016459     </v>
      </c>
      <c r="O24867">
        <v>240104</v>
      </c>
    </row>
    <row r="24868" spans="1:15" x14ac:dyDescent="0.25">
      <c r="A24868" t="s">
        <v>16</v>
      </c>
      <c r="B24868" t="s">
        <v>3221</v>
      </c>
      <c r="C24868">
        <v>12409</v>
      </c>
      <c r="D24868" t="s">
        <v>2224</v>
      </c>
      <c r="E24868" t="s">
        <v>2225</v>
      </c>
      <c r="F24868">
        <v>10</v>
      </c>
      <c r="G24868">
        <v>230907</v>
      </c>
      <c r="H24868">
        <v>4364</v>
      </c>
      <c r="I24868" t="s">
        <v>296</v>
      </c>
      <c r="J24868">
        <v>12.4</v>
      </c>
      <c r="K24868">
        <v>2.4</v>
      </c>
      <c r="L24868">
        <v>17538</v>
      </c>
      <c r="M24868" t="s">
        <v>24</v>
      </c>
      <c r="N24868" t="str">
        <f>"5998691     "</f>
        <v xml:space="preserve">5998691     </v>
      </c>
      <c r="O24868">
        <v>230919</v>
      </c>
    </row>
    <row r="24869" spans="1:15" x14ac:dyDescent="0.25">
      <c r="A24869" t="s">
        <v>16</v>
      </c>
      <c r="B24869" t="s">
        <v>3221</v>
      </c>
      <c r="C24869">
        <v>14739</v>
      </c>
      <c r="D24869" t="s">
        <v>2224</v>
      </c>
      <c r="E24869" t="s">
        <v>2225</v>
      </c>
      <c r="F24869">
        <v>30</v>
      </c>
      <c r="G24869">
        <v>231026</v>
      </c>
      <c r="H24869">
        <v>4364</v>
      </c>
      <c r="I24869" t="s">
        <v>296</v>
      </c>
      <c r="J24869">
        <v>37.200000000000003</v>
      </c>
      <c r="K24869">
        <v>7.2</v>
      </c>
      <c r="L24869">
        <v>17971</v>
      </c>
      <c r="M24869" t="s">
        <v>138</v>
      </c>
      <c r="N24869" t="str">
        <f>"6009025     "</f>
        <v xml:space="preserve">6009025     </v>
      </c>
      <c r="O24869">
        <v>231101</v>
      </c>
    </row>
    <row r="24870" spans="1:15" x14ac:dyDescent="0.25">
      <c r="A24870" t="s">
        <v>16</v>
      </c>
      <c r="B24870" t="s">
        <v>3221</v>
      </c>
      <c r="C24870">
        <v>16143</v>
      </c>
      <c r="D24870" t="s">
        <v>2224</v>
      </c>
      <c r="E24870" t="s">
        <v>2225</v>
      </c>
      <c r="F24870">
        <v>10</v>
      </c>
      <c r="G24870">
        <v>231121</v>
      </c>
      <c r="H24870">
        <v>4364</v>
      </c>
      <c r="I24870" t="s">
        <v>296</v>
      </c>
      <c r="J24870">
        <v>12.4</v>
      </c>
      <c r="K24870">
        <v>2.4</v>
      </c>
      <c r="L24870">
        <v>17971</v>
      </c>
      <c r="M24870" t="s">
        <v>138</v>
      </c>
      <c r="N24870" t="str">
        <f>"2003406     "</f>
        <v xml:space="preserve">2003406     </v>
      </c>
      <c r="O24870">
        <v>231123</v>
      </c>
    </row>
    <row r="24871" spans="1:15" x14ac:dyDescent="0.25">
      <c r="A24871" t="s">
        <v>16</v>
      </c>
      <c r="B24871" t="s">
        <v>3221</v>
      </c>
      <c r="C24871">
        <v>16145</v>
      </c>
      <c r="D24871" t="s">
        <v>2224</v>
      </c>
      <c r="E24871" t="s">
        <v>2225</v>
      </c>
      <c r="F24871">
        <v>10</v>
      </c>
      <c r="G24871">
        <v>231121</v>
      </c>
      <c r="H24871">
        <v>4364</v>
      </c>
      <c r="I24871" t="s">
        <v>296</v>
      </c>
      <c r="J24871">
        <v>12.4</v>
      </c>
      <c r="K24871">
        <v>2.4</v>
      </c>
      <c r="L24871">
        <v>17533</v>
      </c>
      <c r="M24871" t="s">
        <v>990</v>
      </c>
      <c r="N24871" t="str">
        <f>"2003405     "</f>
        <v xml:space="preserve">2003405     </v>
      </c>
      <c r="O24871">
        <v>231123</v>
      </c>
    </row>
    <row r="24872" spans="1:15" x14ac:dyDescent="0.25">
      <c r="A24872" t="s">
        <v>16</v>
      </c>
      <c r="B24872" t="s">
        <v>3221</v>
      </c>
      <c r="C24872">
        <v>16448</v>
      </c>
      <c r="D24872" t="s">
        <v>2224</v>
      </c>
      <c r="E24872" t="s">
        <v>2225</v>
      </c>
      <c r="F24872">
        <v>10</v>
      </c>
      <c r="G24872">
        <v>231127</v>
      </c>
      <c r="H24872">
        <v>4364</v>
      </c>
      <c r="I24872" t="s">
        <v>296</v>
      </c>
      <c r="J24872">
        <v>12.4</v>
      </c>
      <c r="K24872">
        <v>2.4</v>
      </c>
      <c r="L24872">
        <v>59702</v>
      </c>
      <c r="M24872" t="s">
        <v>328</v>
      </c>
      <c r="N24872" t="str">
        <f>"2005624     "</f>
        <v xml:space="preserve">2005624     </v>
      </c>
      <c r="O24872">
        <v>231129</v>
      </c>
    </row>
    <row r="24873" spans="1:15" x14ac:dyDescent="0.25">
      <c r="A24873" t="s">
        <v>16</v>
      </c>
      <c r="B24873" t="s">
        <v>3221</v>
      </c>
      <c r="C24873">
        <v>9175</v>
      </c>
      <c r="D24873" t="s">
        <v>2224</v>
      </c>
      <c r="E24873" t="s">
        <v>2225</v>
      </c>
      <c r="F24873">
        <v>38.75</v>
      </c>
      <c r="G24873">
        <v>230621</v>
      </c>
      <c r="H24873">
        <v>4550</v>
      </c>
      <c r="I24873" t="s">
        <v>312</v>
      </c>
      <c r="J24873">
        <v>48.05</v>
      </c>
      <c r="K24873">
        <v>9.3000000000000007</v>
      </c>
      <c r="L24873">
        <v>17950</v>
      </c>
      <c r="M24873" t="s">
        <v>86</v>
      </c>
      <c r="N24873" t="str">
        <f>"5983415     "</f>
        <v xml:space="preserve">5983415     </v>
      </c>
      <c r="O24873">
        <v>230629</v>
      </c>
    </row>
    <row r="24874" spans="1:15" x14ac:dyDescent="0.25">
      <c r="A24874" t="s">
        <v>16</v>
      </c>
      <c r="B24874" t="s">
        <v>3221</v>
      </c>
      <c r="C24874">
        <v>10126</v>
      </c>
      <c r="D24874" t="s">
        <v>2224</v>
      </c>
      <c r="E24874" t="s">
        <v>2225</v>
      </c>
      <c r="F24874">
        <v>7.92</v>
      </c>
      <c r="G24874">
        <v>230717</v>
      </c>
      <c r="H24874">
        <v>4550</v>
      </c>
      <c r="I24874" t="s">
        <v>312</v>
      </c>
      <c r="J24874">
        <v>9.82</v>
      </c>
      <c r="K24874">
        <v>1.9</v>
      </c>
      <c r="L24874">
        <v>13540</v>
      </c>
      <c r="M24874" t="s">
        <v>85</v>
      </c>
      <c r="N24874" t="str">
        <f>"5987818     "</f>
        <v xml:space="preserve">5987818     </v>
      </c>
      <c r="O24874">
        <v>230808</v>
      </c>
    </row>
    <row r="24875" spans="1:15" x14ac:dyDescent="0.25">
      <c r="A24875" t="s">
        <v>16</v>
      </c>
      <c r="B24875" t="s">
        <v>3221</v>
      </c>
      <c r="C24875">
        <v>10126</v>
      </c>
      <c r="D24875" t="s">
        <v>2224</v>
      </c>
      <c r="E24875" t="s">
        <v>2225</v>
      </c>
      <c r="F24875">
        <v>54</v>
      </c>
      <c r="G24875">
        <v>230717</v>
      </c>
      <c r="H24875">
        <v>4550</v>
      </c>
      <c r="I24875" t="s">
        <v>312</v>
      </c>
      <c r="J24875">
        <v>66.959999999999994</v>
      </c>
      <c r="K24875">
        <v>12.96</v>
      </c>
      <c r="L24875">
        <v>17950</v>
      </c>
      <c r="M24875" t="s">
        <v>86</v>
      </c>
      <c r="N24875" t="str">
        <f>"5987818     "</f>
        <v xml:space="preserve">5987818     </v>
      </c>
      <c r="O24875">
        <v>230808</v>
      </c>
    </row>
    <row r="24876" spans="1:15" x14ac:dyDescent="0.25">
      <c r="A24876" t="s">
        <v>16</v>
      </c>
      <c r="B24876" t="s">
        <v>3221</v>
      </c>
      <c r="C24876">
        <v>10126</v>
      </c>
      <c r="D24876" t="s">
        <v>2224</v>
      </c>
      <c r="E24876" t="s">
        <v>2225</v>
      </c>
      <c r="F24876">
        <v>10.08</v>
      </c>
      <c r="G24876">
        <v>230717</v>
      </c>
      <c r="H24876">
        <v>4550</v>
      </c>
      <c r="I24876" t="s">
        <v>312</v>
      </c>
      <c r="J24876">
        <v>12.5</v>
      </c>
      <c r="K24876">
        <v>2.42</v>
      </c>
      <c r="L24876">
        <v>17956</v>
      </c>
      <c r="M24876" t="s">
        <v>53</v>
      </c>
      <c r="N24876" t="str">
        <f>"5987818     "</f>
        <v xml:space="preserve">5987818     </v>
      </c>
      <c r="O24876">
        <v>230808</v>
      </c>
    </row>
    <row r="24877" spans="1:15" x14ac:dyDescent="0.25">
      <c r="A24877" t="s">
        <v>16</v>
      </c>
      <c r="B24877" t="s">
        <v>3221</v>
      </c>
      <c r="C24877">
        <v>8873</v>
      </c>
      <c r="D24877" t="s">
        <v>2224</v>
      </c>
      <c r="E24877" t="s">
        <v>2225</v>
      </c>
      <c r="F24877">
        <v>47.2</v>
      </c>
      <c r="G24877">
        <v>230613</v>
      </c>
      <c r="H24877">
        <v>4500</v>
      </c>
      <c r="I24877" t="s">
        <v>212</v>
      </c>
      <c r="J24877">
        <v>58.53</v>
      </c>
      <c r="K24877">
        <v>11.33</v>
      </c>
      <c r="L24877">
        <v>56562</v>
      </c>
      <c r="M24877" t="s">
        <v>126</v>
      </c>
      <c r="N24877" t="str">
        <f>"5982081     "</f>
        <v xml:space="preserve">5982081     </v>
      </c>
      <c r="O24877">
        <v>230619</v>
      </c>
    </row>
    <row r="24878" spans="1:15" x14ac:dyDescent="0.25">
      <c r="A24878" t="s">
        <v>16</v>
      </c>
      <c r="B24878" t="s">
        <v>3221</v>
      </c>
      <c r="C24878">
        <v>8873</v>
      </c>
      <c r="D24878" t="s">
        <v>2224</v>
      </c>
      <c r="E24878" t="s">
        <v>2225</v>
      </c>
      <c r="F24878">
        <v>2.4</v>
      </c>
      <c r="G24878">
        <v>230613</v>
      </c>
      <c r="H24878">
        <v>4500</v>
      </c>
      <c r="I24878" t="s">
        <v>212</v>
      </c>
      <c r="J24878">
        <v>2.98</v>
      </c>
      <c r="K24878">
        <v>0.57999999999999996</v>
      </c>
      <c r="L24878">
        <v>56566</v>
      </c>
      <c r="M24878" t="s">
        <v>652</v>
      </c>
      <c r="N24878" t="str">
        <f>"5982081     "</f>
        <v xml:space="preserve">5982081     </v>
      </c>
      <c r="O24878">
        <v>230619</v>
      </c>
    </row>
    <row r="24879" spans="1:15" x14ac:dyDescent="0.25">
      <c r="A24879" t="s">
        <v>16</v>
      </c>
      <c r="B24879" t="s">
        <v>3221</v>
      </c>
      <c r="C24879">
        <v>8873</v>
      </c>
      <c r="D24879" t="s">
        <v>2224</v>
      </c>
      <c r="E24879" t="s">
        <v>2225</v>
      </c>
      <c r="F24879">
        <v>151.91999999999999</v>
      </c>
      <c r="G24879">
        <v>230613</v>
      </c>
      <c r="H24879">
        <v>4500</v>
      </c>
      <c r="I24879" t="s">
        <v>212</v>
      </c>
      <c r="J24879">
        <v>188.38</v>
      </c>
      <c r="K24879">
        <v>36.46</v>
      </c>
      <c r="L24879">
        <v>59702</v>
      </c>
      <c r="M24879" t="s">
        <v>328</v>
      </c>
      <c r="N24879" t="str">
        <f>"5982081     "</f>
        <v xml:space="preserve">5982081     </v>
      </c>
      <c r="O24879">
        <v>230619</v>
      </c>
    </row>
    <row r="24880" spans="1:15" x14ac:dyDescent="0.25">
      <c r="A24880" t="s">
        <v>16</v>
      </c>
      <c r="B24880" t="s">
        <v>3221</v>
      </c>
      <c r="C24880">
        <v>8874</v>
      </c>
      <c r="D24880" t="s">
        <v>2224</v>
      </c>
      <c r="E24880" t="s">
        <v>2225</v>
      </c>
      <c r="F24880">
        <v>166.84</v>
      </c>
      <c r="G24880">
        <v>230613</v>
      </c>
      <c r="H24880">
        <v>4500</v>
      </c>
      <c r="I24880" t="s">
        <v>212</v>
      </c>
      <c r="J24880">
        <v>206.88</v>
      </c>
      <c r="K24880">
        <v>40.04</v>
      </c>
      <c r="L24880">
        <v>69702</v>
      </c>
      <c r="M24880" t="s">
        <v>489</v>
      </c>
      <c r="N24880" t="str">
        <f>"5982079     "</f>
        <v xml:space="preserve">5982079     </v>
      </c>
      <c r="O24880">
        <v>230619</v>
      </c>
    </row>
    <row r="24881" spans="1:15" x14ac:dyDescent="0.25">
      <c r="A24881" t="s">
        <v>16</v>
      </c>
      <c r="B24881" t="s">
        <v>3221</v>
      </c>
      <c r="C24881">
        <v>8874</v>
      </c>
      <c r="D24881" t="s">
        <v>2224</v>
      </c>
      <c r="E24881" t="s">
        <v>2225</v>
      </c>
      <c r="F24881">
        <v>247.69</v>
      </c>
      <c r="G24881">
        <v>230613</v>
      </c>
      <c r="H24881">
        <v>4500</v>
      </c>
      <c r="I24881" t="s">
        <v>212</v>
      </c>
      <c r="J24881">
        <v>307.14</v>
      </c>
      <c r="K24881">
        <v>59.45</v>
      </c>
      <c r="L24881">
        <v>69704</v>
      </c>
      <c r="M24881" t="s">
        <v>325</v>
      </c>
      <c r="N24881" t="str">
        <f>"5982079     "</f>
        <v xml:space="preserve">5982079     </v>
      </c>
      <c r="O24881">
        <v>230619</v>
      </c>
    </row>
    <row r="24882" spans="1:15" x14ac:dyDescent="0.25">
      <c r="A24882" t="s">
        <v>16</v>
      </c>
      <c r="B24882" t="s">
        <v>3221</v>
      </c>
      <c r="C24882">
        <v>9173</v>
      </c>
      <c r="D24882" t="s">
        <v>2224</v>
      </c>
      <c r="E24882" t="s">
        <v>2225</v>
      </c>
      <c r="F24882">
        <v>5.2</v>
      </c>
      <c r="G24882">
        <v>230613</v>
      </c>
      <c r="H24882">
        <v>4500</v>
      </c>
      <c r="I24882" t="s">
        <v>212</v>
      </c>
      <c r="J24882">
        <v>6.45</v>
      </c>
      <c r="K24882">
        <v>1.25</v>
      </c>
      <c r="L24882">
        <v>41126</v>
      </c>
      <c r="M24882" t="s">
        <v>761</v>
      </c>
      <c r="N24882" t="str">
        <f>"5982080     "</f>
        <v xml:space="preserve">5982080     </v>
      </c>
      <c r="O24882">
        <v>230629</v>
      </c>
    </row>
    <row r="24883" spans="1:15" x14ac:dyDescent="0.25">
      <c r="A24883" t="s">
        <v>16</v>
      </c>
      <c r="B24883" t="s">
        <v>3221</v>
      </c>
      <c r="C24883">
        <v>9173</v>
      </c>
      <c r="D24883" t="s">
        <v>2224</v>
      </c>
      <c r="E24883" t="s">
        <v>2225</v>
      </c>
      <c r="F24883">
        <v>119.09</v>
      </c>
      <c r="G24883">
        <v>230613</v>
      </c>
      <c r="H24883">
        <v>4500</v>
      </c>
      <c r="I24883" t="s">
        <v>212</v>
      </c>
      <c r="J24883">
        <v>147.66999999999999</v>
      </c>
      <c r="K24883">
        <v>28.58</v>
      </c>
      <c r="L24883">
        <v>44222</v>
      </c>
      <c r="M24883" t="s">
        <v>232</v>
      </c>
      <c r="N24883" t="str">
        <f>"5982080     "</f>
        <v xml:space="preserve">5982080     </v>
      </c>
      <c r="O24883">
        <v>230629</v>
      </c>
    </row>
    <row r="24884" spans="1:15" x14ac:dyDescent="0.25">
      <c r="A24884" t="s">
        <v>16</v>
      </c>
      <c r="B24884" t="s">
        <v>3221</v>
      </c>
      <c r="C24884">
        <v>9173</v>
      </c>
      <c r="D24884" t="s">
        <v>2224</v>
      </c>
      <c r="E24884" t="s">
        <v>2225</v>
      </c>
      <c r="F24884">
        <v>98.99</v>
      </c>
      <c r="G24884">
        <v>230613</v>
      </c>
      <c r="H24884">
        <v>4500</v>
      </c>
      <c r="I24884" t="s">
        <v>212</v>
      </c>
      <c r="J24884">
        <v>122.75</v>
      </c>
      <c r="K24884">
        <v>23.76</v>
      </c>
      <c r="L24884">
        <v>49702</v>
      </c>
      <c r="M24884" t="s">
        <v>584</v>
      </c>
      <c r="N24884" t="str">
        <f>"5982080     "</f>
        <v xml:space="preserve">5982080     </v>
      </c>
      <c r="O24884">
        <v>230629</v>
      </c>
    </row>
    <row r="24885" spans="1:15" x14ac:dyDescent="0.25">
      <c r="A24885" t="s">
        <v>16</v>
      </c>
      <c r="B24885" t="s">
        <v>3221</v>
      </c>
      <c r="C24885">
        <v>9174</v>
      </c>
      <c r="D24885" t="s">
        <v>2224</v>
      </c>
      <c r="E24885" t="s">
        <v>2225</v>
      </c>
      <c r="F24885">
        <v>344.92</v>
      </c>
      <c r="G24885">
        <v>230616</v>
      </c>
      <c r="H24885">
        <v>4500</v>
      </c>
      <c r="I24885" t="s">
        <v>212</v>
      </c>
      <c r="J24885">
        <v>427.7</v>
      </c>
      <c r="K24885">
        <v>82.78</v>
      </c>
      <c r="L24885">
        <v>17862</v>
      </c>
      <c r="M24885" t="s">
        <v>319</v>
      </c>
      <c r="N24885" t="str">
        <f>"5982749     "</f>
        <v xml:space="preserve">5982749     </v>
      </c>
      <c r="O24885">
        <v>230629</v>
      </c>
    </row>
    <row r="24886" spans="1:15" x14ac:dyDescent="0.25">
      <c r="A24886" t="s">
        <v>16</v>
      </c>
      <c r="B24886" t="s">
        <v>3221</v>
      </c>
      <c r="C24886">
        <v>9175</v>
      </c>
      <c r="D24886" t="s">
        <v>2224</v>
      </c>
      <c r="E24886" t="s">
        <v>2225</v>
      </c>
      <c r="F24886">
        <v>47.1</v>
      </c>
      <c r="G24886">
        <v>230621</v>
      </c>
      <c r="H24886">
        <v>4500</v>
      </c>
      <c r="I24886" t="s">
        <v>212</v>
      </c>
      <c r="J24886">
        <v>58.4</v>
      </c>
      <c r="K24886">
        <v>11.3</v>
      </c>
      <c r="L24886">
        <v>13561</v>
      </c>
      <c r="M24886" t="s">
        <v>246</v>
      </c>
      <c r="N24886" t="str">
        <f>"5983415     "</f>
        <v xml:space="preserve">5983415     </v>
      </c>
      <c r="O24886">
        <v>230629</v>
      </c>
    </row>
    <row r="24887" spans="1:15" x14ac:dyDescent="0.25">
      <c r="A24887" t="s">
        <v>16</v>
      </c>
      <c r="B24887" t="s">
        <v>3221</v>
      </c>
      <c r="C24887">
        <v>9175</v>
      </c>
      <c r="D24887" t="s">
        <v>2224</v>
      </c>
      <c r="E24887" t="s">
        <v>2225</v>
      </c>
      <c r="F24887">
        <v>381.03</v>
      </c>
      <c r="G24887">
        <v>230621</v>
      </c>
      <c r="H24887">
        <v>4500</v>
      </c>
      <c r="I24887" t="s">
        <v>212</v>
      </c>
      <c r="J24887">
        <v>472.48</v>
      </c>
      <c r="K24887">
        <v>91.45</v>
      </c>
      <c r="L24887">
        <v>17971</v>
      </c>
      <c r="M24887" t="s">
        <v>138</v>
      </c>
      <c r="N24887" t="str">
        <f>"5983415     "</f>
        <v xml:space="preserve">5983415     </v>
      </c>
      <c r="O24887">
        <v>230629</v>
      </c>
    </row>
    <row r="24888" spans="1:15" x14ac:dyDescent="0.25">
      <c r="A24888" t="s">
        <v>16</v>
      </c>
      <c r="B24888" t="s">
        <v>3221</v>
      </c>
      <c r="C24888">
        <v>9425</v>
      </c>
      <c r="D24888" t="s">
        <v>2224</v>
      </c>
      <c r="E24888" t="s">
        <v>2225</v>
      </c>
      <c r="F24888">
        <v>52.14</v>
      </c>
      <c r="G24888">
        <v>230619</v>
      </c>
      <c r="H24888">
        <v>4500</v>
      </c>
      <c r="I24888" t="s">
        <v>212</v>
      </c>
      <c r="J24888">
        <v>64.650000000000006</v>
      </c>
      <c r="K24888">
        <v>12.51</v>
      </c>
      <c r="L24888">
        <v>14121</v>
      </c>
      <c r="M24888" t="s">
        <v>880</v>
      </c>
      <c r="N24888" t="str">
        <f>"5982962     "</f>
        <v xml:space="preserve">5982962     </v>
      </c>
      <c r="O24888">
        <v>230710</v>
      </c>
    </row>
    <row r="24889" spans="1:15" x14ac:dyDescent="0.25">
      <c r="A24889" t="s">
        <v>16</v>
      </c>
      <c r="B24889" t="s">
        <v>3221</v>
      </c>
      <c r="C24889">
        <v>9425</v>
      </c>
      <c r="D24889" t="s">
        <v>2224</v>
      </c>
      <c r="E24889" t="s">
        <v>2225</v>
      </c>
      <c r="F24889">
        <v>52.14</v>
      </c>
      <c r="G24889">
        <v>230619</v>
      </c>
      <c r="H24889">
        <v>4500</v>
      </c>
      <c r="I24889" t="s">
        <v>212</v>
      </c>
      <c r="J24889">
        <v>64.650000000000006</v>
      </c>
      <c r="K24889">
        <v>12.51</v>
      </c>
      <c r="L24889">
        <v>14541</v>
      </c>
      <c r="M24889" t="s">
        <v>626</v>
      </c>
      <c r="N24889" t="str">
        <f>"5982962     "</f>
        <v xml:space="preserve">5982962     </v>
      </c>
      <c r="O24889">
        <v>230710</v>
      </c>
    </row>
    <row r="24890" spans="1:15" x14ac:dyDescent="0.25">
      <c r="A24890" t="s">
        <v>16</v>
      </c>
      <c r="B24890" t="s">
        <v>3221</v>
      </c>
      <c r="C24890">
        <v>9425</v>
      </c>
      <c r="D24890" t="s">
        <v>2224</v>
      </c>
      <c r="E24890" t="s">
        <v>2225</v>
      </c>
      <c r="F24890">
        <v>23.57</v>
      </c>
      <c r="G24890">
        <v>230619</v>
      </c>
      <c r="H24890">
        <v>4500</v>
      </c>
      <c r="I24890" t="s">
        <v>212</v>
      </c>
      <c r="J24890">
        <v>29.23</v>
      </c>
      <c r="K24890">
        <v>5.66</v>
      </c>
      <c r="L24890">
        <v>14622</v>
      </c>
      <c r="M24890" t="s">
        <v>1005</v>
      </c>
      <c r="N24890" t="str">
        <f>"5982962     "</f>
        <v xml:space="preserve">5982962     </v>
      </c>
      <c r="O24890">
        <v>230710</v>
      </c>
    </row>
    <row r="24891" spans="1:15" x14ac:dyDescent="0.25">
      <c r="A24891" t="s">
        <v>16</v>
      </c>
      <c r="B24891" t="s">
        <v>3221</v>
      </c>
      <c r="C24891">
        <v>9425</v>
      </c>
      <c r="D24891" t="s">
        <v>2224</v>
      </c>
      <c r="E24891" t="s">
        <v>2225</v>
      </c>
      <c r="F24891">
        <v>36.53</v>
      </c>
      <c r="G24891">
        <v>230619</v>
      </c>
      <c r="H24891">
        <v>4500</v>
      </c>
      <c r="I24891" t="s">
        <v>212</v>
      </c>
      <c r="J24891">
        <v>45.3</v>
      </c>
      <c r="K24891">
        <v>8.77</v>
      </c>
      <c r="L24891">
        <v>14861</v>
      </c>
      <c r="M24891" t="s">
        <v>785</v>
      </c>
      <c r="N24891" t="str">
        <f>"5982962     "</f>
        <v xml:space="preserve">5982962     </v>
      </c>
      <c r="O24891">
        <v>230710</v>
      </c>
    </row>
    <row r="24892" spans="1:15" x14ac:dyDescent="0.25">
      <c r="A24892" t="s">
        <v>16</v>
      </c>
      <c r="B24892" t="s">
        <v>3221</v>
      </c>
      <c r="C24892">
        <v>9425</v>
      </c>
      <c r="D24892" t="s">
        <v>2224</v>
      </c>
      <c r="E24892" t="s">
        <v>2225</v>
      </c>
      <c r="F24892">
        <v>211.33</v>
      </c>
      <c r="G24892">
        <v>230619</v>
      </c>
      <c r="H24892">
        <v>4500</v>
      </c>
      <c r="I24892" t="s">
        <v>212</v>
      </c>
      <c r="J24892">
        <v>262.05</v>
      </c>
      <c r="K24892">
        <v>50.72</v>
      </c>
      <c r="L24892">
        <v>14972</v>
      </c>
      <c r="M24892" t="s">
        <v>898</v>
      </c>
      <c r="N24892" t="str">
        <f>"5982962     "</f>
        <v xml:space="preserve">5982962     </v>
      </c>
      <c r="O24892">
        <v>230710</v>
      </c>
    </row>
    <row r="24893" spans="1:15" x14ac:dyDescent="0.25">
      <c r="A24893" t="s">
        <v>16</v>
      </c>
      <c r="B24893" t="s">
        <v>3221</v>
      </c>
      <c r="C24893">
        <v>9973</v>
      </c>
      <c r="D24893" t="s">
        <v>2224</v>
      </c>
      <c r="E24893" t="s">
        <v>2225</v>
      </c>
      <c r="F24893">
        <v>6.9</v>
      </c>
      <c r="G24893">
        <v>230727</v>
      </c>
      <c r="H24893">
        <v>4500</v>
      </c>
      <c r="I24893" t="s">
        <v>212</v>
      </c>
      <c r="J24893">
        <v>8.56</v>
      </c>
      <c r="K24893">
        <v>1.66</v>
      </c>
      <c r="L24893">
        <v>14121</v>
      </c>
      <c r="M24893" t="s">
        <v>880</v>
      </c>
      <c r="N24893" t="str">
        <f>"5988839     "</f>
        <v xml:space="preserve">5988839     </v>
      </c>
      <c r="O24893">
        <v>230803</v>
      </c>
    </row>
    <row r="24894" spans="1:15" x14ac:dyDescent="0.25">
      <c r="A24894" t="s">
        <v>16</v>
      </c>
      <c r="B24894" t="s">
        <v>3221</v>
      </c>
      <c r="C24894">
        <v>9973</v>
      </c>
      <c r="D24894" t="s">
        <v>2224</v>
      </c>
      <c r="E24894" t="s">
        <v>2225</v>
      </c>
      <c r="F24894">
        <v>6.9</v>
      </c>
      <c r="G24894">
        <v>230727</v>
      </c>
      <c r="H24894">
        <v>4500</v>
      </c>
      <c r="I24894" t="s">
        <v>212</v>
      </c>
      <c r="J24894">
        <v>8.5500000000000007</v>
      </c>
      <c r="K24894">
        <v>1.65</v>
      </c>
      <c r="L24894">
        <v>14541</v>
      </c>
      <c r="M24894" t="s">
        <v>626</v>
      </c>
      <c r="N24894" t="str">
        <f>"5988839     "</f>
        <v xml:space="preserve">5988839     </v>
      </c>
      <c r="O24894">
        <v>230803</v>
      </c>
    </row>
    <row r="24895" spans="1:15" x14ac:dyDescent="0.25">
      <c r="A24895" t="s">
        <v>16</v>
      </c>
      <c r="B24895" t="s">
        <v>3221</v>
      </c>
      <c r="C24895">
        <v>9973</v>
      </c>
      <c r="D24895" t="s">
        <v>2224</v>
      </c>
      <c r="E24895" t="s">
        <v>2225</v>
      </c>
      <c r="F24895">
        <v>64.900000000000006</v>
      </c>
      <c r="G24895">
        <v>230727</v>
      </c>
      <c r="H24895">
        <v>4500</v>
      </c>
      <c r="I24895" t="s">
        <v>212</v>
      </c>
      <c r="J24895">
        <v>80.48</v>
      </c>
      <c r="K24895">
        <v>15.58</v>
      </c>
      <c r="L24895">
        <v>14640</v>
      </c>
      <c r="M24895" t="s">
        <v>229</v>
      </c>
      <c r="N24895" t="str">
        <f>"5988839     "</f>
        <v xml:space="preserve">5988839     </v>
      </c>
      <c r="O24895">
        <v>230803</v>
      </c>
    </row>
    <row r="24896" spans="1:15" x14ac:dyDescent="0.25">
      <c r="A24896" t="s">
        <v>16</v>
      </c>
      <c r="B24896" t="s">
        <v>3221</v>
      </c>
      <c r="C24896">
        <v>9989</v>
      </c>
      <c r="D24896" t="s">
        <v>2224</v>
      </c>
      <c r="E24896" t="s">
        <v>2225</v>
      </c>
      <c r="F24896">
        <v>20.64</v>
      </c>
      <c r="G24896">
        <v>230628</v>
      </c>
      <c r="H24896">
        <v>4500</v>
      </c>
      <c r="I24896" t="s">
        <v>212</v>
      </c>
      <c r="J24896">
        <v>25.59</v>
      </c>
      <c r="K24896">
        <v>4.95</v>
      </c>
      <c r="L24896">
        <v>17862</v>
      </c>
      <c r="M24896" t="s">
        <v>319</v>
      </c>
      <c r="N24896" t="str">
        <f>"5984218     "</f>
        <v xml:space="preserve">5984218     </v>
      </c>
      <c r="O24896">
        <v>230803</v>
      </c>
    </row>
    <row r="24897" spans="1:15" x14ac:dyDescent="0.25">
      <c r="A24897" t="s">
        <v>16</v>
      </c>
      <c r="B24897" t="s">
        <v>3221</v>
      </c>
      <c r="C24897">
        <v>10126</v>
      </c>
      <c r="D24897" t="s">
        <v>2224</v>
      </c>
      <c r="E24897" t="s">
        <v>2225</v>
      </c>
      <c r="F24897">
        <v>108.9</v>
      </c>
      <c r="G24897">
        <v>230717</v>
      </c>
      <c r="H24897">
        <v>4500</v>
      </c>
      <c r="I24897" t="s">
        <v>212</v>
      </c>
      <c r="J24897">
        <v>135.04</v>
      </c>
      <c r="K24897">
        <v>26.14</v>
      </c>
      <c r="L24897">
        <v>13502</v>
      </c>
      <c r="M24897" t="s">
        <v>243</v>
      </c>
      <c r="N24897" t="str">
        <f>"5987818     "</f>
        <v xml:space="preserve">5987818     </v>
      </c>
      <c r="O24897">
        <v>230808</v>
      </c>
    </row>
    <row r="24898" spans="1:15" x14ac:dyDescent="0.25">
      <c r="A24898" t="s">
        <v>16</v>
      </c>
      <c r="B24898" t="s">
        <v>3221</v>
      </c>
      <c r="C24898">
        <v>10126</v>
      </c>
      <c r="D24898" t="s">
        <v>2224</v>
      </c>
      <c r="E24898" t="s">
        <v>2225</v>
      </c>
      <c r="F24898">
        <v>2.42</v>
      </c>
      <c r="G24898">
        <v>230717</v>
      </c>
      <c r="H24898">
        <v>4500</v>
      </c>
      <c r="I24898" t="s">
        <v>212</v>
      </c>
      <c r="J24898">
        <v>3</v>
      </c>
      <c r="K24898">
        <v>0.57999999999999996</v>
      </c>
      <c r="L24898">
        <v>16121</v>
      </c>
      <c r="M24898" t="s">
        <v>21</v>
      </c>
      <c r="N24898" t="str">
        <f>"5987818     "</f>
        <v xml:space="preserve">5987818     </v>
      </c>
      <c r="O24898">
        <v>230808</v>
      </c>
    </row>
    <row r="24899" spans="1:15" x14ac:dyDescent="0.25">
      <c r="A24899" t="s">
        <v>16</v>
      </c>
      <c r="B24899" t="s">
        <v>3221</v>
      </c>
      <c r="C24899">
        <v>10138</v>
      </c>
      <c r="D24899" t="s">
        <v>2224</v>
      </c>
      <c r="E24899" t="s">
        <v>2225</v>
      </c>
      <c r="F24899">
        <v>87.58</v>
      </c>
      <c r="G24899">
        <v>230803</v>
      </c>
      <c r="H24899">
        <v>4500</v>
      </c>
      <c r="I24899" t="s">
        <v>212</v>
      </c>
      <c r="J24899">
        <v>108.6</v>
      </c>
      <c r="K24899">
        <v>21.02</v>
      </c>
      <c r="L24899">
        <v>17808</v>
      </c>
      <c r="M24899" t="s">
        <v>322</v>
      </c>
      <c r="N24899" t="str">
        <f>"5991001     "</f>
        <v xml:space="preserve">5991001     </v>
      </c>
      <c r="O24899">
        <v>230808</v>
      </c>
    </row>
    <row r="24900" spans="1:15" x14ac:dyDescent="0.25">
      <c r="A24900" t="s">
        <v>16</v>
      </c>
      <c r="B24900" t="s">
        <v>3221</v>
      </c>
      <c r="C24900">
        <v>10141</v>
      </c>
      <c r="D24900" t="s">
        <v>2224</v>
      </c>
      <c r="E24900" t="s">
        <v>2225</v>
      </c>
      <c r="F24900">
        <v>-45.93</v>
      </c>
      <c r="G24900">
        <v>230731</v>
      </c>
      <c r="H24900">
        <v>4500</v>
      </c>
      <c r="I24900" t="s">
        <v>212</v>
      </c>
      <c r="J24900">
        <v>-56.95</v>
      </c>
      <c r="K24900">
        <v>-11.02</v>
      </c>
      <c r="L24900">
        <v>43222</v>
      </c>
      <c r="M24900" t="s">
        <v>507</v>
      </c>
      <c r="N24900" t="str">
        <f>"0548163     "</f>
        <v xml:space="preserve">0548163     </v>
      </c>
      <c r="O24900">
        <v>230808</v>
      </c>
    </row>
    <row r="24901" spans="1:15" x14ac:dyDescent="0.25">
      <c r="A24901" t="s">
        <v>16</v>
      </c>
      <c r="B24901" t="s">
        <v>3221</v>
      </c>
      <c r="C24901">
        <v>10143</v>
      </c>
      <c r="D24901" t="s">
        <v>2224</v>
      </c>
      <c r="E24901" t="s">
        <v>2225</v>
      </c>
      <c r="F24901">
        <v>45.93</v>
      </c>
      <c r="G24901">
        <v>230731</v>
      </c>
      <c r="H24901">
        <v>4500</v>
      </c>
      <c r="I24901" t="s">
        <v>212</v>
      </c>
      <c r="J24901">
        <v>56.95</v>
      </c>
      <c r="K24901">
        <v>11.02</v>
      </c>
      <c r="L24901">
        <v>43222</v>
      </c>
      <c r="M24901" t="s">
        <v>507</v>
      </c>
      <c r="N24901" t="str">
        <f>"5990293     "</f>
        <v xml:space="preserve">5990293     </v>
      </c>
      <c r="O24901">
        <v>230808</v>
      </c>
    </row>
    <row r="24902" spans="1:15" x14ac:dyDescent="0.25">
      <c r="A24902" t="s">
        <v>16</v>
      </c>
      <c r="B24902" t="s">
        <v>3221</v>
      </c>
      <c r="C24902">
        <v>10363</v>
      </c>
      <c r="D24902" t="s">
        <v>2224</v>
      </c>
      <c r="E24902" t="s">
        <v>2225</v>
      </c>
      <c r="F24902">
        <v>963.4</v>
      </c>
      <c r="G24902">
        <v>230807</v>
      </c>
      <c r="H24902">
        <v>4500</v>
      </c>
      <c r="I24902" t="s">
        <v>212</v>
      </c>
      <c r="J24902">
        <v>1194.6099999999999</v>
      </c>
      <c r="K24902">
        <v>231.21</v>
      </c>
      <c r="L24902">
        <v>13402</v>
      </c>
      <c r="M24902" t="s">
        <v>242</v>
      </c>
      <c r="N24902" t="str">
        <f>"5991468     "</f>
        <v xml:space="preserve">5991468     </v>
      </c>
      <c r="O24902">
        <v>230814</v>
      </c>
    </row>
    <row r="24903" spans="1:15" x14ac:dyDescent="0.25">
      <c r="A24903" t="s">
        <v>16</v>
      </c>
      <c r="B24903" t="s">
        <v>3221</v>
      </c>
      <c r="C24903">
        <v>10427</v>
      </c>
      <c r="D24903" t="s">
        <v>2224</v>
      </c>
      <c r="E24903" t="s">
        <v>2225</v>
      </c>
      <c r="F24903">
        <v>51.98</v>
      </c>
      <c r="G24903">
        <v>230810</v>
      </c>
      <c r="H24903">
        <v>4500</v>
      </c>
      <c r="I24903" t="s">
        <v>212</v>
      </c>
      <c r="J24903">
        <v>64.45</v>
      </c>
      <c r="K24903">
        <v>12.47</v>
      </c>
      <c r="L24903">
        <v>69702</v>
      </c>
      <c r="M24903" t="s">
        <v>489</v>
      </c>
      <c r="N24903" t="str">
        <f>"5992068     "</f>
        <v xml:space="preserve">5992068     </v>
      </c>
      <c r="O24903">
        <v>230815</v>
      </c>
    </row>
    <row r="24904" spans="1:15" x14ac:dyDescent="0.25">
      <c r="A24904" t="s">
        <v>16</v>
      </c>
      <c r="B24904" t="s">
        <v>3221</v>
      </c>
      <c r="C24904">
        <v>10427</v>
      </c>
      <c r="D24904" t="s">
        <v>2224</v>
      </c>
      <c r="E24904" t="s">
        <v>2225</v>
      </c>
      <c r="F24904">
        <v>36.58</v>
      </c>
      <c r="G24904">
        <v>230810</v>
      </c>
      <c r="H24904">
        <v>4500</v>
      </c>
      <c r="I24904" t="s">
        <v>212</v>
      </c>
      <c r="J24904">
        <v>45.36</v>
      </c>
      <c r="K24904">
        <v>8.7799999999999994</v>
      </c>
      <c r="L24904">
        <v>69704</v>
      </c>
      <c r="M24904" t="s">
        <v>325</v>
      </c>
      <c r="N24904" t="str">
        <f>"5992068     "</f>
        <v xml:space="preserve">5992068     </v>
      </c>
      <c r="O24904">
        <v>230815</v>
      </c>
    </row>
    <row r="24905" spans="1:15" x14ac:dyDescent="0.25">
      <c r="A24905" t="s">
        <v>16</v>
      </c>
      <c r="B24905" t="s">
        <v>3221</v>
      </c>
      <c r="C24905">
        <v>10504</v>
      </c>
      <c r="D24905" t="s">
        <v>2224</v>
      </c>
      <c r="E24905" t="s">
        <v>2225</v>
      </c>
      <c r="F24905">
        <v>24.27</v>
      </c>
      <c r="G24905">
        <v>230809</v>
      </c>
      <c r="H24905">
        <v>4500</v>
      </c>
      <c r="I24905" t="s">
        <v>212</v>
      </c>
      <c r="J24905">
        <v>30.09</v>
      </c>
      <c r="K24905">
        <v>5.82</v>
      </c>
      <c r="L24905">
        <v>56564</v>
      </c>
      <c r="M24905" t="s">
        <v>327</v>
      </c>
      <c r="N24905" t="str">
        <f>"5991868     "</f>
        <v xml:space="preserve">5991868     </v>
      </c>
      <c r="O24905">
        <v>230817</v>
      </c>
    </row>
    <row r="24906" spans="1:15" x14ac:dyDescent="0.25">
      <c r="A24906" t="s">
        <v>16</v>
      </c>
      <c r="B24906" t="s">
        <v>3221</v>
      </c>
      <c r="C24906">
        <v>10504</v>
      </c>
      <c r="D24906" t="s">
        <v>2224</v>
      </c>
      <c r="E24906" t="s">
        <v>2225</v>
      </c>
      <c r="F24906">
        <v>5.6</v>
      </c>
      <c r="G24906">
        <v>230809</v>
      </c>
      <c r="H24906">
        <v>4500</v>
      </c>
      <c r="I24906" t="s">
        <v>212</v>
      </c>
      <c r="J24906">
        <v>6.94</v>
      </c>
      <c r="K24906">
        <v>1.34</v>
      </c>
      <c r="L24906">
        <v>56566</v>
      </c>
      <c r="M24906" t="s">
        <v>652</v>
      </c>
      <c r="N24906" t="str">
        <f>"5991868     "</f>
        <v xml:space="preserve">5991868     </v>
      </c>
      <c r="O24906">
        <v>230817</v>
      </c>
    </row>
    <row r="24907" spans="1:15" x14ac:dyDescent="0.25">
      <c r="A24907" t="s">
        <v>16</v>
      </c>
      <c r="B24907" t="s">
        <v>3221</v>
      </c>
      <c r="C24907">
        <v>10504</v>
      </c>
      <c r="D24907" t="s">
        <v>2224</v>
      </c>
      <c r="E24907" t="s">
        <v>2225</v>
      </c>
      <c r="F24907">
        <v>134.94999999999999</v>
      </c>
      <c r="G24907">
        <v>230809</v>
      </c>
      <c r="H24907">
        <v>4500</v>
      </c>
      <c r="I24907" t="s">
        <v>212</v>
      </c>
      <c r="J24907">
        <v>167.34</v>
      </c>
      <c r="K24907">
        <v>32.39</v>
      </c>
      <c r="L24907">
        <v>59702</v>
      </c>
      <c r="M24907" t="s">
        <v>328</v>
      </c>
      <c r="N24907" t="str">
        <f>"5991868     "</f>
        <v xml:space="preserve">5991868     </v>
      </c>
      <c r="O24907">
        <v>230817</v>
      </c>
    </row>
    <row r="24908" spans="1:15" x14ac:dyDescent="0.25">
      <c r="A24908" t="s">
        <v>16</v>
      </c>
      <c r="B24908" t="s">
        <v>3221</v>
      </c>
      <c r="C24908">
        <v>10506</v>
      </c>
      <c r="D24908" t="s">
        <v>2224</v>
      </c>
      <c r="E24908" t="s">
        <v>2225</v>
      </c>
      <c r="F24908">
        <v>378</v>
      </c>
      <c r="G24908">
        <v>230810</v>
      </c>
      <c r="H24908">
        <v>4500</v>
      </c>
      <c r="I24908" t="s">
        <v>212</v>
      </c>
      <c r="J24908">
        <v>468.72</v>
      </c>
      <c r="K24908">
        <v>90.72</v>
      </c>
      <c r="L24908">
        <v>17971</v>
      </c>
      <c r="M24908" t="s">
        <v>138</v>
      </c>
      <c r="N24908" t="str">
        <f>"5992067     "</f>
        <v xml:space="preserve">5992067     </v>
      </c>
      <c r="O24908">
        <v>230817</v>
      </c>
    </row>
    <row r="24909" spans="1:15" x14ac:dyDescent="0.25">
      <c r="A24909" t="s">
        <v>16</v>
      </c>
      <c r="B24909" t="s">
        <v>3221</v>
      </c>
      <c r="C24909">
        <v>10508</v>
      </c>
      <c r="D24909" t="s">
        <v>2224</v>
      </c>
      <c r="E24909" t="s">
        <v>2225</v>
      </c>
      <c r="F24909">
        <v>116.32</v>
      </c>
      <c r="G24909">
        <v>230810</v>
      </c>
      <c r="H24909">
        <v>4500</v>
      </c>
      <c r="I24909" t="s">
        <v>212</v>
      </c>
      <c r="J24909">
        <v>144.24</v>
      </c>
      <c r="K24909">
        <v>27.92</v>
      </c>
      <c r="L24909">
        <v>17808</v>
      </c>
      <c r="M24909" t="s">
        <v>322</v>
      </c>
      <c r="N24909" t="str">
        <f>"5992066     "</f>
        <v xml:space="preserve">5992066     </v>
      </c>
      <c r="O24909">
        <v>230817</v>
      </c>
    </row>
    <row r="24910" spans="1:15" x14ac:dyDescent="0.25">
      <c r="A24910" t="s">
        <v>16</v>
      </c>
      <c r="B24910" t="s">
        <v>3221</v>
      </c>
      <c r="C24910">
        <v>10579</v>
      </c>
      <c r="D24910" t="s">
        <v>2224</v>
      </c>
      <c r="E24910" t="s">
        <v>2225</v>
      </c>
      <c r="F24910">
        <v>9</v>
      </c>
      <c r="G24910">
        <v>230814</v>
      </c>
      <c r="H24910">
        <v>4500</v>
      </c>
      <c r="I24910" t="s">
        <v>212</v>
      </c>
      <c r="J24910">
        <v>11.16</v>
      </c>
      <c r="K24910">
        <v>2.16</v>
      </c>
      <c r="L24910">
        <v>13402</v>
      </c>
      <c r="M24910" t="s">
        <v>242</v>
      </c>
      <c r="N24910" t="str">
        <f>"5992578     "</f>
        <v xml:space="preserve">5992578     </v>
      </c>
      <c r="O24910">
        <v>230818</v>
      </c>
    </row>
    <row r="24911" spans="1:15" x14ac:dyDescent="0.25">
      <c r="A24911" t="s">
        <v>16</v>
      </c>
      <c r="B24911" t="s">
        <v>3221</v>
      </c>
      <c r="C24911">
        <v>10721</v>
      </c>
      <c r="D24911" t="s">
        <v>2224</v>
      </c>
      <c r="E24911" t="s">
        <v>2225</v>
      </c>
      <c r="F24911">
        <v>186.58</v>
      </c>
      <c r="G24911">
        <v>230809</v>
      </c>
      <c r="H24911">
        <v>4500</v>
      </c>
      <c r="I24911" t="s">
        <v>212</v>
      </c>
      <c r="J24911">
        <v>231.36</v>
      </c>
      <c r="K24911">
        <v>44.78</v>
      </c>
      <c r="L24911">
        <v>41126</v>
      </c>
      <c r="M24911" t="s">
        <v>761</v>
      </c>
      <c r="N24911" t="str">
        <f>"5991867     "</f>
        <v xml:space="preserve">5991867     </v>
      </c>
      <c r="O24911">
        <v>230822</v>
      </c>
    </row>
    <row r="24912" spans="1:15" x14ac:dyDescent="0.25">
      <c r="A24912" t="s">
        <v>16</v>
      </c>
      <c r="B24912" t="s">
        <v>3221</v>
      </c>
      <c r="C24912">
        <v>10721</v>
      </c>
      <c r="D24912" t="s">
        <v>2224</v>
      </c>
      <c r="E24912" t="s">
        <v>2225</v>
      </c>
      <c r="F24912">
        <v>9.58</v>
      </c>
      <c r="G24912">
        <v>230809</v>
      </c>
      <c r="H24912">
        <v>4500</v>
      </c>
      <c r="I24912" t="s">
        <v>212</v>
      </c>
      <c r="J24912">
        <v>11.88</v>
      </c>
      <c r="K24912">
        <v>2.2999999999999998</v>
      </c>
      <c r="L24912">
        <v>49112</v>
      </c>
      <c r="M24912" t="s">
        <v>233</v>
      </c>
      <c r="N24912" t="str">
        <f>"5991867     "</f>
        <v xml:space="preserve">5991867     </v>
      </c>
      <c r="O24912">
        <v>230822</v>
      </c>
    </row>
    <row r="24913" spans="1:15" x14ac:dyDescent="0.25">
      <c r="A24913" t="s">
        <v>16</v>
      </c>
      <c r="B24913" t="s">
        <v>3221</v>
      </c>
      <c r="C24913">
        <v>10721</v>
      </c>
      <c r="D24913" t="s">
        <v>2224</v>
      </c>
      <c r="E24913" t="s">
        <v>2225</v>
      </c>
      <c r="F24913">
        <v>82.8</v>
      </c>
      <c r="G24913">
        <v>230809</v>
      </c>
      <c r="H24913">
        <v>4500</v>
      </c>
      <c r="I24913" t="s">
        <v>212</v>
      </c>
      <c r="J24913">
        <v>102.67</v>
      </c>
      <c r="K24913">
        <v>19.87</v>
      </c>
      <c r="L24913">
        <v>49702</v>
      </c>
      <c r="M24913" t="s">
        <v>584</v>
      </c>
      <c r="N24913" t="str">
        <f>"5991867     "</f>
        <v xml:space="preserve">5991867     </v>
      </c>
      <c r="O24913">
        <v>230822</v>
      </c>
    </row>
    <row r="24914" spans="1:15" x14ac:dyDescent="0.25">
      <c r="A24914" t="s">
        <v>16</v>
      </c>
      <c r="B24914" t="s">
        <v>3221</v>
      </c>
      <c r="C24914">
        <v>10732</v>
      </c>
      <c r="D24914" t="s">
        <v>2224</v>
      </c>
      <c r="E24914" t="s">
        <v>2225</v>
      </c>
      <c r="F24914">
        <v>50.4</v>
      </c>
      <c r="G24914">
        <v>230815</v>
      </c>
      <c r="H24914">
        <v>4500</v>
      </c>
      <c r="I24914" t="s">
        <v>212</v>
      </c>
      <c r="J24914">
        <v>62.5</v>
      </c>
      <c r="K24914">
        <v>12.1</v>
      </c>
      <c r="L24914">
        <v>54422</v>
      </c>
      <c r="M24914" t="s">
        <v>234</v>
      </c>
      <c r="N24914" t="str">
        <f>"5992911     "</f>
        <v xml:space="preserve">5992911     </v>
      </c>
      <c r="O24914">
        <v>230822</v>
      </c>
    </row>
    <row r="24915" spans="1:15" x14ac:dyDescent="0.25">
      <c r="A24915" t="s">
        <v>16</v>
      </c>
      <c r="B24915" t="s">
        <v>3221</v>
      </c>
      <c r="C24915">
        <v>10732</v>
      </c>
      <c r="D24915" t="s">
        <v>2224</v>
      </c>
      <c r="E24915" t="s">
        <v>2225</v>
      </c>
      <c r="F24915">
        <v>104.48</v>
      </c>
      <c r="G24915">
        <v>230815</v>
      </c>
      <c r="H24915">
        <v>4500</v>
      </c>
      <c r="I24915" t="s">
        <v>212</v>
      </c>
      <c r="J24915">
        <v>129.55000000000001</v>
      </c>
      <c r="K24915">
        <v>25.07</v>
      </c>
      <c r="L24915">
        <v>59702</v>
      </c>
      <c r="M24915" t="s">
        <v>328</v>
      </c>
      <c r="N24915" t="str">
        <f>"5992911     "</f>
        <v xml:space="preserve">5992911     </v>
      </c>
      <c r="O24915">
        <v>230822</v>
      </c>
    </row>
    <row r="24916" spans="1:15" x14ac:dyDescent="0.25">
      <c r="A24916" t="s">
        <v>16</v>
      </c>
      <c r="B24916" t="s">
        <v>3221</v>
      </c>
      <c r="C24916">
        <v>10752</v>
      </c>
      <c r="D24916" t="s">
        <v>2224</v>
      </c>
      <c r="E24916" t="s">
        <v>2225</v>
      </c>
      <c r="F24916">
        <v>85.05</v>
      </c>
      <c r="G24916">
        <v>230817</v>
      </c>
      <c r="H24916">
        <v>4500</v>
      </c>
      <c r="I24916" t="s">
        <v>212</v>
      </c>
      <c r="J24916">
        <v>105.46</v>
      </c>
      <c r="K24916">
        <v>20.41</v>
      </c>
      <c r="L24916">
        <v>54222</v>
      </c>
      <c r="M24916" t="s">
        <v>308</v>
      </c>
      <c r="N24916" t="str">
        <f>"5993489     "</f>
        <v xml:space="preserve">5993489     </v>
      </c>
      <c r="O24916">
        <v>230822</v>
      </c>
    </row>
    <row r="24917" spans="1:15" x14ac:dyDescent="0.25">
      <c r="A24917" t="s">
        <v>16</v>
      </c>
      <c r="B24917" t="s">
        <v>3221</v>
      </c>
      <c r="C24917">
        <v>10752</v>
      </c>
      <c r="D24917" t="s">
        <v>2224</v>
      </c>
      <c r="E24917" t="s">
        <v>2225</v>
      </c>
      <c r="F24917">
        <v>114.98</v>
      </c>
      <c r="G24917">
        <v>230817</v>
      </c>
      <c r="H24917">
        <v>4500</v>
      </c>
      <c r="I24917" t="s">
        <v>212</v>
      </c>
      <c r="J24917">
        <v>142.57</v>
      </c>
      <c r="K24917">
        <v>27.59</v>
      </c>
      <c r="L24917">
        <v>56566</v>
      </c>
      <c r="M24917" t="s">
        <v>652</v>
      </c>
      <c r="N24917" t="str">
        <f>"5993489     "</f>
        <v xml:space="preserve">5993489     </v>
      </c>
      <c r="O24917">
        <v>230822</v>
      </c>
    </row>
    <row r="24918" spans="1:15" x14ac:dyDescent="0.25">
      <c r="A24918" t="s">
        <v>16</v>
      </c>
      <c r="B24918" t="s">
        <v>3221</v>
      </c>
      <c r="C24918">
        <v>10928</v>
      </c>
      <c r="D24918" t="s">
        <v>2224</v>
      </c>
      <c r="E24918" t="s">
        <v>2225</v>
      </c>
      <c r="F24918">
        <v>85</v>
      </c>
      <c r="G24918">
        <v>230821</v>
      </c>
      <c r="H24918">
        <v>4500</v>
      </c>
      <c r="I24918" t="s">
        <v>212</v>
      </c>
      <c r="J24918">
        <v>105.4</v>
      </c>
      <c r="K24918">
        <v>20.399999999999999</v>
      </c>
      <c r="L24918">
        <v>14121</v>
      </c>
      <c r="M24918" t="s">
        <v>880</v>
      </c>
      <c r="N24918" t="str">
        <f t="shared" ref="N24918:N24926" si="475">"5993981     "</f>
        <v xml:space="preserve">5993981     </v>
      </c>
      <c r="O24918">
        <v>230825</v>
      </c>
    </row>
    <row r="24919" spans="1:15" x14ac:dyDescent="0.25">
      <c r="A24919" t="s">
        <v>16</v>
      </c>
      <c r="B24919" t="s">
        <v>3221</v>
      </c>
      <c r="C24919">
        <v>10928</v>
      </c>
      <c r="D24919" t="s">
        <v>2224</v>
      </c>
      <c r="E24919" t="s">
        <v>2225</v>
      </c>
      <c r="F24919">
        <v>50.23</v>
      </c>
      <c r="G24919">
        <v>230821</v>
      </c>
      <c r="H24919">
        <v>4500</v>
      </c>
      <c r="I24919" t="s">
        <v>212</v>
      </c>
      <c r="J24919">
        <v>62.28</v>
      </c>
      <c r="K24919">
        <v>12.05</v>
      </c>
      <c r="L24919">
        <v>14321</v>
      </c>
      <c r="M24919" t="s">
        <v>717</v>
      </c>
      <c r="N24919" t="str">
        <f t="shared" si="475"/>
        <v xml:space="preserve">5993981     </v>
      </c>
      <c r="O24919">
        <v>230825</v>
      </c>
    </row>
    <row r="24920" spans="1:15" x14ac:dyDescent="0.25">
      <c r="A24920" t="s">
        <v>16</v>
      </c>
      <c r="B24920" t="s">
        <v>3221</v>
      </c>
      <c r="C24920">
        <v>10928</v>
      </c>
      <c r="D24920" t="s">
        <v>2224</v>
      </c>
      <c r="E24920" t="s">
        <v>2225</v>
      </c>
      <c r="F24920">
        <v>34.770000000000003</v>
      </c>
      <c r="G24920">
        <v>230821</v>
      </c>
      <c r="H24920">
        <v>4500</v>
      </c>
      <c r="I24920" t="s">
        <v>212</v>
      </c>
      <c r="J24920">
        <v>43.12</v>
      </c>
      <c r="K24920">
        <v>8.35</v>
      </c>
      <c r="L24920">
        <v>14422</v>
      </c>
      <c r="M24920" t="s">
        <v>228</v>
      </c>
      <c r="N24920" t="str">
        <f t="shared" si="475"/>
        <v xml:space="preserve">5993981     </v>
      </c>
      <c r="O24920">
        <v>230825</v>
      </c>
    </row>
    <row r="24921" spans="1:15" x14ac:dyDescent="0.25">
      <c r="A24921" t="s">
        <v>16</v>
      </c>
      <c r="B24921" t="s">
        <v>3221</v>
      </c>
      <c r="C24921">
        <v>10928</v>
      </c>
      <c r="D24921" t="s">
        <v>2224</v>
      </c>
      <c r="E24921" t="s">
        <v>2225</v>
      </c>
      <c r="F24921">
        <v>40.409999999999997</v>
      </c>
      <c r="G24921">
        <v>230821</v>
      </c>
      <c r="H24921">
        <v>4500</v>
      </c>
      <c r="I24921" t="s">
        <v>212</v>
      </c>
      <c r="J24921">
        <v>50.11</v>
      </c>
      <c r="K24921">
        <v>9.6999999999999993</v>
      </c>
      <c r="L24921">
        <v>14432</v>
      </c>
      <c r="M24921" t="s">
        <v>862</v>
      </c>
      <c r="N24921" t="str">
        <f t="shared" si="475"/>
        <v xml:space="preserve">5993981     </v>
      </c>
      <c r="O24921">
        <v>230825</v>
      </c>
    </row>
    <row r="24922" spans="1:15" x14ac:dyDescent="0.25">
      <c r="A24922" t="s">
        <v>16</v>
      </c>
      <c r="B24922" t="s">
        <v>3221</v>
      </c>
      <c r="C24922">
        <v>10928</v>
      </c>
      <c r="D24922" t="s">
        <v>2224</v>
      </c>
      <c r="E24922" t="s">
        <v>2225</v>
      </c>
      <c r="F24922">
        <v>34.770000000000003</v>
      </c>
      <c r="G24922">
        <v>230821</v>
      </c>
      <c r="H24922">
        <v>4500</v>
      </c>
      <c r="I24922" t="s">
        <v>212</v>
      </c>
      <c r="J24922">
        <v>43.12</v>
      </c>
      <c r="K24922">
        <v>8.35</v>
      </c>
      <c r="L24922">
        <v>14541</v>
      </c>
      <c r="M24922" t="s">
        <v>626</v>
      </c>
      <c r="N24922" t="str">
        <f t="shared" si="475"/>
        <v xml:space="preserve">5993981     </v>
      </c>
      <c r="O24922">
        <v>230825</v>
      </c>
    </row>
    <row r="24923" spans="1:15" x14ac:dyDescent="0.25">
      <c r="A24923" t="s">
        <v>16</v>
      </c>
      <c r="B24923" t="s">
        <v>3221</v>
      </c>
      <c r="C24923">
        <v>10928</v>
      </c>
      <c r="D24923" t="s">
        <v>2224</v>
      </c>
      <c r="E24923" t="s">
        <v>2225</v>
      </c>
      <c r="F24923">
        <v>123.64</v>
      </c>
      <c r="G24923">
        <v>230821</v>
      </c>
      <c r="H24923">
        <v>4500</v>
      </c>
      <c r="I24923" t="s">
        <v>212</v>
      </c>
      <c r="J24923">
        <v>153.31</v>
      </c>
      <c r="K24923">
        <v>29.67</v>
      </c>
      <c r="L24923">
        <v>14622</v>
      </c>
      <c r="M24923" t="s">
        <v>1005</v>
      </c>
      <c r="N24923" t="str">
        <f t="shared" si="475"/>
        <v xml:space="preserve">5993981     </v>
      </c>
      <c r="O24923">
        <v>230825</v>
      </c>
    </row>
    <row r="24924" spans="1:15" x14ac:dyDescent="0.25">
      <c r="A24924" t="s">
        <v>16</v>
      </c>
      <c r="B24924" t="s">
        <v>3221</v>
      </c>
      <c r="C24924">
        <v>10928</v>
      </c>
      <c r="D24924" t="s">
        <v>2224</v>
      </c>
      <c r="E24924" t="s">
        <v>2225</v>
      </c>
      <c r="F24924">
        <v>30.91</v>
      </c>
      <c r="G24924">
        <v>230821</v>
      </c>
      <c r="H24924">
        <v>4500</v>
      </c>
      <c r="I24924" t="s">
        <v>212</v>
      </c>
      <c r="J24924">
        <v>38.33</v>
      </c>
      <c r="K24924">
        <v>7.42</v>
      </c>
      <c r="L24924">
        <v>14640</v>
      </c>
      <c r="M24924" t="s">
        <v>229</v>
      </c>
      <c r="N24924" t="str">
        <f t="shared" si="475"/>
        <v xml:space="preserve">5993981     </v>
      </c>
      <c r="O24924">
        <v>230825</v>
      </c>
    </row>
    <row r="24925" spans="1:15" x14ac:dyDescent="0.25">
      <c r="A24925" t="s">
        <v>16</v>
      </c>
      <c r="B24925" t="s">
        <v>3221</v>
      </c>
      <c r="C24925">
        <v>10928</v>
      </c>
      <c r="D24925" t="s">
        <v>2224</v>
      </c>
      <c r="E24925" t="s">
        <v>2225</v>
      </c>
      <c r="F24925">
        <v>27.05</v>
      </c>
      <c r="G24925">
        <v>230821</v>
      </c>
      <c r="H24925">
        <v>4500</v>
      </c>
      <c r="I24925" t="s">
        <v>212</v>
      </c>
      <c r="J24925">
        <v>33.54</v>
      </c>
      <c r="K24925">
        <v>6.49</v>
      </c>
      <c r="L24925">
        <v>14861</v>
      </c>
      <c r="M24925" t="s">
        <v>785</v>
      </c>
      <c r="N24925" t="str">
        <f t="shared" si="475"/>
        <v xml:space="preserve">5993981     </v>
      </c>
      <c r="O24925">
        <v>230825</v>
      </c>
    </row>
    <row r="24926" spans="1:15" x14ac:dyDescent="0.25">
      <c r="A24926" t="s">
        <v>16</v>
      </c>
      <c r="B24926" t="s">
        <v>3221</v>
      </c>
      <c r="C24926">
        <v>10928</v>
      </c>
      <c r="D24926" t="s">
        <v>2224</v>
      </c>
      <c r="E24926" t="s">
        <v>2225</v>
      </c>
      <c r="F24926">
        <v>105.32</v>
      </c>
      <c r="G24926">
        <v>230821</v>
      </c>
      <c r="H24926">
        <v>4500</v>
      </c>
      <c r="I24926" t="s">
        <v>212</v>
      </c>
      <c r="J24926">
        <v>130.6</v>
      </c>
      <c r="K24926">
        <v>25.28</v>
      </c>
      <c r="L24926">
        <v>14972</v>
      </c>
      <c r="M24926" t="s">
        <v>898</v>
      </c>
      <c r="N24926" t="str">
        <f t="shared" si="475"/>
        <v xml:space="preserve">5993981     </v>
      </c>
      <c r="O24926">
        <v>230825</v>
      </c>
    </row>
    <row r="24927" spans="1:15" x14ac:dyDescent="0.25">
      <c r="A24927" t="s">
        <v>16</v>
      </c>
      <c r="B24927" t="s">
        <v>3221</v>
      </c>
      <c r="C24927">
        <v>11181</v>
      </c>
      <c r="D24927" t="s">
        <v>2224</v>
      </c>
      <c r="E24927" t="s">
        <v>2225</v>
      </c>
      <c r="F24927">
        <v>98.6</v>
      </c>
      <c r="G24927">
        <v>230828</v>
      </c>
      <c r="H24927">
        <v>4500</v>
      </c>
      <c r="I24927" t="s">
        <v>212</v>
      </c>
      <c r="J24927">
        <v>122.26</v>
      </c>
      <c r="K24927">
        <v>23.66</v>
      </c>
      <c r="L24927">
        <v>56566</v>
      </c>
      <c r="M24927" t="s">
        <v>652</v>
      </c>
      <c r="N24927" t="str">
        <f>"5995143     "</f>
        <v xml:space="preserve">5995143     </v>
      </c>
      <c r="O24927">
        <v>230830</v>
      </c>
    </row>
    <row r="24928" spans="1:15" x14ac:dyDescent="0.25">
      <c r="A24928" t="s">
        <v>16</v>
      </c>
      <c r="B24928" t="s">
        <v>3221</v>
      </c>
      <c r="C24928">
        <v>11181</v>
      </c>
      <c r="D24928" t="s">
        <v>2224</v>
      </c>
      <c r="E24928" t="s">
        <v>2225</v>
      </c>
      <c r="F24928">
        <v>101.95</v>
      </c>
      <c r="G24928">
        <v>230828</v>
      </c>
      <c r="H24928">
        <v>4500</v>
      </c>
      <c r="I24928" t="s">
        <v>212</v>
      </c>
      <c r="J24928">
        <v>126.42</v>
      </c>
      <c r="K24928">
        <v>24.47</v>
      </c>
      <c r="L24928">
        <v>59702</v>
      </c>
      <c r="M24928" t="s">
        <v>328</v>
      </c>
      <c r="N24928" t="str">
        <f>"5995143     "</f>
        <v xml:space="preserve">5995143     </v>
      </c>
      <c r="O24928">
        <v>230830</v>
      </c>
    </row>
    <row r="24929" spans="1:15" x14ac:dyDescent="0.25">
      <c r="A24929" t="s">
        <v>16</v>
      </c>
      <c r="B24929" t="s">
        <v>3221</v>
      </c>
      <c r="C24929">
        <v>11414</v>
      </c>
      <c r="D24929" t="s">
        <v>2224</v>
      </c>
      <c r="E24929" t="s">
        <v>2225</v>
      </c>
      <c r="F24929">
        <v>12</v>
      </c>
      <c r="G24929">
        <v>230822</v>
      </c>
      <c r="H24929">
        <v>4500</v>
      </c>
      <c r="I24929" t="s">
        <v>212</v>
      </c>
      <c r="J24929">
        <v>14.88</v>
      </c>
      <c r="K24929">
        <v>2.88</v>
      </c>
      <c r="L24929">
        <v>13402</v>
      </c>
      <c r="M24929" t="s">
        <v>242</v>
      </c>
      <c r="N24929" t="str">
        <f>"5994277     "</f>
        <v xml:space="preserve">5994277     </v>
      </c>
      <c r="O24929">
        <v>230905</v>
      </c>
    </row>
    <row r="24930" spans="1:15" x14ac:dyDescent="0.25">
      <c r="A24930" t="s">
        <v>16</v>
      </c>
      <c r="B24930" t="s">
        <v>3221</v>
      </c>
      <c r="C24930">
        <v>11425</v>
      </c>
      <c r="D24930" t="s">
        <v>2224</v>
      </c>
      <c r="E24930" t="s">
        <v>2225</v>
      </c>
      <c r="F24930">
        <v>177.17</v>
      </c>
      <c r="G24930">
        <v>230829</v>
      </c>
      <c r="H24930">
        <v>4500</v>
      </c>
      <c r="I24930" t="s">
        <v>212</v>
      </c>
      <c r="J24930">
        <v>219.69</v>
      </c>
      <c r="K24930">
        <v>42.52</v>
      </c>
      <c r="L24930">
        <v>17808</v>
      </c>
      <c r="M24930" t="s">
        <v>322</v>
      </c>
      <c r="N24930" t="str">
        <f>"5995425     "</f>
        <v xml:space="preserve">5995425     </v>
      </c>
      <c r="O24930">
        <v>230905</v>
      </c>
    </row>
    <row r="24931" spans="1:15" x14ac:dyDescent="0.25">
      <c r="A24931" t="s">
        <v>16</v>
      </c>
      <c r="B24931" t="s">
        <v>3221</v>
      </c>
      <c r="C24931">
        <v>11638</v>
      </c>
      <c r="D24931" t="s">
        <v>2224</v>
      </c>
      <c r="E24931" t="s">
        <v>2225</v>
      </c>
      <c r="F24931">
        <v>204.28</v>
      </c>
      <c r="G24931">
        <v>230901</v>
      </c>
      <c r="H24931">
        <v>4500</v>
      </c>
      <c r="I24931" t="s">
        <v>212</v>
      </c>
      <c r="J24931">
        <v>253.31</v>
      </c>
      <c r="K24931">
        <v>49.03</v>
      </c>
      <c r="L24931">
        <v>69702</v>
      </c>
      <c r="M24931" t="s">
        <v>489</v>
      </c>
      <c r="N24931" t="str">
        <f>"5997878     "</f>
        <v xml:space="preserve">5997878     </v>
      </c>
      <c r="O24931">
        <v>230907</v>
      </c>
    </row>
    <row r="24932" spans="1:15" x14ac:dyDescent="0.25">
      <c r="A24932" t="s">
        <v>16</v>
      </c>
      <c r="B24932" t="s">
        <v>3221</v>
      </c>
      <c r="C24932">
        <v>11638</v>
      </c>
      <c r="D24932" t="s">
        <v>2224</v>
      </c>
      <c r="E24932" t="s">
        <v>2225</v>
      </c>
      <c r="F24932">
        <v>219.9</v>
      </c>
      <c r="G24932">
        <v>230901</v>
      </c>
      <c r="H24932">
        <v>4500</v>
      </c>
      <c r="I24932" t="s">
        <v>212</v>
      </c>
      <c r="J24932">
        <v>272.68</v>
      </c>
      <c r="K24932">
        <v>52.78</v>
      </c>
      <c r="L24932">
        <v>69704</v>
      </c>
      <c r="M24932" t="s">
        <v>325</v>
      </c>
      <c r="N24932" t="str">
        <f>"5997878     "</f>
        <v xml:space="preserve">5997878     </v>
      </c>
      <c r="O24932">
        <v>230907</v>
      </c>
    </row>
    <row r="24933" spans="1:15" x14ac:dyDescent="0.25">
      <c r="A24933" t="s">
        <v>16</v>
      </c>
      <c r="B24933" t="s">
        <v>3221</v>
      </c>
      <c r="C24933">
        <v>11638</v>
      </c>
      <c r="D24933" t="s">
        <v>2224</v>
      </c>
      <c r="E24933" t="s">
        <v>2225</v>
      </c>
      <c r="F24933">
        <v>3.73</v>
      </c>
      <c r="G24933">
        <v>230901</v>
      </c>
      <c r="H24933">
        <v>4500</v>
      </c>
      <c r="I24933" t="s">
        <v>212</v>
      </c>
      <c r="J24933">
        <v>4.63</v>
      </c>
      <c r="K24933">
        <v>0.9</v>
      </c>
      <c r="L24933">
        <v>69805</v>
      </c>
      <c r="M24933" t="s">
        <v>2506</v>
      </c>
      <c r="N24933" t="str">
        <f>"5997878     "</f>
        <v xml:space="preserve">5997878     </v>
      </c>
      <c r="O24933">
        <v>230907</v>
      </c>
    </row>
    <row r="24934" spans="1:15" x14ac:dyDescent="0.25">
      <c r="A24934" t="s">
        <v>16</v>
      </c>
      <c r="B24934" t="s">
        <v>3221</v>
      </c>
      <c r="C24934">
        <v>12011</v>
      </c>
      <c r="D24934" t="s">
        <v>2224</v>
      </c>
      <c r="E24934" t="s">
        <v>2225</v>
      </c>
      <c r="F24934">
        <v>15.16</v>
      </c>
      <c r="G24934">
        <v>230831</v>
      </c>
      <c r="H24934">
        <v>4500</v>
      </c>
      <c r="I24934" t="s">
        <v>212</v>
      </c>
      <c r="J24934">
        <v>18.8</v>
      </c>
      <c r="K24934">
        <v>3.64</v>
      </c>
      <c r="L24934">
        <v>11801</v>
      </c>
      <c r="M24934" t="s">
        <v>92</v>
      </c>
      <c r="N24934" t="str">
        <f>"5997468     "</f>
        <v xml:space="preserve">5997468     </v>
      </c>
      <c r="O24934">
        <v>230912</v>
      </c>
    </row>
    <row r="24935" spans="1:15" x14ac:dyDescent="0.25">
      <c r="A24935" t="s">
        <v>16</v>
      </c>
      <c r="B24935" t="s">
        <v>3221</v>
      </c>
      <c r="C24935">
        <v>12011</v>
      </c>
      <c r="D24935" t="s">
        <v>2224</v>
      </c>
      <c r="E24935" t="s">
        <v>2225</v>
      </c>
      <c r="F24935">
        <v>128.31</v>
      </c>
      <c r="G24935">
        <v>230831</v>
      </c>
      <c r="H24935">
        <v>4500</v>
      </c>
      <c r="I24935" t="s">
        <v>212</v>
      </c>
      <c r="J24935">
        <v>159.11000000000001</v>
      </c>
      <c r="K24935">
        <v>30.8</v>
      </c>
      <c r="L24935">
        <v>44453</v>
      </c>
      <c r="M24935" t="s">
        <v>492</v>
      </c>
      <c r="N24935" t="str">
        <f>"5997468     "</f>
        <v xml:space="preserve">5997468     </v>
      </c>
      <c r="O24935">
        <v>230912</v>
      </c>
    </row>
    <row r="24936" spans="1:15" x14ac:dyDescent="0.25">
      <c r="A24936" t="s">
        <v>16</v>
      </c>
      <c r="B24936" t="s">
        <v>3221</v>
      </c>
      <c r="C24936">
        <v>12011</v>
      </c>
      <c r="D24936" t="s">
        <v>2224</v>
      </c>
      <c r="E24936" t="s">
        <v>2225</v>
      </c>
      <c r="F24936">
        <v>60.6</v>
      </c>
      <c r="G24936">
        <v>230831</v>
      </c>
      <c r="H24936">
        <v>4500</v>
      </c>
      <c r="I24936" t="s">
        <v>212</v>
      </c>
      <c r="J24936">
        <v>75.14</v>
      </c>
      <c r="K24936">
        <v>14.54</v>
      </c>
      <c r="L24936">
        <v>49702</v>
      </c>
      <c r="M24936" t="s">
        <v>584</v>
      </c>
      <c r="N24936" t="str">
        <f>"5997468     "</f>
        <v xml:space="preserve">5997468     </v>
      </c>
      <c r="O24936">
        <v>230912</v>
      </c>
    </row>
    <row r="24937" spans="1:15" x14ac:dyDescent="0.25">
      <c r="A24937" t="s">
        <v>16</v>
      </c>
      <c r="B24937" t="s">
        <v>3221</v>
      </c>
      <c r="C24937">
        <v>12011</v>
      </c>
      <c r="D24937" t="s">
        <v>2224</v>
      </c>
      <c r="E24937" t="s">
        <v>2225</v>
      </c>
      <c r="F24937">
        <v>79.900000000000006</v>
      </c>
      <c r="G24937">
        <v>230831</v>
      </c>
      <c r="H24937">
        <v>4500</v>
      </c>
      <c r="I24937" t="s">
        <v>212</v>
      </c>
      <c r="J24937">
        <v>99.08</v>
      </c>
      <c r="K24937">
        <v>19.18</v>
      </c>
      <c r="L24937">
        <v>49702</v>
      </c>
      <c r="M24937" t="s">
        <v>584</v>
      </c>
      <c r="N24937" t="str">
        <f>"5997468     "</f>
        <v xml:space="preserve">5997468     </v>
      </c>
      <c r="O24937">
        <v>230912</v>
      </c>
    </row>
    <row r="24938" spans="1:15" x14ac:dyDescent="0.25">
      <c r="A24938" t="s">
        <v>16</v>
      </c>
      <c r="B24938" t="s">
        <v>3221</v>
      </c>
      <c r="C24938">
        <v>12409</v>
      </c>
      <c r="D24938" t="s">
        <v>2224</v>
      </c>
      <c r="E24938" t="s">
        <v>2225</v>
      </c>
      <c r="F24938">
        <v>7.5</v>
      </c>
      <c r="G24938">
        <v>230907</v>
      </c>
      <c r="H24938">
        <v>4500</v>
      </c>
      <c r="I24938" t="s">
        <v>212</v>
      </c>
      <c r="J24938">
        <v>9.3000000000000007</v>
      </c>
      <c r="K24938">
        <v>1.8</v>
      </c>
      <c r="L24938">
        <v>13502</v>
      </c>
      <c r="M24938" t="s">
        <v>243</v>
      </c>
      <c r="N24938" t="str">
        <f t="shared" ref="N24938:N24943" si="476">"5998691     "</f>
        <v xml:space="preserve">5998691     </v>
      </c>
      <c r="O24938">
        <v>230919</v>
      </c>
    </row>
    <row r="24939" spans="1:15" x14ac:dyDescent="0.25">
      <c r="A24939" t="s">
        <v>16</v>
      </c>
      <c r="B24939" t="s">
        <v>3221</v>
      </c>
      <c r="C24939">
        <v>12409</v>
      </c>
      <c r="D24939" t="s">
        <v>2224</v>
      </c>
      <c r="E24939" t="s">
        <v>2225</v>
      </c>
      <c r="F24939">
        <v>114</v>
      </c>
      <c r="G24939">
        <v>230907</v>
      </c>
      <c r="H24939">
        <v>4500</v>
      </c>
      <c r="I24939" t="s">
        <v>212</v>
      </c>
      <c r="J24939">
        <v>141.36000000000001</v>
      </c>
      <c r="K24939">
        <v>27.36</v>
      </c>
      <c r="L24939">
        <v>16820</v>
      </c>
      <c r="M24939" t="s">
        <v>23</v>
      </c>
      <c r="N24939" t="str">
        <f t="shared" si="476"/>
        <v xml:space="preserve">5998691     </v>
      </c>
      <c r="O24939">
        <v>230919</v>
      </c>
    </row>
    <row r="24940" spans="1:15" x14ac:dyDescent="0.25">
      <c r="A24940" t="s">
        <v>16</v>
      </c>
      <c r="B24940" t="s">
        <v>3221</v>
      </c>
      <c r="C24940">
        <v>12409</v>
      </c>
      <c r="D24940" t="s">
        <v>2224</v>
      </c>
      <c r="E24940" t="s">
        <v>2225</v>
      </c>
      <c r="F24940">
        <v>73.55</v>
      </c>
      <c r="G24940">
        <v>230907</v>
      </c>
      <c r="H24940">
        <v>4500</v>
      </c>
      <c r="I24940" t="s">
        <v>212</v>
      </c>
      <c r="J24940">
        <v>91.2</v>
      </c>
      <c r="K24940">
        <v>17.649999999999999</v>
      </c>
      <c r="L24940">
        <v>17529</v>
      </c>
      <c r="M24940" t="s">
        <v>453</v>
      </c>
      <c r="N24940" t="str">
        <f t="shared" si="476"/>
        <v xml:space="preserve">5998691     </v>
      </c>
      <c r="O24940">
        <v>230919</v>
      </c>
    </row>
    <row r="24941" spans="1:15" x14ac:dyDescent="0.25">
      <c r="A24941" t="s">
        <v>16</v>
      </c>
      <c r="B24941" t="s">
        <v>3221</v>
      </c>
      <c r="C24941">
        <v>12409</v>
      </c>
      <c r="D24941" t="s">
        <v>2224</v>
      </c>
      <c r="E24941" t="s">
        <v>2225</v>
      </c>
      <c r="F24941">
        <v>15.04</v>
      </c>
      <c r="G24941">
        <v>230907</v>
      </c>
      <c r="H24941">
        <v>4500</v>
      </c>
      <c r="I24941" t="s">
        <v>212</v>
      </c>
      <c r="J24941">
        <v>18.649999999999999</v>
      </c>
      <c r="K24941">
        <v>3.61</v>
      </c>
      <c r="L24941">
        <v>17531</v>
      </c>
      <c r="M24941" t="s">
        <v>136</v>
      </c>
      <c r="N24941" t="str">
        <f t="shared" si="476"/>
        <v xml:space="preserve">5998691     </v>
      </c>
      <c r="O24941">
        <v>230919</v>
      </c>
    </row>
    <row r="24942" spans="1:15" x14ac:dyDescent="0.25">
      <c r="A24942" t="s">
        <v>16</v>
      </c>
      <c r="B24942" t="s">
        <v>3221</v>
      </c>
      <c r="C24942">
        <v>12409</v>
      </c>
      <c r="D24942" t="s">
        <v>2224</v>
      </c>
      <c r="E24942" t="s">
        <v>2225</v>
      </c>
      <c r="F24942">
        <v>39.51</v>
      </c>
      <c r="G24942">
        <v>230907</v>
      </c>
      <c r="H24942">
        <v>4500</v>
      </c>
      <c r="I24942" t="s">
        <v>212</v>
      </c>
      <c r="J24942">
        <v>48.99</v>
      </c>
      <c r="K24942">
        <v>9.48</v>
      </c>
      <c r="L24942">
        <v>17533</v>
      </c>
      <c r="M24942" t="s">
        <v>990</v>
      </c>
      <c r="N24942" t="str">
        <f t="shared" si="476"/>
        <v xml:space="preserve">5998691     </v>
      </c>
      <c r="O24942">
        <v>230919</v>
      </c>
    </row>
    <row r="24943" spans="1:15" x14ac:dyDescent="0.25">
      <c r="A24943" t="s">
        <v>16</v>
      </c>
      <c r="B24943" t="s">
        <v>3221</v>
      </c>
      <c r="C24943">
        <v>12409</v>
      </c>
      <c r="D24943" t="s">
        <v>2224</v>
      </c>
      <c r="E24943" t="s">
        <v>2225</v>
      </c>
      <c r="F24943">
        <v>273.57</v>
      </c>
      <c r="G24943">
        <v>230907</v>
      </c>
      <c r="H24943">
        <v>4500</v>
      </c>
      <c r="I24943" t="s">
        <v>212</v>
      </c>
      <c r="J24943">
        <v>339.23</v>
      </c>
      <c r="K24943">
        <v>65.66</v>
      </c>
      <c r="L24943">
        <v>17538</v>
      </c>
      <c r="M24943" t="s">
        <v>24</v>
      </c>
      <c r="N24943" t="str">
        <f t="shared" si="476"/>
        <v xml:space="preserve">5998691     </v>
      </c>
      <c r="O24943">
        <v>230919</v>
      </c>
    </row>
    <row r="24944" spans="1:15" x14ac:dyDescent="0.25">
      <c r="A24944" t="s">
        <v>16</v>
      </c>
      <c r="B24944" t="s">
        <v>3221</v>
      </c>
      <c r="C24944">
        <v>12539</v>
      </c>
      <c r="D24944" t="s">
        <v>2224</v>
      </c>
      <c r="E24944" t="s">
        <v>2225</v>
      </c>
      <c r="F24944">
        <v>67.2</v>
      </c>
      <c r="G24944">
        <v>230914</v>
      </c>
      <c r="H24944">
        <v>4500</v>
      </c>
      <c r="I24944" t="s">
        <v>212</v>
      </c>
      <c r="J24944">
        <v>83.33</v>
      </c>
      <c r="K24944">
        <v>16.13</v>
      </c>
      <c r="L24944">
        <v>54422</v>
      </c>
      <c r="M24944" t="s">
        <v>234</v>
      </c>
      <c r="N24944" t="str">
        <f>"5999905     "</f>
        <v xml:space="preserve">5999905     </v>
      </c>
      <c r="O24944">
        <v>230920</v>
      </c>
    </row>
    <row r="24945" spans="1:15" x14ac:dyDescent="0.25">
      <c r="A24945" t="s">
        <v>16</v>
      </c>
      <c r="B24945" t="s">
        <v>3221</v>
      </c>
      <c r="C24945">
        <v>12539</v>
      </c>
      <c r="D24945" t="s">
        <v>2224</v>
      </c>
      <c r="E24945" t="s">
        <v>2225</v>
      </c>
      <c r="F24945">
        <v>93.4</v>
      </c>
      <c r="G24945">
        <v>230914</v>
      </c>
      <c r="H24945">
        <v>4500</v>
      </c>
      <c r="I24945" t="s">
        <v>212</v>
      </c>
      <c r="J24945">
        <v>115.82</v>
      </c>
      <c r="K24945">
        <v>22.42</v>
      </c>
      <c r="L24945">
        <v>56528</v>
      </c>
      <c r="M24945" t="s">
        <v>153</v>
      </c>
      <c r="N24945" t="str">
        <f>"5999905     "</f>
        <v xml:space="preserve">5999905     </v>
      </c>
      <c r="O24945">
        <v>230920</v>
      </c>
    </row>
    <row r="24946" spans="1:15" x14ac:dyDescent="0.25">
      <c r="A24946" t="s">
        <v>16</v>
      </c>
      <c r="B24946" t="s">
        <v>3221</v>
      </c>
      <c r="C24946">
        <v>12539</v>
      </c>
      <c r="D24946" t="s">
        <v>2224</v>
      </c>
      <c r="E24946" t="s">
        <v>2225</v>
      </c>
      <c r="F24946">
        <v>10.5</v>
      </c>
      <c r="G24946">
        <v>230914</v>
      </c>
      <c r="H24946">
        <v>4500</v>
      </c>
      <c r="I24946" t="s">
        <v>212</v>
      </c>
      <c r="J24946">
        <v>13.02</v>
      </c>
      <c r="K24946">
        <v>2.52</v>
      </c>
      <c r="L24946">
        <v>59111</v>
      </c>
      <c r="M24946" t="s">
        <v>1010</v>
      </c>
      <c r="N24946" t="str">
        <f>"5999905     "</f>
        <v xml:space="preserve">5999905     </v>
      </c>
      <c r="O24946">
        <v>230920</v>
      </c>
    </row>
    <row r="24947" spans="1:15" x14ac:dyDescent="0.25">
      <c r="A24947" t="s">
        <v>16</v>
      </c>
      <c r="B24947" t="s">
        <v>3221</v>
      </c>
      <c r="C24947">
        <v>12653</v>
      </c>
      <c r="D24947" t="s">
        <v>2224</v>
      </c>
      <c r="E24947" t="s">
        <v>2225</v>
      </c>
      <c r="F24947">
        <v>58.28</v>
      </c>
      <c r="G24947">
        <v>230913</v>
      </c>
      <c r="H24947">
        <v>4500</v>
      </c>
      <c r="I24947" t="s">
        <v>212</v>
      </c>
      <c r="J24947">
        <v>72.27</v>
      </c>
      <c r="K24947">
        <v>13.99</v>
      </c>
      <c r="L24947">
        <v>14640</v>
      </c>
      <c r="M24947" t="s">
        <v>229</v>
      </c>
      <c r="N24947" t="str">
        <f>"5999662     "</f>
        <v xml:space="preserve">5999662     </v>
      </c>
      <c r="O24947">
        <v>230922</v>
      </c>
    </row>
    <row r="24948" spans="1:15" x14ac:dyDescent="0.25">
      <c r="A24948" t="s">
        <v>16</v>
      </c>
      <c r="B24948" t="s">
        <v>3221</v>
      </c>
      <c r="C24948">
        <v>12653</v>
      </c>
      <c r="D24948" t="s">
        <v>2224</v>
      </c>
      <c r="E24948" t="s">
        <v>2225</v>
      </c>
      <c r="F24948">
        <v>27</v>
      </c>
      <c r="G24948">
        <v>230913</v>
      </c>
      <c r="H24948">
        <v>4500</v>
      </c>
      <c r="I24948" t="s">
        <v>212</v>
      </c>
      <c r="J24948">
        <v>33.479999999999997</v>
      </c>
      <c r="K24948">
        <v>6.48</v>
      </c>
      <c r="L24948">
        <v>14861</v>
      </c>
      <c r="M24948" t="s">
        <v>785</v>
      </c>
      <c r="N24948" t="str">
        <f>"5999662     "</f>
        <v xml:space="preserve">5999662     </v>
      </c>
      <c r="O24948">
        <v>230922</v>
      </c>
    </row>
    <row r="24949" spans="1:15" x14ac:dyDescent="0.25">
      <c r="A24949" t="s">
        <v>16</v>
      </c>
      <c r="B24949" t="s">
        <v>3221</v>
      </c>
      <c r="C24949">
        <v>12653</v>
      </c>
      <c r="D24949" t="s">
        <v>2224</v>
      </c>
      <c r="E24949" t="s">
        <v>2225</v>
      </c>
      <c r="F24949">
        <v>83.37</v>
      </c>
      <c r="G24949">
        <v>230913</v>
      </c>
      <c r="H24949">
        <v>4500</v>
      </c>
      <c r="I24949" t="s">
        <v>212</v>
      </c>
      <c r="J24949">
        <v>103.38</v>
      </c>
      <c r="K24949">
        <v>20.010000000000002</v>
      </c>
      <c r="L24949">
        <v>14972</v>
      </c>
      <c r="M24949" t="s">
        <v>898</v>
      </c>
      <c r="N24949" t="str">
        <f>"5999662     "</f>
        <v xml:space="preserve">5999662     </v>
      </c>
      <c r="O24949">
        <v>230922</v>
      </c>
    </row>
    <row r="24950" spans="1:15" x14ac:dyDescent="0.25">
      <c r="A24950" t="s">
        <v>16</v>
      </c>
      <c r="B24950" t="s">
        <v>3221</v>
      </c>
      <c r="C24950">
        <v>12659</v>
      </c>
      <c r="D24950" t="s">
        <v>2224</v>
      </c>
      <c r="E24950" t="s">
        <v>2225</v>
      </c>
      <c r="F24950">
        <v>438.25</v>
      </c>
      <c r="G24950">
        <v>230919</v>
      </c>
      <c r="H24950">
        <v>4500</v>
      </c>
      <c r="I24950" t="s">
        <v>212</v>
      </c>
      <c r="J24950">
        <v>543.42999999999995</v>
      </c>
      <c r="K24950">
        <v>105.18</v>
      </c>
      <c r="L24950">
        <v>17972</v>
      </c>
      <c r="M24950" t="s">
        <v>248</v>
      </c>
      <c r="N24950" t="str">
        <f>"6000681     "</f>
        <v xml:space="preserve">6000681     </v>
      </c>
      <c r="O24950">
        <v>230922</v>
      </c>
    </row>
    <row r="24951" spans="1:15" x14ac:dyDescent="0.25">
      <c r="A24951" t="s">
        <v>16</v>
      </c>
      <c r="B24951" t="s">
        <v>3221</v>
      </c>
      <c r="C24951">
        <v>12661</v>
      </c>
      <c r="D24951" t="s">
        <v>2224</v>
      </c>
      <c r="E24951" t="s">
        <v>2225</v>
      </c>
      <c r="F24951">
        <v>20.079999999999998</v>
      </c>
      <c r="G24951">
        <v>230919</v>
      </c>
      <c r="H24951">
        <v>4500</v>
      </c>
      <c r="I24951" t="s">
        <v>212</v>
      </c>
      <c r="J24951">
        <v>24.9</v>
      </c>
      <c r="K24951">
        <v>4.82</v>
      </c>
      <c r="L24951">
        <v>14121</v>
      </c>
      <c r="M24951" t="s">
        <v>880</v>
      </c>
      <c r="N24951" t="str">
        <f t="shared" ref="N24951:N24958" si="477">"6000682     "</f>
        <v xml:space="preserve">6000682     </v>
      </c>
      <c r="O24951">
        <v>230922</v>
      </c>
    </row>
    <row r="24952" spans="1:15" x14ac:dyDescent="0.25">
      <c r="A24952" t="s">
        <v>16</v>
      </c>
      <c r="B24952" t="s">
        <v>3221</v>
      </c>
      <c r="C24952">
        <v>12661</v>
      </c>
      <c r="D24952" t="s">
        <v>2224</v>
      </c>
      <c r="E24952" t="s">
        <v>2225</v>
      </c>
      <c r="F24952">
        <v>11.87</v>
      </c>
      <c r="G24952">
        <v>230919</v>
      </c>
      <c r="H24952">
        <v>4500</v>
      </c>
      <c r="I24952" t="s">
        <v>212</v>
      </c>
      <c r="J24952">
        <v>14.72</v>
      </c>
      <c r="K24952">
        <v>2.85</v>
      </c>
      <c r="L24952">
        <v>14321</v>
      </c>
      <c r="M24952" t="s">
        <v>717</v>
      </c>
      <c r="N24952" t="str">
        <f t="shared" si="477"/>
        <v xml:space="preserve">6000682     </v>
      </c>
      <c r="O24952">
        <v>230922</v>
      </c>
    </row>
    <row r="24953" spans="1:15" x14ac:dyDescent="0.25">
      <c r="A24953" t="s">
        <v>16</v>
      </c>
      <c r="B24953" t="s">
        <v>3221</v>
      </c>
      <c r="C24953">
        <v>12661</v>
      </c>
      <c r="D24953" t="s">
        <v>2224</v>
      </c>
      <c r="E24953" t="s">
        <v>2225</v>
      </c>
      <c r="F24953">
        <v>8.2200000000000006</v>
      </c>
      <c r="G24953">
        <v>230919</v>
      </c>
      <c r="H24953">
        <v>4500</v>
      </c>
      <c r="I24953" t="s">
        <v>212</v>
      </c>
      <c r="J24953">
        <v>10.19</v>
      </c>
      <c r="K24953">
        <v>1.97</v>
      </c>
      <c r="L24953">
        <v>14422</v>
      </c>
      <c r="M24953" t="s">
        <v>228</v>
      </c>
      <c r="N24953" t="str">
        <f t="shared" si="477"/>
        <v xml:space="preserve">6000682     </v>
      </c>
      <c r="O24953">
        <v>230922</v>
      </c>
    </row>
    <row r="24954" spans="1:15" x14ac:dyDescent="0.25">
      <c r="A24954" t="s">
        <v>16</v>
      </c>
      <c r="B24954" t="s">
        <v>3221</v>
      </c>
      <c r="C24954">
        <v>12661</v>
      </c>
      <c r="D24954" t="s">
        <v>2224</v>
      </c>
      <c r="E24954" t="s">
        <v>2225</v>
      </c>
      <c r="F24954">
        <v>8.2200000000000006</v>
      </c>
      <c r="G24954">
        <v>230919</v>
      </c>
      <c r="H24954">
        <v>4500</v>
      </c>
      <c r="I24954" t="s">
        <v>212</v>
      </c>
      <c r="J24954">
        <v>10.19</v>
      </c>
      <c r="K24954">
        <v>1.97</v>
      </c>
      <c r="L24954">
        <v>14541</v>
      </c>
      <c r="M24954" t="s">
        <v>626</v>
      </c>
      <c r="N24954" t="str">
        <f t="shared" si="477"/>
        <v xml:space="preserve">6000682     </v>
      </c>
      <c r="O24954">
        <v>230922</v>
      </c>
    </row>
    <row r="24955" spans="1:15" x14ac:dyDescent="0.25">
      <c r="A24955" t="s">
        <v>16</v>
      </c>
      <c r="B24955" t="s">
        <v>3221</v>
      </c>
      <c r="C24955">
        <v>12661</v>
      </c>
      <c r="D24955" t="s">
        <v>2224</v>
      </c>
      <c r="E24955" t="s">
        <v>2225</v>
      </c>
      <c r="F24955">
        <v>29.21</v>
      </c>
      <c r="G24955">
        <v>230919</v>
      </c>
      <c r="H24955">
        <v>4500</v>
      </c>
      <c r="I24955" t="s">
        <v>212</v>
      </c>
      <c r="J24955">
        <v>36.22</v>
      </c>
      <c r="K24955">
        <v>7.01</v>
      </c>
      <c r="L24955">
        <v>14622</v>
      </c>
      <c r="M24955" t="s">
        <v>1005</v>
      </c>
      <c r="N24955" t="str">
        <f t="shared" si="477"/>
        <v xml:space="preserve">6000682     </v>
      </c>
      <c r="O24955">
        <v>230922</v>
      </c>
    </row>
    <row r="24956" spans="1:15" x14ac:dyDescent="0.25">
      <c r="A24956" t="s">
        <v>16</v>
      </c>
      <c r="B24956" t="s">
        <v>3221</v>
      </c>
      <c r="C24956">
        <v>12661</v>
      </c>
      <c r="D24956" t="s">
        <v>2224</v>
      </c>
      <c r="E24956" t="s">
        <v>2225</v>
      </c>
      <c r="F24956">
        <v>7.31</v>
      </c>
      <c r="G24956">
        <v>230919</v>
      </c>
      <c r="H24956">
        <v>4500</v>
      </c>
      <c r="I24956" t="s">
        <v>212</v>
      </c>
      <c r="J24956">
        <v>9.06</v>
      </c>
      <c r="K24956">
        <v>1.75</v>
      </c>
      <c r="L24956">
        <v>14640</v>
      </c>
      <c r="M24956" t="s">
        <v>229</v>
      </c>
      <c r="N24956" t="str">
        <f t="shared" si="477"/>
        <v xml:space="preserve">6000682     </v>
      </c>
      <c r="O24956">
        <v>230922</v>
      </c>
    </row>
    <row r="24957" spans="1:15" x14ac:dyDescent="0.25">
      <c r="A24957" t="s">
        <v>16</v>
      </c>
      <c r="B24957" t="s">
        <v>3221</v>
      </c>
      <c r="C24957">
        <v>12661</v>
      </c>
      <c r="D24957" t="s">
        <v>2224</v>
      </c>
      <c r="E24957" t="s">
        <v>2225</v>
      </c>
      <c r="F24957">
        <v>6.39</v>
      </c>
      <c r="G24957">
        <v>230919</v>
      </c>
      <c r="H24957">
        <v>4500</v>
      </c>
      <c r="I24957" t="s">
        <v>212</v>
      </c>
      <c r="J24957">
        <v>7.92</v>
      </c>
      <c r="K24957">
        <v>1.53</v>
      </c>
      <c r="L24957">
        <v>14861</v>
      </c>
      <c r="M24957" t="s">
        <v>785</v>
      </c>
      <c r="N24957" t="str">
        <f t="shared" si="477"/>
        <v xml:space="preserve">6000682     </v>
      </c>
      <c r="O24957">
        <v>230922</v>
      </c>
    </row>
    <row r="24958" spans="1:15" x14ac:dyDescent="0.25">
      <c r="A24958" t="s">
        <v>16</v>
      </c>
      <c r="B24958" t="s">
        <v>3221</v>
      </c>
      <c r="C24958">
        <v>12661</v>
      </c>
      <c r="D24958" t="s">
        <v>2224</v>
      </c>
      <c r="E24958" t="s">
        <v>2225</v>
      </c>
      <c r="F24958">
        <v>10.14</v>
      </c>
      <c r="G24958">
        <v>230919</v>
      </c>
      <c r="H24958">
        <v>4500</v>
      </c>
      <c r="I24958" t="s">
        <v>212</v>
      </c>
      <c r="J24958">
        <v>12.57</v>
      </c>
      <c r="K24958">
        <v>2.4300000000000002</v>
      </c>
      <c r="L24958">
        <v>14972</v>
      </c>
      <c r="M24958" t="s">
        <v>898</v>
      </c>
      <c r="N24958" t="str">
        <f t="shared" si="477"/>
        <v xml:space="preserve">6000682     </v>
      </c>
      <c r="O24958">
        <v>230922</v>
      </c>
    </row>
    <row r="24959" spans="1:15" x14ac:dyDescent="0.25">
      <c r="A24959" t="s">
        <v>16</v>
      </c>
      <c r="B24959" t="s">
        <v>3221</v>
      </c>
      <c r="C24959">
        <v>12738</v>
      </c>
      <c r="D24959" t="s">
        <v>2224</v>
      </c>
      <c r="E24959" t="s">
        <v>2225</v>
      </c>
      <c r="F24959">
        <v>23.36</v>
      </c>
      <c r="G24959">
        <v>230907</v>
      </c>
      <c r="H24959">
        <v>4500</v>
      </c>
      <c r="I24959" t="s">
        <v>212</v>
      </c>
      <c r="J24959">
        <v>28.97</v>
      </c>
      <c r="K24959">
        <v>5.61</v>
      </c>
      <c r="L24959">
        <v>17808</v>
      </c>
      <c r="M24959" t="s">
        <v>322</v>
      </c>
      <c r="N24959" t="str">
        <f>"5998690     "</f>
        <v xml:space="preserve">5998690     </v>
      </c>
      <c r="O24959">
        <v>230925</v>
      </c>
    </row>
    <row r="24960" spans="1:15" x14ac:dyDescent="0.25">
      <c r="A24960" t="s">
        <v>16</v>
      </c>
      <c r="B24960" t="s">
        <v>3221</v>
      </c>
      <c r="C24960">
        <v>12738</v>
      </c>
      <c r="D24960" t="s">
        <v>2224</v>
      </c>
      <c r="E24960" t="s">
        <v>2225</v>
      </c>
      <c r="F24960">
        <v>132.03</v>
      </c>
      <c r="G24960">
        <v>230907</v>
      </c>
      <c r="H24960">
        <v>4500</v>
      </c>
      <c r="I24960" t="s">
        <v>212</v>
      </c>
      <c r="J24960">
        <v>163.72</v>
      </c>
      <c r="K24960">
        <v>31.69</v>
      </c>
      <c r="L24960">
        <v>17809</v>
      </c>
      <c r="M24960" t="s">
        <v>376</v>
      </c>
      <c r="N24960" t="str">
        <f>"5998690     "</f>
        <v xml:space="preserve">5998690     </v>
      </c>
      <c r="O24960">
        <v>230925</v>
      </c>
    </row>
    <row r="24961" spans="1:15" x14ac:dyDescent="0.25">
      <c r="A24961" t="s">
        <v>16</v>
      </c>
      <c r="B24961" t="s">
        <v>3221</v>
      </c>
      <c r="C24961">
        <v>12739</v>
      </c>
      <c r="D24961" t="s">
        <v>2224</v>
      </c>
      <c r="E24961" t="s">
        <v>2225</v>
      </c>
      <c r="F24961">
        <v>20.399999999999999</v>
      </c>
      <c r="G24961">
        <v>230915</v>
      </c>
      <c r="H24961">
        <v>4500</v>
      </c>
      <c r="I24961" t="s">
        <v>212</v>
      </c>
      <c r="J24961">
        <v>25.3</v>
      </c>
      <c r="K24961">
        <v>4.9000000000000004</v>
      </c>
      <c r="L24961">
        <v>17808</v>
      </c>
      <c r="M24961" t="s">
        <v>322</v>
      </c>
      <c r="N24961" t="str">
        <f>"6000184     "</f>
        <v xml:space="preserve">6000184     </v>
      </c>
      <c r="O24961">
        <v>230925</v>
      </c>
    </row>
    <row r="24962" spans="1:15" x14ac:dyDescent="0.25">
      <c r="A24962" t="s">
        <v>16</v>
      </c>
      <c r="B24962" t="s">
        <v>3221</v>
      </c>
      <c r="C24962">
        <v>12740</v>
      </c>
      <c r="D24962" t="s">
        <v>2224</v>
      </c>
      <c r="E24962" t="s">
        <v>2225</v>
      </c>
      <c r="F24962">
        <v>66.69</v>
      </c>
      <c r="G24962">
        <v>230918</v>
      </c>
      <c r="H24962">
        <v>4500</v>
      </c>
      <c r="I24962" t="s">
        <v>212</v>
      </c>
      <c r="J24962">
        <v>82.7</v>
      </c>
      <c r="K24962">
        <v>16.010000000000002</v>
      </c>
      <c r="L24962">
        <v>17802</v>
      </c>
      <c r="M24962" t="s">
        <v>174</v>
      </c>
      <c r="N24962" t="str">
        <f>"6000446     "</f>
        <v xml:space="preserve">6000446     </v>
      </c>
      <c r="O24962">
        <v>230925</v>
      </c>
    </row>
    <row r="24963" spans="1:15" x14ac:dyDescent="0.25">
      <c r="A24963" t="s">
        <v>16</v>
      </c>
      <c r="B24963" t="s">
        <v>3221</v>
      </c>
      <c r="C24963">
        <v>12740</v>
      </c>
      <c r="D24963" t="s">
        <v>2224</v>
      </c>
      <c r="E24963" t="s">
        <v>2225</v>
      </c>
      <c r="F24963">
        <v>43.4</v>
      </c>
      <c r="G24963">
        <v>230918</v>
      </c>
      <c r="H24963">
        <v>4500</v>
      </c>
      <c r="I24963" t="s">
        <v>212</v>
      </c>
      <c r="J24963">
        <v>53.82</v>
      </c>
      <c r="K24963">
        <v>10.42</v>
      </c>
      <c r="L24963">
        <v>17808</v>
      </c>
      <c r="M24963" t="s">
        <v>322</v>
      </c>
      <c r="N24963" t="str">
        <f>"6000446     "</f>
        <v xml:space="preserve">6000446     </v>
      </c>
      <c r="O24963">
        <v>230925</v>
      </c>
    </row>
    <row r="24964" spans="1:15" x14ac:dyDescent="0.25">
      <c r="A24964" t="s">
        <v>16</v>
      </c>
      <c r="B24964" t="s">
        <v>3221</v>
      </c>
      <c r="C24964">
        <v>12799</v>
      </c>
      <c r="D24964" t="s">
        <v>2224</v>
      </c>
      <c r="E24964" t="s">
        <v>2225</v>
      </c>
      <c r="F24964">
        <v>66.19</v>
      </c>
      <c r="G24964">
        <v>230921</v>
      </c>
      <c r="H24964">
        <v>4500</v>
      </c>
      <c r="I24964" t="s">
        <v>212</v>
      </c>
      <c r="J24964">
        <v>82.07</v>
      </c>
      <c r="K24964">
        <v>15.88</v>
      </c>
      <c r="L24964">
        <v>69702</v>
      </c>
      <c r="M24964" t="s">
        <v>489</v>
      </c>
      <c r="N24964" t="str">
        <f>"6001149     "</f>
        <v xml:space="preserve">6001149     </v>
      </c>
      <c r="O24964">
        <v>230926</v>
      </c>
    </row>
    <row r="24965" spans="1:15" x14ac:dyDescent="0.25">
      <c r="A24965" t="s">
        <v>16</v>
      </c>
      <c r="B24965" t="s">
        <v>3221</v>
      </c>
      <c r="C24965">
        <v>12799</v>
      </c>
      <c r="D24965" t="s">
        <v>2224</v>
      </c>
      <c r="E24965" t="s">
        <v>2225</v>
      </c>
      <c r="F24965">
        <v>96.69</v>
      </c>
      <c r="G24965">
        <v>230921</v>
      </c>
      <c r="H24965">
        <v>4500</v>
      </c>
      <c r="I24965" t="s">
        <v>212</v>
      </c>
      <c r="J24965">
        <v>119.9</v>
      </c>
      <c r="K24965">
        <v>23.21</v>
      </c>
      <c r="L24965">
        <v>69704</v>
      </c>
      <c r="M24965" t="s">
        <v>325</v>
      </c>
      <c r="N24965" t="str">
        <f>"6001149     "</f>
        <v xml:space="preserve">6001149     </v>
      </c>
      <c r="O24965">
        <v>230926</v>
      </c>
    </row>
    <row r="24966" spans="1:15" x14ac:dyDescent="0.25">
      <c r="A24966" t="s">
        <v>16</v>
      </c>
      <c r="B24966" t="s">
        <v>3221</v>
      </c>
      <c r="C24966">
        <v>12810</v>
      </c>
      <c r="D24966" t="s">
        <v>2224</v>
      </c>
      <c r="E24966" t="s">
        <v>2225</v>
      </c>
      <c r="F24966">
        <v>11.5</v>
      </c>
      <c r="G24966">
        <v>230921</v>
      </c>
      <c r="H24966">
        <v>4500</v>
      </c>
      <c r="I24966" t="s">
        <v>212</v>
      </c>
      <c r="J24966">
        <v>14.26</v>
      </c>
      <c r="K24966">
        <v>2.76</v>
      </c>
      <c r="L24966">
        <v>14121</v>
      </c>
      <c r="M24966" t="s">
        <v>880</v>
      </c>
      <c r="N24966" t="str">
        <f t="shared" ref="N24966:N24973" si="478">"6001150     "</f>
        <v xml:space="preserve">6001150     </v>
      </c>
      <c r="O24966">
        <v>230926</v>
      </c>
    </row>
    <row r="24967" spans="1:15" x14ac:dyDescent="0.25">
      <c r="A24967" t="s">
        <v>16</v>
      </c>
      <c r="B24967" t="s">
        <v>3221</v>
      </c>
      <c r="C24967">
        <v>12810</v>
      </c>
      <c r="D24967" t="s">
        <v>2224</v>
      </c>
      <c r="E24967" t="s">
        <v>2225</v>
      </c>
      <c r="F24967">
        <v>6.8</v>
      </c>
      <c r="G24967">
        <v>230921</v>
      </c>
      <c r="H24967">
        <v>4500</v>
      </c>
      <c r="I24967" t="s">
        <v>212</v>
      </c>
      <c r="J24967">
        <v>8.43</v>
      </c>
      <c r="K24967">
        <v>1.63</v>
      </c>
      <c r="L24967">
        <v>14321</v>
      </c>
      <c r="M24967" t="s">
        <v>717</v>
      </c>
      <c r="N24967" t="str">
        <f t="shared" si="478"/>
        <v xml:space="preserve">6001150     </v>
      </c>
      <c r="O24967">
        <v>230926</v>
      </c>
    </row>
    <row r="24968" spans="1:15" x14ac:dyDescent="0.25">
      <c r="A24968" t="s">
        <v>16</v>
      </c>
      <c r="B24968" t="s">
        <v>3221</v>
      </c>
      <c r="C24968">
        <v>12810</v>
      </c>
      <c r="D24968" t="s">
        <v>2224</v>
      </c>
      <c r="E24968" t="s">
        <v>2225</v>
      </c>
      <c r="F24968">
        <v>4.71</v>
      </c>
      <c r="G24968">
        <v>230921</v>
      </c>
      <c r="H24968">
        <v>4500</v>
      </c>
      <c r="I24968" t="s">
        <v>212</v>
      </c>
      <c r="J24968">
        <v>5.84</v>
      </c>
      <c r="K24968">
        <v>1.1299999999999999</v>
      </c>
      <c r="L24968">
        <v>14422</v>
      </c>
      <c r="M24968" t="s">
        <v>228</v>
      </c>
      <c r="N24968" t="str">
        <f t="shared" si="478"/>
        <v xml:space="preserve">6001150     </v>
      </c>
      <c r="O24968">
        <v>230926</v>
      </c>
    </row>
    <row r="24969" spans="1:15" x14ac:dyDescent="0.25">
      <c r="A24969" t="s">
        <v>16</v>
      </c>
      <c r="B24969" t="s">
        <v>3221</v>
      </c>
      <c r="C24969">
        <v>12810</v>
      </c>
      <c r="D24969" t="s">
        <v>2224</v>
      </c>
      <c r="E24969" t="s">
        <v>2225</v>
      </c>
      <c r="F24969">
        <v>4.71</v>
      </c>
      <c r="G24969">
        <v>230921</v>
      </c>
      <c r="H24969">
        <v>4500</v>
      </c>
      <c r="I24969" t="s">
        <v>212</v>
      </c>
      <c r="J24969">
        <v>5.84</v>
      </c>
      <c r="K24969">
        <v>1.1299999999999999</v>
      </c>
      <c r="L24969">
        <v>14541</v>
      </c>
      <c r="M24969" t="s">
        <v>626</v>
      </c>
      <c r="N24969" t="str">
        <f t="shared" si="478"/>
        <v xml:space="preserve">6001150     </v>
      </c>
      <c r="O24969">
        <v>230926</v>
      </c>
    </row>
    <row r="24970" spans="1:15" x14ac:dyDescent="0.25">
      <c r="A24970" t="s">
        <v>16</v>
      </c>
      <c r="B24970" t="s">
        <v>3221</v>
      </c>
      <c r="C24970">
        <v>12810</v>
      </c>
      <c r="D24970" t="s">
        <v>2224</v>
      </c>
      <c r="E24970" t="s">
        <v>2225</v>
      </c>
      <c r="F24970">
        <v>16.73</v>
      </c>
      <c r="G24970">
        <v>230921</v>
      </c>
      <c r="H24970">
        <v>4500</v>
      </c>
      <c r="I24970" t="s">
        <v>212</v>
      </c>
      <c r="J24970">
        <v>20.75</v>
      </c>
      <c r="K24970">
        <v>4.0199999999999996</v>
      </c>
      <c r="L24970">
        <v>14622</v>
      </c>
      <c r="M24970" t="s">
        <v>1005</v>
      </c>
      <c r="N24970" t="str">
        <f t="shared" si="478"/>
        <v xml:space="preserve">6001150     </v>
      </c>
      <c r="O24970">
        <v>230926</v>
      </c>
    </row>
    <row r="24971" spans="1:15" x14ac:dyDescent="0.25">
      <c r="A24971" t="s">
        <v>16</v>
      </c>
      <c r="B24971" t="s">
        <v>3221</v>
      </c>
      <c r="C24971">
        <v>12810</v>
      </c>
      <c r="D24971" t="s">
        <v>2224</v>
      </c>
      <c r="E24971" t="s">
        <v>2225</v>
      </c>
      <c r="F24971">
        <v>4.1900000000000004</v>
      </c>
      <c r="G24971">
        <v>230921</v>
      </c>
      <c r="H24971">
        <v>4500</v>
      </c>
      <c r="I24971" t="s">
        <v>212</v>
      </c>
      <c r="J24971">
        <v>5.19</v>
      </c>
      <c r="K24971">
        <v>1</v>
      </c>
      <c r="L24971">
        <v>14640</v>
      </c>
      <c r="M24971" t="s">
        <v>229</v>
      </c>
      <c r="N24971" t="str">
        <f t="shared" si="478"/>
        <v xml:space="preserve">6001150     </v>
      </c>
      <c r="O24971">
        <v>230926</v>
      </c>
    </row>
    <row r="24972" spans="1:15" x14ac:dyDescent="0.25">
      <c r="A24972" t="s">
        <v>16</v>
      </c>
      <c r="B24972" t="s">
        <v>3221</v>
      </c>
      <c r="C24972">
        <v>12810</v>
      </c>
      <c r="D24972" t="s">
        <v>2224</v>
      </c>
      <c r="E24972" t="s">
        <v>2225</v>
      </c>
      <c r="F24972">
        <v>3.66</v>
      </c>
      <c r="G24972">
        <v>230921</v>
      </c>
      <c r="H24972">
        <v>4500</v>
      </c>
      <c r="I24972" t="s">
        <v>212</v>
      </c>
      <c r="J24972">
        <v>4.54</v>
      </c>
      <c r="K24972">
        <v>0.88</v>
      </c>
      <c r="L24972">
        <v>14861</v>
      </c>
      <c r="M24972" t="s">
        <v>785</v>
      </c>
      <c r="N24972" t="str">
        <f t="shared" si="478"/>
        <v xml:space="preserve">6001150     </v>
      </c>
      <c r="O24972">
        <v>230926</v>
      </c>
    </row>
    <row r="24973" spans="1:15" x14ac:dyDescent="0.25">
      <c r="A24973" t="s">
        <v>16</v>
      </c>
      <c r="B24973" t="s">
        <v>3221</v>
      </c>
      <c r="C24973">
        <v>12810</v>
      </c>
      <c r="D24973" t="s">
        <v>2224</v>
      </c>
      <c r="E24973" t="s">
        <v>2225</v>
      </c>
      <c r="F24973">
        <v>5.8</v>
      </c>
      <c r="G24973">
        <v>230921</v>
      </c>
      <c r="H24973">
        <v>4500</v>
      </c>
      <c r="I24973" t="s">
        <v>212</v>
      </c>
      <c r="J24973">
        <v>7.19</v>
      </c>
      <c r="K24973">
        <v>1.39</v>
      </c>
      <c r="L24973">
        <v>14972</v>
      </c>
      <c r="M24973" t="s">
        <v>898</v>
      </c>
      <c r="N24973" t="str">
        <f t="shared" si="478"/>
        <v xml:space="preserve">6001150     </v>
      </c>
      <c r="O24973">
        <v>230926</v>
      </c>
    </row>
    <row r="24974" spans="1:15" x14ac:dyDescent="0.25">
      <c r="A24974" t="s">
        <v>16</v>
      </c>
      <c r="B24974" t="s">
        <v>3221</v>
      </c>
      <c r="C24974">
        <v>12827</v>
      </c>
      <c r="D24974" t="s">
        <v>2224</v>
      </c>
      <c r="E24974" t="s">
        <v>2225</v>
      </c>
      <c r="F24974">
        <v>25.56</v>
      </c>
      <c r="G24974">
        <v>230920</v>
      </c>
      <c r="H24974">
        <v>4500</v>
      </c>
      <c r="I24974" t="s">
        <v>212</v>
      </c>
      <c r="J24974">
        <v>31.7</v>
      </c>
      <c r="K24974">
        <v>6.14</v>
      </c>
      <c r="L24974">
        <v>11001</v>
      </c>
      <c r="M24974" t="s">
        <v>326</v>
      </c>
      <c r="N24974" t="str">
        <f t="shared" ref="N24974:N24992" si="479">"6000914     "</f>
        <v xml:space="preserve">6000914     </v>
      </c>
      <c r="O24974">
        <v>230926</v>
      </c>
    </row>
    <row r="24975" spans="1:15" x14ac:dyDescent="0.25">
      <c r="A24975" t="s">
        <v>16</v>
      </c>
      <c r="B24975" t="s">
        <v>3221</v>
      </c>
      <c r="C24975">
        <v>12827</v>
      </c>
      <c r="D24975" t="s">
        <v>2224</v>
      </c>
      <c r="E24975" t="s">
        <v>2225</v>
      </c>
      <c r="F24975">
        <v>12.99</v>
      </c>
      <c r="G24975">
        <v>230920</v>
      </c>
      <c r="H24975">
        <v>4500</v>
      </c>
      <c r="I24975" t="s">
        <v>212</v>
      </c>
      <c r="J24975">
        <v>16.11</v>
      </c>
      <c r="K24975">
        <v>3.12</v>
      </c>
      <c r="L24975">
        <v>11101</v>
      </c>
      <c r="M24975" t="s">
        <v>110</v>
      </c>
      <c r="N24975" t="str">
        <f t="shared" si="479"/>
        <v xml:space="preserve">6000914     </v>
      </c>
      <c r="O24975">
        <v>230926</v>
      </c>
    </row>
    <row r="24976" spans="1:15" x14ac:dyDescent="0.25">
      <c r="A24976" t="s">
        <v>16</v>
      </c>
      <c r="B24976" t="s">
        <v>3221</v>
      </c>
      <c r="C24976">
        <v>12827</v>
      </c>
      <c r="D24976" t="s">
        <v>2224</v>
      </c>
      <c r="E24976" t="s">
        <v>2225</v>
      </c>
      <c r="F24976">
        <v>13.07</v>
      </c>
      <c r="G24976">
        <v>230920</v>
      </c>
      <c r="H24976">
        <v>4500</v>
      </c>
      <c r="I24976" t="s">
        <v>212</v>
      </c>
      <c r="J24976">
        <v>16.21</v>
      </c>
      <c r="K24976">
        <v>3.14</v>
      </c>
      <c r="L24976">
        <v>54222</v>
      </c>
      <c r="M24976" t="s">
        <v>308</v>
      </c>
      <c r="N24976" t="str">
        <f t="shared" si="479"/>
        <v xml:space="preserve">6000914     </v>
      </c>
      <c r="O24976">
        <v>230926</v>
      </c>
    </row>
    <row r="24977" spans="1:15" x14ac:dyDescent="0.25">
      <c r="A24977" t="s">
        <v>16</v>
      </c>
      <c r="B24977" t="s">
        <v>3221</v>
      </c>
      <c r="C24977">
        <v>12827</v>
      </c>
      <c r="D24977" t="s">
        <v>2224</v>
      </c>
      <c r="E24977" t="s">
        <v>2225</v>
      </c>
      <c r="F24977">
        <v>7.09</v>
      </c>
      <c r="G24977">
        <v>230920</v>
      </c>
      <c r="H24977">
        <v>4500</v>
      </c>
      <c r="I24977" t="s">
        <v>212</v>
      </c>
      <c r="J24977">
        <v>8.7899999999999991</v>
      </c>
      <c r="K24977">
        <v>1.7</v>
      </c>
      <c r="L24977">
        <v>54422</v>
      </c>
      <c r="M24977" t="s">
        <v>234</v>
      </c>
      <c r="N24977" t="str">
        <f t="shared" si="479"/>
        <v xml:space="preserve">6000914     </v>
      </c>
      <c r="O24977">
        <v>230926</v>
      </c>
    </row>
    <row r="24978" spans="1:15" x14ac:dyDescent="0.25">
      <c r="A24978" t="s">
        <v>16</v>
      </c>
      <c r="B24978" t="s">
        <v>3221</v>
      </c>
      <c r="C24978">
        <v>12827</v>
      </c>
      <c r="D24978" t="s">
        <v>2224</v>
      </c>
      <c r="E24978" t="s">
        <v>2225</v>
      </c>
      <c r="F24978">
        <v>0.85</v>
      </c>
      <c r="G24978">
        <v>230920</v>
      </c>
      <c r="H24978">
        <v>4500</v>
      </c>
      <c r="I24978" t="s">
        <v>212</v>
      </c>
      <c r="J24978">
        <v>1.05</v>
      </c>
      <c r="K24978">
        <v>0.2</v>
      </c>
      <c r="L24978">
        <v>56526</v>
      </c>
      <c r="M24978" t="s">
        <v>1217</v>
      </c>
      <c r="N24978" t="str">
        <f t="shared" si="479"/>
        <v xml:space="preserve">6000914     </v>
      </c>
      <c r="O24978">
        <v>230926</v>
      </c>
    </row>
    <row r="24979" spans="1:15" x14ac:dyDescent="0.25">
      <c r="A24979" t="s">
        <v>16</v>
      </c>
      <c r="B24979" t="s">
        <v>3221</v>
      </c>
      <c r="C24979">
        <v>12827</v>
      </c>
      <c r="D24979" t="s">
        <v>2224</v>
      </c>
      <c r="E24979" t="s">
        <v>2225</v>
      </c>
      <c r="F24979">
        <v>12.64</v>
      </c>
      <c r="G24979">
        <v>230920</v>
      </c>
      <c r="H24979">
        <v>4500</v>
      </c>
      <c r="I24979" t="s">
        <v>212</v>
      </c>
      <c r="J24979">
        <v>15.67</v>
      </c>
      <c r="K24979">
        <v>3.03</v>
      </c>
      <c r="L24979">
        <v>56558</v>
      </c>
      <c r="M24979" t="s">
        <v>217</v>
      </c>
      <c r="N24979" t="str">
        <f t="shared" si="479"/>
        <v xml:space="preserve">6000914     </v>
      </c>
      <c r="O24979">
        <v>230926</v>
      </c>
    </row>
    <row r="24980" spans="1:15" x14ac:dyDescent="0.25">
      <c r="A24980" t="s">
        <v>16</v>
      </c>
      <c r="B24980" t="s">
        <v>3221</v>
      </c>
      <c r="C24980">
        <v>12827</v>
      </c>
      <c r="D24980" t="s">
        <v>2224</v>
      </c>
      <c r="E24980" t="s">
        <v>2225</v>
      </c>
      <c r="F24980">
        <v>68.17</v>
      </c>
      <c r="G24980">
        <v>230920</v>
      </c>
      <c r="H24980">
        <v>4500</v>
      </c>
      <c r="I24980" t="s">
        <v>212</v>
      </c>
      <c r="J24980">
        <v>84.53</v>
      </c>
      <c r="K24980">
        <v>16.36</v>
      </c>
      <c r="L24980">
        <v>56559</v>
      </c>
      <c r="M24980" t="s">
        <v>129</v>
      </c>
      <c r="N24980" t="str">
        <f t="shared" si="479"/>
        <v xml:space="preserve">6000914     </v>
      </c>
      <c r="O24980">
        <v>230926</v>
      </c>
    </row>
    <row r="24981" spans="1:15" x14ac:dyDescent="0.25">
      <c r="A24981" t="s">
        <v>16</v>
      </c>
      <c r="B24981" t="s">
        <v>3221</v>
      </c>
      <c r="C24981">
        <v>12827</v>
      </c>
      <c r="D24981" t="s">
        <v>2224</v>
      </c>
      <c r="E24981" t="s">
        <v>2225</v>
      </c>
      <c r="F24981">
        <v>54.35</v>
      </c>
      <c r="G24981">
        <v>230920</v>
      </c>
      <c r="H24981">
        <v>4500</v>
      </c>
      <c r="I24981" t="s">
        <v>212</v>
      </c>
      <c r="J24981">
        <v>67.400000000000006</v>
      </c>
      <c r="K24981">
        <v>13.05</v>
      </c>
      <c r="L24981">
        <v>56560</v>
      </c>
      <c r="M24981" t="s">
        <v>654</v>
      </c>
      <c r="N24981" t="str">
        <f t="shared" si="479"/>
        <v xml:space="preserve">6000914     </v>
      </c>
      <c r="O24981">
        <v>230926</v>
      </c>
    </row>
    <row r="24982" spans="1:15" x14ac:dyDescent="0.25">
      <c r="A24982" t="s">
        <v>16</v>
      </c>
      <c r="B24982" t="s">
        <v>3221</v>
      </c>
      <c r="C24982">
        <v>12827</v>
      </c>
      <c r="D24982" t="s">
        <v>2224</v>
      </c>
      <c r="E24982" t="s">
        <v>2225</v>
      </c>
      <c r="F24982">
        <v>1.69</v>
      </c>
      <c r="G24982">
        <v>230920</v>
      </c>
      <c r="H24982">
        <v>4500</v>
      </c>
      <c r="I24982" t="s">
        <v>212</v>
      </c>
      <c r="J24982">
        <v>2.1</v>
      </c>
      <c r="K24982">
        <v>0.41</v>
      </c>
      <c r="L24982">
        <v>56561</v>
      </c>
      <c r="M24982" t="s">
        <v>358</v>
      </c>
      <c r="N24982" t="str">
        <f t="shared" si="479"/>
        <v xml:space="preserve">6000914     </v>
      </c>
      <c r="O24982">
        <v>230926</v>
      </c>
    </row>
    <row r="24983" spans="1:15" x14ac:dyDescent="0.25">
      <c r="A24983" t="s">
        <v>16</v>
      </c>
      <c r="B24983" t="s">
        <v>3221</v>
      </c>
      <c r="C24983">
        <v>12827</v>
      </c>
      <c r="D24983" t="s">
        <v>2224</v>
      </c>
      <c r="E24983" t="s">
        <v>2225</v>
      </c>
      <c r="F24983">
        <v>3.61</v>
      </c>
      <c r="G24983">
        <v>230920</v>
      </c>
      <c r="H24983">
        <v>4500</v>
      </c>
      <c r="I24983" t="s">
        <v>212</v>
      </c>
      <c r="J24983">
        <v>4.4800000000000004</v>
      </c>
      <c r="K24983">
        <v>0.87</v>
      </c>
      <c r="L24983">
        <v>56562</v>
      </c>
      <c r="M24983" t="s">
        <v>126</v>
      </c>
      <c r="N24983" t="str">
        <f t="shared" si="479"/>
        <v xml:space="preserve">6000914     </v>
      </c>
      <c r="O24983">
        <v>230926</v>
      </c>
    </row>
    <row r="24984" spans="1:15" x14ac:dyDescent="0.25">
      <c r="A24984" t="s">
        <v>16</v>
      </c>
      <c r="B24984" t="s">
        <v>3221</v>
      </c>
      <c r="C24984">
        <v>12827</v>
      </c>
      <c r="D24984" t="s">
        <v>2224</v>
      </c>
      <c r="E24984" t="s">
        <v>2225</v>
      </c>
      <c r="F24984">
        <v>25.27</v>
      </c>
      <c r="G24984">
        <v>230920</v>
      </c>
      <c r="H24984">
        <v>4500</v>
      </c>
      <c r="I24984" t="s">
        <v>212</v>
      </c>
      <c r="J24984">
        <v>31.34</v>
      </c>
      <c r="K24984">
        <v>6.07</v>
      </c>
      <c r="L24984">
        <v>56564</v>
      </c>
      <c r="M24984" t="s">
        <v>327</v>
      </c>
      <c r="N24984" t="str">
        <f t="shared" si="479"/>
        <v xml:space="preserve">6000914     </v>
      </c>
      <c r="O24984">
        <v>230926</v>
      </c>
    </row>
    <row r="24985" spans="1:15" x14ac:dyDescent="0.25">
      <c r="A24985" t="s">
        <v>16</v>
      </c>
      <c r="B24985" t="s">
        <v>3221</v>
      </c>
      <c r="C24985">
        <v>12827</v>
      </c>
      <c r="D24985" t="s">
        <v>2224</v>
      </c>
      <c r="E24985" t="s">
        <v>2225</v>
      </c>
      <c r="F24985">
        <v>4.67</v>
      </c>
      <c r="G24985">
        <v>230920</v>
      </c>
      <c r="H24985">
        <v>4500</v>
      </c>
      <c r="I24985" t="s">
        <v>212</v>
      </c>
      <c r="J24985">
        <v>5.79</v>
      </c>
      <c r="K24985">
        <v>1.1200000000000001</v>
      </c>
      <c r="L24985">
        <v>56565</v>
      </c>
      <c r="M24985" t="s">
        <v>758</v>
      </c>
      <c r="N24985" t="str">
        <f t="shared" si="479"/>
        <v xml:space="preserve">6000914     </v>
      </c>
      <c r="O24985">
        <v>230926</v>
      </c>
    </row>
    <row r="24986" spans="1:15" x14ac:dyDescent="0.25">
      <c r="A24986" t="s">
        <v>16</v>
      </c>
      <c r="B24986" t="s">
        <v>3221</v>
      </c>
      <c r="C24986">
        <v>12827</v>
      </c>
      <c r="D24986" t="s">
        <v>2224</v>
      </c>
      <c r="E24986" t="s">
        <v>2225</v>
      </c>
      <c r="F24986">
        <v>2.14</v>
      </c>
      <c r="G24986">
        <v>230920</v>
      </c>
      <c r="H24986">
        <v>4500</v>
      </c>
      <c r="I24986" t="s">
        <v>212</v>
      </c>
      <c r="J24986">
        <v>2.65</v>
      </c>
      <c r="K24986">
        <v>0.51</v>
      </c>
      <c r="L24986">
        <v>59111</v>
      </c>
      <c r="M24986" t="s">
        <v>1010</v>
      </c>
      <c r="N24986" t="str">
        <f t="shared" si="479"/>
        <v xml:space="preserve">6000914     </v>
      </c>
      <c r="O24986">
        <v>230926</v>
      </c>
    </row>
    <row r="24987" spans="1:15" x14ac:dyDescent="0.25">
      <c r="A24987" t="s">
        <v>16</v>
      </c>
      <c r="B24987" t="s">
        <v>3221</v>
      </c>
      <c r="C24987">
        <v>12827</v>
      </c>
      <c r="D24987" t="s">
        <v>2224</v>
      </c>
      <c r="E24987" t="s">
        <v>2225</v>
      </c>
      <c r="F24987">
        <v>16.399999999999999</v>
      </c>
      <c r="G24987">
        <v>230920</v>
      </c>
      <c r="H24987">
        <v>4500</v>
      </c>
      <c r="I24987" t="s">
        <v>212</v>
      </c>
      <c r="J24987">
        <v>20.34</v>
      </c>
      <c r="K24987">
        <v>3.94</v>
      </c>
      <c r="L24987">
        <v>59113</v>
      </c>
      <c r="M24987" t="s">
        <v>235</v>
      </c>
      <c r="N24987" t="str">
        <f t="shared" si="479"/>
        <v xml:space="preserve">6000914     </v>
      </c>
      <c r="O24987">
        <v>230926</v>
      </c>
    </row>
    <row r="24988" spans="1:15" x14ac:dyDescent="0.25">
      <c r="A24988" t="s">
        <v>16</v>
      </c>
      <c r="B24988" t="s">
        <v>3221</v>
      </c>
      <c r="C24988">
        <v>12827</v>
      </c>
      <c r="D24988" t="s">
        <v>2224</v>
      </c>
      <c r="E24988" t="s">
        <v>2225</v>
      </c>
      <c r="F24988">
        <v>2.15</v>
      </c>
      <c r="G24988">
        <v>230920</v>
      </c>
      <c r="H24988">
        <v>4500</v>
      </c>
      <c r="I24988" t="s">
        <v>212</v>
      </c>
      <c r="J24988">
        <v>2.66</v>
      </c>
      <c r="K24988">
        <v>0.51</v>
      </c>
      <c r="L24988">
        <v>59114</v>
      </c>
      <c r="M24988" t="s">
        <v>556</v>
      </c>
      <c r="N24988" t="str">
        <f t="shared" si="479"/>
        <v xml:space="preserve">6000914     </v>
      </c>
      <c r="O24988">
        <v>230926</v>
      </c>
    </row>
    <row r="24989" spans="1:15" x14ac:dyDescent="0.25">
      <c r="A24989" t="s">
        <v>16</v>
      </c>
      <c r="B24989" t="s">
        <v>3221</v>
      </c>
      <c r="C24989">
        <v>12827</v>
      </c>
      <c r="D24989" t="s">
        <v>2224</v>
      </c>
      <c r="E24989" t="s">
        <v>2225</v>
      </c>
      <c r="F24989">
        <v>24.16</v>
      </c>
      <c r="G24989">
        <v>230920</v>
      </c>
      <c r="H24989">
        <v>4500</v>
      </c>
      <c r="I24989" t="s">
        <v>212</v>
      </c>
      <c r="J24989">
        <v>29.96</v>
      </c>
      <c r="K24989">
        <v>5.8</v>
      </c>
      <c r="L24989">
        <v>59501</v>
      </c>
      <c r="M24989" t="s">
        <v>69</v>
      </c>
      <c r="N24989" t="str">
        <f t="shared" si="479"/>
        <v xml:space="preserve">6000914     </v>
      </c>
      <c r="O24989">
        <v>230926</v>
      </c>
    </row>
    <row r="24990" spans="1:15" x14ac:dyDescent="0.25">
      <c r="A24990" t="s">
        <v>16</v>
      </c>
      <c r="B24990" t="s">
        <v>3221</v>
      </c>
      <c r="C24990">
        <v>12827</v>
      </c>
      <c r="D24990" t="s">
        <v>2224</v>
      </c>
      <c r="E24990" t="s">
        <v>2225</v>
      </c>
      <c r="F24990">
        <v>14</v>
      </c>
      <c r="G24990">
        <v>230920</v>
      </c>
      <c r="H24990">
        <v>4500</v>
      </c>
      <c r="I24990" t="s">
        <v>212</v>
      </c>
      <c r="J24990">
        <v>17.36</v>
      </c>
      <c r="K24990">
        <v>3.36</v>
      </c>
      <c r="L24990">
        <v>59504</v>
      </c>
      <c r="M24990" t="s">
        <v>71</v>
      </c>
      <c r="N24990" t="str">
        <f t="shared" si="479"/>
        <v xml:space="preserve">6000914     </v>
      </c>
      <c r="O24990">
        <v>230926</v>
      </c>
    </row>
    <row r="24991" spans="1:15" x14ac:dyDescent="0.25">
      <c r="A24991" t="s">
        <v>16</v>
      </c>
      <c r="B24991" t="s">
        <v>3221</v>
      </c>
      <c r="C24991">
        <v>12827</v>
      </c>
      <c r="D24991" t="s">
        <v>2224</v>
      </c>
      <c r="E24991" t="s">
        <v>2225</v>
      </c>
      <c r="F24991">
        <v>16.13</v>
      </c>
      <c r="G24991">
        <v>230920</v>
      </c>
      <c r="H24991">
        <v>4500</v>
      </c>
      <c r="I24991" t="s">
        <v>212</v>
      </c>
      <c r="J24991">
        <v>20</v>
      </c>
      <c r="K24991">
        <v>3.87</v>
      </c>
      <c r="L24991">
        <v>59505</v>
      </c>
      <c r="M24991" t="s">
        <v>72</v>
      </c>
      <c r="N24991" t="str">
        <f t="shared" si="479"/>
        <v xml:space="preserve">6000914     </v>
      </c>
      <c r="O24991">
        <v>230926</v>
      </c>
    </row>
    <row r="24992" spans="1:15" x14ac:dyDescent="0.25">
      <c r="A24992" t="s">
        <v>16</v>
      </c>
      <c r="B24992" t="s">
        <v>3221</v>
      </c>
      <c r="C24992">
        <v>12827</v>
      </c>
      <c r="D24992" t="s">
        <v>2224</v>
      </c>
      <c r="E24992" t="s">
        <v>2225</v>
      </c>
      <c r="F24992">
        <v>209.11</v>
      </c>
      <c r="G24992">
        <v>230920</v>
      </c>
      <c r="H24992">
        <v>4500</v>
      </c>
      <c r="I24992" t="s">
        <v>212</v>
      </c>
      <c r="J24992">
        <v>259.3</v>
      </c>
      <c r="K24992">
        <v>50.19</v>
      </c>
      <c r="L24992">
        <v>59702</v>
      </c>
      <c r="M24992" t="s">
        <v>328</v>
      </c>
      <c r="N24992" t="str">
        <f t="shared" si="479"/>
        <v xml:space="preserve">6000914     </v>
      </c>
      <c r="O24992">
        <v>230926</v>
      </c>
    </row>
    <row r="24993" spans="1:15" x14ac:dyDescent="0.25">
      <c r="A24993" t="s">
        <v>16</v>
      </c>
      <c r="B24993" t="s">
        <v>3221</v>
      </c>
      <c r="C24993">
        <v>12873</v>
      </c>
      <c r="D24993" t="s">
        <v>2224</v>
      </c>
      <c r="E24993" t="s">
        <v>2225</v>
      </c>
      <c r="F24993">
        <v>1.5</v>
      </c>
      <c r="G24993">
        <v>230927</v>
      </c>
      <c r="H24993">
        <v>4500</v>
      </c>
      <c r="I24993" t="s">
        <v>212</v>
      </c>
      <c r="J24993">
        <v>1.86</v>
      </c>
      <c r="K24993">
        <v>0.36</v>
      </c>
      <c r="L24993">
        <v>69704</v>
      </c>
      <c r="M24993" t="s">
        <v>325</v>
      </c>
      <c r="N24993" t="str">
        <f>"6002153     "</f>
        <v xml:space="preserve">6002153     </v>
      </c>
      <c r="O24993">
        <v>230928</v>
      </c>
    </row>
    <row r="24994" spans="1:15" x14ac:dyDescent="0.25">
      <c r="A24994" t="s">
        <v>16</v>
      </c>
      <c r="B24994" t="s">
        <v>3221</v>
      </c>
      <c r="C24994">
        <v>12887</v>
      </c>
      <c r="D24994" t="s">
        <v>2224</v>
      </c>
      <c r="E24994" t="s">
        <v>2225</v>
      </c>
      <c r="F24994">
        <v>9.2899999999999991</v>
      </c>
      <c r="G24994">
        <v>230926</v>
      </c>
      <c r="H24994">
        <v>4500</v>
      </c>
      <c r="I24994" t="s">
        <v>212</v>
      </c>
      <c r="J24994">
        <v>11.52</v>
      </c>
      <c r="K24994">
        <v>2.23</v>
      </c>
      <c r="L24994">
        <v>17915</v>
      </c>
      <c r="M24994" t="s">
        <v>572</v>
      </c>
      <c r="N24994" t="str">
        <f>"6001919     "</f>
        <v xml:space="preserve">6001919     </v>
      </c>
      <c r="O24994">
        <v>230929</v>
      </c>
    </row>
    <row r="24995" spans="1:15" x14ac:dyDescent="0.25">
      <c r="A24995" t="s">
        <v>16</v>
      </c>
      <c r="B24995" t="s">
        <v>3221</v>
      </c>
      <c r="C24995">
        <v>13089</v>
      </c>
      <c r="D24995" t="s">
        <v>2224</v>
      </c>
      <c r="E24995" t="s">
        <v>2225</v>
      </c>
      <c r="F24995">
        <v>278.89999999999998</v>
      </c>
      <c r="G24995">
        <v>230920</v>
      </c>
      <c r="H24995">
        <v>4500</v>
      </c>
      <c r="I24995" t="s">
        <v>212</v>
      </c>
      <c r="J24995">
        <v>345.84</v>
      </c>
      <c r="K24995">
        <v>66.94</v>
      </c>
      <c r="L24995">
        <v>13601</v>
      </c>
      <c r="M24995" t="s">
        <v>147</v>
      </c>
      <c r="N24995" t="str">
        <f>"6000915     "</f>
        <v xml:space="preserve">6000915     </v>
      </c>
      <c r="O24995">
        <v>231003</v>
      </c>
    </row>
    <row r="24996" spans="1:15" x14ac:dyDescent="0.25">
      <c r="A24996" t="s">
        <v>16</v>
      </c>
      <c r="B24996" t="s">
        <v>3221</v>
      </c>
      <c r="C24996">
        <v>13089</v>
      </c>
      <c r="D24996" t="s">
        <v>2224</v>
      </c>
      <c r="E24996" t="s">
        <v>2225</v>
      </c>
      <c r="F24996">
        <v>87.95</v>
      </c>
      <c r="G24996">
        <v>230920</v>
      </c>
      <c r="H24996">
        <v>4500</v>
      </c>
      <c r="I24996" t="s">
        <v>212</v>
      </c>
      <c r="J24996">
        <v>109.06</v>
      </c>
      <c r="K24996">
        <v>21.11</v>
      </c>
      <c r="L24996">
        <v>13801</v>
      </c>
      <c r="M24996" t="s">
        <v>162</v>
      </c>
      <c r="N24996" t="str">
        <f>"6000915     "</f>
        <v xml:space="preserve">6000915     </v>
      </c>
      <c r="O24996">
        <v>231003</v>
      </c>
    </row>
    <row r="24997" spans="1:15" x14ac:dyDescent="0.25">
      <c r="A24997" t="s">
        <v>16</v>
      </c>
      <c r="B24997" t="s">
        <v>3221</v>
      </c>
      <c r="C24997">
        <v>13102</v>
      </c>
      <c r="D24997" t="s">
        <v>2224</v>
      </c>
      <c r="E24997" t="s">
        <v>2225</v>
      </c>
      <c r="F24997">
        <v>0.75</v>
      </c>
      <c r="G24997">
        <v>230927</v>
      </c>
      <c r="H24997">
        <v>4500</v>
      </c>
      <c r="I24997" t="s">
        <v>212</v>
      </c>
      <c r="J24997">
        <v>0.93</v>
      </c>
      <c r="K24997">
        <v>0.18</v>
      </c>
      <c r="L24997">
        <v>13801</v>
      </c>
      <c r="M24997" t="s">
        <v>162</v>
      </c>
      <c r="N24997" t="str">
        <f>"6002154     "</f>
        <v xml:space="preserve">6002154     </v>
      </c>
      <c r="O24997">
        <v>231003</v>
      </c>
    </row>
    <row r="24998" spans="1:15" x14ac:dyDescent="0.25">
      <c r="A24998" t="s">
        <v>16</v>
      </c>
      <c r="B24998" t="s">
        <v>3221</v>
      </c>
      <c r="C24998">
        <v>13110</v>
      </c>
      <c r="D24998" t="s">
        <v>2224</v>
      </c>
      <c r="E24998" t="s">
        <v>2225</v>
      </c>
      <c r="F24998">
        <v>14.94</v>
      </c>
      <c r="G24998">
        <v>230928</v>
      </c>
      <c r="H24998">
        <v>4500</v>
      </c>
      <c r="I24998" t="s">
        <v>212</v>
      </c>
      <c r="J24998">
        <v>18.53</v>
      </c>
      <c r="K24998">
        <v>3.59</v>
      </c>
      <c r="L24998">
        <v>11101</v>
      </c>
      <c r="M24998" t="s">
        <v>110</v>
      </c>
      <c r="N24998" t="str">
        <f>"6002400     "</f>
        <v xml:space="preserve">6002400     </v>
      </c>
      <c r="O24998">
        <v>231003</v>
      </c>
    </row>
    <row r="24999" spans="1:15" x14ac:dyDescent="0.25">
      <c r="A24999" t="s">
        <v>16</v>
      </c>
      <c r="B24999" t="s">
        <v>3221</v>
      </c>
      <c r="C24999">
        <v>13110</v>
      </c>
      <c r="D24999" t="s">
        <v>2224</v>
      </c>
      <c r="E24999" t="s">
        <v>2225</v>
      </c>
      <c r="F24999">
        <v>134.25</v>
      </c>
      <c r="G24999">
        <v>230928</v>
      </c>
      <c r="H24999">
        <v>4500</v>
      </c>
      <c r="I24999" t="s">
        <v>212</v>
      </c>
      <c r="J24999">
        <v>166.47</v>
      </c>
      <c r="K24999">
        <v>32.22</v>
      </c>
      <c r="L24999">
        <v>17808</v>
      </c>
      <c r="M24999" t="s">
        <v>322</v>
      </c>
      <c r="N24999" t="str">
        <f>"6002400     "</f>
        <v xml:space="preserve">6002400     </v>
      </c>
      <c r="O24999">
        <v>231003</v>
      </c>
    </row>
    <row r="25000" spans="1:15" x14ac:dyDescent="0.25">
      <c r="A25000" t="s">
        <v>16</v>
      </c>
      <c r="B25000" t="s">
        <v>3221</v>
      </c>
      <c r="C25000">
        <v>13368</v>
      </c>
      <c r="D25000" t="s">
        <v>2224</v>
      </c>
      <c r="E25000" t="s">
        <v>2225</v>
      </c>
      <c r="F25000">
        <v>50.83</v>
      </c>
      <c r="G25000">
        <v>231003</v>
      </c>
      <c r="H25000">
        <v>4500</v>
      </c>
      <c r="I25000" t="s">
        <v>212</v>
      </c>
      <c r="J25000">
        <v>63.03</v>
      </c>
      <c r="K25000">
        <v>12.2</v>
      </c>
      <c r="L25000">
        <v>59702</v>
      </c>
      <c r="M25000" t="s">
        <v>328</v>
      </c>
      <c r="N25000" t="str">
        <f>"6004830     "</f>
        <v xml:space="preserve">6004830     </v>
      </c>
      <c r="O25000">
        <v>231009</v>
      </c>
    </row>
    <row r="25001" spans="1:15" x14ac:dyDescent="0.25">
      <c r="A25001" t="s">
        <v>16</v>
      </c>
      <c r="B25001" t="s">
        <v>3221</v>
      </c>
      <c r="C25001">
        <v>13369</v>
      </c>
      <c r="D25001" t="s">
        <v>2224</v>
      </c>
      <c r="E25001" t="s">
        <v>2225</v>
      </c>
      <c r="F25001">
        <v>28.18</v>
      </c>
      <c r="G25001">
        <v>231002</v>
      </c>
      <c r="H25001">
        <v>4500</v>
      </c>
      <c r="I25001" t="s">
        <v>212</v>
      </c>
      <c r="J25001">
        <v>34.94</v>
      </c>
      <c r="K25001">
        <v>6.76</v>
      </c>
      <c r="L25001">
        <v>13501</v>
      </c>
      <c r="M25001" t="s">
        <v>20</v>
      </c>
      <c r="N25001" t="str">
        <f>"6004619     "</f>
        <v xml:space="preserve">6004619     </v>
      </c>
      <c r="O25001">
        <v>231009</v>
      </c>
    </row>
    <row r="25002" spans="1:15" x14ac:dyDescent="0.25">
      <c r="A25002" t="s">
        <v>16</v>
      </c>
      <c r="B25002" t="s">
        <v>3221</v>
      </c>
      <c r="C25002">
        <v>13495</v>
      </c>
      <c r="D25002" t="s">
        <v>2224</v>
      </c>
      <c r="E25002" t="s">
        <v>2225</v>
      </c>
      <c r="F25002">
        <v>66</v>
      </c>
      <c r="G25002">
        <v>230929</v>
      </c>
      <c r="H25002">
        <v>4500</v>
      </c>
      <c r="I25002" t="s">
        <v>212</v>
      </c>
      <c r="J25002">
        <v>81.84</v>
      </c>
      <c r="K25002">
        <v>15.84</v>
      </c>
      <c r="L25002">
        <v>56564</v>
      </c>
      <c r="M25002" t="s">
        <v>327</v>
      </c>
      <c r="N25002" t="str">
        <f>"6004124     "</f>
        <v xml:space="preserve">6004124     </v>
      </c>
      <c r="O25002">
        <v>231010</v>
      </c>
    </row>
    <row r="25003" spans="1:15" x14ac:dyDescent="0.25">
      <c r="A25003" t="s">
        <v>16</v>
      </c>
      <c r="B25003" t="s">
        <v>3221</v>
      </c>
      <c r="C25003">
        <v>13495</v>
      </c>
      <c r="D25003" t="s">
        <v>2224</v>
      </c>
      <c r="E25003" t="s">
        <v>2225</v>
      </c>
      <c r="F25003">
        <v>41.7</v>
      </c>
      <c r="G25003">
        <v>230929</v>
      </c>
      <c r="H25003">
        <v>4500</v>
      </c>
      <c r="I25003" t="s">
        <v>212</v>
      </c>
      <c r="J25003">
        <v>51.71</v>
      </c>
      <c r="K25003">
        <v>10.01</v>
      </c>
      <c r="L25003">
        <v>59702</v>
      </c>
      <c r="M25003" t="s">
        <v>328</v>
      </c>
      <c r="N25003" t="str">
        <f>"6004124     "</f>
        <v xml:space="preserve">6004124     </v>
      </c>
      <c r="O25003">
        <v>231010</v>
      </c>
    </row>
    <row r="25004" spans="1:15" x14ac:dyDescent="0.25">
      <c r="A25004" t="s">
        <v>16</v>
      </c>
      <c r="B25004" t="s">
        <v>3221</v>
      </c>
      <c r="C25004">
        <v>13591</v>
      </c>
      <c r="D25004" t="s">
        <v>2224</v>
      </c>
      <c r="E25004" t="s">
        <v>2225</v>
      </c>
      <c r="F25004">
        <v>68.099999999999994</v>
      </c>
      <c r="G25004">
        <v>231004</v>
      </c>
      <c r="H25004">
        <v>4500</v>
      </c>
      <c r="I25004" t="s">
        <v>212</v>
      </c>
      <c r="J25004">
        <v>84.45</v>
      </c>
      <c r="K25004">
        <v>16.350000000000001</v>
      </c>
      <c r="L25004">
        <v>13601</v>
      </c>
      <c r="M25004" t="s">
        <v>147</v>
      </c>
      <c r="N25004" t="str">
        <f>"6005143     "</f>
        <v xml:space="preserve">6005143     </v>
      </c>
      <c r="O25004">
        <v>231011</v>
      </c>
    </row>
    <row r="25005" spans="1:15" x14ac:dyDescent="0.25">
      <c r="A25005" t="s">
        <v>16</v>
      </c>
      <c r="B25005" t="s">
        <v>3221</v>
      </c>
      <c r="C25005">
        <v>13708</v>
      </c>
      <c r="D25005" t="s">
        <v>2224</v>
      </c>
      <c r="E25005" t="s">
        <v>2225</v>
      </c>
      <c r="F25005">
        <v>969.27</v>
      </c>
      <c r="G25005">
        <v>231009</v>
      </c>
      <c r="H25005">
        <v>4500</v>
      </c>
      <c r="I25005" t="s">
        <v>212</v>
      </c>
      <c r="J25005">
        <v>1201.8900000000001</v>
      </c>
      <c r="K25005">
        <v>232.62</v>
      </c>
      <c r="L25005">
        <v>49702</v>
      </c>
      <c r="M25005" t="s">
        <v>584</v>
      </c>
      <c r="N25005" t="str">
        <f>"6005771     "</f>
        <v xml:space="preserve">6005771     </v>
      </c>
      <c r="O25005">
        <v>231012</v>
      </c>
    </row>
    <row r="25006" spans="1:15" x14ac:dyDescent="0.25">
      <c r="A25006" t="s">
        <v>16</v>
      </c>
      <c r="B25006" t="s">
        <v>3221</v>
      </c>
      <c r="C25006">
        <v>14559</v>
      </c>
      <c r="D25006" t="s">
        <v>2224</v>
      </c>
      <c r="E25006" t="s">
        <v>2225</v>
      </c>
      <c r="F25006">
        <v>36.700000000000003</v>
      </c>
      <c r="G25006">
        <v>231016</v>
      </c>
      <c r="H25006">
        <v>4500</v>
      </c>
      <c r="I25006" t="s">
        <v>212</v>
      </c>
      <c r="J25006">
        <v>45.51</v>
      </c>
      <c r="K25006">
        <v>8.81</v>
      </c>
      <c r="L25006">
        <v>17972</v>
      </c>
      <c r="M25006" t="s">
        <v>248</v>
      </c>
      <c r="N25006" t="str">
        <f>"6006959     "</f>
        <v xml:space="preserve">6006959     </v>
      </c>
      <c r="O25006">
        <v>231030</v>
      </c>
    </row>
    <row r="25007" spans="1:15" x14ac:dyDescent="0.25">
      <c r="A25007" t="s">
        <v>16</v>
      </c>
      <c r="B25007" t="s">
        <v>3221</v>
      </c>
      <c r="C25007">
        <v>14597</v>
      </c>
      <c r="D25007" t="s">
        <v>2224</v>
      </c>
      <c r="E25007" t="s">
        <v>2225</v>
      </c>
      <c r="F25007">
        <v>4</v>
      </c>
      <c r="G25007">
        <v>231018</v>
      </c>
      <c r="H25007">
        <v>4500</v>
      </c>
      <c r="I25007" t="s">
        <v>212</v>
      </c>
      <c r="J25007">
        <v>4.96</v>
      </c>
      <c r="K25007">
        <v>0.96</v>
      </c>
      <c r="L25007">
        <v>49702</v>
      </c>
      <c r="M25007" t="s">
        <v>584</v>
      </c>
      <c r="N25007" t="str">
        <f>"6007499     "</f>
        <v xml:space="preserve">6007499     </v>
      </c>
      <c r="O25007">
        <v>231030</v>
      </c>
    </row>
    <row r="25008" spans="1:15" x14ac:dyDescent="0.25">
      <c r="A25008" t="s">
        <v>16</v>
      </c>
      <c r="B25008" t="s">
        <v>3221</v>
      </c>
      <c r="C25008">
        <v>14655</v>
      </c>
      <c r="D25008" t="s">
        <v>2224</v>
      </c>
      <c r="E25008" t="s">
        <v>2225</v>
      </c>
      <c r="F25008">
        <v>33</v>
      </c>
      <c r="G25008">
        <v>231025</v>
      </c>
      <c r="H25008">
        <v>4500</v>
      </c>
      <c r="I25008" t="s">
        <v>212</v>
      </c>
      <c r="J25008">
        <v>40.92</v>
      </c>
      <c r="K25008">
        <v>7.92</v>
      </c>
      <c r="L25008">
        <v>17808</v>
      </c>
      <c r="M25008" t="s">
        <v>322</v>
      </c>
      <c r="N25008" t="str">
        <f>"6008763     "</f>
        <v xml:space="preserve">6008763     </v>
      </c>
      <c r="O25008">
        <v>231031</v>
      </c>
    </row>
    <row r="25009" spans="1:15" x14ac:dyDescent="0.25">
      <c r="A25009" t="s">
        <v>16</v>
      </c>
      <c r="B25009" t="s">
        <v>3221</v>
      </c>
      <c r="C25009">
        <v>14739</v>
      </c>
      <c r="D25009" t="s">
        <v>2224</v>
      </c>
      <c r="E25009" t="s">
        <v>2225</v>
      </c>
      <c r="F25009">
        <v>27.08</v>
      </c>
      <c r="G25009">
        <v>231026</v>
      </c>
      <c r="H25009">
        <v>4500</v>
      </c>
      <c r="I25009" t="s">
        <v>212</v>
      </c>
      <c r="J25009">
        <v>33.58</v>
      </c>
      <c r="K25009">
        <v>6.5</v>
      </c>
      <c r="L25009">
        <v>17131</v>
      </c>
      <c r="M25009" t="s">
        <v>64</v>
      </c>
      <c r="N25009" t="str">
        <f>"6009025     "</f>
        <v xml:space="preserve">6009025     </v>
      </c>
      <c r="O25009">
        <v>231101</v>
      </c>
    </row>
    <row r="25010" spans="1:15" x14ac:dyDescent="0.25">
      <c r="A25010" t="s">
        <v>16</v>
      </c>
      <c r="B25010" t="s">
        <v>3221</v>
      </c>
      <c r="C25010">
        <v>14739</v>
      </c>
      <c r="D25010" t="s">
        <v>2224</v>
      </c>
      <c r="E25010" t="s">
        <v>2225</v>
      </c>
      <c r="F25010">
        <v>81.239999999999995</v>
      </c>
      <c r="G25010">
        <v>231026</v>
      </c>
      <c r="H25010">
        <v>4500</v>
      </c>
      <c r="I25010" t="s">
        <v>212</v>
      </c>
      <c r="J25010">
        <v>100.74</v>
      </c>
      <c r="K25010">
        <v>19.5</v>
      </c>
      <c r="L25010">
        <v>17737</v>
      </c>
      <c r="M25010" t="s">
        <v>279</v>
      </c>
      <c r="N25010" t="str">
        <f>"6009025     "</f>
        <v xml:space="preserve">6009025     </v>
      </c>
      <c r="O25010">
        <v>231101</v>
      </c>
    </row>
    <row r="25011" spans="1:15" x14ac:dyDescent="0.25">
      <c r="A25011" t="s">
        <v>16</v>
      </c>
      <c r="B25011" t="s">
        <v>3221</v>
      </c>
      <c r="C25011">
        <v>14739</v>
      </c>
      <c r="D25011" t="s">
        <v>2224</v>
      </c>
      <c r="E25011" t="s">
        <v>2225</v>
      </c>
      <c r="F25011">
        <v>204.83</v>
      </c>
      <c r="G25011">
        <v>231026</v>
      </c>
      <c r="H25011">
        <v>4500</v>
      </c>
      <c r="I25011" t="s">
        <v>212</v>
      </c>
      <c r="J25011">
        <v>253.99</v>
      </c>
      <c r="K25011">
        <v>49.16</v>
      </c>
      <c r="L25011">
        <v>17971</v>
      </c>
      <c r="M25011" t="s">
        <v>138</v>
      </c>
      <c r="N25011" t="str">
        <f>"6009025     "</f>
        <v xml:space="preserve">6009025     </v>
      </c>
      <c r="O25011">
        <v>231101</v>
      </c>
    </row>
    <row r="25012" spans="1:15" x14ac:dyDescent="0.25">
      <c r="A25012" t="s">
        <v>16</v>
      </c>
      <c r="B25012" t="s">
        <v>3221</v>
      </c>
      <c r="C25012">
        <v>14740</v>
      </c>
      <c r="D25012" t="s">
        <v>2224</v>
      </c>
      <c r="E25012" t="s">
        <v>2225</v>
      </c>
      <c r="F25012">
        <v>0.4</v>
      </c>
      <c r="G25012">
        <v>231027</v>
      </c>
      <c r="H25012">
        <v>4500</v>
      </c>
      <c r="I25012" t="s">
        <v>212</v>
      </c>
      <c r="J25012">
        <v>0.5</v>
      </c>
      <c r="K25012">
        <v>0.1</v>
      </c>
      <c r="L25012">
        <v>17711</v>
      </c>
      <c r="M25012" t="s">
        <v>65</v>
      </c>
      <c r="N25012" t="str">
        <f>"6009280     "</f>
        <v xml:space="preserve">6009280     </v>
      </c>
      <c r="O25012">
        <v>231101</v>
      </c>
    </row>
    <row r="25013" spans="1:15" x14ac:dyDescent="0.25">
      <c r="A25013" t="s">
        <v>16</v>
      </c>
      <c r="B25013" t="s">
        <v>3221</v>
      </c>
      <c r="C25013">
        <v>14753</v>
      </c>
      <c r="D25013" t="s">
        <v>2224</v>
      </c>
      <c r="E25013" t="s">
        <v>2225</v>
      </c>
      <c r="F25013">
        <v>132.03</v>
      </c>
      <c r="G25013">
        <v>231018</v>
      </c>
      <c r="H25013">
        <v>4500</v>
      </c>
      <c r="I25013" t="s">
        <v>212</v>
      </c>
      <c r="J25013">
        <v>163.72</v>
      </c>
      <c r="K25013">
        <v>31.69</v>
      </c>
      <c r="L25013">
        <v>11101</v>
      </c>
      <c r="M25013" t="s">
        <v>110</v>
      </c>
      <c r="N25013" t="str">
        <f>"6007498     "</f>
        <v xml:space="preserve">6007498     </v>
      </c>
      <c r="O25013">
        <v>231103</v>
      </c>
    </row>
    <row r="25014" spans="1:15" x14ac:dyDescent="0.25">
      <c r="A25014" t="s">
        <v>16</v>
      </c>
      <c r="B25014" t="s">
        <v>3221</v>
      </c>
      <c r="C25014">
        <v>14753</v>
      </c>
      <c r="D25014" t="s">
        <v>2224</v>
      </c>
      <c r="E25014" t="s">
        <v>2225</v>
      </c>
      <c r="F25014">
        <v>100.03</v>
      </c>
      <c r="G25014">
        <v>231018</v>
      </c>
      <c r="H25014">
        <v>4500</v>
      </c>
      <c r="I25014" t="s">
        <v>212</v>
      </c>
      <c r="J25014">
        <v>124.04</v>
      </c>
      <c r="K25014">
        <v>24.01</v>
      </c>
      <c r="L25014">
        <v>17808</v>
      </c>
      <c r="M25014" t="s">
        <v>322</v>
      </c>
      <c r="N25014" t="str">
        <f>"6007498     "</f>
        <v xml:space="preserve">6007498     </v>
      </c>
      <c r="O25014">
        <v>231103</v>
      </c>
    </row>
    <row r="25015" spans="1:15" x14ac:dyDescent="0.25">
      <c r="A25015" t="s">
        <v>16</v>
      </c>
      <c r="B25015" t="s">
        <v>3221</v>
      </c>
      <c r="C25015">
        <v>15085</v>
      </c>
      <c r="D25015" t="s">
        <v>2224</v>
      </c>
      <c r="E25015" t="s">
        <v>2225</v>
      </c>
      <c r="F25015">
        <v>11.25</v>
      </c>
      <c r="G25015">
        <v>231020</v>
      </c>
      <c r="H25015">
        <v>4500</v>
      </c>
      <c r="I25015" t="s">
        <v>212</v>
      </c>
      <c r="J25015">
        <v>13.95</v>
      </c>
      <c r="K25015">
        <v>2.7</v>
      </c>
      <c r="L25015">
        <v>11901</v>
      </c>
      <c r="M25015" t="s">
        <v>36</v>
      </c>
      <c r="N25015" t="str">
        <f t="shared" ref="N25015:N25023" si="480">"6008017     "</f>
        <v xml:space="preserve">6008017     </v>
      </c>
      <c r="O25015">
        <v>231108</v>
      </c>
    </row>
    <row r="25016" spans="1:15" x14ac:dyDescent="0.25">
      <c r="A25016" t="s">
        <v>16</v>
      </c>
      <c r="B25016" t="s">
        <v>3221</v>
      </c>
      <c r="C25016">
        <v>15085</v>
      </c>
      <c r="D25016" t="s">
        <v>2224</v>
      </c>
      <c r="E25016" t="s">
        <v>2225</v>
      </c>
      <c r="F25016">
        <v>55.12</v>
      </c>
      <c r="G25016">
        <v>231020</v>
      </c>
      <c r="H25016">
        <v>4500</v>
      </c>
      <c r="I25016" t="s">
        <v>212</v>
      </c>
      <c r="J25016">
        <v>68.349999999999994</v>
      </c>
      <c r="K25016">
        <v>13.23</v>
      </c>
      <c r="L25016">
        <v>14121</v>
      </c>
      <c r="M25016" t="s">
        <v>880</v>
      </c>
      <c r="N25016" t="str">
        <f t="shared" si="480"/>
        <v xml:space="preserve">6008017     </v>
      </c>
      <c r="O25016">
        <v>231108</v>
      </c>
    </row>
    <row r="25017" spans="1:15" x14ac:dyDescent="0.25">
      <c r="A25017" t="s">
        <v>16</v>
      </c>
      <c r="B25017" t="s">
        <v>3221</v>
      </c>
      <c r="C25017">
        <v>15085</v>
      </c>
      <c r="D25017" t="s">
        <v>2224</v>
      </c>
      <c r="E25017" t="s">
        <v>2225</v>
      </c>
      <c r="F25017">
        <v>32.57</v>
      </c>
      <c r="G25017">
        <v>231020</v>
      </c>
      <c r="H25017">
        <v>4500</v>
      </c>
      <c r="I25017" t="s">
        <v>212</v>
      </c>
      <c r="J25017">
        <v>40.39</v>
      </c>
      <c r="K25017">
        <v>7.82</v>
      </c>
      <c r="L25017">
        <v>14321</v>
      </c>
      <c r="M25017" t="s">
        <v>717</v>
      </c>
      <c r="N25017" t="str">
        <f t="shared" si="480"/>
        <v xml:space="preserve">6008017     </v>
      </c>
      <c r="O25017">
        <v>231108</v>
      </c>
    </row>
    <row r="25018" spans="1:15" x14ac:dyDescent="0.25">
      <c r="A25018" t="s">
        <v>16</v>
      </c>
      <c r="B25018" t="s">
        <v>3221</v>
      </c>
      <c r="C25018">
        <v>15085</v>
      </c>
      <c r="D25018" t="s">
        <v>2224</v>
      </c>
      <c r="E25018" t="s">
        <v>2225</v>
      </c>
      <c r="F25018">
        <v>22.55</v>
      </c>
      <c r="G25018">
        <v>231020</v>
      </c>
      <c r="H25018">
        <v>4500</v>
      </c>
      <c r="I25018" t="s">
        <v>212</v>
      </c>
      <c r="J25018">
        <v>27.96</v>
      </c>
      <c r="K25018">
        <v>5.41</v>
      </c>
      <c r="L25018">
        <v>14422</v>
      </c>
      <c r="M25018" t="s">
        <v>228</v>
      </c>
      <c r="N25018" t="str">
        <f t="shared" si="480"/>
        <v xml:space="preserve">6008017     </v>
      </c>
      <c r="O25018">
        <v>231108</v>
      </c>
    </row>
    <row r="25019" spans="1:15" x14ac:dyDescent="0.25">
      <c r="A25019" t="s">
        <v>16</v>
      </c>
      <c r="B25019" t="s">
        <v>3221</v>
      </c>
      <c r="C25019">
        <v>15085</v>
      </c>
      <c r="D25019" t="s">
        <v>2224</v>
      </c>
      <c r="E25019" t="s">
        <v>2225</v>
      </c>
      <c r="F25019">
        <v>22.55</v>
      </c>
      <c r="G25019">
        <v>231020</v>
      </c>
      <c r="H25019">
        <v>4500</v>
      </c>
      <c r="I25019" t="s">
        <v>212</v>
      </c>
      <c r="J25019">
        <v>27.96</v>
      </c>
      <c r="K25019">
        <v>5.41</v>
      </c>
      <c r="L25019">
        <v>14541</v>
      </c>
      <c r="M25019" t="s">
        <v>626</v>
      </c>
      <c r="N25019" t="str">
        <f t="shared" si="480"/>
        <v xml:space="preserve">6008017     </v>
      </c>
      <c r="O25019">
        <v>231108</v>
      </c>
    </row>
    <row r="25020" spans="1:15" x14ac:dyDescent="0.25">
      <c r="A25020" t="s">
        <v>16</v>
      </c>
      <c r="B25020" t="s">
        <v>3221</v>
      </c>
      <c r="C25020">
        <v>15085</v>
      </c>
      <c r="D25020" t="s">
        <v>2224</v>
      </c>
      <c r="E25020" t="s">
        <v>2225</v>
      </c>
      <c r="F25020">
        <v>80.17</v>
      </c>
      <c r="G25020">
        <v>231020</v>
      </c>
      <c r="H25020">
        <v>4500</v>
      </c>
      <c r="I25020" t="s">
        <v>212</v>
      </c>
      <c r="J25020">
        <v>99.41</v>
      </c>
      <c r="K25020">
        <v>19.239999999999998</v>
      </c>
      <c r="L25020">
        <v>14622</v>
      </c>
      <c r="M25020" t="s">
        <v>1005</v>
      </c>
      <c r="N25020" t="str">
        <f t="shared" si="480"/>
        <v xml:space="preserve">6008017     </v>
      </c>
      <c r="O25020">
        <v>231108</v>
      </c>
    </row>
    <row r="25021" spans="1:15" x14ac:dyDescent="0.25">
      <c r="A25021" t="s">
        <v>16</v>
      </c>
      <c r="B25021" t="s">
        <v>3221</v>
      </c>
      <c r="C25021">
        <v>15085</v>
      </c>
      <c r="D25021" t="s">
        <v>2224</v>
      </c>
      <c r="E25021" t="s">
        <v>2225</v>
      </c>
      <c r="F25021">
        <v>20.04</v>
      </c>
      <c r="G25021">
        <v>231020</v>
      </c>
      <c r="H25021">
        <v>4500</v>
      </c>
      <c r="I25021" t="s">
        <v>212</v>
      </c>
      <c r="J25021">
        <v>24.85</v>
      </c>
      <c r="K25021">
        <v>4.8099999999999996</v>
      </c>
      <c r="L25021">
        <v>14640</v>
      </c>
      <c r="M25021" t="s">
        <v>229</v>
      </c>
      <c r="N25021" t="str">
        <f t="shared" si="480"/>
        <v xml:space="preserve">6008017     </v>
      </c>
      <c r="O25021">
        <v>231108</v>
      </c>
    </row>
    <row r="25022" spans="1:15" x14ac:dyDescent="0.25">
      <c r="A25022" t="s">
        <v>16</v>
      </c>
      <c r="B25022" t="s">
        <v>3221</v>
      </c>
      <c r="C25022">
        <v>15085</v>
      </c>
      <c r="D25022" t="s">
        <v>2224</v>
      </c>
      <c r="E25022" t="s">
        <v>2225</v>
      </c>
      <c r="F25022">
        <v>17.54</v>
      </c>
      <c r="G25022">
        <v>231020</v>
      </c>
      <c r="H25022">
        <v>4500</v>
      </c>
      <c r="I25022" t="s">
        <v>212</v>
      </c>
      <c r="J25022">
        <v>21.75</v>
      </c>
      <c r="K25022">
        <v>4.21</v>
      </c>
      <c r="L25022">
        <v>14861</v>
      </c>
      <c r="M25022" t="s">
        <v>785</v>
      </c>
      <c r="N25022" t="str">
        <f t="shared" si="480"/>
        <v xml:space="preserve">6008017     </v>
      </c>
      <c r="O25022">
        <v>231108</v>
      </c>
    </row>
    <row r="25023" spans="1:15" x14ac:dyDescent="0.25">
      <c r="A25023" t="s">
        <v>16</v>
      </c>
      <c r="B25023" t="s">
        <v>3221</v>
      </c>
      <c r="C25023">
        <v>15085</v>
      </c>
      <c r="D25023" t="s">
        <v>2224</v>
      </c>
      <c r="E25023" t="s">
        <v>2225</v>
      </c>
      <c r="F25023">
        <v>27.84</v>
      </c>
      <c r="G25023">
        <v>231020</v>
      </c>
      <c r="H25023">
        <v>4500</v>
      </c>
      <c r="I25023" t="s">
        <v>212</v>
      </c>
      <c r="J25023">
        <v>34.520000000000003</v>
      </c>
      <c r="K25023">
        <v>6.68</v>
      </c>
      <c r="L25023">
        <v>14972</v>
      </c>
      <c r="M25023" t="s">
        <v>898</v>
      </c>
      <c r="N25023" t="str">
        <f t="shared" si="480"/>
        <v xml:space="preserve">6008017     </v>
      </c>
      <c r="O25023">
        <v>231108</v>
      </c>
    </row>
    <row r="25024" spans="1:15" x14ac:dyDescent="0.25">
      <c r="A25024" t="s">
        <v>16</v>
      </c>
      <c r="B25024" t="s">
        <v>3221</v>
      </c>
      <c r="C25024">
        <v>15167</v>
      </c>
      <c r="D25024" t="s">
        <v>2224</v>
      </c>
      <c r="E25024" t="s">
        <v>2225</v>
      </c>
      <c r="F25024">
        <v>29.73</v>
      </c>
      <c r="G25024">
        <v>231030</v>
      </c>
      <c r="H25024">
        <v>4500</v>
      </c>
      <c r="I25024" t="s">
        <v>212</v>
      </c>
      <c r="J25024">
        <v>36.869999999999997</v>
      </c>
      <c r="K25024">
        <v>7.14</v>
      </c>
      <c r="L25024">
        <v>56560</v>
      </c>
      <c r="M25024" t="s">
        <v>654</v>
      </c>
      <c r="N25024" t="str">
        <f>"6009599     "</f>
        <v xml:space="preserve">6009599     </v>
      </c>
      <c r="O25024">
        <v>231109</v>
      </c>
    </row>
    <row r="25025" spans="1:15" x14ac:dyDescent="0.25">
      <c r="A25025" t="s">
        <v>16</v>
      </c>
      <c r="B25025" t="s">
        <v>3221</v>
      </c>
      <c r="C25025">
        <v>15167</v>
      </c>
      <c r="D25025" t="s">
        <v>2224</v>
      </c>
      <c r="E25025" t="s">
        <v>2225</v>
      </c>
      <c r="F25025">
        <v>709.36</v>
      </c>
      <c r="G25025">
        <v>231030</v>
      </c>
      <c r="H25025">
        <v>4500</v>
      </c>
      <c r="I25025" t="s">
        <v>212</v>
      </c>
      <c r="J25025">
        <v>879.61</v>
      </c>
      <c r="K25025">
        <v>170.25</v>
      </c>
      <c r="L25025">
        <v>56566</v>
      </c>
      <c r="M25025" t="s">
        <v>652</v>
      </c>
      <c r="N25025" t="str">
        <f>"6009599     "</f>
        <v xml:space="preserve">6009599     </v>
      </c>
      <c r="O25025">
        <v>231109</v>
      </c>
    </row>
    <row r="25026" spans="1:15" x14ac:dyDescent="0.25">
      <c r="A25026" t="s">
        <v>16</v>
      </c>
      <c r="B25026" t="s">
        <v>3221</v>
      </c>
      <c r="C25026">
        <v>15167</v>
      </c>
      <c r="D25026" t="s">
        <v>2224</v>
      </c>
      <c r="E25026" t="s">
        <v>2225</v>
      </c>
      <c r="F25026">
        <v>96.39</v>
      </c>
      <c r="G25026">
        <v>231030</v>
      </c>
      <c r="H25026">
        <v>4500</v>
      </c>
      <c r="I25026" t="s">
        <v>212</v>
      </c>
      <c r="J25026">
        <v>119.52</v>
      </c>
      <c r="K25026">
        <v>23.13</v>
      </c>
      <c r="L25026">
        <v>59702</v>
      </c>
      <c r="M25026" t="s">
        <v>328</v>
      </c>
      <c r="N25026" t="str">
        <f>"6009599     "</f>
        <v xml:space="preserve">6009599     </v>
      </c>
      <c r="O25026">
        <v>231109</v>
      </c>
    </row>
    <row r="25027" spans="1:15" x14ac:dyDescent="0.25">
      <c r="A25027" t="s">
        <v>16</v>
      </c>
      <c r="B25027" t="s">
        <v>3221</v>
      </c>
      <c r="C25027">
        <v>15531</v>
      </c>
      <c r="D25027" t="s">
        <v>2224</v>
      </c>
      <c r="E25027" t="s">
        <v>2225</v>
      </c>
      <c r="F25027">
        <v>40.61</v>
      </c>
      <c r="G25027">
        <v>231107</v>
      </c>
      <c r="H25027">
        <v>4500</v>
      </c>
      <c r="I25027" t="s">
        <v>212</v>
      </c>
      <c r="J25027">
        <v>50.36</v>
      </c>
      <c r="K25027">
        <v>9.75</v>
      </c>
      <c r="L25027">
        <v>14121</v>
      </c>
      <c r="M25027" t="s">
        <v>880</v>
      </c>
      <c r="N25027" t="str">
        <f t="shared" ref="N25027:N25038" si="481">"6013062     "</f>
        <v xml:space="preserve">6013062     </v>
      </c>
      <c r="O25027">
        <v>231113</v>
      </c>
    </row>
    <row r="25028" spans="1:15" x14ac:dyDescent="0.25">
      <c r="A25028" t="s">
        <v>16</v>
      </c>
      <c r="B25028" t="s">
        <v>3221</v>
      </c>
      <c r="C25028">
        <v>15531</v>
      </c>
      <c r="D25028" t="s">
        <v>2224</v>
      </c>
      <c r="E25028" t="s">
        <v>2225</v>
      </c>
      <c r="F25028">
        <v>24</v>
      </c>
      <c r="G25028">
        <v>231107</v>
      </c>
      <c r="H25028">
        <v>4500</v>
      </c>
      <c r="I25028" t="s">
        <v>212</v>
      </c>
      <c r="J25028">
        <v>29.76</v>
      </c>
      <c r="K25028">
        <v>5.76</v>
      </c>
      <c r="L25028">
        <v>14321</v>
      </c>
      <c r="M25028" t="s">
        <v>717</v>
      </c>
      <c r="N25028" t="str">
        <f t="shared" si="481"/>
        <v xml:space="preserve">6013062     </v>
      </c>
      <c r="O25028">
        <v>231113</v>
      </c>
    </row>
    <row r="25029" spans="1:15" x14ac:dyDescent="0.25">
      <c r="A25029" t="s">
        <v>16</v>
      </c>
      <c r="B25029" t="s">
        <v>3221</v>
      </c>
      <c r="C25029">
        <v>15531</v>
      </c>
      <c r="D25029" t="s">
        <v>2224</v>
      </c>
      <c r="E25029" t="s">
        <v>2225</v>
      </c>
      <c r="F25029">
        <v>16.61</v>
      </c>
      <c r="G25029">
        <v>231107</v>
      </c>
      <c r="H25029">
        <v>4500</v>
      </c>
      <c r="I25029" t="s">
        <v>212</v>
      </c>
      <c r="J25029">
        <v>20.6</v>
      </c>
      <c r="K25029">
        <v>3.99</v>
      </c>
      <c r="L25029">
        <v>14422</v>
      </c>
      <c r="M25029" t="s">
        <v>228</v>
      </c>
      <c r="N25029" t="str">
        <f t="shared" si="481"/>
        <v xml:space="preserve">6013062     </v>
      </c>
      <c r="O25029">
        <v>231113</v>
      </c>
    </row>
    <row r="25030" spans="1:15" x14ac:dyDescent="0.25">
      <c r="A25030" t="s">
        <v>16</v>
      </c>
      <c r="B25030" t="s">
        <v>3221</v>
      </c>
      <c r="C25030">
        <v>15531</v>
      </c>
      <c r="D25030" t="s">
        <v>2224</v>
      </c>
      <c r="E25030" t="s">
        <v>2225</v>
      </c>
      <c r="F25030">
        <v>13.94</v>
      </c>
      <c r="G25030">
        <v>231107</v>
      </c>
      <c r="H25030">
        <v>4500</v>
      </c>
      <c r="I25030" t="s">
        <v>212</v>
      </c>
      <c r="J25030">
        <v>17.28</v>
      </c>
      <c r="K25030">
        <v>3.34</v>
      </c>
      <c r="L25030">
        <v>14432</v>
      </c>
      <c r="M25030" t="s">
        <v>862</v>
      </c>
      <c r="N25030" t="str">
        <f t="shared" si="481"/>
        <v xml:space="preserve">6013062     </v>
      </c>
      <c r="O25030">
        <v>231113</v>
      </c>
    </row>
    <row r="25031" spans="1:15" x14ac:dyDescent="0.25">
      <c r="A25031" t="s">
        <v>16</v>
      </c>
      <c r="B25031" t="s">
        <v>3221</v>
      </c>
      <c r="C25031">
        <v>15531</v>
      </c>
      <c r="D25031" t="s">
        <v>2224</v>
      </c>
      <c r="E25031" t="s">
        <v>2225</v>
      </c>
      <c r="F25031">
        <v>16.61</v>
      </c>
      <c r="G25031">
        <v>231107</v>
      </c>
      <c r="H25031">
        <v>4500</v>
      </c>
      <c r="I25031" t="s">
        <v>212</v>
      </c>
      <c r="J25031">
        <v>20.6</v>
      </c>
      <c r="K25031">
        <v>3.99</v>
      </c>
      <c r="L25031">
        <v>14541</v>
      </c>
      <c r="M25031" t="s">
        <v>626</v>
      </c>
      <c r="N25031" t="str">
        <f t="shared" si="481"/>
        <v xml:space="preserve">6013062     </v>
      </c>
      <c r="O25031">
        <v>231113</v>
      </c>
    </row>
    <row r="25032" spans="1:15" x14ac:dyDescent="0.25">
      <c r="A25032" t="s">
        <v>16</v>
      </c>
      <c r="B25032" t="s">
        <v>3221</v>
      </c>
      <c r="C25032">
        <v>15531</v>
      </c>
      <c r="D25032" t="s">
        <v>2224</v>
      </c>
      <c r="E25032" t="s">
        <v>2225</v>
      </c>
      <c r="F25032">
        <v>59.06</v>
      </c>
      <c r="G25032">
        <v>231107</v>
      </c>
      <c r="H25032">
        <v>4500</v>
      </c>
      <c r="I25032" t="s">
        <v>212</v>
      </c>
      <c r="J25032">
        <v>73.239999999999995</v>
      </c>
      <c r="K25032">
        <v>14.18</v>
      </c>
      <c r="L25032">
        <v>14622</v>
      </c>
      <c r="M25032" t="s">
        <v>1005</v>
      </c>
      <c r="N25032" t="str">
        <f t="shared" si="481"/>
        <v xml:space="preserve">6013062     </v>
      </c>
      <c r="O25032">
        <v>231113</v>
      </c>
    </row>
    <row r="25033" spans="1:15" x14ac:dyDescent="0.25">
      <c r="A25033" t="s">
        <v>16</v>
      </c>
      <c r="B25033" t="s">
        <v>3221</v>
      </c>
      <c r="C25033">
        <v>15531</v>
      </c>
      <c r="D25033" t="s">
        <v>2224</v>
      </c>
      <c r="E25033" t="s">
        <v>2225</v>
      </c>
      <c r="F25033">
        <v>14.77</v>
      </c>
      <c r="G25033">
        <v>231107</v>
      </c>
      <c r="H25033">
        <v>4500</v>
      </c>
      <c r="I25033" t="s">
        <v>212</v>
      </c>
      <c r="J25033">
        <v>18.309999999999999</v>
      </c>
      <c r="K25033">
        <v>3.54</v>
      </c>
      <c r="L25033">
        <v>14640</v>
      </c>
      <c r="M25033" t="s">
        <v>229</v>
      </c>
      <c r="N25033" t="str">
        <f t="shared" si="481"/>
        <v xml:space="preserve">6013062     </v>
      </c>
      <c r="O25033">
        <v>231113</v>
      </c>
    </row>
    <row r="25034" spans="1:15" x14ac:dyDescent="0.25">
      <c r="A25034" t="s">
        <v>16</v>
      </c>
      <c r="B25034" t="s">
        <v>3221</v>
      </c>
      <c r="C25034">
        <v>15531</v>
      </c>
      <c r="D25034" t="s">
        <v>2224</v>
      </c>
      <c r="E25034" t="s">
        <v>2225</v>
      </c>
      <c r="F25034">
        <v>12.92</v>
      </c>
      <c r="G25034">
        <v>231107</v>
      </c>
      <c r="H25034">
        <v>4500</v>
      </c>
      <c r="I25034" t="s">
        <v>212</v>
      </c>
      <c r="J25034">
        <v>16.02</v>
      </c>
      <c r="K25034">
        <v>3.1</v>
      </c>
      <c r="L25034">
        <v>14861</v>
      </c>
      <c r="M25034" t="s">
        <v>785</v>
      </c>
      <c r="N25034" t="str">
        <f t="shared" si="481"/>
        <v xml:space="preserve">6013062     </v>
      </c>
      <c r="O25034">
        <v>231113</v>
      </c>
    </row>
    <row r="25035" spans="1:15" x14ac:dyDescent="0.25">
      <c r="A25035" t="s">
        <v>16</v>
      </c>
      <c r="B25035" t="s">
        <v>3221</v>
      </c>
      <c r="C25035">
        <v>15531</v>
      </c>
      <c r="D25035" t="s">
        <v>2224</v>
      </c>
      <c r="E25035" t="s">
        <v>2225</v>
      </c>
      <c r="F25035">
        <v>19.850000000000001</v>
      </c>
      <c r="G25035">
        <v>231107</v>
      </c>
      <c r="H25035">
        <v>4500</v>
      </c>
      <c r="I25035" t="s">
        <v>212</v>
      </c>
      <c r="J25035">
        <v>24.62</v>
      </c>
      <c r="K25035">
        <v>4.7699999999999996</v>
      </c>
      <c r="L25035">
        <v>14972</v>
      </c>
      <c r="M25035" t="s">
        <v>898</v>
      </c>
      <c r="N25035" t="str">
        <f t="shared" si="481"/>
        <v xml:space="preserve">6013062     </v>
      </c>
      <c r="O25035">
        <v>231113</v>
      </c>
    </row>
    <row r="25036" spans="1:15" x14ac:dyDescent="0.25">
      <c r="A25036" t="s">
        <v>16</v>
      </c>
      <c r="B25036" t="s">
        <v>3221</v>
      </c>
      <c r="C25036">
        <v>15531</v>
      </c>
      <c r="D25036" t="s">
        <v>2224</v>
      </c>
      <c r="E25036" t="s">
        <v>2225</v>
      </c>
      <c r="F25036">
        <v>20.51</v>
      </c>
      <c r="G25036">
        <v>231107</v>
      </c>
      <c r="H25036">
        <v>4500</v>
      </c>
      <c r="I25036" t="s">
        <v>212</v>
      </c>
      <c r="J25036">
        <v>25.43</v>
      </c>
      <c r="K25036">
        <v>4.92</v>
      </c>
      <c r="L25036">
        <v>14972</v>
      </c>
      <c r="M25036" t="s">
        <v>898</v>
      </c>
      <c r="N25036" t="str">
        <f t="shared" si="481"/>
        <v xml:space="preserve">6013062     </v>
      </c>
      <c r="O25036">
        <v>231113</v>
      </c>
    </row>
    <row r="25037" spans="1:15" x14ac:dyDescent="0.25">
      <c r="A25037" t="s">
        <v>16</v>
      </c>
      <c r="B25037" t="s">
        <v>3221</v>
      </c>
      <c r="C25037">
        <v>15531</v>
      </c>
      <c r="D25037" t="s">
        <v>2224</v>
      </c>
      <c r="E25037" t="s">
        <v>2225</v>
      </c>
      <c r="F25037">
        <v>19.98</v>
      </c>
      <c r="G25037">
        <v>231107</v>
      </c>
      <c r="H25037">
        <v>4500</v>
      </c>
      <c r="I25037" t="s">
        <v>212</v>
      </c>
      <c r="J25037">
        <v>24.78</v>
      </c>
      <c r="K25037">
        <v>4.8</v>
      </c>
      <c r="L25037">
        <v>18820</v>
      </c>
      <c r="M25037" t="s">
        <v>1571</v>
      </c>
      <c r="N25037" t="str">
        <f t="shared" si="481"/>
        <v xml:space="preserve">6013062     </v>
      </c>
      <c r="O25037">
        <v>231113</v>
      </c>
    </row>
    <row r="25038" spans="1:15" x14ac:dyDescent="0.25">
      <c r="A25038" t="s">
        <v>16</v>
      </c>
      <c r="B25038" t="s">
        <v>3221</v>
      </c>
      <c r="C25038">
        <v>15531</v>
      </c>
      <c r="D25038" t="s">
        <v>2224</v>
      </c>
      <c r="E25038" t="s">
        <v>2225</v>
      </c>
      <c r="F25038">
        <v>16.82</v>
      </c>
      <c r="G25038">
        <v>231107</v>
      </c>
      <c r="H25038">
        <v>4500</v>
      </c>
      <c r="I25038" t="s">
        <v>212</v>
      </c>
      <c r="J25038">
        <v>20.86</v>
      </c>
      <c r="K25038">
        <v>4.04</v>
      </c>
      <c r="L25038">
        <v>18972</v>
      </c>
      <c r="M25038" t="s">
        <v>163</v>
      </c>
      <c r="N25038" t="str">
        <f t="shared" si="481"/>
        <v xml:space="preserve">6013062     </v>
      </c>
      <c r="O25038">
        <v>231113</v>
      </c>
    </row>
    <row r="25039" spans="1:15" x14ac:dyDescent="0.25">
      <c r="A25039" t="s">
        <v>16</v>
      </c>
      <c r="B25039" t="s">
        <v>3221</v>
      </c>
      <c r="C25039">
        <v>15533</v>
      </c>
      <c r="D25039" t="s">
        <v>2224</v>
      </c>
      <c r="E25039" t="s">
        <v>2225</v>
      </c>
      <c r="F25039">
        <v>1.28</v>
      </c>
      <c r="G25039">
        <v>231107</v>
      </c>
      <c r="H25039">
        <v>4500</v>
      </c>
      <c r="I25039" t="s">
        <v>212</v>
      </c>
      <c r="J25039">
        <v>1.59</v>
      </c>
      <c r="K25039">
        <v>0.31</v>
      </c>
      <c r="L25039">
        <v>13502</v>
      </c>
      <c r="M25039" t="s">
        <v>243</v>
      </c>
      <c r="N25039" t="str">
        <f>"6013142     "</f>
        <v xml:space="preserve">6013142     </v>
      </c>
      <c r="O25039">
        <v>231113</v>
      </c>
    </row>
    <row r="25040" spans="1:15" x14ac:dyDescent="0.25">
      <c r="A25040" t="s">
        <v>16</v>
      </c>
      <c r="B25040" t="s">
        <v>3221</v>
      </c>
      <c r="C25040">
        <v>15542</v>
      </c>
      <c r="D25040" t="s">
        <v>2224</v>
      </c>
      <c r="E25040" t="s">
        <v>2225</v>
      </c>
      <c r="F25040">
        <v>100.8</v>
      </c>
      <c r="G25040">
        <v>231108</v>
      </c>
      <c r="H25040">
        <v>4500</v>
      </c>
      <c r="I25040" t="s">
        <v>212</v>
      </c>
      <c r="J25040">
        <v>124.99</v>
      </c>
      <c r="K25040">
        <v>24.19</v>
      </c>
      <c r="L25040">
        <v>14972</v>
      </c>
      <c r="M25040" t="s">
        <v>898</v>
      </c>
      <c r="N25040" t="str">
        <f>"6013369     "</f>
        <v xml:space="preserve">6013369     </v>
      </c>
      <c r="O25040">
        <v>231113</v>
      </c>
    </row>
    <row r="25041" spans="1:15" x14ac:dyDescent="0.25">
      <c r="A25041" t="s">
        <v>16</v>
      </c>
      <c r="B25041" t="s">
        <v>3221</v>
      </c>
      <c r="C25041">
        <v>15542</v>
      </c>
      <c r="D25041" t="s">
        <v>2224</v>
      </c>
      <c r="E25041" t="s">
        <v>2225</v>
      </c>
      <c r="F25041">
        <v>21.37</v>
      </c>
      <c r="G25041">
        <v>231108</v>
      </c>
      <c r="H25041">
        <v>4500</v>
      </c>
      <c r="I25041" t="s">
        <v>212</v>
      </c>
      <c r="J25041">
        <v>26.5</v>
      </c>
      <c r="K25041">
        <v>5.13</v>
      </c>
      <c r="L25041">
        <v>18972</v>
      </c>
      <c r="M25041" t="s">
        <v>163</v>
      </c>
      <c r="N25041" t="str">
        <f>"6013369     "</f>
        <v xml:space="preserve">6013369     </v>
      </c>
      <c r="O25041">
        <v>231113</v>
      </c>
    </row>
    <row r="25042" spans="1:15" x14ac:dyDescent="0.25">
      <c r="A25042" t="s">
        <v>16</v>
      </c>
      <c r="B25042" t="s">
        <v>3221</v>
      </c>
      <c r="C25042">
        <v>15622</v>
      </c>
      <c r="D25042" t="s">
        <v>2224</v>
      </c>
      <c r="E25042" t="s">
        <v>2225</v>
      </c>
      <c r="F25042">
        <v>28.82</v>
      </c>
      <c r="G25042">
        <v>231101</v>
      </c>
      <c r="H25042">
        <v>4500</v>
      </c>
      <c r="I25042" t="s">
        <v>212</v>
      </c>
      <c r="J25042">
        <v>35.74</v>
      </c>
      <c r="K25042">
        <v>6.92</v>
      </c>
      <c r="L25042">
        <v>11601</v>
      </c>
      <c r="M25042" t="s">
        <v>535</v>
      </c>
      <c r="N25042" t="str">
        <f t="shared" ref="N25042:N25058" si="482">"6011915     "</f>
        <v xml:space="preserve">6011915     </v>
      </c>
      <c r="O25042">
        <v>231114</v>
      </c>
    </row>
    <row r="25043" spans="1:15" x14ac:dyDescent="0.25">
      <c r="A25043" t="s">
        <v>16</v>
      </c>
      <c r="B25043" t="s">
        <v>3221</v>
      </c>
      <c r="C25043">
        <v>15622</v>
      </c>
      <c r="D25043" t="s">
        <v>2224</v>
      </c>
      <c r="E25043" t="s">
        <v>2225</v>
      </c>
      <c r="F25043">
        <v>17.5</v>
      </c>
      <c r="G25043">
        <v>231101</v>
      </c>
      <c r="H25043">
        <v>4500</v>
      </c>
      <c r="I25043" t="s">
        <v>212</v>
      </c>
      <c r="J25043">
        <v>21.7</v>
      </c>
      <c r="K25043">
        <v>4.2</v>
      </c>
      <c r="L25043">
        <v>41126</v>
      </c>
      <c r="M25043" t="s">
        <v>761</v>
      </c>
      <c r="N25043" t="str">
        <f t="shared" si="482"/>
        <v xml:space="preserve">6011915     </v>
      </c>
      <c r="O25043">
        <v>231114</v>
      </c>
    </row>
    <row r="25044" spans="1:15" x14ac:dyDescent="0.25">
      <c r="A25044" t="s">
        <v>16</v>
      </c>
      <c r="B25044" t="s">
        <v>3221</v>
      </c>
      <c r="C25044">
        <v>15622</v>
      </c>
      <c r="D25044" t="s">
        <v>2224</v>
      </c>
      <c r="E25044" t="s">
        <v>2225</v>
      </c>
      <c r="F25044">
        <v>22.19</v>
      </c>
      <c r="G25044">
        <v>231101</v>
      </c>
      <c r="H25044">
        <v>4500</v>
      </c>
      <c r="I25044" t="s">
        <v>212</v>
      </c>
      <c r="J25044">
        <v>27.52</v>
      </c>
      <c r="K25044">
        <v>5.33</v>
      </c>
      <c r="L25044">
        <v>43222</v>
      </c>
      <c r="M25044" t="s">
        <v>507</v>
      </c>
      <c r="N25044" t="str">
        <f t="shared" si="482"/>
        <v xml:space="preserve">6011915     </v>
      </c>
      <c r="O25044">
        <v>231114</v>
      </c>
    </row>
    <row r="25045" spans="1:15" x14ac:dyDescent="0.25">
      <c r="A25045" t="s">
        <v>16</v>
      </c>
      <c r="B25045" t="s">
        <v>3221</v>
      </c>
      <c r="C25045">
        <v>15622</v>
      </c>
      <c r="D25045" t="s">
        <v>2224</v>
      </c>
      <c r="E25045" t="s">
        <v>2225</v>
      </c>
      <c r="F25045">
        <v>34.18</v>
      </c>
      <c r="G25045">
        <v>231101</v>
      </c>
      <c r="H25045">
        <v>4500</v>
      </c>
      <c r="I25045" t="s">
        <v>212</v>
      </c>
      <c r="J25045">
        <v>42.38</v>
      </c>
      <c r="K25045">
        <v>8.1999999999999993</v>
      </c>
      <c r="L25045">
        <v>44222</v>
      </c>
      <c r="M25045" t="s">
        <v>232</v>
      </c>
      <c r="N25045" t="str">
        <f t="shared" si="482"/>
        <v xml:space="preserve">6011915     </v>
      </c>
      <c r="O25045">
        <v>231114</v>
      </c>
    </row>
    <row r="25046" spans="1:15" x14ac:dyDescent="0.25">
      <c r="A25046" t="s">
        <v>16</v>
      </c>
      <c r="B25046" t="s">
        <v>3221</v>
      </c>
      <c r="C25046">
        <v>15622</v>
      </c>
      <c r="D25046" t="s">
        <v>2224</v>
      </c>
      <c r="E25046" t="s">
        <v>2225</v>
      </c>
      <c r="F25046">
        <v>47.78</v>
      </c>
      <c r="G25046">
        <v>231101</v>
      </c>
      <c r="H25046">
        <v>4500</v>
      </c>
      <c r="I25046" t="s">
        <v>212</v>
      </c>
      <c r="J25046">
        <v>59.25</v>
      </c>
      <c r="K25046">
        <v>11.47</v>
      </c>
      <c r="L25046">
        <v>44222</v>
      </c>
      <c r="M25046" t="s">
        <v>232</v>
      </c>
      <c r="N25046" t="str">
        <f t="shared" si="482"/>
        <v xml:space="preserve">6011915     </v>
      </c>
      <c r="O25046">
        <v>231114</v>
      </c>
    </row>
    <row r="25047" spans="1:15" x14ac:dyDescent="0.25">
      <c r="A25047" t="s">
        <v>16</v>
      </c>
      <c r="B25047" t="s">
        <v>3221</v>
      </c>
      <c r="C25047">
        <v>15622</v>
      </c>
      <c r="D25047" t="s">
        <v>2224</v>
      </c>
      <c r="E25047" t="s">
        <v>2225</v>
      </c>
      <c r="F25047">
        <v>17.34</v>
      </c>
      <c r="G25047">
        <v>231101</v>
      </c>
      <c r="H25047">
        <v>4500</v>
      </c>
      <c r="I25047" t="s">
        <v>212</v>
      </c>
      <c r="J25047">
        <v>21.5</v>
      </c>
      <c r="K25047">
        <v>4.16</v>
      </c>
      <c r="L25047">
        <v>44423</v>
      </c>
      <c r="M25047" t="s">
        <v>502</v>
      </c>
      <c r="N25047" t="str">
        <f t="shared" si="482"/>
        <v xml:space="preserve">6011915     </v>
      </c>
      <c r="O25047">
        <v>231114</v>
      </c>
    </row>
    <row r="25048" spans="1:15" x14ac:dyDescent="0.25">
      <c r="A25048" t="s">
        <v>16</v>
      </c>
      <c r="B25048" t="s">
        <v>3221</v>
      </c>
      <c r="C25048">
        <v>15622</v>
      </c>
      <c r="D25048" t="s">
        <v>2224</v>
      </c>
      <c r="E25048" t="s">
        <v>2225</v>
      </c>
      <c r="F25048">
        <v>10.73</v>
      </c>
      <c r="G25048">
        <v>231101</v>
      </c>
      <c r="H25048">
        <v>4500</v>
      </c>
      <c r="I25048" t="s">
        <v>212</v>
      </c>
      <c r="J25048">
        <v>13.31</v>
      </c>
      <c r="K25048">
        <v>2.58</v>
      </c>
      <c r="L25048">
        <v>46222</v>
      </c>
      <c r="M25048" t="s">
        <v>293</v>
      </c>
      <c r="N25048" t="str">
        <f t="shared" si="482"/>
        <v xml:space="preserve">6011915     </v>
      </c>
      <c r="O25048">
        <v>231114</v>
      </c>
    </row>
    <row r="25049" spans="1:15" x14ac:dyDescent="0.25">
      <c r="A25049" t="s">
        <v>16</v>
      </c>
      <c r="B25049" t="s">
        <v>3221</v>
      </c>
      <c r="C25049">
        <v>15622</v>
      </c>
      <c r="D25049" t="s">
        <v>2224</v>
      </c>
      <c r="E25049" t="s">
        <v>2225</v>
      </c>
      <c r="F25049">
        <v>29.98</v>
      </c>
      <c r="G25049">
        <v>231101</v>
      </c>
      <c r="H25049">
        <v>4500</v>
      </c>
      <c r="I25049" t="s">
        <v>212</v>
      </c>
      <c r="J25049">
        <v>37.18</v>
      </c>
      <c r="K25049">
        <v>7.2</v>
      </c>
      <c r="L25049">
        <v>46555</v>
      </c>
      <c r="M25049" t="s">
        <v>597</v>
      </c>
      <c r="N25049" t="str">
        <f t="shared" si="482"/>
        <v xml:space="preserve">6011915     </v>
      </c>
      <c r="O25049">
        <v>231114</v>
      </c>
    </row>
    <row r="25050" spans="1:15" x14ac:dyDescent="0.25">
      <c r="A25050" t="s">
        <v>16</v>
      </c>
      <c r="B25050" t="s">
        <v>3221</v>
      </c>
      <c r="C25050">
        <v>15622</v>
      </c>
      <c r="D25050" t="s">
        <v>2224</v>
      </c>
      <c r="E25050" t="s">
        <v>2225</v>
      </c>
      <c r="F25050">
        <v>74.23</v>
      </c>
      <c r="G25050">
        <v>231101</v>
      </c>
      <c r="H25050">
        <v>4500</v>
      </c>
      <c r="I25050" t="s">
        <v>212</v>
      </c>
      <c r="J25050">
        <v>92.05</v>
      </c>
      <c r="K25050">
        <v>17.82</v>
      </c>
      <c r="L25050">
        <v>46556</v>
      </c>
      <c r="M25050" t="s">
        <v>125</v>
      </c>
      <c r="N25050" t="str">
        <f t="shared" si="482"/>
        <v xml:space="preserve">6011915     </v>
      </c>
      <c r="O25050">
        <v>231114</v>
      </c>
    </row>
    <row r="25051" spans="1:15" x14ac:dyDescent="0.25">
      <c r="A25051" t="s">
        <v>16</v>
      </c>
      <c r="B25051" t="s">
        <v>3221</v>
      </c>
      <c r="C25051">
        <v>15622</v>
      </c>
      <c r="D25051" t="s">
        <v>2224</v>
      </c>
      <c r="E25051" t="s">
        <v>2225</v>
      </c>
      <c r="F25051">
        <v>35.69</v>
      </c>
      <c r="G25051">
        <v>231101</v>
      </c>
      <c r="H25051">
        <v>4500</v>
      </c>
      <c r="I25051" t="s">
        <v>212</v>
      </c>
      <c r="J25051">
        <v>44.26</v>
      </c>
      <c r="K25051">
        <v>8.57</v>
      </c>
      <c r="L25051">
        <v>46559</v>
      </c>
      <c r="M25051" t="s">
        <v>1104</v>
      </c>
      <c r="N25051" t="str">
        <f t="shared" si="482"/>
        <v xml:space="preserve">6011915     </v>
      </c>
      <c r="O25051">
        <v>231114</v>
      </c>
    </row>
    <row r="25052" spans="1:15" x14ac:dyDescent="0.25">
      <c r="A25052" t="s">
        <v>16</v>
      </c>
      <c r="B25052" t="s">
        <v>3221</v>
      </c>
      <c r="C25052">
        <v>15622</v>
      </c>
      <c r="D25052" t="s">
        <v>2224</v>
      </c>
      <c r="E25052" t="s">
        <v>2225</v>
      </c>
      <c r="F25052">
        <v>35.64</v>
      </c>
      <c r="G25052">
        <v>231101</v>
      </c>
      <c r="H25052">
        <v>4500</v>
      </c>
      <c r="I25052" t="s">
        <v>212</v>
      </c>
      <c r="J25052">
        <v>44.19</v>
      </c>
      <c r="K25052">
        <v>8.5500000000000007</v>
      </c>
      <c r="L25052">
        <v>47522</v>
      </c>
      <c r="M25052" t="s">
        <v>410</v>
      </c>
      <c r="N25052" t="str">
        <f t="shared" si="482"/>
        <v xml:space="preserve">6011915     </v>
      </c>
      <c r="O25052">
        <v>231114</v>
      </c>
    </row>
    <row r="25053" spans="1:15" x14ac:dyDescent="0.25">
      <c r="A25053" t="s">
        <v>16</v>
      </c>
      <c r="B25053" t="s">
        <v>3221</v>
      </c>
      <c r="C25053">
        <v>15622</v>
      </c>
      <c r="D25053" t="s">
        <v>2224</v>
      </c>
      <c r="E25053" t="s">
        <v>2225</v>
      </c>
      <c r="F25053">
        <v>6.78</v>
      </c>
      <c r="G25053">
        <v>231101</v>
      </c>
      <c r="H25053">
        <v>4500</v>
      </c>
      <c r="I25053" t="s">
        <v>212</v>
      </c>
      <c r="J25053">
        <v>8.41</v>
      </c>
      <c r="K25053">
        <v>1.63</v>
      </c>
      <c r="L25053">
        <v>48601</v>
      </c>
      <c r="M25053" t="s">
        <v>1047</v>
      </c>
      <c r="N25053" t="str">
        <f t="shared" si="482"/>
        <v xml:space="preserve">6011915     </v>
      </c>
      <c r="O25053">
        <v>231114</v>
      </c>
    </row>
    <row r="25054" spans="1:15" x14ac:dyDescent="0.25">
      <c r="A25054" t="s">
        <v>16</v>
      </c>
      <c r="B25054" t="s">
        <v>3221</v>
      </c>
      <c r="C25054">
        <v>15622</v>
      </c>
      <c r="D25054" t="s">
        <v>2224</v>
      </c>
      <c r="E25054" t="s">
        <v>2225</v>
      </c>
      <c r="F25054">
        <v>30.49</v>
      </c>
      <c r="G25054">
        <v>231101</v>
      </c>
      <c r="H25054">
        <v>4500</v>
      </c>
      <c r="I25054" t="s">
        <v>212</v>
      </c>
      <c r="J25054">
        <v>37.81</v>
      </c>
      <c r="K25054">
        <v>7.32</v>
      </c>
      <c r="L25054">
        <v>49112</v>
      </c>
      <c r="M25054" t="s">
        <v>233</v>
      </c>
      <c r="N25054" t="str">
        <f t="shared" si="482"/>
        <v xml:space="preserve">6011915     </v>
      </c>
      <c r="O25054">
        <v>231114</v>
      </c>
    </row>
    <row r="25055" spans="1:15" x14ac:dyDescent="0.25">
      <c r="A25055" t="s">
        <v>16</v>
      </c>
      <c r="B25055" t="s">
        <v>3221</v>
      </c>
      <c r="C25055">
        <v>15622</v>
      </c>
      <c r="D25055" t="s">
        <v>2224</v>
      </c>
      <c r="E25055" t="s">
        <v>2225</v>
      </c>
      <c r="F25055">
        <v>58.34</v>
      </c>
      <c r="G25055">
        <v>231101</v>
      </c>
      <c r="H25055">
        <v>4500</v>
      </c>
      <c r="I25055" t="s">
        <v>212</v>
      </c>
      <c r="J25055">
        <v>72.34</v>
      </c>
      <c r="K25055">
        <v>14</v>
      </c>
      <c r="L25055">
        <v>49501</v>
      </c>
      <c r="M25055" t="s">
        <v>177</v>
      </c>
      <c r="N25055" t="str">
        <f t="shared" si="482"/>
        <v xml:space="preserve">6011915     </v>
      </c>
      <c r="O25055">
        <v>231114</v>
      </c>
    </row>
    <row r="25056" spans="1:15" x14ac:dyDescent="0.25">
      <c r="A25056" t="s">
        <v>16</v>
      </c>
      <c r="B25056" t="s">
        <v>3221</v>
      </c>
      <c r="C25056">
        <v>15622</v>
      </c>
      <c r="D25056" t="s">
        <v>2224</v>
      </c>
      <c r="E25056" t="s">
        <v>2225</v>
      </c>
      <c r="F25056">
        <v>74.86</v>
      </c>
      <c r="G25056">
        <v>231101</v>
      </c>
      <c r="H25056">
        <v>4500</v>
      </c>
      <c r="I25056" t="s">
        <v>212</v>
      </c>
      <c r="J25056">
        <v>92.83</v>
      </c>
      <c r="K25056">
        <v>17.97</v>
      </c>
      <c r="L25056">
        <v>49701</v>
      </c>
      <c r="M25056" t="s">
        <v>166</v>
      </c>
      <c r="N25056" t="str">
        <f t="shared" si="482"/>
        <v xml:space="preserve">6011915     </v>
      </c>
      <c r="O25056">
        <v>231114</v>
      </c>
    </row>
    <row r="25057" spans="1:15" x14ac:dyDescent="0.25">
      <c r="A25057" t="s">
        <v>16</v>
      </c>
      <c r="B25057" t="s">
        <v>3221</v>
      </c>
      <c r="C25057">
        <v>15622</v>
      </c>
      <c r="D25057" t="s">
        <v>2224</v>
      </c>
      <c r="E25057" t="s">
        <v>2225</v>
      </c>
      <c r="F25057">
        <v>38.22</v>
      </c>
      <c r="G25057">
        <v>231101</v>
      </c>
      <c r="H25057">
        <v>4500</v>
      </c>
      <c r="I25057" t="s">
        <v>212</v>
      </c>
      <c r="J25057">
        <v>47.39</v>
      </c>
      <c r="K25057">
        <v>9.17</v>
      </c>
      <c r="L25057">
        <v>49702</v>
      </c>
      <c r="M25057" t="s">
        <v>584</v>
      </c>
      <c r="N25057" t="str">
        <f t="shared" si="482"/>
        <v xml:space="preserve">6011915     </v>
      </c>
      <c r="O25057">
        <v>231114</v>
      </c>
    </row>
    <row r="25058" spans="1:15" x14ac:dyDescent="0.25">
      <c r="A25058" t="s">
        <v>16</v>
      </c>
      <c r="B25058" t="s">
        <v>3221</v>
      </c>
      <c r="C25058">
        <v>15622</v>
      </c>
      <c r="D25058" t="s">
        <v>2224</v>
      </c>
      <c r="E25058" t="s">
        <v>2225</v>
      </c>
      <c r="F25058">
        <v>68.48</v>
      </c>
      <c r="G25058">
        <v>231101</v>
      </c>
      <c r="H25058">
        <v>4500</v>
      </c>
      <c r="I25058" t="s">
        <v>212</v>
      </c>
      <c r="J25058">
        <v>84.91</v>
      </c>
      <c r="K25058">
        <v>16.43</v>
      </c>
      <c r="L25058">
        <v>49704</v>
      </c>
      <c r="M25058" t="s">
        <v>1065</v>
      </c>
      <c r="N25058" t="str">
        <f t="shared" si="482"/>
        <v xml:space="preserve">6011915     </v>
      </c>
      <c r="O25058">
        <v>231114</v>
      </c>
    </row>
    <row r="25059" spans="1:15" x14ac:dyDescent="0.25">
      <c r="A25059" t="s">
        <v>16</v>
      </c>
      <c r="B25059" t="s">
        <v>3221</v>
      </c>
      <c r="C25059">
        <v>16035</v>
      </c>
      <c r="D25059" t="s">
        <v>2224</v>
      </c>
      <c r="E25059" t="s">
        <v>2225</v>
      </c>
      <c r="F25059">
        <v>13.5</v>
      </c>
      <c r="G25059">
        <v>231107</v>
      </c>
      <c r="H25059">
        <v>4500</v>
      </c>
      <c r="I25059" t="s">
        <v>212</v>
      </c>
      <c r="J25059">
        <v>16.739999999999998</v>
      </c>
      <c r="K25059">
        <v>3.24</v>
      </c>
      <c r="L25059">
        <v>59702</v>
      </c>
      <c r="M25059" t="s">
        <v>328</v>
      </c>
      <c r="N25059" t="str">
        <f>"6013063     "</f>
        <v xml:space="preserve">6013063     </v>
      </c>
      <c r="O25059">
        <v>231122</v>
      </c>
    </row>
    <row r="25060" spans="1:15" x14ac:dyDescent="0.25">
      <c r="A25060" t="s">
        <v>16</v>
      </c>
      <c r="B25060" t="s">
        <v>3221</v>
      </c>
      <c r="C25060">
        <v>16140</v>
      </c>
      <c r="D25060" t="s">
        <v>2224</v>
      </c>
      <c r="E25060" t="s">
        <v>2225</v>
      </c>
      <c r="F25060">
        <v>75.8</v>
      </c>
      <c r="G25060">
        <v>231117</v>
      </c>
      <c r="H25060">
        <v>4500</v>
      </c>
      <c r="I25060" t="s">
        <v>212</v>
      </c>
      <c r="J25060">
        <v>93.99</v>
      </c>
      <c r="K25060">
        <v>18.190000000000001</v>
      </c>
      <c r="L25060">
        <v>69704</v>
      </c>
      <c r="M25060" t="s">
        <v>325</v>
      </c>
      <c r="N25060" t="str">
        <f>"2002238     "</f>
        <v xml:space="preserve">2002238     </v>
      </c>
      <c r="O25060">
        <v>231123</v>
      </c>
    </row>
    <row r="25061" spans="1:15" x14ac:dyDescent="0.25">
      <c r="A25061" t="s">
        <v>16</v>
      </c>
      <c r="B25061" t="s">
        <v>3221</v>
      </c>
      <c r="C25061">
        <v>16142</v>
      </c>
      <c r="D25061" t="s">
        <v>2224</v>
      </c>
      <c r="E25061" t="s">
        <v>2225</v>
      </c>
      <c r="F25061">
        <v>238.54</v>
      </c>
      <c r="G25061">
        <v>231120</v>
      </c>
      <c r="H25061">
        <v>4500</v>
      </c>
      <c r="I25061" t="s">
        <v>212</v>
      </c>
      <c r="J25061">
        <v>295.79000000000002</v>
      </c>
      <c r="K25061">
        <v>57.25</v>
      </c>
      <c r="L25061">
        <v>17538</v>
      </c>
      <c r="M25061" t="s">
        <v>24</v>
      </c>
      <c r="N25061" t="str">
        <f>"2002709     "</f>
        <v xml:space="preserve">2002709     </v>
      </c>
      <c r="O25061">
        <v>231123</v>
      </c>
    </row>
    <row r="25062" spans="1:15" x14ac:dyDescent="0.25">
      <c r="A25062" t="s">
        <v>16</v>
      </c>
      <c r="B25062" t="s">
        <v>3221</v>
      </c>
      <c r="C25062">
        <v>16142</v>
      </c>
      <c r="D25062" t="s">
        <v>2224</v>
      </c>
      <c r="E25062" t="s">
        <v>2225</v>
      </c>
      <c r="F25062">
        <v>117.62</v>
      </c>
      <c r="G25062">
        <v>231120</v>
      </c>
      <c r="H25062">
        <v>4500</v>
      </c>
      <c r="I25062" t="s">
        <v>212</v>
      </c>
      <c r="J25062">
        <v>145.85</v>
      </c>
      <c r="K25062">
        <v>28.23</v>
      </c>
      <c r="L25062">
        <v>17971</v>
      </c>
      <c r="M25062" t="s">
        <v>138</v>
      </c>
      <c r="N25062" t="str">
        <f>"2002709     "</f>
        <v xml:space="preserve">2002709     </v>
      </c>
      <c r="O25062">
        <v>231123</v>
      </c>
    </row>
    <row r="25063" spans="1:15" x14ac:dyDescent="0.25">
      <c r="A25063" t="s">
        <v>16</v>
      </c>
      <c r="B25063" t="s">
        <v>3221</v>
      </c>
      <c r="C25063">
        <v>16143</v>
      </c>
      <c r="D25063" t="s">
        <v>2224</v>
      </c>
      <c r="E25063" t="s">
        <v>2225</v>
      </c>
      <c r="F25063">
        <v>98.48</v>
      </c>
      <c r="G25063">
        <v>231121</v>
      </c>
      <c r="H25063">
        <v>4500</v>
      </c>
      <c r="I25063" t="s">
        <v>212</v>
      </c>
      <c r="J25063">
        <v>122.11</v>
      </c>
      <c r="K25063">
        <v>23.63</v>
      </c>
      <c r="L25063">
        <v>13501</v>
      </c>
      <c r="M25063" t="s">
        <v>20</v>
      </c>
      <c r="N25063" t="str">
        <f>"2003406     "</f>
        <v xml:space="preserve">2003406     </v>
      </c>
      <c r="O25063">
        <v>231123</v>
      </c>
    </row>
    <row r="25064" spans="1:15" x14ac:dyDescent="0.25">
      <c r="A25064" t="s">
        <v>16</v>
      </c>
      <c r="B25064" t="s">
        <v>3221</v>
      </c>
      <c r="C25064">
        <v>16143</v>
      </c>
      <c r="D25064" t="s">
        <v>2224</v>
      </c>
      <c r="E25064" t="s">
        <v>2225</v>
      </c>
      <c r="F25064">
        <v>42.79</v>
      </c>
      <c r="G25064">
        <v>231121</v>
      </c>
      <c r="H25064">
        <v>4500</v>
      </c>
      <c r="I25064" t="s">
        <v>212</v>
      </c>
      <c r="J25064">
        <v>53.06</v>
      </c>
      <c r="K25064">
        <v>10.27</v>
      </c>
      <c r="L25064">
        <v>17971</v>
      </c>
      <c r="M25064" t="s">
        <v>138</v>
      </c>
      <c r="N25064" t="str">
        <f>"2003406     "</f>
        <v xml:space="preserve">2003406     </v>
      </c>
      <c r="O25064">
        <v>231123</v>
      </c>
    </row>
    <row r="25065" spans="1:15" x14ac:dyDescent="0.25">
      <c r="A25065" t="s">
        <v>16</v>
      </c>
      <c r="B25065" t="s">
        <v>3221</v>
      </c>
      <c r="C25065">
        <v>16143</v>
      </c>
      <c r="D25065" t="s">
        <v>2224</v>
      </c>
      <c r="E25065" t="s">
        <v>2225</v>
      </c>
      <c r="F25065">
        <v>796.73</v>
      </c>
      <c r="G25065">
        <v>231121</v>
      </c>
      <c r="H25065">
        <v>4500</v>
      </c>
      <c r="I25065" t="s">
        <v>212</v>
      </c>
      <c r="J25065">
        <v>987.94</v>
      </c>
      <c r="K25065">
        <v>191.21</v>
      </c>
      <c r="L25065">
        <v>17971</v>
      </c>
      <c r="M25065" t="s">
        <v>138</v>
      </c>
      <c r="N25065" t="str">
        <f>"2003406     "</f>
        <v xml:space="preserve">2003406     </v>
      </c>
      <c r="O25065">
        <v>231123</v>
      </c>
    </row>
    <row r="25066" spans="1:15" x14ac:dyDescent="0.25">
      <c r="A25066" t="s">
        <v>16</v>
      </c>
      <c r="B25066" t="s">
        <v>3221</v>
      </c>
      <c r="C25066">
        <v>16144</v>
      </c>
      <c r="D25066" t="s">
        <v>2224</v>
      </c>
      <c r="E25066" t="s">
        <v>2225</v>
      </c>
      <c r="F25066">
        <v>197.06</v>
      </c>
      <c r="G25066">
        <v>231121</v>
      </c>
      <c r="H25066">
        <v>4500</v>
      </c>
      <c r="I25066" t="s">
        <v>212</v>
      </c>
      <c r="J25066">
        <v>244.35</v>
      </c>
      <c r="K25066">
        <v>47.29</v>
      </c>
      <c r="L25066">
        <v>69702</v>
      </c>
      <c r="M25066" t="s">
        <v>489</v>
      </c>
      <c r="N25066" t="str">
        <f>"2003404     "</f>
        <v xml:space="preserve">2003404     </v>
      </c>
      <c r="O25066">
        <v>231123</v>
      </c>
    </row>
    <row r="25067" spans="1:15" x14ac:dyDescent="0.25">
      <c r="A25067" t="s">
        <v>16</v>
      </c>
      <c r="B25067" t="s">
        <v>3221</v>
      </c>
      <c r="C25067">
        <v>16144</v>
      </c>
      <c r="D25067" t="s">
        <v>2224</v>
      </c>
      <c r="E25067" t="s">
        <v>2225</v>
      </c>
      <c r="F25067">
        <v>29.93</v>
      </c>
      <c r="G25067">
        <v>231121</v>
      </c>
      <c r="H25067">
        <v>4500</v>
      </c>
      <c r="I25067" t="s">
        <v>212</v>
      </c>
      <c r="J25067">
        <v>37.11</v>
      </c>
      <c r="K25067">
        <v>7.18</v>
      </c>
      <c r="L25067">
        <v>69704</v>
      </c>
      <c r="M25067" t="s">
        <v>325</v>
      </c>
      <c r="N25067" t="str">
        <f>"2003404     "</f>
        <v xml:space="preserve">2003404     </v>
      </c>
      <c r="O25067">
        <v>231123</v>
      </c>
    </row>
    <row r="25068" spans="1:15" x14ac:dyDescent="0.25">
      <c r="A25068" t="s">
        <v>16</v>
      </c>
      <c r="B25068" t="s">
        <v>3221</v>
      </c>
      <c r="C25068">
        <v>16146</v>
      </c>
      <c r="D25068" t="s">
        <v>2224</v>
      </c>
      <c r="E25068" t="s">
        <v>2225</v>
      </c>
      <c r="F25068">
        <v>35.450000000000003</v>
      </c>
      <c r="G25068">
        <v>231122</v>
      </c>
      <c r="H25068">
        <v>4500</v>
      </c>
      <c r="I25068" t="s">
        <v>212</v>
      </c>
      <c r="J25068">
        <v>43.96</v>
      </c>
      <c r="K25068">
        <v>8.51</v>
      </c>
      <c r="L25068">
        <v>59702</v>
      </c>
      <c r="M25068" t="s">
        <v>328</v>
      </c>
      <c r="N25068" t="str">
        <f>"2003970     "</f>
        <v xml:space="preserve">2003970     </v>
      </c>
      <c r="O25068">
        <v>231123</v>
      </c>
    </row>
    <row r="25069" spans="1:15" x14ac:dyDescent="0.25">
      <c r="A25069" t="s">
        <v>16</v>
      </c>
      <c r="B25069" t="s">
        <v>3221</v>
      </c>
      <c r="C25069">
        <v>16161</v>
      </c>
      <c r="D25069" t="s">
        <v>2224</v>
      </c>
      <c r="E25069" t="s">
        <v>2225</v>
      </c>
      <c r="F25069">
        <v>81.790000000000006</v>
      </c>
      <c r="G25069">
        <v>231123</v>
      </c>
      <c r="H25069">
        <v>4500</v>
      </c>
      <c r="I25069" t="s">
        <v>212</v>
      </c>
      <c r="J25069">
        <v>101.42</v>
      </c>
      <c r="K25069">
        <v>19.63</v>
      </c>
      <c r="L25069">
        <v>56559</v>
      </c>
      <c r="M25069" t="s">
        <v>129</v>
      </c>
      <c r="N25069" t="str">
        <f>"2004572     "</f>
        <v xml:space="preserve">2004572     </v>
      </c>
      <c r="O25069">
        <v>231123</v>
      </c>
    </row>
    <row r="25070" spans="1:15" x14ac:dyDescent="0.25">
      <c r="A25070" t="s">
        <v>16</v>
      </c>
      <c r="B25070" t="s">
        <v>3221</v>
      </c>
      <c r="C25070">
        <v>16161</v>
      </c>
      <c r="D25070" t="s">
        <v>2224</v>
      </c>
      <c r="E25070" t="s">
        <v>2225</v>
      </c>
      <c r="F25070">
        <v>50.72</v>
      </c>
      <c r="G25070">
        <v>231123</v>
      </c>
      <c r="H25070">
        <v>4500</v>
      </c>
      <c r="I25070" t="s">
        <v>212</v>
      </c>
      <c r="J25070">
        <v>62.89</v>
      </c>
      <c r="K25070">
        <v>12.17</v>
      </c>
      <c r="L25070">
        <v>59702</v>
      </c>
      <c r="M25070" t="s">
        <v>328</v>
      </c>
      <c r="N25070" t="str">
        <f>"2004572     "</f>
        <v xml:space="preserve">2004572     </v>
      </c>
      <c r="O25070">
        <v>231123</v>
      </c>
    </row>
    <row r="25071" spans="1:15" x14ac:dyDescent="0.25">
      <c r="A25071" t="s">
        <v>16</v>
      </c>
      <c r="B25071" t="s">
        <v>3221</v>
      </c>
      <c r="C25071">
        <v>16364</v>
      </c>
      <c r="D25071" t="s">
        <v>2224</v>
      </c>
      <c r="E25071" t="s">
        <v>2225</v>
      </c>
      <c r="F25071">
        <v>52.1</v>
      </c>
      <c r="G25071">
        <v>231124</v>
      </c>
      <c r="H25071">
        <v>4500</v>
      </c>
      <c r="I25071" t="s">
        <v>212</v>
      </c>
      <c r="J25071">
        <v>64.599999999999994</v>
      </c>
      <c r="K25071">
        <v>12.5</v>
      </c>
      <c r="L25071">
        <v>11001</v>
      </c>
      <c r="M25071" t="s">
        <v>326</v>
      </c>
      <c r="N25071" t="str">
        <f>"2005119     "</f>
        <v xml:space="preserve">2005119     </v>
      </c>
      <c r="O25071">
        <v>231128</v>
      </c>
    </row>
    <row r="25072" spans="1:15" x14ac:dyDescent="0.25">
      <c r="A25072" t="s">
        <v>16</v>
      </c>
      <c r="B25072" t="s">
        <v>3221</v>
      </c>
      <c r="C25072">
        <v>16364</v>
      </c>
      <c r="D25072" t="s">
        <v>2224</v>
      </c>
      <c r="E25072" t="s">
        <v>2225</v>
      </c>
      <c r="F25072">
        <v>101.13</v>
      </c>
      <c r="G25072">
        <v>231124</v>
      </c>
      <c r="H25072">
        <v>4500</v>
      </c>
      <c r="I25072" t="s">
        <v>212</v>
      </c>
      <c r="J25072">
        <v>125.4</v>
      </c>
      <c r="K25072">
        <v>24.27</v>
      </c>
      <c r="L25072">
        <v>59702</v>
      </c>
      <c r="M25072" t="s">
        <v>328</v>
      </c>
      <c r="N25072" t="str">
        <f>"2005119     "</f>
        <v xml:space="preserve">2005119     </v>
      </c>
      <c r="O25072">
        <v>231128</v>
      </c>
    </row>
    <row r="25073" spans="1:15" x14ac:dyDescent="0.25">
      <c r="A25073" t="s">
        <v>16</v>
      </c>
      <c r="B25073" t="s">
        <v>3221</v>
      </c>
      <c r="C25073">
        <v>16567</v>
      </c>
      <c r="D25073" t="s">
        <v>2224</v>
      </c>
      <c r="E25073" t="s">
        <v>2225</v>
      </c>
      <c r="F25073">
        <v>15.1</v>
      </c>
      <c r="G25073">
        <v>231124</v>
      </c>
      <c r="H25073">
        <v>4500</v>
      </c>
      <c r="I25073" t="s">
        <v>212</v>
      </c>
      <c r="J25073">
        <v>18.72</v>
      </c>
      <c r="K25073">
        <v>3.62</v>
      </c>
      <c r="L25073">
        <v>17538</v>
      </c>
      <c r="M25073" t="s">
        <v>24</v>
      </c>
      <c r="N25073" t="str">
        <f>"2005118     "</f>
        <v xml:space="preserve">2005118     </v>
      </c>
      <c r="O25073">
        <v>231201</v>
      </c>
    </row>
    <row r="25074" spans="1:15" x14ac:dyDescent="0.25">
      <c r="A25074" t="s">
        <v>16</v>
      </c>
      <c r="B25074" t="s">
        <v>3221</v>
      </c>
      <c r="C25074">
        <v>16881</v>
      </c>
      <c r="D25074" t="s">
        <v>2224</v>
      </c>
      <c r="E25074" t="s">
        <v>2225</v>
      </c>
      <c r="F25074">
        <v>615.35</v>
      </c>
      <c r="G25074">
        <v>231130</v>
      </c>
      <c r="H25074">
        <v>4500</v>
      </c>
      <c r="I25074" t="s">
        <v>212</v>
      </c>
      <c r="J25074">
        <v>763.04</v>
      </c>
      <c r="K25074">
        <v>147.69</v>
      </c>
      <c r="L25074">
        <v>13801</v>
      </c>
      <c r="M25074" t="s">
        <v>162</v>
      </c>
      <c r="N25074" t="str">
        <f>"2010198     "</f>
        <v xml:space="preserve">2010198     </v>
      </c>
      <c r="O25074">
        <v>231211</v>
      </c>
    </row>
    <row r="25075" spans="1:15" x14ac:dyDescent="0.25">
      <c r="A25075" t="s">
        <v>16</v>
      </c>
      <c r="B25075" t="s">
        <v>3221</v>
      </c>
      <c r="C25075">
        <v>16937</v>
      </c>
      <c r="D25075" t="s">
        <v>2224</v>
      </c>
      <c r="E25075" t="s">
        <v>2225</v>
      </c>
      <c r="F25075">
        <v>67.12</v>
      </c>
      <c r="G25075">
        <v>231130</v>
      </c>
      <c r="H25075">
        <v>4500</v>
      </c>
      <c r="I25075" t="s">
        <v>212</v>
      </c>
      <c r="J25075">
        <v>83.23</v>
      </c>
      <c r="K25075">
        <v>16.11</v>
      </c>
      <c r="L25075">
        <v>46222</v>
      </c>
      <c r="M25075" t="s">
        <v>293</v>
      </c>
      <c r="N25075" t="str">
        <f>"2010197     "</f>
        <v xml:space="preserve">2010197     </v>
      </c>
      <c r="O25075">
        <v>231211</v>
      </c>
    </row>
    <row r="25076" spans="1:15" x14ac:dyDescent="0.25">
      <c r="A25076" t="s">
        <v>16</v>
      </c>
      <c r="B25076" t="s">
        <v>3221</v>
      </c>
      <c r="C25076">
        <v>16937</v>
      </c>
      <c r="D25076" t="s">
        <v>2224</v>
      </c>
      <c r="E25076" t="s">
        <v>2225</v>
      </c>
      <c r="F25076">
        <v>20.88</v>
      </c>
      <c r="G25076">
        <v>231130</v>
      </c>
      <c r="H25076">
        <v>4500</v>
      </c>
      <c r="I25076" t="s">
        <v>212</v>
      </c>
      <c r="J25076">
        <v>25.89</v>
      </c>
      <c r="K25076">
        <v>5.01</v>
      </c>
      <c r="L25076">
        <v>46554</v>
      </c>
      <c r="M25076" t="s">
        <v>117</v>
      </c>
      <c r="N25076" t="str">
        <f>"2010197     "</f>
        <v xml:space="preserve">2010197     </v>
      </c>
      <c r="O25076">
        <v>231211</v>
      </c>
    </row>
    <row r="25077" spans="1:15" x14ac:dyDescent="0.25">
      <c r="A25077" t="s">
        <v>16</v>
      </c>
      <c r="B25077" t="s">
        <v>3221</v>
      </c>
      <c r="C25077">
        <v>16937</v>
      </c>
      <c r="D25077" t="s">
        <v>2224</v>
      </c>
      <c r="E25077" t="s">
        <v>2225</v>
      </c>
      <c r="F25077">
        <v>201.86</v>
      </c>
      <c r="G25077">
        <v>231130</v>
      </c>
      <c r="H25077">
        <v>4500</v>
      </c>
      <c r="I25077" t="s">
        <v>212</v>
      </c>
      <c r="J25077">
        <v>250.31</v>
      </c>
      <c r="K25077">
        <v>48.45</v>
      </c>
      <c r="L25077">
        <v>49702</v>
      </c>
      <c r="M25077" t="s">
        <v>584</v>
      </c>
      <c r="N25077" t="str">
        <f>"2010197     "</f>
        <v xml:space="preserve">2010197     </v>
      </c>
      <c r="O25077">
        <v>231211</v>
      </c>
    </row>
    <row r="25078" spans="1:15" x14ac:dyDescent="0.25">
      <c r="A25078" t="s">
        <v>16</v>
      </c>
      <c r="B25078" t="s">
        <v>3221</v>
      </c>
      <c r="C25078">
        <v>17102</v>
      </c>
      <c r="D25078" t="s">
        <v>2224</v>
      </c>
      <c r="E25078" t="s">
        <v>2225</v>
      </c>
      <c r="F25078">
        <v>83.4</v>
      </c>
      <c r="G25078">
        <v>231204</v>
      </c>
      <c r="H25078">
        <v>4500</v>
      </c>
      <c r="I25078" t="s">
        <v>212</v>
      </c>
      <c r="J25078">
        <v>103.42</v>
      </c>
      <c r="K25078">
        <v>20.02</v>
      </c>
      <c r="L25078">
        <v>44422</v>
      </c>
      <c r="M25078" t="s">
        <v>482</v>
      </c>
      <c r="N25078" t="str">
        <f>"2011141     "</f>
        <v xml:space="preserve">2011141     </v>
      </c>
      <c r="O25078">
        <v>231212</v>
      </c>
    </row>
    <row r="25079" spans="1:15" x14ac:dyDescent="0.25">
      <c r="A25079" t="s">
        <v>16</v>
      </c>
      <c r="B25079" t="s">
        <v>3221</v>
      </c>
      <c r="C25079">
        <v>17102</v>
      </c>
      <c r="D25079" t="s">
        <v>2224</v>
      </c>
      <c r="E25079" t="s">
        <v>2225</v>
      </c>
      <c r="F25079">
        <v>24.14</v>
      </c>
      <c r="G25079">
        <v>231204</v>
      </c>
      <c r="H25079">
        <v>4500</v>
      </c>
      <c r="I25079" t="s">
        <v>212</v>
      </c>
      <c r="J25079">
        <v>29.93</v>
      </c>
      <c r="K25079">
        <v>5.79</v>
      </c>
      <c r="L25079">
        <v>49702</v>
      </c>
      <c r="M25079" t="s">
        <v>584</v>
      </c>
      <c r="N25079" t="str">
        <f>"2011141     "</f>
        <v xml:space="preserve">2011141     </v>
      </c>
      <c r="O25079">
        <v>231212</v>
      </c>
    </row>
    <row r="25080" spans="1:15" x14ac:dyDescent="0.25">
      <c r="A25080" t="s">
        <v>16</v>
      </c>
      <c r="B25080" t="s">
        <v>3221</v>
      </c>
      <c r="C25080">
        <v>17106</v>
      </c>
      <c r="D25080" t="s">
        <v>2224</v>
      </c>
      <c r="E25080" t="s">
        <v>2225</v>
      </c>
      <c r="F25080">
        <v>65.599999999999994</v>
      </c>
      <c r="G25080">
        <v>231204</v>
      </c>
      <c r="H25080">
        <v>4500</v>
      </c>
      <c r="I25080" t="s">
        <v>212</v>
      </c>
      <c r="J25080">
        <v>81.34</v>
      </c>
      <c r="K25080">
        <v>15.74</v>
      </c>
      <c r="L25080">
        <v>17538</v>
      </c>
      <c r="M25080" t="s">
        <v>24</v>
      </c>
      <c r="N25080" t="str">
        <f>"2011140     "</f>
        <v xml:space="preserve">2011140     </v>
      </c>
      <c r="O25080">
        <v>231212</v>
      </c>
    </row>
    <row r="25081" spans="1:15" x14ac:dyDescent="0.25">
      <c r="A25081" t="s">
        <v>16</v>
      </c>
      <c r="B25081" t="s">
        <v>3221</v>
      </c>
      <c r="C25081">
        <v>17253</v>
      </c>
      <c r="D25081" t="s">
        <v>2224</v>
      </c>
      <c r="E25081" t="s">
        <v>2225</v>
      </c>
      <c r="F25081">
        <v>36.119999999999997</v>
      </c>
      <c r="G25081">
        <v>231130</v>
      </c>
      <c r="H25081">
        <v>4500</v>
      </c>
      <c r="I25081" t="s">
        <v>212</v>
      </c>
      <c r="J25081">
        <v>44.79</v>
      </c>
      <c r="K25081">
        <v>8.67</v>
      </c>
      <c r="L25081">
        <v>14861</v>
      </c>
      <c r="M25081" t="s">
        <v>785</v>
      </c>
      <c r="N25081" t="str">
        <f>"2010200     "</f>
        <v xml:space="preserve">2010200     </v>
      </c>
      <c r="O25081">
        <v>231212</v>
      </c>
    </row>
    <row r="25082" spans="1:15" x14ac:dyDescent="0.25">
      <c r="A25082" t="s">
        <v>16</v>
      </c>
      <c r="B25082" t="s">
        <v>3221</v>
      </c>
      <c r="C25082">
        <v>17253</v>
      </c>
      <c r="D25082" t="s">
        <v>2224</v>
      </c>
      <c r="E25082" t="s">
        <v>2225</v>
      </c>
      <c r="F25082">
        <v>13.06</v>
      </c>
      <c r="G25082">
        <v>231130</v>
      </c>
      <c r="H25082">
        <v>4500</v>
      </c>
      <c r="I25082" t="s">
        <v>212</v>
      </c>
      <c r="J25082">
        <v>16.2</v>
      </c>
      <c r="K25082">
        <v>3.14</v>
      </c>
      <c r="L25082">
        <v>14972</v>
      </c>
      <c r="M25082" t="s">
        <v>898</v>
      </c>
      <c r="N25082" t="str">
        <f>"2010200     "</f>
        <v xml:space="preserve">2010200     </v>
      </c>
      <c r="O25082">
        <v>231212</v>
      </c>
    </row>
    <row r="25083" spans="1:15" x14ac:dyDescent="0.25">
      <c r="A25083" t="s">
        <v>16</v>
      </c>
      <c r="B25083" t="s">
        <v>3221</v>
      </c>
      <c r="C25083">
        <v>17253</v>
      </c>
      <c r="D25083" t="s">
        <v>2224</v>
      </c>
      <c r="E25083" t="s">
        <v>2225</v>
      </c>
      <c r="F25083">
        <v>16.79</v>
      </c>
      <c r="G25083">
        <v>231130</v>
      </c>
      <c r="H25083">
        <v>4500</v>
      </c>
      <c r="I25083" t="s">
        <v>212</v>
      </c>
      <c r="J25083">
        <v>20.82</v>
      </c>
      <c r="K25083">
        <v>4.03</v>
      </c>
      <c r="L25083">
        <v>18120</v>
      </c>
      <c r="M25083" t="s">
        <v>329</v>
      </c>
      <c r="N25083" t="str">
        <f>"2010200     "</f>
        <v xml:space="preserve">2010200     </v>
      </c>
      <c r="O25083">
        <v>231212</v>
      </c>
    </row>
    <row r="25084" spans="1:15" x14ac:dyDescent="0.25">
      <c r="A25084" t="s">
        <v>16</v>
      </c>
      <c r="B25084" t="s">
        <v>3221</v>
      </c>
      <c r="C25084">
        <v>17253</v>
      </c>
      <c r="D25084" t="s">
        <v>2224</v>
      </c>
      <c r="E25084" t="s">
        <v>2225</v>
      </c>
      <c r="F25084">
        <v>33.57</v>
      </c>
      <c r="G25084">
        <v>231130</v>
      </c>
      <c r="H25084">
        <v>4500</v>
      </c>
      <c r="I25084" t="s">
        <v>212</v>
      </c>
      <c r="J25084">
        <v>41.63</v>
      </c>
      <c r="K25084">
        <v>8.06</v>
      </c>
      <c r="L25084">
        <v>18972</v>
      </c>
      <c r="M25084" t="s">
        <v>163</v>
      </c>
      <c r="N25084" t="str">
        <f>"2010200     "</f>
        <v xml:space="preserve">2010200     </v>
      </c>
      <c r="O25084">
        <v>231212</v>
      </c>
    </row>
    <row r="25085" spans="1:15" x14ac:dyDescent="0.25">
      <c r="A25085" t="s">
        <v>16</v>
      </c>
      <c r="B25085" t="s">
        <v>3221</v>
      </c>
      <c r="C25085">
        <v>17255</v>
      </c>
      <c r="D25085" t="s">
        <v>2224</v>
      </c>
      <c r="E25085" t="s">
        <v>2225</v>
      </c>
      <c r="F25085">
        <v>33</v>
      </c>
      <c r="G25085">
        <v>231130</v>
      </c>
      <c r="H25085">
        <v>4500</v>
      </c>
      <c r="I25085" t="s">
        <v>212</v>
      </c>
      <c r="J25085">
        <v>40.92</v>
      </c>
      <c r="K25085">
        <v>7.92</v>
      </c>
      <c r="L25085">
        <v>14972</v>
      </c>
      <c r="M25085" t="s">
        <v>898</v>
      </c>
      <c r="N25085" t="str">
        <f>"2010199     "</f>
        <v xml:space="preserve">2010199     </v>
      </c>
      <c r="O25085">
        <v>231212</v>
      </c>
    </row>
    <row r="25086" spans="1:15" x14ac:dyDescent="0.25">
      <c r="A25086" t="s">
        <v>16</v>
      </c>
      <c r="B25086" t="s">
        <v>3221</v>
      </c>
      <c r="C25086">
        <v>17261</v>
      </c>
      <c r="D25086" t="s">
        <v>2224</v>
      </c>
      <c r="E25086" t="s">
        <v>2225</v>
      </c>
      <c r="F25086">
        <v>134.69999999999999</v>
      </c>
      <c r="G25086">
        <v>231130</v>
      </c>
      <c r="H25086">
        <v>4500</v>
      </c>
      <c r="I25086" t="s">
        <v>212</v>
      </c>
      <c r="J25086">
        <v>167.03</v>
      </c>
      <c r="K25086">
        <v>32.33</v>
      </c>
      <c r="L25086">
        <v>14432</v>
      </c>
      <c r="M25086" t="s">
        <v>862</v>
      </c>
      <c r="N25086" t="str">
        <f>"2007494     "</f>
        <v xml:space="preserve">2007494     </v>
      </c>
      <c r="O25086">
        <v>231212</v>
      </c>
    </row>
    <row r="25087" spans="1:15" x14ac:dyDescent="0.25">
      <c r="A25087" t="s">
        <v>16</v>
      </c>
      <c r="B25087" t="s">
        <v>3221</v>
      </c>
      <c r="C25087">
        <v>17261</v>
      </c>
      <c r="D25087" t="s">
        <v>2224</v>
      </c>
      <c r="E25087" t="s">
        <v>2225</v>
      </c>
      <c r="F25087">
        <v>100.86</v>
      </c>
      <c r="G25087">
        <v>231130</v>
      </c>
      <c r="H25087">
        <v>4500</v>
      </c>
      <c r="I25087" t="s">
        <v>212</v>
      </c>
      <c r="J25087">
        <v>125.07</v>
      </c>
      <c r="K25087">
        <v>24.21</v>
      </c>
      <c r="L25087">
        <v>14861</v>
      </c>
      <c r="M25087" t="s">
        <v>785</v>
      </c>
      <c r="N25087" t="str">
        <f>"2007494     "</f>
        <v xml:space="preserve">2007494     </v>
      </c>
      <c r="O25087">
        <v>231212</v>
      </c>
    </row>
    <row r="25088" spans="1:15" x14ac:dyDescent="0.25">
      <c r="A25088" t="s">
        <v>16</v>
      </c>
      <c r="B25088" t="s">
        <v>3221</v>
      </c>
      <c r="C25088">
        <v>17261</v>
      </c>
      <c r="D25088" t="s">
        <v>2224</v>
      </c>
      <c r="E25088" t="s">
        <v>2225</v>
      </c>
      <c r="F25088">
        <v>6.78</v>
      </c>
      <c r="G25088">
        <v>231130</v>
      </c>
      <c r="H25088">
        <v>4500</v>
      </c>
      <c r="I25088" t="s">
        <v>212</v>
      </c>
      <c r="J25088">
        <v>8.41</v>
      </c>
      <c r="K25088">
        <v>1.63</v>
      </c>
      <c r="L25088">
        <v>14972</v>
      </c>
      <c r="M25088" t="s">
        <v>898</v>
      </c>
      <c r="N25088" t="str">
        <f>"2007494     "</f>
        <v xml:space="preserve">2007494     </v>
      </c>
      <c r="O25088">
        <v>231212</v>
      </c>
    </row>
    <row r="25089" spans="1:15" x14ac:dyDescent="0.25">
      <c r="A25089" t="s">
        <v>16</v>
      </c>
      <c r="B25089" t="s">
        <v>3221</v>
      </c>
      <c r="C25089">
        <v>17261</v>
      </c>
      <c r="D25089" t="s">
        <v>2224</v>
      </c>
      <c r="E25089" t="s">
        <v>2225</v>
      </c>
      <c r="F25089">
        <v>2.59</v>
      </c>
      <c r="G25089">
        <v>231130</v>
      </c>
      <c r="H25089">
        <v>4500</v>
      </c>
      <c r="I25089" t="s">
        <v>212</v>
      </c>
      <c r="J25089">
        <v>3.21</v>
      </c>
      <c r="K25089">
        <v>0.62</v>
      </c>
      <c r="L25089">
        <v>18972</v>
      </c>
      <c r="M25089" t="s">
        <v>163</v>
      </c>
      <c r="N25089" t="str">
        <f>"2007494     "</f>
        <v xml:space="preserve">2007494     </v>
      </c>
      <c r="O25089">
        <v>231212</v>
      </c>
    </row>
    <row r="25090" spans="1:15" x14ac:dyDescent="0.25">
      <c r="A25090" t="s">
        <v>16</v>
      </c>
      <c r="B25090" t="s">
        <v>3221</v>
      </c>
      <c r="C25090">
        <v>17398</v>
      </c>
      <c r="D25090" t="s">
        <v>2224</v>
      </c>
      <c r="E25090" t="s">
        <v>2225</v>
      </c>
      <c r="F25090">
        <v>154.07</v>
      </c>
      <c r="G25090">
        <v>231207</v>
      </c>
      <c r="H25090">
        <v>4500</v>
      </c>
      <c r="I25090" t="s">
        <v>212</v>
      </c>
      <c r="J25090">
        <v>191.05</v>
      </c>
      <c r="K25090">
        <v>36.979999999999997</v>
      </c>
      <c r="L25090">
        <v>13801</v>
      </c>
      <c r="M25090" t="s">
        <v>162</v>
      </c>
      <c r="N25090" t="str">
        <f>"2012594     "</f>
        <v xml:space="preserve">2012594     </v>
      </c>
      <c r="O25090">
        <v>231213</v>
      </c>
    </row>
    <row r="25091" spans="1:15" x14ac:dyDescent="0.25">
      <c r="A25091" t="s">
        <v>16</v>
      </c>
      <c r="B25091" t="s">
        <v>3221</v>
      </c>
      <c r="C25091">
        <v>17516</v>
      </c>
      <c r="D25091" t="s">
        <v>2224</v>
      </c>
      <c r="E25091" t="s">
        <v>2225</v>
      </c>
      <c r="F25091">
        <v>10.15</v>
      </c>
      <c r="G25091">
        <v>231211</v>
      </c>
      <c r="H25091">
        <v>4500</v>
      </c>
      <c r="I25091" t="s">
        <v>212</v>
      </c>
      <c r="J25091">
        <v>12.59</v>
      </c>
      <c r="K25091">
        <v>2.44</v>
      </c>
      <c r="L25091">
        <v>13801</v>
      </c>
      <c r="M25091" t="s">
        <v>162</v>
      </c>
      <c r="N25091" t="str">
        <f>"2013507     "</f>
        <v xml:space="preserve">2013507     </v>
      </c>
      <c r="O25091">
        <v>231214</v>
      </c>
    </row>
    <row r="25092" spans="1:15" x14ac:dyDescent="0.25">
      <c r="A25092" t="s">
        <v>16</v>
      </c>
      <c r="B25092" t="s">
        <v>3221</v>
      </c>
      <c r="C25092">
        <v>17771</v>
      </c>
      <c r="D25092" t="s">
        <v>2224</v>
      </c>
      <c r="E25092" t="s">
        <v>2225</v>
      </c>
      <c r="F25092">
        <v>41.65</v>
      </c>
      <c r="G25092">
        <v>231114</v>
      </c>
      <c r="H25092">
        <v>4500</v>
      </c>
      <c r="I25092" t="s">
        <v>212</v>
      </c>
      <c r="J25092">
        <v>51.65</v>
      </c>
      <c r="K25092">
        <v>10</v>
      </c>
      <c r="L25092">
        <v>59701</v>
      </c>
      <c r="M25092" t="s">
        <v>297</v>
      </c>
      <c r="N25092" t="str">
        <f>"2000767     "</f>
        <v xml:space="preserve">2000767     </v>
      </c>
      <c r="O25092">
        <v>231227</v>
      </c>
    </row>
    <row r="25093" spans="1:15" x14ac:dyDescent="0.25">
      <c r="A25093" t="s">
        <v>16</v>
      </c>
      <c r="B25093" t="s">
        <v>3221</v>
      </c>
      <c r="C25093">
        <v>17804</v>
      </c>
      <c r="D25093" t="s">
        <v>2224</v>
      </c>
      <c r="E25093" t="s">
        <v>2225</v>
      </c>
      <c r="F25093">
        <v>90.59</v>
      </c>
      <c r="G25093">
        <v>231115</v>
      </c>
      <c r="H25093">
        <v>4500</v>
      </c>
      <c r="I25093" t="s">
        <v>212</v>
      </c>
      <c r="J25093">
        <v>112.33</v>
      </c>
      <c r="K25093">
        <v>21.74</v>
      </c>
      <c r="L25093">
        <v>59701</v>
      </c>
      <c r="M25093" t="s">
        <v>297</v>
      </c>
      <c r="N25093" t="str">
        <f>"2001232     "</f>
        <v xml:space="preserve">2001232     </v>
      </c>
      <c r="O25093">
        <v>231227</v>
      </c>
    </row>
    <row r="25094" spans="1:15" x14ac:dyDescent="0.25">
      <c r="A25094" t="s">
        <v>16</v>
      </c>
      <c r="B25094" t="s">
        <v>3221</v>
      </c>
      <c r="C25094">
        <v>18385</v>
      </c>
      <c r="D25094" t="s">
        <v>2224</v>
      </c>
      <c r="E25094" t="s">
        <v>2225</v>
      </c>
      <c r="F25094">
        <v>15.15</v>
      </c>
      <c r="G25094">
        <v>231211</v>
      </c>
      <c r="H25094">
        <v>4500</v>
      </c>
      <c r="I25094" t="s">
        <v>212</v>
      </c>
      <c r="J25094">
        <v>18.79</v>
      </c>
      <c r="K25094">
        <v>3.64</v>
      </c>
      <c r="L25094">
        <v>44424</v>
      </c>
      <c r="M25094" t="s">
        <v>776</v>
      </c>
      <c r="N25094" t="str">
        <f>"2013506     "</f>
        <v xml:space="preserve">2013506     </v>
      </c>
      <c r="O25094">
        <v>240103</v>
      </c>
    </row>
    <row r="25095" spans="1:15" x14ac:dyDescent="0.25">
      <c r="A25095" t="s">
        <v>16</v>
      </c>
      <c r="B25095" t="s">
        <v>3221</v>
      </c>
      <c r="C25095">
        <v>18385</v>
      </c>
      <c r="D25095" t="s">
        <v>2224</v>
      </c>
      <c r="E25095" t="s">
        <v>2225</v>
      </c>
      <c r="F25095">
        <v>72</v>
      </c>
      <c r="G25095">
        <v>231211</v>
      </c>
      <c r="H25095">
        <v>4500</v>
      </c>
      <c r="I25095" t="s">
        <v>212</v>
      </c>
      <c r="J25095">
        <v>89.28</v>
      </c>
      <c r="K25095">
        <v>17.28</v>
      </c>
      <c r="L25095">
        <v>49702</v>
      </c>
      <c r="M25095" t="s">
        <v>584</v>
      </c>
      <c r="N25095" t="str">
        <f>"2013506     "</f>
        <v xml:space="preserve">2013506     </v>
      </c>
      <c r="O25095">
        <v>240103</v>
      </c>
    </row>
    <row r="25096" spans="1:15" x14ac:dyDescent="0.25">
      <c r="A25096" t="s">
        <v>16</v>
      </c>
      <c r="B25096" t="s">
        <v>3221</v>
      </c>
      <c r="C25096">
        <v>18596</v>
      </c>
      <c r="D25096" t="s">
        <v>2224</v>
      </c>
      <c r="E25096" t="s">
        <v>2225</v>
      </c>
      <c r="F25096">
        <v>57.76</v>
      </c>
      <c r="G25096">
        <v>231215</v>
      </c>
      <c r="H25096">
        <v>4500</v>
      </c>
      <c r="I25096" t="s">
        <v>212</v>
      </c>
      <c r="J25096">
        <v>71.62</v>
      </c>
      <c r="K25096">
        <v>13.86</v>
      </c>
      <c r="L25096">
        <v>69702</v>
      </c>
      <c r="M25096" t="s">
        <v>489</v>
      </c>
      <c r="N25096" t="str">
        <f>"2016459     "</f>
        <v xml:space="preserve">2016459     </v>
      </c>
      <c r="O25096">
        <v>240104</v>
      </c>
    </row>
    <row r="25097" spans="1:15" x14ac:dyDescent="0.25">
      <c r="A25097" t="s">
        <v>16</v>
      </c>
      <c r="B25097" t="s">
        <v>3221</v>
      </c>
      <c r="C25097">
        <v>18596</v>
      </c>
      <c r="D25097" t="s">
        <v>2224</v>
      </c>
      <c r="E25097" t="s">
        <v>2225</v>
      </c>
      <c r="F25097">
        <v>100.85</v>
      </c>
      <c r="G25097">
        <v>231215</v>
      </c>
      <c r="H25097">
        <v>4500</v>
      </c>
      <c r="I25097" t="s">
        <v>212</v>
      </c>
      <c r="J25097">
        <v>125.06</v>
      </c>
      <c r="K25097">
        <v>24.21</v>
      </c>
      <c r="L25097">
        <v>69704</v>
      </c>
      <c r="M25097" t="s">
        <v>325</v>
      </c>
      <c r="N25097" t="str">
        <f>"2016459     "</f>
        <v xml:space="preserve">2016459     </v>
      </c>
      <c r="O25097">
        <v>240104</v>
      </c>
    </row>
    <row r="25098" spans="1:15" x14ac:dyDescent="0.25">
      <c r="A25098" t="s">
        <v>16</v>
      </c>
      <c r="B25098" t="s">
        <v>3221</v>
      </c>
      <c r="C25098">
        <v>18616</v>
      </c>
      <c r="D25098" t="s">
        <v>2224</v>
      </c>
      <c r="E25098" t="s">
        <v>2225</v>
      </c>
      <c r="F25098">
        <v>19.7</v>
      </c>
      <c r="G25098">
        <v>231219</v>
      </c>
      <c r="H25098">
        <v>4500</v>
      </c>
      <c r="I25098" t="s">
        <v>212</v>
      </c>
      <c r="J25098">
        <v>24.43</v>
      </c>
      <c r="K25098">
        <v>4.7300000000000004</v>
      </c>
      <c r="L25098">
        <v>14432</v>
      </c>
      <c r="M25098" t="s">
        <v>862</v>
      </c>
      <c r="N25098" t="str">
        <f>"2017475     "</f>
        <v xml:space="preserve">2017475     </v>
      </c>
      <c r="O25098">
        <v>240104</v>
      </c>
    </row>
    <row r="25099" spans="1:15" x14ac:dyDescent="0.25">
      <c r="A25099" t="s">
        <v>16</v>
      </c>
      <c r="B25099" t="s">
        <v>3221</v>
      </c>
      <c r="C25099">
        <v>18616</v>
      </c>
      <c r="D25099" t="s">
        <v>2224</v>
      </c>
      <c r="E25099" t="s">
        <v>2225</v>
      </c>
      <c r="F25099">
        <v>163.05000000000001</v>
      </c>
      <c r="G25099">
        <v>231219</v>
      </c>
      <c r="H25099">
        <v>4500</v>
      </c>
      <c r="I25099" t="s">
        <v>212</v>
      </c>
      <c r="J25099">
        <v>202.18</v>
      </c>
      <c r="K25099">
        <v>39.130000000000003</v>
      </c>
      <c r="L25099">
        <v>14972</v>
      </c>
      <c r="M25099" t="s">
        <v>898</v>
      </c>
      <c r="N25099" t="str">
        <f>"2017475     "</f>
        <v xml:space="preserve">2017475     </v>
      </c>
      <c r="O25099">
        <v>240104</v>
      </c>
    </row>
    <row r="25100" spans="1:15" x14ac:dyDescent="0.25">
      <c r="A25100" t="s">
        <v>16</v>
      </c>
      <c r="B25100" t="s">
        <v>3221</v>
      </c>
      <c r="C25100">
        <v>18618</v>
      </c>
      <c r="D25100" t="s">
        <v>2224</v>
      </c>
      <c r="E25100" t="s">
        <v>2225</v>
      </c>
      <c r="F25100">
        <v>1.9</v>
      </c>
      <c r="G25100">
        <v>231219</v>
      </c>
      <c r="H25100">
        <v>4500</v>
      </c>
      <c r="I25100" t="s">
        <v>212</v>
      </c>
      <c r="J25100">
        <v>2.36</v>
      </c>
      <c r="K25100">
        <v>0.46</v>
      </c>
      <c r="L25100">
        <v>69704</v>
      </c>
      <c r="M25100" t="s">
        <v>325</v>
      </c>
      <c r="N25100" t="str">
        <f>"2017474     "</f>
        <v xml:space="preserve">2017474     </v>
      </c>
      <c r="O25100">
        <v>240104</v>
      </c>
    </row>
    <row r="25101" spans="1:15" x14ac:dyDescent="0.25">
      <c r="A25101" t="s">
        <v>16</v>
      </c>
      <c r="B25101" t="s">
        <v>3221</v>
      </c>
      <c r="C25101">
        <v>1235</v>
      </c>
      <c r="D25101" t="s">
        <v>323</v>
      </c>
      <c r="E25101" t="s">
        <v>324</v>
      </c>
      <c r="F25101">
        <v>124.93</v>
      </c>
      <c r="G25101">
        <v>230131</v>
      </c>
      <c r="H25101">
        <v>4534</v>
      </c>
      <c r="I25101" t="s">
        <v>273</v>
      </c>
      <c r="J25101">
        <v>154.91</v>
      </c>
      <c r="K25101">
        <v>29.98</v>
      </c>
      <c r="L25101">
        <v>54222</v>
      </c>
      <c r="M25101" t="s">
        <v>308</v>
      </c>
      <c r="N25101" t="str">
        <f>"5953750     "</f>
        <v xml:space="preserve">5953750     </v>
      </c>
      <c r="O25101">
        <v>230206</v>
      </c>
    </row>
    <row r="25102" spans="1:15" x14ac:dyDescent="0.25">
      <c r="A25102" t="s">
        <v>16</v>
      </c>
      <c r="B25102" t="s">
        <v>3221</v>
      </c>
      <c r="C25102">
        <v>1235</v>
      </c>
      <c r="D25102" t="s">
        <v>323</v>
      </c>
      <c r="E25102" t="s">
        <v>324</v>
      </c>
      <c r="F25102">
        <v>93.09</v>
      </c>
      <c r="G25102">
        <v>230131</v>
      </c>
      <c r="H25102">
        <v>4534</v>
      </c>
      <c r="I25102" t="s">
        <v>273</v>
      </c>
      <c r="J25102">
        <v>115.43</v>
      </c>
      <c r="K25102">
        <v>22.34</v>
      </c>
      <c r="L25102">
        <v>59702</v>
      </c>
      <c r="M25102" t="s">
        <v>328</v>
      </c>
      <c r="N25102" t="str">
        <f>"5953750     "</f>
        <v xml:space="preserve">5953750     </v>
      </c>
      <c r="O25102">
        <v>230206</v>
      </c>
    </row>
    <row r="25103" spans="1:15" x14ac:dyDescent="0.25">
      <c r="A25103" t="s">
        <v>16</v>
      </c>
      <c r="B25103" t="s">
        <v>3221</v>
      </c>
      <c r="C25103">
        <v>1626</v>
      </c>
      <c r="D25103" t="s">
        <v>323</v>
      </c>
      <c r="E25103" t="s">
        <v>324</v>
      </c>
      <c r="F25103">
        <v>580.16</v>
      </c>
      <c r="G25103">
        <v>230206</v>
      </c>
      <c r="H25103">
        <v>4534</v>
      </c>
      <c r="I25103" t="s">
        <v>273</v>
      </c>
      <c r="J25103">
        <v>719.4</v>
      </c>
      <c r="K25103">
        <v>139.24</v>
      </c>
      <c r="L25103">
        <v>13801</v>
      </c>
      <c r="M25103" t="s">
        <v>162</v>
      </c>
      <c r="N25103" t="str">
        <f>"5954921     "</f>
        <v xml:space="preserve">5954921     </v>
      </c>
      <c r="O25103">
        <v>230210</v>
      </c>
    </row>
    <row r="25104" spans="1:15" x14ac:dyDescent="0.25">
      <c r="A25104" t="s">
        <v>16</v>
      </c>
      <c r="B25104" t="s">
        <v>3221</v>
      </c>
      <c r="C25104">
        <v>1626</v>
      </c>
      <c r="D25104" t="s">
        <v>323</v>
      </c>
      <c r="E25104" t="s">
        <v>324</v>
      </c>
      <c r="F25104">
        <v>122.49</v>
      </c>
      <c r="G25104">
        <v>230206</v>
      </c>
      <c r="H25104">
        <v>4534</v>
      </c>
      <c r="I25104" t="s">
        <v>273</v>
      </c>
      <c r="J25104">
        <v>151.88999999999999</v>
      </c>
      <c r="K25104">
        <v>29.4</v>
      </c>
      <c r="L25104">
        <v>13802</v>
      </c>
      <c r="M25104" t="s">
        <v>200</v>
      </c>
      <c r="N25104" t="str">
        <f>"5954921     "</f>
        <v xml:space="preserve">5954921     </v>
      </c>
      <c r="O25104">
        <v>230210</v>
      </c>
    </row>
    <row r="25105" spans="1:15" x14ac:dyDescent="0.25">
      <c r="A25105" t="s">
        <v>16</v>
      </c>
      <c r="B25105" t="s">
        <v>3221</v>
      </c>
      <c r="C25105">
        <v>3252</v>
      </c>
      <c r="D25105" t="s">
        <v>323</v>
      </c>
      <c r="E25105" t="s">
        <v>324</v>
      </c>
      <c r="F25105">
        <v>599.48</v>
      </c>
      <c r="G25105">
        <v>230307</v>
      </c>
      <c r="H25105">
        <v>4534</v>
      </c>
      <c r="I25105" t="s">
        <v>273</v>
      </c>
      <c r="J25105">
        <v>743.36</v>
      </c>
      <c r="K25105">
        <v>143.88</v>
      </c>
      <c r="L25105">
        <v>17808</v>
      </c>
      <c r="M25105" t="s">
        <v>322</v>
      </c>
      <c r="N25105" t="str">
        <f>"5961114     "</f>
        <v xml:space="preserve">5961114     </v>
      </c>
      <c r="O25105">
        <v>230310</v>
      </c>
    </row>
    <row r="25106" spans="1:15" x14ac:dyDescent="0.25">
      <c r="A25106" t="s">
        <v>16</v>
      </c>
      <c r="B25106" t="s">
        <v>3221</v>
      </c>
      <c r="C25106">
        <v>3669</v>
      </c>
      <c r="D25106" t="s">
        <v>323</v>
      </c>
      <c r="E25106" t="s">
        <v>324</v>
      </c>
      <c r="F25106">
        <v>105.4</v>
      </c>
      <c r="G25106">
        <v>230315</v>
      </c>
      <c r="H25106">
        <v>4534</v>
      </c>
      <c r="I25106" t="s">
        <v>273</v>
      </c>
      <c r="J25106">
        <v>130.69</v>
      </c>
      <c r="K25106">
        <v>25.29</v>
      </c>
      <c r="L25106">
        <v>59112</v>
      </c>
      <c r="M25106" t="s">
        <v>182</v>
      </c>
      <c r="N25106" t="str">
        <f>"5962584     "</f>
        <v xml:space="preserve">5962584     </v>
      </c>
      <c r="O25106">
        <v>230321</v>
      </c>
    </row>
    <row r="25107" spans="1:15" x14ac:dyDescent="0.25">
      <c r="A25107" t="s">
        <v>16</v>
      </c>
      <c r="B25107" t="s">
        <v>3221</v>
      </c>
      <c r="C25107">
        <v>5387</v>
      </c>
      <c r="D25107" t="s">
        <v>323</v>
      </c>
      <c r="E25107" t="s">
        <v>324</v>
      </c>
      <c r="F25107">
        <v>28.88</v>
      </c>
      <c r="G25107">
        <v>230418</v>
      </c>
      <c r="H25107">
        <v>4534</v>
      </c>
      <c r="I25107" t="s">
        <v>273</v>
      </c>
      <c r="J25107">
        <v>35.81</v>
      </c>
      <c r="K25107">
        <v>6.93</v>
      </c>
      <c r="L25107">
        <v>56528</v>
      </c>
      <c r="M25107" t="s">
        <v>153</v>
      </c>
      <c r="N25107" t="str">
        <f>"5969098     "</f>
        <v xml:space="preserve">5969098     </v>
      </c>
      <c r="O25107">
        <v>230421</v>
      </c>
    </row>
    <row r="25108" spans="1:15" x14ac:dyDescent="0.25">
      <c r="A25108" t="s">
        <v>16</v>
      </c>
      <c r="B25108" t="s">
        <v>3221</v>
      </c>
      <c r="C25108">
        <v>5387</v>
      </c>
      <c r="D25108" t="s">
        <v>323</v>
      </c>
      <c r="E25108" t="s">
        <v>324</v>
      </c>
      <c r="F25108">
        <v>28.88</v>
      </c>
      <c r="G25108">
        <v>230418</v>
      </c>
      <c r="H25108">
        <v>4534</v>
      </c>
      <c r="I25108" t="s">
        <v>273</v>
      </c>
      <c r="J25108">
        <v>35.81</v>
      </c>
      <c r="K25108">
        <v>6.93</v>
      </c>
      <c r="L25108">
        <v>59702</v>
      </c>
      <c r="M25108" t="s">
        <v>328</v>
      </c>
      <c r="N25108" t="str">
        <f>"5969098     "</f>
        <v xml:space="preserve">5969098     </v>
      </c>
      <c r="O25108">
        <v>230421</v>
      </c>
    </row>
    <row r="25109" spans="1:15" x14ac:dyDescent="0.25">
      <c r="A25109" t="s">
        <v>16</v>
      </c>
      <c r="B25109" t="s">
        <v>3221</v>
      </c>
      <c r="C25109">
        <v>5836</v>
      </c>
      <c r="D25109" t="s">
        <v>323</v>
      </c>
      <c r="E25109" t="s">
        <v>324</v>
      </c>
      <c r="F25109">
        <v>553.55999999999995</v>
      </c>
      <c r="G25109">
        <v>230426</v>
      </c>
      <c r="H25109">
        <v>4534</v>
      </c>
      <c r="I25109" t="s">
        <v>273</v>
      </c>
      <c r="J25109">
        <v>686.41</v>
      </c>
      <c r="K25109">
        <v>132.85</v>
      </c>
      <c r="L25109">
        <v>17808</v>
      </c>
      <c r="M25109" t="s">
        <v>322</v>
      </c>
      <c r="N25109" t="str">
        <f>"5970579     "</f>
        <v xml:space="preserve">5970579     </v>
      </c>
      <c r="O25109">
        <v>230503</v>
      </c>
    </row>
    <row r="25110" spans="1:15" x14ac:dyDescent="0.25">
      <c r="A25110" t="s">
        <v>16</v>
      </c>
      <c r="B25110" t="s">
        <v>3221</v>
      </c>
      <c r="C25110">
        <v>1301</v>
      </c>
      <c r="D25110" t="s">
        <v>323</v>
      </c>
      <c r="E25110" t="s">
        <v>324</v>
      </c>
      <c r="F25110">
        <v>89.18</v>
      </c>
      <c r="G25110">
        <v>230126</v>
      </c>
      <c r="H25110">
        <v>4580</v>
      </c>
      <c r="I25110" t="s">
        <v>35</v>
      </c>
      <c r="J25110">
        <v>110.58</v>
      </c>
      <c r="K25110">
        <v>21.4</v>
      </c>
      <c r="L25110">
        <v>44222</v>
      </c>
      <c r="M25110" t="s">
        <v>232</v>
      </c>
      <c r="N25110" t="str">
        <f>"5951295     "</f>
        <v xml:space="preserve">5951295     </v>
      </c>
      <c r="O25110">
        <v>230207</v>
      </c>
    </row>
    <row r="25111" spans="1:15" x14ac:dyDescent="0.25">
      <c r="A25111" t="s">
        <v>16</v>
      </c>
      <c r="B25111" t="s">
        <v>3221</v>
      </c>
      <c r="C25111">
        <v>1892</v>
      </c>
      <c r="D25111" t="s">
        <v>323</v>
      </c>
      <c r="E25111" t="s">
        <v>324</v>
      </c>
      <c r="F25111">
        <v>22.13</v>
      </c>
      <c r="G25111">
        <v>230209</v>
      </c>
      <c r="H25111">
        <v>4580</v>
      </c>
      <c r="I25111" t="s">
        <v>35</v>
      </c>
      <c r="J25111">
        <v>27.44</v>
      </c>
      <c r="K25111">
        <v>5.31</v>
      </c>
      <c r="L25111">
        <v>17971</v>
      </c>
      <c r="M25111" t="s">
        <v>138</v>
      </c>
      <c r="N25111" t="str">
        <f>"5955649     "</f>
        <v xml:space="preserve">5955649     </v>
      </c>
      <c r="O25111">
        <v>230215</v>
      </c>
    </row>
    <row r="25112" spans="1:15" x14ac:dyDescent="0.25">
      <c r="A25112" t="s">
        <v>16</v>
      </c>
      <c r="B25112" t="s">
        <v>3221</v>
      </c>
      <c r="C25112">
        <v>2429</v>
      </c>
      <c r="D25112" t="s">
        <v>323</v>
      </c>
      <c r="E25112" t="s">
        <v>324</v>
      </c>
      <c r="F25112">
        <v>139</v>
      </c>
      <c r="G25112">
        <v>230214</v>
      </c>
      <c r="H25112">
        <v>4580</v>
      </c>
      <c r="I25112" t="s">
        <v>35</v>
      </c>
      <c r="J25112">
        <v>172.36</v>
      </c>
      <c r="K25112">
        <v>33.36</v>
      </c>
      <c r="L25112">
        <v>69707</v>
      </c>
      <c r="M25112" t="s">
        <v>490</v>
      </c>
      <c r="N25112" t="str">
        <f>"5956345     "</f>
        <v xml:space="preserve">5956345     </v>
      </c>
      <c r="O25112">
        <v>230227</v>
      </c>
    </row>
    <row r="25113" spans="1:15" x14ac:dyDescent="0.25">
      <c r="A25113" t="s">
        <v>16</v>
      </c>
      <c r="B25113" t="s">
        <v>3221</v>
      </c>
      <c r="C25113">
        <v>2452</v>
      </c>
      <c r="D25113" t="s">
        <v>323</v>
      </c>
      <c r="E25113" t="s">
        <v>324</v>
      </c>
      <c r="F25113">
        <v>81.25</v>
      </c>
      <c r="G25113">
        <v>230214</v>
      </c>
      <c r="H25113">
        <v>4580</v>
      </c>
      <c r="I25113" t="s">
        <v>35</v>
      </c>
      <c r="J25113">
        <v>100.75</v>
      </c>
      <c r="K25113">
        <v>19.5</v>
      </c>
      <c r="L25113">
        <v>11701</v>
      </c>
      <c r="M25113" t="s">
        <v>1204</v>
      </c>
      <c r="N25113" t="str">
        <f>"5956346     "</f>
        <v xml:space="preserve">5956346     </v>
      </c>
      <c r="O25113">
        <v>230228</v>
      </c>
    </row>
    <row r="25114" spans="1:15" x14ac:dyDescent="0.25">
      <c r="A25114" t="s">
        <v>16</v>
      </c>
      <c r="B25114" t="s">
        <v>3221</v>
      </c>
      <c r="C25114">
        <v>3780</v>
      </c>
      <c r="D25114" t="s">
        <v>323</v>
      </c>
      <c r="E25114" t="s">
        <v>324</v>
      </c>
      <c r="F25114">
        <v>116.66</v>
      </c>
      <c r="G25114">
        <v>230317</v>
      </c>
      <c r="H25114">
        <v>4580</v>
      </c>
      <c r="I25114" t="s">
        <v>35</v>
      </c>
      <c r="J25114">
        <v>144.66</v>
      </c>
      <c r="K25114">
        <v>28</v>
      </c>
      <c r="L25114">
        <v>66756</v>
      </c>
      <c r="M25114" t="s">
        <v>209</v>
      </c>
      <c r="N25114" t="str">
        <f>"5963035     "</f>
        <v xml:space="preserve">5963035     </v>
      </c>
      <c r="O25114">
        <v>230322</v>
      </c>
    </row>
    <row r="25115" spans="1:15" x14ac:dyDescent="0.25">
      <c r="A25115" t="s">
        <v>16</v>
      </c>
      <c r="B25115" t="s">
        <v>3221</v>
      </c>
      <c r="C25115">
        <v>4527</v>
      </c>
      <c r="D25115" t="s">
        <v>323</v>
      </c>
      <c r="E25115" t="s">
        <v>324</v>
      </c>
      <c r="F25115">
        <v>160.86000000000001</v>
      </c>
      <c r="G25115">
        <v>230404</v>
      </c>
      <c r="H25115">
        <v>4580</v>
      </c>
      <c r="I25115" t="s">
        <v>35</v>
      </c>
      <c r="J25115">
        <v>199.47</v>
      </c>
      <c r="K25115">
        <v>38.61</v>
      </c>
      <c r="L25115">
        <v>17971</v>
      </c>
      <c r="M25115" t="s">
        <v>138</v>
      </c>
      <c r="N25115" t="str">
        <f>"5967389     "</f>
        <v xml:space="preserve">5967389     </v>
      </c>
      <c r="O25115">
        <v>230406</v>
      </c>
    </row>
    <row r="25116" spans="1:15" x14ac:dyDescent="0.25">
      <c r="A25116" t="s">
        <v>16</v>
      </c>
      <c r="B25116" t="s">
        <v>3221</v>
      </c>
      <c r="C25116">
        <v>391</v>
      </c>
      <c r="D25116" t="s">
        <v>323</v>
      </c>
      <c r="E25116" t="s">
        <v>324</v>
      </c>
      <c r="F25116">
        <v>905.81</v>
      </c>
      <c r="G25116">
        <v>230111</v>
      </c>
      <c r="H25116">
        <v>4600</v>
      </c>
      <c r="I25116" t="s">
        <v>105</v>
      </c>
      <c r="J25116">
        <v>1123.21</v>
      </c>
      <c r="K25116">
        <v>217.4</v>
      </c>
      <c r="L25116">
        <v>17131</v>
      </c>
      <c r="M25116" t="s">
        <v>64</v>
      </c>
      <c r="N25116" t="str">
        <f>"5948161     "</f>
        <v xml:space="preserve">5948161     </v>
      </c>
      <c r="O25116">
        <v>230119</v>
      </c>
    </row>
    <row r="25117" spans="1:15" x14ac:dyDescent="0.25">
      <c r="A25117" t="s">
        <v>16</v>
      </c>
      <c r="B25117" t="s">
        <v>3221</v>
      </c>
      <c r="C25117">
        <v>391</v>
      </c>
      <c r="D25117" t="s">
        <v>323</v>
      </c>
      <c r="E25117" t="s">
        <v>324</v>
      </c>
      <c r="F25117">
        <v>905.82</v>
      </c>
      <c r="G25117">
        <v>230111</v>
      </c>
      <c r="H25117">
        <v>4600</v>
      </c>
      <c r="I25117" t="s">
        <v>105</v>
      </c>
      <c r="J25117">
        <v>1123.22</v>
      </c>
      <c r="K25117">
        <v>217.4</v>
      </c>
      <c r="L25117">
        <v>17711</v>
      </c>
      <c r="M25117" t="s">
        <v>65</v>
      </c>
      <c r="N25117" t="str">
        <f>"5948161     "</f>
        <v xml:space="preserve">5948161     </v>
      </c>
      <c r="O25117">
        <v>230119</v>
      </c>
    </row>
    <row r="25118" spans="1:15" x14ac:dyDescent="0.25">
      <c r="A25118" t="s">
        <v>16</v>
      </c>
      <c r="B25118" t="s">
        <v>3221</v>
      </c>
      <c r="C25118">
        <v>716</v>
      </c>
      <c r="D25118" t="s">
        <v>323</v>
      </c>
      <c r="E25118" t="s">
        <v>324</v>
      </c>
      <c r="F25118">
        <v>16.05</v>
      </c>
      <c r="G25118">
        <v>230125</v>
      </c>
      <c r="H25118">
        <v>4600</v>
      </c>
      <c r="I25118" t="s">
        <v>105</v>
      </c>
      <c r="J25118">
        <v>19.899999999999999</v>
      </c>
      <c r="K25118">
        <v>3.85</v>
      </c>
      <c r="L25118">
        <v>17971</v>
      </c>
      <c r="M25118" t="s">
        <v>138</v>
      </c>
      <c r="N25118" t="str">
        <f>"5951099     "</f>
        <v xml:space="preserve">5951099     </v>
      </c>
      <c r="O25118">
        <v>230127</v>
      </c>
    </row>
    <row r="25119" spans="1:15" x14ac:dyDescent="0.25">
      <c r="A25119" t="s">
        <v>16</v>
      </c>
      <c r="B25119" t="s">
        <v>3221</v>
      </c>
      <c r="C25119">
        <v>1218</v>
      </c>
      <c r="D25119" t="s">
        <v>323</v>
      </c>
      <c r="E25119" t="s">
        <v>324</v>
      </c>
      <c r="F25119">
        <v>-16.05</v>
      </c>
      <c r="G25119">
        <v>230131</v>
      </c>
      <c r="H25119">
        <v>4600</v>
      </c>
      <c r="I25119" t="s">
        <v>105</v>
      </c>
      <c r="J25119">
        <v>-19.899999999999999</v>
      </c>
      <c r="K25119">
        <v>-3.85</v>
      </c>
      <c r="L25119">
        <v>17971</v>
      </c>
      <c r="M25119" t="s">
        <v>138</v>
      </c>
      <c r="N25119" t="str">
        <f>"0546907     "</f>
        <v xml:space="preserve">0546907     </v>
      </c>
      <c r="O25119">
        <v>230206</v>
      </c>
    </row>
    <row r="25120" spans="1:15" x14ac:dyDescent="0.25">
      <c r="A25120" t="s">
        <v>16</v>
      </c>
      <c r="B25120" t="s">
        <v>3221</v>
      </c>
      <c r="C25120">
        <v>1232</v>
      </c>
      <c r="D25120" t="s">
        <v>323</v>
      </c>
      <c r="E25120" t="s">
        <v>324</v>
      </c>
      <c r="F25120">
        <v>123.6</v>
      </c>
      <c r="G25120">
        <v>230131</v>
      </c>
      <c r="H25120">
        <v>4600</v>
      </c>
      <c r="I25120" t="s">
        <v>105</v>
      </c>
      <c r="J25120">
        <v>153.27000000000001</v>
      </c>
      <c r="K25120">
        <v>29.67</v>
      </c>
      <c r="L25120">
        <v>69112</v>
      </c>
      <c r="M25120" t="s">
        <v>313</v>
      </c>
      <c r="N25120" t="str">
        <f>"5953749     "</f>
        <v xml:space="preserve">5953749     </v>
      </c>
      <c r="O25120">
        <v>230206</v>
      </c>
    </row>
    <row r="25121" spans="1:15" x14ac:dyDescent="0.25">
      <c r="A25121" t="s">
        <v>16</v>
      </c>
      <c r="B25121" t="s">
        <v>3221</v>
      </c>
      <c r="C25121">
        <v>1232</v>
      </c>
      <c r="D25121" t="s">
        <v>323</v>
      </c>
      <c r="E25121" t="s">
        <v>324</v>
      </c>
      <c r="F25121">
        <v>6.87</v>
      </c>
      <c r="G25121">
        <v>230131</v>
      </c>
      <c r="H25121">
        <v>4600</v>
      </c>
      <c r="I25121" t="s">
        <v>105</v>
      </c>
      <c r="J25121">
        <v>8.52</v>
      </c>
      <c r="K25121">
        <v>1.65</v>
      </c>
      <c r="L25121">
        <v>69811</v>
      </c>
      <c r="M25121" t="s">
        <v>315</v>
      </c>
      <c r="N25121" t="str">
        <f>"5953749     "</f>
        <v xml:space="preserve">5953749     </v>
      </c>
      <c r="O25121">
        <v>230206</v>
      </c>
    </row>
    <row r="25122" spans="1:15" x14ac:dyDescent="0.25">
      <c r="A25122" t="s">
        <v>16</v>
      </c>
      <c r="B25122" t="s">
        <v>3221</v>
      </c>
      <c r="C25122">
        <v>1430</v>
      </c>
      <c r="D25122" t="s">
        <v>323</v>
      </c>
      <c r="E25122" t="s">
        <v>324</v>
      </c>
      <c r="F25122">
        <v>6.86</v>
      </c>
      <c r="G25122">
        <v>230202</v>
      </c>
      <c r="H25122">
        <v>4600</v>
      </c>
      <c r="I25122" t="s">
        <v>105</v>
      </c>
      <c r="J25122">
        <v>8.51</v>
      </c>
      <c r="K25122">
        <v>1.65</v>
      </c>
      <c r="L25122">
        <v>17972</v>
      </c>
      <c r="M25122" t="s">
        <v>248</v>
      </c>
      <c r="N25122" t="str">
        <f>"5954429     "</f>
        <v xml:space="preserve">5954429     </v>
      </c>
      <c r="O25122">
        <v>230208</v>
      </c>
    </row>
    <row r="25123" spans="1:15" x14ac:dyDescent="0.25">
      <c r="A25123" t="s">
        <v>16</v>
      </c>
      <c r="B25123" t="s">
        <v>3221</v>
      </c>
      <c r="C25123">
        <v>1753</v>
      </c>
      <c r="D25123" t="s">
        <v>323</v>
      </c>
      <c r="E25123" t="s">
        <v>324</v>
      </c>
      <c r="F25123">
        <v>16.05</v>
      </c>
      <c r="G25123">
        <v>230209</v>
      </c>
      <c r="H25123">
        <v>4600</v>
      </c>
      <c r="I25123" t="s">
        <v>105</v>
      </c>
      <c r="J25123">
        <v>19.899999999999999</v>
      </c>
      <c r="K25123">
        <v>3.85</v>
      </c>
      <c r="L25123">
        <v>17972</v>
      </c>
      <c r="M25123" t="s">
        <v>248</v>
      </c>
      <c r="N25123" t="str">
        <f>"5955648     "</f>
        <v xml:space="preserve">5955648     </v>
      </c>
      <c r="O25123">
        <v>230213</v>
      </c>
    </row>
    <row r="25124" spans="1:15" x14ac:dyDescent="0.25">
      <c r="A25124" t="s">
        <v>16</v>
      </c>
      <c r="B25124" t="s">
        <v>3221</v>
      </c>
      <c r="C25124">
        <v>2429</v>
      </c>
      <c r="D25124" t="s">
        <v>323</v>
      </c>
      <c r="E25124" t="s">
        <v>324</v>
      </c>
      <c r="F25124">
        <v>89.7</v>
      </c>
      <c r="G25124">
        <v>230214</v>
      </c>
      <c r="H25124">
        <v>4600</v>
      </c>
      <c r="I25124" t="s">
        <v>105</v>
      </c>
      <c r="J25124">
        <v>111.23</v>
      </c>
      <c r="K25124">
        <v>21.53</v>
      </c>
      <c r="L25124">
        <v>66754</v>
      </c>
      <c r="M25124" t="s">
        <v>239</v>
      </c>
      <c r="N25124" t="str">
        <f>"5956345     "</f>
        <v xml:space="preserve">5956345     </v>
      </c>
      <c r="O25124">
        <v>230227</v>
      </c>
    </row>
    <row r="25125" spans="1:15" x14ac:dyDescent="0.25">
      <c r="A25125" t="s">
        <v>16</v>
      </c>
      <c r="B25125" t="s">
        <v>3221</v>
      </c>
      <c r="C25125">
        <v>4144</v>
      </c>
      <c r="D25125" t="s">
        <v>323</v>
      </c>
      <c r="E25125" t="s">
        <v>324</v>
      </c>
      <c r="F25125">
        <v>130</v>
      </c>
      <c r="G25125">
        <v>230320</v>
      </c>
      <c r="H25125">
        <v>4600</v>
      </c>
      <c r="I25125" t="s">
        <v>105</v>
      </c>
      <c r="J25125">
        <v>161.19999999999999</v>
      </c>
      <c r="K25125">
        <v>31.2</v>
      </c>
      <c r="L25125">
        <v>59504</v>
      </c>
      <c r="M25125" t="s">
        <v>71</v>
      </c>
      <c r="N25125" t="str">
        <f>"5963246     "</f>
        <v xml:space="preserve">5963246     </v>
      </c>
      <c r="O25125">
        <v>230330</v>
      </c>
    </row>
    <row r="25126" spans="1:15" x14ac:dyDescent="0.25">
      <c r="A25126" t="s">
        <v>16</v>
      </c>
      <c r="B25126" t="s">
        <v>3221</v>
      </c>
      <c r="C25126">
        <v>6946</v>
      </c>
      <c r="D25126" t="s">
        <v>323</v>
      </c>
      <c r="E25126" t="s">
        <v>324</v>
      </c>
      <c r="F25126">
        <v>25.91</v>
      </c>
      <c r="G25126">
        <v>230510</v>
      </c>
      <c r="H25126">
        <v>4600</v>
      </c>
      <c r="I25126" t="s">
        <v>105</v>
      </c>
      <c r="J25126">
        <v>32.130000000000003</v>
      </c>
      <c r="K25126">
        <v>6.22</v>
      </c>
      <c r="L25126">
        <v>17808</v>
      </c>
      <c r="M25126" t="s">
        <v>322</v>
      </c>
      <c r="N25126" t="str">
        <f>"5974363     "</f>
        <v xml:space="preserve">5974363     </v>
      </c>
      <c r="O25126">
        <v>230523</v>
      </c>
    </row>
    <row r="25127" spans="1:15" x14ac:dyDescent="0.25">
      <c r="A25127" t="s">
        <v>16</v>
      </c>
      <c r="B25127" t="s">
        <v>3221</v>
      </c>
      <c r="C25127">
        <v>353</v>
      </c>
      <c r="D25127" t="s">
        <v>323</v>
      </c>
      <c r="E25127" t="s">
        <v>324</v>
      </c>
      <c r="F25127">
        <v>518.05999999999995</v>
      </c>
      <c r="G25127">
        <v>230116</v>
      </c>
      <c r="H25127">
        <v>4364</v>
      </c>
      <c r="I25127" t="s">
        <v>296</v>
      </c>
      <c r="J25127">
        <v>642.4</v>
      </c>
      <c r="K25127">
        <v>124.34</v>
      </c>
      <c r="L25127">
        <v>13801</v>
      </c>
      <c r="M25127" t="s">
        <v>162</v>
      </c>
      <c r="N25127" t="str">
        <f>"5949058     "</f>
        <v xml:space="preserve">5949058     </v>
      </c>
      <c r="O25127">
        <v>230119</v>
      </c>
    </row>
    <row r="25128" spans="1:15" x14ac:dyDescent="0.25">
      <c r="A25128" t="s">
        <v>16</v>
      </c>
      <c r="B25128" t="s">
        <v>3221</v>
      </c>
      <c r="C25128">
        <v>925</v>
      </c>
      <c r="D25128" t="s">
        <v>323</v>
      </c>
      <c r="E25128" t="s">
        <v>324</v>
      </c>
      <c r="F25128">
        <v>10</v>
      </c>
      <c r="G25128">
        <v>230130</v>
      </c>
      <c r="H25128">
        <v>4364</v>
      </c>
      <c r="I25128" t="s">
        <v>296</v>
      </c>
      <c r="J25128">
        <v>12.4</v>
      </c>
      <c r="K25128">
        <v>2.4</v>
      </c>
      <c r="L25128">
        <v>17971</v>
      </c>
      <c r="M25128" t="s">
        <v>138</v>
      </c>
      <c r="N25128" t="str">
        <f>"5951851     "</f>
        <v xml:space="preserve">5951851     </v>
      </c>
      <c r="O25128">
        <v>230201</v>
      </c>
    </row>
    <row r="25129" spans="1:15" x14ac:dyDescent="0.25">
      <c r="A25129" t="s">
        <v>16</v>
      </c>
      <c r="B25129" t="s">
        <v>3221</v>
      </c>
      <c r="C25129">
        <v>1299</v>
      </c>
      <c r="D25129" t="s">
        <v>323</v>
      </c>
      <c r="E25129" t="s">
        <v>324</v>
      </c>
      <c r="F25129">
        <v>10</v>
      </c>
      <c r="G25129">
        <v>230127</v>
      </c>
      <c r="H25129">
        <v>4364</v>
      </c>
      <c r="I25129" t="s">
        <v>296</v>
      </c>
      <c r="J25129">
        <v>12.4</v>
      </c>
      <c r="K25129">
        <v>2.4</v>
      </c>
      <c r="L25129">
        <v>17971</v>
      </c>
      <c r="M25129" t="s">
        <v>138</v>
      </c>
      <c r="N25129" t="str">
        <f>"5951596     "</f>
        <v xml:space="preserve">5951596     </v>
      </c>
      <c r="O25129">
        <v>230207</v>
      </c>
    </row>
    <row r="25130" spans="1:15" x14ac:dyDescent="0.25">
      <c r="A25130" t="s">
        <v>16</v>
      </c>
      <c r="B25130" t="s">
        <v>3221</v>
      </c>
      <c r="C25130">
        <v>1232</v>
      </c>
      <c r="D25130" t="s">
        <v>323</v>
      </c>
      <c r="E25130" t="s">
        <v>324</v>
      </c>
      <c r="F25130">
        <v>6.86</v>
      </c>
      <c r="G25130">
        <v>230131</v>
      </c>
      <c r="H25130">
        <v>4550</v>
      </c>
      <c r="I25130" t="s">
        <v>312</v>
      </c>
      <c r="J25130">
        <v>8.51</v>
      </c>
      <c r="K25130">
        <v>1.65</v>
      </c>
      <c r="L25130">
        <v>69810</v>
      </c>
      <c r="M25130" t="s">
        <v>314</v>
      </c>
      <c r="N25130" t="str">
        <f>"5953749     "</f>
        <v xml:space="preserve">5953749     </v>
      </c>
      <c r="O25130">
        <v>230206</v>
      </c>
    </row>
    <row r="25131" spans="1:15" x14ac:dyDescent="0.25">
      <c r="A25131" t="s">
        <v>16</v>
      </c>
      <c r="B25131" t="s">
        <v>3221</v>
      </c>
      <c r="C25131">
        <v>208</v>
      </c>
      <c r="D25131" t="s">
        <v>323</v>
      </c>
      <c r="E25131" t="s">
        <v>324</v>
      </c>
      <c r="F25131">
        <v>253.94</v>
      </c>
      <c r="G25131">
        <v>230106</v>
      </c>
      <c r="H25131">
        <v>4500</v>
      </c>
      <c r="I25131" t="s">
        <v>212</v>
      </c>
      <c r="J25131">
        <v>314.89</v>
      </c>
      <c r="K25131">
        <v>60.95</v>
      </c>
      <c r="L25131">
        <v>69704</v>
      </c>
      <c r="M25131" t="s">
        <v>325</v>
      </c>
      <c r="N25131" t="str">
        <f>"5947340     "</f>
        <v xml:space="preserve">5947340     </v>
      </c>
      <c r="O25131">
        <v>230116</v>
      </c>
    </row>
    <row r="25132" spans="1:15" x14ac:dyDescent="0.25">
      <c r="A25132" t="s">
        <v>16</v>
      </c>
      <c r="B25132" t="s">
        <v>3221</v>
      </c>
      <c r="C25132">
        <v>209</v>
      </c>
      <c r="D25132" t="s">
        <v>323</v>
      </c>
      <c r="E25132" t="s">
        <v>324</v>
      </c>
      <c r="F25132">
        <v>145.6</v>
      </c>
      <c r="G25132">
        <v>230109</v>
      </c>
      <c r="H25132">
        <v>4500</v>
      </c>
      <c r="I25132" t="s">
        <v>212</v>
      </c>
      <c r="J25132">
        <v>180.55</v>
      </c>
      <c r="K25132">
        <v>34.950000000000003</v>
      </c>
      <c r="L25132">
        <v>11001</v>
      </c>
      <c r="M25132" t="s">
        <v>326</v>
      </c>
      <c r="N25132" t="str">
        <f>"5947563     "</f>
        <v xml:space="preserve">5947563     </v>
      </c>
      <c r="O25132">
        <v>230116</v>
      </c>
    </row>
    <row r="25133" spans="1:15" x14ac:dyDescent="0.25">
      <c r="A25133" t="s">
        <v>16</v>
      </c>
      <c r="B25133" t="s">
        <v>3221</v>
      </c>
      <c r="C25133">
        <v>209</v>
      </c>
      <c r="D25133" t="s">
        <v>323</v>
      </c>
      <c r="E25133" t="s">
        <v>324</v>
      </c>
      <c r="F25133">
        <v>5.75</v>
      </c>
      <c r="G25133">
        <v>230109</v>
      </c>
      <c r="H25133">
        <v>4500</v>
      </c>
      <c r="I25133" t="s">
        <v>212</v>
      </c>
      <c r="J25133">
        <v>7.13</v>
      </c>
      <c r="K25133">
        <v>1.38</v>
      </c>
      <c r="L25133">
        <v>56562</v>
      </c>
      <c r="M25133" t="s">
        <v>126</v>
      </c>
      <c r="N25133" t="str">
        <f>"5947563     "</f>
        <v xml:space="preserve">5947563     </v>
      </c>
      <c r="O25133">
        <v>230116</v>
      </c>
    </row>
    <row r="25134" spans="1:15" x14ac:dyDescent="0.25">
      <c r="A25134" t="s">
        <v>16</v>
      </c>
      <c r="B25134" t="s">
        <v>3221</v>
      </c>
      <c r="C25134">
        <v>209</v>
      </c>
      <c r="D25134" t="s">
        <v>323</v>
      </c>
      <c r="E25134" t="s">
        <v>324</v>
      </c>
      <c r="F25134">
        <v>132</v>
      </c>
      <c r="G25134">
        <v>230109</v>
      </c>
      <c r="H25134">
        <v>4500</v>
      </c>
      <c r="I25134" t="s">
        <v>212</v>
      </c>
      <c r="J25134">
        <v>163.68</v>
      </c>
      <c r="K25134">
        <v>31.68</v>
      </c>
      <c r="L25134">
        <v>56564</v>
      </c>
      <c r="M25134" t="s">
        <v>327</v>
      </c>
      <c r="N25134" t="str">
        <f>"5947563     "</f>
        <v xml:space="preserve">5947563     </v>
      </c>
      <c r="O25134">
        <v>230116</v>
      </c>
    </row>
    <row r="25135" spans="1:15" x14ac:dyDescent="0.25">
      <c r="A25135" t="s">
        <v>16</v>
      </c>
      <c r="B25135" t="s">
        <v>3221</v>
      </c>
      <c r="C25135">
        <v>209</v>
      </c>
      <c r="D25135" t="s">
        <v>323</v>
      </c>
      <c r="E25135" t="s">
        <v>324</v>
      </c>
      <c r="F25135">
        <v>37.69</v>
      </c>
      <c r="G25135">
        <v>230109</v>
      </c>
      <c r="H25135">
        <v>4500</v>
      </c>
      <c r="I25135" t="s">
        <v>212</v>
      </c>
      <c r="J25135">
        <v>46.74</v>
      </c>
      <c r="K25135">
        <v>9.0500000000000007</v>
      </c>
      <c r="L25135">
        <v>59702</v>
      </c>
      <c r="M25135" t="s">
        <v>328</v>
      </c>
      <c r="N25135" t="str">
        <f>"5947563     "</f>
        <v xml:space="preserve">5947563     </v>
      </c>
      <c r="O25135">
        <v>230116</v>
      </c>
    </row>
    <row r="25136" spans="1:15" x14ac:dyDescent="0.25">
      <c r="A25136" t="s">
        <v>16</v>
      </c>
      <c r="B25136" t="s">
        <v>3221</v>
      </c>
      <c r="C25136">
        <v>221</v>
      </c>
      <c r="D25136" t="s">
        <v>323</v>
      </c>
      <c r="E25136" t="s">
        <v>324</v>
      </c>
      <c r="F25136">
        <v>33.5</v>
      </c>
      <c r="G25136">
        <v>230110</v>
      </c>
      <c r="H25136">
        <v>4500</v>
      </c>
      <c r="I25136" t="s">
        <v>212</v>
      </c>
      <c r="J25136">
        <v>41.54</v>
      </c>
      <c r="K25136">
        <v>8.0399999999999991</v>
      </c>
      <c r="L25136">
        <v>11501</v>
      </c>
      <c r="M25136" t="s">
        <v>339</v>
      </c>
      <c r="N25136" t="str">
        <f>"5947850     "</f>
        <v xml:space="preserve">5947850     </v>
      </c>
      <c r="O25136">
        <v>230116</v>
      </c>
    </row>
    <row r="25137" spans="1:15" x14ac:dyDescent="0.25">
      <c r="A25137" t="s">
        <v>16</v>
      </c>
      <c r="B25137" t="s">
        <v>3221</v>
      </c>
      <c r="C25137">
        <v>318</v>
      </c>
      <c r="D25137" t="s">
        <v>323</v>
      </c>
      <c r="E25137" t="s">
        <v>324</v>
      </c>
      <c r="F25137">
        <v>3.8</v>
      </c>
      <c r="G25137">
        <v>230113</v>
      </c>
      <c r="H25137">
        <v>4500</v>
      </c>
      <c r="I25137" t="s">
        <v>212</v>
      </c>
      <c r="J25137">
        <v>4.71</v>
      </c>
      <c r="K25137">
        <v>0.91</v>
      </c>
      <c r="L25137">
        <v>59702</v>
      </c>
      <c r="M25137" t="s">
        <v>328</v>
      </c>
      <c r="N25137" t="str">
        <f>"5948762     "</f>
        <v xml:space="preserve">5948762     </v>
      </c>
      <c r="O25137">
        <v>230118</v>
      </c>
    </row>
    <row r="25138" spans="1:15" x14ac:dyDescent="0.25">
      <c r="A25138" t="s">
        <v>16</v>
      </c>
      <c r="B25138" t="s">
        <v>3221</v>
      </c>
      <c r="C25138">
        <v>322</v>
      </c>
      <c r="D25138" t="s">
        <v>323</v>
      </c>
      <c r="E25138" t="s">
        <v>324</v>
      </c>
      <c r="F25138">
        <v>20.86</v>
      </c>
      <c r="G25138">
        <v>230112</v>
      </c>
      <c r="H25138">
        <v>4500</v>
      </c>
      <c r="I25138" t="s">
        <v>212</v>
      </c>
      <c r="J25138">
        <v>25.87</v>
      </c>
      <c r="K25138">
        <v>5.01</v>
      </c>
      <c r="L25138">
        <v>69112</v>
      </c>
      <c r="M25138" t="s">
        <v>313</v>
      </c>
      <c r="N25138" t="str">
        <f>"5948495     "</f>
        <v xml:space="preserve">5948495     </v>
      </c>
      <c r="O25138">
        <v>230118</v>
      </c>
    </row>
    <row r="25139" spans="1:15" x14ac:dyDescent="0.25">
      <c r="A25139" t="s">
        <v>16</v>
      </c>
      <c r="B25139" t="s">
        <v>3221</v>
      </c>
      <c r="C25139">
        <v>322</v>
      </c>
      <c r="D25139" t="s">
        <v>323</v>
      </c>
      <c r="E25139" t="s">
        <v>324</v>
      </c>
      <c r="F25139">
        <v>62.18</v>
      </c>
      <c r="G25139">
        <v>230112</v>
      </c>
      <c r="H25139">
        <v>4500</v>
      </c>
      <c r="I25139" t="s">
        <v>212</v>
      </c>
      <c r="J25139">
        <v>77.099999999999994</v>
      </c>
      <c r="K25139">
        <v>14.92</v>
      </c>
      <c r="L25139">
        <v>69704</v>
      </c>
      <c r="M25139" t="s">
        <v>325</v>
      </c>
      <c r="N25139" t="str">
        <f>"5948495     "</f>
        <v xml:space="preserve">5948495     </v>
      </c>
      <c r="O25139">
        <v>230118</v>
      </c>
    </row>
    <row r="25140" spans="1:15" x14ac:dyDescent="0.25">
      <c r="A25140" t="s">
        <v>16</v>
      </c>
      <c r="B25140" t="s">
        <v>3221</v>
      </c>
      <c r="C25140">
        <v>322</v>
      </c>
      <c r="D25140" t="s">
        <v>323</v>
      </c>
      <c r="E25140" t="s">
        <v>324</v>
      </c>
      <c r="F25140">
        <v>28.22</v>
      </c>
      <c r="G25140">
        <v>230112</v>
      </c>
      <c r="H25140">
        <v>4500</v>
      </c>
      <c r="I25140" t="s">
        <v>212</v>
      </c>
      <c r="J25140">
        <v>34.99</v>
      </c>
      <c r="K25140">
        <v>6.77</v>
      </c>
      <c r="L25140">
        <v>69810</v>
      </c>
      <c r="M25140" t="s">
        <v>314</v>
      </c>
      <c r="N25140" t="str">
        <f>"5948495     "</f>
        <v xml:space="preserve">5948495     </v>
      </c>
      <c r="O25140">
        <v>230118</v>
      </c>
    </row>
    <row r="25141" spans="1:15" x14ac:dyDescent="0.25">
      <c r="A25141" t="s">
        <v>16</v>
      </c>
      <c r="B25141" t="s">
        <v>3221</v>
      </c>
      <c r="C25141">
        <v>353</v>
      </c>
      <c r="D25141" t="s">
        <v>323</v>
      </c>
      <c r="E25141" t="s">
        <v>324</v>
      </c>
      <c r="F25141">
        <v>76.22</v>
      </c>
      <c r="G25141">
        <v>230116</v>
      </c>
      <c r="H25141">
        <v>4500</v>
      </c>
      <c r="I25141" t="s">
        <v>212</v>
      </c>
      <c r="J25141">
        <v>94.51</v>
      </c>
      <c r="K25141">
        <v>18.29</v>
      </c>
      <c r="L25141">
        <v>13801</v>
      </c>
      <c r="M25141" t="s">
        <v>162</v>
      </c>
      <c r="N25141" t="str">
        <f>"5949058     "</f>
        <v xml:space="preserve">5949058     </v>
      </c>
      <c r="O25141">
        <v>230119</v>
      </c>
    </row>
    <row r="25142" spans="1:15" x14ac:dyDescent="0.25">
      <c r="A25142" t="s">
        <v>16</v>
      </c>
      <c r="B25142" t="s">
        <v>3221</v>
      </c>
      <c r="C25142">
        <v>462</v>
      </c>
      <c r="D25142" t="s">
        <v>323</v>
      </c>
      <c r="E25142" t="s">
        <v>324</v>
      </c>
      <c r="F25142">
        <v>263.26</v>
      </c>
      <c r="G25142">
        <v>230119</v>
      </c>
      <c r="H25142">
        <v>4500</v>
      </c>
      <c r="I25142" t="s">
        <v>212</v>
      </c>
      <c r="J25142">
        <v>326.44</v>
      </c>
      <c r="K25142">
        <v>63.18</v>
      </c>
      <c r="L25142">
        <v>17808</v>
      </c>
      <c r="M25142" t="s">
        <v>322</v>
      </c>
      <c r="N25142" t="str">
        <f>"5949886     "</f>
        <v xml:space="preserve">5949886     </v>
      </c>
      <c r="O25142">
        <v>230123</v>
      </c>
    </row>
    <row r="25143" spans="1:15" x14ac:dyDescent="0.25">
      <c r="A25143" t="s">
        <v>16</v>
      </c>
      <c r="B25143" t="s">
        <v>3221</v>
      </c>
      <c r="C25143">
        <v>476</v>
      </c>
      <c r="D25143" t="s">
        <v>323</v>
      </c>
      <c r="E25143" t="s">
        <v>324</v>
      </c>
      <c r="F25143">
        <v>1</v>
      </c>
      <c r="G25143">
        <v>230120</v>
      </c>
      <c r="H25143">
        <v>4500</v>
      </c>
      <c r="I25143" t="s">
        <v>212</v>
      </c>
      <c r="J25143">
        <v>1.24</v>
      </c>
      <c r="K25143">
        <v>0.24</v>
      </c>
      <c r="L25143">
        <v>61122</v>
      </c>
      <c r="M25143" t="s">
        <v>402</v>
      </c>
      <c r="N25143" t="str">
        <f>"5950147     "</f>
        <v xml:space="preserve">5950147     </v>
      </c>
      <c r="O25143">
        <v>230123</v>
      </c>
    </row>
    <row r="25144" spans="1:15" x14ac:dyDescent="0.25">
      <c r="A25144" t="s">
        <v>16</v>
      </c>
      <c r="B25144" t="s">
        <v>3221</v>
      </c>
      <c r="C25144">
        <v>753</v>
      </c>
      <c r="D25144" t="s">
        <v>323</v>
      </c>
      <c r="E25144" t="s">
        <v>324</v>
      </c>
      <c r="F25144">
        <v>148.01</v>
      </c>
      <c r="G25144">
        <v>230125</v>
      </c>
      <c r="H25144">
        <v>4500</v>
      </c>
      <c r="I25144" t="s">
        <v>212</v>
      </c>
      <c r="J25144">
        <v>183.53</v>
      </c>
      <c r="K25144">
        <v>35.520000000000003</v>
      </c>
      <c r="L25144">
        <v>17808</v>
      </c>
      <c r="M25144" t="s">
        <v>322</v>
      </c>
      <c r="N25144" t="str">
        <f>"5951098     "</f>
        <v xml:space="preserve">5951098     </v>
      </c>
      <c r="O25144">
        <v>230130</v>
      </c>
    </row>
    <row r="25145" spans="1:15" x14ac:dyDescent="0.25">
      <c r="A25145" t="s">
        <v>16</v>
      </c>
      <c r="B25145" t="s">
        <v>3221</v>
      </c>
      <c r="C25145">
        <v>882</v>
      </c>
      <c r="D25145" t="s">
        <v>323</v>
      </c>
      <c r="E25145" t="s">
        <v>324</v>
      </c>
      <c r="F25145">
        <v>6.91</v>
      </c>
      <c r="G25145">
        <v>230130</v>
      </c>
      <c r="H25145">
        <v>4500</v>
      </c>
      <c r="I25145" t="s">
        <v>212</v>
      </c>
      <c r="J25145">
        <v>8.57</v>
      </c>
      <c r="K25145">
        <v>1.66</v>
      </c>
      <c r="L25145">
        <v>61122</v>
      </c>
      <c r="M25145" t="s">
        <v>402</v>
      </c>
      <c r="N25145" t="str">
        <f>"5951850     "</f>
        <v xml:space="preserve">5951850     </v>
      </c>
      <c r="O25145">
        <v>230131</v>
      </c>
    </row>
    <row r="25146" spans="1:15" x14ac:dyDescent="0.25">
      <c r="A25146" t="s">
        <v>16</v>
      </c>
      <c r="B25146" t="s">
        <v>3221</v>
      </c>
      <c r="C25146">
        <v>925</v>
      </c>
      <c r="D25146" t="s">
        <v>323</v>
      </c>
      <c r="E25146" t="s">
        <v>324</v>
      </c>
      <c r="F25146">
        <v>113.51</v>
      </c>
      <c r="G25146">
        <v>230130</v>
      </c>
      <c r="H25146">
        <v>4500</v>
      </c>
      <c r="I25146" t="s">
        <v>212</v>
      </c>
      <c r="J25146">
        <v>140.75</v>
      </c>
      <c r="K25146">
        <v>27.24</v>
      </c>
      <c r="L25146">
        <v>13561</v>
      </c>
      <c r="M25146" t="s">
        <v>246</v>
      </c>
      <c r="N25146" t="str">
        <f>"5951851     "</f>
        <v xml:space="preserve">5951851     </v>
      </c>
      <c r="O25146">
        <v>230201</v>
      </c>
    </row>
    <row r="25147" spans="1:15" x14ac:dyDescent="0.25">
      <c r="A25147" t="s">
        <v>16</v>
      </c>
      <c r="B25147" t="s">
        <v>3221</v>
      </c>
      <c r="C25147">
        <v>925</v>
      </c>
      <c r="D25147" t="s">
        <v>323</v>
      </c>
      <c r="E25147" t="s">
        <v>324</v>
      </c>
      <c r="F25147">
        <v>925.63</v>
      </c>
      <c r="G25147">
        <v>230130</v>
      </c>
      <c r="H25147">
        <v>4500</v>
      </c>
      <c r="I25147" t="s">
        <v>212</v>
      </c>
      <c r="J25147">
        <v>1147.78</v>
      </c>
      <c r="K25147">
        <v>222.15</v>
      </c>
      <c r="L25147">
        <v>17971</v>
      </c>
      <c r="M25147" t="s">
        <v>138</v>
      </c>
      <c r="N25147" t="str">
        <f>"5951851     "</f>
        <v xml:space="preserve">5951851     </v>
      </c>
      <c r="O25147">
        <v>230201</v>
      </c>
    </row>
    <row r="25148" spans="1:15" x14ac:dyDescent="0.25">
      <c r="A25148" t="s">
        <v>16</v>
      </c>
      <c r="B25148" t="s">
        <v>3221</v>
      </c>
      <c r="C25148">
        <v>925</v>
      </c>
      <c r="D25148" t="s">
        <v>323</v>
      </c>
      <c r="E25148" t="s">
        <v>324</v>
      </c>
      <c r="F25148">
        <v>14.9</v>
      </c>
      <c r="G25148">
        <v>230130</v>
      </c>
      <c r="H25148">
        <v>4500</v>
      </c>
      <c r="I25148" t="s">
        <v>212</v>
      </c>
      <c r="J25148">
        <v>18.48</v>
      </c>
      <c r="K25148">
        <v>3.58</v>
      </c>
      <c r="L25148">
        <v>17975</v>
      </c>
      <c r="M25148" t="s">
        <v>798</v>
      </c>
      <c r="N25148" t="str">
        <f>"5951851     "</f>
        <v xml:space="preserve">5951851     </v>
      </c>
      <c r="O25148">
        <v>230201</v>
      </c>
    </row>
    <row r="25149" spans="1:15" x14ac:dyDescent="0.25">
      <c r="A25149" t="s">
        <v>16</v>
      </c>
      <c r="B25149" t="s">
        <v>3221</v>
      </c>
      <c r="C25149">
        <v>1029</v>
      </c>
      <c r="D25149" t="s">
        <v>323</v>
      </c>
      <c r="E25149" t="s">
        <v>324</v>
      </c>
      <c r="F25149">
        <v>38.950000000000003</v>
      </c>
      <c r="G25149">
        <v>230125</v>
      </c>
      <c r="H25149">
        <v>4500</v>
      </c>
      <c r="I25149" t="s">
        <v>212</v>
      </c>
      <c r="J25149">
        <v>48.3</v>
      </c>
      <c r="K25149">
        <v>9.35</v>
      </c>
      <c r="L25149">
        <v>11001</v>
      </c>
      <c r="M25149" t="s">
        <v>326</v>
      </c>
      <c r="N25149" t="str">
        <f>"5951100     "</f>
        <v xml:space="preserve">5951100     </v>
      </c>
      <c r="O25149">
        <v>230202</v>
      </c>
    </row>
    <row r="25150" spans="1:15" x14ac:dyDescent="0.25">
      <c r="A25150" t="s">
        <v>16</v>
      </c>
      <c r="B25150" t="s">
        <v>3221</v>
      </c>
      <c r="C25150">
        <v>1029</v>
      </c>
      <c r="D25150" t="s">
        <v>323</v>
      </c>
      <c r="E25150" t="s">
        <v>324</v>
      </c>
      <c r="F25150">
        <v>136.33000000000001</v>
      </c>
      <c r="G25150">
        <v>230125</v>
      </c>
      <c r="H25150">
        <v>4500</v>
      </c>
      <c r="I25150" t="s">
        <v>212</v>
      </c>
      <c r="J25150">
        <v>169.05</v>
      </c>
      <c r="K25150">
        <v>32.72</v>
      </c>
      <c r="L25150">
        <v>11101</v>
      </c>
      <c r="M25150" t="s">
        <v>110</v>
      </c>
      <c r="N25150" t="str">
        <f>"5951100     "</f>
        <v xml:space="preserve">5951100     </v>
      </c>
      <c r="O25150">
        <v>230202</v>
      </c>
    </row>
    <row r="25151" spans="1:15" x14ac:dyDescent="0.25">
      <c r="A25151" t="s">
        <v>16</v>
      </c>
      <c r="B25151" t="s">
        <v>3221</v>
      </c>
      <c r="C25151">
        <v>1029</v>
      </c>
      <c r="D25151" t="s">
        <v>323</v>
      </c>
      <c r="E25151" t="s">
        <v>324</v>
      </c>
      <c r="F25151">
        <v>19.48</v>
      </c>
      <c r="G25151">
        <v>230125</v>
      </c>
      <c r="H25151">
        <v>4500</v>
      </c>
      <c r="I25151" t="s">
        <v>212</v>
      </c>
      <c r="J25151">
        <v>24.15</v>
      </c>
      <c r="K25151">
        <v>4.67</v>
      </c>
      <c r="L25151">
        <v>18971</v>
      </c>
      <c r="M25151" t="s">
        <v>63</v>
      </c>
      <c r="N25151" t="str">
        <f>"5951100     "</f>
        <v xml:space="preserve">5951100     </v>
      </c>
      <c r="O25151">
        <v>230202</v>
      </c>
    </row>
    <row r="25152" spans="1:15" x14ac:dyDescent="0.25">
      <c r="A25152" t="s">
        <v>16</v>
      </c>
      <c r="B25152" t="s">
        <v>3221</v>
      </c>
      <c r="C25152">
        <v>1029</v>
      </c>
      <c r="D25152" t="s">
        <v>323</v>
      </c>
      <c r="E25152" t="s">
        <v>324</v>
      </c>
      <c r="F25152">
        <v>323.33</v>
      </c>
      <c r="G25152">
        <v>230125</v>
      </c>
      <c r="H25152">
        <v>4500</v>
      </c>
      <c r="I25152" t="s">
        <v>212</v>
      </c>
      <c r="J25152">
        <v>400.93</v>
      </c>
      <c r="K25152">
        <v>77.599999999999994</v>
      </c>
      <c r="L25152">
        <v>59702</v>
      </c>
      <c r="M25152" t="s">
        <v>328</v>
      </c>
      <c r="N25152" t="str">
        <f>"5951100     "</f>
        <v xml:space="preserve">5951100     </v>
      </c>
      <c r="O25152">
        <v>230202</v>
      </c>
    </row>
    <row r="25153" spans="1:15" x14ac:dyDescent="0.25">
      <c r="A25153" t="s">
        <v>16</v>
      </c>
      <c r="B25153" t="s">
        <v>3221</v>
      </c>
      <c r="C25153">
        <v>1217</v>
      </c>
      <c r="D25153" t="s">
        <v>323</v>
      </c>
      <c r="E25153" t="s">
        <v>324</v>
      </c>
      <c r="F25153">
        <v>7.84</v>
      </c>
      <c r="G25153">
        <v>230124</v>
      </c>
      <c r="H25153">
        <v>4500</v>
      </c>
      <c r="I25153" t="s">
        <v>212</v>
      </c>
      <c r="J25153">
        <v>9.7200000000000006</v>
      </c>
      <c r="K25153">
        <v>1.88</v>
      </c>
      <c r="L25153">
        <v>44222</v>
      </c>
      <c r="M25153" t="s">
        <v>232</v>
      </c>
      <c r="N25153" t="str">
        <f>"5950783     "</f>
        <v xml:space="preserve">5950783     </v>
      </c>
      <c r="O25153">
        <v>230206</v>
      </c>
    </row>
    <row r="25154" spans="1:15" x14ac:dyDescent="0.25">
      <c r="A25154" t="s">
        <v>16</v>
      </c>
      <c r="B25154" t="s">
        <v>3221</v>
      </c>
      <c r="C25154">
        <v>1217</v>
      </c>
      <c r="D25154" t="s">
        <v>323</v>
      </c>
      <c r="E25154" t="s">
        <v>324</v>
      </c>
      <c r="F25154">
        <v>98.5</v>
      </c>
      <c r="G25154">
        <v>230124</v>
      </c>
      <c r="H25154">
        <v>4500</v>
      </c>
      <c r="I25154" t="s">
        <v>212</v>
      </c>
      <c r="J25154">
        <v>122.14</v>
      </c>
      <c r="K25154">
        <v>23.64</v>
      </c>
      <c r="L25154">
        <v>47522</v>
      </c>
      <c r="M25154" t="s">
        <v>410</v>
      </c>
      <c r="N25154" t="str">
        <f>"5950783     "</f>
        <v xml:space="preserve">5950783     </v>
      </c>
      <c r="O25154">
        <v>230206</v>
      </c>
    </row>
    <row r="25155" spans="1:15" x14ac:dyDescent="0.25">
      <c r="A25155" t="s">
        <v>16</v>
      </c>
      <c r="B25155" t="s">
        <v>3221</v>
      </c>
      <c r="C25155">
        <v>1217</v>
      </c>
      <c r="D25155" t="s">
        <v>323</v>
      </c>
      <c r="E25155" t="s">
        <v>324</v>
      </c>
      <c r="F25155">
        <v>1181.81</v>
      </c>
      <c r="G25155">
        <v>230124</v>
      </c>
      <c r="H25155">
        <v>4500</v>
      </c>
      <c r="I25155" t="s">
        <v>212</v>
      </c>
      <c r="J25155">
        <v>1465.45</v>
      </c>
      <c r="K25155">
        <v>283.64</v>
      </c>
      <c r="L25155">
        <v>49702</v>
      </c>
      <c r="M25155" t="s">
        <v>584</v>
      </c>
      <c r="N25155" t="str">
        <f>"5950783     "</f>
        <v xml:space="preserve">5950783     </v>
      </c>
      <c r="O25155">
        <v>230206</v>
      </c>
    </row>
    <row r="25156" spans="1:15" x14ac:dyDescent="0.25">
      <c r="A25156" t="s">
        <v>16</v>
      </c>
      <c r="B25156" t="s">
        <v>3221</v>
      </c>
      <c r="C25156">
        <v>1217</v>
      </c>
      <c r="D25156" t="s">
        <v>323</v>
      </c>
      <c r="E25156" t="s">
        <v>324</v>
      </c>
      <c r="F25156">
        <v>37.770000000000003</v>
      </c>
      <c r="G25156">
        <v>230124</v>
      </c>
      <c r="H25156">
        <v>4500</v>
      </c>
      <c r="I25156" t="s">
        <v>212</v>
      </c>
      <c r="J25156">
        <v>46.83</v>
      </c>
      <c r="K25156">
        <v>9.06</v>
      </c>
      <c r="L25156">
        <v>49705</v>
      </c>
      <c r="M25156" t="s">
        <v>575</v>
      </c>
      <c r="N25156" t="str">
        <f>"5950783     "</f>
        <v xml:space="preserve">5950783     </v>
      </c>
      <c r="O25156">
        <v>230206</v>
      </c>
    </row>
    <row r="25157" spans="1:15" x14ac:dyDescent="0.25">
      <c r="A25157" t="s">
        <v>16</v>
      </c>
      <c r="B25157" t="s">
        <v>3221</v>
      </c>
      <c r="C25157">
        <v>1232</v>
      </c>
      <c r="D25157" t="s">
        <v>323</v>
      </c>
      <c r="E25157" t="s">
        <v>324</v>
      </c>
      <c r="F25157">
        <v>12.64</v>
      </c>
      <c r="G25157">
        <v>230131</v>
      </c>
      <c r="H25157">
        <v>4500</v>
      </c>
      <c r="I25157" t="s">
        <v>212</v>
      </c>
      <c r="J25157">
        <v>15.67</v>
      </c>
      <c r="K25157">
        <v>3.03</v>
      </c>
      <c r="L25157">
        <v>69702</v>
      </c>
      <c r="M25157" t="s">
        <v>489</v>
      </c>
      <c r="N25157" t="str">
        <f>"5953749     "</f>
        <v xml:space="preserve">5953749     </v>
      </c>
      <c r="O25157">
        <v>230206</v>
      </c>
    </row>
    <row r="25158" spans="1:15" x14ac:dyDescent="0.25">
      <c r="A25158" t="s">
        <v>16</v>
      </c>
      <c r="B25158" t="s">
        <v>3221</v>
      </c>
      <c r="C25158">
        <v>1232</v>
      </c>
      <c r="D25158" t="s">
        <v>323</v>
      </c>
      <c r="E25158" t="s">
        <v>324</v>
      </c>
      <c r="F25158">
        <v>58.35</v>
      </c>
      <c r="G25158">
        <v>230131</v>
      </c>
      <c r="H25158">
        <v>4500</v>
      </c>
      <c r="I25158" t="s">
        <v>212</v>
      </c>
      <c r="J25158">
        <v>72.36</v>
      </c>
      <c r="K25158">
        <v>14.01</v>
      </c>
      <c r="L25158">
        <v>69704</v>
      </c>
      <c r="M25158" t="s">
        <v>325</v>
      </c>
      <c r="N25158" t="str">
        <f>"5953749     "</f>
        <v xml:space="preserve">5953749     </v>
      </c>
      <c r="O25158">
        <v>230206</v>
      </c>
    </row>
    <row r="25159" spans="1:15" x14ac:dyDescent="0.25">
      <c r="A25159" t="s">
        <v>16</v>
      </c>
      <c r="B25159" t="s">
        <v>3221</v>
      </c>
      <c r="C25159">
        <v>1235</v>
      </c>
      <c r="D25159" t="s">
        <v>323</v>
      </c>
      <c r="E25159" t="s">
        <v>324</v>
      </c>
      <c r="F25159">
        <v>84.02</v>
      </c>
      <c r="G25159">
        <v>230131</v>
      </c>
      <c r="H25159">
        <v>4500</v>
      </c>
      <c r="I25159" t="s">
        <v>212</v>
      </c>
      <c r="J25159">
        <v>104.19</v>
      </c>
      <c r="K25159">
        <v>20.170000000000002</v>
      </c>
      <c r="L25159">
        <v>54252</v>
      </c>
      <c r="M25159" t="s">
        <v>534</v>
      </c>
      <c r="N25159" t="str">
        <f>"5953750     "</f>
        <v xml:space="preserve">5953750     </v>
      </c>
      <c r="O25159">
        <v>230206</v>
      </c>
    </row>
    <row r="25160" spans="1:15" x14ac:dyDescent="0.25">
      <c r="A25160" t="s">
        <v>16</v>
      </c>
      <c r="B25160" t="s">
        <v>3221</v>
      </c>
      <c r="C25160">
        <v>1236</v>
      </c>
      <c r="D25160" t="s">
        <v>323</v>
      </c>
      <c r="E25160" t="s">
        <v>324</v>
      </c>
      <c r="F25160">
        <v>166.94</v>
      </c>
      <c r="G25160">
        <v>230201</v>
      </c>
      <c r="H25160">
        <v>4500</v>
      </c>
      <c r="I25160" t="s">
        <v>212</v>
      </c>
      <c r="J25160">
        <v>207.01</v>
      </c>
      <c r="K25160">
        <v>40.07</v>
      </c>
      <c r="L25160">
        <v>18972</v>
      </c>
      <c r="M25160" t="s">
        <v>163</v>
      </c>
      <c r="N25160" t="str">
        <f>"5954170     "</f>
        <v xml:space="preserve">5954170     </v>
      </c>
      <c r="O25160">
        <v>230206</v>
      </c>
    </row>
    <row r="25161" spans="1:15" x14ac:dyDescent="0.25">
      <c r="A25161" t="s">
        <v>16</v>
      </c>
      <c r="B25161" t="s">
        <v>3221</v>
      </c>
      <c r="C25161">
        <v>1299</v>
      </c>
      <c r="D25161" t="s">
        <v>323</v>
      </c>
      <c r="E25161" t="s">
        <v>324</v>
      </c>
      <c r="F25161">
        <v>161.51</v>
      </c>
      <c r="G25161">
        <v>230127</v>
      </c>
      <c r="H25161">
        <v>4500</v>
      </c>
      <c r="I25161" t="s">
        <v>212</v>
      </c>
      <c r="J25161">
        <v>200.27</v>
      </c>
      <c r="K25161">
        <v>38.76</v>
      </c>
      <c r="L25161">
        <v>17131</v>
      </c>
      <c r="M25161" t="s">
        <v>64</v>
      </c>
      <c r="N25161" t="str">
        <f>"5951596     "</f>
        <v xml:space="preserve">5951596     </v>
      </c>
      <c r="O25161">
        <v>230207</v>
      </c>
    </row>
    <row r="25162" spans="1:15" x14ac:dyDescent="0.25">
      <c r="A25162" t="s">
        <v>16</v>
      </c>
      <c r="B25162" t="s">
        <v>3221</v>
      </c>
      <c r="C25162">
        <v>1299</v>
      </c>
      <c r="D25162" t="s">
        <v>323</v>
      </c>
      <c r="E25162" t="s">
        <v>324</v>
      </c>
      <c r="F25162">
        <v>16.13</v>
      </c>
      <c r="G25162">
        <v>230127</v>
      </c>
      <c r="H25162">
        <v>4500</v>
      </c>
      <c r="I25162" t="s">
        <v>212</v>
      </c>
      <c r="J25162">
        <v>20</v>
      </c>
      <c r="K25162">
        <v>3.87</v>
      </c>
      <c r="L25162">
        <v>17131</v>
      </c>
      <c r="M25162" t="s">
        <v>64</v>
      </c>
      <c r="N25162" t="str">
        <f>"5951596     "</f>
        <v xml:space="preserve">5951596     </v>
      </c>
      <c r="O25162">
        <v>230207</v>
      </c>
    </row>
    <row r="25163" spans="1:15" x14ac:dyDescent="0.25">
      <c r="A25163" t="s">
        <v>16</v>
      </c>
      <c r="B25163" t="s">
        <v>3221</v>
      </c>
      <c r="C25163">
        <v>1299</v>
      </c>
      <c r="D25163" t="s">
        <v>323</v>
      </c>
      <c r="E25163" t="s">
        <v>324</v>
      </c>
      <c r="F25163">
        <v>129.19999999999999</v>
      </c>
      <c r="G25163">
        <v>230127</v>
      </c>
      <c r="H25163">
        <v>4500</v>
      </c>
      <c r="I25163" t="s">
        <v>212</v>
      </c>
      <c r="J25163">
        <v>160.21</v>
      </c>
      <c r="K25163">
        <v>31.01</v>
      </c>
      <c r="L25163">
        <v>17711</v>
      </c>
      <c r="M25163" t="s">
        <v>65</v>
      </c>
      <c r="N25163" t="str">
        <f>"5951596     "</f>
        <v xml:space="preserve">5951596     </v>
      </c>
      <c r="O25163">
        <v>230207</v>
      </c>
    </row>
    <row r="25164" spans="1:15" x14ac:dyDescent="0.25">
      <c r="A25164" t="s">
        <v>16</v>
      </c>
      <c r="B25164" t="s">
        <v>3221</v>
      </c>
      <c r="C25164">
        <v>1299</v>
      </c>
      <c r="D25164" t="s">
        <v>323</v>
      </c>
      <c r="E25164" t="s">
        <v>324</v>
      </c>
      <c r="F25164">
        <v>32.299999999999997</v>
      </c>
      <c r="G25164">
        <v>230127</v>
      </c>
      <c r="H25164">
        <v>4500</v>
      </c>
      <c r="I25164" t="s">
        <v>212</v>
      </c>
      <c r="J25164">
        <v>40.049999999999997</v>
      </c>
      <c r="K25164">
        <v>7.75</v>
      </c>
      <c r="L25164">
        <v>17711</v>
      </c>
      <c r="M25164" t="s">
        <v>65</v>
      </c>
      <c r="N25164" t="str">
        <f>"5951596     "</f>
        <v xml:space="preserve">5951596     </v>
      </c>
      <c r="O25164">
        <v>230207</v>
      </c>
    </row>
    <row r="25165" spans="1:15" x14ac:dyDescent="0.25">
      <c r="A25165" t="s">
        <v>16</v>
      </c>
      <c r="B25165" t="s">
        <v>3221</v>
      </c>
      <c r="C25165">
        <v>1306</v>
      </c>
      <c r="D25165" t="s">
        <v>323</v>
      </c>
      <c r="E25165" t="s">
        <v>324</v>
      </c>
      <c r="F25165">
        <v>109.2</v>
      </c>
      <c r="G25165">
        <v>230130</v>
      </c>
      <c r="H25165">
        <v>4500</v>
      </c>
      <c r="I25165" t="s">
        <v>212</v>
      </c>
      <c r="J25165">
        <v>135.41</v>
      </c>
      <c r="K25165">
        <v>26.21</v>
      </c>
      <c r="L25165">
        <v>54422</v>
      </c>
      <c r="M25165" t="s">
        <v>234</v>
      </c>
      <c r="N25165" t="str">
        <f>"5951852     "</f>
        <v xml:space="preserve">5951852     </v>
      </c>
      <c r="O25165">
        <v>230207</v>
      </c>
    </row>
    <row r="25166" spans="1:15" x14ac:dyDescent="0.25">
      <c r="A25166" t="s">
        <v>16</v>
      </c>
      <c r="B25166" t="s">
        <v>3221</v>
      </c>
      <c r="C25166">
        <v>1626</v>
      </c>
      <c r="D25166" t="s">
        <v>323</v>
      </c>
      <c r="E25166" t="s">
        <v>324</v>
      </c>
      <c r="F25166">
        <v>279.27999999999997</v>
      </c>
      <c r="G25166">
        <v>230206</v>
      </c>
      <c r="H25166">
        <v>4500</v>
      </c>
      <c r="I25166" t="s">
        <v>212</v>
      </c>
      <c r="J25166">
        <v>346.31</v>
      </c>
      <c r="K25166">
        <v>67.03</v>
      </c>
      <c r="L25166">
        <v>13601</v>
      </c>
      <c r="M25166" t="s">
        <v>147</v>
      </c>
      <c r="N25166" t="str">
        <f>"5954921     "</f>
        <v xml:space="preserve">5954921     </v>
      </c>
      <c r="O25166">
        <v>230210</v>
      </c>
    </row>
    <row r="25167" spans="1:15" x14ac:dyDescent="0.25">
      <c r="A25167" t="s">
        <v>16</v>
      </c>
      <c r="B25167" t="s">
        <v>3221</v>
      </c>
      <c r="C25167">
        <v>1626</v>
      </c>
      <c r="D25167" t="s">
        <v>323</v>
      </c>
      <c r="E25167" t="s">
        <v>324</v>
      </c>
      <c r="F25167">
        <v>215.57</v>
      </c>
      <c r="G25167">
        <v>230206</v>
      </c>
      <c r="H25167">
        <v>4500</v>
      </c>
      <c r="I25167" t="s">
        <v>212</v>
      </c>
      <c r="J25167">
        <v>267.31</v>
      </c>
      <c r="K25167">
        <v>51.74</v>
      </c>
      <c r="L25167">
        <v>13801</v>
      </c>
      <c r="M25167" t="s">
        <v>162</v>
      </c>
      <c r="N25167" t="str">
        <f>"5954921     "</f>
        <v xml:space="preserve">5954921     </v>
      </c>
      <c r="O25167">
        <v>230210</v>
      </c>
    </row>
    <row r="25168" spans="1:15" x14ac:dyDescent="0.25">
      <c r="A25168" t="s">
        <v>16</v>
      </c>
      <c r="B25168" t="s">
        <v>3221</v>
      </c>
      <c r="C25168">
        <v>1629</v>
      </c>
      <c r="D25168" t="s">
        <v>323</v>
      </c>
      <c r="E25168" t="s">
        <v>324</v>
      </c>
      <c r="F25168">
        <v>0.95</v>
      </c>
      <c r="G25168">
        <v>230208</v>
      </c>
      <c r="H25168">
        <v>4500</v>
      </c>
      <c r="I25168" t="s">
        <v>212</v>
      </c>
      <c r="J25168">
        <v>1.18</v>
      </c>
      <c r="K25168">
        <v>0.23</v>
      </c>
      <c r="L25168">
        <v>69704</v>
      </c>
      <c r="M25168" t="s">
        <v>325</v>
      </c>
      <c r="N25168" t="str">
        <f>"5955393     "</f>
        <v xml:space="preserve">5955393     </v>
      </c>
      <c r="O25168">
        <v>230210</v>
      </c>
    </row>
    <row r="25169" spans="1:15" x14ac:dyDescent="0.25">
      <c r="A25169" t="s">
        <v>16</v>
      </c>
      <c r="B25169" t="s">
        <v>3221</v>
      </c>
      <c r="C25169">
        <v>1815</v>
      </c>
      <c r="D25169" t="s">
        <v>323</v>
      </c>
      <c r="E25169" t="s">
        <v>324</v>
      </c>
      <c r="F25169">
        <v>84.16</v>
      </c>
      <c r="G25169">
        <v>230117</v>
      </c>
      <c r="H25169">
        <v>4500</v>
      </c>
      <c r="I25169" t="s">
        <v>212</v>
      </c>
      <c r="J25169">
        <v>104.36</v>
      </c>
      <c r="K25169">
        <v>20.2</v>
      </c>
      <c r="L25169">
        <v>11701</v>
      </c>
      <c r="M25169" t="s">
        <v>1204</v>
      </c>
      <c r="N25169" t="str">
        <f t="shared" ref="N25169:N25176" si="483">"5949341     "</f>
        <v xml:space="preserve">5949341     </v>
      </c>
      <c r="O25169">
        <v>230214</v>
      </c>
    </row>
    <row r="25170" spans="1:15" x14ac:dyDescent="0.25">
      <c r="A25170" t="s">
        <v>16</v>
      </c>
      <c r="B25170" t="s">
        <v>3221</v>
      </c>
      <c r="C25170">
        <v>1815</v>
      </c>
      <c r="D25170" t="s">
        <v>323</v>
      </c>
      <c r="E25170" t="s">
        <v>324</v>
      </c>
      <c r="F25170">
        <v>133.65</v>
      </c>
      <c r="G25170">
        <v>230117</v>
      </c>
      <c r="H25170">
        <v>4500</v>
      </c>
      <c r="I25170" t="s">
        <v>212</v>
      </c>
      <c r="J25170">
        <v>165.72</v>
      </c>
      <c r="K25170">
        <v>32.07</v>
      </c>
      <c r="L25170">
        <v>14121</v>
      </c>
      <c r="M25170" t="s">
        <v>880</v>
      </c>
      <c r="N25170" t="str">
        <f t="shared" si="483"/>
        <v xml:space="preserve">5949341     </v>
      </c>
      <c r="O25170">
        <v>230214</v>
      </c>
    </row>
    <row r="25171" spans="1:15" x14ac:dyDescent="0.25">
      <c r="A25171" t="s">
        <v>16</v>
      </c>
      <c r="B25171" t="s">
        <v>3221</v>
      </c>
      <c r="C25171">
        <v>1815</v>
      </c>
      <c r="D25171" t="s">
        <v>323</v>
      </c>
      <c r="E25171" t="s">
        <v>324</v>
      </c>
      <c r="F25171">
        <v>8.15</v>
      </c>
      <c r="G25171">
        <v>230117</v>
      </c>
      <c r="H25171">
        <v>4500</v>
      </c>
      <c r="I25171" t="s">
        <v>212</v>
      </c>
      <c r="J25171">
        <v>10.11</v>
      </c>
      <c r="K25171">
        <v>1.96</v>
      </c>
      <c r="L25171">
        <v>14321</v>
      </c>
      <c r="M25171" t="s">
        <v>717</v>
      </c>
      <c r="N25171" t="str">
        <f t="shared" si="483"/>
        <v xml:space="preserve">5949341     </v>
      </c>
      <c r="O25171">
        <v>230214</v>
      </c>
    </row>
    <row r="25172" spans="1:15" x14ac:dyDescent="0.25">
      <c r="A25172" t="s">
        <v>16</v>
      </c>
      <c r="B25172" t="s">
        <v>3221</v>
      </c>
      <c r="C25172">
        <v>1815</v>
      </c>
      <c r="D25172" t="s">
        <v>323</v>
      </c>
      <c r="E25172" t="s">
        <v>324</v>
      </c>
      <c r="F25172">
        <v>53.46</v>
      </c>
      <c r="G25172">
        <v>230117</v>
      </c>
      <c r="H25172">
        <v>4500</v>
      </c>
      <c r="I25172" t="s">
        <v>212</v>
      </c>
      <c r="J25172">
        <v>66.290000000000006</v>
      </c>
      <c r="K25172">
        <v>12.83</v>
      </c>
      <c r="L25172">
        <v>14422</v>
      </c>
      <c r="M25172" t="s">
        <v>228</v>
      </c>
      <c r="N25172" t="str">
        <f t="shared" si="483"/>
        <v xml:space="preserve">5949341     </v>
      </c>
      <c r="O25172">
        <v>230214</v>
      </c>
    </row>
    <row r="25173" spans="1:15" x14ac:dyDescent="0.25">
      <c r="A25173" t="s">
        <v>16</v>
      </c>
      <c r="B25173" t="s">
        <v>3221</v>
      </c>
      <c r="C25173">
        <v>1815</v>
      </c>
      <c r="D25173" t="s">
        <v>323</v>
      </c>
      <c r="E25173" t="s">
        <v>324</v>
      </c>
      <c r="F25173">
        <v>56.8</v>
      </c>
      <c r="G25173">
        <v>230117</v>
      </c>
      <c r="H25173">
        <v>4500</v>
      </c>
      <c r="I25173" t="s">
        <v>212</v>
      </c>
      <c r="J25173">
        <v>70.430000000000007</v>
      </c>
      <c r="K25173">
        <v>13.63</v>
      </c>
      <c r="L25173">
        <v>14541</v>
      </c>
      <c r="M25173" t="s">
        <v>626</v>
      </c>
      <c r="N25173" t="str">
        <f t="shared" si="483"/>
        <v xml:space="preserve">5949341     </v>
      </c>
      <c r="O25173">
        <v>230214</v>
      </c>
    </row>
    <row r="25174" spans="1:15" x14ac:dyDescent="0.25">
      <c r="A25174" t="s">
        <v>16</v>
      </c>
      <c r="B25174" t="s">
        <v>3221</v>
      </c>
      <c r="C25174">
        <v>1815</v>
      </c>
      <c r="D25174" t="s">
        <v>323</v>
      </c>
      <c r="E25174" t="s">
        <v>324</v>
      </c>
      <c r="F25174">
        <v>50.11</v>
      </c>
      <c r="G25174">
        <v>230117</v>
      </c>
      <c r="H25174">
        <v>4500</v>
      </c>
      <c r="I25174" t="s">
        <v>212</v>
      </c>
      <c r="J25174">
        <v>62.14</v>
      </c>
      <c r="K25174">
        <v>12.03</v>
      </c>
      <c r="L25174">
        <v>14640</v>
      </c>
      <c r="M25174" t="s">
        <v>229</v>
      </c>
      <c r="N25174" t="str">
        <f t="shared" si="483"/>
        <v xml:space="preserve">5949341     </v>
      </c>
      <c r="O25174">
        <v>230214</v>
      </c>
    </row>
    <row r="25175" spans="1:15" x14ac:dyDescent="0.25">
      <c r="A25175" t="s">
        <v>16</v>
      </c>
      <c r="B25175" t="s">
        <v>3221</v>
      </c>
      <c r="C25175">
        <v>1815</v>
      </c>
      <c r="D25175" t="s">
        <v>323</v>
      </c>
      <c r="E25175" t="s">
        <v>324</v>
      </c>
      <c r="F25175">
        <v>179.35</v>
      </c>
      <c r="G25175">
        <v>230117</v>
      </c>
      <c r="H25175">
        <v>4500</v>
      </c>
      <c r="I25175" t="s">
        <v>212</v>
      </c>
      <c r="J25175">
        <v>222.4</v>
      </c>
      <c r="K25175">
        <v>43.05</v>
      </c>
      <c r="L25175">
        <v>14640</v>
      </c>
      <c r="M25175" t="s">
        <v>229</v>
      </c>
      <c r="N25175" t="str">
        <f t="shared" si="483"/>
        <v xml:space="preserve">5949341     </v>
      </c>
      <c r="O25175">
        <v>230214</v>
      </c>
    </row>
    <row r="25176" spans="1:15" x14ac:dyDescent="0.25">
      <c r="A25176" t="s">
        <v>16</v>
      </c>
      <c r="B25176" t="s">
        <v>3221</v>
      </c>
      <c r="C25176">
        <v>1815</v>
      </c>
      <c r="D25176" t="s">
        <v>323</v>
      </c>
      <c r="E25176" t="s">
        <v>324</v>
      </c>
      <c r="F25176">
        <v>40.090000000000003</v>
      </c>
      <c r="G25176">
        <v>230117</v>
      </c>
      <c r="H25176">
        <v>4500</v>
      </c>
      <c r="I25176" t="s">
        <v>212</v>
      </c>
      <c r="J25176">
        <v>49.71</v>
      </c>
      <c r="K25176">
        <v>9.6199999999999992</v>
      </c>
      <c r="L25176">
        <v>14861</v>
      </c>
      <c r="M25176" t="s">
        <v>785</v>
      </c>
      <c r="N25176" t="str">
        <f t="shared" si="483"/>
        <v xml:space="preserve">5949341     </v>
      </c>
      <c r="O25176">
        <v>230214</v>
      </c>
    </row>
    <row r="25177" spans="1:15" x14ac:dyDescent="0.25">
      <c r="A25177" t="s">
        <v>16</v>
      </c>
      <c r="B25177" t="s">
        <v>3221</v>
      </c>
      <c r="C25177">
        <v>2230</v>
      </c>
      <c r="D25177" t="s">
        <v>323</v>
      </c>
      <c r="E25177" t="s">
        <v>324</v>
      </c>
      <c r="F25177">
        <v>6.04</v>
      </c>
      <c r="G25177">
        <v>230214</v>
      </c>
      <c r="H25177">
        <v>4500</v>
      </c>
      <c r="I25177" t="s">
        <v>212</v>
      </c>
      <c r="J25177">
        <v>7.49</v>
      </c>
      <c r="K25177">
        <v>1.45</v>
      </c>
      <c r="L25177">
        <v>54222</v>
      </c>
      <c r="M25177" t="s">
        <v>308</v>
      </c>
      <c r="N25177" t="str">
        <f>"5956347     "</f>
        <v xml:space="preserve">5956347     </v>
      </c>
      <c r="O25177">
        <v>230222</v>
      </c>
    </row>
    <row r="25178" spans="1:15" x14ac:dyDescent="0.25">
      <c r="A25178" t="s">
        <v>16</v>
      </c>
      <c r="B25178" t="s">
        <v>3221</v>
      </c>
      <c r="C25178">
        <v>2230</v>
      </c>
      <c r="D25178" t="s">
        <v>323</v>
      </c>
      <c r="E25178" t="s">
        <v>324</v>
      </c>
      <c r="F25178">
        <v>73.06</v>
      </c>
      <c r="G25178">
        <v>230214</v>
      </c>
      <c r="H25178">
        <v>4500</v>
      </c>
      <c r="I25178" t="s">
        <v>212</v>
      </c>
      <c r="J25178">
        <v>90.6</v>
      </c>
      <c r="K25178">
        <v>17.54</v>
      </c>
      <c r="L25178">
        <v>54222</v>
      </c>
      <c r="M25178" t="s">
        <v>308</v>
      </c>
      <c r="N25178" t="str">
        <f>"5956347     "</f>
        <v xml:space="preserve">5956347     </v>
      </c>
      <c r="O25178">
        <v>230222</v>
      </c>
    </row>
    <row r="25179" spans="1:15" x14ac:dyDescent="0.25">
      <c r="A25179" t="s">
        <v>16</v>
      </c>
      <c r="B25179" t="s">
        <v>3221</v>
      </c>
      <c r="C25179">
        <v>2230</v>
      </c>
      <c r="D25179" t="s">
        <v>323</v>
      </c>
      <c r="E25179" t="s">
        <v>324</v>
      </c>
      <c r="F25179">
        <v>80.36</v>
      </c>
      <c r="G25179">
        <v>230214</v>
      </c>
      <c r="H25179">
        <v>4500</v>
      </c>
      <c r="I25179" t="s">
        <v>212</v>
      </c>
      <c r="J25179">
        <v>99.65</v>
      </c>
      <c r="K25179">
        <v>19.29</v>
      </c>
      <c r="L25179">
        <v>59113</v>
      </c>
      <c r="M25179" t="s">
        <v>235</v>
      </c>
      <c r="N25179" t="str">
        <f>"5956347     "</f>
        <v xml:space="preserve">5956347     </v>
      </c>
      <c r="O25179">
        <v>230222</v>
      </c>
    </row>
    <row r="25180" spans="1:15" x14ac:dyDescent="0.25">
      <c r="A25180" t="s">
        <v>16</v>
      </c>
      <c r="B25180" t="s">
        <v>3221</v>
      </c>
      <c r="C25180">
        <v>2230</v>
      </c>
      <c r="D25180" t="s">
        <v>323</v>
      </c>
      <c r="E25180" t="s">
        <v>324</v>
      </c>
      <c r="F25180">
        <v>20.88</v>
      </c>
      <c r="G25180">
        <v>230214</v>
      </c>
      <c r="H25180">
        <v>4500</v>
      </c>
      <c r="I25180" t="s">
        <v>212</v>
      </c>
      <c r="J25180">
        <v>25.89</v>
      </c>
      <c r="K25180">
        <v>5.01</v>
      </c>
      <c r="L25180">
        <v>59702</v>
      </c>
      <c r="M25180" t="s">
        <v>328</v>
      </c>
      <c r="N25180" t="str">
        <f>"5956347     "</f>
        <v xml:space="preserve">5956347     </v>
      </c>
      <c r="O25180">
        <v>230222</v>
      </c>
    </row>
    <row r="25181" spans="1:15" x14ac:dyDescent="0.25">
      <c r="A25181" t="s">
        <v>16</v>
      </c>
      <c r="B25181" t="s">
        <v>3221</v>
      </c>
      <c r="C25181">
        <v>2230</v>
      </c>
      <c r="D25181" t="s">
        <v>323</v>
      </c>
      <c r="E25181" t="s">
        <v>324</v>
      </c>
      <c r="F25181">
        <v>27.58</v>
      </c>
      <c r="G25181">
        <v>230214</v>
      </c>
      <c r="H25181">
        <v>4500</v>
      </c>
      <c r="I25181" t="s">
        <v>212</v>
      </c>
      <c r="J25181">
        <v>34.200000000000003</v>
      </c>
      <c r="K25181">
        <v>6.62</v>
      </c>
      <c r="L25181">
        <v>59704</v>
      </c>
      <c r="M25181" t="s">
        <v>1103</v>
      </c>
      <c r="N25181" t="str">
        <f>"5956347     "</f>
        <v xml:space="preserve">5956347     </v>
      </c>
      <c r="O25181">
        <v>230222</v>
      </c>
    </row>
    <row r="25182" spans="1:15" x14ac:dyDescent="0.25">
      <c r="A25182" t="s">
        <v>16</v>
      </c>
      <c r="B25182" t="s">
        <v>3221</v>
      </c>
      <c r="C25182">
        <v>2238</v>
      </c>
      <c r="D25182" t="s">
        <v>323</v>
      </c>
      <c r="E25182" t="s">
        <v>324</v>
      </c>
      <c r="F25182">
        <v>15.15</v>
      </c>
      <c r="G25182">
        <v>230216</v>
      </c>
      <c r="H25182">
        <v>4500</v>
      </c>
      <c r="I25182" t="s">
        <v>212</v>
      </c>
      <c r="J25182">
        <v>18.79</v>
      </c>
      <c r="K25182">
        <v>3.64</v>
      </c>
      <c r="L25182">
        <v>18972</v>
      </c>
      <c r="M25182" t="s">
        <v>163</v>
      </c>
      <c r="N25182" t="str">
        <f>"5956830     "</f>
        <v xml:space="preserve">5956830     </v>
      </c>
      <c r="O25182">
        <v>230222</v>
      </c>
    </row>
    <row r="25183" spans="1:15" x14ac:dyDescent="0.25">
      <c r="A25183" t="s">
        <v>16</v>
      </c>
      <c r="B25183" t="s">
        <v>3221</v>
      </c>
      <c r="C25183">
        <v>2253</v>
      </c>
      <c r="D25183" t="s">
        <v>323</v>
      </c>
      <c r="E25183" t="s">
        <v>324</v>
      </c>
      <c r="F25183">
        <v>23.21</v>
      </c>
      <c r="G25183">
        <v>230127</v>
      </c>
      <c r="H25183">
        <v>4500</v>
      </c>
      <c r="I25183" t="s">
        <v>212</v>
      </c>
      <c r="J25183">
        <v>28.78</v>
      </c>
      <c r="K25183">
        <v>5.57</v>
      </c>
      <c r="L25183">
        <v>14121</v>
      </c>
      <c r="M25183" t="s">
        <v>880</v>
      </c>
      <c r="N25183" t="str">
        <f t="shared" ref="N25183:N25190" si="484">"5951597     "</f>
        <v xml:space="preserve">5951597     </v>
      </c>
      <c r="O25183">
        <v>230223</v>
      </c>
    </row>
    <row r="25184" spans="1:15" x14ac:dyDescent="0.25">
      <c r="A25184" t="s">
        <v>16</v>
      </c>
      <c r="B25184" t="s">
        <v>3221</v>
      </c>
      <c r="C25184">
        <v>2253</v>
      </c>
      <c r="D25184" t="s">
        <v>323</v>
      </c>
      <c r="E25184" t="s">
        <v>324</v>
      </c>
      <c r="F25184">
        <v>21.48</v>
      </c>
      <c r="G25184">
        <v>230127</v>
      </c>
      <c r="H25184">
        <v>4500</v>
      </c>
      <c r="I25184" t="s">
        <v>212</v>
      </c>
      <c r="J25184">
        <v>26.64</v>
      </c>
      <c r="K25184">
        <v>5.16</v>
      </c>
      <c r="L25184">
        <v>14321</v>
      </c>
      <c r="M25184" t="s">
        <v>717</v>
      </c>
      <c r="N25184" t="str">
        <f t="shared" si="484"/>
        <v xml:space="preserve">5951597     </v>
      </c>
      <c r="O25184">
        <v>230223</v>
      </c>
    </row>
    <row r="25185" spans="1:15" x14ac:dyDescent="0.25">
      <c r="A25185" t="s">
        <v>16</v>
      </c>
      <c r="B25185" t="s">
        <v>3221</v>
      </c>
      <c r="C25185">
        <v>2253</v>
      </c>
      <c r="D25185" t="s">
        <v>323</v>
      </c>
      <c r="E25185" t="s">
        <v>324</v>
      </c>
      <c r="F25185">
        <v>9.2799999999999994</v>
      </c>
      <c r="G25185">
        <v>230127</v>
      </c>
      <c r="H25185">
        <v>4500</v>
      </c>
      <c r="I25185" t="s">
        <v>212</v>
      </c>
      <c r="J25185">
        <v>11.51</v>
      </c>
      <c r="K25185">
        <v>2.23</v>
      </c>
      <c r="L25185">
        <v>14422</v>
      </c>
      <c r="M25185" t="s">
        <v>228</v>
      </c>
      <c r="N25185" t="str">
        <f t="shared" si="484"/>
        <v xml:space="preserve">5951597     </v>
      </c>
      <c r="O25185">
        <v>230223</v>
      </c>
    </row>
    <row r="25186" spans="1:15" x14ac:dyDescent="0.25">
      <c r="A25186" t="s">
        <v>16</v>
      </c>
      <c r="B25186" t="s">
        <v>3221</v>
      </c>
      <c r="C25186">
        <v>2253</v>
      </c>
      <c r="D25186" t="s">
        <v>323</v>
      </c>
      <c r="E25186" t="s">
        <v>324</v>
      </c>
      <c r="F25186">
        <v>67.349999999999994</v>
      </c>
      <c r="G25186">
        <v>230127</v>
      </c>
      <c r="H25186">
        <v>4500</v>
      </c>
      <c r="I25186" t="s">
        <v>212</v>
      </c>
      <c r="J25186">
        <v>83.51</v>
      </c>
      <c r="K25186">
        <v>16.16</v>
      </c>
      <c r="L25186">
        <v>14432</v>
      </c>
      <c r="M25186" t="s">
        <v>862</v>
      </c>
      <c r="N25186" t="str">
        <f t="shared" si="484"/>
        <v xml:space="preserve">5951597     </v>
      </c>
      <c r="O25186">
        <v>230223</v>
      </c>
    </row>
    <row r="25187" spans="1:15" x14ac:dyDescent="0.25">
      <c r="A25187" t="s">
        <v>16</v>
      </c>
      <c r="B25187" t="s">
        <v>3221</v>
      </c>
      <c r="C25187">
        <v>2253</v>
      </c>
      <c r="D25187" t="s">
        <v>323</v>
      </c>
      <c r="E25187" t="s">
        <v>324</v>
      </c>
      <c r="F25187">
        <v>9.86</v>
      </c>
      <c r="G25187">
        <v>230127</v>
      </c>
      <c r="H25187">
        <v>4500</v>
      </c>
      <c r="I25187" t="s">
        <v>212</v>
      </c>
      <c r="J25187">
        <v>12.23</v>
      </c>
      <c r="K25187">
        <v>2.37</v>
      </c>
      <c r="L25187">
        <v>14541</v>
      </c>
      <c r="M25187" t="s">
        <v>626</v>
      </c>
      <c r="N25187" t="str">
        <f t="shared" si="484"/>
        <v xml:space="preserve">5951597     </v>
      </c>
      <c r="O25187">
        <v>230223</v>
      </c>
    </row>
    <row r="25188" spans="1:15" x14ac:dyDescent="0.25">
      <c r="A25188" t="s">
        <v>16</v>
      </c>
      <c r="B25188" t="s">
        <v>3221</v>
      </c>
      <c r="C25188">
        <v>2253</v>
      </c>
      <c r="D25188" t="s">
        <v>323</v>
      </c>
      <c r="E25188" t="s">
        <v>324</v>
      </c>
      <c r="F25188">
        <v>1.94</v>
      </c>
      <c r="G25188">
        <v>230127</v>
      </c>
      <c r="H25188">
        <v>4500</v>
      </c>
      <c r="I25188" t="s">
        <v>212</v>
      </c>
      <c r="J25188">
        <v>2.41</v>
      </c>
      <c r="K25188">
        <v>0.47</v>
      </c>
      <c r="L25188">
        <v>14622</v>
      </c>
      <c r="M25188" t="s">
        <v>1005</v>
      </c>
      <c r="N25188" t="str">
        <f t="shared" si="484"/>
        <v xml:space="preserve">5951597     </v>
      </c>
      <c r="O25188">
        <v>230223</v>
      </c>
    </row>
    <row r="25189" spans="1:15" x14ac:dyDescent="0.25">
      <c r="A25189" t="s">
        <v>16</v>
      </c>
      <c r="B25189" t="s">
        <v>3221</v>
      </c>
      <c r="C25189">
        <v>2253</v>
      </c>
      <c r="D25189" t="s">
        <v>323</v>
      </c>
      <c r="E25189" t="s">
        <v>324</v>
      </c>
      <c r="F25189">
        <v>8.6999999999999993</v>
      </c>
      <c r="G25189">
        <v>230127</v>
      </c>
      <c r="H25189">
        <v>4500</v>
      </c>
      <c r="I25189" t="s">
        <v>212</v>
      </c>
      <c r="J25189">
        <v>10.79</v>
      </c>
      <c r="K25189">
        <v>2.09</v>
      </c>
      <c r="L25189">
        <v>14640</v>
      </c>
      <c r="M25189" t="s">
        <v>229</v>
      </c>
      <c r="N25189" t="str">
        <f t="shared" si="484"/>
        <v xml:space="preserve">5951597     </v>
      </c>
      <c r="O25189">
        <v>230223</v>
      </c>
    </row>
    <row r="25190" spans="1:15" x14ac:dyDescent="0.25">
      <c r="A25190" t="s">
        <v>16</v>
      </c>
      <c r="B25190" t="s">
        <v>3221</v>
      </c>
      <c r="C25190">
        <v>2253</v>
      </c>
      <c r="D25190" t="s">
        <v>323</v>
      </c>
      <c r="E25190" t="s">
        <v>324</v>
      </c>
      <c r="F25190">
        <v>54.1</v>
      </c>
      <c r="G25190">
        <v>230127</v>
      </c>
      <c r="H25190">
        <v>4500</v>
      </c>
      <c r="I25190" t="s">
        <v>212</v>
      </c>
      <c r="J25190">
        <v>67.08</v>
      </c>
      <c r="K25190">
        <v>12.98</v>
      </c>
      <c r="L25190">
        <v>14861</v>
      </c>
      <c r="M25190" t="s">
        <v>785</v>
      </c>
      <c r="N25190" t="str">
        <f t="shared" si="484"/>
        <v xml:space="preserve">5951597     </v>
      </c>
      <c r="O25190">
        <v>230223</v>
      </c>
    </row>
    <row r="25191" spans="1:15" x14ac:dyDescent="0.25">
      <c r="A25191" t="s">
        <v>16</v>
      </c>
      <c r="B25191" t="s">
        <v>3221</v>
      </c>
      <c r="C25191">
        <v>2429</v>
      </c>
      <c r="D25191" t="s">
        <v>323</v>
      </c>
      <c r="E25191" t="s">
        <v>324</v>
      </c>
      <c r="F25191">
        <v>8.1</v>
      </c>
      <c r="G25191">
        <v>230214</v>
      </c>
      <c r="H25191">
        <v>4500</v>
      </c>
      <c r="I25191" t="s">
        <v>212</v>
      </c>
      <c r="J25191">
        <v>10.039999999999999</v>
      </c>
      <c r="K25191">
        <v>1.94</v>
      </c>
      <c r="L25191">
        <v>69113</v>
      </c>
      <c r="M25191" t="s">
        <v>282</v>
      </c>
      <c r="N25191" t="str">
        <f>"5956345     "</f>
        <v xml:space="preserve">5956345     </v>
      </c>
      <c r="O25191">
        <v>230227</v>
      </c>
    </row>
    <row r="25192" spans="1:15" x14ac:dyDescent="0.25">
      <c r="A25192" t="s">
        <v>16</v>
      </c>
      <c r="B25192" t="s">
        <v>3221</v>
      </c>
      <c r="C25192">
        <v>2429</v>
      </c>
      <c r="D25192" t="s">
        <v>323</v>
      </c>
      <c r="E25192" t="s">
        <v>324</v>
      </c>
      <c r="F25192">
        <v>111.66</v>
      </c>
      <c r="G25192">
        <v>230214</v>
      </c>
      <c r="H25192">
        <v>4500</v>
      </c>
      <c r="I25192" t="s">
        <v>212</v>
      </c>
      <c r="J25192">
        <v>138.46</v>
      </c>
      <c r="K25192">
        <v>26.8</v>
      </c>
      <c r="L25192">
        <v>69702</v>
      </c>
      <c r="M25192" t="s">
        <v>489</v>
      </c>
      <c r="N25192" t="str">
        <f>"5956345     "</f>
        <v xml:space="preserve">5956345     </v>
      </c>
      <c r="O25192">
        <v>230227</v>
      </c>
    </row>
    <row r="25193" spans="1:15" x14ac:dyDescent="0.25">
      <c r="A25193" t="s">
        <v>16</v>
      </c>
      <c r="B25193" t="s">
        <v>3221</v>
      </c>
      <c r="C25193">
        <v>2448</v>
      </c>
      <c r="D25193" t="s">
        <v>323</v>
      </c>
      <c r="E25193" t="s">
        <v>324</v>
      </c>
      <c r="F25193">
        <v>1.28</v>
      </c>
      <c r="G25193">
        <v>230202</v>
      </c>
      <c r="H25193">
        <v>4500</v>
      </c>
      <c r="I25193" t="s">
        <v>212</v>
      </c>
      <c r="J25193">
        <v>1.59</v>
      </c>
      <c r="K25193">
        <v>0.31</v>
      </c>
      <c r="L25193">
        <v>14972</v>
      </c>
      <c r="M25193" t="s">
        <v>898</v>
      </c>
      <c r="N25193" t="str">
        <f>"5954430     "</f>
        <v xml:space="preserve">5954430     </v>
      </c>
      <c r="O25193">
        <v>230228</v>
      </c>
    </row>
    <row r="25194" spans="1:15" x14ac:dyDescent="0.25">
      <c r="A25194" t="s">
        <v>16</v>
      </c>
      <c r="B25194" t="s">
        <v>3221</v>
      </c>
      <c r="C25194">
        <v>2476</v>
      </c>
      <c r="D25194" t="s">
        <v>323</v>
      </c>
      <c r="E25194" t="s">
        <v>324</v>
      </c>
      <c r="F25194">
        <v>0.64</v>
      </c>
      <c r="G25194">
        <v>230206</v>
      </c>
      <c r="H25194">
        <v>4500</v>
      </c>
      <c r="I25194" t="s">
        <v>212</v>
      </c>
      <c r="J25194">
        <v>0.79</v>
      </c>
      <c r="K25194">
        <v>0.15</v>
      </c>
      <c r="L25194">
        <v>14972</v>
      </c>
      <c r="M25194" t="s">
        <v>898</v>
      </c>
      <c r="N25194" t="str">
        <f>"5954879     "</f>
        <v xml:space="preserve">5954879     </v>
      </c>
      <c r="O25194">
        <v>230228</v>
      </c>
    </row>
    <row r="25195" spans="1:15" x14ac:dyDescent="0.25">
      <c r="A25195" t="s">
        <v>16</v>
      </c>
      <c r="B25195" t="s">
        <v>3221</v>
      </c>
      <c r="C25195">
        <v>2633</v>
      </c>
      <c r="D25195" t="s">
        <v>323</v>
      </c>
      <c r="E25195" t="s">
        <v>324</v>
      </c>
      <c r="F25195">
        <v>2.14</v>
      </c>
      <c r="G25195">
        <v>230223</v>
      </c>
      <c r="H25195">
        <v>4500</v>
      </c>
      <c r="I25195" t="s">
        <v>212</v>
      </c>
      <c r="J25195">
        <v>2.65</v>
      </c>
      <c r="K25195">
        <v>0.51</v>
      </c>
      <c r="L25195">
        <v>11901</v>
      </c>
      <c r="M25195" t="s">
        <v>36</v>
      </c>
      <c r="N25195" t="str">
        <f t="shared" ref="N25195:N25204" si="485">"5957894     "</f>
        <v xml:space="preserve">5957894     </v>
      </c>
      <c r="O25195">
        <v>230303</v>
      </c>
    </row>
    <row r="25196" spans="1:15" x14ac:dyDescent="0.25">
      <c r="A25196" t="s">
        <v>16</v>
      </c>
      <c r="B25196" t="s">
        <v>3221</v>
      </c>
      <c r="C25196">
        <v>2633</v>
      </c>
      <c r="D25196" t="s">
        <v>323</v>
      </c>
      <c r="E25196" t="s">
        <v>324</v>
      </c>
      <c r="F25196">
        <v>33.880000000000003</v>
      </c>
      <c r="G25196">
        <v>230223</v>
      </c>
      <c r="H25196">
        <v>4500</v>
      </c>
      <c r="I25196" t="s">
        <v>212</v>
      </c>
      <c r="J25196">
        <v>42.01</v>
      </c>
      <c r="K25196">
        <v>8.1300000000000008</v>
      </c>
      <c r="L25196">
        <v>14121</v>
      </c>
      <c r="M25196" t="s">
        <v>880</v>
      </c>
      <c r="N25196" t="str">
        <f t="shared" si="485"/>
        <v xml:space="preserve">5957894     </v>
      </c>
      <c r="O25196">
        <v>230303</v>
      </c>
    </row>
    <row r="25197" spans="1:15" x14ac:dyDescent="0.25">
      <c r="A25197" t="s">
        <v>16</v>
      </c>
      <c r="B25197" t="s">
        <v>3221</v>
      </c>
      <c r="C25197">
        <v>2633</v>
      </c>
      <c r="D25197" t="s">
        <v>323</v>
      </c>
      <c r="E25197" t="s">
        <v>324</v>
      </c>
      <c r="F25197">
        <v>20</v>
      </c>
      <c r="G25197">
        <v>230223</v>
      </c>
      <c r="H25197">
        <v>4500</v>
      </c>
      <c r="I25197" t="s">
        <v>212</v>
      </c>
      <c r="J25197">
        <v>24.8</v>
      </c>
      <c r="K25197">
        <v>4.8</v>
      </c>
      <c r="L25197">
        <v>14321</v>
      </c>
      <c r="M25197" t="s">
        <v>717</v>
      </c>
      <c r="N25197" t="str">
        <f t="shared" si="485"/>
        <v xml:space="preserve">5957894     </v>
      </c>
      <c r="O25197">
        <v>230303</v>
      </c>
    </row>
    <row r="25198" spans="1:15" x14ac:dyDescent="0.25">
      <c r="A25198" t="s">
        <v>16</v>
      </c>
      <c r="B25198" t="s">
        <v>3221</v>
      </c>
      <c r="C25198">
        <v>2633</v>
      </c>
      <c r="D25198" t="s">
        <v>323</v>
      </c>
      <c r="E25198" t="s">
        <v>324</v>
      </c>
      <c r="F25198">
        <v>13.86</v>
      </c>
      <c r="G25198">
        <v>230223</v>
      </c>
      <c r="H25198">
        <v>4500</v>
      </c>
      <c r="I25198" t="s">
        <v>212</v>
      </c>
      <c r="J25198">
        <v>17.190000000000001</v>
      </c>
      <c r="K25198">
        <v>3.33</v>
      </c>
      <c r="L25198">
        <v>14422</v>
      </c>
      <c r="M25198" t="s">
        <v>228</v>
      </c>
      <c r="N25198" t="str">
        <f t="shared" si="485"/>
        <v xml:space="preserve">5957894     </v>
      </c>
      <c r="O25198">
        <v>230303</v>
      </c>
    </row>
    <row r="25199" spans="1:15" x14ac:dyDescent="0.25">
      <c r="A25199" t="s">
        <v>16</v>
      </c>
      <c r="B25199" t="s">
        <v>3221</v>
      </c>
      <c r="C25199">
        <v>2633</v>
      </c>
      <c r="D25199" t="s">
        <v>323</v>
      </c>
      <c r="E25199" t="s">
        <v>324</v>
      </c>
      <c r="F25199">
        <v>13.86</v>
      </c>
      <c r="G25199">
        <v>230223</v>
      </c>
      <c r="H25199">
        <v>4500</v>
      </c>
      <c r="I25199" t="s">
        <v>212</v>
      </c>
      <c r="J25199">
        <v>17.190000000000001</v>
      </c>
      <c r="K25199">
        <v>3.33</v>
      </c>
      <c r="L25199">
        <v>14541</v>
      </c>
      <c r="M25199" t="s">
        <v>626</v>
      </c>
      <c r="N25199" t="str">
        <f t="shared" si="485"/>
        <v xml:space="preserve">5957894     </v>
      </c>
      <c r="O25199">
        <v>230303</v>
      </c>
    </row>
    <row r="25200" spans="1:15" x14ac:dyDescent="0.25">
      <c r="A25200" t="s">
        <v>16</v>
      </c>
      <c r="B25200" t="s">
        <v>3221</v>
      </c>
      <c r="C25200">
        <v>2633</v>
      </c>
      <c r="D25200" t="s">
        <v>323</v>
      </c>
      <c r="E25200" t="s">
        <v>324</v>
      </c>
      <c r="F25200">
        <v>49.27</v>
      </c>
      <c r="G25200">
        <v>230223</v>
      </c>
      <c r="H25200">
        <v>4500</v>
      </c>
      <c r="I25200" t="s">
        <v>212</v>
      </c>
      <c r="J25200">
        <v>61.1</v>
      </c>
      <c r="K25200">
        <v>11.83</v>
      </c>
      <c r="L25200">
        <v>14622</v>
      </c>
      <c r="M25200" t="s">
        <v>1005</v>
      </c>
      <c r="N25200" t="str">
        <f t="shared" si="485"/>
        <v xml:space="preserve">5957894     </v>
      </c>
      <c r="O25200">
        <v>230303</v>
      </c>
    </row>
    <row r="25201" spans="1:15" x14ac:dyDescent="0.25">
      <c r="A25201" t="s">
        <v>16</v>
      </c>
      <c r="B25201" t="s">
        <v>3221</v>
      </c>
      <c r="C25201">
        <v>2633</v>
      </c>
      <c r="D25201" t="s">
        <v>323</v>
      </c>
      <c r="E25201" t="s">
        <v>324</v>
      </c>
      <c r="F25201">
        <v>12.32</v>
      </c>
      <c r="G25201">
        <v>230223</v>
      </c>
      <c r="H25201">
        <v>4500</v>
      </c>
      <c r="I25201" t="s">
        <v>212</v>
      </c>
      <c r="J25201">
        <v>15.28</v>
      </c>
      <c r="K25201">
        <v>2.96</v>
      </c>
      <c r="L25201">
        <v>14640</v>
      </c>
      <c r="M25201" t="s">
        <v>229</v>
      </c>
      <c r="N25201" t="str">
        <f t="shared" si="485"/>
        <v xml:space="preserve">5957894     </v>
      </c>
      <c r="O25201">
        <v>230303</v>
      </c>
    </row>
    <row r="25202" spans="1:15" x14ac:dyDescent="0.25">
      <c r="A25202" t="s">
        <v>16</v>
      </c>
      <c r="B25202" t="s">
        <v>3221</v>
      </c>
      <c r="C25202">
        <v>2633</v>
      </c>
      <c r="D25202" t="s">
        <v>323</v>
      </c>
      <c r="E25202" t="s">
        <v>324</v>
      </c>
      <c r="F25202">
        <v>43.71</v>
      </c>
      <c r="G25202">
        <v>230223</v>
      </c>
      <c r="H25202">
        <v>4500</v>
      </c>
      <c r="I25202" t="s">
        <v>212</v>
      </c>
      <c r="J25202">
        <v>54.2</v>
      </c>
      <c r="K25202">
        <v>10.49</v>
      </c>
      <c r="L25202">
        <v>14640</v>
      </c>
      <c r="M25202" t="s">
        <v>229</v>
      </c>
      <c r="N25202" t="str">
        <f t="shared" si="485"/>
        <v xml:space="preserve">5957894     </v>
      </c>
      <c r="O25202">
        <v>230303</v>
      </c>
    </row>
    <row r="25203" spans="1:15" x14ac:dyDescent="0.25">
      <c r="A25203" t="s">
        <v>16</v>
      </c>
      <c r="B25203" t="s">
        <v>3221</v>
      </c>
      <c r="C25203">
        <v>2633</v>
      </c>
      <c r="D25203" t="s">
        <v>323</v>
      </c>
      <c r="E25203" t="s">
        <v>324</v>
      </c>
      <c r="F25203">
        <v>10.78</v>
      </c>
      <c r="G25203">
        <v>230223</v>
      </c>
      <c r="H25203">
        <v>4500</v>
      </c>
      <c r="I25203" t="s">
        <v>212</v>
      </c>
      <c r="J25203">
        <v>13.37</v>
      </c>
      <c r="K25203">
        <v>2.59</v>
      </c>
      <c r="L25203">
        <v>14861</v>
      </c>
      <c r="M25203" t="s">
        <v>785</v>
      </c>
      <c r="N25203" t="str">
        <f t="shared" si="485"/>
        <v xml:space="preserve">5957894     </v>
      </c>
      <c r="O25203">
        <v>230303</v>
      </c>
    </row>
    <row r="25204" spans="1:15" x14ac:dyDescent="0.25">
      <c r="A25204" t="s">
        <v>16</v>
      </c>
      <c r="B25204" t="s">
        <v>3221</v>
      </c>
      <c r="C25204">
        <v>2633</v>
      </c>
      <c r="D25204" t="s">
        <v>323</v>
      </c>
      <c r="E25204" t="s">
        <v>324</v>
      </c>
      <c r="F25204">
        <v>169.8</v>
      </c>
      <c r="G25204">
        <v>230223</v>
      </c>
      <c r="H25204">
        <v>4500</v>
      </c>
      <c r="I25204" t="s">
        <v>212</v>
      </c>
      <c r="J25204">
        <v>210.55</v>
      </c>
      <c r="K25204">
        <v>40.75</v>
      </c>
      <c r="L25204">
        <v>18972</v>
      </c>
      <c r="M25204" t="s">
        <v>163</v>
      </c>
      <c r="N25204" t="str">
        <f t="shared" si="485"/>
        <v xml:space="preserve">5957894     </v>
      </c>
      <c r="O25204">
        <v>230303</v>
      </c>
    </row>
    <row r="25205" spans="1:15" x14ac:dyDescent="0.25">
      <c r="A25205" t="s">
        <v>16</v>
      </c>
      <c r="B25205" t="s">
        <v>3221</v>
      </c>
      <c r="C25205">
        <v>2825</v>
      </c>
      <c r="D25205" t="s">
        <v>323</v>
      </c>
      <c r="E25205" t="s">
        <v>324</v>
      </c>
      <c r="F25205">
        <v>54.96</v>
      </c>
      <c r="G25205">
        <v>230215</v>
      </c>
      <c r="H25205">
        <v>4500</v>
      </c>
      <c r="I25205" t="s">
        <v>212</v>
      </c>
      <c r="J25205">
        <v>68.150000000000006</v>
      </c>
      <c r="K25205">
        <v>13.19</v>
      </c>
      <c r="L25205">
        <v>11101</v>
      </c>
      <c r="M25205" t="s">
        <v>110</v>
      </c>
      <c r="N25205" t="str">
        <f>"5956621     "</f>
        <v xml:space="preserve">5956621     </v>
      </c>
      <c r="O25205">
        <v>230307</v>
      </c>
    </row>
    <row r="25206" spans="1:15" x14ac:dyDescent="0.25">
      <c r="A25206" t="s">
        <v>16</v>
      </c>
      <c r="B25206" t="s">
        <v>3221</v>
      </c>
      <c r="C25206">
        <v>2825</v>
      </c>
      <c r="D25206" t="s">
        <v>323</v>
      </c>
      <c r="E25206" t="s">
        <v>324</v>
      </c>
      <c r="F25206">
        <v>175.19</v>
      </c>
      <c r="G25206">
        <v>230215</v>
      </c>
      <c r="H25206">
        <v>4500</v>
      </c>
      <c r="I25206" t="s">
        <v>212</v>
      </c>
      <c r="J25206">
        <v>217.24</v>
      </c>
      <c r="K25206">
        <v>42.05</v>
      </c>
      <c r="L25206">
        <v>49702</v>
      </c>
      <c r="M25206" t="s">
        <v>584</v>
      </c>
      <c r="N25206" t="str">
        <f>"5956621     "</f>
        <v xml:space="preserve">5956621     </v>
      </c>
      <c r="O25206">
        <v>230307</v>
      </c>
    </row>
    <row r="25207" spans="1:15" x14ac:dyDescent="0.25">
      <c r="A25207" t="s">
        <v>16</v>
      </c>
      <c r="B25207" t="s">
        <v>3221</v>
      </c>
      <c r="C25207">
        <v>2825</v>
      </c>
      <c r="D25207" t="s">
        <v>323</v>
      </c>
      <c r="E25207" t="s">
        <v>324</v>
      </c>
      <c r="F25207">
        <v>106.81</v>
      </c>
      <c r="G25207">
        <v>230215</v>
      </c>
      <c r="H25207">
        <v>4500</v>
      </c>
      <c r="I25207" t="s">
        <v>212</v>
      </c>
      <c r="J25207">
        <v>132.44</v>
      </c>
      <c r="K25207">
        <v>25.63</v>
      </c>
      <c r="L25207">
        <v>49704</v>
      </c>
      <c r="M25207" t="s">
        <v>1065</v>
      </c>
      <c r="N25207" t="str">
        <f>"5956621     "</f>
        <v xml:space="preserve">5956621     </v>
      </c>
      <c r="O25207">
        <v>230307</v>
      </c>
    </row>
    <row r="25208" spans="1:15" x14ac:dyDescent="0.25">
      <c r="A25208" t="s">
        <v>16</v>
      </c>
      <c r="B25208" t="s">
        <v>3221</v>
      </c>
      <c r="C25208">
        <v>3252</v>
      </c>
      <c r="D25208" t="s">
        <v>323</v>
      </c>
      <c r="E25208" t="s">
        <v>324</v>
      </c>
      <c r="F25208">
        <v>146.5</v>
      </c>
      <c r="G25208">
        <v>230307</v>
      </c>
      <c r="H25208">
        <v>4500</v>
      </c>
      <c r="I25208" t="s">
        <v>212</v>
      </c>
      <c r="J25208">
        <v>181.66</v>
      </c>
      <c r="K25208">
        <v>35.159999999999997</v>
      </c>
      <c r="L25208">
        <v>17808</v>
      </c>
      <c r="M25208" t="s">
        <v>322</v>
      </c>
      <c r="N25208" t="str">
        <f>"5961114     "</f>
        <v xml:space="preserve">5961114     </v>
      </c>
      <c r="O25208">
        <v>230310</v>
      </c>
    </row>
    <row r="25209" spans="1:15" x14ac:dyDescent="0.25">
      <c r="A25209" t="s">
        <v>16</v>
      </c>
      <c r="B25209" t="s">
        <v>3221</v>
      </c>
      <c r="C25209">
        <v>3446</v>
      </c>
      <c r="D25209" t="s">
        <v>323</v>
      </c>
      <c r="E25209" t="s">
        <v>324</v>
      </c>
      <c r="F25209">
        <v>85.73</v>
      </c>
      <c r="G25209">
        <v>230313</v>
      </c>
      <c r="H25209">
        <v>4500</v>
      </c>
      <c r="I25209" t="s">
        <v>212</v>
      </c>
      <c r="J25209">
        <v>106.31</v>
      </c>
      <c r="K25209">
        <v>20.58</v>
      </c>
      <c r="L25209">
        <v>14121</v>
      </c>
      <c r="M25209" t="s">
        <v>880</v>
      </c>
      <c r="N25209" t="str">
        <f t="shared" ref="N25209:N25217" si="486">"5962040     "</f>
        <v xml:space="preserve">5962040     </v>
      </c>
      <c r="O25209">
        <v>230316</v>
      </c>
    </row>
    <row r="25210" spans="1:15" x14ac:dyDescent="0.25">
      <c r="A25210" t="s">
        <v>16</v>
      </c>
      <c r="B25210" t="s">
        <v>3221</v>
      </c>
      <c r="C25210">
        <v>3446</v>
      </c>
      <c r="D25210" t="s">
        <v>323</v>
      </c>
      <c r="E25210" t="s">
        <v>324</v>
      </c>
      <c r="F25210">
        <v>50.66</v>
      </c>
      <c r="G25210">
        <v>230313</v>
      </c>
      <c r="H25210">
        <v>4500</v>
      </c>
      <c r="I25210" t="s">
        <v>212</v>
      </c>
      <c r="J25210">
        <v>62.82</v>
      </c>
      <c r="K25210">
        <v>12.16</v>
      </c>
      <c r="L25210">
        <v>14321</v>
      </c>
      <c r="M25210" t="s">
        <v>717</v>
      </c>
      <c r="N25210" t="str">
        <f t="shared" si="486"/>
        <v xml:space="preserve">5962040     </v>
      </c>
      <c r="O25210">
        <v>230316</v>
      </c>
    </row>
    <row r="25211" spans="1:15" x14ac:dyDescent="0.25">
      <c r="A25211" t="s">
        <v>16</v>
      </c>
      <c r="B25211" t="s">
        <v>3221</v>
      </c>
      <c r="C25211">
        <v>3446</v>
      </c>
      <c r="D25211" t="s">
        <v>323</v>
      </c>
      <c r="E25211" t="s">
        <v>324</v>
      </c>
      <c r="F25211">
        <v>35.07</v>
      </c>
      <c r="G25211">
        <v>230313</v>
      </c>
      <c r="H25211">
        <v>4500</v>
      </c>
      <c r="I25211" t="s">
        <v>212</v>
      </c>
      <c r="J25211">
        <v>43.49</v>
      </c>
      <c r="K25211">
        <v>8.42</v>
      </c>
      <c r="L25211">
        <v>14422</v>
      </c>
      <c r="M25211" t="s">
        <v>228</v>
      </c>
      <c r="N25211" t="str">
        <f t="shared" si="486"/>
        <v xml:space="preserve">5962040     </v>
      </c>
      <c r="O25211">
        <v>230316</v>
      </c>
    </row>
    <row r="25212" spans="1:15" x14ac:dyDescent="0.25">
      <c r="A25212" t="s">
        <v>16</v>
      </c>
      <c r="B25212" t="s">
        <v>3221</v>
      </c>
      <c r="C25212">
        <v>3446</v>
      </c>
      <c r="D25212" t="s">
        <v>323</v>
      </c>
      <c r="E25212" t="s">
        <v>324</v>
      </c>
      <c r="F25212">
        <v>35.07</v>
      </c>
      <c r="G25212">
        <v>230313</v>
      </c>
      <c r="H25212">
        <v>4500</v>
      </c>
      <c r="I25212" t="s">
        <v>212</v>
      </c>
      <c r="J25212">
        <v>43.49</v>
      </c>
      <c r="K25212">
        <v>8.42</v>
      </c>
      <c r="L25212">
        <v>14541</v>
      </c>
      <c r="M25212" t="s">
        <v>626</v>
      </c>
      <c r="N25212" t="str">
        <f t="shared" si="486"/>
        <v xml:space="preserve">5962040     </v>
      </c>
      <c r="O25212">
        <v>230316</v>
      </c>
    </row>
    <row r="25213" spans="1:15" x14ac:dyDescent="0.25">
      <c r="A25213" t="s">
        <v>16</v>
      </c>
      <c r="B25213" t="s">
        <v>3221</v>
      </c>
      <c r="C25213">
        <v>3446</v>
      </c>
      <c r="D25213" t="s">
        <v>323</v>
      </c>
      <c r="E25213" t="s">
        <v>324</v>
      </c>
      <c r="F25213">
        <v>124.7</v>
      </c>
      <c r="G25213">
        <v>230313</v>
      </c>
      <c r="H25213">
        <v>4500</v>
      </c>
      <c r="I25213" t="s">
        <v>212</v>
      </c>
      <c r="J25213">
        <v>154.63</v>
      </c>
      <c r="K25213">
        <v>29.93</v>
      </c>
      <c r="L25213">
        <v>14622</v>
      </c>
      <c r="M25213" t="s">
        <v>1005</v>
      </c>
      <c r="N25213" t="str">
        <f t="shared" si="486"/>
        <v xml:space="preserve">5962040     </v>
      </c>
      <c r="O25213">
        <v>230316</v>
      </c>
    </row>
    <row r="25214" spans="1:15" x14ac:dyDescent="0.25">
      <c r="A25214" t="s">
        <v>16</v>
      </c>
      <c r="B25214" t="s">
        <v>3221</v>
      </c>
      <c r="C25214">
        <v>3446</v>
      </c>
      <c r="D25214" t="s">
        <v>323</v>
      </c>
      <c r="E25214" t="s">
        <v>324</v>
      </c>
      <c r="F25214">
        <v>31.18</v>
      </c>
      <c r="G25214">
        <v>230313</v>
      </c>
      <c r="H25214">
        <v>4500</v>
      </c>
      <c r="I25214" t="s">
        <v>212</v>
      </c>
      <c r="J25214">
        <v>38.659999999999997</v>
      </c>
      <c r="K25214">
        <v>7.48</v>
      </c>
      <c r="L25214">
        <v>14640</v>
      </c>
      <c r="M25214" t="s">
        <v>229</v>
      </c>
      <c r="N25214" t="str">
        <f t="shared" si="486"/>
        <v xml:space="preserve">5962040     </v>
      </c>
      <c r="O25214">
        <v>230316</v>
      </c>
    </row>
    <row r="25215" spans="1:15" x14ac:dyDescent="0.25">
      <c r="A25215" t="s">
        <v>16</v>
      </c>
      <c r="B25215" t="s">
        <v>3221</v>
      </c>
      <c r="C25215">
        <v>3446</v>
      </c>
      <c r="D25215" t="s">
        <v>323</v>
      </c>
      <c r="E25215" t="s">
        <v>324</v>
      </c>
      <c r="F25215">
        <v>27.28</v>
      </c>
      <c r="G25215">
        <v>230313</v>
      </c>
      <c r="H25215">
        <v>4500</v>
      </c>
      <c r="I25215" t="s">
        <v>212</v>
      </c>
      <c r="J25215">
        <v>33.83</v>
      </c>
      <c r="K25215">
        <v>6.55</v>
      </c>
      <c r="L25215">
        <v>14861</v>
      </c>
      <c r="M25215" t="s">
        <v>785</v>
      </c>
      <c r="N25215" t="str">
        <f t="shared" si="486"/>
        <v xml:space="preserve">5962040     </v>
      </c>
      <c r="O25215">
        <v>230316</v>
      </c>
    </row>
    <row r="25216" spans="1:15" x14ac:dyDescent="0.25">
      <c r="A25216" t="s">
        <v>16</v>
      </c>
      <c r="B25216" t="s">
        <v>3221</v>
      </c>
      <c r="C25216">
        <v>3446</v>
      </c>
      <c r="D25216" t="s">
        <v>323</v>
      </c>
      <c r="E25216" t="s">
        <v>324</v>
      </c>
      <c r="F25216">
        <v>39.01</v>
      </c>
      <c r="G25216">
        <v>230313</v>
      </c>
      <c r="H25216">
        <v>4500</v>
      </c>
      <c r="I25216" t="s">
        <v>212</v>
      </c>
      <c r="J25216">
        <v>48.37</v>
      </c>
      <c r="K25216">
        <v>9.36</v>
      </c>
      <c r="L25216">
        <v>14972</v>
      </c>
      <c r="M25216" t="s">
        <v>898</v>
      </c>
      <c r="N25216" t="str">
        <f t="shared" si="486"/>
        <v xml:space="preserve">5962040     </v>
      </c>
      <c r="O25216">
        <v>230316</v>
      </c>
    </row>
    <row r="25217" spans="1:15" x14ac:dyDescent="0.25">
      <c r="A25217" t="s">
        <v>16</v>
      </c>
      <c r="B25217" t="s">
        <v>3221</v>
      </c>
      <c r="C25217">
        <v>3446</v>
      </c>
      <c r="D25217" t="s">
        <v>323</v>
      </c>
      <c r="E25217" t="s">
        <v>324</v>
      </c>
      <c r="F25217">
        <v>43.3</v>
      </c>
      <c r="G25217">
        <v>230313</v>
      </c>
      <c r="H25217">
        <v>4500</v>
      </c>
      <c r="I25217" t="s">
        <v>212</v>
      </c>
      <c r="J25217">
        <v>53.69</v>
      </c>
      <c r="K25217">
        <v>10.39</v>
      </c>
      <c r="L25217">
        <v>14972</v>
      </c>
      <c r="M25217" t="s">
        <v>898</v>
      </c>
      <c r="N25217" t="str">
        <f t="shared" si="486"/>
        <v xml:space="preserve">5962040     </v>
      </c>
      <c r="O25217">
        <v>230316</v>
      </c>
    </row>
    <row r="25218" spans="1:15" x14ac:dyDescent="0.25">
      <c r="A25218" t="s">
        <v>16</v>
      </c>
      <c r="B25218" t="s">
        <v>3221</v>
      </c>
      <c r="C25218">
        <v>3470</v>
      </c>
      <c r="D25218" t="s">
        <v>323</v>
      </c>
      <c r="E25218" t="s">
        <v>324</v>
      </c>
      <c r="F25218">
        <v>52.26</v>
      </c>
      <c r="G25218">
        <v>230313</v>
      </c>
      <c r="H25218">
        <v>4500</v>
      </c>
      <c r="I25218" t="s">
        <v>212</v>
      </c>
      <c r="J25218">
        <v>64.8</v>
      </c>
      <c r="K25218">
        <v>12.54</v>
      </c>
      <c r="L25218">
        <v>41126</v>
      </c>
      <c r="M25218" t="s">
        <v>761</v>
      </c>
      <c r="N25218" t="str">
        <f>"5962039     "</f>
        <v xml:space="preserve">5962039     </v>
      </c>
      <c r="O25218">
        <v>230316</v>
      </c>
    </row>
    <row r="25219" spans="1:15" x14ac:dyDescent="0.25">
      <c r="A25219" t="s">
        <v>16</v>
      </c>
      <c r="B25219" t="s">
        <v>3221</v>
      </c>
      <c r="C25219">
        <v>3470</v>
      </c>
      <c r="D25219" t="s">
        <v>323</v>
      </c>
      <c r="E25219" t="s">
        <v>324</v>
      </c>
      <c r="F25219">
        <v>52.24</v>
      </c>
      <c r="G25219">
        <v>230313</v>
      </c>
      <c r="H25219">
        <v>4500</v>
      </c>
      <c r="I25219" t="s">
        <v>212</v>
      </c>
      <c r="J25219">
        <v>64.78</v>
      </c>
      <c r="K25219">
        <v>12.54</v>
      </c>
      <c r="L25219">
        <v>44222</v>
      </c>
      <c r="M25219" t="s">
        <v>232</v>
      </c>
      <c r="N25219" t="str">
        <f>"5962039     "</f>
        <v xml:space="preserve">5962039     </v>
      </c>
      <c r="O25219">
        <v>230316</v>
      </c>
    </row>
    <row r="25220" spans="1:15" x14ac:dyDescent="0.25">
      <c r="A25220" t="s">
        <v>16</v>
      </c>
      <c r="B25220" t="s">
        <v>3221</v>
      </c>
      <c r="C25220">
        <v>3470</v>
      </c>
      <c r="D25220" t="s">
        <v>323</v>
      </c>
      <c r="E25220" t="s">
        <v>324</v>
      </c>
      <c r="F25220">
        <v>52.25</v>
      </c>
      <c r="G25220">
        <v>230313</v>
      </c>
      <c r="H25220">
        <v>4500</v>
      </c>
      <c r="I25220" t="s">
        <v>212</v>
      </c>
      <c r="J25220">
        <v>64.790000000000006</v>
      </c>
      <c r="K25220">
        <v>12.54</v>
      </c>
      <c r="L25220">
        <v>46222</v>
      </c>
      <c r="M25220" t="s">
        <v>293</v>
      </c>
      <c r="N25220" t="str">
        <f>"5962039     "</f>
        <v xml:space="preserve">5962039     </v>
      </c>
      <c r="O25220">
        <v>230316</v>
      </c>
    </row>
    <row r="25221" spans="1:15" x14ac:dyDescent="0.25">
      <c r="A25221" t="s">
        <v>16</v>
      </c>
      <c r="B25221" t="s">
        <v>3221</v>
      </c>
      <c r="C25221">
        <v>3470</v>
      </c>
      <c r="D25221" t="s">
        <v>323</v>
      </c>
      <c r="E25221" t="s">
        <v>324</v>
      </c>
      <c r="F25221">
        <v>77.239999999999995</v>
      </c>
      <c r="G25221">
        <v>230313</v>
      </c>
      <c r="H25221">
        <v>4500</v>
      </c>
      <c r="I25221" t="s">
        <v>212</v>
      </c>
      <c r="J25221">
        <v>95.78</v>
      </c>
      <c r="K25221">
        <v>18.54</v>
      </c>
      <c r="L25221">
        <v>49702</v>
      </c>
      <c r="M25221" t="s">
        <v>584</v>
      </c>
      <c r="N25221" t="str">
        <f>"5962039     "</f>
        <v xml:space="preserve">5962039     </v>
      </c>
      <c r="O25221">
        <v>230316</v>
      </c>
    </row>
    <row r="25222" spans="1:15" x14ac:dyDescent="0.25">
      <c r="A25222" t="s">
        <v>16</v>
      </c>
      <c r="B25222" t="s">
        <v>3221</v>
      </c>
      <c r="C25222">
        <v>3574</v>
      </c>
      <c r="D25222" t="s">
        <v>323</v>
      </c>
      <c r="E25222" t="s">
        <v>324</v>
      </c>
      <c r="F25222">
        <v>8.4</v>
      </c>
      <c r="G25222">
        <v>230308</v>
      </c>
      <c r="H25222">
        <v>4500</v>
      </c>
      <c r="I25222" t="s">
        <v>212</v>
      </c>
      <c r="J25222">
        <v>10.42</v>
      </c>
      <c r="K25222">
        <v>2.02</v>
      </c>
      <c r="L25222">
        <v>17971</v>
      </c>
      <c r="M25222" t="s">
        <v>138</v>
      </c>
      <c r="N25222" t="str">
        <f>"5961351     "</f>
        <v xml:space="preserve">5961351     </v>
      </c>
      <c r="O25222">
        <v>230317</v>
      </c>
    </row>
    <row r="25223" spans="1:15" x14ac:dyDescent="0.25">
      <c r="A25223" t="s">
        <v>16</v>
      </c>
      <c r="B25223" t="s">
        <v>3221</v>
      </c>
      <c r="C25223">
        <v>3669</v>
      </c>
      <c r="D25223" t="s">
        <v>323</v>
      </c>
      <c r="E25223" t="s">
        <v>324</v>
      </c>
      <c r="F25223">
        <v>139.6</v>
      </c>
      <c r="G25223">
        <v>230315</v>
      </c>
      <c r="H25223">
        <v>4500</v>
      </c>
      <c r="I25223" t="s">
        <v>212</v>
      </c>
      <c r="J25223">
        <v>173.1</v>
      </c>
      <c r="K25223">
        <v>33.5</v>
      </c>
      <c r="L25223">
        <v>11101</v>
      </c>
      <c r="M25223" t="s">
        <v>110</v>
      </c>
      <c r="N25223" t="str">
        <f>"5962584     "</f>
        <v xml:space="preserve">5962584     </v>
      </c>
      <c r="O25223">
        <v>230321</v>
      </c>
    </row>
    <row r="25224" spans="1:15" x14ac:dyDescent="0.25">
      <c r="A25224" t="s">
        <v>16</v>
      </c>
      <c r="B25224" t="s">
        <v>3221</v>
      </c>
      <c r="C25224">
        <v>3669</v>
      </c>
      <c r="D25224" t="s">
        <v>323</v>
      </c>
      <c r="E25224" t="s">
        <v>324</v>
      </c>
      <c r="F25224">
        <v>2.36</v>
      </c>
      <c r="G25224">
        <v>230315</v>
      </c>
      <c r="H25224">
        <v>4500</v>
      </c>
      <c r="I25224" t="s">
        <v>212</v>
      </c>
      <c r="J25224">
        <v>2.93</v>
      </c>
      <c r="K25224">
        <v>0.56999999999999995</v>
      </c>
      <c r="L25224">
        <v>59702</v>
      </c>
      <c r="M25224" t="s">
        <v>328</v>
      </c>
      <c r="N25224" t="str">
        <f>"5962584     "</f>
        <v xml:space="preserve">5962584     </v>
      </c>
      <c r="O25224">
        <v>230321</v>
      </c>
    </row>
    <row r="25225" spans="1:15" x14ac:dyDescent="0.25">
      <c r="A25225" t="s">
        <v>16</v>
      </c>
      <c r="B25225" t="s">
        <v>3221</v>
      </c>
      <c r="C25225">
        <v>3780</v>
      </c>
      <c r="D25225" t="s">
        <v>323</v>
      </c>
      <c r="E25225" t="s">
        <v>324</v>
      </c>
      <c r="F25225">
        <v>132.4</v>
      </c>
      <c r="G25225">
        <v>230317</v>
      </c>
      <c r="H25225">
        <v>4500</v>
      </c>
      <c r="I25225" t="s">
        <v>212</v>
      </c>
      <c r="J25225">
        <v>164.18</v>
      </c>
      <c r="K25225">
        <v>31.78</v>
      </c>
      <c r="L25225">
        <v>69702</v>
      </c>
      <c r="M25225" t="s">
        <v>489</v>
      </c>
      <c r="N25225" t="str">
        <f>"5963035     "</f>
        <v xml:space="preserve">5963035     </v>
      </c>
      <c r="O25225">
        <v>230322</v>
      </c>
    </row>
    <row r="25226" spans="1:15" x14ac:dyDescent="0.25">
      <c r="A25226" t="s">
        <v>16</v>
      </c>
      <c r="B25226" t="s">
        <v>3221</v>
      </c>
      <c r="C25226">
        <v>3858</v>
      </c>
      <c r="D25226" t="s">
        <v>323</v>
      </c>
      <c r="E25226" t="s">
        <v>324</v>
      </c>
      <c r="F25226">
        <v>49.91</v>
      </c>
      <c r="G25226">
        <v>230314</v>
      </c>
      <c r="H25226">
        <v>4500</v>
      </c>
      <c r="I25226" t="s">
        <v>212</v>
      </c>
      <c r="J25226">
        <v>61.89</v>
      </c>
      <c r="K25226">
        <v>11.98</v>
      </c>
      <c r="L25226">
        <v>14972</v>
      </c>
      <c r="M25226" t="s">
        <v>898</v>
      </c>
      <c r="N25226" t="str">
        <f>"5962304     "</f>
        <v xml:space="preserve">5962304     </v>
      </c>
      <c r="O25226">
        <v>230323</v>
      </c>
    </row>
    <row r="25227" spans="1:15" x14ac:dyDescent="0.25">
      <c r="A25227" t="s">
        <v>16</v>
      </c>
      <c r="B25227" t="s">
        <v>3221</v>
      </c>
      <c r="C25227">
        <v>3971</v>
      </c>
      <c r="D25227" t="s">
        <v>323</v>
      </c>
      <c r="E25227" t="s">
        <v>324</v>
      </c>
      <c r="F25227">
        <v>99.41</v>
      </c>
      <c r="G25227">
        <v>230316</v>
      </c>
      <c r="H25227">
        <v>4500</v>
      </c>
      <c r="I25227" t="s">
        <v>212</v>
      </c>
      <c r="J25227">
        <v>123.27</v>
      </c>
      <c r="K25227">
        <v>23.86</v>
      </c>
      <c r="L25227">
        <v>41126</v>
      </c>
      <c r="M25227" t="s">
        <v>761</v>
      </c>
      <c r="N25227" t="str">
        <f>"5962791     "</f>
        <v xml:space="preserve">5962791     </v>
      </c>
      <c r="O25227">
        <v>230328</v>
      </c>
    </row>
    <row r="25228" spans="1:15" x14ac:dyDescent="0.25">
      <c r="A25228" t="s">
        <v>16</v>
      </c>
      <c r="B25228" t="s">
        <v>3221</v>
      </c>
      <c r="C25228">
        <v>3971</v>
      </c>
      <c r="D25228" t="s">
        <v>323</v>
      </c>
      <c r="E25228" t="s">
        <v>324</v>
      </c>
      <c r="F25228">
        <v>19.32</v>
      </c>
      <c r="G25228">
        <v>230316</v>
      </c>
      <c r="H25228">
        <v>4500</v>
      </c>
      <c r="I25228" t="s">
        <v>212</v>
      </c>
      <c r="J25228">
        <v>23.96</v>
      </c>
      <c r="K25228">
        <v>4.6399999999999997</v>
      </c>
      <c r="L25228">
        <v>46555</v>
      </c>
      <c r="M25228" t="s">
        <v>597</v>
      </c>
      <c r="N25228" t="str">
        <f>"5962791     "</f>
        <v xml:space="preserve">5962791     </v>
      </c>
      <c r="O25228">
        <v>230328</v>
      </c>
    </row>
    <row r="25229" spans="1:15" x14ac:dyDescent="0.25">
      <c r="A25229" t="s">
        <v>16</v>
      </c>
      <c r="B25229" t="s">
        <v>3221</v>
      </c>
      <c r="C25229">
        <v>3971</v>
      </c>
      <c r="D25229" t="s">
        <v>323</v>
      </c>
      <c r="E25229" t="s">
        <v>324</v>
      </c>
      <c r="F25229">
        <v>43.92</v>
      </c>
      <c r="G25229">
        <v>230316</v>
      </c>
      <c r="H25229">
        <v>4500</v>
      </c>
      <c r="I25229" t="s">
        <v>212</v>
      </c>
      <c r="J25229">
        <v>54.46</v>
      </c>
      <c r="K25229">
        <v>10.54</v>
      </c>
      <c r="L25229">
        <v>49702</v>
      </c>
      <c r="M25229" t="s">
        <v>584</v>
      </c>
      <c r="N25229" t="str">
        <f>"5962791     "</f>
        <v xml:space="preserve">5962791     </v>
      </c>
      <c r="O25229">
        <v>230328</v>
      </c>
    </row>
    <row r="25230" spans="1:15" x14ac:dyDescent="0.25">
      <c r="A25230" t="s">
        <v>16</v>
      </c>
      <c r="B25230" t="s">
        <v>3221</v>
      </c>
      <c r="C25230">
        <v>4143</v>
      </c>
      <c r="D25230" t="s">
        <v>323</v>
      </c>
      <c r="E25230" t="s">
        <v>324</v>
      </c>
      <c r="F25230">
        <v>36.25</v>
      </c>
      <c r="G25230">
        <v>230310</v>
      </c>
      <c r="H25230">
        <v>4500</v>
      </c>
      <c r="I25230" t="s">
        <v>212</v>
      </c>
      <c r="J25230">
        <v>44.95</v>
      </c>
      <c r="K25230">
        <v>8.6999999999999993</v>
      </c>
      <c r="L25230">
        <v>59702</v>
      </c>
      <c r="M25230" t="s">
        <v>328</v>
      </c>
      <c r="N25230" t="str">
        <f>"5961800     "</f>
        <v xml:space="preserve">5961800     </v>
      </c>
      <c r="O25230">
        <v>230330</v>
      </c>
    </row>
    <row r="25231" spans="1:15" x14ac:dyDescent="0.25">
      <c r="A25231" t="s">
        <v>16</v>
      </c>
      <c r="B25231" t="s">
        <v>3221</v>
      </c>
      <c r="C25231">
        <v>4157</v>
      </c>
      <c r="D25231" t="s">
        <v>323</v>
      </c>
      <c r="E25231" t="s">
        <v>324</v>
      </c>
      <c r="F25231">
        <v>158.75</v>
      </c>
      <c r="G25231">
        <v>230329</v>
      </c>
      <c r="H25231">
        <v>4500</v>
      </c>
      <c r="I25231" t="s">
        <v>212</v>
      </c>
      <c r="J25231">
        <v>196.85</v>
      </c>
      <c r="K25231">
        <v>38.1</v>
      </c>
      <c r="L25231">
        <v>17808</v>
      </c>
      <c r="M25231" t="s">
        <v>322</v>
      </c>
      <c r="N25231" t="str">
        <f>"5964833     "</f>
        <v xml:space="preserve">5964833     </v>
      </c>
      <c r="O25231">
        <v>230330</v>
      </c>
    </row>
    <row r="25232" spans="1:15" x14ac:dyDescent="0.25">
      <c r="A25232" t="s">
        <v>16</v>
      </c>
      <c r="B25232" t="s">
        <v>3221</v>
      </c>
      <c r="C25232">
        <v>5147</v>
      </c>
      <c r="D25232" t="s">
        <v>323</v>
      </c>
      <c r="E25232" t="s">
        <v>324</v>
      </c>
      <c r="F25232">
        <v>13.5</v>
      </c>
      <c r="G25232">
        <v>230403</v>
      </c>
      <c r="H25232">
        <v>4500</v>
      </c>
      <c r="I25232" t="s">
        <v>212</v>
      </c>
      <c r="J25232">
        <v>16.739999999999998</v>
      </c>
      <c r="K25232">
        <v>3.24</v>
      </c>
      <c r="L25232">
        <v>11901</v>
      </c>
      <c r="M25232" t="s">
        <v>36</v>
      </c>
      <c r="N25232" t="str">
        <f>"5967138     "</f>
        <v xml:space="preserve">5967138     </v>
      </c>
      <c r="O25232">
        <v>230418</v>
      </c>
    </row>
    <row r="25233" spans="1:15" x14ac:dyDescent="0.25">
      <c r="A25233" t="s">
        <v>16</v>
      </c>
      <c r="B25233" t="s">
        <v>3221</v>
      </c>
      <c r="C25233">
        <v>5147</v>
      </c>
      <c r="D25233" t="s">
        <v>323</v>
      </c>
      <c r="E25233" t="s">
        <v>324</v>
      </c>
      <c r="F25233">
        <v>233.31</v>
      </c>
      <c r="G25233">
        <v>230403</v>
      </c>
      <c r="H25233">
        <v>4500</v>
      </c>
      <c r="I25233" t="s">
        <v>212</v>
      </c>
      <c r="J25233">
        <v>289.3</v>
      </c>
      <c r="K25233">
        <v>55.99</v>
      </c>
      <c r="L25233">
        <v>14990</v>
      </c>
      <c r="M25233" t="s">
        <v>1725</v>
      </c>
      <c r="N25233" t="str">
        <f>"5967138     "</f>
        <v xml:space="preserve">5967138     </v>
      </c>
      <c r="O25233">
        <v>230418</v>
      </c>
    </row>
    <row r="25234" spans="1:15" x14ac:dyDescent="0.25">
      <c r="A25234" t="s">
        <v>16</v>
      </c>
      <c r="B25234" t="s">
        <v>3221</v>
      </c>
      <c r="C25234">
        <v>5387</v>
      </c>
      <c r="D25234" t="s">
        <v>323</v>
      </c>
      <c r="E25234" t="s">
        <v>324</v>
      </c>
      <c r="F25234">
        <v>73.099999999999994</v>
      </c>
      <c r="G25234">
        <v>230418</v>
      </c>
      <c r="H25234">
        <v>4500</v>
      </c>
      <c r="I25234" t="s">
        <v>212</v>
      </c>
      <c r="J25234">
        <v>90.65</v>
      </c>
      <c r="K25234">
        <v>17.55</v>
      </c>
      <c r="L25234">
        <v>54222</v>
      </c>
      <c r="M25234" t="s">
        <v>308</v>
      </c>
      <c r="N25234" t="str">
        <f>"5969098     "</f>
        <v xml:space="preserve">5969098     </v>
      </c>
      <c r="O25234">
        <v>230421</v>
      </c>
    </row>
    <row r="25235" spans="1:15" x14ac:dyDescent="0.25">
      <c r="A25235" t="s">
        <v>16</v>
      </c>
      <c r="B25235" t="s">
        <v>3221</v>
      </c>
      <c r="C25235">
        <v>5387</v>
      </c>
      <c r="D25235" t="s">
        <v>323</v>
      </c>
      <c r="E25235" t="s">
        <v>324</v>
      </c>
      <c r="F25235">
        <v>2</v>
      </c>
      <c r="G25235">
        <v>230418</v>
      </c>
      <c r="H25235">
        <v>4500</v>
      </c>
      <c r="I25235" t="s">
        <v>212</v>
      </c>
      <c r="J25235">
        <v>2.48</v>
      </c>
      <c r="K25235">
        <v>0.48</v>
      </c>
      <c r="L25235">
        <v>56566</v>
      </c>
      <c r="M25235" t="s">
        <v>652</v>
      </c>
      <c r="N25235" t="str">
        <f>"5969098     "</f>
        <v xml:space="preserve">5969098     </v>
      </c>
      <c r="O25235">
        <v>230421</v>
      </c>
    </row>
    <row r="25236" spans="1:15" x14ac:dyDescent="0.25">
      <c r="A25236" t="s">
        <v>16</v>
      </c>
      <c r="B25236" t="s">
        <v>3221</v>
      </c>
      <c r="C25236">
        <v>5387</v>
      </c>
      <c r="D25236" t="s">
        <v>323</v>
      </c>
      <c r="E25236" t="s">
        <v>324</v>
      </c>
      <c r="F25236">
        <v>46.21</v>
      </c>
      <c r="G25236">
        <v>230418</v>
      </c>
      <c r="H25236">
        <v>4500</v>
      </c>
      <c r="I25236" t="s">
        <v>212</v>
      </c>
      <c r="J25236">
        <v>57.3</v>
      </c>
      <c r="K25236">
        <v>11.09</v>
      </c>
      <c r="L25236">
        <v>59702</v>
      </c>
      <c r="M25236" t="s">
        <v>328</v>
      </c>
      <c r="N25236" t="str">
        <f>"5969098     "</f>
        <v xml:space="preserve">5969098     </v>
      </c>
      <c r="O25236">
        <v>230421</v>
      </c>
    </row>
    <row r="25237" spans="1:15" x14ac:dyDescent="0.25">
      <c r="A25237" t="s">
        <v>16</v>
      </c>
      <c r="B25237" t="s">
        <v>3221</v>
      </c>
      <c r="C25237">
        <v>5669</v>
      </c>
      <c r="D25237" t="s">
        <v>323</v>
      </c>
      <c r="E25237" t="s">
        <v>324</v>
      </c>
      <c r="F25237">
        <v>1037.04</v>
      </c>
      <c r="G25237">
        <v>230425</v>
      </c>
      <c r="H25237">
        <v>4500</v>
      </c>
      <c r="I25237" t="s">
        <v>212</v>
      </c>
      <c r="J25237">
        <v>1285.93</v>
      </c>
      <c r="K25237">
        <v>248.89</v>
      </c>
      <c r="L25237">
        <v>59702</v>
      </c>
      <c r="M25237" t="s">
        <v>328</v>
      </c>
      <c r="N25237" t="str">
        <f>"5970381     "</f>
        <v xml:space="preserve">5970381     </v>
      </c>
      <c r="O25237">
        <v>230428</v>
      </c>
    </row>
    <row r="25238" spans="1:15" x14ac:dyDescent="0.25">
      <c r="A25238" t="s">
        <v>16</v>
      </c>
      <c r="B25238" t="s">
        <v>3221</v>
      </c>
      <c r="C25238">
        <v>5834</v>
      </c>
      <c r="D25238" t="s">
        <v>323</v>
      </c>
      <c r="E25238" t="s">
        <v>324</v>
      </c>
      <c r="F25238">
        <v>10.44</v>
      </c>
      <c r="G25238">
        <v>230426</v>
      </c>
      <c r="H25238">
        <v>4500</v>
      </c>
      <c r="I25238" t="s">
        <v>212</v>
      </c>
      <c r="J25238">
        <v>12.95</v>
      </c>
      <c r="K25238">
        <v>2.5099999999999998</v>
      </c>
      <c r="L25238">
        <v>59702</v>
      </c>
      <c r="M25238" t="s">
        <v>328</v>
      </c>
      <c r="N25238" t="str">
        <f>"5970580     "</f>
        <v xml:space="preserve">5970580     </v>
      </c>
      <c r="O25238">
        <v>230503</v>
      </c>
    </row>
    <row r="25239" spans="1:15" x14ac:dyDescent="0.25">
      <c r="A25239" t="s">
        <v>16</v>
      </c>
      <c r="B25239" t="s">
        <v>3221</v>
      </c>
      <c r="C25239">
        <v>6180</v>
      </c>
      <c r="D25239" t="s">
        <v>323</v>
      </c>
      <c r="E25239" t="s">
        <v>324</v>
      </c>
      <c r="F25239">
        <v>12.6</v>
      </c>
      <c r="G25239">
        <v>230425</v>
      </c>
      <c r="H25239">
        <v>4500</v>
      </c>
      <c r="I25239" t="s">
        <v>212</v>
      </c>
      <c r="J25239">
        <v>15.62</v>
      </c>
      <c r="K25239">
        <v>3.02</v>
      </c>
      <c r="L25239">
        <v>11801</v>
      </c>
      <c r="M25239" t="s">
        <v>92</v>
      </c>
      <c r="N25239" t="str">
        <f>"5970380     "</f>
        <v xml:space="preserve">5970380     </v>
      </c>
      <c r="O25239">
        <v>230508</v>
      </c>
    </row>
    <row r="25240" spans="1:15" x14ac:dyDescent="0.25">
      <c r="A25240" t="s">
        <v>16</v>
      </c>
      <c r="B25240" t="s">
        <v>3221</v>
      </c>
      <c r="C25240">
        <v>6180</v>
      </c>
      <c r="D25240" t="s">
        <v>323</v>
      </c>
      <c r="E25240" t="s">
        <v>324</v>
      </c>
      <c r="F25240">
        <v>20.399999999999999</v>
      </c>
      <c r="G25240">
        <v>230425</v>
      </c>
      <c r="H25240">
        <v>4500</v>
      </c>
      <c r="I25240" t="s">
        <v>212</v>
      </c>
      <c r="J25240">
        <v>25.3</v>
      </c>
      <c r="K25240">
        <v>4.9000000000000004</v>
      </c>
      <c r="L25240">
        <v>44423</v>
      </c>
      <c r="M25240" t="s">
        <v>502</v>
      </c>
      <c r="N25240" t="str">
        <f>"5970380     "</f>
        <v xml:space="preserve">5970380     </v>
      </c>
      <c r="O25240">
        <v>230508</v>
      </c>
    </row>
    <row r="25241" spans="1:15" x14ac:dyDescent="0.25">
      <c r="A25241" t="s">
        <v>16</v>
      </c>
      <c r="B25241" t="s">
        <v>3221</v>
      </c>
      <c r="C25241">
        <v>6180</v>
      </c>
      <c r="D25241" t="s">
        <v>323</v>
      </c>
      <c r="E25241" t="s">
        <v>324</v>
      </c>
      <c r="F25241">
        <v>11.61</v>
      </c>
      <c r="G25241">
        <v>230425</v>
      </c>
      <c r="H25241">
        <v>4500</v>
      </c>
      <c r="I25241" t="s">
        <v>212</v>
      </c>
      <c r="J25241">
        <v>14.4</v>
      </c>
      <c r="K25241">
        <v>2.79</v>
      </c>
      <c r="L25241">
        <v>44424</v>
      </c>
      <c r="M25241" t="s">
        <v>776</v>
      </c>
      <c r="N25241" t="str">
        <f>"5970380     "</f>
        <v xml:space="preserve">5970380     </v>
      </c>
      <c r="O25241">
        <v>230508</v>
      </c>
    </row>
    <row r="25242" spans="1:15" x14ac:dyDescent="0.25">
      <c r="A25242" t="s">
        <v>16</v>
      </c>
      <c r="B25242" t="s">
        <v>3221</v>
      </c>
      <c r="C25242">
        <v>6180</v>
      </c>
      <c r="D25242" t="s">
        <v>323</v>
      </c>
      <c r="E25242" t="s">
        <v>324</v>
      </c>
      <c r="F25242">
        <v>4.68</v>
      </c>
      <c r="G25242">
        <v>230425</v>
      </c>
      <c r="H25242">
        <v>4500</v>
      </c>
      <c r="I25242" t="s">
        <v>212</v>
      </c>
      <c r="J25242">
        <v>5.8</v>
      </c>
      <c r="K25242">
        <v>1.1200000000000001</v>
      </c>
      <c r="L25242">
        <v>44453</v>
      </c>
      <c r="M25242" t="s">
        <v>492</v>
      </c>
      <c r="N25242" t="str">
        <f>"5970380     "</f>
        <v xml:space="preserve">5970380     </v>
      </c>
      <c r="O25242">
        <v>230508</v>
      </c>
    </row>
    <row r="25243" spans="1:15" x14ac:dyDescent="0.25">
      <c r="A25243" t="s">
        <v>16</v>
      </c>
      <c r="B25243" t="s">
        <v>3221</v>
      </c>
      <c r="C25243">
        <v>6180</v>
      </c>
      <c r="D25243" t="s">
        <v>323</v>
      </c>
      <c r="E25243" t="s">
        <v>324</v>
      </c>
      <c r="F25243">
        <v>91.98</v>
      </c>
      <c r="G25243">
        <v>230425</v>
      </c>
      <c r="H25243">
        <v>4500</v>
      </c>
      <c r="I25243" t="s">
        <v>212</v>
      </c>
      <c r="J25243">
        <v>114.06</v>
      </c>
      <c r="K25243">
        <v>22.08</v>
      </c>
      <c r="L25243">
        <v>49702</v>
      </c>
      <c r="M25243" t="s">
        <v>584</v>
      </c>
      <c r="N25243" t="str">
        <f>"5970380     "</f>
        <v xml:space="preserve">5970380     </v>
      </c>
      <c r="O25243">
        <v>230508</v>
      </c>
    </row>
    <row r="25244" spans="1:15" x14ac:dyDescent="0.25">
      <c r="A25244" t="s">
        <v>16</v>
      </c>
      <c r="B25244" t="s">
        <v>3221</v>
      </c>
      <c r="C25244">
        <v>6580</v>
      </c>
      <c r="D25244" t="s">
        <v>323</v>
      </c>
      <c r="E25244" t="s">
        <v>324</v>
      </c>
      <c r="F25244">
        <v>104.35</v>
      </c>
      <c r="G25244">
        <v>230508</v>
      </c>
      <c r="H25244">
        <v>4500</v>
      </c>
      <c r="I25244" t="s">
        <v>212</v>
      </c>
      <c r="J25244">
        <v>129.4</v>
      </c>
      <c r="K25244">
        <v>25.05</v>
      </c>
      <c r="L25244">
        <v>13401</v>
      </c>
      <c r="M25244" t="s">
        <v>80</v>
      </c>
      <c r="N25244" t="str">
        <f>"5973742     "</f>
        <v xml:space="preserve">5973742     </v>
      </c>
      <c r="O25244">
        <v>230515</v>
      </c>
    </row>
    <row r="25245" spans="1:15" x14ac:dyDescent="0.25">
      <c r="A25245" t="s">
        <v>16</v>
      </c>
      <c r="B25245" t="s">
        <v>3221</v>
      </c>
      <c r="C25245">
        <v>6580</v>
      </c>
      <c r="D25245" t="s">
        <v>323</v>
      </c>
      <c r="E25245" t="s">
        <v>324</v>
      </c>
      <c r="F25245">
        <v>104.34</v>
      </c>
      <c r="G25245">
        <v>230508</v>
      </c>
      <c r="H25245">
        <v>4500</v>
      </c>
      <c r="I25245" t="s">
        <v>212</v>
      </c>
      <c r="J25245">
        <v>129.38</v>
      </c>
      <c r="K25245">
        <v>25.04</v>
      </c>
      <c r="L25245">
        <v>13501</v>
      </c>
      <c r="M25245" t="s">
        <v>20</v>
      </c>
      <c r="N25245" t="str">
        <f>"5973742     "</f>
        <v xml:space="preserve">5973742     </v>
      </c>
      <c r="O25245">
        <v>230515</v>
      </c>
    </row>
    <row r="25246" spans="1:15" x14ac:dyDescent="0.25">
      <c r="A25246" t="s">
        <v>16</v>
      </c>
      <c r="B25246" t="s">
        <v>3221</v>
      </c>
      <c r="C25246">
        <v>7380</v>
      </c>
      <c r="D25246" t="s">
        <v>323</v>
      </c>
      <c r="E25246" t="s">
        <v>324</v>
      </c>
      <c r="F25246">
        <v>41.18</v>
      </c>
      <c r="G25246">
        <v>230502</v>
      </c>
      <c r="H25246">
        <v>4500</v>
      </c>
      <c r="I25246" t="s">
        <v>212</v>
      </c>
      <c r="J25246">
        <v>51.06</v>
      </c>
      <c r="K25246">
        <v>9.8800000000000008</v>
      </c>
      <c r="L25246">
        <v>14121</v>
      </c>
      <c r="M25246" t="s">
        <v>880</v>
      </c>
      <c r="N25246" t="str">
        <f t="shared" ref="N25246:N25255" si="487">"5972770     "</f>
        <v xml:space="preserve">5972770     </v>
      </c>
      <c r="O25246">
        <v>230529</v>
      </c>
    </row>
    <row r="25247" spans="1:15" x14ac:dyDescent="0.25">
      <c r="A25247" t="s">
        <v>16</v>
      </c>
      <c r="B25247" t="s">
        <v>3221</v>
      </c>
      <c r="C25247">
        <v>7380</v>
      </c>
      <c r="D25247" t="s">
        <v>323</v>
      </c>
      <c r="E25247" t="s">
        <v>324</v>
      </c>
      <c r="F25247">
        <v>24.33</v>
      </c>
      <c r="G25247">
        <v>230502</v>
      </c>
      <c r="H25247">
        <v>4500</v>
      </c>
      <c r="I25247" t="s">
        <v>212</v>
      </c>
      <c r="J25247">
        <v>30.17</v>
      </c>
      <c r="K25247">
        <v>5.84</v>
      </c>
      <c r="L25247">
        <v>14321</v>
      </c>
      <c r="M25247" t="s">
        <v>717</v>
      </c>
      <c r="N25247" t="str">
        <f t="shared" si="487"/>
        <v xml:space="preserve">5972770     </v>
      </c>
      <c r="O25247">
        <v>230529</v>
      </c>
    </row>
    <row r="25248" spans="1:15" x14ac:dyDescent="0.25">
      <c r="A25248" t="s">
        <v>16</v>
      </c>
      <c r="B25248" t="s">
        <v>3221</v>
      </c>
      <c r="C25248">
        <v>7380</v>
      </c>
      <c r="D25248" t="s">
        <v>323</v>
      </c>
      <c r="E25248" t="s">
        <v>324</v>
      </c>
      <c r="F25248">
        <v>58.37</v>
      </c>
      <c r="G25248">
        <v>230502</v>
      </c>
      <c r="H25248">
        <v>4500</v>
      </c>
      <c r="I25248" t="s">
        <v>212</v>
      </c>
      <c r="J25248">
        <v>72.38</v>
      </c>
      <c r="K25248">
        <v>14.01</v>
      </c>
      <c r="L25248">
        <v>14321</v>
      </c>
      <c r="M25248" t="s">
        <v>717</v>
      </c>
      <c r="N25248" t="str">
        <f t="shared" si="487"/>
        <v xml:space="preserve">5972770     </v>
      </c>
      <c r="O25248">
        <v>230529</v>
      </c>
    </row>
    <row r="25249" spans="1:15" x14ac:dyDescent="0.25">
      <c r="A25249" t="s">
        <v>16</v>
      </c>
      <c r="B25249" t="s">
        <v>3221</v>
      </c>
      <c r="C25249">
        <v>7380</v>
      </c>
      <c r="D25249" t="s">
        <v>323</v>
      </c>
      <c r="E25249" t="s">
        <v>324</v>
      </c>
      <c r="F25249">
        <v>16.850000000000001</v>
      </c>
      <c r="G25249">
        <v>230502</v>
      </c>
      <c r="H25249">
        <v>4500</v>
      </c>
      <c r="I25249" t="s">
        <v>212</v>
      </c>
      <c r="J25249">
        <v>20.89</v>
      </c>
      <c r="K25249">
        <v>4.04</v>
      </c>
      <c r="L25249">
        <v>14422</v>
      </c>
      <c r="M25249" t="s">
        <v>228</v>
      </c>
      <c r="N25249" t="str">
        <f t="shared" si="487"/>
        <v xml:space="preserve">5972770     </v>
      </c>
      <c r="O25249">
        <v>230529</v>
      </c>
    </row>
    <row r="25250" spans="1:15" x14ac:dyDescent="0.25">
      <c r="A25250" t="s">
        <v>16</v>
      </c>
      <c r="B25250" t="s">
        <v>3221</v>
      </c>
      <c r="C25250">
        <v>7380</v>
      </c>
      <c r="D25250" t="s">
        <v>323</v>
      </c>
      <c r="E25250" t="s">
        <v>324</v>
      </c>
      <c r="F25250">
        <v>16.850000000000001</v>
      </c>
      <c r="G25250">
        <v>230502</v>
      </c>
      <c r="H25250">
        <v>4500</v>
      </c>
      <c r="I25250" t="s">
        <v>212</v>
      </c>
      <c r="J25250">
        <v>20.89</v>
      </c>
      <c r="K25250">
        <v>4.04</v>
      </c>
      <c r="L25250">
        <v>14541</v>
      </c>
      <c r="M25250" t="s">
        <v>626</v>
      </c>
      <c r="N25250" t="str">
        <f t="shared" si="487"/>
        <v xml:space="preserve">5972770     </v>
      </c>
      <c r="O25250">
        <v>230529</v>
      </c>
    </row>
    <row r="25251" spans="1:15" x14ac:dyDescent="0.25">
      <c r="A25251" t="s">
        <v>16</v>
      </c>
      <c r="B25251" t="s">
        <v>3221</v>
      </c>
      <c r="C25251">
        <v>7380</v>
      </c>
      <c r="D25251" t="s">
        <v>323</v>
      </c>
      <c r="E25251" t="s">
        <v>324</v>
      </c>
      <c r="F25251">
        <v>59.9</v>
      </c>
      <c r="G25251">
        <v>230502</v>
      </c>
      <c r="H25251">
        <v>4500</v>
      </c>
      <c r="I25251" t="s">
        <v>212</v>
      </c>
      <c r="J25251">
        <v>74.27</v>
      </c>
      <c r="K25251">
        <v>14.37</v>
      </c>
      <c r="L25251">
        <v>14622</v>
      </c>
      <c r="M25251" t="s">
        <v>1005</v>
      </c>
      <c r="N25251" t="str">
        <f t="shared" si="487"/>
        <v xml:space="preserve">5972770     </v>
      </c>
      <c r="O25251">
        <v>230529</v>
      </c>
    </row>
    <row r="25252" spans="1:15" x14ac:dyDescent="0.25">
      <c r="A25252" t="s">
        <v>16</v>
      </c>
      <c r="B25252" t="s">
        <v>3221</v>
      </c>
      <c r="C25252">
        <v>7380</v>
      </c>
      <c r="D25252" t="s">
        <v>323</v>
      </c>
      <c r="E25252" t="s">
        <v>324</v>
      </c>
      <c r="F25252">
        <v>14.98</v>
      </c>
      <c r="G25252">
        <v>230502</v>
      </c>
      <c r="H25252">
        <v>4500</v>
      </c>
      <c r="I25252" t="s">
        <v>212</v>
      </c>
      <c r="J25252">
        <v>18.57</v>
      </c>
      <c r="K25252">
        <v>3.59</v>
      </c>
      <c r="L25252">
        <v>14640</v>
      </c>
      <c r="M25252" t="s">
        <v>229</v>
      </c>
      <c r="N25252" t="str">
        <f t="shared" si="487"/>
        <v xml:space="preserve">5972770     </v>
      </c>
      <c r="O25252">
        <v>230529</v>
      </c>
    </row>
    <row r="25253" spans="1:15" x14ac:dyDescent="0.25">
      <c r="A25253" t="s">
        <v>16</v>
      </c>
      <c r="B25253" t="s">
        <v>3221</v>
      </c>
      <c r="C25253">
        <v>7380</v>
      </c>
      <c r="D25253" t="s">
        <v>323</v>
      </c>
      <c r="E25253" t="s">
        <v>324</v>
      </c>
      <c r="F25253">
        <v>120.15</v>
      </c>
      <c r="G25253">
        <v>230502</v>
      </c>
      <c r="H25253">
        <v>4500</v>
      </c>
      <c r="I25253" t="s">
        <v>212</v>
      </c>
      <c r="J25253">
        <v>148.99</v>
      </c>
      <c r="K25253">
        <v>28.84</v>
      </c>
      <c r="L25253">
        <v>14640</v>
      </c>
      <c r="M25253" t="s">
        <v>229</v>
      </c>
      <c r="N25253" t="str">
        <f t="shared" si="487"/>
        <v xml:space="preserve">5972770     </v>
      </c>
      <c r="O25253">
        <v>230529</v>
      </c>
    </row>
    <row r="25254" spans="1:15" x14ac:dyDescent="0.25">
      <c r="A25254" t="s">
        <v>16</v>
      </c>
      <c r="B25254" t="s">
        <v>3221</v>
      </c>
      <c r="C25254">
        <v>7380</v>
      </c>
      <c r="D25254" t="s">
        <v>323</v>
      </c>
      <c r="E25254" t="s">
        <v>324</v>
      </c>
      <c r="F25254">
        <v>13.1</v>
      </c>
      <c r="G25254">
        <v>230502</v>
      </c>
      <c r="H25254">
        <v>4500</v>
      </c>
      <c r="I25254" t="s">
        <v>212</v>
      </c>
      <c r="J25254">
        <v>16.25</v>
      </c>
      <c r="K25254">
        <v>3.15</v>
      </c>
      <c r="L25254">
        <v>14861</v>
      </c>
      <c r="M25254" t="s">
        <v>785</v>
      </c>
      <c r="N25254" t="str">
        <f t="shared" si="487"/>
        <v xml:space="preserve">5972770     </v>
      </c>
      <c r="O25254">
        <v>230529</v>
      </c>
    </row>
    <row r="25255" spans="1:15" x14ac:dyDescent="0.25">
      <c r="A25255" t="s">
        <v>16</v>
      </c>
      <c r="B25255" t="s">
        <v>3221</v>
      </c>
      <c r="C25255">
        <v>7380</v>
      </c>
      <c r="D25255" t="s">
        <v>323</v>
      </c>
      <c r="E25255" t="s">
        <v>324</v>
      </c>
      <c r="F25255">
        <v>20.79</v>
      </c>
      <c r="G25255">
        <v>230502</v>
      </c>
      <c r="H25255">
        <v>4500</v>
      </c>
      <c r="I25255" t="s">
        <v>212</v>
      </c>
      <c r="J25255">
        <v>25.78</v>
      </c>
      <c r="K25255">
        <v>4.99</v>
      </c>
      <c r="L25255">
        <v>14972</v>
      </c>
      <c r="M25255" t="s">
        <v>898</v>
      </c>
      <c r="N25255" t="str">
        <f t="shared" si="487"/>
        <v xml:space="preserve">5972770     </v>
      </c>
      <c r="O25255">
        <v>230529</v>
      </c>
    </row>
    <row r="25256" spans="1:15" x14ac:dyDescent="0.25">
      <c r="A25256" t="s">
        <v>16</v>
      </c>
      <c r="B25256" t="s">
        <v>3221</v>
      </c>
      <c r="C25256">
        <v>7586</v>
      </c>
      <c r="D25256" t="s">
        <v>323</v>
      </c>
      <c r="E25256" t="s">
        <v>324</v>
      </c>
      <c r="F25256">
        <v>134.6</v>
      </c>
      <c r="G25256">
        <v>230525</v>
      </c>
      <c r="H25256">
        <v>4500</v>
      </c>
      <c r="I25256" t="s">
        <v>212</v>
      </c>
      <c r="J25256">
        <v>166.9</v>
      </c>
      <c r="K25256">
        <v>32.299999999999997</v>
      </c>
      <c r="L25256">
        <v>66722</v>
      </c>
      <c r="M25256" t="s">
        <v>518</v>
      </c>
      <c r="N25256" t="str">
        <f>"5977041     "</f>
        <v xml:space="preserve">5977041     </v>
      </c>
      <c r="O25256">
        <v>230601</v>
      </c>
    </row>
    <row r="25257" spans="1:15" x14ac:dyDescent="0.25">
      <c r="A25257" t="s">
        <v>16</v>
      </c>
      <c r="B25257" t="s">
        <v>3221</v>
      </c>
      <c r="C25257">
        <v>7586</v>
      </c>
      <c r="D25257" t="s">
        <v>323</v>
      </c>
      <c r="E25257" t="s">
        <v>324</v>
      </c>
      <c r="F25257">
        <v>285.25</v>
      </c>
      <c r="G25257">
        <v>230525</v>
      </c>
      <c r="H25257">
        <v>4500</v>
      </c>
      <c r="I25257" t="s">
        <v>212</v>
      </c>
      <c r="J25257">
        <v>353.71</v>
      </c>
      <c r="K25257">
        <v>68.459999999999994</v>
      </c>
      <c r="L25257">
        <v>66756</v>
      </c>
      <c r="M25257" t="s">
        <v>209</v>
      </c>
      <c r="N25257" t="str">
        <f>"5977041     "</f>
        <v xml:space="preserve">5977041     </v>
      </c>
      <c r="O25257">
        <v>230601</v>
      </c>
    </row>
    <row r="25258" spans="1:15" x14ac:dyDescent="0.25">
      <c r="A25258" t="s">
        <v>16</v>
      </c>
      <c r="B25258" t="s">
        <v>3221</v>
      </c>
      <c r="C25258">
        <v>7586</v>
      </c>
      <c r="D25258" t="s">
        <v>323</v>
      </c>
      <c r="E25258" t="s">
        <v>324</v>
      </c>
      <c r="F25258">
        <v>84.1</v>
      </c>
      <c r="G25258">
        <v>230525</v>
      </c>
      <c r="H25258">
        <v>4500</v>
      </c>
      <c r="I25258" t="s">
        <v>212</v>
      </c>
      <c r="J25258">
        <v>104.29</v>
      </c>
      <c r="K25258">
        <v>20.190000000000001</v>
      </c>
      <c r="L25258">
        <v>69702</v>
      </c>
      <c r="M25258" t="s">
        <v>489</v>
      </c>
      <c r="N25258" t="str">
        <f>"5977041     "</f>
        <v xml:space="preserve">5977041     </v>
      </c>
      <c r="O25258">
        <v>230601</v>
      </c>
    </row>
    <row r="25259" spans="1:15" x14ac:dyDescent="0.25">
      <c r="A25259" t="s">
        <v>16</v>
      </c>
      <c r="B25259" t="s">
        <v>3221</v>
      </c>
      <c r="C25259">
        <v>7586</v>
      </c>
      <c r="D25259" t="s">
        <v>323</v>
      </c>
      <c r="E25259" t="s">
        <v>324</v>
      </c>
      <c r="F25259">
        <v>39.270000000000003</v>
      </c>
      <c r="G25259">
        <v>230525</v>
      </c>
      <c r="H25259">
        <v>4500</v>
      </c>
      <c r="I25259" t="s">
        <v>212</v>
      </c>
      <c r="J25259">
        <v>48.69</v>
      </c>
      <c r="K25259">
        <v>9.42</v>
      </c>
      <c r="L25259">
        <v>69704</v>
      </c>
      <c r="M25259" t="s">
        <v>325</v>
      </c>
      <c r="N25259" t="str">
        <f>"5977041     "</f>
        <v xml:space="preserve">5977041     </v>
      </c>
      <c r="O25259">
        <v>230601</v>
      </c>
    </row>
    <row r="25260" spans="1:15" x14ac:dyDescent="0.25">
      <c r="A25260" t="s">
        <v>16</v>
      </c>
      <c r="B25260" t="s">
        <v>3221</v>
      </c>
      <c r="C25260">
        <v>8184</v>
      </c>
      <c r="D25260" t="s">
        <v>323</v>
      </c>
      <c r="E25260" t="s">
        <v>324</v>
      </c>
      <c r="F25260">
        <v>147.35</v>
      </c>
      <c r="G25260">
        <v>230531</v>
      </c>
      <c r="H25260">
        <v>4500</v>
      </c>
      <c r="I25260" t="s">
        <v>212</v>
      </c>
      <c r="J25260">
        <v>182.71</v>
      </c>
      <c r="K25260">
        <v>35.36</v>
      </c>
      <c r="L25260">
        <v>13661</v>
      </c>
      <c r="M25260" t="s">
        <v>247</v>
      </c>
      <c r="N25260" t="str">
        <f>"5979891     "</f>
        <v xml:space="preserve">5979891     </v>
      </c>
      <c r="O25260">
        <v>230607</v>
      </c>
    </row>
    <row r="25261" spans="1:15" x14ac:dyDescent="0.25">
      <c r="A25261" t="s">
        <v>16</v>
      </c>
      <c r="B25261" t="s">
        <v>3221</v>
      </c>
      <c r="C25261">
        <v>446</v>
      </c>
      <c r="D25261" t="s">
        <v>547</v>
      </c>
      <c r="E25261" t="s">
        <v>548</v>
      </c>
      <c r="F25261">
        <v>321.88</v>
      </c>
      <c r="G25261">
        <v>230119</v>
      </c>
      <c r="H25261">
        <v>4600</v>
      </c>
      <c r="I25261" t="s">
        <v>105</v>
      </c>
      <c r="J25261">
        <v>399.13</v>
      </c>
      <c r="K25261">
        <v>77.25</v>
      </c>
      <c r="L25261">
        <v>17807</v>
      </c>
      <c r="M25261" t="s">
        <v>318</v>
      </c>
      <c r="N25261" t="str">
        <f>"73503507    "</f>
        <v xml:space="preserve">73503507    </v>
      </c>
      <c r="O25261">
        <v>230123</v>
      </c>
    </row>
    <row r="25262" spans="1:15" x14ac:dyDescent="0.25">
      <c r="A25262" t="s">
        <v>16</v>
      </c>
      <c r="B25262" t="s">
        <v>3221</v>
      </c>
      <c r="C25262">
        <v>735</v>
      </c>
      <c r="D25262" t="s">
        <v>547</v>
      </c>
      <c r="E25262" t="s">
        <v>548</v>
      </c>
      <c r="F25262">
        <v>1044.97</v>
      </c>
      <c r="G25262">
        <v>230126</v>
      </c>
      <c r="H25262">
        <v>4600</v>
      </c>
      <c r="I25262" t="s">
        <v>105</v>
      </c>
      <c r="J25262">
        <v>1295.76</v>
      </c>
      <c r="K25262">
        <v>250.79</v>
      </c>
      <c r="L25262">
        <v>17807</v>
      </c>
      <c r="M25262" t="s">
        <v>318</v>
      </c>
      <c r="N25262" t="str">
        <f>"73504409    "</f>
        <v xml:space="preserve">73504409    </v>
      </c>
      <c r="O25262">
        <v>230127</v>
      </c>
    </row>
    <row r="25263" spans="1:15" x14ac:dyDescent="0.25">
      <c r="A25263" t="s">
        <v>16</v>
      </c>
      <c r="B25263" t="s">
        <v>3221</v>
      </c>
      <c r="C25263">
        <v>1863</v>
      </c>
      <c r="D25263" t="s">
        <v>547</v>
      </c>
      <c r="E25263" t="s">
        <v>548</v>
      </c>
      <c r="F25263">
        <v>69</v>
      </c>
      <c r="G25263">
        <v>230214</v>
      </c>
      <c r="H25263">
        <v>4600</v>
      </c>
      <c r="I25263" t="s">
        <v>105</v>
      </c>
      <c r="J25263">
        <v>85.56</v>
      </c>
      <c r="K25263">
        <v>16.559999999999999</v>
      </c>
      <c r="L25263">
        <v>17807</v>
      </c>
      <c r="M25263" t="s">
        <v>318</v>
      </c>
      <c r="N25263" t="str">
        <f>"73507233    "</f>
        <v xml:space="preserve">73507233    </v>
      </c>
      <c r="O25263">
        <v>230215</v>
      </c>
    </row>
    <row r="25264" spans="1:15" x14ac:dyDescent="0.25">
      <c r="A25264" t="s">
        <v>16</v>
      </c>
      <c r="B25264" t="s">
        <v>3221</v>
      </c>
      <c r="C25264">
        <v>3637</v>
      </c>
      <c r="D25264" t="s">
        <v>547</v>
      </c>
      <c r="E25264" t="s">
        <v>548</v>
      </c>
      <c r="F25264">
        <v>345.65</v>
      </c>
      <c r="G25264">
        <v>230316</v>
      </c>
      <c r="H25264">
        <v>4600</v>
      </c>
      <c r="I25264" t="s">
        <v>105</v>
      </c>
      <c r="J25264">
        <v>428.61</v>
      </c>
      <c r="K25264">
        <v>82.96</v>
      </c>
      <c r="L25264">
        <v>17807</v>
      </c>
      <c r="M25264" t="s">
        <v>318</v>
      </c>
      <c r="N25264" t="str">
        <f>"73511668    "</f>
        <v xml:space="preserve">73511668    </v>
      </c>
      <c r="O25264">
        <v>230320</v>
      </c>
    </row>
    <row r="25265" spans="1:15" x14ac:dyDescent="0.25">
      <c r="A25265" t="s">
        <v>16</v>
      </c>
      <c r="B25265" t="s">
        <v>3221</v>
      </c>
      <c r="C25265">
        <v>3903</v>
      </c>
      <c r="D25265" t="s">
        <v>547</v>
      </c>
      <c r="E25265" t="s">
        <v>548</v>
      </c>
      <c r="F25265">
        <v>1916.11</v>
      </c>
      <c r="G25265">
        <v>230317</v>
      </c>
      <c r="H25265">
        <v>4600</v>
      </c>
      <c r="I25265" t="s">
        <v>105</v>
      </c>
      <c r="J25265">
        <v>2375.98</v>
      </c>
      <c r="K25265">
        <v>459.87</v>
      </c>
      <c r="L25265">
        <v>17807</v>
      </c>
      <c r="M25265" t="s">
        <v>318</v>
      </c>
      <c r="N25265" t="str">
        <f>"73511839    "</f>
        <v xml:space="preserve">73511839    </v>
      </c>
      <c r="O25265">
        <v>230324</v>
      </c>
    </row>
    <row r="25266" spans="1:15" x14ac:dyDescent="0.25">
      <c r="A25266" t="s">
        <v>16</v>
      </c>
      <c r="B25266" t="s">
        <v>3221</v>
      </c>
      <c r="C25266">
        <v>4097</v>
      </c>
      <c r="D25266" t="s">
        <v>547</v>
      </c>
      <c r="E25266" t="s">
        <v>548</v>
      </c>
      <c r="F25266">
        <v>128.29</v>
      </c>
      <c r="G25266">
        <v>230327</v>
      </c>
      <c r="H25266">
        <v>4600</v>
      </c>
      <c r="I25266" t="s">
        <v>105</v>
      </c>
      <c r="J25266">
        <v>159.08000000000001</v>
      </c>
      <c r="K25266">
        <v>30.79</v>
      </c>
      <c r="L25266">
        <v>17807</v>
      </c>
      <c r="M25266" t="s">
        <v>318</v>
      </c>
      <c r="N25266" t="str">
        <f>"73512938    "</f>
        <v xml:space="preserve">73512938    </v>
      </c>
      <c r="O25266">
        <v>230330</v>
      </c>
    </row>
    <row r="25267" spans="1:15" x14ac:dyDescent="0.25">
      <c r="A25267" t="s">
        <v>16</v>
      </c>
      <c r="B25267" t="s">
        <v>3221</v>
      </c>
      <c r="C25267">
        <v>5088</v>
      </c>
      <c r="D25267" t="s">
        <v>547</v>
      </c>
      <c r="E25267" t="s">
        <v>548</v>
      </c>
      <c r="F25267">
        <v>1263.8</v>
      </c>
      <c r="G25267">
        <v>230412</v>
      </c>
      <c r="H25267">
        <v>4600</v>
      </c>
      <c r="I25267" t="s">
        <v>105</v>
      </c>
      <c r="J25267">
        <v>1567.11</v>
      </c>
      <c r="K25267">
        <v>303.31</v>
      </c>
      <c r="L25267">
        <v>17807</v>
      </c>
      <c r="M25267" t="s">
        <v>318</v>
      </c>
      <c r="N25267" t="str">
        <f>"73515101    "</f>
        <v xml:space="preserve">73515101    </v>
      </c>
      <c r="O25267">
        <v>230418</v>
      </c>
    </row>
    <row r="25268" spans="1:15" x14ac:dyDescent="0.25">
      <c r="A25268" t="s">
        <v>16</v>
      </c>
      <c r="B25268" t="s">
        <v>3221</v>
      </c>
      <c r="C25268">
        <v>5095</v>
      </c>
      <c r="D25268" t="s">
        <v>547</v>
      </c>
      <c r="E25268" t="s">
        <v>548</v>
      </c>
      <c r="F25268">
        <v>53.29</v>
      </c>
      <c r="G25268">
        <v>230413</v>
      </c>
      <c r="H25268">
        <v>4600</v>
      </c>
      <c r="I25268" t="s">
        <v>105</v>
      </c>
      <c r="J25268">
        <v>66.08</v>
      </c>
      <c r="K25268">
        <v>12.79</v>
      </c>
      <c r="L25268">
        <v>17807</v>
      </c>
      <c r="M25268" t="s">
        <v>318</v>
      </c>
      <c r="N25268" t="str">
        <f>"73515126    "</f>
        <v xml:space="preserve">73515126    </v>
      </c>
      <c r="O25268">
        <v>230418</v>
      </c>
    </row>
    <row r="25269" spans="1:15" x14ac:dyDescent="0.25">
      <c r="A25269" t="s">
        <v>16</v>
      </c>
      <c r="B25269" t="s">
        <v>3221</v>
      </c>
      <c r="C25269">
        <v>5541</v>
      </c>
      <c r="D25269" t="s">
        <v>547</v>
      </c>
      <c r="E25269" t="s">
        <v>548</v>
      </c>
      <c r="F25269">
        <v>155.09</v>
      </c>
      <c r="G25269">
        <v>230425</v>
      </c>
      <c r="H25269">
        <v>4600</v>
      </c>
      <c r="I25269" t="s">
        <v>105</v>
      </c>
      <c r="J25269">
        <v>192.31</v>
      </c>
      <c r="K25269">
        <v>37.22</v>
      </c>
      <c r="L25269">
        <v>17807</v>
      </c>
      <c r="M25269" t="s">
        <v>318</v>
      </c>
      <c r="N25269" t="str">
        <f>"73516836    "</f>
        <v xml:space="preserve">73516836    </v>
      </c>
      <c r="O25269">
        <v>230426</v>
      </c>
    </row>
    <row r="25270" spans="1:15" x14ac:dyDescent="0.25">
      <c r="A25270" t="s">
        <v>16</v>
      </c>
      <c r="B25270" t="s">
        <v>3221</v>
      </c>
      <c r="C25270">
        <v>5721</v>
      </c>
      <c r="D25270" t="s">
        <v>547</v>
      </c>
      <c r="E25270" t="s">
        <v>548</v>
      </c>
      <c r="F25270">
        <v>325.83</v>
      </c>
      <c r="G25270">
        <v>230427</v>
      </c>
      <c r="H25270">
        <v>4600</v>
      </c>
      <c r="I25270" t="s">
        <v>105</v>
      </c>
      <c r="J25270">
        <v>404.03</v>
      </c>
      <c r="K25270">
        <v>78.2</v>
      </c>
      <c r="L25270">
        <v>17807</v>
      </c>
      <c r="M25270" t="s">
        <v>318</v>
      </c>
      <c r="N25270" t="str">
        <f>"73517199    "</f>
        <v xml:space="preserve">73517199    </v>
      </c>
      <c r="O25270">
        <v>230502</v>
      </c>
    </row>
    <row r="25271" spans="1:15" x14ac:dyDescent="0.25">
      <c r="A25271" t="s">
        <v>16</v>
      </c>
      <c r="B25271" t="s">
        <v>3221</v>
      </c>
      <c r="C25271">
        <v>6112</v>
      </c>
      <c r="D25271" t="s">
        <v>547</v>
      </c>
      <c r="E25271" t="s">
        <v>548</v>
      </c>
      <c r="F25271">
        <v>298.39</v>
      </c>
      <c r="G25271">
        <v>230502</v>
      </c>
      <c r="H25271">
        <v>4600</v>
      </c>
      <c r="I25271" t="s">
        <v>105</v>
      </c>
      <c r="J25271">
        <v>370</v>
      </c>
      <c r="K25271">
        <v>71.61</v>
      </c>
      <c r="L25271">
        <v>17807</v>
      </c>
      <c r="M25271" t="s">
        <v>318</v>
      </c>
      <c r="N25271" t="str">
        <f>"73517976    "</f>
        <v xml:space="preserve">73517976    </v>
      </c>
      <c r="O25271">
        <v>230508</v>
      </c>
    </row>
    <row r="25272" spans="1:15" x14ac:dyDescent="0.25">
      <c r="A25272" t="s">
        <v>16</v>
      </c>
      <c r="B25272" t="s">
        <v>3221</v>
      </c>
      <c r="C25272">
        <v>6359</v>
      </c>
      <c r="D25272" t="s">
        <v>547</v>
      </c>
      <c r="E25272" t="s">
        <v>548</v>
      </c>
      <c r="F25272">
        <v>298.39</v>
      </c>
      <c r="G25272">
        <v>230508</v>
      </c>
      <c r="H25272">
        <v>4600</v>
      </c>
      <c r="I25272" t="s">
        <v>105</v>
      </c>
      <c r="J25272">
        <v>370</v>
      </c>
      <c r="K25272">
        <v>71.61</v>
      </c>
      <c r="L25272">
        <v>17807</v>
      </c>
      <c r="M25272" t="s">
        <v>318</v>
      </c>
      <c r="N25272" t="str">
        <f>"73518681    "</f>
        <v xml:space="preserve">73518681    </v>
      </c>
      <c r="O25272">
        <v>230510</v>
      </c>
    </row>
    <row r="25273" spans="1:15" x14ac:dyDescent="0.25">
      <c r="A25273" t="s">
        <v>16</v>
      </c>
      <c r="B25273" t="s">
        <v>3221</v>
      </c>
      <c r="C25273">
        <v>6641</v>
      </c>
      <c r="D25273" t="s">
        <v>547</v>
      </c>
      <c r="E25273" t="s">
        <v>548</v>
      </c>
      <c r="F25273">
        <v>3.89</v>
      </c>
      <c r="G25273">
        <v>230510</v>
      </c>
      <c r="H25273">
        <v>4600</v>
      </c>
      <c r="I25273" t="s">
        <v>105</v>
      </c>
      <c r="J25273">
        <v>4.82</v>
      </c>
      <c r="K25273">
        <v>0.93</v>
      </c>
      <c r="L25273">
        <v>46555</v>
      </c>
      <c r="M25273" t="s">
        <v>597</v>
      </c>
      <c r="N25273" t="str">
        <f>"73518924    "</f>
        <v xml:space="preserve">73518924    </v>
      </c>
      <c r="O25273">
        <v>230516</v>
      </c>
    </row>
    <row r="25274" spans="1:15" x14ac:dyDescent="0.25">
      <c r="A25274" t="s">
        <v>16</v>
      </c>
      <c r="B25274" t="s">
        <v>3221</v>
      </c>
      <c r="C25274">
        <v>7153</v>
      </c>
      <c r="D25274" t="s">
        <v>547</v>
      </c>
      <c r="E25274" t="s">
        <v>548</v>
      </c>
      <c r="F25274">
        <v>89.63</v>
      </c>
      <c r="G25274">
        <v>230524</v>
      </c>
      <c r="H25274">
        <v>4600</v>
      </c>
      <c r="I25274" t="s">
        <v>105</v>
      </c>
      <c r="J25274">
        <v>111.14</v>
      </c>
      <c r="K25274">
        <v>21.51</v>
      </c>
      <c r="L25274">
        <v>46555</v>
      </c>
      <c r="M25274" t="s">
        <v>597</v>
      </c>
      <c r="N25274" t="str">
        <f>"73520663    "</f>
        <v xml:space="preserve">73520663    </v>
      </c>
      <c r="O25274">
        <v>230525</v>
      </c>
    </row>
    <row r="25275" spans="1:15" x14ac:dyDescent="0.25">
      <c r="A25275" t="s">
        <v>16</v>
      </c>
      <c r="B25275" t="s">
        <v>3221</v>
      </c>
      <c r="C25275">
        <v>7374</v>
      </c>
      <c r="D25275" t="s">
        <v>547</v>
      </c>
      <c r="E25275" t="s">
        <v>548</v>
      </c>
      <c r="F25275">
        <v>88.81</v>
      </c>
      <c r="G25275">
        <v>230517</v>
      </c>
      <c r="H25275">
        <v>4600</v>
      </c>
      <c r="I25275" t="s">
        <v>105</v>
      </c>
      <c r="J25275">
        <v>110.12</v>
      </c>
      <c r="K25275">
        <v>21.31</v>
      </c>
      <c r="L25275">
        <v>17802</v>
      </c>
      <c r="M25275" t="s">
        <v>174</v>
      </c>
      <c r="N25275" t="str">
        <f>"73520035    "</f>
        <v xml:space="preserve">73520035    </v>
      </c>
      <c r="O25275">
        <v>230529</v>
      </c>
    </row>
    <row r="25276" spans="1:15" x14ac:dyDescent="0.25">
      <c r="A25276" t="s">
        <v>16</v>
      </c>
      <c r="B25276" t="s">
        <v>3221</v>
      </c>
      <c r="C25276">
        <v>7374</v>
      </c>
      <c r="D25276" t="s">
        <v>547</v>
      </c>
      <c r="E25276" t="s">
        <v>548</v>
      </c>
      <c r="F25276">
        <v>88.79</v>
      </c>
      <c r="G25276">
        <v>230517</v>
      </c>
      <c r="H25276">
        <v>4600</v>
      </c>
      <c r="I25276" t="s">
        <v>105</v>
      </c>
      <c r="J25276">
        <v>110.1</v>
      </c>
      <c r="K25276">
        <v>21.31</v>
      </c>
      <c r="L25276">
        <v>17803</v>
      </c>
      <c r="M25276" t="s">
        <v>389</v>
      </c>
      <c r="N25276" t="str">
        <f>"73520035    "</f>
        <v xml:space="preserve">73520035    </v>
      </c>
      <c r="O25276">
        <v>230529</v>
      </c>
    </row>
    <row r="25277" spans="1:15" x14ac:dyDescent="0.25">
      <c r="A25277" t="s">
        <v>16</v>
      </c>
      <c r="B25277" t="s">
        <v>3221</v>
      </c>
      <c r="C25277">
        <v>7374</v>
      </c>
      <c r="D25277" t="s">
        <v>547</v>
      </c>
      <c r="E25277" t="s">
        <v>548</v>
      </c>
      <c r="F25277">
        <v>88.79</v>
      </c>
      <c r="G25277">
        <v>230517</v>
      </c>
      <c r="H25277">
        <v>4600</v>
      </c>
      <c r="I25277" t="s">
        <v>105</v>
      </c>
      <c r="J25277">
        <v>110.1</v>
      </c>
      <c r="K25277">
        <v>21.31</v>
      </c>
      <c r="L25277">
        <v>17805</v>
      </c>
      <c r="M25277" t="s">
        <v>102</v>
      </c>
      <c r="N25277" t="str">
        <f>"73520035    "</f>
        <v xml:space="preserve">73520035    </v>
      </c>
      <c r="O25277">
        <v>230529</v>
      </c>
    </row>
    <row r="25278" spans="1:15" x14ac:dyDescent="0.25">
      <c r="A25278" t="s">
        <v>16</v>
      </c>
      <c r="B25278" t="s">
        <v>3221</v>
      </c>
      <c r="C25278">
        <v>11402</v>
      </c>
      <c r="D25278" t="s">
        <v>547</v>
      </c>
      <c r="E25278" t="s">
        <v>548</v>
      </c>
      <c r="F25278">
        <v>1668.59</v>
      </c>
      <c r="G25278">
        <v>230901</v>
      </c>
      <c r="H25278">
        <v>4600</v>
      </c>
      <c r="I25278" t="s">
        <v>105</v>
      </c>
      <c r="J25278">
        <v>2069.0500000000002</v>
      </c>
      <c r="K25278">
        <v>400.46</v>
      </c>
      <c r="L25278">
        <v>17807</v>
      </c>
      <c r="M25278" t="s">
        <v>318</v>
      </c>
      <c r="N25278" t="str">
        <f>"73533810    "</f>
        <v xml:space="preserve">73533810    </v>
      </c>
      <c r="O25278">
        <v>230905</v>
      </c>
    </row>
    <row r="25279" spans="1:15" x14ac:dyDescent="0.25">
      <c r="A25279" t="s">
        <v>16</v>
      </c>
      <c r="B25279" t="s">
        <v>3221</v>
      </c>
      <c r="C25279">
        <v>11988</v>
      </c>
      <c r="D25279" t="s">
        <v>547</v>
      </c>
      <c r="E25279" t="s">
        <v>548</v>
      </c>
      <c r="F25279">
        <v>50</v>
      </c>
      <c r="G25279">
        <v>230907</v>
      </c>
      <c r="H25279">
        <v>4600</v>
      </c>
      <c r="I25279" t="s">
        <v>105</v>
      </c>
      <c r="J25279">
        <v>62</v>
      </c>
      <c r="K25279">
        <v>12</v>
      </c>
      <c r="L25279">
        <v>17807</v>
      </c>
      <c r="M25279" t="s">
        <v>318</v>
      </c>
      <c r="N25279" t="str">
        <f>"73534647    "</f>
        <v xml:space="preserve">73534647    </v>
      </c>
      <c r="O25279">
        <v>230912</v>
      </c>
    </row>
    <row r="25280" spans="1:15" x14ac:dyDescent="0.25">
      <c r="A25280" t="s">
        <v>16</v>
      </c>
      <c r="B25280" t="s">
        <v>3221</v>
      </c>
      <c r="C25280">
        <v>12137</v>
      </c>
      <c r="D25280" t="s">
        <v>547</v>
      </c>
      <c r="E25280" t="s">
        <v>548</v>
      </c>
      <c r="F25280">
        <v>93.91</v>
      </c>
      <c r="G25280">
        <v>230904</v>
      </c>
      <c r="H25280">
        <v>4600</v>
      </c>
      <c r="I25280" t="s">
        <v>105</v>
      </c>
      <c r="J25280">
        <v>116.45</v>
      </c>
      <c r="K25280">
        <v>22.54</v>
      </c>
      <c r="L25280">
        <v>47522</v>
      </c>
      <c r="M25280" t="s">
        <v>410</v>
      </c>
      <c r="N25280" t="str">
        <f>"73534014    "</f>
        <v xml:space="preserve">73534014    </v>
      </c>
      <c r="O25280">
        <v>230914</v>
      </c>
    </row>
    <row r="25281" spans="1:15" x14ac:dyDescent="0.25">
      <c r="A25281" t="s">
        <v>16</v>
      </c>
      <c r="B25281" t="s">
        <v>3221</v>
      </c>
      <c r="C25281">
        <v>12852</v>
      </c>
      <c r="D25281" t="s">
        <v>547</v>
      </c>
      <c r="E25281" t="s">
        <v>548</v>
      </c>
      <c r="F25281">
        <v>654.91</v>
      </c>
      <c r="G25281">
        <v>230925</v>
      </c>
      <c r="H25281">
        <v>4600</v>
      </c>
      <c r="I25281" t="s">
        <v>105</v>
      </c>
      <c r="J25281">
        <v>812.09</v>
      </c>
      <c r="K25281">
        <v>157.18</v>
      </c>
      <c r="L25281">
        <v>17807</v>
      </c>
      <c r="M25281" t="s">
        <v>318</v>
      </c>
      <c r="N25281" t="str">
        <f>"73536792    "</f>
        <v xml:space="preserve">73536792    </v>
      </c>
      <c r="O25281">
        <v>230928</v>
      </c>
    </row>
    <row r="25282" spans="1:15" x14ac:dyDescent="0.25">
      <c r="A25282" t="s">
        <v>16</v>
      </c>
      <c r="B25282" t="s">
        <v>3221</v>
      </c>
      <c r="C25282">
        <v>13474</v>
      </c>
      <c r="D25282" t="s">
        <v>547</v>
      </c>
      <c r="E25282" t="s">
        <v>548</v>
      </c>
      <c r="F25282">
        <v>67.5</v>
      </c>
      <c r="G25282">
        <v>231006</v>
      </c>
      <c r="H25282">
        <v>4600</v>
      </c>
      <c r="I25282" t="s">
        <v>105</v>
      </c>
      <c r="J25282">
        <v>83.7</v>
      </c>
      <c r="K25282">
        <v>16.2</v>
      </c>
      <c r="L25282">
        <v>17807</v>
      </c>
      <c r="M25282" t="s">
        <v>318</v>
      </c>
      <c r="N25282" t="str">
        <f>"73538962    "</f>
        <v xml:space="preserve">73538962    </v>
      </c>
      <c r="O25282">
        <v>231010</v>
      </c>
    </row>
    <row r="25283" spans="1:15" x14ac:dyDescent="0.25">
      <c r="A25283" t="s">
        <v>16</v>
      </c>
      <c r="B25283" t="s">
        <v>3221</v>
      </c>
      <c r="C25283">
        <v>14222</v>
      </c>
      <c r="D25283" t="s">
        <v>547</v>
      </c>
      <c r="E25283" t="s">
        <v>548</v>
      </c>
      <c r="F25283">
        <v>601.42999999999995</v>
      </c>
      <c r="G25283">
        <v>231012</v>
      </c>
      <c r="H25283">
        <v>4600</v>
      </c>
      <c r="I25283" t="s">
        <v>105</v>
      </c>
      <c r="J25283">
        <v>745.77</v>
      </c>
      <c r="K25283">
        <v>144.34</v>
      </c>
      <c r="L25283">
        <v>17807</v>
      </c>
      <c r="M25283" t="s">
        <v>318</v>
      </c>
      <c r="N25283" t="str">
        <f>"73539643    "</f>
        <v xml:space="preserve">73539643    </v>
      </c>
      <c r="O25283">
        <v>231024</v>
      </c>
    </row>
    <row r="25284" spans="1:15" x14ac:dyDescent="0.25">
      <c r="A25284" t="s">
        <v>16</v>
      </c>
      <c r="B25284" t="s">
        <v>3221</v>
      </c>
      <c r="C25284">
        <v>14644</v>
      </c>
      <c r="D25284" t="s">
        <v>547</v>
      </c>
      <c r="E25284" t="s">
        <v>548</v>
      </c>
      <c r="F25284">
        <v>416.2</v>
      </c>
      <c r="G25284">
        <v>231027</v>
      </c>
      <c r="H25284">
        <v>4600</v>
      </c>
      <c r="I25284" t="s">
        <v>105</v>
      </c>
      <c r="J25284">
        <v>516.09</v>
      </c>
      <c r="K25284">
        <v>99.89</v>
      </c>
      <c r="L25284">
        <v>17807</v>
      </c>
      <c r="M25284" t="s">
        <v>318</v>
      </c>
      <c r="N25284" t="str">
        <f>"73541807    "</f>
        <v xml:space="preserve">73541807    </v>
      </c>
      <c r="O25284">
        <v>231031</v>
      </c>
    </row>
    <row r="25285" spans="1:15" x14ac:dyDescent="0.25">
      <c r="A25285" t="s">
        <v>16</v>
      </c>
      <c r="B25285" t="s">
        <v>3221</v>
      </c>
      <c r="C25285">
        <v>15991</v>
      </c>
      <c r="D25285" t="s">
        <v>547</v>
      </c>
      <c r="E25285" t="s">
        <v>548</v>
      </c>
      <c r="F25285">
        <v>905.06</v>
      </c>
      <c r="G25285">
        <v>231116</v>
      </c>
      <c r="H25285">
        <v>4600</v>
      </c>
      <c r="I25285" t="s">
        <v>105</v>
      </c>
      <c r="J25285">
        <v>1122.27</v>
      </c>
      <c r="K25285">
        <v>217.21</v>
      </c>
      <c r="L25285">
        <v>17807</v>
      </c>
      <c r="M25285" t="s">
        <v>318</v>
      </c>
      <c r="N25285" t="str">
        <f>"73544963    "</f>
        <v xml:space="preserve">73544963    </v>
      </c>
      <c r="O25285">
        <v>231122</v>
      </c>
    </row>
    <row r="25286" spans="1:15" x14ac:dyDescent="0.25">
      <c r="A25286" t="s">
        <v>16</v>
      </c>
      <c r="B25286" t="s">
        <v>3221</v>
      </c>
      <c r="C25286">
        <v>16290</v>
      </c>
      <c r="D25286" t="s">
        <v>547</v>
      </c>
      <c r="E25286" t="s">
        <v>548</v>
      </c>
      <c r="F25286">
        <v>224.68</v>
      </c>
      <c r="G25286">
        <v>231123</v>
      </c>
      <c r="H25286">
        <v>4600</v>
      </c>
      <c r="I25286" t="s">
        <v>105</v>
      </c>
      <c r="J25286">
        <v>278.60000000000002</v>
      </c>
      <c r="K25286">
        <v>53.92</v>
      </c>
      <c r="L25286">
        <v>17807</v>
      </c>
      <c r="M25286" t="s">
        <v>318</v>
      </c>
      <c r="N25286" t="str">
        <f>"73545862    "</f>
        <v xml:space="preserve">73545862    </v>
      </c>
      <c r="O25286">
        <v>231127</v>
      </c>
    </row>
    <row r="25287" spans="1:15" x14ac:dyDescent="0.25">
      <c r="A25287" t="s">
        <v>16</v>
      </c>
      <c r="B25287" t="s">
        <v>3221</v>
      </c>
      <c r="C25287">
        <v>18296</v>
      </c>
      <c r="D25287" t="s">
        <v>547</v>
      </c>
      <c r="E25287" t="s">
        <v>548</v>
      </c>
      <c r="F25287">
        <v>51</v>
      </c>
      <c r="G25287">
        <v>231221</v>
      </c>
      <c r="H25287">
        <v>4600</v>
      </c>
      <c r="I25287" t="s">
        <v>105</v>
      </c>
      <c r="J25287">
        <v>63.24</v>
      </c>
      <c r="K25287">
        <v>12.24</v>
      </c>
      <c r="L25287">
        <v>17807</v>
      </c>
      <c r="M25287" t="s">
        <v>318</v>
      </c>
      <c r="N25287" t="str">
        <f>"73549727    "</f>
        <v xml:space="preserve">73549727    </v>
      </c>
      <c r="O25287">
        <v>240102</v>
      </c>
    </row>
    <row r="25288" spans="1:15" x14ac:dyDescent="0.25">
      <c r="A25288" t="s">
        <v>16</v>
      </c>
      <c r="B25288" t="s">
        <v>3221</v>
      </c>
      <c r="C25288">
        <v>100</v>
      </c>
      <c r="D25288" t="s">
        <v>114</v>
      </c>
      <c r="E25288" t="s">
        <v>115</v>
      </c>
      <c r="F25288">
        <v>152.99</v>
      </c>
      <c r="G25288">
        <v>230102</v>
      </c>
      <c r="H25288">
        <v>4532</v>
      </c>
      <c r="I25288" t="s">
        <v>116</v>
      </c>
      <c r="J25288">
        <v>189.71</v>
      </c>
      <c r="K25288">
        <v>36.72</v>
      </c>
      <c r="L25288">
        <v>46554</v>
      </c>
      <c r="M25288" t="s">
        <v>117</v>
      </c>
      <c r="N25288" t="str">
        <f>"120883525   "</f>
        <v xml:space="preserve">120883525   </v>
      </c>
      <c r="O25288">
        <v>230110</v>
      </c>
    </row>
    <row r="25289" spans="1:15" x14ac:dyDescent="0.25">
      <c r="A25289" t="s">
        <v>16</v>
      </c>
      <c r="B25289" t="s">
        <v>3221</v>
      </c>
      <c r="C25289">
        <v>371</v>
      </c>
      <c r="D25289" t="s">
        <v>114</v>
      </c>
      <c r="E25289" t="s">
        <v>115</v>
      </c>
      <c r="F25289">
        <v>210.29</v>
      </c>
      <c r="G25289">
        <v>230117</v>
      </c>
      <c r="H25289">
        <v>4532</v>
      </c>
      <c r="I25289" t="s">
        <v>116</v>
      </c>
      <c r="J25289">
        <v>260.76</v>
      </c>
      <c r="K25289">
        <v>50.47</v>
      </c>
      <c r="L25289">
        <v>17711</v>
      </c>
      <c r="M25289" t="s">
        <v>65</v>
      </c>
      <c r="N25289" t="str">
        <f>"120929332   "</f>
        <v xml:space="preserve">120929332   </v>
      </c>
      <c r="O25289">
        <v>230119</v>
      </c>
    </row>
    <row r="25290" spans="1:15" x14ac:dyDescent="0.25">
      <c r="A25290" t="s">
        <v>16</v>
      </c>
      <c r="B25290" t="s">
        <v>3221</v>
      </c>
      <c r="C25290">
        <v>509</v>
      </c>
      <c r="D25290" t="s">
        <v>114</v>
      </c>
      <c r="E25290" t="s">
        <v>115</v>
      </c>
      <c r="F25290">
        <v>141.61000000000001</v>
      </c>
      <c r="G25290">
        <v>230118</v>
      </c>
      <c r="H25290">
        <v>4532</v>
      </c>
      <c r="I25290" t="s">
        <v>116</v>
      </c>
      <c r="J25290">
        <v>175.6</v>
      </c>
      <c r="K25290">
        <v>33.99</v>
      </c>
      <c r="L25290">
        <v>46554</v>
      </c>
      <c r="M25290" t="s">
        <v>117</v>
      </c>
      <c r="N25290" t="str">
        <f>"120933449   "</f>
        <v xml:space="preserve">120933449   </v>
      </c>
      <c r="O25290">
        <v>230124</v>
      </c>
    </row>
    <row r="25291" spans="1:15" x14ac:dyDescent="0.25">
      <c r="A25291" t="s">
        <v>16</v>
      </c>
      <c r="B25291" t="s">
        <v>3221</v>
      </c>
      <c r="C25291">
        <v>851</v>
      </c>
      <c r="D25291" t="s">
        <v>114</v>
      </c>
      <c r="E25291" t="s">
        <v>115</v>
      </c>
      <c r="F25291">
        <v>24.72</v>
      </c>
      <c r="G25291">
        <v>230118</v>
      </c>
      <c r="H25291">
        <v>4532</v>
      </c>
      <c r="I25291" t="s">
        <v>116</v>
      </c>
      <c r="J25291">
        <v>30.65</v>
      </c>
      <c r="K25291">
        <v>5.93</v>
      </c>
      <c r="L25291">
        <v>17737</v>
      </c>
      <c r="M25291" t="s">
        <v>279</v>
      </c>
      <c r="N25291" t="str">
        <f>"120931589   "</f>
        <v xml:space="preserve">120931589   </v>
      </c>
      <c r="O25291">
        <v>230131</v>
      </c>
    </row>
    <row r="25292" spans="1:15" x14ac:dyDescent="0.25">
      <c r="A25292" t="s">
        <v>16</v>
      </c>
      <c r="B25292" t="s">
        <v>3221</v>
      </c>
      <c r="C25292">
        <v>971</v>
      </c>
      <c r="D25292" t="s">
        <v>114</v>
      </c>
      <c r="E25292" t="s">
        <v>115</v>
      </c>
      <c r="F25292">
        <v>146.15</v>
      </c>
      <c r="G25292">
        <v>230131</v>
      </c>
      <c r="H25292">
        <v>4532</v>
      </c>
      <c r="I25292" t="s">
        <v>116</v>
      </c>
      <c r="J25292">
        <v>181.23</v>
      </c>
      <c r="K25292">
        <v>35.08</v>
      </c>
      <c r="L25292">
        <v>56562</v>
      </c>
      <c r="M25292" t="s">
        <v>126</v>
      </c>
      <c r="N25292" t="str">
        <f>"120977920   "</f>
        <v xml:space="preserve">120977920   </v>
      </c>
      <c r="O25292">
        <v>230201</v>
      </c>
    </row>
    <row r="25293" spans="1:15" x14ac:dyDescent="0.25">
      <c r="A25293" t="s">
        <v>16</v>
      </c>
      <c r="B25293" t="s">
        <v>3221</v>
      </c>
      <c r="C25293">
        <v>989</v>
      </c>
      <c r="D25293" t="s">
        <v>114</v>
      </c>
      <c r="E25293" t="s">
        <v>115</v>
      </c>
      <c r="F25293">
        <v>98.29</v>
      </c>
      <c r="G25293">
        <v>230131</v>
      </c>
      <c r="H25293">
        <v>4532</v>
      </c>
      <c r="I25293" t="s">
        <v>116</v>
      </c>
      <c r="J25293">
        <v>121.88</v>
      </c>
      <c r="K25293">
        <v>23.59</v>
      </c>
      <c r="L25293">
        <v>59504</v>
      </c>
      <c r="M25293" t="s">
        <v>71</v>
      </c>
      <c r="N25293" t="str">
        <f>"120977921   "</f>
        <v xml:space="preserve">120977921   </v>
      </c>
      <c r="O25293">
        <v>230202</v>
      </c>
    </row>
    <row r="25294" spans="1:15" x14ac:dyDescent="0.25">
      <c r="A25294" t="s">
        <v>16</v>
      </c>
      <c r="B25294" t="s">
        <v>3221</v>
      </c>
      <c r="C25294">
        <v>1292</v>
      </c>
      <c r="D25294" t="s">
        <v>114</v>
      </c>
      <c r="E25294" t="s">
        <v>115</v>
      </c>
      <c r="F25294">
        <v>84.76</v>
      </c>
      <c r="G25294">
        <v>230131</v>
      </c>
      <c r="H25294">
        <v>4532</v>
      </c>
      <c r="I25294" t="s">
        <v>116</v>
      </c>
      <c r="J25294">
        <v>105.1</v>
      </c>
      <c r="K25294">
        <v>20.34</v>
      </c>
      <c r="L25294">
        <v>59113</v>
      </c>
      <c r="M25294" t="s">
        <v>235</v>
      </c>
      <c r="N25294" t="str">
        <f>"120977926   "</f>
        <v xml:space="preserve">120977926   </v>
      </c>
      <c r="O25294">
        <v>230207</v>
      </c>
    </row>
    <row r="25295" spans="1:15" x14ac:dyDescent="0.25">
      <c r="A25295" t="s">
        <v>16</v>
      </c>
      <c r="B25295" t="s">
        <v>3221</v>
      </c>
      <c r="C25295">
        <v>1292</v>
      </c>
      <c r="D25295" t="s">
        <v>114</v>
      </c>
      <c r="E25295" t="s">
        <v>115</v>
      </c>
      <c r="F25295">
        <v>84.76</v>
      </c>
      <c r="G25295">
        <v>230131</v>
      </c>
      <c r="H25295">
        <v>4532</v>
      </c>
      <c r="I25295" t="s">
        <v>116</v>
      </c>
      <c r="J25295">
        <v>105.1</v>
      </c>
      <c r="K25295">
        <v>20.34</v>
      </c>
      <c r="L25295">
        <v>59501</v>
      </c>
      <c r="M25295" t="s">
        <v>69</v>
      </c>
      <c r="N25295" t="str">
        <f>"120977926   "</f>
        <v xml:space="preserve">120977926   </v>
      </c>
      <c r="O25295">
        <v>230207</v>
      </c>
    </row>
    <row r="25296" spans="1:15" x14ac:dyDescent="0.25">
      <c r="A25296" t="s">
        <v>16</v>
      </c>
      <c r="B25296" t="s">
        <v>3221</v>
      </c>
      <c r="C25296">
        <v>1467</v>
      </c>
      <c r="D25296" t="s">
        <v>114</v>
      </c>
      <c r="E25296" t="s">
        <v>115</v>
      </c>
      <c r="F25296">
        <v>286.2</v>
      </c>
      <c r="G25296">
        <v>230131</v>
      </c>
      <c r="H25296">
        <v>4532</v>
      </c>
      <c r="I25296" t="s">
        <v>116</v>
      </c>
      <c r="J25296">
        <v>354.89</v>
      </c>
      <c r="K25296">
        <v>68.69</v>
      </c>
      <c r="L25296">
        <v>46554</v>
      </c>
      <c r="M25296" t="s">
        <v>117</v>
      </c>
      <c r="N25296" t="str">
        <f>"120992156   "</f>
        <v xml:space="preserve">120992156   </v>
      </c>
      <c r="O25296">
        <v>230209</v>
      </c>
    </row>
    <row r="25297" spans="1:15" x14ac:dyDescent="0.25">
      <c r="A25297" t="s">
        <v>16</v>
      </c>
      <c r="B25297" t="s">
        <v>3221</v>
      </c>
      <c r="C25297">
        <v>1476</v>
      </c>
      <c r="D25297" t="s">
        <v>114</v>
      </c>
      <c r="E25297" t="s">
        <v>115</v>
      </c>
      <c r="F25297">
        <v>141.61000000000001</v>
      </c>
      <c r="G25297">
        <v>230201</v>
      </c>
      <c r="H25297">
        <v>4532</v>
      </c>
      <c r="I25297" t="s">
        <v>116</v>
      </c>
      <c r="J25297">
        <v>175.6</v>
      </c>
      <c r="K25297">
        <v>33.99</v>
      </c>
      <c r="L25297">
        <v>46557</v>
      </c>
      <c r="M25297" t="s">
        <v>221</v>
      </c>
      <c r="N25297" t="str">
        <f>"120994325   "</f>
        <v xml:space="preserve">120994325   </v>
      </c>
      <c r="O25297">
        <v>230209</v>
      </c>
    </row>
    <row r="25298" spans="1:15" x14ac:dyDescent="0.25">
      <c r="A25298" t="s">
        <v>16</v>
      </c>
      <c r="B25298" t="s">
        <v>3221</v>
      </c>
      <c r="C25298">
        <v>1613</v>
      </c>
      <c r="D25298" t="s">
        <v>114</v>
      </c>
      <c r="E25298" t="s">
        <v>115</v>
      </c>
      <c r="F25298">
        <v>33.270000000000003</v>
      </c>
      <c r="G25298">
        <v>230208</v>
      </c>
      <c r="H25298">
        <v>4532</v>
      </c>
      <c r="I25298" t="s">
        <v>116</v>
      </c>
      <c r="J25298">
        <v>41.25</v>
      </c>
      <c r="K25298">
        <v>7.98</v>
      </c>
      <c r="L25298">
        <v>17711</v>
      </c>
      <c r="M25298" t="s">
        <v>65</v>
      </c>
      <c r="N25298" t="str">
        <f>"121015531   "</f>
        <v xml:space="preserve">121015531   </v>
      </c>
      <c r="O25298">
        <v>230210</v>
      </c>
    </row>
    <row r="25299" spans="1:15" x14ac:dyDescent="0.25">
      <c r="A25299" t="s">
        <v>16</v>
      </c>
      <c r="B25299" t="s">
        <v>3221</v>
      </c>
      <c r="C25299">
        <v>2102</v>
      </c>
      <c r="D25299" t="s">
        <v>114</v>
      </c>
      <c r="E25299" t="s">
        <v>115</v>
      </c>
      <c r="F25299">
        <v>132.68</v>
      </c>
      <c r="G25299">
        <v>230215</v>
      </c>
      <c r="H25299">
        <v>4532</v>
      </c>
      <c r="I25299" t="s">
        <v>116</v>
      </c>
      <c r="J25299">
        <v>164.52</v>
      </c>
      <c r="K25299">
        <v>31.84</v>
      </c>
      <c r="L25299">
        <v>59815</v>
      </c>
      <c r="M25299" t="s">
        <v>1182</v>
      </c>
      <c r="N25299" t="str">
        <f>"121037827   "</f>
        <v xml:space="preserve">121037827   </v>
      </c>
      <c r="O25299">
        <v>230221</v>
      </c>
    </row>
    <row r="25300" spans="1:15" x14ac:dyDescent="0.25">
      <c r="A25300" t="s">
        <v>16</v>
      </c>
      <c r="B25300" t="s">
        <v>3221</v>
      </c>
      <c r="C25300">
        <v>2475</v>
      </c>
      <c r="D25300" t="s">
        <v>114</v>
      </c>
      <c r="E25300" t="s">
        <v>115</v>
      </c>
      <c r="F25300">
        <v>45.92</v>
      </c>
      <c r="G25300">
        <v>230222</v>
      </c>
      <c r="H25300">
        <v>4532</v>
      </c>
      <c r="I25300" t="s">
        <v>116</v>
      </c>
      <c r="J25300">
        <v>56.94</v>
      </c>
      <c r="K25300">
        <v>11.02</v>
      </c>
      <c r="L25300">
        <v>17711</v>
      </c>
      <c r="M25300" t="s">
        <v>65</v>
      </c>
      <c r="N25300" t="str">
        <f>"121061240   "</f>
        <v xml:space="preserve">121061240   </v>
      </c>
      <c r="O25300">
        <v>230228</v>
      </c>
    </row>
    <row r="25301" spans="1:15" x14ac:dyDescent="0.25">
      <c r="A25301" t="s">
        <v>16</v>
      </c>
      <c r="B25301" t="s">
        <v>3221</v>
      </c>
      <c r="C25301">
        <v>2915</v>
      </c>
      <c r="D25301" t="s">
        <v>114</v>
      </c>
      <c r="E25301" t="s">
        <v>115</v>
      </c>
      <c r="F25301">
        <v>217.29</v>
      </c>
      <c r="G25301">
        <v>230223</v>
      </c>
      <c r="H25301">
        <v>4532</v>
      </c>
      <c r="I25301" t="s">
        <v>116</v>
      </c>
      <c r="J25301">
        <v>269.44</v>
      </c>
      <c r="K25301">
        <v>52.15</v>
      </c>
      <c r="L25301">
        <v>13801</v>
      </c>
      <c r="M25301" t="s">
        <v>162</v>
      </c>
      <c r="N25301" t="str">
        <f>"121067112   "</f>
        <v xml:space="preserve">121067112   </v>
      </c>
      <c r="O25301">
        <v>230308</v>
      </c>
    </row>
    <row r="25302" spans="1:15" x14ac:dyDescent="0.25">
      <c r="A25302" t="s">
        <v>16</v>
      </c>
      <c r="B25302" t="s">
        <v>3221</v>
      </c>
      <c r="C25302">
        <v>2944</v>
      </c>
      <c r="D25302" t="s">
        <v>114</v>
      </c>
      <c r="E25302" t="s">
        <v>115</v>
      </c>
      <c r="F25302">
        <v>163.16</v>
      </c>
      <c r="G25302">
        <v>230306</v>
      </c>
      <c r="H25302">
        <v>4532</v>
      </c>
      <c r="I25302" t="s">
        <v>116</v>
      </c>
      <c r="J25302">
        <v>202.32</v>
      </c>
      <c r="K25302">
        <v>39.159999999999997</v>
      </c>
      <c r="L25302">
        <v>17523</v>
      </c>
      <c r="M25302" t="s">
        <v>134</v>
      </c>
      <c r="N25302" t="str">
        <f>"121111619   "</f>
        <v xml:space="preserve">121111619   </v>
      </c>
      <c r="O25302">
        <v>230308</v>
      </c>
    </row>
    <row r="25303" spans="1:15" x14ac:dyDescent="0.25">
      <c r="A25303" t="s">
        <v>16</v>
      </c>
      <c r="B25303" t="s">
        <v>3221</v>
      </c>
      <c r="C25303">
        <v>3102</v>
      </c>
      <c r="D25303" t="s">
        <v>114</v>
      </c>
      <c r="E25303" t="s">
        <v>115</v>
      </c>
      <c r="F25303">
        <v>136.38999999999999</v>
      </c>
      <c r="G25303">
        <v>230306</v>
      </c>
      <c r="H25303">
        <v>4532</v>
      </c>
      <c r="I25303" t="s">
        <v>116</v>
      </c>
      <c r="J25303">
        <v>169.12</v>
      </c>
      <c r="K25303">
        <v>32.729999999999997</v>
      </c>
      <c r="L25303">
        <v>46555</v>
      </c>
      <c r="M25303" t="s">
        <v>597</v>
      </c>
      <c r="N25303" t="str">
        <f>"121112964   "</f>
        <v xml:space="preserve">121112964   </v>
      </c>
      <c r="O25303">
        <v>230309</v>
      </c>
    </row>
    <row r="25304" spans="1:15" x14ac:dyDescent="0.25">
      <c r="A25304" t="s">
        <v>16</v>
      </c>
      <c r="B25304" t="s">
        <v>3221</v>
      </c>
      <c r="C25304">
        <v>3427</v>
      </c>
      <c r="D25304" t="s">
        <v>114</v>
      </c>
      <c r="E25304" t="s">
        <v>115</v>
      </c>
      <c r="F25304">
        <v>85.29</v>
      </c>
      <c r="G25304">
        <v>230308</v>
      </c>
      <c r="H25304">
        <v>4532</v>
      </c>
      <c r="I25304" t="s">
        <v>116</v>
      </c>
      <c r="J25304">
        <v>105.76</v>
      </c>
      <c r="K25304">
        <v>20.47</v>
      </c>
      <c r="L25304">
        <v>17131</v>
      </c>
      <c r="M25304" t="s">
        <v>64</v>
      </c>
      <c r="N25304" t="str">
        <f>"121118725   "</f>
        <v xml:space="preserve">121118725   </v>
      </c>
      <c r="O25304">
        <v>230315</v>
      </c>
    </row>
    <row r="25305" spans="1:15" x14ac:dyDescent="0.25">
      <c r="A25305" t="s">
        <v>16</v>
      </c>
      <c r="B25305" t="s">
        <v>3221</v>
      </c>
      <c r="C25305">
        <v>4228</v>
      </c>
      <c r="D25305" t="s">
        <v>114</v>
      </c>
      <c r="E25305" t="s">
        <v>115</v>
      </c>
      <c r="F25305">
        <v>141.61000000000001</v>
      </c>
      <c r="G25305">
        <v>230329</v>
      </c>
      <c r="H25305">
        <v>4532</v>
      </c>
      <c r="I25305" t="s">
        <v>116</v>
      </c>
      <c r="J25305">
        <v>175.6</v>
      </c>
      <c r="K25305">
        <v>33.99</v>
      </c>
      <c r="L25305">
        <v>46555</v>
      </c>
      <c r="M25305" t="s">
        <v>597</v>
      </c>
      <c r="N25305" t="str">
        <f>"121187105   "</f>
        <v xml:space="preserve">121187105   </v>
      </c>
      <c r="O25305">
        <v>230403</v>
      </c>
    </row>
    <row r="25306" spans="1:15" x14ac:dyDescent="0.25">
      <c r="A25306" t="s">
        <v>16</v>
      </c>
      <c r="B25306" t="s">
        <v>3221</v>
      </c>
      <c r="C25306">
        <v>4482</v>
      </c>
      <c r="D25306" t="s">
        <v>114</v>
      </c>
      <c r="E25306" t="s">
        <v>115</v>
      </c>
      <c r="F25306">
        <v>53.15</v>
      </c>
      <c r="G25306">
        <v>230404</v>
      </c>
      <c r="H25306">
        <v>4532</v>
      </c>
      <c r="I25306" t="s">
        <v>116</v>
      </c>
      <c r="J25306">
        <v>65.91</v>
      </c>
      <c r="K25306">
        <v>12.76</v>
      </c>
      <c r="L25306">
        <v>17711</v>
      </c>
      <c r="M25306" t="s">
        <v>65</v>
      </c>
      <c r="N25306" t="str">
        <f>"121218311   "</f>
        <v xml:space="preserve">121218311   </v>
      </c>
      <c r="O25306">
        <v>230406</v>
      </c>
    </row>
    <row r="25307" spans="1:15" x14ac:dyDescent="0.25">
      <c r="A25307" t="s">
        <v>16</v>
      </c>
      <c r="B25307" t="s">
        <v>3221</v>
      </c>
      <c r="C25307">
        <v>5066</v>
      </c>
      <c r="D25307" t="s">
        <v>114</v>
      </c>
      <c r="E25307" t="s">
        <v>115</v>
      </c>
      <c r="F25307">
        <v>95.69</v>
      </c>
      <c r="G25307">
        <v>230404</v>
      </c>
      <c r="H25307">
        <v>4532</v>
      </c>
      <c r="I25307" t="s">
        <v>116</v>
      </c>
      <c r="J25307">
        <v>118.65</v>
      </c>
      <c r="K25307">
        <v>22.96</v>
      </c>
      <c r="L25307">
        <v>17523</v>
      </c>
      <c r="M25307" t="s">
        <v>134</v>
      </c>
      <c r="N25307" t="str">
        <f>"121221369   "</f>
        <v xml:space="preserve">121221369   </v>
      </c>
      <c r="O25307">
        <v>230418</v>
      </c>
    </row>
    <row r="25308" spans="1:15" x14ac:dyDescent="0.25">
      <c r="A25308" t="s">
        <v>16</v>
      </c>
      <c r="B25308" t="s">
        <v>3221</v>
      </c>
      <c r="C25308">
        <v>5197</v>
      </c>
      <c r="D25308" t="s">
        <v>114</v>
      </c>
      <c r="E25308" t="s">
        <v>115</v>
      </c>
      <c r="F25308">
        <v>97</v>
      </c>
      <c r="G25308">
        <v>230412</v>
      </c>
      <c r="H25308">
        <v>4532</v>
      </c>
      <c r="I25308" t="s">
        <v>116</v>
      </c>
      <c r="J25308">
        <v>120.28</v>
      </c>
      <c r="K25308">
        <v>23.28</v>
      </c>
      <c r="L25308">
        <v>46554</v>
      </c>
      <c r="M25308" t="s">
        <v>117</v>
      </c>
      <c r="N25308" t="str">
        <f>"121238557   "</f>
        <v xml:space="preserve">121238557   </v>
      </c>
      <c r="O25308">
        <v>230419</v>
      </c>
    </row>
    <row r="25309" spans="1:15" x14ac:dyDescent="0.25">
      <c r="A25309" t="s">
        <v>16</v>
      </c>
      <c r="B25309" t="s">
        <v>3221</v>
      </c>
      <c r="C25309">
        <v>6694</v>
      </c>
      <c r="D25309" t="s">
        <v>114</v>
      </c>
      <c r="E25309" t="s">
        <v>115</v>
      </c>
      <c r="F25309">
        <v>141.61000000000001</v>
      </c>
      <c r="G25309">
        <v>230510</v>
      </c>
      <c r="H25309">
        <v>4532</v>
      </c>
      <c r="I25309" t="s">
        <v>116</v>
      </c>
      <c r="J25309">
        <v>175.6</v>
      </c>
      <c r="K25309">
        <v>33.99</v>
      </c>
      <c r="L25309">
        <v>17711</v>
      </c>
      <c r="M25309" t="s">
        <v>65</v>
      </c>
      <c r="N25309" t="str">
        <f>"121348170   "</f>
        <v xml:space="preserve">121348170   </v>
      </c>
      <c r="O25309">
        <v>230517</v>
      </c>
    </row>
    <row r="25310" spans="1:15" x14ac:dyDescent="0.25">
      <c r="A25310" t="s">
        <v>16</v>
      </c>
      <c r="B25310" t="s">
        <v>3221</v>
      </c>
      <c r="C25310">
        <v>6921</v>
      </c>
      <c r="D25310" t="s">
        <v>114</v>
      </c>
      <c r="E25310" t="s">
        <v>115</v>
      </c>
      <c r="F25310">
        <v>45.36</v>
      </c>
      <c r="G25310">
        <v>230515</v>
      </c>
      <c r="H25310">
        <v>4532</v>
      </c>
      <c r="I25310" t="s">
        <v>116</v>
      </c>
      <c r="J25310">
        <v>56.25</v>
      </c>
      <c r="K25310">
        <v>10.89</v>
      </c>
      <c r="L25310">
        <v>56562</v>
      </c>
      <c r="M25310" t="s">
        <v>126</v>
      </c>
      <c r="N25310" t="str">
        <f>"121367429   "</f>
        <v xml:space="preserve">121367429   </v>
      </c>
      <c r="O25310">
        <v>230523</v>
      </c>
    </row>
    <row r="25311" spans="1:15" x14ac:dyDescent="0.25">
      <c r="A25311" t="s">
        <v>16</v>
      </c>
      <c r="B25311" t="s">
        <v>3221</v>
      </c>
      <c r="C25311">
        <v>9226</v>
      </c>
      <c r="D25311" t="s">
        <v>114</v>
      </c>
      <c r="E25311" t="s">
        <v>115</v>
      </c>
      <c r="F25311">
        <v>70.599999999999994</v>
      </c>
      <c r="G25311">
        <v>230629</v>
      </c>
      <c r="H25311">
        <v>4532</v>
      </c>
      <c r="I25311" t="s">
        <v>116</v>
      </c>
      <c r="J25311">
        <v>87.54</v>
      </c>
      <c r="K25311">
        <v>16.940000000000001</v>
      </c>
      <c r="L25311">
        <v>17952</v>
      </c>
      <c r="M25311" t="s">
        <v>88</v>
      </c>
      <c r="N25311" t="str">
        <f>"121546324   "</f>
        <v xml:space="preserve">121546324   </v>
      </c>
      <c r="O25311">
        <v>230630</v>
      </c>
    </row>
    <row r="25312" spans="1:15" x14ac:dyDescent="0.25">
      <c r="A25312" t="s">
        <v>16</v>
      </c>
      <c r="B25312" t="s">
        <v>3221</v>
      </c>
      <c r="C25312">
        <v>10418</v>
      </c>
      <c r="D25312" t="s">
        <v>114</v>
      </c>
      <c r="E25312" t="s">
        <v>115</v>
      </c>
      <c r="F25312">
        <v>227.67</v>
      </c>
      <c r="G25312">
        <v>230811</v>
      </c>
      <c r="H25312">
        <v>4532</v>
      </c>
      <c r="I25312" t="s">
        <v>116</v>
      </c>
      <c r="J25312">
        <v>282.31</v>
      </c>
      <c r="K25312">
        <v>54.64</v>
      </c>
      <c r="L25312">
        <v>46556</v>
      </c>
      <c r="M25312" t="s">
        <v>125</v>
      </c>
      <c r="N25312" t="str">
        <f>"121702785   "</f>
        <v xml:space="preserve">121702785   </v>
      </c>
      <c r="O25312">
        <v>230815</v>
      </c>
    </row>
    <row r="25313" spans="1:15" x14ac:dyDescent="0.25">
      <c r="A25313" t="s">
        <v>16</v>
      </c>
      <c r="B25313" t="s">
        <v>3221</v>
      </c>
      <c r="C25313">
        <v>10499</v>
      </c>
      <c r="D25313" t="s">
        <v>114</v>
      </c>
      <c r="E25313" t="s">
        <v>115</v>
      </c>
      <c r="F25313">
        <v>209.01</v>
      </c>
      <c r="G25313">
        <v>230809</v>
      </c>
      <c r="H25313">
        <v>4532</v>
      </c>
      <c r="I25313" t="s">
        <v>116</v>
      </c>
      <c r="J25313">
        <v>259.17</v>
      </c>
      <c r="K25313">
        <v>50.16</v>
      </c>
      <c r="L25313">
        <v>17809</v>
      </c>
      <c r="M25313" t="s">
        <v>376</v>
      </c>
      <c r="N25313" t="str">
        <f>"121693142   "</f>
        <v xml:space="preserve">121693142   </v>
      </c>
      <c r="O25313">
        <v>230817</v>
      </c>
    </row>
    <row r="25314" spans="1:15" x14ac:dyDescent="0.25">
      <c r="A25314" t="s">
        <v>16</v>
      </c>
      <c r="B25314" t="s">
        <v>3221</v>
      </c>
      <c r="C25314">
        <v>10499</v>
      </c>
      <c r="D25314" t="s">
        <v>114</v>
      </c>
      <c r="E25314" t="s">
        <v>115</v>
      </c>
      <c r="F25314">
        <v>33.01</v>
      </c>
      <c r="G25314">
        <v>230809</v>
      </c>
      <c r="H25314">
        <v>4532</v>
      </c>
      <c r="I25314" t="s">
        <v>116</v>
      </c>
      <c r="J25314">
        <v>40.93</v>
      </c>
      <c r="K25314">
        <v>7.92</v>
      </c>
      <c r="L25314">
        <v>17951</v>
      </c>
      <c r="M25314" t="s">
        <v>87</v>
      </c>
      <c r="N25314" t="str">
        <f>"121693142   "</f>
        <v xml:space="preserve">121693142   </v>
      </c>
      <c r="O25314">
        <v>230817</v>
      </c>
    </row>
    <row r="25315" spans="1:15" x14ac:dyDescent="0.25">
      <c r="A25315" t="s">
        <v>16</v>
      </c>
      <c r="B25315" t="s">
        <v>3221</v>
      </c>
      <c r="C25315">
        <v>10526</v>
      </c>
      <c r="D25315" t="s">
        <v>114</v>
      </c>
      <c r="E25315" t="s">
        <v>115</v>
      </c>
      <c r="F25315">
        <v>130.32</v>
      </c>
      <c r="G25315">
        <v>230816</v>
      </c>
      <c r="H25315">
        <v>4532</v>
      </c>
      <c r="I25315" t="s">
        <v>116</v>
      </c>
      <c r="J25315">
        <v>161.6</v>
      </c>
      <c r="K25315">
        <v>31.28</v>
      </c>
      <c r="L25315">
        <v>46556</v>
      </c>
      <c r="M25315" t="s">
        <v>125</v>
      </c>
      <c r="N25315" t="str">
        <f>"121721128   "</f>
        <v xml:space="preserve">121721128   </v>
      </c>
      <c r="O25315">
        <v>230817</v>
      </c>
    </row>
    <row r="25316" spans="1:15" x14ac:dyDescent="0.25">
      <c r="A25316" t="s">
        <v>16</v>
      </c>
      <c r="B25316" t="s">
        <v>3221</v>
      </c>
      <c r="C25316">
        <v>10526</v>
      </c>
      <c r="D25316" t="s">
        <v>114</v>
      </c>
      <c r="E25316" t="s">
        <v>115</v>
      </c>
      <c r="F25316">
        <v>733.16</v>
      </c>
      <c r="G25316">
        <v>230816</v>
      </c>
      <c r="H25316">
        <v>4532</v>
      </c>
      <c r="I25316" t="s">
        <v>116</v>
      </c>
      <c r="J25316">
        <v>909.12</v>
      </c>
      <c r="K25316">
        <v>175.96</v>
      </c>
      <c r="L25316">
        <v>46556</v>
      </c>
      <c r="M25316" t="s">
        <v>125</v>
      </c>
      <c r="N25316" t="str">
        <f>"121721128   "</f>
        <v xml:space="preserve">121721128   </v>
      </c>
      <c r="O25316">
        <v>230817</v>
      </c>
    </row>
    <row r="25317" spans="1:15" x14ac:dyDescent="0.25">
      <c r="A25317" t="s">
        <v>16</v>
      </c>
      <c r="B25317" t="s">
        <v>3221</v>
      </c>
      <c r="C25317">
        <v>10567</v>
      </c>
      <c r="D25317" t="s">
        <v>114</v>
      </c>
      <c r="E25317" t="s">
        <v>115</v>
      </c>
      <c r="F25317">
        <v>62.08</v>
      </c>
      <c r="G25317">
        <v>230811</v>
      </c>
      <c r="H25317">
        <v>4532</v>
      </c>
      <c r="I25317" t="s">
        <v>116</v>
      </c>
      <c r="J25317">
        <v>62.08</v>
      </c>
      <c r="K25317">
        <v>0</v>
      </c>
      <c r="L25317">
        <v>46554</v>
      </c>
      <c r="M25317" t="s">
        <v>117</v>
      </c>
      <c r="N25317" t="str">
        <f>"121702784   "</f>
        <v xml:space="preserve">121702784   </v>
      </c>
      <c r="O25317">
        <v>230818</v>
      </c>
    </row>
    <row r="25318" spans="1:15" x14ac:dyDescent="0.25">
      <c r="A25318" t="s">
        <v>16</v>
      </c>
      <c r="B25318" t="s">
        <v>3221</v>
      </c>
      <c r="C25318">
        <v>10669</v>
      </c>
      <c r="D25318" t="s">
        <v>114</v>
      </c>
      <c r="E25318" t="s">
        <v>115</v>
      </c>
      <c r="F25318">
        <v>13.66</v>
      </c>
      <c r="G25318">
        <v>230817</v>
      </c>
      <c r="H25318">
        <v>4532</v>
      </c>
      <c r="I25318" t="s">
        <v>116</v>
      </c>
      <c r="J25318">
        <v>16.940000000000001</v>
      </c>
      <c r="K25318">
        <v>3.28</v>
      </c>
      <c r="L25318">
        <v>46556</v>
      </c>
      <c r="M25318" t="s">
        <v>125</v>
      </c>
      <c r="N25318" t="str">
        <f>"121726681   "</f>
        <v xml:space="preserve">121726681   </v>
      </c>
      <c r="O25318">
        <v>230821</v>
      </c>
    </row>
    <row r="25319" spans="1:15" x14ac:dyDescent="0.25">
      <c r="A25319" t="s">
        <v>16</v>
      </c>
      <c r="B25319" t="s">
        <v>3221</v>
      </c>
      <c r="C25319">
        <v>10795</v>
      </c>
      <c r="D25319" t="s">
        <v>114</v>
      </c>
      <c r="E25319" t="s">
        <v>115</v>
      </c>
      <c r="F25319">
        <v>67</v>
      </c>
      <c r="G25319">
        <v>230815</v>
      </c>
      <c r="H25319">
        <v>4532</v>
      </c>
      <c r="I25319" t="s">
        <v>116</v>
      </c>
      <c r="J25319">
        <v>83.08</v>
      </c>
      <c r="K25319">
        <v>16.079999999999998</v>
      </c>
      <c r="L25319">
        <v>44222</v>
      </c>
      <c r="M25319" t="s">
        <v>232</v>
      </c>
      <c r="N25319" t="str">
        <f>"121715499   "</f>
        <v xml:space="preserve">121715499   </v>
      </c>
      <c r="O25319">
        <v>230823</v>
      </c>
    </row>
    <row r="25320" spans="1:15" x14ac:dyDescent="0.25">
      <c r="A25320" t="s">
        <v>16</v>
      </c>
      <c r="B25320" t="s">
        <v>3221</v>
      </c>
      <c r="C25320">
        <v>10795</v>
      </c>
      <c r="D25320" t="s">
        <v>114</v>
      </c>
      <c r="E25320" t="s">
        <v>115</v>
      </c>
      <c r="F25320">
        <v>67</v>
      </c>
      <c r="G25320">
        <v>230815</v>
      </c>
      <c r="H25320">
        <v>4532</v>
      </c>
      <c r="I25320" t="s">
        <v>116</v>
      </c>
      <c r="J25320">
        <v>83.08</v>
      </c>
      <c r="K25320">
        <v>16.079999999999998</v>
      </c>
      <c r="L25320">
        <v>46554</v>
      </c>
      <c r="M25320" t="s">
        <v>117</v>
      </c>
      <c r="N25320" t="str">
        <f>"121715499   "</f>
        <v xml:space="preserve">121715499   </v>
      </c>
      <c r="O25320">
        <v>230823</v>
      </c>
    </row>
    <row r="25321" spans="1:15" x14ac:dyDescent="0.25">
      <c r="A25321" t="s">
        <v>16</v>
      </c>
      <c r="B25321" t="s">
        <v>3221</v>
      </c>
      <c r="C25321">
        <v>10795</v>
      </c>
      <c r="D25321" t="s">
        <v>114</v>
      </c>
      <c r="E25321" t="s">
        <v>115</v>
      </c>
      <c r="F25321">
        <v>76</v>
      </c>
      <c r="G25321">
        <v>230815</v>
      </c>
      <c r="H25321">
        <v>4532</v>
      </c>
      <c r="I25321" t="s">
        <v>116</v>
      </c>
      <c r="J25321">
        <v>94.24</v>
      </c>
      <c r="K25321">
        <v>18.239999999999998</v>
      </c>
      <c r="L25321">
        <v>48601</v>
      </c>
      <c r="M25321" t="s">
        <v>1047</v>
      </c>
      <c r="N25321" t="str">
        <f>"121715499   "</f>
        <v xml:space="preserve">121715499   </v>
      </c>
      <c r="O25321">
        <v>230823</v>
      </c>
    </row>
    <row r="25322" spans="1:15" x14ac:dyDescent="0.25">
      <c r="A25322" t="s">
        <v>16</v>
      </c>
      <c r="B25322" t="s">
        <v>3221</v>
      </c>
      <c r="C25322">
        <v>10795</v>
      </c>
      <c r="D25322" t="s">
        <v>114</v>
      </c>
      <c r="E25322" t="s">
        <v>115</v>
      </c>
      <c r="F25322">
        <v>166</v>
      </c>
      <c r="G25322">
        <v>230815</v>
      </c>
      <c r="H25322">
        <v>4532</v>
      </c>
      <c r="I25322" t="s">
        <v>116</v>
      </c>
      <c r="J25322">
        <v>205.84</v>
      </c>
      <c r="K25322">
        <v>39.840000000000003</v>
      </c>
      <c r="L25322">
        <v>49501</v>
      </c>
      <c r="M25322" t="s">
        <v>177</v>
      </c>
      <c r="N25322" t="str">
        <f>"121715499   "</f>
        <v xml:space="preserve">121715499   </v>
      </c>
      <c r="O25322">
        <v>230823</v>
      </c>
    </row>
    <row r="25323" spans="1:15" x14ac:dyDescent="0.25">
      <c r="A25323" t="s">
        <v>16</v>
      </c>
      <c r="B25323" t="s">
        <v>3221</v>
      </c>
      <c r="C25323">
        <v>10804</v>
      </c>
      <c r="D25323" t="s">
        <v>114</v>
      </c>
      <c r="E25323" t="s">
        <v>115</v>
      </c>
      <c r="F25323">
        <v>58.94</v>
      </c>
      <c r="G25323">
        <v>230814</v>
      </c>
      <c r="H25323">
        <v>4532</v>
      </c>
      <c r="I25323" t="s">
        <v>116</v>
      </c>
      <c r="J25323">
        <v>73.09</v>
      </c>
      <c r="K25323">
        <v>14.15</v>
      </c>
      <c r="L25323">
        <v>49501</v>
      </c>
      <c r="M25323" t="s">
        <v>177</v>
      </c>
      <c r="N25323" t="str">
        <f>"121708200   "</f>
        <v xml:space="preserve">121708200   </v>
      </c>
      <c r="O25323">
        <v>230823</v>
      </c>
    </row>
    <row r="25324" spans="1:15" x14ac:dyDescent="0.25">
      <c r="A25324" t="s">
        <v>16</v>
      </c>
      <c r="B25324" t="s">
        <v>3221</v>
      </c>
      <c r="C25324">
        <v>10809</v>
      </c>
      <c r="D25324" t="s">
        <v>114</v>
      </c>
      <c r="E25324" t="s">
        <v>115</v>
      </c>
      <c r="F25324">
        <v>141.61000000000001</v>
      </c>
      <c r="G25324">
        <v>230817</v>
      </c>
      <c r="H25324">
        <v>4532</v>
      </c>
      <c r="I25324" t="s">
        <v>116</v>
      </c>
      <c r="J25324">
        <v>175.6</v>
      </c>
      <c r="K25324">
        <v>33.99</v>
      </c>
      <c r="L25324">
        <v>17522</v>
      </c>
      <c r="M25324" t="s">
        <v>451</v>
      </c>
      <c r="N25324" t="str">
        <f>"121729569   "</f>
        <v xml:space="preserve">121729569   </v>
      </c>
      <c r="O25324">
        <v>230823</v>
      </c>
    </row>
    <row r="25325" spans="1:15" x14ac:dyDescent="0.25">
      <c r="A25325" t="s">
        <v>16</v>
      </c>
      <c r="B25325" t="s">
        <v>3221</v>
      </c>
      <c r="C25325">
        <v>11216</v>
      </c>
      <c r="D25325" t="s">
        <v>114</v>
      </c>
      <c r="E25325" t="s">
        <v>115</v>
      </c>
      <c r="F25325">
        <v>71.98</v>
      </c>
      <c r="G25325">
        <v>230816</v>
      </c>
      <c r="H25325">
        <v>4532</v>
      </c>
      <c r="I25325" t="s">
        <v>116</v>
      </c>
      <c r="J25325">
        <v>89.25</v>
      </c>
      <c r="K25325">
        <v>17.27</v>
      </c>
      <c r="L25325">
        <v>17802</v>
      </c>
      <c r="M25325" t="s">
        <v>174</v>
      </c>
      <c r="N25325" t="str">
        <f>"121725398   "</f>
        <v xml:space="preserve">121725398   </v>
      </c>
      <c r="O25325">
        <v>230901</v>
      </c>
    </row>
    <row r="25326" spans="1:15" x14ac:dyDescent="0.25">
      <c r="A25326" t="s">
        <v>16</v>
      </c>
      <c r="B25326" t="s">
        <v>3221</v>
      </c>
      <c r="C25326">
        <v>11218</v>
      </c>
      <c r="D25326" t="s">
        <v>114</v>
      </c>
      <c r="E25326" t="s">
        <v>115</v>
      </c>
      <c r="F25326">
        <v>102.82</v>
      </c>
      <c r="G25326">
        <v>230817</v>
      </c>
      <c r="H25326">
        <v>4532</v>
      </c>
      <c r="I25326" t="s">
        <v>116</v>
      </c>
      <c r="J25326">
        <v>127.5</v>
      </c>
      <c r="K25326">
        <v>24.68</v>
      </c>
      <c r="L25326">
        <v>17802</v>
      </c>
      <c r="M25326" t="s">
        <v>174</v>
      </c>
      <c r="N25326" t="str">
        <f>"121725499   "</f>
        <v xml:space="preserve">121725499   </v>
      </c>
      <c r="O25326">
        <v>230901</v>
      </c>
    </row>
    <row r="25327" spans="1:15" x14ac:dyDescent="0.25">
      <c r="A25327" t="s">
        <v>16</v>
      </c>
      <c r="B25327" t="s">
        <v>3221</v>
      </c>
      <c r="C25327">
        <v>11458</v>
      </c>
      <c r="D25327" t="s">
        <v>114</v>
      </c>
      <c r="E25327" t="s">
        <v>115</v>
      </c>
      <c r="F25327">
        <v>17.46</v>
      </c>
      <c r="G25327">
        <v>230901</v>
      </c>
      <c r="H25327">
        <v>4532</v>
      </c>
      <c r="I25327" t="s">
        <v>116</v>
      </c>
      <c r="J25327">
        <v>21.65</v>
      </c>
      <c r="K25327">
        <v>4.1900000000000004</v>
      </c>
      <c r="L25327">
        <v>17737</v>
      </c>
      <c r="M25327" t="s">
        <v>279</v>
      </c>
      <c r="N25327" t="str">
        <f>"121803529   "</f>
        <v xml:space="preserve">121803529   </v>
      </c>
      <c r="O25327">
        <v>230905</v>
      </c>
    </row>
    <row r="25328" spans="1:15" x14ac:dyDescent="0.25">
      <c r="A25328" t="s">
        <v>16</v>
      </c>
      <c r="B25328" t="s">
        <v>3221</v>
      </c>
      <c r="C25328">
        <v>11562</v>
      </c>
      <c r="D25328" t="s">
        <v>114</v>
      </c>
      <c r="E25328" t="s">
        <v>115</v>
      </c>
      <c r="F25328">
        <v>132.24</v>
      </c>
      <c r="G25328">
        <v>230831</v>
      </c>
      <c r="H25328">
        <v>4532</v>
      </c>
      <c r="I25328" t="s">
        <v>116</v>
      </c>
      <c r="J25328">
        <v>163.98</v>
      </c>
      <c r="K25328">
        <v>31.74</v>
      </c>
      <c r="L25328">
        <v>56562</v>
      </c>
      <c r="M25328" t="s">
        <v>126</v>
      </c>
      <c r="N25328" t="str">
        <f>"121776901   "</f>
        <v xml:space="preserve">121776901   </v>
      </c>
      <c r="O25328">
        <v>230907</v>
      </c>
    </row>
    <row r="25329" spans="1:15" x14ac:dyDescent="0.25">
      <c r="A25329" t="s">
        <v>16</v>
      </c>
      <c r="B25329" t="s">
        <v>3221</v>
      </c>
      <c r="C25329">
        <v>11810</v>
      </c>
      <c r="D25329" t="s">
        <v>114</v>
      </c>
      <c r="E25329" t="s">
        <v>115</v>
      </c>
      <c r="F25329">
        <v>134</v>
      </c>
      <c r="G25329">
        <v>230824</v>
      </c>
      <c r="H25329">
        <v>4532</v>
      </c>
      <c r="I25329" t="s">
        <v>116</v>
      </c>
      <c r="J25329">
        <v>166.16</v>
      </c>
      <c r="K25329">
        <v>32.159999999999997</v>
      </c>
      <c r="L25329">
        <v>49112</v>
      </c>
      <c r="M25329" t="s">
        <v>233</v>
      </c>
      <c r="N25329" t="str">
        <f>"121751318   "</f>
        <v xml:space="preserve">121751318   </v>
      </c>
      <c r="O25329">
        <v>230911</v>
      </c>
    </row>
    <row r="25330" spans="1:15" x14ac:dyDescent="0.25">
      <c r="A25330" t="s">
        <v>16</v>
      </c>
      <c r="B25330" t="s">
        <v>3221</v>
      </c>
      <c r="C25330">
        <v>12014</v>
      </c>
      <c r="D25330" t="s">
        <v>114</v>
      </c>
      <c r="E25330" t="s">
        <v>115</v>
      </c>
      <c r="F25330">
        <v>163.59</v>
      </c>
      <c r="G25330">
        <v>230904</v>
      </c>
      <c r="H25330">
        <v>4532</v>
      </c>
      <c r="I25330" t="s">
        <v>116</v>
      </c>
      <c r="J25330">
        <v>202.85</v>
      </c>
      <c r="K25330">
        <v>39.26</v>
      </c>
      <c r="L25330">
        <v>46556</v>
      </c>
      <c r="M25330" t="s">
        <v>125</v>
      </c>
      <c r="N25330" t="str">
        <f>"121805879   "</f>
        <v xml:space="preserve">121805879   </v>
      </c>
      <c r="O25330">
        <v>230912</v>
      </c>
    </row>
    <row r="25331" spans="1:15" x14ac:dyDescent="0.25">
      <c r="A25331" t="s">
        <v>16</v>
      </c>
      <c r="B25331" t="s">
        <v>3221</v>
      </c>
      <c r="C25331">
        <v>12260</v>
      </c>
      <c r="D25331" t="s">
        <v>114</v>
      </c>
      <c r="E25331" t="s">
        <v>115</v>
      </c>
      <c r="F25331">
        <v>85</v>
      </c>
      <c r="G25331">
        <v>230831</v>
      </c>
      <c r="H25331">
        <v>4532</v>
      </c>
      <c r="I25331" t="s">
        <v>116</v>
      </c>
      <c r="J25331">
        <v>105.4</v>
      </c>
      <c r="K25331">
        <v>20.399999999999999</v>
      </c>
      <c r="L25331">
        <v>56560</v>
      </c>
      <c r="M25331" t="s">
        <v>654</v>
      </c>
      <c r="N25331" t="str">
        <f>"121776904   "</f>
        <v xml:space="preserve">121776904   </v>
      </c>
      <c r="O25331">
        <v>230918</v>
      </c>
    </row>
    <row r="25332" spans="1:15" x14ac:dyDescent="0.25">
      <c r="A25332" t="s">
        <v>16</v>
      </c>
      <c r="B25332" t="s">
        <v>3221</v>
      </c>
      <c r="C25332">
        <v>12260</v>
      </c>
      <c r="D25332" t="s">
        <v>114</v>
      </c>
      <c r="E25332" t="s">
        <v>115</v>
      </c>
      <c r="F25332">
        <v>152</v>
      </c>
      <c r="G25332">
        <v>230831</v>
      </c>
      <c r="H25332">
        <v>4532</v>
      </c>
      <c r="I25332" t="s">
        <v>116</v>
      </c>
      <c r="J25332">
        <v>188.48</v>
      </c>
      <c r="K25332">
        <v>36.479999999999997</v>
      </c>
      <c r="L25332">
        <v>56562</v>
      </c>
      <c r="M25332" t="s">
        <v>126</v>
      </c>
      <c r="N25332" t="str">
        <f>"121776904   "</f>
        <v xml:space="preserve">121776904   </v>
      </c>
      <c r="O25332">
        <v>230918</v>
      </c>
    </row>
    <row r="25333" spans="1:15" x14ac:dyDescent="0.25">
      <c r="A25333" t="s">
        <v>16</v>
      </c>
      <c r="B25333" t="s">
        <v>3221</v>
      </c>
      <c r="C25333">
        <v>12260</v>
      </c>
      <c r="D25333" t="s">
        <v>114</v>
      </c>
      <c r="E25333" t="s">
        <v>115</v>
      </c>
      <c r="F25333">
        <v>69</v>
      </c>
      <c r="G25333">
        <v>230831</v>
      </c>
      <c r="H25333">
        <v>4532</v>
      </c>
      <c r="I25333" t="s">
        <v>116</v>
      </c>
      <c r="J25333">
        <v>85.56</v>
      </c>
      <c r="K25333">
        <v>16.559999999999999</v>
      </c>
      <c r="L25333">
        <v>56563</v>
      </c>
      <c r="M25333" t="s">
        <v>953</v>
      </c>
      <c r="N25333" t="str">
        <f>"121776904   "</f>
        <v xml:space="preserve">121776904   </v>
      </c>
      <c r="O25333">
        <v>230918</v>
      </c>
    </row>
    <row r="25334" spans="1:15" x14ac:dyDescent="0.25">
      <c r="A25334" t="s">
        <v>16</v>
      </c>
      <c r="B25334" t="s">
        <v>3221</v>
      </c>
      <c r="C25334">
        <v>12260</v>
      </c>
      <c r="D25334" t="s">
        <v>114</v>
      </c>
      <c r="E25334" t="s">
        <v>115</v>
      </c>
      <c r="F25334">
        <v>83</v>
      </c>
      <c r="G25334">
        <v>230831</v>
      </c>
      <c r="H25334">
        <v>4532</v>
      </c>
      <c r="I25334" t="s">
        <v>116</v>
      </c>
      <c r="J25334">
        <v>102.92</v>
      </c>
      <c r="K25334">
        <v>19.920000000000002</v>
      </c>
      <c r="L25334">
        <v>59113</v>
      </c>
      <c r="M25334" t="s">
        <v>235</v>
      </c>
      <c r="N25334" t="str">
        <f>"121776904   "</f>
        <v xml:space="preserve">121776904   </v>
      </c>
      <c r="O25334">
        <v>230918</v>
      </c>
    </row>
    <row r="25335" spans="1:15" x14ac:dyDescent="0.25">
      <c r="A25335" t="s">
        <v>16</v>
      </c>
      <c r="B25335" t="s">
        <v>3221</v>
      </c>
      <c r="C25335">
        <v>12512</v>
      </c>
      <c r="D25335" t="s">
        <v>114</v>
      </c>
      <c r="E25335" t="s">
        <v>115</v>
      </c>
      <c r="F25335">
        <v>350.85</v>
      </c>
      <c r="G25335">
        <v>230912</v>
      </c>
      <c r="H25335">
        <v>4532</v>
      </c>
      <c r="I25335" t="s">
        <v>116</v>
      </c>
      <c r="J25335">
        <v>435.05</v>
      </c>
      <c r="K25335">
        <v>84.2</v>
      </c>
      <c r="L25335">
        <v>17809</v>
      </c>
      <c r="M25335" t="s">
        <v>376</v>
      </c>
      <c r="N25335" t="str">
        <f>"121833334   "</f>
        <v xml:space="preserve">121833334   </v>
      </c>
      <c r="O25335">
        <v>230920</v>
      </c>
    </row>
    <row r="25336" spans="1:15" x14ac:dyDescent="0.25">
      <c r="A25336" t="s">
        <v>16</v>
      </c>
      <c r="B25336" t="s">
        <v>3221</v>
      </c>
      <c r="C25336">
        <v>12538</v>
      </c>
      <c r="D25336" t="s">
        <v>114</v>
      </c>
      <c r="E25336" t="s">
        <v>115</v>
      </c>
      <c r="F25336">
        <v>278.24</v>
      </c>
      <c r="G25336">
        <v>230915</v>
      </c>
      <c r="H25336">
        <v>4532</v>
      </c>
      <c r="I25336" t="s">
        <v>116</v>
      </c>
      <c r="J25336">
        <v>345.02</v>
      </c>
      <c r="K25336">
        <v>66.78</v>
      </c>
      <c r="L25336">
        <v>56562</v>
      </c>
      <c r="M25336" t="s">
        <v>126</v>
      </c>
      <c r="N25336" t="str">
        <f>"121849474   "</f>
        <v xml:space="preserve">121849474   </v>
      </c>
      <c r="O25336">
        <v>230920</v>
      </c>
    </row>
    <row r="25337" spans="1:15" x14ac:dyDescent="0.25">
      <c r="A25337" t="s">
        <v>16</v>
      </c>
      <c r="B25337" t="s">
        <v>3221</v>
      </c>
      <c r="C25337">
        <v>12859</v>
      </c>
      <c r="D25337" t="s">
        <v>114</v>
      </c>
      <c r="E25337" t="s">
        <v>115</v>
      </c>
      <c r="F25337">
        <v>145.6</v>
      </c>
      <c r="G25337">
        <v>230920</v>
      </c>
      <c r="H25337">
        <v>4532</v>
      </c>
      <c r="I25337" t="s">
        <v>116</v>
      </c>
      <c r="J25337">
        <v>180.54</v>
      </c>
      <c r="K25337">
        <v>34.94</v>
      </c>
      <c r="L25337">
        <v>17807</v>
      </c>
      <c r="M25337" t="s">
        <v>318</v>
      </c>
      <c r="N25337" t="str">
        <f>"121868937   "</f>
        <v xml:space="preserve">121868937   </v>
      </c>
      <c r="O25337">
        <v>230928</v>
      </c>
    </row>
    <row r="25338" spans="1:15" x14ac:dyDescent="0.25">
      <c r="A25338" t="s">
        <v>16</v>
      </c>
      <c r="B25338" t="s">
        <v>3221</v>
      </c>
      <c r="C25338">
        <v>13311</v>
      </c>
      <c r="D25338" t="s">
        <v>114</v>
      </c>
      <c r="E25338" t="s">
        <v>115</v>
      </c>
      <c r="F25338">
        <v>163.24</v>
      </c>
      <c r="G25338">
        <v>230918</v>
      </c>
      <c r="H25338">
        <v>4532</v>
      </c>
      <c r="I25338" t="s">
        <v>116</v>
      </c>
      <c r="J25338">
        <v>202.42</v>
      </c>
      <c r="K25338">
        <v>39.18</v>
      </c>
      <c r="L25338">
        <v>17807</v>
      </c>
      <c r="M25338" t="s">
        <v>318</v>
      </c>
      <c r="N25338" t="str">
        <f>"121860519   "</f>
        <v xml:space="preserve">121860519   </v>
      </c>
      <c r="O25338">
        <v>231009</v>
      </c>
    </row>
    <row r="25339" spans="1:15" x14ac:dyDescent="0.25">
      <c r="A25339" t="s">
        <v>16</v>
      </c>
      <c r="B25339" t="s">
        <v>3221</v>
      </c>
      <c r="C25339">
        <v>13713</v>
      </c>
      <c r="D25339" t="s">
        <v>114</v>
      </c>
      <c r="E25339" t="s">
        <v>115</v>
      </c>
      <c r="F25339">
        <v>102.02</v>
      </c>
      <c r="G25339">
        <v>231009</v>
      </c>
      <c r="H25339">
        <v>4532</v>
      </c>
      <c r="I25339" t="s">
        <v>116</v>
      </c>
      <c r="J25339">
        <v>126.5</v>
      </c>
      <c r="K25339">
        <v>24.48</v>
      </c>
      <c r="L25339">
        <v>49501</v>
      </c>
      <c r="M25339" t="s">
        <v>177</v>
      </c>
      <c r="N25339" t="str">
        <f>"121950702   "</f>
        <v xml:space="preserve">121950702   </v>
      </c>
      <c r="O25339">
        <v>231012</v>
      </c>
    </row>
    <row r="25340" spans="1:15" x14ac:dyDescent="0.25">
      <c r="A25340" t="s">
        <v>16</v>
      </c>
      <c r="B25340" t="s">
        <v>3221</v>
      </c>
      <c r="C25340">
        <v>14541</v>
      </c>
      <c r="D25340" t="s">
        <v>114</v>
      </c>
      <c r="E25340" t="s">
        <v>115</v>
      </c>
      <c r="F25340">
        <v>102.02</v>
      </c>
      <c r="G25340">
        <v>231012</v>
      </c>
      <c r="H25340">
        <v>4532</v>
      </c>
      <c r="I25340" t="s">
        <v>116</v>
      </c>
      <c r="J25340">
        <v>126.5</v>
      </c>
      <c r="K25340">
        <v>24.48</v>
      </c>
      <c r="L25340">
        <v>49501</v>
      </c>
      <c r="M25340" t="s">
        <v>177</v>
      </c>
      <c r="N25340" t="str">
        <f>"121965947   "</f>
        <v xml:space="preserve">121965947   </v>
      </c>
      <c r="O25340">
        <v>231030</v>
      </c>
    </row>
    <row r="25341" spans="1:15" x14ac:dyDescent="0.25">
      <c r="A25341" t="s">
        <v>16</v>
      </c>
      <c r="B25341" t="s">
        <v>3221</v>
      </c>
      <c r="C25341">
        <v>15471</v>
      </c>
      <c r="D25341" t="s">
        <v>114</v>
      </c>
      <c r="E25341" t="s">
        <v>115</v>
      </c>
      <c r="F25341">
        <v>210.58</v>
      </c>
      <c r="G25341">
        <v>231025</v>
      </c>
      <c r="H25341">
        <v>4532</v>
      </c>
      <c r="I25341" t="s">
        <v>116</v>
      </c>
      <c r="J25341">
        <v>261.12</v>
      </c>
      <c r="K25341">
        <v>50.54</v>
      </c>
      <c r="L25341">
        <v>17806</v>
      </c>
      <c r="M25341" t="s">
        <v>265</v>
      </c>
      <c r="N25341" t="str">
        <f>"122013188   "</f>
        <v xml:space="preserve">122013188   </v>
      </c>
      <c r="O25341">
        <v>231113</v>
      </c>
    </row>
    <row r="25342" spans="1:15" x14ac:dyDescent="0.25">
      <c r="A25342" t="s">
        <v>16</v>
      </c>
      <c r="B25342" t="s">
        <v>3221</v>
      </c>
      <c r="C25342">
        <v>15518</v>
      </c>
      <c r="D25342" t="s">
        <v>114</v>
      </c>
      <c r="E25342" t="s">
        <v>115</v>
      </c>
      <c r="F25342">
        <v>337.92</v>
      </c>
      <c r="G25342">
        <v>231031</v>
      </c>
      <c r="H25342">
        <v>4532</v>
      </c>
      <c r="I25342" t="s">
        <v>116</v>
      </c>
      <c r="J25342">
        <v>419.02</v>
      </c>
      <c r="K25342">
        <v>81.099999999999994</v>
      </c>
      <c r="L25342">
        <v>46556</v>
      </c>
      <c r="M25342" t="s">
        <v>125</v>
      </c>
      <c r="N25342" t="str">
        <f>"122043984   "</f>
        <v xml:space="preserve">122043984   </v>
      </c>
      <c r="O25342">
        <v>231113</v>
      </c>
    </row>
    <row r="25343" spans="1:15" x14ac:dyDescent="0.25">
      <c r="A25343" t="s">
        <v>16</v>
      </c>
      <c r="B25343" t="s">
        <v>3221</v>
      </c>
      <c r="C25343">
        <v>15540</v>
      </c>
      <c r="D25343" t="s">
        <v>114</v>
      </c>
      <c r="E25343" t="s">
        <v>115</v>
      </c>
      <c r="F25343">
        <v>157.6</v>
      </c>
      <c r="G25343">
        <v>231108</v>
      </c>
      <c r="H25343">
        <v>4532</v>
      </c>
      <c r="I25343" t="s">
        <v>116</v>
      </c>
      <c r="J25343">
        <v>195.42</v>
      </c>
      <c r="K25343">
        <v>37.82</v>
      </c>
      <c r="L25343">
        <v>46556</v>
      </c>
      <c r="M25343" t="s">
        <v>125</v>
      </c>
      <c r="N25343" t="str">
        <f>"122079591   "</f>
        <v xml:space="preserve">122079591   </v>
      </c>
      <c r="O25343">
        <v>231113</v>
      </c>
    </row>
    <row r="25344" spans="1:15" x14ac:dyDescent="0.25">
      <c r="A25344" t="s">
        <v>16</v>
      </c>
      <c r="B25344" t="s">
        <v>3221</v>
      </c>
      <c r="C25344">
        <v>15721</v>
      </c>
      <c r="D25344" t="s">
        <v>114</v>
      </c>
      <c r="E25344" t="s">
        <v>115</v>
      </c>
      <c r="F25344">
        <v>172</v>
      </c>
      <c r="G25344">
        <v>231114</v>
      </c>
      <c r="H25344">
        <v>4532</v>
      </c>
      <c r="I25344" t="s">
        <v>116</v>
      </c>
      <c r="J25344">
        <v>213.28</v>
      </c>
      <c r="K25344">
        <v>41.28</v>
      </c>
      <c r="L25344">
        <v>49501</v>
      </c>
      <c r="M25344" t="s">
        <v>177</v>
      </c>
      <c r="N25344" t="str">
        <f>"122100660   "</f>
        <v xml:space="preserve">122100660   </v>
      </c>
      <c r="O25344">
        <v>231116</v>
      </c>
    </row>
    <row r="25345" spans="1:15" x14ac:dyDescent="0.25">
      <c r="A25345" t="s">
        <v>16</v>
      </c>
      <c r="B25345" t="s">
        <v>3221</v>
      </c>
      <c r="C25345">
        <v>17339</v>
      </c>
      <c r="D25345" t="s">
        <v>114</v>
      </c>
      <c r="E25345" t="s">
        <v>115</v>
      </c>
      <c r="F25345">
        <v>399.59</v>
      </c>
      <c r="G25345">
        <v>231208</v>
      </c>
      <c r="H25345">
        <v>4532</v>
      </c>
      <c r="I25345" t="s">
        <v>116</v>
      </c>
      <c r="J25345">
        <v>495.49</v>
      </c>
      <c r="K25345">
        <v>95.9</v>
      </c>
      <c r="L25345">
        <v>46557</v>
      </c>
      <c r="M25345" t="s">
        <v>221</v>
      </c>
      <c r="N25345" t="str">
        <f>"122201384   "</f>
        <v xml:space="preserve">122201384   </v>
      </c>
      <c r="O25345">
        <v>231213</v>
      </c>
    </row>
    <row r="25346" spans="1:15" x14ac:dyDescent="0.25">
      <c r="A25346" t="s">
        <v>16</v>
      </c>
      <c r="B25346" t="s">
        <v>3221</v>
      </c>
      <c r="C25346">
        <v>17429</v>
      </c>
      <c r="D25346" t="s">
        <v>114</v>
      </c>
      <c r="E25346" t="s">
        <v>115</v>
      </c>
      <c r="F25346">
        <v>72.91</v>
      </c>
      <c r="G25346">
        <v>231130</v>
      </c>
      <c r="H25346">
        <v>4532</v>
      </c>
      <c r="I25346" t="s">
        <v>116</v>
      </c>
      <c r="J25346">
        <v>90.41</v>
      </c>
      <c r="K25346">
        <v>17.5</v>
      </c>
      <c r="L25346">
        <v>49501</v>
      </c>
      <c r="M25346" t="s">
        <v>177</v>
      </c>
      <c r="N25346" t="str">
        <f>"122167495   "</f>
        <v xml:space="preserve">122167495   </v>
      </c>
      <c r="O25346">
        <v>231214</v>
      </c>
    </row>
    <row r="25347" spans="1:15" x14ac:dyDescent="0.25">
      <c r="A25347" t="s">
        <v>16</v>
      </c>
      <c r="B25347" t="s">
        <v>3221</v>
      </c>
      <c r="C25347">
        <v>413</v>
      </c>
      <c r="D25347" t="s">
        <v>114</v>
      </c>
      <c r="E25347" t="s">
        <v>115</v>
      </c>
      <c r="F25347">
        <v>58.83</v>
      </c>
      <c r="G25347">
        <v>230119</v>
      </c>
      <c r="H25347">
        <v>4580</v>
      </c>
      <c r="I25347" t="s">
        <v>35</v>
      </c>
      <c r="J25347">
        <v>72.95</v>
      </c>
      <c r="K25347">
        <v>14.12</v>
      </c>
      <c r="L25347">
        <v>17802</v>
      </c>
      <c r="M25347" t="s">
        <v>174</v>
      </c>
      <c r="N25347" t="str">
        <f>"120934837   "</f>
        <v xml:space="preserve">120934837   </v>
      </c>
      <c r="O25347">
        <v>230120</v>
      </c>
    </row>
    <row r="25348" spans="1:15" x14ac:dyDescent="0.25">
      <c r="A25348" t="s">
        <v>16</v>
      </c>
      <c r="B25348" t="s">
        <v>3221</v>
      </c>
      <c r="C25348">
        <v>414</v>
      </c>
      <c r="D25348" t="s">
        <v>114</v>
      </c>
      <c r="E25348" t="s">
        <v>115</v>
      </c>
      <c r="F25348">
        <v>71.97</v>
      </c>
      <c r="G25348">
        <v>230111</v>
      </c>
      <c r="H25348">
        <v>4580</v>
      </c>
      <c r="I25348" t="s">
        <v>35</v>
      </c>
      <c r="J25348">
        <v>89.24</v>
      </c>
      <c r="K25348">
        <v>17.27</v>
      </c>
      <c r="L25348">
        <v>17802</v>
      </c>
      <c r="M25348" t="s">
        <v>174</v>
      </c>
      <c r="N25348" t="str">
        <f>"120906503   "</f>
        <v xml:space="preserve">120906503   </v>
      </c>
      <c r="O25348">
        <v>230120</v>
      </c>
    </row>
    <row r="25349" spans="1:15" x14ac:dyDescent="0.25">
      <c r="A25349" t="s">
        <v>16</v>
      </c>
      <c r="B25349" t="s">
        <v>3221</v>
      </c>
      <c r="C25349">
        <v>595</v>
      </c>
      <c r="D25349" t="s">
        <v>114</v>
      </c>
      <c r="E25349" t="s">
        <v>115</v>
      </c>
      <c r="F25349">
        <v>58.72</v>
      </c>
      <c r="G25349">
        <v>230120</v>
      </c>
      <c r="H25349">
        <v>4580</v>
      </c>
      <c r="I25349" t="s">
        <v>35</v>
      </c>
      <c r="J25349">
        <v>72.81</v>
      </c>
      <c r="K25349">
        <v>14.09</v>
      </c>
      <c r="L25349">
        <v>17711</v>
      </c>
      <c r="M25349" t="s">
        <v>65</v>
      </c>
      <c r="N25349" t="str">
        <f>"120943126   "</f>
        <v xml:space="preserve">120943126   </v>
      </c>
      <c r="O25349">
        <v>230125</v>
      </c>
    </row>
    <row r="25350" spans="1:15" x14ac:dyDescent="0.25">
      <c r="A25350" t="s">
        <v>16</v>
      </c>
      <c r="B25350" t="s">
        <v>3221</v>
      </c>
      <c r="C25350">
        <v>720</v>
      </c>
      <c r="D25350" t="s">
        <v>114</v>
      </c>
      <c r="E25350" t="s">
        <v>115</v>
      </c>
      <c r="F25350">
        <v>125.37</v>
      </c>
      <c r="G25350">
        <v>230119</v>
      </c>
      <c r="H25350">
        <v>4580</v>
      </c>
      <c r="I25350" t="s">
        <v>35</v>
      </c>
      <c r="J25350">
        <v>155.46</v>
      </c>
      <c r="K25350">
        <v>30.09</v>
      </c>
      <c r="L25350">
        <v>46554</v>
      </c>
      <c r="M25350" t="s">
        <v>117</v>
      </c>
      <c r="N25350" t="str">
        <f>"120935562   "</f>
        <v xml:space="preserve">120935562   </v>
      </c>
      <c r="O25350">
        <v>230127</v>
      </c>
    </row>
    <row r="25351" spans="1:15" x14ac:dyDescent="0.25">
      <c r="A25351" t="s">
        <v>16</v>
      </c>
      <c r="B25351" t="s">
        <v>3221</v>
      </c>
      <c r="C25351">
        <v>1831</v>
      </c>
      <c r="D25351" t="s">
        <v>114</v>
      </c>
      <c r="E25351" t="s">
        <v>115</v>
      </c>
      <c r="F25351">
        <v>115.6</v>
      </c>
      <c r="G25351">
        <v>230131</v>
      </c>
      <c r="H25351">
        <v>4580</v>
      </c>
      <c r="I25351" t="s">
        <v>35</v>
      </c>
      <c r="J25351">
        <v>143.35</v>
      </c>
      <c r="K25351">
        <v>27.75</v>
      </c>
      <c r="L25351">
        <v>56558</v>
      </c>
      <c r="M25351" t="s">
        <v>217</v>
      </c>
      <c r="N25351" t="str">
        <f>"120977922   "</f>
        <v xml:space="preserve">120977922   </v>
      </c>
      <c r="O25351">
        <v>230214</v>
      </c>
    </row>
    <row r="25352" spans="1:15" x14ac:dyDescent="0.25">
      <c r="A25352" t="s">
        <v>16</v>
      </c>
      <c r="B25352" t="s">
        <v>3221</v>
      </c>
      <c r="C25352">
        <v>2080</v>
      </c>
      <c r="D25352" t="s">
        <v>114</v>
      </c>
      <c r="E25352" t="s">
        <v>115</v>
      </c>
      <c r="F25352">
        <v>398.9</v>
      </c>
      <c r="G25352">
        <v>230215</v>
      </c>
      <c r="H25352">
        <v>4580</v>
      </c>
      <c r="I25352" t="s">
        <v>35</v>
      </c>
      <c r="J25352">
        <v>494.63</v>
      </c>
      <c r="K25352">
        <v>95.73</v>
      </c>
      <c r="L25352">
        <v>17807</v>
      </c>
      <c r="M25352" t="s">
        <v>318</v>
      </c>
      <c r="N25352" t="str">
        <f>"121041800   "</f>
        <v xml:space="preserve">121041800   </v>
      </c>
      <c r="O25352">
        <v>230220</v>
      </c>
    </row>
    <row r="25353" spans="1:15" x14ac:dyDescent="0.25">
      <c r="A25353" t="s">
        <v>16</v>
      </c>
      <c r="B25353" t="s">
        <v>3221</v>
      </c>
      <c r="C25353">
        <v>2129</v>
      </c>
      <c r="D25353" t="s">
        <v>114</v>
      </c>
      <c r="E25353" t="s">
        <v>115</v>
      </c>
      <c r="F25353">
        <v>464.98</v>
      </c>
      <c r="G25353">
        <v>230213</v>
      </c>
      <c r="H25353">
        <v>4580</v>
      </c>
      <c r="I25353" t="s">
        <v>35</v>
      </c>
      <c r="J25353">
        <v>576.58000000000004</v>
      </c>
      <c r="K25353">
        <v>111.6</v>
      </c>
      <c r="L25353">
        <v>46557</v>
      </c>
      <c r="M25353" t="s">
        <v>221</v>
      </c>
      <c r="N25353" t="str">
        <f>"121030138   "</f>
        <v xml:space="preserve">121030138   </v>
      </c>
      <c r="O25353">
        <v>230221</v>
      </c>
    </row>
    <row r="25354" spans="1:15" x14ac:dyDescent="0.25">
      <c r="A25354" t="s">
        <v>16</v>
      </c>
      <c r="B25354" t="s">
        <v>3221</v>
      </c>
      <c r="C25354">
        <v>2134</v>
      </c>
      <c r="D25354" t="s">
        <v>114</v>
      </c>
      <c r="E25354" t="s">
        <v>115</v>
      </c>
      <c r="F25354">
        <v>56.8</v>
      </c>
      <c r="G25354">
        <v>230215</v>
      </c>
      <c r="H25354">
        <v>4580</v>
      </c>
      <c r="I25354" t="s">
        <v>35</v>
      </c>
      <c r="J25354">
        <v>70.430000000000007</v>
      </c>
      <c r="K25354">
        <v>13.63</v>
      </c>
      <c r="L25354">
        <v>46557</v>
      </c>
      <c r="M25354" t="s">
        <v>221</v>
      </c>
      <c r="N25354" t="str">
        <f>"121040356   "</f>
        <v xml:space="preserve">121040356   </v>
      </c>
      <c r="O25354">
        <v>230221</v>
      </c>
    </row>
    <row r="25355" spans="1:15" x14ac:dyDescent="0.25">
      <c r="A25355" t="s">
        <v>16</v>
      </c>
      <c r="B25355" t="s">
        <v>3221</v>
      </c>
      <c r="C25355">
        <v>2137</v>
      </c>
      <c r="D25355" t="s">
        <v>114</v>
      </c>
      <c r="E25355" t="s">
        <v>115</v>
      </c>
      <c r="F25355">
        <v>372.98</v>
      </c>
      <c r="G25355">
        <v>230216</v>
      </c>
      <c r="H25355">
        <v>4580</v>
      </c>
      <c r="I25355" t="s">
        <v>35</v>
      </c>
      <c r="J25355">
        <v>462.5</v>
      </c>
      <c r="K25355">
        <v>89.52</v>
      </c>
      <c r="L25355">
        <v>46557</v>
      </c>
      <c r="M25355" t="s">
        <v>221</v>
      </c>
      <c r="N25355" t="str">
        <f>"121045023   "</f>
        <v xml:space="preserve">121045023   </v>
      </c>
      <c r="O25355">
        <v>230221</v>
      </c>
    </row>
    <row r="25356" spans="1:15" x14ac:dyDescent="0.25">
      <c r="A25356" t="s">
        <v>16</v>
      </c>
      <c r="B25356" t="s">
        <v>3221</v>
      </c>
      <c r="C25356">
        <v>2199</v>
      </c>
      <c r="D25356" t="s">
        <v>114</v>
      </c>
      <c r="E25356" t="s">
        <v>115</v>
      </c>
      <c r="F25356">
        <v>368.39</v>
      </c>
      <c r="G25356">
        <v>230216</v>
      </c>
      <c r="H25356">
        <v>4580</v>
      </c>
      <c r="I25356" t="s">
        <v>35</v>
      </c>
      <c r="J25356">
        <v>456.8</v>
      </c>
      <c r="K25356">
        <v>88.41</v>
      </c>
      <c r="L25356">
        <v>17521</v>
      </c>
      <c r="M25356" t="s">
        <v>133</v>
      </c>
      <c r="N25356" t="str">
        <f>"121045840   "</f>
        <v xml:space="preserve">121045840   </v>
      </c>
      <c r="O25356">
        <v>230222</v>
      </c>
    </row>
    <row r="25357" spans="1:15" x14ac:dyDescent="0.25">
      <c r="A25357" t="s">
        <v>16</v>
      </c>
      <c r="B25357" t="s">
        <v>3221</v>
      </c>
      <c r="C25357">
        <v>2263</v>
      </c>
      <c r="D25357" t="s">
        <v>114</v>
      </c>
      <c r="E25357" t="s">
        <v>115</v>
      </c>
      <c r="F25357">
        <v>235.14</v>
      </c>
      <c r="G25357">
        <v>230215</v>
      </c>
      <c r="H25357">
        <v>4580</v>
      </c>
      <c r="I25357" t="s">
        <v>35</v>
      </c>
      <c r="J25357">
        <v>291.57</v>
      </c>
      <c r="K25357">
        <v>56.43</v>
      </c>
      <c r="L25357">
        <v>17522</v>
      </c>
      <c r="M25357" t="s">
        <v>451</v>
      </c>
      <c r="N25357" t="str">
        <f>"121039928   "</f>
        <v xml:space="preserve">121039928   </v>
      </c>
      <c r="O25357">
        <v>230223</v>
      </c>
    </row>
    <row r="25358" spans="1:15" x14ac:dyDescent="0.25">
      <c r="A25358" t="s">
        <v>16</v>
      </c>
      <c r="B25358" t="s">
        <v>3221</v>
      </c>
      <c r="C25358">
        <v>2520</v>
      </c>
      <c r="D25358" t="s">
        <v>114</v>
      </c>
      <c r="E25358" t="s">
        <v>115</v>
      </c>
      <c r="F25358">
        <v>129.19</v>
      </c>
      <c r="G25358">
        <v>230222</v>
      </c>
      <c r="H25358">
        <v>4580</v>
      </c>
      <c r="I25358" t="s">
        <v>35</v>
      </c>
      <c r="J25358">
        <v>160.19</v>
      </c>
      <c r="K25358">
        <v>31</v>
      </c>
      <c r="L25358">
        <v>46557</v>
      </c>
      <c r="M25358" t="s">
        <v>221</v>
      </c>
      <c r="N25358" t="str">
        <f>"121060361   "</f>
        <v xml:space="preserve">121060361   </v>
      </c>
      <c r="O25358">
        <v>230301</v>
      </c>
    </row>
    <row r="25359" spans="1:15" x14ac:dyDescent="0.25">
      <c r="A25359" t="s">
        <v>16</v>
      </c>
      <c r="B25359" t="s">
        <v>3221</v>
      </c>
      <c r="C25359">
        <v>2829</v>
      </c>
      <c r="D25359" t="s">
        <v>114</v>
      </c>
      <c r="E25359" t="s">
        <v>115</v>
      </c>
      <c r="F25359">
        <v>133.84</v>
      </c>
      <c r="G25359">
        <v>230222</v>
      </c>
      <c r="H25359">
        <v>4580</v>
      </c>
      <c r="I25359" t="s">
        <v>35</v>
      </c>
      <c r="J25359">
        <v>165.96</v>
      </c>
      <c r="K25359">
        <v>32.119999999999997</v>
      </c>
      <c r="L25359">
        <v>17521</v>
      </c>
      <c r="M25359" t="s">
        <v>133</v>
      </c>
      <c r="N25359" t="str">
        <f>"121062228   "</f>
        <v xml:space="preserve">121062228   </v>
      </c>
      <c r="O25359">
        <v>230308</v>
      </c>
    </row>
    <row r="25360" spans="1:15" x14ac:dyDescent="0.25">
      <c r="A25360" t="s">
        <v>16</v>
      </c>
      <c r="B25360" t="s">
        <v>3221</v>
      </c>
      <c r="C25360">
        <v>2843</v>
      </c>
      <c r="D25360" t="s">
        <v>114</v>
      </c>
      <c r="E25360" t="s">
        <v>115</v>
      </c>
      <c r="F25360">
        <v>224.89</v>
      </c>
      <c r="G25360">
        <v>230220</v>
      </c>
      <c r="H25360">
        <v>4580</v>
      </c>
      <c r="I25360" t="s">
        <v>35</v>
      </c>
      <c r="J25360">
        <v>278.86</v>
      </c>
      <c r="K25360">
        <v>53.97</v>
      </c>
      <c r="L25360">
        <v>17521</v>
      </c>
      <c r="M25360" t="s">
        <v>133</v>
      </c>
      <c r="N25360" t="str">
        <f>"121056246   "</f>
        <v xml:space="preserve">121056246   </v>
      </c>
      <c r="O25360">
        <v>230308</v>
      </c>
    </row>
    <row r="25361" spans="1:15" x14ac:dyDescent="0.25">
      <c r="A25361" t="s">
        <v>16</v>
      </c>
      <c r="B25361" t="s">
        <v>3221</v>
      </c>
      <c r="C25361">
        <v>2996</v>
      </c>
      <c r="D25361" t="s">
        <v>114</v>
      </c>
      <c r="E25361" t="s">
        <v>115</v>
      </c>
      <c r="F25361">
        <v>55.97</v>
      </c>
      <c r="G25361">
        <v>230228</v>
      </c>
      <c r="H25361">
        <v>4580</v>
      </c>
      <c r="I25361" t="s">
        <v>35</v>
      </c>
      <c r="J25361">
        <v>69.400000000000006</v>
      </c>
      <c r="K25361">
        <v>13.43</v>
      </c>
      <c r="L25361">
        <v>56562</v>
      </c>
      <c r="M25361" t="s">
        <v>126</v>
      </c>
      <c r="N25361" t="str">
        <f>"121086760   "</f>
        <v xml:space="preserve">121086760   </v>
      </c>
      <c r="O25361">
        <v>230308</v>
      </c>
    </row>
    <row r="25362" spans="1:15" x14ac:dyDescent="0.25">
      <c r="A25362" t="s">
        <v>16</v>
      </c>
      <c r="B25362" t="s">
        <v>3221</v>
      </c>
      <c r="C25362">
        <v>3351</v>
      </c>
      <c r="D25362" t="s">
        <v>114</v>
      </c>
      <c r="E25362" t="s">
        <v>115</v>
      </c>
      <c r="F25362">
        <v>-172.5</v>
      </c>
      <c r="G25362">
        <v>230224</v>
      </c>
      <c r="H25362">
        <v>4580</v>
      </c>
      <c r="I25362" t="s">
        <v>35</v>
      </c>
      <c r="J25362">
        <v>-213.9</v>
      </c>
      <c r="K25362">
        <v>-41.4</v>
      </c>
      <c r="L25362">
        <v>46557</v>
      </c>
      <c r="M25362" t="s">
        <v>221</v>
      </c>
      <c r="N25362" t="str">
        <f>"95439040    "</f>
        <v xml:space="preserve">95439040    </v>
      </c>
      <c r="O25362">
        <v>230315</v>
      </c>
    </row>
    <row r="25363" spans="1:15" x14ac:dyDescent="0.25">
      <c r="A25363" t="s">
        <v>16</v>
      </c>
      <c r="B25363" t="s">
        <v>3221</v>
      </c>
      <c r="C25363">
        <v>3814</v>
      </c>
      <c r="D25363" t="s">
        <v>114</v>
      </c>
      <c r="E25363" t="s">
        <v>115</v>
      </c>
      <c r="F25363">
        <v>70.3</v>
      </c>
      <c r="G25363">
        <v>230315</v>
      </c>
      <c r="H25363">
        <v>4580</v>
      </c>
      <c r="I25363" t="s">
        <v>35</v>
      </c>
      <c r="J25363">
        <v>87.17</v>
      </c>
      <c r="K25363">
        <v>16.87</v>
      </c>
      <c r="L25363">
        <v>17802</v>
      </c>
      <c r="M25363" t="s">
        <v>174</v>
      </c>
      <c r="N25363" t="str">
        <f>"121140702   "</f>
        <v xml:space="preserve">121140702   </v>
      </c>
      <c r="O25363">
        <v>230323</v>
      </c>
    </row>
    <row r="25364" spans="1:15" x14ac:dyDescent="0.25">
      <c r="A25364" t="s">
        <v>16</v>
      </c>
      <c r="B25364" t="s">
        <v>3221</v>
      </c>
      <c r="C25364">
        <v>4244</v>
      </c>
      <c r="D25364" t="s">
        <v>114</v>
      </c>
      <c r="E25364" t="s">
        <v>115</v>
      </c>
      <c r="F25364">
        <v>84.7</v>
      </c>
      <c r="G25364">
        <v>230328</v>
      </c>
      <c r="H25364">
        <v>4580</v>
      </c>
      <c r="I25364" t="s">
        <v>35</v>
      </c>
      <c r="J25364">
        <v>105.03</v>
      </c>
      <c r="K25364">
        <v>20.329999999999998</v>
      </c>
      <c r="L25364">
        <v>17522</v>
      </c>
      <c r="M25364" t="s">
        <v>451</v>
      </c>
      <c r="N25364" t="str">
        <f>"121183308   "</f>
        <v xml:space="preserve">121183308   </v>
      </c>
      <c r="O25364">
        <v>230403</v>
      </c>
    </row>
    <row r="25365" spans="1:15" x14ac:dyDescent="0.25">
      <c r="A25365" t="s">
        <v>16</v>
      </c>
      <c r="B25365" t="s">
        <v>3221</v>
      </c>
      <c r="C25365">
        <v>4636</v>
      </c>
      <c r="D25365" t="s">
        <v>114</v>
      </c>
      <c r="E25365" t="s">
        <v>115</v>
      </c>
      <c r="F25365">
        <v>18.09</v>
      </c>
      <c r="G25365">
        <v>230331</v>
      </c>
      <c r="H25365">
        <v>4580</v>
      </c>
      <c r="I25365" t="s">
        <v>35</v>
      </c>
      <c r="J25365">
        <v>22.43</v>
      </c>
      <c r="K25365">
        <v>4.34</v>
      </c>
      <c r="L25365">
        <v>17522</v>
      </c>
      <c r="M25365" t="s">
        <v>451</v>
      </c>
      <c r="N25365" t="str">
        <f>"121214089   "</f>
        <v xml:space="preserve">121214089   </v>
      </c>
      <c r="O25365">
        <v>230411</v>
      </c>
    </row>
    <row r="25366" spans="1:15" x14ac:dyDescent="0.25">
      <c r="A25366" t="s">
        <v>16</v>
      </c>
      <c r="B25366" t="s">
        <v>3221</v>
      </c>
      <c r="C25366">
        <v>4665</v>
      </c>
      <c r="D25366" t="s">
        <v>114</v>
      </c>
      <c r="E25366" t="s">
        <v>115</v>
      </c>
      <c r="F25366">
        <v>41.5</v>
      </c>
      <c r="G25366">
        <v>230331</v>
      </c>
      <c r="H25366">
        <v>4580</v>
      </c>
      <c r="I25366" t="s">
        <v>35</v>
      </c>
      <c r="J25366">
        <v>51.46</v>
      </c>
      <c r="K25366">
        <v>9.9600000000000009</v>
      </c>
      <c r="L25366">
        <v>56559</v>
      </c>
      <c r="M25366" t="s">
        <v>129</v>
      </c>
      <c r="N25366" t="str">
        <f>"121200092   "</f>
        <v xml:space="preserve">121200092   </v>
      </c>
      <c r="O25366">
        <v>230411</v>
      </c>
    </row>
    <row r="25367" spans="1:15" x14ac:dyDescent="0.25">
      <c r="A25367" t="s">
        <v>16</v>
      </c>
      <c r="B25367" t="s">
        <v>3221</v>
      </c>
      <c r="C25367">
        <v>4749</v>
      </c>
      <c r="D25367" t="s">
        <v>114</v>
      </c>
      <c r="E25367" t="s">
        <v>115</v>
      </c>
      <c r="F25367">
        <v>974.98</v>
      </c>
      <c r="G25367">
        <v>230403</v>
      </c>
      <c r="H25367">
        <v>4580</v>
      </c>
      <c r="I25367" t="s">
        <v>35</v>
      </c>
      <c r="J25367">
        <v>1208.98</v>
      </c>
      <c r="K25367">
        <v>234</v>
      </c>
      <c r="L25367">
        <v>17802</v>
      </c>
      <c r="M25367" t="s">
        <v>174</v>
      </c>
      <c r="N25367" t="str">
        <f>"121218209   "</f>
        <v xml:space="preserve">121218209   </v>
      </c>
      <c r="O25367">
        <v>230412</v>
      </c>
    </row>
    <row r="25368" spans="1:15" x14ac:dyDescent="0.25">
      <c r="A25368" t="s">
        <v>16</v>
      </c>
      <c r="B25368" t="s">
        <v>3221</v>
      </c>
      <c r="C25368">
        <v>5149</v>
      </c>
      <c r="D25368" t="s">
        <v>114</v>
      </c>
      <c r="E25368" t="s">
        <v>115</v>
      </c>
      <c r="F25368">
        <v>64.260000000000005</v>
      </c>
      <c r="G25368">
        <v>230414</v>
      </c>
      <c r="H25368">
        <v>4580</v>
      </c>
      <c r="I25368" t="s">
        <v>35</v>
      </c>
      <c r="J25368">
        <v>79.680000000000007</v>
      </c>
      <c r="K25368">
        <v>15.42</v>
      </c>
      <c r="L25368">
        <v>56559</v>
      </c>
      <c r="M25368" t="s">
        <v>129</v>
      </c>
      <c r="N25368" t="str">
        <f>"121251765   "</f>
        <v xml:space="preserve">121251765   </v>
      </c>
      <c r="O25368">
        <v>230418</v>
      </c>
    </row>
    <row r="25369" spans="1:15" x14ac:dyDescent="0.25">
      <c r="A25369" t="s">
        <v>16</v>
      </c>
      <c r="B25369" t="s">
        <v>3221</v>
      </c>
      <c r="C25369">
        <v>5719</v>
      </c>
      <c r="D25369" t="s">
        <v>114</v>
      </c>
      <c r="E25369" t="s">
        <v>115</v>
      </c>
      <c r="F25369">
        <v>169.32</v>
      </c>
      <c r="G25369">
        <v>230426</v>
      </c>
      <c r="H25369">
        <v>4580</v>
      </c>
      <c r="I25369" t="s">
        <v>35</v>
      </c>
      <c r="J25369">
        <v>209.96</v>
      </c>
      <c r="K25369">
        <v>40.64</v>
      </c>
      <c r="L25369">
        <v>17538</v>
      </c>
      <c r="M25369" t="s">
        <v>24</v>
      </c>
      <c r="N25369" t="str">
        <f>"121289032   "</f>
        <v xml:space="preserve">121289032   </v>
      </c>
      <c r="O25369">
        <v>230502</v>
      </c>
    </row>
    <row r="25370" spans="1:15" x14ac:dyDescent="0.25">
      <c r="A25370" t="s">
        <v>16</v>
      </c>
      <c r="B25370" t="s">
        <v>3221</v>
      </c>
      <c r="C25370">
        <v>5753</v>
      </c>
      <c r="D25370" t="s">
        <v>114</v>
      </c>
      <c r="E25370" t="s">
        <v>115</v>
      </c>
      <c r="F25370">
        <v>39</v>
      </c>
      <c r="G25370">
        <v>230428</v>
      </c>
      <c r="H25370">
        <v>4580</v>
      </c>
      <c r="I25370" t="s">
        <v>35</v>
      </c>
      <c r="J25370">
        <v>48.36</v>
      </c>
      <c r="K25370">
        <v>9.36</v>
      </c>
      <c r="L25370">
        <v>17804</v>
      </c>
      <c r="M25370" t="s">
        <v>549</v>
      </c>
      <c r="N25370" t="str">
        <f>"121317243   "</f>
        <v xml:space="preserve">121317243   </v>
      </c>
      <c r="O25370">
        <v>230502</v>
      </c>
    </row>
    <row r="25371" spans="1:15" x14ac:dyDescent="0.25">
      <c r="A25371" t="s">
        <v>16</v>
      </c>
      <c r="B25371" t="s">
        <v>3221</v>
      </c>
      <c r="C25371">
        <v>5786</v>
      </c>
      <c r="D25371" t="s">
        <v>114</v>
      </c>
      <c r="E25371" t="s">
        <v>115</v>
      </c>
      <c r="F25371">
        <v>506.2</v>
      </c>
      <c r="G25371">
        <v>230428</v>
      </c>
      <c r="H25371">
        <v>4580</v>
      </c>
      <c r="I25371" t="s">
        <v>35</v>
      </c>
      <c r="J25371">
        <v>627.69000000000005</v>
      </c>
      <c r="K25371">
        <v>121.49</v>
      </c>
      <c r="L25371">
        <v>56559</v>
      </c>
      <c r="M25371" t="s">
        <v>129</v>
      </c>
      <c r="N25371" t="str">
        <f>"121303260   "</f>
        <v xml:space="preserve">121303260   </v>
      </c>
      <c r="O25371">
        <v>230502</v>
      </c>
    </row>
    <row r="25372" spans="1:15" x14ac:dyDescent="0.25">
      <c r="A25372" t="s">
        <v>16</v>
      </c>
      <c r="B25372" t="s">
        <v>3221</v>
      </c>
      <c r="C25372">
        <v>6084</v>
      </c>
      <c r="D25372" t="s">
        <v>114</v>
      </c>
      <c r="E25372" t="s">
        <v>115</v>
      </c>
      <c r="F25372">
        <v>78.09</v>
      </c>
      <c r="G25372">
        <v>230427</v>
      </c>
      <c r="H25372">
        <v>4580</v>
      </c>
      <c r="I25372" t="s">
        <v>35</v>
      </c>
      <c r="J25372">
        <v>96.83</v>
      </c>
      <c r="K25372">
        <v>18.739999999999998</v>
      </c>
      <c r="L25372">
        <v>17802</v>
      </c>
      <c r="M25372" t="s">
        <v>174</v>
      </c>
      <c r="N25372" t="str">
        <f>"121290858   "</f>
        <v xml:space="preserve">121290858   </v>
      </c>
      <c r="O25372">
        <v>230508</v>
      </c>
    </row>
    <row r="25373" spans="1:15" x14ac:dyDescent="0.25">
      <c r="A25373" t="s">
        <v>16</v>
      </c>
      <c r="B25373" t="s">
        <v>3221</v>
      </c>
      <c r="C25373">
        <v>7733</v>
      </c>
      <c r="D25373" t="s">
        <v>114</v>
      </c>
      <c r="E25373" t="s">
        <v>115</v>
      </c>
      <c r="F25373">
        <v>449.85</v>
      </c>
      <c r="G25373">
        <v>230531</v>
      </c>
      <c r="H25373">
        <v>4580</v>
      </c>
      <c r="I25373" t="s">
        <v>35</v>
      </c>
      <c r="J25373">
        <v>557.82000000000005</v>
      </c>
      <c r="K25373">
        <v>107.97</v>
      </c>
      <c r="L25373">
        <v>56559</v>
      </c>
      <c r="M25373" t="s">
        <v>129</v>
      </c>
      <c r="N25373" t="str">
        <f>"121433932   "</f>
        <v xml:space="preserve">121433932   </v>
      </c>
      <c r="O25373">
        <v>230602</v>
      </c>
    </row>
    <row r="25374" spans="1:15" x14ac:dyDescent="0.25">
      <c r="A25374" t="s">
        <v>16</v>
      </c>
      <c r="B25374" t="s">
        <v>3221</v>
      </c>
      <c r="C25374">
        <v>8266</v>
      </c>
      <c r="D25374" t="s">
        <v>114</v>
      </c>
      <c r="E25374" t="s">
        <v>115</v>
      </c>
      <c r="F25374">
        <v>51.88</v>
      </c>
      <c r="G25374">
        <v>230529</v>
      </c>
      <c r="H25374">
        <v>4580</v>
      </c>
      <c r="I25374" t="s">
        <v>35</v>
      </c>
      <c r="J25374">
        <v>64.33</v>
      </c>
      <c r="K25374">
        <v>12.45</v>
      </c>
      <c r="L25374">
        <v>17521</v>
      </c>
      <c r="M25374" t="s">
        <v>133</v>
      </c>
      <c r="N25374" t="str">
        <f>"121416040   "</f>
        <v xml:space="preserve">121416040   </v>
      </c>
      <c r="O25374">
        <v>230608</v>
      </c>
    </row>
    <row r="25375" spans="1:15" x14ac:dyDescent="0.25">
      <c r="A25375" t="s">
        <v>16</v>
      </c>
      <c r="B25375" t="s">
        <v>3221</v>
      </c>
      <c r="C25375">
        <v>8344</v>
      </c>
      <c r="D25375" t="s">
        <v>114</v>
      </c>
      <c r="E25375" t="s">
        <v>115</v>
      </c>
      <c r="F25375">
        <v>874.04</v>
      </c>
      <c r="G25375">
        <v>230605</v>
      </c>
      <c r="H25375">
        <v>4580</v>
      </c>
      <c r="I25375" t="s">
        <v>35</v>
      </c>
      <c r="J25375">
        <v>1083.81</v>
      </c>
      <c r="K25375">
        <v>209.77</v>
      </c>
      <c r="L25375">
        <v>17522</v>
      </c>
      <c r="M25375" t="s">
        <v>451</v>
      </c>
      <c r="N25375" t="str">
        <f>"121461645   "</f>
        <v xml:space="preserve">121461645   </v>
      </c>
      <c r="O25375">
        <v>230608</v>
      </c>
    </row>
    <row r="25376" spans="1:15" x14ac:dyDescent="0.25">
      <c r="A25376" t="s">
        <v>16</v>
      </c>
      <c r="B25376" t="s">
        <v>3221</v>
      </c>
      <c r="C25376">
        <v>8982</v>
      </c>
      <c r="D25376" t="s">
        <v>114</v>
      </c>
      <c r="E25376" t="s">
        <v>115</v>
      </c>
      <c r="F25376">
        <v>77.900000000000006</v>
      </c>
      <c r="G25376">
        <v>230616</v>
      </c>
      <c r="H25376">
        <v>4580</v>
      </c>
      <c r="I25376" t="s">
        <v>35</v>
      </c>
      <c r="J25376">
        <v>96.59</v>
      </c>
      <c r="K25376">
        <v>18.690000000000001</v>
      </c>
      <c r="L25376">
        <v>17522</v>
      </c>
      <c r="M25376" t="s">
        <v>451</v>
      </c>
      <c r="N25376" t="str">
        <f>"121510540   "</f>
        <v xml:space="preserve">121510540   </v>
      </c>
      <c r="O25376">
        <v>230620</v>
      </c>
    </row>
    <row r="25377" spans="1:15" x14ac:dyDescent="0.25">
      <c r="A25377" t="s">
        <v>16</v>
      </c>
      <c r="B25377" t="s">
        <v>3221</v>
      </c>
      <c r="C25377">
        <v>9273</v>
      </c>
      <c r="D25377" t="s">
        <v>114</v>
      </c>
      <c r="E25377" t="s">
        <v>115</v>
      </c>
      <c r="F25377">
        <v>21.58</v>
      </c>
      <c r="G25377">
        <v>230630</v>
      </c>
      <c r="H25377">
        <v>4580</v>
      </c>
      <c r="I25377" t="s">
        <v>35</v>
      </c>
      <c r="J25377">
        <v>26.76</v>
      </c>
      <c r="K25377">
        <v>5.18</v>
      </c>
      <c r="L25377">
        <v>17522</v>
      </c>
      <c r="M25377" t="s">
        <v>451</v>
      </c>
      <c r="N25377" t="str">
        <f>"121570832   "</f>
        <v xml:space="preserve">121570832   </v>
      </c>
      <c r="O25377">
        <v>230703</v>
      </c>
    </row>
    <row r="25378" spans="1:15" x14ac:dyDescent="0.25">
      <c r="A25378" t="s">
        <v>16</v>
      </c>
      <c r="B25378" t="s">
        <v>3221</v>
      </c>
      <c r="C25378">
        <v>10106</v>
      </c>
      <c r="D25378" t="s">
        <v>114</v>
      </c>
      <c r="E25378" t="s">
        <v>115</v>
      </c>
      <c r="F25378">
        <v>908.84</v>
      </c>
      <c r="G25378">
        <v>230802</v>
      </c>
      <c r="H25378">
        <v>4580</v>
      </c>
      <c r="I25378" t="s">
        <v>35</v>
      </c>
      <c r="J25378">
        <v>1126.96</v>
      </c>
      <c r="K25378">
        <v>218.12</v>
      </c>
      <c r="L25378">
        <v>17527</v>
      </c>
      <c r="M25378" t="s">
        <v>422</v>
      </c>
      <c r="N25378" t="str">
        <f>"121676822   "</f>
        <v xml:space="preserve">121676822   </v>
      </c>
      <c r="O25378">
        <v>230808</v>
      </c>
    </row>
    <row r="25379" spans="1:15" x14ac:dyDescent="0.25">
      <c r="A25379" t="s">
        <v>16</v>
      </c>
      <c r="B25379" t="s">
        <v>3221</v>
      </c>
      <c r="C25379">
        <v>10118</v>
      </c>
      <c r="D25379" t="s">
        <v>114</v>
      </c>
      <c r="E25379" t="s">
        <v>115</v>
      </c>
      <c r="F25379">
        <v>142.1</v>
      </c>
      <c r="G25379">
        <v>230804</v>
      </c>
      <c r="H25379">
        <v>4580</v>
      </c>
      <c r="I25379" t="s">
        <v>35</v>
      </c>
      <c r="J25379">
        <v>176.2</v>
      </c>
      <c r="K25379">
        <v>34.1</v>
      </c>
      <c r="L25379">
        <v>17527</v>
      </c>
      <c r="M25379" t="s">
        <v>422</v>
      </c>
      <c r="N25379" t="str">
        <f>"121684729   "</f>
        <v xml:space="preserve">121684729   </v>
      </c>
      <c r="O25379">
        <v>230808</v>
      </c>
    </row>
    <row r="25380" spans="1:15" x14ac:dyDescent="0.25">
      <c r="A25380" t="s">
        <v>16</v>
      </c>
      <c r="B25380" t="s">
        <v>3221</v>
      </c>
      <c r="C25380">
        <v>10500</v>
      </c>
      <c r="D25380" t="s">
        <v>114</v>
      </c>
      <c r="E25380" t="s">
        <v>115</v>
      </c>
      <c r="F25380">
        <v>160.81</v>
      </c>
      <c r="G25380">
        <v>230809</v>
      </c>
      <c r="H25380">
        <v>4580</v>
      </c>
      <c r="I25380" t="s">
        <v>35</v>
      </c>
      <c r="J25380">
        <v>199.4</v>
      </c>
      <c r="K25380">
        <v>38.590000000000003</v>
      </c>
      <c r="L25380">
        <v>17803</v>
      </c>
      <c r="M25380" t="s">
        <v>389</v>
      </c>
      <c r="N25380" t="str">
        <f>"121693140   "</f>
        <v xml:space="preserve">121693140   </v>
      </c>
      <c r="O25380">
        <v>230817</v>
      </c>
    </row>
    <row r="25381" spans="1:15" x14ac:dyDescent="0.25">
      <c r="A25381" t="s">
        <v>16</v>
      </c>
      <c r="B25381" t="s">
        <v>3221</v>
      </c>
      <c r="C25381">
        <v>10573</v>
      </c>
      <c r="D25381" t="s">
        <v>114</v>
      </c>
      <c r="E25381" t="s">
        <v>115</v>
      </c>
      <c r="F25381">
        <v>23.26</v>
      </c>
      <c r="G25381">
        <v>230815</v>
      </c>
      <c r="H25381">
        <v>4580</v>
      </c>
      <c r="I25381" t="s">
        <v>35</v>
      </c>
      <c r="J25381">
        <v>28.84</v>
      </c>
      <c r="K25381">
        <v>5.58</v>
      </c>
      <c r="L25381">
        <v>46554</v>
      </c>
      <c r="M25381" t="s">
        <v>117</v>
      </c>
      <c r="N25381" t="str">
        <f>"121715496   "</f>
        <v xml:space="preserve">121715496   </v>
      </c>
      <c r="O25381">
        <v>230818</v>
      </c>
    </row>
    <row r="25382" spans="1:15" x14ac:dyDescent="0.25">
      <c r="A25382" t="s">
        <v>16</v>
      </c>
      <c r="B25382" t="s">
        <v>3221</v>
      </c>
      <c r="C25382">
        <v>10742</v>
      </c>
      <c r="D25382" t="s">
        <v>114</v>
      </c>
      <c r="E25382" t="s">
        <v>115</v>
      </c>
      <c r="F25382">
        <v>549.01</v>
      </c>
      <c r="G25382">
        <v>230818</v>
      </c>
      <c r="H25382">
        <v>4580</v>
      </c>
      <c r="I25382" t="s">
        <v>35</v>
      </c>
      <c r="J25382">
        <v>680.77</v>
      </c>
      <c r="K25382">
        <v>131.76</v>
      </c>
      <c r="L25382">
        <v>67522</v>
      </c>
      <c r="M25382" t="s">
        <v>397</v>
      </c>
      <c r="N25382" t="str">
        <f>"121731672   "</f>
        <v xml:space="preserve">121731672   </v>
      </c>
      <c r="O25382">
        <v>230822</v>
      </c>
    </row>
    <row r="25383" spans="1:15" x14ac:dyDescent="0.25">
      <c r="A25383" t="s">
        <v>16</v>
      </c>
      <c r="B25383" t="s">
        <v>3221</v>
      </c>
      <c r="C25383">
        <v>10742</v>
      </c>
      <c r="D25383" t="s">
        <v>114</v>
      </c>
      <c r="E25383" t="s">
        <v>115</v>
      </c>
      <c r="F25383">
        <v>549.01</v>
      </c>
      <c r="G25383">
        <v>230818</v>
      </c>
      <c r="H25383">
        <v>4580</v>
      </c>
      <c r="I25383" t="s">
        <v>35</v>
      </c>
      <c r="J25383">
        <v>680.77</v>
      </c>
      <c r="K25383">
        <v>131.76</v>
      </c>
      <c r="L25383">
        <v>69501</v>
      </c>
      <c r="M25383" t="s">
        <v>185</v>
      </c>
      <c r="N25383" t="str">
        <f>"121731672   "</f>
        <v xml:space="preserve">121731672   </v>
      </c>
      <c r="O25383">
        <v>230822</v>
      </c>
    </row>
    <row r="25384" spans="1:15" x14ac:dyDescent="0.25">
      <c r="A25384" t="s">
        <v>16</v>
      </c>
      <c r="B25384" t="s">
        <v>3221</v>
      </c>
      <c r="C25384">
        <v>10838</v>
      </c>
      <c r="D25384" t="s">
        <v>114</v>
      </c>
      <c r="E25384" t="s">
        <v>115</v>
      </c>
      <c r="F25384">
        <v>63.35</v>
      </c>
      <c r="G25384">
        <v>230810</v>
      </c>
      <c r="H25384">
        <v>4580</v>
      </c>
      <c r="I25384" t="s">
        <v>35</v>
      </c>
      <c r="J25384">
        <v>78.56</v>
      </c>
      <c r="K25384">
        <v>15.21</v>
      </c>
      <c r="L25384">
        <v>46554</v>
      </c>
      <c r="M25384" t="s">
        <v>117</v>
      </c>
      <c r="N25384" t="str">
        <f>"121697258   "</f>
        <v xml:space="preserve">121697258   </v>
      </c>
      <c r="O25384">
        <v>230824</v>
      </c>
    </row>
    <row r="25385" spans="1:15" x14ac:dyDescent="0.25">
      <c r="A25385" t="s">
        <v>16</v>
      </c>
      <c r="B25385" t="s">
        <v>3221</v>
      </c>
      <c r="C25385">
        <v>10838</v>
      </c>
      <c r="D25385" t="s">
        <v>114</v>
      </c>
      <c r="E25385" t="s">
        <v>115</v>
      </c>
      <c r="F25385">
        <v>1749.06</v>
      </c>
      <c r="G25385">
        <v>230810</v>
      </c>
      <c r="H25385">
        <v>4580</v>
      </c>
      <c r="I25385" t="s">
        <v>35</v>
      </c>
      <c r="J25385">
        <v>2168.84</v>
      </c>
      <c r="K25385">
        <v>419.78</v>
      </c>
      <c r="L25385">
        <v>46554</v>
      </c>
      <c r="M25385" t="s">
        <v>117</v>
      </c>
      <c r="N25385" t="str">
        <f>"121697258   "</f>
        <v xml:space="preserve">121697258   </v>
      </c>
      <c r="O25385">
        <v>230824</v>
      </c>
    </row>
    <row r="25386" spans="1:15" x14ac:dyDescent="0.25">
      <c r="A25386" t="s">
        <v>16</v>
      </c>
      <c r="B25386" t="s">
        <v>3221</v>
      </c>
      <c r="C25386">
        <v>10839</v>
      </c>
      <c r="D25386" t="s">
        <v>114</v>
      </c>
      <c r="E25386" t="s">
        <v>115</v>
      </c>
      <c r="F25386">
        <v>233.15</v>
      </c>
      <c r="G25386">
        <v>230809</v>
      </c>
      <c r="H25386">
        <v>4580</v>
      </c>
      <c r="I25386" t="s">
        <v>35</v>
      </c>
      <c r="J25386">
        <v>289.11</v>
      </c>
      <c r="K25386">
        <v>55.96</v>
      </c>
      <c r="L25386">
        <v>17521</v>
      </c>
      <c r="M25386" t="s">
        <v>133</v>
      </c>
      <c r="N25386" t="str">
        <f>"121695896   "</f>
        <v xml:space="preserve">121695896   </v>
      </c>
      <c r="O25386">
        <v>230824</v>
      </c>
    </row>
    <row r="25387" spans="1:15" x14ac:dyDescent="0.25">
      <c r="A25387" t="s">
        <v>16</v>
      </c>
      <c r="B25387" t="s">
        <v>3221</v>
      </c>
      <c r="C25387">
        <v>10839</v>
      </c>
      <c r="D25387" t="s">
        <v>114</v>
      </c>
      <c r="E25387" t="s">
        <v>115</v>
      </c>
      <c r="F25387">
        <v>242.58</v>
      </c>
      <c r="G25387">
        <v>230809</v>
      </c>
      <c r="H25387">
        <v>4580</v>
      </c>
      <c r="I25387" t="s">
        <v>35</v>
      </c>
      <c r="J25387">
        <v>300.8</v>
      </c>
      <c r="K25387">
        <v>58.22</v>
      </c>
      <c r="L25387">
        <v>17524</v>
      </c>
      <c r="M25387" t="s">
        <v>452</v>
      </c>
      <c r="N25387" t="str">
        <f>"121695896   "</f>
        <v xml:space="preserve">121695896   </v>
      </c>
      <c r="O25387">
        <v>230824</v>
      </c>
    </row>
    <row r="25388" spans="1:15" x14ac:dyDescent="0.25">
      <c r="A25388" t="s">
        <v>16</v>
      </c>
      <c r="B25388" t="s">
        <v>3221</v>
      </c>
      <c r="C25388">
        <v>10853</v>
      </c>
      <c r="D25388" t="s">
        <v>114</v>
      </c>
      <c r="E25388" t="s">
        <v>115</v>
      </c>
      <c r="F25388">
        <v>308.44</v>
      </c>
      <c r="G25388">
        <v>230816</v>
      </c>
      <c r="H25388">
        <v>4580</v>
      </c>
      <c r="I25388" t="s">
        <v>35</v>
      </c>
      <c r="J25388">
        <v>382.47</v>
      </c>
      <c r="K25388">
        <v>74.03</v>
      </c>
      <c r="L25388">
        <v>46557</v>
      </c>
      <c r="M25388" t="s">
        <v>221</v>
      </c>
      <c r="N25388" t="str">
        <f>"121721129   "</f>
        <v xml:space="preserve">121721129   </v>
      </c>
      <c r="O25388">
        <v>230824</v>
      </c>
    </row>
    <row r="25389" spans="1:15" x14ac:dyDescent="0.25">
      <c r="A25389" t="s">
        <v>16</v>
      </c>
      <c r="B25389" t="s">
        <v>3221</v>
      </c>
      <c r="C25389">
        <v>10907</v>
      </c>
      <c r="D25389" t="s">
        <v>114</v>
      </c>
      <c r="E25389" t="s">
        <v>115</v>
      </c>
      <c r="F25389">
        <v>233.86</v>
      </c>
      <c r="G25389">
        <v>230817</v>
      </c>
      <c r="H25389">
        <v>4580</v>
      </c>
      <c r="I25389" t="s">
        <v>35</v>
      </c>
      <c r="J25389">
        <v>289.99</v>
      </c>
      <c r="K25389">
        <v>56.13</v>
      </c>
      <c r="L25389">
        <v>47522</v>
      </c>
      <c r="M25389" t="s">
        <v>410</v>
      </c>
      <c r="N25389" t="str">
        <f>"121726682   "</f>
        <v xml:space="preserve">121726682   </v>
      </c>
      <c r="O25389">
        <v>230825</v>
      </c>
    </row>
    <row r="25390" spans="1:15" x14ac:dyDescent="0.25">
      <c r="A25390" t="s">
        <v>16</v>
      </c>
      <c r="B25390" t="s">
        <v>3221</v>
      </c>
      <c r="C25390">
        <v>11066</v>
      </c>
      <c r="D25390" t="s">
        <v>114</v>
      </c>
      <c r="E25390" t="s">
        <v>115</v>
      </c>
      <c r="F25390">
        <v>71.040000000000006</v>
      </c>
      <c r="G25390">
        <v>230818</v>
      </c>
      <c r="H25390">
        <v>4580</v>
      </c>
      <c r="I25390" t="s">
        <v>35</v>
      </c>
      <c r="J25390">
        <v>88.09</v>
      </c>
      <c r="K25390">
        <v>17.05</v>
      </c>
      <c r="L25390">
        <v>46557</v>
      </c>
      <c r="M25390" t="s">
        <v>221</v>
      </c>
      <c r="N25390" t="str">
        <f>"121732385   "</f>
        <v xml:space="preserve">121732385   </v>
      </c>
      <c r="O25390">
        <v>230830</v>
      </c>
    </row>
    <row r="25391" spans="1:15" x14ac:dyDescent="0.25">
      <c r="A25391" t="s">
        <v>16</v>
      </c>
      <c r="B25391" t="s">
        <v>3221</v>
      </c>
      <c r="C25391">
        <v>11142</v>
      </c>
      <c r="D25391" t="s">
        <v>114</v>
      </c>
      <c r="E25391" t="s">
        <v>115</v>
      </c>
      <c r="F25391">
        <v>409.43</v>
      </c>
      <c r="G25391">
        <v>230815</v>
      </c>
      <c r="H25391">
        <v>4580</v>
      </c>
      <c r="I25391" t="s">
        <v>35</v>
      </c>
      <c r="J25391">
        <v>507.69</v>
      </c>
      <c r="K25391">
        <v>98.26</v>
      </c>
      <c r="L25391">
        <v>56522</v>
      </c>
      <c r="M25391" t="s">
        <v>43</v>
      </c>
      <c r="N25391" t="str">
        <f>"121716502   "</f>
        <v xml:space="preserve">121716502   </v>
      </c>
      <c r="O25391">
        <v>230830</v>
      </c>
    </row>
    <row r="25392" spans="1:15" x14ac:dyDescent="0.25">
      <c r="A25392" t="s">
        <v>16</v>
      </c>
      <c r="B25392" t="s">
        <v>3221</v>
      </c>
      <c r="C25392">
        <v>11268</v>
      </c>
      <c r="D25392" t="s">
        <v>114</v>
      </c>
      <c r="E25392" t="s">
        <v>115</v>
      </c>
      <c r="F25392">
        <v>52.42</v>
      </c>
      <c r="G25392">
        <v>230823</v>
      </c>
      <c r="H25392">
        <v>4580</v>
      </c>
      <c r="I25392" t="s">
        <v>35</v>
      </c>
      <c r="J25392">
        <v>65</v>
      </c>
      <c r="K25392">
        <v>12.58</v>
      </c>
      <c r="L25392">
        <v>17527</v>
      </c>
      <c r="M25392" t="s">
        <v>422</v>
      </c>
      <c r="N25392" t="str">
        <f>"121747240   "</f>
        <v xml:space="preserve">121747240   </v>
      </c>
      <c r="O25392">
        <v>230904</v>
      </c>
    </row>
    <row r="25393" spans="1:15" x14ac:dyDescent="0.25">
      <c r="A25393" t="s">
        <v>16</v>
      </c>
      <c r="B25393" t="s">
        <v>3221</v>
      </c>
      <c r="C25393">
        <v>11483</v>
      </c>
      <c r="D25393" t="s">
        <v>114</v>
      </c>
      <c r="E25393" t="s">
        <v>115</v>
      </c>
      <c r="F25393">
        <v>214.97</v>
      </c>
      <c r="G25393">
        <v>230829</v>
      </c>
      <c r="H25393">
        <v>4580</v>
      </c>
      <c r="I25393" t="s">
        <v>35</v>
      </c>
      <c r="J25393">
        <v>266.56</v>
      </c>
      <c r="K25393">
        <v>51.59</v>
      </c>
      <c r="L25393">
        <v>17521</v>
      </c>
      <c r="M25393" t="s">
        <v>133</v>
      </c>
      <c r="N25393" t="str">
        <f>"121768128   "</f>
        <v xml:space="preserve">121768128   </v>
      </c>
      <c r="O25393">
        <v>230906</v>
      </c>
    </row>
    <row r="25394" spans="1:15" x14ac:dyDescent="0.25">
      <c r="A25394" t="s">
        <v>16</v>
      </c>
      <c r="B25394" t="s">
        <v>3221</v>
      </c>
      <c r="C25394">
        <v>11506</v>
      </c>
      <c r="D25394" t="s">
        <v>114</v>
      </c>
      <c r="E25394" t="s">
        <v>115</v>
      </c>
      <c r="F25394">
        <v>759.84</v>
      </c>
      <c r="G25394">
        <v>230829</v>
      </c>
      <c r="H25394">
        <v>4580</v>
      </c>
      <c r="I25394" t="s">
        <v>35</v>
      </c>
      <c r="J25394">
        <v>942.2</v>
      </c>
      <c r="K25394">
        <v>182.36</v>
      </c>
      <c r="L25394">
        <v>17803</v>
      </c>
      <c r="M25394" t="s">
        <v>389</v>
      </c>
      <c r="N25394" t="str">
        <f>"121768209   "</f>
        <v xml:space="preserve">121768209   </v>
      </c>
      <c r="O25394">
        <v>230907</v>
      </c>
    </row>
    <row r="25395" spans="1:15" x14ac:dyDescent="0.25">
      <c r="A25395" t="s">
        <v>16</v>
      </c>
      <c r="B25395" t="s">
        <v>3221</v>
      </c>
      <c r="C25395">
        <v>11507</v>
      </c>
      <c r="D25395" t="s">
        <v>114</v>
      </c>
      <c r="E25395" t="s">
        <v>115</v>
      </c>
      <c r="F25395">
        <v>1188.01</v>
      </c>
      <c r="G25395">
        <v>230830</v>
      </c>
      <c r="H25395">
        <v>4580</v>
      </c>
      <c r="I25395" t="s">
        <v>35</v>
      </c>
      <c r="J25395">
        <v>1473.13</v>
      </c>
      <c r="K25395">
        <v>285.12</v>
      </c>
      <c r="L25395">
        <v>17803</v>
      </c>
      <c r="M25395" t="s">
        <v>389</v>
      </c>
      <c r="N25395" t="str">
        <f>"121772927   "</f>
        <v xml:space="preserve">121772927   </v>
      </c>
      <c r="O25395">
        <v>230907</v>
      </c>
    </row>
    <row r="25396" spans="1:15" x14ac:dyDescent="0.25">
      <c r="A25396" t="s">
        <v>16</v>
      </c>
      <c r="B25396" t="s">
        <v>3221</v>
      </c>
      <c r="C25396">
        <v>11564</v>
      </c>
      <c r="D25396" t="s">
        <v>114</v>
      </c>
      <c r="E25396" t="s">
        <v>115</v>
      </c>
      <c r="F25396">
        <v>2177.81</v>
      </c>
      <c r="G25396">
        <v>230831</v>
      </c>
      <c r="H25396">
        <v>4580</v>
      </c>
      <c r="I25396" t="s">
        <v>35</v>
      </c>
      <c r="J25396">
        <v>2700.48</v>
      </c>
      <c r="K25396">
        <v>522.66999999999996</v>
      </c>
      <c r="L25396">
        <v>56558</v>
      </c>
      <c r="M25396" t="s">
        <v>217</v>
      </c>
      <c r="N25396" t="str">
        <f>"121776909   "</f>
        <v xml:space="preserve">121776909   </v>
      </c>
      <c r="O25396">
        <v>230907</v>
      </c>
    </row>
    <row r="25397" spans="1:15" x14ac:dyDescent="0.25">
      <c r="A25397" t="s">
        <v>16</v>
      </c>
      <c r="B25397" t="s">
        <v>3221</v>
      </c>
      <c r="C25397">
        <v>11839</v>
      </c>
      <c r="D25397" t="s">
        <v>114</v>
      </c>
      <c r="E25397" t="s">
        <v>115</v>
      </c>
      <c r="F25397">
        <v>4428.83</v>
      </c>
      <c r="G25397">
        <v>230901</v>
      </c>
      <c r="H25397">
        <v>4580</v>
      </c>
      <c r="I25397" t="s">
        <v>35</v>
      </c>
      <c r="J25397">
        <v>5491.75</v>
      </c>
      <c r="K25397">
        <v>1062.92</v>
      </c>
      <c r="L25397">
        <v>46555</v>
      </c>
      <c r="M25397" t="s">
        <v>597</v>
      </c>
      <c r="N25397" t="str">
        <f>"121803498   "</f>
        <v xml:space="preserve">121803498   </v>
      </c>
      <c r="O25397">
        <v>230911</v>
      </c>
    </row>
    <row r="25398" spans="1:15" x14ac:dyDescent="0.25">
      <c r="A25398" t="s">
        <v>16</v>
      </c>
      <c r="B25398" t="s">
        <v>3221</v>
      </c>
      <c r="C25398">
        <v>12025</v>
      </c>
      <c r="D25398" t="s">
        <v>114</v>
      </c>
      <c r="E25398" t="s">
        <v>115</v>
      </c>
      <c r="F25398">
        <v>470.46</v>
      </c>
      <c r="G25398">
        <v>230905</v>
      </c>
      <c r="H25398">
        <v>4580</v>
      </c>
      <c r="I25398" t="s">
        <v>35</v>
      </c>
      <c r="J25398">
        <v>583.37</v>
      </c>
      <c r="K25398">
        <v>112.91</v>
      </c>
      <c r="L25398">
        <v>46557</v>
      </c>
      <c r="M25398" t="s">
        <v>221</v>
      </c>
      <c r="N25398" t="str">
        <f>"121808172   "</f>
        <v xml:space="preserve">121808172   </v>
      </c>
      <c r="O25398">
        <v>230912</v>
      </c>
    </row>
    <row r="25399" spans="1:15" x14ac:dyDescent="0.25">
      <c r="A25399" t="s">
        <v>16</v>
      </c>
      <c r="B25399" t="s">
        <v>3221</v>
      </c>
      <c r="C25399">
        <v>12143</v>
      </c>
      <c r="D25399" t="s">
        <v>114</v>
      </c>
      <c r="E25399" t="s">
        <v>115</v>
      </c>
      <c r="F25399">
        <v>452.4</v>
      </c>
      <c r="G25399">
        <v>230906</v>
      </c>
      <c r="H25399">
        <v>4580</v>
      </c>
      <c r="I25399" t="s">
        <v>35</v>
      </c>
      <c r="J25399">
        <v>560.98</v>
      </c>
      <c r="K25399">
        <v>108.58</v>
      </c>
      <c r="L25399">
        <v>17803</v>
      </c>
      <c r="M25399" t="s">
        <v>389</v>
      </c>
      <c r="N25399" t="str">
        <f>"121812531   "</f>
        <v xml:space="preserve">121812531   </v>
      </c>
      <c r="O25399">
        <v>230914</v>
      </c>
    </row>
    <row r="25400" spans="1:15" x14ac:dyDescent="0.25">
      <c r="A25400" t="s">
        <v>16</v>
      </c>
      <c r="B25400" t="s">
        <v>3221</v>
      </c>
      <c r="C25400">
        <v>12491</v>
      </c>
      <c r="D25400" t="s">
        <v>114</v>
      </c>
      <c r="E25400" t="s">
        <v>115</v>
      </c>
      <c r="F25400">
        <v>612.49</v>
      </c>
      <c r="G25400">
        <v>230911</v>
      </c>
      <c r="H25400">
        <v>4580</v>
      </c>
      <c r="I25400" t="s">
        <v>35</v>
      </c>
      <c r="J25400">
        <v>759.49</v>
      </c>
      <c r="K25400">
        <v>147</v>
      </c>
      <c r="L25400">
        <v>46557</v>
      </c>
      <c r="M25400" t="s">
        <v>221</v>
      </c>
      <c r="N25400" t="str">
        <f>"121827849   "</f>
        <v xml:space="preserve">121827849   </v>
      </c>
      <c r="O25400">
        <v>230920</v>
      </c>
    </row>
    <row r="25401" spans="1:15" x14ac:dyDescent="0.25">
      <c r="A25401" t="s">
        <v>16</v>
      </c>
      <c r="B25401" t="s">
        <v>3221</v>
      </c>
      <c r="C25401">
        <v>12518</v>
      </c>
      <c r="D25401" t="s">
        <v>114</v>
      </c>
      <c r="E25401" t="s">
        <v>115</v>
      </c>
      <c r="F25401">
        <v>140.44999999999999</v>
      </c>
      <c r="G25401">
        <v>230913</v>
      </c>
      <c r="H25401">
        <v>4580</v>
      </c>
      <c r="I25401" t="s">
        <v>35</v>
      </c>
      <c r="J25401">
        <v>174.16</v>
      </c>
      <c r="K25401">
        <v>33.71</v>
      </c>
      <c r="L25401">
        <v>17802</v>
      </c>
      <c r="M25401" t="s">
        <v>174</v>
      </c>
      <c r="N25401" t="str">
        <f>"121836439   "</f>
        <v xml:space="preserve">121836439   </v>
      </c>
      <c r="O25401">
        <v>230920</v>
      </c>
    </row>
    <row r="25402" spans="1:15" x14ac:dyDescent="0.25">
      <c r="A25402" t="s">
        <v>16</v>
      </c>
      <c r="B25402" t="s">
        <v>3221</v>
      </c>
      <c r="C25402">
        <v>12521</v>
      </c>
      <c r="D25402" t="s">
        <v>114</v>
      </c>
      <c r="E25402" t="s">
        <v>115</v>
      </c>
      <c r="F25402">
        <v>188.56</v>
      </c>
      <c r="G25402">
        <v>230914</v>
      </c>
      <c r="H25402">
        <v>4580</v>
      </c>
      <c r="I25402" t="s">
        <v>35</v>
      </c>
      <c r="J25402">
        <v>233.82</v>
      </c>
      <c r="K25402">
        <v>45.26</v>
      </c>
      <c r="L25402">
        <v>17803</v>
      </c>
      <c r="M25402" t="s">
        <v>389</v>
      </c>
      <c r="N25402" t="str">
        <f>"121842984   "</f>
        <v xml:space="preserve">121842984   </v>
      </c>
      <c r="O25402">
        <v>230920</v>
      </c>
    </row>
    <row r="25403" spans="1:15" x14ac:dyDescent="0.25">
      <c r="A25403" t="s">
        <v>16</v>
      </c>
      <c r="B25403" t="s">
        <v>3221</v>
      </c>
      <c r="C25403">
        <v>12562</v>
      </c>
      <c r="D25403" t="s">
        <v>114</v>
      </c>
      <c r="E25403" t="s">
        <v>115</v>
      </c>
      <c r="F25403">
        <v>30.76</v>
      </c>
      <c r="G25403">
        <v>230914</v>
      </c>
      <c r="H25403">
        <v>4580</v>
      </c>
      <c r="I25403" t="s">
        <v>35</v>
      </c>
      <c r="J25403">
        <v>38.14</v>
      </c>
      <c r="K25403">
        <v>7.38</v>
      </c>
      <c r="L25403">
        <v>46554</v>
      </c>
      <c r="M25403" t="s">
        <v>117</v>
      </c>
      <c r="N25403" t="str">
        <f>"121840947   "</f>
        <v xml:space="preserve">121840947   </v>
      </c>
      <c r="O25403">
        <v>230921</v>
      </c>
    </row>
    <row r="25404" spans="1:15" x14ac:dyDescent="0.25">
      <c r="A25404" t="s">
        <v>16</v>
      </c>
      <c r="B25404" t="s">
        <v>3221</v>
      </c>
      <c r="C25404">
        <v>12635</v>
      </c>
      <c r="D25404" t="s">
        <v>114</v>
      </c>
      <c r="E25404" t="s">
        <v>115</v>
      </c>
      <c r="F25404">
        <v>42.04</v>
      </c>
      <c r="G25404">
        <v>230905</v>
      </c>
      <c r="H25404">
        <v>4580</v>
      </c>
      <c r="I25404" t="s">
        <v>35</v>
      </c>
      <c r="J25404">
        <v>52.13</v>
      </c>
      <c r="K25404">
        <v>10.09</v>
      </c>
      <c r="L25404">
        <v>46554</v>
      </c>
      <c r="M25404" t="s">
        <v>117</v>
      </c>
      <c r="N25404" t="str">
        <f>"121808173   "</f>
        <v xml:space="preserve">121808173   </v>
      </c>
      <c r="O25404">
        <v>230922</v>
      </c>
    </row>
    <row r="25405" spans="1:15" x14ac:dyDescent="0.25">
      <c r="A25405" t="s">
        <v>16</v>
      </c>
      <c r="B25405" t="s">
        <v>3221</v>
      </c>
      <c r="C25405">
        <v>12694</v>
      </c>
      <c r="D25405" t="s">
        <v>114</v>
      </c>
      <c r="E25405" t="s">
        <v>115</v>
      </c>
      <c r="F25405">
        <v>43.57</v>
      </c>
      <c r="G25405">
        <v>230908</v>
      </c>
      <c r="H25405">
        <v>4580</v>
      </c>
      <c r="I25405" t="s">
        <v>35</v>
      </c>
      <c r="J25405">
        <v>54.03</v>
      </c>
      <c r="K25405">
        <v>10.46</v>
      </c>
      <c r="L25405">
        <v>17522</v>
      </c>
      <c r="M25405" t="s">
        <v>451</v>
      </c>
      <c r="N25405" t="str">
        <f>"121825410   "</f>
        <v xml:space="preserve">121825410   </v>
      </c>
      <c r="O25405">
        <v>230925</v>
      </c>
    </row>
    <row r="25406" spans="1:15" x14ac:dyDescent="0.25">
      <c r="A25406" t="s">
        <v>16</v>
      </c>
      <c r="B25406" t="s">
        <v>3221</v>
      </c>
      <c r="C25406">
        <v>12797</v>
      </c>
      <c r="D25406" t="s">
        <v>114</v>
      </c>
      <c r="E25406" t="s">
        <v>115</v>
      </c>
      <c r="F25406">
        <v>138.66</v>
      </c>
      <c r="G25406">
        <v>230921</v>
      </c>
      <c r="H25406">
        <v>4580</v>
      </c>
      <c r="I25406" t="s">
        <v>35</v>
      </c>
      <c r="J25406">
        <v>171.94</v>
      </c>
      <c r="K25406">
        <v>33.28</v>
      </c>
      <c r="L25406">
        <v>46557</v>
      </c>
      <c r="M25406" t="s">
        <v>221</v>
      </c>
      <c r="N25406" t="str">
        <f>"121875016   "</f>
        <v xml:space="preserve">121875016   </v>
      </c>
      <c r="O25406">
        <v>230926</v>
      </c>
    </row>
    <row r="25407" spans="1:15" x14ac:dyDescent="0.25">
      <c r="A25407" t="s">
        <v>16</v>
      </c>
      <c r="B25407" t="s">
        <v>3221</v>
      </c>
      <c r="C25407">
        <v>13048</v>
      </c>
      <c r="D25407" t="s">
        <v>114</v>
      </c>
      <c r="E25407" t="s">
        <v>115</v>
      </c>
      <c r="F25407">
        <v>55.98</v>
      </c>
      <c r="G25407">
        <v>230920</v>
      </c>
      <c r="H25407">
        <v>4580</v>
      </c>
      <c r="I25407" t="s">
        <v>35</v>
      </c>
      <c r="J25407">
        <v>69.42</v>
      </c>
      <c r="K25407">
        <v>13.44</v>
      </c>
      <c r="L25407">
        <v>46554</v>
      </c>
      <c r="M25407" t="s">
        <v>117</v>
      </c>
      <c r="N25407" t="str">
        <f>"121869238   "</f>
        <v xml:space="preserve">121869238   </v>
      </c>
      <c r="O25407">
        <v>231002</v>
      </c>
    </row>
    <row r="25408" spans="1:15" x14ac:dyDescent="0.25">
      <c r="A25408" t="s">
        <v>16</v>
      </c>
      <c r="B25408" t="s">
        <v>3221</v>
      </c>
      <c r="C25408">
        <v>13093</v>
      </c>
      <c r="D25408" t="s">
        <v>114</v>
      </c>
      <c r="E25408" t="s">
        <v>115</v>
      </c>
      <c r="F25408">
        <v>136.62</v>
      </c>
      <c r="G25408">
        <v>230922</v>
      </c>
      <c r="H25408">
        <v>4580</v>
      </c>
      <c r="I25408" t="s">
        <v>35</v>
      </c>
      <c r="J25408">
        <v>169.41</v>
      </c>
      <c r="K25408">
        <v>32.79</v>
      </c>
      <c r="L25408">
        <v>46554</v>
      </c>
      <c r="M25408" t="s">
        <v>117</v>
      </c>
      <c r="N25408" t="str">
        <f>"121881428   "</f>
        <v xml:space="preserve">121881428   </v>
      </c>
      <c r="O25408">
        <v>231003</v>
      </c>
    </row>
    <row r="25409" spans="1:15" x14ac:dyDescent="0.25">
      <c r="A25409" t="s">
        <v>16</v>
      </c>
      <c r="B25409" t="s">
        <v>3221</v>
      </c>
      <c r="C25409">
        <v>13161</v>
      </c>
      <c r="D25409" t="s">
        <v>114</v>
      </c>
      <c r="E25409" t="s">
        <v>115</v>
      </c>
      <c r="F25409">
        <v>15.84</v>
      </c>
      <c r="G25409">
        <v>230929</v>
      </c>
      <c r="H25409">
        <v>4580</v>
      </c>
      <c r="I25409" t="s">
        <v>35</v>
      </c>
      <c r="J25409">
        <v>19.64</v>
      </c>
      <c r="K25409">
        <v>3.8</v>
      </c>
      <c r="L25409">
        <v>56562</v>
      </c>
      <c r="M25409" t="s">
        <v>126</v>
      </c>
      <c r="N25409" t="str">
        <f>"121906227   "</f>
        <v xml:space="preserve">121906227   </v>
      </c>
      <c r="O25409">
        <v>231004</v>
      </c>
    </row>
    <row r="25410" spans="1:15" x14ac:dyDescent="0.25">
      <c r="A25410" t="s">
        <v>16</v>
      </c>
      <c r="B25410" t="s">
        <v>3221</v>
      </c>
      <c r="C25410">
        <v>13348</v>
      </c>
      <c r="D25410" t="s">
        <v>114</v>
      </c>
      <c r="E25410" t="s">
        <v>115</v>
      </c>
      <c r="F25410">
        <v>30.81</v>
      </c>
      <c r="G25410">
        <v>230921</v>
      </c>
      <c r="H25410">
        <v>4580</v>
      </c>
      <c r="I25410" t="s">
        <v>35</v>
      </c>
      <c r="J25410">
        <v>38.21</v>
      </c>
      <c r="K25410">
        <v>7.4</v>
      </c>
      <c r="L25410">
        <v>17802</v>
      </c>
      <c r="M25410" t="s">
        <v>174</v>
      </c>
      <c r="N25410" t="str">
        <f>"121873305   "</f>
        <v xml:space="preserve">121873305   </v>
      </c>
      <c r="O25410">
        <v>231009</v>
      </c>
    </row>
    <row r="25411" spans="1:15" x14ac:dyDescent="0.25">
      <c r="A25411" t="s">
        <v>16</v>
      </c>
      <c r="B25411" t="s">
        <v>3221</v>
      </c>
      <c r="C25411">
        <v>13375</v>
      </c>
      <c r="D25411" t="s">
        <v>114</v>
      </c>
      <c r="E25411" t="s">
        <v>115</v>
      </c>
      <c r="F25411">
        <v>755.88</v>
      </c>
      <c r="G25411">
        <v>230929</v>
      </c>
      <c r="H25411">
        <v>4580</v>
      </c>
      <c r="I25411" t="s">
        <v>35</v>
      </c>
      <c r="J25411">
        <v>937.29</v>
      </c>
      <c r="K25411">
        <v>181.41</v>
      </c>
      <c r="L25411">
        <v>56559</v>
      </c>
      <c r="M25411" t="s">
        <v>129</v>
      </c>
      <c r="N25411" t="str">
        <f>"121906229   "</f>
        <v xml:space="preserve">121906229   </v>
      </c>
      <c r="O25411">
        <v>231009</v>
      </c>
    </row>
    <row r="25412" spans="1:15" x14ac:dyDescent="0.25">
      <c r="A25412" t="s">
        <v>16</v>
      </c>
      <c r="B25412" t="s">
        <v>3221</v>
      </c>
      <c r="C25412">
        <v>13376</v>
      </c>
      <c r="D25412" t="s">
        <v>114</v>
      </c>
      <c r="E25412" t="s">
        <v>115</v>
      </c>
      <c r="F25412">
        <v>224.86</v>
      </c>
      <c r="G25412">
        <v>230928</v>
      </c>
      <c r="H25412">
        <v>4580</v>
      </c>
      <c r="I25412" t="s">
        <v>35</v>
      </c>
      <c r="J25412">
        <v>278.83</v>
      </c>
      <c r="K25412">
        <v>53.97</v>
      </c>
      <c r="L25412">
        <v>17803</v>
      </c>
      <c r="M25412" t="s">
        <v>389</v>
      </c>
      <c r="N25412" t="str">
        <f>"121896414   "</f>
        <v xml:space="preserve">121896414   </v>
      </c>
      <c r="O25412">
        <v>231009</v>
      </c>
    </row>
    <row r="25413" spans="1:15" x14ac:dyDescent="0.25">
      <c r="A25413" t="s">
        <v>16</v>
      </c>
      <c r="B25413" t="s">
        <v>3221</v>
      </c>
      <c r="C25413">
        <v>13488</v>
      </c>
      <c r="D25413" t="s">
        <v>114</v>
      </c>
      <c r="E25413" t="s">
        <v>115</v>
      </c>
      <c r="F25413">
        <v>305.99</v>
      </c>
      <c r="G25413">
        <v>231003</v>
      </c>
      <c r="H25413">
        <v>4580</v>
      </c>
      <c r="I25413" t="s">
        <v>35</v>
      </c>
      <c r="J25413">
        <v>379.43</v>
      </c>
      <c r="K25413">
        <v>73.44</v>
      </c>
      <c r="L25413">
        <v>17807</v>
      </c>
      <c r="M25413" t="s">
        <v>318</v>
      </c>
      <c r="N25413" t="str">
        <f>"121933200   "</f>
        <v xml:space="preserve">121933200   </v>
      </c>
      <c r="O25413">
        <v>231010</v>
      </c>
    </row>
    <row r="25414" spans="1:15" x14ac:dyDescent="0.25">
      <c r="A25414" t="s">
        <v>16</v>
      </c>
      <c r="B25414" t="s">
        <v>3221</v>
      </c>
      <c r="C25414">
        <v>14373</v>
      </c>
      <c r="D25414" t="s">
        <v>114</v>
      </c>
      <c r="E25414" t="s">
        <v>115</v>
      </c>
      <c r="F25414">
        <v>119.47</v>
      </c>
      <c r="G25414">
        <v>231003</v>
      </c>
      <c r="H25414">
        <v>4580</v>
      </c>
      <c r="I25414" t="s">
        <v>35</v>
      </c>
      <c r="J25414">
        <v>148.13999999999999</v>
      </c>
      <c r="K25414">
        <v>28.67</v>
      </c>
      <c r="L25414">
        <v>17527</v>
      </c>
      <c r="M25414" t="s">
        <v>422</v>
      </c>
      <c r="N25414" t="str">
        <f>"121932733   "</f>
        <v xml:space="preserve">121932733   </v>
      </c>
      <c r="O25414">
        <v>231030</v>
      </c>
    </row>
    <row r="25415" spans="1:15" x14ac:dyDescent="0.25">
      <c r="A25415" t="s">
        <v>16</v>
      </c>
      <c r="B25415" t="s">
        <v>3221</v>
      </c>
      <c r="C25415">
        <v>14591</v>
      </c>
      <c r="D25415" t="s">
        <v>114</v>
      </c>
      <c r="E25415" t="s">
        <v>115</v>
      </c>
      <c r="F25415">
        <v>348.98</v>
      </c>
      <c r="G25415">
        <v>231017</v>
      </c>
      <c r="H25415">
        <v>4580</v>
      </c>
      <c r="I25415" t="s">
        <v>35</v>
      </c>
      <c r="J25415">
        <v>432.74</v>
      </c>
      <c r="K25415">
        <v>83.76</v>
      </c>
      <c r="L25415">
        <v>17522</v>
      </c>
      <c r="M25415" t="s">
        <v>451</v>
      </c>
      <c r="N25415" t="str">
        <f>"121986369   "</f>
        <v xml:space="preserve">121986369   </v>
      </c>
      <c r="O25415">
        <v>231030</v>
      </c>
    </row>
    <row r="25416" spans="1:15" x14ac:dyDescent="0.25">
      <c r="A25416" t="s">
        <v>16</v>
      </c>
      <c r="B25416" t="s">
        <v>3221</v>
      </c>
      <c r="C25416">
        <v>15187</v>
      </c>
      <c r="D25416" t="s">
        <v>114</v>
      </c>
      <c r="E25416" t="s">
        <v>115</v>
      </c>
      <c r="F25416">
        <v>258.12</v>
      </c>
      <c r="G25416">
        <v>231031</v>
      </c>
      <c r="H25416">
        <v>4580</v>
      </c>
      <c r="I25416" t="s">
        <v>35</v>
      </c>
      <c r="J25416">
        <v>320.07</v>
      </c>
      <c r="K25416">
        <v>61.95</v>
      </c>
      <c r="L25416">
        <v>17522</v>
      </c>
      <c r="M25416" t="s">
        <v>451</v>
      </c>
      <c r="N25416" t="str">
        <f>"122054709   "</f>
        <v xml:space="preserve">122054709   </v>
      </c>
      <c r="O25416">
        <v>231109</v>
      </c>
    </row>
    <row r="25417" spans="1:15" x14ac:dyDescent="0.25">
      <c r="A25417" t="s">
        <v>16</v>
      </c>
      <c r="B25417" t="s">
        <v>3221</v>
      </c>
      <c r="C25417">
        <v>15200</v>
      </c>
      <c r="D25417" t="s">
        <v>114</v>
      </c>
      <c r="E25417" t="s">
        <v>115</v>
      </c>
      <c r="F25417">
        <v>98.04</v>
      </c>
      <c r="G25417">
        <v>231031</v>
      </c>
      <c r="H25417">
        <v>4580</v>
      </c>
      <c r="I25417" t="s">
        <v>35</v>
      </c>
      <c r="J25417">
        <v>121.57</v>
      </c>
      <c r="K25417">
        <v>23.53</v>
      </c>
      <c r="L25417">
        <v>49501</v>
      </c>
      <c r="M25417" t="s">
        <v>177</v>
      </c>
      <c r="N25417" t="str">
        <f>"122043983   "</f>
        <v xml:space="preserve">122043983   </v>
      </c>
      <c r="O25417">
        <v>231109</v>
      </c>
    </row>
    <row r="25418" spans="1:15" x14ac:dyDescent="0.25">
      <c r="A25418" t="s">
        <v>16</v>
      </c>
      <c r="B25418" t="s">
        <v>3221</v>
      </c>
      <c r="C25418">
        <v>15904</v>
      </c>
      <c r="D25418" t="s">
        <v>114</v>
      </c>
      <c r="E25418" t="s">
        <v>115</v>
      </c>
      <c r="F25418">
        <v>544.26</v>
      </c>
      <c r="G25418">
        <v>231027</v>
      </c>
      <c r="H25418">
        <v>4580</v>
      </c>
      <c r="I25418" t="s">
        <v>35</v>
      </c>
      <c r="J25418">
        <v>674.88</v>
      </c>
      <c r="K25418">
        <v>130.62</v>
      </c>
      <c r="L25418">
        <v>17537</v>
      </c>
      <c r="M25418" t="s">
        <v>455</v>
      </c>
      <c r="N25418" t="str">
        <f>"122023147   "</f>
        <v xml:space="preserve">122023147   </v>
      </c>
      <c r="O25418">
        <v>231122</v>
      </c>
    </row>
    <row r="25419" spans="1:15" x14ac:dyDescent="0.25">
      <c r="A25419" t="s">
        <v>16</v>
      </c>
      <c r="B25419" t="s">
        <v>3221</v>
      </c>
      <c r="C25419">
        <v>16097</v>
      </c>
      <c r="D25419" t="s">
        <v>114</v>
      </c>
      <c r="E25419" t="s">
        <v>115</v>
      </c>
      <c r="F25419">
        <v>22.63</v>
      </c>
      <c r="G25419">
        <v>231115</v>
      </c>
      <c r="H25419">
        <v>4580</v>
      </c>
      <c r="I25419" t="s">
        <v>35</v>
      </c>
      <c r="J25419">
        <v>28.06</v>
      </c>
      <c r="K25419">
        <v>5.43</v>
      </c>
      <c r="L25419">
        <v>59504</v>
      </c>
      <c r="M25419" t="s">
        <v>71</v>
      </c>
      <c r="N25419" t="str">
        <f>"122104599   "</f>
        <v xml:space="preserve">122104599   </v>
      </c>
      <c r="O25419">
        <v>231122</v>
      </c>
    </row>
    <row r="25420" spans="1:15" x14ac:dyDescent="0.25">
      <c r="A25420" t="s">
        <v>16</v>
      </c>
      <c r="B25420" t="s">
        <v>3221</v>
      </c>
      <c r="C25420">
        <v>16107</v>
      </c>
      <c r="D25420" t="s">
        <v>114</v>
      </c>
      <c r="E25420" t="s">
        <v>115</v>
      </c>
      <c r="F25420">
        <v>156.12</v>
      </c>
      <c r="G25420">
        <v>231115</v>
      </c>
      <c r="H25420">
        <v>4580</v>
      </c>
      <c r="I25420" t="s">
        <v>35</v>
      </c>
      <c r="J25420">
        <v>193.59</v>
      </c>
      <c r="K25420">
        <v>37.47</v>
      </c>
      <c r="L25420">
        <v>17521</v>
      </c>
      <c r="M25420" t="s">
        <v>133</v>
      </c>
      <c r="N25420" t="str">
        <f>"122110016   "</f>
        <v xml:space="preserve">122110016   </v>
      </c>
      <c r="O25420">
        <v>231122</v>
      </c>
    </row>
    <row r="25421" spans="1:15" x14ac:dyDescent="0.25">
      <c r="A25421" t="s">
        <v>16</v>
      </c>
      <c r="B25421" t="s">
        <v>3221</v>
      </c>
      <c r="C25421">
        <v>16755</v>
      </c>
      <c r="D25421" t="s">
        <v>114</v>
      </c>
      <c r="E25421" t="s">
        <v>115</v>
      </c>
      <c r="F25421">
        <v>877.37</v>
      </c>
      <c r="G25421">
        <v>231115</v>
      </c>
      <c r="H25421">
        <v>4580</v>
      </c>
      <c r="I25421" t="s">
        <v>35</v>
      </c>
      <c r="J25421">
        <v>1087.94</v>
      </c>
      <c r="K25421">
        <v>210.57</v>
      </c>
      <c r="L25421">
        <v>17802</v>
      </c>
      <c r="M25421" t="s">
        <v>174</v>
      </c>
      <c r="N25421" t="str">
        <f>"122105897   "</f>
        <v xml:space="preserve">122105897   </v>
      </c>
      <c r="O25421">
        <v>231208</v>
      </c>
    </row>
    <row r="25422" spans="1:15" x14ac:dyDescent="0.25">
      <c r="A25422" t="s">
        <v>16</v>
      </c>
      <c r="B25422" t="s">
        <v>3221</v>
      </c>
      <c r="C25422">
        <v>16761</v>
      </c>
      <c r="D25422" t="s">
        <v>114</v>
      </c>
      <c r="E25422" t="s">
        <v>115</v>
      </c>
      <c r="F25422">
        <v>23.59</v>
      </c>
      <c r="G25422">
        <v>231123</v>
      </c>
      <c r="H25422">
        <v>4580</v>
      </c>
      <c r="I25422" t="s">
        <v>35</v>
      </c>
      <c r="J25422">
        <v>29.25</v>
      </c>
      <c r="K25422">
        <v>5.66</v>
      </c>
      <c r="L25422">
        <v>17802</v>
      </c>
      <c r="M25422" t="s">
        <v>174</v>
      </c>
      <c r="N25422" t="str">
        <f>"122135888   "</f>
        <v xml:space="preserve">122135888   </v>
      </c>
      <c r="O25422">
        <v>231208</v>
      </c>
    </row>
    <row r="25423" spans="1:15" x14ac:dyDescent="0.25">
      <c r="A25423" t="s">
        <v>16</v>
      </c>
      <c r="B25423" t="s">
        <v>3221</v>
      </c>
      <c r="C25423">
        <v>16773</v>
      </c>
      <c r="D25423" t="s">
        <v>114</v>
      </c>
      <c r="E25423" t="s">
        <v>115</v>
      </c>
      <c r="F25423">
        <v>493.39</v>
      </c>
      <c r="G25423">
        <v>231129</v>
      </c>
      <c r="H25423">
        <v>4580</v>
      </c>
      <c r="I25423" t="s">
        <v>35</v>
      </c>
      <c r="J25423">
        <v>611.79999999999995</v>
      </c>
      <c r="K25423">
        <v>118.41</v>
      </c>
      <c r="L25423">
        <v>46557</v>
      </c>
      <c r="M25423" t="s">
        <v>221</v>
      </c>
      <c r="N25423" t="str">
        <f>"122153791   "</f>
        <v xml:space="preserve">122153791   </v>
      </c>
      <c r="O25423">
        <v>231208</v>
      </c>
    </row>
    <row r="25424" spans="1:15" x14ac:dyDescent="0.25">
      <c r="A25424" t="s">
        <v>16</v>
      </c>
      <c r="B25424" t="s">
        <v>3221</v>
      </c>
      <c r="C25424">
        <v>17333</v>
      </c>
      <c r="D25424" t="s">
        <v>114</v>
      </c>
      <c r="E25424" t="s">
        <v>115</v>
      </c>
      <c r="F25424">
        <v>108.98</v>
      </c>
      <c r="G25424">
        <v>231130</v>
      </c>
      <c r="H25424">
        <v>4580</v>
      </c>
      <c r="I25424" t="s">
        <v>35</v>
      </c>
      <c r="J25424">
        <v>135.13</v>
      </c>
      <c r="K25424">
        <v>26.15</v>
      </c>
      <c r="L25424">
        <v>17802</v>
      </c>
      <c r="M25424" t="s">
        <v>174</v>
      </c>
      <c r="N25424" t="str">
        <f>"122181164   "</f>
        <v xml:space="preserve">122181164   </v>
      </c>
      <c r="O25424">
        <v>231213</v>
      </c>
    </row>
    <row r="25425" spans="1:15" x14ac:dyDescent="0.25">
      <c r="A25425" t="s">
        <v>16</v>
      </c>
      <c r="B25425" t="s">
        <v>3221</v>
      </c>
      <c r="C25425">
        <v>17623</v>
      </c>
      <c r="D25425" t="s">
        <v>114</v>
      </c>
      <c r="E25425" t="s">
        <v>115</v>
      </c>
      <c r="F25425">
        <v>26.48</v>
      </c>
      <c r="G25425">
        <v>231212</v>
      </c>
      <c r="H25425">
        <v>4580</v>
      </c>
      <c r="I25425" t="s">
        <v>35</v>
      </c>
      <c r="J25425">
        <v>32.840000000000003</v>
      </c>
      <c r="K25425">
        <v>6.36</v>
      </c>
      <c r="L25425">
        <v>17525</v>
      </c>
      <c r="M25425" t="s">
        <v>135</v>
      </c>
      <c r="N25425" t="str">
        <f>"122207381   "</f>
        <v xml:space="preserve">122207381   </v>
      </c>
      <c r="O25425">
        <v>231215</v>
      </c>
    </row>
    <row r="25426" spans="1:15" x14ac:dyDescent="0.25">
      <c r="A25426" t="s">
        <v>16</v>
      </c>
      <c r="B25426" t="s">
        <v>3221</v>
      </c>
      <c r="C25426">
        <v>17623</v>
      </c>
      <c r="D25426" t="s">
        <v>114</v>
      </c>
      <c r="E25426" t="s">
        <v>115</v>
      </c>
      <c r="F25426">
        <v>37.090000000000003</v>
      </c>
      <c r="G25426">
        <v>231212</v>
      </c>
      <c r="H25426">
        <v>4580</v>
      </c>
      <c r="I25426" t="s">
        <v>35</v>
      </c>
      <c r="J25426">
        <v>45.99</v>
      </c>
      <c r="K25426">
        <v>8.9</v>
      </c>
      <c r="L25426">
        <v>17529</v>
      </c>
      <c r="M25426" t="s">
        <v>453</v>
      </c>
      <c r="N25426" t="str">
        <f>"122207381   "</f>
        <v xml:space="preserve">122207381   </v>
      </c>
      <c r="O25426">
        <v>231215</v>
      </c>
    </row>
    <row r="25427" spans="1:15" x14ac:dyDescent="0.25">
      <c r="A25427" t="s">
        <v>16</v>
      </c>
      <c r="B25427" t="s">
        <v>3221</v>
      </c>
      <c r="C25427">
        <v>18563</v>
      </c>
      <c r="D25427" t="s">
        <v>114</v>
      </c>
      <c r="E25427" t="s">
        <v>115</v>
      </c>
      <c r="F25427">
        <v>853.22</v>
      </c>
      <c r="G25427">
        <v>231215</v>
      </c>
      <c r="H25427">
        <v>4580</v>
      </c>
      <c r="I25427" t="s">
        <v>35</v>
      </c>
      <c r="J25427">
        <v>1057.99</v>
      </c>
      <c r="K25427">
        <v>204.77</v>
      </c>
      <c r="L25427">
        <v>17803</v>
      </c>
      <c r="M25427" t="s">
        <v>389</v>
      </c>
      <c r="N25427" t="str">
        <f>"122227522   "</f>
        <v xml:space="preserve">122227522   </v>
      </c>
      <c r="O25427">
        <v>240104</v>
      </c>
    </row>
    <row r="25428" spans="1:15" x14ac:dyDescent="0.25">
      <c r="A25428" t="s">
        <v>16</v>
      </c>
      <c r="B25428" t="s">
        <v>3221</v>
      </c>
      <c r="C25428">
        <v>18633</v>
      </c>
      <c r="D25428" t="s">
        <v>114</v>
      </c>
      <c r="E25428" t="s">
        <v>115</v>
      </c>
      <c r="F25428">
        <v>18.46</v>
      </c>
      <c r="G25428">
        <v>231229</v>
      </c>
      <c r="H25428">
        <v>4580</v>
      </c>
      <c r="I25428" t="s">
        <v>35</v>
      </c>
      <c r="J25428">
        <v>22.89</v>
      </c>
      <c r="K25428">
        <v>4.43</v>
      </c>
      <c r="L25428">
        <v>17804</v>
      </c>
      <c r="M25428" t="s">
        <v>549</v>
      </c>
      <c r="N25428" t="str">
        <f>"122260276   "</f>
        <v xml:space="preserve">122260276   </v>
      </c>
      <c r="O25428">
        <v>240104</v>
      </c>
    </row>
    <row r="25429" spans="1:15" x14ac:dyDescent="0.25">
      <c r="A25429" t="s">
        <v>16</v>
      </c>
      <c r="B25429" t="s">
        <v>3221</v>
      </c>
      <c r="C25429">
        <v>18637</v>
      </c>
      <c r="D25429" t="s">
        <v>114</v>
      </c>
      <c r="E25429" t="s">
        <v>115</v>
      </c>
      <c r="F25429">
        <v>40.58</v>
      </c>
      <c r="G25429">
        <v>231229</v>
      </c>
      <c r="H25429">
        <v>4580</v>
      </c>
      <c r="I25429" t="s">
        <v>35</v>
      </c>
      <c r="J25429">
        <v>50.32</v>
      </c>
      <c r="K25429">
        <v>9.74</v>
      </c>
      <c r="L25429">
        <v>17804</v>
      </c>
      <c r="M25429" t="s">
        <v>549</v>
      </c>
      <c r="N25429" t="str">
        <f>"122252973   "</f>
        <v xml:space="preserve">122252973   </v>
      </c>
      <c r="O25429">
        <v>240104</v>
      </c>
    </row>
    <row r="25430" spans="1:15" x14ac:dyDescent="0.25">
      <c r="A25430" t="s">
        <v>16</v>
      </c>
      <c r="B25430" t="s">
        <v>3221</v>
      </c>
      <c r="C25430">
        <v>13701</v>
      </c>
      <c r="D25430" t="s">
        <v>114</v>
      </c>
      <c r="E25430" t="s">
        <v>115</v>
      </c>
      <c r="F25430">
        <v>54.72</v>
      </c>
      <c r="G25430">
        <v>231006</v>
      </c>
      <c r="H25430">
        <v>1196</v>
      </c>
      <c r="I25430" t="s">
        <v>392</v>
      </c>
      <c r="J25430">
        <v>67.849999999999994</v>
      </c>
      <c r="K25430">
        <v>13.13</v>
      </c>
      <c r="L25430">
        <v>96501</v>
      </c>
      <c r="M25430" t="s">
        <v>2361</v>
      </c>
      <c r="N25430" t="str">
        <f>"121943813   "</f>
        <v xml:space="preserve">121943813   </v>
      </c>
      <c r="O25430">
        <v>231012</v>
      </c>
    </row>
    <row r="25431" spans="1:15" x14ac:dyDescent="0.25">
      <c r="A25431" t="s">
        <v>16</v>
      </c>
      <c r="B25431" t="s">
        <v>3221</v>
      </c>
      <c r="C25431">
        <v>16779</v>
      </c>
      <c r="D25431" t="s">
        <v>114</v>
      </c>
      <c r="E25431" t="s">
        <v>115</v>
      </c>
      <c r="F25431">
        <v>440.27</v>
      </c>
      <c r="G25431">
        <v>231129</v>
      </c>
      <c r="H25431">
        <v>1196</v>
      </c>
      <c r="I25431" t="s">
        <v>392</v>
      </c>
      <c r="J25431">
        <v>545.92999999999995</v>
      </c>
      <c r="K25431">
        <v>105.66</v>
      </c>
      <c r="L25431">
        <v>96501</v>
      </c>
      <c r="M25431" t="s">
        <v>2361</v>
      </c>
      <c r="N25431" t="str">
        <f>"122153790   "</f>
        <v xml:space="preserve">122153790   </v>
      </c>
      <c r="O25431">
        <v>231208</v>
      </c>
    </row>
    <row r="25432" spans="1:15" x14ac:dyDescent="0.25">
      <c r="A25432" t="s">
        <v>16</v>
      </c>
      <c r="B25432" t="s">
        <v>3221</v>
      </c>
      <c r="C25432">
        <v>230</v>
      </c>
      <c r="D25432" t="s">
        <v>114</v>
      </c>
      <c r="E25432" t="s">
        <v>115</v>
      </c>
      <c r="F25432">
        <v>555.36</v>
      </c>
      <c r="G25432">
        <v>230110</v>
      </c>
      <c r="H25432">
        <v>4400</v>
      </c>
      <c r="I25432" t="s">
        <v>348</v>
      </c>
      <c r="J25432">
        <v>688.65</v>
      </c>
      <c r="K25432">
        <v>133.29</v>
      </c>
      <c r="L25432">
        <v>17635</v>
      </c>
      <c r="M25432" t="s">
        <v>349</v>
      </c>
      <c r="N25432" t="str">
        <f>"120899301   "</f>
        <v xml:space="preserve">120899301   </v>
      </c>
      <c r="O25432">
        <v>230116</v>
      </c>
    </row>
    <row r="25433" spans="1:15" x14ac:dyDescent="0.25">
      <c r="A25433" t="s">
        <v>16</v>
      </c>
      <c r="B25433" t="s">
        <v>3221</v>
      </c>
      <c r="C25433">
        <v>2915</v>
      </c>
      <c r="D25433" t="s">
        <v>114</v>
      </c>
      <c r="E25433" t="s">
        <v>115</v>
      </c>
      <c r="F25433">
        <v>51.05</v>
      </c>
      <c r="G25433">
        <v>230223</v>
      </c>
      <c r="H25433">
        <v>4400</v>
      </c>
      <c r="I25433" t="s">
        <v>348</v>
      </c>
      <c r="J25433">
        <v>63.3</v>
      </c>
      <c r="K25433">
        <v>12.25</v>
      </c>
      <c r="L25433">
        <v>13801</v>
      </c>
      <c r="M25433" t="s">
        <v>162</v>
      </c>
      <c r="N25433" t="str">
        <f>"121067112   "</f>
        <v xml:space="preserve">121067112   </v>
      </c>
      <c r="O25433">
        <v>230308</v>
      </c>
    </row>
    <row r="25434" spans="1:15" x14ac:dyDescent="0.25">
      <c r="A25434" t="s">
        <v>16</v>
      </c>
      <c r="B25434" t="s">
        <v>3221</v>
      </c>
      <c r="C25434">
        <v>3933</v>
      </c>
      <c r="D25434" t="s">
        <v>114</v>
      </c>
      <c r="E25434" t="s">
        <v>115</v>
      </c>
      <c r="F25434">
        <v>283.29000000000002</v>
      </c>
      <c r="G25434">
        <v>230324</v>
      </c>
      <c r="H25434">
        <v>4400</v>
      </c>
      <c r="I25434" t="s">
        <v>348</v>
      </c>
      <c r="J25434">
        <v>351.28</v>
      </c>
      <c r="K25434">
        <v>67.989999999999995</v>
      </c>
      <c r="L25434">
        <v>17802</v>
      </c>
      <c r="M25434" t="s">
        <v>174</v>
      </c>
      <c r="N25434" t="str">
        <f>"121174061   "</f>
        <v xml:space="preserve">121174061   </v>
      </c>
      <c r="O25434">
        <v>230327</v>
      </c>
    </row>
    <row r="25435" spans="1:15" x14ac:dyDescent="0.25">
      <c r="A25435" t="s">
        <v>16</v>
      </c>
      <c r="B25435" t="s">
        <v>3221</v>
      </c>
      <c r="C25435">
        <v>5066</v>
      </c>
      <c r="D25435" t="s">
        <v>114</v>
      </c>
      <c r="E25435" t="s">
        <v>115</v>
      </c>
      <c r="F25435">
        <v>6.45</v>
      </c>
      <c r="G25435">
        <v>230404</v>
      </c>
      <c r="H25435">
        <v>4400</v>
      </c>
      <c r="I25435" t="s">
        <v>348</v>
      </c>
      <c r="J25435">
        <v>8</v>
      </c>
      <c r="K25435">
        <v>1.55</v>
      </c>
      <c r="L25435">
        <v>17523</v>
      </c>
      <c r="M25435" t="s">
        <v>134</v>
      </c>
      <c r="N25435" t="str">
        <f>"121221369   "</f>
        <v xml:space="preserve">121221369   </v>
      </c>
      <c r="O25435">
        <v>230418</v>
      </c>
    </row>
    <row r="25436" spans="1:15" x14ac:dyDescent="0.25">
      <c r="A25436" t="s">
        <v>16</v>
      </c>
      <c r="B25436" t="s">
        <v>3221</v>
      </c>
      <c r="C25436">
        <v>5925</v>
      </c>
      <c r="D25436" t="s">
        <v>114</v>
      </c>
      <c r="E25436" t="s">
        <v>115</v>
      </c>
      <c r="F25436">
        <v>7.9</v>
      </c>
      <c r="G25436">
        <v>230428</v>
      </c>
      <c r="H25436">
        <v>4400</v>
      </c>
      <c r="I25436" t="s">
        <v>348</v>
      </c>
      <c r="J25436">
        <v>9.8000000000000007</v>
      </c>
      <c r="K25436">
        <v>1.9</v>
      </c>
      <c r="L25436">
        <v>54252</v>
      </c>
      <c r="M25436" t="s">
        <v>534</v>
      </c>
      <c r="N25436" t="str">
        <f>"121303262   "</f>
        <v xml:space="preserve">121303262   </v>
      </c>
      <c r="O25436">
        <v>230503</v>
      </c>
    </row>
    <row r="25437" spans="1:15" x14ac:dyDescent="0.25">
      <c r="A25437" t="s">
        <v>16</v>
      </c>
      <c r="B25437" t="s">
        <v>3221</v>
      </c>
      <c r="C25437">
        <v>236</v>
      </c>
      <c r="D25437" t="s">
        <v>114</v>
      </c>
      <c r="E25437" t="s">
        <v>115</v>
      </c>
      <c r="F25437">
        <v>187.71</v>
      </c>
      <c r="G25437">
        <v>230113</v>
      </c>
      <c r="H25437">
        <v>4600</v>
      </c>
      <c r="I25437" t="s">
        <v>105</v>
      </c>
      <c r="J25437">
        <v>232.76</v>
      </c>
      <c r="K25437">
        <v>45.05</v>
      </c>
      <c r="L25437">
        <v>56568</v>
      </c>
      <c r="M25437" t="s">
        <v>268</v>
      </c>
      <c r="N25437" t="str">
        <f>"120913965   "</f>
        <v xml:space="preserve">120913965   </v>
      </c>
      <c r="O25437">
        <v>230116</v>
      </c>
    </row>
    <row r="25438" spans="1:15" x14ac:dyDescent="0.25">
      <c r="A25438" t="s">
        <v>16</v>
      </c>
      <c r="B25438" t="s">
        <v>3221</v>
      </c>
      <c r="C25438">
        <v>275</v>
      </c>
      <c r="D25438" t="s">
        <v>114</v>
      </c>
      <c r="E25438" t="s">
        <v>115</v>
      </c>
      <c r="F25438">
        <v>222.36</v>
      </c>
      <c r="G25438">
        <v>230112</v>
      </c>
      <c r="H25438">
        <v>4600</v>
      </c>
      <c r="I25438" t="s">
        <v>105</v>
      </c>
      <c r="J25438">
        <v>275.73</v>
      </c>
      <c r="K25438">
        <v>53.37</v>
      </c>
      <c r="L25438">
        <v>17802</v>
      </c>
      <c r="M25438" t="s">
        <v>174</v>
      </c>
      <c r="N25438" t="str">
        <f>"120906712   "</f>
        <v xml:space="preserve">120906712   </v>
      </c>
      <c r="O25438">
        <v>230117</v>
      </c>
    </row>
    <row r="25439" spans="1:15" x14ac:dyDescent="0.25">
      <c r="A25439" t="s">
        <v>16</v>
      </c>
      <c r="B25439" t="s">
        <v>3221</v>
      </c>
      <c r="C25439">
        <v>320</v>
      </c>
      <c r="D25439" t="s">
        <v>114</v>
      </c>
      <c r="E25439" t="s">
        <v>115</v>
      </c>
      <c r="F25439">
        <v>60.08</v>
      </c>
      <c r="G25439">
        <v>230113</v>
      </c>
      <c r="H25439">
        <v>4600</v>
      </c>
      <c r="I25439" t="s">
        <v>105</v>
      </c>
      <c r="J25439">
        <v>74.5</v>
      </c>
      <c r="K25439">
        <v>14.42</v>
      </c>
      <c r="L25439">
        <v>56558</v>
      </c>
      <c r="M25439" t="s">
        <v>217</v>
      </c>
      <c r="N25439" t="str">
        <f>"120913966   "</f>
        <v xml:space="preserve">120913966   </v>
      </c>
      <c r="O25439">
        <v>230118</v>
      </c>
    </row>
    <row r="25440" spans="1:15" x14ac:dyDescent="0.25">
      <c r="A25440" t="s">
        <v>16</v>
      </c>
      <c r="B25440" t="s">
        <v>3221</v>
      </c>
      <c r="C25440">
        <v>419</v>
      </c>
      <c r="D25440" t="s">
        <v>114</v>
      </c>
      <c r="E25440" t="s">
        <v>115</v>
      </c>
      <c r="F25440">
        <v>426.97</v>
      </c>
      <c r="G25440">
        <v>230113</v>
      </c>
      <c r="H25440">
        <v>4600</v>
      </c>
      <c r="I25440" t="s">
        <v>105</v>
      </c>
      <c r="J25440">
        <v>529.44000000000005</v>
      </c>
      <c r="K25440">
        <v>102.47</v>
      </c>
      <c r="L25440">
        <v>56558</v>
      </c>
      <c r="M25440" t="s">
        <v>217</v>
      </c>
      <c r="N25440" t="str">
        <f>"120913964   "</f>
        <v xml:space="preserve">120913964   </v>
      </c>
      <c r="O25440">
        <v>230120</v>
      </c>
    </row>
    <row r="25441" spans="1:15" x14ac:dyDescent="0.25">
      <c r="A25441" t="s">
        <v>16</v>
      </c>
      <c r="B25441" t="s">
        <v>3221</v>
      </c>
      <c r="C25441">
        <v>442</v>
      </c>
      <c r="D25441" t="s">
        <v>114</v>
      </c>
      <c r="E25441" t="s">
        <v>115</v>
      </c>
      <c r="F25441">
        <v>206.9</v>
      </c>
      <c r="G25441">
        <v>230118</v>
      </c>
      <c r="H25441">
        <v>4600</v>
      </c>
      <c r="I25441" t="s">
        <v>105</v>
      </c>
      <c r="J25441">
        <v>256.56</v>
      </c>
      <c r="K25441">
        <v>49.66</v>
      </c>
      <c r="L25441">
        <v>17803</v>
      </c>
      <c r="M25441" t="s">
        <v>389</v>
      </c>
      <c r="N25441" t="str">
        <f>"120931590   "</f>
        <v xml:space="preserve">120931590   </v>
      </c>
      <c r="O25441">
        <v>230123</v>
      </c>
    </row>
    <row r="25442" spans="1:15" x14ac:dyDescent="0.25">
      <c r="A25442" t="s">
        <v>16</v>
      </c>
      <c r="B25442" t="s">
        <v>3221</v>
      </c>
      <c r="C25442">
        <v>447</v>
      </c>
      <c r="D25442" t="s">
        <v>114</v>
      </c>
      <c r="E25442" t="s">
        <v>115</v>
      </c>
      <c r="F25442">
        <v>650.41999999999996</v>
      </c>
      <c r="G25442">
        <v>230119</v>
      </c>
      <c r="H25442">
        <v>4600</v>
      </c>
      <c r="I25442" t="s">
        <v>105</v>
      </c>
      <c r="J25442">
        <v>806.52</v>
      </c>
      <c r="K25442">
        <v>156.1</v>
      </c>
      <c r="L25442">
        <v>17804</v>
      </c>
      <c r="M25442" t="s">
        <v>549</v>
      </c>
      <c r="N25442" t="str">
        <f>"120934839   "</f>
        <v xml:space="preserve">120934839   </v>
      </c>
      <c r="O25442">
        <v>230123</v>
      </c>
    </row>
    <row r="25443" spans="1:15" x14ac:dyDescent="0.25">
      <c r="A25443" t="s">
        <v>16</v>
      </c>
      <c r="B25443" t="s">
        <v>3221</v>
      </c>
      <c r="C25443">
        <v>493</v>
      </c>
      <c r="D25443" t="s">
        <v>114</v>
      </c>
      <c r="E25443" t="s">
        <v>115</v>
      </c>
      <c r="F25443">
        <v>76.44</v>
      </c>
      <c r="G25443">
        <v>230111</v>
      </c>
      <c r="H25443">
        <v>4600</v>
      </c>
      <c r="I25443" t="s">
        <v>105</v>
      </c>
      <c r="J25443">
        <v>94.78</v>
      </c>
      <c r="K25443">
        <v>18.34</v>
      </c>
      <c r="L25443">
        <v>47522</v>
      </c>
      <c r="M25443" t="s">
        <v>410</v>
      </c>
      <c r="N25443" t="str">
        <f>"120902921   "</f>
        <v xml:space="preserve">120902921   </v>
      </c>
      <c r="O25443">
        <v>230124</v>
      </c>
    </row>
    <row r="25444" spans="1:15" x14ac:dyDescent="0.25">
      <c r="A25444" t="s">
        <v>16</v>
      </c>
      <c r="B25444" t="s">
        <v>3221</v>
      </c>
      <c r="C25444">
        <v>514</v>
      </c>
      <c r="D25444" t="s">
        <v>114</v>
      </c>
      <c r="E25444" t="s">
        <v>115</v>
      </c>
      <c r="F25444">
        <v>171.04</v>
      </c>
      <c r="G25444">
        <v>230119</v>
      </c>
      <c r="H25444">
        <v>4600</v>
      </c>
      <c r="I25444" t="s">
        <v>105</v>
      </c>
      <c r="J25444">
        <v>212.09</v>
      </c>
      <c r="K25444">
        <v>41.05</v>
      </c>
      <c r="L25444">
        <v>46557</v>
      </c>
      <c r="M25444" t="s">
        <v>221</v>
      </c>
      <c r="N25444" t="str">
        <f>"120935561   "</f>
        <v xml:space="preserve">120935561   </v>
      </c>
      <c r="O25444">
        <v>230124</v>
      </c>
    </row>
    <row r="25445" spans="1:15" x14ac:dyDescent="0.25">
      <c r="A25445" t="s">
        <v>16</v>
      </c>
      <c r="B25445" t="s">
        <v>3221</v>
      </c>
      <c r="C25445">
        <v>590</v>
      </c>
      <c r="D25445" t="s">
        <v>114</v>
      </c>
      <c r="E25445" t="s">
        <v>115</v>
      </c>
      <c r="F25445">
        <v>265.18</v>
      </c>
      <c r="G25445">
        <v>230118</v>
      </c>
      <c r="H25445">
        <v>4600</v>
      </c>
      <c r="I25445" t="s">
        <v>105</v>
      </c>
      <c r="J25445">
        <v>328.82</v>
      </c>
      <c r="K25445">
        <v>63.64</v>
      </c>
      <c r="L25445">
        <v>67522</v>
      </c>
      <c r="M25445" t="s">
        <v>397</v>
      </c>
      <c r="N25445" t="str">
        <f>"120929591   "</f>
        <v xml:space="preserve">120929591   </v>
      </c>
      <c r="O25445">
        <v>230125</v>
      </c>
    </row>
    <row r="25446" spans="1:15" x14ac:dyDescent="0.25">
      <c r="A25446" t="s">
        <v>16</v>
      </c>
      <c r="B25446" t="s">
        <v>3221</v>
      </c>
      <c r="C25446">
        <v>730</v>
      </c>
      <c r="D25446" t="s">
        <v>114</v>
      </c>
      <c r="E25446" t="s">
        <v>115</v>
      </c>
      <c r="F25446">
        <v>52.37</v>
      </c>
      <c r="G25446">
        <v>230125</v>
      </c>
      <c r="H25446">
        <v>4600</v>
      </c>
      <c r="I25446" t="s">
        <v>105</v>
      </c>
      <c r="J25446">
        <v>64.94</v>
      </c>
      <c r="K25446">
        <v>12.57</v>
      </c>
      <c r="L25446">
        <v>46557</v>
      </c>
      <c r="M25446" t="s">
        <v>221</v>
      </c>
      <c r="N25446" t="str">
        <f>"120954550   "</f>
        <v xml:space="preserve">120954550   </v>
      </c>
      <c r="O25446">
        <v>230127</v>
      </c>
    </row>
    <row r="25447" spans="1:15" x14ac:dyDescent="0.25">
      <c r="A25447" t="s">
        <v>16</v>
      </c>
      <c r="B25447" t="s">
        <v>3221</v>
      </c>
      <c r="C25447">
        <v>846</v>
      </c>
      <c r="D25447" t="s">
        <v>114</v>
      </c>
      <c r="E25447" t="s">
        <v>115</v>
      </c>
      <c r="F25447">
        <v>58.62</v>
      </c>
      <c r="G25447">
        <v>230119</v>
      </c>
      <c r="H25447">
        <v>4600</v>
      </c>
      <c r="I25447" t="s">
        <v>105</v>
      </c>
      <c r="J25447">
        <v>72.69</v>
      </c>
      <c r="K25447">
        <v>14.07</v>
      </c>
      <c r="L25447">
        <v>17802</v>
      </c>
      <c r="M25447" t="s">
        <v>174</v>
      </c>
      <c r="N25447" t="str">
        <f>"120934838   "</f>
        <v xml:space="preserve">120934838   </v>
      </c>
      <c r="O25447">
        <v>230131</v>
      </c>
    </row>
    <row r="25448" spans="1:15" x14ac:dyDescent="0.25">
      <c r="A25448" t="s">
        <v>16</v>
      </c>
      <c r="B25448" t="s">
        <v>3221</v>
      </c>
      <c r="C25448">
        <v>851</v>
      </c>
      <c r="D25448" t="s">
        <v>114</v>
      </c>
      <c r="E25448" t="s">
        <v>115</v>
      </c>
      <c r="F25448">
        <v>48.99</v>
      </c>
      <c r="G25448">
        <v>230118</v>
      </c>
      <c r="H25448">
        <v>4600</v>
      </c>
      <c r="I25448" t="s">
        <v>105</v>
      </c>
      <c r="J25448">
        <v>60.75</v>
      </c>
      <c r="K25448">
        <v>11.76</v>
      </c>
      <c r="L25448">
        <v>17711</v>
      </c>
      <c r="M25448" t="s">
        <v>65</v>
      </c>
      <c r="N25448" t="str">
        <f>"120931589   "</f>
        <v xml:space="preserve">120931589   </v>
      </c>
      <c r="O25448">
        <v>230131</v>
      </c>
    </row>
    <row r="25449" spans="1:15" x14ac:dyDescent="0.25">
      <c r="A25449" t="s">
        <v>16</v>
      </c>
      <c r="B25449" t="s">
        <v>3221</v>
      </c>
      <c r="C25449">
        <v>855</v>
      </c>
      <c r="D25449" t="s">
        <v>114</v>
      </c>
      <c r="E25449" t="s">
        <v>115</v>
      </c>
      <c r="F25449">
        <v>74.48</v>
      </c>
      <c r="G25449">
        <v>230124</v>
      </c>
      <c r="H25449">
        <v>4600</v>
      </c>
      <c r="I25449" t="s">
        <v>105</v>
      </c>
      <c r="J25449">
        <v>92.36</v>
      </c>
      <c r="K25449">
        <v>17.88</v>
      </c>
      <c r="L25449">
        <v>47522</v>
      </c>
      <c r="M25449" t="s">
        <v>410</v>
      </c>
      <c r="N25449" t="str">
        <f>"120949307   "</f>
        <v xml:space="preserve">120949307   </v>
      </c>
      <c r="O25449">
        <v>230131</v>
      </c>
    </row>
    <row r="25450" spans="1:15" x14ac:dyDescent="0.25">
      <c r="A25450" t="s">
        <v>16</v>
      </c>
      <c r="B25450" t="s">
        <v>3221</v>
      </c>
      <c r="C25450">
        <v>1207</v>
      </c>
      <c r="D25450" t="s">
        <v>114</v>
      </c>
      <c r="E25450" t="s">
        <v>115</v>
      </c>
      <c r="F25450">
        <v>329.82</v>
      </c>
      <c r="G25450">
        <v>230131</v>
      </c>
      <c r="H25450">
        <v>4600</v>
      </c>
      <c r="I25450" t="s">
        <v>105</v>
      </c>
      <c r="J25450">
        <v>408.98</v>
      </c>
      <c r="K25450">
        <v>79.16</v>
      </c>
      <c r="L25450">
        <v>56558</v>
      </c>
      <c r="M25450" t="s">
        <v>217</v>
      </c>
      <c r="N25450" t="str">
        <f>"120977925   "</f>
        <v xml:space="preserve">120977925   </v>
      </c>
      <c r="O25450">
        <v>230206</v>
      </c>
    </row>
    <row r="25451" spans="1:15" x14ac:dyDescent="0.25">
      <c r="A25451" t="s">
        <v>16</v>
      </c>
      <c r="B25451" t="s">
        <v>3221</v>
      </c>
      <c r="C25451">
        <v>1358</v>
      </c>
      <c r="D25451" t="s">
        <v>114</v>
      </c>
      <c r="E25451" t="s">
        <v>115</v>
      </c>
      <c r="F25451">
        <v>41</v>
      </c>
      <c r="G25451">
        <v>230203</v>
      </c>
      <c r="H25451">
        <v>4600</v>
      </c>
      <c r="I25451" t="s">
        <v>105</v>
      </c>
      <c r="J25451">
        <v>50.84</v>
      </c>
      <c r="K25451">
        <v>9.84</v>
      </c>
      <c r="L25451">
        <v>46557</v>
      </c>
      <c r="M25451" t="s">
        <v>221</v>
      </c>
      <c r="N25451" t="str">
        <f>"121000690   "</f>
        <v xml:space="preserve">121000690   </v>
      </c>
      <c r="O25451">
        <v>230208</v>
      </c>
    </row>
    <row r="25452" spans="1:15" x14ac:dyDescent="0.25">
      <c r="A25452" t="s">
        <v>16</v>
      </c>
      <c r="B25452" t="s">
        <v>3221</v>
      </c>
      <c r="C25452">
        <v>1359</v>
      </c>
      <c r="D25452" t="s">
        <v>114</v>
      </c>
      <c r="E25452" t="s">
        <v>115</v>
      </c>
      <c r="F25452">
        <v>57.67</v>
      </c>
      <c r="G25452">
        <v>230203</v>
      </c>
      <c r="H25452">
        <v>4600</v>
      </c>
      <c r="I25452" t="s">
        <v>105</v>
      </c>
      <c r="J25452">
        <v>71.510000000000005</v>
      </c>
      <c r="K25452">
        <v>13.84</v>
      </c>
      <c r="L25452">
        <v>46554</v>
      </c>
      <c r="M25452" t="s">
        <v>117</v>
      </c>
      <c r="N25452" t="str">
        <f>"121000689   "</f>
        <v xml:space="preserve">121000689   </v>
      </c>
      <c r="O25452">
        <v>230208</v>
      </c>
    </row>
    <row r="25453" spans="1:15" x14ac:dyDescent="0.25">
      <c r="A25453" t="s">
        <v>16</v>
      </c>
      <c r="B25453" t="s">
        <v>3221</v>
      </c>
      <c r="C25453">
        <v>1464</v>
      </c>
      <c r="D25453" t="s">
        <v>114</v>
      </c>
      <c r="E25453" t="s">
        <v>115</v>
      </c>
      <c r="F25453">
        <v>553.52</v>
      </c>
      <c r="G25453">
        <v>230126</v>
      </c>
      <c r="H25453">
        <v>4600</v>
      </c>
      <c r="I25453" t="s">
        <v>105</v>
      </c>
      <c r="J25453">
        <v>686.37</v>
      </c>
      <c r="K25453">
        <v>132.85</v>
      </c>
      <c r="L25453">
        <v>46557</v>
      </c>
      <c r="M25453" t="s">
        <v>221</v>
      </c>
      <c r="N25453" t="str">
        <f>"120957665   "</f>
        <v xml:space="preserve">120957665   </v>
      </c>
      <c r="O25453">
        <v>230209</v>
      </c>
    </row>
    <row r="25454" spans="1:15" x14ac:dyDescent="0.25">
      <c r="A25454" t="s">
        <v>16</v>
      </c>
      <c r="B25454" t="s">
        <v>3221</v>
      </c>
      <c r="C25454">
        <v>1475</v>
      </c>
      <c r="D25454" t="s">
        <v>114</v>
      </c>
      <c r="E25454" t="s">
        <v>115</v>
      </c>
      <c r="F25454">
        <v>152.72999999999999</v>
      </c>
      <c r="G25454">
        <v>230201</v>
      </c>
      <c r="H25454">
        <v>4600</v>
      </c>
      <c r="I25454" t="s">
        <v>105</v>
      </c>
      <c r="J25454">
        <v>189.39</v>
      </c>
      <c r="K25454">
        <v>36.659999999999997</v>
      </c>
      <c r="L25454">
        <v>46554</v>
      </c>
      <c r="M25454" t="s">
        <v>117</v>
      </c>
      <c r="N25454" t="str">
        <f>"120994324   "</f>
        <v xml:space="preserve">120994324   </v>
      </c>
      <c r="O25454">
        <v>230209</v>
      </c>
    </row>
    <row r="25455" spans="1:15" x14ac:dyDescent="0.25">
      <c r="A25455" t="s">
        <v>16</v>
      </c>
      <c r="B25455" t="s">
        <v>3221</v>
      </c>
      <c r="C25455">
        <v>1498</v>
      </c>
      <c r="D25455" t="s">
        <v>114</v>
      </c>
      <c r="E25455" t="s">
        <v>115</v>
      </c>
      <c r="F25455">
        <v>1045.83</v>
      </c>
      <c r="G25455">
        <v>230208</v>
      </c>
      <c r="H25455">
        <v>4600</v>
      </c>
      <c r="I25455" t="s">
        <v>105</v>
      </c>
      <c r="J25455">
        <v>1296.83</v>
      </c>
      <c r="K25455">
        <v>251</v>
      </c>
      <c r="L25455">
        <v>17809</v>
      </c>
      <c r="M25455" t="s">
        <v>376</v>
      </c>
      <c r="N25455" t="str">
        <f>"121015530   "</f>
        <v xml:space="preserve">121015530   </v>
      </c>
      <c r="O25455">
        <v>230209</v>
      </c>
    </row>
    <row r="25456" spans="1:15" x14ac:dyDescent="0.25">
      <c r="A25456" t="s">
        <v>16</v>
      </c>
      <c r="B25456" t="s">
        <v>3221</v>
      </c>
      <c r="C25456">
        <v>1560</v>
      </c>
      <c r="D25456" t="s">
        <v>114</v>
      </c>
      <c r="E25456" t="s">
        <v>115</v>
      </c>
      <c r="F25456">
        <v>260.87</v>
      </c>
      <c r="G25456">
        <v>230130</v>
      </c>
      <c r="H25456">
        <v>4600</v>
      </c>
      <c r="I25456" t="s">
        <v>105</v>
      </c>
      <c r="J25456">
        <v>323.48</v>
      </c>
      <c r="K25456">
        <v>62.61</v>
      </c>
      <c r="L25456">
        <v>17807</v>
      </c>
      <c r="M25456" t="s">
        <v>318</v>
      </c>
      <c r="N25456" t="str">
        <f>"120968970   "</f>
        <v xml:space="preserve">120968970   </v>
      </c>
      <c r="O25456">
        <v>230209</v>
      </c>
    </row>
    <row r="25457" spans="1:15" x14ac:dyDescent="0.25">
      <c r="A25457" t="s">
        <v>16</v>
      </c>
      <c r="B25457" t="s">
        <v>3221</v>
      </c>
      <c r="C25457">
        <v>1631</v>
      </c>
      <c r="D25457" t="s">
        <v>114</v>
      </c>
      <c r="E25457" t="s">
        <v>115</v>
      </c>
      <c r="F25457">
        <v>161.29</v>
      </c>
      <c r="G25457">
        <v>230126</v>
      </c>
      <c r="H25457">
        <v>4600</v>
      </c>
      <c r="I25457" t="s">
        <v>105</v>
      </c>
      <c r="J25457">
        <v>200</v>
      </c>
      <c r="K25457">
        <v>38.71</v>
      </c>
      <c r="L25457">
        <v>17802</v>
      </c>
      <c r="M25457" t="s">
        <v>174</v>
      </c>
      <c r="N25457" t="str">
        <f>"120959407   "</f>
        <v xml:space="preserve">120959407   </v>
      </c>
      <c r="O25457">
        <v>230210</v>
      </c>
    </row>
    <row r="25458" spans="1:15" x14ac:dyDescent="0.25">
      <c r="A25458" t="s">
        <v>16</v>
      </c>
      <c r="B25458" t="s">
        <v>3221</v>
      </c>
      <c r="C25458">
        <v>1631</v>
      </c>
      <c r="D25458" t="s">
        <v>114</v>
      </c>
      <c r="E25458" t="s">
        <v>115</v>
      </c>
      <c r="F25458">
        <v>53.77</v>
      </c>
      <c r="G25458">
        <v>230126</v>
      </c>
      <c r="H25458">
        <v>4600</v>
      </c>
      <c r="I25458" t="s">
        <v>105</v>
      </c>
      <c r="J25458">
        <v>66.680000000000007</v>
      </c>
      <c r="K25458">
        <v>12.91</v>
      </c>
      <c r="L25458">
        <v>17812</v>
      </c>
      <c r="M25458" t="s">
        <v>594</v>
      </c>
      <c r="N25458" t="str">
        <f>"120959407   "</f>
        <v xml:space="preserve">120959407   </v>
      </c>
      <c r="O25458">
        <v>230210</v>
      </c>
    </row>
    <row r="25459" spans="1:15" x14ac:dyDescent="0.25">
      <c r="A25459" t="s">
        <v>16</v>
      </c>
      <c r="B25459" t="s">
        <v>3221</v>
      </c>
      <c r="C25459">
        <v>1831</v>
      </c>
      <c r="D25459" t="s">
        <v>114</v>
      </c>
      <c r="E25459" t="s">
        <v>115</v>
      </c>
      <c r="F25459">
        <v>11.8</v>
      </c>
      <c r="G25459">
        <v>230131</v>
      </c>
      <c r="H25459">
        <v>4600</v>
      </c>
      <c r="I25459" t="s">
        <v>105</v>
      </c>
      <c r="J25459">
        <v>14.63</v>
      </c>
      <c r="K25459">
        <v>2.83</v>
      </c>
      <c r="L25459">
        <v>56558</v>
      </c>
      <c r="M25459" t="s">
        <v>217</v>
      </c>
      <c r="N25459" t="str">
        <f>"120977922   "</f>
        <v xml:space="preserve">120977922   </v>
      </c>
      <c r="O25459">
        <v>230214</v>
      </c>
    </row>
    <row r="25460" spans="1:15" x14ac:dyDescent="0.25">
      <c r="A25460" t="s">
        <v>16</v>
      </c>
      <c r="B25460" t="s">
        <v>3221</v>
      </c>
      <c r="C25460">
        <v>1857</v>
      </c>
      <c r="D25460" t="s">
        <v>114</v>
      </c>
      <c r="E25460" t="s">
        <v>115</v>
      </c>
      <c r="F25460">
        <v>52.65</v>
      </c>
      <c r="G25460">
        <v>230213</v>
      </c>
      <c r="H25460">
        <v>4600</v>
      </c>
      <c r="I25460" t="s">
        <v>105</v>
      </c>
      <c r="J25460">
        <v>65.290000000000006</v>
      </c>
      <c r="K25460">
        <v>12.64</v>
      </c>
      <c r="L25460">
        <v>17802</v>
      </c>
      <c r="M25460" t="s">
        <v>174</v>
      </c>
      <c r="N25460" t="str">
        <f>"121030038   "</f>
        <v xml:space="preserve">121030038   </v>
      </c>
      <c r="O25460">
        <v>230215</v>
      </c>
    </row>
    <row r="25461" spans="1:15" x14ac:dyDescent="0.25">
      <c r="A25461" t="s">
        <v>16</v>
      </c>
      <c r="B25461" t="s">
        <v>3221</v>
      </c>
      <c r="C25461">
        <v>1939</v>
      </c>
      <c r="D25461" t="s">
        <v>114</v>
      </c>
      <c r="E25461" t="s">
        <v>115</v>
      </c>
      <c r="F25461">
        <v>100.24</v>
      </c>
      <c r="G25461">
        <v>230209</v>
      </c>
      <c r="H25461">
        <v>4600</v>
      </c>
      <c r="I25461" t="s">
        <v>105</v>
      </c>
      <c r="J25461">
        <v>124.3</v>
      </c>
      <c r="K25461">
        <v>24.06</v>
      </c>
      <c r="L25461">
        <v>17802</v>
      </c>
      <c r="M25461" t="s">
        <v>174</v>
      </c>
      <c r="N25461" t="str">
        <f>"121019270   "</f>
        <v xml:space="preserve">121019270   </v>
      </c>
      <c r="O25461">
        <v>230216</v>
      </c>
    </row>
    <row r="25462" spans="1:15" x14ac:dyDescent="0.25">
      <c r="A25462" t="s">
        <v>16</v>
      </c>
      <c r="B25462" t="s">
        <v>3221</v>
      </c>
      <c r="C25462">
        <v>1990</v>
      </c>
      <c r="D25462" t="s">
        <v>114</v>
      </c>
      <c r="E25462" t="s">
        <v>115</v>
      </c>
      <c r="F25462">
        <v>83.42</v>
      </c>
      <c r="G25462">
        <v>230215</v>
      </c>
      <c r="H25462">
        <v>4600</v>
      </c>
      <c r="I25462" t="s">
        <v>105</v>
      </c>
      <c r="J25462">
        <v>103.44</v>
      </c>
      <c r="K25462">
        <v>20.02</v>
      </c>
      <c r="L25462">
        <v>56568</v>
      </c>
      <c r="M25462" t="s">
        <v>268</v>
      </c>
      <c r="N25462" t="str">
        <f>"121037824   "</f>
        <v xml:space="preserve">121037824   </v>
      </c>
      <c r="O25462">
        <v>230217</v>
      </c>
    </row>
    <row r="25463" spans="1:15" x14ac:dyDescent="0.25">
      <c r="A25463" t="s">
        <v>16</v>
      </c>
      <c r="B25463" t="s">
        <v>3221</v>
      </c>
      <c r="C25463">
        <v>1992</v>
      </c>
      <c r="D25463" t="s">
        <v>114</v>
      </c>
      <c r="E25463" t="s">
        <v>115</v>
      </c>
      <c r="F25463">
        <v>190.65</v>
      </c>
      <c r="G25463">
        <v>230215</v>
      </c>
      <c r="H25463">
        <v>4600</v>
      </c>
      <c r="I25463" t="s">
        <v>105</v>
      </c>
      <c r="J25463">
        <v>236.4</v>
      </c>
      <c r="K25463">
        <v>45.75</v>
      </c>
      <c r="L25463">
        <v>56568</v>
      </c>
      <c r="M25463" t="s">
        <v>268</v>
      </c>
      <c r="N25463" t="str">
        <f>"121037825   "</f>
        <v xml:space="preserve">121037825   </v>
      </c>
      <c r="O25463">
        <v>230217</v>
      </c>
    </row>
    <row r="25464" spans="1:15" x14ac:dyDescent="0.25">
      <c r="A25464" t="s">
        <v>16</v>
      </c>
      <c r="B25464" t="s">
        <v>3221</v>
      </c>
      <c r="C25464">
        <v>2018</v>
      </c>
      <c r="D25464" t="s">
        <v>114</v>
      </c>
      <c r="E25464" t="s">
        <v>115</v>
      </c>
      <c r="F25464">
        <v>56.52</v>
      </c>
      <c r="G25464">
        <v>230215</v>
      </c>
      <c r="H25464">
        <v>4600</v>
      </c>
      <c r="I25464" t="s">
        <v>105</v>
      </c>
      <c r="J25464">
        <v>70.08</v>
      </c>
      <c r="K25464">
        <v>13.56</v>
      </c>
      <c r="L25464">
        <v>56558</v>
      </c>
      <c r="M25464" t="s">
        <v>217</v>
      </c>
      <c r="N25464" t="str">
        <f>"121037826   "</f>
        <v xml:space="preserve">121037826   </v>
      </c>
      <c r="O25464">
        <v>230217</v>
      </c>
    </row>
    <row r="25465" spans="1:15" x14ac:dyDescent="0.25">
      <c r="A25465" t="s">
        <v>16</v>
      </c>
      <c r="B25465" t="s">
        <v>3221</v>
      </c>
      <c r="C25465">
        <v>2062</v>
      </c>
      <c r="D25465" t="s">
        <v>114</v>
      </c>
      <c r="E25465" t="s">
        <v>115</v>
      </c>
      <c r="F25465">
        <v>39.28</v>
      </c>
      <c r="G25465">
        <v>230206</v>
      </c>
      <c r="H25465">
        <v>4600</v>
      </c>
      <c r="I25465" t="s">
        <v>105</v>
      </c>
      <c r="J25465">
        <v>48.71</v>
      </c>
      <c r="K25465">
        <v>9.43</v>
      </c>
      <c r="L25465">
        <v>17524</v>
      </c>
      <c r="M25465" t="s">
        <v>452</v>
      </c>
      <c r="N25465" t="str">
        <f>"121007447   "</f>
        <v xml:space="preserve">121007447   </v>
      </c>
      <c r="O25465">
        <v>230220</v>
      </c>
    </row>
    <row r="25466" spans="1:15" x14ac:dyDescent="0.25">
      <c r="A25466" t="s">
        <v>16</v>
      </c>
      <c r="B25466" t="s">
        <v>3221</v>
      </c>
      <c r="C25466">
        <v>2263</v>
      </c>
      <c r="D25466" t="s">
        <v>114</v>
      </c>
      <c r="E25466" t="s">
        <v>115</v>
      </c>
      <c r="F25466">
        <v>362.56</v>
      </c>
      <c r="G25466">
        <v>230215</v>
      </c>
      <c r="H25466">
        <v>4600</v>
      </c>
      <c r="I25466" t="s">
        <v>105</v>
      </c>
      <c r="J25466">
        <v>449.58</v>
      </c>
      <c r="K25466">
        <v>87.02</v>
      </c>
      <c r="L25466">
        <v>17522</v>
      </c>
      <c r="M25466" t="s">
        <v>451</v>
      </c>
      <c r="N25466" t="str">
        <f>"121039928   "</f>
        <v xml:space="preserve">121039928   </v>
      </c>
      <c r="O25466">
        <v>230223</v>
      </c>
    </row>
    <row r="25467" spans="1:15" x14ac:dyDescent="0.25">
      <c r="A25467" t="s">
        <v>16</v>
      </c>
      <c r="B25467" t="s">
        <v>3221</v>
      </c>
      <c r="C25467">
        <v>2297</v>
      </c>
      <c r="D25467" t="s">
        <v>114</v>
      </c>
      <c r="E25467" t="s">
        <v>115</v>
      </c>
      <c r="F25467">
        <v>30.5</v>
      </c>
      <c r="G25467">
        <v>230216</v>
      </c>
      <c r="H25467">
        <v>4600</v>
      </c>
      <c r="I25467" t="s">
        <v>105</v>
      </c>
      <c r="J25467">
        <v>37.82</v>
      </c>
      <c r="K25467">
        <v>7.32</v>
      </c>
      <c r="L25467">
        <v>17802</v>
      </c>
      <c r="M25467" t="s">
        <v>174</v>
      </c>
      <c r="N25467" t="str">
        <f>"121045813   "</f>
        <v xml:space="preserve">121045813   </v>
      </c>
      <c r="O25467">
        <v>230224</v>
      </c>
    </row>
    <row r="25468" spans="1:15" x14ac:dyDescent="0.25">
      <c r="A25468" t="s">
        <v>16</v>
      </c>
      <c r="B25468" t="s">
        <v>3221</v>
      </c>
      <c r="C25468">
        <v>2298</v>
      </c>
      <c r="D25468" t="s">
        <v>114</v>
      </c>
      <c r="E25468" t="s">
        <v>115</v>
      </c>
      <c r="F25468">
        <v>59.32</v>
      </c>
      <c r="G25468">
        <v>230216</v>
      </c>
      <c r="H25468">
        <v>4600</v>
      </c>
      <c r="I25468" t="s">
        <v>105</v>
      </c>
      <c r="J25468">
        <v>73.56</v>
      </c>
      <c r="K25468">
        <v>14.24</v>
      </c>
      <c r="L25468">
        <v>17802</v>
      </c>
      <c r="M25468" t="s">
        <v>174</v>
      </c>
      <c r="N25468" t="str">
        <f>"121045812   "</f>
        <v xml:space="preserve">121045812   </v>
      </c>
      <c r="O25468">
        <v>230224</v>
      </c>
    </row>
    <row r="25469" spans="1:15" x14ac:dyDescent="0.25">
      <c r="A25469" t="s">
        <v>16</v>
      </c>
      <c r="B25469" t="s">
        <v>3221</v>
      </c>
      <c r="C25469">
        <v>2358</v>
      </c>
      <c r="D25469" t="s">
        <v>114</v>
      </c>
      <c r="E25469" t="s">
        <v>115</v>
      </c>
      <c r="F25469">
        <v>87.24</v>
      </c>
      <c r="G25469">
        <v>230222</v>
      </c>
      <c r="H25469">
        <v>4600</v>
      </c>
      <c r="I25469" t="s">
        <v>105</v>
      </c>
      <c r="J25469">
        <v>108.18</v>
      </c>
      <c r="K25469">
        <v>20.94</v>
      </c>
      <c r="L25469">
        <v>17807</v>
      </c>
      <c r="M25469" t="s">
        <v>318</v>
      </c>
      <c r="N25469" t="str">
        <f>"121061239   "</f>
        <v xml:space="preserve">121061239   </v>
      </c>
      <c r="O25469">
        <v>230224</v>
      </c>
    </row>
    <row r="25470" spans="1:15" x14ac:dyDescent="0.25">
      <c r="A25470" t="s">
        <v>16</v>
      </c>
      <c r="B25470" t="s">
        <v>3221</v>
      </c>
      <c r="C25470">
        <v>2475</v>
      </c>
      <c r="D25470" t="s">
        <v>114</v>
      </c>
      <c r="E25470" t="s">
        <v>115</v>
      </c>
      <c r="F25470">
        <v>35.369999999999997</v>
      </c>
      <c r="G25470">
        <v>230222</v>
      </c>
      <c r="H25470">
        <v>4600</v>
      </c>
      <c r="I25470" t="s">
        <v>105</v>
      </c>
      <c r="J25470">
        <v>43.86</v>
      </c>
      <c r="K25470">
        <v>8.49</v>
      </c>
      <c r="L25470">
        <v>17711</v>
      </c>
      <c r="M25470" t="s">
        <v>65</v>
      </c>
      <c r="N25470" t="str">
        <f>"121061240   "</f>
        <v xml:space="preserve">121061240   </v>
      </c>
      <c r="O25470">
        <v>230228</v>
      </c>
    </row>
    <row r="25471" spans="1:15" x14ac:dyDescent="0.25">
      <c r="A25471" t="s">
        <v>16</v>
      </c>
      <c r="B25471" t="s">
        <v>3221</v>
      </c>
      <c r="C25471">
        <v>2660</v>
      </c>
      <c r="D25471" t="s">
        <v>114</v>
      </c>
      <c r="E25471" t="s">
        <v>115</v>
      </c>
      <c r="F25471">
        <v>100.88</v>
      </c>
      <c r="G25471">
        <v>230220</v>
      </c>
      <c r="H25471">
        <v>4600</v>
      </c>
      <c r="I25471" t="s">
        <v>105</v>
      </c>
      <c r="J25471">
        <v>125.09</v>
      </c>
      <c r="K25471">
        <v>24.21</v>
      </c>
      <c r="L25471">
        <v>47522</v>
      </c>
      <c r="M25471" t="s">
        <v>410</v>
      </c>
      <c r="N25471" t="str">
        <f>"121056113   "</f>
        <v xml:space="preserve">121056113   </v>
      </c>
      <c r="O25471">
        <v>230306</v>
      </c>
    </row>
    <row r="25472" spans="1:15" x14ac:dyDescent="0.25">
      <c r="A25472" t="s">
        <v>16</v>
      </c>
      <c r="B25472" t="s">
        <v>3221</v>
      </c>
      <c r="C25472">
        <v>2662</v>
      </c>
      <c r="D25472" t="s">
        <v>114</v>
      </c>
      <c r="E25472" t="s">
        <v>115</v>
      </c>
      <c r="F25472">
        <v>128.84</v>
      </c>
      <c r="G25472">
        <v>230222</v>
      </c>
      <c r="H25472">
        <v>4600</v>
      </c>
      <c r="I25472" t="s">
        <v>105</v>
      </c>
      <c r="J25472">
        <v>159.76</v>
      </c>
      <c r="K25472">
        <v>30.92</v>
      </c>
      <c r="L25472">
        <v>47522</v>
      </c>
      <c r="M25472" t="s">
        <v>410</v>
      </c>
      <c r="N25472" t="str">
        <f>"121060362   "</f>
        <v xml:space="preserve">121060362   </v>
      </c>
      <c r="O25472">
        <v>230306</v>
      </c>
    </row>
    <row r="25473" spans="1:15" x14ac:dyDescent="0.25">
      <c r="A25473" t="s">
        <v>16</v>
      </c>
      <c r="B25473" t="s">
        <v>3221</v>
      </c>
      <c r="C25473">
        <v>2784</v>
      </c>
      <c r="D25473" t="s">
        <v>114</v>
      </c>
      <c r="E25473" t="s">
        <v>115</v>
      </c>
      <c r="F25473">
        <v>44.28</v>
      </c>
      <c r="G25473">
        <v>230302</v>
      </c>
      <c r="H25473">
        <v>4600</v>
      </c>
      <c r="I25473" t="s">
        <v>105</v>
      </c>
      <c r="J25473">
        <v>54.91</v>
      </c>
      <c r="K25473">
        <v>10.63</v>
      </c>
      <c r="L25473">
        <v>17807</v>
      </c>
      <c r="M25473" t="s">
        <v>318</v>
      </c>
      <c r="N25473" t="str">
        <f>"121102828   "</f>
        <v xml:space="preserve">121102828   </v>
      </c>
      <c r="O25473">
        <v>230307</v>
      </c>
    </row>
    <row r="25474" spans="1:15" x14ac:dyDescent="0.25">
      <c r="A25474" t="s">
        <v>16</v>
      </c>
      <c r="B25474" t="s">
        <v>3221</v>
      </c>
      <c r="C25474">
        <v>2796</v>
      </c>
      <c r="D25474" t="s">
        <v>114</v>
      </c>
      <c r="E25474" t="s">
        <v>115</v>
      </c>
      <c r="F25474">
        <v>96.12</v>
      </c>
      <c r="G25474">
        <v>230302</v>
      </c>
      <c r="H25474">
        <v>4600</v>
      </c>
      <c r="I25474" t="s">
        <v>105</v>
      </c>
      <c r="J25474">
        <v>119.19</v>
      </c>
      <c r="K25474">
        <v>23.07</v>
      </c>
      <c r="L25474">
        <v>49501</v>
      </c>
      <c r="M25474" t="s">
        <v>177</v>
      </c>
      <c r="N25474" t="str">
        <f>"121105181   "</f>
        <v xml:space="preserve">121105181   </v>
      </c>
      <c r="O25474">
        <v>230307</v>
      </c>
    </row>
    <row r="25475" spans="1:15" x14ac:dyDescent="0.25">
      <c r="A25475" t="s">
        <v>16</v>
      </c>
      <c r="B25475" t="s">
        <v>3221</v>
      </c>
      <c r="C25475">
        <v>2829</v>
      </c>
      <c r="D25475" t="s">
        <v>114</v>
      </c>
      <c r="E25475" t="s">
        <v>115</v>
      </c>
      <c r="F25475">
        <v>29.88</v>
      </c>
      <c r="G25475">
        <v>230222</v>
      </c>
      <c r="H25475">
        <v>4600</v>
      </c>
      <c r="I25475" t="s">
        <v>105</v>
      </c>
      <c r="J25475">
        <v>37.049999999999997</v>
      </c>
      <c r="K25475">
        <v>7.17</v>
      </c>
      <c r="L25475">
        <v>17524</v>
      </c>
      <c r="M25475" t="s">
        <v>452</v>
      </c>
      <c r="N25475" t="str">
        <f>"121062228   "</f>
        <v xml:space="preserve">121062228   </v>
      </c>
      <c r="O25475">
        <v>230308</v>
      </c>
    </row>
    <row r="25476" spans="1:15" x14ac:dyDescent="0.25">
      <c r="A25476" t="s">
        <v>16</v>
      </c>
      <c r="B25476" t="s">
        <v>3221</v>
      </c>
      <c r="C25476">
        <v>3067</v>
      </c>
      <c r="D25476" t="s">
        <v>114</v>
      </c>
      <c r="E25476" t="s">
        <v>115</v>
      </c>
      <c r="F25476">
        <v>-17.75</v>
      </c>
      <c r="G25476">
        <v>230224</v>
      </c>
      <c r="H25476">
        <v>4600</v>
      </c>
      <c r="I25476" t="s">
        <v>105</v>
      </c>
      <c r="J25476">
        <v>-22.01</v>
      </c>
      <c r="K25476">
        <v>-4.26</v>
      </c>
      <c r="L25476">
        <v>46557</v>
      </c>
      <c r="M25476" t="s">
        <v>221</v>
      </c>
      <c r="N25476" t="str">
        <f>"95439042    "</f>
        <v xml:space="preserve">95439042    </v>
      </c>
      <c r="O25476">
        <v>230309</v>
      </c>
    </row>
    <row r="25477" spans="1:15" x14ac:dyDescent="0.25">
      <c r="A25477" t="s">
        <v>16</v>
      </c>
      <c r="B25477" t="s">
        <v>3221</v>
      </c>
      <c r="C25477">
        <v>3068</v>
      </c>
      <c r="D25477" t="s">
        <v>114</v>
      </c>
      <c r="E25477" t="s">
        <v>115</v>
      </c>
      <c r="F25477">
        <v>-172.5</v>
      </c>
      <c r="G25477">
        <v>230224</v>
      </c>
      <c r="H25477">
        <v>4600</v>
      </c>
      <c r="I25477" t="s">
        <v>105</v>
      </c>
      <c r="J25477">
        <v>-213.9</v>
      </c>
      <c r="K25477">
        <v>-41.4</v>
      </c>
      <c r="L25477">
        <v>46557</v>
      </c>
      <c r="M25477" t="s">
        <v>221</v>
      </c>
      <c r="N25477" t="str">
        <f>"95439041    "</f>
        <v xml:space="preserve">95439041    </v>
      </c>
      <c r="O25477">
        <v>230309</v>
      </c>
    </row>
    <row r="25478" spans="1:15" x14ac:dyDescent="0.25">
      <c r="A25478" t="s">
        <v>16</v>
      </c>
      <c r="B25478" t="s">
        <v>3221</v>
      </c>
      <c r="C25478">
        <v>3189</v>
      </c>
      <c r="D25478" t="s">
        <v>114</v>
      </c>
      <c r="E25478" t="s">
        <v>115</v>
      </c>
      <c r="F25478">
        <v>85</v>
      </c>
      <c r="G25478">
        <v>230307</v>
      </c>
      <c r="H25478">
        <v>4600</v>
      </c>
      <c r="I25478" t="s">
        <v>105</v>
      </c>
      <c r="J25478">
        <v>105.4</v>
      </c>
      <c r="K25478">
        <v>20.399999999999999</v>
      </c>
      <c r="L25478">
        <v>17809</v>
      </c>
      <c r="M25478" t="s">
        <v>376</v>
      </c>
      <c r="N25478" t="str">
        <f>"121115090   "</f>
        <v xml:space="preserve">121115090   </v>
      </c>
      <c r="O25478">
        <v>230310</v>
      </c>
    </row>
    <row r="25479" spans="1:15" x14ac:dyDescent="0.25">
      <c r="A25479" t="s">
        <v>16</v>
      </c>
      <c r="B25479" t="s">
        <v>3221</v>
      </c>
      <c r="C25479">
        <v>3190</v>
      </c>
      <c r="D25479" t="s">
        <v>114</v>
      </c>
      <c r="E25479" t="s">
        <v>115</v>
      </c>
      <c r="F25479">
        <v>63.58</v>
      </c>
      <c r="G25479">
        <v>230307</v>
      </c>
      <c r="H25479">
        <v>4600</v>
      </c>
      <c r="I25479" t="s">
        <v>105</v>
      </c>
      <c r="J25479">
        <v>78.84</v>
      </c>
      <c r="K25479">
        <v>15.26</v>
      </c>
      <c r="L25479">
        <v>17807</v>
      </c>
      <c r="M25479" t="s">
        <v>318</v>
      </c>
      <c r="N25479" t="str">
        <f>"121115089   "</f>
        <v xml:space="preserve">121115089   </v>
      </c>
      <c r="O25479">
        <v>230310</v>
      </c>
    </row>
    <row r="25480" spans="1:15" x14ac:dyDescent="0.25">
      <c r="A25480" t="s">
        <v>16</v>
      </c>
      <c r="B25480" t="s">
        <v>3221</v>
      </c>
      <c r="C25480">
        <v>3352</v>
      </c>
      <c r="D25480" t="s">
        <v>114</v>
      </c>
      <c r="E25480" t="s">
        <v>115</v>
      </c>
      <c r="F25480">
        <v>185.57</v>
      </c>
      <c r="G25480">
        <v>230309</v>
      </c>
      <c r="H25480">
        <v>4600</v>
      </c>
      <c r="I25480" t="s">
        <v>105</v>
      </c>
      <c r="J25480">
        <v>230.11</v>
      </c>
      <c r="K25480">
        <v>44.54</v>
      </c>
      <c r="L25480">
        <v>67522</v>
      </c>
      <c r="M25480" t="s">
        <v>397</v>
      </c>
      <c r="N25480" t="str">
        <f>"121123967   "</f>
        <v xml:space="preserve">121123967   </v>
      </c>
      <c r="O25480">
        <v>230315</v>
      </c>
    </row>
    <row r="25481" spans="1:15" x14ac:dyDescent="0.25">
      <c r="A25481" t="s">
        <v>16</v>
      </c>
      <c r="B25481" t="s">
        <v>3221</v>
      </c>
      <c r="C25481">
        <v>3352</v>
      </c>
      <c r="D25481" t="s">
        <v>114</v>
      </c>
      <c r="E25481" t="s">
        <v>115</v>
      </c>
      <c r="F25481">
        <v>185.57</v>
      </c>
      <c r="G25481">
        <v>230309</v>
      </c>
      <c r="H25481">
        <v>4600</v>
      </c>
      <c r="I25481" t="s">
        <v>105</v>
      </c>
      <c r="J25481">
        <v>230.11</v>
      </c>
      <c r="K25481">
        <v>44.54</v>
      </c>
      <c r="L25481">
        <v>67554</v>
      </c>
      <c r="M25481" t="s">
        <v>60</v>
      </c>
      <c r="N25481" t="str">
        <f>"121123967   "</f>
        <v xml:space="preserve">121123967   </v>
      </c>
      <c r="O25481">
        <v>230315</v>
      </c>
    </row>
    <row r="25482" spans="1:15" x14ac:dyDescent="0.25">
      <c r="A25482" t="s">
        <v>16</v>
      </c>
      <c r="B25482" t="s">
        <v>3221</v>
      </c>
      <c r="C25482">
        <v>3487</v>
      </c>
      <c r="D25482" t="s">
        <v>114</v>
      </c>
      <c r="E25482" t="s">
        <v>115</v>
      </c>
      <c r="F25482">
        <v>530.46</v>
      </c>
      <c r="G25482">
        <v>230314</v>
      </c>
      <c r="H25482">
        <v>4600</v>
      </c>
      <c r="I25482" t="s">
        <v>105</v>
      </c>
      <c r="J25482">
        <v>657.77</v>
      </c>
      <c r="K25482">
        <v>127.31</v>
      </c>
      <c r="L25482">
        <v>17809</v>
      </c>
      <c r="M25482" t="s">
        <v>376</v>
      </c>
      <c r="N25482" t="str">
        <f>"121135130   "</f>
        <v xml:space="preserve">121135130   </v>
      </c>
      <c r="O25482">
        <v>230316</v>
      </c>
    </row>
    <row r="25483" spans="1:15" x14ac:dyDescent="0.25">
      <c r="A25483" t="s">
        <v>16</v>
      </c>
      <c r="B25483" t="s">
        <v>3221</v>
      </c>
      <c r="C25483">
        <v>3618</v>
      </c>
      <c r="D25483" t="s">
        <v>114</v>
      </c>
      <c r="E25483" t="s">
        <v>115</v>
      </c>
      <c r="F25483">
        <v>30.23</v>
      </c>
      <c r="G25483">
        <v>230315</v>
      </c>
      <c r="H25483">
        <v>4600</v>
      </c>
      <c r="I25483" t="s">
        <v>105</v>
      </c>
      <c r="J25483">
        <v>37.49</v>
      </c>
      <c r="K25483">
        <v>7.26</v>
      </c>
      <c r="L25483">
        <v>59501</v>
      </c>
      <c r="M25483" t="s">
        <v>69</v>
      </c>
      <c r="N25483" t="str">
        <f>"121140409   "</f>
        <v xml:space="preserve">121140409   </v>
      </c>
      <c r="O25483">
        <v>230317</v>
      </c>
    </row>
    <row r="25484" spans="1:15" x14ac:dyDescent="0.25">
      <c r="A25484" t="s">
        <v>16</v>
      </c>
      <c r="B25484" t="s">
        <v>3221</v>
      </c>
      <c r="C25484">
        <v>3654</v>
      </c>
      <c r="D25484" t="s">
        <v>114</v>
      </c>
      <c r="E25484" t="s">
        <v>115</v>
      </c>
      <c r="F25484">
        <v>40.76</v>
      </c>
      <c r="G25484">
        <v>230316</v>
      </c>
      <c r="H25484">
        <v>4600</v>
      </c>
      <c r="I25484" t="s">
        <v>105</v>
      </c>
      <c r="J25484">
        <v>50.54</v>
      </c>
      <c r="K25484">
        <v>9.7799999999999994</v>
      </c>
      <c r="L25484">
        <v>47522</v>
      </c>
      <c r="M25484" t="s">
        <v>410</v>
      </c>
      <c r="N25484" t="str">
        <f>"121147727   "</f>
        <v xml:space="preserve">121147727   </v>
      </c>
      <c r="O25484">
        <v>230320</v>
      </c>
    </row>
    <row r="25485" spans="1:15" x14ac:dyDescent="0.25">
      <c r="A25485" t="s">
        <v>16</v>
      </c>
      <c r="B25485" t="s">
        <v>3221</v>
      </c>
      <c r="C25485">
        <v>3659</v>
      </c>
      <c r="D25485" t="s">
        <v>114</v>
      </c>
      <c r="E25485" t="s">
        <v>115</v>
      </c>
      <c r="F25485">
        <v>390.85</v>
      </c>
      <c r="G25485">
        <v>230315</v>
      </c>
      <c r="H25485">
        <v>4600</v>
      </c>
      <c r="I25485" t="s">
        <v>105</v>
      </c>
      <c r="J25485">
        <v>484.65</v>
      </c>
      <c r="K25485">
        <v>93.8</v>
      </c>
      <c r="L25485">
        <v>56558</v>
      </c>
      <c r="M25485" t="s">
        <v>217</v>
      </c>
      <c r="N25485" t="str">
        <f>"121140411   "</f>
        <v xml:space="preserve">121140411   </v>
      </c>
      <c r="O25485">
        <v>230320</v>
      </c>
    </row>
    <row r="25486" spans="1:15" x14ac:dyDescent="0.25">
      <c r="A25486" t="s">
        <v>16</v>
      </c>
      <c r="B25486" t="s">
        <v>3221</v>
      </c>
      <c r="C25486">
        <v>3661</v>
      </c>
      <c r="D25486" t="s">
        <v>114</v>
      </c>
      <c r="E25486" t="s">
        <v>115</v>
      </c>
      <c r="F25486">
        <v>731.78</v>
      </c>
      <c r="G25486">
        <v>230315</v>
      </c>
      <c r="H25486">
        <v>4600</v>
      </c>
      <c r="I25486" t="s">
        <v>105</v>
      </c>
      <c r="J25486">
        <v>907.41</v>
      </c>
      <c r="K25486">
        <v>175.63</v>
      </c>
      <c r="L25486">
        <v>56564</v>
      </c>
      <c r="M25486" t="s">
        <v>327</v>
      </c>
      <c r="N25486" t="str">
        <f>"121140410   "</f>
        <v xml:space="preserve">121140410   </v>
      </c>
      <c r="O25486">
        <v>230320</v>
      </c>
    </row>
    <row r="25487" spans="1:15" x14ac:dyDescent="0.25">
      <c r="A25487" t="s">
        <v>16</v>
      </c>
      <c r="B25487" t="s">
        <v>3221</v>
      </c>
      <c r="C25487">
        <v>3817</v>
      </c>
      <c r="D25487" t="s">
        <v>114</v>
      </c>
      <c r="E25487" t="s">
        <v>115</v>
      </c>
      <c r="F25487">
        <v>270.62</v>
      </c>
      <c r="G25487">
        <v>230315</v>
      </c>
      <c r="H25487">
        <v>4600</v>
      </c>
      <c r="I25487" t="s">
        <v>105</v>
      </c>
      <c r="J25487">
        <v>335.57</v>
      </c>
      <c r="K25487">
        <v>64.95</v>
      </c>
      <c r="L25487">
        <v>17802</v>
      </c>
      <c r="M25487" t="s">
        <v>174</v>
      </c>
      <c r="N25487" t="str">
        <f>"121140704   "</f>
        <v xml:space="preserve">121140704   </v>
      </c>
      <c r="O25487">
        <v>230323</v>
      </c>
    </row>
    <row r="25488" spans="1:15" x14ac:dyDescent="0.25">
      <c r="A25488" t="s">
        <v>16</v>
      </c>
      <c r="B25488" t="s">
        <v>3221</v>
      </c>
      <c r="C25488">
        <v>3836</v>
      </c>
      <c r="D25488" t="s">
        <v>114</v>
      </c>
      <c r="E25488" t="s">
        <v>115</v>
      </c>
      <c r="F25488">
        <v>22.44</v>
      </c>
      <c r="G25488">
        <v>230321</v>
      </c>
      <c r="H25488">
        <v>4600</v>
      </c>
      <c r="I25488" t="s">
        <v>105</v>
      </c>
      <c r="J25488">
        <v>27.83</v>
      </c>
      <c r="K25488">
        <v>5.39</v>
      </c>
      <c r="L25488">
        <v>17803</v>
      </c>
      <c r="M25488" t="s">
        <v>389</v>
      </c>
      <c r="N25488" t="str">
        <f>"121160812   "</f>
        <v xml:space="preserve">121160812   </v>
      </c>
      <c r="O25488">
        <v>230323</v>
      </c>
    </row>
    <row r="25489" spans="1:15" x14ac:dyDescent="0.25">
      <c r="A25489" t="s">
        <v>16</v>
      </c>
      <c r="B25489" t="s">
        <v>3221</v>
      </c>
      <c r="C25489">
        <v>3927</v>
      </c>
      <c r="D25489" t="s">
        <v>114</v>
      </c>
      <c r="E25489" t="s">
        <v>115</v>
      </c>
      <c r="F25489">
        <v>68.78</v>
      </c>
      <c r="G25489">
        <v>230322</v>
      </c>
      <c r="H25489">
        <v>4600</v>
      </c>
      <c r="I25489" t="s">
        <v>105</v>
      </c>
      <c r="J25489">
        <v>85.29</v>
      </c>
      <c r="K25489">
        <v>16.510000000000002</v>
      </c>
      <c r="L25489">
        <v>17803</v>
      </c>
      <c r="M25489" t="s">
        <v>389</v>
      </c>
      <c r="N25489" t="str">
        <f>"121166516   "</f>
        <v xml:space="preserve">121166516   </v>
      </c>
      <c r="O25489">
        <v>230327</v>
      </c>
    </row>
    <row r="25490" spans="1:15" x14ac:dyDescent="0.25">
      <c r="A25490" t="s">
        <v>16</v>
      </c>
      <c r="B25490" t="s">
        <v>3221</v>
      </c>
      <c r="C25490">
        <v>3942</v>
      </c>
      <c r="D25490" t="s">
        <v>114</v>
      </c>
      <c r="E25490" t="s">
        <v>115</v>
      </c>
      <c r="F25490">
        <v>37.75</v>
      </c>
      <c r="G25490">
        <v>230324</v>
      </c>
      <c r="H25490">
        <v>4600</v>
      </c>
      <c r="I25490" t="s">
        <v>105</v>
      </c>
      <c r="J25490">
        <v>46.81</v>
      </c>
      <c r="K25490">
        <v>9.06</v>
      </c>
      <c r="L25490">
        <v>17807</v>
      </c>
      <c r="M25490" t="s">
        <v>318</v>
      </c>
      <c r="N25490" t="str">
        <f>"121174060   "</f>
        <v xml:space="preserve">121174060   </v>
      </c>
      <c r="O25490">
        <v>230327</v>
      </c>
    </row>
    <row r="25491" spans="1:15" x14ac:dyDescent="0.25">
      <c r="A25491" t="s">
        <v>16</v>
      </c>
      <c r="B25491" t="s">
        <v>3221</v>
      </c>
      <c r="C25491">
        <v>4001</v>
      </c>
      <c r="D25491" t="s">
        <v>114</v>
      </c>
      <c r="E25491" t="s">
        <v>115</v>
      </c>
      <c r="F25491">
        <v>37.520000000000003</v>
      </c>
      <c r="G25491">
        <v>230324</v>
      </c>
      <c r="H25491">
        <v>4600</v>
      </c>
      <c r="I25491" t="s">
        <v>105</v>
      </c>
      <c r="J25491">
        <v>46.52</v>
      </c>
      <c r="K25491">
        <v>9</v>
      </c>
      <c r="L25491">
        <v>46555</v>
      </c>
      <c r="M25491" t="s">
        <v>597</v>
      </c>
      <c r="N25491" t="str">
        <f>"121176176   "</f>
        <v xml:space="preserve">121176176   </v>
      </c>
      <c r="O25491">
        <v>230329</v>
      </c>
    </row>
    <row r="25492" spans="1:15" x14ac:dyDescent="0.25">
      <c r="A25492" t="s">
        <v>16</v>
      </c>
      <c r="B25492" t="s">
        <v>3221</v>
      </c>
      <c r="C25492">
        <v>4008</v>
      </c>
      <c r="D25492" t="s">
        <v>114</v>
      </c>
      <c r="E25492" t="s">
        <v>115</v>
      </c>
      <c r="F25492">
        <v>29.68</v>
      </c>
      <c r="G25492">
        <v>230327</v>
      </c>
      <c r="H25492">
        <v>4600</v>
      </c>
      <c r="I25492" t="s">
        <v>105</v>
      </c>
      <c r="J25492">
        <v>36.799999999999997</v>
      </c>
      <c r="K25492">
        <v>7.12</v>
      </c>
      <c r="L25492">
        <v>46557</v>
      </c>
      <c r="M25492" t="s">
        <v>221</v>
      </c>
      <c r="N25492" t="str">
        <f>"121177457   "</f>
        <v xml:space="preserve">121177457   </v>
      </c>
      <c r="O25492">
        <v>230329</v>
      </c>
    </row>
    <row r="25493" spans="1:15" x14ac:dyDescent="0.25">
      <c r="A25493" t="s">
        <v>16</v>
      </c>
      <c r="B25493" t="s">
        <v>3221</v>
      </c>
      <c r="C25493">
        <v>4228</v>
      </c>
      <c r="D25493" t="s">
        <v>114</v>
      </c>
      <c r="E25493" t="s">
        <v>115</v>
      </c>
      <c r="F25493">
        <v>46.02</v>
      </c>
      <c r="G25493">
        <v>230329</v>
      </c>
      <c r="H25493">
        <v>4600</v>
      </c>
      <c r="I25493" t="s">
        <v>105</v>
      </c>
      <c r="J25493">
        <v>57.06</v>
      </c>
      <c r="K25493">
        <v>11.04</v>
      </c>
      <c r="L25493">
        <v>46555</v>
      </c>
      <c r="M25493" t="s">
        <v>597</v>
      </c>
      <c r="N25493" t="str">
        <f>"121187105   "</f>
        <v xml:space="preserve">121187105   </v>
      </c>
      <c r="O25493">
        <v>230403</v>
      </c>
    </row>
    <row r="25494" spans="1:15" x14ac:dyDescent="0.25">
      <c r="A25494" t="s">
        <v>16</v>
      </c>
      <c r="B25494" t="s">
        <v>3221</v>
      </c>
      <c r="C25494">
        <v>4244</v>
      </c>
      <c r="D25494" t="s">
        <v>114</v>
      </c>
      <c r="E25494" t="s">
        <v>115</v>
      </c>
      <c r="F25494">
        <v>74.39</v>
      </c>
      <c r="G25494">
        <v>230328</v>
      </c>
      <c r="H25494">
        <v>4600</v>
      </c>
      <c r="I25494" t="s">
        <v>105</v>
      </c>
      <c r="J25494">
        <v>92.24</v>
      </c>
      <c r="K25494">
        <v>17.850000000000001</v>
      </c>
      <c r="L25494">
        <v>17522</v>
      </c>
      <c r="M25494" t="s">
        <v>451</v>
      </c>
      <c r="N25494" t="str">
        <f>"121183308   "</f>
        <v xml:space="preserve">121183308   </v>
      </c>
      <c r="O25494">
        <v>230403</v>
      </c>
    </row>
    <row r="25495" spans="1:15" x14ac:dyDescent="0.25">
      <c r="A25495" t="s">
        <v>16</v>
      </c>
      <c r="B25495" t="s">
        <v>3221</v>
      </c>
      <c r="C25495">
        <v>4331</v>
      </c>
      <c r="D25495" t="s">
        <v>114</v>
      </c>
      <c r="E25495" t="s">
        <v>115</v>
      </c>
      <c r="F25495">
        <v>34</v>
      </c>
      <c r="G25495">
        <v>230331</v>
      </c>
      <c r="H25495">
        <v>4600</v>
      </c>
      <c r="I25495" t="s">
        <v>105</v>
      </c>
      <c r="J25495">
        <v>42.16</v>
      </c>
      <c r="K25495">
        <v>8.16</v>
      </c>
      <c r="L25495">
        <v>56560</v>
      </c>
      <c r="M25495" t="s">
        <v>654</v>
      </c>
      <c r="N25495" t="str">
        <f>"121200091   "</f>
        <v xml:space="preserve">121200091   </v>
      </c>
      <c r="O25495">
        <v>230404</v>
      </c>
    </row>
    <row r="25496" spans="1:15" x14ac:dyDescent="0.25">
      <c r="A25496" t="s">
        <v>16</v>
      </c>
      <c r="B25496" t="s">
        <v>3221</v>
      </c>
      <c r="C25496">
        <v>4392</v>
      </c>
      <c r="D25496" t="s">
        <v>114</v>
      </c>
      <c r="E25496" t="s">
        <v>115</v>
      </c>
      <c r="F25496">
        <v>80.28</v>
      </c>
      <c r="G25496">
        <v>230323</v>
      </c>
      <c r="H25496">
        <v>4600</v>
      </c>
      <c r="I25496" t="s">
        <v>105</v>
      </c>
      <c r="J25496">
        <v>99.55</v>
      </c>
      <c r="K25496">
        <v>19.27</v>
      </c>
      <c r="L25496">
        <v>17522</v>
      </c>
      <c r="M25496" t="s">
        <v>451</v>
      </c>
      <c r="N25496" t="str">
        <f>"121167791   "</f>
        <v xml:space="preserve">121167791   </v>
      </c>
      <c r="O25496">
        <v>230405</v>
      </c>
    </row>
    <row r="25497" spans="1:15" x14ac:dyDescent="0.25">
      <c r="A25497" t="s">
        <v>16</v>
      </c>
      <c r="B25497" t="s">
        <v>3221</v>
      </c>
      <c r="C25497">
        <v>4596</v>
      </c>
      <c r="D25497" t="s">
        <v>114</v>
      </c>
      <c r="E25497" t="s">
        <v>115</v>
      </c>
      <c r="F25497">
        <v>280</v>
      </c>
      <c r="G25497">
        <v>230329</v>
      </c>
      <c r="H25497">
        <v>4600</v>
      </c>
      <c r="I25497" t="s">
        <v>105</v>
      </c>
      <c r="J25497">
        <v>347.2</v>
      </c>
      <c r="K25497">
        <v>67.2</v>
      </c>
      <c r="L25497">
        <v>17802</v>
      </c>
      <c r="M25497" t="s">
        <v>174</v>
      </c>
      <c r="N25497" t="str">
        <f>"121187024   "</f>
        <v xml:space="preserve">121187024   </v>
      </c>
      <c r="O25497">
        <v>230411</v>
      </c>
    </row>
    <row r="25498" spans="1:15" x14ac:dyDescent="0.25">
      <c r="A25498" t="s">
        <v>16</v>
      </c>
      <c r="B25498" t="s">
        <v>3221</v>
      </c>
      <c r="C25498">
        <v>4663</v>
      </c>
      <c r="D25498" t="s">
        <v>114</v>
      </c>
      <c r="E25498" t="s">
        <v>115</v>
      </c>
      <c r="F25498">
        <v>897.61</v>
      </c>
      <c r="G25498">
        <v>230331</v>
      </c>
      <c r="H25498">
        <v>4600</v>
      </c>
      <c r="I25498" t="s">
        <v>105</v>
      </c>
      <c r="J25498">
        <v>1113.04</v>
      </c>
      <c r="K25498">
        <v>215.43</v>
      </c>
      <c r="L25498">
        <v>56568</v>
      </c>
      <c r="M25498" t="s">
        <v>268</v>
      </c>
      <c r="N25498" t="str">
        <f>"121200090   "</f>
        <v xml:space="preserve">121200090   </v>
      </c>
      <c r="O25498">
        <v>230411</v>
      </c>
    </row>
    <row r="25499" spans="1:15" x14ac:dyDescent="0.25">
      <c r="A25499" t="s">
        <v>16</v>
      </c>
      <c r="B25499" t="s">
        <v>3221</v>
      </c>
      <c r="C25499">
        <v>4726</v>
      </c>
      <c r="D25499" t="s">
        <v>114</v>
      </c>
      <c r="E25499" t="s">
        <v>115</v>
      </c>
      <c r="F25499">
        <v>26.58</v>
      </c>
      <c r="G25499">
        <v>230331</v>
      </c>
      <c r="H25499">
        <v>4600</v>
      </c>
      <c r="I25499" t="s">
        <v>105</v>
      </c>
      <c r="J25499">
        <v>32.96</v>
      </c>
      <c r="K25499">
        <v>6.38</v>
      </c>
      <c r="L25499">
        <v>17807</v>
      </c>
      <c r="M25499" t="s">
        <v>318</v>
      </c>
      <c r="N25499" t="str">
        <f>"121205844   "</f>
        <v xml:space="preserve">121205844   </v>
      </c>
      <c r="O25499">
        <v>230412</v>
      </c>
    </row>
    <row r="25500" spans="1:15" x14ac:dyDescent="0.25">
      <c r="A25500" t="s">
        <v>16</v>
      </c>
      <c r="B25500" t="s">
        <v>3221</v>
      </c>
      <c r="C25500">
        <v>4751</v>
      </c>
      <c r="D25500" t="s">
        <v>114</v>
      </c>
      <c r="E25500" t="s">
        <v>115</v>
      </c>
      <c r="F25500">
        <v>52.35</v>
      </c>
      <c r="G25500">
        <v>230404</v>
      </c>
      <c r="H25500">
        <v>4600</v>
      </c>
      <c r="I25500" t="s">
        <v>105</v>
      </c>
      <c r="J25500">
        <v>64.91</v>
      </c>
      <c r="K25500">
        <v>12.56</v>
      </c>
      <c r="L25500">
        <v>17802</v>
      </c>
      <c r="M25500" t="s">
        <v>174</v>
      </c>
      <c r="N25500" t="str">
        <f>"121218310   "</f>
        <v xml:space="preserve">121218310   </v>
      </c>
      <c r="O25500">
        <v>230412</v>
      </c>
    </row>
    <row r="25501" spans="1:15" x14ac:dyDescent="0.25">
      <c r="A25501" t="s">
        <v>16</v>
      </c>
      <c r="B25501" t="s">
        <v>3221</v>
      </c>
      <c r="C25501">
        <v>4861</v>
      </c>
      <c r="D25501" t="s">
        <v>114</v>
      </c>
      <c r="E25501" t="s">
        <v>115</v>
      </c>
      <c r="F25501">
        <v>351</v>
      </c>
      <c r="G25501">
        <v>230331</v>
      </c>
      <c r="H25501">
        <v>4600</v>
      </c>
      <c r="I25501" t="s">
        <v>105</v>
      </c>
      <c r="J25501">
        <v>435.24</v>
      </c>
      <c r="K25501">
        <v>84.24</v>
      </c>
      <c r="L25501">
        <v>51151</v>
      </c>
      <c r="M25501" t="s">
        <v>620</v>
      </c>
      <c r="N25501" t="str">
        <f>"121200089   "</f>
        <v xml:space="preserve">121200089   </v>
      </c>
      <c r="O25501">
        <v>230413</v>
      </c>
    </row>
    <row r="25502" spans="1:15" x14ac:dyDescent="0.25">
      <c r="A25502" t="s">
        <v>16</v>
      </c>
      <c r="B25502" t="s">
        <v>3221</v>
      </c>
      <c r="C25502">
        <v>5044</v>
      </c>
      <c r="D25502" t="s">
        <v>114</v>
      </c>
      <c r="E25502" t="s">
        <v>115</v>
      </c>
      <c r="F25502">
        <v>201.4</v>
      </c>
      <c r="G25502">
        <v>230406</v>
      </c>
      <c r="H25502">
        <v>4600</v>
      </c>
      <c r="I25502" t="s">
        <v>105</v>
      </c>
      <c r="J25502">
        <v>249.73</v>
      </c>
      <c r="K25502">
        <v>48.33</v>
      </c>
      <c r="L25502">
        <v>17802</v>
      </c>
      <c r="M25502" t="s">
        <v>174</v>
      </c>
      <c r="N25502" t="str">
        <f>"121230402   "</f>
        <v xml:space="preserve">121230402   </v>
      </c>
      <c r="O25502">
        <v>230417</v>
      </c>
    </row>
    <row r="25503" spans="1:15" x14ac:dyDescent="0.25">
      <c r="A25503" t="s">
        <v>16</v>
      </c>
      <c r="B25503" t="s">
        <v>3221</v>
      </c>
      <c r="C25503">
        <v>5240</v>
      </c>
      <c r="D25503" t="s">
        <v>114</v>
      </c>
      <c r="E25503" t="s">
        <v>115</v>
      </c>
      <c r="F25503">
        <v>260.48</v>
      </c>
      <c r="G25503">
        <v>230414</v>
      </c>
      <c r="H25503">
        <v>4600</v>
      </c>
      <c r="I25503" t="s">
        <v>105</v>
      </c>
      <c r="J25503">
        <v>322.99</v>
      </c>
      <c r="K25503">
        <v>62.51</v>
      </c>
      <c r="L25503">
        <v>17807</v>
      </c>
      <c r="M25503" t="s">
        <v>318</v>
      </c>
      <c r="N25503" t="str">
        <f>"121249996   "</f>
        <v xml:space="preserve">121249996   </v>
      </c>
      <c r="O25503">
        <v>230419</v>
      </c>
    </row>
    <row r="25504" spans="1:15" x14ac:dyDescent="0.25">
      <c r="A25504" t="s">
        <v>16</v>
      </c>
      <c r="B25504" t="s">
        <v>3221</v>
      </c>
      <c r="C25504">
        <v>5493</v>
      </c>
      <c r="D25504" t="s">
        <v>114</v>
      </c>
      <c r="E25504" t="s">
        <v>115</v>
      </c>
      <c r="F25504">
        <v>174.4</v>
      </c>
      <c r="G25504">
        <v>230421</v>
      </c>
      <c r="H25504">
        <v>4600</v>
      </c>
      <c r="I25504" t="s">
        <v>105</v>
      </c>
      <c r="J25504">
        <v>216.26</v>
      </c>
      <c r="K25504">
        <v>41.86</v>
      </c>
      <c r="L25504">
        <v>67522</v>
      </c>
      <c r="M25504" t="s">
        <v>397</v>
      </c>
      <c r="N25504" t="str">
        <f>"121275834   "</f>
        <v xml:space="preserve">121275834   </v>
      </c>
      <c r="O25504">
        <v>230425</v>
      </c>
    </row>
    <row r="25505" spans="1:15" x14ac:dyDescent="0.25">
      <c r="A25505" t="s">
        <v>16</v>
      </c>
      <c r="B25505" t="s">
        <v>3221</v>
      </c>
      <c r="C25505">
        <v>5532</v>
      </c>
      <c r="D25505" t="s">
        <v>114</v>
      </c>
      <c r="E25505" t="s">
        <v>115</v>
      </c>
      <c r="F25505">
        <v>8.89</v>
      </c>
      <c r="G25505">
        <v>230414</v>
      </c>
      <c r="H25505">
        <v>4600</v>
      </c>
      <c r="I25505" t="s">
        <v>105</v>
      </c>
      <c r="J25505">
        <v>11.02</v>
      </c>
      <c r="K25505">
        <v>2.13</v>
      </c>
      <c r="L25505">
        <v>17802</v>
      </c>
      <c r="M25505" t="s">
        <v>174</v>
      </c>
      <c r="N25505" t="str">
        <f>"121249995   "</f>
        <v xml:space="preserve">121249995   </v>
      </c>
      <c r="O25505">
        <v>230426</v>
      </c>
    </row>
    <row r="25506" spans="1:15" x14ac:dyDescent="0.25">
      <c r="A25506" t="s">
        <v>16</v>
      </c>
      <c r="B25506" t="s">
        <v>3221</v>
      </c>
      <c r="C25506">
        <v>5540</v>
      </c>
      <c r="D25506" t="s">
        <v>114</v>
      </c>
      <c r="E25506" t="s">
        <v>115</v>
      </c>
      <c r="F25506">
        <v>70</v>
      </c>
      <c r="G25506">
        <v>230425</v>
      </c>
      <c r="H25506">
        <v>4600</v>
      </c>
      <c r="I25506" t="s">
        <v>105</v>
      </c>
      <c r="J25506">
        <v>86.8</v>
      </c>
      <c r="K25506">
        <v>16.8</v>
      </c>
      <c r="L25506">
        <v>46555</v>
      </c>
      <c r="M25506" t="s">
        <v>597</v>
      </c>
      <c r="N25506" t="str">
        <f>"121284176   "</f>
        <v xml:space="preserve">121284176   </v>
      </c>
      <c r="O25506">
        <v>230426</v>
      </c>
    </row>
    <row r="25507" spans="1:15" x14ac:dyDescent="0.25">
      <c r="A25507" t="s">
        <v>16</v>
      </c>
      <c r="B25507" t="s">
        <v>3221</v>
      </c>
      <c r="C25507">
        <v>5543</v>
      </c>
      <c r="D25507" t="s">
        <v>114</v>
      </c>
      <c r="E25507" t="s">
        <v>115</v>
      </c>
      <c r="F25507">
        <v>41.86</v>
      </c>
      <c r="G25507">
        <v>230424</v>
      </c>
      <c r="H25507">
        <v>4600</v>
      </c>
      <c r="I25507" t="s">
        <v>105</v>
      </c>
      <c r="J25507">
        <v>51.91</v>
      </c>
      <c r="K25507">
        <v>10.050000000000001</v>
      </c>
      <c r="L25507">
        <v>46555</v>
      </c>
      <c r="M25507" t="s">
        <v>597</v>
      </c>
      <c r="N25507" t="str">
        <f>"121278432   "</f>
        <v xml:space="preserve">121278432   </v>
      </c>
      <c r="O25507">
        <v>230426</v>
      </c>
    </row>
    <row r="25508" spans="1:15" x14ac:dyDescent="0.25">
      <c r="A25508" t="s">
        <v>16</v>
      </c>
      <c r="B25508" t="s">
        <v>3221</v>
      </c>
      <c r="C25508">
        <v>5570</v>
      </c>
      <c r="D25508" t="s">
        <v>114</v>
      </c>
      <c r="E25508" t="s">
        <v>115</v>
      </c>
      <c r="F25508">
        <v>92.27</v>
      </c>
      <c r="G25508">
        <v>230419</v>
      </c>
      <c r="H25508">
        <v>4600</v>
      </c>
      <c r="I25508" t="s">
        <v>105</v>
      </c>
      <c r="J25508">
        <v>114.42</v>
      </c>
      <c r="K25508">
        <v>22.15</v>
      </c>
      <c r="L25508">
        <v>17802</v>
      </c>
      <c r="M25508" t="s">
        <v>174</v>
      </c>
      <c r="N25508" t="str">
        <f>"121262505   "</f>
        <v xml:space="preserve">121262505   </v>
      </c>
      <c r="O25508">
        <v>230426</v>
      </c>
    </row>
    <row r="25509" spans="1:15" x14ac:dyDescent="0.25">
      <c r="A25509" t="s">
        <v>16</v>
      </c>
      <c r="B25509" t="s">
        <v>3221</v>
      </c>
      <c r="C25509">
        <v>5707</v>
      </c>
      <c r="D25509" t="s">
        <v>114</v>
      </c>
      <c r="E25509" t="s">
        <v>115</v>
      </c>
      <c r="F25509">
        <v>509.8</v>
      </c>
      <c r="G25509">
        <v>230427</v>
      </c>
      <c r="H25509">
        <v>4600</v>
      </c>
      <c r="I25509" t="s">
        <v>105</v>
      </c>
      <c r="J25509">
        <v>632.15</v>
      </c>
      <c r="K25509">
        <v>122.35</v>
      </c>
      <c r="L25509">
        <v>17809</v>
      </c>
      <c r="M25509" t="s">
        <v>376</v>
      </c>
      <c r="N25509" t="str">
        <f>"121290860   "</f>
        <v xml:space="preserve">121290860   </v>
      </c>
      <c r="O25509">
        <v>230502</v>
      </c>
    </row>
    <row r="25510" spans="1:15" x14ac:dyDescent="0.25">
      <c r="A25510" t="s">
        <v>16</v>
      </c>
      <c r="B25510" t="s">
        <v>3221</v>
      </c>
      <c r="C25510">
        <v>5708</v>
      </c>
      <c r="D25510" t="s">
        <v>114</v>
      </c>
      <c r="E25510" t="s">
        <v>115</v>
      </c>
      <c r="F25510">
        <v>59.69</v>
      </c>
      <c r="G25510">
        <v>230427</v>
      </c>
      <c r="H25510">
        <v>4600</v>
      </c>
      <c r="I25510" t="s">
        <v>105</v>
      </c>
      <c r="J25510">
        <v>74.02</v>
      </c>
      <c r="K25510">
        <v>14.33</v>
      </c>
      <c r="L25510">
        <v>17523</v>
      </c>
      <c r="M25510" t="s">
        <v>134</v>
      </c>
      <c r="N25510" t="str">
        <f>"121293701   "</f>
        <v xml:space="preserve">121293701   </v>
      </c>
      <c r="O25510">
        <v>230502</v>
      </c>
    </row>
    <row r="25511" spans="1:15" x14ac:dyDescent="0.25">
      <c r="A25511" t="s">
        <v>16</v>
      </c>
      <c r="B25511" t="s">
        <v>3221</v>
      </c>
      <c r="C25511">
        <v>5814</v>
      </c>
      <c r="D25511" t="s">
        <v>114</v>
      </c>
      <c r="E25511" t="s">
        <v>115</v>
      </c>
      <c r="F25511">
        <v>26.38</v>
      </c>
      <c r="G25511">
        <v>230428</v>
      </c>
      <c r="H25511">
        <v>4600</v>
      </c>
      <c r="I25511" t="s">
        <v>105</v>
      </c>
      <c r="J25511">
        <v>32.71</v>
      </c>
      <c r="K25511">
        <v>6.33</v>
      </c>
      <c r="L25511">
        <v>59501</v>
      </c>
      <c r="M25511" t="s">
        <v>69</v>
      </c>
      <c r="N25511" t="str">
        <f>"121303261   "</f>
        <v xml:space="preserve">121303261   </v>
      </c>
      <c r="O25511">
        <v>230503</v>
      </c>
    </row>
    <row r="25512" spans="1:15" x14ac:dyDescent="0.25">
      <c r="A25512" t="s">
        <v>16</v>
      </c>
      <c r="B25512" t="s">
        <v>3221</v>
      </c>
      <c r="C25512">
        <v>6041</v>
      </c>
      <c r="D25512" t="s">
        <v>114</v>
      </c>
      <c r="E25512" t="s">
        <v>115</v>
      </c>
      <c r="F25512">
        <v>186.68</v>
      </c>
      <c r="G25512">
        <v>230503</v>
      </c>
      <c r="H25512">
        <v>4600</v>
      </c>
      <c r="I25512" t="s">
        <v>105</v>
      </c>
      <c r="J25512">
        <v>231.48</v>
      </c>
      <c r="K25512">
        <v>44.8</v>
      </c>
      <c r="L25512">
        <v>67554</v>
      </c>
      <c r="M25512" t="s">
        <v>60</v>
      </c>
      <c r="N25512" t="str">
        <f>"121326947   "</f>
        <v xml:space="preserve">121326947   </v>
      </c>
      <c r="O25512">
        <v>230505</v>
      </c>
    </row>
    <row r="25513" spans="1:15" x14ac:dyDescent="0.25">
      <c r="A25513" t="s">
        <v>16</v>
      </c>
      <c r="B25513" t="s">
        <v>3221</v>
      </c>
      <c r="C25513">
        <v>6083</v>
      </c>
      <c r="D25513" t="s">
        <v>114</v>
      </c>
      <c r="E25513" t="s">
        <v>115</v>
      </c>
      <c r="F25513">
        <v>216.54</v>
      </c>
      <c r="G25513">
        <v>230427</v>
      </c>
      <c r="H25513">
        <v>4600</v>
      </c>
      <c r="I25513" t="s">
        <v>105</v>
      </c>
      <c r="J25513">
        <v>268.51</v>
      </c>
      <c r="K25513">
        <v>51.97</v>
      </c>
      <c r="L25513">
        <v>17802</v>
      </c>
      <c r="M25513" t="s">
        <v>174</v>
      </c>
      <c r="N25513" t="str">
        <f>"121290859   "</f>
        <v xml:space="preserve">121290859   </v>
      </c>
      <c r="O25513">
        <v>230508</v>
      </c>
    </row>
    <row r="25514" spans="1:15" x14ac:dyDescent="0.25">
      <c r="A25514" t="s">
        <v>16</v>
      </c>
      <c r="B25514" t="s">
        <v>3221</v>
      </c>
      <c r="C25514">
        <v>6141</v>
      </c>
      <c r="D25514" t="s">
        <v>114</v>
      </c>
      <c r="E25514" t="s">
        <v>115</v>
      </c>
      <c r="F25514">
        <v>539.04999999999995</v>
      </c>
      <c r="G25514">
        <v>230428</v>
      </c>
      <c r="H25514">
        <v>4600</v>
      </c>
      <c r="I25514" t="s">
        <v>105</v>
      </c>
      <c r="J25514">
        <v>668.42</v>
      </c>
      <c r="K25514">
        <v>129.37</v>
      </c>
      <c r="L25514">
        <v>56558</v>
      </c>
      <c r="M25514" t="s">
        <v>217</v>
      </c>
      <c r="N25514" t="str">
        <f>"121303259   "</f>
        <v xml:space="preserve">121303259   </v>
      </c>
      <c r="O25514">
        <v>230508</v>
      </c>
    </row>
    <row r="25515" spans="1:15" x14ac:dyDescent="0.25">
      <c r="A25515" t="s">
        <v>16</v>
      </c>
      <c r="B25515" t="s">
        <v>3221</v>
      </c>
      <c r="C25515">
        <v>6490</v>
      </c>
      <c r="D25515" t="s">
        <v>114</v>
      </c>
      <c r="E25515" t="s">
        <v>115</v>
      </c>
      <c r="F25515">
        <v>128.83000000000001</v>
      </c>
      <c r="G25515">
        <v>230508</v>
      </c>
      <c r="H25515">
        <v>4600</v>
      </c>
      <c r="I25515" t="s">
        <v>105</v>
      </c>
      <c r="J25515">
        <v>159.75</v>
      </c>
      <c r="K25515">
        <v>30.92</v>
      </c>
      <c r="L25515">
        <v>17522</v>
      </c>
      <c r="M25515" t="s">
        <v>451</v>
      </c>
      <c r="N25515" t="str">
        <f>"121341152   "</f>
        <v xml:space="preserve">121341152   </v>
      </c>
      <c r="O25515">
        <v>230512</v>
      </c>
    </row>
    <row r="25516" spans="1:15" x14ac:dyDescent="0.25">
      <c r="A25516" t="s">
        <v>16</v>
      </c>
      <c r="B25516" t="s">
        <v>3221</v>
      </c>
      <c r="C25516">
        <v>6887</v>
      </c>
      <c r="D25516" t="s">
        <v>114</v>
      </c>
      <c r="E25516" t="s">
        <v>115</v>
      </c>
      <c r="F25516">
        <v>124.86</v>
      </c>
      <c r="G25516">
        <v>230517</v>
      </c>
      <c r="H25516">
        <v>4600</v>
      </c>
      <c r="I25516" t="s">
        <v>105</v>
      </c>
      <c r="J25516">
        <v>154.83000000000001</v>
      </c>
      <c r="K25516">
        <v>29.97</v>
      </c>
      <c r="L25516">
        <v>17803</v>
      </c>
      <c r="M25516" t="s">
        <v>389</v>
      </c>
      <c r="N25516" t="str">
        <f>"121378192   "</f>
        <v xml:space="preserve">121378192   </v>
      </c>
      <c r="O25516">
        <v>230523</v>
      </c>
    </row>
    <row r="25517" spans="1:15" x14ac:dyDescent="0.25">
      <c r="A25517" t="s">
        <v>16</v>
      </c>
      <c r="B25517" t="s">
        <v>3221</v>
      </c>
      <c r="C25517">
        <v>6914</v>
      </c>
      <c r="D25517" t="s">
        <v>114</v>
      </c>
      <c r="E25517" t="s">
        <v>115</v>
      </c>
      <c r="F25517">
        <v>99.24</v>
      </c>
      <c r="G25517">
        <v>230515</v>
      </c>
      <c r="H25517">
        <v>4600</v>
      </c>
      <c r="I25517" t="s">
        <v>105</v>
      </c>
      <c r="J25517">
        <v>123.06</v>
      </c>
      <c r="K25517">
        <v>23.82</v>
      </c>
      <c r="L25517">
        <v>56558</v>
      </c>
      <c r="M25517" t="s">
        <v>217</v>
      </c>
      <c r="N25517" t="str">
        <f>"121367428   "</f>
        <v xml:space="preserve">121367428   </v>
      </c>
      <c r="O25517">
        <v>230523</v>
      </c>
    </row>
    <row r="25518" spans="1:15" x14ac:dyDescent="0.25">
      <c r="A25518" t="s">
        <v>16</v>
      </c>
      <c r="B25518" t="s">
        <v>3221</v>
      </c>
      <c r="C25518">
        <v>7804</v>
      </c>
      <c r="D25518" t="s">
        <v>114</v>
      </c>
      <c r="E25518" t="s">
        <v>115</v>
      </c>
      <c r="F25518">
        <v>99.31</v>
      </c>
      <c r="G25518">
        <v>230531</v>
      </c>
      <c r="H25518">
        <v>4600</v>
      </c>
      <c r="I25518" t="s">
        <v>105</v>
      </c>
      <c r="J25518">
        <v>123.14</v>
      </c>
      <c r="K25518">
        <v>23.83</v>
      </c>
      <c r="L25518">
        <v>51151</v>
      </c>
      <c r="M25518" t="s">
        <v>620</v>
      </c>
      <c r="N25518" t="str">
        <f>"121433934   "</f>
        <v xml:space="preserve">121433934   </v>
      </c>
      <c r="O25518">
        <v>230602</v>
      </c>
    </row>
    <row r="25519" spans="1:15" x14ac:dyDescent="0.25">
      <c r="A25519" t="s">
        <v>16</v>
      </c>
      <c r="B25519" t="s">
        <v>3221</v>
      </c>
      <c r="C25519">
        <v>7806</v>
      </c>
      <c r="D25519" t="s">
        <v>114</v>
      </c>
      <c r="E25519" t="s">
        <v>115</v>
      </c>
      <c r="F25519">
        <v>43.71</v>
      </c>
      <c r="G25519">
        <v>230531</v>
      </c>
      <c r="H25519">
        <v>4600</v>
      </c>
      <c r="I25519" t="s">
        <v>105</v>
      </c>
      <c r="J25519">
        <v>54.2</v>
      </c>
      <c r="K25519">
        <v>10.49</v>
      </c>
      <c r="L25519">
        <v>56560</v>
      </c>
      <c r="M25519" t="s">
        <v>654</v>
      </c>
      <c r="N25519" t="str">
        <f>"121433933   "</f>
        <v xml:space="preserve">121433933   </v>
      </c>
      <c r="O25519">
        <v>230602</v>
      </c>
    </row>
    <row r="25520" spans="1:15" x14ac:dyDescent="0.25">
      <c r="A25520" t="s">
        <v>16</v>
      </c>
      <c r="B25520" t="s">
        <v>3221</v>
      </c>
      <c r="C25520">
        <v>8838</v>
      </c>
      <c r="D25520" t="s">
        <v>114</v>
      </c>
      <c r="E25520" t="s">
        <v>115</v>
      </c>
      <c r="F25520">
        <v>84.77</v>
      </c>
      <c r="G25520">
        <v>230615</v>
      </c>
      <c r="H25520">
        <v>4600</v>
      </c>
      <c r="I25520" t="s">
        <v>105</v>
      </c>
      <c r="J25520">
        <v>105.12</v>
      </c>
      <c r="K25520">
        <v>20.350000000000001</v>
      </c>
      <c r="L25520">
        <v>56559</v>
      </c>
      <c r="M25520" t="s">
        <v>129</v>
      </c>
      <c r="N25520" t="str">
        <f>"121501403   "</f>
        <v xml:space="preserve">121501403   </v>
      </c>
      <c r="O25520">
        <v>230616</v>
      </c>
    </row>
    <row r="25521" spans="1:15" x14ac:dyDescent="0.25">
      <c r="A25521" t="s">
        <v>16</v>
      </c>
      <c r="B25521" t="s">
        <v>3221</v>
      </c>
      <c r="C25521">
        <v>9342</v>
      </c>
      <c r="D25521" t="s">
        <v>114</v>
      </c>
      <c r="E25521" t="s">
        <v>115</v>
      </c>
      <c r="F25521">
        <v>83.36</v>
      </c>
      <c r="G25521">
        <v>230630</v>
      </c>
      <c r="H25521">
        <v>4600</v>
      </c>
      <c r="I25521" t="s">
        <v>105</v>
      </c>
      <c r="J25521">
        <v>103.37</v>
      </c>
      <c r="K25521">
        <v>20.010000000000002</v>
      </c>
      <c r="L25521">
        <v>67554</v>
      </c>
      <c r="M25521" t="s">
        <v>60</v>
      </c>
      <c r="N25521" t="str">
        <f>"121570387   "</f>
        <v xml:space="preserve">121570387   </v>
      </c>
      <c r="O25521">
        <v>230706</v>
      </c>
    </row>
    <row r="25522" spans="1:15" x14ac:dyDescent="0.25">
      <c r="A25522" t="s">
        <v>16</v>
      </c>
      <c r="B25522" t="s">
        <v>3221</v>
      </c>
      <c r="C25522">
        <v>10047</v>
      </c>
      <c r="D25522" t="s">
        <v>114</v>
      </c>
      <c r="E25522" t="s">
        <v>115</v>
      </c>
      <c r="F25522">
        <v>164.82</v>
      </c>
      <c r="G25522">
        <v>230802</v>
      </c>
      <c r="H25522">
        <v>4600</v>
      </c>
      <c r="I25522" t="s">
        <v>105</v>
      </c>
      <c r="J25522">
        <v>204.38</v>
      </c>
      <c r="K25522">
        <v>39.56</v>
      </c>
      <c r="L25522">
        <v>49501</v>
      </c>
      <c r="M25522" t="s">
        <v>177</v>
      </c>
      <c r="N25522" t="str">
        <f>"121676544   "</f>
        <v xml:space="preserve">121676544   </v>
      </c>
      <c r="O25522">
        <v>230807</v>
      </c>
    </row>
    <row r="25523" spans="1:15" x14ac:dyDescent="0.25">
      <c r="A25523" t="s">
        <v>16</v>
      </c>
      <c r="B25523" t="s">
        <v>3221</v>
      </c>
      <c r="C25523">
        <v>10248</v>
      </c>
      <c r="D25523" t="s">
        <v>114</v>
      </c>
      <c r="E25523" t="s">
        <v>115</v>
      </c>
      <c r="F25523">
        <v>4114.8500000000004</v>
      </c>
      <c r="G25523">
        <v>230807</v>
      </c>
      <c r="H25523">
        <v>4600</v>
      </c>
      <c r="I25523" t="s">
        <v>105</v>
      </c>
      <c r="J25523">
        <v>5102.42</v>
      </c>
      <c r="K25523">
        <v>987.57</v>
      </c>
      <c r="L25523">
        <v>17809</v>
      </c>
      <c r="M25523" t="s">
        <v>376</v>
      </c>
      <c r="N25523" t="str">
        <f>"121685251   "</f>
        <v xml:space="preserve">121685251   </v>
      </c>
      <c r="O25523">
        <v>230810</v>
      </c>
    </row>
    <row r="25524" spans="1:15" x14ac:dyDescent="0.25">
      <c r="A25524" t="s">
        <v>16</v>
      </c>
      <c r="B25524" t="s">
        <v>3221</v>
      </c>
      <c r="C25524">
        <v>10286</v>
      </c>
      <c r="D25524" t="s">
        <v>114</v>
      </c>
      <c r="E25524" t="s">
        <v>115</v>
      </c>
      <c r="F25524">
        <v>1430.63</v>
      </c>
      <c r="G25524">
        <v>230807</v>
      </c>
      <c r="H25524">
        <v>4600</v>
      </c>
      <c r="I25524" t="s">
        <v>105</v>
      </c>
      <c r="J25524">
        <v>1773.98</v>
      </c>
      <c r="K25524">
        <v>343.35</v>
      </c>
      <c r="L25524">
        <v>17806</v>
      </c>
      <c r="M25524" t="s">
        <v>265</v>
      </c>
      <c r="N25524" t="str">
        <f>"121685250   "</f>
        <v xml:space="preserve">121685250   </v>
      </c>
      <c r="O25524">
        <v>230814</v>
      </c>
    </row>
    <row r="25525" spans="1:15" x14ac:dyDescent="0.25">
      <c r="A25525" t="s">
        <v>16</v>
      </c>
      <c r="B25525" t="s">
        <v>3221</v>
      </c>
      <c r="C25525">
        <v>10345</v>
      </c>
      <c r="D25525" t="s">
        <v>114</v>
      </c>
      <c r="E25525" t="s">
        <v>115</v>
      </c>
      <c r="F25525">
        <v>71.790000000000006</v>
      </c>
      <c r="G25525">
        <v>230809</v>
      </c>
      <c r="H25525">
        <v>4600</v>
      </c>
      <c r="I25525" t="s">
        <v>105</v>
      </c>
      <c r="J25525">
        <v>89.02</v>
      </c>
      <c r="K25525">
        <v>17.23</v>
      </c>
      <c r="L25525">
        <v>47522</v>
      </c>
      <c r="M25525" t="s">
        <v>410</v>
      </c>
      <c r="N25525" t="str">
        <f>"121694314   "</f>
        <v xml:space="preserve">121694314   </v>
      </c>
      <c r="O25525">
        <v>230814</v>
      </c>
    </row>
    <row r="25526" spans="1:15" x14ac:dyDescent="0.25">
      <c r="A25526" t="s">
        <v>16</v>
      </c>
      <c r="B25526" t="s">
        <v>3221</v>
      </c>
      <c r="C25526">
        <v>10495</v>
      </c>
      <c r="D25526" t="s">
        <v>114</v>
      </c>
      <c r="E25526" t="s">
        <v>115</v>
      </c>
      <c r="F25526">
        <v>-1319.36</v>
      </c>
      <c r="G25526">
        <v>230808</v>
      </c>
      <c r="H25526">
        <v>4600</v>
      </c>
      <c r="I25526" t="s">
        <v>105</v>
      </c>
      <c r="J25526">
        <v>-1636.01</v>
      </c>
      <c r="K25526">
        <v>-316.64999999999998</v>
      </c>
      <c r="L25526">
        <v>17809</v>
      </c>
      <c r="M25526" t="s">
        <v>376</v>
      </c>
      <c r="N25526" t="str">
        <f>"95451242    "</f>
        <v xml:space="preserve">95451242    </v>
      </c>
      <c r="O25526">
        <v>230817</v>
      </c>
    </row>
    <row r="25527" spans="1:15" x14ac:dyDescent="0.25">
      <c r="A25527" t="s">
        <v>16</v>
      </c>
      <c r="B25527" t="s">
        <v>3221</v>
      </c>
      <c r="C25527">
        <v>10557</v>
      </c>
      <c r="D25527" t="s">
        <v>114</v>
      </c>
      <c r="E25527" t="s">
        <v>115</v>
      </c>
      <c r="F25527">
        <v>56.31</v>
      </c>
      <c r="G25527">
        <v>230810</v>
      </c>
      <c r="H25527">
        <v>4600</v>
      </c>
      <c r="I25527" t="s">
        <v>105</v>
      </c>
      <c r="J25527">
        <v>69.83</v>
      </c>
      <c r="K25527">
        <v>13.52</v>
      </c>
      <c r="L25527">
        <v>17633</v>
      </c>
      <c r="M25527" t="s">
        <v>724</v>
      </c>
      <c r="N25527" t="str">
        <f>"121699053   "</f>
        <v xml:space="preserve">121699053   </v>
      </c>
      <c r="O25527">
        <v>230818</v>
      </c>
    </row>
    <row r="25528" spans="1:15" x14ac:dyDescent="0.25">
      <c r="A25528" t="s">
        <v>16</v>
      </c>
      <c r="B25528" t="s">
        <v>3221</v>
      </c>
      <c r="C25528">
        <v>10572</v>
      </c>
      <c r="D25528" t="s">
        <v>114</v>
      </c>
      <c r="E25528" t="s">
        <v>115</v>
      </c>
      <c r="F25528">
        <v>43.16</v>
      </c>
      <c r="G25528">
        <v>230815</v>
      </c>
      <c r="H25528">
        <v>4600</v>
      </c>
      <c r="I25528" t="s">
        <v>105</v>
      </c>
      <c r="J25528">
        <v>53.52</v>
      </c>
      <c r="K25528">
        <v>10.36</v>
      </c>
      <c r="L25528">
        <v>46557</v>
      </c>
      <c r="M25528" t="s">
        <v>221</v>
      </c>
      <c r="N25528" t="str">
        <f>"121715497   "</f>
        <v xml:space="preserve">121715497   </v>
      </c>
      <c r="O25528">
        <v>230818</v>
      </c>
    </row>
    <row r="25529" spans="1:15" x14ac:dyDescent="0.25">
      <c r="A25529" t="s">
        <v>16</v>
      </c>
      <c r="B25529" t="s">
        <v>3221</v>
      </c>
      <c r="C25529">
        <v>10608</v>
      </c>
      <c r="D25529" t="s">
        <v>114</v>
      </c>
      <c r="E25529" t="s">
        <v>115</v>
      </c>
      <c r="F25529">
        <v>183.4</v>
      </c>
      <c r="G25529">
        <v>230817</v>
      </c>
      <c r="H25529">
        <v>4600</v>
      </c>
      <c r="I25529" t="s">
        <v>105</v>
      </c>
      <c r="J25529">
        <v>227.42</v>
      </c>
      <c r="K25529">
        <v>44.02</v>
      </c>
      <c r="L25529">
        <v>17807</v>
      </c>
      <c r="M25529" t="s">
        <v>318</v>
      </c>
      <c r="N25529" t="str">
        <f>"121725498   "</f>
        <v xml:space="preserve">121725498   </v>
      </c>
      <c r="O25529">
        <v>230818</v>
      </c>
    </row>
    <row r="25530" spans="1:15" x14ac:dyDescent="0.25">
      <c r="A25530" t="s">
        <v>16</v>
      </c>
      <c r="B25530" t="s">
        <v>3221</v>
      </c>
      <c r="C25530">
        <v>10690</v>
      </c>
      <c r="D25530" t="s">
        <v>114</v>
      </c>
      <c r="E25530" t="s">
        <v>115</v>
      </c>
      <c r="F25530">
        <v>57.27</v>
      </c>
      <c r="G25530">
        <v>230815</v>
      </c>
      <c r="H25530">
        <v>4600</v>
      </c>
      <c r="I25530" t="s">
        <v>105</v>
      </c>
      <c r="J25530">
        <v>71.010000000000005</v>
      </c>
      <c r="K25530">
        <v>13.74</v>
      </c>
      <c r="L25530">
        <v>17807</v>
      </c>
      <c r="M25530" t="s">
        <v>318</v>
      </c>
      <c r="N25530" t="str">
        <f>"121719010   "</f>
        <v xml:space="preserve">121719010   </v>
      </c>
      <c r="O25530">
        <v>230822</v>
      </c>
    </row>
    <row r="25531" spans="1:15" x14ac:dyDescent="0.25">
      <c r="A25531" t="s">
        <v>16</v>
      </c>
      <c r="B25531" t="s">
        <v>3221</v>
      </c>
      <c r="C25531">
        <v>10742</v>
      </c>
      <c r="D25531" t="s">
        <v>114</v>
      </c>
      <c r="E25531" t="s">
        <v>115</v>
      </c>
      <c r="F25531">
        <v>437.2</v>
      </c>
      <c r="G25531">
        <v>230818</v>
      </c>
      <c r="H25531">
        <v>4600</v>
      </c>
      <c r="I25531" t="s">
        <v>105</v>
      </c>
      <c r="J25531">
        <v>542.13</v>
      </c>
      <c r="K25531">
        <v>104.93</v>
      </c>
      <c r="L25531">
        <v>67522</v>
      </c>
      <c r="M25531" t="s">
        <v>397</v>
      </c>
      <c r="N25531" t="str">
        <f>"121731672   "</f>
        <v xml:space="preserve">121731672   </v>
      </c>
      <c r="O25531">
        <v>230822</v>
      </c>
    </row>
    <row r="25532" spans="1:15" x14ac:dyDescent="0.25">
      <c r="A25532" t="s">
        <v>16</v>
      </c>
      <c r="B25532" t="s">
        <v>3221</v>
      </c>
      <c r="C25532">
        <v>10799</v>
      </c>
      <c r="D25532" t="s">
        <v>114</v>
      </c>
      <c r="E25532" t="s">
        <v>115</v>
      </c>
      <c r="F25532">
        <v>17.27</v>
      </c>
      <c r="G25532">
        <v>230808</v>
      </c>
      <c r="H25532">
        <v>4600</v>
      </c>
      <c r="I25532" t="s">
        <v>105</v>
      </c>
      <c r="J25532">
        <v>21.41</v>
      </c>
      <c r="K25532">
        <v>4.1399999999999997</v>
      </c>
      <c r="L25532">
        <v>17527</v>
      </c>
      <c r="M25532" t="s">
        <v>422</v>
      </c>
      <c r="N25532" t="str">
        <f>"121690993   "</f>
        <v xml:space="preserve">121690993   </v>
      </c>
      <c r="O25532">
        <v>230823</v>
      </c>
    </row>
    <row r="25533" spans="1:15" x14ac:dyDescent="0.25">
      <c r="A25533" t="s">
        <v>16</v>
      </c>
      <c r="B25533" t="s">
        <v>3221</v>
      </c>
      <c r="C25533">
        <v>10813</v>
      </c>
      <c r="D25533" t="s">
        <v>114</v>
      </c>
      <c r="E25533" t="s">
        <v>115</v>
      </c>
      <c r="F25533">
        <v>555.16</v>
      </c>
      <c r="G25533">
        <v>230818</v>
      </c>
      <c r="H25533">
        <v>4600</v>
      </c>
      <c r="I25533" t="s">
        <v>105</v>
      </c>
      <c r="J25533">
        <v>688.4</v>
      </c>
      <c r="K25533">
        <v>133.24</v>
      </c>
      <c r="L25533">
        <v>46556</v>
      </c>
      <c r="M25533" t="s">
        <v>125</v>
      </c>
      <c r="N25533" t="str">
        <f>"121732386   "</f>
        <v xml:space="preserve">121732386   </v>
      </c>
      <c r="O25533">
        <v>230823</v>
      </c>
    </row>
    <row r="25534" spans="1:15" x14ac:dyDescent="0.25">
      <c r="A25534" t="s">
        <v>16</v>
      </c>
      <c r="B25534" t="s">
        <v>3221</v>
      </c>
      <c r="C25534">
        <v>10839</v>
      </c>
      <c r="D25534" t="s">
        <v>114</v>
      </c>
      <c r="E25534" t="s">
        <v>115</v>
      </c>
      <c r="F25534">
        <v>242.59</v>
      </c>
      <c r="G25534">
        <v>230809</v>
      </c>
      <c r="H25534">
        <v>4600</v>
      </c>
      <c r="I25534" t="s">
        <v>105</v>
      </c>
      <c r="J25534">
        <v>300.81</v>
      </c>
      <c r="K25534">
        <v>58.22</v>
      </c>
      <c r="L25534">
        <v>17635</v>
      </c>
      <c r="M25534" t="s">
        <v>349</v>
      </c>
      <c r="N25534" t="str">
        <f>"121695896   "</f>
        <v xml:space="preserve">121695896   </v>
      </c>
      <c r="O25534">
        <v>230824</v>
      </c>
    </row>
    <row r="25535" spans="1:15" x14ac:dyDescent="0.25">
      <c r="A25535" t="s">
        <v>16</v>
      </c>
      <c r="B25535" t="s">
        <v>3221</v>
      </c>
      <c r="C25535">
        <v>10910</v>
      </c>
      <c r="D25535" t="s">
        <v>114</v>
      </c>
      <c r="E25535" t="s">
        <v>115</v>
      </c>
      <c r="F25535">
        <v>41.38</v>
      </c>
      <c r="G25535">
        <v>230822</v>
      </c>
      <c r="H25535">
        <v>4600</v>
      </c>
      <c r="I25535" t="s">
        <v>105</v>
      </c>
      <c r="J25535">
        <v>51.31</v>
      </c>
      <c r="K25535">
        <v>9.93</v>
      </c>
      <c r="L25535">
        <v>47522</v>
      </c>
      <c r="M25535" t="s">
        <v>410</v>
      </c>
      <c r="N25535" t="str">
        <f>"121742604   "</f>
        <v xml:space="preserve">121742604   </v>
      </c>
      <c r="O25535">
        <v>230825</v>
      </c>
    </row>
    <row r="25536" spans="1:15" x14ac:dyDescent="0.25">
      <c r="A25536" t="s">
        <v>16</v>
      </c>
      <c r="B25536" t="s">
        <v>3221</v>
      </c>
      <c r="C25536">
        <v>10925</v>
      </c>
      <c r="D25536" t="s">
        <v>114</v>
      </c>
      <c r="E25536" t="s">
        <v>115</v>
      </c>
      <c r="F25536">
        <v>242.03</v>
      </c>
      <c r="G25536">
        <v>230823</v>
      </c>
      <c r="H25536">
        <v>4600</v>
      </c>
      <c r="I25536" t="s">
        <v>105</v>
      </c>
      <c r="J25536">
        <v>300.12</v>
      </c>
      <c r="K25536">
        <v>58.09</v>
      </c>
      <c r="L25536">
        <v>17809</v>
      </c>
      <c r="M25536" t="s">
        <v>376</v>
      </c>
      <c r="N25536" t="str">
        <f>"121744356   "</f>
        <v xml:space="preserve">121744356   </v>
      </c>
      <c r="O25536">
        <v>230825</v>
      </c>
    </row>
    <row r="25537" spans="1:15" x14ac:dyDescent="0.25">
      <c r="A25537" t="s">
        <v>16</v>
      </c>
      <c r="B25537" t="s">
        <v>3221</v>
      </c>
      <c r="C25537">
        <v>11025</v>
      </c>
      <c r="D25537" t="s">
        <v>114</v>
      </c>
      <c r="E25537" t="s">
        <v>115</v>
      </c>
      <c r="F25537">
        <v>675.97</v>
      </c>
      <c r="G25537">
        <v>230815</v>
      </c>
      <c r="H25537">
        <v>4600</v>
      </c>
      <c r="I25537" t="s">
        <v>105</v>
      </c>
      <c r="J25537">
        <v>838.2</v>
      </c>
      <c r="K25537">
        <v>162.22999999999999</v>
      </c>
      <c r="L25537">
        <v>56558</v>
      </c>
      <c r="M25537" t="s">
        <v>217</v>
      </c>
      <c r="N25537" t="str">
        <f>"121716501   "</f>
        <v xml:space="preserve">121716501   </v>
      </c>
      <c r="O25537">
        <v>230828</v>
      </c>
    </row>
    <row r="25538" spans="1:15" x14ac:dyDescent="0.25">
      <c r="A25538" t="s">
        <v>16</v>
      </c>
      <c r="B25538" t="s">
        <v>3221</v>
      </c>
      <c r="C25538">
        <v>11037</v>
      </c>
      <c r="D25538" t="s">
        <v>114</v>
      </c>
      <c r="E25538" t="s">
        <v>115</v>
      </c>
      <c r="F25538">
        <v>55.8</v>
      </c>
      <c r="G25538">
        <v>230815</v>
      </c>
      <c r="H25538">
        <v>4600</v>
      </c>
      <c r="I25538" t="s">
        <v>105</v>
      </c>
      <c r="J25538">
        <v>69.19</v>
      </c>
      <c r="K25538">
        <v>13.39</v>
      </c>
      <c r="L25538">
        <v>17633</v>
      </c>
      <c r="M25538" t="s">
        <v>724</v>
      </c>
      <c r="N25538" t="str">
        <f>"121717839   "</f>
        <v xml:space="preserve">121717839   </v>
      </c>
      <c r="O25538">
        <v>230828</v>
      </c>
    </row>
    <row r="25539" spans="1:15" x14ac:dyDescent="0.25">
      <c r="A25539" t="s">
        <v>16</v>
      </c>
      <c r="B25539" t="s">
        <v>3221</v>
      </c>
      <c r="C25539">
        <v>11046</v>
      </c>
      <c r="D25539" t="s">
        <v>114</v>
      </c>
      <c r="E25539" t="s">
        <v>115</v>
      </c>
      <c r="F25539">
        <v>44.66</v>
      </c>
      <c r="G25539">
        <v>230818</v>
      </c>
      <c r="H25539">
        <v>4600</v>
      </c>
      <c r="I25539" t="s">
        <v>105</v>
      </c>
      <c r="J25539">
        <v>55.38</v>
      </c>
      <c r="K25539">
        <v>10.72</v>
      </c>
      <c r="L25539">
        <v>49501</v>
      </c>
      <c r="M25539" t="s">
        <v>177</v>
      </c>
      <c r="N25539" t="str">
        <f>"121732384   "</f>
        <v xml:space="preserve">121732384   </v>
      </c>
      <c r="O25539">
        <v>230829</v>
      </c>
    </row>
    <row r="25540" spans="1:15" x14ac:dyDescent="0.25">
      <c r="A25540" t="s">
        <v>16</v>
      </c>
      <c r="B25540" t="s">
        <v>3221</v>
      </c>
      <c r="C25540">
        <v>11055</v>
      </c>
      <c r="D25540" t="s">
        <v>114</v>
      </c>
      <c r="E25540" t="s">
        <v>115</v>
      </c>
      <c r="F25540">
        <v>737</v>
      </c>
      <c r="G25540">
        <v>230815</v>
      </c>
      <c r="H25540">
        <v>4600</v>
      </c>
      <c r="I25540" t="s">
        <v>105</v>
      </c>
      <c r="J25540">
        <v>913.88</v>
      </c>
      <c r="K25540">
        <v>176.88</v>
      </c>
      <c r="L25540">
        <v>44251</v>
      </c>
      <c r="M25540" t="s">
        <v>156</v>
      </c>
      <c r="N25540" t="str">
        <f>"121715498   "</f>
        <v xml:space="preserve">121715498   </v>
      </c>
      <c r="O25540">
        <v>230829</v>
      </c>
    </row>
    <row r="25541" spans="1:15" x14ac:dyDescent="0.25">
      <c r="A25541" t="s">
        <v>16</v>
      </c>
      <c r="B25541" t="s">
        <v>3221</v>
      </c>
      <c r="C25541">
        <v>11056</v>
      </c>
      <c r="D25541" t="s">
        <v>114</v>
      </c>
      <c r="E25541" t="s">
        <v>115</v>
      </c>
      <c r="F25541">
        <v>69</v>
      </c>
      <c r="G25541">
        <v>230821</v>
      </c>
      <c r="H25541">
        <v>4600</v>
      </c>
      <c r="I25541" t="s">
        <v>105</v>
      </c>
      <c r="J25541">
        <v>85.56</v>
      </c>
      <c r="K25541">
        <v>16.559999999999999</v>
      </c>
      <c r="L25541">
        <v>44222</v>
      </c>
      <c r="M25541" t="s">
        <v>232</v>
      </c>
      <c r="N25541" t="str">
        <f>"121737002   "</f>
        <v xml:space="preserve">121737002   </v>
      </c>
      <c r="O25541">
        <v>230829</v>
      </c>
    </row>
    <row r="25542" spans="1:15" x14ac:dyDescent="0.25">
      <c r="A25542" t="s">
        <v>16</v>
      </c>
      <c r="B25542" t="s">
        <v>3221</v>
      </c>
      <c r="C25542">
        <v>11098</v>
      </c>
      <c r="D25542" t="s">
        <v>114</v>
      </c>
      <c r="E25542" t="s">
        <v>115</v>
      </c>
      <c r="F25542">
        <v>15300.81</v>
      </c>
      <c r="G25542">
        <v>230823</v>
      </c>
      <c r="H25542">
        <v>4600</v>
      </c>
      <c r="I25542" t="s">
        <v>105</v>
      </c>
      <c r="J25542">
        <v>18973</v>
      </c>
      <c r="K25542">
        <v>3672.19</v>
      </c>
      <c r="L25542">
        <v>66756</v>
      </c>
      <c r="M25542" t="s">
        <v>209</v>
      </c>
      <c r="N25542" t="str">
        <f>"121746968   "</f>
        <v xml:space="preserve">121746968   </v>
      </c>
      <c r="O25542">
        <v>230830</v>
      </c>
    </row>
    <row r="25543" spans="1:15" x14ac:dyDescent="0.25">
      <c r="A25543" t="s">
        <v>16</v>
      </c>
      <c r="B25543" t="s">
        <v>3221</v>
      </c>
      <c r="C25543">
        <v>11218</v>
      </c>
      <c r="D25543" t="s">
        <v>114</v>
      </c>
      <c r="E25543" t="s">
        <v>115</v>
      </c>
      <c r="F25543">
        <v>101.05</v>
      </c>
      <c r="G25543">
        <v>230817</v>
      </c>
      <c r="H25543">
        <v>4600</v>
      </c>
      <c r="I25543" t="s">
        <v>105</v>
      </c>
      <c r="J25543">
        <v>125.3</v>
      </c>
      <c r="K25543">
        <v>24.25</v>
      </c>
      <c r="L25543">
        <v>17802</v>
      </c>
      <c r="M25543" t="s">
        <v>174</v>
      </c>
      <c r="N25543" t="str">
        <f>"121725499   "</f>
        <v xml:space="preserve">121725499   </v>
      </c>
      <c r="O25543">
        <v>230901</v>
      </c>
    </row>
    <row r="25544" spans="1:15" x14ac:dyDescent="0.25">
      <c r="A25544" t="s">
        <v>16</v>
      </c>
      <c r="B25544" t="s">
        <v>3221</v>
      </c>
      <c r="C25544">
        <v>11220</v>
      </c>
      <c r="D25544" t="s">
        <v>114</v>
      </c>
      <c r="E25544" t="s">
        <v>115</v>
      </c>
      <c r="F25544">
        <v>132.68</v>
      </c>
      <c r="G25544">
        <v>230823</v>
      </c>
      <c r="H25544">
        <v>4600</v>
      </c>
      <c r="I25544" t="s">
        <v>105</v>
      </c>
      <c r="J25544">
        <v>164.52</v>
      </c>
      <c r="K25544">
        <v>31.84</v>
      </c>
      <c r="L25544">
        <v>17802</v>
      </c>
      <c r="M25544" t="s">
        <v>174</v>
      </c>
      <c r="N25544" t="str">
        <f>"121744355   "</f>
        <v xml:space="preserve">121744355   </v>
      </c>
      <c r="O25544">
        <v>230901</v>
      </c>
    </row>
    <row r="25545" spans="1:15" x14ac:dyDescent="0.25">
      <c r="A25545" t="s">
        <v>16</v>
      </c>
      <c r="B25545" t="s">
        <v>3221</v>
      </c>
      <c r="C25545">
        <v>11224</v>
      </c>
      <c r="D25545" t="s">
        <v>114</v>
      </c>
      <c r="E25545" t="s">
        <v>115</v>
      </c>
      <c r="F25545">
        <v>641.35</v>
      </c>
      <c r="G25545">
        <v>230829</v>
      </c>
      <c r="H25545">
        <v>4600</v>
      </c>
      <c r="I25545" t="s">
        <v>105</v>
      </c>
      <c r="J25545">
        <v>795.28</v>
      </c>
      <c r="K25545">
        <v>153.93</v>
      </c>
      <c r="L25545">
        <v>66756</v>
      </c>
      <c r="M25545" t="s">
        <v>209</v>
      </c>
      <c r="N25545" t="str">
        <f>"121765272   "</f>
        <v xml:space="preserve">121765272   </v>
      </c>
      <c r="O25545">
        <v>230901</v>
      </c>
    </row>
    <row r="25546" spans="1:15" x14ac:dyDescent="0.25">
      <c r="A25546" t="s">
        <v>16</v>
      </c>
      <c r="B25546" t="s">
        <v>3221</v>
      </c>
      <c r="C25546">
        <v>11229</v>
      </c>
      <c r="D25546" t="s">
        <v>114</v>
      </c>
      <c r="E25546" t="s">
        <v>115</v>
      </c>
      <c r="F25546">
        <v>13.14</v>
      </c>
      <c r="G25546">
        <v>230829</v>
      </c>
      <c r="H25546">
        <v>4600</v>
      </c>
      <c r="I25546" t="s">
        <v>105</v>
      </c>
      <c r="J25546">
        <v>16.29</v>
      </c>
      <c r="K25546">
        <v>3.15</v>
      </c>
      <c r="L25546">
        <v>67522</v>
      </c>
      <c r="M25546" t="s">
        <v>397</v>
      </c>
      <c r="N25546" t="str">
        <f>"121765273   "</f>
        <v xml:space="preserve">121765273   </v>
      </c>
      <c r="O25546">
        <v>230901</v>
      </c>
    </row>
    <row r="25547" spans="1:15" x14ac:dyDescent="0.25">
      <c r="A25547" t="s">
        <v>16</v>
      </c>
      <c r="B25547" t="s">
        <v>3221</v>
      </c>
      <c r="C25547">
        <v>11268</v>
      </c>
      <c r="D25547" t="s">
        <v>114</v>
      </c>
      <c r="E25547" t="s">
        <v>115</v>
      </c>
      <c r="F25547">
        <v>105.19</v>
      </c>
      <c r="G25547">
        <v>230823</v>
      </c>
      <c r="H25547">
        <v>4600</v>
      </c>
      <c r="I25547" t="s">
        <v>105</v>
      </c>
      <c r="J25547">
        <v>130.44</v>
      </c>
      <c r="K25547">
        <v>25.25</v>
      </c>
      <c r="L25547">
        <v>17638</v>
      </c>
      <c r="M25547" t="s">
        <v>765</v>
      </c>
      <c r="N25547" t="str">
        <f>"121747240   "</f>
        <v xml:space="preserve">121747240   </v>
      </c>
      <c r="O25547">
        <v>230904</v>
      </c>
    </row>
    <row r="25548" spans="1:15" x14ac:dyDescent="0.25">
      <c r="A25548" t="s">
        <v>16</v>
      </c>
      <c r="B25548" t="s">
        <v>3221</v>
      </c>
      <c r="C25548">
        <v>11269</v>
      </c>
      <c r="D25548" t="s">
        <v>114</v>
      </c>
      <c r="E25548" t="s">
        <v>115</v>
      </c>
      <c r="F25548">
        <v>203.65</v>
      </c>
      <c r="G25548">
        <v>230824</v>
      </c>
      <c r="H25548">
        <v>4600</v>
      </c>
      <c r="I25548" t="s">
        <v>105</v>
      </c>
      <c r="J25548">
        <v>252.52</v>
      </c>
      <c r="K25548">
        <v>48.87</v>
      </c>
      <c r="L25548">
        <v>17529</v>
      </c>
      <c r="M25548" t="s">
        <v>453</v>
      </c>
      <c r="N25548" t="str">
        <f>"121750037   "</f>
        <v xml:space="preserve">121750037   </v>
      </c>
      <c r="O25548">
        <v>230904</v>
      </c>
    </row>
    <row r="25549" spans="1:15" x14ac:dyDescent="0.25">
      <c r="A25549" t="s">
        <v>16</v>
      </c>
      <c r="B25549" t="s">
        <v>3221</v>
      </c>
      <c r="C25549">
        <v>11269</v>
      </c>
      <c r="D25549" t="s">
        <v>114</v>
      </c>
      <c r="E25549" t="s">
        <v>115</v>
      </c>
      <c r="F25549">
        <v>85</v>
      </c>
      <c r="G25549">
        <v>230824</v>
      </c>
      <c r="H25549">
        <v>4600</v>
      </c>
      <c r="I25549" t="s">
        <v>105</v>
      </c>
      <c r="J25549">
        <v>105.4</v>
      </c>
      <c r="K25549">
        <v>20.399999999999999</v>
      </c>
      <c r="L25549">
        <v>17537</v>
      </c>
      <c r="M25549" t="s">
        <v>455</v>
      </c>
      <c r="N25549" t="str">
        <f>"121750037   "</f>
        <v xml:space="preserve">121750037   </v>
      </c>
      <c r="O25549">
        <v>230904</v>
      </c>
    </row>
    <row r="25550" spans="1:15" x14ac:dyDescent="0.25">
      <c r="A25550" t="s">
        <v>16</v>
      </c>
      <c r="B25550" t="s">
        <v>3221</v>
      </c>
      <c r="C25550">
        <v>11347</v>
      </c>
      <c r="D25550" t="s">
        <v>114</v>
      </c>
      <c r="E25550" t="s">
        <v>115</v>
      </c>
      <c r="F25550">
        <v>294.79000000000002</v>
      </c>
      <c r="G25550">
        <v>230831</v>
      </c>
      <c r="H25550">
        <v>4600</v>
      </c>
      <c r="I25550" t="s">
        <v>105</v>
      </c>
      <c r="J25550">
        <v>365.54</v>
      </c>
      <c r="K25550">
        <v>70.75</v>
      </c>
      <c r="L25550">
        <v>56568</v>
      </c>
      <c r="M25550" t="s">
        <v>268</v>
      </c>
      <c r="N25550" t="str">
        <f>"121776906   "</f>
        <v xml:space="preserve">121776906   </v>
      </c>
      <c r="O25550">
        <v>230904</v>
      </c>
    </row>
    <row r="25551" spans="1:15" x14ac:dyDescent="0.25">
      <c r="A25551" t="s">
        <v>16</v>
      </c>
      <c r="B25551" t="s">
        <v>3221</v>
      </c>
      <c r="C25551">
        <v>11385</v>
      </c>
      <c r="D25551" t="s">
        <v>114</v>
      </c>
      <c r="E25551" t="s">
        <v>115</v>
      </c>
      <c r="F25551">
        <v>7277.73</v>
      </c>
      <c r="G25551">
        <v>230825</v>
      </c>
      <c r="H25551">
        <v>4600</v>
      </c>
      <c r="I25551" t="s">
        <v>105</v>
      </c>
      <c r="J25551">
        <v>9024.39</v>
      </c>
      <c r="K25551">
        <v>1746.66</v>
      </c>
      <c r="L25551">
        <v>17807</v>
      </c>
      <c r="M25551" t="s">
        <v>318</v>
      </c>
      <c r="N25551" t="str">
        <f>"121759554   "</f>
        <v xml:space="preserve">121759554   </v>
      </c>
      <c r="O25551">
        <v>230905</v>
      </c>
    </row>
    <row r="25552" spans="1:15" x14ac:dyDescent="0.25">
      <c r="A25552" t="s">
        <v>16</v>
      </c>
      <c r="B25552" t="s">
        <v>3221</v>
      </c>
      <c r="C25552">
        <v>11391</v>
      </c>
      <c r="D25552" t="s">
        <v>114</v>
      </c>
      <c r="E25552" t="s">
        <v>115</v>
      </c>
      <c r="F25552">
        <v>81</v>
      </c>
      <c r="G25552">
        <v>230831</v>
      </c>
      <c r="H25552">
        <v>4600</v>
      </c>
      <c r="I25552" t="s">
        <v>105</v>
      </c>
      <c r="J25552">
        <v>100.44</v>
      </c>
      <c r="K25552">
        <v>19.440000000000001</v>
      </c>
      <c r="L25552">
        <v>46554</v>
      </c>
      <c r="M25552" t="s">
        <v>117</v>
      </c>
      <c r="N25552" t="str">
        <f>"121798225   "</f>
        <v xml:space="preserve">121798225   </v>
      </c>
      <c r="O25552">
        <v>230905</v>
      </c>
    </row>
    <row r="25553" spans="1:15" x14ac:dyDescent="0.25">
      <c r="A25553" t="s">
        <v>16</v>
      </c>
      <c r="B25553" t="s">
        <v>3221</v>
      </c>
      <c r="C25553">
        <v>11458</v>
      </c>
      <c r="D25553" t="s">
        <v>114</v>
      </c>
      <c r="E25553" t="s">
        <v>115</v>
      </c>
      <c r="F25553">
        <v>85.7</v>
      </c>
      <c r="G25553">
        <v>230901</v>
      </c>
      <c r="H25553">
        <v>4600</v>
      </c>
      <c r="I25553" t="s">
        <v>105</v>
      </c>
      <c r="J25553">
        <v>106.27</v>
      </c>
      <c r="K25553">
        <v>20.57</v>
      </c>
      <c r="L25553">
        <v>17711</v>
      </c>
      <c r="M25553" t="s">
        <v>65</v>
      </c>
      <c r="N25553" t="str">
        <f>"121803529   "</f>
        <v xml:space="preserve">121803529   </v>
      </c>
      <c r="O25553">
        <v>230905</v>
      </c>
    </row>
    <row r="25554" spans="1:15" x14ac:dyDescent="0.25">
      <c r="A25554" t="s">
        <v>16</v>
      </c>
      <c r="B25554" t="s">
        <v>3221</v>
      </c>
      <c r="C25554">
        <v>11487</v>
      </c>
      <c r="D25554" t="s">
        <v>114</v>
      </c>
      <c r="E25554" t="s">
        <v>115</v>
      </c>
      <c r="F25554">
        <v>11607.69</v>
      </c>
      <c r="G25554">
        <v>230831</v>
      </c>
      <c r="H25554">
        <v>4600</v>
      </c>
      <c r="I25554" t="s">
        <v>105</v>
      </c>
      <c r="J25554">
        <v>14393.53</v>
      </c>
      <c r="K25554">
        <v>2785.84</v>
      </c>
      <c r="L25554">
        <v>17809</v>
      </c>
      <c r="M25554" t="s">
        <v>376</v>
      </c>
      <c r="N25554" t="str">
        <f>"121789689   "</f>
        <v xml:space="preserve">121789689   </v>
      </c>
      <c r="O25554">
        <v>230906</v>
      </c>
    </row>
    <row r="25555" spans="1:15" x14ac:dyDescent="0.25">
      <c r="A25555" t="s">
        <v>16</v>
      </c>
      <c r="B25555" t="s">
        <v>3221</v>
      </c>
      <c r="C25555">
        <v>11563</v>
      </c>
      <c r="D25555" t="s">
        <v>114</v>
      </c>
      <c r="E25555" t="s">
        <v>115</v>
      </c>
      <c r="F25555">
        <v>387.15</v>
      </c>
      <c r="G25555">
        <v>230831</v>
      </c>
      <c r="H25555">
        <v>4600</v>
      </c>
      <c r="I25555" t="s">
        <v>105</v>
      </c>
      <c r="J25555">
        <v>480.06</v>
      </c>
      <c r="K25555">
        <v>92.91</v>
      </c>
      <c r="L25555">
        <v>56558</v>
      </c>
      <c r="M25555" t="s">
        <v>217</v>
      </c>
      <c r="N25555" t="str">
        <f>"121776899   "</f>
        <v xml:space="preserve">121776899   </v>
      </c>
      <c r="O25555">
        <v>230907</v>
      </c>
    </row>
    <row r="25556" spans="1:15" x14ac:dyDescent="0.25">
      <c r="A25556" t="s">
        <v>16</v>
      </c>
      <c r="B25556" t="s">
        <v>3221</v>
      </c>
      <c r="C25556">
        <v>11748</v>
      </c>
      <c r="D25556" t="s">
        <v>114</v>
      </c>
      <c r="E25556" t="s">
        <v>115</v>
      </c>
      <c r="F25556">
        <v>90.7</v>
      </c>
      <c r="G25556">
        <v>230905</v>
      </c>
      <c r="H25556">
        <v>4600</v>
      </c>
      <c r="I25556" t="s">
        <v>105</v>
      </c>
      <c r="J25556">
        <v>112.47</v>
      </c>
      <c r="K25556">
        <v>21.77</v>
      </c>
      <c r="L25556">
        <v>47522</v>
      </c>
      <c r="M25556" t="s">
        <v>410</v>
      </c>
      <c r="N25556" t="str">
        <f>"121808174   "</f>
        <v xml:space="preserve">121808174   </v>
      </c>
      <c r="O25556">
        <v>230908</v>
      </c>
    </row>
    <row r="25557" spans="1:15" x14ac:dyDescent="0.25">
      <c r="A25557" t="s">
        <v>16</v>
      </c>
      <c r="B25557" t="s">
        <v>3221</v>
      </c>
      <c r="C25557">
        <v>11985</v>
      </c>
      <c r="D25557" t="s">
        <v>114</v>
      </c>
      <c r="E25557" t="s">
        <v>115</v>
      </c>
      <c r="F25557">
        <v>339.85</v>
      </c>
      <c r="G25557">
        <v>230831</v>
      </c>
      <c r="H25557">
        <v>4600</v>
      </c>
      <c r="I25557" t="s">
        <v>105</v>
      </c>
      <c r="J25557">
        <v>421.42</v>
      </c>
      <c r="K25557">
        <v>81.569999999999993</v>
      </c>
      <c r="L25557">
        <v>17802</v>
      </c>
      <c r="M25557" t="s">
        <v>174</v>
      </c>
      <c r="N25557" t="str">
        <f>"121789688   "</f>
        <v xml:space="preserve">121789688   </v>
      </c>
      <c r="O25557">
        <v>230912</v>
      </c>
    </row>
    <row r="25558" spans="1:15" x14ac:dyDescent="0.25">
      <c r="A25558" t="s">
        <v>16</v>
      </c>
      <c r="B25558" t="s">
        <v>3221</v>
      </c>
      <c r="C25558">
        <v>12028</v>
      </c>
      <c r="D25558" t="s">
        <v>114</v>
      </c>
      <c r="E25558" t="s">
        <v>115</v>
      </c>
      <c r="F25558">
        <v>34.6</v>
      </c>
      <c r="G25558">
        <v>230907</v>
      </c>
      <c r="H25558">
        <v>4600</v>
      </c>
      <c r="I25558" t="s">
        <v>105</v>
      </c>
      <c r="J25558">
        <v>42.9</v>
      </c>
      <c r="K25558">
        <v>8.3000000000000007</v>
      </c>
      <c r="L25558">
        <v>46557</v>
      </c>
      <c r="M25558" t="s">
        <v>221</v>
      </c>
      <c r="N25558" t="str">
        <f>"121818123   "</f>
        <v xml:space="preserve">121818123   </v>
      </c>
      <c r="O25558">
        <v>230912</v>
      </c>
    </row>
    <row r="25559" spans="1:15" x14ac:dyDescent="0.25">
      <c r="A25559" t="s">
        <v>16</v>
      </c>
      <c r="B25559" t="s">
        <v>3221</v>
      </c>
      <c r="C25559">
        <v>12182</v>
      </c>
      <c r="D25559" t="s">
        <v>114</v>
      </c>
      <c r="E25559" t="s">
        <v>115</v>
      </c>
      <c r="F25559">
        <v>90.73</v>
      </c>
      <c r="G25559">
        <v>230906</v>
      </c>
      <c r="H25559">
        <v>4600</v>
      </c>
      <c r="I25559" t="s">
        <v>105</v>
      </c>
      <c r="J25559">
        <v>112.5</v>
      </c>
      <c r="K25559">
        <v>21.77</v>
      </c>
      <c r="L25559">
        <v>17802</v>
      </c>
      <c r="M25559" t="s">
        <v>174</v>
      </c>
      <c r="N25559" t="str">
        <f>"121812533   "</f>
        <v xml:space="preserve">121812533   </v>
      </c>
      <c r="O25559">
        <v>230915</v>
      </c>
    </row>
    <row r="25560" spans="1:15" x14ac:dyDescent="0.25">
      <c r="A25560" t="s">
        <v>16</v>
      </c>
      <c r="B25560" t="s">
        <v>3221</v>
      </c>
      <c r="C25560">
        <v>12186</v>
      </c>
      <c r="D25560" t="s">
        <v>114</v>
      </c>
      <c r="E25560" t="s">
        <v>115</v>
      </c>
      <c r="F25560">
        <v>19.28</v>
      </c>
      <c r="G25560">
        <v>230911</v>
      </c>
      <c r="H25560">
        <v>4600</v>
      </c>
      <c r="I25560" t="s">
        <v>105</v>
      </c>
      <c r="J25560">
        <v>23.91</v>
      </c>
      <c r="K25560">
        <v>4.63</v>
      </c>
      <c r="L25560">
        <v>47522</v>
      </c>
      <c r="M25560" t="s">
        <v>410</v>
      </c>
      <c r="N25560" t="str">
        <f>"121827850   "</f>
        <v xml:space="preserve">121827850   </v>
      </c>
      <c r="O25560">
        <v>230915</v>
      </c>
    </row>
    <row r="25561" spans="1:15" x14ac:dyDescent="0.25">
      <c r="A25561" t="s">
        <v>16</v>
      </c>
      <c r="B25561" t="s">
        <v>3221</v>
      </c>
      <c r="C25561">
        <v>12188</v>
      </c>
      <c r="D25561" t="s">
        <v>114</v>
      </c>
      <c r="E25561" t="s">
        <v>115</v>
      </c>
      <c r="F25561">
        <v>97.78</v>
      </c>
      <c r="G25561">
        <v>230912</v>
      </c>
      <c r="H25561">
        <v>4600</v>
      </c>
      <c r="I25561" t="s">
        <v>105</v>
      </c>
      <c r="J25561">
        <v>121.25</v>
      </c>
      <c r="K25561">
        <v>23.47</v>
      </c>
      <c r="L25561">
        <v>47522</v>
      </c>
      <c r="M25561" t="s">
        <v>410</v>
      </c>
      <c r="N25561" t="str">
        <f>"121834558   "</f>
        <v xml:space="preserve">121834558   </v>
      </c>
      <c r="O25561">
        <v>230915</v>
      </c>
    </row>
    <row r="25562" spans="1:15" x14ac:dyDescent="0.25">
      <c r="A25562" t="s">
        <v>16</v>
      </c>
      <c r="B25562" t="s">
        <v>3221</v>
      </c>
      <c r="C25562">
        <v>12374</v>
      </c>
      <c r="D25562" t="s">
        <v>114</v>
      </c>
      <c r="E25562" t="s">
        <v>115</v>
      </c>
      <c r="F25562">
        <v>5458.42</v>
      </c>
      <c r="G25562">
        <v>230831</v>
      </c>
      <c r="H25562">
        <v>4600</v>
      </c>
      <c r="I25562" t="s">
        <v>105</v>
      </c>
      <c r="J25562">
        <v>6768.44</v>
      </c>
      <c r="K25562">
        <v>1310.02</v>
      </c>
      <c r="L25562">
        <v>56560</v>
      </c>
      <c r="M25562" t="s">
        <v>654</v>
      </c>
      <c r="N25562" t="str">
        <f>"121776907   "</f>
        <v xml:space="preserve">121776907   </v>
      </c>
      <c r="O25562">
        <v>230919</v>
      </c>
    </row>
    <row r="25563" spans="1:15" x14ac:dyDescent="0.25">
      <c r="A25563" t="s">
        <v>16</v>
      </c>
      <c r="B25563" t="s">
        <v>3221</v>
      </c>
      <c r="C25563">
        <v>12486</v>
      </c>
      <c r="D25563" t="s">
        <v>114</v>
      </c>
      <c r="E25563" t="s">
        <v>115</v>
      </c>
      <c r="F25563">
        <v>122</v>
      </c>
      <c r="G25563">
        <v>230905</v>
      </c>
      <c r="H25563">
        <v>4600</v>
      </c>
      <c r="I25563" t="s">
        <v>105</v>
      </c>
      <c r="J25563">
        <v>151.28</v>
      </c>
      <c r="K25563">
        <v>29.28</v>
      </c>
      <c r="L25563">
        <v>17527</v>
      </c>
      <c r="M25563" t="s">
        <v>422</v>
      </c>
      <c r="N25563" t="str">
        <f>"121810262   "</f>
        <v xml:space="preserve">121810262   </v>
      </c>
      <c r="O25563">
        <v>230920</v>
      </c>
    </row>
    <row r="25564" spans="1:15" x14ac:dyDescent="0.25">
      <c r="A25564" t="s">
        <v>16</v>
      </c>
      <c r="B25564" t="s">
        <v>3221</v>
      </c>
      <c r="C25564">
        <v>12530</v>
      </c>
      <c r="D25564" t="s">
        <v>114</v>
      </c>
      <c r="E25564" t="s">
        <v>115</v>
      </c>
      <c r="F25564">
        <v>63.83</v>
      </c>
      <c r="G25564">
        <v>230914</v>
      </c>
      <c r="H25564">
        <v>4600</v>
      </c>
      <c r="I25564" t="s">
        <v>105</v>
      </c>
      <c r="J25564">
        <v>79.150000000000006</v>
      </c>
      <c r="K25564">
        <v>15.32</v>
      </c>
      <c r="L25564">
        <v>17802</v>
      </c>
      <c r="M25564" t="s">
        <v>174</v>
      </c>
      <c r="N25564" t="str">
        <f>"121842985   "</f>
        <v xml:space="preserve">121842985   </v>
      </c>
      <c r="O25564">
        <v>230920</v>
      </c>
    </row>
    <row r="25565" spans="1:15" x14ac:dyDescent="0.25">
      <c r="A25565" t="s">
        <v>16</v>
      </c>
      <c r="B25565" t="s">
        <v>3221</v>
      </c>
      <c r="C25565">
        <v>12533</v>
      </c>
      <c r="D25565" t="s">
        <v>114</v>
      </c>
      <c r="E25565" t="s">
        <v>115</v>
      </c>
      <c r="F25565">
        <v>420.81</v>
      </c>
      <c r="G25565">
        <v>230915</v>
      </c>
      <c r="H25565">
        <v>4600</v>
      </c>
      <c r="I25565" t="s">
        <v>105</v>
      </c>
      <c r="J25565">
        <v>521.80999999999995</v>
      </c>
      <c r="K25565">
        <v>101</v>
      </c>
      <c r="L25565">
        <v>56568</v>
      </c>
      <c r="M25565" t="s">
        <v>268</v>
      </c>
      <c r="N25565" t="str">
        <f>"121849475   "</f>
        <v xml:space="preserve">121849475   </v>
      </c>
      <c r="O25565">
        <v>230920</v>
      </c>
    </row>
    <row r="25566" spans="1:15" x14ac:dyDescent="0.25">
      <c r="A25566" t="s">
        <v>16</v>
      </c>
      <c r="B25566" t="s">
        <v>3221</v>
      </c>
      <c r="C25566">
        <v>12535</v>
      </c>
      <c r="D25566" t="s">
        <v>114</v>
      </c>
      <c r="E25566" t="s">
        <v>115</v>
      </c>
      <c r="F25566">
        <v>245.15</v>
      </c>
      <c r="G25566">
        <v>230915</v>
      </c>
      <c r="H25566">
        <v>4600</v>
      </c>
      <c r="I25566" t="s">
        <v>105</v>
      </c>
      <c r="J25566">
        <v>303.98</v>
      </c>
      <c r="K25566">
        <v>58.83</v>
      </c>
      <c r="L25566">
        <v>56565</v>
      </c>
      <c r="M25566" t="s">
        <v>758</v>
      </c>
      <c r="N25566" t="str">
        <f>"121849471   "</f>
        <v xml:space="preserve">121849471   </v>
      </c>
      <c r="O25566">
        <v>230920</v>
      </c>
    </row>
    <row r="25567" spans="1:15" x14ac:dyDescent="0.25">
      <c r="A25567" t="s">
        <v>16</v>
      </c>
      <c r="B25567" t="s">
        <v>3221</v>
      </c>
      <c r="C25567">
        <v>12563</v>
      </c>
      <c r="D25567" t="s">
        <v>114</v>
      </c>
      <c r="E25567" t="s">
        <v>115</v>
      </c>
      <c r="F25567">
        <v>194.56</v>
      </c>
      <c r="G25567">
        <v>230914</v>
      </c>
      <c r="H25567">
        <v>4600</v>
      </c>
      <c r="I25567" t="s">
        <v>105</v>
      </c>
      <c r="J25567">
        <v>241.26</v>
      </c>
      <c r="K25567">
        <v>46.7</v>
      </c>
      <c r="L25567">
        <v>46557</v>
      </c>
      <c r="M25567" t="s">
        <v>221</v>
      </c>
      <c r="N25567" t="str">
        <f>"121840946   "</f>
        <v xml:space="preserve">121840946   </v>
      </c>
      <c r="O25567">
        <v>230921</v>
      </c>
    </row>
    <row r="25568" spans="1:15" x14ac:dyDescent="0.25">
      <c r="A25568" t="s">
        <v>16</v>
      </c>
      <c r="B25568" t="s">
        <v>3221</v>
      </c>
      <c r="C25568">
        <v>12567</v>
      </c>
      <c r="D25568" t="s">
        <v>114</v>
      </c>
      <c r="E25568" t="s">
        <v>115</v>
      </c>
      <c r="F25568">
        <v>2989.9</v>
      </c>
      <c r="G25568">
        <v>230830</v>
      </c>
      <c r="H25568">
        <v>4600</v>
      </c>
      <c r="I25568" t="s">
        <v>105</v>
      </c>
      <c r="J25568">
        <v>3707.48</v>
      </c>
      <c r="K25568">
        <v>717.58</v>
      </c>
      <c r="L25568">
        <v>46554</v>
      </c>
      <c r="M25568" t="s">
        <v>117</v>
      </c>
      <c r="N25568" t="str">
        <f>"121769690   "</f>
        <v xml:space="preserve">121769690   </v>
      </c>
      <c r="O25568">
        <v>230921</v>
      </c>
    </row>
    <row r="25569" spans="1:15" x14ac:dyDescent="0.25">
      <c r="A25569" t="s">
        <v>16</v>
      </c>
      <c r="B25569" t="s">
        <v>3221</v>
      </c>
      <c r="C25569">
        <v>12671</v>
      </c>
      <c r="D25569" t="s">
        <v>114</v>
      </c>
      <c r="E25569" t="s">
        <v>115</v>
      </c>
      <c r="F25569">
        <v>1162.23</v>
      </c>
      <c r="G25569">
        <v>230915</v>
      </c>
      <c r="H25569">
        <v>4600</v>
      </c>
      <c r="I25569" t="s">
        <v>105</v>
      </c>
      <c r="J25569">
        <v>1441.16</v>
      </c>
      <c r="K25569">
        <v>278.93</v>
      </c>
      <c r="L25569">
        <v>56564</v>
      </c>
      <c r="M25569" t="s">
        <v>327</v>
      </c>
      <c r="N25569" t="str">
        <f>"121849476   "</f>
        <v xml:space="preserve">121849476   </v>
      </c>
      <c r="O25569">
        <v>230922</v>
      </c>
    </row>
    <row r="25570" spans="1:15" x14ac:dyDescent="0.25">
      <c r="A25570" t="s">
        <v>16</v>
      </c>
      <c r="B25570" t="s">
        <v>3221</v>
      </c>
      <c r="C25570">
        <v>12694</v>
      </c>
      <c r="D25570" t="s">
        <v>114</v>
      </c>
      <c r="E25570" t="s">
        <v>115</v>
      </c>
      <c r="F25570">
        <v>64.760000000000005</v>
      </c>
      <c r="G25570">
        <v>230908</v>
      </c>
      <c r="H25570">
        <v>4600</v>
      </c>
      <c r="I25570" t="s">
        <v>105</v>
      </c>
      <c r="J25570">
        <v>80.3</v>
      </c>
      <c r="K25570">
        <v>15.54</v>
      </c>
      <c r="L25570">
        <v>17524</v>
      </c>
      <c r="M25570" t="s">
        <v>452</v>
      </c>
      <c r="N25570" t="str">
        <f>"121825410   "</f>
        <v xml:space="preserve">121825410   </v>
      </c>
      <c r="O25570">
        <v>230925</v>
      </c>
    </row>
    <row r="25571" spans="1:15" x14ac:dyDescent="0.25">
      <c r="A25571" t="s">
        <v>16</v>
      </c>
      <c r="B25571" t="s">
        <v>3221</v>
      </c>
      <c r="C25571">
        <v>12700</v>
      </c>
      <c r="D25571" t="s">
        <v>114</v>
      </c>
      <c r="E25571" t="s">
        <v>115</v>
      </c>
      <c r="F25571">
        <v>6.34</v>
      </c>
      <c r="G25571">
        <v>230920</v>
      </c>
      <c r="H25571">
        <v>4600</v>
      </c>
      <c r="I25571" t="s">
        <v>105</v>
      </c>
      <c r="J25571">
        <v>7.86</v>
      </c>
      <c r="K25571">
        <v>1.52</v>
      </c>
      <c r="L25571">
        <v>47522</v>
      </c>
      <c r="M25571" t="s">
        <v>410</v>
      </c>
      <c r="N25571" t="str">
        <f>"121869239   "</f>
        <v xml:space="preserve">121869239   </v>
      </c>
      <c r="O25571">
        <v>230925</v>
      </c>
    </row>
    <row r="25572" spans="1:15" x14ac:dyDescent="0.25">
      <c r="A25572" t="s">
        <v>16</v>
      </c>
      <c r="B25572" t="s">
        <v>3221</v>
      </c>
      <c r="C25572">
        <v>12820</v>
      </c>
      <c r="D25572" t="s">
        <v>114</v>
      </c>
      <c r="E25572" t="s">
        <v>115</v>
      </c>
      <c r="F25572">
        <v>33.54</v>
      </c>
      <c r="G25572">
        <v>230915</v>
      </c>
      <c r="H25572">
        <v>4600</v>
      </c>
      <c r="I25572" t="s">
        <v>105</v>
      </c>
      <c r="J25572">
        <v>41.59</v>
      </c>
      <c r="K25572">
        <v>8.0500000000000007</v>
      </c>
      <c r="L25572">
        <v>56558</v>
      </c>
      <c r="M25572" t="s">
        <v>217</v>
      </c>
      <c r="N25572" t="str">
        <f>"121849473   "</f>
        <v xml:space="preserve">121849473   </v>
      </c>
      <c r="O25572">
        <v>230926</v>
      </c>
    </row>
    <row r="25573" spans="1:15" x14ac:dyDescent="0.25">
      <c r="A25573" t="s">
        <v>16</v>
      </c>
      <c r="B25573" t="s">
        <v>3221</v>
      </c>
      <c r="C25573">
        <v>12859</v>
      </c>
      <c r="D25573" t="s">
        <v>114</v>
      </c>
      <c r="E25573" t="s">
        <v>115</v>
      </c>
      <c r="F25573">
        <v>12.45</v>
      </c>
      <c r="G25573">
        <v>230920</v>
      </c>
      <c r="H25573">
        <v>4600</v>
      </c>
      <c r="I25573" t="s">
        <v>105</v>
      </c>
      <c r="J25573">
        <v>15.44</v>
      </c>
      <c r="K25573">
        <v>2.99</v>
      </c>
      <c r="L25573">
        <v>17807</v>
      </c>
      <c r="M25573" t="s">
        <v>318</v>
      </c>
      <c r="N25573" t="str">
        <f>"121868937   "</f>
        <v xml:space="preserve">121868937   </v>
      </c>
      <c r="O25573">
        <v>230928</v>
      </c>
    </row>
    <row r="25574" spans="1:15" x14ac:dyDescent="0.25">
      <c r="A25574" t="s">
        <v>16</v>
      </c>
      <c r="B25574" t="s">
        <v>3221</v>
      </c>
      <c r="C25574">
        <v>13085</v>
      </c>
      <c r="D25574" t="s">
        <v>114</v>
      </c>
      <c r="E25574" t="s">
        <v>115</v>
      </c>
      <c r="F25574">
        <v>44.4</v>
      </c>
      <c r="G25574">
        <v>230913</v>
      </c>
      <c r="H25574">
        <v>4600</v>
      </c>
      <c r="I25574" t="s">
        <v>105</v>
      </c>
      <c r="J25574">
        <v>55.06</v>
      </c>
      <c r="K25574">
        <v>10.66</v>
      </c>
      <c r="L25574">
        <v>17802</v>
      </c>
      <c r="M25574" t="s">
        <v>174</v>
      </c>
      <c r="N25574" t="str">
        <f>"121836436   "</f>
        <v xml:space="preserve">121836436   </v>
      </c>
      <c r="O25574">
        <v>231003</v>
      </c>
    </row>
    <row r="25575" spans="1:15" x14ac:dyDescent="0.25">
      <c r="A25575" t="s">
        <v>16</v>
      </c>
      <c r="B25575" t="s">
        <v>3221</v>
      </c>
      <c r="C25575">
        <v>13116</v>
      </c>
      <c r="D25575" t="s">
        <v>114</v>
      </c>
      <c r="E25575" t="s">
        <v>115</v>
      </c>
      <c r="F25575">
        <v>35.22</v>
      </c>
      <c r="G25575">
        <v>230920</v>
      </c>
      <c r="H25575">
        <v>4600</v>
      </c>
      <c r="I25575" t="s">
        <v>105</v>
      </c>
      <c r="J25575">
        <v>43.67</v>
      </c>
      <c r="K25575">
        <v>8.4499999999999993</v>
      </c>
      <c r="L25575">
        <v>17529</v>
      </c>
      <c r="M25575" t="s">
        <v>453</v>
      </c>
      <c r="N25575" t="str">
        <f>"121868076   "</f>
        <v xml:space="preserve">121868076   </v>
      </c>
      <c r="O25575">
        <v>231004</v>
      </c>
    </row>
    <row r="25576" spans="1:15" x14ac:dyDescent="0.25">
      <c r="A25576" t="s">
        <v>16</v>
      </c>
      <c r="B25576" t="s">
        <v>3221</v>
      </c>
      <c r="C25576">
        <v>13154</v>
      </c>
      <c r="D25576" t="s">
        <v>114</v>
      </c>
      <c r="E25576" t="s">
        <v>115</v>
      </c>
      <c r="F25576">
        <v>72.790000000000006</v>
      </c>
      <c r="G25576">
        <v>230920</v>
      </c>
      <c r="H25576">
        <v>4600</v>
      </c>
      <c r="I25576" t="s">
        <v>105</v>
      </c>
      <c r="J25576">
        <v>90.26</v>
      </c>
      <c r="K25576">
        <v>17.47</v>
      </c>
      <c r="L25576">
        <v>17527</v>
      </c>
      <c r="M25576" t="s">
        <v>422</v>
      </c>
      <c r="N25576" t="str">
        <f>"121868075   "</f>
        <v xml:space="preserve">121868075   </v>
      </c>
      <c r="O25576">
        <v>231004</v>
      </c>
    </row>
    <row r="25577" spans="1:15" x14ac:dyDescent="0.25">
      <c r="A25577" t="s">
        <v>16</v>
      </c>
      <c r="B25577" t="s">
        <v>3221</v>
      </c>
      <c r="C25577">
        <v>13155</v>
      </c>
      <c r="D25577" t="s">
        <v>114</v>
      </c>
      <c r="E25577" t="s">
        <v>115</v>
      </c>
      <c r="F25577">
        <v>52.36</v>
      </c>
      <c r="G25577">
        <v>230922</v>
      </c>
      <c r="H25577">
        <v>4600</v>
      </c>
      <c r="I25577" t="s">
        <v>105</v>
      </c>
      <c r="J25577">
        <v>64.930000000000007</v>
      </c>
      <c r="K25577">
        <v>12.57</v>
      </c>
      <c r="L25577">
        <v>17522</v>
      </c>
      <c r="M25577" t="s">
        <v>451</v>
      </c>
      <c r="N25577" t="str">
        <f>"121881320   "</f>
        <v xml:space="preserve">121881320   </v>
      </c>
      <c r="O25577">
        <v>231004</v>
      </c>
    </row>
    <row r="25578" spans="1:15" x14ac:dyDescent="0.25">
      <c r="A25578" t="s">
        <v>16</v>
      </c>
      <c r="B25578" t="s">
        <v>3221</v>
      </c>
      <c r="C25578">
        <v>13219</v>
      </c>
      <c r="D25578" t="s">
        <v>114</v>
      </c>
      <c r="E25578" t="s">
        <v>115</v>
      </c>
      <c r="F25578">
        <v>295.77</v>
      </c>
      <c r="G25578">
        <v>230906</v>
      </c>
      <c r="H25578">
        <v>4600</v>
      </c>
      <c r="I25578" t="s">
        <v>105</v>
      </c>
      <c r="J25578">
        <v>366.76</v>
      </c>
      <c r="K25578">
        <v>70.989999999999995</v>
      </c>
      <c r="L25578">
        <v>17522</v>
      </c>
      <c r="M25578" t="s">
        <v>451</v>
      </c>
      <c r="N25578" t="str">
        <f>"121812722   "</f>
        <v xml:space="preserve">121812722   </v>
      </c>
      <c r="O25578">
        <v>231006</v>
      </c>
    </row>
    <row r="25579" spans="1:15" x14ac:dyDescent="0.25">
      <c r="A25579" t="s">
        <v>16</v>
      </c>
      <c r="B25579" t="s">
        <v>3221</v>
      </c>
      <c r="C25579">
        <v>13219</v>
      </c>
      <c r="D25579" t="s">
        <v>114</v>
      </c>
      <c r="E25579" t="s">
        <v>115</v>
      </c>
      <c r="F25579">
        <v>112.86</v>
      </c>
      <c r="G25579">
        <v>230906</v>
      </c>
      <c r="H25579">
        <v>4600</v>
      </c>
      <c r="I25579" t="s">
        <v>105</v>
      </c>
      <c r="J25579">
        <v>139.94999999999999</v>
      </c>
      <c r="K25579">
        <v>27.09</v>
      </c>
      <c r="L25579">
        <v>17633</v>
      </c>
      <c r="M25579" t="s">
        <v>724</v>
      </c>
      <c r="N25579" t="str">
        <f>"121812722   "</f>
        <v xml:space="preserve">121812722   </v>
      </c>
      <c r="O25579">
        <v>231006</v>
      </c>
    </row>
    <row r="25580" spans="1:15" x14ac:dyDescent="0.25">
      <c r="A25580" t="s">
        <v>16</v>
      </c>
      <c r="B25580" t="s">
        <v>3221</v>
      </c>
      <c r="C25580">
        <v>13322</v>
      </c>
      <c r="D25580" t="s">
        <v>114</v>
      </c>
      <c r="E25580" t="s">
        <v>115</v>
      </c>
      <c r="F25580">
        <v>89.62</v>
      </c>
      <c r="G25580">
        <v>230919</v>
      </c>
      <c r="H25580">
        <v>4600</v>
      </c>
      <c r="I25580" t="s">
        <v>105</v>
      </c>
      <c r="J25580">
        <v>111.13</v>
      </c>
      <c r="K25580">
        <v>21.51</v>
      </c>
      <c r="L25580">
        <v>17802</v>
      </c>
      <c r="M25580" t="s">
        <v>174</v>
      </c>
      <c r="N25580" t="str">
        <f>"121864785   "</f>
        <v xml:space="preserve">121864785   </v>
      </c>
      <c r="O25580">
        <v>231009</v>
      </c>
    </row>
    <row r="25581" spans="1:15" x14ac:dyDescent="0.25">
      <c r="A25581" t="s">
        <v>16</v>
      </c>
      <c r="B25581" t="s">
        <v>3221</v>
      </c>
      <c r="C25581">
        <v>13347</v>
      </c>
      <c r="D25581" t="s">
        <v>114</v>
      </c>
      <c r="E25581" t="s">
        <v>115</v>
      </c>
      <c r="F25581">
        <v>160.66999999999999</v>
      </c>
      <c r="G25581">
        <v>230921</v>
      </c>
      <c r="H25581">
        <v>4600</v>
      </c>
      <c r="I25581" t="s">
        <v>105</v>
      </c>
      <c r="J25581">
        <v>199.23</v>
      </c>
      <c r="K25581">
        <v>38.56</v>
      </c>
      <c r="L25581">
        <v>17802</v>
      </c>
      <c r="M25581" t="s">
        <v>174</v>
      </c>
      <c r="N25581" t="str">
        <f>"121873304   "</f>
        <v xml:space="preserve">121873304   </v>
      </c>
      <c r="O25581">
        <v>231009</v>
      </c>
    </row>
    <row r="25582" spans="1:15" x14ac:dyDescent="0.25">
      <c r="A25582" t="s">
        <v>16</v>
      </c>
      <c r="B25582" t="s">
        <v>3221</v>
      </c>
      <c r="C25582">
        <v>13367</v>
      </c>
      <c r="D25582" t="s">
        <v>114</v>
      </c>
      <c r="E25582" t="s">
        <v>115</v>
      </c>
      <c r="F25582">
        <v>107.31</v>
      </c>
      <c r="G25582">
        <v>231004</v>
      </c>
      <c r="H25582">
        <v>4600</v>
      </c>
      <c r="I25582" t="s">
        <v>105</v>
      </c>
      <c r="J25582">
        <v>133.06</v>
      </c>
      <c r="K25582">
        <v>25.75</v>
      </c>
      <c r="L25582">
        <v>46557</v>
      </c>
      <c r="M25582" t="s">
        <v>221</v>
      </c>
      <c r="N25582" t="str">
        <f>"121934726   "</f>
        <v xml:space="preserve">121934726   </v>
      </c>
      <c r="O25582">
        <v>231009</v>
      </c>
    </row>
    <row r="25583" spans="1:15" x14ac:dyDescent="0.25">
      <c r="A25583" t="s">
        <v>16</v>
      </c>
      <c r="B25583" t="s">
        <v>3221</v>
      </c>
      <c r="C25583">
        <v>13377</v>
      </c>
      <c r="D25583" t="s">
        <v>114</v>
      </c>
      <c r="E25583" t="s">
        <v>115</v>
      </c>
      <c r="F25583">
        <v>69.540000000000006</v>
      </c>
      <c r="G25583">
        <v>230928</v>
      </c>
      <c r="H25583">
        <v>4600</v>
      </c>
      <c r="I25583" t="s">
        <v>105</v>
      </c>
      <c r="J25583">
        <v>86.23</v>
      </c>
      <c r="K25583">
        <v>16.690000000000001</v>
      </c>
      <c r="L25583">
        <v>17802</v>
      </c>
      <c r="M25583" t="s">
        <v>174</v>
      </c>
      <c r="N25583" t="str">
        <f>"121896413   "</f>
        <v xml:space="preserve">121896413   </v>
      </c>
      <c r="O25583">
        <v>231009</v>
      </c>
    </row>
    <row r="25584" spans="1:15" x14ac:dyDescent="0.25">
      <c r="A25584" t="s">
        <v>16</v>
      </c>
      <c r="B25584" t="s">
        <v>3221</v>
      </c>
      <c r="C25584">
        <v>13378</v>
      </c>
      <c r="D25584" t="s">
        <v>114</v>
      </c>
      <c r="E25584" t="s">
        <v>115</v>
      </c>
      <c r="F25584">
        <v>45.23</v>
      </c>
      <c r="G25584">
        <v>230927</v>
      </c>
      <c r="H25584">
        <v>4600</v>
      </c>
      <c r="I25584" t="s">
        <v>105</v>
      </c>
      <c r="J25584">
        <v>56.09</v>
      </c>
      <c r="K25584">
        <v>10.86</v>
      </c>
      <c r="L25584">
        <v>17802</v>
      </c>
      <c r="M25584" t="s">
        <v>174</v>
      </c>
      <c r="N25584" t="str">
        <f>"121892950   "</f>
        <v xml:space="preserve">121892950   </v>
      </c>
      <c r="O25584">
        <v>231009</v>
      </c>
    </row>
    <row r="25585" spans="1:15" x14ac:dyDescent="0.25">
      <c r="A25585" t="s">
        <v>16</v>
      </c>
      <c r="B25585" t="s">
        <v>3221</v>
      </c>
      <c r="C25585">
        <v>13452</v>
      </c>
      <c r="D25585" t="s">
        <v>114</v>
      </c>
      <c r="E25585" t="s">
        <v>115</v>
      </c>
      <c r="F25585">
        <v>108.17</v>
      </c>
      <c r="G25585">
        <v>231005</v>
      </c>
      <c r="H25585">
        <v>4600</v>
      </c>
      <c r="I25585" t="s">
        <v>105</v>
      </c>
      <c r="J25585">
        <v>134.13</v>
      </c>
      <c r="K25585">
        <v>25.96</v>
      </c>
      <c r="L25585">
        <v>17522</v>
      </c>
      <c r="M25585" t="s">
        <v>451</v>
      </c>
      <c r="N25585" t="str">
        <f>"121941427   "</f>
        <v xml:space="preserve">121941427   </v>
      </c>
      <c r="O25585">
        <v>231010</v>
      </c>
    </row>
    <row r="25586" spans="1:15" x14ac:dyDescent="0.25">
      <c r="A25586" t="s">
        <v>16</v>
      </c>
      <c r="B25586" t="s">
        <v>3221</v>
      </c>
      <c r="C25586">
        <v>13484</v>
      </c>
      <c r="D25586" t="s">
        <v>114</v>
      </c>
      <c r="E25586" t="s">
        <v>115</v>
      </c>
      <c r="F25586">
        <v>269.14999999999998</v>
      </c>
      <c r="G25586">
        <v>230929</v>
      </c>
      <c r="H25586">
        <v>4600</v>
      </c>
      <c r="I25586" t="s">
        <v>105</v>
      </c>
      <c r="J25586">
        <v>333.75</v>
      </c>
      <c r="K25586">
        <v>64.599999999999994</v>
      </c>
      <c r="L25586">
        <v>56565</v>
      </c>
      <c r="M25586" t="s">
        <v>758</v>
      </c>
      <c r="N25586" t="str">
        <f>"121906228   "</f>
        <v xml:space="preserve">121906228   </v>
      </c>
      <c r="O25586">
        <v>231010</v>
      </c>
    </row>
    <row r="25587" spans="1:15" x14ac:dyDescent="0.25">
      <c r="A25587" t="s">
        <v>16</v>
      </c>
      <c r="B25587" t="s">
        <v>3221</v>
      </c>
      <c r="C25587">
        <v>13487</v>
      </c>
      <c r="D25587" t="s">
        <v>114</v>
      </c>
      <c r="E25587" t="s">
        <v>115</v>
      </c>
      <c r="F25587">
        <v>118.86</v>
      </c>
      <c r="G25587">
        <v>231002</v>
      </c>
      <c r="H25587">
        <v>4600</v>
      </c>
      <c r="I25587" t="s">
        <v>105</v>
      </c>
      <c r="J25587">
        <v>147.38999999999999</v>
      </c>
      <c r="K25587">
        <v>28.53</v>
      </c>
      <c r="L25587">
        <v>46554</v>
      </c>
      <c r="M25587" t="s">
        <v>117</v>
      </c>
      <c r="N25587" t="str">
        <f>"121929062   "</f>
        <v xml:space="preserve">121929062   </v>
      </c>
      <c r="O25587">
        <v>231010</v>
      </c>
    </row>
    <row r="25588" spans="1:15" x14ac:dyDescent="0.25">
      <c r="A25588" t="s">
        <v>16</v>
      </c>
      <c r="B25588" t="s">
        <v>3221</v>
      </c>
      <c r="C25588">
        <v>13490</v>
      </c>
      <c r="D25588" t="s">
        <v>114</v>
      </c>
      <c r="E25588" t="s">
        <v>115</v>
      </c>
      <c r="F25588">
        <v>210.3</v>
      </c>
      <c r="G25588">
        <v>231006</v>
      </c>
      <c r="H25588">
        <v>4600</v>
      </c>
      <c r="I25588" t="s">
        <v>105</v>
      </c>
      <c r="J25588">
        <v>260.77</v>
      </c>
      <c r="K25588">
        <v>50.47</v>
      </c>
      <c r="L25588">
        <v>46554</v>
      </c>
      <c r="M25588" t="s">
        <v>117</v>
      </c>
      <c r="N25588" t="str">
        <f>"121943812   "</f>
        <v xml:space="preserve">121943812   </v>
      </c>
      <c r="O25588">
        <v>231010</v>
      </c>
    </row>
    <row r="25589" spans="1:15" x14ac:dyDescent="0.25">
      <c r="A25589" t="s">
        <v>16</v>
      </c>
      <c r="B25589" t="s">
        <v>3221</v>
      </c>
      <c r="C25589">
        <v>13592</v>
      </c>
      <c r="D25589" t="s">
        <v>114</v>
      </c>
      <c r="E25589" t="s">
        <v>115</v>
      </c>
      <c r="F25589">
        <v>475.64</v>
      </c>
      <c r="G25589">
        <v>231004</v>
      </c>
      <c r="H25589">
        <v>4600</v>
      </c>
      <c r="I25589" t="s">
        <v>105</v>
      </c>
      <c r="J25589">
        <v>589.79</v>
      </c>
      <c r="K25589">
        <v>114.15</v>
      </c>
      <c r="L25589">
        <v>17527</v>
      </c>
      <c r="M25589" t="s">
        <v>422</v>
      </c>
      <c r="N25589" t="str">
        <f>"121933551   "</f>
        <v xml:space="preserve">121933551   </v>
      </c>
      <c r="O25589">
        <v>231011</v>
      </c>
    </row>
    <row r="25590" spans="1:15" x14ac:dyDescent="0.25">
      <c r="A25590" t="s">
        <v>16</v>
      </c>
      <c r="B25590" t="s">
        <v>3221</v>
      </c>
      <c r="C25590">
        <v>13754</v>
      </c>
      <c r="D25590" t="s">
        <v>114</v>
      </c>
      <c r="E25590" t="s">
        <v>115</v>
      </c>
      <c r="F25590">
        <v>9.4</v>
      </c>
      <c r="G25590">
        <v>230928</v>
      </c>
      <c r="H25590">
        <v>4600</v>
      </c>
      <c r="I25590" t="s">
        <v>105</v>
      </c>
      <c r="J25590">
        <v>11.66</v>
      </c>
      <c r="K25590">
        <v>2.2599999999999998</v>
      </c>
      <c r="L25590">
        <v>17807</v>
      </c>
      <c r="M25590" t="s">
        <v>318</v>
      </c>
      <c r="N25590" t="str">
        <f>"121896415   "</f>
        <v xml:space="preserve">121896415   </v>
      </c>
      <c r="O25590">
        <v>231012</v>
      </c>
    </row>
    <row r="25591" spans="1:15" x14ac:dyDescent="0.25">
      <c r="A25591" t="s">
        <v>16</v>
      </c>
      <c r="B25591" t="s">
        <v>3221</v>
      </c>
      <c r="C25591">
        <v>13980</v>
      </c>
      <c r="D25591" t="s">
        <v>114</v>
      </c>
      <c r="E25591" t="s">
        <v>115</v>
      </c>
      <c r="F25591">
        <v>175.65</v>
      </c>
      <c r="G25591">
        <v>231011</v>
      </c>
      <c r="H25591">
        <v>4600</v>
      </c>
      <c r="I25591" t="s">
        <v>105</v>
      </c>
      <c r="J25591">
        <v>217.81</v>
      </c>
      <c r="K25591">
        <v>42.16</v>
      </c>
      <c r="L25591">
        <v>17523</v>
      </c>
      <c r="M25591" t="s">
        <v>134</v>
      </c>
      <c r="N25591" t="str">
        <f>"121959382   "</f>
        <v xml:space="preserve">121959382   </v>
      </c>
      <c r="O25591">
        <v>231017</v>
      </c>
    </row>
    <row r="25592" spans="1:15" x14ac:dyDescent="0.25">
      <c r="A25592" t="s">
        <v>16</v>
      </c>
      <c r="B25592" t="s">
        <v>3221</v>
      </c>
      <c r="C25592">
        <v>13989</v>
      </c>
      <c r="D25592" t="s">
        <v>114</v>
      </c>
      <c r="E25592" t="s">
        <v>115</v>
      </c>
      <c r="F25592">
        <v>188.15</v>
      </c>
      <c r="G25592">
        <v>231012</v>
      </c>
      <c r="H25592">
        <v>4600</v>
      </c>
      <c r="I25592" t="s">
        <v>105</v>
      </c>
      <c r="J25592">
        <v>233.3</v>
      </c>
      <c r="K25592">
        <v>45.15</v>
      </c>
      <c r="L25592">
        <v>17802</v>
      </c>
      <c r="M25592" t="s">
        <v>174</v>
      </c>
      <c r="N25592" t="str">
        <f>"121965864   "</f>
        <v xml:space="preserve">121965864   </v>
      </c>
      <c r="O25592">
        <v>231017</v>
      </c>
    </row>
    <row r="25593" spans="1:15" x14ac:dyDescent="0.25">
      <c r="A25593" t="s">
        <v>16</v>
      </c>
      <c r="B25593" t="s">
        <v>3221</v>
      </c>
      <c r="C25593">
        <v>14142</v>
      </c>
      <c r="D25593" t="s">
        <v>114</v>
      </c>
      <c r="E25593" t="s">
        <v>115</v>
      </c>
      <c r="F25593">
        <v>44.4</v>
      </c>
      <c r="G25593">
        <v>231013</v>
      </c>
      <c r="H25593">
        <v>4600</v>
      </c>
      <c r="I25593" t="s">
        <v>105</v>
      </c>
      <c r="J25593">
        <v>55.06</v>
      </c>
      <c r="K25593">
        <v>10.66</v>
      </c>
      <c r="L25593">
        <v>56562</v>
      </c>
      <c r="M25593" t="s">
        <v>126</v>
      </c>
      <c r="N25593" t="str">
        <f>"121968711   "</f>
        <v xml:space="preserve">121968711   </v>
      </c>
      <c r="O25593">
        <v>231019</v>
      </c>
    </row>
    <row r="25594" spans="1:15" x14ac:dyDescent="0.25">
      <c r="A25594" t="s">
        <v>16</v>
      </c>
      <c r="B25594" t="s">
        <v>3221</v>
      </c>
      <c r="C25594">
        <v>14143</v>
      </c>
      <c r="D25594" t="s">
        <v>114</v>
      </c>
      <c r="E25594" t="s">
        <v>115</v>
      </c>
      <c r="F25594">
        <v>121.72</v>
      </c>
      <c r="G25594">
        <v>231013</v>
      </c>
      <c r="H25594">
        <v>4600</v>
      </c>
      <c r="I25594" t="s">
        <v>105</v>
      </c>
      <c r="J25594">
        <v>150.93</v>
      </c>
      <c r="K25594">
        <v>29.21</v>
      </c>
      <c r="L25594">
        <v>56568</v>
      </c>
      <c r="M25594" t="s">
        <v>268</v>
      </c>
      <c r="N25594" t="str">
        <f>"121968715   "</f>
        <v xml:space="preserve">121968715   </v>
      </c>
      <c r="O25594">
        <v>231019</v>
      </c>
    </row>
    <row r="25595" spans="1:15" x14ac:dyDescent="0.25">
      <c r="A25595" t="s">
        <v>16</v>
      </c>
      <c r="B25595" t="s">
        <v>3221</v>
      </c>
      <c r="C25595">
        <v>14543</v>
      </c>
      <c r="D25595" t="s">
        <v>114</v>
      </c>
      <c r="E25595" t="s">
        <v>115</v>
      </c>
      <c r="F25595">
        <v>106.5</v>
      </c>
      <c r="G25595">
        <v>231013</v>
      </c>
      <c r="H25595">
        <v>4600</v>
      </c>
      <c r="I25595" t="s">
        <v>105</v>
      </c>
      <c r="J25595">
        <v>132.06</v>
      </c>
      <c r="K25595">
        <v>25.56</v>
      </c>
      <c r="L25595">
        <v>56565</v>
      </c>
      <c r="M25595" t="s">
        <v>758</v>
      </c>
      <c r="N25595" t="str">
        <f>"121968714   "</f>
        <v xml:space="preserve">121968714   </v>
      </c>
      <c r="O25595">
        <v>231030</v>
      </c>
    </row>
    <row r="25596" spans="1:15" x14ac:dyDescent="0.25">
      <c r="A25596" t="s">
        <v>16</v>
      </c>
      <c r="B25596" t="s">
        <v>3221</v>
      </c>
      <c r="C25596">
        <v>14545</v>
      </c>
      <c r="D25596" t="s">
        <v>114</v>
      </c>
      <c r="E25596" t="s">
        <v>115</v>
      </c>
      <c r="F25596">
        <v>100.59</v>
      </c>
      <c r="G25596">
        <v>231013</v>
      </c>
      <c r="H25596">
        <v>4600</v>
      </c>
      <c r="I25596" t="s">
        <v>105</v>
      </c>
      <c r="J25596">
        <v>124.73</v>
      </c>
      <c r="K25596">
        <v>24.14</v>
      </c>
      <c r="L25596">
        <v>59501</v>
      </c>
      <c r="M25596" t="s">
        <v>69</v>
      </c>
      <c r="N25596" t="str">
        <f>"121968713   "</f>
        <v xml:space="preserve">121968713   </v>
      </c>
      <c r="O25596">
        <v>231030</v>
      </c>
    </row>
    <row r="25597" spans="1:15" x14ac:dyDescent="0.25">
      <c r="A25597" t="s">
        <v>16</v>
      </c>
      <c r="B25597" t="s">
        <v>3221</v>
      </c>
      <c r="C25597">
        <v>14553</v>
      </c>
      <c r="D25597" t="s">
        <v>114</v>
      </c>
      <c r="E25597" t="s">
        <v>115</v>
      </c>
      <c r="F25597">
        <v>103.1</v>
      </c>
      <c r="G25597">
        <v>231013</v>
      </c>
      <c r="H25597">
        <v>4600</v>
      </c>
      <c r="I25597" t="s">
        <v>105</v>
      </c>
      <c r="J25597">
        <v>127.84</v>
      </c>
      <c r="K25597">
        <v>24.74</v>
      </c>
      <c r="L25597">
        <v>56558</v>
      </c>
      <c r="M25597" t="s">
        <v>217</v>
      </c>
      <c r="N25597" t="str">
        <f>"121968712   "</f>
        <v xml:space="preserve">121968712   </v>
      </c>
      <c r="O25597">
        <v>231030</v>
      </c>
    </row>
    <row r="25598" spans="1:15" x14ac:dyDescent="0.25">
      <c r="A25598" t="s">
        <v>16</v>
      </c>
      <c r="B25598" t="s">
        <v>3221</v>
      </c>
      <c r="C25598">
        <v>14555</v>
      </c>
      <c r="D25598" t="s">
        <v>114</v>
      </c>
      <c r="E25598" t="s">
        <v>115</v>
      </c>
      <c r="F25598">
        <v>26.99</v>
      </c>
      <c r="G25598">
        <v>231013</v>
      </c>
      <c r="H25598">
        <v>4600</v>
      </c>
      <c r="I25598" t="s">
        <v>105</v>
      </c>
      <c r="J25598">
        <v>33.47</v>
      </c>
      <c r="K25598">
        <v>6.48</v>
      </c>
      <c r="L25598">
        <v>56560</v>
      </c>
      <c r="M25598" t="s">
        <v>654</v>
      </c>
      <c r="N25598" t="str">
        <f>"121968716   "</f>
        <v xml:space="preserve">121968716   </v>
      </c>
      <c r="O25598">
        <v>231030</v>
      </c>
    </row>
    <row r="25599" spans="1:15" x14ac:dyDescent="0.25">
      <c r="A25599" t="s">
        <v>16</v>
      </c>
      <c r="B25599" t="s">
        <v>3221</v>
      </c>
      <c r="C25599">
        <v>14604</v>
      </c>
      <c r="D25599" t="s">
        <v>114</v>
      </c>
      <c r="E25599" t="s">
        <v>115</v>
      </c>
      <c r="F25599">
        <v>73.58</v>
      </c>
      <c r="G25599">
        <v>231023</v>
      </c>
      <c r="H25599">
        <v>4600</v>
      </c>
      <c r="I25599" t="s">
        <v>105</v>
      </c>
      <c r="J25599">
        <v>91.24</v>
      </c>
      <c r="K25599">
        <v>17.66</v>
      </c>
      <c r="L25599">
        <v>17809</v>
      </c>
      <c r="M25599" t="s">
        <v>376</v>
      </c>
      <c r="N25599" t="str">
        <f>"122005733   "</f>
        <v xml:space="preserve">122005733   </v>
      </c>
      <c r="O25599">
        <v>231030</v>
      </c>
    </row>
    <row r="25600" spans="1:15" x14ac:dyDescent="0.25">
      <c r="A25600" t="s">
        <v>16</v>
      </c>
      <c r="B25600" t="s">
        <v>3221</v>
      </c>
      <c r="C25600">
        <v>14665</v>
      </c>
      <c r="D25600" t="s">
        <v>114</v>
      </c>
      <c r="E25600" t="s">
        <v>115</v>
      </c>
      <c r="F25600">
        <v>72.36</v>
      </c>
      <c r="G25600">
        <v>231026</v>
      </c>
      <c r="H25600">
        <v>4600</v>
      </c>
      <c r="I25600" t="s">
        <v>105</v>
      </c>
      <c r="J25600">
        <v>89.73</v>
      </c>
      <c r="K25600">
        <v>17.37</v>
      </c>
      <c r="L25600">
        <v>17633</v>
      </c>
      <c r="M25600" t="s">
        <v>724</v>
      </c>
      <c r="N25600" t="str">
        <f>"122018985   "</f>
        <v xml:space="preserve">122018985   </v>
      </c>
      <c r="O25600">
        <v>231031</v>
      </c>
    </row>
    <row r="25601" spans="1:15" x14ac:dyDescent="0.25">
      <c r="A25601" t="s">
        <v>16</v>
      </c>
      <c r="B25601" t="s">
        <v>3221</v>
      </c>
      <c r="C25601">
        <v>15122</v>
      </c>
      <c r="D25601" t="s">
        <v>114</v>
      </c>
      <c r="E25601" t="s">
        <v>115</v>
      </c>
      <c r="F25601">
        <v>215.74</v>
      </c>
      <c r="G25601">
        <v>231025</v>
      </c>
      <c r="H25601">
        <v>4600</v>
      </c>
      <c r="I25601" t="s">
        <v>105</v>
      </c>
      <c r="J25601">
        <v>267.52</v>
      </c>
      <c r="K25601">
        <v>51.78</v>
      </c>
      <c r="L25601">
        <v>46554</v>
      </c>
      <c r="M25601" t="s">
        <v>117</v>
      </c>
      <c r="N25601" t="str">
        <f>"122011879   "</f>
        <v xml:space="preserve">122011879   </v>
      </c>
      <c r="O25601">
        <v>231108</v>
      </c>
    </row>
    <row r="25602" spans="1:15" x14ac:dyDescent="0.25">
      <c r="A25602" t="s">
        <v>16</v>
      </c>
      <c r="B25602" t="s">
        <v>3221</v>
      </c>
      <c r="C25602">
        <v>15168</v>
      </c>
      <c r="D25602" t="s">
        <v>114</v>
      </c>
      <c r="E25602" t="s">
        <v>115</v>
      </c>
      <c r="F25602">
        <v>67.459999999999994</v>
      </c>
      <c r="G25602">
        <v>231030</v>
      </c>
      <c r="H25602">
        <v>4600</v>
      </c>
      <c r="I25602" t="s">
        <v>105</v>
      </c>
      <c r="J25602">
        <v>83.65</v>
      </c>
      <c r="K25602">
        <v>16.190000000000001</v>
      </c>
      <c r="L25602">
        <v>17802</v>
      </c>
      <c r="M25602" t="s">
        <v>174</v>
      </c>
      <c r="N25602" t="str">
        <f>"122027894   "</f>
        <v xml:space="preserve">122027894   </v>
      </c>
      <c r="O25602">
        <v>231109</v>
      </c>
    </row>
    <row r="25603" spans="1:15" x14ac:dyDescent="0.25">
      <c r="A25603" t="s">
        <v>16</v>
      </c>
      <c r="B25603" t="s">
        <v>3221</v>
      </c>
      <c r="C25603">
        <v>15196</v>
      </c>
      <c r="D25603" t="s">
        <v>114</v>
      </c>
      <c r="E25603" t="s">
        <v>115</v>
      </c>
      <c r="F25603">
        <v>45.33</v>
      </c>
      <c r="G25603">
        <v>231031</v>
      </c>
      <c r="H25603">
        <v>4600</v>
      </c>
      <c r="I25603" t="s">
        <v>105</v>
      </c>
      <c r="J25603">
        <v>56.21</v>
      </c>
      <c r="K25603">
        <v>10.88</v>
      </c>
      <c r="L25603">
        <v>46554</v>
      </c>
      <c r="M25603" t="s">
        <v>117</v>
      </c>
      <c r="N25603" t="str">
        <f>"122043982   "</f>
        <v xml:space="preserve">122043982   </v>
      </c>
      <c r="O25603">
        <v>231109</v>
      </c>
    </row>
    <row r="25604" spans="1:15" x14ac:dyDescent="0.25">
      <c r="A25604" t="s">
        <v>16</v>
      </c>
      <c r="B25604" t="s">
        <v>3221</v>
      </c>
      <c r="C25604">
        <v>15207</v>
      </c>
      <c r="D25604" t="s">
        <v>114</v>
      </c>
      <c r="E25604" t="s">
        <v>115</v>
      </c>
      <c r="F25604">
        <v>977.67</v>
      </c>
      <c r="G25604">
        <v>231031</v>
      </c>
      <c r="H25604">
        <v>4600</v>
      </c>
      <c r="I25604" t="s">
        <v>105</v>
      </c>
      <c r="J25604">
        <v>1212.31</v>
      </c>
      <c r="K25604">
        <v>234.64</v>
      </c>
      <c r="L25604">
        <v>56568</v>
      </c>
      <c r="M25604" t="s">
        <v>268</v>
      </c>
      <c r="N25604" t="str">
        <f>"122039300   "</f>
        <v xml:space="preserve">122039300   </v>
      </c>
      <c r="O25604">
        <v>231109</v>
      </c>
    </row>
    <row r="25605" spans="1:15" x14ac:dyDescent="0.25">
      <c r="A25605" t="s">
        <v>16</v>
      </c>
      <c r="B25605" t="s">
        <v>3221</v>
      </c>
      <c r="C25605">
        <v>15221</v>
      </c>
      <c r="D25605" t="s">
        <v>114</v>
      </c>
      <c r="E25605" t="s">
        <v>115</v>
      </c>
      <c r="F25605">
        <v>298.87</v>
      </c>
      <c r="G25605">
        <v>231031</v>
      </c>
      <c r="H25605">
        <v>4600</v>
      </c>
      <c r="I25605" t="s">
        <v>105</v>
      </c>
      <c r="J25605">
        <v>370.6</v>
      </c>
      <c r="K25605">
        <v>71.73</v>
      </c>
      <c r="L25605">
        <v>56565</v>
      </c>
      <c r="M25605" t="s">
        <v>758</v>
      </c>
      <c r="N25605" t="str">
        <f>"122039301   "</f>
        <v xml:space="preserve">122039301   </v>
      </c>
      <c r="O25605">
        <v>231109</v>
      </c>
    </row>
    <row r="25606" spans="1:15" x14ac:dyDescent="0.25">
      <c r="A25606" t="s">
        <v>16</v>
      </c>
      <c r="B25606" t="s">
        <v>3221</v>
      </c>
      <c r="C25606">
        <v>15249</v>
      </c>
      <c r="D25606" t="s">
        <v>114</v>
      </c>
      <c r="E25606" t="s">
        <v>115</v>
      </c>
      <c r="F25606">
        <v>54.5</v>
      </c>
      <c r="G25606">
        <v>231026</v>
      </c>
      <c r="H25606">
        <v>4600</v>
      </c>
      <c r="I25606" t="s">
        <v>105</v>
      </c>
      <c r="J25606">
        <v>67.58</v>
      </c>
      <c r="K25606">
        <v>13.08</v>
      </c>
      <c r="L25606">
        <v>17802</v>
      </c>
      <c r="M25606" t="s">
        <v>174</v>
      </c>
      <c r="N25606" t="str">
        <f>"122017421   "</f>
        <v xml:space="preserve">122017421   </v>
      </c>
      <c r="O25606">
        <v>231109</v>
      </c>
    </row>
    <row r="25607" spans="1:15" x14ac:dyDescent="0.25">
      <c r="A25607" t="s">
        <v>16</v>
      </c>
      <c r="B25607" t="s">
        <v>3221</v>
      </c>
      <c r="C25607">
        <v>15522</v>
      </c>
      <c r="D25607" t="s">
        <v>114</v>
      </c>
      <c r="E25607" t="s">
        <v>115</v>
      </c>
      <c r="F25607">
        <v>1240.54</v>
      </c>
      <c r="G25607">
        <v>231103</v>
      </c>
      <c r="H25607">
        <v>4600</v>
      </c>
      <c r="I25607" t="s">
        <v>105</v>
      </c>
      <c r="J25607">
        <v>1538.27</v>
      </c>
      <c r="K25607">
        <v>297.73</v>
      </c>
      <c r="L25607">
        <v>17809</v>
      </c>
      <c r="M25607" t="s">
        <v>376</v>
      </c>
      <c r="N25607" t="str">
        <f>"122069019   "</f>
        <v xml:space="preserve">122069019   </v>
      </c>
      <c r="O25607">
        <v>231113</v>
      </c>
    </row>
    <row r="25608" spans="1:15" x14ac:dyDescent="0.25">
      <c r="A25608" t="s">
        <v>16</v>
      </c>
      <c r="B25608" t="s">
        <v>3221</v>
      </c>
      <c r="C25608">
        <v>15523</v>
      </c>
      <c r="D25608" t="s">
        <v>114</v>
      </c>
      <c r="E25608" t="s">
        <v>115</v>
      </c>
      <c r="F25608">
        <v>237.17</v>
      </c>
      <c r="G25608">
        <v>231103</v>
      </c>
      <c r="H25608">
        <v>4600</v>
      </c>
      <c r="I25608" t="s">
        <v>105</v>
      </c>
      <c r="J25608">
        <v>294.08999999999997</v>
      </c>
      <c r="K25608">
        <v>56.92</v>
      </c>
      <c r="L25608">
        <v>46557</v>
      </c>
      <c r="M25608" t="s">
        <v>221</v>
      </c>
      <c r="N25608" t="str">
        <f>"122068760   "</f>
        <v xml:space="preserve">122068760   </v>
      </c>
      <c r="O25608">
        <v>231113</v>
      </c>
    </row>
    <row r="25609" spans="1:15" x14ac:dyDescent="0.25">
      <c r="A25609" t="s">
        <v>16</v>
      </c>
      <c r="B25609" t="s">
        <v>3221</v>
      </c>
      <c r="C25609">
        <v>15557</v>
      </c>
      <c r="D25609" t="s">
        <v>114</v>
      </c>
      <c r="E25609" t="s">
        <v>115</v>
      </c>
      <c r="F25609">
        <v>129.08000000000001</v>
      </c>
      <c r="G25609">
        <v>231109</v>
      </c>
      <c r="H25609">
        <v>4600</v>
      </c>
      <c r="I25609" t="s">
        <v>105</v>
      </c>
      <c r="J25609">
        <v>160.06</v>
      </c>
      <c r="K25609">
        <v>30.98</v>
      </c>
      <c r="L25609">
        <v>47522</v>
      </c>
      <c r="M25609" t="s">
        <v>410</v>
      </c>
      <c r="N25609" t="str">
        <f>"122084077   "</f>
        <v xml:space="preserve">122084077   </v>
      </c>
      <c r="O25609">
        <v>231114</v>
      </c>
    </row>
    <row r="25610" spans="1:15" x14ac:dyDescent="0.25">
      <c r="A25610" t="s">
        <v>16</v>
      </c>
      <c r="B25610" t="s">
        <v>3221</v>
      </c>
      <c r="C25610">
        <v>15621</v>
      </c>
      <c r="D25610" t="s">
        <v>114</v>
      </c>
      <c r="E25610" t="s">
        <v>115</v>
      </c>
      <c r="F25610">
        <v>251.91</v>
      </c>
      <c r="G25610">
        <v>231101</v>
      </c>
      <c r="H25610">
        <v>4600</v>
      </c>
      <c r="I25610" t="s">
        <v>105</v>
      </c>
      <c r="J25610">
        <v>312.37</v>
      </c>
      <c r="K25610">
        <v>60.46</v>
      </c>
      <c r="L25610">
        <v>46554</v>
      </c>
      <c r="M25610" t="s">
        <v>117</v>
      </c>
      <c r="N25610" t="str">
        <f>"122058777   "</f>
        <v xml:space="preserve">122058777   </v>
      </c>
      <c r="O25610">
        <v>231114</v>
      </c>
    </row>
    <row r="25611" spans="1:15" x14ac:dyDescent="0.25">
      <c r="A25611" t="s">
        <v>16</v>
      </c>
      <c r="B25611" t="s">
        <v>3221</v>
      </c>
      <c r="C25611">
        <v>16048</v>
      </c>
      <c r="D25611" t="s">
        <v>114</v>
      </c>
      <c r="E25611" t="s">
        <v>115</v>
      </c>
      <c r="F25611">
        <v>468.36</v>
      </c>
      <c r="G25611">
        <v>231115</v>
      </c>
      <c r="H25611">
        <v>4600</v>
      </c>
      <c r="I25611" t="s">
        <v>105</v>
      </c>
      <c r="J25611">
        <v>580.77</v>
      </c>
      <c r="K25611">
        <v>112.41</v>
      </c>
      <c r="L25611">
        <v>56568</v>
      </c>
      <c r="M25611" t="s">
        <v>268</v>
      </c>
      <c r="N25611" t="str">
        <f>"122104603   "</f>
        <v xml:space="preserve">122104603   </v>
      </c>
      <c r="O25611">
        <v>231122</v>
      </c>
    </row>
    <row r="25612" spans="1:15" x14ac:dyDescent="0.25">
      <c r="A25612" t="s">
        <v>16</v>
      </c>
      <c r="B25612" t="s">
        <v>3221</v>
      </c>
      <c r="C25612">
        <v>16099</v>
      </c>
      <c r="D25612" t="s">
        <v>114</v>
      </c>
      <c r="E25612" t="s">
        <v>115</v>
      </c>
      <c r="F25612">
        <v>19.97</v>
      </c>
      <c r="G25612">
        <v>231115</v>
      </c>
      <c r="H25612">
        <v>4600</v>
      </c>
      <c r="I25612" t="s">
        <v>105</v>
      </c>
      <c r="J25612">
        <v>24.76</v>
      </c>
      <c r="K25612">
        <v>4.79</v>
      </c>
      <c r="L25612">
        <v>17802</v>
      </c>
      <c r="M25612" t="s">
        <v>174</v>
      </c>
      <c r="N25612" t="str">
        <f>"122105895   "</f>
        <v xml:space="preserve">122105895   </v>
      </c>
      <c r="O25612">
        <v>231122</v>
      </c>
    </row>
    <row r="25613" spans="1:15" x14ac:dyDescent="0.25">
      <c r="A25613" t="s">
        <v>16</v>
      </c>
      <c r="B25613" t="s">
        <v>3221</v>
      </c>
      <c r="C25613">
        <v>16101</v>
      </c>
      <c r="D25613" t="s">
        <v>114</v>
      </c>
      <c r="E25613" t="s">
        <v>115</v>
      </c>
      <c r="F25613">
        <v>400.06</v>
      </c>
      <c r="G25613">
        <v>231115</v>
      </c>
      <c r="H25613">
        <v>4600</v>
      </c>
      <c r="I25613" t="s">
        <v>105</v>
      </c>
      <c r="J25613">
        <v>496.08</v>
      </c>
      <c r="K25613">
        <v>96.02</v>
      </c>
      <c r="L25613">
        <v>56558</v>
      </c>
      <c r="M25613" t="s">
        <v>217</v>
      </c>
      <c r="N25613" t="str">
        <f>"122104598   "</f>
        <v xml:space="preserve">122104598   </v>
      </c>
      <c r="O25613">
        <v>231122</v>
      </c>
    </row>
    <row r="25614" spans="1:15" x14ac:dyDescent="0.25">
      <c r="A25614" t="s">
        <v>16</v>
      </c>
      <c r="B25614" t="s">
        <v>3221</v>
      </c>
      <c r="C25614">
        <v>16104</v>
      </c>
      <c r="D25614" t="s">
        <v>114</v>
      </c>
      <c r="E25614" t="s">
        <v>115</v>
      </c>
      <c r="F25614">
        <v>94.18</v>
      </c>
      <c r="G25614">
        <v>231115</v>
      </c>
      <c r="H25614">
        <v>4600</v>
      </c>
      <c r="I25614" t="s">
        <v>105</v>
      </c>
      <c r="J25614">
        <v>116.78</v>
      </c>
      <c r="K25614">
        <v>22.6</v>
      </c>
      <c r="L25614">
        <v>56560</v>
      </c>
      <c r="M25614" t="s">
        <v>654</v>
      </c>
      <c r="N25614" t="str">
        <f>"122104601   "</f>
        <v xml:space="preserve">122104601   </v>
      </c>
      <c r="O25614">
        <v>231122</v>
      </c>
    </row>
    <row r="25615" spans="1:15" x14ac:dyDescent="0.25">
      <c r="A25615" t="s">
        <v>16</v>
      </c>
      <c r="B25615" t="s">
        <v>3221</v>
      </c>
      <c r="C25615">
        <v>16106</v>
      </c>
      <c r="D25615" t="s">
        <v>114</v>
      </c>
      <c r="E25615" t="s">
        <v>115</v>
      </c>
      <c r="F25615">
        <v>83.95</v>
      </c>
      <c r="G25615">
        <v>231115</v>
      </c>
      <c r="H25615">
        <v>4600</v>
      </c>
      <c r="I25615" t="s">
        <v>105</v>
      </c>
      <c r="J25615">
        <v>104.1</v>
      </c>
      <c r="K25615">
        <v>20.149999999999999</v>
      </c>
      <c r="L25615">
        <v>56565</v>
      </c>
      <c r="M25615" t="s">
        <v>758</v>
      </c>
      <c r="N25615" t="str">
        <f>"122104600   "</f>
        <v xml:space="preserve">122104600   </v>
      </c>
      <c r="O25615">
        <v>231122</v>
      </c>
    </row>
    <row r="25616" spans="1:15" x14ac:dyDescent="0.25">
      <c r="A25616" t="s">
        <v>16</v>
      </c>
      <c r="B25616" t="s">
        <v>3221</v>
      </c>
      <c r="C25616">
        <v>16109</v>
      </c>
      <c r="D25616" t="s">
        <v>114</v>
      </c>
      <c r="E25616" t="s">
        <v>115</v>
      </c>
      <c r="F25616">
        <v>872.37</v>
      </c>
      <c r="G25616">
        <v>231115</v>
      </c>
      <c r="H25616">
        <v>4600</v>
      </c>
      <c r="I25616" t="s">
        <v>105</v>
      </c>
      <c r="J25616">
        <v>1081.74</v>
      </c>
      <c r="K25616">
        <v>209.37</v>
      </c>
      <c r="L25616">
        <v>17809</v>
      </c>
      <c r="M25616" t="s">
        <v>376</v>
      </c>
      <c r="N25616" t="str">
        <f>"122105896   "</f>
        <v xml:space="preserve">122105896   </v>
      </c>
      <c r="O25616">
        <v>231122</v>
      </c>
    </row>
    <row r="25617" spans="1:15" x14ac:dyDescent="0.25">
      <c r="A25617" t="s">
        <v>16</v>
      </c>
      <c r="B25617" t="s">
        <v>3221</v>
      </c>
      <c r="C25617">
        <v>16160</v>
      </c>
      <c r="D25617" t="s">
        <v>114</v>
      </c>
      <c r="E25617" t="s">
        <v>115</v>
      </c>
      <c r="F25617">
        <v>-10.17</v>
      </c>
      <c r="G25617">
        <v>231115</v>
      </c>
      <c r="H25617">
        <v>4600</v>
      </c>
      <c r="I25617" t="s">
        <v>105</v>
      </c>
      <c r="J25617">
        <v>-12.61</v>
      </c>
      <c r="K25617">
        <v>-2.44</v>
      </c>
      <c r="L25617">
        <v>56560</v>
      </c>
      <c r="M25617" t="s">
        <v>654</v>
      </c>
      <c r="N25617" t="str">
        <f>"95459713    "</f>
        <v xml:space="preserve">95459713    </v>
      </c>
      <c r="O25617">
        <v>231123</v>
      </c>
    </row>
    <row r="25618" spans="1:15" x14ac:dyDescent="0.25">
      <c r="A25618" t="s">
        <v>16</v>
      </c>
      <c r="B25618" t="s">
        <v>3221</v>
      </c>
      <c r="C25618">
        <v>16372</v>
      </c>
      <c r="D25618" t="s">
        <v>114</v>
      </c>
      <c r="E25618" t="s">
        <v>115</v>
      </c>
      <c r="F25618">
        <v>84.29</v>
      </c>
      <c r="G25618">
        <v>231124</v>
      </c>
      <c r="H25618">
        <v>4600</v>
      </c>
      <c r="I25618" t="s">
        <v>105</v>
      </c>
      <c r="J25618">
        <v>104.52</v>
      </c>
      <c r="K25618">
        <v>20.23</v>
      </c>
      <c r="L25618">
        <v>67522</v>
      </c>
      <c r="M25618" t="s">
        <v>397</v>
      </c>
      <c r="N25618" t="str">
        <f>"122141301   "</f>
        <v xml:space="preserve">122141301   </v>
      </c>
      <c r="O25618">
        <v>231128</v>
      </c>
    </row>
    <row r="25619" spans="1:15" x14ac:dyDescent="0.25">
      <c r="A25619" t="s">
        <v>16</v>
      </c>
      <c r="B25619" t="s">
        <v>3221</v>
      </c>
      <c r="C25619">
        <v>16372</v>
      </c>
      <c r="D25619" t="s">
        <v>114</v>
      </c>
      <c r="E25619" t="s">
        <v>115</v>
      </c>
      <c r="F25619">
        <v>112.8</v>
      </c>
      <c r="G25619">
        <v>231124</v>
      </c>
      <c r="H25619">
        <v>4600</v>
      </c>
      <c r="I25619" t="s">
        <v>105</v>
      </c>
      <c r="J25619">
        <v>139.87</v>
      </c>
      <c r="K25619">
        <v>27.07</v>
      </c>
      <c r="L25619">
        <v>69501</v>
      </c>
      <c r="M25619" t="s">
        <v>185</v>
      </c>
      <c r="N25619" t="str">
        <f>"122141301   "</f>
        <v xml:space="preserve">122141301   </v>
      </c>
      <c r="O25619">
        <v>231128</v>
      </c>
    </row>
    <row r="25620" spans="1:15" x14ac:dyDescent="0.25">
      <c r="A25620" t="s">
        <v>16</v>
      </c>
      <c r="B25620" t="s">
        <v>3221</v>
      </c>
      <c r="C25620">
        <v>16530</v>
      </c>
      <c r="D25620" t="s">
        <v>114</v>
      </c>
      <c r="E25620" t="s">
        <v>115</v>
      </c>
      <c r="F25620">
        <v>16.95</v>
      </c>
      <c r="G25620">
        <v>231113</v>
      </c>
      <c r="H25620">
        <v>4600</v>
      </c>
      <c r="I25620" t="s">
        <v>105</v>
      </c>
      <c r="J25620">
        <v>21.02</v>
      </c>
      <c r="K25620">
        <v>4.07</v>
      </c>
      <c r="L25620">
        <v>17522</v>
      </c>
      <c r="M25620" t="s">
        <v>451</v>
      </c>
      <c r="N25620" t="str">
        <f>"122094770   "</f>
        <v xml:space="preserve">122094770   </v>
      </c>
      <c r="O25620">
        <v>231201</v>
      </c>
    </row>
    <row r="25621" spans="1:15" x14ac:dyDescent="0.25">
      <c r="A25621" t="s">
        <v>16</v>
      </c>
      <c r="B25621" t="s">
        <v>3221</v>
      </c>
      <c r="C25621">
        <v>16568</v>
      </c>
      <c r="D25621" t="s">
        <v>114</v>
      </c>
      <c r="E25621" t="s">
        <v>115</v>
      </c>
      <c r="F25621">
        <v>424.58</v>
      </c>
      <c r="G25621">
        <v>231130</v>
      </c>
      <c r="H25621">
        <v>4600</v>
      </c>
      <c r="I25621" t="s">
        <v>105</v>
      </c>
      <c r="J25621">
        <v>526.48</v>
      </c>
      <c r="K25621">
        <v>101.9</v>
      </c>
      <c r="L25621">
        <v>56568</v>
      </c>
      <c r="M25621" t="s">
        <v>268</v>
      </c>
      <c r="N25621" t="str">
        <f>"122166494   "</f>
        <v xml:space="preserve">122166494   </v>
      </c>
      <c r="O25621">
        <v>231201</v>
      </c>
    </row>
    <row r="25622" spans="1:15" x14ac:dyDescent="0.25">
      <c r="A25622" t="s">
        <v>16</v>
      </c>
      <c r="B25622" t="s">
        <v>3221</v>
      </c>
      <c r="C25622">
        <v>16759</v>
      </c>
      <c r="D25622" t="s">
        <v>114</v>
      </c>
      <c r="E25622" t="s">
        <v>115</v>
      </c>
      <c r="F25622">
        <v>53.44</v>
      </c>
      <c r="G25622">
        <v>231123</v>
      </c>
      <c r="H25622">
        <v>4600</v>
      </c>
      <c r="I25622" t="s">
        <v>105</v>
      </c>
      <c r="J25622">
        <v>66.260000000000005</v>
      </c>
      <c r="K25622">
        <v>12.82</v>
      </c>
      <c r="L25622">
        <v>17802</v>
      </c>
      <c r="M25622" t="s">
        <v>174</v>
      </c>
      <c r="N25622" t="str">
        <f>"122135887   "</f>
        <v xml:space="preserve">122135887   </v>
      </c>
      <c r="O25622">
        <v>231208</v>
      </c>
    </row>
    <row r="25623" spans="1:15" x14ac:dyDescent="0.25">
      <c r="A25623" t="s">
        <v>16</v>
      </c>
      <c r="B25623" t="s">
        <v>3221</v>
      </c>
      <c r="C25623">
        <v>16759</v>
      </c>
      <c r="D25623" t="s">
        <v>114</v>
      </c>
      <c r="E25623" t="s">
        <v>115</v>
      </c>
      <c r="F25623">
        <v>38.880000000000003</v>
      </c>
      <c r="G25623">
        <v>231123</v>
      </c>
      <c r="H25623">
        <v>4600</v>
      </c>
      <c r="I25623" t="s">
        <v>105</v>
      </c>
      <c r="J25623">
        <v>48.21</v>
      </c>
      <c r="K25623">
        <v>9.33</v>
      </c>
      <c r="L25623">
        <v>17808</v>
      </c>
      <c r="M25623" t="s">
        <v>322</v>
      </c>
      <c r="N25623" t="str">
        <f>"122135887   "</f>
        <v xml:space="preserve">122135887   </v>
      </c>
      <c r="O25623">
        <v>231208</v>
      </c>
    </row>
    <row r="25624" spans="1:15" x14ac:dyDescent="0.25">
      <c r="A25624" t="s">
        <v>16</v>
      </c>
      <c r="B25624" t="s">
        <v>3221</v>
      </c>
      <c r="C25624">
        <v>16759</v>
      </c>
      <c r="D25624" t="s">
        <v>114</v>
      </c>
      <c r="E25624" t="s">
        <v>115</v>
      </c>
      <c r="F25624">
        <v>24.4</v>
      </c>
      <c r="G25624">
        <v>231123</v>
      </c>
      <c r="H25624">
        <v>4600</v>
      </c>
      <c r="I25624" t="s">
        <v>105</v>
      </c>
      <c r="J25624">
        <v>30.26</v>
      </c>
      <c r="K25624">
        <v>5.86</v>
      </c>
      <c r="L25624">
        <v>17812</v>
      </c>
      <c r="M25624" t="s">
        <v>594</v>
      </c>
      <c r="N25624" t="str">
        <f>"122135887   "</f>
        <v xml:space="preserve">122135887   </v>
      </c>
      <c r="O25624">
        <v>231208</v>
      </c>
    </row>
    <row r="25625" spans="1:15" x14ac:dyDescent="0.25">
      <c r="A25625" t="s">
        <v>16</v>
      </c>
      <c r="B25625" t="s">
        <v>3221</v>
      </c>
      <c r="C25625">
        <v>16767</v>
      </c>
      <c r="D25625" t="s">
        <v>114</v>
      </c>
      <c r="E25625" t="s">
        <v>115</v>
      </c>
      <c r="F25625">
        <v>118.33</v>
      </c>
      <c r="G25625">
        <v>231128</v>
      </c>
      <c r="H25625">
        <v>4600</v>
      </c>
      <c r="I25625" t="s">
        <v>105</v>
      </c>
      <c r="J25625">
        <v>146.72999999999999</v>
      </c>
      <c r="K25625">
        <v>28.4</v>
      </c>
      <c r="L25625">
        <v>46555</v>
      </c>
      <c r="M25625" t="s">
        <v>597</v>
      </c>
      <c r="N25625" t="str">
        <f>"122151747   "</f>
        <v xml:space="preserve">122151747   </v>
      </c>
      <c r="O25625">
        <v>231208</v>
      </c>
    </row>
    <row r="25626" spans="1:15" x14ac:dyDescent="0.25">
      <c r="A25626" t="s">
        <v>16</v>
      </c>
      <c r="B25626" t="s">
        <v>3221</v>
      </c>
      <c r="C25626">
        <v>16769</v>
      </c>
      <c r="D25626" t="s">
        <v>114</v>
      </c>
      <c r="E25626" t="s">
        <v>115</v>
      </c>
      <c r="F25626">
        <v>251.62</v>
      </c>
      <c r="G25626">
        <v>231128</v>
      </c>
      <c r="H25626">
        <v>4600</v>
      </c>
      <c r="I25626" t="s">
        <v>105</v>
      </c>
      <c r="J25626">
        <v>312.01</v>
      </c>
      <c r="K25626">
        <v>60.39</v>
      </c>
      <c r="L25626">
        <v>17803</v>
      </c>
      <c r="M25626" t="s">
        <v>389</v>
      </c>
      <c r="N25626" t="str">
        <f>"122150051   "</f>
        <v xml:space="preserve">122150051   </v>
      </c>
      <c r="O25626">
        <v>231208</v>
      </c>
    </row>
    <row r="25627" spans="1:15" x14ac:dyDescent="0.25">
      <c r="A25627" t="s">
        <v>16</v>
      </c>
      <c r="B25627" t="s">
        <v>3221</v>
      </c>
      <c r="C25627">
        <v>16776</v>
      </c>
      <c r="D25627" t="s">
        <v>114</v>
      </c>
      <c r="E25627" t="s">
        <v>115</v>
      </c>
      <c r="F25627">
        <v>259.60000000000002</v>
      </c>
      <c r="G25627">
        <v>231129</v>
      </c>
      <c r="H25627">
        <v>4600</v>
      </c>
      <c r="I25627" t="s">
        <v>105</v>
      </c>
      <c r="J25627">
        <v>321.91000000000003</v>
      </c>
      <c r="K25627">
        <v>62.31</v>
      </c>
      <c r="L25627">
        <v>17803</v>
      </c>
      <c r="M25627" t="s">
        <v>389</v>
      </c>
      <c r="N25627" t="str">
        <f>"122153702   "</f>
        <v xml:space="preserve">122153702   </v>
      </c>
      <c r="O25627">
        <v>231208</v>
      </c>
    </row>
    <row r="25628" spans="1:15" x14ac:dyDescent="0.25">
      <c r="A25628" t="s">
        <v>16</v>
      </c>
      <c r="B25628" t="s">
        <v>3221</v>
      </c>
      <c r="C25628">
        <v>16866</v>
      </c>
      <c r="D25628" t="s">
        <v>114</v>
      </c>
      <c r="E25628" t="s">
        <v>115</v>
      </c>
      <c r="F25628">
        <v>467.28</v>
      </c>
      <c r="G25628">
        <v>231130</v>
      </c>
      <c r="H25628">
        <v>4600</v>
      </c>
      <c r="I25628" t="s">
        <v>105</v>
      </c>
      <c r="J25628">
        <v>579.42999999999995</v>
      </c>
      <c r="K25628">
        <v>112.15</v>
      </c>
      <c r="L25628">
        <v>46554</v>
      </c>
      <c r="M25628" t="s">
        <v>117</v>
      </c>
      <c r="N25628" t="str">
        <f>"122167496   "</f>
        <v xml:space="preserve">122167496   </v>
      </c>
      <c r="O25628">
        <v>231211</v>
      </c>
    </row>
    <row r="25629" spans="1:15" x14ac:dyDescent="0.25">
      <c r="A25629" t="s">
        <v>16</v>
      </c>
      <c r="B25629" t="s">
        <v>3221</v>
      </c>
      <c r="C25629">
        <v>16875</v>
      </c>
      <c r="D25629" t="s">
        <v>114</v>
      </c>
      <c r="E25629" t="s">
        <v>115</v>
      </c>
      <c r="F25629">
        <v>44.74</v>
      </c>
      <c r="G25629">
        <v>231130</v>
      </c>
      <c r="H25629">
        <v>4600</v>
      </c>
      <c r="I25629" t="s">
        <v>105</v>
      </c>
      <c r="J25629">
        <v>55.48</v>
      </c>
      <c r="K25629">
        <v>10.74</v>
      </c>
      <c r="L25629">
        <v>17529</v>
      </c>
      <c r="M25629" t="s">
        <v>453</v>
      </c>
      <c r="N25629" t="str">
        <f>"122171770   "</f>
        <v xml:space="preserve">122171770   </v>
      </c>
      <c r="O25629">
        <v>231211</v>
      </c>
    </row>
    <row r="25630" spans="1:15" x14ac:dyDescent="0.25">
      <c r="A25630" t="s">
        <v>16</v>
      </c>
      <c r="B25630" t="s">
        <v>3221</v>
      </c>
      <c r="C25630">
        <v>16902</v>
      </c>
      <c r="D25630" t="s">
        <v>114</v>
      </c>
      <c r="E25630" t="s">
        <v>115</v>
      </c>
      <c r="F25630">
        <v>1835.72</v>
      </c>
      <c r="G25630">
        <v>231130</v>
      </c>
      <c r="H25630">
        <v>4600</v>
      </c>
      <c r="I25630" t="s">
        <v>105</v>
      </c>
      <c r="J25630">
        <v>2276.29</v>
      </c>
      <c r="K25630">
        <v>440.57</v>
      </c>
      <c r="L25630">
        <v>56564</v>
      </c>
      <c r="M25630" t="s">
        <v>327</v>
      </c>
      <c r="N25630" t="str">
        <f>"122166493   "</f>
        <v xml:space="preserve">122166493   </v>
      </c>
      <c r="O25630">
        <v>231211</v>
      </c>
    </row>
    <row r="25631" spans="1:15" x14ac:dyDescent="0.25">
      <c r="A25631" t="s">
        <v>16</v>
      </c>
      <c r="B25631" t="s">
        <v>3221</v>
      </c>
      <c r="C25631">
        <v>17338</v>
      </c>
      <c r="D25631" t="s">
        <v>114</v>
      </c>
      <c r="E25631" t="s">
        <v>115</v>
      </c>
      <c r="F25631">
        <v>146.4</v>
      </c>
      <c r="G25631">
        <v>231207</v>
      </c>
      <c r="H25631">
        <v>4600</v>
      </c>
      <c r="I25631" t="s">
        <v>105</v>
      </c>
      <c r="J25631">
        <v>181.53</v>
      </c>
      <c r="K25631">
        <v>35.130000000000003</v>
      </c>
      <c r="L25631">
        <v>46554</v>
      </c>
      <c r="M25631" t="s">
        <v>117</v>
      </c>
      <c r="N25631" t="str">
        <f>"122192859   "</f>
        <v xml:space="preserve">122192859   </v>
      </c>
      <c r="O25631">
        <v>231213</v>
      </c>
    </row>
    <row r="25632" spans="1:15" x14ac:dyDescent="0.25">
      <c r="A25632" t="s">
        <v>16</v>
      </c>
      <c r="B25632" t="s">
        <v>3221</v>
      </c>
      <c r="C25632">
        <v>18387</v>
      </c>
      <c r="D25632" t="s">
        <v>114</v>
      </c>
      <c r="E25632" t="s">
        <v>115</v>
      </c>
      <c r="F25632">
        <v>151.53</v>
      </c>
      <c r="G25632">
        <v>231212</v>
      </c>
      <c r="H25632">
        <v>4600</v>
      </c>
      <c r="I25632" t="s">
        <v>105</v>
      </c>
      <c r="J25632">
        <v>187.9</v>
      </c>
      <c r="K25632">
        <v>36.369999999999997</v>
      </c>
      <c r="L25632">
        <v>46554</v>
      </c>
      <c r="M25632" t="s">
        <v>117</v>
      </c>
      <c r="N25632" t="str">
        <f>"122209450   "</f>
        <v xml:space="preserve">122209450   </v>
      </c>
      <c r="O25632">
        <v>240103</v>
      </c>
    </row>
    <row r="25633" spans="1:15" x14ac:dyDescent="0.25">
      <c r="A25633" t="s">
        <v>16</v>
      </c>
      <c r="B25633" t="s">
        <v>3221</v>
      </c>
      <c r="C25633">
        <v>18390</v>
      </c>
      <c r="D25633" t="s">
        <v>114</v>
      </c>
      <c r="E25633" t="s">
        <v>115</v>
      </c>
      <c r="F25633">
        <v>498.7</v>
      </c>
      <c r="G25633">
        <v>231213</v>
      </c>
      <c r="H25633">
        <v>4600</v>
      </c>
      <c r="I25633" t="s">
        <v>105</v>
      </c>
      <c r="J25633">
        <v>618.39</v>
      </c>
      <c r="K25633">
        <v>119.69</v>
      </c>
      <c r="L25633">
        <v>17803</v>
      </c>
      <c r="M25633" t="s">
        <v>389</v>
      </c>
      <c r="N25633" t="str">
        <f>"122211701   "</f>
        <v xml:space="preserve">122211701   </v>
      </c>
      <c r="O25633">
        <v>240103</v>
      </c>
    </row>
    <row r="25634" spans="1:15" x14ac:dyDescent="0.25">
      <c r="A25634" t="s">
        <v>16</v>
      </c>
      <c r="B25634" t="s">
        <v>3221</v>
      </c>
      <c r="C25634">
        <v>18559</v>
      </c>
      <c r="D25634" t="s">
        <v>114</v>
      </c>
      <c r="E25634" t="s">
        <v>115</v>
      </c>
      <c r="F25634">
        <v>36.22</v>
      </c>
      <c r="G25634">
        <v>231215</v>
      </c>
      <c r="H25634">
        <v>4600</v>
      </c>
      <c r="I25634" t="s">
        <v>105</v>
      </c>
      <c r="J25634">
        <v>44.91</v>
      </c>
      <c r="K25634">
        <v>8.69</v>
      </c>
      <c r="L25634">
        <v>46554</v>
      </c>
      <c r="M25634" t="s">
        <v>117</v>
      </c>
      <c r="N25634" t="str">
        <f>"122225827   "</f>
        <v xml:space="preserve">122225827   </v>
      </c>
      <c r="O25634">
        <v>240104</v>
      </c>
    </row>
    <row r="25635" spans="1:15" x14ac:dyDescent="0.25">
      <c r="A25635" t="s">
        <v>16</v>
      </c>
      <c r="B25635" t="s">
        <v>3221</v>
      </c>
      <c r="C25635">
        <v>18564</v>
      </c>
      <c r="D25635" t="s">
        <v>114</v>
      </c>
      <c r="E25635" t="s">
        <v>115</v>
      </c>
      <c r="F25635">
        <v>417.3</v>
      </c>
      <c r="G25635">
        <v>231215</v>
      </c>
      <c r="H25635">
        <v>4600</v>
      </c>
      <c r="I25635" t="s">
        <v>105</v>
      </c>
      <c r="J25635">
        <v>517.45000000000005</v>
      </c>
      <c r="K25635">
        <v>100.15</v>
      </c>
      <c r="L25635">
        <v>56568</v>
      </c>
      <c r="M25635" t="s">
        <v>268</v>
      </c>
      <c r="N25635" t="str">
        <f>"122220902   "</f>
        <v xml:space="preserve">122220902   </v>
      </c>
      <c r="O25635">
        <v>240104</v>
      </c>
    </row>
    <row r="25636" spans="1:15" x14ac:dyDescent="0.25">
      <c r="A25636" t="s">
        <v>16</v>
      </c>
      <c r="B25636" t="s">
        <v>3221</v>
      </c>
      <c r="C25636">
        <v>18585</v>
      </c>
      <c r="D25636" t="s">
        <v>114</v>
      </c>
      <c r="E25636" t="s">
        <v>115</v>
      </c>
      <c r="F25636">
        <v>100.13</v>
      </c>
      <c r="G25636">
        <v>231215</v>
      </c>
      <c r="H25636">
        <v>4600</v>
      </c>
      <c r="I25636" t="s">
        <v>105</v>
      </c>
      <c r="J25636">
        <v>124.16</v>
      </c>
      <c r="K25636">
        <v>24.03</v>
      </c>
      <c r="L25636">
        <v>49501</v>
      </c>
      <c r="M25636" t="s">
        <v>177</v>
      </c>
      <c r="N25636" t="str">
        <f>"122225828   "</f>
        <v xml:space="preserve">122225828   </v>
      </c>
      <c r="O25636">
        <v>240104</v>
      </c>
    </row>
    <row r="25637" spans="1:15" x14ac:dyDescent="0.25">
      <c r="A25637" t="s">
        <v>16</v>
      </c>
      <c r="B25637" t="s">
        <v>3221</v>
      </c>
      <c r="C25637">
        <v>18591</v>
      </c>
      <c r="D25637" t="s">
        <v>114</v>
      </c>
      <c r="E25637" t="s">
        <v>115</v>
      </c>
      <c r="F25637">
        <v>416.64</v>
      </c>
      <c r="G25637">
        <v>231215</v>
      </c>
      <c r="H25637">
        <v>4600</v>
      </c>
      <c r="I25637" t="s">
        <v>105</v>
      </c>
      <c r="J25637">
        <v>516.63</v>
      </c>
      <c r="K25637">
        <v>99.99</v>
      </c>
      <c r="L25637">
        <v>56565</v>
      </c>
      <c r="M25637" t="s">
        <v>758</v>
      </c>
      <c r="N25637" t="str">
        <f>"122220903   "</f>
        <v xml:space="preserve">122220903   </v>
      </c>
      <c r="O25637">
        <v>240104</v>
      </c>
    </row>
    <row r="25638" spans="1:15" x14ac:dyDescent="0.25">
      <c r="A25638" t="s">
        <v>16</v>
      </c>
      <c r="B25638" t="s">
        <v>3221</v>
      </c>
      <c r="C25638">
        <v>18647</v>
      </c>
      <c r="D25638" t="s">
        <v>114</v>
      </c>
      <c r="E25638" t="s">
        <v>115</v>
      </c>
      <c r="F25638">
        <v>1318.9</v>
      </c>
      <c r="G25638">
        <v>231229</v>
      </c>
      <c r="H25638">
        <v>4600</v>
      </c>
      <c r="I25638" t="s">
        <v>105</v>
      </c>
      <c r="J25638">
        <v>1635.43</v>
      </c>
      <c r="K25638">
        <v>316.52999999999997</v>
      </c>
      <c r="L25638">
        <v>56564</v>
      </c>
      <c r="M25638" t="s">
        <v>327</v>
      </c>
      <c r="N25638" t="str">
        <f>"122248863   "</f>
        <v xml:space="preserve">122248863   </v>
      </c>
      <c r="O25638">
        <v>240104</v>
      </c>
    </row>
    <row r="25639" spans="1:15" x14ac:dyDescent="0.25">
      <c r="A25639" t="s">
        <v>16</v>
      </c>
      <c r="B25639" t="s">
        <v>3221</v>
      </c>
      <c r="C25639">
        <v>18792</v>
      </c>
      <c r="D25639" t="s">
        <v>114</v>
      </c>
      <c r="E25639" t="s">
        <v>115</v>
      </c>
      <c r="F25639">
        <v>173.73</v>
      </c>
      <c r="G25639">
        <v>231229</v>
      </c>
      <c r="H25639">
        <v>4600</v>
      </c>
      <c r="I25639" t="s">
        <v>105</v>
      </c>
      <c r="J25639">
        <v>215.43</v>
      </c>
      <c r="K25639">
        <v>41.7</v>
      </c>
      <c r="L25639">
        <v>56568</v>
      </c>
      <c r="M25639" t="s">
        <v>268</v>
      </c>
      <c r="N25639" t="str">
        <f>"122248864   "</f>
        <v xml:space="preserve">122248864   </v>
      </c>
      <c r="O25639">
        <v>240105</v>
      </c>
    </row>
    <row r="25640" spans="1:15" x14ac:dyDescent="0.25">
      <c r="A25640" t="s">
        <v>16</v>
      </c>
      <c r="B25640" t="s">
        <v>3221</v>
      </c>
      <c r="C25640">
        <v>18793</v>
      </c>
      <c r="D25640" t="s">
        <v>114</v>
      </c>
      <c r="E25640" t="s">
        <v>115</v>
      </c>
      <c r="F25640">
        <v>11.63</v>
      </c>
      <c r="G25640">
        <v>231229</v>
      </c>
      <c r="H25640">
        <v>4600</v>
      </c>
      <c r="I25640" t="s">
        <v>105</v>
      </c>
      <c r="J25640">
        <v>14.42</v>
      </c>
      <c r="K25640">
        <v>2.79</v>
      </c>
      <c r="L25640">
        <v>46554</v>
      </c>
      <c r="M25640" t="s">
        <v>117</v>
      </c>
      <c r="N25640" t="str">
        <f>"122260204   "</f>
        <v xml:space="preserve">122260204   </v>
      </c>
      <c r="O25640">
        <v>240105</v>
      </c>
    </row>
    <row r="25641" spans="1:15" x14ac:dyDescent="0.25">
      <c r="A25641" t="s">
        <v>16</v>
      </c>
      <c r="B25641" t="s">
        <v>3221</v>
      </c>
      <c r="C25641">
        <v>18993</v>
      </c>
      <c r="D25641" t="s">
        <v>114</v>
      </c>
      <c r="E25641" t="s">
        <v>115</v>
      </c>
      <c r="F25641">
        <v>27.56</v>
      </c>
      <c r="G25641">
        <v>231229</v>
      </c>
      <c r="H25641">
        <v>4600</v>
      </c>
      <c r="I25641" t="s">
        <v>105</v>
      </c>
      <c r="J25641">
        <v>34.17</v>
      </c>
      <c r="K25641">
        <v>6.61</v>
      </c>
      <c r="L25641">
        <v>17633</v>
      </c>
      <c r="M25641" t="s">
        <v>724</v>
      </c>
      <c r="N25641" t="str">
        <f>"122259465   "</f>
        <v xml:space="preserve">122259465   </v>
      </c>
      <c r="O25641">
        <v>240109</v>
      </c>
    </row>
    <row r="25642" spans="1:15" x14ac:dyDescent="0.25">
      <c r="A25642" t="s">
        <v>16</v>
      </c>
      <c r="B25642" t="s">
        <v>3221</v>
      </c>
      <c r="C25642">
        <v>14688</v>
      </c>
      <c r="D25642" t="s">
        <v>114</v>
      </c>
      <c r="E25642" t="s">
        <v>115</v>
      </c>
      <c r="F25642">
        <v>80.98</v>
      </c>
      <c r="G25642">
        <v>231027</v>
      </c>
      <c r="H25642">
        <v>4460</v>
      </c>
      <c r="I25642" t="s">
        <v>524</v>
      </c>
      <c r="J25642">
        <v>100.41</v>
      </c>
      <c r="K25642">
        <v>19.43</v>
      </c>
      <c r="L25642">
        <v>17812</v>
      </c>
      <c r="M25642" t="s">
        <v>594</v>
      </c>
      <c r="N25642" t="str">
        <f>"122025492   "</f>
        <v xml:space="preserve">122025492   </v>
      </c>
      <c r="O25642">
        <v>231031</v>
      </c>
    </row>
    <row r="25643" spans="1:15" x14ac:dyDescent="0.25">
      <c r="A25643" t="s">
        <v>16</v>
      </c>
      <c r="B25643" t="s">
        <v>3221</v>
      </c>
      <c r="C25643">
        <v>273</v>
      </c>
      <c r="D25643" t="s">
        <v>114</v>
      </c>
      <c r="E25643" t="s">
        <v>115</v>
      </c>
      <c r="F25643">
        <v>59.2</v>
      </c>
      <c r="G25643">
        <v>230112</v>
      </c>
      <c r="H25643">
        <v>4560</v>
      </c>
      <c r="I25643" t="s">
        <v>345</v>
      </c>
      <c r="J25643">
        <v>73.41</v>
      </c>
      <c r="K25643">
        <v>14.21</v>
      </c>
      <c r="L25643">
        <v>67522</v>
      </c>
      <c r="M25643" t="s">
        <v>397</v>
      </c>
      <c r="N25643" t="str">
        <f>"120910212   "</f>
        <v xml:space="preserve">120910212   </v>
      </c>
      <c r="O25643">
        <v>230117</v>
      </c>
    </row>
    <row r="25644" spans="1:15" x14ac:dyDescent="0.25">
      <c r="A25644" t="s">
        <v>16</v>
      </c>
      <c r="B25644" t="s">
        <v>3221</v>
      </c>
      <c r="C25644">
        <v>273</v>
      </c>
      <c r="D25644" t="s">
        <v>114</v>
      </c>
      <c r="E25644" t="s">
        <v>115</v>
      </c>
      <c r="F25644">
        <v>59.19</v>
      </c>
      <c r="G25644">
        <v>230112</v>
      </c>
      <c r="H25644">
        <v>4560</v>
      </c>
      <c r="I25644" t="s">
        <v>345</v>
      </c>
      <c r="J25644">
        <v>73.400000000000006</v>
      </c>
      <c r="K25644">
        <v>14.21</v>
      </c>
      <c r="L25644">
        <v>67522</v>
      </c>
      <c r="M25644" t="s">
        <v>397</v>
      </c>
      <c r="N25644" t="str">
        <f>"120910212   "</f>
        <v xml:space="preserve">120910212   </v>
      </c>
      <c r="O25644">
        <v>230117</v>
      </c>
    </row>
    <row r="25645" spans="1:15" x14ac:dyDescent="0.25">
      <c r="A25645" t="s">
        <v>16</v>
      </c>
      <c r="B25645" t="s">
        <v>3221</v>
      </c>
      <c r="C25645">
        <v>16372</v>
      </c>
      <c r="D25645" t="s">
        <v>114</v>
      </c>
      <c r="E25645" t="s">
        <v>115</v>
      </c>
      <c r="F25645">
        <v>20.84</v>
      </c>
      <c r="G25645">
        <v>231124</v>
      </c>
      <c r="H25645">
        <v>4560</v>
      </c>
      <c r="I25645" t="s">
        <v>345</v>
      </c>
      <c r="J25645">
        <v>25.84</v>
      </c>
      <c r="K25645">
        <v>5</v>
      </c>
      <c r="L25645">
        <v>67522</v>
      </c>
      <c r="M25645" t="s">
        <v>397</v>
      </c>
      <c r="N25645" t="str">
        <f>"122141301   "</f>
        <v xml:space="preserve">122141301   </v>
      </c>
      <c r="O25645">
        <v>231128</v>
      </c>
    </row>
    <row r="25646" spans="1:15" x14ac:dyDescent="0.25">
      <c r="A25646" t="s">
        <v>16</v>
      </c>
      <c r="B25646" t="s">
        <v>3221</v>
      </c>
      <c r="C25646">
        <v>1843</v>
      </c>
      <c r="D25646" t="s">
        <v>114</v>
      </c>
      <c r="E25646" t="s">
        <v>115</v>
      </c>
      <c r="F25646">
        <v>10.45</v>
      </c>
      <c r="G25646">
        <v>230207</v>
      </c>
      <c r="H25646">
        <v>4390</v>
      </c>
      <c r="I25646" t="s">
        <v>98</v>
      </c>
      <c r="J25646">
        <v>12.96</v>
      </c>
      <c r="K25646">
        <v>2.5099999999999998</v>
      </c>
      <c r="L25646">
        <v>17952</v>
      </c>
      <c r="M25646" t="s">
        <v>88</v>
      </c>
      <c r="N25646" t="str">
        <f>"121011026   "</f>
        <v xml:space="preserve">121011026   </v>
      </c>
      <c r="O25646">
        <v>230214</v>
      </c>
    </row>
    <row r="25647" spans="1:15" x14ac:dyDescent="0.25">
      <c r="A25647" t="s">
        <v>16</v>
      </c>
      <c r="B25647" t="s">
        <v>3221</v>
      </c>
      <c r="C25647">
        <v>173</v>
      </c>
      <c r="D25647" t="s">
        <v>114</v>
      </c>
      <c r="E25647" t="s">
        <v>115</v>
      </c>
      <c r="F25647">
        <v>251.64</v>
      </c>
      <c r="G25647">
        <v>230112</v>
      </c>
      <c r="H25647">
        <v>4590</v>
      </c>
      <c r="I25647" t="s">
        <v>203</v>
      </c>
      <c r="J25647">
        <v>312.02999999999997</v>
      </c>
      <c r="K25647">
        <v>60.39</v>
      </c>
      <c r="L25647">
        <v>17806</v>
      </c>
      <c r="M25647" t="s">
        <v>265</v>
      </c>
      <c r="N25647" t="str">
        <f>"120906713   "</f>
        <v xml:space="preserve">120906713   </v>
      </c>
      <c r="O25647">
        <v>230116</v>
      </c>
    </row>
    <row r="25648" spans="1:15" x14ac:dyDescent="0.25">
      <c r="A25648" t="s">
        <v>16</v>
      </c>
      <c r="B25648" t="s">
        <v>3221</v>
      </c>
      <c r="C25648">
        <v>235</v>
      </c>
      <c r="D25648" t="s">
        <v>114</v>
      </c>
      <c r="E25648" t="s">
        <v>115</v>
      </c>
      <c r="F25648">
        <v>370.67</v>
      </c>
      <c r="G25648">
        <v>230113</v>
      </c>
      <c r="H25648">
        <v>4590</v>
      </c>
      <c r="I25648" t="s">
        <v>203</v>
      </c>
      <c r="J25648">
        <v>459.63</v>
      </c>
      <c r="K25648">
        <v>88.96</v>
      </c>
      <c r="L25648">
        <v>56561</v>
      </c>
      <c r="M25648" t="s">
        <v>358</v>
      </c>
      <c r="N25648" t="str">
        <f>"120913963   "</f>
        <v xml:space="preserve">120913963   </v>
      </c>
      <c r="O25648">
        <v>230116</v>
      </c>
    </row>
    <row r="25649" spans="1:15" x14ac:dyDescent="0.25">
      <c r="A25649" t="s">
        <v>16</v>
      </c>
      <c r="B25649" t="s">
        <v>3221</v>
      </c>
      <c r="C25649">
        <v>235</v>
      </c>
      <c r="D25649" t="s">
        <v>114</v>
      </c>
      <c r="E25649" t="s">
        <v>115</v>
      </c>
      <c r="F25649">
        <v>23.04</v>
      </c>
      <c r="G25649">
        <v>230113</v>
      </c>
      <c r="H25649">
        <v>4590</v>
      </c>
      <c r="I25649" t="s">
        <v>203</v>
      </c>
      <c r="J25649">
        <v>28.57</v>
      </c>
      <c r="K25649">
        <v>5.53</v>
      </c>
      <c r="L25649">
        <v>59504</v>
      </c>
      <c r="M25649" t="s">
        <v>71</v>
      </c>
      <c r="N25649" t="str">
        <f>"120913963   "</f>
        <v xml:space="preserve">120913963   </v>
      </c>
      <c r="O25649">
        <v>230116</v>
      </c>
    </row>
    <row r="25650" spans="1:15" x14ac:dyDescent="0.25">
      <c r="A25650" t="s">
        <v>16</v>
      </c>
      <c r="B25650" t="s">
        <v>3221</v>
      </c>
      <c r="C25650">
        <v>260</v>
      </c>
      <c r="D25650" t="s">
        <v>114</v>
      </c>
      <c r="E25650" t="s">
        <v>115</v>
      </c>
      <c r="F25650">
        <v>33.51</v>
      </c>
      <c r="G25650">
        <v>230111</v>
      </c>
      <c r="H25650">
        <v>4590</v>
      </c>
      <c r="I25650" t="s">
        <v>203</v>
      </c>
      <c r="J25650">
        <v>41.55</v>
      </c>
      <c r="K25650">
        <v>8.0399999999999991</v>
      </c>
      <c r="L25650">
        <v>46556</v>
      </c>
      <c r="M25650" t="s">
        <v>125</v>
      </c>
      <c r="N25650" t="str">
        <f>"120902920   "</f>
        <v xml:space="preserve">120902920   </v>
      </c>
      <c r="O25650">
        <v>230117</v>
      </c>
    </row>
    <row r="25651" spans="1:15" x14ac:dyDescent="0.25">
      <c r="A25651" t="s">
        <v>16</v>
      </c>
      <c r="B25651" t="s">
        <v>3221</v>
      </c>
      <c r="C25651">
        <v>313</v>
      </c>
      <c r="D25651" t="s">
        <v>114</v>
      </c>
      <c r="E25651" t="s">
        <v>115</v>
      </c>
      <c r="F25651">
        <v>157.22999999999999</v>
      </c>
      <c r="G25651">
        <v>230116</v>
      </c>
      <c r="H25651">
        <v>4590</v>
      </c>
      <c r="I25651" t="s">
        <v>203</v>
      </c>
      <c r="J25651">
        <v>194.96</v>
      </c>
      <c r="K25651">
        <v>37.729999999999997</v>
      </c>
      <c r="L25651">
        <v>46556</v>
      </c>
      <c r="M25651" t="s">
        <v>125</v>
      </c>
      <c r="N25651" t="str">
        <f>"120922513   "</f>
        <v xml:space="preserve">120922513   </v>
      </c>
      <c r="O25651">
        <v>230118</v>
      </c>
    </row>
    <row r="25652" spans="1:15" x14ac:dyDescent="0.25">
      <c r="A25652" t="s">
        <v>16</v>
      </c>
      <c r="B25652" t="s">
        <v>3221</v>
      </c>
      <c r="C25652">
        <v>733</v>
      </c>
      <c r="D25652" t="s">
        <v>114</v>
      </c>
      <c r="E25652" t="s">
        <v>115</v>
      </c>
      <c r="F25652">
        <v>357.81</v>
      </c>
      <c r="G25652">
        <v>230125</v>
      </c>
      <c r="H25652">
        <v>4590</v>
      </c>
      <c r="I25652" t="s">
        <v>203</v>
      </c>
      <c r="J25652">
        <v>443.69</v>
      </c>
      <c r="K25652">
        <v>85.88</v>
      </c>
      <c r="L25652">
        <v>17806</v>
      </c>
      <c r="M25652" t="s">
        <v>265</v>
      </c>
      <c r="N25652" t="str">
        <f>"120954450   "</f>
        <v xml:space="preserve">120954450   </v>
      </c>
      <c r="O25652">
        <v>230127</v>
      </c>
    </row>
    <row r="25653" spans="1:15" x14ac:dyDescent="0.25">
      <c r="A25653" t="s">
        <v>16</v>
      </c>
      <c r="B25653" t="s">
        <v>3221</v>
      </c>
      <c r="C25653">
        <v>782</v>
      </c>
      <c r="D25653" t="s">
        <v>114</v>
      </c>
      <c r="E25653" t="s">
        <v>115</v>
      </c>
      <c r="F25653">
        <v>233.35</v>
      </c>
      <c r="G25653">
        <v>230126</v>
      </c>
      <c r="H25653">
        <v>4590</v>
      </c>
      <c r="I25653" t="s">
        <v>203</v>
      </c>
      <c r="J25653">
        <v>289.36</v>
      </c>
      <c r="K25653">
        <v>56.01</v>
      </c>
      <c r="L25653">
        <v>46556</v>
      </c>
      <c r="M25653" t="s">
        <v>125</v>
      </c>
      <c r="N25653" t="str">
        <f>"120957666   "</f>
        <v xml:space="preserve">120957666   </v>
      </c>
      <c r="O25653">
        <v>230130</v>
      </c>
    </row>
    <row r="25654" spans="1:15" x14ac:dyDescent="0.25">
      <c r="A25654" t="s">
        <v>16</v>
      </c>
      <c r="B25654" t="s">
        <v>3221</v>
      </c>
      <c r="C25654">
        <v>1289</v>
      </c>
      <c r="D25654" t="s">
        <v>114</v>
      </c>
      <c r="E25654" t="s">
        <v>115</v>
      </c>
      <c r="F25654">
        <v>93.06</v>
      </c>
      <c r="G25654">
        <v>230131</v>
      </c>
      <c r="H25654">
        <v>4590</v>
      </c>
      <c r="I25654" t="s">
        <v>203</v>
      </c>
      <c r="J25654">
        <v>115.39</v>
      </c>
      <c r="K25654">
        <v>22.33</v>
      </c>
      <c r="L25654">
        <v>56564</v>
      </c>
      <c r="M25654" t="s">
        <v>327</v>
      </c>
      <c r="N25654" t="str">
        <f>"120977923   "</f>
        <v xml:space="preserve">120977923   </v>
      </c>
      <c r="O25654">
        <v>230207</v>
      </c>
    </row>
    <row r="25655" spans="1:15" x14ac:dyDescent="0.25">
      <c r="A25655" t="s">
        <v>16</v>
      </c>
      <c r="B25655" t="s">
        <v>3221</v>
      </c>
      <c r="C25655">
        <v>1545</v>
      </c>
      <c r="D25655" t="s">
        <v>114</v>
      </c>
      <c r="E25655" t="s">
        <v>115</v>
      </c>
      <c r="F25655">
        <v>22.28</v>
      </c>
      <c r="G25655">
        <v>230203</v>
      </c>
      <c r="H25655">
        <v>4590</v>
      </c>
      <c r="I25655" t="s">
        <v>203</v>
      </c>
      <c r="J25655">
        <v>27.63</v>
      </c>
      <c r="K25655">
        <v>5.35</v>
      </c>
      <c r="L25655">
        <v>46556</v>
      </c>
      <c r="M25655" t="s">
        <v>125</v>
      </c>
      <c r="N25655" t="str">
        <f>"121000688   "</f>
        <v xml:space="preserve">121000688   </v>
      </c>
      <c r="O25655">
        <v>230209</v>
      </c>
    </row>
    <row r="25656" spans="1:15" x14ac:dyDescent="0.25">
      <c r="A25656" t="s">
        <v>16</v>
      </c>
      <c r="B25656" t="s">
        <v>3221</v>
      </c>
      <c r="C25656">
        <v>1548</v>
      </c>
      <c r="D25656" t="s">
        <v>114</v>
      </c>
      <c r="E25656" t="s">
        <v>115</v>
      </c>
      <c r="F25656">
        <v>79.5</v>
      </c>
      <c r="G25656">
        <v>230206</v>
      </c>
      <c r="H25656">
        <v>4590</v>
      </c>
      <c r="I25656" t="s">
        <v>203</v>
      </c>
      <c r="J25656">
        <v>98.58</v>
      </c>
      <c r="K25656">
        <v>19.079999999999998</v>
      </c>
      <c r="L25656">
        <v>46556</v>
      </c>
      <c r="M25656" t="s">
        <v>125</v>
      </c>
      <c r="N25656" t="str">
        <f>"121007362   "</f>
        <v xml:space="preserve">121007362   </v>
      </c>
      <c r="O25656">
        <v>230209</v>
      </c>
    </row>
    <row r="25657" spans="1:15" x14ac:dyDescent="0.25">
      <c r="A25657" t="s">
        <v>16</v>
      </c>
      <c r="B25657" t="s">
        <v>3221</v>
      </c>
      <c r="C25657">
        <v>1716</v>
      </c>
      <c r="D25657" t="s">
        <v>114</v>
      </c>
      <c r="E25657" t="s">
        <v>115</v>
      </c>
      <c r="F25657">
        <v>48.63</v>
      </c>
      <c r="G25657">
        <v>230209</v>
      </c>
      <c r="H25657">
        <v>4590</v>
      </c>
      <c r="I25657" t="s">
        <v>203</v>
      </c>
      <c r="J25657">
        <v>60.3</v>
      </c>
      <c r="K25657">
        <v>11.67</v>
      </c>
      <c r="L25657">
        <v>17806</v>
      </c>
      <c r="M25657" t="s">
        <v>265</v>
      </c>
      <c r="N25657" t="str">
        <f>"121019271   "</f>
        <v xml:space="preserve">121019271   </v>
      </c>
      <c r="O25657">
        <v>230213</v>
      </c>
    </row>
    <row r="25658" spans="1:15" x14ac:dyDescent="0.25">
      <c r="A25658" t="s">
        <v>16</v>
      </c>
      <c r="B25658" t="s">
        <v>3221</v>
      </c>
      <c r="C25658">
        <v>2008</v>
      </c>
      <c r="D25658" t="s">
        <v>114</v>
      </c>
      <c r="E25658" t="s">
        <v>115</v>
      </c>
      <c r="F25658">
        <v>173.94</v>
      </c>
      <c r="G25658">
        <v>230215</v>
      </c>
      <c r="H25658">
        <v>4590</v>
      </c>
      <c r="I25658" t="s">
        <v>203</v>
      </c>
      <c r="J25658">
        <v>215.68</v>
      </c>
      <c r="K25658">
        <v>41.74</v>
      </c>
      <c r="L25658">
        <v>46556</v>
      </c>
      <c r="M25658" t="s">
        <v>125</v>
      </c>
      <c r="N25658" t="str">
        <f>"121040355   "</f>
        <v xml:space="preserve">121040355   </v>
      </c>
      <c r="O25658">
        <v>230217</v>
      </c>
    </row>
    <row r="25659" spans="1:15" x14ac:dyDescent="0.25">
      <c r="A25659" t="s">
        <v>16</v>
      </c>
      <c r="B25659" t="s">
        <v>3221</v>
      </c>
      <c r="C25659">
        <v>2513</v>
      </c>
      <c r="D25659" t="s">
        <v>114</v>
      </c>
      <c r="E25659" t="s">
        <v>115</v>
      </c>
      <c r="F25659">
        <v>67.16</v>
      </c>
      <c r="G25659">
        <v>230217</v>
      </c>
      <c r="H25659">
        <v>4590</v>
      </c>
      <c r="I25659" t="s">
        <v>203</v>
      </c>
      <c r="J25659">
        <v>83.28</v>
      </c>
      <c r="K25659">
        <v>16.12</v>
      </c>
      <c r="L25659">
        <v>46556</v>
      </c>
      <c r="M25659" t="s">
        <v>125</v>
      </c>
      <c r="N25659" t="str">
        <f>"121052886   "</f>
        <v xml:space="preserve">121052886   </v>
      </c>
      <c r="O25659">
        <v>230301</v>
      </c>
    </row>
    <row r="25660" spans="1:15" x14ac:dyDescent="0.25">
      <c r="A25660" t="s">
        <v>16</v>
      </c>
      <c r="B25660" t="s">
        <v>3221</v>
      </c>
      <c r="C25660">
        <v>2521</v>
      </c>
      <c r="D25660" t="s">
        <v>114</v>
      </c>
      <c r="E25660" t="s">
        <v>115</v>
      </c>
      <c r="F25660">
        <v>20.76</v>
      </c>
      <c r="G25660">
        <v>230222</v>
      </c>
      <c r="H25660">
        <v>4590</v>
      </c>
      <c r="I25660" t="s">
        <v>203</v>
      </c>
      <c r="J25660">
        <v>25.74</v>
      </c>
      <c r="K25660">
        <v>4.9800000000000004</v>
      </c>
      <c r="L25660">
        <v>46556</v>
      </c>
      <c r="M25660" t="s">
        <v>125</v>
      </c>
      <c r="N25660" t="str">
        <f>"121060363   "</f>
        <v xml:space="preserve">121060363   </v>
      </c>
      <c r="O25660">
        <v>230301</v>
      </c>
    </row>
    <row r="25661" spans="1:15" x14ac:dyDescent="0.25">
      <c r="A25661" t="s">
        <v>16</v>
      </c>
      <c r="B25661" t="s">
        <v>3221</v>
      </c>
      <c r="C25661">
        <v>2791</v>
      </c>
      <c r="D25661" t="s">
        <v>114</v>
      </c>
      <c r="E25661" t="s">
        <v>115</v>
      </c>
      <c r="F25661">
        <v>42.19</v>
      </c>
      <c r="G25661">
        <v>230302</v>
      </c>
      <c r="H25661">
        <v>4590</v>
      </c>
      <c r="I25661" t="s">
        <v>203</v>
      </c>
      <c r="J25661">
        <v>52.31</v>
      </c>
      <c r="K25661">
        <v>10.119999999999999</v>
      </c>
      <c r="L25661">
        <v>17806</v>
      </c>
      <c r="M25661" t="s">
        <v>265</v>
      </c>
      <c r="N25661" t="str">
        <f>"121102827   "</f>
        <v xml:space="preserve">121102827   </v>
      </c>
      <c r="O25661">
        <v>230307</v>
      </c>
    </row>
    <row r="25662" spans="1:15" x14ac:dyDescent="0.25">
      <c r="A25662" t="s">
        <v>16</v>
      </c>
      <c r="B25662" t="s">
        <v>3221</v>
      </c>
      <c r="C25662">
        <v>2993</v>
      </c>
      <c r="D25662" t="s">
        <v>114</v>
      </c>
      <c r="E25662" t="s">
        <v>115</v>
      </c>
      <c r="F25662">
        <v>154.31</v>
      </c>
      <c r="G25662">
        <v>230228</v>
      </c>
      <c r="H25662">
        <v>4590</v>
      </c>
      <c r="I25662" t="s">
        <v>203</v>
      </c>
      <c r="J25662">
        <v>191.34</v>
      </c>
      <c r="K25662">
        <v>37.03</v>
      </c>
      <c r="L25662">
        <v>56561</v>
      </c>
      <c r="M25662" t="s">
        <v>358</v>
      </c>
      <c r="N25662" t="str">
        <f>"121086761   "</f>
        <v xml:space="preserve">121086761   </v>
      </c>
      <c r="O25662">
        <v>230308</v>
      </c>
    </row>
    <row r="25663" spans="1:15" x14ac:dyDescent="0.25">
      <c r="A25663" t="s">
        <v>16</v>
      </c>
      <c r="B25663" t="s">
        <v>3221</v>
      </c>
      <c r="C25663">
        <v>3485</v>
      </c>
      <c r="D25663" t="s">
        <v>114</v>
      </c>
      <c r="E25663" t="s">
        <v>115</v>
      </c>
      <c r="F25663">
        <v>33.950000000000003</v>
      </c>
      <c r="G25663">
        <v>230314</v>
      </c>
      <c r="H25663">
        <v>4590</v>
      </c>
      <c r="I25663" t="s">
        <v>203</v>
      </c>
      <c r="J25663">
        <v>42.1</v>
      </c>
      <c r="K25663">
        <v>8.15</v>
      </c>
      <c r="L25663">
        <v>17806</v>
      </c>
      <c r="M25663" t="s">
        <v>265</v>
      </c>
      <c r="N25663" t="str">
        <f>"121135131   "</f>
        <v xml:space="preserve">121135131   </v>
      </c>
      <c r="O25663">
        <v>230316</v>
      </c>
    </row>
    <row r="25664" spans="1:15" x14ac:dyDescent="0.25">
      <c r="A25664" t="s">
        <v>16</v>
      </c>
      <c r="B25664" t="s">
        <v>3221</v>
      </c>
      <c r="C25664">
        <v>3613</v>
      </c>
      <c r="D25664" t="s">
        <v>114</v>
      </c>
      <c r="E25664" t="s">
        <v>115</v>
      </c>
      <c r="F25664">
        <v>225.4</v>
      </c>
      <c r="G25664">
        <v>230315</v>
      </c>
      <c r="H25664">
        <v>4590</v>
      </c>
      <c r="I25664" t="s">
        <v>203</v>
      </c>
      <c r="J25664">
        <v>279.49</v>
      </c>
      <c r="K25664">
        <v>54.09</v>
      </c>
      <c r="L25664">
        <v>17806</v>
      </c>
      <c r="M25664" t="s">
        <v>265</v>
      </c>
      <c r="N25664" t="str">
        <f>"121140703   "</f>
        <v xml:space="preserve">121140703   </v>
      </c>
      <c r="O25664">
        <v>230317</v>
      </c>
    </row>
    <row r="25665" spans="1:15" x14ac:dyDescent="0.25">
      <c r="A25665" t="s">
        <v>16</v>
      </c>
      <c r="B25665" t="s">
        <v>3221</v>
      </c>
      <c r="C25665">
        <v>3618</v>
      </c>
      <c r="D25665" t="s">
        <v>114</v>
      </c>
      <c r="E25665" t="s">
        <v>115</v>
      </c>
      <c r="F25665">
        <v>36.85</v>
      </c>
      <c r="G25665">
        <v>230315</v>
      </c>
      <c r="H25665">
        <v>4590</v>
      </c>
      <c r="I25665" t="s">
        <v>203</v>
      </c>
      <c r="J25665">
        <v>45.7</v>
      </c>
      <c r="K25665">
        <v>8.85</v>
      </c>
      <c r="L25665">
        <v>59504</v>
      </c>
      <c r="M25665" t="s">
        <v>71</v>
      </c>
      <c r="N25665" t="str">
        <f>"121140409   "</f>
        <v xml:space="preserve">121140409   </v>
      </c>
      <c r="O25665">
        <v>230317</v>
      </c>
    </row>
    <row r="25666" spans="1:15" x14ac:dyDescent="0.25">
      <c r="A25666" t="s">
        <v>16</v>
      </c>
      <c r="B25666" t="s">
        <v>3221</v>
      </c>
      <c r="C25666">
        <v>3667</v>
      </c>
      <c r="D25666" t="s">
        <v>114</v>
      </c>
      <c r="E25666" t="s">
        <v>115</v>
      </c>
      <c r="F25666">
        <v>74.569999999999993</v>
      </c>
      <c r="G25666">
        <v>230317</v>
      </c>
      <c r="H25666">
        <v>4590</v>
      </c>
      <c r="I25666" t="s">
        <v>203</v>
      </c>
      <c r="J25666">
        <v>92.47</v>
      </c>
      <c r="K25666">
        <v>17.899999999999999</v>
      </c>
      <c r="L25666">
        <v>17806</v>
      </c>
      <c r="M25666" t="s">
        <v>265</v>
      </c>
      <c r="N25666" t="str">
        <f>"121154503   "</f>
        <v xml:space="preserve">121154503   </v>
      </c>
      <c r="O25666">
        <v>230320</v>
      </c>
    </row>
    <row r="25667" spans="1:15" x14ac:dyDescent="0.25">
      <c r="A25667" t="s">
        <v>16</v>
      </c>
      <c r="B25667" t="s">
        <v>3221</v>
      </c>
      <c r="C25667">
        <v>3820</v>
      </c>
      <c r="D25667" t="s">
        <v>114</v>
      </c>
      <c r="E25667" t="s">
        <v>115</v>
      </c>
      <c r="F25667">
        <v>15.3</v>
      </c>
      <c r="G25667">
        <v>230316</v>
      </c>
      <c r="H25667">
        <v>4590</v>
      </c>
      <c r="I25667" t="s">
        <v>203</v>
      </c>
      <c r="J25667">
        <v>18.97</v>
      </c>
      <c r="K25667">
        <v>3.67</v>
      </c>
      <c r="L25667">
        <v>49501</v>
      </c>
      <c r="M25667" t="s">
        <v>177</v>
      </c>
      <c r="N25667" t="str">
        <f>"121147728   "</f>
        <v xml:space="preserve">121147728   </v>
      </c>
      <c r="O25667">
        <v>230323</v>
      </c>
    </row>
    <row r="25668" spans="1:15" x14ac:dyDescent="0.25">
      <c r="A25668" t="s">
        <v>16</v>
      </c>
      <c r="B25668" t="s">
        <v>3221</v>
      </c>
      <c r="C25668">
        <v>3962</v>
      </c>
      <c r="D25668" t="s">
        <v>114</v>
      </c>
      <c r="E25668" t="s">
        <v>115</v>
      </c>
      <c r="F25668">
        <v>172.56</v>
      </c>
      <c r="G25668">
        <v>230323</v>
      </c>
      <c r="H25668">
        <v>4590</v>
      </c>
      <c r="I25668" t="s">
        <v>203</v>
      </c>
      <c r="J25668">
        <v>213.98</v>
      </c>
      <c r="K25668">
        <v>41.42</v>
      </c>
      <c r="L25668">
        <v>46556</v>
      </c>
      <c r="M25668" t="s">
        <v>125</v>
      </c>
      <c r="N25668" t="str">
        <f>"121170131   "</f>
        <v xml:space="preserve">121170131   </v>
      </c>
      <c r="O25668">
        <v>230328</v>
      </c>
    </row>
    <row r="25669" spans="1:15" x14ac:dyDescent="0.25">
      <c r="A25669" t="s">
        <v>16</v>
      </c>
      <c r="B25669" t="s">
        <v>3221</v>
      </c>
      <c r="C25669">
        <v>4315</v>
      </c>
      <c r="D25669" t="s">
        <v>114</v>
      </c>
      <c r="E25669" t="s">
        <v>115</v>
      </c>
      <c r="F25669">
        <v>15.39</v>
      </c>
      <c r="G25669">
        <v>230331</v>
      </c>
      <c r="H25669">
        <v>4590</v>
      </c>
      <c r="I25669" t="s">
        <v>203</v>
      </c>
      <c r="J25669">
        <v>19.079999999999998</v>
      </c>
      <c r="K25669">
        <v>3.69</v>
      </c>
      <c r="L25669">
        <v>46556</v>
      </c>
      <c r="M25669" t="s">
        <v>125</v>
      </c>
      <c r="N25669" t="str">
        <f>"121213159   "</f>
        <v xml:space="preserve">121213159   </v>
      </c>
      <c r="O25669">
        <v>230404</v>
      </c>
    </row>
    <row r="25670" spans="1:15" x14ac:dyDescent="0.25">
      <c r="A25670" t="s">
        <v>16</v>
      </c>
      <c r="B25670" t="s">
        <v>3221</v>
      </c>
      <c r="C25670">
        <v>4944</v>
      </c>
      <c r="D25670" t="s">
        <v>114</v>
      </c>
      <c r="E25670" t="s">
        <v>115</v>
      </c>
      <c r="F25670">
        <v>113.71</v>
      </c>
      <c r="G25670">
        <v>230406</v>
      </c>
      <c r="H25670">
        <v>4590</v>
      </c>
      <c r="I25670" t="s">
        <v>203</v>
      </c>
      <c r="J25670">
        <v>141</v>
      </c>
      <c r="K25670">
        <v>27.29</v>
      </c>
      <c r="L25670">
        <v>46556</v>
      </c>
      <c r="M25670" t="s">
        <v>125</v>
      </c>
      <c r="N25670" t="str">
        <f>"121230448   "</f>
        <v xml:space="preserve">121230448   </v>
      </c>
      <c r="O25670">
        <v>230414</v>
      </c>
    </row>
    <row r="25671" spans="1:15" x14ac:dyDescent="0.25">
      <c r="A25671" t="s">
        <v>16</v>
      </c>
      <c r="B25671" t="s">
        <v>3221</v>
      </c>
      <c r="C25671">
        <v>5339</v>
      </c>
      <c r="D25671" t="s">
        <v>114</v>
      </c>
      <c r="E25671" t="s">
        <v>115</v>
      </c>
      <c r="F25671">
        <v>169.84</v>
      </c>
      <c r="G25671">
        <v>230419</v>
      </c>
      <c r="H25671">
        <v>4590</v>
      </c>
      <c r="I25671" t="s">
        <v>203</v>
      </c>
      <c r="J25671">
        <v>210.6</v>
      </c>
      <c r="K25671">
        <v>40.76</v>
      </c>
      <c r="L25671">
        <v>17806</v>
      </c>
      <c r="M25671" t="s">
        <v>265</v>
      </c>
      <c r="N25671" t="str">
        <f>"121262504   "</f>
        <v xml:space="preserve">121262504   </v>
      </c>
      <c r="O25671">
        <v>230421</v>
      </c>
    </row>
    <row r="25672" spans="1:15" x14ac:dyDescent="0.25">
      <c r="A25672" t="s">
        <v>16</v>
      </c>
      <c r="B25672" t="s">
        <v>3221</v>
      </c>
      <c r="C25672">
        <v>6031</v>
      </c>
      <c r="D25672" t="s">
        <v>114</v>
      </c>
      <c r="E25672" t="s">
        <v>115</v>
      </c>
      <c r="F25672">
        <v>20.45</v>
      </c>
      <c r="G25672">
        <v>230424</v>
      </c>
      <c r="H25672">
        <v>4590</v>
      </c>
      <c r="I25672" t="s">
        <v>203</v>
      </c>
      <c r="J25672">
        <v>25.36</v>
      </c>
      <c r="K25672">
        <v>4.91</v>
      </c>
      <c r="L25672">
        <v>46554</v>
      </c>
      <c r="M25672" t="s">
        <v>117</v>
      </c>
      <c r="N25672" t="str">
        <f>"121278433   "</f>
        <v xml:space="preserve">121278433   </v>
      </c>
      <c r="O25672">
        <v>230505</v>
      </c>
    </row>
    <row r="25673" spans="1:15" x14ac:dyDescent="0.25">
      <c r="A25673" t="s">
        <v>16</v>
      </c>
      <c r="B25673" t="s">
        <v>3221</v>
      </c>
      <c r="C25673">
        <v>6464</v>
      </c>
      <c r="D25673" t="s">
        <v>114</v>
      </c>
      <c r="E25673" t="s">
        <v>115</v>
      </c>
      <c r="F25673">
        <v>84.68</v>
      </c>
      <c r="G25673">
        <v>230509</v>
      </c>
      <c r="H25673">
        <v>4590</v>
      </c>
      <c r="I25673" t="s">
        <v>203</v>
      </c>
      <c r="J25673">
        <v>105</v>
      </c>
      <c r="K25673">
        <v>20.32</v>
      </c>
      <c r="L25673">
        <v>46556</v>
      </c>
      <c r="M25673" t="s">
        <v>125</v>
      </c>
      <c r="N25673" t="str">
        <f>"121343953   "</f>
        <v xml:space="preserve">121343953   </v>
      </c>
      <c r="O25673">
        <v>230512</v>
      </c>
    </row>
    <row r="25674" spans="1:15" x14ac:dyDescent="0.25">
      <c r="A25674" t="s">
        <v>16</v>
      </c>
      <c r="B25674" t="s">
        <v>3221</v>
      </c>
      <c r="C25674">
        <v>6708</v>
      </c>
      <c r="D25674" t="s">
        <v>114</v>
      </c>
      <c r="E25674" t="s">
        <v>115</v>
      </c>
      <c r="F25674">
        <v>299.33</v>
      </c>
      <c r="G25674">
        <v>230511</v>
      </c>
      <c r="H25674">
        <v>4590</v>
      </c>
      <c r="I25674" t="s">
        <v>203</v>
      </c>
      <c r="J25674">
        <v>371.17</v>
      </c>
      <c r="K25674">
        <v>71.84</v>
      </c>
      <c r="L25674">
        <v>17806</v>
      </c>
      <c r="M25674" t="s">
        <v>265</v>
      </c>
      <c r="N25674" t="str">
        <f>"121351742   "</f>
        <v xml:space="preserve">121351742   </v>
      </c>
      <c r="O25674">
        <v>230517</v>
      </c>
    </row>
    <row r="25675" spans="1:15" x14ac:dyDescent="0.25">
      <c r="A25675" t="s">
        <v>16</v>
      </c>
      <c r="B25675" t="s">
        <v>3221</v>
      </c>
      <c r="C25675">
        <v>6848</v>
      </c>
      <c r="D25675" t="s">
        <v>114</v>
      </c>
      <c r="E25675" t="s">
        <v>115</v>
      </c>
      <c r="F25675">
        <v>77.569999999999993</v>
      </c>
      <c r="G25675">
        <v>230516</v>
      </c>
      <c r="H25675">
        <v>4590</v>
      </c>
      <c r="I25675" t="s">
        <v>203</v>
      </c>
      <c r="J25675">
        <v>96.19</v>
      </c>
      <c r="K25675">
        <v>18.62</v>
      </c>
      <c r="L25675">
        <v>46556</v>
      </c>
      <c r="M25675" t="s">
        <v>125</v>
      </c>
      <c r="N25675" t="str">
        <f>"121374268   "</f>
        <v xml:space="preserve">121374268   </v>
      </c>
      <c r="O25675">
        <v>230522</v>
      </c>
    </row>
    <row r="25676" spans="1:15" x14ac:dyDescent="0.25">
      <c r="A25676" t="s">
        <v>16</v>
      </c>
      <c r="B25676" t="s">
        <v>3221</v>
      </c>
      <c r="C25676">
        <v>6895</v>
      </c>
      <c r="D25676" t="s">
        <v>114</v>
      </c>
      <c r="E25676" t="s">
        <v>115</v>
      </c>
      <c r="F25676">
        <v>61.69</v>
      </c>
      <c r="G25676">
        <v>230517</v>
      </c>
      <c r="H25676">
        <v>4590</v>
      </c>
      <c r="I25676" t="s">
        <v>203</v>
      </c>
      <c r="J25676">
        <v>76.489999999999995</v>
      </c>
      <c r="K25676">
        <v>14.8</v>
      </c>
      <c r="L25676">
        <v>46556</v>
      </c>
      <c r="M25676" t="s">
        <v>125</v>
      </c>
      <c r="N25676" t="str">
        <f>"121377953   "</f>
        <v xml:space="preserve">121377953   </v>
      </c>
      <c r="O25676">
        <v>230523</v>
      </c>
    </row>
    <row r="25677" spans="1:15" x14ac:dyDescent="0.25">
      <c r="A25677" t="s">
        <v>16</v>
      </c>
      <c r="B25677" t="s">
        <v>3221</v>
      </c>
      <c r="C25677">
        <v>7015</v>
      </c>
      <c r="D25677" t="s">
        <v>114</v>
      </c>
      <c r="E25677" t="s">
        <v>115</v>
      </c>
      <c r="F25677">
        <v>33.69</v>
      </c>
      <c r="G25677">
        <v>230517</v>
      </c>
      <c r="H25677">
        <v>4590</v>
      </c>
      <c r="I25677" t="s">
        <v>203</v>
      </c>
      <c r="J25677">
        <v>41.77</v>
      </c>
      <c r="K25677">
        <v>8.08</v>
      </c>
      <c r="L25677">
        <v>17806</v>
      </c>
      <c r="M25677" t="s">
        <v>265</v>
      </c>
      <c r="N25677" t="str">
        <f>"121378193   "</f>
        <v xml:space="preserve">121378193   </v>
      </c>
      <c r="O25677">
        <v>230524</v>
      </c>
    </row>
    <row r="25678" spans="1:15" x14ac:dyDescent="0.25">
      <c r="A25678" t="s">
        <v>16</v>
      </c>
      <c r="B25678" t="s">
        <v>3221</v>
      </c>
      <c r="C25678">
        <v>7670</v>
      </c>
      <c r="D25678" t="s">
        <v>114</v>
      </c>
      <c r="E25678" t="s">
        <v>115</v>
      </c>
      <c r="F25678">
        <v>74.989999999999995</v>
      </c>
      <c r="G25678">
        <v>230529</v>
      </c>
      <c r="H25678">
        <v>4590</v>
      </c>
      <c r="I25678" t="s">
        <v>203</v>
      </c>
      <c r="J25678">
        <v>92.99</v>
      </c>
      <c r="K25678">
        <v>18</v>
      </c>
      <c r="L25678">
        <v>46556</v>
      </c>
      <c r="M25678" t="s">
        <v>125</v>
      </c>
      <c r="N25678" t="str">
        <f>"121416319   "</f>
        <v xml:space="preserve">121416319   </v>
      </c>
      <c r="O25678">
        <v>230601</v>
      </c>
    </row>
    <row r="25679" spans="1:15" x14ac:dyDescent="0.25">
      <c r="A25679" t="s">
        <v>16</v>
      </c>
      <c r="B25679" t="s">
        <v>3221</v>
      </c>
      <c r="C25679">
        <v>10275</v>
      </c>
      <c r="D25679" t="s">
        <v>114</v>
      </c>
      <c r="E25679" t="s">
        <v>115</v>
      </c>
      <c r="F25679">
        <v>102.31</v>
      </c>
      <c r="G25679">
        <v>230802</v>
      </c>
      <c r="H25679">
        <v>4590</v>
      </c>
      <c r="I25679" t="s">
        <v>203</v>
      </c>
      <c r="J25679">
        <v>126.87</v>
      </c>
      <c r="K25679">
        <v>24.56</v>
      </c>
      <c r="L25679">
        <v>17806</v>
      </c>
      <c r="M25679" t="s">
        <v>265</v>
      </c>
      <c r="N25679" t="str">
        <f>"121676466   "</f>
        <v xml:space="preserve">121676466   </v>
      </c>
      <c r="O25679">
        <v>230814</v>
      </c>
    </row>
    <row r="25680" spans="1:15" x14ac:dyDescent="0.25">
      <c r="A25680" t="s">
        <v>16</v>
      </c>
      <c r="B25680" t="s">
        <v>3221</v>
      </c>
      <c r="C25680">
        <v>10740</v>
      </c>
      <c r="D25680" t="s">
        <v>114</v>
      </c>
      <c r="E25680" t="s">
        <v>115</v>
      </c>
      <c r="F25680">
        <v>177.35</v>
      </c>
      <c r="G25680">
        <v>230817</v>
      </c>
      <c r="H25680">
        <v>4590</v>
      </c>
      <c r="I25680" t="s">
        <v>203</v>
      </c>
      <c r="J25680">
        <v>219.92</v>
      </c>
      <c r="K25680">
        <v>42.57</v>
      </c>
      <c r="L25680">
        <v>17806</v>
      </c>
      <c r="M25680" t="s">
        <v>265</v>
      </c>
      <c r="N25680" t="str">
        <f>"121725497   "</f>
        <v xml:space="preserve">121725497   </v>
      </c>
      <c r="O25680">
        <v>230822</v>
      </c>
    </row>
    <row r="25681" spans="1:15" x14ac:dyDescent="0.25">
      <c r="A25681" t="s">
        <v>16</v>
      </c>
      <c r="B25681" t="s">
        <v>3221</v>
      </c>
      <c r="C25681">
        <v>10820</v>
      </c>
      <c r="D25681" t="s">
        <v>114</v>
      </c>
      <c r="E25681" t="s">
        <v>115</v>
      </c>
      <c r="F25681">
        <v>237.1</v>
      </c>
      <c r="G25681">
        <v>230815</v>
      </c>
      <c r="H25681">
        <v>4590</v>
      </c>
      <c r="I25681" t="s">
        <v>203</v>
      </c>
      <c r="J25681">
        <v>294.01</v>
      </c>
      <c r="K25681">
        <v>56.91</v>
      </c>
      <c r="L25681">
        <v>56561</v>
      </c>
      <c r="M25681" t="s">
        <v>358</v>
      </c>
      <c r="N25681" t="str">
        <f>"121716500   "</f>
        <v xml:space="preserve">121716500   </v>
      </c>
      <c r="O25681">
        <v>230823</v>
      </c>
    </row>
    <row r="25682" spans="1:15" x14ac:dyDescent="0.25">
      <c r="A25682" t="s">
        <v>16</v>
      </c>
      <c r="B25682" t="s">
        <v>3221</v>
      </c>
      <c r="C25682">
        <v>10820</v>
      </c>
      <c r="D25682" t="s">
        <v>114</v>
      </c>
      <c r="E25682" t="s">
        <v>115</v>
      </c>
      <c r="F25682">
        <v>7.02</v>
      </c>
      <c r="G25682">
        <v>230815</v>
      </c>
      <c r="H25682">
        <v>4590</v>
      </c>
      <c r="I25682" t="s">
        <v>203</v>
      </c>
      <c r="J25682">
        <v>8.6999999999999993</v>
      </c>
      <c r="K25682">
        <v>1.68</v>
      </c>
      <c r="L25682">
        <v>59504</v>
      </c>
      <c r="M25682" t="s">
        <v>71</v>
      </c>
      <c r="N25682" t="str">
        <f>"121716500   "</f>
        <v xml:space="preserve">121716500   </v>
      </c>
      <c r="O25682">
        <v>230823</v>
      </c>
    </row>
    <row r="25683" spans="1:15" x14ac:dyDescent="0.25">
      <c r="A25683" t="s">
        <v>16</v>
      </c>
      <c r="B25683" t="s">
        <v>3221</v>
      </c>
      <c r="C25683">
        <v>11072</v>
      </c>
      <c r="D25683" t="s">
        <v>114</v>
      </c>
      <c r="E25683" t="s">
        <v>115</v>
      </c>
      <c r="F25683">
        <v>547.70000000000005</v>
      </c>
      <c r="G25683">
        <v>230823</v>
      </c>
      <c r="H25683">
        <v>4590</v>
      </c>
      <c r="I25683" t="s">
        <v>203</v>
      </c>
      <c r="J25683">
        <v>679.15</v>
      </c>
      <c r="K25683">
        <v>131.44999999999999</v>
      </c>
      <c r="L25683">
        <v>17806</v>
      </c>
      <c r="M25683" t="s">
        <v>265</v>
      </c>
      <c r="N25683" t="str">
        <f>"121744357   "</f>
        <v xml:space="preserve">121744357   </v>
      </c>
      <c r="O25683">
        <v>230830</v>
      </c>
    </row>
    <row r="25684" spans="1:15" x14ac:dyDescent="0.25">
      <c r="A25684" t="s">
        <v>16</v>
      </c>
      <c r="B25684" t="s">
        <v>3221</v>
      </c>
      <c r="C25684">
        <v>11561</v>
      </c>
      <c r="D25684" t="s">
        <v>114</v>
      </c>
      <c r="E25684" t="s">
        <v>115</v>
      </c>
      <c r="F25684">
        <v>1703.16</v>
      </c>
      <c r="G25684">
        <v>230831</v>
      </c>
      <c r="H25684">
        <v>4590</v>
      </c>
      <c r="I25684" t="s">
        <v>203</v>
      </c>
      <c r="J25684">
        <v>2111.92</v>
      </c>
      <c r="K25684">
        <v>408.76</v>
      </c>
      <c r="L25684">
        <v>56562</v>
      </c>
      <c r="M25684" t="s">
        <v>126</v>
      </c>
      <c r="N25684" t="str">
        <f>"121776905   "</f>
        <v xml:space="preserve">121776905   </v>
      </c>
      <c r="O25684">
        <v>230907</v>
      </c>
    </row>
    <row r="25685" spans="1:15" x14ac:dyDescent="0.25">
      <c r="A25685" t="s">
        <v>16</v>
      </c>
      <c r="B25685" t="s">
        <v>3221</v>
      </c>
      <c r="C25685">
        <v>11868</v>
      </c>
      <c r="D25685" t="s">
        <v>114</v>
      </c>
      <c r="E25685" t="s">
        <v>115</v>
      </c>
      <c r="F25685">
        <v>103.43</v>
      </c>
      <c r="G25685">
        <v>230831</v>
      </c>
      <c r="H25685">
        <v>4590</v>
      </c>
      <c r="I25685" t="s">
        <v>203</v>
      </c>
      <c r="J25685">
        <v>128.25</v>
      </c>
      <c r="K25685">
        <v>24.82</v>
      </c>
      <c r="L25685">
        <v>56564</v>
      </c>
      <c r="M25685" t="s">
        <v>327</v>
      </c>
      <c r="N25685" t="str">
        <f>"121776908   "</f>
        <v xml:space="preserve">121776908   </v>
      </c>
      <c r="O25685">
        <v>230911</v>
      </c>
    </row>
    <row r="25686" spans="1:15" x14ac:dyDescent="0.25">
      <c r="A25686" t="s">
        <v>16</v>
      </c>
      <c r="B25686" t="s">
        <v>3221</v>
      </c>
      <c r="C25686">
        <v>12088</v>
      </c>
      <c r="D25686" t="s">
        <v>114</v>
      </c>
      <c r="E25686" t="s">
        <v>115</v>
      </c>
      <c r="F25686">
        <v>276.68</v>
      </c>
      <c r="G25686">
        <v>230906</v>
      </c>
      <c r="H25686">
        <v>4590</v>
      </c>
      <c r="I25686" t="s">
        <v>203</v>
      </c>
      <c r="J25686">
        <v>343.08</v>
      </c>
      <c r="K25686">
        <v>66.400000000000006</v>
      </c>
      <c r="L25686">
        <v>17806</v>
      </c>
      <c r="M25686" t="s">
        <v>265</v>
      </c>
      <c r="N25686" t="str">
        <f>"121812532   "</f>
        <v xml:space="preserve">121812532   </v>
      </c>
      <c r="O25686">
        <v>230913</v>
      </c>
    </row>
    <row r="25687" spans="1:15" x14ac:dyDescent="0.25">
      <c r="A25687" t="s">
        <v>16</v>
      </c>
      <c r="B25687" t="s">
        <v>3221</v>
      </c>
      <c r="C25687">
        <v>12260</v>
      </c>
      <c r="D25687" t="s">
        <v>114</v>
      </c>
      <c r="E25687" t="s">
        <v>115</v>
      </c>
      <c r="F25687">
        <v>76.27</v>
      </c>
      <c r="G25687">
        <v>230831</v>
      </c>
      <c r="H25687">
        <v>4590</v>
      </c>
      <c r="I25687" t="s">
        <v>203</v>
      </c>
      <c r="J25687">
        <v>94.57</v>
      </c>
      <c r="K25687">
        <v>18.3</v>
      </c>
      <c r="L25687">
        <v>59504</v>
      </c>
      <c r="M25687" t="s">
        <v>71</v>
      </c>
      <c r="N25687" t="str">
        <f>"121776904   "</f>
        <v xml:space="preserve">121776904   </v>
      </c>
      <c r="O25687">
        <v>230918</v>
      </c>
    </row>
    <row r="25688" spans="1:15" x14ac:dyDescent="0.25">
      <c r="A25688" t="s">
        <v>16</v>
      </c>
      <c r="B25688" t="s">
        <v>3221</v>
      </c>
      <c r="C25688">
        <v>12524</v>
      </c>
      <c r="D25688" t="s">
        <v>114</v>
      </c>
      <c r="E25688" t="s">
        <v>115</v>
      </c>
      <c r="F25688">
        <v>35.43</v>
      </c>
      <c r="G25688">
        <v>230914</v>
      </c>
      <c r="H25688">
        <v>4590</v>
      </c>
      <c r="I25688" t="s">
        <v>203</v>
      </c>
      <c r="J25688">
        <v>43.93</v>
      </c>
      <c r="K25688">
        <v>8.5</v>
      </c>
      <c r="L25688">
        <v>46556</v>
      </c>
      <c r="M25688" t="s">
        <v>125</v>
      </c>
      <c r="N25688" t="str">
        <f>"121840945   "</f>
        <v xml:space="preserve">121840945   </v>
      </c>
      <c r="O25688">
        <v>230920</v>
      </c>
    </row>
    <row r="25689" spans="1:15" x14ac:dyDescent="0.25">
      <c r="A25689" t="s">
        <v>16</v>
      </c>
      <c r="B25689" t="s">
        <v>3221</v>
      </c>
      <c r="C25689">
        <v>12856</v>
      </c>
      <c r="D25689" t="s">
        <v>114</v>
      </c>
      <c r="E25689" t="s">
        <v>115</v>
      </c>
      <c r="F25689">
        <v>197.01</v>
      </c>
      <c r="G25689">
        <v>230920</v>
      </c>
      <c r="H25689">
        <v>4590</v>
      </c>
      <c r="I25689" t="s">
        <v>203</v>
      </c>
      <c r="J25689">
        <v>244.29</v>
      </c>
      <c r="K25689">
        <v>47.28</v>
      </c>
      <c r="L25689">
        <v>17806</v>
      </c>
      <c r="M25689" t="s">
        <v>265</v>
      </c>
      <c r="N25689" t="str">
        <f>"121868936   "</f>
        <v xml:space="preserve">121868936   </v>
      </c>
      <c r="O25689">
        <v>230928</v>
      </c>
    </row>
    <row r="25690" spans="1:15" x14ac:dyDescent="0.25">
      <c r="A25690" t="s">
        <v>16</v>
      </c>
      <c r="B25690" t="s">
        <v>3221</v>
      </c>
      <c r="C25690">
        <v>13160</v>
      </c>
      <c r="D25690" t="s">
        <v>114</v>
      </c>
      <c r="E25690" t="s">
        <v>115</v>
      </c>
      <c r="F25690">
        <v>294.85000000000002</v>
      </c>
      <c r="G25690">
        <v>230929</v>
      </c>
      <c r="H25690">
        <v>4590</v>
      </c>
      <c r="I25690" t="s">
        <v>203</v>
      </c>
      <c r="J25690">
        <v>365.62</v>
      </c>
      <c r="K25690">
        <v>70.77</v>
      </c>
      <c r="L25690">
        <v>56564</v>
      </c>
      <c r="M25690" t="s">
        <v>327</v>
      </c>
      <c r="N25690" t="str">
        <f>"121906230   "</f>
        <v xml:space="preserve">121906230   </v>
      </c>
      <c r="O25690">
        <v>231004</v>
      </c>
    </row>
    <row r="25691" spans="1:15" x14ac:dyDescent="0.25">
      <c r="A25691" t="s">
        <v>16</v>
      </c>
      <c r="B25691" t="s">
        <v>3221</v>
      </c>
      <c r="C25691">
        <v>13366</v>
      </c>
      <c r="D25691" t="s">
        <v>114</v>
      </c>
      <c r="E25691" t="s">
        <v>115</v>
      </c>
      <c r="F25691">
        <v>109.03</v>
      </c>
      <c r="G25691">
        <v>231004</v>
      </c>
      <c r="H25691">
        <v>4590</v>
      </c>
      <c r="I25691" t="s">
        <v>203</v>
      </c>
      <c r="J25691">
        <v>135.19999999999999</v>
      </c>
      <c r="K25691">
        <v>26.17</v>
      </c>
      <c r="L25691">
        <v>17806</v>
      </c>
      <c r="M25691" t="s">
        <v>265</v>
      </c>
      <c r="N25691" t="str">
        <f>"121935326   "</f>
        <v xml:space="preserve">121935326   </v>
      </c>
      <c r="O25691">
        <v>231009</v>
      </c>
    </row>
    <row r="25692" spans="1:15" x14ac:dyDescent="0.25">
      <c r="A25692" t="s">
        <v>16</v>
      </c>
      <c r="B25692" t="s">
        <v>3221</v>
      </c>
      <c r="C25692">
        <v>13489</v>
      </c>
      <c r="D25692" t="s">
        <v>114</v>
      </c>
      <c r="E25692" t="s">
        <v>115</v>
      </c>
      <c r="F25692">
        <v>413.08</v>
      </c>
      <c r="G25692">
        <v>231004</v>
      </c>
      <c r="H25692">
        <v>4590</v>
      </c>
      <c r="I25692" t="s">
        <v>203</v>
      </c>
      <c r="J25692">
        <v>512.22</v>
      </c>
      <c r="K25692">
        <v>99.14</v>
      </c>
      <c r="L25692">
        <v>46556</v>
      </c>
      <c r="M25692" t="s">
        <v>125</v>
      </c>
      <c r="N25692" t="str">
        <f>"121934727   "</f>
        <v xml:space="preserve">121934727   </v>
      </c>
      <c r="O25692">
        <v>231010</v>
      </c>
    </row>
    <row r="25693" spans="1:15" x14ac:dyDescent="0.25">
      <c r="A25693" t="s">
        <v>16</v>
      </c>
      <c r="B25693" t="s">
        <v>3221</v>
      </c>
      <c r="C25693">
        <v>14630</v>
      </c>
      <c r="D25693" t="s">
        <v>114</v>
      </c>
      <c r="E25693" t="s">
        <v>115</v>
      </c>
      <c r="F25693">
        <v>358.37</v>
      </c>
      <c r="G25693">
        <v>231026</v>
      </c>
      <c r="H25693">
        <v>4590</v>
      </c>
      <c r="I25693" t="s">
        <v>203</v>
      </c>
      <c r="J25693">
        <v>444.38</v>
      </c>
      <c r="K25693">
        <v>86.01</v>
      </c>
      <c r="L25693">
        <v>17806</v>
      </c>
      <c r="M25693" t="s">
        <v>265</v>
      </c>
      <c r="N25693" t="str">
        <f>"122017420   "</f>
        <v xml:space="preserve">122017420   </v>
      </c>
      <c r="O25693">
        <v>231030</v>
      </c>
    </row>
    <row r="25694" spans="1:15" x14ac:dyDescent="0.25">
      <c r="A25694" t="s">
        <v>16</v>
      </c>
      <c r="B25694" t="s">
        <v>3221</v>
      </c>
      <c r="C25694">
        <v>14751</v>
      </c>
      <c r="D25694" t="s">
        <v>114</v>
      </c>
      <c r="E25694" t="s">
        <v>115</v>
      </c>
      <c r="F25694">
        <v>151.97</v>
      </c>
      <c r="G25694">
        <v>231013</v>
      </c>
      <c r="H25694">
        <v>4590</v>
      </c>
      <c r="I25694" t="s">
        <v>203</v>
      </c>
      <c r="J25694">
        <v>188.44</v>
      </c>
      <c r="K25694">
        <v>36.47</v>
      </c>
      <c r="L25694">
        <v>56564</v>
      </c>
      <c r="M25694" t="s">
        <v>327</v>
      </c>
      <c r="N25694" t="str">
        <f>"121968710   "</f>
        <v xml:space="preserve">121968710   </v>
      </c>
      <c r="O25694">
        <v>231103</v>
      </c>
    </row>
    <row r="25695" spans="1:15" x14ac:dyDescent="0.25">
      <c r="A25695" t="s">
        <v>16</v>
      </c>
      <c r="B25695" t="s">
        <v>3221</v>
      </c>
      <c r="C25695">
        <v>15205</v>
      </c>
      <c r="D25695" t="s">
        <v>114</v>
      </c>
      <c r="E25695" t="s">
        <v>115</v>
      </c>
      <c r="F25695">
        <v>167.43</v>
      </c>
      <c r="G25695">
        <v>231031</v>
      </c>
      <c r="H25695">
        <v>4590</v>
      </c>
      <c r="I25695" t="s">
        <v>203</v>
      </c>
      <c r="J25695">
        <v>207.61</v>
      </c>
      <c r="K25695">
        <v>40.18</v>
      </c>
      <c r="L25695">
        <v>56564</v>
      </c>
      <c r="M25695" t="s">
        <v>327</v>
      </c>
      <c r="N25695" t="str">
        <f>"122039299   "</f>
        <v xml:space="preserve">122039299   </v>
      </c>
      <c r="O25695">
        <v>231109</v>
      </c>
    </row>
    <row r="25696" spans="1:15" x14ac:dyDescent="0.25">
      <c r="A25696" t="s">
        <v>16</v>
      </c>
      <c r="B25696" t="s">
        <v>3221</v>
      </c>
      <c r="C25696">
        <v>15540</v>
      </c>
      <c r="D25696" t="s">
        <v>114</v>
      </c>
      <c r="E25696" t="s">
        <v>115</v>
      </c>
      <c r="F25696">
        <v>122.14</v>
      </c>
      <c r="G25696">
        <v>231108</v>
      </c>
      <c r="H25696">
        <v>4590</v>
      </c>
      <c r="I25696" t="s">
        <v>203</v>
      </c>
      <c r="J25696">
        <v>151.44999999999999</v>
      </c>
      <c r="K25696">
        <v>29.31</v>
      </c>
      <c r="L25696">
        <v>46556</v>
      </c>
      <c r="M25696" t="s">
        <v>125</v>
      </c>
      <c r="N25696" t="str">
        <f>"122079591   "</f>
        <v xml:space="preserve">122079591   </v>
      </c>
      <c r="O25696">
        <v>231113</v>
      </c>
    </row>
    <row r="25697" spans="1:15" x14ac:dyDescent="0.25">
      <c r="A25697" t="s">
        <v>16</v>
      </c>
      <c r="B25697" t="s">
        <v>3221</v>
      </c>
      <c r="C25697">
        <v>15753</v>
      </c>
      <c r="D25697" t="s">
        <v>114</v>
      </c>
      <c r="E25697" t="s">
        <v>115</v>
      </c>
      <c r="F25697">
        <v>544.17999999999995</v>
      </c>
      <c r="G25697">
        <v>231115</v>
      </c>
      <c r="H25697">
        <v>4590</v>
      </c>
      <c r="I25697" t="s">
        <v>203</v>
      </c>
      <c r="J25697">
        <v>674.78</v>
      </c>
      <c r="K25697">
        <v>130.6</v>
      </c>
      <c r="L25697">
        <v>17806</v>
      </c>
      <c r="M25697" t="s">
        <v>265</v>
      </c>
      <c r="N25697" t="str">
        <f>"122105894   "</f>
        <v xml:space="preserve">122105894   </v>
      </c>
      <c r="O25697">
        <v>231116</v>
      </c>
    </row>
    <row r="25698" spans="1:15" x14ac:dyDescent="0.25">
      <c r="A25698" t="s">
        <v>16</v>
      </c>
      <c r="B25698" t="s">
        <v>3221</v>
      </c>
      <c r="C25698">
        <v>17624</v>
      </c>
      <c r="D25698" t="s">
        <v>114</v>
      </c>
      <c r="E25698" t="s">
        <v>115</v>
      </c>
      <c r="F25698">
        <v>158.82</v>
      </c>
      <c r="G25698">
        <v>231213</v>
      </c>
      <c r="H25698">
        <v>4590</v>
      </c>
      <c r="I25698" t="s">
        <v>203</v>
      </c>
      <c r="J25698">
        <v>196.94</v>
      </c>
      <c r="K25698">
        <v>38.119999999999997</v>
      </c>
      <c r="L25698">
        <v>17806</v>
      </c>
      <c r="M25698" t="s">
        <v>265</v>
      </c>
      <c r="N25698" t="str">
        <f>"122211702   "</f>
        <v xml:space="preserve">122211702   </v>
      </c>
      <c r="O25698">
        <v>231215</v>
      </c>
    </row>
    <row r="25699" spans="1:15" x14ac:dyDescent="0.25">
      <c r="A25699" t="s">
        <v>16</v>
      </c>
      <c r="B25699" t="s">
        <v>3221</v>
      </c>
      <c r="C25699">
        <v>18931</v>
      </c>
      <c r="D25699" t="s">
        <v>114</v>
      </c>
      <c r="E25699" t="s">
        <v>115</v>
      </c>
      <c r="F25699">
        <v>196.35</v>
      </c>
      <c r="G25699">
        <v>231229</v>
      </c>
      <c r="H25699">
        <v>4590</v>
      </c>
      <c r="I25699" t="s">
        <v>203</v>
      </c>
      <c r="J25699">
        <v>243.47</v>
      </c>
      <c r="K25699">
        <v>47.12</v>
      </c>
      <c r="L25699">
        <v>56561</v>
      </c>
      <c r="M25699" t="s">
        <v>358</v>
      </c>
      <c r="N25699" t="str">
        <f>"122248865   "</f>
        <v xml:space="preserve">122248865   </v>
      </c>
      <c r="O25699">
        <v>240108</v>
      </c>
    </row>
    <row r="25700" spans="1:15" x14ac:dyDescent="0.25">
      <c r="A25700" t="s">
        <v>16</v>
      </c>
      <c r="B25700" t="s">
        <v>3221</v>
      </c>
      <c r="C25700">
        <v>776</v>
      </c>
      <c r="D25700" t="s">
        <v>114</v>
      </c>
      <c r="E25700" t="s">
        <v>115</v>
      </c>
      <c r="F25700">
        <v>69.010000000000005</v>
      </c>
      <c r="G25700">
        <v>230124</v>
      </c>
      <c r="H25700">
        <v>4550</v>
      </c>
      <c r="I25700" t="s">
        <v>312</v>
      </c>
      <c r="J25700">
        <v>85.57</v>
      </c>
      <c r="K25700">
        <v>16.559999999999999</v>
      </c>
      <c r="L25700">
        <v>17522</v>
      </c>
      <c r="M25700" t="s">
        <v>451</v>
      </c>
      <c r="N25700" t="str">
        <f>"120951154   "</f>
        <v xml:space="preserve">120951154   </v>
      </c>
      <c r="O25700">
        <v>230130</v>
      </c>
    </row>
    <row r="25701" spans="1:15" x14ac:dyDescent="0.25">
      <c r="A25701" t="s">
        <v>16</v>
      </c>
      <c r="B25701" t="s">
        <v>3221</v>
      </c>
      <c r="C25701">
        <v>3833</v>
      </c>
      <c r="D25701" t="s">
        <v>114</v>
      </c>
      <c r="E25701" t="s">
        <v>115</v>
      </c>
      <c r="F25701">
        <v>195.95</v>
      </c>
      <c r="G25701">
        <v>230320</v>
      </c>
      <c r="H25701">
        <v>4550</v>
      </c>
      <c r="I25701" t="s">
        <v>312</v>
      </c>
      <c r="J25701">
        <v>242.98</v>
      </c>
      <c r="K25701">
        <v>47.03</v>
      </c>
      <c r="L25701">
        <v>46557</v>
      </c>
      <c r="M25701" t="s">
        <v>221</v>
      </c>
      <c r="N25701" t="str">
        <f>"121158286   "</f>
        <v xml:space="preserve">121158286   </v>
      </c>
      <c r="O25701">
        <v>230323</v>
      </c>
    </row>
    <row r="25702" spans="1:15" x14ac:dyDescent="0.25">
      <c r="A25702" t="s">
        <v>16</v>
      </c>
      <c r="B25702" t="s">
        <v>3221</v>
      </c>
      <c r="C25702">
        <v>6701</v>
      </c>
      <c r="D25702" t="s">
        <v>114</v>
      </c>
      <c r="E25702" t="s">
        <v>115</v>
      </c>
      <c r="F25702">
        <v>27.9</v>
      </c>
      <c r="G25702">
        <v>230511</v>
      </c>
      <c r="H25702">
        <v>4550</v>
      </c>
      <c r="I25702" t="s">
        <v>312</v>
      </c>
      <c r="J25702">
        <v>34.6</v>
      </c>
      <c r="K25702">
        <v>6.7</v>
      </c>
      <c r="L25702">
        <v>17711</v>
      </c>
      <c r="M25702" t="s">
        <v>65</v>
      </c>
      <c r="N25702" t="str">
        <f>"121351744   "</f>
        <v xml:space="preserve">121351744   </v>
      </c>
      <c r="O25702">
        <v>230517</v>
      </c>
    </row>
    <row r="25703" spans="1:15" x14ac:dyDescent="0.25">
      <c r="A25703" t="s">
        <v>16</v>
      </c>
      <c r="B25703" t="s">
        <v>3221</v>
      </c>
      <c r="C25703">
        <v>8286</v>
      </c>
      <c r="D25703" t="s">
        <v>114</v>
      </c>
      <c r="E25703" t="s">
        <v>115</v>
      </c>
      <c r="F25703">
        <v>7.51</v>
      </c>
      <c r="G25703">
        <v>230601</v>
      </c>
      <c r="H25703">
        <v>4550</v>
      </c>
      <c r="I25703" t="s">
        <v>312</v>
      </c>
      <c r="J25703">
        <v>9.31</v>
      </c>
      <c r="K25703">
        <v>1.8</v>
      </c>
      <c r="L25703">
        <v>13540</v>
      </c>
      <c r="M25703" t="s">
        <v>85</v>
      </c>
      <c r="N25703" t="str">
        <f>"121451867   "</f>
        <v xml:space="preserve">121451867   </v>
      </c>
      <c r="O25703">
        <v>230608</v>
      </c>
    </row>
    <row r="25704" spans="1:15" x14ac:dyDescent="0.25">
      <c r="A25704" t="s">
        <v>16</v>
      </c>
      <c r="B25704" t="s">
        <v>3221</v>
      </c>
      <c r="C25704">
        <v>8286</v>
      </c>
      <c r="D25704" t="s">
        <v>114</v>
      </c>
      <c r="E25704" t="s">
        <v>115</v>
      </c>
      <c r="F25704">
        <v>51.23</v>
      </c>
      <c r="G25704">
        <v>230601</v>
      </c>
      <c r="H25704">
        <v>4550</v>
      </c>
      <c r="I25704" t="s">
        <v>312</v>
      </c>
      <c r="J25704">
        <v>63.52</v>
      </c>
      <c r="K25704">
        <v>12.29</v>
      </c>
      <c r="L25704">
        <v>17950</v>
      </c>
      <c r="M25704" t="s">
        <v>86</v>
      </c>
      <c r="N25704" t="str">
        <f>"121451867   "</f>
        <v xml:space="preserve">121451867   </v>
      </c>
      <c r="O25704">
        <v>230608</v>
      </c>
    </row>
    <row r="25705" spans="1:15" x14ac:dyDescent="0.25">
      <c r="A25705" t="s">
        <v>16</v>
      </c>
      <c r="B25705" t="s">
        <v>3221</v>
      </c>
      <c r="C25705">
        <v>8286</v>
      </c>
      <c r="D25705" t="s">
        <v>114</v>
      </c>
      <c r="E25705" t="s">
        <v>115</v>
      </c>
      <c r="F25705">
        <v>9.56</v>
      </c>
      <c r="G25705">
        <v>230601</v>
      </c>
      <c r="H25705">
        <v>4550</v>
      </c>
      <c r="I25705" t="s">
        <v>312</v>
      </c>
      <c r="J25705">
        <v>11.86</v>
      </c>
      <c r="K25705">
        <v>2.2999999999999998</v>
      </c>
      <c r="L25705">
        <v>17956</v>
      </c>
      <c r="M25705" t="s">
        <v>53</v>
      </c>
      <c r="N25705" t="str">
        <f>"121451867   "</f>
        <v xml:space="preserve">121451867   </v>
      </c>
      <c r="O25705">
        <v>230608</v>
      </c>
    </row>
    <row r="25706" spans="1:15" x14ac:dyDescent="0.25">
      <c r="A25706" t="s">
        <v>16</v>
      </c>
      <c r="B25706" t="s">
        <v>3221</v>
      </c>
      <c r="C25706">
        <v>12700</v>
      </c>
      <c r="D25706" t="s">
        <v>114</v>
      </c>
      <c r="E25706" t="s">
        <v>115</v>
      </c>
      <c r="F25706">
        <v>14.28</v>
      </c>
      <c r="G25706">
        <v>230920</v>
      </c>
      <c r="H25706">
        <v>4550</v>
      </c>
      <c r="I25706" t="s">
        <v>312</v>
      </c>
      <c r="J25706">
        <v>17.71</v>
      </c>
      <c r="K25706">
        <v>3.43</v>
      </c>
      <c r="L25706">
        <v>47522</v>
      </c>
      <c r="M25706" t="s">
        <v>410</v>
      </c>
      <c r="N25706" t="str">
        <f>"121869239   "</f>
        <v xml:space="preserve">121869239   </v>
      </c>
      <c r="O25706">
        <v>230925</v>
      </c>
    </row>
    <row r="25707" spans="1:15" x14ac:dyDescent="0.25">
      <c r="A25707" t="s">
        <v>16</v>
      </c>
      <c r="B25707" t="s">
        <v>3221</v>
      </c>
      <c r="C25707">
        <v>15169</v>
      </c>
      <c r="D25707" t="s">
        <v>114</v>
      </c>
      <c r="E25707" t="s">
        <v>115</v>
      </c>
      <c r="F25707">
        <v>56.93</v>
      </c>
      <c r="G25707">
        <v>231031</v>
      </c>
      <c r="H25707">
        <v>4550</v>
      </c>
      <c r="I25707" t="s">
        <v>312</v>
      </c>
      <c r="J25707">
        <v>70.59</v>
      </c>
      <c r="K25707">
        <v>13.66</v>
      </c>
      <c r="L25707">
        <v>17808</v>
      </c>
      <c r="M25707" t="s">
        <v>322</v>
      </c>
      <c r="N25707" t="str">
        <f>"122042842   "</f>
        <v xml:space="preserve">122042842   </v>
      </c>
      <c r="O25707">
        <v>231109</v>
      </c>
    </row>
    <row r="25708" spans="1:15" x14ac:dyDescent="0.25">
      <c r="A25708" t="s">
        <v>16</v>
      </c>
      <c r="B25708" t="s">
        <v>3221</v>
      </c>
      <c r="C25708">
        <v>16875</v>
      </c>
      <c r="D25708" t="s">
        <v>114</v>
      </c>
      <c r="E25708" t="s">
        <v>115</v>
      </c>
      <c r="F25708">
        <v>2.37</v>
      </c>
      <c r="G25708">
        <v>231130</v>
      </c>
      <c r="H25708">
        <v>4550</v>
      </c>
      <c r="I25708" t="s">
        <v>312</v>
      </c>
      <c r="J25708">
        <v>2.94</v>
      </c>
      <c r="K25708">
        <v>0.56999999999999995</v>
      </c>
      <c r="L25708">
        <v>13540</v>
      </c>
      <c r="M25708" t="s">
        <v>85</v>
      </c>
      <c r="N25708" t="str">
        <f>"122171770   "</f>
        <v xml:space="preserve">122171770   </v>
      </c>
      <c r="O25708">
        <v>231211</v>
      </c>
    </row>
    <row r="25709" spans="1:15" x14ac:dyDescent="0.25">
      <c r="A25709" t="s">
        <v>16</v>
      </c>
      <c r="B25709" t="s">
        <v>3221</v>
      </c>
      <c r="C25709">
        <v>16875</v>
      </c>
      <c r="D25709" t="s">
        <v>114</v>
      </c>
      <c r="E25709" t="s">
        <v>115</v>
      </c>
      <c r="F25709">
        <v>16.190000000000001</v>
      </c>
      <c r="G25709">
        <v>231130</v>
      </c>
      <c r="H25709">
        <v>4550</v>
      </c>
      <c r="I25709" t="s">
        <v>312</v>
      </c>
      <c r="J25709">
        <v>20.07</v>
      </c>
      <c r="K25709">
        <v>3.88</v>
      </c>
      <c r="L25709">
        <v>17950</v>
      </c>
      <c r="M25709" t="s">
        <v>86</v>
      </c>
      <c r="N25709" t="str">
        <f>"122171770   "</f>
        <v xml:space="preserve">122171770   </v>
      </c>
      <c r="O25709">
        <v>231211</v>
      </c>
    </row>
    <row r="25710" spans="1:15" x14ac:dyDescent="0.25">
      <c r="A25710" t="s">
        <v>16</v>
      </c>
      <c r="B25710" t="s">
        <v>3221</v>
      </c>
      <c r="C25710">
        <v>16875</v>
      </c>
      <c r="D25710" t="s">
        <v>114</v>
      </c>
      <c r="E25710" t="s">
        <v>115</v>
      </c>
      <c r="F25710">
        <v>3.02</v>
      </c>
      <c r="G25710">
        <v>231130</v>
      </c>
      <c r="H25710">
        <v>4550</v>
      </c>
      <c r="I25710" t="s">
        <v>312</v>
      </c>
      <c r="J25710">
        <v>3.75</v>
      </c>
      <c r="K25710">
        <v>0.73</v>
      </c>
      <c r="L25710">
        <v>17956</v>
      </c>
      <c r="M25710" t="s">
        <v>53</v>
      </c>
      <c r="N25710" t="str">
        <f>"122171770   "</f>
        <v xml:space="preserve">122171770   </v>
      </c>
      <c r="O25710">
        <v>231211</v>
      </c>
    </row>
    <row r="25711" spans="1:15" x14ac:dyDescent="0.25">
      <c r="A25711" t="s">
        <v>16</v>
      </c>
      <c r="B25711" t="s">
        <v>3221</v>
      </c>
      <c r="C25711">
        <v>257</v>
      </c>
      <c r="D25711" t="s">
        <v>114</v>
      </c>
      <c r="E25711" t="s">
        <v>115</v>
      </c>
      <c r="F25711">
        <v>292.29000000000002</v>
      </c>
      <c r="G25711">
        <v>230110</v>
      </c>
      <c r="H25711">
        <v>4530</v>
      </c>
      <c r="I25711" t="s">
        <v>342</v>
      </c>
      <c r="J25711">
        <v>362.44</v>
      </c>
      <c r="K25711">
        <v>70.150000000000006</v>
      </c>
      <c r="L25711">
        <v>46554</v>
      </c>
      <c r="M25711" t="s">
        <v>117</v>
      </c>
      <c r="N25711" t="str">
        <f>"120902047   "</f>
        <v xml:space="preserve">120902047   </v>
      </c>
      <c r="O25711">
        <v>230117</v>
      </c>
    </row>
    <row r="25712" spans="1:15" x14ac:dyDescent="0.25">
      <c r="A25712" t="s">
        <v>16</v>
      </c>
      <c r="B25712" t="s">
        <v>3221</v>
      </c>
      <c r="C25712">
        <v>313</v>
      </c>
      <c r="D25712" t="s">
        <v>114</v>
      </c>
      <c r="E25712" t="s">
        <v>115</v>
      </c>
      <c r="F25712">
        <v>36</v>
      </c>
      <c r="G25712">
        <v>230116</v>
      </c>
      <c r="H25712">
        <v>4530</v>
      </c>
      <c r="I25712" t="s">
        <v>342</v>
      </c>
      <c r="J25712">
        <v>44.64</v>
      </c>
      <c r="K25712">
        <v>8.64</v>
      </c>
      <c r="L25712">
        <v>46556</v>
      </c>
      <c r="M25712" t="s">
        <v>125</v>
      </c>
      <c r="N25712" t="str">
        <f>"120922513   "</f>
        <v xml:space="preserve">120922513   </v>
      </c>
      <c r="O25712">
        <v>230118</v>
      </c>
    </row>
    <row r="25713" spans="1:15" x14ac:dyDescent="0.25">
      <c r="A25713" t="s">
        <v>16</v>
      </c>
      <c r="B25713" t="s">
        <v>3221</v>
      </c>
      <c r="C25713">
        <v>321</v>
      </c>
      <c r="D25713" t="s">
        <v>114</v>
      </c>
      <c r="E25713" t="s">
        <v>115</v>
      </c>
      <c r="F25713">
        <v>602.12</v>
      </c>
      <c r="G25713">
        <v>230113</v>
      </c>
      <c r="H25713">
        <v>4530</v>
      </c>
      <c r="I25713" t="s">
        <v>342</v>
      </c>
      <c r="J25713">
        <v>746.63</v>
      </c>
      <c r="K25713">
        <v>144.51</v>
      </c>
      <c r="L25713">
        <v>56564</v>
      </c>
      <c r="M25713" t="s">
        <v>327</v>
      </c>
      <c r="N25713" t="str">
        <f>"120913967   "</f>
        <v xml:space="preserve">120913967   </v>
      </c>
      <c r="O25713">
        <v>230118</v>
      </c>
    </row>
    <row r="25714" spans="1:15" x14ac:dyDescent="0.25">
      <c r="A25714" t="s">
        <v>16</v>
      </c>
      <c r="B25714" t="s">
        <v>3221</v>
      </c>
      <c r="C25714">
        <v>382</v>
      </c>
      <c r="D25714" t="s">
        <v>114</v>
      </c>
      <c r="E25714" t="s">
        <v>115</v>
      </c>
      <c r="F25714">
        <v>209.21</v>
      </c>
      <c r="G25714">
        <v>230112</v>
      </c>
      <c r="H25714">
        <v>4530</v>
      </c>
      <c r="I25714" t="s">
        <v>342</v>
      </c>
      <c r="J25714">
        <v>259.42</v>
      </c>
      <c r="K25714">
        <v>50.21</v>
      </c>
      <c r="L25714">
        <v>17711</v>
      </c>
      <c r="M25714" t="s">
        <v>65</v>
      </c>
      <c r="N25714" t="str">
        <f>"120906714   "</f>
        <v xml:space="preserve">120906714   </v>
      </c>
      <c r="O25714">
        <v>230119</v>
      </c>
    </row>
    <row r="25715" spans="1:15" x14ac:dyDescent="0.25">
      <c r="A25715" t="s">
        <v>16</v>
      </c>
      <c r="B25715" t="s">
        <v>3221</v>
      </c>
      <c r="C25715">
        <v>416</v>
      </c>
      <c r="D25715" t="s">
        <v>114</v>
      </c>
      <c r="E25715" t="s">
        <v>115</v>
      </c>
      <c r="F25715">
        <v>198.31</v>
      </c>
      <c r="G25715">
        <v>230118</v>
      </c>
      <c r="H25715">
        <v>4530</v>
      </c>
      <c r="I25715" t="s">
        <v>342</v>
      </c>
      <c r="J25715">
        <v>245.9</v>
      </c>
      <c r="K25715">
        <v>47.59</v>
      </c>
      <c r="L25715">
        <v>66722</v>
      </c>
      <c r="M25715" t="s">
        <v>518</v>
      </c>
      <c r="N25715" t="str">
        <f>"120929593   "</f>
        <v xml:space="preserve">120929593   </v>
      </c>
      <c r="O25715">
        <v>230120</v>
      </c>
    </row>
    <row r="25716" spans="1:15" x14ac:dyDescent="0.25">
      <c r="A25716" t="s">
        <v>16</v>
      </c>
      <c r="B25716" t="s">
        <v>3221</v>
      </c>
      <c r="C25716">
        <v>493</v>
      </c>
      <c r="D25716" t="s">
        <v>114</v>
      </c>
      <c r="E25716" t="s">
        <v>115</v>
      </c>
      <c r="F25716">
        <v>419.99</v>
      </c>
      <c r="G25716">
        <v>230111</v>
      </c>
      <c r="H25716">
        <v>4530</v>
      </c>
      <c r="I25716" t="s">
        <v>342</v>
      </c>
      <c r="J25716">
        <v>520.79</v>
      </c>
      <c r="K25716">
        <v>100.8</v>
      </c>
      <c r="L25716">
        <v>47522</v>
      </c>
      <c r="M25716" t="s">
        <v>410</v>
      </c>
      <c r="N25716" t="str">
        <f>"120902921   "</f>
        <v xml:space="preserve">120902921   </v>
      </c>
      <c r="O25716">
        <v>230124</v>
      </c>
    </row>
    <row r="25717" spans="1:15" x14ac:dyDescent="0.25">
      <c r="A25717" t="s">
        <v>16</v>
      </c>
      <c r="B25717" t="s">
        <v>3221</v>
      </c>
      <c r="C25717">
        <v>511</v>
      </c>
      <c r="D25717" t="s">
        <v>114</v>
      </c>
      <c r="E25717" t="s">
        <v>115</v>
      </c>
      <c r="F25717">
        <v>693.21</v>
      </c>
      <c r="G25717">
        <v>230118</v>
      </c>
      <c r="H25717">
        <v>4530</v>
      </c>
      <c r="I25717" t="s">
        <v>342</v>
      </c>
      <c r="J25717">
        <v>859.58</v>
      </c>
      <c r="K25717">
        <v>166.37</v>
      </c>
      <c r="L25717">
        <v>67522</v>
      </c>
      <c r="M25717" t="s">
        <v>397</v>
      </c>
      <c r="N25717" t="str">
        <f>"120929592   "</f>
        <v xml:space="preserve">120929592   </v>
      </c>
      <c r="O25717">
        <v>230124</v>
      </c>
    </row>
    <row r="25718" spans="1:15" x14ac:dyDescent="0.25">
      <c r="A25718" t="s">
        <v>16</v>
      </c>
      <c r="B25718" t="s">
        <v>3221</v>
      </c>
      <c r="C25718">
        <v>523</v>
      </c>
      <c r="D25718" t="s">
        <v>114</v>
      </c>
      <c r="E25718" t="s">
        <v>115</v>
      </c>
      <c r="F25718">
        <v>108.19</v>
      </c>
      <c r="G25718">
        <v>230119</v>
      </c>
      <c r="H25718">
        <v>4530</v>
      </c>
      <c r="I25718" t="s">
        <v>342</v>
      </c>
      <c r="J25718">
        <v>134.16</v>
      </c>
      <c r="K25718">
        <v>25.97</v>
      </c>
      <c r="L25718">
        <v>65422</v>
      </c>
      <c r="M25718" t="s">
        <v>602</v>
      </c>
      <c r="N25718" t="str">
        <f>"120937408   "</f>
        <v xml:space="preserve">120937408   </v>
      </c>
      <c r="O25718">
        <v>230124</v>
      </c>
    </row>
    <row r="25719" spans="1:15" x14ac:dyDescent="0.25">
      <c r="A25719" t="s">
        <v>16</v>
      </c>
      <c r="B25719" t="s">
        <v>3221</v>
      </c>
      <c r="C25719">
        <v>528</v>
      </c>
      <c r="D25719" t="s">
        <v>114</v>
      </c>
      <c r="E25719" t="s">
        <v>115</v>
      </c>
      <c r="F25719">
        <v>205.19</v>
      </c>
      <c r="G25719">
        <v>230120</v>
      </c>
      <c r="H25719">
        <v>4530</v>
      </c>
      <c r="I25719" t="s">
        <v>342</v>
      </c>
      <c r="J25719">
        <v>254.44</v>
      </c>
      <c r="K25719">
        <v>49.25</v>
      </c>
      <c r="L25719">
        <v>67522</v>
      </c>
      <c r="M25719" t="s">
        <v>397</v>
      </c>
      <c r="N25719" t="str">
        <f>"120943106   "</f>
        <v xml:space="preserve">120943106   </v>
      </c>
      <c r="O25719">
        <v>230124</v>
      </c>
    </row>
    <row r="25720" spans="1:15" x14ac:dyDescent="0.25">
      <c r="A25720" t="s">
        <v>16</v>
      </c>
      <c r="B25720" t="s">
        <v>3221</v>
      </c>
      <c r="C25720">
        <v>596</v>
      </c>
      <c r="D25720" t="s">
        <v>114</v>
      </c>
      <c r="E25720" t="s">
        <v>115</v>
      </c>
      <c r="F25720">
        <v>84.76</v>
      </c>
      <c r="G25720">
        <v>230123</v>
      </c>
      <c r="H25720">
        <v>4530</v>
      </c>
      <c r="I25720" t="s">
        <v>342</v>
      </c>
      <c r="J25720">
        <v>105.1</v>
      </c>
      <c r="K25720">
        <v>20.34</v>
      </c>
      <c r="L25720">
        <v>69112</v>
      </c>
      <c r="M25720" t="s">
        <v>313</v>
      </c>
      <c r="N25720" t="str">
        <f>"120947117   "</f>
        <v xml:space="preserve">120947117   </v>
      </c>
      <c r="O25720">
        <v>230125</v>
      </c>
    </row>
    <row r="25721" spans="1:15" x14ac:dyDescent="0.25">
      <c r="A25721" t="s">
        <v>16</v>
      </c>
      <c r="B25721" t="s">
        <v>3221</v>
      </c>
      <c r="C25721">
        <v>729</v>
      </c>
      <c r="D25721" t="s">
        <v>114</v>
      </c>
      <c r="E25721" t="s">
        <v>115</v>
      </c>
      <c r="F25721">
        <v>141.61000000000001</v>
      </c>
      <c r="G25721">
        <v>230124</v>
      </c>
      <c r="H25721">
        <v>4530</v>
      </c>
      <c r="I25721" t="s">
        <v>342</v>
      </c>
      <c r="J25721">
        <v>175.6</v>
      </c>
      <c r="K25721">
        <v>33.99</v>
      </c>
      <c r="L25721">
        <v>46557</v>
      </c>
      <c r="M25721" t="s">
        <v>221</v>
      </c>
      <c r="N25721" t="str">
        <f>"120949308   "</f>
        <v xml:space="preserve">120949308   </v>
      </c>
      <c r="O25721">
        <v>230127</v>
      </c>
    </row>
    <row r="25722" spans="1:15" x14ac:dyDescent="0.25">
      <c r="A25722" t="s">
        <v>16</v>
      </c>
      <c r="B25722" t="s">
        <v>3221</v>
      </c>
      <c r="C25722">
        <v>803</v>
      </c>
      <c r="D25722" t="s">
        <v>114</v>
      </c>
      <c r="E25722" t="s">
        <v>115</v>
      </c>
      <c r="F25722">
        <v>205.19</v>
      </c>
      <c r="G25722">
        <v>230126</v>
      </c>
      <c r="H25722">
        <v>4530</v>
      </c>
      <c r="I25722" t="s">
        <v>342</v>
      </c>
      <c r="J25722">
        <v>254.44</v>
      </c>
      <c r="K25722">
        <v>49.25</v>
      </c>
      <c r="L25722">
        <v>67522</v>
      </c>
      <c r="M25722" t="s">
        <v>397</v>
      </c>
      <c r="N25722" t="str">
        <f>"120957553   "</f>
        <v xml:space="preserve">120957553   </v>
      </c>
      <c r="O25722">
        <v>230130</v>
      </c>
    </row>
    <row r="25723" spans="1:15" x14ac:dyDescent="0.25">
      <c r="A25723" t="s">
        <v>16</v>
      </c>
      <c r="B25723" t="s">
        <v>3221</v>
      </c>
      <c r="C25723">
        <v>832</v>
      </c>
      <c r="D25723" t="s">
        <v>114</v>
      </c>
      <c r="E25723" t="s">
        <v>115</v>
      </c>
      <c r="F25723">
        <v>97.73</v>
      </c>
      <c r="G25723">
        <v>230116</v>
      </c>
      <c r="H25723">
        <v>4530</v>
      </c>
      <c r="I25723" t="s">
        <v>342</v>
      </c>
      <c r="J25723">
        <v>121.19</v>
      </c>
      <c r="K25723">
        <v>23.46</v>
      </c>
      <c r="L25723">
        <v>46554</v>
      </c>
      <c r="M25723" t="s">
        <v>117</v>
      </c>
      <c r="N25723" t="str">
        <f>"120922514   "</f>
        <v xml:space="preserve">120922514   </v>
      </c>
      <c r="O25723">
        <v>230131</v>
      </c>
    </row>
    <row r="25724" spans="1:15" x14ac:dyDescent="0.25">
      <c r="A25724" t="s">
        <v>16</v>
      </c>
      <c r="B25724" t="s">
        <v>3221</v>
      </c>
      <c r="C25724">
        <v>869</v>
      </c>
      <c r="D25724" t="s">
        <v>114</v>
      </c>
      <c r="E25724" t="s">
        <v>115</v>
      </c>
      <c r="F25724">
        <v>129.72</v>
      </c>
      <c r="G25724">
        <v>230126</v>
      </c>
      <c r="H25724">
        <v>4530</v>
      </c>
      <c r="I25724" t="s">
        <v>342</v>
      </c>
      <c r="J25724">
        <v>160.85</v>
      </c>
      <c r="K25724">
        <v>31.13</v>
      </c>
      <c r="L25724">
        <v>66722</v>
      </c>
      <c r="M25724" t="s">
        <v>518</v>
      </c>
      <c r="N25724" t="str">
        <f>"120957554   "</f>
        <v xml:space="preserve">120957554   </v>
      </c>
      <c r="O25724">
        <v>230131</v>
      </c>
    </row>
    <row r="25725" spans="1:15" x14ac:dyDescent="0.25">
      <c r="A25725" t="s">
        <v>16</v>
      </c>
      <c r="B25725" t="s">
        <v>3221</v>
      </c>
      <c r="C25725">
        <v>1038</v>
      </c>
      <c r="D25725" t="s">
        <v>114</v>
      </c>
      <c r="E25725" t="s">
        <v>115</v>
      </c>
      <c r="F25725">
        <v>102.02</v>
      </c>
      <c r="G25725">
        <v>230124</v>
      </c>
      <c r="H25725">
        <v>4530</v>
      </c>
      <c r="I25725" t="s">
        <v>342</v>
      </c>
      <c r="J25725">
        <v>126.5</v>
      </c>
      <c r="K25725">
        <v>24.48</v>
      </c>
      <c r="L25725">
        <v>14541</v>
      </c>
      <c r="M25725" t="s">
        <v>626</v>
      </c>
      <c r="N25725" t="str">
        <f>"120949690   "</f>
        <v xml:space="preserve">120949690   </v>
      </c>
      <c r="O25725">
        <v>230202</v>
      </c>
    </row>
    <row r="25726" spans="1:15" x14ac:dyDescent="0.25">
      <c r="A25726" t="s">
        <v>16</v>
      </c>
      <c r="B25726" t="s">
        <v>3221</v>
      </c>
      <c r="C25726">
        <v>1287</v>
      </c>
      <c r="D25726" t="s">
        <v>114</v>
      </c>
      <c r="E25726" t="s">
        <v>115</v>
      </c>
      <c r="F25726">
        <v>77.400000000000006</v>
      </c>
      <c r="G25726">
        <v>230131</v>
      </c>
      <c r="H25726">
        <v>4530</v>
      </c>
      <c r="I25726" t="s">
        <v>342</v>
      </c>
      <c r="J25726">
        <v>95.97</v>
      </c>
      <c r="K25726">
        <v>18.57</v>
      </c>
      <c r="L25726">
        <v>56564</v>
      </c>
      <c r="M25726" t="s">
        <v>327</v>
      </c>
      <c r="N25726" t="str">
        <f>"120977924   "</f>
        <v xml:space="preserve">120977924   </v>
      </c>
      <c r="O25726">
        <v>230207</v>
      </c>
    </row>
    <row r="25727" spans="1:15" x14ac:dyDescent="0.25">
      <c r="A25727" t="s">
        <v>16</v>
      </c>
      <c r="B25727" t="s">
        <v>3221</v>
      </c>
      <c r="C25727">
        <v>1638</v>
      </c>
      <c r="D25727" t="s">
        <v>114</v>
      </c>
      <c r="E25727" t="s">
        <v>115</v>
      </c>
      <c r="F25727">
        <v>0</v>
      </c>
      <c r="G25727">
        <v>230131</v>
      </c>
      <c r="H25727">
        <v>4530</v>
      </c>
      <c r="I25727" t="s">
        <v>342</v>
      </c>
      <c r="J25727">
        <v>0</v>
      </c>
      <c r="K25727">
        <v>0</v>
      </c>
      <c r="L25727">
        <v>17524</v>
      </c>
      <c r="M25727" t="s">
        <v>452</v>
      </c>
      <c r="N25727" t="str">
        <f>"120985285   "</f>
        <v xml:space="preserve">120985285   </v>
      </c>
      <c r="O25727">
        <v>230210</v>
      </c>
    </row>
    <row r="25728" spans="1:15" x14ac:dyDescent="0.25">
      <c r="A25728" t="s">
        <v>16</v>
      </c>
      <c r="B25728" t="s">
        <v>3221</v>
      </c>
      <c r="C25728">
        <v>1638</v>
      </c>
      <c r="D25728" t="s">
        <v>114</v>
      </c>
      <c r="E25728" t="s">
        <v>115</v>
      </c>
      <c r="F25728">
        <v>244.43</v>
      </c>
      <c r="G25728">
        <v>230131</v>
      </c>
      <c r="H25728">
        <v>4530</v>
      </c>
      <c r="I25728" t="s">
        <v>342</v>
      </c>
      <c r="J25728">
        <v>303.08999999999997</v>
      </c>
      <c r="K25728">
        <v>58.66</v>
      </c>
      <c r="L25728">
        <v>17524</v>
      </c>
      <c r="M25728" t="s">
        <v>452</v>
      </c>
      <c r="N25728" t="str">
        <f>"120985285   "</f>
        <v xml:space="preserve">120985285   </v>
      </c>
      <c r="O25728">
        <v>230210</v>
      </c>
    </row>
    <row r="25729" spans="1:15" x14ac:dyDescent="0.25">
      <c r="A25729" t="s">
        <v>16</v>
      </c>
      <c r="B25729" t="s">
        <v>3221</v>
      </c>
      <c r="C25729">
        <v>1638</v>
      </c>
      <c r="D25729" t="s">
        <v>114</v>
      </c>
      <c r="E25729" t="s">
        <v>115</v>
      </c>
      <c r="F25729">
        <v>86</v>
      </c>
      <c r="G25729">
        <v>230131</v>
      </c>
      <c r="H25729">
        <v>4530</v>
      </c>
      <c r="I25729" t="s">
        <v>342</v>
      </c>
      <c r="J25729">
        <v>106.64</v>
      </c>
      <c r="K25729">
        <v>20.64</v>
      </c>
      <c r="L25729">
        <v>17535</v>
      </c>
      <c r="M25729" t="s">
        <v>357</v>
      </c>
      <c r="N25729" t="str">
        <f>"120985285   "</f>
        <v xml:space="preserve">120985285   </v>
      </c>
      <c r="O25729">
        <v>230210</v>
      </c>
    </row>
    <row r="25730" spans="1:15" x14ac:dyDescent="0.25">
      <c r="A25730" t="s">
        <v>16</v>
      </c>
      <c r="B25730" t="s">
        <v>3221</v>
      </c>
      <c r="C25730">
        <v>1700</v>
      </c>
      <c r="D25730" t="s">
        <v>114</v>
      </c>
      <c r="E25730" t="s">
        <v>115</v>
      </c>
      <c r="F25730">
        <v>220.89</v>
      </c>
      <c r="G25730">
        <v>230209</v>
      </c>
      <c r="H25730">
        <v>4530</v>
      </c>
      <c r="I25730" t="s">
        <v>342</v>
      </c>
      <c r="J25730">
        <v>273.89999999999998</v>
      </c>
      <c r="K25730">
        <v>53.01</v>
      </c>
      <c r="L25730">
        <v>66754</v>
      </c>
      <c r="M25730" t="s">
        <v>239</v>
      </c>
      <c r="N25730" t="str">
        <f>"121020796   "</f>
        <v xml:space="preserve">121020796   </v>
      </c>
      <c r="O25730">
        <v>230213</v>
      </c>
    </row>
    <row r="25731" spans="1:15" x14ac:dyDescent="0.25">
      <c r="A25731" t="s">
        <v>16</v>
      </c>
      <c r="B25731" t="s">
        <v>3221</v>
      </c>
      <c r="C25731">
        <v>1854</v>
      </c>
      <c r="D25731" t="s">
        <v>114</v>
      </c>
      <c r="E25731" t="s">
        <v>115</v>
      </c>
      <c r="F25731">
        <v>95.69</v>
      </c>
      <c r="G25731">
        <v>230209</v>
      </c>
      <c r="H25731">
        <v>4530</v>
      </c>
      <c r="I25731" t="s">
        <v>342</v>
      </c>
      <c r="J25731">
        <v>118.66</v>
      </c>
      <c r="K25731">
        <v>22.97</v>
      </c>
      <c r="L25731">
        <v>46555</v>
      </c>
      <c r="M25731" t="s">
        <v>597</v>
      </c>
      <c r="N25731" t="str">
        <f>"121020687   "</f>
        <v xml:space="preserve">121020687   </v>
      </c>
      <c r="O25731">
        <v>230215</v>
      </c>
    </row>
    <row r="25732" spans="1:15" x14ac:dyDescent="0.25">
      <c r="A25732" t="s">
        <v>16</v>
      </c>
      <c r="B25732" t="s">
        <v>3221</v>
      </c>
      <c r="C25732">
        <v>2019</v>
      </c>
      <c r="D25732" t="s">
        <v>114</v>
      </c>
      <c r="E25732" t="s">
        <v>115</v>
      </c>
      <c r="F25732">
        <v>120.02</v>
      </c>
      <c r="G25732">
        <v>230131</v>
      </c>
      <c r="H25732">
        <v>4530</v>
      </c>
      <c r="I25732" t="s">
        <v>342</v>
      </c>
      <c r="J25732">
        <v>148.82</v>
      </c>
      <c r="K25732">
        <v>28.8</v>
      </c>
      <c r="L25732">
        <v>51147</v>
      </c>
      <c r="M25732" t="s">
        <v>1167</v>
      </c>
      <c r="N25732" t="str">
        <f>"120977919   "</f>
        <v xml:space="preserve">120977919   </v>
      </c>
      <c r="O25732">
        <v>230217</v>
      </c>
    </row>
    <row r="25733" spans="1:15" x14ac:dyDescent="0.25">
      <c r="A25733" t="s">
        <v>16</v>
      </c>
      <c r="B25733" t="s">
        <v>3221</v>
      </c>
      <c r="C25733">
        <v>2019</v>
      </c>
      <c r="D25733" t="s">
        <v>114</v>
      </c>
      <c r="E25733" t="s">
        <v>115</v>
      </c>
      <c r="F25733">
        <v>49</v>
      </c>
      <c r="G25733">
        <v>230131</v>
      </c>
      <c r="H25733">
        <v>4530</v>
      </c>
      <c r="I25733" t="s">
        <v>342</v>
      </c>
      <c r="J25733">
        <v>60.76</v>
      </c>
      <c r="K25733">
        <v>11.76</v>
      </c>
      <c r="L25733">
        <v>51147</v>
      </c>
      <c r="M25733" t="s">
        <v>1167</v>
      </c>
      <c r="N25733" t="str">
        <f>"120977919   "</f>
        <v xml:space="preserve">120977919   </v>
      </c>
      <c r="O25733">
        <v>230217</v>
      </c>
    </row>
    <row r="25734" spans="1:15" x14ac:dyDescent="0.25">
      <c r="A25734" t="s">
        <v>16</v>
      </c>
      <c r="B25734" t="s">
        <v>3221</v>
      </c>
      <c r="C25734">
        <v>2019</v>
      </c>
      <c r="D25734" t="s">
        <v>114</v>
      </c>
      <c r="E25734" t="s">
        <v>115</v>
      </c>
      <c r="F25734">
        <v>33</v>
      </c>
      <c r="G25734">
        <v>230131</v>
      </c>
      <c r="H25734">
        <v>4530</v>
      </c>
      <c r="I25734" t="s">
        <v>342</v>
      </c>
      <c r="J25734">
        <v>40.92</v>
      </c>
      <c r="K25734">
        <v>7.92</v>
      </c>
      <c r="L25734">
        <v>54622</v>
      </c>
      <c r="M25734" t="s">
        <v>872</v>
      </c>
      <c r="N25734" t="str">
        <f>"120977919   "</f>
        <v xml:space="preserve">120977919   </v>
      </c>
      <c r="O25734">
        <v>230217</v>
      </c>
    </row>
    <row r="25735" spans="1:15" x14ac:dyDescent="0.25">
      <c r="A25735" t="s">
        <v>16</v>
      </c>
      <c r="B25735" t="s">
        <v>3221</v>
      </c>
      <c r="C25735">
        <v>2019</v>
      </c>
      <c r="D25735" t="s">
        <v>114</v>
      </c>
      <c r="E25735" t="s">
        <v>115</v>
      </c>
      <c r="F25735">
        <v>49</v>
      </c>
      <c r="G25735">
        <v>230131</v>
      </c>
      <c r="H25735">
        <v>4530</v>
      </c>
      <c r="I25735" t="s">
        <v>342</v>
      </c>
      <c r="J25735">
        <v>60.76</v>
      </c>
      <c r="K25735">
        <v>11.76</v>
      </c>
      <c r="L25735">
        <v>54622</v>
      </c>
      <c r="M25735" t="s">
        <v>872</v>
      </c>
      <c r="N25735" t="str">
        <f>"120977919   "</f>
        <v xml:space="preserve">120977919   </v>
      </c>
      <c r="O25735">
        <v>230217</v>
      </c>
    </row>
    <row r="25736" spans="1:15" x14ac:dyDescent="0.25">
      <c r="A25736" t="s">
        <v>16</v>
      </c>
      <c r="B25736" t="s">
        <v>3221</v>
      </c>
      <c r="C25736">
        <v>2019</v>
      </c>
      <c r="D25736" t="s">
        <v>114</v>
      </c>
      <c r="E25736" t="s">
        <v>115</v>
      </c>
      <c r="F25736">
        <v>88.49</v>
      </c>
      <c r="G25736">
        <v>230131</v>
      </c>
      <c r="H25736">
        <v>4530</v>
      </c>
      <c r="I25736" t="s">
        <v>342</v>
      </c>
      <c r="J25736">
        <v>109.73</v>
      </c>
      <c r="K25736">
        <v>21.24</v>
      </c>
      <c r="L25736">
        <v>55222</v>
      </c>
      <c r="M25736" t="s">
        <v>873</v>
      </c>
      <c r="N25736" t="str">
        <f>"120977919   "</f>
        <v xml:space="preserve">120977919   </v>
      </c>
      <c r="O25736">
        <v>230217</v>
      </c>
    </row>
    <row r="25737" spans="1:15" x14ac:dyDescent="0.25">
      <c r="A25737" t="s">
        <v>16</v>
      </c>
      <c r="B25737" t="s">
        <v>3221</v>
      </c>
      <c r="C25737">
        <v>2062</v>
      </c>
      <c r="D25737" t="s">
        <v>114</v>
      </c>
      <c r="E25737" t="s">
        <v>115</v>
      </c>
      <c r="F25737">
        <v>98.98</v>
      </c>
      <c r="G25737">
        <v>230206</v>
      </c>
      <c r="H25737">
        <v>4530</v>
      </c>
      <c r="I25737" t="s">
        <v>342</v>
      </c>
      <c r="J25737">
        <v>122.74</v>
      </c>
      <c r="K25737">
        <v>23.76</v>
      </c>
      <c r="L25737">
        <v>17522</v>
      </c>
      <c r="M25737" t="s">
        <v>451</v>
      </c>
      <c r="N25737" t="str">
        <f>"121007447   "</f>
        <v xml:space="preserve">121007447   </v>
      </c>
      <c r="O25737">
        <v>230220</v>
      </c>
    </row>
    <row r="25738" spans="1:15" x14ac:dyDescent="0.25">
      <c r="A25738" t="s">
        <v>16</v>
      </c>
      <c r="B25738" t="s">
        <v>3221</v>
      </c>
      <c r="C25738">
        <v>2087</v>
      </c>
      <c r="D25738" t="s">
        <v>114</v>
      </c>
      <c r="E25738" t="s">
        <v>115</v>
      </c>
      <c r="F25738">
        <v>33</v>
      </c>
      <c r="G25738">
        <v>230216</v>
      </c>
      <c r="H25738">
        <v>4530</v>
      </c>
      <c r="I25738" t="s">
        <v>342</v>
      </c>
      <c r="J25738">
        <v>40.92</v>
      </c>
      <c r="K25738">
        <v>7.92</v>
      </c>
      <c r="L25738">
        <v>46555</v>
      </c>
      <c r="M25738" t="s">
        <v>597</v>
      </c>
      <c r="N25738" t="str">
        <f>"121045024   "</f>
        <v xml:space="preserve">121045024   </v>
      </c>
      <c r="O25738">
        <v>230220</v>
      </c>
    </row>
    <row r="25739" spans="1:15" x14ac:dyDescent="0.25">
      <c r="A25739" t="s">
        <v>16</v>
      </c>
      <c r="B25739" t="s">
        <v>3221</v>
      </c>
      <c r="C25739">
        <v>2166</v>
      </c>
      <c r="D25739" t="s">
        <v>114</v>
      </c>
      <c r="E25739" t="s">
        <v>115</v>
      </c>
      <c r="F25739">
        <v>130</v>
      </c>
      <c r="G25739">
        <v>230207</v>
      </c>
      <c r="H25739">
        <v>4530</v>
      </c>
      <c r="I25739" t="s">
        <v>342</v>
      </c>
      <c r="J25739">
        <v>161.19999999999999</v>
      </c>
      <c r="K25739">
        <v>31.2</v>
      </c>
      <c r="L25739">
        <v>17809</v>
      </c>
      <c r="M25739" t="s">
        <v>376</v>
      </c>
      <c r="N25739" t="str">
        <f>"121011027   "</f>
        <v xml:space="preserve">121011027   </v>
      </c>
      <c r="O25739">
        <v>230221</v>
      </c>
    </row>
    <row r="25740" spans="1:15" x14ac:dyDescent="0.25">
      <c r="A25740" t="s">
        <v>16</v>
      </c>
      <c r="B25740" t="s">
        <v>3221</v>
      </c>
      <c r="C25740">
        <v>3034</v>
      </c>
      <c r="D25740" t="s">
        <v>114</v>
      </c>
      <c r="E25740" t="s">
        <v>115</v>
      </c>
      <c r="F25740">
        <v>487.59</v>
      </c>
      <c r="G25740">
        <v>230307</v>
      </c>
      <c r="H25740">
        <v>4530</v>
      </c>
      <c r="I25740" t="s">
        <v>342</v>
      </c>
      <c r="J25740">
        <v>604.61</v>
      </c>
      <c r="K25740">
        <v>117.02</v>
      </c>
      <c r="L25740">
        <v>17531</v>
      </c>
      <c r="M25740" t="s">
        <v>136</v>
      </c>
      <c r="N25740" t="str">
        <f>"121116885   "</f>
        <v xml:space="preserve">121116885   </v>
      </c>
      <c r="O25740">
        <v>230308</v>
      </c>
    </row>
    <row r="25741" spans="1:15" x14ac:dyDescent="0.25">
      <c r="A25741" t="s">
        <v>16</v>
      </c>
      <c r="B25741" t="s">
        <v>3221</v>
      </c>
      <c r="C25741">
        <v>3260</v>
      </c>
      <c r="D25741" t="s">
        <v>114</v>
      </c>
      <c r="E25741" t="s">
        <v>115</v>
      </c>
      <c r="F25741">
        <v>93</v>
      </c>
      <c r="G25741">
        <v>230309</v>
      </c>
      <c r="H25741">
        <v>4530</v>
      </c>
      <c r="I25741" t="s">
        <v>342</v>
      </c>
      <c r="J25741">
        <v>115.32</v>
      </c>
      <c r="K25741">
        <v>22.32</v>
      </c>
      <c r="L25741">
        <v>17952</v>
      </c>
      <c r="M25741" t="s">
        <v>88</v>
      </c>
      <c r="N25741" t="str">
        <f>"121124059   "</f>
        <v xml:space="preserve">121124059   </v>
      </c>
      <c r="O25741">
        <v>230313</v>
      </c>
    </row>
    <row r="25742" spans="1:15" x14ac:dyDescent="0.25">
      <c r="A25742" t="s">
        <v>16</v>
      </c>
      <c r="B25742" t="s">
        <v>3221</v>
      </c>
      <c r="C25742">
        <v>3395</v>
      </c>
      <c r="D25742" t="s">
        <v>114</v>
      </c>
      <c r="E25742" t="s">
        <v>115</v>
      </c>
      <c r="F25742">
        <v>195.29</v>
      </c>
      <c r="G25742">
        <v>230313</v>
      </c>
      <c r="H25742">
        <v>4530</v>
      </c>
      <c r="I25742" t="s">
        <v>342</v>
      </c>
      <c r="J25742">
        <v>242.16</v>
      </c>
      <c r="K25742">
        <v>46.87</v>
      </c>
      <c r="L25742">
        <v>17531</v>
      </c>
      <c r="M25742" t="s">
        <v>136</v>
      </c>
      <c r="N25742" t="str">
        <f>"121132571   "</f>
        <v xml:space="preserve">121132571   </v>
      </c>
      <c r="O25742">
        <v>230315</v>
      </c>
    </row>
    <row r="25743" spans="1:15" x14ac:dyDescent="0.25">
      <c r="A25743" t="s">
        <v>16</v>
      </c>
      <c r="B25743" t="s">
        <v>3221</v>
      </c>
      <c r="C25743">
        <v>3519</v>
      </c>
      <c r="D25743" t="s">
        <v>114</v>
      </c>
      <c r="E25743" t="s">
        <v>115</v>
      </c>
      <c r="F25743">
        <v>210.29</v>
      </c>
      <c r="G25743">
        <v>230315</v>
      </c>
      <c r="H25743">
        <v>4530</v>
      </c>
      <c r="I25743" t="s">
        <v>342</v>
      </c>
      <c r="J25743">
        <v>260.76</v>
      </c>
      <c r="K25743">
        <v>50.47</v>
      </c>
      <c r="L25743">
        <v>59501</v>
      </c>
      <c r="M25743" t="s">
        <v>69</v>
      </c>
      <c r="N25743" t="str">
        <f>"121140412   "</f>
        <v xml:space="preserve">121140412   </v>
      </c>
      <c r="O25743">
        <v>230316</v>
      </c>
    </row>
    <row r="25744" spans="1:15" x14ac:dyDescent="0.25">
      <c r="A25744" t="s">
        <v>16</v>
      </c>
      <c r="B25744" t="s">
        <v>3221</v>
      </c>
      <c r="C25744">
        <v>3618</v>
      </c>
      <c r="D25744" t="s">
        <v>114</v>
      </c>
      <c r="E25744" t="s">
        <v>115</v>
      </c>
      <c r="F25744">
        <v>84.99</v>
      </c>
      <c r="G25744">
        <v>230315</v>
      </c>
      <c r="H25744">
        <v>4530</v>
      </c>
      <c r="I25744" t="s">
        <v>342</v>
      </c>
      <c r="J25744">
        <v>105.39</v>
      </c>
      <c r="K25744">
        <v>20.399999999999999</v>
      </c>
      <c r="L25744">
        <v>59501</v>
      </c>
      <c r="M25744" t="s">
        <v>69</v>
      </c>
      <c r="N25744" t="str">
        <f>"121140409   "</f>
        <v xml:space="preserve">121140409   </v>
      </c>
      <c r="O25744">
        <v>230317</v>
      </c>
    </row>
    <row r="25745" spans="1:15" x14ac:dyDescent="0.25">
      <c r="A25745" t="s">
        <v>16</v>
      </c>
      <c r="B25745" t="s">
        <v>3221</v>
      </c>
      <c r="C25745">
        <v>3957</v>
      </c>
      <c r="D25745" t="s">
        <v>114</v>
      </c>
      <c r="E25745" t="s">
        <v>115</v>
      </c>
      <c r="F25745">
        <v>86.29</v>
      </c>
      <c r="G25745">
        <v>230321</v>
      </c>
      <c r="H25745">
        <v>4530</v>
      </c>
      <c r="I25745" t="s">
        <v>342</v>
      </c>
      <c r="J25745">
        <v>107</v>
      </c>
      <c r="K25745">
        <v>20.71</v>
      </c>
      <c r="L25745">
        <v>17952</v>
      </c>
      <c r="M25745" t="s">
        <v>88</v>
      </c>
      <c r="N25745" t="str">
        <f>"121160813   "</f>
        <v xml:space="preserve">121160813   </v>
      </c>
      <c r="O25745">
        <v>230328</v>
      </c>
    </row>
    <row r="25746" spans="1:15" x14ac:dyDescent="0.25">
      <c r="A25746" t="s">
        <v>16</v>
      </c>
      <c r="B25746" t="s">
        <v>3221</v>
      </c>
      <c r="C25746">
        <v>4001</v>
      </c>
      <c r="D25746" t="s">
        <v>114</v>
      </c>
      <c r="E25746" t="s">
        <v>115</v>
      </c>
      <c r="F25746">
        <v>266.31</v>
      </c>
      <c r="G25746">
        <v>230324</v>
      </c>
      <c r="H25746">
        <v>4530</v>
      </c>
      <c r="I25746" t="s">
        <v>342</v>
      </c>
      <c r="J25746">
        <v>330.23</v>
      </c>
      <c r="K25746">
        <v>63.92</v>
      </c>
      <c r="L25746">
        <v>46555</v>
      </c>
      <c r="M25746" t="s">
        <v>597</v>
      </c>
      <c r="N25746" t="str">
        <f>"121176176   "</f>
        <v xml:space="preserve">121176176   </v>
      </c>
      <c r="O25746">
        <v>230329</v>
      </c>
    </row>
    <row r="25747" spans="1:15" x14ac:dyDescent="0.25">
      <c r="A25747" t="s">
        <v>16</v>
      </c>
      <c r="B25747" t="s">
        <v>3221</v>
      </c>
      <c r="C25747">
        <v>4008</v>
      </c>
      <c r="D25747" t="s">
        <v>114</v>
      </c>
      <c r="E25747" t="s">
        <v>115</v>
      </c>
      <c r="F25747">
        <v>33</v>
      </c>
      <c r="G25747">
        <v>230327</v>
      </c>
      <c r="H25747">
        <v>4530</v>
      </c>
      <c r="I25747" t="s">
        <v>342</v>
      </c>
      <c r="J25747">
        <v>40.92</v>
      </c>
      <c r="K25747">
        <v>7.92</v>
      </c>
      <c r="L25747">
        <v>46557</v>
      </c>
      <c r="M25747" t="s">
        <v>221</v>
      </c>
      <c r="N25747" t="str">
        <f>"121177457   "</f>
        <v xml:space="preserve">121177457   </v>
      </c>
      <c r="O25747">
        <v>230329</v>
      </c>
    </row>
    <row r="25748" spans="1:15" x14ac:dyDescent="0.25">
      <c r="A25748" t="s">
        <v>16</v>
      </c>
      <c r="B25748" t="s">
        <v>3221</v>
      </c>
      <c r="C25748">
        <v>4392</v>
      </c>
      <c r="D25748" t="s">
        <v>114</v>
      </c>
      <c r="E25748" t="s">
        <v>115</v>
      </c>
      <c r="F25748">
        <v>159.59</v>
      </c>
      <c r="G25748">
        <v>230323</v>
      </c>
      <c r="H25748">
        <v>4530</v>
      </c>
      <c r="I25748" t="s">
        <v>342</v>
      </c>
      <c r="J25748">
        <v>197.89</v>
      </c>
      <c r="K25748">
        <v>38.299999999999997</v>
      </c>
      <c r="L25748">
        <v>17521</v>
      </c>
      <c r="M25748" t="s">
        <v>133</v>
      </c>
      <c r="N25748" t="str">
        <f>"121167791   "</f>
        <v xml:space="preserve">121167791   </v>
      </c>
      <c r="O25748">
        <v>230405</v>
      </c>
    </row>
    <row r="25749" spans="1:15" x14ac:dyDescent="0.25">
      <c r="A25749" t="s">
        <v>16</v>
      </c>
      <c r="B25749" t="s">
        <v>3221</v>
      </c>
      <c r="C25749">
        <v>4861</v>
      </c>
      <c r="D25749" t="s">
        <v>114</v>
      </c>
      <c r="E25749" t="s">
        <v>115</v>
      </c>
      <c r="F25749">
        <v>647.16999999999996</v>
      </c>
      <c r="G25749">
        <v>230331</v>
      </c>
      <c r="H25749">
        <v>4530</v>
      </c>
      <c r="I25749" t="s">
        <v>342</v>
      </c>
      <c r="J25749">
        <v>802.49</v>
      </c>
      <c r="K25749">
        <v>155.32</v>
      </c>
      <c r="L25749">
        <v>56558</v>
      </c>
      <c r="M25749" t="s">
        <v>217</v>
      </c>
      <c r="N25749" t="str">
        <f>"121200089   "</f>
        <v xml:space="preserve">121200089   </v>
      </c>
      <c r="O25749">
        <v>230413</v>
      </c>
    </row>
    <row r="25750" spans="1:15" x14ac:dyDescent="0.25">
      <c r="A25750" t="s">
        <v>16</v>
      </c>
      <c r="B25750" t="s">
        <v>3221</v>
      </c>
      <c r="C25750">
        <v>4943</v>
      </c>
      <c r="D25750" t="s">
        <v>114</v>
      </c>
      <c r="E25750" t="s">
        <v>115</v>
      </c>
      <c r="F25750">
        <v>204.99</v>
      </c>
      <c r="G25750">
        <v>230406</v>
      </c>
      <c r="H25750">
        <v>4530</v>
      </c>
      <c r="I25750" t="s">
        <v>342</v>
      </c>
      <c r="J25750">
        <v>254.19</v>
      </c>
      <c r="K25750">
        <v>49.2</v>
      </c>
      <c r="L25750">
        <v>66722</v>
      </c>
      <c r="M25750" t="s">
        <v>518</v>
      </c>
      <c r="N25750" t="str">
        <f>"121230334   "</f>
        <v xml:space="preserve">121230334   </v>
      </c>
      <c r="O25750">
        <v>230414</v>
      </c>
    </row>
    <row r="25751" spans="1:15" x14ac:dyDescent="0.25">
      <c r="A25751" t="s">
        <v>16</v>
      </c>
      <c r="B25751" t="s">
        <v>3221</v>
      </c>
      <c r="C25751">
        <v>5239</v>
      </c>
      <c r="D25751" t="s">
        <v>114</v>
      </c>
      <c r="E25751" t="s">
        <v>115</v>
      </c>
      <c r="F25751">
        <v>97</v>
      </c>
      <c r="G25751">
        <v>230414</v>
      </c>
      <c r="H25751">
        <v>4530</v>
      </c>
      <c r="I25751" t="s">
        <v>342</v>
      </c>
      <c r="J25751">
        <v>120.28</v>
      </c>
      <c r="K25751">
        <v>23.28</v>
      </c>
      <c r="L25751">
        <v>46554</v>
      </c>
      <c r="M25751" t="s">
        <v>117</v>
      </c>
      <c r="N25751" t="str">
        <f>"121252641   "</f>
        <v xml:space="preserve">121252641   </v>
      </c>
      <c r="O25751">
        <v>230419</v>
      </c>
    </row>
    <row r="25752" spans="1:15" x14ac:dyDescent="0.25">
      <c r="A25752" t="s">
        <v>16</v>
      </c>
      <c r="B25752" t="s">
        <v>3221</v>
      </c>
      <c r="C25752">
        <v>6565</v>
      </c>
      <c r="D25752" t="s">
        <v>114</v>
      </c>
      <c r="E25752" t="s">
        <v>115</v>
      </c>
      <c r="F25752">
        <v>1068.98</v>
      </c>
      <c r="G25752">
        <v>230509</v>
      </c>
      <c r="H25752">
        <v>4530</v>
      </c>
      <c r="I25752" t="s">
        <v>342</v>
      </c>
      <c r="J25752">
        <v>1325.54</v>
      </c>
      <c r="K25752">
        <v>256.56</v>
      </c>
      <c r="L25752">
        <v>17806</v>
      </c>
      <c r="M25752" t="s">
        <v>265</v>
      </c>
      <c r="N25752" t="str">
        <f>"121343868   "</f>
        <v xml:space="preserve">121343868   </v>
      </c>
      <c r="O25752">
        <v>230515</v>
      </c>
    </row>
    <row r="25753" spans="1:15" x14ac:dyDescent="0.25">
      <c r="A25753" t="s">
        <v>16</v>
      </c>
      <c r="B25753" t="s">
        <v>3221</v>
      </c>
      <c r="C25753">
        <v>6567</v>
      </c>
      <c r="D25753" t="s">
        <v>114</v>
      </c>
      <c r="E25753" t="s">
        <v>115</v>
      </c>
      <c r="F25753">
        <v>1165.99</v>
      </c>
      <c r="G25753">
        <v>230510</v>
      </c>
      <c r="H25753">
        <v>4530</v>
      </c>
      <c r="I25753" t="s">
        <v>342</v>
      </c>
      <c r="J25753">
        <v>1445.83</v>
      </c>
      <c r="K25753">
        <v>279.83999999999997</v>
      </c>
      <c r="L25753">
        <v>17806</v>
      </c>
      <c r="M25753" t="s">
        <v>265</v>
      </c>
      <c r="N25753" t="str">
        <f>"121348169   "</f>
        <v xml:space="preserve">121348169   </v>
      </c>
      <c r="O25753">
        <v>230515</v>
      </c>
    </row>
    <row r="25754" spans="1:15" x14ac:dyDescent="0.25">
      <c r="A25754" t="s">
        <v>16</v>
      </c>
      <c r="B25754" t="s">
        <v>3221</v>
      </c>
      <c r="C25754">
        <v>6882</v>
      </c>
      <c r="D25754" t="s">
        <v>114</v>
      </c>
      <c r="E25754" t="s">
        <v>115</v>
      </c>
      <c r="F25754">
        <v>60</v>
      </c>
      <c r="G25754">
        <v>230517</v>
      </c>
      <c r="H25754">
        <v>4530</v>
      </c>
      <c r="I25754" t="s">
        <v>342</v>
      </c>
      <c r="J25754">
        <v>74.400000000000006</v>
      </c>
      <c r="K25754">
        <v>14.4</v>
      </c>
      <c r="L25754">
        <v>47522</v>
      </c>
      <c r="M25754" t="s">
        <v>410</v>
      </c>
      <c r="N25754" t="str">
        <f>"121377954   "</f>
        <v xml:space="preserve">121377954   </v>
      </c>
      <c r="O25754">
        <v>230523</v>
      </c>
    </row>
    <row r="25755" spans="1:15" x14ac:dyDescent="0.25">
      <c r="A25755" t="s">
        <v>16</v>
      </c>
      <c r="B25755" t="s">
        <v>3221</v>
      </c>
      <c r="C25755">
        <v>7257</v>
      </c>
      <c r="D25755" t="s">
        <v>114</v>
      </c>
      <c r="E25755" t="s">
        <v>115</v>
      </c>
      <c r="F25755">
        <v>97.79</v>
      </c>
      <c r="G25755">
        <v>230525</v>
      </c>
      <c r="H25755">
        <v>4530</v>
      </c>
      <c r="I25755" t="s">
        <v>342</v>
      </c>
      <c r="J25755">
        <v>121.26</v>
      </c>
      <c r="K25755">
        <v>23.47</v>
      </c>
      <c r="L25755">
        <v>17809</v>
      </c>
      <c r="M25755" t="s">
        <v>376</v>
      </c>
      <c r="N25755" t="str">
        <f>"121403769   "</f>
        <v xml:space="preserve">121403769   </v>
      </c>
      <c r="O25755">
        <v>230526</v>
      </c>
    </row>
    <row r="25756" spans="1:15" x14ac:dyDescent="0.25">
      <c r="A25756" t="s">
        <v>16</v>
      </c>
      <c r="B25756" t="s">
        <v>3221</v>
      </c>
      <c r="C25756">
        <v>7367</v>
      </c>
      <c r="D25756" t="s">
        <v>114</v>
      </c>
      <c r="E25756" t="s">
        <v>115</v>
      </c>
      <c r="F25756">
        <v>84.76</v>
      </c>
      <c r="G25756">
        <v>230526</v>
      </c>
      <c r="H25756">
        <v>4530</v>
      </c>
      <c r="I25756" t="s">
        <v>342</v>
      </c>
      <c r="J25756">
        <v>105.1</v>
      </c>
      <c r="K25756">
        <v>20.34</v>
      </c>
      <c r="L25756">
        <v>16431</v>
      </c>
      <c r="M25756" t="s">
        <v>231</v>
      </c>
      <c r="N25756" t="str">
        <f>"121412110   "</f>
        <v xml:space="preserve">121412110   </v>
      </c>
      <c r="O25756">
        <v>230529</v>
      </c>
    </row>
    <row r="25757" spans="1:15" x14ac:dyDescent="0.25">
      <c r="A25757" t="s">
        <v>16</v>
      </c>
      <c r="B25757" t="s">
        <v>3221</v>
      </c>
      <c r="C25757">
        <v>7670</v>
      </c>
      <c r="D25757" t="s">
        <v>114</v>
      </c>
      <c r="E25757" t="s">
        <v>115</v>
      </c>
      <c r="F25757">
        <v>309.44</v>
      </c>
      <c r="G25757">
        <v>230529</v>
      </c>
      <c r="H25757">
        <v>4530</v>
      </c>
      <c r="I25757" t="s">
        <v>342</v>
      </c>
      <c r="J25757">
        <v>383.71</v>
      </c>
      <c r="K25757">
        <v>74.27</v>
      </c>
      <c r="L25757">
        <v>46556</v>
      </c>
      <c r="M25757" t="s">
        <v>125</v>
      </c>
      <c r="N25757" t="str">
        <f>"121416319   "</f>
        <v xml:space="preserve">121416319   </v>
      </c>
      <c r="O25757">
        <v>230601</v>
      </c>
    </row>
    <row r="25758" spans="1:15" x14ac:dyDescent="0.25">
      <c r="A25758" t="s">
        <v>16</v>
      </c>
      <c r="B25758" t="s">
        <v>3221</v>
      </c>
      <c r="C25758">
        <v>7885</v>
      </c>
      <c r="D25758" t="s">
        <v>114</v>
      </c>
      <c r="E25758" t="s">
        <v>115</v>
      </c>
      <c r="F25758">
        <v>96.47</v>
      </c>
      <c r="G25758">
        <v>230601</v>
      </c>
      <c r="H25758">
        <v>4530</v>
      </c>
      <c r="I25758" t="s">
        <v>342</v>
      </c>
      <c r="J25758">
        <v>119.62</v>
      </c>
      <c r="K25758">
        <v>23.15</v>
      </c>
      <c r="L25758">
        <v>46557</v>
      </c>
      <c r="M25758" t="s">
        <v>221</v>
      </c>
      <c r="N25758" t="str">
        <f>"121451797   "</f>
        <v xml:space="preserve">121451797   </v>
      </c>
      <c r="O25758">
        <v>230605</v>
      </c>
    </row>
    <row r="25759" spans="1:15" x14ac:dyDescent="0.25">
      <c r="A25759" t="s">
        <v>16</v>
      </c>
      <c r="B25759" t="s">
        <v>3221</v>
      </c>
      <c r="C25759">
        <v>10136</v>
      </c>
      <c r="D25759" t="s">
        <v>114</v>
      </c>
      <c r="E25759" t="s">
        <v>115</v>
      </c>
      <c r="F25759">
        <v>2385.4299999999998</v>
      </c>
      <c r="G25759">
        <v>230803</v>
      </c>
      <c r="H25759">
        <v>4530</v>
      </c>
      <c r="I25759" t="s">
        <v>342</v>
      </c>
      <c r="J25759">
        <v>2957.93</v>
      </c>
      <c r="K25759">
        <v>572.5</v>
      </c>
      <c r="L25759">
        <v>17806</v>
      </c>
      <c r="M25759" t="s">
        <v>265</v>
      </c>
      <c r="N25759" t="str">
        <f>"121680339   "</f>
        <v xml:space="preserve">121680339   </v>
      </c>
      <c r="O25759">
        <v>230808</v>
      </c>
    </row>
    <row r="25760" spans="1:15" x14ac:dyDescent="0.25">
      <c r="A25760" t="s">
        <v>16</v>
      </c>
      <c r="B25760" t="s">
        <v>3221</v>
      </c>
      <c r="C25760">
        <v>10188</v>
      </c>
      <c r="D25760" t="s">
        <v>114</v>
      </c>
      <c r="E25760" t="s">
        <v>115</v>
      </c>
      <c r="F25760">
        <v>244.68</v>
      </c>
      <c r="G25760">
        <v>230801</v>
      </c>
      <c r="H25760">
        <v>4530</v>
      </c>
      <c r="I25760" t="s">
        <v>342</v>
      </c>
      <c r="J25760">
        <v>303.39999999999998</v>
      </c>
      <c r="K25760">
        <v>58.72</v>
      </c>
      <c r="L25760">
        <v>46554</v>
      </c>
      <c r="M25760" t="s">
        <v>117</v>
      </c>
      <c r="N25760" t="str">
        <f>"121673091   "</f>
        <v xml:space="preserve">121673091   </v>
      </c>
      <c r="O25760">
        <v>230809</v>
      </c>
    </row>
    <row r="25761" spans="1:15" x14ac:dyDescent="0.25">
      <c r="A25761" t="s">
        <v>16</v>
      </c>
      <c r="B25761" t="s">
        <v>3221</v>
      </c>
      <c r="C25761">
        <v>10283</v>
      </c>
      <c r="D25761" t="s">
        <v>114</v>
      </c>
      <c r="E25761" t="s">
        <v>115</v>
      </c>
      <c r="F25761">
        <v>372.95</v>
      </c>
      <c r="G25761">
        <v>230804</v>
      </c>
      <c r="H25761">
        <v>4530</v>
      </c>
      <c r="I25761" t="s">
        <v>342</v>
      </c>
      <c r="J25761">
        <v>462.46</v>
      </c>
      <c r="K25761">
        <v>89.51</v>
      </c>
      <c r="L25761">
        <v>17806</v>
      </c>
      <c r="M25761" t="s">
        <v>265</v>
      </c>
      <c r="N25761" t="str">
        <f>"121684899   "</f>
        <v xml:space="preserve">121684899   </v>
      </c>
      <c r="O25761">
        <v>230814</v>
      </c>
    </row>
    <row r="25762" spans="1:15" x14ac:dyDescent="0.25">
      <c r="A25762" t="s">
        <v>16</v>
      </c>
      <c r="B25762" t="s">
        <v>3221</v>
      </c>
      <c r="C25762">
        <v>10299</v>
      </c>
      <c r="D25762" t="s">
        <v>114</v>
      </c>
      <c r="E25762" t="s">
        <v>115</v>
      </c>
      <c r="F25762">
        <v>3105.35</v>
      </c>
      <c r="G25762">
        <v>230808</v>
      </c>
      <c r="H25762">
        <v>4530</v>
      </c>
      <c r="I25762" t="s">
        <v>342</v>
      </c>
      <c r="J25762">
        <v>3850.63</v>
      </c>
      <c r="K25762">
        <v>745.28</v>
      </c>
      <c r="L25762">
        <v>17803</v>
      </c>
      <c r="M25762" t="s">
        <v>389</v>
      </c>
      <c r="N25762" t="str">
        <f>"121691076   "</f>
        <v xml:space="preserve">121691076   </v>
      </c>
      <c r="O25762">
        <v>230814</v>
      </c>
    </row>
    <row r="25763" spans="1:15" x14ac:dyDescent="0.25">
      <c r="A25763" t="s">
        <v>16</v>
      </c>
      <c r="B25763" t="s">
        <v>3221</v>
      </c>
      <c r="C25763">
        <v>10311</v>
      </c>
      <c r="D25763" t="s">
        <v>114</v>
      </c>
      <c r="E25763" t="s">
        <v>115</v>
      </c>
      <c r="F25763">
        <v>679.1</v>
      </c>
      <c r="G25763">
        <v>230809</v>
      </c>
      <c r="H25763">
        <v>4530</v>
      </c>
      <c r="I25763" t="s">
        <v>342</v>
      </c>
      <c r="J25763">
        <v>842.08</v>
      </c>
      <c r="K25763">
        <v>162.97999999999999</v>
      </c>
      <c r="L25763">
        <v>46554</v>
      </c>
      <c r="M25763" t="s">
        <v>117</v>
      </c>
      <c r="N25763" t="str">
        <f>"121694315   "</f>
        <v xml:space="preserve">121694315   </v>
      </c>
      <c r="O25763">
        <v>230814</v>
      </c>
    </row>
    <row r="25764" spans="1:15" x14ac:dyDescent="0.25">
      <c r="A25764" t="s">
        <v>16</v>
      </c>
      <c r="B25764" t="s">
        <v>3221</v>
      </c>
      <c r="C25764">
        <v>10344</v>
      </c>
      <c r="D25764" t="s">
        <v>114</v>
      </c>
      <c r="E25764" t="s">
        <v>115</v>
      </c>
      <c r="F25764">
        <v>1505.9</v>
      </c>
      <c r="G25764">
        <v>230809</v>
      </c>
      <c r="H25764">
        <v>4530</v>
      </c>
      <c r="I25764" t="s">
        <v>342</v>
      </c>
      <c r="J25764">
        <v>1867.31</v>
      </c>
      <c r="K25764">
        <v>361.41</v>
      </c>
      <c r="L25764">
        <v>17806</v>
      </c>
      <c r="M25764" t="s">
        <v>265</v>
      </c>
      <c r="N25764" t="str">
        <f>"121693141   "</f>
        <v xml:space="preserve">121693141   </v>
      </c>
      <c r="O25764">
        <v>230814</v>
      </c>
    </row>
    <row r="25765" spans="1:15" x14ac:dyDescent="0.25">
      <c r="A25765" t="s">
        <v>16</v>
      </c>
      <c r="B25765" t="s">
        <v>3221</v>
      </c>
      <c r="C25765">
        <v>10375</v>
      </c>
      <c r="D25765" t="s">
        <v>114</v>
      </c>
      <c r="E25765" t="s">
        <v>115</v>
      </c>
      <c r="F25765">
        <v>272.35000000000002</v>
      </c>
      <c r="G25765">
        <v>230807</v>
      </c>
      <c r="H25765">
        <v>4530</v>
      </c>
      <c r="I25765" t="s">
        <v>342</v>
      </c>
      <c r="J25765">
        <v>337.72</v>
      </c>
      <c r="K25765">
        <v>65.37</v>
      </c>
      <c r="L25765">
        <v>66722</v>
      </c>
      <c r="M25765" t="s">
        <v>518</v>
      </c>
      <c r="N25765" t="str">
        <f>"121688663   "</f>
        <v xml:space="preserve">121688663   </v>
      </c>
      <c r="O25765">
        <v>230815</v>
      </c>
    </row>
    <row r="25766" spans="1:15" x14ac:dyDescent="0.25">
      <c r="A25766" t="s">
        <v>16</v>
      </c>
      <c r="B25766" t="s">
        <v>3221</v>
      </c>
      <c r="C25766">
        <v>10375</v>
      </c>
      <c r="D25766" t="s">
        <v>114</v>
      </c>
      <c r="E25766" t="s">
        <v>115</v>
      </c>
      <c r="F25766">
        <v>3283.25</v>
      </c>
      <c r="G25766">
        <v>230807</v>
      </c>
      <c r="H25766">
        <v>4530</v>
      </c>
      <c r="I25766" t="s">
        <v>342</v>
      </c>
      <c r="J25766">
        <v>4071.23</v>
      </c>
      <c r="K25766">
        <v>787.98</v>
      </c>
      <c r="L25766">
        <v>66756</v>
      </c>
      <c r="M25766" t="s">
        <v>209</v>
      </c>
      <c r="N25766" t="str">
        <f>"121688663   "</f>
        <v xml:space="preserve">121688663   </v>
      </c>
      <c r="O25766">
        <v>230815</v>
      </c>
    </row>
    <row r="25767" spans="1:15" x14ac:dyDescent="0.25">
      <c r="A25767" t="s">
        <v>16</v>
      </c>
      <c r="B25767" t="s">
        <v>3221</v>
      </c>
      <c r="C25767">
        <v>10375</v>
      </c>
      <c r="D25767" t="s">
        <v>114</v>
      </c>
      <c r="E25767" t="s">
        <v>115</v>
      </c>
      <c r="F25767">
        <v>817.34</v>
      </c>
      <c r="G25767">
        <v>230807</v>
      </c>
      <c r="H25767">
        <v>4530</v>
      </c>
      <c r="I25767" t="s">
        <v>342</v>
      </c>
      <c r="J25767">
        <v>1013.5</v>
      </c>
      <c r="K25767">
        <v>196.16</v>
      </c>
      <c r="L25767">
        <v>67522</v>
      </c>
      <c r="M25767" t="s">
        <v>397</v>
      </c>
      <c r="N25767" t="str">
        <f>"121688663   "</f>
        <v xml:space="preserve">121688663   </v>
      </c>
      <c r="O25767">
        <v>230815</v>
      </c>
    </row>
    <row r="25768" spans="1:15" x14ac:dyDescent="0.25">
      <c r="A25768" t="s">
        <v>16</v>
      </c>
      <c r="B25768" t="s">
        <v>3221</v>
      </c>
      <c r="C25768">
        <v>10375</v>
      </c>
      <c r="D25768" t="s">
        <v>114</v>
      </c>
      <c r="E25768" t="s">
        <v>115</v>
      </c>
      <c r="F25768">
        <v>272.35000000000002</v>
      </c>
      <c r="G25768">
        <v>230807</v>
      </c>
      <c r="H25768">
        <v>4530</v>
      </c>
      <c r="I25768" t="s">
        <v>342</v>
      </c>
      <c r="J25768">
        <v>337.71</v>
      </c>
      <c r="K25768">
        <v>65.36</v>
      </c>
      <c r="L25768">
        <v>67522</v>
      </c>
      <c r="M25768" t="s">
        <v>397</v>
      </c>
      <c r="N25768" t="str">
        <f>"121688663   "</f>
        <v xml:space="preserve">121688663   </v>
      </c>
      <c r="O25768">
        <v>230815</v>
      </c>
    </row>
    <row r="25769" spans="1:15" x14ac:dyDescent="0.25">
      <c r="A25769" t="s">
        <v>16</v>
      </c>
      <c r="B25769" t="s">
        <v>3221</v>
      </c>
      <c r="C25769">
        <v>10377</v>
      </c>
      <c r="D25769" t="s">
        <v>114</v>
      </c>
      <c r="E25769" t="s">
        <v>115</v>
      </c>
      <c r="F25769">
        <v>253.14</v>
      </c>
      <c r="G25769">
        <v>230810</v>
      </c>
      <c r="H25769">
        <v>4530</v>
      </c>
      <c r="I25769" t="s">
        <v>342</v>
      </c>
      <c r="J25769">
        <v>313.89</v>
      </c>
      <c r="K25769">
        <v>60.75</v>
      </c>
      <c r="L25769">
        <v>46556</v>
      </c>
      <c r="M25769" t="s">
        <v>125</v>
      </c>
      <c r="N25769" t="str">
        <f>"121697261   "</f>
        <v xml:space="preserve">121697261   </v>
      </c>
      <c r="O25769">
        <v>230815</v>
      </c>
    </row>
    <row r="25770" spans="1:15" x14ac:dyDescent="0.25">
      <c r="A25770" t="s">
        <v>16</v>
      </c>
      <c r="B25770" t="s">
        <v>3221</v>
      </c>
      <c r="C25770">
        <v>10378</v>
      </c>
      <c r="D25770" t="s">
        <v>114</v>
      </c>
      <c r="E25770" t="s">
        <v>115</v>
      </c>
      <c r="F25770">
        <v>132.83000000000001</v>
      </c>
      <c r="G25770">
        <v>230810</v>
      </c>
      <c r="H25770">
        <v>4530</v>
      </c>
      <c r="I25770" t="s">
        <v>342</v>
      </c>
      <c r="J25770">
        <v>164.71</v>
      </c>
      <c r="K25770">
        <v>31.88</v>
      </c>
      <c r="L25770">
        <v>46557</v>
      </c>
      <c r="M25770" t="s">
        <v>221</v>
      </c>
      <c r="N25770" t="str">
        <f>"121697259   "</f>
        <v xml:space="preserve">121697259   </v>
      </c>
      <c r="O25770">
        <v>230815</v>
      </c>
    </row>
    <row r="25771" spans="1:15" x14ac:dyDescent="0.25">
      <c r="A25771" t="s">
        <v>16</v>
      </c>
      <c r="B25771" t="s">
        <v>3221</v>
      </c>
      <c r="C25771">
        <v>10415</v>
      </c>
      <c r="D25771" t="s">
        <v>114</v>
      </c>
      <c r="E25771" t="s">
        <v>115</v>
      </c>
      <c r="F25771">
        <v>398.4</v>
      </c>
      <c r="G25771">
        <v>230810</v>
      </c>
      <c r="H25771">
        <v>4530</v>
      </c>
      <c r="I25771" t="s">
        <v>342</v>
      </c>
      <c r="J25771">
        <v>494.01</v>
      </c>
      <c r="K25771">
        <v>95.61</v>
      </c>
      <c r="L25771">
        <v>46555</v>
      </c>
      <c r="M25771" t="s">
        <v>597</v>
      </c>
      <c r="N25771" t="str">
        <f>"121697260   "</f>
        <v xml:space="preserve">121697260   </v>
      </c>
      <c r="O25771">
        <v>230815</v>
      </c>
    </row>
    <row r="25772" spans="1:15" x14ac:dyDescent="0.25">
      <c r="A25772" t="s">
        <v>16</v>
      </c>
      <c r="B25772" t="s">
        <v>3221</v>
      </c>
      <c r="C25772">
        <v>10418</v>
      </c>
      <c r="D25772" t="s">
        <v>114</v>
      </c>
      <c r="E25772" t="s">
        <v>115</v>
      </c>
      <c r="F25772">
        <v>645.65</v>
      </c>
      <c r="G25772">
        <v>230811</v>
      </c>
      <c r="H25772">
        <v>4530</v>
      </c>
      <c r="I25772" t="s">
        <v>342</v>
      </c>
      <c r="J25772">
        <v>800.6</v>
      </c>
      <c r="K25772">
        <v>154.94999999999999</v>
      </c>
      <c r="L25772">
        <v>46556</v>
      </c>
      <c r="M25772" t="s">
        <v>125</v>
      </c>
      <c r="N25772" t="str">
        <f>"121702785   "</f>
        <v xml:space="preserve">121702785   </v>
      </c>
      <c r="O25772">
        <v>230815</v>
      </c>
    </row>
    <row r="25773" spans="1:15" x14ac:dyDescent="0.25">
      <c r="A25773" t="s">
        <v>16</v>
      </c>
      <c r="B25773" t="s">
        <v>3221</v>
      </c>
      <c r="C25773">
        <v>10472</v>
      </c>
      <c r="D25773" t="s">
        <v>114</v>
      </c>
      <c r="E25773" t="s">
        <v>115</v>
      </c>
      <c r="F25773">
        <v>179.84</v>
      </c>
      <c r="G25773">
        <v>230811</v>
      </c>
      <c r="H25773">
        <v>4530</v>
      </c>
      <c r="I25773" t="s">
        <v>342</v>
      </c>
      <c r="J25773">
        <v>223</v>
      </c>
      <c r="K25773">
        <v>43.16</v>
      </c>
      <c r="L25773">
        <v>17806</v>
      </c>
      <c r="M25773" t="s">
        <v>265</v>
      </c>
      <c r="N25773" t="str">
        <f>"121704723   "</f>
        <v xml:space="preserve">121704723   </v>
      </c>
      <c r="O25773">
        <v>230817</v>
      </c>
    </row>
    <row r="25774" spans="1:15" x14ac:dyDescent="0.25">
      <c r="A25774" t="s">
        <v>16</v>
      </c>
      <c r="B25774" t="s">
        <v>3221</v>
      </c>
      <c r="C25774">
        <v>10483</v>
      </c>
      <c r="D25774" t="s">
        <v>114</v>
      </c>
      <c r="E25774" t="s">
        <v>115</v>
      </c>
      <c r="F25774">
        <v>627</v>
      </c>
      <c r="G25774">
        <v>230815</v>
      </c>
      <c r="H25774">
        <v>4530</v>
      </c>
      <c r="I25774" t="s">
        <v>342</v>
      </c>
      <c r="J25774">
        <v>777.48</v>
      </c>
      <c r="K25774">
        <v>150.47999999999999</v>
      </c>
      <c r="L25774">
        <v>66756</v>
      </c>
      <c r="M25774" t="s">
        <v>209</v>
      </c>
      <c r="N25774" t="str">
        <f>"121714259   "</f>
        <v xml:space="preserve">121714259   </v>
      </c>
      <c r="O25774">
        <v>230817</v>
      </c>
    </row>
    <row r="25775" spans="1:15" x14ac:dyDescent="0.25">
      <c r="A25775" t="s">
        <v>16</v>
      </c>
      <c r="B25775" t="s">
        <v>3221</v>
      </c>
      <c r="C25775">
        <v>10483</v>
      </c>
      <c r="D25775" t="s">
        <v>114</v>
      </c>
      <c r="E25775" t="s">
        <v>115</v>
      </c>
      <c r="F25775">
        <v>97.06</v>
      </c>
      <c r="G25775">
        <v>230815</v>
      </c>
      <c r="H25775">
        <v>4530</v>
      </c>
      <c r="I25775" t="s">
        <v>342</v>
      </c>
      <c r="J25775">
        <v>120.35</v>
      </c>
      <c r="K25775">
        <v>23.29</v>
      </c>
      <c r="L25775">
        <v>69501</v>
      </c>
      <c r="M25775" t="s">
        <v>185</v>
      </c>
      <c r="N25775" t="str">
        <f>"121714259   "</f>
        <v xml:space="preserve">121714259   </v>
      </c>
      <c r="O25775">
        <v>230817</v>
      </c>
    </row>
    <row r="25776" spans="1:15" x14ac:dyDescent="0.25">
      <c r="A25776" t="s">
        <v>16</v>
      </c>
      <c r="B25776" t="s">
        <v>3221</v>
      </c>
      <c r="C25776">
        <v>10483</v>
      </c>
      <c r="D25776" t="s">
        <v>114</v>
      </c>
      <c r="E25776" t="s">
        <v>115</v>
      </c>
      <c r="F25776">
        <v>209</v>
      </c>
      <c r="G25776">
        <v>230815</v>
      </c>
      <c r="H25776">
        <v>4530</v>
      </c>
      <c r="I25776" t="s">
        <v>342</v>
      </c>
      <c r="J25776">
        <v>259.16000000000003</v>
      </c>
      <c r="K25776">
        <v>50.16</v>
      </c>
      <c r="L25776">
        <v>69708</v>
      </c>
      <c r="M25776" t="s">
        <v>491</v>
      </c>
      <c r="N25776" t="str">
        <f>"121714259   "</f>
        <v xml:space="preserve">121714259   </v>
      </c>
      <c r="O25776">
        <v>230817</v>
      </c>
    </row>
    <row r="25777" spans="1:15" x14ac:dyDescent="0.25">
      <c r="A25777" t="s">
        <v>16</v>
      </c>
      <c r="B25777" t="s">
        <v>3221</v>
      </c>
      <c r="C25777">
        <v>10496</v>
      </c>
      <c r="D25777" t="s">
        <v>114</v>
      </c>
      <c r="E25777" t="s">
        <v>115</v>
      </c>
      <c r="F25777">
        <v>204.05</v>
      </c>
      <c r="G25777">
        <v>230808</v>
      </c>
      <c r="H25777">
        <v>4530</v>
      </c>
      <c r="I25777" t="s">
        <v>342</v>
      </c>
      <c r="J25777">
        <v>253.02</v>
      </c>
      <c r="K25777">
        <v>48.97</v>
      </c>
      <c r="L25777">
        <v>16431</v>
      </c>
      <c r="M25777" t="s">
        <v>231</v>
      </c>
      <c r="N25777" t="str">
        <f>"121689117   "</f>
        <v xml:space="preserve">121689117   </v>
      </c>
      <c r="O25777">
        <v>230817</v>
      </c>
    </row>
    <row r="25778" spans="1:15" x14ac:dyDescent="0.25">
      <c r="A25778" t="s">
        <v>16</v>
      </c>
      <c r="B25778" t="s">
        <v>3221</v>
      </c>
      <c r="C25778">
        <v>10497</v>
      </c>
      <c r="D25778" t="s">
        <v>114</v>
      </c>
      <c r="E25778" t="s">
        <v>115</v>
      </c>
      <c r="F25778">
        <v>934.29</v>
      </c>
      <c r="G25778">
        <v>230808</v>
      </c>
      <c r="H25778">
        <v>4530</v>
      </c>
      <c r="I25778" t="s">
        <v>342</v>
      </c>
      <c r="J25778">
        <v>1158.52</v>
      </c>
      <c r="K25778">
        <v>224.23</v>
      </c>
      <c r="L25778">
        <v>17803</v>
      </c>
      <c r="M25778" t="s">
        <v>389</v>
      </c>
      <c r="N25778" t="str">
        <f>"121689119   "</f>
        <v xml:space="preserve">121689119   </v>
      </c>
      <c r="O25778">
        <v>230817</v>
      </c>
    </row>
    <row r="25779" spans="1:15" x14ac:dyDescent="0.25">
      <c r="A25779" t="s">
        <v>16</v>
      </c>
      <c r="B25779" t="s">
        <v>3221</v>
      </c>
      <c r="C25779">
        <v>10498</v>
      </c>
      <c r="D25779" t="s">
        <v>114</v>
      </c>
      <c r="E25779" t="s">
        <v>115</v>
      </c>
      <c r="F25779">
        <v>1067.03</v>
      </c>
      <c r="G25779">
        <v>230809</v>
      </c>
      <c r="H25779">
        <v>4530</v>
      </c>
      <c r="I25779" t="s">
        <v>342</v>
      </c>
      <c r="J25779">
        <v>1323.12</v>
      </c>
      <c r="K25779">
        <v>256.08999999999997</v>
      </c>
      <c r="L25779">
        <v>17803</v>
      </c>
      <c r="M25779" t="s">
        <v>389</v>
      </c>
      <c r="N25779" t="str">
        <f>"121693145   "</f>
        <v xml:space="preserve">121693145   </v>
      </c>
      <c r="O25779">
        <v>230817</v>
      </c>
    </row>
    <row r="25780" spans="1:15" x14ac:dyDescent="0.25">
      <c r="A25780" t="s">
        <v>16</v>
      </c>
      <c r="B25780" t="s">
        <v>3221</v>
      </c>
      <c r="C25780">
        <v>10501</v>
      </c>
      <c r="D25780" t="s">
        <v>114</v>
      </c>
      <c r="E25780" t="s">
        <v>115</v>
      </c>
      <c r="F25780">
        <v>715.19</v>
      </c>
      <c r="G25780">
        <v>230814</v>
      </c>
      <c r="H25780">
        <v>4530</v>
      </c>
      <c r="I25780" t="s">
        <v>342</v>
      </c>
      <c r="J25780">
        <v>886.84</v>
      </c>
      <c r="K25780">
        <v>171.65</v>
      </c>
      <c r="L25780">
        <v>17711</v>
      </c>
      <c r="M25780" t="s">
        <v>65</v>
      </c>
      <c r="N25780" t="str">
        <f>"121709307   "</f>
        <v xml:space="preserve">121709307   </v>
      </c>
      <c r="O25780">
        <v>230817</v>
      </c>
    </row>
    <row r="25781" spans="1:15" x14ac:dyDescent="0.25">
      <c r="A25781" t="s">
        <v>16</v>
      </c>
      <c r="B25781" t="s">
        <v>3221</v>
      </c>
      <c r="C25781">
        <v>10522</v>
      </c>
      <c r="D25781" t="s">
        <v>114</v>
      </c>
      <c r="E25781" t="s">
        <v>115</v>
      </c>
      <c r="F25781">
        <v>-347.2</v>
      </c>
      <c r="G25781">
        <v>230816</v>
      </c>
      <c r="H25781">
        <v>4530</v>
      </c>
      <c r="I25781" t="s">
        <v>342</v>
      </c>
      <c r="J25781">
        <v>-430.53</v>
      </c>
      <c r="K25781">
        <v>-83.33</v>
      </c>
      <c r="L25781">
        <v>46556</v>
      </c>
      <c r="M25781" t="s">
        <v>125</v>
      </c>
      <c r="N25781" t="str">
        <f>"95451862    "</f>
        <v xml:space="preserve">95451862    </v>
      </c>
      <c r="O25781">
        <v>230817</v>
      </c>
    </row>
    <row r="25782" spans="1:15" x14ac:dyDescent="0.25">
      <c r="A25782" t="s">
        <v>16</v>
      </c>
      <c r="B25782" t="s">
        <v>3221</v>
      </c>
      <c r="C25782">
        <v>10528</v>
      </c>
      <c r="D25782" t="s">
        <v>114</v>
      </c>
      <c r="E25782" t="s">
        <v>115</v>
      </c>
      <c r="F25782">
        <v>332</v>
      </c>
      <c r="G25782">
        <v>230814</v>
      </c>
      <c r="H25782">
        <v>4530</v>
      </c>
      <c r="I25782" t="s">
        <v>342</v>
      </c>
      <c r="J25782">
        <v>411.68</v>
      </c>
      <c r="K25782">
        <v>79.680000000000007</v>
      </c>
      <c r="L25782">
        <v>14321</v>
      </c>
      <c r="M25782" t="s">
        <v>717</v>
      </c>
      <c r="N25782" t="str">
        <f>"121708198   "</f>
        <v xml:space="preserve">121708198   </v>
      </c>
      <c r="O25782">
        <v>230817</v>
      </c>
    </row>
    <row r="25783" spans="1:15" x14ac:dyDescent="0.25">
      <c r="A25783" t="s">
        <v>16</v>
      </c>
      <c r="B25783" t="s">
        <v>3221</v>
      </c>
      <c r="C25783">
        <v>10528</v>
      </c>
      <c r="D25783" t="s">
        <v>114</v>
      </c>
      <c r="E25783" t="s">
        <v>115</v>
      </c>
      <c r="F25783">
        <v>664</v>
      </c>
      <c r="G25783">
        <v>230814</v>
      </c>
      <c r="H25783">
        <v>4530</v>
      </c>
      <c r="I25783" t="s">
        <v>342</v>
      </c>
      <c r="J25783">
        <v>823.36</v>
      </c>
      <c r="K25783">
        <v>159.36000000000001</v>
      </c>
      <c r="L25783">
        <v>14422</v>
      </c>
      <c r="M25783" t="s">
        <v>228</v>
      </c>
      <c r="N25783" t="str">
        <f>"121708198   "</f>
        <v xml:space="preserve">121708198   </v>
      </c>
      <c r="O25783">
        <v>230817</v>
      </c>
    </row>
    <row r="25784" spans="1:15" x14ac:dyDescent="0.25">
      <c r="A25784" t="s">
        <v>16</v>
      </c>
      <c r="B25784" t="s">
        <v>3221</v>
      </c>
      <c r="C25784">
        <v>10528</v>
      </c>
      <c r="D25784" t="s">
        <v>114</v>
      </c>
      <c r="E25784" t="s">
        <v>115</v>
      </c>
      <c r="F25784">
        <v>201</v>
      </c>
      <c r="G25784">
        <v>230814</v>
      </c>
      <c r="H25784">
        <v>4530</v>
      </c>
      <c r="I25784" t="s">
        <v>342</v>
      </c>
      <c r="J25784">
        <v>249.24</v>
      </c>
      <c r="K25784">
        <v>48.24</v>
      </c>
      <c r="L25784">
        <v>14432</v>
      </c>
      <c r="M25784" t="s">
        <v>862</v>
      </c>
      <c r="N25784" t="str">
        <f>"121708198   "</f>
        <v xml:space="preserve">121708198   </v>
      </c>
      <c r="O25784">
        <v>230817</v>
      </c>
    </row>
    <row r="25785" spans="1:15" x14ac:dyDescent="0.25">
      <c r="A25785" t="s">
        <v>16</v>
      </c>
      <c r="B25785" t="s">
        <v>3221</v>
      </c>
      <c r="C25785">
        <v>10528</v>
      </c>
      <c r="D25785" t="s">
        <v>114</v>
      </c>
      <c r="E25785" t="s">
        <v>115</v>
      </c>
      <c r="F25785">
        <v>759</v>
      </c>
      <c r="G25785">
        <v>230814</v>
      </c>
      <c r="H25785">
        <v>4530</v>
      </c>
      <c r="I25785" t="s">
        <v>342</v>
      </c>
      <c r="J25785">
        <v>941.16</v>
      </c>
      <c r="K25785">
        <v>182.16</v>
      </c>
      <c r="L25785">
        <v>14640</v>
      </c>
      <c r="M25785" t="s">
        <v>229</v>
      </c>
      <c r="N25785" t="str">
        <f>"121708198   "</f>
        <v xml:space="preserve">121708198   </v>
      </c>
      <c r="O25785">
        <v>230817</v>
      </c>
    </row>
    <row r="25786" spans="1:15" x14ac:dyDescent="0.25">
      <c r="A25786" t="s">
        <v>16</v>
      </c>
      <c r="B25786" t="s">
        <v>3221</v>
      </c>
      <c r="C25786">
        <v>10530</v>
      </c>
      <c r="D25786" t="s">
        <v>114</v>
      </c>
      <c r="E25786" t="s">
        <v>115</v>
      </c>
      <c r="F25786">
        <v>194.1</v>
      </c>
      <c r="G25786">
        <v>230815</v>
      </c>
      <c r="H25786">
        <v>4530</v>
      </c>
      <c r="I25786" t="s">
        <v>342</v>
      </c>
      <c r="J25786">
        <v>240.68</v>
      </c>
      <c r="K25786">
        <v>46.58</v>
      </c>
      <c r="L25786">
        <v>17131</v>
      </c>
      <c r="M25786" t="s">
        <v>64</v>
      </c>
      <c r="N25786" t="str">
        <f>"121719009   "</f>
        <v xml:space="preserve">121719009   </v>
      </c>
      <c r="O25786">
        <v>230817</v>
      </c>
    </row>
    <row r="25787" spans="1:15" x14ac:dyDescent="0.25">
      <c r="A25787" t="s">
        <v>16</v>
      </c>
      <c r="B25787" t="s">
        <v>3221</v>
      </c>
      <c r="C25787">
        <v>10546</v>
      </c>
      <c r="D25787" t="s">
        <v>114</v>
      </c>
      <c r="E25787" t="s">
        <v>115</v>
      </c>
      <c r="F25787">
        <v>138</v>
      </c>
      <c r="G25787">
        <v>230816</v>
      </c>
      <c r="H25787">
        <v>4530</v>
      </c>
      <c r="I25787" t="s">
        <v>342</v>
      </c>
      <c r="J25787">
        <v>171.12</v>
      </c>
      <c r="K25787">
        <v>33.119999999999997</v>
      </c>
      <c r="L25787">
        <v>17535</v>
      </c>
      <c r="M25787" t="s">
        <v>357</v>
      </c>
      <c r="N25787" t="str">
        <f>"121725117   "</f>
        <v xml:space="preserve">121725117   </v>
      </c>
      <c r="O25787">
        <v>230818</v>
      </c>
    </row>
    <row r="25788" spans="1:15" x14ac:dyDescent="0.25">
      <c r="A25788" t="s">
        <v>16</v>
      </c>
      <c r="B25788" t="s">
        <v>3221</v>
      </c>
      <c r="C25788">
        <v>10572</v>
      </c>
      <c r="D25788" t="s">
        <v>114</v>
      </c>
      <c r="E25788" t="s">
        <v>115</v>
      </c>
      <c r="F25788">
        <v>33</v>
      </c>
      <c r="G25788">
        <v>230815</v>
      </c>
      <c r="H25788">
        <v>4530</v>
      </c>
      <c r="I25788" t="s">
        <v>342</v>
      </c>
      <c r="J25788">
        <v>40.92</v>
      </c>
      <c r="K25788">
        <v>7.92</v>
      </c>
      <c r="L25788">
        <v>46557</v>
      </c>
      <c r="M25788" t="s">
        <v>221</v>
      </c>
      <c r="N25788" t="str">
        <f>"121715497   "</f>
        <v xml:space="preserve">121715497   </v>
      </c>
      <c r="O25788">
        <v>230818</v>
      </c>
    </row>
    <row r="25789" spans="1:15" x14ac:dyDescent="0.25">
      <c r="A25789" t="s">
        <v>16</v>
      </c>
      <c r="B25789" t="s">
        <v>3221</v>
      </c>
      <c r="C25789">
        <v>10591</v>
      </c>
      <c r="D25789" t="s">
        <v>114</v>
      </c>
      <c r="E25789" t="s">
        <v>115</v>
      </c>
      <c r="F25789">
        <v>1535.2</v>
      </c>
      <c r="G25789">
        <v>230815</v>
      </c>
      <c r="H25789">
        <v>4530</v>
      </c>
      <c r="I25789" t="s">
        <v>342</v>
      </c>
      <c r="J25789">
        <v>1903.65</v>
      </c>
      <c r="K25789">
        <v>368.45</v>
      </c>
      <c r="L25789">
        <v>67522</v>
      </c>
      <c r="M25789" t="s">
        <v>397</v>
      </c>
      <c r="N25789" t="str">
        <f>"121714261   "</f>
        <v xml:space="preserve">121714261   </v>
      </c>
      <c r="O25789">
        <v>230818</v>
      </c>
    </row>
    <row r="25790" spans="1:15" x14ac:dyDescent="0.25">
      <c r="A25790" t="s">
        <v>16</v>
      </c>
      <c r="B25790" t="s">
        <v>3221</v>
      </c>
      <c r="C25790">
        <v>10602</v>
      </c>
      <c r="D25790" t="s">
        <v>114</v>
      </c>
      <c r="E25790" t="s">
        <v>115</v>
      </c>
      <c r="F25790">
        <v>781.08</v>
      </c>
      <c r="G25790">
        <v>230815</v>
      </c>
      <c r="H25790">
        <v>4530</v>
      </c>
      <c r="I25790" t="s">
        <v>342</v>
      </c>
      <c r="J25790">
        <v>968.54</v>
      </c>
      <c r="K25790">
        <v>187.46</v>
      </c>
      <c r="L25790">
        <v>66756</v>
      </c>
      <c r="M25790" t="s">
        <v>209</v>
      </c>
      <c r="N25790" t="str">
        <f>"121714260   "</f>
        <v xml:space="preserve">121714260   </v>
      </c>
      <c r="O25790">
        <v>230818</v>
      </c>
    </row>
    <row r="25791" spans="1:15" x14ac:dyDescent="0.25">
      <c r="A25791" t="s">
        <v>16</v>
      </c>
      <c r="B25791" t="s">
        <v>3221</v>
      </c>
      <c r="C25791">
        <v>10603</v>
      </c>
      <c r="D25791" t="s">
        <v>114</v>
      </c>
      <c r="E25791" t="s">
        <v>115</v>
      </c>
      <c r="F25791">
        <v>497.02</v>
      </c>
      <c r="G25791">
        <v>230811</v>
      </c>
      <c r="H25791">
        <v>4530</v>
      </c>
      <c r="I25791" t="s">
        <v>342</v>
      </c>
      <c r="J25791">
        <v>616.30999999999995</v>
      </c>
      <c r="K25791">
        <v>119.29</v>
      </c>
      <c r="L25791">
        <v>47522</v>
      </c>
      <c r="M25791" t="s">
        <v>410</v>
      </c>
      <c r="N25791" t="str">
        <f>"121702783   "</f>
        <v xml:space="preserve">121702783   </v>
      </c>
      <c r="O25791">
        <v>230818</v>
      </c>
    </row>
    <row r="25792" spans="1:15" x14ac:dyDescent="0.25">
      <c r="A25792" t="s">
        <v>16</v>
      </c>
      <c r="B25792" t="s">
        <v>3221</v>
      </c>
      <c r="C25792">
        <v>10605</v>
      </c>
      <c r="D25792" t="s">
        <v>114</v>
      </c>
      <c r="E25792" t="s">
        <v>115</v>
      </c>
      <c r="F25792">
        <v>1448.06</v>
      </c>
      <c r="G25792">
        <v>230810</v>
      </c>
      <c r="H25792">
        <v>4530</v>
      </c>
      <c r="I25792" t="s">
        <v>342</v>
      </c>
      <c r="J25792">
        <v>1795.59</v>
      </c>
      <c r="K25792">
        <v>347.53</v>
      </c>
      <c r="L25792">
        <v>47522</v>
      </c>
      <c r="M25792" t="s">
        <v>410</v>
      </c>
      <c r="N25792" t="str">
        <f>"121697262   "</f>
        <v xml:space="preserve">121697262   </v>
      </c>
      <c r="O25792">
        <v>230818</v>
      </c>
    </row>
    <row r="25793" spans="1:15" x14ac:dyDescent="0.25">
      <c r="A25793" t="s">
        <v>16</v>
      </c>
      <c r="B25793" t="s">
        <v>3221</v>
      </c>
      <c r="C25793">
        <v>10610</v>
      </c>
      <c r="D25793" t="s">
        <v>114</v>
      </c>
      <c r="E25793" t="s">
        <v>115</v>
      </c>
      <c r="F25793">
        <v>618.05999999999995</v>
      </c>
      <c r="G25793">
        <v>230810</v>
      </c>
      <c r="H25793">
        <v>4530</v>
      </c>
      <c r="I25793" t="s">
        <v>342</v>
      </c>
      <c r="J25793">
        <v>766.39</v>
      </c>
      <c r="K25793">
        <v>148.33000000000001</v>
      </c>
      <c r="L25793">
        <v>17807</v>
      </c>
      <c r="M25793" t="s">
        <v>318</v>
      </c>
      <c r="N25793" t="str">
        <f>"121700858   "</f>
        <v xml:space="preserve">121700858   </v>
      </c>
      <c r="O25793">
        <v>230818</v>
      </c>
    </row>
    <row r="25794" spans="1:15" x14ac:dyDescent="0.25">
      <c r="A25794" t="s">
        <v>16</v>
      </c>
      <c r="B25794" t="s">
        <v>3221</v>
      </c>
      <c r="C25794">
        <v>10611</v>
      </c>
      <c r="D25794" t="s">
        <v>114</v>
      </c>
      <c r="E25794" t="s">
        <v>115</v>
      </c>
      <c r="F25794">
        <v>1067.1500000000001</v>
      </c>
      <c r="G25794">
        <v>230809</v>
      </c>
      <c r="H25794">
        <v>4530</v>
      </c>
      <c r="I25794" t="s">
        <v>342</v>
      </c>
      <c r="J25794">
        <v>1323.27</v>
      </c>
      <c r="K25794">
        <v>256.12</v>
      </c>
      <c r="L25794">
        <v>17807</v>
      </c>
      <c r="M25794" t="s">
        <v>318</v>
      </c>
      <c r="N25794" t="str">
        <f>"121693143   "</f>
        <v xml:space="preserve">121693143   </v>
      </c>
      <c r="O25794">
        <v>230818</v>
      </c>
    </row>
    <row r="25795" spans="1:15" x14ac:dyDescent="0.25">
      <c r="A25795" t="s">
        <v>16</v>
      </c>
      <c r="B25795" t="s">
        <v>3221</v>
      </c>
      <c r="C25795">
        <v>10612</v>
      </c>
      <c r="D25795" t="s">
        <v>114</v>
      </c>
      <c r="E25795" t="s">
        <v>115</v>
      </c>
      <c r="F25795">
        <v>3059.48</v>
      </c>
      <c r="G25795">
        <v>230808</v>
      </c>
      <c r="H25795">
        <v>4530</v>
      </c>
      <c r="I25795" t="s">
        <v>342</v>
      </c>
      <c r="J25795">
        <v>3793.75</v>
      </c>
      <c r="K25795">
        <v>734.27</v>
      </c>
      <c r="L25795">
        <v>17807</v>
      </c>
      <c r="M25795" t="s">
        <v>318</v>
      </c>
      <c r="N25795" t="str">
        <f>"121689118   "</f>
        <v xml:space="preserve">121689118   </v>
      </c>
      <c r="O25795">
        <v>230818</v>
      </c>
    </row>
    <row r="25796" spans="1:15" x14ac:dyDescent="0.25">
      <c r="A25796" t="s">
        <v>16</v>
      </c>
      <c r="B25796" t="s">
        <v>3221</v>
      </c>
      <c r="C25796">
        <v>10652</v>
      </c>
      <c r="D25796" t="s">
        <v>114</v>
      </c>
      <c r="E25796" t="s">
        <v>115</v>
      </c>
      <c r="F25796">
        <v>584.08000000000004</v>
      </c>
      <c r="G25796">
        <v>230816</v>
      </c>
      <c r="H25796">
        <v>4530</v>
      </c>
      <c r="I25796" t="s">
        <v>342</v>
      </c>
      <c r="J25796">
        <v>724.26</v>
      </c>
      <c r="K25796">
        <v>140.18</v>
      </c>
      <c r="L25796">
        <v>67522</v>
      </c>
      <c r="M25796" t="s">
        <v>397</v>
      </c>
      <c r="N25796" t="str">
        <f>"121722305   "</f>
        <v xml:space="preserve">121722305   </v>
      </c>
      <c r="O25796">
        <v>230821</v>
      </c>
    </row>
    <row r="25797" spans="1:15" x14ac:dyDescent="0.25">
      <c r="A25797" t="s">
        <v>16</v>
      </c>
      <c r="B25797" t="s">
        <v>3221</v>
      </c>
      <c r="C25797">
        <v>10653</v>
      </c>
      <c r="D25797" t="s">
        <v>114</v>
      </c>
      <c r="E25797" t="s">
        <v>115</v>
      </c>
      <c r="F25797">
        <v>250.98</v>
      </c>
      <c r="G25797">
        <v>230816</v>
      </c>
      <c r="H25797">
        <v>4530</v>
      </c>
      <c r="I25797" t="s">
        <v>342</v>
      </c>
      <c r="J25797">
        <v>311.20999999999998</v>
      </c>
      <c r="K25797">
        <v>60.23</v>
      </c>
      <c r="L25797">
        <v>66722</v>
      </c>
      <c r="M25797" t="s">
        <v>518</v>
      </c>
      <c r="N25797" t="str">
        <f>"121722304   "</f>
        <v xml:space="preserve">121722304   </v>
      </c>
      <c r="O25797">
        <v>230821</v>
      </c>
    </row>
    <row r="25798" spans="1:15" x14ac:dyDescent="0.25">
      <c r="A25798" t="s">
        <v>16</v>
      </c>
      <c r="B25798" t="s">
        <v>3221</v>
      </c>
      <c r="C25798">
        <v>10667</v>
      </c>
      <c r="D25798" t="s">
        <v>114</v>
      </c>
      <c r="E25798" t="s">
        <v>115</v>
      </c>
      <c r="F25798">
        <v>228</v>
      </c>
      <c r="G25798">
        <v>230817</v>
      </c>
      <c r="H25798">
        <v>4530</v>
      </c>
      <c r="I25798" t="s">
        <v>342</v>
      </c>
      <c r="J25798">
        <v>282.72000000000003</v>
      </c>
      <c r="K25798">
        <v>54.72</v>
      </c>
      <c r="L25798">
        <v>66756</v>
      </c>
      <c r="M25798" t="s">
        <v>209</v>
      </c>
      <c r="N25798" t="str">
        <f>"121729525   "</f>
        <v xml:space="preserve">121729525   </v>
      </c>
      <c r="O25798">
        <v>230821</v>
      </c>
    </row>
    <row r="25799" spans="1:15" x14ac:dyDescent="0.25">
      <c r="A25799" t="s">
        <v>16</v>
      </c>
      <c r="B25799" t="s">
        <v>3221</v>
      </c>
      <c r="C25799">
        <v>10669</v>
      </c>
      <c r="D25799" t="s">
        <v>114</v>
      </c>
      <c r="E25799" t="s">
        <v>115</v>
      </c>
      <c r="F25799">
        <v>260.16000000000003</v>
      </c>
      <c r="G25799">
        <v>230817</v>
      </c>
      <c r="H25799">
        <v>4530</v>
      </c>
      <c r="I25799" t="s">
        <v>342</v>
      </c>
      <c r="J25799">
        <v>322.60000000000002</v>
      </c>
      <c r="K25799">
        <v>62.44</v>
      </c>
      <c r="L25799">
        <v>46556</v>
      </c>
      <c r="M25799" t="s">
        <v>125</v>
      </c>
      <c r="N25799" t="str">
        <f>"121726681   "</f>
        <v xml:space="preserve">121726681   </v>
      </c>
      <c r="O25799">
        <v>230821</v>
      </c>
    </row>
    <row r="25800" spans="1:15" x14ac:dyDescent="0.25">
      <c r="A25800" t="s">
        <v>16</v>
      </c>
      <c r="B25800" t="s">
        <v>3221</v>
      </c>
      <c r="C25800">
        <v>10685</v>
      </c>
      <c r="D25800" t="s">
        <v>114</v>
      </c>
      <c r="E25800" t="s">
        <v>115</v>
      </c>
      <c r="F25800">
        <v>1011.15</v>
      </c>
      <c r="G25800">
        <v>230809</v>
      </c>
      <c r="H25800">
        <v>4530</v>
      </c>
      <c r="I25800" t="s">
        <v>342</v>
      </c>
      <c r="J25800">
        <v>1253.83</v>
      </c>
      <c r="K25800">
        <v>242.68</v>
      </c>
      <c r="L25800">
        <v>17802</v>
      </c>
      <c r="M25800" t="s">
        <v>174</v>
      </c>
      <c r="N25800" t="str">
        <f>"121693144   "</f>
        <v xml:space="preserve">121693144   </v>
      </c>
      <c r="O25800">
        <v>230822</v>
      </c>
    </row>
    <row r="25801" spans="1:15" x14ac:dyDescent="0.25">
      <c r="A25801" t="s">
        <v>16</v>
      </c>
      <c r="B25801" t="s">
        <v>3221</v>
      </c>
      <c r="C25801">
        <v>10743</v>
      </c>
      <c r="D25801" t="s">
        <v>114</v>
      </c>
      <c r="E25801" t="s">
        <v>115</v>
      </c>
      <c r="F25801">
        <v>36.049999999999997</v>
      </c>
      <c r="G25801">
        <v>230821</v>
      </c>
      <c r="H25801">
        <v>4530</v>
      </c>
      <c r="I25801" t="s">
        <v>342</v>
      </c>
      <c r="J25801">
        <v>44.7</v>
      </c>
      <c r="K25801">
        <v>8.65</v>
      </c>
      <c r="L25801">
        <v>66756</v>
      </c>
      <c r="M25801" t="s">
        <v>209</v>
      </c>
      <c r="N25801" t="str">
        <f>"121737990   "</f>
        <v xml:space="preserve">121737990   </v>
      </c>
      <c r="O25801">
        <v>230822</v>
      </c>
    </row>
    <row r="25802" spans="1:15" x14ac:dyDescent="0.25">
      <c r="A25802" t="s">
        <v>16</v>
      </c>
      <c r="B25802" t="s">
        <v>3221</v>
      </c>
      <c r="C25802">
        <v>10744</v>
      </c>
      <c r="D25802" t="s">
        <v>114</v>
      </c>
      <c r="E25802" t="s">
        <v>115</v>
      </c>
      <c r="F25802">
        <v>33.049999999999997</v>
      </c>
      <c r="G25802">
        <v>230821</v>
      </c>
      <c r="H25802">
        <v>4530</v>
      </c>
      <c r="I25802" t="s">
        <v>342</v>
      </c>
      <c r="J25802">
        <v>40.98</v>
      </c>
      <c r="K25802">
        <v>7.93</v>
      </c>
      <c r="L25802">
        <v>67522</v>
      </c>
      <c r="M25802" t="s">
        <v>397</v>
      </c>
      <c r="N25802" t="str">
        <f>"121737989   "</f>
        <v xml:space="preserve">121737989   </v>
      </c>
      <c r="O25802">
        <v>230822</v>
      </c>
    </row>
    <row r="25803" spans="1:15" x14ac:dyDescent="0.25">
      <c r="A25803" t="s">
        <v>16</v>
      </c>
      <c r="B25803" t="s">
        <v>3221</v>
      </c>
      <c r="C25803">
        <v>10799</v>
      </c>
      <c r="D25803" t="s">
        <v>114</v>
      </c>
      <c r="E25803" t="s">
        <v>115</v>
      </c>
      <c r="F25803">
        <v>61.17</v>
      </c>
      <c r="G25803">
        <v>230808</v>
      </c>
      <c r="H25803">
        <v>4530</v>
      </c>
      <c r="I25803" t="s">
        <v>342</v>
      </c>
      <c r="J25803">
        <v>75.849999999999994</v>
      </c>
      <c r="K25803">
        <v>14.68</v>
      </c>
      <c r="L25803">
        <v>17534</v>
      </c>
      <c r="M25803" t="s">
        <v>440</v>
      </c>
      <c r="N25803" t="str">
        <f>"121690993   "</f>
        <v xml:space="preserve">121690993   </v>
      </c>
      <c r="O25803">
        <v>230823</v>
      </c>
    </row>
    <row r="25804" spans="1:15" x14ac:dyDescent="0.25">
      <c r="A25804" t="s">
        <v>16</v>
      </c>
      <c r="B25804" t="s">
        <v>3221</v>
      </c>
      <c r="C25804">
        <v>10799</v>
      </c>
      <c r="D25804" t="s">
        <v>114</v>
      </c>
      <c r="E25804" t="s">
        <v>115</v>
      </c>
      <c r="F25804">
        <v>69.81</v>
      </c>
      <c r="G25804">
        <v>230808</v>
      </c>
      <c r="H25804">
        <v>4530</v>
      </c>
      <c r="I25804" t="s">
        <v>342</v>
      </c>
      <c r="J25804">
        <v>86.56</v>
      </c>
      <c r="K25804">
        <v>16.75</v>
      </c>
      <c r="L25804">
        <v>17536</v>
      </c>
      <c r="M25804" t="s">
        <v>734</v>
      </c>
      <c r="N25804" t="str">
        <f>"121690993   "</f>
        <v xml:space="preserve">121690993   </v>
      </c>
      <c r="O25804">
        <v>230823</v>
      </c>
    </row>
    <row r="25805" spans="1:15" x14ac:dyDescent="0.25">
      <c r="A25805" t="s">
        <v>16</v>
      </c>
      <c r="B25805" t="s">
        <v>3221</v>
      </c>
      <c r="C25805">
        <v>10814</v>
      </c>
      <c r="D25805" t="s">
        <v>114</v>
      </c>
      <c r="E25805" t="s">
        <v>115</v>
      </c>
      <c r="F25805">
        <v>221.48</v>
      </c>
      <c r="G25805">
        <v>230818</v>
      </c>
      <c r="H25805">
        <v>4530</v>
      </c>
      <c r="I25805" t="s">
        <v>342</v>
      </c>
      <c r="J25805">
        <v>274.64</v>
      </c>
      <c r="K25805">
        <v>53.16</v>
      </c>
      <c r="L25805">
        <v>17522</v>
      </c>
      <c r="M25805" t="s">
        <v>451</v>
      </c>
      <c r="N25805" t="str">
        <f>"121735604   "</f>
        <v xml:space="preserve">121735604   </v>
      </c>
      <c r="O25805">
        <v>230823</v>
      </c>
    </row>
    <row r="25806" spans="1:15" x14ac:dyDescent="0.25">
      <c r="A25806" t="s">
        <v>16</v>
      </c>
      <c r="B25806" t="s">
        <v>3221</v>
      </c>
      <c r="C25806">
        <v>10817</v>
      </c>
      <c r="D25806" t="s">
        <v>114</v>
      </c>
      <c r="E25806" t="s">
        <v>115</v>
      </c>
      <c r="F25806">
        <v>69</v>
      </c>
      <c r="G25806">
        <v>230821</v>
      </c>
      <c r="H25806">
        <v>4530</v>
      </c>
      <c r="I25806" t="s">
        <v>342</v>
      </c>
      <c r="J25806">
        <v>85.56</v>
      </c>
      <c r="K25806">
        <v>16.559999999999999</v>
      </c>
      <c r="L25806">
        <v>46557</v>
      </c>
      <c r="M25806" t="s">
        <v>221</v>
      </c>
      <c r="N25806" t="str">
        <f>"121737001   "</f>
        <v xml:space="preserve">121737001   </v>
      </c>
      <c r="O25806">
        <v>230823</v>
      </c>
    </row>
    <row r="25807" spans="1:15" x14ac:dyDescent="0.25">
      <c r="A25807" t="s">
        <v>16</v>
      </c>
      <c r="B25807" t="s">
        <v>3221</v>
      </c>
      <c r="C25807">
        <v>10842</v>
      </c>
      <c r="D25807" t="s">
        <v>114</v>
      </c>
      <c r="E25807" t="s">
        <v>115</v>
      </c>
      <c r="F25807">
        <v>-1736</v>
      </c>
      <c r="G25807">
        <v>230822</v>
      </c>
      <c r="H25807">
        <v>4530</v>
      </c>
      <c r="I25807" t="s">
        <v>342</v>
      </c>
      <c r="J25807">
        <v>-2152.64</v>
      </c>
      <c r="K25807">
        <v>-416.64</v>
      </c>
      <c r="L25807">
        <v>66756</v>
      </c>
      <c r="M25807" t="s">
        <v>209</v>
      </c>
      <c r="N25807" t="str">
        <f>"95452291    "</f>
        <v xml:space="preserve">95452291    </v>
      </c>
      <c r="O25807">
        <v>230824</v>
      </c>
    </row>
    <row r="25808" spans="1:15" x14ac:dyDescent="0.25">
      <c r="A25808" t="s">
        <v>16</v>
      </c>
      <c r="B25808" t="s">
        <v>3221</v>
      </c>
      <c r="C25808">
        <v>10843</v>
      </c>
      <c r="D25808" t="s">
        <v>114</v>
      </c>
      <c r="E25808" t="s">
        <v>115</v>
      </c>
      <c r="F25808">
        <v>291.10000000000002</v>
      </c>
      <c r="G25808">
        <v>230814</v>
      </c>
      <c r="H25808">
        <v>4530</v>
      </c>
      <c r="I25808" t="s">
        <v>342</v>
      </c>
      <c r="J25808">
        <v>360.96</v>
      </c>
      <c r="K25808">
        <v>69.86</v>
      </c>
      <c r="L25808">
        <v>46554</v>
      </c>
      <c r="M25808" t="s">
        <v>117</v>
      </c>
      <c r="N25808" t="str">
        <f>"121708199   "</f>
        <v xml:space="preserve">121708199   </v>
      </c>
      <c r="O25808">
        <v>230824</v>
      </c>
    </row>
    <row r="25809" spans="1:15" x14ac:dyDescent="0.25">
      <c r="A25809" t="s">
        <v>16</v>
      </c>
      <c r="B25809" t="s">
        <v>3221</v>
      </c>
      <c r="C25809">
        <v>10849</v>
      </c>
      <c r="D25809" t="s">
        <v>114</v>
      </c>
      <c r="E25809" t="s">
        <v>115</v>
      </c>
      <c r="F25809">
        <v>1536.56</v>
      </c>
      <c r="G25809">
        <v>230816</v>
      </c>
      <c r="H25809">
        <v>4530</v>
      </c>
      <c r="I25809" t="s">
        <v>342</v>
      </c>
      <c r="J25809">
        <v>1905.34</v>
      </c>
      <c r="K25809">
        <v>368.78</v>
      </c>
      <c r="L25809">
        <v>66756</v>
      </c>
      <c r="M25809" t="s">
        <v>209</v>
      </c>
      <c r="N25809" t="str">
        <f>"121722306   "</f>
        <v xml:space="preserve">121722306   </v>
      </c>
      <c r="O25809">
        <v>230824</v>
      </c>
    </row>
    <row r="25810" spans="1:15" x14ac:dyDescent="0.25">
      <c r="A25810" t="s">
        <v>16</v>
      </c>
      <c r="B25810" t="s">
        <v>3221</v>
      </c>
      <c r="C25810">
        <v>10856</v>
      </c>
      <c r="D25810" t="s">
        <v>114</v>
      </c>
      <c r="E25810" t="s">
        <v>115</v>
      </c>
      <c r="F25810">
        <v>323.69</v>
      </c>
      <c r="G25810">
        <v>230818</v>
      </c>
      <c r="H25810">
        <v>4530</v>
      </c>
      <c r="I25810" t="s">
        <v>342</v>
      </c>
      <c r="J25810">
        <v>401.37</v>
      </c>
      <c r="K25810">
        <v>77.680000000000007</v>
      </c>
      <c r="L25810">
        <v>66756</v>
      </c>
      <c r="M25810" t="s">
        <v>209</v>
      </c>
      <c r="N25810" t="str">
        <f>"121731671   "</f>
        <v xml:space="preserve">121731671   </v>
      </c>
      <c r="O25810">
        <v>230824</v>
      </c>
    </row>
    <row r="25811" spans="1:15" x14ac:dyDescent="0.25">
      <c r="A25811" t="s">
        <v>16</v>
      </c>
      <c r="B25811" t="s">
        <v>3221</v>
      </c>
      <c r="C25811">
        <v>10909</v>
      </c>
      <c r="D25811" t="s">
        <v>114</v>
      </c>
      <c r="E25811" t="s">
        <v>115</v>
      </c>
      <c r="F25811">
        <v>805.31</v>
      </c>
      <c r="G25811">
        <v>230821</v>
      </c>
      <c r="H25811">
        <v>4530</v>
      </c>
      <c r="I25811" t="s">
        <v>342</v>
      </c>
      <c r="J25811">
        <v>998.58</v>
      </c>
      <c r="K25811">
        <v>193.27</v>
      </c>
      <c r="L25811">
        <v>47522</v>
      </c>
      <c r="M25811" t="s">
        <v>410</v>
      </c>
      <c r="N25811" t="str">
        <f>"121737000   "</f>
        <v xml:space="preserve">121737000   </v>
      </c>
      <c r="O25811">
        <v>230825</v>
      </c>
    </row>
    <row r="25812" spans="1:15" x14ac:dyDescent="0.25">
      <c r="A25812" t="s">
        <v>16</v>
      </c>
      <c r="B25812" t="s">
        <v>3221</v>
      </c>
      <c r="C25812">
        <v>10910</v>
      </c>
      <c r="D25812" t="s">
        <v>114</v>
      </c>
      <c r="E25812" t="s">
        <v>115</v>
      </c>
      <c r="F25812">
        <v>112.23</v>
      </c>
      <c r="G25812">
        <v>230822</v>
      </c>
      <c r="H25812">
        <v>4530</v>
      </c>
      <c r="I25812" t="s">
        <v>342</v>
      </c>
      <c r="J25812">
        <v>139.16</v>
      </c>
      <c r="K25812">
        <v>26.93</v>
      </c>
      <c r="L25812">
        <v>47522</v>
      </c>
      <c r="M25812" t="s">
        <v>410</v>
      </c>
      <c r="N25812" t="str">
        <f>"121742604   "</f>
        <v xml:space="preserve">121742604   </v>
      </c>
      <c r="O25812">
        <v>230825</v>
      </c>
    </row>
    <row r="25813" spans="1:15" x14ac:dyDescent="0.25">
      <c r="A25813" t="s">
        <v>16</v>
      </c>
      <c r="B25813" t="s">
        <v>3221</v>
      </c>
      <c r="C25813">
        <v>10912</v>
      </c>
      <c r="D25813" t="s">
        <v>114</v>
      </c>
      <c r="E25813" t="s">
        <v>115</v>
      </c>
      <c r="F25813">
        <v>69.849999999999994</v>
      </c>
      <c r="G25813">
        <v>230823</v>
      </c>
      <c r="H25813">
        <v>4530</v>
      </c>
      <c r="I25813" t="s">
        <v>342</v>
      </c>
      <c r="J25813">
        <v>86.61</v>
      </c>
      <c r="K25813">
        <v>16.760000000000002</v>
      </c>
      <c r="L25813">
        <v>47522</v>
      </c>
      <c r="M25813" t="s">
        <v>410</v>
      </c>
      <c r="N25813" t="str">
        <f>"121747026   "</f>
        <v xml:space="preserve">121747026   </v>
      </c>
      <c r="O25813">
        <v>230825</v>
      </c>
    </row>
    <row r="25814" spans="1:15" x14ac:dyDescent="0.25">
      <c r="A25814" t="s">
        <v>16</v>
      </c>
      <c r="B25814" t="s">
        <v>3221</v>
      </c>
      <c r="C25814">
        <v>10923</v>
      </c>
      <c r="D25814" t="s">
        <v>114</v>
      </c>
      <c r="E25814" t="s">
        <v>115</v>
      </c>
      <c r="F25814">
        <v>69</v>
      </c>
      <c r="G25814">
        <v>230811</v>
      </c>
      <c r="H25814">
        <v>4530</v>
      </c>
      <c r="I25814" t="s">
        <v>342</v>
      </c>
      <c r="J25814">
        <v>85.56</v>
      </c>
      <c r="K25814">
        <v>16.559999999999999</v>
      </c>
      <c r="L25814">
        <v>16431</v>
      </c>
      <c r="M25814" t="s">
        <v>231</v>
      </c>
      <c r="N25814" t="str">
        <f>"121704724   "</f>
        <v xml:space="preserve">121704724   </v>
      </c>
      <c r="O25814">
        <v>230825</v>
      </c>
    </row>
    <row r="25815" spans="1:15" x14ac:dyDescent="0.25">
      <c r="A25815" t="s">
        <v>16</v>
      </c>
      <c r="B25815" t="s">
        <v>3221</v>
      </c>
      <c r="C25815">
        <v>10923</v>
      </c>
      <c r="D25815" t="s">
        <v>114</v>
      </c>
      <c r="E25815" t="s">
        <v>115</v>
      </c>
      <c r="F25815">
        <v>155</v>
      </c>
      <c r="G25815">
        <v>230811</v>
      </c>
      <c r="H25815">
        <v>4530</v>
      </c>
      <c r="I25815" t="s">
        <v>342</v>
      </c>
      <c r="J25815">
        <v>192.2</v>
      </c>
      <c r="K25815">
        <v>37.200000000000003</v>
      </c>
      <c r="L25815">
        <v>16431</v>
      </c>
      <c r="M25815" t="s">
        <v>231</v>
      </c>
      <c r="N25815" t="str">
        <f>"121704724   "</f>
        <v xml:space="preserve">121704724   </v>
      </c>
      <c r="O25815">
        <v>230825</v>
      </c>
    </row>
    <row r="25816" spans="1:15" x14ac:dyDescent="0.25">
      <c r="A25816" t="s">
        <v>16</v>
      </c>
      <c r="B25816" t="s">
        <v>3221</v>
      </c>
      <c r="C25816">
        <v>10949</v>
      </c>
      <c r="D25816" t="s">
        <v>114</v>
      </c>
      <c r="E25816" t="s">
        <v>115</v>
      </c>
      <c r="F25816">
        <v>69</v>
      </c>
      <c r="G25816">
        <v>230818</v>
      </c>
      <c r="H25816">
        <v>4530</v>
      </c>
      <c r="I25816" t="s">
        <v>342</v>
      </c>
      <c r="J25816">
        <v>85.56</v>
      </c>
      <c r="K25816">
        <v>16.559999999999999</v>
      </c>
      <c r="L25816">
        <v>66722</v>
      </c>
      <c r="M25816" t="s">
        <v>518</v>
      </c>
      <c r="N25816" t="str">
        <f>"121731673   "</f>
        <v xml:space="preserve">121731673   </v>
      </c>
      <c r="O25816">
        <v>230825</v>
      </c>
    </row>
    <row r="25817" spans="1:15" x14ac:dyDescent="0.25">
      <c r="A25817" t="s">
        <v>16</v>
      </c>
      <c r="B25817" t="s">
        <v>3221</v>
      </c>
      <c r="C25817">
        <v>10953</v>
      </c>
      <c r="D25817" t="s">
        <v>114</v>
      </c>
      <c r="E25817" t="s">
        <v>115</v>
      </c>
      <c r="F25817">
        <v>97.1</v>
      </c>
      <c r="G25817">
        <v>230821</v>
      </c>
      <c r="H25817">
        <v>4530</v>
      </c>
      <c r="I25817" t="s">
        <v>342</v>
      </c>
      <c r="J25817">
        <v>120.4</v>
      </c>
      <c r="K25817">
        <v>23.3</v>
      </c>
      <c r="L25817">
        <v>17522</v>
      </c>
      <c r="M25817" t="s">
        <v>451</v>
      </c>
      <c r="N25817" t="str">
        <f>"121739664   "</f>
        <v xml:space="preserve">121739664   </v>
      </c>
      <c r="O25817">
        <v>230825</v>
      </c>
    </row>
    <row r="25818" spans="1:15" x14ac:dyDescent="0.25">
      <c r="A25818" t="s">
        <v>16</v>
      </c>
      <c r="B25818" t="s">
        <v>3221</v>
      </c>
      <c r="C25818">
        <v>10963</v>
      </c>
      <c r="D25818" t="s">
        <v>114</v>
      </c>
      <c r="E25818" t="s">
        <v>115</v>
      </c>
      <c r="F25818">
        <v>88.8</v>
      </c>
      <c r="G25818">
        <v>230823</v>
      </c>
      <c r="H25818">
        <v>4530</v>
      </c>
      <c r="I25818" t="s">
        <v>342</v>
      </c>
      <c r="J25818">
        <v>110.11</v>
      </c>
      <c r="K25818">
        <v>21.31</v>
      </c>
      <c r="L25818">
        <v>46556</v>
      </c>
      <c r="M25818" t="s">
        <v>125</v>
      </c>
      <c r="N25818" t="str">
        <f>"121747025   "</f>
        <v xml:space="preserve">121747025   </v>
      </c>
      <c r="O25818">
        <v>230825</v>
      </c>
    </row>
    <row r="25819" spans="1:15" x14ac:dyDescent="0.25">
      <c r="A25819" t="s">
        <v>16</v>
      </c>
      <c r="B25819" t="s">
        <v>3221</v>
      </c>
      <c r="C25819">
        <v>11037</v>
      </c>
      <c r="D25819" t="s">
        <v>114</v>
      </c>
      <c r="E25819" t="s">
        <v>115</v>
      </c>
      <c r="F25819">
        <v>97.03</v>
      </c>
      <c r="G25819">
        <v>230815</v>
      </c>
      <c r="H25819">
        <v>4530</v>
      </c>
      <c r="I25819" t="s">
        <v>342</v>
      </c>
      <c r="J25819">
        <v>120.32</v>
      </c>
      <c r="K25819">
        <v>23.29</v>
      </c>
      <c r="L25819">
        <v>17521</v>
      </c>
      <c r="M25819" t="s">
        <v>133</v>
      </c>
      <c r="N25819" t="str">
        <f>"121717839   "</f>
        <v xml:space="preserve">121717839   </v>
      </c>
      <c r="O25819">
        <v>230828</v>
      </c>
    </row>
    <row r="25820" spans="1:15" x14ac:dyDescent="0.25">
      <c r="A25820" t="s">
        <v>16</v>
      </c>
      <c r="B25820" t="s">
        <v>3221</v>
      </c>
      <c r="C25820">
        <v>11037</v>
      </c>
      <c r="D25820" t="s">
        <v>114</v>
      </c>
      <c r="E25820" t="s">
        <v>115</v>
      </c>
      <c r="F25820">
        <v>552.91999999999996</v>
      </c>
      <c r="G25820">
        <v>230815</v>
      </c>
      <c r="H25820">
        <v>4530</v>
      </c>
      <c r="I25820" t="s">
        <v>342</v>
      </c>
      <c r="J25820">
        <v>685.62</v>
      </c>
      <c r="K25820">
        <v>132.69999999999999</v>
      </c>
      <c r="L25820">
        <v>17522</v>
      </c>
      <c r="M25820" t="s">
        <v>451</v>
      </c>
      <c r="N25820" t="str">
        <f>"121717839   "</f>
        <v xml:space="preserve">121717839   </v>
      </c>
      <c r="O25820">
        <v>230828</v>
      </c>
    </row>
    <row r="25821" spans="1:15" x14ac:dyDescent="0.25">
      <c r="A25821" t="s">
        <v>16</v>
      </c>
      <c r="B25821" t="s">
        <v>3221</v>
      </c>
      <c r="C25821">
        <v>11082</v>
      </c>
      <c r="D25821" t="s">
        <v>114</v>
      </c>
      <c r="E25821" t="s">
        <v>115</v>
      </c>
      <c r="F25821">
        <v>1484.95</v>
      </c>
      <c r="G25821">
        <v>230825</v>
      </c>
      <c r="H25821">
        <v>4530</v>
      </c>
      <c r="I25821" t="s">
        <v>342</v>
      </c>
      <c r="J25821">
        <v>1841.34</v>
      </c>
      <c r="K25821">
        <v>356.39</v>
      </c>
      <c r="L25821">
        <v>17804</v>
      </c>
      <c r="M25821" t="s">
        <v>549</v>
      </c>
      <c r="N25821" t="str">
        <f>"121759438   "</f>
        <v xml:space="preserve">121759438   </v>
      </c>
      <c r="O25821">
        <v>230830</v>
      </c>
    </row>
    <row r="25822" spans="1:15" x14ac:dyDescent="0.25">
      <c r="A25822" t="s">
        <v>16</v>
      </c>
      <c r="B25822" t="s">
        <v>3221</v>
      </c>
      <c r="C25822">
        <v>11156</v>
      </c>
      <c r="D25822" t="s">
        <v>114</v>
      </c>
      <c r="E25822" t="s">
        <v>115</v>
      </c>
      <c r="F25822">
        <v>204.04</v>
      </c>
      <c r="G25822">
        <v>230829</v>
      </c>
      <c r="H25822">
        <v>4530</v>
      </c>
      <c r="I25822" t="s">
        <v>342</v>
      </c>
      <c r="J25822">
        <v>253.01</v>
      </c>
      <c r="K25822">
        <v>48.97</v>
      </c>
      <c r="L25822">
        <v>14541</v>
      </c>
      <c r="M25822" t="s">
        <v>626</v>
      </c>
      <c r="N25822" t="str">
        <f>"121767080   "</f>
        <v xml:space="preserve">121767080   </v>
      </c>
      <c r="O25822">
        <v>230830</v>
      </c>
    </row>
    <row r="25823" spans="1:15" x14ac:dyDescent="0.25">
      <c r="A25823" t="s">
        <v>16</v>
      </c>
      <c r="B25823" t="s">
        <v>3221</v>
      </c>
      <c r="C25823">
        <v>11187</v>
      </c>
      <c r="D25823" t="s">
        <v>114</v>
      </c>
      <c r="E25823" t="s">
        <v>115</v>
      </c>
      <c r="F25823">
        <v>85.1</v>
      </c>
      <c r="G25823">
        <v>230825</v>
      </c>
      <c r="H25823">
        <v>4530</v>
      </c>
      <c r="I25823" t="s">
        <v>342</v>
      </c>
      <c r="J25823">
        <v>105.52</v>
      </c>
      <c r="K25823">
        <v>20.420000000000002</v>
      </c>
      <c r="L25823">
        <v>17526</v>
      </c>
      <c r="M25823" t="s">
        <v>437</v>
      </c>
      <c r="N25823" t="str">
        <f>"121759587   "</f>
        <v xml:space="preserve">121759587   </v>
      </c>
      <c r="O25823">
        <v>230831</v>
      </c>
    </row>
    <row r="25824" spans="1:15" x14ac:dyDescent="0.25">
      <c r="A25824" t="s">
        <v>16</v>
      </c>
      <c r="B25824" t="s">
        <v>3221</v>
      </c>
      <c r="C25824">
        <v>11215</v>
      </c>
      <c r="D25824" t="s">
        <v>114</v>
      </c>
      <c r="E25824" t="s">
        <v>115</v>
      </c>
      <c r="F25824">
        <v>66.06</v>
      </c>
      <c r="G25824">
        <v>230814</v>
      </c>
      <c r="H25824">
        <v>4530</v>
      </c>
      <c r="I25824" t="s">
        <v>342</v>
      </c>
      <c r="J25824">
        <v>81.91</v>
      </c>
      <c r="K25824">
        <v>15.85</v>
      </c>
      <c r="L25824">
        <v>17802</v>
      </c>
      <c r="M25824" t="s">
        <v>174</v>
      </c>
      <c r="N25824" t="str">
        <f>"121709308   "</f>
        <v xml:space="preserve">121709308   </v>
      </c>
      <c r="O25824">
        <v>230901</v>
      </c>
    </row>
    <row r="25825" spans="1:15" x14ac:dyDescent="0.25">
      <c r="A25825" t="s">
        <v>16</v>
      </c>
      <c r="B25825" t="s">
        <v>3221</v>
      </c>
      <c r="C25825">
        <v>11227</v>
      </c>
      <c r="D25825" t="s">
        <v>114</v>
      </c>
      <c r="E25825" t="s">
        <v>115</v>
      </c>
      <c r="F25825">
        <v>36</v>
      </c>
      <c r="G25825">
        <v>230829</v>
      </c>
      <c r="H25825">
        <v>4530</v>
      </c>
      <c r="I25825" t="s">
        <v>342</v>
      </c>
      <c r="J25825">
        <v>44.64</v>
      </c>
      <c r="K25825">
        <v>8.64</v>
      </c>
      <c r="L25825">
        <v>46554</v>
      </c>
      <c r="M25825" t="s">
        <v>117</v>
      </c>
      <c r="N25825" t="str">
        <f>"121766504   "</f>
        <v xml:space="preserve">121766504   </v>
      </c>
      <c r="O25825">
        <v>230901</v>
      </c>
    </row>
    <row r="25826" spans="1:15" x14ac:dyDescent="0.25">
      <c r="A25826" t="s">
        <v>16</v>
      </c>
      <c r="B25826" t="s">
        <v>3221</v>
      </c>
      <c r="C25826">
        <v>11268</v>
      </c>
      <c r="D25826" t="s">
        <v>114</v>
      </c>
      <c r="E25826" t="s">
        <v>115</v>
      </c>
      <c r="F25826">
        <v>67</v>
      </c>
      <c r="G25826">
        <v>230823</v>
      </c>
      <c r="H25826">
        <v>4530</v>
      </c>
      <c r="I25826" t="s">
        <v>342</v>
      </c>
      <c r="J25826">
        <v>83.08</v>
      </c>
      <c r="K25826">
        <v>16.079999999999998</v>
      </c>
      <c r="L25826">
        <v>17535</v>
      </c>
      <c r="M25826" t="s">
        <v>357</v>
      </c>
      <c r="N25826" t="str">
        <f>"121747240   "</f>
        <v xml:space="preserve">121747240   </v>
      </c>
      <c r="O25826">
        <v>230904</v>
      </c>
    </row>
    <row r="25827" spans="1:15" x14ac:dyDescent="0.25">
      <c r="A25827" t="s">
        <v>16</v>
      </c>
      <c r="B25827" t="s">
        <v>3221</v>
      </c>
      <c r="C25827">
        <v>11411</v>
      </c>
      <c r="D25827" t="s">
        <v>114</v>
      </c>
      <c r="E25827" t="s">
        <v>115</v>
      </c>
      <c r="F25827">
        <v>33</v>
      </c>
      <c r="G25827">
        <v>230831</v>
      </c>
      <c r="H25827">
        <v>4530</v>
      </c>
      <c r="I25827" t="s">
        <v>342</v>
      </c>
      <c r="J25827">
        <v>40.92</v>
      </c>
      <c r="K25827">
        <v>7.92</v>
      </c>
      <c r="L25827">
        <v>54622</v>
      </c>
      <c r="M25827" t="s">
        <v>872</v>
      </c>
      <c r="N25827" t="str">
        <f>"121776898   "</f>
        <v xml:space="preserve">121776898   </v>
      </c>
      <c r="O25827">
        <v>230905</v>
      </c>
    </row>
    <row r="25828" spans="1:15" x14ac:dyDescent="0.25">
      <c r="A25828" t="s">
        <v>16</v>
      </c>
      <c r="B25828" t="s">
        <v>3221</v>
      </c>
      <c r="C25828">
        <v>11411</v>
      </c>
      <c r="D25828" t="s">
        <v>114</v>
      </c>
      <c r="E25828" t="s">
        <v>115</v>
      </c>
      <c r="F25828">
        <v>654.98</v>
      </c>
      <c r="G25828">
        <v>230831</v>
      </c>
      <c r="H25828">
        <v>4530</v>
      </c>
      <c r="I25828" t="s">
        <v>342</v>
      </c>
      <c r="J25828">
        <v>812.18</v>
      </c>
      <c r="K25828">
        <v>157.19999999999999</v>
      </c>
      <c r="L25828">
        <v>55222</v>
      </c>
      <c r="M25828" t="s">
        <v>873</v>
      </c>
      <c r="N25828" t="str">
        <f>"121776898   "</f>
        <v xml:space="preserve">121776898   </v>
      </c>
      <c r="O25828">
        <v>230905</v>
      </c>
    </row>
    <row r="25829" spans="1:15" x14ac:dyDescent="0.25">
      <c r="A25829" t="s">
        <v>16</v>
      </c>
      <c r="B25829" t="s">
        <v>3221</v>
      </c>
      <c r="C25829">
        <v>11411</v>
      </c>
      <c r="D25829" t="s">
        <v>114</v>
      </c>
      <c r="E25829" t="s">
        <v>115</v>
      </c>
      <c r="F25829">
        <v>132</v>
      </c>
      <c r="G25829">
        <v>230831</v>
      </c>
      <c r="H25829">
        <v>4530</v>
      </c>
      <c r="I25829" t="s">
        <v>342</v>
      </c>
      <c r="J25829">
        <v>163.68</v>
      </c>
      <c r="K25829">
        <v>31.68</v>
      </c>
      <c r="L25829">
        <v>55222</v>
      </c>
      <c r="M25829" t="s">
        <v>873</v>
      </c>
      <c r="N25829" t="str">
        <f>"121776898   "</f>
        <v xml:space="preserve">121776898   </v>
      </c>
      <c r="O25829">
        <v>230905</v>
      </c>
    </row>
    <row r="25830" spans="1:15" x14ac:dyDescent="0.25">
      <c r="A25830" t="s">
        <v>16</v>
      </c>
      <c r="B25830" t="s">
        <v>3221</v>
      </c>
      <c r="C25830">
        <v>11424</v>
      </c>
      <c r="D25830" t="s">
        <v>114</v>
      </c>
      <c r="E25830" t="s">
        <v>115</v>
      </c>
      <c r="F25830">
        <v>198.02</v>
      </c>
      <c r="G25830">
        <v>230831</v>
      </c>
      <c r="H25830">
        <v>4530</v>
      </c>
      <c r="I25830" t="s">
        <v>342</v>
      </c>
      <c r="J25830">
        <v>245.54</v>
      </c>
      <c r="K25830">
        <v>47.52</v>
      </c>
      <c r="L25830">
        <v>56565</v>
      </c>
      <c r="M25830" t="s">
        <v>758</v>
      </c>
      <c r="N25830" t="str">
        <f>"121776903   "</f>
        <v xml:space="preserve">121776903   </v>
      </c>
      <c r="O25830">
        <v>230905</v>
      </c>
    </row>
    <row r="25831" spans="1:15" x14ac:dyDescent="0.25">
      <c r="A25831" t="s">
        <v>16</v>
      </c>
      <c r="B25831" t="s">
        <v>3221</v>
      </c>
      <c r="C25831">
        <v>11560</v>
      </c>
      <c r="D25831" t="s">
        <v>114</v>
      </c>
      <c r="E25831" t="s">
        <v>115</v>
      </c>
      <c r="F25831">
        <v>469</v>
      </c>
      <c r="G25831">
        <v>230831</v>
      </c>
      <c r="H25831">
        <v>4530</v>
      </c>
      <c r="I25831" t="s">
        <v>342</v>
      </c>
      <c r="J25831">
        <v>581.55999999999995</v>
      </c>
      <c r="K25831">
        <v>112.56</v>
      </c>
      <c r="L25831">
        <v>54422</v>
      </c>
      <c r="M25831" t="s">
        <v>234</v>
      </c>
      <c r="N25831" t="str">
        <f>"121776910   "</f>
        <v xml:space="preserve">121776910   </v>
      </c>
      <c r="O25831">
        <v>230907</v>
      </c>
    </row>
    <row r="25832" spans="1:15" x14ac:dyDescent="0.25">
      <c r="A25832" t="s">
        <v>16</v>
      </c>
      <c r="B25832" t="s">
        <v>3221</v>
      </c>
      <c r="C25832">
        <v>11562</v>
      </c>
      <c r="D25832" t="s">
        <v>114</v>
      </c>
      <c r="E25832" t="s">
        <v>115</v>
      </c>
      <c r="F25832">
        <v>1640.2</v>
      </c>
      <c r="G25832">
        <v>230831</v>
      </c>
      <c r="H25832">
        <v>4530</v>
      </c>
      <c r="I25832" t="s">
        <v>342</v>
      </c>
      <c r="J25832">
        <v>2033.85</v>
      </c>
      <c r="K25832">
        <v>393.65</v>
      </c>
      <c r="L25832">
        <v>56562</v>
      </c>
      <c r="M25832" t="s">
        <v>126</v>
      </c>
      <c r="N25832" t="str">
        <f>"121776901   "</f>
        <v xml:space="preserve">121776901   </v>
      </c>
      <c r="O25832">
        <v>230907</v>
      </c>
    </row>
    <row r="25833" spans="1:15" x14ac:dyDescent="0.25">
      <c r="A25833" t="s">
        <v>16</v>
      </c>
      <c r="B25833" t="s">
        <v>3221</v>
      </c>
      <c r="C25833">
        <v>11563</v>
      </c>
      <c r="D25833" t="s">
        <v>114</v>
      </c>
      <c r="E25833" t="s">
        <v>115</v>
      </c>
      <c r="F25833">
        <v>2039.92</v>
      </c>
      <c r="G25833">
        <v>230831</v>
      </c>
      <c r="H25833">
        <v>4530</v>
      </c>
      <c r="I25833" t="s">
        <v>342</v>
      </c>
      <c r="J25833">
        <v>2529.5</v>
      </c>
      <c r="K25833">
        <v>489.58</v>
      </c>
      <c r="L25833">
        <v>56558</v>
      </c>
      <c r="M25833" t="s">
        <v>217</v>
      </c>
      <c r="N25833" t="str">
        <f>"121776899   "</f>
        <v xml:space="preserve">121776899   </v>
      </c>
      <c r="O25833">
        <v>230907</v>
      </c>
    </row>
    <row r="25834" spans="1:15" x14ac:dyDescent="0.25">
      <c r="A25834" t="s">
        <v>16</v>
      </c>
      <c r="B25834" t="s">
        <v>3221</v>
      </c>
      <c r="C25834">
        <v>11662</v>
      </c>
      <c r="D25834" t="s">
        <v>114</v>
      </c>
      <c r="E25834" t="s">
        <v>115</v>
      </c>
      <c r="F25834">
        <v>551.05999999999995</v>
      </c>
      <c r="G25834">
        <v>230814</v>
      </c>
      <c r="H25834">
        <v>4530</v>
      </c>
      <c r="I25834" t="s">
        <v>342</v>
      </c>
      <c r="J25834">
        <v>683.31</v>
      </c>
      <c r="K25834">
        <v>132.25</v>
      </c>
      <c r="L25834">
        <v>17521</v>
      </c>
      <c r="M25834" t="s">
        <v>133</v>
      </c>
      <c r="N25834" t="str">
        <f>"121707162   "</f>
        <v xml:space="preserve">121707162   </v>
      </c>
      <c r="O25834">
        <v>230908</v>
      </c>
    </row>
    <row r="25835" spans="1:15" x14ac:dyDescent="0.25">
      <c r="A25835" t="s">
        <v>16</v>
      </c>
      <c r="B25835" t="s">
        <v>3221</v>
      </c>
      <c r="C25835">
        <v>11662</v>
      </c>
      <c r="D25835" t="s">
        <v>114</v>
      </c>
      <c r="E25835" t="s">
        <v>115</v>
      </c>
      <c r="F25835">
        <v>619.66999999999996</v>
      </c>
      <c r="G25835">
        <v>230814</v>
      </c>
      <c r="H25835">
        <v>4530</v>
      </c>
      <c r="I25835" t="s">
        <v>342</v>
      </c>
      <c r="J25835">
        <v>768.39</v>
      </c>
      <c r="K25835">
        <v>148.72</v>
      </c>
      <c r="L25835">
        <v>17522</v>
      </c>
      <c r="M25835" t="s">
        <v>451</v>
      </c>
      <c r="N25835" t="str">
        <f>"121707162   "</f>
        <v xml:space="preserve">121707162   </v>
      </c>
      <c r="O25835">
        <v>230908</v>
      </c>
    </row>
    <row r="25836" spans="1:15" x14ac:dyDescent="0.25">
      <c r="A25836" t="s">
        <v>16</v>
      </c>
      <c r="B25836" t="s">
        <v>3221</v>
      </c>
      <c r="C25836">
        <v>11662</v>
      </c>
      <c r="D25836" t="s">
        <v>114</v>
      </c>
      <c r="E25836" t="s">
        <v>115</v>
      </c>
      <c r="F25836">
        <v>618.35</v>
      </c>
      <c r="G25836">
        <v>230814</v>
      </c>
      <c r="H25836">
        <v>4530</v>
      </c>
      <c r="I25836" t="s">
        <v>342</v>
      </c>
      <c r="J25836">
        <v>766.76</v>
      </c>
      <c r="K25836">
        <v>148.41</v>
      </c>
      <c r="L25836">
        <v>17523</v>
      </c>
      <c r="M25836" t="s">
        <v>134</v>
      </c>
      <c r="N25836" t="str">
        <f>"121707162   "</f>
        <v xml:space="preserve">121707162   </v>
      </c>
      <c r="O25836">
        <v>230908</v>
      </c>
    </row>
    <row r="25837" spans="1:15" x14ac:dyDescent="0.25">
      <c r="A25837" t="s">
        <v>16</v>
      </c>
      <c r="B25837" t="s">
        <v>3221</v>
      </c>
      <c r="C25837">
        <v>11662</v>
      </c>
      <c r="D25837" t="s">
        <v>114</v>
      </c>
      <c r="E25837" t="s">
        <v>115</v>
      </c>
      <c r="F25837">
        <v>692.11</v>
      </c>
      <c r="G25837">
        <v>230814</v>
      </c>
      <c r="H25837">
        <v>4530</v>
      </c>
      <c r="I25837" t="s">
        <v>342</v>
      </c>
      <c r="J25837">
        <v>858.22</v>
      </c>
      <c r="K25837">
        <v>166.11</v>
      </c>
      <c r="L25837">
        <v>17527</v>
      </c>
      <c r="M25837" t="s">
        <v>422</v>
      </c>
      <c r="N25837" t="str">
        <f>"121707162   "</f>
        <v xml:space="preserve">121707162   </v>
      </c>
      <c r="O25837">
        <v>230908</v>
      </c>
    </row>
    <row r="25838" spans="1:15" x14ac:dyDescent="0.25">
      <c r="A25838" t="s">
        <v>16</v>
      </c>
      <c r="B25838" t="s">
        <v>3221</v>
      </c>
      <c r="C25838">
        <v>11662</v>
      </c>
      <c r="D25838" t="s">
        <v>114</v>
      </c>
      <c r="E25838" t="s">
        <v>115</v>
      </c>
      <c r="F25838">
        <v>759.94</v>
      </c>
      <c r="G25838">
        <v>230814</v>
      </c>
      <c r="H25838">
        <v>4530</v>
      </c>
      <c r="I25838" t="s">
        <v>342</v>
      </c>
      <c r="J25838">
        <v>942.33</v>
      </c>
      <c r="K25838">
        <v>182.39</v>
      </c>
      <c r="L25838">
        <v>17527</v>
      </c>
      <c r="M25838" t="s">
        <v>422</v>
      </c>
      <c r="N25838" t="str">
        <f>"121707162   "</f>
        <v xml:space="preserve">121707162   </v>
      </c>
      <c r="O25838">
        <v>230908</v>
      </c>
    </row>
    <row r="25839" spans="1:15" x14ac:dyDescent="0.25">
      <c r="A25839" t="s">
        <v>16</v>
      </c>
      <c r="B25839" t="s">
        <v>3221</v>
      </c>
      <c r="C25839">
        <v>11747</v>
      </c>
      <c r="D25839" t="s">
        <v>114</v>
      </c>
      <c r="E25839" t="s">
        <v>115</v>
      </c>
      <c r="F25839">
        <v>87</v>
      </c>
      <c r="G25839">
        <v>230904</v>
      </c>
      <c r="H25839">
        <v>4530</v>
      </c>
      <c r="I25839" t="s">
        <v>342</v>
      </c>
      <c r="J25839">
        <v>107.88</v>
      </c>
      <c r="K25839">
        <v>20.88</v>
      </c>
      <c r="L25839">
        <v>47522</v>
      </c>
      <c r="M25839" t="s">
        <v>410</v>
      </c>
      <c r="N25839" t="str">
        <f>"121805880   "</f>
        <v xml:space="preserve">121805880   </v>
      </c>
      <c r="O25839">
        <v>230908</v>
      </c>
    </row>
    <row r="25840" spans="1:15" x14ac:dyDescent="0.25">
      <c r="A25840" t="s">
        <v>16</v>
      </c>
      <c r="B25840" t="s">
        <v>3221</v>
      </c>
      <c r="C25840">
        <v>11748</v>
      </c>
      <c r="D25840" t="s">
        <v>114</v>
      </c>
      <c r="E25840" t="s">
        <v>115</v>
      </c>
      <c r="F25840">
        <v>254</v>
      </c>
      <c r="G25840">
        <v>230905</v>
      </c>
      <c r="H25840">
        <v>4530</v>
      </c>
      <c r="I25840" t="s">
        <v>342</v>
      </c>
      <c r="J25840">
        <v>314.95999999999998</v>
      </c>
      <c r="K25840">
        <v>60.96</v>
      </c>
      <c r="L25840">
        <v>47522</v>
      </c>
      <c r="M25840" t="s">
        <v>410</v>
      </c>
      <c r="N25840" t="str">
        <f>"121808174   "</f>
        <v xml:space="preserve">121808174   </v>
      </c>
      <c r="O25840">
        <v>230908</v>
      </c>
    </row>
    <row r="25841" spans="1:15" x14ac:dyDescent="0.25">
      <c r="A25841" t="s">
        <v>16</v>
      </c>
      <c r="B25841" t="s">
        <v>3221</v>
      </c>
      <c r="C25841">
        <v>11931</v>
      </c>
      <c r="D25841" t="s">
        <v>114</v>
      </c>
      <c r="E25841" t="s">
        <v>115</v>
      </c>
      <c r="F25841">
        <v>102.02</v>
      </c>
      <c r="G25841">
        <v>230831</v>
      </c>
      <c r="H25841">
        <v>4530</v>
      </c>
      <c r="I25841" t="s">
        <v>342</v>
      </c>
      <c r="J25841">
        <v>126.5</v>
      </c>
      <c r="K25841">
        <v>24.48</v>
      </c>
      <c r="L25841">
        <v>14541</v>
      </c>
      <c r="M25841" t="s">
        <v>626</v>
      </c>
      <c r="N25841" t="str">
        <f>"121793176   "</f>
        <v xml:space="preserve">121793176   </v>
      </c>
      <c r="O25841">
        <v>230912</v>
      </c>
    </row>
    <row r="25842" spans="1:15" x14ac:dyDescent="0.25">
      <c r="A25842" t="s">
        <v>16</v>
      </c>
      <c r="B25842" t="s">
        <v>3221</v>
      </c>
      <c r="C25842">
        <v>11949</v>
      </c>
      <c r="D25842" t="s">
        <v>114</v>
      </c>
      <c r="E25842" t="s">
        <v>115</v>
      </c>
      <c r="F25842">
        <v>83</v>
      </c>
      <c r="G25842">
        <v>230907</v>
      </c>
      <c r="H25842">
        <v>4530</v>
      </c>
      <c r="I25842" t="s">
        <v>342</v>
      </c>
      <c r="J25842">
        <v>102.92</v>
      </c>
      <c r="K25842">
        <v>19.920000000000002</v>
      </c>
      <c r="L25842">
        <v>14422</v>
      </c>
      <c r="M25842" t="s">
        <v>228</v>
      </c>
      <c r="N25842" t="str">
        <f>"121819816   "</f>
        <v xml:space="preserve">121819816   </v>
      </c>
      <c r="O25842">
        <v>230912</v>
      </c>
    </row>
    <row r="25843" spans="1:15" x14ac:dyDescent="0.25">
      <c r="A25843" t="s">
        <v>16</v>
      </c>
      <c r="B25843" t="s">
        <v>3221</v>
      </c>
      <c r="C25843">
        <v>12015</v>
      </c>
      <c r="D25843" t="s">
        <v>114</v>
      </c>
      <c r="E25843" t="s">
        <v>115</v>
      </c>
      <c r="F25843">
        <v>316.69</v>
      </c>
      <c r="G25843">
        <v>230904</v>
      </c>
      <c r="H25843">
        <v>4530</v>
      </c>
      <c r="I25843" t="s">
        <v>342</v>
      </c>
      <c r="J25843">
        <v>392.7</v>
      </c>
      <c r="K25843">
        <v>76.010000000000005</v>
      </c>
      <c r="L25843">
        <v>69501</v>
      </c>
      <c r="M25843" t="s">
        <v>185</v>
      </c>
      <c r="N25843" t="str">
        <f>"121807502   "</f>
        <v xml:space="preserve">121807502   </v>
      </c>
      <c r="O25843">
        <v>230912</v>
      </c>
    </row>
    <row r="25844" spans="1:15" x14ac:dyDescent="0.25">
      <c r="A25844" t="s">
        <v>16</v>
      </c>
      <c r="B25844" t="s">
        <v>3221</v>
      </c>
      <c r="C25844">
        <v>12095</v>
      </c>
      <c r="D25844" t="s">
        <v>114</v>
      </c>
      <c r="E25844" t="s">
        <v>115</v>
      </c>
      <c r="F25844">
        <v>83</v>
      </c>
      <c r="G25844">
        <v>230911</v>
      </c>
      <c r="H25844">
        <v>4530</v>
      </c>
      <c r="I25844" t="s">
        <v>342</v>
      </c>
      <c r="J25844">
        <v>102.92</v>
      </c>
      <c r="K25844">
        <v>19.920000000000002</v>
      </c>
      <c r="L25844">
        <v>69113</v>
      </c>
      <c r="M25844" t="s">
        <v>282</v>
      </c>
      <c r="N25844" t="str">
        <f>"121831715   "</f>
        <v xml:space="preserve">121831715   </v>
      </c>
      <c r="O25844">
        <v>230913</v>
      </c>
    </row>
    <row r="25845" spans="1:15" x14ac:dyDescent="0.25">
      <c r="A25845" t="s">
        <v>16</v>
      </c>
      <c r="B25845" t="s">
        <v>3221</v>
      </c>
      <c r="C25845">
        <v>12186</v>
      </c>
      <c r="D25845" t="s">
        <v>114</v>
      </c>
      <c r="E25845" t="s">
        <v>115</v>
      </c>
      <c r="F25845">
        <v>340.4</v>
      </c>
      <c r="G25845">
        <v>230911</v>
      </c>
      <c r="H25845">
        <v>4530</v>
      </c>
      <c r="I25845" t="s">
        <v>342</v>
      </c>
      <c r="J25845">
        <v>422.1</v>
      </c>
      <c r="K25845">
        <v>81.7</v>
      </c>
      <c r="L25845">
        <v>47522</v>
      </c>
      <c r="M25845" t="s">
        <v>410</v>
      </c>
      <c r="N25845" t="str">
        <f>"121827850   "</f>
        <v xml:space="preserve">121827850   </v>
      </c>
      <c r="O25845">
        <v>230915</v>
      </c>
    </row>
    <row r="25846" spans="1:15" x14ac:dyDescent="0.25">
      <c r="A25846" t="s">
        <v>16</v>
      </c>
      <c r="B25846" t="s">
        <v>3221</v>
      </c>
      <c r="C25846">
        <v>12260</v>
      </c>
      <c r="D25846" t="s">
        <v>114</v>
      </c>
      <c r="E25846" t="s">
        <v>115</v>
      </c>
      <c r="F25846">
        <v>33</v>
      </c>
      <c r="G25846">
        <v>230831</v>
      </c>
      <c r="H25846">
        <v>4530</v>
      </c>
      <c r="I25846" t="s">
        <v>342</v>
      </c>
      <c r="J25846">
        <v>40.92</v>
      </c>
      <c r="K25846">
        <v>7.92</v>
      </c>
      <c r="L25846">
        <v>54622</v>
      </c>
      <c r="M25846" t="s">
        <v>872</v>
      </c>
      <c r="N25846" t="str">
        <f t="shared" ref="N25846:N25851" si="488">"121776904   "</f>
        <v xml:space="preserve">121776904   </v>
      </c>
      <c r="O25846">
        <v>230918</v>
      </c>
    </row>
    <row r="25847" spans="1:15" x14ac:dyDescent="0.25">
      <c r="A25847" t="s">
        <v>16</v>
      </c>
      <c r="B25847" t="s">
        <v>3221</v>
      </c>
      <c r="C25847">
        <v>12260</v>
      </c>
      <c r="D25847" t="s">
        <v>114</v>
      </c>
      <c r="E25847" t="s">
        <v>115</v>
      </c>
      <c r="F25847">
        <v>627</v>
      </c>
      <c r="G25847">
        <v>230831</v>
      </c>
      <c r="H25847">
        <v>4530</v>
      </c>
      <c r="I25847" t="s">
        <v>342</v>
      </c>
      <c r="J25847">
        <v>777.48</v>
      </c>
      <c r="K25847">
        <v>150.47999999999999</v>
      </c>
      <c r="L25847">
        <v>56559</v>
      </c>
      <c r="M25847" t="s">
        <v>129</v>
      </c>
      <c r="N25847" t="str">
        <f t="shared" si="488"/>
        <v xml:space="preserve">121776904   </v>
      </c>
      <c r="O25847">
        <v>230918</v>
      </c>
    </row>
    <row r="25848" spans="1:15" x14ac:dyDescent="0.25">
      <c r="A25848" t="s">
        <v>16</v>
      </c>
      <c r="B25848" t="s">
        <v>3221</v>
      </c>
      <c r="C25848">
        <v>12260</v>
      </c>
      <c r="D25848" t="s">
        <v>114</v>
      </c>
      <c r="E25848" t="s">
        <v>115</v>
      </c>
      <c r="F25848">
        <v>340</v>
      </c>
      <c r="G25848">
        <v>230831</v>
      </c>
      <c r="H25848">
        <v>4530</v>
      </c>
      <c r="I25848" t="s">
        <v>342</v>
      </c>
      <c r="J25848">
        <v>421.6</v>
      </c>
      <c r="K25848">
        <v>81.599999999999994</v>
      </c>
      <c r="L25848">
        <v>56561</v>
      </c>
      <c r="M25848" t="s">
        <v>358</v>
      </c>
      <c r="N25848" t="str">
        <f t="shared" si="488"/>
        <v xml:space="preserve">121776904   </v>
      </c>
      <c r="O25848">
        <v>230918</v>
      </c>
    </row>
    <row r="25849" spans="1:15" x14ac:dyDescent="0.25">
      <c r="A25849" t="s">
        <v>16</v>
      </c>
      <c r="B25849" t="s">
        <v>3221</v>
      </c>
      <c r="C25849">
        <v>12260</v>
      </c>
      <c r="D25849" t="s">
        <v>114</v>
      </c>
      <c r="E25849" t="s">
        <v>115</v>
      </c>
      <c r="F25849">
        <v>207</v>
      </c>
      <c r="G25849">
        <v>230831</v>
      </c>
      <c r="H25849">
        <v>4530</v>
      </c>
      <c r="I25849" t="s">
        <v>342</v>
      </c>
      <c r="J25849">
        <v>256.68</v>
      </c>
      <c r="K25849">
        <v>49.68</v>
      </c>
      <c r="L25849">
        <v>56563</v>
      </c>
      <c r="M25849" t="s">
        <v>953</v>
      </c>
      <c r="N25849" t="str">
        <f t="shared" si="488"/>
        <v xml:space="preserve">121776904   </v>
      </c>
      <c r="O25849">
        <v>230918</v>
      </c>
    </row>
    <row r="25850" spans="1:15" x14ac:dyDescent="0.25">
      <c r="A25850" t="s">
        <v>16</v>
      </c>
      <c r="B25850" t="s">
        <v>3221</v>
      </c>
      <c r="C25850">
        <v>12260</v>
      </c>
      <c r="D25850" t="s">
        <v>114</v>
      </c>
      <c r="E25850" t="s">
        <v>115</v>
      </c>
      <c r="F25850">
        <v>97</v>
      </c>
      <c r="G25850">
        <v>230831</v>
      </c>
      <c r="H25850">
        <v>4530</v>
      </c>
      <c r="I25850" t="s">
        <v>342</v>
      </c>
      <c r="J25850">
        <v>120.28</v>
      </c>
      <c r="K25850">
        <v>23.28</v>
      </c>
      <c r="L25850">
        <v>56564</v>
      </c>
      <c r="M25850" t="s">
        <v>327</v>
      </c>
      <c r="N25850" t="str">
        <f t="shared" si="488"/>
        <v xml:space="preserve">121776904   </v>
      </c>
      <c r="O25850">
        <v>230918</v>
      </c>
    </row>
    <row r="25851" spans="1:15" x14ac:dyDescent="0.25">
      <c r="A25851" t="s">
        <v>16</v>
      </c>
      <c r="B25851" t="s">
        <v>3221</v>
      </c>
      <c r="C25851">
        <v>12260</v>
      </c>
      <c r="D25851" t="s">
        <v>114</v>
      </c>
      <c r="E25851" t="s">
        <v>115</v>
      </c>
      <c r="F25851">
        <v>496</v>
      </c>
      <c r="G25851">
        <v>230831</v>
      </c>
      <c r="H25851">
        <v>4530</v>
      </c>
      <c r="I25851" t="s">
        <v>342</v>
      </c>
      <c r="J25851">
        <v>615.04</v>
      </c>
      <c r="K25851">
        <v>119.04</v>
      </c>
      <c r="L25851">
        <v>56564</v>
      </c>
      <c r="M25851" t="s">
        <v>327</v>
      </c>
      <c r="N25851" t="str">
        <f t="shared" si="488"/>
        <v xml:space="preserve">121776904   </v>
      </c>
      <c r="O25851">
        <v>230918</v>
      </c>
    </row>
    <row r="25852" spans="1:15" x14ac:dyDescent="0.25">
      <c r="A25852" t="s">
        <v>16</v>
      </c>
      <c r="B25852" t="s">
        <v>3221</v>
      </c>
      <c r="C25852">
        <v>12377</v>
      </c>
      <c r="D25852" t="s">
        <v>114</v>
      </c>
      <c r="E25852" t="s">
        <v>115</v>
      </c>
      <c r="F25852">
        <v>991.29</v>
      </c>
      <c r="G25852">
        <v>230831</v>
      </c>
      <c r="H25852">
        <v>4530</v>
      </c>
      <c r="I25852" t="s">
        <v>342</v>
      </c>
      <c r="J25852">
        <v>1229.2</v>
      </c>
      <c r="K25852">
        <v>237.91</v>
      </c>
      <c r="L25852">
        <v>56560</v>
      </c>
      <c r="M25852" t="s">
        <v>654</v>
      </c>
      <c r="N25852" t="str">
        <f>"121776902   "</f>
        <v xml:space="preserve">121776902   </v>
      </c>
      <c r="O25852">
        <v>230919</v>
      </c>
    </row>
    <row r="25853" spans="1:15" x14ac:dyDescent="0.25">
      <c r="A25853" t="s">
        <v>16</v>
      </c>
      <c r="B25853" t="s">
        <v>3221</v>
      </c>
      <c r="C25853">
        <v>12410</v>
      </c>
      <c r="D25853" t="s">
        <v>114</v>
      </c>
      <c r="E25853" t="s">
        <v>115</v>
      </c>
      <c r="F25853">
        <v>33</v>
      </c>
      <c r="G25853">
        <v>230907</v>
      </c>
      <c r="H25853">
        <v>4530</v>
      </c>
      <c r="I25853" t="s">
        <v>342</v>
      </c>
      <c r="J25853">
        <v>40.92</v>
      </c>
      <c r="K25853">
        <v>7.92</v>
      </c>
      <c r="L25853">
        <v>46556</v>
      </c>
      <c r="M25853" t="s">
        <v>125</v>
      </c>
      <c r="N25853" t="str">
        <f>"121818124   "</f>
        <v xml:space="preserve">121818124   </v>
      </c>
      <c r="O25853">
        <v>230919</v>
      </c>
    </row>
    <row r="25854" spans="1:15" x14ac:dyDescent="0.25">
      <c r="A25854" t="s">
        <v>16</v>
      </c>
      <c r="B25854" t="s">
        <v>3221</v>
      </c>
      <c r="C25854">
        <v>12472</v>
      </c>
      <c r="D25854" t="s">
        <v>114</v>
      </c>
      <c r="E25854" t="s">
        <v>115</v>
      </c>
      <c r="F25854">
        <v>-66</v>
      </c>
      <c r="G25854">
        <v>230906</v>
      </c>
      <c r="H25854">
        <v>4530</v>
      </c>
      <c r="I25854" t="s">
        <v>342</v>
      </c>
      <c r="J25854">
        <v>-81.84</v>
      </c>
      <c r="K25854">
        <v>-15.84</v>
      </c>
      <c r="L25854">
        <v>17527</v>
      </c>
      <c r="M25854" t="s">
        <v>422</v>
      </c>
      <c r="N25854" t="str">
        <f>"95453599    "</f>
        <v xml:space="preserve">95453599    </v>
      </c>
      <c r="O25854">
        <v>230920</v>
      </c>
    </row>
    <row r="25855" spans="1:15" x14ac:dyDescent="0.25">
      <c r="A25855" t="s">
        <v>16</v>
      </c>
      <c r="B25855" t="s">
        <v>3221</v>
      </c>
      <c r="C25855">
        <v>12513</v>
      </c>
      <c r="D25855" t="s">
        <v>114</v>
      </c>
      <c r="E25855" t="s">
        <v>115</v>
      </c>
      <c r="F25855">
        <v>3548.28</v>
      </c>
      <c r="G25855">
        <v>230912</v>
      </c>
      <c r="H25855">
        <v>4530</v>
      </c>
      <c r="I25855" t="s">
        <v>342</v>
      </c>
      <c r="J25855">
        <v>4399.87</v>
      </c>
      <c r="K25855">
        <v>851.59</v>
      </c>
      <c r="L25855">
        <v>17807</v>
      </c>
      <c r="M25855" t="s">
        <v>318</v>
      </c>
      <c r="N25855" t="str">
        <f>"121833333   "</f>
        <v xml:space="preserve">121833333   </v>
      </c>
      <c r="O25855">
        <v>230920</v>
      </c>
    </row>
    <row r="25856" spans="1:15" x14ac:dyDescent="0.25">
      <c r="A25856" t="s">
        <v>16</v>
      </c>
      <c r="B25856" t="s">
        <v>3221</v>
      </c>
      <c r="C25856">
        <v>12514</v>
      </c>
      <c r="D25856" t="s">
        <v>114</v>
      </c>
      <c r="E25856" t="s">
        <v>115</v>
      </c>
      <c r="F25856">
        <v>66.36</v>
      </c>
      <c r="G25856">
        <v>230913</v>
      </c>
      <c r="H25856">
        <v>4530</v>
      </c>
      <c r="I25856" t="s">
        <v>342</v>
      </c>
      <c r="J25856">
        <v>82.29</v>
      </c>
      <c r="K25856">
        <v>15.93</v>
      </c>
      <c r="L25856">
        <v>17805</v>
      </c>
      <c r="M25856" t="s">
        <v>102</v>
      </c>
      <c r="N25856" t="str">
        <f>"121836435   "</f>
        <v xml:space="preserve">121836435   </v>
      </c>
      <c r="O25856">
        <v>230920</v>
      </c>
    </row>
    <row r="25857" spans="1:15" x14ac:dyDescent="0.25">
      <c r="A25857" t="s">
        <v>16</v>
      </c>
      <c r="B25857" t="s">
        <v>3221</v>
      </c>
      <c r="C25857">
        <v>12520</v>
      </c>
      <c r="D25857" t="s">
        <v>114</v>
      </c>
      <c r="E25857" t="s">
        <v>115</v>
      </c>
      <c r="F25857">
        <v>485.78</v>
      </c>
      <c r="G25857">
        <v>230913</v>
      </c>
      <c r="H25857">
        <v>4530</v>
      </c>
      <c r="I25857" t="s">
        <v>342</v>
      </c>
      <c r="J25857">
        <v>602.37</v>
      </c>
      <c r="K25857">
        <v>116.59</v>
      </c>
      <c r="L25857">
        <v>17803</v>
      </c>
      <c r="M25857" t="s">
        <v>389</v>
      </c>
      <c r="N25857" t="str">
        <f>"121836437   "</f>
        <v xml:space="preserve">121836437   </v>
      </c>
      <c r="O25857">
        <v>230920</v>
      </c>
    </row>
    <row r="25858" spans="1:15" x14ac:dyDescent="0.25">
      <c r="A25858" t="s">
        <v>16</v>
      </c>
      <c r="B25858" t="s">
        <v>3221</v>
      </c>
      <c r="C25858">
        <v>12524</v>
      </c>
      <c r="D25858" t="s">
        <v>114</v>
      </c>
      <c r="E25858" t="s">
        <v>115</v>
      </c>
      <c r="F25858">
        <v>33</v>
      </c>
      <c r="G25858">
        <v>230914</v>
      </c>
      <c r="H25858">
        <v>4530</v>
      </c>
      <c r="I25858" t="s">
        <v>342</v>
      </c>
      <c r="J25858">
        <v>40.92</v>
      </c>
      <c r="K25858">
        <v>7.92</v>
      </c>
      <c r="L25858">
        <v>46556</v>
      </c>
      <c r="M25858" t="s">
        <v>125</v>
      </c>
      <c r="N25858" t="str">
        <f>"121840945   "</f>
        <v xml:space="preserve">121840945   </v>
      </c>
      <c r="O25858">
        <v>230920</v>
      </c>
    </row>
    <row r="25859" spans="1:15" x14ac:dyDescent="0.25">
      <c r="A25859" t="s">
        <v>16</v>
      </c>
      <c r="B25859" t="s">
        <v>3221</v>
      </c>
      <c r="C25859">
        <v>12528</v>
      </c>
      <c r="D25859" t="s">
        <v>114</v>
      </c>
      <c r="E25859" t="s">
        <v>115</v>
      </c>
      <c r="F25859">
        <v>86</v>
      </c>
      <c r="G25859">
        <v>230914</v>
      </c>
      <c r="H25859">
        <v>4530</v>
      </c>
      <c r="I25859" t="s">
        <v>342</v>
      </c>
      <c r="J25859">
        <v>106.64</v>
      </c>
      <c r="K25859">
        <v>20.64</v>
      </c>
      <c r="L25859">
        <v>66754</v>
      </c>
      <c r="M25859" t="s">
        <v>239</v>
      </c>
      <c r="N25859" t="str">
        <f>"121843081   "</f>
        <v xml:space="preserve">121843081   </v>
      </c>
      <c r="O25859">
        <v>230920</v>
      </c>
    </row>
    <row r="25860" spans="1:15" x14ac:dyDescent="0.25">
      <c r="A25860" t="s">
        <v>16</v>
      </c>
      <c r="B25860" t="s">
        <v>3221</v>
      </c>
      <c r="C25860">
        <v>12528</v>
      </c>
      <c r="D25860" t="s">
        <v>114</v>
      </c>
      <c r="E25860" t="s">
        <v>115</v>
      </c>
      <c r="F25860">
        <v>83</v>
      </c>
      <c r="G25860">
        <v>230914</v>
      </c>
      <c r="H25860">
        <v>4530</v>
      </c>
      <c r="I25860" t="s">
        <v>342</v>
      </c>
      <c r="J25860">
        <v>102.92</v>
      </c>
      <c r="K25860">
        <v>19.920000000000002</v>
      </c>
      <c r="L25860">
        <v>69501</v>
      </c>
      <c r="M25860" t="s">
        <v>185</v>
      </c>
      <c r="N25860" t="str">
        <f>"121843081   "</f>
        <v xml:space="preserve">121843081   </v>
      </c>
      <c r="O25860">
        <v>230920</v>
      </c>
    </row>
    <row r="25861" spans="1:15" x14ac:dyDescent="0.25">
      <c r="A25861" t="s">
        <v>16</v>
      </c>
      <c r="B25861" t="s">
        <v>3221</v>
      </c>
      <c r="C25861">
        <v>12537</v>
      </c>
      <c r="D25861" t="s">
        <v>114</v>
      </c>
      <c r="E25861" t="s">
        <v>115</v>
      </c>
      <c r="F25861">
        <v>2556.87</v>
      </c>
      <c r="G25861">
        <v>230915</v>
      </c>
      <c r="H25861">
        <v>4530</v>
      </c>
      <c r="I25861" t="s">
        <v>342</v>
      </c>
      <c r="J25861">
        <v>3170.52</v>
      </c>
      <c r="K25861">
        <v>613.65</v>
      </c>
      <c r="L25861">
        <v>56562</v>
      </c>
      <c r="M25861" t="s">
        <v>126</v>
      </c>
      <c r="N25861" t="str">
        <f>"121849470   "</f>
        <v xml:space="preserve">121849470   </v>
      </c>
      <c r="O25861">
        <v>230920</v>
      </c>
    </row>
    <row r="25862" spans="1:15" x14ac:dyDescent="0.25">
      <c r="A25862" t="s">
        <v>16</v>
      </c>
      <c r="B25862" t="s">
        <v>3221</v>
      </c>
      <c r="C25862">
        <v>12587</v>
      </c>
      <c r="D25862" t="s">
        <v>114</v>
      </c>
      <c r="E25862" t="s">
        <v>115</v>
      </c>
      <c r="F25862">
        <v>956.05</v>
      </c>
      <c r="G25862">
        <v>230831</v>
      </c>
      <c r="H25862">
        <v>4530</v>
      </c>
      <c r="I25862" t="s">
        <v>342</v>
      </c>
      <c r="J25862">
        <v>1185.5</v>
      </c>
      <c r="K25862">
        <v>229.45</v>
      </c>
      <c r="L25862">
        <v>56522</v>
      </c>
      <c r="M25862" t="s">
        <v>43</v>
      </c>
      <c r="N25862" t="str">
        <f>"121776900   "</f>
        <v xml:space="preserve">121776900   </v>
      </c>
      <c r="O25862">
        <v>230922</v>
      </c>
    </row>
    <row r="25863" spans="1:15" x14ac:dyDescent="0.25">
      <c r="A25863" t="s">
        <v>16</v>
      </c>
      <c r="B25863" t="s">
        <v>3221</v>
      </c>
      <c r="C25863">
        <v>12615</v>
      </c>
      <c r="D25863" t="s">
        <v>114</v>
      </c>
      <c r="E25863" t="s">
        <v>115</v>
      </c>
      <c r="F25863">
        <v>83</v>
      </c>
      <c r="G25863">
        <v>230919</v>
      </c>
      <c r="H25863">
        <v>4530</v>
      </c>
      <c r="I25863" t="s">
        <v>342</v>
      </c>
      <c r="J25863">
        <v>102.92</v>
      </c>
      <c r="K25863">
        <v>19.920000000000002</v>
      </c>
      <c r="L25863">
        <v>14422</v>
      </c>
      <c r="M25863" t="s">
        <v>228</v>
      </c>
      <c r="N25863" t="str">
        <f>"121865186   "</f>
        <v xml:space="preserve">121865186   </v>
      </c>
      <c r="O25863">
        <v>230922</v>
      </c>
    </row>
    <row r="25864" spans="1:15" x14ac:dyDescent="0.25">
      <c r="A25864" t="s">
        <v>16</v>
      </c>
      <c r="B25864" t="s">
        <v>3221</v>
      </c>
      <c r="C25864">
        <v>12646</v>
      </c>
      <c r="D25864" t="s">
        <v>114</v>
      </c>
      <c r="E25864" t="s">
        <v>115</v>
      </c>
      <c r="F25864">
        <v>97.79</v>
      </c>
      <c r="G25864">
        <v>230907</v>
      </c>
      <c r="H25864">
        <v>4530</v>
      </c>
      <c r="I25864" t="s">
        <v>342</v>
      </c>
      <c r="J25864">
        <v>121.26</v>
      </c>
      <c r="K25864">
        <v>23.47</v>
      </c>
      <c r="L25864">
        <v>46554</v>
      </c>
      <c r="M25864" t="s">
        <v>117</v>
      </c>
      <c r="N25864" t="str">
        <f>"121818122   "</f>
        <v xml:space="preserve">121818122   </v>
      </c>
      <c r="O25864">
        <v>230922</v>
      </c>
    </row>
    <row r="25865" spans="1:15" x14ac:dyDescent="0.25">
      <c r="A25865" t="s">
        <v>16</v>
      </c>
      <c r="B25865" t="s">
        <v>3221</v>
      </c>
      <c r="C25865">
        <v>12672</v>
      </c>
      <c r="D25865" t="s">
        <v>114</v>
      </c>
      <c r="E25865" t="s">
        <v>115</v>
      </c>
      <c r="F25865">
        <v>83.16</v>
      </c>
      <c r="G25865">
        <v>230915</v>
      </c>
      <c r="H25865">
        <v>4530</v>
      </c>
      <c r="I25865" t="s">
        <v>342</v>
      </c>
      <c r="J25865">
        <v>103.12</v>
      </c>
      <c r="K25865">
        <v>19.96</v>
      </c>
      <c r="L25865">
        <v>56564</v>
      </c>
      <c r="M25865" t="s">
        <v>327</v>
      </c>
      <c r="N25865" t="str">
        <f>"121849472   "</f>
        <v xml:space="preserve">121849472   </v>
      </c>
      <c r="O25865">
        <v>230922</v>
      </c>
    </row>
    <row r="25866" spans="1:15" x14ac:dyDescent="0.25">
      <c r="A25866" t="s">
        <v>16</v>
      </c>
      <c r="B25866" t="s">
        <v>3221</v>
      </c>
      <c r="C25866">
        <v>12788</v>
      </c>
      <c r="D25866" t="s">
        <v>114</v>
      </c>
      <c r="E25866" t="s">
        <v>115</v>
      </c>
      <c r="F25866">
        <v>107.69</v>
      </c>
      <c r="G25866">
        <v>230920</v>
      </c>
      <c r="H25866">
        <v>4530</v>
      </c>
      <c r="I25866" t="s">
        <v>342</v>
      </c>
      <c r="J25866">
        <v>133.54</v>
      </c>
      <c r="K25866">
        <v>25.85</v>
      </c>
      <c r="L25866">
        <v>67522</v>
      </c>
      <c r="M25866" t="s">
        <v>397</v>
      </c>
      <c r="N25866" t="str">
        <f>"121870802   "</f>
        <v xml:space="preserve">121870802   </v>
      </c>
      <c r="O25866">
        <v>230926</v>
      </c>
    </row>
    <row r="25867" spans="1:15" x14ac:dyDescent="0.25">
      <c r="A25867" t="s">
        <v>16</v>
      </c>
      <c r="B25867" t="s">
        <v>3221</v>
      </c>
      <c r="C25867">
        <v>12789</v>
      </c>
      <c r="D25867" t="s">
        <v>114</v>
      </c>
      <c r="E25867" t="s">
        <v>115</v>
      </c>
      <c r="F25867">
        <v>97.79</v>
      </c>
      <c r="G25867">
        <v>230921</v>
      </c>
      <c r="H25867">
        <v>4530</v>
      </c>
      <c r="I25867" t="s">
        <v>342</v>
      </c>
      <c r="J25867">
        <v>121.26</v>
      </c>
      <c r="K25867">
        <v>23.47</v>
      </c>
      <c r="L25867">
        <v>66722</v>
      </c>
      <c r="M25867" t="s">
        <v>518</v>
      </c>
      <c r="N25867" t="str">
        <f>"121875241   "</f>
        <v xml:space="preserve">121875241   </v>
      </c>
      <c r="O25867">
        <v>230926</v>
      </c>
    </row>
    <row r="25868" spans="1:15" x14ac:dyDescent="0.25">
      <c r="A25868" t="s">
        <v>16</v>
      </c>
      <c r="B25868" t="s">
        <v>3221</v>
      </c>
      <c r="C25868">
        <v>12886</v>
      </c>
      <c r="D25868" t="s">
        <v>114</v>
      </c>
      <c r="E25868" t="s">
        <v>115</v>
      </c>
      <c r="F25868">
        <v>63.47</v>
      </c>
      <c r="G25868">
        <v>230925</v>
      </c>
      <c r="H25868">
        <v>4530</v>
      </c>
      <c r="I25868" t="s">
        <v>342</v>
      </c>
      <c r="J25868">
        <v>78.7</v>
      </c>
      <c r="K25868">
        <v>15.23</v>
      </c>
      <c r="L25868">
        <v>17952</v>
      </c>
      <c r="M25868" t="s">
        <v>88</v>
      </c>
      <c r="N25868" t="str">
        <f>"121885955   "</f>
        <v xml:space="preserve">121885955   </v>
      </c>
      <c r="O25868">
        <v>230929</v>
      </c>
    </row>
    <row r="25869" spans="1:15" x14ac:dyDescent="0.25">
      <c r="A25869" t="s">
        <v>16</v>
      </c>
      <c r="B25869" t="s">
        <v>3221</v>
      </c>
      <c r="C25869">
        <v>12906</v>
      </c>
      <c r="D25869" t="s">
        <v>114</v>
      </c>
      <c r="E25869" t="s">
        <v>115</v>
      </c>
      <c r="F25869">
        <v>138</v>
      </c>
      <c r="G25869">
        <v>230928</v>
      </c>
      <c r="H25869">
        <v>4530</v>
      </c>
      <c r="I25869" t="s">
        <v>342</v>
      </c>
      <c r="J25869">
        <v>171.12</v>
      </c>
      <c r="K25869">
        <v>33.119999999999997</v>
      </c>
      <c r="L25869">
        <v>44222</v>
      </c>
      <c r="M25869" t="s">
        <v>232</v>
      </c>
      <c r="N25869" t="str">
        <f>"121899386   "</f>
        <v xml:space="preserve">121899386   </v>
      </c>
      <c r="O25869">
        <v>230929</v>
      </c>
    </row>
    <row r="25870" spans="1:15" x14ac:dyDescent="0.25">
      <c r="A25870" t="s">
        <v>16</v>
      </c>
      <c r="B25870" t="s">
        <v>3221</v>
      </c>
      <c r="C25870">
        <v>13085</v>
      </c>
      <c r="D25870" t="s">
        <v>114</v>
      </c>
      <c r="E25870" t="s">
        <v>115</v>
      </c>
      <c r="F25870">
        <v>33.200000000000003</v>
      </c>
      <c r="G25870">
        <v>230913</v>
      </c>
      <c r="H25870">
        <v>4530</v>
      </c>
      <c r="I25870" t="s">
        <v>342</v>
      </c>
      <c r="J25870">
        <v>41.17</v>
      </c>
      <c r="K25870">
        <v>7.97</v>
      </c>
      <c r="L25870">
        <v>17802</v>
      </c>
      <c r="M25870" t="s">
        <v>174</v>
      </c>
      <c r="N25870" t="str">
        <f>"121836436   "</f>
        <v xml:space="preserve">121836436   </v>
      </c>
      <c r="O25870">
        <v>231003</v>
      </c>
    </row>
    <row r="25871" spans="1:15" x14ac:dyDescent="0.25">
      <c r="A25871" t="s">
        <v>16</v>
      </c>
      <c r="B25871" t="s">
        <v>3221</v>
      </c>
      <c r="C25871">
        <v>13160</v>
      </c>
      <c r="D25871" t="s">
        <v>114</v>
      </c>
      <c r="E25871" t="s">
        <v>115</v>
      </c>
      <c r="F25871">
        <v>527.48</v>
      </c>
      <c r="G25871">
        <v>230929</v>
      </c>
      <c r="H25871">
        <v>4530</v>
      </c>
      <c r="I25871" t="s">
        <v>342</v>
      </c>
      <c r="J25871">
        <v>654.07000000000005</v>
      </c>
      <c r="K25871">
        <v>126.59</v>
      </c>
      <c r="L25871">
        <v>56564</v>
      </c>
      <c r="M25871" t="s">
        <v>327</v>
      </c>
      <c r="N25871" t="str">
        <f>"121906230   "</f>
        <v xml:space="preserve">121906230   </v>
      </c>
      <c r="O25871">
        <v>231004</v>
      </c>
    </row>
    <row r="25872" spans="1:15" x14ac:dyDescent="0.25">
      <c r="A25872" t="s">
        <v>16</v>
      </c>
      <c r="B25872" t="s">
        <v>3221</v>
      </c>
      <c r="C25872">
        <v>13379</v>
      </c>
      <c r="D25872" t="s">
        <v>114</v>
      </c>
      <c r="E25872" t="s">
        <v>115</v>
      </c>
      <c r="F25872">
        <v>1450.76</v>
      </c>
      <c r="G25872">
        <v>230927</v>
      </c>
      <c r="H25872">
        <v>4530</v>
      </c>
      <c r="I25872" t="s">
        <v>342</v>
      </c>
      <c r="J25872">
        <v>1798.94</v>
      </c>
      <c r="K25872">
        <v>348.18</v>
      </c>
      <c r="L25872">
        <v>17803</v>
      </c>
      <c r="M25872" t="s">
        <v>389</v>
      </c>
      <c r="N25872" t="str">
        <f>"121892949   "</f>
        <v xml:space="preserve">121892949   </v>
      </c>
      <c r="O25872">
        <v>231009</v>
      </c>
    </row>
    <row r="25873" spans="1:15" x14ac:dyDescent="0.25">
      <c r="A25873" t="s">
        <v>16</v>
      </c>
      <c r="B25873" t="s">
        <v>3221</v>
      </c>
      <c r="C25873">
        <v>13481</v>
      </c>
      <c r="D25873" t="s">
        <v>114</v>
      </c>
      <c r="E25873" t="s">
        <v>115</v>
      </c>
      <c r="F25873">
        <v>97</v>
      </c>
      <c r="G25873">
        <v>230927</v>
      </c>
      <c r="H25873">
        <v>4530</v>
      </c>
      <c r="I25873" t="s">
        <v>342</v>
      </c>
      <c r="J25873">
        <v>120.28</v>
      </c>
      <c r="K25873">
        <v>23.28</v>
      </c>
      <c r="L25873">
        <v>46554</v>
      </c>
      <c r="M25873" t="s">
        <v>117</v>
      </c>
      <c r="N25873" t="str">
        <f>"121895027   "</f>
        <v xml:space="preserve">121895027   </v>
      </c>
      <c r="O25873">
        <v>231010</v>
      </c>
    </row>
    <row r="25874" spans="1:15" x14ac:dyDescent="0.25">
      <c r="A25874" t="s">
        <v>16</v>
      </c>
      <c r="B25874" t="s">
        <v>3221</v>
      </c>
      <c r="C25874">
        <v>13484</v>
      </c>
      <c r="D25874" t="s">
        <v>114</v>
      </c>
      <c r="E25874" t="s">
        <v>115</v>
      </c>
      <c r="F25874">
        <v>154.35</v>
      </c>
      <c r="G25874">
        <v>230929</v>
      </c>
      <c r="H25874">
        <v>4530</v>
      </c>
      <c r="I25874" t="s">
        <v>342</v>
      </c>
      <c r="J25874">
        <v>191.4</v>
      </c>
      <c r="K25874">
        <v>37.049999999999997</v>
      </c>
      <c r="L25874">
        <v>56565</v>
      </c>
      <c r="M25874" t="s">
        <v>758</v>
      </c>
      <c r="N25874" t="str">
        <f>"121906228   "</f>
        <v xml:space="preserve">121906228   </v>
      </c>
      <c r="O25874">
        <v>231010</v>
      </c>
    </row>
    <row r="25875" spans="1:15" x14ac:dyDescent="0.25">
      <c r="A25875" t="s">
        <v>16</v>
      </c>
      <c r="B25875" t="s">
        <v>3221</v>
      </c>
      <c r="C25875">
        <v>13485</v>
      </c>
      <c r="D25875" t="s">
        <v>114</v>
      </c>
      <c r="E25875" t="s">
        <v>115</v>
      </c>
      <c r="F25875">
        <v>-55.35</v>
      </c>
      <c r="G25875">
        <v>230929</v>
      </c>
      <c r="H25875">
        <v>4530</v>
      </c>
      <c r="I25875" t="s">
        <v>342</v>
      </c>
      <c r="J25875">
        <v>-68.63</v>
      </c>
      <c r="K25875">
        <v>-13.28</v>
      </c>
      <c r="L25875">
        <v>56565</v>
      </c>
      <c r="M25875" t="s">
        <v>758</v>
      </c>
      <c r="N25875" t="str">
        <f>"95455622    "</f>
        <v xml:space="preserve">95455622    </v>
      </c>
      <c r="O25875">
        <v>231010</v>
      </c>
    </row>
    <row r="25876" spans="1:15" x14ac:dyDescent="0.25">
      <c r="A25876" t="s">
        <v>16</v>
      </c>
      <c r="B25876" t="s">
        <v>3221</v>
      </c>
      <c r="C25876">
        <v>14196</v>
      </c>
      <c r="D25876" t="s">
        <v>114</v>
      </c>
      <c r="E25876" t="s">
        <v>115</v>
      </c>
      <c r="F25876">
        <v>-242</v>
      </c>
      <c r="G25876">
        <v>231013</v>
      </c>
      <c r="H25876">
        <v>4530</v>
      </c>
      <c r="I25876" t="s">
        <v>342</v>
      </c>
      <c r="J25876">
        <v>-300.08</v>
      </c>
      <c r="K25876">
        <v>-58.08</v>
      </c>
      <c r="L25876">
        <v>56562</v>
      </c>
      <c r="M25876" t="s">
        <v>126</v>
      </c>
      <c r="N25876" t="str">
        <f>"95456798    "</f>
        <v xml:space="preserve">95456798    </v>
      </c>
      <c r="O25876">
        <v>231024</v>
      </c>
    </row>
    <row r="25877" spans="1:15" x14ac:dyDescent="0.25">
      <c r="A25877" t="s">
        <v>16</v>
      </c>
      <c r="B25877" t="s">
        <v>3221</v>
      </c>
      <c r="C25877">
        <v>14545</v>
      </c>
      <c r="D25877" t="s">
        <v>114</v>
      </c>
      <c r="E25877" t="s">
        <v>115</v>
      </c>
      <c r="F25877">
        <v>32.82</v>
      </c>
      <c r="G25877">
        <v>231013</v>
      </c>
      <c r="H25877">
        <v>4530</v>
      </c>
      <c r="I25877" t="s">
        <v>342</v>
      </c>
      <c r="J25877">
        <v>40.700000000000003</v>
      </c>
      <c r="K25877">
        <v>7.88</v>
      </c>
      <c r="L25877">
        <v>55222</v>
      </c>
      <c r="M25877" t="s">
        <v>873</v>
      </c>
      <c r="N25877" t="str">
        <f>"121968713   "</f>
        <v xml:space="preserve">121968713   </v>
      </c>
      <c r="O25877">
        <v>231030</v>
      </c>
    </row>
    <row r="25878" spans="1:15" x14ac:dyDescent="0.25">
      <c r="A25878" t="s">
        <v>16</v>
      </c>
      <c r="B25878" t="s">
        <v>3221</v>
      </c>
      <c r="C25878">
        <v>14545</v>
      </c>
      <c r="D25878" t="s">
        <v>114</v>
      </c>
      <c r="E25878" t="s">
        <v>115</v>
      </c>
      <c r="F25878">
        <v>70</v>
      </c>
      <c r="G25878">
        <v>231013</v>
      </c>
      <c r="H25878">
        <v>4530</v>
      </c>
      <c r="I25878" t="s">
        <v>342</v>
      </c>
      <c r="J25878">
        <v>86.8</v>
      </c>
      <c r="K25878">
        <v>16.8</v>
      </c>
      <c r="L25878">
        <v>55251</v>
      </c>
      <c r="M25878" t="s">
        <v>2780</v>
      </c>
      <c r="N25878" t="str">
        <f>"121968713   "</f>
        <v xml:space="preserve">121968713   </v>
      </c>
      <c r="O25878">
        <v>231030</v>
      </c>
    </row>
    <row r="25879" spans="1:15" x14ac:dyDescent="0.25">
      <c r="A25879" t="s">
        <v>16</v>
      </c>
      <c r="B25879" t="s">
        <v>3221</v>
      </c>
      <c r="C25879">
        <v>14545</v>
      </c>
      <c r="D25879" t="s">
        <v>114</v>
      </c>
      <c r="E25879" t="s">
        <v>115</v>
      </c>
      <c r="F25879">
        <v>3.18</v>
      </c>
      <c r="G25879">
        <v>231013</v>
      </c>
      <c r="H25879">
        <v>4530</v>
      </c>
      <c r="I25879" t="s">
        <v>342</v>
      </c>
      <c r="J25879">
        <v>3.94</v>
      </c>
      <c r="K25879">
        <v>0.76</v>
      </c>
      <c r="L25879">
        <v>59501</v>
      </c>
      <c r="M25879" t="s">
        <v>69</v>
      </c>
      <c r="N25879" t="str">
        <f>"121968713   "</f>
        <v xml:space="preserve">121968713   </v>
      </c>
      <c r="O25879">
        <v>231030</v>
      </c>
    </row>
    <row r="25880" spans="1:15" x14ac:dyDescent="0.25">
      <c r="A25880" t="s">
        <v>16</v>
      </c>
      <c r="B25880" t="s">
        <v>3221</v>
      </c>
      <c r="C25880">
        <v>14545</v>
      </c>
      <c r="D25880" t="s">
        <v>114</v>
      </c>
      <c r="E25880" t="s">
        <v>115</v>
      </c>
      <c r="F25880">
        <v>577.16</v>
      </c>
      <c r="G25880">
        <v>231013</v>
      </c>
      <c r="H25880">
        <v>4530</v>
      </c>
      <c r="I25880" t="s">
        <v>342</v>
      </c>
      <c r="J25880">
        <v>715.68</v>
      </c>
      <c r="K25880">
        <v>138.52000000000001</v>
      </c>
      <c r="L25880">
        <v>59501</v>
      </c>
      <c r="M25880" t="s">
        <v>69</v>
      </c>
      <c r="N25880" t="str">
        <f>"121968713   "</f>
        <v xml:space="preserve">121968713   </v>
      </c>
      <c r="O25880">
        <v>231030</v>
      </c>
    </row>
    <row r="25881" spans="1:15" x14ac:dyDescent="0.25">
      <c r="A25881" t="s">
        <v>16</v>
      </c>
      <c r="B25881" t="s">
        <v>3221</v>
      </c>
      <c r="C25881">
        <v>14569</v>
      </c>
      <c r="D25881" t="s">
        <v>114</v>
      </c>
      <c r="E25881" t="s">
        <v>115</v>
      </c>
      <c r="F25881">
        <v>332</v>
      </c>
      <c r="G25881">
        <v>231013</v>
      </c>
      <c r="H25881">
        <v>4530</v>
      </c>
      <c r="I25881" t="s">
        <v>342</v>
      </c>
      <c r="J25881">
        <v>411.68</v>
      </c>
      <c r="K25881">
        <v>79.680000000000007</v>
      </c>
      <c r="L25881">
        <v>54222</v>
      </c>
      <c r="M25881" t="s">
        <v>308</v>
      </c>
      <c r="N25881" t="str">
        <f>"121968718   "</f>
        <v xml:space="preserve">121968718   </v>
      </c>
      <c r="O25881">
        <v>231030</v>
      </c>
    </row>
    <row r="25882" spans="1:15" x14ac:dyDescent="0.25">
      <c r="A25882" t="s">
        <v>16</v>
      </c>
      <c r="B25882" t="s">
        <v>3221</v>
      </c>
      <c r="C25882">
        <v>14570</v>
      </c>
      <c r="D25882" t="s">
        <v>114</v>
      </c>
      <c r="E25882" t="s">
        <v>115</v>
      </c>
      <c r="F25882">
        <v>116.58</v>
      </c>
      <c r="G25882">
        <v>231013</v>
      </c>
      <c r="H25882">
        <v>4530</v>
      </c>
      <c r="I25882" t="s">
        <v>342</v>
      </c>
      <c r="J25882">
        <v>144.56</v>
      </c>
      <c r="K25882">
        <v>27.98</v>
      </c>
      <c r="L25882">
        <v>56562</v>
      </c>
      <c r="M25882" t="s">
        <v>126</v>
      </c>
      <c r="N25882" t="str">
        <f>"121968717   "</f>
        <v xml:space="preserve">121968717   </v>
      </c>
      <c r="O25882">
        <v>231030</v>
      </c>
    </row>
    <row r="25883" spans="1:15" x14ac:dyDescent="0.25">
      <c r="A25883" t="s">
        <v>16</v>
      </c>
      <c r="B25883" t="s">
        <v>3221</v>
      </c>
      <c r="C25883">
        <v>14629</v>
      </c>
      <c r="D25883" t="s">
        <v>114</v>
      </c>
      <c r="E25883" t="s">
        <v>115</v>
      </c>
      <c r="F25883">
        <v>33</v>
      </c>
      <c r="G25883">
        <v>231025</v>
      </c>
      <c r="H25883">
        <v>4530</v>
      </c>
      <c r="I25883" t="s">
        <v>342</v>
      </c>
      <c r="J25883">
        <v>40.92</v>
      </c>
      <c r="K25883">
        <v>7.92</v>
      </c>
      <c r="L25883">
        <v>17807</v>
      </c>
      <c r="M25883" t="s">
        <v>318</v>
      </c>
      <c r="N25883" t="str">
        <f>"122013189   "</f>
        <v xml:space="preserve">122013189   </v>
      </c>
      <c r="O25883">
        <v>231030</v>
      </c>
    </row>
    <row r="25884" spans="1:15" x14ac:dyDescent="0.25">
      <c r="A25884" t="s">
        <v>16</v>
      </c>
      <c r="B25884" t="s">
        <v>3221</v>
      </c>
      <c r="C25884">
        <v>14660</v>
      </c>
      <c r="D25884" t="s">
        <v>114</v>
      </c>
      <c r="E25884" t="s">
        <v>115</v>
      </c>
      <c r="F25884">
        <v>226.82</v>
      </c>
      <c r="G25884">
        <v>231025</v>
      </c>
      <c r="H25884">
        <v>4530</v>
      </c>
      <c r="I25884" t="s">
        <v>342</v>
      </c>
      <c r="J25884">
        <v>281.26</v>
      </c>
      <c r="K25884">
        <v>54.44</v>
      </c>
      <c r="L25884">
        <v>17523</v>
      </c>
      <c r="M25884" t="s">
        <v>134</v>
      </c>
      <c r="N25884" t="str">
        <f>"122013374   "</f>
        <v xml:space="preserve">122013374   </v>
      </c>
      <c r="O25884">
        <v>231031</v>
      </c>
    </row>
    <row r="25885" spans="1:15" x14ac:dyDescent="0.25">
      <c r="A25885" t="s">
        <v>16</v>
      </c>
      <c r="B25885" t="s">
        <v>3221</v>
      </c>
      <c r="C25885">
        <v>14751</v>
      </c>
      <c r="D25885" t="s">
        <v>114</v>
      </c>
      <c r="E25885" t="s">
        <v>115</v>
      </c>
      <c r="F25885">
        <v>97</v>
      </c>
      <c r="G25885">
        <v>231013</v>
      </c>
      <c r="H25885">
        <v>4530</v>
      </c>
      <c r="I25885" t="s">
        <v>342</v>
      </c>
      <c r="J25885">
        <v>120.28</v>
      </c>
      <c r="K25885">
        <v>23.28</v>
      </c>
      <c r="L25885">
        <v>56564</v>
      </c>
      <c r="M25885" t="s">
        <v>327</v>
      </c>
      <c r="N25885" t="str">
        <f>"121968710   "</f>
        <v xml:space="preserve">121968710   </v>
      </c>
      <c r="O25885">
        <v>231103</v>
      </c>
    </row>
    <row r="25886" spans="1:15" x14ac:dyDescent="0.25">
      <c r="A25886" t="s">
        <v>16</v>
      </c>
      <c r="B25886" t="s">
        <v>3221</v>
      </c>
      <c r="C25886">
        <v>14787</v>
      </c>
      <c r="D25886" t="s">
        <v>114</v>
      </c>
      <c r="E25886" t="s">
        <v>115</v>
      </c>
      <c r="F25886">
        <v>194</v>
      </c>
      <c r="G25886">
        <v>231009</v>
      </c>
      <c r="H25886">
        <v>4530</v>
      </c>
      <c r="I25886" t="s">
        <v>342</v>
      </c>
      <c r="J25886">
        <v>240.56</v>
      </c>
      <c r="K25886">
        <v>46.56</v>
      </c>
      <c r="L25886">
        <v>46554</v>
      </c>
      <c r="M25886" t="s">
        <v>117</v>
      </c>
      <c r="N25886" t="str">
        <f>"121950701   "</f>
        <v xml:space="preserve">121950701   </v>
      </c>
      <c r="O25886">
        <v>231106</v>
      </c>
    </row>
    <row r="25887" spans="1:15" x14ac:dyDescent="0.25">
      <c r="A25887" t="s">
        <v>16</v>
      </c>
      <c r="B25887" t="s">
        <v>3221</v>
      </c>
      <c r="C25887">
        <v>15121</v>
      </c>
      <c r="D25887" t="s">
        <v>114</v>
      </c>
      <c r="E25887" t="s">
        <v>115</v>
      </c>
      <c r="F25887">
        <v>105.15</v>
      </c>
      <c r="G25887">
        <v>231024</v>
      </c>
      <c r="H25887">
        <v>4530</v>
      </c>
      <c r="I25887" t="s">
        <v>342</v>
      </c>
      <c r="J25887">
        <v>130.38999999999999</v>
      </c>
      <c r="K25887">
        <v>25.24</v>
      </c>
      <c r="L25887">
        <v>17952</v>
      </c>
      <c r="M25887" t="s">
        <v>88</v>
      </c>
      <c r="N25887" t="str">
        <f>"122010267   "</f>
        <v xml:space="preserve">122010267   </v>
      </c>
      <c r="O25887">
        <v>231108</v>
      </c>
    </row>
    <row r="25888" spans="1:15" x14ac:dyDescent="0.25">
      <c r="A25888" t="s">
        <v>16</v>
      </c>
      <c r="B25888" t="s">
        <v>3221</v>
      </c>
      <c r="C25888">
        <v>15186</v>
      </c>
      <c r="D25888" t="s">
        <v>114</v>
      </c>
      <c r="E25888" t="s">
        <v>115</v>
      </c>
      <c r="F25888">
        <v>33</v>
      </c>
      <c r="G25888">
        <v>231031</v>
      </c>
      <c r="H25888">
        <v>4530</v>
      </c>
      <c r="I25888" t="s">
        <v>342</v>
      </c>
      <c r="J25888">
        <v>40.92</v>
      </c>
      <c r="K25888">
        <v>7.92</v>
      </c>
      <c r="L25888">
        <v>17807</v>
      </c>
      <c r="M25888" t="s">
        <v>318</v>
      </c>
      <c r="N25888" t="str">
        <f>"122042841   "</f>
        <v xml:space="preserve">122042841   </v>
      </c>
      <c r="O25888">
        <v>231109</v>
      </c>
    </row>
    <row r="25889" spans="1:15" x14ac:dyDescent="0.25">
      <c r="A25889" t="s">
        <v>16</v>
      </c>
      <c r="B25889" t="s">
        <v>3221</v>
      </c>
      <c r="C25889">
        <v>15206</v>
      </c>
      <c r="D25889" t="s">
        <v>114</v>
      </c>
      <c r="E25889" t="s">
        <v>115</v>
      </c>
      <c r="F25889">
        <v>34.58</v>
      </c>
      <c r="G25889">
        <v>231031</v>
      </c>
      <c r="H25889">
        <v>4530</v>
      </c>
      <c r="I25889" t="s">
        <v>342</v>
      </c>
      <c r="J25889">
        <v>42.88</v>
      </c>
      <c r="K25889">
        <v>8.3000000000000007</v>
      </c>
      <c r="L25889">
        <v>56562</v>
      </c>
      <c r="M25889" t="s">
        <v>126</v>
      </c>
      <c r="N25889" t="str">
        <f>"122039298   "</f>
        <v xml:space="preserve">122039298   </v>
      </c>
      <c r="O25889">
        <v>231109</v>
      </c>
    </row>
    <row r="25890" spans="1:15" x14ac:dyDescent="0.25">
      <c r="A25890" t="s">
        <v>16</v>
      </c>
      <c r="B25890" t="s">
        <v>3221</v>
      </c>
      <c r="C25890">
        <v>15211</v>
      </c>
      <c r="D25890" t="s">
        <v>114</v>
      </c>
      <c r="E25890" t="s">
        <v>115</v>
      </c>
      <c r="F25890">
        <v>10.33</v>
      </c>
      <c r="G25890">
        <v>231102</v>
      </c>
      <c r="H25890">
        <v>4530</v>
      </c>
      <c r="I25890" t="s">
        <v>342</v>
      </c>
      <c r="J25890">
        <v>12.81</v>
      </c>
      <c r="K25890">
        <v>2.48</v>
      </c>
      <c r="L25890">
        <v>13540</v>
      </c>
      <c r="M25890" t="s">
        <v>85</v>
      </c>
      <c r="N25890" t="str">
        <f>"122061595   "</f>
        <v xml:space="preserve">122061595   </v>
      </c>
      <c r="O25890">
        <v>231109</v>
      </c>
    </row>
    <row r="25891" spans="1:15" x14ac:dyDescent="0.25">
      <c r="A25891" t="s">
        <v>16</v>
      </c>
      <c r="B25891" t="s">
        <v>3221</v>
      </c>
      <c r="C25891">
        <v>15211</v>
      </c>
      <c r="D25891" t="s">
        <v>114</v>
      </c>
      <c r="E25891" t="s">
        <v>115</v>
      </c>
      <c r="F25891">
        <v>70.42</v>
      </c>
      <c r="G25891">
        <v>231102</v>
      </c>
      <c r="H25891">
        <v>4530</v>
      </c>
      <c r="I25891" t="s">
        <v>342</v>
      </c>
      <c r="J25891">
        <v>87.32</v>
      </c>
      <c r="K25891">
        <v>16.899999999999999</v>
      </c>
      <c r="L25891">
        <v>17950</v>
      </c>
      <c r="M25891" t="s">
        <v>86</v>
      </c>
      <c r="N25891" t="str">
        <f>"122061595   "</f>
        <v xml:space="preserve">122061595   </v>
      </c>
      <c r="O25891">
        <v>231109</v>
      </c>
    </row>
    <row r="25892" spans="1:15" x14ac:dyDescent="0.25">
      <c r="A25892" t="s">
        <v>16</v>
      </c>
      <c r="B25892" t="s">
        <v>3221</v>
      </c>
      <c r="C25892">
        <v>15211</v>
      </c>
      <c r="D25892" t="s">
        <v>114</v>
      </c>
      <c r="E25892" t="s">
        <v>115</v>
      </c>
      <c r="F25892">
        <v>13.15</v>
      </c>
      <c r="G25892">
        <v>231102</v>
      </c>
      <c r="H25892">
        <v>4530</v>
      </c>
      <c r="I25892" t="s">
        <v>342</v>
      </c>
      <c r="J25892">
        <v>16.3</v>
      </c>
      <c r="K25892">
        <v>3.15</v>
      </c>
      <c r="L25892">
        <v>17956</v>
      </c>
      <c r="M25892" t="s">
        <v>53</v>
      </c>
      <c r="N25892" t="str">
        <f>"122061595   "</f>
        <v xml:space="preserve">122061595   </v>
      </c>
      <c r="O25892">
        <v>231109</v>
      </c>
    </row>
    <row r="25893" spans="1:15" x14ac:dyDescent="0.25">
      <c r="A25893" t="s">
        <v>16</v>
      </c>
      <c r="B25893" t="s">
        <v>3221</v>
      </c>
      <c r="C25893">
        <v>15260</v>
      </c>
      <c r="D25893" t="s">
        <v>114</v>
      </c>
      <c r="E25893" t="s">
        <v>115</v>
      </c>
      <c r="F25893">
        <v>-33</v>
      </c>
      <c r="G25893">
        <v>231106</v>
      </c>
      <c r="H25893">
        <v>4530</v>
      </c>
      <c r="I25893" t="s">
        <v>342</v>
      </c>
      <c r="J25893">
        <v>-40.92</v>
      </c>
      <c r="K25893">
        <v>-7.92</v>
      </c>
      <c r="L25893">
        <v>17522</v>
      </c>
      <c r="M25893" t="s">
        <v>451</v>
      </c>
      <c r="N25893" t="str">
        <f>"95458925    "</f>
        <v xml:space="preserve">95458925    </v>
      </c>
      <c r="O25893">
        <v>231109</v>
      </c>
    </row>
    <row r="25894" spans="1:15" x14ac:dyDescent="0.25">
      <c r="A25894" t="s">
        <v>16</v>
      </c>
      <c r="B25894" t="s">
        <v>3221</v>
      </c>
      <c r="C25894">
        <v>15284</v>
      </c>
      <c r="D25894" t="s">
        <v>114</v>
      </c>
      <c r="E25894" t="s">
        <v>115</v>
      </c>
      <c r="F25894">
        <v>115.96</v>
      </c>
      <c r="G25894">
        <v>231106</v>
      </c>
      <c r="H25894">
        <v>4530</v>
      </c>
      <c r="I25894" t="s">
        <v>342</v>
      </c>
      <c r="J25894">
        <v>143.79</v>
      </c>
      <c r="K25894">
        <v>27.83</v>
      </c>
      <c r="L25894">
        <v>17522</v>
      </c>
      <c r="M25894" t="s">
        <v>451</v>
      </c>
      <c r="N25894" t="str">
        <f>"122069276   "</f>
        <v xml:space="preserve">122069276   </v>
      </c>
      <c r="O25894">
        <v>231109</v>
      </c>
    </row>
    <row r="25895" spans="1:15" x14ac:dyDescent="0.25">
      <c r="A25895" t="s">
        <v>16</v>
      </c>
      <c r="B25895" t="s">
        <v>3221</v>
      </c>
      <c r="C25895">
        <v>15627</v>
      </c>
      <c r="D25895" t="s">
        <v>114</v>
      </c>
      <c r="E25895" t="s">
        <v>115</v>
      </c>
      <c r="F25895">
        <v>97</v>
      </c>
      <c r="G25895">
        <v>231106</v>
      </c>
      <c r="H25895">
        <v>4530</v>
      </c>
      <c r="I25895" t="s">
        <v>342</v>
      </c>
      <c r="J25895">
        <v>120.28</v>
      </c>
      <c r="K25895">
        <v>23.28</v>
      </c>
      <c r="L25895">
        <v>46554</v>
      </c>
      <c r="M25895" t="s">
        <v>117</v>
      </c>
      <c r="N25895" t="str">
        <f>"122072510   "</f>
        <v xml:space="preserve">122072510   </v>
      </c>
      <c r="O25895">
        <v>231114</v>
      </c>
    </row>
    <row r="25896" spans="1:15" x14ac:dyDescent="0.25">
      <c r="A25896" t="s">
        <v>16</v>
      </c>
      <c r="B25896" t="s">
        <v>3221</v>
      </c>
      <c r="C25896">
        <v>15673</v>
      </c>
      <c r="D25896" t="s">
        <v>114</v>
      </c>
      <c r="E25896" t="s">
        <v>115</v>
      </c>
      <c r="F25896">
        <v>86.49</v>
      </c>
      <c r="G25896">
        <v>231103</v>
      </c>
      <c r="H25896">
        <v>4530</v>
      </c>
      <c r="I25896" t="s">
        <v>342</v>
      </c>
      <c r="J25896">
        <v>107.25</v>
      </c>
      <c r="K25896">
        <v>20.76</v>
      </c>
      <c r="L25896">
        <v>17526</v>
      </c>
      <c r="M25896" t="s">
        <v>437</v>
      </c>
      <c r="N25896" t="str">
        <f>"122068880   "</f>
        <v xml:space="preserve">122068880   </v>
      </c>
      <c r="O25896">
        <v>231116</v>
      </c>
    </row>
    <row r="25897" spans="1:15" x14ac:dyDescent="0.25">
      <c r="A25897" t="s">
        <v>16</v>
      </c>
      <c r="B25897" t="s">
        <v>3221</v>
      </c>
      <c r="C25897">
        <v>15708</v>
      </c>
      <c r="D25897" t="s">
        <v>114</v>
      </c>
      <c r="E25897" t="s">
        <v>115</v>
      </c>
      <c r="F25897">
        <v>1873.15</v>
      </c>
      <c r="G25897">
        <v>231107</v>
      </c>
      <c r="H25897">
        <v>4530</v>
      </c>
      <c r="I25897" t="s">
        <v>342</v>
      </c>
      <c r="J25897">
        <v>2322.71</v>
      </c>
      <c r="K25897">
        <v>449.56</v>
      </c>
      <c r="L25897">
        <v>67522</v>
      </c>
      <c r="M25897" t="s">
        <v>397</v>
      </c>
      <c r="N25897" t="str">
        <f>"122076783   "</f>
        <v xml:space="preserve">122076783   </v>
      </c>
      <c r="O25897">
        <v>231116</v>
      </c>
    </row>
    <row r="25898" spans="1:15" x14ac:dyDescent="0.25">
      <c r="A25898" t="s">
        <v>16</v>
      </c>
      <c r="B25898" t="s">
        <v>3221</v>
      </c>
      <c r="C25898">
        <v>16050</v>
      </c>
      <c r="D25898" t="s">
        <v>114</v>
      </c>
      <c r="E25898" t="s">
        <v>115</v>
      </c>
      <c r="F25898">
        <v>268.57</v>
      </c>
      <c r="G25898">
        <v>231115</v>
      </c>
      <c r="H25898">
        <v>4530</v>
      </c>
      <c r="I25898" t="s">
        <v>342</v>
      </c>
      <c r="J25898">
        <v>333.03</v>
      </c>
      <c r="K25898">
        <v>64.459999999999994</v>
      </c>
      <c r="L25898">
        <v>46556</v>
      </c>
      <c r="M25898" t="s">
        <v>125</v>
      </c>
      <c r="N25898" t="str">
        <f>"122110641   "</f>
        <v xml:space="preserve">122110641   </v>
      </c>
      <c r="O25898">
        <v>231122</v>
      </c>
    </row>
    <row r="25899" spans="1:15" x14ac:dyDescent="0.25">
      <c r="A25899" t="s">
        <v>16</v>
      </c>
      <c r="B25899" t="s">
        <v>3221</v>
      </c>
      <c r="C25899">
        <v>16094</v>
      </c>
      <c r="D25899" t="s">
        <v>114</v>
      </c>
      <c r="E25899" t="s">
        <v>115</v>
      </c>
      <c r="F25899">
        <v>792.03</v>
      </c>
      <c r="G25899">
        <v>231114</v>
      </c>
      <c r="H25899">
        <v>4530</v>
      </c>
      <c r="I25899" t="s">
        <v>342</v>
      </c>
      <c r="J25899">
        <v>982.12</v>
      </c>
      <c r="K25899">
        <v>190.09</v>
      </c>
      <c r="L25899">
        <v>67522</v>
      </c>
      <c r="M25899" t="s">
        <v>397</v>
      </c>
      <c r="N25899" t="str">
        <f>"122098783   "</f>
        <v xml:space="preserve">122098783   </v>
      </c>
      <c r="O25899">
        <v>231122</v>
      </c>
    </row>
    <row r="25900" spans="1:15" x14ac:dyDescent="0.25">
      <c r="A25900" t="s">
        <v>16</v>
      </c>
      <c r="B25900" t="s">
        <v>3221</v>
      </c>
      <c r="C25900">
        <v>16104</v>
      </c>
      <c r="D25900" t="s">
        <v>114</v>
      </c>
      <c r="E25900" t="s">
        <v>115</v>
      </c>
      <c r="F25900">
        <v>1830.98</v>
      </c>
      <c r="G25900">
        <v>231115</v>
      </c>
      <c r="H25900">
        <v>4530</v>
      </c>
      <c r="I25900" t="s">
        <v>342</v>
      </c>
      <c r="J25900">
        <v>2270.42</v>
      </c>
      <c r="K25900">
        <v>439.44</v>
      </c>
      <c r="L25900">
        <v>56560</v>
      </c>
      <c r="M25900" t="s">
        <v>654</v>
      </c>
      <c r="N25900" t="str">
        <f>"122104601   "</f>
        <v xml:space="preserve">122104601   </v>
      </c>
      <c r="O25900">
        <v>231122</v>
      </c>
    </row>
    <row r="25901" spans="1:15" x14ac:dyDescent="0.25">
      <c r="A25901" t="s">
        <v>16</v>
      </c>
      <c r="B25901" t="s">
        <v>3221</v>
      </c>
      <c r="C25901">
        <v>16108</v>
      </c>
      <c r="D25901" t="s">
        <v>114</v>
      </c>
      <c r="E25901" t="s">
        <v>115</v>
      </c>
      <c r="F25901">
        <v>33.200000000000003</v>
      </c>
      <c r="G25901">
        <v>231115</v>
      </c>
      <c r="H25901">
        <v>4530</v>
      </c>
      <c r="I25901" t="s">
        <v>342</v>
      </c>
      <c r="J25901">
        <v>41.17</v>
      </c>
      <c r="K25901">
        <v>7.97</v>
      </c>
      <c r="L25901">
        <v>56562</v>
      </c>
      <c r="M25901" t="s">
        <v>126</v>
      </c>
      <c r="N25901" t="str">
        <f>"122104602   "</f>
        <v xml:space="preserve">122104602   </v>
      </c>
      <c r="O25901">
        <v>231122</v>
      </c>
    </row>
    <row r="25902" spans="1:15" x14ac:dyDescent="0.25">
      <c r="A25902" t="s">
        <v>16</v>
      </c>
      <c r="B25902" t="s">
        <v>3221</v>
      </c>
      <c r="C25902">
        <v>16112</v>
      </c>
      <c r="D25902" t="s">
        <v>114</v>
      </c>
      <c r="E25902" t="s">
        <v>115</v>
      </c>
      <c r="F25902">
        <v>1547.61</v>
      </c>
      <c r="G25902">
        <v>231116</v>
      </c>
      <c r="H25902">
        <v>4530</v>
      </c>
      <c r="I25902" t="s">
        <v>342</v>
      </c>
      <c r="J25902">
        <v>1919.04</v>
      </c>
      <c r="K25902">
        <v>371.43</v>
      </c>
      <c r="L25902">
        <v>17809</v>
      </c>
      <c r="M25902" t="s">
        <v>376</v>
      </c>
      <c r="N25902" t="str">
        <f>"122114830   "</f>
        <v xml:space="preserve">122114830   </v>
      </c>
      <c r="O25902">
        <v>231122</v>
      </c>
    </row>
    <row r="25903" spans="1:15" x14ac:dyDescent="0.25">
      <c r="A25903" t="s">
        <v>16</v>
      </c>
      <c r="B25903" t="s">
        <v>3221</v>
      </c>
      <c r="C25903">
        <v>16139</v>
      </c>
      <c r="D25903" t="s">
        <v>114</v>
      </c>
      <c r="E25903" t="s">
        <v>115</v>
      </c>
      <c r="F25903">
        <v>134.99</v>
      </c>
      <c r="G25903">
        <v>231117</v>
      </c>
      <c r="H25903">
        <v>4530</v>
      </c>
      <c r="I25903" t="s">
        <v>342</v>
      </c>
      <c r="J25903">
        <v>167.39</v>
      </c>
      <c r="K25903">
        <v>32.4</v>
      </c>
      <c r="L25903">
        <v>17802</v>
      </c>
      <c r="M25903" t="s">
        <v>174</v>
      </c>
      <c r="N25903" t="str">
        <f>"122120960   "</f>
        <v xml:space="preserve">122120960   </v>
      </c>
      <c r="O25903">
        <v>231123</v>
      </c>
    </row>
    <row r="25904" spans="1:15" x14ac:dyDescent="0.25">
      <c r="A25904" t="s">
        <v>16</v>
      </c>
      <c r="B25904" t="s">
        <v>3221</v>
      </c>
      <c r="C25904">
        <v>16530</v>
      </c>
      <c r="D25904" t="s">
        <v>114</v>
      </c>
      <c r="E25904" t="s">
        <v>115</v>
      </c>
      <c r="F25904">
        <v>37.49</v>
      </c>
      <c r="G25904">
        <v>231113</v>
      </c>
      <c r="H25904">
        <v>4530</v>
      </c>
      <c r="I25904" t="s">
        <v>342</v>
      </c>
      <c r="J25904">
        <v>46.49</v>
      </c>
      <c r="K25904">
        <v>9</v>
      </c>
      <c r="L25904">
        <v>17527</v>
      </c>
      <c r="M25904" t="s">
        <v>422</v>
      </c>
      <c r="N25904" t="str">
        <f>"122094770   "</f>
        <v xml:space="preserve">122094770   </v>
      </c>
      <c r="O25904">
        <v>231201</v>
      </c>
    </row>
    <row r="25905" spans="1:15" x14ac:dyDescent="0.25">
      <c r="A25905" t="s">
        <v>16</v>
      </c>
      <c r="B25905" t="s">
        <v>3221</v>
      </c>
      <c r="C25905">
        <v>16565</v>
      </c>
      <c r="D25905" t="s">
        <v>114</v>
      </c>
      <c r="E25905" t="s">
        <v>115</v>
      </c>
      <c r="F25905">
        <v>97</v>
      </c>
      <c r="G25905">
        <v>231124</v>
      </c>
      <c r="H25905">
        <v>4530</v>
      </c>
      <c r="I25905" t="s">
        <v>342</v>
      </c>
      <c r="J25905">
        <v>120.28</v>
      </c>
      <c r="K25905">
        <v>23.28</v>
      </c>
      <c r="L25905">
        <v>46554</v>
      </c>
      <c r="M25905" t="s">
        <v>117</v>
      </c>
      <c r="N25905" t="str">
        <f>"122143519   "</f>
        <v xml:space="preserve">122143519   </v>
      </c>
      <c r="O25905">
        <v>231201</v>
      </c>
    </row>
    <row r="25906" spans="1:15" x14ac:dyDescent="0.25">
      <c r="A25906" t="s">
        <v>16</v>
      </c>
      <c r="B25906" t="s">
        <v>3221</v>
      </c>
      <c r="C25906">
        <v>16765</v>
      </c>
      <c r="D25906" t="s">
        <v>114</v>
      </c>
      <c r="E25906" t="s">
        <v>115</v>
      </c>
      <c r="F25906">
        <v>167.16</v>
      </c>
      <c r="G25906">
        <v>231127</v>
      </c>
      <c r="H25906">
        <v>4530</v>
      </c>
      <c r="I25906" t="s">
        <v>342</v>
      </c>
      <c r="J25906">
        <v>207.28</v>
      </c>
      <c r="K25906">
        <v>40.119999999999997</v>
      </c>
      <c r="L25906">
        <v>17806</v>
      </c>
      <c r="M25906" t="s">
        <v>265</v>
      </c>
      <c r="N25906" t="str">
        <f>"122147743   "</f>
        <v xml:space="preserve">122147743   </v>
      </c>
      <c r="O25906">
        <v>231208</v>
      </c>
    </row>
    <row r="25907" spans="1:15" x14ac:dyDescent="0.25">
      <c r="A25907" t="s">
        <v>16</v>
      </c>
      <c r="B25907" t="s">
        <v>3221</v>
      </c>
      <c r="C25907">
        <v>16771</v>
      </c>
      <c r="D25907" t="s">
        <v>114</v>
      </c>
      <c r="E25907" t="s">
        <v>115</v>
      </c>
      <c r="F25907">
        <v>33.24</v>
      </c>
      <c r="G25907">
        <v>231128</v>
      </c>
      <c r="H25907">
        <v>4530</v>
      </c>
      <c r="I25907" t="s">
        <v>342</v>
      </c>
      <c r="J25907">
        <v>41.22</v>
      </c>
      <c r="K25907">
        <v>7.98</v>
      </c>
      <c r="L25907">
        <v>17802</v>
      </c>
      <c r="M25907" t="s">
        <v>174</v>
      </c>
      <c r="N25907" t="str">
        <f>"122150052   "</f>
        <v xml:space="preserve">122150052   </v>
      </c>
      <c r="O25907">
        <v>231208</v>
      </c>
    </row>
    <row r="25908" spans="1:15" x14ac:dyDescent="0.25">
      <c r="A25908" t="s">
        <v>16</v>
      </c>
      <c r="B25908" t="s">
        <v>3221</v>
      </c>
      <c r="C25908">
        <v>16917</v>
      </c>
      <c r="D25908" t="s">
        <v>114</v>
      </c>
      <c r="E25908" t="s">
        <v>115</v>
      </c>
      <c r="F25908">
        <v>220.4</v>
      </c>
      <c r="G25908">
        <v>231130</v>
      </c>
      <c r="H25908">
        <v>4530</v>
      </c>
      <c r="I25908" t="s">
        <v>342</v>
      </c>
      <c r="J25908">
        <v>273.29000000000002</v>
      </c>
      <c r="K25908">
        <v>52.89</v>
      </c>
      <c r="L25908">
        <v>67554</v>
      </c>
      <c r="M25908" t="s">
        <v>60</v>
      </c>
      <c r="N25908" t="str">
        <f>"122179459   "</f>
        <v xml:space="preserve">122179459   </v>
      </c>
      <c r="O25908">
        <v>231211</v>
      </c>
    </row>
    <row r="25909" spans="1:15" x14ac:dyDescent="0.25">
      <c r="A25909" t="s">
        <v>16</v>
      </c>
      <c r="B25909" t="s">
        <v>3221</v>
      </c>
      <c r="C25909">
        <v>17285</v>
      </c>
      <c r="D25909" t="s">
        <v>114</v>
      </c>
      <c r="E25909" t="s">
        <v>115</v>
      </c>
      <c r="F25909">
        <v>151.82</v>
      </c>
      <c r="G25909">
        <v>231207</v>
      </c>
      <c r="H25909">
        <v>4530</v>
      </c>
      <c r="I25909" t="s">
        <v>342</v>
      </c>
      <c r="J25909">
        <v>188.26</v>
      </c>
      <c r="K25909">
        <v>36.44</v>
      </c>
      <c r="L25909">
        <v>47522</v>
      </c>
      <c r="M25909" t="s">
        <v>410</v>
      </c>
      <c r="N25909" t="str">
        <f>"122192858   "</f>
        <v xml:space="preserve">122192858   </v>
      </c>
      <c r="O25909">
        <v>231212</v>
      </c>
    </row>
    <row r="25910" spans="1:15" x14ac:dyDescent="0.25">
      <c r="A25910" t="s">
        <v>16</v>
      </c>
      <c r="B25910" t="s">
        <v>3221</v>
      </c>
      <c r="C25910">
        <v>17432</v>
      </c>
      <c r="D25910" t="s">
        <v>114</v>
      </c>
      <c r="E25910" t="s">
        <v>115</v>
      </c>
      <c r="F25910">
        <v>102.58</v>
      </c>
      <c r="G25910">
        <v>231130</v>
      </c>
      <c r="H25910">
        <v>4530</v>
      </c>
      <c r="I25910" t="s">
        <v>342</v>
      </c>
      <c r="J25910">
        <v>127.2</v>
      </c>
      <c r="K25910">
        <v>24.62</v>
      </c>
      <c r="L25910">
        <v>54422</v>
      </c>
      <c r="M25910" t="s">
        <v>234</v>
      </c>
      <c r="N25910" t="str">
        <f>"122166495   "</f>
        <v xml:space="preserve">122166495   </v>
      </c>
      <c r="O25910">
        <v>231214</v>
      </c>
    </row>
    <row r="25911" spans="1:15" x14ac:dyDescent="0.25">
      <c r="A25911" t="s">
        <v>16</v>
      </c>
      <c r="B25911" t="s">
        <v>3221</v>
      </c>
      <c r="C25911">
        <v>18380</v>
      </c>
      <c r="D25911" t="s">
        <v>114</v>
      </c>
      <c r="E25911" t="s">
        <v>115</v>
      </c>
      <c r="F25911">
        <v>202.37</v>
      </c>
      <c r="G25911">
        <v>231211</v>
      </c>
      <c r="H25911">
        <v>4530</v>
      </c>
      <c r="I25911" t="s">
        <v>342</v>
      </c>
      <c r="J25911">
        <v>250.94</v>
      </c>
      <c r="K25911">
        <v>48.57</v>
      </c>
      <c r="L25911">
        <v>46556</v>
      </c>
      <c r="M25911" t="s">
        <v>125</v>
      </c>
      <c r="N25911" t="str">
        <f>"122205599   "</f>
        <v xml:space="preserve">122205599   </v>
      </c>
      <c r="O25911">
        <v>240103</v>
      </c>
    </row>
    <row r="25912" spans="1:15" x14ac:dyDescent="0.25">
      <c r="A25912" t="s">
        <v>16</v>
      </c>
      <c r="B25912" t="s">
        <v>3221</v>
      </c>
      <c r="C25912">
        <v>18386</v>
      </c>
      <c r="D25912" t="s">
        <v>114</v>
      </c>
      <c r="E25912" t="s">
        <v>115</v>
      </c>
      <c r="F25912">
        <v>105.4</v>
      </c>
      <c r="G25912">
        <v>231212</v>
      </c>
      <c r="H25912">
        <v>4530</v>
      </c>
      <c r="I25912" t="s">
        <v>342</v>
      </c>
      <c r="J25912">
        <v>130.69</v>
      </c>
      <c r="K25912">
        <v>25.29</v>
      </c>
      <c r="L25912">
        <v>67522</v>
      </c>
      <c r="M25912" t="s">
        <v>397</v>
      </c>
      <c r="N25912" t="str">
        <f>"122209476   "</f>
        <v xml:space="preserve">122209476   </v>
      </c>
      <c r="O25912">
        <v>240103</v>
      </c>
    </row>
    <row r="25913" spans="1:15" x14ac:dyDescent="0.25">
      <c r="A25913" t="s">
        <v>16</v>
      </c>
      <c r="B25913" t="s">
        <v>3221</v>
      </c>
      <c r="C25913">
        <v>18604</v>
      </c>
      <c r="D25913" t="s">
        <v>114</v>
      </c>
      <c r="E25913" t="s">
        <v>115</v>
      </c>
      <c r="F25913">
        <v>204.9</v>
      </c>
      <c r="G25913">
        <v>231218</v>
      </c>
      <c r="H25913">
        <v>4530</v>
      </c>
      <c r="I25913" t="s">
        <v>342</v>
      </c>
      <c r="J25913">
        <v>254.07</v>
      </c>
      <c r="K25913">
        <v>49.17</v>
      </c>
      <c r="L25913">
        <v>67522</v>
      </c>
      <c r="M25913" t="s">
        <v>397</v>
      </c>
      <c r="N25913" t="str">
        <f>"122231379   "</f>
        <v xml:space="preserve">122231379   </v>
      </c>
      <c r="O25913">
        <v>240104</v>
      </c>
    </row>
    <row r="25914" spans="1:15" x14ac:dyDescent="0.25">
      <c r="A25914" t="s">
        <v>16</v>
      </c>
      <c r="B25914" t="s">
        <v>3221</v>
      </c>
      <c r="C25914">
        <v>7222</v>
      </c>
      <c r="D25914" t="s">
        <v>3479</v>
      </c>
      <c r="E25914" t="s">
        <v>3480</v>
      </c>
      <c r="F25914">
        <v>88</v>
      </c>
      <c r="G25914">
        <v>230523</v>
      </c>
      <c r="H25914">
        <v>4600</v>
      </c>
      <c r="I25914" t="s">
        <v>105</v>
      </c>
      <c r="J25914">
        <v>88</v>
      </c>
      <c r="K25914">
        <v>0</v>
      </c>
      <c r="L25914">
        <v>49705</v>
      </c>
      <c r="M25914" t="s">
        <v>575</v>
      </c>
      <c r="N25914" t="str">
        <f>"6123050002  "</f>
        <v xml:space="preserve">6123050002  </v>
      </c>
      <c r="O25914">
        <v>230526</v>
      </c>
    </row>
    <row r="25915" spans="1:15" x14ac:dyDescent="0.25">
      <c r="A25915" t="s">
        <v>16</v>
      </c>
      <c r="B25915" t="s">
        <v>3221</v>
      </c>
      <c r="C25915">
        <v>704</v>
      </c>
      <c r="D25915" t="s">
        <v>696</v>
      </c>
      <c r="E25915" t="s">
        <v>697</v>
      </c>
      <c r="F25915">
        <v>771.9</v>
      </c>
      <c r="G25915">
        <v>230125</v>
      </c>
      <c r="H25915">
        <v>4400</v>
      </c>
      <c r="I25915" t="s">
        <v>348</v>
      </c>
      <c r="J25915">
        <v>957.16</v>
      </c>
      <c r="K25915">
        <v>185.26</v>
      </c>
      <c r="L25915">
        <v>56558</v>
      </c>
      <c r="M25915" t="s">
        <v>217</v>
      </c>
      <c r="N25915" t="str">
        <f>"107421      "</f>
        <v xml:space="preserve">107421      </v>
      </c>
      <c r="O25915">
        <v>230127</v>
      </c>
    </row>
    <row r="25916" spans="1:15" x14ac:dyDescent="0.25">
      <c r="A25916" t="s">
        <v>16</v>
      </c>
      <c r="B25916" t="s">
        <v>3221</v>
      </c>
      <c r="C25916">
        <v>14711</v>
      </c>
      <c r="D25916" t="s">
        <v>696</v>
      </c>
      <c r="E25916" t="s">
        <v>697</v>
      </c>
      <c r="F25916">
        <v>1945.4</v>
      </c>
      <c r="G25916">
        <v>231025</v>
      </c>
      <c r="H25916">
        <v>4400</v>
      </c>
      <c r="I25916" t="s">
        <v>348</v>
      </c>
      <c r="J25916">
        <v>2412.3000000000002</v>
      </c>
      <c r="K25916">
        <v>466.9</v>
      </c>
      <c r="L25916">
        <v>56558</v>
      </c>
      <c r="M25916" t="s">
        <v>217</v>
      </c>
      <c r="N25916" t="str">
        <f>"107794      "</f>
        <v xml:space="preserve">107794      </v>
      </c>
      <c r="O25916">
        <v>231101</v>
      </c>
    </row>
    <row r="25917" spans="1:15" x14ac:dyDescent="0.25">
      <c r="A25917" t="s">
        <v>16</v>
      </c>
      <c r="B25917" t="s">
        <v>3221</v>
      </c>
      <c r="C25917">
        <v>18761</v>
      </c>
      <c r="D25917" t="s">
        <v>696</v>
      </c>
      <c r="E25917" t="s">
        <v>697</v>
      </c>
      <c r="F25917">
        <v>683.6</v>
      </c>
      <c r="G25917">
        <v>240103</v>
      </c>
      <c r="H25917">
        <v>4400</v>
      </c>
      <c r="I25917" t="s">
        <v>348</v>
      </c>
      <c r="J25917">
        <v>847.66</v>
      </c>
      <c r="K25917">
        <v>164.06</v>
      </c>
      <c r="L25917">
        <v>56558</v>
      </c>
      <c r="M25917" t="s">
        <v>217</v>
      </c>
      <c r="N25917" t="str">
        <f>"107900      "</f>
        <v xml:space="preserve">107900      </v>
      </c>
      <c r="O25917">
        <v>240105</v>
      </c>
    </row>
    <row r="25918" spans="1:15" x14ac:dyDescent="0.25">
      <c r="A25918" t="s">
        <v>16</v>
      </c>
      <c r="B25918" t="s">
        <v>3221</v>
      </c>
      <c r="C25918">
        <v>1079</v>
      </c>
      <c r="D25918" t="s">
        <v>864</v>
      </c>
      <c r="E25918" t="s">
        <v>865</v>
      </c>
      <c r="F25918">
        <v>462</v>
      </c>
      <c r="G25918">
        <v>230124</v>
      </c>
      <c r="H25918">
        <v>4580</v>
      </c>
      <c r="I25918" t="s">
        <v>35</v>
      </c>
      <c r="J25918">
        <v>572.88</v>
      </c>
      <c r="K25918">
        <v>110.88</v>
      </c>
      <c r="L25918">
        <v>49501</v>
      </c>
      <c r="M25918" t="s">
        <v>177</v>
      </c>
      <c r="N25918" t="str">
        <f>"19726829    "</f>
        <v xml:space="preserve">19726829    </v>
      </c>
      <c r="O25918">
        <v>230203</v>
      </c>
    </row>
    <row r="25919" spans="1:15" x14ac:dyDescent="0.25">
      <c r="A25919" t="s">
        <v>16</v>
      </c>
      <c r="B25919" t="s">
        <v>3221</v>
      </c>
      <c r="C25919">
        <v>5793</v>
      </c>
      <c r="D25919" t="s">
        <v>864</v>
      </c>
      <c r="E25919" t="s">
        <v>865</v>
      </c>
      <c r="F25919">
        <v>499.49</v>
      </c>
      <c r="G25919">
        <v>230420</v>
      </c>
      <c r="H25919">
        <v>4600</v>
      </c>
      <c r="I25919" t="s">
        <v>105</v>
      </c>
      <c r="J25919">
        <v>619.37</v>
      </c>
      <c r="K25919">
        <v>119.88</v>
      </c>
      <c r="L25919">
        <v>49501</v>
      </c>
      <c r="M25919" t="s">
        <v>177</v>
      </c>
      <c r="N25919" t="str">
        <f>"19730156    "</f>
        <v xml:space="preserve">19730156    </v>
      </c>
      <c r="O25919">
        <v>230503</v>
      </c>
    </row>
    <row r="25920" spans="1:15" x14ac:dyDescent="0.25">
      <c r="A25920" t="s">
        <v>16</v>
      </c>
      <c r="B25920" t="s">
        <v>3221</v>
      </c>
      <c r="C25920">
        <v>12256</v>
      </c>
      <c r="D25920" t="s">
        <v>864</v>
      </c>
      <c r="E25920" t="s">
        <v>865</v>
      </c>
      <c r="F25920">
        <v>450</v>
      </c>
      <c r="G25920">
        <v>230907</v>
      </c>
      <c r="H25920">
        <v>4600</v>
      </c>
      <c r="I25920" t="s">
        <v>105</v>
      </c>
      <c r="J25920">
        <v>558</v>
      </c>
      <c r="K25920">
        <v>108</v>
      </c>
      <c r="L25920">
        <v>49501</v>
      </c>
      <c r="M25920" t="s">
        <v>177</v>
      </c>
      <c r="N25920" t="str">
        <f>"19735220    "</f>
        <v xml:space="preserve">19735220    </v>
      </c>
      <c r="O25920">
        <v>230918</v>
      </c>
    </row>
    <row r="25921" spans="1:15" x14ac:dyDescent="0.25">
      <c r="A25921" t="s">
        <v>16</v>
      </c>
      <c r="B25921" t="s">
        <v>3221</v>
      </c>
      <c r="C25921">
        <v>8252</v>
      </c>
      <c r="D25921" t="s">
        <v>864</v>
      </c>
      <c r="E25921" t="s">
        <v>865</v>
      </c>
      <c r="F25921">
        <v>415</v>
      </c>
      <c r="G25921">
        <v>230530</v>
      </c>
      <c r="H25921">
        <v>4550</v>
      </c>
      <c r="I25921" t="s">
        <v>312</v>
      </c>
      <c r="J25921">
        <v>514.6</v>
      </c>
      <c r="K25921">
        <v>99.6</v>
      </c>
      <c r="L25921">
        <v>49501</v>
      </c>
      <c r="M25921" t="s">
        <v>177</v>
      </c>
      <c r="N25921" t="str">
        <f>"19731634    "</f>
        <v xml:space="preserve">19731634    </v>
      </c>
      <c r="O25921">
        <v>230608</v>
      </c>
    </row>
    <row r="25922" spans="1:15" x14ac:dyDescent="0.25">
      <c r="A25922" t="s">
        <v>16</v>
      </c>
      <c r="B25922" t="s">
        <v>3221</v>
      </c>
      <c r="C25922">
        <v>8571</v>
      </c>
      <c r="D25922" t="s">
        <v>864</v>
      </c>
      <c r="E25922" t="s">
        <v>865</v>
      </c>
      <c r="F25922">
        <v>122</v>
      </c>
      <c r="G25922">
        <v>230608</v>
      </c>
      <c r="H25922">
        <v>4550</v>
      </c>
      <c r="I25922" t="s">
        <v>312</v>
      </c>
      <c r="J25922">
        <v>151.28</v>
      </c>
      <c r="K25922">
        <v>29.28</v>
      </c>
      <c r="L25922">
        <v>49501</v>
      </c>
      <c r="M25922" t="s">
        <v>177</v>
      </c>
      <c r="N25922" t="str">
        <f>"19732035    "</f>
        <v xml:space="preserve">19732035    </v>
      </c>
      <c r="O25922">
        <v>230612</v>
      </c>
    </row>
    <row r="25923" spans="1:15" x14ac:dyDescent="0.25">
      <c r="A25923" t="s">
        <v>16</v>
      </c>
      <c r="B25923" t="s">
        <v>3221</v>
      </c>
      <c r="C25923">
        <v>14228</v>
      </c>
      <c r="D25923" t="s">
        <v>864</v>
      </c>
      <c r="E25923" t="s">
        <v>865</v>
      </c>
      <c r="F25923">
        <v>1209</v>
      </c>
      <c r="G25923">
        <v>231013</v>
      </c>
      <c r="H25923">
        <v>4550</v>
      </c>
      <c r="I25923" t="s">
        <v>312</v>
      </c>
      <c r="J25923">
        <v>1499.16</v>
      </c>
      <c r="K25923">
        <v>290.16000000000003</v>
      </c>
      <c r="L25923">
        <v>49501</v>
      </c>
      <c r="M25923" t="s">
        <v>177</v>
      </c>
      <c r="N25923" t="str">
        <f>"19736599    "</f>
        <v xml:space="preserve">19736599    </v>
      </c>
      <c r="O25923">
        <v>231024</v>
      </c>
    </row>
    <row r="25924" spans="1:15" x14ac:dyDescent="0.25">
      <c r="A25924" t="s">
        <v>16</v>
      </c>
      <c r="B25924" t="s">
        <v>3221</v>
      </c>
      <c r="C25924">
        <v>17900</v>
      </c>
      <c r="D25924" t="s">
        <v>864</v>
      </c>
      <c r="E25924" t="s">
        <v>865</v>
      </c>
      <c r="F25924">
        <v>1570</v>
      </c>
      <c r="G25924">
        <v>231214</v>
      </c>
      <c r="H25924">
        <v>4550</v>
      </c>
      <c r="I25924" t="s">
        <v>312</v>
      </c>
      <c r="J25924">
        <v>1946.8</v>
      </c>
      <c r="K25924">
        <v>376.8</v>
      </c>
      <c r="L25924">
        <v>49501</v>
      </c>
      <c r="M25924" t="s">
        <v>177</v>
      </c>
      <c r="N25924" t="str">
        <f>"19738845    "</f>
        <v xml:space="preserve">19738845    </v>
      </c>
      <c r="O25924">
        <v>231227</v>
      </c>
    </row>
    <row r="25925" spans="1:15" x14ac:dyDescent="0.25">
      <c r="A25925" t="s">
        <v>16</v>
      </c>
      <c r="B25925" t="s">
        <v>3221</v>
      </c>
      <c r="C25925">
        <v>18738</v>
      </c>
      <c r="D25925" t="s">
        <v>864</v>
      </c>
      <c r="E25925" t="s">
        <v>865</v>
      </c>
      <c r="F25925">
        <v>162</v>
      </c>
      <c r="G25925">
        <v>240102</v>
      </c>
      <c r="H25925">
        <v>4550</v>
      </c>
      <c r="I25925" t="s">
        <v>312</v>
      </c>
      <c r="J25925">
        <v>200.88</v>
      </c>
      <c r="K25925">
        <v>38.880000000000003</v>
      </c>
      <c r="L25925">
        <v>49501</v>
      </c>
      <c r="M25925" t="s">
        <v>177</v>
      </c>
      <c r="N25925" t="str">
        <f>"19739297    "</f>
        <v xml:space="preserve">19739297    </v>
      </c>
      <c r="O25925">
        <v>240105</v>
      </c>
    </row>
    <row r="25926" spans="1:15" x14ac:dyDescent="0.25">
      <c r="A25926" t="s">
        <v>16</v>
      </c>
      <c r="B25926" t="s">
        <v>3221</v>
      </c>
      <c r="C25926">
        <v>18370</v>
      </c>
      <c r="D25926" t="s">
        <v>1138</v>
      </c>
      <c r="E25926" t="s">
        <v>1139</v>
      </c>
      <c r="F25926">
        <v>16633.060000000001</v>
      </c>
      <c r="G25926">
        <v>231218</v>
      </c>
      <c r="H25926">
        <v>1196</v>
      </c>
      <c r="I25926" t="s">
        <v>392</v>
      </c>
      <c r="J25926">
        <v>16633.060000000001</v>
      </c>
      <c r="K25926">
        <v>0</v>
      </c>
      <c r="L25926">
        <v>96501</v>
      </c>
      <c r="M25926" t="s">
        <v>2361</v>
      </c>
      <c r="N25926" t="str">
        <f>"3943        "</f>
        <v xml:space="preserve">3943        </v>
      </c>
      <c r="O25926">
        <v>240103</v>
      </c>
    </row>
    <row r="25927" spans="1:15" x14ac:dyDescent="0.25">
      <c r="A25927" t="s">
        <v>16</v>
      </c>
      <c r="B25927" t="s">
        <v>3221</v>
      </c>
      <c r="C25927">
        <v>1681</v>
      </c>
      <c r="D25927" t="s">
        <v>1138</v>
      </c>
      <c r="E25927" t="s">
        <v>1139</v>
      </c>
      <c r="F25927">
        <v>1536.29</v>
      </c>
      <c r="G25927">
        <v>230207</v>
      </c>
      <c r="H25927">
        <v>4590</v>
      </c>
      <c r="I25927" t="s">
        <v>203</v>
      </c>
      <c r="J25927">
        <v>1905</v>
      </c>
      <c r="K25927">
        <v>368.71</v>
      </c>
      <c r="L25927">
        <v>49501</v>
      </c>
      <c r="M25927" t="s">
        <v>177</v>
      </c>
      <c r="N25927" t="str">
        <f>"3805        "</f>
        <v xml:space="preserve">3805        </v>
      </c>
      <c r="O25927">
        <v>230213</v>
      </c>
    </row>
    <row r="25928" spans="1:15" x14ac:dyDescent="0.25">
      <c r="A25928" t="s">
        <v>16</v>
      </c>
      <c r="B25928" t="s">
        <v>3221</v>
      </c>
      <c r="C25928">
        <v>9575</v>
      </c>
      <c r="D25928" t="s">
        <v>2295</v>
      </c>
      <c r="E25928" t="s">
        <v>2296</v>
      </c>
      <c r="F25928">
        <v>110.07</v>
      </c>
      <c r="G25928">
        <v>230711</v>
      </c>
      <c r="H25928">
        <v>4390</v>
      </c>
      <c r="I25928" t="s">
        <v>98</v>
      </c>
      <c r="J25928">
        <v>136.49</v>
      </c>
      <c r="K25928">
        <v>26.42</v>
      </c>
      <c r="L25928">
        <v>17711</v>
      </c>
      <c r="M25928" t="s">
        <v>65</v>
      </c>
      <c r="N25928" t="str">
        <f>"4031701     "</f>
        <v xml:space="preserve">4031701     </v>
      </c>
      <c r="O25928">
        <v>230717</v>
      </c>
    </row>
    <row r="25929" spans="1:15" x14ac:dyDescent="0.25">
      <c r="A25929" t="s">
        <v>16</v>
      </c>
      <c r="B25929" t="s">
        <v>3221</v>
      </c>
      <c r="C25929">
        <v>1943</v>
      </c>
      <c r="D25929" t="s">
        <v>1237</v>
      </c>
      <c r="E25929" t="s">
        <v>1238</v>
      </c>
      <c r="F25929">
        <v>105.32</v>
      </c>
      <c r="G25929">
        <v>230213</v>
      </c>
      <c r="H25929">
        <v>4510</v>
      </c>
      <c r="I25929" t="s">
        <v>42</v>
      </c>
      <c r="J25929">
        <v>115.85</v>
      </c>
      <c r="K25929">
        <v>10.53</v>
      </c>
      <c r="L25929">
        <v>13661</v>
      </c>
      <c r="M25929" t="s">
        <v>247</v>
      </c>
      <c r="N25929" t="str">
        <f>"131067      "</f>
        <v xml:space="preserve">131067      </v>
      </c>
      <c r="O25929">
        <v>230216</v>
      </c>
    </row>
    <row r="25930" spans="1:15" x14ac:dyDescent="0.25">
      <c r="A25930" t="s">
        <v>16</v>
      </c>
      <c r="B25930" t="s">
        <v>3221</v>
      </c>
      <c r="C25930">
        <v>1943</v>
      </c>
      <c r="D25930" t="s">
        <v>1237</v>
      </c>
      <c r="E25930" t="s">
        <v>1238</v>
      </c>
      <c r="F25930">
        <v>105.32</v>
      </c>
      <c r="G25930">
        <v>230213</v>
      </c>
      <c r="H25930">
        <v>4510</v>
      </c>
      <c r="I25930" t="s">
        <v>42</v>
      </c>
      <c r="J25930">
        <v>115.85</v>
      </c>
      <c r="K25930">
        <v>10.53</v>
      </c>
      <c r="L25930">
        <v>16321</v>
      </c>
      <c r="M25930" t="s">
        <v>423</v>
      </c>
      <c r="N25930" t="str">
        <f>"131067      "</f>
        <v xml:space="preserve">131067      </v>
      </c>
      <c r="O25930">
        <v>230216</v>
      </c>
    </row>
    <row r="25931" spans="1:15" x14ac:dyDescent="0.25">
      <c r="A25931" t="s">
        <v>16</v>
      </c>
      <c r="B25931" t="s">
        <v>3221</v>
      </c>
      <c r="C25931">
        <v>4523</v>
      </c>
      <c r="D25931" t="s">
        <v>1237</v>
      </c>
      <c r="E25931" t="s">
        <v>1238</v>
      </c>
      <c r="F25931">
        <v>103.64</v>
      </c>
      <c r="G25931">
        <v>230404</v>
      </c>
      <c r="H25931">
        <v>4510</v>
      </c>
      <c r="I25931" t="s">
        <v>42</v>
      </c>
      <c r="J25931">
        <v>114</v>
      </c>
      <c r="K25931">
        <v>10.36</v>
      </c>
      <c r="L25931">
        <v>17972</v>
      </c>
      <c r="M25931" t="s">
        <v>248</v>
      </c>
      <c r="N25931" t="str">
        <f>"132132      "</f>
        <v xml:space="preserve">132132      </v>
      </c>
      <c r="O25931">
        <v>230406</v>
      </c>
    </row>
    <row r="25932" spans="1:15" x14ac:dyDescent="0.25">
      <c r="A25932" t="s">
        <v>16</v>
      </c>
      <c r="B25932" t="s">
        <v>3221</v>
      </c>
      <c r="C25932">
        <v>8720</v>
      </c>
      <c r="D25932" t="s">
        <v>1237</v>
      </c>
      <c r="E25932" t="s">
        <v>1238</v>
      </c>
      <c r="F25932">
        <v>60.45</v>
      </c>
      <c r="G25932">
        <v>230601</v>
      </c>
      <c r="H25932">
        <v>4510</v>
      </c>
      <c r="I25932" t="s">
        <v>42</v>
      </c>
      <c r="J25932">
        <v>66.5</v>
      </c>
      <c r="K25932">
        <v>6.05</v>
      </c>
      <c r="L25932">
        <v>13801</v>
      </c>
      <c r="M25932" t="s">
        <v>162</v>
      </c>
      <c r="N25932" t="str">
        <f>"132583      "</f>
        <v xml:space="preserve">132583      </v>
      </c>
      <c r="O25932">
        <v>230613</v>
      </c>
    </row>
    <row r="25933" spans="1:15" x14ac:dyDescent="0.25">
      <c r="A25933" t="s">
        <v>16</v>
      </c>
      <c r="B25933" t="s">
        <v>3221</v>
      </c>
      <c r="C25933">
        <v>8720</v>
      </c>
      <c r="D25933" t="s">
        <v>1237</v>
      </c>
      <c r="E25933" t="s">
        <v>1238</v>
      </c>
      <c r="F25933">
        <v>60.45</v>
      </c>
      <c r="G25933">
        <v>230601</v>
      </c>
      <c r="H25933">
        <v>4510</v>
      </c>
      <c r="I25933" t="s">
        <v>42</v>
      </c>
      <c r="J25933">
        <v>66.5</v>
      </c>
      <c r="K25933">
        <v>6.05</v>
      </c>
      <c r="L25933">
        <v>17971</v>
      </c>
      <c r="M25933" t="s">
        <v>138</v>
      </c>
      <c r="N25933" t="str">
        <f>"132583      "</f>
        <v xml:space="preserve">132583      </v>
      </c>
      <c r="O25933">
        <v>230613</v>
      </c>
    </row>
    <row r="25934" spans="1:15" x14ac:dyDescent="0.25">
      <c r="A25934" t="s">
        <v>16</v>
      </c>
      <c r="B25934" t="s">
        <v>3221</v>
      </c>
      <c r="C25934">
        <v>4863</v>
      </c>
      <c r="D25934" t="s">
        <v>1237</v>
      </c>
      <c r="E25934" t="s">
        <v>1238</v>
      </c>
      <c r="F25934">
        <v>454</v>
      </c>
      <c r="G25934">
        <v>230331</v>
      </c>
      <c r="H25934">
        <v>4350</v>
      </c>
      <c r="I25934" t="s">
        <v>546</v>
      </c>
      <c r="J25934">
        <v>562.96</v>
      </c>
      <c r="K25934">
        <v>108.96</v>
      </c>
      <c r="L25934">
        <v>13601</v>
      </c>
      <c r="M25934" t="s">
        <v>147</v>
      </c>
      <c r="N25934" t="str">
        <f>"153093      "</f>
        <v xml:space="preserve">153093      </v>
      </c>
      <c r="O25934">
        <v>230413</v>
      </c>
    </row>
    <row r="25935" spans="1:15" x14ac:dyDescent="0.25">
      <c r="A25935" t="s">
        <v>16</v>
      </c>
      <c r="B25935" t="s">
        <v>3221</v>
      </c>
      <c r="C25935">
        <v>4863</v>
      </c>
      <c r="D25935" t="s">
        <v>1237</v>
      </c>
      <c r="E25935" t="s">
        <v>1238</v>
      </c>
      <c r="F25935">
        <v>280</v>
      </c>
      <c r="G25935">
        <v>230331</v>
      </c>
      <c r="H25935">
        <v>4350</v>
      </c>
      <c r="I25935" t="s">
        <v>546</v>
      </c>
      <c r="J25935">
        <v>347.2</v>
      </c>
      <c r="K25935">
        <v>67.2</v>
      </c>
      <c r="L25935">
        <v>13801</v>
      </c>
      <c r="M25935" t="s">
        <v>162</v>
      </c>
      <c r="N25935" t="str">
        <f>"153093      "</f>
        <v xml:space="preserve">153093      </v>
      </c>
      <c r="O25935">
        <v>230413</v>
      </c>
    </row>
    <row r="25936" spans="1:15" x14ac:dyDescent="0.25">
      <c r="A25936" t="s">
        <v>16</v>
      </c>
      <c r="B25936" t="s">
        <v>3221</v>
      </c>
      <c r="C25936">
        <v>6555</v>
      </c>
      <c r="D25936" t="s">
        <v>1237</v>
      </c>
      <c r="E25936" t="s">
        <v>1238</v>
      </c>
      <c r="F25936">
        <v>280</v>
      </c>
      <c r="G25936">
        <v>230430</v>
      </c>
      <c r="H25936">
        <v>4350</v>
      </c>
      <c r="I25936" t="s">
        <v>546</v>
      </c>
      <c r="J25936">
        <v>347.2</v>
      </c>
      <c r="K25936">
        <v>67.2</v>
      </c>
      <c r="L25936">
        <v>13801</v>
      </c>
      <c r="M25936" t="s">
        <v>162</v>
      </c>
      <c r="N25936" t="str">
        <f>"153328      "</f>
        <v xml:space="preserve">153328      </v>
      </c>
      <c r="O25936">
        <v>230515</v>
      </c>
    </row>
    <row r="25937" spans="1:15" x14ac:dyDescent="0.25">
      <c r="A25937" t="s">
        <v>16</v>
      </c>
      <c r="B25937" t="s">
        <v>3221</v>
      </c>
      <c r="C25937">
        <v>9834</v>
      </c>
      <c r="D25937" t="s">
        <v>1237</v>
      </c>
      <c r="E25937" t="s">
        <v>1238</v>
      </c>
      <c r="F25937">
        <v>336</v>
      </c>
      <c r="G25937">
        <v>230630</v>
      </c>
      <c r="H25937">
        <v>4350</v>
      </c>
      <c r="I25937" t="s">
        <v>546</v>
      </c>
      <c r="J25937">
        <v>416.64</v>
      </c>
      <c r="K25937">
        <v>80.64</v>
      </c>
      <c r="L25937">
        <v>13801</v>
      </c>
      <c r="M25937" t="s">
        <v>162</v>
      </c>
      <c r="N25937" t="str">
        <f>"153679      "</f>
        <v xml:space="preserve">153679      </v>
      </c>
      <c r="O25937">
        <v>230727</v>
      </c>
    </row>
    <row r="25938" spans="1:15" x14ac:dyDescent="0.25">
      <c r="A25938" t="s">
        <v>16</v>
      </c>
      <c r="B25938" t="s">
        <v>3221</v>
      </c>
      <c r="C25938">
        <v>11667</v>
      </c>
      <c r="D25938" t="s">
        <v>1237</v>
      </c>
      <c r="E25938" t="s">
        <v>1238</v>
      </c>
      <c r="F25938">
        <v>354.8</v>
      </c>
      <c r="G25938">
        <v>230831</v>
      </c>
      <c r="H25938">
        <v>4350</v>
      </c>
      <c r="I25938" t="s">
        <v>546</v>
      </c>
      <c r="J25938">
        <v>439.95</v>
      </c>
      <c r="K25938">
        <v>85.15</v>
      </c>
      <c r="L25938">
        <v>13601</v>
      </c>
      <c r="M25938" t="s">
        <v>147</v>
      </c>
      <c r="N25938" t="str">
        <f>"153984      "</f>
        <v xml:space="preserve">153984      </v>
      </c>
      <c r="O25938">
        <v>230908</v>
      </c>
    </row>
    <row r="25939" spans="1:15" x14ac:dyDescent="0.25">
      <c r="A25939" t="s">
        <v>16</v>
      </c>
      <c r="B25939" t="s">
        <v>3221</v>
      </c>
      <c r="C25939">
        <v>11667</v>
      </c>
      <c r="D25939" t="s">
        <v>1237</v>
      </c>
      <c r="E25939" t="s">
        <v>1238</v>
      </c>
      <c r="F25939">
        <v>134.4</v>
      </c>
      <c r="G25939">
        <v>230831</v>
      </c>
      <c r="H25939">
        <v>4350</v>
      </c>
      <c r="I25939" t="s">
        <v>546</v>
      </c>
      <c r="J25939">
        <v>166.66</v>
      </c>
      <c r="K25939">
        <v>32.26</v>
      </c>
      <c r="L25939">
        <v>13801</v>
      </c>
      <c r="M25939" t="s">
        <v>162</v>
      </c>
      <c r="N25939" t="str">
        <f>"153984      "</f>
        <v xml:space="preserve">153984      </v>
      </c>
      <c r="O25939">
        <v>230908</v>
      </c>
    </row>
    <row r="25940" spans="1:15" x14ac:dyDescent="0.25">
      <c r="A25940" t="s">
        <v>16</v>
      </c>
      <c r="B25940" t="s">
        <v>3221</v>
      </c>
      <c r="C25940">
        <v>11667</v>
      </c>
      <c r="D25940" t="s">
        <v>1237</v>
      </c>
      <c r="E25940" t="s">
        <v>1238</v>
      </c>
      <c r="F25940">
        <v>354.8</v>
      </c>
      <c r="G25940">
        <v>230831</v>
      </c>
      <c r="H25940">
        <v>4350</v>
      </c>
      <c r="I25940" t="s">
        <v>546</v>
      </c>
      <c r="J25940">
        <v>439.95</v>
      </c>
      <c r="K25940">
        <v>85.15</v>
      </c>
      <c r="L25940">
        <v>13802</v>
      </c>
      <c r="M25940" t="s">
        <v>200</v>
      </c>
      <c r="N25940" t="str">
        <f>"153984      "</f>
        <v xml:space="preserve">153984      </v>
      </c>
      <c r="O25940">
        <v>230908</v>
      </c>
    </row>
    <row r="25941" spans="1:15" x14ac:dyDescent="0.25">
      <c r="A25941" t="s">
        <v>16</v>
      </c>
      <c r="B25941" t="s">
        <v>3221</v>
      </c>
      <c r="C25941">
        <v>13525</v>
      </c>
      <c r="D25941" t="s">
        <v>1237</v>
      </c>
      <c r="E25941" t="s">
        <v>1238</v>
      </c>
      <c r="F25941">
        <v>798</v>
      </c>
      <c r="G25941">
        <v>230930</v>
      </c>
      <c r="H25941">
        <v>4350</v>
      </c>
      <c r="I25941" t="s">
        <v>546</v>
      </c>
      <c r="J25941">
        <v>989.52</v>
      </c>
      <c r="K25941">
        <v>191.52</v>
      </c>
      <c r="L25941">
        <v>13601</v>
      </c>
      <c r="M25941" t="s">
        <v>147</v>
      </c>
      <c r="N25941" t="str">
        <f>"154142      "</f>
        <v xml:space="preserve">154142      </v>
      </c>
      <c r="O25941">
        <v>231011</v>
      </c>
    </row>
    <row r="25942" spans="1:15" x14ac:dyDescent="0.25">
      <c r="A25942" t="s">
        <v>16</v>
      </c>
      <c r="B25942" t="s">
        <v>3221</v>
      </c>
      <c r="C25942">
        <v>16911</v>
      </c>
      <c r="D25942" t="s">
        <v>1237</v>
      </c>
      <c r="E25942" t="s">
        <v>1238</v>
      </c>
      <c r="F25942">
        <v>1120</v>
      </c>
      <c r="G25942">
        <v>231130</v>
      </c>
      <c r="H25942">
        <v>4350</v>
      </c>
      <c r="I25942" t="s">
        <v>546</v>
      </c>
      <c r="J25942">
        <v>1388.8</v>
      </c>
      <c r="K25942">
        <v>268.8</v>
      </c>
      <c r="L25942">
        <v>13801</v>
      </c>
      <c r="M25942" t="s">
        <v>162</v>
      </c>
      <c r="N25942" t="str">
        <f>"154446      "</f>
        <v xml:space="preserve">154446      </v>
      </c>
      <c r="O25942">
        <v>231211</v>
      </c>
    </row>
    <row r="25943" spans="1:15" x14ac:dyDescent="0.25">
      <c r="A25943" t="s">
        <v>16</v>
      </c>
      <c r="B25943" t="s">
        <v>3221</v>
      </c>
      <c r="C25943">
        <v>18730</v>
      </c>
      <c r="D25943" t="s">
        <v>1237</v>
      </c>
      <c r="E25943" t="s">
        <v>1238</v>
      </c>
      <c r="F25943">
        <v>280</v>
      </c>
      <c r="G25943">
        <v>231231</v>
      </c>
      <c r="H25943">
        <v>4350</v>
      </c>
      <c r="I25943" t="s">
        <v>546</v>
      </c>
      <c r="J25943">
        <v>347.2</v>
      </c>
      <c r="K25943">
        <v>67.2</v>
      </c>
      <c r="L25943">
        <v>13601</v>
      </c>
      <c r="M25943" t="s">
        <v>147</v>
      </c>
      <c r="N25943" t="str">
        <f>"154627      "</f>
        <v xml:space="preserve">154627      </v>
      </c>
      <c r="O25943">
        <v>240105</v>
      </c>
    </row>
    <row r="25944" spans="1:15" x14ac:dyDescent="0.25">
      <c r="A25944" t="s">
        <v>16</v>
      </c>
      <c r="B25944" t="s">
        <v>3221</v>
      </c>
      <c r="C25944">
        <v>18730</v>
      </c>
      <c r="D25944" t="s">
        <v>1237</v>
      </c>
      <c r="E25944" t="s">
        <v>1238</v>
      </c>
      <c r="F25944">
        <v>224</v>
      </c>
      <c r="G25944">
        <v>231231</v>
      </c>
      <c r="H25944">
        <v>4350</v>
      </c>
      <c r="I25944" t="s">
        <v>546</v>
      </c>
      <c r="J25944">
        <v>277.76</v>
      </c>
      <c r="K25944">
        <v>53.76</v>
      </c>
      <c r="L25944">
        <v>13801</v>
      </c>
      <c r="M25944" t="s">
        <v>162</v>
      </c>
      <c r="N25944" t="str">
        <f>"154627      "</f>
        <v xml:space="preserve">154627      </v>
      </c>
      <c r="O25944">
        <v>240105</v>
      </c>
    </row>
    <row r="25945" spans="1:15" x14ac:dyDescent="0.25">
      <c r="A25945" t="s">
        <v>16</v>
      </c>
      <c r="B25945" t="s">
        <v>3221</v>
      </c>
      <c r="C25945">
        <v>2844</v>
      </c>
      <c r="D25945" t="s">
        <v>1484</v>
      </c>
      <c r="E25945" t="s">
        <v>1485</v>
      </c>
      <c r="F25945">
        <v>1017.92</v>
      </c>
      <c r="G25945">
        <v>230227</v>
      </c>
      <c r="H25945">
        <v>4580</v>
      </c>
      <c r="I25945" t="s">
        <v>35</v>
      </c>
      <c r="J25945">
        <v>1262.22</v>
      </c>
      <c r="K25945">
        <v>244.3</v>
      </c>
      <c r="L25945">
        <v>17711</v>
      </c>
      <c r="M25945" t="s">
        <v>65</v>
      </c>
      <c r="N25945" t="str">
        <f>"395933-1    "</f>
        <v xml:space="preserve">395933-1    </v>
      </c>
      <c r="O25945">
        <v>230308</v>
      </c>
    </row>
    <row r="25946" spans="1:15" x14ac:dyDescent="0.25">
      <c r="A25946" t="s">
        <v>16</v>
      </c>
      <c r="B25946" t="s">
        <v>3221</v>
      </c>
      <c r="C25946">
        <v>4955</v>
      </c>
      <c r="D25946" t="s">
        <v>1484</v>
      </c>
      <c r="E25946" t="s">
        <v>1485</v>
      </c>
      <c r="F25946">
        <v>130.1</v>
      </c>
      <c r="G25946">
        <v>230329</v>
      </c>
      <c r="H25946">
        <v>4580</v>
      </c>
      <c r="I25946" t="s">
        <v>35</v>
      </c>
      <c r="J25946">
        <v>161.32</v>
      </c>
      <c r="K25946">
        <v>31.22</v>
      </c>
      <c r="L25946">
        <v>17711</v>
      </c>
      <c r="M25946" t="s">
        <v>65</v>
      </c>
      <c r="N25946" t="str">
        <f>"395955 1    "</f>
        <v xml:space="preserve">395955 1    </v>
      </c>
      <c r="O25946">
        <v>230414</v>
      </c>
    </row>
    <row r="25947" spans="1:15" x14ac:dyDescent="0.25">
      <c r="A25947" t="s">
        <v>16</v>
      </c>
      <c r="B25947" t="s">
        <v>3221</v>
      </c>
      <c r="C25947">
        <v>11315</v>
      </c>
      <c r="D25947" t="s">
        <v>1484</v>
      </c>
      <c r="E25947" t="s">
        <v>1485</v>
      </c>
      <c r="F25947">
        <v>87.69</v>
      </c>
      <c r="G25947">
        <v>230904</v>
      </c>
      <c r="H25947">
        <v>4580</v>
      </c>
      <c r="I25947" t="s">
        <v>35</v>
      </c>
      <c r="J25947">
        <v>108.73</v>
      </c>
      <c r="K25947">
        <v>21.04</v>
      </c>
      <c r="L25947">
        <v>17711</v>
      </c>
      <c r="M25947" t="s">
        <v>65</v>
      </c>
      <c r="N25947" t="str">
        <f>"396263-1    "</f>
        <v xml:space="preserve">396263-1    </v>
      </c>
      <c r="O25947">
        <v>230904</v>
      </c>
    </row>
    <row r="25948" spans="1:15" x14ac:dyDescent="0.25">
      <c r="A25948" t="s">
        <v>16</v>
      </c>
      <c r="B25948" t="s">
        <v>3221</v>
      </c>
      <c r="C25948">
        <v>14935</v>
      </c>
      <c r="D25948" t="s">
        <v>1484</v>
      </c>
      <c r="E25948" t="s">
        <v>1485</v>
      </c>
      <c r="F25948">
        <v>159.35</v>
      </c>
      <c r="G25948">
        <v>231106</v>
      </c>
      <c r="H25948">
        <v>4580</v>
      </c>
      <c r="I25948" t="s">
        <v>35</v>
      </c>
      <c r="J25948">
        <v>197.6</v>
      </c>
      <c r="K25948">
        <v>38.25</v>
      </c>
      <c r="L25948">
        <v>17711</v>
      </c>
      <c r="M25948" t="s">
        <v>65</v>
      </c>
      <c r="N25948" t="str">
        <f>"396346-1    "</f>
        <v xml:space="preserve">396346-1    </v>
      </c>
      <c r="O25948">
        <v>231107</v>
      </c>
    </row>
    <row r="25949" spans="1:15" x14ac:dyDescent="0.25">
      <c r="A25949" t="s">
        <v>16</v>
      </c>
      <c r="B25949" t="s">
        <v>3221</v>
      </c>
      <c r="C25949">
        <v>848</v>
      </c>
      <c r="D25949" t="s">
        <v>564</v>
      </c>
      <c r="E25949" t="s">
        <v>565</v>
      </c>
      <c r="F25949">
        <v>307.89</v>
      </c>
      <c r="G25949">
        <v>230123</v>
      </c>
      <c r="H25949">
        <v>4600</v>
      </c>
      <c r="I25949" t="s">
        <v>105</v>
      </c>
      <c r="J25949">
        <v>381.78</v>
      </c>
      <c r="K25949">
        <v>73.89</v>
      </c>
      <c r="L25949">
        <v>17737</v>
      </c>
      <c r="M25949" t="s">
        <v>279</v>
      </c>
      <c r="N25949" t="str">
        <f>"2023/01/0484"</f>
        <v>2023/01/0484</v>
      </c>
      <c r="O25949">
        <v>230131</v>
      </c>
    </row>
    <row r="25950" spans="1:15" x14ac:dyDescent="0.25">
      <c r="A25950" t="s">
        <v>16</v>
      </c>
      <c r="B25950" t="s">
        <v>3221</v>
      </c>
      <c r="C25950">
        <v>15037</v>
      </c>
      <c r="D25950" t="s">
        <v>564</v>
      </c>
      <c r="E25950" t="s">
        <v>565</v>
      </c>
      <c r="F25950">
        <v>362.9</v>
      </c>
      <c r="G25950">
        <v>231103</v>
      </c>
      <c r="H25950">
        <v>4600</v>
      </c>
      <c r="I25950" t="s">
        <v>105</v>
      </c>
      <c r="J25950">
        <v>450</v>
      </c>
      <c r="K25950">
        <v>87.1</v>
      </c>
      <c r="L25950">
        <v>17711</v>
      </c>
      <c r="M25950" t="s">
        <v>65</v>
      </c>
      <c r="N25950" t="str">
        <f>"2023/11/0063"</f>
        <v>2023/11/0063</v>
      </c>
      <c r="O25950">
        <v>231108</v>
      </c>
    </row>
    <row r="25951" spans="1:15" x14ac:dyDescent="0.25">
      <c r="A25951" t="s">
        <v>16</v>
      </c>
      <c r="B25951" t="s">
        <v>3221</v>
      </c>
      <c r="C25951">
        <v>15037</v>
      </c>
      <c r="D25951" t="s">
        <v>564</v>
      </c>
      <c r="E25951" t="s">
        <v>565</v>
      </c>
      <c r="F25951">
        <v>370.6</v>
      </c>
      <c r="G25951">
        <v>231103</v>
      </c>
      <c r="H25951">
        <v>4600</v>
      </c>
      <c r="I25951" t="s">
        <v>105</v>
      </c>
      <c r="J25951">
        <v>459.55</v>
      </c>
      <c r="K25951">
        <v>88.95</v>
      </c>
      <c r="L25951">
        <v>17737</v>
      </c>
      <c r="M25951" t="s">
        <v>279</v>
      </c>
      <c r="N25951" t="str">
        <f>"2023/11/0063"</f>
        <v>2023/11/0063</v>
      </c>
      <c r="O25951">
        <v>231108</v>
      </c>
    </row>
    <row r="25952" spans="1:15" x14ac:dyDescent="0.25">
      <c r="A25952" t="s">
        <v>16</v>
      </c>
      <c r="B25952" t="s">
        <v>3221</v>
      </c>
      <c r="C25952">
        <v>464</v>
      </c>
      <c r="D25952" t="s">
        <v>564</v>
      </c>
      <c r="E25952" t="s">
        <v>565</v>
      </c>
      <c r="F25952">
        <v>960.11</v>
      </c>
      <c r="G25952">
        <v>230123</v>
      </c>
      <c r="H25952">
        <v>4590</v>
      </c>
      <c r="I25952" t="s">
        <v>203</v>
      </c>
      <c r="J25952">
        <v>1190.54</v>
      </c>
      <c r="K25952">
        <v>230.43</v>
      </c>
      <c r="L25952">
        <v>17952</v>
      </c>
      <c r="M25952" t="s">
        <v>88</v>
      </c>
      <c r="N25952" t="str">
        <f>"2023/01/0485"</f>
        <v>2023/01/0485</v>
      </c>
      <c r="O25952">
        <v>230123</v>
      </c>
    </row>
    <row r="25953" spans="1:15" x14ac:dyDescent="0.25">
      <c r="A25953" t="s">
        <v>16</v>
      </c>
      <c r="B25953" t="s">
        <v>3221</v>
      </c>
      <c r="C25953">
        <v>9203</v>
      </c>
      <c r="D25953" t="s">
        <v>564</v>
      </c>
      <c r="E25953" t="s">
        <v>565</v>
      </c>
      <c r="F25953">
        <v>75.239999999999995</v>
      </c>
      <c r="G25953">
        <v>230622</v>
      </c>
      <c r="H25953">
        <v>4590</v>
      </c>
      <c r="I25953" t="s">
        <v>203</v>
      </c>
      <c r="J25953">
        <v>93.3</v>
      </c>
      <c r="K25953">
        <v>18.059999999999999</v>
      </c>
      <c r="L25953">
        <v>17538</v>
      </c>
      <c r="M25953" t="s">
        <v>24</v>
      </c>
      <c r="N25953" t="str">
        <f>"2023/06/1512"</f>
        <v>2023/06/1512</v>
      </c>
      <c r="O25953">
        <v>230629</v>
      </c>
    </row>
    <row r="25954" spans="1:15" x14ac:dyDescent="0.25">
      <c r="A25954" t="s">
        <v>16</v>
      </c>
      <c r="B25954" t="s">
        <v>3221</v>
      </c>
      <c r="C25954">
        <v>11514</v>
      </c>
      <c r="D25954" t="s">
        <v>564</v>
      </c>
      <c r="E25954" t="s">
        <v>565</v>
      </c>
      <c r="F25954">
        <v>1804.84</v>
      </c>
      <c r="G25954">
        <v>230901</v>
      </c>
      <c r="H25954">
        <v>4590</v>
      </c>
      <c r="I25954" t="s">
        <v>203</v>
      </c>
      <c r="J25954">
        <v>2238</v>
      </c>
      <c r="K25954">
        <v>433.16</v>
      </c>
      <c r="L25954">
        <v>56561</v>
      </c>
      <c r="M25954" t="s">
        <v>358</v>
      </c>
      <c r="N25954" t="str">
        <f>"2023/09/0007"</f>
        <v>2023/09/0007</v>
      </c>
      <c r="O25954">
        <v>230907</v>
      </c>
    </row>
    <row r="25955" spans="1:15" x14ac:dyDescent="0.25">
      <c r="A25955" t="s">
        <v>16</v>
      </c>
      <c r="B25955" t="s">
        <v>3221</v>
      </c>
      <c r="C25955">
        <v>11516</v>
      </c>
      <c r="D25955" t="s">
        <v>564</v>
      </c>
      <c r="E25955" t="s">
        <v>565</v>
      </c>
      <c r="F25955">
        <v>-62.9</v>
      </c>
      <c r="G25955">
        <v>230901</v>
      </c>
      <c r="H25955">
        <v>4590</v>
      </c>
      <c r="I25955" t="s">
        <v>203</v>
      </c>
      <c r="J25955">
        <v>-78</v>
      </c>
      <c r="K25955">
        <v>-15.1</v>
      </c>
      <c r="L25955">
        <v>56561</v>
      </c>
      <c r="M25955" t="s">
        <v>358</v>
      </c>
      <c r="N25955" t="str">
        <f>"2023/09/0002"</f>
        <v>2023/09/0002</v>
      </c>
      <c r="O25955">
        <v>230907</v>
      </c>
    </row>
    <row r="25956" spans="1:15" x14ac:dyDescent="0.25">
      <c r="A25956" t="s">
        <v>16</v>
      </c>
      <c r="B25956" t="s">
        <v>3221</v>
      </c>
      <c r="C25956">
        <v>16708</v>
      </c>
      <c r="D25956" t="s">
        <v>564</v>
      </c>
      <c r="E25956" t="s">
        <v>565</v>
      </c>
      <c r="F25956">
        <v>1370.11</v>
      </c>
      <c r="G25956">
        <v>231124</v>
      </c>
      <c r="H25956">
        <v>4590</v>
      </c>
      <c r="I25956" t="s">
        <v>203</v>
      </c>
      <c r="J25956">
        <v>1698.94</v>
      </c>
      <c r="K25956">
        <v>328.83</v>
      </c>
      <c r="L25956">
        <v>17711</v>
      </c>
      <c r="M25956" t="s">
        <v>65</v>
      </c>
      <c r="N25956" t="str">
        <f>"2023/11/0813"</f>
        <v>2023/11/0813</v>
      </c>
      <c r="O25956">
        <v>231208</v>
      </c>
    </row>
    <row r="25957" spans="1:15" x14ac:dyDescent="0.25">
      <c r="A25957" t="s">
        <v>16</v>
      </c>
      <c r="B25957" t="s">
        <v>3221</v>
      </c>
      <c r="C25957">
        <v>8062</v>
      </c>
      <c r="D25957" t="s">
        <v>2150</v>
      </c>
      <c r="E25957" t="s">
        <v>2151</v>
      </c>
      <c r="F25957">
        <v>45.45</v>
      </c>
      <c r="G25957">
        <v>230601</v>
      </c>
      <c r="H25957">
        <v>4510</v>
      </c>
      <c r="I25957" t="s">
        <v>42</v>
      </c>
      <c r="J25957">
        <v>50</v>
      </c>
      <c r="K25957">
        <v>4.55</v>
      </c>
      <c r="L25957">
        <v>44222</v>
      </c>
      <c r="M25957" t="s">
        <v>232</v>
      </c>
      <c r="N25957" t="str">
        <f>"54303       "</f>
        <v xml:space="preserve">54303       </v>
      </c>
      <c r="O25957">
        <v>230607</v>
      </c>
    </row>
    <row r="25958" spans="1:15" x14ac:dyDescent="0.25">
      <c r="A25958" t="s">
        <v>16</v>
      </c>
      <c r="B25958" t="s">
        <v>3221</v>
      </c>
      <c r="C25958">
        <v>8313</v>
      </c>
      <c r="D25958" t="s">
        <v>2150</v>
      </c>
      <c r="E25958" t="s">
        <v>2151</v>
      </c>
      <c r="F25958">
        <v>45.45</v>
      </c>
      <c r="G25958">
        <v>230601</v>
      </c>
      <c r="H25958">
        <v>4510</v>
      </c>
      <c r="I25958" t="s">
        <v>42</v>
      </c>
      <c r="J25958">
        <v>50</v>
      </c>
      <c r="K25958">
        <v>4.55</v>
      </c>
      <c r="L25958">
        <v>16431</v>
      </c>
      <c r="M25958" t="s">
        <v>231</v>
      </c>
      <c r="N25958" t="str">
        <f>"54429       "</f>
        <v xml:space="preserve">54429       </v>
      </c>
      <c r="O25958">
        <v>230608</v>
      </c>
    </row>
    <row r="25959" spans="1:15" x14ac:dyDescent="0.25">
      <c r="A25959" t="s">
        <v>16</v>
      </c>
      <c r="B25959" t="s">
        <v>3221</v>
      </c>
      <c r="C25959">
        <v>9107</v>
      </c>
      <c r="D25959" t="s">
        <v>2250</v>
      </c>
      <c r="E25959" t="s">
        <v>2251</v>
      </c>
      <c r="F25959">
        <v>261.7</v>
      </c>
      <c r="G25959">
        <v>230616</v>
      </c>
      <c r="H25959">
        <v>4380</v>
      </c>
      <c r="I25959" t="s">
        <v>113</v>
      </c>
      <c r="J25959">
        <v>324.51</v>
      </c>
      <c r="K25959">
        <v>62.81</v>
      </c>
      <c r="L25959">
        <v>49501</v>
      </c>
      <c r="M25959" t="s">
        <v>177</v>
      </c>
      <c r="N25959" t="str">
        <f>"5375        "</f>
        <v xml:space="preserve">5375        </v>
      </c>
      <c r="O25959">
        <v>230627</v>
      </c>
    </row>
    <row r="25960" spans="1:15" x14ac:dyDescent="0.25">
      <c r="A25960" t="s">
        <v>16</v>
      </c>
      <c r="B25960" t="s">
        <v>3221</v>
      </c>
      <c r="C25960">
        <v>19059</v>
      </c>
      <c r="D25960" t="s">
        <v>2250</v>
      </c>
      <c r="E25960" t="s">
        <v>2251</v>
      </c>
      <c r="F25960">
        <v>154</v>
      </c>
      <c r="G25960">
        <v>231229</v>
      </c>
      <c r="H25960">
        <v>4380</v>
      </c>
      <c r="I25960" t="s">
        <v>113</v>
      </c>
      <c r="J25960">
        <v>190.96</v>
      </c>
      <c r="K25960">
        <v>36.96</v>
      </c>
      <c r="L25960">
        <v>49501</v>
      </c>
      <c r="M25960" t="s">
        <v>177</v>
      </c>
      <c r="N25960" t="str">
        <f>"5408        "</f>
        <v xml:space="preserve">5408        </v>
      </c>
      <c r="O25960">
        <v>240110</v>
      </c>
    </row>
    <row r="25961" spans="1:15" x14ac:dyDescent="0.25">
      <c r="A25961" t="s">
        <v>16</v>
      </c>
      <c r="B25961" t="s">
        <v>3221</v>
      </c>
      <c r="C25961">
        <v>12610</v>
      </c>
      <c r="D25961" t="s">
        <v>2250</v>
      </c>
      <c r="E25961" t="s">
        <v>2251</v>
      </c>
      <c r="F25961">
        <v>383</v>
      </c>
      <c r="G25961">
        <v>230918</v>
      </c>
      <c r="H25961">
        <v>4390</v>
      </c>
      <c r="I25961" t="s">
        <v>98</v>
      </c>
      <c r="J25961">
        <v>474.92</v>
      </c>
      <c r="K25961">
        <v>91.92</v>
      </c>
      <c r="L25961">
        <v>49501</v>
      </c>
      <c r="M25961" t="s">
        <v>177</v>
      </c>
      <c r="N25961" t="str">
        <f>"5390        "</f>
        <v xml:space="preserve">5390        </v>
      </c>
      <c r="O25961">
        <v>230922</v>
      </c>
    </row>
    <row r="25962" spans="1:15" x14ac:dyDescent="0.25">
      <c r="A25962" t="s">
        <v>16</v>
      </c>
      <c r="B25962" t="s">
        <v>3221</v>
      </c>
      <c r="C25962">
        <v>16754</v>
      </c>
      <c r="D25962" t="s">
        <v>3014</v>
      </c>
      <c r="E25962" t="s">
        <v>3015</v>
      </c>
      <c r="F25962">
        <v>88.5</v>
      </c>
      <c r="G25962">
        <v>231031</v>
      </c>
      <c r="H25962">
        <v>4346</v>
      </c>
      <c r="I25962" t="s">
        <v>197</v>
      </c>
      <c r="J25962">
        <v>109.74</v>
      </c>
      <c r="K25962">
        <v>21.24</v>
      </c>
      <c r="L25962">
        <v>14541</v>
      </c>
      <c r="M25962" t="s">
        <v>626</v>
      </c>
      <c r="N25962" t="str">
        <f>"35528       "</f>
        <v xml:space="preserve">35528       </v>
      </c>
      <c r="O25962">
        <v>231208</v>
      </c>
    </row>
    <row r="25963" spans="1:15" x14ac:dyDescent="0.25">
      <c r="A25963" t="s">
        <v>16</v>
      </c>
      <c r="B25963" t="s">
        <v>3221</v>
      </c>
      <c r="C25963">
        <v>191</v>
      </c>
      <c r="D25963" t="s">
        <v>303</v>
      </c>
      <c r="E25963" t="s">
        <v>304</v>
      </c>
      <c r="F25963">
        <v>390</v>
      </c>
      <c r="G25963">
        <v>230112</v>
      </c>
      <c r="H25963">
        <v>4441</v>
      </c>
      <c r="I25963" t="s">
        <v>109</v>
      </c>
      <c r="J25963">
        <v>483.6</v>
      </c>
      <c r="K25963">
        <v>93.6</v>
      </c>
      <c r="L25963">
        <v>11201</v>
      </c>
      <c r="M25963" t="s">
        <v>305</v>
      </c>
      <c r="N25963" t="str">
        <f>"12156       "</f>
        <v xml:space="preserve">12156       </v>
      </c>
      <c r="O25963">
        <v>230116</v>
      </c>
    </row>
    <row r="25964" spans="1:15" x14ac:dyDescent="0.25">
      <c r="A25964" t="s">
        <v>16</v>
      </c>
      <c r="B25964" t="s">
        <v>3221</v>
      </c>
      <c r="C25964">
        <v>404</v>
      </c>
      <c r="D25964" t="s">
        <v>303</v>
      </c>
      <c r="E25964" t="s">
        <v>304</v>
      </c>
      <c r="F25964">
        <v>780</v>
      </c>
      <c r="G25964">
        <v>230119</v>
      </c>
      <c r="H25964">
        <v>4441</v>
      </c>
      <c r="I25964" t="s">
        <v>109</v>
      </c>
      <c r="J25964">
        <v>967.2</v>
      </c>
      <c r="K25964">
        <v>187.2</v>
      </c>
      <c r="L25964">
        <v>11501</v>
      </c>
      <c r="M25964" t="s">
        <v>339</v>
      </c>
      <c r="N25964" t="str">
        <f>"12189       "</f>
        <v xml:space="preserve">12189       </v>
      </c>
      <c r="O25964">
        <v>230120</v>
      </c>
    </row>
    <row r="25965" spans="1:15" x14ac:dyDescent="0.25">
      <c r="A25965" t="s">
        <v>16</v>
      </c>
      <c r="B25965" t="s">
        <v>3221</v>
      </c>
      <c r="C25965">
        <v>8188</v>
      </c>
      <c r="D25965" t="s">
        <v>2156</v>
      </c>
      <c r="E25965" t="s">
        <v>2157</v>
      </c>
      <c r="F25965">
        <v>151.66999999999999</v>
      </c>
      <c r="G25965">
        <v>230531</v>
      </c>
      <c r="H25965">
        <v>4343</v>
      </c>
      <c r="I25965" t="s">
        <v>91</v>
      </c>
      <c r="J25965">
        <v>188.07</v>
      </c>
      <c r="K25965">
        <v>36.4</v>
      </c>
      <c r="L25965">
        <v>56558</v>
      </c>
      <c r="M25965" t="s">
        <v>217</v>
      </c>
      <c r="N25965" t="str">
        <f>"323261      "</f>
        <v xml:space="preserve">323261      </v>
      </c>
      <c r="O25965">
        <v>230607</v>
      </c>
    </row>
    <row r="25966" spans="1:15" x14ac:dyDescent="0.25">
      <c r="A25966" t="s">
        <v>16</v>
      </c>
      <c r="B25966" t="s">
        <v>3221</v>
      </c>
      <c r="C25966">
        <v>12590</v>
      </c>
      <c r="D25966" t="s">
        <v>2588</v>
      </c>
      <c r="E25966" t="s">
        <v>2589</v>
      </c>
      <c r="F25966">
        <v>11.45</v>
      </c>
      <c r="G25966">
        <v>230913</v>
      </c>
      <c r="H25966">
        <v>4343</v>
      </c>
      <c r="I25966" t="s">
        <v>91</v>
      </c>
      <c r="J25966">
        <v>14.2</v>
      </c>
      <c r="K25966">
        <v>2.75</v>
      </c>
      <c r="L25966">
        <v>16820</v>
      </c>
      <c r="M25966" t="s">
        <v>23</v>
      </c>
      <c r="N25966" t="str">
        <f>"287682      "</f>
        <v xml:space="preserve">287682      </v>
      </c>
      <c r="O25966">
        <v>230922</v>
      </c>
    </row>
    <row r="25967" spans="1:15" x14ac:dyDescent="0.25">
      <c r="A25967" t="s">
        <v>16</v>
      </c>
      <c r="B25967" t="s">
        <v>3221</v>
      </c>
      <c r="C25967">
        <v>9204</v>
      </c>
      <c r="D25967" t="s">
        <v>2278</v>
      </c>
      <c r="E25967" t="s">
        <v>2279</v>
      </c>
      <c r="F25967">
        <v>2250</v>
      </c>
      <c r="G25967">
        <v>230629</v>
      </c>
      <c r="H25967">
        <v>4346</v>
      </c>
      <c r="I25967" t="s">
        <v>197</v>
      </c>
      <c r="J25967">
        <v>2790</v>
      </c>
      <c r="K25967">
        <v>540</v>
      </c>
      <c r="L25967">
        <v>17952</v>
      </c>
      <c r="M25967" t="s">
        <v>88</v>
      </c>
      <c r="N25967" t="str">
        <f>"6023060006  "</f>
        <v xml:space="preserve">6023060006  </v>
      </c>
      <c r="O25967">
        <v>230629</v>
      </c>
    </row>
    <row r="25968" spans="1:15" x14ac:dyDescent="0.25">
      <c r="A25968" t="s">
        <v>16</v>
      </c>
      <c r="B25968" t="s">
        <v>3221</v>
      </c>
      <c r="C25968">
        <v>9862</v>
      </c>
      <c r="D25968" t="s">
        <v>2278</v>
      </c>
      <c r="E25968" t="s">
        <v>2279</v>
      </c>
      <c r="F25968">
        <v>2250</v>
      </c>
      <c r="G25968">
        <v>230725</v>
      </c>
      <c r="H25968">
        <v>4346</v>
      </c>
      <c r="I25968" t="s">
        <v>197</v>
      </c>
      <c r="J25968">
        <v>2790</v>
      </c>
      <c r="K25968">
        <v>540</v>
      </c>
      <c r="L25968">
        <v>17952</v>
      </c>
      <c r="M25968" t="s">
        <v>88</v>
      </c>
      <c r="N25968" t="str">
        <f>"6023070005  "</f>
        <v xml:space="preserve">6023070005  </v>
      </c>
      <c r="O25968">
        <v>230731</v>
      </c>
    </row>
    <row r="25969" spans="1:15" x14ac:dyDescent="0.25">
      <c r="A25969" t="s">
        <v>16</v>
      </c>
      <c r="B25969" t="s">
        <v>3221</v>
      </c>
      <c r="C25969">
        <v>9894</v>
      </c>
      <c r="D25969" t="s">
        <v>2278</v>
      </c>
      <c r="E25969" t="s">
        <v>2279</v>
      </c>
      <c r="F25969">
        <v>44</v>
      </c>
      <c r="G25969">
        <v>230727</v>
      </c>
      <c r="H25969">
        <v>4420</v>
      </c>
      <c r="I25969" t="s">
        <v>132</v>
      </c>
      <c r="J25969">
        <v>54.56</v>
      </c>
      <c r="K25969">
        <v>10.56</v>
      </c>
      <c r="L25969">
        <v>17972</v>
      </c>
      <c r="M25969" t="s">
        <v>248</v>
      </c>
      <c r="N25969" t="str">
        <f>"6023070006  "</f>
        <v xml:space="preserve">6023070006  </v>
      </c>
      <c r="O25969">
        <v>230731</v>
      </c>
    </row>
    <row r="25970" spans="1:15" x14ac:dyDescent="0.25">
      <c r="A25970" t="s">
        <v>16</v>
      </c>
      <c r="B25970" t="s">
        <v>3221</v>
      </c>
      <c r="C25970">
        <v>10182</v>
      </c>
      <c r="D25970" t="s">
        <v>2278</v>
      </c>
      <c r="E25970" t="s">
        <v>2279</v>
      </c>
      <c r="F25970">
        <v>7.26</v>
      </c>
      <c r="G25970">
        <v>230801</v>
      </c>
      <c r="H25970">
        <v>4420</v>
      </c>
      <c r="I25970" t="s">
        <v>132</v>
      </c>
      <c r="J25970">
        <v>9</v>
      </c>
      <c r="K25970">
        <v>1.74</v>
      </c>
      <c r="L25970">
        <v>13540</v>
      </c>
      <c r="M25970" t="s">
        <v>85</v>
      </c>
      <c r="N25970" t="str">
        <f>"6023080003  "</f>
        <v xml:space="preserve">6023080003  </v>
      </c>
      <c r="O25970">
        <v>230809</v>
      </c>
    </row>
    <row r="25971" spans="1:15" x14ac:dyDescent="0.25">
      <c r="A25971" t="s">
        <v>16</v>
      </c>
      <c r="B25971" t="s">
        <v>3221</v>
      </c>
      <c r="C25971">
        <v>10182</v>
      </c>
      <c r="D25971" t="s">
        <v>2278</v>
      </c>
      <c r="E25971" t="s">
        <v>2279</v>
      </c>
      <c r="F25971">
        <v>58.74</v>
      </c>
      <c r="G25971">
        <v>230801</v>
      </c>
      <c r="H25971">
        <v>4420</v>
      </c>
      <c r="I25971" t="s">
        <v>132</v>
      </c>
      <c r="J25971">
        <v>72.84</v>
      </c>
      <c r="K25971">
        <v>14.1</v>
      </c>
      <c r="L25971">
        <v>17950</v>
      </c>
      <c r="M25971" t="s">
        <v>86</v>
      </c>
      <c r="N25971" t="str">
        <f>"6023080003  "</f>
        <v xml:space="preserve">6023080003  </v>
      </c>
      <c r="O25971">
        <v>230809</v>
      </c>
    </row>
    <row r="25972" spans="1:15" x14ac:dyDescent="0.25">
      <c r="A25972" t="s">
        <v>16</v>
      </c>
      <c r="B25972" t="s">
        <v>3221</v>
      </c>
      <c r="C25972">
        <v>13392</v>
      </c>
      <c r="D25972" t="s">
        <v>2278</v>
      </c>
      <c r="E25972" t="s">
        <v>2279</v>
      </c>
      <c r="F25972">
        <v>41.34</v>
      </c>
      <c r="G25972">
        <v>230927</v>
      </c>
      <c r="H25972">
        <v>4420</v>
      </c>
      <c r="I25972" t="s">
        <v>132</v>
      </c>
      <c r="J25972">
        <v>51.26</v>
      </c>
      <c r="K25972">
        <v>9.92</v>
      </c>
      <c r="L25972">
        <v>11908</v>
      </c>
      <c r="M25972" t="s">
        <v>598</v>
      </c>
      <c r="N25972" t="str">
        <f>"6023090005  "</f>
        <v xml:space="preserve">6023090005  </v>
      </c>
      <c r="O25972">
        <v>231010</v>
      </c>
    </row>
    <row r="25973" spans="1:15" x14ac:dyDescent="0.25">
      <c r="A25973" t="s">
        <v>16</v>
      </c>
      <c r="B25973" t="s">
        <v>3221</v>
      </c>
      <c r="C25973">
        <v>14101</v>
      </c>
      <c r="D25973" t="s">
        <v>2278</v>
      </c>
      <c r="E25973" t="s">
        <v>2279</v>
      </c>
      <c r="F25973">
        <v>42.4</v>
      </c>
      <c r="G25973">
        <v>231016</v>
      </c>
      <c r="H25973">
        <v>4420</v>
      </c>
      <c r="I25973" t="s">
        <v>132</v>
      </c>
      <c r="J25973">
        <v>52.58</v>
      </c>
      <c r="K25973">
        <v>10.18</v>
      </c>
      <c r="L25973">
        <v>17952</v>
      </c>
      <c r="M25973" t="s">
        <v>88</v>
      </c>
      <c r="N25973" t="str">
        <f>"6023100004  "</f>
        <v xml:space="preserve">6023100004  </v>
      </c>
      <c r="O25973">
        <v>231018</v>
      </c>
    </row>
    <row r="25974" spans="1:15" x14ac:dyDescent="0.25">
      <c r="A25974" t="s">
        <v>16</v>
      </c>
      <c r="B25974" t="s">
        <v>3221</v>
      </c>
      <c r="C25974">
        <v>15411</v>
      </c>
      <c r="D25974" t="s">
        <v>2278</v>
      </c>
      <c r="E25974" t="s">
        <v>2279</v>
      </c>
      <c r="F25974">
        <v>104.5</v>
      </c>
      <c r="G25974">
        <v>231103</v>
      </c>
      <c r="H25974">
        <v>4420</v>
      </c>
      <c r="I25974" t="s">
        <v>132</v>
      </c>
      <c r="J25974">
        <v>129.58000000000001</v>
      </c>
      <c r="K25974">
        <v>25.08</v>
      </c>
      <c r="L25974">
        <v>13540</v>
      </c>
      <c r="M25974" t="s">
        <v>85</v>
      </c>
      <c r="N25974" t="str">
        <f>"6023110002  "</f>
        <v xml:space="preserve">6023110002  </v>
      </c>
      <c r="O25974">
        <v>231113</v>
      </c>
    </row>
    <row r="25975" spans="1:15" x14ac:dyDescent="0.25">
      <c r="A25975" t="s">
        <v>16</v>
      </c>
      <c r="B25975" t="s">
        <v>3221</v>
      </c>
      <c r="C25975">
        <v>15411</v>
      </c>
      <c r="D25975" t="s">
        <v>2278</v>
      </c>
      <c r="E25975" t="s">
        <v>2279</v>
      </c>
      <c r="F25975">
        <v>104.5</v>
      </c>
      <c r="G25975">
        <v>231103</v>
      </c>
      <c r="H25975">
        <v>4420</v>
      </c>
      <c r="I25975" t="s">
        <v>132</v>
      </c>
      <c r="J25975">
        <v>129.58000000000001</v>
      </c>
      <c r="K25975">
        <v>25.08</v>
      </c>
      <c r="L25975">
        <v>17950</v>
      </c>
      <c r="M25975" t="s">
        <v>86</v>
      </c>
      <c r="N25975" t="str">
        <f>"6023110002  "</f>
        <v xml:space="preserve">6023110002  </v>
      </c>
      <c r="O25975">
        <v>231113</v>
      </c>
    </row>
    <row r="25976" spans="1:15" x14ac:dyDescent="0.25">
      <c r="A25976" t="s">
        <v>16</v>
      </c>
      <c r="B25976" t="s">
        <v>3221</v>
      </c>
      <c r="C25976">
        <v>9894</v>
      </c>
      <c r="D25976" t="s">
        <v>2278</v>
      </c>
      <c r="E25976" t="s">
        <v>2279</v>
      </c>
      <c r="F25976">
        <v>331.13</v>
      </c>
      <c r="G25976">
        <v>230727</v>
      </c>
      <c r="H25976">
        <v>4600</v>
      </c>
      <c r="I25976" t="s">
        <v>105</v>
      </c>
      <c r="J25976">
        <v>410.6</v>
      </c>
      <c r="K25976">
        <v>79.47</v>
      </c>
      <c r="L25976">
        <v>17952</v>
      </c>
      <c r="M25976" t="s">
        <v>88</v>
      </c>
      <c r="N25976" t="str">
        <f>"6023070006  "</f>
        <v xml:space="preserve">6023070006  </v>
      </c>
      <c r="O25976">
        <v>230731</v>
      </c>
    </row>
    <row r="25977" spans="1:15" x14ac:dyDescent="0.25">
      <c r="A25977" t="s">
        <v>16</v>
      </c>
      <c r="B25977" t="s">
        <v>3221</v>
      </c>
      <c r="C25977">
        <v>10841</v>
      </c>
      <c r="D25977" t="s">
        <v>2278</v>
      </c>
      <c r="E25977" t="s">
        <v>2279</v>
      </c>
      <c r="F25977">
        <v>1230</v>
      </c>
      <c r="G25977">
        <v>230818</v>
      </c>
      <c r="H25977">
        <v>4600</v>
      </c>
      <c r="I25977" t="s">
        <v>105</v>
      </c>
      <c r="J25977">
        <v>1525.2</v>
      </c>
      <c r="K25977">
        <v>295.2</v>
      </c>
      <c r="L25977">
        <v>17952</v>
      </c>
      <c r="M25977" t="s">
        <v>88</v>
      </c>
      <c r="N25977" t="str">
        <f>"6023080005  "</f>
        <v xml:space="preserve">6023080005  </v>
      </c>
      <c r="O25977">
        <v>230824</v>
      </c>
    </row>
    <row r="25978" spans="1:15" x14ac:dyDescent="0.25">
      <c r="A25978" t="s">
        <v>16</v>
      </c>
      <c r="B25978" t="s">
        <v>3221</v>
      </c>
      <c r="C25978">
        <v>10182</v>
      </c>
      <c r="D25978" t="s">
        <v>2278</v>
      </c>
      <c r="E25978" t="s">
        <v>2279</v>
      </c>
      <c r="F25978">
        <v>174.9</v>
      </c>
      <c r="G25978">
        <v>230801</v>
      </c>
      <c r="H25978">
        <v>4390</v>
      </c>
      <c r="I25978" t="s">
        <v>98</v>
      </c>
      <c r="J25978">
        <v>216.88</v>
      </c>
      <c r="K25978">
        <v>41.98</v>
      </c>
      <c r="L25978">
        <v>13540</v>
      </c>
      <c r="M25978" t="s">
        <v>85</v>
      </c>
      <c r="N25978" t="str">
        <f>"6023080003  "</f>
        <v xml:space="preserve">6023080003  </v>
      </c>
      <c r="O25978">
        <v>230809</v>
      </c>
    </row>
    <row r="25979" spans="1:15" x14ac:dyDescent="0.25">
      <c r="A25979" t="s">
        <v>16</v>
      </c>
      <c r="B25979" t="s">
        <v>3221</v>
      </c>
      <c r="C25979">
        <v>10182</v>
      </c>
      <c r="D25979" t="s">
        <v>2278</v>
      </c>
      <c r="E25979" t="s">
        <v>2279</v>
      </c>
      <c r="F25979">
        <v>1415.1</v>
      </c>
      <c r="G25979">
        <v>230801</v>
      </c>
      <c r="H25979">
        <v>4390</v>
      </c>
      <c r="I25979" t="s">
        <v>98</v>
      </c>
      <c r="J25979">
        <v>1754.72</v>
      </c>
      <c r="K25979">
        <v>339.62</v>
      </c>
      <c r="L25979">
        <v>17950</v>
      </c>
      <c r="M25979" t="s">
        <v>86</v>
      </c>
      <c r="N25979" t="str">
        <f>"6023080003  "</f>
        <v xml:space="preserve">6023080003  </v>
      </c>
      <c r="O25979">
        <v>230809</v>
      </c>
    </row>
    <row r="25980" spans="1:15" x14ac:dyDescent="0.25">
      <c r="A25980" t="s">
        <v>16</v>
      </c>
      <c r="B25980" t="s">
        <v>3221</v>
      </c>
      <c r="C25980">
        <v>14101</v>
      </c>
      <c r="D25980" t="s">
        <v>2278</v>
      </c>
      <c r="E25980" t="s">
        <v>2279</v>
      </c>
      <c r="F25980">
        <v>662</v>
      </c>
      <c r="G25980">
        <v>231016</v>
      </c>
      <c r="H25980">
        <v>4390</v>
      </c>
      <c r="I25980" t="s">
        <v>98</v>
      </c>
      <c r="J25980">
        <v>820.88</v>
      </c>
      <c r="K25980">
        <v>158.88</v>
      </c>
      <c r="L25980">
        <v>17952</v>
      </c>
      <c r="M25980" t="s">
        <v>88</v>
      </c>
      <c r="N25980" t="str">
        <f>"6023100004  "</f>
        <v xml:space="preserve">6023100004  </v>
      </c>
      <c r="O25980">
        <v>231018</v>
      </c>
    </row>
    <row r="25981" spans="1:15" x14ac:dyDescent="0.25">
      <c r="A25981" t="s">
        <v>16</v>
      </c>
      <c r="B25981" t="s">
        <v>3221</v>
      </c>
      <c r="C25981">
        <v>15411</v>
      </c>
      <c r="D25981" t="s">
        <v>2278</v>
      </c>
      <c r="E25981" t="s">
        <v>2279</v>
      </c>
      <c r="F25981">
        <v>800</v>
      </c>
      <c r="G25981">
        <v>231103</v>
      </c>
      <c r="H25981">
        <v>4390</v>
      </c>
      <c r="I25981" t="s">
        <v>98</v>
      </c>
      <c r="J25981">
        <v>992</v>
      </c>
      <c r="K25981">
        <v>192</v>
      </c>
      <c r="L25981">
        <v>13540</v>
      </c>
      <c r="M25981" t="s">
        <v>85</v>
      </c>
      <c r="N25981" t="str">
        <f>"6023110002  "</f>
        <v xml:space="preserve">6023110002  </v>
      </c>
      <c r="O25981">
        <v>231113</v>
      </c>
    </row>
    <row r="25982" spans="1:15" x14ac:dyDescent="0.25">
      <c r="A25982" t="s">
        <v>16</v>
      </c>
      <c r="B25982" t="s">
        <v>3221</v>
      </c>
      <c r="C25982">
        <v>15411</v>
      </c>
      <c r="D25982" t="s">
        <v>2278</v>
      </c>
      <c r="E25982" t="s">
        <v>2279</v>
      </c>
      <c r="F25982">
        <v>800</v>
      </c>
      <c r="G25982">
        <v>231103</v>
      </c>
      <c r="H25982">
        <v>4390</v>
      </c>
      <c r="I25982" t="s">
        <v>98</v>
      </c>
      <c r="J25982">
        <v>992</v>
      </c>
      <c r="K25982">
        <v>192</v>
      </c>
      <c r="L25982">
        <v>17950</v>
      </c>
      <c r="M25982" t="s">
        <v>86</v>
      </c>
      <c r="N25982" t="str">
        <f>"6023110002  "</f>
        <v xml:space="preserve">6023110002  </v>
      </c>
      <c r="O25982">
        <v>231113</v>
      </c>
    </row>
    <row r="25983" spans="1:15" x14ac:dyDescent="0.25">
      <c r="A25983" t="s">
        <v>16</v>
      </c>
      <c r="B25983" t="s">
        <v>3221</v>
      </c>
      <c r="C25983">
        <v>15411</v>
      </c>
      <c r="D25983" t="s">
        <v>2278</v>
      </c>
      <c r="E25983" t="s">
        <v>2279</v>
      </c>
      <c r="F25983">
        <v>42.5</v>
      </c>
      <c r="G25983">
        <v>231103</v>
      </c>
      <c r="H25983">
        <v>4590</v>
      </c>
      <c r="I25983" t="s">
        <v>203</v>
      </c>
      <c r="J25983">
        <v>52.7</v>
      </c>
      <c r="K25983">
        <v>10.199999999999999</v>
      </c>
      <c r="L25983">
        <v>13540</v>
      </c>
      <c r="M25983" t="s">
        <v>85</v>
      </c>
      <c r="N25983" t="str">
        <f>"6023110002  "</f>
        <v xml:space="preserve">6023110002  </v>
      </c>
      <c r="O25983">
        <v>231113</v>
      </c>
    </row>
    <row r="25984" spans="1:15" x14ac:dyDescent="0.25">
      <c r="A25984" t="s">
        <v>16</v>
      </c>
      <c r="B25984" t="s">
        <v>3221</v>
      </c>
      <c r="C25984">
        <v>15411</v>
      </c>
      <c r="D25984" t="s">
        <v>2278</v>
      </c>
      <c r="E25984" t="s">
        <v>2279</v>
      </c>
      <c r="F25984">
        <v>42.5</v>
      </c>
      <c r="G25984">
        <v>231103</v>
      </c>
      <c r="H25984">
        <v>4590</v>
      </c>
      <c r="I25984" t="s">
        <v>203</v>
      </c>
      <c r="J25984">
        <v>52.7</v>
      </c>
      <c r="K25984">
        <v>10.199999999999999</v>
      </c>
      <c r="L25984">
        <v>17950</v>
      </c>
      <c r="M25984" t="s">
        <v>86</v>
      </c>
      <c r="N25984" t="str">
        <f>"6023110002  "</f>
        <v xml:space="preserve">6023110002  </v>
      </c>
      <c r="O25984">
        <v>231113</v>
      </c>
    </row>
    <row r="25985" spans="1:15" x14ac:dyDescent="0.25">
      <c r="A25985" t="s">
        <v>16</v>
      </c>
      <c r="B25985" t="s">
        <v>3221</v>
      </c>
      <c r="C25985">
        <v>5039</v>
      </c>
      <c r="D25985" t="s">
        <v>1782</v>
      </c>
      <c r="E25985" t="s">
        <v>1783</v>
      </c>
      <c r="F25985">
        <v>535</v>
      </c>
      <c r="G25985">
        <v>230405</v>
      </c>
      <c r="H25985">
        <v>4840</v>
      </c>
      <c r="I25985" t="s">
        <v>19</v>
      </c>
      <c r="J25985">
        <v>663.4</v>
      </c>
      <c r="K25985">
        <v>128.4</v>
      </c>
      <c r="L25985">
        <v>59501</v>
      </c>
      <c r="M25985" t="s">
        <v>69</v>
      </c>
      <c r="N25985" t="str">
        <f>"9244        "</f>
        <v xml:space="preserve">9244        </v>
      </c>
      <c r="O25985">
        <v>230417</v>
      </c>
    </row>
    <row r="25986" spans="1:15" x14ac:dyDescent="0.25">
      <c r="A25986" t="s">
        <v>16</v>
      </c>
      <c r="B25986" t="s">
        <v>3221</v>
      </c>
      <c r="C25986">
        <v>15137</v>
      </c>
      <c r="D25986" t="s">
        <v>1782</v>
      </c>
      <c r="E25986" t="s">
        <v>1783</v>
      </c>
      <c r="F25986">
        <v>485</v>
      </c>
      <c r="G25986">
        <v>231101</v>
      </c>
      <c r="H25986">
        <v>4840</v>
      </c>
      <c r="I25986" t="s">
        <v>19</v>
      </c>
      <c r="J25986">
        <v>601.4</v>
      </c>
      <c r="K25986">
        <v>116.4</v>
      </c>
      <c r="L25986">
        <v>59501</v>
      </c>
      <c r="M25986" t="s">
        <v>69</v>
      </c>
      <c r="N25986" t="str">
        <f>"9367        "</f>
        <v xml:space="preserve">9367        </v>
      </c>
      <c r="O25986">
        <v>231109</v>
      </c>
    </row>
    <row r="25987" spans="1:15" x14ac:dyDescent="0.25">
      <c r="A25987" t="s">
        <v>16</v>
      </c>
      <c r="B25987" t="s">
        <v>3221</v>
      </c>
      <c r="C25987">
        <v>17941</v>
      </c>
      <c r="D25987" t="s">
        <v>1782</v>
      </c>
      <c r="E25987" t="s">
        <v>1783</v>
      </c>
      <c r="F25987">
        <v>960</v>
      </c>
      <c r="G25987">
        <v>231215</v>
      </c>
      <c r="H25987">
        <v>4840</v>
      </c>
      <c r="I25987" t="s">
        <v>19</v>
      </c>
      <c r="J25987">
        <v>1190.4000000000001</v>
      </c>
      <c r="K25987">
        <v>230.4</v>
      </c>
      <c r="L25987">
        <v>59501</v>
      </c>
      <c r="M25987" t="s">
        <v>69</v>
      </c>
      <c r="N25987" t="str">
        <f>"9392        "</f>
        <v xml:space="preserve">9392        </v>
      </c>
      <c r="O25987">
        <v>231228</v>
      </c>
    </row>
    <row r="25988" spans="1:15" x14ac:dyDescent="0.25">
      <c r="A25988" t="s">
        <v>16</v>
      </c>
      <c r="B25988" t="s">
        <v>3221</v>
      </c>
      <c r="C25988">
        <v>777</v>
      </c>
      <c r="D25988" t="s">
        <v>735</v>
      </c>
      <c r="E25988" t="s">
        <v>736</v>
      </c>
      <c r="F25988">
        <v>80.400000000000006</v>
      </c>
      <c r="G25988">
        <v>230125</v>
      </c>
      <c r="H25988">
        <v>4420</v>
      </c>
      <c r="I25988" t="s">
        <v>132</v>
      </c>
      <c r="J25988">
        <v>80.400000000000006</v>
      </c>
      <c r="K25988">
        <v>0</v>
      </c>
      <c r="L25988">
        <v>16930</v>
      </c>
      <c r="M25988" t="s">
        <v>450</v>
      </c>
      <c r="N25988" t="str">
        <f>"K-5-2023    "</f>
        <v xml:space="preserve">K-5-2023    </v>
      </c>
      <c r="O25988">
        <v>230130</v>
      </c>
    </row>
    <row r="25989" spans="1:15" x14ac:dyDescent="0.25">
      <c r="A25989" t="s">
        <v>16</v>
      </c>
      <c r="B25989" t="s">
        <v>3221</v>
      </c>
      <c r="C25989">
        <v>1963</v>
      </c>
      <c r="D25989" t="s">
        <v>735</v>
      </c>
      <c r="E25989" t="s">
        <v>736</v>
      </c>
      <c r="F25989">
        <v>26.8</v>
      </c>
      <c r="G25989">
        <v>230214</v>
      </c>
      <c r="H25989">
        <v>4420</v>
      </c>
      <c r="I25989" t="s">
        <v>132</v>
      </c>
      <c r="J25989">
        <v>26.8</v>
      </c>
      <c r="K25989">
        <v>0</v>
      </c>
      <c r="L25989">
        <v>16930</v>
      </c>
      <c r="M25989" t="s">
        <v>450</v>
      </c>
      <c r="N25989" t="str">
        <f>"K-11-2023   "</f>
        <v xml:space="preserve">K-11-2023   </v>
      </c>
      <c r="O25989">
        <v>230216</v>
      </c>
    </row>
    <row r="25990" spans="1:15" x14ac:dyDescent="0.25">
      <c r="A25990" t="s">
        <v>16</v>
      </c>
      <c r="B25990" t="s">
        <v>3221</v>
      </c>
      <c r="C25990">
        <v>777</v>
      </c>
      <c r="D25990" t="s">
        <v>735</v>
      </c>
      <c r="E25990" t="s">
        <v>736</v>
      </c>
      <c r="F25990">
        <v>1050</v>
      </c>
      <c r="G25990">
        <v>230125</v>
      </c>
      <c r="H25990">
        <v>4440</v>
      </c>
      <c r="I25990" t="s">
        <v>250</v>
      </c>
      <c r="J25990">
        <v>1302</v>
      </c>
      <c r="K25990">
        <v>252</v>
      </c>
      <c r="L25990">
        <v>16930</v>
      </c>
      <c r="M25990" t="s">
        <v>450</v>
      </c>
      <c r="N25990" t="str">
        <f>"K-5-2023    "</f>
        <v xml:space="preserve">K-5-2023    </v>
      </c>
      <c r="O25990">
        <v>230130</v>
      </c>
    </row>
    <row r="25991" spans="1:15" x14ac:dyDescent="0.25">
      <c r="A25991" t="s">
        <v>16</v>
      </c>
      <c r="B25991" t="s">
        <v>3221</v>
      </c>
      <c r="C25991">
        <v>1963</v>
      </c>
      <c r="D25991" t="s">
        <v>735</v>
      </c>
      <c r="E25991" t="s">
        <v>736</v>
      </c>
      <c r="F25991">
        <v>350</v>
      </c>
      <c r="G25991">
        <v>230214</v>
      </c>
      <c r="H25991">
        <v>4440</v>
      </c>
      <c r="I25991" t="s">
        <v>250</v>
      </c>
      <c r="J25991">
        <v>434</v>
      </c>
      <c r="K25991">
        <v>84</v>
      </c>
      <c r="L25991">
        <v>16930</v>
      </c>
      <c r="M25991" t="s">
        <v>450</v>
      </c>
      <c r="N25991" t="str">
        <f>"K-11-2023   "</f>
        <v xml:space="preserve">K-11-2023   </v>
      </c>
      <c r="O25991">
        <v>230216</v>
      </c>
    </row>
    <row r="25992" spans="1:15" x14ac:dyDescent="0.25">
      <c r="A25992" t="s">
        <v>16</v>
      </c>
      <c r="B25992" t="s">
        <v>3221</v>
      </c>
      <c r="C25992">
        <v>1108</v>
      </c>
      <c r="D25992" t="s">
        <v>887</v>
      </c>
      <c r="E25992" t="s">
        <v>888</v>
      </c>
      <c r="F25992">
        <v>197.6</v>
      </c>
      <c r="G25992">
        <v>230131</v>
      </c>
      <c r="H25992">
        <v>4400</v>
      </c>
      <c r="I25992" t="s">
        <v>348</v>
      </c>
      <c r="J25992">
        <v>245.02</v>
      </c>
      <c r="K25992">
        <v>47.42</v>
      </c>
      <c r="L25992">
        <v>17802</v>
      </c>
      <c r="M25992" t="s">
        <v>174</v>
      </c>
      <c r="N25992" t="str">
        <f>"613941621   "</f>
        <v xml:space="preserve">613941621   </v>
      </c>
      <c r="O25992">
        <v>230203</v>
      </c>
    </row>
  </sheetData>
  <autoFilter ref="A1:P25992" xr:uid="{00000000-0001-0000-0000-000000000000}">
    <sortState xmlns:xlrd2="http://schemas.microsoft.com/office/spreadsheetml/2017/richdata2" ref="A2:P25992">
      <sortCondition ref="D1:D25992"/>
    </sortState>
  </autoFilter>
  <phoneticPr fontId="18" type="noConversion"/>
  <pageMargins left="0.7" right="0.7" top="0.75" bottom="0.75" header="0.3" footer="0.3"/>
  <pageSetup paperSize="9" orientation="portrait" r:id="rId1"/>
  <ignoredErrors>
    <ignoredError sqref="N614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orlalu2023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Elina Kilpinen</dc:creator>
  <cp:keywords/>
  <dc:description/>
  <cp:lastModifiedBy>Mira Viitanen</cp:lastModifiedBy>
  <cp:revision/>
  <dcterms:created xsi:type="dcterms:W3CDTF">2024-02-28T12:48:06Z</dcterms:created>
  <dcterms:modified xsi:type="dcterms:W3CDTF">2024-05-07T10:57:04Z</dcterms:modified>
  <cp:category/>
  <cp:contentStatus/>
</cp:coreProperties>
</file>